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Check" sheetId="1" state="visible" r:id="rId1"/>
    <sheet name="Summary" sheetId="2" state="visible" r:id="rId2"/>
    <sheet name="Pending" sheetId="3" state="visible" r:id="rId3"/>
    <sheet name="Flow" sheetId="4" state="visible" r:id="rId4"/>
    <sheet name="Fundamentals" sheetId="5" state="visible" r:id="rId5"/>
    <sheet name="Override" sheetId="6" state="visible" r:id="rId6"/>
    <sheet name="HSI" sheetId="7" state="visible" r:id="rId7"/>
    <sheet name="HSTECH" sheetId="8" state="visible" r:id="rId8"/>
    <sheet name="HSCEI" sheetId="9" state="visible" r:id="rId9"/>
    <sheet name="Dvd Calendar" sheetId="10" state="visible" r:id="rId10"/>
    <sheet name="Fund History" sheetId="11" state="visible" r:id="rId11"/>
    <sheet name="Grids" sheetId="12" state="visible" r:id="rId12"/>
  </sheets>
  <definedNames>
    <definedName name="VAL_DATE">Summary!$C$11</definedName>
    <definedName name="YEAR_Y">Summary!$C$12</definedName>
    <definedName name="INC_SPECIALS">Summary!$C$13</definedName>
    <definedName name="RMB_CROSS">Summary!$C$14</definedName>
    <definedName name="HORIZON_DT">Summary!$C$15</definedName>
    <definedName name="PULL_FUND">Summary!$C$16</definedName>
    <definedName name="HIST_FROM">Summary!$C$18</definedName>
    <definedName name="HIST_TO">Summary!$D$18</definedName>
    <definedName name="OV_SWITCH">Override!$C$4</definedName>
    <definedName name="GRID_FROM">Grids!$D$5</definedName>
    <definedName name="GRID_TO">Grids!$D$6</definedName>
    <definedName name="VAL_SERIAL">Grids!$D$7</definedName>
    <definedName name="REALIZED_TO">Grids!$D$8</definedName>
    <definedName name="PROJ_FROM">Grids!$D$9</definedName>
    <definedName name="PEND_FROM">Pending!$F$4</definedName>
    <definedName name="PEND_TO">Pending!$H$4</definedName>
    <definedName name="FLD_PROJ">'Field Check'!$C$6</definedName>
    <definedName name="FLD_HIST">'Field Check'!$C$7</definedName>
    <definedName name="FLD_CCY">'Field Check'!$C$8</definedName>
    <definedName name="FLD_DPS12M">'Field Check'!$C$9</definedName>
    <definedName name="FLD_YLD12M">'Field Check'!$C$10</definedName>
    <definedName name="EPS_FIELD">'Field Check'!$C$15</definedName>
    <definedName name="YR_OVERRIDE">'Field Check'!$C$16</definedName>
    <definedName name="PAYOUT_FIELD">'Field Check'!$C$17</definedName>
    <definedName name="NDEBITDA_FIELD">'Field Check'!$C$18</definedName>
    <definedName name="EBINT_FIELD">'Field Check'!$C$19</definedName>
    <definedName name="NDE_FIELD">'Field Check'!$C$20</definedName>
    <definedName name="BUYBACK_QUERY">'Field Check'!$C$21</definedName>
    <definedName name="FCF_FIELD">'Field Check'!$C$24</definedName>
    <definedName name="BESTEPS_FIELD">'Field Check'!$C$25</definedName>
    <definedName name="BESTDPS_FIELD">'Field Check'!$C$26</definedName>
    <definedName name="FWD_OVERRIDE">'Field Check'!$C$27</definedName>
    <definedName name="TYPE1">'Field Check'!$C$30</definedName>
    <definedName name="TYPE2">'Field Check'!$C$31</definedName>
    <definedName name="TYPE3">'Field Check'!$C$32</definedName>
    <definedName name="TYPE4">'Field Check'!$C$33</definedName>
    <definedName name="SPECIAL_LBL">'Field Check'!$C$34</definedName>
    <definedName name="OVR_TICKERS">Override!$B$12:$B$71</definedName>
    <definedName name="OVR_BASE">Override!$D$12:$D$71</definedName>
    <definedName name="OVR_LOW">Override!$E$12:$E$71</definedName>
    <definedName name="OVR_HIGH">Override!$F$12:$F$71</definedName>
    <definedName name="_xlnm._FilterDatabase" localSheetId="4" hidden="1">'Fundamentals'!$B$11:$AZ$211</definedName>
    <definedName name="_xlnm._FilterDatabase" localSheetId="6" hidden="1">'HSI'!$A$6:$Z$106</definedName>
    <definedName name="_xlnm._FilterDatabase" localSheetId="7" hidden="1">'HSTECH'!$A$6:$Z$46</definedName>
    <definedName name="_xlnm._FilterDatabase" localSheetId="8" hidden="1">'HSCEI'!$A$6:$Z$66</definedName>
  </definedNames>
  <calcPr calcId="124519" fullCalcOnLoad="1"/>
</workbook>
</file>

<file path=xl/styles.xml><?xml version="1.0" encoding="utf-8"?>
<styleSheet xmlns="http://schemas.openxmlformats.org/spreadsheetml/2006/main">
  <numFmts count="22">
    <numFmt numFmtId="164" formatCode="dd-mmm-yy"/>
    <numFmt numFmtId="165" formatCode="#,##0.0"/>
    <numFmt numFmtId="166" formatCode="+#,##0.00;-#,##0.00"/>
    <numFmt numFmtId="167" formatCode="+0.0%;-0.0%"/>
    <numFmt numFmtId="168" formatCode="+#,##0.0;-#,##0.0"/>
    <numFmt numFmtId="169" formatCode="0.0%"/>
    <numFmt numFmtId="170" formatCode="0.0000"/>
    <numFmt numFmtId="171" formatCode="0.000;;"/>
    <numFmt numFmtId="172" formatCode="0.00;;"/>
    <numFmt numFmtId="173" formatCode="0.0%;;"/>
    <numFmt numFmtId="174" formatCode="#,##0.000;;"/>
    <numFmt numFmtId="175" formatCode="0.00%;;"/>
    <numFmt numFmtId="176" formatCode="0;;"/>
    <numFmt numFmtId="177" formatCode="dd-mmm-yy;;"/>
    <numFmt numFmtId="178" formatCode="0.####"/>
    <numFmt numFmtId="179" formatCode=";;;"/>
    <numFmt numFmtId="180" formatCode="0.000"/>
    <numFmt numFmtId="181" formatCode="dd-mmm;;"/>
    <numFmt numFmtId="182" formatCode="0.0"/>
    <numFmt numFmtId="183" formatCode="0%;;"/>
    <numFmt numFmtId="184" formatCode="0.0;;"/>
    <numFmt numFmtId="185" formatCode="+0.000;-0.000;;"/>
  </numFmts>
  <fonts count="1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006100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b val="1"/>
      <color rgb="00C00000"/>
      <sz val="10"/>
    </font>
    <font>
      <name val="Arial"/>
      <color rgb="000563C1"/>
      <sz val="10"/>
      <u val="single"/>
    </font>
    <font>
      <name val="Arial"/>
      <b val="1"/>
      <color rgb="000000FF"/>
      <sz val="11"/>
    </font>
  </fonts>
  <fills count="1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thin"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3" borderId="1" pivotButton="0" quotePrefix="0" xfId="0"/>
    <xf numFmtId="0" fontId="9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11" borderId="1" pivotButton="0" quotePrefix="0" xfId="0"/>
    <xf numFmtId="0" fontId="2" fillId="2" borderId="0" pivotButton="0" quotePrefix="0" xfId="0"/>
    <xf numFmtId="0" fontId="6" fillId="12" borderId="1" pivotButton="0" quotePrefix="0" xfId="0"/>
    <xf numFmtId="170" fontId="5" fillId="5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164" fontId="6" fillId="3" borderId="1" pivotButton="0" quotePrefix="0" xfId="0"/>
    <xf numFmtId="1" fontId="6" fillId="3" borderId="1" pivotButton="0" quotePrefix="0" xfId="0"/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165" fontId="5" fillId="5" borderId="1" pivotButton="0" quotePrefix="0" xfId="0"/>
    <xf numFmtId="4" fontId="5" fillId="5" borderId="1" pivotButton="0" quotePrefix="0" xfId="0"/>
    <xf numFmtId="0" fontId="8" fillId="0" borderId="0" pivotButton="0" quotePrefix="0" xfId="0"/>
    <xf numFmtId="4" fontId="8" fillId="4" borderId="1" pivotButton="0" quotePrefix="0" xfId="0"/>
    <xf numFmtId="10" fontId="3" fillId="5" borderId="1" pivotButton="0" quotePrefix="0" xfId="0"/>
    <xf numFmtId="4" fontId="6" fillId="3" borderId="1" pivotButton="0" quotePrefix="0" xfId="0"/>
    <xf numFmtId="4" fontId="3" fillId="5" borderId="1" pivotButton="0" quotePrefix="0" xfId="0"/>
    <xf numFmtId="166" fontId="8" fillId="4" borderId="1" pivotButton="0" quotePrefix="0" xfId="0"/>
    <xf numFmtId="167" fontId="8" fillId="4" borderId="1" pivotButton="0" quotePrefix="0" xfId="0"/>
    <xf numFmtId="3" fontId="5" fillId="5" borderId="1" pivotButton="0" quotePrefix="0" xfId="0"/>
    <xf numFmtId="10" fontId="5" fillId="5" borderId="1" pivotButton="0" quotePrefix="0" xfId="0"/>
    <xf numFmtId="168" fontId="3" fillId="4" borderId="1" pivotButton="0" quotePrefix="0" xfId="0"/>
    <xf numFmtId="3" fontId="3" fillId="4" borderId="1" pivotButton="0" quotePrefix="0" xfId="0"/>
    <xf numFmtId="0" fontId="5" fillId="5" borderId="1" applyAlignment="1" pivotButton="0" quotePrefix="0" xfId="0">
      <alignment horizontal="center"/>
    </xf>
    <xf numFmtId="164" fontId="3" fillId="4" borderId="1" pivotButton="0" quotePrefix="0" xfId="0"/>
    <xf numFmtId="179" fontId="2" fillId="0" borderId="0" pivotButton="0" quotePrefix="0" xfId="0"/>
    <xf numFmtId="3" fontId="3" fillId="5" borderId="1" applyAlignment="1" pivotButton="0" quotePrefix="0" xfId="0">
      <alignment horizontal="center"/>
    </xf>
    <xf numFmtId="1" fontId="2" fillId="0" borderId="0" pivotButton="0" quotePrefix="0" xfId="0"/>
    <xf numFmtId="177" fontId="5" fillId="5" borderId="1" pivotButton="0" quotePrefix="0" xfId="0"/>
    <xf numFmtId="180" fontId="5" fillId="5" borderId="1" pivotButton="0" quotePrefix="0" xfId="0"/>
    <xf numFmtId="171" fontId="3" fillId="5" borderId="1" pivotButton="0" quotePrefix="0" xfId="0"/>
    <xf numFmtId="0" fontId="5" fillId="0" borderId="1" pivotButton="0" quotePrefix="0" xfId="0"/>
    <xf numFmtId="0" fontId="2" fillId="0" borderId="1" pivotButton="0" quotePrefix="0" xfId="0"/>
    <xf numFmtId="1" fontId="3" fillId="4" borderId="1" applyAlignment="1" pivotButton="0" quotePrefix="0" xfId="0">
      <alignment horizontal="center"/>
    </xf>
    <xf numFmtId="164" fontId="3" fillId="5" borderId="1" pivotButton="0" quotePrefix="0" xfId="0"/>
    <xf numFmtId="4" fontId="3" fillId="4" borderId="1" pivotButton="0" quotePrefix="0" xfId="0"/>
    <xf numFmtId="172" fontId="5" fillId="5" borderId="1" pivotButton="0" quotePrefix="0" xfId="0"/>
    <xf numFmtId="181" fontId="2" fillId="0" borderId="0" pivotButton="0" quotePrefix="0" xfId="0"/>
    <xf numFmtId="171" fontId="5" fillId="0" borderId="0" pivotButton="0" quotePrefix="0" xfId="0"/>
    <xf numFmtId="172" fontId="5" fillId="0" borderId="0" pivotButton="0" quotePrefix="0" xfId="0"/>
    <xf numFmtId="9" fontId="6" fillId="3" borderId="1" pivotButton="0" quotePrefix="0" xfId="0"/>
    <xf numFmtId="182" fontId="6" fillId="3" borderId="1" pivotButton="0" quotePrefix="0" xfId="0"/>
    <xf numFmtId="0" fontId="10" fillId="0" borderId="0" pivotButton="0" quotePrefix="0" xfId="0"/>
    <xf numFmtId="0" fontId="3" fillId="7" borderId="0" pivotButton="0" quotePrefix="0" xfId="0"/>
    <xf numFmtId="0" fontId="0" fillId="7" borderId="0" pivotButton="0" quotePrefix="0" xfId="0"/>
    <xf numFmtId="0" fontId="3" fillId="8" borderId="0" pivotButton="0" quotePrefix="0" xfId="0"/>
    <xf numFmtId="0" fontId="0" fillId="8" borderId="0" pivotButton="0" quotePrefix="0" xfId="0"/>
    <xf numFmtId="0" fontId="7" fillId="9" borderId="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71" fontId="5" fillId="0" borderId="6" pivotButton="0" quotePrefix="0" xfId="0"/>
    <xf numFmtId="171" fontId="5" fillId="0" borderId="1" pivotButton="0" quotePrefix="0" xfId="0"/>
    <xf numFmtId="171" fontId="5" fillId="5" borderId="1" pivotButton="0" quotePrefix="0" xfId="0"/>
    <xf numFmtId="171" fontId="5" fillId="12" borderId="1" pivotButton="0" quotePrefix="0" xfId="0"/>
    <xf numFmtId="175" fontId="5" fillId="12" borderId="6" pivotButton="0" quotePrefix="0" xfId="0"/>
    <xf numFmtId="175" fontId="5" fillId="12" borderId="1" pivotButton="0" quotePrefix="0" xfId="0"/>
    <xf numFmtId="175" fontId="5" fillId="5" borderId="1" pivotButton="0" quotePrefix="0" xfId="0"/>
    <xf numFmtId="175" fontId="3" fillId="5" borderId="1" pivotButton="0" quotePrefix="0" xfId="0"/>
    <xf numFmtId="172" fontId="5" fillId="12" borderId="6" pivotButton="0" quotePrefix="0" xfId="0"/>
    <xf numFmtId="172" fontId="5" fillId="12" borderId="1" pivotButton="0" quotePrefix="0" xfId="0"/>
    <xf numFmtId="183" fontId="5" fillId="12" borderId="6" pivotButton="0" quotePrefix="0" xfId="0"/>
    <xf numFmtId="183" fontId="5" fillId="12" borderId="1" pivotButton="0" quotePrefix="0" xfId="0"/>
    <xf numFmtId="183" fontId="3" fillId="5" borderId="1" pivotButton="0" quotePrefix="0" xfId="0"/>
    <xf numFmtId="183" fontId="5" fillId="5" borderId="1" pivotButton="0" quotePrefix="0" xfId="0"/>
    <xf numFmtId="173" fontId="5" fillId="12" borderId="6" pivotButton="0" quotePrefix="0" xfId="0"/>
    <xf numFmtId="173" fontId="5" fillId="12" borderId="1" pivotButton="0" quotePrefix="0" xfId="0"/>
    <xf numFmtId="173" fontId="3" fillId="5" borderId="1" pivotButton="0" quotePrefix="0" xfId="0"/>
    <xf numFmtId="184" fontId="5" fillId="12" borderId="1" pivotButton="0" quotePrefix="0" xfId="0"/>
    <xf numFmtId="0" fontId="2" fillId="0" borderId="6" pivotButton="0" quotePrefix="0" xfId="0"/>
    <xf numFmtId="0" fontId="2" fillId="0" borderId="1" applyAlignment="1" pivotButton="0" quotePrefix="0" xfId="0">
      <alignment horizontal="center"/>
    </xf>
    <xf numFmtId="176" fontId="2" fillId="0" borderId="1" pivotButton="0" quotePrefix="0" xfId="0"/>
    <xf numFmtId="173" fontId="5" fillId="5" borderId="1" pivotButton="0" quotePrefix="0" xfId="0"/>
    <xf numFmtId="176" fontId="3" fillId="5" borderId="1" pivotButton="0" quotePrefix="0" xfId="0"/>
    <xf numFmtId="172" fontId="3" fillId="5" borderId="1" pivotButton="0" quotePrefix="0" xfId="0"/>
    <xf numFmtId="0" fontId="11" fillId="3" borderId="1" pivotButton="0" quotePrefix="0" xfId="0"/>
    <xf numFmtId="166" fontId="3" fillId="4" borderId="1" pivotButton="0" quotePrefix="0" xfId="0"/>
    <xf numFmtId="180" fontId="6" fillId="3" borderId="1" pivotButton="0" quotePrefix="0" xfId="0"/>
    <xf numFmtId="0" fontId="9" fillId="0" borderId="1" pivotButton="0" quotePrefix="0" xfId="0"/>
    <xf numFmtId="185" fontId="5" fillId="5" borderId="1" pivotButton="0" quotePrefix="0" xfId="0"/>
    <xf numFmtId="169" fontId="3" fillId="5" borderId="1" pivotButton="0" quotePrefix="0" xfId="0"/>
    <xf numFmtId="3" fontId="6" fillId="3" borderId="1" pivotButton="0" quotePrefix="0" xfId="0"/>
    <xf numFmtId="174" fontId="5" fillId="5" borderId="1" pivotButton="0" quotePrefix="0" xfId="0"/>
    <xf numFmtId="176" fontId="2" fillId="0" borderId="0" pivotButton="0" quotePrefix="0" xfId="0"/>
    <xf numFmtId="177" fontId="2" fillId="0" borderId="0" pivotButton="0" quotePrefix="0" xfId="0"/>
    <xf numFmtId="14" fontId="5" fillId="0" borderId="0" pivotButton="0" quotePrefix="0" xfId="0"/>
    <xf numFmtId="14" fontId="0" fillId="0" borderId="0" pivotButton="0" quotePrefix="0" xfId="0"/>
    <xf numFmtId="178" fontId="0" fillId="0" borderId="0" pivotButton="0" quotePrefix="0" xfId="0"/>
    <xf numFmtId="14" fontId="2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64" fontId="5" fillId="5" borderId="1" pivotButton="0" quotePrefix="0" xfId="0"/>
    <xf numFmtId="1" fontId="5" fillId="5" borderId="1" pivotButton="0" quotePrefix="0" xfId="0"/>
    <xf numFmtId="1" fontId="2" fillId="0" borderId="1" pivotButton="0" quotePrefix="0" xfId="0"/>
    <xf numFmtId="171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000"/>
        </patternFill>
      </fill>
    </dxf>
    <dxf>
      <border>
        <top style="medium"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Cumulative dividend points by ex-date (month-end)</a:t>
            </a:r>
          </a:p>
        </rich>
      </tx>
    </title>
    <plotArea>
      <lineChart>
        <grouping val="standard"/>
        <ser>
          <idx val="0"/>
          <order val="0"/>
          <tx>
            <strRef>
              <f>'Flow'!R8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'Flow'!$J$9:$J$20</f>
            </numRef>
          </cat>
          <val>
            <numRef>
              <f>'Flow'!$R$9:$R$20</f>
            </numRef>
          </val>
          <smooth val="0"/>
        </ser>
        <ser>
          <idx val="1"/>
          <order val="1"/>
          <tx>
            <strRef>
              <f>'Flow'!S8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'Flow'!$J$9:$J$20</f>
            </numRef>
          </cat>
          <val>
            <numRef>
              <f>'Flow'!$S$9:$S$20</f>
            </numRef>
          </val>
          <smooth val="0"/>
        </ser>
        <ser>
          <idx val="2"/>
          <order val="2"/>
          <tx>
            <strRef>
              <f>'Flow'!T8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'Flow'!$J$9:$J$20</f>
            </numRef>
          </cat>
          <val>
            <numRef>
              <f>'Flow'!$T$9:$T$20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index points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HSI - dividend points by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'Flow'!K8</f>
            </strRef>
          </tx>
          <spPr>
            <a:ln>
              <a:prstDash val="solid"/>
            </a:ln>
          </spPr>
          <cat>
            <numRef>
              <f>'Flow'!$J$9:$J$20</f>
            </numRef>
          </cat>
          <val>
            <numRef>
              <f>'Flow'!$K$9:$K$20</f>
            </numRef>
          </val>
        </ser>
        <ser>
          <idx val="1"/>
          <order val="1"/>
          <tx>
            <strRef>
              <f>'Flow'!L8</f>
            </strRef>
          </tx>
          <spPr>
            <a:ln>
              <a:prstDash val="solid"/>
            </a:ln>
          </spPr>
          <cat>
            <numRef>
              <f>'Flow'!$J$9:$J$20</f>
            </numRef>
          </cat>
          <val>
            <numRef>
              <f>'Flow'!$L$9:$L$20</f>
            </numRef>
          </val>
        </ser>
        <gapWidth val="12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index points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HSTECH - dividend points by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'Flow'!M8</f>
            </strRef>
          </tx>
          <spPr>
            <a:ln>
              <a:prstDash val="solid"/>
            </a:ln>
          </spPr>
          <cat>
            <numRef>
              <f>'Flow'!$J$9:$J$20</f>
            </numRef>
          </cat>
          <val>
            <numRef>
              <f>'Flow'!$M$9:$M$20</f>
            </numRef>
          </val>
        </ser>
        <ser>
          <idx val="1"/>
          <order val="1"/>
          <tx>
            <strRef>
              <f>'Flow'!N8</f>
            </strRef>
          </tx>
          <spPr>
            <a:ln>
              <a:prstDash val="solid"/>
            </a:ln>
          </spPr>
          <cat>
            <numRef>
              <f>'Flow'!$J$9:$J$20</f>
            </numRef>
          </cat>
          <val>
            <numRef>
              <f>'Flow'!$N$9:$N$20</f>
            </numRef>
          </val>
        </ser>
        <gapWidth val="12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index points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HSCEI - dividend points by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'Flow'!O8</f>
            </strRef>
          </tx>
          <spPr>
            <a:ln>
              <a:prstDash val="solid"/>
            </a:ln>
          </spPr>
          <cat>
            <numRef>
              <f>'Flow'!$J$9:$J$20</f>
            </numRef>
          </cat>
          <val>
            <numRef>
              <f>'Flow'!$O$9:$O$20</f>
            </numRef>
          </val>
        </ser>
        <ser>
          <idx val="1"/>
          <order val="1"/>
          <tx>
            <strRef>
              <f>'Flow'!P8</f>
            </strRef>
          </tx>
          <spPr>
            <a:ln>
              <a:prstDash val="solid"/>
            </a:ln>
          </spPr>
          <cat>
            <numRef>
              <f>'Flow'!$J$9:$J$20</f>
            </numRef>
          </cat>
          <val>
            <numRef>
              <f>'Flow'!$P$9:$P$20</f>
            </numRef>
          </val>
        </ser>
        <gapWidth val="12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index points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22</row>
      <rowOff>0</rowOff>
    </from>
    <ext cx="720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43</row>
      <rowOff>0</rowOff>
    </from>
    <ext cx="45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43</row>
      <rowOff>0</rowOff>
    </from>
    <ext cx="45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23</col>
      <colOff>0</colOff>
      <row>43</row>
      <rowOff>0</rowOff>
    </from>
    <ext cx="45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Fundamentals!F11" TargetMode="External" Id="rId1" /><Relationship Type="http://schemas.openxmlformats.org/officeDocument/2006/relationships/hyperlink" Target="#Fundamentals!P11" TargetMode="External" Id="rId2" /><Relationship Type="http://schemas.openxmlformats.org/officeDocument/2006/relationships/hyperlink" Target="#Fundamentals!X11" TargetMode="External" Id="rId3" /><Relationship Type="http://schemas.openxmlformats.org/officeDocument/2006/relationships/hyperlink" Target="#Fundamentals!AE11" TargetMode="External" Id="rId4" /><Relationship Type="http://schemas.openxmlformats.org/officeDocument/2006/relationships/hyperlink" Target="#Fundamentals!AN11" TargetMode="External" Id="rId5" /><Relationship Type="http://schemas.openxmlformats.org/officeDocument/2006/relationships/hyperlink" Target="#Fundamentals!AS11" TargetMode="External" Id="rId6" /><Relationship Type="http://schemas.openxmlformats.org/officeDocument/2006/relationships/hyperlink" Target="#Fundamentals!B214" TargetMode="External" Id="rId7" /></Relationships>
</file>

<file path=xl/worksheets/sheet1.xml><?xml version="1.0" encoding="utf-8"?>
<worksheet xmlns="http://schemas.openxmlformats.org/spreadsheetml/2006/main">
  <sheetPr>
    <tabColor rgb="00FFD966"/>
    <outlinePr summaryBelow="1" summaryRight="1"/>
    <pageSetUpPr/>
  </sheetPr>
  <dimension ref="B1:F5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0" customWidth="1" min="3" max="3"/>
    <col width="15" customWidth="1" min="4" max="4"/>
    <col width="14" customWidth="1" min="5" max="5"/>
    <col width="76" customWidth="1" min="6" max="6"/>
  </cols>
  <sheetData>
    <row r="1">
      <c r="B1" s="1" t="inlineStr">
        <is>
          <t>FIELD MNEMONIC TESTER &amp; CONFIG</t>
        </is>
      </c>
    </row>
    <row r="2">
      <c r="B2" s="2" t="inlineStr">
        <is>
          <t>Every mnemonic, query and type label lives on this tab - fix one here and the whole book follows. Green = verified on YOUR terminal. Amber = candidate.</t>
        </is>
      </c>
    </row>
    <row r="3">
      <c r="B3" s="3" t="inlineStr">
        <is>
          <t>Test ticker</t>
        </is>
      </c>
      <c r="C3" s="4" t="inlineStr">
        <is>
          <t>700 HK Equity</t>
        </is>
      </c>
    </row>
    <row r="4">
      <c r="B4" s="5" t="inlineStr">
        <is>
          <t>WHEN SOMETHING BREAKS: 1) the HEALTH strip on Summary  2) the status column E below  3) the two live samples at the bottom - a changed spill shape shows there instantly.</t>
        </is>
      </c>
    </row>
    <row r="5">
      <c r="B5" s="6" t="inlineStr">
        <is>
          <t>CONFIRMED - dividends &amp; members</t>
        </is>
      </c>
      <c r="C5" s="7" t="n"/>
      <c r="D5" s="7" t="n"/>
      <c r="E5" s="7" t="n"/>
      <c r="F5" s="7" t="n"/>
    </row>
    <row r="6">
      <c r="B6" s="8" t="inlineStr">
        <is>
          <t>Projected dividends (BDS)</t>
        </is>
      </c>
      <c r="C6" s="9" t="inlineStr">
        <is>
          <t>BDVD_ALL_PROJECTIONS</t>
        </is>
      </c>
      <c r="F6" s="2" t="inlineStr">
        <is>
          <t>Columns: Projected Declared / Ex-Date / Amount (the calendar pulls just these three). The declared date is filled even for far forecasts - ANNOUNCED means it has already passed.</t>
        </is>
      </c>
    </row>
    <row r="7">
      <c r="B7" s="8" t="inlineStr">
        <is>
          <t>Dividend history (BDS)</t>
        </is>
      </c>
      <c r="C7" s="9" t="inlineStr">
        <is>
          <t>DVD_HIST_ALL</t>
        </is>
      </c>
      <c r="F7" s="2" t="inlineStr">
        <is>
          <t>Columns: Declared / Ex / Record / Payable / AMOUNT (5th) / Frequency / Type.</t>
        </is>
      </c>
    </row>
    <row r="8">
      <c r="B8" s="8" t="inlineStr">
        <is>
          <t>Dividend currency (BDP)</t>
        </is>
      </c>
      <c r="C8" s="9" t="inlineStr">
        <is>
          <t>EQY_DVD_CRNCY</t>
        </is>
      </c>
      <c r="F8" s="2" t="inlineStr">
        <is>
          <t>Feeds the FX-to-HKD column.</t>
        </is>
      </c>
    </row>
    <row r="9">
      <c r="B9" s="8" t="inlineStr">
        <is>
          <t>DPS 12M (BDP)</t>
        </is>
      </c>
      <c r="C9" s="9" t="inlineStr">
        <is>
          <t>EQY_DVD_SH_12M</t>
        </is>
      </c>
      <c r="F9" s="2" t="inlineStr">
        <is>
          <t>Reference + the divisor check on Summary.</t>
        </is>
      </c>
    </row>
    <row r="10">
      <c r="B10" s="8" t="inlineStr">
        <is>
          <t>Yield 12M (BDP)</t>
        </is>
      </c>
      <c r="C10" s="9" t="inlineStr">
        <is>
          <t>EQY_DVD_YLD_12M</t>
        </is>
      </c>
      <c r="F10" s="2" t="inlineStr">
        <is>
          <t>Reference; also read at index level on Summary.</t>
        </is>
      </c>
    </row>
    <row r="11">
      <c r="B11" s="8" t="inlineStr">
        <is>
          <t>GICS sector (BDP)</t>
        </is>
      </c>
      <c r="C11" s="9" t="inlineStr">
        <is>
          <t>GICS_SECTOR_NAME</t>
        </is>
      </c>
      <c r="F11" s="2" t="inlineStr">
        <is>
          <t>Drives every sector rollup and the Override view.</t>
        </is>
      </c>
    </row>
    <row r="12">
      <c r="B12" s="8" t="inlineStr">
        <is>
          <t>Name (BDP)</t>
        </is>
      </c>
      <c r="C12" s="9" t="inlineStr">
        <is>
          <t>NAME</t>
        </is>
      </c>
      <c r="F12" s="2" t="inlineStr"/>
    </row>
    <row r="14">
      <c r="B14" s="6" t="inlineStr">
        <is>
          <t>CONFIRMED - fundamentals (verified on your terminal run)</t>
        </is>
      </c>
      <c r="C14" s="7" t="n"/>
      <c r="D14" s="7" t="n"/>
      <c r="E14" s="7" t="n"/>
      <c r="F14" s="7" t="n"/>
    </row>
    <row r="15">
      <c r="B15" s="8" t="inlineStr">
        <is>
          <t>EPS by fiscal year (BDP)</t>
        </is>
      </c>
      <c r="C15" s="9" t="inlineStr">
        <is>
          <t>IS_EPS</t>
        </is>
      </c>
      <c r="F15" s="2" t="inlineStr">
        <is>
          <t>With the year override below. Tested OK.</t>
        </is>
      </c>
    </row>
    <row r="16">
      <c r="B16" s="8" t="inlineStr">
        <is>
          <t xml:space="preserve">  fiscal-year override name</t>
        </is>
      </c>
      <c r="C16" s="9" t="inlineStr">
        <is>
          <t>EQY_FUND_YEAR</t>
        </is>
      </c>
      <c r="F16" s="2" t="inlineStr"/>
    </row>
    <row r="17">
      <c r="B17" s="8" t="inlineStr">
        <is>
          <t>Payout by fiscal year (BDP)</t>
        </is>
      </c>
      <c r="C17" s="9" t="inlineStr">
        <is>
          <t>DVD_PAYOUT_RATIO</t>
        </is>
      </c>
      <c r="F17" s="2" t="inlineStr">
        <is>
          <t>Fiscal basis - DPS and EPS on the same clock. Tested OK.</t>
        </is>
      </c>
    </row>
    <row r="18">
      <c r="B18" s="8" t="inlineStr">
        <is>
          <t>Net debt / EBITDA (BDP)</t>
        </is>
      </c>
      <c r="C18" s="9" t="inlineStr">
        <is>
          <t>NET_DEBT_TO_EBITDA</t>
        </is>
      </c>
      <c r="F18" s="2" t="inlineStr">
        <is>
          <t>Tested OK.</t>
        </is>
      </c>
    </row>
    <row r="19">
      <c r="B19" s="8" t="inlineStr">
        <is>
          <t>EBITDA / interest (BDP)</t>
        </is>
      </c>
      <c r="C19" s="9" t="inlineStr">
        <is>
          <t>EBITDA_TO_INTEREST_EXPN</t>
        </is>
      </c>
      <c r="F19" s="2" t="inlineStr">
        <is>
          <t>Tested OK.</t>
        </is>
      </c>
    </row>
    <row r="20">
      <c r="B20" s="8" t="inlineStr">
        <is>
          <t>Net debt / equity (BDH, 5Y)</t>
        </is>
      </c>
      <c r="C20" s="9" t="inlineStr">
        <is>
          <t>NET_DEBT_TO_SHRHLDR_EQTY</t>
        </is>
      </c>
      <c r="F20" s="2" t="inlineStr">
        <is>
          <t>Your working BDH pull (note _EQTY): five rows of date + value per stock on Fund History.</t>
        </is>
      </c>
    </row>
    <row r="21">
      <c r="B21" s="8" t="inlineStr">
        <is>
          <t>Buyback yield by year (BQL)</t>
        </is>
      </c>
      <c r="C21" s="9" t="inlineStr">
        <is>
          <t>dropna((bs_tot_val_of_shares_repurchased(fpt=ltm)/cur_mkt_cap())*100, true)</t>
        </is>
      </c>
      <c r="F21" s="2" t="inlineStr">
        <is>
          <t>Your working BQL query: LTM buybacks / market cap, yearly, per stock on Fund History.</t>
        </is>
      </c>
    </row>
    <row r="23">
      <c r="B23" s="6" t="inlineStr">
        <is>
          <t>CANDIDATES - check column E after a refresh</t>
        </is>
      </c>
      <c r="C23" s="7" t="n"/>
      <c r="D23" s="10" t="inlineStr">
        <is>
          <t>live result</t>
        </is>
      </c>
      <c r="E23" s="10" t="inlineStr">
        <is>
          <t>status</t>
        </is>
      </c>
      <c r="F23" s="7" t="n"/>
    </row>
    <row r="24">
      <c r="B24" s="8" t="inlineStr">
        <is>
          <t>FCF yield (BDP)</t>
        </is>
      </c>
      <c r="C24" s="11" t="inlineStr">
        <is>
          <t>FREE_CASH_FLOW_YIELD</t>
        </is>
      </c>
      <c r="D24" s="12">
        <f>BDP($C$3,$C$24)</f>
        <v/>
      </c>
      <c r="E24" s="13">
        <f>IF(ISNUMBER($D$24),"OK","check field")</f>
        <v/>
      </c>
      <c r="F24" s="2" t="inlineStr">
        <is>
          <t>Came back N/A on the test name - the field exists but may need a different basis. Alternates: CF_FREE_CASH_FLOW_YIELD, FCF_YIELD.</t>
        </is>
      </c>
    </row>
    <row r="25">
      <c r="B25" s="8" t="inlineStr">
        <is>
          <t>Forward EPS (BDP)</t>
        </is>
      </c>
      <c r="C25" s="11" t="inlineStr">
        <is>
          <t>BEST_EPS</t>
        </is>
      </c>
      <c r="D25" s="12">
        <f>BDP($C$3,$C$25,$C$27,TEXT(MOD(Summary!$C$12,100),"00")&amp;"Y")</f>
        <v/>
      </c>
      <c r="E25" s="13">
        <f>IF(ISNUMBER($D$25),"OK","check field")</f>
        <v/>
      </c>
      <c r="F25" s="2" t="inlineStr">
        <is>
          <t>Consensus EPS for year Y via the period override below.</t>
        </is>
      </c>
    </row>
    <row r="26">
      <c r="B26" s="8" t="inlineStr">
        <is>
          <t>Forward DPS (BDP)</t>
        </is>
      </c>
      <c r="C26" s="11" t="inlineStr">
        <is>
          <t>BEST_DPS</t>
        </is>
      </c>
      <c r="D26" s="12">
        <f>BDP($C$3,$C$26,$C$27,TEXT(MOD(Summary!$C$12,100),"00")&amp;"Y")</f>
        <v/>
      </c>
      <c r="E26" s="13">
        <f>IF(ISNUMBER($D$26),"OK","check field")</f>
        <v/>
      </c>
      <c r="F26" s="2" t="inlineStr">
        <is>
          <t>Consensus DPS for year Y - sits beside the model's own number on Fundamentals.</t>
        </is>
      </c>
    </row>
    <row r="27">
      <c r="B27" s="8" t="inlineStr">
        <is>
          <t xml:space="preserve">  forward period override name</t>
        </is>
      </c>
      <c r="C27" s="11" t="inlineStr">
        <is>
          <t>BEST_FPERIOD_OVERRIDE</t>
        </is>
      </c>
      <c r="F27" s="2" t="inlineStr">
        <is>
          <t>e.g. 26Y = fiscal 2026. Alternate: BEST_FPERIOD_OVR.</t>
        </is>
      </c>
    </row>
    <row r="29">
      <c r="B29" s="6" t="inlineStr">
        <is>
          <t>DIVIDEND TYPES THAT COUNT AS CASH  (anything not listed is ignored)</t>
        </is>
      </c>
      <c r="C29" s="7" t="n"/>
      <c r="D29" s="7" t="n"/>
      <c r="E29" s="7" t="n"/>
      <c r="F29" s="10" t="inlineStr">
        <is>
          <t>Seen in your data and EXCLUDED by omission: Spinoff, Bonus, Stock Split, Rights Issue, Entitlement, Omitted, Discontinued - none are cash dividends.</t>
        </is>
      </c>
    </row>
    <row r="30">
      <c r="B30" s="8" t="inlineStr">
        <is>
          <t>Cash type 1</t>
        </is>
      </c>
      <c r="C30" s="4" t="inlineStr">
        <is>
          <t>Final</t>
        </is>
      </c>
      <c r="F30" s="2" t="inlineStr"/>
    </row>
    <row r="31">
      <c r="B31" s="8" t="inlineStr">
        <is>
          <t>Cash type 2</t>
        </is>
      </c>
      <c r="C31" s="4" t="inlineStr">
        <is>
          <t>Interim</t>
        </is>
      </c>
      <c r="F31" s="2" t="inlineStr"/>
    </row>
    <row r="32">
      <c r="B32" s="8" t="inlineStr">
        <is>
          <t>Cash type 3</t>
        </is>
      </c>
      <c r="C32" s="4" t="inlineStr">
        <is>
          <t>Regular Cash</t>
        </is>
      </c>
      <c r="F32" s="2" t="inlineStr"/>
    </row>
    <row r="33">
      <c r="B33" s="8" t="inlineStr">
        <is>
          <t>Cash type 4</t>
        </is>
      </c>
      <c r="C33" s="4" t="inlineStr">
        <is>
          <t>Return of Capital</t>
        </is>
      </c>
      <c r="F33" s="2" t="inlineStr">
        <is>
          <t>Cash to holders - blank this cell to exclude it.</t>
        </is>
      </c>
    </row>
    <row r="34">
      <c r="B34" s="8" t="inlineStr">
        <is>
          <t>Special label</t>
        </is>
      </c>
      <c r="C34" s="4" t="inlineStr">
        <is>
          <t>Special Cash</t>
        </is>
      </c>
      <c r="F34" s="2" t="inlineStr">
        <is>
          <t>Counted only when the specials switch on Summary is Y.</t>
        </is>
      </c>
    </row>
    <row r="36">
      <c r="B36" s="6" t="inlineStr">
        <is>
          <t>LIVE SAMPLE 1 - projections, FULL width (the calendar itself pulls only columns 1-3)</t>
        </is>
      </c>
      <c r="C36" s="7" t="n"/>
      <c r="D36" s="7" t="n"/>
      <c r="E36" s="7" t="n"/>
      <c r="F36" s="7" t="n"/>
    </row>
    <row r="37">
      <c r="C37" s="8">
        <f>BDS($C$3,$C$6,"headers=y","startcol=1","endcol=7","dir=h")</f>
        <v/>
      </c>
    </row>
    <row r="45">
      <c r="B45" s="6" t="inlineStr">
        <is>
          <t>LIVE SAMPLE 2 - dividend history (7 rows: the amount is the 5th)</t>
        </is>
      </c>
      <c r="C45" s="7" t="n"/>
      <c r="D45" s="7" t="n"/>
      <c r="E45" s="7" t="n"/>
      <c r="F45" s="7" t="n"/>
    </row>
    <row r="46">
      <c r="C46" s="8">
        <f>BDS($C$3,$C$7,"headers=y","startcol=1","endcol=7","dir=h","DVD_START_DT",Summary!$C$18,"DVD_END_DT",Summary!$D$18)</f>
        <v/>
      </c>
    </row>
    <row r="55">
      <c r="B55" s="6" t="inlineStr">
        <is>
          <t>YOUR BQL QUERY - reference</t>
        </is>
      </c>
      <c r="C55" s="7" t="n"/>
      <c r="D55" s="7" t="n"/>
      <c r="E55" s="7" t="n"/>
      <c r="F55" s="7" t="n"/>
    </row>
    <row r="56">
      <c r="C56" s="2" t="inlineStr">
        <is>
          <t>'=@BQL.QUERY(AC16&amp;AC17,"showallcols=t, showheaders=f, xlfill=b","cols=10;rows=1")</t>
        </is>
      </c>
    </row>
    <row r="57">
      <c r="C57" s="2" t="inlineStr">
        <is>
          <t>let(#div=dividends(offset=1, status=TBA);#hastba=count(#div().status);) get(groupsort(#div,sortby=#div().ex_date,order=asc)) for(filter(members('HSI Index'),#hastba&gt;0))</t>
        </is>
      </c>
    </row>
    <row r="59">
      <c r="B59" s="2" t="inlineStr">
        <is>
          <t>Leave the space right of both samples clear - they spill as far as they need.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1:G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3" customWidth="1" min="6" max="6"/>
    <col width="78" customWidth="1" min="7" max="7"/>
  </cols>
  <sheetData>
    <row r="1">
      <c r="B1" s="1" t="inlineStr">
        <is>
          <t>HK DIVIDEND FUTURES MODEL - HSI / HSTECH / HSCEI</t>
        </is>
      </c>
    </row>
    <row r="2">
      <c r="B2" s="2" t="inlineStr">
        <is>
          <t>Full-year index dividend points (what has gone ex + what is still to come) against the dividend futures. The year is the contract - there is no monthly ladder.</t>
        </is>
      </c>
    </row>
    <row r="3">
      <c r="B3" s="3" t="inlineStr">
        <is>
          <t>HEALTH</t>
        </is>
      </c>
      <c r="C3" s="14">
        <f>IF(N(HSI!$L$2)=0,"paste quantities + divisor on the HSI tab",IF(ISNUMBER(HSI!$B$3)=FALSE,"divisor missing (HSI B3)",IF(N(HSI!$Y$5)=0,"waiting for prices - refresh on the terminal",IF(ABS(C48-1)&gt;0.02,"UNITS OFF - multiply quantities by ~"&amp;TEXT(C48,"#,##0"),IF(C55&gt;0,"calendar window overflow - widen it",IF(C53&gt;0,C53&amp;" amount(s) TBA - consider overriding","OK"))))))</f>
        <v/>
      </c>
      <c r="D3" s="14">
        <f>IF(N(HSTECH!$L$2)=0,"paste quantities + divisor on the HSTECH tab",IF(ISNUMBER(HSTECH!$B$3)=FALSE,"divisor missing (HSTECH B3)",IF(N(HSTECH!$Y$5)=0,"waiting for prices - refresh on the terminal",IF(ABS(D48-1)&gt;0.02,"UNITS OFF - multiply quantities by ~"&amp;TEXT(D48,"#,##0"),IF(D55&gt;0,"calendar window overflow - widen it",IF(D53&gt;0,D53&amp;" amount(s) TBA - consider overriding","OK"))))))</f>
        <v/>
      </c>
      <c r="E3" s="14">
        <f>IF(N(HSCEI!$L$2)=0,"paste quantities + divisor on the HSCEI tab",IF(ISNUMBER(HSCEI!$B$3)=FALSE,"divisor missing (HSCEI B3)",IF(N(HSCEI!$Y$5)=0,"waiting for prices - refresh on the terminal",IF(ABS(E48-1)&gt;0.02,"UNITS OFF - multiply quantities by ~"&amp;TEXT(E48,"#,##0"),IF(E55&gt;0,"calendar window overflow - widen it",IF(E53&gt;0,E53&amp;" amount(s) TBA - consider overriding","OK"))))))</f>
        <v/>
      </c>
      <c r="G3" s="2" t="inlineStr">
        <is>
          <t>&lt;- these three cells always name the next thing to fix. When all three say OK, the model is trustworthy.</t>
        </is>
      </c>
    </row>
    <row r="4">
      <c r="B4" s="6" t="inlineStr">
        <is>
          <t>START HERE</t>
        </is>
      </c>
      <c r="C4" s="7" t="n"/>
      <c r="D4" s="7" t="n"/>
      <c r="E4" s="7" t="n"/>
      <c r="F4" s="7" t="n"/>
      <c r="G4" s="7" t="n"/>
    </row>
    <row r="5">
      <c r="B5" s="15" t="inlineStr">
        <is>
          <t>1</t>
        </is>
      </c>
      <c r="C5" s="16" t="inlineStr">
        <is>
          <t>Paste BASKET QUANTITY into column B and the INDEX DIVISOR into B3 on the HSI, HSTECH and HSCEI tabs (blue cells). Quantity and divisor must be in CONSISTENT units - the SCALE FACTOR row in CHECKS below tells you instantly if they are not, and by how much.</t>
        </is>
      </c>
    </row>
    <row r="6">
      <c r="B6" s="15" t="inlineStr">
        <is>
          <t>2</t>
        </is>
      </c>
      <c r="C6" s="16" t="inlineStr">
        <is>
          <t>Set the control block below, then enter your futures tickers in the MODEL block (or just type the quote you see).</t>
        </is>
      </c>
    </row>
    <row r="7">
      <c r="B7" s="15" t="inlineStr">
        <is>
          <t>3</t>
        </is>
      </c>
      <c r="C7" s="16" t="inlineStr">
        <is>
          <t>On a Bloomberg terminal press Ctrl+Alt+F9 and wait - the first refresh is a few thousand requests. Set 'Pull fundamentals' to N for a fast dividends-only refresh.</t>
        </is>
      </c>
    </row>
    <row r="8">
      <c r="B8" s="15" t="inlineStr">
        <is>
          <t>4</t>
        </is>
      </c>
      <c r="C8" s="16" t="inlineStr">
        <is>
          <t>Read the CHECKS block at the bottom before you quote a gap.</t>
        </is>
      </c>
    </row>
    <row r="10">
      <c r="B10" s="6" t="inlineStr">
        <is>
          <t>CONTROL</t>
        </is>
      </c>
      <c r="C10" s="7" t="n"/>
      <c r="D10" s="7" t="n"/>
      <c r="E10" s="7" t="n"/>
      <c r="F10" s="7" t="n"/>
      <c r="G10" s="7" t="n"/>
    </row>
    <row r="11">
      <c r="B11" s="8" t="inlineStr">
        <is>
          <t>Valuation date</t>
        </is>
      </c>
      <c r="C11" s="17">
        <f>TODAY()</f>
        <v/>
      </c>
      <c r="G11" s="2" t="inlineStr">
        <is>
          <t>Today by default. Type a date to freeze the study.</t>
        </is>
      </c>
    </row>
    <row r="12">
      <c r="B12" s="3" t="inlineStr">
        <is>
          <t>Year (Y) - the futures year</t>
        </is>
      </c>
      <c r="C12" s="18">
        <f>YEAR($C$11)</f>
        <v/>
      </c>
      <c r="G12" s="2" t="inlineStr">
        <is>
          <t>2026 prices the Dec26 contract. 2027 models next year (realized empties, projections fill it). A past year gives the realized outcome.</t>
        </is>
      </c>
    </row>
    <row r="13">
      <c r="B13" s="8" t="inlineStr">
        <is>
          <t>Include special dividends?</t>
        </is>
      </c>
      <c r="C13" s="4" t="inlineStr">
        <is>
          <t>Y</t>
        </is>
      </c>
      <c r="G13" s="2" t="inlineStr">
        <is>
          <t>Applies to REALIZED dividends (history carries a type). Bloomberg projections carry no type, so projected specials cannot be split out - they are always included.</t>
        </is>
      </c>
    </row>
    <row r="14">
      <c r="B14" s="8" t="inlineStr">
        <is>
          <t>RMB cross for CNY dividends</t>
        </is>
      </c>
      <c r="C14" s="4" t="inlineStr">
        <is>
          <t>CNY</t>
        </is>
      </c>
      <c r="G14" s="2" t="inlineStr">
        <is>
          <t>CNY or CNH - which cross converts RMB-declared dividends into HKD.</t>
        </is>
      </c>
    </row>
    <row r="15">
      <c r="B15" s="8" t="inlineStr">
        <is>
          <t>Pending list horizon</t>
        </is>
      </c>
      <c r="C15" s="17">
        <f>DATE($C$12,12,31)</f>
        <v/>
      </c>
      <c r="G15" s="2" t="inlineStr">
        <is>
          <t>Pending shows every event with an ex-date after the valuation date up to here.</t>
        </is>
      </c>
    </row>
    <row r="16">
      <c r="B16" s="8" t="inlineStr">
        <is>
          <t>Pull fundamentals? (Y/N)</t>
        </is>
      </c>
      <c r="C16" s="4" t="inlineStr">
        <is>
          <t>Y</t>
        </is>
      </c>
      <c r="G16" s="2" t="inlineStr">
        <is>
          <t>N blanks the EPS / payout / forward / buyback / leverage requests (~3,500 of them). The dividend model itself never needs them.</t>
        </is>
      </c>
    </row>
    <row r="17">
      <c r="B17" s="8" t="inlineStr">
        <is>
          <t>Overrides</t>
        </is>
      </c>
      <c r="C17" s="19">
        <f>IF(Override!$C$4="ON","ON - "&amp;Override!$E$4&amp;" stock(s) set - the model uses YOUR numbers there.","OFF - pure Bloomberg projections.")</f>
        <v/>
      </c>
      <c r="D17" s="20" t="n"/>
      <c r="E17" s="21" t="n"/>
    </row>
    <row r="18">
      <c r="B18" s="2" t="inlineStr">
        <is>
          <t>History pull window (auto)</t>
        </is>
      </c>
      <c r="C18" s="22">
        <f>TEXT(DATE($C$12-5,1,1),"yyyymmdd")</f>
        <v/>
      </c>
      <c r="D18" s="22">
        <f>TEXT(MAX($C$11,DATE($C$12,12,31)),"yyyymmdd")</f>
        <v/>
      </c>
      <c r="G18" s="2" t="inlineStr">
        <is>
          <t>Five full years before Y plus the year itself - feeds the model and the 5-year fundamentals.</t>
        </is>
      </c>
    </row>
    <row r="20">
      <c r="B20" s="6" t="inlineStr">
        <is>
          <t>MODEL vs FUTURES        (index dividend points for year Y)</t>
        </is>
      </c>
      <c r="C20" s="7" t="n"/>
      <c r="D20" s="7" t="n"/>
      <c r="E20" s="7" t="n"/>
      <c r="F20" s="7" t="n"/>
      <c r="G20" s="7" t="n"/>
    </row>
    <row r="21">
      <c r="C21" s="23" t="inlineStr">
        <is>
          <t>HSI</t>
        </is>
      </c>
      <c r="D21" s="23" t="inlineStr">
        <is>
          <t>HSTECH</t>
        </is>
      </c>
      <c r="E21" s="23" t="inlineStr">
        <is>
          <t>HSCEI</t>
        </is>
      </c>
      <c r="G21" s="2" t="inlineStr">
        <is>
          <t>Points are index points: basket qty x FX-to-HKD x DPS / divisor.</t>
        </is>
      </c>
    </row>
    <row r="22">
      <c r="B22" s="8" t="inlineStr">
        <is>
          <t>Index ticker</t>
        </is>
      </c>
      <c r="C22" s="4" t="inlineStr">
        <is>
          <t>HSI Index</t>
        </is>
      </c>
      <c r="D22" s="4" t="inlineStr">
        <is>
          <t>HSTECH Index</t>
        </is>
      </c>
      <c r="E22" s="4" t="inlineStr">
        <is>
          <t>HSCEI Index</t>
        </is>
      </c>
    </row>
    <row r="23">
      <c r="B23" s="8" t="inlineStr">
        <is>
          <t>Index level</t>
        </is>
      </c>
      <c r="C23" s="24">
        <f>IF($C$22="","",BDP($C$22,"PX_LAST"))</f>
        <v/>
      </c>
      <c r="D23" s="24">
        <f>IF($D$22="","",BDP($D$22,"PX_LAST"))</f>
        <v/>
      </c>
      <c r="E23" s="24">
        <f>IF($E$22="","",BDP($E$22,"PX_LAST"))</f>
        <v/>
      </c>
    </row>
    <row r="25">
      <c r="B25" s="8" t="inlineStr">
        <is>
          <t>Realized so far (pts)</t>
        </is>
      </c>
      <c r="C25" s="25">
        <f>HSI!$O$5</f>
        <v/>
      </c>
      <c r="D25" s="25">
        <f>HSTECH!$O$5</f>
        <v/>
      </c>
      <c r="E25" s="25">
        <f>HSCEI!$O$5</f>
        <v/>
      </c>
      <c r="G25" s="2" t="inlineStr">
        <is>
          <t>Ex-dates from 1 Jan of Y to the valuation date - fact, never overridden. Cash dividend types only (no spinoffs / scrip - see the type list on Field Check).</t>
        </is>
      </c>
    </row>
    <row r="26">
      <c r="B26" s="8" t="inlineStr">
        <is>
          <t>Still to come - Bloomberg (pts)</t>
        </is>
      </c>
      <c r="C26" s="25">
        <f>HSI!$W$5</f>
        <v/>
      </c>
      <c r="D26" s="25">
        <f>HSTECH!$W$5</f>
        <v/>
      </c>
      <c r="E26" s="25">
        <f>HSCEI!$W$5</f>
        <v/>
      </c>
    </row>
    <row r="27">
      <c r="B27" s="8" t="inlineStr">
        <is>
          <t>Still to come - EFFECTIVE (pts)</t>
        </is>
      </c>
      <c r="C27" s="25">
        <f>HSI!$P$5</f>
        <v/>
      </c>
      <c r="D27" s="25">
        <f>HSTECH!$P$5</f>
        <v/>
      </c>
      <c r="E27" s="25">
        <f>HSCEI!$P$5</f>
        <v/>
      </c>
    </row>
    <row r="28">
      <c r="B28" s="26" t="inlineStr">
        <is>
          <t>YEAR TOTAL - base (pts)</t>
        </is>
      </c>
      <c r="C28" s="27">
        <f>HSI!$Q$5</f>
        <v/>
      </c>
      <c r="D28" s="27">
        <f>HSTECH!$Q$5</f>
        <v/>
      </c>
      <c r="E28" s="27">
        <f>HSCEI!$Q$5</f>
        <v/>
      </c>
    </row>
    <row r="29">
      <c r="B29" s="8" t="inlineStr">
        <is>
          <t xml:space="preserve">   your LOW case (pts)</t>
        </is>
      </c>
      <c r="C29" s="25">
        <f>HSI!$R$5</f>
        <v/>
      </c>
      <c r="D29" s="25">
        <f>HSTECH!$R$5</f>
        <v/>
      </c>
      <c r="E29" s="25">
        <f>HSCEI!$R$5</f>
        <v/>
      </c>
    </row>
    <row r="30">
      <c r="B30" s="8" t="inlineStr">
        <is>
          <t xml:space="preserve">   your HIGH case (pts)</t>
        </is>
      </c>
      <c r="C30" s="25">
        <f>HSI!$S$5</f>
        <v/>
      </c>
      <c r="D30" s="25">
        <f>HSTECH!$S$5</f>
        <v/>
      </c>
      <c r="E30" s="25">
        <f>HSCEI!$S$5</f>
        <v/>
      </c>
    </row>
    <row r="31">
      <c r="B31" s="8" t="inlineStr">
        <is>
          <t>Implied index dividend yield</t>
        </is>
      </c>
      <c r="C31" s="28">
        <f>IFERROR(C28/C23,"")</f>
        <v/>
      </c>
      <c r="D31" s="28">
        <f>IFERROR(D28/D23,"")</f>
        <v/>
      </c>
      <c r="E31" s="28">
        <f>IFERROR(E28/E23,"")</f>
        <v/>
      </c>
    </row>
    <row r="33">
      <c r="B33" s="8" t="inlineStr">
        <is>
          <t>Futures ticker</t>
        </is>
      </c>
      <c r="C33" s="4" t="n"/>
      <c r="D33" s="4" t="n"/>
      <c r="E33" s="4" t="n"/>
    </row>
    <row r="34">
      <c r="B34" s="8" t="inlineStr">
        <is>
          <t>Futures price (Bloomberg)</t>
        </is>
      </c>
      <c r="C34" s="25">
        <f>IF($C$33="","",BDP($C$33,"PX_LAST"))</f>
        <v/>
      </c>
      <c r="D34" s="25">
        <f>IF($D$33="","",BDP($D$33,"PX_LAST"))</f>
        <v/>
      </c>
      <c r="E34" s="25">
        <f>IF($E$33="","",BDP($E$33,"PX_LAST"))</f>
        <v/>
      </c>
    </row>
    <row r="35">
      <c r="B35" s="8" t="inlineStr">
        <is>
          <t>Futures quote - type it yourself</t>
        </is>
      </c>
      <c r="C35" s="29" t="n"/>
      <c r="D35" s="29" t="n"/>
      <c r="E35" s="29" t="n"/>
    </row>
    <row r="36">
      <c r="B36" s="8" t="inlineStr">
        <is>
          <t>FUTURES USED</t>
        </is>
      </c>
      <c r="C36" s="30">
        <f>IF(ISNUMBER(C35),C35,IF(ISNUMBER(C34),C34,""))</f>
        <v/>
      </c>
      <c r="D36" s="30">
        <f>IF(ISNUMBER(D35),D35,IF(ISNUMBER(D34),D34,""))</f>
        <v/>
      </c>
      <c r="E36" s="30">
        <f>IF(ISNUMBER(E35),E35,IF(ISNUMBER(E34),E34,""))</f>
        <v/>
      </c>
    </row>
    <row r="37">
      <c r="B37" s="26" t="inlineStr">
        <is>
          <t>GAP  model - futures (pts)</t>
        </is>
      </c>
      <c r="C37" s="31">
        <f>IF(C36="","",C28-C36)</f>
        <v/>
      </c>
      <c r="D37" s="31">
        <f>IF(D36="","",D28-D36)</f>
        <v/>
      </c>
      <c r="E37" s="31">
        <f>IF(E36="","",E28-E36)</f>
        <v/>
      </c>
      <c r="G37" s="2" t="inlineStr">
        <is>
          <t>Positive = your model sees MORE dividends than the futures pay for. Read the TBA line in CHECKS before quoting it.</t>
        </is>
      </c>
    </row>
    <row r="38">
      <c r="B38" s="26" t="inlineStr">
        <is>
          <t>Gap (% of futures)</t>
        </is>
      </c>
      <c r="C38" s="32">
        <f>IF(C36="","",IFERROR(C37/C36,""))</f>
        <v/>
      </c>
      <c r="D38" s="32">
        <f>IF(D36="","",IFERROR(D37/D36,""))</f>
        <v/>
      </c>
      <c r="E38" s="32">
        <f>IF(E36="","",IFERROR(E37/E36,""))</f>
        <v/>
      </c>
    </row>
    <row r="39">
      <c r="B39" s="8" t="inlineStr">
        <is>
          <t>Where the futures sit</t>
        </is>
      </c>
      <c r="C39" s="22">
        <f>IF(C36="","",IF((C36&gt;=C29)*(C36&lt;=C30)&gt;0,"inside your low-high range",IF(C36&lt;C29,"BELOW your low - cheap vs you","ABOVE your high - rich vs you")))</f>
        <v/>
      </c>
      <c r="D39" s="22">
        <f>IF(D36="","",IF((D36&gt;=D29)*(D36&lt;=D30)&gt;0,"inside your low-high range",IF(D36&lt;D29,"BELOW your low - cheap vs you","ABOVE your high - rich vs you")))</f>
        <v/>
      </c>
      <c r="E39" s="22">
        <f>IF(E36="","",IF((E36&gt;=E29)*(E36&lt;=E30)&gt;0,"inside your low-high range",IF(E36&lt;E29,"BELOW your low - cheap vs you","ABOVE your high - rich vs you")))</f>
        <v/>
      </c>
    </row>
    <row r="41">
      <c r="B41" s="6" t="inlineStr">
        <is>
          <t>CHECKS        (read these before trusting the gap)</t>
        </is>
      </c>
      <c r="C41" s="7" t="n"/>
      <c r="D41" s="7" t="n"/>
      <c r="E41" s="7" t="n"/>
      <c r="F41" s="7" t="n"/>
      <c r="G41" s="7" t="n"/>
    </row>
    <row r="42">
      <c r="B42" s="8" t="inlineStr">
        <is>
          <t>Members returned</t>
        </is>
      </c>
      <c r="C42" s="33">
        <f>HSI!$H$2</f>
        <v/>
      </c>
      <c r="D42" s="33">
        <f>HSTECH!$H$2</f>
        <v/>
      </c>
      <c r="E42" s="33">
        <f>HSCEI!$H$2</f>
        <v/>
      </c>
      <c r="G42" s="2" t="inlineStr">
        <is>
          <t>Short of the real membership means the BDS pull was cut off.</t>
        </is>
      </c>
    </row>
    <row r="43">
      <c r="B43" s="8" t="inlineStr">
        <is>
          <t>Basket quantities pasted</t>
        </is>
      </c>
      <c r="C43" s="33">
        <f>HSI!$L$2</f>
        <v/>
      </c>
      <c r="D43" s="33">
        <f>HSTECH!$L$2</f>
        <v/>
      </c>
      <c r="E43" s="33">
        <f>HSCEI!$L$2</f>
        <v/>
      </c>
      <c r="G43" s="2" t="inlineStr">
        <is>
          <t>Should equal members.</t>
        </is>
      </c>
    </row>
    <row r="44">
      <c r="B44" s="8" t="inlineStr">
        <is>
          <t>Members with NO quantity</t>
        </is>
      </c>
      <c r="C44" s="33">
        <f>HSI!$P$2</f>
        <v/>
      </c>
      <c r="D44" s="33">
        <f>HSTECH!$P$2</f>
        <v/>
      </c>
      <c r="E44" s="33">
        <f>HSCEI!$P$2</f>
        <v/>
      </c>
      <c r="G44" s="2" t="inlineStr">
        <is>
          <t>Each one contributes zero points.</t>
        </is>
      </c>
    </row>
    <row r="45">
      <c r="B45" s="8" t="inlineStr">
        <is>
          <t>Divisor entered</t>
        </is>
      </c>
      <c r="C45" s="22">
        <f>IF(ISNUMBER(HSI!$B$3),"OK","MISSING")</f>
        <v/>
      </c>
      <c r="D45" s="22">
        <f>IF(ISNUMBER(HSTECH!$B$3),"OK","MISSING")</f>
        <v/>
      </c>
      <c r="E45" s="22">
        <f>IF(ISNUMBER(HSCEI!$B$3),"OK","MISSING")</f>
        <v/>
      </c>
      <c r="G45" s="2" t="inlineStr">
        <is>
          <t>Without it every points column is blank.</t>
        </is>
      </c>
    </row>
    <row r="46">
      <c r="B46" s="8" t="inlineStr">
        <is>
          <t>Basket value (index pts)</t>
        </is>
      </c>
      <c r="C46" s="25">
        <f>HSI!$Y$5</f>
        <v/>
      </c>
      <c r="D46" s="25">
        <f>HSTECH!$Y$5</f>
        <v/>
      </c>
      <c r="E46" s="25">
        <f>HSCEI!$Y$5</f>
        <v/>
      </c>
      <c r="G46" s="2" t="inlineStr">
        <is>
          <t>SUM of quantity x price / divisor. If your quantities and divisor are the real index ones, this IS the index level.</t>
        </is>
      </c>
    </row>
    <row r="47">
      <c r="B47" s="8" t="inlineStr">
        <is>
          <t>Index level (the comparison)</t>
        </is>
      </c>
      <c r="C47" s="25">
        <f>C23</f>
        <v/>
      </c>
      <c r="D47" s="25">
        <f>D23</f>
        <v/>
      </c>
      <c r="E47" s="25">
        <f>E23</f>
        <v/>
      </c>
    </row>
    <row r="48">
      <c r="B48" s="3" t="inlineStr">
        <is>
          <t>SCALE CHECK - level / basket value</t>
        </is>
      </c>
      <c r="C48" s="27">
        <f>IF(N(HSI!$Y$5)=0,"",C23/HSI!$Y$5)</f>
        <v/>
      </c>
      <c r="D48" s="27">
        <f>IF(N(HSTECH!$Y$5)=0,"",D23/HSTECH!$Y$5)</f>
        <v/>
      </c>
      <c r="E48" s="27">
        <f>IF(N(HSCEI!$Y$5)=0,"",E23/HSCEI!$Y$5)</f>
        <v/>
      </c>
      <c r="G48" s="2" t="inlineStr">
        <is>
          <t>MUST BE 1.00. If it reads 100,000 your quantities are that much too small - multiply them by exactly this number. Fix before reading anything else.</t>
        </is>
      </c>
    </row>
    <row r="49">
      <c r="B49" s="8" t="inlineStr">
        <is>
          <t>Bottom-up 12M yield</t>
        </is>
      </c>
      <c r="C49" s="34">
        <f>IFERROR(HSI!$V$5/C23,"")</f>
        <v/>
      </c>
      <c r="D49" s="34">
        <f>IFERROR(HSTECH!$V$5/D23,"")</f>
        <v/>
      </c>
      <c r="E49" s="34">
        <f>IFERROR(HSCEI!$V$5/E23,"")</f>
        <v/>
      </c>
      <c r="G49" s="2" t="inlineStr">
        <is>
          <t>Trailing 12M dividends of your basket over the index level.</t>
        </is>
      </c>
    </row>
    <row r="50">
      <c r="B50" s="8" t="inlineStr">
        <is>
          <t>Bloomberg index 12M yield</t>
        </is>
      </c>
      <c r="C50" s="34">
        <f>IF($C$22="","",IFERROR(BDP($C$22,"EQY_DVD_YLD_12M")/100,""))</f>
        <v/>
      </c>
      <c r="D50" s="34">
        <f>IF($D$22="","",IFERROR(BDP($D$22,"EQY_DVD_YLD_12M")/100,""))</f>
        <v/>
      </c>
      <c r="E50" s="34">
        <f>IF($E$22="","",IFERROR(BDP($E$22,"EQY_DVD_YLD_12M")/100,""))</f>
        <v/>
      </c>
    </row>
    <row r="51">
      <c r="B51" s="3" t="inlineStr">
        <is>
          <t>THE DIVISOR CHECK - gap (bp)</t>
        </is>
      </c>
      <c r="C51" s="35">
        <f>IF(N(C50)*N(C49)=0,"",(C49-C50)*10000)</f>
        <v/>
      </c>
      <c r="D51" s="35">
        <f>IF(N(D50)*N(D49)=0,"",(D49-D50)*10000)</f>
        <v/>
      </c>
      <c r="E51" s="35">
        <f>IF(N(E50)*N(E49)=0,"",(E49-E50)*10000)</f>
        <v/>
      </c>
      <c r="G51" s="2" t="inlineStr">
        <is>
          <t>Bottom-up minus Bloomberg, once the SCALE CHECK is 1.00.</t>
        </is>
      </c>
    </row>
    <row r="52">
      <c r="B52" s="8" t="inlineStr">
        <is>
          <t>Dividend ratio (BBG / bottom-up)</t>
        </is>
      </c>
      <c r="C52" s="30">
        <f>IF(N(C49)=0,"",C50/C49)</f>
        <v/>
      </c>
      <c r="D52" s="30">
        <f>IF(N(D49)=0,"",D50/D49)</f>
        <v/>
      </c>
      <c r="E52" s="30">
        <f>IF(N(E49)=0,"",E50/E49)</f>
        <v/>
      </c>
      <c r="G52" s="2" t="inlineStr">
        <is>
          <t>Only meaningful once the SCALE CHECK reads 1.00. Then it is a REAL dividend difference - a different member list, specials, or free-float factors - not units.</t>
        </is>
      </c>
    </row>
    <row r="53">
      <c r="B53" s="8" t="inlineStr">
        <is>
          <t>Stocks with an amount still TBA</t>
        </is>
      </c>
      <c r="C53" s="33">
        <f>COUNTIF(HSI!$U$7:$U$106,"TBA amount - override me")</f>
        <v/>
      </c>
      <c r="D53" s="33">
        <f>COUNTIF(HSTECH!$U$7:$U$46,"TBA amount - override me")</f>
        <v/>
      </c>
      <c r="E53" s="33">
        <f>COUNTIF(HSCEI!$U$7:$U$66,"TBA amount - override me")</f>
        <v/>
      </c>
      <c r="G53" s="2" t="inlineStr">
        <is>
          <t>Announced with no amount yet: they add ZERO until you override them.</t>
        </is>
      </c>
    </row>
    <row r="54">
      <c r="B54" s="8" t="inlineStr">
        <is>
          <t>Stocks you have overridden</t>
        </is>
      </c>
      <c r="C54" s="33">
        <f>COUNTIF(HSI!$U$7:$U$106,"overridden")</f>
        <v/>
      </c>
      <c r="D54" s="33">
        <f>COUNTIF(HSTECH!$U$7:$U$46,"overridden")</f>
        <v/>
      </c>
      <c r="E54" s="33">
        <f>COUNTIF(HSCEI!$U$7:$U$66,"overridden")</f>
        <v/>
      </c>
    </row>
    <row r="55">
      <c r="B55" s="8" t="inlineStr">
        <is>
          <t>Events beyond the data window</t>
        </is>
      </c>
      <c r="C55" s="36">
        <f>COUNTA('Dvd Calendar'!$AS$10:$CF$1109)</f>
        <v/>
      </c>
      <c r="D55" s="36">
        <f>COUNTA('Dvd Calendar'!$AS$1115:$CF$1554)</f>
        <v/>
      </c>
      <c r="E55" s="36">
        <f>COUNTA('Dvd Calendar'!$AS$1560:$CF$2219)</f>
        <v/>
      </c>
      <c r="G55" s="2" t="inlineStr">
        <is>
          <t>Must be 0 - otherwise a stock has more events than the calendar window holds (one parameter to widen).</t>
        </is>
      </c>
    </row>
    <row r="56">
      <c r="B56" s="8" t="inlineStr">
        <is>
          <t>Pending list - shown / total</t>
        </is>
      </c>
      <c r="C56" s="37">
        <f>COUNT(Pending!$B$10:$B$309)&amp;" / "&amp;COUNTIFS(Grids!$EE$12:$GQ$111,"&gt;="&amp;PEND_FROM,Grids!$EE$12:$GQ$111,"&lt;"&amp;PEND_TO)</f>
        <v/>
      </c>
      <c r="D56" s="37">
        <f>COUNT(Pending!$B$316:$B$435)&amp;" / "&amp;COUNTIFS(Grids!$EE$116:$GQ$155,"&gt;="&amp;PEND_FROM,Grids!$EE$116:$GQ$155,"&lt;"&amp;PEND_TO)</f>
        <v/>
      </c>
      <c r="E56" s="37">
        <f>COUNT(Pending!$B$442:$B$621)&amp;" / "&amp;COUNTIFS(Grids!$EE$160:$GQ$219,"&gt;="&amp;PEND_FROM,Grids!$EE$160:$GQ$219,"&lt;"&amp;PEND_TO)</f>
        <v/>
      </c>
      <c r="G56" s="2" t="inlineStr">
        <is>
          <t>If these differ the list is truncated; the model still counts them.</t>
        </is>
      </c>
    </row>
  </sheetData>
  <mergeCells count="5">
    <mergeCell ref="C7:G7"/>
    <mergeCell ref="C6:G6"/>
    <mergeCell ref="C5:G5"/>
    <mergeCell ref="C17:E17"/>
    <mergeCell ref="C8:G8"/>
  </mergeCells>
  <dataValidations count="3">
    <dataValidation sqref="C13" showDropDown="0" showInputMessage="0" showErrorMessage="0" allowBlank="0" type="list">
      <formula1>"Y,N"</formula1>
    </dataValidation>
    <dataValidation sqref="C16" showDropDown="0" showInputMessage="0" showErrorMessage="0" allowBlank="0" type="list">
      <formula1>"Y,N"</formula1>
    </dataValidation>
    <dataValidation sqref="C14" showDropDown="0" showInputMessage="0" showErrorMessage="0" allowBlank="0" type="list">
      <formula1>"CNY,CNH"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08E"/>
    <outlinePr summaryBelow="1" summaryRight="1"/>
    <pageSetUpPr/>
  </sheetPr>
  <dimension ref="B1:P62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4" customWidth="1" min="4" max="4"/>
    <col width="11" customWidth="1" min="5" max="5"/>
    <col width="8" customWidth="1" min="6" max="6"/>
    <col width="11" customWidth="1" min="7" max="7"/>
    <col width="11" customWidth="1" min="8" max="8"/>
    <col width="28" customWidth="1" min="9" max="9"/>
    <col width="16" customWidth="1" min="10" max="10"/>
    <col width="3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B1" s="1" t="inlineStr">
        <is>
          <t>PENDING DIVIDENDS - EVERYTHING STILL TO GO EX, SORTED BY DATE</t>
        </is>
      </c>
    </row>
    <row r="2">
      <c r="B2" s="2" t="inlineStr">
        <is>
          <t>Ex-dates after the valuation date, up to the horizon. Amount TBA counts as ZERO until you override that stock.</t>
        </is>
      </c>
    </row>
    <row r="4">
      <c r="B4" s="8" t="inlineStr">
        <is>
          <t>Horizon</t>
        </is>
      </c>
      <c r="C4" s="38">
        <f>HORIZON_DT</f>
        <v/>
      </c>
      <c r="E4" s="2" t="inlineStr">
        <is>
          <t>thresholds -&gt;</t>
        </is>
      </c>
      <c r="F4" s="39">
        <f>(VAL_DATE+1)*1000000000</f>
        <v/>
      </c>
      <c r="H4" s="39">
        <f>(HORIZON_DT+1)*1000000000</f>
        <v/>
      </c>
      <c r="I4" s="2">
        <f>Summary!$C$17</f>
        <v/>
      </c>
    </row>
    <row r="6">
      <c r="B6" s="6" t="inlineStr">
        <is>
          <t>Hang Seng Index (HSI)</t>
        </is>
      </c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B7" s="2" t="inlineStr">
        <is>
          <t>Events pending</t>
        </is>
      </c>
      <c r="C7" s="40">
        <f>COUNTIFS(Grids!$EE$12:$GQ$111,"&gt;="&amp;PEND_FROM,Grids!$EE$12:$GQ$111,"&lt;"&amp;PEND_TO)</f>
        <v/>
      </c>
      <c r="D7" s="5">
        <f>IF($C$7&gt;300,"LIST TRUNCATED - showing the first 300; the model still counts all of them.","all listed below")</f>
        <v/>
      </c>
      <c r="L7" s="2" t="inlineStr">
        <is>
          <t>offset</t>
        </is>
      </c>
      <c r="M7" s="41">
        <f>COUNTIF(Grids!$EE$12:$GQ$111,"&lt;"&amp;PEND_FROM)</f>
        <v/>
      </c>
    </row>
    <row r="9">
      <c r="B9" s="23" t="inlineStr">
        <is>
          <t>Ex-date</t>
        </is>
      </c>
      <c r="C9" s="23" t="inlineStr">
        <is>
          <t>Ticker</t>
        </is>
      </c>
      <c r="D9" s="23" t="inlineStr">
        <is>
          <t>Name</t>
        </is>
      </c>
      <c r="E9" s="23" t="inlineStr">
        <is>
          <t>DPS
(declared ccy)</t>
        </is>
      </c>
      <c r="F9" s="23" t="inlineStr">
        <is>
          <t>CCY</t>
        </is>
      </c>
      <c r="G9" s="23" t="inlineStr">
        <is>
          <t>Index
pts</t>
        </is>
      </c>
      <c r="H9" s="23" t="inlineStr">
        <is>
          <t>Cumulative
pts</t>
        </is>
      </c>
      <c r="I9" s="23" t="inlineStr">
        <is>
          <t>Status</t>
        </is>
      </c>
      <c r="J9" s="23" t="inlineStr">
        <is>
          <t>Your override?</t>
        </is>
      </c>
      <c r="L9" s="2" t="inlineStr">
        <is>
          <t>engine</t>
        </is>
      </c>
    </row>
    <row r="10">
      <c r="B10" s="42">
        <f>IF($L10="","",$M10)</f>
        <v/>
      </c>
      <c r="C10" s="22">
        <f>IF($L10="","",INDEX(HSI!$C$7:$C$106,$N10))</f>
        <v/>
      </c>
      <c r="D10" s="22">
        <f>IF($L10="","",INDEX(HSI!$D$7:$D$106,$N10))</f>
        <v/>
      </c>
      <c r="E10" s="43">
        <f>IF($L10="","",IF($P10=0,"TBA",IFERROR(INDEX(Grids!$C$12:$BO$111,$N10,$O10),"-")))</f>
        <v/>
      </c>
      <c r="F10" s="22">
        <f>IF($L10="","",INDEX(HSI!$F$7:$F$106,$N10))</f>
        <v/>
      </c>
      <c r="G10" s="43">
        <f>IF($L10="","",IF($P10=0,"TBA",IFERROR(INDEX(Grids!$BQ$12:$EC$111,$N10,$O10),"-")))</f>
        <v/>
      </c>
      <c r="H10" s="44">
        <f>IF($L10="","",SUM($G$10:$G10))</f>
        <v/>
      </c>
      <c r="I10" s="45">
        <f>IF($L10="","",IF(INT(($L10-INT($L10/10000000)*10000000)/1000000)=0,"Bloomberg projection",IF($P10=1,"ANNOUNCED","ANNOUNCED - amount TBA")))</f>
        <v/>
      </c>
      <c r="J10" s="46">
        <f>IF($L10="","",IF((OV_SWITCH="ON")*(COUNTIFS(OVR_TICKERS,INDEX(HSI!$C$7:$C$106,$N10),OVR_BASE,"&gt;=0")&gt;0)&gt;0,"stock overridden",""))</f>
        <v/>
      </c>
      <c r="L10" s="39">
        <f>IFERROR(IF(SMALL(Grids!$EE$12:$GQ$111,$M$7+1)&gt;=PEND_TO,"",SMALL(Grids!$EE$12:$GQ$111,$M$7+1)),"")</f>
        <v/>
      </c>
      <c r="M10" s="39">
        <f>IF($L10="","",INT($L10/1000000000))</f>
        <v/>
      </c>
      <c r="N10" s="39">
        <f>IF($L10="","",INT(($L10-INT($L10/1000000)*1000000)/1000))</f>
        <v/>
      </c>
      <c r="O10" s="39">
        <f>IF($L10="","",$L10-INT($L10/1000)*1000)</f>
        <v/>
      </c>
      <c r="P10" s="39">
        <f>IF($L10="","",INT(($L10-INT($L10/1000000000)*1000000000)/100000000))</f>
        <v/>
      </c>
    </row>
    <row r="11">
      <c r="B11" s="42">
        <f>IF($L11="","",$M11)</f>
        <v/>
      </c>
      <c r="C11" s="22">
        <f>IF($L11="","",INDEX(HSI!$C$7:$C$106,$N11))</f>
        <v/>
      </c>
      <c r="D11" s="22">
        <f>IF($L11="","",INDEX(HSI!$D$7:$D$106,$N11))</f>
        <v/>
      </c>
      <c r="E11" s="43">
        <f>IF($L11="","",IF($P11=0,"TBA",IFERROR(INDEX(Grids!$C$12:$BO$111,$N11,$O11),"-")))</f>
        <v/>
      </c>
      <c r="F11" s="22">
        <f>IF($L11="","",INDEX(HSI!$F$7:$F$106,$N11))</f>
        <v/>
      </c>
      <c r="G11" s="43">
        <f>IF($L11="","",IF($P11=0,"TBA",IFERROR(INDEX(Grids!$BQ$12:$EC$111,$N11,$O11),"-")))</f>
        <v/>
      </c>
      <c r="H11" s="44">
        <f>IF($L11="","",SUM($G$10:$G11))</f>
        <v/>
      </c>
      <c r="I11" s="45">
        <f>IF($L11="","",IF(INT(($L11-INT($L11/10000000)*10000000)/1000000)=0,"Bloomberg projection",IF($P11=1,"ANNOUNCED","ANNOUNCED - amount TBA")))</f>
        <v/>
      </c>
      <c r="J11" s="46">
        <f>IF($L11="","",IF((OV_SWITCH="ON")*(COUNTIFS(OVR_TICKERS,INDEX(HSI!$C$7:$C$106,$N11),OVR_BASE,"&gt;=0")&gt;0)&gt;0,"stock overridden",""))</f>
        <v/>
      </c>
      <c r="L11" s="39">
        <f>IFERROR(IF(SMALL(Grids!$EE$12:$GQ$111,$M$7+2)&gt;=PEND_TO,"",SMALL(Grids!$EE$12:$GQ$111,$M$7+2)),"")</f>
        <v/>
      </c>
      <c r="M11" s="39">
        <f>IF($L11="","",INT($L11/1000000000))</f>
        <v/>
      </c>
      <c r="N11" s="39">
        <f>IF($L11="","",INT(($L11-INT($L11/1000000)*1000000)/1000))</f>
        <v/>
      </c>
      <c r="O11" s="39">
        <f>IF($L11="","",$L11-INT($L11/1000)*1000)</f>
        <v/>
      </c>
      <c r="P11" s="39">
        <f>IF($L11="","",INT(($L11-INT($L11/1000000000)*1000000000)/100000000))</f>
        <v/>
      </c>
    </row>
    <row r="12">
      <c r="B12" s="42">
        <f>IF($L12="","",$M12)</f>
        <v/>
      </c>
      <c r="C12" s="22">
        <f>IF($L12="","",INDEX(HSI!$C$7:$C$106,$N12))</f>
        <v/>
      </c>
      <c r="D12" s="22">
        <f>IF($L12="","",INDEX(HSI!$D$7:$D$106,$N12))</f>
        <v/>
      </c>
      <c r="E12" s="43">
        <f>IF($L12="","",IF($P12=0,"TBA",IFERROR(INDEX(Grids!$C$12:$BO$111,$N12,$O12),"-")))</f>
        <v/>
      </c>
      <c r="F12" s="22">
        <f>IF($L12="","",INDEX(HSI!$F$7:$F$106,$N12))</f>
        <v/>
      </c>
      <c r="G12" s="43">
        <f>IF($L12="","",IF($P12=0,"TBA",IFERROR(INDEX(Grids!$BQ$12:$EC$111,$N12,$O12),"-")))</f>
        <v/>
      </c>
      <c r="H12" s="44">
        <f>IF($L12="","",SUM($G$10:$G12))</f>
        <v/>
      </c>
      <c r="I12" s="45">
        <f>IF($L12="","",IF(INT(($L12-INT($L12/10000000)*10000000)/1000000)=0,"Bloomberg projection",IF($P12=1,"ANNOUNCED","ANNOUNCED - amount TBA")))</f>
        <v/>
      </c>
      <c r="J12" s="46">
        <f>IF($L12="","",IF((OV_SWITCH="ON")*(COUNTIFS(OVR_TICKERS,INDEX(HSI!$C$7:$C$106,$N12),OVR_BASE,"&gt;=0")&gt;0)&gt;0,"stock overridden",""))</f>
        <v/>
      </c>
      <c r="L12" s="39">
        <f>IFERROR(IF(SMALL(Grids!$EE$12:$GQ$111,$M$7+3)&gt;=PEND_TO,"",SMALL(Grids!$EE$12:$GQ$111,$M$7+3)),"")</f>
        <v/>
      </c>
      <c r="M12" s="39">
        <f>IF($L12="","",INT($L12/1000000000))</f>
        <v/>
      </c>
      <c r="N12" s="39">
        <f>IF($L12="","",INT(($L12-INT($L12/1000000)*1000000)/1000))</f>
        <v/>
      </c>
      <c r="O12" s="39">
        <f>IF($L12="","",$L12-INT($L12/1000)*1000)</f>
        <v/>
      </c>
      <c r="P12" s="39">
        <f>IF($L12="","",INT(($L12-INT($L12/1000000000)*1000000000)/100000000))</f>
        <v/>
      </c>
    </row>
    <row r="13">
      <c r="B13" s="42">
        <f>IF($L13="","",$M13)</f>
        <v/>
      </c>
      <c r="C13" s="22">
        <f>IF($L13="","",INDEX(HSI!$C$7:$C$106,$N13))</f>
        <v/>
      </c>
      <c r="D13" s="22">
        <f>IF($L13="","",INDEX(HSI!$D$7:$D$106,$N13))</f>
        <v/>
      </c>
      <c r="E13" s="43">
        <f>IF($L13="","",IF($P13=0,"TBA",IFERROR(INDEX(Grids!$C$12:$BO$111,$N13,$O13),"-")))</f>
        <v/>
      </c>
      <c r="F13" s="22">
        <f>IF($L13="","",INDEX(HSI!$F$7:$F$106,$N13))</f>
        <v/>
      </c>
      <c r="G13" s="43">
        <f>IF($L13="","",IF($P13=0,"TBA",IFERROR(INDEX(Grids!$BQ$12:$EC$111,$N13,$O13),"-")))</f>
        <v/>
      </c>
      <c r="H13" s="44">
        <f>IF($L13="","",SUM($G$10:$G13))</f>
        <v/>
      </c>
      <c r="I13" s="45">
        <f>IF($L13="","",IF(INT(($L13-INT($L13/10000000)*10000000)/1000000)=0,"Bloomberg projection",IF($P13=1,"ANNOUNCED","ANNOUNCED - amount TBA")))</f>
        <v/>
      </c>
      <c r="J13" s="46">
        <f>IF($L13="","",IF((OV_SWITCH="ON")*(COUNTIFS(OVR_TICKERS,INDEX(HSI!$C$7:$C$106,$N13),OVR_BASE,"&gt;=0")&gt;0)&gt;0,"stock overridden",""))</f>
        <v/>
      </c>
      <c r="L13" s="39">
        <f>IFERROR(IF(SMALL(Grids!$EE$12:$GQ$111,$M$7+4)&gt;=PEND_TO,"",SMALL(Grids!$EE$12:$GQ$111,$M$7+4)),"")</f>
        <v/>
      </c>
      <c r="M13" s="39">
        <f>IF($L13="","",INT($L13/1000000000))</f>
        <v/>
      </c>
      <c r="N13" s="39">
        <f>IF($L13="","",INT(($L13-INT($L13/1000000)*1000000)/1000))</f>
        <v/>
      </c>
      <c r="O13" s="39">
        <f>IF($L13="","",$L13-INT($L13/1000)*1000)</f>
        <v/>
      </c>
      <c r="P13" s="39">
        <f>IF($L13="","",INT(($L13-INT($L13/1000000000)*1000000000)/100000000))</f>
        <v/>
      </c>
    </row>
    <row r="14">
      <c r="B14" s="42">
        <f>IF($L14="","",$M14)</f>
        <v/>
      </c>
      <c r="C14" s="22">
        <f>IF($L14="","",INDEX(HSI!$C$7:$C$106,$N14))</f>
        <v/>
      </c>
      <c r="D14" s="22">
        <f>IF($L14="","",INDEX(HSI!$D$7:$D$106,$N14))</f>
        <v/>
      </c>
      <c r="E14" s="43">
        <f>IF($L14="","",IF($P14=0,"TBA",IFERROR(INDEX(Grids!$C$12:$BO$111,$N14,$O14),"-")))</f>
        <v/>
      </c>
      <c r="F14" s="22">
        <f>IF($L14="","",INDEX(HSI!$F$7:$F$106,$N14))</f>
        <v/>
      </c>
      <c r="G14" s="43">
        <f>IF($L14="","",IF($P14=0,"TBA",IFERROR(INDEX(Grids!$BQ$12:$EC$111,$N14,$O14),"-")))</f>
        <v/>
      </c>
      <c r="H14" s="44">
        <f>IF($L14="","",SUM($G$10:$G14))</f>
        <v/>
      </c>
      <c r="I14" s="45">
        <f>IF($L14="","",IF(INT(($L14-INT($L14/10000000)*10000000)/1000000)=0,"Bloomberg projection",IF($P14=1,"ANNOUNCED","ANNOUNCED - amount TBA")))</f>
        <v/>
      </c>
      <c r="J14" s="46">
        <f>IF($L14="","",IF((OV_SWITCH="ON")*(COUNTIFS(OVR_TICKERS,INDEX(HSI!$C$7:$C$106,$N14),OVR_BASE,"&gt;=0")&gt;0)&gt;0,"stock overridden",""))</f>
        <v/>
      </c>
      <c r="L14" s="39">
        <f>IFERROR(IF(SMALL(Grids!$EE$12:$GQ$111,$M$7+5)&gt;=PEND_TO,"",SMALL(Grids!$EE$12:$GQ$111,$M$7+5)),"")</f>
        <v/>
      </c>
      <c r="M14" s="39">
        <f>IF($L14="","",INT($L14/1000000000))</f>
        <v/>
      </c>
      <c r="N14" s="39">
        <f>IF($L14="","",INT(($L14-INT($L14/1000000)*1000000)/1000))</f>
        <v/>
      </c>
      <c r="O14" s="39">
        <f>IF($L14="","",$L14-INT($L14/1000)*1000)</f>
        <v/>
      </c>
      <c r="P14" s="39">
        <f>IF($L14="","",INT(($L14-INT($L14/1000000000)*1000000000)/100000000))</f>
        <v/>
      </c>
    </row>
    <row r="15">
      <c r="B15" s="42">
        <f>IF($L15="","",$M15)</f>
        <v/>
      </c>
      <c r="C15" s="22">
        <f>IF($L15="","",INDEX(HSI!$C$7:$C$106,$N15))</f>
        <v/>
      </c>
      <c r="D15" s="22">
        <f>IF($L15="","",INDEX(HSI!$D$7:$D$106,$N15))</f>
        <v/>
      </c>
      <c r="E15" s="43">
        <f>IF($L15="","",IF($P15=0,"TBA",IFERROR(INDEX(Grids!$C$12:$BO$111,$N15,$O15),"-")))</f>
        <v/>
      </c>
      <c r="F15" s="22">
        <f>IF($L15="","",INDEX(HSI!$F$7:$F$106,$N15))</f>
        <v/>
      </c>
      <c r="G15" s="43">
        <f>IF($L15="","",IF($P15=0,"TBA",IFERROR(INDEX(Grids!$BQ$12:$EC$111,$N15,$O15),"-")))</f>
        <v/>
      </c>
      <c r="H15" s="44">
        <f>IF($L15="","",SUM($G$10:$G15))</f>
        <v/>
      </c>
      <c r="I15" s="45">
        <f>IF($L15="","",IF(INT(($L15-INT($L15/10000000)*10000000)/1000000)=0,"Bloomberg projection",IF($P15=1,"ANNOUNCED","ANNOUNCED - amount TBA")))</f>
        <v/>
      </c>
      <c r="J15" s="46">
        <f>IF($L15="","",IF((OV_SWITCH="ON")*(COUNTIFS(OVR_TICKERS,INDEX(HSI!$C$7:$C$106,$N15),OVR_BASE,"&gt;=0")&gt;0)&gt;0,"stock overridden",""))</f>
        <v/>
      </c>
      <c r="L15" s="39">
        <f>IFERROR(IF(SMALL(Grids!$EE$12:$GQ$111,$M$7+6)&gt;=PEND_TO,"",SMALL(Grids!$EE$12:$GQ$111,$M$7+6)),"")</f>
        <v/>
      </c>
      <c r="M15" s="39">
        <f>IF($L15="","",INT($L15/1000000000))</f>
        <v/>
      </c>
      <c r="N15" s="39">
        <f>IF($L15="","",INT(($L15-INT($L15/1000000)*1000000)/1000))</f>
        <v/>
      </c>
      <c r="O15" s="39">
        <f>IF($L15="","",$L15-INT($L15/1000)*1000)</f>
        <v/>
      </c>
      <c r="P15" s="39">
        <f>IF($L15="","",INT(($L15-INT($L15/1000000000)*1000000000)/100000000))</f>
        <v/>
      </c>
    </row>
    <row r="16">
      <c r="B16" s="42">
        <f>IF($L16="","",$M16)</f>
        <v/>
      </c>
      <c r="C16" s="22">
        <f>IF($L16="","",INDEX(HSI!$C$7:$C$106,$N16))</f>
        <v/>
      </c>
      <c r="D16" s="22">
        <f>IF($L16="","",INDEX(HSI!$D$7:$D$106,$N16))</f>
        <v/>
      </c>
      <c r="E16" s="43">
        <f>IF($L16="","",IF($P16=0,"TBA",IFERROR(INDEX(Grids!$C$12:$BO$111,$N16,$O16),"-")))</f>
        <v/>
      </c>
      <c r="F16" s="22">
        <f>IF($L16="","",INDEX(HSI!$F$7:$F$106,$N16))</f>
        <v/>
      </c>
      <c r="G16" s="43">
        <f>IF($L16="","",IF($P16=0,"TBA",IFERROR(INDEX(Grids!$BQ$12:$EC$111,$N16,$O16),"-")))</f>
        <v/>
      </c>
      <c r="H16" s="44">
        <f>IF($L16="","",SUM($G$10:$G16))</f>
        <v/>
      </c>
      <c r="I16" s="45">
        <f>IF($L16="","",IF(INT(($L16-INT($L16/10000000)*10000000)/1000000)=0,"Bloomberg projection",IF($P16=1,"ANNOUNCED","ANNOUNCED - amount TBA")))</f>
        <v/>
      </c>
      <c r="J16" s="46">
        <f>IF($L16="","",IF((OV_SWITCH="ON")*(COUNTIFS(OVR_TICKERS,INDEX(HSI!$C$7:$C$106,$N16),OVR_BASE,"&gt;=0")&gt;0)&gt;0,"stock overridden",""))</f>
        <v/>
      </c>
      <c r="L16" s="39">
        <f>IFERROR(IF(SMALL(Grids!$EE$12:$GQ$111,$M$7+7)&gt;=PEND_TO,"",SMALL(Grids!$EE$12:$GQ$111,$M$7+7)),"")</f>
        <v/>
      </c>
      <c r="M16" s="39">
        <f>IF($L16="","",INT($L16/1000000000))</f>
        <v/>
      </c>
      <c r="N16" s="39">
        <f>IF($L16="","",INT(($L16-INT($L16/1000000)*1000000)/1000))</f>
        <v/>
      </c>
      <c r="O16" s="39">
        <f>IF($L16="","",$L16-INT($L16/1000)*1000)</f>
        <v/>
      </c>
      <c r="P16" s="39">
        <f>IF($L16="","",INT(($L16-INT($L16/1000000000)*1000000000)/100000000))</f>
        <v/>
      </c>
    </row>
    <row r="17">
      <c r="B17" s="42">
        <f>IF($L17="","",$M17)</f>
        <v/>
      </c>
      <c r="C17" s="22">
        <f>IF($L17="","",INDEX(HSI!$C$7:$C$106,$N17))</f>
        <v/>
      </c>
      <c r="D17" s="22">
        <f>IF($L17="","",INDEX(HSI!$D$7:$D$106,$N17))</f>
        <v/>
      </c>
      <c r="E17" s="43">
        <f>IF($L17="","",IF($P17=0,"TBA",IFERROR(INDEX(Grids!$C$12:$BO$111,$N17,$O17),"-")))</f>
        <v/>
      </c>
      <c r="F17" s="22">
        <f>IF($L17="","",INDEX(HSI!$F$7:$F$106,$N17))</f>
        <v/>
      </c>
      <c r="G17" s="43">
        <f>IF($L17="","",IF($P17=0,"TBA",IFERROR(INDEX(Grids!$BQ$12:$EC$111,$N17,$O17),"-")))</f>
        <v/>
      </c>
      <c r="H17" s="44">
        <f>IF($L17="","",SUM($G$10:$G17))</f>
        <v/>
      </c>
      <c r="I17" s="45">
        <f>IF($L17="","",IF(INT(($L17-INT($L17/10000000)*10000000)/1000000)=0,"Bloomberg projection",IF($P17=1,"ANNOUNCED","ANNOUNCED - amount TBA")))</f>
        <v/>
      </c>
      <c r="J17" s="46">
        <f>IF($L17="","",IF((OV_SWITCH="ON")*(COUNTIFS(OVR_TICKERS,INDEX(HSI!$C$7:$C$106,$N17),OVR_BASE,"&gt;=0")&gt;0)&gt;0,"stock overridden",""))</f>
        <v/>
      </c>
      <c r="L17" s="39">
        <f>IFERROR(IF(SMALL(Grids!$EE$12:$GQ$111,$M$7+8)&gt;=PEND_TO,"",SMALL(Grids!$EE$12:$GQ$111,$M$7+8)),"")</f>
        <v/>
      </c>
      <c r="M17" s="39">
        <f>IF($L17="","",INT($L17/1000000000))</f>
        <v/>
      </c>
      <c r="N17" s="39">
        <f>IF($L17="","",INT(($L17-INT($L17/1000000)*1000000)/1000))</f>
        <v/>
      </c>
      <c r="O17" s="39">
        <f>IF($L17="","",$L17-INT($L17/1000)*1000)</f>
        <v/>
      </c>
      <c r="P17" s="39">
        <f>IF($L17="","",INT(($L17-INT($L17/1000000000)*1000000000)/100000000))</f>
        <v/>
      </c>
    </row>
    <row r="18">
      <c r="B18" s="42">
        <f>IF($L18="","",$M18)</f>
        <v/>
      </c>
      <c r="C18" s="22">
        <f>IF($L18="","",INDEX(HSI!$C$7:$C$106,$N18))</f>
        <v/>
      </c>
      <c r="D18" s="22">
        <f>IF($L18="","",INDEX(HSI!$D$7:$D$106,$N18))</f>
        <v/>
      </c>
      <c r="E18" s="43">
        <f>IF($L18="","",IF($P18=0,"TBA",IFERROR(INDEX(Grids!$C$12:$BO$111,$N18,$O18),"-")))</f>
        <v/>
      </c>
      <c r="F18" s="22">
        <f>IF($L18="","",INDEX(HSI!$F$7:$F$106,$N18))</f>
        <v/>
      </c>
      <c r="G18" s="43">
        <f>IF($L18="","",IF($P18=0,"TBA",IFERROR(INDEX(Grids!$BQ$12:$EC$111,$N18,$O18),"-")))</f>
        <v/>
      </c>
      <c r="H18" s="44">
        <f>IF($L18="","",SUM($G$10:$G18))</f>
        <v/>
      </c>
      <c r="I18" s="45">
        <f>IF($L18="","",IF(INT(($L18-INT($L18/10000000)*10000000)/1000000)=0,"Bloomberg projection",IF($P18=1,"ANNOUNCED","ANNOUNCED - amount TBA")))</f>
        <v/>
      </c>
      <c r="J18" s="46">
        <f>IF($L18="","",IF((OV_SWITCH="ON")*(COUNTIFS(OVR_TICKERS,INDEX(HSI!$C$7:$C$106,$N18),OVR_BASE,"&gt;=0")&gt;0)&gt;0,"stock overridden",""))</f>
        <v/>
      </c>
      <c r="L18" s="39">
        <f>IFERROR(IF(SMALL(Grids!$EE$12:$GQ$111,$M$7+9)&gt;=PEND_TO,"",SMALL(Grids!$EE$12:$GQ$111,$M$7+9)),"")</f>
        <v/>
      </c>
      <c r="M18" s="39">
        <f>IF($L18="","",INT($L18/1000000000))</f>
        <v/>
      </c>
      <c r="N18" s="39">
        <f>IF($L18="","",INT(($L18-INT($L18/1000000)*1000000)/1000))</f>
        <v/>
      </c>
      <c r="O18" s="39">
        <f>IF($L18="","",$L18-INT($L18/1000)*1000)</f>
        <v/>
      </c>
      <c r="P18" s="39">
        <f>IF($L18="","",INT(($L18-INT($L18/1000000000)*1000000000)/100000000))</f>
        <v/>
      </c>
    </row>
    <row r="19">
      <c r="B19" s="42">
        <f>IF($L19="","",$M19)</f>
        <v/>
      </c>
      <c r="C19" s="22">
        <f>IF($L19="","",INDEX(HSI!$C$7:$C$106,$N19))</f>
        <v/>
      </c>
      <c r="D19" s="22">
        <f>IF($L19="","",INDEX(HSI!$D$7:$D$106,$N19))</f>
        <v/>
      </c>
      <c r="E19" s="43">
        <f>IF($L19="","",IF($P19=0,"TBA",IFERROR(INDEX(Grids!$C$12:$BO$111,$N19,$O19),"-")))</f>
        <v/>
      </c>
      <c r="F19" s="22">
        <f>IF($L19="","",INDEX(HSI!$F$7:$F$106,$N19))</f>
        <v/>
      </c>
      <c r="G19" s="43">
        <f>IF($L19="","",IF($P19=0,"TBA",IFERROR(INDEX(Grids!$BQ$12:$EC$111,$N19,$O19),"-")))</f>
        <v/>
      </c>
      <c r="H19" s="44">
        <f>IF($L19="","",SUM($G$10:$G19))</f>
        <v/>
      </c>
      <c r="I19" s="45">
        <f>IF($L19="","",IF(INT(($L19-INT($L19/10000000)*10000000)/1000000)=0,"Bloomberg projection",IF($P19=1,"ANNOUNCED","ANNOUNCED - amount TBA")))</f>
        <v/>
      </c>
      <c r="J19" s="46">
        <f>IF($L19="","",IF((OV_SWITCH="ON")*(COUNTIFS(OVR_TICKERS,INDEX(HSI!$C$7:$C$106,$N19),OVR_BASE,"&gt;=0")&gt;0)&gt;0,"stock overridden",""))</f>
        <v/>
      </c>
      <c r="L19" s="39">
        <f>IFERROR(IF(SMALL(Grids!$EE$12:$GQ$111,$M$7+10)&gt;=PEND_TO,"",SMALL(Grids!$EE$12:$GQ$111,$M$7+10)),"")</f>
        <v/>
      </c>
      <c r="M19" s="39">
        <f>IF($L19="","",INT($L19/1000000000))</f>
        <v/>
      </c>
      <c r="N19" s="39">
        <f>IF($L19="","",INT(($L19-INT($L19/1000000)*1000000)/1000))</f>
        <v/>
      </c>
      <c r="O19" s="39">
        <f>IF($L19="","",$L19-INT($L19/1000)*1000)</f>
        <v/>
      </c>
      <c r="P19" s="39">
        <f>IF($L19="","",INT(($L19-INT($L19/1000000000)*1000000000)/100000000))</f>
        <v/>
      </c>
    </row>
    <row r="20">
      <c r="B20" s="42">
        <f>IF($L20="","",$M20)</f>
        <v/>
      </c>
      <c r="C20" s="22">
        <f>IF($L20="","",INDEX(HSI!$C$7:$C$106,$N20))</f>
        <v/>
      </c>
      <c r="D20" s="22">
        <f>IF($L20="","",INDEX(HSI!$D$7:$D$106,$N20))</f>
        <v/>
      </c>
      <c r="E20" s="43">
        <f>IF($L20="","",IF($P20=0,"TBA",IFERROR(INDEX(Grids!$C$12:$BO$111,$N20,$O20),"-")))</f>
        <v/>
      </c>
      <c r="F20" s="22">
        <f>IF($L20="","",INDEX(HSI!$F$7:$F$106,$N20))</f>
        <v/>
      </c>
      <c r="G20" s="43">
        <f>IF($L20="","",IF($P20=0,"TBA",IFERROR(INDEX(Grids!$BQ$12:$EC$111,$N20,$O20),"-")))</f>
        <v/>
      </c>
      <c r="H20" s="44">
        <f>IF($L20="","",SUM($G$10:$G20))</f>
        <v/>
      </c>
      <c r="I20" s="45">
        <f>IF($L20="","",IF(INT(($L20-INT($L20/10000000)*10000000)/1000000)=0,"Bloomberg projection",IF($P20=1,"ANNOUNCED","ANNOUNCED - amount TBA")))</f>
        <v/>
      </c>
      <c r="J20" s="46">
        <f>IF($L20="","",IF((OV_SWITCH="ON")*(COUNTIFS(OVR_TICKERS,INDEX(HSI!$C$7:$C$106,$N20),OVR_BASE,"&gt;=0")&gt;0)&gt;0,"stock overridden",""))</f>
        <v/>
      </c>
      <c r="L20" s="39">
        <f>IFERROR(IF(SMALL(Grids!$EE$12:$GQ$111,$M$7+11)&gt;=PEND_TO,"",SMALL(Grids!$EE$12:$GQ$111,$M$7+11)),"")</f>
        <v/>
      </c>
      <c r="M20" s="39">
        <f>IF($L20="","",INT($L20/1000000000))</f>
        <v/>
      </c>
      <c r="N20" s="39">
        <f>IF($L20="","",INT(($L20-INT($L20/1000000)*1000000)/1000))</f>
        <v/>
      </c>
      <c r="O20" s="39">
        <f>IF($L20="","",$L20-INT($L20/1000)*1000)</f>
        <v/>
      </c>
      <c r="P20" s="39">
        <f>IF($L20="","",INT(($L20-INT($L20/1000000000)*1000000000)/100000000))</f>
        <v/>
      </c>
    </row>
    <row r="21">
      <c r="B21" s="42">
        <f>IF($L21="","",$M21)</f>
        <v/>
      </c>
      <c r="C21" s="22">
        <f>IF($L21="","",INDEX(HSI!$C$7:$C$106,$N21))</f>
        <v/>
      </c>
      <c r="D21" s="22">
        <f>IF($L21="","",INDEX(HSI!$D$7:$D$106,$N21))</f>
        <v/>
      </c>
      <c r="E21" s="43">
        <f>IF($L21="","",IF($P21=0,"TBA",IFERROR(INDEX(Grids!$C$12:$BO$111,$N21,$O21),"-")))</f>
        <v/>
      </c>
      <c r="F21" s="22">
        <f>IF($L21="","",INDEX(HSI!$F$7:$F$106,$N21))</f>
        <v/>
      </c>
      <c r="G21" s="43">
        <f>IF($L21="","",IF($P21=0,"TBA",IFERROR(INDEX(Grids!$BQ$12:$EC$111,$N21,$O21),"-")))</f>
        <v/>
      </c>
      <c r="H21" s="44">
        <f>IF($L21="","",SUM($G$10:$G21))</f>
        <v/>
      </c>
      <c r="I21" s="45">
        <f>IF($L21="","",IF(INT(($L21-INT($L21/10000000)*10000000)/1000000)=0,"Bloomberg projection",IF($P21=1,"ANNOUNCED","ANNOUNCED - amount TBA")))</f>
        <v/>
      </c>
      <c r="J21" s="46">
        <f>IF($L21="","",IF((OV_SWITCH="ON")*(COUNTIFS(OVR_TICKERS,INDEX(HSI!$C$7:$C$106,$N21),OVR_BASE,"&gt;=0")&gt;0)&gt;0,"stock overridden",""))</f>
        <v/>
      </c>
      <c r="L21" s="39">
        <f>IFERROR(IF(SMALL(Grids!$EE$12:$GQ$111,$M$7+12)&gt;=PEND_TO,"",SMALL(Grids!$EE$12:$GQ$111,$M$7+12)),"")</f>
        <v/>
      </c>
      <c r="M21" s="39">
        <f>IF($L21="","",INT($L21/1000000000))</f>
        <v/>
      </c>
      <c r="N21" s="39">
        <f>IF($L21="","",INT(($L21-INT($L21/1000000)*1000000)/1000))</f>
        <v/>
      </c>
      <c r="O21" s="39">
        <f>IF($L21="","",$L21-INT($L21/1000)*1000)</f>
        <v/>
      </c>
      <c r="P21" s="39">
        <f>IF($L21="","",INT(($L21-INT($L21/1000000000)*1000000000)/100000000))</f>
        <v/>
      </c>
    </row>
    <row r="22">
      <c r="B22" s="42">
        <f>IF($L22="","",$M22)</f>
        <v/>
      </c>
      <c r="C22" s="22">
        <f>IF($L22="","",INDEX(HSI!$C$7:$C$106,$N22))</f>
        <v/>
      </c>
      <c r="D22" s="22">
        <f>IF($L22="","",INDEX(HSI!$D$7:$D$106,$N22))</f>
        <v/>
      </c>
      <c r="E22" s="43">
        <f>IF($L22="","",IF($P22=0,"TBA",IFERROR(INDEX(Grids!$C$12:$BO$111,$N22,$O22),"-")))</f>
        <v/>
      </c>
      <c r="F22" s="22">
        <f>IF($L22="","",INDEX(HSI!$F$7:$F$106,$N22))</f>
        <v/>
      </c>
      <c r="G22" s="43">
        <f>IF($L22="","",IF($P22=0,"TBA",IFERROR(INDEX(Grids!$BQ$12:$EC$111,$N22,$O22),"-")))</f>
        <v/>
      </c>
      <c r="H22" s="44">
        <f>IF($L22="","",SUM($G$10:$G22))</f>
        <v/>
      </c>
      <c r="I22" s="45">
        <f>IF($L22="","",IF(INT(($L22-INT($L22/10000000)*10000000)/1000000)=0,"Bloomberg projection",IF($P22=1,"ANNOUNCED","ANNOUNCED - amount TBA")))</f>
        <v/>
      </c>
      <c r="J22" s="46">
        <f>IF($L22="","",IF((OV_SWITCH="ON")*(COUNTIFS(OVR_TICKERS,INDEX(HSI!$C$7:$C$106,$N22),OVR_BASE,"&gt;=0")&gt;0)&gt;0,"stock overridden",""))</f>
        <v/>
      </c>
      <c r="L22" s="39">
        <f>IFERROR(IF(SMALL(Grids!$EE$12:$GQ$111,$M$7+13)&gt;=PEND_TO,"",SMALL(Grids!$EE$12:$GQ$111,$M$7+13)),"")</f>
        <v/>
      </c>
      <c r="M22" s="39">
        <f>IF($L22="","",INT($L22/1000000000))</f>
        <v/>
      </c>
      <c r="N22" s="39">
        <f>IF($L22="","",INT(($L22-INT($L22/1000000)*1000000)/1000))</f>
        <v/>
      </c>
      <c r="O22" s="39">
        <f>IF($L22="","",$L22-INT($L22/1000)*1000)</f>
        <v/>
      </c>
      <c r="P22" s="39">
        <f>IF($L22="","",INT(($L22-INT($L22/1000000000)*1000000000)/100000000))</f>
        <v/>
      </c>
    </row>
    <row r="23">
      <c r="B23" s="42">
        <f>IF($L23="","",$M23)</f>
        <v/>
      </c>
      <c r="C23" s="22">
        <f>IF($L23="","",INDEX(HSI!$C$7:$C$106,$N23))</f>
        <v/>
      </c>
      <c r="D23" s="22">
        <f>IF($L23="","",INDEX(HSI!$D$7:$D$106,$N23))</f>
        <v/>
      </c>
      <c r="E23" s="43">
        <f>IF($L23="","",IF($P23=0,"TBA",IFERROR(INDEX(Grids!$C$12:$BO$111,$N23,$O23),"-")))</f>
        <v/>
      </c>
      <c r="F23" s="22">
        <f>IF($L23="","",INDEX(HSI!$F$7:$F$106,$N23))</f>
        <v/>
      </c>
      <c r="G23" s="43">
        <f>IF($L23="","",IF($P23=0,"TBA",IFERROR(INDEX(Grids!$BQ$12:$EC$111,$N23,$O23),"-")))</f>
        <v/>
      </c>
      <c r="H23" s="44">
        <f>IF($L23="","",SUM($G$10:$G23))</f>
        <v/>
      </c>
      <c r="I23" s="45">
        <f>IF($L23="","",IF(INT(($L23-INT($L23/10000000)*10000000)/1000000)=0,"Bloomberg projection",IF($P23=1,"ANNOUNCED","ANNOUNCED - amount TBA")))</f>
        <v/>
      </c>
      <c r="J23" s="46">
        <f>IF($L23="","",IF((OV_SWITCH="ON")*(COUNTIFS(OVR_TICKERS,INDEX(HSI!$C$7:$C$106,$N23),OVR_BASE,"&gt;=0")&gt;0)&gt;0,"stock overridden",""))</f>
        <v/>
      </c>
      <c r="L23" s="39">
        <f>IFERROR(IF(SMALL(Grids!$EE$12:$GQ$111,$M$7+14)&gt;=PEND_TO,"",SMALL(Grids!$EE$12:$GQ$111,$M$7+14)),"")</f>
        <v/>
      </c>
      <c r="M23" s="39">
        <f>IF($L23="","",INT($L23/1000000000))</f>
        <v/>
      </c>
      <c r="N23" s="39">
        <f>IF($L23="","",INT(($L23-INT($L23/1000000)*1000000)/1000))</f>
        <v/>
      </c>
      <c r="O23" s="39">
        <f>IF($L23="","",$L23-INT($L23/1000)*1000)</f>
        <v/>
      </c>
      <c r="P23" s="39">
        <f>IF($L23="","",INT(($L23-INT($L23/1000000000)*1000000000)/100000000))</f>
        <v/>
      </c>
    </row>
    <row r="24">
      <c r="B24" s="42">
        <f>IF($L24="","",$M24)</f>
        <v/>
      </c>
      <c r="C24" s="22">
        <f>IF($L24="","",INDEX(HSI!$C$7:$C$106,$N24))</f>
        <v/>
      </c>
      <c r="D24" s="22">
        <f>IF($L24="","",INDEX(HSI!$D$7:$D$106,$N24))</f>
        <v/>
      </c>
      <c r="E24" s="43">
        <f>IF($L24="","",IF($P24=0,"TBA",IFERROR(INDEX(Grids!$C$12:$BO$111,$N24,$O24),"-")))</f>
        <v/>
      </c>
      <c r="F24" s="22">
        <f>IF($L24="","",INDEX(HSI!$F$7:$F$106,$N24))</f>
        <v/>
      </c>
      <c r="G24" s="43">
        <f>IF($L24="","",IF($P24=0,"TBA",IFERROR(INDEX(Grids!$BQ$12:$EC$111,$N24,$O24),"-")))</f>
        <v/>
      </c>
      <c r="H24" s="44">
        <f>IF($L24="","",SUM($G$10:$G24))</f>
        <v/>
      </c>
      <c r="I24" s="45">
        <f>IF($L24="","",IF(INT(($L24-INT($L24/10000000)*10000000)/1000000)=0,"Bloomberg projection",IF($P24=1,"ANNOUNCED","ANNOUNCED - amount TBA")))</f>
        <v/>
      </c>
      <c r="J24" s="46">
        <f>IF($L24="","",IF((OV_SWITCH="ON")*(COUNTIFS(OVR_TICKERS,INDEX(HSI!$C$7:$C$106,$N24),OVR_BASE,"&gt;=0")&gt;0)&gt;0,"stock overridden",""))</f>
        <v/>
      </c>
      <c r="L24" s="39">
        <f>IFERROR(IF(SMALL(Grids!$EE$12:$GQ$111,$M$7+15)&gt;=PEND_TO,"",SMALL(Grids!$EE$12:$GQ$111,$M$7+15)),"")</f>
        <v/>
      </c>
      <c r="M24" s="39">
        <f>IF($L24="","",INT($L24/1000000000))</f>
        <v/>
      </c>
      <c r="N24" s="39">
        <f>IF($L24="","",INT(($L24-INT($L24/1000000)*1000000)/1000))</f>
        <v/>
      </c>
      <c r="O24" s="39">
        <f>IF($L24="","",$L24-INT($L24/1000)*1000)</f>
        <v/>
      </c>
      <c r="P24" s="39">
        <f>IF($L24="","",INT(($L24-INT($L24/1000000000)*1000000000)/100000000))</f>
        <v/>
      </c>
    </row>
    <row r="25">
      <c r="B25" s="42">
        <f>IF($L25="","",$M25)</f>
        <v/>
      </c>
      <c r="C25" s="22">
        <f>IF($L25="","",INDEX(HSI!$C$7:$C$106,$N25))</f>
        <v/>
      </c>
      <c r="D25" s="22">
        <f>IF($L25="","",INDEX(HSI!$D$7:$D$106,$N25))</f>
        <v/>
      </c>
      <c r="E25" s="43">
        <f>IF($L25="","",IF($P25=0,"TBA",IFERROR(INDEX(Grids!$C$12:$BO$111,$N25,$O25),"-")))</f>
        <v/>
      </c>
      <c r="F25" s="22">
        <f>IF($L25="","",INDEX(HSI!$F$7:$F$106,$N25))</f>
        <v/>
      </c>
      <c r="G25" s="43">
        <f>IF($L25="","",IF($P25=0,"TBA",IFERROR(INDEX(Grids!$BQ$12:$EC$111,$N25,$O25),"-")))</f>
        <v/>
      </c>
      <c r="H25" s="44">
        <f>IF($L25="","",SUM($G$10:$G25))</f>
        <v/>
      </c>
      <c r="I25" s="45">
        <f>IF($L25="","",IF(INT(($L25-INT($L25/10000000)*10000000)/1000000)=0,"Bloomberg projection",IF($P25=1,"ANNOUNCED","ANNOUNCED - amount TBA")))</f>
        <v/>
      </c>
      <c r="J25" s="46">
        <f>IF($L25="","",IF((OV_SWITCH="ON")*(COUNTIFS(OVR_TICKERS,INDEX(HSI!$C$7:$C$106,$N25),OVR_BASE,"&gt;=0")&gt;0)&gt;0,"stock overridden",""))</f>
        <v/>
      </c>
      <c r="L25" s="39">
        <f>IFERROR(IF(SMALL(Grids!$EE$12:$GQ$111,$M$7+16)&gt;=PEND_TO,"",SMALL(Grids!$EE$12:$GQ$111,$M$7+16)),"")</f>
        <v/>
      </c>
      <c r="M25" s="39">
        <f>IF($L25="","",INT($L25/1000000000))</f>
        <v/>
      </c>
      <c r="N25" s="39">
        <f>IF($L25="","",INT(($L25-INT($L25/1000000)*1000000)/1000))</f>
        <v/>
      </c>
      <c r="O25" s="39">
        <f>IF($L25="","",$L25-INT($L25/1000)*1000)</f>
        <v/>
      </c>
      <c r="P25" s="39">
        <f>IF($L25="","",INT(($L25-INT($L25/1000000000)*1000000000)/100000000))</f>
        <v/>
      </c>
    </row>
    <row r="26">
      <c r="B26" s="42">
        <f>IF($L26="","",$M26)</f>
        <v/>
      </c>
      <c r="C26" s="22">
        <f>IF($L26="","",INDEX(HSI!$C$7:$C$106,$N26))</f>
        <v/>
      </c>
      <c r="D26" s="22">
        <f>IF($L26="","",INDEX(HSI!$D$7:$D$106,$N26))</f>
        <v/>
      </c>
      <c r="E26" s="43">
        <f>IF($L26="","",IF($P26=0,"TBA",IFERROR(INDEX(Grids!$C$12:$BO$111,$N26,$O26),"-")))</f>
        <v/>
      </c>
      <c r="F26" s="22">
        <f>IF($L26="","",INDEX(HSI!$F$7:$F$106,$N26))</f>
        <v/>
      </c>
      <c r="G26" s="43">
        <f>IF($L26="","",IF($P26=0,"TBA",IFERROR(INDEX(Grids!$BQ$12:$EC$111,$N26,$O26),"-")))</f>
        <v/>
      </c>
      <c r="H26" s="44">
        <f>IF($L26="","",SUM($G$10:$G26))</f>
        <v/>
      </c>
      <c r="I26" s="45">
        <f>IF($L26="","",IF(INT(($L26-INT($L26/10000000)*10000000)/1000000)=0,"Bloomberg projection",IF($P26=1,"ANNOUNCED","ANNOUNCED - amount TBA")))</f>
        <v/>
      </c>
      <c r="J26" s="46">
        <f>IF($L26="","",IF((OV_SWITCH="ON")*(COUNTIFS(OVR_TICKERS,INDEX(HSI!$C$7:$C$106,$N26),OVR_BASE,"&gt;=0")&gt;0)&gt;0,"stock overridden",""))</f>
        <v/>
      </c>
      <c r="L26" s="39">
        <f>IFERROR(IF(SMALL(Grids!$EE$12:$GQ$111,$M$7+17)&gt;=PEND_TO,"",SMALL(Grids!$EE$12:$GQ$111,$M$7+17)),"")</f>
        <v/>
      </c>
      <c r="M26" s="39">
        <f>IF($L26="","",INT($L26/1000000000))</f>
        <v/>
      </c>
      <c r="N26" s="39">
        <f>IF($L26="","",INT(($L26-INT($L26/1000000)*1000000)/1000))</f>
        <v/>
      </c>
      <c r="O26" s="39">
        <f>IF($L26="","",$L26-INT($L26/1000)*1000)</f>
        <v/>
      </c>
      <c r="P26" s="39">
        <f>IF($L26="","",INT(($L26-INT($L26/1000000000)*1000000000)/100000000))</f>
        <v/>
      </c>
    </row>
    <row r="27">
      <c r="B27" s="42">
        <f>IF($L27="","",$M27)</f>
        <v/>
      </c>
      <c r="C27" s="22">
        <f>IF($L27="","",INDEX(HSI!$C$7:$C$106,$N27))</f>
        <v/>
      </c>
      <c r="D27" s="22">
        <f>IF($L27="","",INDEX(HSI!$D$7:$D$106,$N27))</f>
        <v/>
      </c>
      <c r="E27" s="43">
        <f>IF($L27="","",IF($P27=0,"TBA",IFERROR(INDEX(Grids!$C$12:$BO$111,$N27,$O27),"-")))</f>
        <v/>
      </c>
      <c r="F27" s="22">
        <f>IF($L27="","",INDEX(HSI!$F$7:$F$106,$N27))</f>
        <v/>
      </c>
      <c r="G27" s="43">
        <f>IF($L27="","",IF($P27=0,"TBA",IFERROR(INDEX(Grids!$BQ$12:$EC$111,$N27,$O27),"-")))</f>
        <v/>
      </c>
      <c r="H27" s="44">
        <f>IF($L27="","",SUM($G$10:$G27))</f>
        <v/>
      </c>
      <c r="I27" s="45">
        <f>IF($L27="","",IF(INT(($L27-INT($L27/10000000)*10000000)/1000000)=0,"Bloomberg projection",IF($P27=1,"ANNOUNCED","ANNOUNCED - amount TBA")))</f>
        <v/>
      </c>
      <c r="J27" s="46">
        <f>IF($L27="","",IF((OV_SWITCH="ON")*(COUNTIFS(OVR_TICKERS,INDEX(HSI!$C$7:$C$106,$N27),OVR_BASE,"&gt;=0")&gt;0)&gt;0,"stock overridden",""))</f>
        <v/>
      </c>
      <c r="L27" s="39">
        <f>IFERROR(IF(SMALL(Grids!$EE$12:$GQ$111,$M$7+18)&gt;=PEND_TO,"",SMALL(Grids!$EE$12:$GQ$111,$M$7+18)),"")</f>
        <v/>
      </c>
      <c r="M27" s="39">
        <f>IF($L27="","",INT($L27/1000000000))</f>
        <v/>
      </c>
      <c r="N27" s="39">
        <f>IF($L27="","",INT(($L27-INT($L27/1000000)*1000000)/1000))</f>
        <v/>
      </c>
      <c r="O27" s="39">
        <f>IF($L27="","",$L27-INT($L27/1000)*1000)</f>
        <v/>
      </c>
      <c r="P27" s="39">
        <f>IF($L27="","",INT(($L27-INT($L27/1000000000)*1000000000)/100000000))</f>
        <v/>
      </c>
    </row>
    <row r="28">
      <c r="B28" s="42">
        <f>IF($L28="","",$M28)</f>
        <v/>
      </c>
      <c r="C28" s="22">
        <f>IF($L28="","",INDEX(HSI!$C$7:$C$106,$N28))</f>
        <v/>
      </c>
      <c r="D28" s="22">
        <f>IF($L28="","",INDEX(HSI!$D$7:$D$106,$N28))</f>
        <v/>
      </c>
      <c r="E28" s="43">
        <f>IF($L28="","",IF($P28=0,"TBA",IFERROR(INDEX(Grids!$C$12:$BO$111,$N28,$O28),"-")))</f>
        <v/>
      </c>
      <c r="F28" s="22">
        <f>IF($L28="","",INDEX(HSI!$F$7:$F$106,$N28))</f>
        <v/>
      </c>
      <c r="G28" s="43">
        <f>IF($L28="","",IF($P28=0,"TBA",IFERROR(INDEX(Grids!$BQ$12:$EC$111,$N28,$O28),"-")))</f>
        <v/>
      </c>
      <c r="H28" s="44">
        <f>IF($L28="","",SUM($G$10:$G28))</f>
        <v/>
      </c>
      <c r="I28" s="45">
        <f>IF($L28="","",IF(INT(($L28-INT($L28/10000000)*10000000)/1000000)=0,"Bloomberg projection",IF($P28=1,"ANNOUNCED","ANNOUNCED - amount TBA")))</f>
        <v/>
      </c>
      <c r="J28" s="46">
        <f>IF($L28="","",IF((OV_SWITCH="ON")*(COUNTIFS(OVR_TICKERS,INDEX(HSI!$C$7:$C$106,$N28),OVR_BASE,"&gt;=0")&gt;0)&gt;0,"stock overridden",""))</f>
        <v/>
      </c>
      <c r="L28" s="39">
        <f>IFERROR(IF(SMALL(Grids!$EE$12:$GQ$111,$M$7+19)&gt;=PEND_TO,"",SMALL(Grids!$EE$12:$GQ$111,$M$7+19)),"")</f>
        <v/>
      </c>
      <c r="M28" s="39">
        <f>IF($L28="","",INT($L28/1000000000))</f>
        <v/>
      </c>
      <c r="N28" s="39">
        <f>IF($L28="","",INT(($L28-INT($L28/1000000)*1000000)/1000))</f>
        <v/>
      </c>
      <c r="O28" s="39">
        <f>IF($L28="","",$L28-INT($L28/1000)*1000)</f>
        <v/>
      </c>
      <c r="P28" s="39">
        <f>IF($L28="","",INT(($L28-INT($L28/1000000000)*1000000000)/100000000))</f>
        <v/>
      </c>
    </row>
    <row r="29">
      <c r="B29" s="42">
        <f>IF($L29="","",$M29)</f>
        <v/>
      </c>
      <c r="C29" s="22">
        <f>IF($L29="","",INDEX(HSI!$C$7:$C$106,$N29))</f>
        <v/>
      </c>
      <c r="D29" s="22">
        <f>IF($L29="","",INDEX(HSI!$D$7:$D$106,$N29))</f>
        <v/>
      </c>
      <c r="E29" s="43">
        <f>IF($L29="","",IF($P29=0,"TBA",IFERROR(INDEX(Grids!$C$12:$BO$111,$N29,$O29),"-")))</f>
        <v/>
      </c>
      <c r="F29" s="22">
        <f>IF($L29="","",INDEX(HSI!$F$7:$F$106,$N29))</f>
        <v/>
      </c>
      <c r="G29" s="43">
        <f>IF($L29="","",IF($P29=0,"TBA",IFERROR(INDEX(Grids!$BQ$12:$EC$111,$N29,$O29),"-")))</f>
        <v/>
      </c>
      <c r="H29" s="44">
        <f>IF($L29="","",SUM($G$10:$G29))</f>
        <v/>
      </c>
      <c r="I29" s="45">
        <f>IF($L29="","",IF(INT(($L29-INT($L29/10000000)*10000000)/1000000)=0,"Bloomberg projection",IF($P29=1,"ANNOUNCED","ANNOUNCED - amount TBA")))</f>
        <v/>
      </c>
      <c r="J29" s="46">
        <f>IF($L29="","",IF((OV_SWITCH="ON")*(COUNTIFS(OVR_TICKERS,INDEX(HSI!$C$7:$C$106,$N29),OVR_BASE,"&gt;=0")&gt;0)&gt;0,"stock overridden",""))</f>
        <v/>
      </c>
      <c r="L29" s="39">
        <f>IFERROR(IF(SMALL(Grids!$EE$12:$GQ$111,$M$7+20)&gt;=PEND_TO,"",SMALL(Grids!$EE$12:$GQ$111,$M$7+20)),"")</f>
        <v/>
      </c>
      <c r="M29" s="39">
        <f>IF($L29="","",INT($L29/1000000000))</f>
        <v/>
      </c>
      <c r="N29" s="39">
        <f>IF($L29="","",INT(($L29-INT($L29/1000000)*1000000)/1000))</f>
        <v/>
      </c>
      <c r="O29" s="39">
        <f>IF($L29="","",$L29-INT($L29/1000)*1000)</f>
        <v/>
      </c>
      <c r="P29" s="39">
        <f>IF($L29="","",INT(($L29-INT($L29/1000000000)*1000000000)/100000000))</f>
        <v/>
      </c>
    </row>
    <row r="30">
      <c r="B30" s="42">
        <f>IF($L30="","",$M30)</f>
        <v/>
      </c>
      <c r="C30" s="22">
        <f>IF($L30="","",INDEX(HSI!$C$7:$C$106,$N30))</f>
        <v/>
      </c>
      <c r="D30" s="22">
        <f>IF($L30="","",INDEX(HSI!$D$7:$D$106,$N30))</f>
        <v/>
      </c>
      <c r="E30" s="43">
        <f>IF($L30="","",IF($P30=0,"TBA",IFERROR(INDEX(Grids!$C$12:$BO$111,$N30,$O30),"-")))</f>
        <v/>
      </c>
      <c r="F30" s="22">
        <f>IF($L30="","",INDEX(HSI!$F$7:$F$106,$N30))</f>
        <v/>
      </c>
      <c r="G30" s="43">
        <f>IF($L30="","",IF($P30=0,"TBA",IFERROR(INDEX(Grids!$BQ$12:$EC$111,$N30,$O30),"-")))</f>
        <v/>
      </c>
      <c r="H30" s="44">
        <f>IF($L30="","",SUM($G$10:$G30))</f>
        <v/>
      </c>
      <c r="I30" s="45">
        <f>IF($L30="","",IF(INT(($L30-INT($L30/10000000)*10000000)/1000000)=0,"Bloomberg projection",IF($P30=1,"ANNOUNCED","ANNOUNCED - amount TBA")))</f>
        <v/>
      </c>
      <c r="J30" s="46">
        <f>IF($L30="","",IF((OV_SWITCH="ON")*(COUNTIFS(OVR_TICKERS,INDEX(HSI!$C$7:$C$106,$N30),OVR_BASE,"&gt;=0")&gt;0)&gt;0,"stock overridden",""))</f>
        <v/>
      </c>
      <c r="L30" s="39">
        <f>IFERROR(IF(SMALL(Grids!$EE$12:$GQ$111,$M$7+21)&gt;=PEND_TO,"",SMALL(Grids!$EE$12:$GQ$111,$M$7+21)),"")</f>
        <v/>
      </c>
      <c r="M30" s="39">
        <f>IF($L30="","",INT($L30/1000000000))</f>
        <v/>
      </c>
      <c r="N30" s="39">
        <f>IF($L30="","",INT(($L30-INT($L30/1000000)*1000000)/1000))</f>
        <v/>
      </c>
      <c r="O30" s="39">
        <f>IF($L30="","",$L30-INT($L30/1000)*1000)</f>
        <v/>
      </c>
      <c r="P30" s="39">
        <f>IF($L30="","",INT(($L30-INT($L30/1000000000)*1000000000)/100000000))</f>
        <v/>
      </c>
    </row>
    <row r="31">
      <c r="B31" s="42">
        <f>IF($L31="","",$M31)</f>
        <v/>
      </c>
      <c r="C31" s="22">
        <f>IF($L31="","",INDEX(HSI!$C$7:$C$106,$N31))</f>
        <v/>
      </c>
      <c r="D31" s="22">
        <f>IF($L31="","",INDEX(HSI!$D$7:$D$106,$N31))</f>
        <v/>
      </c>
      <c r="E31" s="43">
        <f>IF($L31="","",IF($P31=0,"TBA",IFERROR(INDEX(Grids!$C$12:$BO$111,$N31,$O31),"-")))</f>
        <v/>
      </c>
      <c r="F31" s="22">
        <f>IF($L31="","",INDEX(HSI!$F$7:$F$106,$N31))</f>
        <v/>
      </c>
      <c r="G31" s="43">
        <f>IF($L31="","",IF($P31=0,"TBA",IFERROR(INDEX(Grids!$BQ$12:$EC$111,$N31,$O31),"-")))</f>
        <v/>
      </c>
      <c r="H31" s="44">
        <f>IF($L31="","",SUM($G$10:$G31))</f>
        <v/>
      </c>
      <c r="I31" s="45">
        <f>IF($L31="","",IF(INT(($L31-INT($L31/10000000)*10000000)/1000000)=0,"Bloomberg projection",IF($P31=1,"ANNOUNCED","ANNOUNCED - amount TBA")))</f>
        <v/>
      </c>
      <c r="J31" s="46">
        <f>IF($L31="","",IF((OV_SWITCH="ON")*(COUNTIFS(OVR_TICKERS,INDEX(HSI!$C$7:$C$106,$N31),OVR_BASE,"&gt;=0")&gt;0)&gt;0,"stock overridden",""))</f>
        <v/>
      </c>
      <c r="L31" s="39">
        <f>IFERROR(IF(SMALL(Grids!$EE$12:$GQ$111,$M$7+22)&gt;=PEND_TO,"",SMALL(Grids!$EE$12:$GQ$111,$M$7+22)),"")</f>
        <v/>
      </c>
      <c r="M31" s="39">
        <f>IF($L31="","",INT($L31/1000000000))</f>
        <v/>
      </c>
      <c r="N31" s="39">
        <f>IF($L31="","",INT(($L31-INT($L31/1000000)*1000000)/1000))</f>
        <v/>
      </c>
      <c r="O31" s="39">
        <f>IF($L31="","",$L31-INT($L31/1000)*1000)</f>
        <v/>
      </c>
      <c r="P31" s="39">
        <f>IF($L31="","",INT(($L31-INT($L31/1000000000)*1000000000)/100000000))</f>
        <v/>
      </c>
    </row>
    <row r="32">
      <c r="B32" s="42">
        <f>IF($L32="","",$M32)</f>
        <v/>
      </c>
      <c r="C32" s="22">
        <f>IF($L32="","",INDEX(HSI!$C$7:$C$106,$N32))</f>
        <v/>
      </c>
      <c r="D32" s="22">
        <f>IF($L32="","",INDEX(HSI!$D$7:$D$106,$N32))</f>
        <v/>
      </c>
      <c r="E32" s="43">
        <f>IF($L32="","",IF($P32=0,"TBA",IFERROR(INDEX(Grids!$C$12:$BO$111,$N32,$O32),"-")))</f>
        <v/>
      </c>
      <c r="F32" s="22">
        <f>IF($L32="","",INDEX(HSI!$F$7:$F$106,$N32))</f>
        <v/>
      </c>
      <c r="G32" s="43">
        <f>IF($L32="","",IF($P32=0,"TBA",IFERROR(INDEX(Grids!$BQ$12:$EC$111,$N32,$O32),"-")))</f>
        <v/>
      </c>
      <c r="H32" s="44">
        <f>IF($L32="","",SUM($G$10:$G32))</f>
        <v/>
      </c>
      <c r="I32" s="45">
        <f>IF($L32="","",IF(INT(($L32-INT($L32/10000000)*10000000)/1000000)=0,"Bloomberg projection",IF($P32=1,"ANNOUNCED","ANNOUNCED - amount TBA")))</f>
        <v/>
      </c>
      <c r="J32" s="46">
        <f>IF($L32="","",IF((OV_SWITCH="ON")*(COUNTIFS(OVR_TICKERS,INDEX(HSI!$C$7:$C$106,$N32),OVR_BASE,"&gt;=0")&gt;0)&gt;0,"stock overridden",""))</f>
        <v/>
      </c>
      <c r="L32" s="39">
        <f>IFERROR(IF(SMALL(Grids!$EE$12:$GQ$111,$M$7+23)&gt;=PEND_TO,"",SMALL(Grids!$EE$12:$GQ$111,$M$7+23)),"")</f>
        <v/>
      </c>
      <c r="M32" s="39">
        <f>IF($L32="","",INT($L32/1000000000))</f>
        <v/>
      </c>
      <c r="N32" s="39">
        <f>IF($L32="","",INT(($L32-INT($L32/1000000)*1000000)/1000))</f>
        <v/>
      </c>
      <c r="O32" s="39">
        <f>IF($L32="","",$L32-INT($L32/1000)*1000)</f>
        <v/>
      </c>
      <c r="P32" s="39">
        <f>IF($L32="","",INT(($L32-INT($L32/1000000000)*1000000000)/100000000))</f>
        <v/>
      </c>
    </row>
    <row r="33">
      <c r="B33" s="42">
        <f>IF($L33="","",$M33)</f>
        <v/>
      </c>
      <c r="C33" s="22">
        <f>IF($L33="","",INDEX(HSI!$C$7:$C$106,$N33))</f>
        <v/>
      </c>
      <c r="D33" s="22">
        <f>IF($L33="","",INDEX(HSI!$D$7:$D$106,$N33))</f>
        <v/>
      </c>
      <c r="E33" s="43">
        <f>IF($L33="","",IF($P33=0,"TBA",IFERROR(INDEX(Grids!$C$12:$BO$111,$N33,$O33),"-")))</f>
        <v/>
      </c>
      <c r="F33" s="22">
        <f>IF($L33="","",INDEX(HSI!$F$7:$F$106,$N33))</f>
        <v/>
      </c>
      <c r="G33" s="43">
        <f>IF($L33="","",IF($P33=0,"TBA",IFERROR(INDEX(Grids!$BQ$12:$EC$111,$N33,$O33),"-")))</f>
        <v/>
      </c>
      <c r="H33" s="44">
        <f>IF($L33="","",SUM($G$10:$G33))</f>
        <v/>
      </c>
      <c r="I33" s="45">
        <f>IF($L33="","",IF(INT(($L33-INT($L33/10000000)*10000000)/1000000)=0,"Bloomberg projection",IF($P33=1,"ANNOUNCED","ANNOUNCED - amount TBA")))</f>
        <v/>
      </c>
      <c r="J33" s="46">
        <f>IF($L33="","",IF((OV_SWITCH="ON")*(COUNTIFS(OVR_TICKERS,INDEX(HSI!$C$7:$C$106,$N33),OVR_BASE,"&gt;=0")&gt;0)&gt;0,"stock overridden",""))</f>
        <v/>
      </c>
      <c r="L33" s="39">
        <f>IFERROR(IF(SMALL(Grids!$EE$12:$GQ$111,$M$7+24)&gt;=PEND_TO,"",SMALL(Grids!$EE$12:$GQ$111,$M$7+24)),"")</f>
        <v/>
      </c>
      <c r="M33" s="39">
        <f>IF($L33="","",INT($L33/1000000000))</f>
        <v/>
      </c>
      <c r="N33" s="39">
        <f>IF($L33="","",INT(($L33-INT($L33/1000000)*1000000)/1000))</f>
        <v/>
      </c>
      <c r="O33" s="39">
        <f>IF($L33="","",$L33-INT($L33/1000)*1000)</f>
        <v/>
      </c>
      <c r="P33" s="39">
        <f>IF($L33="","",INT(($L33-INT($L33/1000000000)*1000000000)/100000000))</f>
        <v/>
      </c>
    </row>
    <row r="34">
      <c r="B34" s="42">
        <f>IF($L34="","",$M34)</f>
        <v/>
      </c>
      <c r="C34" s="22">
        <f>IF($L34="","",INDEX(HSI!$C$7:$C$106,$N34))</f>
        <v/>
      </c>
      <c r="D34" s="22">
        <f>IF($L34="","",INDEX(HSI!$D$7:$D$106,$N34))</f>
        <v/>
      </c>
      <c r="E34" s="43">
        <f>IF($L34="","",IF($P34=0,"TBA",IFERROR(INDEX(Grids!$C$12:$BO$111,$N34,$O34),"-")))</f>
        <v/>
      </c>
      <c r="F34" s="22">
        <f>IF($L34="","",INDEX(HSI!$F$7:$F$106,$N34))</f>
        <v/>
      </c>
      <c r="G34" s="43">
        <f>IF($L34="","",IF($P34=0,"TBA",IFERROR(INDEX(Grids!$BQ$12:$EC$111,$N34,$O34),"-")))</f>
        <v/>
      </c>
      <c r="H34" s="44">
        <f>IF($L34="","",SUM($G$10:$G34))</f>
        <v/>
      </c>
      <c r="I34" s="45">
        <f>IF($L34="","",IF(INT(($L34-INT($L34/10000000)*10000000)/1000000)=0,"Bloomberg projection",IF($P34=1,"ANNOUNCED","ANNOUNCED - amount TBA")))</f>
        <v/>
      </c>
      <c r="J34" s="46">
        <f>IF($L34="","",IF((OV_SWITCH="ON")*(COUNTIFS(OVR_TICKERS,INDEX(HSI!$C$7:$C$106,$N34),OVR_BASE,"&gt;=0")&gt;0)&gt;0,"stock overridden",""))</f>
        <v/>
      </c>
      <c r="L34" s="39">
        <f>IFERROR(IF(SMALL(Grids!$EE$12:$GQ$111,$M$7+25)&gt;=PEND_TO,"",SMALL(Grids!$EE$12:$GQ$111,$M$7+25)),"")</f>
        <v/>
      </c>
      <c r="M34" s="39">
        <f>IF($L34="","",INT($L34/1000000000))</f>
        <v/>
      </c>
      <c r="N34" s="39">
        <f>IF($L34="","",INT(($L34-INT($L34/1000000)*1000000)/1000))</f>
        <v/>
      </c>
      <c r="O34" s="39">
        <f>IF($L34="","",$L34-INT($L34/1000)*1000)</f>
        <v/>
      </c>
      <c r="P34" s="39">
        <f>IF($L34="","",INT(($L34-INT($L34/1000000000)*1000000000)/100000000))</f>
        <v/>
      </c>
    </row>
    <row r="35">
      <c r="B35" s="42">
        <f>IF($L35="","",$M35)</f>
        <v/>
      </c>
      <c r="C35" s="22">
        <f>IF($L35="","",INDEX(HSI!$C$7:$C$106,$N35))</f>
        <v/>
      </c>
      <c r="D35" s="22">
        <f>IF($L35="","",INDEX(HSI!$D$7:$D$106,$N35))</f>
        <v/>
      </c>
      <c r="E35" s="43">
        <f>IF($L35="","",IF($P35=0,"TBA",IFERROR(INDEX(Grids!$C$12:$BO$111,$N35,$O35),"-")))</f>
        <v/>
      </c>
      <c r="F35" s="22">
        <f>IF($L35="","",INDEX(HSI!$F$7:$F$106,$N35))</f>
        <v/>
      </c>
      <c r="G35" s="43">
        <f>IF($L35="","",IF($P35=0,"TBA",IFERROR(INDEX(Grids!$BQ$12:$EC$111,$N35,$O35),"-")))</f>
        <v/>
      </c>
      <c r="H35" s="44">
        <f>IF($L35="","",SUM($G$10:$G35))</f>
        <v/>
      </c>
      <c r="I35" s="45">
        <f>IF($L35="","",IF(INT(($L35-INT($L35/10000000)*10000000)/1000000)=0,"Bloomberg projection",IF($P35=1,"ANNOUNCED","ANNOUNCED - amount TBA")))</f>
        <v/>
      </c>
      <c r="J35" s="46">
        <f>IF($L35="","",IF((OV_SWITCH="ON")*(COUNTIFS(OVR_TICKERS,INDEX(HSI!$C$7:$C$106,$N35),OVR_BASE,"&gt;=0")&gt;0)&gt;0,"stock overridden",""))</f>
        <v/>
      </c>
      <c r="L35" s="39">
        <f>IFERROR(IF(SMALL(Grids!$EE$12:$GQ$111,$M$7+26)&gt;=PEND_TO,"",SMALL(Grids!$EE$12:$GQ$111,$M$7+26)),"")</f>
        <v/>
      </c>
      <c r="M35" s="39">
        <f>IF($L35="","",INT($L35/1000000000))</f>
        <v/>
      </c>
      <c r="N35" s="39">
        <f>IF($L35="","",INT(($L35-INT($L35/1000000)*1000000)/1000))</f>
        <v/>
      </c>
      <c r="O35" s="39">
        <f>IF($L35="","",$L35-INT($L35/1000)*1000)</f>
        <v/>
      </c>
      <c r="P35" s="39">
        <f>IF($L35="","",INT(($L35-INT($L35/1000000000)*1000000000)/100000000))</f>
        <v/>
      </c>
    </row>
    <row r="36">
      <c r="B36" s="42">
        <f>IF($L36="","",$M36)</f>
        <v/>
      </c>
      <c r="C36" s="22">
        <f>IF($L36="","",INDEX(HSI!$C$7:$C$106,$N36))</f>
        <v/>
      </c>
      <c r="D36" s="22">
        <f>IF($L36="","",INDEX(HSI!$D$7:$D$106,$N36))</f>
        <v/>
      </c>
      <c r="E36" s="43">
        <f>IF($L36="","",IF($P36=0,"TBA",IFERROR(INDEX(Grids!$C$12:$BO$111,$N36,$O36),"-")))</f>
        <v/>
      </c>
      <c r="F36" s="22">
        <f>IF($L36="","",INDEX(HSI!$F$7:$F$106,$N36))</f>
        <v/>
      </c>
      <c r="G36" s="43">
        <f>IF($L36="","",IF($P36=0,"TBA",IFERROR(INDEX(Grids!$BQ$12:$EC$111,$N36,$O36),"-")))</f>
        <v/>
      </c>
      <c r="H36" s="44">
        <f>IF($L36="","",SUM($G$10:$G36))</f>
        <v/>
      </c>
      <c r="I36" s="45">
        <f>IF($L36="","",IF(INT(($L36-INT($L36/10000000)*10000000)/1000000)=0,"Bloomberg projection",IF($P36=1,"ANNOUNCED","ANNOUNCED - amount TBA")))</f>
        <v/>
      </c>
      <c r="J36" s="46">
        <f>IF($L36="","",IF((OV_SWITCH="ON")*(COUNTIFS(OVR_TICKERS,INDEX(HSI!$C$7:$C$106,$N36),OVR_BASE,"&gt;=0")&gt;0)&gt;0,"stock overridden",""))</f>
        <v/>
      </c>
      <c r="L36" s="39">
        <f>IFERROR(IF(SMALL(Grids!$EE$12:$GQ$111,$M$7+27)&gt;=PEND_TO,"",SMALL(Grids!$EE$12:$GQ$111,$M$7+27)),"")</f>
        <v/>
      </c>
      <c r="M36" s="39">
        <f>IF($L36="","",INT($L36/1000000000))</f>
        <v/>
      </c>
      <c r="N36" s="39">
        <f>IF($L36="","",INT(($L36-INT($L36/1000000)*1000000)/1000))</f>
        <v/>
      </c>
      <c r="O36" s="39">
        <f>IF($L36="","",$L36-INT($L36/1000)*1000)</f>
        <v/>
      </c>
      <c r="P36" s="39">
        <f>IF($L36="","",INT(($L36-INT($L36/1000000000)*1000000000)/100000000))</f>
        <v/>
      </c>
    </row>
    <row r="37">
      <c r="B37" s="42">
        <f>IF($L37="","",$M37)</f>
        <v/>
      </c>
      <c r="C37" s="22">
        <f>IF($L37="","",INDEX(HSI!$C$7:$C$106,$N37))</f>
        <v/>
      </c>
      <c r="D37" s="22">
        <f>IF($L37="","",INDEX(HSI!$D$7:$D$106,$N37))</f>
        <v/>
      </c>
      <c r="E37" s="43">
        <f>IF($L37="","",IF($P37=0,"TBA",IFERROR(INDEX(Grids!$C$12:$BO$111,$N37,$O37),"-")))</f>
        <v/>
      </c>
      <c r="F37" s="22">
        <f>IF($L37="","",INDEX(HSI!$F$7:$F$106,$N37))</f>
        <v/>
      </c>
      <c r="G37" s="43">
        <f>IF($L37="","",IF($P37=0,"TBA",IFERROR(INDEX(Grids!$BQ$12:$EC$111,$N37,$O37),"-")))</f>
        <v/>
      </c>
      <c r="H37" s="44">
        <f>IF($L37="","",SUM($G$10:$G37))</f>
        <v/>
      </c>
      <c r="I37" s="45">
        <f>IF($L37="","",IF(INT(($L37-INT($L37/10000000)*10000000)/1000000)=0,"Bloomberg projection",IF($P37=1,"ANNOUNCED","ANNOUNCED - amount TBA")))</f>
        <v/>
      </c>
      <c r="J37" s="46">
        <f>IF($L37="","",IF((OV_SWITCH="ON")*(COUNTIFS(OVR_TICKERS,INDEX(HSI!$C$7:$C$106,$N37),OVR_BASE,"&gt;=0")&gt;0)&gt;0,"stock overridden",""))</f>
        <v/>
      </c>
      <c r="L37" s="39">
        <f>IFERROR(IF(SMALL(Grids!$EE$12:$GQ$111,$M$7+28)&gt;=PEND_TO,"",SMALL(Grids!$EE$12:$GQ$111,$M$7+28)),"")</f>
        <v/>
      </c>
      <c r="M37" s="39">
        <f>IF($L37="","",INT($L37/1000000000))</f>
        <v/>
      </c>
      <c r="N37" s="39">
        <f>IF($L37="","",INT(($L37-INT($L37/1000000)*1000000)/1000))</f>
        <v/>
      </c>
      <c r="O37" s="39">
        <f>IF($L37="","",$L37-INT($L37/1000)*1000)</f>
        <v/>
      </c>
      <c r="P37" s="39">
        <f>IF($L37="","",INT(($L37-INT($L37/1000000000)*1000000000)/100000000))</f>
        <v/>
      </c>
    </row>
    <row r="38">
      <c r="B38" s="42">
        <f>IF($L38="","",$M38)</f>
        <v/>
      </c>
      <c r="C38" s="22">
        <f>IF($L38="","",INDEX(HSI!$C$7:$C$106,$N38))</f>
        <v/>
      </c>
      <c r="D38" s="22">
        <f>IF($L38="","",INDEX(HSI!$D$7:$D$106,$N38))</f>
        <v/>
      </c>
      <c r="E38" s="43">
        <f>IF($L38="","",IF($P38=0,"TBA",IFERROR(INDEX(Grids!$C$12:$BO$111,$N38,$O38),"-")))</f>
        <v/>
      </c>
      <c r="F38" s="22">
        <f>IF($L38="","",INDEX(HSI!$F$7:$F$106,$N38))</f>
        <v/>
      </c>
      <c r="G38" s="43">
        <f>IF($L38="","",IF($P38=0,"TBA",IFERROR(INDEX(Grids!$BQ$12:$EC$111,$N38,$O38),"-")))</f>
        <v/>
      </c>
      <c r="H38" s="44">
        <f>IF($L38="","",SUM($G$10:$G38))</f>
        <v/>
      </c>
      <c r="I38" s="45">
        <f>IF($L38="","",IF(INT(($L38-INT($L38/10000000)*10000000)/1000000)=0,"Bloomberg projection",IF($P38=1,"ANNOUNCED","ANNOUNCED - amount TBA")))</f>
        <v/>
      </c>
      <c r="J38" s="46">
        <f>IF($L38="","",IF((OV_SWITCH="ON")*(COUNTIFS(OVR_TICKERS,INDEX(HSI!$C$7:$C$106,$N38),OVR_BASE,"&gt;=0")&gt;0)&gt;0,"stock overridden",""))</f>
        <v/>
      </c>
      <c r="L38" s="39">
        <f>IFERROR(IF(SMALL(Grids!$EE$12:$GQ$111,$M$7+29)&gt;=PEND_TO,"",SMALL(Grids!$EE$12:$GQ$111,$M$7+29)),"")</f>
        <v/>
      </c>
      <c r="M38" s="39">
        <f>IF($L38="","",INT($L38/1000000000))</f>
        <v/>
      </c>
      <c r="N38" s="39">
        <f>IF($L38="","",INT(($L38-INT($L38/1000000)*1000000)/1000))</f>
        <v/>
      </c>
      <c r="O38" s="39">
        <f>IF($L38="","",$L38-INT($L38/1000)*1000)</f>
        <v/>
      </c>
      <c r="P38" s="39">
        <f>IF($L38="","",INT(($L38-INT($L38/1000000000)*1000000000)/100000000))</f>
        <v/>
      </c>
    </row>
    <row r="39">
      <c r="B39" s="42">
        <f>IF($L39="","",$M39)</f>
        <v/>
      </c>
      <c r="C39" s="22">
        <f>IF($L39="","",INDEX(HSI!$C$7:$C$106,$N39))</f>
        <v/>
      </c>
      <c r="D39" s="22">
        <f>IF($L39="","",INDEX(HSI!$D$7:$D$106,$N39))</f>
        <v/>
      </c>
      <c r="E39" s="43">
        <f>IF($L39="","",IF($P39=0,"TBA",IFERROR(INDEX(Grids!$C$12:$BO$111,$N39,$O39),"-")))</f>
        <v/>
      </c>
      <c r="F39" s="22">
        <f>IF($L39="","",INDEX(HSI!$F$7:$F$106,$N39))</f>
        <v/>
      </c>
      <c r="G39" s="43">
        <f>IF($L39="","",IF($P39=0,"TBA",IFERROR(INDEX(Grids!$BQ$12:$EC$111,$N39,$O39),"-")))</f>
        <v/>
      </c>
      <c r="H39" s="44">
        <f>IF($L39="","",SUM($G$10:$G39))</f>
        <v/>
      </c>
      <c r="I39" s="45">
        <f>IF($L39="","",IF(INT(($L39-INT($L39/10000000)*10000000)/1000000)=0,"Bloomberg projection",IF($P39=1,"ANNOUNCED","ANNOUNCED - amount TBA")))</f>
        <v/>
      </c>
      <c r="J39" s="46">
        <f>IF($L39="","",IF((OV_SWITCH="ON")*(COUNTIFS(OVR_TICKERS,INDEX(HSI!$C$7:$C$106,$N39),OVR_BASE,"&gt;=0")&gt;0)&gt;0,"stock overridden",""))</f>
        <v/>
      </c>
      <c r="L39" s="39">
        <f>IFERROR(IF(SMALL(Grids!$EE$12:$GQ$111,$M$7+30)&gt;=PEND_TO,"",SMALL(Grids!$EE$12:$GQ$111,$M$7+30)),"")</f>
        <v/>
      </c>
      <c r="M39" s="39">
        <f>IF($L39="","",INT($L39/1000000000))</f>
        <v/>
      </c>
      <c r="N39" s="39">
        <f>IF($L39="","",INT(($L39-INT($L39/1000000)*1000000)/1000))</f>
        <v/>
      </c>
      <c r="O39" s="39">
        <f>IF($L39="","",$L39-INT($L39/1000)*1000)</f>
        <v/>
      </c>
      <c r="P39" s="39">
        <f>IF($L39="","",INT(($L39-INT($L39/1000000000)*1000000000)/100000000))</f>
        <v/>
      </c>
    </row>
    <row r="40">
      <c r="B40" s="42">
        <f>IF($L40="","",$M40)</f>
        <v/>
      </c>
      <c r="C40" s="22">
        <f>IF($L40="","",INDEX(HSI!$C$7:$C$106,$N40))</f>
        <v/>
      </c>
      <c r="D40" s="22">
        <f>IF($L40="","",INDEX(HSI!$D$7:$D$106,$N40))</f>
        <v/>
      </c>
      <c r="E40" s="43">
        <f>IF($L40="","",IF($P40=0,"TBA",IFERROR(INDEX(Grids!$C$12:$BO$111,$N40,$O40),"-")))</f>
        <v/>
      </c>
      <c r="F40" s="22">
        <f>IF($L40="","",INDEX(HSI!$F$7:$F$106,$N40))</f>
        <v/>
      </c>
      <c r="G40" s="43">
        <f>IF($L40="","",IF($P40=0,"TBA",IFERROR(INDEX(Grids!$BQ$12:$EC$111,$N40,$O40),"-")))</f>
        <v/>
      </c>
      <c r="H40" s="44">
        <f>IF($L40="","",SUM($G$10:$G40))</f>
        <v/>
      </c>
      <c r="I40" s="45">
        <f>IF($L40="","",IF(INT(($L40-INT($L40/10000000)*10000000)/1000000)=0,"Bloomberg projection",IF($P40=1,"ANNOUNCED","ANNOUNCED - amount TBA")))</f>
        <v/>
      </c>
      <c r="J40" s="46">
        <f>IF($L40="","",IF((OV_SWITCH="ON")*(COUNTIFS(OVR_TICKERS,INDEX(HSI!$C$7:$C$106,$N40),OVR_BASE,"&gt;=0")&gt;0)&gt;0,"stock overridden",""))</f>
        <v/>
      </c>
      <c r="L40" s="39">
        <f>IFERROR(IF(SMALL(Grids!$EE$12:$GQ$111,$M$7+31)&gt;=PEND_TO,"",SMALL(Grids!$EE$12:$GQ$111,$M$7+31)),"")</f>
        <v/>
      </c>
      <c r="M40" s="39">
        <f>IF($L40="","",INT($L40/1000000000))</f>
        <v/>
      </c>
      <c r="N40" s="39">
        <f>IF($L40="","",INT(($L40-INT($L40/1000000)*1000000)/1000))</f>
        <v/>
      </c>
      <c r="O40" s="39">
        <f>IF($L40="","",$L40-INT($L40/1000)*1000)</f>
        <v/>
      </c>
      <c r="P40" s="39">
        <f>IF($L40="","",INT(($L40-INT($L40/1000000000)*1000000000)/100000000))</f>
        <v/>
      </c>
    </row>
    <row r="41">
      <c r="B41" s="42">
        <f>IF($L41="","",$M41)</f>
        <v/>
      </c>
      <c r="C41" s="22">
        <f>IF($L41="","",INDEX(HSI!$C$7:$C$106,$N41))</f>
        <v/>
      </c>
      <c r="D41" s="22">
        <f>IF($L41="","",INDEX(HSI!$D$7:$D$106,$N41))</f>
        <v/>
      </c>
      <c r="E41" s="43">
        <f>IF($L41="","",IF($P41=0,"TBA",IFERROR(INDEX(Grids!$C$12:$BO$111,$N41,$O41),"-")))</f>
        <v/>
      </c>
      <c r="F41" s="22">
        <f>IF($L41="","",INDEX(HSI!$F$7:$F$106,$N41))</f>
        <v/>
      </c>
      <c r="G41" s="43">
        <f>IF($L41="","",IF($P41=0,"TBA",IFERROR(INDEX(Grids!$BQ$12:$EC$111,$N41,$O41),"-")))</f>
        <v/>
      </c>
      <c r="H41" s="44">
        <f>IF($L41="","",SUM($G$10:$G41))</f>
        <v/>
      </c>
      <c r="I41" s="45">
        <f>IF($L41="","",IF(INT(($L41-INT($L41/10000000)*10000000)/1000000)=0,"Bloomberg projection",IF($P41=1,"ANNOUNCED","ANNOUNCED - amount TBA")))</f>
        <v/>
      </c>
      <c r="J41" s="46">
        <f>IF($L41="","",IF((OV_SWITCH="ON")*(COUNTIFS(OVR_TICKERS,INDEX(HSI!$C$7:$C$106,$N41),OVR_BASE,"&gt;=0")&gt;0)&gt;0,"stock overridden",""))</f>
        <v/>
      </c>
      <c r="L41" s="39">
        <f>IFERROR(IF(SMALL(Grids!$EE$12:$GQ$111,$M$7+32)&gt;=PEND_TO,"",SMALL(Grids!$EE$12:$GQ$111,$M$7+32)),"")</f>
        <v/>
      </c>
      <c r="M41" s="39">
        <f>IF($L41="","",INT($L41/1000000000))</f>
        <v/>
      </c>
      <c r="N41" s="39">
        <f>IF($L41="","",INT(($L41-INT($L41/1000000)*1000000)/1000))</f>
        <v/>
      </c>
      <c r="O41" s="39">
        <f>IF($L41="","",$L41-INT($L41/1000)*1000)</f>
        <v/>
      </c>
      <c r="P41" s="39">
        <f>IF($L41="","",INT(($L41-INT($L41/1000000000)*1000000000)/100000000))</f>
        <v/>
      </c>
    </row>
    <row r="42">
      <c r="B42" s="42">
        <f>IF($L42="","",$M42)</f>
        <v/>
      </c>
      <c r="C42" s="22">
        <f>IF($L42="","",INDEX(HSI!$C$7:$C$106,$N42))</f>
        <v/>
      </c>
      <c r="D42" s="22">
        <f>IF($L42="","",INDEX(HSI!$D$7:$D$106,$N42))</f>
        <v/>
      </c>
      <c r="E42" s="43">
        <f>IF($L42="","",IF($P42=0,"TBA",IFERROR(INDEX(Grids!$C$12:$BO$111,$N42,$O42),"-")))</f>
        <v/>
      </c>
      <c r="F42" s="22">
        <f>IF($L42="","",INDEX(HSI!$F$7:$F$106,$N42))</f>
        <v/>
      </c>
      <c r="G42" s="43">
        <f>IF($L42="","",IF($P42=0,"TBA",IFERROR(INDEX(Grids!$BQ$12:$EC$111,$N42,$O42),"-")))</f>
        <v/>
      </c>
      <c r="H42" s="44">
        <f>IF($L42="","",SUM($G$10:$G42))</f>
        <v/>
      </c>
      <c r="I42" s="45">
        <f>IF($L42="","",IF(INT(($L42-INT($L42/10000000)*10000000)/1000000)=0,"Bloomberg projection",IF($P42=1,"ANNOUNCED","ANNOUNCED - amount TBA")))</f>
        <v/>
      </c>
      <c r="J42" s="46">
        <f>IF($L42="","",IF((OV_SWITCH="ON")*(COUNTIFS(OVR_TICKERS,INDEX(HSI!$C$7:$C$106,$N42),OVR_BASE,"&gt;=0")&gt;0)&gt;0,"stock overridden",""))</f>
        <v/>
      </c>
      <c r="L42" s="39">
        <f>IFERROR(IF(SMALL(Grids!$EE$12:$GQ$111,$M$7+33)&gt;=PEND_TO,"",SMALL(Grids!$EE$12:$GQ$111,$M$7+33)),"")</f>
        <v/>
      </c>
      <c r="M42" s="39">
        <f>IF($L42="","",INT($L42/1000000000))</f>
        <v/>
      </c>
      <c r="N42" s="39">
        <f>IF($L42="","",INT(($L42-INT($L42/1000000)*1000000)/1000))</f>
        <v/>
      </c>
      <c r="O42" s="39">
        <f>IF($L42="","",$L42-INT($L42/1000)*1000)</f>
        <v/>
      </c>
      <c r="P42" s="39">
        <f>IF($L42="","",INT(($L42-INT($L42/1000000000)*1000000000)/100000000))</f>
        <v/>
      </c>
    </row>
    <row r="43">
      <c r="B43" s="42">
        <f>IF($L43="","",$M43)</f>
        <v/>
      </c>
      <c r="C43" s="22">
        <f>IF($L43="","",INDEX(HSI!$C$7:$C$106,$N43))</f>
        <v/>
      </c>
      <c r="D43" s="22">
        <f>IF($L43="","",INDEX(HSI!$D$7:$D$106,$N43))</f>
        <v/>
      </c>
      <c r="E43" s="43">
        <f>IF($L43="","",IF($P43=0,"TBA",IFERROR(INDEX(Grids!$C$12:$BO$111,$N43,$O43),"-")))</f>
        <v/>
      </c>
      <c r="F43" s="22">
        <f>IF($L43="","",INDEX(HSI!$F$7:$F$106,$N43))</f>
        <v/>
      </c>
      <c r="G43" s="43">
        <f>IF($L43="","",IF($P43=0,"TBA",IFERROR(INDEX(Grids!$BQ$12:$EC$111,$N43,$O43),"-")))</f>
        <v/>
      </c>
      <c r="H43" s="44">
        <f>IF($L43="","",SUM($G$10:$G43))</f>
        <v/>
      </c>
      <c r="I43" s="45">
        <f>IF($L43="","",IF(INT(($L43-INT($L43/10000000)*10000000)/1000000)=0,"Bloomberg projection",IF($P43=1,"ANNOUNCED","ANNOUNCED - amount TBA")))</f>
        <v/>
      </c>
      <c r="J43" s="46">
        <f>IF($L43="","",IF((OV_SWITCH="ON")*(COUNTIFS(OVR_TICKERS,INDEX(HSI!$C$7:$C$106,$N43),OVR_BASE,"&gt;=0")&gt;0)&gt;0,"stock overridden",""))</f>
        <v/>
      </c>
      <c r="L43" s="39">
        <f>IFERROR(IF(SMALL(Grids!$EE$12:$GQ$111,$M$7+34)&gt;=PEND_TO,"",SMALL(Grids!$EE$12:$GQ$111,$M$7+34)),"")</f>
        <v/>
      </c>
      <c r="M43" s="39">
        <f>IF($L43="","",INT($L43/1000000000))</f>
        <v/>
      </c>
      <c r="N43" s="39">
        <f>IF($L43="","",INT(($L43-INT($L43/1000000)*1000000)/1000))</f>
        <v/>
      </c>
      <c r="O43" s="39">
        <f>IF($L43="","",$L43-INT($L43/1000)*1000)</f>
        <v/>
      </c>
      <c r="P43" s="39">
        <f>IF($L43="","",INT(($L43-INT($L43/1000000000)*1000000000)/100000000))</f>
        <v/>
      </c>
    </row>
    <row r="44">
      <c r="B44" s="42">
        <f>IF($L44="","",$M44)</f>
        <v/>
      </c>
      <c r="C44" s="22">
        <f>IF($L44="","",INDEX(HSI!$C$7:$C$106,$N44))</f>
        <v/>
      </c>
      <c r="D44" s="22">
        <f>IF($L44="","",INDEX(HSI!$D$7:$D$106,$N44))</f>
        <v/>
      </c>
      <c r="E44" s="43">
        <f>IF($L44="","",IF($P44=0,"TBA",IFERROR(INDEX(Grids!$C$12:$BO$111,$N44,$O44),"-")))</f>
        <v/>
      </c>
      <c r="F44" s="22">
        <f>IF($L44="","",INDEX(HSI!$F$7:$F$106,$N44))</f>
        <v/>
      </c>
      <c r="G44" s="43">
        <f>IF($L44="","",IF($P44=0,"TBA",IFERROR(INDEX(Grids!$BQ$12:$EC$111,$N44,$O44),"-")))</f>
        <v/>
      </c>
      <c r="H44" s="44">
        <f>IF($L44="","",SUM($G$10:$G44))</f>
        <v/>
      </c>
      <c r="I44" s="45">
        <f>IF($L44="","",IF(INT(($L44-INT($L44/10000000)*10000000)/1000000)=0,"Bloomberg projection",IF($P44=1,"ANNOUNCED","ANNOUNCED - amount TBA")))</f>
        <v/>
      </c>
      <c r="J44" s="46">
        <f>IF($L44="","",IF((OV_SWITCH="ON")*(COUNTIFS(OVR_TICKERS,INDEX(HSI!$C$7:$C$106,$N44),OVR_BASE,"&gt;=0")&gt;0)&gt;0,"stock overridden",""))</f>
        <v/>
      </c>
      <c r="L44" s="39">
        <f>IFERROR(IF(SMALL(Grids!$EE$12:$GQ$111,$M$7+35)&gt;=PEND_TO,"",SMALL(Grids!$EE$12:$GQ$111,$M$7+35)),"")</f>
        <v/>
      </c>
      <c r="M44" s="39">
        <f>IF($L44="","",INT($L44/1000000000))</f>
        <v/>
      </c>
      <c r="N44" s="39">
        <f>IF($L44="","",INT(($L44-INT($L44/1000000)*1000000)/1000))</f>
        <v/>
      </c>
      <c r="O44" s="39">
        <f>IF($L44="","",$L44-INT($L44/1000)*1000)</f>
        <v/>
      </c>
      <c r="P44" s="39">
        <f>IF($L44="","",INT(($L44-INT($L44/1000000000)*1000000000)/100000000))</f>
        <v/>
      </c>
    </row>
    <row r="45">
      <c r="B45" s="42">
        <f>IF($L45="","",$M45)</f>
        <v/>
      </c>
      <c r="C45" s="22">
        <f>IF($L45="","",INDEX(HSI!$C$7:$C$106,$N45))</f>
        <v/>
      </c>
      <c r="D45" s="22">
        <f>IF($L45="","",INDEX(HSI!$D$7:$D$106,$N45))</f>
        <v/>
      </c>
      <c r="E45" s="43">
        <f>IF($L45="","",IF($P45=0,"TBA",IFERROR(INDEX(Grids!$C$12:$BO$111,$N45,$O45),"-")))</f>
        <v/>
      </c>
      <c r="F45" s="22">
        <f>IF($L45="","",INDEX(HSI!$F$7:$F$106,$N45))</f>
        <v/>
      </c>
      <c r="G45" s="43">
        <f>IF($L45="","",IF($P45=0,"TBA",IFERROR(INDEX(Grids!$BQ$12:$EC$111,$N45,$O45),"-")))</f>
        <v/>
      </c>
      <c r="H45" s="44">
        <f>IF($L45="","",SUM($G$10:$G45))</f>
        <v/>
      </c>
      <c r="I45" s="45">
        <f>IF($L45="","",IF(INT(($L45-INT($L45/10000000)*10000000)/1000000)=0,"Bloomberg projection",IF($P45=1,"ANNOUNCED","ANNOUNCED - amount TBA")))</f>
        <v/>
      </c>
      <c r="J45" s="46">
        <f>IF($L45="","",IF((OV_SWITCH="ON")*(COUNTIFS(OVR_TICKERS,INDEX(HSI!$C$7:$C$106,$N45),OVR_BASE,"&gt;=0")&gt;0)&gt;0,"stock overridden",""))</f>
        <v/>
      </c>
      <c r="L45" s="39">
        <f>IFERROR(IF(SMALL(Grids!$EE$12:$GQ$111,$M$7+36)&gt;=PEND_TO,"",SMALL(Grids!$EE$12:$GQ$111,$M$7+36)),"")</f>
        <v/>
      </c>
      <c r="M45" s="39">
        <f>IF($L45="","",INT($L45/1000000000))</f>
        <v/>
      </c>
      <c r="N45" s="39">
        <f>IF($L45="","",INT(($L45-INT($L45/1000000)*1000000)/1000))</f>
        <v/>
      </c>
      <c r="O45" s="39">
        <f>IF($L45="","",$L45-INT($L45/1000)*1000)</f>
        <v/>
      </c>
      <c r="P45" s="39">
        <f>IF($L45="","",INT(($L45-INT($L45/1000000000)*1000000000)/100000000))</f>
        <v/>
      </c>
    </row>
    <row r="46">
      <c r="B46" s="42">
        <f>IF($L46="","",$M46)</f>
        <v/>
      </c>
      <c r="C46" s="22">
        <f>IF($L46="","",INDEX(HSI!$C$7:$C$106,$N46))</f>
        <v/>
      </c>
      <c r="D46" s="22">
        <f>IF($L46="","",INDEX(HSI!$D$7:$D$106,$N46))</f>
        <v/>
      </c>
      <c r="E46" s="43">
        <f>IF($L46="","",IF($P46=0,"TBA",IFERROR(INDEX(Grids!$C$12:$BO$111,$N46,$O46),"-")))</f>
        <v/>
      </c>
      <c r="F46" s="22">
        <f>IF($L46="","",INDEX(HSI!$F$7:$F$106,$N46))</f>
        <v/>
      </c>
      <c r="G46" s="43">
        <f>IF($L46="","",IF($P46=0,"TBA",IFERROR(INDEX(Grids!$BQ$12:$EC$111,$N46,$O46),"-")))</f>
        <v/>
      </c>
      <c r="H46" s="44">
        <f>IF($L46="","",SUM($G$10:$G46))</f>
        <v/>
      </c>
      <c r="I46" s="45">
        <f>IF($L46="","",IF(INT(($L46-INT($L46/10000000)*10000000)/1000000)=0,"Bloomberg projection",IF($P46=1,"ANNOUNCED","ANNOUNCED - amount TBA")))</f>
        <v/>
      </c>
      <c r="J46" s="46">
        <f>IF($L46="","",IF((OV_SWITCH="ON")*(COUNTIFS(OVR_TICKERS,INDEX(HSI!$C$7:$C$106,$N46),OVR_BASE,"&gt;=0")&gt;0)&gt;0,"stock overridden",""))</f>
        <v/>
      </c>
      <c r="L46" s="39">
        <f>IFERROR(IF(SMALL(Grids!$EE$12:$GQ$111,$M$7+37)&gt;=PEND_TO,"",SMALL(Grids!$EE$12:$GQ$111,$M$7+37)),"")</f>
        <v/>
      </c>
      <c r="M46" s="39">
        <f>IF($L46="","",INT($L46/1000000000))</f>
        <v/>
      </c>
      <c r="N46" s="39">
        <f>IF($L46="","",INT(($L46-INT($L46/1000000)*1000000)/1000))</f>
        <v/>
      </c>
      <c r="O46" s="39">
        <f>IF($L46="","",$L46-INT($L46/1000)*1000)</f>
        <v/>
      </c>
      <c r="P46" s="39">
        <f>IF($L46="","",INT(($L46-INT($L46/1000000000)*1000000000)/100000000))</f>
        <v/>
      </c>
    </row>
    <row r="47">
      <c r="B47" s="42">
        <f>IF($L47="","",$M47)</f>
        <v/>
      </c>
      <c r="C47" s="22">
        <f>IF($L47="","",INDEX(HSI!$C$7:$C$106,$N47))</f>
        <v/>
      </c>
      <c r="D47" s="22">
        <f>IF($L47="","",INDEX(HSI!$D$7:$D$106,$N47))</f>
        <v/>
      </c>
      <c r="E47" s="43">
        <f>IF($L47="","",IF($P47=0,"TBA",IFERROR(INDEX(Grids!$C$12:$BO$111,$N47,$O47),"-")))</f>
        <v/>
      </c>
      <c r="F47" s="22">
        <f>IF($L47="","",INDEX(HSI!$F$7:$F$106,$N47))</f>
        <v/>
      </c>
      <c r="G47" s="43">
        <f>IF($L47="","",IF($P47=0,"TBA",IFERROR(INDEX(Grids!$BQ$12:$EC$111,$N47,$O47),"-")))</f>
        <v/>
      </c>
      <c r="H47" s="44">
        <f>IF($L47="","",SUM($G$10:$G47))</f>
        <v/>
      </c>
      <c r="I47" s="45">
        <f>IF($L47="","",IF(INT(($L47-INT($L47/10000000)*10000000)/1000000)=0,"Bloomberg projection",IF($P47=1,"ANNOUNCED","ANNOUNCED - amount TBA")))</f>
        <v/>
      </c>
      <c r="J47" s="46">
        <f>IF($L47="","",IF((OV_SWITCH="ON")*(COUNTIFS(OVR_TICKERS,INDEX(HSI!$C$7:$C$106,$N47),OVR_BASE,"&gt;=0")&gt;0)&gt;0,"stock overridden",""))</f>
        <v/>
      </c>
      <c r="L47" s="39">
        <f>IFERROR(IF(SMALL(Grids!$EE$12:$GQ$111,$M$7+38)&gt;=PEND_TO,"",SMALL(Grids!$EE$12:$GQ$111,$M$7+38)),"")</f>
        <v/>
      </c>
      <c r="M47" s="39">
        <f>IF($L47="","",INT($L47/1000000000))</f>
        <v/>
      </c>
      <c r="N47" s="39">
        <f>IF($L47="","",INT(($L47-INT($L47/1000000)*1000000)/1000))</f>
        <v/>
      </c>
      <c r="O47" s="39">
        <f>IF($L47="","",$L47-INT($L47/1000)*1000)</f>
        <v/>
      </c>
      <c r="P47" s="39">
        <f>IF($L47="","",INT(($L47-INT($L47/1000000000)*1000000000)/100000000))</f>
        <v/>
      </c>
    </row>
    <row r="48">
      <c r="B48" s="42">
        <f>IF($L48="","",$M48)</f>
        <v/>
      </c>
      <c r="C48" s="22">
        <f>IF($L48="","",INDEX(HSI!$C$7:$C$106,$N48))</f>
        <v/>
      </c>
      <c r="D48" s="22">
        <f>IF($L48="","",INDEX(HSI!$D$7:$D$106,$N48))</f>
        <v/>
      </c>
      <c r="E48" s="43">
        <f>IF($L48="","",IF($P48=0,"TBA",IFERROR(INDEX(Grids!$C$12:$BO$111,$N48,$O48),"-")))</f>
        <v/>
      </c>
      <c r="F48" s="22">
        <f>IF($L48="","",INDEX(HSI!$F$7:$F$106,$N48))</f>
        <v/>
      </c>
      <c r="G48" s="43">
        <f>IF($L48="","",IF($P48=0,"TBA",IFERROR(INDEX(Grids!$BQ$12:$EC$111,$N48,$O48),"-")))</f>
        <v/>
      </c>
      <c r="H48" s="44">
        <f>IF($L48="","",SUM($G$10:$G48))</f>
        <v/>
      </c>
      <c r="I48" s="45">
        <f>IF($L48="","",IF(INT(($L48-INT($L48/10000000)*10000000)/1000000)=0,"Bloomberg projection",IF($P48=1,"ANNOUNCED","ANNOUNCED - amount TBA")))</f>
        <v/>
      </c>
      <c r="J48" s="46">
        <f>IF($L48="","",IF((OV_SWITCH="ON")*(COUNTIFS(OVR_TICKERS,INDEX(HSI!$C$7:$C$106,$N48),OVR_BASE,"&gt;=0")&gt;0)&gt;0,"stock overridden",""))</f>
        <v/>
      </c>
      <c r="L48" s="39">
        <f>IFERROR(IF(SMALL(Grids!$EE$12:$GQ$111,$M$7+39)&gt;=PEND_TO,"",SMALL(Grids!$EE$12:$GQ$111,$M$7+39)),"")</f>
        <v/>
      </c>
      <c r="M48" s="39">
        <f>IF($L48="","",INT($L48/1000000000))</f>
        <v/>
      </c>
      <c r="N48" s="39">
        <f>IF($L48="","",INT(($L48-INT($L48/1000000)*1000000)/1000))</f>
        <v/>
      </c>
      <c r="O48" s="39">
        <f>IF($L48="","",$L48-INT($L48/1000)*1000)</f>
        <v/>
      </c>
      <c r="P48" s="39">
        <f>IF($L48="","",INT(($L48-INT($L48/1000000000)*1000000000)/100000000))</f>
        <v/>
      </c>
    </row>
    <row r="49">
      <c r="B49" s="42">
        <f>IF($L49="","",$M49)</f>
        <v/>
      </c>
      <c r="C49" s="22">
        <f>IF($L49="","",INDEX(HSI!$C$7:$C$106,$N49))</f>
        <v/>
      </c>
      <c r="D49" s="22">
        <f>IF($L49="","",INDEX(HSI!$D$7:$D$106,$N49))</f>
        <v/>
      </c>
      <c r="E49" s="43">
        <f>IF($L49="","",IF($P49=0,"TBA",IFERROR(INDEX(Grids!$C$12:$BO$111,$N49,$O49),"-")))</f>
        <v/>
      </c>
      <c r="F49" s="22">
        <f>IF($L49="","",INDEX(HSI!$F$7:$F$106,$N49))</f>
        <v/>
      </c>
      <c r="G49" s="43">
        <f>IF($L49="","",IF($P49=0,"TBA",IFERROR(INDEX(Grids!$BQ$12:$EC$111,$N49,$O49),"-")))</f>
        <v/>
      </c>
      <c r="H49" s="44">
        <f>IF($L49="","",SUM($G$10:$G49))</f>
        <v/>
      </c>
      <c r="I49" s="45">
        <f>IF($L49="","",IF(INT(($L49-INT($L49/10000000)*10000000)/1000000)=0,"Bloomberg projection",IF($P49=1,"ANNOUNCED","ANNOUNCED - amount TBA")))</f>
        <v/>
      </c>
      <c r="J49" s="46">
        <f>IF($L49="","",IF((OV_SWITCH="ON")*(COUNTIFS(OVR_TICKERS,INDEX(HSI!$C$7:$C$106,$N49),OVR_BASE,"&gt;=0")&gt;0)&gt;0,"stock overridden",""))</f>
        <v/>
      </c>
      <c r="L49" s="39">
        <f>IFERROR(IF(SMALL(Grids!$EE$12:$GQ$111,$M$7+40)&gt;=PEND_TO,"",SMALL(Grids!$EE$12:$GQ$111,$M$7+40)),"")</f>
        <v/>
      </c>
      <c r="M49" s="39">
        <f>IF($L49="","",INT($L49/1000000000))</f>
        <v/>
      </c>
      <c r="N49" s="39">
        <f>IF($L49="","",INT(($L49-INT($L49/1000000)*1000000)/1000))</f>
        <v/>
      </c>
      <c r="O49" s="39">
        <f>IF($L49="","",$L49-INT($L49/1000)*1000)</f>
        <v/>
      </c>
      <c r="P49" s="39">
        <f>IF($L49="","",INT(($L49-INT($L49/1000000000)*1000000000)/100000000))</f>
        <v/>
      </c>
    </row>
    <row r="50">
      <c r="B50" s="42">
        <f>IF($L50="","",$M50)</f>
        <v/>
      </c>
      <c r="C50" s="22">
        <f>IF($L50="","",INDEX(HSI!$C$7:$C$106,$N50))</f>
        <v/>
      </c>
      <c r="D50" s="22">
        <f>IF($L50="","",INDEX(HSI!$D$7:$D$106,$N50))</f>
        <v/>
      </c>
      <c r="E50" s="43">
        <f>IF($L50="","",IF($P50=0,"TBA",IFERROR(INDEX(Grids!$C$12:$BO$111,$N50,$O50),"-")))</f>
        <v/>
      </c>
      <c r="F50" s="22">
        <f>IF($L50="","",INDEX(HSI!$F$7:$F$106,$N50))</f>
        <v/>
      </c>
      <c r="G50" s="43">
        <f>IF($L50="","",IF($P50=0,"TBA",IFERROR(INDEX(Grids!$BQ$12:$EC$111,$N50,$O50),"-")))</f>
        <v/>
      </c>
      <c r="H50" s="44">
        <f>IF($L50="","",SUM($G$10:$G50))</f>
        <v/>
      </c>
      <c r="I50" s="45">
        <f>IF($L50="","",IF(INT(($L50-INT($L50/10000000)*10000000)/1000000)=0,"Bloomberg projection",IF($P50=1,"ANNOUNCED","ANNOUNCED - amount TBA")))</f>
        <v/>
      </c>
      <c r="J50" s="46">
        <f>IF($L50="","",IF((OV_SWITCH="ON")*(COUNTIFS(OVR_TICKERS,INDEX(HSI!$C$7:$C$106,$N50),OVR_BASE,"&gt;=0")&gt;0)&gt;0,"stock overridden",""))</f>
        <v/>
      </c>
      <c r="L50" s="39">
        <f>IFERROR(IF(SMALL(Grids!$EE$12:$GQ$111,$M$7+41)&gt;=PEND_TO,"",SMALL(Grids!$EE$12:$GQ$111,$M$7+41)),"")</f>
        <v/>
      </c>
      <c r="M50" s="39">
        <f>IF($L50="","",INT($L50/1000000000))</f>
        <v/>
      </c>
      <c r="N50" s="39">
        <f>IF($L50="","",INT(($L50-INT($L50/1000000)*1000000)/1000))</f>
        <v/>
      </c>
      <c r="O50" s="39">
        <f>IF($L50="","",$L50-INT($L50/1000)*1000)</f>
        <v/>
      </c>
      <c r="P50" s="39">
        <f>IF($L50="","",INT(($L50-INT($L50/1000000000)*1000000000)/100000000))</f>
        <v/>
      </c>
    </row>
    <row r="51">
      <c r="B51" s="42">
        <f>IF($L51="","",$M51)</f>
        <v/>
      </c>
      <c r="C51" s="22">
        <f>IF($L51="","",INDEX(HSI!$C$7:$C$106,$N51))</f>
        <v/>
      </c>
      <c r="D51" s="22">
        <f>IF($L51="","",INDEX(HSI!$D$7:$D$106,$N51))</f>
        <v/>
      </c>
      <c r="E51" s="43">
        <f>IF($L51="","",IF($P51=0,"TBA",IFERROR(INDEX(Grids!$C$12:$BO$111,$N51,$O51),"-")))</f>
        <v/>
      </c>
      <c r="F51" s="22">
        <f>IF($L51="","",INDEX(HSI!$F$7:$F$106,$N51))</f>
        <v/>
      </c>
      <c r="G51" s="43">
        <f>IF($L51="","",IF($P51=0,"TBA",IFERROR(INDEX(Grids!$BQ$12:$EC$111,$N51,$O51),"-")))</f>
        <v/>
      </c>
      <c r="H51" s="44">
        <f>IF($L51="","",SUM($G$10:$G51))</f>
        <v/>
      </c>
      <c r="I51" s="45">
        <f>IF($L51="","",IF(INT(($L51-INT($L51/10000000)*10000000)/1000000)=0,"Bloomberg projection",IF($P51=1,"ANNOUNCED","ANNOUNCED - amount TBA")))</f>
        <v/>
      </c>
      <c r="J51" s="46">
        <f>IF($L51="","",IF((OV_SWITCH="ON")*(COUNTIFS(OVR_TICKERS,INDEX(HSI!$C$7:$C$106,$N51),OVR_BASE,"&gt;=0")&gt;0)&gt;0,"stock overridden",""))</f>
        <v/>
      </c>
      <c r="L51" s="39">
        <f>IFERROR(IF(SMALL(Grids!$EE$12:$GQ$111,$M$7+42)&gt;=PEND_TO,"",SMALL(Grids!$EE$12:$GQ$111,$M$7+42)),"")</f>
        <v/>
      </c>
      <c r="M51" s="39">
        <f>IF($L51="","",INT($L51/1000000000))</f>
        <v/>
      </c>
      <c r="N51" s="39">
        <f>IF($L51="","",INT(($L51-INT($L51/1000000)*1000000)/1000))</f>
        <v/>
      </c>
      <c r="O51" s="39">
        <f>IF($L51="","",$L51-INT($L51/1000)*1000)</f>
        <v/>
      </c>
      <c r="P51" s="39">
        <f>IF($L51="","",INT(($L51-INT($L51/1000000000)*1000000000)/100000000))</f>
        <v/>
      </c>
    </row>
    <row r="52">
      <c r="B52" s="42">
        <f>IF($L52="","",$M52)</f>
        <v/>
      </c>
      <c r="C52" s="22">
        <f>IF($L52="","",INDEX(HSI!$C$7:$C$106,$N52))</f>
        <v/>
      </c>
      <c r="D52" s="22">
        <f>IF($L52="","",INDEX(HSI!$D$7:$D$106,$N52))</f>
        <v/>
      </c>
      <c r="E52" s="43">
        <f>IF($L52="","",IF($P52=0,"TBA",IFERROR(INDEX(Grids!$C$12:$BO$111,$N52,$O52),"-")))</f>
        <v/>
      </c>
      <c r="F52" s="22">
        <f>IF($L52="","",INDEX(HSI!$F$7:$F$106,$N52))</f>
        <v/>
      </c>
      <c r="G52" s="43">
        <f>IF($L52="","",IF($P52=0,"TBA",IFERROR(INDEX(Grids!$BQ$12:$EC$111,$N52,$O52),"-")))</f>
        <v/>
      </c>
      <c r="H52" s="44">
        <f>IF($L52="","",SUM($G$10:$G52))</f>
        <v/>
      </c>
      <c r="I52" s="45">
        <f>IF($L52="","",IF(INT(($L52-INT($L52/10000000)*10000000)/1000000)=0,"Bloomberg projection",IF($P52=1,"ANNOUNCED","ANNOUNCED - amount TBA")))</f>
        <v/>
      </c>
      <c r="J52" s="46">
        <f>IF($L52="","",IF((OV_SWITCH="ON")*(COUNTIFS(OVR_TICKERS,INDEX(HSI!$C$7:$C$106,$N52),OVR_BASE,"&gt;=0")&gt;0)&gt;0,"stock overridden",""))</f>
        <v/>
      </c>
      <c r="L52" s="39">
        <f>IFERROR(IF(SMALL(Grids!$EE$12:$GQ$111,$M$7+43)&gt;=PEND_TO,"",SMALL(Grids!$EE$12:$GQ$111,$M$7+43)),"")</f>
        <v/>
      </c>
      <c r="M52" s="39">
        <f>IF($L52="","",INT($L52/1000000000))</f>
        <v/>
      </c>
      <c r="N52" s="39">
        <f>IF($L52="","",INT(($L52-INT($L52/1000000)*1000000)/1000))</f>
        <v/>
      </c>
      <c r="O52" s="39">
        <f>IF($L52="","",$L52-INT($L52/1000)*1000)</f>
        <v/>
      </c>
      <c r="P52" s="39">
        <f>IF($L52="","",INT(($L52-INT($L52/1000000000)*1000000000)/100000000))</f>
        <v/>
      </c>
    </row>
    <row r="53">
      <c r="B53" s="42">
        <f>IF($L53="","",$M53)</f>
        <v/>
      </c>
      <c r="C53" s="22">
        <f>IF($L53="","",INDEX(HSI!$C$7:$C$106,$N53))</f>
        <v/>
      </c>
      <c r="D53" s="22">
        <f>IF($L53="","",INDEX(HSI!$D$7:$D$106,$N53))</f>
        <v/>
      </c>
      <c r="E53" s="43">
        <f>IF($L53="","",IF($P53=0,"TBA",IFERROR(INDEX(Grids!$C$12:$BO$111,$N53,$O53),"-")))</f>
        <v/>
      </c>
      <c r="F53" s="22">
        <f>IF($L53="","",INDEX(HSI!$F$7:$F$106,$N53))</f>
        <v/>
      </c>
      <c r="G53" s="43">
        <f>IF($L53="","",IF($P53=0,"TBA",IFERROR(INDEX(Grids!$BQ$12:$EC$111,$N53,$O53),"-")))</f>
        <v/>
      </c>
      <c r="H53" s="44">
        <f>IF($L53="","",SUM($G$10:$G53))</f>
        <v/>
      </c>
      <c r="I53" s="45">
        <f>IF($L53="","",IF(INT(($L53-INT($L53/10000000)*10000000)/1000000)=0,"Bloomberg projection",IF($P53=1,"ANNOUNCED","ANNOUNCED - amount TBA")))</f>
        <v/>
      </c>
      <c r="J53" s="46">
        <f>IF($L53="","",IF((OV_SWITCH="ON")*(COUNTIFS(OVR_TICKERS,INDEX(HSI!$C$7:$C$106,$N53),OVR_BASE,"&gt;=0")&gt;0)&gt;0,"stock overridden",""))</f>
        <v/>
      </c>
      <c r="L53" s="39">
        <f>IFERROR(IF(SMALL(Grids!$EE$12:$GQ$111,$M$7+44)&gt;=PEND_TO,"",SMALL(Grids!$EE$12:$GQ$111,$M$7+44)),"")</f>
        <v/>
      </c>
      <c r="M53" s="39">
        <f>IF($L53="","",INT($L53/1000000000))</f>
        <v/>
      </c>
      <c r="N53" s="39">
        <f>IF($L53="","",INT(($L53-INT($L53/1000000)*1000000)/1000))</f>
        <v/>
      </c>
      <c r="O53" s="39">
        <f>IF($L53="","",$L53-INT($L53/1000)*1000)</f>
        <v/>
      </c>
      <c r="P53" s="39">
        <f>IF($L53="","",INT(($L53-INT($L53/1000000000)*1000000000)/100000000))</f>
        <v/>
      </c>
    </row>
    <row r="54">
      <c r="B54" s="42">
        <f>IF($L54="","",$M54)</f>
        <v/>
      </c>
      <c r="C54" s="22">
        <f>IF($L54="","",INDEX(HSI!$C$7:$C$106,$N54))</f>
        <v/>
      </c>
      <c r="D54" s="22">
        <f>IF($L54="","",INDEX(HSI!$D$7:$D$106,$N54))</f>
        <v/>
      </c>
      <c r="E54" s="43">
        <f>IF($L54="","",IF($P54=0,"TBA",IFERROR(INDEX(Grids!$C$12:$BO$111,$N54,$O54),"-")))</f>
        <v/>
      </c>
      <c r="F54" s="22">
        <f>IF($L54="","",INDEX(HSI!$F$7:$F$106,$N54))</f>
        <v/>
      </c>
      <c r="G54" s="43">
        <f>IF($L54="","",IF($P54=0,"TBA",IFERROR(INDEX(Grids!$BQ$12:$EC$111,$N54,$O54),"-")))</f>
        <v/>
      </c>
      <c r="H54" s="44">
        <f>IF($L54="","",SUM($G$10:$G54))</f>
        <v/>
      </c>
      <c r="I54" s="45">
        <f>IF($L54="","",IF(INT(($L54-INT($L54/10000000)*10000000)/1000000)=0,"Bloomberg projection",IF($P54=1,"ANNOUNCED","ANNOUNCED - amount TBA")))</f>
        <v/>
      </c>
      <c r="J54" s="46">
        <f>IF($L54="","",IF((OV_SWITCH="ON")*(COUNTIFS(OVR_TICKERS,INDEX(HSI!$C$7:$C$106,$N54),OVR_BASE,"&gt;=0")&gt;0)&gt;0,"stock overridden",""))</f>
        <v/>
      </c>
      <c r="L54" s="39">
        <f>IFERROR(IF(SMALL(Grids!$EE$12:$GQ$111,$M$7+45)&gt;=PEND_TO,"",SMALL(Grids!$EE$12:$GQ$111,$M$7+45)),"")</f>
        <v/>
      </c>
      <c r="M54" s="39">
        <f>IF($L54="","",INT($L54/1000000000))</f>
        <v/>
      </c>
      <c r="N54" s="39">
        <f>IF($L54="","",INT(($L54-INT($L54/1000000)*1000000)/1000))</f>
        <v/>
      </c>
      <c r="O54" s="39">
        <f>IF($L54="","",$L54-INT($L54/1000)*1000)</f>
        <v/>
      </c>
      <c r="P54" s="39">
        <f>IF($L54="","",INT(($L54-INT($L54/1000000000)*1000000000)/100000000))</f>
        <v/>
      </c>
    </row>
    <row r="55">
      <c r="B55" s="42">
        <f>IF($L55="","",$M55)</f>
        <v/>
      </c>
      <c r="C55" s="22">
        <f>IF($L55="","",INDEX(HSI!$C$7:$C$106,$N55))</f>
        <v/>
      </c>
      <c r="D55" s="22">
        <f>IF($L55="","",INDEX(HSI!$D$7:$D$106,$N55))</f>
        <v/>
      </c>
      <c r="E55" s="43">
        <f>IF($L55="","",IF($P55=0,"TBA",IFERROR(INDEX(Grids!$C$12:$BO$111,$N55,$O55),"-")))</f>
        <v/>
      </c>
      <c r="F55" s="22">
        <f>IF($L55="","",INDEX(HSI!$F$7:$F$106,$N55))</f>
        <v/>
      </c>
      <c r="G55" s="43">
        <f>IF($L55="","",IF($P55=0,"TBA",IFERROR(INDEX(Grids!$BQ$12:$EC$111,$N55,$O55),"-")))</f>
        <v/>
      </c>
      <c r="H55" s="44">
        <f>IF($L55="","",SUM($G$10:$G55))</f>
        <v/>
      </c>
      <c r="I55" s="45">
        <f>IF($L55="","",IF(INT(($L55-INT($L55/10000000)*10000000)/1000000)=0,"Bloomberg projection",IF($P55=1,"ANNOUNCED","ANNOUNCED - amount TBA")))</f>
        <v/>
      </c>
      <c r="J55" s="46">
        <f>IF($L55="","",IF((OV_SWITCH="ON")*(COUNTIFS(OVR_TICKERS,INDEX(HSI!$C$7:$C$106,$N55),OVR_BASE,"&gt;=0")&gt;0)&gt;0,"stock overridden",""))</f>
        <v/>
      </c>
      <c r="L55" s="39">
        <f>IFERROR(IF(SMALL(Grids!$EE$12:$GQ$111,$M$7+46)&gt;=PEND_TO,"",SMALL(Grids!$EE$12:$GQ$111,$M$7+46)),"")</f>
        <v/>
      </c>
      <c r="M55" s="39">
        <f>IF($L55="","",INT($L55/1000000000))</f>
        <v/>
      </c>
      <c r="N55" s="39">
        <f>IF($L55="","",INT(($L55-INT($L55/1000000)*1000000)/1000))</f>
        <v/>
      </c>
      <c r="O55" s="39">
        <f>IF($L55="","",$L55-INT($L55/1000)*1000)</f>
        <v/>
      </c>
      <c r="P55" s="39">
        <f>IF($L55="","",INT(($L55-INT($L55/1000000000)*1000000000)/100000000))</f>
        <v/>
      </c>
    </row>
    <row r="56">
      <c r="B56" s="42">
        <f>IF($L56="","",$M56)</f>
        <v/>
      </c>
      <c r="C56" s="22">
        <f>IF($L56="","",INDEX(HSI!$C$7:$C$106,$N56))</f>
        <v/>
      </c>
      <c r="D56" s="22">
        <f>IF($L56="","",INDEX(HSI!$D$7:$D$106,$N56))</f>
        <v/>
      </c>
      <c r="E56" s="43">
        <f>IF($L56="","",IF($P56=0,"TBA",IFERROR(INDEX(Grids!$C$12:$BO$111,$N56,$O56),"-")))</f>
        <v/>
      </c>
      <c r="F56" s="22">
        <f>IF($L56="","",INDEX(HSI!$F$7:$F$106,$N56))</f>
        <v/>
      </c>
      <c r="G56" s="43">
        <f>IF($L56="","",IF($P56=0,"TBA",IFERROR(INDEX(Grids!$BQ$12:$EC$111,$N56,$O56),"-")))</f>
        <v/>
      </c>
      <c r="H56" s="44">
        <f>IF($L56="","",SUM($G$10:$G56))</f>
        <v/>
      </c>
      <c r="I56" s="45">
        <f>IF($L56="","",IF(INT(($L56-INT($L56/10000000)*10000000)/1000000)=0,"Bloomberg projection",IF($P56=1,"ANNOUNCED","ANNOUNCED - amount TBA")))</f>
        <v/>
      </c>
      <c r="J56" s="46">
        <f>IF($L56="","",IF((OV_SWITCH="ON")*(COUNTIFS(OVR_TICKERS,INDEX(HSI!$C$7:$C$106,$N56),OVR_BASE,"&gt;=0")&gt;0)&gt;0,"stock overridden",""))</f>
        <v/>
      </c>
      <c r="L56" s="39">
        <f>IFERROR(IF(SMALL(Grids!$EE$12:$GQ$111,$M$7+47)&gt;=PEND_TO,"",SMALL(Grids!$EE$12:$GQ$111,$M$7+47)),"")</f>
        <v/>
      </c>
      <c r="M56" s="39">
        <f>IF($L56="","",INT($L56/1000000000))</f>
        <v/>
      </c>
      <c r="N56" s="39">
        <f>IF($L56="","",INT(($L56-INT($L56/1000000)*1000000)/1000))</f>
        <v/>
      </c>
      <c r="O56" s="39">
        <f>IF($L56="","",$L56-INT($L56/1000)*1000)</f>
        <v/>
      </c>
      <c r="P56" s="39">
        <f>IF($L56="","",INT(($L56-INT($L56/1000000000)*1000000000)/100000000))</f>
        <v/>
      </c>
    </row>
    <row r="57">
      <c r="B57" s="42">
        <f>IF($L57="","",$M57)</f>
        <v/>
      </c>
      <c r="C57" s="22">
        <f>IF($L57="","",INDEX(HSI!$C$7:$C$106,$N57))</f>
        <v/>
      </c>
      <c r="D57" s="22">
        <f>IF($L57="","",INDEX(HSI!$D$7:$D$106,$N57))</f>
        <v/>
      </c>
      <c r="E57" s="43">
        <f>IF($L57="","",IF($P57=0,"TBA",IFERROR(INDEX(Grids!$C$12:$BO$111,$N57,$O57),"-")))</f>
        <v/>
      </c>
      <c r="F57" s="22">
        <f>IF($L57="","",INDEX(HSI!$F$7:$F$106,$N57))</f>
        <v/>
      </c>
      <c r="G57" s="43">
        <f>IF($L57="","",IF($P57=0,"TBA",IFERROR(INDEX(Grids!$BQ$12:$EC$111,$N57,$O57),"-")))</f>
        <v/>
      </c>
      <c r="H57" s="44">
        <f>IF($L57="","",SUM($G$10:$G57))</f>
        <v/>
      </c>
      <c r="I57" s="45">
        <f>IF($L57="","",IF(INT(($L57-INT($L57/10000000)*10000000)/1000000)=0,"Bloomberg projection",IF($P57=1,"ANNOUNCED","ANNOUNCED - amount TBA")))</f>
        <v/>
      </c>
      <c r="J57" s="46">
        <f>IF($L57="","",IF((OV_SWITCH="ON")*(COUNTIFS(OVR_TICKERS,INDEX(HSI!$C$7:$C$106,$N57),OVR_BASE,"&gt;=0")&gt;0)&gt;0,"stock overridden",""))</f>
        <v/>
      </c>
      <c r="L57" s="39">
        <f>IFERROR(IF(SMALL(Grids!$EE$12:$GQ$111,$M$7+48)&gt;=PEND_TO,"",SMALL(Grids!$EE$12:$GQ$111,$M$7+48)),"")</f>
        <v/>
      </c>
      <c r="M57" s="39">
        <f>IF($L57="","",INT($L57/1000000000))</f>
        <v/>
      </c>
      <c r="N57" s="39">
        <f>IF($L57="","",INT(($L57-INT($L57/1000000)*1000000)/1000))</f>
        <v/>
      </c>
      <c r="O57" s="39">
        <f>IF($L57="","",$L57-INT($L57/1000)*1000)</f>
        <v/>
      </c>
      <c r="P57" s="39">
        <f>IF($L57="","",INT(($L57-INT($L57/1000000000)*1000000000)/100000000))</f>
        <v/>
      </c>
    </row>
    <row r="58">
      <c r="B58" s="42">
        <f>IF($L58="","",$M58)</f>
        <v/>
      </c>
      <c r="C58" s="22">
        <f>IF($L58="","",INDEX(HSI!$C$7:$C$106,$N58))</f>
        <v/>
      </c>
      <c r="D58" s="22">
        <f>IF($L58="","",INDEX(HSI!$D$7:$D$106,$N58))</f>
        <v/>
      </c>
      <c r="E58" s="43">
        <f>IF($L58="","",IF($P58=0,"TBA",IFERROR(INDEX(Grids!$C$12:$BO$111,$N58,$O58),"-")))</f>
        <v/>
      </c>
      <c r="F58" s="22">
        <f>IF($L58="","",INDEX(HSI!$F$7:$F$106,$N58))</f>
        <v/>
      </c>
      <c r="G58" s="43">
        <f>IF($L58="","",IF($P58=0,"TBA",IFERROR(INDEX(Grids!$BQ$12:$EC$111,$N58,$O58),"-")))</f>
        <v/>
      </c>
      <c r="H58" s="44">
        <f>IF($L58="","",SUM($G$10:$G58))</f>
        <v/>
      </c>
      <c r="I58" s="45">
        <f>IF($L58="","",IF(INT(($L58-INT($L58/10000000)*10000000)/1000000)=0,"Bloomberg projection",IF($P58=1,"ANNOUNCED","ANNOUNCED - amount TBA")))</f>
        <v/>
      </c>
      <c r="J58" s="46">
        <f>IF($L58="","",IF((OV_SWITCH="ON")*(COUNTIFS(OVR_TICKERS,INDEX(HSI!$C$7:$C$106,$N58),OVR_BASE,"&gt;=0")&gt;0)&gt;0,"stock overridden",""))</f>
        <v/>
      </c>
      <c r="L58" s="39">
        <f>IFERROR(IF(SMALL(Grids!$EE$12:$GQ$111,$M$7+49)&gt;=PEND_TO,"",SMALL(Grids!$EE$12:$GQ$111,$M$7+49)),"")</f>
        <v/>
      </c>
      <c r="M58" s="39">
        <f>IF($L58="","",INT($L58/1000000000))</f>
        <v/>
      </c>
      <c r="N58" s="39">
        <f>IF($L58="","",INT(($L58-INT($L58/1000000)*1000000)/1000))</f>
        <v/>
      </c>
      <c r="O58" s="39">
        <f>IF($L58="","",$L58-INT($L58/1000)*1000)</f>
        <v/>
      </c>
      <c r="P58" s="39">
        <f>IF($L58="","",INT(($L58-INT($L58/1000000000)*1000000000)/100000000))</f>
        <v/>
      </c>
    </row>
    <row r="59">
      <c r="B59" s="42">
        <f>IF($L59="","",$M59)</f>
        <v/>
      </c>
      <c r="C59" s="22">
        <f>IF($L59="","",INDEX(HSI!$C$7:$C$106,$N59))</f>
        <v/>
      </c>
      <c r="D59" s="22">
        <f>IF($L59="","",INDEX(HSI!$D$7:$D$106,$N59))</f>
        <v/>
      </c>
      <c r="E59" s="43">
        <f>IF($L59="","",IF($P59=0,"TBA",IFERROR(INDEX(Grids!$C$12:$BO$111,$N59,$O59),"-")))</f>
        <v/>
      </c>
      <c r="F59" s="22">
        <f>IF($L59="","",INDEX(HSI!$F$7:$F$106,$N59))</f>
        <v/>
      </c>
      <c r="G59" s="43">
        <f>IF($L59="","",IF($P59=0,"TBA",IFERROR(INDEX(Grids!$BQ$12:$EC$111,$N59,$O59),"-")))</f>
        <v/>
      </c>
      <c r="H59" s="44">
        <f>IF($L59="","",SUM($G$10:$G59))</f>
        <v/>
      </c>
      <c r="I59" s="45">
        <f>IF($L59="","",IF(INT(($L59-INT($L59/10000000)*10000000)/1000000)=0,"Bloomberg projection",IF($P59=1,"ANNOUNCED","ANNOUNCED - amount TBA")))</f>
        <v/>
      </c>
      <c r="J59" s="46">
        <f>IF($L59="","",IF((OV_SWITCH="ON")*(COUNTIFS(OVR_TICKERS,INDEX(HSI!$C$7:$C$106,$N59),OVR_BASE,"&gt;=0")&gt;0)&gt;0,"stock overridden",""))</f>
        <v/>
      </c>
      <c r="L59" s="39">
        <f>IFERROR(IF(SMALL(Grids!$EE$12:$GQ$111,$M$7+50)&gt;=PEND_TO,"",SMALL(Grids!$EE$12:$GQ$111,$M$7+50)),"")</f>
        <v/>
      </c>
      <c r="M59" s="39">
        <f>IF($L59="","",INT($L59/1000000000))</f>
        <v/>
      </c>
      <c r="N59" s="39">
        <f>IF($L59="","",INT(($L59-INT($L59/1000000)*1000000)/1000))</f>
        <v/>
      </c>
      <c r="O59" s="39">
        <f>IF($L59="","",$L59-INT($L59/1000)*1000)</f>
        <v/>
      </c>
      <c r="P59" s="39">
        <f>IF($L59="","",INT(($L59-INT($L59/1000000000)*1000000000)/100000000))</f>
        <v/>
      </c>
    </row>
    <row r="60">
      <c r="B60" s="42">
        <f>IF($L60="","",$M60)</f>
        <v/>
      </c>
      <c r="C60" s="22">
        <f>IF($L60="","",INDEX(HSI!$C$7:$C$106,$N60))</f>
        <v/>
      </c>
      <c r="D60" s="22">
        <f>IF($L60="","",INDEX(HSI!$D$7:$D$106,$N60))</f>
        <v/>
      </c>
      <c r="E60" s="43">
        <f>IF($L60="","",IF($P60=0,"TBA",IFERROR(INDEX(Grids!$C$12:$BO$111,$N60,$O60),"-")))</f>
        <v/>
      </c>
      <c r="F60" s="22">
        <f>IF($L60="","",INDEX(HSI!$F$7:$F$106,$N60))</f>
        <v/>
      </c>
      <c r="G60" s="43">
        <f>IF($L60="","",IF($P60=0,"TBA",IFERROR(INDEX(Grids!$BQ$12:$EC$111,$N60,$O60),"-")))</f>
        <v/>
      </c>
      <c r="H60" s="44">
        <f>IF($L60="","",SUM($G$10:$G60))</f>
        <v/>
      </c>
      <c r="I60" s="45">
        <f>IF($L60="","",IF(INT(($L60-INT($L60/10000000)*10000000)/1000000)=0,"Bloomberg projection",IF($P60=1,"ANNOUNCED","ANNOUNCED - amount TBA")))</f>
        <v/>
      </c>
      <c r="J60" s="46">
        <f>IF($L60="","",IF((OV_SWITCH="ON")*(COUNTIFS(OVR_TICKERS,INDEX(HSI!$C$7:$C$106,$N60),OVR_BASE,"&gt;=0")&gt;0)&gt;0,"stock overridden",""))</f>
        <v/>
      </c>
      <c r="L60" s="39">
        <f>IFERROR(IF(SMALL(Grids!$EE$12:$GQ$111,$M$7+51)&gt;=PEND_TO,"",SMALL(Grids!$EE$12:$GQ$111,$M$7+51)),"")</f>
        <v/>
      </c>
      <c r="M60" s="39">
        <f>IF($L60="","",INT($L60/1000000000))</f>
        <v/>
      </c>
      <c r="N60" s="39">
        <f>IF($L60="","",INT(($L60-INT($L60/1000000)*1000000)/1000))</f>
        <v/>
      </c>
      <c r="O60" s="39">
        <f>IF($L60="","",$L60-INT($L60/1000)*1000)</f>
        <v/>
      </c>
      <c r="P60" s="39">
        <f>IF($L60="","",INT(($L60-INT($L60/1000000000)*1000000000)/100000000))</f>
        <v/>
      </c>
    </row>
    <row r="61">
      <c r="B61" s="42">
        <f>IF($L61="","",$M61)</f>
        <v/>
      </c>
      <c r="C61" s="22">
        <f>IF($L61="","",INDEX(HSI!$C$7:$C$106,$N61))</f>
        <v/>
      </c>
      <c r="D61" s="22">
        <f>IF($L61="","",INDEX(HSI!$D$7:$D$106,$N61))</f>
        <v/>
      </c>
      <c r="E61" s="43">
        <f>IF($L61="","",IF($P61=0,"TBA",IFERROR(INDEX(Grids!$C$12:$BO$111,$N61,$O61),"-")))</f>
        <v/>
      </c>
      <c r="F61" s="22">
        <f>IF($L61="","",INDEX(HSI!$F$7:$F$106,$N61))</f>
        <v/>
      </c>
      <c r="G61" s="43">
        <f>IF($L61="","",IF($P61=0,"TBA",IFERROR(INDEX(Grids!$BQ$12:$EC$111,$N61,$O61),"-")))</f>
        <v/>
      </c>
      <c r="H61" s="44">
        <f>IF($L61="","",SUM($G$10:$G61))</f>
        <v/>
      </c>
      <c r="I61" s="45">
        <f>IF($L61="","",IF(INT(($L61-INT($L61/10000000)*10000000)/1000000)=0,"Bloomberg projection",IF($P61=1,"ANNOUNCED","ANNOUNCED - amount TBA")))</f>
        <v/>
      </c>
      <c r="J61" s="46">
        <f>IF($L61="","",IF((OV_SWITCH="ON")*(COUNTIFS(OVR_TICKERS,INDEX(HSI!$C$7:$C$106,$N61),OVR_BASE,"&gt;=0")&gt;0)&gt;0,"stock overridden",""))</f>
        <v/>
      </c>
      <c r="L61" s="39">
        <f>IFERROR(IF(SMALL(Grids!$EE$12:$GQ$111,$M$7+52)&gt;=PEND_TO,"",SMALL(Grids!$EE$12:$GQ$111,$M$7+52)),"")</f>
        <v/>
      </c>
      <c r="M61" s="39">
        <f>IF($L61="","",INT($L61/1000000000))</f>
        <v/>
      </c>
      <c r="N61" s="39">
        <f>IF($L61="","",INT(($L61-INT($L61/1000000)*1000000)/1000))</f>
        <v/>
      </c>
      <c r="O61" s="39">
        <f>IF($L61="","",$L61-INT($L61/1000)*1000)</f>
        <v/>
      </c>
      <c r="P61" s="39">
        <f>IF($L61="","",INT(($L61-INT($L61/1000000000)*1000000000)/100000000))</f>
        <v/>
      </c>
    </row>
    <row r="62">
      <c r="B62" s="42">
        <f>IF($L62="","",$M62)</f>
        <v/>
      </c>
      <c r="C62" s="22">
        <f>IF($L62="","",INDEX(HSI!$C$7:$C$106,$N62))</f>
        <v/>
      </c>
      <c r="D62" s="22">
        <f>IF($L62="","",INDEX(HSI!$D$7:$D$106,$N62))</f>
        <v/>
      </c>
      <c r="E62" s="43">
        <f>IF($L62="","",IF($P62=0,"TBA",IFERROR(INDEX(Grids!$C$12:$BO$111,$N62,$O62),"-")))</f>
        <v/>
      </c>
      <c r="F62" s="22">
        <f>IF($L62="","",INDEX(HSI!$F$7:$F$106,$N62))</f>
        <v/>
      </c>
      <c r="G62" s="43">
        <f>IF($L62="","",IF($P62=0,"TBA",IFERROR(INDEX(Grids!$BQ$12:$EC$111,$N62,$O62),"-")))</f>
        <v/>
      </c>
      <c r="H62" s="44">
        <f>IF($L62="","",SUM($G$10:$G62))</f>
        <v/>
      </c>
      <c r="I62" s="45">
        <f>IF($L62="","",IF(INT(($L62-INT($L62/10000000)*10000000)/1000000)=0,"Bloomberg projection",IF($P62=1,"ANNOUNCED","ANNOUNCED - amount TBA")))</f>
        <v/>
      </c>
      <c r="J62" s="46">
        <f>IF($L62="","",IF((OV_SWITCH="ON")*(COUNTIFS(OVR_TICKERS,INDEX(HSI!$C$7:$C$106,$N62),OVR_BASE,"&gt;=0")&gt;0)&gt;0,"stock overridden",""))</f>
        <v/>
      </c>
      <c r="L62" s="39">
        <f>IFERROR(IF(SMALL(Grids!$EE$12:$GQ$111,$M$7+53)&gt;=PEND_TO,"",SMALL(Grids!$EE$12:$GQ$111,$M$7+53)),"")</f>
        <v/>
      </c>
      <c r="M62" s="39">
        <f>IF($L62="","",INT($L62/1000000000))</f>
        <v/>
      </c>
      <c r="N62" s="39">
        <f>IF($L62="","",INT(($L62-INT($L62/1000000)*1000000)/1000))</f>
        <v/>
      </c>
      <c r="O62" s="39">
        <f>IF($L62="","",$L62-INT($L62/1000)*1000)</f>
        <v/>
      </c>
      <c r="P62" s="39">
        <f>IF($L62="","",INT(($L62-INT($L62/1000000000)*1000000000)/100000000))</f>
        <v/>
      </c>
    </row>
    <row r="63">
      <c r="B63" s="42">
        <f>IF($L63="","",$M63)</f>
        <v/>
      </c>
      <c r="C63" s="22">
        <f>IF($L63="","",INDEX(HSI!$C$7:$C$106,$N63))</f>
        <v/>
      </c>
      <c r="D63" s="22">
        <f>IF($L63="","",INDEX(HSI!$D$7:$D$106,$N63))</f>
        <v/>
      </c>
      <c r="E63" s="43">
        <f>IF($L63="","",IF($P63=0,"TBA",IFERROR(INDEX(Grids!$C$12:$BO$111,$N63,$O63),"-")))</f>
        <v/>
      </c>
      <c r="F63" s="22">
        <f>IF($L63="","",INDEX(HSI!$F$7:$F$106,$N63))</f>
        <v/>
      </c>
      <c r="G63" s="43">
        <f>IF($L63="","",IF($P63=0,"TBA",IFERROR(INDEX(Grids!$BQ$12:$EC$111,$N63,$O63),"-")))</f>
        <v/>
      </c>
      <c r="H63" s="44">
        <f>IF($L63="","",SUM($G$10:$G63))</f>
        <v/>
      </c>
      <c r="I63" s="45">
        <f>IF($L63="","",IF(INT(($L63-INT($L63/10000000)*10000000)/1000000)=0,"Bloomberg projection",IF($P63=1,"ANNOUNCED","ANNOUNCED - amount TBA")))</f>
        <v/>
      </c>
      <c r="J63" s="46">
        <f>IF($L63="","",IF((OV_SWITCH="ON")*(COUNTIFS(OVR_TICKERS,INDEX(HSI!$C$7:$C$106,$N63),OVR_BASE,"&gt;=0")&gt;0)&gt;0,"stock overridden",""))</f>
        <v/>
      </c>
      <c r="L63" s="39">
        <f>IFERROR(IF(SMALL(Grids!$EE$12:$GQ$111,$M$7+54)&gt;=PEND_TO,"",SMALL(Grids!$EE$12:$GQ$111,$M$7+54)),"")</f>
        <v/>
      </c>
      <c r="M63" s="39">
        <f>IF($L63="","",INT($L63/1000000000))</f>
        <v/>
      </c>
      <c r="N63" s="39">
        <f>IF($L63="","",INT(($L63-INT($L63/1000000)*1000000)/1000))</f>
        <v/>
      </c>
      <c r="O63" s="39">
        <f>IF($L63="","",$L63-INT($L63/1000)*1000)</f>
        <v/>
      </c>
      <c r="P63" s="39">
        <f>IF($L63="","",INT(($L63-INT($L63/1000000000)*1000000000)/100000000))</f>
        <v/>
      </c>
    </row>
    <row r="64">
      <c r="B64" s="42">
        <f>IF($L64="","",$M64)</f>
        <v/>
      </c>
      <c r="C64" s="22">
        <f>IF($L64="","",INDEX(HSI!$C$7:$C$106,$N64))</f>
        <v/>
      </c>
      <c r="D64" s="22">
        <f>IF($L64="","",INDEX(HSI!$D$7:$D$106,$N64))</f>
        <v/>
      </c>
      <c r="E64" s="43">
        <f>IF($L64="","",IF($P64=0,"TBA",IFERROR(INDEX(Grids!$C$12:$BO$111,$N64,$O64),"-")))</f>
        <v/>
      </c>
      <c r="F64" s="22">
        <f>IF($L64="","",INDEX(HSI!$F$7:$F$106,$N64))</f>
        <v/>
      </c>
      <c r="G64" s="43">
        <f>IF($L64="","",IF($P64=0,"TBA",IFERROR(INDEX(Grids!$BQ$12:$EC$111,$N64,$O64),"-")))</f>
        <v/>
      </c>
      <c r="H64" s="44">
        <f>IF($L64="","",SUM($G$10:$G64))</f>
        <v/>
      </c>
      <c r="I64" s="45">
        <f>IF($L64="","",IF(INT(($L64-INT($L64/10000000)*10000000)/1000000)=0,"Bloomberg projection",IF($P64=1,"ANNOUNCED","ANNOUNCED - amount TBA")))</f>
        <v/>
      </c>
      <c r="J64" s="46">
        <f>IF($L64="","",IF((OV_SWITCH="ON")*(COUNTIFS(OVR_TICKERS,INDEX(HSI!$C$7:$C$106,$N64),OVR_BASE,"&gt;=0")&gt;0)&gt;0,"stock overridden",""))</f>
        <v/>
      </c>
      <c r="L64" s="39">
        <f>IFERROR(IF(SMALL(Grids!$EE$12:$GQ$111,$M$7+55)&gt;=PEND_TO,"",SMALL(Grids!$EE$12:$GQ$111,$M$7+55)),"")</f>
        <v/>
      </c>
      <c r="M64" s="39">
        <f>IF($L64="","",INT($L64/1000000000))</f>
        <v/>
      </c>
      <c r="N64" s="39">
        <f>IF($L64="","",INT(($L64-INT($L64/1000000)*1000000)/1000))</f>
        <v/>
      </c>
      <c r="O64" s="39">
        <f>IF($L64="","",$L64-INT($L64/1000)*1000)</f>
        <v/>
      </c>
      <c r="P64" s="39">
        <f>IF($L64="","",INT(($L64-INT($L64/1000000000)*1000000000)/100000000))</f>
        <v/>
      </c>
    </row>
    <row r="65">
      <c r="B65" s="42">
        <f>IF($L65="","",$M65)</f>
        <v/>
      </c>
      <c r="C65" s="22">
        <f>IF($L65="","",INDEX(HSI!$C$7:$C$106,$N65))</f>
        <v/>
      </c>
      <c r="D65" s="22">
        <f>IF($L65="","",INDEX(HSI!$D$7:$D$106,$N65))</f>
        <v/>
      </c>
      <c r="E65" s="43">
        <f>IF($L65="","",IF($P65=0,"TBA",IFERROR(INDEX(Grids!$C$12:$BO$111,$N65,$O65),"-")))</f>
        <v/>
      </c>
      <c r="F65" s="22">
        <f>IF($L65="","",INDEX(HSI!$F$7:$F$106,$N65))</f>
        <v/>
      </c>
      <c r="G65" s="43">
        <f>IF($L65="","",IF($P65=0,"TBA",IFERROR(INDEX(Grids!$BQ$12:$EC$111,$N65,$O65),"-")))</f>
        <v/>
      </c>
      <c r="H65" s="44">
        <f>IF($L65="","",SUM($G$10:$G65))</f>
        <v/>
      </c>
      <c r="I65" s="45">
        <f>IF($L65="","",IF(INT(($L65-INT($L65/10000000)*10000000)/1000000)=0,"Bloomberg projection",IF($P65=1,"ANNOUNCED","ANNOUNCED - amount TBA")))</f>
        <v/>
      </c>
      <c r="J65" s="46">
        <f>IF($L65="","",IF((OV_SWITCH="ON")*(COUNTIFS(OVR_TICKERS,INDEX(HSI!$C$7:$C$106,$N65),OVR_BASE,"&gt;=0")&gt;0)&gt;0,"stock overridden",""))</f>
        <v/>
      </c>
      <c r="L65" s="39">
        <f>IFERROR(IF(SMALL(Grids!$EE$12:$GQ$111,$M$7+56)&gt;=PEND_TO,"",SMALL(Grids!$EE$12:$GQ$111,$M$7+56)),"")</f>
        <v/>
      </c>
      <c r="M65" s="39">
        <f>IF($L65="","",INT($L65/1000000000))</f>
        <v/>
      </c>
      <c r="N65" s="39">
        <f>IF($L65="","",INT(($L65-INT($L65/1000000)*1000000)/1000))</f>
        <v/>
      </c>
      <c r="O65" s="39">
        <f>IF($L65="","",$L65-INT($L65/1000)*1000)</f>
        <v/>
      </c>
      <c r="P65" s="39">
        <f>IF($L65="","",INT(($L65-INT($L65/1000000000)*1000000000)/100000000))</f>
        <v/>
      </c>
    </row>
    <row r="66">
      <c r="B66" s="42">
        <f>IF($L66="","",$M66)</f>
        <v/>
      </c>
      <c r="C66" s="22">
        <f>IF($L66="","",INDEX(HSI!$C$7:$C$106,$N66))</f>
        <v/>
      </c>
      <c r="D66" s="22">
        <f>IF($L66="","",INDEX(HSI!$D$7:$D$106,$N66))</f>
        <v/>
      </c>
      <c r="E66" s="43">
        <f>IF($L66="","",IF($P66=0,"TBA",IFERROR(INDEX(Grids!$C$12:$BO$111,$N66,$O66),"-")))</f>
        <v/>
      </c>
      <c r="F66" s="22">
        <f>IF($L66="","",INDEX(HSI!$F$7:$F$106,$N66))</f>
        <v/>
      </c>
      <c r="G66" s="43">
        <f>IF($L66="","",IF($P66=0,"TBA",IFERROR(INDEX(Grids!$BQ$12:$EC$111,$N66,$O66),"-")))</f>
        <v/>
      </c>
      <c r="H66" s="44">
        <f>IF($L66="","",SUM($G$10:$G66))</f>
        <v/>
      </c>
      <c r="I66" s="45">
        <f>IF($L66="","",IF(INT(($L66-INT($L66/10000000)*10000000)/1000000)=0,"Bloomberg projection",IF($P66=1,"ANNOUNCED","ANNOUNCED - amount TBA")))</f>
        <v/>
      </c>
      <c r="J66" s="46">
        <f>IF($L66="","",IF((OV_SWITCH="ON")*(COUNTIFS(OVR_TICKERS,INDEX(HSI!$C$7:$C$106,$N66),OVR_BASE,"&gt;=0")&gt;0)&gt;0,"stock overridden",""))</f>
        <v/>
      </c>
      <c r="L66" s="39">
        <f>IFERROR(IF(SMALL(Grids!$EE$12:$GQ$111,$M$7+57)&gt;=PEND_TO,"",SMALL(Grids!$EE$12:$GQ$111,$M$7+57)),"")</f>
        <v/>
      </c>
      <c r="M66" s="39">
        <f>IF($L66="","",INT($L66/1000000000))</f>
        <v/>
      </c>
      <c r="N66" s="39">
        <f>IF($L66="","",INT(($L66-INT($L66/1000000)*1000000)/1000))</f>
        <v/>
      </c>
      <c r="O66" s="39">
        <f>IF($L66="","",$L66-INT($L66/1000)*1000)</f>
        <v/>
      </c>
      <c r="P66" s="39">
        <f>IF($L66="","",INT(($L66-INT($L66/1000000000)*1000000000)/100000000))</f>
        <v/>
      </c>
    </row>
    <row r="67">
      <c r="B67" s="42">
        <f>IF($L67="","",$M67)</f>
        <v/>
      </c>
      <c r="C67" s="22">
        <f>IF($L67="","",INDEX(HSI!$C$7:$C$106,$N67))</f>
        <v/>
      </c>
      <c r="D67" s="22">
        <f>IF($L67="","",INDEX(HSI!$D$7:$D$106,$N67))</f>
        <v/>
      </c>
      <c r="E67" s="43">
        <f>IF($L67="","",IF($P67=0,"TBA",IFERROR(INDEX(Grids!$C$12:$BO$111,$N67,$O67),"-")))</f>
        <v/>
      </c>
      <c r="F67" s="22">
        <f>IF($L67="","",INDEX(HSI!$F$7:$F$106,$N67))</f>
        <v/>
      </c>
      <c r="G67" s="43">
        <f>IF($L67="","",IF($P67=0,"TBA",IFERROR(INDEX(Grids!$BQ$12:$EC$111,$N67,$O67),"-")))</f>
        <v/>
      </c>
      <c r="H67" s="44">
        <f>IF($L67="","",SUM($G$10:$G67))</f>
        <v/>
      </c>
      <c r="I67" s="45">
        <f>IF($L67="","",IF(INT(($L67-INT($L67/10000000)*10000000)/1000000)=0,"Bloomberg projection",IF($P67=1,"ANNOUNCED","ANNOUNCED - amount TBA")))</f>
        <v/>
      </c>
      <c r="J67" s="46">
        <f>IF($L67="","",IF((OV_SWITCH="ON")*(COUNTIFS(OVR_TICKERS,INDEX(HSI!$C$7:$C$106,$N67),OVR_BASE,"&gt;=0")&gt;0)&gt;0,"stock overridden",""))</f>
        <v/>
      </c>
      <c r="L67" s="39">
        <f>IFERROR(IF(SMALL(Grids!$EE$12:$GQ$111,$M$7+58)&gt;=PEND_TO,"",SMALL(Grids!$EE$12:$GQ$111,$M$7+58)),"")</f>
        <v/>
      </c>
      <c r="M67" s="39">
        <f>IF($L67="","",INT($L67/1000000000))</f>
        <v/>
      </c>
      <c r="N67" s="39">
        <f>IF($L67="","",INT(($L67-INT($L67/1000000)*1000000)/1000))</f>
        <v/>
      </c>
      <c r="O67" s="39">
        <f>IF($L67="","",$L67-INT($L67/1000)*1000)</f>
        <v/>
      </c>
      <c r="P67" s="39">
        <f>IF($L67="","",INT(($L67-INT($L67/1000000000)*1000000000)/100000000))</f>
        <v/>
      </c>
    </row>
    <row r="68">
      <c r="B68" s="42">
        <f>IF($L68="","",$M68)</f>
        <v/>
      </c>
      <c r="C68" s="22">
        <f>IF($L68="","",INDEX(HSI!$C$7:$C$106,$N68))</f>
        <v/>
      </c>
      <c r="D68" s="22">
        <f>IF($L68="","",INDEX(HSI!$D$7:$D$106,$N68))</f>
        <v/>
      </c>
      <c r="E68" s="43">
        <f>IF($L68="","",IF($P68=0,"TBA",IFERROR(INDEX(Grids!$C$12:$BO$111,$N68,$O68),"-")))</f>
        <v/>
      </c>
      <c r="F68" s="22">
        <f>IF($L68="","",INDEX(HSI!$F$7:$F$106,$N68))</f>
        <v/>
      </c>
      <c r="G68" s="43">
        <f>IF($L68="","",IF($P68=0,"TBA",IFERROR(INDEX(Grids!$BQ$12:$EC$111,$N68,$O68),"-")))</f>
        <v/>
      </c>
      <c r="H68" s="44">
        <f>IF($L68="","",SUM($G$10:$G68))</f>
        <v/>
      </c>
      <c r="I68" s="45">
        <f>IF($L68="","",IF(INT(($L68-INT($L68/10000000)*10000000)/1000000)=0,"Bloomberg projection",IF($P68=1,"ANNOUNCED","ANNOUNCED - amount TBA")))</f>
        <v/>
      </c>
      <c r="J68" s="46">
        <f>IF($L68="","",IF((OV_SWITCH="ON")*(COUNTIFS(OVR_TICKERS,INDEX(HSI!$C$7:$C$106,$N68),OVR_BASE,"&gt;=0")&gt;0)&gt;0,"stock overridden",""))</f>
        <v/>
      </c>
      <c r="L68" s="39">
        <f>IFERROR(IF(SMALL(Grids!$EE$12:$GQ$111,$M$7+59)&gt;=PEND_TO,"",SMALL(Grids!$EE$12:$GQ$111,$M$7+59)),"")</f>
        <v/>
      </c>
      <c r="M68" s="39">
        <f>IF($L68="","",INT($L68/1000000000))</f>
        <v/>
      </c>
      <c r="N68" s="39">
        <f>IF($L68="","",INT(($L68-INT($L68/1000000)*1000000)/1000))</f>
        <v/>
      </c>
      <c r="O68" s="39">
        <f>IF($L68="","",$L68-INT($L68/1000)*1000)</f>
        <v/>
      </c>
      <c r="P68" s="39">
        <f>IF($L68="","",INT(($L68-INT($L68/1000000000)*1000000000)/100000000))</f>
        <v/>
      </c>
    </row>
    <row r="69">
      <c r="B69" s="42">
        <f>IF($L69="","",$M69)</f>
        <v/>
      </c>
      <c r="C69" s="22">
        <f>IF($L69="","",INDEX(HSI!$C$7:$C$106,$N69))</f>
        <v/>
      </c>
      <c r="D69" s="22">
        <f>IF($L69="","",INDEX(HSI!$D$7:$D$106,$N69))</f>
        <v/>
      </c>
      <c r="E69" s="43">
        <f>IF($L69="","",IF($P69=0,"TBA",IFERROR(INDEX(Grids!$C$12:$BO$111,$N69,$O69),"-")))</f>
        <v/>
      </c>
      <c r="F69" s="22">
        <f>IF($L69="","",INDEX(HSI!$F$7:$F$106,$N69))</f>
        <v/>
      </c>
      <c r="G69" s="43">
        <f>IF($L69="","",IF($P69=0,"TBA",IFERROR(INDEX(Grids!$BQ$12:$EC$111,$N69,$O69),"-")))</f>
        <v/>
      </c>
      <c r="H69" s="44">
        <f>IF($L69="","",SUM($G$10:$G69))</f>
        <v/>
      </c>
      <c r="I69" s="45">
        <f>IF($L69="","",IF(INT(($L69-INT($L69/10000000)*10000000)/1000000)=0,"Bloomberg projection",IF($P69=1,"ANNOUNCED","ANNOUNCED - amount TBA")))</f>
        <v/>
      </c>
      <c r="J69" s="46">
        <f>IF($L69="","",IF((OV_SWITCH="ON")*(COUNTIFS(OVR_TICKERS,INDEX(HSI!$C$7:$C$106,$N69),OVR_BASE,"&gt;=0")&gt;0)&gt;0,"stock overridden",""))</f>
        <v/>
      </c>
      <c r="L69" s="39">
        <f>IFERROR(IF(SMALL(Grids!$EE$12:$GQ$111,$M$7+60)&gt;=PEND_TO,"",SMALL(Grids!$EE$12:$GQ$111,$M$7+60)),"")</f>
        <v/>
      </c>
      <c r="M69" s="39">
        <f>IF($L69="","",INT($L69/1000000000))</f>
        <v/>
      </c>
      <c r="N69" s="39">
        <f>IF($L69="","",INT(($L69-INT($L69/1000000)*1000000)/1000))</f>
        <v/>
      </c>
      <c r="O69" s="39">
        <f>IF($L69="","",$L69-INT($L69/1000)*1000)</f>
        <v/>
      </c>
      <c r="P69" s="39">
        <f>IF($L69="","",INT(($L69-INT($L69/1000000000)*1000000000)/100000000))</f>
        <v/>
      </c>
    </row>
    <row r="70">
      <c r="B70" s="42">
        <f>IF($L70="","",$M70)</f>
        <v/>
      </c>
      <c r="C70" s="22">
        <f>IF($L70="","",INDEX(HSI!$C$7:$C$106,$N70))</f>
        <v/>
      </c>
      <c r="D70" s="22">
        <f>IF($L70="","",INDEX(HSI!$D$7:$D$106,$N70))</f>
        <v/>
      </c>
      <c r="E70" s="43">
        <f>IF($L70="","",IF($P70=0,"TBA",IFERROR(INDEX(Grids!$C$12:$BO$111,$N70,$O70),"-")))</f>
        <v/>
      </c>
      <c r="F70" s="22">
        <f>IF($L70="","",INDEX(HSI!$F$7:$F$106,$N70))</f>
        <v/>
      </c>
      <c r="G70" s="43">
        <f>IF($L70="","",IF($P70=0,"TBA",IFERROR(INDEX(Grids!$BQ$12:$EC$111,$N70,$O70),"-")))</f>
        <v/>
      </c>
      <c r="H70" s="44">
        <f>IF($L70="","",SUM($G$10:$G70))</f>
        <v/>
      </c>
      <c r="I70" s="45">
        <f>IF($L70="","",IF(INT(($L70-INT($L70/10000000)*10000000)/1000000)=0,"Bloomberg projection",IF($P70=1,"ANNOUNCED","ANNOUNCED - amount TBA")))</f>
        <v/>
      </c>
      <c r="J70" s="46">
        <f>IF($L70="","",IF((OV_SWITCH="ON")*(COUNTIFS(OVR_TICKERS,INDEX(HSI!$C$7:$C$106,$N70),OVR_BASE,"&gt;=0")&gt;0)&gt;0,"stock overridden",""))</f>
        <v/>
      </c>
      <c r="L70" s="39">
        <f>IFERROR(IF(SMALL(Grids!$EE$12:$GQ$111,$M$7+61)&gt;=PEND_TO,"",SMALL(Grids!$EE$12:$GQ$111,$M$7+61)),"")</f>
        <v/>
      </c>
      <c r="M70" s="39">
        <f>IF($L70="","",INT($L70/1000000000))</f>
        <v/>
      </c>
      <c r="N70" s="39">
        <f>IF($L70="","",INT(($L70-INT($L70/1000000)*1000000)/1000))</f>
        <v/>
      </c>
      <c r="O70" s="39">
        <f>IF($L70="","",$L70-INT($L70/1000)*1000)</f>
        <v/>
      </c>
      <c r="P70" s="39">
        <f>IF($L70="","",INT(($L70-INT($L70/1000000000)*1000000000)/100000000))</f>
        <v/>
      </c>
    </row>
    <row r="71">
      <c r="B71" s="42">
        <f>IF($L71="","",$M71)</f>
        <v/>
      </c>
      <c r="C71" s="22">
        <f>IF($L71="","",INDEX(HSI!$C$7:$C$106,$N71))</f>
        <v/>
      </c>
      <c r="D71" s="22">
        <f>IF($L71="","",INDEX(HSI!$D$7:$D$106,$N71))</f>
        <v/>
      </c>
      <c r="E71" s="43">
        <f>IF($L71="","",IF($P71=0,"TBA",IFERROR(INDEX(Grids!$C$12:$BO$111,$N71,$O71),"-")))</f>
        <v/>
      </c>
      <c r="F71" s="22">
        <f>IF($L71="","",INDEX(HSI!$F$7:$F$106,$N71))</f>
        <v/>
      </c>
      <c r="G71" s="43">
        <f>IF($L71="","",IF($P71=0,"TBA",IFERROR(INDEX(Grids!$BQ$12:$EC$111,$N71,$O71),"-")))</f>
        <v/>
      </c>
      <c r="H71" s="44">
        <f>IF($L71="","",SUM($G$10:$G71))</f>
        <v/>
      </c>
      <c r="I71" s="45">
        <f>IF($L71="","",IF(INT(($L71-INT($L71/10000000)*10000000)/1000000)=0,"Bloomberg projection",IF($P71=1,"ANNOUNCED","ANNOUNCED - amount TBA")))</f>
        <v/>
      </c>
      <c r="J71" s="46">
        <f>IF($L71="","",IF((OV_SWITCH="ON")*(COUNTIFS(OVR_TICKERS,INDEX(HSI!$C$7:$C$106,$N71),OVR_BASE,"&gt;=0")&gt;0)&gt;0,"stock overridden",""))</f>
        <v/>
      </c>
      <c r="L71" s="39">
        <f>IFERROR(IF(SMALL(Grids!$EE$12:$GQ$111,$M$7+62)&gt;=PEND_TO,"",SMALL(Grids!$EE$12:$GQ$111,$M$7+62)),"")</f>
        <v/>
      </c>
      <c r="M71" s="39">
        <f>IF($L71="","",INT($L71/1000000000))</f>
        <v/>
      </c>
      <c r="N71" s="39">
        <f>IF($L71="","",INT(($L71-INT($L71/1000000)*1000000)/1000))</f>
        <v/>
      </c>
      <c r="O71" s="39">
        <f>IF($L71="","",$L71-INT($L71/1000)*1000)</f>
        <v/>
      </c>
      <c r="P71" s="39">
        <f>IF($L71="","",INT(($L71-INT($L71/1000000000)*1000000000)/100000000))</f>
        <v/>
      </c>
    </row>
    <row r="72">
      <c r="B72" s="42">
        <f>IF($L72="","",$M72)</f>
        <v/>
      </c>
      <c r="C72" s="22">
        <f>IF($L72="","",INDEX(HSI!$C$7:$C$106,$N72))</f>
        <v/>
      </c>
      <c r="D72" s="22">
        <f>IF($L72="","",INDEX(HSI!$D$7:$D$106,$N72))</f>
        <v/>
      </c>
      <c r="E72" s="43">
        <f>IF($L72="","",IF($P72=0,"TBA",IFERROR(INDEX(Grids!$C$12:$BO$111,$N72,$O72),"-")))</f>
        <v/>
      </c>
      <c r="F72" s="22">
        <f>IF($L72="","",INDEX(HSI!$F$7:$F$106,$N72))</f>
        <v/>
      </c>
      <c r="G72" s="43">
        <f>IF($L72="","",IF($P72=0,"TBA",IFERROR(INDEX(Grids!$BQ$12:$EC$111,$N72,$O72),"-")))</f>
        <v/>
      </c>
      <c r="H72" s="44">
        <f>IF($L72="","",SUM($G$10:$G72))</f>
        <v/>
      </c>
      <c r="I72" s="45">
        <f>IF($L72="","",IF(INT(($L72-INT($L72/10000000)*10000000)/1000000)=0,"Bloomberg projection",IF($P72=1,"ANNOUNCED","ANNOUNCED - amount TBA")))</f>
        <v/>
      </c>
      <c r="J72" s="46">
        <f>IF($L72="","",IF((OV_SWITCH="ON")*(COUNTIFS(OVR_TICKERS,INDEX(HSI!$C$7:$C$106,$N72),OVR_BASE,"&gt;=0")&gt;0)&gt;0,"stock overridden",""))</f>
        <v/>
      </c>
      <c r="L72" s="39">
        <f>IFERROR(IF(SMALL(Grids!$EE$12:$GQ$111,$M$7+63)&gt;=PEND_TO,"",SMALL(Grids!$EE$12:$GQ$111,$M$7+63)),"")</f>
        <v/>
      </c>
      <c r="M72" s="39">
        <f>IF($L72="","",INT($L72/1000000000))</f>
        <v/>
      </c>
      <c r="N72" s="39">
        <f>IF($L72="","",INT(($L72-INT($L72/1000000)*1000000)/1000))</f>
        <v/>
      </c>
      <c r="O72" s="39">
        <f>IF($L72="","",$L72-INT($L72/1000)*1000)</f>
        <v/>
      </c>
      <c r="P72" s="39">
        <f>IF($L72="","",INT(($L72-INT($L72/1000000000)*1000000000)/100000000))</f>
        <v/>
      </c>
    </row>
    <row r="73">
      <c r="B73" s="42">
        <f>IF($L73="","",$M73)</f>
        <v/>
      </c>
      <c r="C73" s="22">
        <f>IF($L73="","",INDEX(HSI!$C$7:$C$106,$N73))</f>
        <v/>
      </c>
      <c r="D73" s="22">
        <f>IF($L73="","",INDEX(HSI!$D$7:$D$106,$N73))</f>
        <v/>
      </c>
      <c r="E73" s="43">
        <f>IF($L73="","",IF($P73=0,"TBA",IFERROR(INDEX(Grids!$C$12:$BO$111,$N73,$O73),"-")))</f>
        <v/>
      </c>
      <c r="F73" s="22">
        <f>IF($L73="","",INDEX(HSI!$F$7:$F$106,$N73))</f>
        <v/>
      </c>
      <c r="G73" s="43">
        <f>IF($L73="","",IF($P73=0,"TBA",IFERROR(INDEX(Grids!$BQ$12:$EC$111,$N73,$O73),"-")))</f>
        <v/>
      </c>
      <c r="H73" s="44">
        <f>IF($L73="","",SUM($G$10:$G73))</f>
        <v/>
      </c>
      <c r="I73" s="45">
        <f>IF($L73="","",IF(INT(($L73-INT($L73/10000000)*10000000)/1000000)=0,"Bloomberg projection",IF($P73=1,"ANNOUNCED","ANNOUNCED - amount TBA")))</f>
        <v/>
      </c>
      <c r="J73" s="46">
        <f>IF($L73="","",IF((OV_SWITCH="ON")*(COUNTIFS(OVR_TICKERS,INDEX(HSI!$C$7:$C$106,$N73),OVR_BASE,"&gt;=0")&gt;0)&gt;0,"stock overridden",""))</f>
        <v/>
      </c>
      <c r="L73" s="39">
        <f>IFERROR(IF(SMALL(Grids!$EE$12:$GQ$111,$M$7+64)&gt;=PEND_TO,"",SMALL(Grids!$EE$12:$GQ$111,$M$7+64)),"")</f>
        <v/>
      </c>
      <c r="M73" s="39">
        <f>IF($L73="","",INT($L73/1000000000))</f>
        <v/>
      </c>
      <c r="N73" s="39">
        <f>IF($L73="","",INT(($L73-INT($L73/1000000)*1000000)/1000))</f>
        <v/>
      </c>
      <c r="O73" s="39">
        <f>IF($L73="","",$L73-INT($L73/1000)*1000)</f>
        <v/>
      </c>
      <c r="P73" s="39">
        <f>IF($L73="","",INT(($L73-INT($L73/1000000000)*1000000000)/100000000))</f>
        <v/>
      </c>
    </row>
    <row r="74">
      <c r="B74" s="42">
        <f>IF($L74="","",$M74)</f>
        <v/>
      </c>
      <c r="C74" s="22">
        <f>IF($L74="","",INDEX(HSI!$C$7:$C$106,$N74))</f>
        <v/>
      </c>
      <c r="D74" s="22">
        <f>IF($L74="","",INDEX(HSI!$D$7:$D$106,$N74))</f>
        <v/>
      </c>
      <c r="E74" s="43">
        <f>IF($L74="","",IF($P74=0,"TBA",IFERROR(INDEX(Grids!$C$12:$BO$111,$N74,$O74),"-")))</f>
        <v/>
      </c>
      <c r="F74" s="22">
        <f>IF($L74="","",INDEX(HSI!$F$7:$F$106,$N74))</f>
        <v/>
      </c>
      <c r="G74" s="43">
        <f>IF($L74="","",IF($P74=0,"TBA",IFERROR(INDEX(Grids!$BQ$12:$EC$111,$N74,$O74),"-")))</f>
        <v/>
      </c>
      <c r="H74" s="44">
        <f>IF($L74="","",SUM($G$10:$G74))</f>
        <v/>
      </c>
      <c r="I74" s="45">
        <f>IF($L74="","",IF(INT(($L74-INT($L74/10000000)*10000000)/1000000)=0,"Bloomberg projection",IF($P74=1,"ANNOUNCED","ANNOUNCED - amount TBA")))</f>
        <v/>
      </c>
      <c r="J74" s="46">
        <f>IF($L74="","",IF((OV_SWITCH="ON")*(COUNTIFS(OVR_TICKERS,INDEX(HSI!$C$7:$C$106,$N74),OVR_BASE,"&gt;=0")&gt;0)&gt;0,"stock overridden",""))</f>
        <v/>
      </c>
      <c r="L74" s="39">
        <f>IFERROR(IF(SMALL(Grids!$EE$12:$GQ$111,$M$7+65)&gt;=PEND_TO,"",SMALL(Grids!$EE$12:$GQ$111,$M$7+65)),"")</f>
        <v/>
      </c>
      <c r="M74" s="39">
        <f>IF($L74="","",INT($L74/1000000000))</f>
        <v/>
      </c>
      <c r="N74" s="39">
        <f>IF($L74="","",INT(($L74-INT($L74/1000000)*1000000)/1000))</f>
        <v/>
      </c>
      <c r="O74" s="39">
        <f>IF($L74="","",$L74-INT($L74/1000)*1000)</f>
        <v/>
      </c>
      <c r="P74" s="39">
        <f>IF($L74="","",INT(($L74-INT($L74/1000000000)*1000000000)/100000000))</f>
        <v/>
      </c>
    </row>
    <row r="75">
      <c r="B75" s="42">
        <f>IF($L75="","",$M75)</f>
        <v/>
      </c>
      <c r="C75" s="22">
        <f>IF($L75="","",INDEX(HSI!$C$7:$C$106,$N75))</f>
        <v/>
      </c>
      <c r="D75" s="22">
        <f>IF($L75="","",INDEX(HSI!$D$7:$D$106,$N75))</f>
        <v/>
      </c>
      <c r="E75" s="43">
        <f>IF($L75="","",IF($P75=0,"TBA",IFERROR(INDEX(Grids!$C$12:$BO$111,$N75,$O75),"-")))</f>
        <v/>
      </c>
      <c r="F75" s="22">
        <f>IF($L75="","",INDEX(HSI!$F$7:$F$106,$N75))</f>
        <v/>
      </c>
      <c r="G75" s="43">
        <f>IF($L75="","",IF($P75=0,"TBA",IFERROR(INDEX(Grids!$BQ$12:$EC$111,$N75,$O75),"-")))</f>
        <v/>
      </c>
      <c r="H75" s="44">
        <f>IF($L75="","",SUM($G$10:$G75))</f>
        <v/>
      </c>
      <c r="I75" s="45">
        <f>IF($L75="","",IF(INT(($L75-INT($L75/10000000)*10000000)/1000000)=0,"Bloomberg projection",IF($P75=1,"ANNOUNCED","ANNOUNCED - amount TBA")))</f>
        <v/>
      </c>
      <c r="J75" s="46">
        <f>IF($L75="","",IF((OV_SWITCH="ON")*(COUNTIFS(OVR_TICKERS,INDEX(HSI!$C$7:$C$106,$N75),OVR_BASE,"&gt;=0")&gt;0)&gt;0,"stock overridden",""))</f>
        <v/>
      </c>
      <c r="L75" s="39">
        <f>IFERROR(IF(SMALL(Grids!$EE$12:$GQ$111,$M$7+66)&gt;=PEND_TO,"",SMALL(Grids!$EE$12:$GQ$111,$M$7+66)),"")</f>
        <v/>
      </c>
      <c r="M75" s="39">
        <f>IF($L75="","",INT($L75/1000000000))</f>
        <v/>
      </c>
      <c r="N75" s="39">
        <f>IF($L75="","",INT(($L75-INT($L75/1000000)*1000000)/1000))</f>
        <v/>
      </c>
      <c r="O75" s="39">
        <f>IF($L75="","",$L75-INT($L75/1000)*1000)</f>
        <v/>
      </c>
      <c r="P75" s="39">
        <f>IF($L75="","",INT(($L75-INT($L75/1000000000)*1000000000)/100000000))</f>
        <v/>
      </c>
    </row>
    <row r="76">
      <c r="B76" s="42">
        <f>IF($L76="","",$M76)</f>
        <v/>
      </c>
      <c r="C76" s="22">
        <f>IF($L76="","",INDEX(HSI!$C$7:$C$106,$N76))</f>
        <v/>
      </c>
      <c r="D76" s="22">
        <f>IF($L76="","",INDEX(HSI!$D$7:$D$106,$N76))</f>
        <v/>
      </c>
      <c r="E76" s="43">
        <f>IF($L76="","",IF($P76=0,"TBA",IFERROR(INDEX(Grids!$C$12:$BO$111,$N76,$O76),"-")))</f>
        <v/>
      </c>
      <c r="F76" s="22">
        <f>IF($L76="","",INDEX(HSI!$F$7:$F$106,$N76))</f>
        <v/>
      </c>
      <c r="G76" s="43">
        <f>IF($L76="","",IF($P76=0,"TBA",IFERROR(INDEX(Grids!$BQ$12:$EC$111,$N76,$O76),"-")))</f>
        <v/>
      </c>
      <c r="H76" s="44">
        <f>IF($L76="","",SUM($G$10:$G76))</f>
        <v/>
      </c>
      <c r="I76" s="45">
        <f>IF($L76="","",IF(INT(($L76-INT($L76/10000000)*10000000)/1000000)=0,"Bloomberg projection",IF($P76=1,"ANNOUNCED","ANNOUNCED - amount TBA")))</f>
        <v/>
      </c>
      <c r="J76" s="46">
        <f>IF($L76="","",IF((OV_SWITCH="ON")*(COUNTIFS(OVR_TICKERS,INDEX(HSI!$C$7:$C$106,$N76),OVR_BASE,"&gt;=0")&gt;0)&gt;0,"stock overridden",""))</f>
        <v/>
      </c>
      <c r="L76" s="39">
        <f>IFERROR(IF(SMALL(Grids!$EE$12:$GQ$111,$M$7+67)&gt;=PEND_TO,"",SMALL(Grids!$EE$12:$GQ$111,$M$7+67)),"")</f>
        <v/>
      </c>
      <c r="M76" s="39">
        <f>IF($L76="","",INT($L76/1000000000))</f>
        <v/>
      </c>
      <c r="N76" s="39">
        <f>IF($L76="","",INT(($L76-INT($L76/1000000)*1000000)/1000))</f>
        <v/>
      </c>
      <c r="O76" s="39">
        <f>IF($L76="","",$L76-INT($L76/1000)*1000)</f>
        <v/>
      </c>
      <c r="P76" s="39">
        <f>IF($L76="","",INT(($L76-INT($L76/1000000000)*1000000000)/100000000))</f>
        <v/>
      </c>
    </row>
    <row r="77">
      <c r="B77" s="42">
        <f>IF($L77="","",$M77)</f>
        <v/>
      </c>
      <c r="C77" s="22">
        <f>IF($L77="","",INDEX(HSI!$C$7:$C$106,$N77))</f>
        <v/>
      </c>
      <c r="D77" s="22">
        <f>IF($L77="","",INDEX(HSI!$D$7:$D$106,$N77))</f>
        <v/>
      </c>
      <c r="E77" s="43">
        <f>IF($L77="","",IF($P77=0,"TBA",IFERROR(INDEX(Grids!$C$12:$BO$111,$N77,$O77),"-")))</f>
        <v/>
      </c>
      <c r="F77" s="22">
        <f>IF($L77="","",INDEX(HSI!$F$7:$F$106,$N77))</f>
        <v/>
      </c>
      <c r="G77" s="43">
        <f>IF($L77="","",IF($P77=0,"TBA",IFERROR(INDEX(Grids!$BQ$12:$EC$111,$N77,$O77),"-")))</f>
        <v/>
      </c>
      <c r="H77" s="44">
        <f>IF($L77="","",SUM($G$10:$G77))</f>
        <v/>
      </c>
      <c r="I77" s="45">
        <f>IF($L77="","",IF(INT(($L77-INT($L77/10000000)*10000000)/1000000)=0,"Bloomberg projection",IF($P77=1,"ANNOUNCED","ANNOUNCED - amount TBA")))</f>
        <v/>
      </c>
      <c r="J77" s="46">
        <f>IF($L77="","",IF((OV_SWITCH="ON")*(COUNTIFS(OVR_TICKERS,INDEX(HSI!$C$7:$C$106,$N77),OVR_BASE,"&gt;=0")&gt;0)&gt;0,"stock overridden",""))</f>
        <v/>
      </c>
      <c r="L77" s="39">
        <f>IFERROR(IF(SMALL(Grids!$EE$12:$GQ$111,$M$7+68)&gt;=PEND_TO,"",SMALL(Grids!$EE$12:$GQ$111,$M$7+68)),"")</f>
        <v/>
      </c>
      <c r="M77" s="39">
        <f>IF($L77="","",INT($L77/1000000000))</f>
        <v/>
      </c>
      <c r="N77" s="39">
        <f>IF($L77="","",INT(($L77-INT($L77/1000000)*1000000)/1000))</f>
        <v/>
      </c>
      <c r="O77" s="39">
        <f>IF($L77="","",$L77-INT($L77/1000)*1000)</f>
        <v/>
      </c>
      <c r="P77" s="39">
        <f>IF($L77="","",INT(($L77-INT($L77/1000000000)*1000000000)/100000000))</f>
        <v/>
      </c>
    </row>
    <row r="78">
      <c r="B78" s="42">
        <f>IF($L78="","",$M78)</f>
        <v/>
      </c>
      <c r="C78" s="22">
        <f>IF($L78="","",INDEX(HSI!$C$7:$C$106,$N78))</f>
        <v/>
      </c>
      <c r="D78" s="22">
        <f>IF($L78="","",INDEX(HSI!$D$7:$D$106,$N78))</f>
        <v/>
      </c>
      <c r="E78" s="43">
        <f>IF($L78="","",IF($P78=0,"TBA",IFERROR(INDEX(Grids!$C$12:$BO$111,$N78,$O78),"-")))</f>
        <v/>
      </c>
      <c r="F78" s="22">
        <f>IF($L78="","",INDEX(HSI!$F$7:$F$106,$N78))</f>
        <v/>
      </c>
      <c r="G78" s="43">
        <f>IF($L78="","",IF($P78=0,"TBA",IFERROR(INDEX(Grids!$BQ$12:$EC$111,$N78,$O78),"-")))</f>
        <v/>
      </c>
      <c r="H78" s="44">
        <f>IF($L78="","",SUM($G$10:$G78))</f>
        <v/>
      </c>
      <c r="I78" s="45">
        <f>IF($L78="","",IF(INT(($L78-INT($L78/10000000)*10000000)/1000000)=0,"Bloomberg projection",IF($P78=1,"ANNOUNCED","ANNOUNCED - amount TBA")))</f>
        <v/>
      </c>
      <c r="J78" s="46">
        <f>IF($L78="","",IF((OV_SWITCH="ON")*(COUNTIFS(OVR_TICKERS,INDEX(HSI!$C$7:$C$106,$N78),OVR_BASE,"&gt;=0")&gt;0)&gt;0,"stock overridden",""))</f>
        <v/>
      </c>
      <c r="L78" s="39">
        <f>IFERROR(IF(SMALL(Grids!$EE$12:$GQ$111,$M$7+69)&gt;=PEND_TO,"",SMALL(Grids!$EE$12:$GQ$111,$M$7+69)),"")</f>
        <v/>
      </c>
      <c r="M78" s="39">
        <f>IF($L78="","",INT($L78/1000000000))</f>
        <v/>
      </c>
      <c r="N78" s="39">
        <f>IF($L78="","",INT(($L78-INT($L78/1000000)*1000000)/1000))</f>
        <v/>
      </c>
      <c r="O78" s="39">
        <f>IF($L78="","",$L78-INT($L78/1000)*1000)</f>
        <v/>
      </c>
      <c r="P78" s="39">
        <f>IF($L78="","",INT(($L78-INT($L78/1000000000)*1000000000)/100000000))</f>
        <v/>
      </c>
    </row>
    <row r="79">
      <c r="B79" s="42">
        <f>IF($L79="","",$M79)</f>
        <v/>
      </c>
      <c r="C79" s="22">
        <f>IF($L79="","",INDEX(HSI!$C$7:$C$106,$N79))</f>
        <v/>
      </c>
      <c r="D79" s="22">
        <f>IF($L79="","",INDEX(HSI!$D$7:$D$106,$N79))</f>
        <v/>
      </c>
      <c r="E79" s="43">
        <f>IF($L79="","",IF($P79=0,"TBA",IFERROR(INDEX(Grids!$C$12:$BO$111,$N79,$O79),"-")))</f>
        <v/>
      </c>
      <c r="F79" s="22">
        <f>IF($L79="","",INDEX(HSI!$F$7:$F$106,$N79))</f>
        <v/>
      </c>
      <c r="G79" s="43">
        <f>IF($L79="","",IF($P79=0,"TBA",IFERROR(INDEX(Grids!$BQ$12:$EC$111,$N79,$O79),"-")))</f>
        <v/>
      </c>
      <c r="H79" s="44">
        <f>IF($L79="","",SUM($G$10:$G79))</f>
        <v/>
      </c>
      <c r="I79" s="45">
        <f>IF($L79="","",IF(INT(($L79-INT($L79/10000000)*10000000)/1000000)=0,"Bloomberg projection",IF($P79=1,"ANNOUNCED","ANNOUNCED - amount TBA")))</f>
        <v/>
      </c>
      <c r="J79" s="46">
        <f>IF($L79="","",IF((OV_SWITCH="ON")*(COUNTIFS(OVR_TICKERS,INDEX(HSI!$C$7:$C$106,$N79),OVR_BASE,"&gt;=0")&gt;0)&gt;0,"stock overridden",""))</f>
        <v/>
      </c>
      <c r="L79" s="39">
        <f>IFERROR(IF(SMALL(Grids!$EE$12:$GQ$111,$M$7+70)&gt;=PEND_TO,"",SMALL(Grids!$EE$12:$GQ$111,$M$7+70)),"")</f>
        <v/>
      </c>
      <c r="M79" s="39">
        <f>IF($L79="","",INT($L79/1000000000))</f>
        <v/>
      </c>
      <c r="N79" s="39">
        <f>IF($L79="","",INT(($L79-INT($L79/1000000)*1000000)/1000))</f>
        <v/>
      </c>
      <c r="O79" s="39">
        <f>IF($L79="","",$L79-INT($L79/1000)*1000)</f>
        <v/>
      </c>
      <c r="P79" s="39">
        <f>IF($L79="","",INT(($L79-INT($L79/1000000000)*1000000000)/100000000))</f>
        <v/>
      </c>
    </row>
    <row r="80">
      <c r="B80" s="42">
        <f>IF($L80="","",$M80)</f>
        <v/>
      </c>
      <c r="C80" s="22">
        <f>IF($L80="","",INDEX(HSI!$C$7:$C$106,$N80))</f>
        <v/>
      </c>
      <c r="D80" s="22">
        <f>IF($L80="","",INDEX(HSI!$D$7:$D$106,$N80))</f>
        <v/>
      </c>
      <c r="E80" s="43">
        <f>IF($L80="","",IF($P80=0,"TBA",IFERROR(INDEX(Grids!$C$12:$BO$111,$N80,$O80),"-")))</f>
        <v/>
      </c>
      <c r="F80" s="22">
        <f>IF($L80="","",INDEX(HSI!$F$7:$F$106,$N80))</f>
        <v/>
      </c>
      <c r="G80" s="43">
        <f>IF($L80="","",IF($P80=0,"TBA",IFERROR(INDEX(Grids!$BQ$12:$EC$111,$N80,$O80),"-")))</f>
        <v/>
      </c>
      <c r="H80" s="44">
        <f>IF($L80="","",SUM($G$10:$G80))</f>
        <v/>
      </c>
      <c r="I80" s="45">
        <f>IF($L80="","",IF(INT(($L80-INT($L80/10000000)*10000000)/1000000)=0,"Bloomberg projection",IF($P80=1,"ANNOUNCED","ANNOUNCED - amount TBA")))</f>
        <v/>
      </c>
      <c r="J80" s="46">
        <f>IF($L80="","",IF((OV_SWITCH="ON")*(COUNTIFS(OVR_TICKERS,INDEX(HSI!$C$7:$C$106,$N80),OVR_BASE,"&gt;=0")&gt;0)&gt;0,"stock overridden",""))</f>
        <v/>
      </c>
      <c r="L80" s="39">
        <f>IFERROR(IF(SMALL(Grids!$EE$12:$GQ$111,$M$7+71)&gt;=PEND_TO,"",SMALL(Grids!$EE$12:$GQ$111,$M$7+71)),"")</f>
        <v/>
      </c>
      <c r="M80" s="39">
        <f>IF($L80="","",INT($L80/1000000000))</f>
        <v/>
      </c>
      <c r="N80" s="39">
        <f>IF($L80="","",INT(($L80-INT($L80/1000000)*1000000)/1000))</f>
        <v/>
      </c>
      <c r="O80" s="39">
        <f>IF($L80="","",$L80-INT($L80/1000)*1000)</f>
        <v/>
      </c>
      <c r="P80" s="39">
        <f>IF($L80="","",INT(($L80-INT($L80/1000000000)*1000000000)/100000000))</f>
        <v/>
      </c>
    </row>
    <row r="81">
      <c r="B81" s="42">
        <f>IF($L81="","",$M81)</f>
        <v/>
      </c>
      <c r="C81" s="22">
        <f>IF($L81="","",INDEX(HSI!$C$7:$C$106,$N81))</f>
        <v/>
      </c>
      <c r="D81" s="22">
        <f>IF($L81="","",INDEX(HSI!$D$7:$D$106,$N81))</f>
        <v/>
      </c>
      <c r="E81" s="43">
        <f>IF($L81="","",IF($P81=0,"TBA",IFERROR(INDEX(Grids!$C$12:$BO$111,$N81,$O81),"-")))</f>
        <v/>
      </c>
      <c r="F81" s="22">
        <f>IF($L81="","",INDEX(HSI!$F$7:$F$106,$N81))</f>
        <v/>
      </c>
      <c r="G81" s="43">
        <f>IF($L81="","",IF($P81=0,"TBA",IFERROR(INDEX(Grids!$BQ$12:$EC$111,$N81,$O81),"-")))</f>
        <v/>
      </c>
      <c r="H81" s="44">
        <f>IF($L81="","",SUM($G$10:$G81))</f>
        <v/>
      </c>
      <c r="I81" s="45">
        <f>IF($L81="","",IF(INT(($L81-INT($L81/10000000)*10000000)/1000000)=0,"Bloomberg projection",IF($P81=1,"ANNOUNCED","ANNOUNCED - amount TBA")))</f>
        <v/>
      </c>
      <c r="J81" s="46">
        <f>IF($L81="","",IF((OV_SWITCH="ON")*(COUNTIFS(OVR_TICKERS,INDEX(HSI!$C$7:$C$106,$N81),OVR_BASE,"&gt;=0")&gt;0)&gt;0,"stock overridden",""))</f>
        <v/>
      </c>
      <c r="L81" s="39">
        <f>IFERROR(IF(SMALL(Grids!$EE$12:$GQ$111,$M$7+72)&gt;=PEND_TO,"",SMALL(Grids!$EE$12:$GQ$111,$M$7+72)),"")</f>
        <v/>
      </c>
      <c r="M81" s="39">
        <f>IF($L81="","",INT($L81/1000000000))</f>
        <v/>
      </c>
      <c r="N81" s="39">
        <f>IF($L81="","",INT(($L81-INT($L81/1000000)*1000000)/1000))</f>
        <v/>
      </c>
      <c r="O81" s="39">
        <f>IF($L81="","",$L81-INT($L81/1000)*1000)</f>
        <v/>
      </c>
      <c r="P81" s="39">
        <f>IF($L81="","",INT(($L81-INT($L81/1000000000)*1000000000)/100000000))</f>
        <v/>
      </c>
    </row>
    <row r="82">
      <c r="B82" s="42">
        <f>IF($L82="","",$M82)</f>
        <v/>
      </c>
      <c r="C82" s="22">
        <f>IF($L82="","",INDEX(HSI!$C$7:$C$106,$N82))</f>
        <v/>
      </c>
      <c r="D82" s="22">
        <f>IF($L82="","",INDEX(HSI!$D$7:$D$106,$N82))</f>
        <v/>
      </c>
      <c r="E82" s="43">
        <f>IF($L82="","",IF($P82=0,"TBA",IFERROR(INDEX(Grids!$C$12:$BO$111,$N82,$O82),"-")))</f>
        <v/>
      </c>
      <c r="F82" s="22">
        <f>IF($L82="","",INDEX(HSI!$F$7:$F$106,$N82))</f>
        <v/>
      </c>
      <c r="G82" s="43">
        <f>IF($L82="","",IF($P82=0,"TBA",IFERROR(INDEX(Grids!$BQ$12:$EC$111,$N82,$O82),"-")))</f>
        <v/>
      </c>
      <c r="H82" s="44">
        <f>IF($L82="","",SUM($G$10:$G82))</f>
        <v/>
      </c>
      <c r="I82" s="45">
        <f>IF($L82="","",IF(INT(($L82-INT($L82/10000000)*10000000)/1000000)=0,"Bloomberg projection",IF($P82=1,"ANNOUNCED","ANNOUNCED - amount TBA")))</f>
        <v/>
      </c>
      <c r="J82" s="46">
        <f>IF($L82="","",IF((OV_SWITCH="ON")*(COUNTIFS(OVR_TICKERS,INDEX(HSI!$C$7:$C$106,$N82),OVR_BASE,"&gt;=0")&gt;0)&gt;0,"stock overridden",""))</f>
        <v/>
      </c>
      <c r="L82" s="39">
        <f>IFERROR(IF(SMALL(Grids!$EE$12:$GQ$111,$M$7+73)&gt;=PEND_TO,"",SMALL(Grids!$EE$12:$GQ$111,$M$7+73)),"")</f>
        <v/>
      </c>
      <c r="M82" s="39">
        <f>IF($L82="","",INT($L82/1000000000))</f>
        <v/>
      </c>
      <c r="N82" s="39">
        <f>IF($L82="","",INT(($L82-INT($L82/1000000)*1000000)/1000))</f>
        <v/>
      </c>
      <c r="O82" s="39">
        <f>IF($L82="","",$L82-INT($L82/1000)*1000)</f>
        <v/>
      </c>
      <c r="P82" s="39">
        <f>IF($L82="","",INT(($L82-INT($L82/1000000000)*1000000000)/100000000))</f>
        <v/>
      </c>
    </row>
    <row r="83">
      <c r="B83" s="42">
        <f>IF($L83="","",$M83)</f>
        <v/>
      </c>
      <c r="C83" s="22">
        <f>IF($L83="","",INDEX(HSI!$C$7:$C$106,$N83))</f>
        <v/>
      </c>
      <c r="D83" s="22">
        <f>IF($L83="","",INDEX(HSI!$D$7:$D$106,$N83))</f>
        <v/>
      </c>
      <c r="E83" s="43">
        <f>IF($L83="","",IF($P83=0,"TBA",IFERROR(INDEX(Grids!$C$12:$BO$111,$N83,$O83),"-")))</f>
        <v/>
      </c>
      <c r="F83" s="22">
        <f>IF($L83="","",INDEX(HSI!$F$7:$F$106,$N83))</f>
        <v/>
      </c>
      <c r="G83" s="43">
        <f>IF($L83="","",IF($P83=0,"TBA",IFERROR(INDEX(Grids!$BQ$12:$EC$111,$N83,$O83),"-")))</f>
        <v/>
      </c>
      <c r="H83" s="44">
        <f>IF($L83="","",SUM($G$10:$G83))</f>
        <v/>
      </c>
      <c r="I83" s="45">
        <f>IF($L83="","",IF(INT(($L83-INT($L83/10000000)*10000000)/1000000)=0,"Bloomberg projection",IF($P83=1,"ANNOUNCED","ANNOUNCED - amount TBA")))</f>
        <v/>
      </c>
      <c r="J83" s="46">
        <f>IF($L83="","",IF((OV_SWITCH="ON")*(COUNTIFS(OVR_TICKERS,INDEX(HSI!$C$7:$C$106,$N83),OVR_BASE,"&gt;=0")&gt;0)&gt;0,"stock overridden",""))</f>
        <v/>
      </c>
      <c r="L83" s="39">
        <f>IFERROR(IF(SMALL(Grids!$EE$12:$GQ$111,$M$7+74)&gt;=PEND_TO,"",SMALL(Grids!$EE$12:$GQ$111,$M$7+74)),"")</f>
        <v/>
      </c>
      <c r="M83" s="39">
        <f>IF($L83="","",INT($L83/1000000000))</f>
        <v/>
      </c>
      <c r="N83" s="39">
        <f>IF($L83="","",INT(($L83-INT($L83/1000000)*1000000)/1000))</f>
        <v/>
      </c>
      <c r="O83" s="39">
        <f>IF($L83="","",$L83-INT($L83/1000)*1000)</f>
        <v/>
      </c>
      <c r="P83" s="39">
        <f>IF($L83="","",INT(($L83-INT($L83/1000000000)*1000000000)/100000000))</f>
        <v/>
      </c>
    </row>
    <row r="84">
      <c r="B84" s="42">
        <f>IF($L84="","",$M84)</f>
        <v/>
      </c>
      <c r="C84" s="22">
        <f>IF($L84="","",INDEX(HSI!$C$7:$C$106,$N84))</f>
        <v/>
      </c>
      <c r="D84" s="22">
        <f>IF($L84="","",INDEX(HSI!$D$7:$D$106,$N84))</f>
        <v/>
      </c>
      <c r="E84" s="43">
        <f>IF($L84="","",IF($P84=0,"TBA",IFERROR(INDEX(Grids!$C$12:$BO$111,$N84,$O84),"-")))</f>
        <v/>
      </c>
      <c r="F84" s="22">
        <f>IF($L84="","",INDEX(HSI!$F$7:$F$106,$N84))</f>
        <v/>
      </c>
      <c r="G84" s="43">
        <f>IF($L84="","",IF($P84=0,"TBA",IFERROR(INDEX(Grids!$BQ$12:$EC$111,$N84,$O84),"-")))</f>
        <v/>
      </c>
      <c r="H84" s="44">
        <f>IF($L84="","",SUM($G$10:$G84))</f>
        <v/>
      </c>
      <c r="I84" s="45">
        <f>IF($L84="","",IF(INT(($L84-INT($L84/10000000)*10000000)/1000000)=0,"Bloomberg projection",IF($P84=1,"ANNOUNCED","ANNOUNCED - amount TBA")))</f>
        <v/>
      </c>
      <c r="J84" s="46">
        <f>IF($L84="","",IF((OV_SWITCH="ON")*(COUNTIFS(OVR_TICKERS,INDEX(HSI!$C$7:$C$106,$N84),OVR_BASE,"&gt;=0")&gt;0)&gt;0,"stock overridden",""))</f>
        <v/>
      </c>
      <c r="L84" s="39">
        <f>IFERROR(IF(SMALL(Grids!$EE$12:$GQ$111,$M$7+75)&gt;=PEND_TO,"",SMALL(Grids!$EE$12:$GQ$111,$M$7+75)),"")</f>
        <v/>
      </c>
      <c r="M84" s="39">
        <f>IF($L84="","",INT($L84/1000000000))</f>
        <v/>
      </c>
      <c r="N84" s="39">
        <f>IF($L84="","",INT(($L84-INT($L84/1000000)*1000000)/1000))</f>
        <v/>
      </c>
      <c r="O84" s="39">
        <f>IF($L84="","",$L84-INT($L84/1000)*1000)</f>
        <v/>
      </c>
      <c r="P84" s="39">
        <f>IF($L84="","",INT(($L84-INT($L84/1000000000)*1000000000)/100000000))</f>
        <v/>
      </c>
    </row>
    <row r="85">
      <c r="B85" s="42">
        <f>IF($L85="","",$M85)</f>
        <v/>
      </c>
      <c r="C85" s="22">
        <f>IF($L85="","",INDEX(HSI!$C$7:$C$106,$N85))</f>
        <v/>
      </c>
      <c r="D85" s="22">
        <f>IF($L85="","",INDEX(HSI!$D$7:$D$106,$N85))</f>
        <v/>
      </c>
      <c r="E85" s="43">
        <f>IF($L85="","",IF($P85=0,"TBA",IFERROR(INDEX(Grids!$C$12:$BO$111,$N85,$O85),"-")))</f>
        <v/>
      </c>
      <c r="F85" s="22">
        <f>IF($L85="","",INDEX(HSI!$F$7:$F$106,$N85))</f>
        <v/>
      </c>
      <c r="G85" s="43">
        <f>IF($L85="","",IF($P85=0,"TBA",IFERROR(INDEX(Grids!$BQ$12:$EC$111,$N85,$O85),"-")))</f>
        <v/>
      </c>
      <c r="H85" s="44">
        <f>IF($L85="","",SUM($G$10:$G85))</f>
        <v/>
      </c>
      <c r="I85" s="45">
        <f>IF($L85="","",IF(INT(($L85-INT($L85/10000000)*10000000)/1000000)=0,"Bloomberg projection",IF($P85=1,"ANNOUNCED","ANNOUNCED - amount TBA")))</f>
        <v/>
      </c>
      <c r="J85" s="46">
        <f>IF($L85="","",IF((OV_SWITCH="ON")*(COUNTIFS(OVR_TICKERS,INDEX(HSI!$C$7:$C$106,$N85),OVR_BASE,"&gt;=0")&gt;0)&gt;0,"stock overridden",""))</f>
        <v/>
      </c>
      <c r="L85" s="39">
        <f>IFERROR(IF(SMALL(Grids!$EE$12:$GQ$111,$M$7+76)&gt;=PEND_TO,"",SMALL(Grids!$EE$12:$GQ$111,$M$7+76)),"")</f>
        <v/>
      </c>
      <c r="M85" s="39">
        <f>IF($L85="","",INT($L85/1000000000))</f>
        <v/>
      </c>
      <c r="N85" s="39">
        <f>IF($L85="","",INT(($L85-INT($L85/1000000)*1000000)/1000))</f>
        <v/>
      </c>
      <c r="O85" s="39">
        <f>IF($L85="","",$L85-INT($L85/1000)*1000)</f>
        <v/>
      </c>
      <c r="P85" s="39">
        <f>IF($L85="","",INT(($L85-INT($L85/1000000000)*1000000000)/100000000))</f>
        <v/>
      </c>
    </row>
    <row r="86">
      <c r="B86" s="42">
        <f>IF($L86="","",$M86)</f>
        <v/>
      </c>
      <c r="C86" s="22">
        <f>IF($L86="","",INDEX(HSI!$C$7:$C$106,$N86))</f>
        <v/>
      </c>
      <c r="D86" s="22">
        <f>IF($L86="","",INDEX(HSI!$D$7:$D$106,$N86))</f>
        <v/>
      </c>
      <c r="E86" s="43">
        <f>IF($L86="","",IF($P86=0,"TBA",IFERROR(INDEX(Grids!$C$12:$BO$111,$N86,$O86),"-")))</f>
        <v/>
      </c>
      <c r="F86" s="22">
        <f>IF($L86="","",INDEX(HSI!$F$7:$F$106,$N86))</f>
        <v/>
      </c>
      <c r="G86" s="43">
        <f>IF($L86="","",IF($P86=0,"TBA",IFERROR(INDEX(Grids!$BQ$12:$EC$111,$N86,$O86),"-")))</f>
        <v/>
      </c>
      <c r="H86" s="44">
        <f>IF($L86="","",SUM($G$10:$G86))</f>
        <v/>
      </c>
      <c r="I86" s="45">
        <f>IF($L86="","",IF(INT(($L86-INT($L86/10000000)*10000000)/1000000)=0,"Bloomberg projection",IF($P86=1,"ANNOUNCED","ANNOUNCED - amount TBA")))</f>
        <v/>
      </c>
      <c r="J86" s="46">
        <f>IF($L86="","",IF((OV_SWITCH="ON")*(COUNTIFS(OVR_TICKERS,INDEX(HSI!$C$7:$C$106,$N86),OVR_BASE,"&gt;=0")&gt;0)&gt;0,"stock overridden",""))</f>
        <v/>
      </c>
      <c r="L86" s="39">
        <f>IFERROR(IF(SMALL(Grids!$EE$12:$GQ$111,$M$7+77)&gt;=PEND_TO,"",SMALL(Grids!$EE$12:$GQ$111,$M$7+77)),"")</f>
        <v/>
      </c>
      <c r="M86" s="39">
        <f>IF($L86="","",INT($L86/1000000000))</f>
        <v/>
      </c>
      <c r="N86" s="39">
        <f>IF($L86="","",INT(($L86-INT($L86/1000000)*1000000)/1000))</f>
        <v/>
      </c>
      <c r="O86" s="39">
        <f>IF($L86="","",$L86-INT($L86/1000)*1000)</f>
        <v/>
      </c>
      <c r="P86" s="39">
        <f>IF($L86="","",INT(($L86-INT($L86/1000000000)*1000000000)/100000000))</f>
        <v/>
      </c>
    </row>
    <row r="87">
      <c r="B87" s="42">
        <f>IF($L87="","",$M87)</f>
        <v/>
      </c>
      <c r="C87" s="22">
        <f>IF($L87="","",INDEX(HSI!$C$7:$C$106,$N87))</f>
        <v/>
      </c>
      <c r="D87" s="22">
        <f>IF($L87="","",INDEX(HSI!$D$7:$D$106,$N87))</f>
        <v/>
      </c>
      <c r="E87" s="43">
        <f>IF($L87="","",IF($P87=0,"TBA",IFERROR(INDEX(Grids!$C$12:$BO$111,$N87,$O87),"-")))</f>
        <v/>
      </c>
      <c r="F87" s="22">
        <f>IF($L87="","",INDEX(HSI!$F$7:$F$106,$N87))</f>
        <v/>
      </c>
      <c r="G87" s="43">
        <f>IF($L87="","",IF($P87=0,"TBA",IFERROR(INDEX(Grids!$BQ$12:$EC$111,$N87,$O87),"-")))</f>
        <v/>
      </c>
      <c r="H87" s="44">
        <f>IF($L87="","",SUM($G$10:$G87))</f>
        <v/>
      </c>
      <c r="I87" s="45">
        <f>IF($L87="","",IF(INT(($L87-INT($L87/10000000)*10000000)/1000000)=0,"Bloomberg projection",IF($P87=1,"ANNOUNCED","ANNOUNCED - amount TBA")))</f>
        <v/>
      </c>
      <c r="J87" s="46">
        <f>IF($L87="","",IF((OV_SWITCH="ON")*(COUNTIFS(OVR_TICKERS,INDEX(HSI!$C$7:$C$106,$N87),OVR_BASE,"&gt;=0")&gt;0)&gt;0,"stock overridden",""))</f>
        <v/>
      </c>
      <c r="L87" s="39">
        <f>IFERROR(IF(SMALL(Grids!$EE$12:$GQ$111,$M$7+78)&gt;=PEND_TO,"",SMALL(Grids!$EE$12:$GQ$111,$M$7+78)),"")</f>
        <v/>
      </c>
      <c r="M87" s="39">
        <f>IF($L87="","",INT($L87/1000000000))</f>
        <v/>
      </c>
      <c r="N87" s="39">
        <f>IF($L87="","",INT(($L87-INT($L87/1000000)*1000000)/1000))</f>
        <v/>
      </c>
      <c r="O87" s="39">
        <f>IF($L87="","",$L87-INT($L87/1000)*1000)</f>
        <v/>
      </c>
      <c r="P87" s="39">
        <f>IF($L87="","",INT(($L87-INT($L87/1000000000)*1000000000)/100000000))</f>
        <v/>
      </c>
    </row>
    <row r="88">
      <c r="B88" s="42">
        <f>IF($L88="","",$M88)</f>
        <v/>
      </c>
      <c r="C88" s="22">
        <f>IF($L88="","",INDEX(HSI!$C$7:$C$106,$N88))</f>
        <v/>
      </c>
      <c r="D88" s="22">
        <f>IF($L88="","",INDEX(HSI!$D$7:$D$106,$N88))</f>
        <v/>
      </c>
      <c r="E88" s="43">
        <f>IF($L88="","",IF($P88=0,"TBA",IFERROR(INDEX(Grids!$C$12:$BO$111,$N88,$O88),"-")))</f>
        <v/>
      </c>
      <c r="F88" s="22">
        <f>IF($L88="","",INDEX(HSI!$F$7:$F$106,$N88))</f>
        <v/>
      </c>
      <c r="G88" s="43">
        <f>IF($L88="","",IF($P88=0,"TBA",IFERROR(INDEX(Grids!$BQ$12:$EC$111,$N88,$O88),"-")))</f>
        <v/>
      </c>
      <c r="H88" s="44">
        <f>IF($L88="","",SUM($G$10:$G88))</f>
        <v/>
      </c>
      <c r="I88" s="45">
        <f>IF($L88="","",IF(INT(($L88-INT($L88/10000000)*10000000)/1000000)=0,"Bloomberg projection",IF($P88=1,"ANNOUNCED","ANNOUNCED - amount TBA")))</f>
        <v/>
      </c>
      <c r="J88" s="46">
        <f>IF($L88="","",IF((OV_SWITCH="ON")*(COUNTIFS(OVR_TICKERS,INDEX(HSI!$C$7:$C$106,$N88),OVR_BASE,"&gt;=0")&gt;0)&gt;0,"stock overridden",""))</f>
        <v/>
      </c>
      <c r="L88" s="39">
        <f>IFERROR(IF(SMALL(Grids!$EE$12:$GQ$111,$M$7+79)&gt;=PEND_TO,"",SMALL(Grids!$EE$12:$GQ$111,$M$7+79)),"")</f>
        <v/>
      </c>
      <c r="M88" s="39">
        <f>IF($L88="","",INT($L88/1000000000))</f>
        <v/>
      </c>
      <c r="N88" s="39">
        <f>IF($L88="","",INT(($L88-INT($L88/1000000)*1000000)/1000))</f>
        <v/>
      </c>
      <c r="O88" s="39">
        <f>IF($L88="","",$L88-INT($L88/1000)*1000)</f>
        <v/>
      </c>
      <c r="P88" s="39">
        <f>IF($L88="","",INT(($L88-INT($L88/1000000000)*1000000000)/100000000))</f>
        <v/>
      </c>
    </row>
    <row r="89">
      <c r="B89" s="42">
        <f>IF($L89="","",$M89)</f>
        <v/>
      </c>
      <c r="C89" s="22">
        <f>IF($L89="","",INDEX(HSI!$C$7:$C$106,$N89))</f>
        <v/>
      </c>
      <c r="D89" s="22">
        <f>IF($L89="","",INDEX(HSI!$D$7:$D$106,$N89))</f>
        <v/>
      </c>
      <c r="E89" s="43">
        <f>IF($L89="","",IF($P89=0,"TBA",IFERROR(INDEX(Grids!$C$12:$BO$111,$N89,$O89),"-")))</f>
        <v/>
      </c>
      <c r="F89" s="22">
        <f>IF($L89="","",INDEX(HSI!$F$7:$F$106,$N89))</f>
        <v/>
      </c>
      <c r="G89" s="43">
        <f>IF($L89="","",IF($P89=0,"TBA",IFERROR(INDEX(Grids!$BQ$12:$EC$111,$N89,$O89),"-")))</f>
        <v/>
      </c>
      <c r="H89" s="44">
        <f>IF($L89="","",SUM($G$10:$G89))</f>
        <v/>
      </c>
      <c r="I89" s="45">
        <f>IF($L89="","",IF(INT(($L89-INT($L89/10000000)*10000000)/1000000)=0,"Bloomberg projection",IF($P89=1,"ANNOUNCED","ANNOUNCED - amount TBA")))</f>
        <v/>
      </c>
      <c r="J89" s="46">
        <f>IF($L89="","",IF((OV_SWITCH="ON")*(COUNTIFS(OVR_TICKERS,INDEX(HSI!$C$7:$C$106,$N89),OVR_BASE,"&gt;=0")&gt;0)&gt;0,"stock overridden",""))</f>
        <v/>
      </c>
      <c r="L89" s="39">
        <f>IFERROR(IF(SMALL(Grids!$EE$12:$GQ$111,$M$7+80)&gt;=PEND_TO,"",SMALL(Grids!$EE$12:$GQ$111,$M$7+80)),"")</f>
        <v/>
      </c>
      <c r="M89" s="39">
        <f>IF($L89="","",INT($L89/1000000000))</f>
        <v/>
      </c>
      <c r="N89" s="39">
        <f>IF($L89="","",INT(($L89-INT($L89/1000000)*1000000)/1000))</f>
        <v/>
      </c>
      <c r="O89" s="39">
        <f>IF($L89="","",$L89-INT($L89/1000)*1000)</f>
        <v/>
      </c>
      <c r="P89" s="39">
        <f>IF($L89="","",INT(($L89-INT($L89/1000000000)*1000000000)/100000000))</f>
        <v/>
      </c>
    </row>
    <row r="90">
      <c r="B90" s="42">
        <f>IF($L90="","",$M90)</f>
        <v/>
      </c>
      <c r="C90" s="22">
        <f>IF($L90="","",INDEX(HSI!$C$7:$C$106,$N90))</f>
        <v/>
      </c>
      <c r="D90" s="22">
        <f>IF($L90="","",INDEX(HSI!$D$7:$D$106,$N90))</f>
        <v/>
      </c>
      <c r="E90" s="43">
        <f>IF($L90="","",IF($P90=0,"TBA",IFERROR(INDEX(Grids!$C$12:$BO$111,$N90,$O90),"-")))</f>
        <v/>
      </c>
      <c r="F90" s="22">
        <f>IF($L90="","",INDEX(HSI!$F$7:$F$106,$N90))</f>
        <v/>
      </c>
      <c r="G90" s="43">
        <f>IF($L90="","",IF($P90=0,"TBA",IFERROR(INDEX(Grids!$BQ$12:$EC$111,$N90,$O90),"-")))</f>
        <v/>
      </c>
      <c r="H90" s="44">
        <f>IF($L90="","",SUM($G$10:$G90))</f>
        <v/>
      </c>
      <c r="I90" s="45">
        <f>IF($L90="","",IF(INT(($L90-INT($L90/10000000)*10000000)/1000000)=0,"Bloomberg projection",IF($P90=1,"ANNOUNCED","ANNOUNCED - amount TBA")))</f>
        <v/>
      </c>
      <c r="J90" s="46">
        <f>IF($L90="","",IF((OV_SWITCH="ON")*(COUNTIFS(OVR_TICKERS,INDEX(HSI!$C$7:$C$106,$N90),OVR_BASE,"&gt;=0")&gt;0)&gt;0,"stock overridden",""))</f>
        <v/>
      </c>
      <c r="L90" s="39">
        <f>IFERROR(IF(SMALL(Grids!$EE$12:$GQ$111,$M$7+81)&gt;=PEND_TO,"",SMALL(Grids!$EE$12:$GQ$111,$M$7+81)),"")</f>
        <v/>
      </c>
      <c r="M90" s="39">
        <f>IF($L90="","",INT($L90/1000000000))</f>
        <v/>
      </c>
      <c r="N90" s="39">
        <f>IF($L90="","",INT(($L90-INT($L90/1000000)*1000000)/1000))</f>
        <v/>
      </c>
      <c r="O90" s="39">
        <f>IF($L90="","",$L90-INT($L90/1000)*1000)</f>
        <v/>
      </c>
      <c r="P90" s="39">
        <f>IF($L90="","",INT(($L90-INT($L90/1000000000)*1000000000)/100000000))</f>
        <v/>
      </c>
    </row>
    <row r="91">
      <c r="B91" s="42">
        <f>IF($L91="","",$M91)</f>
        <v/>
      </c>
      <c r="C91" s="22">
        <f>IF($L91="","",INDEX(HSI!$C$7:$C$106,$N91))</f>
        <v/>
      </c>
      <c r="D91" s="22">
        <f>IF($L91="","",INDEX(HSI!$D$7:$D$106,$N91))</f>
        <v/>
      </c>
      <c r="E91" s="43">
        <f>IF($L91="","",IF($P91=0,"TBA",IFERROR(INDEX(Grids!$C$12:$BO$111,$N91,$O91),"-")))</f>
        <v/>
      </c>
      <c r="F91" s="22">
        <f>IF($L91="","",INDEX(HSI!$F$7:$F$106,$N91))</f>
        <v/>
      </c>
      <c r="G91" s="43">
        <f>IF($L91="","",IF($P91=0,"TBA",IFERROR(INDEX(Grids!$BQ$12:$EC$111,$N91,$O91),"-")))</f>
        <v/>
      </c>
      <c r="H91" s="44">
        <f>IF($L91="","",SUM($G$10:$G91))</f>
        <v/>
      </c>
      <c r="I91" s="45">
        <f>IF($L91="","",IF(INT(($L91-INT($L91/10000000)*10000000)/1000000)=0,"Bloomberg projection",IF($P91=1,"ANNOUNCED","ANNOUNCED - amount TBA")))</f>
        <v/>
      </c>
      <c r="J91" s="46">
        <f>IF($L91="","",IF((OV_SWITCH="ON")*(COUNTIFS(OVR_TICKERS,INDEX(HSI!$C$7:$C$106,$N91),OVR_BASE,"&gt;=0")&gt;0)&gt;0,"stock overridden",""))</f>
        <v/>
      </c>
      <c r="L91" s="39">
        <f>IFERROR(IF(SMALL(Grids!$EE$12:$GQ$111,$M$7+82)&gt;=PEND_TO,"",SMALL(Grids!$EE$12:$GQ$111,$M$7+82)),"")</f>
        <v/>
      </c>
      <c r="M91" s="39">
        <f>IF($L91="","",INT($L91/1000000000))</f>
        <v/>
      </c>
      <c r="N91" s="39">
        <f>IF($L91="","",INT(($L91-INT($L91/1000000)*1000000)/1000))</f>
        <v/>
      </c>
      <c r="O91" s="39">
        <f>IF($L91="","",$L91-INT($L91/1000)*1000)</f>
        <v/>
      </c>
      <c r="P91" s="39">
        <f>IF($L91="","",INT(($L91-INT($L91/1000000000)*1000000000)/100000000))</f>
        <v/>
      </c>
    </row>
    <row r="92">
      <c r="B92" s="42">
        <f>IF($L92="","",$M92)</f>
        <v/>
      </c>
      <c r="C92" s="22">
        <f>IF($L92="","",INDEX(HSI!$C$7:$C$106,$N92))</f>
        <v/>
      </c>
      <c r="D92" s="22">
        <f>IF($L92="","",INDEX(HSI!$D$7:$D$106,$N92))</f>
        <v/>
      </c>
      <c r="E92" s="43">
        <f>IF($L92="","",IF($P92=0,"TBA",IFERROR(INDEX(Grids!$C$12:$BO$111,$N92,$O92),"-")))</f>
        <v/>
      </c>
      <c r="F92" s="22">
        <f>IF($L92="","",INDEX(HSI!$F$7:$F$106,$N92))</f>
        <v/>
      </c>
      <c r="G92" s="43">
        <f>IF($L92="","",IF($P92=0,"TBA",IFERROR(INDEX(Grids!$BQ$12:$EC$111,$N92,$O92),"-")))</f>
        <v/>
      </c>
      <c r="H92" s="44">
        <f>IF($L92="","",SUM($G$10:$G92))</f>
        <v/>
      </c>
      <c r="I92" s="45">
        <f>IF($L92="","",IF(INT(($L92-INT($L92/10000000)*10000000)/1000000)=0,"Bloomberg projection",IF($P92=1,"ANNOUNCED","ANNOUNCED - amount TBA")))</f>
        <v/>
      </c>
      <c r="J92" s="46">
        <f>IF($L92="","",IF((OV_SWITCH="ON")*(COUNTIFS(OVR_TICKERS,INDEX(HSI!$C$7:$C$106,$N92),OVR_BASE,"&gt;=0")&gt;0)&gt;0,"stock overridden",""))</f>
        <v/>
      </c>
      <c r="L92" s="39">
        <f>IFERROR(IF(SMALL(Grids!$EE$12:$GQ$111,$M$7+83)&gt;=PEND_TO,"",SMALL(Grids!$EE$12:$GQ$111,$M$7+83)),"")</f>
        <v/>
      </c>
      <c r="M92" s="39">
        <f>IF($L92="","",INT($L92/1000000000))</f>
        <v/>
      </c>
      <c r="N92" s="39">
        <f>IF($L92="","",INT(($L92-INT($L92/1000000)*1000000)/1000))</f>
        <v/>
      </c>
      <c r="O92" s="39">
        <f>IF($L92="","",$L92-INT($L92/1000)*1000)</f>
        <v/>
      </c>
      <c r="P92" s="39">
        <f>IF($L92="","",INT(($L92-INT($L92/1000000000)*1000000000)/100000000))</f>
        <v/>
      </c>
    </row>
    <row r="93">
      <c r="B93" s="42">
        <f>IF($L93="","",$M93)</f>
        <v/>
      </c>
      <c r="C93" s="22">
        <f>IF($L93="","",INDEX(HSI!$C$7:$C$106,$N93))</f>
        <v/>
      </c>
      <c r="D93" s="22">
        <f>IF($L93="","",INDEX(HSI!$D$7:$D$106,$N93))</f>
        <v/>
      </c>
      <c r="E93" s="43">
        <f>IF($L93="","",IF($P93=0,"TBA",IFERROR(INDEX(Grids!$C$12:$BO$111,$N93,$O93),"-")))</f>
        <v/>
      </c>
      <c r="F93" s="22">
        <f>IF($L93="","",INDEX(HSI!$F$7:$F$106,$N93))</f>
        <v/>
      </c>
      <c r="G93" s="43">
        <f>IF($L93="","",IF($P93=0,"TBA",IFERROR(INDEX(Grids!$BQ$12:$EC$111,$N93,$O93),"-")))</f>
        <v/>
      </c>
      <c r="H93" s="44">
        <f>IF($L93="","",SUM($G$10:$G93))</f>
        <v/>
      </c>
      <c r="I93" s="45">
        <f>IF($L93="","",IF(INT(($L93-INT($L93/10000000)*10000000)/1000000)=0,"Bloomberg projection",IF($P93=1,"ANNOUNCED","ANNOUNCED - amount TBA")))</f>
        <v/>
      </c>
      <c r="J93" s="46">
        <f>IF($L93="","",IF((OV_SWITCH="ON")*(COUNTIFS(OVR_TICKERS,INDEX(HSI!$C$7:$C$106,$N93),OVR_BASE,"&gt;=0")&gt;0)&gt;0,"stock overridden",""))</f>
        <v/>
      </c>
      <c r="L93" s="39">
        <f>IFERROR(IF(SMALL(Grids!$EE$12:$GQ$111,$M$7+84)&gt;=PEND_TO,"",SMALL(Grids!$EE$12:$GQ$111,$M$7+84)),"")</f>
        <v/>
      </c>
      <c r="M93" s="39">
        <f>IF($L93="","",INT($L93/1000000000))</f>
        <v/>
      </c>
      <c r="N93" s="39">
        <f>IF($L93="","",INT(($L93-INT($L93/1000000)*1000000)/1000))</f>
        <v/>
      </c>
      <c r="O93" s="39">
        <f>IF($L93="","",$L93-INT($L93/1000)*1000)</f>
        <v/>
      </c>
      <c r="P93" s="39">
        <f>IF($L93="","",INT(($L93-INT($L93/1000000000)*1000000000)/100000000))</f>
        <v/>
      </c>
    </row>
    <row r="94">
      <c r="B94" s="42">
        <f>IF($L94="","",$M94)</f>
        <v/>
      </c>
      <c r="C94" s="22">
        <f>IF($L94="","",INDEX(HSI!$C$7:$C$106,$N94))</f>
        <v/>
      </c>
      <c r="D94" s="22">
        <f>IF($L94="","",INDEX(HSI!$D$7:$D$106,$N94))</f>
        <v/>
      </c>
      <c r="E94" s="43">
        <f>IF($L94="","",IF($P94=0,"TBA",IFERROR(INDEX(Grids!$C$12:$BO$111,$N94,$O94),"-")))</f>
        <v/>
      </c>
      <c r="F94" s="22">
        <f>IF($L94="","",INDEX(HSI!$F$7:$F$106,$N94))</f>
        <v/>
      </c>
      <c r="G94" s="43">
        <f>IF($L94="","",IF($P94=0,"TBA",IFERROR(INDEX(Grids!$BQ$12:$EC$111,$N94,$O94),"-")))</f>
        <v/>
      </c>
      <c r="H94" s="44">
        <f>IF($L94="","",SUM($G$10:$G94))</f>
        <v/>
      </c>
      <c r="I94" s="45">
        <f>IF($L94="","",IF(INT(($L94-INT($L94/10000000)*10000000)/1000000)=0,"Bloomberg projection",IF($P94=1,"ANNOUNCED","ANNOUNCED - amount TBA")))</f>
        <v/>
      </c>
      <c r="J94" s="46">
        <f>IF($L94="","",IF((OV_SWITCH="ON")*(COUNTIFS(OVR_TICKERS,INDEX(HSI!$C$7:$C$106,$N94),OVR_BASE,"&gt;=0")&gt;0)&gt;0,"stock overridden",""))</f>
        <v/>
      </c>
      <c r="L94" s="39">
        <f>IFERROR(IF(SMALL(Grids!$EE$12:$GQ$111,$M$7+85)&gt;=PEND_TO,"",SMALL(Grids!$EE$12:$GQ$111,$M$7+85)),"")</f>
        <v/>
      </c>
      <c r="M94" s="39">
        <f>IF($L94="","",INT($L94/1000000000))</f>
        <v/>
      </c>
      <c r="N94" s="39">
        <f>IF($L94="","",INT(($L94-INT($L94/1000000)*1000000)/1000))</f>
        <v/>
      </c>
      <c r="O94" s="39">
        <f>IF($L94="","",$L94-INT($L94/1000)*1000)</f>
        <v/>
      </c>
      <c r="P94" s="39">
        <f>IF($L94="","",INT(($L94-INT($L94/1000000000)*1000000000)/100000000))</f>
        <v/>
      </c>
    </row>
    <row r="95">
      <c r="B95" s="42">
        <f>IF($L95="","",$M95)</f>
        <v/>
      </c>
      <c r="C95" s="22">
        <f>IF($L95="","",INDEX(HSI!$C$7:$C$106,$N95))</f>
        <v/>
      </c>
      <c r="D95" s="22">
        <f>IF($L95="","",INDEX(HSI!$D$7:$D$106,$N95))</f>
        <v/>
      </c>
      <c r="E95" s="43">
        <f>IF($L95="","",IF($P95=0,"TBA",IFERROR(INDEX(Grids!$C$12:$BO$111,$N95,$O95),"-")))</f>
        <v/>
      </c>
      <c r="F95" s="22">
        <f>IF($L95="","",INDEX(HSI!$F$7:$F$106,$N95))</f>
        <v/>
      </c>
      <c r="G95" s="43">
        <f>IF($L95="","",IF($P95=0,"TBA",IFERROR(INDEX(Grids!$BQ$12:$EC$111,$N95,$O95),"-")))</f>
        <v/>
      </c>
      <c r="H95" s="44">
        <f>IF($L95="","",SUM($G$10:$G95))</f>
        <v/>
      </c>
      <c r="I95" s="45">
        <f>IF($L95="","",IF(INT(($L95-INT($L95/10000000)*10000000)/1000000)=0,"Bloomberg projection",IF($P95=1,"ANNOUNCED","ANNOUNCED - amount TBA")))</f>
        <v/>
      </c>
      <c r="J95" s="46">
        <f>IF($L95="","",IF((OV_SWITCH="ON")*(COUNTIFS(OVR_TICKERS,INDEX(HSI!$C$7:$C$106,$N95),OVR_BASE,"&gt;=0")&gt;0)&gt;0,"stock overridden",""))</f>
        <v/>
      </c>
      <c r="L95" s="39">
        <f>IFERROR(IF(SMALL(Grids!$EE$12:$GQ$111,$M$7+86)&gt;=PEND_TO,"",SMALL(Grids!$EE$12:$GQ$111,$M$7+86)),"")</f>
        <v/>
      </c>
      <c r="M95" s="39">
        <f>IF($L95="","",INT($L95/1000000000))</f>
        <v/>
      </c>
      <c r="N95" s="39">
        <f>IF($L95="","",INT(($L95-INT($L95/1000000)*1000000)/1000))</f>
        <v/>
      </c>
      <c r="O95" s="39">
        <f>IF($L95="","",$L95-INT($L95/1000)*1000)</f>
        <v/>
      </c>
      <c r="P95" s="39">
        <f>IF($L95="","",INT(($L95-INT($L95/1000000000)*1000000000)/100000000))</f>
        <v/>
      </c>
    </row>
    <row r="96">
      <c r="B96" s="42">
        <f>IF($L96="","",$M96)</f>
        <v/>
      </c>
      <c r="C96" s="22">
        <f>IF($L96="","",INDEX(HSI!$C$7:$C$106,$N96))</f>
        <v/>
      </c>
      <c r="D96" s="22">
        <f>IF($L96="","",INDEX(HSI!$D$7:$D$106,$N96))</f>
        <v/>
      </c>
      <c r="E96" s="43">
        <f>IF($L96="","",IF($P96=0,"TBA",IFERROR(INDEX(Grids!$C$12:$BO$111,$N96,$O96),"-")))</f>
        <v/>
      </c>
      <c r="F96" s="22">
        <f>IF($L96="","",INDEX(HSI!$F$7:$F$106,$N96))</f>
        <v/>
      </c>
      <c r="G96" s="43">
        <f>IF($L96="","",IF($P96=0,"TBA",IFERROR(INDEX(Grids!$BQ$12:$EC$111,$N96,$O96),"-")))</f>
        <v/>
      </c>
      <c r="H96" s="44">
        <f>IF($L96="","",SUM($G$10:$G96))</f>
        <v/>
      </c>
      <c r="I96" s="45">
        <f>IF($L96="","",IF(INT(($L96-INT($L96/10000000)*10000000)/1000000)=0,"Bloomberg projection",IF($P96=1,"ANNOUNCED","ANNOUNCED - amount TBA")))</f>
        <v/>
      </c>
      <c r="J96" s="46">
        <f>IF($L96="","",IF((OV_SWITCH="ON")*(COUNTIFS(OVR_TICKERS,INDEX(HSI!$C$7:$C$106,$N96),OVR_BASE,"&gt;=0")&gt;0)&gt;0,"stock overridden",""))</f>
        <v/>
      </c>
      <c r="L96" s="39">
        <f>IFERROR(IF(SMALL(Grids!$EE$12:$GQ$111,$M$7+87)&gt;=PEND_TO,"",SMALL(Grids!$EE$12:$GQ$111,$M$7+87)),"")</f>
        <v/>
      </c>
      <c r="M96" s="39">
        <f>IF($L96="","",INT($L96/1000000000))</f>
        <v/>
      </c>
      <c r="N96" s="39">
        <f>IF($L96="","",INT(($L96-INT($L96/1000000)*1000000)/1000))</f>
        <v/>
      </c>
      <c r="O96" s="39">
        <f>IF($L96="","",$L96-INT($L96/1000)*1000)</f>
        <v/>
      </c>
      <c r="P96" s="39">
        <f>IF($L96="","",INT(($L96-INT($L96/1000000000)*1000000000)/100000000))</f>
        <v/>
      </c>
    </row>
    <row r="97">
      <c r="B97" s="42">
        <f>IF($L97="","",$M97)</f>
        <v/>
      </c>
      <c r="C97" s="22">
        <f>IF($L97="","",INDEX(HSI!$C$7:$C$106,$N97))</f>
        <v/>
      </c>
      <c r="D97" s="22">
        <f>IF($L97="","",INDEX(HSI!$D$7:$D$106,$N97))</f>
        <v/>
      </c>
      <c r="E97" s="43">
        <f>IF($L97="","",IF($P97=0,"TBA",IFERROR(INDEX(Grids!$C$12:$BO$111,$N97,$O97),"-")))</f>
        <v/>
      </c>
      <c r="F97" s="22">
        <f>IF($L97="","",INDEX(HSI!$F$7:$F$106,$N97))</f>
        <v/>
      </c>
      <c r="G97" s="43">
        <f>IF($L97="","",IF($P97=0,"TBA",IFERROR(INDEX(Grids!$BQ$12:$EC$111,$N97,$O97),"-")))</f>
        <v/>
      </c>
      <c r="H97" s="44">
        <f>IF($L97="","",SUM($G$10:$G97))</f>
        <v/>
      </c>
      <c r="I97" s="45">
        <f>IF($L97="","",IF(INT(($L97-INT($L97/10000000)*10000000)/1000000)=0,"Bloomberg projection",IF($P97=1,"ANNOUNCED","ANNOUNCED - amount TBA")))</f>
        <v/>
      </c>
      <c r="J97" s="46">
        <f>IF($L97="","",IF((OV_SWITCH="ON")*(COUNTIFS(OVR_TICKERS,INDEX(HSI!$C$7:$C$106,$N97),OVR_BASE,"&gt;=0")&gt;0)&gt;0,"stock overridden",""))</f>
        <v/>
      </c>
      <c r="L97" s="39">
        <f>IFERROR(IF(SMALL(Grids!$EE$12:$GQ$111,$M$7+88)&gt;=PEND_TO,"",SMALL(Grids!$EE$12:$GQ$111,$M$7+88)),"")</f>
        <v/>
      </c>
      <c r="M97" s="39">
        <f>IF($L97="","",INT($L97/1000000000))</f>
        <v/>
      </c>
      <c r="N97" s="39">
        <f>IF($L97="","",INT(($L97-INT($L97/1000000)*1000000)/1000))</f>
        <v/>
      </c>
      <c r="O97" s="39">
        <f>IF($L97="","",$L97-INT($L97/1000)*1000)</f>
        <v/>
      </c>
      <c r="P97" s="39">
        <f>IF($L97="","",INT(($L97-INT($L97/1000000000)*1000000000)/100000000))</f>
        <v/>
      </c>
    </row>
    <row r="98">
      <c r="B98" s="42">
        <f>IF($L98="","",$M98)</f>
        <v/>
      </c>
      <c r="C98" s="22">
        <f>IF($L98="","",INDEX(HSI!$C$7:$C$106,$N98))</f>
        <v/>
      </c>
      <c r="D98" s="22">
        <f>IF($L98="","",INDEX(HSI!$D$7:$D$106,$N98))</f>
        <v/>
      </c>
      <c r="E98" s="43">
        <f>IF($L98="","",IF($P98=0,"TBA",IFERROR(INDEX(Grids!$C$12:$BO$111,$N98,$O98),"-")))</f>
        <v/>
      </c>
      <c r="F98" s="22">
        <f>IF($L98="","",INDEX(HSI!$F$7:$F$106,$N98))</f>
        <v/>
      </c>
      <c r="G98" s="43">
        <f>IF($L98="","",IF($P98=0,"TBA",IFERROR(INDEX(Grids!$BQ$12:$EC$111,$N98,$O98),"-")))</f>
        <v/>
      </c>
      <c r="H98" s="44">
        <f>IF($L98="","",SUM($G$10:$G98))</f>
        <v/>
      </c>
      <c r="I98" s="45">
        <f>IF($L98="","",IF(INT(($L98-INT($L98/10000000)*10000000)/1000000)=0,"Bloomberg projection",IF($P98=1,"ANNOUNCED","ANNOUNCED - amount TBA")))</f>
        <v/>
      </c>
      <c r="J98" s="46">
        <f>IF($L98="","",IF((OV_SWITCH="ON")*(COUNTIFS(OVR_TICKERS,INDEX(HSI!$C$7:$C$106,$N98),OVR_BASE,"&gt;=0")&gt;0)&gt;0,"stock overridden",""))</f>
        <v/>
      </c>
      <c r="L98" s="39">
        <f>IFERROR(IF(SMALL(Grids!$EE$12:$GQ$111,$M$7+89)&gt;=PEND_TO,"",SMALL(Grids!$EE$12:$GQ$111,$M$7+89)),"")</f>
        <v/>
      </c>
      <c r="M98" s="39">
        <f>IF($L98="","",INT($L98/1000000000))</f>
        <v/>
      </c>
      <c r="N98" s="39">
        <f>IF($L98="","",INT(($L98-INT($L98/1000000)*1000000)/1000))</f>
        <v/>
      </c>
      <c r="O98" s="39">
        <f>IF($L98="","",$L98-INT($L98/1000)*1000)</f>
        <v/>
      </c>
      <c r="P98" s="39">
        <f>IF($L98="","",INT(($L98-INT($L98/1000000000)*1000000000)/100000000))</f>
        <v/>
      </c>
    </row>
    <row r="99">
      <c r="B99" s="42">
        <f>IF($L99="","",$M99)</f>
        <v/>
      </c>
      <c r="C99" s="22">
        <f>IF($L99="","",INDEX(HSI!$C$7:$C$106,$N99))</f>
        <v/>
      </c>
      <c r="D99" s="22">
        <f>IF($L99="","",INDEX(HSI!$D$7:$D$106,$N99))</f>
        <v/>
      </c>
      <c r="E99" s="43">
        <f>IF($L99="","",IF($P99=0,"TBA",IFERROR(INDEX(Grids!$C$12:$BO$111,$N99,$O99),"-")))</f>
        <v/>
      </c>
      <c r="F99" s="22">
        <f>IF($L99="","",INDEX(HSI!$F$7:$F$106,$N99))</f>
        <v/>
      </c>
      <c r="G99" s="43">
        <f>IF($L99="","",IF($P99=0,"TBA",IFERROR(INDEX(Grids!$BQ$12:$EC$111,$N99,$O99),"-")))</f>
        <v/>
      </c>
      <c r="H99" s="44">
        <f>IF($L99="","",SUM($G$10:$G99))</f>
        <v/>
      </c>
      <c r="I99" s="45">
        <f>IF($L99="","",IF(INT(($L99-INT($L99/10000000)*10000000)/1000000)=0,"Bloomberg projection",IF($P99=1,"ANNOUNCED","ANNOUNCED - amount TBA")))</f>
        <v/>
      </c>
      <c r="J99" s="46">
        <f>IF($L99="","",IF((OV_SWITCH="ON")*(COUNTIFS(OVR_TICKERS,INDEX(HSI!$C$7:$C$106,$N99),OVR_BASE,"&gt;=0")&gt;0)&gt;0,"stock overridden",""))</f>
        <v/>
      </c>
      <c r="L99" s="39">
        <f>IFERROR(IF(SMALL(Grids!$EE$12:$GQ$111,$M$7+90)&gt;=PEND_TO,"",SMALL(Grids!$EE$12:$GQ$111,$M$7+90)),"")</f>
        <v/>
      </c>
      <c r="M99" s="39">
        <f>IF($L99="","",INT($L99/1000000000))</f>
        <v/>
      </c>
      <c r="N99" s="39">
        <f>IF($L99="","",INT(($L99-INT($L99/1000000)*1000000)/1000))</f>
        <v/>
      </c>
      <c r="O99" s="39">
        <f>IF($L99="","",$L99-INT($L99/1000)*1000)</f>
        <v/>
      </c>
      <c r="P99" s="39">
        <f>IF($L99="","",INT(($L99-INT($L99/1000000000)*1000000000)/100000000))</f>
        <v/>
      </c>
    </row>
    <row r="100">
      <c r="B100" s="42">
        <f>IF($L100="","",$M100)</f>
        <v/>
      </c>
      <c r="C100" s="22">
        <f>IF($L100="","",INDEX(HSI!$C$7:$C$106,$N100))</f>
        <v/>
      </c>
      <c r="D100" s="22">
        <f>IF($L100="","",INDEX(HSI!$D$7:$D$106,$N100))</f>
        <v/>
      </c>
      <c r="E100" s="43">
        <f>IF($L100="","",IF($P100=0,"TBA",IFERROR(INDEX(Grids!$C$12:$BO$111,$N100,$O100),"-")))</f>
        <v/>
      </c>
      <c r="F100" s="22">
        <f>IF($L100="","",INDEX(HSI!$F$7:$F$106,$N100))</f>
        <v/>
      </c>
      <c r="G100" s="43">
        <f>IF($L100="","",IF($P100=0,"TBA",IFERROR(INDEX(Grids!$BQ$12:$EC$111,$N100,$O100),"-")))</f>
        <v/>
      </c>
      <c r="H100" s="44">
        <f>IF($L100="","",SUM($G$10:$G100))</f>
        <v/>
      </c>
      <c r="I100" s="45">
        <f>IF($L100="","",IF(INT(($L100-INT($L100/10000000)*10000000)/1000000)=0,"Bloomberg projection",IF($P100=1,"ANNOUNCED","ANNOUNCED - amount TBA")))</f>
        <v/>
      </c>
      <c r="J100" s="46">
        <f>IF($L100="","",IF((OV_SWITCH="ON")*(COUNTIFS(OVR_TICKERS,INDEX(HSI!$C$7:$C$106,$N100),OVR_BASE,"&gt;=0")&gt;0)&gt;0,"stock overridden",""))</f>
        <v/>
      </c>
      <c r="L100" s="39">
        <f>IFERROR(IF(SMALL(Grids!$EE$12:$GQ$111,$M$7+91)&gt;=PEND_TO,"",SMALL(Grids!$EE$12:$GQ$111,$M$7+91)),"")</f>
        <v/>
      </c>
      <c r="M100" s="39">
        <f>IF($L100="","",INT($L100/1000000000))</f>
        <v/>
      </c>
      <c r="N100" s="39">
        <f>IF($L100="","",INT(($L100-INT($L100/1000000)*1000000)/1000))</f>
        <v/>
      </c>
      <c r="O100" s="39">
        <f>IF($L100="","",$L100-INT($L100/1000)*1000)</f>
        <v/>
      </c>
      <c r="P100" s="39">
        <f>IF($L100="","",INT(($L100-INT($L100/1000000000)*1000000000)/100000000))</f>
        <v/>
      </c>
    </row>
    <row r="101">
      <c r="B101" s="42">
        <f>IF($L101="","",$M101)</f>
        <v/>
      </c>
      <c r="C101" s="22">
        <f>IF($L101="","",INDEX(HSI!$C$7:$C$106,$N101))</f>
        <v/>
      </c>
      <c r="D101" s="22">
        <f>IF($L101="","",INDEX(HSI!$D$7:$D$106,$N101))</f>
        <v/>
      </c>
      <c r="E101" s="43">
        <f>IF($L101="","",IF($P101=0,"TBA",IFERROR(INDEX(Grids!$C$12:$BO$111,$N101,$O101),"-")))</f>
        <v/>
      </c>
      <c r="F101" s="22">
        <f>IF($L101="","",INDEX(HSI!$F$7:$F$106,$N101))</f>
        <v/>
      </c>
      <c r="G101" s="43">
        <f>IF($L101="","",IF($P101=0,"TBA",IFERROR(INDEX(Grids!$BQ$12:$EC$111,$N101,$O101),"-")))</f>
        <v/>
      </c>
      <c r="H101" s="44">
        <f>IF($L101="","",SUM($G$10:$G101))</f>
        <v/>
      </c>
      <c r="I101" s="45">
        <f>IF($L101="","",IF(INT(($L101-INT($L101/10000000)*10000000)/1000000)=0,"Bloomberg projection",IF($P101=1,"ANNOUNCED","ANNOUNCED - amount TBA")))</f>
        <v/>
      </c>
      <c r="J101" s="46">
        <f>IF($L101="","",IF((OV_SWITCH="ON")*(COUNTIFS(OVR_TICKERS,INDEX(HSI!$C$7:$C$106,$N101),OVR_BASE,"&gt;=0")&gt;0)&gt;0,"stock overridden",""))</f>
        <v/>
      </c>
      <c r="L101" s="39">
        <f>IFERROR(IF(SMALL(Grids!$EE$12:$GQ$111,$M$7+92)&gt;=PEND_TO,"",SMALL(Grids!$EE$12:$GQ$111,$M$7+92)),"")</f>
        <v/>
      </c>
      <c r="M101" s="39">
        <f>IF($L101="","",INT($L101/1000000000))</f>
        <v/>
      </c>
      <c r="N101" s="39">
        <f>IF($L101="","",INT(($L101-INT($L101/1000000)*1000000)/1000))</f>
        <v/>
      </c>
      <c r="O101" s="39">
        <f>IF($L101="","",$L101-INT($L101/1000)*1000)</f>
        <v/>
      </c>
      <c r="P101" s="39">
        <f>IF($L101="","",INT(($L101-INT($L101/1000000000)*1000000000)/100000000))</f>
        <v/>
      </c>
    </row>
    <row r="102">
      <c r="B102" s="42">
        <f>IF($L102="","",$M102)</f>
        <v/>
      </c>
      <c r="C102" s="22">
        <f>IF($L102="","",INDEX(HSI!$C$7:$C$106,$N102))</f>
        <v/>
      </c>
      <c r="D102" s="22">
        <f>IF($L102="","",INDEX(HSI!$D$7:$D$106,$N102))</f>
        <v/>
      </c>
      <c r="E102" s="43">
        <f>IF($L102="","",IF($P102=0,"TBA",IFERROR(INDEX(Grids!$C$12:$BO$111,$N102,$O102),"-")))</f>
        <v/>
      </c>
      <c r="F102" s="22">
        <f>IF($L102="","",INDEX(HSI!$F$7:$F$106,$N102))</f>
        <v/>
      </c>
      <c r="G102" s="43">
        <f>IF($L102="","",IF($P102=0,"TBA",IFERROR(INDEX(Grids!$BQ$12:$EC$111,$N102,$O102),"-")))</f>
        <v/>
      </c>
      <c r="H102" s="44">
        <f>IF($L102="","",SUM($G$10:$G102))</f>
        <v/>
      </c>
      <c r="I102" s="45">
        <f>IF($L102="","",IF(INT(($L102-INT($L102/10000000)*10000000)/1000000)=0,"Bloomberg projection",IF($P102=1,"ANNOUNCED","ANNOUNCED - amount TBA")))</f>
        <v/>
      </c>
      <c r="J102" s="46">
        <f>IF($L102="","",IF((OV_SWITCH="ON")*(COUNTIFS(OVR_TICKERS,INDEX(HSI!$C$7:$C$106,$N102),OVR_BASE,"&gt;=0")&gt;0)&gt;0,"stock overridden",""))</f>
        <v/>
      </c>
      <c r="L102" s="39">
        <f>IFERROR(IF(SMALL(Grids!$EE$12:$GQ$111,$M$7+93)&gt;=PEND_TO,"",SMALL(Grids!$EE$12:$GQ$111,$M$7+93)),"")</f>
        <v/>
      </c>
      <c r="M102" s="39">
        <f>IF($L102="","",INT($L102/1000000000))</f>
        <v/>
      </c>
      <c r="N102" s="39">
        <f>IF($L102="","",INT(($L102-INT($L102/1000000)*1000000)/1000))</f>
        <v/>
      </c>
      <c r="O102" s="39">
        <f>IF($L102="","",$L102-INT($L102/1000)*1000)</f>
        <v/>
      </c>
      <c r="P102" s="39">
        <f>IF($L102="","",INT(($L102-INT($L102/1000000000)*1000000000)/100000000))</f>
        <v/>
      </c>
    </row>
    <row r="103">
      <c r="B103" s="42">
        <f>IF($L103="","",$M103)</f>
        <v/>
      </c>
      <c r="C103" s="22">
        <f>IF($L103="","",INDEX(HSI!$C$7:$C$106,$N103))</f>
        <v/>
      </c>
      <c r="D103" s="22">
        <f>IF($L103="","",INDEX(HSI!$D$7:$D$106,$N103))</f>
        <v/>
      </c>
      <c r="E103" s="43">
        <f>IF($L103="","",IF($P103=0,"TBA",IFERROR(INDEX(Grids!$C$12:$BO$111,$N103,$O103),"-")))</f>
        <v/>
      </c>
      <c r="F103" s="22">
        <f>IF($L103="","",INDEX(HSI!$F$7:$F$106,$N103))</f>
        <v/>
      </c>
      <c r="G103" s="43">
        <f>IF($L103="","",IF($P103=0,"TBA",IFERROR(INDEX(Grids!$BQ$12:$EC$111,$N103,$O103),"-")))</f>
        <v/>
      </c>
      <c r="H103" s="44">
        <f>IF($L103="","",SUM($G$10:$G103))</f>
        <v/>
      </c>
      <c r="I103" s="45">
        <f>IF($L103="","",IF(INT(($L103-INT($L103/10000000)*10000000)/1000000)=0,"Bloomberg projection",IF($P103=1,"ANNOUNCED","ANNOUNCED - amount TBA")))</f>
        <v/>
      </c>
      <c r="J103" s="46">
        <f>IF($L103="","",IF((OV_SWITCH="ON")*(COUNTIFS(OVR_TICKERS,INDEX(HSI!$C$7:$C$106,$N103),OVR_BASE,"&gt;=0")&gt;0)&gt;0,"stock overridden",""))</f>
        <v/>
      </c>
      <c r="L103" s="39">
        <f>IFERROR(IF(SMALL(Grids!$EE$12:$GQ$111,$M$7+94)&gt;=PEND_TO,"",SMALL(Grids!$EE$12:$GQ$111,$M$7+94)),"")</f>
        <v/>
      </c>
      <c r="M103" s="39">
        <f>IF($L103="","",INT($L103/1000000000))</f>
        <v/>
      </c>
      <c r="N103" s="39">
        <f>IF($L103="","",INT(($L103-INT($L103/1000000)*1000000)/1000))</f>
        <v/>
      </c>
      <c r="O103" s="39">
        <f>IF($L103="","",$L103-INT($L103/1000)*1000)</f>
        <v/>
      </c>
      <c r="P103" s="39">
        <f>IF($L103="","",INT(($L103-INT($L103/1000000000)*1000000000)/100000000))</f>
        <v/>
      </c>
    </row>
    <row r="104">
      <c r="B104" s="42">
        <f>IF($L104="","",$M104)</f>
        <v/>
      </c>
      <c r="C104" s="22">
        <f>IF($L104="","",INDEX(HSI!$C$7:$C$106,$N104))</f>
        <v/>
      </c>
      <c r="D104" s="22">
        <f>IF($L104="","",INDEX(HSI!$D$7:$D$106,$N104))</f>
        <v/>
      </c>
      <c r="E104" s="43">
        <f>IF($L104="","",IF($P104=0,"TBA",IFERROR(INDEX(Grids!$C$12:$BO$111,$N104,$O104),"-")))</f>
        <v/>
      </c>
      <c r="F104" s="22">
        <f>IF($L104="","",INDEX(HSI!$F$7:$F$106,$N104))</f>
        <v/>
      </c>
      <c r="G104" s="43">
        <f>IF($L104="","",IF($P104=0,"TBA",IFERROR(INDEX(Grids!$BQ$12:$EC$111,$N104,$O104),"-")))</f>
        <v/>
      </c>
      <c r="H104" s="44">
        <f>IF($L104="","",SUM($G$10:$G104))</f>
        <v/>
      </c>
      <c r="I104" s="45">
        <f>IF($L104="","",IF(INT(($L104-INT($L104/10000000)*10000000)/1000000)=0,"Bloomberg projection",IF($P104=1,"ANNOUNCED","ANNOUNCED - amount TBA")))</f>
        <v/>
      </c>
      <c r="J104" s="46">
        <f>IF($L104="","",IF((OV_SWITCH="ON")*(COUNTIFS(OVR_TICKERS,INDEX(HSI!$C$7:$C$106,$N104),OVR_BASE,"&gt;=0")&gt;0)&gt;0,"stock overridden",""))</f>
        <v/>
      </c>
      <c r="L104" s="39">
        <f>IFERROR(IF(SMALL(Grids!$EE$12:$GQ$111,$M$7+95)&gt;=PEND_TO,"",SMALL(Grids!$EE$12:$GQ$111,$M$7+95)),"")</f>
        <v/>
      </c>
      <c r="M104" s="39">
        <f>IF($L104="","",INT($L104/1000000000))</f>
        <v/>
      </c>
      <c r="N104" s="39">
        <f>IF($L104="","",INT(($L104-INT($L104/1000000)*1000000)/1000))</f>
        <v/>
      </c>
      <c r="O104" s="39">
        <f>IF($L104="","",$L104-INT($L104/1000)*1000)</f>
        <v/>
      </c>
      <c r="P104" s="39">
        <f>IF($L104="","",INT(($L104-INT($L104/1000000000)*1000000000)/100000000))</f>
        <v/>
      </c>
    </row>
    <row r="105">
      <c r="B105" s="42">
        <f>IF($L105="","",$M105)</f>
        <v/>
      </c>
      <c r="C105" s="22">
        <f>IF($L105="","",INDEX(HSI!$C$7:$C$106,$N105))</f>
        <v/>
      </c>
      <c r="D105" s="22">
        <f>IF($L105="","",INDEX(HSI!$D$7:$D$106,$N105))</f>
        <v/>
      </c>
      <c r="E105" s="43">
        <f>IF($L105="","",IF($P105=0,"TBA",IFERROR(INDEX(Grids!$C$12:$BO$111,$N105,$O105),"-")))</f>
        <v/>
      </c>
      <c r="F105" s="22">
        <f>IF($L105="","",INDEX(HSI!$F$7:$F$106,$N105))</f>
        <v/>
      </c>
      <c r="G105" s="43">
        <f>IF($L105="","",IF($P105=0,"TBA",IFERROR(INDEX(Grids!$BQ$12:$EC$111,$N105,$O105),"-")))</f>
        <v/>
      </c>
      <c r="H105" s="44">
        <f>IF($L105="","",SUM($G$10:$G105))</f>
        <v/>
      </c>
      <c r="I105" s="45">
        <f>IF($L105="","",IF(INT(($L105-INT($L105/10000000)*10000000)/1000000)=0,"Bloomberg projection",IF($P105=1,"ANNOUNCED","ANNOUNCED - amount TBA")))</f>
        <v/>
      </c>
      <c r="J105" s="46">
        <f>IF($L105="","",IF((OV_SWITCH="ON")*(COUNTIFS(OVR_TICKERS,INDEX(HSI!$C$7:$C$106,$N105),OVR_BASE,"&gt;=0")&gt;0)&gt;0,"stock overridden",""))</f>
        <v/>
      </c>
      <c r="L105" s="39">
        <f>IFERROR(IF(SMALL(Grids!$EE$12:$GQ$111,$M$7+96)&gt;=PEND_TO,"",SMALL(Grids!$EE$12:$GQ$111,$M$7+96)),"")</f>
        <v/>
      </c>
      <c r="M105" s="39">
        <f>IF($L105="","",INT($L105/1000000000))</f>
        <v/>
      </c>
      <c r="N105" s="39">
        <f>IF($L105="","",INT(($L105-INT($L105/1000000)*1000000)/1000))</f>
        <v/>
      </c>
      <c r="O105" s="39">
        <f>IF($L105="","",$L105-INT($L105/1000)*1000)</f>
        <v/>
      </c>
      <c r="P105" s="39">
        <f>IF($L105="","",INT(($L105-INT($L105/1000000000)*1000000000)/100000000))</f>
        <v/>
      </c>
    </row>
    <row r="106">
      <c r="B106" s="42">
        <f>IF($L106="","",$M106)</f>
        <v/>
      </c>
      <c r="C106" s="22">
        <f>IF($L106="","",INDEX(HSI!$C$7:$C$106,$N106))</f>
        <v/>
      </c>
      <c r="D106" s="22">
        <f>IF($L106="","",INDEX(HSI!$D$7:$D$106,$N106))</f>
        <v/>
      </c>
      <c r="E106" s="43">
        <f>IF($L106="","",IF($P106=0,"TBA",IFERROR(INDEX(Grids!$C$12:$BO$111,$N106,$O106),"-")))</f>
        <v/>
      </c>
      <c r="F106" s="22">
        <f>IF($L106="","",INDEX(HSI!$F$7:$F$106,$N106))</f>
        <v/>
      </c>
      <c r="G106" s="43">
        <f>IF($L106="","",IF($P106=0,"TBA",IFERROR(INDEX(Grids!$BQ$12:$EC$111,$N106,$O106),"-")))</f>
        <v/>
      </c>
      <c r="H106" s="44">
        <f>IF($L106="","",SUM($G$10:$G106))</f>
        <v/>
      </c>
      <c r="I106" s="45">
        <f>IF($L106="","",IF(INT(($L106-INT($L106/10000000)*10000000)/1000000)=0,"Bloomberg projection",IF($P106=1,"ANNOUNCED","ANNOUNCED - amount TBA")))</f>
        <v/>
      </c>
      <c r="J106" s="46">
        <f>IF($L106="","",IF((OV_SWITCH="ON")*(COUNTIFS(OVR_TICKERS,INDEX(HSI!$C$7:$C$106,$N106),OVR_BASE,"&gt;=0")&gt;0)&gt;0,"stock overridden",""))</f>
        <v/>
      </c>
      <c r="L106" s="39">
        <f>IFERROR(IF(SMALL(Grids!$EE$12:$GQ$111,$M$7+97)&gt;=PEND_TO,"",SMALL(Grids!$EE$12:$GQ$111,$M$7+97)),"")</f>
        <v/>
      </c>
      <c r="M106" s="39">
        <f>IF($L106="","",INT($L106/1000000000))</f>
        <v/>
      </c>
      <c r="N106" s="39">
        <f>IF($L106="","",INT(($L106-INT($L106/1000000)*1000000)/1000))</f>
        <v/>
      </c>
      <c r="O106" s="39">
        <f>IF($L106="","",$L106-INT($L106/1000)*1000)</f>
        <v/>
      </c>
      <c r="P106" s="39">
        <f>IF($L106="","",INT(($L106-INT($L106/1000000000)*1000000000)/100000000))</f>
        <v/>
      </c>
    </row>
    <row r="107">
      <c r="B107" s="42">
        <f>IF($L107="","",$M107)</f>
        <v/>
      </c>
      <c r="C107" s="22">
        <f>IF($L107="","",INDEX(HSI!$C$7:$C$106,$N107))</f>
        <v/>
      </c>
      <c r="D107" s="22">
        <f>IF($L107="","",INDEX(HSI!$D$7:$D$106,$N107))</f>
        <v/>
      </c>
      <c r="E107" s="43">
        <f>IF($L107="","",IF($P107=0,"TBA",IFERROR(INDEX(Grids!$C$12:$BO$111,$N107,$O107),"-")))</f>
        <v/>
      </c>
      <c r="F107" s="22">
        <f>IF($L107="","",INDEX(HSI!$F$7:$F$106,$N107))</f>
        <v/>
      </c>
      <c r="G107" s="43">
        <f>IF($L107="","",IF($P107=0,"TBA",IFERROR(INDEX(Grids!$BQ$12:$EC$111,$N107,$O107),"-")))</f>
        <v/>
      </c>
      <c r="H107" s="44">
        <f>IF($L107="","",SUM($G$10:$G107))</f>
        <v/>
      </c>
      <c r="I107" s="45">
        <f>IF($L107="","",IF(INT(($L107-INT($L107/10000000)*10000000)/1000000)=0,"Bloomberg projection",IF($P107=1,"ANNOUNCED","ANNOUNCED - amount TBA")))</f>
        <v/>
      </c>
      <c r="J107" s="46">
        <f>IF($L107="","",IF((OV_SWITCH="ON")*(COUNTIFS(OVR_TICKERS,INDEX(HSI!$C$7:$C$106,$N107),OVR_BASE,"&gt;=0")&gt;0)&gt;0,"stock overridden",""))</f>
        <v/>
      </c>
      <c r="L107" s="39">
        <f>IFERROR(IF(SMALL(Grids!$EE$12:$GQ$111,$M$7+98)&gt;=PEND_TO,"",SMALL(Grids!$EE$12:$GQ$111,$M$7+98)),"")</f>
        <v/>
      </c>
      <c r="M107" s="39">
        <f>IF($L107="","",INT($L107/1000000000))</f>
        <v/>
      </c>
      <c r="N107" s="39">
        <f>IF($L107="","",INT(($L107-INT($L107/1000000)*1000000)/1000))</f>
        <v/>
      </c>
      <c r="O107" s="39">
        <f>IF($L107="","",$L107-INT($L107/1000)*1000)</f>
        <v/>
      </c>
      <c r="P107" s="39">
        <f>IF($L107="","",INT(($L107-INT($L107/1000000000)*1000000000)/100000000))</f>
        <v/>
      </c>
    </row>
    <row r="108">
      <c r="B108" s="42">
        <f>IF($L108="","",$M108)</f>
        <v/>
      </c>
      <c r="C108" s="22">
        <f>IF($L108="","",INDEX(HSI!$C$7:$C$106,$N108))</f>
        <v/>
      </c>
      <c r="D108" s="22">
        <f>IF($L108="","",INDEX(HSI!$D$7:$D$106,$N108))</f>
        <v/>
      </c>
      <c r="E108" s="43">
        <f>IF($L108="","",IF($P108=0,"TBA",IFERROR(INDEX(Grids!$C$12:$BO$111,$N108,$O108),"-")))</f>
        <v/>
      </c>
      <c r="F108" s="22">
        <f>IF($L108="","",INDEX(HSI!$F$7:$F$106,$N108))</f>
        <v/>
      </c>
      <c r="G108" s="43">
        <f>IF($L108="","",IF($P108=0,"TBA",IFERROR(INDEX(Grids!$BQ$12:$EC$111,$N108,$O108),"-")))</f>
        <v/>
      </c>
      <c r="H108" s="44">
        <f>IF($L108="","",SUM($G$10:$G108))</f>
        <v/>
      </c>
      <c r="I108" s="45">
        <f>IF($L108="","",IF(INT(($L108-INT($L108/10000000)*10000000)/1000000)=0,"Bloomberg projection",IF($P108=1,"ANNOUNCED","ANNOUNCED - amount TBA")))</f>
        <v/>
      </c>
      <c r="J108" s="46">
        <f>IF($L108="","",IF((OV_SWITCH="ON")*(COUNTIFS(OVR_TICKERS,INDEX(HSI!$C$7:$C$106,$N108),OVR_BASE,"&gt;=0")&gt;0)&gt;0,"stock overridden",""))</f>
        <v/>
      </c>
      <c r="L108" s="39">
        <f>IFERROR(IF(SMALL(Grids!$EE$12:$GQ$111,$M$7+99)&gt;=PEND_TO,"",SMALL(Grids!$EE$12:$GQ$111,$M$7+99)),"")</f>
        <v/>
      </c>
      <c r="M108" s="39">
        <f>IF($L108="","",INT($L108/1000000000))</f>
        <v/>
      </c>
      <c r="N108" s="39">
        <f>IF($L108="","",INT(($L108-INT($L108/1000000)*1000000)/1000))</f>
        <v/>
      </c>
      <c r="O108" s="39">
        <f>IF($L108="","",$L108-INT($L108/1000)*1000)</f>
        <v/>
      </c>
      <c r="P108" s="39">
        <f>IF($L108="","",INT(($L108-INT($L108/1000000000)*1000000000)/100000000))</f>
        <v/>
      </c>
    </row>
    <row r="109">
      <c r="B109" s="42">
        <f>IF($L109="","",$M109)</f>
        <v/>
      </c>
      <c r="C109" s="22">
        <f>IF($L109="","",INDEX(HSI!$C$7:$C$106,$N109))</f>
        <v/>
      </c>
      <c r="D109" s="22">
        <f>IF($L109="","",INDEX(HSI!$D$7:$D$106,$N109))</f>
        <v/>
      </c>
      <c r="E109" s="43">
        <f>IF($L109="","",IF($P109=0,"TBA",IFERROR(INDEX(Grids!$C$12:$BO$111,$N109,$O109),"-")))</f>
        <v/>
      </c>
      <c r="F109" s="22">
        <f>IF($L109="","",INDEX(HSI!$F$7:$F$106,$N109))</f>
        <v/>
      </c>
      <c r="G109" s="43">
        <f>IF($L109="","",IF($P109=0,"TBA",IFERROR(INDEX(Grids!$BQ$12:$EC$111,$N109,$O109),"-")))</f>
        <v/>
      </c>
      <c r="H109" s="44">
        <f>IF($L109="","",SUM($G$10:$G109))</f>
        <v/>
      </c>
      <c r="I109" s="45">
        <f>IF($L109="","",IF(INT(($L109-INT($L109/10000000)*10000000)/1000000)=0,"Bloomberg projection",IF($P109=1,"ANNOUNCED","ANNOUNCED - amount TBA")))</f>
        <v/>
      </c>
      <c r="J109" s="46">
        <f>IF($L109="","",IF((OV_SWITCH="ON")*(COUNTIFS(OVR_TICKERS,INDEX(HSI!$C$7:$C$106,$N109),OVR_BASE,"&gt;=0")&gt;0)&gt;0,"stock overridden",""))</f>
        <v/>
      </c>
      <c r="L109" s="39">
        <f>IFERROR(IF(SMALL(Grids!$EE$12:$GQ$111,$M$7+100)&gt;=PEND_TO,"",SMALL(Grids!$EE$12:$GQ$111,$M$7+100)),"")</f>
        <v/>
      </c>
      <c r="M109" s="39">
        <f>IF($L109="","",INT($L109/1000000000))</f>
        <v/>
      </c>
      <c r="N109" s="39">
        <f>IF($L109="","",INT(($L109-INT($L109/1000000)*1000000)/1000))</f>
        <v/>
      </c>
      <c r="O109" s="39">
        <f>IF($L109="","",$L109-INT($L109/1000)*1000)</f>
        <v/>
      </c>
      <c r="P109" s="39">
        <f>IF($L109="","",INT(($L109-INT($L109/1000000000)*1000000000)/100000000))</f>
        <v/>
      </c>
    </row>
    <row r="110">
      <c r="B110" s="42">
        <f>IF($L110="","",$M110)</f>
        <v/>
      </c>
      <c r="C110" s="22">
        <f>IF($L110="","",INDEX(HSI!$C$7:$C$106,$N110))</f>
        <v/>
      </c>
      <c r="D110" s="22">
        <f>IF($L110="","",INDEX(HSI!$D$7:$D$106,$N110))</f>
        <v/>
      </c>
      <c r="E110" s="43">
        <f>IF($L110="","",IF($P110=0,"TBA",IFERROR(INDEX(Grids!$C$12:$BO$111,$N110,$O110),"-")))</f>
        <v/>
      </c>
      <c r="F110" s="22">
        <f>IF($L110="","",INDEX(HSI!$F$7:$F$106,$N110))</f>
        <v/>
      </c>
      <c r="G110" s="43">
        <f>IF($L110="","",IF($P110=0,"TBA",IFERROR(INDEX(Grids!$BQ$12:$EC$111,$N110,$O110),"-")))</f>
        <v/>
      </c>
      <c r="H110" s="44">
        <f>IF($L110="","",SUM($G$10:$G110))</f>
        <v/>
      </c>
      <c r="I110" s="45">
        <f>IF($L110="","",IF(INT(($L110-INT($L110/10000000)*10000000)/1000000)=0,"Bloomberg projection",IF($P110=1,"ANNOUNCED","ANNOUNCED - amount TBA")))</f>
        <v/>
      </c>
      <c r="J110" s="46">
        <f>IF($L110="","",IF((OV_SWITCH="ON")*(COUNTIFS(OVR_TICKERS,INDEX(HSI!$C$7:$C$106,$N110),OVR_BASE,"&gt;=0")&gt;0)&gt;0,"stock overridden",""))</f>
        <v/>
      </c>
      <c r="L110" s="39">
        <f>IFERROR(IF(SMALL(Grids!$EE$12:$GQ$111,$M$7+101)&gt;=PEND_TO,"",SMALL(Grids!$EE$12:$GQ$111,$M$7+101)),"")</f>
        <v/>
      </c>
      <c r="M110" s="39">
        <f>IF($L110="","",INT($L110/1000000000))</f>
        <v/>
      </c>
      <c r="N110" s="39">
        <f>IF($L110="","",INT(($L110-INT($L110/1000000)*1000000)/1000))</f>
        <v/>
      </c>
      <c r="O110" s="39">
        <f>IF($L110="","",$L110-INT($L110/1000)*1000)</f>
        <v/>
      </c>
      <c r="P110" s="39">
        <f>IF($L110="","",INT(($L110-INT($L110/1000000000)*1000000000)/100000000))</f>
        <v/>
      </c>
    </row>
    <row r="111">
      <c r="B111" s="42">
        <f>IF($L111="","",$M111)</f>
        <v/>
      </c>
      <c r="C111" s="22">
        <f>IF($L111="","",INDEX(HSI!$C$7:$C$106,$N111))</f>
        <v/>
      </c>
      <c r="D111" s="22">
        <f>IF($L111="","",INDEX(HSI!$D$7:$D$106,$N111))</f>
        <v/>
      </c>
      <c r="E111" s="43">
        <f>IF($L111="","",IF($P111=0,"TBA",IFERROR(INDEX(Grids!$C$12:$BO$111,$N111,$O111),"-")))</f>
        <v/>
      </c>
      <c r="F111" s="22">
        <f>IF($L111="","",INDEX(HSI!$F$7:$F$106,$N111))</f>
        <v/>
      </c>
      <c r="G111" s="43">
        <f>IF($L111="","",IF($P111=0,"TBA",IFERROR(INDEX(Grids!$BQ$12:$EC$111,$N111,$O111),"-")))</f>
        <v/>
      </c>
      <c r="H111" s="44">
        <f>IF($L111="","",SUM($G$10:$G111))</f>
        <v/>
      </c>
      <c r="I111" s="45">
        <f>IF($L111="","",IF(INT(($L111-INT($L111/10000000)*10000000)/1000000)=0,"Bloomberg projection",IF($P111=1,"ANNOUNCED","ANNOUNCED - amount TBA")))</f>
        <v/>
      </c>
      <c r="J111" s="46">
        <f>IF($L111="","",IF((OV_SWITCH="ON")*(COUNTIFS(OVR_TICKERS,INDEX(HSI!$C$7:$C$106,$N111),OVR_BASE,"&gt;=0")&gt;0)&gt;0,"stock overridden",""))</f>
        <v/>
      </c>
      <c r="L111" s="39">
        <f>IFERROR(IF(SMALL(Grids!$EE$12:$GQ$111,$M$7+102)&gt;=PEND_TO,"",SMALL(Grids!$EE$12:$GQ$111,$M$7+102)),"")</f>
        <v/>
      </c>
      <c r="M111" s="39">
        <f>IF($L111="","",INT($L111/1000000000))</f>
        <v/>
      </c>
      <c r="N111" s="39">
        <f>IF($L111="","",INT(($L111-INT($L111/1000000)*1000000)/1000))</f>
        <v/>
      </c>
      <c r="O111" s="39">
        <f>IF($L111="","",$L111-INT($L111/1000)*1000)</f>
        <v/>
      </c>
      <c r="P111" s="39">
        <f>IF($L111="","",INT(($L111-INT($L111/1000000000)*1000000000)/100000000))</f>
        <v/>
      </c>
    </row>
    <row r="112">
      <c r="B112" s="42">
        <f>IF($L112="","",$M112)</f>
        <v/>
      </c>
      <c r="C112" s="22">
        <f>IF($L112="","",INDEX(HSI!$C$7:$C$106,$N112))</f>
        <v/>
      </c>
      <c r="D112" s="22">
        <f>IF($L112="","",INDEX(HSI!$D$7:$D$106,$N112))</f>
        <v/>
      </c>
      <c r="E112" s="43">
        <f>IF($L112="","",IF($P112=0,"TBA",IFERROR(INDEX(Grids!$C$12:$BO$111,$N112,$O112),"-")))</f>
        <v/>
      </c>
      <c r="F112" s="22">
        <f>IF($L112="","",INDEX(HSI!$F$7:$F$106,$N112))</f>
        <v/>
      </c>
      <c r="G112" s="43">
        <f>IF($L112="","",IF($P112=0,"TBA",IFERROR(INDEX(Grids!$BQ$12:$EC$111,$N112,$O112),"-")))</f>
        <v/>
      </c>
      <c r="H112" s="44">
        <f>IF($L112="","",SUM($G$10:$G112))</f>
        <v/>
      </c>
      <c r="I112" s="45">
        <f>IF($L112="","",IF(INT(($L112-INT($L112/10000000)*10000000)/1000000)=0,"Bloomberg projection",IF($P112=1,"ANNOUNCED","ANNOUNCED - amount TBA")))</f>
        <v/>
      </c>
      <c r="J112" s="46">
        <f>IF($L112="","",IF((OV_SWITCH="ON")*(COUNTIFS(OVR_TICKERS,INDEX(HSI!$C$7:$C$106,$N112),OVR_BASE,"&gt;=0")&gt;0)&gt;0,"stock overridden",""))</f>
        <v/>
      </c>
      <c r="L112" s="39">
        <f>IFERROR(IF(SMALL(Grids!$EE$12:$GQ$111,$M$7+103)&gt;=PEND_TO,"",SMALL(Grids!$EE$12:$GQ$111,$M$7+103)),"")</f>
        <v/>
      </c>
      <c r="M112" s="39">
        <f>IF($L112="","",INT($L112/1000000000))</f>
        <v/>
      </c>
      <c r="N112" s="39">
        <f>IF($L112="","",INT(($L112-INT($L112/1000000)*1000000)/1000))</f>
        <v/>
      </c>
      <c r="O112" s="39">
        <f>IF($L112="","",$L112-INT($L112/1000)*1000)</f>
        <v/>
      </c>
      <c r="P112" s="39">
        <f>IF($L112="","",INT(($L112-INT($L112/1000000000)*1000000000)/100000000))</f>
        <v/>
      </c>
    </row>
    <row r="113">
      <c r="B113" s="42">
        <f>IF($L113="","",$M113)</f>
        <v/>
      </c>
      <c r="C113" s="22">
        <f>IF($L113="","",INDEX(HSI!$C$7:$C$106,$N113))</f>
        <v/>
      </c>
      <c r="D113" s="22">
        <f>IF($L113="","",INDEX(HSI!$D$7:$D$106,$N113))</f>
        <v/>
      </c>
      <c r="E113" s="43">
        <f>IF($L113="","",IF($P113=0,"TBA",IFERROR(INDEX(Grids!$C$12:$BO$111,$N113,$O113),"-")))</f>
        <v/>
      </c>
      <c r="F113" s="22">
        <f>IF($L113="","",INDEX(HSI!$F$7:$F$106,$N113))</f>
        <v/>
      </c>
      <c r="G113" s="43">
        <f>IF($L113="","",IF($P113=0,"TBA",IFERROR(INDEX(Grids!$BQ$12:$EC$111,$N113,$O113),"-")))</f>
        <v/>
      </c>
      <c r="H113" s="44">
        <f>IF($L113="","",SUM($G$10:$G113))</f>
        <v/>
      </c>
      <c r="I113" s="45">
        <f>IF($L113="","",IF(INT(($L113-INT($L113/10000000)*10000000)/1000000)=0,"Bloomberg projection",IF($P113=1,"ANNOUNCED","ANNOUNCED - amount TBA")))</f>
        <v/>
      </c>
      <c r="J113" s="46">
        <f>IF($L113="","",IF((OV_SWITCH="ON")*(COUNTIFS(OVR_TICKERS,INDEX(HSI!$C$7:$C$106,$N113),OVR_BASE,"&gt;=0")&gt;0)&gt;0,"stock overridden",""))</f>
        <v/>
      </c>
      <c r="L113" s="39">
        <f>IFERROR(IF(SMALL(Grids!$EE$12:$GQ$111,$M$7+104)&gt;=PEND_TO,"",SMALL(Grids!$EE$12:$GQ$111,$M$7+104)),"")</f>
        <v/>
      </c>
      <c r="M113" s="39">
        <f>IF($L113="","",INT($L113/1000000000))</f>
        <v/>
      </c>
      <c r="N113" s="39">
        <f>IF($L113="","",INT(($L113-INT($L113/1000000)*1000000)/1000))</f>
        <v/>
      </c>
      <c r="O113" s="39">
        <f>IF($L113="","",$L113-INT($L113/1000)*1000)</f>
        <v/>
      </c>
      <c r="P113" s="39">
        <f>IF($L113="","",INT(($L113-INT($L113/1000000000)*1000000000)/100000000))</f>
        <v/>
      </c>
    </row>
    <row r="114">
      <c r="B114" s="42">
        <f>IF($L114="","",$M114)</f>
        <v/>
      </c>
      <c r="C114" s="22">
        <f>IF($L114="","",INDEX(HSI!$C$7:$C$106,$N114))</f>
        <v/>
      </c>
      <c r="D114" s="22">
        <f>IF($L114="","",INDEX(HSI!$D$7:$D$106,$N114))</f>
        <v/>
      </c>
      <c r="E114" s="43">
        <f>IF($L114="","",IF($P114=0,"TBA",IFERROR(INDEX(Grids!$C$12:$BO$111,$N114,$O114),"-")))</f>
        <v/>
      </c>
      <c r="F114" s="22">
        <f>IF($L114="","",INDEX(HSI!$F$7:$F$106,$N114))</f>
        <v/>
      </c>
      <c r="G114" s="43">
        <f>IF($L114="","",IF($P114=0,"TBA",IFERROR(INDEX(Grids!$BQ$12:$EC$111,$N114,$O114),"-")))</f>
        <v/>
      </c>
      <c r="H114" s="44">
        <f>IF($L114="","",SUM($G$10:$G114))</f>
        <v/>
      </c>
      <c r="I114" s="45">
        <f>IF($L114="","",IF(INT(($L114-INT($L114/10000000)*10000000)/1000000)=0,"Bloomberg projection",IF($P114=1,"ANNOUNCED","ANNOUNCED - amount TBA")))</f>
        <v/>
      </c>
      <c r="J114" s="46">
        <f>IF($L114="","",IF((OV_SWITCH="ON")*(COUNTIFS(OVR_TICKERS,INDEX(HSI!$C$7:$C$106,$N114),OVR_BASE,"&gt;=0")&gt;0)&gt;0,"stock overridden",""))</f>
        <v/>
      </c>
      <c r="L114" s="39">
        <f>IFERROR(IF(SMALL(Grids!$EE$12:$GQ$111,$M$7+105)&gt;=PEND_TO,"",SMALL(Grids!$EE$12:$GQ$111,$M$7+105)),"")</f>
        <v/>
      </c>
      <c r="M114" s="39">
        <f>IF($L114="","",INT($L114/1000000000))</f>
        <v/>
      </c>
      <c r="N114" s="39">
        <f>IF($L114="","",INT(($L114-INT($L114/1000000)*1000000)/1000))</f>
        <v/>
      </c>
      <c r="O114" s="39">
        <f>IF($L114="","",$L114-INT($L114/1000)*1000)</f>
        <v/>
      </c>
      <c r="P114" s="39">
        <f>IF($L114="","",INT(($L114-INT($L114/1000000000)*1000000000)/100000000))</f>
        <v/>
      </c>
    </row>
    <row r="115">
      <c r="B115" s="42">
        <f>IF($L115="","",$M115)</f>
        <v/>
      </c>
      <c r="C115" s="22">
        <f>IF($L115="","",INDEX(HSI!$C$7:$C$106,$N115))</f>
        <v/>
      </c>
      <c r="D115" s="22">
        <f>IF($L115="","",INDEX(HSI!$D$7:$D$106,$N115))</f>
        <v/>
      </c>
      <c r="E115" s="43">
        <f>IF($L115="","",IF($P115=0,"TBA",IFERROR(INDEX(Grids!$C$12:$BO$111,$N115,$O115),"-")))</f>
        <v/>
      </c>
      <c r="F115" s="22">
        <f>IF($L115="","",INDEX(HSI!$F$7:$F$106,$N115))</f>
        <v/>
      </c>
      <c r="G115" s="43">
        <f>IF($L115="","",IF($P115=0,"TBA",IFERROR(INDEX(Grids!$BQ$12:$EC$111,$N115,$O115),"-")))</f>
        <v/>
      </c>
      <c r="H115" s="44">
        <f>IF($L115="","",SUM($G$10:$G115))</f>
        <v/>
      </c>
      <c r="I115" s="45">
        <f>IF($L115="","",IF(INT(($L115-INT($L115/10000000)*10000000)/1000000)=0,"Bloomberg projection",IF($P115=1,"ANNOUNCED","ANNOUNCED - amount TBA")))</f>
        <v/>
      </c>
      <c r="J115" s="46">
        <f>IF($L115="","",IF((OV_SWITCH="ON")*(COUNTIFS(OVR_TICKERS,INDEX(HSI!$C$7:$C$106,$N115),OVR_BASE,"&gt;=0")&gt;0)&gt;0,"stock overridden",""))</f>
        <v/>
      </c>
      <c r="L115" s="39">
        <f>IFERROR(IF(SMALL(Grids!$EE$12:$GQ$111,$M$7+106)&gt;=PEND_TO,"",SMALL(Grids!$EE$12:$GQ$111,$M$7+106)),"")</f>
        <v/>
      </c>
      <c r="M115" s="39">
        <f>IF($L115="","",INT($L115/1000000000))</f>
        <v/>
      </c>
      <c r="N115" s="39">
        <f>IF($L115="","",INT(($L115-INT($L115/1000000)*1000000)/1000))</f>
        <v/>
      </c>
      <c r="O115" s="39">
        <f>IF($L115="","",$L115-INT($L115/1000)*1000)</f>
        <v/>
      </c>
      <c r="P115" s="39">
        <f>IF($L115="","",INT(($L115-INT($L115/1000000000)*1000000000)/100000000))</f>
        <v/>
      </c>
    </row>
    <row r="116">
      <c r="B116" s="42">
        <f>IF($L116="","",$M116)</f>
        <v/>
      </c>
      <c r="C116" s="22">
        <f>IF($L116="","",INDEX(HSI!$C$7:$C$106,$N116))</f>
        <v/>
      </c>
      <c r="D116" s="22">
        <f>IF($L116="","",INDEX(HSI!$D$7:$D$106,$N116))</f>
        <v/>
      </c>
      <c r="E116" s="43">
        <f>IF($L116="","",IF($P116=0,"TBA",IFERROR(INDEX(Grids!$C$12:$BO$111,$N116,$O116),"-")))</f>
        <v/>
      </c>
      <c r="F116" s="22">
        <f>IF($L116="","",INDEX(HSI!$F$7:$F$106,$N116))</f>
        <v/>
      </c>
      <c r="G116" s="43">
        <f>IF($L116="","",IF($P116=0,"TBA",IFERROR(INDEX(Grids!$BQ$12:$EC$111,$N116,$O116),"-")))</f>
        <v/>
      </c>
      <c r="H116" s="44">
        <f>IF($L116="","",SUM($G$10:$G116))</f>
        <v/>
      </c>
      <c r="I116" s="45">
        <f>IF($L116="","",IF(INT(($L116-INT($L116/10000000)*10000000)/1000000)=0,"Bloomberg projection",IF($P116=1,"ANNOUNCED","ANNOUNCED - amount TBA")))</f>
        <v/>
      </c>
      <c r="J116" s="46">
        <f>IF($L116="","",IF((OV_SWITCH="ON")*(COUNTIFS(OVR_TICKERS,INDEX(HSI!$C$7:$C$106,$N116),OVR_BASE,"&gt;=0")&gt;0)&gt;0,"stock overridden",""))</f>
        <v/>
      </c>
      <c r="L116" s="39">
        <f>IFERROR(IF(SMALL(Grids!$EE$12:$GQ$111,$M$7+107)&gt;=PEND_TO,"",SMALL(Grids!$EE$12:$GQ$111,$M$7+107)),"")</f>
        <v/>
      </c>
      <c r="M116" s="39">
        <f>IF($L116="","",INT($L116/1000000000))</f>
        <v/>
      </c>
      <c r="N116" s="39">
        <f>IF($L116="","",INT(($L116-INT($L116/1000000)*1000000)/1000))</f>
        <v/>
      </c>
      <c r="O116" s="39">
        <f>IF($L116="","",$L116-INT($L116/1000)*1000)</f>
        <v/>
      </c>
      <c r="P116" s="39">
        <f>IF($L116="","",INT(($L116-INT($L116/1000000000)*1000000000)/100000000))</f>
        <v/>
      </c>
    </row>
    <row r="117">
      <c r="B117" s="42">
        <f>IF($L117="","",$M117)</f>
        <v/>
      </c>
      <c r="C117" s="22">
        <f>IF($L117="","",INDEX(HSI!$C$7:$C$106,$N117))</f>
        <v/>
      </c>
      <c r="D117" s="22">
        <f>IF($L117="","",INDEX(HSI!$D$7:$D$106,$N117))</f>
        <v/>
      </c>
      <c r="E117" s="43">
        <f>IF($L117="","",IF($P117=0,"TBA",IFERROR(INDEX(Grids!$C$12:$BO$111,$N117,$O117),"-")))</f>
        <v/>
      </c>
      <c r="F117" s="22">
        <f>IF($L117="","",INDEX(HSI!$F$7:$F$106,$N117))</f>
        <v/>
      </c>
      <c r="G117" s="43">
        <f>IF($L117="","",IF($P117=0,"TBA",IFERROR(INDEX(Grids!$BQ$12:$EC$111,$N117,$O117),"-")))</f>
        <v/>
      </c>
      <c r="H117" s="44">
        <f>IF($L117="","",SUM($G$10:$G117))</f>
        <v/>
      </c>
      <c r="I117" s="45">
        <f>IF($L117="","",IF(INT(($L117-INT($L117/10000000)*10000000)/1000000)=0,"Bloomberg projection",IF($P117=1,"ANNOUNCED","ANNOUNCED - amount TBA")))</f>
        <v/>
      </c>
      <c r="J117" s="46">
        <f>IF($L117="","",IF((OV_SWITCH="ON")*(COUNTIFS(OVR_TICKERS,INDEX(HSI!$C$7:$C$106,$N117),OVR_BASE,"&gt;=0")&gt;0)&gt;0,"stock overridden",""))</f>
        <v/>
      </c>
      <c r="L117" s="39">
        <f>IFERROR(IF(SMALL(Grids!$EE$12:$GQ$111,$M$7+108)&gt;=PEND_TO,"",SMALL(Grids!$EE$12:$GQ$111,$M$7+108)),"")</f>
        <v/>
      </c>
      <c r="M117" s="39">
        <f>IF($L117="","",INT($L117/1000000000))</f>
        <v/>
      </c>
      <c r="N117" s="39">
        <f>IF($L117="","",INT(($L117-INT($L117/1000000)*1000000)/1000))</f>
        <v/>
      </c>
      <c r="O117" s="39">
        <f>IF($L117="","",$L117-INT($L117/1000)*1000)</f>
        <v/>
      </c>
      <c r="P117" s="39">
        <f>IF($L117="","",INT(($L117-INT($L117/1000000000)*1000000000)/100000000))</f>
        <v/>
      </c>
    </row>
    <row r="118">
      <c r="B118" s="42">
        <f>IF($L118="","",$M118)</f>
        <v/>
      </c>
      <c r="C118" s="22">
        <f>IF($L118="","",INDEX(HSI!$C$7:$C$106,$N118))</f>
        <v/>
      </c>
      <c r="D118" s="22">
        <f>IF($L118="","",INDEX(HSI!$D$7:$D$106,$N118))</f>
        <v/>
      </c>
      <c r="E118" s="43">
        <f>IF($L118="","",IF($P118=0,"TBA",IFERROR(INDEX(Grids!$C$12:$BO$111,$N118,$O118),"-")))</f>
        <v/>
      </c>
      <c r="F118" s="22">
        <f>IF($L118="","",INDEX(HSI!$F$7:$F$106,$N118))</f>
        <v/>
      </c>
      <c r="G118" s="43">
        <f>IF($L118="","",IF($P118=0,"TBA",IFERROR(INDEX(Grids!$BQ$12:$EC$111,$N118,$O118),"-")))</f>
        <v/>
      </c>
      <c r="H118" s="44">
        <f>IF($L118="","",SUM($G$10:$G118))</f>
        <v/>
      </c>
      <c r="I118" s="45">
        <f>IF($L118="","",IF(INT(($L118-INT($L118/10000000)*10000000)/1000000)=0,"Bloomberg projection",IF($P118=1,"ANNOUNCED","ANNOUNCED - amount TBA")))</f>
        <v/>
      </c>
      <c r="J118" s="46">
        <f>IF($L118="","",IF((OV_SWITCH="ON")*(COUNTIFS(OVR_TICKERS,INDEX(HSI!$C$7:$C$106,$N118),OVR_BASE,"&gt;=0")&gt;0)&gt;0,"stock overridden",""))</f>
        <v/>
      </c>
      <c r="L118" s="39">
        <f>IFERROR(IF(SMALL(Grids!$EE$12:$GQ$111,$M$7+109)&gt;=PEND_TO,"",SMALL(Grids!$EE$12:$GQ$111,$M$7+109)),"")</f>
        <v/>
      </c>
      <c r="M118" s="39">
        <f>IF($L118="","",INT($L118/1000000000))</f>
        <v/>
      </c>
      <c r="N118" s="39">
        <f>IF($L118="","",INT(($L118-INT($L118/1000000)*1000000)/1000))</f>
        <v/>
      </c>
      <c r="O118" s="39">
        <f>IF($L118="","",$L118-INT($L118/1000)*1000)</f>
        <v/>
      </c>
      <c r="P118" s="39">
        <f>IF($L118="","",INT(($L118-INT($L118/1000000000)*1000000000)/100000000))</f>
        <v/>
      </c>
    </row>
    <row r="119">
      <c r="B119" s="42">
        <f>IF($L119="","",$M119)</f>
        <v/>
      </c>
      <c r="C119" s="22">
        <f>IF($L119="","",INDEX(HSI!$C$7:$C$106,$N119))</f>
        <v/>
      </c>
      <c r="D119" s="22">
        <f>IF($L119="","",INDEX(HSI!$D$7:$D$106,$N119))</f>
        <v/>
      </c>
      <c r="E119" s="43">
        <f>IF($L119="","",IF($P119=0,"TBA",IFERROR(INDEX(Grids!$C$12:$BO$111,$N119,$O119),"-")))</f>
        <v/>
      </c>
      <c r="F119" s="22">
        <f>IF($L119="","",INDEX(HSI!$F$7:$F$106,$N119))</f>
        <v/>
      </c>
      <c r="G119" s="43">
        <f>IF($L119="","",IF($P119=0,"TBA",IFERROR(INDEX(Grids!$BQ$12:$EC$111,$N119,$O119),"-")))</f>
        <v/>
      </c>
      <c r="H119" s="44">
        <f>IF($L119="","",SUM($G$10:$G119))</f>
        <v/>
      </c>
      <c r="I119" s="45">
        <f>IF($L119="","",IF(INT(($L119-INT($L119/10000000)*10000000)/1000000)=0,"Bloomberg projection",IF($P119=1,"ANNOUNCED","ANNOUNCED - amount TBA")))</f>
        <v/>
      </c>
      <c r="J119" s="46">
        <f>IF($L119="","",IF((OV_SWITCH="ON")*(COUNTIFS(OVR_TICKERS,INDEX(HSI!$C$7:$C$106,$N119),OVR_BASE,"&gt;=0")&gt;0)&gt;0,"stock overridden",""))</f>
        <v/>
      </c>
      <c r="L119" s="39">
        <f>IFERROR(IF(SMALL(Grids!$EE$12:$GQ$111,$M$7+110)&gt;=PEND_TO,"",SMALL(Grids!$EE$12:$GQ$111,$M$7+110)),"")</f>
        <v/>
      </c>
      <c r="M119" s="39">
        <f>IF($L119="","",INT($L119/1000000000))</f>
        <v/>
      </c>
      <c r="N119" s="39">
        <f>IF($L119="","",INT(($L119-INT($L119/1000000)*1000000)/1000))</f>
        <v/>
      </c>
      <c r="O119" s="39">
        <f>IF($L119="","",$L119-INT($L119/1000)*1000)</f>
        <v/>
      </c>
      <c r="P119" s="39">
        <f>IF($L119="","",INT(($L119-INT($L119/1000000000)*1000000000)/100000000))</f>
        <v/>
      </c>
    </row>
    <row r="120">
      <c r="B120" s="42">
        <f>IF($L120="","",$M120)</f>
        <v/>
      </c>
      <c r="C120" s="22">
        <f>IF($L120="","",INDEX(HSI!$C$7:$C$106,$N120))</f>
        <v/>
      </c>
      <c r="D120" s="22">
        <f>IF($L120="","",INDEX(HSI!$D$7:$D$106,$N120))</f>
        <v/>
      </c>
      <c r="E120" s="43">
        <f>IF($L120="","",IF($P120=0,"TBA",IFERROR(INDEX(Grids!$C$12:$BO$111,$N120,$O120),"-")))</f>
        <v/>
      </c>
      <c r="F120" s="22">
        <f>IF($L120="","",INDEX(HSI!$F$7:$F$106,$N120))</f>
        <v/>
      </c>
      <c r="G120" s="43">
        <f>IF($L120="","",IF($P120=0,"TBA",IFERROR(INDEX(Grids!$BQ$12:$EC$111,$N120,$O120),"-")))</f>
        <v/>
      </c>
      <c r="H120" s="44">
        <f>IF($L120="","",SUM($G$10:$G120))</f>
        <v/>
      </c>
      <c r="I120" s="45">
        <f>IF($L120="","",IF(INT(($L120-INT($L120/10000000)*10000000)/1000000)=0,"Bloomberg projection",IF($P120=1,"ANNOUNCED","ANNOUNCED - amount TBA")))</f>
        <v/>
      </c>
      <c r="J120" s="46">
        <f>IF($L120="","",IF((OV_SWITCH="ON")*(COUNTIFS(OVR_TICKERS,INDEX(HSI!$C$7:$C$106,$N120),OVR_BASE,"&gt;=0")&gt;0)&gt;0,"stock overridden",""))</f>
        <v/>
      </c>
      <c r="L120" s="39">
        <f>IFERROR(IF(SMALL(Grids!$EE$12:$GQ$111,$M$7+111)&gt;=PEND_TO,"",SMALL(Grids!$EE$12:$GQ$111,$M$7+111)),"")</f>
        <v/>
      </c>
      <c r="M120" s="39">
        <f>IF($L120="","",INT($L120/1000000000))</f>
        <v/>
      </c>
      <c r="N120" s="39">
        <f>IF($L120="","",INT(($L120-INT($L120/1000000)*1000000)/1000))</f>
        <v/>
      </c>
      <c r="O120" s="39">
        <f>IF($L120="","",$L120-INT($L120/1000)*1000)</f>
        <v/>
      </c>
      <c r="P120" s="39">
        <f>IF($L120="","",INT(($L120-INT($L120/1000000000)*1000000000)/100000000))</f>
        <v/>
      </c>
    </row>
    <row r="121">
      <c r="B121" s="42">
        <f>IF($L121="","",$M121)</f>
        <v/>
      </c>
      <c r="C121" s="22">
        <f>IF($L121="","",INDEX(HSI!$C$7:$C$106,$N121))</f>
        <v/>
      </c>
      <c r="D121" s="22">
        <f>IF($L121="","",INDEX(HSI!$D$7:$D$106,$N121))</f>
        <v/>
      </c>
      <c r="E121" s="43">
        <f>IF($L121="","",IF($P121=0,"TBA",IFERROR(INDEX(Grids!$C$12:$BO$111,$N121,$O121),"-")))</f>
        <v/>
      </c>
      <c r="F121" s="22">
        <f>IF($L121="","",INDEX(HSI!$F$7:$F$106,$N121))</f>
        <v/>
      </c>
      <c r="G121" s="43">
        <f>IF($L121="","",IF($P121=0,"TBA",IFERROR(INDEX(Grids!$BQ$12:$EC$111,$N121,$O121),"-")))</f>
        <v/>
      </c>
      <c r="H121" s="44">
        <f>IF($L121="","",SUM($G$10:$G121))</f>
        <v/>
      </c>
      <c r="I121" s="45">
        <f>IF($L121="","",IF(INT(($L121-INT($L121/10000000)*10000000)/1000000)=0,"Bloomberg projection",IF($P121=1,"ANNOUNCED","ANNOUNCED - amount TBA")))</f>
        <v/>
      </c>
      <c r="J121" s="46">
        <f>IF($L121="","",IF((OV_SWITCH="ON")*(COUNTIFS(OVR_TICKERS,INDEX(HSI!$C$7:$C$106,$N121),OVR_BASE,"&gt;=0")&gt;0)&gt;0,"stock overridden",""))</f>
        <v/>
      </c>
      <c r="L121" s="39">
        <f>IFERROR(IF(SMALL(Grids!$EE$12:$GQ$111,$M$7+112)&gt;=PEND_TO,"",SMALL(Grids!$EE$12:$GQ$111,$M$7+112)),"")</f>
        <v/>
      </c>
      <c r="M121" s="39">
        <f>IF($L121="","",INT($L121/1000000000))</f>
        <v/>
      </c>
      <c r="N121" s="39">
        <f>IF($L121="","",INT(($L121-INT($L121/1000000)*1000000)/1000))</f>
        <v/>
      </c>
      <c r="O121" s="39">
        <f>IF($L121="","",$L121-INT($L121/1000)*1000)</f>
        <v/>
      </c>
      <c r="P121" s="39">
        <f>IF($L121="","",INT(($L121-INT($L121/1000000000)*1000000000)/100000000))</f>
        <v/>
      </c>
    </row>
    <row r="122">
      <c r="B122" s="42">
        <f>IF($L122="","",$M122)</f>
        <v/>
      </c>
      <c r="C122" s="22">
        <f>IF($L122="","",INDEX(HSI!$C$7:$C$106,$N122))</f>
        <v/>
      </c>
      <c r="D122" s="22">
        <f>IF($L122="","",INDEX(HSI!$D$7:$D$106,$N122))</f>
        <v/>
      </c>
      <c r="E122" s="43">
        <f>IF($L122="","",IF($P122=0,"TBA",IFERROR(INDEX(Grids!$C$12:$BO$111,$N122,$O122),"-")))</f>
        <v/>
      </c>
      <c r="F122" s="22">
        <f>IF($L122="","",INDEX(HSI!$F$7:$F$106,$N122))</f>
        <v/>
      </c>
      <c r="G122" s="43">
        <f>IF($L122="","",IF($P122=0,"TBA",IFERROR(INDEX(Grids!$BQ$12:$EC$111,$N122,$O122),"-")))</f>
        <v/>
      </c>
      <c r="H122" s="44">
        <f>IF($L122="","",SUM($G$10:$G122))</f>
        <v/>
      </c>
      <c r="I122" s="45">
        <f>IF($L122="","",IF(INT(($L122-INT($L122/10000000)*10000000)/1000000)=0,"Bloomberg projection",IF($P122=1,"ANNOUNCED","ANNOUNCED - amount TBA")))</f>
        <v/>
      </c>
      <c r="J122" s="46">
        <f>IF($L122="","",IF((OV_SWITCH="ON")*(COUNTIFS(OVR_TICKERS,INDEX(HSI!$C$7:$C$106,$N122),OVR_BASE,"&gt;=0")&gt;0)&gt;0,"stock overridden",""))</f>
        <v/>
      </c>
      <c r="L122" s="39">
        <f>IFERROR(IF(SMALL(Grids!$EE$12:$GQ$111,$M$7+113)&gt;=PEND_TO,"",SMALL(Grids!$EE$12:$GQ$111,$M$7+113)),"")</f>
        <v/>
      </c>
      <c r="M122" s="39">
        <f>IF($L122="","",INT($L122/1000000000))</f>
        <v/>
      </c>
      <c r="N122" s="39">
        <f>IF($L122="","",INT(($L122-INT($L122/1000000)*1000000)/1000))</f>
        <v/>
      </c>
      <c r="O122" s="39">
        <f>IF($L122="","",$L122-INT($L122/1000)*1000)</f>
        <v/>
      </c>
      <c r="P122" s="39">
        <f>IF($L122="","",INT(($L122-INT($L122/1000000000)*1000000000)/100000000))</f>
        <v/>
      </c>
    </row>
    <row r="123">
      <c r="B123" s="42">
        <f>IF($L123="","",$M123)</f>
        <v/>
      </c>
      <c r="C123" s="22">
        <f>IF($L123="","",INDEX(HSI!$C$7:$C$106,$N123))</f>
        <v/>
      </c>
      <c r="D123" s="22">
        <f>IF($L123="","",INDEX(HSI!$D$7:$D$106,$N123))</f>
        <v/>
      </c>
      <c r="E123" s="43">
        <f>IF($L123="","",IF($P123=0,"TBA",IFERROR(INDEX(Grids!$C$12:$BO$111,$N123,$O123),"-")))</f>
        <v/>
      </c>
      <c r="F123" s="22">
        <f>IF($L123="","",INDEX(HSI!$F$7:$F$106,$N123))</f>
        <v/>
      </c>
      <c r="G123" s="43">
        <f>IF($L123="","",IF($P123=0,"TBA",IFERROR(INDEX(Grids!$BQ$12:$EC$111,$N123,$O123),"-")))</f>
        <v/>
      </c>
      <c r="H123" s="44">
        <f>IF($L123="","",SUM($G$10:$G123))</f>
        <v/>
      </c>
      <c r="I123" s="45">
        <f>IF($L123="","",IF(INT(($L123-INT($L123/10000000)*10000000)/1000000)=0,"Bloomberg projection",IF($P123=1,"ANNOUNCED","ANNOUNCED - amount TBA")))</f>
        <v/>
      </c>
      <c r="J123" s="46">
        <f>IF($L123="","",IF((OV_SWITCH="ON")*(COUNTIFS(OVR_TICKERS,INDEX(HSI!$C$7:$C$106,$N123),OVR_BASE,"&gt;=0")&gt;0)&gt;0,"stock overridden",""))</f>
        <v/>
      </c>
      <c r="L123" s="39">
        <f>IFERROR(IF(SMALL(Grids!$EE$12:$GQ$111,$M$7+114)&gt;=PEND_TO,"",SMALL(Grids!$EE$12:$GQ$111,$M$7+114)),"")</f>
        <v/>
      </c>
      <c r="M123" s="39">
        <f>IF($L123="","",INT($L123/1000000000))</f>
        <v/>
      </c>
      <c r="N123" s="39">
        <f>IF($L123="","",INT(($L123-INT($L123/1000000)*1000000)/1000))</f>
        <v/>
      </c>
      <c r="O123" s="39">
        <f>IF($L123="","",$L123-INT($L123/1000)*1000)</f>
        <v/>
      </c>
      <c r="P123" s="39">
        <f>IF($L123="","",INT(($L123-INT($L123/1000000000)*1000000000)/100000000))</f>
        <v/>
      </c>
    </row>
    <row r="124">
      <c r="B124" s="42">
        <f>IF($L124="","",$M124)</f>
        <v/>
      </c>
      <c r="C124" s="22">
        <f>IF($L124="","",INDEX(HSI!$C$7:$C$106,$N124))</f>
        <v/>
      </c>
      <c r="D124" s="22">
        <f>IF($L124="","",INDEX(HSI!$D$7:$D$106,$N124))</f>
        <v/>
      </c>
      <c r="E124" s="43">
        <f>IF($L124="","",IF($P124=0,"TBA",IFERROR(INDEX(Grids!$C$12:$BO$111,$N124,$O124),"-")))</f>
        <v/>
      </c>
      <c r="F124" s="22">
        <f>IF($L124="","",INDEX(HSI!$F$7:$F$106,$N124))</f>
        <v/>
      </c>
      <c r="G124" s="43">
        <f>IF($L124="","",IF($P124=0,"TBA",IFERROR(INDEX(Grids!$BQ$12:$EC$111,$N124,$O124),"-")))</f>
        <v/>
      </c>
      <c r="H124" s="44">
        <f>IF($L124="","",SUM($G$10:$G124))</f>
        <v/>
      </c>
      <c r="I124" s="45">
        <f>IF($L124="","",IF(INT(($L124-INT($L124/10000000)*10000000)/1000000)=0,"Bloomberg projection",IF($P124=1,"ANNOUNCED","ANNOUNCED - amount TBA")))</f>
        <v/>
      </c>
      <c r="J124" s="46">
        <f>IF($L124="","",IF((OV_SWITCH="ON")*(COUNTIFS(OVR_TICKERS,INDEX(HSI!$C$7:$C$106,$N124),OVR_BASE,"&gt;=0")&gt;0)&gt;0,"stock overridden",""))</f>
        <v/>
      </c>
      <c r="L124" s="39">
        <f>IFERROR(IF(SMALL(Grids!$EE$12:$GQ$111,$M$7+115)&gt;=PEND_TO,"",SMALL(Grids!$EE$12:$GQ$111,$M$7+115)),"")</f>
        <v/>
      </c>
      <c r="M124" s="39">
        <f>IF($L124="","",INT($L124/1000000000))</f>
        <v/>
      </c>
      <c r="N124" s="39">
        <f>IF($L124="","",INT(($L124-INT($L124/1000000)*1000000)/1000))</f>
        <v/>
      </c>
      <c r="O124" s="39">
        <f>IF($L124="","",$L124-INT($L124/1000)*1000)</f>
        <v/>
      </c>
      <c r="P124" s="39">
        <f>IF($L124="","",INT(($L124-INT($L124/1000000000)*1000000000)/100000000))</f>
        <v/>
      </c>
    </row>
    <row r="125">
      <c r="B125" s="42">
        <f>IF($L125="","",$M125)</f>
        <v/>
      </c>
      <c r="C125" s="22">
        <f>IF($L125="","",INDEX(HSI!$C$7:$C$106,$N125))</f>
        <v/>
      </c>
      <c r="D125" s="22">
        <f>IF($L125="","",INDEX(HSI!$D$7:$D$106,$N125))</f>
        <v/>
      </c>
      <c r="E125" s="43">
        <f>IF($L125="","",IF($P125=0,"TBA",IFERROR(INDEX(Grids!$C$12:$BO$111,$N125,$O125),"-")))</f>
        <v/>
      </c>
      <c r="F125" s="22">
        <f>IF($L125="","",INDEX(HSI!$F$7:$F$106,$N125))</f>
        <v/>
      </c>
      <c r="G125" s="43">
        <f>IF($L125="","",IF($P125=0,"TBA",IFERROR(INDEX(Grids!$BQ$12:$EC$111,$N125,$O125),"-")))</f>
        <v/>
      </c>
      <c r="H125" s="44">
        <f>IF($L125="","",SUM($G$10:$G125))</f>
        <v/>
      </c>
      <c r="I125" s="45">
        <f>IF($L125="","",IF(INT(($L125-INT($L125/10000000)*10000000)/1000000)=0,"Bloomberg projection",IF($P125=1,"ANNOUNCED","ANNOUNCED - amount TBA")))</f>
        <v/>
      </c>
      <c r="J125" s="46">
        <f>IF($L125="","",IF((OV_SWITCH="ON")*(COUNTIFS(OVR_TICKERS,INDEX(HSI!$C$7:$C$106,$N125),OVR_BASE,"&gt;=0")&gt;0)&gt;0,"stock overridden",""))</f>
        <v/>
      </c>
      <c r="L125" s="39">
        <f>IFERROR(IF(SMALL(Grids!$EE$12:$GQ$111,$M$7+116)&gt;=PEND_TO,"",SMALL(Grids!$EE$12:$GQ$111,$M$7+116)),"")</f>
        <v/>
      </c>
      <c r="M125" s="39">
        <f>IF($L125="","",INT($L125/1000000000))</f>
        <v/>
      </c>
      <c r="N125" s="39">
        <f>IF($L125="","",INT(($L125-INT($L125/1000000)*1000000)/1000))</f>
        <v/>
      </c>
      <c r="O125" s="39">
        <f>IF($L125="","",$L125-INT($L125/1000)*1000)</f>
        <v/>
      </c>
      <c r="P125" s="39">
        <f>IF($L125="","",INT(($L125-INT($L125/1000000000)*1000000000)/100000000))</f>
        <v/>
      </c>
    </row>
    <row r="126">
      <c r="B126" s="42">
        <f>IF($L126="","",$M126)</f>
        <v/>
      </c>
      <c r="C126" s="22">
        <f>IF($L126="","",INDEX(HSI!$C$7:$C$106,$N126))</f>
        <v/>
      </c>
      <c r="D126" s="22">
        <f>IF($L126="","",INDEX(HSI!$D$7:$D$106,$N126))</f>
        <v/>
      </c>
      <c r="E126" s="43">
        <f>IF($L126="","",IF($P126=0,"TBA",IFERROR(INDEX(Grids!$C$12:$BO$111,$N126,$O126),"-")))</f>
        <v/>
      </c>
      <c r="F126" s="22">
        <f>IF($L126="","",INDEX(HSI!$F$7:$F$106,$N126))</f>
        <v/>
      </c>
      <c r="G126" s="43">
        <f>IF($L126="","",IF($P126=0,"TBA",IFERROR(INDEX(Grids!$BQ$12:$EC$111,$N126,$O126),"-")))</f>
        <v/>
      </c>
      <c r="H126" s="44">
        <f>IF($L126="","",SUM($G$10:$G126))</f>
        <v/>
      </c>
      <c r="I126" s="45">
        <f>IF($L126="","",IF(INT(($L126-INT($L126/10000000)*10000000)/1000000)=0,"Bloomberg projection",IF($P126=1,"ANNOUNCED","ANNOUNCED - amount TBA")))</f>
        <v/>
      </c>
      <c r="J126" s="46">
        <f>IF($L126="","",IF((OV_SWITCH="ON")*(COUNTIFS(OVR_TICKERS,INDEX(HSI!$C$7:$C$106,$N126),OVR_BASE,"&gt;=0")&gt;0)&gt;0,"stock overridden",""))</f>
        <v/>
      </c>
      <c r="L126" s="39">
        <f>IFERROR(IF(SMALL(Grids!$EE$12:$GQ$111,$M$7+117)&gt;=PEND_TO,"",SMALL(Grids!$EE$12:$GQ$111,$M$7+117)),"")</f>
        <v/>
      </c>
      <c r="M126" s="39">
        <f>IF($L126="","",INT($L126/1000000000))</f>
        <v/>
      </c>
      <c r="N126" s="39">
        <f>IF($L126="","",INT(($L126-INT($L126/1000000)*1000000)/1000))</f>
        <v/>
      </c>
      <c r="O126" s="39">
        <f>IF($L126="","",$L126-INT($L126/1000)*1000)</f>
        <v/>
      </c>
      <c r="P126" s="39">
        <f>IF($L126="","",INT(($L126-INT($L126/1000000000)*1000000000)/100000000))</f>
        <v/>
      </c>
    </row>
    <row r="127">
      <c r="B127" s="42">
        <f>IF($L127="","",$M127)</f>
        <v/>
      </c>
      <c r="C127" s="22">
        <f>IF($L127="","",INDEX(HSI!$C$7:$C$106,$N127))</f>
        <v/>
      </c>
      <c r="D127" s="22">
        <f>IF($L127="","",INDEX(HSI!$D$7:$D$106,$N127))</f>
        <v/>
      </c>
      <c r="E127" s="43">
        <f>IF($L127="","",IF($P127=0,"TBA",IFERROR(INDEX(Grids!$C$12:$BO$111,$N127,$O127),"-")))</f>
        <v/>
      </c>
      <c r="F127" s="22">
        <f>IF($L127="","",INDEX(HSI!$F$7:$F$106,$N127))</f>
        <v/>
      </c>
      <c r="G127" s="43">
        <f>IF($L127="","",IF($P127=0,"TBA",IFERROR(INDEX(Grids!$BQ$12:$EC$111,$N127,$O127),"-")))</f>
        <v/>
      </c>
      <c r="H127" s="44">
        <f>IF($L127="","",SUM($G$10:$G127))</f>
        <v/>
      </c>
      <c r="I127" s="45">
        <f>IF($L127="","",IF(INT(($L127-INT($L127/10000000)*10000000)/1000000)=0,"Bloomberg projection",IF($P127=1,"ANNOUNCED","ANNOUNCED - amount TBA")))</f>
        <v/>
      </c>
      <c r="J127" s="46">
        <f>IF($L127="","",IF((OV_SWITCH="ON")*(COUNTIFS(OVR_TICKERS,INDEX(HSI!$C$7:$C$106,$N127),OVR_BASE,"&gt;=0")&gt;0)&gt;0,"stock overridden",""))</f>
        <v/>
      </c>
      <c r="L127" s="39">
        <f>IFERROR(IF(SMALL(Grids!$EE$12:$GQ$111,$M$7+118)&gt;=PEND_TO,"",SMALL(Grids!$EE$12:$GQ$111,$M$7+118)),"")</f>
        <v/>
      </c>
      <c r="M127" s="39">
        <f>IF($L127="","",INT($L127/1000000000))</f>
        <v/>
      </c>
      <c r="N127" s="39">
        <f>IF($L127="","",INT(($L127-INT($L127/1000000)*1000000)/1000))</f>
        <v/>
      </c>
      <c r="O127" s="39">
        <f>IF($L127="","",$L127-INT($L127/1000)*1000)</f>
        <v/>
      </c>
      <c r="P127" s="39">
        <f>IF($L127="","",INT(($L127-INT($L127/1000000000)*1000000000)/100000000))</f>
        <v/>
      </c>
    </row>
    <row r="128">
      <c r="B128" s="42">
        <f>IF($L128="","",$M128)</f>
        <v/>
      </c>
      <c r="C128" s="22">
        <f>IF($L128="","",INDEX(HSI!$C$7:$C$106,$N128))</f>
        <v/>
      </c>
      <c r="D128" s="22">
        <f>IF($L128="","",INDEX(HSI!$D$7:$D$106,$N128))</f>
        <v/>
      </c>
      <c r="E128" s="43">
        <f>IF($L128="","",IF($P128=0,"TBA",IFERROR(INDEX(Grids!$C$12:$BO$111,$N128,$O128),"-")))</f>
        <v/>
      </c>
      <c r="F128" s="22">
        <f>IF($L128="","",INDEX(HSI!$F$7:$F$106,$N128))</f>
        <v/>
      </c>
      <c r="G128" s="43">
        <f>IF($L128="","",IF($P128=0,"TBA",IFERROR(INDEX(Grids!$BQ$12:$EC$111,$N128,$O128),"-")))</f>
        <v/>
      </c>
      <c r="H128" s="44">
        <f>IF($L128="","",SUM($G$10:$G128))</f>
        <v/>
      </c>
      <c r="I128" s="45">
        <f>IF($L128="","",IF(INT(($L128-INT($L128/10000000)*10000000)/1000000)=0,"Bloomberg projection",IF($P128=1,"ANNOUNCED","ANNOUNCED - amount TBA")))</f>
        <v/>
      </c>
      <c r="J128" s="46">
        <f>IF($L128="","",IF((OV_SWITCH="ON")*(COUNTIFS(OVR_TICKERS,INDEX(HSI!$C$7:$C$106,$N128),OVR_BASE,"&gt;=0")&gt;0)&gt;0,"stock overridden",""))</f>
        <v/>
      </c>
      <c r="L128" s="39">
        <f>IFERROR(IF(SMALL(Grids!$EE$12:$GQ$111,$M$7+119)&gt;=PEND_TO,"",SMALL(Grids!$EE$12:$GQ$111,$M$7+119)),"")</f>
        <v/>
      </c>
      <c r="M128" s="39">
        <f>IF($L128="","",INT($L128/1000000000))</f>
        <v/>
      </c>
      <c r="N128" s="39">
        <f>IF($L128="","",INT(($L128-INT($L128/1000000)*1000000)/1000))</f>
        <v/>
      </c>
      <c r="O128" s="39">
        <f>IF($L128="","",$L128-INT($L128/1000)*1000)</f>
        <v/>
      </c>
      <c r="P128" s="39">
        <f>IF($L128="","",INT(($L128-INT($L128/1000000000)*1000000000)/100000000))</f>
        <v/>
      </c>
    </row>
    <row r="129">
      <c r="B129" s="42">
        <f>IF($L129="","",$M129)</f>
        <v/>
      </c>
      <c r="C129" s="22">
        <f>IF($L129="","",INDEX(HSI!$C$7:$C$106,$N129))</f>
        <v/>
      </c>
      <c r="D129" s="22">
        <f>IF($L129="","",INDEX(HSI!$D$7:$D$106,$N129))</f>
        <v/>
      </c>
      <c r="E129" s="43">
        <f>IF($L129="","",IF($P129=0,"TBA",IFERROR(INDEX(Grids!$C$12:$BO$111,$N129,$O129),"-")))</f>
        <v/>
      </c>
      <c r="F129" s="22">
        <f>IF($L129="","",INDEX(HSI!$F$7:$F$106,$N129))</f>
        <v/>
      </c>
      <c r="G129" s="43">
        <f>IF($L129="","",IF($P129=0,"TBA",IFERROR(INDEX(Grids!$BQ$12:$EC$111,$N129,$O129),"-")))</f>
        <v/>
      </c>
      <c r="H129" s="44">
        <f>IF($L129="","",SUM($G$10:$G129))</f>
        <v/>
      </c>
      <c r="I129" s="45">
        <f>IF($L129="","",IF(INT(($L129-INT($L129/10000000)*10000000)/1000000)=0,"Bloomberg projection",IF($P129=1,"ANNOUNCED","ANNOUNCED - amount TBA")))</f>
        <v/>
      </c>
      <c r="J129" s="46">
        <f>IF($L129="","",IF((OV_SWITCH="ON")*(COUNTIFS(OVR_TICKERS,INDEX(HSI!$C$7:$C$106,$N129),OVR_BASE,"&gt;=0")&gt;0)&gt;0,"stock overridden",""))</f>
        <v/>
      </c>
      <c r="L129" s="39">
        <f>IFERROR(IF(SMALL(Grids!$EE$12:$GQ$111,$M$7+120)&gt;=PEND_TO,"",SMALL(Grids!$EE$12:$GQ$111,$M$7+120)),"")</f>
        <v/>
      </c>
      <c r="M129" s="39">
        <f>IF($L129="","",INT($L129/1000000000))</f>
        <v/>
      </c>
      <c r="N129" s="39">
        <f>IF($L129="","",INT(($L129-INT($L129/1000000)*1000000)/1000))</f>
        <v/>
      </c>
      <c r="O129" s="39">
        <f>IF($L129="","",$L129-INT($L129/1000)*1000)</f>
        <v/>
      </c>
      <c r="P129" s="39">
        <f>IF($L129="","",INT(($L129-INT($L129/1000000000)*1000000000)/100000000))</f>
        <v/>
      </c>
    </row>
    <row r="130">
      <c r="B130" s="42">
        <f>IF($L130="","",$M130)</f>
        <v/>
      </c>
      <c r="C130" s="22">
        <f>IF($L130="","",INDEX(HSI!$C$7:$C$106,$N130))</f>
        <v/>
      </c>
      <c r="D130" s="22">
        <f>IF($L130="","",INDEX(HSI!$D$7:$D$106,$N130))</f>
        <v/>
      </c>
      <c r="E130" s="43">
        <f>IF($L130="","",IF($P130=0,"TBA",IFERROR(INDEX(Grids!$C$12:$BO$111,$N130,$O130),"-")))</f>
        <v/>
      </c>
      <c r="F130" s="22">
        <f>IF($L130="","",INDEX(HSI!$F$7:$F$106,$N130))</f>
        <v/>
      </c>
      <c r="G130" s="43">
        <f>IF($L130="","",IF($P130=0,"TBA",IFERROR(INDEX(Grids!$BQ$12:$EC$111,$N130,$O130),"-")))</f>
        <v/>
      </c>
      <c r="H130" s="44">
        <f>IF($L130="","",SUM($G$10:$G130))</f>
        <v/>
      </c>
      <c r="I130" s="45">
        <f>IF($L130="","",IF(INT(($L130-INT($L130/10000000)*10000000)/1000000)=0,"Bloomberg projection",IF($P130=1,"ANNOUNCED","ANNOUNCED - amount TBA")))</f>
        <v/>
      </c>
      <c r="J130" s="46">
        <f>IF($L130="","",IF((OV_SWITCH="ON")*(COUNTIFS(OVR_TICKERS,INDEX(HSI!$C$7:$C$106,$N130),OVR_BASE,"&gt;=0")&gt;0)&gt;0,"stock overridden",""))</f>
        <v/>
      </c>
      <c r="L130" s="39">
        <f>IFERROR(IF(SMALL(Grids!$EE$12:$GQ$111,$M$7+121)&gt;=PEND_TO,"",SMALL(Grids!$EE$12:$GQ$111,$M$7+121)),"")</f>
        <v/>
      </c>
      <c r="M130" s="39">
        <f>IF($L130="","",INT($L130/1000000000))</f>
        <v/>
      </c>
      <c r="N130" s="39">
        <f>IF($L130="","",INT(($L130-INT($L130/1000000)*1000000)/1000))</f>
        <v/>
      </c>
      <c r="O130" s="39">
        <f>IF($L130="","",$L130-INT($L130/1000)*1000)</f>
        <v/>
      </c>
      <c r="P130" s="39">
        <f>IF($L130="","",INT(($L130-INT($L130/1000000000)*1000000000)/100000000))</f>
        <v/>
      </c>
    </row>
    <row r="131">
      <c r="B131" s="42">
        <f>IF($L131="","",$M131)</f>
        <v/>
      </c>
      <c r="C131" s="22">
        <f>IF($L131="","",INDEX(HSI!$C$7:$C$106,$N131))</f>
        <v/>
      </c>
      <c r="D131" s="22">
        <f>IF($L131="","",INDEX(HSI!$D$7:$D$106,$N131))</f>
        <v/>
      </c>
      <c r="E131" s="43">
        <f>IF($L131="","",IF($P131=0,"TBA",IFERROR(INDEX(Grids!$C$12:$BO$111,$N131,$O131),"-")))</f>
        <v/>
      </c>
      <c r="F131" s="22">
        <f>IF($L131="","",INDEX(HSI!$F$7:$F$106,$N131))</f>
        <v/>
      </c>
      <c r="G131" s="43">
        <f>IF($L131="","",IF($P131=0,"TBA",IFERROR(INDEX(Grids!$BQ$12:$EC$111,$N131,$O131),"-")))</f>
        <v/>
      </c>
      <c r="H131" s="44">
        <f>IF($L131="","",SUM($G$10:$G131))</f>
        <v/>
      </c>
      <c r="I131" s="45">
        <f>IF($L131="","",IF(INT(($L131-INT($L131/10000000)*10000000)/1000000)=0,"Bloomberg projection",IF($P131=1,"ANNOUNCED","ANNOUNCED - amount TBA")))</f>
        <v/>
      </c>
      <c r="J131" s="46">
        <f>IF($L131="","",IF((OV_SWITCH="ON")*(COUNTIFS(OVR_TICKERS,INDEX(HSI!$C$7:$C$106,$N131),OVR_BASE,"&gt;=0")&gt;0)&gt;0,"stock overridden",""))</f>
        <v/>
      </c>
      <c r="L131" s="39">
        <f>IFERROR(IF(SMALL(Grids!$EE$12:$GQ$111,$M$7+122)&gt;=PEND_TO,"",SMALL(Grids!$EE$12:$GQ$111,$M$7+122)),"")</f>
        <v/>
      </c>
      <c r="M131" s="39">
        <f>IF($L131="","",INT($L131/1000000000))</f>
        <v/>
      </c>
      <c r="N131" s="39">
        <f>IF($L131="","",INT(($L131-INT($L131/1000000)*1000000)/1000))</f>
        <v/>
      </c>
      <c r="O131" s="39">
        <f>IF($L131="","",$L131-INT($L131/1000)*1000)</f>
        <v/>
      </c>
      <c r="P131" s="39">
        <f>IF($L131="","",INT(($L131-INT($L131/1000000000)*1000000000)/100000000))</f>
        <v/>
      </c>
    </row>
    <row r="132">
      <c r="B132" s="42">
        <f>IF($L132="","",$M132)</f>
        <v/>
      </c>
      <c r="C132" s="22">
        <f>IF($L132="","",INDEX(HSI!$C$7:$C$106,$N132))</f>
        <v/>
      </c>
      <c r="D132" s="22">
        <f>IF($L132="","",INDEX(HSI!$D$7:$D$106,$N132))</f>
        <v/>
      </c>
      <c r="E132" s="43">
        <f>IF($L132="","",IF($P132=0,"TBA",IFERROR(INDEX(Grids!$C$12:$BO$111,$N132,$O132),"-")))</f>
        <v/>
      </c>
      <c r="F132" s="22">
        <f>IF($L132="","",INDEX(HSI!$F$7:$F$106,$N132))</f>
        <v/>
      </c>
      <c r="G132" s="43">
        <f>IF($L132="","",IF($P132=0,"TBA",IFERROR(INDEX(Grids!$BQ$12:$EC$111,$N132,$O132),"-")))</f>
        <v/>
      </c>
      <c r="H132" s="44">
        <f>IF($L132="","",SUM($G$10:$G132))</f>
        <v/>
      </c>
      <c r="I132" s="45">
        <f>IF($L132="","",IF(INT(($L132-INT($L132/10000000)*10000000)/1000000)=0,"Bloomberg projection",IF($P132=1,"ANNOUNCED","ANNOUNCED - amount TBA")))</f>
        <v/>
      </c>
      <c r="J132" s="46">
        <f>IF($L132="","",IF((OV_SWITCH="ON")*(COUNTIFS(OVR_TICKERS,INDEX(HSI!$C$7:$C$106,$N132),OVR_BASE,"&gt;=0")&gt;0)&gt;0,"stock overridden",""))</f>
        <v/>
      </c>
      <c r="L132" s="39">
        <f>IFERROR(IF(SMALL(Grids!$EE$12:$GQ$111,$M$7+123)&gt;=PEND_TO,"",SMALL(Grids!$EE$12:$GQ$111,$M$7+123)),"")</f>
        <v/>
      </c>
      <c r="M132" s="39">
        <f>IF($L132="","",INT($L132/1000000000))</f>
        <v/>
      </c>
      <c r="N132" s="39">
        <f>IF($L132="","",INT(($L132-INT($L132/1000000)*1000000)/1000))</f>
        <v/>
      </c>
      <c r="O132" s="39">
        <f>IF($L132="","",$L132-INT($L132/1000)*1000)</f>
        <v/>
      </c>
      <c r="P132" s="39">
        <f>IF($L132="","",INT(($L132-INT($L132/1000000000)*1000000000)/100000000))</f>
        <v/>
      </c>
    </row>
    <row r="133">
      <c r="B133" s="42">
        <f>IF($L133="","",$M133)</f>
        <v/>
      </c>
      <c r="C133" s="22">
        <f>IF($L133="","",INDEX(HSI!$C$7:$C$106,$N133))</f>
        <v/>
      </c>
      <c r="D133" s="22">
        <f>IF($L133="","",INDEX(HSI!$D$7:$D$106,$N133))</f>
        <v/>
      </c>
      <c r="E133" s="43">
        <f>IF($L133="","",IF($P133=0,"TBA",IFERROR(INDEX(Grids!$C$12:$BO$111,$N133,$O133),"-")))</f>
        <v/>
      </c>
      <c r="F133" s="22">
        <f>IF($L133="","",INDEX(HSI!$F$7:$F$106,$N133))</f>
        <v/>
      </c>
      <c r="G133" s="43">
        <f>IF($L133="","",IF($P133=0,"TBA",IFERROR(INDEX(Grids!$BQ$12:$EC$111,$N133,$O133),"-")))</f>
        <v/>
      </c>
      <c r="H133" s="44">
        <f>IF($L133="","",SUM($G$10:$G133))</f>
        <v/>
      </c>
      <c r="I133" s="45">
        <f>IF($L133="","",IF(INT(($L133-INT($L133/10000000)*10000000)/1000000)=0,"Bloomberg projection",IF($P133=1,"ANNOUNCED","ANNOUNCED - amount TBA")))</f>
        <v/>
      </c>
      <c r="J133" s="46">
        <f>IF($L133="","",IF((OV_SWITCH="ON")*(COUNTIFS(OVR_TICKERS,INDEX(HSI!$C$7:$C$106,$N133),OVR_BASE,"&gt;=0")&gt;0)&gt;0,"stock overridden",""))</f>
        <v/>
      </c>
      <c r="L133" s="39">
        <f>IFERROR(IF(SMALL(Grids!$EE$12:$GQ$111,$M$7+124)&gt;=PEND_TO,"",SMALL(Grids!$EE$12:$GQ$111,$M$7+124)),"")</f>
        <v/>
      </c>
      <c r="M133" s="39">
        <f>IF($L133="","",INT($L133/1000000000))</f>
        <v/>
      </c>
      <c r="N133" s="39">
        <f>IF($L133="","",INT(($L133-INT($L133/1000000)*1000000)/1000))</f>
        <v/>
      </c>
      <c r="O133" s="39">
        <f>IF($L133="","",$L133-INT($L133/1000)*1000)</f>
        <v/>
      </c>
      <c r="P133" s="39">
        <f>IF($L133="","",INT(($L133-INT($L133/1000000000)*1000000000)/100000000))</f>
        <v/>
      </c>
    </row>
    <row r="134">
      <c r="B134" s="42">
        <f>IF($L134="","",$M134)</f>
        <v/>
      </c>
      <c r="C134" s="22">
        <f>IF($L134="","",INDEX(HSI!$C$7:$C$106,$N134))</f>
        <v/>
      </c>
      <c r="D134" s="22">
        <f>IF($L134="","",INDEX(HSI!$D$7:$D$106,$N134))</f>
        <v/>
      </c>
      <c r="E134" s="43">
        <f>IF($L134="","",IF($P134=0,"TBA",IFERROR(INDEX(Grids!$C$12:$BO$111,$N134,$O134),"-")))</f>
        <v/>
      </c>
      <c r="F134" s="22">
        <f>IF($L134="","",INDEX(HSI!$F$7:$F$106,$N134))</f>
        <v/>
      </c>
      <c r="G134" s="43">
        <f>IF($L134="","",IF($P134=0,"TBA",IFERROR(INDEX(Grids!$BQ$12:$EC$111,$N134,$O134),"-")))</f>
        <v/>
      </c>
      <c r="H134" s="44">
        <f>IF($L134="","",SUM($G$10:$G134))</f>
        <v/>
      </c>
      <c r="I134" s="45">
        <f>IF($L134="","",IF(INT(($L134-INT($L134/10000000)*10000000)/1000000)=0,"Bloomberg projection",IF($P134=1,"ANNOUNCED","ANNOUNCED - amount TBA")))</f>
        <v/>
      </c>
      <c r="J134" s="46">
        <f>IF($L134="","",IF((OV_SWITCH="ON")*(COUNTIFS(OVR_TICKERS,INDEX(HSI!$C$7:$C$106,$N134),OVR_BASE,"&gt;=0")&gt;0)&gt;0,"stock overridden",""))</f>
        <v/>
      </c>
      <c r="L134" s="39">
        <f>IFERROR(IF(SMALL(Grids!$EE$12:$GQ$111,$M$7+125)&gt;=PEND_TO,"",SMALL(Grids!$EE$12:$GQ$111,$M$7+125)),"")</f>
        <v/>
      </c>
      <c r="M134" s="39">
        <f>IF($L134="","",INT($L134/1000000000))</f>
        <v/>
      </c>
      <c r="N134" s="39">
        <f>IF($L134="","",INT(($L134-INT($L134/1000000)*1000000)/1000))</f>
        <v/>
      </c>
      <c r="O134" s="39">
        <f>IF($L134="","",$L134-INT($L134/1000)*1000)</f>
        <v/>
      </c>
      <c r="P134" s="39">
        <f>IF($L134="","",INT(($L134-INT($L134/1000000000)*1000000000)/100000000))</f>
        <v/>
      </c>
    </row>
    <row r="135">
      <c r="B135" s="42">
        <f>IF($L135="","",$M135)</f>
        <v/>
      </c>
      <c r="C135" s="22">
        <f>IF($L135="","",INDEX(HSI!$C$7:$C$106,$N135))</f>
        <v/>
      </c>
      <c r="D135" s="22">
        <f>IF($L135="","",INDEX(HSI!$D$7:$D$106,$N135))</f>
        <v/>
      </c>
      <c r="E135" s="43">
        <f>IF($L135="","",IF($P135=0,"TBA",IFERROR(INDEX(Grids!$C$12:$BO$111,$N135,$O135),"-")))</f>
        <v/>
      </c>
      <c r="F135" s="22">
        <f>IF($L135="","",INDEX(HSI!$F$7:$F$106,$N135))</f>
        <v/>
      </c>
      <c r="G135" s="43">
        <f>IF($L135="","",IF($P135=0,"TBA",IFERROR(INDEX(Grids!$BQ$12:$EC$111,$N135,$O135),"-")))</f>
        <v/>
      </c>
      <c r="H135" s="44">
        <f>IF($L135="","",SUM($G$10:$G135))</f>
        <v/>
      </c>
      <c r="I135" s="45">
        <f>IF($L135="","",IF(INT(($L135-INT($L135/10000000)*10000000)/1000000)=0,"Bloomberg projection",IF($P135=1,"ANNOUNCED","ANNOUNCED - amount TBA")))</f>
        <v/>
      </c>
      <c r="J135" s="46">
        <f>IF($L135="","",IF((OV_SWITCH="ON")*(COUNTIFS(OVR_TICKERS,INDEX(HSI!$C$7:$C$106,$N135),OVR_BASE,"&gt;=0")&gt;0)&gt;0,"stock overridden",""))</f>
        <v/>
      </c>
      <c r="L135" s="39">
        <f>IFERROR(IF(SMALL(Grids!$EE$12:$GQ$111,$M$7+126)&gt;=PEND_TO,"",SMALL(Grids!$EE$12:$GQ$111,$M$7+126)),"")</f>
        <v/>
      </c>
      <c r="M135" s="39">
        <f>IF($L135="","",INT($L135/1000000000))</f>
        <v/>
      </c>
      <c r="N135" s="39">
        <f>IF($L135="","",INT(($L135-INT($L135/1000000)*1000000)/1000))</f>
        <v/>
      </c>
      <c r="O135" s="39">
        <f>IF($L135="","",$L135-INT($L135/1000)*1000)</f>
        <v/>
      </c>
      <c r="P135" s="39">
        <f>IF($L135="","",INT(($L135-INT($L135/1000000000)*1000000000)/100000000))</f>
        <v/>
      </c>
    </row>
    <row r="136">
      <c r="B136" s="42">
        <f>IF($L136="","",$M136)</f>
        <v/>
      </c>
      <c r="C136" s="22">
        <f>IF($L136="","",INDEX(HSI!$C$7:$C$106,$N136))</f>
        <v/>
      </c>
      <c r="D136" s="22">
        <f>IF($L136="","",INDEX(HSI!$D$7:$D$106,$N136))</f>
        <v/>
      </c>
      <c r="E136" s="43">
        <f>IF($L136="","",IF($P136=0,"TBA",IFERROR(INDEX(Grids!$C$12:$BO$111,$N136,$O136),"-")))</f>
        <v/>
      </c>
      <c r="F136" s="22">
        <f>IF($L136="","",INDEX(HSI!$F$7:$F$106,$N136))</f>
        <v/>
      </c>
      <c r="G136" s="43">
        <f>IF($L136="","",IF($P136=0,"TBA",IFERROR(INDEX(Grids!$BQ$12:$EC$111,$N136,$O136),"-")))</f>
        <v/>
      </c>
      <c r="H136" s="44">
        <f>IF($L136="","",SUM($G$10:$G136))</f>
        <v/>
      </c>
      <c r="I136" s="45">
        <f>IF($L136="","",IF(INT(($L136-INT($L136/10000000)*10000000)/1000000)=0,"Bloomberg projection",IF($P136=1,"ANNOUNCED","ANNOUNCED - amount TBA")))</f>
        <v/>
      </c>
      <c r="J136" s="46">
        <f>IF($L136="","",IF((OV_SWITCH="ON")*(COUNTIFS(OVR_TICKERS,INDEX(HSI!$C$7:$C$106,$N136),OVR_BASE,"&gt;=0")&gt;0)&gt;0,"stock overridden",""))</f>
        <v/>
      </c>
      <c r="L136" s="39">
        <f>IFERROR(IF(SMALL(Grids!$EE$12:$GQ$111,$M$7+127)&gt;=PEND_TO,"",SMALL(Grids!$EE$12:$GQ$111,$M$7+127)),"")</f>
        <v/>
      </c>
      <c r="M136" s="39">
        <f>IF($L136="","",INT($L136/1000000000))</f>
        <v/>
      </c>
      <c r="N136" s="39">
        <f>IF($L136="","",INT(($L136-INT($L136/1000000)*1000000)/1000))</f>
        <v/>
      </c>
      <c r="O136" s="39">
        <f>IF($L136="","",$L136-INT($L136/1000)*1000)</f>
        <v/>
      </c>
      <c r="P136" s="39">
        <f>IF($L136="","",INT(($L136-INT($L136/1000000000)*1000000000)/100000000))</f>
        <v/>
      </c>
    </row>
    <row r="137">
      <c r="B137" s="42">
        <f>IF($L137="","",$M137)</f>
        <v/>
      </c>
      <c r="C137" s="22">
        <f>IF($L137="","",INDEX(HSI!$C$7:$C$106,$N137))</f>
        <v/>
      </c>
      <c r="D137" s="22">
        <f>IF($L137="","",INDEX(HSI!$D$7:$D$106,$N137))</f>
        <v/>
      </c>
      <c r="E137" s="43">
        <f>IF($L137="","",IF($P137=0,"TBA",IFERROR(INDEX(Grids!$C$12:$BO$111,$N137,$O137),"-")))</f>
        <v/>
      </c>
      <c r="F137" s="22">
        <f>IF($L137="","",INDEX(HSI!$F$7:$F$106,$N137))</f>
        <v/>
      </c>
      <c r="G137" s="43">
        <f>IF($L137="","",IF($P137=0,"TBA",IFERROR(INDEX(Grids!$BQ$12:$EC$111,$N137,$O137),"-")))</f>
        <v/>
      </c>
      <c r="H137" s="44">
        <f>IF($L137="","",SUM($G$10:$G137))</f>
        <v/>
      </c>
      <c r="I137" s="45">
        <f>IF($L137="","",IF(INT(($L137-INT($L137/10000000)*10000000)/1000000)=0,"Bloomberg projection",IF($P137=1,"ANNOUNCED","ANNOUNCED - amount TBA")))</f>
        <v/>
      </c>
      <c r="J137" s="46">
        <f>IF($L137="","",IF((OV_SWITCH="ON")*(COUNTIFS(OVR_TICKERS,INDEX(HSI!$C$7:$C$106,$N137),OVR_BASE,"&gt;=0")&gt;0)&gt;0,"stock overridden",""))</f>
        <v/>
      </c>
      <c r="L137" s="39">
        <f>IFERROR(IF(SMALL(Grids!$EE$12:$GQ$111,$M$7+128)&gt;=PEND_TO,"",SMALL(Grids!$EE$12:$GQ$111,$M$7+128)),"")</f>
        <v/>
      </c>
      <c r="M137" s="39">
        <f>IF($L137="","",INT($L137/1000000000))</f>
        <v/>
      </c>
      <c r="N137" s="39">
        <f>IF($L137="","",INT(($L137-INT($L137/1000000)*1000000)/1000))</f>
        <v/>
      </c>
      <c r="O137" s="39">
        <f>IF($L137="","",$L137-INT($L137/1000)*1000)</f>
        <v/>
      </c>
      <c r="P137" s="39">
        <f>IF($L137="","",INT(($L137-INT($L137/1000000000)*1000000000)/100000000))</f>
        <v/>
      </c>
    </row>
    <row r="138">
      <c r="B138" s="42">
        <f>IF($L138="","",$M138)</f>
        <v/>
      </c>
      <c r="C138" s="22">
        <f>IF($L138="","",INDEX(HSI!$C$7:$C$106,$N138))</f>
        <v/>
      </c>
      <c r="D138" s="22">
        <f>IF($L138="","",INDEX(HSI!$D$7:$D$106,$N138))</f>
        <v/>
      </c>
      <c r="E138" s="43">
        <f>IF($L138="","",IF($P138=0,"TBA",IFERROR(INDEX(Grids!$C$12:$BO$111,$N138,$O138),"-")))</f>
        <v/>
      </c>
      <c r="F138" s="22">
        <f>IF($L138="","",INDEX(HSI!$F$7:$F$106,$N138))</f>
        <v/>
      </c>
      <c r="G138" s="43">
        <f>IF($L138="","",IF($P138=0,"TBA",IFERROR(INDEX(Grids!$BQ$12:$EC$111,$N138,$O138),"-")))</f>
        <v/>
      </c>
      <c r="H138" s="44">
        <f>IF($L138="","",SUM($G$10:$G138))</f>
        <v/>
      </c>
      <c r="I138" s="45">
        <f>IF($L138="","",IF(INT(($L138-INT($L138/10000000)*10000000)/1000000)=0,"Bloomberg projection",IF($P138=1,"ANNOUNCED","ANNOUNCED - amount TBA")))</f>
        <v/>
      </c>
      <c r="J138" s="46">
        <f>IF($L138="","",IF((OV_SWITCH="ON")*(COUNTIFS(OVR_TICKERS,INDEX(HSI!$C$7:$C$106,$N138),OVR_BASE,"&gt;=0")&gt;0)&gt;0,"stock overridden",""))</f>
        <v/>
      </c>
      <c r="L138" s="39">
        <f>IFERROR(IF(SMALL(Grids!$EE$12:$GQ$111,$M$7+129)&gt;=PEND_TO,"",SMALL(Grids!$EE$12:$GQ$111,$M$7+129)),"")</f>
        <v/>
      </c>
      <c r="M138" s="39">
        <f>IF($L138="","",INT($L138/1000000000))</f>
        <v/>
      </c>
      <c r="N138" s="39">
        <f>IF($L138="","",INT(($L138-INT($L138/1000000)*1000000)/1000))</f>
        <v/>
      </c>
      <c r="O138" s="39">
        <f>IF($L138="","",$L138-INT($L138/1000)*1000)</f>
        <v/>
      </c>
      <c r="P138" s="39">
        <f>IF($L138="","",INT(($L138-INT($L138/1000000000)*1000000000)/100000000))</f>
        <v/>
      </c>
    </row>
    <row r="139">
      <c r="B139" s="42">
        <f>IF($L139="","",$M139)</f>
        <v/>
      </c>
      <c r="C139" s="22">
        <f>IF($L139="","",INDEX(HSI!$C$7:$C$106,$N139))</f>
        <v/>
      </c>
      <c r="D139" s="22">
        <f>IF($L139="","",INDEX(HSI!$D$7:$D$106,$N139))</f>
        <v/>
      </c>
      <c r="E139" s="43">
        <f>IF($L139="","",IF($P139=0,"TBA",IFERROR(INDEX(Grids!$C$12:$BO$111,$N139,$O139),"-")))</f>
        <v/>
      </c>
      <c r="F139" s="22">
        <f>IF($L139="","",INDEX(HSI!$F$7:$F$106,$N139))</f>
        <v/>
      </c>
      <c r="G139" s="43">
        <f>IF($L139="","",IF($P139=0,"TBA",IFERROR(INDEX(Grids!$BQ$12:$EC$111,$N139,$O139),"-")))</f>
        <v/>
      </c>
      <c r="H139" s="44">
        <f>IF($L139="","",SUM($G$10:$G139))</f>
        <v/>
      </c>
      <c r="I139" s="45">
        <f>IF($L139="","",IF(INT(($L139-INT($L139/10000000)*10000000)/1000000)=0,"Bloomberg projection",IF($P139=1,"ANNOUNCED","ANNOUNCED - amount TBA")))</f>
        <v/>
      </c>
      <c r="J139" s="46">
        <f>IF($L139="","",IF((OV_SWITCH="ON")*(COUNTIFS(OVR_TICKERS,INDEX(HSI!$C$7:$C$106,$N139),OVR_BASE,"&gt;=0")&gt;0)&gt;0,"stock overridden",""))</f>
        <v/>
      </c>
      <c r="L139" s="39">
        <f>IFERROR(IF(SMALL(Grids!$EE$12:$GQ$111,$M$7+130)&gt;=PEND_TO,"",SMALL(Grids!$EE$12:$GQ$111,$M$7+130)),"")</f>
        <v/>
      </c>
      <c r="M139" s="39">
        <f>IF($L139="","",INT($L139/1000000000))</f>
        <v/>
      </c>
      <c r="N139" s="39">
        <f>IF($L139="","",INT(($L139-INT($L139/1000000)*1000000)/1000))</f>
        <v/>
      </c>
      <c r="O139" s="39">
        <f>IF($L139="","",$L139-INT($L139/1000)*1000)</f>
        <v/>
      </c>
      <c r="P139" s="39">
        <f>IF($L139="","",INT(($L139-INT($L139/1000000000)*1000000000)/100000000))</f>
        <v/>
      </c>
    </row>
    <row r="140">
      <c r="B140" s="42">
        <f>IF($L140="","",$M140)</f>
        <v/>
      </c>
      <c r="C140" s="22">
        <f>IF($L140="","",INDEX(HSI!$C$7:$C$106,$N140))</f>
        <v/>
      </c>
      <c r="D140" s="22">
        <f>IF($L140="","",INDEX(HSI!$D$7:$D$106,$N140))</f>
        <v/>
      </c>
      <c r="E140" s="43">
        <f>IF($L140="","",IF($P140=0,"TBA",IFERROR(INDEX(Grids!$C$12:$BO$111,$N140,$O140),"-")))</f>
        <v/>
      </c>
      <c r="F140" s="22">
        <f>IF($L140="","",INDEX(HSI!$F$7:$F$106,$N140))</f>
        <v/>
      </c>
      <c r="G140" s="43">
        <f>IF($L140="","",IF($P140=0,"TBA",IFERROR(INDEX(Grids!$BQ$12:$EC$111,$N140,$O140),"-")))</f>
        <v/>
      </c>
      <c r="H140" s="44">
        <f>IF($L140="","",SUM($G$10:$G140))</f>
        <v/>
      </c>
      <c r="I140" s="45">
        <f>IF($L140="","",IF(INT(($L140-INT($L140/10000000)*10000000)/1000000)=0,"Bloomberg projection",IF($P140=1,"ANNOUNCED","ANNOUNCED - amount TBA")))</f>
        <v/>
      </c>
      <c r="J140" s="46">
        <f>IF($L140="","",IF((OV_SWITCH="ON")*(COUNTIFS(OVR_TICKERS,INDEX(HSI!$C$7:$C$106,$N140),OVR_BASE,"&gt;=0")&gt;0)&gt;0,"stock overridden",""))</f>
        <v/>
      </c>
      <c r="L140" s="39">
        <f>IFERROR(IF(SMALL(Grids!$EE$12:$GQ$111,$M$7+131)&gt;=PEND_TO,"",SMALL(Grids!$EE$12:$GQ$111,$M$7+131)),"")</f>
        <v/>
      </c>
      <c r="M140" s="39">
        <f>IF($L140="","",INT($L140/1000000000))</f>
        <v/>
      </c>
      <c r="N140" s="39">
        <f>IF($L140="","",INT(($L140-INT($L140/1000000)*1000000)/1000))</f>
        <v/>
      </c>
      <c r="O140" s="39">
        <f>IF($L140="","",$L140-INT($L140/1000)*1000)</f>
        <v/>
      </c>
      <c r="P140" s="39">
        <f>IF($L140="","",INT(($L140-INT($L140/1000000000)*1000000000)/100000000))</f>
        <v/>
      </c>
    </row>
    <row r="141">
      <c r="B141" s="42">
        <f>IF($L141="","",$M141)</f>
        <v/>
      </c>
      <c r="C141" s="22">
        <f>IF($L141="","",INDEX(HSI!$C$7:$C$106,$N141))</f>
        <v/>
      </c>
      <c r="D141" s="22">
        <f>IF($L141="","",INDEX(HSI!$D$7:$D$106,$N141))</f>
        <v/>
      </c>
      <c r="E141" s="43">
        <f>IF($L141="","",IF($P141=0,"TBA",IFERROR(INDEX(Grids!$C$12:$BO$111,$N141,$O141),"-")))</f>
        <v/>
      </c>
      <c r="F141" s="22">
        <f>IF($L141="","",INDEX(HSI!$F$7:$F$106,$N141))</f>
        <v/>
      </c>
      <c r="G141" s="43">
        <f>IF($L141="","",IF($P141=0,"TBA",IFERROR(INDEX(Grids!$BQ$12:$EC$111,$N141,$O141),"-")))</f>
        <v/>
      </c>
      <c r="H141" s="44">
        <f>IF($L141="","",SUM($G$10:$G141))</f>
        <v/>
      </c>
      <c r="I141" s="45">
        <f>IF($L141="","",IF(INT(($L141-INT($L141/10000000)*10000000)/1000000)=0,"Bloomberg projection",IF($P141=1,"ANNOUNCED","ANNOUNCED - amount TBA")))</f>
        <v/>
      </c>
      <c r="J141" s="46">
        <f>IF($L141="","",IF((OV_SWITCH="ON")*(COUNTIFS(OVR_TICKERS,INDEX(HSI!$C$7:$C$106,$N141),OVR_BASE,"&gt;=0")&gt;0)&gt;0,"stock overridden",""))</f>
        <v/>
      </c>
      <c r="L141" s="39">
        <f>IFERROR(IF(SMALL(Grids!$EE$12:$GQ$111,$M$7+132)&gt;=PEND_TO,"",SMALL(Grids!$EE$12:$GQ$111,$M$7+132)),"")</f>
        <v/>
      </c>
      <c r="M141" s="39">
        <f>IF($L141="","",INT($L141/1000000000))</f>
        <v/>
      </c>
      <c r="N141" s="39">
        <f>IF($L141="","",INT(($L141-INT($L141/1000000)*1000000)/1000))</f>
        <v/>
      </c>
      <c r="O141" s="39">
        <f>IF($L141="","",$L141-INT($L141/1000)*1000)</f>
        <v/>
      </c>
      <c r="P141" s="39">
        <f>IF($L141="","",INT(($L141-INT($L141/1000000000)*1000000000)/100000000))</f>
        <v/>
      </c>
    </row>
    <row r="142">
      <c r="B142" s="42">
        <f>IF($L142="","",$M142)</f>
        <v/>
      </c>
      <c r="C142" s="22">
        <f>IF($L142="","",INDEX(HSI!$C$7:$C$106,$N142))</f>
        <v/>
      </c>
      <c r="D142" s="22">
        <f>IF($L142="","",INDEX(HSI!$D$7:$D$106,$N142))</f>
        <v/>
      </c>
      <c r="E142" s="43">
        <f>IF($L142="","",IF($P142=0,"TBA",IFERROR(INDEX(Grids!$C$12:$BO$111,$N142,$O142),"-")))</f>
        <v/>
      </c>
      <c r="F142" s="22">
        <f>IF($L142="","",INDEX(HSI!$F$7:$F$106,$N142))</f>
        <v/>
      </c>
      <c r="G142" s="43">
        <f>IF($L142="","",IF($P142=0,"TBA",IFERROR(INDEX(Grids!$BQ$12:$EC$111,$N142,$O142),"-")))</f>
        <v/>
      </c>
      <c r="H142" s="44">
        <f>IF($L142="","",SUM($G$10:$G142))</f>
        <v/>
      </c>
      <c r="I142" s="45">
        <f>IF($L142="","",IF(INT(($L142-INT($L142/10000000)*10000000)/1000000)=0,"Bloomberg projection",IF($P142=1,"ANNOUNCED","ANNOUNCED - amount TBA")))</f>
        <v/>
      </c>
      <c r="J142" s="46">
        <f>IF($L142="","",IF((OV_SWITCH="ON")*(COUNTIFS(OVR_TICKERS,INDEX(HSI!$C$7:$C$106,$N142),OVR_BASE,"&gt;=0")&gt;0)&gt;0,"stock overridden",""))</f>
        <v/>
      </c>
      <c r="L142" s="39">
        <f>IFERROR(IF(SMALL(Grids!$EE$12:$GQ$111,$M$7+133)&gt;=PEND_TO,"",SMALL(Grids!$EE$12:$GQ$111,$M$7+133)),"")</f>
        <v/>
      </c>
      <c r="M142" s="39">
        <f>IF($L142="","",INT($L142/1000000000))</f>
        <v/>
      </c>
      <c r="N142" s="39">
        <f>IF($L142="","",INT(($L142-INT($L142/1000000)*1000000)/1000))</f>
        <v/>
      </c>
      <c r="O142" s="39">
        <f>IF($L142="","",$L142-INT($L142/1000)*1000)</f>
        <v/>
      </c>
      <c r="P142" s="39">
        <f>IF($L142="","",INT(($L142-INT($L142/1000000000)*1000000000)/100000000))</f>
        <v/>
      </c>
    </row>
    <row r="143">
      <c r="B143" s="42">
        <f>IF($L143="","",$M143)</f>
        <v/>
      </c>
      <c r="C143" s="22">
        <f>IF($L143="","",INDEX(HSI!$C$7:$C$106,$N143))</f>
        <v/>
      </c>
      <c r="D143" s="22">
        <f>IF($L143="","",INDEX(HSI!$D$7:$D$106,$N143))</f>
        <v/>
      </c>
      <c r="E143" s="43">
        <f>IF($L143="","",IF($P143=0,"TBA",IFERROR(INDEX(Grids!$C$12:$BO$111,$N143,$O143),"-")))</f>
        <v/>
      </c>
      <c r="F143" s="22">
        <f>IF($L143="","",INDEX(HSI!$F$7:$F$106,$N143))</f>
        <v/>
      </c>
      <c r="G143" s="43">
        <f>IF($L143="","",IF($P143=0,"TBA",IFERROR(INDEX(Grids!$BQ$12:$EC$111,$N143,$O143),"-")))</f>
        <v/>
      </c>
      <c r="H143" s="44">
        <f>IF($L143="","",SUM($G$10:$G143))</f>
        <v/>
      </c>
      <c r="I143" s="45">
        <f>IF($L143="","",IF(INT(($L143-INT($L143/10000000)*10000000)/1000000)=0,"Bloomberg projection",IF($P143=1,"ANNOUNCED","ANNOUNCED - amount TBA")))</f>
        <v/>
      </c>
      <c r="J143" s="46">
        <f>IF($L143="","",IF((OV_SWITCH="ON")*(COUNTIFS(OVR_TICKERS,INDEX(HSI!$C$7:$C$106,$N143),OVR_BASE,"&gt;=0")&gt;0)&gt;0,"stock overridden",""))</f>
        <v/>
      </c>
      <c r="L143" s="39">
        <f>IFERROR(IF(SMALL(Grids!$EE$12:$GQ$111,$M$7+134)&gt;=PEND_TO,"",SMALL(Grids!$EE$12:$GQ$111,$M$7+134)),"")</f>
        <v/>
      </c>
      <c r="M143" s="39">
        <f>IF($L143="","",INT($L143/1000000000))</f>
        <v/>
      </c>
      <c r="N143" s="39">
        <f>IF($L143="","",INT(($L143-INT($L143/1000000)*1000000)/1000))</f>
        <v/>
      </c>
      <c r="O143" s="39">
        <f>IF($L143="","",$L143-INT($L143/1000)*1000)</f>
        <v/>
      </c>
      <c r="P143" s="39">
        <f>IF($L143="","",INT(($L143-INT($L143/1000000000)*1000000000)/100000000))</f>
        <v/>
      </c>
    </row>
    <row r="144">
      <c r="B144" s="42">
        <f>IF($L144="","",$M144)</f>
        <v/>
      </c>
      <c r="C144" s="22">
        <f>IF($L144="","",INDEX(HSI!$C$7:$C$106,$N144))</f>
        <v/>
      </c>
      <c r="D144" s="22">
        <f>IF($L144="","",INDEX(HSI!$D$7:$D$106,$N144))</f>
        <v/>
      </c>
      <c r="E144" s="43">
        <f>IF($L144="","",IF($P144=0,"TBA",IFERROR(INDEX(Grids!$C$12:$BO$111,$N144,$O144),"-")))</f>
        <v/>
      </c>
      <c r="F144" s="22">
        <f>IF($L144="","",INDEX(HSI!$F$7:$F$106,$N144))</f>
        <v/>
      </c>
      <c r="G144" s="43">
        <f>IF($L144="","",IF($P144=0,"TBA",IFERROR(INDEX(Grids!$BQ$12:$EC$111,$N144,$O144),"-")))</f>
        <v/>
      </c>
      <c r="H144" s="44">
        <f>IF($L144="","",SUM($G$10:$G144))</f>
        <v/>
      </c>
      <c r="I144" s="45">
        <f>IF($L144="","",IF(INT(($L144-INT($L144/10000000)*10000000)/1000000)=0,"Bloomberg projection",IF($P144=1,"ANNOUNCED","ANNOUNCED - amount TBA")))</f>
        <v/>
      </c>
      <c r="J144" s="46">
        <f>IF($L144="","",IF((OV_SWITCH="ON")*(COUNTIFS(OVR_TICKERS,INDEX(HSI!$C$7:$C$106,$N144),OVR_BASE,"&gt;=0")&gt;0)&gt;0,"stock overridden",""))</f>
        <v/>
      </c>
      <c r="L144" s="39">
        <f>IFERROR(IF(SMALL(Grids!$EE$12:$GQ$111,$M$7+135)&gt;=PEND_TO,"",SMALL(Grids!$EE$12:$GQ$111,$M$7+135)),"")</f>
        <v/>
      </c>
      <c r="M144" s="39">
        <f>IF($L144="","",INT($L144/1000000000))</f>
        <v/>
      </c>
      <c r="N144" s="39">
        <f>IF($L144="","",INT(($L144-INT($L144/1000000)*1000000)/1000))</f>
        <v/>
      </c>
      <c r="O144" s="39">
        <f>IF($L144="","",$L144-INT($L144/1000)*1000)</f>
        <v/>
      </c>
      <c r="P144" s="39">
        <f>IF($L144="","",INT(($L144-INT($L144/1000000000)*1000000000)/100000000))</f>
        <v/>
      </c>
    </row>
    <row r="145">
      <c r="B145" s="42">
        <f>IF($L145="","",$M145)</f>
        <v/>
      </c>
      <c r="C145" s="22">
        <f>IF($L145="","",INDEX(HSI!$C$7:$C$106,$N145))</f>
        <v/>
      </c>
      <c r="D145" s="22">
        <f>IF($L145="","",INDEX(HSI!$D$7:$D$106,$N145))</f>
        <v/>
      </c>
      <c r="E145" s="43">
        <f>IF($L145="","",IF($P145=0,"TBA",IFERROR(INDEX(Grids!$C$12:$BO$111,$N145,$O145),"-")))</f>
        <v/>
      </c>
      <c r="F145" s="22">
        <f>IF($L145="","",INDEX(HSI!$F$7:$F$106,$N145))</f>
        <v/>
      </c>
      <c r="G145" s="43">
        <f>IF($L145="","",IF($P145=0,"TBA",IFERROR(INDEX(Grids!$BQ$12:$EC$111,$N145,$O145),"-")))</f>
        <v/>
      </c>
      <c r="H145" s="44">
        <f>IF($L145="","",SUM($G$10:$G145))</f>
        <v/>
      </c>
      <c r="I145" s="45">
        <f>IF($L145="","",IF(INT(($L145-INT($L145/10000000)*10000000)/1000000)=0,"Bloomberg projection",IF($P145=1,"ANNOUNCED","ANNOUNCED - amount TBA")))</f>
        <v/>
      </c>
      <c r="J145" s="46">
        <f>IF($L145="","",IF((OV_SWITCH="ON")*(COUNTIFS(OVR_TICKERS,INDEX(HSI!$C$7:$C$106,$N145),OVR_BASE,"&gt;=0")&gt;0)&gt;0,"stock overridden",""))</f>
        <v/>
      </c>
      <c r="L145" s="39">
        <f>IFERROR(IF(SMALL(Grids!$EE$12:$GQ$111,$M$7+136)&gt;=PEND_TO,"",SMALL(Grids!$EE$12:$GQ$111,$M$7+136)),"")</f>
        <v/>
      </c>
      <c r="M145" s="39">
        <f>IF($L145="","",INT($L145/1000000000))</f>
        <v/>
      </c>
      <c r="N145" s="39">
        <f>IF($L145="","",INT(($L145-INT($L145/1000000)*1000000)/1000))</f>
        <v/>
      </c>
      <c r="O145" s="39">
        <f>IF($L145="","",$L145-INT($L145/1000)*1000)</f>
        <v/>
      </c>
      <c r="P145" s="39">
        <f>IF($L145="","",INT(($L145-INT($L145/1000000000)*1000000000)/100000000))</f>
        <v/>
      </c>
    </row>
    <row r="146">
      <c r="B146" s="42">
        <f>IF($L146="","",$M146)</f>
        <v/>
      </c>
      <c r="C146" s="22">
        <f>IF($L146="","",INDEX(HSI!$C$7:$C$106,$N146))</f>
        <v/>
      </c>
      <c r="D146" s="22">
        <f>IF($L146="","",INDEX(HSI!$D$7:$D$106,$N146))</f>
        <v/>
      </c>
      <c r="E146" s="43">
        <f>IF($L146="","",IF($P146=0,"TBA",IFERROR(INDEX(Grids!$C$12:$BO$111,$N146,$O146),"-")))</f>
        <v/>
      </c>
      <c r="F146" s="22">
        <f>IF($L146="","",INDEX(HSI!$F$7:$F$106,$N146))</f>
        <v/>
      </c>
      <c r="G146" s="43">
        <f>IF($L146="","",IF($P146=0,"TBA",IFERROR(INDEX(Grids!$BQ$12:$EC$111,$N146,$O146),"-")))</f>
        <v/>
      </c>
      <c r="H146" s="44">
        <f>IF($L146="","",SUM($G$10:$G146))</f>
        <v/>
      </c>
      <c r="I146" s="45">
        <f>IF($L146="","",IF(INT(($L146-INT($L146/10000000)*10000000)/1000000)=0,"Bloomberg projection",IF($P146=1,"ANNOUNCED","ANNOUNCED - amount TBA")))</f>
        <v/>
      </c>
      <c r="J146" s="46">
        <f>IF($L146="","",IF((OV_SWITCH="ON")*(COUNTIFS(OVR_TICKERS,INDEX(HSI!$C$7:$C$106,$N146),OVR_BASE,"&gt;=0")&gt;0)&gt;0,"stock overridden",""))</f>
        <v/>
      </c>
      <c r="L146" s="39">
        <f>IFERROR(IF(SMALL(Grids!$EE$12:$GQ$111,$M$7+137)&gt;=PEND_TO,"",SMALL(Grids!$EE$12:$GQ$111,$M$7+137)),"")</f>
        <v/>
      </c>
      <c r="M146" s="39">
        <f>IF($L146="","",INT($L146/1000000000))</f>
        <v/>
      </c>
      <c r="N146" s="39">
        <f>IF($L146="","",INT(($L146-INT($L146/1000000)*1000000)/1000))</f>
        <v/>
      </c>
      <c r="O146" s="39">
        <f>IF($L146="","",$L146-INT($L146/1000)*1000)</f>
        <v/>
      </c>
      <c r="P146" s="39">
        <f>IF($L146="","",INT(($L146-INT($L146/1000000000)*1000000000)/100000000))</f>
        <v/>
      </c>
    </row>
    <row r="147">
      <c r="B147" s="42">
        <f>IF($L147="","",$M147)</f>
        <v/>
      </c>
      <c r="C147" s="22">
        <f>IF($L147="","",INDEX(HSI!$C$7:$C$106,$N147))</f>
        <v/>
      </c>
      <c r="D147" s="22">
        <f>IF($L147="","",INDEX(HSI!$D$7:$D$106,$N147))</f>
        <v/>
      </c>
      <c r="E147" s="43">
        <f>IF($L147="","",IF($P147=0,"TBA",IFERROR(INDEX(Grids!$C$12:$BO$111,$N147,$O147),"-")))</f>
        <v/>
      </c>
      <c r="F147" s="22">
        <f>IF($L147="","",INDEX(HSI!$F$7:$F$106,$N147))</f>
        <v/>
      </c>
      <c r="G147" s="43">
        <f>IF($L147="","",IF($P147=0,"TBA",IFERROR(INDEX(Grids!$BQ$12:$EC$111,$N147,$O147),"-")))</f>
        <v/>
      </c>
      <c r="H147" s="44">
        <f>IF($L147="","",SUM($G$10:$G147))</f>
        <v/>
      </c>
      <c r="I147" s="45">
        <f>IF($L147="","",IF(INT(($L147-INT($L147/10000000)*10000000)/1000000)=0,"Bloomberg projection",IF($P147=1,"ANNOUNCED","ANNOUNCED - amount TBA")))</f>
        <v/>
      </c>
      <c r="J147" s="46">
        <f>IF($L147="","",IF((OV_SWITCH="ON")*(COUNTIFS(OVR_TICKERS,INDEX(HSI!$C$7:$C$106,$N147),OVR_BASE,"&gt;=0")&gt;0)&gt;0,"stock overridden",""))</f>
        <v/>
      </c>
      <c r="L147" s="39">
        <f>IFERROR(IF(SMALL(Grids!$EE$12:$GQ$111,$M$7+138)&gt;=PEND_TO,"",SMALL(Grids!$EE$12:$GQ$111,$M$7+138)),"")</f>
        <v/>
      </c>
      <c r="M147" s="39">
        <f>IF($L147="","",INT($L147/1000000000))</f>
        <v/>
      </c>
      <c r="N147" s="39">
        <f>IF($L147="","",INT(($L147-INT($L147/1000000)*1000000)/1000))</f>
        <v/>
      </c>
      <c r="O147" s="39">
        <f>IF($L147="","",$L147-INT($L147/1000)*1000)</f>
        <v/>
      </c>
      <c r="P147" s="39">
        <f>IF($L147="","",INT(($L147-INT($L147/1000000000)*1000000000)/100000000))</f>
        <v/>
      </c>
    </row>
    <row r="148">
      <c r="B148" s="42">
        <f>IF($L148="","",$M148)</f>
        <v/>
      </c>
      <c r="C148" s="22">
        <f>IF($L148="","",INDEX(HSI!$C$7:$C$106,$N148))</f>
        <v/>
      </c>
      <c r="D148" s="22">
        <f>IF($L148="","",INDEX(HSI!$D$7:$D$106,$N148))</f>
        <v/>
      </c>
      <c r="E148" s="43">
        <f>IF($L148="","",IF($P148=0,"TBA",IFERROR(INDEX(Grids!$C$12:$BO$111,$N148,$O148),"-")))</f>
        <v/>
      </c>
      <c r="F148" s="22">
        <f>IF($L148="","",INDEX(HSI!$F$7:$F$106,$N148))</f>
        <v/>
      </c>
      <c r="G148" s="43">
        <f>IF($L148="","",IF($P148=0,"TBA",IFERROR(INDEX(Grids!$BQ$12:$EC$111,$N148,$O148),"-")))</f>
        <v/>
      </c>
      <c r="H148" s="44">
        <f>IF($L148="","",SUM($G$10:$G148))</f>
        <v/>
      </c>
      <c r="I148" s="45">
        <f>IF($L148="","",IF(INT(($L148-INT($L148/10000000)*10000000)/1000000)=0,"Bloomberg projection",IF($P148=1,"ANNOUNCED","ANNOUNCED - amount TBA")))</f>
        <v/>
      </c>
      <c r="J148" s="46">
        <f>IF($L148="","",IF((OV_SWITCH="ON")*(COUNTIFS(OVR_TICKERS,INDEX(HSI!$C$7:$C$106,$N148),OVR_BASE,"&gt;=0")&gt;0)&gt;0,"stock overridden",""))</f>
        <v/>
      </c>
      <c r="L148" s="39">
        <f>IFERROR(IF(SMALL(Grids!$EE$12:$GQ$111,$M$7+139)&gt;=PEND_TO,"",SMALL(Grids!$EE$12:$GQ$111,$M$7+139)),"")</f>
        <v/>
      </c>
      <c r="M148" s="39">
        <f>IF($L148="","",INT($L148/1000000000))</f>
        <v/>
      </c>
      <c r="N148" s="39">
        <f>IF($L148="","",INT(($L148-INT($L148/1000000)*1000000)/1000))</f>
        <v/>
      </c>
      <c r="O148" s="39">
        <f>IF($L148="","",$L148-INT($L148/1000)*1000)</f>
        <v/>
      </c>
      <c r="P148" s="39">
        <f>IF($L148="","",INT(($L148-INT($L148/1000000000)*1000000000)/100000000))</f>
        <v/>
      </c>
    </row>
    <row r="149">
      <c r="B149" s="42">
        <f>IF($L149="","",$M149)</f>
        <v/>
      </c>
      <c r="C149" s="22">
        <f>IF($L149="","",INDEX(HSI!$C$7:$C$106,$N149))</f>
        <v/>
      </c>
      <c r="D149" s="22">
        <f>IF($L149="","",INDEX(HSI!$D$7:$D$106,$N149))</f>
        <v/>
      </c>
      <c r="E149" s="43">
        <f>IF($L149="","",IF($P149=0,"TBA",IFERROR(INDEX(Grids!$C$12:$BO$111,$N149,$O149),"-")))</f>
        <v/>
      </c>
      <c r="F149" s="22">
        <f>IF($L149="","",INDEX(HSI!$F$7:$F$106,$N149))</f>
        <v/>
      </c>
      <c r="G149" s="43">
        <f>IF($L149="","",IF($P149=0,"TBA",IFERROR(INDEX(Grids!$BQ$12:$EC$111,$N149,$O149),"-")))</f>
        <v/>
      </c>
      <c r="H149" s="44">
        <f>IF($L149="","",SUM($G$10:$G149))</f>
        <v/>
      </c>
      <c r="I149" s="45">
        <f>IF($L149="","",IF(INT(($L149-INT($L149/10000000)*10000000)/1000000)=0,"Bloomberg projection",IF($P149=1,"ANNOUNCED","ANNOUNCED - amount TBA")))</f>
        <v/>
      </c>
      <c r="J149" s="46">
        <f>IF($L149="","",IF((OV_SWITCH="ON")*(COUNTIFS(OVR_TICKERS,INDEX(HSI!$C$7:$C$106,$N149),OVR_BASE,"&gt;=0")&gt;0)&gt;0,"stock overridden",""))</f>
        <v/>
      </c>
      <c r="L149" s="39">
        <f>IFERROR(IF(SMALL(Grids!$EE$12:$GQ$111,$M$7+140)&gt;=PEND_TO,"",SMALL(Grids!$EE$12:$GQ$111,$M$7+140)),"")</f>
        <v/>
      </c>
      <c r="M149" s="39">
        <f>IF($L149="","",INT($L149/1000000000))</f>
        <v/>
      </c>
      <c r="N149" s="39">
        <f>IF($L149="","",INT(($L149-INT($L149/1000000)*1000000)/1000))</f>
        <v/>
      </c>
      <c r="O149" s="39">
        <f>IF($L149="","",$L149-INT($L149/1000)*1000)</f>
        <v/>
      </c>
      <c r="P149" s="39">
        <f>IF($L149="","",INT(($L149-INT($L149/1000000000)*1000000000)/100000000))</f>
        <v/>
      </c>
    </row>
    <row r="150">
      <c r="B150" s="42">
        <f>IF($L150="","",$M150)</f>
        <v/>
      </c>
      <c r="C150" s="22">
        <f>IF($L150="","",INDEX(HSI!$C$7:$C$106,$N150))</f>
        <v/>
      </c>
      <c r="D150" s="22">
        <f>IF($L150="","",INDEX(HSI!$D$7:$D$106,$N150))</f>
        <v/>
      </c>
      <c r="E150" s="43">
        <f>IF($L150="","",IF($P150=0,"TBA",IFERROR(INDEX(Grids!$C$12:$BO$111,$N150,$O150),"-")))</f>
        <v/>
      </c>
      <c r="F150" s="22">
        <f>IF($L150="","",INDEX(HSI!$F$7:$F$106,$N150))</f>
        <v/>
      </c>
      <c r="G150" s="43">
        <f>IF($L150="","",IF($P150=0,"TBA",IFERROR(INDEX(Grids!$BQ$12:$EC$111,$N150,$O150),"-")))</f>
        <v/>
      </c>
      <c r="H150" s="44">
        <f>IF($L150="","",SUM($G$10:$G150))</f>
        <v/>
      </c>
      <c r="I150" s="45">
        <f>IF($L150="","",IF(INT(($L150-INT($L150/10000000)*10000000)/1000000)=0,"Bloomberg projection",IF($P150=1,"ANNOUNCED","ANNOUNCED - amount TBA")))</f>
        <v/>
      </c>
      <c r="J150" s="46">
        <f>IF($L150="","",IF((OV_SWITCH="ON")*(COUNTIFS(OVR_TICKERS,INDEX(HSI!$C$7:$C$106,$N150),OVR_BASE,"&gt;=0")&gt;0)&gt;0,"stock overridden",""))</f>
        <v/>
      </c>
      <c r="L150" s="39">
        <f>IFERROR(IF(SMALL(Grids!$EE$12:$GQ$111,$M$7+141)&gt;=PEND_TO,"",SMALL(Grids!$EE$12:$GQ$111,$M$7+141)),"")</f>
        <v/>
      </c>
      <c r="M150" s="39">
        <f>IF($L150="","",INT($L150/1000000000))</f>
        <v/>
      </c>
      <c r="N150" s="39">
        <f>IF($L150="","",INT(($L150-INT($L150/1000000)*1000000)/1000))</f>
        <v/>
      </c>
      <c r="O150" s="39">
        <f>IF($L150="","",$L150-INT($L150/1000)*1000)</f>
        <v/>
      </c>
      <c r="P150" s="39">
        <f>IF($L150="","",INT(($L150-INT($L150/1000000000)*1000000000)/100000000))</f>
        <v/>
      </c>
    </row>
    <row r="151">
      <c r="B151" s="42">
        <f>IF($L151="","",$M151)</f>
        <v/>
      </c>
      <c r="C151" s="22">
        <f>IF($L151="","",INDEX(HSI!$C$7:$C$106,$N151))</f>
        <v/>
      </c>
      <c r="D151" s="22">
        <f>IF($L151="","",INDEX(HSI!$D$7:$D$106,$N151))</f>
        <v/>
      </c>
      <c r="E151" s="43">
        <f>IF($L151="","",IF($P151=0,"TBA",IFERROR(INDEX(Grids!$C$12:$BO$111,$N151,$O151),"-")))</f>
        <v/>
      </c>
      <c r="F151" s="22">
        <f>IF($L151="","",INDEX(HSI!$F$7:$F$106,$N151))</f>
        <v/>
      </c>
      <c r="G151" s="43">
        <f>IF($L151="","",IF($P151=0,"TBA",IFERROR(INDEX(Grids!$BQ$12:$EC$111,$N151,$O151),"-")))</f>
        <v/>
      </c>
      <c r="H151" s="44">
        <f>IF($L151="","",SUM($G$10:$G151))</f>
        <v/>
      </c>
      <c r="I151" s="45">
        <f>IF($L151="","",IF(INT(($L151-INT($L151/10000000)*10000000)/1000000)=0,"Bloomberg projection",IF($P151=1,"ANNOUNCED","ANNOUNCED - amount TBA")))</f>
        <v/>
      </c>
      <c r="J151" s="46">
        <f>IF($L151="","",IF((OV_SWITCH="ON")*(COUNTIFS(OVR_TICKERS,INDEX(HSI!$C$7:$C$106,$N151),OVR_BASE,"&gt;=0")&gt;0)&gt;0,"stock overridden",""))</f>
        <v/>
      </c>
      <c r="L151" s="39">
        <f>IFERROR(IF(SMALL(Grids!$EE$12:$GQ$111,$M$7+142)&gt;=PEND_TO,"",SMALL(Grids!$EE$12:$GQ$111,$M$7+142)),"")</f>
        <v/>
      </c>
      <c r="M151" s="39">
        <f>IF($L151="","",INT($L151/1000000000))</f>
        <v/>
      </c>
      <c r="N151" s="39">
        <f>IF($L151="","",INT(($L151-INT($L151/1000000)*1000000)/1000))</f>
        <v/>
      </c>
      <c r="O151" s="39">
        <f>IF($L151="","",$L151-INT($L151/1000)*1000)</f>
        <v/>
      </c>
      <c r="P151" s="39">
        <f>IF($L151="","",INT(($L151-INT($L151/1000000000)*1000000000)/100000000))</f>
        <v/>
      </c>
    </row>
    <row r="152">
      <c r="B152" s="42">
        <f>IF($L152="","",$M152)</f>
        <v/>
      </c>
      <c r="C152" s="22">
        <f>IF($L152="","",INDEX(HSI!$C$7:$C$106,$N152))</f>
        <v/>
      </c>
      <c r="D152" s="22">
        <f>IF($L152="","",INDEX(HSI!$D$7:$D$106,$N152))</f>
        <v/>
      </c>
      <c r="E152" s="43">
        <f>IF($L152="","",IF($P152=0,"TBA",IFERROR(INDEX(Grids!$C$12:$BO$111,$N152,$O152),"-")))</f>
        <v/>
      </c>
      <c r="F152" s="22">
        <f>IF($L152="","",INDEX(HSI!$F$7:$F$106,$N152))</f>
        <v/>
      </c>
      <c r="G152" s="43">
        <f>IF($L152="","",IF($P152=0,"TBA",IFERROR(INDEX(Grids!$BQ$12:$EC$111,$N152,$O152),"-")))</f>
        <v/>
      </c>
      <c r="H152" s="44">
        <f>IF($L152="","",SUM($G$10:$G152))</f>
        <v/>
      </c>
      <c r="I152" s="45">
        <f>IF($L152="","",IF(INT(($L152-INT($L152/10000000)*10000000)/1000000)=0,"Bloomberg projection",IF($P152=1,"ANNOUNCED","ANNOUNCED - amount TBA")))</f>
        <v/>
      </c>
      <c r="J152" s="46">
        <f>IF($L152="","",IF((OV_SWITCH="ON")*(COUNTIFS(OVR_TICKERS,INDEX(HSI!$C$7:$C$106,$N152),OVR_BASE,"&gt;=0")&gt;0)&gt;0,"stock overridden",""))</f>
        <v/>
      </c>
      <c r="L152" s="39">
        <f>IFERROR(IF(SMALL(Grids!$EE$12:$GQ$111,$M$7+143)&gt;=PEND_TO,"",SMALL(Grids!$EE$12:$GQ$111,$M$7+143)),"")</f>
        <v/>
      </c>
      <c r="M152" s="39">
        <f>IF($L152="","",INT($L152/1000000000))</f>
        <v/>
      </c>
      <c r="N152" s="39">
        <f>IF($L152="","",INT(($L152-INT($L152/1000000)*1000000)/1000))</f>
        <v/>
      </c>
      <c r="O152" s="39">
        <f>IF($L152="","",$L152-INT($L152/1000)*1000)</f>
        <v/>
      </c>
      <c r="P152" s="39">
        <f>IF($L152="","",INT(($L152-INT($L152/1000000000)*1000000000)/100000000))</f>
        <v/>
      </c>
    </row>
    <row r="153">
      <c r="B153" s="42">
        <f>IF($L153="","",$M153)</f>
        <v/>
      </c>
      <c r="C153" s="22">
        <f>IF($L153="","",INDEX(HSI!$C$7:$C$106,$N153))</f>
        <v/>
      </c>
      <c r="D153" s="22">
        <f>IF($L153="","",INDEX(HSI!$D$7:$D$106,$N153))</f>
        <v/>
      </c>
      <c r="E153" s="43">
        <f>IF($L153="","",IF($P153=0,"TBA",IFERROR(INDEX(Grids!$C$12:$BO$111,$N153,$O153),"-")))</f>
        <v/>
      </c>
      <c r="F153" s="22">
        <f>IF($L153="","",INDEX(HSI!$F$7:$F$106,$N153))</f>
        <v/>
      </c>
      <c r="G153" s="43">
        <f>IF($L153="","",IF($P153=0,"TBA",IFERROR(INDEX(Grids!$BQ$12:$EC$111,$N153,$O153),"-")))</f>
        <v/>
      </c>
      <c r="H153" s="44">
        <f>IF($L153="","",SUM($G$10:$G153))</f>
        <v/>
      </c>
      <c r="I153" s="45">
        <f>IF($L153="","",IF(INT(($L153-INT($L153/10000000)*10000000)/1000000)=0,"Bloomberg projection",IF($P153=1,"ANNOUNCED","ANNOUNCED - amount TBA")))</f>
        <v/>
      </c>
      <c r="J153" s="46">
        <f>IF($L153="","",IF((OV_SWITCH="ON")*(COUNTIFS(OVR_TICKERS,INDEX(HSI!$C$7:$C$106,$N153),OVR_BASE,"&gt;=0")&gt;0)&gt;0,"stock overridden",""))</f>
        <v/>
      </c>
      <c r="L153" s="39">
        <f>IFERROR(IF(SMALL(Grids!$EE$12:$GQ$111,$M$7+144)&gt;=PEND_TO,"",SMALL(Grids!$EE$12:$GQ$111,$M$7+144)),"")</f>
        <v/>
      </c>
      <c r="M153" s="39">
        <f>IF($L153="","",INT($L153/1000000000))</f>
        <v/>
      </c>
      <c r="N153" s="39">
        <f>IF($L153="","",INT(($L153-INT($L153/1000000)*1000000)/1000))</f>
        <v/>
      </c>
      <c r="O153" s="39">
        <f>IF($L153="","",$L153-INT($L153/1000)*1000)</f>
        <v/>
      </c>
      <c r="P153" s="39">
        <f>IF($L153="","",INT(($L153-INT($L153/1000000000)*1000000000)/100000000))</f>
        <v/>
      </c>
    </row>
    <row r="154">
      <c r="B154" s="42">
        <f>IF($L154="","",$M154)</f>
        <v/>
      </c>
      <c r="C154" s="22">
        <f>IF($L154="","",INDEX(HSI!$C$7:$C$106,$N154))</f>
        <v/>
      </c>
      <c r="D154" s="22">
        <f>IF($L154="","",INDEX(HSI!$D$7:$D$106,$N154))</f>
        <v/>
      </c>
      <c r="E154" s="43">
        <f>IF($L154="","",IF($P154=0,"TBA",IFERROR(INDEX(Grids!$C$12:$BO$111,$N154,$O154),"-")))</f>
        <v/>
      </c>
      <c r="F154" s="22">
        <f>IF($L154="","",INDEX(HSI!$F$7:$F$106,$N154))</f>
        <v/>
      </c>
      <c r="G154" s="43">
        <f>IF($L154="","",IF($P154=0,"TBA",IFERROR(INDEX(Grids!$BQ$12:$EC$111,$N154,$O154),"-")))</f>
        <v/>
      </c>
      <c r="H154" s="44">
        <f>IF($L154="","",SUM($G$10:$G154))</f>
        <v/>
      </c>
      <c r="I154" s="45">
        <f>IF($L154="","",IF(INT(($L154-INT($L154/10000000)*10000000)/1000000)=0,"Bloomberg projection",IF($P154=1,"ANNOUNCED","ANNOUNCED - amount TBA")))</f>
        <v/>
      </c>
      <c r="J154" s="46">
        <f>IF($L154="","",IF((OV_SWITCH="ON")*(COUNTIFS(OVR_TICKERS,INDEX(HSI!$C$7:$C$106,$N154),OVR_BASE,"&gt;=0")&gt;0)&gt;0,"stock overridden",""))</f>
        <v/>
      </c>
      <c r="L154" s="39">
        <f>IFERROR(IF(SMALL(Grids!$EE$12:$GQ$111,$M$7+145)&gt;=PEND_TO,"",SMALL(Grids!$EE$12:$GQ$111,$M$7+145)),"")</f>
        <v/>
      </c>
      <c r="M154" s="39">
        <f>IF($L154="","",INT($L154/1000000000))</f>
        <v/>
      </c>
      <c r="N154" s="39">
        <f>IF($L154="","",INT(($L154-INT($L154/1000000)*1000000)/1000))</f>
        <v/>
      </c>
      <c r="O154" s="39">
        <f>IF($L154="","",$L154-INT($L154/1000)*1000)</f>
        <v/>
      </c>
      <c r="P154" s="39">
        <f>IF($L154="","",INT(($L154-INT($L154/1000000000)*1000000000)/100000000))</f>
        <v/>
      </c>
    </row>
    <row r="155">
      <c r="B155" s="42">
        <f>IF($L155="","",$M155)</f>
        <v/>
      </c>
      <c r="C155" s="22">
        <f>IF($L155="","",INDEX(HSI!$C$7:$C$106,$N155))</f>
        <v/>
      </c>
      <c r="D155" s="22">
        <f>IF($L155="","",INDEX(HSI!$D$7:$D$106,$N155))</f>
        <v/>
      </c>
      <c r="E155" s="43">
        <f>IF($L155="","",IF($P155=0,"TBA",IFERROR(INDEX(Grids!$C$12:$BO$111,$N155,$O155),"-")))</f>
        <v/>
      </c>
      <c r="F155" s="22">
        <f>IF($L155="","",INDEX(HSI!$F$7:$F$106,$N155))</f>
        <v/>
      </c>
      <c r="G155" s="43">
        <f>IF($L155="","",IF($P155=0,"TBA",IFERROR(INDEX(Grids!$BQ$12:$EC$111,$N155,$O155),"-")))</f>
        <v/>
      </c>
      <c r="H155" s="44">
        <f>IF($L155="","",SUM($G$10:$G155))</f>
        <v/>
      </c>
      <c r="I155" s="45">
        <f>IF($L155="","",IF(INT(($L155-INT($L155/10000000)*10000000)/1000000)=0,"Bloomberg projection",IF($P155=1,"ANNOUNCED","ANNOUNCED - amount TBA")))</f>
        <v/>
      </c>
      <c r="J155" s="46">
        <f>IF($L155="","",IF((OV_SWITCH="ON")*(COUNTIFS(OVR_TICKERS,INDEX(HSI!$C$7:$C$106,$N155),OVR_BASE,"&gt;=0")&gt;0)&gt;0,"stock overridden",""))</f>
        <v/>
      </c>
      <c r="L155" s="39">
        <f>IFERROR(IF(SMALL(Grids!$EE$12:$GQ$111,$M$7+146)&gt;=PEND_TO,"",SMALL(Grids!$EE$12:$GQ$111,$M$7+146)),"")</f>
        <v/>
      </c>
      <c r="M155" s="39">
        <f>IF($L155="","",INT($L155/1000000000))</f>
        <v/>
      </c>
      <c r="N155" s="39">
        <f>IF($L155="","",INT(($L155-INT($L155/1000000)*1000000)/1000))</f>
        <v/>
      </c>
      <c r="O155" s="39">
        <f>IF($L155="","",$L155-INT($L155/1000)*1000)</f>
        <v/>
      </c>
      <c r="P155" s="39">
        <f>IF($L155="","",INT(($L155-INT($L155/1000000000)*1000000000)/100000000))</f>
        <v/>
      </c>
    </row>
    <row r="156">
      <c r="B156" s="42">
        <f>IF($L156="","",$M156)</f>
        <v/>
      </c>
      <c r="C156" s="22">
        <f>IF($L156="","",INDEX(HSI!$C$7:$C$106,$N156))</f>
        <v/>
      </c>
      <c r="D156" s="22">
        <f>IF($L156="","",INDEX(HSI!$D$7:$D$106,$N156))</f>
        <v/>
      </c>
      <c r="E156" s="43">
        <f>IF($L156="","",IF($P156=0,"TBA",IFERROR(INDEX(Grids!$C$12:$BO$111,$N156,$O156),"-")))</f>
        <v/>
      </c>
      <c r="F156" s="22">
        <f>IF($L156="","",INDEX(HSI!$F$7:$F$106,$N156))</f>
        <v/>
      </c>
      <c r="G156" s="43">
        <f>IF($L156="","",IF($P156=0,"TBA",IFERROR(INDEX(Grids!$BQ$12:$EC$111,$N156,$O156),"-")))</f>
        <v/>
      </c>
      <c r="H156" s="44">
        <f>IF($L156="","",SUM($G$10:$G156))</f>
        <v/>
      </c>
      <c r="I156" s="45">
        <f>IF($L156="","",IF(INT(($L156-INT($L156/10000000)*10000000)/1000000)=0,"Bloomberg projection",IF($P156=1,"ANNOUNCED","ANNOUNCED - amount TBA")))</f>
        <v/>
      </c>
      <c r="J156" s="46">
        <f>IF($L156="","",IF((OV_SWITCH="ON")*(COUNTIFS(OVR_TICKERS,INDEX(HSI!$C$7:$C$106,$N156),OVR_BASE,"&gt;=0")&gt;0)&gt;0,"stock overridden",""))</f>
        <v/>
      </c>
      <c r="L156" s="39">
        <f>IFERROR(IF(SMALL(Grids!$EE$12:$GQ$111,$M$7+147)&gt;=PEND_TO,"",SMALL(Grids!$EE$12:$GQ$111,$M$7+147)),"")</f>
        <v/>
      </c>
      <c r="M156" s="39">
        <f>IF($L156="","",INT($L156/1000000000))</f>
        <v/>
      </c>
      <c r="N156" s="39">
        <f>IF($L156="","",INT(($L156-INT($L156/1000000)*1000000)/1000))</f>
        <v/>
      </c>
      <c r="O156" s="39">
        <f>IF($L156="","",$L156-INT($L156/1000)*1000)</f>
        <v/>
      </c>
      <c r="P156" s="39">
        <f>IF($L156="","",INT(($L156-INT($L156/1000000000)*1000000000)/100000000))</f>
        <v/>
      </c>
    </row>
    <row r="157">
      <c r="B157" s="42">
        <f>IF($L157="","",$M157)</f>
        <v/>
      </c>
      <c r="C157" s="22">
        <f>IF($L157="","",INDEX(HSI!$C$7:$C$106,$N157))</f>
        <v/>
      </c>
      <c r="D157" s="22">
        <f>IF($L157="","",INDEX(HSI!$D$7:$D$106,$N157))</f>
        <v/>
      </c>
      <c r="E157" s="43">
        <f>IF($L157="","",IF($P157=0,"TBA",IFERROR(INDEX(Grids!$C$12:$BO$111,$N157,$O157),"-")))</f>
        <v/>
      </c>
      <c r="F157" s="22">
        <f>IF($L157="","",INDEX(HSI!$F$7:$F$106,$N157))</f>
        <v/>
      </c>
      <c r="G157" s="43">
        <f>IF($L157="","",IF($P157=0,"TBA",IFERROR(INDEX(Grids!$BQ$12:$EC$111,$N157,$O157),"-")))</f>
        <v/>
      </c>
      <c r="H157" s="44">
        <f>IF($L157="","",SUM($G$10:$G157))</f>
        <v/>
      </c>
      <c r="I157" s="45">
        <f>IF($L157="","",IF(INT(($L157-INT($L157/10000000)*10000000)/1000000)=0,"Bloomberg projection",IF($P157=1,"ANNOUNCED","ANNOUNCED - amount TBA")))</f>
        <v/>
      </c>
      <c r="J157" s="46">
        <f>IF($L157="","",IF((OV_SWITCH="ON")*(COUNTIFS(OVR_TICKERS,INDEX(HSI!$C$7:$C$106,$N157),OVR_BASE,"&gt;=0")&gt;0)&gt;0,"stock overridden",""))</f>
        <v/>
      </c>
      <c r="L157" s="39">
        <f>IFERROR(IF(SMALL(Grids!$EE$12:$GQ$111,$M$7+148)&gt;=PEND_TO,"",SMALL(Grids!$EE$12:$GQ$111,$M$7+148)),"")</f>
        <v/>
      </c>
      <c r="M157" s="39">
        <f>IF($L157="","",INT($L157/1000000000))</f>
        <v/>
      </c>
      <c r="N157" s="39">
        <f>IF($L157="","",INT(($L157-INT($L157/1000000)*1000000)/1000))</f>
        <v/>
      </c>
      <c r="O157" s="39">
        <f>IF($L157="","",$L157-INT($L157/1000)*1000)</f>
        <v/>
      </c>
      <c r="P157" s="39">
        <f>IF($L157="","",INT(($L157-INT($L157/1000000000)*1000000000)/100000000))</f>
        <v/>
      </c>
    </row>
    <row r="158">
      <c r="B158" s="42">
        <f>IF($L158="","",$M158)</f>
        <v/>
      </c>
      <c r="C158" s="22">
        <f>IF($L158="","",INDEX(HSI!$C$7:$C$106,$N158))</f>
        <v/>
      </c>
      <c r="D158" s="22">
        <f>IF($L158="","",INDEX(HSI!$D$7:$D$106,$N158))</f>
        <v/>
      </c>
      <c r="E158" s="43">
        <f>IF($L158="","",IF($P158=0,"TBA",IFERROR(INDEX(Grids!$C$12:$BO$111,$N158,$O158),"-")))</f>
        <v/>
      </c>
      <c r="F158" s="22">
        <f>IF($L158="","",INDEX(HSI!$F$7:$F$106,$N158))</f>
        <v/>
      </c>
      <c r="G158" s="43">
        <f>IF($L158="","",IF($P158=0,"TBA",IFERROR(INDEX(Grids!$BQ$12:$EC$111,$N158,$O158),"-")))</f>
        <v/>
      </c>
      <c r="H158" s="44">
        <f>IF($L158="","",SUM($G$10:$G158))</f>
        <v/>
      </c>
      <c r="I158" s="45">
        <f>IF($L158="","",IF(INT(($L158-INT($L158/10000000)*10000000)/1000000)=0,"Bloomberg projection",IF($P158=1,"ANNOUNCED","ANNOUNCED - amount TBA")))</f>
        <v/>
      </c>
      <c r="J158" s="46">
        <f>IF($L158="","",IF((OV_SWITCH="ON")*(COUNTIFS(OVR_TICKERS,INDEX(HSI!$C$7:$C$106,$N158),OVR_BASE,"&gt;=0")&gt;0)&gt;0,"stock overridden",""))</f>
        <v/>
      </c>
      <c r="L158" s="39">
        <f>IFERROR(IF(SMALL(Grids!$EE$12:$GQ$111,$M$7+149)&gt;=PEND_TO,"",SMALL(Grids!$EE$12:$GQ$111,$M$7+149)),"")</f>
        <v/>
      </c>
      <c r="M158" s="39">
        <f>IF($L158="","",INT($L158/1000000000))</f>
        <v/>
      </c>
      <c r="N158" s="39">
        <f>IF($L158="","",INT(($L158-INT($L158/1000000)*1000000)/1000))</f>
        <v/>
      </c>
      <c r="O158" s="39">
        <f>IF($L158="","",$L158-INT($L158/1000)*1000)</f>
        <v/>
      </c>
      <c r="P158" s="39">
        <f>IF($L158="","",INT(($L158-INT($L158/1000000000)*1000000000)/100000000))</f>
        <v/>
      </c>
    </row>
    <row r="159">
      <c r="B159" s="42">
        <f>IF($L159="","",$M159)</f>
        <v/>
      </c>
      <c r="C159" s="22">
        <f>IF($L159="","",INDEX(HSI!$C$7:$C$106,$N159))</f>
        <v/>
      </c>
      <c r="D159" s="22">
        <f>IF($L159="","",INDEX(HSI!$D$7:$D$106,$N159))</f>
        <v/>
      </c>
      <c r="E159" s="43">
        <f>IF($L159="","",IF($P159=0,"TBA",IFERROR(INDEX(Grids!$C$12:$BO$111,$N159,$O159),"-")))</f>
        <v/>
      </c>
      <c r="F159" s="22">
        <f>IF($L159="","",INDEX(HSI!$F$7:$F$106,$N159))</f>
        <v/>
      </c>
      <c r="G159" s="43">
        <f>IF($L159="","",IF($P159=0,"TBA",IFERROR(INDEX(Grids!$BQ$12:$EC$111,$N159,$O159),"-")))</f>
        <v/>
      </c>
      <c r="H159" s="44">
        <f>IF($L159="","",SUM($G$10:$G159))</f>
        <v/>
      </c>
      <c r="I159" s="45">
        <f>IF($L159="","",IF(INT(($L159-INT($L159/10000000)*10000000)/1000000)=0,"Bloomberg projection",IF($P159=1,"ANNOUNCED","ANNOUNCED - amount TBA")))</f>
        <v/>
      </c>
      <c r="J159" s="46">
        <f>IF($L159="","",IF((OV_SWITCH="ON")*(COUNTIFS(OVR_TICKERS,INDEX(HSI!$C$7:$C$106,$N159),OVR_BASE,"&gt;=0")&gt;0)&gt;0,"stock overridden",""))</f>
        <v/>
      </c>
      <c r="L159" s="39">
        <f>IFERROR(IF(SMALL(Grids!$EE$12:$GQ$111,$M$7+150)&gt;=PEND_TO,"",SMALL(Grids!$EE$12:$GQ$111,$M$7+150)),"")</f>
        <v/>
      </c>
      <c r="M159" s="39">
        <f>IF($L159="","",INT($L159/1000000000))</f>
        <v/>
      </c>
      <c r="N159" s="39">
        <f>IF($L159="","",INT(($L159-INT($L159/1000000)*1000000)/1000))</f>
        <v/>
      </c>
      <c r="O159" s="39">
        <f>IF($L159="","",$L159-INT($L159/1000)*1000)</f>
        <v/>
      </c>
      <c r="P159" s="39">
        <f>IF($L159="","",INT(($L159-INT($L159/1000000000)*1000000000)/100000000))</f>
        <v/>
      </c>
    </row>
    <row r="160">
      <c r="B160" s="42">
        <f>IF($L160="","",$M160)</f>
        <v/>
      </c>
      <c r="C160" s="22">
        <f>IF($L160="","",INDEX(HSI!$C$7:$C$106,$N160))</f>
        <v/>
      </c>
      <c r="D160" s="22">
        <f>IF($L160="","",INDEX(HSI!$D$7:$D$106,$N160))</f>
        <v/>
      </c>
      <c r="E160" s="43">
        <f>IF($L160="","",IF($P160=0,"TBA",IFERROR(INDEX(Grids!$C$12:$BO$111,$N160,$O160),"-")))</f>
        <v/>
      </c>
      <c r="F160" s="22">
        <f>IF($L160="","",INDEX(HSI!$F$7:$F$106,$N160))</f>
        <v/>
      </c>
      <c r="G160" s="43">
        <f>IF($L160="","",IF($P160=0,"TBA",IFERROR(INDEX(Grids!$BQ$12:$EC$111,$N160,$O160),"-")))</f>
        <v/>
      </c>
      <c r="H160" s="44">
        <f>IF($L160="","",SUM($G$10:$G160))</f>
        <v/>
      </c>
      <c r="I160" s="45">
        <f>IF($L160="","",IF(INT(($L160-INT($L160/10000000)*10000000)/1000000)=0,"Bloomberg projection",IF($P160=1,"ANNOUNCED","ANNOUNCED - amount TBA")))</f>
        <v/>
      </c>
      <c r="J160" s="46">
        <f>IF($L160="","",IF((OV_SWITCH="ON")*(COUNTIFS(OVR_TICKERS,INDEX(HSI!$C$7:$C$106,$N160),OVR_BASE,"&gt;=0")&gt;0)&gt;0,"stock overridden",""))</f>
        <v/>
      </c>
      <c r="L160" s="39">
        <f>IFERROR(IF(SMALL(Grids!$EE$12:$GQ$111,$M$7+151)&gt;=PEND_TO,"",SMALL(Grids!$EE$12:$GQ$111,$M$7+151)),"")</f>
        <v/>
      </c>
      <c r="M160" s="39">
        <f>IF($L160="","",INT($L160/1000000000))</f>
        <v/>
      </c>
      <c r="N160" s="39">
        <f>IF($L160="","",INT(($L160-INT($L160/1000000)*1000000)/1000))</f>
        <v/>
      </c>
      <c r="O160" s="39">
        <f>IF($L160="","",$L160-INT($L160/1000)*1000)</f>
        <v/>
      </c>
      <c r="P160" s="39">
        <f>IF($L160="","",INT(($L160-INT($L160/1000000000)*1000000000)/100000000))</f>
        <v/>
      </c>
    </row>
    <row r="161">
      <c r="B161" s="42">
        <f>IF($L161="","",$M161)</f>
        <v/>
      </c>
      <c r="C161" s="22">
        <f>IF($L161="","",INDEX(HSI!$C$7:$C$106,$N161))</f>
        <v/>
      </c>
      <c r="D161" s="22">
        <f>IF($L161="","",INDEX(HSI!$D$7:$D$106,$N161))</f>
        <v/>
      </c>
      <c r="E161" s="43">
        <f>IF($L161="","",IF($P161=0,"TBA",IFERROR(INDEX(Grids!$C$12:$BO$111,$N161,$O161),"-")))</f>
        <v/>
      </c>
      <c r="F161" s="22">
        <f>IF($L161="","",INDEX(HSI!$F$7:$F$106,$N161))</f>
        <v/>
      </c>
      <c r="G161" s="43">
        <f>IF($L161="","",IF($P161=0,"TBA",IFERROR(INDEX(Grids!$BQ$12:$EC$111,$N161,$O161),"-")))</f>
        <v/>
      </c>
      <c r="H161" s="44">
        <f>IF($L161="","",SUM($G$10:$G161))</f>
        <v/>
      </c>
      <c r="I161" s="45">
        <f>IF($L161="","",IF(INT(($L161-INT($L161/10000000)*10000000)/1000000)=0,"Bloomberg projection",IF($P161=1,"ANNOUNCED","ANNOUNCED - amount TBA")))</f>
        <v/>
      </c>
      <c r="J161" s="46">
        <f>IF($L161="","",IF((OV_SWITCH="ON")*(COUNTIFS(OVR_TICKERS,INDEX(HSI!$C$7:$C$106,$N161),OVR_BASE,"&gt;=0")&gt;0)&gt;0,"stock overridden",""))</f>
        <v/>
      </c>
      <c r="L161" s="39">
        <f>IFERROR(IF(SMALL(Grids!$EE$12:$GQ$111,$M$7+152)&gt;=PEND_TO,"",SMALL(Grids!$EE$12:$GQ$111,$M$7+152)),"")</f>
        <v/>
      </c>
      <c r="M161" s="39">
        <f>IF($L161="","",INT($L161/1000000000))</f>
        <v/>
      </c>
      <c r="N161" s="39">
        <f>IF($L161="","",INT(($L161-INT($L161/1000000)*1000000)/1000))</f>
        <v/>
      </c>
      <c r="O161" s="39">
        <f>IF($L161="","",$L161-INT($L161/1000)*1000)</f>
        <v/>
      </c>
      <c r="P161" s="39">
        <f>IF($L161="","",INT(($L161-INT($L161/1000000000)*1000000000)/100000000))</f>
        <v/>
      </c>
    </row>
    <row r="162">
      <c r="B162" s="42">
        <f>IF($L162="","",$M162)</f>
        <v/>
      </c>
      <c r="C162" s="22">
        <f>IF($L162="","",INDEX(HSI!$C$7:$C$106,$N162))</f>
        <v/>
      </c>
      <c r="D162" s="22">
        <f>IF($L162="","",INDEX(HSI!$D$7:$D$106,$N162))</f>
        <v/>
      </c>
      <c r="E162" s="43">
        <f>IF($L162="","",IF($P162=0,"TBA",IFERROR(INDEX(Grids!$C$12:$BO$111,$N162,$O162),"-")))</f>
        <v/>
      </c>
      <c r="F162" s="22">
        <f>IF($L162="","",INDEX(HSI!$F$7:$F$106,$N162))</f>
        <v/>
      </c>
      <c r="G162" s="43">
        <f>IF($L162="","",IF($P162=0,"TBA",IFERROR(INDEX(Grids!$BQ$12:$EC$111,$N162,$O162),"-")))</f>
        <v/>
      </c>
      <c r="H162" s="44">
        <f>IF($L162="","",SUM($G$10:$G162))</f>
        <v/>
      </c>
      <c r="I162" s="45">
        <f>IF($L162="","",IF(INT(($L162-INT($L162/10000000)*10000000)/1000000)=0,"Bloomberg projection",IF($P162=1,"ANNOUNCED","ANNOUNCED - amount TBA")))</f>
        <v/>
      </c>
      <c r="J162" s="46">
        <f>IF($L162="","",IF((OV_SWITCH="ON")*(COUNTIFS(OVR_TICKERS,INDEX(HSI!$C$7:$C$106,$N162),OVR_BASE,"&gt;=0")&gt;0)&gt;0,"stock overridden",""))</f>
        <v/>
      </c>
      <c r="L162" s="39">
        <f>IFERROR(IF(SMALL(Grids!$EE$12:$GQ$111,$M$7+153)&gt;=PEND_TO,"",SMALL(Grids!$EE$12:$GQ$111,$M$7+153)),"")</f>
        <v/>
      </c>
      <c r="M162" s="39">
        <f>IF($L162="","",INT($L162/1000000000))</f>
        <v/>
      </c>
      <c r="N162" s="39">
        <f>IF($L162="","",INT(($L162-INT($L162/1000000)*1000000)/1000))</f>
        <v/>
      </c>
      <c r="O162" s="39">
        <f>IF($L162="","",$L162-INT($L162/1000)*1000)</f>
        <v/>
      </c>
      <c r="P162" s="39">
        <f>IF($L162="","",INT(($L162-INT($L162/1000000000)*1000000000)/100000000))</f>
        <v/>
      </c>
    </row>
    <row r="163">
      <c r="B163" s="42">
        <f>IF($L163="","",$M163)</f>
        <v/>
      </c>
      <c r="C163" s="22">
        <f>IF($L163="","",INDEX(HSI!$C$7:$C$106,$N163))</f>
        <v/>
      </c>
      <c r="D163" s="22">
        <f>IF($L163="","",INDEX(HSI!$D$7:$D$106,$N163))</f>
        <v/>
      </c>
      <c r="E163" s="43">
        <f>IF($L163="","",IF($P163=0,"TBA",IFERROR(INDEX(Grids!$C$12:$BO$111,$N163,$O163),"-")))</f>
        <v/>
      </c>
      <c r="F163" s="22">
        <f>IF($L163="","",INDEX(HSI!$F$7:$F$106,$N163))</f>
        <v/>
      </c>
      <c r="G163" s="43">
        <f>IF($L163="","",IF($P163=0,"TBA",IFERROR(INDEX(Grids!$BQ$12:$EC$111,$N163,$O163),"-")))</f>
        <v/>
      </c>
      <c r="H163" s="44">
        <f>IF($L163="","",SUM($G$10:$G163))</f>
        <v/>
      </c>
      <c r="I163" s="45">
        <f>IF($L163="","",IF(INT(($L163-INT($L163/10000000)*10000000)/1000000)=0,"Bloomberg projection",IF($P163=1,"ANNOUNCED","ANNOUNCED - amount TBA")))</f>
        <v/>
      </c>
      <c r="J163" s="46">
        <f>IF($L163="","",IF((OV_SWITCH="ON")*(COUNTIFS(OVR_TICKERS,INDEX(HSI!$C$7:$C$106,$N163),OVR_BASE,"&gt;=0")&gt;0)&gt;0,"stock overridden",""))</f>
        <v/>
      </c>
      <c r="L163" s="39">
        <f>IFERROR(IF(SMALL(Grids!$EE$12:$GQ$111,$M$7+154)&gt;=PEND_TO,"",SMALL(Grids!$EE$12:$GQ$111,$M$7+154)),"")</f>
        <v/>
      </c>
      <c r="M163" s="39">
        <f>IF($L163="","",INT($L163/1000000000))</f>
        <v/>
      </c>
      <c r="N163" s="39">
        <f>IF($L163="","",INT(($L163-INT($L163/1000000)*1000000)/1000))</f>
        <v/>
      </c>
      <c r="O163" s="39">
        <f>IF($L163="","",$L163-INT($L163/1000)*1000)</f>
        <v/>
      </c>
      <c r="P163" s="39">
        <f>IF($L163="","",INT(($L163-INT($L163/1000000000)*1000000000)/100000000))</f>
        <v/>
      </c>
    </row>
    <row r="164">
      <c r="B164" s="42">
        <f>IF($L164="","",$M164)</f>
        <v/>
      </c>
      <c r="C164" s="22">
        <f>IF($L164="","",INDEX(HSI!$C$7:$C$106,$N164))</f>
        <v/>
      </c>
      <c r="D164" s="22">
        <f>IF($L164="","",INDEX(HSI!$D$7:$D$106,$N164))</f>
        <v/>
      </c>
      <c r="E164" s="43">
        <f>IF($L164="","",IF($P164=0,"TBA",IFERROR(INDEX(Grids!$C$12:$BO$111,$N164,$O164),"-")))</f>
        <v/>
      </c>
      <c r="F164" s="22">
        <f>IF($L164="","",INDEX(HSI!$F$7:$F$106,$N164))</f>
        <v/>
      </c>
      <c r="G164" s="43">
        <f>IF($L164="","",IF($P164=0,"TBA",IFERROR(INDEX(Grids!$BQ$12:$EC$111,$N164,$O164),"-")))</f>
        <v/>
      </c>
      <c r="H164" s="44">
        <f>IF($L164="","",SUM($G$10:$G164))</f>
        <v/>
      </c>
      <c r="I164" s="45">
        <f>IF($L164="","",IF(INT(($L164-INT($L164/10000000)*10000000)/1000000)=0,"Bloomberg projection",IF($P164=1,"ANNOUNCED","ANNOUNCED - amount TBA")))</f>
        <v/>
      </c>
      <c r="J164" s="46">
        <f>IF($L164="","",IF((OV_SWITCH="ON")*(COUNTIFS(OVR_TICKERS,INDEX(HSI!$C$7:$C$106,$N164),OVR_BASE,"&gt;=0")&gt;0)&gt;0,"stock overridden",""))</f>
        <v/>
      </c>
      <c r="L164" s="39">
        <f>IFERROR(IF(SMALL(Grids!$EE$12:$GQ$111,$M$7+155)&gt;=PEND_TO,"",SMALL(Grids!$EE$12:$GQ$111,$M$7+155)),"")</f>
        <v/>
      </c>
      <c r="M164" s="39">
        <f>IF($L164="","",INT($L164/1000000000))</f>
        <v/>
      </c>
      <c r="N164" s="39">
        <f>IF($L164="","",INT(($L164-INT($L164/1000000)*1000000)/1000))</f>
        <v/>
      </c>
      <c r="O164" s="39">
        <f>IF($L164="","",$L164-INT($L164/1000)*1000)</f>
        <v/>
      </c>
      <c r="P164" s="39">
        <f>IF($L164="","",INT(($L164-INT($L164/1000000000)*1000000000)/100000000))</f>
        <v/>
      </c>
    </row>
    <row r="165">
      <c r="B165" s="42">
        <f>IF($L165="","",$M165)</f>
        <v/>
      </c>
      <c r="C165" s="22">
        <f>IF($L165="","",INDEX(HSI!$C$7:$C$106,$N165))</f>
        <v/>
      </c>
      <c r="D165" s="22">
        <f>IF($L165="","",INDEX(HSI!$D$7:$D$106,$N165))</f>
        <v/>
      </c>
      <c r="E165" s="43">
        <f>IF($L165="","",IF($P165=0,"TBA",IFERROR(INDEX(Grids!$C$12:$BO$111,$N165,$O165),"-")))</f>
        <v/>
      </c>
      <c r="F165" s="22">
        <f>IF($L165="","",INDEX(HSI!$F$7:$F$106,$N165))</f>
        <v/>
      </c>
      <c r="G165" s="43">
        <f>IF($L165="","",IF($P165=0,"TBA",IFERROR(INDEX(Grids!$BQ$12:$EC$111,$N165,$O165),"-")))</f>
        <v/>
      </c>
      <c r="H165" s="44">
        <f>IF($L165="","",SUM($G$10:$G165))</f>
        <v/>
      </c>
      <c r="I165" s="45">
        <f>IF($L165="","",IF(INT(($L165-INT($L165/10000000)*10000000)/1000000)=0,"Bloomberg projection",IF($P165=1,"ANNOUNCED","ANNOUNCED - amount TBA")))</f>
        <v/>
      </c>
      <c r="J165" s="46">
        <f>IF($L165="","",IF((OV_SWITCH="ON")*(COUNTIFS(OVR_TICKERS,INDEX(HSI!$C$7:$C$106,$N165),OVR_BASE,"&gt;=0")&gt;0)&gt;0,"stock overridden",""))</f>
        <v/>
      </c>
      <c r="L165" s="39">
        <f>IFERROR(IF(SMALL(Grids!$EE$12:$GQ$111,$M$7+156)&gt;=PEND_TO,"",SMALL(Grids!$EE$12:$GQ$111,$M$7+156)),"")</f>
        <v/>
      </c>
      <c r="M165" s="39">
        <f>IF($L165="","",INT($L165/1000000000))</f>
        <v/>
      </c>
      <c r="N165" s="39">
        <f>IF($L165="","",INT(($L165-INT($L165/1000000)*1000000)/1000))</f>
        <v/>
      </c>
      <c r="O165" s="39">
        <f>IF($L165="","",$L165-INT($L165/1000)*1000)</f>
        <v/>
      </c>
      <c r="P165" s="39">
        <f>IF($L165="","",INT(($L165-INT($L165/1000000000)*1000000000)/100000000))</f>
        <v/>
      </c>
    </row>
    <row r="166">
      <c r="B166" s="42">
        <f>IF($L166="","",$M166)</f>
        <v/>
      </c>
      <c r="C166" s="22">
        <f>IF($L166="","",INDEX(HSI!$C$7:$C$106,$N166))</f>
        <v/>
      </c>
      <c r="D166" s="22">
        <f>IF($L166="","",INDEX(HSI!$D$7:$D$106,$N166))</f>
        <v/>
      </c>
      <c r="E166" s="43">
        <f>IF($L166="","",IF($P166=0,"TBA",IFERROR(INDEX(Grids!$C$12:$BO$111,$N166,$O166),"-")))</f>
        <v/>
      </c>
      <c r="F166" s="22">
        <f>IF($L166="","",INDEX(HSI!$F$7:$F$106,$N166))</f>
        <v/>
      </c>
      <c r="G166" s="43">
        <f>IF($L166="","",IF($P166=0,"TBA",IFERROR(INDEX(Grids!$BQ$12:$EC$111,$N166,$O166),"-")))</f>
        <v/>
      </c>
      <c r="H166" s="44">
        <f>IF($L166="","",SUM($G$10:$G166))</f>
        <v/>
      </c>
      <c r="I166" s="45">
        <f>IF($L166="","",IF(INT(($L166-INT($L166/10000000)*10000000)/1000000)=0,"Bloomberg projection",IF($P166=1,"ANNOUNCED","ANNOUNCED - amount TBA")))</f>
        <v/>
      </c>
      <c r="J166" s="46">
        <f>IF($L166="","",IF((OV_SWITCH="ON")*(COUNTIFS(OVR_TICKERS,INDEX(HSI!$C$7:$C$106,$N166),OVR_BASE,"&gt;=0")&gt;0)&gt;0,"stock overridden",""))</f>
        <v/>
      </c>
      <c r="L166" s="39">
        <f>IFERROR(IF(SMALL(Grids!$EE$12:$GQ$111,$M$7+157)&gt;=PEND_TO,"",SMALL(Grids!$EE$12:$GQ$111,$M$7+157)),"")</f>
        <v/>
      </c>
      <c r="M166" s="39">
        <f>IF($L166="","",INT($L166/1000000000))</f>
        <v/>
      </c>
      <c r="N166" s="39">
        <f>IF($L166="","",INT(($L166-INT($L166/1000000)*1000000)/1000))</f>
        <v/>
      </c>
      <c r="O166" s="39">
        <f>IF($L166="","",$L166-INT($L166/1000)*1000)</f>
        <v/>
      </c>
      <c r="P166" s="39">
        <f>IF($L166="","",INT(($L166-INT($L166/1000000000)*1000000000)/100000000))</f>
        <v/>
      </c>
    </row>
    <row r="167">
      <c r="B167" s="42">
        <f>IF($L167="","",$M167)</f>
        <v/>
      </c>
      <c r="C167" s="22">
        <f>IF($L167="","",INDEX(HSI!$C$7:$C$106,$N167))</f>
        <v/>
      </c>
      <c r="D167" s="22">
        <f>IF($L167="","",INDEX(HSI!$D$7:$D$106,$N167))</f>
        <v/>
      </c>
      <c r="E167" s="43">
        <f>IF($L167="","",IF($P167=0,"TBA",IFERROR(INDEX(Grids!$C$12:$BO$111,$N167,$O167),"-")))</f>
        <v/>
      </c>
      <c r="F167" s="22">
        <f>IF($L167="","",INDEX(HSI!$F$7:$F$106,$N167))</f>
        <v/>
      </c>
      <c r="G167" s="43">
        <f>IF($L167="","",IF($P167=0,"TBA",IFERROR(INDEX(Grids!$BQ$12:$EC$111,$N167,$O167),"-")))</f>
        <v/>
      </c>
      <c r="H167" s="44">
        <f>IF($L167="","",SUM($G$10:$G167))</f>
        <v/>
      </c>
      <c r="I167" s="45">
        <f>IF($L167="","",IF(INT(($L167-INT($L167/10000000)*10000000)/1000000)=0,"Bloomberg projection",IF($P167=1,"ANNOUNCED","ANNOUNCED - amount TBA")))</f>
        <v/>
      </c>
      <c r="J167" s="46">
        <f>IF($L167="","",IF((OV_SWITCH="ON")*(COUNTIFS(OVR_TICKERS,INDEX(HSI!$C$7:$C$106,$N167),OVR_BASE,"&gt;=0")&gt;0)&gt;0,"stock overridden",""))</f>
        <v/>
      </c>
      <c r="L167" s="39">
        <f>IFERROR(IF(SMALL(Grids!$EE$12:$GQ$111,$M$7+158)&gt;=PEND_TO,"",SMALL(Grids!$EE$12:$GQ$111,$M$7+158)),"")</f>
        <v/>
      </c>
      <c r="M167" s="39">
        <f>IF($L167="","",INT($L167/1000000000))</f>
        <v/>
      </c>
      <c r="N167" s="39">
        <f>IF($L167="","",INT(($L167-INT($L167/1000000)*1000000)/1000))</f>
        <v/>
      </c>
      <c r="O167" s="39">
        <f>IF($L167="","",$L167-INT($L167/1000)*1000)</f>
        <v/>
      </c>
      <c r="P167" s="39">
        <f>IF($L167="","",INT(($L167-INT($L167/1000000000)*1000000000)/100000000))</f>
        <v/>
      </c>
    </row>
    <row r="168">
      <c r="B168" s="42">
        <f>IF($L168="","",$M168)</f>
        <v/>
      </c>
      <c r="C168" s="22">
        <f>IF($L168="","",INDEX(HSI!$C$7:$C$106,$N168))</f>
        <v/>
      </c>
      <c r="D168" s="22">
        <f>IF($L168="","",INDEX(HSI!$D$7:$D$106,$N168))</f>
        <v/>
      </c>
      <c r="E168" s="43">
        <f>IF($L168="","",IF($P168=0,"TBA",IFERROR(INDEX(Grids!$C$12:$BO$111,$N168,$O168),"-")))</f>
        <v/>
      </c>
      <c r="F168" s="22">
        <f>IF($L168="","",INDEX(HSI!$F$7:$F$106,$N168))</f>
        <v/>
      </c>
      <c r="G168" s="43">
        <f>IF($L168="","",IF($P168=0,"TBA",IFERROR(INDEX(Grids!$BQ$12:$EC$111,$N168,$O168),"-")))</f>
        <v/>
      </c>
      <c r="H168" s="44">
        <f>IF($L168="","",SUM($G$10:$G168))</f>
        <v/>
      </c>
      <c r="I168" s="45">
        <f>IF($L168="","",IF(INT(($L168-INT($L168/10000000)*10000000)/1000000)=0,"Bloomberg projection",IF($P168=1,"ANNOUNCED","ANNOUNCED - amount TBA")))</f>
        <v/>
      </c>
      <c r="J168" s="46">
        <f>IF($L168="","",IF((OV_SWITCH="ON")*(COUNTIFS(OVR_TICKERS,INDEX(HSI!$C$7:$C$106,$N168),OVR_BASE,"&gt;=0")&gt;0)&gt;0,"stock overridden",""))</f>
        <v/>
      </c>
      <c r="L168" s="39">
        <f>IFERROR(IF(SMALL(Grids!$EE$12:$GQ$111,$M$7+159)&gt;=PEND_TO,"",SMALL(Grids!$EE$12:$GQ$111,$M$7+159)),"")</f>
        <v/>
      </c>
      <c r="M168" s="39">
        <f>IF($L168="","",INT($L168/1000000000))</f>
        <v/>
      </c>
      <c r="N168" s="39">
        <f>IF($L168="","",INT(($L168-INT($L168/1000000)*1000000)/1000))</f>
        <v/>
      </c>
      <c r="O168" s="39">
        <f>IF($L168="","",$L168-INT($L168/1000)*1000)</f>
        <v/>
      </c>
      <c r="P168" s="39">
        <f>IF($L168="","",INT(($L168-INT($L168/1000000000)*1000000000)/100000000))</f>
        <v/>
      </c>
    </row>
    <row r="169">
      <c r="B169" s="42">
        <f>IF($L169="","",$M169)</f>
        <v/>
      </c>
      <c r="C169" s="22">
        <f>IF($L169="","",INDEX(HSI!$C$7:$C$106,$N169))</f>
        <v/>
      </c>
      <c r="D169" s="22">
        <f>IF($L169="","",INDEX(HSI!$D$7:$D$106,$N169))</f>
        <v/>
      </c>
      <c r="E169" s="43">
        <f>IF($L169="","",IF($P169=0,"TBA",IFERROR(INDEX(Grids!$C$12:$BO$111,$N169,$O169),"-")))</f>
        <v/>
      </c>
      <c r="F169" s="22">
        <f>IF($L169="","",INDEX(HSI!$F$7:$F$106,$N169))</f>
        <v/>
      </c>
      <c r="G169" s="43">
        <f>IF($L169="","",IF($P169=0,"TBA",IFERROR(INDEX(Grids!$BQ$12:$EC$111,$N169,$O169),"-")))</f>
        <v/>
      </c>
      <c r="H169" s="44">
        <f>IF($L169="","",SUM($G$10:$G169))</f>
        <v/>
      </c>
      <c r="I169" s="45">
        <f>IF($L169="","",IF(INT(($L169-INT($L169/10000000)*10000000)/1000000)=0,"Bloomberg projection",IF($P169=1,"ANNOUNCED","ANNOUNCED - amount TBA")))</f>
        <v/>
      </c>
      <c r="J169" s="46">
        <f>IF($L169="","",IF((OV_SWITCH="ON")*(COUNTIFS(OVR_TICKERS,INDEX(HSI!$C$7:$C$106,$N169),OVR_BASE,"&gt;=0")&gt;0)&gt;0,"stock overridden",""))</f>
        <v/>
      </c>
      <c r="L169" s="39">
        <f>IFERROR(IF(SMALL(Grids!$EE$12:$GQ$111,$M$7+160)&gt;=PEND_TO,"",SMALL(Grids!$EE$12:$GQ$111,$M$7+160)),"")</f>
        <v/>
      </c>
      <c r="M169" s="39">
        <f>IF($L169="","",INT($L169/1000000000))</f>
        <v/>
      </c>
      <c r="N169" s="39">
        <f>IF($L169="","",INT(($L169-INT($L169/1000000)*1000000)/1000))</f>
        <v/>
      </c>
      <c r="O169" s="39">
        <f>IF($L169="","",$L169-INT($L169/1000)*1000)</f>
        <v/>
      </c>
      <c r="P169" s="39">
        <f>IF($L169="","",INT(($L169-INT($L169/1000000000)*1000000000)/100000000))</f>
        <v/>
      </c>
    </row>
    <row r="170">
      <c r="B170" s="42">
        <f>IF($L170="","",$M170)</f>
        <v/>
      </c>
      <c r="C170" s="22">
        <f>IF($L170="","",INDEX(HSI!$C$7:$C$106,$N170))</f>
        <v/>
      </c>
      <c r="D170" s="22">
        <f>IF($L170="","",INDEX(HSI!$D$7:$D$106,$N170))</f>
        <v/>
      </c>
      <c r="E170" s="43">
        <f>IF($L170="","",IF($P170=0,"TBA",IFERROR(INDEX(Grids!$C$12:$BO$111,$N170,$O170),"-")))</f>
        <v/>
      </c>
      <c r="F170" s="22">
        <f>IF($L170="","",INDEX(HSI!$F$7:$F$106,$N170))</f>
        <v/>
      </c>
      <c r="G170" s="43">
        <f>IF($L170="","",IF($P170=0,"TBA",IFERROR(INDEX(Grids!$BQ$12:$EC$111,$N170,$O170),"-")))</f>
        <v/>
      </c>
      <c r="H170" s="44">
        <f>IF($L170="","",SUM($G$10:$G170))</f>
        <v/>
      </c>
      <c r="I170" s="45">
        <f>IF($L170="","",IF(INT(($L170-INT($L170/10000000)*10000000)/1000000)=0,"Bloomberg projection",IF($P170=1,"ANNOUNCED","ANNOUNCED - amount TBA")))</f>
        <v/>
      </c>
      <c r="J170" s="46">
        <f>IF($L170="","",IF((OV_SWITCH="ON")*(COUNTIFS(OVR_TICKERS,INDEX(HSI!$C$7:$C$106,$N170),OVR_BASE,"&gt;=0")&gt;0)&gt;0,"stock overridden",""))</f>
        <v/>
      </c>
      <c r="L170" s="39">
        <f>IFERROR(IF(SMALL(Grids!$EE$12:$GQ$111,$M$7+161)&gt;=PEND_TO,"",SMALL(Grids!$EE$12:$GQ$111,$M$7+161)),"")</f>
        <v/>
      </c>
      <c r="M170" s="39">
        <f>IF($L170="","",INT($L170/1000000000))</f>
        <v/>
      </c>
      <c r="N170" s="39">
        <f>IF($L170="","",INT(($L170-INT($L170/1000000)*1000000)/1000))</f>
        <v/>
      </c>
      <c r="O170" s="39">
        <f>IF($L170="","",$L170-INT($L170/1000)*1000)</f>
        <v/>
      </c>
      <c r="P170" s="39">
        <f>IF($L170="","",INT(($L170-INT($L170/1000000000)*1000000000)/100000000))</f>
        <v/>
      </c>
    </row>
    <row r="171">
      <c r="B171" s="42">
        <f>IF($L171="","",$M171)</f>
        <v/>
      </c>
      <c r="C171" s="22">
        <f>IF($L171="","",INDEX(HSI!$C$7:$C$106,$N171))</f>
        <v/>
      </c>
      <c r="D171" s="22">
        <f>IF($L171="","",INDEX(HSI!$D$7:$D$106,$N171))</f>
        <v/>
      </c>
      <c r="E171" s="43">
        <f>IF($L171="","",IF($P171=0,"TBA",IFERROR(INDEX(Grids!$C$12:$BO$111,$N171,$O171),"-")))</f>
        <v/>
      </c>
      <c r="F171" s="22">
        <f>IF($L171="","",INDEX(HSI!$F$7:$F$106,$N171))</f>
        <v/>
      </c>
      <c r="G171" s="43">
        <f>IF($L171="","",IF($P171=0,"TBA",IFERROR(INDEX(Grids!$BQ$12:$EC$111,$N171,$O171),"-")))</f>
        <v/>
      </c>
      <c r="H171" s="44">
        <f>IF($L171="","",SUM($G$10:$G171))</f>
        <v/>
      </c>
      <c r="I171" s="45">
        <f>IF($L171="","",IF(INT(($L171-INT($L171/10000000)*10000000)/1000000)=0,"Bloomberg projection",IF($P171=1,"ANNOUNCED","ANNOUNCED - amount TBA")))</f>
        <v/>
      </c>
      <c r="J171" s="46">
        <f>IF($L171="","",IF((OV_SWITCH="ON")*(COUNTIFS(OVR_TICKERS,INDEX(HSI!$C$7:$C$106,$N171),OVR_BASE,"&gt;=0")&gt;0)&gt;0,"stock overridden",""))</f>
        <v/>
      </c>
      <c r="L171" s="39">
        <f>IFERROR(IF(SMALL(Grids!$EE$12:$GQ$111,$M$7+162)&gt;=PEND_TO,"",SMALL(Grids!$EE$12:$GQ$111,$M$7+162)),"")</f>
        <v/>
      </c>
      <c r="M171" s="39">
        <f>IF($L171="","",INT($L171/1000000000))</f>
        <v/>
      </c>
      <c r="N171" s="39">
        <f>IF($L171="","",INT(($L171-INT($L171/1000000)*1000000)/1000))</f>
        <v/>
      </c>
      <c r="O171" s="39">
        <f>IF($L171="","",$L171-INT($L171/1000)*1000)</f>
        <v/>
      </c>
      <c r="P171" s="39">
        <f>IF($L171="","",INT(($L171-INT($L171/1000000000)*1000000000)/100000000))</f>
        <v/>
      </c>
    </row>
    <row r="172">
      <c r="B172" s="42">
        <f>IF($L172="","",$M172)</f>
        <v/>
      </c>
      <c r="C172" s="22">
        <f>IF($L172="","",INDEX(HSI!$C$7:$C$106,$N172))</f>
        <v/>
      </c>
      <c r="D172" s="22">
        <f>IF($L172="","",INDEX(HSI!$D$7:$D$106,$N172))</f>
        <v/>
      </c>
      <c r="E172" s="43">
        <f>IF($L172="","",IF($P172=0,"TBA",IFERROR(INDEX(Grids!$C$12:$BO$111,$N172,$O172),"-")))</f>
        <v/>
      </c>
      <c r="F172" s="22">
        <f>IF($L172="","",INDEX(HSI!$F$7:$F$106,$N172))</f>
        <v/>
      </c>
      <c r="G172" s="43">
        <f>IF($L172="","",IF($P172=0,"TBA",IFERROR(INDEX(Grids!$BQ$12:$EC$111,$N172,$O172),"-")))</f>
        <v/>
      </c>
      <c r="H172" s="44">
        <f>IF($L172="","",SUM($G$10:$G172))</f>
        <v/>
      </c>
      <c r="I172" s="45">
        <f>IF($L172="","",IF(INT(($L172-INT($L172/10000000)*10000000)/1000000)=0,"Bloomberg projection",IF($P172=1,"ANNOUNCED","ANNOUNCED - amount TBA")))</f>
        <v/>
      </c>
      <c r="J172" s="46">
        <f>IF($L172="","",IF((OV_SWITCH="ON")*(COUNTIFS(OVR_TICKERS,INDEX(HSI!$C$7:$C$106,$N172),OVR_BASE,"&gt;=0")&gt;0)&gt;0,"stock overridden",""))</f>
        <v/>
      </c>
      <c r="L172" s="39">
        <f>IFERROR(IF(SMALL(Grids!$EE$12:$GQ$111,$M$7+163)&gt;=PEND_TO,"",SMALL(Grids!$EE$12:$GQ$111,$M$7+163)),"")</f>
        <v/>
      </c>
      <c r="M172" s="39">
        <f>IF($L172="","",INT($L172/1000000000))</f>
        <v/>
      </c>
      <c r="N172" s="39">
        <f>IF($L172="","",INT(($L172-INT($L172/1000000)*1000000)/1000))</f>
        <v/>
      </c>
      <c r="O172" s="39">
        <f>IF($L172="","",$L172-INT($L172/1000)*1000)</f>
        <v/>
      </c>
      <c r="P172" s="39">
        <f>IF($L172="","",INT(($L172-INT($L172/1000000000)*1000000000)/100000000))</f>
        <v/>
      </c>
    </row>
    <row r="173">
      <c r="B173" s="42">
        <f>IF($L173="","",$M173)</f>
        <v/>
      </c>
      <c r="C173" s="22">
        <f>IF($L173="","",INDEX(HSI!$C$7:$C$106,$N173))</f>
        <v/>
      </c>
      <c r="D173" s="22">
        <f>IF($L173="","",INDEX(HSI!$D$7:$D$106,$N173))</f>
        <v/>
      </c>
      <c r="E173" s="43">
        <f>IF($L173="","",IF($P173=0,"TBA",IFERROR(INDEX(Grids!$C$12:$BO$111,$N173,$O173),"-")))</f>
        <v/>
      </c>
      <c r="F173" s="22">
        <f>IF($L173="","",INDEX(HSI!$F$7:$F$106,$N173))</f>
        <v/>
      </c>
      <c r="G173" s="43">
        <f>IF($L173="","",IF($P173=0,"TBA",IFERROR(INDEX(Grids!$BQ$12:$EC$111,$N173,$O173),"-")))</f>
        <v/>
      </c>
      <c r="H173" s="44">
        <f>IF($L173="","",SUM($G$10:$G173))</f>
        <v/>
      </c>
      <c r="I173" s="45">
        <f>IF($L173="","",IF(INT(($L173-INT($L173/10000000)*10000000)/1000000)=0,"Bloomberg projection",IF($P173=1,"ANNOUNCED","ANNOUNCED - amount TBA")))</f>
        <v/>
      </c>
      <c r="J173" s="46">
        <f>IF($L173="","",IF((OV_SWITCH="ON")*(COUNTIFS(OVR_TICKERS,INDEX(HSI!$C$7:$C$106,$N173),OVR_BASE,"&gt;=0")&gt;0)&gt;0,"stock overridden",""))</f>
        <v/>
      </c>
      <c r="L173" s="39">
        <f>IFERROR(IF(SMALL(Grids!$EE$12:$GQ$111,$M$7+164)&gt;=PEND_TO,"",SMALL(Grids!$EE$12:$GQ$111,$M$7+164)),"")</f>
        <v/>
      </c>
      <c r="M173" s="39">
        <f>IF($L173="","",INT($L173/1000000000))</f>
        <v/>
      </c>
      <c r="N173" s="39">
        <f>IF($L173="","",INT(($L173-INT($L173/1000000)*1000000)/1000))</f>
        <v/>
      </c>
      <c r="O173" s="39">
        <f>IF($L173="","",$L173-INT($L173/1000)*1000)</f>
        <v/>
      </c>
      <c r="P173" s="39">
        <f>IF($L173="","",INT(($L173-INT($L173/1000000000)*1000000000)/100000000))</f>
        <v/>
      </c>
    </row>
    <row r="174">
      <c r="B174" s="42">
        <f>IF($L174="","",$M174)</f>
        <v/>
      </c>
      <c r="C174" s="22">
        <f>IF($L174="","",INDEX(HSI!$C$7:$C$106,$N174))</f>
        <v/>
      </c>
      <c r="D174" s="22">
        <f>IF($L174="","",INDEX(HSI!$D$7:$D$106,$N174))</f>
        <v/>
      </c>
      <c r="E174" s="43">
        <f>IF($L174="","",IF($P174=0,"TBA",IFERROR(INDEX(Grids!$C$12:$BO$111,$N174,$O174),"-")))</f>
        <v/>
      </c>
      <c r="F174" s="22">
        <f>IF($L174="","",INDEX(HSI!$F$7:$F$106,$N174))</f>
        <v/>
      </c>
      <c r="G174" s="43">
        <f>IF($L174="","",IF($P174=0,"TBA",IFERROR(INDEX(Grids!$BQ$12:$EC$111,$N174,$O174),"-")))</f>
        <v/>
      </c>
      <c r="H174" s="44">
        <f>IF($L174="","",SUM($G$10:$G174))</f>
        <v/>
      </c>
      <c r="I174" s="45">
        <f>IF($L174="","",IF(INT(($L174-INT($L174/10000000)*10000000)/1000000)=0,"Bloomberg projection",IF($P174=1,"ANNOUNCED","ANNOUNCED - amount TBA")))</f>
        <v/>
      </c>
      <c r="J174" s="46">
        <f>IF($L174="","",IF((OV_SWITCH="ON")*(COUNTIFS(OVR_TICKERS,INDEX(HSI!$C$7:$C$106,$N174),OVR_BASE,"&gt;=0")&gt;0)&gt;0,"stock overridden",""))</f>
        <v/>
      </c>
      <c r="L174" s="39">
        <f>IFERROR(IF(SMALL(Grids!$EE$12:$GQ$111,$M$7+165)&gt;=PEND_TO,"",SMALL(Grids!$EE$12:$GQ$111,$M$7+165)),"")</f>
        <v/>
      </c>
      <c r="M174" s="39">
        <f>IF($L174="","",INT($L174/1000000000))</f>
        <v/>
      </c>
      <c r="N174" s="39">
        <f>IF($L174="","",INT(($L174-INT($L174/1000000)*1000000)/1000))</f>
        <v/>
      </c>
      <c r="O174" s="39">
        <f>IF($L174="","",$L174-INT($L174/1000)*1000)</f>
        <v/>
      </c>
      <c r="P174" s="39">
        <f>IF($L174="","",INT(($L174-INT($L174/1000000000)*1000000000)/100000000))</f>
        <v/>
      </c>
    </row>
    <row r="175">
      <c r="B175" s="42">
        <f>IF($L175="","",$M175)</f>
        <v/>
      </c>
      <c r="C175" s="22">
        <f>IF($L175="","",INDEX(HSI!$C$7:$C$106,$N175))</f>
        <v/>
      </c>
      <c r="D175" s="22">
        <f>IF($L175="","",INDEX(HSI!$D$7:$D$106,$N175))</f>
        <v/>
      </c>
      <c r="E175" s="43">
        <f>IF($L175="","",IF($P175=0,"TBA",IFERROR(INDEX(Grids!$C$12:$BO$111,$N175,$O175),"-")))</f>
        <v/>
      </c>
      <c r="F175" s="22">
        <f>IF($L175="","",INDEX(HSI!$F$7:$F$106,$N175))</f>
        <v/>
      </c>
      <c r="G175" s="43">
        <f>IF($L175="","",IF($P175=0,"TBA",IFERROR(INDEX(Grids!$BQ$12:$EC$111,$N175,$O175),"-")))</f>
        <v/>
      </c>
      <c r="H175" s="44">
        <f>IF($L175="","",SUM($G$10:$G175))</f>
        <v/>
      </c>
      <c r="I175" s="45">
        <f>IF($L175="","",IF(INT(($L175-INT($L175/10000000)*10000000)/1000000)=0,"Bloomberg projection",IF($P175=1,"ANNOUNCED","ANNOUNCED - amount TBA")))</f>
        <v/>
      </c>
      <c r="J175" s="46">
        <f>IF($L175="","",IF((OV_SWITCH="ON")*(COUNTIFS(OVR_TICKERS,INDEX(HSI!$C$7:$C$106,$N175),OVR_BASE,"&gt;=0")&gt;0)&gt;0,"stock overridden",""))</f>
        <v/>
      </c>
      <c r="L175" s="39">
        <f>IFERROR(IF(SMALL(Grids!$EE$12:$GQ$111,$M$7+166)&gt;=PEND_TO,"",SMALL(Grids!$EE$12:$GQ$111,$M$7+166)),"")</f>
        <v/>
      </c>
      <c r="M175" s="39">
        <f>IF($L175="","",INT($L175/1000000000))</f>
        <v/>
      </c>
      <c r="N175" s="39">
        <f>IF($L175="","",INT(($L175-INT($L175/1000000)*1000000)/1000))</f>
        <v/>
      </c>
      <c r="O175" s="39">
        <f>IF($L175="","",$L175-INT($L175/1000)*1000)</f>
        <v/>
      </c>
      <c r="P175" s="39">
        <f>IF($L175="","",INT(($L175-INT($L175/1000000000)*1000000000)/100000000))</f>
        <v/>
      </c>
    </row>
    <row r="176">
      <c r="B176" s="42">
        <f>IF($L176="","",$M176)</f>
        <v/>
      </c>
      <c r="C176" s="22">
        <f>IF($L176="","",INDEX(HSI!$C$7:$C$106,$N176))</f>
        <v/>
      </c>
      <c r="D176" s="22">
        <f>IF($L176="","",INDEX(HSI!$D$7:$D$106,$N176))</f>
        <v/>
      </c>
      <c r="E176" s="43">
        <f>IF($L176="","",IF($P176=0,"TBA",IFERROR(INDEX(Grids!$C$12:$BO$111,$N176,$O176),"-")))</f>
        <v/>
      </c>
      <c r="F176" s="22">
        <f>IF($L176="","",INDEX(HSI!$F$7:$F$106,$N176))</f>
        <v/>
      </c>
      <c r="G176" s="43">
        <f>IF($L176="","",IF($P176=0,"TBA",IFERROR(INDEX(Grids!$BQ$12:$EC$111,$N176,$O176),"-")))</f>
        <v/>
      </c>
      <c r="H176" s="44">
        <f>IF($L176="","",SUM($G$10:$G176))</f>
        <v/>
      </c>
      <c r="I176" s="45">
        <f>IF($L176="","",IF(INT(($L176-INT($L176/10000000)*10000000)/1000000)=0,"Bloomberg projection",IF($P176=1,"ANNOUNCED","ANNOUNCED - amount TBA")))</f>
        <v/>
      </c>
      <c r="J176" s="46">
        <f>IF($L176="","",IF((OV_SWITCH="ON")*(COUNTIFS(OVR_TICKERS,INDEX(HSI!$C$7:$C$106,$N176),OVR_BASE,"&gt;=0")&gt;0)&gt;0,"stock overridden",""))</f>
        <v/>
      </c>
      <c r="L176" s="39">
        <f>IFERROR(IF(SMALL(Grids!$EE$12:$GQ$111,$M$7+167)&gt;=PEND_TO,"",SMALL(Grids!$EE$12:$GQ$111,$M$7+167)),"")</f>
        <v/>
      </c>
      <c r="M176" s="39">
        <f>IF($L176="","",INT($L176/1000000000))</f>
        <v/>
      </c>
      <c r="N176" s="39">
        <f>IF($L176="","",INT(($L176-INT($L176/1000000)*1000000)/1000))</f>
        <v/>
      </c>
      <c r="O176" s="39">
        <f>IF($L176="","",$L176-INT($L176/1000)*1000)</f>
        <v/>
      </c>
      <c r="P176" s="39">
        <f>IF($L176="","",INT(($L176-INT($L176/1000000000)*1000000000)/100000000))</f>
        <v/>
      </c>
    </row>
    <row r="177">
      <c r="B177" s="42">
        <f>IF($L177="","",$M177)</f>
        <v/>
      </c>
      <c r="C177" s="22">
        <f>IF($L177="","",INDEX(HSI!$C$7:$C$106,$N177))</f>
        <v/>
      </c>
      <c r="D177" s="22">
        <f>IF($L177="","",INDEX(HSI!$D$7:$D$106,$N177))</f>
        <v/>
      </c>
      <c r="E177" s="43">
        <f>IF($L177="","",IF($P177=0,"TBA",IFERROR(INDEX(Grids!$C$12:$BO$111,$N177,$O177),"-")))</f>
        <v/>
      </c>
      <c r="F177" s="22">
        <f>IF($L177="","",INDEX(HSI!$F$7:$F$106,$N177))</f>
        <v/>
      </c>
      <c r="G177" s="43">
        <f>IF($L177="","",IF($P177=0,"TBA",IFERROR(INDEX(Grids!$BQ$12:$EC$111,$N177,$O177),"-")))</f>
        <v/>
      </c>
      <c r="H177" s="44">
        <f>IF($L177="","",SUM($G$10:$G177))</f>
        <v/>
      </c>
      <c r="I177" s="45">
        <f>IF($L177="","",IF(INT(($L177-INT($L177/10000000)*10000000)/1000000)=0,"Bloomberg projection",IF($P177=1,"ANNOUNCED","ANNOUNCED - amount TBA")))</f>
        <v/>
      </c>
      <c r="J177" s="46">
        <f>IF($L177="","",IF((OV_SWITCH="ON")*(COUNTIFS(OVR_TICKERS,INDEX(HSI!$C$7:$C$106,$N177),OVR_BASE,"&gt;=0")&gt;0)&gt;0,"stock overridden",""))</f>
        <v/>
      </c>
      <c r="L177" s="39">
        <f>IFERROR(IF(SMALL(Grids!$EE$12:$GQ$111,$M$7+168)&gt;=PEND_TO,"",SMALL(Grids!$EE$12:$GQ$111,$M$7+168)),"")</f>
        <v/>
      </c>
      <c r="M177" s="39">
        <f>IF($L177="","",INT($L177/1000000000))</f>
        <v/>
      </c>
      <c r="N177" s="39">
        <f>IF($L177="","",INT(($L177-INT($L177/1000000)*1000000)/1000))</f>
        <v/>
      </c>
      <c r="O177" s="39">
        <f>IF($L177="","",$L177-INT($L177/1000)*1000)</f>
        <v/>
      </c>
      <c r="P177" s="39">
        <f>IF($L177="","",INT(($L177-INT($L177/1000000000)*1000000000)/100000000))</f>
        <v/>
      </c>
    </row>
    <row r="178">
      <c r="B178" s="42">
        <f>IF($L178="","",$M178)</f>
        <v/>
      </c>
      <c r="C178" s="22">
        <f>IF($L178="","",INDEX(HSI!$C$7:$C$106,$N178))</f>
        <v/>
      </c>
      <c r="D178" s="22">
        <f>IF($L178="","",INDEX(HSI!$D$7:$D$106,$N178))</f>
        <v/>
      </c>
      <c r="E178" s="43">
        <f>IF($L178="","",IF($P178=0,"TBA",IFERROR(INDEX(Grids!$C$12:$BO$111,$N178,$O178),"-")))</f>
        <v/>
      </c>
      <c r="F178" s="22">
        <f>IF($L178="","",INDEX(HSI!$F$7:$F$106,$N178))</f>
        <v/>
      </c>
      <c r="G178" s="43">
        <f>IF($L178="","",IF($P178=0,"TBA",IFERROR(INDEX(Grids!$BQ$12:$EC$111,$N178,$O178),"-")))</f>
        <v/>
      </c>
      <c r="H178" s="44">
        <f>IF($L178="","",SUM($G$10:$G178))</f>
        <v/>
      </c>
      <c r="I178" s="45">
        <f>IF($L178="","",IF(INT(($L178-INT($L178/10000000)*10000000)/1000000)=0,"Bloomberg projection",IF($P178=1,"ANNOUNCED","ANNOUNCED - amount TBA")))</f>
        <v/>
      </c>
      <c r="J178" s="46">
        <f>IF($L178="","",IF((OV_SWITCH="ON")*(COUNTIFS(OVR_TICKERS,INDEX(HSI!$C$7:$C$106,$N178),OVR_BASE,"&gt;=0")&gt;0)&gt;0,"stock overridden",""))</f>
        <v/>
      </c>
      <c r="L178" s="39">
        <f>IFERROR(IF(SMALL(Grids!$EE$12:$GQ$111,$M$7+169)&gt;=PEND_TO,"",SMALL(Grids!$EE$12:$GQ$111,$M$7+169)),"")</f>
        <v/>
      </c>
      <c r="M178" s="39">
        <f>IF($L178="","",INT($L178/1000000000))</f>
        <v/>
      </c>
      <c r="N178" s="39">
        <f>IF($L178="","",INT(($L178-INT($L178/1000000)*1000000)/1000))</f>
        <v/>
      </c>
      <c r="O178" s="39">
        <f>IF($L178="","",$L178-INT($L178/1000)*1000)</f>
        <v/>
      </c>
      <c r="P178" s="39">
        <f>IF($L178="","",INT(($L178-INT($L178/1000000000)*1000000000)/100000000))</f>
        <v/>
      </c>
    </row>
    <row r="179">
      <c r="B179" s="42">
        <f>IF($L179="","",$M179)</f>
        <v/>
      </c>
      <c r="C179" s="22">
        <f>IF($L179="","",INDEX(HSI!$C$7:$C$106,$N179))</f>
        <v/>
      </c>
      <c r="D179" s="22">
        <f>IF($L179="","",INDEX(HSI!$D$7:$D$106,$N179))</f>
        <v/>
      </c>
      <c r="E179" s="43">
        <f>IF($L179="","",IF($P179=0,"TBA",IFERROR(INDEX(Grids!$C$12:$BO$111,$N179,$O179),"-")))</f>
        <v/>
      </c>
      <c r="F179" s="22">
        <f>IF($L179="","",INDEX(HSI!$F$7:$F$106,$N179))</f>
        <v/>
      </c>
      <c r="G179" s="43">
        <f>IF($L179="","",IF($P179=0,"TBA",IFERROR(INDEX(Grids!$BQ$12:$EC$111,$N179,$O179),"-")))</f>
        <v/>
      </c>
      <c r="H179" s="44">
        <f>IF($L179="","",SUM($G$10:$G179))</f>
        <v/>
      </c>
      <c r="I179" s="45">
        <f>IF($L179="","",IF(INT(($L179-INT($L179/10000000)*10000000)/1000000)=0,"Bloomberg projection",IF($P179=1,"ANNOUNCED","ANNOUNCED - amount TBA")))</f>
        <v/>
      </c>
      <c r="J179" s="46">
        <f>IF($L179="","",IF((OV_SWITCH="ON")*(COUNTIFS(OVR_TICKERS,INDEX(HSI!$C$7:$C$106,$N179),OVR_BASE,"&gt;=0")&gt;0)&gt;0,"stock overridden",""))</f>
        <v/>
      </c>
      <c r="L179" s="39">
        <f>IFERROR(IF(SMALL(Grids!$EE$12:$GQ$111,$M$7+170)&gt;=PEND_TO,"",SMALL(Grids!$EE$12:$GQ$111,$M$7+170)),"")</f>
        <v/>
      </c>
      <c r="M179" s="39">
        <f>IF($L179="","",INT($L179/1000000000))</f>
        <v/>
      </c>
      <c r="N179" s="39">
        <f>IF($L179="","",INT(($L179-INT($L179/1000000)*1000000)/1000))</f>
        <v/>
      </c>
      <c r="O179" s="39">
        <f>IF($L179="","",$L179-INT($L179/1000)*1000)</f>
        <v/>
      </c>
      <c r="P179" s="39">
        <f>IF($L179="","",INT(($L179-INT($L179/1000000000)*1000000000)/100000000))</f>
        <v/>
      </c>
    </row>
    <row r="180">
      <c r="B180" s="42">
        <f>IF($L180="","",$M180)</f>
        <v/>
      </c>
      <c r="C180" s="22">
        <f>IF($L180="","",INDEX(HSI!$C$7:$C$106,$N180))</f>
        <v/>
      </c>
      <c r="D180" s="22">
        <f>IF($L180="","",INDEX(HSI!$D$7:$D$106,$N180))</f>
        <v/>
      </c>
      <c r="E180" s="43">
        <f>IF($L180="","",IF($P180=0,"TBA",IFERROR(INDEX(Grids!$C$12:$BO$111,$N180,$O180),"-")))</f>
        <v/>
      </c>
      <c r="F180" s="22">
        <f>IF($L180="","",INDEX(HSI!$F$7:$F$106,$N180))</f>
        <v/>
      </c>
      <c r="G180" s="43">
        <f>IF($L180="","",IF($P180=0,"TBA",IFERROR(INDEX(Grids!$BQ$12:$EC$111,$N180,$O180),"-")))</f>
        <v/>
      </c>
      <c r="H180" s="44">
        <f>IF($L180="","",SUM($G$10:$G180))</f>
        <v/>
      </c>
      <c r="I180" s="45">
        <f>IF($L180="","",IF(INT(($L180-INT($L180/10000000)*10000000)/1000000)=0,"Bloomberg projection",IF($P180=1,"ANNOUNCED","ANNOUNCED - amount TBA")))</f>
        <v/>
      </c>
      <c r="J180" s="46">
        <f>IF($L180="","",IF((OV_SWITCH="ON")*(COUNTIFS(OVR_TICKERS,INDEX(HSI!$C$7:$C$106,$N180),OVR_BASE,"&gt;=0")&gt;0)&gt;0,"stock overridden",""))</f>
        <v/>
      </c>
      <c r="L180" s="39">
        <f>IFERROR(IF(SMALL(Grids!$EE$12:$GQ$111,$M$7+171)&gt;=PEND_TO,"",SMALL(Grids!$EE$12:$GQ$111,$M$7+171)),"")</f>
        <v/>
      </c>
      <c r="M180" s="39">
        <f>IF($L180="","",INT($L180/1000000000))</f>
        <v/>
      </c>
      <c r="N180" s="39">
        <f>IF($L180="","",INT(($L180-INT($L180/1000000)*1000000)/1000))</f>
        <v/>
      </c>
      <c r="O180" s="39">
        <f>IF($L180="","",$L180-INT($L180/1000)*1000)</f>
        <v/>
      </c>
      <c r="P180" s="39">
        <f>IF($L180="","",INT(($L180-INT($L180/1000000000)*1000000000)/100000000))</f>
        <v/>
      </c>
    </row>
    <row r="181">
      <c r="B181" s="42">
        <f>IF($L181="","",$M181)</f>
        <v/>
      </c>
      <c r="C181" s="22">
        <f>IF($L181="","",INDEX(HSI!$C$7:$C$106,$N181))</f>
        <v/>
      </c>
      <c r="D181" s="22">
        <f>IF($L181="","",INDEX(HSI!$D$7:$D$106,$N181))</f>
        <v/>
      </c>
      <c r="E181" s="43">
        <f>IF($L181="","",IF($P181=0,"TBA",IFERROR(INDEX(Grids!$C$12:$BO$111,$N181,$O181),"-")))</f>
        <v/>
      </c>
      <c r="F181" s="22">
        <f>IF($L181="","",INDEX(HSI!$F$7:$F$106,$N181))</f>
        <v/>
      </c>
      <c r="G181" s="43">
        <f>IF($L181="","",IF($P181=0,"TBA",IFERROR(INDEX(Grids!$BQ$12:$EC$111,$N181,$O181),"-")))</f>
        <v/>
      </c>
      <c r="H181" s="44">
        <f>IF($L181="","",SUM($G$10:$G181))</f>
        <v/>
      </c>
      <c r="I181" s="45">
        <f>IF($L181="","",IF(INT(($L181-INT($L181/10000000)*10000000)/1000000)=0,"Bloomberg projection",IF($P181=1,"ANNOUNCED","ANNOUNCED - amount TBA")))</f>
        <v/>
      </c>
      <c r="J181" s="46">
        <f>IF($L181="","",IF((OV_SWITCH="ON")*(COUNTIFS(OVR_TICKERS,INDEX(HSI!$C$7:$C$106,$N181),OVR_BASE,"&gt;=0")&gt;0)&gt;0,"stock overridden",""))</f>
        <v/>
      </c>
      <c r="L181" s="39">
        <f>IFERROR(IF(SMALL(Grids!$EE$12:$GQ$111,$M$7+172)&gt;=PEND_TO,"",SMALL(Grids!$EE$12:$GQ$111,$M$7+172)),"")</f>
        <v/>
      </c>
      <c r="M181" s="39">
        <f>IF($L181="","",INT($L181/1000000000))</f>
        <v/>
      </c>
      <c r="N181" s="39">
        <f>IF($L181="","",INT(($L181-INT($L181/1000000)*1000000)/1000))</f>
        <v/>
      </c>
      <c r="O181" s="39">
        <f>IF($L181="","",$L181-INT($L181/1000)*1000)</f>
        <v/>
      </c>
      <c r="P181" s="39">
        <f>IF($L181="","",INT(($L181-INT($L181/1000000000)*1000000000)/100000000))</f>
        <v/>
      </c>
    </row>
    <row r="182">
      <c r="B182" s="42">
        <f>IF($L182="","",$M182)</f>
        <v/>
      </c>
      <c r="C182" s="22">
        <f>IF($L182="","",INDEX(HSI!$C$7:$C$106,$N182))</f>
        <v/>
      </c>
      <c r="D182" s="22">
        <f>IF($L182="","",INDEX(HSI!$D$7:$D$106,$N182))</f>
        <v/>
      </c>
      <c r="E182" s="43">
        <f>IF($L182="","",IF($P182=0,"TBA",IFERROR(INDEX(Grids!$C$12:$BO$111,$N182,$O182),"-")))</f>
        <v/>
      </c>
      <c r="F182" s="22">
        <f>IF($L182="","",INDEX(HSI!$F$7:$F$106,$N182))</f>
        <v/>
      </c>
      <c r="G182" s="43">
        <f>IF($L182="","",IF($P182=0,"TBA",IFERROR(INDEX(Grids!$BQ$12:$EC$111,$N182,$O182),"-")))</f>
        <v/>
      </c>
      <c r="H182" s="44">
        <f>IF($L182="","",SUM($G$10:$G182))</f>
        <v/>
      </c>
      <c r="I182" s="45">
        <f>IF($L182="","",IF(INT(($L182-INT($L182/10000000)*10000000)/1000000)=0,"Bloomberg projection",IF($P182=1,"ANNOUNCED","ANNOUNCED - amount TBA")))</f>
        <v/>
      </c>
      <c r="J182" s="46">
        <f>IF($L182="","",IF((OV_SWITCH="ON")*(COUNTIFS(OVR_TICKERS,INDEX(HSI!$C$7:$C$106,$N182),OVR_BASE,"&gt;=0")&gt;0)&gt;0,"stock overridden",""))</f>
        <v/>
      </c>
      <c r="L182" s="39">
        <f>IFERROR(IF(SMALL(Grids!$EE$12:$GQ$111,$M$7+173)&gt;=PEND_TO,"",SMALL(Grids!$EE$12:$GQ$111,$M$7+173)),"")</f>
        <v/>
      </c>
      <c r="M182" s="39">
        <f>IF($L182="","",INT($L182/1000000000))</f>
        <v/>
      </c>
      <c r="N182" s="39">
        <f>IF($L182="","",INT(($L182-INT($L182/1000000)*1000000)/1000))</f>
        <v/>
      </c>
      <c r="O182" s="39">
        <f>IF($L182="","",$L182-INT($L182/1000)*1000)</f>
        <v/>
      </c>
      <c r="P182" s="39">
        <f>IF($L182="","",INT(($L182-INT($L182/1000000000)*1000000000)/100000000))</f>
        <v/>
      </c>
    </row>
    <row r="183">
      <c r="B183" s="42">
        <f>IF($L183="","",$M183)</f>
        <v/>
      </c>
      <c r="C183" s="22">
        <f>IF($L183="","",INDEX(HSI!$C$7:$C$106,$N183))</f>
        <v/>
      </c>
      <c r="D183" s="22">
        <f>IF($L183="","",INDEX(HSI!$D$7:$D$106,$N183))</f>
        <v/>
      </c>
      <c r="E183" s="43">
        <f>IF($L183="","",IF($P183=0,"TBA",IFERROR(INDEX(Grids!$C$12:$BO$111,$N183,$O183),"-")))</f>
        <v/>
      </c>
      <c r="F183" s="22">
        <f>IF($L183="","",INDEX(HSI!$F$7:$F$106,$N183))</f>
        <v/>
      </c>
      <c r="G183" s="43">
        <f>IF($L183="","",IF($P183=0,"TBA",IFERROR(INDEX(Grids!$BQ$12:$EC$111,$N183,$O183),"-")))</f>
        <v/>
      </c>
      <c r="H183" s="44">
        <f>IF($L183="","",SUM($G$10:$G183))</f>
        <v/>
      </c>
      <c r="I183" s="45">
        <f>IF($L183="","",IF(INT(($L183-INT($L183/10000000)*10000000)/1000000)=0,"Bloomberg projection",IF($P183=1,"ANNOUNCED","ANNOUNCED - amount TBA")))</f>
        <v/>
      </c>
      <c r="J183" s="46">
        <f>IF($L183="","",IF((OV_SWITCH="ON")*(COUNTIFS(OVR_TICKERS,INDEX(HSI!$C$7:$C$106,$N183),OVR_BASE,"&gt;=0")&gt;0)&gt;0,"stock overridden",""))</f>
        <v/>
      </c>
      <c r="L183" s="39">
        <f>IFERROR(IF(SMALL(Grids!$EE$12:$GQ$111,$M$7+174)&gt;=PEND_TO,"",SMALL(Grids!$EE$12:$GQ$111,$M$7+174)),"")</f>
        <v/>
      </c>
      <c r="M183" s="39">
        <f>IF($L183="","",INT($L183/1000000000))</f>
        <v/>
      </c>
      <c r="N183" s="39">
        <f>IF($L183="","",INT(($L183-INT($L183/1000000)*1000000)/1000))</f>
        <v/>
      </c>
      <c r="O183" s="39">
        <f>IF($L183="","",$L183-INT($L183/1000)*1000)</f>
        <v/>
      </c>
      <c r="P183" s="39">
        <f>IF($L183="","",INT(($L183-INT($L183/1000000000)*1000000000)/100000000))</f>
        <v/>
      </c>
    </row>
    <row r="184">
      <c r="B184" s="42">
        <f>IF($L184="","",$M184)</f>
        <v/>
      </c>
      <c r="C184" s="22">
        <f>IF($L184="","",INDEX(HSI!$C$7:$C$106,$N184))</f>
        <v/>
      </c>
      <c r="D184" s="22">
        <f>IF($L184="","",INDEX(HSI!$D$7:$D$106,$N184))</f>
        <v/>
      </c>
      <c r="E184" s="43">
        <f>IF($L184="","",IF($P184=0,"TBA",IFERROR(INDEX(Grids!$C$12:$BO$111,$N184,$O184),"-")))</f>
        <v/>
      </c>
      <c r="F184" s="22">
        <f>IF($L184="","",INDEX(HSI!$F$7:$F$106,$N184))</f>
        <v/>
      </c>
      <c r="G184" s="43">
        <f>IF($L184="","",IF($P184=0,"TBA",IFERROR(INDEX(Grids!$BQ$12:$EC$111,$N184,$O184),"-")))</f>
        <v/>
      </c>
      <c r="H184" s="44">
        <f>IF($L184="","",SUM($G$10:$G184))</f>
        <v/>
      </c>
      <c r="I184" s="45">
        <f>IF($L184="","",IF(INT(($L184-INT($L184/10000000)*10000000)/1000000)=0,"Bloomberg projection",IF($P184=1,"ANNOUNCED","ANNOUNCED - amount TBA")))</f>
        <v/>
      </c>
      <c r="J184" s="46">
        <f>IF($L184="","",IF((OV_SWITCH="ON")*(COUNTIFS(OVR_TICKERS,INDEX(HSI!$C$7:$C$106,$N184),OVR_BASE,"&gt;=0")&gt;0)&gt;0,"stock overridden",""))</f>
        <v/>
      </c>
      <c r="L184" s="39">
        <f>IFERROR(IF(SMALL(Grids!$EE$12:$GQ$111,$M$7+175)&gt;=PEND_TO,"",SMALL(Grids!$EE$12:$GQ$111,$M$7+175)),"")</f>
        <v/>
      </c>
      <c r="M184" s="39">
        <f>IF($L184="","",INT($L184/1000000000))</f>
        <v/>
      </c>
      <c r="N184" s="39">
        <f>IF($L184="","",INT(($L184-INT($L184/1000000)*1000000)/1000))</f>
        <v/>
      </c>
      <c r="O184" s="39">
        <f>IF($L184="","",$L184-INT($L184/1000)*1000)</f>
        <v/>
      </c>
      <c r="P184" s="39">
        <f>IF($L184="","",INT(($L184-INT($L184/1000000000)*1000000000)/100000000))</f>
        <v/>
      </c>
    </row>
    <row r="185">
      <c r="B185" s="42">
        <f>IF($L185="","",$M185)</f>
        <v/>
      </c>
      <c r="C185" s="22">
        <f>IF($L185="","",INDEX(HSI!$C$7:$C$106,$N185))</f>
        <v/>
      </c>
      <c r="D185" s="22">
        <f>IF($L185="","",INDEX(HSI!$D$7:$D$106,$N185))</f>
        <v/>
      </c>
      <c r="E185" s="43">
        <f>IF($L185="","",IF($P185=0,"TBA",IFERROR(INDEX(Grids!$C$12:$BO$111,$N185,$O185),"-")))</f>
        <v/>
      </c>
      <c r="F185" s="22">
        <f>IF($L185="","",INDEX(HSI!$F$7:$F$106,$N185))</f>
        <v/>
      </c>
      <c r="G185" s="43">
        <f>IF($L185="","",IF($P185=0,"TBA",IFERROR(INDEX(Grids!$BQ$12:$EC$111,$N185,$O185),"-")))</f>
        <v/>
      </c>
      <c r="H185" s="44">
        <f>IF($L185="","",SUM($G$10:$G185))</f>
        <v/>
      </c>
      <c r="I185" s="45">
        <f>IF($L185="","",IF(INT(($L185-INT($L185/10000000)*10000000)/1000000)=0,"Bloomberg projection",IF($P185=1,"ANNOUNCED","ANNOUNCED - amount TBA")))</f>
        <v/>
      </c>
      <c r="J185" s="46">
        <f>IF($L185="","",IF((OV_SWITCH="ON")*(COUNTIFS(OVR_TICKERS,INDEX(HSI!$C$7:$C$106,$N185),OVR_BASE,"&gt;=0")&gt;0)&gt;0,"stock overridden",""))</f>
        <v/>
      </c>
      <c r="L185" s="39">
        <f>IFERROR(IF(SMALL(Grids!$EE$12:$GQ$111,$M$7+176)&gt;=PEND_TO,"",SMALL(Grids!$EE$12:$GQ$111,$M$7+176)),"")</f>
        <v/>
      </c>
      <c r="M185" s="39">
        <f>IF($L185="","",INT($L185/1000000000))</f>
        <v/>
      </c>
      <c r="N185" s="39">
        <f>IF($L185="","",INT(($L185-INT($L185/1000000)*1000000)/1000))</f>
        <v/>
      </c>
      <c r="O185" s="39">
        <f>IF($L185="","",$L185-INT($L185/1000)*1000)</f>
        <v/>
      </c>
      <c r="P185" s="39">
        <f>IF($L185="","",INT(($L185-INT($L185/1000000000)*1000000000)/100000000))</f>
        <v/>
      </c>
    </row>
    <row r="186">
      <c r="B186" s="42">
        <f>IF($L186="","",$M186)</f>
        <v/>
      </c>
      <c r="C186" s="22">
        <f>IF($L186="","",INDEX(HSI!$C$7:$C$106,$N186))</f>
        <v/>
      </c>
      <c r="D186" s="22">
        <f>IF($L186="","",INDEX(HSI!$D$7:$D$106,$N186))</f>
        <v/>
      </c>
      <c r="E186" s="43">
        <f>IF($L186="","",IF($P186=0,"TBA",IFERROR(INDEX(Grids!$C$12:$BO$111,$N186,$O186),"-")))</f>
        <v/>
      </c>
      <c r="F186" s="22">
        <f>IF($L186="","",INDEX(HSI!$F$7:$F$106,$N186))</f>
        <v/>
      </c>
      <c r="G186" s="43">
        <f>IF($L186="","",IF($P186=0,"TBA",IFERROR(INDEX(Grids!$BQ$12:$EC$111,$N186,$O186),"-")))</f>
        <v/>
      </c>
      <c r="H186" s="44">
        <f>IF($L186="","",SUM($G$10:$G186))</f>
        <v/>
      </c>
      <c r="I186" s="45">
        <f>IF($L186="","",IF(INT(($L186-INT($L186/10000000)*10000000)/1000000)=0,"Bloomberg projection",IF($P186=1,"ANNOUNCED","ANNOUNCED - amount TBA")))</f>
        <v/>
      </c>
      <c r="J186" s="46">
        <f>IF($L186="","",IF((OV_SWITCH="ON")*(COUNTIFS(OVR_TICKERS,INDEX(HSI!$C$7:$C$106,$N186),OVR_BASE,"&gt;=0")&gt;0)&gt;0,"stock overridden",""))</f>
        <v/>
      </c>
      <c r="L186" s="39">
        <f>IFERROR(IF(SMALL(Grids!$EE$12:$GQ$111,$M$7+177)&gt;=PEND_TO,"",SMALL(Grids!$EE$12:$GQ$111,$M$7+177)),"")</f>
        <v/>
      </c>
      <c r="M186" s="39">
        <f>IF($L186="","",INT($L186/1000000000))</f>
        <v/>
      </c>
      <c r="N186" s="39">
        <f>IF($L186="","",INT(($L186-INT($L186/1000000)*1000000)/1000))</f>
        <v/>
      </c>
      <c r="O186" s="39">
        <f>IF($L186="","",$L186-INT($L186/1000)*1000)</f>
        <v/>
      </c>
      <c r="P186" s="39">
        <f>IF($L186="","",INT(($L186-INT($L186/1000000000)*1000000000)/100000000))</f>
        <v/>
      </c>
    </row>
    <row r="187">
      <c r="B187" s="42">
        <f>IF($L187="","",$M187)</f>
        <v/>
      </c>
      <c r="C187" s="22">
        <f>IF($L187="","",INDEX(HSI!$C$7:$C$106,$N187))</f>
        <v/>
      </c>
      <c r="D187" s="22">
        <f>IF($L187="","",INDEX(HSI!$D$7:$D$106,$N187))</f>
        <v/>
      </c>
      <c r="E187" s="43">
        <f>IF($L187="","",IF($P187=0,"TBA",IFERROR(INDEX(Grids!$C$12:$BO$111,$N187,$O187),"-")))</f>
        <v/>
      </c>
      <c r="F187" s="22">
        <f>IF($L187="","",INDEX(HSI!$F$7:$F$106,$N187))</f>
        <v/>
      </c>
      <c r="G187" s="43">
        <f>IF($L187="","",IF($P187=0,"TBA",IFERROR(INDEX(Grids!$BQ$12:$EC$111,$N187,$O187),"-")))</f>
        <v/>
      </c>
      <c r="H187" s="44">
        <f>IF($L187="","",SUM($G$10:$G187))</f>
        <v/>
      </c>
      <c r="I187" s="45">
        <f>IF($L187="","",IF(INT(($L187-INT($L187/10000000)*10000000)/1000000)=0,"Bloomberg projection",IF($P187=1,"ANNOUNCED","ANNOUNCED - amount TBA")))</f>
        <v/>
      </c>
      <c r="J187" s="46">
        <f>IF($L187="","",IF((OV_SWITCH="ON")*(COUNTIFS(OVR_TICKERS,INDEX(HSI!$C$7:$C$106,$N187),OVR_BASE,"&gt;=0")&gt;0)&gt;0,"stock overridden",""))</f>
        <v/>
      </c>
      <c r="L187" s="39">
        <f>IFERROR(IF(SMALL(Grids!$EE$12:$GQ$111,$M$7+178)&gt;=PEND_TO,"",SMALL(Grids!$EE$12:$GQ$111,$M$7+178)),"")</f>
        <v/>
      </c>
      <c r="M187" s="39">
        <f>IF($L187="","",INT($L187/1000000000))</f>
        <v/>
      </c>
      <c r="N187" s="39">
        <f>IF($L187="","",INT(($L187-INT($L187/1000000)*1000000)/1000))</f>
        <v/>
      </c>
      <c r="O187" s="39">
        <f>IF($L187="","",$L187-INT($L187/1000)*1000)</f>
        <v/>
      </c>
      <c r="P187" s="39">
        <f>IF($L187="","",INT(($L187-INT($L187/1000000000)*1000000000)/100000000))</f>
        <v/>
      </c>
    </row>
    <row r="188">
      <c r="B188" s="42">
        <f>IF($L188="","",$M188)</f>
        <v/>
      </c>
      <c r="C188" s="22">
        <f>IF($L188="","",INDEX(HSI!$C$7:$C$106,$N188))</f>
        <v/>
      </c>
      <c r="D188" s="22">
        <f>IF($L188="","",INDEX(HSI!$D$7:$D$106,$N188))</f>
        <v/>
      </c>
      <c r="E188" s="43">
        <f>IF($L188="","",IF($P188=0,"TBA",IFERROR(INDEX(Grids!$C$12:$BO$111,$N188,$O188),"-")))</f>
        <v/>
      </c>
      <c r="F188" s="22">
        <f>IF($L188="","",INDEX(HSI!$F$7:$F$106,$N188))</f>
        <v/>
      </c>
      <c r="G188" s="43">
        <f>IF($L188="","",IF($P188=0,"TBA",IFERROR(INDEX(Grids!$BQ$12:$EC$111,$N188,$O188),"-")))</f>
        <v/>
      </c>
      <c r="H188" s="44">
        <f>IF($L188="","",SUM($G$10:$G188))</f>
        <v/>
      </c>
      <c r="I188" s="45">
        <f>IF($L188="","",IF(INT(($L188-INT($L188/10000000)*10000000)/1000000)=0,"Bloomberg projection",IF($P188=1,"ANNOUNCED","ANNOUNCED - amount TBA")))</f>
        <v/>
      </c>
      <c r="J188" s="46">
        <f>IF($L188="","",IF((OV_SWITCH="ON")*(COUNTIFS(OVR_TICKERS,INDEX(HSI!$C$7:$C$106,$N188),OVR_BASE,"&gt;=0")&gt;0)&gt;0,"stock overridden",""))</f>
        <v/>
      </c>
      <c r="L188" s="39">
        <f>IFERROR(IF(SMALL(Grids!$EE$12:$GQ$111,$M$7+179)&gt;=PEND_TO,"",SMALL(Grids!$EE$12:$GQ$111,$M$7+179)),"")</f>
        <v/>
      </c>
      <c r="M188" s="39">
        <f>IF($L188="","",INT($L188/1000000000))</f>
        <v/>
      </c>
      <c r="N188" s="39">
        <f>IF($L188="","",INT(($L188-INT($L188/1000000)*1000000)/1000))</f>
        <v/>
      </c>
      <c r="O188" s="39">
        <f>IF($L188="","",$L188-INT($L188/1000)*1000)</f>
        <v/>
      </c>
      <c r="P188" s="39">
        <f>IF($L188="","",INT(($L188-INT($L188/1000000000)*1000000000)/100000000))</f>
        <v/>
      </c>
    </row>
    <row r="189">
      <c r="B189" s="42">
        <f>IF($L189="","",$M189)</f>
        <v/>
      </c>
      <c r="C189" s="22">
        <f>IF($L189="","",INDEX(HSI!$C$7:$C$106,$N189))</f>
        <v/>
      </c>
      <c r="D189" s="22">
        <f>IF($L189="","",INDEX(HSI!$D$7:$D$106,$N189))</f>
        <v/>
      </c>
      <c r="E189" s="43">
        <f>IF($L189="","",IF($P189=0,"TBA",IFERROR(INDEX(Grids!$C$12:$BO$111,$N189,$O189),"-")))</f>
        <v/>
      </c>
      <c r="F189" s="22">
        <f>IF($L189="","",INDEX(HSI!$F$7:$F$106,$N189))</f>
        <v/>
      </c>
      <c r="G189" s="43">
        <f>IF($L189="","",IF($P189=0,"TBA",IFERROR(INDEX(Grids!$BQ$12:$EC$111,$N189,$O189),"-")))</f>
        <v/>
      </c>
      <c r="H189" s="44">
        <f>IF($L189="","",SUM($G$10:$G189))</f>
        <v/>
      </c>
      <c r="I189" s="45">
        <f>IF($L189="","",IF(INT(($L189-INT($L189/10000000)*10000000)/1000000)=0,"Bloomberg projection",IF($P189=1,"ANNOUNCED","ANNOUNCED - amount TBA")))</f>
        <v/>
      </c>
      <c r="J189" s="46">
        <f>IF($L189="","",IF((OV_SWITCH="ON")*(COUNTIFS(OVR_TICKERS,INDEX(HSI!$C$7:$C$106,$N189),OVR_BASE,"&gt;=0")&gt;0)&gt;0,"stock overridden",""))</f>
        <v/>
      </c>
      <c r="L189" s="39">
        <f>IFERROR(IF(SMALL(Grids!$EE$12:$GQ$111,$M$7+180)&gt;=PEND_TO,"",SMALL(Grids!$EE$12:$GQ$111,$M$7+180)),"")</f>
        <v/>
      </c>
      <c r="M189" s="39">
        <f>IF($L189="","",INT($L189/1000000000))</f>
        <v/>
      </c>
      <c r="N189" s="39">
        <f>IF($L189="","",INT(($L189-INT($L189/1000000)*1000000)/1000))</f>
        <v/>
      </c>
      <c r="O189" s="39">
        <f>IF($L189="","",$L189-INT($L189/1000)*1000)</f>
        <v/>
      </c>
      <c r="P189" s="39">
        <f>IF($L189="","",INT(($L189-INT($L189/1000000000)*1000000000)/100000000))</f>
        <v/>
      </c>
    </row>
    <row r="190">
      <c r="B190" s="42">
        <f>IF($L190="","",$M190)</f>
        <v/>
      </c>
      <c r="C190" s="22">
        <f>IF($L190="","",INDEX(HSI!$C$7:$C$106,$N190))</f>
        <v/>
      </c>
      <c r="D190" s="22">
        <f>IF($L190="","",INDEX(HSI!$D$7:$D$106,$N190))</f>
        <v/>
      </c>
      <c r="E190" s="43">
        <f>IF($L190="","",IF($P190=0,"TBA",IFERROR(INDEX(Grids!$C$12:$BO$111,$N190,$O190),"-")))</f>
        <v/>
      </c>
      <c r="F190" s="22">
        <f>IF($L190="","",INDEX(HSI!$F$7:$F$106,$N190))</f>
        <v/>
      </c>
      <c r="G190" s="43">
        <f>IF($L190="","",IF($P190=0,"TBA",IFERROR(INDEX(Grids!$BQ$12:$EC$111,$N190,$O190),"-")))</f>
        <v/>
      </c>
      <c r="H190" s="44">
        <f>IF($L190="","",SUM($G$10:$G190))</f>
        <v/>
      </c>
      <c r="I190" s="45">
        <f>IF($L190="","",IF(INT(($L190-INT($L190/10000000)*10000000)/1000000)=0,"Bloomberg projection",IF($P190=1,"ANNOUNCED","ANNOUNCED - amount TBA")))</f>
        <v/>
      </c>
      <c r="J190" s="46">
        <f>IF($L190="","",IF((OV_SWITCH="ON")*(COUNTIFS(OVR_TICKERS,INDEX(HSI!$C$7:$C$106,$N190),OVR_BASE,"&gt;=0")&gt;0)&gt;0,"stock overridden",""))</f>
        <v/>
      </c>
      <c r="L190" s="39">
        <f>IFERROR(IF(SMALL(Grids!$EE$12:$GQ$111,$M$7+181)&gt;=PEND_TO,"",SMALL(Grids!$EE$12:$GQ$111,$M$7+181)),"")</f>
        <v/>
      </c>
      <c r="M190" s="39">
        <f>IF($L190="","",INT($L190/1000000000))</f>
        <v/>
      </c>
      <c r="N190" s="39">
        <f>IF($L190="","",INT(($L190-INT($L190/1000000)*1000000)/1000))</f>
        <v/>
      </c>
      <c r="O190" s="39">
        <f>IF($L190="","",$L190-INT($L190/1000)*1000)</f>
        <v/>
      </c>
      <c r="P190" s="39">
        <f>IF($L190="","",INT(($L190-INT($L190/1000000000)*1000000000)/100000000))</f>
        <v/>
      </c>
    </row>
    <row r="191">
      <c r="B191" s="42">
        <f>IF($L191="","",$M191)</f>
        <v/>
      </c>
      <c r="C191" s="22">
        <f>IF($L191="","",INDEX(HSI!$C$7:$C$106,$N191))</f>
        <v/>
      </c>
      <c r="D191" s="22">
        <f>IF($L191="","",INDEX(HSI!$D$7:$D$106,$N191))</f>
        <v/>
      </c>
      <c r="E191" s="43">
        <f>IF($L191="","",IF($P191=0,"TBA",IFERROR(INDEX(Grids!$C$12:$BO$111,$N191,$O191),"-")))</f>
        <v/>
      </c>
      <c r="F191" s="22">
        <f>IF($L191="","",INDEX(HSI!$F$7:$F$106,$N191))</f>
        <v/>
      </c>
      <c r="G191" s="43">
        <f>IF($L191="","",IF($P191=0,"TBA",IFERROR(INDEX(Grids!$BQ$12:$EC$111,$N191,$O191),"-")))</f>
        <v/>
      </c>
      <c r="H191" s="44">
        <f>IF($L191="","",SUM($G$10:$G191))</f>
        <v/>
      </c>
      <c r="I191" s="45">
        <f>IF($L191="","",IF(INT(($L191-INT($L191/10000000)*10000000)/1000000)=0,"Bloomberg projection",IF($P191=1,"ANNOUNCED","ANNOUNCED - amount TBA")))</f>
        <v/>
      </c>
      <c r="J191" s="46">
        <f>IF($L191="","",IF((OV_SWITCH="ON")*(COUNTIFS(OVR_TICKERS,INDEX(HSI!$C$7:$C$106,$N191),OVR_BASE,"&gt;=0")&gt;0)&gt;0,"stock overridden",""))</f>
        <v/>
      </c>
      <c r="L191" s="39">
        <f>IFERROR(IF(SMALL(Grids!$EE$12:$GQ$111,$M$7+182)&gt;=PEND_TO,"",SMALL(Grids!$EE$12:$GQ$111,$M$7+182)),"")</f>
        <v/>
      </c>
      <c r="M191" s="39">
        <f>IF($L191="","",INT($L191/1000000000))</f>
        <v/>
      </c>
      <c r="N191" s="39">
        <f>IF($L191="","",INT(($L191-INT($L191/1000000)*1000000)/1000))</f>
        <v/>
      </c>
      <c r="O191" s="39">
        <f>IF($L191="","",$L191-INT($L191/1000)*1000)</f>
        <v/>
      </c>
      <c r="P191" s="39">
        <f>IF($L191="","",INT(($L191-INT($L191/1000000000)*1000000000)/100000000))</f>
        <v/>
      </c>
    </row>
    <row r="192">
      <c r="B192" s="42">
        <f>IF($L192="","",$M192)</f>
        <v/>
      </c>
      <c r="C192" s="22">
        <f>IF($L192="","",INDEX(HSI!$C$7:$C$106,$N192))</f>
        <v/>
      </c>
      <c r="D192" s="22">
        <f>IF($L192="","",INDEX(HSI!$D$7:$D$106,$N192))</f>
        <v/>
      </c>
      <c r="E192" s="43">
        <f>IF($L192="","",IF($P192=0,"TBA",IFERROR(INDEX(Grids!$C$12:$BO$111,$N192,$O192),"-")))</f>
        <v/>
      </c>
      <c r="F192" s="22">
        <f>IF($L192="","",INDEX(HSI!$F$7:$F$106,$N192))</f>
        <v/>
      </c>
      <c r="G192" s="43">
        <f>IF($L192="","",IF($P192=0,"TBA",IFERROR(INDEX(Grids!$BQ$12:$EC$111,$N192,$O192),"-")))</f>
        <v/>
      </c>
      <c r="H192" s="44">
        <f>IF($L192="","",SUM($G$10:$G192))</f>
        <v/>
      </c>
      <c r="I192" s="45">
        <f>IF($L192="","",IF(INT(($L192-INT($L192/10000000)*10000000)/1000000)=0,"Bloomberg projection",IF($P192=1,"ANNOUNCED","ANNOUNCED - amount TBA")))</f>
        <v/>
      </c>
      <c r="J192" s="46">
        <f>IF($L192="","",IF((OV_SWITCH="ON")*(COUNTIFS(OVR_TICKERS,INDEX(HSI!$C$7:$C$106,$N192),OVR_BASE,"&gt;=0")&gt;0)&gt;0,"stock overridden",""))</f>
        <v/>
      </c>
      <c r="L192" s="39">
        <f>IFERROR(IF(SMALL(Grids!$EE$12:$GQ$111,$M$7+183)&gt;=PEND_TO,"",SMALL(Grids!$EE$12:$GQ$111,$M$7+183)),"")</f>
        <v/>
      </c>
      <c r="M192" s="39">
        <f>IF($L192="","",INT($L192/1000000000))</f>
        <v/>
      </c>
      <c r="N192" s="39">
        <f>IF($L192="","",INT(($L192-INT($L192/1000000)*1000000)/1000))</f>
        <v/>
      </c>
      <c r="O192" s="39">
        <f>IF($L192="","",$L192-INT($L192/1000)*1000)</f>
        <v/>
      </c>
      <c r="P192" s="39">
        <f>IF($L192="","",INT(($L192-INT($L192/1000000000)*1000000000)/100000000))</f>
        <v/>
      </c>
    </row>
    <row r="193">
      <c r="B193" s="42">
        <f>IF($L193="","",$M193)</f>
        <v/>
      </c>
      <c r="C193" s="22">
        <f>IF($L193="","",INDEX(HSI!$C$7:$C$106,$N193))</f>
        <v/>
      </c>
      <c r="D193" s="22">
        <f>IF($L193="","",INDEX(HSI!$D$7:$D$106,$N193))</f>
        <v/>
      </c>
      <c r="E193" s="43">
        <f>IF($L193="","",IF($P193=0,"TBA",IFERROR(INDEX(Grids!$C$12:$BO$111,$N193,$O193),"-")))</f>
        <v/>
      </c>
      <c r="F193" s="22">
        <f>IF($L193="","",INDEX(HSI!$F$7:$F$106,$N193))</f>
        <v/>
      </c>
      <c r="G193" s="43">
        <f>IF($L193="","",IF($P193=0,"TBA",IFERROR(INDEX(Grids!$BQ$12:$EC$111,$N193,$O193),"-")))</f>
        <v/>
      </c>
      <c r="H193" s="44">
        <f>IF($L193="","",SUM($G$10:$G193))</f>
        <v/>
      </c>
      <c r="I193" s="45">
        <f>IF($L193="","",IF(INT(($L193-INT($L193/10000000)*10000000)/1000000)=0,"Bloomberg projection",IF($P193=1,"ANNOUNCED","ANNOUNCED - amount TBA")))</f>
        <v/>
      </c>
      <c r="J193" s="46">
        <f>IF($L193="","",IF((OV_SWITCH="ON")*(COUNTIFS(OVR_TICKERS,INDEX(HSI!$C$7:$C$106,$N193),OVR_BASE,"&gt;=0")&gt;0)&gt;0,"stock overridden",""))</f>
        <v/>
      </c>
      <c r="L193" s="39">
        <f>IFERROR(IF(SMALL(Grids!$EE$12:$GQ$111,$M$7+184)&gt;=PEND_TO,"",SMALL(Grids!$EE$12:$GQ$111,$M$7+184)),"")</f>
        <v/>
      </c>
      <c r="M193" s="39">
        <f>IF($L193="","",INT($L193/1000000000))</f>
        <v/>
      </c>
      <c r="N193" s="39">
        <f>IF($L193="","",INT(($L193-INT($L193/1000000)*1000000)/1000))</f>
        <v/>
      </c>
      <c r="O193" s="39">
        <f>IF($L193="","",$L193-INT($L193/1000)*1000)</f>
        <v/>
      </c>
      <c r="P193" s="39">
        <f>IF($L193="","",INT(($L193-INT($L193/1000000000)*1000000000)/100000000))</f>
        <v/>
      </c>
    </row>
    <row r="194">
      <c r="B194" s="42">
        <f>IF($L194="","",$M194)</f>
        <v/>
      </c>
      <c r="C194" s="22">
        <f>IF($L194="","",INDEX(HSI!$C$7:$C$106,$N194))</f>
        <v/>
      </c>
      <c r="D194" s="22">
        <f>IF($L194="","",INDEX(HSI!$D$7:$D$106,$N194))</f>
        <v/>
      </c>
      <c r="E194" s="43">
        <f>IF($L194="","",IF($P194=0,"TBA",IFERROR(INDEX(Grids!$C$12:$BO$111,$N194,$O194),"-")))</f>
        <v/>
      </c>
      <c r="F194" s="22">
        <f>IF($L194="","",INDEX(HSI!$F$7:$F$106,$N194))</f>
        <v/>
      </c>
      <c r="G194" s="43">
        <f>IF($L194="","",IF($P194=0,"TBA",IFERROR(INDEX(Grids!$BQ$12:$EC$111,$N194,$O194),"-")))</f>
        <v/>
      </c>
      <c r="H194" s="44">
        <f>IF($L194="","",SUM($G$10:$G194))</f>
        <v/>
      </c>
      <c r="I194" s="45">
        <f>IF($L194="","",IF(INT(($L194-INT($L194/10000000)*10000000)/1000000)=0,"Bloomberg projection",IF($P194=1,"ANNOUNCED","ANNOUNCED - amount TBA")))</f>
        <v/>
      </c>
      <c r="J194" s="46">
        <f>IF($L194="","",IF((OV_SWITCH="ON")*(COUNTIFS(OVR_TICKERS,INDEX(HSI!$C$7:$C$106,$N194),OVR_BASE,"&gt;=0")&gt;0)&gt;0,"stock overridden",""))</f>
        <v/>
      </c>
      <c r="L194" s="39">
        <f>IFERROR(IF(SMALL(Grids!$EE$12:$GQ$111,$M$7+185)&gt;=PEND_TO,"",SMALL(Grids!$EE$12:$GQ$111,$M$7+185)),"")</f>
        <v/>
      </c>
      <c r="M194" s="39">
        <f>IF($L194="","",INT($L194/1000000000))</f>
        <v/>
      </c>
      <c r="N194" s="39">
        <f>IF($L194="","",INT(($L194-INT($L194/1000000)*1000000)/1000))</f>
        <v/>
      </c>
      <c r="O194" s="39">
        <f>IF($L194="","",$L194-INT($L194/1000)*1000)</f>
        <v/>
      </c>
      <c r="P194" s="39">
        <f>IF($L194="","",INT(($L194-INT($L194/1000000000)*1000000000)/100000000))</f>
        <v/>
      </c>
    </row>
    <row r="195">
      <c r="B195" s="42">
        <f>IF($L195="","",$M195)</f>
        <v/>
      </c>
      <c r="C195" s="22">
        <f>IF($L195="","",INDEX(HSI!$C$7:$C$106,$N195))</f>
        <v/>
      </c>
      <c r="D195" s="22">
        <f>IF($L195="","",INDEX(HSI!$D$7:$D$106,$N195))</f>
        <v/>
      </c>
      <c r="E195" s="43">
        <f>IF($L195="","",IF($P195=0,"TBA",IFERROR(INDEX(Grids!$C$12:$BO$111,$N195,$O195),"-")))</f>
        <v/>
      </c>
      <c r="F195" s="22">
        <f>IF($L195="","",INDEX(HSI!$F$7:$F$106,$N195))</f>
        <v/>
      </c>
      <c r="G195" s="43">
        <f>IF($L195="","",IF($P195=0,"TBA",IFERROR(INDEX(Grids!$BQ$12:$EC$111,$N195,$O195),"-")))</f>
        <v/>
      </c>
      <c r="H195" s="44">
        <f>IF($L195="","",SUM($G$10:$G195))</f>
        <v/>
      </c>
      <c r="I195" s="45">
        <f>IF($L195="","",IF(INT(($L195-INT($L195/10000000)*10000000)/1000000)=0,"Bloomberg projection",IF($P195=1,"ANNOUNCED","ANNOUNCED - amount TBA")))</f>
        <v/>
      </c>
      <c r="J195" s="46">
        <f>IF($L195="","",IF((OV_SWITCH="ON")*(COUNTIFS(OVR_TICKERS,INDEX(HSI!$C$7:$C$106,$N195),OVR_BASE,"&gt;=0")&gt;0)&gt;0,"stock overridden",""))</f>
        <v/>
      </c>
      <c r="L195" s="39">
        <f>IFERROR(IF(SMALL(Grids!$EE$12:$GQ$111,$M$7+186)&gt;=PEND_TO,"",SMALL(Grids!$EE$12:$GQ$111,$M$7+186)),"")</f>
        <v/>
      </c>
      <c r="M195" s="39">
        <f>IF($L195="","",INT($L195/1000000000))</f>
        <v/>
      </c>
      <c r="N195" s="39">
        <f>IF($L195="","",INT(($L195-INT($L195/1000000)*1000000)/1000))</f>
        <v/>
      </c>
      <c r="O195" s="39">
        <f>IF($L195="","",$L195-INT($L195/1000)*1000)</f>
        <v/>
      </c>
      <c r="P195" s="39">
        <f>IF($L195="","",INT(($L195-INT($L195/1000000000)*1000000000)/100000000))</f>
        <v/>
      </c>
    </row>
    <row r="196">
      <c r="B196" s="42">
        <f>IF($L196="","",$M196)</f>
        <v/>
      </c>
      <c r="C196" s="22">
        <f>IF($L196="","",INDEX(HSI!$C$7:$C$106,$N196))</f>
        <v/>
      </c>
      <c r="D196" s="22">
        <f>IF($L196="","",INDEX(HSI!$D$7:$D$106,$N196))</f>
        <v/>
      </c>
      <c r="E196" s="43">
        <f>IF($L196="","",IF($P196=0,"TBA",IFERROR(INDEX(Grids!$C$12:$BO$111,$N196,$O196),"-")))</f>
        <v/>
      </c>
      <c r="F196" s="22">
        <f>IF($L196="","",INDEX(HSI!$F$7:$F$106,$N196))</f>
        <v/>
      </c>
      <c r="G196" s="43">
        <f>IF($L196="","",IF($P196=0,"TBA",IFERROR(INDEX(Grids!$BQ$12:$EC$111,$N196,$O196),"-")))</f>
        <v/>
      </c>
      <c r="H196" s="44">
        <f>IF($L196="","",SUM($G$10:$G196))</f>
        <v/>
      </c>
      <c r="I196" s="45">
        <f>IF($L196="","",IF(INT(($L196-INT($L196/10000000)*10000000)/1000000)=0,"Bloomberg projection",IF($P196=1,"ANNOUNCED","ANNOUNCED - amount TBA")))</f>
        <v/>
      </c>
      <c r="J196" s="46">
        <f>IF($L196="","",IF((OV_SWITCH="ON")*(COUNTIFS(OVR_TICKERS,INDEX(HSI!$C$7:$C$106,$N196),OVR_BASE,"&gt;=0")&gt;0)&gt;0,"stock overridden",""))</f>
        <v/>
      </c>
      <c r="L196" s="39">
        <f>IFERROR(IF(SMALL(Grids!$EE$12:$GQ$111,$M$7+187)&gt;=PEND_TO,"",SMALL(Grids!$EE$12:$GQ$111,$M$7+187)),"")</f>
        <v/>
      </c>
      <c r="M196" s="39">
        <f>IF($L196="","",INT($L196/1000000000))</f>
        <v/>
      </c>
      <c r="N196" s="39">
        <f>IF($L196="","",INT(($L196-INT($L196/1000000)*1000000)/1000))</f>
        <v/>
      </c>
      <c r="O196" s="39">
        <f>IF($L196="","",$L196-INT($L196/1000)*1000)</f>
        <v/>
      </c>
      <c r="P196" s="39">
        <f>IF($L196="","",INT(($L196-INT($L196/1000000000)*1000000000)/100000000))</f>
        <v/>
      </c>
    </row>
    <row r="197">
      <c r="B197" s="42">
        <f>IF($L197="","",$M197)</f>
        <v/>
      </c>
      <c r="C197" s="22">
        <f>IF($L197="","",INDEX(HSI!$C$7:$C$106,$N197))</f>
        <v/>
      </c>
      <c r="D197" s="22">
        <f>IF($L197="","",INDEX(HSI!$D$7:$D$106,$N197))</f>
        <v/>
      </c>
      <c r="E197" s="43">
        <f>IF($L197="","",IF($P197=0,"TBA",IFERROR(INDEX(Grids!$C$12:$BO$111,$N197,$O197),"-")))</f>
        <v/>
      </c>
      <c r="F197" s="22">
        <f>IF($L197="","",INDEX(HSI!$F$7:$F$106,$N197))</f>
        <v/>
      </c>
      <c r="G197" s="43">
        <f>IF($L197="","",IF($P197=0,"TBA",IFERROR(INDEX(Grids!$BQ$12:$EC$111,$N197,$O197),"-")))</f>
        <v/>
      </c>
      <c r="H197" s="44">
        <f>IF($L197="","",SUM($G$10:$G197))</f>
        <v/>
      </c>
      <c r="I197" s="45">
        <f>IF($L197="","",IF(INT(($L197-INT($L197/10000000)*10000000)/1000000)=0,"Bloomberg projection",IF($P197=1,"ANNOUNCED","ANNOUNCED - amount TBA")))</f>
        <v/>
      </c>
      <c r="J197" s="46">
        <f>IF($L197="","",IF((OV_SWITCH="ON")*(COUNTIFS(OVR_TICKERS,INDEX(HSI!$C$7:$C$106,$N197),OVR_BASE,"&gt;=0")&gt;0)&gt;0,"stock overridden",""))</f>
        <v/>
      </c>
      <c r="L197" s="39">
        <f>IFERROR(IF(SMALL(Grids!$EE$12:$GQ$111,$M$7+188)&gt;=PEND_TO,"",SMALL(Grids!$EE$12:$GQ$111,$M$7+188)),"")</f>
        <v/>
      </c>
      <c r="M197" s="39">
        <f>IF($L197="","",INT($L197/1000000000))</f>
        <v/>
      </c>
      <c r="N197" s="39">
        <f>IF($L197="","",INT(($L197-INT($L197/1000000)*1000000)/1000))</f>
        <v/>
      </c>
      <c r="O197" s="39">
        <f>IF($L197="","",$L197-INT($L197/1000)*1000)</f>
        <v/>
      </c>
      <c r="P197" s="39">
        <f>IF($L197="","",INT(($L197-INT($L197/1000000000)*1000000000)/100000000))</f>
        <v/>
      </c>
    </row>
    <row r="198">
      <c r="B198" s="42">
        <f>IF($L198="","",$M198)</f>
        <v/>
      </c>
      <c r="C198" s="22">
        <f>IF($L198="","",INDEX(HSI!$C$7:$C$106,$N198))</f>
        <v/>
      </c>
      <c r="D198" s="22">
        <f>IF($L198="","",INDEX(HSI!$D$7:$D$106,$N198))</f>
        <v/>
      </c>
      <c r="E198" s="43">
        <f>IF($L198="","",IF($P198=0,"TBA",IFERROR(INDEX(Grids!$C$12:$BO$111,$N198,$O198),"-")))</f>
        <v/>
      </c>
      <c r="F198" s="22">
        <f>IF($L198="","",INDEX(HSI!$F$7:$F$106,$N198))</f>
        <v/>
      </c>
      <c r="G198" s="43">
        <f>IF($L198="","",IF($P198=0,"TBA",IFERROR(INDEX(Grids!$BQ$12:$EC$111,$N198,$O198),"-")))</f>
        <v/>
      </c>
      <c r="H198" s="44">
        <f>IF($L198="","",SUM($G$10:$G198))</f>
        <v/>
      </c>
      <c r="I198" s="45">
        <f>IF($L198="","",IF(INT(($L198-INT($L198/10000000)*10000000)/1000000)=0,"Bloomberg projection",IF($P198=1,"ANNOUNCED","ANNOUNCED - amount TBA")))</f>
        <v/>
      </c>
      <c r="J198" s="46">
        <f>IF($L198="","",IF((OV_SWITCH="ON")*(COUNTIFS(OVR_TICKERS,INDEX(HSI!$C$7:$C$106,$N198),OVR_BASE,"&gt;=0")&gt;0)&gt;0,"stock overridden",""))</f>
        <v/>
      </c>
      <c r="L198" s="39">
        <f>IFERROR(IF(SMALL(Grids!$EE$12:$GQ$111,$M$7+189)&gt;=PEND_TO,"",SMALL(Grids!$EE$12:$GQ$111,$M$7+189)),"")</f>
        <v/>
      </c>
      <c r="M198" s="39">
        <f>IF($L198="","",INT($L198/1000000000))</f>
        <v/>
      </c>
      <c r="N198" s="39">
        <f>IF($L198="","",INT(($L198-INT($L198/1000000)*1000000)/1000))</f>
        <v/>
      </c>
      <c r="O198" s="39">
        <f>IF($L198="","",$L198-INT($L198/1000)*1000)</f>
        <v/>
      </c>
      <c r="P198" s="39">
        <f>IF($L198="","",INT(($L198-INT($L198/1000000000)*1000000000)/100000000))</f>
        <v/>
      </c>
    </row>
    <row r="199">
      <c r="B199" s="42">
        <f>IF($L199="","",$M199)</f>
        <v/>
      </c>
      <c r="C199" s="22">
        <f>IF($L199="","",INDEX(HSI!$C$7:$C$106,$N199))</f>
        <v/>
      </c>
      <c r="D199" s="22">
        <f>IF($L199="","",INDEX(HSI!$D$7:$D$106,$N199))</f>
        <v/>
      </c>
      <c r="E199" s="43">
        <f>IF($L199="","",IF($P199=0,"TBA",IFERROR(INDEX(Grids!$C$12:$BO$111,$N199,$O199),"-")))</f>
        <v/>
      </c>
      <c r="F199" s="22">
        <f>IF($L199="","",INDEX(HSI!$F$7:$F$106,$N199))</f>
        <v/>
      </c>
      <c r="G199" s="43">
        <f>IF($L199="","",IF($P199=0,"TBA",IFERROR(INDEX(Grids!$BQ$12:$EC$111,$N199,$O199),"-")))</f>
        <v/>
      </c>
      <c r="H199" s="44">
        <f>IF($L199="","",SUM($G$10:$G199))</f>
        <v/>
      </c>
      <c r="I199" s="45">
        <f>IF($L199="","",IF(INT(($L199-INT($L199/10000000)*10000000)/1000000)=0,"Bloomberg projection",IF($P199=1,"ANNOUNCED","ANNOUNCED - amount TBA")))</f>
        <v/>
      </c>
      <c r="J199" s="46">
        <f>IF($L199="","",IF((OV_SWITCH="ON")*(COUNTIFS(OVR_TICKERS,INDEX(HSI!$C$7:$C$106,$N199),OVR_BASE,"&gt;=0")&gt;0)&gt;0,"stock overridden",""))</f>
        <v/>
      </c>
      <c r="L199" s="39">
        <f>IFERROR(IF(SMALL(Grids!$EE$12:$GQ$111,$M$7+190)&gt;=PEND_TO,"",SMALL(Grids!$EE$12:$GQ$111,$M$7+190)),"")</f>
        <v/>
      </c>
      <c r="M199" s="39">
        <f>IF($L199="","",INT($L199/1000000000))</f>
        <v/>
      </c>
      <c r="N199" s="39">
        <f>IF($L199="","",INT(($L199-INT($L199/1000000)*1000000)/1000))</f>
        <v/>
      </c>
      <c r="O199" s="39">
        <f>IF($L199="","",$L199-INT($L199/1000)*1000)</f>
        <v/>
      </c>
      <c r="P199" s="39">
        <f>IF($L199="","",INT(($L199-INT($L199/1000000000)*1000000000)/100000000))</f>
        <v/>
      </c>
    </row>
    <row r="200">
      <c r="B200" s="42">
        <f>IF($L200="","",$M200)</f>
        <v/>
      </c>
      <c r="C200" s="22">
        <f>IF($L200="","",INDEX(HSI!$C$7:$C$106,$N200))</f>
        <v/>
      </c>
      <c r="D200" s="22">
        <f>IF($L200="","",INDEX(HSI!$D$7:$D$106,$N200))</f>
        <v/>
      </c>
      <c r="E200" s="43">
        <f>IF($L200="","",IF($P200=0,"TBA",IFERROR(INDEX(Grids!$C$12:$BO$111,$N200,$O200),"-")))</f>
        <v/>
      </c>
      <c r="F200" s="22">
        <f>IF($L200="","",INDEX(HSI!$F$7:$F$106,$N200))</f>
        <v/>
      </c>
      <c r="G200" s="43">
        <f>IF($L200="","",IF($P200=0,"TBA",IFERROR(INDEX(Grids!$BQ$12:$EC$111,$N200,$O200),"-")))</f>
        <v/>
      </c>
      <c r="H200" s="44">
        <f>IF($L200="","",SUM($G$10:$G200))</f>
        <v/>
      </c>
      <c r="I200" s="45">
        <f>IF($L200="","",IF(INT(($L200-INT($L200/10000000)*10000000)/1000000)=0,"Bloomberg projection",IF($P200=1,"ANNOUNCED","ANNOUNCED - amount TBA")))</f>
        <v/>
      </c>
      <c r="J200" s="46">
        <f>IF($L200="","",IF((OV_SWITCH="ON")*(COUNTIFS(OVR_TICKERS,INDEX(HSI!$C$7:$C$106,$N200),OVR_BASE,"&gt;=0")&gt;0)&gt;0,"stock overridden",""))</f>
        <v/>
      </c>
      <c r="L200" s="39">
        <f>IFERROR(IF(SMALL(Grids!$EE$12:$GQ$111,$M$7+191)&gt;=PEND_TO,"",SMALL(Grids!$EE$12:$GQ$111,$M$7+191)),"")</f>
        <v/>
      </c>
      <c r="M200" s="39">
        <f>IF($L200="","",INT($L200/1000000000))</f>
        <v/>
      </c>
      <c r="N200" s="39">
        <f>IF($L200="","",INT(($L200-INT($L200/1000000)*1000000)/1000))</f>
        <v/>
      </c>
      <c r="O200" s="39">
        <f>IF($L200="","",$L200-INT($L200/1000)*1000)</f>
        <v/>
      </c>
      <c r="P200" s="39">
        <f>IF($L200="","",INT(($L200-INT($L200/1000000000)*1000000000)/100000000))</f>
        <v/>
      </c>
    </row>
    <row r="201">
      <c r="B201" s="42">
        <f>IF($L201="","",$M201)</f>
        <v/>
      </c>
      <c r="C201" s="22">
        <f>IF($L201="","",INDEX(HSI!$C$7:$C$106,$N201))</f>
        <v/>
      </c>
      <c r="D201" s="22">
        <f>IF($L201="","",INDEX(HSI!$D$7:$D$106,$N201))</f>
        <v/>
      </c>
      <c r="E201" s="43">
        <f>IF($L201="","",IF($P201=0,"TBA",IFERROR(INDEX(Grids!$C$12:$BO$111,$N201,$O201),"-")))</f>
        <v/>
      </c>
      <c r="F201" s="22">
        <f>IF($L201="","",INDEX(HSI!$F$7:$F$106,$N201))</f>
        <v/>
      </c>
      <c r="G201" s="43">
        <f>IF($L201="","",IF($P201=0,"TBA",IFERROR(INDEX(Grids!$BQ$12:$EC$111,$N201,$O201),"-")))</f>
        <v/>
      </c>
      <c r="H201" s="44">
        <f>IF($L201="","",SUM($G$10:$G201))</f>
        <v/>
      </c>
      <c r="I201" s="45">
        <f>IF($L201="","",IF(INT(($L201-INT($L201/10000000)*10000000)/1000000)=0,"Bloomberg projection",IF($P201=1,"ANNOUNCED","ANNOUNCED - amount TBA")))</f>
        <v/>
      </c>
      <c r="J201" s="46">
        <f>IF($L201="","",IF((OV_SWITCH="ON")*(COUNTIFS(OVR_TICKERS,INDEX(HSI!$C$7:$C$106,$N201),OVR_BASE,"&gt;=0")&gt;0)&gt;0,"stock overridden",""))</f>
        <v/>
      </c>
      <c r="L201" s="39">
        <f>IFERROR(IF(SMALL(Grids!$EE$12:$GQ$111,$M$7+192)&gt;=PEND_TO,"",SMALL(Grids!$EE$12:$GQ$111,$M$7+192)),"")</f>
        <v/>
      </c>
      <c r="M201" s="39">
        <f>IF($L201="","",INT($L201/1000000000))</f>
        <v/>
      </c>
      <c r="N201" s="39">
        <f>IF($L201="","",INT(($L201-INT($L201/1000000)*1000000)/1000))</f>
        <v/>
      </c>
      <c r="O201" s="39">
        <f>IF($L201="","",$L201-INT($L201/1000)*1000)</f>
        <v/>
      </c>
      <c r="P201" s="39">
        <f>IF($L201="","",INT(($L201-INT($L201/1000000000)*1000000000)/100000000))</f>
        <v/>
      </c>
    </row>
    <row r="202">
      <c r="B202" s="42">
        <f>IF($L202="","",$M202)</f>
        <v/>
      </c>
      <c r="C202" s="22">
        <f>IF($L202="","",INDEX(HSI!$C$7:$C$106,$N202))</f>
        <v/>
      </c>
      <c r="D202" s="22">
        <f>IF($L202="","",INDEX(HSI!$D$7:$D$106,$N202))</f>
        <v/>
      </c>
      <c r="E202" s="43">
        <f>IF($L202="","",IF($P202=0,"TBA",IFERROR(INDEX(Grids!$C$12:$BO$111,$N202,$O202),"-")))</f>
        <v/>
      </c>
      <c r="F202" s="22">
        <f>IF($L202="","",INDEX(HSI!$F$7:$F$106,$N202))</f>
        <v/>
      </c>
      <c r="G202" s="43">
        <f>IF($L202="","",IF($P202=0,"TBA",IFERROR(INDEX(Grids!$BQ$12:$EC$111,$N202,$O202),"-")))</f>
        <v/>
      </c>
      <c r="H202" s="44">
        <f>IF($L202="","",SUM($G$10:$G202))</f>
        <v/>
      </c>
      <c r="I202" s="45">
        <f>IF($L202="","",IF(INT(($L202-INT($L202/10000000)*10000000)/1000000)=0,"Bloomberg projection",IF($P202=1,"ANNOUNCED","ANNOUNCED - amount TBA")))</f>
        <v/>
      </c>
      <c r="J202" s="46">
        <f>IF($L202="","",IF((OV_SWITCH="ON")*(COUNTIFS(OVR_TICKERS,INDEX(HSI!$C$7:$C$106,$N202),OVR_BASE,"&gt;=0")&gt;0)&gt;0,"stock overridden",""))</f>
        <v/>
      </c>
      <c r="L202" s="39">
        <f>IFERROR(IF(SMALL(Grids!$EE$12:$GQ$111,$M$7+193)&gt;=PEND_TO,"",SMALL(Grids!$EE$12:$GQ$111,$M$7+193)),"")</f>
        <v/>
      </c>
      <c r="M202" s="39">
        <f>IF($L202="","",INT($L202/1000000000))</f>
        <v/>
      </c>
      <c r="N202" s="39">
        <f>IF($L202="","",INT(($L202-INT($L202/1000000)*1000000)/1000))</f>
        <v/>
      </c>
      <c r="O202" s="39">
        <f>IF($L202="","",$L202-INT($L202/1000)*1000)</f>
        <v/>
      </c>
      <c r="P202" s="39">
        <f>IF($L202="","",INT(($L202-INT($L202/1000000000)*1000000000)/100000000))</f>
        <v/>
      </c>
    </row>
    <row r="203">
      <c r="B203" s="42">
        <f>IF($L203="","",$M203)</f>
        <v/>
      </c>
      <c r="C203" s="22">
        <f>IF($L203="","",INDEX(HSI!$C$7:$C$106,$N203))</f>
        <v/>
      </c>
      <c r="D203" s="22">
        <f>IF($L203="","",INDEX(HSI!$D$7:$D$106,$N203))</f>
        <v/>
      </c>
      <c r="E203" s="43">
        <f>IF($L203="","",IF($P203=0,"TBA",IFERROR(INDEX(Grids!$C$12:$BO$111,$N203,$O203),"-")))</f>
        <v/>
      </c>
      <c r="F203" s="22">
        <f>IF($L203="","",INDEX(HSI!$F$7:$F$106,$N203))</f>
        <v/>
      </c>
      <c r="G203" s="43">
        <f>IF($L203="","",IF($P203=0,"TBA",IFERROR(INDEX(Grids!$BQ$12:$EC$111,$N203,$O203),"-")))</f>
        <v/>
      </c>
      <c r="H203" s="44">
        <f>IF($L203="","",SUM($G$10:$G203))</f>
        <v/>
      </c>
      <c r="I203" s="45">
        <f>IF($L203="","",IF(INT(($L203-INT($L203/10000000)*10000000)/1000000)=0,"Bloomberg projection",IF($P203=1,"ANNOUNCED","ANNOUNCED - amount TBA")))</f>
        <v/>
      </c>
      <c r="J203" s="46">
        <f>IF($L203="","",IF((OV_SWITCH="ON")*(COUNTIFS(OVR_TICKERS,INDEX(HSI!$C$7:$C$106,$N203),OVR_BASE,"&gt;=0")&gt;0)&gt;0,"stock overridden",""))</f>
        <v/>
      </c>
      <c r="L203" s="39">
        <f>IFERROR(IF(SMALL(Grids!$EE$12:$GQ$111,$M$7+194)&gt;=PEND_TO,"",SMALL(Grids!$EE$12:$GQ$111,$M$7+194)),"")</f>
        <v/>
      </c>
      <c r="M203" s="39">
        <f>IF($L203="","",INT($L203/1000000000))</f>
        <v/>
      </c>
      <c r="N203" s="39">
        <f>IF($L203="","",INT(($L203-INT($L203/1000000)*1000000)/1000))</f>
        <v/>
      </c>
      <c r="O203" s="39">
        <f>IF($L203="","",$L203-INT($L203/1000)*1000)</f>
        <v/>
      </c>
      <c r="P203" s="39">
        <f>IF($L203="","",INT(($L203-INT($L203/1000000000)*1000000000)/100000000))</f>
        <v/>
      </c>
    </row>
    <row r="204">
      <c r="B204" s="42">
        <f>IF($L204="","",$M204)</f>
        <v/>
      </c>
      <c r="C204" s="22">
        <f>IF($L204="","",INDEX(HSI!$C$7:$C$106,$N204))</f>
        <v/>
      </c>
      <c r="D204" s="22">
        <f>IF($L204="","",INDEX(HSI!$D$7:$D$106,$N204))</f>
        <v/>
      </c>
      <c r="E204" s="43">
        <f>IF($L204="","",IF($P204=0,"TBA",IFERROR(INDEX(Grids!$C$12:$BO$111,$N204,$O204),"-")))</f>
        <v/>
      </c>
      <c r="F204" s="22">
        <f>IF($L204="","",INDEX(HSI!$F$7:$F$106,$N204))</f>
        <v/>
      </c>
      <c r="G204" s="43">
        <f>IF($L204="","",IF($P204=0,"TBA",IFERROR(INDEX(Grids!$BQ$12:$EC$111,$N204,$O204),"-")))</f>
        <v/>
      </c>
      <c r="H204" s="44">
        <f>IF($L204="","",SUM($G$10:$G204))</f>
        <v/>
      </c>
      <c r="I204" s="45">
        <f>IF($L204="","",IF(INT(($L204-INT($L204/10000000)*10000000)/1000000)=0,"Bloomberg projection",IF($P204=1,"ANNOUNCED","ANNOUNCED - amount TBA")))</f>
        <v/>
      </c>
      <c r="J204" s="46">
        <f>IF($L204="","",IF((OV_SWITCH="ON")*(COUNTIFS(OVR_TICKERS,INDEX(HSI!$C$7:$C$106,$N204),OVR_BASE,"&gt;=0")&gt;0)&gt;0,"stock overridden",""))</f>
        <v/>
      </c>
      <c r="L204" s="39">
        <f>IFERROR(IF(SMALL(Grids!$EE$12:$GQ$111,$M$7+195)&gt;=PEND_TO,"",SMALL(Grids!$EE$12:$GQ$111,$M$7+195)),"")</f>
        <v/>
      </c>
      <c r="M204" s="39">
        <f>IF($L204="","",INT($L204/1000000000))</f>
        <v/>
      </c>
      <c r="N204" s="39">
        <f>IF($L204="","",INT(($L204-INT($L204/1000000)*1000000)/1000))</f>
        <v/>
      </c>
      <c r="O204" s="39">
        <f>IF($L204="","",$L204-INT($L204/1000)*1000)</f>
        <v/>
      </c>
      <c r="P204" s="39">
        <f>IF($L204="","",INT(($L204-INT($L204/1000000000)*1000000000)/100000000))</f>
        <v/>
      </c>
    </row>
    <row r="205">
      <c r="B205" s="42">
        <f>IF($L205="","",$M205)</f>
        <v/>
      </c>
      <c r="C205" s="22">
        <f>IF($L205="","",INDEX(HSI!$C$7:$C$106,$N205))</f>
        <v/>
      </c>
      <c r="D205" s="22">
        <f>IF($L205="","",INDEX(HSI!$D$7:$D$106,$N205))</f>
        <v/>
      </c>
      <c r="E205" s="43">
        <f>IF($L205="","",IF($P205=0,"TBA",IFERROR(INDEX(Grids!$C$12:$BO$111,$N205,$O205),"-")))</f>
        <v/>
      </c>
      <c r="F205" s="22">
        <f>IF($L205="","",INDEX(HSI!$F$7:$F$106,$N205))</f>
        <v/>
      </c>
      <c r="G205" s="43">
        <f>IF($L205="","",IF($P205=0,"TBA",IFERROR(INDEX(Grids!$BQ$12:$EC$111,$N205,$O205),"-")))</f>
        <v/>
      </c>
      <c r="H205" s="44">
        <f>IF($L205="","",SUM($G$10:$G205))</f>
        <v/>
      </c>
      <c r="I205" s="45">
        <f>IF($L205="","",IF(INT(($L205-INT($L205/10000000)*10000000)/1000000)=0,"Bloomberg projection",IF($P205=1,"ANNOUNCED","ANNOUNCED - amount TBA")))</f>
        <v/>
      </c>
      <c r="J205" s="46">
        <f>IF($L205="","",IF((OV_SWITCH="ON")*(COUNTIFS(OVR_TICKERS,INDEX(HSI!$C$7:$C$106,$N205),OVR_BASE,"&gt;=0")&gt;0)&gt;0,"stock overridden",""))</f>
        <v/>
      </c>
      <c r="L205" s="39">
        <f>IFERROR(IF(SMALL(Grids!$EE$12:$GQ$111,$M$7+196)&gt;=PEND_TO,"",SMALL(Grids!$EE$12:$GQ$111,$M$7+196)),"")</f>
        <v/>
      </c>
      <c r="M205" s="39">
        <f>IF($L205="","",INT($L205/1000000000))</f>
        <v/>
      </c>
      <c r="N205" s="39">
        <f>IF($L205="","",INT(($L205-INT($L205/1000000)*1000000)/1000))</f>
        <v/>
      </c>
      <c r="O205" s="39">
        <f>IF($L205="","",$L205-INT($L205/1000)*1000)</f>
        <v/>
      </c>
      <c r="P205" s="39">
        <f>IF($L205="","",INT(($L205-INT($L205/1000000000)*1000000000)/100000000))</f>
        <v/>
      </c>
    </row>
    <row r="206">
      <c r="B206" s="42">
        <f>IF($L206="","",$M206)</f>
        <v/>
      </c>
      <c r="C206" s="22">
        <f>IF($L206="","",INDEX(HSI!$C$7:$C$106,$N206))</f>
        <v/>
      </c>
      <c r="D206" s="22">
        <f>IF($L206="","",INDEX(HSI!$D$7:$D$106,$N206))</f>
        <v/>
      </c>
      <c r="E206" s="43">
        <f>IF($L206="","",IF($P206=0,"TBA",IFERROR(INDEX(Grids!$C$12:$BO$111,$N206,$O206),"-")))</f>
        <v/>
      </c>
      <c r="F206" s="22">
        <f>IF($L206="","",INDEX(HSI!$F$7:$F$106,$N206))</f>
        <v/>
      </c>
      <c r="G206" s="43">
        <f>IF($L206="","",IF($P206=0,"TBA",IFERROR(INDEX(Grids!$BQ$12:$EC$111,$N206,$O206),"-")))</f>
        <v/>
      </c>
      <c r="H206" s="44">
        <f>IF($L206="","",SUM($G$10:$G206))</f>
        <v/>
      </c>
      <c r="I206" s="45">
        <f>IF($L206="","",IF(INT(($L206-INT($L206/10000000)*10000000)/1000000)=0,"Bloomberg projection",IF($P206=1,"ANNOUNCED","ANNOUNCED - amount TBA")))</f>
        <v/>
      </c>
      <c r="J206" s="46">
        <f>IF($L206="","",IF((OV_SWITCH="ON")*(COUNTIFS(OVR_TICKERS,INDEX(HSI!$C$7:$C$106,$N206),OVR_BASE,"&gt;=0")&gt;0)&gt;0,"stock overridden",""))</f>
        <v/>
      </c>
      <c r="L206" s="39">
        <f>IFERROR(IF(SMALL(Grids!$EE$12:$GQ$111,$M$7+197)&gt;=PEND_TO,"",SMALL(Grids!$EE$12:$GQ$111,$M$7+197)),"")</f>
        <v/>
      </c>
      <c r="M206" s="39">
        <f>IF($L206="","",INT($L206/1000000000))</f>
        <v/>
      </c>
      <c r="N206" s="39">
        <f>IF($L206="","",INT(($L206-INT($L206/1000000)*1000000)/1000))</f>
        <v/>
      </c>
      <c r="O206" s="39">
        <f>IF($L206="","",$L206-INT($L206/1000)*1000)</f>
        <v/>
      </c>
      <c r="P206" s="39">
        <f>IF($L206="","",INT(($L206-INT($L206/1000000000)*1000000000)/100000000))</f>
        <v/>
      </c>
    </row>
    <row r="207">
      <c r="B207" s="42">
        <f>IF($L207="","",$M207)</f>
        <v/>
      </c>
      <c r="C207" s="22">
        <f>IF($L207="","",INDEX(HSI!$C$7:$C$106,$N207))</f>
        <v/>
      </c>
      <c r="D207" s="22">
        <f>IF($L207="","",INDEX(HSI!$D$7:$D$106,$N207))</f>
        <v/>
      </c>
      <c r="E207" s="43">
        <f>IF($L207="","",IF($P207=0,"TBA",IFERROR(INDEX(Grids!$C$12:$BO$111,$N207,$O207),"-")))</f>
        <v/>
      </c>
      <c r="F207" s="22">
        <f>IF($L207="","",INDEX(HSI!$F$7:$F$106,$N207))</f>
        <v/>
      </c>
      <c r="G207" s="43">
        <f>IF($L207="","",IF($P207=0,"TBA",IFERROR(INDEX(Grids!$BQ$12:$EC$111,$N207,$O207),"-")))</f>
        <v/>
      </c>
      <c r="H207" s="44">
        <f>IF($L207="","",SUM($G$10:$G207))</f>
        <v/>
      </c>
      <c r="I207" s="45">
        <f>IF($L207="","",IF(INT(($L207-INT($L207/10000000)*10000000)/1000000)=0,"Bloomberg projection",IF($P207=1,"ANNOUNCED","ANNOUNCED - amount TBA")))</f>
        <v/>
      </c>
      <c r="J207" s="46">
        <f>IF($L207="","",IF((OV_SWITCH="ON")*(COUNTIFS(OVR_TICKERS,INDEX(HSI!$C$7:$C$106,$N207),OVR_BASE,"&gt;=0")&gt;0)&gt;0,"stock overridden",""))</f>
        <v/>
      </c>
      <c r="L207" s="39">
        <f>IFERROR(IF(SMALL(Grids!$EE$12:$GQ$111,$M$7+198)&gt;=PEND_TO,"",SMALL(Grids!$EE$12:$GQ$111,$M$7+198)),"")</f>
        <v/>
      </c>
      <c r="M207" s="39">
        <f>IF($L207="","",INT($L207/1000000000))</f>
        <v/>
      </c>
      <c r="N207" s="39">
        <f>IF($L207="","",INT(($L207-INT($L207/1000000)*1000000)/1000))</f>
        <v/>
      </c>
      <c r="O207" s="39">
        <f>IF($L207="","",$L207-INT($L207/1000)*1000)</f>
        <v/>
      </c>
      <c r="P207" s="39">
        <f>IF($L207="","",INT(($L207-INT($L207/1000000000)*1000000000)/100000000))</f>
        <v/>
      </c>
    </row>
    <row r="208">
      <c r="B208" s="42">
        <f>IF($L208="","",$M208)</f>
        <v/>
      </c>
      <c r="C208" s="22">
        <f>IF($L208="","",INDEX(HSI!$C$7:$C$106,$N208))</f>
        <v/>
      </c>
      <c r="D208" s="22">
        <f>IF($L208="","",INDEX(HSI!$D$7:$D$106,$N208))</f>
        <v/>
      </c>
      <c r="E208" s="43">
        <f>IF($L208="","",IF($P208=0,"TBA",IFERROR(INDEX(Grids!$C$12:$BO$111,$N208,$O208),"-")))</f>
        <v/>
      </c>
      <c r="F208" s="22">
        <f>IF($L208="","",INDEX(HSI!$F$7:$F$106,$N208))</f>
        <v/>
      </c>
      <c r="G208" s="43">
        <f>IF($L208="","",IF($P208=0,"TBA",IFERROR(INDEX(Grids!$BQ$12:$EC$111,$N208,$O208),"-")))</f>
        <v/>
      </c>
      <c r="H208" s="44">
        <f>IF($L208="","",SUM($G$10:$G208))</f>
        <v/>
      </c>
      <c r="I208" s="45">
        <f>IF($L208="","",IF(INT(($L208-INT($L208/10000000)*10000000)/1000000)=0,"Bloomberg projection",IF($P208=1,"ANNOUNCED","ANNOUNCED - amount TBA")))</f>
        <v/>
      </c>
      <c r="J208" s="46">
        <f>IF($L208="","",IF((OV_SWITCH="ON")*(COUNTIFS(OVR_TICKERS,INDEX(HSI!$C$7:$C$106,$N208),OVR_BASE,"&gt;=0")&gt;0)&gt;0,"stock overridden",""))</f>
        <v/>
      </c>
      <c r="L208" s="39">
        <f>IFERROR(IF(SMALL(Grids!$EE$12:$GQ$111,$M$7+199)&gt;=PEND_TO,"",SMALL(Grids!$EE$12:$GQ$111,$M$7+199)),"")</f>
        <v/>
      </c>
      <c r="M208" s="39">
        <f>IF($L208="","",INT($L208/1000000000))</f>
        <v/>
      </c>
      <c r="N208" s="39">
        <f>IF($L208="","",INT(($L208-INT($L208/1000000)*1000000)/1000))</f>
        <v/>
      </c>
      <c r="O208" s="39">
        <f>IF($L208="","",$L208-INT($L208/1000)*1000)</f>
        <v/>
      </c>
      <c r="P208" s="39">
        <f>IF($L208="","",INT(($L208-INT($L208/1000000000)*1000000000)/100000000))</f>
        <v/>
      </c>
    </row>
    <row r="209">
      <c r="B209" s="42">
        <f>IF($L209="","",$M209)</f>
        <v/>
      </c>
      <c r="C209" s="22">
        <f>IF($L209="","",INDEX(HSI!$C$7:$C$106,$N209))</f>
        <v/>
      </c>
      <c r="D209" s="22">
        <f>IF($L209="","",INDEX(HSI!$D$7:$D$106,$N209))</f>
        <v/>
      </c>
      <c r="E209" s="43">
        <f>IF($L209="","",IF($P209=0,"TBA",IFERROR(INDEX(Grids!$C$12:$BO$111,$N209,$O209),"-")))</f>
        <v/>
      </c>
      <c r="F209" s="22">
        <f>IF($L209="","",INDEX(HSI!$F$7:$F$106,$N209))</f>
        <v/>
      </c>
      <c r="G209" s="43">
        <f>IF($L209="","",IF($P209=0,"TBA",IFERROR(INDEX(Grids!$BQ$12:$EC$111,$N209,$O209),"-")))</f>
        <v/>
      </c>
      <c r="H209" s="44">
        <f>IF($L209="","",SUM($G$10:$G209))</f>
        <v/>
      </c>
      <c r="I209" s="45">
        <f>IF($L209="","",IF(INT(($L209-INT($L209/10000000)*10000000)/1000000)=0,"Bloomberg projection",IF($P209=1,"ANNOUNCED","ANNOUNCED - amount TBA")))</f>
        <v/>
      </c>
      <c r="J209" s="46">
        <f>IF($L209="","",IF((OV_SWITCH="ON")*(COUNTIFS(OVR_TICKERS,INDEX(HSI!$C$7:$C$106,$N209),OVR_BASE,"&gt;=0")&gt;0)&gt;0,"stock overridden",""))</f>
        <v/>
      </c>
      <c r="L209" s="39">
        <f>IFERROR(IF(SMALL(Grids!$EE$12:$GQ$111,$M$7+200)&gt;=PEND_TO,"",SMALL(Grids!$EE$12:$GQ$111,$M$7+200)),"")</f>
        <v/>
      </c>
      <c r="M209" s="39">
        <f>IF($L209="","",INT($L209/1000000000))</f>
        <v/>
      </c>
      <c r="N209" s="39">
        <f>IF($L209="","",INT(($L209-INT($L209/1000000)*1000000)/1000))</f>
        <v/>
      </c>
      <c r="O209" s="39">
        <f>IF($L209="","",$L209-INT($L209/1000)*1000)</f>
        <v/>
      </c>
      <c r="P209" s="39">
        <f>IF($L209="","",INT(($L209-INT($L209/1000000000)*1000000000)/100000000))</f>
        <v/>
      </c>
    </row>
    <row r="210">
      <c r="B210" s="42">
        <f>IF($L210="","",$M210)</f>
        <v/>
      </c>
      <c r="C210" s="22">
        <f>IF($L210="","",INDEX(HSI!$C$7:$C$106,$N210))</f>
        <v/>
      </c>
      <c r="D210" s="22">
        <f>IF($L210="","",INDEX(HSI!$D$7:$D$106,$N210))</f>
        <v/>
      </c>
      <c r="E210" s="43">
        <f>IF($L210="","",IF($P210=0,"TBA",IFERROR(INDEX(Grids!$C$12:$BO$111,$N210,$O210),"-")))</f>
        <v/>
      </c>
      <c r="F210" s="22">
        <f>IF($L210="","",INDEX(HSI!$F$7:$F$106,$N210))</f>
        <v/>
      </c>
      <c r="G210" s="43">
        <f>IF($L210="","",IF($P210=0,"TBA",IFERROR(INDEX(Grids!$BQ$12:$EC$111,$N210,$O210),"-")))</f>
        <v/>
      </c>
      <c r="H210" s="44">
        <f>IF($L210="","",SUM($G$10:$G210))</f>
        <v/>
      </c>
      <c r="I210" s="45">
        <f>IF($L210="","",IF(INT(($L210-INT($L210/10000000)*10000000)/1000000)=0,"Bloomberg projection",IF($P210=1,"ANNOUNCED","ANNOUNCED - amount TBA")))</f>
        <v/>
      </c>
      <c r="J210" s="46">
        <f>IF($L210="","",IF((OV_SWITCH="ON")*(COUNTIFS(OVR_TICKERS,INDEX(HSI!$C$7:$C$106,$N210),OVR_BASE,"&gt;=0")&gt;0)&gt;0,"stock overridden",""))</f>
        <v/>
      </c>
      <c r="L210" s="39">
        <f>IFERROR(IF(SMALL(Grids!$EE$12:$GQ$111,$M$7+201)&gt;=PEND_TO,"",SMALL(Grids!$EE$12:$GQ$111,$M$7+201)),"")</f>
        <v/>
      </c>
      <c r="M210" s="39">
        <f>IF($L210="","",INT($L210/1000000000))</f>
        <v/>
      </c>
      <c r="N210" s="39">
        <f>IF($L210="","",INT(($L210-INT($L210/1000000)*1000000)/1000))</f>
        <v/>
      </c>
      <c r="O210" s="39">
        <f>IF($L210="","",$L210-INT($L210/1000)*1000)</f>
        <v/>
      </c>
      <c r="P210" s="39">
        <f>IF($L210="","",INT(($L210-INT($L210/1000000000)*1000000000)/100000000))</f>
        <v/>
      </c>
    </row>
    <row r="211">
      <c r="B211" s="42">
        <f>IF($L211="","",$M211)</f>
        <v/>
      </c>
      <c r="C211" s="22">
        <f>IF($L211="","",INDEX(HSI!$C$7:$C$106,$N211))</f>
        <v/>
      </c>
      <c r="D211" s="22">
        <f>IF($L211="","",INDEX(HSI!$D$7:$D$106,$N211))</f>
        <v/>
      </c>
      <c r="E211" s="43">
        <f>IF($L211="","",IF($P211=0,"TBA",IFERROR(INDEX(Grids!$C$12:$BO$111,$N211,$O211),"-")))</f>
        <v/>
      </c>
      <c r="F211" s="22">
        <f>IF($L211="","",INDEX(HSI!$F$7:$F$106,$N211))</f>
        <v/>
      </c>
      <c r="G211" s="43">
        <f>IF($L211="","",IF($P211=0,"TBA",IFERROR(INDEX(Grids!$BQ$12:$EC$111,$N211,$O211),"-")))</f>
        <v/>
      </c>
      <c r="H211" s="44">
        <f>IF($L211="","",SUM($G$10:$G211))</f>
        <v/>
      </c>
      <c r="I211" s="45">
        <f>IF($L211="","",IF(INT(($L211-INT($L211/10000000)*10000000)/1000000)=0,"Bloomberg projection",IF($P211=1,"ANNOUNCED","ANNOUNCED - amount TBA")))</f>
        <v/>
      </c>
      <c r="J211" s="46">
        <f>IF($L211="","",IF((OV_SWITCH="ON")*(COUNTIFS(OVR_TICKERS,INDEX(HSI!$C$7:$C$106,$N211),OVR_BASE,"&gt;=0")&gt;0)&gt;0,"stock overridden",""))</f>
        <v/>
      </c>
      <c r="L211" s="39">
        <f>IFERROR(IF(SMALL(Grids!$EE$12:$GQ$111,$M$7+202)&gt;=PEND_TO,"",SMALL(Grids!$EE$12:$GQ$111,$M$7+202)),"")</f>
        <v/>
      </c>
      <c r="M211" s="39">
        <f>IF($L211="","",INT($L211/1000000000))</f>
        <v/>
      </c>
      <c r="N211" s="39">
        <f>IF($L211="","",INT(($L211-INT($L211/1000000)*1000000)/1000))</f>
        <v/>
      </c>
      <c r="O211" s="39">
        <f>IF($L211="","",$L211-INT($L211/1000)*1000)</f>
        <v/>
      </c>
      <c r="P211" s="39">
        <f>IF($L211="","",INT(($L211-INT($L211/1000000000)*1000000000)/100000000))</f>
        <v/>
      </c>
    </row>
    <row r="212">
      <c r="B212" s="42">
        <f>IF($L212="","",$M212)</f>
        <v/>
      </c>
      <c r="C212" s="22">
        <f>IF($L212="","",INDEX(HSI!$C$7:$C$106,$N212))</f>
        <v/>
      </c>
      <c r="D212" s="22">
        <f>IF($L212="","",INDEX(HSI!$D$7:$D$106,$N212))</f>
        <v/>
      </c>
      <c r="E212" s="43">
        <f>IF($L212="","",IF($P212=0,"TBA",IFERROR(INDEX(Grids!$C$12:$BO$111,$N212,$O212),"-")))</f>
        <v/>
      </c>
      <c r="F212" s="22">
        <f>IF($L212="","",INDEX(HSI!$F$7:$F$106,$N212))</f>
        <v/>
      </c>
      <c r="G212" s="43">
        <f>IF($L212="","",IF($P212=0,"TBA",IFERROR(INDEX(Grids!$BQ$12:$EC$111,$N212,$O212),"-")))</f>
        <v/>
      </c>
      <c r="H212" s="44">
        <f>IF($L212="","",SUM($G$10:$G212))</f>
        <v/>
      </c>
      <c r="I212" s="45">
        <f>IF($L212="","",IF(INT(($L212-INT($L212/10000000)*10000000)/1000000)=0,"Bloomberg projection",IF($P212=1,"ANNOUNCED","ANNOUNCED - amount TBA")))</f>
        <v/>
      </c>
      <c r="J212" s="46">
        <f>IF($L212="","",IF((OV_SWITCH="ON")*(COUNTIFS(OVR_TICKERS,INDEX(HSI!$C$7:$C$106,$N212),OVR_BASE,"&gt;=0")&gt;0)&gt;0,"stock overridden",""))</f>
        <v/>
      </c>
      <c r="L212" s="39">
        <f>IFERROR(IF(SMALL(Grids!$EE$12:$GQ$111,$M$7+203)&gt;=PEND_TO,"",SMALL(Grids!$EE$12:$GQ$111,$M$7+203)),"")</f>
        <v/>
      </c>
      <c r="M212" s="39">
        <f>IF($L212="","",INT($L212/1000000000))</f>
        <v/>
      </c>
      <c r="N212" s="39">
        <f>IF($L212="","",INT(($L212-INT($L212/1000000)*1000000)/1000))</f>
        <v/>
      </c>
      <c r="O212" s="39">
        <f>IF($L212="","",$L212-INT($L212/1000)*1000)</f>
        <v/>
      </c>
      <c r="P212" s="39">
        <f>IF($L212="","",INT(($L212-INT($L212/1000000000)*1000000000)/100000000))</f>
        <v/>
      </c>
    </row>
    <row r="213">
      <c r="B213" s="42">
        <f>IF($L213="","",$M213)</f>
        <v/>
      </c>
      <c r="C213" s="22">
        <f>IF($L213="","",INDEX(HSI!$C$7:$C$106,$N213))</f>
        <v/>
      </c>
      <c r="D213" s="22">
        <f>IF($L213="","",INDEX(HSI!$D$7:$D$106,$N213))</f>
        <v/>
      </c>
      <c r="E213" s="43">
        <f>IF($L213="","",IF($P213=0,"TBA",IFERROR(INDEX(Grids!$C$12:$BO$111,$N213,$O213),"-")))</f>
        <v/>
      </c>
      <c r="F213" s="22">
        <f>IF($L213="","",INDEX(HSI!$F$7:$F$106,$N213))</f>
        <v/>
      </c>
      <c r="G213" s="43">
        <f>IF($L213="","",IF($P213=0,"TBA",IFERROR(INDEX(Grids!$BQ$12:$EC$111,$N213,$O213),"-")))</f>
        <v/>
      </c>
      <c r="H213" s="44">
        <f>IF($L213="","",SUM($G$10:$G213))</f>
        <v/>
      </c>
      <c r="I213" s="45">
        <f>IF($L213="","",IF(INT(($L213-INT($L213/10000000)*10000000)/1000000)=0,"Bloomberg projection",IF($P213=1,"ANNOUNCED","ANNOUNCED - amount TBA")))</f>
        <v/>
      </c>
      <c r="J213" s="46">
        <f>IF($L213="","",IF((OV_SWITCH="ON")*(COUNTIFS(OVR_TICKERS,INDEX(HSI!$C$7:$C$106,$N213),OVR_BASE,"&gt;=0")&gt;0)&gt;0,"stock overridden",""))</f>
        <v/>
      </c>
      <c r="L213" s="39">
        <f>IFERROR(IF(SMALL(Grids!$EE$12:$GQ$111,$M$7+204)&gt;=PEND_TO,"",SMALL(Grids!$EE$12:$GQ$111,$M$7+204)),"")</f>
        <v/>
      </c>
      <c r="M213" s="39">
        <f>IF($L213="","",INT($L213/1000000000))</f>
        <v/>
      </c>
      <c r="N213" s="39">
        <f>IF($L213="","",INT(($L213-INT($L213/1000000)*1000000)/1000))</f>
        <v/>
      </c>
      <c r="O213" s="39">
        <f>IF($L213="","",$L213-INT($L213/1000)*1000)</f>
        <v/>
      </c>
      <c r="P213" s="39">
        <f>IF($L213="","",INT(($L213-INT($L213/1000000000)*1000000000)/100000000))</f>
        <v/>
      </c>
    </row>
    <row r="214">
      <c r="B214" s="42">
        <f>IF($L214="","",$M214)</f>
        <v/>
      </c>
      <c r="C214" s="22">
        <f>IF($L214="","",INDEX(HSI!$C$7:$C$106,$N214))</f>
        <v/>
      </c>
      <c r="D214" s="22">
        <f>IF($L214="","",INDEX(HSI!$D$7:$D$106,$N214))</f>
        <v/>
      </c>
      <c r="E214" s="43">
        <f>IF($L214="","",IF($P214=0,"TBA",IFERROR(INDEX(Grids!$C$12:$BO$111,$N214,$O214),"-")))</f>
        <v/>
      </c>
      <c r="F214" s="22">
        <f>IF($L214="","",INDEX(HSI!$F$7:$F$106,$N214))</f>
        <v/>
      </c>
      <c r="G214" s="43">
        <f>IF($L214="","",IF($P214=0,"TBA",IFERROR(INDEX(Grids!$BQ$12:$EC$111,$N214,$O214),"-")))</f>
        <v/>
      </c>
      <c r="H214" s="44">
        <f>IF($L214="","",SUM($G$10:$G214))</f>
        <v/>
      </c>
      <c r="I214" s="45">
        <f>IF($L214="","",IF(INT(($L214-INT($L214/10000000)*10000000)/1000000)=0,"Bloomberg projection",IF($P214=1,"ANNOUNCED","ANNOUNCED - amount TBA")))</f>
        <v/>
      </c>
      <c r="J214" s="46">
        <f>IF($L214="","",IF((OV_SWITCH="ON")*(COUNTIFS(OVR_TICKERS,INDEX(HSI!$C$7:$C$106,$N214),OVR_BASE,"&gt;=0")&gt;0)&gt;0,"stock overridden",""))</f>
        <v/>
      </c>
      <c r="L214" s="39">
        <f>IFERROR(IF(SMALL(Grids!$EE$12:$GQ$111,$M$7+205)&gt;=PEND_TO,"",SMALL(Grids!$EE$12:$GQ$111,$M$7+205)),"")</f>
        <v/>
      </c>
      <c r="M214" s="39">
        <f>IF($L214="","",INT($L214/1000000000))</f>
        <v/>
      </c>
      <c r="N214" s="39">
        <f>IF($L214="","",INT(($L214-INT($L214/1000000)*1000000)/1000))</f>
        <v/>
      </c>
      <c r="O214" s="39">
        <f>IF($L214="","",$L214-INT($L214/1000)*1000)</f>
        <v/>
      </c>
      <c r="P214" s="39">
        <f>IF($L214="","",INT(($L214-INT($L214/1000000000)*1000000000)/100000000))</f>
        <v/>
      </c>
    </row>
    <row r="215">
      <c r="B215" s="42">
        <f>IF($L215="","",$M215)</f>
        <v/>
      </c>
      <c r="C215" s="22">
        <f>IF($L215="","",INDEX(HSI!$C$7:$C$106,$N215))</f>
        <v/>
      </c>
      <c r="D215" s="22">
        <f>IF($L215="","",INDEX(HSI!$D$7:$D$106,$N215))</f>
        <v/>
      </c>
      <c r="E215" s="43">
        <f>IF($L215="","",IF($P215=0,"TBA",IFERROR(INDEX(Grids!$C$12:$BO$111,$N215,$O215),"-")))</f>
        <v/>
      </c>
      <c r="F215" s="22">
        <f>IF($L215="","",INDEX(HSI!$F$7:$F$106,$N215))</f>
        <v/>
      </c>
      <c r="G215" s="43">
        <f>IF($L215="","",IF($P215=0,"TBA",IFERROR(INDEX(Grids!$BQ$12:$EC$111,$N215,$O215),"-")))</f>
        <v/>
      </c>
      <c r="H215" s="44">
        <f>IF($L215="","",SUM($G$10:$G215))</f>
        <v/>
      </c>
      <c r="I215" s="45">
        <f>IF($L215="","",IF(INT(($L215-INT($L215/10000000)*10000000)/1000000)=0,"Bloomberg projection",IF($P215=1,"ANNOUNCED","ANNOUNCED - amount TBA")))</f>
        <v/>
      </c>
      <c r="J215" s="46">
        <f>IF($L215="","",IF((OV_SWITCH="ON")*(COUNTIFS(OVR_TICKERS,INDEX(HSI!$C$7:$C$106,$N215),OVR_BASE,"&gt;=0")&gt;0)&gt;0,"stock overridden",""))</f>
        <v/>
      </c>
      <c r="L215" s="39">
        <f>IFERROR(IF(SMALL(Grids!$EE$12:$GQ$111,$M$7+206)&gt;=PEND_TO,"",SMALL(Grids!$EE$12:$GQ$111,$M$7+206)),"")</f>
        <v/>
      </c>
      <c r="M215" s="39">
        <f>IF($L215="","",INT($L215/1000000000))</f>
        <v/>
      </c>
      <c r="N215" s="39">
        <f>IF($L215="","",INT(($L215-INT($L215/1000000)*1000000)/1000))</f>
        <v/>
      </c>
      <c r="O215" s="39">
        <f>IF($L215="","",$L215-INT($L215/1000)*1000)</f>
        <v/>
      </c>
      <c r="P215" s="39">
        <f>IF($L215="","",INT(($L215-INT($L215/1000000000)*1000000000)/100000000))</f>
        <v/>
      </c>
    </row>
    <row r="216">
      <c r="B216" s="42">
        <f>IF($L216="","",$M216)</f>
        <v/>
      </c>
      <c r="C216" s="22">
        <f>IF($L216="","",INDEX(HSI!$C$7:$C$106,$N216))</f>
        <v/>
      </c>
      <c r="D216" s="22">
        <f>IF($L216="","",INDEX(HSI!$D$7:$D$106,$N216))</f>
        <v/>
      </c>
      <c r="E216" s="43">
        <f>IF($L216="","",IF($P216=0,"TBA",IFERROR(INDEX(Grids!$C$12:$BO$111,$N216,$O216),"-")))</f>
        <v/>
      </c>
      <c r="F216" s="22">
        <f>IF($L216="","",INDEX(HSI!$F$7:$F$106,$N216))</f>
        <v/>
      </c>
      <c r="G216" s="43">
        <f>IF($L216="","",IF($P216=0,"TBA",IFERROR(INDEX(Grids!$BQ$12:$EC$111,$N216,$O216),"-")))</f>
        <v/>
      </c>
      <c r="H216" s="44">
        <f>IF($L216="","",SUM($G$10:$G216))</f>
        <v/>
      </c>
      <c r="I216" s="45">
        <f>IF($L216="","",IF(INT(($L216-INT($L216/10000000)*10000000)/1000000)=0,"Bloomberg projection",IF($P216=1,"ANNOUNCED","ANNOUNCED - amount TBA")))</f>
        <v/>
      </c>
      <c r="J216" s="46">
        <f>IF($L216="","",IF((OV_SWITCH="ON")*(COUNTIFS(OVR_TICKERS,INDEX(HSI!$C$7:$C$106,$N216),OVR_BASE,"&gt;=0")&gt;0)&gt;0,"stock overridden",""))</f>
        <v/>
      </c>
      <c r="L216" s="39">
        <f>IFERROR(IF(SMALL(Grids!$EE$12:$GQ$111,$M$7+207)&gt;=PEND_TO,"",SMALL(Grids!$EE$12:$GQ$111,$M$7+207)),"")</f>
        <v/>
      </c>
      <c r="M216" s="39">
        <f>IF($L216="","",INT($L216/1000000000))</f>
        <v/>
      </c>
      <c r="N216" s="39">
        <f>IF($L216="","",INT(($L216-INT($L216/1000000)*1000000)/1000))</f>
        <v/>
      </c>
      <c r="O216" s="39">
        <f>IF($L216="","",$L216-INT($L216/1000)*1000)</f>
        <v/>
      </c>
      <c r="P216" s="39">
        <f>IF($L216="","",INT(($L216-INT($L216/1000000000)*1000000000)/100000000))</f>
        <v/>
      </c>
    </row>
    <row r="217">
      <c r="B217" s="42">
        <f>IF($L217="","",$M217)</f>
        <v/>
      </c>
      <c r="C217" s="22">
        <f>IF($L217="","",INDEX(HSI!$C$7:$C$106,$N217))</f>
        <v/>
      </c>
      <c r="D217" s="22">
        <f>IF($L217="","",INDEX(HSI!$D$7:$D$106,$N217))</f>
        <v/>
      </c>
      <c r="E217" s="43">
        <f>IF($L217="","",IF($P217=0,"TBA",IFERROR(INDEX(Grids!$C$12:$BO$111,$N217,$O217),"-")))</f>
        <v/>
      </c>
      <c r="F217" s="22">
        <f>IF($L217="","",INDEX(HSI!$F$7:$F$106,$N217))</f>
        <v/>
      </c>
      <c r="G217" s="43">
        <f>IF($L217="","",IF($P217=0,"TBA",IFERROR(INDEX(Grids!$BQ$12:$EC$111,$N217,$O217),"-")))</f>
        <v/>
      </c>
      <c r="H217" s="44">
        <f>IF($L217="","",SUM($G$10:$G217))</f>
        <v/>
      </c>
      <c r="I217" s="45">
        <f>IF($L217="","",IF(INT(($L217-INT($L217/10000000)*10000000)/1000000)=0,"Bloomberg projection",IF($P217=1,"ANNOUNCED","ANNOUNCED - amount TBA")))</f>
        <v/>
      </c>
      <c r="J217" s="46">
        <f>IF($L217="","",IF((OV_SWITCH="ON")*(COUNTIFS(OVR_TICKERS,INDEX(HSI!$C$7:$C$106,$N217),OVR_BASE,"&gt;=0")&gt;0)&gt;0,"stock overridden",""))</f>
        <v/>
      </c>
      <c r="L217" s="39">
        <f>IFERROR(IF(SMALL(Grids!$EE$12:$GQ$111,$M$7+208)&gt;=PEND_TO,"",SMALL(Grids!$EE$12:$GQ$111,$M$7+208)),"")</f>
        <v/>
      </c>
      <c r="M217" s="39">
        <f>IF($L217="","",INT($L217/1000000000))</f>
        <v/>
      </c>
      <c r="N217" s="39">
        <f>IF($L217="","",INT(($L217-INT($L217/1000000)*1000000)/1000))</f>
        <v/>
      </c>
      <c r="O217" s="39">
        <f>IF($L217="","",$L217-INT($L217/1000)*1000)</f>
        <v/>
      </c>
      <c r="P217" s="39">
        <f>IF($L217="","",INT(($L217-INT($L217/1000000000)*1000000000)/100000000))</f>
        <v/>
      </c>
    </row>
    <row r="218">
      <c r="B218" s="42">
        <f>IF($L218="","",$M218)</f>
        <v/>
      </c>
      <c r="C218" s="22">
        <f>IF($L218="","",INDEX(HSI!$C$7:$C$106,$N218))</f>
        <v/>
      </c>
      <c r="D218" s="22">
        <f>IF($L218="","",INDEX(HSI!$D$7:$D$106,$N218))</f>
        <v/>
      </c>
      <c r="E218" s="43">
        <f>IF($L218="","",IF($P218=0,"TBA",IFERROR(INDEX(Grids!$C$12:$BO$111,$N218,$O218),"-")))</f>
        <v/>
      </c>
      <c r="F218" s="22">
        <f>IF($L218="","",INDEX(HSI!$F$7:$F$106,$N218))</f>
        <v/>
      </c>
      <c r="G218" s="43">
        <f>IF($L218="","",IF($P218=0,"TBA",IFERROR(INDEX(Grids!$BQ$12:$EC$111,$N218,$O218),"-")))</f>
        <v/>
      </c>
      <c r="H218" s="44">
        <f>IF($L218="","",SUM($G$10:$G218))</f>
        <v/>
      </c>
      <c r="I218" s="45">
        <f>IF($L218="","",IF(INT(($L218-INT($L218/10000000)*10000000)/1000000)=0,"Bloomberg projection",IF($P218=1,"ANNOUNCED","ANNOUNCED - amount TBA")))</f>
        <v/>
      </c>
      <c r="J218" s="46">
        <f>IF($L218="","",IF((OV_SWITCH="ON")*(COUNTIFS(OVR_TICKERS,INDEX(HSI!$C$7:$C$106,$N218),OVR_BASE,"&gt;=0")&gt;0)&gt;0,"stock overridden",""))</f>
        <v/>
      </c>
      <c r="L218" s="39">
        <f>IFERROR(IF(SMALL(Grids!$EE$12:$GQ$111,$M$7+209)&gt;=PEND_TO,"",SMALL(Grids!$EE$12:$GQ$111,$M$7+209)),"")</f>
        <v/>
      </c>
      <c r="M218" s="39">
        <f>IF($L218="","",INT($L218/1000000000))</f>
        <v/>
      </c>
      <c r="N218" s="39">
        <f>IF($L218="","",INT(($L218-INT($L218/1000000)*1000000)/1000))</f>
        <v/>
      </c>
      <c r="O218" s="39">
        <f>IF($L218="","",$L218-INT($L218/1000)*1000)</f>
        <v/>
      </c>
      <c r="P218" s="39">
        <f>IF($L218="","",INT(($L218-INT($L218/1000000000)*1000000000)/100000000))</f>
        <v/>
      </c>
    </row>
    <row r="219">
      <c r="B219" s="42">
        <f>IF($L219="","",$M219)</f>
        <v/>
      </c>
      <c r="C219" s="22">
        <f>IF($L219="","",INDEX(HSI!$C$7:$C$106,$N219))</f>
        <v/>
      </c>
      <c r="D219" s="22">
        <f>IF($L219="","",INDEX(HSI!$D$7:$D$106,$N219))</f>
        <v/>
      </c>
      <c r="E219" s="43">
        <f>IF($L219="","",IF($P219=0,"TBA",IFERROR(INDEX(Grids!$C$12:$BO$111,$N219,$O219),"-")))</f>
        <v/>
      </c>
      <c r="F219" s="22">
        <f>IF($L219="","",INDEX(HSI!$F$7:$F$106,$N219))</f>
        <v/>
      </c>
      <c r="G219" s="43">
        <f>IF($L219="","",IF($P219=0,"TBA",IFERROR(INDEX(Grids!$BQ$12:$EC$111,$N219,$O219),"-")))</f>
        <v/>
      </c>
      <c r="H219" s="44">
        <f>IF($L219="","",SUM($G$10:$G219))</f>
        <v/>
      </c>
      <c r="I219" s="45">
        <f>IF($L219="","",IF(INT(($L219-INT($L219/10000000)*10000000)/1000000)=0,"Bloomberg projection",IF($P219=1,"ANNOUNCED","ANNOUNCED - amount TBA")))</f>
        <v/>
      </c>
      <c r="J219" s="46">
        <f>IF($L219="","",IF((OV_SWITCH="ON")*(COUNTIFS(OVR_TICKERS,INDEX(HSI!$C$7:$C$106,$N219),OVR_BASE,"&gt;=0")&gt;0)&gt;0,"stock overridden",""))</f>
        <v/>
      </c>
      <c r="L219" s="39">
        <f>IFERROR(IF(SMALL(Grids!$EE$12:$GQ$111,$M$7+210)&gt;=PEND_TO,"",SMALL(Grids!$EE$12:$GQ$111,$M$7+210)),"")</f>
        <v/>
      </c>
      <c r="M219" s="39">
        <f>IF($L219="","",INT($L219/1000000000))</f>
        <v/>
      </c>
      <c r="N219" s="39">
        <f>IF($L219="","",INT(($L219-INT($L219/1000000)*1000000)/1000))</f>
        <v/>
      </c>
      <c r="O219" s="39">
        <f>IF($L219="","",$L219-INT($L219/1000)*1000)</f>
        <v/>
      </c>
      <c r="P219" s="39">
        <f>IF($L219="","",INT(($L219-INT($L219/1000000000)*1000000000)/100000000))</f>
        <v/>
      </c>
    </row>
    <row r="220">
      <c r="B220" s="42">
        <f>IF($L220="","",$M220)</f>
        <v/>
      </c>
      <c r="C220" s="22">
        <f>IF($L220="","",INDEX(HSI!$C$7:$C$106,$N220))</f>
        <v/>
      </c>
      <c r="D220" s="22">
        <f>IF($L220="","",INDEX(HSI!$D$7:$D$106,$N220))</f>
        <v/>
      </c>
      <c r="E220" s="43">
        <f>IF($L220="","",IF($P220=0,"TBA",IFERROR(INDEX(Grids!$C$12:$BO$111,$N220,$O220),"-")))</f>
        <v/>
      </c>
      <c r="F220" s="22">
        <f>IF($L220="","",INDEX(HSI!$F$7:$F$106,$N220))</f>
        <v/>
      </c>
      <c r="G220" s="43">
        <f>IF($L220="","",IF($P220=0,"TBA",IFERROR(INDEX(Grids!$BQ$12:$EC$111,$N220,$O220),"-")))</f>
        <v/>
      </c>
      <c r="H220" s="44">
        <f>IF($L220="","",SUM($G$10:$G220))</f>
        <v/>
      </c>
      <c r="I220" s="45">
        <f>IF($L220="","",IF(INT(($L220-INT($L220/10000000)*10000000)/1000000)=0,"Bloomberg projection",IF($P220=1,"ANNOUNCED","ANNOUNCED - amount TBA")))</f>
        <v/>
      </c>
      <c r="J220" s="46">
        <f>IF($L220="","",IF((OV_SWITCH="ON")*(COUNTIFS(OVR_TICKERS,INDEX(HSI!$C$7:$C$106,$N220),OVR_BASE,"&gt;=0")&gt;0)&gt;0,"stock overridden",""))</f>
        <v/>
      </c>
      <c r="L220" s="39">
        <f>IFERROR(IF(SMALL(Grids!$EE$12:$GQ$111,$M$7+211)&gt;=PEND_TO,"",SMALL(Grids!$EE$12:$GQ$111,$M$7+211)),"")</f>
        <v/>
      </c>
      <c r="M220" s="39">
        <f>IF($L220="","",INT($L220/1000000000))</f>
        <v/>
      </c>
      <c r="N220" s="39">
        <f>IF($L220="","",INT(($L220-INT($L220/1000000)*1000000)/1000))</f>
        <v/>
      </c>
      <c r="O220" s="39">
        <f>IF($L220="","",$L220-INT($L220/1000)*1000)</f>
        <v/>
      </c>
      <c r="P220" s="39">
        <f>IF($L220="","",INT(($L220-INT($L220/1000000000)*1000000000)/100000000))</f>
        <v/>
      </c>
    </row>
    <row r="221">
      <c r="B221" s="42">
        <f>IF($L221="","",$M221)</f>
        <v/>
      </c>
      <c r="C221" s="22">
        <f>IF($L221="","",INDEX(HSI!$C$7:$C$106,$N221))</f>
        <v/>
      </c>
      <c r="D221" s="22">
        <f>IF($L221="","",INDEX(HSI!$D$7:$D$106,$N221))</f>
        <v/>
      </c>
      <c r="E221" s="43">
        <f>IF($L221="","",IF($P221=0,"TBA",IFERROR(INDEX(Grids!$C$12:$BO$111,$N221,$O221),"-")))</f>
        <v/>
      </c>
      <c r="F221" s="22">
        <f>IF($L221="","",INDEX(HSI!$F$7:$F$106,$N221))</f>
        <v/>
      </c>
      <c r="G221" s="43">
        <f>IF($L221="","",IF($P221=0,"TBA",IFERROR(INDEX(Grids!$BQ$12:$EC$111,$N221,$O221),"-")))</f>
        <v/>
      </c>
      <c r="H221" s="44">
        <f>IF($L221="","",SUM($G$10:$G221))</f>
        <v/>
      </c>
      <c r="I221" s="45">
        <f>IF($L221="","",IF(INT(($L221-INT($L221/10000000)*10000000)/1000000)=0,"Bloomberg projection",IF($P221=1,"ANNOUNCED","ANNOUNCED - amount TBA")))</f>
        <v/>
      </c>
      <c r="J221" s="46">
        <f>IF($L221="","",IF((OV_SWITCH="ON")*(COUNTIFS(OVR_TICKERS,INDEX(HSI!$C$7:$C$106,$N221),OVR_BASE,"&gt;=0")&gt;0)&gt;0,"stock overridden",""))</f>
        <v/>
      </c>
      <c r="L221" s="39">
        <f>IFERROR(IF(SMALL(Grids!$EE$12:$GQ$111,$M$7+212)&gt;=PEND_TO,"",SMALL(Grids!$EE$12:$GQ$111,$M$7+212)),"")</f>
        <v/>
      </c>
      <c r="M221" s="39">
        <f>IF($L221="","",INT($L221/1000000000))</f>
        <v/>
      </c>
      <c r="N221" s="39">
        <f>IF($L221="","",INT(($L221-INT($L221/1000000)*1000000)/1000))</f>
        <v/>
      </c>
      <c r="O221" s="39">
        <f>IF($L221="","",$L221-INT($L221/1000)*1000)</f>
        <v/>
      </c>
      <c r="P221" s="39">
        <f>IF($L221="","",INT(($L221-INT($L221/1000000000)*1000000000)/100000000))</f>
        <v/>
      </c>
    </row>
    <row r="222">
      <c r="B222" s="42">
        <f>IF($L222="","",$M222)</f>
        <v/>
      </c>
      <c r="C222" s="22">
        <f>IF($L222="","",INDEX(HSI!$C$7:$C$106,$N222))</f>
        <v/>
      </c>
      <c r="D222" s="22">
        <f>IF($L222="","",INDEX(HSI!$D$7:$D$106,$N222))</f>
        <v/>
      </c>
      <c r="E222" s="43">
        <f>IF($L222="","",IF($P222=0,"TBA",IFERROR(INDEX(Grids!$C$12:$BO$111,$N222,$O222),"-")))</f>
        <v/>
      </c>
      <c r="F222" s="22">
        <f>IF($L222="","",INDEX(HSI!$F$7:$F$106,$N222))</f>
        <v/>
      </c>
      <c r="G222" s="43">
        <f>IF($L222="","",IF($P222=0,"TBA",IFERROR(INDEX(Grids!$BQ$12:$EC$111,$N222,$O222),"-")))</f>
        <v/>
      </c>
      <c r="H222" s="44">
        <f>IF($L222="","",SUM($G$10:$G222))</f>
        <v/>
      </c>
      <c r="I222" s="45">
        <f>IF($L222="","",IF(INT(($L222-INT($L222/10000000)*10000000)/1000000)=0,"Bloomberg projection",IF($P222=1,"ANNOUNCED","ANNOUNCED - amount TBA")))</f>
        <v/>
      </c>
      <c r="J222" s="46">
        <f>IF($L222="","",IF((OV_SWITCH="ON")*(COUNTIFS(OVR_TICKERS,INDEX(HSI!$C$7:$C$106,$N222),OVR_BASE,"&gt;=0")&gt;0)&gt;0,"stock overridden",""))</f>
        <v/>
      </c>
      <c r="L222" s="39">
        <f>IFERROR(IF(SMALL(Grids!$EE$12:$GQ$111,$M$7+213)&gt;=PEND_TO,"",SMALL(Grids!$EE$12:$GQ$111,$M$7+213)),"")</f>
        <v/>
      </c>
      <c r="M222" s="39">
        <f>IF($L222="","",INT($L222/1000000000))</f>
        <v/>
      </c>
      <c r="N222" s="39">
        <f>IF($L222="","",INT(($L222-INT($L222/1000000)*1000000)/1000))</f>
        <v/>
      </c>
      <c r="O222" s="39">
        <f>IF($L222="","",$L222-INT($L222/1000)*1000)</f>
        <v/>
      </c>
      <c r="P222" s="39">
        <f>IF($L222="","",INT(($L222-INT($L222/1000000000)*1000000000)/100000000))</f>
        <v/>
      </c>
    </row>
    <row r="223">
      <c r="B223" s="42">
        <f>IF($L223="","",$M223)</f>
        <v/>
      </c>
      <c r="C223" s="22">
        <f>IF($L223="","",INDEX(HSI!$C$7:$C$106,$N223))</f>
        <v/>
      </c>
      <c r="D223" s="22">
        <f>IF($L223="","",INDEX(HSI!$D$7:$D$106,$N223))</f>
        <v/>
      </c>
      <c r="E223" s="43">
        <f>IF($L223="","",IF($P223=0,"TBA",IFERROR(INDEX(Grids!$C$12:$BO$111,$N223,$O223),"-")))</f>
        <v/>
      </c>
      <c r="F223" s="22">
        <f>IF($L223="","",INDEX(HSI!$F$7:$F$106,$N223))</f>
        <v/>
      </c>
      <c r="G223" s="43">
        <f>IF($L223="","",IF($P223=0,"TBA",IFERROR(INDEX(Grids!$BQ$12:$EC$111,$N223,$O223),"-")))</f>
        <v/>
      </c>
      <c r="H223" s="44">
        <f>IF($L223="","",SUM($G$10:$G223))</f>
        <v/>
      </c>
      <c r="I223" s="45">
        <f>IF($L223="","",IF(INT(($L223-INT($L223/10000000)*10000000)/1000000)=0,"Bloomberg projection",IF($P223=1,"ANNOUNCED","ANNOUNCED - amount TBA")))</f>
        <v/>
      </c>
      <c r="J223" s="46">
        <f>IF($L223="","",IF((OV_SWITCH="ON")*(COUNTIFS(OVR_TICKERS,INDEX(HSI!$C$7:$C$106,$N223),OVR_BASE,"&gt;=0")&gt;0)&gt;0,"stock overridden",""))</f>
        <v/>
      </c>
      <c r="L223" s="39">
        <f>IFERROR(IF(SMALL(Grids!$EE$12:$GQ$111,$M$7+214)&gt;=PEND_TO,"",SMALL(Grids!$EE$12:$GQ$111,$M$7+214)),"")</f>
        <v/>
      </c>
      <c r="M223" s="39">
        <f>IF($L223="","",INT($L223/1000000000))</f>
        <v/>
      </c>
      <c r="N223" s="39">
        <f>IF($L223="","",INT(($L223-INT($L223/1000000)*1000000)/1000))</f>
        <v/>
      </c>
      <c r="O223" s="39">
        <f>IF($L223="","",$L223-INT($L223/1000)*1000)</f>
        <v/>
      </c>
      <c r="P223" s="39">
        <f>IF($L223="","",INT(($L223-INT($L223/1000000000)*1000000000)/100000000))</f>
        <v/>
      </c>
    </row>
    <row r="224">
      <c r="B224" s="42">
        <f>IF($L224="","",$M224)</f>
        <v/>
      </c>
      <c r="C224" s="22">
        <f>IF($L224="","",INDEX(HSI!$C$7:$C$106,$N224))</f>
        <v/>
      </c>
      <c r="D224" s="22">
        <f>IF($L224="","",INDEX(HSI!$D$7:$D$106,$N224))</f>
        <v/>
      </c>
      <c r="E224" s="43">
        <f>IF($L224="","",IF($P224=0,"TBA",IFERROR(INDEX(Grids!$C$12:$BO$111,$N224,$O224),"-")))</f>
        <v/>
      </c>
      <c r="F224" s="22">
        <f>IF($L224="","",INDEX(HSI!$F$7:$F$106,$N224))</f>
        <v/>
      </c>
      <c r="G224" s="43">
        <f>IF($L224="","",IF($P224=0,"TBA",IFERROR(INDEX(Grids!$BQ$12:$EC$111,$N224,$O224),"-")))</f>
        <v/>
      </c>
      <c r="H224" s="44">
        <f>IF($L224="","",SUM($G$10:$G224))</f>
        <v/>
      </c>
      <c r="I224" s="45">
        <f>IF($L224="","",IF(INT(($L224-INT($L224/10000000)*10000000)/1000000)=0,"Bloomberg projection",IF($P224=1,"ANNOUNCED","ANNOUNCED - amount TBA")))</f>
        <v/>
      </c>
      <c r="J224" s="46">
        <f>IF($L224="","",IF((OV_SWITCH="ON")*(COUNTIFS(OVR_TICKERS,INDEX(HSI!$C$7:$C$106,$N224),OVR_BASE,"&gt;=0")&gt;0)&gt;0,"stock overridden",""))</f>
        <v/>
      </c>
      <c r="L224" s="39">
        <f>IFERROR(IF(SMALL(Grids!$EE$12:$GQ$111,$M$7+215)&gt;=PEND_TO,"",SMALL(Grids!$EE$12:$GQ$111,$M$7+215)),"")</f>
        <v/>
      </c>
      <c r="M224" s="39">
        <f>IF($L224="","",INT($L224/1000000000))</f>
        <v/>
      </c>
      <c r="N224" s="39">
        <f>IF($L224="","",INT(($L224-INT($L224/1000000)*1000000)/1000))</f>
        <v/>
      </c>
      <c r="O224" s="39">
        <f>IF($L224="","",$L224-INT($L224/1000)*1000)</f>
        <v/>
      </c>
      <c r="P224" s="39">
        <f>IF($L224="","",INT(($L224-INT($L224/1000000000)*1000000000)/100000000))</f>
        <v/>
      </c>
    </row>
    <row r="225">
      <c r="B225" s="42">
        <f>IF($L225="","",$M225)</f>
        <v/>
      </c>
      <c r="C225" s="22">
        <f>IF($L225="","",INDEX(HSI!$C$7:$C$106,$N225))</f>
        <v/>
      </c>
      <c r="D225" s="22">
        <f>IF($L225="","",INDEX(HSI!$D$7:$D$106,$N225))</f>
        <v/>
      </c>
      <c r="E225" s="43">
        <f>IF($L225="","",IF($P225=0,"TBA",IFERROR(INDEX(Grids!$C$12:$BO$111,$N225,$O225),"-")))</f>
        <v/>
      </c>
      <c r="F225" s="22">
        <f>IF($L225="","",INDEX(HSI!$F$7:$F$106,$N225))</f>
        <v/>
      </c>
      <c r="G225" s="43">
        <f>IF($L225="","",IF($P225=0,"TBA",IFERROR(INDEX(Grids!$BQ$12:$EC$111,$N225,$O225),"-")))</f>
        <v/>
      </c>
      <c r="H225" s="44">
        <f>IF($L225="","",SUM($G$10:$G225))</f>
        <v/>
      </c>
      <c r="I225" s="45">
        <f>IF($L225="","",IF(INT(($L225-INT($L225/10000000)*10000000)/1000000)=0,"Bloomberg projection",IF($P225=1,"ANNOUNCED","ANNOUNCED - amount TBA")))</f>
        <v/>
      </c>
      <c r="J225" s="46">
        <f>IF($L225="","",IF((OV_SWITCH="ON")*(COUNTIFS(OVR_TICKERS,INDEX(HSI!$C$7:$C$106,$N225),OVR_BASE,"&gt;=0")&gt;0)&gt;0,"stock overridden",""))</f>
        <v/>
      </c>
      <c r="L225" s="39">
        <f>IFERROR(IF(SMALL(Grids!$EE$12:$GQ$111,$M$7+216)&gt;=PEND_TO,"",SMALL(Grids!$EE$12:$GQ$111,$M$7+216)),"")</f>
        <v/>
      </c>
      <c r="M225" s="39">
        <f>IF($L225="","",INT($L225/1000000000))</f>
        <v/>
      </c>
      <c r="N225" s="39">
        <f>IF($L225="","",INT(($L225-INT($L225/1000000)*1000000)/1000))</f>
        <v/>
      </c>
      <c r="O225" s="39">
        <f>IF($L225="","",$L225-INT($L225/1000)*1000)</f>
        <v/>
      </c>
      <c r="P225" s="39">
        <f>IF($L225="","",INT(($L225-INT($L225/1000000000)*1000000000)/100000000))</f>
        <v/>
      </c>
    </row>
    <row r="226">
      <c r="B226" s="42">
        <f>IF($L226="","",$M226)</f>
        <v/>
      </c>
      <c r="C226" s="22">
        <f>IF($L226="","",INDEX(HSI!$C$7:$C$106,$N226))</f>
        <v/>
      </c>
      <c r="D226" s="22">
        <f>IF($L226="","",INDEX(HSI!$D$7:$D$106,$N226))</f>
        <v/>
      </c>
      <c r="E226" s="43">
        <f>IF($L226="","",IF($P226=0,"TBA",IFERROR(INDEX(Grids!$C$12:$BO$111,$N226,$O226),"-")))</f>
        <v/>
      </c>
      <c r="F226" s="22">
        <f>IF($L226="","",INDEX(HSI!$F$7:$F$106,$N226))</f>
        <v/>
      </c>
      <c r="G226" s="43">
        <f>IF($L226="","",IF($P226=0,"TBA",IFERROR(INDEX(Grids!$BQ$12:$EC$111,$N226,$O226),"-")))</f>
        <v/>
      </c>
      <c r="H226" s="44">
        <f>IF($L226="","",SUM($G$10:$G226))</f>
        <v/>
      </c>
      <c r="I226" s="45">
        <f>IF($L226="","",IF(INT(($L226-INT($L226/10000000)*10000000)/1000000)=0,"Bloomberg projection",IF($P226=1,"ANNOUNCED","ANNOUNCED - amount TBA")))</f>
        <v/>
      </c>
      <c r="J226" s="46">
        <f>IF($L226="","",IF((OV_SWITCH="ON")*(COUNTIFS(OVR_TICKERS,INDEX(HSI!$C$7:$C$106,$N226),OVR_BASE,"&gt;=0")&gt;0)&gt;0,"stock overridden",""))</f>
        <v/>
      </c>
      <c r="L226" s="39">
        <f>IFERROR(IF(SMALL(Grids!$EE$12:$GQ$111,$M$7+217)&gt;=PEND_TO,"",SMALL(Grids!$EE$12:$GQ$111,$M$7+217)),"")</f>
        <v/>
      </c>
      <c r="M226" s="39">
        <f>IF($L226="","",INT($L226/1000000000))</f>
        <v/>
      </c>
      <c r="N226" s="39">
        <f>IF($L226="","",INT(($L226-INT($L226/1000000)*1000000)/1000))</f>
        <v/>
      </c>
      <c r="O226" s="39">
        <f>IF($L226="","",$L226-INT($L226/1000)*1000)</f>
        <v/>
      </c>
      <c r="P226" s="39">
        <f>IF($L226="","",INT(($L226-INT($L226/1000000000)*1000000000)/100000000))</f>
        <v/>
      </c>
    </row>
    <row r="227">
      <c r="B227" s="42">
        <f>IF($L227="","",$M227)</f>
        <v/>
      </c>
      <c r="C227" s="22">
        <f>IF($L227="","",INDEX(HSI!$C$7:$C$106,$N227))</f>
        <v/>
      </c>
      <c r="D227" s="22">
        <f>IF($L227="","",INDEX(HSI!$D$7:$D$106,$N227))</f>
        <v/>
      </c>
      <c r="E227" s="43">
        <f>IF($L227="","",IF($P227=0,"TBA",IFERROR(INDEX(Grids!$C$12:$BO$111,$N227,$O227),"-")))</f>
        <v/>
      </c>
      <c r="F227" s="22">
        <f>IF($L227="","",INDEX(HSI!$F$7:$F$106,$N227))</f>
        <v/>
      </c>
      <c r="G227" s="43">
        <f>IF($L227="","",IF($P227=0,"TBA",IFERROR(INDEX(Grids!$BQ$12:$EC$111,$N227,$O227),"-")))</f>
        <v/>
      </c>
      <c r="H227" s="44">
        <f>IF($L227="","",SUM($G$10:$G227))</f>
        <v/>
      </c>
      <c r="I227" s="45">
        <f>IF($L227="","",IF(INT(($L227-INT($L227/10000000)*10000000)/1000000)=0,"Bloomberg projection",IF($P227=1,"ANNOUNCED","ANNOUNCED - amount TBA")))</f>
        <v/>
      </c>
      <c r="J227" s="46">
        <f>IF($L227="","",IF((OV_SWITCH="ON")*(COUNTIFS(OVR_TICKERS,INDEX(HSI!$C$7:$C$106,$N227),OVR_BASE,"&gt;=0")&gt;0)&gt;0,"stock overridden",""))</f>
        <v/>
      </c>
      <c r="L227" s="39">
        <f>IFERROR(IF(SMALL(Grids!$EE$12:$GQ$111,$M$7+218)&gt;=PEND_TO,"",SMALL(Grids!$EE$12:$GQ$111,$M$7+218)),"")</f>
        <v/>
      </c>
      <c r="M227" s="39">
        <f>IF($L227="","",INT($L227/1000000000))</f>
        <v/>
      </c>
      <c r="N227" s="39">
        <f>IF($L227="","",INT(($L227-INT($L227/1000000)*1000000)/1000))</f>
        <v/>
      </c>
      <c r="O227" s="39">
        <f>IF($L227="","",$L227-INT($L227/1000)*1000)</f>
        <v/>
      </c>
      <c r="P227" s="39">
        <f>IF($L227="","",INT(($L227-INT($L227/1000000000)*1000000000)/100000000))</f>
        <v/>
      </c>
    </row>
    <row r="228">
      <c r="B228" s="42">
        <f>IF($L228="","",$M228)</f>
        <v/>
      </c>
      <c r="C228" s="22">
        <f>IF($L228="","",INDEX(HSI!$C$7:$C$106,$N228))</f>
        <v/>
      </c>
      <c r="D228" s="22">
        <f>IF($L228="","",INDEX(HSI!$D$7:$D$106,$N228))</f>
        <v/>
      </c>
      <c r="E228" s="43">
        <f>IF($L228="","",IF($P228=0,"TBA",IFERROR(INDEX(Grids!$C$12:$BO$111,$N228,$O228),"-")))</f>
        <v/>
      </c>
      <c r="F228" s="22">
        <f>IF($L228="","",INDEX(HSI!$F$7:$F$106,$N228))</f>
        <v/>
      </c>
      <c r="G228" s="43">
        <f>IF($L228="","",IF($P228=0,"TBA",IFERROR(INDEX(Grids!$BQ$12:$EC$111,$N228,$O228),"-")))</f>
        <v/>
      </c>
      <c r="H228" s="44">
        <f>IF($L228="","",SUM($G$10:$G228))</f>
        <v/>
      </c>
      <c r="I228" s="45">
        <f>IF($L228="","",IF(INT(($L228-INT($L228/10000000)*10000000)/1000000)=0,"Bloomberg projection",IF($P228=1,"ANNOUNCED","ANNOUNCED - amount TBA")))</f>
        <v/>
      </c>
      <c r="J228" s="46">
        <f>IF($L228="","",IF((OV_SWITCH="ON")*(COUNTIFS(OVR_TICKERS,INDEX(HSI!$C$7:$C$106,$N228),OVR_BASE,"&gt;=0")&gt;0)&gt;0,"stock overridden",""))</f>
        <v/>
      </c>
      <c r="L228" s="39">
        <f>IFERROR(IF(SMALL(Grids!$EE$12:$GQ$111,$M$7+219)&gt;=PEND_TO,"",SMALL(Grids!$EE$12:$GQ$111,$M$7+219)),"")</f>
        <v/>
      </c>
      <c r="M228" s="39">
        <f>IF($L228="","",INT($L228/1000000000))</f>
        <v/>
      </c>
      <c r="N228" s="39">
        <f>IF($L228="","",INT(($L228-INT($L228/1000000)*1000000)/1000))</f>
        <v/>
      </c>
      <c r="O228" s="39">
        <f>IF($L228="","",$L228-INT($L228/1000)*1000)</f>
        <v/>
      </c>
      <c r="P228" s="39">
        <f>IF($L228="","",INT(($L228-INT($L228/1000000000)*1000000000)/100000000))</f>
        <v/>
      </c>
    </row>
    <row r="229">
      <c r="B229" s="42">
        <f>IF($L229="","",$M229)</f>
        <v/>
      </c>
      <c r="C229" s="22">
        <f>IF($L229="","",INDEX(HSI!$C$7:$C$106,$N229))</f>
        <v/>
      </c>
      <c r="D229" s="22">
        <f>IF($L229="","",INDEX(HSI!$D$7:$D$106,$N229))</f>
        <v/>
      </c>
      <c r="E229" s="43">
        <f>IF($L229="","",IF($P229=0,"TBA",IFERROR(INDEX(Grids!$C$12:$BO$111,$N229,$O229),"-")))</f>
        <v/>
      </c>
      <c r="F229" s="22">
        <f>IF($L229="","",INDEX(HSI!$F$7:$F$106,$N229))</f>
        <v/>
      </c>
      <c r="G229" s="43">
        <f>IF($L229="","",IF($P229=0,"TBA",IFERROR(INDEX(Grids!$BQ$12:$EC$111,$N229,$O229),"-")))</f>
        <v/>
      </c>
      <c r="H229" s="44">
        <f>IF($L229="","",SUM($G$10:$G229))</f>
        <v/>
      </c>
      <c r="I229" s="45">
        <f>IF($L229="","",IF(INT(($L229-INT($L229/10000000)*10000000)/1000000)=0,"Bloomberg projection",IF($P229=1,"ANNOUNCED","ANNOUNCED - amount TBA")))</f>
        <v/>
      </c>
      <c r="J229" s="46">
        <f>IF($L229="","",IF((OV_SWITCH="ON")*(COUNTIFS(OVR_TICKERS,INDEX(HSI!$C$7:$C$106,$N229),OVR_BASE,"&gt;=0")&gt;0)&gt;0,"stock overridden",""))</f>
        <v/>
      </c>
      <c r="L229" s="39">
        <f>IFERROR(IF(SMALL(Grids!$EE$12:$GQ$111,$M$7+220)&gt;=PEND_TO,"",SMALL(Grids!$EE$12:$GQ$111,$M$7+220)),"")</f>
        <v/>
      </c>
      <c r="M229" s="39">
        <f>IF($L229="","",INT($L229/1000000000))</f>
        <v/>
      </c>
      <c r="N229" s="39">
        <f>IF($L229="","",INT(($L229-INT($L229/1000000)*1000000)/1000))</f>
        <v/>
      </c>
      <c r="O229" s="39">
        <f>IF($L229="","",$L229-INT($L229/1000)*1000)</f>
        <v/>
      </c>
      <c r="P229" s="39">
        <f>IF($L229="","",INT(($L229-INT($L229/1000000000)*1000000000)/100000000))</f>
        <v/>
      </c>
    </row>
    <row r="230">
      <c r="B230" s="42">
        <f>IF($L230="","",$M230)</f>
        <v/>
      </c>
      <c r="C230" s="22">
        <f>IF($L230="","",INDEX(HSI!$C$7:$C$106,$N230))</f>
        <v/>
      </c>
      <c r="D230" s="22">
        <f>IF($L230="","",INDEX(HSI!$D$7:$D$106,$N230))</f>
        <v/>
      </c>
      <c r="E230" s="43">
        <f>IF($L230="","",IF($P230=0,"TBA",IFERROR(INDEX(Grids!$C$12:$BO$111,$N230,$O230),"-")))</f>
        <v/>
      </c>
      <c r="F230" s="22">
        <f>IF($L230="","",INDEX(HSI!$F$7:$F$106,$N230))</f>
        <v/>
      </c>
      <c r="G230" s="43">
        <f>IF($L230="","",IF($P230=0,"TBA",IFERROR(INDEX(Grids!$BQ$12:$EC$111,$N230,$O230),"-")))</f>
        <v/>
      </c>
      <c r="H230" s="44">
        <f>IF($L230="","",SUM($G$10:$G230))</f>
        <v/>
      </c>
      <c r="I230" s="45">
        <f>IF($L230="","",IF(INT(($L230-INT($L230/10000000)*10000000)/1000000)=0,"Bloomberg projection",IF($P230=1,"ANNOUNCED","ANNOUNCED - amount TBA")))</f>
        <v/>
      </c>
      <c r="J230" s="46">
        <f>IF($L230="","",IF((OV_SWITCH="ON")*(COUNTIFS(OVR_TICKERS,INDEX(HSI!$C$7:$C$106,$N230),OVR_BASE,"&gt;=0")&gt;0)&gt;0,"stock overridden",""))</f>
        <v/>
      </c>
      <c r="L230" s="39">
        <f>IFERROR(IF(SMALL(Grids!$EE$12:$GQ$111,$M$7+221)&gt;=PEND_TO,"",SMALL(Grids!$EE$12:$GQ$111,$M$7+221)),"")</f>
        <v/>
      </c>
      <c r="M230" s="39">
        <f>IF($L230="","",INT($L230/1000000000))</f>
        <v/>
      </c>
      <c r="N230" s="39">
        <f>IF($L230="","",INT(($L230-INT($L230/1000000)*1000000)/1000))</f>
        <v/>
      </c>
      <c r="O230" s="39">
        <f>IF($L230="","",$L230-INT($L230/1000)*1000)</f>
        <v/>
      </c>
      <c r="P230" s="39">
        <f>IF($L230="","",INT(($L230-INT($L230/1000000000)*1000000000)/100000000))</f>
        <v/>
      </c>
    </row>
    <row r="231">
      <c r="B231" s="42">
        <f>IF($L231="","",$M231)</f>
        <v/>
      </c>
      <c r="C231" s="22">
        <f>IF($L231="","",INDEX(HSI!$C$7:$C$106,$N231))</f>
        <v/>
      </c>
      <c r="D231" s="22">
        <f>IF($L231="","",INDEX(HSI!$D$7:$D$106,$N231))</f>
        <v/>
      </c>
      <c r="E231" s="43">
        <f>IF($L231="","",IF($P231=0,"TBA",IFERROR(INDEX(Grids!$C$12:$BO$111,$N231,$O231),"-")))</f>
        <v/>
      </c>
      <c r="F231" s="22">
        <f>IF($L231="","",INDEX(HSI!$F$7:$F$106,$N231))</f>
        <v/>
      </c>
      <c r="G231" s="43">
        <f>IF($L231="","",IF($P231=0,"TBA",IFERROR(INDEX(Grids!$BQ$12:$EC$111,$N231,$O231),"-")))</f>
        <v/>
      </c>
      <c r="H231" s="44">
        <f>IF($L231="","",SUM($G$10:$G231))</f>
        <v/>
      </c>
      <c r="I231" s="45">
        <f>IF($L231="","",IF(INT(($L231-INT($L231/10000000)*10000000)/1000000)=0,"Bloomberg projection",IF($P231=1,"ANNOUNCED","ANNOUNCED - amount TBA")))</f>
        <v/>
      </c>
      <c r="J231" s="46">
        <f>IF($L231="","",IF((OV_SWITCH="ON")*(COUNTIFS(OVR_TICKERS,INDEX(HSI!$C$7:$C$106,$N231),OVR_BASE,"&gt;=0")&gt;0)&gt;0,"stock overridden",""))</f>
        <v/>
      </c>
      <c r="L231" s="39">
        <f>IFERROR(IF(SMALL(Grids!$EE$12:$GQ$111,$M$7+222)&gt;=PEND_TO,"",SMALL(Grids!$EE$12:$GQ$111,$M$7+222)),"")</f>
        <v/>
      </c>
      <c r="M231" s="39">
        <f>IF($L231="","",INT($L231/1000000000))</f>
        <v/>
      </c>
      <c r="N231" s="39">
        <f>IF($L231="","",INT(($L231-INT($L231/1000000)*1000000)/1000))</f>
        <v/>
      </c>
      <c r="O231" s="39">
        <f>IF($L231="","",$L231-INT($L231/1000)*1000)</f>
        <v/>
      </c>
      <c r="P231" s="39">
        <f>IF($L231="","",INT(($L231-INT($L231/1000000000)*1000000000)/100000000))</f>
        <v/>
      </c>
    </row>
    <row r="232">
      <c r="B232" s="42">
        <f>IF($L232="","",$M232)</f>
        <v/>
      </c>
      <c r="C232" s="22">
        <f>IF($L232="","",INDEX(HSI!$C$7:$C$106,$N232))</f>
        <v/>
      </c>
      <c r="D232" s="22">
        <f>IF($L232="","",INDEX(HSI!$D$7:$D$106,$N232))</f>
        <v/>
      </c>
      <c r="E232" s="43">
        <f>IF($L232="","",IF($P232=0,"TBA",IFERROR(INDEX(Grids!$C$12:$BO$111,$N232,$O232),"-")))</f>
        <v/>
      </c>
      <c r="F232" s="22">
        <f>IF($L232="","",INDEX(HSI!$F$7:$F$106,$N232))</f>
        <v/>
      </c>
      <c r="G232" s="43">
        <f>IF($L232="","",IF($P232=0,"TBA",IFERROR(INDEX(Grids!$BQ$12:$EC$111,$N232,$O232),"-")))</f>
        <v/>
      </c>
      <c r="H232" s="44">
        <f>IF($L232="","",SUM($G$10:$G232))</f>
        <v/>
      </c>
      <c r="I232" s="45">
        <f>IF($L232="","",IF(INT(($L232-INT($L232/10000000)*10000000)/1000000)=0,"Bloomberg projection",IF($P232=1,"ANNOUNCED","ANNOUNCED - amount TBA")))</f>
        <v/>
      </c>
      <c r="J232" s="46">
        <f>IF($L232="","",IF((OV_SWITCH="ON")*(COUNTIFS(OVR_TICKERS,INDEX(HSI!$C$7:$C$106,$N232),OVR_BASE,"&gt;=0")&gt;0)&gt;0,"stock overridden",""))</f>
        <v/>
      </c>
      <c r="L232" s="39">
        <f>IFERROR(IF(SMALL(Grids!$EE$12:$GQ$111,$M$7+223)&gt;=PEND_TO,"",SMALL(Grids!$EE$12:$GQ$111,$M$7+223)),"")</f>
        <v/>
      </c>
      <c r="M232" s="39">
        <f>IF($L232="","",INT($L232/1000000000))</f>
        <v/>
      </c>
      <c r="N232" s="39">
        <f>IF($L232="","",INT(($L232-INT($L232/1000000)*1000000)/1000))</f>
        <v/>
      </c>
      <c r="O232" s="39">
        <f>IF($L232="","",$L232-INT($L232/1000)*1000)</f>
        <v/>
      </c>
      <c r="P232" s="39">
        <f>IF($L232="","",INT(($L232-INT($L232/1000000000)*1000000000)/100000000))</f>
        <v/>
      </c>
    </row>
    <row r="233">
      <c r="B233" s="42">
        <f>IF($L233="","",$M233)</f>
        <v/>
      </c>
      <c r="C233" s="22">
        <f>IF($L233="","",INDEX(HSI!$C$7:$C$106,$N233))</f>
        <v/>
      </c>
      <c r="D233" s="22">
        <f>IF($L233="","",INDEX(HSI!$D$7:$D$106,$N233))</f>
        <v/>
      </c>
      <c r="E233" s="43">
        <f>IF($L233="","",IF($P233=0,"TBA",IFERROR(INDEX(Grids!$C$12:$BO$111,$N233,$O233),"-")))</f>
        <v/>
      </c>
      <c r="F233" s="22">
        <f>IF($L233="","",INDEX(HSI!$F$7:$F$106,$N233))</f>
        <v/>
      </c>
      <c r="G233" s="43">
        <f>IF($L233="","",IF($P233=0,"TBA",IFERROR(INDEX(Grids!$BQ$12:$EC$111,$N233,$O233),"-")))</f>
        <v/>
      </c>
      <c r="H233" s="44">
        <f>IF($L233="","",SUM($G$10:$G233))</f>
        <v/>
      </c>
      <c r="I233" s="45">
        <f>IF($L233="","",IF(INT(($L233-INT($L233/10000000)*10000000)/1000000)=0,"Bloomberg projection",IF($P233=1,"ANNOUNCED","ANNOUNCED - amount TBA")))</f>
        <v/>
      </c>
      <c r="J233" s="46">
        <f>IF($L233="","",IF((OV_SWITCH="ON")*(COUNTIFS(OVR_TICKERS,INDEX(HSI!$C$7:$C$106,$N233),OVR_BASE,"&gt;=0")&gt;0)&gt;0,"stock overridden",""))</f>
        <v/>
      </c>
      <c r="L233" s="39">
        <f>IFERROR(IF(SMALL(Grids!$EE$12:$GQ$111,$M$7+224)&gt;=PEND_TO,"",SMALL(Grids!$EE$12:$GQ$111,$M$7+224)),"")</f>
        <v/>
      </c>
      <c r="M233" s="39">
        <f>IF($L233="","",INT($L233/1000000000))</f>
        <v/>
      </c>
      <c r="N233" s="39">
        <f>IF($L233="","",INT(($L233-INT($L233/1000000)*1000000)/1000))</f>
        <v/>
      </c>
      <c r="O233" s="39">
        <f>IF($L233="","",$L233-INT($L233/1000)*1000)</f>
        <v/>
      </c>
      <c r="P233" s="39">
        <f>IF($L233="","",INT(($L233-INT($L233/1000000000)*1000000000)/100000000))</f>
        <v/>
      </c>
    </row>
    <row r="234">
      <c r="B234" s="42">
        <f>IF($L234="","",$M234)</f>
        <v/>
      </c>
      <c r="C234" s="22">
        <f>IF($L234="","",INDEX(HSI!$C$7:$C$106,$N234))</f>
        <v/>
      </c>
      <c r="D234" s="22">
        <f>IF($L234="","",INDEX(HSI!$D$7:$D$106,$N234))</f>
        <v/>
      </c>
      <c r="E234" s="43">
        <f>IF($L234="","",IF($P234=0,"TBA",IFERROR(INDEX(Grids!$C$12:$BO$111,$N234,$O234),"-")))</f>
        <v/>
      </c>
      <c r="F234" s="22">
        <f>IF($L234="","",INDEX(HSI!$F$7:$F$106,$N234))</f>
        <v/>
      </c>
      <c r="G234" s="43">
        <f>IF($L234="","",IF($P234=0,"TBA",IFERROR(INDEX(Grids!$BQ$12:$EC$111,$N234,$O234),"-")))</f>
        <v/>
      </c>
      <c r="H234" s="44">
        <f>IF($L234="","",SUM($G$10:$G234))</f>
        <v/>
      </c>
      <c r="I234" s="45">
        <f>IF($L234="","",IF(INT(($L234-INT($L234/10000000)*10000000)/1000000)=0,"Bloomberg projection",IF($P234=1,"ANNOUNCED","ANNOUNCED - amount TBA")))</f>
        <v/>
      </c>
      <c r="J234" s="46">
        <f>IF($L234="","",IF((OV_SWITCH="ON")*(COUNTIFS(OVR_TICKERS,INDEX(HSI!$C$7:$C$106,$N234),OVR_BASE,"&gt;=0")&gt;0)&gt;0,"stock overridden",""))</f>
        <v/>
      </c>
      <c r="L234" s="39">
        <f>IFERROR(IF(SMALL(Grids!$EE$12:$GQ$111,$M$7+225)&gt;=PEND_TO,"",SMALL(Grids!$EE$12:$GQ$111,$M$7+225)),"")</f>
        <v/>
      </c>
      <c r="M234" s="39">
        <f>IF($L234="","",INT($L234/1000000000))</f>
        <v/>
      </c>
      <c r="N234" s="39">
        <f>IF($L234="","",INT(($L234-INT($L234/1000000)*1000000)/1000))</f>
        <v/>
      </c>
      <c r="O234" s="39">
        <f>IF($L234="","",$L234-INT($L234/1000)*1000)</f>
        <v/>
      </c>
      <c r="P234" s="39">
        <f>IF($L234="","",INT(($L234-INT($L234/1000000000)*1000000000)/100000000))</f>
        <v/>
      </c>
    </row>
    <row r="235">
      <c r="B235" s="42">
        <f>IF($L235="","",$M235)</f>
        <v/>
      </c>
      <c r="C235" s="22">
        <f>IF($L235="","",INDEX(HSI!$C$7:$C$106,$N235))</f>
        <v/>
      </c>
      <c r="D235" s="22">
        <f>IF($L235="","",INDEX(HSI!$D$7:$D$106,$N235))</f>
        <v/>
      </c>
      <c r="E235" s="43">
        <f>IF($L235="","",IF($P235=0,"TBA",IFERROR(INDEX(Grids!$C$12:$BO$111,$N235,$O235),"-")))</f>
        <v/>
      </c>
      <c r="F235" s="22">
        <f>IF($L235="","",INDEX(HSI!$F$7:$F$106,$N235))</f>
        <v/>
      </c>
      <c r="G235" s="43">
        <f>IF($L235="","",IF($P235=0,"TBA",IFERROR(INDEX(Grids!$BQ$12:$EC$111,$N235,$O235),"-")))</f>
        <v/>
      </c>
      <c r="H235" s="44">
        <f>IF($L235="","",SUM($G$10:$G235))</f>
        <v/>
      </c>
      <c r="I235" s="45">
        <f>IF($L235="","",IF(INT(($L235-INT($L235/10000000)*10000000)/1000000)=0,"Bloomberg projection",IF($P235=1,"ANNOUNCED","ANNOUNCED - amount TBA")))</f>
        <v/>
      </c>
      <c r="J235" s="46">
        <f>IF($L235="","",IF((OV_SWITCH="ON")*(COUNTIFS(OVR_TICKERS,INDEX(HSI!$C$7:$C$106,$N235),OVR_BASE,"&gt;=0")&gt;0)&gt;0,"stock overridden",""))</f>
        <v/>
      </c>
      <c r="L235" s="39">
        <f>IFERROR(IF(SMALL(Grids!$EE$12:$GQ$111,$M$7+226)&gt;=PEND_TO,"",SMALL(Grids!$EE$12:$GQ$111,$M$7+226)),"")</f>
        <v/>
      </c>
      <c r="M235" s="39">
        <f>IF($L235="","",INT($L235/1000000000))</f>
        <v/>
      </c>
      <c r="N235" s="39">
        <f>IF($L235="","",INT(($L235-INT($L235/1000000)*1000000)/1000))</f>
        <v/>
      </c>
      <c r="O235" s="39">
        <f>IF($L235="","",$L235-INT($L235/1000)*1000)</f>
        <v/>
      </c>
      <c r="P235" s="39">
        <f>IF($L235="","",INT(($L235-INT($L235/1000000000)*1000000000)/100000000))</f>
        <v/>
      </c>
    </row>
    <row r="236">
      <c r="B236" s="42">
        <f>IF($L236="","",$M236)</f>
        <v/>
      </c>
      <c r="C236" s="22">
        <f>IF($L236="","",INDEX(HSI!$C$7:$C$106,$N236))</f>
        <v/>
      </c>
      <c r="D236" s="22">
        <f>IF($L236="","",INDEX(HSI!$D$7:$D$106,$N236))</f>
        <v/>
      </c>
      <c r="E236" s="43">
        <f>IF($L236="","",IF($P236=0,"TBA",IFERROR(INDEX(Grids!$C$12:$BO$111,$N236,$O236),"-")))</f>
        <v/>
      </c>
      <c r="F236" s="22">
        <f>IF($L236="","",INDEX(HSI!$F$7:$F$106,$N236))</f>
        <v/>
      </c>
      <c r="G236" s="43">
        <f>IF($L236="","",IF($P236=0,"TBA",IFERROR(INDEX(Grids!$BQ$12:$EC$111,$N236,$O236),"-")))</f>
        <v/>
      </c>
      <c r="H236" s="44">
        <f>IF($L236="","",SUM($G$10:$G236))</f>
        <v/>
      </c>
      <c r="I236" s="45">
        <f>IF($L236="","",IF(INT(($L236-INT($L236/10000000)*10000000)/1000000)=0,"Bloomberg projection",IF($P236=1,"ANNOUNCED","ANNOUNCED - amount TBA")))</f>
        <v/>
      </c>
      <c r="J236" s="46">
        <f>IF($L236="","",IF((OV_SWITCH="ON")*(COUNTIFS(OVR_TICKERS,INDEX(HSI!$C$7:$C$106,$N236),OVR_BASE,"&gt;=0")&gt;0)&gt;0,"stock overridden",""))</f>
        <v/>
      </c>
      <c r="L236" s="39">
        <f>IFERROR(IF(SMALL(Grids!$EE$12:$GQ$111,$M$7+227)&gt;=PEND_TO,"",SMALL(Grids!$EE$12:$GQ$111,$M$7+227)),"")</f>
        <v/>
      </c>
      <c r="M236" s="39">
        <f>IF($L236="","",INT($L236/1000000000))</f>
        <v/>
      </c>
      <c r="N236" s="39">
        <f>IF($L236="","",INT(($L236-INT($L236/1000000)*1000000)/1000))</f>
        <v/>
      </c>
      <c r="O236" s="39">
        <f>IF($L236="","",$L236-INT($L236/1000)*1000)</f>
        <v/>
      </c>
      <c r="P236" s="39">
        <f>IF($L236="","",INT(($L236-INT($L236/1000000000)*1000000000)/100000000))</f>
        <v/>
      </c>
    </row>
    <row r="237">
      <c r="B237" s="42">
        <f>IF($L237="","",$M237)</f>
        <v/>
      </c>
      <c r="C237" s="22">
        <f>IF($L237="","",INDEX(HSI!$C$7:$C$106,$N237))</f>
        <v/>
      </c>
      <c r="D237" s="22">
        <f>IF($L237="","",INDEX(HSI!$D$7:$D$106,$N237))</f>
        <v/>
      </c>
      <c r="E237" s="43">
        <f>IF($L237="","",IF($P237=0,"TBA",IFERROR(INDEX(Grids!$C$12:$BO$111,$N237,$O237),"-")))</f>
        <v/>
      </c>
      <c r="F237" s="22">
        <f>IF($L237="","",INDEX(HSI!$F$7:$F$106,$N237))</f>
        <v/>
      </c>
      <c r="G237" s="43">
        <f>IF($L237="","",IF($P237=0,"TBA",IFERROR(INDEX(Grids!$BQ$12:$EC$111,$N237,$O237),"-")))</f>
        <v/>
      </c>
      <c r="H237" s="44">
        <f>IF($L237="","",SUM($G$10:$G237))</f>
        <v/>
      </c>
      <c r="I237" s="45">
        <f>IF($L237="","",IF(INT(($L237-INT($L237/10000000)*10000000)/1000000)=0,"Bloomberg projection",IF($P237=1,"ANNOUNCED","ANNOUNCED - amount TBA")))</f>
        <v/>
      </c>
      <c r="J237" s="46">
        <f>IF($L237="","",IF((OV_SWITCH="ON")*(COUNTIFS(OVR_TICKERS,INDEX(HSI!$C$7:$C$106,$N237),OVR_BASE,"&gt;=0")&gt;0)&gt;0,"stock overridden",""))</f>
        <v/>
      </c>
      <c r="L237" s="39">
        <f>IFERROR(IF(SMALL(Grids!$EE$12:$GQ$111,$M$7+228)&gt;=PEND_TO,"",SMALL(Grids!$EE$12:$GQ$111,$M$7+228)),"")</f>
        <v/>
      </c>
      <c r="M237" s="39">
        <f>IF($L237="","",INT($L237/1000000000))</f>
        <v/>
      </c>
      <c r="N237" s="39">
        <f>IF($L237="","",INT(($L237-INT($L237/1000000)*1000000)/1000))</f>
        <v/>
      </c>
      <c r="O237" s="39">
        <f>IF($L237="","",$L237-INT($L237/1000)*1000)</f>
        <v/>
      </c>
      <c r="P237" s="39">
        <f>IF($L237="","",INT(($L237-INT($L237/1000000000)*1000000000)/100000000))</f>
        <v/>
      </c>
    </row>
    <row r="238">
      <c r="B238" s="42">
        <f>IF($L238="","",$M238)</f>
        <v/>
      </c>
      <c r="C238" s="22">
        <f>IF($L238="","",INDEX(HSI!$C$7:$C$106,$N238))</f>
        <v/>
      </c>
      <c r="D238" s="22">
        <f>IF($L238="","",INDEX(HSI!$D$7:$D$106,$N238))</f>
        <v/>
      </c>
      <c r="E238" s="43">
        <f>IF($L238="","",IF($P238=0,"TBA",IFERROR(INDEX(Grids!$C$12:$BO$111,$N238,$O238),"-")))</f>
        <v/>
      </c>
      <c r="F238" s="22">
        <f>IF($L238="","",INDEX(HSI!$F$7:$F$106,$N238))</f>
        <v/>
      </c>
      <c r="G238" s="43">
        <f>IF($L238="","",IF($P238=0,"TBA",IFERROR(INDEX(Grids!$BQ$12:$EC$111,$N238,$O238),"-")))</f>
        <v/>
      </c>
      <c r="H238" s="44">
        <f>IF($L238="","",SUM($G$10:$G238))</f>
        <v/>
      </c>
      <c r="I238" s="45">
        <f>IF($L238="","",IF(INT(($L238-INT($L238/10000000)*10000000)/1000000)=0,"Bloomberg projection",IF($P238=1,"ANNOUNCED","ANNOUNCED - amount TBA")))</f>
        <v/>
      </c>
      <c r="J238" s="46">
        <f>IF($L238="","",IF((OV_SWITCH="ON")*(COUNTIFS(OVR_TICKERS,INDEX(HSI!$C$7:$C$106,$N238),OVR_BASE,"&gt;=0")&gt;0)&gt;0,"stock overridden",""))</f>
        <v/>
      </c>
      <c r="L238" s="39">
        <f>IFERROR(IF(SMALL(Grids!$EE$12:$GQ$111,$M$7+229)&gt;=PEND_TO,"",SMALL(Grids!$EE$12:$GQ$111,$M$7+229)),"")</f>
        <v/>
      </c>
      <c r="M238" s="39">
        <f>IF($L238="","",INT($L238/1000000000))</f>
        <v/>
      </c>
      <c r="N238" s="39">
        <f>IF($L238="","",INT(($L238-INT($L238/1000000)*1000000)/1000))</f>
        <v/>
      </c>
      <c r="O238" s="39">
        <f>IF($L238="","",$L238-INT($L238/1000)*1000)</f>
        <v/>
      </c>
      <c r="P238" s="39">
        <f>IF($L238="","",INT(($L238-INT($L238/1000000000)*1000000000)/100000000))</f>
        <v/>
      </c>
    </row>
    <row r="239">
      <c r="B239" s="42">
        <f>IF($L239="","",$M239)</f>
        <v/>
      </c>
      <c r="C239" s="22">
        <f>IF($L239="","",INDEX(HSI!$C$7:$C$106,$N239))</f>
        <v/>
      </c>
      <c r="D239" s="22">
        <f>IF($L239="","",INDEX(HSI!$D$7:$D$106,$N239))</f>
        <v/>
      </c>
      <c r="E239" s="43">
        <f>IF($L239="","",IF($P239=0,"TBA",IFERROR(INDEX(Grids!$C$12:$BO$111,$N239,$O239),"-")))</f>
        <v/>
      </c>
      <c r="F239" s="22">
        <f>IF($L239="","",INDEX(HSI!$F$7:$F$106,$N239))</f>
        <v/>
      </c>
      <c r="G239" s="43">
        <f>IF($L239="","",IF($P239=0,"TBA",IFERROR(INDEX(Grids!$BQ$12:$EC$111,$N239,$O239),"-")))</f>
        <v/>
      </c>
      <c r="H239" s="44">
        <f>IF($L239="","",SUM($G$10:$G239))</f>
        <v/>
      </c>
      <c r="I239" s="45">
        <f>IF($L239="","",IF(INT(($L239-INT($L239/10000000)*10000000)/1000000)=0,"Bloomberg projection",IF($P239=1,"ANNOUNCED","ANNOUNCED - amount TBA")))</f>
        <v/>
      </c>
      <c r="J239" s="46">
        <f>IF($L239="","",IF((OV_SWITCH="ON")*(COUNTIFS(OVR_TICKERS,INDEX(HSI!$C$7:$C$106,$N239),OVR_BASE,"&gt;=0")&gt;0)&gt;0,"stock overridden",""))</f>
        <v/>
      </c>
      <c r="L239" s="39">
        <f>IFERROR(IF(SMALL(Grids!$EE$12:$GQ$111,$M$7+230)&gt;=PEND_TO,"",SMALL(Grids!$EE$12:$GQ$111,$M$7+230)),"")</f>
        <v/>
      </c>
      <c r="M239" s="39">
        <f>IF($L239="","",INT($L239/1000000000))</f>
        <v/>
      </c>
      <c r="N239" s="39">
        <f>IF($L239="","",INT(($L239-INT($L239/1000000)*1000000)/1000))</f>
        <v/>
      </c>
      <c r="O239" s="39">
        <f>IF($L239="","",$L239-INT($L239/1000)*1000)</f>
        <v/>
      </c>
      <c r="P239" s="39">
        <f>IF($L239="","",INT(($L239-INT($L239/1000000000)*1000000000)/100000000))</f>
        <v/>
      </c>
    </row>
    <row r="240">
      <c r="B240" s="42">
        <f>IF($L240="","",$M240)</f>
        <v/>
      </c>
      <c r="C240" s="22">
        <f>IF($L240="","",INDEX(HSI!$C$7:$C$106,$N240))</f>
        <v/>
      </c>
      <c r="D240" s="22">
        <f>IF($L240="","",INDEX(HSI!$D$7:$D$106,$N240))</f>
        <v/>
      </c>
      <c r="E240" s="43">
        <f>IF($L240="","",IF($P240=0,"TBA",IFERROR(INDEX(Grids!$C$12:$BO$111,$N240,$O240),"-")))</f>
        <v/>
      </c>
      <c r="F240" s="22">
        <f>IF($L240="","",INDEX(HSI!$F$7:$F$106,$N240))</f>
        <v/>
      </c>
      <c r="G240" s="43">
        <f>IF($L240="","",IF($P240=0,"TBA",IFERROR(INDEX(Grids!$BQ$12:$EC$111,$N240,$O240),"-")))</f>
        <v/>
      </c>
      <c r="H240" s="44">
        <f>IF($L240="","",SUM($G$10:$G240))</f>
        <v/>
      </c>
      <c r="I240" s="45">
        <f>IF($L240="","",IF(INT(($L240-INT($L240/10000000)*10000000)/1000000)=0,"Bloomberg projection",IF($P240=1,"ANNOUNCED","ANNOUNCED - amount TBA")))</f>
        <v/>
      </c>
      <c r="J240" s="46">
        <f>IF($L240="","",IF((OV_SWITCH="ON")*(COUNTIFS(OVR_TICKERS,INDEX(HSI!$C$7:$C$106,$N240),OVR_BASE,"&gt;=0")&gt;0)&gt;0,"stock overridden",""))</f>
        <v/>
      </c>
      <c r="L240" s="39">
        <f>IFERROR(IF(SMALL(Grids!$EE$12:$GQ$111,$M$7+231)&gt;=PEND_TO,"",SMALL(Grids!$EE$12:$GQ$111,$M$7+231)),"")</f>
        <v/>
      </c>
      <c r="M240" s="39">
        <f>IF($L240="","",INT($L240/1000000000))</f>
        <v/>
      </c>
      <c r="N240" s="39">
        <f>IF($L240="","",INT(($L240-INT($L240/1000000)*1000000)/1000))</f>
        <v/>
      </c>
      <c r="O240" s="39">
        <f>IF($L240="","",$L240-INT($L240/1000)*1000)</f>
        <v/>
      </c>
      <c r="P240" s="39">
        <f>IF($L240="","",INT(($L240-INT($L240/1000000000)*1000000000)/100000000))</f>
        <v/>
      </c>
    </row>
    <row r="241">
      <c r="B241" s="42">
        <f>IF($L241="","",$M241)</f>
        <v/>
      </c>
      <c r="C241" s="22">
        <f>IF($L241="","",INDEX(HSI!$C$7:$C$106,$N241))</f>
        <v/>
      </c>
      <c r="D241" s="22">
        <f>IF($L241="","",INDEX(HSI!$D$7:$D$106,$N241))</f>
        <v/>
      </c>
      <c r="E241" s="43">
        <f>IF($L241="","",IF($P241=0,"TBA",IFERROR(INDEX(Grids!$C$12:$BO$111,$N241,$O241),"-")))</f>
        <v/>
      </c>
      <c r="F241" s="22">
        <f>IF($L241="","",INDEX(HSI!$F$7:$F$106,$N241))</f>
        <v/>
      </c>
      <c r="G241" s="43">
        <f>IF($L241="","",IF($P241=0,"TBA",IFERROR(INDEX(Grids!$BQ$12:$EC$111,$N241,$O241),"-")))</f>
        <v/>
      </c>
      <c r="H241" s="44">
        <f>IF($L241="","",SUM($G$10:$G241))</f>
        <v/>
      </c>
      <c r="I241" s="45">
        <f>IF($L241="","",IF(INT(($L241-INT($L241/10000000)*10000000)/1000000)=0,"Bloomberg projection",IF($P241=1,"ANNOUNCED","ANNOUNCED - amount TBA")))</f>
        <v/>
      </c>
      <c r="J241" s="46">
        <f>IF($L241="","",IF((OV_SWITCH="ON")*(COUNTIFS(OVR_TICKERS,INDEX(HSI!$C$7:$C$106,$N241),OVR_BASE,"&gt;=0")&gt;0)&gt;0,"stock overridden",""))</f>
        <v/>
      </c>
      <c r="L241" s="39">
        <f>IFERROR(IF(SMALL(Grids!$EE$12:$GQ$111,$M$7+232)&gt;=PEND_TO,"",SMALL(Grids!$EE$12:$GQ$111,$M$7+232)),"")</f>
        <v/>
      </c>
      <c r="M241" s="39">
        <f>IF($L241="","",INT($L241/1000000000))</f>
        <v/>
      </c>
      <c r="N241" s="39">
        <f>IF($L241="","",INT(($L241-INT($L241/1000000)*1000000)/1000))</f>
        <v/>
      </c>
      <c r="O241" s="39">
        <f>IF($L241="","",$L241-INT($L241/1000)*1000)</f>
        <v/>
      </c>
      <c r="P241" s="39">
        <f>IF($L241="","",INT(($L241-INT($L241/1000000000)*1000000000)/100000000))</f>
        <v/>
      </c>
    </row>
    <row r="242">
      <c r="B242" s="42">
        <f>IF($L242="","",$M242)</f>
        <v/>
      </c>
      <c r="C242" s="22">
        <f>IF($L242="","",INDEX(HSI!$C$7:$C$106,$N242))</f>
        <v/>
      </c>
      <c r="D242" s="22">
        <f>IF($L242="","",INDEX(HSI!$D$7:$D$106,$N242))</f>
        <v/>
      </c>
      <c r="E242" s="43">
        <f>IF($L242="","",IF($P242=0,"TBA",IFERROR(INDEX(Grids!$C$12:$BO$111,$N242,$O242),"-")))</f>
        <v/>
      </c>
      <c r="F242" s="22">
        <f>IF($L242="","",INDEX(HSI!$F$7:$F$106,$N242))</f>
        <v/>
      </c>
      <c r="G242" s="43">
        <f>IF($L242="","",IF($P242=0,"TBA",IFERROR(INDEX(Grids!$BQ$12:$EC$111,$N242,$O242),"-")))</f>
        <v/>
      </c>
      <c r="H242" s="44">
        <f>IF($L242="","",SUM($G$10:$G242))</f>
        <v/>
      </c>
      <c r="I242" s="45">
        <f>IF($L242="","",IF(INT(($L242-INT($L242/10000000)*10000000)/1000000)=0,"Bloomberg projection",IF($P242=1,"ANNOUNCED","ANNOUNCED - amount TBA")))</f>
        <v/>
      </c>
      <c r="J242" s="46">
        <f>IF($L242="","",IF((OV_SWITCH="ON")*(COUNTIFS(OVR_TICKERS,INDEX(HSI!$C$7:$C$106,$N242),OVR_BASE,"&gt;=0")&gt;0)&gt;0,"stock overridden",""))</f>
        <v/>
      </c>
      <c r="L242" s="39">
        <f>IFERROR(IF(SMALL(Grids!$EE$12:$GQ$111,$M$7+233)&gt;=PEND_TO,"",SMALL(Grids!$EE$12:$GQ$111,$M$7+233)),"")</f>
        <v/>
      </c>
      <c r="M242" s="39">
        <f>IF($L242="","",INT($L242/1000000000))</f>
        <v/>
      </c>
      <c r="N242" s="39">
        <f>IF($L242="","",INT(($L242-INT($L242/1000000)*1000000)/1000))</f>
        <v/>
      </c>
      <c r="O242" s="39">
        <f>IF($L242="","",$L242-INT($L242/1000)*1000)</f>
        <v/>
      </c>
      <c r="P242" s="39">
        <f>IF($L242="","",INT(($L242-INT($L242/1000000000)*1000000000)/100000000))</f>
        <v/>
      </c>
    </row>
    <row r="243">
      <c r="B243" s="42">
        <f>IF($L243="","",$M243)</f>
        <v/>
      </c>
      <c r="C243" s="22">
        <f>IF($L243="","",INDEX(HSI!$C$7:$C$106,$N243))</f>
        <v/>
      </c>
      <c r="D243" s="22">
        <f>IF($L243="","",INDEX(HSI!$D$7:$D$106,$N243))</f>
        <v/>
      </c>
      <c r="E243" s="43">
        <f>IF($L243="","",IF($P243=0,"TBA",IFERROR(INDEX(Grids!$C$12:$BO$111,$N243,$O243),"-")))</f>
        <v/>
      </c>
      <c r="F243" s="22">
        <f>IF($L243="","",INDEX(HSI!$F$7:$F$106,$N243))</f>
        <v/>
      </c>
      <c r="G243" s="43">
        <f>IF($L243="","",IF($P243=0,"TBA",IFERROR(INDEX(Grids!$BQ$12:$EC$111,$N243,$O243),"-")))</f>
        <v/>
      </c>
      <c r="H243" s="44">
        <f>IF($L243="","",SUM($G$10:$G243))</f>
        <v/>
      </c>
      <c r="I243" s="45">
        <f>IF($L243="","",IF(INT(($L243-INT($L243/10000000)*10000000)/1000000)=0,"Bloomberg projection",IF($P243=1,"ANNOUNCED","ANNOUNCED - amount TBA")))</f>
        <v/>
      </c>
      <c r="J243" s="46">
        <f>IF($L243="","",IF((OV_SWITCH="ON")*(COUNTIFS(OVR_TICKERS,INDEX(HSI!$C$7:$C$106,$N243),OVR_BASE,"&gt;=0")&gt;0)&gt;0,"stock overridden",""))</f>
        <v/>
      </c>
      <c r="L243" s="39">
        <f>IFERROR(IF(SMALL(Grids!$EE$12:$GQ$111,$M$7+234)&gt;=PEND_TO,"",SMALL(Grids!$EE$12:$GQ$111,$M$7+234)),"")</f>
        <v/>
      </c>
      <c r="M243" s="39">
        <f>IF($L243="","",INT($L243/1000000000))</f>
        <v/>
      </c>
      <c r="N243" s="39">
        <f>IF($L243="","",INT(($L243-INT($L243/1000000)*1000000)/1000))</f>
        <v/>
      </c>
      <c r="O243" s="39">
        <f>IF($L243="","",$L243-INT($L243/1000)*1000)</f>
        <v/>
      </c>
      <c r="P243" s="39">
        <f>IF($L243="","",INT(($L243-INT($L243/1000000000)*1000000000)/100000000))</f>
        <v/>
      </c>
    </row>
    <row r="244">
      <c r="B244" s="42">
        <f>IF($L244="","",$M244)</f>
        <v/>
      </c>
      <c r="C244" s="22">
        <f>IF($L244="","",INDEX(HSI!$C$7:$C$106,$N244))</f>
        <v/>
      </c>
      <c r="D244" s="22">
        <f>IF($L244="","",INDEX(HSI!$D$7:$D$106,$N244))</f>
        <v/>
      </c>
      <c r="E244" s="43">
        <f>IF($L244="","",IF($P244=0,"TBA",IFERROR(INDEX(Grids!$C$12:$BO$111,$N244,$O244),"-")))</f>
        <v/>
      </c>
      <c r="F244" s="22">
        <f>IF($L244="","",INDEX(HSI!$F$7:$F$106,$N244))</f>
        <v/>
      </c>
      <c r="G244" s="43">
        <f>IF($L244="","",IF($P244=0,"TBA",IFERROR(INDEX(Grids!$BQ$12:$EC$111,$N244,$O244),"-")))</f>
        <v/>
      </c>
      <c r="H244" s="44">
        <f>IF($L244="","",SUM($G$10:$G244))</f>
        <v/>
      </c>
      <c r="I244" s="45">
        <f>IF($L244="","",IF(INT(($L244-INT($L244/10000000)*10000000)/1000000)=0,"Bloomberg projection",IF($P244=1,"ANNOUNCED","ANNOUNCED - amount TBA")))</f>
        <v/>
      </c>
      <c r="J244" s="46">
        <f>IF($L244="","",IF((OV_SWITCH="ON")*(COUNTIFS(OVR_TICKERS,INDEX(HSI!$C$7:$C$106,$N244),OVR_BASE,"&gt;=0")&gt;0)&gt;0,"stock overridden",""))</f>
        <v/>
      </c>
      <c r="L244" s="39">
        <f>IFERROR(IF(SMALL(Grids!$EE$12:$GQ$111,$M$7+235)&gt;=PEND_TO,"",SMALL(Grids!$EE$12:$GQ$111,$M$7+235)),"")</f>
        <v/>
      </c>
      <c r="M244" s="39">
        <f>IF($L244="","",INT($L244/1000000000))</f>
        <v/>
      </c>
      <c r="N244" s="39">
        <f>IF($L244="","",INT(($L244-INT($L244/1000000)*1000000)/1000))</f>
        <v/>
      </c>
      <c r="O244" s="39">
        <f>IF($L244="","",$L244-INT($L244/1000)*1000)</f>
        <v/>
      </c>
      <c r="P244" s="39">
        <f>IF($L244="","",INT(($L244-INT($L244/1000000000)*1000000000)/100000000))</f>
        <v/>
      </c>
    </row>
    <row r="245">
      <c r="B245" s="42">
        <f>IF($L245="","",$M245)</f>
        <v/>
      </c>
      <c r="C245" s="22">
        <f>IF($L245="","",INDEX(HSI!$C$7:$C$106,$N245))</f>
        <v/>
      </c>
      <c r="D245" s="22">
        <f>IF($L245="","",INDEX(HSI!$D$7:$D$106,$N245))</f>
        <v/>
      </c>
      <c r="E245" s="43">
        <f>IF($L245="","",IF($P245=0,"TBA",IFERROR(INDEX(Grids!$C$12:$BO$111,$N245,$O245),"-")))</f>
        <v/>
      </c>
      <c r="F245" s="22">
        <f>IF($L245="","",INDEX(HSI!$F$7:$F$106,$N245))</f>
        <v/>
      </c>
      <c r="G245" s="43">
        <f>IF($L245="","",IF($P245=0,"TBA",IFERROR(INDEX(Grids!$BQ$12:$EC$111,$N245,$O245),"-")))</f>
        <v/>
      </c>
      <c r="H245" s="44">
        <f>IF($L245="","",SUM($G$10:$G245))</f>
        <v/>
      </c>
      <c r="I245" s="45">
        <f>IF($L245="","",IF(INT(($L245-INT($L245/10000000)*10000000)/1000000)=0,"Bloomberg projection",IF($P245=1,"ANNOUNCED","ANNOUNCED - amount TBA")))</f>
        <v/>
      </c>
      <c r="J245" s="46">
        <f>IF($L245="","",IF((OV_SWITCH="ON")*(COUNTIFS(OVR_TICKERS,INDEX(HSI!$C$7:$C$106,$N245),OVR_BASE,"&gt;=0")&gt;0)&gt;0,"stock overridden",""))</f>
        <v/>
      </c>
      <c r="L245" s="39">
        <f>IFERROR(IF(SMALL(Grids!$EE$12:$GQ$111,$M$7+236)&gt;=PEND_TO,"",SMALL(Grids!$EE$12:$GQ$111,$M$7+236)),"")</f>
        <v/>
      </c>
      <c r="M245" s="39">
        <f>IF($L245="","",INT($L245/1000000000))</f>
        <v/>
      </c>
      <c r="N245" s="39">
        <f>IF($L245="","",INT(($L245-INT($L245/1000000)*1000000)/1000))</f>
        <v/>
      </c>
      <c r="O245" s="39">
        <f>IF($L245="","",$L245-INT($L245/1000)*1000)</f>
        <v/>
      </c>
      <c r="P245" s="39">
        <f>IF($L245="","",INT(($L245-INT($L245/1000000000)*1000000000)/100000000))</f>
        <v/>
      </c>
    </row>
    <row r="246">
      <c r="B246" s="42">
        <f>IF($L246="","",$M246)</f>
        <v/>
      </c>
      <c r="C246" s="22">
        <f>IF($L246="","",INDEX(HSI!$C$7:$C$106,$N246))</f>
        <v/>
      </c>
      <c r="D246" s="22">
        <f>IF($L246="","",INDEX(HSI!$D$7:$D$106,$N246))</f>
        <v/>
      </c>
      <c r="E246" s="43">
        <f>IF($L246="","",IF($P246=0,"TBA",IFERROR(INDEX(Grids!$C$12:$BO$111,$N246,$O246),"-")))</f>
        <v/>
      </c>
      <c r="F246" s="22">
        <f>IF($L246="","",INDEX(HSI!$F$7:$F$106,$N246))</f>
        <v/>
      </c>
      <c r="G246" s="43">
        <f>IF($L246="","",IF($P246=0,"TBA",IFERROR(INDEX(Grids!$BQ$12:$EC$111,$N246,$O246),"-")))</f>
        <v/>
      </c>
      <c r="H246" s="44">
        <f>IF($L246="","",SUM($G$10:$G246))</f>
        <v/>
      </c>
      <c r="I246" s="45">
        <f>IF($L246="","",IF(INT(($L246-INT($L246/10000000)*10000000)/1000000)=0,"Bloomberg projection",IF($P246=1,"ANNOUNCED","ANNOUNCED - amount TBA")))</f>
        <v/>
      </c>
      <c r="J246" s="46">
        <f>IF($L246="","",IF((OV_SWITCH="ON")*(COUNTIFS(OVR_TICKERS,INDEX(HSI!$C$7:$C$106,$N246),OVR_BASE,"&gt;=0")&gt;0)&gt;0,"stock overridden",""))</f>
        <v/>
      </c>
      <c r="L246" s="39">
        <f>IFERROR(IF(SMALL(Grids!$EE$12:$GQ$111,$M$7+237)&gt;=PEND_TO,"",SMALL(Grids!$EE$12:$GQ$111,$M$7+237)),"")</f>
        <v/>
      </c>
      <c r="M246" s="39">
        <f>IF($L246="","",INT($L246/1000000000))</f>
        <v/>
      </c>
      <c r="N246" s="39">
        <f>IF($L246="","",INT(($L246-INT($L246/1000000)*1000000)/1000))</f>
        <v/>
      </c>
      <c r="O246" s="39">
        <f>IF($L246="","",$L246-INT($L246/1000)*1000)</f>
        <v/>
      </c>
      <c r="P246" s="39">
        <f>IF($L246="","",INT(($L246-INT($L246/1000000000)*1000000000)/100000000))</f>
        <v/>
      </c>
    </row>
    <row r="247">
      <c r="B247" s="42">
        <f>IF($L247="","",$M247)</f>
        <v/>
      </c>
      <c r="C247" s="22">
        <f>IF($L247="","",INDEX(HSI!$C$7:$C$106,$N247))</f>
        <v/>
      </c>
      <c r="D247" s="22">
        <f>IF($L247="","",INDEX(HSI!$D$7:$D$106,$N247))</f>
        <v/>
      </c>
      <c r="E247" s="43">
        <f>IF($L247="","",IF($P247=0,"TBA",IFERROR(INDEX(Grids!$C$12:$BO$111,$N247,$O247),"-")))</f>
        <v/>
      </c>
      <c r="F247" s="22">
        <f>IF($L247="","",INDEX(HSI!$F$7:$F$106,$N247))</f>
        <v/>
      </c>
      <c r="G247" s="43">
        <f>IF($L247="","",IF($P247=0,"TBA",IFERROR(INDEX(Grids!$BQ$12:$EC$111,$N247,$O247),"-")))</f>
        <v/>
      </c>
      <c r="H247" s="44">
        <f>IF($L247="","",SUM($G$10:$G247))</f>
        <v/>
      </c>
      <c r="I247" s="45">
        <f>IF($L247="","",IF(INT(($L247-INT($L247/10000000)*10000000)/1000000)=0,"Bloomberg projection",IF($P247=1,"ANNOUNCED","ANNOUNCED - amount TBA")))</f>
        <v/>
      </c>
      <c r="J247" s="46">
        <f>IF($L247="","",IF((OV_SWITCH="ON")*(COUNTIFS(OVR_TICKERS,INDEX(HSI!$C$7:$C$106,$N247),OVR_BASE,"&gt;=0")&gt;0)&gt;0,"stock overridden",""))</f>
        <v/>
      </c>
      <c r="L247" s="39">
        <f>IFERROR(IF(SMALL(Grids!$EE$12:$GQ$111,$M$7+238)&gt;=PEND_TO,"",SMALL(Grids!$EE$12:$GQ$111,$M$7+238)),"")</f>
        <v/>
      </c>
      <c r="M247" s="39">
        <f>IF($L247="","",INT($L247/1000000000))</f>
        <v/>
      </c>
      <c r="N247" s="39">
        <f>IF($L247="","",INT(($L247-INT($L247/1000000)*1000000)/1000))</f>
        <v/>
      </c>
      <c r="O247" s="39">
        <f>IF($L247="","",$L247-INT($L247/1000)*1000)</f>
        <v/>
      </c>
      <c r="P247" s="39">
        <f>IF($L247="","",INT(($L247-INT($L247/1000000000)*1000000000)/100000000))</f>
        <v/>
      </c>
    </row>
    <row r="248">
      <c r="B248" s="42">
        <f>IF($L248="","",$M248)</f>
        <v/>
      </c>
      <c r="C248" s="22">
        <f>IF($L248="","",INDEX(HSI!$C$7:$C$106,$N248))</f>
        <v/>
      </c>
      <c r="D248" s="22">
        <f>IF($L248="","",INDEX(HSI!$D$7:$D$106,$N248))</f>
        <v/>
      </c>
      <c r="E248" s="43">
        <f>IF($L248="","",IF($P248=0,"TBA",IFERROR(INDEX(Grids!$C$12:$BO$111,$N248,$O248),"-")))</f>
        <v/>
      </c>
      <c r="F248" s="22">
        <f>IF($L248="","",INDEX(HSI!$F$7:$F$106,$N248))</f>
        <v/>
      </c>
      <c r="G248" s="43">
        <f>IF($L248="","",IF($P248=0,"TBA",IFERROR(INDEX(Grids!$BQ$12:$EC$111,$N248,$O248),"-")))</f>
        <v/>
      </c>
      <c r="H248" s="44">
        <f>IF($L248="","",SUM($G$10:$G248))</f>
        <v/>
      </c>
      <c r="I248" s="45">
        <f>IF($L248="","",IF(INT(($L248-INT($L248/10000000)*10000000)/1000000)=0,"Bloomberg projection",IF($P248=1,"ANNOUNCED","ANNOUNCED - amount TBA")))</f>
        <v/>
      </c>
      <c r="J248" s="46">
        <f>IF($L248="","",IF((OV_SWITCH="ON")*(COUNTIFS(OVR_TICKERS,INDEX(HSI!$C$7:$C$106,$N248),OVR_BASE,"&gt;=0")&gt;0)&gt;0,"stock overridden",""))</f>
        <v/>
      </c>
      <c r="L248" s="39">
        <f>IFERROR(IF(SMALL(Grids!$EE$12:$GQ$111,$M$7+239)&gt;=PEND_TO,"",SMALL(Grids!$EE$12:$GQ$111,$M$7+239)),"")</f>
        <v/>
      </c>
      <c r="M248" s="39">
        <f>IF($L248="","",INT($L248/1000000000))</f>
        <v/>
      </c>
      <c r="N248" s="39">
        <f>IF($L248="","",INT(($L248-INT($L248/1000000)*1000000)/1000))</f>
        <v/>
      </c>
      <c r="O248" s="39">
        <f>IF($L248="","",$L248-INT($L248/1000)*1000)</f>
        <v/>
      </c>
      <c r="P248" s="39">
        <f>IF($L248="","",INT(($L248-INT($L248/1000000000)*1000000000)/100000000))</f>
        <v/>
      </c>
    </row>
    <row r="249">
      <c r="B249" s="42">
        <f>IF($L249="","",$M249)</f>
        <v/>
      </c>
      <c r="C249" s="22">
        <f>IF($L249="","",INDEX(HSI!$C$7:$C$106,$N249))</f>
        <v/>
      </c>
      <c r="D249" s="22">
        <f>IF($L249="","",INDEX(HSI!$D$7:$D$106,$N249))</f>
        <v/>
      </c>
      <c r="E249" s="43">
        <f>IF($L249="","",IF($P249=0,"TBA",IFERROR(INDEX(Grids!$C$12:$BO$111,$N249,$O249),"-")))</f>
        <v/>
      </c>
      <c r="F249" s="22">
        <f>IF($L249="","",INDEX(HSI!$F$7:$F$106,$N249))</f>
        <v/>
      </c>
      <c r="G249" s="43">
        <f>IF($L249="","",IF($P249=0,"TBA",IFERROR(INDEX(Grids!$BQ$12:$EC$111,$N249,$O249),"-")))</f>
        <v/>
      </c>
      <c r="H249" s="44">
        <f>IF($L249="","",SUM($G$10:$G249))</f>
        <v/>
      </c>
      <c r="I249" s="45">
        <f>IF($L249="","",IF(INT(($L249-INT($L249/10000000)*10000000)/1000000)=0,"Bloomberg projection",IF($P249=1,"ANNOUNCED","ANNOUNCED - amount TBA")))</f>
        <v/>
      </c>
      <c r="J249" s="46">
        <f>IF($L249="","",IF((OV_SWITCH="ON")*(COUNTIFS(OVR_TICKERS,INDEX(HSI!$C$7:$C$106,$N249),OVR_BASE,"&gt;=0")&gt;0)&gt;0,"stock overridden",""))</f>
        <v/>
      </c>
      <c r="L249" s="39">
        <f>IFERROR(IF(SMALL(Grids!$EE$12:$GQ$111,$M$7+240)&gt;=PEND_TO,"",SMALL(Grids!$EE$12:$GQ$111,$M$7+240)),"")</f>
        <v/>
      </c>
      <c r="M249" s="39">
        <f>IF($L249="","",INT($L249/1000000000))</f>
        <v/>
      </c>
      <c r="N249" s="39">
        <f>IF($L249="","",INT(($L249-INT($L249/1000000)*1000000)/1000))</f>
        <v/>
      </c>
      <c r="O249" s="39">
        <f>IF($L249="","",$L249-INT($L249/1000)*1000)</f>
        <v/>
      </c>
      <c r="P249" s="39">
        <f>IF($L249="","",INT(($L249-INT($L249/1000000000)*1000000000)/100000000))</f>
        <v/>
      </c>
    </row>
    <row r="250">
      <c r="B250" s="42">
        <f>IF($L250="","",$M250)</f>
        <v/>
      </c>
      <c r="C250" s="22">
        <f>IF($L250="","",INDEX(HSI!$C$7:$C$106,$N250))</f>
        <v/>
      </c>
      <c r="D250" s="22">
        <f>IF($L250="","",INDEX(HSI!$D$7:$D$106,$N250))</f>
        <v/>
      </c>
      <c r="E250" s="43">
        <f>IF($L250="","",IF($P250=0,"TBA",IFERROR(INDEX(Grids!$C$12:$BO$111,$N250,$O250),"-")))</f>
        <v/>
      </c>
      <c r="F250" s="22">
        <f>IF($L250="","",INDEX(HSI!$F$7:$F$106,$N250))</f>
        <v/>
      </c>
      <c r="G250" s="43">
        <f>IF($L250="","",IF($P250=0,"TBA",IFERROR(INDEX(Grids!$BQ$12:$EC$111,$N250,$O250),"-")))</f>
        <v/>
      </c>
      <c r="H250" s="44">
        <f>IF($L250="","",SUM($G$10:$G250))</f>
        <v/>
      </c>
      <c r="I250" s="45">
        <f>IF($L250="","",IF(INT(($L250-INT($L250/10000000)*10000000)/1000000)=0,"Bloomberg projection",IF($P250=1,"ANNOUNCED","ANNOUNCED - amount TBA")))</f>
        <v/>
      </c>
      <c r="J250" s="46">
        <f>IF($L250="","",IF((OV_SWITCH="ON")*(COUNTIFS(OVR_TICKERS,INDEX(HSI!$C$7:$C$106,$N250),OVR_BASE,"&gt;=0")&gt;0)&gt;0,"stock overridden",""))</f>
        <v/>
      </c>
      <c r="L250" s="39">
        <f>IFERROR(IF(SMALL(Grids!$EE$12:$GQ$111,$M$7+241)&gt;=PEND_TO,"",SMALL(Grids!$EE$12:$GQ$111,$M$7+241)),"")</f>
        <v/>
      </c>
      <c r="M250" s="39">
        <f>IF($L250="","",INT($L250/1000000000))</f>
        <v/>
      </c>
      <c r="N250" s="39">
        <f>IF($L250="","",INT(($L250-INT($L250/1000000)*1000000)/1000))</f>
        <v/>
      </c>
      <c r="O250" s="39">
        <f>IF($L250="","",$L250-INT($L250/1000)*1000)</f>
        <v/>
      </c>
      <c r="P250" s="39">
        <f>IF($L250="","",INT(($L250-INT($L250/1000000000)*1000000000)/100000000))</f>
        <v/>
      </c>
    </row>
    <row r="251">
      <c r="B251" s="42">
        <f>IF($L251="","",$M251)</f>
        <v/>
      </c>
      <c r="C251" s="22">
        <f>IF($L251="","",INDEX(HSI!$C$7:$C$106,$N251))</f>
        <v/>
      </c>
      <c r="D251" s="22">
        <f>IF($L251="","",INDEX(HSI!$D$7:$D$106,$N251))</f>
        <v/>
      </c>
      <c r="E251" s="43">
        <f>IF($L251="","",IF($P251=0,"TBA",IFERROR(INDEX(Grids!$C$12:$BO$111,$N251,$O251),"-")))</f>
        <v/>
      </c>
      <c r="F251" s="22">
        <f>IF($L251="","",INDEX(HSI!$F$7:$F$106,$N251))</f>
        <v/>
      </c>
      <c r="G251" s="43">
        <f>IF($L251="","",IF($P251=0,"TBA",IFERROR(INDEX(Grids!$BQ$12:$EC$111,$N251,$O251),"-")))</f>
        <v/>
      </c>
      <c r="H251" s="44">
        <f>IF($L251="","",SUM($G$10:$G251))</f>
        <v/>
      </c>
      <c r="I251" s="45">
        <f>IF($L251="","",IF(INT(($L251-INT($L251/10000000)*10000000)/1000000)=0,"Bloomberg projection",IF($P251=1,"ANNOUNCED","ANNOUNCED - amount TBA")))</f>
        <v/>
      </c>
      <c r="J251" s="46">
        <f>IF($L251="","",IF((OV_SWITCH="ON")*(COUNTIFS(OVR_TICKERS,INDEX(HSI!$C$7:$C$106,$N251),OVR_BASE,"&gt;=0")&gt;0)&gt;0,"stock overridden",""))</f>
        <v/>
      </c>
      <c r="L251" s="39">
        <f>IFERROR(IF(SMALL(Grids!$EE$12:$GQ$111,$M$7+242)&gt;=PEND_TO,"",SMALL(Grids!$EE$12:$GQ$111,$M$7+242)),"")</f>
        <v/>
      </c>
      <c r="M251" s="39">
        <f>IF($L251="","",INT($L251/1000000000))</f>
        <v/>
      </c>
      <c r="N251" s="39">
        <f>IF($L251="","",INT(($L251-INT($L251/1000000)*1000000)/1000))</f>
        <v/>
      </c>
      <c r="O251" s="39">
        <f>IF($L251="","",$L251-INT($L251/1000)*1000)</f>
        <v/>
      </c>
      <c r="P251" s="39">
        <f>IF($L251="","",INT(($L251-INT($L251/1000000000)*1000000000)/100000000))</f>
        <v/>
      </c>
    </row>
    <row r="252">
      <c r="B252" s="42">
        <f>IF($L252="","",$M252)</f>
        <v/>
      </c>
      <c r="C252" s="22">
        <f>IF($L252="","",INDEX(HSI!$C$7:$C$106,$N252))</f>
        <v/>
      </c>
      <c r="D252" s="22">
        <f>IF($L252="","",INDEX(HSI!$D$7:$D$106,$N252))</f>
        <v/>
      </c>
      <c r="E252" s="43">
        <f>IF($L252="","",IF($P252=0,"TBA",IFERROR(INDEX(Grids!$C$12:$BO$111,$N252,$O252),"-")))</f>
        <v/>
      </c>
      <c r="F252" s="22">
        <f>IF($L252="","",INDEX(HSI!$F$7:$F$106,$N252))</f>
        <v/>
      </c>
      <c r="G252" s="43">
        <f>IF($L252="","",IF($P252=0,"TBA",IFERROR(INDEX(Grids!$BQ$12:$EC$111,$N252,$O252),"-")))</f>
        <v/>
      </c>
      <c r="H252" s="44">
        <f>IF($L252="","",SUM($G$10:$G252))</f>
        <v/>
      </c>
      <c r="I252" s="45">
        <f>IF($L252="","",IF(INT(($L252-INT($L252/10000000)*10000000)/1000000)=0,"Bloomberg projection",IF($P252=1,"ANNOUNCED","ANNOUNCED - amount TBA")))</f>
        <v/>
      </c>
      <c r="J252" s="46">
        <f>IF($L252="","",IF((OV_SWITCH="ON")*(COUNTIFS(OVR_TICKERS,INDEX(HSI!$C$7:$C$106,$N252),OVR_BASE,"&gt;=0")&gt;0)&gt;0,"stock overridden",""))</f>
        <v/>
      </c>
      <c r="L252" s="39">
        <f>IFERROR(IF(SMALL(Grids!$EE$12:$GQ$111,$M$7+243)&gt;=PEND_TO,"",SMALL(Grids!$EE$12:$GQ$111,$M$7+243)),"")</f>
        <v/>
      </c>
      <c r="M252" s="39">
        <f>IF($L252="","",INT($L252/1000000000))</f>
        <v/>
      </c>
      <c r="N252" s="39">
        <f>IF($L252="","",INT(($L252-INT($L252/1000000)*1000000)/1000))</f>
        <v/>
      </c>
      <c r="O252" s="39">
        <f>IF($L252="","",$L252-INT($L252/1000)*1000)</f>
        <v/>
      </c>
      <c r="P252" s="39">
        <f>IF($L252="","",INT(($L252-INT($L252/1000000000)*1000000000)/100000000))</f>
        <v/>
      </c>
    </row>
    <row r="253">
      <c r="B253" s="42">
        <f>IF($L253="","",$M253)</f>
        <v/>
      </c>
      <c r="C253" s="22">
        <f>IF($L253="","",INDEX(HSI!$C$7:$C$106,$N253))</f>
        <v/>
      </c>
      <c r="D253" s="22">
        <f>IF($L253="","",INDEX(HSI!$D$7:$D$106,$N253))</f>
        <v/>
      </c>
      <c r="E253" s="43">
        <f>IF($L253="","",IF($P253=0,"TBA",IFERROR(INDEX(Grids!$C$12:$BO$111,$N253,$O253),"-")))</f>
        <v/>
      </c>
      <c r="F253" s="22">
        <f>IF($L253="","",INDEX(HSI!$F$7:$F$106,$N253))</f>
        <v/>
      </c>
      <c r="G253" s="43">
        <f>IF($L253="","",IF($P253=0,"TBA",IFERROR(INDEX(Grids!$BQ$12:$EC$111,$N253,$O253),"-")))</f>
        <v/>
      </c>
      <c r="H253" s="44">
        <f>IF($L253="","",SUM($G$10:$G253))</f>
        <v/>
      </c>
      <c r="I253" s="45">
        <f>IF($L253="","",IF(INT(($L253-INT($L253/10000000)*10000000)/1000000)=0,"Bloomberg projection",IF($P253=1,"ANNOUNCED","ANNOUNCED - amount TBA")))</f>
        <v/>
      </c>
      <c r="J253" s="46">
        <f>IF($L253="","",IF((OV_SWITCH="ON")*(COUNTIFS(OVR_TICKERS,INDEX(HSI!$C$7:$C$106,$N253),OVR_BASE,"&gt;=0")&gt;0)&gt;0,"stock overridden",""))</f>
        <v/>
      </c>
      <c r="L253" s="39">
        <f>IFERROR(IF(SMALL(Grids!$EE$12:$GQ$111,$M$7+244)&gt;=PEND_TO,"",SMALL(Grids!$EE$12:$GQ$111,$M$7+244)),"")</f>
        <v/>
      </c>
      <c r="M253" s="39">
        <f>IF($L253="","",INT($L253/1000000000))</f>
        <v/>
      </c>
      <c r="N253" s="39">
        <f>IF($L253="","",INT(($L253-INT($L253/1000000)*1000000)/1000))</f>
        <v/>
      </c>
      <c r="O253" s="39">
        <f>IF($L253="","",$L253-INT($L253/1000)*1000)</f>
        <v/>
      </c>
      <c r="P253" s="39">
        <f>IF($L253="","",INT(($L253-INT($L253/1000000000)*1000000000)/100000000))</f>
        <v/>
      </c>
    </row>
    <row r="254">
      <c r="B254" s="42">
        <f>IF($L254="","",$M254)</f>
        <v/>
      </c>
      <c r="C254" s="22">
        <f>IF($L254="","",INDEX(HSI!$C$7:$C$106,$N254))</f>
        <v/>
      </c>
      <c r="D254" s="22">
        <f>IF($L254="","",INDEX(HSI!$D$7:$D$106,$N254))</f>
        <v/>
      </c>
      <c r="E254" s="43">
        <f>IF($L254="","",IF($P254=0,"TBA",IFERROR(INDEX(Grids!$C$12:$BO$111,$N254,$O254),"-")))</f>
        <v/>
      </c>
      <c r="F254" s="22">
        <f>IF($L254="","",INDEX(HSI!$F$7:$F$106,$N254))</f>
        <v/>
      </c>
      <c r="G254" s="43">
        <f>IF($L254="","",IF($P254=0,"TBA",IFERROR(INDEX(Grids!$BQ$12:$EC$111,$N254,$O254),"-")))</f>
        <v/>
      </c>
      <c r="H254" s="44">
        <f>IF($L254="","",SUM($G$10:$G254))</f>
        <v/>
      </c>
      <c r="I254" s="45">
        <f>IF($L254="","",IF(INT(($L254-INT($L254/10000000)*10000000)/1000000)=0,"Bloomberg projection",IF($P254=1,"ANNOUNCED","ANNOUNCED - amount TBA")))</f>
        <v/>
      </c>
      <c r="J254" s="46">
        <f>IF($L254="","",IF((OV_SWITCH="ON")*(COUNTIFS(OVR_TICKERS,INDEX(HSI!$C$7:$C$106,$N254),OVR_BASE,"&gt;=0")&gt;0)&gt;0,"stock overridden",""))</f>
        <v/>
      </c>
      <c r="L254" s="39">
        <f>IFERROR(IF(SMALL(Grids!$EE$12:$GQ$111,$M$7+245)&gt;=PEND_TO,"",SMALL(Grids!$EE$12:$GQ$111,$M$7+245)),"")</f>
        <v/>
      </c>
      <c r="M254" s="39">
        <f>IF($L254="","",INT($L254/1000000000))</f>
        <v/>
      </c>
      <c r="N254" s="39">
        <f>IF($L254="","",INT(($L254-INT($L254/1000000)*1000000)/1000))</f>
        <v/>
      </c>
      <c r="O254" s="39">
        <f>IF($L254="","",$L254-INT($L254/1000)*1000)</f>
        <v/>
      </c>
      <c r="P254" s="39">
        <f>IF($L254="","",INT(($L254-INT($L254/1000000000)*1000000000)/100000000))</f>
        <v/>
      </c>
    </row>
    <row r="255">
      <c r="B255" s="42">
        <f>IF($L255="","",$M255)</f>
        <v/>
      </c>
      <c r="C255" s="22">
        <f>IF($L255="","",INDEX(HSI!$C$7:$C$106,$N255))</f>
        <v/>
      </c>
      <c r="D255" s="22">
        <f>IF($L255="","",INDEX(HSI!$D$7:$D$106,$N255))</f>
        <v/>
      </c>
      <c r="E255" s="43">
        <f>IF($L255="","",IF($P255=0,"TBA",IFERROR(INDEX(Grids!$C$12:$BO$111,$N255,$O255),"-")))</f>
        <v/>
      </c>
      <c r="F255" s="22">
        <f>IF($L255="","",INDEX(HSI!$F$7:$F$106,$N255))</f>
        <v/>
      </c>
      <c r="G255" s="43">
        <f>IF($L255="","",IF($P255=0,"TBA",IFERROR(INDEX(Grids!$BQ$12:$EC$111,$N255,$O255),"-")))</f>
        <v/>
      </c>
      <c r="H255" s="44">
        <f>IF($L255="","",SUM($G$10:$G255))</f>
        <v/>
      </c>
      <c r="I255" s="45">
        <f>IF($L255="","",IF(INT(($L255-INT($L255/10000000)*10000000)/1000000)=0,"Bloomberg projection",IF($P255=1,"ANNOUNCED","ANNOUNCED - amount TBA")))</f>
        <v/>
      </c>
      <c r="J255" s="46">
        <f>IF($L255="","",IF((OV_SWITCH="ON")*(COUNTIFS(OVR_TICKERS,INDEX(HSI!$C$7:$C$106,$N255),OVR_BASE,"&gt;=0")&gt;0)&gt;0,"stock overridden",""))</f>
        <v/>
      </c>
      <c r="L255" s="39">
        <f>IFERROR(IF(SMALL(Grids!$EE$12:$GQ$111,$M$7+246)&gt;=PEND_TO,"",SMALL(Grids!$EE$12:$GQ$111,$M$7+246)),"")</f>
        <v/>
      </c>
      <c r="M255" s="39">
        <f>IF($L255="","",INT($L255/1000000000))</f>
        <v/>
      </c>
      <c r="N255" s="39">
        <f>IF($L255="","",INT(($L255-INT($L255/1000000)*1000000)/1000))</f>
        <v/>
      </c>
      <c r="O255" s="39">
        <f>IF($L255="","",$L255-INT($L255/1000)*1000)</f>
        <v/>
      </c>
      <c r="P255" s="39">
        <f>IF($L255="","",INT(($L255-INT($L255/1000000000)*1000000000)/100000000))</f>
        <v/>
      </c>
    </row>
    <row r="256">
      <c r="B256" s="42">
        <f>IF($L256="","",$M256)</f>
        <v/>
      </c>
      <c r="C256" s="22">
        <f>IF($L256="","",INDEX(HSI!$C$7:$C$106,$N256))</f>
        <v/>
      </c>
      <c r="D256" s="22">
        <f>IF($L256="","",INDEX(HSI!$D$7:$D$106,$N256))</f>
        <v/>
      </c>
      <c r="E256" s="43">
        <f>IF($L256="","",IF($P256=0,"TBA",IFERROR(INDEX(Grids!$C$12:$BO$111,$N256,$O256),"-")))</f>
        <v/>
      </c>
      <c r="F256" s="22">
        <f>IF($L256="","",INDEX(HSI!$F$7:$F$106,$N256))</f>
        <v/>
      </c>
      <c r="G256" s="43">
        <f>IF($L256="","",IF($P256=0,"TBA",IFERROR(INDEX(Grids!$BQ$12:$EC$111,$N256,$O256),"-")))</f>
        <v/>
      </c>
      <c r="H256" s="44">
        <f>IF($L256="","",SUM($G$10:$G256))</f>
        <v/>
      </c>
      <c r="I256" s="45">
        <f>IF($L256="","",IF(INT(($L256-INT($L256/10000000)*10000000)/1000000)=0,"Bloomberg projection",IF($P256=1,"ANNOUNCED","ANNOUNCED - amount TBA")))</f>
        <v/>
      </c>
      <c r="J256" s="46">
        <f>IF($L256="","",IF((OV_SWITCH="ON")*(COUNTIFS(OVR_TICKERS,INDEX(HSI!$C$7:$C$106,$N256),OVR_BASE,"&gt;=0")&gt;0)&gt;0,"stock overridden",""))</f>
        <v/>
      </c>
      <c r="L256" s="39">
        <f>IFERROR(IF(SMALL(Grids!$EE$12:$GQ$111,$M$7+247)&gt;=PEND_TO,"",SMALL(Grids!$EE$12:$GQ$111,$M$7+247)),"")</f>
        <v/>
      </c>
      <c r="M256" s="39">
        <f>IF($L256="","",INT($L256/1000000000))</f>
        <v/>
      </c>
      <c r="N256" s="39">
        <f>IF($L256="","",INT(($L256-INT($L256/1000000)*1000000)/1000))</f>
        <v/>
      </c>
      <c r="O256" s="39">
        <f>IF($L256="","",$L256-INT($L256/1000)*1000)</f>
        <v/>
      </c>
      <c r="P256" s="39">
        <f>IF($L256="","",INT(($L256-INT($L256/1000000000)*1000000000)/100000000))</f>
        <v/>
      </c>
    </row>
    <row r="257">
      <c r="B257" s="42">
        <f>IF($L257="","",$M257)</f>
        <v/>
      </c>
      <c r="C257" s="22">
        <f>IF($L257="","",INDEX(HSI!$C$7:$C$106,$N257))</f>
        <v/>
      </c>
      <c r="D257" s="22">
        <f>IF($L257="","",INDEX(HSI!$D$7:$D$106,$N257))</f>
        <v/>
      </c>
      <c r="E257" s="43">
        <f>IF($L257="","",IF($P257=0,"TBA",IFERROR(INDEX(Grids!$C$12:$BO$111,$N257,$O257),"-")))</f>
        <v/>
      </c>
      <c r="F257" s="22">
        <f>IF($L257="","",INDEX(HSI!$F$7:$F$106,$N257))</f>
        <v/>
      </c>
      <c r="G257" s="43">
        <f>IF($L257="","",IF($P257=0,"TBA",IFERROR(INDEX(Grids!$BQ$12:$EC$111,$N257,$O257),"-")))</f>
        <v/>
      </c>
      <c r="H257" s="44">
        <f>IF($L257="","",SUM($G$10:$G257))</f>
        <v/>
      </c>
      <c r="I257" s="45">
        <f>IF($L257="","",IF(INT(($L257-INT($L257/10000000)*10000000)/1000000)=0,"Bloomberg projection",IF($P257=1,"ANNOUNCED","ANNOUNCED - amount TBA")))</f>
        <v/>
      </c>
      <c r="J257" s="46">
        <f>IF($L257="","",IF((OV_SWITCH="ON")*(COUNTIFS(OVR_TICKERS,INDEX(HSI!$C$7:$C$106,$N257),OVR_BASE,"&gt;=0")&gt;0)&gt;0,"stock overridden",""))</f>
        <v/>
      </c>
      <c r="L257" s="39">
        <f>IFERROR(IF(SMALL(Grids!$EE$12:$GQ$111,$M$7+248)&gt;=PEND_TO,"",SMALL(Grids!$EE$12:$GQ$111,$M$7+248)),"")</f>
        <v/>
      </c>
      <c r="M257" s="39">
        <f>IF($L257="","",INT($L257/1000000000))</f>
        <v/>
      </c>
      <c r="N257" s="39">
        <f>IF($L257="","",INT(($L257-INT($L257/1000000)*1000000)/1000))</f>
        <v/>
      </c>
      <c r="O257" s="39">
        <f>IF($L257="","",$L257-INT($L257/1000)*1000)</f>
        <v/>
      </c>
      <c r="P257" s="39">
        <f>IF($L257="","",INT(($L257-INT($L257/1000000000)*1000000000)/100000000))</f>
        <v/>
      </c>
    </row>
    <row r="258">
      <c r="B258" s="42">
        <f>IF($L258="","",$M258)</f>
        <v/>
      </c>
      <c r="C258" s="22">
        <f>IF($L258="","",INDEX(HSI!$C$7:$C$106,$N258))</f>
        <v/>
      </c>
      <c r="D258" s="22">
        <f>IF($L258="","",INDEX(HSI!$D$7:$D$106,$N258))</f>
        <v/>
      </c>
      <c r="E258" s="43">
        <f>IF($L258="","",IF($P258=0,"TBA",IFERROR(INDEX(Grids!$C$12:$BO$111,$N258,$O258),"-")))</f>
        <v/>
      </c>
      <c r="F258" s="22">
        <f>IF($L258="","",INDEX(HSI!$F$7:$F$106,$N258))</f>
        <v/>
      </c>
      <c r="G258" s="43">
        <f>IF($L258="","",IF($P258=0,"TBA",IFERROR(INDEX(Grids!$BQ$12:$EC$111,$N258,$O258),"-")))</f>
        <v/>
      </c>
      <c r="H258" s="44">
        <f>IF($L258="","",SUM($G$10:$G258))</f>
        <v/>
      </c>
      <c r="I258" s="45">
        <f>IF($L258="","",IF(INT(($L258-INT($L258/10000000)*10000000)/1000000)=0,"Bloomberg projection",IF($P258=1,"ANNOUNCED","ANNOUNCED - amount TBA")))</f>
        <v/>
      </c>
      <c r="J258" s="46">
        <f>IF($L258="","",IF((OV_SWITCH="ON")*(COUNTIFS(OVR_TICKERS,INDEX(HSI!$C$7:$C$106,$N258),OVR_BASE,"&gt;=0")&gt;0)&gt;0,"stock overridden",""))</f>
        <v/>
      </c>
      <c r="L258" s="39">
        <f>IFERROR(IF(SMALL(Grids!$EE$12:$GQ$111,$M$7+249)&gt;=PEND_TO,"",SMALL(Grids!$EE$12:$GQ$111,$M$7+249)),"")</f>
        <v/>
      </c>
      <c r="M258" s="39">
        <f>IF($L258="","",INT($L258/1000000000))</f>
        <v/>
      </c>
      <c r="N258" s="39">
        <f>IF($L258="","",INT(($L258-INT($L258/1000000)*1000000)/1000))</f>
        <v/>
      </c>
      <c r="O258" s="39">
        <f>IF($L258="","",$L258-INT($L258/1000)*1000)</f>
        <v/>
      </c>
      <c r="P258" s="39">
        <f>IF($L258="","",INT(($L258-INT($L258/1000000000)*1000000000)/100000000))</f>
        <v/>
      </c>
    </row>
    <row r="259">
      <c r="B259" s="42">
        <f>IF($L259="","",$M259)</f>
        <v/>
      </c>
      <c r="C259" s="22">
        <f>IF($L259="","",INDEX(HSI!$C$7:$C$106,$N259))</f>
        <v/>
      </c>
      <c r="D259" s="22">
        <f>IF($L259="","",INDEX(HSI!$D$7:$D$106,$N259))</f>
        <v/>
      </c>
      <c r="E259" s="43">
        <f>IF($L259="","",IF($P259=0,"TBA",IFERROR(INDEX(Grids!$C$12:$BO$111,$N259,$O259),"-")))</f>
        <v/>
      </c>
      <c r="F259" s="22">
        <f>IF($L259="","",INDEX(HSI!$F$7:$F$106,$N259))</f>
        <v/>
      </c>
      <c r="G259" s="43">
        <f>IF($L259="","",IF($P259=0,"TBA",IFERROR(INDEX(Grids!$BQ$12:$EC$111,$N259,$O259),"-")))</f>
        <v/>
      </c>
      <c r="H259" s="44">
        <f>IF($L259="","",SUM($G$10:$G259))</f>
        <v/>
      </c>
      <c r="I259" s="45">
        <f>IF($L259="","",IF(INT(($L259-INT($L259/10000000)*10000000)/1000000)=0,"Bloomberg projection",IF($P259=1,"ANNOUNCED","ANNOUNCED - amount TBA")))</f>
        <v/>
      </c>
      <c r="J259" s="46">
        <f>IF($L259="","",IF((OV_SWITCH="ON")*(COUNTIFS(OVR_TICKERS,INDEX(HSI!$C$7:$C$106,$N259),OVR_BASE,"&gt;=0")&gt;0)&gt;0,"stock overridden",""))</f>
        <v/>
      </c>
      <c r="L259" s="39">
        <f>IFERROR(IF(SMALL(Grids!$EE$12:$GQ$111,$M$7+250)&gt;=PEND_TO,"",SMALL(Grids!$EE$12:$GQ$111,$M$7+250)),"")</f>
        <v/>
      </c>
      <c r="M259" s="39">
        <f>IF($L259="","",INT($L259/1000000000))</f>
        <v/>
      </c>
      <c r="N259" s="39">
        <f>IF($L259="","",INT(($L259-INT($L259/1000000)*1000000)/1000))</f>
        <v/>
      </c>
      <c r="O259" s="39">
        <f>IF($L259="","",$L259-INT($L259/1000)*1000)</f>
        <v/>
      </c>
      <c r="P259" s="39">
        <f>IF($L259="","",INT(($L259-INT($L259/1000000000)*1000000000)/100000000))</f>
        <v/>
      </c>
    </row>
    <row r="260">
      <c r="B260" s="42">
        <f>IF($L260="","",$M260)</f>
        <v/>
      </c>
      <c r="C260" s="22">
        <f>IF($L260="","",INDEX(HSI!$C$7:$C$106,$N260))</f>
        <v/>
      </c>
      <c r="D260" s="22">
        <f>IF($L260="","",INDEX(HSI!$D$7:$D$106,$N260))</f>
        <v/>
      </c>
      <c r="E260" s="43">
        <f>IF($L260="","",IF($P260=0,"TBA",IFERROR(INDEX(Grids!$C$12:$BO$111,$N260,$O260),"-")))</f>
        <v/>
      </c>
      <c r="F260" s="22">
        <f>IF($L260="","",INDEX(HSI!$F$7:$F$106,$N260))</f>
        <v/>
      </c>
      <c r="G260" s="43">
        <f>IF($L260="","",IF($P260=0,"TBA",IFERROR(INDEX(Grids!$BQ$12:$EC$111,$N260,$O260),"-")))</f>
        <v/>
      </c>
      <c r="H260" s="44">
        <f>IF($L260="","",SUM($G$10:$G260))</f>
        <v/>
      </c>
      <c r="I260" s="45">
        <f>IF($L260="","",IF(INT(($L260-INT($L260/10000000)*10000000)/1000000)=0,"Bloomberg projection",IF($P260=1,"ANNOUNCED","ANNOUNCED - amount TBA")))</f>
        <v/>
      </c>
      <c r="J260" s="46">
        <f>IF($L260="","",IF((OV_SWITCH="ON")*(COUNTIFS(OVR_TICKERS,INDEX(HSI!$C$7:$C$106,$N260),OVR_BASE,"&gt;=0")&gt;0)&gt;0,"stock overridden",""))</f>
        <v/>
      </c>
      <c r="L260" s="39">
        <f>IFERROR(IF(SMALL(Grids!$EE$12:$GQ$111,$M$7+251)&gt;=PEND_TO,"",SMALL(Grids!$EE$12:$GQ$111,$M$7+251)),"")</f>
        <v/>
      </c>
      <c r="M260" s="39">
        <f>IF($L260="","",INT($L260/1000000000))</f>
        <v/>
      </c>
      <c r="N260" s="39">
        <f>IF($L260="","",INT(($L260-INT($L260/1000000)*1000000)/1000))</f>
        <v/>
      </c>
      <c r="O260" s="39">
        <f>IF($L260="","",$L260-INT($L260/1000)*1000)</f>
        <v/>
      </c>
      <c r="P260" s="39">
        <f>IF($L260="","",INT(($L260-INT($L260/1000000000)*1000000000)/100000000))</f>
        <v/>
      </c>
    </row>
    <row r="261">
      <c r="B261" s="42">
        <f>IF($L261="","",$M261)</f>
        <v/>
      </c>
      <c r="C261" s="22">
        <f>IF($L261="","",INDEX(HSI!$C$7:$C$106,$N261))</f>
        <v/>
      </c>
      <c r="D261" s="22">
        <f>IF($L261="","",INDEX(HSI!$D$7:$D$106,$N261))</f>
        <v/>
      </c>
      <c r="E261" s="43">
        <f>IF($L261="","",IF($P261=0,"TBA",IFERROR(INDEX(Grids!$C$12:$BO$111,$N261,$O261),"-")))</f>
        <v/>
      </c>
      <c r="F261" s="22">
        <f>IF($L261="","",INDEX(HSI!$F$7:$F$106,$N261))</f>
        <v/>
      </c>
      <c r="G261" s="43">
        <f>IF($L261="","",IF($P261=0,"TBA",IFERROR(INDEX(Grids!$BQ$12:$EC$111,$N261,$O261),"-")))</f>
        <v/>
      </c>
      <c r="H261" s="44">
        <f>IF($L261="","",SUM($G$10:$G261))</f>
        <v/>
      </c>
      <c r="I261" s="45">
        <f>IF($L261="","",IF(INT(($L261-INT($L261/10000000)*10000000)/1000000)=0,"Bloomberg projection",IF($P261=1,"ANNOUNCED","ANNOUNCED - amount TBA")))</f>
        <v/>
      </c>
      <c r="J261" s="46">
        <f>IF($L261="","",IF((OV_SWITCH="ON")*(COUNTIFS(OVR_TICKERS,INDEX(HSI!$C$7:$C$106,$N261),OVR_BASE,"&gt;=0")&gt;0)&gt;0,"stock overridden",""))</f>
        <v/>
      </c>
      <c r="L261" s="39">
        <f>IFERROR(IF(SMALL(Grids!$EE$12:$GQ$111,$M$7+252)&gt;=PEND_TO,"",SMALL(Grids!$EE$12:$GQ$111,$M$7+252)),"")</f>
        <v/>
      </c>
      <c r="M261" s="39">
        <f>IF($L261="","",INT($L261/1000000000))</f>
        <v/>
      </c>
      <c r="N261" s="39">
        <f>IF($L261="","",INT(($L261-INT($L261/1000000)*1000000)/1000))</f>
        <v/>
      </c>
      <c r="O261" s="39">
        <f>IF($L261="","",$L261-INT($L261/1000)*1000)</f>
        <v/>
      </c>
      <c r="P261" s="39">
        <f>IF($L261="","",INT(($L261-INT($L261/1000000000)*1000000000)/100000000))</f>
        <v/>
      </c>
    </row>
    <row r="262">
      <c r="B262" s="42">
        <f>IF($L262="","",$M262)</f>
        <v/>
      </c>
      <c r="C262" s="22">
        <f>IF($L262="","",INDEX(HSI!$C$7:$C$106,$N262))</f>
        <v/>
      </c>
      <c r="D262" s="22">
        <f>IF($L262="","",INDEX(HSI!$D$7:$D$106,$N262))</f>
        <v/>
      </c>
      <c r="E262" s="43">
        <f>IF($L262="","",IF($P262=0,"TBA",IFERROR(INDEX(Grids!$C$12:$BO$111,$N262,$O262),"-")))</f>
        <v/>
      </c>
      <c r="F262" s="22">
        <f>IF($L262="","",INDEX(HSI!$F$7:$F$106,$N262))</f>
        <v/>
      </c>
      <c r="G262" s="43">
        <f>IF($L262="","",IF($P262=0,"TBA",IFERROR(INDEX(Grids!$BQ$12:$EC$111,$N262,$O262),"-")))</f>
        <v/>
      </c>
      <c r="H262" s="44">
        <f>IF($L262="","",SUM($G$10:$G262))</f>
        <v/>
      </c>
      <c r="I262" s="45">
        <f>IF($L262="","",IF(INT(($L262-INT($L262/10000000)*10000000)/1000000)=0,"Bloomberg projection",IF($P262=1,"ANNOUNCED","ANNOUNCED - amount TBA")))</f>
        <v/>
      </c>
      <c r="J262" s="46">
        <f>IF($L262="","",IF((OV_SWITCH="ON")*(COUNTIFS(OVR_TICKERS,INDEX(HSI!$C$7:$C$106,$N262),OVR_BASE,"&gt;=0")&gt;0)&gt;0,"stock overridden",""))</f>
        <v/>
      </c>
      <c r="L262" s="39">
        <f>IFERROR(IF(SMALL(Grids!$EE$12:$GQ$111,$M$7+253)&gt;=PEND_TO,"",SMALL(Grids!$EE$12:$GQ$111,$M$7+253)),"")</f>
        <v/>
      </c>
      <c r="M262" s="39">
        <f>IF($L262="","",INT($L262/1000000000))</f>
        <v/>
      </c>
      <c r="N262" s="39">
        <f>IF($L262="","",INT(($L262-INT($L262/1000000)*1000000)/1000))</f>
        <v/>
      </c>
      <c r="O262" s="39">
        <f>IF($L262="","",$L262-INT($L262/1000)*1000)</f>
        <v/>
      </c>
      <c r="P262" s="39">
        <f>IF($L262="","",INT(($L262-INT($L262/1000000000)*1000000000)/100000000))</f>
        <v/>
      </c>
    </row>
    <row r="263">
      <c r="B263" s="42">
        <f>IF($L263="","",$M263)</f>
        <v/>
      </c>
      <c r="C263" s="22">
        <f>IF($L263="","",INDEX(HSI!$C$7:$C$106,$N263))</f>
        <v/>
      </c>
      <c r="D263" s="22">
        <f>IF($L263="","",INDEX(HSI!$D$7:$D$106,$N263))</f>
        <v/>
      </c>
      <c r="E263" s="43">
        <f>IF($L263="","",IF($P263=0,"TBA",IFERROR(INDEX(Grids!$C$12:$BO$111,$N263,$O263),"-")))</f>
        <v/>
      </c>
      <c r="F263" s="22">
        <f>IF($L263="","",INDEX(HSI!$F$7:$F$106,$N263))</f>
        <v/>
      </c>
      <c r="G263" s="43">
        <f>IF($L263="","",IF($P263=0,"TBA",IFERROR(INDEX(Grids!$BQ$12:$EC$111,$N263,$O263),"-")))</f>
        <v/>
      </c>
      <c r="H263" s="44">
        <f>IF($L263="","",SUM($G$10:$G263))</f>
        <v/>
      </c>
      <c r="I263" s="45">
        <f>IF($L263="","",IF(INT(($L263-INT($L263/10000000)*10000000)/1000000)=0,"Bloomberg projection",IF($P263=1,"ANNOUNCED","ANNOUNCED - amount TBA")))</f>
        <v/>
      </c>
      <c r="J263" s="46">
        <f>IF($L263="","",IF((OV_SWITCH="ON")*(COUNTIFS(OVR_TICKERS,INDEX(HSI!$C$7:$C$106,$N263),OVR_BASE,"&gt;=0")&gt;0)&gt;0,"stock overridden",""))</f>
        <v/>
      </c>
      <c r="L263" s="39">
        <f>IFERROR(IF(SMALL(Grids!$EE$12:$GQ$111,$M$7+254)&gt;=PEND_TO,"",SMALL(Grids!$EE$12:$GQ$111,$M$7+254)),"")</f>
        <v/>
      </c>
      <c r="M263" s="39">
        <f>IF($L263="","",INT($L263/1000000000))</f>
        <v/>
      </c>
      <c r="N263" s="39">
        <f>IF($L263="","",INT(($L263-INT($L263/1000000)*1000000)/1000))</f>
        <v/>
      </c>
      <c r="O263" s="39">
        <f>IF($L263="","",$L263-INT($L263/1000)*1000)</f>
        <v/>
      </c>
      <c r="P263" s="39">
        <f>IF($L263="","",INT(($L263-INT($L263/1000000000)*1000000000)/100000000))</f>
        <v/>
      </c>
    </row>
    <row r="264">
      <c r="B264" s="42">
        <f>IF($L264="","",$M264)</f>
        <v/>
      </c>
      <c r="C264" s="22">
        <f>IF($L264="","",INDEX(HSI!$C$7:$C$106,$N264))</f>
        <v/>
      </c>
      <c r="D264" s="22">
        <f>IF($L264="","",INDEX(HSI!$D$7:$D$106,$N264))</f>
        <v/>
      </c>
      <c r="E264" s="43">
        <f>IF($L264="","",IF($P264=0,"TBA",IFERROR(INDEX(Grids!$C$12:$BO$111,$N264,$O264),"-")))</f>
        <v/>
      </c>
      <c r="F264" s="22">
        <f>IF($L264="","",INDEX(HSI!$F$7:$F$106,$N264))</f>
        <v/>
      </c>
      <c r="G264" s="43">
        <f>IF($L264="","",IF($P264=0,"TBA",IFERROR(INDEX(Grids!$BQ$12:$EC$111,$N264,$O264),"-")))</f>
        <v/>
      </c>
      <c r="H264" s="44">
        <f>IF($L264="","",SUM($G$10:$G264))</f>
        <v/>
      </c>
      <c r="I264" s="45">
        <f>IF($L264="","",IF(INT(($L264-INT($L264/10000000)*10000000)/1000000)=0,"Bloomberg projection",IF($P264=1,"ANNOUNCED","ANNOUNCED - amount TBA")))</f>
        <v/>
      </c>
      <c r="J264" s="46">
        <f>IF($L264="","",IF((OV_SWITCH="ON")*(COUNTIFS(OVR_TICKERS,INDEX(HSI!$C$7:$C$106,$N264),OVR_BASE,"&gt;=0")&gt;0)&gt;0,"stock overridden",""))</f>
        <v/>
      </c>
      <c r="L264" s="39">
        <f>IFERROR(IF(SMALL(Grids!$EE$12:$GQ$111,$M$7+255)&gt;=PEND_TO,"",SMALL(Grids!$EE$12:$GQ$111,$M$7+255)),"")</f>
        <v/>
      </c>
      <c r="M264" s="39">
        <f>IF($L264="","",INT($L264/1000000000))</f>
        <v/>
      </c>
      <c r="N264" s="39">
        <f>IF($L264="","",INT(($L264-INT($L264/1000000)*1000000)/1000))</f>
        <v/>
      </c>
      <c r="O264" s="39">
        <f>IF($L264="","",$L264-INT($L264/1000)*1000)</f>
        <v/>
      </c>
      <c r="P264" s="39">
        <f>IF($L264="","",INT(($L264-INT($L264/1000000000)*1000000000)/100000000))</f>
        <v/>
      </c>
    </row>
    <row r="265">
      <c r="B265" s="42">
        <f>IF($L265="","",$M265)</f>
        <v/>
      </c>
      <c r="C265" s="22">
        <f>IF($L265="","",INDEX(HSI!$C$7:$C$106,$N265))</f>
        <v/>
      </c>
      <c r="D265" s="22">
        <f>IF($L265="","",INDEX(HSI!$D$7:$D$106,$N265))</f>
        <v/>
      </c>
      <c r="E265" s="43">
        <f>IF($L265="","",IF($P265=0,"TBA",IFERROR(INDEX(Grids!$C$12:$BO$111,$N265,$O265),"-")))</f>
        <v/>
      </c>
      <c r="F265" s="22">
        <f>IF($L265="","",INDEX(HSI!$F$7:$F$106,$N265))</f>
        <v/>
      </c>
      <c r="G265" s="43">
        <f>IF($L265="","",IF($P265=0,"TBA",IFERROR(INDEX(Grids!$BQ$12:$EC$111,$N265,$O265),"-")))</f>
        <v/>
      </c>
      <c r="H265" s="44">
        <f>IF($L265="","",SUM($G$10:$G265))</f>
        <v/>
      </c>
      <c r="I265" s="45">
        <f>IF($L265="","",IF(INT(($L265-INT($L265/10000000)*10000000)/1000000)=0,"Bloomberg projection",IF($P265=1,"ANNOUNCED","ANNOUNCED - amount TBA")))</f>
        <v/>
      </c>
      <c r="J265" s="46">
        <f>IF($L265="","",IF((OV_SWITCH="ON")*(COUNTIFS(OVR_TICKERS,INDEX(HSI!$C$7:$C$106,$N265),OVR_BASE,"&gt;=0")&gt;0)&gt;0,"stock overridden",""))</f>
        <v/>
      </c>
      <c r="L265" s="39">
        <f>IFERROR(IF(SMALL(Grids!$EE$12:$GQ$111,$M$7+256)&gt;=PEND_TO,"",SMALL(Grids!$EE$12:$GQ$111,$M$7+256)),"")</f>
        <v/>
      </c>
      <c r="M265" s="39">
        <f>IF($L265="","",INT($L265/1000000000))</f>
        <v/>
      </c>
      <c r="N265" s="39">
        <f>IF($L265="","",INT(($L265-INT($L265/1000000)*1000000)/1000))</f>
        <v/>
      </c>
      <c r="O265" s="39">
        <f>IF($L265="","",$L265-INT($L265/1000)*1000)</f>
        <v/>
      </c>
      <c r="P265" s="39">
        <f>IF($L265="","",INT(($L265-INT($L265/1000000000)*1000000000)/100000000))</f>
        <v/>
      </c>
    </row>
    <row r="266">
      <c r="B266" s="42">
        <f>IF($L266="","",$M266)</f>
        <v/>
      </c>
      <c r="C266" s="22">
        <f>IF($L266="","",INDEX(HSI!$C$7:$C$106,$N266))</f>
        <v/>
      </c>
      <c r="D266" s="22">
        <f>IF($L266="","",INDEX(HSI!$D$7:$D$106,$N266))</f>
        <v/>
      </c>
      <c r="E266" s="43">
        <f>IF($L266="","",IF($P266=0,"TBA",IFERROR(INDEX(Grids!$C$12:$BO$111,$N266,$O266),"-")))</f>
        <v/>
      </c>
      <c r="F266" s="22">
        <f>IF($L266="","",INDEX(HSI!$F$7:$F$106,$N266))</f>
        <v/>
      </c>
      <c r="G266" s="43">
        <f>IF($L266="","",IF($P266=0,"TBA",IFERROR(INDEX(Grids!$BQ$12:$EC$111,$N266,$O266),"-")))</f>
        <v/>
      </c>
      <c r="H266" s="44">
        <f>IF($L266="","",SUM($G$10:$G266))</f>
        <v/>
      </c>
      <c r="I266" s="45">
        <f>IF($L266="","",IF(INT(($L266-INT($L266/10000000)*10000000)/1000000)=0,"Bloomberg projection",IF($P266=1,"ANNOUNCED","ANNOUNCED - amount TBA")))</f>
        <v/>
      </c>
      <c r="J266" s="46">
        <f>IF($L266="","",IF((OV_SWITCH="ON")*(COUNTIFS(OVR_TICKERS,INDEX(HSI!$C$7:$C$106,$N266),OVR_BASE,"&gt;=0")&gt;0)&gt;0,"stock overridden",""))</f>
        <v/>
      </c>
      <c r="L266" s="39">
        <f>IFERROR(IF(SMALL(Grids!$EE$12:$GQ$111,$M$7+257)&gt;=PEND_TO,"",SMALL(Grids!$EE$12:$GQ$111,$M$7+257)),"")</f>
        <v/>
      </c>
      <c r="M266" s="39">
        <f>IF($L266="","",INT($L266/1000000000))</f>
        <v/>
      </c>
      <c r="N266" s="39">
        <f>IF($L266="","",INT(($L266-INT($L266/1000000)*1000000)/1000))</f>
        <v/>
      </c>
      <c r="O266" s="39">
        <f>IF($L266="","",$L266-INT($L266/1000)*1000)</f>
        <v/>
      </c>
      <c r="P266" s="39">
        <f>IF($L266="","",INT(($L266-INT($L266/1000000000)*1000000000)/100000000))</f>
        <v/>
      </c>
    </row>
    <row r="267">
      <c r="B267" s="42">
        <f>IF($L267="","",$M267)</f>
        <v/>
      </c>
      <c r="C267" s="22">
        <f>IF($L267="","",INDEX(HSI!$C$7:$C$106,$N267))</f>
        <v/>
      </c>
      <c r="D267" s="22">
        <f>IF($L267="","",INDEX(HSI!$D$7:$D$106,$N267))</f>
        <v/>
      </c>
      <c r="E267" s="43">
        <f>IF($L267="","",IF($P267=0,"TBA",IFERROR(INDEX(Grids!$C$12:$BO$111,$N267,$O267),"-")))</f>
        <v/>
      </c>
      <c r="F267" s="22">
        <f>IF($L267="","",INDEX(HSI!$F$7:$F$106,$N267))</f>
        <v/>
      </c>
      <c r="G267" s="43">
        <f>IF($L267="","",IF($P267=0,"TBA",IFERROR(INDEX(Grids!$BQ$12:$EC$111,$N267,$O267),"-")))</f>
        <v/>
      </c>
      <c r="H267" s="44">
        <f>IF($L267="","",SUM($G$10:$G267))</f>
        <v/>
      </c>
      <c r="I267" s="45">
        <f>IF($L267="","",IF(INT(($L267-INT($L267/10000000)*10000000)/1000000)=0,"Bloomberg projection",IF($P267=1,"ANNOUNCED","ANNOUNCED - amount TBA")))</f>
        <v/>
      </c>
      <c r="J267" s="46">
        <f>IF($L267="","",IF((OV_SWITCH="ON")*(COUNTIFS(OVR_TICKERS,INDEX(HSI!$C$7:$C$106,$N267),OVR_BASE,"&gt;=0")&gt;0)&gt;0,"stock overridden",""))</f>
        <v/>
      </c>
      <c r="L267" s="39">
        <f>IFERROR(IF(SMALL(Grids!$EE$12:$GQ$111,$M$7+258)&gt;=PEND_TO,"",SMALL(Grids!$EE$12:$GQ$111,$M$7+258)),"")</f>
        <v/>
      </c>
      <c r="M267" s="39">
        <f>IF($L267="","",INT($L267/1000000000))</f>
        <v/>
      </c>
      <c r="N267" s="39">
        <f>IF($L267="","",INT(($L267-INT($L267/1000000)*1000000)/1000))</f>
        <v/>
      </c>
      <c r="O267" s="39">
        <f>IF($L267="","",$L267-INT($L267/1000)*1000)</f>
        <v/>
      </c>
      <c r="P267" s="39">
        <f>IF($L267="","",INT(($L267-INT($L267/1000000000)*1000000000)/100000000))</f>
        <v/>
      </c>
    </row>
    <row r="268">
      <c r="B268" s="42">
        <f>IF($L268="","",$M268)</f>
        <v/>
      </c>
      <c r="C268" s="22">
        <f>IF($L268="","",INDEX(HSI!$C$7:$C$106,$N268))</f>
        <v/>
      </c>
      <c r="D268" s="22">
        <f>IF($L268="","",INDEX(HSI!$D$7:$D$106,$N268))</f>
        <v/>
      </c>
      <c r="E268" s="43">
        <f>IF($L268="","",IF($P268=0,"TBA",IFERROR(INDEX(Grids!$C$12:$BO$111,$N268,$O268),"-")))</f>
        <v/>
      </c>
      <c r="F268" s="22">
        <f>IF($L268="","",INDEX(HSI!$F$7:$F$106,$N268))</f>
        <v/>
      </c>
      <c r="G268" s="43">
        <f>IF($L268="","",IF($P268=0,"TBA",IFERROR(INDEX(Grids!$BQ$12:$EC$111,$N268,$O268),"-")))</f>
        <v/>
      </c>
      <c r="H268" s="44">
        <f>IF($L268="","",SUM($G$10:$G268))</f>
        <v/>
      </c>
      <c r="I268" s="45">
        <f>IF($L268="","",IF(INT(($L268-INT($L268/10000000)*10000000)/1000000)=0,"Bloomberg projection",IF($P268=1,"ANNOUNCED","ANNOUNCED - amount TBA")))</f>
        <v/>
      </c>
      <c r="J268" s="46">
        <f>IF($L268="","",IF((OV_SWITCH="ON")*(COUNTIFS(OVR_TICKERS,INDEX(HSI!$C$7:$C$106,$N268),OVR_BASE,"&gt;=0")&gt;0)&gt;0,"stock overridden",""))</f>
        <v/>
      </c>
      <c r="L268" s="39">
        <f>IFERROR(IF(SMALL(Grids!$EE$12:$GQ$111,$M$7+259)&gt;=PEND_TO,"",SMALL(Grids!$EE$12:$GQ$111,$M$7+259)),"")</f>
        <v/>
      </c>
      <c r="M268" s="39">
        <f>IF($L268="","",INT($L268/1000000000))</f>
        <v/>
      </c>
      <c r="N268" s="39">
        <f>IF($L268="","",INT(($L268-INT($L268/1000000)*1000000)/1000))</f>
        <v/>
      </c>
      <c r="O268" s="39">
        <f>IF($L268="","",$L268-INT($L268/1000)*1000)</f>
        <v/>
      </c>
      <c r="P268" s="39">
        <f>IF($L268="","",INT(($L268-INT($L268/1000000000)*1000000000)/100000000))</f>
        <v/>
      </c>
    </row>
    <row r="269">
      <c r="B269" s="42">
        <f>IF($L269="","",$M269)</f>
        <v/>
      </c>
      <c r="C269" s="22">
        <f>IF($L269="","",INDEX(HSI!$C$7:$C$106,$N269))</f>
        <v/>
      </c>
      <c r="D269" s="22">
        <f>IF($L269="","",INDEX(HSI!$D$7:$D$106,$N269))</f>
        <v/>
      </c>
      <c r="E269" s="43">
        <f>IF($L269="","",IF($P269=0,"TBA",IFERROR(INDEX(Grids!$C$12:$BO$111,$N269,$O269),"-")))</f>
        <v/>
      </c>
      <c r="F269" s="22">
        <f>IF($L269="","",INDEX(HSI!$F$7:$F$106,$N269))</f>
        <v/>
      </c>
      <c r="G269" s="43">
        <f>IF($L269="","",IF($P269=0,"TBA",IFERROR(INDEX(Grids!$BQ$12:$EC$111,$N269,$O269),"-")))</f>
        <v/>
      </c>
      <c r="H269" s="44">
        <f>IF($L269="","",SUM($G$10:$G269))</f>
        <v/>
      </c>
      <c r="I269" s="45">
        <f>IF($L269="","",IF(INT(($L269-INT($L269/10000000)*10000000)/1000000)=0,"Bloomberg projection",IF($P269=1,"ANNOUNCED","ANNOUNCED - amount TBA")))</f>
        <v/>
      </c>
      <c r="J269" s="46">
        <f>IF($L269="","",IF((OV_SWITCH="ON")*(COUNTIFS(OVR_TICKERS,INDEX(HSI!$C$7:$C$106,$N269),OVR_BASE,"&gt;=0")&gt;0)&gt;0,"stock overridden",""))</f>
        <v/>
      </c>
      <c r="L269" s="39">
        <f>IFERROR(IF(SMALL(Grids!$EE$12:$GQ$111,$M$7+260)&gt;=PEND_TO,"",SMALL(Grids!$EE$12:$GQ$111,$M$7+260)),"")</f>
        <v/>
      </c>
      <c r="M269" s="39">
        <f>IF($L269="","",INT($L269/1000000000))</f>
        <v/>
      </c>
      <c r="N269" s="39">
        <f>IF($L269="","",INT(($L269-INT($L269/1000000)*1000000)/1000))</f>
        <v/>
      </c>
      <c r="O269" s="39">
        <f>IF($L269="","",$L269-INT($L269/1000)*1000)</f>
        <v/>
      </c>
      <c r="P269" s="39">
        <f>IF($L269="","",INT(($L269-INT($L269/1000000000)*1000000000)/100000000))</f>
        <v/>
      </c>
    </row>
    <row r="270">
      <c r="B270" s="42">
        <f>IF($L270="","",$M270)</f>
        <v/>
      </c>
      <c r="C270" s="22">
        <f>IF($L270="","",INDEX(HSI!$C$7:$C$106,$N270))</f>
        <v/>
      </c>
      <c r="D270" s="22">
        <f>IF($L270="","",INDEX(HSI!$D$7:$D$106,$N270))</f>
        <v/>
      </c>
      <c r="E270" s="43">
        <f>IF($L270="","",IF($P270=0,"TBA",IFERROR(INDEX(Grids!$C$12:$BO$111,$N270,$O270),"-")))</f>
        <v/>
      </c>
      <c r="F270" s="22">
        <f>IF($L270="","",INDEX(HSI!$F$7:$F$106,$N270))</f>
        <v/>
      </c>
      <c r="G270" s="43">
        <f>IF($L270="","",IF($P270=0,"TBA",IFERROR(INDEX(Grids!$BQ$12:$EC$111,$N270,$O270),"-")))</f>
        <v/>
      </c>
      <c r="H270" s="44">
        <f>IF($L270="","",SUM($G$10:$G270))</f>
        <v/>
      </c>
      <c r="I270" s="45">
        <f>IF($L270="","",IF(INT(($L270-INT($L270/10000000)*10000000)/1000000)=0,"Bloomberg projection",IF($P270=1,"ANNOUNCED","ANNOUNCED - amount TBA")))</f>
        <v/>
      </c>
      <c r="J270" s="46">
        <f>IF($L270="","",IF((OV_SWITCH="ON")*(COUNTIFS(OVR_TICKERS,INDEX(HSI!$C$7:$C$106,$N270),OVR_BASE,"&gt;=0")&gt;0)&gt;0,"stock overridden",""))</f>
        <v/>
      </c>
      <c r="L270" s="39">
        <f>IFERROR(IF(SMALL(Grids!$EE$12:$GQ$111,$M$7+261)&gt;=PEND_TO,"",SMALL(Grids!$EE$12:$GQ$111,$M$7+261)),"")</f>
        <v/>
      </c>
      <c r="M270" s="39">
        <f>IF($L270="","",INT($L270/1000000000))</f>
        <v/>
      </c>
      <c r="N270" s="39">
        <f>IF($L270="","",INT(($L270-INT($L270/1000000)*1000000)/1000))</f>
        <v/>
      </c>
      <c r="O270" s="39">
        <f>IF($L270="","",$L270-INT($L270/1000)*1000)</f>
        <v/>
      </c>
      <c r="P270" s="39">
        <f>IF($L270="","",INT(($L270-INT($L270/1000000000)*1000000000)/100000000))</f>
        <v/>
      </c>
    </row>
    <row r="271">
      <c r="B271" s="42">
        <f>IF($L271="","",$M271)</f>
        <v/>
      </c>
      <c r="C271" s="22">
        <f>IF($L271="","",INDEX(HSI!$C$7:$C$106,$N271))</f>
        <v/>
      </c>
      <c r="D271" s="22">
        <f>IF($L271="","",INDEX(HSI!$D$7:$D$106,$N271))</f>
        <v/>
      </c>
      <c r="E271" s="43">
        <f>IF($L271="","",IF($P271=0,"TBA",IFERROR(INDEX(Grids!$C$12:$BO$111,$N271,$O271),"-")))</f>
        <v/>
      </c>
      <c r="F271" s="22">
        <f>IF($L271="","",INDEX(HSI!$F$7:$F$106,$N271))</f>
        <v/>
      </c>
      <c r="G271" s="43">
        <f>IF($L271="","",IF($P271=0,"TBA",IFERROR(INDEX(Grids!$BQ$12:$EC$111,$N271,$O271),"-")))</f>
        <v/>
      </c>
      <c r="H271" s="44">
        <f>IF($L271="","",SUM($G$10:$G271))</f>
        <v/>
      </c>
      <c r="I271" s="45">
        <f>IF($L271="","",IF(INT(($L271-INT($L271/10000000)*10000000)/1000000)=0,"Bloomberg projection",IF($P271=1,"ANNOUNCED","ANNOUNCED - amount TBA")))</f>
        <v/>
      </c>
      <c r="J271" s="46">
        <f>IF($L271="","",IF((OV_SWITCH="ON")*(COUNTIFS(OVR_TICKERS,INDEX(HSI!$C$7:$C$106,$N271),OVR_BASE,"&gt;=0")&gt;0)&gt;0,"stock overridden",""))</f>
        <v/>
      </c>
      <c r="L271" s="39">
        <f>IFERROR(IF(SMALL(Grids!$EE$12:$GQ$111,$M$7+262)&gt;=PEND_TO,"",SMALL(Grids!$EE$12:$GQ$111,$M$7+262)),"")</f>
        <v/>
      </c>
      <c r="M271" s="39">
        <f>IF($L271="","",INT($L271/1000000000))</f>
        <v/>
      </c>
      <c r="N271" s="39">
        <f>IF($L271="","",INT(($L271-INT($L271/1000000)*1000000)/1000))</f>
        <v/>
      </c>
      <c r="O271" s="39">
        <f>IF($L271="","",$L271-INT($L271/1000)*1000)</f>
        <v/>
      </c>
      <c r="P271" s="39">
        <f>IF($L271="","",INT(($L271-INT($L271/1000000000)*1000000000)/100000000))</f>
        <v/>
      </c>
    </row>
    <row r="272">
      <c r="B272" s="42">
        <f>IF($L272="","",$M272)</f>
        <v/>
      </c>
      <c r="C272" s="22">
        <f>IF($L272="","",INDEX(HSI!$C$7:$C$106,$N272))</f>
        <v/>
      </c>
      <c r="D272" s="22">
        <f>IF($L272="","",INDEX(HSI!$D$7:$D$106,$N272))</f>
        <v/>
      </c>
      <c r="E272" s="43">
        <f>IF($L272="","",IF($P272=0,"TBA",IFERROR(INDEX(Grids!$C$12:$BO$111,$N272,$O272),"-")))</f>
        <v/>
      </c>
      <c r="F272" s="22">
        <f>IF($L272="","",INDEX(HSI!$F$7:$F$106,$N272))</f>
        <v/>
      </c>
      <c r="G272" s="43">
        <f>IF($L272="","",IF($P272=0,"TBA",IFERROR(INDEX(Grids!$BQ$12:$EC$111,$N272,$O272),"-")))</f>
        <v/>
      </c>
      <c r="H272" s="44">
        <f>IF($L272="","",SUM($G$10:$G272))</f>
        <v/>
      </c>
      <c r="I272" s="45">
        <f>IF($L272="","",IF(INT(($L272-INT($L272/10000000)*10000000)/1000000)=0,"Bloomberg projection",IF($P272=1,"ANNOUNCED","ANNOUNCED - amount TBA")))</f>
        <v/>
      </c>
      <c r="J272" s="46">
        <f>IF($L272="","",IF((OV_SWITCH="ON")*(COUNTIFS(OVR_TICKERS,INDEX(HSI!$C$7:$C$106,$N272),OVR_BASE,"&gt;=0")&gt;0)&gt;0,"stock overridden",""))</f>
        <v/>
      </c>
      <c r="L272" s="39">
        <f>IFERROR(IF(SMALL(Grids!$EE$12:$GQ$111,$M$7+263)&gt;=PEND_TO,"",SMALL(Grids!$EE$12:$GQ$111,$M$7+263)),"")</f>
        <v/>
      </c>
      <c r="M272" s="39">
        <f>IF($L272="","",INT($L272/1000000000))</f>
        <v/>
      </c>
      <c r="N272" s="39">
        <f>IF($L272="","",INT(($L272-INT($L272/1000000)*1000000)/1000))</f>
        <v/>
      </c>
      <c r="O272" s="39">
        <f>IF($L272="","",$L272-INT($L272/1000)*1000)</f>
        <v/>
      </c>
      <c r="P272" s="39">
        <f>IF($L272="","",INT(($L272-INT($L272/1000000000)*1000000000)/100000000))</f>
        <v/>
      </c>
    </row>
    <row r="273">
      <c r="B273" s="42">
        <f>IF($L273="","",$M273)</f>
        <v/>
      </c>
      <c r="C273" s="22">
        <f>IF($L273="","",INDEX(HSI!$C$7:$C$106,$N273))</f>
        <v/>
      </c>
      <c r="D273" s="22">
        <f>IF($L273="","",INDEX(HSI!$D$7:$D$106,$N273))</f>
        <v/>
      </c>
      <c r="E273" s="43">
        <f>IF($L273="","",IF($P273=0,"TBA",IFERROR(INDEX(Grids!$C$12:$BO$111,$N273,$O273),"-")))</f>
        <v/>
      </c>
      <c r="F273" s="22">
        <f>IF($L273="","",INDEX(HSI!$F$7:$F$106,$N273))</f>
        <v/>
      </c>
      <c r="G273" s="43">
        <f>IF($L273="","",IF($P273=0,"TBA",IFERROR(INDEX(Grids!$BQ$12:$EC$111,$N273,$O273),"-")))</f>
        <v/>
      </c>
      <c r="H273" s="44">
        <f>IF($L273="","",SUM($G$10:$G273))</f>
        <v/>
      </c>
      <c r="I273" s="45">
        <f>IF($L273="","",IF(INT(($L273-INT($L273/10000000)*10000000)/1000000)=0,"Bloomberg projection",IF($P273=1,"ANNOUNCED","ANNOUNCED - amount TBA")))</f>
        <v/>
      </c>
      <c r="J273" s="46">
        <f>IF($L273="","",IF((OV_SWITCH="ON")*(COUNTIFS(OVR_TICKERS,INDEX(HSI!$C$7:$C$106,$N273),OVR_BASE,"&gt;=0")&gt;0)&gt;0,"stock overridden",""))</f>
        <v/>
      </c>
      <c r="L273" s="39">
        <f>IFERROR(IF(SMALL(Grids!$EE$12:$GQ$111,$M$7+264)&gt;=PEND_TO,"",SMALL(Grids!$EE$12:$GQ$111,$M$7+264)),"")</f>
        <v/>
      </c>
      <c r="M273" s="39">
        <f>IF($L273="","",INT($L273/1000000000))</f>
        <v/>
      </c>
      <c r="N273" s="39">
        <f>IF($L273="","",INT(($L273-INT($L273/1000000)*1000000)/1000))</f>
        <v/>
      </c>
      <c r="O273" s="39">
        <f>IF($L273="","",$L273-INT($L273/1000)*1000)</f>
        <v/>
      </c>
      <c r="P273" s="39">
        <f>IF($L273="","",INT(($L273-INT($L273/1000000000)*1000000000)/100000000))</f>
        <v/>
      </c>
    </row>
    <row r="274">
      <c r="B274" s="42">
        <f>IF($L274="","",$M274)</f>
        <v/>
      </c>
      <c r="C274" s="22">
        <f>IF($L274="","",INDEX(HSI!$C$7:$C$106,$N274))</f>
        <v/>
      </c>
      <c r="D274" s="22">
        <f>IF($L274="","",INDEX(HSI!$D$7:$D$106,$N274))</f>
        <v/>
      </c>
      <c r="E274" s="43">
        <f>IF($L274="","",IF($P274=0,"TBA",IFERROR(INDEX(Grids!$C$12:$BO$111,$N274,$O274),"-")))</f>
        <v/>
      </c>
      <c r="F274" s="22">
        <f>IF($L274="","",INDEX(HSI!$F$7:$F$106,$N274))</f>
        <v/>
      </c>
      <c r="G274" s="43">
        <f>IF($L274="","",IF($P274=0,"TBA",IFERROR(INDEX(Grids!$BQ$12:$EC$111,$N274,$O274),"-")))</f>
        <v/>
      </c>
      <c r="H274" s="44">
        <f>IF($L274="","",SUM($G$10:$G274))</f>
        <v/>
      </c>
      <c r="I274" s="45">
        <f>IF($L274="","",IF(INT(($L274-INT($L274/10000000)*10000000)/1000000)=0,"Bloomberg projection",IF($P274=1,"ANNOUNCED","ANNOUNCED - amount TBA")))</f>
        <v/>
      </c>
      <c r="J274" s="46">
        <f>IF($L274="","",IF((OV_SWITCH="ON")*(COUNTIFS(OVR_TICKERS,INDEX(HSI!$C$7:$C$106,$N274),OVR_BASE,"&gt;=0")&gt;0)&gt;0,"stock overridden",""))</f>
        <v/>
      </c>
      <c r="L274" s="39">
        <f>IFERROR(IF(SMALL(Grids!$EE$12:$GQ$111,$M$7+265)&gt;=PEND_TO,"",SMALL(Grids!$EE$12:$GQ$111,$M$7+265)),"")</f>
        <v/>
      </c>
      <c r="M274" s="39">
        <f>IF($L274="","",INT($L274/1000000000))</f>
        <v/>
      </c>
      <c r="N274" s="39">
        <f>IF($L274="","",INT(($L274-INT($L274/1000000)*1000000)/1000))</f>
        <v/>
      </c>
      <c r="O274" s="39">
        <f>IF($L274="","",$L274-INT($L274/1000)*1000)</f>
        <v/>
      </c>
      <c r="P274" s="39">
        <f>IF($L274="","",INT(($L274-INT($L274/1000000000)*1000000000)/100000000))</f>
        <v/>
      </c>
    </row>
    <row r="275">
      <c r="B275" s="42">
        <f>IF($L275="","",$M275)</f>
        <v/>
      </c>
      <c r="C275" s="22">
        <f>IF($L275="","",INDEX(HSI!$C$7:$C$106,$N275))</f>
        <v/>
      </c>
      <c r="D275" s="22">
        <f>IF($L275="","",INDEX(HSI!$D$7:$D$106,$N275))</f>
        <v/>
      </c>
      <c r="E275" s="43">
        <f>IF($L275="","",IF($P275=0,"TBA",IFERROR(INDEX(Grids!$C$12:$BO$111,$N275,$O275),"-")))</f>
        <v/>
      </c>
      <c r="F275" s="22">
        <f>IF($L275="","",INDEX(HSI!$F$7:$F$106,$N275))</f>
        <v/>
      </c>
      <c r="G275" s="43">
        <f>IF($L275="","",IF($P275=0,"TBA",IFERROR(INDEX(Grids!$BQ$12:$EC$111,$N275,$O275),"-")))</f>
        <v/>
      </c>
      <c r="H275" s="44">
        <f>IF($L275="","",SUM($G$10:$G275))</f>
        <v/>
      </c>
      <c r="I275" s="45">
        <f>IF($L275="","",IF(INT(($L275-INT($L275/10000000)*10000000)/1000000)=0,"Bloomberg projection",IF($P275=1,"ANNOUNCED","ANNOUNCED - amount TBA")))</f>
        <v/>
      </c>
      <c r="J275" s="46">
        <f>IF($L275="","",IF((OV_SWITCH="ON")*(COUNTIFS(OVR_TICKERS,INDEX(HSI!$C$7:$C$106,$N275),OVR_BASE,"&gt;=0")&gt;0)&gt;0,"stock overridden",""))</f>
        <v/>
      </c>
      <c r="L275" s="39">
        <f>IFERROR(IF(SMALL(Grids!$EE$12:$GQ$111,$M$7+266)&gt;=PEND_TO,"",SMALL(Grids!$EE$12:$GQ$111,$M$7+266)),"")</f>
        <v/>
      </c>
      <c r="M275" s="39">
        <f>IF($L275="","",INT($L275/1000000000))</f>
        <v/>
      </c>
      <c r="N275" s="39">
        <f>IF($L275="","",INT(($L275-INT($L275/1000000)*1000000)/1000))</f>
        <v/>
      </c>
      <c r="O275" s="39">
        <f>IF($L275="","",$L275-INT($L275/1000)*1000)</f>
        <v/>
      </c>
      <c r="P275" s="39">
        <f>IF($L275="","",INT(($L275-INT($L275/1000000000)*1000000000)/100000000))</f>
        <v/>
      </c>
    </row>
    <row r="276">
      <c r="B276" s="42">
        <f>IF($L276="","",$M276)</f>
        <v/>
      </c>
      <c r="C276" s="22">
        <f>IF($L276="","",INDEX(HSI!$C$7:$C$106,$N276))</f>
        <v/>
      </c>
      <c r="D276" s="22">
        <f>IF($L276="","",INDEX(HSI!$D$7:$D$106,$N276))</f>
        <v/>
      </c>
      <c r="E276" s="43">
        <f>IF($L276="","",IF($P276=0,"TBA",IFERROR(INDEX(Grids!$C$12:$BO$111,$N276,$O276),"-")))</f>
        <v/>
      </c>
      <c r="F276" s="22">
        <f>IF($L276="","",INDEX(HSI!$F$7:$F$106,$N276))</f>
        <v/>
      </c>
      <c r="G276" s="43">
        <f>IF($L276="","",IF($P276=0,"TBA",IFERROR(INDEX(Grids!$BQ$12:$EC$111,$N276,$O276),"-")))</f>
        <v/>
      </c>
      <c r="H276" s="44">
        <f>IF($L276="","",SUM($G$10:$G276))</f>
        <v/>
      </c>
      <c r="I276" s="45">
        <f>IF($L276="","",IF(INT(($L276-INT($L276/10000000)*10000000)/1000000)=0,"Bloomberg projection",IF($P276=1,"ANNOUNCED","ANNOUNCED - amount TBA")))</f>
        <v/>
      </c>
      <c r="J276" s="46">
        <f>IF($L276="","",IF((OV_SWITCH="ON")*(COUNTIFS(OVR_TICKERS,INDEX(HSI!$C$7:$C$106,$N276),OVR_BASE,"&gt;=0")&gt;0)&gt;0,"stock overridden",""))</f>
        <v/>
      </c>
      <c r="L276" s="39">
        <f>IFERROR(IF(SMALL(Grids!$EE$12:$GQ$111,$M$7+267)&gt;=PEND_TO,"",SMALL(Grids!$EE$12:$GQ$111,$M$7+267)),"")</f>
        <v/>
      </c>
      <c r="M276" s="39">
        <f>IF($L276="","",INT($L276/1000000000))</f>
        <v/>
      </c>
      <c r="N276" s="39">
        <f>IF($L276="","",INT(($L276-INT($L276/1000000)*1000000)/1000))</f>
        <v/>
      </c>
      <c r="O276" s="39">
        <f>IF($L276="","",$L276-INT($L276/1000)*1000)</f>
        <v/>
      </c>
      <c r="P276" s="39">
        <f>IF($L276="","",INT(($L276-INT($L276/1000000000)*1000000000)/100000000))</f>
        <v/>
      </c>
    </row>
    <row r="277">
      <c r="B277" s="42">
        <f>IF($L277="","",$M277)</f>
        <v/>
      </c>
      <c r="C277" s="22">
        <f>IF($L277="","",INDEX(HSI!$C$7:$C$106,$N277))</f>
        <v/>
      </c>
      <c r="D277" s="22">
        <f>IF($L277="","",INDEX(HSI!$D$7:$D$106,$N277))</f>
        <v/>
      </c>
      <c r="E277" s="43">
        <f>IF($L277="","",IF($P277=0,"TBA",IFERROR(INDEX(Grids!$C$12:$BO$111,$N277,$O277),"-")))</f>
        <v/>
      </c>
      <c r="F277" s="22">
        <f>IF($L277="","",INDEX(HSI!$F$7:$F$106,$N277))</f>
        <v/>
      </c>
      <c r="G277" s="43">
        <f>IF($L277="","",IF($P277=0,"TBA",IFERROR(INDEX(Grids!$BQ$12:$EC$111,$N277,$O277),"-")))</f>
        <v/>
      </c>
      <c r="H277" s="44">
        <f>IF($L277="","",SUM($G$10:$G277))</f>
        <v/>
      </c>
      <c r="I277" s="45">
        <f>IF($L277="","",IF(INT(($L277-INT($L277/10000000)*10000000)/1000000)=0,"Bloomberg projection",IF($P277=1,"ANNOUNCED","ANNOUNCED - amount TBA")))</f>
        <v/>
      </c>
      <c r="J277" s="46">
        <f>IF($L277="","",IF((OV_SWITCH="ON")*(COUNTIFS(OVR_TICKERS,INDEX(HSI!$C$7:$C$106,$N277),OVR_BASE,"&gt;=0")&gt;0)&gt;0,"stock overridden",""))</f>
        <v/>
      </c>
      <c r="L277" s="39">
        <f>IFERROR(IF(SMALL(Grids!$EE$12:$GQ$111,$M$7+268)&gt;=PEND_TO,"",SMALL(Grids!$EE$12:$GQ$111,$M$7+268)),"")</f>
        <v/>
      </c>
      <c r="M277" s="39">
        <f>IF($L277="","",INT($L277/1000000000))</f>
        <v/>
      </c>
      <c r="N277" s="39">
        <f>IF($L277="","",INT(($L277-INT($L277/1000000)*1000000)/1000))</f>
        <v/>
      </c>
      <c r="O277" s="39">
        <f>IF($L277="","",$L277-INT($L277/1000)*1000)</f>
        <v/>
      </c>
      <c r="P277" s="39">
        <f>IF($L277="","",INT(($L277-INT($L277/1000000000)*1000000000)/100000000))</f>
        <v/>
      </c>
    </row>
    <row r="278">
      <c r="B278" s="42">
        <f>IF($L278="","",$M278)</f>
        <v/>
      </c>
      <c r="C278" s="22">
        <f>IF($L278="","",INDEX(HSI!$C$7:$C$106,$N278))</f>
        <v/>
      </c>
      <c r="D278" s="22">
        <f>IF($L278="","",INDEX(HSI!$D$7:$D$106,$N278))</f>
        <v/>
      </c>
      <c r="E278" s="43">
        <f>IF($L278="","",IF($P278=0,"TBA",IFERROR(INDEX(Grids!$C$12:$BO$111,$N278,$O278),"-")))</f>
        <v/>
      </c>
      <c r="F278" s="22">
        <f>IF($L278="","",INDEX(HSI!$F$7:$F$106,$N278))</f>
        <v/>
      </c>
      <c r="G278" s="43">
        <f>IF($L278="","",IF($P278=0,"TBA",IFERROR(INDEX(Grids!$BQ$12:$EC$111,$N278,$O278),"-")))</f>
        <v/>
      </c>
      <c r="H278" s="44">
        <f>IF($L278="","",SUM($G$10:$G278))</f>
        <v/>
      </c>
      <c r="I278" s="45">
        <f>IF($L278="","",IF(INT(($L278-INT($L278/10000000)*10000000)/1000000)=0,"Bloomberg projection",IF($P278=1,"ANNOUNCED","ANNOUNCED - amount TBA")))</f>
        <v/>
      </c>
      <c r="J278" s="46">
        <f>IF($L278="","",IF((OV_SWITCH="ON")*(COUNTIFS(OVR_TICKERS,INDEX(HSI!$C$7:$C$106,$N278),OVR_BASE,"&gt;=0")&gt;0)&gt;0,"stock overridden",""))</f>
        <v/>
      </c>
      <c r="L278" s="39">
        <f>IFERROR(IF(SMALL(Grids!$EE$12:$GQ$111,$M$7+269)&gt;=PEND_TO,"",SMALL(Grids!$EE$12:$GQ$111,$M$7+269)),"")</f>
        <v/>
      </c>
      <c r="M278" s="39">
        <f>IF($L278="","",INT($L278/1000000000))</f>
        <v/>
      </c>
      <c r="N278" s="39">
        <f>IF($L278="","",INT(($L278-INT($L278/1000000)*1000000)/1000))</f>
        <v/>
      </c>
      <c r="O278" s="39">
        <f>IF($L278="","",$L278-INT($L278/1000)*1000)</f>
        <v/>
      </c>
      <c r="P278" s="39">
        <f>IF($L278="","",INT(($L278-INT($L278/1000000000)*1000000000)/100000000))</f>
        <v/>
      </c>
    </row>
    <row r="279">
      <c r="B279" s="42">
        <f>IF($L279="","",$M279)</f>
        <v/>
      </c>
      <c r="C279" s="22">
        <f>IF($L279="","",INDEX(HSI!$C$7:$C$106,$N279))</f>
        <v/>
      </c>
      <c r="D279" s="22">
        <f>IF($L279="","",INDEX(HSI!$D$7:$D$106,$N279))</f>
        <v/>
      </c>
      <c r="E279" s="43">
        <f>IF($L279="","",IF($P279=0,"TBA",IFERROR(INDEX(Grids!$C$12:$BO$111,$N279,$O279),"-")))</f>
        <v/>
      </c>
      <c r="F279" s="22">
        <f>IF($L279="","",INDEX(HSI!$F$7:$F$106,$N279))</f>
        <v/>
      </c>
      <c r="G279" s="43">
        <f>IF($L279="","",IF($P279=0,"TBA",IFERROR(INDEX(Grids!$BQ$12:$EC$111,$N279,$O279),"-")))</f>
        <v/>
      </c>
      <c r="H279" s="44">
        <f>IF($L279="","",SUM($G$10:$G279))</f>
        <v/>
      </c>
      <c r="I279" s="45">
        <f>IF($L279="","",IF(INT(($L279-INT($L279/10000000)*10000000)/1000000)=0,"Bloomberg projection",IF($P279=1,"ANNOUNCED","ANNOUNCED - amount TBA")))</f>
        <v/>
      </c>
      <c r="J279" s="46">
        <f>IF($L279="","",IF((OV_SWITCH="ON")*(COUNTIFS(OVR_TICKERS,INDEX(HSI!$C$7:$C$106,$N279),OVR_BASE,"&gt;=0")&gt;0)&gt;0,"stock overridden",""))</f>
        <v/>
      </c>
      <c r="L279" s="39">
        <f>IFERROR(IF(SMALL(Grids!$EE$12:$GQ$111,$M$7+270)&gt;=PEND_TO,"",SMALL(Grids!$EE$12:$GQ$111,$M$7+270)),"")</f>
        <v/>
      </c>
      <c r="M279" s="39">
        <f>IF($L279="","",INT($L279/1000000000))</f>
        <v/>
      </c>
      <c r="N279" s="39">
        <f>IF($L279="","",INT(($L279-INT($L279/1000000)*1000000)/1000))</f>
        <v/>
      </c>
      <c r="O279" s="39">
        <f>IF($L279="","",$L279-INT($L279/1000)*1000)</f>
        <v/>
      </c>
      <c r="P279" s="39">
        <f>IF($L279="","",INT(($L279-INT($L279/1000000000)*1000000000)/100000000))</f>
        <v/>
      </c>
    </row>
    <row r="280">
      <c r="B280" s="42">
        <f>IF($L280="","",$M280)</f>
        <v/>
      </c>
      <c r="C280" s="22">
        <f>IF($L280="","",INDEX(HSI!$C$7:$C$106,$N280))</f>
        <v/>
      </c>
      <c r="D280" s="22">
        <f>IF($L280="","",INDEX(HSI!$D$7:$D$106,$N280))</f>
        <v/>
      </c>
      <c r="E280" s="43">
        <f>IF($L280="","",IF($P280=0,"TBA",IFERROR(INDEX(Grids!$C$12:$BO$111,$N280,$O280),"-")))</f>
        <v/>
      </c>
      <c r="F280" s="22">
        <f>IF($L280="","",INDEX(HSI!$F$7:$F$106,$N280))</f>
        <v/>
      </c>
      <c r="G280" s="43">
        <f>IF($L280="","",IF($P280=0,"TBA",IFERROR(INDEX(Grids!$BQ$12:$EC$111,$N280,$O280),"-")))</f>
        <v/>
      </c>
      <c r="H280" s="44">
        <f>IF($L280="","",SUM($G$10:$G280))</f>
        <v/>
      </c>
      <c r="I280" s="45">
        <f>IF($L280="","",IF(INT(($L280-INT($L280/10000000)*10000000)/1000000)=0,"Bloomberg projection",IF($P280=1,"ANNOUNCED","ANNOUNCED - amount TBA")))</f>
        <v/>
      </c>
      <c r="J280" s="46">
        <f>IF($L280="","",IF((OV_SWITCH="ON")*(COUNTIFS(OVR_TICKERS,INDEX(HSI!$C$7:$C$106,$N280),OVR_BASE,"&gt;=0")&gt;0)&gt;0,"stock overridden",""))</f>
        <v/>
      </c>
      <c r="L280" s="39">
        <f>IFERROR(IF(SMALL(Grids!$EE$12:$GQ$111,$M$7+271)&gt;=PEND_TO,"",SMALL(Grids!$EE$12:$GQ$111,$M$7+271)),"")</f>
        <v/>
      </c>
      <c r="M280" s="39">
        <f>IF($L280="","",INT($L280/1000000000))</f>
        <v/>
      </c>
      <c r="N280" s="39">
        <f>IF($L280="","",INT(($L280-INT($L280/1000000)*1000000)/1000))</f>
        <v/>
      </c>
      <c r="O280" s="39">
        <f>IF($L280="","",$L280-INT($L280/1000)*1000)</f>
        <v/>
      </c>
      <c r="P280" s="39">
        <f>IF($L280="","",INT(($L280-INT($L280/1000000000)*1000000000)/100000000))</f>
        <v/>
      </c>
    </row>
    <row r="281">
      <c r="B281" s="42">
        <f>IF($L281="","",$M281)</f>
        <v/>
      </c>
      <c r="C281" s="22">
        <f>IF($L281="","",INDEX(HSI!$C$7:$C$106,$N281))</f>
        <v/>
      </c>
      <c r="D281" s="22">
        <f>IF($L281="","",INDEX(HSI!$D$7:$D$106,$N281))</f>
        <v/>
      </c>
      <c r="E281" s="43">
        <f>IF($L281="","",IF($P281=0,"TBA",IFERROR(INDEX(Grids!$C$12:$BO$111,$N281,$O281),"-")))</f>
        <v/>
      </c>
      <c r="F281" s="22">
        <f>IF($L281="","",INDEX(HSI!$F$7:$F$106,$N281))</f>
        <v/>
      </c>
      <c r="G281" s="43">
        <f>IF($L281="","",IF($P281=0,"TBA",IFERROR(INDEX(Grids!$BQ$12:$EC$111,$N281,$O281),"-")))</f>
        <v/>
      </c>
      <c r="H281" s="44">
        <f>IF($L281="","",SUM($G$10:$G281))</f>
        <v/>
      </c>
      <c r="I281" s="45">
        <f>IF($L281="","",IF(INT(($L281-INT($L281/10000000)*10000000)/1000000)=0,"Bloomberg projection",IF($P281=1,"ANNOUNCED","ANNOUNCED - amount TBA")))</f>
        <v/>
      </c>
      <c r="J281" s="46">
        <f>IF($L281="","",IF((OV_SWITCH="ON")*(COUNTIFS(OVR_TICKERS,INDEX(HSI!$C$7:$C$106,$N281),OVR_BASE,"&gt;=0")&gt;0)&gt;0,"stock overridden",""))</f>
        <v/>
      </c>
      <c r="L281" s="39">
        <f>IFERROR(IF(SMALL(Grids!$EE$12:$GQ$111,$M$7+272)&gt;=PEND_TO,"",SMALL(Grids!$EE$12:$GQ$111,$M$7+272)),"")</f>
        <v/>
      </c>
      <c r="M281" s="39">
        <f>IF($L281="","",INT($L281/1000000000))</f>
        <v/>
      </c>
      <c r="N281" s="39">
        <f>IF($L281="","",INT(($L281-INT($L281/1000000)*1000000)/1000))</f>
        <v/>
      </c>
      <c r="O281" s="39">
        <f>IF($L281="","",$L281-INT($L281/1000)*1000)</f>
        <v/>
      </c>
      <c r="P281" s="39">
        <f>IF($L281="","",INT(($L281-INT($L281/1000000000)*1000000000)/100000000))</f>
        <v/>
      </c>
    </row>
    <row r="282">
      <c r="B282" s="42">
        <f>IF($L282="","",$M282)</f>
        <v/>
      </c>
      <c r="C282" s="22">
        <f>IF($L282="","",INDEX(HSI!$C$7:$C$106,$N282))</f>
        <v/>
      </c>
      <c r="D282" s="22">
        <f>IF($L282="","",INDEX(HSI!$D$7:$D$106,$N282))</f>
        <v/>
      </c>
      <c r="E282" s="43">
        <f>IF($L282="","",IF($P282=0,"TBA",IFERROR(INDEX(Grids!$C$12:$BO$111,$N282,$O282),"-")))</f>
        <v/>
      </c>
      <c r="F282" s="22">
        <f>IF($L282="","",INDEX(HSI!$F$7:$F$106,$N282))</f>
        <v/>
      </c>
      <c r="G282" s="43">
        <f>IF($L282="","",IF($P282=0,"TBA",IFERROR(INDEX(Grids!$BQ$12:$EC$111,$N282,$O282),"-")))</f>
        <v/>
      </c>
      <c r="H282" s="44">
        <f>IF($L282="","",SUM($G$10:$G282))</f>
        <v/>
      </c>
      <c r="I282" s="45">
        <f>IF($L282="","",IF(INT(($L282-INT($L282/10000000)*10000000)/1000000)=0,"Bloomberg projection",IF($P282=1,"ANNOUNCED","ANNOUNCED - amount TBA")))</f>
        <v/>
      </c>
      <c r="J282" s="46">
        <f>IF($L282="","",IF((OV_SWITCH="ON")*(COUNTIFS(OVR_TICKERS,INDEX(HSI!$C$7:$C$106,$N282),OVR_BASE,"&gt;=0")&gt;0)&gt;0,"stock overridden",""))</f>
        <v/>
      </c>
      <c r="L282" s="39">
        <f>IFERROR(IF(SMALL(Grids!$EE$12:$GQ$111,$M$7+273)&gt;=PEND_TO,"",SMALL(Grids!$EE$12:$GQ$111,$M$7+273)),"")</f>
        <v/>
      </c>
      <c r="M282" s="39">
        <f>IF($L282="","",INT($L282/1000000000))</f>
        <v/>
      </c>
      <c r="N282" s="39">
        <f>IF($L282="","",INT(($L282-INT($L282/1000000)*1000000)/1000))</f>
        <v/>
      </c>
      <c r="O282" s="39">
        <f>IF($L282="","",$L282-INT($L282/1000)*1000)</f>
        <v/>
      </c>
      <c r="P282" s="39">
        <f>IF($L282="","",INT(($L282-INT($L282/1000000000)*1000000000)/100000000))</f>
        <v/>
      </c>
    </row>
    <row r="283">
      <c r="B283" s="42">
        <f>IF($L283="","",$M283)</f>
        <v/>
      </c>
      <c r="C283" s="22">
        <f>IF($L283="","",INDEX(HSI!$C$7:$C$106,$N283))</f>
        <v/>
      </c>
      <c r="D283" s="22">
        <f>IF($L283="","",INDEX(HSI!$D$7:$D$106,$N283))</f>
        <v/>
      </c>
      <c r="E283" s="43">
        <f>IF($L283="","",IF($P283=0,"TBA",IFERROR(INDEX(Grids!$C$12:$BO$111,$N283,$O283),"-")))</f>
        <v/>
      </c>
      <c r="F283" s="22">
        <f>IF($L283="","",INDEX(HSI!$F$7:$F$106,$N283))</f>
        <v/>
      </c>
      <c r="G283" s="43">
        <f>IF($L283="","",IF($P283=0,"TBA",IFERROR(INDEX(Grids!$BQ$12:$EC$111,$N283,$O283),"-")))</f>
        <v/>
      </c>
      <c r="H283" s="44">
        <f>IF($L283="","",SUM($G$10:$G283))</f>
        <v/>
      </c>
      <c r="I283" s="45">
        <f>IF($L283="","",IF(INT(($L283-INT($L283/10000000)*10000000)/1000000)=0,"Bloomberg projection",IF($P283=1,"ANNOUNCED","ANNOUNCED - amount TBA")))</f>
        <v/>
      </c>
      <c r="J283" s="46">
        <f>IF($L283="","",IF((OV_SWITCH="ON")*(COUNTIFS(OVR_TICKERS,INDEX(HSI!$C$7:$C$106,$N283),OVR_BASE,"&gt;=0")&gt;0)&gt;0,"stock overridden",""))</f>
        <v/>
      </c>
      <c r="L283" s="39">
        <f>IFERROR(IF(SMALL(Grids!$EE$12:$GQ$111,$M$7+274)&gt;=PEND_TO,"",SMALL(Grids!$EE$12:$GQ$111,$M$7+274)),"")</f>
        <v/>
      </c>
      <c r="M283" s="39">
        <f>IF($L283="","",INT($L283/1000000000))</f>
        <v/>
      </c>
      <c r="N283" s="39">
        <f>IF($L283="","",INT(($L283-INT($L283/1000000)*1000000)/1000))</f>
        <v/>
      </c>
      <c r="O283" s="39">
        <f>IF($L283="","",$L283-INT($L283/1000)*1000)</f>
        <v/>
      </c>
      <c r="P283" s="39">
        <f>IF($L283="","",INT(($L283-INT($L283/1000000000)*1000000000)/100000000))</f>
        <v/>
      </c>
    </row>
    <row r="284">
      <c r="B284" s="42">
        <f>IF($L284="","",$M284)</f>
        <v/>
      </c>
      <c r="C284" s="22">
        <f>IF($L284="","",INDEX(HSI!$C$7:$C$106,$N284))</f>
        <v/>
      </c>
      <c r="D284" s="22">
        <f>IF($L284="","",INDEX(HSI!$D$7:$D$106,$N284))</f>
        <v/>
      </c>
      <c r="E284" s="43">
        <f>IF($L284="","",IF($P284=0,"TBA",IFERROR(INDEX(Grids!$C$12:$BO$111,$N284,$O284),"-")))</f>
        <v/>
      </c>
      <c r="F284" s="22">
        <f>IF($L284="","",INDEX(HSI!$F$7:$F$106,$N284))</f>
        <v/>
      </c>
      <c r="G284" s="43">
        <f>IF($L284="","",IF($P284=0,"TBA",IFERROR(INDEX(Grids!$BQ$12:$EC$111,$N284,$O284),"-")))</f>
        <v/>
      </c>
      <c r="H284" s="44">
        <f>IF($L284="","",SUM($G$10:$G284))</f>
        <v/>
      </c>
      <c r="I284" s="45">
        <f>IF($L284="","",IF(INT(($L284-INT($L284/10000000)*10000000)/1000000)=0,"Bloomberg projection",IF($P284=1,"ANNOUNCED","ANNOUNCED - amount TBA")))</f>
        <v/>
      </c>
      <c r="J284" s="46">
        <f>IF($L284="","",IF((OV_SWITCH="ON")*(COUNTIFS(OVR_TICKERS,INDEX(HSI!$C$7:$C$106,$N284),OVR_BASE,"&gt;=0")&gt;0)&gt;0,"stock overridden",""))</f>
        <v/>
      </c>
      <c r="L284" s="39">
        <f>IFERROR(IF(SMALL(Grids!$EE$12:$GQ$111,$M$7+275)&gt;=PEND_TO,"",SMALL(Grids!$EE$12:$GQ$111,$M$7+275)),"")</f>
        <v/>
      </c>
      <c r="M284" s="39">
        <f>IF($L284="","",INT($L284/1000000000))</f>
        <v/>
      </c>
      <c r="N284" s="39">
        <f>IF($L284="","",INT(($L284-INT($L284/1000000)*1000000)/1000))</f>
        <v/>
      </c>
      <c r="O284" s="39">
        <f>IF($L284="","",$L284-INT($L284/1000)*1000)</f>
        <v/>
      </c>
      <c r="P284" s="39">
        <f>IF($L284="","",INT(($L284-INT($L284/1000000000)*1000000000)/100000000))</f>
        <v/>
      </c>
    </row>
    <row r="285">
      <c r="B285" s="42">
        <f>IF($L285="","",$M285)</f>
        <v/>
      </c>
      <c r="C285" s="22">
        <f>IF($L285="","",INDEX(HSI!$C$7:$C$106,$N285))</f>
        <v/>
      </c>
      <c r="D285" s="22">
        <f>IF($L285="","",INDEX(HSI!$D$7:$D$106,$N285))</f>
        <v/>
      </c>
      <c r="E285" s="43">
        <f>IF($L285="","",IF($P285=0,"TBA",IFERROR(INDEX(Grids!$C$12:$BO$111,$N285,$O285),"-")))</f>
        <v/>
      </c>
      <c r="F285" s="22">
        <f>IF($L285="","",INDEX(HSI!$F$7:$F$106,$N285))</f>
        <v/>
      </c>
      <c r="G285" s="43">
        <f>IF($L285="","",IF($P285=0,"TBA",IFERROR(INDEX(Grids!$BQ$12:$EC$111,$N285,$O285),"-")))</f>
        <v/>
      </c>
      <c r="H285" s="44">
        <f>IF($L285="","",SUM($G$10:$G285))</f>
        <v/>
      </c>
      <c r="I285" s="45">
        <f>IF($L285="","",IF(INT(($L285-INT($L285/10000000)*10000000)/1000000)=0,"Bloomberg projection",IF($P285=1,"ANNOUNCED","ANNOUNCED - amount TBA")))</f>
        <v/>
      </c>
      <c r="J285" s="46">
        <f>IF($L285="","",IF((OV_SWITCH="ON")*(COUNTIFS(OVR_TICKERS,INDEX(HSI!$C$7:$C$106,$N285),OVR_BASE,"&gt;=0")&gt;0)&gt;0,"stock overridden",""))</f>
        <v/>
      </c>
      <c r="L285" s="39">
        <f>IFERROR(IF(SMALL(Grids!$EE$12:$GQ$111,$M$7+276)&gt;=PEND_TO,"",SMALL(Grids!$EE$12:$GQ$111,$M$7+276)),"")</f>
        <v/>
      </c>
      <c r="M285" s="39">
        <f>IF($L285="","",INT($L285/1000000000))</f>
        <v/>
      </c>
      <c r="N285" s="39">
        <f>IF($L285="","",INT(($L285-INT($L285/1000000)*1000000)/1000))</f>
        <v/>
      </c>
      <c r="O285" s="39">
        <f>IF($L285="","",$L285-INT($L285/1000)*1000)</f>
        <v/>
      </c>
      <c r="P285" s="39">
        <f>IF($L285="","",INT(($L285-INT($L285/1000000000)*1000000000)/100000000))</f>
        <v/>
      </c>
    </row>
    <row r="286">
      <c r="B286" s="42">
        <f>IF($L286="","",$M286)</f>
        <v/>
      </c>
      <c r="C286" s="22">
        <f>IF($L286="","",INDEX(HSI!$C$7:$C$106,$N286))</f>
        <v/>
      </c>
      <c r="D286" s="22">
        <f>IF($L286="","",INDEX(HSI!$D$7:$D$106,$N286))</f>
        <v/>
      </c>
      <c r="E286" s="43">
        <f>IF($L286="","",IF($P286=0,"TBA",IFERROR(INDEX(Grids!$C$12:$BO$111,$N286,$O286),"-")))</f>
        <v/>
      </c>
      <c r="F286" s="22">
        <f>IF($L286="","",INDEX(HSI!$F$7:$F$106,$N286))</f>
        <v/>
      </c>
      <c r="G286" s="43">
        <f>IF($L286="","",IF($P286=0,"TBA",IFERROR(INDEX(Grids!$BQ$12:$EC$111,$N286,$O286),"-")))</f>
        <v/>
      </c>
      <c r="H286" s="44">
        <f>IF($L286="","",SUM($G$10:$G286))</f>
        <v/>
      </c>
      <c r="I286" s="45">
        <f>IF($L286="","",IF(INT(($L286-INT($L286/10000000)*10000000)/1000000)=0,"Bloomberg projection",IF($P286=1,"ANNOUNCED","ANNOUNCED - amount TBA")))</f>
        <v/>
      </c>
      <c r="J286" s="46">
        <f>IF($L286="","",IF((OV_SWITCH="ON")*(COUNTIFS(OVR_TICKERS,INDEX(HSI!$C$7:$C$106,$N286),OVR_BASE,"&gt;=0")&gt;0)&gt;0,"stock overridden",""))</f>
        <v/>
      </c>
      <c r="L286" s="39">
        <f>IFERROR(IF(SMALL(Grids!$EE$12:$GQ$111,$M$7+277)&gt;=PEND_TO,"",SMALL(Grids!$EE$12:$GQ$111,$M$7+277)),"")</f>
        <v/>
      </c>
      <c r="M286" s="39">
        <f>IF($L286="","",INT($L286/1000000000))</f>
        <v/>
      </c>
      <c r="N286" s="39">
        <f>IF($L286="","",INT(($L286-INT($L286/1000000)*1000000)/1000))</f>
        <v/>
      </c>
      <c r="O286" s="39">
        <f>IF($L286="","",$L286-INT($L286/1000)*1000)</f>
        <v/>
      </c>
      <c r="P286" s="39">
        <f>IF($L286="","",INT(($L286-INT($L286/1000000000)*1000000000)/100000000))</f>
        <v/>
      </c>
    </row>
    <row r="287">
      <c r="B287" s="42">
        <f>IF($L287="","",$M287)</f>
        <v/>
      </c>
      <c r="C287" s="22">
        <f>IF($L287="","",INDEX(HSI!$C$7:$C$106,$N287))</f>
        <v/>
      </c>
      <c r="D287" s="22">
        <f>IF($L287="","",INDEX(HSI!$D$7:$D$106,$N287))</f>
        <v/>
      </c>
      <c r="E287" s="43">
        <f>IF($L287="","",IF($P287=0,"TBA",IFERROR(INDEX(Grids!$C$12:$BO$111,$N287,$O287),"-")))</f>
        <v/>
      </c>
      <c r="F287" s="22">
        <f>IF($L287="","",INDEX(HSI!$F$7:$F$106,$N287))</f>
        <v/>
      </c>
      <c r="G287" s="43">
        <f>IF($L287="","",IF($P287=0,"TBA",IFERROR(INDEX(Grids!$BQ$12:$EC$111,$N287,$O287),"-")))</f>
        <v/>
      </c>
      <c r="H287" s="44">
        <f>IF($L287="","",SUM($G$10:$G287))</f>
        <v/>
      </c>
      <c r="I287" s="45">
        <f>IF($L287="","",IF(INT(($L287-INT($L287/10000000)*10000000)/1000000)=0,"Bloomberg projection",IF($P287=1,"ANNOUNCED","ANNOUNCED - amount TBA")))</f>
        <v/>
      </c>
      <c r="J287" s="46">
        <f>IF($L287="","",IF((OV_SWITCH="ON")*(COUNTIFS(OVR_TICKERS,INDEX(HSI!$C$7:$C$106,$N287),OVR_BASE,"&gt;=0")&gt;0)&gt;0,"stock overridden",""))</f>
        <v/>
      </c>
      <c r="L287" s="39">
        <f>IFERROR(IF(SMALL(Grids!$EE$12:$GQ$111,$M$7+278)&gt;=PEND_TO,"",SMALL(Grids!$EE$12:$GQ$111,$M$7+278)),"")</f>
        <v/>
      </c>
      <c r="M287" s="39">
        <f>IF($L287="","",INT($L287/1000000000))</f>
        <v/>
      </c>
      <c r="N287" s="39">
        <f>IF($L287="","",INT(($L287-INT($L287/1000000)*1000000)/1000))</f>
        <v/>
      </c>
      <c r="O287" s="39">
        <f>IF($L287="","",$L287-INT($L287/1000)*1000)</f>
        <v/>
      </c>
      <c r="P287" s="39">
        <f>IF($L287="","",INT(($L287-INT($L287/1000000000)*1000000000)/100000000))</f>
        <v/>
      </c>
    </row>
    <row r="288">
      <c r="B288" s="42">
        <f>IF($L288="","",$M288)</f>
        <v/>
      </c>
      <c r="C288" s="22">
        <f>IF($L288="","",INDEX(HSI!$C$7:$C$106,$N288))</f>
        <v/>
      </c>
      <c r="D288" s="22">
        <f>IF($L288="","",INDEX(HSI!$D$7:$D$106,$N288))</f>
        <v/>
      </c>
      <c r="E288" s="43">
        <f>IF($L288="","",IF($P288=0,"TBA",IFERROR(INDEX(Grids!$C$12:$BO$111,$N288,$O288),"-")))</f>
        <v/>
      </c>
      <c r="F288" s="22">
        <f>IF($L288="","",INDEX(HSI!$F$7:$F$106,$N288))</f>
        <v/>
      </c>
      <c r="G288" s="43">
        <f>IF($L288="","",IF($P288=0,"TBA",IFERROR(INDEX(Grids!$BQ$12:$EC$111,$N288,$O288),"-")))</f>
        <v/>
      </c>
      <c r="H288" s="44">
        <f>IF($L288="","",SUM($G$10:$G288))</f>
        <v/>
      </c>
      <c r="I288" s="45">
        <f>IF($L288="","",IF(INT(($L288-INT($L288/10000000)*10000000)/1000000)=0,"Bloomberg projection",IF($P288=1,"ANNOUNCED","ANNOUNCED - amount TBA")))</f>
        <v/>
      </c>
      <c r="J288" s="46">
        <f>IF($L288="","",IF((OV_SWITCH="ON")*(COUNTIFS(OVR_TICKERS,INDEX(HSI!$C$7:$C$106,$N288),OVR_BASE,"&gt;=0")&gt;0)&gt;0,"stock overridden",""))</f>
        <v/>
      </c>
      <c r="L288" s="39">
        <f>IFERROR(IF(SMALL(Grids!$EE$12:$GQ$111,$M$7+279)&gt;=PEND_TO,"",SMALL(Grids!$EE$12:$GQ$111,$M$7+279)),"")</f>
        <v/>
      </c>
      <c r="M288" s="39">
        <f>IF($L288="","",INT($L288/1000000000))</f>
        <v/>
      </c>
      <c r="N288" s="39">
        <f>IF($L288="","",INT(($L288-INT($L288/1000000)*1000000)/1000))</f>
        <v/>
      </c>
      <c r="O288" s="39">
        <f>IF($L288="","",$L288-INT($L288/1000)*1000)</f>
        <v/>
      </c>
      <c r="P288" s="39">
        <f>IF($L288="","",INT(($L288-INT($L288/1000000000)*1000000000)/100000000))</f>
        <v/>
      </c>
    </row>
    <row r="289">
      <c r="B289" s="42">
        <f>IF($L289="","",$M289)</f>
        <v/>
      </c>
      <c r="C289" s="22">
        <f>IF($L289="","",INDEX(HSI!$C$7:$C$106,$N289))</f>
        <v/>
      </c>
      <c r="D289" s="22">
        <f>IF($L289="","",INDEX(HSI!$D$7:$D$106,$N289))</f>
        <v/>
      </c>
      <c r="E289" s="43">
        <f>IF($L289="","",IF($P289=0,"TBA",IFERROR(INDEX(Grids!$C$12:$BO$111,$N289,$O289),"-")))</f>
        <v/>
      </c>
      <c r="F289" s="22">
        <f>IF($L289="","",INDEX(HSI!$F$7:$F$106,$N289))</f>
        <v/>
      </c>
      <c r="G289" s="43">
        <f>IF($L289="","",IF($P289=0,"TBA",IFERROR(INDEX(Grids!$BQ$12:$EC$111,$N289,$O289),"-")))</f>
        <v/>
      </c>
      <c r="H289" s="44">
        <f>IF($L289="","",SUM($G$10:$G289))</f>
        <v/>
      </c>
      <c r="I289" s="45">
        <f>IF($L289="","",IF(INT(($L289-INT($L289/10000000)*10000000)/1000000)=0,"Bloomberg projection",IF($P289=1,"ANNOUNCED","ANNOUNCED - amount TBA")))</f>
        <v/>
      </c>
      <c r="J289" s="46">
        <f>IF($L289="","",IF((OV_SWITCH="ON")*(COUNTIFS(OVR_TICKERS,INDEX(HSI!$C$7:$C$106,$N289),OVR_BASE,"&gt;=0")&gt;0)&gt;0,"stock overridden",""))</f>
        <v/>
      </c>
      <c r="L289" s="39">
        <f>IFERROR(IF(SMALL(Grids!$EE$12:$GQ$111,$M$7+280)&gt;=PEND_TO,"",SMALL(Grids!$EE$12:$GQ$111,$M$7+280)),"")</f>
        <v/>
      </c>
      <c r="M289" s="39">
        <f>IF($L289="","",INT($L289/1000000000))</f>
        <v/>
      </c>
      <c r="N289" s="39">
        <f>IF($L289="","",INT(($L289-INT($L289/1000000)*1000000)/1000))</f>
        <v/>
      </c>
      <c r="O289" s="39">
        <f>IF($L289="","",$L289-INT($L289/1000)*1000)</f>
        <v/>
      </c>
      <c r="P289" s="39">
        <f>IF($L289="","",INT(($L289-INT($L289/1000000000)*1000000000)/100000000))</f>
        <v/>
      </c>
    </row>
    <row r="290">
      <c r="B290" s="42">
        <f>IF($L290="","",$M290)</f>
        <v/>
      </c>
      <c r="C290" s="22">
        <f>IF($L290="","",INDEX(HSI!$C$7:$C$106,$N290))</f>
        <v/>
      </c>
      <c r="D290" s="22">
        <f>IF($L290="","",INDEX(HSI!$D$7:$D$106,$N290))</f>
        <v/>
      </c>
      <c r="E290" s="43">
        <f>IF($L290="","",IF($P290=0,"TBA",IFERROR(INDEX(Grids!$C$12:$BO$111,$N290,$O290),"-")))</f>
        <v/>
      </c>
      <c r="F290" s="22">
        <f>IF($L290="","",INDEX(HSI!$F$7:$F$106,$N290))</f>
        <v/>
      </c>
      <c r="G290" s="43">
        <f>IF($L290="","",IF($P290=0,"TBA",IFERROR(INDEX(Grids!$BQ$12:$EC$111,$N290,$O290),"-")))</f>
        <v/>
      </c>
      <c r="H290" s="44">
        <f>IF($L290="","",SUM($G$10:$G290))</f>
        <v/>
      </c>
      <c r="I290" s="45">
        <f>IF($L290="","",IF(INT(($L290-INT($L290/10000000)*10000000)/1000000)=0,"Bloomberg projection",IF($P290=1,"ANNOUNCED","ANNOUNCED - amount TBA")))</f>
        <v/>
      </c>
      <c r="J290" s="46">
        <f>IF($L290="","",IF((OV_SWITCH="ON")*(COUNTIFS(OVR_TICKERS,INDEX(HSI!$C$7:$C$106,$N290),OVR_BASE,"&gt;=0")&gt;0)&gt;0,"stock overridden",""))</f>
        <v/>
      </c>
      <c r="L290" s="39">
        <f>IFERROR(IF(SMALL(Grids!$EE$12:$GQ$111,$M$7+281)&gt;=PEND_TO,"",SMALL(Grids!$EE$12:$GQ$111,$M$7+281)),"")</f>
        <v/>
      </c>
      <c r="M290" s="39">
        <f>IF($L290="","",INT($L290/1000000000))</f>
        <v/>
      </c>
      <c r="N290" s="39">
        <f>IF($L290="","",INT(($L290-INT($L290/1000000)*1000000)/1000))</f>
        <v/>
      </c>
      <c r="O290" s="39">
        <f>IF($L290="","",$L290-INT($L290/1000)*1000)</f>
        <v/>
      </c>
      <c r="P290" s="39">
        <f>IF($L290="","",INT(($L290-INT($L290/1000000000)*1000000000)/100000000))</f>
        <v/>
      </c>
    </row>
    <row r="291">
      <c r="B291" s="42">
        <f>IF($L291="","",$M291)</f>
        <v/>
      </c>
      <c r="C291" s="22">
        <f>IF($L291="","",INDEX(HSI!$C$7:$C$106,$N291))</f>
        <v/>
      </c>
      <c r="D291" s="22">
        <f>IF($L291="","",INDEX(HSI!$D$7:$D$106,$N291))</f>
        <v/>
      </c>
      <c r="E291" s="43">
        <f>IF($L291="","",IF($P291=0,"TBA",IFERROR(INDEX(Grids!$C$12:$BO$111,$N291,$O291),"-")))</f>
        <v/>
      </c>
      <c r="F291" s="22">
        <f>IF($L291="","",INDEX(HSI!$F$7:$F$106,$N291))</f>
        <v/>
      </c>
      <c r="G291" s="43">
        <f>IF($L291="","",IF($P291=0,"TBA",IFERROR(INDEX(Grids!$BQ$12:$EC$111,$N291,$O291),"-")))</f>
        <v/>
      </c>
      <c r="H291" s="44">
        <f>IF($L291="","",SUM($G$10:$G291))</f>
        <v/>
      </c>
      <c r="I291" s="45">
        <f>IF($L291="","",IF(INT(($L291-INT($L291/10000000)*10000000)/1000000)=0,"Bloomberg projection",IF($P291=1,"ANNOUNCED","ANNOUNCED - amount TBA")))</f>
        <v/>
      </c>
      <c r="J291" s="46">
        <f>IF($L291="","",IF((OV_SWITCH="ON")*(COUNTIFS(OVR_TICKERS,INDEX(HSI!$C$7:$C$106,$N291),OVR_BASE,"&gt;=0")&gt;0)&gt;0,"stock overridden",""))</f>
        <v/>
      </c>
      <c r="L291" s="39">
        <f>IFERROR(IF(SMALL(Grids!$EE$12:$GQ$111,$M$7+282)&gt;=PEND_TO,"",SMALL(Grids!$EE$12:$GQ$111,$M$7+282)),"")</f>
        <v/>
      </c>
      <c r="M291" s="39">
        <f>IF($L291="","",INT($L291/1000000000))</f>
        <v/>
      </c>
      <c r="N291" s="39">
        <f>IF($L291="","",INT(($L291-INT($L291/1000000)*1000000)/1000))</f>
        <v/>
      </c>
      <c r="O291" s="39">
        <f>IF($L291="","",$L291-INT($L291/1000)*1000)</f>
        <v/>
      </c>
      <c r="P291" s="39">
        <f>IF($L291="","",INT(($L291-INT($L291/1000000000)*1000000000)/100000000))</f>
        <v/>
      </c>
    </row>
    <row r="292">
      <c r="B292" s="42">
        <f>IF($L292="","",$M292)</f>
        <v/>
      </c>
      <c r="C292" s="22">
        <f>IF($L292="","",INDEX(HSI!$C$7:$C$106,$N292))</f>
        <v/>
      </c>
      <c r="D292" s="22">
        <f>IF($L292="","",INDEX(HSI!$D$7:$D$106,$N292))</f>
        <v/>
      </c>
      <c r="E292" s="43">
        <f>IF($L292="","",IF($P292=0,"TBA",IFERROR(INDEX(Grids!$C$12:$BO$111,$N292,$O292),"-")))</f>
        <v/>
      </c>
      <c r="F292" s="22">
        <f>IF($L292="","",INDEX(HSI!$F$7:$F$106,$N292))</f>
        <v/>
      </c>
      <c r="G292" s="43">
        <f>IF($L292="","",IF($P292=0,"TBA",IFERROR(INDEX(Grids!$BQ$12:$EC$111,$N292,$O292),"-")))</f>
        <v/>
      </c>
      <c r="H292" s="44">
        <f>IF($L292="","",SUM($G$10:$G292))</f>
        <v/>
      </c>
      <c r="I292" s="45">
        <f>IF($L292="","",IF(INT(($L292-INT($L292/10000000)*10000000)/1000000)=0,"Bloomberg projection",IF($P292=1,"ANNOUNCED","ANNOUNCED - amount TBA")))</f>
        <v/>
      </c>
      <c r="J292" s="46">
        <f>IF($L292="","",IF((OV_SWITCH="ON")*(COUNTIFS(OVR_TICKERS,INDEX(HSI!$C$7:$C$106,$N292),OVR_BASE,"&gt;=0")&gt;0)&gt;0,"stock overridden",""))</f>
        <v/>
      </c>
      <c r="L292" s="39">
        <f>IFERROR(IF(SMALL(Grids!$EE$12:$GQ$111,$M$7+283)&gt;=PEND_TO,"",SMALL(Grids!$EE$12:$GQ$111,$M$7+283)),"")</f>
        <v/>
      </c>
      <c r="M292" s="39">
        <f>IF($L292="","",INT($L292/1000000000))</f>
        <v/>
      </c>
      <c r="N292" s="39">
        <f>IF($L292="","",INT(($L292-INT($L292/1000000)*1000000)/1000))</f>
        <v/>
      </c>
      <c r="O292" s="39">
        <f>IF($L292="","",$L292-INT($L292/1000)*1000)</f>
        <v/>
      </c>
      <c r="P292" s="39">
        <f>IF($L292="","",INT(($L292-INT($L292/1000000000)*1000000000)/100000000))</f>
        <v/>
      </c>
    </row>
    <row r="293">
      <c r="B293" s="42">
        <f>IF($L293="","",$M293)</f>
        <v/>
      </c>
      <c r="C293" s="22">
        <f>IF($L293="","",INDEX(HSI!$C$7:$C$106,$N293))</f>
        <v/>
      </c>
      <c r="D293" s="22">
        <f>IF($L293="","",INDEX(HSI!$D$7:$D$106,$N293))</f>
        <v/>
      </c>
      <c r="E293" s="43">
        <f>IF($L293="","",IF($P293=0,"TBA",IFERROR(INDEX(Grids!$C$12:$BO$111,$N293,$O293),"-")))</f>
        <v/>
      </c>
      <c r="F293" s="22">
        <f>IF($L293="","",INDEX(HSI!$F$7:$F$106,$N293))</f>
        <v/>
      </c>
      <c r="G293" s="43">
        <f>IF($L293="","",IF($P293=0,"TBA",IFERROR(INDEX(Grids!$BQ$12:$EC$111,$N293,$O293),"-")))</f>
        <v/>
      </c>
      <c r="H293" s="44">
        <f>IF($L293="","",SUM($G$10:$G293))</f>
        <v/>
      </c>
      <c r="I293" s="45">
        <f>IF($L293="","",IF(INT(($L293-INT($L293/10000000)*10000000)/1000000)=0,"Bloomberg projection",IF($P293=1,"ANNOUNCED","ANNOUNCED - amount TBA")))</f>
        <v/>
      </c>
      <c r="J293" s="46">
        <f>IF($L293="","",IF((OV_SWITCH="ON")*(COUNTIFS(OVR_TICKERS,INDEX(HSI!$C$7:$C$106,$N293),OVR_BASE,"&gt;=0")&gt;0)&gt;0,"stock overridden",""))</f>
        <v/>
      </c>
      <c r="L293" s="39">
        <f>IFERROR(IF(SMALL(Grids!$EE$12:$GQ$111,$M$7+284)&gt;=PEND_TO,"",SMALL(Grids!$EE$12:$GQ$111,$M$7+284)),"")</f>
        <v/>
      </c>
      <c r="M293" s="39">
        <f>IF($L293="","",INT($L293/1000000000))</f>
        <v/>
      </c>
      <c r="N293" s="39">
        <f>IF($L293="","",INT(($L293-INT($L293/1000000)*1000000)/1000))</f>
        <v/>
      </c>
      <c r="O293" s="39">
        <f>IF($L293="","",$L293-INT($L293/1000)*1000)</f>
        <v/>
      </c>
      <c r="P293" s="39">
        <f>IF($L293="","",INT(($L293-INT($L293/1000000000)*1000000000)/100000000))</f>
        <v/>
      </c>
    </row>
    <row r="294">
      <c r="B294" s="42">
        <f>IF($L294="","",$M294)</f>
        <v/>
      </c>
      <c r="C294" s="22">
        <f>IF($L294="","",INDEX(HSI!$C$7:$C$106,$N294))</f>
        <v/>
      </c>
      <c r="D294" s="22">
        <f>IF($L294="","",INDEX(HSI!$D$7:$D$106,$N294))</f>
        <v/>
      </c>
      <c r="E294" s="43">
        <f>IF($L294="","",IF($P294=0,"TBA",IFERROR(INDEX(Grids!$C$12:$BO$111,$N294,$O294),"-")))</f>
        <v/>
      </c>
      <c r="F294" s="22">
        <f>IF($L294="","",INDEX(HSI!$F$7:$F$106,$N294))</f>
        <v/>
      </c>
      <c r="G294" s="43">
        <f>IF($L294="","",IF($P294=0,"TBA",IFERROR(INDEX(Grids!$BQ$12:$EC$111,$N294,$O294),"-")))</f>
        <v/>
      </c>
      <c r="H294" s="44">
        <f>IF($L294="","",SUM($G$10:$G294))</f>
        <v/>
      </c>
      <c r="I294" s="45">
        <f>IF($L294="","",IF(INT(($L294-INT($L294/10000000)*10000000)/1000000)=0,"Bloomberg projection",IF($P294=1,"ANNOUNCED","ANNOUNCED - amount TBA")))</f>
        <v/>
      </c>
      <c r="J294" s="46">
        <f>IF($L294="","",IF((OV_SWITCH="ON")*(COUNTIFS(OVR_TICKERS,INDEX(HSI!$C$7:$C$106,$N294),OVR_BASE,"&gt;=0")&gt;0)&gt;0,"stock overridden",""))</f>
        <v/>
      </c>
      <c r="L294" s="39">
        <f>IFERROR(IF(SMALL(Grids!$EE$12:$GQ$111,$M$7+285)&gt;=PEND_TO,"",SMALL(Grids!$EE$12:$GQ$111,$M$7+285)),"")</f>
        <v/>
      </c>
      <c r="M294" s="39">
        <f>IF($L294="","",INT($L294/1000000000))</f>
        <v/>
      </c>
      <c r="N294" s="39">
        <f>IF($L294="","",INT(($L294-INT($L294/1000000)*1000000)/1000))</f>
        <v/>
      </c>
      <c r="O294" s="39">
        <f>IF($L294="","",$L294-INT($L294/1000)*1000)</f>
        <v/>
      </c>
      <c r="P294" s="39">
        <f>IF($L294="","",INT(($L294-INT($L294/1000000000)*1000000000)/100000000))</f>
        <v/>
      </c>
    </row>
    <row r="295">
      <c r="B295" s="42">
        <f>IF($L295="","",$M295)</f>
        <v/>
      </c>
      <c r="C295" s="22">
        <f>IF($L295="","",INDEX(HSI!$C$7:$C$106,$N295))</f>
        <v/>
      </c>
      <c r="D295" s="22">
        <f>IF($L295="","",INDEX(HSI!$D$7:$D$106,$N295))</f>
        <v/>
      </c>
      <c r="E295" s="43">
        <f>IF($L295="","",IF($P295=0,"TBA",IFERROR(INDEX(Grids!$C$12:$BO$111,$N295,$O295),"-")))</f>
        <v/>
      </c>
      <c r="F295" s="22">
        <f>IF($L295="","",INDEX(HSI!$F$7:$F$106,$N295))</f>
        <v/>
      </c>
      <c r="G295" s="43">
        <f>IF($L295="","",IF($P295=0,"TBA",IFERROR(INDEX(Grids!$BQ$12:$EC$111,$N295,$O295),"-")))</f>
        <v/>
      </c>
      <c r="H295" s="44">
        <f>IF($L295="","",SUM($G$10:$G295))</f>
        <v/>
      </c>
      <c r="I295" s="45">
        <f>IF($L295="","",IF(INT(($L295-INT($L295/10000000)*10000000)/1000000)=0,"Bloomberg projection",IF($P295=1,"ANNOUNCED","ANNOUNCED - amount TBA")))</f>
        <v/>
      </c>
      <c r="J295" s="46">
        <f>IF($L295="","",IF((OV_SWITCH="ON")*(COUNTIFS(OVR_TICKERS,INDEX(HSI!$C$7:$C$106,$N295),OVR_BASE,"&gt;=0")&gt;0)&gt;0,"stock overridden",""))</f>
        <v/>
      </c>
      <c r="L295" s="39">
        <f>IFERROR(IF(SMALL(Grids!$EE$12:$GQ$111,$M$7+286)&gt;=PEND_TO,"",SMALL(Grids!$EE$12:$GQ$111,$M$7+286)),"")</f>
        <v/>
      </c>
      <c r="M295" s="39">
        <f>IF($L295="","",INT($L295/1000000000))</f>
        <v/>
      </c>
      <c r="N295" s="39">
        <f>IF($L295="","",INT(($L295-INT($L295/1000000)*1000000)/1000))</f>
        <v/>
      </c>
      <c r="O295" s="39">
        <f>IF($L295="","",$L295-INT($L295/1000)*1000)</f>
        <v/>
      </c>
      <c r="P295" s="39">
        <f>IF($L295="","",INT(($L295-INT($L295/1000000000)*1000000000)/100000000))</f>
        <v/>
      </c>
    </row>
    <row r="296">
      <c r="B296" s="42">
        <f>IF($L296="","",$M296)</f>
        <v/>
      </c>
      <c r="C296" s="22">
        <f>IF($L296="","",INDEX(HSI!$C$7:$C$106,$N296))</f>
        <v/>
      </c>
      <c r="D296" s="22">
        <f>IF($L296="","",INDEX(HSI!$D$7:$D$106,$N296))</f>
        <v/>
      </c>
      <c r="E296" s="43">
        <f>IF($L296="","",IF($P296=0,"TBA",IFERROR(INDEX(Grids!$C$12:$BO$111,$N296,$O296),"-")))</f>
        <v/>
      </c>
      <c r="F296" s="22">
        <f>IF($L296="","",INDEX(HSI!$F$7:$F$106,$N296))</f>
        <v/>
      </c>
      <c r="G296" s="43">
        <f>IF($L296="","",IF($P296=0,"TBA",IFERROR(INDEX(Grids!$BQ$12:$EC$111,$N296,$O296),"-")))</f>
        <v/>
      </c>
      <c r="H296" s="44">
        <f>IF($L296="","",SUM($G$10:$G296))</f>
        <v/>
      </c>
      <c r="I296" s="45">
        <f>IF($L296="","",IF(INT(($L296-INT($L296/10000000)*10000000)/1000000)=0,"Bloomberg projection",IF($P296=1,"ANNOUNCED","ANNOUNCED - amount TBA")))</f>
        <v/>
      </c>
      <c r="J296" s="46">
        <f>IF($L296="","",IF((OV_SWITCH="ON")*(COUNTIFS(OVR_TICKERS,INDEX(HSI!$C$7:$C$106,$N296),OVR_BASE,"&gt;=0")&gt;0)&gt;0,"stock overridden",""))</f>
        <v/>
      </c>
      <c r="L296" s="39">
        <f>IFERROR(IF(SMALL(Grids!$EE$12:$GQ$111,$M$7+287)&gt;=PEND_TO,"",SMALL(Grids!$EE$12:$GQ$111,$M$7+287)),"")</f>
        <v/>
      </c>
      <c r="M296" s="39">
        <f>IF($L296="","",INT($L296/1000000000))</f>
        <v/>
      </c>
      <c r="N296" s="39">
        <f>IF($L296="","",INT(($L296-INT($L296/1000000)*1000000)/1000))</f>
        <v/>
      </c>
      <c r="O296" s="39">
        <f>IF($L296="","",$L296-INT($L296/1000)*1000)</f>
        <v/>
      </c>
      <c r="P296" s="39">
        <f>IF($L296="","",INT(($L296-INT($L296/1000000000)*1000000000)/100000000))</f>
        <v/>
      </c>
    </row>
    <row r="297">
      <c r="B297" s="42">
        <f>IF($L297="","",$M297)</f>
        <v/>
      </c>
      <c r="C297" s="22">
        <f>IF($L297="","",INDEX(HSI!$C$7:$C$106,$N297))</f>
        <v/>
      </c>
      <c r="D297" s="22">
        <f>IF($L297="","",INDEX(HSI!$D$7:$D$106,$N297))</f>
        <v/>
      </c>
      <c r="E297" s="43">
        <f>IF($L297="","",IF($P297=0,"TBA",IFERROR(INDEX(Grids!$C$12:$BO$111,$N297,$O297),"-")))</f>
        <v/>
      </c>
      <c r="F297" s="22">
        <f>IF($L297="","",INDEX(HSI!$F$7:$F$106,$N297))</f>
        <v/>
      </c>
      <c r="G297" s="43">
        <f>IF($L297="","",IF($P297=0,"TBA",IFERROR(INDEX(Grids!$BQ$12:$EC$111,$N297,$O297),"-")))</f>
        <v/>
      </c>
      <c r="H297" s="44">
        <f>IF($L297="","",SUM($G$10:$G297))</f>
        <v/>
      </c>
      <c r="I297" s="45">
        <f>IF($L297="","",IF(INT(($L297-INT($L297/10000000)*10000000)/1000000)=0,"Bloomberg projection",IF($P297=1,"ANNOUNCED","ANNOUNCED - amount TBA")))</f>
        <v/>
      </c>
      <c r="J297" s="46">
        <f>IF($L297="","",IF((OV_SWITCH="ON")*(COUNTIFS(OVR_TICKERS,INDEX(HSI!$C$7:$C$106,$N297),OVR_BASE,"&gt;=0")&gt;0)&gt;0,"stock overridden",""))</f>
        <v/>
      </c>
      <c r="L297" s="39">
        <f>IFERROR(IF(SMALL(Grids!$EE$12:$GQ$111,$M$7+288)&gt;=PEND_TO,"",SMALL(Grids!$EE$12:$GQ$111,$M$7+288)),"")</f>
        <v/>
      </c>
      <c r="M297" s="39">
        <f>IF($L297="","",INT($L297/1000000000))</f>
        <v/>
      </c>
      <c r="N297" s="39">
        <f>IF($L297="","",INT(($L297-INT($L297/1000000)*1000000)/1000))</f>
        <v/>
      </c>
      <c r="O297" s="39">
        <f>IF($L297="","",$L297-INT($L297/1000)*1000)</f>
        <v/>
      </c>
      <c r="P297" s="39">
        <f>IF($L297="","",INT(($L297-INT($L297/1000000000)*1000000000)/100000000))</f>
        <v/>
      </c>
    </row>
    <row r="298">
      <c r="B298" s="42">
        <f>IF($L298="","",$M298)</f>
        <v/>
      </c>
      <c r="C298" s="22">
        <f>IF($L298="","",INDEX(HSI!$C$7:$C$106,$N298))</f>
        <v/>
      </c>
      <c r="D298" s="22">
        <f>IF($L298="","",INDEX(HSI!$D$7:$D$106,$N298))</f>
        <v/>
      </c>
      <c r="E298" s="43">
        <f>IF($L298="","",IF($P298=0,"TBA",IFERROR(INDEX(Grids!$C$12:$BO$111,$N298,$O298),"-")))</f>
        <v/>
      </c>
      <c r="F298" s="22">
        <f>IF($L298="","",INDEX(HSI!$F$7:$F$106,$N298))</f>
        <v/>
      </c>
      <c r="G298" s="43">
        <f>IF($L298="","",IF($P298=0,"TBA",IFERROR(INDEX(Grids!$BQ$12:$EC$111,$N298,$O298),"-")))</f>
        <v/>
      </c>
      <c r="H298" s="44">
        <f>IF($L298="","",SUM($G$10:$G298))</f>
        <v/>
      </c>
      <c r="I298" s="45">
        <f>IF($L298="","",IF(INT(($L298-INT($L298/10000000)*10000000)/1000000)=0,"Bloomberg projection",IF($P298=1,"ANNOUNCED","ANNOUNCED - amount TBA")))</f>
        <v/>
      </c>
      <c r="J298" s="46">
        <f>IF($L298="","",IF((OV_SWITCH="ON")*(COUNTIFS(OVR_TICKERS,INDEX(HSI!$C$7:$C$106,$N298),OVR_BASE,"&gt;=0")&gt;0)&gt;0,"stock overridden",""))</f>
        <v/>
      </c>
      <c r="L298" s="39">
        <f>IFERROR(IF(SMALL(Grids!$EE$12:$GQ$111,$M$7+289)&gt;=PEND_TO,"",SMALL(Grids!$EE$12:$GQ$111,$M$7+289)),"")</f>
        <v/>
      </c>
      <c r="M298" s="39">
        <f>IF($L298="","",INT($L298/1000000000))</f>
        <v/>
      </c>
      <c r="N298" s="39">
        <f>IF($L298="","",INT(($L298-INT($L298/1000000)*1000000)/1000))</f>
        <v/>
      </c>
      <c r="O298" s="39">
        <f>IF($L298="","",$L298-INT($L298/1000)*1000)</f>
        <v/>
      </c>
      <c r="P298" s="39">
        <f>IF($L298="","",INT(($L298-INT($L298/1000000000)*1000000000)/100000000))</f>
        <v/>
      </c>
    </row>
    <row r="299">
      <c r="B299" s="42">
        <f>IF($L299="","",$M299)</f>
        <v/>
      </c>
      <c r="C299" s="22">
        <f>IF($L299="","",INDEX(HSI!$C$7:$C$106,$N299))</f>
        <v/>
      </c>
      <c r="D299" s="22">
        <f>IF($L299="","",INDEX(HSI!$D$7:$D$106,$N299))</f>
        <v/>
      </c>
      <c r="E299" s="43">
        <f>IF($L299="","",IF($P299=0,"TBA",IFERROR(INDEX(Grids!$C$12:$BO$111,$N299,$O299),"-")))</f>
        <v/>
      </c>
      <c r="F299" s="22">
        <f>IF($L299="","",INDEX(HSI!$F$7:$F$106,$N299))</f>
        <v/>
      </c>
      <c r="G299" s="43">
        <f>IF($L299="","",IF($P299=0,"TBA",IFERROR(INDEX(Grids!$BQ$12:$EC$111,$N299,$O299),"-")))</f>
        <v/>
      </c>
      <c r="H299" s="44">
        <f>IF($L299="","",SUM($G$10:$G299))</f>
        <v/>
      </c>
      <c r="I299" s="45">
        <f>IF($L299="","",IF(INT(($L299-INT($L299/10000000)*10000000)/1000000)=0,"Bloomberg projection",IF($P299=1,"ANNOUNCED","ANNOUNCED - amount TBA")))</f>
        <v/>
      </c>
      <c r="J299" s="46">
        <f>IF($L299="","",IF((OV_SWITCH="ON")*(COUNTIFS(OVR_TICKERS,INDEX(HSI!$C$7:$C$106,$N299),OVR_BASE,"&gt;=0")&gt;0)&gt;0,"stock overridden",""))</f>
        <v/>
      </c>
      <c r="L299" s="39">
        <f>IFERROR(IF(SMALL(Grids!$EE$12:$GQ$111,$M$7+290)&gt;=PEND_TO,"",SMALL(Grids!$EE$12:$GQ$111,$M$7+290)),"")</f>
        <v/>
      </c>
      <c r="M299" s="39">
        <f>IF($L299="","",INT($L299/1000000000))</f>
        <v/>
      </c>
      <c r="N299" s="39">
        <f>IF($L299="","",INT(($L299-INT($L299/1000000)*1000000)/1000))</f>
        <v/>
      </c>
      <c r="O299" s="39">
        <f>IF($L299="","",$L299-INT($L299/1000)*1000)</f>
        <v/>
      </c>
      <c r="P299" s="39">
        <f>IF($L299="","",INT(($L299-INT($L299/1000000000)*1000000000)/100000000))</f>
        <v/>
      </c>
    </row>
    <row r="300">
      <c r="B300" s="42">
        <f>IF($L300="","",$M300)</f>
        <v/>
      </c>
      <c r="C300" s="22">
        <f>IF($L300="","",INDEX(HSI!$C$7:$C$106,$N300))</f>
        <v/>
      </c>
      <c r="D300" s="22">
        <f>IF($L300="","",INDEX(HSI!$D$7:$D$106,$N300))</f>
        <v/>
      </c>
      <c r="E300" s="43">
        <f>IF($L300="","",IF($P300=0,"TBA",IFERROR(INDEX(Grids!$C$12:$BO$111,$N300,$O300),"-")))</f>
        <v/>
      </c>
      <c r="F300" s="22">
        <f>IF($L300="","",INDEX(HSI!$F$7:$F$106,$N300))</f>
        <v/>
      </c>
      <c r="G300" s="43">
        <f>IF($L300="","",IF($P300=0,"TBA",IFERROR(INDEX(Grids!$BQ$12:$EC$111,$N300,$O300),"-")))</f>
        <v/>
      </c>
      <c r="H300" s="44">
        <f>IF($L300="","",SUM($G$10:$G300))</f>
        <v/>
      </c>
      <c r="I300" s="45">
        <f>IF($L300="","",IF(INT(($L300-INT($L300/10000000)*10000000)/1000000)=0,"Bloomberg projection",IF($P300=1,"ANNOUNCED","ANNOUNCED - amount TBA")))</f>
        <v/>
      </c>
      <c r="J300" s="46">
        <f>IF($L300="","",IF((OV_SWITCH="ON")*(COUNTIFS(OVR_TICKERS,INDEX(HSI!$C$7:$C$106,$N300),OVR_BASE,"&gt;=0")&gt;0)&gt;0,"stock overridden",""))</f>
        <v/>
      </c>
      <c r="L300" s="39">
        <f>IFERROR(IF(SMALL(Grids!$EE$12:$GQ$111,$M$7+291)&gt;=PEND_TO,"",SMALL(Grids!$EE$12:$GQ$111,$M$7+291)),"")</f>
        <v/>
      </c>
      <c r="M300" s="39">
        <f>IF($L300="","",INT($L300/1000000000))</f>
        <v/>
      </c>
      <c r="N300" s="39">
        <f>IF($L300="","",INT(($L300-INT($L300/1000000)*1000000)/1000))</f>
        <v/>
      </c>
      <c r="O300" s="39">
        <f>IF($L300="","",$L300-INT($L300/1000)*1000)</f>
        <v/>
      </c>
      <c r="P300" s="39">
        <f>IF($L300="","",INT(($L300-INT($L300/1000000000)*1000000000)/100000000))</f>
        <v/>
      </c>
    </row>
    <row r="301">
      <c r="B301" s="42">
        <f>IF($L301="","",$M301)</f>
        <v/>
      </c>
      <c r="C301" s="22">
        <f>IF($L301="","",INDEX(HSI!$C$7:$C$106,$N301))</f>
        <v/>
      </c>
      <c r="D301" s="22">
        <f>IF($L301="","",INDEX(HSI!$D$7:$D$106,$N301))</f>
        <v/>
      </c>
      <c r="E301" s="43">
        <f>IF($L301="","",IF($P301=0,"TBA",IFERROR(INDEX(Grids!$C$12:$BO$111,$N301,$O301),"-")))</f>
        <v/>
      </c>
      <c r="F301" s="22">
        <f>IF($L301="","",INDEX(HSI!$F$7:$F$106,$N301))</f>
        <v/>
      </c>
      <c r="G301" s="43">
        <f>IF($L301="","",IF($P301=0,"TBA",IFERROR(INDEX(Grids!$BQ$12:$EC$111,$N301,$O301),"-")))</f>
        <v/>
      </c>
      <c r="H301" s="44">
        <f>IF($L301="","",SUM($G$10:$G301))</f>
        <v/>
      </c>
      <c r="I301" s="45">
        <f>IF($L301="","",IF(INT(($L301-INT($L301/10000000)*10000000)/1000000)=0,"Bloomberg projection",IF($P301=1,"ANNOUNCED","ANNOUNCED - amount TBA")))</f>
        <v/>
      </c>
      <c r="J301" s="46">
        <f>IF($L301="","",IF((OV_SWITCH="ON")*(COUNTIFS(OVR_TICKERS,INDEX(HSI!$C$7:$C$106,$N301),OVR_BASE,"&gt;=0")&gt;0)&gt;0,"stock overridden",""))</f>
        <v/>
      </c>
      <c r="L301" s="39">
        <f>IFERROR(IF(SMALL(Grids!$EE$12:$GQ$111,$M$7+292)&gt;=PEND_TO,"",SMALL(Grids!$EE$12:$GQ$111,$M$7+292)),"")</f>
        <v/>
      </c>
      <c r="M301" s="39">
        <f>IF($L301="","",INT($L301/1000000000))</f>
        <v/>
      </c>
      <c r="N301" s="39">
        <f>IF($L301="","",INT(($L301-INT($L301/1000000)*1000000)/1000))</f>
        <v/>
      </c>
      <c r="O301" s="39">
        <f>IF($L301="","",$L301-INT($L301/1000)*1000)</f>
        <v/>
      </c>
      <c r="P301" s="39">
        <f>IF($L301="","",INT(($L301-INT($L301/1000000000)*1000000000)/100000000))</f>
        <v/>
      </c>
    </row>
    <row r="302">
      <c r="B302" s="42">
        <f>IF($L302="","",$M302)</f>
        <v/>
      </c>
      <c r="C302" s="22">
        <f>IF($L302="","",INDEX(HSI!$C$7:$C$106,$N302))</f>
        <v/>
      </c>
      <c r="D302" s="22">
        <f>IF($L302="","",INDEX(HSI!$D$7:$D$106,$N302))</f>
        <v/>
      </c>
      <c r="E302" s="43">
        <f>IF($L302="","",IF($P302=0,"TBA",IFERROR(INDEX(Grids!$C$12:$BO$111,$N302,$O302),"-")))</f>
        <v/>
      </c>
      <c r="F302" s="22">
        <f>IF($L302="","",INDEX(HSI!$F$7:$F$106,$N302))</f>
        <v/>
      </c>
      <c r="G302" s="43">
        <f>IF($L302="","",IF($P302=0,"TBA",IFERROR(INDEX(Grids!$BQ$12:$EC$111,$N302,$O302),"-")))</f>
        <v/>
      </c>
      <c r="H302" s="44">
        <f>IF($L302="","",SUM($G$10:$G302))</f>
        <v/>
      </c>
      <c r="I302" s="45">
        <f>IF($L302="","",IF(INT(($L302-INT($L302/10000000)*10000000)/1000000)=0,"Bloomberg projection",IF($P302=1,"ANNOUNCED","ANNOUNCED - amount TBA")))</f>
        <v/>
      </c>
      <c r="J302" s="46">
        <f>IF($L302="","",IF((OV_SWITCH="ON")*(COUNTIFS(OVR_TICKERS,INDEX(HSI!$C$7:$C$106,$N302),OVR_BASE,"&gt;=0")&gt;0)&gt;0,"stock overridden",""))</f>
        <v/>
      </c>
      <c r="L302" s="39">
        <f>IFERROR(IF(SMALL(Grids!$EE$12:$GQ$111,$M$7+293)&gt;=PEND_TO,"",SMALL(Grids!$EE$12:$GQ$111,$M$7+293)),"")</f>
        <v/>
      </c>
      <c r="M302" s="39">
        <f>IF($L302="","",INT($L302/1000000000))</f>
        <v/>
      </c>
      <c r="N302" s="39">
        <f>IF($L302="","",INT(($L302-INT($L302/1000000)*1000000)/1000))</f>
        <v/>
      </c>
      <c r="O302" s="39">
        <f>IF($L302="","",$L302-INT($L302/1000)*1000)</f>
        <v/>
      </c>
      <c r="P302" s="39">
        <f>IF($L302="","",INT(($L302-INT($L302/1000000000)*1000000000)/100000000))</f>
        <v/>
      </c>
    </row>
    <row r="303">
      <c r="B303" s="42">
        <f>IF($L303="","",$M303)</f>
        <v/>
      </c>
      <c r="C303" s="22">
        <f>IF($L303="","",INDEX(HSI!$C$7:$C$106,$N303))</f>
        <v/>
      </c>
      <c r="D303" s="22">
        <f>IF($L303="","",INDEX(HSI!$D$7:$D$106,$N303))</f>
        <v/>
      </c>
      <c r="E303" s="43">
        <f>IF($L303="","",IF($P303=0,"TBA",IFERROR(INDEX(Grids!$C$12:$BO$111,$N303,$O303),"-")))</f>
        <v/>
      </c>
      <c r="F303" s="22">
        <f>IF($L303="","",INDEX(HSI!$F$7:$F$106,$N303))</f>
        <v/>
      </c>
      <c r="G303" s="43">
        <f>IF($L303="","",IF($P303=0,"TBA",IFERROR(INDEX(Grids!$BQ$12:$EC$111,$N303,$O303),"-")))</f>
        <v/>
      </c>
      <c r="H303" s="44">
        <f>IF($L303="","",SUM($G$10:$G303))</f>
        <v/>
      </c>
      <c r="I303" s="45">
        <f>IF($L303="","",IF(INT(($L303-INT($L303/10000000)*10000000)/1000000)=0,"Bloomberg projection",IF($P303=1,"ANNOUNCED","ANNOUNCED - amount TBA")))</f>
        <v/>
      </c>
      <c r="J303" s="46">
        <f>IF($L303="","",IF((OV_SWITCH="ON")*(COUNTIFS(OVR_TICKERS,INDEX(HSI!$C$7:$C$106,$N303),OVR_BASE,"&gt;=0")&gt;0)&gt;0,"stock overridden",""))</f>
        <v/>
      </c>
      <c r="L303" s="39">
        <f>IFERROR(IF(SMALL(Grids!$EE$12:$GQ$111,$M$7+294)&gt;=PEND_TO,"",SMALL(Grids!$EE$12:$GQ$111,$M$7+294)),"")</f>
        <v/>
      </c>
      <c r="M303" s="39">
        <f>IF($L303="","",INT($L303/1000000000))</f>
        <v/>
      </c>
      <c r="N303" s="39">
        <f>IF($L303="","",INT(($L303-INT($L303/1000000)*1000000)/1000))</f>
        <v/>
      </c>
      <c r="O303" s="39">
        <f>IF($L303="","",$L303-INT($L303/1000)*1000)</f>
        <v/>
      </c>
      <c r="P303" s="39">
        <f>IF($L303="","",INT(($L303-INT($L303/1000000000)*1000000000)/100000000))</f>
        <v/>
      </c>
    </row>
    <row r="304">
      <c r="B304" s="42">
        <f>IF($L304="","",$M304)</f>
        <v/>
      </c>
      <c r="C304" s="22">
        <f>IF($L304="","",INDEX(HSI!$C$7:$C$106,$N304))</f>
        <v/>
      </c>
      <c r="D304" s="22">
        <f>IF($L304="","",INDEX(HSI!$D$7:$D$106,$N304))</f>
        <v/>
      </c>
      <c r="E304" s="43">
        <f>IF($L304="","",IF($P304=0,"TBA",IFERROR(INDEX(Grids!$C$12:$BO$111,$N304,$O304),"-")))</f>
        <v/>
      </c>
      <c r="F304" s="22">
        <f>IF($L304="","",INDEX(HSI!$F$7:$F$106,$N304))</f>
        <v/>
      </c>
      <c r="G304" s="43">
        <f>IF($L304="","",IF($P304=0,"TBA",IFERROR(INDEX(Grids!$BQ$12:$EC$111,$N304,$O304),"-")))</f>
        <v/>
      </c>
      <c r="H304" s="44">
        <f>IF($L304="","",SUM($G$10:$G304))</f>
        <v/>
      </c>
      <c r="I304" s="45">
        <f>IF($L304="","",IF(INT(($L304-INT($L304/10000000)*10000000)/1000000)=0,"Bloomberg projection",IF($P304=1,"ANNOUNCED","ANNOUNCED - amount TBA")))</f>
        <v/>
      </c>
      <c r="J304" s="46">
        <f>IF($L304="","",IF((OV_SWITCH="ON")*(COUNTIFS(OVR_TICKERS,INDEX(HSI!$C$7:$C$106,$N304),OVR_BASE,"&gt;=0")&gt;0)&gt;0,"stock overridden",""))</f>
        <v/>
      </c>
      <c r="L304" s="39">
        <f>IFERROR(IF(SMALL(Grids!$EE$12:$GQ$111,$M$7+295)&gt;=PEND_TO,"",SMALL(Grids!$EE$12:$GQ$111,$M$7+295)),"")</f>
        <v/>
      </c>
      <c r="M304" s="39">
        <f>IF($L304="","",INT($L304/1000000000))</f>
        <v/>
      </c>
      <c r="N304" s="39">
        <f>IF($L304="","",INT(($L304-INT($L304/1000000)*1000000)/1000))</f>
        <v/>
      </c>
      <c r="O304" s="39">
        <f>IF($L304="","",$L304-INT($L304/1000)*1000)</f>
        <v/>
      </c>
      <c r="P304" s="39">
        <f>IF($L304="","",INT(($L304-INT($L304/1000000000)*1000000000)/100000000))</f>
        <v/>
      </c>
    </row>
    <row r="305">
      <c r="B305" s="42">
        <f>IF($L305="","",$M305)</f>
        <v/>
      </c>
      <c r="C305" s="22">
        <f>IF($L305="","",INDEX(HSI!$C$7:$C$106,$N305))</f>
        <v/>
      </c>
      <c r="D305" s="22">
        <f>IF($L305="","",INDEX(HSI!$D$7:$D$106,$N305))</f>
        <v/>
      </c>
      <c r="E305" s="43">
        <f>IF($L305="","",IF($P305=0,"TBA",IFERROR(INDEX(Grids!$C$12:$BO$111,$N305,$O305),"-")))</f>
        <v/>
      </c>
      <c r="F305" s="22">
        <f>IF($L305="","",INDEX(HSI!$F$7:$F$106,$N305))</f>
        <v/>
      </c>
      <c r="G305" s="43">
        <f>IF($L305="","",IF($P305=0,"TBA",IFERROR(INDEX(Grids!$BQ$12:$EC$111,$N305,$O305),"-")))</f>
        <v/>
      </c>
      <c r="H305" s="44">
        <f>IF($L305="","",SUM($G$10:$G305))</f>
        <v/>
      </c>
      <c r="I305" s="45">
        <f>IF($L305="","",IF(INT(($L305-INT($L305/10000000)*10000000)/1000000)=0,"Bloomberg projection",IF($P305=1,"ANNOUNCED","ANNOUNCED - amount TBA")))</f>
        <v/>
      </c>
      <c r="J305" s="46">
        <f>IF($L305="","",IF((OV_SWITCH="ON")*(COUNTIFS(OVR_TICKERS,INDEX(HSI!$C$7:$C$106,$N305),OVR_BASE,"&gt;=0")&gt;0)&gt;0,"stock overridden",""))</f>
        <v/>
      </c>
      <c r="L305" s="39">
        <f>IFERROR(IF(SMALL(Grids!$EE$12:$GQ$111,$M$7+296)&gt;=PEND_TO,"",SMALL(Grids!$EE$12:$GQ$111,$M$7+296)),"")</f>
        <v/>
      </c>
      <c r="M305" s="39">
        <f>IF($L305="","",INT($L305/1000000000))</f>
        <v/>
      </c>
      <c r="N305" s="39">
        <f>IF($L305="","",INT(($L305-INT($L305/1000000)*1000000)/1000))</f>
        <v/>
      </c>
      <c r="O305" s="39">
        <f>IF($L305="","",$L305-INT($L305/1000)*1000)</f>
        <v/>
      </c>
      <c r="P305" s="39">
        <f>IF($L305="","",INT(($L305-INT($L305/1000000000)*1000000000)/100000000))</f>
        <v/>
      </c>
    </row>
    <row r="306">
      <c r="B306" s="42">
        <f>IF($L306="","",$M306)</f>
        <v/>
      </c>
      <c r="C306" s="22">
        <f>IF($L306="","",INDEX(HSI!$C$7:$C$106,$N306))</f>
        <v/>
      </c>
      <c r="D306" s="22">
        <f>IF($L306="","",INDEX(HSI!$D$7:$D$106,$N306))</f>
        <v/>
      </c>
      <c r="E306" s="43">
        <f>IF($L306="","",IF($P306=0,"TBA",IFERROR(INDEX(Grids!$C$12:$BO$111,$N306,$O306),"-")))</f>
        <v/>
      </c>
      <c r="F306" s="22">
        <f>IF($L306="","",INDEX(HSI!$F$7:$F$106,$N306))</f>
        <v/>
      </c>
      <c r="G306" s="43">
        <f>IF($L306="","",IF($P306=0,"TBA",IFERROR(INDEX(Grids!$BQ$12:$EC$111,$N306,$O306),"-")))</f>
        <v/>
      </c>
      <c r="H306" s="44">
        <f>IF($L306="","",SUM($G$10:$G306))</f>
        <v/>
      </c>
      <c r="I306" s="45">
        <f>IF($L306="","",IF(INT(($L306-INT($L306/10000000)*10000000)/1000000)=0,"Bloomberg projection",IF($P306=1,"ANNOUNCED","ANNOUNCED - amount TBA")))</f>
        <v/>
      </c>
      <c r="J306" s="46">
        <f>IF($L306="","",IF((OV_SWITCH="ON")*(COUNTIFS(OVR_TICKERS,INDEX(HSI!$C$7:$C$106,$N306),OVR_BASE,"&gt;=0")&gt;0)&gt;0,"stock overridden",""))</f>
        <v/>
      </c>
      <c r="L306" s="39">
        <f>IFERROR(IF(SMALL(Grids!$EE$12:$GQ$111,$M$7+297)&gt;=PEND_TO,"",SMALL(Grids!$EE$12:$GQ$111,$M$7+297)),"")</f>
        <v/>
      </c>
      <c r="M306" s="39">
        <f>IF($L306="","",INT($L306/1000000000))</f>
        <v/>
      </c>
      <c r="N306" s="39">
        <f>IF($L306="","",INT(($L306-INT($L306/1000000)*1000000)/1000))</f>
        <v/>
      </c>
      <c r="O306" s="39">
        <f>IF($L306="","",$L306-INT($L306/1000)*1000)</f>
        <v/>
      </c>
      <c r="P306" s="39">
        <f>IF($L306="","",INT(($L306-INT($L306/1000000000)*1000000000)/100000000))</f>
        <v/>
      </c>
    </row>
    <row r="307">
      <c r="B307" s="42">
        <f>IF($L307="","",$M307)</f>
        <v/>
      </c>
      <c r="C307" s="22">
        <f>IF($L307="","",INDEX(HSI!$C$7:$C$106,$N307))</f>
        <v/>
      </c>
      <c r="D307" s="22">
        <f>IF($L307="","",INDEX(HSI!$D$7:$D$106,$N307))</f>
        <v/>
      </c>
      <c r="E307" s="43">
        <f>IF($L307="","",IF($P307=0,"TBA",IFERROR(INDEX(Grids!$C$12:$BO$111,$N307,$O307),"-")))</f>
        <v/>
      </c>
      <c r="F307" s="22">
        <f>IF($L307="","",INDEX(HSI!$F$7:$F$106,$N307))</f>
        <v/>
      </c>
      <c r="G307" s="43">
        <f>IF($L307="","",IF($P307=0,"TBA",IFERROR(INDEX(Grids!$BQ$12:$EC$111,$N307,$O307),"-")))</f>
        <v/>
      </c>
      <c r="H307" s="44">
        <f>IF($L307="","",SUM($G$10:$G307))</f>
        <v/>
      </c>
      <c r="I307" s="45">
        <f>IF($L307="","",IF(INT(($L307-INT($L307/10000000)*10000000)/1000000)=0,"Bloomberg projection",IF($P307=1,"ANNOUNCED","ANNOUNCED - amount TBA")))</f>
        <v/>
      </c>
      <c r="J307" s="46">
        <f>IF($L307="","",IF((OV_SWITCH="ON")*(COUNTIFS(OVR_TICKERS,INDEX(HSI!$C$7:$C$106,$N307),OVR_BASE,"&gt;=0")&gt;0)&gt;0,"stock overridden",""))</f>
        <v/>
      </c>
      <c r="L307" s="39">
        <f>IFERROR(IF(SMALL(Grids!$EE$12:$GQ$111,$M$7+298)&gt;=PEND_TO,"",SMALL(Grids!$EE$12:$GQ$111,$M$7+298)),"")</f>
        <v/>
      </c>
      <c r="M307" s="39">
        <f>IF($L307="","",INT($L307/1000000000))</f>
        <v/>
      </c>
      <c r="N307" s="39">
        <f>IF($L307="","",INT(($L307-INT($L307/1000000)*1000000)/1000))</f>
        <v/>
      </c>
      <c r="O307" s="39">
        <f>IF($L307="","",$L307-INT($L307/1000)*1000)</f>
        <v/>
      </c>
      <c r="P307" s="39">
        <f>IF($L307="","",INT(($L307-INT($L307/1000000000)*1000000000)/100000000))</f>
        <v/>
      </c>
    </row>
    <row r="308">
      <c r="B308" s="42">
        <f>IF($L308="","",$M308)</f>
        <v/>
      </c>
      <c r="C308" s="22">
        <f>IF($L308="","",INDEX(HSI!$C$7:$C$106,$N308))</f>
        <v/>
      </c>
      <c r="D308" s="22">
        <f>IF($L308="","",INDEX(HSI!$D$7:$D$106,$N308))</f>
        <v/>
      </c>
      <c r="E308" s="43">
        <f>IF($L308="","",IF($P308=0,"TBA",IFERROR(INDEX(Grids!$C$12:$BO$111,$N308,$O308),"-")))</f>
        <v/>
      </c>
      <c r="F308" s="22">
        <f>IF($L308="","",INDEX(HSI!$F$7:$F$106,$N308))</f>
        <v/>
      </c>
      <c r="G308" s="43">
        <f>IF($L308="","",IF($P308=0,"TBA",IFERROR(INDEX(Grids!$BQ$12:$EC$111,$N308,$O308),"-")))</f>
        <v/>
      </c>
      <c r="H308" s="44">
        <f>IF($L308="","",SUM($G$10:$G308))</f>
        <v/>
      </c>
      <c r="I308" s="45">
        <f>IF($L308="","",IF(INT(($L308-INT($L308/10000000)*10000000)/1000000)=0,"Bloomberg projection",IF($P308=1,"ANNOUNCED","ANNOUNCED - amount TBA")))</f>
        <v/>
      </c>
      <c r="J308" s="46">
        <f>IF($L308="","",IF((OV_SWITCH="ON")*(COUNTIFS(OVR_TICKERS,INDEX(HSI!$C$7:$C$106,$N308),OVR_BASE,"&gt;=0")&gt;0)&gt;0,"stock overridden",""))</f>
        <v/>
      </c>
      <c r="L308" s="39">
        <f>IFERROR(IF(SMALL(Grids!$EE$12:$GQ$111,$M$7+299)&gt;=PEND_TO,"",SMALL(Grids!$EE$12:$GQ$111,$M$7+299)),"")</f>
        <v/>
      </c>
      <c r="M308" s="39">
        <f>IF($L308="","",INT($L308/1000000000))</f>
        <v/>
      </c>
      <c r="N308" s="39">
        <f>IF($L308="","",INT(($L308-INT($L308/1000000)*1000000)/1000))</f>
        <v/>
      </c>
      <c r="O308" s="39">
        <f>IF($L308="","",$L308-INT($L308/1000)*1000)</f>
        <v/>
      </c>
      <c r="P308" s="39">
        <f>IF($L308="","",INT(($L308-INT($L308/1000000000)*1000000000)/100000000))</f>
        <v/>
      </c>
    </row>
    <row r="309">
      <c r="B309" s="42">
        <f>IF($L309="","",$M309)</f>
        <v/>
      </c>
      <c r="C309" s="22">
        <f>IF($L309="","",INDEX(HSI!$C$7:$C$106,$N309))</f>
        <v/>
      </c>
      <c r="D309" s="22">
        <f>IF($L309="","",INDEX(HSI!$D$7:$D$106,$N309))</f>
        <v/>
      </c>
      <c r="E309" s="43">
        <f>IF($L309="","",IF($P309=0,"TBA",IFERROR(INDEX(Grids!$C$12:$BO$111,$N309,$O309),"-")))</f>
        <v/>
      </c>
      <c r="F309" s="22">
        <f>IF($L309="","",INDEX(HSI!$F$7:$F$106,$N309))</f>
        <v/>
      </c>
      <c r="G309" s="43">
        <f>IF($L309="","",IF($P309=0,"TBA",IFERROR(INDEX(Grids!$BQ$12:$EC$111,$N309,$O309),"-")))</f>
        <v/>
      </c>
      <c r="H309" s="44">
        <f>IF($L309="","",SUM($G$10:$G309))</f>
        <v/>
      </c>
      <c r="I309" s="45">
        <f>IF($L309="","",IF(INT(($L309-INT($L309/10000000)*10000000)/1000000)=0,"Bloomberg projection",IF($P309=1,"ANNOUNCED","ANNOUNCED - amount TBA")))</f>
        <v/>
      </c>
      <c r="J309" s="46">
        <f>IF($L309="","",IF((OV_SWITCH="ON")*(COUNTIFS(OVR_TICKERS,INDEX(HSI!$C$7:$C$106,$N309),OVR_BASE,"&gt;=0")&gt;0)&gt;0,"stock overridden",""))</f>
        <v/>
      </c>
      <c r="L309" s="39">
        <f>IFERROR(IF(SMALL(Grids!$EE$12:$GQ$111,$M$7+300)&gt;=PEND_TO,"",SMALL(Grids!$EE$12:$GQ$111,$M$7+300)),"")</f>
        <v/>
      </c>
      <c r="M309" s="39">
        <f>IF($L309="","",INT($L309/1000000000))</f>
        <v/>
      </c>
      <c r="N309" s="39">
        <f>IF($L309="","",INT(($L309-INT($L309/1000000)*1000000)/1000))</f>
        <v/>
      </c>
      <c r="O309" s="39">
        <f>IF($L309="","",$L309-INT($L309/1000)*1000)</f>
        <v/>
      </c>
      <c r="P309" s="39">
        <f>IF($L309="","",INT(($L309-INT($L309/1000000000)*1000000000)/100000000))</f>
        <v/>
      </c>
    </row>
    <row r="312">
      <c r="B312" s="6" t="inlineStr">
        <is>
          <t>Hang Seng TECH Index (HSTECH)</t>
        </is>
      </c>
      <c r="C312" s="7" t="n"/>
      <c r="D312" s="7" t="n"/>
      <c r="E312" s="7" t="n"/>
      <c r="F312" s="7" t="n"/>
      <c r="G312" s="7" t="n"/>
      <c r="H312" s="7" t="n"/>
      <c r="I312" s="7" t="n"/>
      <c r="J312" s="7" t="n"/>
    </row>
    <row r="313">
      <c r="B313" s="2" t="inlineStr">
        <is>
          <t>Events pending</t>
        </is>
      </c>
      <c r="C313" s="40">
        <f>COUNTIFS(Grids!$EE$116:$GQ$155,"&gt;="&amp;PEND_FROM,Grids!$EE$116:$GQ$155,"&lt;"&amp;PEND_TO)</f>
        <v/>
      </c>
      <c r="D313" s="5">
        <f>IF($C$313&gt;120,"LIST TRUNCATED - showing the first 120; the model still counts all of them.","all listed below")</f>
        <v/>
      </c>
      <c r="L313" s="2" t="inlineStr">
        <is>
          <t>offset</t>
        </is>
      </c>
      <c r="M313" s="41">
        <f>COUNTIF(Grids!$EE$116:$GQ$155,"&lt;"&amp;PEND_FROM)</f>
        <v/>
      </c>
    </row>
    <row r="315">
      <c r="B315" s="23" t="inlineStr">
        <is>
          <t>Ex-date</t>
        </is>
      </c>
      <c r="C315" s="23" t="inlineStr">
        <is>
          <t>Ticker</t>
        </is>
      </c>
      <c r="D315" s="23" t="inlineStr">
        <is>
          <t>Name</t>
        </is>
      </c>
      <c r="E315" s="23" t="inlineStr">
        <is>
          <t>DPS
(declared ccy)</t>
        </is>
      </c>
      <c r="F315" s="23" t="inlineStr">
        <is>
          <t>CCY</t>
        </is>
      </c>
      <c r="G315" s="23" t="inlineStr">
        <is>
          <t>Index
pts</t>
        </is>
      </c>
      <c r="H315" s="23" t="inlineStr">
        <is>
          <t>Cumulative
pts</t>
        </is>
      </c>
      <c r="I315" s="23" t="inlineStr">
        <is>
          <t>Status</t>
        </is>
      </c>
      <c r="J315" s="23" t="inlineStr">
        <is>
          <t>Your override?</t>
        </is>
      </c>
      <c r="L315" s="2" t="inlineStr">
        <is>
          <t>engine</t>
        </is>
      </c>
    </row>
    <row r="316">
      <c r="B316" s="42">
        <f>IF($L316="","",$M316)</f>
        <v/>
      </c>
      <c r="C316" s="22">
        <f>IF($L316="","",INDEX(HSTECH!$C$7:$C$46,$N316))</f>
        <v/>
      </c>
      <c r="D316" s="22">
        <f>IF($L316="","",INDEX(HSTECH!$D$7:$D$46,$N316))</f>
        <v/>
      </c>
      <c r="E316" s="43">
        <f>IF($L316="","",IF($P316=0,"TBA",IFERROR(INDEX(Grids!$C$116:$BO$155,$N316,$O316),"-")))</f>
        <v/>
      </c>
      <c r="F316" s="22">
        <f>IF($L316="","",INDEX(HSTECH!$F$7:$F$46,$N316))</f>
        <v/>
      </c>
      <c r="G316" s="43">
        <f>IF($L316="","",IF($P316=0,"TBA",IFERROR(INDEX(Grids!$BQ$116:$EC$155,$N316,$O316),"-")))</f>
        <v/>
      </c>
      <c r="H316" s="44">
        <f>IF($L316="","",SUM($G$316:$G316))</f>
        <v/>
      </c>
      <c r="I316" s="45">
        <f>IF($L316="","",IF(INT(($L316-INT($L316/10000000)*10000000)/1000000)=0,"Bloomberg projection",IF($P316=1,"ANNOUNCED","ANNOUNCED - amount TBA")))</f>
        <v/>
      </c>
      <c r="J316" s="46">
        <f>IF($L316="","",IF((OV_SWITCH="ON")*(COUNTIFS(OVR_TICKERS,INDEX(HSTECH!$C$7:$C$46,$N316),OVR_BASE,"&gt;=0")&gt;0)&gt;0,"stock overridden",""))</f>
        <v/>
      </c>
      <c r="L316" s="39">
        <f>IFERROR(IF(SMALL(Grids!$EE$116:$GQ$155,$M$313+1)&gt;=PEND_TO,"",SMALL(Grids!$EE$116:$GQ$155,$M$313+1)),"")</f>
        <v/>
      </c>
      <c r="M316" s="39">
        <f>IF($L316="","",INT($L316/1000000000))</f>
        <v/>
      </c>
      <c r="N316" s="39">
        <f>IF($L316="","",INT(($L316-INT($L316/1000000)*1000000)/1000))</f>
        <v/>
      </c>
      <c r="O316" s="39">
        <f>IF($L316="","",$L316-INT($L316/1000)*1000)</f>
        <v/>
      </c>
      <c r="P316" s="39">
        <f>IF($L316="","",INT(($L316-INT($L316/1000000000)*1000000000)/100000000))</f>
        <v/>
      </c>
    </row>
    <row r="317">
      <c r="B317" s="42">
        <f>IF($L317="","",$M317)</f>
        <v/>
      </c>
      <c r="C317" s="22">
        <f>IF($L317="","",INDEX(HSTECH!$C$7:$C$46,$N317))</f>
        <v/>
      </c>
      <c r="D317" s="22">
        <f>IF($L317="","",INDEX(HSTECH!$D$7:$D$46,$N317))</f>
        <v/>
      </c>
      <c r="E317" s="43">
        <f>IF($L317="","",IF($P317=0,"TBA",IFERROR(INDEX(Grids!$C$116:$BO$155,$N317,$O317),"-")))</f>
        <v/>
      </c>
      <c r="F317" s="22">
        <f>IF($L317="","",INDEX(HSTECH!$F$7:$F$46,$N317))</f>
        <v/>
      </c>
      <c r="G317" s="43">
        <f>IF($L317="","",IF($P317=0,"TBA",IFERROR(INDEX(Grids!$BQ$116:$EC$155,$N317,$O317),"-")))</f>
        <v/>
      </c>
      <c r="H317" s="44">
        <f>IF($L317="","",SUM($G$316:$G317))</f>
        <v/>
      </c>
      <c r="I317" s="45">
        <f>IF($L317="","",IF(INT(($L317-INT($L317/10000000)*10000000)/1000000)=0,"Bloomberg projection",IF($P317=1,"ANNOUNCED","ANNOUNCED - amount TBA")))</f>
        <v/>
      </c>
      <c r="J317" s="46">
        <f>IF($L317="","",IF((OV_SWITCH="ON")*(COUNTIFS(OVR_TICKERS,INDEX(HSTECH!$C$7:$C$46,$N317),OVR_BASE,"&gt;=0")&gt;0)&gt;0,"stock overridden",""))</f>
        <v/>
      </c>
      <c r="L317" s="39">
        <f>IFERROR(IF(SMALL(Grids!$EE$116:$GQ$155,$M$313+2)&gt;=PEND_TO,"",SMALL(Grids!$EE$116:$GQ$155,$M$313+2)),"")</f>
        <v/>
      </c>
      <c r="M317" s="39">
        <f>IF($L317="","",INT($L317/1000000000))</f>
        <v/>
      </c>
      <c r="N317" s="39">
        <f>IF($L317="","",INT(($L317-INT($L317/1000000)*1000000)/1000))</f>
        <v/>
      </c>
      <c r="O317" s="39">
        <f>IF($L317="","",$L317-INT($L317/1000)*1000)</f>
        <v/>
      </c>
      <c r="P317" s="39">
        <f>IF($L317="","",INT(($L317-INT($L317/1000000000)*1000000000)/100000000))</f>
        <v/>
      </c>
    </row>
    <row r="318">
      <c r="B318" s="42">
        <f>IF($L318="","",$M318)</f>
        <v/>
      </c>
      <c r="C318" s="22">
        <f>IF($L318="","",INDEX(HSTECH!$C$7:$C$46,$N318))</f>
        <v/>
      </c>
      <c r="D318" s="22">
        <f>IF($L318="","",INDEX(HSTECH!$D$7:$D$46,$N318))</f>
        <v/>
      </c>
      <c r="E318" s="43">
        <f>IF($L318="","",IF($P318=0,"TBA",IFERROR(INDEX(Grids!$C$116:$BO$155,$N318,$O318),"-")))</f>
        <v/>
      </c>
      <c r="F318" s="22">
        <f>IF($L318="","",INDEX(HSTECH!$F$7:$F$46,$N318))</f>
        <v/>
      </c>
      <c r="G318" s="43">
        <f>IF($L318="","",IF($P318=0,"TBA",IFERROR(INDEX(Grids!$BQ$116:$EC$155,$N318,$O318),"-")))</f>
        <v/>
      </c>
      <c r="H318" s="44">
        <f>IF($L318="","",SUM($G$316:$G318))</f>
        <v/>
      </c>
      <c r="I318" s="45">
        <f>IF($L318="","",IF(INT(($L318-INT($L318/10000000)*10000000)/1000000)=0,"Bloomberg projection",IF($P318=1,"ANNOUNCED","ANNOUNCED - amount TBA")))</f>
        <v/>
      </c>
      <c r="J318" s="46">
        <f>IF($L318="","",IF((OV_SWITCH="ON")*(COUNTIFS(OVR_TICKERS,INDEX(HSTECH!$C$7:$C$46,$N318),OVR_BASE,"&gt;=0")&gt;0)&gt;0,"stock overridden",""))</f>
        <v/>
      </c>
      <c r="L318" s="39">
        <f>IFERROR(IF(SMALL(Grids!$EE$116:$GQ$155,$M$313+3)&gt;=PEND_TO,"",SMALL(Grids!$EE$116:$GQ$155,$M$313+3)),"")</f>
        <v/>
      </c>
      <c r="M318" s="39">
        <f>IF($L318="","",INT($L318/1000000000))</f>
        <v/>
      </c>
      <c r="N318" s="39">
        <f>IF($L318="","",INT(($L318-INT($L318/1000000)*1000000)/1000))</f>
        <v/>
      </c>
      <c r="O318" s="39">
        <f>IF($L318="","",$L318-INT($L318/1000)*1000)</f>
        <v/>
      </c>
      <c r="P318" s="39">
        <f>IF($L318="","",INT(($L318-INT($L318/1000000000)*1000000000)/100000000))</f>
        <v/>
      </c>
    </row>
    <row r="319">
      <c r="B319" s="42">
        <f>IF($L319="","",$M319)</f>
        <v/>
      </c>
      <c r="C319" s="22">
        <f>IF($L319="","",INDEX(HSTECH!$C$7:$C$46,$N319))</f>
        <v/>
      </c>
      <c r="D319" s="22">
        <f>IF($L319="","",INDEX(HSTECH!$D$7:$D$46,$N319))</f>
        <v/>
      </c>
      <c r="E319" s="43">
        <f>IF($L319="","",IF($P319=0,"TBA",IFERROR(INDEX(Grids!$C$116:$BO$155,$N319,$O319),"-")))</f>
        <v/>
      </c>
      <c r="F319" s="22">
        <f>IF($L319="","",INDEX(HSTECH!$F$7:$F$46,$N319))</f>
        <v/>
      </c>
      <c r="G319" s="43">
        <f>IF($L319="","",IF($P319=0,"TBA",IFERROR(INDEX(Grids!$BQ$116:$EC$155,$N319,$O319),"-")))</f>
        <v/>
      </c>
      <c r="H319" s="44">
        <f>IF($L319="","",SUM($G$316:$G319))</f>
        <v/>
      </c>
      <c r="I319" s="45">
        <f>IF($L319="","",IF(INT(($L319-INT($L319/10000000)*10000000)/1000000)=0,"Bloomberg projection",IF($P319=1,"ANNOUNCED","ANNOUNCED - amount TBA")))</f>
        <v/>
      </c>
      <c r="J319" s="46">
        <f>IF($L319="","",IF((OV_SWITCH="ON")*(COUNTIFS(OVR_TICKERS,INDEX(HSTECH!$C$7:$C$46,$N319),OVR_BASE,"&gt;=0")&gt;0)&gt;0,"stock overridden",""))</f>
        <v/>
      </c>
      <c r="L319" s="39">
        <f>IFERROR(IF(SMALL(Grids!$EE$116:$GQ$155,$M$313+4)&gt;=PEND_TO,"",SMALL(Grids!$EE$116:$GQ$155,$M$313+4)),"")</f>
        <v/>
      </c>
      <c r="M319" s="39">
        <f>IF($L319="","",INT($L319/1000000000))</f>
        <v/>
      </c>
      <c r="N319" s="39">
        <f>IF($L319="","",INT(($L319-INT($L319/1000000)*1000000)/1000))</f>
        <v/>
      </c>
      <c r="O319" s="39">
        <f>IF($L319="","",$L319-INT($L319/1000)*1000)</f>
        <v/>
      </c>
      <c r="P319" s="39">
        <f>IF($L319="","",INT(($L319-INT($L319/1000000000)*1000000000)/100000000))</f>
        <v/>
      </c>
    </row>
    <row r="320">
      <c r="B320" s="42">
        <f>IF($L320="","",$M320)</f>
        <v/>
      </c>
      <c r="C320" s="22">
        <f>IF($L320="","",INDEX(HSTECH!$C$7:$C$46,$N320))</f>
        <v/>
      </c>
      <c r="D320" s="22">
        <f>IF($L320="","",INDEX(HSTECH!$D$7:$D$46,$N320))</f>
        <v/>
      </c>
      <c r="E320" s="43">
        <f>IF($L320="","",IF($P320=0,"TBA",IFERROR(INDEX(Grids!$C$116:$BO$155,$N320,$O320),"-")))</f>
        <v/>
      </c>
      <c r="F320" s="22">
        <f>IF($L320="","",INDEX(HSTECH!$F$7:$F$46,$N320))</f>
        <v/>
      </c>
      <c r="G320" s="43">
        <f>IF($L320="","",IF($P320=0,"TBA",IFERROR(INDEX(Grids!$BQ$116:$EC$155,$N320,$O320),"-")))</f>
        <v/>
      </c>
      <c r="H320" s="44">
        <f>IF($L320="","",SUM($G$316:$G320))</f>
        <v/>
      </c>
      <c r="I320" s="45">
        <f>IF($L320="","",IF(INT(($L320-INT($L320/10000000)*10000000)/1000000)=0,"Bloomberg projection",IF($P320=1,"ANNOUNCED","ANNOUNCED - amount TBA")))</f>
        <v/>
      </c>
      <c r="J320" s="46">
        <f>IF($L320="","",IF((OV_SWITCH="ON")*(COUNTIFS(OVR_TICKERS,INDEX(HSTECH!$C$7:$C$46,$N320),OVR_BASE,"&gt;=0")&gt;0)&gt;0,"stock overridden",""))</f>
        <v/>
      </c>
      <c r="L320" s="39">
        <f>IFERROR(IF(SMALL(Grids!$EE$116:$GQ$155,$M$313+5)&gt;=PEND_TO,"",SMALL(Grids!$EE$116:$GQ$155,$M$313+5)),"")</f>
        <v/>
      </c>
      <c r="M320" s="39">
        <f>IF($L320="","",INT($L320/1000000000))</f>
        <v/>
      </c>
      <c r="N320" s="39">
        <f>IF($L320="","",INT(($L320-INT($L320/1000000)*1000000)/1000))</f>
        <v/>
      </c>
      <c r="O320" s="39">
        <f>IF($L320="","",$L320-INT($L320/1000)*1000)</f>
        <v/>
      </c>
      <c r="P320" s="39">
        <f>IF($L320="","",INT(($L320-INT($L320/1000000000)*1000000000)/100000000))</f>
        <v/>
      </c>
    </row>
    <row r="321">
      <c r="B321" s="42">
        <f>IF($L321="","",$M321)</f>
        <v/>
      </c>
      <c r="C321" s="22">
        <f>IF($L321="","",INDEX(HSTECH!$C$7:$C$46,$N321))</f>
        <v/>
      </c>
      <c r="D321" s="22">
        <f>IF($L321="","",INDEX(HSTECH!$D$7:$D$46,$N321))</f>
        <v/>
      </c>
      <c r="E321" s="43">
        <f>IF($L321="","",IF($P321=0,"TBA",IFERROR(INDEX(Grids!$C$116:$BO$155,$N321,$O321),"-")))</f>
        <v/>
      </c>
      <c r="F321" s="22">
        <f>IF($L321="","",INDEX(HSTECH!$F$7:$F$46,$N321))</f>
        <v/>
      </c>
      <c r="G321" s="43">
        <f>IF($L321="","",IF($P321=0,"TBA",IFERROR(INDEX(Grids!$BQ$116:$EC$155,$N321,$O321),"-")))</f>
        <v/>
      </c>
      <c r="H321" s="44">
        <f>IF($L321="","",SUM($G$316:$G321))</f>
        <v/>
      </c>
      <c r="I321" s="45">
        <f>IF($L321="","",IF(INT(($L321-INT($L321/10000000)*10000000)/1000000)=0,"Bloomberg projection",IF($P321=1,"ANNOUNCED","ANNOUNCED - amount TBA")))</f>
        <v/>
      </c>
      <c r="J321" s="46">
        <f>IF($L321="","",IF((OV_SWITCH="ON")*(COUNTIFS(OVR_TICKERS,INDEX(HSTECH!$C$7:$C$46,$N321),OVR_BASE,"&gt;=0")&gt;0)&gt;0,"stock overridden",""))</f>
        <v/>
      </c>
      <c r="L321" s="39">
        <f>IFERROR(IF(SMALL(Grids!$EE$116:$GQ$155,$M$313+6)&gt;=PEND_TO,"",SMALL(Grids!$EE$116:$GQ$155,$M$313+6)),"")</f>
        <v/>
      </c>
      <c r="M321" s="39">
        <f>IF($L321="","",INT($L321/1000000000))</f>
        <v/>
      </c>
      <c r="N321" s="39">
        <f>IF($L321="","",INT(($L321-INT($L321/1000000)*1000000)/1000))</f>
        <v/>
      </c>
      <c r="O321" s="39">
        <f>IF($L321="","",$L321-INT($L321/1000)*1000)</f>
        <v/>
      </c>
      <c r="P321" s="39">
        <f>IF($L321="","",INT(($L321-INT($L321/1000000000)*1000000000)/100000000))</f>
        <v/>
      </c>
    </row>
    <row r="322">
      <c r="B322" s="42">
        <f>IF($L322="","",$M322)</f>
        <v/>
      </c>
      <c r="C322" s="22">
        <f>IF($L322="","",INDEX(HSTECH!$C$7:$C$46,$N322))</f>
        <v/>
      </c>
      <c r="D322" s="22">
        <f>IF($L322="","",INDEX(HSTECH!$D$7:$D$46,$N322))</f>
        <v/>
      </c>
      <c r="E322" s="43">
        <f>IF($L322="","",IF($P322=0,"TBA",IFERROR(INDEX(Grids!$C$116:$BO$155,$N322,$O322),"-")))</f>
        <v/>
      </c>
      <c r="F322" s="22">
        <f>IF($L322="","",INDEX(HSTECH!$F$7:$F$46,$N322))</f>
        <v/>
      </c>
      <c r="G322" s="43">
        <f>IF($L322="","",IF($P322=0,"TBA",IFERROR(INDEX(Grids!$BQ$116:$EC$155,$N322,$O322),"-")))</f>
        <v/>
      </c>
      <c r="H322" s="44">
        <f>IF($L322="","",SUM($G$316:$G322))</f>
        <v/>
      </c>
      <c r="I322" s="45">
        <f>IF($L322="","",IF(INT(($L322-INT($L322/10000000)*10000000)/1000000)=0,"Bloomberg projection",IF($P322=1,"ANNOUNCED","ANNOUNCED - amount TBA")))</f>
        <v/>
      </c>
      <c r="J322" s="46">
        <f>IF($L322="","",IF((OV_SWITCH="ON")*(COUNTIFS(OVR_TICKERS,INDEX(HSTECH!$C$7:$C$46,$N322),OVR_BASE,"&gt;=0")&gt;0)&gt;0,"stock overridden",""))</f>
        <v/>
      </c>
      <c r="L322" s="39">
        <f>IFERROR(IF(SMALL(Grids!$EE$116:$GQ$155,$M$313+7)&gt;=PEND_TO,"",SMALL(Grids!$EE$116:$GQ$155,$M$313+7)),"")</f>
        <v/>
      </c>
      <c r="M322" s="39">
        <f>IF($L322="","",INT($L322/1000000000))</f>
        <v/>
      </c>
      <c r="N322" s="39">
        <f>IF($L322="","",INT(($L322-INT($L322/1000000)*1000000)/1000))</f>
        <v/>
      </c>
      <c r="O322" s="39">
        <f>IF($L322="","",$L322-INT($L322/1000)*1000)</f>
        <v/>
      </c>
      <c r="P322" s="39">
        <f>IF($L322="","",INT(($L322-INT($L322/1000000000)*1000000000)/100000000))</f>
        <v/>
      </c>
    </row>
    <row r="323">
      <c r="B323" s="42">
        <f>IF($L323="","",$M323)</f>
        <v/>
      </c>
      <c r="C323" s="22">
        <f>IF($L323="","",INDEX(HSTECH!$C$7:$C$46,$N323))</f>
        <v/>
      </c>
      <c r="D323" s="22">
        <f>IF($L323="","",INDEX(HSTECH!$D$7:$D$46,$N323))</f>
        <v/>
      </c>
      <c r="E323" s="43">
        <f>IF($L323="","",IF($P323=0,"TBA",IFERROR(INDEX(Grids!$C$116:$BO$155,$N323,$O323),"-")))</f>
        <v/>
      </c>
      <c r="F323" s="22">
        <f>IF($L323="","",INDEX(HSTECH!$F$7:$F$46,$N323))</f>
        <v/>
      </c>
      <c r="G323" s="43">
        <f>IF($L323="","",IF($P323=0,"TBA",IFERROR(INDEX(Grids!$BQ$116:$EC$155,$N323,$O323),"-")))</f>
        <v/>
      </c>
      <c r="H323" s="44">
        <f>IF($L323="","",SUM($G$316:$G323))</f>
        <v/>
      </c>
      <c r="I323" s="45">
        <f>IF($L323="","",IF(INT(($L323-INT($L323/10000000)*10000000)/1000000)=0,"Bloomberg projection",IF($P323=1,"ANNOUNCED","ANNOUNCED - amount TBA")))</f>
        <v/>
      </c>
      <c r="J323" s="46">
        <f>IF($L323="","",IF((OV_SWITCH="ON")*(COUNTIFS(OVR_TICKERS,INDEX(HSTECH!$C$7:$C$46,$N323),OVR_BASE,"&gt;=0")&gt;0)&gt;0,"stock overridden",""))</f>
        <v/>
      </c>
      <c r="L323" s="39">
        <f>IFERROR(IF(SMALL(Grids!$EE$116:$GQ$155,$M$313+8)&gt;=PEND_TO,"",SMALL(Grids!$EE$116:$GQ$155,$M$313+8)),"")</f>
        <v/>
      </c>
      <c r="M323" s="39">
        <f>IF($L323="","",INT($L323/1000000000))</f>
        <v/>
      </c>
      <c r="N323" s="39">
        <f>IF($L323="","",INT(($L323-INT($L323/1000000)*1000000)/1000))</f>
        <v/>
      </c>
      <c r="O323" s="39">
        <f>IF($L323="","",$L323-INT($L323/1000)*1000)</f>
        <v/>
      </c>
      <c r="P323" s="39">
        <f>IF($L323="","",INT(($L323-INT($L323/1000000000)*1000000000)/100000000))</f>
        <v/>
      </c>
    </row>
    <row r="324">
      <c r="B324" s="42">
        <f>IF($L324="","",$M324)</f>
        <v/>
      </c>
      <c r="C324" s="22">
        <f>IF($L324="","",INDEX(HSTECH!$C$7:$C$46,$N324))</f>
        <v/>
      </c>
      <c r="D324" s="22">
        <f>IF($L324="","",INDEX(HSTECH!$D$7:$D$46,$N324))</f>
        <v/>
      </c>
      <c r="E324" s="43">
        <f>IF($L324="","",IF($P324=0,"TBA",IFERROR(INDEX(Grids!$C$116:$BO$155,$N324,$O324),"-")))</f>
        <v/>
      </c>
      <c r="F324" s="22">
        <f>IF($L324="","",INDEX(HSTECH!$F$7:$F$46,$N324))</f>
        <v/>
      </c>
      <c r="G324" s="43">
        <f>IF($L324="","",IF($P324=0,"TBA",IFERROR(INDEX(Grids!$BQ$116:$EC$155,$N324,$O324),"-")))</f>
        <v/>
      </c>
      <c r="H324" s="44">
        <f>IF($L324="","",SUM($G$316:$G324))</f>
        <v/>
      </c>
      <c r="I324" s="45">
        <f>IF($L324="","",IF(INT(($L324-INT($L324/10000000)*10000000)/1000000)=0,"Bloomberg projection",IF($P324=1,"ANNOUNCED","ANNOUNCED - amount TBA")))</f>
        <v/>
      </c>
      <c r="J324" s="46">
        <f>IF($L324="","",IF((OV_SWITCH="ON")*(COUNTIFS(OVR_TICKERS,INDEX(HSTECH!$C$7:$C$46,$N324),OVR_BASE,"&gt;=0")&gt;0)&gt;0,"stock overridden",""))</f>
        <v/>
      </c>
      <c r="L324" s="39">
        <f>IFERROR(IF(SMALL(Grids!$EE$116:$GQ$155,$M$313+9)&gt;=PEND_TO,"",SMALL(Grids!$EE$116:$GQ$155,$M$313+9)),"")</f>
        <v/>
      </c>
      <c r="M324" s="39">
        <f>IF($L324="","",INT($L324/1000000000))</f>
        <v/>
      </c>
      <c r="N324" s="39">
        <f>IF($L324="","",INT(($L324-INT($L324/1000000)*1000000)/1000))</f>
        <v/>
      </c>
      <c r="O324" s="39">
        <f>IF($L324="","",$L324-INT($L324/1000)*1000)</f>
        <v/>
      </c>
      <c r="P324" s="39">
        <f>IF($L324="","",INT(($L324-INT($L324/1000000000)*1000000000)/100000000))</f>
        <v/>
      </c>
    </row>
    <row r="325">
      <c r="B325" s="42">
        <f>IF($L325="","",$M325)</f>
        <v/>
      </c>
      <c r="C325" s="22">
        <f>IF($L325="","",INDEX(HSTECH!$C$7:$C$46,$N325))</f>
        <v/>
      </c>
      <c r="D325" s="22">
        <f>IF($L325="","",INDEX(HSTECH!$D$7:$D$46,$N325))</f>
        <v/>
      </c>
      <c r="E325" s="43">
        <f>IF($L325="","",IF($P325=0,"TBA",IFERROR(INDEX(Grids!$C$116:$BO$155,$N325,$O325),"-")))</f>
        <v/>
      </c>
      <c r="F325" s="22">
        <f>IF($L325="","",INDEX(HSTECH!$F$7:$F$46,$N325))</f>
        <v/>
      </c>
      <c r="G325" s="43">
        <f>IF($L325="","",IF($P325=0,"TBA",IFERROR(INDEX(Grids!$BQ$116:$EC$155,$N325,$O325),"-")))</f>
        <v/>
      </c>
      <c r="H325" s="44">
        <f>IF($L325="","",SUM($G$316:$G325))</f>
        <v/>
      </c>
      <c r="I325" s="45">
        <f>IF($L325="","",IF(INT(($L325-INT($L325/10000000)*10000000)/1000000)=0,"Bloomberg projection",IF($P325=1,"ANNOUNCED","ANNOUNCED - amount TBA")))</f>
        <v/>
      </c>
      <c r="J325" s="46">
        <f>IF($L325="","",IF((OV_SWITCH="ON")*(COUNTIFS(OVR_TICKERS,INDEX(HSTECH!$C$7:$C$46,$N325),OVR_BASE,"&gt;=0")&gt;0)&gt;0,"stock overridden",""))</f>
        <v/>
      </c>
      <c r="L325" s="39">
        <f>IFERROR(IF(SMALL(Grids!$EE$116:$GQ$155,$M$313+10)&gt;=PEND_TO,"",SMALL(Grids!$EE$116:$GQ$155,$M$313+10)),"")</f>
        <v/>
      </c>
      <c r="M325" s="39">
        <f>IF($L325="","",INT($L325/1000000000))</f>
        <v/>
      </c>
      <c r="N325" s="39">
        <f>IF($L325="","",INT(($L325-INT($L325/1000000)*1000000)/1000))</f>
        <v/>
      </c>
      <c r="O325" s="39">
        <f>IF($L325="","",$L325-INT($L325/1000)*1000)</f>
        <v/>
      </c>
      <c r="P325" s="39">
        <f>IF($L325="","",INT(($L325-INT($L325/1000000000)*1000000000)/100000000))</f>
        <v/>
      </c>
    </row>
    <row r="326">
      <c r="B326" s="42">
        <f>IF($L326="","",$M326)</f>
        <v/>
      </c>
      <c r="C326" s="22">
        <f>IF($L326="","",INDEX(HSTECH!$C$7:$C$46,$N326))</f>
        <v/>
      </c>
      <c r="D326" s="22">
        <f>IF($L326="","",INDEX(HSTECH!$D$7:$D$46,$N326))</f>
        <v/>
      </c>
      <c r="E326" s="43">
        <f>IF($L326="","",IF($P326=0,"TBA",IFERROR(INDEX(Grids!$C$116:$BO$155,$N326,$O326),"-")))</f>
        <v/>
      </c>
      <c r="F326" s="22">
        <f>IF($L326="","",INDEX(HSTECH!$F$7:$F$46,$N326))</f>
        <v/>
      </c>
      <c r="G326" s="43">
        <f>IF($L326="","",IF($P326=0,"TBA",IFERROR(INDEX(Grids!$BQ$116:$EC$155,$N326,$O326),"-")))</f>
        <v/>
      </c>
      <c r="H326" s="44">
        <f>IF($L326="","",SUM($G$316:$G326))</f>
        <v/>
      </c>
      <c r="I326" s="45">
        <f>IF($L326="","",IF(INT(($L326-INT($L326/10000000)*10000000)/1000000)=0,"Bloomberg projection",IF($P326=1,"ANNOUNCED","ANNOUNCED - amount TBA")))</f>
        <v/>
      </c>
      <c r="J326" s="46">
        <f>IF($L326="","",IF((OV_SWITCH="ON")*(COUNTIFS(OVR_TICKERS,INDEX(HSTECH!$C$7:$C$46,$N326),OVR_BASE,"&gt;=0")&gt;0)&gt;0,"stock overridden",""))</f>
        <v/>
      </c>
      <c r="L326" s="39">
        <f>IFERROR(IF(SMALL(Grids!$EE$116:$GQ$155,$M$313+11)&gt;=PEND_TO,"",SMALL(Grids!$EE$116:$GQ$155,$M$313+11)),"")</f>
        <v/>
      </c>
      <c r="M326" s="39">
        <f>IF($L326="","",INT($L326/1000000000))</f>
        <v/>
      </c>
      <c r="N326" s="39">
        <f>IF($L326="","",INT(($L326-INT($L326/1000000)*1000000)/1000))</f>
        <v/>
      </c>
      <c r="O326" s="39">
        <f>IF($L326="","",$L326-INT($L326/1000)*1000)</f>
        <v/>
      </c>
      <c r="P326" s="39">
        <f>IF($L326="","",INT(($L326-INT($L326/1000000000)*1000000000)/100000000))</f>
        <v/>
      </c>
    </row>
    <row r="327">
      <c r="B327" s="42">
        <f>IF($L327="","",$M327)</f>
        <v/>
      </c>
      <c r="C327" s="22">
        <f>IF($L327="","",INDEX(HSTECH!$C$7:$C$46,$N327))</f>
        <v/>
      </c>
      <c r="D327" s="22">
        <f>IF($L327="","",INDEX(HSTECH!$D$7:$D$46,$N327))</f>
        <v/>
      </c>
      <c r="E327" s="43">
        <f>IF($L327="","",IF($P327=0,"TBA",IFERROR(INDEX(Grids!$C$116:$BO$155,$N327,$O327),"-")))</f>
        <v/>
      </c>
      <c r="F327" s="22">
        <f>IF($L327="","",INDEX(HSTECH!$F$7:$F$46,$N327))</f>
        <v/>
      </c>
      <c r="G327" s="43">
        <f>IF($L327="","",IF($P327=0,"TBA",IFERROR(INDEX(Grids!$BQ$116:$EC$155,$N327,$O327),"-")))</f>
        <v/>
      </c>
      <c r="H327" s="44">
        <f>IF($L327="","",SUM($G$316:$G327))</f>
        <v/>
      </c>
      <c r="I327" s="45">
        <f>IF($L327="","",IF(INT(($L327-INT($L327/10000000)*10000000)/1000000)=0,"Bloomberg projection",IF($P327=1,"ANNOUNCED","ANNOUNCED - amount TBA")))</f>
        <v/>
      </c>
      <c r="J327" s="46">
        <f>IF($L327="","",IF((OV_SWITCH="ON")*(COUNTIFS(OVR_TICKERS,INDEX(HSTECH!$C$7:$C$46,$N327),OVR_BASE,"&gt;=0")&gt;0)&gt;0,"stock overridden",""))</f>
        <v/>
      </c>
      <c r="L327" s="39">
        <f>IFERROR(IF(SMALL(Grids!$EE$116:$GQ$155,$M$313+12)&gt;=PEND_TO,"",SMALL(Grids!$EE$116:$GQ$155,$M$313+12)),"")</f>
        <v/>
      </c>
      <c r="M327" s="39">
        <f>IF($L327="","",INT($L327/1000000000))</f>
        <v/>
      </c>
      <c r="N327" s="39">
        <f>IF($L327="","",INT(($L327-INT($L327/1000000)*1000000)/1000))</f>
        <v/>
      </c>
      <c r="O327" s="39">
        <f>IF($L327="","",$L327-INT($L327/1000)*1000)</f>
        <v/>
      </c>
      <c r="P327" s="39">
        <f>IF($L327="","",INT(($L327-INT($L327/1000000000)*1000000000)/100000000))</f>
        <v/>
      </c>
    </row>
    <row r="328">
      <c r="B328" s="42">
        <f>IF($L328="","",$M328)</f>
        <v/>
      </c>
      <c r="C328" s="22">
        <f>IF($L328="","",INDEX(HSTECH!$C$7:$C$46,$N328))</f>
        <v/>
      </c>
      <c r="D328" s="22">
        <f>IF($L328="","",INDEX(HSTECH!$D$7:$D$46,$N328))</f>
        <v/>
      </c>
      <c r="E328" s="43">
        <f>IF($L328="","",IF($P328=0,"TBA",IFERROR(INDEX(Grids!$C$116:$BO$155,$N328,$O328),"-")))</f>
        <v/>
      </c>
      <c r="F328" s="22">
        <f>IF($L328="","",INDEX(HSTECH!$F$7:$F$46,$N328))</f>
        <v/>
      </c>
      <c r="G328" s="43">
        <f>IF($L328="","",IF($P328=0,"TBA",IFERROR(INDEX(Grids!$BQ$116:$EC$155,$N328,$O328),"-")))</f>
        <v/>
      </c>
      <c r="H328" s="44">
        <f>IF($L328="","",SUM($G$316:$G328))</f>
        <v/>
      </c>
      <c r="I328" s="45">
        <f>IF($L328="","",IF(INT(($L328-INT($L328/10000000)*10000000)/1000000)=0,"Bloomberg projection",IF($P328=1,"ANNOUNCED","ANNOUNCED - amount TBA")))</f>
        <v/>
      </c>
      <c r="J328" s="46">
        <f>IF($L328="","",IF((OV_SWITCH="ON")*(COUNTIFS(OVR_TICKERS,INDEX(HSTECH!$C$7:$C$46,$N328),OVR_BASE,"&gt;=0")&gt;0)&gt;0,"stock overridden",""))</f>
        <v/>
      </c>
      <c r="L328" s="39">
        <f>IFERROR(IF(SMALL(Grids!$EE$116:$GQ$155,$M$313+13)&gt;=PEND_TO,"",SMALL(Grids!$EE$116:$GQ$155,$M$313+13)),"")</f>
        <v/>
      </c>
      <c r="M328" s="39">
        <f>IF($L328="","",INT($L328/1000000000))</f>
        <v/>
      </c>
      <c r="N328" s="39">
        <f>IF($L328="","",INT(($L328-INT($L328/1000000)*1000000)/1000))</f>
        <v/>
      </c>
      <c r="O328" s="39">
        <f>IF($L328="","",$L328-INT($L328/1000)*1000)</f>
        <v/>
      </c>
      <c r="P328" s="39">
        <f>IF($L328="","",INT(($L328-INT($L328/1000000000)*1000000000)/100000000))</f>
        <v/>
      </c>
    </row>
    <row r="329">
      <c r="B329" s="42">
        <f>IF($L329="","",$M329)</f>
        <v/>
      </c>
      <c r="C329" s="22">
        <f>IF($L329="","",INDEX(HSTECH!$C$7:$C$46,$N329))</f>
        <v/>
      </c>
      <c r="D329" s="22">
        <f>IF($L329="","",INDEX(HSTECH!$D$7:$D$46,$N329))</f>
        <v/>
      </c>
      <c r="E329" s="43">
        <f>IF($L329="","",IF($P329=0,"TBA",IFERROR(INDEX(Grids!$C$116:$BO$155,$N329,$O329),"-")))</f>
        <v/>
      </c>
      <c r="F329" s="22">
        <f>IF($L329="","",INDEX(HSTECH!$F$7:$F$46,$N329))</f>
        <v/>
      </c>
      <c r="G329" s="43">
        <f>IF($L329="","",IF($P329=0,"TBA",IFERROR(INDEX(Grids!$BQ$116:$EC$155,$N329,$O329),"-")))</f>
        <v/>
      </c>
      <c r="H329" s="44">
        <f>IF($L329="","",SUM($G$316:$G329))</f>
        <v/>
      </c>
      <c r="I329" s="45">
        <f>IF($L329="","",IF(INT(($L329-INT($L329/10000000)*10000000)/1000000)=0,"Bloomberg projection",IF($P329=1,"ANNOUNCED","ANNOUNCED - amount TBA")))</f>
        <v/>
      </c>
      <c r="J329" s="46">
        <f>IF($L329="","",IF((OV_SWITCH="ON")*(COUNTIFS(OVR_TICKERS,INDEX(HSTECH!$C$7:$C$46,$N329),OVR_BASE,"&gt;=0")&gt;0)&gt;0,"stock overridden",""))</f>
        <v/>
      </c>
      <c r="L329" s="39">
        <f>IFERROR(IF(SMALL(Grids!$EE$116:$GQ$155,$M$313+14)&gt;=PEND_TO,"",SMALL(Grids!$EE$116:$GQ$155,$M$313+14)),"")</f>
        <v/>
      </c>
      <c r="M329" s="39">
        <f>IF($L329="","",INT($L329/1000000000))</f>
        <v/>
      </c>
      <c r="N329" s="39">
        <f>IF($L329="","",INT(($L329-INT($L329/1000000)*1000000)/1000))</f>
        <v/>
      </c>
      <c r="O329" s="39">
        <f>IF($L329="","",$L329-INT($L329/1000)*1000)</f>
        <v/>
      </c>
      <c r="P329" s="39">
        <f>IF($L329="","",INT(($L329-INT($L329/1000000000)*1000000000)/100000000))</f>
        <v/>
      </c>
    </row>
    <row r="330">
      <c r="B330" s="42">
        <f>IF($L330="","",$M330)</f>
        <v/>
      </c>
      <c r="C330" s="22">
        <f>IF($L330="","",INDEX(HSTECH!$C$7:$C$46,$N330))</f>
        <v/>
      </c>
      <c r="D330" s="22">
        <f>IF($L330="","",INDEX(HSTECH!$D$7:$D$46,$N330))</f>
        <v/>
      </c>
      <c r="E330" s="43">
        <f>IF($L330="","",IF($P330=0,"TBA",IFERROR(INDEX(Grids!$C$116:$BO$155,$N330,$O330),"-")))</f>
        <v/>
      </c>
      <c r="F330" s="22">
        <f>IF($L330="","",INDEX(HSTECH!$F$7:$F$46,$N330))</f>
        <v/>
      </c>
      <c r="G330" s="43">
        <f>IF($L330="","",IF($P330=0,"TBA",IFERROR(INDEX(Grids!$BQ$116:$EC$155,$N330,$O330),"-")))</f>
        <v/>
      </c>
      <c r="H330" s="44">
        <f>IF($L330="","",SUM($G$316:$G330))</f>
        <v/>
      </c>
      <c r="I330" s="45">
        <f>IF($L330="","",IF(INT(($L330-INT($L330/10000000)*10000000)/1000000)=0,"Bloomberg projection",IF($P330=1,"ANNOUNCED","ANNOUNCED - amount TBA")))</f>
        <v/>
      </c>
      <c r="J330" s="46">
        <f>IF($L330="","",IF((OV_SWITCH="ON")*(COUNTIFS(OVR_TICKERS,INDEX(HSTECH!$C$7:$C$46,$N330),OVR_BASE,"&gt;=0")&gt;0)&gt;0,"stock overridden",""))</f>
        <v/>
      </c>
      <c r="L330" s="39">
        <f>IFERROR(IF(SMALL(Grids!$EE$116:$GQ$155,$M$313+15)&gt;=PEND_TO,"",SMALL(Grids!$EE$116:$GQ$155,$M$313+15)),"")</f>
        <v/>
      </c>
      <c r="M330" s="39">
        <f>IF($L330="","",INT($L330/1000000000))</f>
        <v/>
      </c>
      <c r="N330" s="39">
        <f>IF($L330="","",INT(($L330-INT($L330/1000000)*1000000)/1000))</f>
        <v/>
      </c>
      <c r="O330" s="39">
        <f>IF($L330="","",$L330-INT($L330/1000)*1000)</f>
        <v/>
      </c>
      <c r="P330" s="39">
        <f>IF($L330="","",INT(($L330-INT($L330/1000000000)*1000000000)/100000000))</f>
        <v/>
      </c>
    </row>
    <row r="331">
      <c r="B331" s="42">
        <f>IF($L331="","",$M331)</f>
        <v/>
      </c>
      <c r="C331" s="22">
        <f>IF($L331="","",INDEX(HSTECH!$C$7:$C$46,$N331))</f>
        <v/>
      </c>
      <c r="D331" s="22">
        <f>IF($L331="","",INDEX(HSTECH!$D$7:$D$46,$N331))</f>
        <v/>
      </c>
      <c r="E331" s="43">
        <f>IF($L331="","",IF($P331=0,"TBA",IFERROR(INDEX(Grids!$C$116:$BO$155,$N331,$O331),"-")))</f>
        <v/>
      </c>
      <c r="F331" s="22">
        <f>IF($L331="","",INDEX(HSTECH!$F$7:$F$46,$N331))</f>
        <v/>
      </c>
      <c r="G331" s="43">
        <f>IF($L331="","",IF($P331=0,"TBA",IFERROR(INDEX(Grids!$BQ$116:$EC$155,$N331,$O331),"-")))</f>
        <v/>
      </c>
      <c r="H331" s="44">
        <f>IF($L331="","",SUM($G$316:$G331))</f>
        <v/>
      </c>
      <c r="I331" s="45">
        <f>IF($L331="","",IF(INT(($L331-INT($L331/10000000)*10000000)/1000000)=0,"Bloomberg projection",IF($P331=1,"ANNOUNCED","ANNOUNCED - amount TBA")))</f>
        <v/>
      </c>
      <c r="J331" s="46">
        <f>IF($L331="","",IF((OV_SWITCH="ON")*(COUNTIFS(OVR_TICKERS,INDEX(HSTECH!$C$7:$C$46,$N331),OVR_BASE,"&gt;=0")&gt;0)&gt;0,"stock overridden",""))</f>
        <v/>
      </c>
      <c r="L331" s="39">
        <f>IFERROR(IF(SMALL(Grids!$EE$116:$GQ$155,$M$313+16)&gt;=PEND_TO,"",SMALL(Grids!$EE$116:$GQ$155,$M$313+16)),"")</f>
        <v/>
      </c>
      <c r="M331" s="39">
        <f>IF($L331="","",INT($L331/1000000000))</f>
        <v/>
      </c>
      <c r="N331" s="39">
        <f>IF($L331="","",INT(($L331-INT($L331/1000000)*1000000)/1000))</f>
        <v/>
      </c>
      <c r="O331" s="39">
        <f>IF($L331="","",$L331-INT($L331/1000)*1000)</f>
        <v/>
      </c>
      <c r="P331" s="39">
        <f>IF($L331="","",INT(($L331-INT($L331/1000000000)*1000000000)/100000000))</f>
        <v/>
      </c>
    </row>
    <row r="332">
      <c r="B332" s="42">
        <f>IF($L332="","",$M332)</f>
        <v/>
      </c>
      <c r="C332" s="22">
        <f>IF($L332="","",INDEX(HSTECH!$C$7:$C$46,$N332))</f>
        <v/>
      </c>
      <c r="D332" s="22">
        <f>IF($L332="","",INDEX(HSTECH!$D$7:$D$46,$N332))</f>
        <v/>
      </c>
      <c r="E332" s="43">
        <f>IF($L332="","",IF($P332=0,"TBA",IFERROR(INDEX(Grids!$C$116:$BO$155,$N332,$O332),"-")))</f>
        <v/>
      </c>
      <c r="F332" s="22">
        <f>IF($L332="","",INDEX(HSTECH!$F$7:$F$46,$N332))</f>
        <v/>
      </c>
      <c r="G332" s="43">
        <f>IF($L332="","",IF($P332=0,"TBA",IFERROR(INDEX(Grids!$BQ$116:$EC$155,$N332,$O332),"-")))</f>
        <v/>
      </c>
      <c r="H332" s="44">
        <f>IF($L332="","",SUM($G$316:$G332))</f>
        <v/>
      </c>
      <c r="I332" s="45">
        <f>IF($L332="","",IF(INT(($L332-INT($L332/10000000)*10000000)/1000000)=0,"Bloomberg projection",IF($P332=1,"ANNOUNCED","ANNOUNCED - amount TBA")))</f>
        <v/>
      </c>
      <c r="J332" s="46">
        <f>IF($L332="","",IF((OV_SWITCH="ON")*(COUNTIFS(OVR_TICKERS,INDEX(HSTECH!$C$7:$C$46,$N332),OVR_BASE,"&gt;=0")&gt;0)&gt;0,"stock overridden",""))</f>
        <v/>
      </c>
      <c r="L332" s="39">
        <f>IFERROR(IF(SMALL(Grids!$EE$116:$GQ$155,$M$313+17)&gt;=PEND_TO,"",SMALL(Grids!$EE$116:$GQ$155,$M$313+17)),"")</f>
        <v/>
      </c>
      <c r="M332" s="39">
        <f>IF($L332="","",INT($L332/1000000000))</f>
        <v/>
      </c>
      <c r="N332" s="39">
        <f>IF($L332="","",INT(($L332-INT($L332/1000000)*1000000)/1000))</f>
        <v/>
      </c>
      <c r="O332" s="39">
        <f>IF($L332="","",$L332-INT($L332/1000)*1000)</f>
        <v/>
      </c>
      <c r="P332" s="39">
        <f>IF($L332="","",INT(($L332-INT($L332/1000000000)*1000000000)/100000000))</f>
        <v/>
      </c>
    </row>
    <row r="333">
      <c r="B333" s="42">
        <f>IF($L333="","",$M333)</f>
        <v/>
      </c>
      <c r="C333" s="22">
        <f>IF($L333="","",INDEX(HSTECH!$C$7:$C$46,$N333))</f>
        <v/>
      </c>
      <c r="D333" s="22">
        <f>IF($L333="","",INDEX(HSTECH!$D$7:$D$46,$N333))</f>
        <v/>
      </c>
      <c r="E333" s="43">
        <f>IF($L333="","",IF($P333=0,"TBA",IFERROR(INDEX(Grids!$C$116:$BO$155,$N333,$O333),"-")))</f>
        <v/>
      </c>
      <c r="F333" s="22">
        <f>IF($L333="","",INDEX(HSTECH!$F$7:$F$46,$N333))</f>
        <v/>
      </c>
      <c r="G333" s="43">
        <f>IF($L333="","",IF($P333=0,"TBA",IFERROR(INDEX(Grids!$BQ$116:$EC$155,$N333,$O333),"-")))</f>
        <v/>
      </c>
      <c r="H333" s="44">
        <f>IF($L333="","",SUM($G$316:$G333))</f>
        <v/>
      </c>
      <c r="I333" s="45">
        <f>IF($L333="","",IF(INT(($L333-INT($L333/10000000)*10000000)/1000000)=0,"Bloomberg projection",IF($P333=1,"ANNOUNCED","ANNOUNCED - amount TBA")))</f>
        <v/>
      </c>
      <c r="J333" s="46">
        <f>IF($L333="","",IF((OV_SWITCH="ON")*(COUNTIFS(OVR_TICKERS,INDEX(HSTECH!$C$7:$C$46,$N333),OVR_BASE,"&gt;=0")&gt;0)&gt;0,"stock overridden",""))</f>
        <v/>
      </c>
      <c r="L333" s="39">
        <f>IFERROR(IF(SMALL(Grids!$EE$116:$GQ$155,$M$313+18)&gt;=PEND_TO,"",SMALL(Grids!$EE$116:$GQ$155,$M$313+18)),"")</f>
        <v/>
      </c>
      <c r="M333" s="39">
        <f>IF($L333="","",INT($L333/1000000000))</f>
        <v/>
      </c>
      <c r="N333" s="39">
        <f>IF($L333="","",INT(($L333-INT($L333/1000000)*1000000)/1000))</f>
        <v/>
      </c>
      <c r="O333" s="39">
        <f>IF($L333="","",$L333-INT($L333/1000)*1000)</f>
        <v/>
      </c>
      <c r="P333" s="39">
        <f>IF($L333="","",INT(($L333-INT($L333/1000000000)*1000000000)/100000000))</f>
        <v/>
      </c>
    </row>
    <row r="334">
      <c r="B334" s="42">
        <f>IF($L334="","",$M334)</f>
        <v/>
      </c>
      <c r="C334" s="22">
        <f>IF($L334="","",INDEX(HSTECH!$C$7:$C$46,$N334))</f>
        <v/>
      </c>
      <c r="D334" s="22">
        <f>IF($L334="","",INDEX(HSTECH!$D$7:$D$46,$N334))</f>
        <v/>
      </c>
      <c r="E334" s="43">
        <f>IF($L334="","",IF($P334=0,"TBA",IFERROR(INDEX(Grids!$C$116:$BO$155,$N334,$O334),"-")))</f>
        <v/>
      </c>
      <c r="F334" s="22">
        <f>IF($L334="","",INDEX(HSTECH!$F$7:$F$46,$N334))</f>
        <v/>
      </c>
      <c r="G334" s="43">
        <f>IF($L334="","",IF($P334=0,"TBA",IFERROR(INDEX(Grids!$BQ$116:$EC$155,$N334,$O334),"-")))</f>
        <v/>
      </c>
      <c r="H334" s="44">
        <f>IF($L334="","",SUM($G$316:$G334))</f>
        <v/>
      </c>
      <c r="I334" s="45">
        <f>IF($L334="","",IF(INT(($L334-INT($L334/10000000)*10000000)/1000000)=0,"Bloomberg projection",IF($P334=1,"ANNOUNCED","ANNOUNCED - amount TBA")))</f>
        <v/>
      </c>
      <c r="J334" s="46">
        <f>IF($L334="","",IF((OV_SWITCH="ON")*(COUNTIFS(OVR_TICKERS,INDEX(HSTECH!$C$7:$C$46,$N334),OVR_BASE,"&gt;=0")&gt;0)&gt;0,"stock overridden",""))</f>
        <v/>
      </c>
      <c r="L334" s="39">
        <f>IFERROR(IF(SMALL(Grids!$EE$116:$GQ$155,$M$313+19)&gt;=PEND_TO,"",SMALL(Grids!$EE$116:$GQ$155,$M$313+19)),"")</f>
        <v/>
      </c>
      <c r="M334" s="39">
        <f>IF($L334="","",INT($L334/1000000000))</f>
        <v/>
      </c>
      <c r="N334" s="39">
        <f>IF($L334="","",INT(($L334-INT($L334/1000000)*1000000)/1000))</f>
        <v/>
      </c>
      <c r="O334" s="39">
        <f>IF($L334="","",$L334-INT($L334/1000)*1000)</f>
        <v/>
      </c>
      <c r="P334" s="39">
        <f>IF($L334="","",INT(($L334-INT($L334/1000000000)*1000000000)/100000000))</f>
        <v/>
      </c>
    </row>
    <row r="335">
      <c r="B335" s="42">
        <f>IF($L335="","",$M335)</f>
        <v/>
      </c>
      <c r="C335" s="22">
        <f>IF($L335="","",INDEX(HSTECH!$C$7:$C$46,$N335))</f>
        <v/>
      </c>
      <c r="D335" s="22">
        <f>IF($L335="","",INDEX(HSTECH!$D$7:$D$46,$N335))</f>
        <v/>
      </c>
      <c r="E335" s="43">
        <f>IF($L335="","",IF($P335=0,"TBA",IFERROR(INDEX(Grids!$C$116:$BO$155,$N335,$O335),"-")))</f>
        <v/>
      </c>
      <c r="F335" s="22">
        <f>IF($L335="","",INDEX(HSTECH!$F$7:$F$46,$N335))</f>
        <v/>
      </c>
      <c r="G335" s="43">
        <f>IF($L335="","",IF($P335=0,"TBA",IFERROR(INDEX(Grids!$BQ$116:$EC$155,$N335,$O335),"-")))</f>
        <v/>
      </c>
      <c r="H335" s="44">
        <f>IF($L335="","",SUM($G$316:$G335))</f>
        <v/>
      </c>
      <c r="I335" s="45">
        <f>IF($L335="","",IF(INT(($L335-INT($L335/10000000)*10000000)/1000000)=0,"Bloomberg projection",IF($P335=1,"ANNOUNCED","ANNOUNCED - amount TBA")))</f>
        <v/>
      </c>
      <c r="J335" s="46">
        <f>IF($L335="","",IF((OV_SWITCH="ON")*(COUNTIFS(OVR_TICKERS,INDEX(HSTECH!$C$7:$C$46,$N335),OVR_BASE,"&gt;=0")&gt;0)&gt;0,"stock overridden",""))</f>
        <v/>
      </c>
      <c r="L335" s="39">
        <f>IFERROR(IF(SMALL(Grids!$EE$116:$GQ$155,$M$313+20)&gt;=PEND_TO,"",SMALL(Grids!$EE$116:$GQ$155,$M$313+20)),"")</f>
        <v/>
      </c>
      <c r="M335" s="39">
        <f>IF($L335="","",INT($L335/1000000000))</f>
        <v/>
      </c>
      <c r="N335" s="39">
        <f>IF($L335="","",INT(($L335-INT($L335/1000000)*1000000)/1000))</f>
        <v/>
      </c>
      <c r="O335" s="39">
        <f>IF($L335="","",$L335-INT($L335/1000)*1000)</f>
        <v/>
      </c>
      <c r="P335" s="39">
        <f>IF($L335="","",INT(($L335-INT($L335/1000000000)*1000000000)/100000000))</f>
        <v/>
      </c>
    </row>
    <row r="336">
      <c r="B336" s="42">
        <f>IF($L336="","",$M336)</f>
        <v/>
      </c>
      <c r="C336" s="22">
        <f>IF($L336="","",INDEX(HSTECH!$C$7:$C$46,$N336))</f>
        <v/>
      </c>
      <c r="D336" s="22">
        <f>IF($L336="","",INDEX(HSTECH!$D$7:$D$46,$N336))</f>
        <v/>
      </c>
      <c r="E336" s="43">
        <f>IF($L336="","",IF($P336=0,"TBA",IFERROR(INDEX(Grids!$C$116:$BO$155,$N336,$O336),"-")))</f>
        <v/>
      </c>
      <c r="F336" s="22">
        <f>IF($L336="","",INDEX(HSTECH!$F$7:$F$46,$N336))</f>
        <v/>
      </c>
      <c r="G336" s="43">
        <f>IF($L336="","",IF($P336=0,"TBA",IFERROR(INDEX(Grids!$BQ$116:$EC$155,$N336,$O336),"-")))</f>
        <v/>
      </c>
      <c r="H336" s="44">
        <f>IF($L336="","",SUM($G$316:$G336))</f>
        <v/>
      </c>
      <c r="I336" s="45">
        <f>IF($L336="","",IF(INT(($L336-INT($L336/10000000)*10000000)/1000000)=0,"Bloomberg projection",IF($P336=1,"ANNOUNCED","ANNOUNCED - amount TBA")))</f>
        <v/>
      </c>
      <c r="J336" s="46">
        <f>IF($L336="","",IF((OV_SWITCH="ON")*(COUNTIFS(OVR_TICKERS,INDEX(HSTECH!$C$7:$C$46,$N336),OVR_BASE,"&gt;=0")&gt;0)&gt;0,"stock overridden",""))</f>
        <v/>
      </c>
      <c r="L336" s="39">
        <f>IFERROR(IF(SMALL(Grids!$EE$116:$GQ$155,$M$313+21)&gt;=PEND_TO,"",SMALL(Grids!$EE$116:$GQ$155,$M$313+21)),"")</f>
        <v/>
      </c>
      <c r="M336" s="39">
        <f>IF($L336="","",INT($L336/1000000000))</f>
        <v/>
      </c>
      <c r="N336" s="39">
        <f>IF($L336="","",INT(($L336-INT($L336/1000000)*1000000)/1000))</f>
        <v/>
      </c>
      <c r="O336" s="39">
        <f>IF($L336="","",$L336-INT($L336/1000)*1000)</f>
        <v/>
      </c>
      <c r="P336" s="39">
        <f>IF($L336="","",INT(($L336-INT($L336/1000000000)*1000000000)/100000000))</f>
        <v/>
      </c>
    </row>
    <row r="337">
      <c r="B337" s="42">
        <f>IF($L337="","",$M337)</f>
        <v/>
      </c>
      <c r="C337" s="22">
        <f>IF($L337="","",INDEX(HSTECH!$C$7:$C$46,$N337))</f>
        <v/>
      </c>
      <c r="D337" s="22">
        <f>IF($L337="","",INDEX(HSTECH!$D$7:$D$46,$N337))</f>
        <v/>
      </c>
      <c r="E337" s="43">
        <f>IF($L337="","",IF($P337=0,"TBA",IFERROR(INDEX(Grids!$C$116:$BO$155,$N337,$O337),"-")))</f>
        <v/>
      </c>
      <c r="F337" s="22">
        <f>IF($L337="","",INDEX(HSTECH!$F$7:$F$46,$N337))</f>
        <v/>
      </c>
      <c r="G337" s="43">
        <f>IF($L337="","",IF($P337=0,"TBA",IFERROR(INDEX(Grids!$BQ$116:$EC$155,$N337,$O337),"-")))</f>
        <v/>
      </c>
      <c r="H337" s="44">
        <f>IF($L337="","",SUM($G$316:$G337))</f>
        <v/>
      </c>
      <c r="I337" s="45">
        <f>IF($L337="","",IF(INT(($L337-INT($L337/10000000)*10000000)/1000000)=0,"Bloomberg projection",IF($P337=1,"ANNOUNCED","ANNOUNCED - amount TBA")))</f>
        <v/>
      </c>
      <c r="J337" s="46">
        <f>IF($L337="","",IF((OV_SWITCH="ON")*(COUNTIFS(OVR_TICKERS,INDEX(HSTECH!$C$7:$C$46,$N337),OVR_BASE,"&gt;=0")&gt;0)&gt;0,"stock overridden",""))</f>
        <v/>
      </c>
      <c r="L337" s="39">
        <f>IFERROR(IF(SMALL(Grids!$EE$116:$GQ$155,$M$313+22)&gt;=PEND_TO,"",SMALL(Grids!$EE$116:$GQ$155,$M$313+22)),"")</f>
        <v/>
      </c>
      <c r="M337" s="39">
        <f>IF($L337="","",INT($L337/1000000000))</f>
        <v/>
      </c>
      <c r="N337" s="39">
        <f>IF($L337="","",INT(($L337-INT($L337/1000000)*1000000)/1000))</f>
        <v/>
      </c>
      <c r="O337" s="39">
        <f>IF($L337="","",$L337-INT($L337/1000)*1000)</f>
        <v/>
      </c>
      <c r="P337" s="39">
        <f>IF($L337="","",INT(($L337-INT($L337/1000000000)*1000000000)/100000000))</f>
        <v/>
      </c>
    </row>
    <row r="338">
      <c r="B338" s="42">
        <f>IF($L338="","",$M338)</f>
        <v/>
      </c>
      <c r="C338" s="22">
        <f>IF($L338="","",INDEX(HSTECH!$C$7:$C$46,$N338))</f>
        <v/>
      </c>
      <c r="D338" s="22">
        <f>IF($L338="","",INDEX(HSTECH!$D$7:$D$46,$N338))</f>
        <v/>
      </c>
      <c r="E338" s="43">
        <f>IF($L338="","",IF($P338=0,"TBA",IFERROR(INDEX(Grids!$C$116:$BO$155,$N338,$O338),"-")))</f>
        <v/>
      </c>
      <c r="F338" s="22">
        <f>IF($L338="","",INDEX(HSTECH!$F$7:$F$46,$N338))</f>
        <v/>
      </c>
      <c r="G338" s="43">
        <f>IF($L338="","",IF($P338=0,"TBA",IFERROR(INDEX(Grids!$BQ$116:$EC$155,$N338,$O338),"-")))</f>
        <v/>
      </c>
      <c r="H338" s="44">
        <f>IF($L338="","",SUM($G$316:$G338))</f>
        <v/>
      </c>
      <c r="I338" s="45">
        <f>IF($L338="","",IF(INT(($L338-INT($L338/10000000)*10000000)/1000000)=0,"Bloomberg projection",IF($P338=1,"ANNOUNCED","ANNOUNCED - amount TBA")))</f>
        <v/>
      </c>
      <c r="J338" s="46">
        <f>IF($L338="","",IF((OV_SWITCH="ON")*(COUNTIFS(OVR_TICKERS,INDEX(HSTECH!$C$7:$C$46,$N338),OVR_BASE,"&gt;=0")&gt;0)&gt;0,"stock overridden",""))</f>
        <v/>
      </c>
      <c r="L338" s="39">
        <f>IFERROR(IF(SMALL(Grids!$EE$116:$GQ$155,$M$313+23)&gt;=PEND_TO,"",SMALL(Grids!$EE$116:$GQ$155,$M$313+23)),"")</f>
        <v/>
      </c>
      <c r="M338" s="39">
        <f>IF($L338="","",INT($L338/1000000000))</f>
        <v/>
      </c>
      <c r="N338" s="39">
        <f>IF($L338="","",INT(($L338-INT($L338/1000000)*1000000)/1000))</f>
        <v/>
      </c>
      <c r="O338" s="39">
        <f>IF($L338="","",$L338-INT($L338/1000)*1000)</f>
        <v/>
      </c>
      <c r="P338" s="39">
        <f>IF($L338="","",INT(($L338-INT($L338/1000000000)*1000000000)/100000000))</f>
        <v/>
      </c>
    </row>
    <row r="339">
      <c r="B339" s="42">
        <f>IF($L339="","",$M339)</f>
        <v/>
      </c>
      <c r="C339" s="22">
        <f>IF($L339="","",INDEX(HSTECH!$C$7:$C$46,$N339))</f>
        <v/>
      </c>
      <c r="D339" s="22">
        <f>IF($L339="","",INDEX(HSTECH!$D$7:$D$46,$N339))</f>
        <v/>
      </c>
      <c r="E339" s="43">
        <f>IF($L339="","",IF($P339=0,"TBA",IFERROR(INDEX(Grids!$C$116:$BO$155,$N339,$O339),"-")))</f>
        <v/>
      </c>
      <c r="F339" s="22">
        <f>IF($L339="","",INDEX(HSTECH!$F$7:$F$46,$N339))</f>
        <v/>
      </c>
      <c r="G339" s="43">
        <f>IF($L339="","",IF($P339=0,"TBA",IFERROR(INDEX(Grids!$BQ$116:$EC$155,$N339,$O339),"-")))</f>
        <v/>
      </c>
      <c r="H339" s="44">
        <f>IF($L339="","",SUM($G$316:$G339))</f>
        <v/>
      </c>
      <c r="I339" s="45">
        <f>IF($L339="","",IF(INT(($L339-INT($L339/10000000)*10000000)/1000000)=0,"Bloomberg projection",IF($P339=1,"ANNOUNCED","ANNOUNCED - amount TBA")))</f>
        <v/>
      </c>
      <c r="J339" s="46">
        <f>IF($L339="","",IF((OV_SWITCH="ON")*(COUNTIFS(OVR_TICKERS,INDEX(HSTECH!$C$7:$C$46,$N339),OVR_BASE,"&gt;=0")&gt;0)&gt;0,"stock overridden",""))</f>
        <v/>
      </c>
      <c r="L339" s="39">
        <f>IFERROR(IF(SMALL(Grids!$EE$116:$GQ$155,$M$313+24)&gt;=PEND_TO,"",SMALL(Grids!$EE$116:$GQ$155,$M$313+24)),"")</f>
        <v/>
      </c>
      <c r="M339" s="39">
        <f>IF($L339="","",INT($L339/1000000000))</f>
        <v/>
      </c>
      <c r="N339" s="39">
        <f>IF($L339="","",INT(($L339-INT($L339/1000000)*1000000)/1000))</f>
        <v/>
      </c>
      <c r="O339" s="39">
        <f>IF($L339="","",$L339-INT($L339/1000)*1000)</f>
        <v/>
      </c>
      <c r="P339" s="39">
        <f>IF($L339="","",INT(($L339-INT($L339/1000000000)*1000000000)/100000000))</f>
        <v/>
      </c>
    </row>
    <row r="340">
      <c r="B340" s="42">
        <f>IF($L340="","",$M340)</f>
        <v/>
      </c>
      <c r="C340" s="22">
        <f>IF($L340="","",INDEX(HSTECH!$C$7:$C$46,$N340))</f>
        <v/>
      </c>
      <c r="D340" s="22">
        <f>IF($L340="","",INDEX(HSTECH!$D$7:$D$46,$N340))</f>
        <v/>
      </c>
      <c r="E340" s="43">
        <f>IF($L340="","",IF($P340=0,"TBA",IFERROR(INDEX(Grids!$C$116:$BO$155,$N340,$O340),"-")))</f>
        <v/>
      </c>
      <c r="F340" s="22">
        <f>IF($L340="","",INDEX(HSTECH!$F$7:$F$46,$N340))</f>
        <v/>
      </c>
      <c r="G340" s="43">
        <f>IF($L340="","",IF($P340=0,"TBA",IFERROR(INDEX(Grids!$BQ$116:$EC$155,$N340,$O340),"-")))</f>
        <v/>
      </c>
      <c r="H340" s="44">
        <f>IF($L340="","",SUM($G$316:$G340))</f>
        <v/>
      </c>
      <c r="I340" s="45">
        <f>IF($L340="","",IF(INT(($L340-INT($L340/10000000)*10000000)/1000000)=0,"Bloomberg projection",IF($P340=1,"ANNOUNCED","ANNOUNCED - amount TBA")))</f>
        <v/>
      </c>
      <c r="J340" s="46">
        <f>IF($L340="","",IF((OV_SWITCH="ON")*(COUNTIFS(OVR_TICKERS,INDEX(HSTECH!$C$7:$C$46,$N340),OVR_BASE,"&gt;=0")&gt;0)&gt;0,"stock overridden",""))</f>
        <v/>
      </c>
      <c r="L340" s="39">
        <f>IFERROR(IF(SMALL(Grids!$EE$116:$GQ$155,$M$313+25)&gt;=PEND_TO,"",SMALL(Grids!$EE$116:$GQ$155,$M$313+25)),"")</f>
        <v/>
      </c>
      <c r="M340" s="39">
        <f>IF($L340="","",INT($L340/1000000000))</f>
        <v/>
      </c>
      <c r="N340" s="39">
        <f>IF($L340="","",INT(($L340-INT($L340/1000000)*1000000)/1000))</f>
        <v/>
      </c>
      <c r="O340" s="39">
        <f>IF($L340="","",$L340-INT($L340/1000)*1000)</f>
        <v/>
      </c>
      <c r="P340" s="39">
        <f>IF($L340="","",INT(($L340-INT($L340/1000000000)*1000000000)/100000000))</f>
        <v/>
      </c>
    </row>
    <row r="341">
      <c r="B341" s="42">
        <f>IF($L341="","",$M341)</f>
        <v/>
      </c>
      <c r="C341" s="22">
        <f>IF($L341="","",INDEX(HSTECH!$C$7:$C$46,$N341))</f>
        <v/>
      </c>
      <c r="D341" s="22">
        <f>IF($L341="","",INDEX(HSTECH!$D$7:$D$46,$N341))</f>
        <v/>
      </c>
      <c r="E341" s="43">
        <f>IF($L341="","",IF($P341=0,"TBA",IFERROR(INDEX(Grids!$C$116:$BO$155,$N341,$O341),"-")))</f>
        <v/>
      </c>
      <c r="F341" s="22">
        <f>IF($L341="","",INDEX(HSTECH!$F$7:$F$46,$N341))</f>
        <v/>
      </c>
      <c r="G341" s="43">
        <f>IF($L341="","",IF($P341=0,"TBA",IFERROR(INDEX(Grids!$BQ$116:$EC$155,$N341,$O341),"-")))</f>
        <v/>
      </c>
      <c r="H341" s="44">
        <f>IF($L341="","",SUM($G$316:$G341))</f>
        <v/>
      </c>
      <c r="I341" s="45">
        <f>IF($L341="","",IF(INT(($L341-INT($L341/10000000)*10000000)/1000000)=0,"Bloomberg projection",IF($P341=1,"ANNOUNCED","ANNOUNCED - amount TBA")))</f>
        <v/>
      </c>
      <c r="J341" s="46">
        <f>IF($L341="","",IF((OV_SWITCH="ON")*(COUNTIFS(OVR_TICKERS,INDEX(HSTECH!$C$7:$C$46,$N341),OVR_BASE,"&gt;=0")&gt;0)&gt;0,"stock overridden",""))</f>
        <v/>
      </c>
      <c r="L341" s="39">
        <f>IFERROR(IF(SMALL(Grids!$EE$116:$GQ$155,$M$313+26)&gt;=PEND_TO,"",SMALL(Grids!$EE$116:$GQ$155,$M$313+26)),"")</f>
        <v/>
      </c>
      <c r="M341" s="39">
        <f>IF($L341="","",INT($L341/1000000000))</f>
        <v/>
      </c>
      <c r="N341" s="39">
        <f>IF($L341="","",INT(($L341-INT($L341/1000000)*1000000)/1000))</f>
        <v/>
      </c>
      <c r="O341" s="39">
        <f>IF($L341="","",$L341-INT($L341/1000)*1000)</f>
        <v/>
      </c>
      <c r="P341" s="39">
        <f>IF($L341="","",INT(($L341-INT($L341/1000000000)*1000000000)/100000000))</f>
        <v/>
      </c>
    </row>
    <row r="342">
      <c r="B342" s="42">
        <f>IF($L342="","",$M342)</f>
        <v/>
      </c>
      <c r="C342" s="22">
        <f>IF($L342="","",INDEX(HSTECH!$C$7:$C$46,$N342))</f>
        <v/>
      </c>
      <c r="D342" s="22">
        <f>IF($L342="","",INDEX(HSTECH!$D$7:$D$46,$N342))</f>
        <v/>
      </c>
      <c r="E342" s="43">
        <f>IF($L342="","",IF($P342=0,"TBA",IFERROR(INDEX(Grids!$C$116:$BO$155,$N342,$O342),"-")))</f>
        <v/>
      </c>
      <c r="F342" s="22">
        <f>IF($L342="","",INDEX(HSTECH!$F$7:$F$46,$N342))</f>
        <v/>
      </c>
      <c r="G342" s="43">
        <f>IF($L342="","",IF($P342=0,"TBA",IFERROR(INDEX(Grids!$BQ$116:$EC$155,$N342,$O342),"-")))</f>
        <v/>
      </c>
      <c r="H342" s="44">
        <f>IF($L342="","",SUM($G$316:$G342))</f>
        <v/>
      </c>
      <c r="I342" s="45">
        <f>IF($L342="","",IF(INT(($L342-INT($L342/10000000)*10000000)/1000000)=0,"Bloomberg projection",IF($P342=1,"ANNOUNCED","ANNOUNCED - amount TBA")))</f>
        <v/>
      </c>
      <c r="J342" s="46">
        <f>IF($L342="","",IF((OV_SWITCH="ON")*(COUNTIFS(OVR_TICKERS,INDEX(HSTECH!$C$7:$C$46,$N342),OVR_BASE,"&gt;=0")&gt;0)&gt;0,"stock overridden",""))</f>
        <v/>
      </c>
      <c r="L342" s="39">
        <f>IFERROR(IF(SMALL(Grids!$EE$116:$GQ$155,$M$313+27)&gt;=PEND_TO,"",SMALL(Grids!$EE$116:$GQ$155,$M$313+27)),"")</f>
        <v/>
      </c>
      <c r="M342" s="39">
        <f>IF($L342="","",INT($L342/1000000000))</f>
        <v/>
      </c>
      <c r="N342" s="39">
        <f>IF($L342="","",INT(($L342-INT($L342/1000000)*1000000)/1000))</f>
        <v/>
      </c>
      <c r="O342" s="39">
        <f>IF($L342="","",$L342-INT($L342/1000)*1000)</f>
        <v/>
      </c>
      <c r="P342" s="39">
        <f>IF($L342="","",INT(($L342-INT($L342/1000000000)*1000000000)/100000000))</f>
        <v/>
      </c>
    </row>
    <row r="343">
      <c r="B343" s="42">
        <f>IF($L343="","",$M343)</f>
        <v/>
      </c>
      <c r="C343" s="22">
        <f>IF($L343="","",INDEX(HSTECH!$C$7:$C$46,$N343))</f>
        <v/>
      </c>
      <c r="D343" s="22">
        <f>IF($L343="","",INDEX(HSTECH!$D$7:$D$46,$N343))</f>
        <v/>
      </c>
      <c r="E343" s="43">
        <f>IF($L343="","",IF($P343=0,"TBA",IFERROR(INDEX(Grids!$C$116:$BO$155,$N343,$O343),"-")))</f>
        <v/>
      </c>
      <c r="F343" s="22">
        <f>IF($L343="","",INDEX(HSTECH!$F$7:$F$46,$N343))</f>
        <v/>
      </c>
      <c r="G343" s="43">
        <f>IF($L343="","",IF($P343=0,"TBA",IFERROR(INDEX(Grids!$BQ$116:$EC$155,$N343,$O343),"-")))</f>
        <v/>
      </c>
      <c r="H343" s="44">
        <f>IF($L343="","",SUM($G$316:$G343))</f>
        <v/>
      </c>
      <c r="I343" s="45">
        <f>IF($L343="","",IF(INT(($L343-INT($L343/10000000)*10000000)/1000000)=0,"Bloomberg projection",IF($P343=1,"ANNOUNCED","ANNOUNCED - amount TBA")))</f>
        <v/>
      </c>
      <c r="J343" s="46">
        <f>IF($L343="","",IF((OV_SWITCH="ON")*(COUNTIFS(OVR_TICKERS,INDEX(HSTECH!$C$7:$C$46,$N343),OVR_BASE,"&gt;=0")&gt;0)&gt;0,"stock overridden",""))</f>
        <v/>
      </c>
      <c r="L343" s="39">
        <f>IFERROR(IF(SMALL(Grids!$EE$116:$GQ$155,$M$313+28)&gt;=PEND_TO,"",SMALL(Grids!$EE$116:$GQ$155,$M$313+28)),"")</f>
        <v/>
      </c>
      <c r="M343" s="39">
        <f>IF($L343="","",INT($L343/1000000000))</f>
        <v/>
      </c>
      <c r="N343" s="39">
        <f>IF($L343="","",INT(($L343-INT($L343/1000000)*1000000)/1000))</f>
        <v/>
      </c>
      <c r="O343" s="39">
        <f>IF($L343="","",$L343-INT($L343/1000)*1000)</f>
        <v/>
      </c>
      <c r="P343" s="39">
        <f>IF($L343="","",INT(($L343-INT($L343/1000000000)*1000000000)/100000000))</f>
        <v/>
      </c>
    </row>
    <row r="344">
      <c r="B344" s="42">
        <f>IF($L344="","",$M344)</f>
        <v/>
      </c>
      <c r="C344" s="22">
        <f>IF($L344="","",INDEX(HSTECH!$C$7:$C$46,$N344))</f>
        <v/>
      </c>
      <c r="D344" s="22">
        <f>IF($L344="","",INDEX(HSTECH!$D$7:$D$46,$N344))</f>
        <v/>
      </c>
      <c r="E344" s="43">
        <f>IF($L344="","",IF($P344=0,"TBA",IFERROR(INDEX(Grids!$C$116:$BO$155,$N344,$O344),"-")))</f>
        <v/>
      </c>
      <c r="F344" s="22">
        <f>IF($L344="","",INDEX(HSTECH!$F$7:$F$46,$N344))</f>
        <v/>
      </c>
      <c r="G344" s="43">
        <f>IF($L344="","",IF($P344=0,"TBA",IFERROR(INDEX(Grids!$BQ$116:$EC$155,$N344,$O344),"-")))</f>
        <v/>
      </c>
      <c r="H344" s="44">
        <f>IF($L344="","",SUM($G$316:$G344))</f>
        <v/>
      </c>
      <c r="I344" s="45">
        <f>IF($L344="","",IF(INT(($L344-INT($L344/10000000)*10000000)/1000000)=0,"Bloomberg projection",IF($P344=1,"ANNOUNCED","ANNOUNCED - amount TBA")))</f>
        <v/>
      </c>
      <c r="J344" s="46">
        <f>IF($L344="","",IF((OV_SWITCH="ON")*(COUNTIFS(OVR_TICKERS,INDEX(HSTECH!$C$7:$C$46,$N344),OVR_BASE,"&gt;=0")&gt;0)&gt;0,"stock overridden",""))</f>
        <v/>
      </c>
      <c r="L344" s="39">
        <f>IFERROR(IF(SMALL(Grids!$EE$116:$GQ$155,$M$313+29)&gt;=PEND_TO,"",SMALL(Grids!$EE$116:$GQ$155,$M$313+29)),"")</f>
        <v/>
      </c>
      <c r="M344" s="39">
        <f>IF($L344="","",INT($L344/1000000000))</f>
        <v/>
      </c>
      <c r="N344" s="39">
        <f>IF($L344="","",INT(($L344-INT($L344/1000000)*1000000)/1000))</f>
        <v/>
      </c>
      <c r="O344" s="39">
        <f>IF($L344="","",$L344-INT($L344/1000)*1000)</f>
        <v/>
      </c>
      <c r="P344" s="39">
        <f>IF($L344="","",INT(($L344-INT($L344/1000000000)*1000000000)/100000000))</f>
        <v/>
      </c>
    </row>
    <row r="345">
      <c r="B345" s="42">
        <f>IF($L345="","",$M345)</f>
        <v/>
      </c>
      <c r="C345" s="22">
        <f>IF($L345="","",INDEX(HSTECH!$C$7:$C$46,$N345))</f>
        <v/>
      </c>
      <c r="D345" s="22">
        <f>IF($L345="","",INDEX(HSTECH!$D$7:$D$46,$N345))</f>
        <v/>
      </c>
      <c r="E345" s="43">
        <f>IF($L345="","",IF($P345=0,"TBA",IFERROR(INDEX(Grids!$C$116:$BO$155,$N345,$O345),"-")))</f>
        <v/>
      </c>
      <c r="F345" s="22">
        <f>IF($L345="","",INDEX(HSTECH!$F$7:$F$46,$N345))</f>
        <v/>
      </c>
      <c r="G345" s="43">
        <f>IF($L345="","",IF($P345=0,"TBA",IFERROR(INDEX(Grids!$BQ$116:$EC$155,$N345,$O345),"-")))</f>
        <v/>
      </c>
      <c r="H345" s="44">
        <f>IF($L345="","",SUM($G$316:$G345))</f>
        <v/>
      </c>
      <c r="I345" s="45">
        <f>IF($L345="","",IF(INT(($L345-INT($L345/10000000)*10000000)/1000000)=0,"Bloomberg projection",IF($P345=1,"ANNOUNCED","ANNOUNCED - amount TBA")))</f>
        <v/>
      </c>
      <c r="J345" s="46">
        <f>IF($L345="","",IF((OV_SWITCH="ON")*(COUNTIFS(OVR_TICKERS,INDEX(HSTECH!$C$7:$C$46,$N345),OVR_BASE,"&gt;=0")&gt;0)&gt;0,"stock overridden",""))</f>
        <v/>
      </c>
      <c r="L345" s="39">
        <f>IFERROR(IF(SMALL(Grids!$EE$116:$GQ$155,$M$313+30)&gt;=PEND_TO,"",SMALL(Grids!$EE$116:$GQ$155,$M$313+30)),"")</f>
        <v/>
      </c>
      <c r="M345" s="39">
        <f>IF($L345="","",INT($L345/1000000000))</f>
        <v/>
      </c>
      <c r="N345" s="39">
        <f>IF($L345="","",INT(($L345-INT($L345/1000000)*1000000)/1000))</f>
        <v/>
      </c>
      <c r="O345" s="39">
        <f>IF($L345="","",$L345-INT($L345/1000)*1000)</f>
        <v/>
      </c>
      <c r="P345" s="39">
        <f>IF($L345="","",INT(($L345-INT($L345/1000000000)*1000000000)/100000000))</f>
        <v/>
      </c>
    </row>
    <row r="346">
      <c r="B346" s="42">
        <f>IF($L346="","",$M346)</f>
        <v/>
      </c>
      <c r="C346" s="22">
        <f>IF($L346="","",INDEX(HSTECH!$C$7:$C$46,$N346))</f>
        <v/>
      </c>
      <c r="D346" s="22">
        <f>IF($L346="","",INDEX(HSTECH!$D$7:$D$46,$N346))</f>
        <v/>
      </c>
      <c r="E346" s="43">
        <f>IF($L346="","",IF($P346=0,"TBA",IFERROR(INDEX(Grids!$C$116:$BO$155,$N346,$O346),"-")))</f>
        <v/>
      </c>
      <c r="F346" s="22">
        <f>IF($L346="","",INDEX(HSTECH!$F$7:$F$46,$N346))</f>
        <v/>
      </c>
      <c r="G346" s="43">
        <f>IF($L346="","",IF($P346=0,"TBA",IFERROR(INDEX(Grids!$BQ$116:$EC$155,$N346,$O346),"-")))</f>
        <v/>
      </c>
      <c r="H346" s="44">
        <f>IF($L346="","",SUM($G$316:$G346))</f>
        <v/>
      </c>
      <c r="I346" s="45">
        <f>IF($L346="","",IF(INT(($L346-INT($L346/10000000)*10000000)/1000000)=0,"Bloomberg projection",IF($P346=1,"ANNOUNCED","ANNOUNCED - amount TBA")))</f>
        <v/>
      </c>
      <c r="J346" s="46">
        <f>IF($L346="","",IF((OV_SWITCH="ON")*(COUNTIFS(OVR_TICKERS,INDEX(HSTECH!$C$7:$C$46,$N346),OVR_BASE,"&gt;=0")&gt;0)&gt;0,"stock overridden",""))</f>
        <v/>
      </c>
      <c r="L346" s="39">
        <f>IFERROR(IF(SMALL(Grids!$EE$116:$GQ$155,$M$313+31)&gt;=PEND_TO,"",SMALL(Grids!$EE$116:$GQ$155,$M$313+31)),"")</f>
        <v/>
      </c>
      <c r="M346" s="39">
        <f>IF($L346="","",INT($L346/1000000000))</f>
        <v/>
      </c>
      <c r="N346" s="39">
        <f>IF($L346="","",INT(($L346-INT($L346/1000000)*1000000)/1000))</f>
        <v/>
      </c>
      <c r="O346" s="39">
        <f>IF($L346="","",$L346-INT($L346/1000)*1000)</f>
        <v/>
      </c>
      <c r="P346" s="39">
        <f>IF($L346="","",INT(($L346-INT($L346/1000000000)*1000000000)/100000000))</f>
        <v/>
      </c>
    </row>
    <row r="347">
      <c r="B347" s="42">
        <f>IF($L347="","",$M347)</f>
        <v/>
      </c>
      <c r="C347" s="22">
        <f>IF($L347="","",INDEX(HSTECH!$C$7:$C$46,$N347))</f>
        <v/>
      </c>
      <c r="D347" s="22">
        <f>IF($L347="","",INDEX(HSTECH!$D$7:$D$46,$N347))</f>
        <v/>
      </c>
      <c r="E347" s="43">
        <f>IF($L347="","",IF($P347=0,"TBA",IFERROR(INDEX(Grids!$C$116:$BO$155,$N347,$O347),"-")))</f>
        <v/>
      </c>
      <c r="F347" s="22">
        <f>IF($L347="","",INDEX(HSTECH!$F$7:$F$46,$N347))</f>
        <v/>
      </c>
      <c r="G347" s="43">
        <f>IF($L347="","",IF($P347=0,"TBA",IFERROR(INDEX(Grids!$BQ$116:$EC$155,$N347,$O347),"-")))</f>
        <v/>
      </c>
      <c r="H347" s="44">
        <f>IF($L347="","",SUM($G$316:$G347))</f>
        <v/>
      </c>
      <c r="I347" s="45">
        <f>IF($L347="","",IF(INT(($L347-INT($L347/10000000)*10000000)/1000000)=0,"Bloomberg projection",IF($P347=1,"ANNOUNCED","ANNOUNCED - amount TBA")))</f>
        <v/>
      </c>
      <c r="J347" s="46">
        <f>IF($L347="","",IF((OV_SWITCH="ON")*(COUNTIFS(OVR_TICKERS,INDEX(HSTECH!$C$7:$C$46,$N347),OVR_BASE,"&gt;=0")&gt;0)&gt;0,"stock overridden",""))</f>
        <v/>
      </c>
      <c r="L347" s="39">
        <f>IFERROR(IF(SMALL(Grids!$EE$116:$GQ$155,$M$313+32)&gt;=PEND_TO,"",SMALL(Grids!$EE$116:$GQ$155,$M$313+32)),"")</f>
        <v/>
      </c>
      <c r="M347" s="39">
        <f>IF($L347="","",INT($L347/1000000000))</f>
        <v/>
      </c>
      <c r="N347" s="39">
        <f>IF($L347="","",INT(($L347-INT($L347/1000000)*1000000)/1000))</f>
        <v/>
      </c>
      <c r="O347" s="39">
        <f>IF($L347="","",$L347-INT($L347/1000)*1000)</f>
        <v/>
      </c>
      <c r="P347" s="39">
        <f>IF($L347="","",INT(($L347-INT($L347/1000000000)*1000000000)/100000000))</f>
        <v/>
      </c>
    </row>
    <row r="348">
      <c r="B348" s="42">
        <f>IF($L348="","",$M348)</f>
        <v/>
      </c>
      <c r="C348" s="22">
        <f>IF($L348="","",INDEX(HSTECH!$C$7:$C$46,$N348))</f>
        <v/>
      </c>
      <c r="D348" s="22">
        <f>IF($L348="","",INDEX(HSTECH!$D$7:$D$46,$N348))</f>
        <v/>
      </c>
      <c r="E348" s="43">
        <f>IF($L348="","",IF($P348=0,"TBA",IFERROR(INDEX(Grids!$C$116:$BO$155,$N348,$O348),"-")))</f>
        <v/>
      </c>
      <c r="F348" s="22">
        <f>IF($L348="","",INDEX(HSTECH!$F$7:$F$46,$N348))</f>
        <v/>
      </c>
      <c r="G348" s="43">
        <f>IF($L348="","",IF($P348=0,"TBA",IFERROR(INDEX(Grids!$BQ$116:$EC$155,$N348,$O348),"-")))</f>
        <v/>
      </c>
      <c r="H348" s="44">
        <f>IF($L348="","",SUM($G$316:$G348))</f>
        <v/>
      </c>
      <c r="I348" s="45">
        <f>IF($L348="","",IF(INT(($L348-INT($L348/10000000)*10000000)/1000000)=0,"Bloomberg projection",IF($P348=1,"ANNOUNCED","ANNOUNCED - amount TBA")))</f>
        <v/>
      </c>
      <c r="J348" s="46">
        <f>IF($L348="","",IF((OV_SWITCH="ON")*(COUNTIFS(OVR_TICKERS,INDEX(HSTECH!$C$7:$C$46,$N348),OVR_BASE,"&gt;=0")&gt;0)&gt;0,"stock overridden",""))</f>
        <v/>
      </c>
      <c r="L348" s="39">
        <f>IFERROR(IF(SMALL(Grids!$EE$116:$GQ$155,$M$313+33)&gt;=PEND_TO,"",SMALL(Grids!$EE$116:$GQ$155,$M$313+33)),"")</f>
        <v/>
      </c>
      <c r="M348" s="39">
        <f>IF($L348="","",INT($L348/1000000000))</f>
        <v/>
      </c>
      <c r="N348" s="39">
        <f>IF($L348="","",INT(($L348-INT($L348/1000000)*1000000)/1000))</f>
        <v/>
      </c>
      <c r="O348" s="39">
        <f>IF($L348="","",$L348-INT($L348/1000)*1000)</f>
        <v/>
      </c>
      <c r="P348" s="39">
        <f>IF($L348="","",INT(($L348-INT($L348/1000000000)*1000000000)/100000000))</f>
        <v/>
      </c>
    </row>
    <row r="349">
      <c r="B349" s="42">
        <f>IF($L349="","",$M349)</f>
        <v/>
      </c>
      <c r="C349" s="22">
        <f>IF($L349="","",INDEX(HSTECH!$C$7:$C$46,$N349))</f>
        <v/>
      </c>
      <c r="D349" s="22">
        <f>IF($L349="","",INDEX(HSTECH!$D$7:$D$46,$N349))</f>
        <v/>
      </c>
      <c r="E349" s="43">
        <f>IF($L349="","",IF($P349=0,"TBA",IFERROR(INDEX(Grids!$C$116:$BO$155,$N349,$O349),"-")))</f>
        <v/>
      </c>
      <c r="F349" s="22">
        <f>IF($L349="","",INDEX(HSTECH!$F$7:$F$46,$N349))</f>
        <v/>
      </c>
      <c r="G349" s="43">
        <f>IF($L349="","",IF($P349=0,"TBA",IFERROR(INDEX(Grids!$BQ$116:$EC$155,$N349,$O349),"-")))</f>
        <v/>
      </c>
      <c r="H349" s="44">
        <f>IF($L349="","",SUM($G$316:$G349))</f>
        <v/>
      </c>
      <c r="I349" s="45">
        <f>IF($L349="","",IF(INT(($L349-INT($L349/10000000)*10000000)/1000000)=0,"Bloomberg projection",IF($P349=1,"ANNOUNCED","ANNOUNCED - amount TBA")))</f>
        <v/>
      </c>
      <c r="J349" s="46">
        <f>IF($L349="","",IF((OV_SWITCH="ON")*(COUNTIFS(OVR_TICKERS,INDEX(HSTECH!$C$7:$C$46,$N349),OVR_BASE,"&gt;=0")&gt;0)&gt;0,"stock overridden",""))</f>
        <v/>
      </c>
      <c r="L349" s="39">
        <f>IFERROR(IF(SMALL(Grids!$EE$116:$GQ$155,$M$313+34)&gt;=PEND_TO,"",SMALL(Grids!$EE$116:$GQ$155,$M$313+34)),"")</f>
        <v/>
      </c>
      <c r="M349" s="39">
        <f>IF($L349="","",INT($L349/1000000000))</f>
        <v/>
      </c>
      <c r="N349" s="39">
        <f>IF($L349="","",INT(($L349-INT($L349/1000000)*1000000)/1000))</f>
        <v/>
      </c>
      <c r="O349" s="39">
        <f>IF($L349="","",$L349-INT($L349/1000)*1000)</f>
        <v/>
      </c>
      <c r="P349" s="39">
        <f>IF($L349="","",INT(($L349-INT($L349/1000000000)*1000000000)/100000000))</f>
        <v/>
      </c>
    </row>
    <row r="350">
      <c r="B350" s="42">
        <f>IF($L350="","",$M350)</f>
        <v/>
      </c>
      <c r="C350" s="22">
        <f>IF($L350="","",INDEX(HSTECH!$C$7:$C$46,$N350))</f>
        <v/>
      </c>
      <c r="D350" s="22">
        <f>IF($L350="","",INDEX(HSTECH!$D$7:$D$46,$N350))</f>
        <v/>
      </c>
      <c r="E350" s="43">
        <f>IF($L350="","",IF($P350=0,"TBA",IFERROR(INDEX(Grids!$C$116:$BO$155,$N350,$O350),"-")))</f>
        <v/>
      </c>
      <c r="F350" s="22">
        <f>IF($L350="","",INDEX(HSTECH!$F$7:$F$46,$N350))</f>
        <v/>
      </c>
      <c r="G350" s="43">
        <f>IF($L350="","",IF($P350=0,"TBA",IFERROR(INDEX(Grids!$BQ$116:$EC$155,$N350,$O350),"-")))</f>
        <v/>
      </c>
      <c r="H350" s="44">
        <f>IF($L350="","",SUM($G$316:$G350))</f>
        <v/>
      </c>
      <c r="I350" s="45">
        <f>IF($L350="","",IF(INT(($L350-INT($L350/10000000)*10000000)/1000000)=0,"Bloomberg projection",IF($P350=1,"ANNOUNCED","ANNOUNCED - amount TBA")))</f>
        <v/>
      </c>
      <c r="J350" s="46">
        <f>IF($L350="","",IF((OV_SWITCH="ON")*(COUNTIFS(OVR_TICKERS,INDEX(HSTECH!$C$7:$C$46,$N350),OVR_BASE,"&gt;=0")&gt;0)&gt;0,"stock overridden",""))</f>
        <v/>
      </c>
      <c r="L350" s="39">
        <f>IFERROR(IF(SMALL(Grids!$EE$116:$GQ$155,$M$313+35)&gt;=PEND_TO,"",SMALL(Grids!$EE$116:$GQ$155,$M$313+35)),"")</f>
        <v/>
      </c>
      <c r="M350" s="39">
        <f>IF($L350="","",INT($L350/1000000000))</f>
        <v/>
      </c>
      <c r="N350" s="39">
        <f>IF($L350="","",INT(($L350-INT($L350/1000000)*1000000)/1000))</f>
        <v/>
      </c>
      <c r="O350" s="39">
        <f>IF($L350="","",$L350-INT($L350/1000)*1000)</f>
        <v/>
      </c>
      <c r="P350" s="39">
        <f>IF($L350="","",INT(($L350-INT($L350/1000000000)*1000000000)/100000000))</f>
        <v/>
      </c>
    </row>
    <row r="351">
      <c r="B351" s="42">
        <f>IF($L351="","",$M351)</f>
        <v/>
      </c>
      <c r="C351" s="22">
        <f>IF($L351="","",INDEX(HSTECH!$C$7:$C$46,$N351))</f>
        <v/>
      </c>
      <c r="D351" s="22">
        <f>IF($L351="","",INDEX(HSTECH!$D$7:$D$46,$N351))</f>
        <v/>
      </c>
      <c r="E351" s="43">
        <f>IF($L351="","",IF($P351=0,"TBA",IFERROR(INDEX(Grids!$C$116:$BO$155,$N351,$O351),"-")))</f>
        <v/>
      </c>
      <c r="F351" s="22">
        <f>IF($L351="","",INDEX(HSTECH!$F$7:$F$46,$N351))</f>
        <v/>
      </c>
      <c r="G351" s="43">
        <f>IF($L351="","",IF($P351=0,"TBA",IFERROR(INDEX(Grids!$BQ$116:$EC$155,$N351,$O351),"-")))</f>
        <v/>
      </c>
      <c r="H351" s="44">
        <f>IF($L351="","",SUM($G$316:$G351))</f>
        <v/>
      </c>
      <c r="I351" s="45">
        <f>IF($L351="","",IF(INT(($L351-INT($L351/10000000)*10000000)/1000000)=0,"Bloomberg projection",IF($P351=1,"ANNOUNCED","ANNOUNCED - amount TBA")))</f>
        <v/>
      </c>
      <c r="J351" s="46">
        <f>IF($L351="","",IF((OV_SWITCH="ON")*(COUNTIFS(OVR_TICKERS,INDEX(HSTECH!$C$7:$C$46,$N351),OVR_BASE,"&gt;=0")&gt;0)&gt;0,"stock overridden",""))</f>
        <v/>
      </c>
      <c r="L351" s="39">
        <f>IFERROR(IF(SMALL(Grids!$EE$116:$GQ$155,$M$313+36)&gt;=PEND_TO,"",SMALL(Grids!$EE$116:$GQ$155,$M$313+36)),"")</f>
        <v/>
      </c>
      <c r="M351" s="39">
        <f>IF($L351="","",INT($L351/1000000000))</f>
        <v/>
      </c>
      <c r="N351" s="39">
        <f>IF($L351="","",INT(($L351-INT($L351/1000000)*1000000)/1000))</f>
        <v/>
      </c>
      <c r="O351" s="39">
        <f>IF($L351="","",$L351-INT($L351/1000)*1000)</f>
        <v/>
      </c>
      <c r="P351" s="39">
        <f>IF($L351="","",INT(($L351-INT($L351/1000000000)*1000000000)/100000000))</f>
        <v/>
      </c>
    </row>
    <row r="352">
      <c r="B352" s="42">
        <f>IF($L352="","",$M352)</f>
        <v/>
      </c>
      <c r="C352" s="22">
        <f>IF($L352="","",INDEX(HSTECH!$C$7:$C$46,$N352))</f>
        <v/>
      </c>
      <c r="D352" s="22">
        <f>IF($L352="","",INDEX(HSTECH!$D$7:$D$46,$N352))</f>
        <v/>
      </c>
      <c r="E352" s="43">
        <f>IF($L352="","",IF($P352=0,"TBA",IFERROR(INDEX(Grids!$C$116:$BO$155,$N352,$O352),"-")))</f>
        <v/>
      </c>
      <c r="F352" s="22">
        <f>IF($L352="","",INDEX(HSTECH!$F$7:$F$46,$N352))</f>
        <v/>
      </c>
      <c r="G352" s="43">
        <f>IF($L352="","",IF($P352=0,"TBA",IFERROR(INDEX(Grids!$BQ$116:$EC$155,$N352,$O352),"-")))</f>
        <v/>
      </c>
      <c r="H352" s="44">
        <f>IF($L352="","",SUM($G$316:$G352))</f>
        <v/>
      </c>
      <c r="I352" s="45">
        <f>IF($L352="","",IF(INT(($L352-INT($L352/10000000)*10000000)/1000000)=0,"Bloomberg projection",IF($P352=1,"ANNOUNCED","ANNOUNCED - amount TBA")))</f>
        <v/>
      </c>
      <c r="J352" s="46">
        <f>IF($L352="","",IF((OV_SWITCH="ON")*(COUNTIFS(OVR_TICKERS,INDEX(HSTECH!$C$7:$C$46,$N352),OVR_BASE,"&gt;=0")&gt;0)&gt;0,"stock overridden",""))</f>
        <v/>
      </c>
      <c r="L352" s="39">
        <f>IFERROR(IF(SMALL(Grids!$EE$116:$GQ$155,$M$313+37)&gt;=PEND_TO,"",SMALL(Grids!$EE$116:$GQ$155,$M$313+37)),"")</f>
        <v/>
      </c>
      <c r="M352" s="39">
        <f>IF($L352="","",INT($L352/1000000000))</f>
        <v/>
      </c>
      <c r="N352" s="39">
        <f>IF($L352="","",INT(($L352-INT($L352/1000000)*1000000)/1000))</f>
        <v/>
      </c>
      <c r="O352" s="39">
        <f>IF($L352="","",$L352-INT($L352/1000)*1000)</f>
        <v/>
      </c>
      <c r="P352" s="39">
        <f>IF($L352="","",INT(($L352-INT($L352/1000000000)*1000000000)/100000000))</f>
        <v/>
      </c>
    </row>
    <row r="353">
      <c r="B353" s="42">
        <f>IF($L353="","",$M353)</f>
        <v/>
      </c>
      <c r="C353" s="22">
        <f>IF($L353="","",INDEX(HSTECH!$C$7:$C$46,$N353))</f>
        <v/>
      </c>
      <c r="D353" s="22">
        <f>IF($L353="","",INDEX(HSTECH!$D$7:$D$46,$N353))</f>
        <v/>
      </c>
      <c r="E353" s="43">
        <f>IF($L353="","",IF($P353=0,"TBA",IFERROR(INDEX(Grids!$C$116:$BO$155,$N353,$O353),"-")))</f>
        <v/>
      </c>
      <c r="F353" s="22">
        <f>IF($L353="","",INDEX(HSTECH!$F$7:$F$46,$N353))</f>
        <v/>
      </c>
      <c r="G353" s="43">
        <f>IF($L353="","",IF($P353=0,"TBA",IFERROR(INDEX(Grids!$BQ$116:$EC$155,$N353,$O353),"-")))</f>
        <v/>
      </c>
      <c r="H353" s="44">
        <f>IF($L353="","",SUM($G$316:$G353))</f>
        <v/>
      </c>
      <c r="I353" s="45">
        <f>IF($L353="","",IF(INT(($L353-INT($L353/10000000)*10000000)/1000000)=0,"Bloomberg projection",IF($P353=1,"ANNOUNCED","ANNOUNCED - amount TBA")))</f>
        <v/>
      </c>
      <c r="J353" s="46">
        <f>IF($L353="","",IF((OV_SWITCH="ON")*(COUNTIFS(OVR_TICKERS,INDEX(HSTECH!$C$7:$C$46,$N353),OVR_BASE,"&gt;=0")&gt;0)&gt;0,"stock overridden",""))</f>
        <v/>
      </c>
      <c r="L353" s="39">
        <f>IFERROR(IF(SMALL(Grids!$EE$116:$GQ$155,$M$313+38)&gt;=PEND_TO,"",SMALL(Grids!$EE$116:$GQ$155,$M$313+38)),"")</f>
        <v/>
      </c>
      <c r="M353" s="39">
        <f>IF($L353="","",INT($L353/1000000000))</f>
        <v/>
      </c>
      <c r="N353" s="39">
        <f>IF($L353="","",INT(($L353-INT($L353/1000000)*1000000)/1000))</f>
        <v/>
      </c>
      <c r="O353" s="39">
        <f>IF($L353="","",$L353-INT($L353/1000)*1000)</f>
        <v/>
      </c>
      <c r="P353" s="39">
        <f>IF($L353="","",INT(($L353-INT($L353/1000000000)*1000000000)/100000000))</f>
        <v/>
      </c>
    </row>
    <row r="354">
      <c r="B354" s="42">
        <f>IF($L354="","",$M354)</f>
        <v/>
      </c>
      <c r="C354" s="22">
        <f>IF($L354="","",INDEX(HSTECH!$C$7:$C$46,$N354))</f>
        <v/>
      </c>
      <c r="D354" s="22">
        <f>IF($L354="","",INDEX(HSTECH!$D$7:$D$46,$N354))</f>
        <v/>
      </c>
      <c r="E354" s="43">
        <f>IF($L354="","",IF($P354=0,"TBA",IFERROR(INDEX(Grids!$C$116:$BO$155,$N354,$O354),"-")))</f>
        <v/>
      </c>
      <c r="F354" s="22">
        <f>IF($L354="","",INDEX(HSTECH!$F$7:$F$46,$N354))</f>
        <v/>
      </c>
      <c r="G354" s="43">
        <f>IF($L354="","",IF($P354=0,"TBA",IFERROR(INDEX(Grids!$BQ$116:$EC$155,$N354,$O354),"-")))</f>
        <v/>
      </c>
      <c r="H354" s="44">
        <f>IF($L354="","",SUM($G$316:$G354))</f>
        <v/>
      </c>
      <c r="I354" s="45">
        <f>IF($L354="","",IF(INT(($L354-INT($L354/10000000)*10000000)/1000000)=0,"Bloomberg projection",IF($P354=1,"ANNOUNCED","ANNOUNCED - amount TBA")))</f>
        <v/>
      </c>
      <c r="J354" s="46">
        <f>IF($L354="","",IF((OV_SWITCH="ON")*(COUNTIFS(OVR_TICKERS,INDEX(HSTECH!$C$7:$C$46,$N354),OVR_BASE,"&gt;=0")&gt;0)&gt;0,"stock overridden",""))</f>
        <v/>
      </c>
      <c r="L354" s="39">
        <f>IFERROR(IF(SMALL(Grids!$EE$116:$GQ$155,$M$313+39)&gt;=PEND_TO,"",SMALL(Grids!$EE$116:$GQ$155,$M$313+39)),"")</f>
        <v/>
      </c>
      <c r="M354" s="39">
        <f>IF($L354="","",INT($L354/1000000000))</f>
        <v/>
      </c>
      <c r="N354" s="39">
        <f>IF($L354="","",INT(($L354-INT($L354/1000000)*1000000)/1000))</f>
        <v/>
      </c>
      <c r="O354" s="39">
        <f>IF($L354="","",$L354-INT($L354/1000)*1000)</f>
        <v/>
      </c>
      <c r="P354" s="39">
        <f>IF($L354="","",INT(($L354-INT($L354/1000000000)*1000000000)/100000000))</f>
        <v/>
      </c>
    </row>
    <row r="355">
      <c r="B355" s="42">
        <f>IF($L355="","",$M355)</f>
        <v/>
      </c>
      <c r="C355" s="22">
        <f>IF($L355="","",INDEX(HSTECH!$C$7:$C$46,$N355))</f>
        <v/>
      </c>
      <c r="D355" s="22">
        <f>IF($L355="","",INDEX(HSTECH!$D$7:$D$46,$N355))</f>
        <v/>
      </c>
      <c r="E355" s="43">
        <f>IF($L355="","",IF($P355=0,"TBA",IFERROR(INDEX(Grids!$C$116:$BO$155,$N355,$O355),"-")))</f>
        <v/>
      </c>
      <c r="F355" s="22">
        <f>IF($L355="","",INDEX(HSTECH!$F$7:$F$46,$N355))</f>
        <v/>
      </c>
      <c r="G355" s="43">
        <f>IF($L355="","",IF($P355=0,"TBA",IFERROR(INDEX(Grids!$BQ$116:$EC$155,$N355,$O355),"-")))</f>
        <v/>
      </c>
      <c r="H355" s="44">
        <f>IF($L355="","",SUM($G$316:$G355))</f>
        <v/>
      </c>
      <c r="I355" s="45">
        <f>IF($L355="","",IF(INT(($L355-INT($L355/10000000)*10000000)/1000000)=0,"Bloomberg projection",IF($P355=1,"ANNOUNCED","ANNOUNCED - amount TBA")))</f>
        <v/>
      </c>
      <c r="J355" s="46">
        <f>IF($L355="","",IF((OV_SWITCH="ON")*(COUNTIFS(OVR_TICKERS,INDEX(HSTECH!$C$7:$C$46,$N355),OVR_BASE,"&gt;=0")&gt;0)&gt;0,"stock overridden",""))</f>
        <v/>
      </c>
      <c r="L355" s="39">
        <f>IFERROR(IF(SMALL(Grids!$EE$116:$GQ$155,$M$313+40)&gt;=PEND_TO,"",SMALL(Grids!$EE$116:$GQ$155,$M$313+40)),"")</f>
        <v/>
      </c>
      <c r="M355" s="39">
        <f>IF($L355="","",INT($L355/1000000000))</f>
        <v/>
      </c>
      <c r="N355" s="39">
        <f>IF($L355="","",INT(($L355-INT($L355/1000000)*1000000)/1000))</f>
        <v/>
      </c>
      <c r="O355" s="39">
        <f>IF($L355="","",$L355-INT($L355/1000)*1000)</f>
        <v/>
      </c>
      <c r="P355" s="39">
        <f>IF($L355="","",INT(($L355-INT($L355/1000000000)*1000000000)/100000000))</f>
        <v/>
      </c>
    </row>
    <row r="356">
      <c r="B356" s="42">
        <f>IF($L356="","",$M356)</f>
        <v/>
      </c>
      <c r="C356" s="22">
        <f>IF($L356="","",INDEX(HSTECH!$C$7:$C$46,$N356))</f>
        <v/>
      </c>
      <c r="D356" s="22">
        <f>IF($L356="","",INDEX(HSTECH!$D$7:$D$46,$N356))</f>
        <v/>
      </c>
      <c r="E356" s="43">
        <f>IF($L356="","",IF($P356=0,"TBA",IFERROR(INDEX(Grids!$C$116:$BO$155,$N356,$O356),"-")))</f>
        <v/>
      </c>
      <c r="F356" s="22">
        <f>IF($L356="","",INDEX(HSTECH!$F$7:$F$46,$N356))</f>
        <v/>
      </c>
      <c r="G356" s="43">
        <f>IF($L356="","",IF($P356=0,"TBA",IFERROR(INDEX(Grids!$BQ$116:$EC$155,$N356,$O356),"-")))</f>
        <v/>
      </c>
      <c r="H356" s="44">
        <f>IF($L356="","",SUM($G$316:$G356))</f>
        <v/>
      </c>
      <c r="I356" s="45">
        <f>IF($L356="","",IF(INT(($L356-INT($L356/10000000)*10000000)/1000000)=0,"Bloomberg projection",IF($P356=1,"ANNOUNCED","ANNOUNCED - amount TBA")))</f>
        <v/>
      </c>
      <c r="J356" s="46">
        <f>IF($L356="","",IF((OV_SWITCH="ON")*(COUNTIFS(OVR_TICKERS,INDEX(HSTECH!$C$7:$C$46,$N356),OVR_BASE,"&gt;=0")&gt;0)&gt;0,"stock overridden",""))</f>
        <v/>
      </c>
      <c r="L356" s="39">
        <f>IFERROR(IF(SMALL(Grids!$EE$116:$GQ$155,$M$313+41)&gt;=PEND_TO,"",SMALL(Grids!$EE$116:$GQ$155,$M$313+41)),"")</f>
        <v/>
      </c>
      <c r="M356" s="39">
        <f>IF($L356="","",INT($L356/1000000000))</f>
        <v/>
      </c>
      <c r="N356" s="39">
        <f>IF($L356="","",INT(($L356-INT($L356/1000000)*1000000)/1000))</f>
        <v/>
      </c>
      <c r="O356" s="39">
        <f>IF($L356="","",$L356-INT($L356/1000)*1000)</f>
        <v/>
      </c>
      <c r="P356" s="39">
        <f>IF($L356="","",INT(($L356-INT($L356/1000000000)*1000000000)/100000000))</f>
        <v/>
      </c>
    </row>
    <row r="357">
      <c r="B357" s="42">
        <f>IF($L357="","",$M357)</f>
        <v/>
      </c>
      <c r="C357" s="22">
        <f>IF($L357="","",INDEX(HSTECH!$C$7:$C$46,$N357))</f>
        <v/>
      </c>
      <c r="D357" s="22">
        <f>IF($L357="","",INDEX(HSTECH!$D$7:$D$46,$N357))</f>
        <v/>
      </c>
      <c r="E357" s="43">
        <f>IF($L357="","",IF($P357=0,"TBA",IFERROR(INDEX(Grids!$C$116:$BO$155,$N357,$O357),"-")))</f>
        <v/>
      </c>
      <c r="F357" s="22">
        <f>IF($L357="","",INDEX(HSTECH!$F$7:$F$46,$N357))</f>
        <v/>
      </c>
      <c r="G357" s="43">
        <f>IF($L357="","",IF($P357=0,"TBA",IFERROR(INDEX(Grids!$BQ$116:$EC$155,$N357,$O357),"-")))</f>
        <v/>
      </c>
      <c r="H357" s="44">
        <f>IF($L357="","",SUM($G$316:$G357))</f>
        <v/>
      </c>
      <c r="I357" s="45">
        <f>IF($L357="","",IF(INT(($L357-INT($L357/10000000)*10000000)/1000000)=0,"Bloomberg projection",IF($P357=1,"ANNOUNCED","ANNOUNCED - amount TBA")))</f>
        <v/>
      </c>
      <c r="J357" s="46">
        <f>IF($L357="","",IF((OV_SWITCH="ON")*(COUNTIFS(OVR_TICKERS,INDEX(HSTECH!$C$7:$C$46,$N357),OVR_BASE,"&gt;=0")&gt;0)&gt;0,"stock overridden",""))</f>
        <v/>
      </c>
      <c r="L357" s="39">
        <f>IFERROR(IF(SMALL(Grids!$EE$116:$GQ$155,$M$313+42)&gt;=PEND_TO,"",SMALL(Grids!$EE$116:$GQ$155,$M$313+42)),"")</f>
        <v/>
      </c>
      <c r="M357" s="39">
        <f>IF($L357="","",INT($L357/1000000000))</f>
        <v/>
      </c>
      <c r="N357" s="39">
        <f>IF($L357="","",INT(($L357-INT($L357/1000000)*1000000)/1000))</f>
        <v/>
      </c>
      <c r="O357" s="39">
        <f>IF($L357="","",$L357-INT($L357/1000)*1000)</f>
        <v/>
      </c>
      <c r="P357" s="39">
        <f>IF($L357="","",INT(($L357-INT($L357/1000000000)*1000000000)/100000000))</f>
        <v/>
      </c>
    </row>
    <row r="358">
      <c r="B358" s="42">
        <f>IF($L358="","",$M358)</f>
        <v/>
      </c>
      <c r="C358" s="22">
        <f>IF($L358="","",INDEX(HSTECH!$C$7:$C$46,$N358))</f>
        <v/>
      </c>
      <c r="D358" s="22">
        <f>IF($L358="","",INDEX(HSTECH!$D$7:$D$46,$N358))</f>
        <v/>
      </c>
      <c r="E358" s="43">
        <f>IF($L358="","",IF($P358=0,"TBA",IFERROR(INDEX(Grids!$C$116:$BO$155,$N358,$O358),"-")))</f>
        <v/>
      </c>
      <c r="F358" s="22">
        <f>IF($L358="","",INDEX(HSTECH!$F$7:$F$46,$N358))</f>
        <v/>
      </c>
      <c r="G358" s="43">
        <f>IF($L358="","",IF($P358=0,"TBA",IFERROR(INDEX(Grids!$BQ$116:$EC$155,$N358,$O358),"-")))</f>
        <v/>
      </c>
      <c r="H358" s="44">
        <f>IF($L358="","",SUM($G$316:$G358))</f>
        <v/>
      </c>
      <c r="I358" s="45">
        <f>IF($L358="","",IF(INT(($L358-INT($L358/10000000)*10000000)/1000000)=0,"Bloomberg projection",IF($P358=1,"ANNOUNCED","ANNOUNCED - amount TBA")))</f>
        <v/>
      </c>
      <c r="J358" s="46">
        <f>IF($L358="","",IF((OV_SWITCH="ON")*(COUNTIFS(OVR_TICKERS,INDEX(HSTECH!$C$7:$C$46,$N358),OVR_BASE,"&gt;=0")&gt;0)&gt;0,"stock overridden",""))</f>
        <v/>
      </c>
      <c r="L358" s="39">
        <f>IFERROR(IF(SMALL(Grids!$EE$116:$GQ$155,$M$313+43)&gt;=PEND_TO,"",SMALL(Grids!$EE$116:$GQ$155,$M$313+43)),"")</f>
        <v/>
      </c>
      <c r="M358" s="39">
        <f>IF($L358="","",INT($L358/1000000000))</f>
        <v/>
      </c>
      <c r="N358" s="39">
        <f>IF($L358="","",INT(($L358-INT($L358/1000000)*1000000)/1000))</f>
        <v/>
      </c>
      <c r="O358" s="39">
        <f>IF($L358="","",$L358-INT($L358/1000)*1000)</f>
        <v/>
      </c>
      <c r="P358" s="39">
        <f>IF($L358="","",INT(($L358-INT($L358/1000000000)*1000000000)/100000000))</f>
        <v/>
      </c>
    </row>
    <row r="359">
      <c r="B359" s="42">
        <f>IF($L359="","",$M359)</f>
        <v/>
      </c>
      <c r="C359" s="22">
        <f>IF($L359="","",INDEX(HSTECH!$C$7:$C$46,$N359))</f>
        <v/>
      </c>
      <c r="D359" s="22">
        <f>IF($L359="","",INDEX(HSTECH!$D$7:$D$46,$N359))</f>
        <v/>
      </c>
      <c r="E359" s="43">
        <f>IF($L359="","",IF($P359=0,"TBA",IFERROR(INDEX(Grids!$C$116:$BO$155,$N359,$O359),"-")))</f>
        <v/>
      </c>
      <c r="F359" s="22">
        <f>IF($L359="","",INDEX(HSTECH!$F$7:$F$46,$N359))</f>
        <v/>
      </c>
      <c r="G359" s="43">
        <f>IF($L359="","",IF($P359=0,"TBA",IFERROR(INDEX(Grids!$BQ$116:$EC$155,$N359,$O359),"-")))</f>
        <v/>
      </c>
      <c r="H359" s="44">
        <f>IF($L359="","",SUM($G$316:$G359))</f>
        <v/>
      </c>
      <c r="I359" s="45">
        <f>IF($L359="","",IF(INT(($L359-INT($L359/10000000)*10000000)/1000000)=0,"Bloomberg projection",IF($P359=1,"ANNOUNCED","ANNOUNCED - amount TBA")))</f>
        <v/>
      </c>
      <c r="J359" s="46">
        <f>IF($L359="","",IF((OV_SWITCH="ON")*(COUNTIFS(OVR_TICKERS,INDEX(HSTECH!$C$7:$C$46,$N359),OVR_BASE,"&gt;=0")&gt;0)&gt;0,"stock overridden",""))</f>
        <v/>
      </c>
      <c r="L359" s="39">
        <f>IFERROR(IF(SMALL(Grids!$EE$116:$GQ$155,$M$313+44)&gt;=PEND_TO,"",SMALL(Grids!$EE$116:$GQ$155,$M$313+44)),"")</f>
        <v/>
      </c>
      <c r="M359" s="39">
        <f>IF($L359="","",INT($L359/1000000000))</f>
        <v/>
      </c>
      <c r="N359" s="39">
        <f>IF($L359="","",INT(($L359-INT($L359/1000000)*1000000)/1000))</f>
        <v/>
      </c>
      <c r="O359" s="39">
        <f>IF($L359="","",$L359-INT($L359/1000)*1000)</f>
        <v/>
      </c>
      <c r="P359" s="39">
        <f>IF($L359="","",INT(($L359-INT($L359/1000000000)*1000000000)/100000000))</f>
        <v/>
      </c>
    </row>
    <row r="360">
      <c r="B360" s="42">
        <f>IF($L360="","",$M360)</f>
        <v/>
      </c>
      <c r="C360" s="22">
        <f>IF($L360="","",INDEX(HSTECH!$C$7:$C$46,$N360))</f>
        <v/>
      </c>
      <c r="D360" s="22">
        <f>IF($L360="","",INDEX(HSTECH!$D$7:$D$46,$N360))</f>
        <v/>
      </c>
      <c r="E360" s="43">
        <f>IF($L360="","",IF($P360=0,"TBA",IFERROR(INDEX(Grids!$C$116:$BO$155,$N360,$O360),"-")))</f>
        <v/>
      </c>
      <c r="F360" s="22">
        <f>IF($L360="","",INDEX(HSTECH!$F$7:$F$46,$N360))</f>
        <v/>
      </c>
      <c r="G360" s="43">
        <f>IF($L360="","",IF($P360=0,"TBA",IFERROR(INDEX(Grids!$BQ$116:$EC$155,$N360,$O360),"-")))</f>
        <v/>
      </c>
      <c r="H360" s="44">
        <f>IF($L360="","",SUM($G$316:$G360))</f>
        <v/>
      </c>
      <c r="I360" s="45">
        <f>IF($L360="","",IF(INT(($L360-INT($L360/10000000)*10000000)/1000000)=0,"Bloomberg projection",IF($P360=1,"ANNOUNCED","ANNOUNCED - amount TBA")))</f>
        <v/>
      </c>
      <c r="J360" s="46">
        <f>IF($L360="","",IF((OV_SWITCH="ON")*(COUNTIFS(OVR_TICKERS,INDEX(HSTECH!$C$7:$C$46,$N360),OVR_BASE,"&gt;=0")&gt;0)&gt;0,"stock overridden",""))</f>
        <v/>
      </c>
      <c r="L360" s="39">
        <f>IFERROR(IF(SMALL(Grids!$EE$116:$GQ$155,$M$313+45)&gt;=PEND_TO,"",SMALL(Grids!$EE$116:$GQ$155,$M$313+45)),"")</f>
        <v/>
      </c>
      <c r="M360" s="39">
        <f>IF($L360="","",INT($L360/1000000000))</f>
        <v/>
      </c>
      <c r="N360" s="39">
        <f>IF($L360="","",INT(($L360-INT($L360/1000000)*1000000)/1000))</f>
        <v/>
      </c>
      <c r="O360" s="39">
        <f>IF($L360="","",$L360-INT($L360/1000)*1000)</f>
        <v/>
      </c>
      <c r="P360" s="39">
        <f>IF($L360="","",INT(($L360-INT($L360/1000000000)*1000000000)/100000000))</f>
        <v/>
      </c>
    </row>
    <row r="361">
      <c r="B361" s="42">
        <f>IF($L361="","",$M361)</f>
        <v/>
      </c>
      <c r="C361" s="22">
        <f>IF($L361="","",INDEX(HSTECH!$C$7:$C$46,$N361))</f>
        <v/>
      </c>
      <c r="D361" s="22">
        <f>IF($L361="","",INDEX(HSTECH!$D$7:$D$46,$N361))</f>
        <v/>
      </c>
      <c r="E361" s="43">
        <f>IF($L361="","",IF($P361=0,"TBA",IFERROR(INDEX(Grids!$C$116:$BO$155,$N361,$O361),"-")))</f>
        <v/>
      </c>
      <c r="F361" s="22">
        <f>IF($L361="","",INDEX(HSTECH!$F$7:$F$46,$N361))</f>
        <v/>
      </c>
      <c r="G361" s="43">
        <f>IF($L361="","",IF($P361=0,"TBA",IFERROR(INDEX(Grids!$BQ$116:$EC$155,$N361,$O361),"-")))</f>
        <v/>
      </c>
      <c r="H361" s="44">
        <f>IF($L361="","",SUM($G$316:$G361))</f>
        <v/>
      </c>
      <c r="I361" s="45">
        <f>IF($L361="","",IF(INT(($L361-INT($L361/10000000)*10000000)/1000000)=0,"Bloomberg projection",IF($P361=1,"ANNOUNCED","ANNOUNCED - amount TBA")))</f>
        <v/>
      </c>
      <c r="J361" s="46">
        <f>IF($L361="","",IF((OV_SWITCH="ON")*(COUNTIFS(OVR_TICKERS,INDEX(HSTECH!$C$7:$C$46,$N361),OVR_BASE,"&gt;=0")&gt;0)&gt;0,"stock overridden",""))</f>
        <v/>
      </c>
      <c r="L361" s="39">
        <f>IFERROR(IF(SMALL(Grids!$EE$116:$GQ$155,$M$313+46)&gt;=PEND_TO,"",SMALL(Grids!$EE$116:$GQ$155,$M$313+46)),"")</f>
        <v/>
      </c>
      <c r="M361" s="39">
        <f>IF($L361="","",INT($L361/1000000000))</f>
        <v/>
      </c>
      <c r="N361" s="39">
        <f>IF($L361="","",INT(($L361-INT($L361/1000000)*1000000)/1000))</f>
        <v/>
      </c>
      <c r="O361" s="39">
        <f>IF($L361="","",$L361-INT($L361/1000)*1000)</f>
        <v/>
      </c>
      <c r="P361" s="39">
        <f>IF($L361="","",INT(($L361-INT($L361/1000000000)*1000000000)/100000000))</f>
        <v/>
      </c>
    </row>
    <row r="362">
      <c r="B362" s="42">
        <f>IF($L362="","",$M362)</f>
        <v/>
      </c>
      <c r="C362" s="22">
        <f>IF($L362="","",INDEX(HSTECH!$C$7:$C$46,$N362))</f>
        <v/>
      </c>
      <c r="D362" s="22">
        <f>IF($L362="","",INDEX(HSTECH!$D$7:$D$46,$N362))</f>
        <v/>
      </c>
      <c r="E362" s="43">
        <f>IF($L362="","",IF($P362=0,"TBA",IFERROR(INDEX(Grids!$C$116:$BO$155,$N362,$O362),"-")))</f>
        <v/>
      </c>
      <c r="F362" s="22">
        <f>IF($L362="","",INDEX(HSTECH!$F$7:$F$46,$N362))</f>
        <v/>
      </c>
      <c r="G362" s="43">
        <f>IF($L362="","",IF($P362=0,"TBA",IFERROR(INDEX(Grids!$BQ$116:$EC$155,$N362,$O362),"-")))</f>
        <v/>
      </c>
      <c r="H362" s="44">
        <f>IF($L362="","",SUM($G$316:$G362))</f>
        <v/>
      </c>
      <c r="I362" s="45">
        <f>IF($L362="","",IF(INT(($L362-INT($L362/10000000)*10000000)/1000000)=0,"Bloomberg projection",IF($P362=1,"ANNOUNCED","ANNOUNCED - amount TBA")))</f>
        <v/>
      </c>
      <c r="J362" s="46">
        <f>IF($L362="","",IF((OV_SWITCH="ON")*(COUNTIFS(OVR_TICKERS,INDEX(HSTECH!$C$7:$C$46,$N362),OVR_BASE,"&gt;=0")&gt;0)&gt;0,"stock overridden",""))</f>
        <v/>
      </c>
      <c r="L362" s="39">
        <f>IFERROR(IF(SMALL(Grids!$EE$116:$GQ$155,$M$313+47)&gt;=PEND_TO,"",SMALL(Grids!$EE$116:$GQ$155,$M$313+47)),"")</f>
        <v/>
      </c>
      <c r="M362" s="39">
        <f>IF($L362="","",INT($L362/1000000000))</f>
        <v/>
      </c>
      <c r="N362" s="39">
        <f>IF($L362="","",INT(($L362-INT($L362/1000000)*1000000)/1000))</f>
        <v/>
      </c>
      <c r="O362" s="39">
        <f>IF($L362="","",$L362-INT($L362/1000)*1000)</f>
        <v/>
      </c>
      <c r="P362" s="39">
        <f>IF($L362="","",INT(($L362-INT($L362/1000000000)*1000000000)/100000000))</f>
        <v/>
      </c>
    </row>
    <row r="363">
      <c r="B363" s="42">
        <f>IF($L363="","",$M363)</f>
        <v/>
      </c>
      <c r="C363" s="22">
        <f>IF($L363="","",INDEX(HSTECH!$C$7:$C$46,$N363))</f>
        <v/>
      </c>
      <c r="D363" s="22">
        <f>IF($L363="","",INDEX(HSTECH!$D$7:$D$46,$N363))</f>
        <v/>
      </c>
      <c r="E363" s="43">
        <f>IF($L363="","",IF($P363=0,"TBA",IFERROR(INDEX(Grids!$C$116:$BO$155,$N363,$O363),"-")))</f>
        <v/>
      </c>
      <c r="F363" s="22">
        <f>IF($L363="","",INDEX(HSTECH!$F$7:$F$46,$N363))</f>
        <v/>
      </c>
      <c r="G363" s="43">
        <f>IF($L363="","",IF($P363=0,"TBA",IFERROR(INDEX(Grids!$BQ$116:$EC$155,$N363,$O363),"-")))</f>
        <v/>
      </c>
      <c r="H363" s="44">
        <f>IF($L363="","",SUM($G$316:$G363))</f>
        <v/>
      </c>
      <c r="I363" s="45">
        <f>IF($L363="","",IF(INT(($L363-INT($L363/10000000)*10000000)/1000000)=0,"Bloomberg projection",IF($P363=1,"ANNOUNCED","ANNOUNCED - amount TBA")))</f>
        <v/>
      </c>
      <c r="J363" s="46">
        <f>IF($L363="","",IF((OV_SWITCH="ON")*(COUNTIFS(OVR_TICKERS,INDEX(HSTECH!$C$7:$C$46,$N363),OVR_BASE,"&gt;=0")&gt;0)&gt;0,"stock overridden",""))</f>
        <v/>
      </c>
      <c r="L363" s="39">
        <f>IFERROR(IF(SMALL(Grids!$EE$116:$GQ$155,$M$313+48)&gt;=PEND_TO,"",SMALL(Grids!$EE$116:$GQ$155,$M$313+48)),"")</f>
        <v/>
      </c>
      <c r="M363" s="39">
        <f>IF($L363="","",INT($L363/1000000000))</f>
        <v/>
      </c>
      <c r="N363" s="39">
        <f>IF($L363="","",INT(($L363-INT($L363/1000000)*1000000)/1000))</f>
        <v/>
      </c>
      <c r="O363" s="39">
        <f>IF($L363="","",$L363-INT($L363/1000)*1000)</f>
        <v/>
      </c>
      <c r="P363" s="39">
        <f>IF($L363="","",INT(($L363-INT($L363/1000000000)*1000000000)/100000000))</f>
        <v/>
      </c>
    </row>
    <row r="364">
      <c r="B364" s="42">
        <f>IF($L364="","",$M364)</f>
        <v/>
      </c>
      <c r="C364" s="22">
        <f>IF($L364="","",INDEX(HSTECH!$C$7:$C$46,$N364))</f>
        <v/>
      </c>
      <c r="D364" s="22">
        <f>IF($L364="","",INDEX(HSTECH!$D$7:$D$46,$N364))</f>
        <v/>
      </c>
      <c r="E364" s="43">
        <f>IF($L364="","",IF($P364=0,"TBA",IFERROR(INDEX(Grids!$C$116:$BO$155,$N364,$O364),"-")))</f>
        <v/>
      </c>
      <c r="F364" s="22">
        <f>IF($L364="","",INDEX(HSTECH!$F$7:$F$46,$N364))</f>
        <v/>
      </c>
      <c r="G364" s="43">
        <f>IF($L364="","",IF($P364=0,"TBA",IFERROR(INDEX(Grids!$BQ$116:$EC$155,$N364,$O364),"-")))</f>
        <v/>
      </c>
      <c r="H364" s="44">
        <f>IF($L364="","",SUM($G$316:$G364))</f>
        <v/>
      </c>
      <c r="I364" s="45">
        <f>IF($L364="","",IF(INT(($L364-INT($L364/10000000)*10000000)/1000000)=0,"Bloomberg projection",IF($P364=1,"ANNOUNCED","ANNOUNCED - amount TBA")))</f>
        <v/>
      </c>
      <c r="J364" s="46">
        <f>IF($L364="","",IF((OV_SWITCH="ON")*(COUNTIFS(OVR_TICKERS,INDEX(HSTECH!$C$7:$C$46,$N364),OVR_BASE,"&gt;=0")&gt;0)&gt;0,"stock overridden",""))</f>
        <v/>
      </c>
      <c r="L364" s="39">
        <f>IFERROR(IF(SMALL(Grids!$EE$116:$GQ$155,$M$313+49)&gt;=PEND_TO,"",SMALL(Grids!$EE$116:$GQ$155,$M$313+49)),"")</f>
        <v/>
      </c>
      <c r="M364" s="39">
        <f>IF($L364="","",INT($L364/1000000000))</f>
        <v/>
      </c>
      <c r="N364" s="39">
        <f>IF($L364="","",INT(($L364-INT($L364/1000000)*1000000)/1000))</f>
        <v/>
      </c>
      <c r="O364" s="39">
        <f>IF($L364="","",$L364-INT($L364/1000)*1000)</f>
        <v/>
      </c>
      <c r="P364" s="39">
        <f>IF($L364="","",INT(($L364-INT($L364/1000000000)*1000000000)/100000000))</f>
        <v/>
      </c>
    </row>
    <row r="365">
      <c r="B365" s="42">
        <f>IF($L365="","",$M365)</f>
        <v/>
      </c>
      <c r="C365" s="22">
        <f>IF($L365="","",INDEX(HSTECH!$C$7:$C$46,$N365))</f>
        <v/>
      </c>
      <c r="D365" s="22">
        <f>IF($L365="","",INDEX(HSTECH!$D$7:$D$46,$N365))</f>
        <v/>
      </c>
      <c r="E365" s="43">
        <f>IF($L365="","",IF($P365=0,"TBA",IFERROR(INDEX(Grids!$C$116:$BO$155,$N365,$O365),"-")))</f>
        <v/>
      </c>
      <c r="F365" s="22">
        <f>IF($L365="","",INDEX(HSTECH!$F$7:$F$46,$N365))</f>
        <v/>
      </c>
      <c r="G365" s="43">
        <f>IF($L365="","",IF($P365=0,"TBA",IFERROR(INDEX(Grids!$BQ$116:$EC$155,$N365,$O365),"-")))</f>
        <v/>
      </c>
      <c r="H365" s="44">
        <f>IF($L365="","",SUM($G$316:$G365))</f>
        <v/>
      </c>
      <c r="I365" s="45">
        <f>IF($L365="","",IF(INT(($L365-INT($L365/10000000)*10000000)/1000000)=0,"Bloomberg projection",IF($P365=1,"ANNOUNCED","ANNOUNCED - amount TBA")))</f>
        <v/>
      </c>
      <c r="J365" s="46">
        <f>IF($L365="","",IF((OV_SWITCH="ON")*(COUNTIFS(OVR_TICKERS,INDEX(HSTECH!$C$7:$C$46,$N365),OVR_BASE,"&gt;=0")&gt;0)&gt;0,"stock overridden",""))</f>
        <v/>
      </c>
      <c r="L365" s="39">
        <f>IFERROR(IF(SMALL(Grids!$EE$116:$GQ$155,$M$313+50)&gt;=PEND_TO,"",SMALL(Grids!$EE$116:$GQ$155,$M$313+50)),"")</f>
        <v/>
      </c>
      <c r="M365" s="39">
        <f>IF($L365="","",INT($L365/1000000000))</f>
        <v/>
      </c>
      <c r="N365" s="39">
        <f>IF($L365="","",INT(($L365-INT($L365/1000000)*1000000)/1000))</f>
        <v/>
      </c>
      <c r="O365" s="39">
        <f>IF($L365="","",$L365-INT($L365/1000)*1000)</f>
        <v/>
      </c>
      <c r="P365" s="39">
        <f>IF($L365="","",INT(($L365-INT($L365/1000000000)*1000000000)/100000000))</f>
        <v/>
      </c>
    </row>
    <row r="366">
      <c r="B366" s="42">
        <f>IF($L366="","",$M366)</f>
        <v/>
      </c>
      <c r="C366" s="22">
        <f>IF($L366="","",INDEX(HSTECH!$C$7:$C$46,$N366))</f>
        <v/>
      </c>
      <c r="D366" s="22">
        <f>IF($L366="","",INDEX(HSTECH!$D$7:$D$46,$N366))</f>
        <v/>
      </c>
      <c r="E366" s="43">
        <f>IF($L366="","",IF($P366=0,"TBA",IFERROR(INDEX(Grids!$C$116:$BO$155,$N366,$O366),"-")))</f>
        <v/>
      </c>
      <c r="F366" s="22">
        <f>IF($L366="","",INDEX(HSTECH!$F$7:$F$46,$N366))</f>
        <v/>
      </c>
      <c r="G366" s="43">
        <f>IF($L366="","",IF($P366=0,"TBA",IFERROR(INDEX(Grids!$BQ$116:$EC$155,$N366,$O366),"-")))</f>
        <v/>
      </c>
      <c r="H366" s="44">
        <f>IF($L366="","",SUM($G$316:$G366))</f>
        <v/>
      </c>
      <c r="I366" s="45">
        <f>IF($L366="","",IF(INT(($L366-INT($L366/10000000)*10000000)/1000000)=0,"Bloomberg projection",IF($P366=1,"ANNOUNCED","ANNOUNCED - amount TBA")))</f>
        <v/>
      </c>
      <c r="J366" s="46">
        <f>IF($L366="","",IF((OV_SWITCH="ON")*(COUNTIFS(OVR_TICKERS,INDEX(HSTECH!$C$7:$C$46,$N366),OVR_BASE,"&gt;=0")&gt;0)&gt;0,"stock overridden",""))</f>
        <v/>
      </c>
      <c r="L366" s="39">
        <f>IFERROR(IF(SMALL(Grids!$EE$116:$GQ$155,$M$313+51)&gt;=PEND_TO,"",SMALL(Grids!$EE$116:$GQ$155,$M$313+51)),"")</f>
        <v/>
      </c>
      <c r="M366" s="39">
        <f>IF($L366="","",INT($L366/1000000000))</f>
        <v/>
      </c>
      <c r="N366" s="39">
        <f>IF($L366="","",INT(($L366-INT($L366/1000000)*1000000)/1000))</f>
        <v/>
      </c>
      <c r="O366" s="39">
        <f>IF($L366="","",$L366-INT($L366/1000)*1000)</f>
        <v/>
      </c>
      <c r="P366" s="39">
        <f>IF($L366="","",INT(($L366-INT($L366/1000000000)*1000000000)/100000000))</f>
        <v/>
      </c>
    </row>
    <row r="367">
      <c r="B367" s="42">
        <f>IF($L367="","",$M367)</f>
        <v/>
      </c>
      <c r="C367" s="22">
        <f>IF($L367="","",INDEX(HSTECH!$C$7:$C$46,$N367))</f>
        <v/>
      </c>
      <c r="D367" s="22">
        <f>IF($L367="","",INDEX(HSTECH!$D$7:$D$46,$N367))</f>
        <v/>
      </c>
      <c r="E367" s="43">
        <f>IF($L367="","",IF($P367=0,"TBA",IFERROR(INDEX(Grids!$C$116:$BO$155,$N367,$O367),"-")))</f>
        <v/>
      </c>
      <c r="F367" s="22">
        <f>IF($L367="","",INDEX(HSTECH!$F$7:$F$46,$N367))</f>
        <v/>
      </c>
      <c r="G367" s="43">
        <f>IF($L367="","",IF($P367=0,"TBA",IFERROR(INDEX(Grids!$BQ$116:$EC$155,$N367,$O367),"-")))</f>
        <v/>
      </c>
      <c r="H367" s="44">
        <f>IF($L367="","",SUM($G$316:$G367))</f>
        <v/>
      </c>
      <c r="I367" s="45">
        <f>IF($L367="","",IF(INT(($L367-INT($L367/10000000)*10000000)/1000000)=0,"Bloomberg projection",IF($P367=1,"ANNOUNCED","ANNOUNCED - amount TBA")))</f>
        <v/>
      </c>
      <c r="J367" s="46">
        <f>IF($L367="","",IF((OV_SWITCH="ON")*(COUNTIFS(OVR_TICKERS,INDEX(HSTECH!$C$7:$C$46,$N367),OVR_BASE,"&gt;=0")&gt;0)&gt;0,"stock overridden",""))</f>
        <v/>
      </c>
      <c r="L367" s="39">
        <f>IFERROR(IF(SMALL(Grids!$EE$116:$GQ$155,$M$313+52)&gt;=PEND_TO,"",SMALL(Grids!$EE$116:$GQ$155,$M$313+52)),"")</f>
        <v/>
      </c>
      <c r="M367" s="39">
        <f>IF($L367="","",INT($L367/1000000000))</f>
        <v/>
      </c>
      <c r="N367" s="39">
        <f>IF($L367="","",INT(($L367-INT($L367/1000000)*1000000)/1000))</f>
        <v/>
      </c>
      <c r="O367" s="39">
        <f>IF($L367="","",$L367-INT($L367/1000)*1000)</f>
        <v/>
      </c>
      <c r="P367" s="39">
        <f>IF($L367="","",INT(($L367-INT($L367/1000000000)*1000000000)/100000000))</f>
        <v/>
      </c>
    </row>
    <row r="368">
      <c r="B368" s="42">
        <f>IF($L368="","",$M368)</f>
        <v/>
      </c>
      <c r="C368" s="22">
        <f>IF($L368="","",INDEX(HSTECH!$C$7:$C$46,$N368))</f>
        <v/>
      </c>
      <c r="D368" s="22">
        <f>IF($L368="","",INDEX(HSTECH!$D$7:$D$46,$N368))</f>
        <v/>
      </c>
      <c r="E368" s="43">
        <f>IF($L368="","",IF($P368=0,"TBA",IFERROR(INDEX(Grids!$C$116:$BO$155,$N368,$O368),"-")))</f>
        <v/>
      </c>
      <c r="F368" s="22">
        <f>IF($L368="","",INDEX(HSTECH!$F$7:$F$46,$N368))</f>
        <v/>
      </c>
      <c r="G368" s="43">
        <f>IF($L368="","",IF($P368=0,"TBA",IFERROR(INDEX(Grids!$BQ$116:$EC$155,$N368,$O368),"-")))</f>
        <v/>
      </c>
      <c r="H368" s="44">
        <f>IF($L368="","",SUM($G$316:$G368))</f>
        <v/>
      </c>
      <c r="I368" s="45">
        <f>IF($L368="","",IF(INT(($L368-INT($L368/10000000)*10000000)/1000000)=0,"Bloomberg projection",IF($P368=1,"ANNOUNCED","ANNOUNCED - amount TBA")))</f>
        <v/>
      </c>
      <c r="J368" s="46">
        <f>IF($L368="","",IF((OV_SWITCH="ON")*(COUNTIFS(OVR_TICKERS,INDEX(HSTECH!$C$7:$C$46,$N368),OVR_BASE,"&gt;=0")&gt;0)&gt;0,"stock overridden",""))</f>
        <v/>
      </c>
      <c r="L368" s="39">
        <f>IFERROR(IF(SMALL(Grids!$EE$116:$GQ$155,$M$313+53)&gt;=PEND_TO,"",SMALL(Grids!$EE$116:$GQ$155,$M$313+53)),"")</f>
        <v/>
      </c>
      <c r="M368" s="39">
        <f>IF($L368="","",INT($L368/1000000000))</f>
        <v/>
      </c>
      <c r="N368" s="39">
        <f>IF($L368="","",INT(($L368-INT($L368/1000000)*1000000)/1000))</f>
        <v/>
      </c>
      <c r="O368" s="39">
        <f>IF($L368="","",$L368-INT($L368/1000)*1000)</f>
        <v/>
      </c>
      <c r="P368" s="39">
        <f>IF($L368="","",INT(($L368-INT($L368/1000000000)*1000000000)/100000000))</f>
        <v/>
      </c>
    </row>
    <row r="369">
      <c r="B369" s="42">
        <f>IF($L369="","",$M369)</f>
        <v/>
      </c>
      <c r="C369" s="22">
        <f>IF($L369="","",INDEX(HSTECH!$C$7:$C$46,$N369))</f>
        <v/>
      </c>
      <c r="D369" s="22">
        <f>IF($L369="","",INDEX(HSTECH!$D$7:$D$46,$N369))</f>
        <v/>
      </c>
      <c r="E369" s="43">
        <f>IF($L369="","",IF($P369=0,"TBA",IFERROR(INDEX(Grids!$C$116:$BO$155,$N369,$O369),"-")))</f>
        <v/>
      </c>
      <c r="F369" s="22">
        <f>IF($L369="","",INDEX(HSTECH!$F$7:$F$46,$N369))</f>
        <v/>
      </c>
      <c r="G369" s="43">
        <f>IF($L369="","",IF($P369=0,"TBA",IFERROR(INDEX(Grids!$BQ$116:$EC$155,$N369,$O369),"-")))</f>
        <v/>
      </c>
      <c r="H369" s="44">
        <f>IF($L369="","",SUM($G$316:$G369))</f>
        <v/>
      </c>
      <c r="I369" s="45">
        <f>IF($L369="","",IF(INT(($L369-INT($L369/10000000)*10000000)/1000000)=0,"Bloomberg projection",IF($P369=1,"ANNOUNCED","ANNOUNCED - amount TBA")))</f>
        <v/>
      </c>
      <c r="J369" s="46">
        <f>IF($L369="","",IF((OV_SWITCH="ON")*(COUNTIFS(OVR_TICKERS,INDEX(HSTECH!$C$7:$C$46,$N369),OVR_BASE,"&gt;=0")&gt;0)&gt;0,"stock overridden",""))</f>
        <v/>
      </c>
      <c r="L369" s="39">
        <f>IFERROR(IF(SMALL(Grids!$EE$116:$GQ$155,$M$313+54)&gt;=PEND_TO,"",SMALL(Grids!$EE$116:$GQ$155,$M$313+54)),"")</f>
        <v/>
      </c>
      <c r="M369" s="39">
        <f>IF($L369="","",INT($L369/1000000000))</f>
        <v/>
      </c>
      <c r="N369" s="39">
        <f>IF($L369="","",INT(($L369-INT($L369/1000000)*1000000)/1000))</f>
        <v/>
      </c>
      <c r="O369" s="39">
        <f>IF($L369="","",$L369-INT($L369/1000)*1000)</f>
        <v/>
      </c>
      <c r="P369" s="39">
        <f>IF($L369="","",INT(($L369-INT($L369/1000000000)*1000000000)/100000000))</f>
        <v/>
      </c>
    </row>
    <row r="370">
      <c r="B370" s="42">
        <f>IF($L370="","",$M370)</f>
        <v/>
      </c>
      <c r="C370" s="22">
        <f>IF($L370="","",INDEX(HSTECH!$C$7:$C$46,$N370))</f>
        <v/>
      </c>
      <c r="D370" s="22">
        <f>IF($L370="","",INDEX(HSTECH!$D$7:$D$46,$N370))</f>
        <v/>
      </c>
      <c r="E370" s="43">
        <f>IF($L370="","",IF($P370=0,"TBA",IFERROR(INDEX(Grids!$C$116:$BO$155,$N370,$O370),"-")))</f>
        <v/>
      </c>
      <c r="F370" s="22">
        <f>IF($L370="","",INDEX(HSTECH!$F$7:$F$46,$N370))</f>
        <v/>
      </c>
      <c r="G370" s="43">
        <f>IF($L370="","",IF($P370=0,"TBA",IFERROR(INDEX(Grids!$BQ$116:$EC$155,$N370,$O370),"-")))</f>
        <v/>
      </c>
      <c r="H370" s="44">
        <f>IF($L370="","",SUM($G$316:$G370))</f>
        <v/>
      </c>
      <c r="I370" s="45">
        <f>IF($L370="","",IF(INT(($L370-INT($L370/10000000)*10000000)/1000000)=0,"Bloomberg projection",IF($P370=1,"ANNOUNCED","ANNOUNCED - amount TBA")))</f>
        <v/>
      </c>
      <c r="J370" s="46">
        <f>IF($L370="","",IF((OV_SWITCH="ON")*(COUNTIFS(OVR_TICKERS,INDEX(HSTECH!$C$7:$C$46,$N370),OVR_BASE,"&gt;=0")&gt;0)&gt;0,"stock overridden",""))</f>
        <v/>
      </c>
      <c r="L370" s="39">
        <f>IFERROR(IF(SMALL(Grids!$EE$116:$GQ$155,$M$313+55)&gt;=PEND_TO,"",SMALL(Grids!$EE$116:$GQ$155,$M$313+55)),"")</f>
        <v/>
      </c>
      <c r="M370" s="39">
        <f>IF($L370="","",INT($L370/1000000000))</f>
        <v/>
      </c>
      <c r="N370" s="39">
        <f>IF($L370="","",INT(($L370-INT($L370/1000000)*1000000)/1000))</f>
        <v/>
      </c>
      <c r="O370" s="39">
        <f>IF($L370="","",$L370-INT($L370/1000)*1000)</f>
        <v/>
      </c>
      <c r="P370" s="39">
        <f>IF($L370="","",INT(($L370-INT($L370/1000000000)*1000000000)/100000000))</f>
        <v/>
      </c>
    </row>
    <row r="371">
      <c r="B371" s="42">
        <f>IF($L371="","",$M371)</f>
        <v/>
      </c>
      <c r="C371" s="22">
        <f>IF($L371="","",INDEX(HSTECH!$C$7:$C$46,$N371))</f>
        <v/>
      </c>
      <c r="D371" s="22">
        <f>IF($L371="","",INDEX(HSTECH!$D$7:$D$46,$N371))</f>
        <v/>
      </c>
      <c r="E371" s="43">
        <f>IF($L371="","",IF($P371=0,"TBA",IFERROR(INDEX(Grids!$C$116:$BO$155,$N371,$O371),"-")))</f>
        <v/>
      </c>
      <c r="F371" s="22">
        <f>IF($L371="","",INDEX(HSTECH!$F$7:$F$46,$N371))</f>
        <v/>
      </c>
      <c r="G371" s="43">
        <f>IF($L371="","",IF($P371=0,"TBA",IFERROR(INDEX(Grids!$BQ$116:$EC$155,$N371,$O371),"-")))</f>
        <v/>
      </c>
      <c r="H371" s="44">
        <f>IF($L371="","",SUM($G$316:$G371))</f>
        <v/>
      </c>
      <c r="I371" s="45">
        <f>IF($L371="","",IF(INT(($L371-INT($L371/10000000)*10000000)/1000000)=0,"Bloomberg projection",IF($P371=1,"ANNOUNCED","ANNOUNCED - amount TBA")))</f>
        <v/>
      </c>
      <c r="J371" s="46">
        <f>IF($L371="","",IF((OV_SWITCH="ON")*(COUNTIFS(OVR_TICKERS,INDEX(HSTECH!$C$7:$C$46,$N371),OVR_BASE,"&gt;=0")&gt;0)&gt;0,"stock overridden",""))</f>
        <v/>
      </c>
      <c r="L371" s="39">
        <f>IFERROR(IF(SMALL(Grids!$EE$116:$GQ$155,$M$313+56)&gt;=PEND_TO,"",SMALL(Grids!$EE$116:$GQ$155,$M$313+56)),"")</f>
        <v/>
      </c>
      <c r="M371" s="39">
        <f>IF($L371="","",INT($L371/1000000000))</f>
        <v/>
      </c>
      <c r="N371" s="39">
        <f>IF($L371="","",INT(($L371-INT($L371/1000000)*1000000)/1000))</f>
        <v/>
      </c>
      <c r="O371" s="39">
        <f>IF($L371="","",$L371-INT($L371/1000)*1000)</f>
        <v/>
      </c>
      <c r="P371" s="39">
        <f>IF($L371="","",INT(($L371-INT($L371/1000000000)*1000000000)/100000000))</f>
        <v/>
      </c>
    </row>
    <row r="372">
      <c r="B372" s="42">
        <f>IF($L372="","",$M372)</f>
        <v/>
      </c>
      <c r="C372" s="22">
        <f>IF($L372="","",INDEX(HSTECH!$C$7:$C$46,$N372))</f>
        <v/>
      </c>
      <c r="D372" s="22">
        <f>IF($L372="","",INDEX(HSTECH!$D$7:$D$46,$N372))</f>
        <v/>
      </c>
      <c r="E372" s="43">
        <f>IF($L372="","",IF($P372=0,"TBA",IFERROR(INDEX(Grids!$C$116:$BO$155,$N372,$O372),"-")))</f>
        <v/>
      </c>
      <c r="F372" s="22">
        <f>IF($L372="","",INDEX(HSTECH!$F$7:$F$46,$N372))</f>
        <v/>
      </c>
      <c r="G372" s="43">
        <f>IF($L372="","",IF($P372=0,"TBA",IFERROR(INDEX(Grids!$BQ$116:$EC$155,$N372,$O372),"-")))</f>
        <v/>
      </c>
      <c r="H372" s="44">
        <f>IF($L372="","",SUM($G$316:$G372))</f>
        <v/>
      </c>
      <c r="I372" s="45">
        <f>IF($L372="","",IF(INT(($L372-INT($L372/10000000)*10000000)/1000000)=0,"Bloomberg projection",IF($P372=1,"ANNOUNCED","ANNOUNCED - amount TBA")))</f>
        <v/>
      </c>
      <c r="J372" s="46">
        <f>IF($L372="","",IF((OV_SWITCH="ON")*(COUNTIFS(OVR_TICKERS,INDEX(HSTECH!$C$7:$C$46,$N372),OVR_BASE,"&gt;=0")&gt;0)&gt;0,"stock overridden",""))</f>
        <v/>
      </c>
      <c r="L372" s="39">
        <f>IFERROR(IF(SMALL(Grids!$EE$116:$GQ$155,$M$313+57)&gt;=PEND_TO,"",SMALL(Grids!$EE$116:$GQ$155,$M$313+57)),"")</f>
        <v/>
      </c>
      <c r="M372" s="39">
        <f>IF($L372="","",INT($L372/1000000000))</f>
        <v/>
      </c>
      <c r="N372" s="39">
        <f>IF($L372="","",INT(($L372-INT($L372/1000000)*1000000)/1000))</f>
        <v/>
      </c>
      <c r="O372" s="39">
        <f>IF($L372="","",$L372-INT($L372/1000)*1000)</f>
        <v/>
      </c>
      <c r="P372" s="39">
        <f>IF($L372="","",INT(($L372-INT($L372/1000000000)*1000000000)/100000000))</f>
        <v/>
      </c>
    </row>
    <row r="373">
      <c r="B373" s="42">
        <f>IF($L373="","",$M373)</f>
        <v/>
      </c>
      <c r="C373" s="22">
        <f>IF($L373="","",INDEX(HSTECH!$C$7:$C$46,$N373))</f>
        <v/>
      </c>
      <c r="D373" s="22">
        <f>IF($L373="","",INDEX(HSTECH!$D$7:$D$46,$N373))</f>
        <v/>
      </c>
      <c r="E373" s="43">
        <f>IF($L373="","",IF($P373=0,"TBA",IFERROR(INDEX(Grids!$C$116:$BO$155,$N373,$O373),"-")))</f>
        <v/>
      </c>
      <c r="F373" s="22">
        <f>IF($L373="","",INDEX(HSTECH!$F$7:$F$46,$N373))</f>
        <v/>
      </c>
      <c r="G373" s="43">
        <f>IF($L373="","",IF($P373=0,"TBA",IFERROR(INDEX(Grids!$BQ$116:$EC$155,$N373,$O373),"-")))</f>
        <v/>
      </c>
      <c r="H373" s="44">
        <f>IF($L373="","",SUM($G$316:$G373))</f>
        <v/>
      </c>
      <c r="I373" s="45">
        <f>IF($L373="","",IF(INT(($L373-INT($L373/10000000)*10000000)/1000000)=0,"Bloomberg projection",IF($P373=1,"ANNOUNCED","ANNOUNCED - amount TBA")))</f>
        <v/>
      </c>
      <c r="J373" s="46">
        <f>IF($L373="","",IF((OV_SWITCH="ON")*(COUNTIFS(OVR_TICKERS,INDEX(HSTECH!$C$7:$C$46,$N373),OVR_BASE,"&gt;=0")&gt;0)&gt;0,"stock overridden",""))</f>
        <v/>
      </c>
      <c r="L373" s="39">
        <f>IFERROR(IF(SMALL(Grids!$EE$116:$GQ$155,$M$313+58)&gt;=PEND_TO,"",SMALL(Grids!$EE$116:$GQ$155,$M$313+58)),"")</f>
        <v/>
      </c>
      <c r="M373" s="39">
        <f>IF($L373="","",INT($L373/1000000000))</f>
        <v/>
      </c>
      <c r="N373" s="39">
        <f>IF($L373="","",INT(($L373-INT($L373/1000000)*1000000)/1000))</f>
        <v/>
      </c>
      <c r="O373" s="39">
        <f>IF($L373="","",$L373-INT($L373/1000)*1000)</f>
        <v/>
      </c>
      <c r="P373" s="39">
        <f>IF($L373="","",INT(($L373-INT($L373/1000000000)*1000000000)/100000000))</f>
        <v/>
      </c>
    </row>
    <row r="374">
      <c r="B374" s="42">
        <f>IF($L374="","",$M374)</f>
        <v/>
      </c>
      <c r="C374" s="22">
        <f>IF($L374="","",INDEX(HSTECH!$C$7:$C$46,$N374))</f>
        <v/>
      </c>
      <c r="D374" s="22">
        <f>IF($L374="","",INDEX(HSTECH!$D$7:$D$46,$N374))</f>
        <v/>
      </c>
      <c r="E374" s="43">
        <f>IF($L374="","",IF($P374=0,"TBA",IFERROR(INDEX(Grids!$C$116:$BO$155,$N374,$O374),"-")))</f>
        <v/>
      </c>
      <c r="F374" s="22">
        <f>IF($L374="","",INDEX(HSTECH!$F$7:$F$46,$N374))</f>
        <v/>
      </c>
      <c r="G374" s="43">
        <f>IF($L374="","",IF($P374=0,"TBA",IFERROR(INDEX(Grids!$BQ$116:$EC$155,$N374,$O374),"-")))</f>
        <v/>
      </c>
      <c r="H374" s="44">
        <f>IF($L374="","",SUM($G$316:$G374))</f>
        <v/>
      </c>
      <c r="I374" s="45">
        <f>IF($L374="","",IF(INT(($L374-INT($L374/10000000)*10000000)/1000000)=0,"Bloomberg projection",IF($P374=1,"ANNOUNCED","ANNOUNCED - amount TBA")))</f>
        <v/>
      </c>
      <c r="J374" s="46">
        <f>IF($L374="","",IF((OV_SWITCH="ON")*(COUNTIFS(OVR_TICKERS,INDEX(HSTECH!$C$7:$C$46,$N374),OVR_BASE,"&gt;=0")&gt;0)&gt;0,"stock overridden",""))</f>
        <v/>
      </c>
      <c r="L374" s="39">
        <f>IFERROR(IF(SMALL(Grids!$EE$116:$GQ$155,$M$313+59)&gt;=PEND_TO,"",SMALL(Grids!$EE$116:$GQ$155,$M$313+59)),"")</f>
        <v/>
      </c>
      <c r="M374" s="39">
        <f>IF($L374="","",INT($L374/1000000000))</f>
        <v/>
      </c>
      <c r="N374" s="39">
        <f>IF($L374="","",INT(($L374-INT($L374/1000000)*1000000)/1000))</f>
        <v/>
      </c>
      <c r="O374" s="39">
        <f>IF($L374="","",$L374-INT($L374/1000)*1000)</f>
        <v/>
      </c>
      <c r="P374" s="39">
        <f>IF($L374="","",INT(($L374-INT($L374/1000000000)*1000000000)/100000000))</f>
        <v/>
      </c>
    </row>
    <row r="375">
      <c r="B375" s="42">
        <f>IF($L375="","",$M375)</f>
        <v/>
      </c>
      <c r="C375" s="22">
        <f>IF($L375="","",INDEX(HSTECH!$C$7:$C$46,$N375))</f>
        <v/>
      </c>
      <c r="D375" s="22">
        <f>IF($L375="","",INDEX(HSTECH!$D$7:$D$46,$N375))</f>
        <v/>
      </c>
      <c r="E375" s="43">
        <f>IF($L375="","",IF($P375=0,"TBA",IFERROR(INDEX(Grids!$C$116:$BO$155,$N375,$O375),"-")))</f>
        <v/>
      </c>
      <c r="F375" s="22">
        <f>IF($L375="","",INDEX(HSTECH!$F$7:$F$46,$N375))</f>
        <v/>
      </c>
      <c r="G375" s="43">
        <f>IF($L375="","",IF($P375=0,"TBA",IFERROR(INDEX(Grids!$BQ$116:$EC$155,$N375,$O375),"-")))</f>
        <v/>
      </c>
      <c r="H375" s="44">
        <f>IF($L375="","",SUM($G$316:$G375))</f>
        <v/>
      </c>
      <c r="I375" s="45">
        <f>IF($L375="","",IF(INT(($L375-INT($L375/10000000)*10000000)/1000000)=0,"Bloomberg projection",IF($P375=1,"ANNOUNCED","ANNOUNCED - amount TBA")))</f>
        <v/>
      </c>
      <c r="J375" s="46">
        <f>IF($L375="","",IF((OV_SWITCH="ON")*(COUNTIFS(OVR_TICKERS,INDEX(HSTECH!$C$7:$C$46,$N375),OVR_BASE,"&gt;=0")&gt;0)&gt;0,"stock overridden",""))</f>
        <v/>
      </c>
      <c r="L375" s="39">
        <f>IFERROR(IF(SMALL(Grids!$EE$116:$GQ$155,$M$313+60)&gt;=PEND_TO,"",SMALL(Grids!$EE$116:$GQ$155,$M$313+60)),"")</f>
        <v/>
      </c>
      <c r="M375" s="39">
        <f>IF($L375="","",INT($L375/1000000000))</f>
        <v/>
      </c>
      <c r="N375" s="39">
        <f>IF($L375="","",INT(($L375-INT($L375/1000000)*1000000)/1000))</f>
        <v/>
      </c>
      <c r="O375" s="39">
        <f>IF($L375="","",$L375-INT($L375/1000)*1000)</f>
        <v/>
      </c>
      <c r="P375" s="39">
        <f>IF($L375="","",INT(($L375-INT($L375/1000000000)*1000000000)/100000000))</f>
        <v/>
      </c>
    </row>
    <row r="376">
      <c r="B376" s="42">
        <f>IF($L376="","",$M376)</f>
        <v/>
      </c>
      <c r="C376" s="22">
        <f>IF($L376="","",INDEX(HSTECH!$C$7:$C$46,$N376))</f>
        <v/>
      </c>
      <c r="D376" s="22">
        <f>IF($L376="","",INDEX(HSTECH!$D$7:$D$46,$N376))</f>
        <v/>
      </c>
      <c r="E376" s="43">
        <f>IF($L376="","",IF($P376=0,"TBA",IFERROR(INDEX(Grids!$C$116:$BO$155,$N376,$O376),"-")))</f>
        <v/>
      </c>
      <c r="F376" s="22">
        <f>IF($L376="","",INDEX(HSTECH!$F$7:$F$46,$N376))</f>
        <v/>
      </c>
      <c r="G376" s="43">
        <f>IF($L376="","",IF($P376=0,"TBA",IFERROR(INDEX(Grids!$BQ$116:$EC$155,$N376,$O376),"-")))</f>
        <v/>
      </c>
      <c r="H376" s="44">
        <f>IF($L376="","",SUM($G$316:$G376))</f>
        <v/>
      </c>
      <c r="I376" s="45">
        <f>IF($L376="","",IF(INT(($L376-INT($L376/10000000)*10000000)/1000000)=0,"Bloomberg projection",IF($P376=1,"ANNOUNCED","ANNOUNCED - amount TBA")))</f>
        <v/>
      </c>
      <c r="J376" s="46">
        <f>IF($L376="","",IF((OV_SWITCH="ON")*(COUNTIFS(OVR_TICKERS,INDEX(HSTECH!$C$7:$C$46,$N376),OVR_BASE,"&gt;=0")&gt;0)&gt;0,"stock overridden",""))</f>
        <v/>
      </c>
      <c r="L376" s="39">
        <f>IFERROR(IF(SMALL(Grids!$EE$116:$GQ$155,$M$313+61)&gt;=PEND_TO,"",SMALL(Grids!$EE$116:$GQ$155,$M$313+61)),"")</f>
        <v/>
      </c>
      <c r="M376" s="39">
        <f>IF($L376="","",INT($L376/1000000000))</f>
        <v/>
      </c>
      <c r="N376" s="39">
        <f>IF($L376="","",INT(($L376-INT($L376/1000000)*1000000)/1000))</f>
        <v/>
      </c>
      <c r="O376" s="39">
        <f>IF($L376="","",$L376-INT($L376/1000)*1000)</f>
        <v/>
      </c>
      <c r="P376" s="39">
        <f>IF($L376="","",INT(($L376-INT($L376/1000000000)*1000000000)/100000000))</f>
        <v/>
      </c>
    </row>
    <row r="377">
      <c r="B377" s="42">
        <f>IF($L377="","",$M377)</f>
        <v/>
      </c>
      <c r="C377" s="22">
        <f>IF($L377="","",INDEX(HSTECH!$C$7:$C$46,$N377))</f>
        <v/>
      </c>
      <c r="D377" s="22">
        <f>IF($L377="","",INDEX(HSTECH!$D$7:$D$46,$N377))</f>
        <v/>
      </c>
      <c r="E377" s="43">
        <f>IF($L377="","",IF($P377=0,"TBA",IFERROR(INDEX(Grids!$C$116:$BO$155,$N377,$O377),"-")))</f>
        <v/>
      </c>
      <c r="F377" s="22">
        <f>IF($L377="","",INDEX(HSTECH!$F$7:$F$46,$N377))</f>
        <v/>
      </c>
      <c r="G377" s="43">
        <f>IF($L377="","",IF($P377=0,"TBA",IFERROR(INDEX(Grids!$BQ$116:$EC$155,$N377,$O377),"-")))</f>
        <v/>
      </c>
      <c r="H377" s="44">
        <f>IF($L377="","",SUM($G$316:$G377))</f>
        <v/>
      </c>
      <c r="I377" s="45">
        <f>IF($L377="","",IF(INT(($L377-INT($L377/10000000)*10000000)/1000000)=0,"Bloomberg projection",IF($P377=1,"ANNOUNCED","ANNOUNCED - amount TBA")))</f>
        <v/>
      </c>
      <c r="J377" s="46">
        <f>IF($L377="","",IF((OV_SWITCH="ON")*(COUNTIFS(OVR_TICKERS,INDEX(HSTECH!$C$7:$C$46,$N377),OVR_BASE,"&gt;=0")&gt;0)&gt;0,"stock overridden",""))</f>
        <v/>
      </c>
      <c r="L377" s="39">
        <f>IFERROR(IF(SMALL(Grids!$EE$116:$GQ$155,$M$313+62)&gt;=PEND_TO,"",SMALL(Grids!$EE$116:$GQ$155,$M$313+62)),"")</f>
        <v/>
      </c>
      <c r="M377" s="39">
        <f>IF($L377="","",INT($L377/1000000000))</f>
        <v/>
      </c>
      <c r="N377" s="39">
        <f>IF($L377="","",INT(($L377-INT($L377/1000000)*1000000)/1000))</f>
        <v/>
      </c>
      <c r="O377" s="39">
        <f>IF($L377="","",$L377-INT($L377/1000)*1000)</f>
        <v/>
      </c>
      <c r="P377" s="39">
        <f>IF($L377="","",INT(($L377-INT($L377/1000000000)*1000000000)/100000000))</f>
        <v/>
      </c>
    </row>
    <row r="378">
      <c r="B378" s="42">
        <f>IF($L378="","",$M378)</f>
        <v/>
      </c>
      <c r="C378" s="22">
        <f>IF($L378="","",INDEX(HSTECH!$C$7:$C$46,$N378))</f>
        <v/>
      </c>
      <c r="D378" s="22">
        <f>IF($L378="","",INDEX(HSTECH!$D$7:$D$46,$N378))</f>
        <v/>
      </c>
      <c r="E378" s="43">
        <f>IF($L378="","",IF($P378=0,"TBA",IFERROR(INDEX(Grids!$C$116:$BO$155,$N378,$O378),"-")))</f>
        <v/>
      </c>
      <c r="F378" s="22">
        <f>IF($L378="","",INDEX(HSTECH!$F$7:$F$46,$N378))</f>
        <v/>
      </c>
      <c r="G378" s="43">
        <f>IF($L378="","",IF($P378=0,"TBA",IFERROR(INDEX(Grids!$BQ$116:$EC$155,$N378,$O378),"-")))</f>
        <v/>
      </c>
      <c r="H378" s="44">
        <f>IF($L378="","",SUM($G$316:$G378))</f>
        <v/>
      </c>
      <c r="I378" s="45">
        <f>IF($L378="","",IF(INT(($L378-INT($L378/10000000)*10000000)/1000000)=0,"Bloomberg projection",IF($P378=1,"ANNOUNCED","ANNOUNCED - amount TBA")))</f>
        <v/>
      </c>
      <c r="J378" s="46">
        <f>IF($L378="","",IF((OV_SWITCH="ON")*(COUNTIFS(OVR_TICKERS,INDEX(HSTECH!$C$7:$C$46,$N378),OVR_BASE,"&gt;=0")&gt;0)&gt;0,"stock overridden",""))</f>
        <v/>
      </c>
      <c r="L378" s="39">
        <f>IFERROR(IF(SMALL(Grids!$EE$116:$GQ$155,$M$313+63)&gt;=PEND_TO,"",SMALL(Grids!$EE$116:$GQ$155,$M$313+63)),"")</f>
        <v/>
      </c>
      <c r="M378" s="39">
        <f>IF($L378="","",INT($L378/1000000000))</f>
        <v/>
      </c>
      <c r="N378" s="39">
        <f>IF($L378="","",INT(($L378-INT($L378/1000000)*1000000)/1000))</f>
        <v/>
      </c>
      <c r="O378" s="39">
        <f>IF($L378="","",$L378-INT($L378/1000)*1000)</f>
        <v/>
      </c>
      <c r="P378" s="39">
        <f>IF($L378="","",INT(($L378-INT($L378/1000000000)*1000000000)/100000000))</f>
        <v/>
      </c>
    </row>
    <row r="379">
      <c r="B379" s="42">
        <f>IF($L379="","",$M379)</f>
        <v/>
      </c>
      <c r="C379" s="22">
        <f>IF($L379="","",INDEX(HSTECH!$C$7:$C$46,$N379))</f>
        <v/>
      </c>
      <c r="D379" s="22">
        <f>IF($L379="","",INDEX(HSTECH!$D$7:$D$46,$N379))</f>
        <v/>
      </c>
      <c r="E379" s="43">
        <f>IF($L379="","",IF($P379=0,"TBA",IFERROR(INDEX(Grids!$C$116:$BO$155,$N379,$O379),"-")))</f>
        <v/>
      </c>
      <c r="F379" s="22">
        <f>IF($L379="","",INDEX(HSTECH!$F$7:$F$46,$N379))</f>
        <v/>
      </c>
      <c r="G379" s="43">
        <f>IF($L379="","",IF($P379=0,"TBA",IFERROR(INDEX(Grids!$BQ$116:$EC$155,$N379,$O379),"-")))</f>
        <v/>
      </c>
      <c r="H379" s="44">
        <f>IF($L379="","",SUM($G$316:$G379))</f>
        <v/>
      </c>
      <c r="I379" s="45">
        <f>IF($L379="","",IF(INT(($L379-INT($L379/10000000)*10000000)/1000000)=0,"Bloomberg projection",IF($P379=1,"ANNOUNCED","ANNOUNCED - amount TBA")))</f>
        <v/>
      </c>
      <c r="J379" s="46">
        <f>IF($L379="","",IF((OV_SWITCH="ON")*(COUNTIFS(OVR_TICKERS,INDEX(HSTECH!$C$7:$C$46,$N379),OVR_BASE,"&gt;=0")&gt;0)&gt;0,"stock overridden",""))</f>
        <v/>
      </c>
      <c r="L379" s="39">
        <f>IFERROR(IF(SMALL(Grids!$EE$116:$GQ$155,$M$313+64)&gt;=PEND_TO,"",SMALL(Grids!$EE$116:$GQ$155,$M$313+64)),"")</f>
        <v/>
      </c>
      <c r="M379" s="39">
        <f>IF($L379="","",INT($L379/1000000000))</f>
        <v/>
      </c>
      <c r="N379" s="39">
        <f>IF($L379="","",INT(($L379-INT($L379/1000000)*1000000)/1000))</f>
        <v/>
      </c>
      <c r="O379" s="39">
        <f>IF($L379="","",$L379-INT($L379/1000)*1000)</f>
        <v/>
      </c>
      <c r="P379" s="39">
        <f>IF($L379="","",INT(($L379-INT($L379/1000000000)*1000000000)/100000000))</f>
        <v/>
      </c>
    </row>
    <row r="380">
      <c r="B380" s="42">
        <f>IF($L380="","",$M380)</f>
        <v/>
      </c>
      <c r="C380" s="22">
        <f>IF($L380="","",INDEX(HSTECH!$C$7:$C$46,$N380))</f>
        <v/>
      </c>
      <c r="D380" s="22">
        <f>IF($L380="","",INDEX(HSTECH!$D$7:$D$46,$N380))</f>
        <v/>
      </c>
      <c r="E380" s="43">
        <f>IF($L380="","",IF($P380=0,"TBA",IFERROR(INDEX(Grids!$C$116:$BO$155,$N380,$O380),"-")))</f>
        <v/>
      </c>
      <c r="F380" s="22">
        <f>IF($L380="","",INDEX(HSTECH!$F$7:$F$46,$N380))</f>
        <v/>
      </c>
      <c r="G380" s="43">
        <f>IF($L380="","",IF($P380=0,"TBA",IFERROR(INDEX(Grids!$BQ$116:$EC$155,$N380,$O380),"-")))</f>
        <v/>
      </c>
      <c r="H380" s="44">
        <f>IF($L380="","",SUM($G$316:$G380))</f>
        <v/>
      </c>
      <c r="I380" s="45">
        <f>IF($L380="","",IF(INT(($L380-INT($L380/10000000)*10000000)/1000000)=0,"Bloomberg projection",IF($P380=1,"ANNOUNCED","ANNOUNCED - amount TBA")))</f>
        <v/>
      </c>
      <c r="J380" s="46">
        <f>IF($L380="","",IF((OV_SWITCH="ON")*(COUNTIFS(OVR_TICKERS,INDEX(HSTECH!$C$7:$C$46,$N380),OVR_BASE,"&gt;=0")&gt;0)&gt;0,"stock overridden",""))</f>
        <v/>
      </c>
      <c r="L380" s="39">
        <f>IFERROR(IF(SMALL(Grids!$EE$116:$GQ$155,$M$313+65)&gt;=PEND_TO,"",SMALL(Grids!$EE$116:$GQ$155,$M$313+65)),"")</f>
        <v/>
      </c>
      <c r="M380" s="39">
        <f>IF($L380="","",INT($L380/1000000000))</f>
        <v/>
      </c>
      <c r="N380" s="39">
        <f>IF($L380="","",INT(($L380-INT($L380/1000000)*1000000)/1000))</f>
        <v/>
      </c>
      <c r="O380" s="39">
        <f>IF($L380="","",$L380-INT($L380/1000)*1000)</f>
        <v/>
      </c>
      <c r="P380" s="39">
        <f>IF($L380="","",INT(($L380-INT($L380/1000000000)*1000000000)/100000000))</f>
        <v/>
      </c>
    </row>
    <row r="381">
      <c r="B381" s="42">
        <f>IF($L381="","",$M381)</f>
        <v/>
      </c>
      <c r="C381" s="22">
        <f>IF($L381="","",INDEX(HSTECH!$C$7:$C$46,$N381))</f>
        <v/>
      </c>
      <c r="D381" s="22">
        <f>IF($L381="","",INDEX(HSTECH!$D$7:$D$46,$N381))</f>
        <v/>
      </c>
      <c r="E381" s="43">
        <f>IF($L381="","",IF($P381=0,"TBA",IFERROR(INDEX(Grids!$C$116:$BO$155,$N381,$O381),"-")))</f>
        <v/>
      </c>
      <c r="F381" s="22">
        <f>IF($L381="","",INDEX(HSTECH!$F$7:$F$46,$N381))</f>
        <v/>
      </c>
      <c r="G381" s="43">
        <f>IF($L381="","",IF($P381=0,"TBA",IFERROR(INDEX(Grids!$BQ$116:$EC$155,$N381,$O381),"-")))</f>
        <v/>
      </c>
      <c r="H381" s="44">
        <f>IF($L381="","",SUM($G$316:$G381))</f>
        <v/>
      </c>
      <c r="I381" s="45">
        <f>IF($L381="","",IF(INT(($L381-INT($L381/10000000)*10000000)/1000000)=0,"Bloomberg projection",IF($P381=1,"ANNOUNCED","ANNOUNCED - amount TBA")))</f>
        <v/>
      </c>
      <c r="J381" s="46">
        <f>IF($L381="","",IF((OV_SWITCH="ON")*(COUNTIFS(OVR_TICKERS,INDEX(HSTECH!$C$7:$C$46,$N381),OVR_BASE,"&gt;=0")&gt;0)&gt;0,"stock overridden",""))</f>
        <v/>
      </c>
      <c r="L381" s="39">
        <f>IFERROR(IF(SMALL(Grids!$EE$116:$GQ$155,$M$313+66)&gt;=PEND_TO,"",SMALL(Grids!$EE$116:$GQ$155,$M$313+66)),"")</f>
        <v/>
      </c>
      <c r="M381" s="39">
        <f>IF($L381="","",INT($L381/1000000000))</f>
        <v/>
      </c>
      <c r="N381" s="39">
        <f>IF($L381="","",INT(($L381-INT($L381/1000000)*1000000)/1000))</f>
        <v/>
      </c>
      <c r="O381" s="39">
        <f>IF($L381="","",$L381-INT($L381/1000)*1000)</f>
        <v/>
      </c>
      <c r="P381" s="39">
        <f>IF($L381="","",INT(($L381-INT($L381/1000000000)*1000000000)/100000000))</f>
        <v/>
      </c>
    </row>
    <row r="382">
      <c r="B382" s="42">
        <f>IF($L382="","",$M382)</f>
        <v/>
      </c>
      <c r="C382" s="22">
        <f>IF($L382="","",INDEX(HSTECH!$C$7:$C$46,$N382))</f>
        <v/>
      </c>
      <c r="D382" s="22">
        <f>IF($L382="","",INDEX(HSTECH!$D$7:$D$46,$N382))</f>
        <v/>
      </c>
      <c r="E382" s="43">
        <f>IF($L382="","",IF($P382=0,"TBA",IFERROR(INDEX(Grids!$C$116:$BO$155,$N382,$O382),"-")))</f>
        <v/>
      </c>
      <c r="F382" s="22">
        <f>IF($L382="","",INDEX(HSTECH!$F$7:$F$46,$N382))</f>
        <v/>
      </c>
      <c r="G382" s="43">
        <f>IF($L382="","",IF($P382=0,"TBA",IFERROR(INDEX(Grids!$BQ$116:$EC$155,$N382,$O382),"-")))</f>
        <v/>
      </c>
      <c r="H382" s="44">
        <f>IF($L382="","",SUM($G$316:$G382))</f>
        <v/>
      </c>
      <c r="I382" s="45">
        <f>IF($L382="","",IF(INT(($L382-INT($L382/10000000)*10000000)/1000000)=0,"Bloomberg projection",IF($P382=1,"ANNOUNCED","ANNOUNCED - amount TBA")))</f>
        <v/>
      </c>
      <c r="J382" s="46">
        <f>IF($L382="","",IF((OV_SWITCH="ON")*(COUNTIFS(OVR_TICKERS,INDEX(HSTECH!$C$7:$C$46,$N382),OVR_BASE,"&gt;=0")&gt;0)&gt;0,"stock overridden",""))</f>
        <v/>
      </c>
      <c r="L382" s="39">
        <f>IFERROR(IF(SMALL(Grids!$EE$116:$GQ$155,$M$313+67)&gt;=PEND_TO,"",SMALL(Grids!$EE$116:$GQ$155,$M$313+67)),"")</f>
        <v/>
      </c>
      <c r="M382" s="39">
        <f>IF($L382="","",INT($L382/1000000000))</f>
        <v/>
      </c>
      <c r="N382" s="39">
        <f>IF($L382="","",INT(($L382-INT($L382/1000000)*1000000)/1000))</f>
        <v/>
      </c>
      <c r="O382" s="39">
        <f>IF($L382="","",$L382-INT($L382/1000)*1000)</f>
        <v/>
      </c>
      <c r="P382" s="39">
        <f>IF($L382="","",INT(($L382-INT($L382/1000000000)*1000000000)/100000000))</f>
        <v/>
      </c>
    </row>
    <row r="383">
      <c r="B383" s="42">
        <f>IF($L383="","",$M383)</f>
        <v/>
      </c>
      <c r="C383" s="22">
        <f>IF($L383="","",INDEX(HSTECH!$C$7:$C$46,$N383))</f>
        <v/>
      </c>
      <c r="D383" s="22">
        <f>IF($L383="","",INDEX(HSTECH!$D$7:$D$46,$N383))</f>
        <v/>
      </c>
      <c r="E383" s="43">
        <f>IF($L383="","",IF($P383=0,"TBA",IFERROR(INDEX(Grids!$C$116:$BO$155,$N383,$O383),"-")))</f>
        <v/>
      </c>
      <c r="F383" s="22">
        <f>IF($L383="","",INDEX(HSTECH!$F$7:$F$46,$N383))</f>
        <v/>
      </c>
      <c r="G383" s="43">
        <f>IF($L383="","",IF($P383=0,"TBA",IFERROR(INDEX(Grids!$BQ$116:$EC$155,$N383,$O383),"-")))</f>
        <v/>
      </c>
      <c r="H383" s="44">
        <f>IF($L383="","",SUM($G$316:$G383))</f>
        <v/>
      </c>
      <c r="I383" s="45">
        <f>IF($L383="","",IF(INT(($L383-INT($L383/10000000)*10000000)/1000000)=0,"Bloomberg projection",IF($P383=1,"ANNOUNCED","ANNOUNCED - amount TBA")))</f>
        <v/>
      </c>
      <c r="J383" s="46">
        <f>IF($L383="","",IF((OV_SWITCH="ON")*(COUNTIFS(OVR_TICKERS,INDEX(HSTECH!$C$7:$C$46,$N383),OVR_BASE,"&gt;=0")&gt;0)&gt;0,"stock overridden",""))</f>
        <v/>
      </c>
      <c r="L383" s="39">
        <f>IFERROR(IF(SMALL(Grids!$EE$116:$GQ$155,$M$313+68)&gt;=PEND_TO,"",SMALL(Grids!$EE$116:$GQ$155,$M$313+68)),"")</f>
        <v/>
      </c>
      <c r="M383" s="39">
        <f>IF($L383="","",INT($L383/1000000000))</f>
        <v/>
      </c>
      <c r="N383" s="39">
        <f>IF($L383="","",INT(($L383-INT($L383/1000000)*1000000)/1000))</f>
        <v/>
      </c>
      <c r="O383" s="39">
        <f>IF($L383="","",$L383-INT($L383/1000)*1000)</f>
        <v/>
      </c>
      <c r="P383" s="39">
        <f>IF($L383="","",INT(($L383-INT($L383/1000000000)*1000000000)/100000000))</f>
        <v/>
      </c>
    </row>
    <row r="384">
      <c r="B384" s="42">
        <f>IF($L384="","",$M384)</f>
        <v/>
      </c>
      <c r="C384" s="22">
        <f>IF($L384="","",INDEX(HSTECH!$C$7:$C$46,$N384))</f>
        <v/>
      </c>
      <c r="D384" s="22">
        <f>IF($L384="","",INDEX(HSTECH!$D$7:$D$46,$N384))</f>
        <v/>
      </c>
      <c r="E384" s="43">
        <f>IF($L384="","",IF($P384=0,"TBA",IFERROR(INDEX(Grids!$C$116:$BO$155,$N384,$O384),"-")))</f>
        <v/>
      </c>
      <c r="F384" s="22">
        <f>IF($L384="","",INDEX(HSTECH!$F$7:$F$46,$N384))</f>
        <v/>
      </c>
      <c r="G384" s="43">
        <f>IF($L384="","",IF($P384=0,"TBA",IFERROR(INDEX(Grids!$BQ$116:$EC$155,$N384,$O384),"-")))</f>
        <v/>
      </c>
      <c r="H384" s="44">
        <f>IF($L384="","",SUM($G$316:$G384))</f>
        <v/>
      </c>
      <c r="I384" s="45">
        <f>IF($L384="","",IF(INT(($L384-INT($L384/10000000)*10000000)/1000000)=0,"Bloomberg projection",IF($P384=1,"ANNOUNCED","ANNOUNCED - amount TBA")))</f>
        <v/>
      </c>
      <c r="J384" s="46">
        <f>IF($L384="","",IF((OV_SWITCH="ON")*(COUNTIFS(OVR_TICKERS,INDEX(HSTECH!$C$7:$C$46,$N384),OVR_BASE,"&gt;=0")&gt;0)&gt;0,"stock overridden",""))</f>
        <v/>
      </c>
      <c r="L384" s="39">
        <f>IFERROR(IF(SMALL(Grids!$EE$116:$GQ$155,$M$313+69)&gt;=PEND_TO,"",SMALL(Grids!$EE$116:$GQ$155,$M$313+69)),"")</f>
        <v/>
      </c>
      <c r="M384" s="39">
        <f>IF($L384="","",INT($L384/1000000000))</f>
        <v/>
      </c>
      <c r="N384" s="39">
        <f>IF($L384="","",INT(($L384-INT($L384/1000000)*1000000)/1000))</f>
        <v/>
      </c>
      <c r="O384" s="39">
        <f>IF($L384="","",$L384-INT($L384/1000)*1000)</f>
        <v/>
      </c>
      <c r="P384" s="39">
        <f>IF($L384="","",INT(($L384-INT($L384/1000000000)*1000000000)/100000000))</f>
        <v/>
      </c>
    </row>
    <row r="385">
      <c r="B385" s="42">
        <f>IF($L385="","",$M385)</f>
        <v/>
      </c>
      <c r="C385" s="22">
        <f>IF($L385="","",INDEX(HSTECH!$C$7:$C$46,$N385))</f>
        <v/>
      </c>
      <c r="D385" s="22">
        <f>IF($L385="","",INDEX(HSTECH!$D$7:$D$46,$N385))</f>
        <v/>
      </c>
      <c r="E385" s="43">
        <f>IF($L385="","",IF($P385=0,"TBA",IFERROR(INDEX(Grids!$C$116:$BO$155,$N385,$O385),"-")))</f>
        <v/>
      </c>
      <c r="F385" s="22">
        <f>IF($L385="","",INDEX(HSTECH!$F$7:$F$46,$N385))</f>
        <v/>
      </c>
      <c r="G385" s="43">
        <f>IF($L385="","",IF($P385=0,"TBA",IFERROR(INDEX(Grids!$BQ$116:$EC$155,$N385,$O385),"-")))</f>
        <v/>
      </c>
      <c r="H385" s="44">
        <f>IF($L385="","",SUM($G$316:$G385))</f>
        <v/>
      </c>
      <c r="I385" s="45">
        <f>IF($L385="","",IF(INT(($L385-INT($L385/10000000)*10000000)/1000000)=0,"Bloomberg projection",IF($P385=1,"ANNOUNCED","ANNOUNCED - amount TBA")))</f>
        <v/>
      </c>
      <c r="J385" s="46">
        <f>IF($L385="","",IF((OV_SWITCH="ON")*(COUNTIFS(OVR_TICKERS,INDEX(HSTECH!$C$7:$C$46,$N385),OVR_BASE,"&gt;=0")&gt;0)&gt;0,"stock overridden",""))</f>
        <v/>
      </c>
      <c r="L385" s="39">
        <f>IFERROR(IF(SMALL(Grids!$EE$116:$GQ$155,$M$313+70)&gt;=PEND_TO,"",SMALL(Grids!$EE$116:$GQ$155,$M$313+70)),"")</f>
        <v/>
      </c>
      <c r="M385" s="39">
        <f>IF($L385="","",INT($L385/1000000000))</f>
        <v/>
      </c>
      <c r="N385" s="39">
        <f>IF($L385="","",INT(($L385-INT($L385/1000000)*1000000)/1000))</f>
        <v/>
      </c>
      <c r="O385" s="39">
        <f>IF($L385="","",$L385-INT($L385/1000)*1000)</f>
        <v/>
      </c>
      <c r="P385" s="39">
        <f>IF($L385="","",INT(($L385-INT($L385/1000000000)*1000000000)/100000000))</f>
        <v/>
      </c>
    </row>
    <row r="386">
      <c r="B386" s="42">
        <f>IF($L386="","",$M386)</f>
        <v/>
      </c>
      <c r="C386" s="22">
        <f>IF($L386="","",INDEX(HSTECH!$C$7:$C$46,$N386))</f>
        <v/>
      </c>
      <c r="D386" s="22">
        <f>IF($L386="","",INDEX(HSTECH!$D$7:$D$46,$N386))</f>
        <v/>
      </c>
      <c r="E386" s="43">
        <f>IF($L386="","",IF($P386=0,"TBA",IFERROR(INDEX(Grids!$C$116:$BO$155,$N386,$O386),"-")))</f>
        <v/>
      </c>
      <c r="F386" s="22">
        <f>IF($L386="","",INDEX(HSTECH!$F$7:$F$46,$N386))</f>
        <v/>
      </c>
      <c r="G386" s="43">
        <f>IF($L386="","",IF($P386=0,"TBA",IFERROR(INDEX(Grids!$BQ$116:$EC$155,$N386,$O386),"-")))</f>
        <v/>
      </c>
      <c r="H386" s="44">
        <f>IF($L386="","",SUM($G$316:$G386))</f>
        <v/>
      </c>
      <c r="I386" s="45">
        <f>IF($L386="","",IF(INT(($L386-INT($L386/10000000)*10000000)/1000000)=0,"Bloomberg projection",IF($P386=1,"ANNOUNCED","ANNOUNCED - amount TBA")))</f>
        <v/>
      </c>
      <c r="J386" s="46">
        <f>IF($L386="","",IF((OV_SWITCH="ON")*(COUNTIFS(OVR_TICKERS,INDEX(HSTECH!$C$7:$C$46,$N386),OVR_BASE,"&gt;=0")&gt;0)&gt;0,"stock overridden",""))</f>
        <v/>
      </c>
      <c r="L386" s="39">
        <f>IFERROR(IF(SMALL(Grids!$EE$116:$GQ$155,$M$313+71)&gt;=PEND_TO,"",SMALL(Grids!$EE$116:$GQ$155,$M$313+71)),"")</f>
        <v/>
      </c>
      <c r="M386" s="39">
        <f>IF($L386="","",INT($L386/1000000000))</f>
        <v/>
      </c>
      <c r="N386" s="39">
        <f>IF($L386="","",INT(($L386-INT($L386/1000000)*1000000)/1000))</f>
        <v/>
      </c>
      <c r="O386" s="39">
        <f>IF($L386="","",$L386-INT($L386/1000)*1000)</f>
        <v/>
      </c>
      <c r="P386" s="39">
        <f>IF($L386="","",INT(($L386-INT($L386/1000000000)*1000000000)/100000000))</f>
        <v/>
      </c>
    </row>
    <row r="387">
      <c r="B387" s="42">
        <f>IF($L387="","",$M387)</f>
        <v/>
      </c>
      <c r="C387" s="22">
        <f>IF($L387="","",INDEX(HSTECH!$C$7:$C$46,$N387))</f>
        <v/>
      </c>
      <c r="D387" s="22">
        <f>IF($L387="","",INDEX(HSTECH!$D$7:$D$46,$N387))</f>
        <v/>
      </c>
      <c r="E387" s="43">
        <f>IF($L387="","",IF($P387=0,"TBA",IFERROR(INDEX(Grids!$C$116:$BO$155,$N387,$O387),"-")))</f>
        <v/>
      </c>
      <c r="F387" s="22">
        <f>IF($L387="","",INDEX(HSTECH!$F$7:$F$46,$N387))</f>
        <v/>
      </c>
      <c r="G387" s="43">
        <f>IF($L387="","",IF($P387=0,"TBA",IFERROR(INDEX(Grids!$BQ$116:$EC$155,$N387,$O387),"-")))</f>
        <v/>
      </c>
      <c r="H387" s="44">
        <f>IF($L387="","",SUM($G$316:$G387))</f>
        <v/>
      </c>
      <c r="I387" s="45">
        <f>IF($L387="","",IF(INT(($L387-INT($L387/10000000)*10000000)/1000000)=0,"Bloomberg projection",IF($P387=1,"ANNOUNCED","ANNOUNCED - amount TBA")))</f>
        <v/>
      </c>
      <c r="J387" s="46">
        <f>IF($L387="","",IF((OV_SWITCH="ON")*(COUNTIFS(OVR_TICKERS,INDEX(HSTECH!$C$7:$C$46,$N387),OVR_BASE,"&gt;=0")&gt;0)&gt;0,"stock overridden",""))</f>
        <v/>
      </c>
      <c r="L387" s="39">
        <f>IFERROR(IF(SMALL(Grids!$EE$116:$GQ$155,$M$313+72)&gt;=PEND_TO,"",SMALL(Grids!$EE$116:$GQ$155,$M$313+72)),"")</f>
        <v/>
      </c>
      <c r="M387" s="39">
        <f>IF($L387="","",INT($L387/1000000000))</f>
        <v/>
      </c>
      <c r="N387" s="39">
        <f>IF($L387="","",INT(($L387-INT($L387/1000000)*1000000)/1000))</f>
        <v/>
      </c>
      <c r="O387" s="39">
        <f>IF($L387="","",$L387-INT($L387/1000)*1000)</f>
        <v/>
      </c>
      <c r="P387" s="39">
        <f>IF($L387="","",INT(($L387-INT($L387/1000000000)*1000000000)/100000000))</f>
        <v/>
      </c>
    </row>
    <row r="388">
      <c r="B388" s="42">
        <f>IF($L388="","",$M388)</f>
        <v/>
      </c>
      <c r="C388" s="22">
        <f>IF($L388="","",INDEX(HSTECH!$C$7:$C$46,$N388))</f>
        <v/>
      </c>
      <c r="D388" s="22">
        <f>IF($L388="","",INDEX(HSTECH!$D$7:$D$46,$N388))</f>
        <v/>
      </c>
      <c r="E388" s="43">
        <f>IF($L388="","",IF($P388=0,"TBA",IFERROR(INDEX(Grids!$C$116:$BO$155,$N388,$O388),"-")))</f>
        <v/>
      </c>
      <c r="F388" s="22">
        <f>IF($L388="","",INDEX(HSTECH!$F$7:$F$46,$N388))</f>
        <v/>
      </c>
      <c r="G388" s="43">
        <f>IF($L388="","",IF($P388=0,"TBA",IFERROR(INDEX(Grids!$BQ$116:$EC$155,$N388,$O388),"-")))</f>
        <v/>
      </c>
      <c r="H388" s="44">
        <f>IF($L388="","",SUM($G$316:$G388))</f>
        <v/>
      </c>
      <c r="I388" s="45">
        <f>IF($L388="","",IF(INT(($L388-INT($L388/10000000)*10000000)/1000000)=0,"Bloomberg projection",IF($P388=1,"ANNOUNCED","ANNOUNCED - amount TBA")))</f>
        <v/>
      </c>
      <c r="J388" s="46">
        <f>IF($L388="","",IF((OV_SWITCH="ON")*(COUNTIFS(OVR_TICKERS,INDEX(HSTECH!$C$7:$C$46,$N388),OVR_BASE,"&gt;=0")&gt;0)&gt;0,"stock overridden",""))</f>
        <v/>
      </c>
      <c r="L388" s="39">
        <f>IFERROR(IF(SMALL(Grids!$EE$116:$GQ$155,$M$313+73)&gt;=PEND_TO,"",SMALL(Grids!$EE$116:$GQ$155,$M$313+73)),"")</f>
        <v/>
      </c>
      <c r="M388" s="39">
        <f>IF($L388="","",INT($L388/1000000000))</f>
        <v/>
      </c>
      <c r="N388" s="39">
        <f>IF($L388="","",INT(($L388-INT($L388/1000000)*1000000)/1000))</f>
        <v/>
      </c>
      <c r="O388" s="39">
        <f>IF($L388="","",$L388-INT($L388/1000)*1000)</f>
        <v/>
      </c>
      <c r="P388" s="39">
        <f>IF($L388="","",INT(($L388-INT($L388/1000000000)*1000000000)/100000000))</f>
        <v/>
      </c>
    </row>
    <row r="389">
      <c r="B389" s="42">
        <f>IF($L389="","",$M389)</f>
        <v/>
      </c>
      <c r="C389" s="22">
        <f>IF($L389="","",INDEX(HSTECH!$C$7:$C$46,$N389))</f>
        <v/>
      </c>
      <c r="D389" s="22">
        <f>IF($L389="","",INDEX(HSTECH!$D$7:$D$46,$N389))</f>
        <v/>
      </c>
      <c r="E389" s="43">
        <f>IF($L389="","",IF($P389=0,"TBA",IFERROR(INDEX(Grids!$C$116:$BO$155,$N389,$O389),"-")))</f>
        <v/>
      </c>
      <c r="F389" s="22">
        <f>IF($L389="","",INDEX(HSTECH!$F$7:$F$46,$N389))</f>
        <v/>
      </c>
      <c r="G389" s="43">
        <f>IF($L389="","",IF($P389=0,"TBA",IFERROR(INDEX(Grids!$BQ$116:$EC$155,$N389,$O389),"-")))</f>
        <v/>
      </c>
      <c r="H389" s="44">
        <f>IF($L389="","",SUM($G$316:$G389))</f>
        <v/>
      </c>
      <c r="I389" s="45">
        <f>IF($L389="","",IF(INT(($L389-INT($L389/10000000)*10000000)/1000000)=0,"Bloomberg projection",IF($P389=1,"ANNOUNCED","ANNOUNCED - amount TBA")))</f>
        <v/>
      </c>
      <c r="J389" s="46">
        <f>IF($L389="","",IF((OV_SWITCH="ON")*(COUNTIFS(OVR_TICKERS,INDEX(HSTECH!$C$7:$C$46,$N389),OVR_BASE,"&gt;=0")&gt;0)&gt;0,"stock overridden",""))</f>
        <v/>
      </c>
      <c r="L389" s="39">
        <f>IFERROR(IF(SMALL(Grids!$EE$116:$GQ$155,$M$313+74)&gt;=PEND_TO,"",SMALL(Grids!$EE$116:$GQ$155,$M$313+74)),"")</f>
        <v/>
      </c>
      <c r="M389" s="39">
        <f>IF($L389="","",INT($L389/1000000000))</f>
        <v/>
      </c>
      <c r="N389" s="39">
        <f>IF($L389="","",INT(($L389-INT($L389/1000000)*1000000)/1000))</f>
        <v/>
      </c>
      <c r="O389" s="39">
        <f>IF($L389="","",$L389-INT($L389/1000)*1000)</f>
        <v/>
      </c>
      <c r="P389" s="39">
        <f>IF($L389="","",INT(($L389-INT($L389/1000000000)*1000000000)/100000000))</f>
        <v/>
      </c>
    </row>
    <row r="390">
      <c r="B390" s="42">
        <f>IF($L390="","",$M390)</f>
        <v/>
      </c>
      <c r="C390" s="22">
        <f>IF($L390="","",INDEX(HSTECH!$C$7:$C$46,$N390))</f>
        <v/>
      </c>
      <c r="D390" s="22">
        <f>IF($L390="","",INDEX(HSTECH!$D$7:$D$46,$N390))</f>
        <v/>
      </c>
      <c r="E390" s="43">
        <f>IF($L390="","",IF($P390=0,"TBA",IFERROR(INDEX(Grids!$C$116:$BO$155,$N390,$O390),"-")))</f>
        <v/>
      </c>
      <c r="F390" s="22">
        <f>IF($L390="","",INDEX(HSTECH!$F$7:$F$46,$N390))</f>
        <v/>
      </c>
      <c r="G390" s="43">
        <f>IF($L390="","",IF($P390=0,"TBA",IFERROR(INDEX(Grids!$BQ$116:$EC$155,$N390,$O390),"-")))</f>
        <v/>
      </c>
      <c r="H390" s="44">
        <f>IF($L390="","",SUM($G$316:$G390))</f>
        <v/>
      </c>
      <c r="I390" s="45">
        <f>IF($L390="","",IF(INT(($L390-INT($L390/10000000)*10000000)/1000000)=0,"Bloomberg projection",IF($P390=1,"ANNOUNCED","ANNOUNCED - amount TBA")))</f>
        <v/>
      </c>
      <c r="J390" s="46">
        <f>IF($L390="","",IF((OV_SWITCH="ON")*(COUNTIFS(OVR_TICKERS,INDEX(HSTECH!$C$7:$C$46,$N390),OVR_BASE,"&gt;=0")&gt;0)&gt;0,"stock overridden",""))</f>
        <v/>
      </c>
      <c r="L390" s="39">
        <f>IFERROR(IF(SMALL(Grids!$EE$116:$GQ$155,$M$313+75)&gt;=PEND_TO,"",SMALL(Grids!$EE$116:$GQ$155,$M$313+75)),"")</f>
        <v/>
      </c>
      <c r="M390" s="39">
        <f>IF($L390="","",INT($L390/1000000000))</f>
        <v/>
      </c>
      <c r="N390" s="39">
        <f>IF($L390="","",INT(($L390-INT($L390/1000000)*1000000)/1000))</f>
        <v/>
      </c>
      <c r="O390" s="39">
        <f>IF($L390="","",$L390-INT($L390/1000)*1000)</f>
        <v/>
      </c>
      <c r="P390" s="39">
        <f>IF($L390="","",INT(($L390-INT($L390/1000000000)*1000000000)/100000000))</f>
        <v/>
      </c>
    </row>
    <row r="391">
      <c r="B391" s="42">
        <f>IF($L391="","",$M391)</f>
        <v/>
      </c>
      <c r="C391" s="22">
        <f>IF($L391="","",INDEX(HSTECH!$C$7:$C$46,$N391))</f>
        <v/>
      </c>
      <c r="D391" s="22">
        <f>IF($L391="","",INDEX(HSTECH!$D$7:$D$46,$N391))</f>
        <v/>
      </c>
      <c r="E391" s="43">
        <f>IF($L391="","",IF($P391=0,"TBA",IFERROR(INDEX(Grids!$C$116:$BO$155,$N391,$O391),"-")))</f>
        <v/>
      </c>
      <c r="F391" s="22">
        <f>IF($L391="","",INDEX(HSTECH!$F$7:$F$46,$N391))</f>
        <v/>
      </c>
      <c r="G391" s="43">
        <f>IF($L391="","",IF($P391=0,"TBA",IFERROR(INDEX(Grids!$BQ$116:$EC$155,$N391,$O391),"-")))</f>
        <v/>
      </c>
      <c r="H391" s="44">
        <f>IF($L391="","",SUM($G$316:$G391))</f>
        <v/>
      </c>
      <c r="I391" s="45">
        <f>IF($L391="","",IF(INT(($L391-INT($L391/10000000)*10000000)/1000000)=0,"Bloomberg projection",IF($P391=1,"ANNOUNCED","ANNOUNCED - amount TBA")))</f>
        <v/>
      </c>
      <c r="J391" s="46">
        <f>IF($L391="","",IF((OV_SWITCH="ON")*(COUNTIFS(OVR_TICKERS,INDEX(HSTECH!$C$7:$C$46,$N391),OVR_BASE,"&gt;=0")&gt;0)&gt;0,"stock overridden",""))</f>
        <v/>
      </c>
      <c r="L391" s="39">
        <f>IFERROR(IF(SMALL(Grids!$EE$116:$GQ$155,$M$313+76)&gt;=PEND_TO,"",SMALL(Grids!$EE$116:$GQ$155,$M$313+76)),"")</f>
        <v/>
      </c>
      <c r="M391" s="39">
        <f>IF($L391="","",INT($L391/1000000000))</f>
        <v/>
      </c>
      <c r="N391" s="39">
        <f>IF($L391="","",INT(($L391-INT($L391/1000000)*1000000)/1000))</f>
        <v/>
      </c>
      <c r="O391" s="39">
        <f>IF($L391="","",$L391-INT($L391/1000)*1000)</f>
        <v/>
      </c>
      <c r="P391" s="39">
        <f>IF($L391="","",INT(($L391-INT($L391/1000000000)*1000000000)/100000000))</f>
        <v/>
      </c>
    </row>
    <row r="392">
      <c r="B392" s="42">
        <f>IF($L392="","",$M392)</f>
        <v/>
      </c>
      <c r="C392" s="22">
        <f>IF($L392="","",INDEX(HSTECH!$C$7:$C$46,$N392))</f>
        <v/>
      </c>
      <c r="D392" s="22">
        <f>IF($L392="","",INDEX(HSTECH!$D$7:$D$46,$N392))</f>
        <v/>
      </c>
      <c r="E392" s="43">
        <f>IF($L392="","",IF($P392=0,"TBA",IFERROR(INDEX(Grids!$C$116:$BO$155,$N392,$O392),"-")))</f>
        <v/>
      </c>
      <c r="F392" s="22">
        <f>IF($L392="","",INDEX(HSTECH!$F$7:$F$46,$N392))</f>
        <v/>
      </c>
      <c r="G392" s="43">
        <f>IF($L392="","",IF($P392=0,"TBA",IFERROR(INDEX(Grids!$BQ$116:$EC$155,$N392,$O392),"-")))</f>
        <v/>
      </c>
      <c r="H392" s="44">
        <f>IF($L392="","",SUM($G$316:$G392))</f>
        <v/>
      </c>
      <c r="I392" s="45">
        <f>IF($L392="","",IF(INT(($L392-INT($L392/10000000)*10000000)/1000000)=0,"Bloomberg projection",IF($P392=1,"ANNOUNCED","ANNOUNCED - amount TBA")))</f>
        <v/>
      </c>
      <c r="J392" s="46">
        <f>IF($L392="","",IF((OV_SWITCH="ON")*(COUNTIFS(OVR_TICKERS,INDEX(HSTECH!$C$7:$C$46,$N392),OVR_BASE,"&gt;=0")&gt;0)&gt;0,"stock overridden",""))</f>
        <v/>
      </c>
      <c r="L392" s="39">
        <f>IFERROR(IF(SMALL(Grids!$EE$116:$GQ$155,$M$313+77)&gt;=PEND_TO,"",SMALL(Grids!$EE$116:$GQ$155,$M$313+77)),"")</f>
        <v/>
      </c>
      <c r="M392" s="39">
        <f>IF($L392="","",INT($L392/1000000000))</f>
        <v/>
      </c>
      <c r="N392" s="39">
        <f>IF($L392="","",INT(($L392-INT($L392/1000000)*1000000)/1000))</f>
        <v/>
      </c>
      <c r="O392" s="39">
        <f>IF($L392="","",$L392-INT($L392/1000)*1000)</f>
        <v/>
      </c>
      <c r="P392" s="39">
        <f>IF($L392="","",INT(($L392-INT($L392/1000000000)*1000000000)/100000000))</f>
        <v/>
      </c>
    </row>
    <row r="393">
      <c r="B393" s="42">
        <f>IF($L393="","",$M393)</f>
        <v/>
      </c>
      <c r="C393" s="22">
        <f>IF($L393="","",INDEX(HSTECH!$C$7:$C$46,$N393))</f>
        <v/>
      </c>
      <c r="D393" s="22">
        <f>IF($L393="","",INDEX(HSTECH!$D$7:$D$46,$N393))</f>
        <v/>
      </c>
      <c r="E393" s="43">
        <f>IF($L393="","",IF($P393=0,"TBA",IFERROR(INDEX(Grids!$C$116:$BO$155,$N393,$O393),"-")))</f>
        <v/>
      </c>
      <c r="F393" s="22">
        <f>IF($L393="","",INDEX(HSTECH!$F$7:$F$46,$N393))</f>
        <v/>
      </c>
      <c r="G393" s="43">
        <f>IF($L393="","",IF($P393=0,"TBA",IFERROR(INDEX(Grids!$BQ$116:$EC$155,$N393,$O393),"-")))</f>
        <v/>
      </c>
      <c r="H393" s="44">
        <f>IF($L393="","",SUM($G$316:$G393))</f>
        <v/>
      </c>
      <c r="I393" s="45">
        <f>IF($L393="","",IF(INT(($L393-INT($L393/10000000)*10000000)/1000000)=0,"Bloomberg projection",IF($P393=1,"ANNOUNCED","ANNOUNCED - amount TBA")))</f>
        <v/>
      </c>
      <c r="J393" s="46">
        <f>IF($L393="","",IF((OV_SWITCH="ON")*(COUNTIFS(OVR_TICKERS,INDEX(HSTECH!$C$7:$C$46,$N393),OVR_BASE,"&gt;=0")&gt;0)&gt;0,"stock overridden",""))</f>
        <v/>
      </c>
      <c r="L393" s="39">
        <f>IFERROR(IF(SMALL(Grids!$EE$116:$GQ$155,$M$313+78)&gt;=PEND_TO,"",SMALL(Grids!$EE$116:$GQ$155,$M$313+78)),"")</f>
        <v/>
      </c>
      <c r="M393" s="39">
        <f>IF($L393="","",INT($L393/1000000000))</f>
        <v/>
      </c>
      <c r="N393" s="39">
        <f>IF($L393="","",INT(($L393-INT($L393/1000000)*1000000)/1000))</f>
        <v/>
      </c>
      <c r="O393" s="39">
        <f>IF($L393="","",$L393-INT($L393/1000)*1000)</f>
        <v/>
      </c>
      <c r="P393" s="39">
        <f>IF($L393="","",INT(($L393-INT($L393/1000000000)*1000000000)/100000000))</f>
        <v/>
      </c>
    </row>
    <row r="394">
      <c r="B394" s="42">
        <f>IF($L394="","",$M394)</f>
        <v/>
      </c>
      <c r="C394" s="22">
        <f>IF($L394="","",INDEX(HSTECH!$C$7:$C$46,$N394))</f>
        <v/>
      </c>
      <c r="D394" s="22">
        <f>IF($L394="","",INDEX(HSTECH!$D$7:$D$46,$N394))</f>
        <v/>
      </c>
      <c r="E394" s="43">
        <f>IF($L394="","",IF($P394=0,"TBA",IFERROR(INDEX(Grids!$C$116:$BO$155,$N394,$O394),"-")))</f>
        <v/>
      </c>
      <c r="F394" s="22">
        <f>IF($L394="","",INDEX(HSTECH!$F$7:$F$46,$N394))</f>
        <v/>
      </c>
      <c r="G394" s="43">
        <f>IF($L394="","",IF($P394=0,"TBA",IFERROR(INDEX(Grids!$BQ$116:$EC$155,$N394,$O394),"-")))</f>
        <v/>
      </c>
      <c r="H394" s="44">
        <f>IF($L394="","",SUM($G$316:$G394))</f>
        <v/>
      </c>
      <c r="I394" s="45">
        <f>IF($L394="","",IF(INT(($L394-INT($L394/10000000)*10000000)/1000000)=0,"Bloomberg projection",IF($P394=1,"ANNOUNCED","ANNOUNCED - amount TBA")))</f>
        <v/>
      </c>
      <c r="J394" s="46">
        <f>IF($L394="","",IF((OV_SWITCH="ON")*(COUNTIFS(OVR_TICKERS,INDEX(HSTECH!$C$7:$C$46,$N394),OVR_BASE,"&gt;=0")&gt;0)&gt;0,"stock overridden",""))</f>
        <v/>
      </c>
      <c r="L394" s="39">
        <f>IFERROR(IF(SMALL(Grids!$EE$116:$GQ$155,$M$313+79)&gt;=PEND_TO,"",SMALL(Grids!$EE$116:$GQ$155,$M$313+79)),"")</f>
        <v/>
      </c>
      <c r="M394" s="39">
        <f>IF($L394="","",INT($L394/1000000000))</f>
        <v/>
      </c>
      <c r="N394" s="39">
        <f>IF($L394="","",INT(($L394-INT($L394/1000000)*1000000)/1000))</f>
        <v/>
      </c>
      <c r="O394" s="39">
        <f>IF($L394="","",$L394-INT($L394/1000)*1000)</f>
        <v/>
      </c>
      <c r="P394" s="39">
        <f>IF($L394="","",INT(($L394-INT($L394/1000000000)*1000000000)/100000000))</f>
        <v/>
      </c>
    </row>
    <row r="395">
      <c r="B395" s="42">
        <f>IF($L395="","",$M395)</f>
        <v/>
      </c>
      <c r="C395" s="22">
        <f>IF($L395="","",INDEX(HSTECH!$C$7:$C$46,$N395))</f>
        <v/>
      </c>
      <c r="D395" s="22">
        <f>IF($L395="","",INDEX(HSTECH!$D$7:$D$46,$N395))</f>
        <v/>
      </c>
      <c r="E395" s="43">
        <f>IF($L395="","",IF($P395=0,"TBA",IFERROR(INDEX(Grids!$C$116:$BO$155,$N395,$O395),"-")))</f>
        <v/>
      </c>
      <c r="F395" s="22">
        <f>IF($L395="","",INDEX(HSTECH!$F$7:$F$46,$N395))</f>
        <v/>
      </c>
      <c r="G395" s="43">
        <f>IF($L395="","",IF($P395=0,"TBA",IFERROR(INDEX(Grids!$BQ$116:$EC$155,$N395,$O395),"-")))</f>
        <v/>
      </c>
      <c r="H395" s="44">
        <f>IF($L395="","",SUM($G$316:$G395))</f>
        <v/>
      </c>
      <c r="I395" s="45">
        <f>IF($L395="","",IF(INT(($L395-INT($L395/10000000)*10000000)/1000000)=0,"Bloomberg projection",IF($P395=1,"ANNOUNCED","ANNOUNCED - amount TBA")))</f>
        <v/>
      </c>
      <c r="J395" s="46">
        <f>IF($L395="","",IF((OV_SWITCH="ON")*(COUNTIFS(OVR_TICKERS,INDEX(HSTECH!$C$7:$C$46,$N395),OVR_BASE,"&gt;=0")&gt;0)&gt;0,"stock overridden",""))</f>
        <v/>
      </c>
      <c r="L395" s="39">
        <f>IFERROR(IF(SMALL(Grids!$EE$116:$GQ$155,$M$313+80)&gt;=PEND_TO,"",SMALL(Grids!$EE$116:$GQ$155,$M$313+80)),"")</f>
        <v/>
      </c>
      <c r="M395" s="39">
        <f>IF($L395="","",INT($L395/1000000000))</f>
        <v/>
      </c>
      <c r="N395" s="39">
        <f>IF($L395="","",INT(($L395-INT($L395/1000000)*1000000)/1000))</f>
        <v/>
      </c>
      <c r="O395" s="39">
        <f>IF($L395="","",$L395-INT($L395/1000)*1000)</f>
        <v/>
      </c>
      <c r="P395" s="39">
        <f>IF($L395="","",INT(($L395-INT($L395/1000000000)*1000000000)/100000000))</f>
        <v/>
      </c>
    </row>
    <row r="396">
      <c r="B396" s="42">
        <f>IF($L396="","",$M396)</f>
        <v/>
      </c>
      <c r="C396" s="22">
        <f>IF($L396="","",INDEX(HSTECH!$C$7:$C$46,$N396))</f>
        <v/>
      </c>
      <c r="D396" s="22">
        <f>IF($L396="","",INDEX(HSTECH!$D$7:$D$46,$N396))</f>
        <v/>
      </c>
      <c r="E396" s="43">
        <f>IF($L396="","",IF($P396=0,"TBA",IFERROR(INDEX(Grids!$C$116:$BO$155,$N396,$O396),"-")))</f>
        <v/>
      </c>
      <c r="F396" s="22">
        <f>IF($L396="","",INDEX(HSTECH!$F$7:$F$46,$N396))</f>
        <v/>
      </c>
      <c r="G396" s="43">
        <f>IF($L396="","",IF($P396=0,"TBA",IFERROR(INDEX(Grids!$BQ$116:$EC$155,$N396,$O396),"-")))</f>
        <v/>
      </c>
      <c r="H396" s="44">
        <f>IF($L396="","",SUM($G$316:$G396))</f>
        <v/>
      </c>
      <c r="I396" s="45">
        <f>IF($L396="","",IF(INT(($L396-INT($L396/10000000)*10000000)/1000000)=0,"Bloomberg projection",IF($P396=1,"ANNOUNCED","ANNOUNCED - amount TBA")))</f>
        <v/>
      </c>
      <c r="J396" s="46">
        <f>IF($L396="","",IF((OV_SWITCH="ON")*(COUNTIFS(OVR_TICKERS,INDEX(HSTECH!$C$7:$C$46,$N396),OVR_BASE,"&gt;=0")&gt;0)&gt;0,"stock overridden",""))</f>
        <v/>
      </c>
      <c r="L396" s="39">
        <f>IFERROR(IF(SMALL(Grids!$EE$116:$GQ$155,$M$313+81)&gt;=PEND_TO,"",SMALL(Grids!$EE$116:$GQ$155,$M$313+81)),"")</f>
        <v/>
      </c>
      <c r="M396" s="39">
        <f>IF($L396="","",INT($L396/1000000000))</f>
        <v/>
      </c>
      <c r="N396" s="39">
        <f>IF($L396="","",INT(($L396-INT($L396/1000000)*1000000)/1000))</f>
        <v/>
      </c>
      <c r="O396" s="39">
        <f>IF($L396="","",$L396-INT($L396/1000)*1000)</f>
        <v/>
      </c>
      <c r="P396" s="39">
        <f>IF($L396="","",INT(($L396-INT($L396/1000000000)*1000000000)/100000000))</f>
        <v/>
      </c>
    </row>
    <row r="397">
      <c r="B397" s="42">
        <f>IF($L397="","",$M397)</f>
        <v/>
      </c>
      <c r="C397" s="22">
        <f>IF($L397="","",INDEX(HSTECH!$C$7:$C$46,$N397))</f>
        <v/>
      </c>
      <c r="D397" s="22">
        <f>IF($L397="","",INDEX(HSTECH!$D$7:$D$46,$N397))</f>
        <v/>
      </c>
      <c r="E397" s="43">
        <f>IF($L397="","",IF($P397=0,"TBA",IFERROR(INDEX(Grids!$C$116:$BO$155,$N397,$O397),"-")))</f>
        <v/>
      </c>
      <c r="F397" s="22">
        <f>IF($L397="","",INDEX(HSTECH!$F$7:$F$46,$N397))</f>
        <v/>
      </c>
      <c r="G397" s="43">
        <f>IF($L397="","",IF($P397=0,"TBA",IFERROR(INDEX(Grids!$BQ$116:$EC$155,$N397,$O397),"-")))</f>
        <v/>
      </c>
      <c r="H397" s="44">
        <f>IF($L397="","",SUM($G$316:$G397))</f>
        <v/>
      </c>
      <c r="I397" s="45">
        <f>IF($L397="","",IF(INT(($L397-INT($L397/10000000)*10000000)/1000000)=0,"Bloomberg projection",IF($P397=1,"ANNOUNCED","ANNOUNCED - amount TBA")))</f>
        <v/>
      </c>
      <c r="J397" s="46">
        <f>IF($L397="","",IF((OV_SWITCH="ON")*(COUNTIFS(OVR_TICKERS,INDEX(HSTECH!$C$7:$C$46,$N397),OVR_BASE,"&gt;=0")&gt;0)&gt;0,"stock overridden",""))</f>
        <v/>
      </c>
      <c r="L397" s="39">
        <f>IFERROR(IF(SMALL(Grids!$EE$116:$GQ$155,$M$313+82)&gt;=PEND_TO,"",SMALL(Grids!$EE$116:$GQ$155,$M$313+82)),"")</f>
        <v/>
      </c>
      <c r="M397" s="39">
        <f>IF($L397="","",INT($L397/1000000000))</f>
        <v/>
      </c>
      <c r="N397" s="39">
        <f>IF($L397="","",INT(($L397-INT($L397/1000000)*1000000)/1000))</f>
        <v/>
      </c>
      <c r="O397" s="39">
        <f>IF($L397="","",$L397-INT($L397/1000)*1000)</f>
        <v/>
      </c>
      <c r="P397" s="39">
        <f>IF($L397="","",INT(($L397-INT($L397/1000000000)*1000000000)/100000000))</f>
        <v/>
      </c>
    </row>
    <row r="398">
      <c r="B398" s="42">
        <f>IF($L398="","",$M398)</f>
        <v/>
      </c>
      <c r="C398" s="22">
        <f>IF($L398="","",INDEX(HSTECH!$C$7:$C$46,$N398))</f>
        <v/>
      </c>
      <c r="D398" s="22">
        <f>IF($L398="","",INDEX(HSTECH!$D$7:$D$46,$N398))</f>
        <v/>
      </c>
      <c r="E398" s="43">
        <f>IF($L398="","",IF($P398=0,"TBA",IFERROR(INDEX(Grids!$C$116:$BO$155,$N398,$O398),"-")))</f>
        <v/>
      </c>
      <c r="F398" s="22">
        <f>IF($L398="","",INDEX(HSTECH!$F$7:$F$46,$N398))</f>
        <v/>
      </c>
      <c r="G398" s="43">
        <f>IF($L398="","",IF($P398=0,"TBA",IFERROR(INDEX(Grids!$BQ$116:$EC$155,$N398,$O398),"-")))</f>
        <v/>
      </c>
      <c r="H398" s="44">
        <f>IF($L398="","",SUM($G$316:$G398))</f>
        <v/>
      </c>
      <c r="I398" s="45">
        <f>IF($L398="","",IF(INT(($L398-INT($L398/10000000)*10000000)/1000000)=0,"Bloomberg projection",IF($P398=1,"ANNOUNCED","ANNOUNCED - amount TBA")))</f>
        <v/>
      </c>
      <c r="J398" s="46">
        <f>IF($L398="","",IF((OV_SWITCH="ON")*(COUNTIFS(OVR_TICKERS,INDEX(HSTECH!$C$7:$C$46,$N398),OVR_BASE,"&gt;=0")&gt;0)&gt;0,"stock overridden",""))</f>
        <v/>
      </c>
      <c r="L398" s="39">
        <f>IFERROR(IF(SMALL(Grids!$EE$116:$GQ$155,$M$313+83)&gt;=PEND_TO,"",SMALL(Grids!$EE$116:$GQ$155,$M$313+83)),"")</f>
        <v/>
      </c>
      <c r="M398" s="39">
        <f>IF($L398="","",INT($L398/1000000000))</f>
        <v/>
      </c>
      <c r="N398" s="39">
        <f>IF($L398="","",INT(($L398-INT($L398/1000000)*1000000)/1000))</f>
        <v/>
      </c>
      <c r="O398" s="39">
        <f>IF($L398="","",$L398-INT($L398/1000)*1000)</f>
        <v/>
      </c>
      <c r="P398" s="39">
        <f>IF($L398="","",INT(($L398-INT($L398/1000000000)*1000000000)/100000000))</f>
        <v/>
      </c>
    </row>
    <row r="399">
      <c r="B399" s="42">
        <f>IF($L399="","",$M399)</f>
        <v/>
      </c>
      <c r="C399" s="22">
        <f>IF($L399="","",INDEX(HSTECH!$C$7:$C$46,$N399))</f>
        <v/>
      </c>
      <c r="D399" s="22">
        <f>IF($L399="","",INDEX(HSTECH!$D$7:$D$46,$N399))</f>
        <v/>
      </c>
      <c r="E399" s="43">
        <f>IF($L399="","",IF($P399=0,"TBA",IFERROR(INDEX(Grids!$C$116:$BO$155,$N399,$O399),"-")))</f>
        <v/>
      </c>
      <c r="F399" s="22">
        <f>IF($L399="","",INDEX(HSTECH!$F$7:$F$46,$N399))</f>
        <v/>
      </c>
      <c r="G399" s="43">
        <f>IF($L399="","",IF($P399=0,"TBA",IFERROR(INDEX(Grids!$BQ$116:$EC$155,$N399,$O399),"-")))</f>
        <v/>
      </c>
      <c r="H399" s="44">
        <f>IF($L399="","",SUM($G$316:$G399))</f>
        <v/>
      </c>
      <c r="I399" s="45">
        <f>IF($L399="","",IF(INT(($L399-INT($L399/10000000)*10000000)/1000000)=0,"Bloomberg projection",IF($P399=1,"ANNOUNCED","ANNOUNCED - amount TBA")))</f>
        <v/>
      </c>
      <c r="J399" s="46">
        <f>IF($L399="","",IF((OV_SWITCH="ON")*(COUNTIFS(OVR_TICKERS,INDEX(HSTECH!$C$7:$C$46,$N399),OVR_BASE,"&gt;=0")&gt;0)&gt;0,"stock overridden",""))</f>
        <v/>
      </c>
      <c r="L399" s="39">
        <f>IFERROR(IF(SMALL(Grids!$EE$116:$GQ$155,$M$313+84)&gt;=PEND_TO,"",SMALL(Grids!$EE$116:$GQ$155,$M$313+84)),"")</f>
        <v/>
      </c>
      <c r="M399" s="39">
        <f>IF($L399="","",INT($L399/1000000000))</f>
        <v/>
      </c>
      <c r="N399" s="39">
        <f>IF($L399="","",INT(($L399-INT($L399/1000000)*1000000)/1000))</f>
        <v/>
      </c>
      <c r="O399" s="39">
        <f>IF($L399="","",$L399-INT($L399/1000)*1000)</f>
        <v/>
      </c>
      <c r="P399" s="39">
        <f>IF($L399="","",INT(($L399-INT($L399/1000000000)*1000000000)/100000000))</f>
        <v/>
      </c>
    </row>
    <row r="400">
      <c r="B400" s="42">
        <f>IF($L400="","",$M400)</f>
        <v/>
      </c>
      <c r="C400" s="22">
        <f>IF($L400="","",INDEX(HSTECH!$C$7:$C$46,$N400))</f>
        <v/>
      </c>
      <c r="D400" s="22">
        <f>IF($L400="","",INDEX(HSTECH!$D$7:$D$46,$N400))</f>
        <v/>
      </c>
      <c r="E400" s="43">
        <f>IF($L400="","",IF($P400=0,"TBA",IFERROR(INDEX(Grids!$C$116:$BO$155,$N400,$O400),"-")))</f>
        <v/>
      </c>
      <c r="F400" s="22">
        <f>IF($L400="","",INDEX(HSTECH!$F$7:$F$46,$N400))</f>
        <v/>
      </c>
      <c r="G400" s="43">
        <f>IF($L400="","",IF($P400=0,"TBA",IFERROR(INDEX(Grids!$BQ$116:$EC$155,$N400,$O400),"-")))</f>
        <v/>
      </c>
      <c r="H400" s="44">
        <f>IF($L400="","",SUM($G$316:$G400))</f>
        <v/>
      </c>
      <c r="I400" s="45">
        <f>IF($L400="","",IF(INT(($L400-INT($L400/10000000)*10000000)/1000000)=0,"Bloomberg projection",IF($P400=1,"ANNOUNCED","ANNOUNCED - amount TBA")))</f>
        <v/>
      </c>
      <c r="J400" s="46">
        <f>IF($L400="","",IF((OV_SWITCH="ON")*(COUNTIFS(OVR_TICKERS,INDEX(HSTECH!$C$7:$C$46,$N400),OVR_BASE,"&gt;=0")&gt;0)&gt;0,"stock overridden",""))</f>
        <v/>
      </c>
      <c r="L400" s="39">
        <f>IFERROR(IF(SMALL(Grids!$EE$116:$GQ$155,$M$313+85)&gt;=PEND_TO,"",SMALL(Grids!$EE$116:$GQ$155,$M$313+85)),"")</f>
        <v/>
      </c>
      <c r="M400" s="39">
        <f>IF($L400="","",INT($L400/1000000000))</f>
        <v/>
      </c>
      <c r="N400" s="39">
        <f>IF($L400="","",INT(($L400-INT($L400/1000000)*1000000)/1000))</f>
        <v/>
      </c>
      <c r="O400" s="39">
        <f>IF($L400="","",$L400-INT($L400/1000)*1000)</f>
        <v/>
      </c>
      <c r="P400" s="39">
        <f>IF($L400="","",INT(($L400-INT($L400/1000000000)*1000000000)/100000000))</f>
        <v/>
      </c>
    </row>
    <row r="401">
      <c r="B401" s="42">
        <f>IF($L401="","",$M401)</f>
        <v/>
      </c>
      <c r="C401" s="22">
        <f>IF($L401="","",INDEX(HSTECH!$C$7:$C$46,$N401))</f>
        <v/>
      </c>
      <c r="D401" s="22">
        <f>IF($L401="","",INDEX(HSTECH!$D$7:$D$46,$N401))</f>
        <v/>
      </c>
      <c r="E401" s="43">
        <f>IF($L401="","",IF($P401=0,"TBA",IFERROR(INDEX(Grids!$C$116:$BO$155,$N401,$O401),"-")))</f>
        <v/>
      </c>
      <c r="F401" s="22">
        <f>IF($L401="","",INDEX(HSTECH!$F$7:$F$46,$N401))</f>
        <v/>
      </c>
      <c r="G401" s="43">
        <f>IF($L401="","",IF($P401=0,"TBA",IFERROR(INDEX(Grids!$BQ$116:$EC$155,$N401,$O401),"-")))</f>
        <v/>
      </c>
      <c r="H401" s="44">
        <f>IF($L401="","",SUM($G$316:$G401))</f>
        <v/>
      </c>
      <c r="I401" s="45">
        <f>IF($L401="","",IF(INT(($L401-INT($L401/10000000)*10000000)/1000000)=0,"Bloomberg projection",IF($P401=1,"ANNOUNCED","ANNOUNCED - amount TBA")))</f>
        <v/>
      </c>
      <c r="J401" s="46">
        <f>IF($L401="","",IF((OV_SWITCH="ON")*(COUNTIFS(OVR_TICKERS,INDEX(HSTECH!$C$7:$C$46,$N401),OVR_BASE,"&gt;=0")&gt;0)&gt;0,"stock overridden",""))</f>
        <v/>
      </c>
      <c r="L401" s="39">
        <f>IFERROR(IF(SMALL(Grids!$EE$116:$GQ$155,$M$313+86)&gt;=PEND_TO,"",SMALL(Grids!$EE$116:$GQ$155,$M$313+86)),"")</f>
        <v/>
      </c>
      <c r="M401" s="39">
        <f>IF($L401="","",INT($L401/1000000000))</f>
        <v/>
      </c>
      <c r="N401" s="39">
        <f>IF($L401="","",INT(($L401-INT($L401/1000000)*1000000)/1000))</f>
        <v/>
      </c>
      <c r="O401" s="39">
        <f>IF($L401="","",$L401-INT($L401/1000)*1000)</f>
        <v/>
      </c>
      <c r="P401" s="39">
        <f>IF($L401="","",INT(($L401-INT($L401/1000000000)*1000000000)/100000000))</f>
        <v/>
      </c>
    </row>
    <row r="402">
      <c r="B402" s="42">
        <f>IF($L402="","",$M402)</f>
        <v/>
      </c>
      <c r="C402" s="22">
        <f>IF($L402="","",INDEX(HSTECH!$C$7:$C$46,$N402))</f>
        <v/>
      </c>
      <c r="D402" s="22">
        <f>IF($L402="","",INDEX(HSTECH!$D$7:$D$46,$N402))</f>
        <v/>
      </c>
      <c r="E402" s="43">
        <f>IF($L402="","",IF($P402=0,"TBA",IFERROR(INDEX(Grids!$C$116:$BO$155,$N402,$O402),"-")))</f>
        <v/>
      </c>
      <c r="F402" s="22">
        <f>IF($L402="","",INDEX(HSTECH!$F$7:$F$46,$N402))</f>
        <v/>
      </c>
      <c r="G402" s="43">
        <f>IF($L402="","",IF($P402=0,"TBA",IFERROR(INDEX(Grids!$BQ$116:$EC$155,$N402,$O402),"-")))</f>
        <v/>
      </c>
      <c r="H402" s="44">
        <f>IF($L402="","",SUM($G$316:$G402))</f>
        <v/>
      </c>
      <c r="I402" s="45">
        <f>IF($L402="","",IF(INT(($L402-INT($L402/10000000)*10000000)/1000000)=0,"Bloomberg projection",IF($P402=1,"ANNOUNCED","ANNOUNCED - amount TBA")))</f>
        <v/>
      </c>
      <c r="J402" s="46">
        <f>IF($L402="","",IF((OV_SWITCH="ON")*(COUNTIFS(OVR_TICKERS,INDEX(HSTECH!$C$7:$C$46,$N402),OVR_BASE,"&gt;=0")&gt;0)&gt;0,"stock overridden",""))</f>
        <v/>
      </c>
      <c r="L402" s="39">
        <f>IFERROR(IF(SMALL(Grids!$EE$116:$GQ$155,$M$313+87)&gt;=PEND_TO,"",SMALL(Grids!$EE$116:$GQ$155,$M$313+87)),"")</f>
        <v/>
      </c>
      <c r="M402" s="39">
        <f>IF($L402="","",INT($L402/1000000000))</f>
        <v/>
      </c>
      <c r="N402" s="39">
        <f>IF($L402="","",INT(($L402-INT($L402/1000000)*1000000)/1000))</f>
        <v/>
      </c>
      <c r="O402" s="39">
        <f>IF($L402="","",$L402-INT($L402/1000)*1000)</f>
        <v/>
      </c>
      <c r="P402" s="39">
        <f>IF($L402="","",INT(($L402-INT($L402/1000000000)*1000000000)/100000000))</f>
        <v/>
      </c>
    </row>
    <row r="403">
      <c r="B403" s="42">
        <f>IF($L403="","",$M403)</f>
        <v/>
      </c>
      <c r="C403" s="22">
        <f>IF($L403="","",INDEX(HSTECH!$C$7:$C$46,$N403))</f>
        <v/>
      </c>
      <c r="D403" s="22">
        <f>IF($L403="","",INDEX(HSTECH!$D$7:$D$46,$N403))</f>
        <v/>
      </c>
      <c r="E403" s="43">
        <f>IF($L403="","",IF($P403=0,"TBA",IFERROR(INDEX(Grids!$C$116:$BO$155,$N403,$O403),"-")))</f>
        <v/>
      </c>
      <c r="F403" s="22">
        <f>IF($L403="","",INDEX(HSTECH!$F$7:$F$46,$N403))</f>
        <v/>
      </c>
      <c r="G403" s="43">
        <f>IF($L403="","",IF($P403=0,"TBA",IFERROR(INDEX(Grids!$BQ$116:$EC$155,$N403,$O403),"-")))</f>
        <v/>
      </c>
      <c r="H403" s="44">
        <f>IF($L403="","",SUM($G$316:$G403))</f>
        <v/>
      </c>
      <c r="I403" s="45">
        <f>IF($L403="","",IF(INT(($L403-INT($L403/10000000)*10000000)/1000000)=0,"Bloomberg projection",IF($P403=1,"ANNOUNCED","ANNOUNCED - amount TBA")))</f>
        <v/>
      </c>
      <c r="J403" s="46">
        <f>IF($L403="","",IF((OV_SWITCH="ON")*(COUNTIFS(OVR_TICKERS,INDEX(HSTECH!$C$7:$C$46,$N403),OVR_BASE,"&gt;=0")&gt;0)&gt;0,"stock overridden",""))</f>
        <v/>
      </c>
      <c r="L403" s="39">
        <f>IFERROR(IF(SMALL(Grids!$EE$116:$GQ$155,$M$313+88)&gt;=PEND_TO,"",SMALL(Grids!$EE$116:$GQ$155,$M$313+88)),"")</f>
        <v/>
      </c>
      <c r="M403" s="39">
        <f>IF($L403="","",INT($L403/1000000000))</f>
        <v/>
      </c>
      <c r="N403" s="39">
        <f>IF($L403="","",INT(($L403-INT($L403/1000000)*1000000)/1000))</f>
        <v/>
      </c>
      <c r="O403" s="39">
        <f>IF($L403="","",$L403-INT($L403/1000)*1000)</f>
        <v/>
      </c>
      <c r="P403" s="39">
        <f>IF($L403="","",INT(($L403-INT($L403/1000000000)*1000000000)/100000000))</f>
        <v/>
      </c>
    </row>
    <row r="404">
      <c r="B404" s="42">
        <f>IF($L404="","",$M404)</f>
        <v/>
      </c>
      <c r="C404" s="22">
        <f>IF($L404="","",INDEX(HSTECH!$C$7:$C$46,$N404))</f>
        <v/>
      </c>
      <c r="D404" s="22">
        <f>IF($L404="","",INDEX(HSTECH!$D$7:$D$46,$N404))</f>
        <v/>
      </c>
      <c r="E404" s="43">
        <f>IF($L404="","",IF($P404=0,"TBA",IFERROR(INDEX(Grids!$C$116:$BO$155,$N404,$O404),"-")))</f>
        <v/>
      </c>
      <c r="F404" s="22">
        <f>IF($L404="","",INDEX(HSTECH!$F$7:$F$46,$N404))</f>
        <v/>
      </c>
      <c r="G404" s="43">
        <f>IF($L404="","",IF($P404=0,"TBA",IFERROR(INDEX(Grids!$BQ$116:$EC$155,$N404,$O404),"-")))</f>
        <v/>
      </c>
      <c r="H404" s="44">
        <f>IF($L404="","",SUM($G$316:$G404))</f>
        <v/>
      </c>
      <c r="I404" s="45">
        <f>IF($L404="","",IF(INT(($L404-INT($L404/10000000)*10000000)/1000000)=0,"Bloomberg projection",IF($P404=1,"ANNOUNCED","ANNOUNCED - amount TBA")))</f>
        <v/>
      </c>
      <c r="J404" s="46">
        <f>IF($L404="","",IF((OV_SWITCH="ON")*(COUNTIFS(OVR_TICKERS,INDEX(HSTECH!$C$7:$C$46,$N404),OVR_BASE,"&gt;=0")&gt;0)&gt;0,"stock overridden",""))</f>
        <v/>
      </c>
      <c r="L404" s="39">
        <f>IFERROR(IF(SMALL(Grids!$EE$116:$GQ$155,$M$313+89)&gt;=PEND_TO,"",SMALL(Grids!$EE$116:$GQ$155,$M$313+89)),"")</f>
        <v/>
      </c>
      <c r="M404" s="39">
        <f>IF($L404="","",INT($L404/1000000000))</f>
        <v/>
      </c>
      <c r="N404" s="39">
        <f>IF($L404="","",INT(($L404-INT($L404/1000000)*1000000)/1000))</f>
        <v/>
      </c>
      <c r="O404" s="39">
        <f>IF($L404="","",$L404-INT($L404/1000)*1000)</f>
        <v/>
      </c>
      <c r="P404" s="39">
        <f>IF($L404="","",INT(($L404-INT($L404/1000000000)*1000000000)/100000000))</f>
        <v/>
      </c>
    </row>
    <row r="405">
      <c r="B405" s="42">
        <f>IF($L405="","",$M405)</f>
        <v/>
      </c>
      <c r="C405" s="22">
        <f>IF($L405="","",INDEX(HSTECH!$C$7:$C$46,$N405))</f>
        <v/>
      </c>
      <c r="D405" s="22">
        <f>IF($L405="","",INDEX(HSTECH!$D$7:$D$46,$N405))</f>
        <v/>
      </c>
      <c r="E405" s="43">
        <f>IF($L405="","",IF($P405=0,"TBA",IFERROR(INDEX(Grids!$C$116:$BO$155,$N405,$O405),"-")))</f>
        <v/>
      </c>
      <c r="F405" s="22">
        <f>IF($L405="","",INDEX(HSTECH!$F$7:$F$46,$N405))</f>
        <v/>
      </c>
      <c r="G405" s="43">
        <f>IF($L405="","",IF($P405=0,"TBA",IFERROR(INDEX(Grids!$BQ$116:$EC$155,$N405,$O405),"-")))</f>
        <v/>
      </c>
      <c r="H405" s="44">
        <f>IF($L405="","",SUM($G$316:$G405))</f>
        <v/>
      </c>
      <c r="I405" s="45">
        <f>IF($L405="","",IF(INT(($L405-INT($L405/10000000)*10000000)/1000000)=0,"Bloomberg projection",IF($P405=1,"ANNOUNCED","ANNOUNCED - amount TBA")))</f>
        <v/>
      </c>
      <c r="J405" s="46">
        <f>IF($L405="","",IF((OV_SWITCH="ON")*(COUNTIFS(OVR_TICKERS,INDEX(HSTECH!$C$7:$C$46,$N405),OVR_BASE,"&gt;=0")&gt;0)&gt;0,"stock overridden",""))</f>
        <v/>
      </c>
      <c r="L405" s="39">
        <f>IFERROR(IF(SMALL(Grids!$EE$116:$GQ$155,$M$313+90)&gt;=PEND_TO,"",SMALL(Grids!$EE$116:$GQ$155,$M$313+90)),"")</f>
        <v/>
      </c>
      <c r="M405" s="39">
        <f>IF($L405="","",INT($L405/1000000000))</f>
        <v/>
      </c>
      <c r="N405" s="39">
        <f>IF($L405="","",INT(($L405-INT($L405/1000000)*1000000)/1000))</f>
        <v/>
      </c>
      <c r="O405" s="39">
        <f>IF($L405="","",$L405-INT($L405/1000)*1000)</f>
        <v/>
      </c>
      <c r="P405" s="39">
        <f>IF($L405="","",INT(($L405-INT($L405/1000000000)*1000000000)/100000000))</f>
        <v/>
      </c>
    </row>
    <row r="406">
      <c r="B406" s="42">
        <f>IF($L406="","",$M406)</f>
        <v/>
      </c>
      <c r="C406" s="22">
        <f>IF($L406="","",INDEX(HSTECH!$C$7:$C$46,$N406))</f>
        <v/>
      </c>
      <c r="D406" s="22">
        <f>IF($L406="","",INDEX(HSTECH!$D$7:$D$46,$N406))</f>
        <v/>
      </c>
      <c r="E406" s="43">
        <f>IF($L406="","",IF($P406=0,"TBA",IFERROR(INDEX(Grids!$C$116:$BO$155,$N406,$O406),"-")))</f>
        <v/>
      </c>
      <c r="F406" s="22">
        <f>IF($L406="","",INDEX(HSTECH!$F$7:$F$46,$N406))</f>
        <v/>
      </c>
      <c r="G406" s="43">
        <f>IF($L406="","",IF($P406=0,"TBA",IFERROR(INDEX(Grids!$BQ$116:$EC$155,$N406,$O406),"-")))</f>
        <v/>
      </c>
      <c r="H406" s="44">
        <f>IF($L406="","",SUM($G$316:$G406))</f>
        <v/>
      </c>
      <c r="I406" s="45">
        <f>IF($L406="","",IF(INT(($L406-INT($L406/10000000)*10000000)/1000000)=0,"Bloomberg projection",IF($P406=1,"ANNOUNCED","ANNOUNCED - amount TBA")))</f>
        <v/>
      </c>
      <c r="J406" s="46">
        <f>IF($L406="","",IF((OV_SWITCH="ON")*(COUNTIFS(OVR_TICKERS,INDEX(HSTECH!$C$7:$C$46,$N406),OVR_BASE,"&gt;=0")&gt;0)&gt;0,"stock overridden",""))</f>
        <v/>
      </c>
      <c r="L406" s="39">
        <f>IFERROR(IF(SMALL(Grids!$EE$116:$GQ$155,$M$313+91)&gt;=PEND_TO,"",SMALL(Grids!$EE$116:$GQ$155,$M$313+91)),"")</f>
        <v/>
      </c>
      <c r="M406" s="39">
        <f>IF($L406="","",INT($L406/1000000000))</f>
        <v/>
      </c>
      <c r="N406" s="39">
        <f>IF($L406="","",INT(($L406-INT($L406/1000000)*1000000)/1000))</f>
        <v/>
      </c>
      <c r="O406" s="39">
        <f>IF($L406="","",$L406-INT($L406/1000)*1000)</f>
        <v/>
      </c>
      <c r="P406" s="39">
        <f>IF($L406="","",INT(($L406-INT($L406/1000000000)*1000000000)/100000000))</f>
        <v/>
      </c>
    </row>
    <row r="407">
      <c r="B407" s="42">
        <f>IF($L407="","",$M407)</f>
        <v/>
      </c>
      <c r="C407" s="22">
        <f>IF($L407="","",INDEX(HSTECH!$C$7:$C$46,$N407))</f>
        <v/>
      </c>
      <c r="D407" s="22">
        <f>IF($L407="","",INDEX(HSTECH!$D$7:$D$46,$N407))</f>
        <v/>
      </c>
      <c r="E407" s="43">
        <f>IF($L407="","",IF($P407=0,"TBA",IFERROR(INDEX(Grids!$C$116:$BO$155,$N407,$O407),"-")))</f>
        <v/>
      </c>
      <c r="F407" s="22">
        <f>IF($L407="","",INDEX(HSTECH!$F$7:$F$46,$N407))</f>
        <v/>
      </c>
      <c r="G407" s="43">
        <f>IF($L407="","",IF($P407=0,"TBA",IFERROR(INDEX(Grids!$BQ$116:$EC$155,$N407,$O407),"-")))</f>
        <v/>
      </c>
      <c r="H407" s="44">
        <f>IF($L407="","",SUM($G$316:$G407))</f>
        <v/>
      </c>
      <c r="I407" s="45">
        <f>IF($L407="","",IF(INT(($L407-INT($L407/10000000)*10000000)/1000000)=0,"Bloomberg projection",IF($P407=1,"ANNOUNCED","ANNOUNCED - amount TBA")))</f>
        <v/>
      </c>
      <c r="J407" s="46">
        <f>IF($L407="","",IF((OV_SWITCH="ON")*(COUNTIFS(OVR_TICKERS,INDEX(HSTECH!$C$7:$C$46,$N407),OVR_BASE,"&gt;=0")&gt;0)&gt;0,"stock overridden",""))</f>
        <v/>
      </c>
      <c r="L407" s="39">
        <f>IFERROR(IF(SMALL(Grids!$EE$116:$GQ$155,$M$313+92)&gt;=PEND_TO,"",SMALL(Grids!$EE$116:$GQ$155,$M$313+92)),"")</f>
        <v/>
      </c>
      <c r="M407" s="39">
        <f>IF($L407="","",INT($L407/1000000000))</f>
        <v/>
      </c>
      <c r="N407" s="39">
        <f>IF($L407="","",INT(($L407-INT($L407/1000000)*1000000)/1000))</f>
        <v/>
      </c>
      <c r="O407" s="39">
        <f>IF($L407="","",$L407-INT($L407/1000)*1000)</f>
        <v/>
      </c>
      <c r="P407" s="39">
        <f>IF($L407="","",INT(($L407-INT($L407/1000000000)*1000000000)/100000000))</f>
        <v/>
      </c>
    </row>
    <row r="408">
      <c r="B408" s="42">
        <f>IF($L408="","",$M408)</f>
        <v/>
      </c>
      <c r="C408" s="22">
        <f>IF($L408="","",INDEX(HSTECH!$C$7:$C$46,$N408))</f>
        <v/>
      </c>
      <c r="D408" s="22">
        <f>IF($L408="","",INDEX(HSTECH!$D$7:$D$46,$N408))</f>
        <v/>
      </c>
      <c r="E408" s="43">
        <f>IF($L408="","",IF($P408=0,"TBA",IFERROR(INDEX(Grids!$C$116:$BO$155,$N408,$O408),"-")))</f>
        <v/>
      </c>
      <c r="F408" s="22">
        <f>IF($L408="","",INDEX(HSTECH!$F$7:$F$46,$N408))</f>
        <v/>
      </c>
      <c r="G408" s="43">
        <f>IF($L408="","",IF($P408=0,"TBA",IFERROR(INDEX(Grids!$BQ$116:$EC$155,$N408,$O408),"-")))</f>
        <v/>
      </c>
      <c r="H408" s="44">
        <f>IF($L408="","",SUM($G$316:$G408))</f>
        <v/>
      </c>
      <c r="I408" s="45">
        <f>IF($L408="","",IF(INT(($L408-INT($L408/10000000)*10000000)/1000000)=0,"Bloomberg projection",IF($P408=1,"ANNOUNCED","ANNOUNCED - amount TBA")))</f>
        <v/>
      </c>
      <c r="J408" s="46">
        <f>IF($L408="","",IF((OV_SWITCH="ON")*(COUNTIFS(OVR_TICKERS,INDEX(HSTECH!$C$7:$C$46,$N408),OVR_BASE,"&gt;=0")&gt;0)&gt;0,"stock overridden",""))</f>
        <v/>
      </c>
      <c r="L408" s="39">
        <f>IFERROR(IF(SMALL(Grids!$EE$116:$GQ$155,$M$313+93)&gt;=PEND_TO,"",SMALL(Grids!$EE$116:$GQ$155,$M$313+93)),"")</f>
        <v/>
      </c>
      <c r="M408" s="39">
        <f>IF($L408="","",INT($L408/1000000000))</f>
        <v/>
      </c>
      <c r="N408" s="39">
        <f>IF($L408="","",INT(($L408-INT($L408/1000000)*1000000)/1000))</f>
        <v/>
      </c>
      <c r="O408" s="39">
        <f>IF($L408="","",$L408-INT($L408/1000)*1000)</f>
        <v/>
      </c>
      <c r="P408" s="39">
        <f>IF($L408="","",INT(($L408-INT($L408/1000000000)*1000000000)/100000000))</f>
        <v/>
      </c>
    </row>
    <row r="409">
      <c r="B409" s="42">
        <f>IF($L409="","",$M409)</f>
        <v/>
      </c>
      <c r="C409" s="22">
        <f>IF($L409="","",INDEX(HSTECH!$C$7:$C$46,$N409))</f>
        <v/>
      </c>
      <c r="D409" s="22">
        <f>IF($L409="","",INDEX(HSTECH!$D$7:$D$46,$N409))</f>
        <v/>
      </c>
      <c r="E409" s="43">
        <f>IF($L409="","",IF($P409=0,"TBA",IFERROR(INDEX(Grids!$C$116:$BO$155,$N409,$O409),"-")))</f>
        <v/>
      </c>
      <c r="F409" s="22">
        <f>IF($L409="","",INDEX(HSTECH!$F$7:$F$46,$N409))</f>
        <v/>
      </c>
      <c r="G409" s="43">
        <f>IF($L409="","",IF($P409=0,"TBA",IFERROR(INDEX(Grids!$BQ$116:$EC$155,$N409,$O409),"-")))</f>
        <v/>
      </c>
      <c r="H409" s="44">
        <f>IF($L409="","",SUM($G$316:$G409))</f>
        <v/>
      </c>
      <c r="I409" s="45">
        <f>IF($L409="","",IF(INT(($L409-INT($L409/10000000)*10000000)/1000000)=0,"Bloomberg projection",IF($P409=1,"ANNOUNCED","ANNOUNCED - amount TBA")))</f>
        <v/>
      </c>
      <c r="J409" s="46">
        <f>IF($L409="","",IF((OV_SWITCH="ON")*(COUNTIFS(OVR_TICKERS,INDEX(HSTECH!$C$7:$C$46,$N409),OVR_BASE,"&gt;=0")&gt;0)&gt;0,"stock overridden",""))</f>
        <v/>
      </c>
      <c r="L409" s="39">
        <f>IFERROR(IF(SMALL(Grids!$EE$116:$GQ$155,$M$313+94)&gt;=PEND_TO,"",SMALL(Grids!$EE$116:$GQ$155,$M$313+94)),"")</f>
        <v/>
      </c>
      <c r="M409" s="39">
        <f>IF($L409="","",INT($L409/1000000000))</f>
        <v/>
      </c>
      <c r="N409" s="39">
        <f>IF($L409="","",INT(($L409-INT($L409/1000000)*1000000)/1000))</f>
        <v/>
      </c>
      <c r="O409" s="39">
        <f>IF($L409="","",$L409-INT($L409/1000)*1000)</f>
        <v/>
      </c>
      <c r="P409" s="39">
        <f>IF($L409="","",INT(($L409-INT($L409/1000000000)*1000000000)/100000000))</f>
        <v/>
      </c>
    </row>
    <row r="410">
      <c r="B410" s="42">
        <f>IF($L410="","",$M410)</f>
        <v/>
      </c>
      <c r="C410" s="22">
        <f>IF($L410="","",INDEX(HSTECH!$C$7:$C$46,$N410))</f>
        <v/>
      </c>
      <c r="D410" s="22">
        <f>IF($L410="","",INDEX(HSTECH!$D$7:$D$46,$N410))</f>
        <v/>
      </c>
      <c r="E410" s="43">
        <f>IF($L410="","",IF($P410=0,"TBA",IFERROR(INDEX(Grids!$C$116:$BO$155,$N410,$O410),"-")))</f>
        <v/>
      </c>
      <c r="F410" s="22">
        <f>IF($L410="","",INDEX(HSTECH!$F$7:$F$46,$N410))</f>
        <v/>
      </c>
      <c r="G410" s="43">
        <f>IF($L410="","",IF($P410=0,"TBA",IFERROR(INDEX(Grids!$BQ$116:$EC$155,$N410,$O410),"-")))</f>
        <v/>
      </c>
      <c r="H410" s="44">
        <f>IF($L410="","",SUM($G$316:$G410))</f>
        <v/>
      </c>
      <c r="I410" s="45">
        <f>IF($L410="","",IF(INT(($L410-INT($L410/10000000)*10000000)/1000000)=0,"Bloomberg projection",IF($P410=1,"ANNOUNCED","ANNOUNCED - amount TBA")))</f>
        <v/>
      </c>
      <c r="J410" s="46">
        <f>IF($L410="","",IF((OV_SWITCH="ON")*(COUNTIFS(OVR_TICKERS,INDEX(HSTECH!$C$7:$C$46,$N410),OVR_BASE,"&gt;=0")&gt;0)&gt;0,"stock overridden",""))</f>
        <v/>
      </c>
      <c r="L410" s="39">
        <f>IFERROR(IF(SMALL(Grids!$EE$116:$GQ$155,$M$313+95)&gt;=PEND_TO,"",SMALL(Grids!$EE$116:$GQ$155,$M$313+95)),"")</f>
        <v/>
      </c>
      <c r="M410" s="39">
        <f>IF($L410="","",INT($L410/1000000000))</f>
        <v/>
      </c>
      <c r="N410" s="39">
        <f>IF($L410="","",INT(($L410-INT($L410/1000000)*1000000)/1000))</f>
        <v/>
      </c>
      <c r="O410" s="39">
        <f>IF($L410="","",$L410-INT($L410/1000)*1000)</f>
        <v/>
      </c>
      <c r="P410" s="39">
        <f>IF($L410="","",INT(($L410-INT($L410/1000000000)*1000000000)/100000000))</f>
        <v/>
      </c>
    </row>
    <row r="411">
      <c r="B411" s="42">
        <f>IF($L411="","",$M411)</f>
        <v/>
      </c>
      <c r="C411" s="22">
        <f>IF($L411="","",INDEX(HSTECH!$C$7:$C$46,$N411))</f>
        <v/>
      </c>
      <c r="D411" s="22">
        <f>IF($L411="","",INDEX(HSTECH!$D$7:$D$46,$N411))</f>
        <v/>
      </c>
      <c r="E411" s="43">
        <f>IF($L411="","",IF($P411=0,"TBA",IFERROR(INDEX(Grids!$C$116:$BO$155,$N411,$O411),"-")))</f>
        <v/>
      </c>
      <c r="F411" s="22">
        <f>IF($L411="","",INDEX(HSTECH!$F$7:$F$46,$N411))</f>
        <v/>
      </c>
      <c r="G411" s="43">
        <f>IF($L411="","",IF($P411=0,"TBA",IFERROR(INDEX(Grids!$BQ$116:$EC$155,$N411,$O411),"-")))</f>
        <v/>
      </c>
      <c r="H411" s="44">
        <f>IF($L411="","",SUM($G$316:$G411))</f>
        <v/>
      </c>
      <c r="I411" s="45">
        <f>IF($L411="","",IF(INT(($L411-INT($L411/10000000)*10000000)/1000000)=0,"Bloomberg projection",IF($P411=1,"ANNOUNCED","ANNOUNCED - amount TBA")))</f>
        <v/>
      </c>
      <c r="J411" s="46">
        <f>IF($L411="","",IF((OV_SWITCH="ON")*(COUNTIFS(OVR_TICKERS,INDEX(HSTECH!$C$7:$C$46,$N411),OVR_BASE,"&gt;=0")&gt;0)&gt;0,"stock overridden",""))</f>
        <v/>
      </c>
      <c r="L411" s="39">
        <f>IFERROR(IF(SMALL(Grids!$EE$116:$GQ$155,$M$313+96)&gt;=PEND_TO,"",SMALL(Grids!$EE$116:$GQ$155,$M$313+96)),"")</f>
        <v/>
      </c>
      <c r="M411" s="39">
        <f>IF($L411="","",INT($L411/1000000000))</f>
        <v/>
      </c>
      <c r="N411" s="39">
        <f>IF($L411="","",INT(($L411-INT($L411/1000000)*1000000)/1000))</f>
        <v/>
      </c>
      <c r="O411" s="39">
        <f>IF($L411="","",$L411-INT($L411/1000)*1000)</f>
        <v/>
      </c>
      <c r="P411" s="39">
        <f>IF($L411="","",INT(($L411-INT($L411/1000000000)*1000000000)/100000000))</f>
        <v/>
      </c>
    </row>
    <row r="412">
      <c r="B412" s="42">
        <f>IF($L412="","",$M412)</f>
        <v/>
      </c>
      <c r="C412" s="22">
        <f>IF($L412="","",INDEX(HSTECH!$C$7:$C$46,$N412))</f>
        <v/>
      </c>
      <c r="D412" s="22">
        <f>IF($L412="","",INDEX(HSTECH!$D$7:$D$46,$N412))</f>
        <v/>
      </c>
      <c r="E412" s="43">
        <f>IF($L412="","",IF($P412=0,"TBA",IFERROR(INDEX(Grids!$C$116:$BO$155,$N412,$O412),"-")))</f>
        <v/>
      </c>
      <c r="F412" s="22">
        <f>IF($L412="","",INDEX(HSTECH!$F$7:$F$46,$N412))</f>
        <v/>
      </c>
      <c r="G412" s="43">
        <f>IF($L412="","",IF($P412=0,"TBA",IFERROR(INDEX(Grids!$BQ$116:$EC$155,$N412,$O412),"-")))</f>
        <v/>
      </c>
      <c r="H412" s="44">
        <f>IF($L412="","",SUM($G$316:$G412))</f>
        <v/>
      </c>
      <c r="I412" s="45">
        <f>IF($L412="","",IF(INT(($L412-INT($L412/10000000)*10000000)/1000000)=0,"Bloomberg projection",IF($P412=1,"ANNOUNCED","ANNOUNCED - amount TBA")))</f>
        <v/>
      </c>
      <c r="J412" s="46">
        <f>IF($L412="","",IF((OV_SWITCH="ON")*(COUNTIFS(OVR_TICKERS,INDEX(HSTECH!$C$7:$C$46,$N412),OVR_BASE,"&gt;=0")&gt;0)&gt;0,"stock overridden",""))</f>
        <v/>
      </c>
      <c r="L412" s="39">
        <f>IFERROR(IF(SMALL(Grids!$EE$116:$GQ$155,$M$313+97)&gt;=PEND_TO,"",SMALL(Grids!$EE$116:$GQ$155,$M$313+97)),"")</f>
        <v/>
      </c>
      <c r="M412" s="39">
        <f>IF($L412="","",INT($L412/1000000000))</f>
        <v/>
      </c>
      <c r="N412" s="39">
        <f>IF($L412="","",INT(($L412-INT($L412/1000000)*1000000)/1000))</f>
        <v/>
      </c>
      <c r="O412" s="39">
        <f>IF($L412="","",$L412-INT($L412/1000)*1000)</f>
        <v/>
      </c>
      <c r="P412" s="39">
        <f>IF($L412="","",INT(($L412-INT($L412/1000000000)*1000000000)/100000000))</f>
        <v/>
      </c>
    </row>
    <row r="413">
      <c r="B413" s="42">
        <f>IF($L413="","",$M413)</f>
        <v/>
      </c>
      <c r="C413" s="22">
        <f>IF($L413="","",INDEX(HSTECH!$C$7:$C$46,$N413))</f>
        <v/>
      </c>
      <c r="D413" s="22">
        <f>IF($L413="","",INDEX(HSTECH!$D$7:$D$46,$N413))</f>
        <v/>
      </c>
      <c r="E413" s="43">
        <f>IF($L413="","",IF($P413=0,"TBA",IFERROR(INDEX(Grids!$C$116:$BO$155,$N413,$O413),"-")))</f>
        <v/>
      </c>
      <c r="F413" s="22">
        <f>IF($L413="","",INDEX(HSTECH!$F$7:$F$46,$N413))</f>
        <v/>
      </c>
      <c r="G413" s="43">
        <f>IF($L413="","",IF($P413=0,"TBA",IFERROR(INDEX(Grids!$BQ$116:$EC$155,$N413,$O413),"-")))</f>
        <v/>
      </c>
      <c r="H413" s="44">
        <f>IF($L413="","",SUM($G$316:$G413))</f>
        <v/>
      </c>
      <c r="I413" s="45">
        <f>IF($L413="","",IF(INT(($L413-INT($L413/10000000)*10000000)/1000000)=0,"Bloomberg projection",IF($P413=1,"ANNOUNCED","ANNOUNCED - amount TBA")))</f>
        <v/>
      </c>
      <c r="J413" s="46">
        <f>IF($L413="","",IF((OV_SWITCH="ON")*(COUNTIFS(OVR_TICKERS,INDEX(HSTECH!$C$7:$C$46,$N413),OVR_BASE,"&gt;=0")&gt;0)&gt;0,"stock overridden",""))</f>
        <v/>
      </c>
      <c r="L413" s="39">
        <f>IFERROR(IF(SMALL(Grids!$EE$116:$GQ$155,$M$313+98)&gt;=PEND_TO,"",SMALL(Grids!$EE$116:$GQ$155,$M$313+98)),"")</f>
        <v/>
      </c>
      <c r="M413" s="39">
        <f>IF($L413="","",INT($L413/1000000000))</f>
        <v/>
      </c>
      <c r="N413" s="39">
        <f>IF($L413="","",INT(($L413-INT($L413/1000000)*1000000)/1000))</f>
        <v/>
      </c>
      <c r="O413" s="39">
        <f>IF($L413="","",$L413-INT($L413/1000)*1000)</f>
        <v/>
      </c>
      <c r="P413" s="39">
        <f>IF($L413="","",INT(($L413-INT($L413/1000000000)*1000000000)/100000000))</f>
        <v/>
      </c>
    </row>
    <row r="414">
      <c r="B414" s="42">
        <f>IF($L414="","",$M414)</f>
        <v/>
      </c>
      <c r="C414" s="22">
        <f>IF($L414="","",INDEX(HSTECH!$C$7:$C$46,$N414))</f>
        <v/>
      </c>
      <c r="D414" s="22">
        <f>IF($L414="","",INDEX(HSTECH!$D$7:$D$46,$N414))</f>
        <v/>
      </c>
      <c r="E414" s="43">
        <f>IF($L414="","",IF($P414=0,"TBA",IFERROR(INDEX(Grids!$C$116:$BO$155,$N414,$O414),"-")))</f>
        <v/>
      </c>
      <c r="F414" s="22">
        <f>IF($L414="","",INDEX(HSTECH!$F$7:$F$46,$N414))</f>
        <v/>
      </c>
      <c r="G414" s="43">
        <f>IF($L414="","",IF($P414=0,"TBA",IFERROR(INDEX(Grids!$BQ$116:$EC$155,$N414,$O414),"-")))</f>
        <v/>
      </c>
      <c r="H414" s="44">
        <f>IF($L414="","",SUM($G$316:$G414))</f>
        <v/>
      </c>
      <c r="I414" s="45">
        <f>IF($L414="","",IF(INT(($L414-INT($L414/10000000)*10000000)/1000000)=0,"Bloomberg projection",IF($P414=1,"ANNOUNCED","ANNOUNCED - amount TBA")))</f>
        <v/>
      </c>
      <c r="J414" s="46">
        <f>IF($L414="","",IF((OV_SWITCH="ON")*(COUNTIFS(OVR_TICKERS,INDEX(HSTECH!$C$7:$C$46,$N414),OVR_BASE,"&gt;=0")&gt;0)&gt;0,"stock overridden",""))</f>
        <v/>
      </c>
      <c r="L414" s="39">
        <f>IFERROR(IF(SMALL(Grids!$EE$116:$GQ$155,$M$313+99)&gt;=PEND_TO,"",SMALL(Grids!$EE$116:$GQ$155,$M$313+99)),"")</f>
        <v/>
      </c>
      <c r="M414" s="39">
        <f>IF($L414="","",INT($L414/1000000000))</f>
        <v/>
      </c>
      <c r="N414" s="39">
        <f>IF($L414="","",INT(($L414-INT($L414/1000000)*1000000)/1000))</f>
        <v/>
      </c>
      <c r="O414" s="39">
        <f>IF($L414="","",$L414-INT($L414/1000)*1000)</f>
        <v/>
      </c>
      <c r="P414" s="39">
        <f>IF($L414="","",INT(($L414-INT($L414/1000000000)*1000000000)/100000000))</f>
        <v/>
      </c>
    </row>
    <row r="415">
      <c r="B415" s="42">
        <f>IF($L415="","",$M415)</f>
        <v/>
      </c>
      <c r="C415" s="22">
        <f>IF($L415="","",INDEX(HSTECH!$C$7:$C$46,$N415))</f>
        <v/>
      </c>
      <c r="D415" s="22">
        <f>IF($L415="","",INDEX(HSTECH!$D$7:$D$46,$N415))</f>
        <v/>
      </c>
      <c r="E415" s="43">
        <f>IF($L415="","",IF($P415=0,"TBA",IFERROR(INDEX(Grids!$C$116:$BO$155,$N415,$O415),"-")))</f>
        <v/>
      </c>
      <c r="F415" s="22">
        <f>IF($L415="","",INDEX(HSTECH!$F$7:$F$46,$N415))</f>
        <v/>
      </c>
      <c r="G415" s="43">
        <f>IF($L415="","",IF($P415=0,"TBA",IFERROR(INDEX(Grids!$BQ$116:$EC$155,$N415,$O415),"-")))</f>
        <v/>
      </c>
      <c r="H415" s="44">
        <f>IF($L415="","",SUM($G$316:$G415))</f>
        <v/>
      </c>
      <c r="I415" s="45">
        <f>IF($L415="","",IF(INT(($L415-INT($L415/10000000)*10000000)/1000000)=0,"Bloomberg projection",IF($P415=1,"ANNOUNCED","ANNOUNCED - amount TBA")))</f>
        <v/>
      </c>
      <c r="J415" s="46">
        <f>IF($L415="","",IF((OV_SWITCH="ON")*(COUNTIFS(OVR_TICKERS,INDEX(HSTECH!$C$7:$C$46,$N415),OVR_BASE,"&gt;=0")&gt;0)&gt;0,"stock overridden",""))</f>
        <v/>
      </c>
      <c r="L415" s="39">
        <f>IFERROR(IF(SMALL(Grids!$EE$116:$GQ$155,$M$313+100)&gt;=PEND_TO,"",SMALL(Grids!$EE$116:$GQ$155,$M$313+100)),"")</f>
        <v/>
      </c>
      <c r="M415" s="39">
        <f>IF($L415="","",INT($L415/1000000000))</f>
        <v/>
      </c>
      <c r="N415" s="39">
        <f>IF($L415="","",INT(($L415-INT($L415/1000000)*1000000)/1000))</f>
        <v/>
      </c>
      <c r="O415" s="39">
        <f>IF($L415="","",$L415-INT($L415/1000)*1000)</f>
        <v/>
      </c>
      <c r="P415" s="39">
        <f>IF($L415="","",INT(($L415-INT($L415/1000000000)*1000000000)/100000000))</f>
        <v/>
      </c>
    </row>
    <row r="416">
      <c r="B416" s="42">
        <f>IF($L416="","",$M416)</f>
        <v/>
      </c>
      <c r="C416" s="22">
        <f>IF($L416="","",INDEX(HSTECH!$C$7:$C$46,$N416))</f>
        <v/>
      </c>
      <c r="D416" s="22">
        <f>IF($L416="","",INDEX(HSTECH!$D$7:$D$46,$N416))</f>
        <v/>
      </c>
      <c r="E416" s="43">
        <f>IF($L416="","",IF($P416=0,"TBA",IFERROR(INDEX(Grids!$C$116:$BO$155,$N416,$O416),"-")))</f>
        <v/>
      </c>
      <c r="F416" s="22">
        <f>IF($L416="","",INDEX(HSTECH!$F$7:$F$46,$N416))</f>
        <v/>
      </c>
      <c r="G416" s="43">
        <f>IF($L416="","",IF($P416=0,"TBA",IFERROR(INDEX(Grids!$BQ$116:$EC$155,$N416,$O416),"-")))</f>
        <v/>
      </c>
      <c r="H416" s="44">
        <f>IF($L416="","",SUM($G$316:$G416))</f>
        <v/>
      </c>
      <c r="I416" s="45">
        <f>IF($L416="","",IF(INT(($L416-INT($L416/10000000)*10000000)/1000000)=0,"Bloomberg projection",IF($P416=1,"ANNOUNCED","ANNOUNCED - amount TBA")))</f>
        <v/>
      </c>
      <c r="J416" s="46">
        <f>IF($L416="","",IF((OV_SWITCH="ON")*(COUNTIFS(OVR_TICKERS,INDEX(HSTECH!$C$7:$C$46,$N416),OVR_BASE,"&gt;=0")&gt;0)&gt;0,"stock overridden",""))</f>
        <v/>
      </c>
      <c r="L416" s="39">
        <f>IFERROR(IF(SMALL(Grids!$EE$116:$GQ$155,$M$313+101)&gt;=PEND_TO,"",SMALL(Grids!$EE$116:$GQ$155,$M$313+101)),"")</f>
        <v/>
      </c>
      <c r="M416" s="39">
        <f>IF($L416="","",INT($L416/1000000000))</f>
        <v/>
      </c>
      <c r="N416" s="39">
        <f>IF($L416="","",INT(($L416-INT($L416/1000000)*1000000)/1000))</f>
        <v/>
      </c>
      <c r="O416" s="39">
        <f>IF($L416="","",$L416-INT($L416/1000)*1000)</f>
        <v/>
      </c>
      <c r="P416" s="39">
        <f>IF($L416="","",INT(($L416-INT($L416/1000000000)*1000000000)/100000000))</f>
        <v/>
      </c>
    </row>
    <row r="417">
      <c r="B417" s="42">
        <f>IF($L417="","",$M417)</f>
        <v/>
      </c>
      <c r="C417" s="22">
        <f>IF($L417="","",INDEX(HSTECH!$C$7:$C$46,$N417))</f>
        <v/>
      </c>
      <c r="D417" s="22">
        <f>IF($L417="","",INDEX(HSTECH!$D$7:$D$46,$N417))</f>
        <v/>
      </c>
      <c r="E417" s="43">
        <f>IF($L417="","",IF($P417=0,"TBA",IFERROR(INDEX(Grids!$C$116:$BO$155,$N417,$O417),"-")))</f>
        <v/>
      </c>
      <c r="F417" s="22">
        <f>IF($L417="","",INDEX(HSTECH!$F$7:$F$46,$N417))</f>
        <v/>
      </c>
      <c r="G417" s="43">
        <f>IF($L417="","",IF($P417=0,"TBA",IFERROR(INDEX(Grids!$BQ$116:$EC$155,$N417,$O417),"-")))</f>
        <v/>
      </c>
      <c r="H417" s="44">
        <f>IF($L417="","",SUM($G$316:$G417))</f>
        <v/>
      </c>
      <c r="I417" s="45">
        <f>IF($L417="","",IF(INT(($L417-INT($L417/10000000)*10000000)/1000000)=0,"Bloomberg projection",IF($P417=1,"ANNOUNCED","ANNOUNCED - amount TBA")))</f>
        <v/>
      </c>
      <c r="J417" s="46">
        <f>IF($L417="","",IF((OV_SWITCH="ON")*(COUNTIFS(OVR_TICKERS,INDEX(HSTECH!$C$7:$C$46,$N417),OVR_BASE,"&gt;=0")&gt;0)&gt;0,"stock overridden",""))</f>
        <v/>
      </c>
      <c r="L417" s="39">
        <f>IFERROR(IF(SMALL(Grids!$EE$116:$GQ$155,$M$313+102)&gt;=PEND_TO,"",SMALL(Grids!$EE$116:$GQ$155,$M$313+102)),"")</f>
        <v/>
      </c>
      <c r="M417" s="39">
        <f>IF($L417="","",INT($L417/1000000000))</f>
        <v/>
      </c>
      <c r="N417" s="39">
        <f>IF($L417="","",INT(($L417-INT($L417/1000000)*1000000)/1000))</f>
        <v/>
      </c>
      <c r="O417" s="39">
        <f>IF($L417="","",$L417-INT($L417/1000)*1000)</f>
        <v/>
      </c>
      <c r="P417" s="39">
        <f>IF($L417="","",INT(($L417-INT($L417/1000000000)*1000000000)/100000000))</f>
        <v/>
      </c>
    </row>
    <row r="418">
      <c r="B418" s="42">
        <f>IF($L418="","",$M418)</f>
        <v/>
      </c>
      <c r="C418" s="22">
        <f>IF($L418="","",INDEX(HSTECH!$C$7:$C$46,$N418))</f>
        <v/>
      </c>
      <c r="D418" s="22">
        <f>IF($L418="","",INDEX(HSTECH!$D$7:$D$46,$N418))</f>
        <v/>
      </c>
      <c r="E418" s="43">
        <f>IF($L418="","",IF($P418=0,"TBA",IFERROR(INDEX(Grids!$C$116:$BO$155,$N418,$O418),"-")))</f>
        <v/>
      </c>
      <c r="F418" s="22">
        <f>IF($L418="","",INDEX(HSTECH!$F$7:$F$46,$N418))</f>
        <v/>
      </c>
      <c r="G418" s="43">
        <f>IF($L418="","",IF($P418=0,"TBA",IFERROR(INDEX(Grids!$BQ$116:$EC$155,$N418,$O418),"-")))</f>
        <v/>
      </c>
      <c r="H418" s="44">
        <f>IF($L418="","",SUM($G$316:$G418))</f>
        <v/>
      </c>
      <c r="I418" s="45">
        <f>IF($L418="","",IF(INT(($L418-INT($L418/10000000)*10000000)/1000000)=0,"Bloomberg projection",IF($P418=1,"ANNOUNCED","ANNOUNCED - amount TBA")))</f>
        <v/>
      </c>
      <c r="J418" s="46">
        <f>IF($L418="","",IF((OV_SWITCH="ON")*(COUNTIFS(OVR_TICKERS,INDEX(HSTECH!$C$7:$C$46,$N418),OVR_BASE,"&gt;=0")&gt;0)&gt;0,"stock overridden",""))</f>
        <v/>
      </c>
      <c r="L418" s="39">
        <f>IFERROR(IF(SMALL(Grids!$EE$116:$GQ$155,$M$313+103)&gt;=PEND_TO,"",SMALL(Grids!$EE$116:$GQ$155,$M$313+103)),"")</f>
        <v/>
      </c>
      <c r="M418" s="39">
        <f>IF($L418="","",INT($L418/1000000000))</f>
        <v/>
      </c>
      <c r="N418" s="39">
        <f>IF($L418="","",INT(($L418-INT($L418/1000000)*1000000)/1000))</f>
        <v/>
      </c>
      <c r="O418" s="39">
        <f>IF($L418="","",$L418-INT($L418/1000)*1000)</f>
        <v/>
      </c>
      <c r="P418" s="39">
        <f>IF($L418="","",INT(($L418-INT($L418/1000000000)*1000000000)/100000000))</f>
        <v/>
      </c>
    </row>
    <row r="419">
      <c r="B419" s="42">
        <f>IF($L419="","",$M419)</f>
        <v/>
      </c>
      <c r="C419" s="22">
        <f>IF($L419="","",INDEX(HSTECH!$C$7:$C$46,$N419))</f>
        <v/>
      </c>
      <c r="D419" s="22">
        <f>IF($L419="","",INDEX(HSTECH!$D$7:$D$46,$N419))</f>
        <v/>
      </c>
      <c r="E419" s="43">
        <f>IF($L419="","",IF($P419=0,"TBA",IFERROR(INDEX(Grids!$C$116:$BO$155,$N419,$O419),"-")))</f>
        <v/>
      </c>
      <c r="F419" s="22">
        <f>IF($L419="","",INDEX(HSTECH!$F$7:$F$46,$N419))</f>
        <v/>
      </c>
      <c r="G419" s="43">
        <f>IF($L419="","",IF($P419=0,"TBA",IFERROR(INDEX(Grids!$BQ$116:$EC$155,$N419,$O419),"-")))</f>
        <v/>
      </c>
      <c r="H419" s="44">
        <f>IF($L419="","",SUM($G$316:$G419))</f>
        <v/>
      </c>
      <c r="I419" s="45">
        <f>IF($L419="","",IF(INT(($L419-INT($L419/10000000)*10000000)/1000000)=0,"Bloomberg projection",IF($P419=1,"ANNOUNCED","ANNOUNCED - amount TBA")))</f>
        <v/>
      </c>
      <c r="J419" s="46">
        <f>IF($L419="","",IF((OV_SWITCH="ON")*(COUNTIFS(OVR_TICKERS,INDEX(HSTECH!$C$7:$C$46,$N419),OVR_BASE,"&gt;=0")&gt;0)&gt;0,"stock overridden",""))</f>
        <v/>
      </c>
      <c r="L419" s="39">
        <f>IFERROR(IF(SMALL(Grids!$EE$116:$GQ$155,$M$313+104)&gt;=PEND_TO,"",SMALL(Grids!$EE$116:$GQ$155,$M$313+104)),"")</f>
        <v/>
      </c>
      <c r="M419" s="39">
        <f>IF($L419="","",INT($L419/1000000000))</f>
        <v/>
      </c>
      <c r="N419" s="39">
        <f>IF($L419="","",INT(($L419-INT($L419/1000000)*1000000)/1000))</f>
        <v/>
      </c>
      <c r="O419" s="39">
        <f>IF($L419="","",$L419-INT($L419/1000)*1000)</f>
        <v/>
      </c>
      <c r="P419" s="39">
        <f>IF($L419="","",INT(($L419-INT($L419/1000000000)*1000000000)/100000000))</f>
        <v/>
      </c>
    </row>
    <row r="420">
      <c r="B420" s="42">
        <f>IF($L420="","",$M420)</f>
        <v/>
      </c>
      <c r="C420" s="22">
        <f>IF($L420="","",INDEX(HSTECH!$C$7:$C$46,$N420))</f>
        <v/>
      </c>
      <c r="D420" s="22">
        <f>IF($L420="","",INDEX(HSTECH!$D$7:$D$46,$N420))</f>
        <v/>
      </c>
      <c r="E420" s="43">
        <f>IF($L420="","",IF($P420=0,"TBA",IFERROR(INDEX(Grids!$C$116:$BO$155,$N420,$O420),"-")))</f>
        <v/>
      </c>
      <c r="F420" s="22">
        <f>IF($L420="","",INDEX(HSTECH!$F$7:$F$46,$N420))</f>
        <v/>
      </c>
      <c r="G420" s="43">
        <f>IF($L420="","",IF($P420=0,"TBA",IFERROR(INDEX(Grids!$BQ$116:$EC$155,$N420,$O420),"-")))</f>
        <v/>
      </c>
      <c r="H420" s="44">
        <f>IF($L420="","",SUM($G$316:$G420))</f>
        <v/>
      </c>
      <c r="I420" s="45">
        <f>IF($L420="","",IF(INT(($L420-INT($L420/10000000)*10000000)/1000000)=0,"Bloomberg projection",IF($P420=1,"ANNOUNCED","ANNOUNCED - amount TBA")))</f>
        <v/>
      </c>
      <c r="J420" s="46">
        <f>IF($L420="","",IF((OV_SWITCH="ON")*(COUNTIFS(OVR_TICKERS,INDEX(HSTECH!$C$7:$C$46,$N420),OVR_BASE,"&gt;=0")&gt;0)&gt;0,"stock overridden",""))</f>
        <v/>
      </c>
      <c r="L420" s="39">
        <f>IFERROR(IF(SMALL(Grids!$EE$116:$GQ$155,$M$313+105)&gt;=PEND_TO,"",SMALL(Grids!$EE$116:$GQ$155,$M$313+105)),"")</f>
        <v/>
      </c>
      <c r="M420" s="39">
        <f>IF($L420="","",INT($L420/1000000000))</f>
        <v/>
      </c>
      <c r="N420" s="39">
        <f>IF($L420="","",INT(($L420-INT($L420/1000000)*1000000)/1000))</f>
        <v/>
      </c>
      <c r="O420" s="39">
        <f>IF($L420="","",$L420-INT($L420/1000)*1000)</f>
        <v/>
      </c>
      <c r="P420" s="39">
        <f>IF($L420="","",INT(($L420-INT($L420/1000000000)*1000000000)/100000000))</f>
        <v/>
      </c>
    </row>
    <row r="421">
      <c r="B421" s="42">
        <f>IF($L421="","",$M421)</f>
        <v/>
      </c>
      <c r="C421" s="22">
        <f>IF($L421="","",INDEX(HSTECH!$C$7:$C$46,$N421))</f>
        <v/>
      </c>
      <c r="D421" s="22">
        <f>IF($L421="","",INDEX(HSTECH!$D$7:$D$46,$N421))</f>
        <v/>
      </c>
      <c r="E421" s="43">
        <f>IF($L421="","",IF($P421=0,"TBA",IFERROR(INDEX(Grids!$C$116:$BO$155,$N421,$O421),"-")))</f>
        <v/>
      </c>
      <c r="F421" s="22">
        <f>IF($L421="","",INDEX(HSTECH!$F$7:$F$46,$N421))</f>
        <v/>
      </c>
      <c r="G421" s="43">
        <f>IF($L421="","",IF($P421=0,"TBA",IFERROR(INDEX(Grids!$BQ$116:$EC$155,$N421,$O421),"-")))</f>
        <v/>
      </c>
      <c r="H421" s="44">
        <f>IF($L421="","",SUM($G$316:$G421))</f>
        <v/>
      </c>
      <c r="I421" s="45">
        <f>IF($L421="","",IF(INT(($L421-INT($L421/10000000)*10000000)/1000000)=0,"Bloomberg projection",IF($P421=1,"ANNOUNCED","ANNOUNCED - amount TBA")))</f>
        <v/>
      </c>
      <c r="J421" s="46">
        <f>IF($L421="","",IF((OV_SWITCH="ON")*(COUNTIFS(OVR_TICKERS,INDEX(HSTECH!$C$7:$C$46,$N421),OVR_BASE,"&gt;=0")&gt;0)&gt;0,"stock overridden",""))</f>
        <v/>
      </c>
      <c r="L421" s="39">
        <f>IFERROR(IF(SMALL(Grids!$EE$116:$GQ$155,$M$313+106)&gt;=PEND_TO,"",SMALL(Grids!$EE$116:$GQ$155,$M$313+106)),"")</f>
        <v/>
      </c>
      <c r="M421" s="39">
        <f>IF($L421="","",INT($L421/1000000000))</f>
        <v/>
      </c>
      <c r="N421" s="39">
        <f>IF($L421="","",INT(($L421-INT($L421/1000000)*1000000)/1000))</f>
        <v/>
      </c>
      <c r="O421" s="39">
        <f>IF($L421="","",$L421-INT($L421/1000)*1000)</f>
        <v/>
      </c>
      <c r="P421" s="39">
        <f>IF($L421="","",INT(($L421-INT($L421/1000000000)*1000000000)/100000000))</f>
        <v/>
      </c>
    </row>
    <row r="422">
      <c r="B422" s="42">
        <f>IF($L422="","",$M422)</f>
        <v/>
      </c>
      <c r="C422" s="22">
        <f>IF($L422="","",INDEX(HSTECH!$C$7:$C$46,$N422))</f>
        <v/>
      </c>
      <c r="D422" s="22">
        <f>IF($L422="","",INDEX(HSTECH!$D$7:$D$46,$N422))</f>
        <v/>
      </c>
      <c r="E422" s="43">
        <f>IF($L422="","",IF($P422=0,"TBA",IFERROR(INDEX(Grids!$C$116:$BO$155,$N422,$O422),"-")))</f>
        <v/>
      </c>
      <c r="F422" s="22">
        <f>IF($L422="","",INDEX(HSTECH!$F$7:$F$46,$N422))</f>
        <v/>
      </c>
      <c r="G422" s="43">
        <f>IF($L422="","",IF($P422=0,"TBA",IFERROR(INDEX(Grids!$BQ$116:$EC$155,$N422,$O422),"-")))</f>
        <v/>
      </c>
      <c r="H422" s="44">
        <f>IF($L422="","",SUM($G$316:$G422))</f>
        <v/>
      </c>
      <c r="I422" s="45">
        <f>IF($L422="","",IF(INT(($L422-INT($L422/10000000)*10000000)/1000000)=0,"Bloomberg projection",IF($P422=1,"ANNOUNCED","ANNOUNCED - amount TBA")))</f>
        <v/>
      </c>
      <c r="J422" s="46">
        <f>IF($L422="","",IF((OV_SWITCH="ON")*(COUNTIFS(OVR_TICKERS,INDEX(HSTECH!$C$7:$C$46,$N422),OVR_BASE,"&gt;=0")&gt;0)&gt;0,"stock overridden",""))</f>
        <v/>
      </c>
      <c r="L422" s="39">
        <f>IFERROR(IF(SMALL(Grids!$EE$116:$GQ$155,$M$313+107)&gt;=PEND_TO,"",SMALL(Grids!$EE$116:$GQ$155,$M$313+107)),"")</f>
        <v/>
      </c>
      <c r="M422" s="39">
        <f>IF($L422="","",INT($L422/1000000000))</f>
        <v/>
      </c>
      <c r="N422" s="39">
        <f>IF($L422="","",INT(($L422-INT($L422/1000000)*1000000)/1000))</f>
        <v/>
      </c>
      <c r="O422" s="39">
        <f>IF($L422="","",$L422-INT($L422/1000)*1000)</f>
        <v/>
      </c>
      <c r="P422" s="39">
        <f>IF($L422="","",INT(($L422-INT($L422/1000000000)*1000000000)/100000000))</f>
        <v/>
      </c>
    </row>
    <row r="423">
      <c r="B423" s="42">
        <f>IF($L423="","",$M423)</f>
        <v/>
      </c>
      <c r="C423" s="22">
        <f>IF($L423="","",INDEX(HSTECH!$C$7:$C$46,$N423))</f>
        <v/>
      </c>
      <c r="D423" s="22">
        <f>IF($L423="","",INDEX(HSTECH!$D$7:$D$46,$N423))</f>
        <v/>
      </c>
      <c r="E423" s="43">
        <f>IF($L423="","",IF($P423=0,"TBA",IFERROR(INDEX(Grids!$C$116:$BO$155,$N423,$O423),"-")))</f>
        <v/>
      </c>
      <c r="F423" s="22">
        <f>IF($L423="","",INDEX(HSTECH!$F$7:$F$46,$N423))</f>
        <v/>
      </c>
      <c r="G423" s="43">
        <f>IF($L423="","",IF($P423=0,"TBA",IFERROR(INDEX(Grids!$BQ$116:$EC$155,$N423,$O423),"-")))</f>
        <v/>
      </c>
      <c r="H423" s="44">
        <f>IF($L423="","",SUM($G$316:$G423))</f>
        <v/>
      </c>
      <c r="I423" s="45">
        <f>IF($L423="","",IF(INT(($L423-INT($L423/10000000)*10000000)/1000000)=0,"Bloomberg projection",IF($P423=1,"ANNOUNCED","ANNOUNCED - amount TBA")))</f>
        <v/>
      </c>
      <c r="J423" s="46">
        <f>IF($L423="","",IF((OV_SWITCH="ON")*(COUNTIFS(OVR_TICKERS,INDEX(HSTECH!$C$7:$C$46,$N423),OVR_BASE,"&gt;=0")&gt;0)&gt;0,"stock overridden",""))</f>
        <v/>
      </c>
      <c r="L423" s="39">
        <f>IFERROR(IF(SMALL(Grids!$EE$116:$GQ$155,$M$313+108)&gt;=PEND_TO,"",SMALL(Grids!$EE$116:$GQ$155,$M$313+108)),"")</f>
        <v/>
      </c>
      <c r="M423" s="39">
        <f>IF($L423="","",INT($L423/1000000000))</f>
        <v/>
      </c>
      <c r="N423" s="39">
        <f>IF($L423="","",INT(($L423-INT($L423/1000000)*1000000)/1000))</f>
        <v/>
      </c>
      <c r="O423" s="39">
        <f>IF($L423="","",$L423-INT($L423/1000)*1000)</f>
        <v/>
      </c>
      <c r="P423" s="39">
        <f>IF($L423="","",INT(($L423-INT($L423/1000000000)*1000000000)/100000000))</f>
        <v/>
      </c>
    </row>
    <row r="424">
      <c r="B424" s="42">
        <f>IF($L424="","",$M424)</f>
        <v/>
      </c>
      <c r="C424" s="22">
        <f>IF($L424="","",INDEX(HSTECH!$C$7:$C$46,$N424))</f>
        <v/>
      </c>
      <c r="D424" s="22">
        <f>IF($L424="","",INDEX(HSTECH!$D$7:$D$46,$N424))</f>
        <v/>
      </c>
      <c r="E424" s="43">
        <f>IF($L424="","",IF($P424=0,"TBA",IFERROR(INDEX(Grids!$C$116:$BO$155,$N424,$O424),"-")))</f>
        <v/>
      </c>
      <c r="F424" s="22">
        <f>IF($L424="","",INDEX(HSTECH!$F$7:$F$46,$N424))</f>
        <v/>
      </c>
      <c r="G424" s="43">
        <f>IF($L424="","",IF($P424=0,"TBA",IFERROR(INDEX(Grids!$BQ$116:$EC$155,$N424,$O424),"-")))</f>
        <v/>
      </c>
      <c r="H424" s="44">
        <f>IF($L424="","",SUM($G$316:$G424))</f>
        <v/>
      </c>
      <c r="I424" s="45">
        <f>IF($L424="","",IF(INT(($L424-INT($L424/10000000)*10000000)/1000000)=0,"Bloomberg projection",IF($P424=1,"ANNOUNCED","ANNOUNCED - amount TBA")))</f>
        <v/>
      </c>
      <c r="J424" s="46">
        <f>IF($L424="","",IF((OV_SWITCH="ON")*(COUNTIFS(OVR_TICKERS,INDEX(HSTECH!$C$7:$C$46,$N424),OVR_BASE,"&gt;=0")&gt;0)&gt;0,"stock overridden",""))</f>
        <v/>
      </c>
      <c r="L424" s="39">
        <f>IFERROR(IF(SMALL(Grids!$EE$116:$GQ$155,$M$313+109)&gt;=PEND_TO,"",SMALL(Grids!$EE$116:$GQ$155,$M$313+109)),"")</f>
        <v/>
      </c>
      <c r="M424" s="39">
        <f>IF($L424="","",INT($L424/1000000000))</f>
        <v/>
      </c>
      <c r="N424" s="39">
        <f>IF($L424="","",INT(($L424-INT($L424/1000000)*1000000)/1000))</f>
        <v/>
      </c>
      <c r="O424" s="39">
        <f>IF($L424="","",$L424-INT($L424/1000)*1000)</f>
        <v/>
      </c>
      <c r="P424" s="39">
        <f>IF($L424="","",INT(($L424-INT($L424/1000000000)*1000000000)/100000000))</f>
        <v/>
      </c>
    </row>
    <row r="425">
      <c r="B425" s="42">
        <f>IF($L425="","",$M425)</f>
        <v/>
      </c>
      <c r="C425" s="22">
        <f>IF($L425="","",INDEX(HSTECH!$C$7:$C$46,$N425))</f>
        <v/>
      </c>
      <c r="D425" s="22">
        <f>IF($L425="","",INDEX(HSTECH!$D$7:$D$46,$N425))</f>
        <v/>
      </c>
      <c r="E425" s="43">
        <f>IF($L425="","",IF($P425=0,"TBA",IFERROR(INDEX(Grids!$C$116:$BO$155,$N425,$O425),"-")))</f>
        <v/>
      </c>
      <c r="F425" s="22">
        <f>IF($L425="","",INDEX(HSTECH!$F$7:$F$46,$N425))</f>
        <v/>
      </c>
      <c r="G425" s="43">
        <f>IF($L425="","",IF($P425=0,"TBA",IFERROR(INDEX(Grids!$BQ$116:$EC$155,$N425,$O425),"-")))</f>
        <v/>
      </c>
      <c r="H425" s="44">
        <f>IF($L425="","",SUM($G$316:$G425))</f>
        <v/>
      </c>
      <c r="I425" s="45">
        <f>IF($L425="","",IF(INT(($L425-INT($L425/10000000)*10000000)/1000000)=0,"Bloomberg projection",IF($P425=1,"ANNOUNCED","ANNOUNCED - amount TBA")))</f>
        <v/>
      </c>
      <c r="J425" s="46">
        <f>IF($L425="","",IF((OV_SWITCH="ON")*(COUNTIFS(OVR_TICKERS,INDEX(HSTECH!$C$7:$C$46,$N425),OVR_BASE,"&gt;=0")&gt;0)&gt;0,"stock overridden",""))</f>
        <v/>
      </c>
      <c r="L425" s="39">
        <f>IFERROR(IF(SMALL(Grids!$EE$116:$GQ$155,$M$313+110)&gt;=PEND_TO,"",SMALL(Grids!$EE$116:$GQ$155,$M$313+110)),"")</f>
        <v/>
      </c>
      <c r="M425" s="39">
        <f>IF($L425="","",INT($L425/1000000000))</f>
        <v/>
      </c>
      <c r="N425" s="39">
        <f>IF($L425="","",INT(($L425-INT($L425/1000000)*1000000)/1000))</f>
        <v/>
      </c>
      <c r="O425" s="39">
        <f>IF($L425="","",$L425-INT($L425/1000)*1000)</f>
        <v/>
      </c>
      <c r="P425" s="39">
        <f>IF($L425="","",INT(($L425-INT($L425/1000000000)*1000000000)/100000000))</f>
        <v/>
      </c>
    </row>
    <row r="426">
      <c r="B426" s="42">
        <f>IF($L426="","",$M426)</f>
        <v/>
      </c>
      <c r="C426" s="22">
        <f>IF($L426="","",INDEX(HSTECH!$C$7:$C$46,$N426))</f>
        <v/>
      </c>
      <c r="D426" s="22">
        <f>IF($L426="","",INDEX(HSTECH!$D$7:$D$46,$N426))</f>
        <v/>
      </c>
      <c r="E426" s="43">
        <f>IF($L426="","",IF($P426=0,"TBA",IFERROR(INDEX(Grids!$C$116:$BO$155,$N426,$O426),"-")))</f>
        <v/>
      </c>
      <c r="F426" s="22">
        <f>IF($L426="","",INDEX(HSTECH!$F$7:$F$46,$N426))</f>
        <v/>
      </c>
      <c r="G426" s="43">
        <f>IF($L426="","",IF($P426=0,"TBA",IFERROR(INDEX(Grids!$BQ$116:$EC$155,$N426,$O426),"-")))</f>
        <v/>
      </c>
      <c r="H426" s="44">
        <f>IF($L426="","",SUM($G$316:$G426))</f>
        <v/>
      </c>
      <c r="I426" s="45">
        <f>IF($L426="","",IF(INT(($L426-INT($L426/10000000)*10000000)/1000000)=0,"Bloomberg projection",IF($P426=1,"ANNOUNCED","ANNOUNCED - amount TBA")))</f>
        <v/>
      </c>
      <c r="J426" s="46">
        <f>IF($L426="","",IF((OV_SWITCH="ON")*(COUNTIFS(OVR_TICKERS,INDEX(HSTECH!$C$7:$C$46,$N426),OVR_BASE,"&gt;=0")&gt;0)&gt;0,"stock overridden",""))</f>
        <v/>
      </c>
      <c r="L426" s="39">
        <f>IFERROR(IF(SMALL(Grids!$EE$116:$GQ$155,$M$313+111)&gt;=PEND_TO,"",SMALL(Grids!$EE$116:$GQ$155,$M$313+111)),"")</f>
        <v/>
      </c>
      <c r="M426" s="39">
        <f>IF($L426="","",INT($L426/1000000000))</f>
        <v/>
      </c>
      <c r="N426" s="39">
        <f>IF($L426="","",INT(($L426-INT($L426/1000000)*1000000)/1000))</f>
        <v/>
      </c>
      <c r="O426" s="39">
        <f>IF($L426="","",$L426-INT($L426/1000)*1000)</f>
        <v/>
      </c>
      <c r="P426" s="39">
        <f>IF($L426="","",INT(($L426-INT($L426/1000000000)*1000000000)/100000000))</f>
        <v/>
      </c>
    </row>
    <row r="427">
      <c r="B427" s="42">
        <f>IF($L427="","",$M427)</f>
        <v/>
      </c>
      <c r="C427" s="22">
        <f>IF($L427="","",INDEX(HSTECH!$C$7:$C$46,$N427))</f>
        <v/>
      </c>
      <c r="D427" s="22">
        <f>IF($L427="","",INDEX(HSTECH!$D$7:$D$46,$N427))</f>
        <v/>
      </c>
      <c r="E427" s="43">
        <f>IF($L427="","",IF($P427=0,"TBA",IFERROR(INDEX(Grids!$C$116:$BO$155,$N427,$O427),"-")))</f>
        <v/>
      </c>
      <c r="F427" s="22">
        <f>IF($L427="","",INDEX(HSTECH!$F$7:$F$46,$N427))</f>
        <v/>
      </c>
      <c r="G427" s="43">
        <f>IF($L427="","",IF($P427=0,"TBA",IFERROR(INDEX(Grids!$BQ$116:$EC$155,$N427,$O427),"-")))</f>
        <v/>
      </c>
      <c r="H427" s="44">
        <f>IF($L427="","",SUM($G$316:$G427))</f>
        <v/>
      </c>
      <c r="I427" s="45">
        <f>IF($L427="","",IF(INT(($L427-INT($L427/10000000)*10000000)/1000000)=0,"Bloomberg projection",IF($P427=1,"ANNOUNCED","ANNOUNCED - amount TBA")))</f>
        <v/>
      </c>
      <c r="J427" s="46">
        <f>IF($L427="","",IF((OV_SWITCH="ON")*(COUNTIFS(OVR_TICKERS,INDEX(HSTECH!$C$7:$C$46,$N427),OVR_BASE,"&gt;=0")&gt;0)&gt;0,"stock overridden",""))</f>
        <v/>
      </c>
      <c r="L427" s="39">
        <f>IFERROR(IF(SMALL(Grids!$EE$116:$GQ$155,$M$313+112)&gt;=PEND_TO,"",SMALL(Grids!$EE$116:$GQ$155,$M$313+112)),"")</f>
        <v/>
      </c>
      <c r="M427" s="39">
        <f>IF($L427="","",INT($L427/1000000000))</f>
        <v/>
      </c>
      <c r="N427" s="39">
        <f>IF($L427="","",INT(($L427-INT($L427/1000000)*1000000)/1000))</f>
        <v/>
      </c>
      <c r="O427" s="39">
        <f>IF($L427="","",$L427-INT($L427/1000)*1000)</f>
        <v/>
      </c>
      <c r="P427" s="39">
        <f>IF($L427="","",INT(($L427-INT($L427/1000000000)*1000000000)/100000000))</f>
        <v/>
      </c>
    </row>
    <row r="428">
      <c r="B428" s="42">
        <f>IF($L428="","",$M428)</f>
        <v/>
      </c>
      <c r="C428" s="22">
        <f>IF($L428="","",INDEX(HSTECH!$C$7:$C$46,$N428))</f>
        <v/>
      </c>
      <c r="D428" s="22">
        <f>IF($L428="","",INDEX(HSTECH!$D$7:$D$46,$N428))</f>
        <v/>
      </c>
      <c r="E428" s="43">
        <f>IF($L428="","",IF($P428=0,"TBA",IFERROR(INDEX(Grids!$C$116:$BO$155,$N428,$O428),"-")))</f>
        <v/>
      </c>
      <c r="F428" s="22">
        <f>IF($L428="","",INDEX(HSTECH!$F$7:$F$46,$N428))</f>
        <v/>
      </c>
      <c r="G428" s="43">
        <f>IF($L428="","",IF($P428=0,"TBA",IFERROR(INDEX(Grids!$BQ$116:$EC$155,$N428,$O428),"-")))</f>
        <v/>
      </c>
      <c r="H428" s="44">
        <f>IF($L428="","",SUM($G$316:$G428))</f>
        <v/>
      </c>
      <c r="I428" s="45">
        <f>IF($L428="","",IF(INT(($L428-INT($L428/10000000)*10000000)/1000000)=0,"Bloomberg projection",IF($P428=1,"ANNOUNCED","ANNOUNCED - amount TBA")))</f>
        <v/>
      </c>
      <c r="J428" s="46">
        <f>IF($L428="","",IF((OV_SWITCH="ON")*(COUNTIFS(OVR_TICKERS,INDEX(HSTECH!$C$7:$C$46,$N428),OVR_BASE,"&gt;=0")&gt;0)&gt;0,"stock overridden",""))</f>
        <v/>
      </c>
      <c r="L428" s="39">
        <f>IFERROR(IF(SMALL(Grids!$EE$116:$GQ$155,$M$313+113)&gt;=PEND_TO,"",SMALL(Grids!$EE$116:$GQ$155,$M$313+113)),"")</f>
        <v/>
      </c>
      <c r="M428" s="39">
        <f>IF($L428="","",INT($L428/1000000000))</f>
        <v/>
      </c>
      <c r="N428" s="39">
        <f>IF($L428="","",INT(($L428-INT($L428/1000000)*1000000)/1000))</f>
        <v/>
      </c>
      <c r="O428" s="39">
        <f>IF($L428="","",$L428-INT($L428/1000)*1000)</f>
        <v/>
      </c>
      <c r="P428" s="39">
        <f>IF($L428="","",INT(($L428-INT($L428/1000000000)*1000000000)/100000000))</f>
        <v/>
      </c>
    </row>
    <row r="429">
      <c r="B429" s="42">
        <f>IF($L429="","",$M429)</f>
        <v/>
      </c>
      <c r="C429" s="22">
        <f>IF($L429="","",INDEX(HSTECH!$C$7:$C$46,$N429))</f>
        <v/>
      </c>
      <c r="D429" s="22">
        <f>IF($L429="","",INDEX(HSTECH!$D$7:$D$46,$N429))</f>
        <v/>
      </c>
      <c r="E429" s="43">
        <f>IF($L429="","",IF($P429=0,"TBA",IFERROR(INDEX(Grids!$C$116:$BO$155,$N429,$O429),"-")))</f>
        <v/>
      </c>
      <c r="F429" s="22">
        <f>IF($L429="","",INDEX(HSTECH!$F$7:$F$46,$N429))</f>
        <v/>
      </c>
      <c r="G429" s="43">
        <f>IF($L429="","",IF($P429=0,"TBA",IFERROR(INDEX(Grids!$BQ$116:$EC$155,$N429,$O429),"-")))</f>
        <v/>
      </c>
      <c r="H429" s="44">
        <f>IF($L429="","",SUM($G$316:$G429))</f>
        <v/>
      </c>
      <c r="I429" s="45">
        <f>IF($L429="","",IF(INT(($L429-INT($L429/10000000)*10000000)/1000000)=0,"Bloomberg projection",IF($P429=1,"ANNOUNCED","ANNOUNCED - amount TBA")))</f>
        <v/>
      </c>
      <c r="J429" s="46">
        <f>IF($L429="","",IF((OV_SWITCH="ON")*(COUNTIFS(OVR_TICKERS,INDEX(HSTECH!$C$7:$C$46,$N429),OVR_BASE,"&gt;=0")&gt;0)&gt;0,"stock overridden",""))</f>
        <v/>
      </c>
      <c r="L429" s="39">
        <f>IFERROR(IF(SMALL(Grids!$EE$116:$GQ$155,$M$313+114)&gt;=PEND_TO,"",SMALL(Grids!$EE$116:$GQ$155,$M$313+114)),"")</f>
        <v/>
      </c>
      <c r="M429" s="39">
        <f>IF($L429="","",INT($L429/1000000000))</f>
        <v/>
      </c>
      <c r="N429" s="39">
        <f>IF($L429="","",INT(($L429-INT($L429/1000000)*1000000)/1000))</f>
        <v/>
      </c>
      <c r="O429" s="39">
        <f>IF($L429="","",$L429-INT($L429/1000)*1000)</f>
        <v/>
      </c>
      <c r="P429" s="39">
        <f>IF($L429="","",INT(($L429-INT($L429/1000000000)*1000000000)/100000000))</f>
        <v/>
      </c>
    </row>
    <row r="430">
      <c r="B430" s="42">
        <f>IF($L430="","",$M430)</f>
        <v/>
      </c>
      <c r="C430" s="22">
        <f>IF($L430="","",INDEX(HSTECH!$C$7:$C$46,$N430))</f>
        <v/>
      </c>
      <c r="D430" s="22">
        <f>IF($L430="","",INDEX(HSTECH!$D$7:$D$46,$N430))</f>
        <v/>
      </c>
      <c r="E430" s="43">
        <f>IF($L430="","",IF($P430=0,"TBA",IFERROR(INDEX(Grids!$C$116:$BO$155,$N430,$O430),"-")))</f>
        <v/>
      </c>
      <c r="F430" s="22">
        <f>IF($L430="","",INDEX(HSTECH!$F$7:$F$46,$N430))</f>
        <v/>
      </c>
      <c r="G430" s="43">
        <f>IF($L430="","",IF($P430=0,"TBA",IFERROR(INDEX(Grids!$BQ$116:$EC$155,$N430,$O430),"-")))</f>
        <v/>
      </c>
      <c r="H430" s="44">
        <f>IF($L430="","",SUM($G$316:$G430))</f>
        <v/>
      </c>
      <c r="I430" s="45">
        <f>IF($L430="","",IF(INT(($L430-INT($L430/10000000)*10000000)/1000000)=0,"Bloomberg projection",IF($P430=1,"ANNOUNCED","ANNOUNCED - amount TBA")))</f>
        <v/>
      </c>
      <c r="J430" s="46">
        <f>IF($L430="","",IF((OV_SWITCH="ON")*(COUNTIFS(OVR_TICKERS,INDEX(HSTECH!$C$7:$C$46,$N430),OVR_BASE,"&gt;=0")&gt;0)&gt;0,"stock overridden",""))</f>
        <v/>
      </c>
      <c r="L430" s="39">
        <f>IFERROR(IF(SMALL(Grids!$EE$116:$GQ$155,$M$313+115)&gt;=PEND_TO,"",SMALL(Grids!$EE$116:$GQ$155,$M$313+115)),"")</f>
        <v/>
      </c>
      <c r="M430" s="39">
        <f>IF($L430="","",INT($L430/1000000000))</f>
        <v/>
      </c>
      <c r="N430" s="39">
        <f>IF($L430="","",INT(($L430-INT($L430/1000000)*1000000)/1000))</f>
        <v/>
      </c>
      <c r="O430" s="39">
        <f>IF($L430="","",$L430-INT($L430/1000)*1000)</f>
        <v/>
      </c>
      <c r="P430" s="39">
        <f>IF($L430="","",INT(($L430-INT($L430/1000000000)*1000000000)/100000000))</f>
        <v/>
      </c>
    </row>
    <row r="431">
      <c r="B431" s="42">
        <f>IF($L431="","",$M431)</f>
        <v/>
      </c>
      <c r="C431" s="22">
        <f>IF($L431="","",INDEX(HSTECH!$C$7:$C$46,$N431))</f>
        <v/>
      </c>
      <c r="D431" s="22">
        <f>IF($L431="","",INDEX(HSTECH!$D$7:$D$46,$N431))</f>
        <v/>
      </c>
      <c r="E431" s="43">
        <f>IF($L431="","",IF($P431=0,"TBA",IFERROR(INDEX(Grids!$C$116:$BO$155,$N431,$O431),"-")))</f>
        <v/>
      </c>
      <c r="F431" s="22">
        <f>IF($L431="","",INDEX(HSTECH!$F$7:$F$46,$N431))</f>
        <v/>
      </c>
      <c r="G431" s="43">
        <f>IF($L431="","",IF($P431=0,"TBA",IFERROR(INDEX(Grids!$BQ$116:$EC$155,$N431,$O431),"-")))</f>
        <v/>
      </c>
      <c r="H431" s="44">
        <f>IF($L431="","",SUM($G$316:$G431))</f>
        <v/>
      </c>
      <c r="I431" s="45">
        <f>IF($L431="","",IF(INT(($L431-INT($L431/10000000)*10000000)/1000000)=0,"Bloomberg projection",IF($P431=1,"ANNOUNCED","ANNOUNCED - amount TBA")))</f>
        <v/>
      </c>
      <c r="J431" s="46">
        <f>IF($L431="","",IF((OV_SWITCH="ON")*(COUNTIFS(OVR_TICKERS,INDEX(HSTECH!$C$7:$C$46,$N431),OVR_BASE,"&gt;=0")&gt;0)&gt;0,"stock overridden",""))</f>
        <v/>
      </c>
      <c r="L431" s="39">
        <f>IFERROR(IF(SMALL(Grids!$EE$116:$GQ$155,$M$313+116)&gt;=PEND_TO,"",SMALL(Grids!$EE$116:$GQ$155,$M$313+116)),"")</f>
        <v/>
      </c>
      <c r="M431" s="39">
        <f>IF($L431="","",INT($L431/1000000000))</f>
        <v/>
      </c>
      <c r="N431" s="39">
        <f>IF($L431="","",INT(($L431-INT($L431/1000000)*1000000)/1000))</f>
        <v/>
      </c>
      <c r="O431" s="39">
        <f>IF($L431="","",$L431-INT($L431/1000)*1000)</f>
        <v/>
      </c>
      <c r="P431" s="39">
        <f>IF($L431="","",INT(($L431-INT($L431/1000000000)*1000000000)/100000000))</f>
        <v/>
      </c>
    </row>
    <row r="432">
      <c r="B432" s="42">
        <f>IF($L432="","",$M432)</f>
        <v/>
      </c>
      <c r="C432" s="22">
        <f>IF($L432="","",INDEX(HSTECH!$C$7:$C$46,$N432))</f>
        <v/>
      </c>
      <c r="D432" s="22">
        <f>IF($L432="","",INDEX(HSTECH!$D$7:$D$46,$N432))</f>
        <v/>
      </c>
      <c r="E432" s="43">
        <f>IF($L432="","",IF($P432=0,"TBA",IFERROR(INDEX(Grids!$C$116:$BO$155,$N432,$O432),"-")))</f>
        <v/>
      </c>
      <c r="F432" s="22">
        <f>IF($L432="","",INDEX(HSTECH!$F$7:$F$46,$N432))</f>
        <v/>
      </c>
      <c r="G432" s="43">
        <f>IF($L432="","",IF($P432=0,"TBA",IFERROR(INDEX(Grids!$BQ$116:$EC$155,$N432,$O432),"-")))</f>
        <v/>
      </c>
      <c r="H432" s="44">
        <f>IF($L432="","",SUM($G$316:$G432))</f>
        <v/>
      </c>
      <c r="I432" s="45">
        <f>IF($L432="","",IF(INT(($L432-INT($L432/10000000)*10000000)/1000000)=0,"Bloomberg projection",IF($P432=1,"ANNOUNCED","ANNOUNCED - amount TBA")))</f>
        <v/>
      </c>
      <c r="J432" s="46">
        <f>IF($L432="","",IF((OV_SWITCH="ON")*(COUNTIFS(OVR_TICKERS,INDEX(HSTECH!$C$7:$C$46,$N432),OVR_BASE,"&gt;=0")&gt;0)&gt;0,"stock overridden",""))</f>
        <v/>
      </c>
      <c r="L432" s="39">
        <f>IFERROR(IF(SMALL(Grids!$EE$116:$GQ$155,$M$313+117)&gt;=PEND_TO,"",SMALL(Grids!$EE$116:$GQ$155,$M$313+117)),"")</f>
        <v/>
      </c>
      <c r="M432" s="39">
        <f>IF($L432="","",INT($L432/1000000000))</f>
        <v/>
      </c>
      <c r="N432" s="39">
        <f>IF($L432="","",INT(($L432-INT($L432/1000000)*1000000)/1000))</f>
        <v/>
      </c>
      <c r="O432" s="39">
        <f>IF($L432="","",$L432-INT($L432/1000)*1000)</f>
        <v/>
      </c>
      <c r="P432" s="39">
        <f>IF($L432="","",INT(($L432-INT($L432/1000000000)*1000000000)/100000000))</f>
        <v/>
      </c>
    </row>
    <row r="433">
      <c r="B433" s="42">
        <f>IF($L433="","",$M433)</f>
        <v/>
      </c>
      <c r="C433" s="22">
        <f>IF($L433="","",INDEX(HSTECH!$C$7:$C$46,$N433))</f>
        <v/>
      </c>
      <c r="D433" s="22">
        <f>IF($L433="","",INDEX(HSTECH!$D$7:$D$46,$N433))</f>
        <v/>
      </c>
      <c r="E433" s="43">
        <f>IF($L433="","",IF($P433=0,"TBA",IFERROR(INDEX(Grids!$C$116:$BO$155,$N433,$O433),"-")))</f>
        <v/>
      </c>
      <c r="F433" s="22">
        <f>IF($L433="","",INDEX(HSTECH!$F$7:$F$46,$N433))</f>
        <v/>
      </c>
      <c r="G433" s="43">
        <f>IF($L433="","",IF($P433=0,"TBA",IFERROR(INDEX(Grids!$BQ$116:$EC$155,$N433,$O433),"-")))</f>
        <v/>
      </c>
      <c r="H433" s="44">
        <f>IF($L433="","",SUM($G$316:$G433))</f>
        <v/>
      </c>
      <c r="I433" s="45">
        <f>IF($L433="","",IF(INT(($L433-INT($L433/10000000)*10000000)/1000000)=0,"Bloomberg projection",IF($P433=1,"ANNOUNCED","ANNOUNCED - amount TBA")))</f>
        <v/>
      </c>
      <c r="J433" s="46">
        <f>IF($L433="","",IF((OV_SWITCH="ON")*(COUNTIFS(OVR_TICKERS,INDEX(HSTECH!$C$7:$C$46,$N433),OVR_BASE,"&gt;=0")&gt;0)&gt;0,"stock overridden",""))</f>
        <v/>
      </c>
      <c r="L433" s="39">
        <f>IFERROR(IF(SMALL(Grids!$EE$116:$GQ$155,$M$313+118)&gt;=PEND_TO,"",SMALL(Grids!$EE$116:$GQ$155,$M$313+118)),"")</f>
        <v/>
      </c>
      <c r="M433" s="39">
        <f>IF($L433="","",INT($L433/1000000000))</f>
        <v/>
      </c>
      <c r="N433" s="39">
        <f>IF($L433="","",INT(($L433-INT($L433/1000000)*1000000)/1000))</f>
        <v/>
      </c>
      <c r="O433" s="39">
        <f>IF($L433="","",$L433-INT($L433/1000)*1000)</f>
        <v/>
      </c>
      <c r="P433" s="39">
        <f>IF($L433="","",INT(($L433-INT($L433/1000000000)*1000000000)/100000000))</f>
        <v/>
      </c>
    </row>
    <row r="434">
      <c r="B434" s="42">
        <f>IF($L434="","",$M434)</f>
        <v/>
      </c>
      <c r="C434" s="22">
        <f>IF($L434="","",INDEX(HSTECH!$C$7:$C$46,$N434))</f>
        <v/>
      </c>
      <c r="D434" s="22">
        <f>IF($L434="","",INDEX(HSTECH!$D$7:$D$46,$N434))</f>
        <v/>
      </c>
      <c r="E434" s="43">
        <f>IF($L434="","",IF($P434=0,"TBA",IFERROR(INDEX(Grids!$C$116:$BO$155,$N434,$O434),"-")))</f>
        <v/>
      </c>
      <c r="F434" s="22">
        <f>IF($L434="","",INDEX(HSTECH!$F$7:$F$46,$N434))</f>
        <v/>
      </c>
      <c r="G434" s="43">
        <f>IF($L434="","",IF($P434=0,"TBA",IFERROR(INDEX(Grids!$BQ$116:$EC$155,$N434,$O434),"-")))</f>
        <v/>
      </c>
      <c r="H434" s="44">
        <f>IF($L434="","",SUM($G$316:$G434))</f>
        <v/>
      </c>
      <c r="I434" s="45">
        <f>IF($L434="","",IF(INT(($L434-INT($L434/10000000)*10000000)/1000000)=0,"Bloomberg projection",IF($P434=1,"ANNOUNCED","ANNOUNCED - amount TBA")))</f>
        <v/>
      </c>
      <c r="J434" s="46">
        <f>IF($L434="","",IF((OV_SWITCH="ON")*(COUNTIFS(OVR_TICKERS,INDEX(HSTECH!$C$7:$C$46,$N434),OVR_BASE,"&gt;=0")&gt;0)&gt;0,"stock overridden",""))</f>
        <v/>
      </c>
      <c r="L434" s="39">
        <f>IFERROR(IF(SMALL(Grids!$EE$116:$GQ$155,$M$313+119)&gt;=PEND_TO,"",SMALL(Grids!$EE$116:$GQ$155,$M$313+119)),"")</f>
        <v/>
      </c>
      <c r="M434" s="39">
        <f>IF($L434="","",INT($L434/1000000000))</f>
        <v/>
      </c>
      <c r="N434" s="39">
        <f>IF($L434="","",INT(($L434-INT($L434/1000000)*1000000)/1000))</f>
        <v/>
      </c>
      <c r="O434" s="39">
        <f>IF($L434="","",$L434-INT($L434/1000)*1000)</f>
        <v/>
      </c>
      <c r="P434" s="39">
        <f>IF($L434="","",INT(($L434-INT($L434/1000000000)*1000000000)/100000000))</f>
        <v/>
      </c>
    </row>
    <row r="435">
      <c r="B435" s="42">
        <f>IF($L435="","",$M435)</f>
        <v/>
      </c>
      <c r="C435" s="22">
        <f>IF($L435="","",INDEX(HSTECH!$C$7:$C$46,$N435))</f>
        <v/>
      </c>
      <c r="D435" s="22">
        <f>IF($L435="","",INDEX(HSTECH!$D$7:$D$46,$N435))</f>
        <v/>
      </c>
      <c r="E435" s="43">
        <f>IF($L435="","",IF($P435=0,"TBA",IFERROR(INDEX(Grids!$C$116:$BO$155,$N435,$O435),"-")))</f>
        <v/>
      </c>
      <c r="F435" s="22">
        <f>IF($L435="","",INDEX(HSTECH!$F$7:$F$46,$N435))</f>
        <v/>
      </c>
      <c r="G435" s="43">
        <f>IF($L435="","",IF($P435=0,"TBA",IFERROR(INDEX(Grids!$BQ$116:$EC$155,$N435,$O435),"-")))</f>
        <v/>
      </c>
      <c r="H435" s="44">
        <f>IF($L435="","",SUM($G$316:$G435))</f>
        <v/>
      </c>
      <c r="I435" s="45">
        <f>IF($L435="","",IF(INT(($L435-INT($L435/10000000)*10000000)/1000000)=0,"Bloomberg projection",IF($P435=1,"ANNOUNCED","ANNOUNCED - amount TBA")))</f>
        <v/>
      </c>
      <c r="J435" s="46">
        <f>IF($L435="","",IF((OV_SWITCH="ON")*(COUNTIFS(OVR_TICKERS,INDEX(HSTECH!$C$7:$C$46,$N435),OVR_BASE,"&gt;=0")&gt;0)&gt;0,"stock overridden",""))</f>
        <v/>
      </c>
      <c r="L435" s="39">
        <f>IFERROR(IF(SMALL(Grids!$EE$116:$GQ$155,$M$313+120)&gt;=PEND_TO,"",SMALL(Grids!$EE$116:$GQ$155,$M$313+120)),"")</f>
        <v/>
      </c>
      <c r="M435" s="39">
        <f>IF($L435="","",INT($L435/1000000000))</f>
        <v/>
      </c>
      <c r="N435" s="39">
        <f>IF($L435="","",INT(($L435-INT($L435/1000000)*1000000)/1000))</f>
        <v/>
      </c>
      <c r="O435" s="39">
        <f>IF($L435="","",$L435-INT($L435/1000)*1000)</f>
        <v/>
      </c>
      <c r="P435" s="39">
        <f>IF($L435="","",INT(($L435-INT($L435/1000000000)*1000000000)/100000000))</f>
        <v/>
      </c>
    </row>
    <row r="438">
      <c r="B438" s="6" t="inlineStr">
        <is>
          <t>Hang Seng China Enterprises (HSCEI)</t>
        </is>
      </c>
      <c r="C438" s="7" t="n"/>
      <c r="D438" s="7" t="n"/>
      <c r="E438" s="7" t="n"/>
      <c r="F438" s="7" t="n"/>
      <c r="G438" s="7" t="n"/>
      <c r="H438" s="7" t="n"/>
      <c r="I438" s="7" t="n"/>
      <c r="J438" s="7" t="n"/>
    </row>
    <row r="439">
      <c r="B439" s="2" t="inlineStr">
        <is>
          <t>Events pending</t>
        </is>
      </c>
      <c r="C439" s="40">
        <f>COUNTIFS(Grids!$EE$160:$GQ$219,"&gt;="&amp;PEND_FROM,Grids!$EE$160:$GQ$219,"&lt;"&amp;PEND_TO)</f>
        <v/>
      </c>
      <c r="D439" s="5">
        <f>IF($C$439&gt;180,"LIST TRUNCATED - showing the first 180; the model still counts all of them.","all listed below")</f>
        <v/>
      </c>
      <c r="L439" s="2" t="inlineStr">
        <is>
          <t>offset</t>
        </is>
      </c>
      <c r="M439" s="41">
        <f>COUNTIF(Grids!$EE$160:$GQ$219,"&lt;"&amp;PEND_FROM)</f>
        <v/>
      </c>
    </row>
    <row r="441">
      <c r="B441" s="23" t="inlineStr">
        <is>
          <t>Ex-date</t>
        </is>
      </c>
      <c r="C441" s="23" t="inlineStr">
        <is>
          <t>Ticker</t>
        </is>
      </c>
      <c r="D441" s="23" t="inlineStr">
        <is>
          <t>Name</t>
        </is>
      </c>
      <c r="E441" s="23" t="inlineStr">
        <is>
          <t>DPS
(declared ccy)</t>
        </is>
      </c>
      <c r="F441" s="23" t="inlineStr">
        <is>
          <t>CCY</t>
        </is>
      </c>
      <c r="G441" s="23" t="inlineStr">
        <is>
          <t>Index
pts</t>
        </is>
      </c>
      <c r="H441" s="23" t="inlineStr">
        <is>
          <t>Cumulative
pts</t>
        </is>
      </c>
      <c r="I441" s="23" t="inlineStr">
        <is>
          <t>Status</t>
        </is>
      </c>
      <c r="J441" s="23" t="inlineStr">
        <is>
          <t>Your override?</t>
        </is>
      </c>
      <c r="L441" s="2" t="inlineStr">
        <is>
          <t>engine</t>
        </is>
      </c>
    </row>
    <row r="442">
      <c r="B442" s="42">
        <f>IF($L442="","",$M442)</f>
        <v/>
      </c>
      <c r="C442" s="22">
        <f>IF($L442="","",INDEX(HSCEI!$C$7:$C$66,$N442))</f>
        <v/>
      </c>
      <c r="D442" s="22">
        <f>IF($L442="","",INDEX(HSCEI!$D$7:$D$66,$N442))</f>
        <v/>
      </c>
      <c r="E442" s="43">
        <f>IF($L442="","",IF($P442=0,"TBA",IFERROR(INDEX(Grids!$C$160:$BO$219,$N442,$O442),"-")))</f>
        <v/>
      </c>
      <c r="F442" s="22">
        <f>IF($L442="","",INDEX(HSCEI!$F$7:$F$66,$N442))</f>
        <v/>
      </c>
      <c r="G442" s="43">
        <f>IF($L442="","",IF($P442=0,"TBA",IFERROR(INDEX(Grids!$BQ$160:$EC$219,$N442,$O442),"-")))</f>
        <v/>
      </c>
      <c r="H442" s="44">
        <f>IF($L442="","",SUM($G$442:$G442))</f>
        <v/>
      </c>
      <c r="I442" s="45">
        <f>IF($L442="","",IF(INT(($L442-INT($L442/10000000)*10000000)/1000000)=0,"Bloomberg projection",IF($P442=1,"ANNOUNCED","ANNOUNCED - amount TBA")))</f>
        <v/>
      </c>
      <c r="J442" s="46">
        <f>IF($L442="","",IF((OV_SWITCH="ON")*(COUNTIFS(OVR_TICKERS,INDEX(HSCEI!$C$7:$C$66,$N442),OVR_BASE,"&gt;=0")&gt;0)&gt;0,"stock overridden",""))</f>
        <v/>
      </c>
      <c r="L442" s="39">
        <f>IFERROR(IF(SMALL(Grids!$EE$160:$GQ$219,$M$439+1)&gt;=PEND_TO,"",SMALL(Grids!$EE$160:$GQ$219,$M$439+1)),"")</f>
        <v/>
      </c>
      <c r="M442" s="39">
        <f>IF($L442="","",INT($L442/1000000000))</f>
        <v/>
      </c>
      <c r="N442" s="39">
        <f>IF($L442="","",INT(($L442-INT($L442/1000000)*1000000)/1000))</f>
        <v/>
      </c>
      <c r="O442" s="39">
        <f>IF($L442="","",$L442-INT($L442/1000)*1000)</f>
        <v/>
      </c>
      <c r="P442" s="39">
        <f>IF($L442="","",INT(($L442-INT($L442/1000000000)*1000000000)/100000000))</f>
        <v/>
      </c>
    </row>
    <row r="443">
      <c r="B443" s="42">
        <f>IF($L443="","",$M443)</f>
        <v/>
      </c>
      <c r="C443" s="22">
        <f>IF($L443="","",INDEX(HSCEI!$C$7:$C$66,$N443))</f>
        <v/>
      </c>
      <c r="D443" s="22">
        <f>IF($L443="","",INDEX(HSCEI!$D$7:$D$66,$N443))</f>
        <v/>
      </c>
      <c r="E443" s="43">
        <f>IF($L443="","",IF($P443=0,"TBA",IFERROR(INDEX(Grids!$C$160:$BO$219,$N443,$O443),"-")))</f>
        <v/>
      </c>
      <c r="F443" s="22">
        <f>IF($L443="","",INDEX(HSCEI!$F$7:$F$66,$N443))</f>
        <v/>
      </c>
      <c r="G443" s="43">
        <f>IF($L443="","",IF($P443=0,"TBA",IFERROR(INDEX(Grids!$BQ$160:$EC$219,$N443,$O443),"-")))</f>
        <v/>
      </c>
      <c r="H443" s="44">
        <f>IF($L443="","",SUM($G$442:$G443))</f>
        <v/>
      </c>
      <c r="I443" s="45">
        <f>IF($L443="","",IF(INT(($L443-INT($L443/10000000)*10000000)/1000000)=0,"Bloomberg projection",IF($P443=1,"ANNOUNCED","ANNOUNCED - amount TBA")))</f>
        <v/>
      </c>
      <c r="J443" s="46">
        <f>IF($L443="","",IF((OV_SWITCH="ON")*(COUNTIFS(OVR_TICKERS,INDEX(HSCEI!$C$7:$C$66,$N443),OVR_BASE,"&gt;=0")&gt;0)&gt;0,"stock overridden",""))</f>
        <v/>
      </c>
      <c r="L443" s="39">
        <f>IFERROR(IF(SMALL(Grids!$EE$160:$GQ$219,$M$439+2)&gt;=PEND_TO,"",SMALL(Grids!$EE$160:$GQ$219,$M$439+2)),"")</f>
        <v/>
      </c>
      <c r="M443" s="39">
        <f>IF($L443="","",INT($L443/1000000000))</f>
        <v/>
      </c>
      <c r="N443" s="39">
        <f>IF($L443="","",INT(($L443-INT($L443/1000000)*1000000)/1000))</f>
        <v/>
      </c>
      <c r="O443" s="39">
        <f>IF($L443="","",$L443-INT($L443/1000)*1000)</f>
        <v/>
      </c>
      <c r="P443" s="39">
        <f>IF($L443="","",INT(($L443-INT($L443/1000000000)*1000000000)/100000000))</f>
        <v/>
      </c>
    </row>
    <row r="444">
      <c r="B444" s="42">
        <f>IF($L444="","",$M444)</f>
        <v/>
      </c>
      <c r="C444" s="22">
        <f>IF($L444="","",INDEX(HSCEI!$C$7:$C$66,$N444))</f>
        <v/>
      </c>
      <c r="D444" s="22">
        <f>IF($L444="","",INDEX(HSCEI!$D$7:$D$66,$N444))</f>
        <v/>
      </c>
      <c r="E444" s="43">
        <f>IF($L444="","",IF($P444=0,"TBA",IFERROR(INDEX(Grids!$C$160:$BO$219,$N444,$O444),"-")))</f>
        <v/>
      </c>
      <c r="F444" s="22">
        <f>IF($L444="","",INDEX(HSCEI!$F$7:$F$66,$N444))</f>
        <v/>
      </c>
      <c r="G444" s="43">
        <f>IF($L444="","",IF($P444=0,"TBA",IFERROR(INDEX(Grids!$BQ$160:$EC$219,$N444,$O444),"-")))</f>
        <v/>
      </c>
      <c r="H444" s="44">
        <f>IF($L444="","",SUM($G$442:$G444))</f>
        <v/>
      </c>
      <c r="I444" s="45">
        <f>IF($L444="","",IF(INT(($L444-INT($L444/10000000)*10000000)/1000000)=0,"Bloomberg projection",IF($P444=1,"ANNOUNCED","ANNOUNCED - amount TBA")))</f>
        <v/>
      </c>
      <c r="J444" s="46">
        <f>IF($L444="","",IF((OV_SWITCH="ON")*(COUNTIFS(OVR_TICKERS,INDEX(HSCEI!$C$7:$C$66,$N444),OVR_BASE,"&gt;=0")&gt;0)&gt;0,"stock overridden",""))</f>
        <v/>
      </c>
      <c r="L444" s="39">
        <f>IFERROR(IF(SMALL(Grids!$EE$160:$GQ$219,$M$439+3)&gt;=PEND_TO,"",SMALL(Grids!$EE$160:$GQ$219,$M$439+3)),"")</f>
        <v/>
      </c>
      <c r="M444" s="39">
        <f>IF($L444="","",INT($L444/1000000000))</f>
        <v/>
      </c>
      <c r="N444" s="39">
        <f>IF($L444="","",INT(($L444-INT($L444/1000000)*1000000)/1000))</f>
        <v/>
      </c>
      <c r="O444" s="39">
        <f>IF($L444="","",$L444-INT($L444/1000)*1000)</f>
        <v/>
      </c>
      <c r="P444" s="39">
        <f>IF($L444="","",INT(($L444-INT($L444/1000000000)*1000000000)/100000000))</f>
        <v/>
      </c>
    </row>
    <row r="445">
      <c r="B445" s="42">
        <f>IF($L445="","",$M445)</f>
        <v/>
      </c>
      <c r="C445" s="22">
        <f>IF($L445="","",INDEX(HSCEI!$C$7:$C$66,$N445))</f>
        <v/>
      </c>
      <c r="D445" s="22">
        <f>IF($L445="","",INDEX(HSCEI!$D$7:$D$66,$N445))</f>
        <v/>
      </c>
      <c r="E445" s="43">
        <f>IF($L445="","",IF($P445=0,"TBA",IFERROR(INDEX(Grids!$C$160:$BO$219,$N445,$O445),"-")))</f>
        <v/>
      </c>
      <c r="F445" s="22">
        <f>IF($L445="","",INDEX(HSCEI!$F$7:$F$66,$N445))</f>
        <v/>
      </c>
      <c r="G445" s="43">
        <f>IF($L445="","",IF($P445=0,"TBA",IFERROR(INDEX(Grids!$BQ$160:$EC$219,$N445,$O445),"-")))</f>
        <v/>
      </c>
      <c r="H445" s="44">
        <f>IF($L445="","",SUM($G$442:$G445))</f>
        <v/>
      </c>
      <c r="I445" s="45">
        <f>IF($L445="","",IF(INT(($L445-INT($L445/10000000)*10000000)/1000000)=0,"Bloomberg projection",IF($P445=1,"ANNOUNCED","ANNOUNCED - amount TBA")))</f>
        <v/>
      </c>
      <c r="J445" s="46">
        <f>IF($L445="","",IF((OV_SWITCH="ON")*(COUNTIFS(OVR_TICKERS,INDEX(HSCEI!$C$7:$C$66,$N445),OVR_BASE,"&gt;=0")&gt;0)&gt;0,"stock overridden",""))</f>
        <v/>
      </c>
      <c r="L445" s="39">
        <f>IFERROR(IF(SMALL(Grids!$EE$160:$GQ$219,$M$439+4)&gt;=PEND_TO,"",SMALL(Grids!$EE$160:$GQ$219,$M$439+4)),"")</f>
        <v/>
      </c>
      <c r="M445" s="39">
        <f>IF($L445="","",INT($L445/1000000000))</f>
        <v/>
      </c>
      <c r="N445" s="39">
        <f>IF($L445="","",INT(($L445-INT($L445/1000000)*1000000)/1000))</f>
        <v/>
      </c>
      <c r="O445" s="39">
        <f>IF($L445="","",$L445-INT($L445/1000)*1000)</f>
        <v/>
      </c>
      <c r="P445" s="39">
        <f>IF($L445="","",INT(($L445-INT($L445/1000000000)*1000000000)/100000000))</f>
        <v/>
      </c>
    </row>
    <row r="446">
      <c r="B446" s="42">
        <f>IF($L446="","",$M446)</f>
        <v/>
      </c>
      <c r="C446" s="22">
        <f>IF($L446="","",INDEX(HSCEI!$C$7:$C$66,$N446))</f>
        <v/>
      </c>
      <c r="D446" s="22">
        <f>IF($L446="","",INDEX(HSCEI!$D$7:$D$66,$N446))</f>
        <v/>
      </c>
      <c r="E446" s="43">
        <f>IF($L446="","",IF($P446=0,"TBA",IFERROR(INDEX(Grids!$C$160:$BO$219,$N446,$O446),"-")))</f>
        <v/>
      </c>
      <c r="F446" s="22">
        <f>IF($L446="","",INDEX(HSCEI!$F$7:$F$66,$N446))</f>
        <v/>
      </c>
      <c r="G446" s="43">
        <f>IF($L446="","",IF($P446=0,"TBA",IFERROR(INDEX(Grids!$BQ$160:$EC$219,$N446,$O446),"-")))</f>
        <v/>
      </c>
      <c r="H446" s="44">
        <f>IF($L446="","",SUM($G$442:$G446))</f>
        <v/>
      </c>
      <c r="I446" s="45">
        <f>IF($L446="","",IF(INT(($L446-INT($L446/10000000)*10000000)/1000000)=0,"Bloomberg projection",IF($P446=1,"ANNOUNCED","ANNOUNCED - amount TBA")))</f>
        <v/>
      </c>
      <c r="J446" s="46">
        <f>IF($L446="","",IF((OV_SWITCH="ON")*(COUNTIFS(OVR_TICKERS,INDEX(HSCEI!$C$7:$C$66,$N446),OVR_BASE,"&gt;=0")&gt;0)&gt;0,"stock overridden",""))</f>
        <v/>
      </c>
      <c r="L446" s="39">
        <f>IFERROR(IF(SMALL(Grids!$EE$160:$GQ$219,$M$439+5)&gt;=PEND_TO,"",SMALL(Grids!$EE$160:$GQ$219,$M$439+5)),"")</f>
        <v/>
      </c>
      <c r="M446" s="39">
        <f>IF($L446="","",INT($L446/1000000000))</f>
        <v/>
      </c>
      <c r="N446" s="39">
        <f>IF($L446="","",INT(($L446-INT($L446/1000000)*1000000)/1000))</f>
        <v/>
      </c>
      <c r="O446" s="39">
        <f>IF($L446="","",$L446-INT($L446/1000)*1000)</f>
        <v/>
      </c>
      <c r="P446" s="39">
        <f>IF($L446="","",INT(($L446-INT($L446/1000000000)*1000000000)/100000000))</f>
        <v/>
      </c>
    </row>
    <row r="447">
      <c r="B447" s="42">
        <f>IF($L447="","",$M447)</f>
        <v/>
      </c>
      <c r="C447" s="22">
        <f>IF($L447="","",INDEX(HSCEI!$C$7:$C$66,$N447))</f>
        <v/>
      </c>
      <c r="D447" s="22">
        <f>IF($L447="","",INDEX(HSCEI!$D$7:$D$66,$N447))</f>
        <v/>
      </c>
      <c r="E447" s="43">
        <f>IF($L447="","",IF($P447=0,"TBA",IFERROR(INDEX(Grids!$C$160:$BO$219,$N447,$O447),"-")))</f>
        <v/>
      </c>
      <c r="F447" s="22">
        <f>IF($L447="","",INDEX(HSCEI!$F$7:$F$66,$N447))</f>
        <v/>
      </c>
      <c r="G447" s="43">
        <f>IF($L447="","",IF($P447=0,"TBA",IFERROR(INDEX(Grids!$BQ$160:$EC$219,$N447,$O447),"-")))</f>
        <v/>
      </c>
      <c r="H447" s="44">
        <f>IF($L447="","",SUM($G$442:$G447))</f>
        <v/>
      </c>
      <c r="I447" s="45">
        <f>IF($L447="","",IF(INT(($L447-INT($L447/10000000)*10000000)/1000000)=0,"Bloomberg projection",IF($P447=1,"ANNOUNCED","ANNOUNCED - amount TBA")))</f>
        <v/>
      </c>
      <c r="J447" s="46">
        <f>IF($L447="","",IF((OV_SWITCH="ON")*(COUNTIFS(OVR_TICKERS,INDEX(HSCEI!$C$7:$C$66,$N447),OVR_BASE,"&gt;=0")&gt;0)&gt;0,"stock overridden",""))</f>
        <v/>
      </c>
      <c r="L447" s="39">
        <f>IFERROR(IF(SMALL(Grids!$EE$160:$GQ$219,$M$439+6)&gt;=PEND_TO,"",SMALL(Grids!$EE$160:$GQ$219,$M$439+6)),"")</f>
        <v/>
      </c>
      <c r="M447" s="39">
        <f>IF($L447="","",INT($L447/1000000000))</f>
        <v/>
      </c>
      <c r="N447" s="39">
        <f>IF($L447="","",INT(($L447-INT($L447/1000000)*1000000)/1000))</f>
        <v/>
      </c>
      <c r="O447" s="39">
        <f>IF($L447="","",$L447-INT($L447/1000)*1000)</f>
        <v/>
      </c>
      <c r="P447" s="39">
        <f>IF($L447="","",INT(($L447-INT($L447/1000000000)*1000000000)/100000000))</f>
        <v/>
      </c>
    </row>
    <row r="448">
      <c r="B448" s="42">
        <f>IF($L448="","",$M448)</f>
        <v/>
      </c>
      <c r="C448" s="22">
        <f>IF($L448="","",INDEX(HSCEI!$C$7:$C$66,$N448))</f>
        <v/>
      </c>
      <c r="D448" s="22">
        <f>IF($L448="","",INDEX(HSCEI!$D$7:$D$66,$N448))</f>
        <v/>
      </c>
      <c r="E448" s="43">
        <f>IF($L448="","",IF($P448=0,"TBA",IFERROR(INDEX(Grids!$C$160:$BO$219,$N448,$O448),"-")))</f>
        <v/>
      </c>
      <c r="F448" s="22">
        <f>IF($L448="","",INDEX(HSCEI!$F$7:$F$66,$N448))</f>
        <v/>
      </c>
      <c r="G448" s="43">
        <f>IF($L448="","",IF($P448=0,"TBA",IFERROR(INDEX(Grids!$BQ$160:$EC$219,$N448,$O448),"-")))</f>
        <v/>
      </c>
      <c r="H448" s="44">
        <f>IF($L448="","",SUM($G$442:$G448))</f>
        <v/>
      </c>
      <c r="I448" s="45">
        <f>IF($L448="","",IF(INT(($L448-INT($L448/10000000)*10000000)/1000000)=0,"Bloomberg projection",IF($P448=1,"ANNOUNCED","ANNOUNCED - amount TBA")))</f>
        <v/>
      </c>
      <c r="J448" s="46">
        <f>IF($L448="","",IF((OV_SWITCH="ON")*(COUNTIFS(OVR_TICKERS,INDEX(HSCEI!$C$7:$C$66,$N448),OVR_BASE,"&gt;=0")&gt;0)&gt;0,"stock overridden",""))</f>
        <v/>
      </c>
      <c r="L448" s="39">
        <f>IFERROR(IF(SMALL(Grids!$EE$160:$GQ$219,$M$439+7)&gt;=PEND_TO,"",SMALL(Grids!$EE$160:$GQ$219,$M$439+7)),"")</f>
        <v/>
      </c>
      <c r="M448" s="39">
        <f>IF($L448="","",INT($L448/1000000000))</f>
        <v/>
      </c>
      <c r="N448" s="39">
        <f>IF($L448="","",INT(($L448-INT($L448/1000000)*1000000)/1000))</f>
        <v/>
      </c>
      <c r="O448" s="39">
        <f>IF($L448="","",$L448-INT($L448/1000)*1000)</f>
        <v/>
      </c>
      <c r="P448" s="39">
        <f>IF($L448="","",INT(($L448-INT($L448/1000000000)*1000000000)/100000000))</f>
        <v/>
      </c>
    </row>
    <row r="449">
      <c r="B449" s="42">
        <f>IF($L449="","",$M449)</f>
        <v/>
      </c>
      <c r="C449" s="22">
        <f>IF($L449="","",INDEX(HSCEI!$C$7:$C$66,$N449))</f>
        <v/>
      </c>
      <c r="D449" s="22">
        <f>IF($L449="","",INDEX(HSCEI!$D$7:$D$66,$N449))</f>
        <v/>
      </c>
      <c r="E449" s="43">
        <f>IF($L449="","",IF($P449=0,"TBA",IFERROR(INDEX(Grids!$C$160:$BO$219,$N449,$O449),"-")))</f>
        <v/>
      </c>
      <c r="F449" s="22">
        <f>IF($L449="","",INDEX(HSCEI!$F$7:$F$66,$N449))</f>
        <v/>
      </c>
      <c r="G449" s="43">
        <f>IF($L449="","",IF($P449=0,"TBA",IFERROR(INDEX(Grids!$BQ$160:$EC$219,$N449,$O449),"-")))</f>
        <v/>
      </c>
      <c r="H449" s="44">
        <f>IF($L449="","",SUM($G$442:$G449))</f>
        <v/>
      </c>
      <c r="I449" s="45">
        <f>IF($L449="","",IF(INT(($L449-INT($L449/10000000)*10000000)/1000000)=0,"Bloomberg projection",IF($P449=1,"ANNOUNCED","ANNOUNCED - amount TBA")))</f>
        <v/>
      </c>
      <c r="J449" s="46">
        <f>IF($L449="","",IF((OV_SWITCH="ON")*(COUNTIFS(OVR_TICKERS,INDEX(HSCEI!$C$7:$C$66,$N449),OVR_BASE,"&gt;=0")&gt;0)&gt;0,"stock overridden",""))</f>
        <v/>
      </c>
      <c r="L449" s="39">
        <f>IFERROR(IF(SMALL(Grids!$EE$160:$GQ$219,$M$439+8)&gt;=PEND_TO,"",SMALL(Grids!$EE$160:$GQ$219,$M$439+8)),"")</f>
        <v/>
      </c>
      <c r="M449" s="39">
        <f>IF($L449="","",INT($L449/1000000000))</f>
        <v/>
      </c>
      <c r="N449" s="39">
        <f>IF($L449="","",INT(($L449-INT($L449/1000000)*1000000)/1000))</f>
        <v/>
      </c>
      <c r="O449" s="39">
        <f>IF($L449="","",$L449-INT($L449/1000)*1000)</f>
        <v/>
      </c>
      <c r="P449" s="39">
        <f>IF($L449="","",INT(($L449-INT($L449/1000000000)*1000000000)/100000000))</f>
        <v/>
      </c>
    </row>
    <row r="450">
      <c r="B450" s="42">
        <f>IF($L450="","",$M450)</f>
        <v/>
      </c>
      <c r="C450" s="22">
        <f>IF($L450="","",INDEX(HSCEI!$C$7:$C$66,$N450))</f>
        <v/>
      </c>
      <c r="D450" s="22">
        <f>IF($L450="","",INDEX(HSCEI!$D$7:$D$66,$N450))</f>
        <v/>
      </c>
      <c r="E450" s="43">
        <f>IF($L450="","",IF($P450=0,"TBA",IFERROR(INDEX(Grids!$C$160:$BO$219,$N450,$O450),"-")))</f>
        <v/>
      </c>
      <c r="F450" s="22">
        <f>IF($L450="","",INDEX(HSCEI!$F$7:$F$66,$N450))</f>
        <v/>
      </c>
      <c r="G450" s="43">
        <f>IF($L450="","",IF($P450=0,"TBA",IFERROR(INDEX(Grids!$BQ$160:$EC$219,$N450,$O450),"-")))</f>
        <v/>
      </c>
      <c r="H450" s="44">
        <f>IF($L450="","",SUM($G$442:$G450))</f>
        <v/>
      </c>
      <c r="I450" s="45">
        <f>IF($L450="","",IF(INT(($L450-INT($L450/10000000)*10000000)/1000000)=0,"Bloomberg projection",IF($P450=1,"ANNOUNCED","ANNOUNCED - amount TBA")))</f>
        <v/>
      </c>
      <c r="J450" s="46">
        <f>IF($L450="","",IF((OV_SWITCH="ON")*(COUNTIFS(OVR_TICKERS,INDEX(HSCEI!$C$7:$C$66,$N450),OVR_BASE,"&gt;=0")&gt;0)&gt;0,"stock overridden",""))</f>
        <v/>
      </c>
      <c r="L450" s="39">
        <f>IFERROR(IF(SMALL(Grids!$EE$160:$GQ$219,$M$439+9)&gt;=PEND_TO,"",SMALL(Grids!$EE$160:$GQ$219,$M$439+9)),"")</f>
        <v/>
      </c>
      <c r="M450" s="39">
        <f>IF($L450="","",INT($L450/1000000000))</f>
        <v/>
      </c>
      <c r="N450" s="39">
        <f>IF($L450="","",INT(($L450-INT($L450/1000000)*1000000)/1000))</f>
        <v/>
      </c>
      <c r="O450" s="39">
        <f>IF($L450="","",$L450-INT($L450/1000)*1000)</f>
        <v/>
      </c>
      <c r="P450" s="39">
        <f>IF($L450="","",INT(($L450-INT($L450/1000000000)*1000000000)/100000000))</f>
        <v/>
      </c>
    </row>
    <row r="451">
      <c r="B451" s="42">
        <f>IF($L451="","",$M451)</f>
        <v/>
      </c>
      <c r="C451" s="22">
        <f>IF($L451="","",INDEX(HSCEI!$C$7:$C$66,$N451))</f>
        <v/>
      </c>
      <c r="D451" s="22">
        <f>IF($L451="","",INDEX(HSCEI!$D$7:$D$66,$N451))</f>
        <v/>
      </c>
      <c r="E451" s="43">
        <f>IF($L451="","",IF($P451=0,"TBA",IFERROR(INDEX(Grids!$C$160:$BO$219,$N451,$O451),"-")))</f>
        <v/>
      </c>
      <c r="F451" s="22">
        <f>IF($L451="","",INDEX(HSCEI!$F$7:$F$66,$N451))</f>
        <v/>
      </c>
      <c r="G451" s="43">
        <f>IF($L451="","",IF($P451=0,"TBA",IFERROR(INDEX(Grids!$BQ$160:$EC$219,$N451,$O451),"-")))</f>
        <v/>
      </c>
      <c r="H451" s="44">
        <f>IF($L451="","",SUM($G$442:$G451))</f>
        <v/>
      </c>
      <c r="I451" s="45">
        <f>IF($L451="","",IF(INT(($L451-INT($L451/10000000)*10000000)/1000000)=0,"Bloomberg projection",IF($P451=1,"ANNOUNCED","ANNOUNCED - amount TBA")))</f>
        <v/>
      </c>
      <c r="J451" s="46">
        <f>IF($L451="","",IF((OV_SWITCH="ON")*(COUNTIFS(OVR_TICKERS,INDEX(HSCEI!$C$7:$C$66,$N451),OVR_BASE,"&gt;=0")&gt;0)&gt;0,"stock overridden",""))</f>
        <v/>
      </c>
      <c r="L451" s="39">
        <f>IFERROR(IF(SMALL(Grids!$EE$160:$GQ$219,$M$439+10)&gt;=PEND_TO,"",SMALL(Grids!$EE$160:$GQ$219,$M$439+10)),"")</f>
        <v/>
      </c>
      <c r="M451" s="39">
        <f>IF($L451="","",INT($L451/1000000000))</f>
        <v/>
      </c>
      <c r="N451" s="39">
        <f>IF($L451="","",INT(($L451-INT($L451/1000000)*1000000)/1000))</f>
        <v/>
      </c>
      <c r="O451" s="39">
        <f>IF($L451="","",$L451-INT($L451/1000)*1000)</f>
        <v/>
      </c>
      <c r="P451" s="39">
        <f>IF($L451="","",INT(($L451-INT($L451/1000000000)*1000000000)/100000000))</f>
        <v/>
      </c>
    </row>
    <row r="452">
      <c r="B452" s="42">
        <f>IF($L452="","",$M452)</f>
        <v/>
      </c>
      <c r="C452" s="22">
        <f>IF($L452="","",INDEX(HSCEI!$C$7:$C$66,$N452))</f>
        <v/>
      </c>
      <c r="D452" s="22">
        <f>IF($L452="","",INDEX(HSCEI!$D$7:$D$66,$N452))</f>
        <v/>
      </c>
      <c r="E452" s="43">
        <f>IF($L452="","",IF($P452=0,"TBA",IFERROR(INDEX(Grids!$C$160:$BO$219,$N452,$O452),"-")))</f>
        <v/>
      </c>
      <c r="F452" s="22">
        <f>IF($L452="","",INDEX(HSCEI!$F$7:$F$66,$N452))</f>
        <v/>
      </c>
      <c r="G452" s="43">
        <f>IF($L452="","",IF($P452=0,"TBA",IFERROR(INDEX(Grids!$BQ$160:$EC$219,$N452,$O452),"-")))</f>
        <v/>
      </c>
      <c r="H452" s="44">
        <f>IF($L452="","",SUM($G$442:$G452))</f>
        <v/>
      </c>
      <c r="I452" s="45">
        <f>IF($L452="","",IF(INT(($L452-INT($L452/10000000)*10000000)/1000000)=0,"Bloomberg projection",IF($P452=1,"ANNOUNCED","ANNOUNCED - amount TBA")))</f>
        <v/>
      </c>
      <c r="J452" s="46">
        <f>IF($L452="","",IF((OV_SWITCH="ON")*(COUNTIFS(OVR_TICKERS,INDEX(HSCEI!$C$7:$C$66,$N452),OVR_BASE,"&gt;=0")&gt;0)&gt;0,"stock overridden",""))</f>
        <v/>
      </c>
      <c r="L452" s="39">
        <f>IFERROR(IF(SMALL(Grids!$EE$160:$GQ$219,$M$439+11)&gt;=PEND_TO,"",SMALL(Grids!$EE$160:$GQ$219,$M$439+11)),"")</f>
        <v/>
      </c>
      <c r="M452" s="39">
        <f>IF($L452="","",INT($L452/1000000000))</f>
        <v/>
      </c>
      <c r="N452" s="39">
        <f>IF($L452="","",INT(($L452-INT($L452/1000000)*1000000)/1000))</f>
        <v/>
      </c>
      <c r="O452" s="39">
        <f>IF($L452="","",$L452-INT($L452/1000)*1000)</f>
        <v/>
      </c>
      <c r="P452" s="39">
        <f>IF($L452="","",INT(($L452-INT($L452/1000000000)*1000000000)/100000000))</f>
        <v/>
      </c>
    </row>
    <row r="453">
      <c r="B453" s="42">
        <f>IF($L453="","",$M453)</f>
        <v/>
      </c>
      <c r="C453" s="22">
        <f>IF($L453="","",INDEX(HSCEI!$C$7:$C$66,$N453))</f>
        <v/>
      </c>
      <c r="D453" s="22">
        <f>IF($L453="","",INDEX(HSCEI!$D$7:$D$66,$N453))</f>
        <v/>
      </c>
      <c r="E453" s="43">
        <f>IF($L453="","",IF($P453=0,"TBA",IFERROR(INDEX(Grids!$C$160:$BO$219,$N453,$O453),"-")))</f>
        <v/>
      </c>
      <c r="F453" s="22">
        <f>IF($L453="","",INDEX(HSCEI!$F$7:$F$66,$N453))</f>
        <v/>
      </c>
      <c r="G453" s="43">
        <f>IF($L453="","",IF($P453=0,"TBA",IFERROR(INDEX(Grids!$BQ$160:$EC$219,$N453,$O453),"-")))</f>
        <v/>
      </c>
      <c r="H453" s="44">
        <f>IF($L453="","",SUM($G$442:$G453))</f>
        <v/>
      </c>
      <c r="I453" s="45">
        <f>IF($L453="","",IF(INT(($L453-INT($L453/10000000)*10000000)/1000000)=0,"Bloomberg projection",IF($P453=1,"ANNOUNCED","ANNOUNCED - amount TBA")))</f>
        <v/>
      </c>
      <c r="J453" s="46">
        <f>IF($L453="","",IF((OV_SWITCH="ON")*(COUNTIFS(OVR_TICKERS,INDEX(HSCEI!$C$7:$C$66,$N453),OVR_BASE,"&gt;=0")&gt;0)&gt;0,"stock overridden",""))</f>
        <v/>
      </c>
      <c r="L453" s="39">
        <f>IFERROR(IF(SMALL(Grids!$EE$160:$GQ$219,$M$439+12)&gt;=PEND_TO,"",SMALL(Grids!$EE$160:$GQ$219,$M$439+12)),"")</f>
        <v/>
      </c>
      <c r="M453" s="39">
        <f>IF($L453="","",INT($L453/1000000000))</f>
        <v/>
      </c>
      <c r="N453" s="39">
        <f>IF($L453="","",INT(($L453-INT($L453/1000000)*1000000)/1000))</f>
        <v/>
      </c>
      <c r="O453" s="39">
        <f>IF($L453="","",$L453-INT($L453/1000)*1000)</f>
        <v/>
      </c>
      <c r="P453" s="39">
        <f>IF($L453="","",INT(($L453-INT($L453/1000000000)*1000000000)/100000000))</f>
        <v/>
      </c>
    </row>
    <row r="454">
      <c r="B454" s="42">
        <f>IF($L454="","",$M454)</f>
        <v/>
      </c>
      <c r="C454" s="22">
        <f>IF($L454="","",INDEX(HSCEI!$C$7:$C$66,$N454))</f>
        <v/>
      </c>
      <c r="D454" s="22">
        <f>IF($L454="","",INDEX(HSCEI!$D$7:$D$66,$N454))</f>
        <v/>
      </c>
      <c r="E454" s="43">
        <f>IF($L454="","",IF($P454=0,"TBA",IFERROR(INDEX(Grids!$C$160:$BO$219,$N454,$O454),"-")))</f>
        <v/>
      </c>
      <c r="F454" s="22">
        <f>IF($L454="","",INDEX(HSCEI!$F$7:$F$66,$N454))</f>
        <v/>
      </c>
      <c r="G454" s="43">
        <f>IF($L454="","",IF($P454=0,"TBA",IFERROR(INDEX(Grids!$BQ$160:$EC$219,$N454,$O454),"-")))</f>
        <v/>
      </c>
      <c r="H454" s="44">
        <f>IF($L454="","",SUM($G$442:$G454))</f>
        <v/>
      </c>
      <c r="I454" s="45">
        <f>IF($L454="","",IF(INT(($L454-INT($L454/10000000)*10000000)/1000000)=0,"Bloomberg projection",IF($P454=1,"ANNOUNCED","ANNOUNCED - amount TBA")))</f>
        <v/>
      </c>
      <c r="J454" s="46">
        <f>IF($L454="","",IF((OV_SWITCH="ON")*(COUNTIFS(OVR_TICKERS,INDEX(HSCEI!$C$7:$C$66,$N454),OVR_BASE,"&gt;=0")&gt;0)&gt;0,"stock overridden",""))</f>
        <v/>
      </c>
      <c r="L454" s="39">
        <f>IFERROR(IF(SMALL(Grids!$EE$160:$GQ$219,$M$439+13)&gt;=PEND_TO,"",SMALL(Grids!$EE$160:$GQ$219,$M$439+13)),"")</f>
        <v/>
      </c>
      <c r="M454" s="39">
        <f>IF($L454="","",INT($L454/1000000000))</f>
        <v/>
      </c>
      <c r="N454" s="39">
        <f>IF($L454="","",INT(($L454-INT($L454/1000000)*1000000)/1000))</f>
        <v/>
      </c>
      <c r="O454" s="39">
        <f>IF($L454="","",$L454-INT($L454/1000)*1000)</f>
        <v/>
      </c>
      <c r="P454" s="39">
        <f>IF($L454="","",INT(($L454-INT($L454/1000000000)*1000000000)/100000000))</f>
        <v/>
      </c>
    </row>
    <row r="455">
      <c r="B455" s="42">
        <f>IF($L455="","",$M455)</f>
        <v/>
      </c>
      <c r="C455" s="22">
        <f>IF($L455="","",INDEX(HSCEI!$C$7:$C$66,$N455))</f>
        <v/>
      </c>
      <c r="D455" s="22">
        <f>IF($L455="","",INDEX(HSCEI!$D$7:$D$66,$N455))</f>
        <v/>
      </c>
      <c r="E455" s="43">
        <f>IF($L455="","",IF($P455=0,"TBA",IFERROR(INDEX(Grids!$C$160:$BO$219,$N455,$O455),"-")))</f>
        <v/>
      </c>
      <c r="F455" s="22">
        <f>IF($L455="","",INDEX(HSCEI!$F$7:$F$66,$N455))</f>
        <v/>
      </c>
      <c r="G455" s="43">
        <f>IF($L455="","",IF($P455=0,"TBA",IFERROR(INDEX(Grids!$BQ$160:$EC$219,$N455,$O455),"-")))</f>
        <v/>
      </c>
      <c r="H455" s="44">
        <f>IF($L455="","",SUM($G$442:$G455))</f>
        <v/>
      </c>
      <c r="I455" s="45">
        <f>IF($L455="","",IF(INT(($L455-INT($L455/10000000)*10000000)/1000000)=0,"Bloomberg projection",IF($P455=1,"ANNOUNCED","ANNOUNCED - amount TBA")))</f>
        <v/>
      </c>
      <c r="J455" s="46">
        <f>IF($L455="","",IF((OV_SWITCH="ON")*(COUNTIFS(OVR_TICKERS,INDEX(HSCEI!$C$7:$C$66,$N455),OVR_BASE,"&gt;=0")&gt;0)&gt;0,"stock overridden",""))</f>
        <v/>
      </c>
      <c r="L455" s="39">
        <f>IFERROR(IF(SMALL(Grids!$EE$160:$GQ$219,$M$439+14)&gt;=PEND_TO,"",SMALL(Grids!$EE$160:$GQ$219,$M$439+14)),"")</f>
        <v/>
      </c>
      <c r="M455" s="39">
        <f>IF($L455="","",INT($L455/1000000000))</f>
        <v/>
      </c>
      <c r="N455" s="39">
        <f>IF($L455="","",INT(($L455-INT($L455/1000000)*1000000)/1000))</f>
        <v/>
      </c>
      <c r="O455" s="39">
        <f>IF($L455="","",$L455-INT($L455/1000)*1000)</f>
        <v/>
      </c>
      <c r="P455" s="39">
        <f>IF($L455="","",INT(($L455-INT($L455/1000000000)*1000000000)/100000000))</f>
        <v/>
      </c>
    </row>
    <row r="456">
      <c r="B456" s="42">
        <f>IF($L456="","",$M456)</f>
        <v/>
      </c>
      <c r="C456" s="22">
        <f>IF($L456="","",INDEX(HSCEI!$C$7:$C$66,$N456))</f>
        <v/>
      </c>
      <c r="D456" s="22">
        <f>IF($L456="","",INDEX(HSCEI!$D$7:$D$66,$N456))</f>
        <v/>
      </c>
      <c r="E456" s="43">
        <f>IF($L456="","",IF($P456=0,"TBA",IFERROR(INDEX(Grids!$C$160:$BO$219,$N456,$O456),"-")))</f>
        <v/>
      </c>
      <c r="F456" s="22">
        <f>IF($L456="","",INDEX(HSCEI!$F$7:$F$66,$N456))</f>
        <v/>
      </c>
      <c r="G456" s="43">
        <f>IF($L456="","",IF($P456=0,"TBA",IFERROR(INDEX(Grids!$BQ$160:$EC$219,$N456,$O456),"-")))</f>
        <v/>
      </c>
      <c r="H456" s="44">
        <f>IF($L456="","",SUM($G$442:$G456))</f>
        <v/>
      </c>
      <c r="I456" s="45">
        <f>IF($L456="","",IF(INT(($L456-INT($L456/10000000)*10000000)/1000000)=0,"Bloomberg projection",IF($P456=1,"ANNOUNCED","ANNOUNCED - amount TBA")))</f>
        <v/>
      </c>
      <c r="J456" s="46">
        <f>IF($L456="","",IF((OV_SWITCH="ON")*(COUNTIFS(OVR_TICKERS,INDEX(HSCEI!$C$7:$C$66,$N456),OVR_BASE,"&gt;=0")&gt;0)&gt;0,"stock overridden",""))</f>
        <v/>
      </c>
      <c r="L456" s="39">
        <f>IFERROR(IF(SMALL(Grids!$EE$160:$GQ$219,$M$439+15)&gt;=PEND_TO,"",SMALL(Grids!$EE$160:$GQ$219,$M$439+15)),"")</f>
        <v/>
      </c>
      <c r="M456" s="39">
        <f>IF($L456="","",INT($L456/1000000000))</f>
        <v/>
      </c>
      <c r="N456" s="39">
        <f>IF($L456="","",INT(($L456-INT($L456/1000000)*1000000)/1000))</f>
        <v/>
      </c>
      <c r="O456" s="39">
        <f>IF($L456="","",$L456-INT($L456/1000)*1000)</f>
        <v/>
      </c>
      <c r="P456" s="39">
        <f>IF($L456="","",INT(($L456-INT($L456/1000000000)*1000000000)/100000000))</f>
        <v/>
      </c>
    </row>
    <row r="457">
      <c r="B457" s="42">
        <f>IF($L457="","",$M457)</f>
        <v/>
      </c>
      <c r="C457" s="22">
        <f>IF($L457="","",INDEX(HSCEI!$C$7:$C$66,$N457))</f>
        <v/>
      </c>
      <c r="D457" s="22">
        <f>IF($L457="","",INDEX(HSCEI!$D$7:$D$66,$N457))</f>
        <v/>
      </c>
      <c r="E457" s="43">
        <f>IF($L457="","",IF($P457=0,"TBA",IFERROR(INDEX(Grids!$C$160:$BO$219,$N457,$O457),"-")))</f>
        <v/>
      </c>
      <c r="F457" s="22">
        <f>IF($L457="","",INDEX(HSCEI!$F$7:$F$66,$N457))</f>
        <v/>
      </c>
      <c r="G457" s="43">
        <f>IF($L457="","",IF($P457=0,"TBA",IFERROR(INDEX(Grids!$BQ$160:$EC$219,$N457,$O457),"-")))</f>
        <v/>
      </c>
      <c r="H457" s="44">
        <f>IF($L457="","",SUM($G$442:$G457))</f>
        <v/>
      </c>
      <c r="I457" s="45">
        <f>IF($L457="","",IF(INT(($L457-INT($L457/10000000)*10000000)/1000000)=0,"Bloomberg projection",IF($P457=1,"ANNOUNCED","ANNOUNCED - amount TBA")))</f>
        <v/>
      </c>
      <c r="J457" s="46">
        <f>IF($L457="","",IF((OV_SWITCH="ON")*(COUNTIFS(OVR_TICKERS,INDEX(HSCEI!$C$7:$C$66,$N457),OVR_BASE,"&gt;=0")&gt;0)&gt;0,"stock overridden",""))</f>
        <v/>
      </c>
      <c r="L457" s="39">
        <f>IFERROR(IF(SMALL(Grids!$EE$160:$GQ$219,$M$439+16)&gt;=PEND_TO,"",SMALL(Grids!$EE$160:$GQ$219,$M$439+16)),"")</f>
        <v/>
      </c>
      <c r="M457" s="39">
        <f>IF($L457="","",INT($L457/1000000000))</f>
        <v/>
      </c>
      <c r="N457" s="39">
        <f>IF($L457="","",INT(($L457-INT($L457/1000000)*1000000)/1000))</f>
        <v/>
      </c>
      <c r="O457" s="39">
        <f>IF($L457="","",$L457-INT($L457/1000)*1000)</f>
        <v/>
      </c>
      <c r="P457" s="39">
        <f>IF($L457="","",INT(($L457-INT($L457/1000000000)*1000000000)/100000000))</f>
        <v/>
      </c>
    </row>
    <row r="458">
      <c r="B458" s="42">
        <f>IF($L458="","",$M458)</f>
        <v/>
      </c>
      <c r="C458" s="22">
        <f>IF($L458="","",INDEX(HSCEI!$C$7:$C$66,$N458))</f>
        <v/>
      </c>
      <c r="D458" s="22">
        <f>IF($L458="","",INDEX(HSCEI!$D$7:$D$66,$N458))</f>
        <v/>
      </c>
      <c r="E458" s="43">
        <f>IF($L458="","",IF($P458=0,"TBA",IFERROR(INDEX(Grids!$C$160:$BO$219,$N458,$O458),"-")))</f>
        <v/>
      </c>
      <c r="F458" s="22">
        <f>IF($L458="","",INDEX(HSCEI!$F$7:$F$66,$N458))</f>
        <v/>
      </c>
      <c r="G458" s="43">
        <f>IF($L458="","",IF($P458=0,"TBA",IFERROR(INDEX(Grids!$BQ$160:$EC$219,$N458,$O458),"-")))</f>
        <v/>
      </c>
      <c r="H458" s="44">
        <f>IF($L458="","",SUM($G$442:$G458))</f>
        <v/>
      </c>
      <c r="I458" s="45">
        <f>IF($L458="","",IF(INT(($L458-INT($L458/10000000)*10000000)/1000000)=0,"Bloomberg projection",IF($P458=1,"ANNOUNCED","ANNOUNCED - amount TBA")))</f>
        <v/>
      </c>
      <c r="J458" s="46">
        <f>IF($L458="","",IF((OV_SWITCH="ON")*(COUNTIFS(OVR_TICKERS,INDEX(HSCEI!$C$7:$C$66,$N458),OVR_BASE,"&gt;=0")&gt;0)&gt;0,"stock overridden",""))</f>
        <v/>
      </c>
      <c r="L458" s="39">
        <f>IFERROR(IF(SMALL(Grids!$EE$160:$GQ$219,$M$439+17)&gt;=PEND_TO,"",SMALL(Grids!$EE$160:$GQ$219,$M$439+17)),"")</f>
        <v/>
      </c>
      <c r="M458" s="39">
        <f>IF($L458="","",INT($L458/1000000000))</f>
        <v/>
      </c>
      <c r="N458" s="39">
        <f>IF($L458="","",INT(($L458-INT($L458/1000000)*1000000)/1000))</f>
        <v/>
      </c>
      <c r="O458" s="39">
        <f>IF($L458="","",$L458-INT($L458/1000)*1000)</f>
        <v/>
      </c>
      <c r="P458" s="39">
        <f>IF($L458="","",INT(($L458-INT($L458/1000000000)*1000000000)/100000000))</f>
        <v/>
      </c>
    </row>
    <row r="459">
      <c r="B459" s="42">
        <f>IF($L459="","",$M459)</f>
        <v/>
      </c>
      <c r="C459" s="22">
        <f>IF($L459="","",INDEX(HSCEI!$C$7:$C$66,$N459))</f>
        <v/>
      </c>
      <c r="D459" s="22">
        <f>IF($L459="","",INDEX(HSCEI!$D$7:$D$66,$N459))</f>
        <v/>
      </c>
      <c r="E459" s="43">
        <f>IF($L459="","",IF($P459=0,"TBA",IFERROR(INDEX(Grids!$C$160:$BO$219,$N459,$O459),"-")))</f>
        <v/>
      </c>
      <c r="F459" s="22">
        <f>IF($L459="","",INDEX(HSCEI!$F$7:$F$66,$N459))</f>
        <v/>
      </c>
      <c r="G459" s="43">
        <f>IF($L459="","",IF($P459=0,"TBA",IFERROR(INDEX(Grids!$BQ$160:$EC$219,$N459,$O459),"-")))</f>
        <v/>
      </c>
      <c r="H459" s="44">
        <f>IF($L459="","",SUM($G$442:$G459))</f>
        <v/>
      </c>
      <c r="I459" s="45">
        <f>IF($L459="","",IF(INT(($L459-INT($L459/10000000)*10000000)/1000000)=0,"Bloomberg projection",IF($P459=1,"ANNOUNCED","ANNOUNCED - amount TBA")))</f>
        <v/>
      </c>
      <c r="J459" s="46">
        <f>IF($L459="","",IF((OV_SWITCH="ON")*(COUNTIFS(OVR_TICKERS,INDEX(HSCEI!$C$7:$C$66,$N459),OVR_BASE,"&gt;=0")&gt;0)&gt;0,"stock overridden",""))</f>
        <v/>
      </c>
      <c r="L459" s="39">
        <f>IFERROR(IF(SMALL(Grids!$EE$160:$GQ$219,$M$439+18)&gt;=PEND_TO,"",SMALL(Grids!$EE$160:$GQ$219,$M$439+18)),"")</f>
        <v/>
      </c>
      <c r="M459" s="39">
        <f>IF($L459="","",INT($L459/1000000000))</f>
        <v/>
      </c>
      <c r="N459" s="39">
        <f>IF($L459="","",INT(($L459-INT($L459/1000000)*1000000)/1000))</f>
        <v/>
      </c>
      <c r="O459" s="39">
        <f>IF($L459="","",$L459-INT($L459/1000)*1000)</f>
        <v/>
      </c>
      <c r="P459" s="39">
        <f>IF($L459="","",INT(($L459-INT($L459/1000000000)*1000000000)/100000000))</f>
        <v/>
      </c>
    </row>
    <row r="460">
      <c r="B460" s="42">
        <f>IF($L460="","",$M460)</f>
        <v/>
      </c>
      <c r="C460" s="22">
        <f>IF($L460="","",INDEX(HSCEI!$C$7:$C$66,$N460))</f>
        <v/>
      </c>
      <c r="D460" s="22">
        <f>IF($L460="","",INDEX(HSCEI!$D$7:$D$66,$N460))</f>
        <v/>
      </c>
      <c r="E460" s="43">
        <f>IF($L460="","",IF($P460=0,"TBA",IFERROR(INDEX(Grids!$C$160:$BO$219,$N460,$O460),"-")))</f>
        <v/>
      </c>
      <c r="F460" s="22">
        <f>IF($L460="","",INDEX(HSCEI!$F$7:$F$66,$N460))</f>
        <v/>
      </c>
      <c r="G460" s="43">
        <f>IF($L460="","",IF($P460=0,"TBA",IFERROR(INDEX(Grids!$BQ$160:$EC$219,$N460,$O460),"-")))</f>
        <v/>
      </c>
      <c r="H460" s="44">
        <f>IF($L460="","",SUM($G$442:$G460))</f>
        <v/>
      </c>
      <c r="I460" s="45">
        <f>IF($L460="","",IF(INT(($L460-INT($L460/10000000)*10000000)/1000000)=0,"Bloomberg projection",IF($P460=1,"ANNOUNCED","ANNOUNCED - amount TBA")))</f>
        <v/>
      </c>
      <c r="J460" s="46">
        <f>IF($L460="","",IF((OV_SWITCH="ON")*(COUNTIFS(OVR_TICKERS,INDEX(HSCEI!$C$7:$C$66,$N460),OVR_BASE,"&gt;=0")&gt;0)&gt;0,"stock overridden",""))</f>
        <v/>
      </c>
      <c r="L460" s="39">
        <f>IFERROR(IF(SMALL(Grids!$EE$160:$GQ$219,$M$439+19)&gt;=PEND_TO,"",SMALL(Grids!$EE$160:$GQ$219,$M$439+19)),"")</f>
        <v/>
      </c>
      <c r="M460" s="39">
        <f>IF($L460="","",INT($L460/1000000000))</f>
        <v/>
      </c>
      <c r="N460" s="39">
        <f>IF($L460="","",INT(($L460-INT($L460/1000000)*1000000)/1000))</f>
        <v/>
      </c>
      <c r="O460" s="39">
        <f>IF($L460="","",$L460-INT($L460/1000)*1000)</f>
        <v/>
      </c>
      <c r="P460" s="39">
        <f>IF($L460="","",INT(($L460-INT($L460/1000000000)*1000000000)/100000000))</f>
        <v/>
      </c>
    </row>
    <row r="461">
      <c r="B461" s="42">
        <f>IF($L461="","",$M461)</f>
        <v/>
      </c>
      <c r="C461" s="22">
        <f>IF($L461="","",INDEX(HSCEI!$C$7:$C$66,$N461))</f>
        <v/>
      </c>
      <c r="D461" s="22">
        <f>IF($L461="","",INDEX(HSCEI!$D$7:$D$66,$N461))</f>
        <v/>
      </c>
      <c r="E461" s="43">
        <f>IF($L461="","",IF($P461=0,"TBA",IFERROR(INDEX(Grids!$C$160:$BO$219,$N461,$O461),"-")))</f>
        <v/>
      </c>
      <c r="F461" s="22">
        <f>IF($L461="","",INDEX(HSCEI!$F$7:$F$66,$N461))</f>
        <v/>
      </c>
      <c r="G461" s="43">
        <f>IF($L461="","",IF($P461=0,"TBA",IFERROR(INDEX(Grids!$BQ$160:$EC$219,$N461,$O461),"-")))</f>
        <v/>
      </c>
      <c r="H461" s="44">
        <f>IF($L461="","",SUM($G$442:$G461))</f>
        <v/>
      </c>
      <c r="I461" s="45">
        <f>IF($L461="","",IF(INT(($L461-INT($L461/10000000)*10000000)/1000000)=0,"Bloomberg projection",IF($P461=1,"ANNOUNCED","ANNOUNCED - amount TBA")))</f>
        <v/>
      </c>
      <c r="J461" s="46">
        <f>IF($L461="","",IF((OV_SWITCH="ON")*(COUNTIFS(OVR_TICKERS,INDEX(HSCEI!$C$7:$C$66,$N461),OVR_BASE,"&gt;=0")&gt;0)&gt;0,"stock overridden",""))</f>
        <v/>
      </c>
      <c r="L461" s="39">
        <f>IFERROR(IF(SMALL(Grids!$EE$160:$GQ$219,$M$439+20)&gt;=PEND_TO,"",SMALL(Grids!$EE$160:$GQ$219,$M$439+20)),"")</f>
        <v/>
      </c>
      <c r="M461" s="39">
        <f>IF($L461="","",INT($L461/1000000000))</f>
        <v/>
      </c>
      <c r="N461" s="39">
        <f>IF($L461="","",INT(($L461-INT($L461/1000000)*1000000)/1000))</f>
        <v/>
      </c>
      <c r="O461" s="39">
        <f>IF($L461="","",$L461-INT($L461/1000)*1000)</f>
        <v/>
      </c>
      <c r="P461" s="39">
        <f>IF($L461="","",INT(($L461-INT($L461/1000000000)*1000000000)/100000000))</f>
        <v/>
      </c>
    </row>
    <row r="462">
      <c r="B462" s="42">
        <f>IF($L462="","",$M462)</f>
        <v/>
      </c>
      <c r="C462" s="22">
        <f>IF($L462="","",INDEX(HSCEI!$C$7:$C$66,$N462))</f>
        <v/>
      </c>
      <c r="D462" s="22">
        <f>IF($L462="","",INDEX(HSCEI!$D$7:$D$66,$N462))</f>
        <v/>
      </c>
      <c r="E462" s="43">
        <f>IF($L462="","",IF($P462=0,"TBA",IFERROR(INDEX(Grids!$C$160:$BO$219,$N462,$O462),"-")))</f>
        <v/>
      </c>
      <c r="F462" s="22">
        <f>IF($L462="","",INDEX(HSCEI!$F$7:$F$66,$N462))</f>
        <v/>
      </c>
      <c r="G462" s="43">
        <f>IF($L462="","",IF($P462=0,"TBA",IFERROR(INDEX(Grids!$BQ$160:$EC$219,$N462,$O462),"-")))</f>
        <v/>
      </c>
      <c r="H462" s="44">
        <f>IF($L462="","",SUM($G$442:$G462))</f>
        <v/>
      </c>
      <c r="I462" s="45">
        <f>IF($L462="","",IF(INT(($L462-INT($L462/10000000)*10000000)/1000000)=0,"Bloomberg projection",IF($P462=1,"ANNOUNCED","ANNOUNCED - amount TBA")))</f>
        <v/>
      </c>
      <c r="J462" s="46">
        <f>IF($L462="","",IF((OV_SWITCH="ON")*(COUNTIFS(OVR_TICKERS,INDEX(HSCEI!$C$7:$C$66,$N462),OVR_BASE,"&gt;=0")&gt;0)&gt;0,"stock overridden",""))</f>
        <v/>
      </c>
      <c r="L462" s="39">
        <f>IFERROR(IF(SMALL(Grids!$EE$160:$GQ$219,$M$439+21)&gt;=PEND_TO,"",SMALL(Grids!$EE$160:$GQ$219,$M$439+21)),"")</f>
        <v/>
      </c>
      <c r="M462" s="39">
        <f>IF($L462="","",INT($L462/1000000000))</f>
        <v/>
      </c>
      <c r="N462" s="39">
        <f>IF($L462="","",INT(($L462-INT($L462/1000000)*1000000)/1000))</f>
        <v/>
      </c>
      <c r="O462" s="39">
        <f>IF($L462="","",$L462-INT($L462/1000)*1000)</f>
        <v/>
      </c>
      <c r="P462" s="39">
        <f>IF($L462="","",INT(($L462-INT($L462/1000000000)*1000000000)/100000000))</f>
        <v/>
      </c>
    </row>
    <row r="463">
      <c r="B463" s="42">
        <f>IF($L463="","",$M463)</f>
        <v/>
      </c>
      <c r="C463" s="22">
        <f>IF($L463="","",INDEX(HSCEI!$C$7:$C$66,$N463))</f>
        <v/>
      </c>
      <c r="D463" s="22">
        <f>IF($L463="","",INDEX(HSCEI!$D$7:$D$66,$N463))</f>
        <v/>
      </c>
      <c r="E463" s="43">
        <f>IF($L463="","",IF($P463=0,"TBA",IFERROR(INDEX(Grids!$C$160:$BO$219,$N463,$O463),"-")))</f>
        <v/>
      </c>
      <c r="F463" s="22">
        <f>IF($L463="","",INDEX(HSCEI!$F$7:$F$66,$N463))</f>
        <v/>
      </c>
      <c r="G463" s="43">
        <f>IF($L463="","",IF($P463=0,"TBA",IFERROR(INDEX(Grids!$BQ$160:$EC$219,$N463,$O463),"-")))</f>
        <v/>
      </c>
      <c r="H463" s="44">
        <f>IF($L463="","",SUM($G$442:$G463))</f>
        <v/>
      </c>
      <c r="I463" s="45">
        <f>IF($L463="","",IF(INT(($L463-INT($L463/10000000)*10000000)/1000000)=0,"Bloomberg projection",IF($P463=1,"ANNOUNCED","ANNOUNCED - amount TBA")))</f>
        <v/>
      </c>
      <c r="J463" s="46">
        <f>IF($L463="","",IF((OV_SWITCH="ON")*(COUNTIFS(OVR_TICKERS,INDEX(HSCEI!$C$7:$C$66,$N463),OVR_BASE,"&gt;=0")&gt;0)&gt;0,"stock overridden",""))</f>
        <v/>
      </c>
      <c r="L463" s="39">
        <f>IFERROR(IF(SMALL(Grids!$EE$160:$GQ$219,$M$439+22)&gt;=PEND_TO,"",SMALL(Grids!$EE$160:$GQ$219,$M$439+22)),"")</f>
        <v/>
      </c>
      <c r="M463" s="39">
        <f>IF($L463="","",INT($L463/1000000000))</f>
        <v/>
      </c>
      <c r="N463" s="39">
        <f>IF($L463="","",INT(($L463-INT($L463/1000000)*1000000)/1000))</f>
        <v/>
      </c>
      <c r="O463" s="39">
        <f>IF($L463="","",$L463-INT($L463/1000)*1000)</f>
        <v/>
      </c>
      <c r="P463" s="39">
        <f>IF($L463="","",INT(($L463-INT($L463/1000000000)*1000000000)/100000000))</f>
        <v/>
      </c>
    </row>
    <row r="464">
      <c r="B464" s="42">
        <f>IF($L464="","",$M464)</f>
        <v/>
      </c>
      <c r="C464" s="22">
        <f>IF($L464="","",INDEX(HSCEI!$C$7:$C$66,$N464))</f>
        <v/>
      </c>
      <c r="D464" s="22">
        <f>IF($L464="","",INDEX(HSCEI!$D$7:$D$66,$N464))</f>
        <v/>
      </c>
      <c r="E464" s="43">
        <f>IF($L464="","",IF($P464=0,"TBA",IFERROR(INDEX(Grids!$C$160:$BO$219,$N464,$O464),"-")))</f>
        <v/>
      </c>
      <c r="F464" s="22">
        <f>IF($L464="","",INDEX(HSCEI!$F$7:$F$66,$N464))</f>
        <v/>
      </c>
      <c r="G464" s="43">
        <f>IF($L464="","",IF($P464=0,"TBA",IFERROR(INDEX(Grids!$BQ$160:$EC$219,$N464,$O464),"-")))</f>
        <v/>
      </c>
      <c r="H464" s="44">
        <f>IF($L464="","",SUM($G$442:$G464))</f>
        <v/>
      </c>
      <c r="I464" s="45">
        <f>IF($L464="","",IF(INT(($L464-INT($L464/10000000)*10000000)/1000000)=0,"Bloomberg projection",IF($P464=1,"ANNOUNCED","ANNOUNCED - amount TBA")))</f>
        <v/>
      </c>
      <c r="J464" s="46">
        <f>IF($L464="","",IF((OV_SWITCH="ON")*(COUNTIFS(OVR_TICKERS,INDEX(HSCEI!$C$7:$C$66,$N464),OVR_BASE,"&gt;=0")&gt;0)&gt;0,"stock overridden",""))</f>
        <v/>
      </c>
      <c r="L464" s="39">
        <f>IFERROR(IF(SMALL(Grids!$EE$160:$GQ$219,$M$439+23)&gt;=PEND_TO,"",SMALL(Grids!$EE$160:$GQ$219,$M$439+23)),"")</f>
        <v/>
      </c>
      <c r="M464" s="39">
        <f>IF($L464="","",INT($L464/1000000000))</f>
        <v/>
      </c>
      <c r="N464" s="39">
        <f>IF($L464="","",INT(($L464-INT($L464/1000000)*1000000)/1000))</f>
        <v/>
      </c>
      <c r="O464" s="39">
        <f>IF($L464="","",$L464-INT($L464/1000)*1000)</f>
        <v/>
      </c>
      <c r="P464" s="39">
        <f>IF($L464="","",INT(($L464-INT($L464/1000000000)*1000000000)/100000000))</f>
        <v/>
      </c>
    </row>
    <row r="465">
      <c r="B465" s="42">
        <f>IF($L465="","",$M465)</f>
        <v/>
      </c>
      <c r="C465" s="22">
        <f>IF($L465="","",INDEX(HSCEI!$C$7:$C$66,$N465))</f>
        <v/>
      </c>
      <c r="D465" s="22">
        <f>IF($L465="","",INDEX(HSCEI!$D$7:$D$66,$N465))</f>
        <v/>
      </c>
      <c r="E465" s="43">
        <f>IF($L465="","",IF($P465=0,"TBA",IFERROR(INDEX(Grids!$C$160:$BO$219,$N465,$O465),"-")))</f>
        <v/>
      </c>
      <c r="F465" s="22">
        <f>IF($L465="","",INDEX(HSCEI!$F$7:$F$66,$N465))</f>
        <v/>
      </c>
      <c r="G465" s="43">
        <f>IF($L465="","",IF($P465=0,"TBA",IFERROR(INDEX(Grids!$BQ$160:$EC$219,$N465,$O465),"-")))</f>
        <v/>
      </c>
      <c r="H465" s="44">
        <f>IF($L465="","",SUM($G$442:$G465))</f>
        <v/>
      </c>
      <c r="I465" s="45">
        <f>IF($L465="","",IF(INT(($L465-INT($L465/10000000)*10000000)/1000000)=0,"Bloomberg projection",IF($P465=1,"ANNOUNCED","ANNOUNCED - amount TBA")))</f>
        <v/>
      </c>
      <c r="J465" s="46">
        <f>IF($L465="","",IF((OV_SWITCH="ON")*(COUNTIFS(OVR_TICKERS,INDEX(HSCEI!$C$7:$C$66,$N465),OVR_BASE,"&gt;=0")&gt;0)&gt;0,"stock overridden",""))</f>
        <v/>
      </c>
      <c r="L465" s="39">
        <f>IFERROR(IF(SMALL(Grids!$EE$160:$GQ$219,$M$439+24)&gt;=PEND_TO,"",SMALL(Grids!$EE$160:$GQ$219,$M$439+24)),"")</f>
        <v/>
      </c>
      <c r="M465" s="39">
        <f>IF($L465="","",INT($L465/1000000000))</f>
        <v/>
      </c>
      <c r="N465" s="39">
        <f>IF($L465="","",INT(($L465-INT($L465/1000000)*1000000)/1000))</f>
        <v/>
      </c>
      <c r="O465" s="39">
        <f>IF($L465="","",$L465-INT($L465/1000)*1000)</f>
        <v/>
      </c>
      <c r="P465" s="39">
        <f>IF($L465="","",INT(($L465-INT($L465/1000000000)*1000000000)/100000000))</f>
        <v/>
      </c>
    </row>
    <row r="466">
      <c r="B466" s="42">
        <f>IF($L466="","",$M466)</f>
        <v/>
      </c>
      <c r="C466" s="22">
        <f>IF($L466="","",INDEX(HSCEI!$C$7:$C$66,$N466))</f>
        <v/>
      </c>
      <c r="D466" s="22">
        <f>IF($L466="","",INDEX(HSCEI!$D$7:$D$66,$N466))</f>
        <v/>
      </c>
      <c r="E466" s="43">
        <f>IF($L466="","",IF($P466=0,"TBA",IFERROR(INDEX(Grids!$C$160:$BO$219,$N466,$O466),"-")))</f>
        <v/>
      </c>
      <c r="F466" s="22">
        <f>IF($L466="","",INDEX(HSCEI!$F$7:$F$66,$N466))</f>
        <v/>
      </c>
      <c r="G466" s="43">
        <f>IF($L466="","",IF($P466=0,"TBA",IFERROR(INDEX(Grids!$BQ$160:$EC$219,$N466,$O466),"-")))</f>
        <v/>
      </c>
      <c r="H466" s="44">
        <f>IF($L466="","",SUM($G$442:$G466))</f>
        <v/>
      </c>
      <c r="I466" s="45">
        <f>IF($L466="","",IF(INT(($L466-INT($L466/10000000)*10000000)/1000000)=0,"Bloomberg projection",IF($P466=1,"ANNOUNCED","ANNOUNCED - amount TBA")))</f>
        <v/>
      </c>
      <c r="J466" s="46">
        <f>IF($L466="","",IF((OV_SWITCH="ON")*(COUNTIFS(OVR_TICKERS,INDEX(HSCEI!$C$7:$C$66,$N466),OVR_BASE,"&gt;=0")&gt;0)&gt;0,"stock overridden",""))</f>
        <v/>
      </c>
      <c r="L466" s="39">
        <f>IFERROR(IF(SMALL(Grids!$EE$160:$GQ$219,$M$439+25)&gt;=PEND_TO,"",SMALL(Grids!$EE$160:$GQ$219,$M$439+25)),"")</f>
        <v/>
      </c>
      <c r="M466" s="39">
        <f>IF($L466="","",INT($L466/1000000000))</f>
        <v/>
      </c>
      <c r="N466" s="39">
        <f>IF($L466="","",INT(($L466-INT($L466/1000000)*1000000)/1000))</f>
        <v/>
      </c>
      <c r="O466" s="39">
        <f>IF($L466="","",$L466-INT($L466/1000)*1000)</f>
        <v/>
      </c>
      <c r="P466" s="39">
        <f>IF($L466="","",INT(($L466-INT($L466/1000000000)*1000000000)/100000000))</f>
        <v/>
      </c>
    </row>
    <row r="467">
      <c r="B467" s="42">
        <f>IF($L467="","",$M467)</f>
        <v/>
      </c>
      <c r="C467" s="22">
        <f>IF($L467="","",INDEX(HSCEI!$C$7:$C$66,$N467))</f>
        <v/>
      </c>
      <c r="D467" s="22">
        <f>IF($L467="","",INDEX(HSCEI!$D$7:$D$66,$N467))</f>
        <v/>
      </c>
      <c r="E467" s="43">
        <f>IF($L467="","",IF($P467=0,"TBA",IFERROR(INDEX(Grids!$C$160:$BO$219,$N467,$O467),"-")))</f>
        <v/>
      </c>
      <c r="F467" s="22">
        <f>IF($L467="","",INDEX(HSCEI!$F$7:$F$66,$N467))</f>
        <v/>
      </c>
      <c r="G467" s="43">
        <f>IF($L467="","",IF($P467=0,"TBA",IFERROR(INDEX(Grids!$BQ$160:$EC$219,$N467,$O467),"-")))</f>
        <v/>
      </c>
      <c r="H467" s="44">
        <f>IF($L467="","",SUM($G$442:$G467))</f>
        <v/>
      </c>
      <c r="I467" s="45">
        <f>IF($L467="","",IF(INT(($L467-INT($L467/10000000)*10000000)/1000000)=0,"Bloomberg projection",IF($P467=1,"ANNOUNCED","ANNOUNCED - amount TBA")))</f>
        <v/>
      </c>
      <c r="J467" s="46">
        <f>IF($L467="","",IF((OV_SWITCH="ON")*(COUNTIFS(OVR_TICKERS,INDEX(HSCEI!$C$7:$C$66,$N467),OVR_BASE,"&gt;=0")&gt;0)&gt;0,"stock overridden",""))</f>
        <v/>
      </c>
      <c r="L467" s="39">
        <f>IFERROR(IF(SMALL(Grids!$EE$160:$GQ$219,$M$439+26)&gt;=PEND_TO,"",SMALL(Grids!$EE$160:$GQ$219,$M$439+26)),"")</f>
        <v/>
      </c>
      <c r="M467" s="39">
        <f>IF($L467="","",INT($L467/1000000000))</f>
        <v/>
      </c>
      <c r="N467" s="39">
        <f>IF($L467="","",INT(($L467-INT($L467/1000000)*1000000)/1000))</f>
        <v/>
      </c>
      <c r="O467" s="39">
        <f>IF($L467="","",$L467-INT($L467/1000)*1000)</f>
        <v/>
      </c>
      <c r="P467" s="39">
        <f>IF($L467="","",INT(($L467-INT($L467/1000000000)*1000000000)/100000000))</f>
        <v/>
      </c>
    </row>
    <row r="468">
      <c r="B468" s="42">
        <f>IF($L468="","",$M468)</f>
        <v/>
      </c>
      <c r="C468" s="22">
        <f>IF($L468="","",INDEX(HSCEI!$C$7:$C$66,$N468))</f>
        <v/>
      </c>
      <c r="D468" s="22">
        <f>IF($L468="","",INDEX(HSCEI!$D$7:$D$66,$N468))</f>
        <v/>
      </c>
      <c r="E468" s="43">
        <f>IF($L468="","",IF($P468=0,"TBA",IFERROR(INDEX(Grids!$C$160:$BO$219,$N468,$O468),"-")))</f>
        <v/>
      </c>
      <c r="F468" s="22">
        <f>IF($L468="","",INDEX(HSCEI!$F$7:$F$66,$N468))</f>
        <v/>
      </c>
      <c r="G468" s="43">
        <f>IF($L468="","",IF($P468=0,"TBA",IFERROR(INDEX(Grids!$BQ$160:$EC$219,$N468,$O468),"-")))</f>
        <v/>
      </c>
      <c r="H468" s="44">
        <f>IF($L468="","",SUM($G$442:$G468))</f>
        <v/>
      </c>
      <c r="I468" s="45">
        <f>IF($L468="","",IF(INT(($L468-INT($L468/10000000)*10000000)/1000000)=0,"Bloomberg projection",IF($P468=1,"ANNOUNCED","ANNOUNCED - amount TBA")))</f>
        <v/>
      </c>
      <c r="J468" s="46">
        <f>IF($L468="","",IF((OV_SWITCH="ON")*(COUNTIFS(OVR_TICKERS,INDEX(HSCEI!$C$7:$C$66,$N468),OVR_BASE,"&gt;=0")&gt;0)&gt;0,"stock overridden",""))</f>
        <v/>
      </c>
      <c r="L468" s="39">
        <f>IFERROR(IF(SMALL(Grids!$EE$160:$GQ$219,$M$439+27)&gt;=PEND_TO,"",SMALL(Grids!$EE$160:$GQ$219,$M$439+27)),"")</f>
        <v/>
      </c>
      <c r="M468" s="39">
        <f>IF($L468="","",INT($L468/1000000000))</f>
        <v/>
      </c>
      <c r="N468" s="39">
        <f>IF($L468="","",INT(($L468-INT($L468/1000000)*1000000)/1000))</f>
        <v/>
      </c>
      <c r="O468" s="39">
        <f>IF($L468="","",$L468-INT($L468/1000)*1000)</f>
        <v/>
      </c>
      <c r="P468" s="39">
        <f>IF($L468="","",INT(($L468-INT($L468/1000000000)*1000000000)/100000000))</f>
        <v/>
      </c>
    </row>
    <row r="469">
      <c r="B469" s="42">
        <f>IF($L469="","",$M469)</f>
        <v/>
      </c>
      <c r="C469" s="22">
        <f>IF($L469="","",INDEX(HSCEI!$C$7:$C$66,$N469))</f>
        <v/>
      </c>
      <c r="D469" s="22">
        <f>IF($L469="","",INDEX(HSCEI!$D$7:$D$66,$N469))</f>
        <v/>
      </c>
      <c r="E469" s="43">
        <f>IF($L469="","",IF($P469=0,"TBA",IFERROR(INDEX(Grids!$C$160:$BO$219,$N469,$O469),"-")))</f>
        <v/>
      </c>
      <c r="F469" s="22">
        <f>IF($L469="","",INDEX(HSCEI!$F$7:$F$66,$N469))</f>
        <v/>
      </c>
      <c r="G469" s="43">
        <f>IF($L469="","",IF($P469=0,"TBA",IFERROR(INDEX(Grids!$BQ$160:$EC$219,$N469,$O469),"-")))</f>
        <v/>
      </c>
      <c r="H469" s="44">
        <f>IF($L469="","",SUM($G$442:$G469))</f>
        <v/>
      </c>
      <c r="I469" s="45">
        <f>IF($L469="","",IF(INT(($L469-INT($L469/10000000)*10000000)/1000000)=0,"Bloomberg projection",IF($P469=1,"ANNOUNCED","ANNOUNCED - amount TBA")))</f>
        <v/>
      </c>
      <c r="J469" s="46">
        <f>IF($L469="","",IF((OV_SWITCH="ON")*(COUNTIFS(OVR_TICKERS,INDEX(HSCEI!$C$7:$C$66,$N469),OVR_BASE,"&gt;=0")&gt;0)&gt;0,"stock overridden",""))</f>
        <v/>
      </c>
      <c r="L469" s="39">
        <f>IFERROR(IF(SMALL(Grids!$EE$160:$GQ$219,$M$439+28)&gt;=PEND_TO,"",SMALL(Grids!$EE$160:$GQ$219,$M$439+28)),"")</f>
        <v/>
      </c>
      <c r="M469" s="39">
        <f>IF($L469="","",INT($L469/1000000000))</f>
        <v/>
      </c>
      <c r="N469" s="39">
        <f>IF($L469="","",INT(($L469-INT($L469/1000000)*1000000)/1000))</f>
        <v/>
      </c>
      <c r="O469" s="39">
        <f>IF($L469="","",$L469-INT($L469/1000)*1000)</f>
        <v/>
      </c>
      <c r="P469" s="39">
        <f>IF($L469="","",INT(($L469-INT($L469/1000000000)*1000000000)/100000000))</f>
        <v/>
      </c>
    </row>
    <row r="470">
      <c r="B470" s="42">
        <f>IF($L470="","",$M470)</f>
        <v/>
      </c>
      <c r="C470" s="22">
        <f>IF($L470="","",INDEX(HSCEI!$C$7:$C$66,$N470))</f>
        <v/>
      </c>
      <c r="D470" s="22">
        <f>IF($L470="","",INDEX(HSCEI!$D$7:$D$66,$N470))</f>
        <v/>
      </c>
      <c r="E470" s="43">
        <f>IF($L470="","",IF($P470=0,"TBA",IFERROR(INDEX(Grids!$C$160:$BO$219,$N470,$O470),"-")))</f>
        <v/>
      </c>
      <c r="F470" s="22">
        <f>IF($L470="","",INDEX(HSCEI!$F$7:$F$66,$N470))</f>
        <v/>
      </c>
      <c r="G470" s="43">
        <f>IF($L470="","",IF($P470=0,"TBA",IFERROR(INDEX(Grids!$BQ$160:$EC$219,$N470,$O470),"-")))</f>
        <v/>
      </c>
      <c r="H470" s="44">
        <f>IF($L470="","",SUM($G$442:$G470))</f>
        <v/>
      </c>
      <c r="I470" s="45">
        <f>IF($L470="","",IF(INT(($L470-INT($L470/10000000)*10000000)/1000000)=0,"Bloomberg projection",IF($P470=1,"ANNOUNCED","ANNOUNCED - amount TBA")))</f>
        <v/>
      </c>
      <c r="J470" s="46">
        <f>IF($L470="","",IF((OV_SWITCH="ON")*(COUNTIFS(OVR_TICKERS,INDEX(HSCEI!$C$7:$C$66,$N470),OVR_BASE,"&gt;=0")&gt;0)&gt;0,"stock overridden",""))</f>
        <v/>
      </c>
      <c r="L470" s="39">
        <f>IFERROR(IF(SMALL(Grids!$EE$160:$GQ$219,$M$439+29)&gt;=PEND_TO,"",SMALL(Grids!$EE$160:$GQ$219,$M$439+29)),"")</f>
        <v/>
      </c>
      <c r="M470" s="39">
        <f>IF($L470="","",INT($L470/1000000000))</f>
        <v/>
      </c>
      <c r="N470" s="39">
        <f>IF($L470="","",INT(($L470-INT($L470/1000000)*1000000)/1000))</f>
        <v/>
      </c>
      <c r="O470" s="39">
        <f>IF($L470="","",$L470-INT($L470/1000)*1000)</f>
        <v/>
      </c>
      <c r="P470" s="39">
        <f>IF($L470="","",INT(($L470-INT($L470/1000000000)*1000000000)/100000000))</f>
        <v/>
      </c>
    </row>
    <row r="471">
      <c r="B471" s="42">
        <f>IF($L471="","",$M471)</f>
        <v/>
      </c>
      <c r="C471" s="22">
        <f>IF($L471="","",INDEX(HSCEI!$C$7:$C$66,$N471))</f>
        <v/>
      </c>
      <c r="D471" s="22">
        <f>IF($L471="","",INDEX(HSCEI!$D$7:$D$66,$N471))</f>
        <v/>
      </c>
      <c r="E471" s="43">
        <f>IF($L471="","",IF($P471=0,"TBA",IFERROR(INDEX(Grids!$C$160:$BO$219,$N471,$O471),"-")))</f>
        <v/>
      </c>
      <c r="F471" s="22">
        <f>IF($L471="","",INDEX(HSCEI!$F$7:$F$66,$N471))</f>
        <v/>
      </c>
      <c r="G471" s="43">
        <f>IF($L471="","",IF($P471=0,"TBA",IFERROR(INDEX(Grids!$BQ$160:$EC$219,$N471,$O471),"-")))</f>
        <v/>
      </c>
      <c r="H471" s="44">
        <f>IF($L471="","",SUM($G$442:$G471))</f>
        <v/>
      </c>
      <c r="I471" s="45">
        <f>IF($L471="","",IF(INT(($L471-INT($L471/10000000)*10000000)/1000000)=0,"Bloomberg projection",IF($P471=1,"ANNOUNCED","ANNOUNCED - amount TBA")))</f>
        <v/>
      </c>
      <c r="J471" s="46">
        <f>IF($L471="","",IF((OV_SWITCH="ON")*(COUNTIFS(OVR_TICKERS,INDEX(HSCEI!$C$7:$C$66,$N471),OVR_BASE,"&gt;=0")&gt;0)&gt;0,"stock overridden",""))</f>
        <v/>
      </c>
      <c r="L471" s="39">
        <f>IFERROR(IF(SMALL(Grids!$EE$160:$GQ$219,$M$439+30)&gt;=PEND_TO,"",SMALL(Grids!$EE$160:$GQ$219,$M$439+30)),"")</f>
        <v/>
      </c>
      <c r="M471" s="39">
        <f>IF($L471="","",INT($L471/1000000000))</f>
        <v/>
      </c>
      <c r="N471" s="39">
        <f>IF($L471="","",INT(($L471-INT($L471/1000000)*1000000)/1000))</f>
        <v/>
      </c>
      <c r="O471" s="39">
        <f>IF($L471="","",$L471-INT($L471/1000)*1000)</f>
        <v/>
      </c>
      <c r="P471" s="39">
        <f>IF($L471="","",INT(($L471-INT($L471/1000000000)*1000000000)/100000000))</f>
        <v/>
      </c>
    </row>
    <row r="472">
      <c r="B472" s="42">
        <f>IF($L472="","",$M472)</f>
        <v/>
      </c>
      <c r="C472" s="22">
        <f>IF($L472="","",INDEX(HSCEI!$C$7:$C$66,$N472))</f>
        <v/>
      </c>
      <c r="D472" s="22">
        <f>IF($L472="","",INDEX(HSCEI!$D$7:$D$66,$N472))</f>
        <v/>
      </c>
      <c r="E472" s="43">
        <f>IF($L472="","",IF($P472=0,"TBA",IFERROR(INDEX(Grids!$C$160:$BO$219,$N472,$O472),"-")))</f>
        <v/>
      </c>
      <c r="F472" s="22">
        <f>IF($L472="","",INDEX(HSCEI!$F$7:$F$66,$N472))</f>
        <v/>
      </c>
      <c r="G472" s="43">
        <f>IF($L472="","",IF($P472=0,"TBA",IFERROR(INDEX(Grids!$BQ$160:$EC$219,$N472,$O472),"-")))</f>
        <v/>
      </c>
      <c r="H472" s="44">
        <f>IF($L472="","",SUM($G$442:$G472))</f>
        <v/>
      </c>
      <c r="I472" s="45">
        <f>IF($L472="","",IF(INT(($L472-INT($L472/10000000)*10000000)/1000000)=0,"Bloomberg projection",IF($P472=1,"ANNOUNCED","ANNOUNCED - amount TBA")))</f>
        <v/>
      </c>
      <c r="J472" s="46">
        <f>IF($L472="","",IF((OV_SWITCH="ON")*(COUNTIFS(OVR_TICKERS,INDEX(HSCEI!$C$7:$C$66,$N472),OVR_BASE,"&gt;=0")&gt;0)&gt;0,"stock overridden",""))</f>
        <v/>
      </c>
      <c r="L472" s="39">
        <f>IFERROR(IF(SMALL(Grids!$EE$160:$GQ$219,$M$439+31)&gt;=PEND_TO,"",SMALL(Grids!$EE$160:$GQ$219,$M$439+31)),"")</f>
        <v/>
      </c>
      <c r="M472" s="39">
        <f>IF($L472="","",INT($L472/1000000000))</f>
        <v/>
      </c>
      <c r="N472" s="39">
        <f>IF($L472="","",INT(($L472-INT($L472/1000000)*1000000)/1000))</f>
        <v/>
      </c>
      <c r="O472" s="39">
        <f>IF($L472="","",$L472-INT($L472/1000)*1000)</f>
        <v/>
      </c>
      <c r="P472" s="39">
        <f>IF($L472="","",INT(($L472-INT($L472/1000000000)*1000000000)/100000000))</f>
        <v/>
      </c>
    </row>
    <row r="473">
      <c r="B473" s="42">
        <f>IF($L473="","",$M473)</f>
        <v/>
      </c>
      <c r="C473" s="22">
        <f>IF($L473="","",INDEX(HSCEI!$C$7:$C$66,$N473))</f>
        <v/>
      </c>
      <c r="D473" s="22">
        <f>IF($L473="","",INDEX(HSCEI!$D$7:$D$66,$N473))</f>
        <v/>
      </c>
      <c r="E473" s="43">
        <f>IF($L473="","",IF($P473=0,"TBA",IFERROR(INDEX(Grids!$C$160:$BO$219,$N473,$O473),"-")))</f>
        <v/>
      </c>
      <c r="F473" s="22">
        <f>IF($L473="","",INDEX(HSCEI!$F$7:$F$66,$N473))</f>
        <v/>
      </c>
      <c r="G473" s="43">
        <f>IF($L473="","",IF($P473=0,"TBA",IFERROR(INDEX(Grids!$BQ$160:$EC$219,$N473,$O473),"-")))</f>
        <v/>
      </c>
      <c r="H473" s="44">
        <f>IF($L473="","",SUM($G$442:$G473))</f>
        <v/>
      </c>
      <c r="I473" s="45">
        <f>IF($L473="","",IF(INT(($L473-INT($L473/10000000)*10000000)/1000000)=0,"Bloomberg projection",IF($P473=1,"ANNOUNCED","ANNOUNCED - amount TBA")))</f>
        <v/>
      </c>
      <c r="J473" s="46">
        <f>IF($L473="","",IF((OV_SWITCH="ON")*(COUNTIFS(OVR_TICKERS,INDEX(HSCEI!$C$7:$C$66,$N473),OVR_BASE,"&gt;=0")&gt;0)&gt;0,"stock overridden",""))</f>
        <v/>
      </c>
      <c r="L473" s="39">
        <f>IFERROR(IF(SMALL(Grids!$EE$160:$GQ$219,$M$439+32)&gt;=PEND_TO,"",SMALL(Grids!$EE$160:$GQ$219,$M$439+32)),"")</f>
        <v/>
      </c>
      <c r="M473" s="39">
        <f>IF($L473="","",INT($L473/1000000000))</f>
        <v/>
      </c>
      <c r="N473" s="39">
        <f>IF($L473="","",INT(($L473-INT($L473/1000000)*1000000)/1000))</f>
        <v/>
      </c>
      <c r="O473" s="39">
        <f>IF($L473="","",$L473-INT($L473/1000)*1000)</f>
        <v/>
      </c>
      <c r="P473" s="39">
        <f>IF($L473="","",INT(($L473-INT($L473/1000000000)*1000000000)/100000000))</f>
        <v/>
      </c>
    </row>
    <row r="474">
      <c r="B474" s="42">
        <f>IF($L474="","",$M474)</f>
        <v/>
      </c>
      <c r="C474" s="22">
        <f>IF($L474="","",INDEX(HSCEI!$C$7:$C$66,$N474))</f>
        <v/>
      </c>
      <c r="D474" s="22">
        <f>IF($L474="","",INDEX(HSCEI!$D$7:$D$66,$N474))</f>
        <v/>
      </c>
      <c r="E474" s="43">
        <f>IF($L474="","",IF($P474=0,"TBA",IFERROR(INDEX(Grids!$C$160:$BO$219,$N474,$O474),"-")))</f>
        <v/>
      </c>
      <c r="F474" s="22">
        <f>IF($L474="","",INDEX(HSCEI!$F$7:$F$66,$N474))</f>
        <v/>
      </c>
      <c r="G474" s="43">
        <f>IF($L474="","",IF($P474=0,"TBA",IFERROR(INDEX(Grids!$BQ$160:$EC$219,$N474,$O474),"-")))</f>
        <v/>
      </c>
      <c r="H474" s="44">
        <f>IF($L474="","",SUM($G$442:$G474))</f>
        <v/>
      </c>
      <c r="I474" s="45">
        <f>IF($L474="","",IF(INT(($L474-INT($L474/10000000)*10000000)/1000000)=0,"Bloomberg projection",IF($P474=1,"ANNOUNCED","ANNOUNCED - amount TBA")))</f>
        <v/>
      </c>
      <c r="J474" s="46">
        <f>IF($L474="","",IF((OV_SWITCH="ON")*(COUNTIFS(OVR_TICKERS,INDEX(HSCEI!$C$7:$C$66,$N474),OVR_BASE,"&gt;=0")&gt;0)&gt;0,"stock overridden",""))</f>
        <v/>
      </c>
      <c r="L474" s="39">
        <f>IFERROR(IF(SMALL(Grids!$EE$160:$GQ$219,$M$439+33)&gt;=PEND_TO,"",SMALL(Grids!$EE$160:$GQ$219,$M$439+33)),"")</f>
        <v/>
      </c>
      <c r="M474" s="39">
        <f>IF($L474="","",INT($L474/1000000000))</f>
        <v/>
      </c>
      <c r="N474" s="39">
        <f>IF($L474="","",INT(($L474-INT($L474/1000000)*1000000)/1000))</f>
        <v/>
      </c>
      <c r="O474" s="39">
        <f>IF($L474="","",$L474-INT($L474/1000)*1000)</f>
        <v/>
      </c>
      <c r="P474" s="39">
        <f>IF($L474="","",INT(($L474-INT($L474/1000000000)*1000000000)/100000000))</f>
        <v/>
      </c>
    </row>
    <row r="475">
      <c r="B475" s="42">
        <f>IF($L475="","",$M475)</f>
        <v/>
      </c>
      <c r="C475" s="22">
        <f>IF($L475="","",INDEX(HSCEI!$C$7:$C$66,$N475))</f>
        <v/>
      </c>
      <c r="D475" s="22">
        <f>IF($L475="","",INDEX(HSCEI!$D$7:$D$66,$N475))</f>
        <v/>
      </c>
      <c r="E475" s="43">
        <f>IF($L475="","",IF($P475=0,"TBA",IFERROR(INDEX(Grids!$C$160:$BO$219,$N475,$O475),"-")))</f>
        <v/>
      </c>
      <c r="F475" s="22">
        <f>IF($L475="","",INDEX(HSCEI!$F$7:$F$66,$N475))</f>
        <v/>
      </c>
      <c r="G475" s="43">
        <f>IF($L475="","",IF($P475=0,"TBA",IFERROR(INDEX(Grids!$BQ$160:$EC$219,$N475,$O475),"-")))</f>
        <v/>
      </c>
      <c r="H475" s="44">
        <f>IF($L475="","",SUM($G$442:$G475))</f>
        <v/>
      </c>
      <c r="I475" s="45">
        <f>IF($L475="","",IF(INT(($L475-INT($L475/10000000)*10000000)/1000000)=0,"Bloomberg projection",IF($P475=1,"ANNOUNCED","ANNOUNCED - amount TBA")))</f>
        <v/>
      </c>
      <c r="J475" s="46">
        <f>IF($L475="","",IF((OV_SWITCH="ON")*(COUNTIFS(OVR_TICKERS,INDEX(HSCEI!$C$7:$C$66,$N475),OVR_BASE,"&gt;=0")&gt;0)&gt;0,"stock overridden",""))</f>
        <v/>
      </c>
      <c r="L475" s="39">
        <f>IFERROR(IF(SMALL(Grids!$EE$160:$GQ$219,$M$439+34)&gt;=PEND_TO,"",SMALL(Grids!$EE$160:$GQ$219,$M$439+34)),"")</f>
        <v/>
      </c>
      <c r="M475" s="39">
        <f>IF($L475="","",INT($L475/1000000000))</f>
        <v/>
      </c>
      <c r="N475" s="39">
        <f>IF($L475="","",INT(($L475-INT($L475/1000000)*1000000)/1000))</f>
        <v/>
      </c>
      <c r="O475" s="39">
        <f>IF($L475="","",$L475-INT($L475/1000)*1000)</f>
        <v/>
      </c>
      <c r="P475" s="39">
        <f>IF($L475="","",INT(($L475-INT($L475/1000000000)*1000000000)/100000000))</f>
        <v/>
      </c>
    </row>
    <row r="476">
      <c r="B476" s="42">
        <f>IF($L476="","",$M476)</f>
        <v/>
      </c>
      <c r="C476" s="22">
        <f>IF($L476="","",INDEX(HSCEI!$C$7:$C$66,$N476))</f>
        <v/>
      </c>
      <c r="D476" s="22">
        <f>IF($L476="","",INDEX(HSCEI!$D$7:$D$66,$N476))</f>
        <v/>
      </c>
      <c r="E476" s="43">
        <f>IF($L476="","",IF($P476=0,"TBA",IFERROR(INDEX(Grids!$C$160:$BO$219,$N476,$O476),"-")))</f>
        <v/>
      </c>
      <c r="F476" s="22">
        <f>IF($L476="","",INDEX(HSCEI!$F$7:$F$66,$N476))</f>
        <v/>
      </c>
      <c r="G476" s="43">
        <f>IF($L476="","",IF($P476=0,"TBA",IFERROR(INDEX(Grids!$BQ$160:$EC$219,$N476,$O476),"-")))</f>
        <v/>
      </c>
      <c r="H476" s="44">
        <f>IF($L476="","",SUM($G$442:$G476))</f>
        <v/>
      </c>
      <c r="I476" s="45">
        <f>IF($L476="","",IF(INT(($L476-INT($L476/10000000)*10000000)/1000000)=0,"Bloomberg projection",IF($P476=1,"ANNOUNCED","ANNOUNCED - amount TBA")))</f>
        <v/>
      </c>
      <c r="J476" s="46">
        <f>IF($L476="","",IF((OV_SWITCH="ON")*(COUNTIFS(OVR_TICKERS,INDEX(HSCEI!$C$7:$C$66,$N476),OVR_BASE,"&gt;=0")&gt;0)&gt;0,"stock overridden",""))</f>
        <v/>
      </c>
      <c r="L476" s="39">
        <f>IFERROR(IF(SMALL(Grids!$EE$160:$GQ$219,$M$439+35)&gt;=PEND_TO,"",SMALL(Grids!$EE$160:$GQ$219,$M$439+35)),"")</f>
        <v/>
      </c>
      <c r="M476" s="39">
        <f>IF($L476="","",INT($L476/1000000000))</f>
        <v/>
      </c>
      <c r="N476" s="39">
        <f>IF($L476="","",INT(($L476-INT($L476/1000000)*1000000)/1000))</f>
        <v/>
      </c>
      <c r="O476" s="39">
        <f>IF($L476="","",$L476-INT($L476/1000)*1000)</f>
        <v/>
      </c>
      <c r="P476" s="39">
        <f>IF($L476="","",INT(($L476-INT($L476/1000000000)*1000000000)/100000000))</f>
        <v/>
      </c>
    </row>
    <row r="477">
      <c r="B477" s="42">
        <f>IF($L477="","",$M477)</f>
        <v/>
      </c>
      <c r="C477" s="22">
        <f>IF($L477="","",INDEX(HSCEI!$C$7:$C$66,$N477))</f>
        <v/>
      </c>
      <c r="D477" s="22">
        <f>IF($L477="","",INDEX(HSCEI!$D$7:$D$66,$N477))</f>
        <v/>
      </c>
      <c r="E477" s="43">
        <f>IF($L477="","",IF($P477=0,"TBA",IFERROR(INDEX(Grids!$C$160:$BO$219,$N477,$O477),"-")))</f>
        <v/>
      </c>
      <c r="F477" s="22">
        <f>IF($L477="","",INDEX(HSCEI!$F$7:$F$66,$N477))</f>
        <v/>
      </c>
      <c r="G477" s="43">
        <f>IF($L477="","",IF($P477=0,"TBA",IFERROR(INDEX(Grids!$BQ$160:$EC$219,$N477,$O477),"-")))</f>
        <v/>
      </c>
      <c r="H477" s="44">
        <f>IF($L477="","",SUM($G$442:$G477))</f>
        <v/>
      </c>
      <c r="I477" s="45">
        <f>IF($L477="","",IF(INT(($L477-INT($L477/10000000)*10000000)/1000000)=0,"Bloomberg projection",IF($P477=1,"ANNOUNCED","ANNOUNCED - amount TBA")))</f>
        <v/>
      </c>
      <c r="J477" s="46">
        <f>IF($L477="","",IF((OV_SWITCH="ON")*(COUNTIFS(OVR_TICKERS,INDEX(HSCEI!$C$7:$C$66,$N477),OVR_BASE,"&gt;=0")&gt;0)&gt;0,"stock overridden",""))</f>
        <v/>
      </c>
      <c r="L477" s="39">
        <f>IFERROR(IF(SMALL(Grids!$EE$160:$GQ$219,$M$439+36)&gt;=PEND_TO,"",SMALL(Grids!$EE$160:$GQ$219,$M$439+36)),"")</f>
        <v/>
      </c>
      <c r="M477" s="39">
        <f>IF($L477="","",INT($L477/1000000000))</f>
        <v/>
      </c>
      <c r="N477" s="39">
        <f>IF($L477="","",INT(($L477-INT($L477/1000000)*1000000)/1000))</f>
        <v/>
      </c>
      <c r="O477" s="39">
        <f>IF($L477="","",$L477-INT($L477/1000)*1000)</f>
        <v/>
      </c>
      <c r="P477" s="39">
        <f>IF($L477="","",INT(($L477-INT($L477/1000000000)*1000000000)/100000000))</f>
        <v/>
      </c>
    </row>
    <row r="478">
      <c r="B478" s="42">
        <f>IF($L478="","",$M478)</f>
        <v/>
      </c>
      <c r="C478" s="22">
        <f>IF($L478="","",INDEX(HSCEI!$C$7:$C$66,$N478))</f>
        <v/>
      </c>
      <c r="D478" s="22">
        <f>IF($L478="","",INDEX(HSCEI!$D$7:$D$66,$N478))</f>
        <v/>
      </c>
      <c r="E478" s="43">
        <f>IF($L478="","",IF($P478=0,"TBA",IFERROR(INDEX(Grids!$C$160:$BO$219,$N478,$O478),"-")))</f>
        <v/>
      </c>
      <c r="F478" s="22">
        <f>IF($L478="","",INDEX(HSCEI!$F$7:$F$66,$N478))</f>
        <v/>
      </c>
      <c r="G478" s="43">
        <f>IF($L478="","",IF($P478=0,"TBA",IFERROR(INDEX(Grids!$BQ$160:$EC$219,$N478,$O478),"-")))</f>
        <v/>
      </c>
      <c r="H478" s="44">
        <f>IF($L478="","",SUM($G$442:$G478))</f>
        <v/>
      </c>
      <c r="I478" s="45">
        <f>IF($L478="","",IF(INT(($L478-INT($L478/10000000)*10000000)/1000000)=0,"Bloomberg projection",IF($P478=1,"ANNOUNCED","ANNOUNCED - amount TBA")))</f>
        <v/>
      </c>
      <c r="J478" s="46">
        <f>IF($L478="","",IF((OV_SWITCH="ON")*(COUNTIFS(OVR_TICKERS,INDEX(HSCEI!$C$7:$C$66,$N478),OVR_BASE,"&gt;=0")&gt;0)&gt;0,"stock overridden",""))</f>
        <v/>
      </c>
      <c r="L478" s="39">
        <f>IFERROR(IF(SMALL(Grids!$EE$160:$GQ$219,$M$439+37)&gt;=PEND_TO,"",SMALL(Grids!$EE$160:$GQ$219,$M$439+37)),"")</f>
        <v/>
      </c>
      <c r="M478" s="39">
        <f>IF($L478="","",INT($L478/1000000000))</f>
        <v/>
      </c>
      <c r="N478" s="39">
        <f>IF($L478="","",INT(($L478-INT($L478/1000000)*1000000)/1000))</f>
        <v/>
      </c>
      <c r="O478" s="39">
        <f>IF($L478="","",$L478-INT($L478/1000)*1000)</f>
        <v/>
      </c>
      <c r="P478" s="39">
        <f>IF($L478="","",INT(($L478-INT($L478/1000000000)*1000000000)/100000000))</f>
        <v/>
      </c>
    </row>
    <row r="479">
      <c r="B479" s="42">
        <f>IF($L479="","",$M479)</f>
        <v/>
      </c>
      <c r="C479" s="22">
        <f>IF($L479="","",INDEX(HSCEI!$C$7:$C$66,$N479))</f>
        <v/>
      </c>
      <c r="D479" s="22">
        <f>IF($L479="","",INDEX(HSCEI!$D$7:$D$66,$N479))</f>
        <v/>
      </c>
      <c r="E479" s="43">
        <f>IF($L479="","",IF($P479=0,"TBA",IFERROR(INDEX(Grids!$C$160:$BO$219,$N479,$O479),"-")))</f>
        <v/>
      </c>
      <c r="F479" s="22">
        <f>IF($L479="","",INDEX(HSCEI!$F$7:$F$66,$N479))</f>
        <v/>
      </c>
      <c r="G479" s="43">
        <f>IF($L479="","",IF($P479=0,"TBA",IFERROR(INDEX(Grids!$BQ$160:$EC$219,$N479,$O479),"-")))</f>
        <v/>
      </c>
      <c r="H479" s="44">
        <f>IF($L479="","",SUM($G$442:$G479))</f>
        <v/>
      </c>
      <c r="I479" s="45">
        <f>IF($L479="","",IF(INT(($L479-INT($L479/10000000)*10000000)/1000000)=0,"Bloomberg projection",IF($P479=1,"ANNOUNCED","ANNOUNCED - amount TBA")))</f>
        <v/>
      </c>
      <c r="J479" s="46">
        <f>IF($L479="","",IF((OV_SWITCH="ON")*(COUNTIFS(OVR_TICKERS,INDEX(HSCEI!$C$7:$C$66,$N479),OVR_BASE,"&gt;=0")&gt;0)&gt;0,"stock overridden",""))</f>
        <v/>
      </c>
      <c r="L479" s="39">
        <f>IFERROR(IF(SMALL(Grids!$EE$160:$GQ$219,$M$439+38)&gt;=PEND_TO,"",SMALL(Grids!$EE$160:$GQ$219,$M$439+38)),"")</f>
        <v/>
      </c>
      <c r="M479" s="39">
        <f>IF($L479="","",INT($L479/1000000000))</f>
        <v/>
      </c>
      <c r="N479" s="39">
        <f>IF($L479="","",INT(($L479-INT($L479/1000000)*1000000)/1000))</f>
        <v/>
      </c>
      <c r="O479" s="39">
        <f>IF($L479="","",$L479-INT($L479/1000)*1000)</f>
        <v/>
      </c>
      <c r="P479" s="39">
        <f>IF($L479="","",INT(($L479-INT($L479/1000000000)*1000000000)/100000000))</f>
        <v/>
      </c>
    </row>
    <row r="480">
      <c r="B480" s="42">
        <f>IF($L480="","",$M480)</f>
        <v/>
      </c>
      <c r="C480" s="22">
        <f>IF($L480="","",INDEX(HSCEI!$C$7:$C$66,$N480))</f>
        <v/>
      </c>
      <c r="D480" s="22">
        <f>IF($L480="","",INDEX(HSCEI!$D$7:$D$66,$N480))</f>
        <v/>
      </c>
      <c r="E480" s="43">
        <f>IF($L480="","",IF($P480=0,"TBA",IFERROR(INDEX(Grids!$C$160:$BO$219,$N480,$O480),"-")))</f>
        <v/>
      </c>
      <c r="F480" s="22">
        <f>IF($L480="","",INDEX(HSCEI!$F$7:$F$66,$N480))</f>
        <v/>
      </c>
      <c r="G480" s="43">
        <f>IF($L480="","",IF($P480=0,"TBA",IFERROR(INDEX(Grids!$BQ$160:$EC$219,$N480,$O480),"-")))</f>
        <v/>
      </c>
      <c r="H480" s="44">
        <f>IF($L480="","",SUM($G$442:$G480))</f>
        <v/>
      </c>
      <c r="I480" s="45">
        <f>IF($L480="","",IF(INT(($L480-INT($L480/10000000)*10000000)/1000000)=0,"Bloomberg projection",IF($P480=1,"ANNOUNCED","ANNOUNCED - amount TBA")))</f>
        <v/>
      </c>
      <c r="J480" s="46">
        <f>IF($L480="","",IF((OV_SWITCH="ON")*(COUNTIFS(OVR_TICKERS,INDEX(HSCEI!$C$7:$C$66,$N480),OVR_BASE,"&gt;=0")&gt;0)&gt;0,"stock overridden",""))</f>
        <v/>
      </c>
      <c r="L480" s="39">
        <f>IFERROR(IF(SMALL(Grids!$EE$160:$GQ$219,$M$439+39)&gt;=PEND_TO,"",SMALL(Grids!$EE$160:$GQ$219,$M$439+39)),"")</f>
        <v/>
      </c>
      <c r="M480" s="39">
        <f>IF($L480="","",INT($L480/1000000000))</f>
        <v/>
      </c>
      <c r="N480" s="39">
        <f>IF($L480="","",INT(($L480-INT($L480/1000000)*1000000)/1000))</f>
        <v/>
      </c>
      <c r="O480" s="39">
        <f>IF($L480="","",$L480-INT($L480/1000)*1000)</f>
        <v/>
      </c>
      <c r="P480" s="39">
        <f>IF($L480="","",INT(($L480-INT($L480/1000000000)*1000000000)/100000000))</f>
        <v/>
      </c>
    </row>
    <row r="481">
      <c r="B481" s="42">
        <f>IF($L481="","",$M481)</f>
        <v/>
      </c>
      <c r="C481" s="22">
        <f>IF($L481="","",INDEX(HSCEI!$C$7:$C$66,$N481))</f>
        <v/>
      </c>
      <c r="D481" s="22">
        <f>IF($L481="","",INDEX(HSCEI!$D$7:$D$66,$N481))</f>
        <v/>
      </c>
      <c r="E481" s="43">
        <f>IF($L481="","",IF($P481=0,"TBA",IFERROR(INDEX(Grids!$C$160:$BO$219,$N481,$O481),"-")))</f>
        <v/>
      </c>
      <c r="F481" s="22">
        <f>IF($L481="","",INDEX(HSCEI!$F$7:$F$66,$N481))</f>
        <v/>
      </c>
      <c r="G481" s="43">
        <f>IF($L481="","",IF($P481=0,"TBA",IFERROR(INDEX(Grids!$BQ$160:$EC$219,$N481,$O481),"-")))</f>
        <v/>
      </c>
      <c r="H481" s="44">
        <f>IF($L481="","",SUM($G$442:$G481))</f>
        <v/>
      </c>
      <c r="I481" s="45">
        <f>IF($L481="","",IF(INT(($L481-INT($L481/10000000)*10000000)/1000000)=0,"Bloomberg projection",IF($P481=1,"ANNOUNCED","ANNOUNCED - amount TBA")))</f>
        <v/>
      </c>
      <c r="J481" s="46">
        <f>IF($L481="","",IF((OV_SWITCH="ON")*(COUNTIFS(OVR_TICKERS,INDEX(HSCEI!$C$7:$C$66,$N481),OVR_BASE,"&gt;=0")&gt;0)&gt;0,"stock overridden",""))</f>
        <v/>
      </c>
      <c r="L481" s="39">
        <f>IFERROR(IF(SMALL(Grids!$EE$160:$GQ$219,$M$439+40)&gt;=PEND_TO,"",SMALL(Grids!$EE$160:$GQ$219,$M$439+40)),"")</f>
        <v/>
      </c>
      <c r="M481" s="39">
        <f>IF($L481="","",INT($L481/1000000000))</f>
        <v/>
      </c>
      <c r="N481" s="39">
        <f>IF($L481="","",INT(($L481-INT($L481/1000000)*1000000)/1000))</f>
        <v/>
      </c>
      <c r="O481" s="39">
        <f>IF($L481="","",$L481-INT($L481/1000)*1000)</f>
        <v/>
      </c>
      <c r="P481" s="39">
        <f>IF($L481="","",INT(($L481-INT($L481/1000000000)*1000000000)/100000000))</f>
        <v/>
      </c>
    </row>
    <row r="482">
      <c r="B482" s="42">
        <f>IF($L482="","",$M482)</f>
        <v/>
      </c>
      <c r="C482" s="22">
        <f>IF($L482="","",INDEX(HSCEI!$C$7:$C$66,$N482))</f>
        <v/>
      </c>
      <c r="D482" s="22">
        <f>IF($L482="","",INDEX(HSCEI!$D$7:$D$66,$N482))</f>
        <v/>
      </c>
      <c r="E482" s="43">
        <f>IF($L482="","",IF($P482=0,"TBA",IFERROR(INDEX(Grids!$C$160:$BO$219,$N482,$O482),"-")))</f>
        <v/>
      </c>
      <c r="F482" s="22">
        <f>IF($L482="","",INDEX(HSCEI!$F$7:$F$66,$N482))</f>
        <v/>
      </c>
      <c r="G482" s="43">
        <f>IF($L482="","",IF($P482=0,"TBA",IFERROR(INDEX(Grids!$BQ$160:$EC$219,$N482,$O482),"-")))</f>
        <v/>
      </c>
      <c r="H482" s="44">
        <f>IF($L482="","",SUM($G$442:$G482))</f>
        <v/>
      </c>
      <c r="I482" s="45">
        <f>IF($L482="","",IF(INT(($L482-INT($L482/10000000)*10000000)/1000000)=0,"Bloomberg projection",IF($P482=1,"ANNOUNCED","ANNOUNCED - amount TBA")))</f>
        <v/>
      </c>
      <c r="J482" s="46">
        <f>IF($L482="","",IF((OV_SWITCH="ON")*(COUNTIFS(OVR_TICKERS,INDEX(HSCEI!$C$7:$C$66,$N482),OVR_BASE,"&gt;=0")&gt;0)&gt;0,"stock overridden",""))</f>
        <v/>
      </c>
      <c r="L482" s="39">
        <f>IFERROR(IF(SMALL(Grids!$EE$160:$GQ$219,$M$439+41)&gt;=PEND_TO,"",SMALL(Grids!$EE$160:$GQ$219,$M$439+41)),"")</f>
        <v/>
      </c>
      <c r="M482" s="39">
        <f>IF($L482="","",INT($L482/1000000000))</f>
        <v/>
      </c>
      <c r="N482" s="39">
        <f>IF($L482="","",INT(($L482-INT($L482/1000000)*1000000)/1000))</f>
        <v/>
      </c>
      <c r="O482" s="39">
        <f>IF($L482="","",$L482-INT($L482/1000)*1000)</f>
        <v/>
      </c>
      <c r="P482" s="39">
        <f>IF($L482="","",INT(($L482-INT($L482/1000000000)*1000000000)/100000000))</f>
        <v/>
      </c>
    </row>
    <row r="483">
      <c r="B483" s="42">
        <f>IF($L483="","",$M483)</f>
        <v/>
      </c>
      <c r="C483" s="22">
        <f>IF($L483="","",INDEX(HSCEI!$C$7:$C$66,$N483))</f>
        <v/>
      </c>
      <c r="D483" s="22">
        <f>IF($L483="","",INDEX(HSCEI!$D$7:$D$66,$N483))</f>
        <v/>
      </c>
      <c r="E483" s="43">
        <f>IF($L483="","",IF($P483=0,"TBA",IFERROR(INDEX(Grids!$C$160:$BO$219,$N483,$O483),"-")))</f>
        <v/>
      </c>
      <c r="F483" s="22">
        <f>IF($L483="","",INDEX(HSCEI!$F$7:$F$66,$N483))</f>
        <v/>
      </c>
      <c r="G483" s="43">
        <f>IF($L483="","",IF($P483=0,"TBA",IFERROR(INDEX(Grids!$BQ$160:$EC$219,$N483,$O483),"-")))</f>
        <v/>
      </c>
      <c r="H483" s="44">
        <f>IF($L483="","",SUM($G$442:$G483))</f>
        <v/>
      </c>
      <c r="I483" s="45">
        <f>IF($L483="","",IF(INT(($L483-INT($L483/10000000)*10000000)/1000000)=0,"Bloomberg projection",IF($P483=1,"ANNOUNCED","ANNOUNCED - amount TBA")))</f>
        <v/>
      </c>
      <c r="J483" s="46">
        <f>IF($L483="","",IF((OV_SWITCH="ON")*(COUNTIFS(OVR_TICKERS,INDEX(HSCEI!$C$7:$C$66,$N483),OVR_BASE,"&gt;=0")&gt;0)&gt;0,"stock overridden",""))</f>
        <v/>
      </c>
      <c r="L483" s="39">
        <f>IFERROR(IF(SMALL(Grids!$EE$160:$GQ$219,$M$439+42)&gt;=PEND_TO,"",SMALL(Grids!$EE$160:$GQ$219,$M$439+42)),"")</f>
        <v/>
      </c>
      <c r="M483" s="39">
        <f>IF($L483="","",INT($L483/1000000000))</f>
        <v/>
      </c>
      <c r="N483" s="39">
        <f>IF($L483="","",INT(($L483-INT($L483/1000000)*1000000)/1000))</f>
        <v/>
      </c>
      <c r="O483" s="39">
        <f>IF($L483="","",$L483-INT($L483/1000)*1000)</f>
        <v/>
      </c>
      <c r="P483" s="39">
        <f>IF($L483="","",INT(($L483-INT($L483/1000000000)*1000000000)/100000000))</f>
        <v/>
      </c>
    </row>
    <row r="484">
      <c r="B484" s="42">
        <f>IF($L484="","",$M484)</f>
        <v/>
      </c>
      <c r="C484" s="22">
        <f>IF($L484="","",INDEX(HSCEI!$C$7:$C$66,$N484))</f>
        <v/>
      </c>
      <c r="D484" s="22">
        <f>IF($L484="","",INDEX(HSCEI!$D$7:$D$66,$N484))</f>
        <v/>
      </c>
      <c r="E484" s="43">
        <f>IF($L484="","",IF($P484=0,"TBA",IFERROR(INDEX(Grids!$C$160:$BO$219,$N484,$O484),"-")))</f>
        <v/>
      </c>
      <c r="F484" s="22">
        <f>IF($L484="","",INDEX(HSCEI!$F$7:$F$66,$N484))</f>
        <v/>
      </c>
      <c r="G484" s="43">
        <f>IF($L484="","",IF($P484=0,"TBA",IFERROR(INDEX(Grids!$BQ$160:$EC$219,$N484,$O484),"-")))</f>
        <v/>
      </c>
      <c r="H484" s="44">
        <f>IF($L484="","",SUM($G$442:$G484))</f>
        <v/>
      </c>
      <c r="I484" s="45">
        <f>IF($L484="","",IF(INT(($L484-INT($L484/10000000)*10000000)/1000000)=0,"Bloomberg projection",IF($P484=1,"ANNOUNCED","ANNOUNCED - amount TBA")))</f>
        <v/>
      </c>
      <c r="J484" s="46">
        <f>IF($L484="","",IF((OV_SWITCH="ON")*(COUNTIFS(OVR_TICKERS,INDEX(HSCEI!$C$7:$C$66,$N484),OVR_BASE,"&gt;=0")&gt;0)&gt;0,"stock overridden",""))</f>
        <v/>
      </c>
      <c r="L484" s="39">
        <f>IFERROR(IF(SMALL(Grids!$EE$160:$GQ$219,$M$439+43)&gt;=PEND_TO,"",SMALL(Grids!$EE$160:$GQ$219,$M$439+43)),"")</f>
        <v/>
      </c>
      <c r="M484" s="39">
        <f>IF($L484="","",INT($L484/1000000000))</f>
        <v/>
      </c>
      <c r="N484" s="39">
        <f>IF($L484="","",INT(($L484-INT($L484/1000000)*1000000)/1000))</f>
        <v/>
      </c>
      <c r="O484" s="39">
        <f>IF($L484="","",$L484-INT($L484/1000)*1000)</f>
        <v/>
      </c>
      <c r="P484" s="39">
        <f>IF($L484="","",INT(($L484-INT($L484/1000000000)*1000000000)/100000000))</f>
        <v/>
      </c>
    </row>
    <row r="485">
      <c r="B485" s="42">
        <f>IF($L485="","",$M485)</f>
        <v/>
      </c>
      <c r="C485" s="22">
        <f>IF($L485="","",INDEX(HSCEI!$C$7:$C$66,$N485))</f>
        <v/>
      </c>
      <c r="D485" s="22">
        <f>IF($L485="","",INDEX(HSCEI!$D$7:$D$66,$N485))</f>
        <v/>
      </c>
      <c r="E485" s="43">
        <f>IF($L485="","",IF($P485=0,"TBA",IFERROR(INDEX(Grids!$C$160:$BO$219,$N485,$O485),"-")))</f>
        <v/>
      </c>
      <c r="F485" s="22">
        <f>IF($L485="","",INDEX(HSCEI!$F$7:$F$66,$N485))</f>
        <v/>
      </c>
      <c r="G485" s="43">
        <f>IF($L485="","",IF($P485=0,"TBA",IFERROR(INDEX(Grids!$BQ$160:$EC$219,$N485,$O485),"-")))</f>
        <v/>
      </c>
      <c r="H485" s="44">
        <f>IF($L485="","",SUM($G$442:$G485))</f>
        <v/>
      </c>
      <c r="I485" s="45">
        <f>IF($L485="","",IF(INT(($L485-INT($L485/10000000)*10000000)/1000000)=0,"Bloomberg projection",IF($P485=1,"ANNOUNCED","ANNOUNCED - amount TBA")))</f>
        <v/>
      </c>
      <c r="J485" s="46">
        <f>IF($L485="","",IF((OV_SWITCH="ON")*(COUNTIFS(OVR_TICKERS,INDEX(HSCEI!$C$7:$C$66,$N485),OVR_BASE,"&gt;=0")&gt;0)&gt;0,"stock overridden",""))</f>
        <v/>
      </c>
      <c r="L485" s="39">
        <f>IFERROR(IF(SMALL(Grids!$EE$160:$GQ$219,$M$439+44)&gt;=PEND_TO,"",SMALL(Grids!$EE$160:$GQ$219,$M$439+44)),"")</f>
        <v/>
      </c>
      <c r="M485" s="39">
        <f>IF($L485="","",INT($L485/1000000000))</f>
        <v/>
      </c>
      <c r="N485" s="39">
        <f>IF($L485="","",INT(($L485-INT($L485/1000000)*1000000)/1000))</f>
        <v/>
      </c>
      <c r="O485" s="39">
        <f>IF($L485="","",$L485-INT($L485/1000)*1000)</f>
        <v/>
      </c>
      <c r="P485" s="39">
        <f>IF($L485="","",INT(($L485-INT($L485/1000000000)*1000000000)/100000000))</f>
        <v/>
      </c>
    </row>
    <row r="486">
      <c r="B486" s="42">
        <f>IF($L486="","",$M486)</f>
        <v/>
      </c>
      <c r="C486" s="22">
        <f>IF($L486="","",INDEX(HSCEI!$C$7:$C$66,$N486))</f>
        <v/>
      </c>
      <c r="D486" s="22">
        <f>IF($L486="","",INDEX(HSCEI!$D$7:$D$66,$N486))</f>
        <v/>
      </c>
      <c r="E486" s="43">
        <f>IF($L486="","",IF($P486=0,"TBA",IFERROR(INDEX(Grids!$C$160:$BO$219,$N486,$O486),"-")))</f>
        <v/>
      </c>
      <c r="F486" s="22">
        <f>IF($L486="","",INDEX(HSCEI!$F$7:$F$66,$N486))</f>
        <v/>
      </c>
      <c r="G486" s="43">
        <f>IF($L486="","",IF($P486=0,"TBA",IFERROR(INDEX(Grids!$BQ$160:$EC$219,$N486,$O486),"-")))</f>
        <v/>
      </c>
      <c r="H486" s="44">
        <f>IF($L486="","",SUM($G$442:$G486))</f>
        <v/>
      </c>
      <c r="I486" s="45">
        <f>IF($L486="","",IF(INT(($L486-INT($L486/10000000)*10000000)/1000000)=0,"Bloomberg projection",IF($P486=1,"ANNOUNCED","ANNOUNCED - amount TBA")))</f>
        <v/>
      </c>
      <c r="J486" s="46">
        <f>IF($L486="","",IF((OV_SWITCH="ON")*(COUNTIFS(OVR_TICKERS,INDEX(HSCEI!$C$7:$C$66,$N486),OVR_BASE,"&gt;=0")&gt;0)&gt;0,"stock overridden",""))</f>
        <v/>
      </c>
      <c r="L486" s="39">
        <f>IFERROR(IF(SMALL(Grids!$EE$160:$GQ$219,$M$439+45)&gt;=PEND_TO,"",SMALL(Grids!$EE$160:$GQ$219,$M$439+45)),"")</f>
        <v/>
      </c>
      <c r="M486" s="39">
        <f>IF($L486="","",INT($L486/1000000000))</f>
        <v/>
      </c>
      <c r="N486" s="39">
        <f>IF($L486="","",INT(($L486-INT($L486/1000000)*1000000)/1000))</f>
        <v/>
      </c>
      <c r="O486" s="39">
        <f>IF($L486="","",$L486-INT($L486/1000)*1000)</f>
        <v/>
      </c>
      <c r="P486" s="39">
        <f>IF($L486="","",INT(($L486-INT($L486/1000000000)*1000000000)/100000000))</f>
        <v/>
      </c>
    </row>
    <row r="487">
      <c r="B487" s="42">
        <f>IF($L487="","",$M487)</f>
        <v/>
      </c>
      <c r="C487" s="22">
        <f>IF($L487="","",INDEX(HSCEI!$C$7:$C$66,$N487))</f>
        <v/>
      </c>
      <c r="D487" s="22">
        <f>IF($L487="","",INDEX(HSCEI!$D$7:$D$66,$N487))</f>
        <v/>
      </c>
      <c r="E487" s="43">
        <f>IF($L487="","",IF($P487=0,"TBA",IFERROR(INDEX(Grids!$C$160:$BO$219,$N487,$O487),"-")))</f>
        <v/>
      </c>
      <c r="F487" s="22">
        <f>IF($L487="","",INDEX(HSCEI!$F$7:$F$66,$N487))</f>
        <v/>
      </c>
      <c r="G487" s="43">
        <f>IF($L487="","",IF($P487=0,"TBA",IFERROR(INDEX(Grids!$BQ$160:$EC$219,$N487,$O487),"-")))</f>
        <v/>
      </c>
      <c r="H487" s="44">
        <f>IF($L487="","",SUM($G$442:$G487))</f>
        <v/>
      </c>
      <c r="I487" s="45">
        <f>IF($L487="","",IF(INT(($L487-INT($L487/10000000)*10000000)/1000000)=0,"Bloomberg projection",IF($P487=1,"ANNOUNCED","ANNOUNCED - amount TBA")))</f>
        <v/>
      </c>
      <c r="J487" s="46">
        <f>IF($L487="","",IF((OV_SWITCH="ON")*(COUNTIFS(OVR_TICKERS,INDEX(HSCEI!$C$7:$C$66,$N487),OVR_BASE,"&gt;=0")&gt;0)&gt;0,"stock overridden",""))</f>
        <v/>
      </c>
      <c r="L487" s="39">
        <f>IFERROR(IF(SMALL(Grids!$EE$160:$GQ$219,$M$439+46)&gt;=PEND_TO,"",SMALL(Grids!$EE$160:$GQ$219,$M$439+46)),"")</f>
        <v/>
      </c>
      <c r="M487" s="39">
        <f>IF($L487="","",INT($L487/1000000000))</f>
        <v/>
      </c>
      <c r="N487" s="39">
        <f>IF($L487="","",INT(($L487-INT($L487/1000000)*1000000)/1000))</f>
        <v/>
      </c>
      <c r="O487" s="39">
        <f>IF($L487="","",$L487-INT($L487/1000)*1000)</f>
        <v/>
      </c>
      <c r="P487" s="39">
        <f>IF($L487="","",INT(($L487-INT($L487/1000000000)*1000000000)/100000000))</f>
        <v/>
      </c>
    </row>
    <row r="488">
      <c r="B488" s="42">
        <f>IF($L488="","",$M488)</f>
        <v/>
      </c>
      <c r="C488" s="22">
        <f>IF($L488="","",INDEX(HSCEI!$C$7:$C$66,$N488))</f>
        <v/>
      </c>
      <c r="D488" s="22">
        <f>IF($L488="","",INDEX(HSCEI!$D$7:$D$66,$N488))</f>
        <v/>
      </c>
      <c r="E488" s="43">
        <f>IF($L488="","",IF($P488=0,"TBA",IFERROR(INDEX(Grids!$C$160:$BO$219,$N488,$O488),"-")))</f>
        <v/>
      </c>
      <c r="F488" s="22">
        <f>IF($L488="","",INDEX(HSCEI!$F$7:$F$66,$N488))</f>
        <v/>
      </c>
      <c r="G488" s="43">
        <f>IF($L488="","",IF($P488=0,"TBA",IFERROR(INDEX(Grids!$BQ$160:$EC$219,$N488,$O488),"-")))</f>
        <v/>
      </c>
      <c r="H488" s="44">
        <f>IF($L488="","",SUM($G$442:$G488))</f>
        <v/>
      </c>
      <c r="I488" s="45">
        <f>IF($L488="","",IF(INT(($L488-INT($L488/10000000)*10000000)/1000000)=0,"Bloomberg projection",IF($P488=1,"ANNOUNCED","ANNOUNCED - amount TBA")))</f>
        <v/>
      </c>
      <c r="J488" s="46">
        <f>IF($L488="","",IF((OV_SWITCH="ON")*(COUNTIFS(OVR_TICKERS,INDEX(HSCEI!$C$7:$C$66,$N488),OVR_BASE,"&gt;=0")&gt;0)&gt;0,"stock overridden",""))</f>
        <v/>
      </c>
      <c r="L488" s="39">
        <f>IFERROR(IF(SMALL(Grids!$EE$160:$GQ$219,$M$439+47)&gt;=PEND_TO,"",SMALL(Grids!$EE$160:$GQ$219,$M$439+47)),"")</f>
        <v/>
      </c>
      <c r="M488" s="39">
        <f>IF($L488="","",INT($L488/1000000000))</f>
        <v/>
      </c>
      <c r="N488" s="39">
        <f>IF($L488="","",INT(($L488-INT($L488/1000000)*1000000)/1000))</f>
        <v/>
      </c>
      <c r="O488" s="39">
        <f>IF($L488="","",$L488-INT($L488/1000)*1000)</f>
        <v/>
      </c>
      <c r="P488" s="39">
        <f>IF($L488="","",INT(($L488-INT($L488/1000000000)*1000000000)/100000000))</f>
        <v/>
      </c>
    </row>
    <row r="489">
      <c r="B489" s="42">
        <f>IF($L489="","",$M489)</f>
        <v/>
      </c>
      <c r="C489" s="22">
        <f>IF($L489="","",INDEX(HSCEI!$C$7:$C$66,$N489))</f>
        <v/>
      </c>
      <c r="D489" s="22">
        <f>IF($L489="","",INDEX(HSCEI!$D$7:$D$66,$N489))</f>
        <v/>
      </c>
      <c r="E489" s="43">
        <f>IF($L489="","",IF($P489=0,"TBA",IFERROR(INDEX(Grids!$C$160:$BO$219,$N489,$O489),"-")))</f>
        <v/>
      </c>
      <c r="F489" s="22">
        <f>IF($L489="","",INDEX(HSCEI!$F$7:$F$66,$N489))</f>
        <v/>
      </c>
      <c r="G489" s="43">
        <f>IF($L489="","",IF($P489=0,"TBA",IFERROR(INDEX(Grids!$BQ$160:$EC$219,$N489,$O489),"-")))</f>
        <v/>
      </c>
      <c r="H489" s="44">
        <f>IF($L489="","",SUM($G$442:$G489))</f>
        <v/>
      </c>
      <c r="I489" s="45">
        <f>IF($L489="","",IF(INT(($L489-INT($L489/10000000)*10000000)/1000000)=0,"Bloomberg projection",IF($P489=1,"ANNOUNCED","ANNOUNCED - amount TBA")))</f>
        <v/>
      </c>
      <c r="J489" s="46">
        <f>IF($L489="","",IF((OV_SWITCH="ON")*(COUNTIFS(OVR_TICKERS,INDEX(HSCEI!$C$7:$C$66,$N489),OVR_BASE,"&gt;=0")&gt;0)&gt;0,"stock overridden",""))</f>
        <v/>
      </c>
      <c r="L489" s="39">
        <f>IFERROR(IF(SMALL(Grids!$EE$160:$GQ$219,$M$439+48)&gt;=PEND_TO,"",SMALL(Grids!$EE$160:$GQ$219,$M$439+48)),"")</f>
        <v/>
      </c>
      <c r="M489" s="39">
        <f>IF($L489="","",INT($L489/1000000000))</f>
        <v/>
      </c>
      <c r="N489" s="39">
        <f>IF($L489="","",INT(($L489-INT($L489/1000000)*1000000)/1000))</f>
        <v/>
      </c>
      <c r="O489" s="39">
        <f>IF($L489="","",$L489-INT($L489/1000)*1000)</f>
        <v/>
      </c>
      <c r="P489" s="39">
        <f>IF($L489="","",INT(($L489-INT($L489/1000000000)*1000000000)/100000000))</f>
        <v/>
      </c>
    </row>
    <row r="490">
      <c r="B490" s="42">
        <f>IF($L490="","",$M490)</f>
        <v/>
      </c>
      <c r="C490" s="22">
        <f>IF($L490="","",INDEX(HSCEI!$C$7:$C$66,$N490))</f>
        <v/>
      </c>
      <c r="D490" s="22">
        <f>IF($L490="","",INDEX(HSCEI!$D$7:$D$66,$N490))</f>
        <v/>
      </c>
      <c r="E490" s="43">
        <f>IF($L490="","",IF($P490=0,"TBA",IFERROR(INDEX(Grids!$C$160:$BO$219,$N490,$O490),"-")))</f>
        <v/>
      </c>
      <c r="F490" s="22">
        <f>IF($L490="","",INDEX(HSCEI!$F$7:$F$66,$N490))</f>
        <v/>
      </c>
      <c r="G490" s="43">
        <f>IF($L490="","",IF($P490=0,"TBA",IFERROR(INDEX(Grids!$BQ$160:$EC$219,$N490,$O490),"-")))</f>
        <v/>
      </c>
      <c r="H490" s="44">
        <f>IF($L490="","",SUM($G$442:$G490))</f>
        <v/>
      </c>
      <c r="I490" s="45">
        <f>IF($L490="","",IF(INT(($L490-INT($L490/10000000)*10000000)/1000000)=0,"Bloomberg projection",IF($P490=1,"ANNOUNCED","ANNOUNCED - amount TBA")))</f>
        <v/>
      </c>
      <c r="J490" s="46">
        <f>IF($L490="","",IF((OV_SWITCH="ON")*(COUNTIFS(OVR_TICKERS,INDEX(HSCEI!$C$7:$C$66,$N490),OVR_BASE,"&gt;=0")&gt;0)&gt;0,"stock overridden",""))</f>
        <v/>
      </c>
      <c r="L490" s="39">
        <f>IFERROR(IF(SMALL(Grids!$EE$160:$GQ$219,$M$439+49)&gt;=PEND_TO,"",SMALL(Grids!$EE$160:$GQ$219,$M$439+49)),"")</f>
        <v/>
      </c>
      <c r="M490" s="39">
        <f>IF($L490="","",INT($L490/1000000000))</f>
        <v/>
      </c>
      <c r="N490" s="39">
        <f>IF($L490="","",INT(($L490-INT($L490/1000000)*1000000)/1000))</f>
        <v/>
      </c>
      <c r="O490" s="39">
        <f>IF($L490="","",$L490-INT($L490/1000)*1000)</f>
        <v/>
      </c>
      <c r="P490" s="39">
        <f>IF($L490="","",INT(($L490-INT($L490/1000000000)*1000000000)/100000000))</f>
        <v/>
      </c>
    </row>
    <row r="491">
      <c r="B491" s="42">
        <f>IF($L491="","",$M491)</f>
        <v/>
      </c>
      <c r="C491" s="22">
        <f>IF($L491="","",INDEX(HSCEI!$C$7:$C$66,$N491))</f>
        <v/>
      </c>
      <c r="D491" s="22">
        <f>IF($L491="","",INDEX(HSCEI!$D$7:$D$66,$N491))</f>
        <v/>
      </c>
      <c r="E491" s="43">
        <f>IF($L491="","",IF($P491=0,"TBA",IFERROR(INDEX(Grids!$C$160:$BO$219,$N491,$O491),"-")))</f>
        <v/>
      </c>
      <c r="F491" s="22">
        <f>IF($L491="","",INDEX(HSCEI!$F$7:$F$66,$N491))</f>
        <v/>
      </c>
      <c r="G491" s="43">
        <f>IF($L491="","",IF($P491=0,"TBA",IFERROR(INDEX(Grids!$BQ$160:$EC$219,$N491,$O491),"-")))</f>
        <v/>
      </c>
      <c r="H491" s="44">
        <f>IF($L491="","",SUM($G$442:$G491))</f>
        <v/>
      </c>
      <c r="I491" s="45">
        <f>IF($L491="","",IF(INT(($L491-INT($L491/10000000)*10000000)/1000000)=0,"Bloomberg projection",IF($P491=1,"ANNOUNCED","ANNOUNCED - amount TBA")))</f>
        <v/>
      </c>
      <c r="J491" s="46">
        <f>IF($L491="","",IF((OV_SWITCH="ON")*(COUNTIFS(OVR_TICKERS,INDEX(HSCEI!$C$7:$C$66,$N491),OVR_BASE,"&gt;=0")&gt;0)&gt;0,"stock overridden",""))</f>
        <v/>
      </c>
      <c r="L491" s="39">
        <f>IFERROR(IF(SMALL(Grids!$EE$160:$GQ$219,$M$439+50)&gt;=PEND_TO,"",SMALL(Grids!$EE$160:$GQ$219,$M$439+50)),"")</f>
        <v/>
      </c>
      <c r="M491" s="39">
        <f>IF($L491="","",INT($L491/1000000000))</f>
        <v/>
      </c>
      <c r="N491" s="39">
        <f>IF($L491="","",INT(($L491-INT($L491/1000000)*1000000)/1000))</f>
        <v/>
      </c>
      <c r="O491" s="39">
        <f>IF($L491="","",$L491-INT($L491/1000)*1000)</f>
        <v/>
      </c>
      <c r="P491" s="39">
        <f>IF($L491="","",INT(($L491-INT($L491/1000000000)*1000000000)/100000000))</f>
        <v/>
      </c>
    </row>
    <row r="492">
      <c r="B492" s="42">
        <f>IF($L492="","",$M492)</f>
        <v/>
      </c>
      <c r="C492" s="22">
        <f>IF($L492="","",INDEX(HSCEI!$C$7:$C$66,$N492))</f>
        <v/>
      </c>
      <c r="D492" s="22">
        <f>IF($L492="","",INDEX(HSCEI!$D$7:$D$66,$N492))</f>
        <v/>
      </c>
      <c r="E492" s="43">
        <f>IF($L492="","",IF($P492=0,"TBA",IFERROR(INDEX(Grids!$C$160:$BO$219,$N492,$O492),"-")))</f>
        <v/>
      </c>
      <c r="F492" s="22">
        <f>IF($L492="","",INDEX(HSCEI!$F$7:$F$66,$N492))</f>
        <v/>
      </c>
      <c r="G492" s="43">
        <f>IF($L492="","",IF($P492=0,"TBA",IFERROR(INDEX(Grids!$BQ$160:$EC$219,$N492,$O492),"-")))</f>
        <v/>
      </c>
      <c r="H492" s="44">
        <f>IF($L492="","",SUM($G$442:$G492))</f>
        <v/>
      </c>
      <c r="I492" s="45">
        <f>IF($L492="","",IF(INT(($L492-INT($L492/10000000)*10000000)/1000000)=0,"Bloomberg projection",IF($P492=1,"ANNOUNCED","ANNOUNCED - amount TBA")))</f>
        <v/>
      </c>
      <c r="J492" s="46">
        <f>IF($L492="","",IF((OV_SWITCH="ON")*(COUNTIFS(OVR_TICKERS,INDEX(HSCEI!$C$7:$C$66,$N492),OVR_BASE,"&gt;=0")&gt;0)&gt;0,"stock overridden",""))</f>
        <v/>
      </c>
      <c r="L492" s="39">
        <f>IFERROR(IF(SMALL(Grids!$EE$160:$GQ$219,$M$439+51)&gt;=PEND_TO,"",SMALL(Grids!$EE$160:$GQ$219,$M$439+51)),"")</f>
        <v/>
      </c>
      <c r="M492" s="39">
        <f>IF($L492="","",INT($L492/1000000000))</f>
        <v/>
      </c>
      <c r="N492" s="39">
        <f>IF($L492="","",INT(($L492-INT($L492/1000000)*1000000)/1000))</f>
        <v/>
      </c>
      <c r="O492" s="39">
        <f>IF($L492="","",$L492-INT($L492/1000)*1000)</f>
        <v/>
      </c>
      <c r="P492" s="39">
        <f>IF($L492="","",INT(($L492-INT($L492/1000000000)*1000000000)/100000000))</f>
        <v/>
      </c>
    </row>
    <row r="493">
      <c r="B493" s="42">
        <f>IF($L493="","",$M493)</f>
        <v/>
      </c>
      <c r="C493" s="22">
        <f>IF($L493="","",INDEX(HSCEI!$C$7:$C$66,$N493))</f>
        <v/>
      </c>
      <c r="D493" s="22">
        <f>IF($L493="","",INDEX(HSCEI!$D$7:$D$66,$N493))</f>
        <v/>
      </c>
      <c r="E493" s="43">
        <f>IF($L493="","",IF($P493=0,"TBA",IFERROR(INDEX(Grids!$C$160:$BO$219,$N493,$O493),"-")))</f>
        <v/>
      </c>
      <c r="F493" s="22">
        <f>IF($L493="","",INDEX(HSCEI!$F$7:$F$66,$N493))</f>
        <v/>
      </c>
      <c r="G493" s="43">
        <f>IF($L493="","",IF($P493=0,"TBA",IFERROR(INDEX(Grids!$BQ$160:$EC$219,$N493,$O493),"-")))</f>
        <v/>
      </c>
      <c r="H493" s="44">
        <f>IF($L493="","",SUM($G$442:$G493))</f>
        <v/>
      </c>
      <c r="I493" s="45">
        <f>IF($L493="","",IF(INT(($L493-INT($L493/10000000)*10000000)/1000000)=0,"Bloomberg projection",IF($P493=1,"ANNOUNCED","ANNOUNCED - amount TBA")))</f>
        <v/>
      </c>
      <c r="J493" s="46">
        <f>IF($L493="","",IF((OV_SWITCH="ON")*(COUNTIFS(OVR_TICKERS,INDEX(HSCEI!$C$7:$C$66,$N493),OVR_BASE,"&gt;=0")&gt;0)&gt;0,"stock overridden",""))</f>
        <v/>
      </c>
      <c r="L493" s="39">
        <f>IFERROR(IF(SMALL(Grids!$EE$160:$GQ$219,$M$439+52)&gt;=PEND_TO,"",SMALL(Grids!$EE$160:$GQ$219,$M$439+52)),"")</f>
        <v/>
      </c>
      <c r="M493" s="39">
        <f>IF($L493="","",INT($L493/1000000000))</f>
        <v/>
      </c>
      <c r="N493" s="39">
        <f>IF($L493="","",INT(($L493-INT($L493/1000000)*1000000)/1000))</f>
        <v/>
      </c>
      <c r="O493" s="39">
        <f>IF($L493="","",$L493-INT($L493/1000)*1000)</f>
        <v/>
      </c>
      <c r="P493" s="39">
        <f>IF($L493="","",INT(($L493-INT($L493/1000000000)*1000000000)/100000000))</f>
        <v/>
      </c>
    </row>
    <row r="494">
      <c r="B494" s="42">
        <f>IF($L494="","",$M494)</f>
        <v/>
      </c>
      <c r="C494" s="22">
        <f>IF($L494="","",INDEX(HSCEI!$C$7:$C$66,$N494))</f>
        <v/>
      </c>
      <c r="D494" s="22">
        <f>IF($L494="","",INDEX(HSCEI!$D$7:$D$66,$N494))</f>
        <v/>
      </c>
      <c r="E494" s="43">
        <f>IF($L494="","",IF($P494=0,"TBA",IFERROR(INDEX(Grids!$C$160:$BO$219,$N494,$O494),"-")))</f>
        <v/>
      </c>
      <c r="F494" s="22">
        <f>IF($L494="","",INDEX(HSCEI!$F$7:$F$66,$N494))</f>
        <v/>
      </c>
      <c r="G494" s="43">
        <f>IF($L494="","",IF($P494=0,"TBA",IFERROR(INDEX(Grids!$BQ$160:$EC$219,$N494,$O494),"-")))</f>
        <v/>
      </c>
      <c r="H494" s="44">
        <f>IF($L494="","",SUM($G$442:$G494))</f>
        <v/>
      </c>
      <c r="I494" s="45">
        <f>IF($L494="","",IF(INT(($L494-INT($L494/10000000)*10000000)/1000000)=0,"Bloomberg projection",IF($P494=1,"ANNOUNCED","ANNOUNCED - amount TBA")))</f>
        <v/>
      </c>
      <c r="J494" s="46">
        <f>IF($L494="","",IF((OV_SWITCH="ON")*(COUNTIFS(OVR_TICKERS,INDEX(HSCEI!$C$7:$C$66,$N494),OVR_BASE,"&gt;=0")&gt;0)&gt;0,"stock overridden",""))</f>
        <v/>
      </c>
      <c r="L494" s="39">
        <f>IFERROR(IF(SMALL(Grids!$EE$160:$GQ$219,$M$439+53)&gt;=PEND_TO,"",SMALL(Grids!$EE$160:$GQ$219,$M$439+53)),"")</f>
        <v/>
      </c>
      <c r="M494" s="39">
        <f>IF($L494="","",INT($L494/1000000000))</f>
        <v/>
      </c>
      <c r="N494" s="39">
        <f>IF($L494="","",INT(($L494-INT($L494/1000000)*1000000)/1000))</f>
        <v/>
      </c>
      <c r="O494" s="39">
        <f>IF($L494="","",$L494-INT($L494/1000)*1000)</f>
        <v/>
      </c>
      <c r="P494" s="39">
        <f>IF($L494="","",INT(($L494-INT($L494/1000000000)*1000000000)/100000000))</f>
        <v/>
      </c>
    </row>
    <row r="495">
      <c r="B495" s="42">
        <f>IF($L495="","",$M495)</f>
        <v/>
      </c>
      <c r="C495" s="22">
        <f>IF($L495="","",INDEX(HSCEI!$C$7:$C$66,$N495))</f>
        <v/>
      </c>
      <c r="D495" s="22">
        <f>IF($L495="","",INDEX(HSCEI!$D$7:$D$66,$N495))</f>
        <v/>
      </c>
      <c r="E495" s="43">
        <f>IF($L495="","",IF($P495=0,"TBA",IFERROR(INDEX(Grids!$C$160:$BO$219,$N495,$O495),"-")))</f>
        <v/>
      </c>
      <c r="F495" s="22">
        <f>IF($L495="","",INDEX(HSCEI!$F$7:$F$66,$N495))</f>
        <v/>
      </c>
      <c r="G495" s="43">
        <f>IF($L495="","",IF($P495=0,"TBA",IFERROR(INDEX(Grids!$BQ$160:$EC$219,$N495,$O495),"-")))</f>
        <v/>
      </c>
      <c r="H495" s="44">
        <f>IF($L495="","",SUM($G$442:$G495))</f>
        <v/>
      </c>
      <c r="I495" s="45">
        <f>IF($L495="","",IF(INT(($L495-INT($L495/10000000)*10000000)/1000000)=0,"Bloomberg projection",IF($P495=1,"ANNOUNCED","ANNOUNCED - amount TBA")))</f>
        <v/>
      </c>
      <c r="J495" s="46">
        <f>IF($L495="","",IF((OV_SWITCH="ON")*(COUNTIFS(OVR_TICKERS,INDEX(HSCEI!$C$7:$C$66,$N495),OVR_BASE,"&gt;=0")&gt;0)&gt;0,"stock overridden",""))</f>
        <v/>
      </c>
      <c r="L495" s="39">
        <f>IFERROR(IF(SMALL(Grids!$EE$160:$GQ$219,$M$439+54)&gt;=PEND_TO,"",SMALL(Grids!$EE$160:$GQ$219,$M$439+54)),"")</f>
        <v/>
      </c>
      <c r="M495" s="39">
        <f>IF($L495="","",INT($L495/1000000000))</f>
        <v/>
      </c>
      <c r="N495" s="39">
        <f>IF($L495="","",INT(($L495-INT($L495/1000000)*1000000)/1000))</f>
        <v/>
      </c>
      <c r="O495" s="39">
        <f>IF($L495="","",$L495-INT($L495/1000)*1000)</f>
        <v/>
      </c>
      <c r="P495" s="39">
        <f>IF($L495="","",INT(($L495-INT($L495/1000000000)*1000000000)/100000000))</f>
        <v/>
      </c>
    </row>
    <row r="496">
      <c r="B496" s="42">
        <f>IF($L496="","",$M496)</f>
        <v/>
      </c>
      <c r="C496" s="22">
        <f>IF($L496="","",INDEX(HSCEI!$C$7:$C$66,$N496))</f>
        <v/>
      </c>
      <c r="D496" s="22">
        <f>IF($L496="","",INDEX(HSCEI!$D$7:$D$66,$N496))</f>
        <v/>
      </c>
      <c r="E496" s="43">
        <f>IF($L496="","",IF($P496=0,"TBA",IFERROR(INDEX(Grids!$C$160:$BO$219,$N496,$O496),"-")))</f>
        <v/>
      </c>
      <c r="F496" s="22">
        <f>IF($L496="","",INDEX(HSCEI!$F$7:$F$66,$N496))</f>
        <v/>
      </c>
      <c r="G496" s="43">
        <f>IF($L496="","",IF($P496=0,"TBA",IFERROR(INDEX(Grids!$BQ$160:$EC$219,$N496,$O496),"-")))</f>
        <v/>
      </c>
      <c r="H496" s="44">
        <f>IF($L496="","",SUM($G$442:$G496))</f>
        <v/>
      </c>
      <c r="I496" s="45">
        <f>IF($L496="","",IF(INT(($L496-INT($L496/10000000)*10000000)/1000000)=0,"Bloomberg projection",IF($P496=1,"ANNOUNCED","ANNOUNCED - amount TBA")))</f>
        <v/>
      </c>
      <c r="J496" s="46">
        <f>IF($L496="","",IF((OV_SWITCH="ON")*(COUNTIFS(OVR_TICKERS,INDEX(HSCEI!$C$7:$C$66,$N496),OVR_BASE,"&gt;=0")&gt;0)&gt;0,"stock overridden",""))</f>
        <v/>
      </c>
      <c r="L496" s="39">
        <f>IFERROR(IF(SMALL(Grids!$EE$160:$GQ$219,$M$439+55)&gt;=PEND_TO,"",SMALL(Grids!$EE$160:$GQ$219,$M$439+55)),"")</f>
        <v/>
      </c>
      <c r="M496" s="39">
        <f>IF($L496="","",INT($L496/1000000000))</f>
        <v/>
      </c>
      <c r="N496" s="39">
        <f>IF($L496="","",INT(($L496-INT($L496/1000000)*1000000)/1000))</f>
        <v/>
      </c>
      <c r="O496" s="39">
        <f>IF($L496="","",$L496-INT($L496/1000)*1000)</f>
        <v/>
      </c>
      <c r="P496" s="39">
        <f>IF($L496="","",INT(($L496-INT($L496/1000000000)*1000000000)/100000000))</f>
        <v/>
      </c>
    </row>
    <row r="497">
      <c r="B497" s="42">
        <f>IF($L497="","",$M497)</f>
        <v/>
      </c>
      <c r="C497" s="22">
        <f>IF($L497="","",INDEX(HSCEI!$C$7:$C$66,$N497))</f>
        <v/>
      </c>
      <c r="D497" s="22">
        <f>IF($L497="","",INDEX(HSCEI!$D$7:$D$66,$N497))</f>
        <v/>
      </c>
      <c r="E497" s="43">
        <f>IF($L497="","",IF($P497=0,"TBA",IFERROR(INDEX(Grids!$C$160:$BO$219,$N497,$O497),"-")))</f>
        <v/>
      </c>
      <c r="F497" s="22">
        <f>IF($L497="","",INDEX(HSCEI!$F$7:$F$66,$N497))</f>
        <v/>
      </c>
      <c r="G497" s="43">
        <f>IF($L497="","",IF($P497=0,"TBA",IFERROR(INDEX(Grids!$BQ$160:$EC$219,$N497,$O497),"-")))</f>
        <v/>
      </c>
      <c r="H497" s="44">
        <f>IF($L497="","",SUM($G$442:$G497))</f>
        <v/>
      </c>
      <c r="I497" s="45">
        <f>IF($L497="","",IF(INT(($L497-INT($L497/10000000)*10000000)/1000000)=0,"Bloomberg projection",IF($P497=1,"ANNOUNCED","ANNOUNCED - amount TBA")))</f>
        <v/>
      </c>
      <c r="J497" s="46">
        <f>IF($L497="","",IF((OV_SWITCH="ON")*(COUNTIFS(OVR_TICKERS,INDEX(HSCEI!$C$7:$C$66,$N497),OVR_BASE,"&gt;=0")&gt;0)&gt;0,"stock overridden",""))</f>
        <v/>
      </c>
      <c r="L497" s="39">
        <f>IFERROR(IF(SMALL(Grids!$EE$160:$GQ$219,$M$439+56)&gt;=PEND_TO,"",SMALL(Grids!$EE$160:$GQ$219,$M$439+56)),"")</f>
        <v/>
      </c>
      <c r="M497" s="39">
        <f>IF($L497="","",INT($L497/1000000000))</f>
        <v/>
      </c>
      <c r="N497" s="39">
        <f>IF($L497="","",INT(($L497-INT($L497/1000000)*1000000)/1000))</f>
        <v/>
      </c>
      <c r="O497" s="39">
        <f>IF($L497="","",$L497-INT($L497/1000)*1000)</f>
        <v/>
      </c>
      <c r="P497" s="39">
        <f>IF($L497="","",INT(($L497-INT($L497/1000000000)*1000000000)/100000000))</f>
        <v/>
      </c>
    </row>
    <row r="498">
      <c r="B498" s="42">
        <f>IF($L498="","",$M498)</f>
        <v/>
      </c>
      <c r="C498" s="22">
        <f>IF($L498="","",INDEX(HSCEI!$C$7:$C$66,$N498))</f>
        <v/>
      </c>
      <c r="D498" s="22">
        <f>IF($L498="","",INDEX(HSCEI!$D$7:$D$66,$N498))</f>
        <v/>
      </c>
      <c r="E498" s="43">
        <f>IF($L498="","",IF($P498=0,"TBA",IFERROR(INDEX(Grids!$C$160:$BO$219,$N498,$O498),"-")))</f>
        <v/>
      </c>
      <c r="F498" s="22">
        <f>IF($L498="","",INDEX(HSCEI!$F$7:$F$66,$N498))</f>
        <v/>
      </c>
      <c r="G498" s="43">
        <f>IF($L498="","",IF($P498=0,"TBA",IFERROR(INDEX(Grids!$BQ$160:$EC$219,$N498,$O498),"-")))</f>
        <v/>
      </c>
      <c r="H498" s="44">
        <f>IF($L498="","",SUM($G$442:$G498))</f>
        <v/>
      </c>
      <c r="I498" s="45">
        <f>IF($L498="","",IF(INT(($L498-INT($L498/10000000)*10000000)/1000000)=0,"Bloomberg projection",IF($P498=1,"ANNOUNCED","ANNOUNCED - amount TBA")))</f>
        <v/>
      </c>
      <c r="J498" s="46">
        <f>IF($L498="","",IF((OV_SWITCH="ON")*(COUNTIFS(OVR_TICKERS,INDEX(HSCEI!$C$7:$C$66,$N498),OVR_BASE,"&gt;=0")&gt;0)&gt;0,"stock overridden",""))</f>
        <v/>
      </c>
      <c r="L498" s="39">
        <f>IFERROR(IF(SMALL(Grids!$EE$160:$GQ$219,$M$439+57)&gt;=PEND_TO,"",SMALL(Grids!$EE$160:$GQ$219,$M$439+57)),"")</f>
        <v/>
      </c>
      <c r="M498" s="39">
        <f>IF($L498="","",INT($L498/1000000000))</f>
        <v/>
      </c>
      <c r="N498" s="39">
        <f>IF($L498="","",INT(($L498-INT($L498/1000000)*1000000)/1000))</f>
        <v/>
      </c>
      <c r="O498" s="39">
        <f>IF($L498="","",$L498-INT($L498/1000)*1000)</f>
        <v/>
      </c>
      <c r="P498" s="39">
        <f>IF($L498="","",INT(($L498-INT($L498/1000000000)*1000000000)/100000000))</f>
        <v/>
      </c>
    </row>
    <row r="499">
      <c r="B499" s="42">
        <f>IF($L499="","",$M499)</f>
        <v/>
      </c>
      <c r="C499" s="22">
        <f>IF($L499="","",INDEX(HSCEI!$C$7:$C$66,$N499))</f>
        <v/>
      </c>
      <c r="D499" s="22">
        <f>IF($L499="","",INDEX(HSCEI!$D$7:$D$66,$N499))</f>
        <v/>
      </c>
      <c r="E499" s="43">
        <f>IF($L499="","",IF($P499=0,"TBA",IFERROR(INDEX(Grids!$C$160:$BO$219,$N499,$O499),"-")))</f>
        <v/>
      </c>
      <c r="F499" s="22">
        <f>IF($L499="","",INDEX(HSCEI!$F$7:$F$66,$N499))</f>
        <v/>
      </c>
      <c r="G499" s="43">
        <f>IF($L499="","",IF($P499=0,"TBA",IFERROR(INDEX(Grids!$BQ$160:$EC$219,$N499,$O499),"-")))</f>
        <v/>
      </c>
      <c r="H499" s="44">
        <f>IF($L499="","",SUM($G$442:$G499))</f>
        <v/>
      </c>
      <c r="I499" s="45">
        <f>IF($L499="","",IF(INT(($L499-INT($L499/10000000)*10000000)/1000000)=0,"Bloomberg projection",IF($P499=1,"ANNOUNCED","ANNOUNCED - amount TBA")))</f>
        <v/>
      </c>
      <c r="J499" s="46">
        <f>IF($L499="","",IF((OV_SWITCH="ON")*(COUNTIFS(OVR_TICKERS,INDEX(HSCEI!$C$7:$C$66,$N499),OVR_BASE,"&gt;=0")&gt;0)&gt;0,"stock overridden",""))</f>
        <v/>
      </c>
      <c r="L499" s="39">
        <f>IFERROR(IF(SMALL(Grids!$EE$160:$GQ$219,$M$439+58)&gt;=PEND_TO,"",SMALL(Grids!$EE$160:$GQ$219,$M$439+58)),"")</f>
        <v/>
      </c>
      <c r="M499" s="39">
        <f>IF($L499="","",INT($L499/1000000000))</f>
        <v/>
      </c>
      <c r="N499" s="39">
        <f>IF($L499="","",INT(($L499-INT($L499/1000000)*1000000)/1000))</f>
        <v/>
      </c>
      <c r="O499" s="39">
        <f>IF($L499="","",$L499-INT($L499/1000)*1000)</f>
        <v/>
      </c>
      <c r="P499" s="39">
        <f>IF($L499="","",INT(($L499-INT($L499/1000000000)*1000000000)/100000000))</f>
        <v/>
      </c>
    </row>
    <row r="500">
      <c r="B500" s="42">
        <f>IF($L500="","",$M500)</f>
        <v/>
      </c>
      <c r="C500" s="22">
        <f>IF($L500="","",INDEX(HSCEI!$C$7:$C$66,$N500))</f>
        <v/>
      </c>
      <c r="D500" s="22">
        <f>IF($L500="","",INDEX(HSCEI!$D$7:$D$66,$N500))</f>
        <v/>
      </c>
      <c r="E500" s="43">
        <f>IF($L500="","",IF($P500=0,"TBA",IFERROR(INDEX(Grids!$C$160:$BO$219,$N500,$O500),"-")))</f>
        <v/>
      </c>
      <c r="F500" s="22">
        <f>IF($L500="","",INDEX(HSCEI!$F$7:$F$66,$N500))</f>
        <v/>
      </c>
      <c r="G500" s="43">
        <f>IF($L500="","",IF($P500=0,"TBA",IFERROR(INDEX(Grids!$BQ$160:$EC$219,$N500,$O500),"-")))</f>
        <v/>
      </c>
      <c r="H500" s="44">
        <f>IF($L500="","",SUM($G$442:$G500))</f>
        <v/>
      </c>
      <c r="I500" s="45">
        <f>IF($L500="","",IF(INT(($L500-INT($L500/10000000)*10000000)/1000000)=0,"Bloomberg projection",IF($P500=1,"ANNOUNCED","ANNOUNCED - amount TBA")))</f>
        <v/>
      </c>
      <c r="J500" s="46">
        <f>IF($L500="","",IF((OV_SWITCH="ON")*(COUNTIFS(OVR_TICKERS,INDEX(HSCEI!$C$7:$C$66,$N500),OVR_BASE,"&gt;=0")&gt;0)&gt;0,"stock overridden",""))</f>
        <v/>
      </c>
      <c r="L500" s="39">
        <f>IFERROR(IF(SMALL(Grids!$EE$160:$GQ$219,$M$439+59)&gt;=PEND_TO,"",SMALL(Grids!$EE$160:$GQ$219,$M$439+59)),"")</f>
        <v/>
      </c>
      <c r="M500" s="39">
        <f>IF($L500="","",INT($L500/1000000000))</f>
        <v/>
      </c>
      <c r="N500" s="39">
        <f>IF($L500="","",INT(($L500-INT($L500/1000000)*1000000)/1000))</f>
        <v/>
      </c>
      <c r="O500" s="39">
        <f>IF($L500="","",$L500-INT($L500/1000)*1000)</f>
        <v/>
      </c>
      <c r="P500" s="39">
        <f>IF($L500="","",INT(($L500-INT($L500/1000000000)*1000000000)/100000000))</f>
        <v/>
      </c>
    </row>
    <row r="501">
      <c r="B501" s="42">
        <f>IF($L501="","",$M501)</f>
        <v/>
      </c>
      <c r="C501" s="22">
        <f>IF($L501="","",INDEX(HSCEI!$C$7:$C$66,$N501))</f>
        <v/>
      </c>
      <c r="D501" s="22">
        <f>IF($L501="","",INDEX(HSCEI!$D$7:$D$66,$N501))</f>
        <v/>
      </c>
      <c r="E501" s="43">
        <f>IF($L501="","",IF($P501=0,"TBA",IFERROR(INDEX(Grids!$C$160:$BO$219,$N501,$O501),"-")))</f>
        <v/>
      </c>
      <c r="F501" s="22">
        <f>IF($L501="","",INDEX(HSCEI!$F$7:$F$66,$N501))</f>
        <v/>
      </c>
      <c r="G501" s="43">
        <f>IF($L501="","",IF($P501=0,"TBA",IFERROR(INDEX(Grids!$BQ$160:$EC$219,$N501,$O501),"-")))</f>
        <v/>
      </c>
      <c r="H501" s="44">
        <f>IF($L501="","",SUM($G$442:$G501))</f>
        <v/>
      </c>
      <c r="I501" s="45">
        <f>IF($L501="","",IF(INT(($L501-INT($L501/10000000)*10000000)/1000000)=0,"Bloomberg projection",IF($P501=1,"ANNOUNCED","ANNOUNCED - amount TBA")))</f>
        <v/>
      </c>
      <c r="J501" s="46">
        <f>IF($L501="","",IF((OV_SWITCH="ON")*(COUNTIFS(OVR_TICKERS,INDEX(HSCEI!$C$7:$C$66,$N501),OVR_BASE,"&gt;=0")&gt;0)&gt;0,"stock overridden",""))</f>
        <v/>
      </c>
      <c r="L501" s="39">
        <f>IFERROR(IF(SMALL(Grids!$EE$160:$GQ$219,$M$439+60)&gt;=PEND_TO,"",SMALL(Grids!$EE$160:$GQ$219,$M$439+60)),"")</f>
        <v/>
      </c>
      <c r="M501" s="39">
        <f>IF($L501="","",INT($L501/1000000000))</f>
        <v/>
      </c>
      <c r="N501" s="39">
        <f>IF($L501="","",INT(($L501-INT($L501/1000000)*1000000)/1000))</f>
        <v/>
      </c>
      <c r="O501" s="39">
        <f>IF($L501="","",$L501-INT($L501/1000)*1000)</f>
        <v/>
      </c>
      <c r="P501" s="39">
        <f>IF($L501="","",INT(($L501-INT($L501/1000000000)*1000000000)/100000000))</f>
        <v/>
      </c>
    </row>
    <row r="502">
      <c r="B502" s="42">
        <f>IF($L502="","",$M502)</f>
        <v/>
      </c>
      <c r="C502" s="22">
        <f>IF($L502="","",INDEX(HSCEI!$C$7:$C$66,$N502))</f>
        <v/>
      </c>
      <c r="D502" s="22">
        <f>IF($L502="","",INDEX(HSCEI!$D$7:$D$66,$N502))</f>
        <v/>
      </c>
      <c r="E502" s="43">
        <f>IF($L502="","",IF($P502=0,"TBA",IFERROR(INDEX(Grids!$C$160:$BO$219,$N502,$O502),"-")))</f>
        <v/>
      </c>
      <c r="F502" s="22">
        <f>IF($L502="","",INDEX(HSCEI!$F$7:$F$66,$N502))</f>
        <v/>
      </c>
      <c r="G502" s="43">
        <f>IF($L502="","",IF($P502=0,"TBA",IFERROR(INDEX(Grids!$BQ$160:$EC$219,$N502,$O502),"-")))</f>
        <v/>
      </c>
      <c r="H502" s="44">
        <f>IF($L502="","",SUM($G$442:$G502))</f>
        <v/>
      </c>
      <c r="I502" s="45">
        <f>IF($L502="","",IF(INT(($L502-INT($L502/10000000)*10000000)/1000000)=0,"Bloomberg projection",IF($P502=1,"ANNOUNCED","ANNOUNCED - amount TBA")))</f>
        <v/>
      </c>
      <c r="J502" s="46">
        <f>IF($L502="","",IF((OV_SWITCH="ON")*(COUNTIFS(OVR_TICKERS,INDEX(HSCEI!$C$7:$C$66,$N502),OVR_BASE,"&gt;=0")&gt;0)&gt;0,"stock overridden",""))</f>
        <v/>
      </c>
      <c r="L502" s="39">
        <f>IFERROR(IF(SMALL(Grids!$EE$160:$GQ$219,$M$439+61)&gt;=PEND_TO,"",SMALL(Grids!$EE$160:$GQ$219,$M$439+61)),"")</f>
        <v/>
      </c>
      <c r="M502" s="39">
        <f>IF($L502="","",INT($L502/1000000000))</f>
        <v/>
      </c>
      <c r="N502" s="39">
        <f>IF($L502="","",INT(($L502-INT($L502/1000000)*1000000)/1000))</f>
        <v/>
      </c>
      <c r="O502" s="39">
        <f>IF($L502="","",$L502-INT($L502/1000)*1000)</f>
        <v/>
      </c>
      <c r="P502" s="39">
        <f>IF($L502="","",INT(($L502-INT($L502/1000000000)*1000000000)/100000000))</f>
        <v/>
      </c>
    </row>
    <row r="503">
      <c r="B503" s="42">
        <f>IF($L503="","",$M503)</f>
        <v/>
      </c>
      <c r="C503" s="22">
        <f>IF($L503="","",INDEX(HSCEI!$C$7:$C$66,$N503))</f>
        <v/>
      </c>
      <c r="D503" s="22">
        <f>IF($L503="","",INDEX(HSCEI!$D$7:$D$66,$N503))</f>
        <v/>
      </c>
      <c r="E503" s="43">
        <f>IF($L503="","",IF($P503=0,"TBA",IFERROR(INDEX(Grids!$C$160:$BO$219,$N503,$O503),"-")))</f>
        <v/>
      </c>
      <c r="F503" s="22">
        <f>IF($L503="","",INDEX(HSCEI!$F$7:$F$66,$N503))</f>
        <v/>
      </c>
      <c r="G503" s="43">
        <f>IF($L503="","",IF($P503=0,"TBA",IFERROR(INDEX(Grids!$BQ$160:$EC$219,$N503,$O503),"-")))</f>
        <v/>
      </c>
      <c r="H503" s="44">
        <f>IF($L503="","",SUM($G$442:$G503))</f>
        <v/>
      </c>
      <c r="I503" s="45">
        <f>IF($L503="","",IF(INT(($L503-INT($L503/10000000)*10000000)/1000000)=0,"Bloomberg projection",IF($P503=1,"ANNOUNCED","ANNOUNCED - amount TBA")))</f>
        <v/>
      </c>
      <c r="J503" s="46">
        <f>IF($L503="","",IF((OV_SWITCH="ON")*(COUNTIFS(OVR_TICKERS,INDEX(HSCEI!$C$7:$C$66,$N503),OVR_BASE,"&gt;=0")&gt;0)&gt;0,"stock overridden",""))</f>
        <v/>
      </c>
      <c r="L503" s="39">
        <f>IFERROR(IF(SMALL(Grids!$EE$160:$GQ$219,$M$439+62)&gt;=PEND_TO,"",SMALL(Grids!$EE$160:$GQ$219,$M$439+62)),"")</f>
        <v/>
      </c>
      <c r="M503" s="39">
        <f>IF($L503="","",INT($L503/1000000000))</f>
        <v/>
      </c>
      <c r="N503" s="39">
        <f>IF($L503="","",INT(($L503-INT($L503/1000000)*1000000)/1000))</f>
        <v/>
      </c>
      <c r="O503" s="39">
        <f>IF($L503="","",$L503-INT($L503/1000)*1000)</f>
        <v/>
      </c>
      <c r="P503" s="39">
        <f>IF($L503="","",INT(($L503-INT($L503/1000000000)*1000000000)/100000000))</f>
        <v/>
      </c>
    </row>
    <row r="504">
      <c r="B504" s="42">
        <f>IF($L504="","",$M504)</f>
        <v/>
      </c>
      <c r="C504" s="22">
        <f>IF($L504="","",INDEX(HSCEI!$C$7:$C$66,$N504))</f>
        <v/>
      </c>
      <c r="D504" s="22">
        <f>IF($L504="","",INDEX(HSCEI!$D$7:$D$66,$N504))</f>
        <v/>
      </c>
      <c r="E504" s="43">
        <f>IF($L504="","",IF($P504=0,"TBA",IFERROR(INDEX(Grids!$C$160:$BO$219,$N504,$O504),"-")))</f>
        <v/>
      </c>
      <c r="F504" s="22">
        <f>IF($L504="","",INDEX(HSCEI!$F$7:$F$66,$N504))</f>
        <v/>
      </c>
      <c r="G504" s="43">
        <f>IF($L504="","",IF($P504=0,"TBA",IFERROR(INDEX(Grids!$BQ$160:$EC$219,$N504,$O504),"-")))</f>
        <v/>
      </c>
      <c r="H504" s="44">
        <f>IF($L504="","",SUM($G$442:$G504))</f>
        <v/>
      </c>
      <c r="I504" s="45">
        <f>IF($L504="","",IF(INT(($L504-INT($L504/10000000)*10000000)/1000000)=0,"Bloomberg projection",IF($P504=1,"ANNOUNCED","ANNOUNCED - amount TBA")))</f>
        <v/>
      </c>
      <c r="J504" s="46">
        <f>IF($L504="","",IF((OV_SWITCH="ON")*(COUNTIFS(OVR_TICKERS,INDEX(HSCEI!$C$7:$C$66,$N504),OVR_BASE,"&gt;=0")&gt;0)&gt;0,"stock overridden",""))</f>
        <v/>
      </c>
      <c r="L504" s="39">
        <f>IFERROR(IF(SMALL(Grids!$EE$160:$GQ$219,$M$439+63)&gt;=PEND_TO,"",SMALL(Grids!$EE$160:$GQ$219,$M$439+63)),"")</f>
        <v/>
      </c>
      <c r="M504" s="39">
        <f>IF($L504="","",INT($L504/1000000000))</f>
        <v/>
      </c>
      <c r="N504" s="39">
        <f>IF($L504="","",INT(($L504-INT($L504/1000000)*1000000)/1000))</f>
        <v/>
      </c>
      <c r="O504" s="39">
        <f>IF($L504="","",$L504-INT($L504/1000)*1000)</f>
        <v/>
      </c>
      <c r="P504" s="39">
        <f>IF($L504="","",INT(($L504-INT($L504/1000000000)*1000000000)/100000000))</f>
        <v/>
      </c>
    </row>
    <row r="505">
      <c r="B505" s="42">
        <f>IF($L505="","",$M505)</f>
        <v/>
      </c>
      <c r="C505" s="22">
        <f>IF($L505="","",INDEX(HSCEI!$C$7:$C$66,$N505))</f>
        <v/>
      </c>
      <c r="D505" s="22">
        <f>IF($L505="","",INDEX(HSCEI!$D$7:$D$66,$N505))</f>
        <v/>
      </c>
      <c r="E505" s="43">
        <f>IF($L505="","",IF($P505=0,"TBA",IFERROR(INDEX(Grids!$C$160:$BO$219,$N505,$O505),"-")))</f>
        <v/>
      </c>
      <c r="F505" s="22">
        <f>IF($L505="","",INDEX(HSCEI!$F$7:$F$66,$N505))</f>
        <v/>
      </c>
      <c r="G505" s="43">
        <f>IF($L505="","",IF($P505=0,"TBA",IFERROR(INDEX(Grids!$BQ$160:$EC$219,$N505,$O505),"-")))</f>
        <v/>
      </c>
      <c r="H505" s="44">
        <f>IF($L505="","",SUM($G$442:$G505))</f>
        <v/>
      </c>
      <c r="I505" s="45">
        <f>IF($L505="","",IF(INT(($L505-INT($L505/10000000)*10000000)/1000000)=0,"Bloomberg projection",IF($P505=1,"ANNOUNCED","ANNOUNCED - amount TBA")))</f>
        <v/>
      </c>
      <c r="J505" s="46">
        <f>IF($L505="","",IF((OV_SWITCH="ON")*(COUNTIFS(OVR_TICKERS,INDEX(HSCEI!$C$7:$C$66,$N505),OVR_BASE,"&gt;=0")&gt;0)&gt;0,"stock overridden",""))</f>
        <v/>
      </c>
      <c r="L505" s="39">
        <f>IFERROR(IF(SMALL(Grids!$EE$160:$GQ$219,$M$439+64)&gt;=PEND_TO,"",SMALL(Grids!$EE$160:$GQ$219,$M$439+64)),"")</f>
        <v/>
      </c>
      <c r="M505" s="39">
        <f>IF($L505="","",INT($L505/1000000000))</f>
        <v/>
      </c>
      <c r="N505" s="39">
        <f>IF($L505="","",INT(($L505-INT($L505/1000000)*1000000)/1000))</f>
        <v/>
      </c>
      <c r="O505" s="39">
        <f>IF($L505="","",$L505-INT($L505/1000)*1000)</f>
        <v/>
      </c>
      <c r="P505" s="39">
        <f>IF($L505="","",INT(($L505-INT($L505/1000000000)*1000000000)/100000000))</f>
        <v/>
      </c>
    </row>
    <row r="506">
      <c r="B506" s="42">
        <f>IF($L506="","",$M506)</f>
        <v/>
      </c>
      <c r="C506" s="22">
        <f>IF($L506="","",INDEX(HSCEI!$C$7:$C$66,$N506))</f>
        <v/>
      </c>
      <c r="D506" s="22">
        <f>IF($L506="","",INDEX(HSCEI!$D$7:$D$66,$N506))</f>
        <v/>
      </c>
      <c r="E506" s="43">
        <f>IF($L506="","",IF($P506=0,"TBA",IFERROR(INDEX(Grids!$C$160:$BO$219,$N506,$O506),"-")))</f>
        <v/>
      </c>
      <c r="F506" s="22">
        <f>IF($L506="","",INDEX(HSCEI!$F$7:$F$66,$N506))</f>
        <v/>
      </c>
      <c r="G506" s="43">
        <f>IF($L506="","",IF($P506=0,"TBA",IFERROR(INDEX(Grids!$BQ$160:$EC$219,$N506,$O506),"-")))</f>
        <v/>
      </c>
      <c r="H506" s="44">
        <f>IF($L506="","",SUM($G$442:$G506))</f>
        <v/>
      </c>
      <c r="I506" s="45">
        <f>IF($L506="","",IF(INT(($L506-INT($L506/10000000)*10000000)/1000000)=0,"Bloomberg projection",IF($P506=1,"ANNOUNCED","ANNOUNCED - amount TBA")))</f>
        <v/>
      </c>
      <c r="J506" s="46">
        <f>IF($L506="","",IF((OV_SWITCH="ON")*(COUNTIFS(OVR_TICKERS,INDEX(HSCEI!$C$7:$C$66,$N506),OVR_BASE,"&gt;=0")&gt;0)&gt;0,"stock overridden",""))</f>
        <v/>
      </c>
      <c r="L506" s="39">
        <f>IFERROR(IF(SMALL(Grids!$EE$160:$GQ$219,$M$439+65)&gt;=PEND_TO,"",SMALL(Grids!$EE$160:$GQ$219,$M$439+65)),"")</f>
        <v/>
      </c>
      <c r="M506" s="39">
        <f>IF($L506="","",INT($L506/1000000000))</f>
        <v/>
      </c>
      <c r="N506" s="39">
        <f>IF($L506="","",INT(($L506-INT($L506/1000000)*1000000)/1000))</f>
        <v/>
      </c>
      <c r="O506" s="39">
        <f>IF($L506="","",$L506-INT($L506/1000)*1000)</f>
        <v/>
      </c>
      <c r="P506" s="39">
        <f>IF($L506="","",INT(($L506-INT($L506/1000000000)*1000000000)/100000000))</f>
        <v/>
      </c>
    </row>
    <row r="507">
      <c r="B507" s="42">
        <f>IF($L507="","",$M507)</f>
        <v/>
      </c>
      <c r="C507" s="22">
        <f>IF($L507="","",INDEX(HSCEI!$C$7:$C$66,$N507))</f>
        <v/>
      </c>
      <c r="D507" s="22">
        <f>IF($L507="","",INDEX(HSCEI!$D$7:$D$66,$N507))</f>
        <v/>
      </c>
      <c r="E507" s="43">
        <f>IF($L507="","",IF($P507=0,"TBA",IFERROR(INDEX(Grids!$C$160:$BO$219,$N507,$O507),"-")))</f>
        <v/>
      </c>
      <c r="F507" s="22">
        <f>IF($L507="","",INDEX(HSCEI!$F$7:$F$66,$N507))</f>
        <v/>
      </c>
      <c r="G507" s="43">
        <f>IF($L507="","",IF($P507=0,"TBA",IFERROR(INDEX(Grids!$BQ$160:$EC$219,$N507,$O507),"-")))</f>
        <v/>
      </c>
      <c r="H507" s="44">
        <f>IF($L507="","",SUM($G$442:$G507))</f>
        <v/>
      </c>
      <c r="I507" s="45">
        <f>IF($L507="","",IF(INT(($L507-INT($L507/10000000)*10000000)/1000000)=0,"Bloomberg projection",IF($P507=1,"ANNOUNCED","ANNOUNCED - amount TBA")))</f>
        <v/>
      </c>
      <c r="J507" s="46">
        <f>IF($L507="","",IF((OV_SWITCH="ON")*(COUNTIFS(OVR_TICKERS,INDEX(HSCEI!$C$7:$C$66,$N507),OVR_BASE,"&gt;=0")&gt;0)&gt;0,"stock overridden",""))</f>
        <v/>
      </c>
      <c r="L507" s="39">
        <f>IFERROR(IF(SMALL(Grids!$EE$160:$GQ$219,$M$439+66)&gt;=PEND_TO,"",SMALL(Grids!$EE$160:$GQ$219,$M$439+66)),"")</f>
        <v/>
      </c>
      <c r="M507" s="39">
        <f>IF($L507="","",INT($L507/1000000000))</f>
        <v/>
      </c>
      <c r="N507" s="39">
        <f>IF($L507="","",INT(($L507-INT($L507/1000000)*1000000)/1000))</f>
        <v/>
      </c>
      <c r="O507" s="39">
        <f>IF($L507="","",$L507-INT($L507/1000)*1000)</f>
        <v/>
      </c>
      <c r="P507" s="39">
        <f>IF($L507="","",INT(($L507-INT($L507/1000000000)*1000000000)/100000000))</f>
        <v/>
      </c>
    </row>
    <row r="508">
      <c r="B508" s="42">
        <f>IF($L508="","",$M508)</f>
        <v/>
      </c>
      <c r="C508" s="22">
        <f>IF($L508="","",INDEX(HSCEI!$C$7:$C$66,$N508))</f>
        <v/>
      </c>
      <c r="D508" s="22">
        <f>IF($L508="","",INDEX(HSCEI!$D$7:$D$66,$N508))</f>
        <v/>
      </c>
      <c r="E508" s="43">
        <f>IF($L508="","",IF($P508=0,"TBA",IFERROR(INDEX(Grids!$C$160:$BO$219,$N508,$O508),"-")))</f>
        <v/>
      </c>
      <c r="F508" s="22">
        <f>IF($L508="","",INDEX(HSCEI!$F$7:$F$66,$N508))</f>
        <v/>
      </c>
      <c r="G508" s="43">
        <f>IF($L508="","",IF($P508=0,"TBA",IFERROR(INDEX(Grids!$BQ$160:$EC$219,$N508,$O508),"-")))</f>
        <v/>
      </c>
      <c r="H508" s="44">
        <f>IF($L508="","",SUM($G$442:$G508))</f>
        <v/>
      </c>
      <c r="I508" s="45">
        <f>IF($L508="","",IF(INT(($L508-INT($L508/10000000)*10000000)/1000000)=0,"Bloomberg projection",IF($P508=1,"ANNOUNCED","ANNOUNCED - amount TBA")))</f>
        <v/>
      </c>
      <c r="J508" s="46">
        <f>IF($L508="","",IF((OV_SWITCH="ON")*(COUNTIFS(OVR_TICKERS,INDEX(HSCEI!$C$7:$C$66,$N508),OVR_BASE,"&gt;=0")&gt;0)&gt;0,"stock overridden",""))</f>
        <v/>
      </c>
      <c r="L508" s="39">
        <f>IFERROR(IF(SMALL(Grids!$EE$160:$GQ$219,$M$439+67)&gt;=PEND_TO,"",SMALL(Grids!$EE$160:$GQ$219,$M$439+67)),"")</f>
        <v/>
      </c>
      <c r="M508" s="39">
        <f>IF($L508="","",INT($L508/1000000000))</f>
        <v/>
      </c>
      <c r="N508" s="39">
        <f>IF($L508="","",INT(($L508-INT($L508/1000000)*1000000)/1000))</f>
        <v/>
      </c>
      <c r="O508" s="39">
        <f>IF($L508="","",$L508-INT($L508/1000)*1000)</f>
        <v/>
      </c>
      <c r="P508" s="39">
        <f>IF($L508="","",INT(($L508-INT($L508/1000000000)*1000000000)/100000000))</f>
        <v/>
      </c>
    </row>
    <row r="509">
      <c r="B509" s="42">
        <f>IF($L509="","",$M509)</f>
        <v/>
      </c>
      <c r="C509" s="22">
        <f>IF($L509="","",INDEX(HSCEI!$C$7:$C$66,$N509))</f>
        <v/>
      </c>
      <c r="D509" s="22">
        <f>IF($L509="","",INDEX(HSCEI!$D$7:$D$66,$N509))</f>
        <v/>
      </c>
      <c r="E509" s="43">
        <f>IF($L509="","",IF($P509=0,"TBA",IFERROR(INDEX(Grids!$C$160:$BO$219,$N509,$O509),"-")))</f>
        <v/>
      </c>
      <c r="F509" s="22">
        <f>IF($L509="","",INDEX(HSCEI!$F$7:$F$66,$N509))</f>
        <v/>
      </c>
      <c r="G509" s="43">
        <f>IF($L509="","",IF($P509=0,"TBA",IFERROR(INDEX(Grids!$BQ$160:$EC$219,$N509,$O509),"-")))</f>
        <v/>
      </c>
      <c r="H509" s="44">
        <f>IF($L509="","",SUM($G$442:$G509))</f>
        <v/>
      </c>
      <c r="I509" s="45">
        <f>IF($L509="","",IF(INT(($L509-INT($L509/10000000)*10000000)/1000000)=0,"Bloomberg projection",IF($P509=1,"ANNOUNCED","ANNOUNCED - amount TBA")))</f>
        <v/>
      </c>
      <c r="J509" s="46">
        <f>IF($L509="","",IF((OV_SWITCH="ON")*(COUNTIFS(OVR_TICKERS,INDEX(HSCEI!$C$7:$C$66,$N509),OVR_BASE,"&gt;=0")&gt;0)&gt;0,"stock overridden",""))</f>
        <v/>
      </c>
      <c r="L509" s="39">
        <f>IFERROR(IF(SMALL(Grids!$EE$160:$GQ$219,$M$439+68)&gt;=PEND_TO,"",SMALL(Grids!$EE$160:$GQ$219,$M$439+68)),"")</f>
        <v/>
      </c>
      <c r="M509" s="39">
        <f>IF($L509="","",INT($L509/1000000000))</f>
        <v/>
      </c>
      <c r="N509" s="39">
        <f>IF($L509="","",INT(($L509-INT($L509/1000000)*1000000)/1000))</f>
        <v/>
      </c>
      <c r="O509" s="39">
        <f>IF($L509="","",$L509-INT($L509/1000)*1000)</f>
        <v/>
      </c>
      <c r="P509" s="39">
        <f>IF($L509="","",INT(($L509-INT($L509/1000000000)*1000000000)/100000000))</f>
        <v/>
      </c>
    </row>
    <row r="510">
      <c r="B510" s="42">
        <f>IF($L510="","",$M510)</f>
        <v/>
      </c>
      <c r="C510" s="22">
        <f>IF($L510="","",INDEX(HSCEI!$C$7:$C$66,$N510))</f>
        <v/>
      </c>
      <c r="D510" s="22">
        <f>IF($L510="","",INDEX(HSCEI!$D$7:$D$66,$N510))</f>
        <v/>
      </c>
      <c r="E510" s="43">
        <f>IF($L510="","",IF($P510=0,"TBA",IFERROR(INDEX(Grids!$C$160:$BO$219,$N510,$O510),"-")))</f>
        <v/>
      </c>
      <c r="F510" s="22">
        <f>IF($L510="","",INDEX(HSCEI!$F$7:$F$66,$N510))</f>
        <v/>
      </c>
      <c r="G510" s="43">
        <f>IF($L510="","",IF($P510=0,"TBA",IFERROR(INDEX(Grids!$BQ$160:$EC$219,$N510,$O510),"-")))</f>
        <v/>
      </c>
      <c r="H510" s="44">
        <f>IF($L510="","",SUM($G$442:$G510))</f>
        <v/>
      </c>
      <c r="I510" s="45">
        <f>IF($L510="","",IF(INT(($L510-INT($L510/10000000)*10000000)/1000000)=0,"Bloomberg projection",IF($P510=1,"ANNOUNCED","ANNOUNCED - amount TBA")))</f>
        <v/>
      </c>
      <c r="J510" s="46">
        <f>IF($L510="","",IF((OV_SWITCH="ON")*(COUNTIFS(OVR_TICKERS,INDEX(HSCEI!$C$7:$C$66,$N510),OVR_BASE,"&gt;=0")&gt;0)&gt;0,"stock overridden",""))</f>
        <v/>
      </c>
      <c r="L510" s="39">
        <f>IFERROR(IF(SMALL(Grids!$EE$160:$GQ$219,$M$439+69)&gt;=PEND_TO,"",SMALL(Grids!$EE$160:$GQ$219,$M$439+69)),"")</f>
        <v/>
      </c>
      <c r="M510" s="39">
        <f>IF($L510="","",INT($L510/1000000000))</f>
        <v/>
      </c>
      <c r="N510" s="39">
        <f>IF($L510="","",INT(($L510-INT($L510/1000000)*1000000)/1000))</f>
        <v/>
      </c>
      <c r="O510" s="39">
        <f>IF($L510="","",$L510-INT($L510/1000)*1000)</f>
        <v/>
      </c>
      <c r="P510" s="39">
        <f>IF($L510="","",INT(($L510-INT($L510/1000000000)*1000000000)/100000000))</f>
        <v/>
      </c>
    </row>
    <row r="511">
      <c r="B511" s="42">
        <f>IF($L511="","",$M511)</f>
        <v/>
      </c>
      <c r="C511" s="22">
        <f>IF($L511="","",INDEX(HSCEI!$C$7:$C$66,$N511))</f>
        <v/>
      </c>
      <c r="D511" s="22">
        <f>IF($L511="","",INDEX(HSCEI!$D$7:$D$66,$N511))</f>
        <v/>
      </c>
      <c r="E511" s="43">
        <f>IF($L511="","",IF($P511=0,"TBA",IFERROR(INDEX(Grids!$C$160:$BO$219,$N511,$O511),"-")))</f>
        <v/>
      </c>
      <c r="F511" s="22">
        <f>IF($L511="","",INDEX(HSCEI!$F$7:$F$66,$N511))</f>
        <v/>
      </c>
      <c r="G511" s="43">
        <f>IF($L511="","",IF($P511=0,"TBA",IFERROR(INDEX(Grids!$BQ$160:$EC$219,$N511,$O511),"-")))</f>
        <v/>
      </c>
      <c r="H511" s="44">
        <f>IF($L511="","",SUM($G$442:$G511))</f>
        <v/>
      </c>
      <c r="I511" s="45">
        <f>IF($L511="","",IF(INT(($L511-INT($L511/10000000)*10000000)/1000000)=0,"Bloomberg projection",IF($P511=1,"ANNOUNCED","ANNOUNCED - amount TBA")))</f>
        <v/>
      </c>
      <c r="J511" s="46">
        <f>IF($L511="","",IF((OV_SWITCH="ON")*(COUNTIFS(OVR_TICKERS,INDEX(HSCEI!$C$7:$C$66,$N511),OVR_BASE,"&gt;=0")&gt;0)&gt;0,"stock overridden",""))</f>
        <v/>
      </c>
      <c r="L511" s="39">
        <f>IFERROR(IF(SMALL(Grids!$EE$160:$GQ$219,$M$439+70)&gt;=PEND_TO,"",SMALL(Grids!$EE$160:$GQ$219,$M$439+70)),"")</f>
        <v/>
      </c>
      <c r="M511" s="39">
        <f>IF($L511="","",INT($L511/1000000000))</f>
        <v/>
      </c>
      <c r="N511" s="39">
        <f>IF($L511="","",INT(($L511-INT($L511/1000000)*1000000)/1000))</f>
        <v/>
      </c>
      <c r="O511" s="39">
        <f>IF($L511="","",$L511-INT($L511/1000)*1000)</f>
        <v/>
      </c>
      <c r="P511" s="39">
        <f>IF($L511="","",INT(($L511-INT($L511/1000000000)*1000000000)/100000000))</f>
        <v/>
      </c>
    </row>
    <row r="512">
      <c r="B512" s="42">
        <f>IF($L512="","",$M512)</f>
        <v/>
      </c>
      <c r="C512" s="22">
        <f>IF($L512="","",INDEX(HSCEI!$C$7:$C$66,$N512))</f>
        <v/>
      </c>
      <c r="D512" s="22">
        <f>IF($L512="","",INDEX(HSCEI!$D$7:$D$66,$N512))</f>
        <v/>
      </c>
      <c r="E512" s="43">
        <f>IF($L512="","",IF($P512=0,"TBA",IFERROR(INDEX(Grids!$C$160:$BO$219,$N512,$O512),"-")))</f>
        <v/>
      </c>
      <c r="F512" s="22">
        <f>IF($L512="","",INDEX(HSCEI!$F$7:$F$66,$N512))</f>
        <v/>
      </c>
      <c r="G512" s="43">
        <f>IF($L512="","",IF($P512=0,"TBA",IFERROR(INDEX(Grids!$BQ$160:$EC$219,$N512,$O512),"-")))</f>
        <v/>
      </c>
      <c r="H512" s="44">
        <f>IF($L512="","",SUM($G$442:$G512))</f>
        <v/>
      </c>
      <c r="I512" s="45">
        <f>IF($L512="","",IF(INT(($L512-INT($L512/10000000)*10000000)/1000000)=0,"Bloomberg projection",IF($P512=1,"ANNOUNCED","ANNOUNCED - amount TBA")))</f>
        <v/>
      </c>
      <c r="J512" s="46">
        <f>IF($L512="","",IF((OV_SWITCH="ON")*(COUNTIFS(OVR_TICKERS,INDEX(HSCEI!$C$7:$C$66,$N512),OVR_BASE,"&gt;=0")&gt;0)&gt;0,"stock overridden",""))</f>
        <v/>
      </c>
      <c r="L512" s="39">
        <f>IFERROR(IF(SMALL(Grids!$EE$160:$GQ$219,$M$439+71)&gt;=PEND_TO,"",SMALL(Grids!$EE$160:$GQ$219,$M$439+71)),"")</f>
        <v/>
      </c>
      <c r="M512" s="39">
        <f>IF($L512="","",INT($L512/1000000000))</f>
        <v/>
      </c>
      <c r="N512" s="39">
        <f>IF($L512="","",INT(($L512-INT($L512/1000000)*1000000)/1000))</f>
        <v/>
      </c>
      <c r="O512" s="39">
        <f>IF($L512="","",$L512-INT($L512/1000)*1000)</f>
        <v/>
      </c>
      <c r="P512" s="39">
        <f>IF($L512="","",INT(($L512-INT($L512/1000000000)*1000000000)/100000000))</f>
        <v/>
      </c>
    </row>
    <row r="513">
      <c r="B513" s="42">
        <f>IF($L513="","",$M513)</f>
        <v/>
      </c>
      <c r="C513" s="22">
        <f>IF($L513="","",INDEX(HSCEI!$C$7:$C$66,$N513))</f>
        <v/>
      </c>
      <c r="D513" s="22">
        <f>IF($L513="","",INDEX(HSCEI!$D$7:$D$66,$N513))</f>
        <v/>
      </c>
      <c r="E513" s="43">
        <f>IF($L513="","",IF($P513=0,"TBA",IFERROR(INDEX(Grids!$C$160:$BO$219,$N513,$O513),"-")))</f>
        <v/>
      </c>
      <c r="F513" s="22">
        <f>IF($L513="","",INDEX(HSCEI!$F$7:$F$66,$N513))</f>
        <v/>
      </c>
      <c r="G513" s="43">
        <f>IF($L513="","",IF($P513=0,"TBA",IFERROR(INDEX(Grids!$BQ$160:$EC$219,$N513,$O513),"-")))</f>
        <v/>
      </c>
      <c r="H513" s="44">
        <f>IF($L513="","",SUM($G$442:$G513))</f>
        <v/>
      </c>
      <c r="I513" s="45">
        <f>IF($L513="","",IF(INT(($L513-INT($L513/10000000)*10000000)/1000000)=0,"Bloomberg projection",IF($P513=1,"ANNOUNCED","ANNOUNCED - amount TBA")))</f>
        <v/>
      </c>
      <c r="J513" s="46">
        <f>IF($L513="","",IF((OV_SWITCH="ON")*(COUNTIFS(OVR_TICKERS,INDEX(HSCEI!$C$7:$C$66,$N513),OVR_BASE,"&gt;=0")&gt;0)&gt;0,"stock overridden",""))</f>
        <v/>
      </c>
      <c r="L513" s="39">
        <f>IFERROR(IF(SMALL(Grids!$EE$160:$GQ$219,$M$439+72)&gt;=PEND_TO,"",SMALL(Grids!$EE$160:$GQ$219,$M$439+72)),"")</f>
        <v/>
      </c>
      <c r="M513" s="39">
        <f>IF($L513="","",INT($L513/1000000000))</f>
        <v/>
      </c>
      <c r="N513" s="39">
        <f>IF($L513="","",INT(($L513-INT($L513/1000000)*1000000)/1000))</f>
        <v/>
      </c>
      <c r="O513" s="39">
        <f>IF($L513="","",$L513-INT($L513/1000)*1000)</f>
        <v/>
      </c>
      <c r="P513" s="39">
        <f>IF($L513="","",INT(($L513-INT($L513/1000000000)*1000000000)/100000000))</f>
        <v/>
      </c>
    </row>
    <row r="514">
      <c r="B514" s="42">
        <f>IF($L514="","",$M514)</f>
        <v/>
      </c>
      <c r="C514" s="22">
        <f>IF($L514="","",INDEX(HSCEI!$C$7:$C$66,$N514))</f>
        <v/>
      </c>
      <c r="D514" s="22">
        <f>IF($L514="","",INDEX(HSCEI!$D$7:$D$66,$N514))</f>
        <v/>
      </c>
      <c r="E514" s="43">
        <f>IF($L514="","",IF($P514=0,"TBA",IFERROR(INDEX(Grids!$C$160:$BO$219,$N514,$O514),"-")))</f>
        <v/>
      </c>
      <c r="F514" s="22">
        <f>IF($L514="","",INDEX(HSCEI!$F$7:$F$66,$N514))</f>
        <v/>
      </c>
      <c r="G514" s="43">
        <f>IF($L514="","",IF($P514=0,"TBA",IFERROR(INDEX(Grids!$BQ$160:$EC$219,$N514,$O514),"-")))</f>
        <v/>
      </c>
      <c r="H514" s="44">
        <f>IF($L514="","",SUM($G$442:$G514))</f>
        <v/>
      </c>
      <c r="I514" s="45">
        <f>IF($L514="","",IF(INT(($L514-INT($L514/10000000)*10000000)/1000000)=0,"Bloomberg projection",IF($P514=1,"ANNOUNCED","ANNOUNCED - amount TBA")))</f>
        <v/>
      </c>
      <c r="J514" s="46">
        <f>IF($L514="","",IF((OV_SWITCH="ON")*(COUNTIFS(OVR_TICKERS,INDEX(HSCEI!$C$7:$C$66,$N514),OVR_BASE,"&gt;=0")&gt;0)&gt;0,"stock overridden",""))</f>
        <v/>
      </c>
      <c r="L514" s="39">
        <f>IFERROR(IF(SMALL(Grids!$EE$160:$GQ$219,$M$439+73)&gt;=PEND_TO,"",SMALL(Grids!$EE$160:$GQ$219,$M$439+73)),"")</f>
        <v/>
      </c>
      <c r="M514" s="39">
        <f>IF($L514="","",INT($L514/1000000000))</f>
        <v/>
      </c>
      <c r="N514" s="39">
        <f>IF($L514="","",INT(($L514-INT($L514/1000000)*1000000)/1000))</f>
        <v/>
      </c>
      <c r="O514" s="39">
        <f>IF($L514="","",$L514-INT($L514/1000)*1000)</f>
        <v/>
      </c>
      <c r="P514" s="39">
        <f>IF($L514="","",INT(($L514-INT($L514/1000000000)*1000000000)/100000000))</f>
        <v/>
      </c>
    </row>
    <row r="515">
      <c r="B515" s="42">
        <f>IF($L515="","",$M515)</f>
        <v/>
      </c>
      <c r="C515" s="22">
        <f>IF($L515="","",INDEX(HSCEI!$C$7:$C$66,$N515))</f>
        <v/>
      </c>
      <c r="D515" s="22">
        <f>IF($L515="","",INDEX(HSCEI!$D$7:$D$66,$N515))</f>
        <v/>
      </c>
      <c r="E515" s="43">
        <f>IF($L515="","",IF($P515=0,"TBA",IFERROR(INDEX(Grids!$C$160:$BO$219,$N515,$O515),"-")))</f>
        <v/>
      </c>
      <c r="F515" s="22">
        <f>IF($L515="","",INDEX(HSCEI!$F$7:$F$66,$N515))</f>
        <v/>
      </c>
      <c r="G515" s="43">
        <f>IF($L515="","",IF($P515=0,"TBA",IFERROR(INDEX(Grids!$BQ$160:$EC$219,$N515,$O515),"-")))</f>
        <v/>
      </c>
      <c r="H515" s="44">
        <f>IF($L515="","",SUM($G$442:$G515))</f>
        <v/>
      </c>
      <c r="I515" s="45">
        <f>IF($L515="","",IF(INT(($L515-INT($L515/10000000)*10000000)/1000000)=0,"Bloomberg projection",IF($P515=1,"ANNOUNCED","ANNOUNCED - amount TBA")))</f>
        <v/>
      </c>
      <c r="J515" s="46">
        <f>IF($L515="","",IF((OV_SWITCH="ON")*(COUNTIFS(OVR_TICKERS,INDEX(HSCEI!$C$7:$C$66,$N515),OVR_BASE,"&gt;=0")&gt;0)&gt;0,"stock overridden",""))</f>
        <v/>
      </c>
      <c r="L515" s="39">
        <f>IFERROR(IF(SMALL(Grids!$EE$160:$GQ$219,$M$439+74)&gt;=PEND_TO,"",SMALL(Grids!$EE$160:$GQ$219,$M$439+74)),"")</f>
        <v/>
      </c>
      <c r="M515" s="39">
        <f>IF($L515="","",INT($L515/1000000000))</f>
        <v/>
      </c>
      <c r="N515" s="39">
        <f>IF($L515="","",INT(($L515-INT($L515/1000000)*1000000)/1000))</f>
        <v/>
      </c>
      <c r="O515" s="39">
        <f>IF($L515="","",$L515-INT($L515/1000)*1000)</f>
        <v/>
      </c>
      <c r="P515" s="39">
        <f>IF($L515="","",INT(($L515-INT($L515/1000000000)*1000000000)/100000000))</f>
        <v/>
      </c>
    </row>
    <row r="516">
      <c r="B516" s="42">
        <f>IF($L516="","",$M516)</f>
        <v/>
      </c>
      <c r="C516" s="22">
        <f>IF($L516="","",INDEX(HSCEI!$C$7:$C$66,$N516))</f>
        <v/>
      </c>
      <c r="D516" s="22">
        <f>IF($L516="","",INDEX(HSCEI!$D$7:$D$66,$N516))</f>
        <v/>
      </c>
      <c r="E516" s="43">
        <f>IF($L516="","",IF($P516=0,"TBA",IFERROR(INDEX(Grids!$C$160:$BO$219,$N516,$O516),"-")))</f>
        <v/>
      </c>
      <c r="F516" s="22">
        <f>IF($L516="","",INDEX(HSCEI!$F$7:$F$66,$N516))</f>
        <v/>
      </c>
      <c r="G516" s="43">
        <f>IF($L516="","",IF($P516=0,"TBA",IFERROR(INDEX(Grids!$BQ$160:$EC$219,$N516,$O516),"-")))</f>
        <v/>
      </c>
      <c r="H516" s="44">
        <f>IF($L516="","",SUM($G$442:$G516))</f>
        <v/>
      </c>
      <c r="I516" s="45">
        <f>IF($L516="","",IF(INT(($L516-INT($L516/10000000)*10000000)/1000000)=0,"Bloomberg projection",IF($P516=1,"ANNOUNCED","ANNOUNCED - amount TBA")))</f>
        <v/>
      </c>
      <c r="J516" s="46">
        <f>IF($L516="","",IF((OV_SWITCH="ON")*(COUNTIFS(OVR_TICKERS,INDEX(HSCEI!$C$7:$C$66,$N516),OVR_BASE,"&gt;=0")&gt;0)&gt;0,"stock overridden",""))</f>
        <v/>
      </c>
      <c r="L516" s="39">
        <f>IFERROR(IF(SMALL(Grids!$EE$160:$GQ$219,$M$439+75)&gt;=PEND_TO,"",SMALL(Grids!$EE$160:$GQ$219,$M$439+75)),"")</f>
        <v/>
      </c>
      <c r="M516" s="39">
        <f>IF($L516="","",INT($L516/1000000000))</f>
        <v/>
      </c>
      <c r="N516" s="39">
        <f>IF($L516="","",INT(($L516-INT($L516/1000000)*1000000)/1000))</f>
        <v/>
      </c>
      <c r="O516" s="39">
        <f>IF($L516="","",$L516-INT($L516/1000)*1000)</f>
        <v/>
      </c>
      <c r="P516" s="39">
        <f>IF($L516="","",INT(($L516-INT($L516/1000000000)*1000000000)/100000000))</f>
        <v/>
      </c>
    </row>
    <row r="517">
      <c r="B517" s="42">
        <f>IF($L517="","",$M517)</f>
        <v/>
      </c>
      <c r="C517" s="22">
        <f>IF($L517="","",INDEX(HSCEI!$C$7:$C$66,$N517))</f>
        <v/>
      </c>
      <c r="D517" s="22">
        <f>IF($L517="","",INDEX(HSCEI!$D$7:$D$66,$N517))</f>
        <v/>
      </c>
      <c r="E517" s="43">
        <f>IF($L517="","",IF($P517=0,"TBA",IFERROR(INDEX(Grids!$C$160:$BO$219,$N517,$O517),"-")))</f>
        <v/>
      </c>
      <c r="F517" s="22">
        <f>IF($L517="","",INDEX(HSCEI!$F$7:$F$66,$N517))</f>
        <v/>
      </c>
      <c r="G517" s="43">
        <f>IF($L517="","",IF($P517=0,"TBA",IFERROR(INDEX(Grids!$BQ$160:$EC$219,$N517,$O517),"-")))</f>
        <v/>
      </c>
      <c r="H517" s="44">
        <f>IF($L517="","",SUM($G$442:$G517))</f>
        <v/>
      </c>
      <c r="I517" s="45">
        <f>IF($L517="","",IF(INT(($L517-INT($L517/10000000)*10000000)/1000000)=0,"Bloomberg projection",IF($P517=1,"ANNOUNCED","ANNOUNCED - amount TBA")))</f>
        <v/>
      </c>
      <c r="J517" s="46">
        <f>IF($L517="","",IF((OV_SWITCH="ON")*(COUNTIFS(OVR_TICKERS,INDEX(HSCEI!$C$7:$C$66,$N517),OVR_BASE,"&gt;=0")&gt;0)&gt;0,"stock overridden",""))</f>
        <v/>
      </c>
      <c r="L517" s="39">
        <f>IFERROR(IF(SMALL(Grids!$EE$160:$GQ$219,$M$439+76)&gt;=PEND_TO,"",SMALL(Grids!$EE$160:$GQ$219,$M$439+76)),"")</f>
        <v/>
      </c>
      <c r="M517" s="39">
        <f>IF($L517="","",INT($L517/1000000000))</f>
        <v/>
      </c>
      <c r="N517" s="39">
        <f>IF($L517="","",INT(($L517-INT($L517/1000000)*1000000)/1000))</f>
        <v/>
      </c>
      <c r="O517" s="39">
        <f>IF($L517="","",$L517-INT($L517/1000)*1000)</f>
        <v/>
      </c>
      <c r="P517" s="39">
        <f>IF($L517="","",INT(($L517-INT($L517/1000000000)*1000000000)/100000000))</f>
        <v/>
      </c>
    </row>
    <row r="518">
      <c r="B518" s="42">
        <f>IF($L518="","",$M518)</f>
        <v/>
      </c>
      <c r="C518" s="22">
        <f>IF($L518="","",INDEX(HSCEI!$C$7:$C$66,$N518))</f>
        <v/>
      </c>
      <c r="D518" s="22">
        <f>IF($L518="","",INDEX(HSCEI!$D$7:$D$66,$N518))</f>
        <v/>
      </c>
      <c r="E518" s="43">
        <f>IF($L518="","",IF($P518=0,"TBA",IFERROR(INDEX(Grids!$C$160:$BO$219,$N518,$O518),"-")))</f>
        <v/>
      </c>
      <c r="F518" s="22">
        <f>IF($L518="","",INDEX(HSCEI!$F$7:$F$66,$N518))</f>
        <v/>
      </c>
      <c r="G518" s="43">
        <f>IF($L518="","",IF($P518=0,"TBA",IFERROR(INDEX(Grids!$BQ$160:$EC$219,$N518,$O518),"-")))</f>
        <v/>
      </c>
      <c r="H518" s="44">
        <f>IF($L518="","",SUM($G$442:$G518))</f>
        <v/>
      </c>
      <c r="I518" s="45">
        <f>IF($L518="","",IF(INT(($L518-INT($L518/10000000)*10000000)/1000000)=0,"Bloomberg projection",IF($P518=1,"ANNOUNCED","ANNOUNCED - amount TBA")))</f>
        <v/>
      </c>
      <c r="J518" s="46">
        <f>IF($L518="","",IF((OV_SWITCH="ON")*(COUNTIFS(OVR_TICKERS,INDEX(HSCEI!$C$7:$C$66,$N518),OVR_BASE,"&gt;=0")&gt;0)&gt;0,"stock overridden",""))</f>
        <v/>
      </c>
      <c r="L518" s="39">
        <f>IFERROR(IF(SMALL(Grids!$EE$160:$GQ$219,$M$439+77)&gt;=PEND_TO,"",SMALL(Grids!$EE$160:$GQ$219,$M$439+77)),"")</f>
        <v/>
      </c>
      <c r="M518" s="39">
        <f>IF($L518="","",INT($L518/1000000000))</f>
        <v/>
      </c>
      <c r="N518" s="39">
        <f>IF($L518="","",INT(($L518-INT($L518/1000000)*1000000)/1000))</f>
        <v/>
      </c>
      <c r="O518" s="39">
        <f>IF($L518="","",$L518-INT($L518/1000)*1000)</f>
        <v/>
      </c>
      <c r="P518" s="39">
        <f>IF($L518="","",INT(($L518-INT($L518/1000000000)*1000000000)/100000000))</f>
        <v/>
      </c>
    </row>
    <row r="519">
      <c r="B519" s="42">
        <f>IF($L519="","",$M519)</f>
        <v/>
      </c>
      <c r="C519" s="22">
        <f>IF($L519="","",INDEX(HSCEI!$C$7:$C$66,$N519))</f>
        <v/>
      </c>
      <c r="D519" s="22">
        <f>IF($L519="","",INDEX(HSCEI!$D$7:$D$66,$N519))</f>
        <v/>
      </c>
      <c r="E519" s="43">
        <f>IF($L519="","",IF($P519=0,"TBA",IFERROR(INDEX(Grids!$C$160:$BO$219,$N519,$O519),"-")))</f>
        <v/>
      </c>
      <c r="F519" s="22">
        <f>IF($L519="","",INDEX(HSCEI!$F$7:$F$66,$N519))</f>
        <v/>
      </c>
      <c r="G519" s="43">
        <f>IF($L519="","",IF($P519=0,"TBA",IFERROR(INDEX(Grids!$BQ$160:$EC$219,$N519,$O519),"-")))</f>
        <v/>
      </c>
      <c r="H519" s="44">
        <f>IF($L519="","",SUM($G$442:$G519))</f>
        <v/>
      </c>
      <c r="I519" s="45">
        <f>IF($L519="","",IF(INT(($L519-INT($L519/10000000)*10000000)/1000000)=0,"Bloomberg projection",IF($P519=1,"ANNOUNCED","ANNOUNCED - amount TBA")))</f>
        <v/>
      </c>
      <c r="J519" s="46">
        <f>IF($L519="","",IF((OV_SWITCH="ON")*(COUNTIFS(OVR_TICKERS,INDEX(HSCEI!$C$7:$C$66,$N519),OVR_BASE,"&gt;=0")&gt;0)&gt;0,"stock overridden",""))</f>
        <v/>
      </c>
      <c r="L519" s="39">
        <f>IFERROR(IF(SMALL(Grids!$EE$160:$GQ$219,$M$439+78)&gt;=PEND_TO,"",SMALL(Grids!$EE$160:$GQ$219,$M$439+78)),"")</f>
        <v/>
      </c>
      <c r="M519" s="39">
        <f>IF($L519="","",INT($L519/1000000000))</f>
        <v/>
      </c>
      <c r="N519" s="39">
        <f>IF($L519="","",INT(($L519-INT($L519/1000000)*1000000)/1000))</f>
        <v/>
      </c>
      <c r="O519" s="39">
        <f>IF($L519="","",$L519-INT($L519/1000)*1000)</f>
        <v/>
      </c>
      <c r="P519" s="39">
        <f>IF($L519="","",INT(($L519-INT($L519/1000000000)*1000000000)/100000000))</f>
        <v/>
      </c>
    </row>
    <row r="520">
      <c r="B520" s="42">
        <f>IF($L520="","",$M520)</f>
        <v/>
      </c>
      <c r="C520" s="22">
        <f>IF($L520="","",INDEX(HSCEI!$C$7:$C$66,$N520))</f>
        <v/>
      </c>
      <c r="D520" s="22">
        <f>IF($L520="","",INDEX(HSCEI!$D$7:$D$66,$N520))</f>
        <v/>
      </c>
      <c r="E520" s="43">
        <f>IF($L520="","",IF($P520=0,"TBA",IFERROR(INDEX(Grids!$C$160:$BO$219,$N520,$O520),"-")))</f>
        <v/>
      </c>
      <c r="F520" s="22">
        <f>IF($L520="","",INDEX(HSCEI!$F$7:$F$66,$N520))</f>
        <v/>
      </c>
      <c r="G520" s="43">
        <f>IF($L520="","",IF($P520=0,"TBA",IFERROR(INDEX(Grids!$BQ$160:$EC$219,$N520,$O520),"-")))</f>
        <v/>
      </c>
      <c r="H520" s="44">
        <f>IF($L520="","",SUM($G$442:$G520))</f>
        <v/>
      </c>
      <c r="I520" s="45">
        <f>IF($L520="","",IF(INT(($L520-INT($L520/10000000)*10000000)/1000000)=0,"Bloomberg projection",IF($P520=1,"ANNOUNCED","ANNOUNCED - amount TBA")))</f>
        <v/>
      </c>
      <c r="J520" s="46">
        <f>IF($L520="","",IF((OV_SWITCH="ON")*(COUNTIFS(OVR_TICKERS,INDEX(HSCEI!$C$7:$C$66,$N520),OVR_BASE,"&gt;=0")&gt;0)&gt;0,"stock overridden",""))</f>
        <v/>
      </c>
      <c r="L520" s="39">
        <f>IFERROR(IF(SMALL(Grids!$EE$160:$GQ$219,$M$439+79)&gt;=PEND_TO,"",SMALL(Grids!$EE$160:$GQ$219,$M$439+79)),"")</f>
        <v/>
      </c>
      <c r="M520" s="39">
        <f>IF($L520="","",INT($L520/1000000000))</f>
        <v/>
      </c>
      <c r="N520" s="39">
        <f>IF($L520="","",INT(($L520-INT($L520/1000000)*1000000)/1000))</f>
        <v/>
      </c>
      <c r="O520" s="39">
        <f>IF($L520="","",$L520-INT($L520/1000)*1000)</f>
        <v/>
      </c>
      <c r="P520" s="39">
        <f>IF($L520="","",INT(($L520-INT($L520/1000000000)*1000000000)/100000000))</f>
        <v/>
      </c>
    </row>
    <row r="521">
      <c r="B521" s="42">
        <f>IF($L521="","",$M521)</f>
        <v/>
      </c>
      <c r="C521" s="22">
        <f>IF($L521="","",INDEX(HSCEI!$C$7:$C$66,$N521))</f>
        <v/>
      </c>
      <c r="D521" s="22">
        <f>IF($L521="","",INDEX(HSCEI!$D$7:$D$66,$N521))</f>
        <v/>
      </c>
      <c r="E521" s="43">
        <f>IF($L521="","",IF($P521=0,"TBA",IFERROR(INDEX(Grids!$C$160:$BO$219,$N521,$O521),"-")))</f>
        <v/>
      </c>
      <c r="F521" s="22">
        <f>IF($L521="","",INDEX(HSCEI!$F$7:$F$66,$N521))</f>
        <v/>
      </c>
      <c r="G521" s="43">
        <f>IF($L521="","",IF($P521=0,"TBA",IFERROR(INDEX(Grids!$BQ$160:$EC$219,$N521,$O521),"-")))</f>
        <v/>
      </c>
      <c r="H521" s="44">
        <f>IF($L521="","",SUM($G$442:$G521))</f>
        <v/>
      </c>
      <c r="I521" s="45">
        <f>IF($L521="","",IF(INT(($L521-INT($L521/10000000)*10000000)/1000000)=0,"Bloomberg projection",IF($P521=1,"ANNOUNCED","ANNOUNCED - amount TBA")))</f>
        <v/>
      </c>
      <c r="J521" s="46">
        <f>IF($L521="","",IF((OV_SWITCH="ON")*(COUNTIFS(OVR_TICKERS,INDEX(HSCEI!$C$7:$C$66,$N521),OVR_BASE,"&gt;=0")&gt;0)&gt;0,"stock overridden",""))</f>
        <v/>
      </c>
      <c r="L521" s="39">
        <f>IFERROR(IF(SMALL(Grids!$EE$160:$GQ$219,$M$439+80)&gt;=PEND_TO,"",SMALL(Grids!$EE$160:$GQ$219,$M$439+80)),"")</f>
        <v/>
      </c>
      <c r="M521" s="39">
        <f>IF($L521="","",INT($L521/1000000000))</f>
        <v/>
      </c>
      <c r="N521" s="39">
        <f>IF($L521="","",INT(($L521-INT($L521/1000000)*1000000)/1000))</f>
        <v/>
      </c>
      <c r="O521" s="39">
        <f>IF($L521="","",$L521-INT($L521/1000)*1000)</f>
        <v/>
      </c>
      <c r="P521" s="39">
        <f>IF($L521="","",INT(($L521-INT($L521/1000000000)*1000000000)/100000000))</f>
        <v/>
      </c>
    </row>
    <row r="522">
      <c r="B522" s="42">
        <f>IF($L522="","",$M522)</f>
        <v/>
      </c>
      <c r="C522" s="22">
        <f>IF($L522="","",INDEX(HSCEI!$C$7:$C$66,$N522))</f>
        <v/>
      </c>
      <c r="D522" s="22">
        <f>IF($L522="","",INDEX(HSCEI!$D$7:$D$66,$N522))</f>
        <v/>
      </c>
      <c r="E522" s="43">
        <f>IF($L522="","",IF($P522=0,"TBA",IFERROR(INDEX(Grids!$C$160:$BO$219,$N522,$O522),"-")))</f>
        <v/>
      </c>
      <c r="F522" s="22">
        <f>IF($L522="","",INDEX(HSCEI!$F$7:$F$66,$N522))</f>
        <v/>
      </c>
      <c r="G522" s="43">
        <f>IF($L522="","",IF($P522=0,"TBA",IFERROR(INDEX(Grids!$BQ$160:$EC$219,$N522,$O522),"-")))</f>
        <v/>
      </c>
      <c r="H522" s="44">
        <f>IF($L522="","",SUM($G$442:$G522))</f>
        <v/>
      </c>
      <c r="I522" s="45">
        <f>IF($L522="","",IF(INT(($L522-INT($L522/10000000)*10000000)/1000000)=0,"Bloomberg projection",IF($P522=1,"ANNOUNCED","ANNOUNCED - amount TBA")))</f>
        <v/>
      </c>
      <c r="J522" s="46">
        <f>IF($L522="","",IF((OV_SWITCH="ON")*(COUNTIFS(OVR_TICKERS,INDEX(HSCEI!$C$7:$C$66,$N522),OVR_BASE,"&gt;=0")&gt;0)&gt;0,"stock overridden",""))</f>
        <v/>
      </c>
      <c r="L522" s="39">
        <f>IFERROR(IF(SMALL(Grids!$EE$160:$GQ$219,$M$439+81)&gt;=PEND_TO,"",SMALL(Grids!$EE$160:$GQ$219,$M$439+81)),"")</f>
        <v/>
      </c>
      <c r="M522" s="39">
        <f>IF($L522="","",INT($L522/1000000000))</f>
        <v/>
      </c>
      <c r="N522" s="39">
        <f>IF($L522="","",INT(($L522-INT($L522/1000000)*1000000)/1000))</f>
        <v/>
      </c>
      <c r="O522" s="39">
        <f>IF($L522="","",$L522-INT($L522/1000)*1000)</f>
        <v/>
      </c>
      <c r="P522" s="39">
        <f>IF($L522="","",INT(($L522-INT($L522/1000000000)*1000000000)/100000000))</f>
        <v/>
      </c>
    </row>
    <row r="523">
      <c r="B523" s="42">
        <f>IF($L523="","",$M523)</f>
        <v/>
      </c>
      <c r="C523" s="22">
        <f>IF($L523="","",INDEX(HSCEI!$C$7:$C$66,$N523))</f>
        <v/>
      </c>
      <c r="D523" s="22">
        <f>IF($L523="","",INDEX(HSCEI!$D$7:$D$66,$N523))</f>
        <v/>
      </c>
      <c r="E523" s="43">
        <f>IF($L523="","",IF($P523=0,"TBA",IFERROR(INDEX(Grids!$C$160:$BO$219,$N523,$O523),"-")))</f>
        <v/>
      </c>
      <c r="F523" s="22">
        <f>IF($L523="","",INDEX(HSCEI!$F$7:$F$66,$N523))</f>
        <v/>
      </c>
      <c r="G523" s="43">
        <f>IF($L523="","",IF($P523=0,"TBA",IFERROR(INDEX(Grids!$BQ$160:$EC$219,$N523,$O523),"-")))</f>
        <v/>
      </c>
      <c r="H523" s="44">
        <f>IF($L523="","",SUM($G$442:$G523))</f>
        <v/>
      </c>
      <c r="I523" s="45">
        <f>IF($L523="","",IF(INT(($L523-INT($L523/10000000)*10000000)/1000000)=0,"Bloomberg projection",IF($P523=1,"ANNOUNCED","ANNOUNCED - amount TBA")))</f>
        <v/>
      </c>
      <c r="J523" s="46">
        <f>IF($L523="","",IF((OV_SWITCH="ON")*(COUNTIFS(OVR_TICKERS,INDEX(HSCEI!$C$7:$C$66,$N523),OVR_BASE,"&gt;=0")&gt;0)&gt;0,"stock overridden",""))</f>
        <v/>
      </c>
      <c r="L523" s="39">
        <f>IFERROR(IF(SMALL(Grids!$EE$160:$GQ$219,$M$439+82)&gt;=PEND_TO,"",SMALL(Grids!$EE$160:$GQ$219,$M$439+82)),"")</f>
        <v/>
      </c>
      <c r="M523" s="39">
        <f>IF($L523="","",INT($L523/1000000000))</f>
        <v/>
      </c>
      <c r="N523" s="39">
        <f>IF($L523="","",INT(($L523-INT($L523/1000000)*1000000)/1000))</f>
        <v/>
      </c>
      <c r="O523" s="39">
        <f>IF($L523="","",$L523-INT($L523/1000)*1000)</f>
        <v/>
      </c>
      <c r="P523" s="39">
        <f>IF($L523="","",INT(($L523-INT($L523/1000000000)*1000000000)/100000000))</f>
        <v/>
      </c>
    </row>
    <row r="524">
      <c r="B524" s="42">
        <f>IF($L524="","",$M524)</f>
        <v/>
      </c>
      <c r="C524" s="22">
        <f>IF($L524="","",INDEX(HSCEI!$C$7:$C$66,$N524))</f>
        <v/>
      </c>
      <c r="D524" s="22">
        <f>IF($L524="","",INDEX(HSCEI!$D$7:$D$66,$N524))</f>
        <v/>
      </c>
      <c r="E524" s="43">
        <f>IF($L524="","",IF($P524=0,"TBA",IFERROR(INDEX(Grids!$C$160:$BO$219,$N524,$O524),"-")))</f>
        <v/>
      </c>
      <c r="F524" s="22">
        <f>IF($L524="","",INDEX(HSCEI!$F$7:$F$66,$N524))</f>
        <v/>
      </c>
      <c r="G524" s="43">
        <f>IF($L524="","",IF($P524=0,"TBA",IFERROR(INDEX(Grids!$BQ$160:$EC$219,$N524,$O524),"-")))</f>
        <v/>
      </c>
      <c r="H524" s="44">
        <f>IF($L524="","",SUM($G$442:$G524))</f>
        <v/>
      </c>
      <c r="I524" s="45">
        <f>IF($L524="","",IF(INT(($L524-INT($L524/10000000)*10000000)/1000000)=0,"Bloomberg projection",IF($P524=1,"ANNOUNCED","ANNOUNCED - amount TBA")))</f>
        <v/>
      </c>
      <c r="J524" s="46">
        <f>IF($L524="","",IF((OV_SWITCH="ON")*(COUNTIFS(OVR_TICKERS,INDEX(HSCEI!$C$7:$C$66,$N524),OVR_BASE,"&gt;=0")&gt;0)&gt;0,"stock overridden",""))</f>
        <v/>
      </c>
      <c r="L524" s="39">
        <f>IFERROR(IF(SMALL(Grids!$EE$160:$GQ$219,$M$439+83)&gt;=PEND_TO,"",SMALL(Grids!$EE$160:$GQ$219,$M$439+83)),"")</f>
        <v/>
      </c>
      <c r="M524" s="39">
        <f>IF($L524="","",INT($L524/1000000000))</f>
        <v/>
      </c>
      <c r="N524" s="39">
        <f>IF($L524="","",INT(($L524-INT($L524/1000000)*1000000)/1000))</f>
        <v/>
      </c>
      <c r="O524" s="39">
        <f>IF($L524="","",$L524-INT($L524/1000)*1000)</f>
        <v/>
      </c>
      <c r="P524" s="39">
        <f>IF($L524="","",INT(($L524-INT($L524/1000000000)*1000000000)/100000000))</f>
        <v/>
      </c>
    </row>
    <row r="525">
      <c r="B525" s="42">
        <f>IF($L525="","",$M525)</f>
        <v/>
      </c>
      <c r="C525" s="22">
        <f>IF($L525="","",INDEX(HSCEI!$C$7:$C$66,$N525))</f>
        <v/>
      </c>
      <c r="D525" s="22">
        <f>IF($L525="","",INDEX(HSCEI!$D$7:$D$66,$N525))</f>
        <v/>
      </c>
      <c r="E525" s="43">
        <f>IF($L525="","",IF($P525=0,"TBA",IFERROR(INDEX(Grids!$C$160:$BO$219,$N525,$O525),"-")))</f>
        <v/>
      </c>
      <c r="F525" s="22">
        <f>IF($L525="","",INDEX(HSCEI!$F$7:$F$66,$N525))</f>
        <v/>
      </c>
      <c r="G525" s="43">
        <f>IF($L525="","",IF($P525=0,"TBA",IFERROR(INDEX(Grids!$BQ$160:$EC$219,$N525,$O525),"-")))</f>
        <v/>
      </c>
      <c r="H525" s="44">
        <f>IF($L525="","",SUM($G$442:$G525))</f>
        <v/>
      </c>
      <c r="I525" s="45">
        <f>IF($L525="","",IF(INT(($L525-INT($L525/10000000)*10000000)/1000000)=0,"Bloomberg projection",IF($P525=1,"ANNOUNCED","ANNOUNCED - amount TBA")))</f>
        <v/>
      </c>
      <c r="J525" s="46">
        <f>IF($L525="","",IF((OV_SWITCH="ON")*(COUNTIFS(OVR_TICKERS,INDEX(HSCEI!$C$7:$C$66,$N525),OVR_BASE,"&gt;=0")&gt;0)&gt;0,"stock overridden",""))</f>
        <v/>
      </c>
      <c r="L525" s="39">
        <f>IFERROR(IF(SMALL(Grids!$EE$160:$GQ$219,$M$439+84)&gt;=PEND_TO,"",SMALL(Grids!$EE$160:$GQ$219,$M$439+84)),"")</f>
        <v/>
      </c>
      <c r="M525" s="39">
        <f>IF($L525="","",INT($L525/1000000000))</f>
        <v/>
      </c>
      <c r="N525" s="39">
        <f>IF($L525="","",INT(($L525-INT($L525/1000000)*1000000)/1000))</f>
        <v/>
      </c>
      <c r="O525" s="39">
        <f>IF($L525="","",$L525-INT($L525/1000)*1000)</f>
        <v/>
      </c>
      <c r="P525" s="39">
        <f>IF($L525="","",INT(($L525-INT($L525/1000000000)*1000000000)/100000000))</f>
        <v/>
      </c>
    </row>
    <row r="526">
      <c r="B526" s="42">
        <f>IF($L526="","",$M526)</f>
        <v/>
      </c>
      <c r="C526" s="22">
        <f>IF($L526="","",INDEX(HSCEI!$C$7:$C$66,$N526))</f>
        <v/>
      </c>
      <c r="D526" s="22">
        <f>IF($L526="","",INDEX(HSCEI!$D$7:$D$66,$N526))</f>
        <v/>
      </c>
      <c r="E526" s="43">
        <f>IF($L526="","",IF($P526=0,"TBA",IFERROR(INDEX(Grids!$C$160:$BO$219,$N526,$O526),"-")))</f>
        <v/>
      </c>
      <c r="F526" s="22">
        <f>IF($L526="","",INDEX(HSCEI!$F$7:$F$66,$N526))</f>
        <v/>
      </c>
      <c r="G526" s="43">
        <f>IF($L526="","",IF($P526=0,"TBA",IFERROR(INDEX(Grids!$BQ$160:$EC$219,$N526,$O526),"-")))</f>
        <v/>
      </c>
      <c r="H526" s="44">
        <f>IF($L526="","",SUM($G$442:$G526))</f>
        <v/>
      </c>
      <c r="I526" s="45">
        <f>IF($L526="","",IF(INT(($L526-INT($L526/10000000)*10000000)/1000000)=0,"Bloomberg projection",IF($P526=1,"ANNOUNCED","ANNOUNCED - amount TBA")))</f>
        <v/>
      </c>
      <c r="J526" s="46">
        <f>IF($L526="","",IF((OV_SWITCH="ON")*(COUNTIFS(OVR_TICKERS,INDEX(HSCEI!$C$7:$C$66,$N526),OVR_BASE,"&gt;=0")&gt;0)&gt;0,"stock overridden",""))</f>
        <v/>
      </c>
      <c r="L526" s="39">
        <f>IFERROR(IF(SMALL(Grids!$EE$160:$GQ$219,$M$439+85)&gt;=PEND_TO,"",SMALL(Grids!$EE$160:$GQ$219,$M$439+85)),"")</f>
        <v/>
      </c>
      <c r="M526" s="39">
        <f>IF($L526="","",INT($L526/1000000000))</f>
        <v/>
      </c>
      <c r="N526" s="39">
        <f>IF($L526="","",INT(($L526-INT($L526/1000000)*1000000)/1000))</f>
        <v/>
      </c>
      <c r="O526" s="39">
        <f>IF($L526="","",$L526-INT($L526/1000)*1000)</f>
        <v/>
      </c>
      <c r="P526" s="39">
        <f>IF($L526="","",INT(($L526-INT($L526/1000000000)*1000000000)/100000000))</f>
        <v/>
      </c>
    </row>
    <row r="527">
      <c r="B527" s="42">
        <f>IF($L527="","",$M527)</f>
        <v/>
      </c>
      <c r="C527" s="22">
        <f>IF($L527="","",INDEX(HSCEI!$C$7:$C$66,$N527))</f>
        <v/>
      </c>
      <c r="D527" s="22">
        <f>IF($L527="","",INDEX(HSCEI!$D$7:$D$66,$N527))</f>
        <v/>
      </c>
      <c r="E527" s="43">
        <f>IF($L527="","",IF($P527=0,"TBA",IFERROR(INDEX(Grids!$C$160:$BO$219,$N527,$O527),"-")))</f>
        <v/>
      </c>
      <c r="F527" s="22">
        <f>IF($L527="","",INDEX(HSCEI!$F$7:$F$66,$N527))</f>
        <v/>
      </c>
      <c r="G527" s="43">
        <f>IF($L527="","",IF($P527=0,"TBA",IFERROR(INDEX(Grids!$BQ$160:$EC$219,$N527,$O527),"-")))</f>
        <v/>
      </c>
      <c r="H527" s="44">
        <f>IF($L527="","",SUM($G$442:$G527))</f>
        <v/>
      </c>
      <c r="I527" s="45">
        <f>IF($L527="","",IF(INT(($L527-INT($L527/10000000)*10000000)/1000000)=0,"Bloomberg projection",IF($P527=1,"ANNOUNCED","ANNOUNCED - amount TBA")))</f>
        <v/>
      </c>
      <c r="J527" s="46">
        <f>IF($L527="","",IF((OV_SWITCH="ON")*(COUNTIFS(OVR_TICKERS,INDEX(HSCEI!$C$7:$C$66,$N527),OVR_BASE,"&gt;=0")&gt;0)&gt;0,"stock overridden",""))</f>
        <v/>
      </c>
      <c r="L527" s="39">
        <f>IFERROR(IF(SMALL(Grids!$EE$160:$GQ$219,$M$439+86)&gt;=PEND_TO,"",SMALL(Grids!$EE$160:$GQ$219,$M$439+86)),"")</f>
        <v/>
      </c>
      <c r="M527" s="39">
        <f>IF($L527="","",INT($L527/1000000000))</f>
        <v/>
      </c>
      <c r="N527" s="39">
        <f>IF($L527="","",INT(($L527-INT($L527/1000000)*1000000)/1000))</f>
        <v/>
      </c>
      <c r="O527" s="39">
        <f>IF($L527="","",$L527-INT($L527/1000)*1000)</f>
        <v/>
      </c>
      <c r="P527" s="39">
        <f>IF($L527="","",INT(($L527-INT($L527/1000000000)*1000000000)/100000000))</f>
        <v/>
      </c>
    </row>
    <row r="528">
      <c r="B528" s="42">
        <f>IF($L528="","",$M528)</f>
        <v/>
      </c>
      <c r="C528" s="22">
        <f>IF($L528="","",INDEX(HSCEI!$C$7:$C$66,$N528))</f>
        <v/>
      </c>
      <c r="D528" s="22">
        <f>IF($L528="","",INDEX(HSCEI!$D$7:$D$66,$N528))</f>
        <v/>
      </c>
      <c r="E528" s="43">
        <f>IF($L528="","",IF($P528=0,"TBA",IFERROR(INDEX(Grids!$C$160:$BO$219,$N528,$O528),"-")))</f>
        <v/>
      </c>
      <c r="F528" s="22">
        <f>IF($L528="","",INDEX(HSCEI!$F$7:$F$66,$N528))</f>
        <v/>
      </c>
      <c r="G528" s="43">
        <f>IF($L528="","",IF($P528=0,"TBA",IFERROR(INDEX(Grids!$BQ$160:$EC$219,$N528,$O528),"-")))</f>
        <v/>
      </c>
      <c r="H528" s="44">
        <f>IF($L528="","",SUM($G$442:$G528))</f>
        <v/>
      </c>
      <c r="I528" s="45">
        <f>IF($L528="","",IF(INT(($L528-INT($L528/10000000)*10000000)/1000000)=0,"Bloomberg projection",IF($P528=1,"ANNOUNCED","ANNOUNCED - amount TBA")))</f>
        <v/>
      </c>
      <c r="J528" s="46">
        <f>IF($L528="","",IF((OV_SWITCH="ON")*(COUNTIFS(OVR_TICKERS,INDEX(HSCEI!$C$7:$C$66,$N528),OVR_BASE,"&gt;=0")&gt;0)&gt;0,"stock overridden",""))</f>
        <v/>
      </c>
      <c r="L528" s="39">
        <f>IFERROR(IF(SMALL(Grids!$EE$160:$GQ$219,$M$439+87)&gt;=PEND_TO,"",SMALL(Grids!$EE$160:$GQ$219,$M$439+87)),"")</f>
        <v/>
      </c>
      <c r="M528" s="39">
        <f>IF($L528="","",INT($L528/1000000000))</f>
        <v/>
      </c>
      <c r="N528" s="39">
        <f>IF($L528="","",INT(($L528-INT($L528/1000000)*1000000)/1000))</f>
        <v/>
      </c>
      <c r="O528" s="39">
        <f>IF($L528="","",$L528-INT($L528/1000)*1000)</f>
        <v/>
      </c>
      <c r="P528" s="39">
        <f>IF($L528="","",INT(($L528-INT($L528/1000000000)*1000000000)/100000000))</f>
        <v/>
      </c>
    </row>
    <row r="529">
      <c r="B529" s="42">
        <f>IF($L529="","",$M529)</f>
        <v/>
      </c>
      <c r="C529" s="22">
        <f>IF($L529="","",INDEX(HSCEI!$C$7:$C$66,$N529))</f>
        <v/>
      </c>
      <c r="D529" s="22">
        <f>IF($L529="","",INDEX(HSCEI!$D$7:$D$66,$N529))</f>
        <v/>
      </c>
      <c r="E529" s="43">
        <f>IF($L529="","",IF($P529=0,"TBA",IFERROR(INDEX(Grids!$C$160:$BO$219,$N529,$O529),"-")))</f>
        <v/>
      </c>
      <c r="F529" s="22">
        <f>IF($L529="","",INDEX(HSCEI!$F$7:$F$66,$N529))</f>
        <v/>
      </c>
      <c r="G529" s="43">
        <f>IF($L529="","",IF($P529=0,"TBA",IFERROR(INDEX(Grids!$BQ$160:$EC$219,$N529,$O529),"-")))</f>
        <v/>
      </c>
      <c r="H529" s="44">
        <f>IF($L529="","",SUM($G$442:$G529))</f>
        <v/>
      </c>
      <c r="I529" s="45">
        <f>IF($L529="","",IF(INT(($L529-INT($L529/10000000)*10000000)/1000000)=0,"Bloomberg projection",IF($P529=1,"ANNOUNCED","ANNOUNCED - amount TBA")))</f>
        <v/>
      </c>
      <c r="J529" s="46">
        <f>IF($L529="","",IF((OV_SWITCH="ON")*(COUNTIFS(OVR_TICKERS,INDEX(HSCEI!$C$7:$C$66,$N529),OVR_BASE,"&gt;=0")&gt;0)&gt;0,"stock overridden",""))</f>
        <v/>
      </c>
      <c r="L529" s="39">
        <f>IFERROR(IF(SMALL(Grids!$EE$160:$GQ$219,$M$439+88)&gt;=PEND_TO,"",SMALL(Grids!$EE$160:$GQ$219,$M$439+88)),"")</f>
        <v/>
      </c>
      <c r="M529" s="39">
        <f>IF($L529="","",INT($L529/1000000000))</f>
        <v/>
      </c>
      <c r="N529" s="39">
        <f>IF($L529="","",INT(($L529-INT($L529/1000000)*1000000)/1000))</f>
        <v/>
      </c>
      <c r="O529" s="39">
        <f>IF($L529="","",$L529-INT($L529/1000)*1000)</f>
        <v/>
      </c>
      <c r="P529" s="39">
        <f>IF($L529="","",INT(($L529-INT($L529/1000000000)*1000000000)/100000000))</f>
        <v/>
      </c>
    </row>
    <row r="530">
      <c r="B530" s="42">
        <f>IF($L530="","",$M530)</f>
        <v/>
      </c>
      <c r="C530" s="22">
        <f>IF($L530="","",INDEX(HSCEI!$C$7:$C$66,$N530))</f>
        <v/>
      </c>
      <c r="D530" s="22">
        <f>IF($L530="","",INDEX(HSCEI!$D$7:$D$66,$N530))</f>
        <v/>
      </c>
      <c r="E530" s="43">
        <f>IF($L530="","",IF($P530=0,"TBA",IFERROR(INDEX(Grids!$C$160:$BO$219,$N530,$O530),"-")))</f>
        <v/>
      </c>
      <c r="F530" s="22">
        <f>IF($L530="","",INDEX(HSCEI!$F$7:$F$66,$N530))</f>
        <v/>
      </c>
      <c r="G530" s="43">
        <f>IF($L530="","",IF($P530=0,"TBA",IFERROR(INDEX(Grids!$BQ$160:$EC$219,$N530,$O530),"-")))</f>
        <v/>
      </c>
      <c r="H530" s="44">
        <f>IF($L530="","",SUM($G$442:$G530))</f>
        <v/>
      </c>
      <c r="I530" s="45">
        <f>IF($L530="","",IF(INT(($L530-INT($L530/10000000)*10000000)/1000000)=0,"Bloomberg projection",IF($P530=1,"ANNOUNCED","ANNOUNCED - amount TBA")))</f>
        <v/>
      </c>
      <c r="J530" s="46">
        <f>IF($L530="","",IF((OV_SWITCH="ON")*(COUNTIFS(OVR_TICKERS,INDEX(HSCEI!$C$7:$C$66,$N530),OVR_BASE,"&gt;=0")&gt;0)&gt;0,"stock overridden",""))</f>
        <v/>
      </c>
      <c r="L530" s="39">
        <f>IFERROR(IF(SMALL(Grids!$EE$160:$GQ$219,$M$439+89)&gt;=PEND_TO,"",SMALL(Grids!$EE$160:$GQ$219,$M$439+89)),"")</f>
        <v/>
      </c>
      <c r="M530" s="39">
        <f>IF($L530="","",INT($L530/1000000000))</f>
        <v/>
      </c>
      <c r="N530" s="39">
        <f>IF($L530="","",INT(($L530-INT($L530/1000000)*1000000)/1000))</f>
        <v/>
      </c>
      <c r="O530" s="39">
        <f>IF($L530="","",$L530-INT($L530/1000)*1000)</f>
        <v/>
      </c>
      <c r="P530" s="39">
        <f>IF($L530="","",INT(($L530-INT($L530/1000000000)*1000000000)/100000000))</f>
        <v/>
      </c>
    </row>
    <row r="531">
      <c r="B531" s="42">
        <f>IF($L531="","",$M531)</f>
        <v/>
      </c>
      <c r="C531" s="22">
        <f>IF($L531="","",INDEX(HSCEI!$C$7:$C$66,$N531))</f>
        <v/>
      </c>
      <c r="D531" s="22">
        <f>IF($L531="","",INDEX(HSCEI!$D$7:$D$66,$N531))</f>
        <v/>
      </c>
      <c r="E531" s="43">
        <f>IF($L531="","",IF($P531=0,"TBA",IFERROR(INDEX(Grids!$C$160:$BO$219,$N531,$O531),"-")))</f>
        <v/>
      </c>
      <c r="F531" s="22">
        <f>IF($L531="","",INDEX(HSCEI!$F$7:$F$66,$N531))</f>
        <v/>
      </c>
      <c r="G531" s="43">
        <f>IF($L531="","",IF($P531=0,"TBA",IFERROR(INDEX(Grids!$BQ$160:$EC$219,$N531,$O531),"-")))</f>
        <v/>
      </c>
      <c r="H531" s="44">
        <f>IF($L531="","",SUM($G$442:$G531))</f>
        <v/>
      </c>
      <c r="I531" s="45">
        <f>IF($L531="","",IF(INT(($L531-INT($L531/10000000)*10000000)/1000000)=0,"Bloomberg projection",IF($P531=1,"ANNOUNCED","ANNOUNCED - amount TBA")))</f>
        <v/>
      </c>
      <c r="J531" s="46">
        <f>IF($L531="","",IF((OV_SWITCH="ON")*(COUNTIFS(OVR_TICKERS,INDEX(HSCEI!$C$7:$C$66,$N531),OVR_BASE,"&gt;=0")&gt;0)&gt;0,"stock overridden",""))</f>
        <v/>
      </c>
      <c r="L531" s="39">
        <f>IFERROR(IF(SMALL(Grids!$EE$160:$GQ$219,$M$439+90)&gt;=PEND_TO,"",SMALL(Grids!$EE$160:$GQ$219,$M$439+90)),"")</f>
        <v/>
      </c>
      <c r="M531" s="39">
        <f>IF($L531="","",INT($L531/1000000000))</f>
        <v/>
      </c>
      <c r="N531" s="39">
        <f>IF($L531="","",INT(($L531-INT($L531/1000000)*1000000)/1000))</f>
        <v/>
      </c>
      <c r="O531" s="39">
        <f>IF($L531="","",$L531-INT($L531/1000)*1000)</f>
        <v/>
      </c>
      <c r="P531" s="39">
        <f>IF($L531="","",INT(($L531-INT($L531/1000000000)*1000000000)/100000000))</f>
        <v/>
      </c>
    </row>
    <row r="532">
      <c r="B532" s="42">
        <f>IF($L532="","",$M532)</f>
        <v/>
      </c>
      <c r="C532" s="22">
        <f>IF($L532="","",INDEX(HSCEI!$C$7:$C$66,$N532))</f>
        <v/>
      </c>
      <c r="D532" s="22">
        <f>IF($L532="","",INDEX(HSCEI!$D$7:$D$66,$N532))</f>
        <v/>
      </c>
      <c r="E532" s="43">
        <f>IF($L532="","",IF($P532=0,"TBA",IFERROR(INDEX(Grids!$C$160:$BO$219,$N532,$O532),"-")))</f>
        <v/>
      </c>
      <c r="F532" s="22">
        <f>IF($L532="","",INDEX(HSCEI!$F$7:$F$66,$N532))</f>
        <v/>
      </c>
      <c r="G532" s="43">
        <f>IF($L532="","",IF($P532=0,"TBA",IFERROR(INDEX(Grids!$BQ$160:$EC$219,$N532,$O532),"-")))</f>
        <v/>
      </c>
      <c r="H532" s="44">
        <f>IF($L532="","",SUM($G$442:$G532))</f>
        <v/>
      </c>
      <c r="I532" s="45">
        <f>IF($L532="","",IF(INT(($L532-INT($L532/10000000)*10000000)/1000000)=0,"Bloomberg projection",IF($P532=1,"ANNOUNCED","ANNOUNCED - amount TBA")))</f>
        <v/>
      </c>
      <c r="J532" s="46">
        <f>IF($L532="","",IF((OV_SWITCH="ON")*(COUNTIFS(OVR_TICKERS,INDEX(HSCEI!$C$7:$C$66,$N532),OVR_BASE,"&gt;=0")&gt;0)&gt;0,"stock overridden",""))</f>
        <v/>
      </c>
      <c r="L532" s="39">
        <f>IFERROR(IF(SMALL(Grids!$EE$160:$GQ$219,$M$439+91)&gt;=PEND_TO,"",SMALL(Grids!$EE$160:$GQ$219,$M$439+91)),"")</f>
        <v/>
      </c>
      <c r="M532" s="39">
        <f>IF($L532="","",INT($L532/1000000000))</f>
        <v/>
      </c>
      <c r="N532" s="39">
        <f>IF($L532="","",INT(($L532-INT($L532/1000000)*1000000)/1000))</f>
        <v/>
      </c>
      <c r="O532" s="39">
        <f>IF($L532="","",$L532-INT($L532/1000)*1000)</f>
        <v/>
      </c>
      <c r="P532" s="39">
        <f>IF($L532="","",INT(($L532-INT($L532/1000000000)*1000000000)/100000000))</f>
        <v/>
      </c>
    </row>
    <row r="533">
      <c r="B533" s="42">
        <f>IF($L533="","",$M533)</f>
        <v/>
      </c>
      <c r="C533" s="22">
        <f>IF($L533="","",INDEX(HSCEI!$C$7:$C$66,$N533))</f>
        <v/>
      </c>
      <c r="D533" s="22">
        <f>IF($L533="","",INDEX(HSCEI!$D$7:$D$66,$N533))</f>
        <v/>
      </c>
      <c r="E533" s="43">
        <f>IF($L533="","",IF($P533=0,"TBA",IFERROR(INDEX(Grids!$C$160:$BO$219,$N533,$O533),"-")))</f>
        <v/>
      </c>
      <c r="F533" s="22">
        <f>IF($L533="","",INDEX(HSCEI!$F$7:$F$66,$N533))</f>
        <v/>
      </c>
      <c r="G533" s="43">
        <f>IF($L533="","",IF($P533=0,"TBA",IFERROR(INDEX(Grids!$BQ$160:$EC$219,$N533,$O533),"-")))</f>
        <v/>
      </c>
      <c r="H533" s="44">
        <f>IF($L533="","",SUM($G$442:$G533))</f>
        <v/>
      </c>
      <c r="I533" s="45">
        <f>IF($L533="","",IF(INT(($L533-INT($L533/10000000)*10000000)/1000000)=0,"Bloomberg projection",IF($P533=1,"ANNOUNCED","ANNOUNCED - amount TBA")))</f>
        <v/>
      </c>
      <c r="J533" s="46">
        <f>IF($L533="","",IF((OV_SWITCH="ON")*(COUNTIFS(OVR_TICKERS,INDEX(HSCEI!$C$7:$C$66,$N533),OVR_BASE,"&gt;=0")&gt;0)&gt;0,"stock overridden",""))</f>
        <v/>
      </c>
      <c r="L533" s="39">
        <f>IFERROR(IF(SMALL(Grids!$EE$160:$GQ$219,$M$439+92)&gt;=PEND_TO,"",SMALL(Grids!$EE$160:$GQ$219,$M$439+92)),"")</f>
        <v/>
      </c>
      <c r="M533" s="39">
        <f>IF($L533="","",INT($L533/1000000000))</f>
        <v/>
      </c>
      <c r="N533" s="39">
        <f>IF($L533="","",INT(($L533-INT($L533/1000000)*1000000)/1000))</f>
        <v/>
      </c>
      <c r="O533" s="39">
        <f>IF($L533="","",$L533-INT($L533/1000)*1000)</f>
        <v/>
      </c>
      <c r="P533" s="39">
        <f>IF($L533="","",INT(($L533-INT($L533/1000000000)*1000000000)/100000000))</f>
        <v/>
      </c>
    </row>
    <row r="534">
      <c r="B534" s="42">
        <f>IF($L534="","",$M534)</f>
        <v/>
      </c>
      <c r="C534" s="22">
        <f>IF($L534="","",INDEX(HSCEI!$C$7:$C$66,$N534))</f>
        <v/>
      </c>
      <c r="D534" s="22">
        <f>IF($L534="","",INDEX(HSCEI!$D$7:$D$66,$N534))</f>
        <v/>
      </c>
      <c r="E534" s="43">
        <f>IF($L534="","",IF($P534=0,"TBA",IFERROR(INDEX(Grids!$C$160:$BO$219,$N534,$O534),"-")))</f>
        <v/>
      </c>
      <c r="F534" s="22">
        <f>IF($L534="","",INDEX(HSCEI!$F$7:$F$66,$N534))</f>
        <v/>
      </c>
      <c r="G534" s="43">
        <f>IF($L534="","",IF($P534=0,"TBA",IFERROR(INDEX(Grids!$BQ$160:$EC$219,$N534,$O534),"-")))</f>
        <v/>
      </c>
      <c r="H534" s="44">
        <f>IF($L534="","",SUM($G$442:$G534))</f>
        <v/>
      </c>
      <c r="I534" s="45">
        <f>IF($L534="","",IF(INT(($L534-INT($L534/10000000)*10000000)/1000000)=0,"Bloomberg projection",IF($P534=1,"ANNOUNCED","ANNOUNCED - amount TBA")))</f>
        <v/>
      </c>
      <c r="J534" s="46">
        <f>IF($L534="","",IF((OV_SWITCH="ON")*(COUNTIFS(OVR_TICKERS,INDEX(HSCEI!$C$7:$C$66,$N534),OVR_BASE,"&gt;=0")&gt;0)&gt;0,"stock overridden",""))</f>
        <v/>
      </c>
      <c r="L534" s="39">
        <f>IFERROR(IF(SMALL(Grids!$EE$160:$GQ$219,$M$439+93)&gt;=PEND_TO,"",SMALL(Grids!$EE$160:$GQ$219,$M$439+93)),"")</f>
        <v/>
      </c>
      <c r="M534" s="39">
        <f>IF($L534="","",INT($L534/1000000000))</f>
        <v/>
      </c>
      <c r="N534" s="39">
        <f>IF($L534="","",INT(($L534-INT($L534/1000000)*1000000)/1000))</f>
        <v/>
      </c>
      <c r="O534" s="39">
        <f>IF($L534="","",$L534-INT($L534/1000)*1000)</f>
        <v/>
      </c>
      <c r="P534" s="39">
        <f>IF($L534="","",INT(($L534-INT($L534/1000000000)*1000000000)/100000000))</f>
        <v/>
      </c>
    </row>
    <row r="535">
      <c r="B535" s="42">
        <f>IF($L535="","",$M535)</f>
        <v/>
      </c>
      <c r="C535" s="22">
        <f>IF($L535="","",INDEX(HSCEI!$C$7:$C$66,$N535))</f>
        <v/>
      </c>
      <c r="D535" s="22">
        <f>IF($L535="","",INDEX(HSCEI!$D$7:$D$66,$N535))</f>
        <v/>
      </c>
      <c r="E535" s="43">
        <f>IF($L535="","",IF($P535=0,"TBA",IFERROR(INDEX(Grids!$C$160:$BO$219,$N535,$O535),"-")))</f>
        <v/>
      </c>
      <c r="F535" s="22">
        <f>IF($L535="","",INDEX(HSCEI!$F$7:$F$66,$N535))</f>
        <v/>
      </c>
      <c r="G535" s="43">
        <f>IF($L535="","",IF($P535=0,"TBA",IFERROR(INDEX(Grids!$BQ$160:$EC$219,$N535,$O535),"-")))</f>
        <v/>
      </c>
      <c r="H535" s="44">
        <f>IF($L535="","",SUM($G$442:$G535))</f>
        <v/>
      </c>
      <c r="I535" s="45">
        <f>IF($L535="","",IF(INT(($L535-INT($L535/10000000)*10000000)/1000000)=0,"Bloomberg projection",IF($P535=1,"ANNOUNCED","ANNOUNCED - amount TBA")))</f>
        <v/>
      </c>
      <c r="J535" s="46">
        <f>IF($L535="","",IF((OV_SWITCH="ON")*(COUNTIFS(OVR_TICKERS,INDEX(HSCEI!$C$7:$C$66,$N535),OVR_BASE,"&gt;=0")&gt;0)&gt;0,"stock overridden",""))</f>
        <v/>
      </c>
      <c r="L535" s="39">
        <f>IFERROR(IF(SMALL(Grids!$EE$160:$GQ$219,$M$439+94)&gt;=PEND_TO,"",SMALL(Grids!$EE$160:$GQ$219,$M$439+94)),"")</f>
        <v/>
      </c>
      <c r="M535" s="39">
        <f>IF($L535="","",INT($L535/1000000000))</f>
        <v/>
      </c>
      <c r="N535" s="39">
        <f>IF($L535="","",INT(($L535-INT($L535/1000000)*1000000)/1000))</f>
        <v/>
      </c>
      <c r="O535" s="39">
        <f>IF($L535="","",$L535-INT($L535/1000)*1000)</f>
        <v/>
      </c>
      <c r="P535" s="39">
        <f>IF($L535="","",INT(($L535-INT($L535/1000000000)*1000000000)/100000000))</f>
        <v/>
      </c>
    </row>
    <row r="536">
      <c r="B536" s="42">
        <f>IF($L536="","",$M536)</f>
        <v/>
      </c>
      <c r="C536" s="22">
        <f>IF($L536="","",INDEX(HSCEI!$C$7:$C$66,$N536))</f>
        <v/>
      </c>
      <c r="D536" s="22">
        <f>IF($L536="","",INDEX(HSCEI!$D$7:$D$66,$N536))</f>
        <v/>
      </c>
      <c r="E536" s="43">
        <f>IF($L536="","",IF($P536=0,"TBA",IFERROR(INDEX(Grids!$C$160:$BO$219,$N536,$O536),"-")))</f>
        <v/>
      </c>
      <c r="F536" s="22">
        <f>IF($L536="","",INDEX(HSCEI!$F$7:$F$66,$N536))</f>
        <v/>
      </c>
      <c r="G536" s="43">
        <f>IF($L536="","",IF($P536=0,"TBA",IFERROR(INDEX(Grids!$BQ$160:$EC$219,$N536,$O536),"-")))</f>
        <v/>
      </c>
      <c r="H536" s="44">
        <f>IF($L536="","",SUM($G$442:$G536))</f>
        <v/>
      </c>
      <c r="I536" s="45">
        <f>IF($L536="","",IF(INT(($L536-INT($L536/10000000)*10000000)/1000000)=0,"Bloomberg projection",IF($P536=1,"ANNOUNCED","ANNOUNCED - amount TBA")))</f>
        <v/>
      </c>
      <c r="J536" s="46">
        <f>IF($L536="","",IF((OV_SWITCH="ON")*(COUNTIFS(OVR_TICKERS,INDEX(HSCEI!$C$7:$C$66,$N536),OVR_BASE,"&gt;=0")&gt;0)&gt;0,"stock overridden",""))</f>
        <v/>
      </c>
      <c r="L536" s="39">
        <f>IFERROR(IF(SMALL(Grids!$EE$160:$GQ$219,$M$439+95)&gt;=PEND_TO,"",SMALL(Grids!$EE$160:$GQ$219,$M$439+95)),"")</f>
        <v/>
      </c>
      <c r="M536" s="39">
        <f>IF($L536="","",INT($L536/1000000000))</f>
        <v/>
      </c>
      <c r="N536" s="39">
        <f>IF($L536="","",INT(($L536-INT($L536/1000000)*1000000)/1000))</f>
        <v/>
      </c>
      <c r="O536" s="39">
        <f>IF($L536="","",$L536-INT($L536/1000)*1000)</f>
        <v/>
      </c>
      <c r="P536" s="39">
        <f>IF($L536="","",INT(($L536-INT($L536/1000000000)*1000000000)/100000000))</f>
        <v/>
      </c>
    </row>
    <row r="537">
      <c r="B537" s="42">
        <f>IF($L537="","",$M537)</f>
        <v/>
      </c>
      <c r="C537" s="22">
        <f>IF($L537="","",INDEX(HSCEI!$C$7:$C$66,$N537))</f>
        <v/>
      </c>
      <c r="D537" s="22">
        <f>IF($L537="","",INDEX(HSCEI!$D$7:$D$66,$N537))</f>
        <v/>
      </c>
      <c r="E537" s="43">
        <f>IF($L537="","",IF($P537=0,"TBA",IFERROR(INDEX(Grids!$C$160:$BO$219,$N537,$O537),"-")))</f>
        <v/>
      </c>
      <c r="F537" s="22">
        <f>IF($L537="","",INDEX(HSCEI!$F$7:$F$66,$N537))</f>
        <v/>
      </c>
      <c r="G537" s="43">
        <f>IF($L537="","",IF($P537=0,"TBA",IFERROR(INDEX(Grids!$BQ$160:$EC$219,$N537,$O537),"-")))</f>
        <v/>
      </c>
      <c r="H537" s="44">
        <f>IF($L537="","",SUM($G$442:$G537))</f>
        <v/>
      </c>
      <c r="I537" s="45">
        <f>IF($L537="","",IF(INT(($L537-INT($L537/10000000)*10000000)/1000000)=0,"Bloomberg projection",IF($P537=1,"ANNOUNCED","ANNOUNCED - amount TBA")))</f>
        <v/>
      </c>
      <c r="J537" s="46">
        <f>IF($L537="","",IF((OV_SWITCH="ON")*(COUNTIFS(OVR_TICKERS,INDEX(HSCEI!$C$7:$C$66,$N537),OVR_BASE,"&gt;=0")&gt;0)&gt;0,"stock overridden",""))</f>
        <v/>
      </c>
      <c r="L537" s="39">
        <f>IFERROR(IF(SMALL(Grids!$EE$160:$GQ$219,$M$439+96)&gt;=PEND_TO,"",SMALL(Grids!$EE$160:$GQ$219,$M$439+96)),"")</f>
        <v/>
      </c>
      <c r="M537" s="39">
        <f>IF($L537="","",INT($L537/1000000000))</f>
        <v/>
      </c>
      <c r="N537" s="39">
        <f>IF($L537="","",INT(($L537-INT($L537/1000000)*1000000)/1000))</f>
        <v/>
      </c>
      <c r="O537" s="39">
        <f>IF($L537="","",$L537-INT($L537/1000)*1000)</f>
        <v/>
      </c>
      <c r="P537" s="39">
        <f>IF($L537="","",INT(($L537-INT($L537/1000000000)*1000000000)/100000000))</f>
        <v/>
      </c>
    </row>
    <row r="538">
      <c r="B538" s="42">
        <f>IF($L538="","",$M538)</f>
        <v/>
      </c>
      <c r="C538" s="22">
        <f>IF($L538="","",INDEX(HSCEI!$C$7:$C$66,$N538))</f>
        <v/>
      </c>
      <c r="D538" s="22">
        <f>IF($L538="","",INDEX(HSCEI!$D$7:$D$66,$N538))</f>
        <v/>
      </c>
      <c r="E538" s="43">
        <f>IF($L538="","",IF($P538=0,"TBA",IFERROR(INDEX(Grids!$C$160:$BO$219,$N538,$O538),"-")))</f>
        <v/>
      </c>
      <c r="F538" s="22">
        <f>IF($L538="","",INDEX(HSCEI!$F$7:$F$66,$N538))</f>
        <v/>
      </c>
      <c r="G538" s="43">
        <f>IF($L538="","",IF($P538=0,"TBA",IFERROR(INDEX(Grids!$BQ$160:$EC$219,$N538,$O538),"-")))</f>
        <v/>
      </c>
      <c r="H538" s="44">
        <f>IF($L538="","",SUM($G$442:$G538))</f>
        <v/>
      </c>
      <c r="I538" s="45">
        <f>IF($L538="","",IF(INT(($L538-INT($L538/10000000)*10000000)/1000000)=0,"Bloomberg projection",IF($P538=1,"ANNOUNCED","ANNOUNCED - amount TBA")))</f>
        <v/>
      </c>
      <c r="J538" s="46">
        <f>IF($L538="","",IF((OV_SWITCH="ON")*(COUNTIFS(OVR_TICKERS,INDEX(HSCEI!$C$7:$C$66,$N538),OVR_BASE,"&gt;=0")&gt;0)&gt;0,"stock overridden",""))</f>
        <v/>
      </c>
      <c r="L538" s="39">
        <f>IFERROR(IF(SMALL(Grids!$EE$160:$GQ$219,$M$439+97)&gt;=PEND_TO,"",SMALL(Grids!$EE$160:$GQ$219,$M$439+97)),"")</f>
        <v/>
      </c>
      <c r="M538" s="39">
        <f>IF($L538="","",INT($L538/1000000000))</f>
        <v/>
      </c>
      <c r="N538" s="39">
        <f>IF($L538="","",INT(($L538-INT($L538/1000000)*1000000)/1000))</f>
        <v/>
      </c>
      <c r="O538" s="39">
        <f>IF($L538="","",$L538-INT($L538/1000)*1000)</f>
        <v/>
      </c>
      <c r="P538" s="39">
        <f>IF($L538="","",INT(($L538-INT($L538/1000000000)*1000000000)/100000000))</f>
        <v/>
      </c>
    </row>
    <row r="539">
      <c r="B539" s="42">
        <f>IF($L539="","",$M539)</f>
        <v/>
      </c>
      <c r="C539" s="22">
        <f>IF($L539="","",INDEX(HSCEI!$C$7:$C$66,$N539))</f>
        <v/>
      </c>
      <c r="D539" s="22">
        <f>IF($L539="","",INDEX(HSCEI!$D$7:$D$66,$N539))</f>
        <v/>
      </c>
      <c r="E539" s="43">
        <f>IF($L539="","",IF($P539=0,"TBA",IFERROR(INDEX(Grids!$C$160:$BO$219,$N539,$O539),"-")))</f>
        <v/>
      </c>
      <c r="F539" s="22">
        <f>IF($L539="","",INDEX(HSCEI!$F$7:$F$66,$N539))</f>
        <v/>
      </c>
      <c r="G539" s="43">
        <f>IF($L539="","",IF($P539=0,"TBA",IFERROR(INDEX(Grids!$BQ$160:$EC$219,$N539,$O539),"-")))</f>
        <v/>
      </c>
      <c r="H539" s="44">
        <f>IF($L539="","",SUM($G$442:$G539))</f>
        <v/>
      </c>
      <c r="I539" s="45">
        <f>IF($L539="","",IF(INT(($L539-INT($L539/10000000)*10000000)/1000000)=0,"Bloomberg projection",IF($P539=1,"ANNOUNCED","ANNOUNCED - amount TBA")))</f>
        <v/>
      </c>
      <c r="J539" s="46">
        <f>IF($L539="","",IF((OV_SWITCH="ON")*(COUNTIFS(OVR_TICKERS,INDEX(HSCEI!$C$7:$C$66,$N539),OVR_BASE,"&gt;=0")&gt;0)&gt;0,"stock overridden",""))</f>
        <v/>
      </c>
      <c r="L539" s="39">
        <f>IFERROR(IF(SMALL(Grids!$EE$160:$GQ$219,$M$439+98)&gt;=PEND_TO,"",SMALL(Grids!$EE$160:$GQ$219,$M$439+98)),"")</f>
        <v/>
      </c>
      <c r="M539" s="39">
        <f>IF($L539="","",INT($L539/1000000000))</f>
        <v/>
      </c>
      <c r="N539" s="39">
        <f>IF($L539="","",INT(($L539-INT($L539/1000000)*1000000)/1000))</f>
        <v/>
      </c>
      <c r="O539" s="39">
        <f>IF($L539="","",$L539-INT($L539/1000)*1000)</f>
        <v/>
      </c>
      <c r="P539" s="39">
        <f>IF($L539="","",INT(($L539-INT($L539/1000000000)*1000000000)/100000000))</f>
        <v/>
      </c>
    </row>
    <row r="540">
      <c r="B540" s="42">
        <f>IF($L540="","",$M540)</f>
        <v/>
      </c>
      <c r="C540" s="22">
        <f>IF($L540="","",INDEX(HSCEI!$C$7:$C$66,$N540))</f>
        <v/>
      </c>
      <c r="D540" s="22">
        <f>IF($L540="","",INDEX(HSCEI!$D$7:$D$66,$N540))</f>
        <v/>
      </c>
      <c r="E540" s="43">
        <f>IF($L540="","",IF($P540=0,"TBA",IFERROR(INDEX(Grids!$C$160:$BO$219,$N540,$O540),"-")))</f>
        <v/>
      </c>
      <c r="F540" s="22">
        <f>IF($L540="","",INDEX(HSCEI!$F$7:$F$66,$N540))</f>
        <v/>
      </c>
      <c r="G540" s="43">
        <f>IF($L540="","",IF($P540=0,"TBA",IFERROR(INDEX(Grids!$BQ$160:$EC$219,$N540,$O540),"-")))</f>
        <v/>
      </c>
      <c r="H540" s="44">
        <f>IF($L540="","",SUM($G$442:$G540))</f>
        <v/>
      </c>
      <c r="I540" s="45">
        <f>IF($L540="","",IF(INT(($L540-INT($L540/10000000)*10000000)/1000000)=0,"Bloomberg projection",IF($P540=1,"ANNOUNCED","ANNOUNCED - amount TBA")))</f>
        <v/>
      </c>
      <c r="J540" s="46">
        <f>IF($L540="","",IF((OV_SWITCH="ON")*(COUNTIFS(OVR_TICKERS,INDEX(HSCEI!$C$7:$C$66,$N540),OVR_BASE,"&gt;=0")&gt;0)&gt;0,"stock overridden",""))</f>
        <v/>
      </c>
      <c r="L540" s="39">
        <f>IFERROR(IF(SMALL(Grids!$EE$160:$GQ$219,$M$439+99)&gt;=PEND_TO,"",SMALL(Grids!$EE$160:$GQ$219,$M$439+99)),"")</f>
        <v/>
      </c>
      <c r="M540" s="39">
        <f>IF($L540="","",INT($L540/1000000000))</f>
        <v/>
      </c>
      <c r="N540" s="39">
        <f>IF($L540="","",INT(($L540-INT($L540/1000000)*1000000)/1000))</f>
        <v/>
      </c>
      <c r="O540" s="39">
        <f>IF($L540="","",$L540-INT($L540/1000)*1000)</f>
        <v/>
      </c>
      <c r="P540" s="39">
        <f>IF($L540="","",INT(($L540-INT($L540/1000000000)*1000000000)/100000000))</f>
        <v/>
      </c>
    </row>
    <row r="541">
      <c r="B541" s="42">
        <f>IF($L541="","",$M541)</f>
        <v/>
      </c>
      <c r="C541" s="22">
        <f>IF($L541="","",INDEX(HSCEI!$C$7:$C$66,$N541))</f>
        <v/>
      </c>
      <c r="D541" s="22">
        <f>IF($L541="","",INDEX(HSCEI!$D$7:$D$66,$N541))</f>
        <v/>
      </c>
      <c r="E541" s="43">
        <f>IF($L541="","",IF($P541=0,"TBA",IFERROR(INDEX(Grids!$C$160:$BO$219,$N541,$O541),"-")))</f>
        <v/>
      </c>
      <c r="F541" s="22">
        <f>IF($L541="","",INDEX(HSCEI!$F$7:$F$66,$N541))</f>
        <v/>
      </c>
      <c r="G541" s="43">
        <f>IF($L541="","",IF($P541=0,"TBA",IFERROR(INDEX(Grids!$BQ$160:$EC$219,$N541,$O541),"-")))</f>
        <v/>
      </c>
      <c r="H541" s="44">
        <f>IF($L541="","",SUM($G$442:$G541))</f>
        <v/>
      </c>
      <c r="I541" s="45">
        <f>IF($L541="","",IF(INT(($L541-INT($L541/10000000)*10000000)/1000000)=0,"Bloomberg projection",IF($P541=1,"ANNOUNCED","ANNOUNCED - amount TBA")))</f>
        <v/>
      </c>
      <c r="J541" s="46">
        <f>IF($L541="","",IF((OV_SWITCH="ON")*(COUNTIFS(OVR_TICKERS,INDEX(HSCEI!$C$7:$C$66,$N541),OVR_BASE,"&gt;=0")&gt;0)&gt;0,"stock overridden",""))</f>
        <v/>
      </c>
      <c r="L541" s="39">
        <f>IFERROR(IF(SMALL(Grids!$EE$160:$GQ$219,$M$439+100)&gt;=PEND_TO,"",SMALL(Grids!$EE$160:$GQ$219,$M$439+100)),"")</f>
        <v/>
      </c>
      <c r="M541" s="39">
        <f>IF($L541="","",INT($L541/1000000000))</f>
        <v/>
      </c>
      <c r="N541" s="39">
        <f>IF($L541="","",INT(($L541-INT($L541/1000000)*1000000)/1000))</f>
        <v/>
      </c>
      <c r="O541" s="39">
        <f>IF($L541="","",$L541-INT($L541/1000)*1000)</f>
        <v/>
      </c>
      <c r="P541" s="39">
        <f>IF($L541="","",INT(($L541-INT($L541/1000000000)*1000000000)/100000000))</f>
        <v/>
      </c>
    </row>
    <row r="542">
      <c r="B542" s="42">
        <f>IF($L542="","",$M542)</f>
        <v/>
      </c>
      <c r="C542" s="22">
        <f>IF($L542="","",INDEX(HSCEI!$C$7:$C$66,$N542))</f>
        <v/>
      </c>
      <c r="D542" s="22">
        <f>IF($L542="","",INDEX(HSCEI!$D$7:$D$66,$N542))</f>
        <v/>
      </c>
      <c r="E542" s="43">
        <f>IF($L542="","",IF($P542=0,"TBA",IFERROR(INDEX(Grids!$C$160:$BO$219,$N542,$O542),"-")))</f>
        <v/>
      </c>
      <c r="F542" s="22">
        <f>IF($L542="","",INDEX(HSCEI!$F$7:$F$66,$N542))</f>
        <v/>
      </c>
      <c r="G542" s="43">
        <f>IF($L542="","",IF($P542=0,"TBA",IFERROR(INDEX(Grids!$BQ$160:$EC$219,$N542,$O542),"-")))</f>
        <v/>
      </c>
      <c r="H542" s="44">
        <f>IF($L542="","",SUM($G$442:$G542))</f>
        <v/>
      </c>
      <c r="I542" s="45">
        <f>IF($L542="","",IF(INT(($L542-INT($L542/10000000)*10000000)/1000000)=0,"Bloomberg projection",IF($P542=1,"ANNOUNCED","ANNOUNCED - amount TBA")))</f>
        <v/>
      </c>
      <c r="J542" s="46">
        <f>IF($L542="","",IF((OV_SWITCH="ON")*(COUNTIFS(OVR_TICKERS,INDEX(HSCEI!$C$7:$C$66,$N542),OVR_BASE,"&gt;=0")&gt;0)&gt;0,"stock overridden",""))</f>
        <v/>
      </c>
      <c r="L542" s="39">
        <f>IFERROR(IF(SMALL(Grids!$EE$160:$GQ$219,$M$439+101)&gt;=PEND_TO,"",SMALL(Grids!$EE$160:$GQ$219,$M$439+101)),"")</f>
        <v/>
      </c>
      <c r="M542" s="39">
        <f>IF($L542="","",INT($L542/1000000000))</f>
        <v/>
      </c>
      <c r="N542" s="39">
        <f>IF($L542="","",INT(($L542-INT($L542/1000000)*1000000)/1000))</f>
        <v/>
      </c>
      <c r="O542" s="39">
        <f>IF($L542="","",$L542-INT($L542/1000)*1000)</f>
        <v/>
      </c>
      <c r="P542" s="39">
        <f>IF($L542="","",INT(($L542-INT($L542/1000000000)*1000000000)/100000000))</f>
        <v/>
      </c>
    </row>
    <row r="543">
      <c r="B543" s="42">
        <f>IF($L543="","",$M543)</f>
        <v/>
      </c>
      <c r="C543" s="22">
        <f>IF($L543="","",INDEX(HSCEI!$C$7:$C$66,$N543))</f>
        <v/>
      </c>
      <c r="D543" s="22">
        <f>IF($L543="","",INDEX(HSCEI!$D$7:$D$66,$N543))</f>
        <v/>
      </c>
      <c r="E543" s="43">
        <f>IF($L543="","",IF($P543=0,"TBA",IFERROR(INDEX(Grids!$C$160:$BO$219,$N543,$O543),"-")))</f>
        <v/>
      </c>
      <c r="F543" s="22">
        <f>IF($L543="","",INDEX(HSCEI!$F$7:$F$66,$N543))</f>
        <v/>
      </c>
      <c r="G543" s="43">
        <f>IF($L543="","",IF($P543=0,"TBA",IFERROR(INDEX(Grids!$BQ$160:$EC$219,$N543,$O543),"-")))</f>
        <v/>
      </c>
      <c r="H543" s="44">
        <f>IF($L543="","",SUM($G$442:$G543))</f>
        <v/>
      </c>
      <c r="I543" s="45">
        <f>IF($L543="","",IF(INT(($L543-INT($L543/10000000)*10000000)/1000000)=0,"Bloomberg projection",IF($P543=1,"ANNOUNCED","ANNOUNCED - amount TBA")))</f>
        <v/>
      </c>
      <c r="J543" s="46">
        <f>IF($L543="","",IF((OV_SWITCH="ON")*(COUNTIFS(OVR_TICKERS,INDEX(HSCEI!$C$7:$C$66,$N543),OVR_BASE,"&gt;=0")&gt;0)&gt;0,"stock overridden",""))</f>
        <v/>
      </c>
      <c r="L543" s="39">
        <f>IFERROR(IF(SMALL(Grids!$EE$160:$GQ$219,$M$439+102)&gt;=PEND_TO,"",SMALL(Grids!$EE$160:$GQ$219,$M$439+102)),"")</f>
        <v/>
      </c>
      <c r="M543" s="39">
        <f>IF($L543="","",INT($L543/1000000000))</f>
        <v/>
      </c>
      <c r="N543" s="39">
        <f>IF($L543="","",INT(($L543-INT($L543/1000000)*1000000)/1000))</f>
        <v/>
      </c>
      <c r="O543" s="39">
        <f>IF($L543="","",$L543-INT($L543/1000)*1000)</f>
        <v/>
      </c>
      <c r="P543" s="39">
        <f>IF($L543="","",INT(($L543-INT($L543/1000000000)*1000000000)/100000000))</f>
        <v/>
      </c>
    </row>
    <row r="544">
      <c r="B544" s="42">
        <f>IF($L544="","",$M544)</f>
        <v/>
      </c>
      <c r="C544" s="22">
        <f>IF($L544="","",INDEX(HSCEI!$C$7:$C$66,$N544))</f>
        <v/>
      </c>
      <c r="D544" s="22">
        <f>IF($L544="","",INDEX(HSCEI!$D$7:$D$66,$N544))</f>
        <v/>
      </c>
      <c r="E544" s="43">
        <f>IF($L544="","",IF($P544=0,"TBA",IFERROR(INDEX(Grids!$C$160:$BO$219,$N544,$O544),"-")))</f>
        <v/>
      </c>
      <c r="F544" s="22">
        <f>IF($L544="","",INDEX(HSCEI!$F$7:$F$66,$N544))</f>
        <v/>
      </c>
      <c r="G544" s="43">
        <f>IF($L544="","",IF($P544=0,"TBA",IFERROR(INDEX(Grids!$BQ$160:$EC$219,$N544,$O544),"-")))</f>
        <v/>
      </c>
      <c r="H544" s="44">
        <f>IF($L544="","",SUM($G$442:$G544))</f>
        <v/>
      </c>
      <c r="I544" s="45">
        <f>IF($L544="","",IF(INT(($L544-INT($L544/10000000)*10000000)/1000000)=0,"Bloomberg projection",IF($P544=1,"ANNOUNCED","ANNOUNCED - amount TBA")))</f>
        <v/>
      </c>
      <c r="J544" s="46">
        <f>IF($L544="","",IF((OV_SWITCH="ON")*(COUNTIFS(OVR_TICKERS,INDEX(HSCEI!$C$7:$C$66,$N544),OVR_BASE,"&gt;=0")&gt;0)&gt;0,"stock overridden",""))</f>
        <v/>
      </c>
      <c r="L544" s="39">
        <f>IFERROR(IF(SMALL(Grids!$EE$160:$GQ$219,$M$439+103)&gt;=PEND_TO,"",SMALL(Grids!$EE$160:$GQ$219,$M$439+103)),"")</f>
        <v/>
      </c>
      <c r="M544" s="39">
        <f>IF($L544="","",INT($L544/1000000000))</f>
        <v/>
      </c>
      <c r="N544" s="39">
        <f>IF($L544="","",INT(($L544-INT($L544/1000000)*1000000)/1000))</f>
        <v/>
      </c>
      <c r="O544" s="39">
        <f>IF($L544="","",$L544-INT($L544/1000)*1000)</f>
        <v/>
      </c>
      <c r="P544" s="39">
        <f>IF($L544="","",INT(($L544-INT($L544/1000000000)*1000000000)/100000000))</f>
        <v/>
      </c>
    </row>
    <row r="545">
      <c r="B545" s="42">
        <f>IF($L545="","",$M545)</f>
        <v/>
      </c>
      <c r="C545" s="22">
        <f>IF($L545="","",INDEX(HSCEI!$C$7:$C$66,$N545))</f>
        <v/>
      </c>
      <c r="D545" s="22">
        <f>IF($L545="","",INDEX(HSCEI!$D$7:$D$66,$N545))</f>
        <v/>
      </c>
      <c r="E545" s="43">
        <f>IF($L545="","",IF($P545=0,"TBA",IFERROR(INDEX(Grids!$C$160:$BO$219,$N545,$O545),"-")))</f>
        <v/>
      </c>
      <c r="F545" s="22">
        <f>IF($L545="","",INDEX(HSCEI!$F$7:$F$66,$N545))</f>
        <v/>
      </c>
      <c r="G545" s="43">
        <f>IF($L545="","",IF($P545=0,"TBA",IFERROR(INDEX(Grids!$BQ$160:$EC$219,$N545,$O545),"-")))</f>
        <v/>
      </c>
      <c r="H545" s="44">
        <f>IF($L545="","",SUM($G$442:$G545))</f>
        <v/>
      </c>
      <c r="I545" s="45">
        <f>IF($L545="","",IF(INT(($L545-INT($L545/10000000)*10000000)/1000000)=0,"Bloomberg projection",IF($P545=1,"ANNOUNCED","ANNOUNCED - amount TBA")))</f>
        <v/>
      </c>
      <c r="J545" s="46">
        <f>IF($L545="","",IF((OV_SWITCH="ON")*(COUNTIFS(OVR_TICKERS,INDEX(HSCEI!$C$7:$C$66,$N545),OVR_BASE,"&gt;=0")&gt;0)&gt;0,"stock overridden",""))</f>
        <v/>
      </c>
      <c r="L545" s="39">
        <f>IFERROR(IF(SMALL(Grids!$EE$160:$GQ$219,$M$439+104)&gt;=PEND_TO,"",SMALL(Grids!$EE$160:$GQ$219,$M$439+104)),"")</f>
        <v/>
      </c>
      <c r="M545" s="39">
        <f>IF($L545="","",INT($L545/1000000000))</f>
        <v/>
      </c>
      <c r="N545" s="39">
        <f>IF($L545="","",INT(($L545-INT($L545/1000000)*1000000)/1000))</f>
        <v/>
      </c>
      <c r="O545" s="39">
        <f>IF($L545="","",$L545-INT($L545/1000)*1000)</f>
        <v/>
      </c>
      <c r="P545" s="39">
        <f>IF($L545="","",INT(($L545-INT($L545/1000000000)*1000000000)/100000000))</f>
        <v/>
      </c>
    </row>
    <row r="546">
      <c r="B546" s="42">
        <f>IF($L546="","",$M546)</f>
        <v/>
      </c>
      <c r="C546" s="22">
        <f>IF($L546="","",INDEX(HSCEI!$C$7:$C$66,$N546))</f>
        <v/>
      </c>
      <c r="D546" s="22">
        <f>IF($L546="","",INDEX(HSCEI!$D$7:$D$66,$N546))</f>
        <v/>
      </c>
      <c r="E546" s="43">
        <f>IF($L546="","",IF($P546=0,"TBA",IFERROR(INDEX(Grids!$C$160:$BO$219,$N546,$O546),"-")))</f>
        <v/>
      </c>
      <c r="F546" s="22">
        <f>IF($L546="","",INDEX(HSCEI!$F$7:$F$66,$N546))</f>
        <v/>
      </c>
      <c r="G546" s="43">
        <f>IF($L546="","",IF($P546=0,"TBA",IFERROR(INDEX(Grids!$BQ$160:$EC$219,$N546,$O546),"-")))</f>
        <v/>
      </c>
      <c r="H546" s="44">
        <f>IF($L546="","",SUM($G$442:$G546))</f>
        <v/>
      </c>
      <c r="I546" s="45">
        <f>IF($L546="","",IF(INT(($L546-INT($L546/10000000)*10000000)/1000000)=0,"Bloomberg projection",IF($P546=1,"ANNOUNCED","ANNOUNCED - amount TBA")))</f>
        <v/>
      </c>
      <c r="J546" s="46">
        <f>IF($L546="","",IF((OV_SWITCH="ON")*(COUNTIFS(OVR_TICKERS,INDEX(HSCEI!$C$7:$C$66,$N546),OVR_BASE,"&gt;=0")&gt;0)&gt;0,"stock overridden",""))</f>
        <v/>
      </c>
      <c r="L546" s="39">
        <f>IFERROR(IF(SMALL(Grids!$EE$160:$GQ$219,$M$439+105)&gt;=PEND_TO,"",SMALL(Grids!$EE$160:$GQ$219,$M$439+105)),"")</f>
        <v/>
      </c>
      <c r="M546" s="39">
        <f>IF($L546="","",INT($L546/1000000000))</f>
        <v/>
      </c>
      <c r="N546" s="39">
        <f>IF($L546="","",INT(($L546-INT($L546/1000000)*1000000)/1000))</f>
        <v/>
      </c>
      <c r="O546" s="39">
        <f>IF($L546="","",$L546-INT($L546/1000)*1000)</f>
        <v/>
      </c>
      <c r="P546" s="39">
        <f>IF($L546="","",INT(($L546-INT($L546/1000000000)*1000000000)/100000000))</f>
        <v/>
      </c>
    </row>
    <row r="547">
      <c r="B547" s="42">
        <f>IF($L547="","",$M547)</f>
        <v/>
      </c>
      <c r="C547" s="22">
        <f>IF($L547="","",INDEX(HSCEI!$C$7:$C$66,$N547))</f>
        <v/>
      </c>
      <c r="D547" s="22">
        <f>IF($L547="","",INDEX(HSCEI!$D$7:$D$66,$N547))</f>
        <v/>
      </c>
      <c r="E547" s="43">
        <f>IF($L547="","",IF($P547=0,"TBA",IFERROR(INDEX(Grids!$C$160:$BO$219,$N547,$O547),"-")))</f>
        <v/>
      </c>
      <c r="F547" s="22">
        <f>IF($L547="","",INDEX(HSCEI!$F$7:$F$66,$N547))</f>
        <v/>
      </c>
      <c r="G547" s="43">
        <f>IF($L547="","",IF($P547=0,"TBA",IFERROR(INDEX(Grids!$BQ$160:$EC$219,$N547,$O547),"-")))</f>
        <v/>
      </c>
      <c r="H547" s="44">
        <f>IF($L547="","",SUM($G$442:$G547))</f>
        <v/>
      </c>
      <c r="I547" s="45">
        <f>IF($L547="","",IF(INT(($L547-INT($L547/10000000)*10000000)/1000000)=0,"Bloomberg projection",IF($P547=1,"ANNOUNCED","ANNOUNCED - amount TBA")))</f>
        <v/>
      </c>
      <c r="J547" s="46">
        <f>IF($L547="","",IF((OV_SWITCH="ON")*(COUNTIFS(OVR_TICKERS,INDEX(HSCEI!$C$7:$C$66,$N547),OVR_BASE,"&gt;=0")&gt;0)&gt;0,"stock overridden",""))</f>
        <v/>
      </c>
      <c r="L547" s="39">
        <f>IFERROR(IF(SMALL(Grids!$EE$160:$GQ$219,$M$439+106)&gt;=PEND_TO,"",SMALL(Grids!$EE$160:$GQ$219,$M$439+106)),"")</f>
        <v/>
      </c>
      <c r="M547" s="39">
        <f>IF($L547="","",INT($L547/1000000000))</f>
        <v/>
      </c>
      <c r="N547" s="39">
        <f>IF($L547="","",INT(($L547-INT($L547/1000000)*1000000)/1000))</f>
        <v/>
      </c>
      <c r="O547" s="39">
        <f>IF($L547="","",$L547-INT($L547/1000)*1000)</f>
        <v/>
      </c>
      <c r="P547" s="39">
        <f>IF($L547="","",INT(($L547-INT($L547/1000000000)*1000000000)/100000000))</f>
        <v/>
      </c>
    </row>
    <row r="548">
      <c r="B548" s="42">
        <f>IF($L548="","",$M548)</f>
        <v/>
      </c>
      <c r="C548" s="22">
        <f>IF($L548="","",INDEX(HSCEI!$C$7:$C$66,$N548))</f>
        <v/>
      </c>
      <c r="D548" s="22">
        <f>IF($L548="","",INDEX(HSCEI!$D$7:$D$66,$N548))</f>
        <v/>
      </c>
      <c r="E548" s="43">
        <f>IF($L548="","",IF($P548=0,"TBA",IFERROR(INDEX(Grids!$C$160:$BO$219,$N548,$O548),"-")))</f>
        <v/>
      </c>
      <c r="F548" s="22">
        <f>IF($L548="","",INDEX(HSCEI!$F$7:$F$66,$N548))</f>
        <v/>
      </c>
      <c r="G548" s="43">
        <f>IF($L548="","",IF($P548=0,"TBA",IFERROR(INDEX(Grids!$BQ$160:$EC$219,$N548,$O548),"-")))</f>
        <v/>
      </c>
      <c r="H548" s="44">
        <f>IF($L548="","",SUM($G$442:$G548))</f>
        <v/>
      </c>
      <c r="I548" s="45">
        <f>IF($L548="","",IF(INT(($L548-INT($L548/10000000)*10000000)/1000000)=0,"Bloomberg projection",IF($P548=1,"ANNOUNCED","ANNOUNCED - amount TBA")))</f>
        <v/>
      </c>
      <c r="J548" s="46">
        <f>IF($L548="","",IF((OV_SWITCH="ON")*(COUNTIFS(OVR_TICKERS,INDEX(HSCEI!$C$7:$C$66,$N548),OVR_BASE,"&gt;=0")&gt;0)&gt;0,"stock overridden",""))</f>
        <v/>
      </c>
      <c r="L548" s="39">
        <f>IFERROR(IF(SMALL(Grids!$EE$160:$GQ$219,$M$439+107)&gt;=PEND_TO,"",SMALL(Grids!$EE$160:$GQ$219,$M$439+107)),"")</f>
        <v/>
      </c>
      <c r="M548" s="39">
        <f>IF($L548="","",INT($L548/1000000000))</f>
        <v/>
      </c>
      <c r="N548" s="39">
        <f>IF($L548="","",INT(($L548-INT($L548/1000000)*1000000)/1000))</f>
        <v/>
      </c>
      <c r="O548" s="39">
        <f>IF($L548="","",$L548-INT($L548/1000)*1000)</f>
        <v/>
      </c>
      <c r="P548" s="39">
        <f>IF($L548="","",INT(($L548-INT($L548/1000000000)*1000000000)/100000000))</f>
        <v/>
      </c>
    </row>
    <row r="549">
      <c r="B549" s="42">
        <f>IF($L549="","",$M549)</f>
        <v/>
      </c>
      <c r="C549" s="22">
        <f>IF($L549="","",INDEX(HSCEI!$C$7:$C$66,$N549))</f>
        <v/>
      </c>
      <c r="D549" s="22">
        <f>IF($L549="","",INDEX(HSCEI!$D$7:$D$66,$N549))</f>
        <v/>
      </c>
      <c r="E549" s="43">
        <f>IF($L549="","",IF($P549=0,"TBA",IFERROR(INDEX(Grids!$C$160:$BO$219,$N549,$O549),"-")))</f>
        <v/>
      </c>
      <c r="F549" s="22">
        <f>IF($L549="","",INDEX(HSCEI!$F$7:$F$66,$N549))</f>
        <v/>
      </c>
      <c r="G549" s="43">
        <f>IF($L549="","",IF($P549=0,"TBA",IFERROR(INDEX(Grids!$BQ$160:$EC$219,$N549,$O549),"-")))</f>
        <v/>
      </c>
      <c r="H549" s="44">
        <f>IF($L549="","",SUM($G$442:$G549))</f>
        <v/>
      </c>
      <c r="I549" s="45">
        <f>IF($L549="","",IF(INT(($L549-INT($L549/10000000)*10000000)/1000000)=0,"Bloomberg projection",IF($P549=1,"ANNOUNCED","ANNOUNCED - amount TBA")))</f>
        <v/>
      </c>
      <c r="J549" s="46">
        <f>IF($L549="","",IF((OV_SWITCH="ON")*(COUNTIFS(OVR_TICKERS,INDEX(HSCEI!$C$7:$C$66,$N549),OVR_BASE,"&gt;=0")&gt;0)&gt;0,"stock overridden",""))</f>
        <v/>
      </c>
      <c r="L549" s="39">
        <f>IFERROR(IF(SMALL(Grids!$EE$160:$GQ$219,$M$439+108)&gt;=PEND_TO,"",SMALL(Grids!$EE$160:$GQ$219,$M$439+108)),"")</f>
        <v/>
      </c>
      <c r="M549" s="39">
        <f>IF($L549="","",INT($L549/1000000000))</f>
        <v/>
      </c>
      <c r="N549" s="39">
        <f>IF($L549="","",INT(($L549-INT($L549/1000000)*1000000)/1000))</f>
        <v/>
      </c>
      <c r="O549" s="39">
        <f>IF($L549="","",$L549-INT($L549/1000)*1000)</f>
        <v/>
      </c>
      <c r="P549" s="39">
        <f>IF($L549="","",INT(($L549-INT($L549/1000000000)*1000000000)/100000000))</f>
        <v/>
      </c>
    </row>
    <row r="550">
      <c r="B550" s="42">
        <f>IF($L550="","",$M550)</f>
        <v/>
      </c>
      <c r="C550" s="22">
        <f>IF($L550="","",INDEX(HSCEI!$C$7:$C$66,$N550))</f>
        <v/>
      </c>
      <c r="D550" s="22">
        <f>IF($L550="","",INDEX(HSCEI!$D$7:$D$66,$N550))</f>
        <v/>
      </c>
      <c r="E550" s="43">
        <f>IF($L550="","",IF($P550=0,"TBA",IFERROR(INDEX(Grids!$C$160:$BO$219,$N550,$O550),"-")))</f>
        <v/>
      </c>
      <c r="F550" s="22">
        <f>IF($L550="","",INDEX(HSCEI!$F$7:$F$66,$N550))</f>
        <v/>
      </c>
      <c r="G550" s="43">
        <f>IF($L550="","",IF($P550=0,"TBA",IFERROR(INDEX(Grids!$BQ$160:$EC$219,$N550,$O550),"-")))</f>
        <v/>
      </c>
      <c r="H550" s="44">
        <f>IF($L550="","",SUM($G$442:$G550))</f>
        <v/>
      </c>
      <c r="I550" s="45">
        <f>IF($L550="","",IF(INT(($L550-INT($L550/10000000)*10000000)/1000000)=0,"Bloomberg projection",IF($P550=1,"ANNOUNCED","ANNOUNCED - amount TBA")))</f>
        <v/>
      </c>
      <c r="J550" s="46">
        <f>IF($L550="","",IF((OV_SWITCH="ON")*(COUNTIFS(OVR_TICKERS,INDEX(HSCEI!$C$7:$C$66,$N550),OVR_BASE,"&gt;=0")&gt;0)&gt;0,"stock overridden",""))</f>
        <v/>
      </c>
      <c r="L550" s="39">
        <f>IFERROR(IF(SMALL(Grids!$EE$160:$GQ$219,$M$439+109)&gt;=PEND_TO,"",SMALL(Grids!$EE$160:$GQ$219,$M$439+109)),"")</f>
        <v/>
      </c>
      <c r="M550" s="39">
        <f>IF($L550="","",INT($L550/1000000000))</f>
        <v/>
      </c>
      <c r="N550" s="39">
        <f>IF($L550="","",INT(($L550-INT($L550/1000000)*1000000)/1000))</f>
        <v/>
      </c>
      <c r="O550" s="39">
        <f>IF($L550="","",$L550-INT($L550/1000)*1000)</f>
        <v/>
      </c>
      <c r="P550" s="39">
        <f>IF($L550="","",INT(($L550-INT($L550/1000000000)*1000000000)/100000000))</f>
        <v/>
      </c>
    </row>
    <row r="551">
      <c r="B551" s="42">
        <f>IF($L551="","",$M551)</f>
        <v/>
      </c>
      <c r="C551" s="22">
        <f>IF($L551="","",INDEX(HSCEI!$C$7:$C$66,$N551))</f>
        <v/>
      </c>
      <c r="D551" s="22">
        <f>IF($L551="","",INDEX(HSCEI!$D$7:$D$66,$N551))</f>
        <v/>
      </c>
      <c r="E551" s="43">
        <f>IF($L551="","",IF($P551=0,"TBA",IFERROR(INDEX(Grids!$C$160:$BO$219,$N551,$O551),"-")))</f>
        <v/>
      </c>
      <c r="F551" s="22">
        <f>IF($L551="","",INDEX(HSCEI!$F$7:$F$66,$N551))</f>
        <v/>
      </c>
      <c r="G551" s="43">
        <f>IF($L551="","",IF($P551=0,"TBA",IFERROR(INDEX(Grids!$BQ$160:$EC$219,$N551,$O551),"-")))</f>
        <v/>
      </c>
      <c r="H551" s="44">
        <f>IF($L551="","",SUM($G$442:$G551))</f>
        <v/>
      </c>
      <c r="I551" s="45">
        <f>IF($L551="","",IF(INT(($L551-INT($L551/10000000)*10000000)/1000000)=0,"Bloomberg projection",IF($P551=1,"ANNOUNCED","ANNOUNCED - amount TBA")))</f>
        <v/>
      </c>
      <c r="J551" s="46">
        <f>IF($L551="","",IF((OV_SWITCH="ON")*(COUNTIFS(OVR_TICKERS,INDEX(HSCEI!$C$7:$C$66,$N551),OVR_BASE,"&gt;=0")&gt;0)&gt;0,"stock overridden",""))</f>
        <v/>
      </c>
      <c r="L551" s="39">
        <f>IFERROR(IF(SMALL(Grids!$EE$160:$GQ$219,$M$439+110)&gt;=PEND_TO,"",SMALL(Grids!$EE$160:$GQ$219,$M$439+110)),"")</f>
        <v/>
      </c>
      <c r="M551" s="39">
        <f>IF($L551="","",INT($L551/1000000000))</f>
        <v/>
      </c>
      <c r="N551" s="39">
        <f>IF($L551="","",INT(($L551-INT($L551/1000000)*1000000)/1000))</f>
        <v/>
      </c>
      <c r="O551" s="39">
        <f>IF($L551="","",$L551-INT($L551/1000)*1000)</f>
        <v/>
      </c>
      <c r="P551" s="39">
        <f>IF($L551="","",INT(($L551-INT($L551/1000000000)*1000000000)/100000000))</f>
        <v/>
      </c>
    </row>
    <row r="552">
      <c r="B552" s="42">
        <f>IF($L552="","",$M552)</f>
        <v/>
      </c>
      <c r="C552" s="22">
        <f>IF($L552="","",INDEX(HSCEI!$C$7:$C$66,$N552))</f>
        <v/>
      </c>
      <c r="D552" s="22">
        <f>IF($L552="","",INDEX(HSCEI!$D$7:$D$66,$N552))</f>
        <v/>
      </c>
      <c r="E552" s="43">
        <f>IF($L552="","",IF($P552=0,"TBA",IFERROR(INDEX(Grids!$C$160:$BO$219,$N552,$O552),"-")))</f>
        <v/>
      </c>
      <c r="F552" s="22">
        <f>IF($L552="","",INDEX(HSCEI!$F$7:$F$66,$N552))</f>
        <v/>
      </c>
      <c r="G552" s="43">
        <f>IF($L552="","",IF($P552=0,"TBA",IFERROR(INDEX(Grids!$BQ$160:$EC$219,$N552,$O552),"-")))</f>
        <v/>
      </c>
      <c r="H552" s="44">
        <f>IF($L552="","",SUM($G$442:$G552))</f>
        <v/>
      </c>
      <c r="I552" s="45">
        <f>IF($L552="","",IF(INT(($L552-INT($L552/10000000)*10000000)/1000000)=0,"Bloomberg projection",IF($P552=1,"ANNOUNCED","ANNOUNCED - amount TBA")))</f>
        <v/>
      </c>
      <c r="J552" s="46">
        <f>IF($L552="","",IF((OV_SWITCH="ON")*(COUNTIFS(OVR_TICKERS,INDEX(HSCEI!$C$7:$C$66,$N552),OVR_BASE,"&gt;=0")&gt;0)&gt;0,"stock overridden",""))</f>
        <v/>
      </c>
      <c r="L552" s="39">
        <f>IFERROR(IF(SMALL(Grids!$EE$160:$GQ$219,$M$439+111)&gt;=PEND_TO,"",SMALL(Grids!$EE$160:$GQ$219,$M$439+111)),"")</f>
        <v/>
      </c>
      <c r="M552" s="39">
        <f>IF($L552="","",INT($L552/1000000000))</f>
        <v/>
      </c>
      <c r="N552" s="39">
        <f>IF($L552="","",INT(($L552-INT($L552/1000000)*1000000)/1000))</f>
        <v/>
      </c>
      <c r="O552" s="39">
        <f>IF($L552="","",$L552-INT($L552/1000)*1000)</f>
        <v/>
      </c>
      <c r="P552" s="39">
        <f>IF($L552="","",INT(($L552-INT($L552/1000000000)*1000000000)/100000000))</f>
        <v/>
      </c>
    </row>
    <row r="553">
      <c r="B553" s="42">
        <f>IF($L553="","",$M553)</f>
        <v/>
      </c>
      <c r="C553" s="22">
        <f>IF($L553="","",INDEX(HSCEI!$C$7:$C$66,$N553))</f>
        <v/>
      </c>
      <c r="D553" s="22">
        <f>IF($L553="","",INDEX(HSCEI!$D$7:$D$66,$N553))</f>
        <v/>
      </c>
      <c r="E553" s="43">
        <f>IF($L553="","",IF($P553=0,"TBA",IFERROR(INDEX(Grids!$C$160:$BO$219,$N553,$O553),"-")))</f>
        <v/>
      </c>
      <c r="F553" s="22">
        <f>IF($L553="","",INDEX(HSCEI!$F$7:$F$66,$N553))</f>
        <v/>
      </c>
      <c r="G553" s="43">
        <f>IF($L553="","",IF($P553=0,"TBA",IFERROR(INDEX(Grids!$BQ$160:$EC$219,$N553,$O553),"-")))</f>
        <v/>
      </c>
      <c r="H553" s="44">
        <f>IF($L553="","",SUM($G$442:$G553))</f>
        <v/>
      </c>
      <c r="I553" s="45">
        <f>IF($L553="","",IF(INT(($L553-INT($L553/10000000)*10000000)/1000000)=0,"Bloomberg projection",IF($P553=1,"ANNOUNCED","ANNOUNCED - amount TBA")))</f>
        <v/>
      </c>
      <c r="J553" s="46">
        <f>IF($L553="","",IF((OV_SWITCH="ON")*(COUNTIFS(OVR_TICKERS,INDEX(HSCEI!$C$7:$C$66,$N553),OVR_BASE,"&gt;=0")&gt;0)&gt;0,"stock overridden",""))</f>
        <v/>
      </c>
      <c r="L553" s="39">
        <f>IFERROR(IF(SMALL(Grids!$EE$160:$GQ$219,$M$439+112)&gt;=PEND_TO,"",SMALL(Grids!$EE$160:$GQ$219,$M$439+112)),"")</f>
        <v/>
      </c>
      <c r="M553" s="39">
        <f>IF($L553="","",INT($L553/1000000000))</f>
        <v/>
      </c>
      <c r="N553" s="39">
        <f>IF($L553="","",INT(($L553-INT($L553/1000000)*1000000)/1000))</f>
        <v/>
      </c>
      <c r="O553" s="39">
        <f>IF($L553="","",$L553-INT($L553/1000)*1000)</f>
        <v/>
      </c>
      <c r="P553" s="39">
        <f>IF($L553="","",INT(($L553-INT($L553/1000000000)*1000000000)/100000000))</f>
        <v/>
      </c>
    </row>
    <row r="554">
      <c r="B554" s="42">
        <f>IF($L554="","",$M554)</f>
        <v/>
      </c>
      <c r="C554" s="22">
        <f>IF($L554="","",INDEX(HSCEI!$C$7:$C$66,$N554))</f>
        <v/>
      </c>
      <c r="D554" s="22">
        <f>IF($L554="","",INDEX(HSCEI!$D$7:$D$66,$N554))</f>
        <v/>
      </c>
      <c r="E554" s="43">
        <f>IF($L554="","",IF($P554=0,"TBA",IFERROR(INDEX(Grids!$C$160:$BO$219,$N554,$O554),"-")))</f>
        <v/>
      </c>
      <c r="F554" s="22">
        <f>IF($L554="","",INDEX(HSCEI!$F$7:$F$66,$N554))</f>
        <v/>
      </c>
      <c r="G554" s="43">
        <f>IF($L554="","",IF($P554=0,"TBA",IFERROR(INDEX(Grids!$BQ$160:$EC$219,$N554,$O554),"-")))</f>
        <v/>
      </c>
      <c r="H554" s="44">
        <f>IF($L554="","",SUM($G$442:$G554))</f>
        <v/>
      </c>
      <c r="I554" s="45">
        <f>IF($L554="","",IF(INT(($L554-INT($L554/10000000)*10000000)/1000000)=0,"Bloomberg projection",IF($P554=1,"ANNOUNCED","ANNOUNCED - amount TBA")))</f>
        <v/>
      </c>
      <c r="J554" s="46">
        <f>IF($L554="","",IF((OV_SWITCH="ON")*(COUNTIFS(OVR_TICKERS,INDEX(HSCEI!$C$7:$C$66,$N554),OVR_BASE,"&gt;=0")&gt;0)&gt;0,"stock overridden",""))</f>
        <v/>
      </c>
      <c r="L554" s="39">
        <f>IFERROR(IF(SMALL(Grids!$EE$160:$GQ$219,$M$439+113)&gt;=PEND_TO,"",SMALL(Grids!$EE$160:$GQ$219,$M$439+113)),"")</f>
        <v/>
      </c>
      <c r="M554" s="39">
        <f>IF($L554="","",INT($L554/1000000000))</f>
        <v/>
      </c>
      <c r="N554" s="39">
        <f>IF($L554="","",INT(($L554-INT($L554/1000000)*1000000)/1000))</f>
        <v/>
      </c>
      <c r="O554" s="39">
        <f>IF($L554="","",$L554-INT($L554/1000)*1000)</f>
        <v/>
      </c>
      <c r="P554" s="39">
        <f>IF($L554="","",INT(($L554-INT($L554/1000000000)*1000000000)/100000000))</f>
        <v/>
      </c>
    </row>
    <row r="555">
      <c r="B555" s="42">
        <f>IF($L555="","",$M555)</f>
        <v/>
      </c>
      <c r="C555" s="22">
        <f>IF($L555="","",INDEX(HSCEI!$C$7:$C$66,$N555))</f>
        <v/>
      </c>
      <c r="D555" s="22">
        <f>IF($L555="","",INDEX(HSCEI!$D$7:$D$66,$N555))</f>
        <v/>
      </c>
      <c r="E555" s="43">
        <f>IF($L555="","",IF($P555=0,"TBA",IFERROR(INDEX(Grids!$C$160:$BO$219,$N555,$O555),"-")))</f>
        <v/>
      </c>
      <c r="F555" s="22">
        <f>IF($L555="","",INDEX(HSCEI!$F$7:$F$66,$N555))</f>
        <v/>
      </c>
      <c r="G555" s="43">
        <f>IF($L555="","",IF($P555=0,"TBA",IFERROR(INDEX(Grids!$BQ$160:$EC$219,$N555,$O555),"-")))</f>
        <v/>
      </c>
      <c r="H555" s="44">
        <f>IF($L555="","",SUM($G$442:$G555))</f>
        <v/>
      </c>
      <c r="I555" s="45">
        <f>IF($L555="","",IF(INT(($L555-INT($L555/10000000)*10000000)/1000000)=0,"Bloomberg projection",IF($P555=1,"ANNOUNCED","ANNOUNCED - amount TBA")))</f>
        <v/>
      </c>
      <c r="J555" s="46">
        <f>IF($L555="","",IF((OV_SWITCH="ON")*(COUNTIFS(OVR_TICKERS,INDEX(HSCEI!$C$7:$C$66,$N555),OVR_BASE,"&gt;=0")&gt;0)&gt;0,"stock overridden",""))</f>
        <v/>
      </c>
      <c r="L555" s="39">
        <f>IFERROR(IF(SMALL(Grids!$EE$160:$GQ$219,$M$439+114)&gt;=PEND_TO,"",SMALL(Grids!$EE$160:$GQ$219,$M$439+114)),"")</f>
        <v/>
      </c>
      <c r="M555" s="39">
        <f>IF($L555="","",INT($L555/1000000000))</f>
        <v/>
      </c>
      <c r="N555" s="39">
        <f>IF($L555="","",INT(($L555-INT($L555/1000000)*1000000)/1000))</f>
        <v/>
      </c>
      <c r="O555" s="39">
        <f>IF($L555="","",$L555-INT($L555/1000)*1000)</f>
        <v/>
      </c>
      <c r="P555" s="39">
        <f>IF($L555="","",INT(($L555-INT($L555/1000000000)*1000000000)/100000000))</f>
        <v/>
      </c>
    </row>
    <row r="556">
      <c r="B556" s="42">
        <f>IF($L556="","",$M556)</f>
        <v/>
      </c>
      <c r="C556" s="22">
        <f>IF($L556="","",INDEX(HSCEI!$C$7:$C$66,$N556))</f>
        <v/>
      </c>
      <c r="D556" s="22">
        <f>IF($L556="","",INDEX(HSCEI!$D$7:$D$66,$N556))</f>
        <v/>
      </c>
      <c r="E556" s="43">
        <f>IF($L556="","",IF($P556=0,"TBA",IFERROR(INDEX(Grids!$C$160:$BO$219,$N556,$O556),"-")))</f>
        <v/>
      </c>
      <c r="F556" s="22">
        <f>IF($L556="","",INDEX(HSCEI!$F$7:$F$66,$N556))</f>
        <v/>
      </c>
      <c r="G556" s="43">
        <f>IF($L556="","",IF($P556=0,"TBA",IFERROR(INDEX(Grids!$BQ$160:$EC$219,$N556,$O556),"-")))</f>
        <v/>
      </c>
      <c r="H556" s="44">
        <f>IF($L556="","",SUM($G$442:$G556))</f>
        <v/>
      </c>
      <c r="I556" s="45">
        <f>IF($L556="","",IF(INT(($L556-INT($L556/10000000)*10000000)/1000000)=0,"Bloomberg projection",IF($P556=1,"ANNOUNCED","ANNOUNCED - amount TBA")))</f>
        <v/>
      </c>
      <c r="J556" s="46">
        <f>IF($L556="","",IF((OV_SWITCH="ON")*(COUNTIFS(OVR_TICKERS,INDEX(HSCEI!$C$7:$C$66,$N556),OVR_BASE,"&gt;=0")&gt;0)&gt;0,"stock overridden",""))</f>
        <v/>
      </c>
      <c r="L556" s="39">
        <f>IFERROR(IF(SMALL(Grids!$EE$160:$GQ$219,$M$439+115)&gt;=PEND_TO,"",SMALL(Grids!$EE$160:$GQ$219,$M$439+115)),"")</f>
        <v/>
      </c>
      <c r="M556" s="39">
        <f>IF($L556="","",INT($L556/1000000000))</f>
        <v/>
      </c>
      <c r="N556" s="39">
        <f>IF($L556="","",INT(($L556-INT($L556/1000000)*1000000)/1000))</f>
        <v/>
      </c>
      <c r="O556" s="39">
        <f>IF($L556="","",$L556-INT($L556/1000)*1000)</f>
        <v/>
      </c>
      <c r="P556" s="39">
        <f>IF($L556="","",INT(($L556-INT($L556/1000000000)*1000000000)/100000000))</f>
        <v/>
      </c>
    </row>
    <row r="557">
      <c r="B557" s="42">
        <f>IF($L557="","",$M557)</f>
        <v/>
      </c>
      <c r="C557" s="22">
        <f>IF($L557="","",INDEX(HSCEI!$C$7:$C$66,$N557))</f>
        <v/>
      </c>
      <c r="D557" s="22">
        <f>IF($L557="","",INDEX(HSCEI!$D$7:$D$66,$N557))</f>
        <v/>
      </c>
      <c r="E557" s="43">
        <f>IF($L557="","",IF($P557=0,"TBA",IFERROR(INDEX(Grids!$C$160:$BO$219,$N557,$O557),"-")))</f>
        <v/>
      </c>
      <c r="F557" s="22">
        <f>IF($L557="","",INDEX(HSCEI!$F$7:$F$66,$N557))</f>
        <v/>
      </c>
      <c r="G557" s="43">
        <f>IF($L557="","",IF($P557=0,"TBA",IFERROR(INDEX(Grids!$BQ$160:$EC$219,$N557,$O557),"-")))</f>
        <v/>
      </c>
      <c r="H557" s="44">
        <f>IF($L557="","",SUM($G$442:$G557))</f>
        <v/>
      </c>
      <c r="I557" s="45">
        <f>IF($L557="","",IF(INT(($L557-INT($L557/10000000)*10000000)/1000000)=0,"Bloomberg projection",IF($P557=1,"ANNOUNCED","ANNOUNCED - amount TBA")))</f>
        <v/>
      </c>
      <c r="J557" s="46">
        <f>IF($L557="","",IF((OV_SWITCH="ON")*(COUNTIFS(OVR_TICKERS,INDEX(HSCEI!$C$7:$C$66,$N557),OVR_BASE,"&gt;=0")&gt;0)&gt;0,"stock overridden",""))</f>
        <v/>
      </c>
      <c r="L557" s="39">
        <f>IFERROR(IF(SMALL(Grids!$EE$160:$GQ$219,$M$439+116)&gt;=PEND_TO,"",SMALL(Grids!$EE$160:$GQ$219,$M$439+116)),"")</f>
        <v/>
      </c>
      <c r="M557" s="39">
        <f>IF($L557="","",INT($L557/1000000000))</f>
        <v/>
      </c>
      <c r="N557" s="39">
        <f>IF($L557="","",INT(($L557-INT($L557/1000000)*1000000)/1000))</f>
        <v/>
      </c>
      <c r="O557" s="39">
        <f>IF($L557="","",$L557-INT($L557/1000)*1000)</f>
        <v/>
      </c>
      <c r="P557" s="39">
        <f>IF($L557="","",INT(($L557-INT($L557/1000000000)*1000000000)/100000000))</f>
        <v/>
      </c>
    </row>
    <row r="558">
      <c r="B558" s="42">
        <f>IF($L558="","",$M558)</f>
        <v/>
      </c>
      <c r="C558" s="22">
        <f>IF($L558="","",INDEX(HSCEI!$C$7:$C$66,$N558))</f>
        <v/>
      </c>
      <c r="D558" s="22">
        <f>IF($L558="","",INDEX(HSCEI!$D$7:$D$66,$N558))</f>
        <v/>
      </c>
      <c r="E558" s="43">
        <f>IF($L558="","",IF($P558=0,"TBA",IFERROR(INDEX(Grids!$C$160:$BO$219,$N558,$O558),"-")))</f>
        <v/>
      </c>
      <c r="F558" s="22">
        <f>IF($L558="","",INDEX(HSCEI!$F$7:$F$66,$N558))</f>
        <v/>
      </c>
      <c r="G558" s="43">
        <f>IF($L558="","",IF($P558=0,"TBA",IFERROR(INDEX(Grids!$BQ$160:$EC$219,$N558,$O558),"-")))</f>
        <v/>
      </c>
      <c r="H558" s="44">
        <f>IF($L558="","",SUM($G$442:$G558))</f>
        <v/>
      </c>
      <c r="I558" s="45">
        <f>IF($L558="","",IF(INT(($L558-INT($L558/10000000)*10000000)/1000000)=0,"Bloomberg projection",IF($P558=1,"ANNOUNCED","ANNOUNCED - amount TBA")))</f>
        <v/>
      </c>
      <c r="J558" s="46">
        <f>IF($L558="","",IF((OV_SWITCH="ON")*(COUNTIFS(OVR_TICKERS,INDEX(HSCEI!$C$7:$C$66,$N558),OVR_BASE,"&gt;=0")&gt;0)&gt;0,"stock overridden",""))</f>
        <v/>
      </c>
      <c r="L558" s="39">
        <f>IFERROR(IF(SMALL(Grids!$EE$160:$GQ$219,$M$439+117)&gt;=PEND_TO,"",SMALL(Grids!$EE$160:$GQ$219,$M$439+117)),"")</f>
        <v/>
      </c>
      <c r="M558" s="39">
        <f>IF($L558="","",INT($L558/1000000000))</f>
        <v/>
      </c>
      <c r="N558" s="39">
        <f>IF($L558="","",INT(($L558-INT($L558/1000000)*1000000)/1000))</f>
        <v/>
      </c>
      <c r="O558" s="39">
        <f>IF($L558="","",$L558-INT($L558/1000)*1000)</f>
        <v/>
      </c>
      <c r="P558" s="39">
        <f>IF($L558="","",INT(($L558-INT($L558/1000000000)*1000000000)/100000000))</f>
        <v/>
      </c>
    </row>
    <row r="559">
      <c r="B559" s="42">
        <f>IF($L559="","",$M559)</f>
        <v/>
      </c>
      <c r="C559" s="22">
        <f>IF($L559="","",INDEX(HSCEI!$C$7:$C$66,$N559))</f>
        <v/>
      </c>
      <c r="D559" s="22">
        <f>IF($L559="","",INDEX(HSCEI!$D$7:$D$66,$N559))</f>
        <v/>
      </c>
      <c r="E559" s="43">
        <f>IF($L559="","",IF($P559=0,"TBA",IFERROR(INDEX(Grids!$C$160:$BO$219,$N559,$O559),"-")))</f>
        <v/>
      </c>
      <c r="F559" s="22">
        <f>IF($L559="","",INDEX(HSCEI!$F$7:$F$66,$N559))</f>
        <v/>
      </c>
      <c r="G559" s="43">
        <f>IF($L559="","",IF($P559=0,"TBA",IFERROR(INDEX(Grids!$BQ$160:$EC$219,$N559,$O559),"-")))</f>
        <v/>
      </c>
      <c r="H559" s="44">
        <f>IF($L559="","",SUM($G$442:$G559))</f>
        <v/>
      </c>
      <c r="I559" s="45">
        <f>IF($L559="","",IF(INT(($L559-INT($L559/10000000)*10000000)/1000000)=0,"Bloomberg projection",IF($P559=1,"ANNOUNCED","ANNOUNCED - amount TBA")))</f>
        <v/>
      </c>
      <c r="J559" s="46">
        <f>IF($L559="","",IF((OV_SWITCH="ON")*(COUNTIFS(OVR_TICKERS,INDEX(HSCEI!$C$7:$C$66,$N559),OVR_BASE,"&gt;=0")&gt;0)&gt;0,"stock overridden",""))</f>
        <v/>
      </c>
      <c r="L559" s="39">
        <f>IFERROR(IF(SMALL(Grids!$EE$160:$GQ$219,$M$439+118)&gt;=PEND_TO,"",SMALL(Grids!$EE$160:$GQ$219,$M$439+118)),"")</f>
        <v/>
      </c>
      <c r="M559" s="39">
        <f>IF($L559="","",INT($L559/1000000000))</f>
        <v/>
      </c>
      <c r="N559" s="39">
        <f>IF($L559="","",INT(($L559-INT($L559/1000000)*1000000)/1000))</f>
        <v/>
      </c>
      <c r="O559" s="39">
        <f>IF($L559="","",$L559-INT($L559/1000)*1000)</f>
        <v/>
      </c>
      <c r="P559" s="39">
        <f>IF($L559="","",INT(($L559-INT($L559/1000000000)*1000000000)/100000000))</f>
        <v/>
      </c>
    </row>
    <row r="560">
      <c r="B560" s="42">
        <f>IF($L560="","",$M560)</f>
        <v/>
      </c>
      <c r="C560" s="22">
        <f>IF($L560="","",INDEX(HSCEI!$C$7:$C$66,$N560))</f>
        <v/>
      </c>
      <c r="D560" s="22">
        <f>IF($L560="","",INDEX(HSCEI!$D$7:$D$66,$N560))</f>
        <v/>
      </c>
      <c r="E560" s="43">
        <f>IF($L560="","",IF($P560=0,"TBA",IFERROR(INDEX(Grids!$C$160:$BO$219,$N560,$O560),"-")))</f>
        <v/>
      </c>
      <c r="F560" s="22">
        <f>IF($L560="","",INDEX(HSCEI!$F$7:$F$66,$N560))</f>
        <v/>
      </c>
      <c r="G560" s="43">
        <f>IF($L560="","",IF($P560=0,"TBA",IFERROR(INDEX(Grids!$BQ$160:$EC$219,$N560,$O560),"-")))</f>
        <v/>
      </c>
      <c r="H560" s="44">
        <f>IF($L560="","",SUM($G$442:$G560))</f>
        <v/>
      </c>
      <c r="I560" s="45">
        <f>IF($L560="","",IF(INT(($L560-INT($L560/10000000)*10000000)/1000000)=0,"Bloomberg projection",IF($P560=1,"ANNOUNCED","ANNOUNCED - amount TBA")))</f>
        <v/>
      </c>
      <c r="J560" s="46">
        <f>IF($L560="","",IF((OV_SWITCH="ON")*(COUNTIFS(OVR_TICKERS,INDEX(HSCEI!$C$7:$C$66,$N560),OVR_BASE,"&gt;=0")&gt;0)&gt;0,"stock overridden",""))</f>
        <v/>
      </c>
      <c r="L560" s="39">
        <f>IFERROR(IF(SMALL(Grids!$EE$160:$GQ$219,$M$439+119)&gt;=PEND_TO,"",SMALL(Grids!$EE$160:$GQ$219,$M$439+119)),"")</f>
        <v/>
      </c>
      <c r="M560" s="39">
        <f>IF($L560="","",INT($L560/1000000000))</f>
        <v/>
      </c>
      <c r="N560" s="39">
        <f>IF($L560="","",INT(($L560-INT($L560/1000000)*1000000)/1000))</f>
        <v/>
      </c>
      <c r="O560" s="39">
        <f>IF($L560="","",$L560-INT($L560/1000)*1000)</f>
        <v/>
      </c>
      <c r="P560" s="39">
        <f>IF($L560="","",INT(($L560-INT($L560/1000000000)*1000000000)/100000000))</f>
        <v/>
      </c>
    </row>
    <row r="561">
      <c r="B561" s="42">
        <f>IF($L561="","",$M561)</f>
        <v/>
      </c>
      <c r="C561" s="22">
        <f>IF($L561="","",INDEX(HSCEI!$C$7:$C$66,$N561))</f>
        <v/>
      </c>
      <c r="D561" s="22">
        <f>IF($L561="","",INDEX(HSCEI!$D$7:$D$66,$N561))</f>
        <v/>
      </c>
      <c r="E561" s="43">
        <f>IF($L561="","",IF($P561=0,"TBA",IFERROR(INDEX(Grids!$C$160:$BO$219,$N561,$O561),"-")))</f>
        <v/>
      </c>
      <c r="F561" s="22">
        <f>IF($L561="","",INDEX(HSCEI!$F$7:$F$66,$N561))</f>
        <v/>
      </c>
      <c r="G561" s="43">
        <f>IF($L561="","",IF($P561=0,"TBA",IFERROR(INDEX(Grids!$BQ$160:$EC$219,$N561,$O561),"-")))</f>
        <v/>
      </c>
      <c r="H561" s="44">
        <f>IF($L561="","",SUM($G$442:$G561))</f>
        <v/>
      </c>
      <c r="I561" s="45">
        <f>IF($L561="","",IF(INT(($L561-INT($L561/10000000)*10000000)/1000000)=0,"Bloomberg projection",IF($P561=1,"ANNOUNCED","ANNOUNCED - amount TBA")))</f>
        <v/>
      </c>
      <c r="J561" s="46">
        <f>IF($L561="","",IF((OV_SWITCH="ON")*(COUNTIFS(OVR_TICKERS,INDEX(HSCEI!$C$7:$C$66,$N561),OVR_BASE,"&gt;=0")&gt;0)&gt;0,"stock overridden",""))</f>
        <v/>
      </c>
      <c r="L561" s="39">
        <f>IFERROR(IF(SMALL(Grids!$EE$160:$GQ$219,$M$439+120)&gt;=PEND_TO,"",SMALL(Grids!$EE$160:$GQ$219,$M$439+120)),"")</f>
        <v/>
      </c>
      <c r="M561" s="39">
        <f>IF($L561="","",INT($L561/1000000000))</f>
        <v/>
      </c>
      <c r="N561" s="39">
        <f>IF($L561="","",INT(($L561-INT($L561/1000000)*1000000)/1000))</f>
        <v/>
      </c>
      <c r="O561" s="39">
        <f>IF($L561="","",$L561-INT($L561/1000)*1000)</f>
        <v/>
      </c>
      <c r="P561" s="39">
        <f>IF($L561="","",INT(($L561-INT($L561/1000000000)*1000000000)/100000000))</f>
        <v/>
      </c>
    </row>
    <row r="562">
      <c r="B562" s="42">
        <f>IF($L562="","",$M562)</f>
        <v/>
      </c>
      <c r="C562" s="22">
        <f>IF($L562="","",INDEX(HSCEI!$C$7:$C$66,$N562))</f>
        <v/>
      </c>
      <c r="D562" s="22">
        <f>IF($L562="","",INDEX(HSCEI!$D$7:$D$66,$N562))</f>
        <v/>
      </c>
      <c r="E562" s="43">
        <f>IF($L562="","",IF($P562=0,"TBA",IFERROR(INDEX(Grids!$C$160:$BO$219,$N562,$O562),"-")))</f>
        <v/>
      </c>
      <c r="F562" s="22">
        <f>IF($L562="","",INDEX(HSCEI!$F$7:$F$66,$N562))</f>
        <v/>
      </c>
      <c r="G562" s="43">
        <f>IF($L562="","",IF($P562=0,"TBA",IFERROR(INDEX(Grids!$BQ$160:$EC$219,$N562,$O562),"-")))</f>
        <v/>
      </c>
      <c r="H562" s="44">
        <f>IF($L562="","",SUM($G$442:$G562))</f>
        <v/>
      </c>
      <c r="I562" s="45">
        <f>IF($L562="","",IF(INT(($L562-INT($L562/10000000)*10000000)/1000000)=0,"Bloomberg projection",IF($P562=1,"ANNOUNCED","ANNOUNCED - amount TBA")))</f>
        <v/>
      </c>
      <c r="J562" s="46">
        <f>IF($L562="","",IF((OV_SWITCH="ON")*(COUNTIFS(OVR_TICKERS,INDEX(HSCEI!$C$7:$C$66,$N562),OVR_BASE,"&gt;=0")&gt;0)&gt;0,"stock overridden",""))</f>
        <v/>
      </c>
      <c r="L562" s="39">
        <f>IFERROR(IF(SMALL(Grids!$EE$160:$GQ$219,$M$439+121)&gt;=PEND_TO,"",SMALL(Grids!$EE$160:$GQ$219,$M$439+121)),"")</f>
        <v/>
      </c>
      <c r="M562" s="39">
        <f>IF($L562="","",INT($L562/1000000000))</f>
        <v/>
      </c>
      <c r="N562" s="39">
        <f>IF($L562="","",INT(($L562-INT($L562/1000000)*1000000)/1000))</f>
        <v/>
      </c>
      <c r="O562" s="39">
        <f>IF($L562="","",$L562-INT($L562/1000)*1000)</f>
        <v/>
      </c>
      <c r="P562" s="39">
        <f>IF($L562="","",INT(($L562-INT($L562/1000000000)*1000000000)/100000000))</f>
        <v/>
      </c>
    </row>
    <row r="563">
      <c r="B563" s="42">
        <f>IF($L563="","",$M563)</f>
        <v/>
      </c>
      <c r="C563" s="22">
        <f>IF($L563="","",INDEX(HSCEI!$C$7:$C$66,$N563))</f>
        <v/>
      </c>
      <c r="D563" s="22">
        <f>IF($L563="","",INDEX(HSCEI!$D$7:$D$66,$N563))</f>
        <v/>
      </c>
      <c r="E563" s="43">
        <f>IF($L563="","",IF($P563=0,"TBA",IFERROR(INDEX(Grids!$C$160:$BO$219,$N563,$O563),"-")))</f>
        <v/>
      </c>
      <c r="F563" s="22">
        <f>IF($L563="","",INDEX(HSCEI!$F$7:$F$66,$N563))</f>
        <v/>
      </c>
      <c r="G563" s="43">
        <f>IF($L563="","",IF($P563=0,"TBA",IFERROR(INDEX(Grids!$BQ$160:$EC$219,$N563,$O563),"-")))</f>
        <v/>
      </c>
      <c r="H563" s="44">
        <f>IF($L563="","",SUM($G$442:$G563))</f>
        <v/>
      </c>
      <c r="I563" s="45">
        <f>IF($L563="","",IF(INT(($L563-INT($L563/10000000)*10000000)/1000000)=0,"Bloomberg projection",IF($P563=1,"ANNOUNCED","ANNOUNCED - amount TBA")))</f>
        <v/>
      </c>
      <c r="J563" s="46">
        <f>IF($L563="","",IF((OV_SWITCH="ON")*(COUNTIFS(OVR_TICKERS,INDEX(HSCEI!$C$7:$C$66,$N563),OVR_BASE,"&gt;=0")&gt;0)&gt;0,"stock overridden",""))</f>
        <v/>
      </c>
      <c r="L563" s="39">
        <f>IFERROR(IF(SMALL(Grids!$EE$160:$GQ$219,$M$439+122)&gt;=PEND_TO,"",SMALL(Grids!$EE$160:$GQ$219,$M$439+122)),"")</f>
        <v/>
      </c>
      <c r="M563" s="39">
        <f>IF($L563="","",INT($L563/1000000000))</f>
        <v/>
      </c>
      <c r="N563" s="39">
        <f>IF($L563="","",INT(($L563-INT($L563/1000000)*1000000)/1000))</f>
        <v/>
      </c>
      <c r="O563" s="39">
        <f>IF($L563="","",$L563-INT($L563/1000)*1000)</f>
        <v/>
      </c>
      <c r="P563" s="39">
        <f>IF($L563="","",INT(($L563-INT($L563/1000000000)*1000000000)/100000000))</f>
        <v/>
      </c>
    </row>
    <row r="564">
      <c r="B564" s="42">
        <f>IF($L564="","",$M564)</f>
        <v/>
      </c>
      <c r="C564" s="22">
        <f>IF($L564="","",INDEX(HSCEI!$C$7:$C$66,$N564))</f>
        <v/>
      </c>
      <c r="D564" s="22">
        <f>IF($L564="","",INDEX(HSCEI!$D$7:$D$66,$N564))</f>
        <v/>
      </c>
      <c r="E564" s="43">
        <f>IF($L564="","",IF($P564=0,"TBA",IFERROR(INDEX(Grids!$C$160:$BO$219,$N564,$O564),"-")))</f>
        <v/>
      </c>
      <c r="F564" s="22">
        <f>IF($L564="","",INDEX(HSCEI!$F$7:$F$66,$N564))</f>
        <v/>
      </c>
      <c r="G564" s="43">
        <f>IF($L564="","",IF($P564=0,"TBA",IFERROR(INDEX(Grids!$BQ$160:$EC$219,$N564,$O564),"-")))</f>
        <v/>
      </c>
      <c r="H564" s="44">
        <f>IF($L564="","",SUM($G$442:$G564))</f>
        <v/>
      </c>
      <c r="I564" s="45">
        <f>IF($L564="","",IF(INT(($L564-INT($L564/10000000)*10000000)/1000000)=0,"Bloomberg projection",IF($P564=1,"ANNOUNCED","ANNOUNCED - amount TBA")))</f>
        <v/>
      </c>
      <c r="J564" s="46">
        <f>IF($L564="","",IF((OV_SWITCH="ON")*(COUNTIFS(OVR_TICKERS,INDEX(HSCEI!$C$7:$C$66,$N564),OVR_BASE,"&gt;=0")&gt;0)&gt;0,"stock overridden",""))</f>
        <v/>
      </c>
      <c r="L564" s="39">
        <f>IFERROR(IF(SMALL(Grids!$EE$160:$GQ$219,$M$439+123)&gt;=PEND_TO,"",SMALL(Grids!$EE$160:$GQ$219,$M$439+123)),"")</f>
        <v/>
      </c>
      <c r="M564" s="39">
        <f>IF($L564="","",INT($L564/1000000000))</f>
        <v/>
      </c>
      <c r="N564" s="39">
        <f>IF($L564="","",INT(($L564-INT($L564/1000000)*1000000)/1000))</f>
        <v/>
      </c>
      <c r="O564" s="39">
        <f>IF($L564="","",$L564-INT($L564/1000)*1000)</f>
        <v/>
      </c>
      <c r="P564" s="39">
        <f>IF($L564="","",INT(($L564-INT($L564/1000000000)*1000000000)/100000000))</f>
        <v/>
      </c>
    </row>
    <row r="565">
      <c r="B565" s="42">
        <f>IF($L565="","",$M565)</f>
        <v/>
      </c>
      <c r="C565" s="22">
        <f>IF($L565="","",INDEX(HSCEI!$C$7:$C$66,$N565))</f>
        <v/>
      </c>
      <c r="D565" s="22">
        <f>IF($L565="","",INDEX(HSCEI!$D$7:$D$66,$N565))</f>
        <v/>
      </c>
      <c r="E565" s="43">
        <f>IF($L565="","",IF($P565=0,"TBA",IFERROR(INDEX(Grids!$C$160:$BO$219,$N565,$O565),"-")))</f>
        <v/>
      </c>
      <c r="F565" s="22">
        <f>IF($L565="","",INDEX(HSCEI!$F$7:$F$66,$N565))</f>
        <v/>
      </c>
      <c r="G565" s="43">
        <f>IF($L565="","",IF($P565=0,"TBA",IFERROR(INDEX(Grids!$BQ$160:$EC$219,$N565,$O565),"-")))</f>
        <v/>
      </c>
      <c r="H565" s="44">
        <f>IF($L565="","",SUM($G$442:$G565))</f>
        <v/>
      </c>
      <c r="I565" s="45">
        <f>IF($L565="","",IF(INT(($L565-INT($L565/10000000)*10000000)/1000000)=0,"Bloomberg projection",IF($P565=1,"ANNOUNCED","ANNOUNCED - amount TBA")))</f>
        <v/>
      </c>
      <c r="J565" s="46">
        <f>IF($L565="","",IF((OV_SWITCH="ON")*(COUNTIFS(OVR_TICKERS,INDEX(HSCEI!$C$7:$C$66,$N565),OVR_BASE,"&gt;=0")&gt;0)&gt;0,"stock overridden",""))</f>
        <v/>
      </c>
      <c r="L565" s="39">
        <f>IFERROR(IF(SMALL(Grids!$EE$160:$GQ$219,$M$439+124)&gt;=PEND_TO,"",SMALL(Grids!$EE$160:$GQ$219,$M$439+124)),"")</f>
        <v/>
      </c>
      <c r="M565" s="39">
        <f>IF($L565="","",INT($L565/1000000000))</f>
        <v/>
      </c>
      <c r="N565" s="39">
        <f>IF($L565="","",INT(($L565-INT($L565/1000000)*1000000)/1000))</f>
        <v/>
      </c>
      <c r="O565" s="39">
        <f>IF($L565="","",$L565-INT($L565/1000)*1000)</f>
        <v/>
      </c>
      <c r="P565" s="39">
        <f>IF($L565="","",INT(($L565-INT($L565/1000000000)*1000000000)/100000000))</f>
        <v/>
      </c>
    </row>
    <row r="566">
      <c r="B566" s="42">
        <f>IF($L566="","",$M566)</f>
        <v/>
      </c>
      <c r="C566" s="22">
        <f>IF($L566="","",INDEX(HSCEI!$C$7:$C$66,$N566))</f>
        <v/>
      </c>
      <c r="D566" s="22">
        <f>IF($L566="","",INDEX(HSCEI!$D$7:$D$66,$N566))</f>
        <v/>
      </c>
      <c r="E566" s="43">
        <f>IF($L566="","",IF($P566=0,"TBA",IFERROR(INDEX(Grids!$C$160:$BO$219,$N566,$O566),"-")))</f>
        <v/>
      </c>
      <c r="F566" s="22">
        <f>IF($L566="","",INDEX(HSCEI!$F$7:$F$66,$N566))</f>
        <v/>
      </c>
      <c r="G566" s="43">
        <f>IF($L566="","",IF($P566=0,"TBA",IFERROR(INDEX(Grids!$BQ$160:$EC$219,$N566,$O566),"-")))</f>
        <v/>
      </c>
      <c r="H566" s="44">
        <f>IF($L566="","",SUM($G$442:$G566))</f>
        <v/>
      </c>
      <c r="I566" s="45">
        <f>IF($L566="","",IF(INT(($L566-INT($L566/10000000)*10000000)/1000000)=0,"Bloomberg projection",IF($P566=1,"ANNOUNCED","ANNOUNCED - amount TBA")))</f>
        <v/>
      </c>
      <c r="J566" s="46">
        <f>IF($L566="","",IF((OV_SWITCH="ON")*(COUNTIFS(OVR_TICKERS,INDEX(HSCEI!$C$7:$C$66,$N566),OVR_BASE,"&gt;=0")&gt;0)&gt;0,"stock overridden",""))</f>
        <v/>
      </c>
      <c r="L566" s="39">
        <f>IFERROR(IF(SMALL(Grids!$EE$160:$GQ$219,$M$439+125)&gt;=PEND_TO,"",SMALL(Grids!$EE$160:$GQ$219,$M$439+125)),"")</f>
        <v/>
      </c>
      <c r="M566" s="39">
        <f>IF($L566="","",INT($L566/1000000000))</f>
        <v/>
      </c>
      <c r="N566" s="39">
        <f>IF($L566="","",INT(($L566-INT($L566/1000000)*1000000)/1000))</f>
        <v/>
      </c>
      <c r="O566" s="39">
        <f>IF($L566="","",$L566-INT($L566/1000)*1000)</f>
        <v/>
      </c>
      <c r="P566" s="39">
        <f>IF($L566="","",INT(($L566-INT($L566/1000000000)*1000000000)/100000000))</f>
        <v/>
      </c>
    </row>
    <row r="567">
      <c r="B567" s="42">
        <f>IF($L567="","",$M567)</f>
        <v/>
      </c>
      <c r="C567" s="22">
        <f>IF($L567="","",INDEX(HSCEI!$C$7:$C$66,$N567))</f>
        <v/>
      </c>
      <c r="D567" s="22">
        <f>IF($L567="","",INDEX(HSCEI!$D$7:$D$66,$N567))</f>
        <v/>
      </c>
      <c r="E567" s="43">
        <f>IF($L567="","",IF($P567=0,"TBA",IFERROR(INDEX(Grids!$C$160:$BO$219,$N567,$O567),"-")))</f>
        <v/>
      </c>
      <c r="F567" s="22">
        <f>IF($L567="","",INDEX(HSCEI!$F$7:$F$66,$N567))</f>
        <v/>
      </c>
      <c r="G567" s="43">
        <f>IF($L567="","",IF($P567=0,"TBA",IFERROR(INDEX(Grids!$BQ$160:$EC$219,$N567,$O567),"-")))</f>
        <v/>
      </c>
      <c r="H567" s="44">
        <f>IF($L567="","",SUM($G$442:$G567))</f>
        <v/>
      </c>
      <c r="I567" s="45">
        <f>IF($L567="","",IF(INT(($L567-INT($L567/10000000)*10000000)/1000000)=0,"Bloomberg projection",IF($P567=1,"ANNOUNCED","ANNOUNCED - amount TBA")))</f>
        <v/>
      </c>
      <c r="J567" s="46">
        <f>IF($L567="","",IF((OV_SWITCH="ON")*(COUNTIFS(OVR_TICKERS,INDEX(HSCEI!$C$7:$C$66,$N567),OVR_BASE,"&gt;=0")&gt;0)&gt;0,"stock overridden",""))</f>
        <v/>
      </c>
      <c r="L567" s="39">
        <f>IFERROR(IF(SMALL(Grids!$EE$160:$GQ$219,$M$439+126)&gt;=PEND_TO,"",SMALL(Grids!$EE$160:$GQ$219,$M$439+126)),"")</f>
        <v/>
      </c>
      <c r="M567" s="39">
        <f>IF($L567="","",INT($L567/1000000000))</f>
        <v/>
      </c>
      <c r="N567" s="39">
        <f>IF($L567="","",INT(($L567-INT($L567/1000000)*1000000)/1000))</f>
        <v/>
      </c>
      <c r="O567" s="39">
        <f>IF($L567="","",$L567-INT($L567/1000)*1000)</f>
        <v/>
      </c>
      <c r="P567" s="39">
        <f>IF($L567="","",INT(($L567-INT($L567/1000000000)*1000000000)/100000000))</f>
        <v/>
      </c>
    </row>
    <row r="568">
      <c r="B568" s="42">
        <f>IF($L568="","",$M568)</f>
        <v/>
      </c>
      <c r="C568" s="22">
        <f>IF($L568="","",INDEX(HSCEI!$C$7:$C$66,$N568))</f>
        <v/>
      </c>
      <c r="D568" s="22">
        <f>IF($L568="","",INDEX(HSCEI!$D$7:$D$66,$N568))</f>
        <v/>
      </c>
      <c r="E568" s="43">
        <f>IF($L568="","",IF($P568=0,"TBA",IFERROR(INDEX(Grids!$C$160:$BO$219,$N568,$O568),"-")))</f>
        <v/>
      </c>
      <c r="F568" s="22">
        <f>IF($L568="","",INDEX(HSCEI!$F$7:$F$66,$N568))</f>
        <v/>
      </c>
      <c r="G568" s="43">
        <f>IF($L568="","",IF($P568=0,"TBA",IFERROR(INDEX(Grids!$BQ$160:$EC$219,$N568,$O568),"-")))</f>
        <v/>
      </c>
      <c r="H568" s="44">
        <f>IF($L568="","",SUM($G$442:$G568))</f>
        <v/>
      </c>
      <c r="I568" s="45">
        <f>IF($L568="","",IF(INT(($L568-INT($L568/10000000)*10000000)/1000000)=0,"Bloomberg projection",IF($P568=1,"ANNOUNCED","ANNOUNCED - amount TBA")))</f>
        <v/>
      </c>
      <c r="J568" s="46">
        <f>IF($L568="","",IF((OV_SWITCH="ON")*(COUNTIFS(OVR_TICKERS,INDEX(HSCEI!$C$7:$C$66,$N568),OVR_BASE,"&gt;=0")&gt;0)&gt;0,"stock overridden",""))</f>
        <v/>
      </c>
      <c r="L568" s="39">
        <f>IFERROR(IF(SMALL(Grids!$EE$160:$GQ$219,$M$439+127)&gt;=PEND_TO,"",SMALL(Grids!$EE$160:$GQ$219,$M$439+127)),"")</f>
        <v/>
      </c>
      <c r="M568" s="39">
        <f>IF($L568="","",INT($L568/1000000000))</f>
        <v/>
      </c>
      <c r="N568" s="39">
        <f>IF($L568="","",INT(($L568-INT($L568/1000000)*1000000)/1000))</f>
        <v/>
      </c>
      <c r="O568" s="39">
        <f>IF($L568="","",$L568-INT($L568/1000)*1000)</f>
        <v/>
      </c>
      <c r="P568" s="39">
        <f>IF($L568="","",INT(($L568-INT($L568/1000000000)*1000000000)/100000000))</f>
        <v/>
      </c>
    </row>
    <row r="569">
      <c r="B569" s="42">
        <f>IF($L569="","",$M569)</f>
        <v/>
      </c>
      <c r="C569" s="22">
        <f>IF($L569="","",INDEX(HSCEI!$C$7:$C$66,$N569))</f>
        <v/>
      </c>
      <c r="D569" s="22">
        <f>IF($L569="","",INDEX(HSCEI!$D$7:$D$66,$N569))</f>
        <v/>
      </c>
      <c r="E569" s="43">
        <f>IF($L569="","",IF($P569=0,"TBA",IFERROR(INDEX(Grids!$C$160:$BO$219,$N569,$O569),"-")))</f>
        <v/>
      </c>
      <c r="F569" s="22">
        <f>IF($L569="","",INDEX(HSCEI!$F$7:$F$66,$N569))</f>
        <v/>
      </c>
      <c r="G569" s="43">
        <f>IF($L569="","",IF($P569=0,"TBA",IFERROR(INDEX(Grids!$BQ$160:$EC$219,$N569,$O569),"-")))</f>
        <v/>
      </c>
      <c r="H569" s="44">
        <f>IF($L569="","",SUM($G$442:$G569))</f>
        <v/>
      </c>
      <c r="I569" s="45">
        <f>IF($L569="","",IF(INT(($L569-INT($L569/10000000)*10000000)/1000000)=0,"Bloomberg projection",IF($P569=1,"ANNOUNCED","ANNOUNCED - amount TBA")))</f>
        <v/>
      </c>
      <c r="J569" s="46">
        <f>IF($L569="","",IF((OV_SWITCH="ON")*(COUNTIFS(OVR_TICKERS,INDEX(HSCEI!$C$7:$C$66,$N569),OVR_BASE,"&gt;=0")&gt;0)&gt;0,"stock overridden",""))</f>
        <v/>
      </c>
      <c r="L569" s="39">
        <f>IFERROR(IF(SMALL(Grids!$EE$160:$GQ$219,$M$439+128)&gt;=PEND_TO,"",SMALL(Grids!$EE$160:$GQ$219,$M$439+128)),"")</f>
        <v/>
      </c>
      <c r="M569" s="39">
        <f>IF($L569="","",INT($L569/1000000000))</f>
        <v/>
      </c>
      <c r="N569" s="39">
        <f>IF($L569="","",INT(($L569-INT($L569/1000000)*1000000)/1000))</f>
        <v/>
      </c>
      <c r="O569" s="39">
        <f>IF($L569="","",$L569-INT($L569/1000)*1000)</f>
        <v/>
      </c>
      <c r="P569" s="39">
        <f>IF($L569="","",INT(($L569-INT($L569/1000000000)*1000000000)/100000000))</f>
        <v/>
      </c>
    </row>
    <row r="570">
      <c r="B570" s="42">
        <f>IF($L570="","",$M570)</f>
        <v/>
      </c>
      <c r="C570" s="22">
        <f>IF($L570="","",INDEX(HSCEI!$C$7:$C$66,$N570))</f>
        <v/>
      </c>
      <c r="D570" s="22">
        <f>IF($L570="","",INDEX(HSCEI!$D$7:$D$66,$N570))</f>
        <v/>
      </c>
      <c r="E570" s="43">
        <f>IF($L570="","",IF($P570=0,"TBA",IFERROR(INDEX(Grids!$C$160:$BO$219,$N570,$O570),"-")))</f>
        <v/>
      </c>
      <c r="F570" s="22">
        <f>IF($L570="","",INDEX(HSCEI!$F$7:$F$66,$N570))</f>
        <v/>
      </c>
      <c r="G570" s="43">
        <f>IF($L570="","",IF($P570=0,"TBA",IFERROR(INDEX(Grids!$BQ$160:$EC$219,$N570,$O570),"-")))</f>
        <v/>
      </c>
      <c r="H570" s="44">
        <f>IF($L570="","",SUM($G$442:$G570))</f>
        <v/>
      </c>
      <c r="I570" s="45">
        <f>IF($L570="","",IF(INT(($L570-INT($L570/10000000)*10000000)/1000000)=0,"Bloomberg projection",IF($P570=1,"ANNOUNCED","ANNOUNCED - amount TBA")))</f>
        <v/>
      </c>
      <c r="J570" s="46">
        <f>IF($L570="","",IF((OV_SWITCH="ON")*(COUNTIFS(OVR_TICKERS,INDEX(HSCEI!$C$7:$C$66,$N570),OVR_BASE,"&gt;=0")&gt;0)&gt;0,"stock overridden",""))</f>
        <v/>
      </c>
      <c r="L570" s="39">
        <f>IFERROR(IF(SMALL(Grids!$EE$160:$GQ$219,$M$439+129)&gt;=PEND_TO,"",SMALL(Grids!$EE$160:$GQ$219,$M$439+129)),"")</f>
        <v/>
      </c>
      <c r="M570" s="39">
        <f>IF($L570="","",INT($L570/1000000000))</f>
        <v/>
      </c>
      <c r="N570" s="39">
        <f>IF($L570="","",INT(($L570-INT($L570/1000000)*1000000)/1000))</f>
        <v/>
      </c>
      <c r="O570" s="39">
        <f>IF($L570="","",$L570-INT($L570/1000)*1000)</f>
        <v/>
      </c>
      <c r="P570" s="39">
        <f>IF($L570="","",INT(($L570-INT($L570/1000000000)*1000000000)/100000000))</f>
        <v/>
      </c>
    </row>
    <row r="571">
      <c r="B571" s="42">
        <f>IF($L571="","",$M571)</f>
        <v/>
      </c>
      <c r="C571" s="22">
        <f>IF($L571="","",INDEX(HSCEI!$C$7:$C$66,$N571))</f>
        <v/>
      </c>
      <c r="D571" s="22">
        <f>IF($L571="","",INDEX(HSCEI!$D$7:$D$66,$N571))</f>
        <v/>
      </c>
      <c r="E571" s="43">
        <f>IF($L571="","",IF($P571=0,"TBA",IFERROR(INDEX(Grids!$C$160:$BO$219,$N571,$O571),"-")))</f>
        <v/>
      </c>
      <c r="F571" s="22">
        <f>IF($L571="","",INDEX(HSCEI!$F$7:$F$66,$N571))</f>
        <v/>
      </c>
      <c r="G571" s="43">
        <f>IF($L571="","",IF($P571=0,"TBA",IFERROR(INDEX(Grids!$BQ$160:$EC$219,$N571,$O571),"-")))</f>
        <v/>
      </c>
      <c r="H571" s="44">
        <f>IF($L571="","",SUM($G$442:$G571))</f>
        <v/>
      </c>
      <c r="I571" s="45">
        <f>IF($L571="","",IF(INT(($L571-INT($L571/10000000)*10000000)/1000000)=0,"Bloomberg projection",IF($P571=1,"ANNOUNCED","ANNOUNCED - amount TBA")))</f>
        <v/>
      </c>
      <c r="J571" s="46">
        <f>IF($L571="","",IF((OV_SWITCH="ON")*(COUNTIFS(OVR_TICKERS,INDEX(HSCEI!$C$7:$C$66,$N571),OVR_BASE,"&gt;=0")&gt;0)&gt;0,"stock overridden",""))</f>
        <v/>
      </c>
      <c r="L571" s="39">
        <f>IFERROR(IF(SMALL(Grids!$EE$160:$GQ$219,$M$439+130)&gt;=PEND_TO,"",SMALL(Grids!$EE$160:$GQ$219,$M$439+130)),"")</f>
        <v/>
      </c>
      <c r="M571" s="39">
        <f>IF($L571="","",INT($L571/1000000000))</f>
        <v/>
      </c>
      <c r="N571" s="39">
        <f>IF($L571="","",INT(($L571-INT($L571/1000000)*1000000)/1000))</f>
        <v/>
      </c>
      <c r="O571" s="39">
        <f>IF($L571="","",$L571-INT($L571/1000)*1000)</f>
        <v/>
      </c>
      <c r="P571" s="39">
        <f>IF($L571="","",INT(($L571-INT($L571/1000000000)*1000000000)/100000000))</f>
        <v/>
      </c>
    </row>
    <row r="572">
      <c r="B572" s="42">
        <f>IF($L572="","",$M572)</f>
        <v/>
      </c>
      <c r="C572" s="22">
        <f>IF($L572="","",INDEX(HSCEI!$C$7:$C$66,$N572))</f>
        <v/>
      </c>
      <c r="D572" s="22">
        <f>IF($L572="","",INDEX(HSCEI!$D$7:$D$66,$N572))</f>
        <v/>
      </c>
      <c r="E572" s="43">
        <f>IF($L572="","",IF($P572=0,"TBA",IFERROR(INDEX(Grids!$C$160:$BO$219,$N572,$O572),"-")))</f>
        <v/>
      </c>
      <c r="F572" s="22">
        <f>IF($L572="","",INDEX(HSCEI!$F$7:$F$66,$N572))</f>
        <v/>
      </c>
      <c r="G572" s="43">
        <f>IF($L572="","",IF($P572=0,"TBA",IFERROR(INDEX(Grids!$BQ$160:$EC$219,$N572,$O572),"-")))</f>
        <v/>
      </c>
      <c r="H572" s="44">
        <f>IF($L572="","",SUM($G$442:$G572))</f>
        <v/>
      </c>
      <c r="I572" s="45">
        <f>IF($L572="","",IF(INT(($L572-INT($L572/10000000)*10000000)/1000000)=0,"Bloomberg projection",IF($P572=1,"ANNOUNCED","ANNOUNCED - amount TBA")))</f>
        <v/>
      </c>
      <c r="J572" s="46">
        <f>IF($L572="","",IF((OV_SWITCH="ON")*(COUNTIFS(OVR_TICKERS,INDEX(HSCEI!$C$7:$C$66,$N572),OVR_BASE,"&gt;=0")&gt;0)&gt;0,"stock overridden",""))</f>
        <v/>
      </c>
      <c r="L572" s="39">
        <f>IFERROR(IF(SMALL(Grids!$EE$160:$GQ$219,$M$439+131)&gt;=PEND_TO,"",SMALL(Grids!$EE$160:$GQ$219,$M$439+131)),"")</f>
        <v/>
      </c>
      <c r="M572" s="39">
        <f>IF($L572="","",INT($L572/1000000000))</f>
        <v/>
      </c>
      <c r="N572" s="39">
        <f>IF($L572="","",INT(($L572-INT($L572/1000000)*1000000)/1000))</f>
        <v/>
      </c>
      <c r="O572" s="39">
        <f>IF($L572="","",$L572-INT($L572/1000)*1000)</f>
        <v/>
      </c>
      <c r="P572" s="39">
        <f>IF($L572="","",INT(($L572-INT($L572/1000000000)*1000000000)/100000000))</f>
        <v/>
      </c>
    </row>
    <row r="573">
      <c r="B573" s="42">
        <f>IF($L573="","",$M573)</f>
        <v/>
      </c>
      <c r="C573" s="22">
        <f>IF($L573="","",INDEX(HSCEI!$C$7:$C$66,$N573))</f>
        <v/>
      </c>
      <c r="D573" s="22">
        <f>IF($L573="","",INDEX(HSCEI!$D$7:$D$66,$N573))</f>
        <v/>
      </c>
      <c r="E573" s="43">
        <f>IF($L573="","",IF($P573=0,"TBA",IFERROR(INDEX(Grids!$C$160:$BO$219,$N573,$O573),"-")))</f>
        <v/>
      </c>
      <c r="F573" s="22">
        <f>IF($L573="","",INDEX(HSCEI!$F$7:$F$66,$N573))</f>
        <v/>
      </c>
      <c r="G573" s="43">
        <f>IF($L573="","",IF($P573=0,"TBA",IFERROR(INDEX(Grids!$BQ$160:$EC$219,$N573,$O573),"-")))</f>
        <v/>
      </c>
      <c r="H573" s="44">
        <f>IF($L573="","",SUM($G$442:$G573))</f>
        <v/>
      </c>
      <c r="I573" s="45">
        <f>IF($L573="","",IF(INT(($L573-INT($L573/10000000)*10000000)/1000000)=0,"Bloomberg projection",IF($P573=1,"ANNOUNCED","ANNOUNCED - amount TBA")))</f>
        <v/>
      </c>
      <c r="J573" s="46">
        <f>IF($L573="","",IF((OV_SWITCH="ON")*(COUNTIFS(OVR_TICKERS,INDEX(HSCEI!$C$7:$C$66,$N573),OVR_BASE,"&gt;=0")&gt;0)&gt;0,"stock overridden",""))</f>
        <v/>
      </c>
      <c r="L573" s="39">
        <f>IFERROR(IF(SMALL(Grids!$EE$160:$GQ$219,$M$439+132)&gt;=PEND_TO,"",SMALL(Grids!$EE$160:$GQ$219,$M$439+132)),"")</f>
        <v/>
      </c>
      <c r="M573" s="39">
        <f>IF($L573="","",INT($L573/1000000000))</f>
        <v/>
      </c>
      <c r="N573" s="39">
        <f>IF($L573="","",INT(($L573-INT($L573/1000000)*1000000)/1000))</f>
        <v/>
      </c>
      <c r="O573" s="39">
        <f>IF($L573="","",$L573-INT($L573/1000)*1000)</f>
        <v/>
      </c>
      <c r="P573" s="39">
        <f>IF($L573="","",INT(($L573-INT($L573/1000000000)*1000000000)/100000000))</f>
        <v/>
      </c>
    </row>
    <row r="574">
      <c r="B574" s="42">
        <f>IF($L574="","",$M574)</f>
        <v/>
      </c>
      <c r="C574" s="22">
        <f>IF($L574="","",INDEX(HSCEI!$C$7:$C$66,$N574))</f>
        <v/>
      </c>
      <c r="D574" s="22">
        <f>IF($L574="","",INDEX(HSCEI!$D$7:$D$66,$N574))</f>
        <v/>
      </c>
      <c r="E574" s="43">
        <f>IF($L574="","",IF($P574=0,"TBA",IFERROR(INDEX(Grids!$C$160:$BO$219,$N574,$O574),"-")))</f>
        <v/>
      </c>
      <c r="F574" s="22">
        <f>IF($L574="","",INDEX(HSCEI!$F$7:$F$66,$N574))</f>
        <v/>
      </c>
      <c r="G574" s="43">
        <f>IF($L574="","",IF($P574=0,"TBA",IFERROR(INDEX(Grids!$BQ$160:$EC$219,$N574,$O574),"-")))</f>
        <v/>
      </c>
      <c r="H574" s="44">
        <f>IF($L574="","",SUM($G$442:$G574))</f>
        <v/>
      </c>
      <c r="I574" s="45">
        <f>IF($L574="","",IF(INT(($L574-INT($L574/10000000)*10000000)/1000000)=0,"Bloomberg projection",IF($P574=1,"ANNOUNCED","ANNOUNCED - amount TBA")))</f>
        <v/>
      </c>
      <c r="J574" s="46">
        <f>IF($L574="","",IF((OV_SWITCH="ON")*(COUNTIFS(OVR_TICKERS,INDEX(HSCEI!$C$7:$C$66,$N574),OVR_BASE,"&gt;=0")&gt;0)&gt;0,"stock overridden",""))</f>
        <v/>
      </c>
      <c r="L574" s="39">
        <f>IFERROR(IF(SMALL(Grids!$EE$160:$GQ$219,$M$439+133)&gt;=PEND_TO,"",SMALL(Grids!$EE$160:$GQ$219,$M$439+133)),"")</f>
        <v/>
      </c>
      <c r="M574" s="39">
        <f>IF($L574="","",INT($L574/1000000000))</f>
        <v/>
      </c>
      <c r="N574" s="39">
        <f>IF($L574="","",INT(($L574-INT($L574/1000000)*1000000)/1000))</f>
        <v/>
      </c>
      <c r="O574" s="39">
        <f>IF($L574="","",$L574-INT($L574/1000)*1000)</f>
        <v/>
      </c>
      <c r="P574" s="39">
        <f>IF($L574="","",INT(($L574-INT($L574/1000000000)*1000000000)/100000000))</f>
        <v/>
      </c>
    </row>
    <row r="575">
      <c r="B575" s="42">
        <f>IF($L575="","",$M575)</f>
        <v/>
      </c>
      <c r="C575" s="22">
        <f>IF($L575="","",INDEX(HSCEI!$C$7:$C$66,$N575))</f>
        <v/>
      </c>
      <c r="D575" s="22">
        <f>IF($L575="","",INDEX(HSCEI!$D$7:$D$66,$N575))</f>
        <v/>
      </c>
      <c r="E575" s="43">
        <f>IF($L575="","",IF($P575=0,"TBA",IFERROR(INDEX(Grids!$C$160:$BO$219,$N575,$O575),"-")))</f>
        <v/>
      </c>
      <c r="F575" s="22">
        <f>IF($L575="","",INDEX(HSCEI!$F$7:$F$66,$N575))</f>
        <v/>
      </c>
      <c r="G575" s="43">
        <f>IF($L575="","",IF($P575=0,"TBA",IFERROR(INDEX(Grids!$BQ$160:$EC$219,$N575,$O575),"-")))</f>
        <v/>
      </c>
      <c r="H575" s="44">
        <f>IF($L575="","",SUM($G$442:$G575))</f>
        <v/>
      </c>
      <c r="I575" s="45">
        <f>IF($L575="","",IF(INT(($L575-INT($L575/10000000)*10000000)/1000000)=0,"Bloomberg projection",IF($P575=1,"ANNOUNCED","ANNOUNCED - amount TBA")))</f>
        <v/>
      </c>
      <c r="J575" s="46">
        <f>IF($L575="","",IF((OV_SWITCH="ON")*(COUNTIFS(OVR_TICKERS,INDEX(HSCEI!$C$7:$C$66,$N575),OVR_BASE,"&gt;=0")&gt;0)&gt;0,"stock overridden",""))</f>
        <v/>
      </c>
      <c r="L575" s="39">
        <f>IFERROR(IF(SMALL(Grids!$EE$160:$GQ$219,$M$439+134)&gt;=PEND_TO,"",SMALL(Grids!$EE$160:$GQ$219,$M$439+134)),"")</f>
        <v/>
      </c>
      <c r="M575" s="39">
        <f>IF($L575="","",INT($L575/1000000000))</f>
        <v/>
      </c>
      <c r="N575" s="39">
        <f>IF($L575="","",INT(($L575-INT($L575/1000000)*1000000)/1000))</f>
        <v/>
      </c>
      <c r="O575" s="39">
        <f>IF($L575="","",$L575-INT($L575/1000)*1000)</f>
        <v/>
      </c>
      <c r="P575" s="39">
        <f>IF($L575="","",INT(($L575-INT($L575/1000000000)*1000000000)/100000000))</f>
        <v/>
      </c>
    </row>
    <row r="576">
      <c r="B576" s="42">
        <f>IF($L576="","",$M576)</f>
        <v/>
      </c>
      <c r="C576" s="22">
        <f>IF($L576="","",INDEX(HSCEI!$C$7:$C$66,$N576))</f>
        <v/>
      </c>
      <c r="D576" s="22">
        <f>IF($L576="","",INDEX(HSCEI!$D$7:$D$66,$N576))</f>
        <v/>
      </c>
      <c r="E576" s="43">
        <f>IF($L576="","",IF($P576=0,"TBA",IFERROR(INDEX(Grids!$C$160:$BO$219,$N576,$O576),"-")))</f>
        <v/>
      </c>
      <c r="F576" s="22">
        <f>IF($L576="","",INDEX(HSCEI!$F$7:$F$66,$N576))</f>
        <v/>
      </c>
      <c r="G576" s="43">
        <f>IF($L576="","",IF($P576=0,"TBA",IFERROR(INDEX(Grids!$BQ$160:$EC$219,$N576,$O576),"-")))</f>
        <v/>
      </c>
      <c r="H576" s="44">
        <f>IF($L576="","",SUM($G$442:$G576))</f>
        <v/>
      </c>
      <c r="I576" s="45">
        <f>IF($L576="","",IF(INT(($L576-INT($L576/10000000)*10000000)/1000000)=0,"Bloomberg projection",IF($P576=1,"ANNOUNCED","ANNOUNCED - amount TBA")))</f>
        <v/>
      </c>
      <c r="J576" s="46">
        <f>IF($L576="","",IF((OV_SWITCH="ON")*(COUNTIFS(OVR_TICKERS,INDEX(HSCEI!$C$7:$C$66,$N576),OVR_BASE,"&gt;=0")&gt;0)&gt;0,"stock overridden",""))</f>
        <v/>
      </c>
      <c r="L576" s="39">
        <f>IFERROR(IF(SMALL(Grids!$EE$160:$GQ$219,$M$439+135)&gt;=PEND_TO,"",SMALL(Grids!$EE$160:$GQ$219,$M$439+135)),"")</f>
        <v/>
      </c>
      <c r="M576" s="39">
        <f>IF($L576="","",INT($L576/1000000000))</f>
        <v/>
      </c>
      <c r="N576" s="39">
        <f>IF($L576="","",INT(($L576-INT($L576/1000000)*1000000)/1000))</f>
        <v/>
      </c>
      <c r="O576" s="39">
        <f>IF($L576="","",$L576-INT($L576/1000)*1000)</f>
        <v/>
      </c>
      <c r="P576" s="39">
        <f>IF($L576="","",INT(($L576-INT($L576/1000000000)*1000000000)/100000000))</f>
        <v/>
      </c>
    </row>
    <row r="577">
      <c r="B577" s="42">
        <f>IF($L577="","",$M577)</f>
        <v/>
      </c>
      <c r="C577" s="22">
        <f>IF($L577="","",INDEX(HSCEI!$C$7:$C$66,$N577))</f>
        <v/>
      </c>
      <c r="D577" s="22">
        <f>IF($L577="","",INDEX(HSCEI!$D$7:$D$66,$N577))</f>
        <v/>
      </c>
      <c r="E577" s="43">
        <f>IF($L577="","",IF($P577=0,"TBA",IFERROR(INDEX(Grids!$C$160:$BO$219,$N577,$O577),"-")))</f>
        <v/>
      </c>
      <c r="F577" s="22">
        <f>IF($L577="","",INDEX(HSCEI!$F$7:$F$66,$N577))</f>
        <v/>
      </c>
      <c r="G577" s="43">
        <f>IF($L577="","",IF($P577=0,"TBA",IFERROR(INDEX(Grids!$BQ$160:$EC$219,$N577,$O577),"-")))</f>
        <v/>
      </c>
      <c r="H577" s="44">
        <f>IF($L577="","",SUM($G$442:$G577))</f>
        <v/>
      </c>
      <c r="I577" s="45">
        <f>IF($L577="","",IF(INT(($L577-INT($L577/10000000)*10000000)/1000000)=0,"Bloomberg projection",IF($P577=1,"ANNOUNCED","ANNOUNCED - amount TBA")))</f>
        <v/>
      </c>
      <c r="J577" s="46">
        <f>IF($L577="","",IF((OV_SWITCH="ON")*(COUNTIFS(OVR_TICKERS,INDEX(HSCEI!$C$7:$C$66,$N577),OVR_BASE,"&gt;=0")&gt;0)&gt;0,"stock overridden",""))</f>
        <v/>
      </c>
      <c r="L577" s="39">
        <f>IFERROR(IF(SMALL(Grids!$EE$160:$GQ$219,$M$439+136)&gt;=PEND_TO,"",SMALL(Grids!$EE$160:$GQ$219,$M$439+136)),"")</f>
        <v/>
      </c>
      <c r="M577" s="39">
        <f>IF($L577="","",INT($L577/1000000000))</f>
        <v/>
      </c>
      <c r="N577" s="39">
        <f>IF($L577="","",INT(($L577-INT($L577/1000000)*1000000)/1000))</f>
        <v/>
      </c>
      <c r="O577" s="39">
        <f>IF($L577="","",$L577-INT($L577/1000)*1000)</f>
        <v/>
      </c>
      <c r="P577" s="39">
        <f>IF($L577="","",INT(($L577-INT($L577/1000000000)*1000000000)/100000000))</f>
        <v/>
      </c>
    </row>
    <row r="578">
      <c r="B578" s="42">
        <f>IF($L578="","",$M578)</f>
        <v/>
      </c>
      <c r="C578" s="22">
        <f>IF($L578="","",INDEX(HSCEI!$C$7:$C$66,$N578))</f>
        <v/>
      </c>
      <c r="D578" s="22">
        <f>IF($L578="","",INDEX(HSCEI!$D$7:$D$66,$N578))</f>
        <v/>
      </c>
      <c r="E578" s="43">
        <f>IF($L578="","",IF($P578=0,"TBA",IFERROR(INDEX(Grids!$C$160:$BO$219,$N578,$O578),"-")))</f>
        <v/>
      </c>
      <c r="F578" s="22">
        <f>IF($L578="","",INDEX(HSCEI!$F$7:$F$66,$N578))</f>
        <v/>
      </c>
      <c r="G578" s="43">
        <f>IF($L578="","",IF($P578=0,"TBA",IFERROR(INDEX(Grids!$BQ$160:$EC$219,$N578,$O578),"-")))</f>
        <v/>
      </c>
      <c r="H578" s="44">
        <f>IF($L578="","",SUM($G$442:$G578))</f>
        <v/>
      </c>
      <c r="I578" s="45">
        <f>IF($L578="","",IF(INT(($L578-INT($L578/10000000)*10000000)/1000000)=0,"Bloomberg projection",IF($P578=1,"ANNOUNCED","ANNOUNCED - amount TBA")))</f>
        <v/>
      </c>
      <c r="J578" s="46">
        <f>IF($L578="","",IF((OV_SWITCH="ON")*(COUNTIFS(OVR_TICKERS,INDEX(HSCEI!$C$7:$C$66,$N578),OVR_BASE,"&gt;=0")&gt;0)&gt;0,"stock overridden",""))</f>
        <v/>
      </c>
      <c r="L578" s="39">
        <f>IFERROR(IF(SMALL(Grids!$EE$160:$GQ$219,$M$439+137)&gt;=PEND_TO,"",SMALL(Grids!$EE$160:$GQ$219,$M$439+137)),"")</f>
        <v/>
      </c>
      <c r="M578" s="39">
        <f>IF($L578="","",INT($L578/1000000000))</f>
        <v/>
      </c>
      <c r="N578" s="39">
        <f>IF($L578="","",INT(($L578-INT($L578/1000000)*1000000)/1000))</f>
        <v/>
      </c>
      <c r="O578" s="39">
        <f>IF($L578="","",$L578-INT($L578/1000)*1000)</f>
        <v/>
      </c>
      <c r="P578" s="39">
        <f>IF($L578="","",INT(($L578-INT($L578/1000000000)*1000000000)/100000000))</f>
        <v/>
      </c>
    </row>
    <row r="579">
      <c r="B579" s="42">
        <f>IF($L579="","",$M579)</f>
        <v/>
      </c>
      <c r="C579" s="22">
        <f>IF($L579="","",INDEX(HSCEI!$C$7:$C$66,$N579))</f>
        <v/>
      </c>
      <c r="D579" s="22">
        <f>IF($L579="","",INDEX(HSCEI!$D$7:$D$66,$N579))</f>
        <v/>
      </c>
      <c r="E579" s="43">
        <f>IF($L579="","",IF($P579=0,"TBA",IFERROR(INDEX(Grids!$C$160:$BO$219,$N579,$O579),"-")))</f>
        <v/>
      </c>
      <c r="F579" s="22">
        <f>IF($L579="","",INDEX(HSCEI!$F$7:$F$66,$N579))</f>
        <v/>
      </c>
      <c r="G579" s="43">
        <f>IF($L579="","",IF($P579=0,"TBA",IFERROR(INDEX(Grids!$BQ$160:$EC$219,$N579,$O579),"-")))</f>
        <v/>
      </c>
      <c r="H579" s="44">
        <f>IF($L579="","",SUM($G$442:$G579))</f>
        <v/>
      </c>
      <c r="I579" s="45">
        <f>IF($L579="","",IF(INT(($L579-INT($L579/10000000)*10000000)/1000000)=0,"Bloomberg projection",IF($P579=1,"ANNOUNCED","ANNOUNCED - amount TBA")))</f>
        <v/>
      </c>
      <c r="J579" s="46">
        <f>IF($L579="","",IF((OV_SWITCH="ON")*(COUNTIFS(OVR_TICKERS,INDEX(HSCEI!$C$7:$C$66,$N579),OVR_BASE,"&gt;=0")&gt;0)&gt;0,"stock overridden",""))</f>
        <v/>
      </c>
      <c r="L579" s="39">
        <f>IFERROR(IF(SMALL(Grids!$EE$160:$GQ$219,$M$439+138)&gt;=PEND_TO,"",SMALL(Grids!$EE$160:$GQ$219,$M$439+138)),"")</f>
        <v/>
      </c>
      <c r="M579" s="39">
        <f>IF($L579="","",INT($L579/1000000000))</f>
        <v/>
      </c>
      <c r="N579" s="39">
        <f>IF($L579="","",INT(($L579-INT($L579/1000000)*1000000)/1000))</f>
        <v/>
      </c>
      <c r="O579" s="39">
        <f>IF($L579="","",$L579-INT($L579/1000)*1000)</f>
        <v/>
      </c>
      <c r="P579" s="39">
        <f>IF($L579="","",INT(($L579-INT($L579/1000000000)*1000000000)/100000000))</f>
        <v/>
      </c>
    </row>
    <row r="580">
      <c r="B580" s="42">
        <f>IF($L580="","",$M580)</f>
        <v/>
      </c>
      <c r="C580" s="22">
        <f>IF($L580="","",INDEX(HSCEI!$C$7:$C$66,$N580))</f>
        <v/>
      </c>
      <c r="D580" s="22">
        <f>IF($L580="","",INDEX(HSCEI!$D$7:$D$66,$N580))</f>
        <v/>
      </c>
      <c r="E580" s="43">
        <f>IF($L580="","",IF($P580=0,"TBA",IFERROR(INDEX(Grids!$C$160:$BO$219,$N580,$O580),"-")))</f>
        <v/>
      </c>
      <c r="F580" s="22">
        <f>IF($L580="","",INDEX(HSCEI!$F$7:$F$66,$N580))</f>
        <v/>
      </c>
      <c r="G580" s="43">
        <f>IF($L580="","",IF($P580=0,"TBA",IFERROR(INDEX(Grids!$BQ$160:$EC$219,$N580,$O580),"-")))</f>
        <v/>
      </c>
      <c r="H580" s="44">
        <f>IF($L580="","",SUM($G$442:$G580))</f>
        <v/>
      </c>
      <c r="I580" s="45">
        <f>IF($L580="","",IF(INT(($L580-INT($L580/10000000)*10000000)/1000000)=0,"Bloomberg projection",IF($P580=1,"ANNOUNCED","ANNOUNCED - amount TBA")))</f>
        <v/>
      </c>
      <c r="J580" s="46">
        <f>IF($L580="","",IF((OV_SWITCH="ON")*(COUNTIFS(OVR_TICKERS,INDEX(HSCEI!$C$7:$C$66,$N580),OVR_BASE,"&gt;=0")&gt;0)&gt;0,"stock overridden",""))</f>
        <v/>
      </c>
      <c r="L580" s="39">
        <f>IFERROR(IF(SMALL(Grids!$EE$160:$GQ$219,$M$439+139)&gt;=PEND_TO,"",SMALL(Grids!$EE$160:$GQ$219,$M$439+139)),"")</f>
        <v/>
      </c>
      <c r="M580" s="39">
        <f>IF($L580="","",INT($L580/1000000000))</f>
        <v/>
      </c>
      <c r="N580" s="39">
        <f>IF($L580="","",INT(($L580-INT($L580/1000000)*1000000)/1000))</f>
        <v/>
      </c>
      <c r="O580" s="39">
        <f>IF($L580="","",$L580-INT($L580/1000)*1000)</f>
        <v/>
      </c>
      <c r="P580" s="39">
        <f>IF($L580="","",INT(($L580-INT($L580/1000000000)*1000000000)/100000000))</f>
        <v/>
      </c>
    </row>
    <row r="581">
      <c r="B581" s="42">
        <f>IF($L581="","",$M581)</f>
        <v/>
      </c>
      <c r="C581" s="22">
        <f>IF($L581="","",INDEX(HSCEI!$C$7:$C$66,$N581))</f>
        <v/>
      </c>
      <c r="D581" s="22">
        <f>IF($L581="","",INDEX(HSCEI!$D$7:$D$66,$N581))</f>
        <v/>
      </c>
      <c r="E581" s="43">
        <f>IF($L581="","",IF($P581=0,"TBA",IFERROR(INDEX(Grids!$C$160:$BO$219,$N581,$O581),"-")))</f>
        <v/>
      </c>
      <c r="F581" s="22">
        <f>IF($L581="","",INDEX(HSCEI!$F$7:$F$66,$N581))</f>
        <v/>
      </c>
      <c r="G581" s="43">
        <f>IF($L581="","",IF($P581=0,"TBA",IFERROR(INDEX(Grids!$BQ$160:$EC$219,$N581,$O581),"-")))</f>
        <v/>
      </c>
      <c r="H581" s="44">
        <f>IF($L581="","",SUM($G$442:$G581))</f>
        <v/>
      </c>
      <c r="I581" s="45">
        <f>IF($L581="","",IF(INT(($L581-INT($L581/10000000)*10000000)/1000000)=0,"Bloomberg projection",IF($P581=1,"ANNOUNCED","ANNOUNCED - amount TBA")))</f>
        <v/>
      </c>
      <c r="J581" s="46">
        <f>IF($L581="","",IF((OV_SWITCH="ON")*(COUNTIFS(OVR_TICKERS,INDEX(HSCEI!$C$7:$C$66,$N581),OVR_BASE,"&gt;=0")&gt;0)&gt;0,"stock overridden",""))</f>
        <v/>
      </c>
      <c r="L581" s="39">
        <f>IFERROR(IF(SMALL(Grids!$EE$160:$GQ$219,$M$439+140)&gt;=PEND_TO,"",SMALL(Grids!$EE$160:$GQ$219,$M$439+140)),"")</f>
        <v/>
      </c>
      <c r="M581" s="39">
        <f>IF($L581="","",INT($L581/1000000000))</f>
        <v/>
      </c>
      <c r="N581" s="39">
        <f>IF($L581="","",INT(($L581-INT($L581/1000000)*1000000)/1000))</f>
        <v/>
      </c>
      <c r="O581" s="39">
        <f>IF($L581="","",$L581-INT($L581/1000)*1000)</f>
        <v/>
      </c>
      <c r="P581" s="39">
        <f>IF($L581="","",INT(($L581-INT($L581/1000000000)*1000000000)/100000000))</f>
        <v/>
      </c>
    </row>
    <row r="582">
      <c r="B582" s="42">
        <f>IF($L582="","",$M582)</f>
        <v/>
      </c>
      <c r="C582" s="22">
        <f>IF($L582="","",INDEX(HSCEI!$C$7:$C$66,$N582))</f>
        <v/>
      </c>
      <c r="D582" s="22">
        <f>IF($L582="","",INDEX(HSCEI!$D$7:$D$66,$N582))</f>
        <v/>
      </c>
      <c r="E582" s="43">
        <f>IF($L582="","",IF($P582=0,"TBA",IFERROR(INDEX(Grids!$C$160:$BO$219,$N582,$O582),"-")))</f>
        <v/>
      </c>
      <c r="F582" s="22">
        <f>IF($L582="","",INDEX(HSCEI!$F$7:$F$66,$N582))</f>
        <v/>
      </c>
      <c r="G582" s="43">
        <f>IF($L582="","",IF($P582=0,"TBA",IFERROR(INDEX(Grids!$BQ$160:$EC$219,$N582,$O582),"-")))</f>
        <v/>
      </c>
      <c r="H582" s="44">
        <f>IF($L582="","",SUM($G$442:$G582))</f>
        <v/>
      </c>
      <c r="I582" s="45">
        <f>IF($L582="","",IF(INT(($L582-INT($L582/10000000)*10000000)/1000000)=0,"Bloomberg projection",IF($P582=1,"ANNOUNCED","ANNOUNCED - amount TBA")))</f>
        <v/>
      </c>
      <c r="J582" s="46">
        <f>IF($L582="","",IF((OV_SWITCH="ON")*(COUNTIFS(OVR_TICKERS,INDEX(HSCEI!$C$7:$C$66,$N582),OVR_BASE,"&gt;=0")&gt;0)&gt;0,"stock overridden",""))</f>
        <v/>
      </c>
      <c r="L582" s="39">
        <f>IFERROR(IF(SMALL(Grids!$EE$160:$GQ$219,$M$439+141)&gt;=PEND_TO,"",SMALL(Grids!$EE$160:$GQ$219,$M$439+141)),"")</f>
        <v/>
      </c>
      <c r="M582" s="39">
        <f>IF($L582="","",INT($L582/1000000000))</f>
        <v/>
      </c>
      <c r="N582" s="39">
        <f>IF($L582="","",INT(($L582-INT($L582/1000000)*1000000)/1000))</f>
        <v/>
      </c>
      <c r="O582" s="39">
        <f>IF($L582="","",$L582-INT($L582/1000)*1000)</f>
        <v/>
      </c>
      <c r="P582" s="39">
        <f>IF($L582="","",INT(($L582-INT($L582/1000000000)*1000000000)/100000000))</f>
        <v/>
      </c>
    </row>
    <row r="583">
      <c r="B583" s="42">
        <f>IF($L583="","",$M583)</f>
        <v/>
      </c>
      <c r="C583" s="22">
        <f>IF($L583="","",INDEX(HSCEI!$C$7:$C$66,$N583))</f>
        <v/>
      </c>
      <c r="D583" s="22">
        <f>IF($L583="","",INDEX(HSCEI!$D$7:$D$66,$N583))</f>
        <v/>
      </c>
      <c r="E583" s="43">
        <f>IF($L583="","",IF($P583=0,"TBA",IFERROR(INDEX(Grids!$C$160:$BO$219,$N583,$O583),"-")))</f>
        <v/>
      </c>
      <c r="F583" s="22">
        <f>IF($L583="","",INDEX(HSCEI!$F$7:$F$66,$N583))</f>
        <v/>
      </c>
      <c r="G583" s="43">
        <f>IF($L583="","",IF($P583=0,"TBA",IFERROR(INDEX(Grids!$BQ$160:$EC$219,$N583,$O583),"-")))</f>
        <v/>
      </c>
      <c r="H583" s="44">
        <f>IF($L583="","",SUM($G$442:$G583))</f>
        <v/>
      </c>
      <c r="I583" s="45">
        <f>IF($L583="","",IF(INT(($L583-INT($L583/10000000)*10000000)/1000000)=0,"Bloomberg projection",IF($P583=1,"ANNOUNCED","ANNOUNCED - amount TBA")))</f>
        <v/>
      </c>
      <c r="J583" s="46">
        <f>IF($L583="","",IF((OV_SWITCH="ON")*(COUNTIFS(OVR_TICKERS,INDEX(HSCEI!$C$7:$C$66,$N583),OVR_BASE,"&gt;=0")&gt;0)&gt;0,"stock overridden",""))</f>
        <v/>
      </c>
      <c r="L583" s="39">
        <f>IFERROR(IF(SMALL(Grids!$EE$160:$GQ$219,$M$439+142)&gt;=PEND_TO,"",SMALL(Grids!$EE$160:$GQ$219,$M$439+142)),"")</f>
        <v/>
      </c>
      <c r="M583" s="39">
        <f>IF($L583="","",INT($L583/1000000000))</f>
        <v/>
      </c>
      <c r="N583" s="39">
        <f>IF($L583="","",INT(($L583-INT($L583/1000000)*1000000)/1000))</f>
        <v/>
      </c>
      <c r="O583" s="39">
        <f>IF($L583="","",$L583-INT($L583/1000)*1000)</f>
        <v/>
      </c>
      <c r="P583" s="39">
        <f>IF($L583="","",INT(($L583-INT($L583/1000000000)*1000000000)/100000000))</f>
        <v/>
      </c>
    </row>
    <row r="584">
      <c r="B584" s="42">
        <f>IF($L584="","",$M584)</f>
        <v/>
      </c>
      <c r="C584" s="22">
        <f>IF($L584="","",INDEX(HSCEI!$C$7:$C$66,$N584))</f>
        <v/>
      </c>
      <c r="D584" s="22">
        <f>IF($L584="","",INDEX(HSCEI!$D$7:$D$66,$N584))</f>
        <v/>
      </c>
      <c r="E584" s="43">
        <f>IF($L584="","",IF($P584=0,"TBA",IFERROR(INDEX(Grids!$C$160:$BO$219,$N584,$O584),"-")))</f>
        <v/>
      </c>
      <c r="F584" s="22">
        <f>IF($L584="","",INDEX(HSCEI!$F$7:$F$66,$N584))</f>
        <v/>
      </c>
      <c r="G584" s="43">
        <f>IF($L584="","",IF($P584=0,"TBA",IFERROR(INDEX(Grids!$BQ$160:$EC$219,$N584,$O584),"-")))</f>
        <v/>
      </c>
      <c r="H584" s="44">
        <f>IF($L584="","",SUM($G$442:$G584))</f>
        <v/>
      </c>
      <c r="I584" s="45">
        <f>IF($L584="","",IF(INT(($L584-INT($L584/10000000)*10000000)/1000000)=0,"Bloomberg projection",IF($P584=1,"ANNOUNCED","ANNOUNCED - amount TBA")))</f>
        <v/>
      </c>
      <c r="J584" s="46">
        <f>IF($L584="","",IF((OV_SWITCH="ON")*(COUNTIFS(OVR_TICKERS,INDEX(HSCEI!$C$7:$C$66,$N584),OVR_BASE,"&gt;=0")&gt;0)&gt;0,"stock overridden",""))</f>
        <v/>
      </c>
      <c r="L584" s="39">
        <f>IFERROR(IF(SMALL(Grids!$EE$160:$GQ$219,$M$439+143)&gt;=PEND_TO,"",SMALL(Grids!$EE$160:$GQ$219,$M$439+143)),"")</f>
        <v/>
      </c>
      <c r="M584" s="39">
        <f>IF($L584="","",INT($L584/1000000000))</f>
        <v/>
      </c>
      <c r="N584" s="39">
        <f>IF($L584="","",INT(($L584-INT($L584/1000000)*1000000)/1000))</f>
        <v/>
      </c>
      <c r="O584" s="39">
        <f>IF($L584="","",$L584-INT($L584/1000)*1000)</f>
        <v/>
      </c>
      <c r="P584" s="39">
        <f>IF($L584="","",INT(($L584-INT($L584/1000000000)*1000000000)/100000000))</f>
        <v/>
      </c>
    </row>
    <row r="585">
      <c r="B585" s="42">
        <f>IF($L585="","",$M585)</f>
        <v/>
      </c>
      <c r="C585" s="22">
        <f>IF($L585="","",INDEX(HSCEI!$C$7:$C$66,$N585))</f>
        <v/>
      </c>
      <c r="D585" s="22">
        <f>IF($L585="","",INDEX(HSCEI!$D$7:$D$66,$N585))</f>
        <v/>
      </c>
      <c r="E585" s="43">
        <f>IF($L585="","",IF($P585=0,"TBA",IFERROR(INDEX(Grids!$C$160:$BO$219,$N585,$O585),"-")))</f>
        <v/>
      </c>
      <c r="F585" s="22">
        <f>IF($L585="","",INDEX(HSCEI!$F$7:$F$66,$N585))</f>
        <v/>
      </c>
      <c r="G585" s="43">
        <f>IF($L585="","",IF($P585=0,"TBA",IFERROR(INDEX(Grids!$BQ$160:$EC$219,$N585,$O585),"-")))</f>
        <v/>
      </c>
      <c r="H585" s="44">
        <f>IF($L585="","",SUM($G$442:$G585))</f>
        <v/>
      </c>
      <c r="I585" s="45">
        <f>IF($L585="","",IF(INT(($L585-INT($L585/10000000)*10000000)/1000000)=0,"Bloomberg projection",IF($P585=1,"ANNOUNCED","ANNOUNCED - amount TBA")))</f>
        <v/>
      </c>
      <c r="J585" s="46">
        <f>IF($L585="","",IF((OV_SWITCH="ON")*(COUNTIFS(OVR_TICKERS,INDEX(HSCEI!$C$7:$C$66,$N585),OVR_BASE,"&gt;=0")&gt;0)&gt;0,"stock overridden",""))</f>
        <v/>
      </c>
      <c r="L585" s="39">
        <f>IFERROR(IF(SMALL(Grids!$EE$160:$GQ$219,$M$439+144)&gt;=PEND_TO,"",SMALL(Grids!$EE$160:$GQ$219,$M$439+144)),"")</f>
        <v/>
      </c>
      <c r="M585" s="39">
        <f>IF($L585="","",INT($L585/1000000000))</f>
        <v/>
      </c>
      <c r="N585" s="39">
        <f>IF($L585="","",INT(($L585-INT($L585/1000000)*1000000)/1000))</f>
        <v/>
      </c>
      <c r="O585" s="39">
        <f>IF($L585="","",$L585-INT($L585/1000)*1000)</f>
        <v/>
      </c>
      <c r="P585" s="39">
        <f>IF($L585="","",INT(($L585-INT($L585/1000000000)*1000000000)/100000000))</f>
        <v/>
      </c>
    </row>
    <row r="586">
      <c r="B586" s="42">
        <f>IF($L586="","",$M586)</f>
        <v/>
      </c>
      <c r="C586" s="22">
        <f>IF($L586="","",INDEX(HSCEI!$C$7:$C$66,$N586))</f>
        <v/>
      </c>
      <c r="D586" s="22">
        <f>IF($L586="","",INDEX(HSCEI!$D$7:$D$66,$N586))</f>
        <v/>
      </c>
      <c r="E586" s="43">
        <f>IF($L586="","",IF($P586=0,"TBA",IFERROR(INDEX(Grids!$C$160:$BO$219,$N586,$O586),"-")))</f>
        <v/>
      </c>
      <c r="F586" s="22">
        <f>IF($L586="","",INDEX(HSCEI!$F$7:$F$66,$N586))</f>
        <v/>
      </c>
      <c r="G586" s="43">
        <f>IF($L586="","",IF($P586=0,"TBA",IFERROR(INDEX(Grids!$BQ$160:$EC$219,$N586,$O586),"-")))</f>
        <v/>
      </c>
      <c r="H586" s="44">
        <f>IF($L586="","",SUM($G$442:$G586))</f>
        <v/>
      </c>
      <c r="I586" s="45">
        <f>IF($L586="","",IF(INT(($L586-INT($L586/10000000)*10000000)/1000000)=0,"Bloomberg projection",IF($P586=1,"ANNOUNCED","ANNOUNCED - amount TBA")))</f>
        <v/>
      </c>
      <c r="J586" s="46">
        <f>IF($L586="","",IF((OV_SWITCH="ON")*(COUNTIFS(OVR_TICKERS,INDEX(HSCEI!$C$7:$C$66,$N586),OVR_BASE,"&gt;=0")&gt;0)&gt;0,"stock overridden",""))</f>
        <v/>
      </c>
      <c r="L586" s="39">
        <f>IFERROR(IF(SMALL(Grids!$EE$160:$GQ$219,$M$439+145)&gt;=PEND_TO,"",SMALL(Grids!$EE$160:$GQ$219,$M$439+145)),"")</f>
        <v/>
      </c>
      <c r="M586" s="39">
        <f>IF($L586="","",INT($L586/1000000000))</f>
        <v/>
      </c>
      <c r="N586" s="39">
        <f>IF($L586="","",INT(($L586-INT($L586/1000000)*1000000)/1000))</f>
        <v/>
      </c>
      <c r="O586" s="39">
        <f>IF($L586="","",$L586-INT($L586/1000)*1000)</f>
        <v/>
      </c>
      <c r="P586" s="39">
        <f>IF($L586="","",INT(($L586-INT($L586/1000000000)*1000000000)/100000000))</f>
        <v/>
      </c>
    </row>
    <row r="587">
      <c r="B587" s="42">
        <f>IF($L587="","",$M587)</f>
        <v/>
      </c>
      <c r="C587" s="22">
        <f>IF($L587="","",INDEX(HSCEI!$C$7:$C$66,$N587))</f>
        <v/>
      </c>
      <c r="D587" s="22">
        <f>IF($L587="","",INDEX(HSCEI!$D$7:$D$66,$N587))</f>
        <v/>
      </c>
      <c r="E587" s="43">
        <f>IF($L587="","",IF($P587=0,"TBA",IFERROR(INDEX(Grids!$C$160:$BO$219,$N587,$O587),"-")))</f>
        <v/>
      </c>
      <c r="F587" s="22">
        <f>IF($L587="","",INDEX(HSCEI!$F$7:$F$66,$N587))</f>
        <v/>
      </c>
      <c r="G587" s="43">
        <f>IF($L587="","",IF($P587=0,"TBA",IFERROR(INDEX(Grids!$BQ$160:$EC$219,$N587,$O587),"-")))</f>
        <v/>
      </c>
      <c r="H587" s="44">
        <f>IF($L587="","",SUM($G$442:$G587))</f>
        <v/>
      </c>
      <c r="I587" s="45">
        <f>IF($L587="","",IF(INT(($L587-INT($L587/10000000)*10000000)/1000000)=0,"Bloomberg projection",IF($P587=1,"ANNOUNCED","ANNOUNCED - amount TBA")))</f>
        <v/>
      </c>
      <c r="J587" s="46">
        <f>IF($L587="","",IF((OV_SWITCH="ON")*(COUNTIFS(OVR_TICKERS,INDEX(HSCEI!$C$7:$C$66,$N587),OVR_BASE,"&gt;=0")&gt;0)&gt;0,"stock overridden",""))</f>
        <v/>
      </c>
      <c r="L587" s="39">
        <f>IFERROR(IF(SMALL(Grids!$EE$160:$GQ$219,$M$439+146)&gt;=PEND_TO,"",SMALL(Grids!$EE$160:$GQ$219,$M$439+146)),"")</f>
        <v/>
      </c>
      <c r="M587" s="39">
        <f>IF($L587="","",INT($L587/1000000000))</f>
        <v/>
      </c>
      <c r="N587" s="39">
        <f>IF($L587="","",INT(($L587-INT($L587/1000000)*1000000)/1000))</f>
        <v/>
      </c>
      <c r="O587" s="39">
        <f>IF($L587="","",$L587-INT($L587/1000)*1000)</f>
        <v/>
      </c>
      <c r="P587" s="39">
        <f>IF($L587="","",INT(($L587-INT($L587/1000000000)*1000000000)/100000000))</f>
        <v/>
      </c>
    </row>
    <row r="588">
      <c r="B588" s="42">
        <f>IF($L588="","",$M588)</f>
        <v/>
      </c>
      <c r="C588" s="22">
        <f>IF($L588="","",INDEX(HSCEI!$C$7:$C$66,$N588))</f>
        <v/>
      </c>
      <c r="D588" s="22">
        <f>IF($L588="","",INDEX(HSCEI!$D$7:$D$66,$N588))</f>
        <v/>
      </c>
      <c r="E588" s="43">
        <f>IF($L588="","",IF($P588=0,"TBA",IFERROR(INDEX(Grids!$C$160:$BO$219,$N588,$O588),"-")))</f>
        <v/>
      </c>
      <c r="F588" s="22">
        <f>IF($L588="","",INDEX(HSCEI!$F$7:$F$66,$N588))</f>
        <v/>
      </c>
      <c r="G588" s="43">
        <f>IF($L588="","",IF($P588=0,"TBA",IFERROR(INDEX(Grids!$BQ$160:$EC$219,$N588,$O588),"-")))</f>
        <v/>
      </c>
      <c r="H588" s="44">
        <f>IF($L588="","",SUM($G$442:$G588))</f>
        <v/>
      </c>
      <c r="I588" s="45">
        <f>IF($L588="","",IF(INT(($L588-INT($L588/10000000)*10000000)/1000000)=0,"Bloomberg projection",IF($P588=1,"ANNOUNCED","ANNOUNCED - amount TBA")))</f>
        <v/>
      </c>
      <c r="J588" s="46">
        <f>IF($L588="","",IF((OV_SWITCH="ON")*(COUNTIFS(OVR_TICKERS,INDEX(HSCEI!$C$7:$C$66,$N588),OVR_BASE,"&gt;=0")&gt;0)&gt;0,"stock overridden",""))</f>
        <v/>
      </c>
      <c r="L588" s="39">
        <f>IFERROR(IF(SMALL(Grids!$EE$160:$GQ$219,$M$439+147)&gt;=PEND_TO,"",SMALL(Grids!$EE$160:$GQ$219,$M$439+147)),"")</f>
        <v/>
      </c>
      <c r="M588" s="39">
        <f>IF($L588="","",INT($L588/1000000000))</f>
        <v/>
      </c>
      <c r="N588" s="39">
        <f>IF($L588="","",INT(($L588-INT($L588/1000000)*1000000)/1000))</f>
        <v/>
      </c>
      <c r="O588" s="39">
        <f>IF($L588="","",$L588-INT($L588/1000)*1000)</f>
        <v/>
      </c>
      <c r="P588" s="39">
        <f>IF($L588="","",INT(($L588-INT($L588/1000000000)*1000000000)/100000000))</f>
        <v/>
      </c>
    </row>
    <row r="589">
      <c r="B589" s="42">
        <f>IF($L589="","",$M589)</f>
        <v/>
      </c>
      <c r="C589" s="22">
        <f>IF($L589="","",INDEX(HSCEI!$C$7:$C$66,$N589))</f>
        <v/>
      </c>
      <c r="D589" s="22">
        <f>IF($L589="","",INDEX(HSCEI!$D$7:$D$66,$N589))</f>
        <v/>
      </c>
      <c r="E589" s="43">
        <f>IF($L589="","",IF($P589=0,"TBA",IFERROR(INDEX(Grids!$C$160:$BO$219,$N589,$O589),"-")))</f>
        <v/>
      </c>
      <c r="F589" s="22">
        <f>IF($L589="","",INDEX(HSCEI!$F$7:$F$66,$N589))</f>
        <v/>
      </c>
      <c r="G589" s="43">
        <f>IF($L589="","",IF($P589=0,"TBA",IFERROR(INDEX(Grids!$BQ$160:$EC$219,$N589,$O589),"-")))</f>
        <v/>
      </c>
      <c r="H589" s="44">
        <f>IF($L589="","",SUM($G$442:$G589))</f>
        <v/>
      </c>
      <c r="I589" s="45">
        <f>IF($L589="","",IF(INT(($L589-INT($L589/10000000)*10000000)/1000000)=0,"Bloomberg projection",IF($P589=1,"ANNOUNCED","ANNOUNCED - amount TBA")))</f>
        <v/>
      </c>
      <c r="J589" s="46">
        <f>IF($L589="","",IF((OV_SWITCH="ON")*(COUNTIFS(OVR_TICKERS,INDEX(HSCEI!$C$7:$C$66,$N589),OVR_BASE,"&gt;=0")&gt;0)&gt;0,"stock overridden",""))</f>
        <v/>
      </c>
      <c r="L589" s="39">
        <f>IFERROR(IF(SMALL(Grids!$EE$160:$GQ$219,$M$439+148)&gt;=PEND_TO,"",SMALL(Grids!$EE$160:$GQ$219,$M$439+148)),"")</f>
        <v/>
      </c>
      <c r="M589" s="39">
        <f>IF($L589="","",INT($L589/1000000000))</f>
        <v/>
      </c>
      <c r="N589" s="39">
        <f>IF($L589="","",INT(($L589-INT($L589/1000000)*1000000)/1000))</f>
        <v/>
      </c>
      <c r="O589" s="39">
        <f>IF($L589="","",$L589-INT($L589/1000)*1000)</f>
        <v/>
      </c>
      <c r="P589" s="39">
        <f>IF($L589="","",INT(($L589-INT($L589/1000000000)*1000000000)/100000000))</f>
        <v/>
      </c>
    </row>
    <row r="590">
      <c r="B590" s="42">
        <f>IF($L590="","",$M590)</f>
        <v/>
      </c>
      <c r="C590" s="22">
        <f>IF($L590="","",INDEX(HSCEI!$C$7:$C$66,$N590))</f>
        <v/>
      </c>
      <c r="D590" s="22">
        <f>IF($L590="","",INDEX(HSCEI!$D$7:$D$66,$N590))</f>
        <v/>
      </c>
      <c r="E590" s="43">
        <f>IF($L590="","",IF($P590=0,"TBA",IFERROR(INDEX(Grids!$C$160:$BO$219,$N590,$O590),"-")))</f>
        <v/>
      </c>
      <c r="F590" s="22">
        <f>IF($L590="","",INDEX(HSCEI!$F$7:$F$66,$N590))</f>
        <v/>
      </c>
      <c r="G590" s="43">
        <f>IF($L590="","",IF($P590=0,"TBA",IFERROR(INDEX(Grids!$BQ$160:$EC$219,$N590,$O590),"-")))</f>
        <v/>
      </c>
      <c r="H590" s="44">
        <f>IF($L590="","",SUM($G$442:$G590))</f>
        <v/>
      </c>
      <c r="I590" s="45">
        <f>IF($L590="","",IF(INT(($L590-INT($L590/10000000)*10000000)/1000000)=0,"Bloomberg projection",IF($P590=1,"ANNOUNCED","ANNOUNCED - amount TBA")))</f>
        <v/>
      </c>
      <c r="J590" s="46">
        <f>IF($L590="","",IF((OV_SWITCH="ON")*(COUNTIFS(OVR_TICKERS,INDEX(HSCEI!$C$7:$C$66,$N590),OVR_BASE,"&gt;=0")&gt;0)&gt;0,"stock overridden",""))</f>
        <v/>
      </c>
      <c r="L590" s="39">
        <f>IFERROR(IF(SMALL(Grids!$EE$160:$GQ$219,$M$439+149)&gt;=PEND_TO,"",SMALL(Grids!$EE$160:$GQ$219,$M$439+149)),"")</f>
        <v/>
      </c>
      <c r="M590" s="39">
        <f>IF($L590="","",INT($L590/1000000000))</f>
        <v/>
      </c>
      <c r="N590" s="39">
        <f>IF($L590="","",INT(($L590-INT($L590/1000000)*1000000)/1000))</f>
        <v/>
      </c>
      <c r="O590" s="39">
        <f>IF($L590="","",$L590-INT($L590/1000)*1000)</f>
        <v/>
      </c>
      <c r="P590" s="39">
        <f>IF($L590="","",INT(($L590-INT($L590/1000000000)*1000000000)/100000000))</f>
        <v/>
      </c>
    </row>
    <row r="591">
      <c r="B591" s="42">
        <f>IF($L591="","",$M591)</f>
        <v/>
      </c>
      <c r="C591" s="22">
        <f>IF($L591="","",INDEX(HSCEI!$C$7:$C$66,$N591))</f>
        <v/>
      </c>
      <c r="D591" s="22">
        <f>IF($L591="","",INDEX(HSCEI!$D$7:$D$66,$N591))</f>
        <v/>
      </c>
      <c r="E591" s="43">
        <f>IF($L591="","",IF($P591=0,"TBA",IFERROR(INDEX(Grids!$C$160:$BO$219,$N591,$O591),"-")))</f>
        <v/>
      </c>
      <c r="F591" s="22">
        <f>IF($L591="","",INDEX(HSCEI!$F$7:$F$66,$N591))</f>
        <v/>
      </c>
      <c r="G591" s="43">
        <f>IF($L591="","",IF($P591=0,"TBA",IFERROR(INDEX(Grids!$BQ$160:$EC$219,$N591,$O591),"-")))</f>
        <v/>
      </c>
      <c r="H591" s="44">
        <f>IF($L591="","",SUM($G$442:$G591))</f>
        <v/>
      </c>
      <c r="I591" s="45">
        <f>IF($L591="","",IF(INT(($L591-INT($L591/10000000)*10000000)/1000000)=0,"Bloomberg projection",IF($P591=1,"ANNOUNCED","ANNOUNCED - amount TBA")))</f>
        <v/>
      </c>
      <c r="J591" s="46">
        <f>IF($L591="","",IF((OV_SWITCH="ON")*(COUNTIFS(OVR_TICKERS,INDEX(HSCEI!$C$7:$C$66,$N591),OVR_BASE,"&gt;=0")&gt;0)&gt;0,"stock overridden",""))</f>
        <v/>
      </c>
      <c r="L591" s="39">
        <f>IFERROR(IF(SMALL(Grids!$EE$160:$GQ$219,$M$439+150)&gt;=PEND_TO,"",SMALL(Grids!$EE$160:$GQ$219,$M$439+150)),"")</f>
        <v/>
      </c>
      <c r="M591" s="39">
        <f>IF($L591="","",INT($L591/1000000000))</f>
        <v/>
      </c>
      <c r="N591" s="39">
        <f>IF($L591="","",INT(($L591-INT($L591/1000000)*1000000)/1000))</f>
        <v/>
      </c>
      <c r="O591" s="39">
        <f>IF($L591="","",$L591-INT($L591/1000)*1000)</f>
        <v/>
      </c>
      <c r="P591" s="39">
        <f>IF($L591="","",INT(($L591-INT($L591/1000000000)*1000000000)/100000000))</f>
        <v/>
      </c>
    </row>
    <row r="592">
      <c r="B592" s="42">
        <f>IF($L592="","",$M592)</f>
        <v/>
      </c>
      <c r="C592" s="22">
        <f>IF($L592="","",INDEX(HSCEI!$C$7:$C$66,$N592))</f>
        <v/>
      </c>
      <c r="D592" s="22">
        <f>IF($L592="","",INDEX(HSCEI!$D$7:$D$66,$N592))</f>
        <v/>
      </c>
      <c r="E592" s="43">
        <f>IF($L592="","",IF($P592=0,"TBA",IFERROR(INDEX(Grids!$C$160:$BO$219,$N592,$O592),"-")))</f>
        <v/>
      </c>
      <c r="F592" s="22">
        <f>IF($L592="","",INDEX(HSCEI!$F$7:$F$66,$N592))</f>
        <v/>
      </c>
      <c r="G592" s="43">
        <f>IF($L592="","",IF($P592=0,"TBA",IFERROR(INDEX(Grids!$BQ$160:$EC$219,$N592,$O592),"-")))</f>
        <v/>
      </c>
      <c r="H592" s="44">
        <f>IF($L592="","",SUM($G$442:$G592))</f>
        <v/>
      </c>
      <c r="I592" s="45">
        <f>IF($L592="","",IF(INT(($L592-INT($L592/10000000)*10000000)/1000000)=0,"Bloomberg projection",IF($P592=1,"ANNOUNCED","ANNOUNCED - amount TBA")))</f>
        <v/>
      </c>
      <c r="J592" s="46">
        <f>IF($L592="","",IF((OV_SWITCH="ON")*(COUNTIFS(OVR_TICKERS,INDEX(HSCEI!$C$7:$C$66,$N592),OVR_BASE,"&gt;=0")&gt;0)&gt;0,"stock overridden",""))</f>
        <v/>
      </c>
      <c r="L592" s="39">
        <f>IFERROR(IF(SMALL(Grids!$EE$160:$GQ$219,$M$439+151)&gt;=PEND_TO,"",SMALL(Grids!$EE$160:$GQ$219,$M$439+151)),"")</f>
        <v/>
      </c>
      <c r="M592" s="39">
        <f>IF($L592="","",INT($L592/1000000000))</f>
        <v/>
      </c>
      <c r="N592" s="39">
        <f>IF($L592="","",INT(($L592-INT($L592/1000000)*1000000)/1000))</f>
        <v/>
      </c>
      <c r="O592" s="39">
        <f>IF($L592="","",$L592-INT($L592/1000)*1000)</f>
        <v/>
      </c>
      <c r="P592" s="39">
        <f>IF($L592="","",INT(($L592-INT($L592/1000000000)*1000000000)/100000000))</f>
        <v/>
      </c>
    </row>
    <row r="593">
      <c r="B593" s="42">
        <f>IF($L593="","",$M593)</f>
        <v/>
      </c>
      <c r="C593" s="22">
        <f>IF($L593="","",INDEX(HSCEI!$C$7:$C$66,$N593))</f>
        <v/>
      </c>
      <c r="D593" s="22">
        <f>IF($L593="","",INDEX(HSCEI!$D$7:$D$66,$N593))</f>
        <v/>
      </c>
      <c r="E593" s="43">
        <f>IF($L593="","",IF($P593=0,"TBA",IFERROR(INDEX(Grids!$C$160:$BO$219,$N593,$O593),"-")))</f>
        <v/>
      </c>
      <c r="F593" s="22">
        <f>IF($L593="","",INDEX(HSCEI!$F$7:$F$66,$N593))</f>
        <v/>
      </c>
      <c r="G593" s="43">
        <f>IF($L593="","",IF($P593=0,"TBA",IFERROR(INDEX(Grids!$BQ$160:$EC$219,$N593,$O593),"-")))</f>
        <v/>
      </c>
      <c r="H593" s="44">
        <f>IF($L593="","",SUM($G$442:$G593))</f>
        <v/>
      </c>
      <c r="I593" s="45">
        <f>IF($L593="","",IF(INT(($L593-INT($L593/10000000)*10000000)/1000000)=0,"Bloomberg projection",IF($P593=1,"ANNOUNCED","ANNOUNCED - amount TBA")))</f>
        <v/>
      </c>
      <c r="J593" s="46">
        <f>IF($L593="","",IF((OV_SWITCH="ON")*(COUNTIFS(OVR_TICKERS,INDEX(HSCEI!$C$7:$C$66,$N593),OVR_BASE,"&gt;=0")&gt;0)&gt;0,"stock overridden",""))</f>
        <v/>
      </c>
      <c r="L593" s="39">
        <f>IFERROR(IF(SMALL(Grids!$EE$160:$GQ$219,$M$439+152)&gt;=PEND_TO,"",SMALL(Grids!$EE$160:$GQ$219,$M$439+152)),"")</f>
        <v/>
      </c>
      <c r="M593" s="39">
        <f>IF($L593="","",INT($L593/1000000000))</f>
        <v/>
      </c>
      <c r="N593" s="39">
        <f>IF($L593="","",INT(($L593-INT($L593/1000000)*1000000)/1000))</f>
        <v/>
      </c>
      <c r="O593" s="39">
        <f>IF($L593="","",$L593-INT($L593/1000)*1000)</f>
        <v/>
      </c>
      <c r="P593" s="39">
        <f>IF($L593="","",INT(($L593-INT($L593/1000000000)*1000000000)/100000000))</f>
        <v/>
      </c>
    </row>
    <row r="594">
      <c r="B594" s="42">
        <f>IF($L594="","",$M594)</f>
        <v/>
      </c>
      <c r="C594" s="22">
        <f>IF($L594="","",INDEX(HSCEI!$C$7:$C$66,$N594))</f>
        <v/>
      </c>
      <c r="D594" s="22">
        <f>IF($L594="","",INDEX(HSCEI!$D$7:$D$66,$N594))</f>
        <v/>
      </c>
      <c r="E594" s="43">
        <f>IF($L594="","",IF($P594=0,"TBA",IFERROR(INDEX(Grids!$C$160:$BO$219,$N594,$O594),"-")))</f>
        <v/>
      </c>
      <c r="F594" s="22">
        <f>IF($L594="","",INDEX(HSCEI!$F$7:$F$66,$N594))</f>
        <v/>
      </c>
      <c r="G594" s="43">
        <f>IF($L594="","",IF($P594=0,"TBA",IFERROR(INDEX(Grids!$BQ$160:$EC$219,$N594,$O594),"-")))</f>
        <v/>
      </c>
      <c r="H594" s="44">
        <f>IF($L594="","",SUM($G$442:$G594))</f>
        <v/>
      </c>
      <c r="I594" s="45">
        <f>IF($L594="","",IF(INT(($L594-INT($L594/10000000)*10000000)/1000000)=0,"Bloomberg projection",IF($P594=1,"ANNOUNCED","ANNOUNCED - amount TBA")))</f>
        <v/>
      </c>
      <c r="J594" s="46">
        <f>IF($L594="","",IF((OV_SWITCH="ON")*(COUNTIFS(OVR_TICKERS,INDEX(HSCEI!$C$7:$C$66,$N594),OVR_BASE,"&gt;=0")&gt;0)&gt;0,"stock overridden",""))</f>
        <v/>
      </c>
      <c r="L594" s="39">
        <f>IFERROR(IF(SMALL(Grids!$EE$160:$GQ$219,$M$439+153)&gt;=PEND_TO,"",SMALL(Grids!$EE$160:$GQ$219,$M$439+153)),"")</f>
        <v/>
      </c>
      <c r="M594" s="39">
        <f>IF($L594="","",INT($L594/1000000000))</f>
        <v/>
      </c>
      <c r="N594" s="39">
        <f>IF($L594="","",INT(($L594-INT($L594/1000000)*1000000)/1000))</f>
        <v/>
      </c>
      <c r="O594" s="39">
        <f>IF($L594="","",$L594-INT($L594/1000)*1000)</f>
        <v/>
      </c>
      <c r="P594" s="39">
        <f>IF($L594="","",INT(($L594-INT($L594/1000000000)*1000000000)/100000000))</f>
        <v/>
      </c>
    </row>
    <row r="595">
      <c r="B595" s="42">
        <f>IF($L595="","",$M595)</f>
        <v/>
      </c>
      <c r="C595" s="22">
        <f>IF($L595="","",INDEX(HSCEI!$C$7:$C$66,$N595))</f>
        <v/>
      </c>
      <c r="D595" s="22">
        <f>IF($L595="","",INDEX(HSCEI!$D$7:$D$66,$N595))</f>
        <v/>
      </c>
      <c r="E595" s="43">
        <f>IF($L595="","",IF($P595=0,"TBA",IFERROR(INDEX(Grids!$C$160:$BO$219,$N595,$O595),"-")))</f>
        <v/>
      </c>
      <c r="F595" s="22">
        <f>IF($L595="","",INDEX(HSCEI!$F$7:$F$66,$N595))</f>
        <v/>
      </c>
      <c r="G595" s="43">
        <f>IF($L595="","",IF($P595=0,"TBA",IFERROR(INDEX(Grids!$BQ$160:$EC$219,$N595,$O595),"-")))</f>
        <v/>
      </c>
      <c r="H595" s="44">
        <f>IF($L595="","",SUM($G$442:$G595))</f>
        <v/>
      </c>
      <c r="I595" s="45">
        <f>IF($L595="","",IF(INT(($L595-INT($L595/10000000)*10000000)/1000000)=0,"Bloomberg projection",IF($P595=1,"ANNOUNCED","ANNOUNCED - amount TBA")))</f>
        <v/>
      </c>
      <c r="J595" s="46">
        <f>IF($L595="","",IF((OV_SWITCH="ON")*(COUNTIFS(OVR_TICKERS,INDEX(HSCEI!$C$7:$C$66,$N595),OVR_BASE,"&gt;=0")&gt;0)&gt;0,"stock overridden",""))</f>
        <v/>
      </c>
      <c r="L595" s="39">
        <f>IFERROR(IF(SMALL(Grids!$EE$160:$GQ$219,$M$439+154)&gt;=PEND_TO,"",SMALL(Grids!$EE$160:$GQ$219,$M$439+154)),"")</f>
        <v/>
      </c>
      <c r="M595" s="39">
        <f>IF($L595="","",INT($L595/1000000000))</f>
        <v/>
      </c>
      <c r="N595" s="39">
        <f>IF($L595="","",INT(($L595-INT($L595/1000000)*1000000)/1000))</f>
        <v/>
      </c>
      <c r="O595" s="39">
        <f>IF($L595="","",$L595-INT($L595/1000)*1000)</f>
        <v/>
      </c>
      <c r="P595" s="39">
        <f>IF($L595="","",INT(($L595-INT($L595/1000000000)*1000000000)/100000000))</f>
        <v/>
      </c>
    </row>
    <row r="596">
      <c r="B596" s="42">
        <f>IF($L596="","",$M596)</f>
        <v/>
      </c>
      <c r="C596" s="22">
        <f>IF($L596="","",INDEX(HSCEI!$C$7:$C$66,$N596))</f>
        <v/>
      </c>
      <c r="D596" s="22">
        <f>IF($L596="","",INDEX(HSCEI!$D$7:$D$66,$N596))</f>
        <v/>
      </c>
      <c r="E596" s="43">
        <f>IF($L596="","",IF($P596=0,"TBA",IFERROR(INDEX(Grids!$C$160:$BO$219,$N596,$O596),"-")))</f>
        <v/>
      </c>
      <c r="F596" s="22">
        <f>IF($L596="","",INDEX(HSCEI!$F$7:$F$66,$N596))</f>
        <v/>
      </c>
      <c r="G596" s="43">
        <f>IF($L596="","",IF($P596=0,"TBA",IFERROR(INDEX(Grids!$BQ$160:$EC$219,$N596,$O596),"-")))</f>
        <v/>
      </c>
      <c r="H596" s="44">
        <f>IF($L596="","",SUM($G$442:$G596))</f>
        <v/>
      </c>
      <c r="I596" s="45">
        <f>IF($L596="","",IF(INT(($L596-INT($L596/10000000)*10000000)/1000000)=0,"Bloomberg projection",IF($P596=1,"ANNOUNCED","ANNOUNCED - amount TBA")))</f>
        <v/>
      </c>
      <c r="J596" s="46">
        <f>IF($L596="","",IF((OV_SWITCH="ON")*(COUNTIFS(OVR_TICKERS,INDEX(HSCEI!$C$7:$C$66,$N596),OVR_BASE,"&gt;=0")&gt;0)&gt;0,"stock overridden",""))</f>
        <v/>
      </c>
      <c r="L596" s="39">
        <f>IFERROR(IF(SMALL(Grids!$EE$160:$GQ$219,$M$439+155)&gt;=PEND_TO,"",SMALL(Grids!$EE$160:$GQ$219,$M$439+155)),"")</f>
        <v/>
      </c>
      <c r="M596" s="39">
        <f>IF($L596="","",INT($L596/1000000000))</f>
        <v/>
      </c>
      <c r="N596" s="39">
        <f>IF($L596="","",INT(($L596-INT($L596/1000000)*1000000)/1000))</f>
        <v/>
      </c>
      <c r="O596" s="39">
        <f>IF($L596="","",$L596-INT($L596/1000)*1000)</f>
        <v/>
      </c>
      <c r="P596" s="39">
        <f>IF($L596="","",INT(($L596-INT($L596/1000000000)*1000000000)/100000000))</f>
        <v/>
      </c>
    </row>
    <row r="597">
      <c r="B597" s="42">
        <f>IF($L597="","",$M597)</f>
        <v/>
      </c>
      <c r="C597" s="22">
        <f>IF($L597="","",INDEX(HSCEI!$C$7:$C$66,$N597))</f>
        <v/>
      </c>
      <c r="D597" s="22">
        <f>IF($L597="","",INDEX(HSCEI!$D$7:$D$66,$N597))</f>
        <v/>
      </c>
      <c r="E597" s="43">
        <f>IF($L597="","",IF($P597=0,"TBA",IFERROR(INDEX(Grids!$C$160:$BO$219,$N597,$O597),"-")))</f>
        <v/>
      </c>
      <c r="F597" s="22">
        <f>IF($L597="","",INDEX(HSCEI!$F$7:$F$66,$N597))</f>
        <v/>
      </c>
      <c r="G597" s="43">
        <f>IF($L597="","",IF($P597=0,"TBA",IFERROR(INDEX(Grids!$BQ$160:$EC$219,$N597,$O597),"-")))</f>
        <v/>
      </c>
      <c r="H597" s="44">
        <f>IF($L597="","",SUM($G$442:$G597))</f>
        <v/>
      </c>
      <c r="I597" s="45">
        <f>IF($L597="","",IF(INT(($L597-INT($L597/10000000)*10000000)/1000000)=0,"Bloomberg projection",IF($P597=1,"ANNOUNCED","ANNOUNCED - amount TBA")))</f>
        <v/>
      </c>
      <c r="J597" s="46">
        <f>IF($L597="","",IF((OV_SWITCH="ON")*(COUNTIFS(OVR_TICKERS,INDEX(HSCEI!$C$7:$C$66,$N597),OVR_BASE,"&gt;=0")&gt;0)&gt;0,"stock overridden",""))</f>
        <v/>
      </c>
      <c r="L597" s="39">
        <f>IFERROR(IF(SMALL(Grids!$EE$160:$GQ$219,$M$439+156)&gt;=PEND_TO,"",SMALL(Grids!$EE$160:$GQ$219,$M$439+156)),"")</f>
        <v/>
      </c>
      <c r="M597" s="39">
        <f>IF($L597="","",INT($L597/1000000000))</f>
        <v/>
      </c>
      <c r="N597" s="39">
        <f>IF($L597="","",INT(($L597-INT($L597/1000000)*1000000)/1000))</f>
        <v/>
      </c>
      <c r="O597" s="39">
        <f>IF($L597="","",$L597-INT($L597/1000)*1000)</f>
        <v/>
      </c>
      <c r="P597" s="39">
        <f>IF($L597="","",INT(($L597-INT($L597/1000000000)*1000000000)/100000000))</f>
        <v/>
      </c>
    </row>
    <row r="598">
      <c r="B598" s="42">
        <f>IF($L598="","",$M598)</f>
        <v/>
      </c>
      <c r="C598" s="22">
        <f>IF($L598="","",INDEX(HSCEI!$C$7:$C$66,$N598))</f>
        <v/>
      </c>
      <c r="D598" s="22">
        <f>IF($L598="","",INDEX(HSCEI!$D$7:$D$66,$N598))</f>
        <v/>
      </c>
      <c r="E598" s="43">
        <f>IF($L598="","",IF($P598=0,"TBA",IFERROR(INDEX(Grids!$C$160:$BO$219,$N598,$O598),"-")))</f>
        <v/>
      </c>
      <c r="F598" s="22">
        <f>IF($L598="","",INDEX(HSCEI!$F$7:$F$66,$N598))</f>
        <v/>
      </c>
      <c r="G598" s="43">
        <f>IF($L598="","",IF($P598=0,"TBA",IFERROR(INDEX(Grids!$BQ$160:$EC$219,$N598,$O598),"-")))</f>
        <v/>
      </c>
      <c r="H598" s="44">
        <f>IF($L598="","",SUM($G$442:$G598))</f>
        <v/>
      </c>
      <c r="I598" s="45">
        <f>IF($L598="","",IF(INT(($L598-INT($L598/10000000)*10000000)/1000000)=0,"Bloomberg projection",IF($P598=1,"ANNOUNCED","ANNOUNCED - amount TBA")))</f>
        <v/>
      </c>
      <c r="J598" s="46">
        <f>IF($L598="","",IF((OV_SWITCH="ON")*(COUNTIFS(OVR_TICKERS,INDEX(HSCEI!$C$7:$C$66,$N598),OVR_BASE,"&gt;=0")&gt;0)&gt;0,"stock overridden",""))</f>
        <v/>
      </c>
      <c r="L598" s="39">
        <f>IFERROR(IF(SMALL(Grids!$EE$160:$GQ$219,$M$439+157)&gt;=PEND_TO,"",SMALL(Grids!$EE$160:$GQ$219,$M$439+157)),"")</f>
        <v/>
      </c>
      <c r="M598" s="39">
        <f>IF($L598="","",INT($L598/1000000000))</f>
        <v/>
      </c>
      <c r="N598" s="39">
        <f>IF($L598="","",INT(($L598-INT($L598/1000000)*1000000)/1000))</f>
        <v/>
      </c>
      <c r="O598" s="39">
        <f>IF($L598="","",$L598-INT($L598/1000)*1000)</f>
        <v/>
      </c>
      <c r="P598" s="39">
        <f>IF($L598="","",INT(($L598-INT($L598/1000000000)*1000000000)/100000000))</f>
        <v/>
      </c>
    </row>
    <row r="599">
      <c r="B599" s="42">
        <f>IF($L599="","",$M599)</f>
        <v/>
      </c>
      <c r="C599" s="22">
        <f>IF($L599="","",INDEX(HSCEI!$C$7:$C$66,$N599))</f>
        <v/>
      </c>
      <c r="D599" s="22">
        <f>IF($L599="","",INDEX(HSCEI!$D$7:$D$66,$N599))</f>
        <v/>
      </c>
      <c r="E599" s="43">
        <f>IF($L599="","",IF($P599=0,"TBA",IFERROR(INDEX(Grids!$C$160:$BO$219,$N599,$O599),"-")))</f>
        <v/>
      </c>
      <c r="F599" s="22">
        <f>IF($L599="","",INDEX(HSCEI!$F$7:$F$66,$N599))</f>
        <v/>
      </c>
      <c r="G599" s="43">
        <f>IF($L599="","",IF($P599=0,"TBA",IFERROR(INDEX(Grids!$BQ$160:$EC$219,$N599,$O599),"-")))</f>
        <v/>
      </c>
      <c r="H599" s="44">
        <f>IF($L599="","",SUM($G$442:$G599))</f>
        <v/>
      </c>
      <c r="I599" s="45">
        <f>IF($L599="","",IF(INT(($L599-INT($L599/10000000)*10000000)/1000000)=0,"Bloomberg projection",IF($P599=1,"ANNOUNCED","ANNOUNCED - amount TBA")))</f>
        <v/>
      </c>
      <c r="J599" s="46">
        <f>IF($L599="","",IF((OV_SWITCH="ON")*(COUNTIFS(OVR_TICKERS,INDEX(HSCEI!$C$7:$C$66,$N599),OVR_BASE,"&gt;=0")&gt;0)&gt;0,"stock overridden",""))</f>
        <v/>
      </c>
      <c r="L599" s="39">
        <f>IFERROR(IF(SMALL(Grids!$EE$160:$GQ$219,$M$439+158)&gt;=PEND_TO,"",SMALL(Grids!$EE$160:$GQ$219,$M$439+158)),"")</f>
        <v/>
      </c>
      <c r="M599" s="39">
        <f>IF($L599="","",INT($L599/1000000000))</f>
        <v/>
      </c>
      <c r="N599" s="39">
        <f>IF($L599="","",INT(($L599-INT($L599/1000000)*1000000)/1000))</f>
        <v/>
      </c>
      <c r="O599" s="39">
        <f>IF($L599="","",$L599-INT($L599/1000)*1000)</f>
        <v/>
      </c>
      <c r="P599" s="39">
        <f>IF($L599="","",INT(($L599-INT($L599/1000000000)*1000000000)/100000000))</f>
        <v/>
      </c>
    </row>
    <row r="600">
      <c r="B600" s="42">
        <f>IF($L600="","",$M600)</f>
        <v/>
      </c>
      <c r="C600" s="22">
        <f>IF($L600="","",INDEX(HSCEI!$C$7:$C$66,$N600))</f>
        <v/>
      </c>
      <c r="D600" s="22">
        <f>IF($L600="","",INDEX(HSCEI!$D$7:$D$66,$N600))</f>
        <v/>
      </c>
      <c r="E600" s="43">
        <f>IF($L600="","",IF($P600=0,"TBA",IFERROR(INDEX(Grids!$C$160:$BO$219,$N600,$O600),"-")))</f>
        <v/>
      </c>
      <c r="F600" s="22">
        <f>IF($L600="","",INDEX(HSCEI!$F$7:$F$66,$N600))</f>
        <v/>
      </c>
      <c r="G600" s="43">
        <f>IF($L600="","",IF($P600=0,"TBA",IFERROR(INDEX(Grids!$BQ$160:$EC$219,$N600,$O600),"-")))</f>
        <v/>
      </c>
      <c r="H600" s="44">
        <f>IF($L600="","",SUM($G$442:$G600))</f>
        <v/>
      </c>
      <c r="I600" s="45">
        <f>IF($L600="","",IF(INT(($L600-INT($L600/10000000)*10000000)/1000000)=0,"Bloomberg projection",IF($P600=1,"ANNOUNCED","ANNOUNCED - amount TBA")))</f>
        <v/>
      </c>
      <c r="J600" s="46">
        <f>IF($L600="","",IF((OV_SWITCH="ON")*(COUNTIFS(OVR_TICKERS,INDEX(HSCEI!$C$7:$C$66,$N600),OVR_BASE,"&gt;=0")&gt;0)&gt;0,"stock overridden",""))</f>
        <v/>
      </c>
      <c r="L600" s="39">
        <f>IFERROR(IF(SMALL(Grids!$EE$160:$GQ$219,$M$439+159)&gt;=PEND_TO,"",SMALL(Grids!$EE$160:$GQ$219,$M$439+159)),"")</f>
        <v/>
      </c>
      <c r="M600" s="39">
        <f>IF($L600="","",INT($L600/1000000000))</f>
        <v/>
      </c>
      <c r="N600" s="39">
        <f>IF($L600="","",INT(($L600-INT($L600/1000000)*1000000)/1000))</f>
        <v/>
      </c>
      <c r="O600" s="39">
        <f>IF($L600="","",$L600-INT($L600/1000)*1000)</f>
        <v/>
      </c>
      <c r="P600" s="39">
        <f>IF($L600="","",INT(($L600-INT($L600/1000000000)*1000000000)/100000000))</f>
        <v/>
      </c>
    </row>
    <row r="601">
      <c r="B601" s="42">
        <f>IF($L601="","",$M601)</f>
        <v/>
      </c>
      <c r="C601" s="22">
        <f>IF($L601="","",INDEX(HSCEI!$C$7:$C$66,$N601))</f>
        <v/>
      </c>
      <c r="D601" s="22">
        <f>IF($L601="","",INDEX(HSCEI!$D$7:$D$66,$N601))</f>
        <v/>
      </c>
      <c r="E601" s="43">
        <f>IF($L601="","",IF($P601=0,"TBA",IFERROR(INDEX(Grids!$C$160:$BO$219,$N601,$O601),"-")))</f>
        <v/>
      </c>
      <c r="F601" s="22">
        <f>IF($L601="","",INDEX(HSCEI!$F$7:$F$66,$N601))</f>
        <v/>
      </c>
      <c r="G601" s="43">
        <f>IF($L601="","",IF($P601=0,"TBA",IFERROR(INDEX(Grids!$BQ$160:$EC$219,$N601,$O601),"-")))</f>
        <v/>
      </c>
      <c r="H601" s="44">
        <f>IF($L601="","",SUM($G$442:$G601))</f>
        <v/>
      </c>
      <c r="I601" s="45">
        <f>IF($L601="","",IF(INT(($L601-INT($L601/10000000)*10000000)/1000000)=0,"Bloomberg projection",IF($P601=1,"ANNOUNCED","ANNOUNCED - amount TBA")))</f>
        <v/>
      </c>
      <c r="J601" s="46">
        <f>IF($L601="","",IF((OV_SWITCH="ON")*(COUNTIFS(OVR_TICKERS,INDEX(HSCEI!$C$7:$C$66,$N601),OVR_BASE,"&gt;=0")&gt;0)&gt;0,"stock overridden",""))</f>
        <v/>
      </c>
      <c r="L601" s="39">
        <f>IFERROR(IF(SMALL(Grids!$EE$160:$GQ$219,$M$439+160)&gt;=PEND_TO,"",SMALL(Grids!$EE$160:$GQ$219,$M$439+160)),"")</f>
        <v/>
      </c>
      <c r="M601" s="39">
        <f>IF($L601="","",INT($L601/1000000000))</f>
        <v/>
      </c>
      <c r="N601" s="39">
        <f>IF($L601="","",INT(($L601-INT($L601/1000000)*1000000)/1000))</f>
        <v/>
      </c>
      <c r="O601" s="39">
        <f>IF($L601="","",$L601-INT($L601/1000)*1000)</f>
        <v/>
      </c>
      <c r="P601" s="39">
        <f>IF($L601="","",INT(($L601-INT($L601/1000000000)*1000000000)/100000000))</f>
        <v/>
      </c>
    </row>
    <row r="602">
      <c r="B602" s="42">
        <f>IF($L602="","",$M602)</f>
        <v/>
      </c>
      <c r="C602" s="22">
        <f>IF($L602="","",INDEX(HSCEI!$C$7:$C$66,$N602))</f>
        <v/>
      </c>
      <c r="D602" s="22">
        <f>IF($L602="","",INDEX(HSCEI!$D$7:$D$66,$N602))</f>
        <v/>
      </c>
      <c r="E602" s="43">
        <f>IF($L602="","",IF($P602=0,"TBA",IFERROR(INDEX(Grids!$C$160:$BO$219,$N602,$O602),"-")))</f>
        <v/>
      </c>
      <c r="F602" s="22">
        <f>IF($L602="","",INDEX(HSCEI!$F$7:$F$66,$N602))</f>
        <v/>
      </c>
      <c r="G602" s="43">
        <f>IF($L602="","",IF($P602=0,"TBA",IFERROR(INDEX(Grids!$BQ$160:$EC$219,$N602,$O602),"-")))</f>
        <v/>
      </c>
      <c r="H602" s="44">
        <f>IF($L602="","",SUM($G$442:$G602))</f>
        <v/>
      </c>
      <c r="I602" s="45">
        <f>IF($L602="","",IF(INT(($L602-INT($L602/10000000)*10000000)/1000000)=0,"Bloomberg projection",IF($P602=1,"ANNOUNCED","ANNOUNCED - amount TBA")))</f>
        <v/>
      </c>
      <c r="J602" s="46">
        <f>IF($L602="","",IF((OV_SWITCH="ON")*(COUNTIFS(OVR_TICKERS,INDEX(HSCEI!$C$7:$C$66,$N602),OVR_BASE,"&gt;=0")&gt;0)&gt;0,"stock overridden",""))</f>
        <v/>
      </c>
      <c r="L602" s="39">
        <f>IFERROR(IF(SMALL(Grids!$EE$160:$GQ$219,$M$439+161)&gt;=PEND_TO,"",SMALL(Grids!$EE$160:$GQ$219,$M$439+161)),"")</f>
        <v/>
      </c>
      <c r="M602" s="39">
        <f>IF($L602="","",INT($L602/1000000000))</f>
        <v/>
      </c>
      <c r="N602" s="39">
        <f>IF($L602="","",INT(($L602-INT($L602/1000000)*1000000)/1000))</f>
        <v/>
      </c>
      <c r="O602" s="39">
        <f>IF($L602="","",$L602-INT($L602/1000)*1000)</f>
        <v/>
      </c>
      <c r="P602" s="39">
        <f>IF($L602="","",INT(($L602-INT($L602/1000000000)*1000000000)/100000000))</f>
        <v/>
      </c>
    </row>
    <row r="603">
      <c r="B603" s="42">
        <f>IF($L603="","",$M603)</f>
        <v/>
      </c>
      <c r="C603" s="22">
        <f>IF($L603="","",INDEX(HSCEI!$C$7:$C$66,$N603))</f>
        <v/>
      </c>
      <c r="D603" s="22">
        <f>IF($L603="","",INDEX(HSCEI!$D$7:$D$66,$N603))</f>
        <v/>
      </c>
      <c r="E603" s="43">
        <f>IF($L603="","",IF($P603=0,"TBA",IFERROR(INDEX(Grids!$C$160:$BO$219,$N603,$O603),"-")))</f>
        <v/>
      </c>
      <c r="F603" s="22">
        <f>IF($L603="","",INDEX(HSCEI!$F$7:$F$66,$N603))</f>
        <v/>
      </c>
      <c r="G603" s="43">
        <f>IF($L603="","",IF($P603=0,"TBA",IFERROR(INDEX(Grids!$BQ$160:$EC$219,$N603,$O603),"-")))</f>
        <v/>
      </c>
      <c r="H603" s="44">
        <f>IF($L603="","",SUM($G$442:$G603))</f>
        <v/>
      </c>
      <c r="I603" s="45">
        <f>IF($L603="","",IF(INT(($L603-INT($L603/10000000)*10000000)/1000000)=0,"Bloomberg projection",IF($P603=1,"ANNOUNCED","ANNOUNCED - amount TBA")))</f>
        <v/>
      </c>
      <c r="J603" s="46">
        <f>IF($L603="","",IF((OV_SWITCH="ON")*(COUNTIFS(OVR_TICKERS,INDEX(HSCEI!$C$7:$C$66,$N603),OVR_BASE,"&gt;=0")&gt;0)&gt;0,"stock overridden",""))</f>
        <v/>
      </c>
      <c r="L603" s="39">
        <f>IFERROR(IF(SMALL(Grids!$EE$160:$GQ$219,$M$439+162)&gt;=PEND_TO,"",SMALL(Grids!$EE$160:$GQ$219,$M$439+162)),"")</f>
        <v/>
      </c>
      <c r="M603" s="39">
        <f>IF($L603="","",INT($L603/1000000000))</f>
        <v/>
      </c>
      <c r="N603" s="39">
        <f>IF($L603="","",INT(($L603-INT($L603/1000000)*1000000)/1000))</f>
        <v/>
      </c>
      <c r="O603" s="39">
        <f>IF($L603="","",$L603-INT($L603/1000)*1000)</f>
        <v/>
      </c>
      <c r="P603" s="39">
        <f>IF($L603="","",INT(($L603-INT($L603/1000000000)*1000000000)/100000000))</f>
        <v/>
      </c>
    </row>
    <row r="604">
      <c r="B604" s="42">
        <f>IF($L604="","",$M604)</f>
        <v/>
      </c>
      <c r="C604" s="22">
        <f>IF($L604="","",INDEX(HSCEI!$C$7:$C$66,$N604))</f>
        <v/>
      </c>
      <c r="D604" s="22">
        <f>IF($L604="","",INDEX(HSCEI!$D$7:$D$66,$N604))</f>
        <v/>
      </c>
      <c r="E604" s="43">
        <f>IF($L604="","",IF($P604=0,"TBA",IFERROR(INDEX(Grids!$C$160:$BO$219,$N604,$O604),"-")))</f>
        <v/>
      </c>
      <c r="F604" s="22">
        <f>IF($L604="","",INDEX(HSCEI!$F$7:$F$66,$N604))</f>
        <v/>
      </c>
      <c r="G604" s="43">
        <f>IF($L604="","",IF($P604=0,"TBA",IFERROR(INDEX(Grids!$BQ$160:$EC$219,$N604,$O604),"-")))</f>
        <v/>
      </c>
      <c r="H604" s="44">
        <f>IF($L604="","",SUM($G$442:$G604))</f>
        <v/>
      </c>
      <c r="I604" s="45">
        <f>IF($L604="","",IF(INT(($L604-INT($L604/10000000)*10000000)/1000000)=0,"Bloomberg projection",IF($P604=1,"ANNOUNCED","ANNOUNCED - amount TBA")))</f>
        <v/>
      </c>
      <c r="J604" s="46">
        <f>IF($L604="","",IF((OV_SWITCH="ON")*(COUNTIFS(OVR_TICKERS,INDEX(HSCEI!$C$7:$C$66,$N604),OVR_BASE,"&gt;=0")&gt;0)&gt;0,"stock overridden",""))</f>
        <v/>
      </c>
      <c r="L604" s="39">
        <f>IFERROR(IF(SMALL(Grids!$EE$160:$GQ$219,$M$439+163)&gt;=PEND_TO,"",SMALL(Grids!$EE$160:$GQ$219,$M$439+163)),"")</f>
        <v/>
      </c>
      <c r="M604" s="39">
        <f>IF($L604="","",INT($L604/1000000000))</f>
        <v/>
      </c>
      <c r="N604" s="39">
        <f>IF($L604="","",INT(($L604-INT($L604/1000000)*1000000)/1000))</f>
        <v/>
      </c>
      <c r="O604" s="39">
        <f>IF($L604="","",$L604-INT($L604/1000)*1000)</f>
        <v/>
      </c>
      <c r="P604" s="39">
        <f>IF($L604="","",INT(($L604-INT($L604/1000000000)*1000000000)/100000000))</f>
        <v/>
      </c>
    </row>
    <row r="605">
      <c r="B605" s="42">
        <f>IF($L605="","",$M605)</f>
        <v/>
      </c>
      <c r="C605" s="22">
        <f>IF($L605="","",INDEX(HSCEI!$C$7:$C$66,$N605))</f>
        <v/>
      </c>
      <c r="D605" s="22">
        <f>IF($L605="","",INDEX(HSCEI!$D$7:$D$66,$N605))</f>
        <v/>
      </c>
      <c r="E605" s="43">
        <f>IF($L605="","",IF($P605=0,"TBA",IFERROR(INDEX(Grids!$C$160:$BO$219,$N605,$O605),"-")))</f>
        <v/>
      </c>
      <c r="F605" s="22">
        <f>IF($L605="","",INDEX(HSCEI!$F$7:$F$66,$N605))</f>
        <v/>
      </c>
      <c r="G605" s="43">
        <f>IF($L605="","",IF($P605=0,"TBA",IFERROR(INDEX(Grids!$BQ$160:$EC$219,$N605,$O605),"-")))</f>
        <v/>
      </c>
      <c r="H605" s="44">
        <f>IF($L605="","",SUM($G$442:$G605))</f>
        <v/>
      </c>
      <c r="I605" s="45">
        <f>IF($L605="","",IF(INT(($L605-INT($L605/10000000)*10000000)/1000000)=0,"Bloomberg projection",IF($P605=1,"ANNOUNCED","ANNOUNCED - amount TBA")))</f>
        <v/>
      </c>
      <c r="J605" s="46">
        <f>IF($L605="","",IF((OV_SWITCH="ON")*(COUNTIFS(OVR_TICKERS,INDEX(HSCEI!$C$7:$C$66,$N605),OVR_BASE,"&gt;=0")&gt;0)&gt;0,"stock overridden",""))</f>
        <v/>
      </c>
      <c r="L605" s="39">
        <f>IFERROR(IF(SMALL(Grids!$EE$160:$GQ$219,$M$439+164)&gt;=PEND_TO,"",SMALL(Grids!$EE$160:$GQ$219,$M$439+164)),"")</f>
        <v/>
      </c>
      <c r="M605" s="39">
        <f>IF($L605="","",INT($L605/1000000000))</f>
        <v/>
      </c>
      <c r="N605" s="39">
        <f>IF($L605="","",INT(($L605-INT($L605/1000000)*1000000)/1000))</f>
        <v/>
      </c>
      <c r="O605" s="39">
        <f>IF($L605="","",$L605-INT($L605/1000)*1000)</f>
        <v/>
      </c>
      <c r="P605" s="39">
        <f>IF($L605="","",INT(($L605-INT($L605/1000000000)*1000000000)/100000000))</f>
        <v/>
      </c>
    </row>
    <row r="606">
      <c r="B606" s="42">
        <f>IF($L606="","",$M606)</f>
        <v/>
      </c>
      <c r="C606" s="22">
        <f>IF($L606="","",INDEX(HSCEI!$C$7:$C$66,$N606))</f>
        <v/>
      </c>
      <c r="D606" s="22">
        <f>IF($L606="","",INDEX(HSCEI!$D$7:$D$66,$N606))</f>
        <v/>
      </c>
      <c r="E606" s="43">
        <f>IF($L606="","",IF($P606=0,"TBA",IFERROR(INDEX(Grids!$C$160:$BO$219,$N606,$O606),"-")))</f>
        <v/>
      </c>
      <c r="F606" s="22">
        <f>IF($L606="","",INDEX(HSCEI!$F$7:$F$66,$N606))</f>
        <v/>
      </c>
      <c r="G606" s="43">
        <f>IF($L606="","",IF($P606=0,"TBA",IFERROR(INDEX(Grids!$BQ$160:$EC$219,$N606,$O606),"-")))</f>
        <v/>
      </c>
      <c r="H606" s="44">
        <f>IF($L606="","",SUM($G$442:$G606))</f>
        <v/>
      </c>
      <c r="I606" s="45">
        <f>IF($L606="","",IF(INT(($L606-INT($L606/10000000)*10000000)/1000000)=0,"Bloomberg projection",IF($P606=1,"ANNOUNCED","ANNOUNCED - amount TBA")))</f>
        <v/>
      </c>
      <c r="J606" s="46">
        <f>IF($L606="","",IF((OV_SWITCH="ON")*(COUNTIFS(OVR_TICKERS,INDEX(HSCEI!$C$7:$C$66,$N606),OVR_BASE,"&gt;=0")&gt;0)&gt;0,"stock overridden",""))</f>
        <v/>
      </c>
      <c r="L606" s="39">
        <f>IFERROR(IF(SMALL(Grids!$EE$160:$GQ$219,$M$439+165)&gt;=PEND_TO,"",SMALL(Grids!$EE$160:$GQ$219,$M$439+165)),"")</f>
        <v/>
      </c>
      <c r="M606" s="39">
        <f>IF($L606="","",INT($L606/1000000000))</f>
        <v/>
      </c>
      <c r="N606" s="39">
        <f>IF($L606="","",INT(($L606-INT($L606/1000000)*1000000)/1000))</f>
        <v/>
      </c>
      <c r="O606" s="39">
        <f>IF($L606="","",$L606-INT($L606/1000)*1000)</f>
        <v/>
      </c>
      <c r="P606" s="39">
        <f>IF($L606="","",INT(($L606-INT($L606/1000000000)*1000000000)/100000000))</f>
        <v/>
      </c>
    </row>
    <row r="607">
      <c r="B607" s="42">
        <f>IF($L607="","",$M607)</f>
        <v/>
      </c>
      <c r="C607" s="22">
        <f>IF($L607="","",INDEX(HSCEI!$C$7:$C$66,$N607))</f>
        <v/>
      </c>
      <c r="D607" s="22">
        <f>IF($L607="","",INDEX(HSCEI!$D$7:$D$66,$N607))</f>
        <v/>
      </c>
      <c r="E607" s="43">
        <f>IF($L607="","",IF($P607=0,"TBA",IFERROR(INDEX(Grids!$C$160:$BO$219,$N607,$O607),"-")))</f>
        <v/>
      </c>
      <c r="F607" s="22">
        <f>IF($L607="","",INDEX(HSCEI!$F$7:$F$66,$N607))</f>
        <v/>
      </c>
      <c r="G607" s="43">
        <f>IF($L607="","",IF($P607=0,"TBA",IFERROR(INDEX(Grids!$BQ$160:$EC$219,$N607,$O607),"-")))</f>
        <v/>
      </c>
      <c r="H607" s="44">
        <f>IF($L607="","",SUM($G$442:$G607))</f>
        <v/>
      </c>
      <c r="I607" s="45">
        <f>IF($L607="","",IF(INT(($L607-INT($L607/10000000)*10000000)/1000000)=0,"Bloomberg projection",IF($P607=1,"ANNOUNCED","ANNOUNCED - amount TBA")))</f>
        <v/>
      </c>
      <c r="J607" s="46">
        <f>IF($L607="","",IF((OV_SWITCH="ON")*(COUNTIFS(OVR_TICKERS,INDEX(HSCEI!$C$7:$C$66,$N607),OVR_BASE,"&gt;=0")&gt;0)&gt;0,"stock overridden",""))</f>
        <v/>
      </c>
      <c r="L607" s="39">
        <f>IFERROR(IF(SMALL(Grids!$EE$160:$GQ$219,$M$439+166)&gt;=PEND_TO,"",SMALL(Grids!$EE$160:$GQ$219,$M$439+166)),"")</f>
        <v/>
      </c>
      <c r="M607" s="39">
        <f>IF($L607="","",INT($L607/1000000000))</f>
        <v/>
      </c>
      <c r="N607" s="39">
        <f>IF($L607="","",INT(($L607-INT($L607/1000000)*1000000)/1000))</f>
        <v/>
      </c>
      <c r="O607" s="39">
        <f>IF($L607="","",$L607-INT($L607/1000)*1000)</f>
        <v/>
      </c>
      <c r="P607" s="39">
        <f>IF($L607="","",INT(($L607-INT($L607/1000000000)*1000000000)/100000000))</f>
        <v/>
      </c>
    </row>
    <row r="608">
      <c r="B608" s="42">
        <f>IF($L608="","",$M608)</f>
        <v/>
      </c>
      <c r="C608" s="22">
        <f>IF($L608="","",INDEX(HSCEI!$C$7:$C$66,$N608))</f>
        <v/>
      </c>
      <c r="D608" s="22">
        <f>IF($L608="","",INDEX(HSCEI!$D$7:$D$66,$N608))</f>
        <v/>
      </c>
      <c r="E608" s="43">
        <f>IF($L608="","",IF($P608=0,"TBA",IFERROR(INDEX(Grids!$C$160:$BO$219,$N608,$O608),"-")))</f>
        <v/>
      </c>
      <c r="F608" s="22">
        <f>IF($L608="","",INDEX(HSCEI!$F$7:$F$66,$N608))</f>
        <v/>
      </c>
      <c r="G608" s="43">
        <f>IF($L608="","",IF($P608=0,"TBA",IFERROR(INDEX(Grids!$BQ$160:$EC$219,$N608,$O608),"-")))</f>
        <v/>
      </c>
      <c r="H608" s="44">
        <f>IF($L608="","",SUM($G$442:$G608))</f>
        <v/>
      </c>
      <c r="I608" s="45">
        <f>IF($L608="","",IF(INT(($L608-INT($L608/10000000)*10000000)/1000000)=0,"Bloomberg projection",IF($P608=1,"ANNOUNCED","ANNOUNCED - amount TBA")))</f>
        <v/>
      </c>
      <c r="J608" s="46">
        <f>IF($L608="","",IF((OV_SWITCH="ON")*(COUNTIFS(OVR_TICKERS,INDEX(HSCEI!$C$7:$C$66,$N608),OVR_BASE,"&gt;=0")&gt;0)&gt;0,"stock overridden",""))</f>
        <v/>
      </c>
      <c r="L608" s="39">
        <f>IFERROR(IF(SMALL(Grids!$EE$160:$GQ$219,$M$439+167)&gt;=PEND_TO,"",SMALL(Grids!$EE$160:$GQ$219,$M$439+167)),"")</f>
        <v/>
      </c>
      <c r="M608" s="39">
        <f>IF($L608="","",INT($L608/1000000000))</f>
        <v/>
      </c>
      <c r="N608" s="39">
        <f>IF($L608="","",INT(($L608-INT($L608/1000000)*1000000)/1000))</f>
        <v/>
      </c>
      <c r="O608" s="39">
        <f>IF($L608="","",$L608-INT($L608/1000)*1000)</f>
        <v/>
      </c>
      <c r="P608" s="39">
        <f>IF($L608="","",INT(($L608-INT($L608/1000000000)*1000000000)/100000000))</f>
        <v/>
      </c>
    </row>
    <row r="609">
      <c r="B609" s="42">
        <f>IF($L609="","",$M609)</f>
        <v/>
      </c>
      <c r="C609" s="22">
        <f>IF($L609="","",INDEX(HSCEI!$C$7:$C$66,$N609))</f>
        <v/>
      </c>
      <c r="D609" s="22">
        <f>IF($L609="","",INDEX(HSCEI!$D$7:$D$66,$N609))</f>
        <v/>
      </c>
      <c r="E609" s="43">
        <f>IF($L609="","",IF($P609=0,"TBA",IFERROR(INDEX(Grids!$C$160:$BO$219,$N609,$O609),"-")))</f>
        <v/>
      </c>
      <c r="F609" s="22">
        <f>IF($L609="","",INDEX(HSCEI!$F$7:$F$66,$N609))</f>
        <v/>
      </c>
      <c r="G609" s="43">
        <f>IF($L609="","",IF($P609=0,"TBA",IFERROR(INDEX(Grids!$BQ$160:$EC$219,$N609,$O609),"-")))</f>
        <v/>
      </c>
      <c r="H609" s="44">
        <f>IF($L609="","",SUM($G$442:$G609))</f>
        <v/>
      </c>
      <c r="I609" s="45">
        <f>IF($L609="","",IF(INT(($L609-INT($L609/10000000)*10000000)/1000000)=0,"Bloomberg projection",IF($P609=1,"ANNOUNCED","ANNOUNCED - amount TBA")))</f>
        <v/>
      </c>
      <c r="J609" s="46">
        <f>IF($L609="","",IF((OV_SWITCH="ON")*(COUNTIFS(OVR_TICKERS,INDEX(HSCEI!$C$7:$C$66,$N609),OVR_BASE,"&gt;=0")&gt;0)&gt;0,"stock overridden",""))</f>
        <v/>
      </c>
      <c r="L609" s="39">
        <f>IFERROR(IF(SMALL(Grids!$EE$160:$GQ$219,$M$439+168)&gt;=PEND_TO,"",SMALL(Grids!$EE$160:$GQ$219,$M$439+168)),"")</f>
        <v/>
      </c>
      <c r="M609" s="39">
        <f>IF($L609="","",INT($L609/1000000000))</f>
        <v/>
      </c>
      <c r="N609" s="39">
        <f>IF($L609="","",INT(($L609-INT($L609/1000000)*1000000)/1000))</f>
        <v/>
      </c>
      <c r="O609" s="39">
        <f>IF($L609="","",$L609-INT($L609/1000)*1000)</f>
        <v/>
      </c>
      <c r="P609" s="39">
        <f>IF($L609="","",INT(($L609-INT($L609/1000000000)*1000000000)/100000000))</f>
        <v/>
      </c>
    </row>
    <row r="610">
      <c r="B610" s="42">
        <f>IF($L610="","",$M610)</f>
        <v/>
      </c>
      <c r="C610" s="22">
        <f>IF($L610="","",INDEX(HSCEI!$C$7:$C$66,$N610))</f>
        <v/>
      </c>
      <c r="D610" s="22">
        <f>IF($L610="","",INDEX(HSCEI!$D$7:$D$66,$N610))</f>
        <v/>
      </c>
      <c r="E610" s="43">
        <f>IF($L610="","",IF($P610=0,"TBA",IFERROR(INDEX(Grids!$C$160:$BO$219,$N610,$O610),"-")))</f>
        <v/>
      </c>
      <c r="F610" s="22">
        <f>IF($L610="","",INDEX(HSCEI!$F$7:$F$66,$N610))</f>
        <v/>
      </c>
      <c r="G610" s="43">
        <f>IF($L610="","",IF($P610=0,"TBA",IFERROR(INDEX(Grids!$BQ$160:$EC$219,$N610,$O610),"-")))</f>
        <v/>
      </c>
      <c r="H610" s="44">
        <f>IF($L610="","",SUM($G$442:$G610))</f>
        <v/>
      </c>
      <c r="I610" s="45">
        <f>IF($L610="","",IF(INT(($L610-INT($L610/10000000)*10000000)/1000000)=0,"Bloomberg projection",IF($P610=1,"ANNOUNCED","ANNOUNCED - amount TBA")))</f>
        <v/>
      </c>
      <c r="J610" s="46">
        <f>IF($L610="","",IF((OV_SWITCH="ON")*(COUNTIFS(OVR_TICKERS,INDEX(HSCEI!$C$7:$C$66,$N610),OVR_BASE,"&gt;=0")&gt;0)&gt;0,"stock overridden",""))</f>
        <v/>
      </c>
      <c r="L610" s="39">
        <f>IFERROR(IF(SMALL(Grids!$EE$160:$GQ$219,$M$439+169)&gt;=PEND_TO,"",SMALL(Grids!$EE$160:$GQ$219,$M$439+169)),"")</f>
        <v/>
      </c>
      <c r="M610" s="39">
        <f>IF($L610="","",INT($L610/1000000000))</f>
        <v/>
      </c>
      <c r="N610" s="39">
        <f>IF($L610="","",INT(($L610-INT($L610/1000000)*1000000)/1000))</f>
        <v/>
      </c>
      <c r="O610" s="39">
        <f>IF($L610="","",$L610-INT($L610/1000)*1000)</f>
        <v/>
      </c>
      <c r="P610" s="39">
        <f>IF($L610="","",INT(($L610-INT($L610/1000000000)*1000000000)/100000000))</f>
        <v/>
      </c>
    </row>
    <row r="611">
      <c r="B611" s="42">
        <f>IF($L611="","",$M611)</f>
        <v/>
      </c>
      <c r="C611" s="22">
        <f>IF($L611="","",INDEX(HSCEI!$C$7:$C$66,$N611))</f>
        <v/>
      </c>
      <c r="D611" s="22">
        <f>IF($L611="","",INDEX(HSCEI!$D$7:$D$66,$N611))</f>
        <v/>
      </c>
      <c r="E611" s="43">
        <f>IF($L611="","",IF($P611=0,"TBA",IFERROR(INDEX(Grids!$C$160:$BO$219,$N611,$O611),"-")))</f>
        <v/>
      </c>
      <c r="F611" s="22">
        <f>IF($L611="","",INDEX(HSCEI!$F$7:$F$66,$N611))</f>
        <v/>
      </c>
      <c r="G611" s="43">
        <f>IF($L611="","",IF($P611=0,"TBA",IFERROR(INDEX(Grids!$BQ$160:$EC$219,$N611,$O611),"-")))</f>
        <v/>
      </c>
      <c r="H611" s="44">
        <f>IF($L611="","",SUM($G$442:$G611))</f>
        <v/>
      </c>
      <c r="I611" s="45">
        <f>IF($L611="","",IF(INT(($L611-INT($L611/10000000)*10000000)/1000000)=0,"Bloomberg projection",IF($P611=1,"ANNOUNCED","ANNOUNCED - amount TBA")))</f>
        <v/>
      </c>
      <c r="J611" s="46">
        <f>IF($L611="","",IF((OV_SWITCH="ON")*(COUNTIFS(OVR_TICKERS,INDEX(HSCEI!$C$7:$C$66,$N611),OVR_BASE,"&gt;=0")&gt;0)&gt;0,"stock overridden",""))</f>
        <v/>
      </c>
      <c r="L611" s="39">
        <f>IFERROR(IF(SMALL(Grids!$EE$160:$GQ$219,$M$439+170)&gt;=PEND_TO,"",SMALL(Grids!$EE$160:$GQ$219,$M$439+170)),"")</f>
        <v/>
      </c>
      <c r="M611" s="39">
        <f>IF($L611="","",INT($L611/1000000000))</f>
        <v/>
      </c>
      <c r="N611" s="39">
        <f>IF($L611="","",INT(($L611-INT($L611/1000000)*1000000)/1000))</f>
        <v/>
      </c>
      <c r="O611" s="39">
        <f>IF($L611="","",$L611-INT($L611/1000)*1000)</f>
        <v/>
      </c>
      <c r="P611" s="39">
        <f>IF($L611="","",INT(($L611-INT($L611/1000000000)*1000000000)/100000000))</f>
        <v/>
      </c>
    </row>
    <row r="612">
      <c r="B612" s="42">
        <f>IF($L612="","",$M612)</f>
        <v/>
      </c>
      <c r="C612" s="22">
        <f>IF($L612="","",INDEX(HSCEI!$C$7:$C$66,$N612))</f>
        <v/>
      </c>
      <c r="D612" s="22">
        <f>IF($L612="","",INDEX(HSCEI!$D$7:$D$66,$N612))</f>
        <v/>
      </c>
      <c r="E612" s="43">
        <f>IF($L612="","",IF($P612=0,"TBA",IFERROR(INDEX(Grids!$C$160:$BO$219,$N612,$O612),"-")))</f>
        <v/>
      </c>
      <c r="F612" s="22">
        <f>IF($L612="","",INDEX(HSCEI!$F$7:$F$66,$N612))</f>
        <v/>
      </c>
      <c r="G612" s="43">
        <f>IF($L612="","",IF($P612=0,"TBA",IFERROR(INDEX(Grids!$BQ$160:$EC$219,$N612,$O612),"-")))</f>
        <v/>
      </c>
      <c r="H612" s="44">
        <f>IF($L612="","",SUM($G$442:$G612))</f>
        <v/>
      </c>
      <c r="I612" s="45">
        <f>IF($L612="","",IF(INT(($L612-INT($L612/10000000)*10000000)/1000000)=0,"Bloomberg projection",IF($P612=1,"ANNOUNCED","ANNOUNCED - amount TBA")))</f>
        <v/>
      </c>
      <c r="J612" s="46">
        <f>IF($L612="","",IF((OV_SWITCH="ON")*(COUNTIFS(OVR_TICKERS,INDEX(HSCEI!$C$7:$C$66,$N612),OVR_BASE,"&gt;=0")&gt;0)&gt;0,"stock overridden",""))</f>
        <v/>
      </c>
      <c r="L612" s="39">
        <f>IFERROR(IF(SMALL(Grids!$EE$160:$GQ$219,$M$439+171)&gt;=PEND_TO,"",SMALL(Grids!$EE$160:$GQ$219,$M$439+171)),"")</f>
        <v/>
      </c>
      <c r="M612" s="39">
        <f>IF($L612="","",INT($L612/1000000000))</f>
        <v/>
      </c>
      <c r="N612" s="39">
        <f>IF($L612="","",INT(($L612-INT($L612/1000000)*1000000)/1000))</f>
        <v/>
      </c>
      <c r="O612" s="39">
        <f>IF($L612="","",$L612-INT($L612/1000)*1000)</f>
        <v/>
      </c>
      <c r="P612" s="39">
        <f>IF($L612="","",INT(($L612-INT($L612/1000000000)*1000000000)/100000000))</f>
        <v/>
      </c>
    </row>
    <row r="613">
      <c r="B613" s="42">
        <f>IF($L613="","",$M613)</f>
        <v/>
      </c>
      <c r="C613" s="22">
        <f>IF($L613="","",INDEX(HSCEI!$C$7:$C$66,$N613))</f>
        <v/>
      </c>
      <c r="D613" s="22">
        <f>IF($L613="","",INDEX(HSCEI!$D$7:$D$66,$N613))</f>
        <v/>
      </c>
      <c r="E613" s="43">
        <f>IF($L613="","",IF($P613=0,"TBA",IFERROR(INDEX(Grids!$C$160:$BO$219,$N613,$O613),"-")))</f>
        <v/>
      </c>
      <c r="F613" s="22">
        <f>IF($L613="","",INDEX(HSCEI!$F$7:$F$66,$N613))</f>
        <v/>
      </c>
      <c r="G613" s="43">
        <f>IF($L613="","",IF($P613=0,"TBA",IFERROR(INDEX(Grids!$BQ$160:$EC$219,$N613,$O613),"-")))</f>
        <v/>
      </c>
      <c r="H613" s="44">
        <f>IF($L613="","",SUM($G$442:$G613))</f>
        <v/>
      </c>
      <c r="I613" s="45">
        <f>IF($L613="","",IF(INT(($L613-INT($L613/10000000)*10000000)/1000000)=0,"Bloomberg projection",IF($P613=1,"ANNOUNCED","ANNOUNCED - amount TBA")))</f>
        <v/>
      </c>
      <c r="J613" s="46">
        <f>IF($L613="","",IF((OV_SWITCH="ON")*(COUNTIFS(OVR_TICKERS,INDEX(HSCEI!$C$7:$C$66,$N613),OVR_BASE,"&gt;=0")&gt;0)&gt;0,"stock overridden",""))</f>
        <v/>
      </c>
      <c r="L613" s="39">
        <f>IFERROR(IF(SMALL(Grids!$EE$160:$GQ$219,$M$439+172)&gt;=PEND_TO,"",SMALL(Grids!$EE$160:$GQ$219,$M$439+172)),"")</f>
        <v/>
      </c>
      <c r="M613" s="39">
        <f>IF($L613="","",INT($L613/1000000000))</f>
        <v/>
      </c>
      <c r="N613" s="39">
        <f>IF($L613="","",INT(($L613-INT($L613/1000000)*1000000)/1000))</f>
        <v/>
      </c>
      <c r="O613" s="39">
        <f>IF($L613="","",$L613-INT($L613/1000)*1000)</f>
        <v/>
      </c>
      <c r="P613" s="39">
        <f>IF($L613="","",INT(($L613-INT($L613/1000000000)*1000000000)/100000000))</f>
        <v/>
      </c>
    </row>
    <row r="614">
      <c r="B614" s="42">
        <f>IF($L614="","",$M614)</f>
        <v/>
      </c>
      <c r="C614" s="22">
        <f>IF($L614="","",INDEX(HSCEI!$C$7:$C$66,$N614))</f>
        <v/>
      </c>
      <c r="D614" s="22">
        <f>IF($L614="","",INDEX(HSCEI!$D$7:$D$66,$N614))</f>
        <v/>
      </c>
      <c r="E614" s="43">
        <f>IF($L614="","",IF($P614=0,"TBA",IFERROR(INDEX(Grids!$C$160:$BO$219,$N614,$O614),"-")))</f>
        <v/>
      </c>
      <c r="F614" s="22">
        <f>IF($L614="","",INDEX(HSCEI!$F$7:$F$66,$N614))</f>
        <v/>
      </c>
      <c r="G614" s="43">
        <f>IF($L614="","",IF($P614=0,"TBA",IFERROR(INDEX(Grids!$BQ$160:$EC$219,$N614,$O614),"-")))</f>
        <v/>
      </c>
      <c r="H614" s="44">
        <f>IF($L614="","",SUM($G$442:$G614))</f>
        <v/>
      </c>
      <c r="I614" s="45">
        <f>IF($L614="","",IF(INT(($L614-INT($L614/10000000)*10000000)/1000000)=0,"Bloomberg projection",IF($P614=1,"ANNOUNCED","ANNOUNCED - amount TBA")))</f>
        <v/>
      </c>
      <c r="J614" s="46">
        <f>IF($L614="","",IF((OV_SWITCH="ON")*(COUNTIFS(OVR_TICKERS,INDEX(HSCEI!$C$7:$C$66,$N614),OVR_BASE,"&gt;=0")&gt;0)&gt;0,"stock overridden",""))</f>
        <v/>
      </c>
      <c r="L614" s="39">
        <f>IFERROR(IF(SMALL(Grids!$EE$160:$GQ$219,$M$439+173)&gt;=PEND_TO,"",SMALL(Grids!$EE$160:$GQ$219,$M$439+173)),"")</f>
        <v/>
      </c>
      <c r="M614" s="39">
        <f>IF($L614="","",INT($L614/1000000000))</f>
        <v/>
      </c>
      <c r="N614" s="39">
        <f>IF($L614="","",INT(($L614-INT($L614/1000000)*1000000)/1000))</f>
        <v/>
      </c>
      <c r="O614" s="39">
        <f>IF($L614="","",$L614-INT($L614/1000)*1000)</f>
        <v/>
      </c>
      <c r="P614" s="39">
        <f>IF($L614="","",INT(($L614-INT($L614/1000000000)*1000000000)/100000000))</f>
        <v/>
      </c>
    </row>
    <row r="615">
      <c r="B615" s="42">
        <f>IF($L615="","",$M615)</f>
        <v/>
      </c>
      <c r="C615" s="22">
        <f>IF($L615="","",INDEX(HSCEI!$C$7:$C$66,$N615))</f>
        <v/>
      </c>
      <c r="D615" s="22">
        <f>IF($L615="","",INDEX(HSCEI!$D$7:$D$66,$N615))</f>
        <v/>
      </c>
      <c r="E615" s="43">
        <f>IF($L615="","",IF($P615=0,"TBA",IFERROR(INDEX(Grids!$C$160:$BO$219,$N615,$O615),"-")))</f>
        <v/>
      </c>
      <c r="F615" s="22">
        <f>IF($L615="","",INDEX(HSCEI!$F$7:$F$66,$N615))</f>
        <v/>
      </c>
      <c r="G615" s="43">
        <f>IF($L615="","",IF($P615=0,"TBA",IFERROR(INDEX(Grids!$BQ$160:$EC$219,$N615,$O615),"-")))</f>
        <v/>
      </c>
      <c r="H615" s="44">
        <f>IF($L615="","",SUM($G$442:$G615))</f>
        <v/>
      </c>
      <c r="I615" s="45">
        <f>IF($L615="","",IF(INT(($L615-INT($L615/10000000)*10000000)/1000000)=0,"Bloomberg projection",IF($P615=1,"ANNOUNCED","ANNOUNCED - amount TBA")))</f>
        <v/>
      </c>
      <c r="J615" s="46">
        <f>IF($L615="","",IF((OV_SWITCH="ON")*(COUNTIFS(OVR_TICKERS,INDEX(HSCEI!$C$7:$C$66,$N615),OVR_BASE,"&gt;=0")&gt;0)&gt;0,"stock overridden",""))</f>
        <v/>
      </c>
      <c r="L615" s="39">
        <f>IFERROR(IF(SMALL(Grids!$EE$160:$GQ$219,$M$439+174)&gt;=PEND_TO,"",SMALL(Grids!$EE$160:$GQ$219,$M$439+174)),"")</f>
        <v/>
      </c>
      <c r="M615" s="39">
        <f>IF($L615="","",INT($L615/1000000000))</f>
        <v/>
      </c>
      <c r="N615" s="39">
        <f>IF($L615="","",INT(($L615-INT($L615/1000000)*1000000)/1000))</f>
        <v/>
      </c>
      <c r="O615" s="39">
        <f>IF($L615="","",$L615-INT($L615/1000)*1000)</f>
        <v/>
      </c>
      <c r="P615" s="39">
        <f>IF($L615="","",INT(($L615-INT($L615/1000000000)*1000000000)/100000000))</f>
        <v/>
      </c>
    </row>
    <row r="616">
      <c r="B616" s="42">
        <f>IF($L616="","",$M616)</f>
        <v/>
      </c>
      <c r="C616" s="22">
        <f>IF($L616="","",INDEX(HSCEI!$C$7:$C$66,$N616))</f>
        <v/>
      </c>
      <c r="D616" s="22">
        <f>IF($L616="","",INDEX(HSCEI!$D$7:$D$66,$N616))</f>
        <v/>
      </c>
      <c r="E616" s="43">
        <f>IF($L616="","",IF($P616=0,"TBA",IFERROR(INDEX(Grids!$C$160:$BO$219,$N616,$O616),"-")))</f>
        <v/>
      </c>
      <c r="F616" s="22">
        <f>IF($L616="","",INDEX(HSCEI!$F$7:$F$66,$N616))</f>
        <v/>
      </c>
      <c r="G616" s="43">
        <f>IF($L616="","",IF($P616=0,"TBA",IFERROR(INDEX(Grids!$BQ$160:$EC$219,$N616,$O616),"-")))</f>
        <v/>
      </c>
      <c r="H616" s="44">
        <f>IF($L616="","",SUM($G$442:$G616))</f>
        <v/>
      </c>
      <c r="I616" s="45">
        <f>IF($L616="","",IF(INT(($L616-INT($L616/10000000)*10000000)/1000000)=0,"Bloomberg projection",IF($P616=1,"ANNOUNCED","ANNOUNCED - amount TBA")))</f>
        <v/>
      </c>
      <c r="J616" s="46">
        <f>IF($L616="","",IF((OV_SWITCH="ON")*(COUNTIFS(OVR_TICKERS,INDEX(HSCEI!$C$7:$C$66,$N616),OVR_BASE,"&gt;=0")&gt;0)&gt;0,"stock overridden",""))</f>
        <v/>
      </c>
      <c r="L616" s="39">
        <f>IFERROR(IF(SMALL(Grids!$EE$160:$GQ$219,$M$439+175)&gt;=PEND_TO,"",SMALL(Grids!$EE$160:$GQ$219,$M$439+175)),"")</f>
        <v/>
      </c>
      <c r="M616" s="39">
        <f>IF($L616="","",INT($L616/1000000000))</f>
        <v/>
      </c>
      <c r="N616" s="39">
        <f>IF($L616="","",INT(($L616-INT($L616/1000000)*1000000)/1000))</f>
        <v/>
      </c>
      <c r="O616" s="39">
        <f>IF($L616="","",$L616-INT($L616/1000)*1000)</f>
        <v/>
      </c>
      <c r="P616" s="39">
        <f>IF($L616="","",INT(($L616-INT($L616/1000000000)*1000000000)/100000000))</f>
        <v/>
      </c>
    </row>
    <row r="617">
      <c r="B617" s="42">
        <f>IF($L617="","",$M617)</f>
        <v/>
      </c>
      <c r="C617" s="22">
        <f>IF($L617="","",INDEX(HSCEI!$C$7:$C$66,$N617))</f>
        <v/>
      </c>
      <c r="D617" s="22">
        <f>IF($L617="","",INDEX(HSCEI!$D$7:$D$66,$N617))</f>
        <v/>
      </c>
      <c r="E617" s="43">
        <f>IF($L617="","",IF($P617=0,"TBA",IFERROR(INDEX(Grids!$C$160:$BO$219,$N617,$O617),"-")))</f>
        <v/>
      </c>
      <c r="F617" s="22">
        <f>IF($L617="","",INDEX(HSCEI!$F$7:$F$66,$N617))</f>
        <v/>
      </c>
      <c r="G617" s="43">
        <f>IF($L617="","",IF($P617=0,"TBA",IFERROR(INDEX(Grids!$BQ$160:$EC$219,$N617,$O617),"-")))</f>
        <v/>
      </c>
      <c r="H617" s="44">
        <f>IF($L617="","",SUM($G$442:$G617))</f>
        <v/>
      </c>
      <c r="I617" s="45">
        <f>IF($L617="","",IF(INT(($L617-INT($L617/10000000)*10000000)/1000000)=0,"Bloomberg projection",IF($P617=1,"ANNOUNCED","ANNOUNCED - amount TBA")))</f>
        <v/>
      </c>
      <c r="J617" s="46">
        <f>IF($L617="","",IF((OV_SWITCH="ON")*(COUNTIFS(OVR_TICKERS,INDEX(HSCEI!$C$7:$C$66,$N617),OVR_BASE,"&gt;=0")&gt;0)&gt;0,"stock overridden",""))</f>
        <v/>
      </c>
      <c r="L617" s="39">
        <f>IFERROR(IF(SMALL(Grids!$EE$160:$GQ$219,$M$439+176)&gt;=PEND_TO,"",SMALL(Grids!$EE$160:$GQ$219,$M$439+176)),"")</f>
        <v/>
      </c>
      <c r="M617" s="39">
        <f>IF($L617="","",INT($L617/1000000000))</f>
        <v/>
      </c>
      <c r="N617" s="39">
        <f>IF($L617="","",INT(($L617-INT($L617/1000000)*1000000)/1000))</f>
        <v/>
      </c>
      <c r="O617" s="39">
        <f>IF($L617="","",$L617-INT($L617/1000)*1000)</f>
        <v/>
      </c>
      <c r="P617" s="39">
        <f>IF($L617="","",INT(($L617-INT($L617/1000000000)*1000000000)/100000000))</f>
        <v/>
      </c>
    </row>
    <row r="618">
      <c r="B618" s="42">
        <f>IF($L618="","",$M618)</f>
        <v/>
      </c>
      <c r="C618" s="22">
        <f>IF($L618="","",INDEX(HSCEI!$C$7:$C$66,$N618))</f>
        <v/>
      </c>
      <c r="D618" s="22">
        <f>IF($L618="","",INDEX(HSCEI!$D$7:$D$66,$N618))</f>
        <v/>
      </c>
      <c r="E618" s="43">
        <f>IF($L618="","",IF($P618=0,"TBA",IFERROR(INDEX(Grids!$C$160:$BO$219,$N618,$O618),"-")))</f>
        <v/>
      </c>
      <c r="F618" s="22">
        <f>IF($L618="","",INDEX(HSCEI!$F$7:$F$66,$N618))</f>
        <v/>
      </c>
      <c r="G618" s="43">
        <f>IF($L618="","",IF($P618=0,"TBA",IFERROR(INDEX(Grids!$BQ$160:$EC$219,$N618,$O618),"-")))</f>
        <v/>
      </c>
      <c r="H618" s="44">
        <f>IF($L618="","",SUM($G$442:$G618))</f>
        <v/>
      </c>
      <c r="I618" s="45">
        <f>IF($L618="","",IF(INT(($L618-INT($L618/10000000)*10000000)/1000000)=0,"Bloomberg projection",IF($P618=1,"ANNOUNCED","ANNOUNCED - amount TBA")))</f>
        <v/>
      </c>
      <c r="J618" s="46">
        <f>IF($L618="","",IF((OV_SWITCH="ON")*(COUNTIFS(OVR_TICKERS,INDEX(HSCEI!$C$7:$C$66,$N618),OVR_BASE,"&gt;=0")&gt;0)&gt;0,"stock overridden",""))</f>
        <v/>
      </c>
      <c r="L618" s="39">
        <f>IFERROR(IF(SMALL(Grids!$EE$160:$GQ$219,$M$439+177)&gt;=PEND_TO,"",SMALL(Grids!$EE$160:$GQ$219,$M$439+177)),"")</f>
        <v/>
      </c>
      <c r="M618" s="39">
        <f>IF($L618="","",INT($L618/1000000000))</f>
        <v/>
      </c>
      <c r="N618" s="39">
        <f>IF($L618="","",INT(($L618-INT($L618/1000000)*1000000)/1000))</f>
        <v/>
      </c>
      <c r="O618" s="39">
        <f>IF($L618="","",$L618-INT($L618/1000)*1000)</f>
        <v/>
      </c>
      <c r="P618" s="39">
        <f>IF($L618="","",INT(($L618-INT($L618/1000000000)*1000000000)/100000000))</f>
        <v/>
      </c>
    </row>
    <row r="619">
      <c r="B619" s="42">
        <f>IF($L619="","",$M619)</f>
        <v/>
      </c>
      <c r="C619" s="22">
        <f>IF($L619="","",INDEX(HSCEI!$C$7:$C$66,$N619))</f>
        <v/>
      </c>
      <c r="D619" s="22">
        <f>IF($L619="","",INDEX(HSCEI!$D$7:$D$66,$N619))</f>
        <v/>
      </c>
      <c r="E619" s="43">
        <f>IF($L619="","",IF($P619=0,"TBA",IFERROR(INDEX(Grids!$C$160:$BO$219,$N619,$O619),"-")))</f>
        <v/>
      </c>
      <c r="F619" s="22">
        <f>IF($L619="","",INDEX(HSCEI!$F$7:$F$66,$N619))</f>
        <v/>
      </c>
      <c r="G619" s="43">
        <f>IF($L619="","",IF($P619=0,"TBA",IFERROR(INDEX(Grids!$BQ$160:$EC$219,$N619,$O619),"-")))</f>
        <v/>
      </c>
      <c r="H619" s="44">
        <f>IF($L619="","",SUM($G$442:$G619))</f>
        <v/>
      </c>
      <c r="I619" s="45">
        <f>IF($L619="","",IF(INT(($L619-INT($L619/10000000)*10000000)/1000000)=0,"Bloomberg projection",IF($P619=1,"ANNOUNCED","ANNOUNCED - amount TBA")))</f>
        <v/>
      </c>
      <c r="J619" s="46">
        <f>IF($L619="","",IF((OV_SWITCH="ON")*(COUNTIFS(OVR_TICKERS,INDEX(HSCEI!$C$7:$C$66,$N619),OVR_BASE,"&gt;=0")&gt;0)&gt;0,"stock overridden",""))</f>
        <v/>
      </c>
      <c r="L619" s="39">
        <f>IFERROR(IF(SMALL(Grids!$EE$160:$GQ$219,$M$439+178)&gt;=PEND_TO,"",SMALL(Grids!$EE$160:$GQ$219,$M$439+178)),"")</f>
        <v/>
      </c>
      <c r="M619" s="39">
        <f>IF($L619="","",INT($L619/1000000000))</f>
        <v/>
      </c>
      <c r="N619" s="39">
        <f>IF($L619="","",INT(($L619-INT($L619/1000000)*1000000)/1000))</f>
        <v/>
      </c>
      <c r="O619" s="39">
        <f>IF($L619="","",$L619-INT($L619/1000)*1000)</f>
        <v/>
      </c>
      <c r="P619" s="39">
        <f>IF($L619="","",INT(($L619-INT($L619/1000000000)*1000000000)/100000000))</f>
        <v/>
      </c>
    </row>
    <row r="620">
      <c r="B620" s="42">
        <f>IF($L620="","",$M620)</f>
        <v/>
      </c>
      <c r="C620" s="22">
        <f>IF($L620="","",INDEX(HSCEI!$C$7:$C$66,$N620))</f>
        <v/>
      </c>
      <c r="D620" s="22">
        <f>IF($L620="","",INDEX(HSCEI!$D$7:$D$66,$N620))</f>
        <v/>
      </c>
      <c r="E620" s="43">
        <f>IF($L620="","",IF($P620=0,"TBA",IFERROR(INDEX(Grids!$C$160:$BO$219,$N620,$O620),"-")))</f>
        <v/>
      </c>
      <c r="F620" s="22">
        <f>IF($L620="","",INDEX(HSCEI!$F$7:$F$66,$N620))</f>
        <v/>
      </c>
      <c r="G620" s="43">
        <f>IF($L620="","",IF($P620=0,"TBA",IFERROR(INDEX(Grids!$BQ$160:$EC$219,$N620,$O620),"-")))</f>
        <v/>
      </c>
      <c r="H620" s="44">
        <f>IF($L620="","",SUM($G$442:$G620))</f>
        <v/>
      </c>
      <c r="I620" s="45">
        <f>IF($L620="","",IF(INT(($L620-INT($L620/10000000)*10000000)/1000000)=0,"Bloomberg projection",IF($P620=1,"ANNOUNCED","ANNOUNCED - amount TBA")))</f>
        <v/>
      </c>
      <c r="J620" s="46">
        <f>IF($L620="","",IF((OV_SWITCH="ON")*(COUNTIFS(OVR_TICKERS,INDEX(HSCEI!$C$7:$C$66,$N620),OVR_BASE,"&gt;=0")&gt;0)&gt;0,"stock overridden",""))</f>
        <v/>
      </c>
      <c r="L620" s="39">
        <f>IFERROR(IF(SMALL(Grids!$EE$160:$GQ$219,$M$439+179)&gt;=PEND_TO,"",SMALL(Grids!$EE$160:$GQ$219,$M$439+179)),"")</f>
        <v/>
      </c>
      <c r="M620" s="39">
        <f>IF($L620="","",INT($L620/1000000000))</f>
        <v/>
      </c>
      <c r="N620" s="39">
        <f>IF($L620="","",INT(($L620-INT($L620/1000000)*1000000)/1000))</f>
        <v/>
      </c>
      <c r="O620" s="39">
        <f>IF($L620="","",$L620-INT($L620/1000)*1000)</f>
        <v/>
      </c>
      <c r="P620" s="39">
        <f>IF($L620="","",INT(($L620-INT($L620/1000000000)*1000000000)/100000000))</f>
        <v/>
      </c>
    </row>
    <row r="621">
      <c r="B621" s="42">
        <f>IF($L621="","",$M621)</f>
        <v/>
      </c>
      <c r="C621" s="22">
        <f>IF($L621="","",INDEX(HSCEI!$C$7:$C$66,$N621))</f>
        <v/>
      </c>
      <c r="D621" s="22">
        <f>IF($L621="","",INDEX(HSCEI!$D$7:$D$66,$N621))</f>
        <v/>
      </c>
      <c r="E621" s="43">
        <f>IF($L621="","",IF($P621=0,"TBA",IFERROR(INDEX(Grids!$C$160:$BO$219,$N621,$O621),"-")))</f>
        <v/>
      </c>
      <c r="F621" s="22">
        <f>IF($L621="","",INDEX(HSCEI!$F$7:$F$66,$N621))</f>
        <v/>
      </c>
      <c r="G621" s="43">
        <f>IF($L621="","",IF($P621=0,"TBA",IFERROR(INDEX(Grids!$BQ$160:$EC$219,$N621,$O621),"-")))</f>
        <v/>
      </c>
      <c r="H621" s="44">
        <f>IF($L621="","",SUM($G$442:$G621))</f>
        <v/>
      </c>
      <c r="I621" s="45">
        <f>IF($L621="","",IF(INT(($L621-INT($L621/10000000)*10000000)/1000000)=0,"Bloomberg projection",IF($P621=1,"ANNOUNCED","ANNOUNCED - amount TBA")))</f>
        <v/>
      </c>
      <c r="J621" s="46">
        <f>IF($L621="","",IF((OV_SWITCH="ON")*(COUNTIFS(OVR_TICKERS,INDEX(HSCEI!$C$7:$C$66,$N621),OVR_BASE,"&gt;=0")&gt;0)&gt;0,"stock overridden",""))</f>
        <v/>
      </c>
      <c r="L621" s="39">
        <f>IFERROR(IF(SMALL(Grids!$EE$160:$GQ$219,$M$439+180)&gt;=PEND_TO,"",SMALL(Grids!$EE$160:$GQ$219,$M$439+180)),"")</f>
        <v/>
      </c>
      <c r="M621" s="39">
        <f>IF($L621="","",INT($L621/1000000000))</f>
        <v/>
      </c>
      <c r="N621" s="39">
        <f>IF($L621="","",INT(($L621-INT($L621/1000000)*1000000)/1000))</f>
        <v/>
      </c>
      <c r="O621" s="39">
        <f>IF($L621="","",$L621-INT($L621/1000)*1000)</f>
        <v/>
      </c>
      <c r="P621" s="39">
        <f>IF($L621="","",INT(($L621-INT($L621/1000000000)*1000000000)/100000000))</f>
        <v/>
      </c>
    </row>
  </sheetData>
  <conditionalFormatting sqref="I10:I309">
    <cfRule type="expression" priority="1" dxfId="0">
      <formula>ISNUMBER(SEARCH("TBA",$I10))</formula>
    </cfRule>
  </conditionalFormatting>
  <conditionalFormatting sqref="I316:I435">
    <cfRule type="expression" priority="2" dxfId="0">
      <formula>ISNUMBER(SEARCH("TBA",$I316))</formula>
    </cfRule>
  </conditionalFormatting>
  <conditionalFormatting sqref="I442:I621">
    <cfRule type="expression" priority="3" dxfId="0">
      <formula>ISNUMBER(SEARCH("TBA",$I442))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D08E"/>
    <outlinePr summaryBelow="1" summaryRight="1"/>
    <pageSetUpPr/>
  </sheetPr>
  <dimension ref="B1:T39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3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B1" s="1" t="inlineStr">
        <is>
          <t>DIVIDEND FLOW - WHEN THE POINTS GO EX</t>
        </is>
      </c>
    </row>
    <row r="2">
      <c r="B2" s="2" t="inlineStr">
        <is>
          <t>Year Y by ex-date. Up to the valuation date = realized, after it = still to come. Bloomberg's event view (with your cash-type rules).</t>
        </is>
      </c>
    </row>
    <row r="4">
      <c r="B4" s="8" t="inlineStr">
        <is>
          <t>Year</t>
        </is>
      </c>
      <c r="C4" s="47">
        <f>YEAR_Y</f>
        <v/>
      </c>
      <c r="D4" s="8" t="inlineStr">
        <is>
          <t>Valuation</t>
        </is>
      </c>
      <c r="E4" s="48">
        <f>VAL_DATE</f>
        <v/>
      </c>
    </row>
    <row r="6">
      <c r="B6" s="6" t="inlineStr">
        <is>
          <t>YEAR TOTALS (index points)</t>
        </is>
      </c>
      <c r="C6" s="7" t="n"/>
      <c r="D6" s="7" t="n"/>
      <c r="E6" s="7" t="n"/>
      <c r="F6" s="7" t="n"/>
      <c r="G6" s="7" t="n"/>
      <c r="H6" s="7" t="n"/>
    </row>
    <row r="7">
      <c r="C7" s="2" t="inlineStr">
        <is>
          <t>Realized</t>
        </is>
      </c>
      <c r="D7" s="2" t="inlineStr">
        <is>
          <t>Still to come</t>
        </is>
      </c>
      <c r="E7" s="2" t="inlineStr">
        <is>
          <t>YEAR TOTAL</t>
        </is>
      </c>
      <c r="J7" s="6" t="inlineStr">
        <is>
          <t>BY MONTH (realized vs still to come)</t>
        </is>
      </c>
      <c r="K7" s="7" t="n"/>
      <c r="L7" s="7" t="n"/>
      <c r="M7" s="7" t="n"/>
      <c r="N7" s="7" t="n"/>
      <c r="O7" s="7" t="n"/>
      <c r="P7" s="7" t="n"/>
      <c r="R7" s="2" t="inlineStr">
        <is>
          <t>cumulative to month-end</t>
        </is>
      </c>
    </row>
    <row r="8">
      <c r="B8" s="3" t="inlineStr">
        <is>
          <t>HSI</t>
        </is>
      </c>
      <c r="C8" s="25">
        <f>HSI!$O$5</f>
        <v/>
      </c>
      <c r="D8" s="25">
        <f>HSI!$P$5</f>
        <v/>
      </c>
      <c r="E8" s="49">
        <f>HSI!$Q$5</f>
        <v/>
      </c>
      <c r="J8" s="23" t="inlineStr">
        <is>
          <t>Month</t>
        </is>
      </c>
      <c r="K8" s="23" t="inlineStr">
        <is>
          <t>HSI
realized</t>
        </is>
      </c>
      <c r="L8" s="23" t="inlineStr">
        <is>
          <t>HSI
to come</t>
        </is>
      </c>
      <c r="M8" s="23" t="inlineStr">
        <is>
          <t>HSTECH
realized</t>
        </is>
      </c>
      <c r="N8" s="23" t="inlineStr">
        <is>
          <t>HSTECH
to come</t>
        </is>
      </c>
      <c r="O8" s="23" t="inlineStr">
        <is>
          <t>HSCEI
realized</t>
        </is>
      </c>
      <c r="P8" s="23" t="inlineStr">
        <is>
          <t>HSCEI
to come</t>
        </is>
      </c>
      <c r="R8" s="23" t="inlineStr">
        <is>
          <t>HSI</t>
        </is>
      </c>
      <c r="S8" s="23" t="inlineStr">
        <is>
          <t>HSTECH</t>
        </is>
      </c>
      <c r="T8" s="23" t="inlineStr">
        <is>
          <t>HSCEI</t>
        </is>
      </c>
    </row>
    <row r="9">
      <c r="B9" s="3" t="inlineStr">
        <is>
          <t>HSTECH</t>
        </is>
      </c>
      <c r="C9" s="25">
        <f>HSTECH!$O$5</f>
        <v/>
      </c>
      <c r="D9" s="25">
        <f>HSTECH!$P$5</f>
        <v/>
      </c>
      <c r="E9" s="49">
        <f>HSTECH!$Q$5</f>
        <v/>
      </c>
      <c r="J9" s="45">
        <f>TEXT(DATE(YEAR_Y,1,1),"mmm")</f>
        <v/>
      </c>
      <c r="K9" s="50">
        <f>SUMIFS($C$26:$C$395,$B$26:$B$395,"&gt;="&amp;DATE(YEAR_Y,1,1),$B$26:$B$395,"&lt;"&amp;DATE(YEAR_Y+(1=12),MOD(1,12)+1,1),$B$26:$B$395,"&lt;="&amp;VAL_DATE)</f>
        <v/>
      </c>
      <c r="L9" s="50">
        <f>SUMIFS($C$26:$C$395,$B$26:$B$395,"&gt;="&amp;DATE(YEAR_Y,1,1),$B$26:$B$395,"&lt;"&amp;DATE(YEAR_Y+(1=12),MOD(1,12)+1,1),$B$26:$B$395,"&gt;"&amp;VAL_DATE)</f>
        <v/>
      </c>
      <c r="M9" s="50">
        <f>SUMIFS($D$26:$D$395,$B$26:$B$395,"&gt;="&amp;DATE(YEAR_Y,1,1),$B$26:$B$395,"&lt;"&amp;DATE(YEAR_Y+(1=12),MOD(1,12)+1,1),$B$26:$B$395,"&lt;="&amp;VAL_DATE)</f>
        <v/>
      </c>
      <c r="N9" s="50">
        <f>SUMIFS($D$26:$D$395,$B$26:$B$395,"&gt;="&amp;DATE(YEAR_Y,1,1),$B$26:$B$395,"&lt;"&amp;DATE(YEAR_Y+(1=12),MOD(1,12)+1,1),$B$26:$B$395,"&gt;"&amp;VAL_DATE)</f>
        <v/>
      </c>
      <c r="O9" s="50">
        <f>SUMIFS($E$26:$E$395,$B$26:$B$395,"&gt;="&amp;DATE(YEAR_Y,1,1),$B$26:$B$395,"&lt;"&amp;DATE(YEAR_Y+(1=12),MOD(1,12)+1,1),$B$26:$B$395,"&lt;="&amp;VAL_DATE)</f>
        <v/>
      </c>
      <c r="P9" s="50">
        <f>SUMIFS($E$26:$E$395,$B$26:$B$395,"&gt;="&amp;DATE(YEAR_Y,1,1),$B$26:$B$395,"&lt;"&amp;DATE(YEAR_Y+(1=12),MOD(1,12)+1,1),$B$26:$B$395,"&gt;"&amp;VAL_DATE)</f>
        <v/>
      </c>
      <c r="R9" s="50">
        <f>SUM($K$9:$L9)</f>
        <v/>
      </c>
      <c r="S9" s="50">
        <f>SUM($M$9:$N9)</f>
        <v/>
      </c>
      <c r="T9" s="50">
        <f>SUM($O$9:$P9)</f>
        <v/>
      </c>
    </row>
    <row r="10">
      <c r="B10" s="3" t="inlineStr">
        <is>
          <t>HSCEI</t>
        </is>
      </c>
      <c r="C10" s="25">
        <f>HSCEI!$O$5</f>
        <v/>
      </c>
      <c r="D10" s="25">
        <f>HSCEI!$P$5</f>
        <v/>
      </c>
      <c r="E10" s="49">
        <f>HSCEI!$Q$5</f>
        <v/>
      </c>
      <c r="J10" s="45">
        <f>TEXT(DATE(YEAR_Y,2,1),"mmm")</f>
        <v/>
      </c>
      <c r="K10" s="50">
        <f>SUMIFS($C$26:$C$395,$B$26:$B$395,"&gt;="&amp;DATE(YEAR_Y,2,1),$B$26:$B$395,"&lt;"&amp;DATE(YEAR_Y+(2=12),MOD(2,12)+1,1),$B$26:$B$395,"&lt;="&amp;VAL_DATE)</f>
        <v/>
      </c>
      <c r="L10" s="50">
        <f>SUMIFS($C$26:$C$395,$B$26:$B$395,"&gt;="&amp;DATE(YEAR_Y,2,1),$B$26:$B$395,"&lt;"&amp;DATE(YEAR_Y+(2=12),MOD(2,12)+1,1),$B$26:$B$395,"&gt;"&amp;VAL_DATE)</f>
        <v/>
      </c>
      <c r="M10" s="50">
        <f>SUMIFS($D$26:$D$395,$B$26:$B$395,"&gt;="&amp;DATE(YEAR_Y,2,1),$B$26:$B$395,"&lt;"&amp;DATE(YEAR_Y+(2=12),MOD(2,12)+1,1),$B$26:$B$395,"&lt;="&amp;VAL_DATE)</f>
        <v/>
      </c>
      <c r="N10" s="50">
        <f>SUMIFS($D$26:$D$395,$B$26:$B$395,"&gt;="&amp;DATE(YEAR_Y,2,1),$B$26:$B$395,"&lt;"&amp;DATE(YEAR_Y+(2=12),MOD(2,12)+1,1),$B$26:$B$395,"&gt;"&amp;VAL_DATE)</f>
        <v/>
      </c>
      <c r="O10" s="50">
        <f>SUMIFS($E$26:$E$395,$B$26:$B$395,"&gt;="&amp;DATE(YEAR_Y,2,1),$B$26:$B$395,"&lt;"&amp;DATE(YEAR_Y+(2=12),MOD(2,12)+1,1),$B$26:$B$395,"&lt;="&amp;VAL_DATE)</f>
        <v/>
      </c>
      <c r="P10" s="50">
        <f>SUMIFS($E$26:$E$395,$B$26:$B$395,"&gt;="&amp;DATE(YEAR_Y,2,1),$B$26:$B$395,"&lt;"&amp;DATE(YEAR_Y+(2=12),MOD(2,12)+1,1),$B$26:$B$395,"&gt;"&amp;VAL_DATE)</f>
        <v/>
      </c>
      <c r="R10" s="50">
        <f>SUM($K$9:$L10)</f>
        <v/>
      </c>
      <c r="S10" s="50">
        <f>SUM($M$9:$N10)</f>
        <v/>
      </c>
      <c r="T10" s="50">
        <f>SUM($O$9:$P10)</f>
        <v/>
      </c>
    </row>
    <row r="11">
      <c r="J11" s="45">
        <f>TEXT(DATE(YEAR_Y,3,1),"mmm")</f>
        <v/>
      </c>
      <c r="K11" s="50">
        <f>SUMIFS($C$26:$C$395,$B$26:$B$395,"&gt;="&amp;DATE(YEAR_Y,3,1),$B$26:$B$395,"&lt;"&amp;DATE(YEAR_Y+(3=12),MOD(3,12)+1,1),$B$26:$B$395,"&lt;="&amp;VAL_DATE)</f>
        <v/>
      </c>
      <c r="L11" s="50">
        <f>SUMIFS($C$26:$C$395,$B$26:$B$395,"&gt;="&amp;DATE(YEAR_Y,3,1),$B$26:$B$395,"&lt;"&amp;DATE(YEAR_Y+(3=12),MOD(3,12)+1,1),$B$26:$B$395,"&gt;"&amp;VAL_DATE)</f>
        <v/>
      </c>
      <c r="M11" s="50">
        <f>SUMIFS($D$26:$D$395,$B$26:$B$395,"&gt;="&amp;DATE(YEAR_Y,3,1),$B$26:$B$395,"&lt;"&amp;DATE(YEAR_Y+(3=12),MOD(3,12)+1,1),$B$26:$B$395,"&lt;="&amp;VAL_DATE)</f>
        <v/>
      </c>
      <c r="N11" s="50">
        <f>SUMIFS($D$26:$D$395,$B$26:$B$395,"&gt;="&amp;DATE(YEAR_Y,3,1),$B$26:$B$395,"&lt;"&amp;DATE(YEAR_Y+(3=12),MOD(3,12)+1,1),$B$26:$B$395,"&gt;"&amp;VAL_DATE)</f>
        <v/>
      </c>
      <c r="O11" s="50">
        <f>SUMIFS($E$26:$E$395,$B$26:$B$395,"&gt;="&amp;DATE(YEAR_Y,3,1),$B$26:$B$395,"&lt;"&amp;DATE(YEAR_Y+(3=12),MOD(3,12)+1,1),$B$26:$B$395,"&lt;="&amp;VAL_DATE)</f>
        <v/>
      </c>
      <c r="P11" s="50">
        <f>SUMIFS($E$26:$E$395,$B$26:$B$395,"&gt;="&amp;DATE(YEAR_Y,3,1),$B$26:$B$395,"&lt;"&amp;DATE(YEAR_Y+(3=12),MOD(3,12)+1,1),$B$26:$B$395,"&gt;"&amp;VAL_DATE)</f>
        <v/>
      </c>
      <c r="R11" s="50">
        <f>SUM($K$9:$L11)</f>
        <v/>
      </c>
      <c r="S11" s="50">
        <f>SUM($M$9:$N11)</f>
        <v/>
      </c>
      <c r="T11" s="50">
        <f>SUM($O$9:$P11)</f>
        <v/>
      </c>
    </row>
    <row r="12">
      <c r="J12" s="45">
        <f>TEXT(DATE(YEAR_Y,4,1),"mmm")</f>
        <v/>
      </c>
      <c r="K12" s="50">
        <f>SUMIFS($C$26:$C$395,$B$26:$B$395,"&gt;="&amp;DATE(YEAR_Y,4,1),$B$26:$B$395,"&lt;"&amp;DATE(YEAR_Y+(4=12),MOD(4,12)+1,1),$B$26:$B$395,"&lt;="&amp;VAL_DATE)</f>
        <v/>
      </c>
      <c r="L12" s="50">
        <f>SUMIFS($C$26:$C$395,$B$26:$B$395,"&gt;="&amp;DATE(YEAR_Y,4,1),$B$26:$B$395,"&lt;"&amp;DATE(YEAR_Y+(4=12),MOD(4,12)+1,1),$B$26:$B$395,"&gt;"&amp;VAL_DATE)</f>
        <v/>
      </c>
      <c r="M12" s="50">
        <f>SUMIFS($D$26:$D$395,$B$26:$B$395,"&gt;="&amp;DATE(YEAR_Y,4,1),$B$26:$B$395,"&lt;"&amp;DATE(YEAR_Y+(4=12),MOD(4,12)+1,1),$B$26:$B$395,"&lt;="&amp;VAL_DATE)</f>
        <v/>
      </c>
      <c r="N12" s="50">
        <f>SUMIFS($D$26:$D$395,$B$26:$B$395,"&gt;="&amp;DATE(YEAR_Y,4,1),$B$26:$B$395,"&lt;"&amp;DATE(YEAR_Y+(4=12),MOD(4,12)+1,1),$B$26:$B$395,"&gt;"&amp;VAL_DATE)</f>
        <v/>
      </c>
      <c r="O12" s="50">
        <f>SUMIFS($E$26:$E$395,$B$26:$B$395,"&gt;="&amp;DATE(YEAR_Y,4,1),$B$26:$B$395,"&lt;"&amp;DATE(YEAR_Y+(4=12),MOD(4,12)+1,1),$B$26:$B$395,"&lt;="&amp;VAL_DATE)</f>
        <v/>
      </c>
      <c r="P12" s="50">
        <f>SUMIFS($E$26:$E$395,$B$26:$B$395,"&gt;="&amp;DATE(YEAR_Y,4,1),$B$26:$B$395,"&lt;"&amp;DATE(YEAR_Y+(4=12),MOD(4,12)+1,1),$B$26:$B$395,"&gt;"&amp;VAL_DATE)</f>
        <v/>
      </c>
      <c r="R12" s="50">
        <f>SUM($K$9:$L12)</f>
        <v/>
      </c>
      <c r="S12" s="50">
        <f>SUM($M$9:$N12)</f>
        <v/>
      </c>
      <c r="T12" s="50">
        <f>SUM($O$9:$P12)</f>
        <v/>
      </c>
    </row>
    <row r="13">
      <c r="J13" s="45">
        <f>TEXT(DATE(YEAR_Y,5,1),"mmm")</f>
        <v/>
      </c>
      <c r="K13" s="50">
        <f>SUMIFS($C$26:$C$395,$B$26:$B$395,"&gt;="&amp;DATE(YEAR_Y,5,1),$B$26:$B$395,"&lt;"&amp;DATE(YEAR_Y+(5=12),MOD(5,12)+1,1),$B$26:$B$395,"&lt;="&amp;VAL_DATE)</f>
        <v/>
      </c>
      <c r="L13" s="50">
        <f>SUMIFS($C$26:$C$395,$B$26:$B$395,"&gt;="&amp;DATE(YEAR_Y,5,1),$B$26:$B$395,"&lt;"&amp;DATE(YEAR_Y+(5=12),MOD(5,12)+1,1),$B$26:$B$395,"&gt;"&amp;VAL_DATE)</f>
        <v/>
      </c>
      <c r="M13" s="50">
        <f>SUMIFS($D$26:$D$395,$B$26:$B$395,"&gt;="&amp;DATE(YEAR_Y,5,1),$B$26:$B$395,"&lt;"&amp;DATE(YEAR_Y+(5=12),MOD(5,12)+1,1),$B$26:$B$395,"&lt;="&amp;VAL_DATE)</f>
        <v/>
      </c>
      <c r="N13" s="50">
        <f>SUMIFS($D$26:$D$395,$B$26:$B$395,"&gt;="&amp;DATE(YEAR_Y,5,1),$B$26:$B$395,"&lt;"&amp;DATE(YEAR_Y+(5=12),MOD(5,12)+1,1),$B$26:$B$395,"&gt;"&amp;VAL_DATE)</f>
        <v/>
      </c>
      <c r="O13" s="50">
        <f>SUMIFS($E$26:$E$395,$B$26:$B$395,"&gt;="&amp;DATE(YEAR_Y,5,1),$B$26:$B$395,"&lt;"&amp;DATE(YEAR_Y+(5=12),MOD(5,12)+1,1),$B$26:$B$395,"&lt;="&amp;VAL_DATE)</f>
        <v/>
      </c>
      <c r="P13" s="50">
        <f>SUMIFS($E$26:$E$395,$B$26:$B$395,"&gt;="&amp;DATE(YEAR_Y,5,1),$B$26:$B$395,"&lt;"&amp;DATE(YEAR_Y+(5=12),MOD(5,12)+1,1),$B$26:$B$395,"&gt;"&amp;VAL_DATE)</f>
        <v/>
      </c>
      <c r="R13" s="50">
        <f>SUM($K$9:$L13)</f>
        <v/>
      </c>
      <c r="S13" s="50">
        <f>SUM($M$9:$N13)</f>
        <v/>
      </c>
      <c r="T13" s="50">
        <f>SUM($O$9:$P13)</f>
        <v/>
      </c>
    </row>
    <row r="14">
      <c r="J14" s="45">
        <f>TEXT(DATE(YEAR_Y,6,1),"mmm")</f>
        <v/>
      </c>
      <c r="K14" s="50">
        <f>SUMIFS($C$26:$C$395,$B$26:$B$395,"&gt;="&amp;DATE(YEAR_Y,6,1),$B$26:$B$395,"&lt;"&amp;DATE(YEAR_Y+(6=12),MOD(6,12)+1,1),$B$26:$B$395,"&lt;="&amp;VAL_DATE)</f>
        <v/>
      </c>
      <c r="L14" s="50">
        <f>SUMIFS($C$26:$C$395,$B$26:$B$395,"&gt;="&amp;DATE(YEAR_Y,6,1),$B$26:$B$395,"&lt;"&amp;DATE(YEAR_Y+(6=12),MOD(6,12)+1,1),$B$26:$B$395,"&gt;"&amp;VAL_DATE)</f>
        <v/>
      </c>
      <c r="M14" s="50">
        <f>SUMIFS($D$26:$D$395,$B$26:$B$395,"&gt;="&amp;DATE(YEAR_Y,6,1),$B$26:$B$395,"&lt;"&amp;DATE(YEAR_Y+(6=12),MOD(6,12)+1,1),$B$26:$B$395,"&lt;="&amp;VAL_DATE)</f>
        <v/>
      </c>
      <c r="N14" s="50">
        <f>SUMIFS($D$26:$D$395,$B$26:$B$395,"&gt;="&amp;DATE(YEAR_Y,6,1),$B$26:$B$395,"&lt;"&amp;DATE(YEAR_Y+(6=12),MOD(6,12)+1,1),$B$26:$B$395,"&gt;"&amp;VAL_DATE)</f>
        <v/>
      </c>
      <c r="O14" s="50">
        <f>SUMIFS($E$26:$E$395,$B$26:$B$395,"&gt;="&amp;DATE(YEAR_Y,6,1),$B$26:$B$395,"&lt;"&amp;DATE(YEAR_Y+(6=12),MOD(6,12)+1,1),$B$26:$B$395,"&lt;="&amp;VAL_DATE)</f>
        <v/>
      </c>
      <c r="P14" s="50">
        <f>SUMIFS($E$26:$E$395,$B$26:$B$395,"&gt;="&amp;DATE(YEAR_Y,6,1),$B$26:$B$395,"&lt;"&amp;DATE(YEAR_Y+(6=12),MOD(6,12)+1,1),$B$26:$B$395,"&gt;"&amp;VAL_DATE)</f>
        <v/>
      </c>
      <c r="R14" s="50">
        <f>SUM($K$9:$L14)</f>
        <v/>
      </c>
      <c r="S14" s="50">
        <f>SUM($M$9:$N14)</f>
        <v/>
      </c>
      <c r="T14" s="50">
        <f>SUM($O$9:$P14)</f>
        <v/>
      </c>
    </row>
    <row r="15">
      <c r="J15" s="45">
        <f>TEXT(DATE(YEAR_Y,7,1),"mmm")</f>
        <v/>
      </c>
      <c r="K15" s="50">
        <f>SUMIFS($C$26:$C$395,$B$26:$B$395,"&gt;="&amp;DATE(YEAR_Y,7,1),$B$26:$B$395,"&lt;"&amp;DATE(YEAR_Y+(7=12),MOD(7,12)+1,1),$B$26:$B$395,"&lt;="&amp;VAL_DATE)</f>
        <v/>
      </c>
      <c r="L15" s="50">
        <f>SUMIFS($C$26:$C$395,$B$26:$B$395,"&gt;="&amp;DATE(YEAR_Y,7,1),$B$26:$B$395,"&lt;"&amp;DATE(YEAR_Y+(7=12),MOD(7,12)+1,1),$B$26:$B$395,"&gt;"&amp;VAL_DATE)</f>
        <v/>
      </c>
      <c r="M15" s="50">
        <f>SUMIFS($D$26:$D$395,$B$26:$B$395,"&gt;="&amp;DATE(YEAR_Y,7,1),$B$26:$B$395,"&lt;"&amp;DATE(YEAR_Y+(7=12),MOD(7,12)+1,1),$B$26:$B$395,"&lt;="&amp;VAL_DATE)</f>
        <v/>
      </c>
      <c r="N15" s="50">
        <f>SUMIFS($D$26:$D$395,$B$26:$B$395,"&gt;="&amp;DATE(YEAR_Y,7,1),$B$26:$B$395,"&lt;"&amp;DATE(YEAR_Y+(7=12),MOD(7,12)+1,1),$B$26:$B$395,"&gt;"&amp;VAL_DATE)</f>
        <v/>
      </c>
      <c r="O15" s="50">
        <f>SUMIFS($E$26:$E$395,$B$26:$B$395,"&gt;="&amp;DATE(YEAR_Y,7,1),$B$26:$B$395,"&lt;"&amp;DATE(YEAR_Y+(7=12),MOD(7,12)+1,1),$B$26:$B$395,"&lt;="&amp;VAL_DATE)</f>
        <v/>
      </c>
      <c r="P15" s="50">
        <f>SUMIFS($E$26:$E$395,$B$26:$B$395,"&gt;="&amp;DATE(YEAR_Y,7,1),$B$26:$B$395,"&lt;"&amp;DATE(YEAR_Y+(7=12),MOD(7,12)+1,1),$B$26:$B$395,"&gt;"&amp;VAL_DATE)</f>
        <v/>
      </c>
      <c r="R15" s="50">
        <f>SUM($K$9:$L15)</f>
        <v/>
      </c>
      <c r="S15" s="50">
        <f>SUM($M$9:$N15)</f>
        <v/>
      </c>
      <c r="T15" s="50">
        <f>SUM($O$9:$P15)</f>
        <v/>
      </c>
    </row>
    <row r="16">
      <c r="J16" s="45">
        <f>TEXT(DATE(YEAR_Y,8,1),"mmm")</f>
        <v/>
      </c>
      <c r="K16" s="50">
        <f>SUMIFS($C$26:$C$395,$B$26:$B$395,"&gt;="&amp;DATE(YEAR_Y,8,1),$B$26:$B$395,"&lt;"&amp;DATE(YEAR_Y+(8=12),MOD(8,12)+1,1),$B$26:$B$395,"&lt;="&amp;VAL_DATE)</f>
        <v/>
      </c>
      <c r="L16" s="50">
        <f>SUMIFS($C$26:$C$395,$B$26:$B$395,"&gt;="&amp;DATE(YEAR_Y,8,1),$B$26:$B$395,"&lt;"&amp;DATE(YEAR_Y+(8=12),MOD(8,12)+1,1),$B$26:$B$395,"&gt;"&amp;VAL_DATE)</f>
        <v/>
      </c>
      <c r="M16" s="50">
        <f>SUMIFS($D$26:$D$395,$B$26:$B$395,"&gt;="&amp;DATE(YEAR_Y,8,1),$B$26:$B$395,"&lt;"&amp;DATE(YEAR_Y+(8=12),MOD(8,12)+1,1),$B$26:$B$395,"&lt;="&amp;VAL_DATE)</f>
        <v/>
      </c>
      <c r="N16" s="50">
        <f>SUMIFS($D$26:$D$395,$B$26:$B$395,"&gt;="&amp;DATE(YEAR_Y,8,1),$B$26:$B$395,"&lt;"&amp;DATE(YEAR_Y+(8=12),MOD(8,12)+1,1),$B$26:$B$395,"&gt;"&amp;VAL_DATE)</f>
        <v/>
      </c>
      <c r="O16" s="50">
        <f>SUMIFS($E$26:$E$395,$B$26:$B$395,"&gt;="&amp;DATE(YEAR_Y,8,1),$B$26:$B$395,"&lt;"&amp;DATE(YEAR_Y+(8=12),MOD(8,12)+1,1),$B$26:$B$395,"&lt;="&amp;VAL_DATE)</f>
        <v/>
      </c>
      <c r="P16" s="50">
        <f>SUMIFS($E$26:$E$395,$B$26:$B$395,"&gt;="&amp;DATE(YEAR_Y,8,1),$B$26:$B$395,"&lt;"&amp;DATE(YEAR_Y+(8=12),MOD(8,12)+1,1),$B$26:$B$395,"&gt;"&amp;VAL_DATE)</f>
        <v/>
      </c>
      <c r="R16" s="50">
        <f>SUM($K$9:$L16)</f>
        <v/>
      </c>
      <c r="S16" s="50">
        <f>SUM($M$9:$N16)</f>
        <v/>
      </c>
      <c r="T16" s="50">
        <f>SUM($O$9:$P16)</f>
        <v/>
      </c>
    </row>
    <row r="17">
      <c r="J17" s="45">
        <f>TEXT(DATE(YEAR_Y,9,1),"mmm")</f>
        <v/>
      </c>
      <c r="K17" s="50">
        <f>SUMIFS($C$26:$C$395,$B$26:$B$395,"&gt;="&amp;DATE(YEAR_Y,9,1),$B$26:$B$395,"&lt;"&amp;DATE(YEAR_Y+(9=12),MOD(9,12)+1,1),$B$26:$B$395,"&lt;="&amp;VAL_DATE)</f>
        <v/>
      </c>
      <c r="L17" s="50">
        <f>SUMIFS($C$26:$C$395,$B$26:$B$395,"&gt;="&amp;DATE(YEAR_Y,9,1),$B$26:$B$395,"&lt;"&amp;DATE(YEAR_Y+(9=12),MOD(9,12)+1,1),$B$26:$B$395,"&gt;"&amp;VAL_DATE)</f>
        <v/>
      </c>
      <c r="M17" s="50">
        <f>SUMIFS($D$26:$D$395,$B$26:$B$395,"&gt;="&amp;DATE(YEAR_Y,9,1),$B$26:$B$395,"&lt;"&amp;DATE(YEAR_Y+(9=12),MOD(9,12)+1,1),$B$26:$B$395,"&lt;="&amp;VAL_DATE)</f>
        <v/>
      </c>
      <c r="N17" s="50">
        <f>SUMIFS($D$26:$D$395,$B$26:$B$395,"&gt;="&amp;DATE(YEAR_Y,9,1),$B$26:$B$395,"&lt;"&amp;DATE(YEAR_Y+(9=12),MOD(9,12)+1,1),$B$26:$B$395,"&gt;"&amp;VAL_DATE)</f>
        <v/>
      </c>
      <c r="O17" s="50">
        <f>SUMIFS($E$26:$E$395,$B$26:$B$395,"&gt;="&amp;DATE(YEAR_Y,9,1),$B$26:$B$395,"&lt;"&amp;DATE(YEAR_Y+(9=12),MOD(9,12)+1,1),$B$26:$B$395,"&lt;="&amp;VAL_DATE)</f>
        <v/>
      </c>
      <c r="P17" s="50">
        <f>SUMIFS($E$26:$E$395,$B$26:$B$395,"&gt;="&amp;DATE(YEAR_Y,9,1),$B$26:$B$395,"&lt;"&amp;DATE(YEAR_Y+(9=12),MOD(9,12)+1,1),$B$26:$B$395,"&gt;"&amp;VAL_DATE)</f>
        <v/>
      </c>
      <c r="R17" s="50">
        <f>SUM($K$9:$L17)</f>
        <v/>
      </c>
      <c r="S17" s="50">
        <f>SUM($M$9:$N17)</f>
        <v/>
      </c>
      <c r="T17" s="50">
        <f>SUM($O$9:$P17)</f>
        <v/>
      </c>
    </row>
    <row r="18">
      <c r="J18" s="45">
        <f>TEXT(DATE(YEAR_Y,10,1),"mmm")</f>
        <v/>
      </c>
      <c r="K18" s="50">
        <f>SUMIFS($C$26:$C$395,$B$26:$B$395,"&gt;="&amp;DATE(YEAR_Y,10,1),$B$26:$B$395,"&lt;"&amp;DATE(YEAR_Y+(10=12),MOD(10,12)+1,1),$B$26:$B$395,"&lt;="&amp;VAL_DATE)</f>
        <v/>
      </c>
      <c r="L18" s="50">
        <f>SUMIFS($C$26:$C$395,$B$26:$B$395,"&gt;="&amp;DATE(YEAR_Y,10,1),$B$26:$B$395,"&lt;"&amp;DATE(YEAR_Y+(10=12),MOD(10,12)+1,1),$B$26:$B$395,"&gt;"&amp;VAL_DATE)</f>
        <v/>
      </c>
      <c r="M18" s="50">
        <f>SUMIFS($D$26:$D$395,$B$26:$B$395,"&gt;="&amp;DATE(YEAR_Y,10,1),$B$26:$B$395,"&lt;"&amp;DATE(YEAR_Y+(10=12),MOD(10,12)+1,1),$B$26:$B$395,"&lt;="&amp;VAL_DATE)</f>
        <v/>
      </c>
      <c r="N18" s="50">
        <f>SUMIFS($D$26:$D$395,$B$26:$B$395,"&gt;="&amp;DATE(YEAR_Y,10,1),$B$26:$B$395,"&lt;"&amp;DATE(YEAR_Y+(10=12),MOD(10,12)+1,1),$B$26:$B$395,"&gt;"&amp;VAL_DATE)</f>
        <v/>
      </c>
      <c r="O18" s="50">
        <f>SUMIFS($E$26:$E$395,$B$26:$B$395,"&gt;="&amp;DATE(YEAR_Y,10,1),$B$26:$B$395,"&lt;"&amp;DATE(YEAR_Y+(10=12),MOD(10,12)+1,1),$B$26:$B$395,"&lt;="&amp;VAL_DATE)</f>
        <v/>
      </c>
      <c r="P18" s="50">
        <f>SUMIFS($E$26:$E$395,$B$26:$B$395,"&gt;="&amp;DATE(YEAR_Y,10,1),$B$26:$B$395,"&lt;"&amp;DATE(YEAR_Y+(10=12),MOD(10,12)+1,1),$B$26:$B$395,"&gt;"&amp;VAL_DATE)</f>
        <v/>
      </c>
      <c r="R18" s="50">
        <f>SUM($K$9:$L18)</f>
        <v/>
      </c>
      <c r="S18" s="50">
        <f>SUM($M$9:$N18)</f>
        <v/>
      </c>
      <c r="T18" s="50">
        <f>SUM($O$9:$P18)</f>
        <v/>
      </c>
    </row>
    <row r="19">
      <c r="J19" s="45">
        <f>TEXT(DATE(YEAR_Y,11,1),"mmm")</f>
        <v/>
      </c>
      <c r="K19" s="50">
        <f>SUMIFS($C$26:$C$395,$B$26:$B$395,"&gt;="&amp;DATE(YEAR_Y,11,1),$B$26:$B$395,"&lt;"&amp;DATE(YEAR_Y+(11=12),MOD(11,12)+1,1),$B$26:$B$395,"&lt;="&amp;VAL_DATE)</f>
        <v/>
      </c>
      <c r="L19" s="50">
        <f>SUMIFS($C$26:$C$395,$B$26:$B$395,"&gt;="&amp;DATE(YEAR_Y,11,1),$B$26:$B$395,"&lt;"&amp;DATE(YEAR_Y+(11=12),MOD(11,12)+1,1),$B$26:$B$395,"&gt;"&amp;VAL_DATE)</f>
        <v/>
      </c>
      <c r="M19" s="50">
        <f>SUMIFS($D$26:$D$395,$B$26:$B$395,"&gt;="&amp;DATE(YEAR_Y,11,1),$B$26:$B$395,"&lt;"&amp;DATE(YEAR_Y+(11=12),MOD(11,12)+1,1),$B$26:$B$395,"&lt;="&amp;VAL_DATE)</f>
        <v/>
      </c>
      <c r="N19" s="50">
        <f>SUMIFS($D$26:$D$395,$B$26:$B$395,"&gt;="&amp;DATE(YEAR_Y,11,1),$B$26:$B$395,"&lt;"&amp;DATE(YEAR_Y+(11=12),MOD(11,12)+1,1),$B$26:$B$395,"&gt;"&amp;VAL_DATE)</f>
        <v/>
      </c>
      <c r="O19" s="50">
        <f>SUMIFS($E$26:$E$395,$B$26:$B$395,"&gt;="&amp;DATE(YEAR_Y,11,1),$B$26:$B$395,"&lt;"&amp;DATE(YEAR_Y+(11=12),MOD(11,12)+1,1),$B$26:$B$395,"&lt;="&amp;VAL_DATE)</f>
        <v/>
      </c>
      <c r="P19" s="50">
        <f>SUMIFS($E$26:$E$395,$B$26:$B$395,"&gt;="&amp;DATE(YEAR_Y,11,1),$B$26:$B$395,"&lt;"&amp;DATE(YEAR_Y+(11=12),MOD(11,12)+1,1),$B$26:$B$395,"&gt;"&amp;VAL_DATE)</f>
        <v/>
      </c>
      <c r="R19" s="50">
        <f>SUM($K$9:$L19)</f>
        <v/>
      </c>
      <c r="S19" s="50">
        <f>SUM($M$9:$N19)</f>
        <v/>
      </c>
      <c r="T19" s="50">
        <f>SUM($O$9:$P19)</f>
        <v/>
      </c>
    </row>
    <row r="20">
      <c r="J20" s="45">
        <f>TEXT(DATE(YEAR_Y,12,1),"mmm")</f>
        <v/>
      </c>
      <c r="K20" s="50">
        <f>SUMIFS($C$26:$C$395,$B$26:$B$395,"&gt;="&amp;DATE(YEAR_Y,12,1),$B$26:$B$395,"&lt;"&amp;DATE(YEAR_Y+(12=12),MOD(12,12)+1,1),$B$26:$B$395,"&lt;="&amp;VAL_DATE)</f>
        <v/>
      </c>
      <c r="L20" s="50">
        <f>SUMIFS($C$26:$C$395,$B$26:$B$395,"&gt;="&amp;DATE(YEAR_Y,12,1),$B$26:$B$395,"&lt;"&amp;DATE(YEAR_Y+(12=12),MOD(12,12)+1,1),$B$26:$B$395,"&gt;"&amp;VAL_DATE)</f>
        <v/>
      </c>
      <c r="M20" s="50">
        <f>SUMIFS($D$26:$D$395,$B$26:$B$395,"&gt;="&amp;DATE(YEAR_Y,12,1),$B$26:$B$395,"&lt;"&amp;DATE(YEAR_Y+(12=12),MOD(12,12)+1,1),$B$26:$B$395,"&lt;="&amp;VAL_DATE)</f>
        <v/>
      </c>
      <c r="N20" s="50">
        <f>SUMIFS($D$26:$D$395,$B$26:$B$395,"&gt;="&amp;DATE(YEAR_Y,12,1),$B$26:$B$395,"&lt;"&amp;DATE(YEAR_Y+(12=12),MOD(12,12)+1,1),$B$26:$B$395,"&gt;"&amp;VAL_DATE)</f>
        <v/>
      </c>
      <c r="O20" s="50">
        <f>SUMIFS($E$26:$E$395,$B$26:$B$395,"&gt;="&amp;DATE(YEAR_Y,12,1),$B$26:$B$395,"&lt;"&amp;DATE(YEAR_Y+(12=12),MOD(12,12)+1,1),$B$26:$B$395,"&lt;="&amp;VAL_DATE)</f>
        <v/>
      </c>
      <c r="P20" s="50">
        <f>SUMIFS($E$26:$E$395,$B$26:$B$395,"&gt;="&amp;DATE(YEAR_Y,12,1),$B$26:$B$395,"&lt;"&amp;DATE(YEAR_Y+(12=12),MOD(12,12)+1,1),$B$26:$B$395,"&gt;"&amp;VAL_DATE)</f>
        <v/>
      </c>
      <c r="R20" s="50">
        <f>SUM($K$9:$L20)</f>
        <v/>
      </c>
      <c r="S20" s="50">
        <f>SUM($M$9:$N20)</f>
        <v/>
      </c>
      <c r="T20" s="50">
        <f>SUM($O$9:$P20)</f>
        <v/>
      </c>
    </row>
    <row r="24">
      <c r="B24" s="6" t="inlineStr">
        <is>
          <t>BY DAY</t>
        </is>
      </c>
      <c r="C24" s="7" t="n"/>
      <c r="D24" s="7" t="n"/>
      <c r="E24" s="7" t="n"/>
      <c r="F24" s="7" t="n"/>
      <c r="G24" s="7" t="n"/>
      <c r="H24" s="7" t="n"/>
    </row>
    <row r="25">
      <c r="B25" s="23" t="inlineStr">
        <is>
          <t>Date</t>
        </is>
      </c>
      <c r="C25" s="23" t="inlineStr">
        <is>
          <t>HSI
pts</t>
        </is>
      </c>
      <c r="D25" s="23" t="inlineStr">
        <is>
          <t>HSTECH
pts</t>
        </is>
      </c>
      <c r="E25" s="23" t="inlineStr">
        <is>
          <t>HSCEI
pts</t>
        </is>
      </c>
      <c r="F25" s="23" t="inlineStr">
        <is>
          <t>HSI
cumulative</t>
        </is>
      </c>
      <c r="G25" s="23" t="inlineStr">
        <is>
          <t>HSTECH
cumulative</t>
        </is>
      </c>
      <c r="H25" s="23" t="inlineStr">
        <is>
          <t>HSCEI
cumulative</t>
        </is>
      </c>
    </row>
    <row r="26">
      <c r="B26" s="51">
        <f>IF(DATE(YEAR_Y,1,1)+0&gt;DATE(YEAR_Y,12,31),"",DATE(YEAR_Y,1,1)+0)</f>
        <v/>
      </c>
      <c r="C26" s="52">
        <f>IF($B26="","",SUMIFS(Grids!$BQ$12:$EC$111,Grids!$EE$12:$GQ$111,"&gt;="&amp;$B26*1000000000,Grids!$EE$12:$GQ$111,"&lt;"&amp;($B26+1)*1000000000))</f>
        <v/>
      </c>
      <c r="D26" s="52">
        <f>IF($B26="","",SUMIFS(Grids!$BQ$116:$EC$155,Grids!$EE$116:$GQ$155,"&gt;="&amp;$B26*1000000000,Grids!$EE$116:$GQ$155,"&lt;"&amp;($B26+1)*1000000000))</f>
        <v/>
      </c>
      <c r="E26" s="52">
        <f>IF($B26="","",SUMIFS(Grids!$BQ$160:$EC$219,Grids!$EE$160:$GQ$219,"&gt;="&amp;$B26*1000000000,Grids!$EE$160:$GQ$219,"&lt;"&amp;($B26+1)*1000000000))</f>
        <v/>
      </c>
      <c r="F26" s="53">
        <f>IF($B26="","",SUM($C$26:$C26))</f>
        <v/>
      </c>
      <c r="G26" s="53">
        <f>IF($B26="","",SUM($D$26:$D26))</f>
        <v/>
      </c>
      <c r="H26" s="53">
        <f>IF($B26="","",SUM($E$26:$E26))</f>
        <v/>
      </c>
    </row>
    <row r="27">
      <c r="B27" s="51">
        <f>IF(DATE(YEAR_Y,1,1)+1&gt;DATE(YEAR_Y,12,31),"",DATE(YEAR_Y,1,1)+1)</f>
        <v/>
      </c>
      <c r="C27" s="52">
        <f>IF($B27="","",SUMIFS(Grids!$BQ$12:$EC$111,Grids!$EE$12:$GQ$111,"&gt;="&amp;$B27*1000000000,Grids!$EE$12:$GQ$111,"&lt;"&amp;($B27+1)*1000000000))</f>
        <v/>
      </c>
      <c r="D27" s="52">
        <f>IF($B27="","",SUMIFS(Grids!$BQ$116:$EC$155,Grids!$EE$116:$GQ$155,"&gt;="&amp;$B27*1000000000,Grids!$EE$116:$GQ$155,"&lt;"&amp;($B27+1)*1000000000))</f>
        <v/>
      </c>
      <c r="E27" s="52">
        <f>IF($B27="","",SUMIFS(Grids!$BQ$160:$EC$219,Grids!$EE$160:$GQ$219,"&gt;="&amp;$B27*1000000000,Grids!$EE$160:$GQ$219,"&lt;"&amp;($B27+1)*1000000000))</f>
        <v/>
      </c>
      <c r="F27" s="53">
        <f>IF($B27="","",SUM($C$26:$C27))</f>
        <v/>
      </c>
      <c r="G27" s="53">
        <f>IF($B27="","",SUM($D$26:$D27))</f>
        <v/>
      </c>
      <c r="H27" s="53">
        <f>IF($B27="","",SUM($E$26:$E27))</f>
        <v/>
      </c>
    </row>
    <row r="28">
      <c r="B28" s="51">
        <f>IF(DATE(YEAR_Y,1,1)+2&gt;DATE(YEAR_Y,12,31),"",DATE(YEAR_Y,1,1)+2)</f>
        <v/>
      </c>
      <c r="C28" s="52">
        <f>IF($B28="","",SUMIFS(Grids!$BQ$12:$EC$111,Grids!$EE$12:$GQ$111,"&gt;="&amp;$B28*1000000000,Grids!$EE$12:$GQ$111,"&lt;"&amp;($B28+1)*1000000000))</f>
        <v/>
      </c>
      <c r="D28" s="52">
        <f>IF($B28="","",SUMIFS(Grids!$BQ$116:$EC$155,Grids!$EE$116:$GQ$155,"&gt;="&amp;$B28*1000000000,Grids!$EE$116:$GQ$155,"&lt;"&amp;($B28+1)*1000000000))</f>
        <v/>
      </c>
      <c r="E28" s="52">
        <f>IF($B28="","",SUMIFS(Grids!$BQ$160:$EC$219,Grids!$EE$160:$GQ$219,"&gt;="&amp;$B28*1000000000,Grids!$EE$160:$GQ$219,"&lt;"&amp;($B28+1)*1000000000))</f>
        <v/>
      </c>
      <c r="F28" s="53">
        <f>IF($B28="","",SUM($C$26:$C28))</f>
        <v/>
      </c>
      <c r="G28" s="53">
        <f>IF($B28="","",SUM($D$26:$D28))</f>
        <v/>
      </c>
      <c r="H28" s="53">
        <f>IF($B28="","",SUM($E$26:$E28))</f>
        <v/>
      </c>
    </row>
    <row r="29">
      <c r="B29" s="51">
        <f>IF(DATE(YEAR_Y,1,1)+3&gt;DATE(YEAR_Y,12,31),"",DATE(YEAR_Y,1,1)+3)</f>
        <v/>
      </c>
      <c r="C29" s="52">
        <f>IF($B29="","",SUMIFS(Grids!$BQ$12:$EC$111,Grids!$EE$12:$GQ$111,"&gt;="&amp;$B29*1000000000,Grids!$EE$12:$GQ$111,"&lt;"&amp;($B29+1)*1000000000))</f>
        <v/>
      </c>
      <c r="D29" s="52">
        <f>IF($B29="","",SUMIFS(Grids!$BQ$116:$EC$155,Grids!$EE$116:$GQ$155,"&gt;="&amp;$B29*1000000000,Grids!$EE$116:$GQ$155,"&lt;"&amp;($B29+1)*1000000000))</f>
        <v/>
      </c>
      <c r="E29" s="52">
        <f>IF($B29="","",SUMIFS(Grids!$BQ$160:$EC$219,Grids!$EE$160:$GQ$219,"&gt;="&amp;$B29*1000000000,Grids!$EE$160:$GQ$219,"&lt;"&amp;($B29+1)*1000000000))</f>
        <v/>
      </c>
      <c r="F29" s="53">
        <f>IF($B29="","",SUM($C$26:$C29))</f>
        <v/>
      </c>
      <c r="G29" s="53">
        <f>IF($B29="","",SUM($D$26:$D29))</f>
        <v/>
      </c>
      <c r="H29" s="53">
        <f>IF($B29="","",SUM($E$26:$E29))</f>
        <v/>
      </c>
    </row>
    <row r="30">
      <c r="B30" s="51">
        <f>IF(DATE(YEAR_Y,1,1)+4&gt;DATE(YEAR_Y,12,31),"",DATE(YEAR_Y,1,1)+4)</f>
        <v/>
      </c>
      <c r="C30" s="52">
        <f>IF($B30="","",SUMIFS(Grids!$BQ$12:$EC$111,Grids!$EE$12:$GQ$111,"&gt;="&amp;$B30*1000000000,Grids!$EE$12:$GQ$111,"&lt;"&amp;($B30+1)*1000000000))</f>
        <v/>
      </c>
      <c r="D30" s="52">
        <f>IF($B30="","",SUMIFS(Grids!$BQ$116:$EC$155,Grids!$EE$116:$GQ$155,"&gt;="&amp;$B30*1000000000,Grids!$EE$116:$GQ$155,"&lt;"&amp;($B30+1)*1000000000))</f>
        <v/>
      </c>
      <c r="E30" s="52">
        <f>IF($B30="","",SUMIFS(Grids!$BQ$160:$EC$219,Grids!$EE$160:$GQ$219,"&gt;="&amp;$B30*1000000000,Grids!$EE$160:$GQ$219,"&lt;"&amp;($B30+1)*1000000000))</f>
        <v/>
      </c>
      <c r="F30" s="53">
        <f>IF($B30="","",SUM($C$26:$C30))</f>
        <v/>
      </c>
      <c r="G30" s="53">
        <f>IF($B30="","",SUM($D$26:$D30))</f>
        <v/>
      </c>
      <c r="H30" s="53">
        <f>IF($B30="","",SUM($E$26:$E30))</f>
        <v/>
      </c>
    </row>
    <row r="31">
      <c r="B31" s="51">
        <f>IF(DATE(YEAR_Y,1,1)+5&gt;DATE(YEAR_Y,12,31),"",DATE(YEAR_Y,1,1)+5)</f>
        <v/>
      </c>
      <c r="C31" s="52">
        <f>IF($B31="","",SUMIFS(Grids!$BQ$12:$EC$111,Grids!$EE$12:$GQ$111,"&gt;="&amp;$B31*1000000000,Grids!$EE$12:$GQ$111,"&lt;"&amp;($B31+1)*1000000000))</f>
        <v/>
      </c>
      <c r="D31" s="52">
        <f>IF($B31="","",SUMIFS(Grids!$BQ$116:$EC$155,Grids!$EE$116:$GQ$155,"&gt;="&amp;$B31*1000000000,Grids!$EE$116:$GQ$155,"&lt;"&amp;($B31+1)*1000000000))</f>
        <v/>
      </c>
      <c r="E31" s="52">
        <f>IF($B31="","",SUMIFS(Grids!$BQ$160:$EC$219,Grids!$EE$160:$GQ$219,"&gt;="&amp;$B31*1000000000,Grids!$EE$160:$GQ$219,"&lt;"&amp;($B31+1)*1000000000))</f>
        <v/>
      </c>
      <c r="F31" s="53">
        <f>IF($B31="","",SUM($C$26:$C31))</f>
        <v/>
      </c>
      <c r="G31" s="53">
        <f>IF($B31="","",SUM($D$26:$D31))</f>
        <v/>
      </c>
      <c r="H31" s="53">
        <f>IF($B31="","",SUM($E$26:$E31))</f>
        <v/>
      </c>
    </row>
    <row r="32">
      <c r="B32" s="51">
        <f>IF(DATE(YEAR_Y,1,1)+6&gt;DATE(YEAR_Y,12,31),"",DATE(YEAR_Y,1,1)+6)</f>
        <v/>
      </c>
      <c r="C32" s="52">
        <f>IF($B32="","",SUMIFS(Grids!$BQ$12:$EC$111,Grids!$EE$12:$GQ$111,"&gt;="&amp;$B32*1000000000,Grids!$EE$12:$GQ$111,"&lt;"&amp;($B32+1)*1000000000))</f>
        <v/>
      </c>
      <c r="D32" s="52">
        <f>IF($B32="","",SUMIFS(Grids!$BQ$116:$EC$155,Grids!$EE$116:$GQ$155,"&gt;="&amp;$B32*1000000000,Grids!$EE$116:$GQ$155,"&lt;"&amp;($B32+1)*1000000000))</f>
        <v/>
      </c>
      <c r="E32" s="52">
        <f>IF($B32="","",SUMIFS(Grids!$BQ$160:$EC$219,Grids!$EE$160:$GQ$219,"&gt;="&amp;$B32*1000000000,Grids!$EE$160:$GQ$219,"&lt;"&amp;($B32+1)*1000000000))</f>
        <v/>
      </c>
      <c r="F32" s="53">
        <f>IF($B32="","",SUM($C$26:$C32))</f>
        <v/>
      </c>
      <c r="G32" s="53">
        <f>IF($B32="","",SUM($D$26:$D32))</f>
        <v/>
      </c>
      <c r="H32" s="53">
        <f>IF($B32="","",SUM($E$26:$E32))</f>
        <v/>
      </c>
    </row>
    <row r="33">
      <c r="B33" s="51">
        <f>IF(DATE(YEAR_Y,1,1)+7&gt;DATE(YEAR_Y,12,31),"",DATE(YEAR_Y,1,1)+7)</f>
        <v/>
      </c>
      <c r="C33" s="52">
        <f>IF($B33="","",SUMIFS(Grids!$BQ$12:$EC$111,Grids!$EE$12:$GQ$111,"&gt;="&amp;$B33*1000000000,Grids!$EE$12:$GQ$111,"&lt;"&amp;($B33+1)*1000000000))</f>
        <v/>
      </c>
      <c r="D33" s="52">
        <f>IF($B33="","",SUMIFS(Grids!$BQ$116:$EC$155,Grids!$EE$116:$GQ$155,"&gt;="&amp;$B33*1000000000,Grids!$EE$116:$GQ$155,"&lt;"&amp;($B33+1)*1000000000))</f>
        <v/>
      </c>
      <c r="E33" s="52">
        <f>IF($B33="","",SUMIFS(Grids!$BQ$160:$EC$219,Grids!$EE$160:$GQ$219,"&gt;="&amp;$B33*1000000000,Grids!$EE$160:$GQ$219,"&lt;"&amp;($B33+1)*1000000000))</f>
        <v/>
      </c>
      <c r="F33" s="53">
        <f>IF($B33="","",SUM($C$26:$C33))</f>
        <v/>
      </c>
      <c r="G33" s="53">
        <f>IF($B33="","",SUM($D$26:$D33))</f>
        <v/>
      </c>
      <c r="H33" s="53">
        <f>IF($B33="","",SUM($E$26:$E33))</f>
        <v/>
      </c>
    </row>
    <row r="34">
      <c r="B34" s="51">
        <f>IF(DATE(YEAR_Y,1,1)+8&gt;DATE(YEAR_Y,12,31),"",DATE(YEAR_Y,1,1)+8)</f>
        <v/>
      </c>
      <c r="C34" s="52">
        <f>IF($B34="","",SUMIFS(Grids!$BQ$12:$EC$111,Grids!$EE$12:$GQ$111,"&gt;="&amp;$B34*1000000000,Grids!$EE$12:$GQ$111,"&lt;"&amp;($B34+1)*1000000000))</f>
        <v/>
      </c>
      <c r="D34" s="52">
        <f>IF($B34="","",SUMIFS(Grids!$BQ$116:$EC$155,Grids!$EE$116:$GQ$155,"&gt;="&amp;$B34*1000000000,Grids!$EE$116:$GQ$155,"&lt;"&amp;($B34+1)*1000000000))</f>
        <v/>
      </c>
      <c r="E34" s="52">
        <f>IF($B34="","",SUMIFS(Grids!$BQ$160:$EC$219,Grids!$EE$160:$GQ$219,"&gt;="&amp;$B34*1000000000,Grids!$EE$160:$GQ$219,"&lt;"&amp;($B34+1)*1000000000))</f>
        <v/>
      </c>
      <c r="F34" s="53">
        <f>IF($B34="","",SUM($C$26:$C34))</f>
        <v/>
      </c>
      <c r="G34" s="53">
        <f>IF($B34="","",SUM($D$26:$D34))</f>
        <v/>
      </c>
      <c r="H34" s="53">
        <f>IF($B34="","",SUM($E$26:$E34))</f>
        <v/>
      </c>
    </row>
    <row r="35">
      <c r="B35" s="51">
        <f>IF(DATE(YEAR_Y,1,1)+9&gt;DATE(YEAR_Y,12,31),"",DATE(YEAR_Y,1,1)+9)</f>
        <v/>
      </c>
      <c r="C35" s="52">
        <f>IF($B35="","",SUMIFS(Grids!$BQ$12:$EC$111,Grids!$EE$12:$GQ$111,"&gt;="&amp;$B35*1000000000,Grids!$EE$12:$GQ$111,"&lt;"&amp;($B35+1)*1000000000))</f>
        <v/>
      </c>
      <c r="D35" s="52">
        <f>IF($B35="","",SUMIFS(Grids!$BQ$116:$EC$155,Grids!$EE$116:$GQ$155,"&gt;="&amp;$B35*1000000000,Grids!$EE$116:$GQ$155,"&lt;"&amp;($B35+1)*1000000000))</f>
        <v/>
      </c>
      <c r="E35" s="52">
        <f>IF($B35="","",SUMIFS(Grids!$BQ$160:$EC$219,Grids!$EE$160:$GQ$219,"&gt;="&amp;$B35*1000000000,Grids!$EE$160:$GQ$219,"&lt;"&amp;($B35+1)*1000000000))</f>
        <v/>
      </c>
      <c r="F35" s="53">
        <f>IF($B35="","",SUM($C$26:$C35))</f>
        <v/>
      </c>
      <c r="G35" s="53">
        <f>IF($B35="","",SUM($D$26:$D35))</f>
        <v/>
      </c>
      <c r="H35" s="53">
        <f>IF($B35="","",SUM($E$26:$E35))</f>
        <v/>
      </c>
    </row>
    <row r="36">
      <c r="B36" s="51">
        <f>IF(DATE(YEAR_Y,1,1)+10&gt;DATE(YEAR_Y,12,31),"",DATE(YEAR_Y,1,1)+10)</f>
        <v/>
      </c>
      <c r="C36" s="52">
        <f>IF($B36="","",SUMIFS(Grids!$BQ$12:$EC$111,Grids!$EE$12:$GQ$111,"&gt;="&amp;$B36*1000000000,Grids!$EE$12:$GQ$111,"&lt;"&amp;($B36+1)*1000000000))</f>
        <v/>
      </c>
      <c r="D36" s="52">
        <f>IF($B36="","",SUMIFS(Grids!$BQ$116:$EC$155,Grids!$EE$116:$GQ$155,"&gt;="&amp;$B36*1000000000,Grids!$EE$116:$GQ$155,"&lt;"&amp;($B36+1)*1000000000))</f>
        <v/>
      </c>
      <c r="E36" s="52">
        <f>IF($B36="","",SUMIFS(Grids!$BQ$160:$EC$219,Grids!$EE$160:$GQ$219,"&gt;="&amp;$B36*1000000000,Grids!$EE$160:$GQ$219,"&lt;"&amp;($B36+1)*1000000000))</f>
        <v/>
      </c>
      <c r="F36" s="53">
        <f>IF($B36="","",SUM($C$26:$C36))</f>
        <v/>
      </c>
      <c r="G36" s="53">
        <f>IF($B36="","",SUM($D$26:$D36))</f>
        <v/>
      </c>
      <c r="H36" s="53">
        <f>IF($B36="","",SUM($E$26:$E36))</f>
        <v/>
      </c>
    </row>
    <row r="37">
      <c r="B37" s="51">
        <f>IF(DATE(YEAR_Y,1,1)+11&gt;DATE(YEAR_Y,12,31),"",DATE(YEAR_Y,1,1)+11)</f>
        <v/>
      </c>
      <c r="C37" s="52">
        <f>IF($B37="","",SUMIFS(Grids!$BQ$12:$EC$111,Grids!$EE$12:$GQ$111,"&gt;="&amp;$B37*1000000000,Grids!$EE$12:$GQ$111,"&lt;"&amp;($B37+1)*1000000000))</f>
        <v/>
      </c>
      <c r="D37" s="52">
        <f>IF($B37="","",SUMIFS(Grids!$BQ$116:$EC$155,Grids!$EE$116:$GQ$155,"&gt;="&amp;$B37*1000000000,Grids!$EE$116:$GQ$155,"&lt;"&amp;($B37+1)*1000000000))</f>
        <v/>
      </c>
      <c r="E37" s="52">
        <f>IF($B37="","",SUMIFS(Grids!$BQ$160:$EC$219,Grids!$EE$160:$GQ$219,"&gt;="&amp;$B37*1000000000,Grids!$EE$160:$GQ$219,"&lt;"&amp;($B37+1)*1000000000))</f>
        <v/>
      </c>
      <c r="F37" s="53">
        <f>IF($B37="","",SUM($C$26:$C37))</f>
        <v/>
      </c>
      <c r="G37" s="53">
        <f>IF($B37="","",SUM($D$26:$D37))</f>
        <v/>
      </c>
      <c r="H37" s="53">
        <f>IF($B37="","",SUM($E$26:$E37))</f>
        <v/>
      </c>
    </row>
    <row r="38">
      <c r="B38" s="51">
        <f>IF(DATE(YEAR_Y,1,1)+12&gt;DATE(YEAR_Y,12,31),"",DATE(YEAR_Y,1,1)+12)</f>
        <v/>
      </c>
      <c r="C38" s="52">
        <f>IF($B38="","",SUMIFS(Grids!$BQ$12:$EC$111,Grids!$EE$12:$GQ$111,"&gt;="&amp;$B38*1000000000,Grids!$EE$12:$GQ$111,"&lt;"&amp;($B38+1)*1000000000))</f>
        <v/>
      </c>
      <c r="D38" s="52">
        <f>IF($B38="","",SUMIFS(Grids!$BQ$116:$EC$155,Grids!$EE$116:$GQ$155,"&gt;="&amp;$B38*1000000000,Grids!$EE$116:$GQ$155,"&lt;"&amp;($B38+1)*1000000000))</f>
        <v/>
      </c>
      <c r="E38" s="52">
        <f>IF($B38="","",SUMIFS(Grids!$BQ$160:$EC$219,Grids!$EE$160:$GQ$219,"&gt;="&amp;$B38*1000000000,Grids!$EE$160:$GQ$219,"&lt;"&amp;($B38+1)*1000000000))</f>
        <v/>
      </c>
      <c r="F38" s="53">
        <f>IF($B38="","",SUM($C$26:$C38))</f>
        <v/>
      </c>
      <c r="G38" s="53">
        <f>IF($B38="","",SUM($D$26:$D38))</f>
        <v/>
      </c>
      <c r="H38" s="53">
        <f>IF($B38="","",SUM($E$26:$E38))</f>
        <v/>
      </c>
    </row>
    <row r="39">
      <c r="B39" s="51">
        <f>IF(DATE(YEAR_Y,1,1)+13&gt;DATE(YEAR_Y,12,31),"",DATE(YEAR_Y,1,1)+13)</f>
        <v/>
      </c>
      <c r="C39" s="52">
        <f>IF($B39="","",SUMIFS(Grids!$BQ$12:$EC$111,Grids!$EE$12:$GQ$111,"&gt;="&amp;$B39*1000000000,Grids!$EE$12:$GQ$111,"&lt;"&amp;($B39+1)*1000000000))</f>
        <v/>
      </c>
      <c r="D39" s="52">
        <f>IF($B39="","",SUMIFS(Grids!$BQ$116:$EC$155,Grids!$EE$116:$GQ$155,"&gt;="&amp;$B39*1000000000,Grids!$EE$116:$GQ$155,"&lt;"&amp;($B39+1)*1000000000))</f>
        <v/>
      </c>
      <c r="E39" s="52">
        <f>IF($B39="","",SUMIFS(Grids!$BQ$160:$EC$219,Grids!$EE$160:$GQ$219,"&gt;="&amp;$B39*1000000000,Grids!$EE$160:$GQ$219,"&lt;"&amp;($B39+1)*1000000000))</f>
        <v/>
      </c>
      <c r="F39" s="53">
        <f>IF($B39="","",SUM($C$26:$C39))</f>
        <v/>
      </c>
      <c r="G39" s="53">
        <f>IF($B39="","",SUM($D$26:$D39))</f>
        <v/>
      </c>
      <c r="H39" s="53">
        <f>IF($B39="","",SUM($E$26:$E39))</f>
        <v/>
      </c>
    </row>
    <row r="40">
      <c r="B40" s="51">
        <f>IF(DATE(YEAR_Y,1,1)+14&gt;DATE(YEAR_Y,12,31),"",DATE(YEAR_Y,1,1)+14)</f>
        <v/>
      </c>
      <c r="C40" s="52">
        <f>IF($B40="","",SUMIFS(Grids!$BQ$12:$EC$111,Grids!$EE$12:$GQ$111,"&gt;="&amp;$B40*1000000000,Grids!$EE$12:$GQ$111,"&lt;"&amp;($B40+1)*1000000000))</f>
        <v/>
      </c>
      <c r="D40" s="52">
        <f>IF($B40="","",SUMIFS(Grids!$BQ$116:$EC$155,Grids!$EE$116:$GQ$155,"&gt;="&amp;$B40*1000000000,Grids!$EE$116:$GQ$155,"&lt;"&amp;($B40+1)*1000000000))</f>
        <v/>
      </c>
      <c r="E40" s="52">
        <f>IF($B40="","",SUMIFS(Grids!$BQ$160:$EC$219,Grids!$EE$160:$GQ$219,"&gt;="&amp;$B40*1000000000,Grids!$EE$160:$GQ$219,"&lt;"&amp;($B40+1)*1000000000))</f>
        <v/>
      </c>
      <c r="F40" s="53">
        <f>IF($B40="","",SUM($C$26:$C40))</f>
        <v/>
      </c>
      <c r="G40" s="53">
        <f>IF($B40="","",SUM($D$26:$D40))</f>
        <v/>
      </c>
      <c r="H40" s="53">
        <f>IF($B40="","",SUM($E$26:$E40))</f>
        <v/>
      </c>
    </row>
    <row r="41">
      <c r="B41" s="51">
        <f>IF(DATE(YEAR_Y,1,1)+15&gt;DATE(YEAR_Y,12,31),"",DATE(YEAR_Y,1,1)+15)</f>
        <v/>
      </c>
      <c r="C41" s="52">
        <f>IF($B41="","",SUMIFS(Grids!$BQ$12:$EC$111,Grids!$EE$12:$GQ$111,"&gt;="&amp;$B41*1000000000,Grids!$EE$12:$GQ$111,"&lt;"&amp;($B41+1)*1000000000))</f>
        <v/>
      </c>
      <c r="D41" s="52">
        <f>IF($B41="","",SUMIFS(Grids!$BQ$116:$EC$155,Grids!$EE$116:$GQ$155,"&gt;="&amp;$B41*1000000000,Grids!$EE$116:$GQ$155,"&lt;"&amp;($B41+1)*1000000000))</f>
        <v/>
      </c>
      <c r="E41" s="52">
        <f>IF($B41="","",SUMIFS(Grids!$BQ$160:$EC$219,Grids!$EE$160:$GQ$219,"&gt;="&amp;$B41*1000000000,Grids!$EE$160:$GQ$219,"&lt;"&amp;($B41+1)*1000000000))</f>
        <v/>
      </c>
      <c r="F41" s="53">
        <f>IF($B41="","",SUM($C$26:$C41))</f>
        <v/>
      </c>
      <c r="G41" s="53">
        <f>IF($B41="","",SUM($D$26:$D41))</f>
        <v/>
      </c>
      <c r="H41" s="53">
        <f>IF($B41="","",SUM($E$26:$E41))</f>
        <v/>
      </c>
    </row>
    <row r="42">
      <c r="B42" s="51">
        <f>IF(DATE(YEAR_Y,1,1)+16&gt;DATE(YEAR_Y,12,31),"",DATE(YEAR_Y,1,1)+16)</f>
        <v/>
      </c>
      <c r="C42" s="52">
        <f>IF($B42="","",SUMIFS(Grids!$BQ$12:$EC$111,Grids!$EE$12:$GQ$111,"&gt;="&amp;$B42*1000000000,Grids!$EE$12:$GQ$111,"&lt;"&amp;($B42+1)*1000000000))</f>
        <v/>
      </c>
      <c r="D42" s="52">
        <f>IF($B42="","",SUMIFS(Grids!$BQ$116:$EC$155,Grids!$EE$116:$GQ$155,"&gt;="&amp;$B42*1000000000,Grids!$EE$116:$GQ$155,"&lt;"&amp;($B42+1)*1000000000))</f>
        <v/>
      </c>
      <c r="E42" s="52">
        <f>IF($B42="","",SUMIFS(Grids!$BQ$160:$EC$219,Grids!$EE$160:$GQ$219,"&gt;="&amp;$B42*1000000000,Grids!$EE$160:$GQ$219,"&lt;"&amp;($B42+1)*1000000000))</f>
        <v/>
      </c>
      <c r="F42" s="53">
        <f>IF($B42="","",SUM($C$26:$C42))</f>
        <v/>
      </c>
      <c r="G42" s="53">
        <f>IF($B42="","",SUM($D$26:$D42))</f>
        <v/>
      </c>
      <c r="H42" s="53">
        <f>IF($B42="","",SUM($E$26:$E42))</f>
        <v/>
      </c>
    </row>
    <row r="43">
      <c r="B43" s="51">
        <f>IF(DATE(YEAR_Y,1,1)+17&gt;DATE(YEAR_Y,12,31),"",DATE(YEAR_Y,1,1)+17)</f>
        <v/>
      </c>
      <c r="C43" s="52">
        <f>IF($B43="","",SUMIFS(Grids!$BQ$12:$EC$111,Grids!$EE$12:$GQ$111,"&gt;="&amp;$B43*1000000000,Grids!$EE$12:$GQ$111,"&lt;"&amp;($B43+1)*1000000000))</f>
        <v/>
      </c>
      <c r="D43" s="52">
        <f>IF($B43="","",SUMIFS(Grids!$BQ$116:$EC$155,Grids!$EE$116:$GQ$155,"&gt;="&amp;$B43*1000000000,Grids!$EE$116:$GQ$155,"&lt;"&amp;($B43+1)*1000000000))</f>
        <v/>
      </c>
      <c r="E43" s="52">
        <f>IF($B43="","",SUMIFS(Grids!$BQ$160:$EC$219,Grids!$EE$160:$GQ$219,"&gt;="&amp;$B43*1000000000,Grids!$EE$160:$GQ$219,"&lt;"&amp;($B43+1)*1000000000))</f>
        <v/>
      </c>
      <c r="F43" s="53">
        <f>IF($B43="","",SUM($C$26:$C43))</f>
        <v/>
      </c>
      <c r="G43" s="53">
        <f>IF($B43="","",SUM($D$26:$D43))</f>
        <v/>
      </c>
      <c r="H43" s="53">
        <f>IF($B43="","",SUM($E$26:$E43))</f>
        <v/>
      </c>
    </row>
    <row r="44">
      <c r="B44" s="51">
        <f>IF(DATE(YEAR_Y,1,1)+18&gt;DATE(YEAR_Y,12,31),"",DATE(YEAR_Y,1,1)+18)</f>
        <v/>
      </c>
      <c r="C44" s="52">
        <f>IF($B44="","",SUMIFS(Grids!$BQ$12:$EC$111,Grids!$EE$12:$GQ$111,"&gt;="&amp;$B44*1000000000,Grids!$EE$12:$GQ$111,"&lt;"&amp;($B44+1)*1000000000))</f>
        <v/>
      </c>
      <c r="D44" s="52">
        <f>IF($B44="","",SUMIFS(Grids!$BQ$116:$EC$155,Grids!$EE$116:$GQ$155,"&gt;="&amp;$B44*1000000000,Grids!$EE$116:$GQ$155,"&lt;"&amp;($B44+1)*1000000000))</f>
        <v/>
      </c>
      <c r="E44" s="52">
        <f>IF($B44="","",SUMIFS(Grids!$BQ$160:$EC$219,Grids!$EE$160:$GQ$219,"&gt;="&amp;$B44*1000000000,Grids!$EE$160:$GQ$219,"&lt;"&amp;($B44+1)*1000000000))</f>
        <v/>
      </c>
      <c r="F44" s="53">
        <f>IF($B44="","",SUM($C$26:$C44))</f>
        <v/>
      </c>
      <c r="G44" s="53">
        <f>IF($B44="","",SUM($D$26:$D44))</f>
        <v/>
      </c>
      <c r="H44" s="53">
        <f>IF($B44="","",SUM($E$26:$E44))</f>
        <v/>
      </c>
    </row>
    <row r="45">
      <c r="B45" s="51">
        <f>IF(DATE(YEAR_Y,1,1)+19&gt;DATE(YEAR_Y,12,31),"",DATE(YEAR_Y,1,1)+19)</f>
        <v/>
      </c>
      <c r="C45" s="52">
        <f>IF($B45="","",SUMIFS(Grids!$BQ$12:$EC$111,Grids!$EE$12:$GQ$111,"&gt;="&amp;$B45*1000000000,Grids!$EE$12:$GQ$111,"&lt;"&amp;($B45+1)*1000000000))</f>
        <v/>
      </c>
      <c r="D45" s="52">
        <f>IF($B45="","",SUMIFS(Grids!$BQ$116:$EC$155,Grids!$EE$116:$GQ$155,"&gt;="&amp;$B45*1000000000,Grids!$EE$116:$GQ$155,"&lt;"&amp;($B45+1)*1000000000))</f>
        <v/>
      </c>
      <c r="E45" s="52">
        <f>IF($B45="","",SUMIFS(Grids!$BQ$160:$EC$219,Grids!$EE$160:$GQ$219,"&gt;="&amp;$B45*1000000000,Grids!$EE$160:$GQ$219,"&lt;"&amp;($B45+1)*1000000000))</f>
        <v/>
      </c>
      <c r="F45" s="53">
        <f>IF($B45="","",SUM($C$26:$C45))</f>
        <v/>
      </c>
      <c r="G45" s="53">
        <f>IF($B45="","",SUM($D$26:$D45))</f>
        <v/>
      </c>
      <c r="H45" s="53">
        <f>IF($B45="","",SUM($E$26:$E45))</f>
        <v/>
      </c>
    </row>
    <row r="46">
      <c r="B46" s="51">
        <f>IF(DATE(YEAR_Y,1,1)+20&gt;DATE(YEAR_Y,12,31),"",DATE(YEAR_Y,1,1)+20)</f>
        <v/>
      </c>
      <c r="C46" s="52">
        <f>IF($B46="","",SUMIFS(Grids!$BQ$12:$EC$111,Grids!$EE$12:$GQ$111,"&gt;="&amp;$B46*1000000000,Grids!$EE$12:$GQ$111,"&lt;"&amp;($B46+1)*1000000000))</f>
        <v/>
      </c>
      <c r="D46" s="52">
        <f>IF($B46="","",SUMIFS(Grids!$BQ$116:$EC$155,Grids!$EE$116:$GQ$155,"&gt;="&amp;$B46*1000000000,Grids!$EE$116:$GQ$155,"&lt;"&amp;($B46+1)*1000000000))</f>
        <v/>
      </c>
      <c r="E46" s="52">
        <f>IF($B46="","",SUMIFS(Grids!$BQ$160:$EC$219,Grids!$EE$160:$GQ$219,"&gt;="&amp;$B46*1000000000,Grids!$EE$160:$GQ$219,"&lt;"&amp;($B46+1)*1000000000))</f>
        <v/>
      </c>
      <c r="F46" s="53">
        <f>IF($B46="","",SUM($C$26:$C46))</f>
        <v/>
      </c>
      <c r="G46" s="53">
        <f>IF($B46="","",SUM($D$26:$D46))</f>
        <v/>
      </c>
      <c r="H46" s="53">
        <f>IF($B46="","",SUM($E$26:$E46))</f>
        <v/>
      </c>
    </row>
    <row r="47">
      <c r="B47" s="51">
        <f>IF(DATE(YEAR_Y,1,1)+21&gt;DATE(YEAR_Y,12,31),"",DATE(YEAR_Y,1,1)+21)</f>
        <v/>
      </c>
      <c r="C47" s="52">
        <f>IF($B47="","",SUMIFS(Grids!$BQ$12:$EC$111,Grids!$EE$12:$GQ$111,"&gt;="&amp;$B47*1000000000,Grids!$EE$12:$GQ$111,"&lt;"&amp;($B47+1)*1000000000))</f>
        <v/>
      </c>
      <c r="D47" s="52">
        <f>IF($B47="","",SUMIFS(Grids!$BQ$116:$EC$155,Grids!$EE$116:$GQ$155,"&gt;="&amp;$B47*1000000000,Grids!$EE$116:$GQ$155,"&lt;"&amp;($B47+1)*1000000000))</f>
        <v/>
      </c>
      <c r="E47" s="52">
        <f>IF($B47="","",SUMIFS(Grids!$BQ$160:$EC$219,Grids!$EE$160:$GQ$219,"&gt;="&amp;$B47*1000000000,Grids!$EE$160:$GQ$219,"&lt;"&amp;($B47+1)*1000000000))</f>
        <v/>
      </c>
      <c r="F47" s="53">
        <f>IF($B47="","",SUM($C$26:$C47))</f>
        <v/>
      </c>
      <c r="G47" s="53">
        <f>IF($B47="","",SUM($D$26:$D47))</f>
        <v/>
      </c>
      <c r="H47" s="53">
        <f>IF($B47="","",SUM($E$26:$E47))</f>
        <v/>
      </c>
    </row>
    <row r="48">
      <c r="B48" s="51">
        <f>IF(DATE(YEAR_Y,1,1)+22&gt;DATE(YEAR_Y,12,31),"",DATE(YEAR_Y,1,1)+22)</f>
        <v/>
      </c>
      <c r="C48" s="52">
        <f>IF($B48="","",SUMIFS(Grids!$BQ$12:$EC$111,Grids!$EE$12:$GQ$111,"&gt;="&amp;$B48*1000000000,Grids!$EE$12:$GQ$111,"&lt;"&amp;($B48+1)*1000000000))</f>
        <v/>
      </c>
      <c r="D48" s="52">
        <f>IF($B48="","",SUMIFS(Grids!$BQ$116:$EC$155,Grids!$EE$116:$GQ$155,"&gt;="&amp;$B48*1000000000,Grids!$EE$116:$GQ$155,"&lt;"&amp;($B48+1)*1000000000))</f>
        <v/>
      </c>
      <c r="E48" s="52">
        <f>IF($B48="","",SUMIFS(Grids!$BQ$160:$EC$219,Grids!$EE$160:$GQ$219,"&gt;="&amp;$B48*1000000000,Grids!$EE$160:$GQ$219,"&lt;"&amp;($B48+1)*1000000000))</f>
        <v/>
      </c>
      <c r="F48" s="53">
        <f>IF($B48="","",SUM($C$26:$C48))</f>
        <v/>
      </c>
      <c r="G48" s="53">
        <f>IF($B48="","",SUM($D$26:$D48))</f>
        <v/>
      </c>
      <c r="H48" s="53">
        <f>IF($B48="","",SUM($E$26:$E48))</f>
        <v/>
      </c>
    </row>
    <row r="49">
      <c r="B49" s="51">
        <f>IF(DATE(YEAR_Y,1,1)+23&gt;DATE(YEAR_Y,12,31),"",DATE(YEAR_Y,1,1)+23)</f>
        <v/>
      </c>
      <c r="C49" s="52">
        <f>IF($B49="","",SUMIFS(Grids!$BQ$12:$EC$111,Grids!$EE$12:$GQ$111,"&gt;="&amp;$B49*1000000000,Grids!$EE$12:$GQ$111,"&lt;"&amp;($B49+1)*1000000000))</f>
        <v/>
      </c>
      <c r="D49" s="52">
        <f>IF($B49="","",SUMIFS(Grids!$BQ$116:$EC$155,Grids!$EE$116:$GQ$155,"&gt;="&amp;$B49*1000000000,Grids!$EE$116:$GQ$155,"&lt;"&amp;($B49+1)*1000000000))</f>
        <v/>
      </c>
      <c r="E49" s="52">
        <f>IF($B49="","",SUMIFS(Grids!$BQ$160:$EC$219,Grids!$EE$160:$GQ$219,"&gt;="&amp;$B49*1000000000,Grids!$EE$160:$GQ$219,"&lt;"&amp;($B49+1)*1000000000))</f>
        <v/>
      </c>
      <c r="F49" s="53">
        <f>IF($B49="","",SUM($C$26:$C49))</f>
        <v/>
      </c>
      <c r="G49" s="53">
        <f>IF($B49="","",SUM($D$26:$D49))</f>
        <v/>
      </c>
      <c r="H49" s="53">
        <f>IF($B49="","",SUM($E$26:$E49))</f>
        <v/>
      </c>
    </row>
    <row r="50">
      <c r="B50" s="51">
        <f>IF(DATE(YEAR_Y,1,1)+24&gt;DATE(YEAR_Y,12,31),"",DATE(YEAR_Y,1,1)+24)</f>
        <v/>
      </c>
      <c r="C50" s="52">
        <f>IF($B50="","",SUMIFS(Grids!$BQ$12:$EC$111,Grids!$EE$12:$GQ$111,"&gt;="&amp;$B50*1000000000,Grids!$EE$12:$GQ$111,"&lt;"&amp;($B50+1)*1000000000))</f>
        <v/>
      </c>
      <c r="D50" s="52">
        <f>IF($B50="","",SUMIFS(Grids!$BQ$116:$EC$155,Grids!$EE$116:$GQ$155,"&gt;="&amp;$B50*1000000000,Grids!$EE$116:$GQ$155,"&lt;"&amp;($B50+1)*1000000000))</f>
        <v/>
      </c>
      <c r="E50" s="52">
        <f>IF($B50="","",SUMIFS(Grids!$BQ$160:$EC$219,Grids!$EE$160:$GQ$219,"&gt;="&amp;$B50*1000000000,Grids!$EE$160:$GQ$219,"&lt;"&amp;($B50+1)*1000000000))</f>
        <v/>
      </c>
      <c r="F50" s="53">
        <f>IF($B50="","",SUM($C$26:$C50))</f>
        <v/>
      </c>
      <c r="G50" s="53">
        <f>IF($B50="","",SUM($D$26:$D50))</f>
        <v/>
      </c>
      <c r="H50" s="53">
        <f>IF($B50="","",SUM($E$26:$E50))</f>
        <v/>
      </c>
    </row>
    <row r="51">
      <c r="B51" s="51">
        <f>IF(DATE(YEAR_Y,1,1)+25&gt;DATE(YEAR_Y,12,31),"",DATE(YEAR_Y,1,1)+25)</f>
        <v/>
      </c>
      <c r="C51" s="52">
        <f>IF($B51="","",SUMIFS(Grids!$BQ$12:$EC$111,Grids!$EE$12:$GQ$111,"&gt;="&amp;$B51*1000000000,Grids!$EE$12:$GQ$111,"&lt;"&amp;($B51+1)*1000000000))</f>
        <v/>
      </c>
      <c r="D51" s="52">
        <f>IF($B51="","",SUMIFS(Grids!$BQ$116:$EC$155,Grids!$EE$116:$GQ$155,"&gt;="&amp;$B51*1000000000,Grids!$EE$116:$GQ$155,"&lt;"&amp;($B51+1)*1000000000))</f>
        <v/>
      </c>
      <c r="E51" s="52">
        <f>IF($B51="","",SUMIFS(Grids!$BQ$160:$EC$219,Grids!$EE$160:$GQ$219,"&gt;="&amp;$B51*1000000000,Grids!$EE$160:$GQ$219,"&lt;"&amp;($B51+1)*1000000000))</f>
        <v/>
      </c>
      <c r="F51" s="53">
        <f>IF($B51="","",SUM($C$26:$C51))</f>
        <v/>
      </c>
      <c r="G51" s="53">
        <f>IF($B51="","",SUM($D$26:$D51))</f>
        <v/>
      </c>
      <c r="H51" s="53">
        <f>IF($B51="","",SUM($E$26:$E51))</f>
        <v/>
      </c>
    </row>
    <row r="52">
      <c r="B52" s="51">
        <f>IF(DATE(YEAR_Y,1,1)+26&gt;DATE(YEAR_Y,12,31),"",DATE(YEAR_Y,1,1)+26)</f>
        <v/>
      </c>
      <c r="C52" s="52">
        <f>IF($B52="","",SUMIFS(Grids!$BQ$12:$EC$111,Grids!$EE$12:$GQ$111,"&gt;="&amp;$B52*1000000000,Grids!$EE$12:$GQ$111,"&lt;"&amp;($B52+1)*1000000000))</f>
        <v/>
      </c>
      <c r="D52" s="52">
        <f>IF($B52="","",SUMIFS(Grids!$BQ$116:$EC$155,Grids!$EE$116:$GQ$155,"&gt;="&amp;$B52*1000000000,Grids!$EE$116:$GQ$155,"&lt;"&amp;($B52+1)*1000000000))</f>
        <v/>
      </c>
      <c r="E52" s="52">
        <f>IF($B52="","",SUMIFS(Grids!$BQ$160:$EC$219,Grids!$EE$160:$GQ$219,"&gt;="&amp;$B52*1000000000,Grids!$EE$160:$GQ$219,"&lt;"&amp;($B52+1)*1000000000))</f>
        <v/>
      </c>
      <c r="F52" s="53">
        <f>IF($B52="","",SUM($C$26:$C52))</f>
        <v/>
      </c>
      <c r="G52" s="53">
        <f>IF($B52="","",SUM($D$26:$D52))</f>
        <v/>
      </c>
      <c r="H52" s="53">
        <f>IF($B52="","",SUM($E$26:$E52))</f>
        <v/>
      </c>
    </row>
    <row r="53">
      <c r="B53" s="51">
        <f>IF(DATE(YEAR_Y,1,1)+27&gt;DATE(YEAR_Y,12,31),"",DATE(YEAR_Y,1,1)+27)</f>
        <v/>
      </c>
      <c r="C53" s="52">
        <f>IF($B53="","",SUMIFS(Grids!$BQ$12:$EC$111,Grids!$EE$12:$GQ$111,"&gt;="&amp;$B53*1000000000,Grids!$EE$12:$GQ$111,"&lt;"&amp;($B53+1)*1000000000))</f>
        <v/>
      </c>
      <c r="D53" s="52">
        <f>IF($B53="","",SUMIFS(Grids!$BQ$116:$EC$155,Grids!$EE$116:$GQ$155,"&gt;="&amp;$B53*1000000000,Grids!$EE$116:$GQ$155,"&lt;"&amp;($B53+1)*1000000000))</f>
        <v/>
      </c>
      <c r="E53" s="52">
        <f>IF($B53="","",SUMIFS(Grids!$BQ$160:$EC$219,Grids!$EE$160:$GQ$219,"&gt;="&amp;$B53*1000000000,Grids!$EE$160:$GQ$219,"&lt;"&amp;($B53+1)*1000000000))</f>
        <v/>
      </c>
      <c r="F53" s="53">
        <f>IF($B53="","",SUM($C$26:$C53))</f>
        <v/>
      </c>
      <c r="G53" s="53">
        <f>IF($B53="","",SUM($D$26:$D53))</f>
        <v/>
      </c>
      <c r="H53" s="53">
        <f>IF($B53="","",SUM($E$26:$E53))</f>
        <v/>
      </c>
    </row>
    <row r="54">
      <c r="B54" s="51">
        <f>IF(DATE(YEAR_Y,1,1)+28&gt;DATE(YEAR_Y,12,31),"",DATE(YEAR_Y,1,1)+28)</f>
        <v/>
      </c>
      <c r="C54" s="52">
        <f>IF($B54="","",SUMIFS(Grids!$BQ$12:$EC$111,Grids!$EE$12:$GQ$111,"&gt;="&amp;$B54*1000000000,Grids!$EE$12:$GQ$111,"&lt;"&amp;($B54+1)*1000000000))</f>
        <v/>
      </c>
      <c r="D54" s="52">
        <f>IF($B54="","",SUMIFS(Grids!$BQ$116:$EC$155,Grids!$EE$116:$GQ$155,"&gt;="&amp;$B54*1000000000,Grids!$EE$116:$GQ$155,"&lt;"&amp;($B54+1)*1000000000))</f>
        <v/>
      </c>
      <c r="E54" s="52">
        <f>IF($B54="","",SUMIFS(Grids!$BQ$160:$EC$219,Grids!$EE$160:$GQ$219,"&gt;="&amp;$B54*1000000000,Grids!$EE$160:$GQ$219,"&lt;"&amp;($B54+1)*1000000000))</f>
        <v/>
      </c>
      <c r="F54" s="53">
        <f>IF($B54="","",SUM($C$26:$C54))</f>
        <v/>
      </c>
      <c r="G54" s="53">
        <f>IF($B54="","",SUM($D$26:$D54))</f>
        <v/>
      </c>
      <c r="H54" s="53">
        <f>IF($B54="","",SUM($E$26:$E54))</f>
        <v/>
      </c>
    </row>
    <row r="55">
      <c r="B55" s="51">
        <f>IF(DATE(YEAR_Y,1,1)+29&gt;DATE(YEAR_Y,12,31),"",DATE(YEAR_Y,1,1)+29)</f>
        <v/>
      </c>
      <c r="C55" s="52">
        <f>IF($B55="","",SUMIFS(Grids!$BQ$12:$EC$111,Grids!$EE$12:$GQ$111,"&gt;="&amp;$B55*1000000000,Grids!$EE$12:$GQ$111,"&lt;"&amp;($B55+1)*1000000000))</f>
        <v/>
      </c>
      <c r="D55" s="52">
        <f>IF($B55="","",SUMIFS(Grids!$BQ$116:$EC$155,Grids!$EE$116:$GQ$155,"&gt;="&amp;$B55*1000000000,Grids!$EE$116:$GQ$155,"&lt;"&amp;($B55+1)*1000000000))</f>
        <v/>
      </c>
      <c r="E55" s="52">
        <f>IF($B55="","",SUMIFS(Grids!$BQ$160:$EC$219,Grids!$EE$160:$GQ$219,"&gt;="&amp;$B55*1000000000,Grids!$EE$160:$GQ$219,"&lt;"&amp;($B55+1)*1000000000))</f>
        <v/>
      </c>
      <c r="F55" s="53">
        <f>IF($B55="","",SUM($C$26:$C55))</f>
        <v/>
      </c>
      <c r="G55" s="53">
        <f>IF($B55="","",SUM($D$26:$D55))</f>
        <v/>
      </c>
      <c r="H55" s="53">
        <f>IF($B55="","",SUM($E$26:$E55))</f>
        <v/>
      </c>
    </row>
    <row r="56">
      <c r="B56" s="51">
        <f>IF(DATE(YEAR_Y,1,1)+30&gt;DATE(YEAR_Y,12,31),"",DATE(YEAR_Y,1,1)+30)</f>
        <v/>
      </c>
      <c r="C56" s="52">
        <f>IF($B56="","",SUMIFS(Grids!$BQ$12:$EC$111,Grids!$EE$12:$GQ$111,"&gt;="&amp;$B56*1000000000,Grids!$EE$12:$GQ$111,"&lt;"&amp;($B56+1)*1000000000))</f>
        <v/>
      </c>
      <c r="D56" s="52">
        <f>IF($B56="","",SUMIFS(Grids!$BQ$116:$EC$155,Grids!$EE$116:$GQ$155,"&gt;="&amp;$B56*1000000000,Grids!$EE$116:$GQ$155,"&lt;"&amp;($B56+1)*1000000000))</f>
        <v/>
      </c>
      <c r="E56" s="52">
        <f>IF($B56="","",SUMIFS(Grids!$BQ$160:$EC$219,Grids!$EE$160:$GQ$219,"&gt;="&amp;$B56*1000000000,Grids!$EE$160:$GQ$219,"&lt;"&amp;($B56+1)*1000000000))</f>
        <v/>
      </c>
      <c r="F56" s="53">
        <f>IF($B56="","",SUM($C$26:$C56))</f>
        <v/>
      </c>
      <c r="G56" s="53">
        <f>IF($B56="","",SUM($D$26:$D56))</f>
        <v/>
      </c>
      <c r="H56" s="53">
        <f>IF($B56="","",SUM($E$26:$E56))</f>
        <v/>
      </c>
    </row>
    <row r="57">
      <c r="B57" s="51">
        <f>IF(DATE(YEAR_Y,1,1)+31&gt;DATE(YEAR_Y,12,31),"",DATE(YEAR_Y,1,1)+31)</f>
        <v/>
      </c>
      <c r="C57" s="52">
        <f>IF($B57="","",SUMIFS(Grids!$BQ$12:$EC$111,Grids!$EE$12:$GQ$111,"&gt;="&amp;$B57*1000000000,Grids!$EE$12:$GQ$111,"&lt;"&amp;($B57+1)*1000000000))</f>
        <v/>
      </c>
      <c r="D57" s="52">
        <f>IF($B57="","",SUMIFS(Grids!$BQ$116:$EC$155,Grids!$EE$116:$GQ$155,"&gt;="&amp;$B57*1000000000,Grids!$EE$116:$GQ$155,"&lt;"&amp;($B57+1)*1000000000))</f>
        <v/>
      </c>
      <c r="E57" s="52">
        <f>IF($B57="","",SUMIFS(Grids!$BQ$160:$EC$219,Grids!$EE$160:$GQ$219,"&gt;="&amp;$B57*1000000000,Grids!$EE$160:$GQ$219,"&lt;"&amp;($B57+1)*1000000000))</f>
        <v/>
      </c>
      <c r="F57" s="53">
        <f>IF($B57="","",SUM($C$26:$C57))</f>
        <v/>
      </c>
      <c r="G57" s="53">
        <f>IF($B57="","",SUM($D$26:$D57))</f>
        <v/>
      </c>
      <c r="H57" s="53">
        <f>IF($B57="","",SUM($E$26:$E57))</f>
        <v/>
      </c>
    </row>
    <row r="58">
      <c r="B58" s="51">
        <f>IF(DATE(YEAR_Y,1,1)+32&gt;DATE(YEAR_Y,12,31),"",DATE(YEAR_Y,1,1)+32)</f>
        <v/>
      </c>
      <c r="C58" s="52">
        <f>IF($B58="","",SUMIFS(Grids!$BQ$12:$EC$111,Grids!$EE$12:$GQ$111,"&gt;="&amp;$B58*1000000000,Grids!$EE$12:$GQ$111,"&lt;"&amp;($B58+1)*1000000000))</f>
        <v/>
      </c>
      <c r="D58" s="52">
        <f>IF($B58="","",SUMIFS(Grids!$BQ$116:$EC$155,Grids!$EE$116:$GQ$155,"&gt;="&amp;$B58*1000000000,Grids!$EE$116:$GQ$155,"&lt;"&amp;($B58+1)*1000000000))</f>
        <v/>
      </c>
      <c r="E58" s="52">
        <f>IF($B58="","",SUMIFS(Grids!$BQ$160:$EC$219,Grids!$EE$160:$GQ$219,"&gt;="&amp;$B58*1000000000,Grids!$EE$160:$GQ$219,"&lt;"&amp;($B58+1)*1000000000))</f>
        <v/>
      </c>
      <c r="F58" s="53">
        <f>IF($B58="","",SUM($C$26:$C58))</f>
        <v/>
      </c>
      <c r="G58" s="53">
        <f>IF($B58="","",SUM($D$26:$D58))</f>
        <v/>
      </c>
      <c r="H58" s="53">
        <f>IF($B58="","",SUM($E$26:$E58))</f>
        <v/>
      </c>
    </row>
    <row r="59">
      <c r="B59" s="51">
        <f>IF(DATE(YEAR_Y,1,1)+33&gt;DATE(YEAR_Y,12,31),"",DATE(YEAR_Y,1,1)+33)</f>
        <v/>
      </c>
      <c r="C59" s="52">
        <f>IF($B59="","",SUMIFS(Grids!$BQ$12:$EC$111,Grids!$EE$12:$GQ$111,"&gt;="&amp;$B59*1000000000,Grids!$EE$12:$GQ$111,"&lt;"&amp;($B59+1)*1000000000))</f>
        <v/>
      </c>
      <c r="D59" s="52">
        <f>IF($B59="","",SUMIFS(Grids!$BQ$116:$EC$155,Grids!$EE$116:$GQ$155,"&gt;="&amp;$B59*1000000000,Grids!$EE$116:$GQ$155,"&lt;"&amp;($B59+1)*1000000000))</f>
        <v/>
      </c>
      <c r="E59" s="52">
        <f>IF($B59="","",SUMIFS(Grids!$BQ$160:$EC$219,Grids!$EE$160:$GQ$219,"&gt;="&amp;$B59*1000000000,Grids!$EE$160:$GQ$219,"&lt;"&amp;($B59+1)*1000000000))</f>
        <v/>
      </c>
      <c r="F59" s="53">
        <f>IF($B59="","",SUM($C$26:$C59))</f>
        <v/>
      </c>
      <c r="G59" s="53">
        <f>IF($B59="","",SUM($D$26:$D59))</f>
        <v/>
      </c>
      <c r="H59" s="53">
        <f>IF($B59="","",SUM($E$26:$E59))</f>
        <v/>
      </c>
    </row>
    <row r="60">
      <c r="B60" s="51">
        <f>IF(DATE(YEAR_Y,1,1)+34&gt;DATE(YEAR_Y,12,31),"",DATE(YEAR_Y,1,1)+34)</f>
        <v/>
      </c>
      <c r="C60" s="52">
        <f>IF($B60="","",SUMIFS(Grids!$BQ$12:$EC$111,Grids!$EE$12:$GQ$111,"&gt;="&amp;$B60*1000000000,Grids!$EE$12:$GQ$111,"&lt;"&amp;($B60+1)*1000000000))</f>
        <v/>
      </c>
      <c r="D60" s="52">
        <f>IF($B60="","",SUMIFS(Grids!$BQ$116:$EC$155,Grids!$EE$116:$GQ$155,"&gt;="&amp;$B60*1000000000,Grids!$EE$116:$GQ$155,"&lt;"&amp;($B60+1)*1000000000))</f>
        <v/>
      </c>
      <c r="E60" s="52">
        <f>IF($B60="","",SUMIFS(Grids!$BQ$160:$EC$219,Grids!$EE$160:$GQ$219,"&gt;="&amp;$B60*1000000000,Grids!$EE$160:$GQ$219,"&lt;"&amp;($B60+1)*1000000000))</f>
        <v/>
      </c>
      <c r="F60" s="53">
        <f>IF($B60="","",SUM($C$26:$C60))</f>
        <v/>
      </c>
      <c r="G60" s="53">
        <f>IF($B60="","",SUM($D$26:$D60))</f>
        <v/>
      </c>
      <c r="H60" s="53">
        <f>IF($B60="","",SUM($E$26:$E60))</f>
        <v/>
      </c>
    </row>
    <row r="61">
      <c r="B61" s="51">
        <f>IF(DATE(YEAR_Y,1,1)+35&gt;DATE(YEAR_Y,12,31),"",DATE(YEAR_Y,1,1)+35)</f>
        <v/>
      </c>
      <c r="C61" s="52">
        <f>IF($B61="","",SUMIFS(Grids!$BQ$12:$EC$111,Grids!$EE$12:$GQ$111,"&gt;="&amp;$B61*1000000000,Grids!$EE$12:$GQ$111,"&lt;"&amp;($B61+1)*1000000000))</f>
        <v/>
      </c>
      <c r="D61" s="52">
        <f>IF($B61="","",SUMIFS(Grids!$BQ$116:$EC$155,Grids!$EE$116:$GQ$155,"&gt;="&amp;$B61*1000000000,Grids!$EE$116:$GQ$155,"&lt;"&amp;($B61+1)*1000000000))</f>
        <v/>
      </c>
      <c r="E61" s="52">
        <f>IF($B61="","",SUMIFS(Grids!$BQ$160:$EC$219,Grids!$EE$160:$GQ$219,"&gt;="&amp;$B61*1000000000,Grids!$EE$160:$GQ$219,"&lt;"&amp;($B61+1)*1000000000))</f>
        <v/>
      </c>
      <c r="F61" s="53">
        <f>IF($B61="","",SUM($C$26:$C61))</f>
        <v/>
      </c>
      <c r="G61" s="53">
        <f>IF($B61="","",SUM($D$26:$D61))</f>
        <v/>
      </c>
      <c r="H61" s="53">
        <f>IF($B61="","",SUM($E$26:$E61))</f>
        <v/>
      </c>
    </row>
    <row r="62">
      <c r="B62" s="51">
        <f>IF(DATE(YEAR_Y,1,1)+36&gt;DATE(YEAR_Y,12,31),"",DATE(YEAR_Y,1,1)+36)</f>
        <v/>
      </c>
      <c r="C62" s="52">
        <f>IF($B62="","",SUMIFS(Grids!$BQ$12:$EC$111,Grids!$EE$12:$GQ$111,"&gt;="&amp;$B62*1000000000,Grids!$EE$12:$GQ$111,"&lt;"&amp;($B62+1)*1000000000))</f>
        <v/>
      </c>
      <c r="D62" s="52">
        <f>IF($B62="","",SUMIFS(Grids!$BQ$116:$EC$155,Grids!$EE$116:$GQ$155,"&gt;="&amp;$B62*1000000000,Grids!$EE$116:$GQ$155,"&lt;"&amp;($B62+1)*1000000000))</f>
        <v/>
      </c>
      <c r="E62" s="52">
        <f>IF($B62="","",SUMIFS(Grids!$BQ$160:$EC$219,Grids!$EE$160:$GQ$219,"&gt;="&amp;$B62*1000000000,Grids!$EE$160:$GQ$219,"&lt;"&amp;($B62+1)*1000000000))</f>
        <v/>
      </c>
      <c r="F62" s="53">
        <f>IF($B62="","",SUM($C$26:$C62))</f>
        <v/>
      </c>
      <c r="G62" s="53">
        <f>IF($B62="","",SUM($D$26:$D62))</f>
        <v/>
      </c>
      <c r="H62" s="53">
        <f>IF($B62="","",SUM($E$26:$E62))</f>
        <v/>
      </c>
    </row>
    <row r="63">
      <c r="B63" s="51">
        <f>IF(DATE(YEAR_Y,1,1)+37&gt;DATE(YEAR_Y,12,31),"",DATE(YEAR_Y,1,1)+37)</f>
        <v/>
      </c>
      <c r="C63" s="52">
        <f>IF($B63="","",SUMIFS(Grids!$BQ$12:$EC$111,Grids!$EE$12:$GQ$111,"&gt;="&amp;$B63*1000000000,Grids!$EE$12:$GQ$111,"&lt;"&amp;($B63+1)*1000000000))</f>
        <v/>
      </c>
      <c r="D63" s="52">
        <f>IF($B63="","",SUMIFS(Grids!$BQ$116:$EC$155,Grids!$EE$116:$GQ$155,"&gt;="&amp;$B63*1000000000,Grids!$EE$116:$GQ$155,"&lt;"&amp;($B63+1)*1000000000))</f>
        <v/>
      </c>
      <c r="E63" s="52">
        <f>IF($B63="","",SUMIFS(Grids!$BQ$160:$EC$219,Grids!$EE$160:$GQ$219,"&gt;="&amp;$B63*1000000000,Grids!$EE$160:$GQ$219,"&lt;"&amp;($B63+1)*1000000000))</f>
        <v/>
      </c>
      <c r="F63" s="53">
        <f>IF($B63="","",SUM($C$26:$C63))</f>
        <v/>
      </c>
      <c r="G63" s="53">
        <f>IF($B63="","",SUM($D$26:$D63))</f>
        <v/>
      </c>
      <c r="H63" s="53">
        <f>IF($B63="","",SUM($E$26:$E63))</f>
        <v/>
      </c>
    </row>
    <row r="64">
      <c r="B64" s="51">
        <f>IF(DATE(YEAR_Y,1,1)+38&gt;DATE(YEAR_Y,12,31),"",DATE(YEAR_Y,1,1)+38)</f>
        <v/>
      </c>
      <c r="C64" s="52">
        <f>IF($B64="","",SUMIFS(Grids!$BQ$12:$EC$111,Grids!$EE$12:$GQ$111,"&gt;="&amp;$B64*1000000000,Grids!$EE$12:$GQ$111,"&lt;"&amp;($B64+1)*1000000000))</f>
        <v/>
      </c>
      <c r="D64" s="52">
        <f>IF($B64="","",SUMIFS(Grids!$BQ$116:$EC$155,Grids!$EE$116:$GQ$155,"&gt;="&amp;$B64*1000000000,Grids!$EE$116:$GQ$155,"&lt;"&amp;($B64+1)*1000000000))</f>
        <v/>
      </c>
      <c r="E64" s="52">
        <f>IF($B64="","",SUMIFS(Grids!$BQ$160:$EC$219,Grids!$EE$160:$GQ$219,"&gt;="&amp;$B64*1000000000,Grids!$EE$160:$GQ$219,"&lt;"&amp;($B64+1)*1000000000))</f>
        <v/>
      </c>
      <c r="F64" s="53">
        <f>IF($B64="","",SUM($C$26:$C64))</f>
        <v/>
      </c>
      <c r="G64" s="53">
        <f>IF($B64="","",SUM($D$26:$D64))</f>
        <v/>
      </c>
      <c r="H64" s="53">
        <f>IF($B64="","",SUM($E$26:$E64))</f>
        <v/>
      </c>
    </row>
    <row r="65">
      <c r="B65" s="51">
        <f>IF(DATE(YEAR_Y,1,1)+39&gt;DATE(YEAR_Y,12,31),"",DATE(YEAR_Y,1,1)+39)</f>
        <v/>
      </c>
      <c r="C65" s="52">
        <f>IF($B65="","",SUMIFS(Grids!$BQ$12:$EC$111,Grids!$EE$12:$GQ$111,"&gt;="&amp;$B65*1000000000,Grids!$EE$12:$GQ$111,"&lt;"&amp;($B65+1)*1000000000))</f>
        <v/>
      </c>
      <c r="D65" s="52">
        <f>IF($B65="","",SUMIFS(Grids!$BQ$116:$EC$155,Grids!$EE$116:$GQ$155,"&gt;="&amp;$B65*1000000000,Grids!$EE$116:$GQ$155,"&lt;"&amp;($B65+1)*1000000000))</f>
        <v/>
      </c>
      <c r="E65" s="52">
        <f>IF($B65="","",SUMIFS(Grids!$BQ$160:$EC$219,Grids!$EE$160:$GQ$219,"&gt;="&amp;$B65*1000000000,Grids!$EE$160:$GQ$219,"&lt;"&amp;($B65+1)*1000000000))</f>
        <v/>
      </c>
      <c r="F65" s="53">
        <f>IF($B65="","",SUM($C$26:$C65))</f>
        <v/>
      </c>
      <c r="G65" s="53">
        <f>IF($B65="","",SUM($D$26:$D65))</f>
        <v/>
      </c>
      <c r="H65" s="53">
        <f>IF($B65="","",SUM($E$26:$E65))</f>
        <v/>
      </c>
    </row>
    <row r="66">
      <c r="B66" s="51">
        <f>IF(DATE(YEAR_Y,1,1)+40&gt;DATE(YEAR_Y,12,31),"",DATE(YEAR_Y,1,1)+40)</f>
        <v/>
      </c>
      <c r="C66" s="52">
        <f>IF($B66="","",SUMIFS(Grids!$BQ$12:$EC$111,Grids!$EE$12:$GQ$111,"&gt;="&amp;$B66*1000000000,Grids!$EE$12:$GQ$111,"&lt;"&amp;($B66+1)*1000000000))</f>
        <v/>
      </c>
      <c r="D66" s="52">
        <f>IF($B66="","",SUMIFS(Grids!$BQ$116:$EC$155,Grids!$EE$116:$GQ$155,"&gt;="&amp;$B66*1000000000,Grids!$EE$116:$GQ$155,"&lt;"&amp;($B66+1)*1000000000))</f>
        <v/>
      </c>
      <c r="E66" s="52">
        <f>IF($B66="","",SUMIFS(Grids!$BQ$160:$EC$219,Grids!$EE$160:$GQ$219,"&gt;="&amp;$B66*1000000000,Grids!$EE$160:$GQ$219,"&lt;"&amp;($B66+1)*1000000000))</f>
        <v/>
      </c>
      <c r="F66" s="53">
        <f>IF($B66="","",SUM($C$26:$C66))</f>
        <v/>
      </c>
      <c r="G66" s="53">
        <f>IF($B66="","",SUM($D$26:$D66))</f>
        <v/>
      </c>
      <c r="H66" s="53">
        <f>IF($B66="","",SUM($E$26:$E66))</f>
        <v/>
      </c>
    </row>
    <row r="67">
      <c r="B67" s="51">
        <f>IF(DATE(YEAR_Y,1,1)+41&gt;DATE(YEAR_Y,12,31),"",DATE(YEAR_Y,1,1)+41)</f>
        <v/>
      </c>
      <c r="C67" s="52">
        <f>IF($B67="","",SUMIFS(Grids!$BQ$12:$EC$111,Grids!$EE$12:$GQ$111,"&gt;="&amp;$B67*1000000000,Grids!$EE$12:$GQ$111,"&lt;"&amp;($B67+1)*1000000000))</f>
        <v/>
      </c>
      <c r="D67" s="52">
        <f>IF($B67="","",SUMIFS(Grids!$BQ$116:$EC$155,Grids!$EE$116:$GQ$155,"&gt;="&amp;$B67*1000000000,Grids!$EE$116:$GQ$155,"&lt;"&amp;($B67+1)*1000000000))</f>
        <v/>
      </c>
      <c r="E67" s="52">
        <f>IF($B67="","",SUMIFS(Grids!$BQ$160:$EC$219,Grids!$EE$160:$GQ$219,"&gt;="&amp;$B67*1000000000,Grids!$EE$160:$GQ$219,"&lt;"&amp;($B67+1)*1000000000))</f>
        <v/>
      </c>
      <c r="F67" s="53">
        <f>IF($B67="","",SUM($C$26:$C67))</f>
        <v/>
      </c>
      <c r="G67" s="53">
        <f>IF($B67="","",SUM($D$26:$D67))</f>
        <v/>
      </c>
      <c r="H67" s="53">
        <f>IF($B67="","",SUM($E$26:$E67))</f>
        <v/>
      </c>
    </row>
    <row r="68">
      <c r="B68" s="51">
        <f>IF(DATE(YEAR_Y,1,1)+42&gt;DATE(YEAR_Y,12,31),"",DATE(YEAR_Y,1,1)+42)</f>
        <v/>
      </c>
      <c r="C68" s="52">
        <f>IF($B68="","",SUMIFS(Grids!$BQ$12:$EC$111,Grids!$EE$12:$GQ$111,"&gt;="&amp;$B68*1000000000,Grids!$EE$12:$GQ$111,"&lt;"&amp;($B68+1)*1000000000))</f>
        <v/>
      </c>
      <c r="D68" s="52">
        <f>IF($B68="","",SUMIFS(Grids!$BQ$116:$EC$155,Grids!$EE$116:$GQ$155,"&gt;="&amp;$B68*1000000000,Grids!$EE$116:$GQ$155,"&lt;"&amp;($B68+1)*1000000000))</f>
        <v/>
      </c>
      <c r="E68" s="52">
        <f>IF($B68="","",SUMIFS(Grids!$BQ$160:$EC$219,Grids!$EE$160:$GQ$219,"&gt;="&amp;$B68*1000000000,Grids!$EE$160:$GQ$219,"&lt;"&amp;($B68+1)*1000000000))</f>
        <v/>
      </c>
      <c r="F68" s="53">
        <f>IF($B68="","",SUM($C$26:$C68))</f>
        <v/>
      </c>
      <c r="G68" s="53">
        <f>IF($B68="","",SUM($D$26:$D68))</f>
        <v/>
      </c>
      <c r="H68" s="53">
        <f>IF($B68="","",SUM($E$26:$E68))</f>
        <v/>
      </c>
    </row>
    <row r="69">
      <c r="B69" s="51">
        <f>IF(DATE(YEAR_Y,1,1)+43&gt;DATE(YEAR_Y,12,31),"",DATE(YEAR_Y,1,1)+43)</f>
        <v/>
      </c>
      <c r="C69" s="52">
        <f>IF($B69="","",SUMIFS(Grids!$BQ$12:$EC$111,Grids!$EE$12:$GQ$111,"&gt;="&amp;$B69*1000000000,Grids!$EE$12:$GQ$111,"&lt;"&amp;($B69+1)*1000000000))</f>
        <v/>
      </c>
      <c r="D69" s="52">
        <f>IF($B69="","",SUMIFS(Grids!$BQ$116:$EC$155,Grids!$EE$116:$GQ$155,"&gt;="&amp;$B69*1000000000,Grids!$EE$116:$GQ$155,"&lt;"&amp;($B69+1)*1000000000))</f>
        <v/>
      </c>
      <c r="E69" s="52">
        <f>IF($B69="","",SUMIFS(Grids!$BQ$160:$EC$219,Grids!$EE$160:$GQ$219,"&gt;="&amp;$B69*1000000000,Grids!$EE$160:$GQ$219,"&lt;"&amp;($B69+1)*1000000000))</f>
        <v/>
      </c>
      <c r="F69" s="53">
        <f>IF($B69="","",SUM($C$26:$C69))</f>
        <v/>
      </c>
      <c r="G69" s="53">
        <f>IF($B69="","",SUM($D$26:$D69))</f>
        <v/>
      </c>
      <c r="H69" s="53">
        <f>IF($B69="","",SUM($E$26:$E69))</f>
        <v/>
      </c>
    </row>
    <row r="70">
      <c r="B70" s="51">
        <f>IF(DATE(YEAR_Y,1,1)+44&gt;DATE(YEAR_Y,12,31),"",DATE(YEAR_Y,1,1)+44)</f>
        <v/>
      </c>
      <c r="C70" s="52">
        <f>IF($B70="","",SUMIFS(Grids!$BQ$12:$EC$111,Grids!$EE$12:$GQ$111,"&gt;="&amp;$B70*1000000000,Grids!$EE$12:$GQ$111,"&lt;"&amp;($B70+1)*1000000000))</f>
        <v/>
      </c>
      <c r="D70" s="52">
        <f>IF($B70="","",SUMIFS(Grids!$BQ$116:$EC$155,Grids!$EE$116:$GQ$155,"&gt;="&amp;$B70*1000000000,Grids!$EE$116:$GQ$155,"&lt;"&amp;($B70+1)*1000000000))</f>
        <v/>
      </c>
      <c r="E70" s="52">
        <f>IF($B70="","",SUMIFS(Grids!$BQ$160:$EC$219,Grids!$EE$160:$GQ$219,"&gt;="&amp;$B70*1000000000,Grids!$EE$160:$GQ$219,"&lt;"&amp;($B70+1)*1000000000))</f>
        <v/>
      </c>
      <c r="F70" s="53">
        <f>IF($B70="","",SUM($C$26:$C70))</f>
        <v/>
      </c>
      <c r="G70" s="53">
        <f>IF($B70="","",SUM($D$26:$D70))</f>
        <v/>
      </c>
      <c r="H70" s="53">
        <f>IF($B70="","",SUM($E$26:$E70))</f>
        <v/>
      </c>
    </row>
    <row r="71">
      <c r="B71" s="51">
        <f>IF(DATE(YEAR_Y,1,1)+45&gt;DATE(YEAR_Y,12,31),"",DATE(YEAR_Y,1,1)+45)</f>
        <v/>
      </c>
      <c r="C71" s="52">
        <f>IF($B71="","",SUMIFS(Grids!$BQ$12:$EC$111,Grids!$EE$12:$GQ$111,"&gt;="&amp;$B71*1000000000,Grids!$EE$12:$GQ$111,"&lt;"&amp;($B71+1)*1000000000))</f>
        <v/>
      </c>
      <c r="D71" s="52">
        <f>IF($B71="","",SUMIFS(Grids!$BQ$116:$EC$155,Grids!$EE$116:$GQ$155,"&gt;="&amp;$B71*1000000000,Grids!$EE$116:$GQ$155,"&lt;"&amp;($B71+1)*1000000000))</f>
        <v/>
      </c>
      <c r="E71" s="52">
        <f>IF($B71="","",SUMIFS(Grids!$BQ$160:$EC$219,Grids!$EE$160:$GQ$219,"&gt;="&amp;$B71*1000000000,Grids!$EE$160:$GQ$219,"&lt;"&amp;($B71+1)*1000000000))</f>
        <v/>
      </c>
      <c r="F71" s="53">
        <f>IF($B71="","",SUM($C$26:$C71))</f>
        <v/>
      </c>
      <c r="G71" s="53">
        <f>IF($B71="","",SUM($D$26:$D71))</f>
        <v/>
      </c>
      <c r="H71" s="53">
        <f>IF($B71="","",SUM($E$26:$E71))</f>
        <v/>
      </c>
    </row>
    <row r="72">
      <c r="B72" s="51">
        <f>IF(DATE(YEAR_Y,1,1)+46&gt;DATE(YEAR_Y,12,31),"",DATE(YEAR_Y,1,1)+46)</f>
        <v/>
      </c>
      <c r="C72" s="52">
        <f>IF($B72="","",SUMIFS(Grids!$BQ$12:$EC$111,Grids!$EE$12:$GQ$111,"&gt;="&amp;$B72*1000000000,Grids!$EE$12:$GQ$111,"&lt;"&amp;($B72+1)*1000000000))</f>
        <v/>
      </c>
      <c r="D72" s="52">
        <f>IF($B72="","",SUMIFS(Grids!$BQ$116:$EC$155,Grids!$EE$116:$GQ$155,"&gt;="&amp;$B72*1000000000,Grids!$EE$116:$GQ$155,"&lt;"&amp;($B72+1)*1000000000))</f>
        <v/>
      </c>
      <c r="E72" s="52">
        <f>IF($B72="","",SUMIFS(Grids!$BQ$160:$EC$219,Grids!$EE$160:$GQ$219,"&gt;="&amp;$B72*1000000000,Grids!$EE$160:$GQ$219,"&lt;"&amp;($B72+1)*1000000000))</f>
        <v/>
      </c>
      <c r="F72" s="53">
        <f>IF($B72="","",SUM($C$26:$C72))</f>
        <v/>
      </c>
      <c r="G72" s="53">
        <f>IF($B72="","",SUM($D$26:$D72))</f>
        <v/>
      </c>
      <c r="H72" s="53">
        <f>IF($B72="","",SUM($E$26:$E72))</f>
        <v/>
      </c>
    </row>
    <row r="73">
      <c r="B73" s="51">
        <f>IF(DATE(YEAR_Y,1,1)+47&gt;DATE(YEAR_Y,12,31),"",DATE(YEAR_Y,1,1)+47)</f>
        <v/>
      </c>
      <c r="C73" s="52">
        <f>IF($B73="","",SUMIFS(Grids!$BQ$12:$EC$111,Grids!$EE$12:$GQ$111,"&gt;="&amp;$B73*1000000000,Grids!$EE$12:$GQ$111,"&lt;"&amp;($B73+1)*1000000000))</f>
        <v/>
      </c>
      <c r="D73" s="52">
        <f>IF($B73="","",SUMIFS(Grids!$BQ$116:$EC$155,Grids!$EE$116:$GQ$155,"&gt;="&amp;$B73*1000000000,Grids!$EE$116:$GQ$155,"&lt;"&amp;($B73+1)*1000000000))</f>
        <v/>
      </c>
      <c r="E73" s="52">
        <f>IF($B73="","",SUMIFS(Grids!$BQ$160:$EC$219,Grids!$EE$160:$GQ$219,"&gt;="&amp;$B73*1000000000,Grids!$EE$160:$GQ$219,"&lt;"&amp;($B73+1)*1000000000))</f>
        <v/>
      </c>
      <c r="F73" s="53">
        <f>IF($B73="","",SUM($C$26:$C73))</f>
        <v/>
      </c>
      <c r="G73" s="53">
        <f>IF($B73="","",SUM($D$26:$D73))</f>
        <v/>
      </c>
      <c r="H73" s="53">
        <f>IF($B73="","",SUM($E$26:$E73))</f>
        <v/>
      </c>
    </row>
    <row r="74">
      <c r="B74" s="51">
        <f>IF(DATE(YEAR_Y,1,1)+48&gt;DATE(YEAR_Y,12,31),"",DATE(YEAR_Y,1,1)+48)</f>
        <v/>
      </c>
      <c r="C74" s="52">
        <f>IF($B74="","",SUMIFS(Grids!$BQ$12:$EC$111,Grids!$EE$12:$GQ$111,"&gt;="&amp;$B74*1000000000,Grids!$EE$12:$GQ$111,"&lt;"&amp;($B74+1)*1000000000))</f>
        <v/>
      </c>
      <c r="D74" s="52">
        <f>IF($B74="","",SUMIFS(Grids!$BQ$116:$EC$155,Grids!$EE$116:$GQ$155,"&gt;="&amp;$B74*1000000000,Grids!$EE$116:$GQ$155,"&lt;"&amp;($B74+1)*1000000000))</f>
        <v/>
      </c>
      <c r="E74" s="52">
        <f>IF($B74="","",SUMIFS(Grids!$BQ$160:$EC$219,Grids!$EE$160:$GQ$219,"&gt;="&amp;$B74*1000000000,Grids!$EE$160:$GQ$219,"&lt;"&amp;($B74+1)*1000000000))</f>
        <v/>
      </c>
      <c r="F74" s="53">
        <f>IF($B74="","",SUM($C$26:$C74))</f>
        <v/>
      </c>
      <c r="G74" s="53">
        <f>IF($B74="","",SUM($D$26:$D74))</f>
        <v/>
      </c>
      <c r="H74" s="53">
        <f>IF($B74="","",SUM($E$26:$E74))</f>
        <v/>
      </c>
    </row>
    <row r="75">
      <c r="B75" s="51">
        <f>IF(DATE(YEAR_Y,1,1)+49&gt;DATE(YEAR_Y,12,31),"",DATE(YEAR_Y,1,1)+49)</f>
        <v/>
      </c>
      <c r="C75" s="52">
        <f>IF($B75="","",SUMIFS(Grids!$BQ$12:$EC$111,Grids!$EE$12:$GQ$111,"&gt;="&amp;$B75*1000000000,Grids!$EE$12:$GQ$111,"&lt;"&amp;($B75+1)*1000000000))</f>
        <v/>
      </c>
      <c r="D75" s="52">
        <f>IF($B75="","",SUMIFS(Grids!$BQ$116:$EC$155,Grids!$EE$116:$GQ$155,"&gt;="&amp;$B75*1000000000,Grids!$EE$116:$GQ$155,"&lt;"&amp;($B75+1)*1000000000))</f>
        <v/>
      </c>
      <c r="E75" s="52">
        <f>IF($B75="","",SUMIFS(Grids!$BQ$160:$EC$219,Grids!$EE$160:$GQ$219,"&gt;="&amp;$B75*1000000000,Grids!$EE$160:$GQ$219,"&lt;"&amp;($B75+1)*1000000000))</f>
        <v/>
      </c>
      <c r="F75" s="53">
        <f>IF($B75="","",SUM($C$26:$C75))</f>
        <v/>
      </c>
      <c r="G75" s="53">
        <f>IF($B75="","",SUM($D$26:$D75))</f>
        <v/>
      </c>
      <c r="H75" s="53">
        <f>IF($B75="","",SUM($E$26:$E75))</f>
        <v/>
      </c>
    </row>
    <row r="76">
      <c r="B76" s="51">
        <f>IF(DATE(YEAR_Y,1,1)+50&gt;DATE(YEAR_Y,12,31),"",DATE(YEAR_Y,1,1)+50)</f>
        <v/>
      </c>
      <c r="C76" s="52">
        <f>IF($B76="","",SUMIFS(Grids!$BQ$12:$EC$111,Grids!$EE$12:$GQ$111,"&gt;="&amp;$B76*1000000000,Grids!$EE$12:$GQ$111,"&lt;"&amp;($B76+1)*1000000000))</f>
        <v/>
      </c>
      <c r="D76" s="52">
        <f>IF($B76="","",SUMIFS(Grids!$BQ$116:$EC$155,Grids!$EE$116:$GQ$155,"&gt;="&amp;$B76*1000000000,Grids!$EE$116:$GQ$155,"&lt;"&amp;($B76+1)*1000000000))</f>
        <v/>
      </c>
      <c r="E76" s="52">
        <f>IF($B76="","",SUMIFS(Grids!$BQ$160:$EC$219,Grids!$EE$160:$GQ$219,"&gt;="&amp;$B76*1000000000,Grids!$EE$160:$GQ$219,"&lt;"&amp;($B76+1)*1000000000))</f>
        <v/>
      </c>
      <c r="F76" s="53">
        <f>IF($B76="","",SUM($C$26:$C76))</f>
        <v/>
      </c>
      <c r="G76" s="53">
        <f>IF($B76="","",SUM($D$26:$D76))</f>
        <v/>
      </c>
      <c r="H76" s="53">
        <f>IF($B76="","",SUM($E$26:$E76))</f>
        <v/>
      </c>
    </row>
    <row r="77">
      <c r="B77" s="51">
        <f>IF(DATE(YEAR_Y,1,1)+51&gt;DATE(YEAR_Y,12,31),"",DATE(YEAR_Y,1,1)+51)</f>
        <v/>
      </c>
      <c r="C77" s="52">
        <f>IF($B77="","",SUMIFS(Grids!$BQ$12:$EC$111,Grids!$EE$12:$GQ$111,"&gt;="&amp;$B77*1000000000,Grids!$EE$12:$GQ$111,"&lt;"&amp;($B77+1)*1000000000))</f>
        <v/>
      </c>
      <c r="D77" s="52">
        <f>IF($B77="","",SUMIFS(Grids!$BQ$116:$EC$155,Grids!$EE$116:$GQ$155,"&gt;="&amp;$B77*1000000000,Grids!$EE$116:$GQ$155,"&lt;"&amp;($B77+1)*1000000000))</f>
        <v/>
      </c>
      <c r="E77" s="52">
        <f>IF($B77="","",SUMIFS(Grids!$BQ$160:$EC$219,Grids!$EE$160:$GQ$219,"&gt;="&amp;$B77*1000000000,Grids!$EE$160:$GQ$219,"&lt;"&amp;($B77+1)*1000000000))</f>
        <v/>
      </c>
      <c r="F77" s="53">
        <f>IF($B77="","",SUM($C$26:$C77))</f>
        <v/>
      </c>
      <c r="G77" s="53">
        <f>IF($B77="","",SUM($D$26:$D77))</f>
        <v/>
      </c>
      <c r="H77" s="53">
        <f>IF($B77="","",SUM($E$26:$E77))</f>
        <v/>
      </c>
    </row>
    <row r="78">
      <c r="B78" s="51">
        <f>IF(DATE(YEAR_Y,1,1)+52&gt;DATE(YEAR_Y,12,31),"",DATE(YEAR_Y,1,1)+52)</f>
        <v/>
      </c>
      <c r="C78" s="52">
        <f>IF($B78="","",SUMIFS(Grids!$BQ$12:$EC$111,Grids!$EE$12:$GQ$111,"&gt;="&amp;$B78*1000000000,Grids!$EE$12:$GQ$111,"&lt;"&amp;($B78+1)*1000000000))</f>
        <v/>
      </c>
      <c r="D78" s="52">
        <f>IF($B78="","",SUMIFS(Grids!$BQ$116:$EC$155,Grids!$EE$116:$GQ$155,"&gt;="&amp;$B78*1000000000,Grids!$EE$116:$GQ$155,"&lt;"&amp;($B78+1)*1000000000))</f>
        <v/>
      </c>
      <c r="E78" s="52">
        <f>IF($B78="","",SUMIFS(Grids!$BQ$160:$EC$219,Grids!$EE$160:$GQ$219,"&gt;="&amp;$B78*1000000000,Grids!$EE$160:$GQ$219,"&lt;"&amp;($B78+1)*1000000000))</f>
        <v/>
      </c>
      <c r="F78" s="53">
        <f>IF($B78="","",SUM($C$26:$C78))</f>
        <v/>
      </c>
      <c r="G78" s="53">
        <f>IF($B78="","",SUM($D$26:$D78))</f>
        <v/>
      </c>
      <c r="H78" s="53">
        <f>IF($B78="","",SUM($E$26:$E78))</f>
        <v/>
      </c>
    </row>
    <row r="79">
      <c r="B79" s="51">
        <f>IF(DATE(YEAR_Y,1,1)+53&gt;DATE(YEAR_Y,12,31),"",DATE(YEAR_Y,1,1)+53)</f>
        <v/>
      </c>
      <c r="C79" s="52">
        <f>IF($B79="","",SUMIFS(Grids!$BQ$12:$EC$111,Grids!$EE$12:$GQ$111,"&gt;="&amp;$B79*1000000000,Grids!$EE$12:$GQ$111,"&lt;"&amp;($B79+1)*1000000000))</f>
        <v/>
      </c>
      <c r="D79" s="52">
        <f>IF($B79="","",SUMIFS(Grids!$BQ$116:$EC$155,Grids!$EE$116:$GQ$155,"&gt;="&amp;$B79*1000000000,Grids!$EE$116:$GQ$155,"&lt;"&amp;($B79+1)*1000000000))</f>
        <v/>
      </c>
      <c r="E79" s="52">
        <f>IF($B79="","",SUMIFS(Grids!$BQ$160:$EC$219,Grids!$EE$160:$GQ$219,"&gt;="&amp;$B79*1000000000,Grids!$EE$160:$GQ$219,"&lt;"&amp;($B79+1)*1000000000))</f>
        <v/>
      </c>
      <c r="F79" s="53">
        <f>IF($B79="","",SUM($C$26:$C79))</f>
        <v/>
      </c>
      <c r="G79" s="53">
        <f>IF($B79="","",SUM($D$26:$D79))</f>
        <v/>
      </c>
      <c r="H79" s="53">
        <f>IF($B79="","",SUM($E$26:$E79))</f>
        <v/>
      </c>
    </row>
    <row r="80">
      <c r="B80" s="51">
        <f>IF(DATE(YEAR_Y,1,1)+54&gt;DATE(YEAR_Y,12,31),"",DATE(YEAR_Y,1,1)+54)</f>
        <v/>
      </c>
      <c r="C80" s="52">
        <f>IF($B80="","",SUMIFS(Grids!$BQ$12:$EC$111,Grids!$EE$12:$GQ$111,"&gt;="&amp;$B80*1000000000,Grids!$EE$12:$GQ$111,"&lt;"&amp;($B80+1)*1000000000))</f>
        <v/>
      </c>
      <c r="D80" s="52">
        <f>IF($B80="","",SUMIFS(Grids!$BQ$116:$EC$155,Grids!$EE$116:$GQ$155,"&gt;="&amp;$B80*1000000000,Grids!$EE$116:$GQ$155,"&lt;"&amp;($B80+1)*1000000000))</f>
        <v/>
      </c>
      <c r="E80" s="52">
        <f>IF($B80="","",SUMIFS(Grids!$BQ$160:$EC$219,Grids!$EE$160:$GQ$219,"&gt;="&amp;$B80*1000000000,Grids!$EE$160:$GQ$219,"&lt;"&amp;($B80+1)*1000000000))</f>
        <v/>
      </c>
      <c r="F80" s="53">
        <f>IF($B80="","",SUM($C$26:$C80))</f>
        <v/>
      </c>
      <c r="G80" s="53">
        <f>IF($B80="","",SUM($D$26:$D80))</f>
        <v/>
      </c>
      <c r="H80" s="53">
        <f>IF($B80="","",SUM($E$26:$E80))</f>
        <v/>
      </c>
    </row>
    <row r="81">
      <c r="B81" s="51">
        <f>IF(DATE(YEAR_Y,1,1)+55&gt;DATE(YEAR_Y,12,31),"",DATE(YEAR_Y,1,1)+55)</f>
        <v/>
      </c>
      <c r="C81" s="52">
        <f>IF($B81="","",SUMIFS(Grids!$BQ$12:$EC$111,Grids!$EE$12:$GQ$111,"&gt;="&amp;$B81*1000000000,Grids!$EE$12:$GQ$111,"&lt;"&amp;($B81+1)*1000000000))</f>
        <v/>
      </c>
      <c r="D81" s="52">
        <f>IF($B81="","",SUMIFS(Grids!$BQ$116:$EC$155,Grids!$EE$116:$GQ$155,"&gt;="&amp;$B81*1000000000,Grids!$EE$116:$GQ$155,"&lt;"&amp;($B81+1)*1000000000))</f>
        <v/>
      </c>
      <c r="E81" s="52">
        <f>IF($B81="","",SUMIFS(Grids!$BQ$160:$EC$219,Grids!$EE$160:$GQ$219,"&gt;="&amp;$B81*1000000000,Grids!$EE$160:$GQ$219,"&lt;"&amp;($B81+1)*1000000000))</f>
        <v/>
      </c>
      <c r="F81" s="53">
        <f>IF($B81="","",SUM($C$26:$C81))</f>
        <v/>
      </c>
      <c r="G81" s="53">
        <f>IF($B81="","",SUM($D$26:$D81))</f>
        <v/>
      </c>
      <c r="H81" s="53">
        <f>IF($B81="","",SUM($E$26:$E81))</f>
        <v/>
      </c>
    </row>
    <row r="82">
      <c r="B82" s="51">
        <f>IF(DATE(YEAR_Y,1,1)+56&gt;DATE(YEAR_Y,12,31),"",DATE(YEAR_Y,1,1)+56)</f>
        <v/>
      </c>
      <c r="C82" s="52">
        <f>IF($B82="","",SUMIFS(Grids!$BQ$12:$EC$111,Grids!$EE$12:$GQ$111,"&gt;="&amp;$B82*1000000000,Grids!$EE$12:$GQ$111,"&lt;"&amp;($B82+1)*1000000000))</f>
        <v/>
      </c>
      <c r="D82" s="52">
        <f>IF($B82="","",SUMIFS(Grids!$BQ$116:$EC$155,Grids!$EE$116:$GQ$155,"&gt;="&amp;$B82*1000000000,Grids!$EE$116:$GQ$155,"&lt;"&amp;($B82+1)*1000000000))</f>
        <v/>
      </c>
      <c r="E82" s="52">
        <f>IF($B82="","",SUMIFS(Grids!$BQ$160:$EC$219,Grids!$EE$160:$GQ$219,"&gt;="&amp;$B82*1000000000,Grids!$EE$160:$GQ$219,"&lt;"&amp;($B82+1)*1000000000))</f>
        <v/>
      </c>
      <c r="F82" s="53">
        <f>IF($B82="","",SUM($C$26:$C82))</f>
        <v/>
      </c>
      <c r="G82" s="53">
        <f>IF($B82="","",SUM($D$26:$D82))</f>
        <v/>
      </c>
      <c r="H82" s="53">
        <f>IF($B82="","",SUM($E$26:$E82))</f>
        <v/>
      </c>
    </row>
    <row r="83">
      <c r="B83" s="51">
        <f>IF(DATE(YEAR_Y,1,1)+57&gt;DATE(YEAR_Y,12,31),"",DATE(YEAR_Y,1,1)+57)</f>
        <v/>
      </c>
      <c r="C83" s="52">
        <f>IF($B83="","",SUMIFS(Grids!$BQ$12:$EC$111,Grids!$EE$12:$GQ$111,"&gt;="&amp;$B83*1000000000,Grids!$EE$12:$GQ$111,"&lt;"&amp;($B83+1)*1000000000))</f>
        <v/>
      </c>
      <c r="D83" s="52">
        <f>IF($B83="","",SUMIFS(Grids!$BQ$116:$EC$155,Grids!$EE$116:$GQ$155,"&gt;="&amp;$B83*1000000000,Grids!$EE$116:$GQ$155,"&lt;"&amp;($B83+1)*1000000000))</f>
        <v/>
      </c>
      <c r="E83" s="52">
        <f>IF($B83="","",SUMIFS(Grids!$BQ$160:$EC$219,Grids!$EE$160:$GQ$219,"&gt;="&amp;$B83*1000000000,Grids!$EE$160:$GQ$219,"&lt;"&amp;($B83+1)*1000000000))</f>
        <v/>
      </c>
      <c r="F83" s="53">
        <f>IF($B83="","",SUM($C$26:$C83))</f>
        <v/>
      </c>
      <c r="G83" s="53">
        <f>IF($B83="","",SUM($D$26:$D83))</f>
        <v/>
      </c>
      <c r="H83" s="53">
        <f>IF($B83="","",SUM($E$26:$E83))</f>
        <v/>
      </c>
    </row>
    <row r="84">
      <c r="B84" s="51">
        <f>IF(DATE(YEAR_Y,1,1)+58&gt;DATE(YEAR_Y,12,31),"",DATE(YEAR_Y,1,1)+58)</f>
        <v/>
      </c>
      <c r="C84" s="52">
        <f>IF($B84="","",SUMIFS(Grids!$BQ$12:$EC$111,Grids!$EE$12:$GQ$111,"&gt;="&amp;$B84*1000000000,Grids!$EE$12:$GQ$111,"&lt;"&amp;($B84+1)*1000000000))</f>
        <v/>
      </c>
      <c r="D84" s="52">
        <f>IF($B84="","",SUMIFS(Grids!$BQ$116:$EC$155,Grids!$EE$116:$GQ$155,"&gt;="&amp;$B84*1000000000,Grids!$EE$116:$GQ$155,"&lt;"&amp;($B84+1)*1000000000))</f>
        <v/>
      </c>
      <c r="E84" s="52">
        <f>IF($B84="","",SUMIFS(Grids!$BQ$160:$EC$219,Grids!$EE$160:$GQ$219,"&gt;="&amp;$B84*1000000000,Grids!$EE$160:$GQ$219,"&lt;"&amp;($B84+1)*1000000000))</f>
        <v/>
      </c>
      <c r="F84" s="53">
        <f>IF($B84="","",SUM($C$26:$C84))</f>
        <v/>
      </c>
      <c r="G84" s="53">
        <f>IF($B84="","",SUM($D$26:$D84))</f>
        <v/>
      </c>
      <c r="H84" s="53">
        <f>IF($B84="","",SUM($E$26:$E84))</f>
        <v/>
      </c>
    </row>
    <row r="85">
      <c r="B85" s="51">
        <f>IF(DATE(YEAR_Y,1,1)+59&gt;DATE(YEAR_Y,12,31),"",DATE(YEAR_Y,1,1)+59)</f>
        <v/>
      </c>
      <c r="C85" s="52">
        <f>IF($B85="","",SUMIFS(Grids!$BQ$12:$EC$111,Grids!$EE$12:$GQ$111,"&gt;="&amp;$B85*1000000000,Grids!$EE$12:$GQ$111,"&lt;"&amp;($B85+1)*1000000000))</f>
        <v/>
      </c>
      <c r="D85" s="52">
        <f>IF($B85="","",SUMIFS(Grids!$BQ$116:$EC$155,Grids!$EE$116:$GQ$155,"&gt;="&amp;$B85*1000000000,Grids!$EE$116:$GQ$155,"&lt;"&amp;($B85+1)*1000000000))</f>
        <v/>
      </c>
      <c r="E85" s="52">
        <f>IF($B85="","",SUMIFS(Grids!$BQ$160:$EC$219,Grids!$EE$160:$GQ$219,"&gt;="&amp;$B85*1000000000,Grids!$EE$160:$GQ$219,"&lt;"&amp;($B85+1)*1000000000))</f>
        <v/>
      </c>
      <c r="F85" s="53">
        <f>IF($B85="","",SUM($C$26:$C85))</f>
        <v/>
      </c>
      <c r="G85" s="53">
        <f>IF($B85="","",SUM($D$26:$D85))</f>
        <v/>
      </c>
      <c r="H85" s="53">
        <f>IF($B85="","",SUM($E$26:$E85))</f>
        <v/>
      </c>
    </row>
    <row r="86">
      <c r="B86" s="51">
        <f>IF(DATE(YEAR_Y,1,1)+60&gt;DATE(YEAR_Y,12,31),"",DATE(YEAR_Y,1,1)+60)</f>
        <v/>
      </c>
      <c r="C86" s="52">
        <f>IF($B86="","",SUMIFS(Grids!$BQ$12:$EC$111,Grids!$EE$12:$GQ$111,"&gt;="&amp;$B86*1000000000,Grids!$EE$12:$GQ$111,"&lt;"&amp;($B86+1)*1000000000))</f>
        <v/>
      </c>
      <c r="D86" s="52">
        <f>IF($B86="","",SUMIFS(Grids!$BQ$116:$EC$155,Grids!$EE$116:$GQ$155,"&gt;="&amp;$B86*1000000000,Grids!$EE$116:$GQ$155,"&lt;"&amp;($B86+1)*1000000000))</f>
        <v/>
      </c>
      <c r="E86" s="52">
        <f>IF($B86="","",SUMIFS(Grids!$BQ$160:$EC$219,Grids!$EE$160:$GQ$219,"&gt;="&amp;$B86*1000000000,Grids!$EE$160:$GQ$219,"&lt;"&amp;($B86+1)*1000000000))</f>
        <v/>
      </c>
      <c r="F86" s="53">
        <f>IF($B86="","",SUM($C$26:$C86))</f>
        <v/>
      </c>
      <c r="G86" s="53">
        <f>IF($B86="","",SUM($D$26:$D86))</f>
        <v/>
      </c>
      <c r="H86" s="53">
        <f>IF($B86="","",SUM($E$26:$E86))</f>
        <v/>
      </c>
    </row>
    <row r="87">
      <c r="B87" s="51">
        <f>IF(DATE(YEAR_Y,1,1)+61&gt;DATE(YEAR_Y,12,31),"",DATE(YEAR_Y,1,1)+61)</f>
        <v/>
      </c>
      <c r="C87" s="52">
        <f>IF($B87="","",SUMIFS(Grids!$BQ$12:$EC$111,Grids!$EE$12:$GQ$111,"&gt;="&amp;$B87*1000000000,Grids!$EE$12:$GQ$111,"&lt;"&amp;($B87+1)*1000000000))</f>
        <v/>
      </c>
      <c r="D87" s="52">
        <f>IF($B87="","",SUMIFS(Grids!$BQ$116:$EC$155,Grids!$EE$116:$GQ$155,"&gt;="&amp;$B87*1000000000,Grids!$EE$116:$GQ$155,"&lt;"&amp;($B87+1)*1000000000))</f>
        <v/>
      </c>
      <c r="E87" s="52">
        <f>IF($B87="","",SUMIFS(Grids!$BQ$160:$EC$219,Grids!$EE$160:$GQ$219,"&gt;="&amp;$B87*1000000000,Grids!$EE$160:$GQ$219,"&lt;"&amp;($B87+1)*1000000000))</f>
        <v/>
      </c>
      <c r="F87" s="53">
        <f>IF($B87="","",SUM($C$26:$C87))</f>
        <v/>
      </c>
      <c r="G87" s="53">
        <f>IF($B87="","",SUM($D$26:$D87))</f>
        <v/>
      </c>
      <c r="H87" s="53">
        <f>IF($B87="","",SUM($E$26:$E87))</f>
        <v/>
      </c>
    </row>
    <row r="88">
      <c r="B88" s="51">
        <f>IF(DATE(YEAR_Y,1,1)+62&gt;DATE(YEAR_Y,12,31),"",DATE(YEAR_Y,1,1)+62)</f>
        <v/>
      </c>
      <c r="C88" s="52">
        <f>IF($B88="","",SUMIFS(Grids!$BQ$12:$EC$111,Grids!$EE$12:$GQ$111,"&gt;="&amp;$B88*1000000000,Grids!$EE$12:$GQ$111,"&lt;"&amp;($B88+1)*1000000000))</f>
        <v/>
      </c>
      <c r="D88" s="52">
        <f>IF($B88="","",SUMIFS(Grids!$BQ$116:$EC$155,Grids!$EE$116:$GQ$155,"&gt;="&amp;$B88*1000000000,Grids!$EE$116:$GQ$155,"&lt;"&amp;($B88+1)*1000000000))</f>
        <v/>
      </c>
      <c r="E88" s="52">
        <f>IF($B88="","",SUMIFS(Grids!$BQ$160:$EC$219,Grids!$EE$160:$GQ$219,"&gt;="&amp;$B88*1000000000,Grids!$EE$160:$GQ$219,"&lt;"&amp;($B88+1)*1000000000))</f>
        <v/>
      </c>
      <c r="F88" s="53">
        <f>IF($B88="","",SUM($C$26:$C88))</f>
        <v/>
      </c>
      <c r="G88" s="53">
        <f>IF($B88="","",SUM($D$26:$D88))</f>
        <v/>
      </c>
      <c r="H88" s="53">
        <f>IF($B88="","",SUM($E$26:$E88))</f>
        <v/>
      </c>
    </row>
    <row r="89">
      <c r="B89" s="51">
        <f>IF(DATE(YEAR_Y,1,1)+63&gt;DATE(YEAR_Y,12,31),"",DATE(YEAR_Y,1,1)+63)</f>
        <v/>
      </c>
      <c r="C89" s="52">
        <f>IF($B89="","",SUMIFS(Grids!$BQ$12:$EC$111,Grids!$EE$12:$GQ$111,"&gt;="&amp;$B89*1000000000,Grids!$EE$12:$GQ$111,"&lt;"&amp;($B89+1)*1000000000))</f>
        <v/>
      </c>
      <c r="D89" s="52">
        <f>IF($B89="","",SUMIFS(Grids!$BQ$116:$EC$155,Grids!$EE$116:$GQ$155,"&gt;="&amp;$B89*1000000000,Grids!$EE$116:$GQ$155,"&lt;"&amp;($B89+1)*1000000000))</f>
        <v/>
      </c>
      <c r="E89" s="52">
        <f>IF($B89="","",SUMIFS(Grids!$BQ$160:$EC$219,Grids!$EE$160:$GQ$219,"&gt;="&amp;$B89*1000000000,Grids!$EE$160:$GQ$219,"&lt;"&amp;($B89+1)*1000000000))</f>
        <v/>
      </c>
      <c r="F89" s="53">
        <f>IF($B89="","",SUM($C$26:$C89))</f>
        <v/>
      </c>
      <c r="G89" s="53">
        <f>IF($B89="","",SUM($D$26:$D89))</f>
        <v/>
      </c>
      <c r="H89" s="53">
        <f>IF($B89="","",SUM($E$26:$E89))</f>
        <v/>
      </c>
    </row>
    <row r="90">
      <c r="B90" s="51">
        <f>IF(DATE(YEAR_Y,1,1)+64&gt;DATE(YEAR_Y,12,31),"",DATE(YEAR_Y,1,1)+64)</f>
        <v/>
      </c>
      <c r="C90" s="52">
        <f>IF($B90="","",SUMIFS(Grids!$BQ$12:$EC$111,Grids!$EE$12:$GQ$111,"&gt;="&amp;$B90*1000000000,Grids!$EE$12:$GQ$111,"&lt;"&amp;($B90+1)*1000000000))</f>
        <v/>
      </c>
      <c r="D90" s="52">
        <f>IF($B90="","",SUMIFS(Grids!$BQ$116:$EC$155,Grids!$EE$116:$GQ$155,"&gt;="&amp;$B90*1000000000,Grids!$EE$116:$GQ$155,"&lt;"&amp;($B90+1)*1000000000))</f>
        <v/>
      </c>
      <c r="E90" s="52">
        <f>IF($B90="","",SUMIFS(Grids!$BQ$160:$EC$219,Grids!$EE$160:$GQ$219,"&gt;="&amp;$B90*1000000000,Grids!$EE$160:$GQ$219,"&lt;"&amp;($B90+1)*1000000000))</f>
        <v/>
      </c>
      <c r="F90" s="53">
        <f>IF($B90="","",SUM($C$26:$C90))</f>
        <v/>
      </c>
      <c r="G90" s="53">
        <f>IF($B90="","",SUM($D$26:$D90))</f>
        <v/>
      </c>
      <c r="H90" s="53">
        <f>IF($B90="","",SUM($E$26:$E90))</f>
        <v/>
      </c>
    </row>
    <row r="91">
      <c r="B91" s="51">
        <f>IF(DATE(YEAR_Y,1,1)+65&gt;DATE(YEAR_Y,12,31),"",DATE(YEAR_Y,1,1)+65)</f>
        <v/>
      </c>
      <c r="C91" s="52">
        <f>IF($B91="","",SUMIFS(Grids!$BQ$12:$EC$111,Grids!$EE$12:$GQ$111,"&gt;="&amp;$B91*1000000000,Grids!$EE$12:$GQ$111,"&lt;"&amp;($B91+1)*1000000000))</f>
        <v/>
      </c>
      <c r="D91" s="52">
        <f>IF($B91="","",SUMIFS(Grids!$BQ$116:$EC$155,Grids!$EE$116:$GQ$155,"&gt;="&amp;$B91*1000000000,Grids!$EE$116:$GQ$155,"&lt;"&amp;($B91+1)*1000000000))</f>
        <v/>
      </c>
      <c r="E91" s="52">
        <f>IF($B91="","",SUMIFS(Grids!$BQ$160:$EC$219,Grids!$EE$160:$GQ$219,"&gt;="&amp;$B91*1000000000,Grids!$EE$160:$GQ$219,"&lt;"&amp;($B91+1)*1000000000))</f>
        <v/>
      </c>
      <c r="F91" s="53">
        <f>IF($B91="","",SUM($C$26:$C91))</f>
        <v/>
      </c>
      <c r="G91" s="53">
        <f>IF($B91="","",SUM($D$26:$D91))</f>
        <v/>
      </c>
      <c r="H91" s="53">
        <f>IF($B91="","",SUM($E$26:$E91))</f>
        <v/>
      </c>
    </row>
    <row r="92">
      <c r="B92" s="51">
        <f>IF(DATE(YEAR_Y,1,1)+66&gt;DATE(YEAR_Y,12,31),"",DATE(YEAR_Y,1,1)+66)</f>
        <v/>
      </c>
      <c r="C92" s="52">
        <f>IF($B92="","",SUMIFS(Grids!$BQ$12:$EC$111,Grids!$EE$12:$GQ$111,"&gt;="&amp;$B92*1000000000,Grids!$EE$12:$GQ$111,"&lt;"&amp;($B92+1)*1000000000))</f>
        <v/>
      </c>
      <c r="D92" s="52">
        <f>IF($B92="","",SUMIFS(Grids!$BQ$116:$EC$155,Grids!$EE$116:$GQ$155,"&gt;="&amp;$B92*1000000000,Grids!$EE$116:$GQ$155,"&lt;"&amp;($B92+1)*1000000000))</f>
        <v/>
      </c>
      <c r="E92" s="52">
        <f>IF($B92="","",SUMIFS(Grids!$BQ$160:$EC$219,Grids!$EE$160:$GQ$219,"&gt;="&amp;$B92*1000000000,Grids!$EE$160:$GQ$219,"&lt;"&amp;($B92+1)*1000000000))</f>
        <v/>
      </c>
      <c r="F92" s="53">
        <f>IF($B92="","",SUM($C$26:$C92))</f>
        <v/>
      </c>
      <c r="G92" s="53">
        <f>IF($B92="","",SUM($D$26:$D92))</f>
        <v/>
      </c>
      <c r="H92" s="53">
        <f>IF($B92="","",SUM($E$26:$E92))</f>
        <v/>
      </c>
    </row>
    <row r="93">
      <c r="B93" s="51">
        <f>IF(DATE(YEAR_Y,1,1)+67&gt;DATE(YEAR_Y,12,31),"",DATE(YEAR_Y,1,1)+67)</f>
        <v/>
      </c>
      <c r="C93" s="52">
        <f>IF($B93="","",SUMIFS(Grids!$BQ$12:$EC$111,Grids!$EE$12:$GQ$111,"&gt;="&amp;$B93*1000000000,Grids!$EE$12:$GQ$111,"&lt;"&amp;($B93+1)*1000000000))</f>
        <v/>
      </c>
      <c r="D93" s="52">
        <f>IF($B93="","",SUMIFS(Grids!$BQ$116:$EC$155,Grids!$EE$116:$GQ$155,"&gt;="&amp;$B93*1000000000,Grids!$EE$116:$GQ$155,"&lt;"&amp;($B93+1)*1000000000))</f>
        <v/>
      </c>
      <c r="E93" s="52">
        <f>IF($B93="","",SUMIFS(Grids!$BQ$160:$EC$219,Grids!$EE$160:$GQ$219,"&gt;="&amp;$B93*1000000000,Grids!$EE$160:$GQ$219,"&lt;"&amp;($B93+1)*1000000000))</f>
        <v/>
      </c>
      <c r="F93" s="53">
        <f>IF($B93="","",SUM($C$26:$C93))</f>
        <v/>
      </c>
      <c r="G93" s="53">
        <f>IF($B93="","",SUM($D$26:$D93))</f>
        <v/>
      </c>
      <c r="H93" s="53">
        <f>IF($B93="","",SUM($E$26:$E93))</f>
        <v/>
      </c>
    </row>
    <row r="94">
      <c r="B94" s="51">
        <f>IF(DATE(YEAR_Y,1,1)+68&gt;DATE(YEAR_Y,12,31),"",DATE(YEAR_Y,1,1)+68)</f>
        <v/>
      </c>
      <c r="C94" s="52">
        <f>IF($B94="","",SUMIFS(Grids!$BQ$12:$EC$111,Grids!$EE$12:$GQ$111,"&gt;="&amp;$B94*1000000000,Grids!$EE$12:$GQ$111,"&lt;"&amp;($B94+1)*1000000000))</f>
        <v/>
      </c>
      <c r="D94" s="52">
        <f>IF($B94="","",SUMIFS(Grids!$BQ$116:$EC$155,Grids!$EE$116:$GQ$155,"&gt;="&amp;$B94*1000000000,Grids!$EE$116:$GQ$155,"&lt;"&amp;($B94+1)*1000000000))</f>
        <v/>
      </c>
      <c r="E94" s="52">
        <f>IF($B94="","",SUMIFS(Grids!$BQ$160:$EC$219,Grids!$EE$160:$GQ$219,"&gt;="&amp;$B94*1000000000,Grids!$EE$160:$GQ$219,"&lt;"&amp;($B94+1)*1000000000))</f>
        <v/>
      </c>
      <c r="F94" s="53">
        <f>IF($B94="","",SUM($C$26:$C94))</f>
        <v/>
      </c>
      <c r="G94" s="53">
        <f>IF($B94="","",SUM($D$26:$D94))</f>
        <v/>
      </c>
      <c r="H94" s="53">
        <f>IF($B94="","",SUM($E$26:$E94))</f>
        <v/>
      </c>
    </row>
    <row r="95">
      <c r="B95" s="51">
        <f>IF(DATE(YEAR_Y,1,1)+69&gt;DATE(YEAR_Y,12,31),"",DATE(YEAR_Y,1,1)+69)</f>
        <v/>
      </c>
      <c r="C95" s="52">
        <f>IF($B95="","",SUMIFS(Grids!$BQ$12:$EC$111,Grids!$EE$12:$GQ$111,"&gt;="&amp;$B95*1000000000,Grids!$EE$12:$GQ$111,"&lt;"&amp;($B95+1)*1000000000))</f>
        <v/>
      </c>
      <c r="D95" s="52">
        <f>IF($B95="","",SUMIFS(Grids!$BQ$116:$EC$155,Grids!$EE$116:$GQ$155,"&gt;="&amp;$B95*1000000000,Grids!$EE$116:$GQ$155,"&lt;"&amp;($B95+1)*1000000000))</f>
        <v/>
      </c>
      <c r="E95" s="52">
        <f>IF($B95="","",SUMIFS(Grids!$BQ$160:$EC$219,Grids!$EE$160:$GQ$219,"&gt;="&amp;$B95*1000000000,Grids!$EE$160:$GQ$219,"&lt;"&amp;($B95+1)*1000000000))</f>
        <v/>
      </c>
      <c r="F95" s="53">
        <f>IF($B95="","",SUM($C$26:$C95))</f>
        <v/>
      </c>
      <c r="G95" s="53">
        <f>IF($B95="","",SUM($D$26:$D95))</f>
        <v/>
      </c>
      <c r="H95" s="53">
        <f>IF($B95="","",SUM($E$26:$E95))</f>
        <v/>
      </c>
    </row>
    <row r="96">
      <c r="B96" s="51">
        <f>IF(DATE(YEAR_Y,1,1)+70&gt;DATE(YEAR_Y,12,31),"",DATE(YEAR_Y,1,1)+70)</f>
        <v/>
      </c>
      <c r="C96" s="52">
        <f>IF($B96="","",SUMIFS(Grids!$BQ$12:$EC$111,Grids!$EE$12:$GQ$111,"&gt;="&amp;$B96*1000000000,Grids!$EE$12:$GQ$111,"&lt;"&amp;($B96+1)*1000000000))</f>
        <v/>
      </c>
      <c r="D96" s="52">
        <f>IF($B96="","",SUMIFS(Grids!$BQ$116:$EC$155,Grids!$EE$116:$GQ$155,"&gt;="&amp;$B96*1000000000,Grids!$EE$116:$GQ$155,"&lt;"&amp;($B96+1)*1000000000))</f>
        <v/>
      </c>
      <c r="E96" s="52">
        <f>IF($B96="","",SUMIFS(Grids!$BQ$160:$EC$219,Grids!$EE$160:$GQ$219,"&gt;="&amp;$B96*1000000000,Grids!$EE$160:$GQ$219,"&lt;"&amp;($B96+1)*1000000000))</f>
        <v/>
      </c>
      <c r="F96" s="53">
        <f>IF($B96="","",SUM($C$26:$C96))</f>
        <v/>
      </c>
      <c r="G96" s="53">
        <f>IF($B96="","",SUM($D$26:$D96))</f>
        <v/>
      </c>
      <c r="H96" s="53">
        <f>IF($B96="","",SUM($E$26:$E96))</f>
        <v/>
      </c>
    </row>
    <row r="97">
      <c r="B97" s="51">
        <f>IF(DATE(YEAR_Y,1,1)+71&gt;DATE(YEAR_Y,12,31),"",DATE(YEAR_Y,1,1)+71)</f>
        <v/>
      </c>
      <c r="C97" s="52">
        <f>IF($B97="","",SUMIFS(Grids!$BQ$12:$EC$111,Grids!$EE$12:$GQ$111,"&gt;="&amp;$B97*1000000000,Grids!$EE$12:$GQ$111,"&lt;"&amp;($B97+1)*1000000000))</f>
        <v/>
      </c>
      <c r="D97" s="52">
        <f>IF($B97="","",SUMIFS(Grids!$BQ$116:$EC$155,Grids!$EE$116:$GQ$155,"&gt;="&amp;$B97*1000000000,Grids!$EE$116:$GQ$155,"&lt;"&amp;($B97+1)*1000000000))</f>
        <v/>
      </c>
      <c r="E97" s="52">
        <f>IF($B97="","",SUMIFS(Grids!$BQ$160:$EC$219,Grids!$EE$160:$GQ$219,"&gt;="&amp;$B97*1000000000,Grids!$EE$160:$GQ$219,"&lt;"&amp;($B97+1)*1000000000))</f>
        <v/>
      </c>
      <c r="F97" s="53">
        <f>IF($B97="","",SUM($C$26:$C97))</f>
        <v/>
      </c>
      <c r="G97" s="53">
        <f>IF($B97="","",SUM($D$26:$D97))</f>
        <v/>
      </c>
      <c r="H97" s="53">
        <f>IF($B97="","",SUM($E$26:$E97))</f>
        <v/>
      </c>
    </row>
    <row r="98">
      <c r="B98" s="51">
        <f>IF(DATE(YEAR_Y,1,1)+72&gt;DATE(YEAR_Y,12,31),"",DATE(YEAR_Y,1,1)+72)</f>
        <v/>
      </c>
      <c r="C98" s="52">
        <f>IF($B98="","",SUMIFS(Grids!$BQ$12:$EC$111,Grids!$EE$12:$GQ$111,"&gt;="&amp;$B98*1000000000,Grids!$EE$12:$GQ$111,"&lt;"&amp;($B98+1)*1000000000))</f>
        <v/>
      </c>
      <c r="D98" s="52">
        <f>IF($B98="","",SUMIFS(Grids!$BQ$116:$EC$155,Grids!$EE$116:$GQ$155,"&gt;="&amp;$B98*1000000000,Grids!$EE$116:$GQ$155,"&lt;"&amp;($B98+1)*1000000000))</f>
        <v/>
      </c>
      <c r="E98" s="52">
        <f>IF($B98="","",SUMIFS(Grids!$BQ$160:$EC$219,Grids!$EE$160:$GQ$219,"&gt;="&amp;$B98*1000000000,Grids!$EE$160:$GQ$219,"&lt;"&amp;($B98+1)*1000000000))</f>
        <v/>
      </c>
      <c r="F98" s="53">
        <f>IF($B98="","",SUM($C$26:$C98))</f>
        <v/>
      </c>
      <c r="G98" s="53">
        <f>IF($B98="","",SUM($D$26:$D98))</f>
        <v/>
      </c>
      <c r="H98" s="53">
        <f>IF($B98="","",SUM($E$26:$E98))</f>
        <v/>
      </c>
    </row>
    <row r="99">
      <c r="B99" s="51">
        <f>IF(DATE(YEAR_Y,1,1)+73&gt;DATE(YEAR_Y,12,31),"",DATE(YEAR_Y,1,1)+73)</f>
        <v/>
      </c>
      <c r="C99" s="52">
        <f>IF($B99="","",SUMIFS(Grids!$BQ$12:$EC$111,Grids!$EE$12:$GQ$111,"&gt;="&amp;$B99*1000000000,Grids!$EE$12:$GQ$111,"&lt;"&amp;($B99+1)*1000000000))</f>
        <v/>
      </c>
      <c r="D99" s="52">
        <f>IF($B99="","",SUMIFS(Grids!$BQ$116:$EC$155,Grids!$EE$116:$GQ$155,"&gt;="&amp;$B99*1000000000,Grids!$EE$116:$GQ$155,"&lt;"&amp;($B99+1)*1000000000))</f>
        <v/>
      </c>
      <c r="E99" s="52">
        <f>IF($B99="","",SUMIFS(Grids!$BQ$160:$EC$219,Grids!$EE$160:$GQ$219,"&gt;="&amp;$B99*1000000000,Grids!$EE$160:$GQ$219,"&lt;"&amp;($B99+1)*1000000000))</f>
        <v/>
      </c>
      <c r="F99" s="53">
        <f>IF($B99="","",SUM($C$26:$C99))</f>
        <v/>
      </c>
      <c r="G99" s="53">
        <f>IF($B99="","",SUM($D$26:$D99))</f>
        <v/>
      </c>
      <c r="H99" s="53">
        <f>IF($B99="","",SUM($E$26:$E99))</f>
        <v/>
      </c>
    </row>
    <row r="100">
      <c r="B100" s="51">
        <f>IF(DATE(YEAR_Y,1,1)+74&gt;DATE(YEAR_Y,12,31),"",DATE(YEAR_Y,1,1)+74)</f>
        <v/>
      </c>
      <c r="C100" s="52">
        <f>IF($B100="","",SUMIFS(Grids!$BQ$12:$EC$111,Grids!$EE$12:$GQ$111,"&gt;="&amp;$B100*1000000000,Grids!$EE$12:$GQ$111,"&lt;"&amp;($B100+1)*1000000000))</f>
        <v/>
      </c>
      <c r="D100" s="52">
        <f>IF($B100="","",SUMIFS(Grids!$BQ$116:$EC$155,Grids!$EE$116:$GQ$155,"&gt;="&amp;$B100*1000000000,Grids!$EE$116:$GQ$155,"&lt;"&amp;($B100+1)*1000000000))</f>
        <v/>
      </c>
      <c r="E100" s="52">
        <f>IF($B100="","",SUMIFS(Grids!$BQ$160:$EC$219,Grids!$EE$160:$GQ$219,"&gt;="&amp;$B100*1000000000,Grids!$EE$160:$GQ$219,"&lt;"&amp;($B100+1)*1000000000))</f>
        <v/>
      </c>
      <c r="F100" s="53">
        <f>IF($B100="","",SUM($C$26:$C100))</f>
        <v/>
      </c>
      <c r="G100" s="53">
        <f>IF($B100="","",SUM($D$26:$D100))</f>
        <v/>
      </c>
      <c r="H100" s="53">
        <f>IF($B100="","",SUM($E$26:$E100))</f>
        <v/>
      </c>
    </row>
    <row r="101">
      <c r="B101" s="51">
        <f>IF(DATE(YEAR_Y,1,1)+75&gt;DATE(YEAR_Y,12,31),"",DATE(YEAR_Y,1,1)+75)</f>
        <v/>
      </c>
      <c r="C101" s="52">
        <f>IF($B101="","",SUMIFS(Grids!$BQ$12:$EC$111,Grids!$EE$12:$GQ$111,"&gt;="&amp;$B101*1000000000,Grids!$EE$12:$GQ$111,"&lt;"&amp;($B101+1)*1000000000))</f>
        <v/>
      </c>
      <c r="D101" s="52">
        <f>IF($B101="","",SUMIFS(Grids!$BQ$116:$EC$155,Grids!$EE$116:$GQ$155,"&gt;="&amp;$B101*1000000000,Grids!$EE$116:$GQ$155,"&lt;"&amp;($B101+1)*1000000000))</f>
        <v/>
      </c>
      <c r="E101" s="52">
        <f>IF($B101="","",SUMIFS(Grids!$BQ$160:$EC$219,Grids!$EE$160:$GQ$219,"&gt;="&amp;$B101*1000000000,Grids!$EE$160:$GQ$219,"&lt;"&amp;($B101+1)*1000000000))</f>
        <v/>
      </c>
      <c r="F101" s="53">
        <f>IF($B101="","",SUM($C$26:$C101))</f>
        <v/>
      </c>
      <c r="G101" s="53">
        <f>IF($B101="","",SUM($D$26:$D101))</f>
        <v/>
      </c>
      <c r="H101" s="53">
        <f>IF($B101="","",SUM($E$26:$E101))</f>
        <v/>
      </c>
    </row>
    <row r="102">
      <c r="B102" s="51">
        <f>IF(DATE(YEAR_Y,1,1)+76&gt;DATE(YEAR_Y,12,31),"",DATE(YEAR_Y,1,1)+76)</f>
        <v/>
      </c>
      <c r="C102" s="52">
        <f>IF($B102="","",SUMIFS(Grids!$BQ$12:$EC$111,Grids!$EE$12:$GQ$111,"&gt;="&amp;$B102*1000000000,Grids!$EE$12:$GQ$111,"&lt;"&amp;($B102+1)*1000000000))</f>
        <v/>
      </c>
      <c r="D102" s="52">
        <f>IF($B102="","",SUMIFS(Grids!$BQ$116:$EC$155,Grids!$EE$116:$GQ$155,"&gt;="&amp;$B102*1000000000,Grids!$EE$116:$GQ$155,"&lt;"&amp;($B102+1)*1000000000))</f>
        <v/>
      </c>
      <c r="E102" s="52">
        <f>IF($B102="","",SUMIFS(Grids!$BQ$160:$EC$219,Grids!$EE$160:$GQ$219,"&gt;="&amp;$B102*1000000000,Grids!$EE$160:$GQ$219,"&lt;"&amp;($B102+1)*1000000000))</f>
        <v/>
      </c>
      <c r="F102" s="53">
        <f>IF($B102="","",SUM($C$26:$C102))</f>
        <v/>
      </c>
      <c r="G102" s="53">
        <f>IF($B102="","",SUM($D$26:$D102))</f>
        <v/>
      </c>
      <c r="H102" s="53">
        <f>IF($B102="","",SUM($E$26:$E102))</f>
        <v/>
      </c>
    </row>
    <row r="103">
      <c r="B103" s="51">
        <f>IF(DATE(YEAR_Y,1,1)+77&gt;DATE(YEAR_Y,12,31),"",DATE(YEAR_Y,1,1)+77)</f>
        <v/>
      </c>
      <c r="C103" s="52">
        <f>IF($B103="","",SUMIFS(Grids!$BQ$12:$EC$111,Grids!$EE$12:$GQ$111,"&gt;="&amp;$B103*1000000000,Grids!$EE$12:$GQ$111,"&lt;"&amp;($B103+1)*1000000000))</f>
        <v/>
      </c>
      <c r="D103" s="52">
        <f>IF($B103="","",SUMIFS(Grids!$BQ$116:$EC$155,Grids!$EE$116:$GQ$155,"&gt;="&amp;$B103*1000000000,Grids!$EE$116:$GQ$155,"&lt;"&amp;($B103+1)*1000000000))</f>
        <v/>
      </c>
      <c r="E103" s="52">
        <f>IF($B103="","",SUMIFS(Grids!$BQ$160:$EC$219,Grids!$EE$160:$GQ$219,"&gt;="&amp;$B103*1000000000,Grids!$EE$160:$GQ$219,"&lt;"&amp;($B103+1)*1000000000))</f>
        <v/>
      </c>
      <c r="F103" s="53">
        <f>IF($B103="","",SUM($C$26:$C103))</f>
        <v/>
      </c>
      <c r="G103" s="53">
        <f>IF($B103="","",SUM($D$26:$D103))</f>
        <v/>
      </c>
      <c r="H103" s="53">
        <f>IF($B103="","",SUM($E$26:$E103))</f>
        <v/>
      </c>
    </row>
    <row r="104">
      <c r="B104" s="51">
        <f>IF(DATE(YEAR_Y,1,1)+78&gt;DATE(YEAR_Y,12,31),"",DATE(YEAR_Y,1,1)+78)</f>
        <v/>
      </c>
      <c r="C104" s="52">
        <f>IF($B104="","",SUMIFS(Grids!$BQ$12:$EC$111,Grids!$EE$12:$GQ$111,"&gt;="&amp;$B104*1000000000,Grids!$EE$12:$GQ$111,"&lt;"&amp;($B104+1)*1000000000))</f>
        <v/>
      </c>
      <c r="D104" s="52">
        <f>IF($B104="","",SUMIFS(Grids!$BQ$116:$EC$155,Grids!$EE$116:$GQ$155,"&gt;="&amp;$B104*1000000000,Grids!$EE$116:$GQ$155,"&lt;"&amp;($B104+1)*1000000000))</f>
        <v/>
      </c>
      <c r="E104" s="52">
        <f>IF($B104="","",SUMIFS(Grids!$BQ$160:$EC$219,Grids!$EE$160:$GQ$219,"&gt;="&amp;$B104*1000000000,Grids!$EE$160:$GQ$219,"&lt;"&amp;($B104+1)*1000000000))</f>
        <v/>
      </c>
      <c r="F104" s="53">
        <f>IF($B104="","",SUM($C$26:$C104))</f>
        <v/>
      </c>
      <c r="G104" s="53">
        <f>IF($B104="","",SUM($D$26:$D104))</f>
        <v/>
      </c>
      <c r="H104" s="53">
        <f>IF($B104="","",SUM($E$26:$E104))</f>
        <v/>
      </c>
    </row>
    <row r="105">
      <c r="B105" s="51">
        <f>IF(DATE(YEAR_Y,1,1)+79&gt;DATE(YEAR_Y,12,31),"",DATE(YEAR_Y,1,1)+79)</f>
        <v/>
      </c>
      <c r="C105" s="52">
        <f>IF($B105="","",SUMIFS(Grids!$BQ$12:$EC$111,Grids!$EE$12:$GQ$111,"&gt;="&amp;$B105*1000000000,Grids!$EE$12:$GQ$111,"&lt;"&amp;($B105+1)*1000000000))</f>
        <v/>
      </c>
      <c r="D105" s="52">
        <f>IF($B105="","",SUMIFS(Grids!$BQ$116:$EC$155,Grids!$EE$116:$GQ$155,"&gt;="&amp;$B105*1000000000,Grids!$EE$116:$GQ$155,"&lt;"&amp;($B105+1)*1000000000))</f>
        <v/>
      </c>
      <c r="E105" s="52">
        <f>IF($B105="","",SUMIFS(Grids!$BQ$160:$EC$219,Grids!$EE$160:$GQ$219,"&gt;="&amp;$B105*1000000000,Grids!$EE$160:$GQ$219,"&lt;"&amp;($B105+1)*1000000000))</f>
        <v/>
      </c>
      <c r="F105" s="53">
        <f>IF($B105="","",SUM($C$26:$C105))</f>
        <v/>
      </c>
      <c r="G105" s="53">
        <f>IF($B105="","",SUM($D$26:$D105))</f>
        <v/>
      </c>
      <c r="H105" s="53">
        <f>IF($B105="","",SUM($E$26:$E105))</f>
        <v/>
      </c>
    </row>
    <row r="106">
      <c r="B106" s="51">
        <f>IF(DATE(YEAR_Y,1,1)+80&gt;DATE(YEAR_Y,12,31),"",DATE(YEAR_Y,1,1)+80)</f>
        <v/>
      </c>
      <c r="C106" s="52">
        <f>IF($B106="","",SUMIFS(Grids!$BQ$12:$EC$111,Grids!$EE$12:$GQ$111,"&gt;="&amp;$B106*1000000000,Grids!$EE$12:$GQ$111,"&lt;"&amp;($B106+1)*1000000000))</f>
        <v/>
      </c>
      <c r="D106" s="52">
        <f>IF($B106="","",SUMIFS(Grids!$BQ$116:$EC$155,Grids!$EE$116:$GQ$155,"&gt;="&amp;$B106*1000000000,Grids!$EE$116:$GQ$155,"&lt;"&amp;($B106+1)*1000000000))</f>
        <v/>
      </c>
      <c r="E106" s="52">
        <f>IF($B106="","",SUMIFS(Grids!$BQ$160:$EC$219,Grids!$EE$160:$GQ$219,"&gt;="&amp;$B106*1000000000,Grids!$EE$160:$GQ$219,"&lt;"&amp;($B106+1)*1000000000))</f>
        <v/>
      </c>
      <c r="F106" s="53">
        <f>IF($B106="","",SUM($C$26:$C106))</f>
        <v/>
      </c>
      <c r="G106" s="53">
        <f>IF($B106="","",SUM($D$26:$D106))</f>
        <v/>
      </c>
      <c r="H106" s="53">
        <f>IF($B106="","",SUM($E$26:$E106))</f>
        <v/>
      </c>
    </row>
    <row r="107">
      <c r="B107" s="51">
        <f>IF(DATE(YEAR_Y,1,1)+81&gt;DATE(YEAR_Y,12,31),"",DATE(YEAR_Y,1,1)+81)</f>
        <v/>
      </c>
      <c r="C107" s="52">
        <f>IF($B107="","",SUMIFS(Grids!$BQ$12:$EC$111,Grids!$EE$12:$GQ$111,"&gt;="&amp;$B107*1000000000,Grids!$EE$12:$GQ$111,"&lt;"&amp;($B107+1)*1000000000))</f>
        <v/>
      </c>
      <c r="D107" s="52">
        <f>IF($B107="","",SUMIFS(Grids!$BQ$116:$EC$155,Grids!$EE$116:$GQ$155,"&gt;="&amp;$B107*1000000000,Grids!$EE$116:$GQ$155,"&lt;"&amp;($B107+1)*1000000000))</f>
        <v/>
      </c>
      <c r="E107" s="52">
        <f>IF($B107="","",SUMIFS(Grids!$BQ$160:$EC$219,Grids!$EE$160:$GQ$219,"&gt;="&amp;$B107*1000000000,Grids!$EE$160:$GQ$219,"&lt;"&amp;($B107+1)*1000000000))</f>
        <v/>
      </c>
      <c r="F107" s="53">
        <f>IF($B107="","",SUM($C$26:$C107))</f>
        <v/>
      </c>
      <c r="G107" s="53">
        <f>IF($B107="","",SUM($D$26:$D107))</f>
        <v/>
      </c>
      <c r="H107" s="53">
        <f>IF($B107="","",SUM($E$26:$E107))</f>
        <v/>
      </c>
    </row>
    <row r="108">
      <c r="B108" s="51">
        <f>IF(DATE(YEAR_Y,1,1)+82&gt;DATE(YEAR_Y,12,31),"",DATE(YEAR_Y,1,1)+82)</f>
        <v/>
      </c>
      <c r="C108" s="52">
        <f>IF($B108="","",SUMIFS(Grids!$BQ$12:$EC$111,Grids!$EE$12:$GQ$111,"&gt;="&amp;$B108*1000000000,Grids!$EE$12:$GQ$111,"&lt;"&amp;($B108+1)*1000000000))</f>
        <v/>
      </c>
      <c r="D108" s="52">
        <f>IF($B108="","",SUMIFS(Grids!$BQ$116:$EC$155,Grids!$EE$116:$GQ$155,"&gt;="&amp;$B108*1000000000,Grids!$EE$116:$GQ$155,"&lt;"&amp;($B108+1)*1000000000))</f>
        <v/>
      </c>
      <c r="E108" s="52">
        <f>IF($B108="","",SUMIFS(Grids!$BQ$160:$EC$219,Grids!$EE$160:$GQ$219,"&gt;="&amp;$B108*1000000000,Grids!$EE$160:$GQ$219,"&lt;"&amp;($B108+1)*1000000000))</f>
        <v/>
      </c>
      <c r="F108" s="53">
        <f>IF($B108="","",SUM($C$26:$C108))</f>
        <v/>
      </c>
      <c r="G108" s="53">
        <f>IF($B108="","",SUM($D$26:$D108))</f>
        <v/>
      </c>
      <c r="H108" s="53">
        <f>IF($B108="","",SUM($E$26:$E108))</f>
        <v/>
      </c>
    </row>
    <row r="109">
      <c r="B109" s="51">
        <f>IF(DATE(YEAR_Y,1,1)+83&gt;DATE(YEAR_Y,12,31),"",DATE(YEAR_Y,1,1)+83)</f>
        <v/>
      </c>
      <c r="C109" s="52">
        <f>IF($B109="","",SUMIFS(Grids!$BQ$12:$EC$111,Grids!$EE$12:$GQ$111,"&gt;="&amp;$B109*1000000000,Grids!$EE$12:$GQ$111,"&lt;"&amp;($B109+1)*1000000000))</f>
        <v/>
      </c>
      <c r="D109" s="52">
        <f>IF($B109="","",SUMIFS(Grids!$BQ$116:$EC$155,Grids!$EE$116:$GQ$155,"&gt;="&amp;$B109*1000000000,Grids!$EE$116:$GQ$155,"&lt;"&amp;($B109+1)*1000000000))</f>
        <v/>
      </c>
      <c r="E109" s="52">
        <f>IF($B109="","",SUMIFS(Grids!$BQ$160:$EC$219,Grids!$EE$160:$GQ$219,"&gt;="&amp;$B109*1000000000,Grids!$EE$160:$GQ$219,"&lt;"&amp;($B109+1)*1000000000))</f>
        <v/>
      </c>
      <c r="F109" s="53">
        <f>IF($B109="","",SUM($C$26:$C109))</f>
        <v/>
      </c>
      <c r="G109" s="53">
        <f>IF($B109="","",SUM($D$26:$D109))</f>
        <v/>
      </c>
      <c r="H109" s="53">
        <f>IF($B109="","",SUM($E$26:$E109))</f>
        <v/>
      </c>
    </row>
    <row r="110">
      <c r="B110" s="51">
        <f>IF(DATE(YEAR_Y,1,1)+84&gt;DATE(YEAR_Y,12,31),"",DATE(YEAR_Y,1,1)+84)</f>
        <v/>
      </c>
      <c r="C110" s="52">
        <f>IF($B110="","",SUMIFS(Grids!$BQ$12:$EC$111,Grids!$EE$12:$GQ$111,"&gt;="&amp;$B110*1000000000,Grids!$EE$12:$GQ$111,"&lt;"&amp;($B110+1)*1000000000))</f>
        <v/>
      </c>
      <c r="D110" s="52">
        <f>IF($B110="","",SUMIFS(Grids!$BQ$116:$EC$155,Grids!$EE$116:$GQ$155,"&gt;="&amp;$B110*1000000000,Grids!$EE$116:$GQ$155,"&lt;"&amp;($B110+1)*1000000000))</f>
        <v/>
      </c>
      <c r="E110" s="52">
        <f>IF($B110="","",SUMIFS(Grids!$BQ$160:$EC$219,Grids!$EE$160:$GQ$219,"&gt;="&amp;$B110*1000000000,Grids!$EE$160:$GQ$219,"&lt;"&amp;($B110+1)*1000000000))</f>
        <v/>
      </c>
      <c r="F110" s="53">
        <f>IF($B110="","",SUM($C$26:$C110))</f>
        <v/>
      </c>
      <c r="G110" s="53">
        <f>IF($B110="","",SUM($D$26:$D110))</f>
        <v/>
      </c>
      <c r="H110" s="53">
        <f>IF($B110="","",SUM($E$26:$E110))</f>
        <v/>
      </c>
    </row>
    <row r="111">
      <c r="B111" s="51">
        <f>IF(DATE(YEAR_Y,1,1)+85&gt;DATE(YEAR_Y,12,31),"",DATE(YEAR_Y,1,1)+85)</f>
        <v/>
      </c>
      <c r="C111" s="52">
        <f>IF($B111="","",SUMIFS(Grids!$BQ$12:$EC$111,Grids!$EE$12:$GQ$111,"&gt;="&amp;$B111*1000000000,Grids!$EE$12:$GQ$111,"&lt;"&amp;($B111+1)*1000000000))</f>
        <v/>
      </c>
      <c r="D111" s="52">
        <f>IF($B111="","",SUMIFS(Grids!$BQ$116:$EC$155,Grids!$EE$116:$GQ$155,"&gt;="&amp;$B111*1000000000,Grids!$EE$116:$GQ$155,"&lt;"&amp;($B111+1)*1000000000))</f>
        <v/>
      </c>
      <c r="E111" s="52">
        <f>IF($B111="","",SUMIFS(Grids!$BQ$160:$EC$219,Grids!$EE$160:$GQ$219,"&gt;="&amp;$B111*1000000000,Grids!$EE$160:$GQ$219,"&lt;"&amp;($B111+1)*1000000000))</f>
        <v/>
      </c>
      <c r="F111" s="53">
        <f>IF($B111="","",SUM($C$26:$C111))</f>
        <v/>
      </c>
      <c r="G111" s="53">
        <f>IF($B111="","",SUM($D$26:$D111))</f>
        <v/>
      </c>
      <c r="H111" s="53">
        <f>IF($B111="","",SUM($E$26:$E111))</f>
        <v/>
      </c>
    </row>
    <row r="112">
      <c r="B112" s="51">
        <f>IF(DATE(YEAR_Y,1,1)+86&gt;DATE(YEAR_Y,12,31),"",DATE(YEAR_Y,1,1)+86)</f>
        <v/>
      </c>
      <c r="C112" s="52">
        <f>IF($B112="","",SUMIFS(Grids!$BQ$12:$EC$111,Grids!$EE$12:$GQ$111,"&gt;="&amp;$B112*1000000000,Grids!$EE$12:$GQ$111,"&lt;"&amp;($B112+1)*1000000000))</f>
        <v/>
      </c>
      <c r="D112" s="52">
        <f>IF($B112="","",SUMIFS(Grids!$BQ$116:$EC$155,Grids!$EE$116:$GQ$155,"&gt;="&amp;$B112*1000000000,Grids!$EE$116:$GQ$155,"&lt;"&amp;($B112+1)*1000000000))</f>
        <v/>
      </c>
      <c r="E112" s="52">
        <f>IF($B112="","",SUMIFS(Grids!$BQ$160:$EC$219,Grids!$EE$160:$GQ$219,"&gt;="&amp;$B112*1000000000,Grids!$EE$160:$GQ$219,"&lt;"&amp;($B112+1)*1000000000))</f>
        <v/>
      </c>
      <c r="F112" s="53">
        <f>IF($B112="","",SUM($C$26:$C112))</f>
        <v/>
      </c>
      <c r="G112" s="53">
        <f>IF($B112="","",SUM($D$26:$D112))</f>
        <v/>
      </c>
      <c r="H112" s="53">
        <f>IF($B112="","",SUM($E$26:$E112))</f>
        <v/>
      </c>
    </row>
    <row r="113">
      <c r="B113" s="51">
        <f>IF(DATE(YEAR_Y,1,1)+87&gt;DATE(YEAR_Y,12,31),"",DATE(YEAR_Y,1,1)+87)</f>
        <v/>
      </c>
      <c r="C113" s="52">
        <f>IF($B113="","",SUMIFS(Grids!$BQ$12:$EC$111,Grids!$EE$12:$GQ$111,"&gt;="&amp;$B113*1000000000,Grids!$EE$12:$GQ$111,"&lt;"&amp;($B113+1)*1000000000))</f>
        <v/>
      </c>
      <c r="D113" s="52">
        <f>IF($B113="","",SUMIFS(Grids!$BQ$116:$EC$155,Grids!$EE$116:$GQ$155,"&gt;="&amp;$B113*1000000000,Grids!$EE$116:$GQ$155,"&lt;"&amp;($B113+1)*1000000000))</f>
        <v/>
      </c>
      <c r="E113" s="52">
        <f>IF($B113="","",SUMIFS(Grids!$BQ$160:$EC$219,Grids!$EE$160:$GQ$219,"&gt;="&amp;$B113*1000000000,Grids!$EE$160:$GQ$219,"&lt;"&amp;($B113+1)*1000000000))</f>
        <v/>
      </c>
      <c r="F113" s="53">
        <f>IF($B113="","",SUM($C$26:$C113))</f>
        <v/>
      </c>
      <c r="G113" s="53">
        <f>IF($B113="","",SUM($D$26:$D113))</f>
        <v/>
      </c>
      <c r="H113" s="53">
        <f>IF($B113="","",SUM($E$26:$E113))</f>
        <v/>
      </c>
    </row>
    <row r="114">
      <c r="B114" s="51">
        <f>IF(DATE(YEAR_Y,1,1)+88&gt;DATE(YEAR_Y,12,31),"",DATE(YEAR_Y,1,1)+88)</f>
        <v/>
      </c>
      <c r="C114" s="52">
        <f>IF($B114="","",SUMIFS(Grids!$BQ$12:$EC$111,Grids!$EE$12:$GQ$111,"&gt;="&amp;$B114*1000000000,Grids!$EE$12:$GQ$111,"&lt;"&amp;($B114+1)*1000000000))</f>
        <v/>
      </c>
      <c r="D114" s="52">
        <f>IF($B114="","",SUMIFS(Grids!$BQ$116:$EC$155,Grids!$EE$116:$GQ$155,"&gt;="&amp;$B114*1000000000,Grids!$EE$116:$GQ$155,"&lt;"&amp;($B114+1)*1000000000))</f>
        <v/>
      </c>
      <c r="E114" s="52">
        <f>IF($B114="","",SUMIFS(Grids!$BQ$160:$EC$219,Grids!$EE$160:$GQ$219,"&gt;="&amp;$B114*1000000000,Grids!$EE$160:$GQ$219,"&lt;"&amp;($B114+1)*1000000000))</f>
        <v/>
      </c>
      <c r="F114" s="53">
        <f>IF($B114="","",SUM($C$26:$C114))</f>
        <v/>
      </c>
      <c r="G114" s="53">
        <f>IF($B114="","",SUM($D$26:$D114))</f>
        <v/>
      </c>
      <c r="H114" s="53">
        <f>IF($B114="","",SUM($E$26:$E114))</f>
        <v/>
      </c>
    </row>
    <row r="115">
      <c r="B115" s="51">
        <f>IF(DATE(YEAR_Y,1,1)+89&gt;DATE(YEAR_Y,12,31),"",DATE(YEAR_Y,1,1)+89)</f>
        <v/>
      </c>
      <c r="C115" s="52">
        <f>IF($B115="","",SUMIFS(Grids!$BQ$12:$EC$111,Grids!$EE$12:$GQ$111,"&gt;="&amp;$B115*1000000000,Grids!$EE$12:$GQ$111,"&lt;"&amp;($B115+1)*1000000000))</f>
        <v/>
      </c>
      <c r="D115" s="52">
        <f>IF($B115="","",SUMIFS(Grids!$BQ$116:$EC$155,Grids!$EE$116:$GQ$155,"&gt;="&amp;$B115*1000000000,Grids!$EE$116:$GQ$155,"&lt;"&amp;($B115+1)*1000000000))</f>
        <v/>
      </c>
      <c r="E115" s="52">
        <f>IF($B115="","",SUMIFS(Grids!$BQ$160:$EC$219,Grids!$EE$160:$GQ$219,"&gt;="&amp;$B115*1000000000,Grids!$EE$160:$GQ$219,"&lt;"&amp;($B115+1)*1000000000))</f>
        <v/>
      </c>
      <c r="F115" s="53">
        <f>IF($B115="","",SUM($C$26:$C115))</f>
        <v/>
      </c>
      <c r="G115" s="53">
        <f>IF($B115="","",SUM($D$26:$D115))</f>
        <v/>
      </c>
      <c r="H115" s="53">
        <f>IF($B115="","",SUM($E$26:$E115))</f>
        <v/>
      </c>
    </row>
    <row r="116">
      <c r="B116" s="51">
        <f>IF(DATE(YEAR_Y,1,1)+90&gt;DATE(YEAR_Y,12,31),"",DATE(YEAR_Y,1,1)+90)</f>
        <v/>
      </c>
      <c r="C116" s="52">
        <f>IF($B116="","",SUMIFS(Grids!$BQ$12:$EC$111,Grids!$EE$12:$GQ$111,"&gt;="&amp;$B116*1000000000,Grids!$EE$12:$GQ$111,"&lt;"&amp;($B116+1)*1000000000))</f>
        <v/>
      </c>
      <c r="D116" s="52">
        <f>IF($B116="","",SUMIFS(Grids!$BQ$116:$EC$155,Grids!$EE$116:$GQ$155,"&gt;="&amp;$B116*1000000000,Grids!$EE$116:$GQ$155,"&lt;"&amp;($B116+1)*1000000000))</f>
        <v/>
      </c>
      <c r="E116" s="52">
        <f>IF($B116="","",SUMIFS(Grids!$BQ$160:$EC$219,Grids!$EE$160:$GQ$219,"&gt;="&amp;$B116*1000000000,Grids!$EE$160:$GQ$219,"&lt;"&amp;($B116+1)*1000000000))</f>
        <v/>
      </c>
      <c r="F116" s="53">
        <f>IF($B116="","",SUM($C$26:$C116))</f>
        <v/>
      </c>
      <c r="G116" s="53">
        <f>IF($B116="","",SUM($D$26:$D116))</f>
        <v/>
      </c>
      <c r="H116" s="53">
        <f>IF($B116="","",SUM($E$26:$E116))</f>
        <v/>
      </c>
    </row>
    <row r="117">
      <c r="B117" s="51">
        <f>IF(DATE(YEAR_Y,1,1)+91&gt;DATE(YEAR_Y,12,31),"",DATE(YEAR_Y,1,1)+91)</f>
        <v/>
      </c>
      <c r="C117" s="52">
        <f>IF($B117="","",SUMIFS(Grids!$BQ$12:$EC$111,Grids!$EE$12:$GQ$111,"&gt;="&amp;$B117*1000000000,Grids!$EE$12:$GQ$111,"&lt;"&amp;($B117+1)*1000000000))</f>
        <v/>
      </c>
      <c r="D117" s="52">
        <f>IF($B117="","",SUMIFS(Grids!$BQ$116:$EC$155,Grids!$EE$116:$GQ$155,"&gt;="&amp;$B117*1000000000,Grids!$EE$116:$GQ$155,"&lt;"&amp;($B117+1)*1000000000))</f>
        <v/>
      </c>
      <c r="E117" s="52">
        <f>IF($B117="","",SUMIFS(Grids!$BQ$160:$EC$219,Grids!$EE$160:$GQ$219,"&gt;="&amp;$B117*1000000000,Grids!$EE$160:$GQ$219,"&lt;"&amp;($B117+1)*1000000000))</f>
        <v/>
      </c>
      <c r="F117" s="53">
        <f>IF($B117="","",SUM($C$26:$C117))</f>
        <v/>
      </c>
      <c r="G117" s="53">
        <f>IF($B117="","",SUM($D$26:$D117))</f>
        <v/>
      </c>
      <c r="H117" s="53">
        <f>IF($B117="","",SUM($E$26:$E117))</f>
        <v/>
      </c>
    </row>
    <row r="118">
      <c r="B118" s="51">
        <f>IF(DATE(YEAR_Y,1,1)+92&gt;DATE(YEAR_Y,12,31),"",DATE(YEAR_Y,1,1)+92)</f>
        <v/>
      </c>
      <c r="C118" s="52">
        <f>IF($B118="","",SUMIFS(Grids!$BQ$12:$EC$111,Grids!$EE$12:$GQ$111,"&gt;="&amp;$B118*1000000000,Grids!$EE$12:$GQ$111,"&lt;"&amp;($B118+1)*1000000000))</f>
        <v/>
      </c>
      <c r="D118" s="52">
        <f>IF($B118="","",SUMIFS(Grids!$BQ$116:$EC$155,Grids!$EE$116:$GQ$155,"&gt;="&amp;$B118*1000000000,Grids!$EE$116:$GQ$155,"&lt;"&amp;($B118+1)*1000000000))</f>
        <v/>
      </c>
      <c r="E118" s="52">
        <f>IF($B118="","",SUMIFS(Grids!$BQ$160:$EC$219,Grids!$EE$160:$GQ$219,"&gt;="&amp;$B118*1000000000,Grids!$EE$160:$GQ$219,"&lt;"&amp;($B118+1)*1000000000))</f>
        <v/>
      </c>
      <c r="F118" s="53">
        <f>IF($B118="","",SUM($C$26:$C118))</f>
        <v/>
      </c>
      <c r="G118" s="53">
        <f>IF($B118="","",SUM($D$26:$D118))</f>
        <v/>
      </c>
      <c r="H118" s="53">
        <f>IF($B118="","",SUM($E$26:$E118))</f>
        <v/>
      </c>
    </row>
    <row r="119">
      <c r="B119" s="51">
        <f>IF(DATE(YEAR_Y,1,1)+93&gt;DATE(YEAR_Y,12,31),"",DATE(YEAR_Y,1,1)+93)</f>
        <v/>
      </c>
      <c r="C119" s="52">
        <f>IF($B119="","",SUMIFS(Grids!$BQ$12:$EC$111,Grids!$EE$12:$GQ$111,"&gt;="&amp;$B119*1000000000,Grids!$EE$12:$GQ$111,"&lt;"&amp;($B119+1)*1000000000))</f>
        <v/>
      </c>
      <c r="D119" s="52">
        <f>IF($B119="","",SUMIFS(Grids!$BQ$116:$EC$155,Grids!$EE$116:$GQ$155,"&gt;="&amp;$B119*1000000000,Grids!$EE$116:$GQ$155,"&lt;"&amp;($B119+1)*1000000000))</f>
        <v/>
      </c>
      <c r="E119" s="52">
        <f>IF($B119="","",SUMIFS(Grids!$BQ$160:$EC$219,Grids!$EE$160:$GQ$219,"&gt;="&amp;$B119*1000000000,Grids!$EE$160:$GQ$219,"&lt;"&amp;($B119+1)*1000000000))</f>
        <v/>
      </c>
      <c r="F119" s="53">
        <f>IF($B119="","",SUM($C$26:$C119))</f>
        <v/>
      </c>
      <c r="G119" s="53">
        <f>IF($B119="","",SUM($D$26:$D119))</f>
        <v/>
      </c>
      <c r="H119" s="53">
        <f>IF($B119="","",SUM($E$26:$E119))</f>
        <v/>
      </c>
    </row>
    <row r="120">
      <c r="B120" s="51">
        <f>IF(DATE(YEAR_Y,1,1)+94&gt;DATE(YEAR_Y,12,31),"",DATE(YEAR_Y,1,1)+94)</f>
        <v/>
      </c>
      <c r="C120" s="52">
        <f>IF($B120="","",SUMIFS(Grids!$BQ$12:$EC$111,Grids!$EE$12:$GQ$111,"&gt;="&amp;$B120*1000000000,Grids!$EE$12:$GQ$111,"&lt;"&amp;($B120+1)*1000000000))</f>
        <v/>
      </c>
      <c r="D120" s="52">
        <f>IF($B120="","",SUMIFS(Grids!$BQ$116:$EC$155,Grids!$EE$116:$GQ$155,"&gt;="&amp;$B120*1000000000,Grids!$EE$116:$GQ$155,"&lt;"&amp;($B120+1)*1000000000))</f>
        <v/>
      </c>
      <c r="E120" s="52">
        <f>IF($B120="","",SUMIFS(Grids!$BQ$160:$EC$219,Grids!$EE$160:$GQ$219,"&gt;="&amp;$B120*1000000000,Grids!$EE$160:$GQ$219,"&lt;"&amp;($B120+1)*1000000000))</f>
        <v/>
      </c>
      <c r="F120" s="53">
        <f>IF($B120="","",SUM($C$26:$C120))</f>
        <v/>
      </c>
      <c r="G120" s="53">
        <f>IF($B120="","",SUM($D$26:$D120))</f>
        <v/>
      </c>
      <c r="H120" s="53">
        <f>IF($B120="","",SUM($E$26:$E120))</f>
        <v/>
      </c>
    </row>
    <row r="121">
      <c r="B121" s="51">
        <f>IF(DATE(YEAR_Y,1,1)+95&gt;DATE(YEAR_Y,12,31),"",DATE(YEAR_Y,1,1)+95)</f>
        <v/>
      </c>
      <c r="C121" s="52">
        <f>IF($B121="","",SUMIFS(Grids!$BQ$12:$EC$111,Grids!$EE$12:$GQ$111,"&gt;="&amp;$B121*1000000000,Grids!$EE$12:$GQ$111,"&lt;"&amp;($B121+1)*1000000000))</f>
        <v/>
      </c>
      <c r="D121" s="52">
        <f>IF($B121="","",SUMIFS(Grids!$BQ$116:$EC$155,Grids!$EE$116:$GQ$155,"&gt;="&amp;$B121*1000000000,Grids!$EE$116:$GQ$155,"&lt;"&amp;($B121+1)*1000000000))</f>
        <v/>
      </c>
      <c r="E121" s="52">
        <f>IF($B121="","",SUMIFS(Grids!$BQ$160:$EC$219,Grids!$EE$160:$GQ$219,"&gt;="&amp;$B121*1000000000,Grids!$EE$160:$GQ$219,"&lt;"&amp;($B121+1)*1000000000))</f>
        <v/>
      </c>
      <c r="F121" s="53">
        <f>IF($B121="","",SUM($C$26:$C121))</f>
        <v/>
      </c>
      <c r="G121" s="53">
        <f>IF($B121="","",SUM($D$26:$D121))</f>
        <v/>
      </c>
      <c r="H121" s="53">
        <f>IF($B121="","",SUM($E$26:$E121))</f>
        <v/>
      </c>
    </row>
    <row r="122">
      <c r="B122" s="51">
        <f>IF(DATE(YEAR_Y,1,1)+96&gt;DATE(YEAR_Y,12,31),"",DATE(YEAR_Y,1,1)+96)</f>
        <v/>
      </c>
      <c r="C122" s="52">
        <f>IF($B122="","",SUMIFS(Grids!$BQ$12:$EC$111,Grids!$EE$12:$GQ$111,"&gt;="&amp;$B122*1000000000,Grids!$EE$12:$GQ$111,"&lt;"&amp;($B122+1)*1000000000))</f>
        <v/>
      </c>
      <c r="D122" s="52">
        <f>IF($B122="","",SUMIFS(Grids!$BQ$116:$EC$155,Grids!$EE$116:$GQ$155,"&gt;="&amp;$B122*1000000000,Grids!$EE$116:$GQ$155,"&lt;"&amp;($B122+1)*1000000000))</f>
        <v/>
      </c>
      <c r="E122" s="52">
        <f>IF($B122="","",SUMIFS(Grids!$BQ$160:$EC$219,Grids!$EE$160:$GQ$219,"&gt;="&amp;$B122*1000000000,Grids!$EE$160:$GQ$219,"&lt;"&amp;($B122+1)*1000000000))</f>
        <v/>
      </c>
      <c r="F122" s="53">
        <f>IF($B122="","",SUM($C$26:$C122))</f>
        <v/>
      </c>
      <c r="G122" s="53">
        <f>IF($B122="","",SUM($D$26:$D122))</f>
        <v/>
      </c>
      <c r="H122" s="53">
        <f>IF($B122="","",SUM($E$26:$E122))</f>
        <v/>
      </c>
    </row>
    <row r="123">
      <c r="B123" s="51">
        <f>IF(DATE(YEAR_Y,1,1)+97&gt;DATE(YEAR_Y,12,31),"",DATE(YEAR_Y,1,1)+97)</f>
        <v/>
      </c>
      <c r="C123" s="52">
        <f>IF($B123="","",SUMIFS(Grids!$BQ$12:$EC$111,Grids!$EE$12:$GQ$111,"&gt;="&amp;$B123*1000000000,Grids!$EE$12:$GQ$111,"&lt;"&amp;($B123+1)*1000000000))</f>
        <v/>
      </c>
      <c r="D123" s="52">
        <f>IF($B123="","",SUMIFS(Grids!$BQ$116:$EC$155,Grids!$EE$116:$GQ$155,"&gt;="&amp;$B123*1000000000,Grids!$EE$116:$GQ$155,"&lt;"&amp;($B123+1)*1000000000))</f>
        <v/>
      </c>
      <c r="E123" s="52">
        <f>IF($B123="","",SUMIFS(Grids!$BQ$160:$EC$219,Grids!$EE$160:$GQ$219,"&gt;="&amp;$B123*1000000000,Grids!$EE$160:$GQ$219,"&lt;"&amp;($B123+1)*1000000000))</f>
        <v/>
      </c>
      <c r="F123" s="53">
        <f>IF($B123="","",SUM($C$26:$C123))</f>
        <v/>
      </c>
      <c r="G123" s="53">
        <f>IF($B123="","",SUM($D$26:$D123))</f>
        <v/>
      </c>
      <c r="H123" s="53">
        <f>IF($B123="","",SUM($E$26:$E123))</f>
        <v/>
      </c>
    </row>
    <row r="124">
      <c r="B124" s="51">
        <f>IF(DATE(YEAR_Y,1,1)+98&gt;DATE(YEAR_Y,12,31),"",DATE(YEAR_Y,1,1)+98)</f>
        <v/>
      </c>
      <c r="C124" s="52">
        <f>IF($B124="","",SUMIFS(Grids!$BQ$12:$EC$111,Grids!$EE$12:$GQ$111,"&gt;="&amp;$B124*1000000000,Grids!$EE$12:$GQ$111,"&lt;"&amp;($B124+1)*1000000000))</f>
        <v/>
      </c>
      <c r="D124" s="52">
        <f>IF($B124="","",SUMIFS(Grids!$BQ$116:$EC$155,Grids!$EE$116:$GQ$155,"&gt;="&amp;$B124*1000000000,Grids!$EE$116:$GQ$155,"&lt;"&amp;($B124+1)*1000000000))</f>
        <v/>
      </c>
      <c r="E124" s="52">
        <f>IF($B124="","",SUMIFS(Grids!$BQ$160:$EC$219,Grids!$EE$160:$GQ$219,"&gt;="&amp;$B124*1000000000,Grids!$EE$160:$GQ$219,"&lt;"&amp;($B124+1)*1000000000))</f>
        <v/>
      </c>
      <c r="F124" s="53">
        <f>IF($B124="","",SUM($C$26:$C124))</f>
        <v/>
      </c>
      <c r="G124" s="53">
        <f>IF($B124="","",SUM($D$26:$D124))</f>
        <v/>
      </c>
      <c r="H124" s="53">
        <f>IF($B124="","",SUM($E$26:$E124))</f>
        <v/>
      </c>
    </row>
    <row r="125">
      <c r="B125" s="51">
        <f>IF(DATE(YEAR_Y,1,1)+99&gt;DATE(YEAR_Y,12,31),"",DATE(YEAR_Y,1,1)+99)</f>
        <v/>
      </c>
      <c r="C125" s="52">
        <f>IF($B125="","",SUMIFS(Grids!$BQ$12:$EC$111,Grids!$EE$12:$GQ$111,"&gt;="&amp;$B125*1000000000,Grids!$EE$12:$GQ$111,"&lt;"&amp;($B125+1)*1000000000))</f>
        <v/>
      </c>
      <c r="D125" s="52">
        <f>IF($B125="","",SUMIFS(Grids!$BQ$116:$EC$155,Grids!$EE$116:$GQ$155,"&gt;="&amp;$B125*1000000000,Grids!$EE$116:$GQ$155,"&lt;"&amp;($B125+1)*1000000000))</f>
        <v/>
      </c>
      <c r="E125" s="52">
        <f>IF($B125="","",SUMIFS(Grids!$BQ$160:$EC$219,Grids!$EE$160:$GQ$219,"&gt;="&amp;$B125*1000000000,Grids!$EE$160:$GQ$219,"&lt;"&amp;($B125+1)*1000000000))</f>
        <v/>
      </c>
      <c r="F125" s="53">
        <f>IF($B125="","",SUM($C$26:$C125))</f>
        <v/>
      </c>
      <c r="G125" s="53">
        <f>IF($B125="","",SUM($D$26:$D125))</f>
        <v/>
      </c>
      <c r="H125" s="53">
        <f>IF($B125="","",SUM($E$26:$E125))</f>
        <v/>
      </c>
    </row>
    <row r="126">
      <c r="B126" s="51">
        <f>IF(DATE(YEAR_Y,1,1)+100&gt;DATE(YEAR_Y,12,31),"",DATE(YEAR_Y,1,1)+100)</f>
        <v/>
      </c>
      <c r="C126" s="52">
        <f>IF($B126="","",SUMIFS(Grids!$BQ$12:$EC$111,Grids!$EE$12:$GQ$111,"&gt;="&amp;$B126*1000000000,Grids!$EE$12:$GQ$111,"&lt;"&amp;($B126+1)*1000000000))</f>
        <v/>
      </c>
      <c r="D126" s="52">
        <f>IF($B126="","",SUMIFS(Grids!$BQ$116:$EC$155,Grids!$EE$116:$GQ$155,"&gt;="&amp;$B126*1000000000,Grids!$EE$116:$GQ$155,"&lt;"&amp;($B126+1)*1000000000))</f>
        <v/>
      </c>
      <c r="E126" s="52">
        <f>IF($B126="","",SUMIFS(Grids!$BQ$160:$EC$219,Grids!$EE$160:$GQ$219,"&gt;="&amp;$B126*1000000000,Grids!$EE$160:$GQ$219,"&lt;"&amp;($B126+1)*1000000000))</f>
        <v/>
      </c>
      <c r="F126" s="53">
        <f>IF($B126="","",SUM($C$26:$C126))</f>
        <v/>
      </c>
      <c r="G126" s="53">
        <f>IF($B126="","",SUM($D$26:$D126))</f>
        <v/>
      </c>
      <c r="H126" s="53">
        <f>IF($B126="","",SUM($E$26:$E126))</f>
        <v/>
      </c>
    </row>
    <row r="127">
      <c r="B127" s="51">
        <f>IF(DATE(YEAR_Y,1,1)+101&gt;DATE(YEAR_Y,12,31),"",DATE(YEAR_Y,1,1)+101)</f>
        <v/>
      </c>
      <c r="C127" s="52">
        <f>IF($B127="","",SUMIFS(Grids!$BQ$12:$EC$111,Grids!$EE$12:$GQ$111,"&gt;="&amp;$B127*1000000000,Grids!$EE$12:$GQ$111,"&lt;"&amp;($B127+1)*1000000000))</f>
        <v/>
      </c>
      <c r="D127" s="52">
        <f>IF($B127="","",SUMIFS(Grids!$BQ$116:$EC$155,Grids!$EE$116:$GQ$155,"&gt;="&amp;$B127*1000000000,Grids!$EE$116:$GQ$155,"&lt;"&amp;($B127+1)*1000000000))</f>
        <v/>
      </c>
      <c r="E127" s="52">
        <f>IF($B127="","",SUMIFS(Grids!$BQ$160:$EC$219,Grids!$EE$160:$GQ$219,"&gt;="&amp;$B127*1000000000,Grids!$EE$160:$GQ$219,"&lt;"&amp;($B127+1)*1000000000))</f>
        <v/>
      </c>
      <c r="F127" s="53">
        <f>IF($B127="","",SUM($C$26:$C127))</f>
        <v/>
      </c>
      <c r="G127" s="53">
        <f>IF($B127="","",SUM($D$26:$D127))</f>
        <v/>
      </c>
      <c r="H127" s="53">
        <f>IF($B127="","",SUM($E$26:$E127))</f>
        <v/>
      </c>
    </row>
    <row r="128">
      <c r="B128" s="51">
        <f>IF(DATE(YEAR_Y,1,1)+102&gt;DATE(YEAR_Y,12,31),"",DATE(YEAR_Y,1,1)+102)</f>
        <v/>
      </c>
      <c r="C128" s="52">
        <f>IF($B128="","",SUMIFS(Grids!$BQ$12:$EC$111,Grids!$EE$12:$GQ$111,"&gt;="&amp;$B128*1000000000,Grids!$EE$12:$GQ$111,"&lt;"&amp;($B128+1)*1000000000))</f>
        <v/>
      </c>
      <c r="D128" s="52">
        <f>IF($B128="","",SUMIFS(Grids!$BQ$116:$EC$155,Grids!$EE$116:$GQ$155,"&gt;="&amp;$B128*1000000000,Grids!$EE$116:$GQ$155,"&lt;"&amp;($B128+1)*1000000000))</f>
        <v/>
      </c>
      <c r="E128" s="52">
        <f>IF($B128="","",SUMIFS(Grids!$BQ$160:$EC$219,Grids!$EE$160:$GQ$219,"&gt;="&amp;$B128*1000000000,Grids!$EE$160:$GQ$219,"&lt;"&amp;($B128+1)*1000000000))</f>
        <v/>
      </c>
      <c r="F128" s="53">
        <f>IF($B128="","",SUM($C$26:$C128))</f>
        <v/>
      </c>
      <c r="G128" s="53">
        <f>IF($B128="","",SUM($D$26:$D128))</f>
        <v/>
      </c>
      <c r="H128" s="53">
        <f>IF($B128="","",SUM($E$26:$E128))</f>
        <v/>
      </c>
    </row>
    <row r="129">
      <c r="B129" s="51">
        <f>IF(DATE(YEAR_Y,1,1)+103&gt;DATE(YEAR_Y,12,31),"",DATE(YEAR_Y,1,1)+103)</f>
        <v/>
      </c>
      <c r="C129" s="52">
        <f>IF($B129="","",SUMIFS(Grids!$BQ$12:$EC$111,Grids!$EE$12:$GQ$111,"&gt;="&amp;$B129*1000000000,Grids!$EE$12:$GQ$111,"&lt;"&amp;($B129+1)*1000000000))</f>
        <v/>
      </c>
      <c r="D129" s="52">
        <f>IF($B129="","",SUMIFS(Grids!$BQ$116:$EC$155,Grids!$EE$116:$GQ$155,"&gt;="&amp;$B129*1000000000,Grids!$EE$116:$GQ$155,"&lt;"&amp;($B129+1)*1000000000))</f>
        <v/>
      </c>
      <c r="E129" s="52">
        <f>IF($B129="","",SUMIFS(Grids!$BQ$160:$EC$219,Grids!$EE$160:$GQ$219,"&gt;="&amp;$B129*1000000000,Grids!$EE$160:$GQ$219,"&lt;"&amp;($B129+1)*1000000000))</f>
        <v/>
      </c>
      <c r="F129" s="53">
        <f>IF($B129="","",SUM($C$26:$C129))</f>
        <v/>
      </c>
      <c r="G129" s="53">
        <f>IF($B129="","",SUM($D$26:$D129))</f>
        <v/>
      </c>
      <c r="H129" s="53">
        <f>IF($B129="","",SUM($E$26:$E129))</f>
        <v/>
      </c>
    </row>
    <row r="130">
      <c r="B130" s="51">
        <f>IF(DATE(YEAR_Y,1,1)+104&gt;DATE(YEAR_Y,12,31),"",DATE(YEAR_Y,1,1)+104)</f>
        <v/>
      </c>
      <c r="C130" s="52">
        <f>IF($B130="","",SUMIFS(Grids!$BQ$12:$EC$111,Grids!$EE$12:$GQ$111,"&gt;="&amp;$B130*1000000000,Grids!$EE$12:$GQ$111,"&lt;"&amp;($B130+1)*1000000000))</f>
        <v/>
      </c>
      <c r="D130" s="52">
        <f>IF($B130="","",SUMIFS(Grids!$BQ$116:$EC$155,Grids!$EE$116:$GQ$155,"&gt;="&amp;$B130*1000000000,Grids!$EE$116:$GQ$155,"&lt;"&amp;($B130+1)*1000000000))</f>
        <v/>
      </c>
      <c r="E130" s="52">
        <f>IF($B130="","",SUMIFS(Grids!$BQ$160:$EC$219,Grids!$EE$160:$GQ$219,"&gt;="&amp;$B130*1000000000,Grids!$EE$160:$GQ$219,"&lt;"&amp;($B130+1)*1000000000))</f>
        <v/>
      </c>
      <c r="F130" s="53">
        <f>IF($B130="","",SUM($C$26:$C130))</f>
        <v/>
      </c>
      <c r="G130" s="53">
        <f>IF($B130="","",SUM($D$26:$D130))</f>
        <v/>
      </c>
      <c r="H130" s="53">
        <f>IF($B130="","",SUM($E$26:$E130))</f>
        <v/>
      </c>
    </row>
    <row r="131">
      <c r="B131" s="51">
        <f>IF(DATE(YEAR_Y,1,1)+105&gt;DATE(YEAR_Y,12,31),"",DATE(YEAR_Y,1,1)+105)</f>
        <v/>
      </c>
      <c r="C131" s="52">
        <f>IF($B131="","",SUMIFS(Grids!$BQ$12:$EC$111,Grids!$EE$12:$GQ$111,"&gt;="&amp;$B131*1000000000,Grids!$EE$12:$GQ$111,"&lt;"&amp;($B131+1)*1000000000))</f>
        <v/>
      </c>
      <c r="D131" s="52">
        <f>IF($B131="","",SUMIFS(Grids!$BQ$116:$EC$155,Grids!$EE$116:$GQ$155,"&gt;="&amp;$B131*1000000000,Grids!$EE$116:$GQ$155,"&lt;"&amp;($B131+1)*1000000000))</f>
        <v/>
      </c>
      <c r="E131" s="52">
        <f>IF($B131="","",SUMIFS(Grids!$BQ$160:$EC$219,Grids!$EE$160:$GQ$219,"&gt;="&amp;$B131*1000000000,Grids!$EE$160:$GQ$219,"&lt;"&amp;($B131+1)*1000000000))</f>
        <v/>
      </c>
      <c r="F131" s="53">
        <f>IF($B131="","",SUM($C$26:$C131))</f>
        <v/>
      </c>
      <c r="G131" s="53">
        <f>IF($B131="","",SUM($D$26:$D131))</f>
        <v/>
      </c>
      <c r="H131" s="53">
        <f>IF($B131="","",SUM($E$26:$E131))</f>
        <v/>
      </c>
    </row>
    <row r="132">
      <c r="B132" s="51">
        <f>IF(DATE(YEAR_Y,1,1)+106&gt;DATE(YEAR_Y,12,31),"",DATE(YEAR_Y,1,1)+106)</f>
        <v/>
      </c>
      <c r="C132" s="52">
        <f>IF($B132="","",SUMIFS(Grids!$BQ$12:$EC$111,Grids!$EE$12:$GQ$111,"&gt;="&amp;$B132*1000000000,Grids!$EE$12:$GQ$111,"&lt;"&amp;($B132+1)*1000000000))</f>
        <v/>
      </c>
      <c r="D132" s="52">
        <f>IF($B132="","",SUMIFS(Grids!$BQ$116:$EC$155,Grids!$EE$116:$GQ$155,"&gt;="&amp;$B132*1000000000,Grids!$EE$116:$GQ$155,"&lt;"&amp;($B132+1)*1000000000))</f>
        <v/>
      </c>
      <c r="E132" s="52">
        <f>IF($B132="","",SUMIFS(Grids!$BQ$160:$EC$219,Grids!$EE$160:$GQ$219,"&gt;="&amp;$B132*1000000000,Grids!$EE$160:$GQ$219,"&lt;"&amp;($B132+1)*1000000000))</f>
        <v/>
      </c>
      <c r="F132" s="53">
        <f>IF($B132="","",SUM($C$26:$C132))</f>
        <v/>
      </c>
      <c r="G132" s="53">
        <f>IF($B132="","",SUM($D$26:$D132))</f>
        <v/>
      </c>
      <c r="H132" s="53">
        <f>IF($B132="","",SUM($E$26:$E132))</f>
        <v/>
      </c>
    </row>
    <row r="133">
      <c r="B133" s="51">
        <f>IF(DATE(YEAR_Y,1,1)+107&gt;DATE(YEAR_Y,12,31),"",DATE(YEAR_Y,1,1)+107)</f>
        <v/>
      </c>
      <c r="C133" s="52">
        <f>IF($B133="","",SUMIFS(Grids!$BQ$12:$EC$111,Grids!$EE$12:$GQ$111,"&gt;="&amp;$B133*1000000000,Grids!$EE$12:$GQ$111,"&lt;"&amp;($B133+1)*1000000000))</f>
        <v/>
      </c>
      <c r="D133" s="52">
        <f>IF($B133="","",SUMIFS(Grids!$BQ$116:$EC$155,Grids!$EE$116:$GQ$155,"&gt;="&amp;$B133*1000000000,Grids!$EE$116:$GQ$155,"&lt;"&amp;($B133+1)*1000000000))</f>
        <v/>
      </c>
      <c r="E133" s="52">
        <f>IF($B133="","",SUMIFS(Grids!$BQ$160:$EC$219,Grids!$EE$160:$GQ$219,"&gt;="&amp;$B133*1000000000,Grids!$EE$160:$GQ$219,"&lt;"&amp;($B133+1)*1000000000))</f>
        <v/>
      </c>
      <c r="F133" s="53">
        <f>IF($B133="","",SUM($C$26:$C133))</f>
        <v/>
      </c>
      <c r="G133" s="53">
        <f>IF($B133="","",SUM($D$26:$D133))</f>
        <v/>
      </c>
      <c r="H133" s="53">
        <f>IF($B133="","",SUM($E$26:$E133))</f>
        <v/>
      </c>
    </row>
    <row r="134">
      <c r="B134" s="51">
        <f>IF(DATE(YEAR_Y,1,1)+108&gt;DATE(YEAR_Y,12,31),"",DATE(YEAR_Y,1,1)+108)</f>
        <v/>
      </c>
      <c r="C134" s="52">
        <f>IF($B134="","",SUMIFS(Grids!$BQ$12:$EC$111,Grids!$EE$12:$GQ$111,"&gt;="&amp;$B134*1000000000,Grids!$EE$12:$GQ$111,"&lt;"&amp;($B134+1)*1000000000))</f>
        <v/>
      </c>
      <c r="D134" s="52">
        <f>IF($B134="","",SUMIFS(Grids!$BQ$116:$EC$155,Grids!$EE$116:$GQ$155,"&gt;="&amp;$B134*1000000000,Grids!$EE$116:$GQ$155,"&lt;"&amp;($B134+1)*1000000000))</f>
        <v/>
      </c>
      <c r="E134" s="52">
        <f>IF($B134="","",SUMIFS(Grids!$BQ$160:$EC$219,Grids!$EE$160:$GQ$219,"&gt;="&amp;$B134*1000000000,Grids!$EE$160:$GQ$219,"&lt;"&amp;($B134+1)*1000000000))</f>
        <v/>
      </c>
      <c r="F134" s="53">
        <f>IF($B134="","",SUM($C$26:$C134))</f>
        <v/>
      </c>
      <c r="G134" s="53">
        <f>IF($B134="","",SUM($D$26:$D134))</f>
        <v/>
      </c>
      <c r="H134" s="53">
        <f>IF($B134="","",SUM($E$26:$E134))</f>
        <v/>
      </c>
    </row>
    <row r="135">
      <c r="B135" s="51">
        <f>IF(DATE(YEAR_Y,1,1)+109&gt;DATE(YEAR_Y,12,31),"",DATE(YEAR_Y,1,1)+109)</f>
        <v/>
      </c>
      <c r="C135" s="52">
        <f>IF($B135="","",SUMIFS(Grids!$BQ$12:$EC$111,Grids!$EE$12:$GQ$111,"&gt;="&amp;$B135*1000000000,Grids!$EE$12:$GQ$111,"&lt;"&amp;($B135+1)*1000000000))</f>
        <v/>
      </c>
      <c r="D135" s="52">
        <f>IF($B135="","",SUMIFS(Grids!$BQ$116:$EC$155,Grids!$EE$116:$GQ$155,"&gt;="&amp;$B135*1000000000,Grids!$EE$116:$GQ$155,"&lt;"&amp;($B135+1)*1000000000))</f>
        <v/>
      </c>
      <c r="E135" s="52">
        <f>IF($B135="","",SUMIFS(Grids!$BQ$160:$EC$219,Grids!$EE$160:$GQ$219,"&gt;="&amp;$B135*1000000000,Grids!$EE$160:$GQ$219,"&lt;"&amp;($B135+1)*1000000000))</f>
        <v/>
      </c>
      <c r="F135" s="53">
        <f>IF($B135="","",SUM($C$26:$C135))</f>
        <v/>
      </c>
      <c r="G135" s="53">
        <f>IF($B135="","",SUM($D$26:$D135))</f>
        <v/>
      </c>
      <c r="H135" s="53">
        <f>IF($B135="","",SUM($E$26:$E135))</f>
        <v/>
      </c>
    </row>
    <row r="136">
      <c r="B136" s="51">
        <f>IF(DATE(YEAR_Y,1,1)+110&gt;DATE(YEAR_Y,12,31),"",DATE(YEAR_Y,1,1)+110)</f>
        <v/>
      </c>
      <c r="C136" s="52">
        <f>IF($B136="","",SUMIFS(Grids!$BQ$12:$EC$111,Grids!$EE$12:$GQ$111,"&gt;="&amp;$B136*1000000000,Grids!$EE$12:$GQ$111,"&lt;"&amp;($B136+1)*1000000000))</f>
        <v/>
      </c>
      <c r="D136" s="52">
        <f>IF($B136="","",SUMIFS(Grids!$BQ$116:$EC$155,Grids!$EE$116:$GQ$155,"&gt;="&amp;$B136*1000000000,Grids!$EE$116:$GQ$155,"&lt;"&amp;($B136+1)*1000000000))</f>
        <v/>
      </c>
      <c r="E136" s="52">
        <f>IF($B136="","",SUMIFS(Grids!$BQ$160:$EC$219,Grids!$EE$160:$GQ$219,"&gt;="&amp;$B136*1000000000,Grids!$EE$160:$GQ$219,"&lt;"&amp;($B136+1)*1000000000))</f>
        <v/>
      </c>
      <c r="F136" s="53">
        <f>IF($B136="","",SUM($C$26:$C136))</f>
        <v/>
      </c>
      <c r="G136" s="53">
        <f>IF($B136="","",SUM($D$26:$D136))</f>
        <v/>
      </c>
      <c r="H136" s="53">
        <f>IF($B136="","",SUM($E$26:$E136))</f>
        <v/>
      </c>
    </row>
    <row r="137">
      <c r="B137" s="51">
        <f>IF(DATE(YEAR_Y,1,1)+111&gt;DATE(YEAR_Y,12,31),"",DATE(YEAR_Y,1,1)+111)</f>
        <v/>
      </c>
      <c r="C137" s="52">
        <f>IF($B137="","",SUMIFS(Grids!$BQ$12:$EC$111,Grids!$EE$12:$GQ$111,"&gt;="&amp;$B137*1000000000,Grids!$EE$12:$GQ$111,"&lt;"&amp;($B137+1)*1000000000))</f>
        <v/>
      </c>
      <c r="D137" s="52">
        <f>IF($B137="","",SUMIFS(Grids!$BQ$116:$EC$155,Grids!$EE$116:$GQ$155,"&gt;="&amp;$B137*1000000000,Grids!$EE$116:$GQ$155,"&lt;"&amp;($B137+1)*1000000000))</f>
        <v/>
      </c>
      <c r="E137" s="52">
        <f>IF($B137="","",SUMIFS(Grids!$BQ$160:$EC$219,Grids!$EE$160:$GQ$219,"&gt;="&amp;$B137*1000000000,Grids!$EE$160:$GQ$219,"&lt;"&amp;($B137+1)*1000000000))</f>
        <v/>
      </c>
      <c r="F137" s="53">
        <f>IF($B137="","",SUM($C$26:$C137))</f>
        <v/>
      </c>
      <c r="G137" s="53">
        <f>IF($B137="","",SUM($D$26:$D137))</f>
        <v/>
      </c>
      <c r="H137" s="53">
        <f>IF($B137="","",SUM($E$26:$E137))</f>
        <v/>
      </c>
    </row>
    <row r="138">
      <c r="B138" s="51">
        <f>IF(DATE(YEAR_Y,1,1)+112&gt;DATE(YEAR_Y,12,31),"",DATE(YEAR_Y,1,1)+112)</f>
        <v/>
      </c>
      <c r="C138" s="52">
        <f>IF($B138="","",SUMIFS(Grids!$BQ$12:$EC$111,Grids!$EE$12:$GQ$111,"&gt;="&amp;$B138*1000000000,Grids!$EE$12:$GQ$111,"&lt;"&amp;($B138+1)*1000000000))</f>
        <v/>
      </c>
      <c r="D138" s="52">
        <f>IF($B138="","",SUMIFS(Grids!$BQ$116:$EC$155,Grids!$EE$116:$GQ$155,"&gt;="&amp;$B138*1000000000,Grids!$EE$116:$GQ$155,"&lt;"&amp;($B138+1)*1000000000))</f>
        <v/>
      </c>
      <c r="E138" s="52">
        <f>IF($B138="","",SUMIFS(Grids!$BQ$160:$EC$219,Grids!$EE$160:$GQ$219,"&gt;="&amp;$B138*1000000000,Grids!$EE$160:$GQ$219,"&lt;"&amp;($B138+1)*1000000000))</f>
        <v/>
      </c>
      <c r="F138" s="53">
        <f>IF($B138="","",SUM($C$26:$C138))</f>
        <v/>
      </c>
      <c r="G138" s="53">
        <f>IF($B138="","",SUM($D$26:$D138))</f>
        <v/>
      </c>
      <c r="H138" s="53">
        <f>IF($B138="","",SUM($E$26:$E138))</f>
        <v/>
      </c>
    </row>
    <row r="139">
      <c r="B139" s="51">
        <f>IF(DATE(YEAR_Y,1,1)+113&gt;DATE(YEAR_Y,12,31),"",DATE(YEAR_Y,1,1)+113)</f>
        <v/>
      </c>
      <c r="C139" s="52">
        <f>IF($B139="","",SUMIFS(Grids!$BQ$12:$EC$111,Grids!$EE$12:$GQ$111,"&gt;="&amp;$B139*1000000000,Grids!$EE$12:$GQ$111,"&lt;"&amp;($B139+1)*1000000000))</f>
        <v/>
      </c>
      <c r="D139" s="52">
        <f>IF($B139="","",SUMIFS(Grids!$BQ$116:$EC$155,Grids!$EE$116:$GQ$155,"&gt;="&amp;$B139*1000000000,Grids!$EE$116:$GQ$155,"&lt;"&amp;($B139+1)*1000000000))</f>
        <v/>
      </c>
      <c r="E139" s="52">
        <f>IF($B139="","",SUMIFS(Grids!$BQ$160:$EC$219,Grids!$EE$160:$GQ$219,"&gt;="&amp;$B139*1000000000,Grids!$EE$160:$GQ$219,"&lt;"&amp;($B139+1)*1000000000))</f>
        <v/>
      </c>
      <c r="F139" s="53">
        <f>IF($B139="","",SUM($C$26:$C139))</f>
        <v/>
      </c>
      <c r="G139" s="53">
        <f>IF($B139="","",SUM($D$26:$D139))</f>
        <v/>
      </c>
      <c r="H139" s="53">
        <f>IF($B139="","",SUM($E$26:$E139))</f>
        <v/>
      </c>
    </row>
    <row r="140">
      <c r="B140" s="51">
        <f>IF(DATE(YEAR_Y,1,1)+114&gt;DATE(YEAR_Y,12,31),"",DATE(YEAR_Y,1,1)+114)</f>
        <v/>
      </c>
      <c r="C140" s="52">
        <f>IF($B140="","",SUMIFS(Grids!$BQ$12:$EC$111,Grids!$EE$12:$GQ$111,"&gt;="&amp;$B140*1000000000,Grids!$EE$12:$GQ$111,"&lt;"&amp;($B140+1)*1000000000))</f>
        <v/>
      </c>
      <c r="D140" s="52">
        <f>IF($B140="","",SUMIFS(Grids!$BQ$116:$EC$155,Grids!$EE$116:$GQ$155,"&gt;="&amp;$B140*1000000000,Grids!$EE$116:$GQ$155,"&lt;"&amp;($B140+1)*1000000000))</f>
        <v/>
      </c>
      <c r="E140" s="52">
        <f>IF($B140="","",SUMIFS(Grids!$BQ$160:$EC$219,Grids!$EE$160:$GQ$219,"&gt;="&amp;$B140*1000000000,Grids!$EE$160:$GQ$219,"&lt;"&amp;($B140+1)*1000000000))</f>
        <v/>
      </c>
      <c r="F140" s="53">
        <f>IF($B140="","",SUM($C$26:$C140))</f>
        <v/>
      </c>
      <c r="G140" s="53">
        <f>IF($B140="","",SUM($D$26:$D140))</f>
        <v/>
      </c>
      <c r="H140" s="53">
        <f>IF($B140="","",SUM($E$26:$E140))</f>
        <v/>
      </c>
    </row>
    <row r="141">
      <c r="B141" s="51">
        <f>IF(DATE(YEAR_Y,1,1)+115&gt;DATE(YEAR_Y,12,31),"",DATE(YEAR_Y,1,1)+115)</f>
        <v/>
      </c>
      <c r="C141" s="52">
        <f>IF($B141="","",SUMIFS(Grids!$BQ$12:$EC$111,Grids!$EE$12:$GQ$111,"&gt;="&amp;$B141*1000000000,Grids!$EE$12:$GQ$111,"&lt;"&amp;($B141+1)*1000000000))</f>
        <v/>
      </c>
      <c r="D141" s="52">
        <f>IF($B141="","",SUMIFS(Grids!$BQ$116:$EC$155,Grids!$EE$116:$GQ$155,"&gt;="&amp;$B141*1000000000,Grids!$EE$116:$GQ$155,"&lt;"&amp;($B141+1)*1000000000))</f>
        <v/>
      </c>
      <c r="E141" s="52">
        <f>IF($B141="","",SUMIFS(Grids!$BQ$160:$EC$219,Grids!$EE$160:$GQ$219,"&gt;="&amp;$B141*1000000000,Grids!$EE$160:$GQ$219,"&lt;"&amp;($B141+1)*1000000000))</f>
        <v/>
      </c>
      <c r="F141" s="53">
        <f>IF($B141="","",SUM($C$26:$C141))</f>
        <v/>
      </c>
      <c r="G141" s="53">
        <f>IF($B141="","",SUM($D$26:$D141))</f>
        <v/>
      </c>
      <c r="H141" s="53">
        <f>IF($B141="","",SUM($E$26:$E141))</f>
        <v/>
      </c>
    </row>
    <row r="142">
      <c r="B142" s="51">
        <f>IF(DATE(YEAR_Y,1,1)+116&gt;DATE(YEAR_Y,12,31),"",DATE(YEAR_Y,1,1)+116)</f>
        <v/>
      </c>
      <c r="C142" s="52">
        <f>IF($B142="","",SUMIFS(Grids!$BQ$12:$EC$111,Grids!$EE$12:$GQ$111,"&gt;="&amp;$B142*1000000000,Grids!$EE$12:$GQ$111,"&lt;"&amp;($B142+1)*1000000000))</f>
        <v/>
      </c>
      <c r="D142" s="52">
        <f>IF($B142="","",SUMIFS(Grids!$BQ$116:$EC$155,Grids!$EE$116:$GQ$155,"&gt;="&amp;$B142*1000000000,Grids!$EE$116:$GQ$155,"&lt;"&amp;($B142+1)*1000000000))</f>
        <v/>
      </c>
      <c r="E142" s="52">
        <f>IF($B142="","",SUMIFS(Grids!$BQ$160:$EC$219,Grids!$EE$160:$GQ$219,"&gt;="&amp;$B142*1000000000,Grids!$EE$160:$GQ$219,"&lt;"&amp;($B142+1)*1000000000))</f>
        <v/>
      </c>
      <c r="F142" s="53">
        <f>IF($B142="","",SUM($C$26:$C142))</f>
        <v/>
      </c>
      <c r="G142" s="53">
        <f>IF($B142="","",SUM($D$26:$D142))</f>
        <v/>
      </c>
      <c r="H142" s="53">
        <f>IF($B142="","",SUM($E$26:$E142))</f>
        <v/>
      </c>
    </row>
    <row r="143">
      <c r="B143" s="51">
        <f>IF(DATE(YEAR_Y,1,1)+117&gt;DATE(YEAR_Y,12,31),"",DATE(YEAR_Y,1,1)+117)</f>
        <v/>
      </c>
      <c r="C143" s="52">
        <f>IF($B143="","",SUMIFS(Grids!$BQ$12:$EC$111,Grids!$EE$12:$GQ$111,"&gt;="&amp;$B143*1000000000,Grids!$EE$12:$GQ$111,"&lt;"&amp;($B143+1)*1000000000))</f>
        <v/>
      </c>
      <c r="D143" s="52">
        <f>IF($B143="","",SUMIFS(Grids!$BQ$116:$EC$155,Grids!$EE$116:$GQ$155,"&gt;="&amp;$B143*1000000000,Grids!$EE$116:$GQ$155,"&lt;"&amp;($B143+1)*1000000000))</f>
        <v/>
      </c>
      <c r="E143" s="52">
        <f>IF($B143="","",SUMIFS(Grids!$BQ$160:$EC$219,Grids!$EE$160:$GQ$219,"&gt;="&amp;$B143*1000000000,Grids!$EE$160:$GQ$219,"&lt;"&amp;($B143+1)*1000000000))</f>
        <v/>
      </c>
      <c r="F143" s="53">
        <f>IF($B143="","",SUM($C$26:$C143))</f>
        <v/>
      </c>
      <c r="G143" s="53">
        <f>IF($B143="","",SUM($D$26:$D143))</f>
        <v/>
      </c>
      <c r="H143" s="53">
        <f>IF($B143="","",SUM($E$26:$E143))</f>
        <v/>
      </c>
    </row>
    <row r="144">
      <c r="B144" s="51">
        <f>IF(DATE(YEAR_Y,1,1)+118&gt;DATE(YEAR_Y,12,31),"",DATE(YEAR_Y,1,1)+118)</f>
        <v/>
      </c>
      <c r="C144" s="52">
        <f>IF($B144="","",SUMIFS(Grids!$BQ$12:$EC$111,Grids!$EE$12:$GQ$111,"&gt;="&amp;$B144*1000000000,Grids!$EE$12:$GQ$111,"&lt;"&amp;($B144+1)*1000000000))</f>
        <v/>
      </c>
      <c r="D144" s="52">
        <f>IF($B144="","",SUMIFS(Grids!$BQ$116:$EC$155,Grids!$EE$116:$GQ$155,"&gt;="&amp;$B144*1000000000,Grids!$EE$116:$GQ$155,"&lt;"&amp;($B144+1)*1000000000))</f>
        <v/>
      </c>
      <c r="E144" s="52">
        <f>IF($B144="","",SUMIFS(Grids!$BQ$160:$EC$219,Grids!$EE$160:$GQ$219,"&gt;="&amp;$B144*1000000000,Grids!$EE$160:$GQ$219,"&lt;"&amp;($B144+1)*1000000000))</f>
        <v/>
      </c>
      <c r="F144" s="53">
        <f>IF($B144="","",SUM($C$26:$C144))</f>
        <v/>
      </c>
      <c r="G144" s="53">
        <f>IF($B144="","",SUM($D$26:$D144))</f>
        <v/>
      </c>
      <c r="H144" s="53">
        <f>IF($B144="","",SUM($E$26:$E144))</f>
        <v/>
      </c>
    </row>
    <row r="145">
      <c r="B145" s="51">
        <f>IF(DATE(YEAR_Y,1,1)+119&gt;DATE(YEAR_Y,12,31),"",DATE(YEAR_Y,1,1)+119)</f>
        <v/>
      </c>
      <c r="C145" s="52">
        <f>IF($B145="","",SUMIFS(Grids!$BQ$12:$EC$111,Grids!$EE$12:$GQ$111,"&gt;="&amp;$B145*1000000000,Grids!$EE$12:$GQ$111,"&lt;"&amp;($B145+1)*1000000000))</f>
        <v/>
      </c>
      <c r="D145" s="52">
        <f>IF($B145="","",SUMIFS(Grids!$BQ$116:$EC$155,Grids!$EE$116:$GQ$155,"&gt;="&amp;$B145*1000000000,Grids!$EE$116:$GQ$155,"&lt;"&amp;($B145+1)*1000000000))</f>
        <v/>
      </c>
      <c r="E145" s="52">
        <f>IF($B145="","",SUMIFS(Grids!$BQ$160:$EC$219,Grids!$EE$160:$GQ$219,"&gt;="&amp;$B145*1000000000,Grids!$EE$160:$GQ$219,"&lt;"&amp;($B145+1)*1000000000))</f>
        <v/>
      </c>
      <c r="F145" s="53">
        <f>IF($B145="","",SUM($C$26:$C145))</f>
        <v/>
      </c>
      <c r="G145" s="53">
        <f>IF($B145="","",SUM($D$26:$D145))</f>
        <v/>
      </c>
      <c r="H145" s="53">
        <f>IF($B145="","",SUM($E$26:$E145))</f>
        <v/>
      </c>
    </row>
    <row r="146">
      <c r="B146" s="51">
        <f>IF(DATE(YEAR_Y,1,1)+120&gt;DATE(YEAR_Y,12,31),"",DATE(YEAR_Y,1,1)+120)</f>
        <v/>
      </c>
      <c r="C146" s="52">
        <f>IF($B146="","",SUMIFS(Grids!$BQ$12:$EC$111,Grids!$EE$12:$GQ$111,"&gt;="&amp;$B146*1000000000,Grids!$EE$12:$GQ$111,"&lt;"&amp;($B146+1)*1000000000))</f>
        <v/>
      </c>
      <c r="D146" s="52">
        <f>IF($B146="","",SUMIFS(Grids!$BQ$116:$EC$155,Grids!$EE$116:$GQ$155,"&gt;="&amp;$B146*1000000000,Grids!$EE$116:$GQ$155,"&lt;"&amp;($B146+1)*1000000000))</f>
        <v/>
      </c>
      <c r="E146" s="52">
        <f>IF($B146="","",SUMIFS(Grids!$BQ$160:$EC$219,Grids!$EE$160:$GQ$219,"&gt;="&amp;$B146*1000000000,Grids!$EE$160:$GQ$219,"&lt;"&amp;($B146+1)*1000000000))</f>
        <v/>
      </c>
      <c r="F146" s="53">
        <f>IF($B146="","",SUM($C$26:$C146))</f>
        <v/>
      </c>
      <c r="G146" s="53">
        <f>IF($B146="","",SUM($D$26:$D146))</f>
        <v/>
      </c>
      <c r="H146" s="53">
        <f>IF($B146="","",SUM($E$26:$E146))</f>
        <v/>
      </c>
    </row>
    <row r="147">
      <c r="B147" s="51">
        <f>IF(DATE(YEAR_Y,1,1)+121&gt;DATE(YEAR_Y,12,31),"",DATE(YEAR_Y,1,1)+121)</f>
        <v/>
      </c>
      <c r="C147" s="52">
        <f>IF($B147="","",SUMIFS(Grids!$BQ$12:$EC$111,Grids!$EE$12:$GQ$111,"&gt;="&amp;$B147*1000000000,Grids!$EE$12:$GQ$111,"&lt;"&amp;($B147+1)*1000000000))</f>
        <v/>
      </c>
      <c r="D147" s="52">
        <f>IF($B147="","",SUMIFS(Grids!$BQ$116:$EC$155,Grids!$EE$116:$GQ$155,"&gt;="&amp;$B147*1000000000,Grids!$EE$116:$GQ$155,"&lt;"&amp;($B147+1)*1000000000))</f>
        <v/>
      </c>
      <c r="E147" s="52">
        <f>IF($B147="","",SUMIFS(Grids!$BQ$160:$EC$219,Grids!$EE$160:$GQ$219,"&gt;="&amp;$B147*1000000000,Grids!$EE$160:$GQ$219,"&lt;"&amp;($B147+1)*1000000000))</f>
        <v/>
      </c>
      <c r="F147" s="53">
        <f>IF($B147="","",SUM($C$26:$C147))</f>
        <v/>
      </c>
      <c r="G147" s="53">
        <f>IF($B147="","",SUM($D$26:$D147))</f>
        <v/>
      </c>
      <c r="H147" s="53">
        <f>IF($B147="","",SUM($E$26:$E147))</f>
        <v/>
      </c>
    </row>
    <row r="148">
      <c r="B148" s="51">
        <f>IF(DATE(YEAR_Y,1,1)+122&gt;DATE(YEAR_Y,12,31),"",DATE(YEAR_Y,1,1)+122)</f>
        <v/>
      </c>
      <c r="C148" s="52">
        <f>IF($B148="","",SUMIFS(Grids!$BQ$12:$EC$111,Grids!$EE$12:$GQ$111,"&gt;="&amp;$B148*1000000000,Grids!$EE$12:$GQ$111,"&lt;"&amp;($B148+1)*1000000000))</f>
        <v/>
      </c>
      <c r="D148" s="52">
        <f>IF($B148="","",SUMIFS(Grids!$BQ$116:$EC$155,Grids!$EE$116:$GQ$155,"&gt;="&amp;$B148*1000000000,Grids!$EE$116:$GQ$155,"&lt;"&amp;($B148+1)*1000000000))</f>
        <v/>
      </c>
      <c r="E148" s="52">
        <f>IF($B148="","",SUMIFS(Grids!$BQ$160:$EC$219,Grids!$EE$160:$GQ$219,"&gt;="&amp;$B148*1000000000,Grids!$EE$160:$GQ$219,"&lt;"&amp;($B148+1)*1000000000))</f>
        <v/>
      </c>
      <c r="F148" s="53">
        <f>IF($B148="","",SUM($C$26:$C148))</f>
        <v/>
      </c>
      <c r="G148" s="53">
        <f>IF($B148="","",SUM($D$26:$D148))</f>
        <v/>
      </c>
      <c r="H148" s="53">
        <f>IF($B148="","",SUM($E$26:$E148))</f>
        <v/>
      </c>
    </row>
    <row r="149">
      <c r="B149" s="51">
        <f>IF(DATE(YEAR_Y,1,1)+123&gt;DATE(YEAR_Y,12,31),"",DATE(YEAR_Y,1,1)+123)</f>
        <v/>
      </c>
      <c r="C149" s="52">
        <f>IF($B149="","",SUMIFS(Grids!$BQ$12:$EC$111,Grids!$EE$12:$GQ$111,"&gt;="&amp;$B149*1000000000,Grids!$EE$12:$GQ$111,"&lt;"&amp;($B149+1)*1000000000))</f>
        <v/>
      </c>
      <c r="D149" s="52">
        <f>IF($B149="","",SUMIFS(Grids!$BQ$116:$EC$155,Grids!$EE$116:$GQ$155,"&gt;="&amp;$B149*1000000000,Grids!$EE$116:$GQ$155,"&lt;"&amp;($B149+1)*1000000000))</f>
        <v/>
      </c>
      <c r="E149" s="52">
        <f>IF($B149="","",SUMIFS(Grids!$BQ$160:$EC$219,Grids!$EE$160:$GQ$219,"&gt;="&amp;$B149*1000000000,Grids!$EE$160:$GQ$219,"&lt;"&amp;($B149+1)*1000000000))</f>
        <v/>
      </c>
      <c r="F149" s="53">
        <f>IF($B149="","",SUM($C$26:$C149))</f>
        <v/>
      </c>
      <c r="G149" s="53">
        <f>IF($B149="","",SUM($D$26:$D149))</f>
        <v/>
      </c>
      <c r="H149" s="53">
        <f>IF($B149="","",SUM($E$26:$E149))</f>
        <v/>
      </c>
    </row>
    <row r="150">
      <c r="B150" s="51">
        <f>IF(DATE(YEAR_Y,1,1)+124&gt;DATE(YEAR_Y,12,31),"",DATE(YEAR_Y,1,1)+124)</f>
        <v/>
      </c>
      <c r="C150" s="52">
        <f>IF($B150="","",SUMIFS(Grids!$BQ$12:$EC$111,Grids!$EE$12:$GQ$111,"&gt;="&amp;$B150*1000000000,Grids!$EE$12:$GQ$111,"&lt;"&amp;($B150+1)*1000000000))</f>
        <v/>
      </c>
      <c r="D150" s="52">
        <f>IF($B150="","",SUMIFS(Grids!$BQ$116:$EC$155,Grids!$EE$116:$GQ$155,"&gt;="&amp;$B150*1000000000,Grids!$EE$116:$GQ$155,"&lt;"&amp;($B150+1)*1000000000))</f>
        <v/>
      </c>
      <c r="E150" s="52">
        <f>IF($B150="","",SUMIFS(Grids!$BQ$160:$EC$219,Grids!$EE$160:$GQ$219,"&gt;="&amp;$B150*1000000000,Grids!$EE$160:$GQ$219,"&lt;"&amp;($B150+1)*1000000000))</f>
        <v/>
      </c>
      <c r="F150" s="53">
        <f>IF($B150="","",SUM($C$26:$C150))</f>
        <v/>
      </c>
      <c r="G150" s="53">
        <f>IF($B150="","",SUM($D$26:$D150))</f>
        <v/>
      </c>
      <c r="H150" s="53">
        <f>IF($B150="","",SUM($E$26:$E150))</f>
        <v/>
      </c>
    </row>
    <row r="151">
      <c r="B151" s="51">
        <f>IF(DATE(YEAR_Y,1,1)+125&gt;DATE(YEAR_Y,12,31),"",DATE(YEAR_Y,1,1)+125)</f>
        <v/>
      </c>
      <c r="C151" s="52">
        <f>IF($B151="","",SUMIFS(Grids!$BQ$12:$EC$111,Grids!$EE$12:$GQ$111,"&gt;="&amp;$B151*1000000000,Grids!$EE$12:$GQ$111,"&lt;"&amp;($B151+1)*1000000000))</f>
        <v/>
      </c>
      <c r="D151" s="52">
        <f>IF($B151="","",SUMIFS(Grids!$BQ$116:$EC$155,Grids!$EE$116:$GQ$155,"&gt;="&amp;$B151*1000000000,Grids!$EE$116:$GQ$155,"&lt;"&amp;($B151+1)*1000000000))</f>
        <v/>
      </c>
      <c r="E151" s="52">
        <f>IF($B151="","",SUMIFS(Grids!$BQ$160:$EC$219,Grids!$EE$160:$GQ$219,"&gt;="&amp;$B151*1000000000,Grids!$EE$160:$GQ$219,"&lt;"&amp;($B151+1)*1000000000))</f>
        <v/>
      </c>
      <c r="F151" s="53">
        <f>IF($B151="","",SUM($C$26:$C151))</f>
        <v/>
      </c>
      <c r="G151" s="53">
        <f>IF($B151="","",SUM($D$26:$D151))</f>
        <v/>
      </c>
      <c r="H151" s="53">
        <f>IF($B151="","",SUM($E$26:$E151))</f>
        <v/>
      </c>
    </row>
    <row r="152">
      <c r="B152" s="51">
        <f>IF(DATE(YEAR_Y,1,1)+126&gt;DATE(YEAR_Y,12,31),"",DATE(YEAR_Y,1,1)+126)</f>
        <v/>
      </c>
      <c r="C152" s="52">
        <f>IF($B152="","",SUMIFS(Grids!$BQ$12:$EC$111,Grids!$EE$12:$GQ$111,"&gt;="&amp;$B152*1000000000,Grids!$EE$12:$GQ$111,"&lt;"&amp;($B152+1)*1000000000))</f>
        <v/>
      </c>
      <c r="D152" s="52">
        <f>IF($B152="","",SUMIFS(Grids!$BQ$116:$EC$155,Grids!$EE$116:$GQ$155,"&gt;="&amp;$B152*1000000000,Grids!$EE$116:$GQ$155,"&lt;"&amp;($B152+1)*1000000000))</f>
        <v/>
      </c>
      <c r="E152" s="52">
        <f>IF($B152="","",SUMIFS(Grids!$BQ$160:$EC$219,Grids!$EE$160:$GQ$219,"&gt;="&amp;$B152*1000000000,Grids!$EE$160:$GQ$219,"&lt;"&amp;($B152+1)*1000000000))</f>
        <v/>
      </c>
      <c r="F152" s="53">
        <f>IF($B152="","",SUM($C$26:$C152))</f>
        <v/>
      </c>
      <c r="G152" s="53">
        <f>IF($B152="","",SUM($D$26:$D152))</f>
        <v/>
      </c>
      <c r="H152" s="53">
        <f>IF($B152="","",SUM($E$26:$E152))</f>
        <v/>
      </c>
    </row>
    <row r="153">
      <c r="B153" s="51">
        <f>IF(DATE(YEAR_Y,1,1)+127&gt;DATE(YEAR_Y,12,31),"",DATE(YEAR_Y,1,1)+127)</f>
        <v/>
      </c>
      <c r="C153" s="52">
        <f>IF($B153="","",SUMIFS(Grids!$BQ$12:$EC$111,Grids!$EE$12:$GQ$111,"&gt;="&amp;$B153*1000000000,Grids!$EE$12:$GQ$111,"&lt;"&amp;($B153+1)*1000000000))</f>
        <v/>
      </c>
      <c r="D153" s="52">
        <f>IF($B153="","",SUMIFS(Grids!$BQ$116:$EC$155,Grids!$EE$116:$GQ$155,"&gt;="&amp;$B153*1000000000,Grids!$EE$116:$GQ$155,"&lt;"&amp;($B153+1)*1000000000))</f>
        <v/>
      </c>
      <c r="E153" s="52">
        <f>IF($B153="","",SUMIFS(Grids!$BQ$160:$EC$219,Grids!$EE$160:$GQ$219,"&gt;="&amp;$B153*1000000000,Grids!$EE$160:$GQ$219,"&lt;"&amp;($B153+1)*1000000000))</f>
        <v/>
      </c>
      <c r="F153" s="53">
        <f>IF($B153="","",SUM($C$26:$C153))</f>
        <v/>
      </c>
      <c r="G153" s="53">
        <f>IF($B153="","",SUM($D$26:$D153))</f>
        <v/>
      </c>
      <c r="H153" s="53">
        <f>IF($B153="","",SUM($E$26:$E153))</f>
        <v/>
      </c>
    </row>
    <row r="154">
      <c r="B154" s="51">
        <f>IF(DATE(YEAR_Y,1,1)+128&gt;DATE(YEAR_Y,12,31),"",DATE(YEAR_Y,1,1)+128)</f>
        <v/>
      </c>
      <c r="C154" s="52">
        <f>IF($B154="","",SUMIFS(Grids!$BQ$12:$EC$111,Grids!$EE$12:$GQ$111,"&gt;="&amp;$B154*1000000000,Grids!$EE$12:$GQ$111,"&lt;"&amp;($B154+1)*1000000000))</f>
        <v/>
      </c>
      <c r="D154" s="52">
        <f>IF($B154="","",SUMIFS(Grids!$BQ$116:$EC$155,Grids!$EE$116:$GQ$155,"&gt;="&amp;$B154*1000000000,Grids!$EE$116:$GQ$155,"&lt;"&amp;($B154+1)*1000000000))</f>
        <v/>
      </c>
      <c r="E154" s="52">
        <f>IF($B154="","",SUMIFS(Grids!$BQ$160:$EC$219,Grids!$EE$160:$GQ$219,"&gt;="&amp;$B154*1000000000,Grids!$EE$160:$GQ$219,"&lt;"&amp;($B154+1)*1000000000))</f>
        <v/>
      </c>
      <c r="F154" s="53">
        <f>IF($B154="","",SUM($C$26:$C154))</f>
        <v/>
      </c>
      <c r="G154" s="53">
        <f>IF($B154="","",SUM($D$26:$D154))</f>
        <v/>
      </c>
      <c r="H154" s="53">
        <f>IF($B154="","",SUM($E$26:$E154))</f>
        <v/>
      </c>
    </row>
    <row r="155">
      <c r="B155" s="51">
        <f>IF(DATE(YEAR_Y,1,1)+129&gt;DATE(YEAR_Y,12,31),"",DATE(YEAR_Y,1,1)+129)</f>
        <v/>
      </c>
      <c r="C155" s="52">
        <f>IF($B155="","",SUMIFS(Grids!$BQ$12:$EC$111,Grids!$EE$12:$GQ$111,"&gt;="&amp;$B155*1000000000,Grids!$EE$12:$GQ$111,"&lt;"&amp;($B155+1)*1000000000))</f>
        <v/>
      </c>
      <c r="D155" s="52">
        <f>IF($B155="","",SUMIFS(Grids!$BQ$116:$EC$155,Grids!$EE$116:$GQ$155,"&gt;="&amp;$B155*1000000000,Grids!$EE$116:$GQ$155,"&lt;"&amp;($B155+1)*1000000000))</f>
        <v/>
      </c>
      <c r="E155" s="52">
        <f>IF($B155="","",SUMIFS(Grids!$BQ$160:$EC$219,Grids!$EE$160:$GQ$219,"&gt;="&amp;$B155*1000000000,Grids!$EE$160:$GQ$219,"&lt;"&amp;($B155+1)*1000000000))</f>
        <v/>
      </c>
      <c r="F155" s="53">
        <f>IF($B155="","",SUM($C$26:$C155))</f>
        <v/>
      </c>
      <c r="G155" s="53">
        <f>IF($B155="","",SUM($D$26:$D155))</f>
        <v/>
      </c>
      <c r="H155" s="53">
        <f>IF($B155="","",SUM($E$26:$E155))</f>
        <v/>
      </c>
    </row>
    <row r="156">
      <c r="B156" s="51">
        <f>IF(DATE(YEAR_Y,1,1)+130&gt;DATE(YEAR_Y,12,31),"",DATE(YEAR_Y,1,1)+130)</f>
        <v/>
      </c>
      <c r="C156" s="52">
        <f>IF($B156="","",SUMIFS(Grids!$BQ$12:$EC$111,Grids!$EE$12:$GQ$111,"&gt;="&amp;$B156*1000000000,Grids!$EE$12:$GQ$111,"&lt;"&amp;($B156+1)*1000000000))</f>
        <v/>
      </c>
      <c r="D156" s="52">
        <f>IF($B156="","",SUMIFS(Grids!$BQ$116:$EC$155,Grids!$EE$116:$GQ$155,"&gt;="&amp;$B156*1000000000,Grids!$EE$116:$GQ$155,"&lt;"&amp;($B156+1)*1000000000))</f>
        <v/>
      </c>
      <c r="E156" s="52">
        <f>IF($B156="","",SUMIFS(Grids!$BQ$160:$EC$219,Grids!$EE$160:$GQ$219,"&gt;="&amp;$B156*1000000000,Grids!$EE$160:$GQ$219,"&lt;"&amp;($B156+1)*1000000000))</f>
        <v/>
      </c>
      <c r="F156" s="53">
        <f>IF($B156="","",SUM($C$26:$C156))</f>
        <v/>
      </c>
      <c r="G156" s="53">
        <f>IF($B156="","",SUM($D$26:$D156))</f>
        <v/>
      </c>
      <c r="H156" s="53">
        <f>IF($B156="","",SUM($E$26:$E156))</f>
        <v/>
      </c>
    </row>
    <row r="157">
      <c r="B157" s="51">
        <f>IF(DATE(YEAR_Y,1,1)+131&gt;DATE(YEAR_Y,12,31),"",DATE(YEAR_Y,1,1)+131)</f>
        <v/>
      </c>
      <c r="C157" s="52">
        <f>IF($B157="","",SUMIFS(Grids!$BQ$12:$EC$111,Grids!$EE$12:$GQ$111,"&gt;="&amp;$B157*1000000000,Grids!$EE$12:$GQ$111,"&lt;"&amp;($B157+1)*1000000000))</f>
        <v/>
      </c>
      <c r="D157" s="52">
        <f>IF($B157="","",SUMIFS(Grids!$BQ$116:$EC$155,Grids!$EE$116:$GQ$155,"&gt;="&amp;$B157*1000000000,Grids!$EE$116:$GQ$155,"&lt;"&amp;($B157+1)*1000000000))</f>
        <v/>
      </c>
      <c r="E157" s="52">
        <f>IF($B157="","",SUMIFS(Grids!$BQ$160:$EC$219,Grids!$EE$160:$GQ$219,"&gt;="&amp;$B157*1000000000,Grids!$EE$160:$GQ$219,"&lt;"&amp;($B157+1)*1000000000))</f>
        <v/>
      </c>
      <c r="F157" s="53">
        <f>IF($B157="","",SUM($C$26:$C157))</f>
        <v/>
      </c>
      <c r="G157" s="53">
        <f>IF($B157="","",SUM($D$26:$D157))</f>
        <v/>
      </c>
      <c r="H157" s="53">
        <f>IF($B157="","",SUM($E$26:$E157))</f>
        <v/>
      </c>
    </row>
    <row r="158">
      <c r="B158" s="51">
        <f>IF(DATE(YEAR_Y,1,1)+132&gt;DATE(YEAR_Y,12,31),"",DATE(YEAR_Y,1,1)+132)</f>
        <v/>
      </c>
      <c r="C158" s="52">
        <f>IF($B158="","",SUMIFS(Grids!$BQ$12:$EC$111,Grids!$EE$12:$GQ$111,"&gt;="&amp;$B158*1000000000,Grids!$EE$12:$GQ$111,"&lt;"&amp;($B158+1)*1000000000))</f>
        <v/>
      </c>
      <c r="D158" s="52">
        <f>IF($B158="","",SUMIFS(Grids!$BQ$116:$EC$155,Grids!$EE$116:$GQ$155,"&gt;="&amp;$B158*1000000000,Grids!$EE$116:$GQ$155,"&lt;"&amp;($B158+1)*1000000000))</f>
        <v/>
      </c>
      <c r="E158" s="52">
        <f>IF($B158="","",SUMIFS(Grids!$BQ$160:$EC$219,Grids!$EE$160:$GQ$219,"&gt;="&amp;$B158*1000000000,Grids!$EE$160:$GQ$219,"&lt;"&amp;($B158+1)*1000000000))</f>
        <v/>
      </c>
      <c r="F158" s="53">
        <f>IF($B158="","",SUM($C$26:$C158))</f>
        <v/>
      </c>
      <c r="G158" s="53">
        <f>IF($B158="","",SUM($D$26:$D158))</f>
        <v/>
      </c>
      <c r="H158" s="53">
        <f>IF($B158="","",SUM($E$26:$E158))</f>
        <v/>
      </c>
    </row>
    <row r="159">
      <c r="B159" s="51">
        <f>IF(DATE(YEAR_Y,1,1)+133&gt;DATE(YEAR_Y,12,31),"",DATE(YEAR_Y,1,1)+133)</f>
        <v/>
      </c>
      <c r="C159" s="52">
        <f>IF($B159="","",SUMIFS(Grids!$BQ$12:$EC$111,Grids!$EE$12:$GQ$111,"&gt;="&amp;$B159*1000000000,Grids!$EE$12:$GQ$111,"&lt;"&amp;($B159+1)*1000000000))</f>
        <v/>
      </c>
      <c r="D159" s="52">
        <f>IF($B159="","",SUMIFS(Grids!$BQ$116:$EC$155,Grids!$EE$116:$GQ$155,"&gt;="&amp;$B159*1000000000,Grids!$EE$116:$GQ$155,"&lt;"&amp;($B159+1)*1000000000))</f>
        <v/>
      </c>
      <c r="E159" s="52">
        <f>IF($B159="","",SUMIFS(Grids!$BQ$160:$EC$219,Grids!$EE$160:$GQ$219,"&gt;="&amp;$B159*1000000000,Grids!$EE$160:$GQ$219,"&lt;"&amp;($B159+1)*1000000000))</f>
        <v/>
      </c>
      <c r="F159" s="53">
        <f>IF($B159="","",SUM($C$26:$C159))</f>
        <v/>
      </c>
      <c r="G159" s="53">
        <f>IF($B159="","",SUM($D$26:$D159))</f>
        <v/>
      </c>
      <c r="H159" s="53">
        <f>IF($B159="","",SUM($E$26:$E159))</f>
        <v/>
      </c>
    </row>
    <row r="160">
      <c r="B160" s="51">
        <f>IF(DATE(YEAR_Y,1,1)+134&gt;DATE(YEAR_Y,12,31),"",DATE(YEAR_Y,1,1)+134)</f>
        <v/>
      </c>
      <c r="C160" s="52">
        <f>IF($B160="","",SUMIFS(Grids!$BQ$12:$EC$111,Grids!$EE$12:$GQ$111,"&gt;="&amp;$B160*1000000000,Grids!$EE$12:$GQ$111,"&lt;"&amp;($B160+1)*1000000000))</f>
        <v/>
      </c>
      <c r="D160" s="52">
        <f>IF($B160="","",SUMIFS(Grids!$BQ$116:$EC$155,Grids!$EE$116:$GQ$155,"&gt;="&amp;$B160*1000000000,Grids!$EE$116:$GQ$155,"&lt;"&amp;($B160+1)*1000000000))</f>
        <v/>
      </c>
      <c r="E160" s="52">
        <f>IF($B160="","",SUMIFS(Grids!$BQ$160:$EC$219,Grids!$EE$160:$GQ$219,"&gt;="&amp;$B160*1000000000,Grids!$EE$160:$GQ$219,"&lt;"&amp;($B160+1)*1000000000))</f>
        <v/>
      </c>
      <c r="F160" s="53">
        <f>IF($B160="","",SUM($C$26:$C160))</f>
        <v/>
      </c>
      <c r="G160" s="53">
        <f>IF($B160="","",SUM($D$26:$D160))</f>
        <v/>
      </c>
      <c r="H160" s="53">
        <f>IF($B160="","",SUM($E$26:$E160))</f>
        <v/>
      </c>
    </row>
    <row r="161">
      <c r="B161" s="51">
        <f>IF(DATE(YEAR_Y,1,1)+135&gt;DATE(YEAR_Y,12,31),"",DATE(YEAR_Y,1,1)+135)</f>
        <v/>
      </c>
      <c r="C161" s="52">
        <f>IF($B161="","",SUMIFS(Grids!$BQ$12:$EC$111,Grids!$EE$12:$GQ$111,"&gt;="&amp;$B161*1000000000,Grids!$EE$12:$GQ$111,"&lt;"&amp;($B161+1)*1000000000))</f>
        <v/>
      </c>
      <c r="D161" s="52">
        <f>IF($B161="","",SUMIFS(Grids!$BQ$116:$EC$155,Grids!$EE$116:$GQ$155,"&gt;="&amp;$B161*1000000000,Grids!$EE$116:$GQ$155,"&lt;"&amp;($B161+1)*1000000000))</f>
        <v/>
      </c>
      <c r="E161" s="52">
        <f>IF($B161="","",SUMIFS(Grids!$BQ$160:$EC$219,Grids!$EE$160:$GQ$219,"&gt;="&amp;$B161*1000000000,Grids!$EE$160:$GQ$219,"&lt;"&amp;($B161+1)*1000000000))</f>
        <v/>
      </c>
      <c r="F161" s="53">
        <f>IF($B161="","",SUM($C$26:$C161))</f>
        <v/>
      </c>
      <c r="G161" s="53">
        <f>IF($B161="","",SUM($D$26:$D161))</f>
        <v/>
      </c>
      <c r="H161" s="53">
        <f>IF($B161="","",SUM($E$26:$E161))</f>
        <v/>
      </c>
    </row>
    <row r="162">
      <c r="B162" s="51">
        <f>IF(DATE(YEAR_Y,1,1)+136&gt;DATE(YEAR_Y,12,31),"",DATE(YEAR_Y,1,1)+136)</f>
        <v/>
      </c>
      <c r="C162" s="52">
        <f>IF($B162="","",SUMIFS(Grids!$BQ$12:$EC$111,Grids!$EE$12:$GQ$111,"&gt;="&amp;$B162*1000000000,Grids!$EE$12:$GQ$111,"&lt;"&amp;($B162+1)*1000000000))</f>
        <v/>
      </c>
      <c r="D162" s="52">
        <f>IF($B162="","",SUMIFS(Grids!$BQ$116:$EC$155,Grids!$EE$116:$GQ$155,"&gt;="&amp;$B162*1000000000,Grids!$EE$116:$GQ$155,"&lt;"&amp;($B162+1)*1000000000))</f>
        <v/>
      </c>
      <c r="E162" s="52">
        <f>IF($B162="","",SUMIFS(Grids!$BQ$160:$EC$219,Grids!$EE$160:$GQ$219,"&gt;="&amp;$B162*1000000000,Grids!$EE$160:$GQ$219,"&lt;"&amp;($B162+1)*1000000000))</f>
        <v/>
      </c>
      <c r="F162" s="53">
        <f>IF($B162="","",SUM($C$26:$C162))</f>
        <v/>
      </c>
      <c r="G162" s="53">
        <f>IF($B162="","",SUM($D$26:$D162))</f>
        <v/>
      </c>
      <c r="H162" s="53">
        <f>IF($B162="","",SUM($E$26:$E162))</f>
        <v/>
      </c>
    </row>
    <row r="163">
      <c r="B163" s="51">
        <f>IF(DATE(YEAR_Y,1,1)+137&gt;DATE(YEAR_Y,12,31),"",DATE(YEAR_Y,1,1)+137)</f>
        <v/>
      </c>
      <c r="C163" s="52">
        <f>IF($B163="","",SUMIFS(Grids!$BQ$12:$EC$111,Grids!$EE$12:$GQ$111,"&gt;="&amp;$B163*1000000000,Grids!$EE$12:$GQ$111,"&lt;"&amp;($B163+1)*1000000000))</f>
        <v/>
      </c>
      <c r="D163" s="52">
        <f>IF($B163="","",SUMIFS(Grids!$BQ$116:$EC$155,Grids!$EE$116:$GQ$155,"&gt;="&amp;$B163*1000000000,Grids!$EE$116:$GQ$155,"&lt;"&amp;($B163+1)*1000000000))</f>
        <v/>
      </c>
      <c r="E163" s="52">
        <f>IF($B163="","",SUMIFS(Grids!$BQ$160:$EC$219,Grids!$EE$160:$GQ$219,"&gt;="&amp;$B163*1000000000,Grids!$EE$160:$GQ$219,"&lt;"&amp;($B163+1)*1000000000))</f>
        <v/>
      </c>
      <c r="F163" s="53">
        <f>IF($B163="","",SUM($C$26:$C163))</f>
        <v/>
      </c>
      <c r="G163" s="53">
        <f>IF($B163="","",SUM($D$26:$D163))</f>
        <v/>
      </c>
      <c r="H163" s="53">
        <f>IF($B163="","",SUM($E$26:$E163))</f>
        <v/>
      </c>
    </row>
    <row r="164">
      <c r="B164" s="51">
        <f>IF(DATE(YEAR_Y,1,1)+138&gt;DATE(YEAR_Y,12,31),"",DATE(YEAR_Y,1,1)+138)</f>
        <v/>
      </c>
      <c r="C164" s="52">
        <f>IF($B164="","",SUMIFS(Grids!$BQ$12:$EC$111,Grids!$EE$12:$GQ$111,"&gt;="&amp;$B164*1000000000,Grids!$EE$12:$GQ$111,"&lt;"&amp;($B164+1)*1000000000))</f>
        <v/>
      </c>
      <c r="D164" s="52">
        <f>IF($B164="","",SUMIFS(Grids!$BQ$116:$EC$155,Grids!$EE$116:$GQ$155,"&gt;="&amp;$B164*1000000000,Grids!$EE$116:$GQ$155,"&lt;"&amp;($B164+1)*1000000000))</f>
        <v/>
      </c>
      <c r="E164" s="52">
        <f>IF($B164="","",SUMIFS(Grids!$BQ$160:$EC$219,Grids!$EE$160:$GQ$219,"&gt;="&amp;$B164*1000000000,Grids!$EE$160:$GQ$219,"&lt;"&amp;($B164+1)*1000000000))</f>
        <v/>
      </c>
      <c r="F164" s="53">
        <f>IF($B164="","",SUM($C$26:$C164))</f>
        <v/>
      </c>
      <c r="G164" s="53">
        <f>IF($B164="","",SUM($D$26:$D164))</f>
        <v/>
      </c>
      <c r="H164" s="53">
        <f>IF($B164="","",SUM($E$26:$E164))</f>
        <v/>
      </c>
    </row>
    <row r="165">
      <c r="B165" s="51">
        <f>IF(DATE(YEAR_Y,1,1)+139&gt;DATE(YEAR_Y,12,31),"",DATE(YEAR_Y,1,1)+139)</f>
        <v/>
      </c>
      <c r="C165" s="52">
        <f>IF($B165="","",SUMIFS(Grids!$BQ$12:$EC$111,Grids!$EE$12:$GQ$111,"&gt;="&amp;$B165*1000000000,Grids!$EE$12:$GQ$111,"&lt;"&amp;($B165+1)*1000000000))</f>
        <v/>
      </c>
      <c r="D165" s="52">
        <f>IF($B165="","",SUMIFS(Grids!$BQ$116:$EC$155,Grids!$EE$116:$GQ$155,"&gt;="&amp;$B165*1000000000,Grids!$EE$116:$GQ$155,"&lt;"&amp;($B165+1)*1000000000))</f>
        <v/>
      </c>
      <c r="E165" s="52">
        <f>IF($B165="","",SUMIFS(Grids!$BQ$160:$EC$219,Grids!$EE$160:$GQ$219,"&gt;="&amp;$B165*1000000000,Grids!$EE$160:$GQ$219,"&lt;"&amp;($B165+1)*1000000000))</f>
        <v/>
      </c>
      <c r="F165" s="53">
        <f>IF($B165="","",SUM($C$26:$C165))</f>
        <v/>
      </c>
      <c r="G165" s="53">
        <f>IF($B165="","",SUM($D$26:$D165))</f>
        <v/>
      </c>
      <c r="H165" s="53">
        <f>IF($B165="","",SUM($E$26:$E165))</f>
        <v/>
      </c>
    </row>
    <row r="166">
      <c r="B166" s="51">
        <f>IF(DATE(YEAR_Y,1,1)+140&gt;DATE(YEAR_Y,12,31),"",DATE(YEAR_Y,1,1)+140)</f>
        <v/>
      </c>
      <c r="C166" s="52">
        <f>IF($B166="","",SUMIFS(Grids!$BQ$12:$EC$111,Grids!$EE$12:$GQ$111,"&gt;="&amp;$B166*1000000000,Grids!$EE$12:$GQ$111,"&lt;"&amp;($B166+1)*1000000000))</f>
        <v/>
      </c>
      <c r="D166" s="52">
        <f>IF($B166="","",SUMIFS(Grids!$BQ$116:$EC$155,Grids!$EE$116:$GQ$155,"&gt;="&amp;$B166*1000000000,Grids!$EE$116:$GQ$155,"&lt;"&amp;($B166+1)*1000000000))</f>
        <v/>
      </c>
      <c r="E166" s="52">
        <f>IF($B166="","",SUMIFS(Grids!$BQ$160:$EC$219,Grids!$EE$160:$GQ$219,"&gt;="&amp;$B166*1000000000,Grids!$EE$160:$GQ$219,"&lt;"&amp;($B166+1)*1000000000))</f>
        <v/>
      </c>
      <c r="F166" s="53">
        <f>IF($B166="","",SUM($C$26:$C166))</f>
        <v/>
      </c>
      <c r="G166" s="53">
        <f>IF($B166="","",SUM($D$26:$D166))</f>
        <v/>
      </c>
      <c r="H166" s="53">
        <f>IF($B166="","",SUM($E$26:$E166))</f>
        <v/>
      </c>
    </row>
    <row r="167">
      <c r="B167" s="51">
        <f>IF(DATE(YEAR_Y,1,1)+141&gt;DATE(YEAR_Y,12,31),"",DATE(YEAR_Y,1,1)+141)</f>
        <v/>
      </c>
      <c r="C167" s="52">
        <f>IF($B167="","",SUMIFS(Grids!$BQ$12:$EC$111,Grids!$EE$12:$GQ$111,"&gt;="&amp;$B167*1000000000,Grids!$EE$12:$GQ$111,"&lt;"&amp;($B167+1)*1000000000))</f>
        <v/>
      </c>
      <c r="D167" s="52">
        <f>IF($B167="","",SUMIFS(Grids!$BQ$116:$EC$155,Grids!$EE$116:$GQ$155,"&gt;="&amp;$B167*1000000000,Grids!$EE$116:$GQ$155,"&lt;"&amp;($B167+1)*1000000000))</f>
        <v/>
      </c>
      <c r="E167" s="52">
        <f>IF($B167="","",SUMIFS(Grids!$BQ$160:$EC$219,Grids!$EE$160:$GQ$219,"&gt;="&amp;$B167*1000000000,Grids!$EE$160:$GQ$219,"&lt;"&amp;($B167+1)*1000000000))</f>
        <v/>
      </c>
      <c r="F167" s="53">
        <f>IF($B167="","",SUM($C$26:$C167))</f>
        <v/>
      </c>
      <c r="G167" s="53">
        <f>IF($B167="","",SUM($D$26:$D167))</f>
        <v/>
      </c>
      <c r="H167" s="53">
        <f>IF($B167="","",SUM($E$26:$E167))</f>
        <v/>
      </c>
    </row>
    <row r="168">
      <c r="B168" s="51">
        <f>IF(DATE(YEAR_Y,1,1)+142&gt;DATE(YEAR_Y,12,31),"",DATE(YEAR_Y,1,1)+142)</f>
        <v/>
      </c>
      <c r="C168" s="52">
        <f>IF($B168="","",SUMIFS(Grids!$BQ$12:$EC$111,Grids!$EE$12:$GQ$111,"&gt;="&amp;$B168*1000000000,Grids!$EE$12:$GQ$111,"&lt;"&amp;($B168+1)*1000000000))</f>
        <v/>
      </c>
      <c r="D168" s="52">
        <f>IF($B168="","",SUMIFS(Grids!$BQ$116:$EC$155,Grids!$EE$116:$GQ$155,"&gt;="&amp;$B168*1000000000,Grids!$EE$116:$GQ$155,"&lt;"&amp;($B168+1)*1000000000))</f>
        <v/>
      </c>
      <c r="E168" s="52">
        <f>IF($B168="","",SUMIFS(Grids!$BQ$160:$EC$219,Grids!$EE$160:$GQ$219,"&gt;="&amp;$B168*1000000000,Grids!$EE$160:$GQ$219,"&lt;"&amp;($B168+1)*1000000000))</f>
        <v/>
      </c>
      <c r="F168" s="53">
        <f>IF($B168="","",SUM($C$26:$C168))</f>
        <v/>
      </c>
      <c r="G168" s="53">
        <f>IF($B168="","",SUM($D$26:$D168))</f>
        <v/>
      </c>
      <c r="H168" s="53">
        <f>IF($B168="","",SUM($E$26:$E168))</f>
        <v/>
      </c>
    </row>
    <row r="169">
      <c r="B169" s="51">
        <f>IF(DATE(YEAR_Y,1,1)+143&gt;DATE(YEAR_Y,12,31),"",DATE(YEAR_Y,1,1)+143)</f>
        <v/>
      </c>
      <c r="C169" s="52">
        <f>IF($B169="","",SUMIFS(Grids!$BQ$12:$EC$111,Grids!$EE$12:$GQ$111,"&gt;="&amp;$B169*1000000000,Grids!$EE$12:$GQ$111,"&lt;"&amp;($B169+1)*1000000000))</f>
        <v/>
      </c>
      <c r="D169" s="52">
        <f>IF($B169="","",SUMIFS(Grids!$BQ$116:$EC$155,Grids!$EE$116:$GQ$155,"&gt;="&amp;$B169*1000000000,Grids!$EE$116:$GQ$155,"&lt;"&amp;($B169+1)*1000000000))</f>
        <v/>
      </c>
      <c r="E169" s="52">
        <f>IF($B169="","",SUMIFS(Grids!$BQ$160:$EC$219,Grids!$EE$160:$GQ$219,"&gt;="&amp;$B169*1000000000,Grids!$EE$160:$GQ$219,"&lt;"&amp;($B169+1)*1000000000))</f>
        <v/>
      </c>
      <c r="F169" s="53">
        <f>IF($B169="","",SUM($C$26:$C169))</f>
        <v/>
      </c>
      <c r="G169" s="53">
        <f>IF($B169="","",SUM($D$26:$D169))</f>
        <v/>
      </c>
      <c r="H169" s="53">
        <f>IF($B169="","",SUM($E$26:$E169))</f>
        <v/>
      </c>
    </row>
    <row r="170">
      <c r="B170" s="51">
        <f>IF(DATE(YEAR_Y,1,1)+144&gt;DATE(YEAR_Y,12,31),"",DATE(YEAR_Y,1,1)+144)</f>
        <v/>
      </c>
      <c r="C170" s="52">
        <f>IF($B170="","",SUMIFS(Grids!$BQ$12:$EC$111,Grids!$EE$12:$GQ$111,"&gt;="&amp;$B170*1000000000,Grids!$EE$12:$GQ$111,"&lt;"&amp;($B170+1)*1000000000))</f>
        <v/>
      </c>
      <c r="D170" s="52">
        <f>IF($B170="","",SUMIFS(Grids!$BQ$116:$EC$155,Grids!$EE$116:$GQ$155,"&gt;="&amp;$B170*1000000000,Grids!$EE$116:$GQ$155,"&lt;"&amp;($B170+1)*1000000000))</f>
        <v/>
      </c>
      <c r="E170" s="52">
        <f>IF($B170="","",SUMIFS(Grids!$BQ$160:$EC$219,Grids!$EE$160:$GQ$219,"&gt;="&amp;$B170*1000000000,Grids!$EE$160:$GQ$219,"&lt;"&amp;($B170+1)*1000000000))</f>
        <v/>
      </c>
      <c r="F170" s="53">
        <f>IF($B170="","",SUM($C$26:$C170))</f>
        <v/>
      </c>
      <c r="G170" s="53">
        <f>IF($B170="","",SUM($D$26:$D170))</f>
        <v/>
      </c>
      <c r="H170" s="53">
        <f>IF($B170="","",SUM($E$26:$E170))</f>
        <v/>
      </c>
    </row>
    <row r="171">
      <c r="B171" s="51">
        <f>IF(DATE(YEAR_Y,1,1)+145&gt;DATE(YEAR_Y,12,31),"",DATE(YEAR_Y,1,1)+145)</f>
        <v/>
      </c>
      <c r="C171" s="52">
        <f>IF($B171="","",SUMIFS(Grids!$BQ$12:$EC$111,Grids!$EE$12:$GQ$111,"&gt;="&amp;$B171*1000000000,Grids!$EE$12:$GQ$111,"&lt;"&amp;($B171+1)*1000000000))</f>
        <v/>
      </c>
      <c r="D171" s="52">
        <f>IF($B171="","",SUMIFS(Grids!$BQ$116:$EC$155,Grids!$EE$116:$GQ$155,"&gt;="&amp;$B171*1000000000,Grids!$EE$116:$GQ$155,"&lt;"&amp;($B171+1)*1000000000))</f>
        <v/>
      </c>
      <c r="E171" s="52">
        <f>IF($B171="","",SUMIFS(Grids!$BQ$160:$EC$219,Grids!$EE$160:$GQ$219,"&gt;="&amp;$B171*1000000000,Grids!$EE$160:$GQ$219,"&lt;"&amp;($B171+1)*1000000000))</f>
        <v/>
      </c>
      <c r="F171" s="53">
        <f>IF($B171="","",SUM($C$26:$C171))</f>
        <v/>
      </c>
      <c r="G171" s="53">
        <f>IF($B171="","",SUM($D$26:$D171))</f>
        <v/>
      </c>
      <c r="H171" s="53">
        <f>IF($B171="","",SUM($E$26:$E171))</f>
        <v/>
      </c>
    </row>
    <row r="172">
      <c r="B172" s="51">
        <f>IF(DATE(YEAR_Y,1,1)+146&gt;DATE(YEAR_Y,12,31),"",DATE(YEAR_Y,1,1)+146)</f>
        <v/>
      </c>
      <c r="C172" s="52">
        <f>IF($B172="","",SUMIFS(Grids!$BQ$12:$EC$111,Grids!$EE$12:$GQ$111,"&gt;="&amp;$B172*1000000000,Grids!$EE$12:$GQ$111,"&lt;"&amp;($B172+1)*1000000000))</f>
        <v/>
      </c>
      <c r="D172" s="52">
        <f>IF($B172="","",SUMIFS(Grids!$BQ$116:$EC$155,Grids!$EE$116:$GQ$155,"&gt;="&amp;$B172*1000000000,Grids!$EE$116:$GQ$155,"&lt;"&amp;($B172+1)*1000000000))</f>
        <v/>
      </c>
      <c r="E172" s="52">
        <f>IF($B172="","",SUMIFS(Grids!$BQ$160:$EC$219,Grids!$EE$160:$GQ$219,"&gt;="&amp;$B172*1000000000,Grids!$EE$160:$GQ$219,"&lt;"&amp;($B172+1)*1000000000))</f>
        <v/>
      </c>
      <c r="F172" s="53">
        <f>IF($B172="","",SUM($C$26:$C172))</f>
        <v/>
      </c>
      <c r="G172" s="53">
        <f>IF($B172="","",SUM($D$26:$D172))</f>
        <v/>
      </c>
      <c r="H172" s="53">
        <f>IF($B172="","",SUM($E$26:$E172))</f>
        <v/>
      </c>
    </row>
    <row r="173">
      <c r="B173" s="51">
        <f>IF(DATE(YEAR_Y,1,1)+147&gt;DATE(YEAR_Y,12,31),"",DATE(YEAR_Y,1,1)+147)</f>
        <v/>
      </c>
      <c r="C173" s="52">
        <f>IF($B173="","",SUMIFS(Grids!$BQ$12:$EC$111,Grids!$EE$12:$GQ$111,"&gt;="&amp;$B173*1000000000,Grids!$EE$12:$GQ$111,"&lt;"&amp;($B173+1)*1000000000))</f>
        <v/>
      </c>
      <c r="D173" s="52">
        <f>IF($B173="","",SUMIFS(Grids!$BQ$116:$EC$155,Grids!$EE$116:$GQ$155,"&gt;="&amp;$B173*1000000000,Grids!$EE$116:$GQ$155,"&lt;"&amp;($B173+1)*1000000000))</f>
        <v/>
      </c>
      <c r="E173" s="52">
        <f>IF($B173="","",SUMIFS(Grids!$BQ$160:$EC$219,Grids!$EE$160:$GQ$219,"&gt;="&amp;$B173*1000000000,Grids!$EE$160:$GQ$219,"&lt;"&amp;($B173+1)*1000000000))</f>
        <v/>
      </c>
      <c r="F173" s="53">
        <f>IF($B173="","",SUM($C$26:$C173))</f>
        <v/>
      </c>
      <c r="G173" s="53">
        <f>IF($B173="","",SUM($D$26:$D173))</f>
        <v/>
      </c>
      <c r="H173" s="53">
        <f>IF($B173="","",SUM($E$26:$E173))</f>
        <v/>
      </c>
    </row>
    <row r="174">
      <c r="B174" s="51">
        <f>IF(DATE(YEAR_Y,1,1)+148&gt;DATE(YEAR_Y,12,31),"",DATE(YEAR_Y,1,1)+148)</f>
        <v/>
      </c>
      <c r="C174" s="52">
        <f>IF($B174="","",SUMIFS(Grids!$BQ$12:$EC$111,Grids!$EE$12:$GQ$111,"&gt;="&amp;$B174*1000000000,Grids!$EE$12:$GQ$111,"&lt;"&amp;($B174+1)*1000000000))</f>
        <v/>
      </c>
      <c r="D174" s="52">
        <f>IF($B174="","",SUMIFS(Grids!$BQ$116:$EC$155,Grids!$EE$116:$GQ$155,"&gt;="&amp;$B174*1000000000,Grids!$EE$116:$GQ$155,"&lt;"&amp;($B174+1)*1000000000))</f>
        <v/>
      </c>
      <c r="E174" s="52">
        <f>IF($B174="","",SUMIFS(Grids!$BQ$160:$EC$219,Grids!$EE$160:$GQ$219,"&gt;="&amp;$B174*1000000000,Grids!$EE$160:$GQ$219,"&lt;"&amp;($B174+1)*1000000000))</f>
        <v/>
      </c>
      <c r="F174" s="53">
        <f>IF($B174="","",SUM($C$26:$C174))</f>
        <v/>
      </c>
      <c r="G174" s="53">
        <f>IF($B174="","",SUM($D$26:$D174))</f>
        <v/>
      </c>
      <c r="H174" s="53">
        <f>IF($B174="","",SUM($E$26:$E174))</f>
        <v/>
      </c>
    </row>
    <row r="175">
      <c r="B175" s="51">
        <f>IF(DATE(YEAR_Y,1,1)+149&gt;DATE(YEAR_Y,12,31),"",DATE(YEAR_Y,1,1)+149)</f>
        <v/>
      </c>
      <c r="C175" s="52">
        <f>IF($B175="","",SUMIFS(Grids!$BQ$12:$EC$111,Grids!$EE$12:$GQ$111,"&gt;="&amp;$B175*1000000000,Grids!$EE$12:$GQ$111,"&lt;"&amp;($B175+1)*1000000000))</f>
        <v/>
      </c>
      <c r="D175" s="52">
        <f>IF($B175="","",SUMIFS(Grids!$BQ$116:$EC$155,Grids!$EE$116:$GQ$155,"&gt;="&amp;$B175*1000000000,Grids!$EE$116:$GQ$155,"&lt;"&amp;($B175+1)*1000000000))</f>
        <v/>
      </c>
      <c r="E175" s="52">
        <f>IF($B175="","",SUMIFS(Grids!$BQ$160:$EC$219,Grids!$EE$160:$GQ$219,"&gt;="&amp;$B175*1000000000,Grids!$EE$160:$GQ$219,"&lt;"&amp;($B175+1)*1000000000))</f>
        <v/>
      </c>
      <c r="F175" s="53">
        <f>IF($B175="","",SUM($C$26:$C175))</f>
        <v/>
      </c>
      <c r="G175" s="53">
        <f>IF($B175="","",SUM($D$26:$D175))</f>
        <v/>
      </c>
      <c r="H175" s="53">
        <f>IF($B175="","",SUM($E$26:$E175))</f>
        <v/>
      </c>
    </row>
    <row r="176">
      <c r="B176" s="51">
        <f>IF(DATE(YEAR_Y,1,1)+150&gt;DATE(YEAR_Y,12,31),"",DATE(YEAR_Y,1,1)+150)</f>
        <v/>
      </c>
      <c r="C176" s="52">
        <f>IF($B176="","",SUMIFS(Grids!$BQ$12:$EC$111,Grids!$EE$12:$GQ$111,"&gt;="&amp;$B176*1000000000,Grids!$EE$12:$GQ$111,"&lt;"&amp;($B176+1)*1000000000))</f>
        <v/>
      </c>
      <c r="D176" s="52">
        <f>IF($B176="","",SUMIFS(Grids!$BQ$116:$EC$155,Grids!$EE$116:$GQ$155,"&gt;="&amp;$B176*1000000000,Grids!$EE$116:$GQ$155,"&lt;"&amp;($B176+1)*1000000000))</f>
        <v/>
      </c>
      <c r="E176" s="52">
        <f>IF($B176="","",SUMIFS(Grids!$BQ$160:$EC$219,Grids!$EE$160:$GQ$219,"&gt;="&amp;$B176*1000000000,Grids!$EE$160:$GQ$219,"&lt;"&amp;($B176+1)*1000000000))</f>
        <v/>
      </c>
      <c r="F176" s="53">
        <f>IF($B176="","",SUM($C$26:$C176))</f>
        <v/>
      </c>
      <c r="G176" s="53">
        <f>IF($B176="","",SUM($D$26:$D176))</f>
        <v/>
      </c>
      <c r="H176" s="53">
        <f>IF($B176="","",SUM($E$26:$E176))</f>
        <v/>
      </c>
    </row>
    <row r="177">
      <c r="B177" s="51">
        <f>IF(DATE(YEAR_Y,1,1)+151&gt;DATE(YEAR_Y,12,31),"",DATE(YEAR_Y,1,1)+151)</f>
        <v/>
      </c>
      <c r="C177" s="52">
        <f>IF($B177="","",SUMIFS(Grids!$BQ$12:$EC$111,Grids!$EE$12:$GQ$111,"&gt;="&amp;$B177*1000000000,Grids!$EE$12:$GQ$111,"&lt;"&amp;($B177+1)*1000000000))</f>
        <v/>
      </c>
      <c r="D177" s="52">
        <f>IF($B177="","",SUMIFS(Grids!$BQ$116:$EC$155,Grids!$EE$116:$GQ$155,"&gt;="&amp;$B177*1000000000,Grids!$EE$116:$GQ$155,"&lt;"&amp;($B177+1)*1000000000))</f>
        <v/>
      </c>
      <c r="E177" s="52">
        <f>IF($B177="","",SUMIFS(Grids!$BQ$160:$EC$219,Grids!$EE$160:$GQ$219,"&gt;="&amp;$B177*1000000000,Grids!$EE$160:$GQ$219,"&lt;"&amp;($B177+1)*1000000000))</f>
        <v/>
      </c>
      <c r="F177" s="53">
        <f>IF($B177="","",SUM($C$26:$C177))</f>
        <v/>
      </c>
      <c r="G177" s="53">
        <f>IF($B177="","",SUM($D$26:$D177))</f>
        <v/>
      </c>
      <c r="H177" s="53">
        <f>IF($B177="","",SUM($E$26:$E177))</f>
        <v/>
      </c>
    </row>
    <row r="178">
      <c r="B178" s="51">
        <f>IF(DATE(YEAR_Y,1,1)+152&gt;DATE(YEAR_Y,12,31),"",DATE(YEAR_Y,1,1)+152)</f>
        <v/>
      </c>
      <c r="C178" s="52">
        <f>IF($B178="","",SUMIFS(Grids!$BQ$12:$EC$111,Grids!$EE$12:$GQ$111,"&gt;="&amp;$B178*1000000000,Grids!$EE$12:$GQ$111,"&lt;"&amp;($B178+1)*1000000000))</f>
        <v/>
      </c>
      <c r="D178" s="52">
        <f>IF($B178="","",SUMIFS(Grids!$BQ$116:$EC$155,Grids!$EE$116:$GQ$155,"&gt;="&amp;$B178*1000000000,Grids!$EE$116:$GQ$155,"&lt;"&amp;($B178+1)*1000000000))</f>
        <v/>
      </c>
      <c r="E178" s="52">
        <f>IF($B178="","",SUMIFS(Grids!$BQ$160:$EC$219,Grids!$EE$160:$GQ$219,"&gt;="&amp;$B178*1000000000,Grids!$EE$160:$GQ$219,"&lt;"&amp;($B178+1)*1000000000))</f>
        <v/>
      </c>
      <c r="F178" s="53">
        <f>IF($B178="","",SUM($C$26:$C178))</f>
        <v/>
      </c>
      <c r="G178" s="53">
        <f>IF($B178="","",SUM($D$26:$D178))</f>
        <v/>
      </c>
      <c r="H178" s="53">
        <f>IF($B178="","",SUM($E$26:$E178))</f>
        <v/>
      </c>
    </row>
    <row r="179">
      <c r="B179" s="51">
        <f>IF(DATE(YEAR_Y,1,1)+153&gt;DATE(YEAR_Y,12,31),"",DATE(YEAR_Y,1,1)+153)</f>
        <v/>
      </c>
      <c r="C179" s="52">
        <f>IF($B179="","",SUMIFS(Grids!$BQ$12:$EC$111,Grids!$EE$12:$GQ$111,"&gt;="&amp;$B179*1000000000,Grids!$EE$12:$GQ$111,"&lt;"&amp;($B179+1)*1000000000))</f>
        <v/>
      </c>
      <c r="D179" s="52">
        <f>IF($B179="","",SUMIFS(Grids!$BQ$116:$EC$155,Grids!$EE$116:$GQ$155,"&gt;="&amp;$B179*1000000000,Grids!$EE$116:$GQ$155,"&lt;"&amp;($B179+1)*1000000000))</f>
        <v/>
      </c>
      <c r="E179" s="52">
        <f>IF($B179="","",SUMIFS(Grids!$BQ$160:$EC$219,Grids!$EE$160:$GQ$219,"&gt;="&amp;$B179*1000000000,Grids!$EE$160:$GQ$219,"&lt;"&amp;($B179+1)*1000000000))</f>
        <v/>
      </c>
      <c r="F179" s="53">
        <f>IF($B179="","",SUM($C$26:$C179))</f>
        <v/>
      </c>
      <c r="G179" s="53">
        <f>IF($B179="","",SUM($D$26:$D179))</f>
        <v/>
      </c>
      <c r="H179" s="53">
        <f>IF($B179="","",SUM($E$26:$E179))</f>
        <v/>
      </c>
    </row>
    <row r="180">
      <c r="B180" s="51">
        <f>IF(DATE(YEAR_Y,1,1)+154&gt;DATE(YEAR_Y,12,31),"",DATE(YEAR_Y,1,1)+154)</f>
        <v/>
      </c>
      <c r="C180" s="52">
        <f>IF($B180="","",SUMIFS(Grids!$BQ$12:$EC$111,Grids!$EE$12:$GQ$111,"&gt;="&amp;$B180*1000000000,Grids!$EE$12:$GQ$111,"&lt;"&amp;($B180+1)*1000000000))</f>
        <v/>
      </c>
      <c r="D180" s="52">
        <f>IF($B180="","",SUMIFS(Grids!$BQ$116:$EC$155,Grids!$EE$116:$GQ$155,"&gt;="&amp;$B180*1000000000,Grids!$EE$116:$GQ$155,"&lt;"&amp;($B180+1)*1000000000))</f>
        <v/>
      </c>
      <c r="E180" s="52">
        <f>IF($B180="","",SUMIFS(Grids!$BQ$160:$EC$219,Grids!$EE$160:$GQ$219,"&gt;="&amp;$B180*1000000000,Grids!$EE$160:$GQ$219,"&lt;"&amp;($B180+1)*1000000000))</f>
        <v/>
      </c>
      <c r="F180" s="53">
        <f>IF($B180="","",SUM($C$26:$C180))</f>
        <v/>
      </c>
      <c r="G180" s="53">
        <f>IF($B180="","",SUM($D$26:$D180))</f>
        <v/>
      </c>
      <c r="H180" s="53">
        <f>IF($B180="","",SUM($E$26:$E180))</f>
        <v/>
      </c>
    </row>
    <row r="181">
      <c r="B181" s="51">
        <f>IF(DATE(YEAR_Y,1,1)+155&gt;DATE(YEAR_Y,12,31),"",DATE(YEAR_Y,1,1)+155)</f>
        <v/>
      </c>
      <c r="C181" s="52">
        <f>IF($B181="","",SUMIFS(Grids!$BQ$12:$EC$111,Grids!$EE$12:$GQ$111,"&gt;="&amp;$B181*1000000000,Grids!$EE$12:$GQ$111,"&lt;"&amp;($B181+1)*1000000000))</f>
        <v/>
      </c>
      <c r="D181" s="52">
        <f>IF($B181="","",SUMIFS(Grids!$BQ$116:$EC$155,Grids!$EE$116:$GQ$155,"&gt;="&amp;$B181*1000000000,Grids!$EE$116:$GQ$155,"&lt;"&amp;($B181+1)*1000000000))</f>
        <v/>
      </c>
      <c r="E181" s="52">
        <f>IF($B181="","",SUMIFS(Grids!$BQ$160:$EC$219,Grids!$EE$160:$GQ$219,"&gt;="&amp;$B181*1000000000,Grids!$EE$160:$GQ$219,"&lt;"&amp;($B181+1)*1000000000))</f>
        <v/>
      </c>
      <c r="F181" s="53">
        <f>IF($B181="","",SUM($C$26:$C181))</f>
        <v/>
      </c>
      <c r="G181" s="53">
        <f>IF($B181="","",SUM($D$26:$D181))</f>
        <v/>
      </c>
      <c r="H181" s="53">
        <f>IF($B181="","",SUM($E$26:$E181))</f>
        <v/>
      </c>
    </row>
    <row r="182">
      <c r="B182" s="51">
        <f>IF(DATE(YEAR_Y,1,1)+156&gt;DATE(YEAR_Y,12,31),"",DATE(YEAR_Y,1,1)+156)</f>
        <v/>
      </c>
      <c r="C182" s="52">
        <f>IF($B182="","",SUMIFS(Grids!$BQ$12:$EC$111,Grids!$EE$12:$GQ$111,"&gt;="&amp;$B182*1000000000,Grids!$EE$12:$GQ$111,"&lt;"&amp;($B182+1)*1000000000))</f>
        <v/>
      </c>
      <c r="D182" s="52">
        <f>IF($B182="","",SUMIFS(Grids!$BQ$116:$EC$155,Grids!$EE$116:$GQ$155,"&gt;="&amp;$B182*1000000000,Grids!$EE$116:$GQ$155,"&lt;"&amp;($B182+1)*1000000000))</f>
        <v/>
      </c>
      <c r="E182" s="52">
        <f>IF($B182="","",SUMIFS(Grids!$BQ$160:$EC$219,Grids!$EE$160:$GQ$219,"&gt;="&amp;$B182*1000000000,Grids!$EE$160:$GQ$219,"&lt;"&amp;($B182+1)*1000000000))</f>
        <v/>
      </c>
      <c r="F182" s="53">
        <f>IF($B182="","",SUM($C$26:$C182))</f>
        <v/>
      </c>
      <c r="G182" s="53">
        <f>IF($B182="","",SUM($D$26:$D182))</f>
        <v/>
      </c>
      <c r="H182" s="53">
        <f>IF($B182="","",SUM($E$26:$E182))</f>
        <v/>
      </c>
    </row>
    <row r="183">
      <c r="B183" s="51">
        <f>IF(DATE(YEAR_Y,1,1)+157&gt;DATE(YEAR_Y,12,31),"",DATE(YEAR_Y,1,1)+157)</f>
        <v/>
      </c>
      <c r="C183" s="52">
        <f>IF($B183="","",SUMIFS(Grids!$BQ$12:$EC$111,Grids!$EE$12:$GQ$111,"&gt;="&amp;$B183*1000000000,Grids!$EE$12:$GQ$111,"&lt;"&amp;($B183+1)*1000000000))</f>
        <v/>
      </c>
      <c r="D183" s="52">
        <f>IF($B183="","",SUMIFS(Grids!$BQ$116:$EC$155,Grids!$EE$116:$GQ$155,"&gt;="&amp;$B183*1000000000,Grids!$EE$116:$GQ$155,"&lt;"&amp;($B183+1)*1000000000))</f>
        <v/>
      </c>
      <c r="E183" s="52">
        <f>IF($B183="","",SUMIFS(Grids!$BQ$160:$EC$219,Grids!$EE$160:$GQ$219,"&gt;="&amp;$B183*1000000000,Grids!$EE$160:$GQ$219,"&lt;"&amp;($B183+1)*1000000000))</f>
        <v/>
      </c>
      <c r="F183" s="53">
        <f>IF($B183="","",SUM($C$26:$C183))</f>
        <v/>
      </c>
      <c r="G183" s="53">
        <f>IF($B183="","",SUM($D$26:$D183))</f>
        <v/>
      </c>
      <c r="H183" s="53">
        <f>IF($B183="","",SUM($E$26:$E183))</f>
        <v/>
      </c>
    </row>
    <row r="184">
      <c r="B184" s="51">
        <f>IF(DATE(YEAR_Y,1,1)+158&gt;DATE(YEAR_Y,12,31),"",DATE(YEAR_Y,1,1)+158)</f>
        <v/>
      </c>
      <c r="C184" s="52">
        <f>IF($B184="","",SUMIFS(Grids!$BQ$12:$EC$111,Grids!$EE$12:$GQ$111,"&gt;="&amp;$B184*1000000000,Grids!$EE$12:$GQ$111,"&lt;"&amp;($B184+1)*1000000000))</f>
        <v/>
      </c>
      <c r="D184" s="52">
        <f>IF($B184="","",SUMIFS(Grids!$BQ$116:$EC$155,Grids!$EE$116:$GQ$155,"&gt;="&amp;$B184*1000000000,Grids!$EE$116:$GQ$155,"&lt;"&amp;($B184+1)*1000000000))</f>
        <v/>
      </c>
      <c r="E184" s="52">
        <f>IF($B184="","",SUMIFS(Grids!$BQ$160:$EC$219,Grids!$EE$160:$GQ$219,"&gt;="&amp;$B184*1000000000,Grids!$EE$160:$GQ$219,"&lt;"&amp;($B184+1)*1000000000))</f>
        <v/>
      </c>
      <c r="F184" s="53">
        <f>IF($B184="","",SUM($C$26:$C184))</f>
        <v/>
      </c>
      <c r="G184" s="53">
        <f>IF($B184="","",SUM($D$26:$D184))</f>
        <v/>
      </c>
      <c r="H184" s="53">
        <f>IF($B184="","",SUM($E$26:$E184))</f>
        <v/>
      </c>
    </row>
    <row r="185">
      <c r="B185" s="51">
        <f>IF(DATE(YEAR_Y,1,1)+159&gt;DATE(YEAR_Y,12,31),"",DATE(YEAR_Y,1,1)+159)</f>
        <v/>
      </c>
      <c r="C185" s="52">
        <f>IF($B185="","",SUMIFS(Grids!$BQ$12:$EC$111,Grids!$EE$12:$GQ$111,"&gt;="&amp;$B185*1000000000,Grids!$EE$12:$GQ$111,"&lt;"&amp;($B185+1)*1000000000))</f>
        <v/>
      </c>
      <c r="D185" s="52">
        <f>IF($B185="","",SUMIFS(Grids!$BQ$116:$EC$155,Grids!$EE$116:$GQ$155,"&gt;="&amp;$B185*1000000000,Grids!$EE$116:$GQ$155,"&lt;"&amp;($B185+1)*1000000000))</f>
        <v/>
      </c>
      <c r="E185" s="52">
        <f>IF($B185="","",SUMIFS(Grids!$BQ$160:$EC$219,Grids!$EE$160:$GQ$219,"&gt;="&amp;$B185*1000000000,Grids!$EE$160:$GQ$219,"&lt;"&amp;($B185+1)*1000000000))</f>
        <v/>
      </c>
      <c r="F185" s="53">
        <f>IF($B185="","",SUM($C$26:$C185))</f>
        <v/>
      </c>
      <c r="G185" s="53">
        <f>IF($B185="","",SUM($D$26:$D185))</f>
        <v/>
      </c>
      <c r="H185" s="53">
        <f>IF($B185="","",SUM($E$26:$E185))</f>
        <v/>
      </c>
    </row>
    <row r="186">
      <c r="B186" s="51">
        <f>IF(DATE(YEAR_Y,1,1)+160&gt;DATE(YEAR_Y,12,31),"",DATE(YEAR_Y,1,1)+160)</f>
        <v/>
      </c>
      <c r="C186" s="52">
        <f>IF($B186="","",SUMIFS(Grids!$BQ$12:$EC$111,Grids!$EE$12:$GQ$111,"&gt;="&amp;$B186*1000000000,Grids!$EE$12:$GQ$111,"&lt;"&amp;($B186+1)*1000000000))</f>
        <v/>
      </c>
      <c r="D186" s="52">
        <f>IF($B186="","",SUMIFS(Grids!$BQ$116:$EC$155,Grids!$EE$116:$GQ$155,"&gt;="&amp;$B186*1000000000,Grids!$EE$116:$GQ$155,"&lt;"&amp;($B186+1)*1000000000))</f>
        <v/>
      </c>
      <c r="E186" s="52">
        <f>IF($B186="","",SUMIFS(Grids!$BQ$160:$EC$219,Grids!$EE$160:$GQ$219,"&gt;="&amp;$B186*1000000000,Grids!$EE$160:$GQ$219,"&lt;"&amp;($B186+1)*1000000000))</f>
        <v/>
      </c>
      <c r="F186" s="53">
        <f>IF($B186="","",SUM($C$26:$C186))</f>
        <v/>
      </c>
      <c r="G186" s="53">
        <f>IF($B186="","",SUM($D$26:$D186))</f>
        <v/>
      </c>
      <c r="H186" s="53">
        <f>IF($B186="","",SUM($E$26:$E186))</f>
        <v/>
      </c>
    </row>
    <row r="187">
      <c r="B187" s="51">
        <f>IF(DATE(YEAR_Y,1,1)+161&gt;DATE(YEAR_Y,12,31),"",DATE(YEAR_Y,1,1)+161)</f>
        <v/>
      </c>
      <c r="C187" s="52">
        <f>IF($B187="","",SUMIFS(Grids!$BQ$12:$EC$111,Grids!$EE$12:$GQ$111,"&gt;="&amp;$B187*1000000000,Grids!$EE$12:$GQ$111,"&lt;"&amp;($B187+1)*1000000000))</f>
        <v/>
      </c>
      <c r="D187" s="52">
        <f>IF($B187="","",SUMIFS(Grids!$BQ$116:$EC$155,Grids!$EE$116:$GQ$155,"&gt;="&amp;$B187*1000000000,Grids!$EE$116:$GQ$155,"&lt;"&amp;($B187+1)*1000000000))</f>
        <v/>
      </c>
      <c r="E187" s="52">
        <f>IF($B187="","",SUMIFS(Grids!$BQ$160:$EC$219,Grids!$EE$160:$GQ$219,"&gt;="&amp;$B187*1000000000,Grids!$EE$160:$GQ$219,"&lt;"&amp;($B187+1)*1000000000))</f>
        <v/>
      </c>
      <c r="F187" s="53">
        <f>IF($B187="","",SUM($C$26:$C187))</f>
        <v/>
      </c>
      <c r="G187" s="53">
        <f>IF($B187="","",SUM($D$26:$D187))</f>
        <v/>
      </c>
      <c r="H187" s="53">
        <f>IF($B187="","",SUM($E$26:$E187))</f>
        <v/>
      </c>
    </row>
    <row r="188">
      <c r="B188" s="51">
        <f>IF(DATE(YEAR_Y,1,1)+162&gt;DATE(YEAR_Y,12,31),"",DATE(YEAR_Y,1,1)+162)</f>
        <v/>
      </c>
      <c r="C188" s="52">
        <f>IF($B188="","",SUMIFS(Grids!$BQ$12:$EC$111,Grids!$EE$12:$GQ$111,"&gt;="&amp;$B188*1000000000,Grids!$EE$12:$GQ$111,"&lt;"&amp;($B188+1)*1000000000))</f>
        <v/>
      </c>
      <c r="D188" s="52">
        <f>IF($B188="","",SUMIFS(Grids!$BQ$116:$EC$155,Grids!$EE$116:$GQ$155,"&gt;="&amp;$B188*1000000000,Grids!$EE$116:$GQ$155,"&lt;"&amp;($B188+1)*1000000000))</f>
        <v/>
      </c>
      <c r="E188" s="52">
        <f>IF($B188="","",SUMIFS(Grids!$BQ$160:$EC$219,Grids!$EE$160:$GQ$219,"&gt;="&amp;$B188*1000000000,Grids!$EE$160:$GQ$219,"&lt;"&amp;($B188+1)*1000000000))</f>
        <v/>
      </c>
      <c r="F188" s="53">
        <f>IF($B188="","",SUM($C$26:$C188))</f>
        <v/>
      </c>
      <c r="G188" s="53">
        <f>IF($B188="","",SUM($D$26:$D188))</f>
        <v/>
      </c>
      <c r="H188" s="53">
        <f>IF($B188="","",SUM($E$26:$E188))</f>
        <v/>
      </c>
    </row>
    <row r="189">
      <c r="B189" s="51">
        <f>IF(DATE(YEAR_Y,1,1)+163&gt;DATE(YEAR_Y,12,31),"",DATE(YEAR_Y,1,1)+163)</f>
        <v/>
      </c>
      <c r="C189" s="52">
        <f>IF($B189="","",SUMIFS(Grids!$BQ$12:$EC$111,Grids!$EE$12:$GQ$111,"&gt;="&amp;$B189*1000000000,Grids!$EE$12:$GQ$111,"&lt;"&amp;($B189+1)*1000000000))</f>
        <v/>
      </c>
      <c r="D189" s="52">
        <f>IF($B189="","",SUMIFS(Grids!$BQ$116:$EC$155,Grids!$EE$116:$GQ$155,"&gt;="&amp;$B189*1000000000,Grids!$EE$116:$GQ$155,"&lt;"&amp;($B189+1)*1000000000))</f>
        <v/>
      </c>
      <c r="E189" s="52">
        <f>IF($B189="","",SUMIFS(Grids!$BQ$160:$EC$219,Grids!$EE$160:$GQ$219,"&gt;="&amp;$B189*1000000000,Grids!$EE$160:$GQ$219,"&lt;"&amp;($B189+1)*1000000000))</f>
        <v/>
      </c>
      <c r="F189" s="53">
        <f>IF($B189="","",SUM($C$26:$C189))</f>
        <v/>
      </c>
      <c r="G189" s="53">
        <f>IF($B189="","",SUM($D$26:$D189))</f>
        <v/>
      </c>
      <c r="H189" s="53">
        <f>IF($B189="","",SUM($E$26:$E189))</f>
        <v/>
      </c>
    </row>
    <row r="190">
      <c r="B190" s="51">
        <f>IF(DATE(YEAR_Y,1,1)+164&gt;DATE(YEAR_Y,12,31),"",DATE(YEAR_Y,1,1)+164)</f>
        <v/>
      </c>
      <c r="C190" s="52">
        <f>IF($B190="","",SUMIFS(Grids!$BQ$12:$EC$111,Grids!$EE$12:$GQ$111,"&gt;="&amp;$B190*1000000000,Grids!$EE$12:$GQ$111,"&lt;"&amp;($B190+1)*1000000000))</f>
        <v/>
      </c>
      <c r="D190" s="52">
        <f>IF($B190="","",SUMIFS(Grids!$BQ$116:$EC$155,Grids!$EE$116:$GQ$155,"&gt;="&amp;$B190*1000000000,Grids!$EE$116:$GQ$155,"&lt;"&amp;($B190+1)*1000000000))</f>
        <v/>
      </c>
      <c r="E190" s="52">
        <f>IF($B190="","",SUMIFS(Grids!$BQ$160:$EC$219,Grids!$EE$160:$GQ$219,"&gt;="&amp;$B190*1000000000,Grids!$EE$160:$GQ$219,"&lt;"&amp;($B190+1)*1000000000))</f>
        <v/>
      </c>
      <c r="F190" s="53">
        <f>IF($B190="","",SUM($C$26:$C190))</f>
        <v/>
      </c>
      <c r="G190" s="53">
        <f>IF($B190="","",SUM($D$26:$D190))</f>
        <v/>
      </c>
      <c r="H190" s="53">
        <f>IF($B190="","",SUM($E$26:$E190))</f>
        <v/>
      </c>
    </row>
    <row r="191">
      <c r="B191" s="51">
        <f>IF(DATE(YEAR_Y,1,1)+165&gt;DATE(YEAR_Y,12,31),"",DATE(YEAR_Y,1,1)+165)</f>
        <v/>
      </c>
      <c r="C191" s="52">
        <f>IF($B191="","",SUMIFS(Grids!$BQ$12:$EC$111,Grids!$EE$12:$GQ$111,"&gt;="&amp;$B191*1000000000,Grids!$EE$12:$GQ$111,"&lt;"&amp;($B191+1)*1000000000))</f>
        <v/>
      </c>
      <c r="D191" s="52">
        <f>IF($B191="","",SUMIFS(Grids!$BQ$116:$EC$155,Grids!$EE$116:$GQ$155,"&gt;="&amp;$B191*1000000000,Grids!$EE$116:$GQ$155,"&lt;"&amp;($B191+1)*1000000000))</f>
        <v/>
      </c>
      <c r="E191" s="52">
        <f>IF($B191="","",SUMIFS(Grids!$BQ$160:$EC$219,Grids!$EE$160:$GQ$219,"&gt;="&amp;$B191*1000000000,Grids!$EE$160:$GQ$219,"&lt;"&amp;($B191+1)*1000000000))</f>
        <v/>
      </c>
      <c r="F191" s="53">
        <f>IF($B191="","",SUM($C$26:$C191))</f>
        <v/>
      </c>
      <c r="G191" s="53">
        <f>IF($B191="","",SUM($D$26:$D191))</f>
        <v/>
      </c>
      <c r="H191" s="53">
        <f>IF($B191="","",SUM($E$26:$E191))</f>
        <v/>
      </c>
    </row>
    <row r="192">
      <c r="B192" s="51">
        <f>IF(DATE(YEAR_Y,1,1)+166&gt;DATE(YEAR_Y,12,31),"",DATE(YEAR_Y,1,1)+166)</f>
        <v/>
      </c>
      <c r="C192" s="52">
        <f>IF($B192="","",SUMIFS(Grids!$BQ$12:$EC$111,Grids!$EE$12:$GQ$111,"&gt;="&amp;$B192*1000000000,Grids!$EE$12:$GQ$111,"&lt;"&amp;($B192+1)*1000000000))</f>
        <v/>
      </c>
      <c r="D192" s="52">
        <f>IF($B192="","",SUMIFS(Grids!$BQ$116:$EC$155,Grids!$EE$116:$GQ$155,"&gt;="&amp;$B192*1000000000,Grids!$EE$116:$GQ$155,"&lt;"&amp;($B192+1)*1000000000))</f>
        <v/>
      </c>
      <c r="E192" s="52">
        <f>IF($B192="","",SUMIFS(Grids!$BQ$160:$EC$219,Grids!$EE$160:$GQ$219,"&gt;="&amp;$B192*1000000000,Grids!$EE$160:$GQ$219,"&lt;"&amp;($B192+1)*1000000000))</f>
        <v/>
      </c>
      <c r="F192" s="53">
        <f>IF($B192="","",SUM($C$26:$C192))</f>
        <v/>
      </c>
      <c r="G192" s="53">
        <f>IF($B192="","",SUM($D$26:$D192))</f>
        <v/>
      </c>
      <c r="H192" s="53">
        <f>IF($B192="","",SUM($E$26:$E192))</f>
        <v/>
      </c>
    </row>
    <row r="193">
      <c r="B193" s="51">
        <f>IF(DATE(YEAR_Y,1,1)+167&gt;DATE(YEAR_Y,12,31),"",DATE(YEAR_Y,1,1)+167)</f>
        <v/>
      </c>
      <c r="C193" s="52">
        <f>IF($B193="","",SUMIFS(Grids!$BQ$12:$EC$111,Grids!$EE$12:$GQ$111,"&gt;="&amp;$B193*1000000000,Grids!$EE$12:$GQ$111,"&lt;"&amp;($B193+1)*1000000000))</f>
        <v/>
      </c>
      <c r="D193" s="52">
        <f>IF($B193="","",SUMIFS(Grids!$BQ$116:$EC$155,Grids!$EE$116:$GQ$155,"&gt;="&amp;$B193*1000000000,Grids!$EE$116:$GQ$155,"&lt;"&amp;($B193+1)*1000000000))</f>
        <v/>
      </c>
      <c r="E193" s="52">
        <f>IF($B193="","",SUMIFS(Grids!$BQ$160:$EC$219,Grids!$EE$160:$GQ$219,"&gt;="&amp;$B193*1000000000,Grids!$EE$160:$GQ$219,"&lt;"&amp;($B193+1)*1000000000))</f>
        <v/>
      </c>
      <c r="F193" s="53">
        <f>IF($B193="","",SUM($C$26:$C193))</f>
        <v/>
      </c>
      <c r="G193" s="53">
        <f>IF($B193="","",SUM($D$26:$D193))</f>
        <v/>
      </c>
      <c r="H193" s="53">
        <f>IF($B193="","",SUM($E$26:$E193))</f>
        <v/>
      </c>
    </row>
    <row r="194">
      <c r="B194" s="51">
        <f>IF(DATE(YEAR_Y,1,1)+168&gt;DATE(YEAR_Y,12,31),"",DATE(YEAR_Y,1,1)+168)</f>
        <v/>
      </c>
      <c r="C194" s="52">
        <f>IF($B194="","",SUMIFS(Grids!$BQ$12:$EC$111,Grids!$EE$12:$GQ$111,"&gt;="&amp;$B194*1000000000,Grids!$EE$12:$GQ$111,"&lt;"&amp;($B194+1)*1000000000))</f>
        <v/>
      </c>
      <c r="D194" s="52">
        <f>IF($B194="","",SUMIFS(Grids!$BQ$116:$EC$155,Grids!$EE$116:$GQ$155,"&gt;="&amp;$B194*1000000000,Grids!$EE$116:$GQ$155,"&lt;"&amp;($B194+1)*1000000000))</f>
        <v/>
      </c>
      <c r="E194" s="52">
        <f>IF($B194="","",SUMIFS(Grids!$BQ$160:$EC$219,Grids!$EE$160:$GQ$219,"&gt;="&amp;$B194*1000000000,Grids!$EE$160:$GQ$219,"&lt;"&amp;($B194+1)*1000000000))</f>
        <v/>
      </c>
      <c r="F194" s="53">
        <f>IF($B194="","",SUM($C$26:$C194))</f>
        <v/>
      </c>
      <c r="G194" s="53">
        <f>IF($B194="","",SUM($D$26:$D194))</f>
        <v/>
      </c>
      <c r="H194" s="53">
        <f>IF($B194="","",SUM($E$26:$E194))</f>
        <v/>
      </c>
    </row>
    <row r="195">
      <c r="B195" s="51">
        <f>IF(DATE(YEAR_Y,1,1)+169&gt;DATE(YEAR_Y,12,31),"",DATE(YEAR_Y,1,1)+169)</f>
        <v/>
      </c>
      <c r="C195" s="52">
        <f>IF($B195="","",SUMIFS(Grids!$BQ$12:$EC$111,Grids!$EE$12:$GQ$111,"&gt;="&amp;$B195*1000000000,Grids!$EE$12:$GQ$111,"&lt;"&amp;($B195+1)*1000000000))</f>
        <v/>
      </c>
      <c r="D195" s="52">
        <f>IF($B195="","",SUMIFS(Grids!$BQ$116:$EC$155,Grids!$EE$116:$GQ$155,"&gt;="&amp;$B195*1000000000,Grids!$EE$116:$GQ$155,"&lt;"&amp;($B195+1)*1000000000))</f>
        <v/>
      </c>
      <c r="E195" s="52">
        <f>IF($B195="","",SUMIFS(Grids!$BQ$160:$EC$219,Grids!$EE$160:$GQ$219,"&gt;="&amp;$B195*1000000000,Grids!$EE$160:$GQ$219,"&lt;"&amp;($B195+1)*1000000000))</f>
        <v/>
      </c>
      <c r="F195" s="53">
        <f>IF($B195="","",SUM($C$26:$C195))</f>
        <v/>
      </c>
      <c r="G195" s="53">
        <f>IF($B195="","",SUM($D$26:$D195))</f>
        <v/>
      </c>
      <c r="H195" s="53">
        <f>IF($B195="","",SUM($E$26:$E195))</f>
        <v/>
      </c>
    </row>
    <row r="196">
      <c r="B196" s="51">
        <f>IF(DATE(YEAR_Y,1,1)+170&gt;DATE(YEAR_Y,12,31),"",DATE(YEAR_Y,1,1)+170)</f>
        <v/>
      </c>
      <c r="C196" s="52">
        <f>IF($B196="","",SUMIFS(Grids!$BQ$12:$EC$111,Grids!$EE$12:$GQ$111,"&gt;="&amp;$B196*1000000000,Grids!$EE$12:$GQ$111,"&lt;"&amp;($B196+1)*1000000000))</f>
        <v/>
      </c>
      <c r="D196" s="52">
        <f>IF($B196="","",SUMIFS(Grids!$BQ$116:$EC$155,Grids!$EE$116:$GQ$155,"&gt;="&amp;$B196*1000000000,Grids!$EE$116:$GQ$155,"&lt;"&amp;($B196+1)*1000000000))</f>
        <v/>
      </c>
      <c r="E196" s="52">
        <f>IF($B196="","",SUMIFS(Grids!$BQ$160:$EC$219,Grids!$EE$160:$GQ$219,"&gt;="&amp;$B196*1000000000,Grids!$EE$160:$GQ$219,"&lt;"&amp;($B196+1)*1000000000))</f>
        <v/>
      </c>
      <c r="F196" s="53">
        <f>IF($B196="","",SUM($C$26:$C196))</f>
        <v/>
      </c>
      <c r="G196" s="53">
        <f>IF($B196="","",SUM($D$26:$D196))</f>
        <v/>
      </c>
      <c r="H196" s="53">
        <f>IF($B196="","",SUM($E$26:$E196))</f>
        <v/>
      </c>
    </row>
    <row r="197">
      <c r="B197" s="51">
        <f>IF(DATE(YEAR_Y,1,1)+171&gt;DATE(YEAR_Y,12,31),"",DATE(YEAR_Y,1,1)+171)</f>
        <v/>
      </c>
      <c r="C197" s="52">
        <f>IF($B197="","",SUMIFS(Grids!$BQ$12:$EC$111,Grids!$EE$12:$GQ$111,"&gt;="&amp;$B197*1000000000,Grids!$EE$12:$GQ$111,"&lt;"&amp;($B197+1)*1000000000))</f>
        <v/>
      </c>
      <c r="D197" s="52">
        <f>IF($B197="","",SUMIFS(Grids!$BQ$116:$EC$155,Grids!$EE$116:$GQ$155,"&gt;="&amp;$B197*1000000000,Grids!$EE$116:$GQ$155,"&lt;"&amp;($B197+1)*1000000000))</f>
        <v/>
      </c>
      <c r="E197" s="52">
        <f>IF($B197="","",SUMIFS(Grids!$BQ$160:$EC$219,Grids!$EE$160:$GQ$219,"&gt;="&amp;$B197*1000000000,Grids!$EE$160:$GQ$219,"&lt;"&amp;($B197+1)*1000000000))</f>
        <v/>
      </c>
      <c r="F197" s="53">
        <f>IF($B197="","",SUM($C$26:$C197))</f>
        <v/>
      </c>
      <c r="G197" s="53">
        <f>IF($B197="","",SUM($D$26:$D197))</f>
        <v/>
      </c>
      <c r="H197" s="53">
        <f>IF($B197="","",SUM($E$26:$E197))</f>
        <v/>
      </c>
    </row>
    <row r="198">
      <c r="B198" s="51">
        <f>IF(DATE(YEAR_Y,1,1)+172&gt;DATE(YEAR_Y,12,31),"",DATE(YEAR_Y,1,1)+172)</f>
        <v/>
      </c>
      <c r="C198" s="52">
        <f>IF($B198="","",SUMIFS(Grids!$BQ$12:$EC$111,Grids!$EE$12:$GQ$111,"&gt;="&amp;$B198*1000000000,Grids!$EE$12:$GQ$111,"&lt;"&amp;($B198+1)*1000000000))</f>
        <v/>
      </c>
      <c r="D198" s="52">
        <f>IF($B198="","",SUMIFS(Grids!$BQ$116:$EC$155,Grids!$EE$116:$GQ$155,"&gt;="&amp;$B198*1000000000,Grids!$EE$116:$GQ$155,"&lt;"&amp;($B198+1)*1000000000))</f>
        <v/>
      </c>
      <c r="E198" s="52">
        <f>IF($B198="","",SUMIFS(Grids!$BQ$160:$EC$219,Grids!$EE$160:$GQ$219,"&gt;="&amp;$B198*1000000000,Grids!$EE$160:$GQ$219,"&lt;"&amp;($B198+1)*1000000000))</f>
        <v/>
      </c>
      <c r="F198" s="53">
        <f>IF($B198="","",SUM($C$26:$C198))</f>
        <v/>
      </c>
      <c r="G198" s="53">
        <f>IF($B198="","",SUM($D$26:$D198))</f>
        <v/>
      </c>
      <c r="H198" s="53">
        <f>IF($B198="","",SUM($E$26:$E198))</f>
        <v/>
      </c>
    </row>
    <row r="199">
      <c r="B199" s="51">
        <f>IF(DATE(YEAR_Y,1,1)+173&gt;DATE(YEAR_Y,12,31),"",DATE(YEAR_Y,1,1)+173)</f>
        <v/>
      </c>
      <c r="C199" s="52">
        <f>IF($B199="","",SUMIFS(Grids!$BQ$12:$EC$111,Grids!$EE$12:$GQ$111,"&gt;="&amp;$B199*1000000000,Grids!$EE$12:$GQ$111,"&lt;"&amp;($B199+1)*1000000000))</f>
        <v/>
      </c>
      <c r="D199" s="52">
        <f>IF($B199="","",SUMIFS(Grids!$BQ$116:$EC$155,Grids!$EE$116:$GQ$155,"&gt;="&amp;$B199*1000000000,Grids!$EE$116:$GQ$155,"&lt;"&amp;($B199+1)*1000000000))</f>
        <v/>
      </c>
      <c r="E199" s="52">
        <f>IF($B199="","",SUMIFS(Grids!$BQ$160:$EC$219,Grids!$EE$160:$GQ$219,"&gt;="&amp;$B199*1000000000,Grids!$EE$160:$GQ$219,"&lt;"&amp;($B199+1)*1000000000))</f>
        <v/>
      </c>
      <c r="F199" s="53">
        <f>IF($B199="","",SUM($C$26:$C199))</f>
        <v/>
      </c>
      <c r="G199" s="53">
        <f>IF($B199="","",SUM($D$26:$D199))</f>
        <v/>
      </c>
      <c r="H199" s="53">
        <f>IF($B199="","",SUM($E$26:$E199))</f>
        <v/>
      </c>
    </row>
    <row r="200">
      <c r="B200" s="51">
        <f>IF(DATE(YEAR_Y,1,1)+174&gt;DATE(YEAR_Y,12,31),"",DATE(YEAR_Y,1,1)+174)</f>
        <v/>
      </c>
      <c r="C200" s="52">
        <f>IF($B200="","",SUMIFS(Grids!$BQ$12:$EC$111,Grids!$EE$12:$GQ$111,"&gt;="&amp;$B200*1000000000,Grids!$EE$12:$GQ$111,"&lt;"&amp;($B200+1)*1000000000))</f>
        <v/>
      </c>
      <c r="D200" s="52">
        <f>IF($B200="","",SUMIFS(Grids!$BQ$116:$EC$155,Grids!$EE$116:$GQ$155,"&gt;="&amp;$B200*1000000000,Grids!$EE$116:$GQ$155,"&lt;"&amp;($B200+1)*1000000000))</f>
        <v/>
      </c>
      <c r="E200" s="52">
        <f>IF($B200="","",SUMIFS(Grids!$BQ$160:$EC$219,Grids!$EE$160:$GQ$219,"&gt;="&amp;$B200*1000000000,Grids!$EE$160:$GQ$219,"&lt;"&amp;($B200+1)*1000000000))</f>
        <v/>
      </c>
      <c r="F200" s="53">
        <f>IF($B200="","",SUM($C$26:$C200))</f>
        <v/>
      </c>
      <c r="G200" s="53">
        <f>IF($B200="","",SUM($D$26:$D200))</f>
        <v/>
      </c>
      <c r="H200" s="53">
        <f>IF($B200="","",SUM($E$26:$E200))</f>
        <v/>
      </c>
    </row>
    <row r="201">
      <c r="B201" s="51">
        <f>IF(DATE(YEAR_Y,1,1)+175&gt;DATE(YEAR_Y,12,31),"",DATE(YEAR_Y,1,1)+175)</f>
        <v/>
      </c>
      <c r="C201" s="52">
        <f>IF($B201="","",SUMIFS(Grids!$BQ$12:$EC$111,Grids!$EE$12:$GQ$111,"&gt;="&amp;$B201*1000000000,Grids!$EE$12:$GQ$111,"&lt;"&amp;($B201+1)*1000000000))</f>
        <v/>
      </c>
      <c r="D201" s="52">
        <f>IF($B201="","",SUMIFS(Grids!$BQ$116:$EC$155,Grids!$EE$116:$GQ$155,"&gt;="&amp;$B201*1000000000,Grids!$EE$116:$GQ$155,"&lt;"&amp;($B201+1)*1000000000))</f>
        <v/>
      </c>
      <c r="E201" s="52">
        <f>IF($B201="","",SUMIFS(Grids!$BQ$160:$EC$219,Grids!$EE$160:$GQ$219,"&gt;="&amp;$B201*1000000000,Grids!$EE$160:$GQ$219,"&lt;"&amp;($B201+1)*1000000000))</f>
        <v/>
      </c>
      <c r="F201" s="53">
        <f>IF($B201="","",SUM($C$26:$C201))</f>
        <v/>
      </c>
      <c r="G201" s="53">
        <f>IF($B201="","",SUM($D$26:$D201))</f>
        <v/>
      </c>
      <c r="H201" s="53">
        <f>IF($B201="","",SUM($E$26:$E201))</f>
        <v/>
      </c>
    </row>
    <row r="202">
      <c r="B202" s="51">
        <f>IF(DATE(YEAR_Y,1,1)+176&gt;DATE(YEAR_Y,12,31),"",DATE(YEAR_Y,1,1)+176)</f>
        <v/>
      </c>
      <c r="C202" s="52">
        <f>IF($B202="","",SUMIFS(Grids!$BQ$12:$EC$111,Grids!$EE$12:$GQ$111,"&gt;="&amp;$B202*1000000000,Grids!$EE$12:$GQ$111,"&lt;"&amp;($B202+1)*1000000000))</f>
        <v/>
      </c>
      <c r="D202" s="52">
        <f>IF($B202="","",SUMIFS(Grids!$BQ$116:$EC$155,Grids!$EE$116:$GQ$155,"&gt;="&amp;$B202*1000000000,Grids!$EE$116:$GQ$155,"&lt;"&amp;($B202+1)*1000000000))</f>
        <v/>
      </c>
      <c r="E202" s="52">
        <f>IF($B202="","",SUMIFS(Grids!$BQ$160:$EC$219,Grids!$EE$160:$GQ$219,"&gt;="&amp;$B202*1000000000,Grids!$EE$160:$GQ$219,"&lt;"&amp;($B202+1)*1000000000))</f>
        <v/>
      </c>
      <c r="F202" s="53">
        <f>IF($B202="","",SUM($C$26:$C202))</f>
        <v/>
      </c>
      <c r="G202" s="53">
        <f>IF($B202="","",SUM($D$26:$D202))</f>
        <v/>
      </c>
      <c r="H202" s="53">
        <f>IF($B202="","",SUM($E$26:$E202))</f>
        <v/>
      </c>
    </row>
    <row r="203">
      <c r="B203" s="51">
        <f>IF(DATE(YEAR_Y,1,1)+177&gt;DATE(YEAR_Y,12,31),"",DATE(YEAR_Y,1,1)+177)</f>
        <v/>
      </c>
      <c r="C203" s="52">
        <f>IF($B203="","",SUMIFS(Grids!$BQ$12:$EC$111,Grids!$EE$12:$GQ$111,"&gt;="&amp;$B203*1000000000,Grids!$EE$12:$GQ$111,"&lt;"&amp;($B203+1)*1000000000))</f>
        <v/>
      </c>
      <c r="D203" s="52">
        <f>IF($B203="","",SUMIFS(Grids!$BQ$116:$EC$155,Grids!$EE$116:$GQ$155,"&gt;="&amp;$B203*1000000000,Grids!$EE$116:$GQ$155,"&lt;"&amp;($B203+1)*1000000000))</f>
        <v/>
      </c>
      <c r="E203" s="52">
        <f>IF($B203="","",SUMIFS(Grids!$BQ$160:$EC$219,Grids!$EE$160:$GQ$219,"&gt;="&amp;$B203*1000000000,Grids!$EE$160:$GQ$219,"&lt;"&amp;($B203+1)*1000000000))</f>
        <v/>
      </c>
      <c r="F203" s="53">
        <f>IF($B203="","",SUM($C$26:$C203))</f>
        <v/>
      </c>
      <c r="G203" s="53">
        <f>IF($B203="","",SUM($D$26:$D203))</f>
        <v/>
      </c>
      <c r="H203" s="53">
        <f>IF($B203="","",SUM($E$26:$E203))</f>
        <v/>
      </c>
    </row>
    <row r="204">
      <c r="B204" s="51">
        <f>IF(DATE(YEAR_Y,1,1)+178&gt;DATE(YEAR_Y,12,31),"",DATE(YEAR_Y,1,1)+178)</f>
        <v/>
      </c>
      <c r="C204" s="52">
        <f>IF($B204="","",SUMIFS(Grids!$BQ$12:$EC$111,Grids!$EE$12:$GQ$111,"&gt;="&amp;$B204*1000000000,Grids!$EE$12:$GQ$111,"&lt;"&amp;($B204+1)*1000000000))</f>
        <v/>
      </c>
      <c r="D204" s="52">
        <f>IF($B204="","",SUMIFS(Grids!$BQ$116:$EC$155,Grids!$EE$116:$GQ$155,"&gt;="&amp;$B204*1000000000,Grids!$EE$116:$GQ$155,"&lt;"&amp;($B204+1)*1000000000))</f>
        <v/>
      </c>
      <c r="E204" s="52">
        <f>IF($B204="","",SUMIFS(Grids!$BQ$160:$EC$219,Grids!$EE$160:$GQ$219,"&gt;="&amp;$B204*1000000000,Grids!$EE$160:$GQ$219,"&lt;"&amp;($B204+1)*1000000000))</f>
        <v/>
      </c>
      <c r="F204" s="53">
        <f>IF($B204="","",SUM($C$26:$C204))</f>
        <v/>
      </c>
      <c r="G204" s="53">
        <f>IF($B204="","",SUM($D$26:$D204))</f>
        <v/>
      </c>
      <c r="H204" s="53">
        <f>IF($B204="","",SUM($E$26:$E204))</f>
        <v/>
      </c>
    </row>
    <row r="205">
      <c r="B205" s="51">
        <f>IF(DATE(YEAR_Y,1,1)+179&gt;DATE(YEAR_Y,12,31),"",DATE(YEAR_Y,1,1)+179)</f>
        <v/>
      </c>
      <c r="C205" s="52">
        <f>IF($B205="","",SUMIFS(Grids!$BQ$12:$EC$111,Grids!$EE$12:$GQ$111,"&gt;="&amp;$B205*1000000000,Grids!$EE$12:$GQ$111,"&lt;"&amp;($B205+1)*1000000000))</f>
        <v/>
      </c>
      <c r="D205" s="52">
        <f>IF($B205="","",SUMIFS(Grids!$BQ$116:$EC$155,Grids!$EE$116:$GQ$155,"&gt;="&amp;$B205*1000000000,Grids!$EE$116:$GQ$155,"&lt;"&amp;($B205+1)*1000000000))</f>
        <v/>
      </c>
      <c r="E205" s="52">
        <f>IF($B205="","",SUMIFS(Grids!$BQ$160:$EC$219,Grids!$EE$160:$GQ$219,"&gt;="&amp;$B205*1000000000,Grids!$EE$160:$GQ$219,"&lt;"&amp;($B205+1)*1000000000))</f>
        <v/>
      </c>
      <c r="F205" s="53">
        <f>IF($B205="","",SUM($C$26:$C205))</f>
        <v/>
      </c>
      <c r="G205" s="53">
        <f>IF($B205="","",SUM($D$26:$D205))</f>
        <v/>
      </c>
      <c r="H205" s="53">
        <f>IF($B205="","",SUM($E$26:$E205))</f>
        <v/>
      </c>
    </row>
    <row r="206">
      <c r="B206" s="51">
        <f>IF(DATE(YEAR_Y,1,1)+180&gt;DATE(YEAR_Y,12,31),"",DATE(YEAR_Y,1,1)+180)</f>
        <v/>
      </c>
      <c r="C206" s="52">
        <f>IF($B206="","",SUMIFS(Grids!$BQ$12:$EC$111,Grids!$EE$12:$GQ$111,"&gt;="&amp;$B206*1000000000,Grids!$EE$12:$GQ$111,"&lt;"&amp;($B206+1)*1000000000))</f>
        <v/>
      </c>
      <c r="D206" s="52">
        <f>IF($B206="","",SUMIFS(Grids!$BQ$116:$EC$155,Grids!$EE$116:$GQ$155,"&gt;="&amp;$B206*1000000000,Grids!$EE$116:$GQ$155,"&lt;"&amp;($B206+1)*1000000000))</f>
        <v/>
      </c>
      <c r="E206" s="52">
        <f>IF($B206="","",SUMIFS(Grids!$BQ$160:$EC$219,Grids!$EE$160:$GQ$219,"&gt;="&amp;$B206*1000000000,Grids!$EE$160:$GQ$219,"&lt;"&amp;($B206+1)*1000000000))</f>
        <v/>
      </c>
      <c r="F206" s="53">
        <f>IF($B206="","",SUM($C$26:$C206))</f>
        <v/>
      </c>
      <c r="G206" s="53">
        <f>IF($B206="","",SUM($D$26:$D206))</f>
        <v/>
      </c>
      <c r="H206" s="53">
        <f>IF($B206="","",SUM($E$26:$E206))</f>
        <v/>
      </c>
    </row>
    <row r="207">
      <c r="B207" s="51">
        <f>IF(DATE(YEAR_Y,1,1)+181&gt;DATE(YEAR_Y,12,31),"",DATE(YEAR_Y,1,1)+181)</f>
        <v/>
      </c>
      <c r="C207" s="52">
        <f>IF($B207="","",SUMIFS(Grids!$BQ$12:$EC$111,Grids!$EE$12:$GQ$111,"&gt;="&amp;$B207*1000000000,Grids!$EE$12:$GQ$111,"&lt;"&amp;($B207+1)*1000000000))</f>
        <v/>
      </c>
      <c r="D207" s="52">
        <f>IF($B207="","",SUMIFS(Grids!$BQ$116:$EC$155,Grids!$EE$116:$GQ$155,"&gt;="&amp;$B207*1000000000,Grids!$EE$116:$GQ$155,"&lt;"&amp;($B207+1)*1000000000))</f>
        <v/>
      </c>
      <c r="E207" s="52">
        <f>IF($B207="","",SUMIFS(Grids!$BQ$160:$EC$219,Grids!$EE$160:$GQ$219,"&gt;="&amp;$B207*1000000000,Grids!$EE$160:$GQ$219,"&lt;"&amp;($B207+1)*1000000000))</f>
        <v/>
      </c>
      <c r="F207" s="53">
        <f>IF($B207="","",SUM($C$26:$C207))</f>
        <v/>
      </c>
      <c r="G207" s="53">
        <f>IF($B207="","",SUM($D$26:$D207))</f>
        <v/>
      </c>
      <c r="H207" s="53">
        <f>IF($B207="","",SUM($E$26:$E207))</f>
        <v/>
      </c>
    </row>
    <row r="208">
      <c r="B208" s="51">
        <f>IF(DATE(YEAR_Y,1,1)+182&gt;DATE(YEAR_Y,12,31),"",DATE(YEAR_Y,1,1)+182)</f>
        <v/>
      </c>
      <c r="C208" s="52">
        <f>IF($B208="","",SUMIFS(Grids!$BQ$12:$EC$111,Grids!$EE$12:$GQ$111,"&gt;="&amp;$B208*1000000000,Grids!$EE$12:$GQ$111,"&lt;"&amp;($B208+1)*1000000000))</f>
        <v/>
      </c>
      <c r="D208" s="52">
        <f>IF($B208="","",SUMIFS(Grids!$BQ$116:$EC$155,Grids!$EE$116:$GQ$155,"&gt;="&amp;$B208*1000000000,Grids!$EE$116:$GQ$155,"&lt;"&amp;($B208+1)*1000000000))</f>
        <v/>
      </c>
      <c r="E208" s="52">
        <f>IF($B208="","",SUMIFS(Grids!$BQ$160:$EC$219,Grids!$EE$160:$GQ$219,"&gt;="&amp;$B208*1000000000,Grids!$EE$160:$GQ$219,"&lt;"&amp;($B208+1)*1000000000))</f>
        <v/>
      </c>
      <c r="F208" s="53">
        <f>IF($B208="","",SUM($C$26:$C208))</f>
        <v/>
      </c>
      <c r="G208" s="53">
        <f>IF($B208="","",SUM($D$26:$D208))</f>
        <v/>
      </c>
      <c r="H208" s="53">
        <f>IF($B208="","",SUM($E$26:$E208))</f>
        <v/>
      </c>
    </row>
    <row r="209">
      <c r="B209" s="51">
        <f>IF(DATE(YEAR_Y,1,1)+183&gt;DATE(YEAR_Y,12,31),"",DATE(YEAR_Y,1,1)+183)</f>
        <v/>
      </c>
      <c r="C209" s="52">
        <f>IF($B209="","",SUMIFS(Grids!$BQ$12:$EC$111,Grids!$EE$12:$GQ$111,"&gt;="&amp;$B209*1000000000,Grids!$EE$12:$GQ$111,"&lt;"&amp;($B209+1)*1000000000))</f>
        <v/>
      </c>
      <c r="D209" s="52">
        <f>IF($B209="","",SUMIFS(Grids!$BQ$116:$EC$155,Grids!$EE$116:$GQ$155,"&gt;="&amp;$B209*1000000000,Grids!$EE$116:$GQ$155,"&lt;"&amp;($B209+1)*1000000000))</f>
        <v/>
      </c>
      <c r="E209" s="52">
        <f>IF($B209="","",SUMIFS(Grids!$BQ$160:$EC$219,Grids!$EE$160:$GQ$219,"&gt;="&amp;$B209*1000000000,Grids!$EE$160:$GQ$219,"&lt;"&amp;($B209+1)*1000000000))</f>
        <v/>
      </c>
      <c r="F209" s="53">
        <f>IF($B209="","",SUM($C$26:$C209))</f>
        <v/>
      </c>
      <c r="G209" s="53">
        <f>IF($B209="","",SUM($D$26:$D209))</f>
        <v/>
      </c>
      <c r="H209" s="53">
        <f>IF($B209="","",SUM($E$26:$E209))</f>
        <v/>
      </c>
    </row>
    <row r="210">
      <c r="B210" s="51">
        <f>IF(DATE(YEAR_Y,1,1)+184&gt;DATE(YEAR_Y,12,31),"",DATE(YEAR_Y,1,1)+184)</f>
        <v/>
      </c>
      <c r="C210" s="52">
        <f>IF($B210="","",SUMIFS(Grids!$BQ$12:$EC$111,Grids!$EE$12:$GQ$111,"&gt;="&amp;$B210*1000000000,Grids!$EE$12:$GQ$111,"&lt;"&amp;($B210+1)*1000000000))</f>
        <v/>
      </c>
      <c r="D210" s="52">
        <f>IF($B210="","",SUMIFS(Grids!$BQ$116:$EC$155,Grids!$EE$116:$GQ$155,"&gt;="&amp;$B210*1000000000,Grids!$EE$116:$GQ$155,"&lt;"&amp;($B210+1)*1000000000))</f>
        <v/>
      </c>
      <c r="E210" s="52">
        <f>IF($B210="","",SUMIFS(Grids!$BQ$160:$EC$219,Grids!$EE$160:$GQ$219,"&gt;="&amp;$B210*1000000000,Grids!$EE$160:$GQ$219,"&lt;"&amp;($B210+1)*1000000000))</f>
        <v/>
      </c>
      <c r="F210" s="53">
        <f>IF($B210="","",SUM($C$26:$C210))</f>
        <v/>
      </c>
      <c r="G210" s="53">
        <f>IF($B210="","",SUM($D$26:$D210))</f>
        <v/>
      </c>
      <c r="H210" s="53">
        <f>IF($B210="","",SUM($E$26:$E210))</f>
        <v/>
      </c>
    </row>
    <row r="211">
      <c r="B211" s="51">
        <f>IF(DATE(YEAR_Y,1,1)+185&gt;DATE(YEAR_Y,12,31),"",DATE(YEAR_Y,1,1)+185)</f>
        <v/>
      </c>
      <c r="C211" s="52">
        <f>IF($B211="","",SUMIFS(Grids!$BQ$12:$EC$111,Grids!$EE$12:$GQ$111,"&gt;="&amp;$B211*1000000000,Grids!$EE$12:$GQ$111,"&lt;"&amp;($B211+1)*1000000000))</f>
        <v/>
      </c>
      <c r="D211" s="52">
        <f>IF($B211="","",SUMIFS(Grids!$BQ$116:$EC$155,Grids!$EE$116:$GQ$155,"&gt;="&amp;$B211*1000000000,Grids!$EE$116:$GQ$155,"&lt;"&amp;($B211+1)*1000000000))</f>
        <v/>
      </c>
      <c r="E211" s="52">
        <f>IF($B211="","",SUMIFS(Grids!$BQ$160:$EC$219,Grids!$EE$160:$GQ$219,"&gt;="&amp;$B211*1000000000,Grids!$EE$160:$GQ$219,"&lt;"&amp;($B211+1)*1000000000))</f>
        <v/>
      </c>
      <c r="F211" s="53">
        <f>IF($B211="","",SUM($C$26:$C211))</f>
        <v/>
      </c>
      <c r="G211" s="53">
        <f>IF($B211="","",SUM($D$26:$D211))</f>
        <v/>
      </c>
      <c r="H211" s="53">
        <f>IF($B211="","",SUM($E$26:$E211))</f>
        <v/>
      </c>
    </row>
    <row r="212">
      <c r="B212" s="51">
        <f>IF(DATE(YEAR_Y,1,1)+186&gt;DATE(YEAR_Y,12,31),"",DATE(YEAR_Y,1,1)+186)</f>
        <v/>
      </c>
      <c r="C212" s="52">
        <f>IF($B212="","",SUMIFS(Grids!$BQ$12:$EC$111,Grids!$EE$12:$GQ$111,"&gt;="&amp;$B212*1000000000,Grids!$EE$12:$GQ$111,"&lt;"&amp;($B212+1)*1000000000))</f>
        <v/>
      </c>
      <c r="D212" s="52">
        <f>IF($B212="","",SUMIFS(Grids!$BQ$116:$EC$155,Grids!$EE$116:$GQ$155,"&gt;="&amp;$B212*1000000000,Grids!$EE$116:$GQ$155,"&lt;"&amp;($B212+1)*1000000000))</f>
        <v/>
      </c>
      <c r="E212" s="52">
        <f>IF($B212="","",SUMIFS(Grids!$BQ$160:$EC$219,Grids!$EE$160:$GQ$219,"&gt;="&amp;$B212*1000000000,Grids!$EE$160:$GQ$219,"&lt;"&amp;($B212+1)*1000000000))</f>
        <v/>
      </c>
      <c r="F212" s="53">
        <f>IF($B212="","",SUM($C$26:$C212))</f>
        <v/>
      </c>
      <c r="G212" s="53">
        <f>IF($B212="","",SUM($D$26:$D212))</f>
        <v/>
      </c>
      <c r="H212" s="53">
        <f>IF($B212="","",SUM($E$26:$E212))</f>
        <v/>
      </c>
    </row>
    <row r="213">
      <c r="B213" s="51">
        <f>IF(DATE(YEAR_Y,1,1)+187&gt;DATE(YEAR_Y,12,31),"",DATE(YEAR_Y,1,1)+187)</f>
        <v/>
      </c>
      <c r="C213" s="52">
        <f>IF($B213="","",SUMIFS(Grids!$BQ$12:$EC$111,Grids!$EE$12:$GQ$111,"&gt;="&amp;$B213*1000000000,Grids!$EE$12:$GQ$111,"&lt;"&amp;($B213+1)*1000000000))</f>
        <v/>
      </c>
      <c r="D213" s="52">
        <f>IF($B213="","",SUMIFS(Grids!$BQ$116:$EC$155,Grids!$EE$116:$GQ$155,"&gt;="&amp;$B213*1000000000,Grids!$EE$116:$GQ$155,"&lt;"&amp;($B213+1)*1000000000))</f>
        <v/>
      </c>
      <c r="E213" s="52">
        <f>IF($B213="","",SUMIFS(Grids!$BQ$160:$EC$219,Grids!$EE$160:$GQ$219,"&gt;="&amp;$B213*1000000000,Grids!$EE$160:$GQ$219,"&lt;"&amp;($B213+1)*1000000000))</f>
        <v/>
      </c>
      <c r="F213" s="53">
        <f>IF($B213="","",SUM($C$26:$C213))</f>
        <v/>
      </c>
      <c r="G213" s="53">
        <f>IF($B213="","",SUM($D$26:$D213))</f>
        <v/>
      </c>
      <c r="H213" s="53">
        <f>IF($B213="","",SUM($E$26:$E213))</f>
        <v/>
      </c>
    </row>
    <row r="214">
      <c r="B214" s="51">
        <f>IF(DATE(YEAR_Y,1,1)+188&gt;DATE(YEAR_Y,12,31),"",DATE(YEAR_Y,1,1)+188)</f>
        <v/>
      </c>
      <c r="C214" s="52">
        <f>IF($B214="","",SUMIFS(Grids!$BQ$12:$EC$111,Grids!$EE$12:$GQ$111,"&gt;="&amp;$B214*1000000000,Grids!$EE$12:$GQ$111,"&lt;"&amp;($B214+1)*1000000000))</f>
        <v/>
      </c>
      <c r="D214" s="52">
        <f>IF($B214="","",SUMIFS(Grids!$BQ$116:$EC$155,Grids!$EE$116:$GQ$155,"&gt;="&amp;$B214*1000000000,Grids!$EE$116:$GQ$155,"&lt;"&amp;($B214+1)*1000000000))</f>
        <v/>
      </c>
      <c r="E214" s="52">
        <f>IF($B214="","",SUMIFS(Grids!$BQ$160:$EC$219,Grids!$EE$160:$GQ$219,"&gt;="&amp;$B214*1000000000,Grids!$EE$160:$GQ$219,"&lt;"&amp;($B214+1)*1000000000))</f>
        <v/>
      </c>
      <c r="F214" s="53">
        <f>IF($B214="","",SUM($C$26:$C214))</f>
        <v/>
      </c>
      <c r="G214" s="53">
        <f>IF($B214="","",SUM($D$26:$D214))</f>
        <v/>
      </c>
      <c r="H214" s="53">
        <f>IF($B214="","",SUM($E$26:$E214))</f>
        <v/>
      </c>
    </row>
    <row r="215">
      <c r="B215" s="51">
        <f>IF(DATE(YEAR_Y,1,1)+189&gt;DATE(YEAR_Y,12,31),"",DATE(YEAR_Y,1,1)+189)</f>
        <v/>
      </c>
      <c r="C215" s="52">
        <f>IF($B215="","",SUMIFS(Grids!$BQ$12:$EC$111,Grids!$EE$12:$GQ$111,"&gt;="&amp;$B215*1000000000,Grids!$EE$12:$GQ$111,"&lt;"&amp;($B215+1)*1000000000))</f>
        <v/>
      </c>
      <c r="D215" s="52">
        <f>IF($B215="","",SUMIFS(Grids!$BQ$116:$EC$155,Grids!$EE$116:$GQ$155,"&gt;="&amp;$B215*1000000000,Grids!$EE$116:$GQ$155,"&lt;"&amp;($B215+1)*1000000000))</f>
        <v/>
      </c>
      <c r="E215" s="52">
        <f>IF($B215="","",SUMIFS(Grids!$BQ$160:$EC$219,Grids!$EE$160:$GQ$219,"&gt;="&amp;$B215*1000000000,Grids!$EE$160:$GQ$219,"&lt;"&amp;($B215+1)*1000000000))</f>
        <v/>
      </c>
      <c r="F215" s="53">
        <f>IF($B215="","",SUM($C$26:$C215))</f>
        <v/>
      </c>
      <c r="G215" s="53">
        <f>IF($B215="","",SUM($D$26:$D215))</f>
        <v/>
      </c>
      <c r="H215" s="53">
        <f>IF($B215="","",SUM($E$26:$E215))</f>
        <v/>
      </c>
    </row>
    <row r="216">
      <c r="B216" s="51">
        <f>IF(DATE(YEAR_Y,1,1)+190&gt;DATE(YEAR_Y,12,31),"",DATE(YEAR_Y,1,1)+190)</f>
        <v/>
      </c>
      <c r="C216" s="52">
        <f>IF($B216="","",SUMIFS(Grids!$BQ$12:$EC$111,Grids!$EE$12:$GQ$111,"&gt;="&amp;$B216*1000000000,Grids!$EE$12:$GQ$111,"&lt;"&amp;($B216+1)*1000000000))</f>
        <v/>
      </c>
      <c r="D216" s="52">
        <f>IF($B216="","",SUMIFS(Grids!$BQ$116:$EC$155,Grids!$EE$116:$GQ$155,"&gt;="&amp;$B216*1000000000,Grids!$EE$116:$GQ$155,"&lt;"&amp;($B216+1)*1000000000))</f>
        <v/>
      </c>
      <c r="E216" s="52">
        <f>IF($B216="","",SUMIFS(Grids!$BQ$160:$EC$219,Grids!$EE$160:$GQ$219,"&gt;="&amp;$B216*1000000000,Grids!$EE$160:$GQ$219,"&lt;"&amp;($B216+1)*1000000000))</f>
        <v/>
      </c>
      <c r="F216" s="53">
        <f>IF($B216="","",SUM($C$26:$C216))</f>
        <v/>
      </c>
      <c r="G216" s="53">
        <f>IF($B216="","",SUM($D$26:$D216))</f>
        <v/>
      </c>
      <c r="H216" s="53">
        <f>IF($B216="","",SUM($E$26:$E216))</f>
        <v/>
      </c>
    </row>
    <row r="217">
      <c r="B217" s="51">
        <f>IF(DATE(YEAR_Y,1,1)+191&gt;DATE(YEAR_Y,12,31),"",DATE(YEAR_Y,1,1)+191)</f>
        <v/>
      </c>
      <c r="C217" s="52">
        <f>IF($B217="","",SUMIFS(Grids!$BQ$12:$EC$111,Grids!$EE$12:$GQ$111,"&gt;="&amp;$B217*1000000000,Grids!$EE$12:$GQ$111,"&lt;"&amp;($B217+1)*1000000000))</f>
        <v/>
      </c>
      <c r="D217" s="52">
        <f>IF($B217="","",SUMIFS(Grids!$BQ$116:$EC$155,Grids!$EE$116:$GQ$155,"&gt;="&amp;$B217*1000000000,Grids!$EE$116:$GQ$155,"&lt;"&amp;($B217+1)*1000000000))</f>
        <v/>
      </c>
      <c r="E217" s="52">
        <f>IF($B217="","",SUMIFS(Grids!$BQ$160:$EC$219,Grids!$EE$160:$GQ$219,"&gt;="&amp;$B217*1000000000,Grids!$EE$160:$GQ$219,"&lt;"&amp;($B217+1)*1000000000))</f>
        <v/>
      </c>
      <c r="F217" s="53">
        <f>IF($B217="","",SUM($C$26:$C217))</f>
        <v/>
      </c>
      <c r="G217" s="53">
        <f>IF($B217="","",SUM($D$26:$D217))</f>
        <v/>
      </c>
      <c r="H217" s="53">
        <f>IF($B217="","",SUM($E$26:$E217))</f>
        <v/>
      </c>
    </row>
    <row r="218">
      <c r="B218" s="51">
        <f>IF(DATE(YEAR_Y,1,1)+192&gt;DATE(YEAR_Y,12,31),"",DATE(YEAR_Y,1,1)+192)</f>
        <v/>
      </c>
      <c r="C218" s="52">
        <f>IF($B218="","",SUMIFS(Grids!$BQ$12:$EC$111,Grids!$EE$12:$GQ$111,"&gt;="&amp;$B218*1000000000,Grids!$EE$12:$GQ$111,"&lt;"&amp;($B218+1)*1000000000))</f>
        <v/>
      </c>
      <c r="D218" s="52">
        <f>IF($B218="","",SUMIFS(Grids!$BQ$116:$EC$155,Grids!$EE$116:$GQ$155,"&gt;="&amp;$B218*1000000000,Grids!$EE$116:$GQ$155,"&lt;"&amp;($B218+1)*1000000000))</f>
        <v/>
      </c>
      <c r="E218" s="52">
        <f>IF($B218="","",SUMIFS(Grids!$BQ$160:$EC$219,Grids!$EE$160:$GQ$219,"&gt;="&amp;$B218*1000000000,Grids!$EE$160:$GQ$219,"&lt;"&amp;($B218+1)*1000000000))</f>
        <v/>
      </c>
      <c r="F218" s="53">
        <f>IF($B218="","",SUM($C$26:$C218))</f>
        <v/>
      </c>
      <c r="G218" s="53">
        <f>IF($B218="","",SUM($D$26:$D218))</f>
        <v/>
      </c>
      <c r="H218" s="53">
        <f>IF($B218="","",SUM($E$26:$E218))</f>
        <v/>
      </c>
    </row>
    <row r="219">
      <c r="B219" s="51">
        <f>IF(DATE(YEAR_Y,1,1)+193&gt;DATE(YEAR_Y,12,31),"",DATE(YEAR_Y,1,1)+193)</f>
        <v/>
      </c>
      <c r="C219" s="52">
        <f>IF($B219="","",SUMIFS(Grids!$BQ$12:$EC$111,Grids!$EE$12:$GQ$111,"&gt;="&amp;$B219*1000000000,Grids!$EE$12:$GQ$111,"&lt;"&amp;($B219+1)*1000000000))</f>
        <v/>
      </c>
      <c r="D219" s="52">
        <f>IF($B219="","",SUMIFS(Grids!$BQ$116:$EC$155,Grids!$EE$116:$GQ$155,"&gt;="&amp;$B219*1000000000,Grids!$EE$116:$GQ$155,"&lt;"&amp;($B219+1)*1000000000))</f>
        <v/>
      </c>
      <c r="E219" s="52">
        <f>IF($B219="","",SUMIFS(Grids!$BQ$160:$EC$219,Grids!$EE$160:$GQ$219,"&gt;="&amp;$B219*1000000000,Grids!$EE$160:$GQ$219,"&lt;"&amp;($B219+1)*1000000000))</f>
        <v/>
      </c>
      <c r="F219" s="53">
        <f>IF($B219="","",SUM($C$26:$C219))</f>
        <v/>
      </c>
      <c r="G219" s="53">
        <f>IF($B219="","",SUM($D$26:$D219))</f>
        <v/>
      </c>
      <c r="H219" s="53">
        <f>IF($B219="","",SUM($E$26:$E219))</f>
        <v/>
      </c>
    </row>
    <row r="220">
      <c r="B220" s="51">
        <f>IF(DATE(YEAR_Y,1,1)+194&gt;DATE(YEAR_Y,12,31),"",DATE(YEAR_Y,1,1)+194)</f>
        <v/>
      </c>
      <c r="C220" s="52">
        <f>IF($B220="","",SUMIFS(Grids!$BQ$12:$EC$111,Grids!$EE$12:$GQ$111,"&gt;="&amp;$B220*1000000000,Grids!$EE$12:$GQ$111,"&lt;"&amp;($B220+1)*1000000000))</f>
        <v/>
      </c>
      <c r="D220" s="52">
        <f>IF($B220="","",SUMIFS(Grids!$BQ$116:$EC$155,Grids!$EE$116:$GQ$155,"&gt;="&amp;$B220*1000000000,Grids!$EE$116:$GQ$155,"&lt;"&amp;($B220+1)*1000000000))</f>
        <v/>
      </c>
      <c r="E220" s="52">
        <f>IF($B220="","",SUMIFS(Grids!$BQ$160:$EC$219,Grids!$EE$160:$GQ$219,"&gt;="&amp;$B220*1000000000,Grids!$EE$160:$GQ$219,"&lt;"&amp;($B220+1)*1000000000))</f>
        <v/>
      </c>
      <c r="F220" s="53">
        <f>IF($B220="","",SUM($C$26:$C220))</f>
        <v/>
      </c>
      <c r="G220" s="53">
        <f>IF($B220="","",SUM($D$26:$D220))</f>
        <v/>
      </c>
      <c r="H220" s="53">
        <f>IF($B220="","",SUM($E$26:$E220))</f>
        <v/>
      </c>
    </row>
    <row r="221">
      <c r="B221" s="51">
        <f>IF(DATE(YEAR_Y,1,1)+195&gt;DATE(YEAR_Y,12,31),"",DATE(YEAR_Y,1,1)+195)</f>
        <v/>
      </c>
      <c r="C221" s="52">
        <f>IF($B221="","",SUMIFS(Grids!$BQ$12:$EC$111,Grids!$EE$12:$GQ$111,"&gt;="&amp;$B221*1000000000,Grids!$EE$12:$GQ$111,"&lt;"&amp;($B221+1)*1000000000))</f>
        <v/>
      </c>
      <c r="D221" s="52">
        <f>IF($B221="","",SUMIFS(Grids!$BQ$116:$EC$155,Grids!$EE$116:$GQ$155,"&gt;="&amp;$B221*1000000000,Grids!$EE$116:$GQ$155,"&lt;"&amp;($B221+1)*1000000000))</f>
        <v/>
      </c>
      <c r="E221" s="52">
        <f>IF($B221="","",SUMIFS(Grids!$BQ$160:$EC$219,Grids!$EE$160:$GQ$219,"&gt;="&amp;$B221*1000000000,Grids!$EE$160:$GQ$219,"&lt;"&amp;($B221+1)*1000000000))</f>
        <v/>
      </c>
      <c r="F221" s="53">
        <f>IF($B221="","",SUM($C$26:$C221))</f>
        <v/>
      </c>
      <c r="G221" s="53">
        <f>IF($B221="","",SUM($D$26:$D221))</f>
        <v/>
      </c>
      <c r="H221" s="53">
        <f>IF($B221="","",SUM($E$26:$E221))</f>
        <v/>
      </c>
    </row>
    <row r="222">
      <c r="B222" s="51">
        <f>IF(DATE(YEAR_Y,1,1)+196&gt;DATE(YEAR_Y,12,31),"",DATE(YEAR_Y,1,1)+196)</f>
        <v/>
      </c>
      <c r="C222" s="52">
        <f>IF($B222="","",SUMIFS(Grids!$BQ$12:$EC$111,Grids!$EE$12:$GQ$111,"&gt;="&amp;$B222*1000000000,Grids!$EE$12:$GQ$111,"&lt;"&amp;($B222+1)*1000000000))</f>
        <v/>
      </c>
      <c r="D222" s="52">
        <f>IF($B222="","",SUMIFS(Grids!$BQ$116:$EC$155,Grids!$EE$116:$GQ$155,"&gt;="&amp;$B222*1000000000,Grids!$EE$116:$GQ$155,"&lt;"&amp;($B222+1)*1000000000))</f>
        <v/>
      </c>
      <c r="E222" s="52">
        <f>IF($B222="","",SUMIFS(Grids!$BQ$160:$EC$219,Grids!$EE$160:$GQ$219,"&gt;="&amp;$B222*1000000000,Grids!$EE$160:$GQ$219,"&lt;"&amp;($B222+1)*1000000000))</f>
        <v/>
      </c>
      <c r="F222" s="53">
        <f>IF($B222="","",SUM($C$26:$C222))</f>
        <v/>
      </c>
      <c r="G222" s="53">
        <f>IF($B222="","",SUM($D$26:$D222))</f>
        <v/>
      </c>
      <c r="H222" s="53">
        <f>IF($B222="","",SUM($E$26:$E222))</f>
        <v/>
      </c>
    </row>
    <row r="223">
      <c r="B223" s="51">
        <f>IF(DATE(YEAR_Y,1,1)+197&gt;DATE(YEAR_Y,12,31),"",DATE(YEAR_Y,1,1)+197)</f>
        <v/>
      </c>
      <c r="C223" s="52">
        <f>IF($B223="","",SUMIFS(Grids!$BQ$12:$EC$111,Grids!$EE$12:$GQ$111,"&gt;="&amp;$B223*1000000000,Grids!$EE$12:$GQ$111,"&lt;"&amp;($B223+1)*1000000000))</f>
        <v/>
      </c>
      <c r="D223" s="52">
        <f>IF($B223="","",SUMIFS(Grids!$BQ$116:$EC$155,Grids!$EE$116:$GQ$155,"&gt;="&amp;$B223*1000000000,Grids!$EE$116:$GQ$155,"&lt;"&amp;($B223+1)*1000000000))</f>
        <v/>
      </c>
      <c r="E223" s="52">
        <f>IF($B223="","",SUMIFS(Grids!$BQ$160:$EC$219,Grids!$EE$160:$GQ$219,"&gt;="&amp;$B223*1000000000,Grids!$EE$160:$GQ$219,"&lt;"&amp;($B223+1)*1000000000))</f>
        <v/>
      </c>
      <c r="F223" s="53">
        <f>IF($B223="","",SUM($C$26:$C223))</f>
        <v/>
      </c>
      <c r="G223" s="53">
        <f>IF($B223="","",SUM($D$26:$D223))</f>
        <v/>
      </c>
      <c r="H223" s="53">
        <f>IF($B223="","",SUM($E$26:$E223))</f>
        <v/>
      </c>
    </row>
    <row r="224">
      <c r="B224" s="51">
        <f>IF(DATE(YEAR_Y,1,1)+198&gt;DATE(YEAR_Y,12,31),"",DATE(YEAR_Y,1,1)+198)</f>
        <v/>
      </c>
      <c r="C224" s="52">
        <f>IF($B224="","",SUMIFS(Grids!$BQ$12:$EC$111,Grids!$EE$12:$GQ$111,"&gt;="&amp;$B224*1000000000,Grids!$EE$12:$GQ$111,"&lt;"&amp;($B224+1)*1000000000))</f>
        <v/>
      </c>
      <c r="D224" s="52">
        <f>IF($B224="","",SUMIFS(Grids!$BQ$116:$EC$155,Grids!$EE$116:$GQ$155,"&gt;="&amp;$B224*1000000000,Grids!$EE$116:$GQ$155,"&lt;"&amp;($B224+1)*1000000000))</f>
        <v/>
      </c>
      <c r="E224" s="52">
        <f>IF($B224="","",SUMIFS(Grids!$BQ$160:$EC$219,Grids!$EE$160:$GQ$219,"&gt;="&amp;$B224*1000000000,Grids!$EE$160:$GQ$219,"&lt;"&amp;($B224+1)*1000000000))</f>
        <v/>
      </c>
      <c r="F224" s="53">
        <f>IF($B224="","",SUM($C$26:$C224))</f>
        <v/>
      </c>
      <c r="G224" s="53">
        <f>IF($B224="","",SUM($D$26:$D224))</f>
        <v/>
      </c>
      <c r="H224" s="53">
        <f>IF($B224="","",SUM($E$26:$E224))</f>
        <v/>
      </c>
    </row>
    <row r="225">
      <c r="B225" s="51">
        <f>IF(DATE(YEAR_Y,1,1)+199&gt;DATE(YEAR_Y,12,31),"",DATE(YEAR_Y,1,1)+199)</f>
        <v/>
      </c>
      <c r="C225" s="52">
        <f>IF($B225="","",SUMIFS(Grids!$BQ$12:$EC$111,Grids!$EE$12:$GQ$111,"&gt;="&amp;$B225*1000000000,Grids!$EE$12:$GQ$111,"&lt;"&amp;($B225+1)*1000000000))</f>
        <v/>
      </c>
      <c r="D225" s="52">
        <f>IF($B225="","",SUMIFS(Grids!$BQ$116:$EC$155,Grids!$EE$116:$GQ$155,"&gt;="&amp;$B225*1000000000,Grids!$EE$116:$GQ$155,"&lt;"&amp;($B225+1)*1000000000))</f>
        <v/>
      </c>
      <c r="E225" s="52">
        <f>IF($B225="","",SUMIFS(Grids!$BQ$160:$EC$219,Grids!$EE$160:$GQ$219,"&gt;="&amp;$B225*1000000000,Grids!$EE$160:$GQ$219,"&lt;"&amp;($B225+1)*1000000000))</f>
        <v/>
      </c>
      <c r="F225" s="53">
        <f>IF($B225="","",SUM($C$26:$C225))</f>
        <v/>
      </c>
      <c r="G225" s="53">
        <f>IF($B225="","",SUM($D$26:$D225))</f>
        <v/>
      </c>
      <c r="H225" s="53">
        <f>IF($B225="","",SUM($E$26:$E225))</f>
        <v/>
      </c>
    </row>
    <row r="226">
      <c r="B226" s="51">
        <f>IF(DATE(YEAR_Y,1,1)+200&gt;DATE(YEAR_Y,12,31),"",DATE(YEAR_Y,1,1)+200)</f>
        <v/>
      </c>
      <c r="C226" s="52">
        <f>IF($B226="","",SUMIFS(Grids!$BQ$12:$EC$111,Grids!$EE$12:$GQ$111,"&gt;="&amp;$B226*1000000000,Grids!$EE$12:$GQ$111,"&lt;"&amp;($B226+1)*1000000000))</f>
        <v/>
      </c>
      <c r="D226" s="52">
        <f>IF($B226="","",SUMIFS(Grids!$BQ$116:$EC$155,Grids!$EE$116:$GQ$155,"&gt;="&amp;$B226*1000000000,Grids!$EE$116:$GQ$155,"&lt;"&amp;($B226+1)*1000000000))</f>
        <v/>
      </c>
      <c r="E226" s="52">
        <f>IF($B226="","",SUMIFS(Grids!$BQ$160:$EC$219,Grids!$EE$160:$GQ$219,"&gt;="&amp;$B226*1000000000,Grids!$EE$160:$GQ$219,"&lt;"&amp;($B226+1)*1000000000))</f>
        <v/>
      </c>
      <c r="F226" s="53">
        <f>IF($B226="","",SUM($C$26:$C226))</f>
        <v/>
      </c>
      <c r="G226" s="53">
        <f>IF($B226="","",SUM($D$26:$D226))</f>
        <v/>
      </c>
      <c r="H226" s="53">
        <f>IF($B226="","",SUM($E$26:$E226))</f>
        <v/>
      </c>
    </row>
    <row r="227">
      <c r="B227" s="51">
        <f>IF(DATE(YEAR_Y,1,1)+201&gt;DATE(YEAR_Y,12,31),"",DATE(YEAR_Y,1,1)+201)</f>
        <v/>
      </c>
      <c r="C227" s="52">
        <f>IF($B227="","",SUMIFS(Grids!$BQ$12:$EC$111,Grids!$EE$12:$GQ$111,"&gt;="&amp;$B227*1000000000,Grids!$EE$12:$GQ$111,"&lt;"&amp;($B227+1)*1000000000))</f>
        <v/>
      </c>
      <c r="D227" s="52">
        <f>IF($B227="","",SUMIFS(Grids!$BQ$116:$EC$155,Grids!$EE$116:$GQ$155,"&gt;="&amp;$B227*1000000000,Grids!$EE$116:$GQ$155,"&lt;"&amp;($B227+1)*1000000000))</f>
        <v/>
      </c>
      <c r="E227" s="52">
        <f>IF($B227="","",SUMIFS(Grids!$BQ$160:$EC$219,Grids!$EE$160:$GQ$219,"&gt;="&amp;$B227*1000000000,Grids!$EE$160:$GQ$219,"&lt;"&amp;($B227+1)*1000000000))</f>
        <v/>
      </c>
      <c r="F227" s="53">
        <f>IF($B227="","",SUM($C$26:$C227))</f>
        <v/>
      </c>
      <c r="G227" s="53">
        <f>IF($B227="","",SUM($D$26:$D227))</f>
        <v/>
      </c>
      <c r="H227" s="53">
        <f>IF($B227="","",SUM($E$26:$E227))</f>
        <v/>
      </c>
    </row>
    <row r="228">
      <c r="B228" s="51">
        <f>IF(DATE(YEAR_Y,1,1)+202&gt;DATE(YEAR_Y,12,31),"",DATE(YEAR_Y,1,1)+202)</f>
        <v/>
      </c>
      <c r="C228" s="52">
        <f>IF($B228="","",SUMIFS(Grids!$BQ$12:$EC$111,Grids!$EE$12:$GQ$111,"&gt;="&amp;$B228*1000000000,Grids!$EE$12:$GQ$111,"&lt;"&amp;($B228+1)*1000000000))</f>
        <v/>
      </c>
      <c r="D228" s="52">
        <f>IF($B228="","",SUMIFS(Grids!$BQ$116:$EC$155,Grids!$EE$116:$GQ$155,"&gt;="&amp;$B228*1000000000,Grids!$EE$116:$GQ$155,"&lt;"&amp;($B228+1)*1000000000))</f>
        <v/>
      </c>
      <c r="E228" s="52">
        <f>IF($B228="","",SUMIFS(Grids!$BQ$160:$EC$219,Grids!$EE$160:$GQ$219,"&gt;="&amp;$B228*1000000000,Grids!$EE$160:$GQ$219,"&lt;"&amp;($B228+1)*1000000000))</f>
        <v/>
      </c>
      <c r="F228" s="53">
        <f>IF($B228="","",SUM($C$26:$C228))</f>
        <v/>
      </c>
      <c r="G228" s="53">
        <f>IF($B228="","",SUM($D$26:$D228))</f>
        <v/>
      </c>
      <c r="H228" s="53">
        <f>IF($B228="","",SUM($E$26:$E228))</f>
        <v/>
      </c>
    </row>
    <row r="229">
      <c r="B229" s="51">
        <f>IF(DATE(YEAR_Y,1,1)+203&gt;DATE(YEAR_Y,12,31),"",DATE(YEAR_Y,1,1)+203)</f>
        <v/>
      </c>
      <c r="C229" s="52">
        <f>IF($B229="","",SUMIFS(Grids!$BQ$12:$EC$111,Grids!$EE$12:$GQ$111,"&gt;="&amp;$B229*1000000000,Grids!$EE$12:$GQ$111,"&lt;"&amp;($B229+1)*1000000000))</f>
        <v/>
      </c>
      <c r="D229" s="52">
        <f>IF($B229="","",SUMIFS(Grids!$BQ$116:$EC$155,Grids!$EE$116:$GQ$155,"&gt;="&amp;$B229*1000000000,Grids!$EE$116:$GQ$155,"&lt;"&amp;($B229+1)*1000000000))</f>
        <v/>
      </c>
      <c r="E229" s="52">
        <f>IF($B229="","",SUMIFS(Grids!$BQ$160:$EC$219,Grids!$EE$160:$GQ$219,"&gt;="&amp;$B229*1000000000,Grids!$EE$160:$GQ$219,"&lt;"&amp;($B229+1)*1000000000))</f>
        <v/>
      </c>
      <c r="F229" s="53">
        <f>IF($B229="","",SUM($C$26:$C229))</f>
        <v/>
      </c>
      <c r="G229" s="53">
        <f>IF($B229="","",SUM($D$26:$D229))</f>
        <v/>
      </c>
      <c r="H229" s="53">
        <f>IF($B229="","",SUM($E$26:$E229))</f>
        <v/>
      </c>
    </row>
    <row r="230">
      <c r="B230" s="51">
        <f>IF(DATE(YEAR_Y,1,1)+204&gt;DATE(YEAR_Y,12,31),"",DATE(YEAR_Y,1,1)+204)</f>
        <v/>
      </c>
      <c r="C230" s="52">
        <f>IF($B230="","",SUMIFS(Grids!$BQ$12:$EC$111,Grids!$EE$12:$GQ$111,"&gt;="&amp;$B230*1000000000,Grids!$EE$12:$GQ$111,"&lt;"&amp;($B230+1)*1000000000))</f>
        <v/>
      </c>
      <c r="D230" s="52">
        <f>IF($B230="","",SUMIFS(Grids!$BQ$116:$EC$155,Grids!$EE$116:$GQ$155,"&gt;="&amp;$B230*1000000000,Grids!$EE$116:$GQ$155,"&lt;"&amp;($B230+1)*1000000000))</f>
        <v/>
      </c>
      <c r="E230" s="52">
        <f>IF($B230="","",SUMIFS(Grids!$BQ$160:$EC$219,Grids!$EE$160:$GQ$219,"&gt;="&amp;$B230*1000000000,Grids!$EE$160:$GQ$219,"&lt;"&amp;($B230+1)*1000000000))</f>
        <v/>
      </c>
      <c r="F230" s="53">
        <f>IF($B230="","",SUM($C$26:$C230))</f>
        <v/>
      </c>
      <c r="G230" s="53">
        <f>IF($B230="","",SUM($D$26:$D230))</f>
        <v/>
      </c>
      <c r="H230" s="53">
        <f>IF($B230="","",SUM($E$26:$E230))</f>
        <v/>
      </c>
    </row>
    <row r="231">
      <c r="B231" s="51">
        <f>IF(DATE(YEAR_Y,1,1)+205&gt;DATE(YEAR_Y,12,31),"",DATE(YEAR_Y,1,1)+205)</f>
        <v/>
      </c>
      <c r="C231" s="52">
        <f>IF($B231="","",SUMIFS(Grids!$BQ$12:$EC$111,Grids!$EE$12:$GQ$111,"&gt;="&amp;$B231*1000000000,Grids!$EE$12:$GQ$111,"&lt;"&amp;($B231+1)*1000000000))</f>
        <v/>
      </c>
      <c r="D231" s="52">
        <f>IF($B231="","",SUMIFS(Grids!$BQ$116:$EC$155,Grids!$EE$116:$GQ$155,"&gt;="&amp;$B231*1000000000,Grids!$EE$116:$GQ$155,"&lt;"&amp;($B231+1)*1000000000))</f>
        <v/>
      </c>
      <c r="E231" s="52">
        <f>IF($B231="","",SUMIFS(Grids!$BQ$160:$EC$219,Grids!$EE$160:$GQ$219,"&gt;="&amp;$B231*1000000000,Grids!$EE$160:$GQ$219,"&lt;"&amp;($B231+1)*1000000000))</f>
        <v/>
      </c>
      <c r="F231" s="53">
        <f>IF($B231="","",SUM($C$26:$C231))</f>
        <v/>
      </c>
      <c r="G231" s="53">
        <f>IF($B231="","",SUM($D$26:$D231))</f>
        <v/>
      </c>
      <c r="H231" s="53">
        <f>IF($B231="","",SUM($E$26:$E231))</f>
        <v/>
      </c>
    </row>
    <row r="232">
      <c r="B232" s="51">
        <f>IF(DATE(YEAR_Y,1,1)+206&gt;DATE(YEAR_Y,12,31),"",DATE(YEAR_Y,1,1)+206)</f>
        <v/>
      </c>
      <c r="C232" s="52">
        <f>IF($B232="","",SUMIFS(Grids!$BQ$12:$EC$111,Grids!$EE$12:$GQ$111,"&gt;="&amp;$B232*1000000000,Grids!$EE$12:$GQ$111,"&lt;"&amp;($B232+1)*1000000000))</f>
        <v/>
      </c>
      <c r="D232" s="52">
        <f>IF($B232="","",SUMIFS(Grids!$BQ$116:$EC$155,Grids!$EE$116:$GQ$155,"&gt;="&amp;$B232*1000000000,Grids!$EE$116:$GQ$155,"&lt;"&amp;($B232+1)*1000000000))</f>
        <v/>
      </c>
      <c r="E232" s="52">
        <f>IF($B232="","",SUMIFS(Grids!$BQ$160:$EC$219,Grids!$EE$160:$GQ$219,"&gt;="&amp;$B232*1000000000,Grids!$EE$160:$GQ$219,"&lt;"&amp;($B232+1)*1000000000))</f>
        <v/>
      </c>
      <c r="F232" s="53">
        <f>IF($B232="","",SUM($C$26:$C232))</f>
        <v/>
      </c>
      <c r="G232" s="53">
        <f>IF($B232="","",SUM($D$26:$D232))</f>
        <v/>
      </c>
      <c r="H232" s="53">
        <f>IF($B232="","",SUM($E$26:$E232))</f>
        <v/>
      </c>
    </row>
    <row r="233">
      <c r="B233" s="51">
        <f>IF(DATE(YEAR_Y,1,1)+207&gt;DATE(YEAR_Y,12,31),"",DATE(YEAR_Y,1,1)+207)</f>
        <v/>
      </c>
      <c r="C233" s="52">
        <f>IF($B233="","",SUMIFS(Grids!$BQ$12:$EC$111,Grids!$EE$12:$GQ$111,"&gt;="&amp;$B233*1000000000,Grids!$EE$12:$GQ$111,"&lt;"&amp;($B233+1)*1000000000))</f>
        <v/>
      </c>
      <c r="D233" s="52">
        <f>IF($B233="","",SUMIFS(Grids!$BQ$116:$EC$155,Grids!$EE$116:$GQ$155,"&gt;="&amp;$B233*1000000000,Grids!$EE$116:$GQ$155,"&lt;"&amp;($B233+1)*1000000000))</f>
        <v/>
      </c>
      <c r="E233" s="52">
        <f>IF($B233="","",SUMIFS(Grids!$BQ$160:$EC$219,Grids!$EE$160:$GQ$219,"&gt;="&amp;$B233*1000000000,Grids!$EE$160:$GQ$219,"&lt;"&amp;($B233+1)*1000000000))</f>
        <v/>
      </c>
      <c r="F233" s="53">
        <f>IF($B233="","",SUM($C$26:$C233))</f>
        <v/>
      </c>
      <c r="G233" s="53">
        <f>IF($B233="","",SUM($D$26:$D233))</f>
        <v/>
      </c>
      <c r="H233" s="53">
        <f>IF($B233="","",SUM($E$26:$E233))</f>
        <v/>
      </c>
    </row>
    <row r="234">
      <c r="B234" s="51">
        <f>IF(DATE(YEAR_Y,1,1)+208&gt;DATE(YEAR_Y,12,31),"",DATE(YEAR_Y,1,1)+208)</f>
        <v/>
      </c>
      <c r="C234" s="52">
        <f>IF($B234="","",SUMIFS(Grids!$BQ$12:$EC$111,Grids!$EE$12:$GQ$111,"&gt;="&amp;$B234*1000000000,Grids!$EE$12:$GQ$111,"&lt;"&amp;($B234+1)*1000000000))</f>
        <v/>
      </c>
      <c r="D234" s="52">
        <f>IF($B234="","",SUMIFS(Grids!$BQ$116:$EC$155,Grids!$EE$116:$GQ$155,"&gt;="&amp;$B234*1000000000,Grids!$EE$116:$GQ$155,"&lt;"&amp;($B234+1)*1000000000))</f>
        <v/>
      </c>
      <c r="E234" s="52">
        <f>IF($B234="","",SUMIFS(Grids!$BQ$160:$EC$219,Grids!$EE$160:$GQ$219,"&gt;="&amp;$B234*1000000000,Grids!$EE$160:$GQ$219,"&lt;"&amp;($B234+1)*1000000000))</f>
        <v/>
      </c>
      <c r="F234" s="53">
        <f>IF($B234="","",SUM($C$26:$C234))</f>
        <v/>
      </c>
      <c r="G234" s="53">
        <f>IF($B234="","",SUM($D$26:$D234))</f>
        <v/>
      </c>
      <c r="H234" s="53">
        <f>IF($B234="","",SUM($E$26:$E234))</f>
        <v/>
      </c>
    </row>
    <row r="235">
      <c r="B235" s="51">
        <f>IF(DATE(YEAR_Y,1,1)+209&gt;DATE(YEAR_Y,12,31),"",DATE(YEAR_Y,1,1)+209)</f>
        <v/>
      </c>
      <c r="C235" s="52">
        <f>IF($B235="","",SUMIFS(Grids!$BQ$12:$EC$111,Grids!$EE$12:$GQ$111,"&gt;="&amp;$B235*1000000000,Grids!$EE$12:$GQ$111,"&lt;"&amp;($B235+1)*1000000000))</f>
        <v/>
      </c>
      <c r="D235" s="52">
        <f>IF($B235="","",SUMIFS(Grids!$BQ$116:$EC$155,Grids!$EE$116:$GQ$155,"&gt;="&amp;$B235*1000000000,Grids!$EE$116:$GQ$155,"&lt;"&amp;($B235+1)*1000000000))</f>
        <v/>
      </c>
      <c r="E235" s="52">
        <f>IF($B235="","",SUMIFS(Grids!$BQ$160:$EC$219,Grids!$EE$160:$GQ$219,"&gt;="&amp;$B235*1000000000,Grids!$EE$160:$GQ$219,"&lt;"&amp;($B235+1)*1000000000))</f>
        <v/>
      </c>
      <c r="F235" s="53">
        <f>IF($B235="","",SUM($C$26:$C235))</f>
        <v/>
      </c>
      <c r="G235" s="53">
        <f>IF($B235="","",SUM($D$26:$D235))</f>
        <v/>
      </c>
      <c r="H235" s="53">
        <f>IF($B235="","",SUM($E$26:$E235))</f>
        <v/>
      </c>
    </row>
    <row r="236">
      <c r="B236" s="51">
        <f>IF(DATE(YEAR_Y,1,1)+210&gt;DATE(YEAR_Y,12,31),"",DATE(YEAR_Y,1,1)+210)</f>
        <v/>
      </c>
      <c r="C236" s="52">
        <f>IF($B236="","",SUMIFS(Grids!$BQ$12:$EC$111,Grids!$EE$12:$GQ$111,"&gt;="&amp;$B236*1000000000,Grids!$EE$12:$GQ$111,"&lt;"&amp;($B236+1)*1000000000))</f>
        <v/>
      </c>
      <c r="D236" s="52">
        <f>IF($B236="","",SUMIFS(Grids!$BQ$116:$EC$155,Grids!$EE$116:$GQ$155,"&gt;="&amp;$B236*1000000000,Grids!$EE$116:$GQ$155,"&lt;"&amp;($B236+1)*1000000000))</f>
        <v/>
      </c>
      <c r="E236" s="52">
        <f>IF($B236="","",SUMIFS(Grids!$BQ$160:$EC$219,Grids!$EE$160:$GQ$219,"&gt;="&amp;$B236*1000000000,Grids!$EE$160:$GQ$219,"&lt;"&amp;($B236+1)*1000000000))</f>
        <v/>
      </c>
      <c r="F236" s="53">
        <f>IF($B236="","",SUM($C$26:$C236))</f>
        <v/>
      </c>
      <c r="G236" s="53">
        <f>IF($B236="","",SUM($D$26:$D236))</f>
        <v/>
      </c>
      <c r="H236" s="53">
        <f>IF($B236="","",SUM($E$26:$E236))</f>
        <v/>
      </c>
    </row>
    <row r="237">
      <c r="B237" s="51">
        <f>IF(DATE(YEAR_Y,1,1)+211&gt;DATE(YEAR_Y,12,31),"",DATE(YEAR_Y,1,1)+211)</f>
        <v/>
      </c>
      <c r="C237" s="52">
        <f>IF($B237="","",SUMIFS(Grids!$BQ$12:$EC$111,Grids!$EE$12:$GQ$111,"&gt;="&amp;$B237*1000000000,Grids!$EE$12:$GQ$111,"&lt;"&amp;($B237+1)*1000000000))</f>
        <v/>
      </c>
      <c r="D237" s="52">
        <f>IF($B237="","",SUMIFS(Grids!$BQ$116:$EC$155,Grids!$EE$116:$GQ$155,"&gt;="&amp;$B237*1000000000,Grids!$EE$116:$GQ$155,"&lt;"&amp;($B237+1)*1000000000))</f>
        <v/>
      </c>
      <c r="E237" s="52">
        <f>IF($B237="","",SUMIFS(Grids!$BQ$160:$EC$219,Grids!$EE$160:$GQ$219,"&gt;="&amp;$B237*1000000000,Grids!$EE$160:$GQ$219,"&lt;"&amp;($B237+1)*1000000000))</f>
        <v/>
      </c>
      <c r="F237" s="53">
        <f>IF($B237="","",SUM($C$26:$C237))</f>
        <v/>
      </c>
      <c r="G237" s="53">
        <f>IF($B237="","",SUM($D$26:$D237))</f>
        <v/>
      </c>
      <c r="H237" s="53">
        <f>IF($B237="","",SUM($E$26:$E237))</f>
        <v/>
      </c>
    </row>
    <row r="238">
      <c r="B238" s="51">
        <f>IF(DATE(YEAR_Y,1,1)+212&gt;DATE(YEAR_Y,12,31),"",DATE(YEAR_Y,1,1)+212)</f>
        <v/>
      </c>
      <c r="C238" s="52">
        <f>IF($B238="","",SUMIFS(Grids!$BQ$12:$EC$111,Grids!$EE$12:$GQ$111,"&gt;="&amp;$B238*1000000000,Grids!$EE$12:$GQ$111,"&lt;"&amp;($B238+1)*1000000000))</f>
        <v/>
      </c>
      <c r="D238" s="52">
        <f>IF($B238="","",SUMIFS(Grids!$BQ$116:$EC$155,Grids!$EE$116:$GQ$155,"&gt;="&amp;$B238*1000000000,Grids!$EE$116:$GQ$155,"&lt;"&amp;($B238+1)*1000000000))</f>
        <v/>
      </c>
      <c r="E238" s="52">
        <f>IF($B238="","",SUMIFS(Grids!$BQ$160:$EC$219,Grids!$EE$160:$GQ$219,"&gt;="&amp;$B238*1000000000,Grids!$EE$160:$GQ$219,"&lt;"&amp;($B238+1)*1000000000))</f>
        <v/>
      </c>
      <c r="F238" s="53">
        <f>IF($B238="","",SUM($C$26:$C238))</f>
        <v/>
      </c>
      <c r="G238" s="53">
        <f>IF($B238="","",SUM($D$26:$D238))</f>
        <v/>
      </c>
      <c r="H238" s="53">
        <f>IF($B238="","",SUM($E$26:$E238))</f>
        <v/>
      </c>
    </row>
    <row r="239">
      <c r="B239" s="51">
        <f>IF(DATE(YEAR_Y,1,1)+213&gt;DATE(YEAR_Y,12,31),"",DATE(YEAR_Y,1,1)+213)</f>
        <v/>
      </c>
      <c r="C239" s="52">
        <f>IF($B239="","",SUMIFS(Grids!$BQ$12:$EC$111,Grids!$EE$12:$GQ$111,"&gt;="&amp;$B239*1000000000,Grids!$EE$12:$GQ$111,"&lt;"&amp;($B239+1)*1000000000))</f>
        <v/>
      </c>
      <c r="D239" s="52">
        <f>IF($B239="","",SUMIFS(Grids!$BQ$116:$EC$155,Grids!$EE$116:$GQ$155,"&gt;="&amp;$B239*1000000000,Grids!$EE$116:$GQ$155,"&lt;"&amp;($B239+1)*1000000000))</f>
        <v/>
      </c>
      <c r="E239" s="52">
        <f>IF($B239="","",SUMIFS(Grids!$BQ$160:$EC$219,Grids!$EE$160:$GQ$219,"&gt;="&amp;$B239*1000000000,Grids!$EE$160:$GQ$219,"&lt;"&amp;($B239+1)*1000000000))</f>
        <v/>
      </c>
      <c r="F239" s="53">
        <f>IF($B239="","",SUM($C$26:$C239))</f>
        <v/>
      </c>
      <c r="G239" s="53">
        <f>IF($B239="","",SUM($D$26:$D239))</f>
        <v/>
      </c>
      <c r="H239" s="53">
        <f>IF($B239="","",SUM($E$26:$E239))</f>
        <v/>
      </c>
    </row>
    <row r="240">
      <c r="B240" s="51">
        <f>IF(DATE(YEAR_Y,1,1)+214&gt;DATE(YEAR_Y,12,31),"",DATE(YEAR_Y,1,1)+214)</f>
        <v/>
      </c>
      <c r="C240" s="52">
        <f>IF($B240="","",SUMIFS(Grids!$BQ$12:$EC$111,Grids!$EE$12:$GQ$111,"&gt;="&amp;$B240*1000000000,Grids!$EE$12:$GQ$111,"&lt;"&amp;($B240+1)*1000000000))</f>
        <v/>
      </c>
      <c r="D240" s="52">
        <f>IF($B240="","",SUMIFS(Grids!$BQ$116:$EC$155,Grids!$EE$116:$GQ$155,"&gt;="&amp;$B240*1000000000,Grids!$EE$116:$GQ$155,"&lt;"&amp;($B240+1)*1000000000))</f>
        <v/>
      </c>
      <c r="E240" s="52">
        <f>IF($B240="","",SUMIFS(Grids!$BQ$160:$EC$219,Grids!$EE$160:$GQ$219,"&gt;="&amp;$B240*1000000000,Grids!$EE$160:$GQ$219,"&lt;"&amp;($B240+1)*1000000000))</f>
        <v/>
      </c>
      <c r="F240" s="53">
        <f>IF($B240="","",SUM($C$26:$C240))</f>
        <v/>
      </c>
      <c r="G240" s="53">
        <f>IF($B240="","",SUM($D$26:$D240))</f>
        <v/>
      </c>
      <c r="H240" s="53">
        <f>IF($B240="","",SUM($E$26:$E240))</f>
        <v/>
      </c>
    </row>
    <row r="241">
      <c r="B241" s="51">
        <f>IF(DATE(YEAR_Y,1,1)+215&gt;DATE(YEAR_Y,12,31),"",DATE(YEAR_Y,1,1)+215)</f>
        <v/>
      </c>
      <c r="C241" s="52">
        <f>IF($B241="","",SUMIFS(Grids!$BQ$12:$EC$111,Grids!$EE$12:$GQ$111,"&gt;="&amp;$B241*1000000000,Grids!$EE$12:$GQ$111,"&lt;"&amp;($B241+1)*1000000000))</f>
        <v/>
      </c>
      <c r="D241" s="52">
        <f>IF($B241="","",SUMIFS(Grids!$BQ$116:$EC$155,Grids!$EE$116:$GQ$155,"&gt;="&amp;$B241*1000000000,Grids!$EE$116:$GQ$155,"&lt;"&amp;($B241+1)*1000000000))</f>
        <v/>
      </c>
      <c r="E241" s="52">
        <f>IF($B241="","",SUMIFS(Grids!$BQ$160:$EC$219,Grids!$EE$160:$GQ$219,"&gt;="&amp;$B241*1000000000,Grids!$EE$160:$GQ$219,"&lt;"&amp;($B241+1)*1000000000))</f>
        <v/>
      </c>
      <c r="F241" s="53">
        <f>IF($B241="","",SUM($C$26:$C241))</f>
        <v/>
      </c>
      <c r="G241" s="53">
        <f>IF($B241="","",SUM($D$26:$D241))</f>
        <v/>
      </c>
      <c r="H241" s="53">
        <f>IF($B241="","",SUM($E$26:$E241))</f>
        <v/>
      </c>
    </row>
    <row r="242">
      <c r="B242" s="51">
        <f>IF(DATE(YEAR_Y,1,1)+216&gt;DATE(YEAR_Y,12,31),"",DATE(YEAR_Y,1,1)+216)</f>
        <v/>
      </c>
      <c r="C242" s="52">
        <f>IF($B242="","",SUMIFS(Grids!$BQ$12:$EC$111,Grids!$EE$12:$GQ$111,"&gt;="&amp;$B242*1000000000,Grids!$EE$12:$GQ$111,"&lt;"&amp;($B242+1)*1000000000))</f>
        <v/>
      </c>
      <c r="D242" s="52">
        <f>IF($B242="","",SUMIFS(Grids!$BQ$116:$EC$155,Grids!$EE$116:$GQ$155,"&gt;="&amp;$B242*1000000000,Grids!$EE$116:$GQ$155,"&lt;"&amp;($B242+1)*1000000000))</f>
        <v/>
      </c>
      <c r="E242" s="52">
        <f>IF($B242="","",SUMIFS(Grids!$BQ$160:$EC$219,Grids!$EE$160:$GQ$219,"&gt;="&amp;$B242*1000000000,Grids!$EE$160:$GQ$219,"&lt;"&amp;($B242+1)*1000000000))</f>
        <v/>
      </c>
      <c r="F242" s="53">
        <f>IF($B242="","",SUM($C$26:$C242))</f>
        <v/>
      </c>
      <c r="G242" s="53">
        <f>IF($B242="","",SUM($D$26:$D242))</f>
        <v/>
      </c>
      <c r="H242" s="53">
        <f>IF($B242="","",SUM($E$26:$E242))</f>
        <v/>
      </c>
    </row>
    <row r="243">
      <c r="B243" s="51">
        <f>IF(DATE(YEAR_Y,1,1)+217&gt;DATE(YEAR_Y,12,31),"",DATE(YEAR_Y,1,1)+217)</f>
        <v/>
      </c>
      <c r="C243" s="52">
        <f>IF($B243="","",SUMIFS(Grids!$BQ$12:$EC$111,Grids!$EE$12:$GQ$111,"&gt;="&amp;$B243*1000000000,Grids!$EE$12:$GQ$111,"&lt;"&amp;($B243+1)*1000000000))</f>
        <v/>
      </c>
      <c r="D243" s="52">
        <f>IF($B243="","",SUMIFS(Grids!$BQ$116:$EC$155,Grids!$EE$116:$GQ$155,"&gt;="&amp;$B243*1000000000,Grids!$EE$116:$GQ$155,"&lt;"&amp;($B243+1)*1000000000))</f>
        <v/>
      </c>
      <c r="E243" s="52">
        <f>IF($B243="","",SUMIFS(Grids!$BQ$160:$EC$219,Grids!$EE$160:$GQ$219,"&gt;="&amp;$B243*1000000000,Grids!$EE$160:$GQ$219,"&lt;"&amp;($B243+1)*1000000000))</f>
        <v/>
      </c>
      <c r="F243" s="53">
        <f>IF($B243="","",SUM($C$26:$C243))</f>
        <v/>
      </c>
      <c r="G243" s="53">
        <f>IF($B243="","",SUM($D$26:$D243))</f>
        <v/>
      </c>
      <c r="H243" s="53">
        <f>IF($B243="","",SUM($E$26:$E243))</f>
        <v/>
      </c>
    </row>
    <row r="244">
      <c r="B244" s="51">
        <f>IF(DATE(YEAR_Y,1,1)+218&gt;DATE(YEAR_Y,12,31),"",DATE(YEAR_Y,1,1)+218)</f>
        <v/>
      </c>
      <c r="C244" s="52">
        <f>IF($B244="","",SUMIFS(Grids!$BQ$12:$EC$111,Grids!$EE$12:$GQ$111,"&gt;="&amp;$B244*1000000000,Grids!$EE$12:$GQ$111,"&lt;"&amp;($B244+1)*1000000000))</f>
        <v/>
      </c>
      <c r="D244" s="52">
        <f>IF($B244="","",SUMIFS(Grids!$BQ$116:$EC$155,Grids!$EE$116:$GQ$155,"&gt;="&amp;$B244*1000000000,Grids!$EE$116:$GQ$155,"&lt;"&amp;($B244+1)*1000000000))</f>
        <v/>
      </c>
      <c r="E244" s="52">
        <f>IF($B244="","",SUMIFS(Grids!$BQ$160:$EC$219,Grids!$EE$160:$GQ$219,"&gt;="&amp;$B244*1000000000,Grids!$EE$160:$GQ$219,"&lt;"&amp;($B244+1)*1000000000))</f>
        <v/>
      </c>
      <c r="F244" s="53">
        <f>IF($B244="","",SUM($C$26:$C244))</f>
        <v/>
      </c>
      <c r="G244" s="53">
        <f>IF($B244="","",SUM($D$26:$D244))</f>
        <v/>
      </c>
      <c r="H244" s="53">
        <f>IF($B244="","",SUM($E$26:$E244))</f>
        <v/>
      </c>
    </row>
    <row r="245">
      <c r="B245" s="51">
        <f>IF(DATE(YEAR_Y,1,1)+219&gt;DATE(YEAR_Y,12,31),"",DATE(YEAR_Y,1,1)+219)</f>
        <v/>
      </c>
      <c r="C245" s="52">
        <f>IF($B245="","",SUMIFS(Grids!$BQ$12:$EC$111,Grids!$EE$12:$GQ$111,"&gt;="&amp;$B245*1000000000,Grids!$EE$12:$GQ$111,"&lt;"&amp;($B245+1)*1000000000))</f>
        <v/>
      </c>
      <c r="D245" s="52">
        <f>IF($B245="","",SUMIFS(Grids!$BQ$116:$EC$155,Grids!$EE$116:$GQ$155,"&gt;="&amp;$B245*1000000000,Grids!$EE$116:$GQ$155,"&lt;"&amp;($B245+1)*1000000000))</f>
        <v/>
      </c>
      <c r="E245" s="52">
        <f>IF($B245="","",SUMIFS(Grids!$BQ$160:$EC$219,Grids!$EE$160:$GQ$219,"&gt;="&amp;$B245*1000000000,Grids!$EE$160:$GQ$219,"&lt;"&amp;($B245+1)*1000000000))</f>
        <v/>
      </c>
      <c r="F245" s="53">
        <f>IF($B245="","",SUM($C$26:$C245))</f>
        <v/>
      </c>
      <c r="G245" s="53">
        <f>IF($B245="","",SUM($D$26:$D245))</f>
        <v/>
      </c>
      <c r="H245" s="53">
        <f>IF($B245="","",SUM($E$26:$E245))</f>
        <v/>
      </c>
    </row>
    <row r="246">
      <c r="B246" s="51">
        <f>IF(DATE(YEAR_Y,1,1)+220&gt;DATE(YEAR_Y,12,31),"",DATE(YEAR_Y,1,1)+220)</f>
        <v/>
      </c>
      <c r="C246" s="52">
        <f>IF($B246="","",SUMIFS(Grids!$BQ$12:$EC$111,Grids!$EE$12:$GQ$111,"&gt;="&amp;$B246*1000000000,Grids!$EE$12:$GQ$111,"&lt;"&amp;($B246+1)*1000000000))</f>
        <v/>
      </c>
      <c r="D246" s="52">
        <f>IF($B246="","",SUMIFS(Grids!$BQ$116:$EC$155,Grids!$EE$116:$GQ$155,"&gt;="&amp;$B246*1000000000,Grids!$EE$116:$GQ$155,"&lt;"&amp;($B246+1)*1000000000))</f>
        <v/>
      </c>
      <c r="E246" s="52">
        <f>IF($B246="","",SUMIFS(Grids!$BQ$160:$EC$219,Grids!$EE$160:$GQ$219,"&gt;="&amp;$B246*1000000000,Grids!$EE$160:$GQ$219,"&lt;"&amp;($B246+1)*1000000000))</f>
        <v/>
      </c>
      <c r="F246" s="53">
        <f>IF($B246="","",SUM($C$26:$C246))</f>
        <v/>
      </c>
      <c r="G246" s="53">
        <f>IF($B246="","",SUM($D$26:$D246))</f>
        <v/>
      </c>
      <c r="H246" s="53">
        <f>IF($B246="","",SUM($E$26:$E246))</f>
        <v/>
      </c>
    </row>
    <row r="247">
      <c r="B247" s="51">
        <f>IF(DATE(YEAR_Y,1,1)+221&gt;DATE(YEAR_Y,12,31),"",DATE(YEAR_Y,1,1)+221)</f>
        <v/>
      </c>
      <c r="C247" s="52">
        <f>IF($B247="","",SUMIFS(Grids!$BQ$12:$EC$111,Grids!$EE$12:$GQ$111,"&gt;="&amp;$B247*1000000000,Grids!$EE$12:$GQ$111,"&lt;"&amp;($B247+1)*1000000000))</f>
        <v/>
      </c>
      <c r="D247" s="52">
        <f>IF($B247="","",SUMIFS(Grids!$BQ$116:$EC$155,Grids!$EE$116:$GQ$155,"&gt;="&amp;$B247*1000000000,Grids!$EE$116:$GQ$155,"&lt;"&amp;($B247+1)*1000000000))</f>
        <v/>
      </c>
      <c r="E247" s="52">
        <f>IF($B247="","",SUMIFS(Grids!$BQ$160:$EC$219,Grids!$EE$160:$GQ$219,"&gt;="&amp;$B247*1000000000,Grids!$EE$160:$GQ$219,"&lt;"&amp;($B247+1)*1000000000))</f>
        <v/>
      </c>
      <c r="F247" s="53">
        <f>IF($B247="","",SUM($C$26:$C247))</f>
        <v/>
      </c>
      <c r="G247" s="53">
        <f>IF($B247="","",SUM($D$26:$D247))</f>
        <v/>
      </c>
      <c r="H247" s="53">
        <f>IF($B247="","",SUM($E$26:$E247))</f>
        <v/>
      </c>
    </row>
    <row r="248">
      <c r="B248" s="51">
        <f>IF(DATE(YEAR_Y,1,1)+222&gt;DATE(YEAR_Y,12,31),"",DATE(YEAR_Y,1,1)+222)</f>
        <v/>
      </c>
      <c r="C248" s="52">
        <f>IF($B248="","",SUMIFS(Grids!$BQ$12:$EC$111,Grids!$EE$12:$GQ$111,"&gt;="&amp;$B248*1000000000,Grids!$EE$12:$GQ$111,"&lt;"&amp;($B248+1)*1000000000))</f>
        <v/>
      </c>
      <c r="D248" s="52">
        <f>IF($B248="","",SUMIFS(Grids!$BQ$116:$EC$155,Grids!$EE$116:$GQ$155,"&gt;="&amp;$B248*1000000000,Grids!$EE$116:$GQ$155,"&lt;"&amp;($B248+1)*1000000000))</f>
        <v/>
      </c>
      <c r="E248" s="52">
        <f>IF($B248="","",SUMIFS(Grids!$BQ$160:$EC$219,Grids!$EE$160:$GQ$219,"&gt;="&amp;$B248*1000000000,Grids!$EE$160:$GQ$219,"&lt;"&amp;($B248+1)*1000000000))</f>
        <v/>
      </c>
      <c r="F248" s="53">
        <f>IF($B248="","",SUM($C$26:$C248))</f>
        <v/>
      </c>
      <c r="G248" s="53">
        <f>IF($B248="","",SUM($D$26:$D248))</f>
        <v/>
      </c>
      <c r="H248" s="53">
        <f>IF($B248="","",SUM($E$26:$E248))</f>
        <v/>
      </c>
    </row>
    <row r="249">
      <c r="B249" s="51">
        <f>IF(DATE(YEAR_Y,1,1)+223&gt;DATE(YEAR_Y,12,31),"",DATE(YEAR_Y,1,1)+223)</f>
        <v/>
      </c>
      <c r="C249" s="52">
        <f>IF($B249="","",SUMIFS(Grids!$BQ$12:$EC$111,Grids!$EE$12:$GQ$111,"&gt;="&amp;$B249*1000000000,Grids!$EE$12:$GQ$111,"&lt;"&amp;($B249+1)*1000000000))</f>
        <v/>
      </c>
      <c r="D249" s="52">
        <f>IF($B249="","",SUMIFS(Grids!$BQ$116:$EC$155,Grids!$EE$116:$GQ$155,"&gt;="&amp;$B249*1000000000,Grids!$EE$116:$GQ$155,"&lt;"&amp;($B249+1)*1000000000))</f>
        <v/>
      </c>
      <c r="E249" s="52">
        <f>IF($B249="","",SUMIFS(Grids!$BQ$160:$EC$219,Grids!$EE$160:$GQ$219,"&gt;="&amp;$B249*1000000000,Grids!$EE$160:$GQ$219,"&lt;"&amp;($B249+1)*1000000000))</f>
        <v/>
      </c>
      <c r="F249" s="53">
        <f>IF($B249="","",SUM($C$26:$C249))</f>
        <v/>
      </c>
      <c r="G249" s="53">
        <f>IF($B249="","",SUM($D$26:$D249))</f>
        <v/>
      </c>
      <c r="H249" s="53">
        <f>IF($B249="","",SUM($E$26:$E249))</f>
        <v/>
      </c>
    </row>
    <row r="250">
      <c r="B250" s="51">
        <f>IF(DATE(YEAR_Y,1,1)+224&gt;DATE(YEAR_Y,12,31),"",DATE(YEAR_Y,1,1)+224)</f>
        <v/>
      </c>
      <c r="C250" s="52">
        <f>IF($B250="","",SUMIFS(Grids!$BQ$12:$EC$111,Grids!$EE$12:$GQ$111,"&gt;="&amp;$B250*1000000000,Grids!$EE$12:$GQ$111,"&lt;"&amp;($B250+1)*1000000000))</f>
        <v/>
      </c>
      <c r="D250" s="52">
        <f>IF($B250="","",SUMIFS(Grids!$BQ$116:$EC$155,Grids!$EE$116:$GQ$155,"&gt;="&amp;$B250*1000000000,Grids!$EE$116:$GQ$155,"&lt;"&amp;($B250+1)*1000000000))</f>
        <v/>
      </c>
      <c r="E250" s="52">
        <f>IF($B250="","",SUMIFS(Grids!$BQ$160:$EC$219,Grids!$EE$160:$GQ$219,"&gt;="&amp;$B250*1000000000,Grids!$EE$160:$GQ$219,"&lt;"&amp;($B250+1)*1000000000))</f>
        <v/>
      </c>
      <c r="F250" s="53">
        <f>IF($B250="","",SUM($C$26:$C250))</f>
        <v/>
      </c>
      <c r="G250" s="53">
        <f>IF($B250="","",SUM($D$26:$D250))</f>
        <v/>
      </c>
      <c r="H250" s="53">
        <f>IF($B250="","",SUM($E$26:$E250))</f>
        <v/>
      </c>
    </row>
    <row r="251">
      <c r="B251" s="51">
        <f>IF(DATE(YEAR_Y,1,1)+225&gt;DATE(YEAR_Y,12,31),"",DATE(YEAR_Y,1,1)+225)</f>
        <v/>
      </c>
      <c r="C251" s="52">
        <f>IF($B251="","",SUMIFS(Grids!$BQ$12:$EC$111,Grids!$EE$12:$GQ$111,"&gt;="&amp;$B251*1000000000,Grids!$EE$12:$GQ$111,"&lt;"&amp;($B251+1)*1000000000))</f>
        <v/>
      </c>
      <c r="D251" s="52">
        <f>IF($B251="","",SUMIFS(Grids!$BQ$116:$EC$155,Grids!$EE$116:$GQ$155,"&gt;="&amp;$B251*1000000000,Grids!$EE$116:$GQ$155,"&lt;"&amp;($B251+1)*1000000000))</f>
        <v/>
      </c>
      <c r="E251" s="52">
        <f>IF($B251="","",SUMIFS(Grids!$BQ$160:$EC$219,Grids!$EE$160:$GQ$219,"&gt;="&amp;$B251*1000000000,Grids!$EE$160:$GQ$219,"&lt;"&amp;($B251+1)*1000000000))</f>
        <v/>
      </c>
      <c r="F251" s="53">
        <f>IF($B251="","",SUM($C$26:$C251))</f>
        <v/>
      </c>
      <c r="G251" s="53">
        <f>IF($B251="","",SUM($D$26:$D251))</f>
        <v/>
      </c>
      <c r="H251" s="53">
        <f>IF($B251="","",SUM($E$26:$E251))</f>
        <v/>
      </c>
    </row>
    <row r="252">
      <c r="B252" s="51">
        <f>IF(DATE(YEAR_Y,1,1)+226&gt;DATE(YEAR_Y,12,31),"",DATE(YEAR_Y,1,1)+226)</f>
        <v/>
      </c>
      <c r="C252" s="52">
        <f>IF($B252="","",SUMIFS(Grids!$BQ$12:$EC$111,Grids!$EE$12:$GQ$111,"&gt;="&amp;$B252*1000000000,Grids!$EE$12:$GQ$111,"&lt;"&amp;($B252+1)*1000000000))</f>
        <v/>
      </c>
      <c r="D252" s="52">
        <f>IF($B252="","",SUMIFS(Grids!$BQ$116:$EC$155,Grids!$EE$116:$GQ$155,"&gt;="&amp;$B252*1000000000,Grids!$EE$116:$GQ$155,"&lt;"&amp;($B252+1)*1000000000))</f>
        <v/>
      </c>
      <c r="E252" s="52">
        <f>IF($B252="","",SUMIFS(Grids!$BQ$160:$EC$219,Grids!$EE$160:$GQ$219,"&gt;="&amp;$B252*1000000000,Grids!$EE$160:$GQ$219,"&lt;"&amp;($B252+1)*1000000000))</f>
        <v/>
      </c>
      <c r="F252" s="53">
        <f>IF($B252="","",SUM($C$26:$C252))</f>
        <v/>
      </c>
      <c r="G252" s="53">
        <f>IF($B252="","",SUM($D$26:$D252))</f>
        <v/>
      </c>
      <c r="H252" s="53">
        <f>IF($B252="","",SUM($E$26:$E252))</f>
        <v/>
      </c>
    </row>
    <row r="253">
      <c r="B253" s="51">
        <f>IF(DATE(YEAR_Y,1,1)+227&gt;DATE(YEAR_Y,12,31),"",DATE(YEAR_Y,1,1)+227)</f>
        <v/>
      </c>
      <c r="C253" s="52">
        <f>IF($B253="","",SUMIFS(Grids!$BQ$12:$EC$111,Grids!$EE$12:$GQ$111,"&gt;="&amp;$B253*1000000000,Grids!$EE$12:$GQ$111,"&lt;"&amp;($B253+1)*1000000000))</f>
        <v/>
      </c>
      <c r="D253" s="52">
        <f>IF($B253="","",SUMIFS(Grids!$BQ$116:$EC$155,Grids!$EE$116:$GQ$155,"&gt;="&amp;$B253*1000000000,Grids!$EE$116:$GQ$155,"&lt;"&amp;($B253+1)*1000000000))</f>
        <v/>
      </c>
      <c r="E253" s="52">
        <f>IF($B253="","",SUMIFS(Grids!$BQ$160:$EC$219,Grids!$EE$160:$GQ$219,"&gt;="&amp;$B253*1000000000,Grids!$EE$160:$GQ$219,"&lt;"&amp;($B253+1)*1000000000))</f>
        <v/>
      </c>
      <c r="F253" s="53">
        <f>IF($B253="","",SUM($C$26:$C253))</f>
        <v/>
      </c>
      <c r="G253" s="53">
        <f>IF($B253="","",SUM($D$26:$D253))</f>
        <v/>
      </c>
      <c r="H253" s="53">
        <f>IF($B253="","",SUM($E$26:$E253))</f>
        <v/>
      </c>
    </row>
    <row r="254">
      <c r="B254" s="51">
        <f>IF(DATE(YEAR_Y,1,1)+228&gt;DATE(YEAR_Y,12,31),"",DATE(YEAR_Y,1,1)+228)</f>
        <v/>
      </c>
      <c r="C254" s="52">
        <f>IF($B254="","",SUMIFS(Grids!$BQ$12:$EC$111,Grids!$EE$12:$GQ$111,"&gt;="&amp;$B254*1000000000,Grids!$EE$12:$GQ$111,"&lt;"&amp;($B254+1)*1000000000))</f>
        <v/>
      </c>
      <c r="D254" s="52">
        <f>IF($B254="","",SUMIFS(Grids!$BQ$116:$EC$155,Grids!$EE$116:$GQ$155,"&gt;="&amp;$B254*1000000000,Grids!$EE$116:$GQ$155,"&lt;"&amp;($B254+1)*1000000000))</f>
        <v/>
      </c>
      <c r="E254" s="52">
        <f>IF($B254="","",SUMIFS(Grids!$BQ$160:$EC$219,Grids!$EE$160:$GQ$219,"&gt;="&amp;$B254*1000000000,Grids!$EE$160:$GQ$219,"&lt;"&amp;($B254+1)*1000000000))</f>
        <v/>
      </c>
      <c r="F254" s="53">
        <f>IF($B254="","",SUM($C$26:$C254))</f>
        <v/>
      </c>
      <c r="G254" s="53">
        <f>IF($B254="","",SUM($D$26:$D254))</f>
        <v/>
      </c>
      <c r="H254" s="53">
        <f>IF($B254="","",SUM($E$26:$E254))</f>
        <v/>
      </c>
    </row>
    <row r="255">
      <c r="B255" s="51">
        <f>IF(DATE(YEAR_Y,1,1)+229&gt;DATE(YEAR_Y,12,31),"",DATE(YEAR_Y,1,1)+229)</f>
        <v/>
      </c>
      <c r="C255" s="52">
        <f>IF($B255="","",SUMIFS(Grids!$BQ$12:$EC$111,Grids!$EE$12:$GQ$111,"&gt;="&amp;$B255*1000000000,Grids!$EE$12:$GQ$111,"&lt;"&amp;($B255+1)*1000000000))</f>
        <v/>
      </c>
      <c r="D255" s="52">
        <f>IF($B255="","",SUMIFS(Grids!$BQ$116:$EC$155,Grids!$EE$116:$GQ$155,"&gt;="&amp;$B255*1000000000,Grids!$EE$116:$GQ$155,"&lt;"&amp;($B255+1)*1000000000))</f>
        <v/>
      </c>
      <c r="E255" s="52">
        <f>IF($B255="","",SUMIFS(Grids!$BQ$160:$EC$219,Grids!$EE$160:$GQ$219,"&gt;="&amp;$B255*1000000000,Grids!$EE$160:$GQ$219,"&lt;"&amp;($B255+1)*1000000000))</f>
        <v/>
      </c>
      <c r="F255" s="53">
        <f>IF($B255="","",SUM($C$26:$C255))</f>
        <v/>
      </c>
      <c r="G255" s="53">
        <f>IF($B255="","",SUM($D$26:$D255))</f>
        <v/>
      </c>
      <c r="H255" s="53">
        <f>IF($B255="","",SUM($E$26:$E255))</f>
        <v/>
      </c>
    </row>
    <row r="256">
      <c r="B256" s="51">
        <f>IF(DATE(YEAR_Y,1,1)+230&gt;DATE(YEAR_Y,12,31),"",DATE(YEAR_Y,1,1)+230)</f>
        <v/>
      </c>
      <c r="C256" s="52">
        <f>IF($B256="","",SUMIFS(Grids!$BQ$12:$EC$111,Grids!$EE$12:$GQ$111,"&gt;="&amp;$B256*1000000000,Grids!$EE$12:$GQ$111,"&lt;"&amp;($B256+1)*1000000000))</f>
        <v/>
      </c>
      <c r="D256" s="52">
        <f>IF($B256="","",SUMIFS(Grids!$BQ$116:$EC$155,Grids!$EE$116:$GQ$155,"&gt;="&amp;$B256*1000000000,Grids!$EE$116:$GQ$155,"&lt;"&amp;($B256+1)*1000000000))</f>
        <v/>
      </c>
      <c r="E256" s="52">
        <f>IF($B256="","",SUMIFS(Grids!$BQ$160:$EC$219,Grids!$EE$160:$GQ$219,"&gt;="&amp;$B256*1000000000,Grids!$EE$160:$GQ$219,"&lt;"&amp;($B256+1)*1000000000))</f>
        <v/>
      </c>
      <c r="F256" s="53">
        <f>IF($B256="","",SUM($C$26:$C256))</f>
        <v/>
      </c>
      <c r="G256" s="53">
        <f>IF($B256="","",SUM($D$26:$D256))</f>
        <v/>
      </c>
      <c r="H256" s="53">
        <f>IF($B256="","",SUM($E$26:$E256))</f>
        <v/>
      </c>
    </row>
    <row r="257">
      <c r="B257" s="51">
        <f>IF(DATE(YEAR_Y,1,1)+231&gt;DATE(YEAR_Y,12,31),"",DATE(YEAR_Y,1,1)+231)</f>
        <v/>
      </c>
      <c r="C257" s="52">
        <f>IF($B257="","",SUMIFS(Grids!$BQ$12:$EC$111,Grids!$EE$12:$GQ$111,"&gt;="&amp;$B257*1000000000,Grids!$EE$12:$GQ$111,"&lt;"&amp;($B257+1)*1000000000))</f>
        <v/>
      </c>
      <c r="D257" s="52">
        <f>IF($B257="","",SUMIFS(Grids!$BQ$116:$EC$155,Grids!$EE$116:$GQ$155,"&gt;="&amp;$B257*1000000000,Grids!$EE$116:$GQ$155,"&lt;"&amp;($B257+1)*1000000000))</f>
        <v/>
      </c>
      <c r="E257" s="52">
        <f>IF($B257="","",SUMIFS(Grids!$BQ$160:$EC$219,Grids!$EE$160:$GQ$219,"&gt;="&amp;$B257*1000000000,Grids!$EE$160:$GQ$219,"&lt;"&amp;($B257+1)*1000000000))</f>
        <v/>
      </c>
      <c r="F257" s="53">
        <f>IF($B257="","",SUM($C$26:$C257))</f>
        <v/>
      </c>
      <c r="G257" s="53">
        <f>IF($B257="","",SUM($D$26:$D257))</f>
        <v/>
      </c>
      <c r="H257" s="53">
        <f>IF($B257="","",SUM($E$26:$E257))</f>
        <v/>
      </c>
    </row>
    <row r="258">
      <c r="B258" s="51">
        <f>IF(DATE(YEAR_Y,1,1)+232&gt;DATE(YEAR_Y,12,31),"",DATE(YEAR_Y,1,1)+232)</f>
        <v/>
      </c>
      <c r="C258" s="52">
        <f>IF($B258="","",SUMIFS(Grids!$BQ$12:$EC$111,Grids!$EE$12:$GQ$111,"&gt;="&amp;$B258*1000000000,Grids!$EE$12:$GQ$111,"&lt;"&amp;($B258+1)*1000000000))</f>
        <v/>
      </c>
      <c r="D258" s="52">
        <f>IF($B258="","",SUMIFS(Grids!$BQ$116:$EC$155,Grids!$EE$116:$GQ$155,"&gt;="&amp;$B258*1000000000,Grids!$EE$116:$GQ$155,"&lt;"&amp;($B258+1)*1000000000))</f>
        <v/>
      </c>
      <c r="E258" s="52">
        <f>IF($B258="","",SUMIFS(Grids!$BQ$160:$EC$219,Grids!$EE$160:$GQ$219,"&gt;="&amp;$B258*1000000000,Grids!$EE$160:$GQ$219,"&lt;"&amp;($B258+1)*1000000000))</f>
        <v/>
      </c>
      <c r="F258" s="53">
        <f>IF($B258="","",SUM($C$26:$C258))</f>
        <v/>
      </c>
      <c r="G258" s="53">
        <f>IF($B258="","",SUM($D$26:$D258))</f>
        <v/>
      </c>
      <c r="H258" s="53">
        <f>IF($B258="","",SUM($E$26:$E258))</f>
        <v/>
      </c>
    </row>
    <row r="259">
      <c r="B259" s="51">
        <f>IF(DATE(YEAR_Y,1,1)+233&gt;DATE(YEAR_Y,12,31),"",DATE(YEAR_Y,1,1)+233)</f>
        <v/>
      </c>
      <c r="C259" s="52">
        <f>IF($B259="","",SUMIFS(Grids!$BQ$12:$EC$111,Grids!$EE$12:$GQ$111,"&gt;="&amp;$B259*1000000000,Grids!$EE$12:$GQ$111,"&lt;"&amp;($B259+1)*1000000000))</f>
        <v/>
      </c>
      <c r="D259" s="52">
        <f>IF($B259="","",SUMIFS(Grids!$BQ$116:$EC$155,Grids!$EE$116:$GQ$155,"&gt;="&amp;$B259*1000000000,Grids!$EE$116:$GQ$155,"&lt;"&amp;($B259+1)*1000000000))</f>
        <v/>
      </c>
      <c r="E259" s="52">
        <f>IF($B259="","",SUMIFS(Grids!$BQ$160:$EC$219,Grids!$EE$160:$GQ$219,"&gt;="&amp;$B259*1000000000,Grids!$EE$160:$GQ$219,"&lt;"&amp;($B259+1)*1000000000))</f>
        <v/>
      </c>
      <c r="F259" s="53">
        <f>IF($B259="","",SUM($C$26:$C259))</f>
        <v/>
      </c>
      <c r="G259" s="53">
        <f>IF($B259="","",SUM($D$26:$D259))</f>
        <v/>
      </c>
      <c r="H259" s="53">
        <f>IF($B259="","",SUM($E$26:$E259))</f>
        <v/>
      </c>
    </row>
    <row r="260">
      <c r="B260" s="51">
        <f>IF(DATE(YEAR_Y,1,1)+234&gt;DATE(YEAR_Y,12,31),"",DATE(YEAR_Y,1,1)+234)</f>
        <v/>
      </c>
      <c r="C260" s="52">
        <f>IF($B260="","",SUMIFS(Grids!$BQ$12:$EC$111,Grids!$EE$12:$GQ$111,"&gt;="&amp;$B260*1000000000,Grids!$EE$12:$GQ$111,"&lt;"&amp;($B260+1)*1000000000))</f>
        <v/>
      </c>
      <c r="D260" s="52">
        <f>IF($B260="","",SUMIFS(Grids!$BQ$116:$EC$155,Grids!$EE$116:$GQ$155,"&gt;="&amp;$B260*1000000000,Grids!$EE$116:$GQ$155,"&lt;"&amp;($B260+1)*1000000000))</f>
        <v/>
      </c>
      <c r="E260" s="52">
        <f>IF($B260="","",SUMIFS(Grids!$BQ$160:$EC$219,Grids!$EE$160:$GQ$219,"&gt;="&amp;$B260*1000000000,Grids!$EE$160:$GQ$219,"&lt;"&amp;($B260+1)*1000000000))</f>
        <v/>
      </c>
      <c r="F260" s="53">
        <f>IF($B260="","",SUM($C$26:$C260))</f>
        <v/>
      </c>
      <c r="G260" s="53">
        <f>IF($B260="","",SUM($D$26:$D260))</f>
        <v/>
      </c>
      <c r="H260" s="53">
        <f>IF($B260="","",SUM($E$26:$E260))</f>
        <v/>
      </c>
    </row>
    <row r="261">
      <c r="B261" s="51">
        <f>IF(DATE(YEAR_Y,1,1)+235&gt;DATE(YEAR_Y,12,31),"",DATE(YEAR_Y,1,1)+235)</f>
        <v/>
      </c>
      <c r="C261" s="52">
        <f>IF($B261="","",SUMIFS(Grids!$BQ$12:$EC$111,Grids!$EE$12:$GQ$111,"&gt;="&amp;$B261*1000000000,Grids!$EE$12:$GQ$111,"&lt;"&amp;($B261+1)*1000000000))</f>
        <v/>
      </c>
      <c r="D261" s="52">
        <f>IF($B261="","",SUMIFS(Grids!$BQ$116:$EC$155,Grids!$EE$116:$GQ$155,"&gt;="&amp;$B261*1000000000,Grids!$EE$116:$GQ$155,"&lt;"&amp;($B261+1)*1000000000))</f>
        <v/>
      </c>
      <c r="E261" s="52">
        <f>IF($B261="","",SUMIFS(Grids!$BQ$160:$EC$219,Grids!$EE$160:$GQ$219,"&gt;="&amp;$B261*1000000000,Grids!$EE$160:$GQ$219,"&lt;"&amp;($B261+1)*1000000000))</f>
        <v/>
      </c>
      <c r="F261" s="53">
        <f>IF($B261="","",SUM($C$26:$C261))</f>
        <v/>
      </c>
      <c r="G261" s="53">
        <f>IF($B261="","",SUM($D$26:$D261))</f>
        <v/>
      </c>
      <c r="H261" s="53">
        <f>IF($B261="","",SUM($E$26:$E261))</f>
        <v/>
      </c>
    </row>
    <row r="262">
      <c r="B262" s="51">
        <f>IF(DATE(YEAR_Y,1,1)+236&gt;DATE(YEAR_Y,12,31),"",DATE(YEAR_Y,1,1)+236)</f>
        <v/>
      </c>
      <c r="C262" s="52">
        <f>IF($B262="","",SUMIFS(Grids!$BQ$12:$EC$111,Grids!$EE$12:$GQ$111,"&gt;="&amp;$B262*1000000000,Grids!$EE$12:$GQ$111,"&lt;"&amp;($B262+1)*1000000000))</f>
        <v/>
      </c>
      <c r="D262" s="52">
        <f>IF($B262="","",SUMIFS(Grids!$BQ$116:$EC$155,Grids!$EE$116:$GQ$155,"&gt;="&amp;$B262*1000000000,Grids!$EE$116:$GQ$155,"&lt;"&amp;($B262+1)*1000000000))</f>
        <v/>
      </c>
      <c r="E262" s="52">
        <f>IF($B262="","",SUMIFS(Grids!$BQ$160:$EC$219,Grids!$EE$160:$GQ$219,"&gt;="&amp;$B262*1000000000,Grids!$EE$160:$GQ$219,"&lt;"&amp;($B262+1)*1000000000))</f>
        <v/>
      </c>
      <c r="F262" s="53">
        <f>IF($B262="","",SUM($C$26:$C262))</f>
        <v/>
      </c>
      <c r="G262" s="53">
        <f>IF($B262="","",SUM($D$26:$D262))</f>
        <v/>
      </c>
      <c r="H262" s="53">
        <f>IF($B262="","",SUM($E$26:$E262))</f>
        <v/>
      </c>
    </row>
    <row r="263">
      <c r="B263" s="51">
        <f>IF(DATE(YEAR_Y,1,1)+237&gt;DATE(YEAR_Y,12,31),"",DATE(YEAR_Y,1,1)+237)</f>
        <v/>
      </c>
      <c r="C263" s="52">
        <f>IF($B263="","",SUMIFS(Grids!$BQ$12:$EC$111,Grids!$EE$12:$GQ$111,"&gt;="&amp;$B263*1000000000,Grids!$EE$12:$GQ$111,"&lt;"&amp;($B263+1)*1000000000))</f>
        <v/>
      </c>
      <c r="D263" s="52">
        <f>IF($B263="","",SUMIFS(Grids!$BQ$116:$EC$155,Grids!$EE$116:$GQ$155,"&gt;="&amp;$B263*1000000000,Grids!$EE$116:$GQ$155,"&lt;"&amp;($B263+1)*1000000000))</f>
        <v/>
      </c>
      <c r="E263" s="52">
        <f>IF($B263="","",SUMIFS(Grids!$BQ$160:$EC$219,Grids!$EE$160:$GQ$219,"&gt;="&amp;$B263*1000000000,Grids!$EE$160:$GQ$219,"&lt;"&amp;($B263+1)*1000000000))</f>
        <v/>
      </c>
      <c r="F263" s="53">
        <f>IF($B263="","",SUM($C$26:$C263))</f>
        <v/>
      </c>
      <c r="G263" s="53">
        <f>IF($B263="","",SUM($D$26:$D263))</f>
        <v/>
      </c>
      <c r="H263" s="53">
        <f>IF($B263="","",SUM($E$26:$E263))</f>
        <v/>
      </c>
    </row>
    <row r="264">
      <c r="B264" s="51">
        <f>IF(DATE(YEAR_Y,1,1)+238&gt;DATE(YEAR_Y,12,31),"",DATE(YEAR_Y,1,1)+238)</f>
        <v/>
      </c>
      <c r="C264" s="52">
        <f>IF($B264="","",SUMIFS(Grids!$BQ$12:$EC$111,Grids!$EE$12:$GQ$111,"&gt;="&amp;$B264*1000000000,Grids!$EE$12:$GQ$111,"&lt;"&amp;($B264+1)*1000000000))</f>
        <v/>
      </c>
      <c r="D264" s="52">
        <f>IF($B264="","",SUMIFS(Grids!$BQ$116:$EC$155,Grids!$EE$116:$GQ$155,"&gt;="&amp;$B264*1000000000,Grids!$EE$116:$GQ$155,"&lt;"&amp;($B264+1)*1000000000))</f>
        <v/>
      </c>
      <c r="E264" s="52">
        <f>IF($B264="","",SUMIFS(Grids!$BQ$160:$EC$219,Grids!$EE$160:$GQ$219,"&gt;="&amp;$B264*1000000000,Grids!$EE$160:$GQ$219,"&lt;"&amp;($B264+1)*1000000000))</f>
        <v/>
      </c>
      <c r="F264" s="53">
        <f>IF($B264="","",SUM($C$26:$C264))</f>
        <v/>
      </c>
      <c r="G264" s="53">
        <f>IF($B264="","",SUM($D$26:$D264))</f>
        <v/>
      </c>
      <c r="H264" s="53">
        <f>IF($B264="","",SUM($E$26:$E264))</f>
        <v/>
      </c>
    </row>
    <row r="265">
      <c r="B265" s="51">
        <f>IF(DATE(YEAR_Y,1,1)+239&gt;DATE(YEAR_Y,12,31),"",DATE(YEAR_Y,1,1)+239)</f>
        <v/>
      </c>
      <c r="C265" s="52">
        <f>IF($B265="","",SUMIFS(Grids!$BQ$12:$EC$111,Grids!$EE$12:$GQ$111,"&gt;="&amp;$B265*1000000000,Grids!$EE$12:$GQ$111,"&lt;"&amp;($B265+1)*1000000000))</f>
        <v/>
      </c>
      <c r="D265" s="52">
        <f>IF($B265="","",SUMIFS(Grids!$BQ$116:$EC$155,Grids!$EE$116:$GQ$155,"&gt;="&amp;$B265*1000000000,Grids!$EE$116:$GQ$155,"&lt;"&amp;($B265+1)*1000000000))</f>
        <v/>
      </c>
      <c r="E265" s="52">
        <f>IF($B265="","",SUMIFS(Grids!$BQ$160:$EC$219,Grids!$EE$160:$GQ$219,"&gt;="&amp;$B265*1000000000,Grids!$EE$160:$GQ$219,"&lt;"&amp;($B265+1)*1000000000))</f>
        <v/>
      </c>
      <c r="F265" s="53">
        <f>IF($B265="","",SUM($C$26:$C265))</f>
        <v/>
      </c>
      <c r="G265" s="53">
        <f>IF($B265="","",SUM($D$26:$D265))</f>
        <v/>
      </c>
      <c r="H265" s="53">
        <f>IF($B265="","",SUM($E$26:$E265))</f>
        <v/>
      </c>
    </row>
    <row r="266">
      <c r="B266" s="51">
        <f>IF(DATE(YEAR_Y,1,1)+240&gt;DATE(YEAR_Y,12,31),"",DATE(YEAR_Y,1,1)+240)</f>
        <v/>
      </c>
      <c r="C266" s="52">
        <f>IF($B266="","",SUMIFS(Grids!$BQ$12:$EC$111,Grids!$EE$12:$GQ$111,"&gt;="&amp;$B266*1000000000,Grids!$EE$12:$GQ$111,"&lt;"&amp;($B266+1)*1000000000))</f>
        <v/>
      </c>
      <c r="D266" s="52">
        <f>IF($B266="","",SUMIFS(Grids!$BQ$116:$EC$155,Grids!$EE$116:$GQ$155,"&gt;="&amp;$B266*1000000000,Grids!$EE$116:$GQ$155,"&lt;"&amp;($B266+1)*1000000000))</f>
        <v/>
      </c>
      <c r="E266" s="52">
        <f>IF($B266="","",SUMIFS(Grids!$BQ$160:$EC$219,Grids!$EE$160:$GQ$219,"&gt;="&amp;$B266*1000000000,Grids!$EE$160:$GQ$219,"&lt;"&amp;($B266+1)*1000000000))</f>
        <v/>
      </c>
      <c r="F266" s="53">
        <f>IF($B266="","",SUM($C$26:$C266))</f>
        <v/>
      </c>
      <c r="G266" s="53">
        <f>IF($B266="","",SUM($D$26:$D266))</f>
        <v/>
      </c>
      <c r="H266" s="53">
        <f>IF($B266="","",SUM($E$26:$E266))</f>
        <v/>
      </c>
    </row>
    <row r="267">
      <c r="B267" s="51">
        <f>IF(DATE(YEAR_Y,1,1)+241&gt;DATE(YEAR_Y,12,31),"",DATE(YEAR_Y,1,1)+241)</f>
        <v/>
      </c>
      <c r="C267" s="52">
        <f>IF($B267="","",SUMIFS(Grids!$BQ$12:$EC$111,Grids!$EE$12:$GQ$111,"&gt;="&amp;$B267*1000000000,Grids!$EE$12:$GQ$111,"&lt;"&amp;($B267+1)*1000000000))</f>
        <v/>
      </c>
      <c r="D267" s="52">
        <f>IF($B267="","",SUMIFS(Grids!$BQ$116:$EC$155,Grids!$EE$116:$GQ$155,"&gt;="&amp;$B267*1000000000,Grids!$EE$116:$GQ$155,"&lt;"&amp;($B267+1)*1000000000))</f>
        <v/>
      </c>
      <c r="E267" s="52">
        <f>IF($B267="","",SUMIFS(Grids!$BQ$160:$EC$219,Grids!$EE$160:$GQ$219,"&gt;="&amp;$B267*1000000000,Grids!$EE$160:$GQ$219,"&lt;"&amp;($B267+1)*1000000000))</f>
        <v/>
      </c>
      <c r="F267" s="53">
        <f>IF($B267="","",SUM($C$26:$C267))</f>
        <v/>
      </c>
      <c r="G267" s="53">
        <f>IF($B267="","",SUM($D$26:$D267))</f>
        <v/>
      </c>
      <c r="H267" s="53">
        <f>IF($B267="","",SUM($E$26:$E267))</f>
        <v/>
      </c>
    </row>
    <row r="268">
      <c r="B268" s="51">
        <f>IF(DATE(YEAR_Y,1,1)+242&gt;DATE(YEAR_Y,12,31),"",DATE(YEAR_Y,1,1)+242)</f>
        <v/>
      </c>
      <c r="C268" s="52">
        <f>IF($B268="","",SUMIFS(Grids!$BQ$12:$EC$111,Grids!$EE$12:$GQ$111,"&gt;="&amp;$B268*1000000000,Grids!$EE$12:$GQ$111,"&lt;"&amp;($B268+1)*1000000000))</f>
        <v/>
      </c>
      <c r="D268" s="52">
        <f>IF($B268="","",SUMIFS(Grids!$BQ$116:$EC$155,Grids!$EE$116:$GQ$155,"&gt;="&amp;$B268*1000000000,Grids!$EE$116:$GQ$155,"&lt;"&amp;($B268+1)*1000000000))</f>
        <v/>
      </c>
      <c r="E268" s="52">
        <f>IF($B268="","",SUMIFS(Grids!$BQ$160:$EC$219,Grids!$EE$160:$GQ$219,"&gt;="&amp;$B268*1000000000,Grids!$EE$160:$GQ$219,"&lt;"&amp;($B268+1)*1000000000))</f>
        <v/>
      </c>
      <c r="F268" s="53">
        <f>IF($B268="","",SUM($C$26:$C268))</f>
        <v/>
      </c>
      <c r="G268" s="53">
        <f>IF($B268="","",SUM($D$26:$D268))</f>
        <v/>
      </c>
      <c r="H268" s="53">
        <f>IF($B268="","",SUM($E$26:$E268))</f>
        <v/>
      </c>
    </row>
    <row r="269">
      <c r="B269" s="51">
        <f>IF(DATE(YEAR_Y,1,1)+243&gt;DATE(YEAR_Y,12,31),"",DATE(YEAR_Y,1,1)+243)</f>
        <v/>
      </c>
      <c r="C269" s="52">
        <f>IF($B269="","",SUMIFS(Grids!$BQ$12:$EC$111,Grids!$EE$12:$GQ$111,"&gt;="&amp;$B269*1000000000,Grids!$EE$12:$GQ$111,"&lt;"&amp;($B269+1)*1000000000))</f>
        <v/>
      </c>
      <c r="D269" s="52">
        <f>IF($B269="","",SUMIFS(Grids!$BQ$116:$EC$155,Grids!$EE$116:$GQ$155,"&gt;="&amp;$B269*1000000000,Grids!$EE$116:$GQ$155,"&lt;"&amp;($B269+1)*1000000000))</f>
        <v/>
      </c>
      <c r="E269" s="52">
        <f>IF($B269="","",SUMIFS(Grids!$BQ$160:$EC$219,Grids!$EE$160:$GQ$219,"&gt;="&amp;$B269*1000000000,Grids!$EE$160:$GQ$219,"&lt;"&amp;($B269+1)*1000000000))</f>
        <v/>
      </c>
      <c r="F269" s="53">
        <f>IF($B269="","",SUM($C$26:$C269))</f>
        <v/>
      </c>
      <c r="G269" s="53">
        <f>IF($B269="","",SUM($D$26:$D269))</f>
        <v/>
      </c>
      <c r="H269" s="53">
        <f>IF($B269="","",SUM($E$26:$E269))</f>
        <v/>
      </c>
    </row>
    <row r="270">
      <c r="B270" s="51">
        <f>IF(DATE(YEAR_Y,1,1)+244&gt;DATE(YEAR_Y,12,31),"",DATE(YEAR_Y,1,1)+244)</f>
        <v/>
      </c>
      <c r="C270" s="52">
        <f>IF($B270="","",SUMIFS(Grids!$BQ$12:$EC$111,Grids!$EE$12:$GQ$111,"&gt;="&amp;$B270*1000000000,Grids!$EE$12:$GQ$111,"&lt;"&amp;($B270+1)*1000000000))</f>
        <v/>
      </c>
      <c r="D270" s="52">
        <f>IF($B270="","",SUMIFS(Grids!$BQ$116:$EC$155,Grids!$EE$116:$GQ$155,"&gt;="&amp;$B270*1000000000,Grids!$EE$116:$GQ$155,"&lt;"&amp;($B270+1)*1000000000))</f>
        <v/>
      </c>
      <c r="E270" s="52">
        <f>IF($B270="","",SUMIFS(Grids!$BQ$160:$EC$219,Grids!$EE$160:$GQ$219,"&gt;="&amp;$B270*1000000000,Grids!$EE$160:$GQ$219,"&lt;"&amp;($B270+1)*1000000000))</f>
        <v/>
      </c>
      <c r="F270" s="53">
        <f>IF($B270="","",SUM($C$26:$C270))</f>
        <v/>
      </c>
      <c r="G270" s="53">
        <f>IF($B270="","",SUM($D$26:$D270))</f>
        <v/>
      </c>
      <c r="H270" s="53">
        <f>IF($B270="","",SUM($E$26:$E270))</f>
        <v/>
      </c>
    </row>
    <row r="271">
      <c r="B271" s="51">
        <f>IF(DATE(YEAR_Y,1,1)+245&gt;DATE(YEAR_Y,12,31),"",DATE(YEAR_Y,1,1)+245)</f>
        <v/>
      </c>
      <c r="C271" s="52">
        <f>IF($B271="","",SUMIFS(Grids!$BQ$12:$EC$111,Grids!$EE$12:$GQ$111,"&gt;="&amp;$B271*1000000000,Grids!$EE$12:$GQ$111,"&lt;"&amp;($B271+1)*1000000000))</f>
        <v/>
      </c>
      <c r="D271" s="52">
        <f>IF($B271="","",SUMIFS(Grids!$BQ$116:$EC$155,Grids!$EE$116:$GQ$155,"&gt;="&amp;$B271*1000000000,Grids!$EE$116:$GQ$155,"&lt;"&amp;($B271+1)*1000000000))</f>
        <v/>
      </c>
      <c r="E271" s="52">
        <f>IF($B271="","",SUMIFS(Grids!$BQ$160:$EC$219,Grids!$EE$160:$GQ$219,"&gt;="&amp;$B271*1000000000,Grids!$EE$160:$GQ$219,"&lt;"&amp;($B271+1)*1000000000))</f>
        <v/>
      </c>
      <c r="F271" s="53">
        <f>IF($B271="","",SUM($C$26:$C271))</f>
        <v/>
      </c>
      <c r="G271" s="53">
        <f>IF($B271="","",SUM($D$26:$D271))</f>
        <v/>
      </c>
      <c r="H271" s="53">
        <f>IF($B271="","",SUM($E$26:$E271))</f>
        <v/>
      </c>
    </row>
    <row r="272">
      <c r="B272" s="51">
        <f>IF(DATE(YEAR_Y,1,1)+246&gt;DATE(YEAR_Y,12,31),"",DATE(YEAR_Y,1,1)+246)</f>
        <v/>
      </c>
      <c r="C272" s="52">
        <f>IF($B272="","",SUMIFS(Grids!$BQ$12:$EC$111,Grids!$EE$12:$GQ$111,"&gt;="&amp;$B272*1000000000,Grids!$EE$12:$GQ$111,"&lt;"&amp;($B272+1)*1000000000))</f>
        <v/>
      </c>
      <c r="D272" s="52">
        <f>IF($B272="","",SUMIFS(Grids!$BQ$116:$EC$155,Grids!$EE$116:$GQ$155,"&gt;="&amp;$B272*1000000000,Grids!$EE$116:$GQ$155,"&lt;"&amp;($B272+1)*1000000000))</f>
        <v/>
      </c>
      <c r="E272" s="52">
        <f>IF($B272="","",SUMIFS(Grids!$BQ$160:$EC$219,Grids!$EE$160:$GQ$219,"&gt;="&amp;$B272*1000000000,Grids!$EE$160:$GQ$219,"&lt;"&amp;($B272+1)*1000000000))</f>
        <v/>
      </c>
      <c r="F272" s="53">
        <f>IF($B272="","",SUM($C$26:$C272))</f>
        <v/>
      </c>
      <c r="G272" s="53">
        <f>IF($B272="","",SUM($D$26:$D272))</f>
        <v/>
      </c>
      <c r="H272" s="53">
        <f>IF($B272="","",SUM($E$26:$E272))</f>
        <v/>
      </c>
    </row>
    <row r="273">
      <c r="B273" s="51">
        <f>IF(DATE(YEAR_Y,1,1)+247&gt;DATE(YEAR_Y,12,31),"",DATE(YEAR_Y,1,1)+247)</f>
        <v/>
      </c>
      <c r="C273" s="52">
        <f>IF($B273="","",SUMIFS(Grids!$BQ$12:$EC$111,Grids!$EE$12:$GQ$111,"&gt;="&amp;$B273*1000000000,Grids!$EE$12:$GQ$111,"&lt;"&amp;($B273+1)*1000000000))</f>
        <v/>
      </c>
      <c r="D273" s="52">
        <f>IF($B273="","",SUMIFS(Grids!$BQ$116:$EC$155,Grids!$EE$116:$GQ$155,"&gt;="&amp;$B273*1000000000,Grids!$EE$116:$GQ$155,"&lt;"&amp;($B273+1)*1000000000))</f>
        <v/>
      </c>
      <c r="E273" s="52">
        <f>IF($B273="","",SUMIFS(Grids!$BQ$160:$EC$219,Grids!$EE$160:$GQ$219,"&gt;="&amp;$B273*1000000000,Grids!$EE$160:$GQ$219,"&lt;"&amp;($B273+1)*1000000000))</f>
        <v/>
      </c>
      <c r="F273" s="53">
        <f>IF($B273="","",SUM($C$26:$C273))</f>
        <v/>
      </c>
      <c r="G273" s="53">
        <f>IF($B273="","",SUM($D$26:$D273))</f>
        <v/>
      </c>
      <c r="H273" s="53">
        <f>IF($B273="","",SUM($E$26:$E273))</f>
        <v/>
      </c>
    </row>
    <row r="274">
      <c r="B274" s="51">
        <f>IF(DATE(YEAR_Y,1,1)+248&gt;DATE(YEAR_Y,12,31),"",DATE(YEAR_Y,1,1)+248)</f>
        <v/>
      </c>
      <c r="C274" s="52">
        <f>IF($B274="","",SUMIFS(Grids!$BQ$12:$EC$111,Grids!$EE$12:$GQ$111,"&gt;="&amp;$B274*1000000000,Grids!$EE$12:$GQ$111,"&lt;"&amp;($B274+1)*1000000000))</f>
        <v/>
      </c>
      <c r="D274" s="52">
        <f>IF($B274="","",SUMIFS(Grids!$BQ$116:$EC$155,Grids!$EE$116:$GQ$155,"&gt;="&amp;$B274*1000000000,Grids!$EE$116:$GQ$155,"&lt;"&amp;($B274+1)*1000000000))</f>
        <v/>
      </c>
      <c r="E274" s="52">
        <f>IF($B274="","",SUMIFS(Grids!$BQ$160:$EC$219,Grids!$EE$160:$GQ$219,"&gt;="&amp;$B274*1000000000,Grids!$EE$160:$GQ$219,"&lt;"&amp;($B274+1)*1000000000))</f>
        <v/>
      </c>
      <c r="F274" s="53">
        <f>IF($B274="","",SUM($C$26:$C274))</f>
        <v/>
      </c>
      <c r="G274" s="53">
        <f>IF($B274="","",SUM($D$26:$D274))</f>
        <v/>
      </c>
      <c r="H274" s="53">
        <f>IF($B274="","",SUM($E$26:$E274))</f>
        <v/>
      </c>
    </row>
    <row r="275">
      <c r="B275" s="51">
        <f>IF(DATE(YEAR_Y,1,1)+249&gt;DATE(YEAR_Y,12,31),"",DATE(YEAR_Y,1,1)+249)</f>
        <v/>
      </c>
      <c r="C275" s="52">
        <f>IF($B275="","",SUMIFS(Grids!$BQ$12:$EC$111,Grids!$EE$12:$GQ$111,"&gt;="&amp;$B275*1000000000,Grids!$EE$12:$GQ$111,"&lt;"&amp;($B275+1)*1000000000))</f>
        <v/>
      </c>
      <c r="D275" s="52">
        <f>IF($B275="","",SUMIFS(Grids!$BQ$116:$EC$155,Grids!$EE$116:$GQ$155,"&gt;="&amp;$B275*1000000000,Grids!$EE$116:$GQ$155,"&lt;"&amp;($B275+1)*1000000000))</f>
        <v/>
      </c>
      <c r="E275" s="52">
        <f>IF($B275="","",SUMIFS(Grids!$BQ$160:$EC$219,Grids!$EE$160:$GQ$219,"&gt;="&amp;$B275*1000000000,Grids!$EE$160:$GQ$219,"&lt;"&amp;($B275+1)*1000000000))</f>
        <v/>
      </c>
      <c r="F275" s="53">
        <f>IF($B275="","",SUM($C$26:$C275))</f>
        <v/>
      </c>
      <c r="G275" s="53">
        <f>IF($B275="","",SUM($D$26:$D275))</f>
        <v/>
      </c>
      <c r="H275" s="53">
        <f>IF($B275="","",SUM($E$26:$E275))</f>
        <v/>
      </c>
    </row>
    <row r="276">
      <c r="B276" s="51">
        <f>IF(DATE(YEAR_Y,1,1)+250&gt;DATE(YEAR_Y,12,31),"",DATE(YEAR_Y,1,1)+250)</f>
        <v/>
      </c>
      <c r="C276" s="52">
        <f>IF($B276="","",SUMIFS(Grids!$BQ$12:$EC$111,Grids!$EE$12:$GQ$111,"&gt;="&amp;$B276*1000000000,Grids!$EE$12:$GQ$111,"&lt;"&amp;($B276+1)*1000000000))</f>
        <v/>
      </c>
      <c r="D276" s="52">
        <f>IF($B276="","",SUMIFS(Grids!$BQ$116:$EC$155,Grids!$EE$116:$GQ$155,"&gt;="&amp;$B276*1000000000,Grids!$EE$116:$GQ$155,"&lt;"&amp;($B276+1)*1000000000))</f>
        <v/>
      </c>
      <c r="E276" s="52">
        <f>IF($B276="","",SUMIFS(Grids!$BQ$160:$EC$219,Grids!$EE$160:$GQ$219,"&gt;="&amp;$B276*1000000000,Grids!$EE$160:$GQ$219,"&lt;"&amp;($B276+1)*1000000000))</f>
        <v/>
      </c>
      <c r="F276" s="53">
        <f>IF($B276="","",SUM($C$26:$C276))</f>
        <v/>
      </c>
      <c r="G276" s="53">
        <f>IF($B276="","",SUM($D$26:$D276))</f>
        <v/>
      </c>
      <c r="H276" s="53">
        <f>IF($B276="","",SUM($E$26:$E276))</f>
        <v/>
      </c>
    </row>
    <row r="277">
      <c r="B277" s="51">
        <f>IF(DATE(YEAR_Y,1,1)+251&gt;DATE(YEAR_Y,12,31),"",DATE(YEAR_Y,1,1)+251)</f>
        <v/>
      </c>
      <c r="C277" s="52">
        <f>IF($B277="","",SUMIFS(Grids!$BQ$12:$EC$111,Grids!$EE$12:$GQ$111,"&gt;="&amp;$B277*1000000000,Grids!$EE$12:$GQ$111,"&lt;"&amp;($B277+1)*1000000000))</f>
        <v/>
      </c>
      <c r="D277" s="52">
        <f>IF($B277="","",SUMIFS(Grids!$BQ$116:$EC$155,Grids!$EE$116:$GQ$155,"&gt;="&amp;$B277*1000000000,Grids!$EE$116:$GQ$155,"&lt;"&amp;($B277+1)*1000000000))</f>
        <v/>
      </c>
      <c r="E277" s="52">
        <f>IF($B277="","",SUMIFS(Grids!$BQ$160:$EC$219,Grids!$EE$160:$GQ$219,"&gt;="&amp;$B277*1000000000,Grids!$EE$160:$GQ$219,"&lt;"&amp;($B277+1)*1000000000))</f>
        <v/>
      </c>
      <c r="F277" s="53">
        <f>IF($B277="","",SUM($C$26:$C277))</f>
        <v/>
      </c>
      <c r="G277" s="53">
        <f>IF($B277="","",SUM($D$26:$D277))</f>
        <v/>
      </c>
      <c r="H277" s="53">
        <f>IF($B277="","",SUM($E$26:$E277))</f>
        <v/>
      </c>
    </row>
    <row r="278">
      <c r="B278" s="51">
        <f>IF(DATE(YEAR_Y,1,1)+252&gt;DATE(YEAR_Y,12,31),"",DATE(YEAR_Y,1,1)+252)</f>
        <v/>
      </c>
      <c r="C278" s="52">
        <f>IF($B278="","",SUMIFS(Grids!$BQ$12:$EC$111,Grids!$EE$12:$GQ$111,"&gt;="&amp;$B278*1000000000,Grids!$EE$12:$GQ$111,"&lt;"&amp;($B278+1)*1000000000))</f>
        <v/>
      </c>
      <c r="D278" s="52">
        <f>IF($B278="","",SUMIFS(Grids!$BQ$116:$EC$155,Grids!$EE$116:$GQ$155,"&gt;="&amp;$B278*1000000000,Grids!$EE$116:$GQ$155,"&lt;"&amp;($B278+1)*1000000000))</f>
        <v/>
      </c>
      <c r="E278" s="52">
        <f>IF($B278="","",SUMIFS(Grids!$BQ$160:$EC$219,Grids!$EE$160:$GQ$219,"&gt;="&amp;$B278*1000000000,Grids!$EE$160:$GQ$219,"&lt;"&amp;($B278+1)*1000000000))</f>
        <v/>
      </c>
      <c r="F278" s="53">
        <f>IF($B278="","",SUM($C$26:$C278))</f>
        <v/>
      </c>
      <c r="G278" s="53">
        <f>IF($B278="","",SUM($D$26:$D278))</f>
        <v/>
      </c>
      <c r="H278" s="53">
        <f>IF($B278="","",SUM($E$26:$E278))</f>
        <v/>
      </c>
    </row>
    <row r="279">
      <c r="B279" s="51">
        <f>IF(DATE(YEAR_Y,1,1)+253&gt;DATE(YEAR_Y,12,31),"",DATE(YEAR_Y,1,1)+253)</f>
        <v/>
      </c>
      <c r="C279" s="52">
        <f>IF($B279="","",SUMIFS(Grids!$BQ$12:$EC$111,Grids!$EE$12:$GQ$111,"&gt;="&amp;$B279*1000000000,Grids!$EE$12:$GQ$111,"&lt;"&amp;($B279+1)*1000000000))</f>
        <v/>
      </c>
      <c r="D279" s="52">
        <f>IF($B279="","",SUMIFS(Grids!$BQ$116:$EC$155,Grids!$EE$116:$GQ$155,"&gt;="&amp;$B279*1000000000,Grids!$EE$116:$GQ$155,"&lt;"&amp;($B279+1)*1000000000))</f>
        <v/>
      </c>
      <c r="E279" s="52">
        <f>IF($B279="","",SUMIFS(Grids!$BQ$160:$EC$219,Grids!$EE$160:$GQ$219,"&gt;="&amp;$B279*1000000000,Grids!$EE$160:$GQ$219,"&lt;"&amp;($B279+1)*1000000000))</f>
        <v/>
      </c>
      <c r="F279" s="53">
        <f>IF($B279="","",SUM($C$26:$C279))</f>
        <v/>
      </c>
      <c r="G279" s="53">
        <f>IF($B279="","",SUM($D$26:$D279))</f>
        <v/>
      </c>
      <c r="H279" s="53">
        <f>IF($B279="","",SUM($E$26:$E279))</f>
        <v/>
      </c>
    </row>
    <row r="280">
      <c r="B280" s="51">
        <f>IF(DATE(YEAR_Y,1,1)+254&gt;DATE(YEAR_Y,12,31),"",DATE(YEAR_Y,1,1)+254)</f>
        <v/>
      </c>
      <c r="C280" s="52">
        <f>IF($B280="","",SUMIFS(Grids!$BQ$12:$EC$111,Grids!$EE$12:$GQ$111,"&gt;="&amp;$B280*1000000000,Grids!$EE$12:$GQ$111,"&lt;"&amp;($B280+1)*1000000000))</f>
        <v/>
      </c>
      <c r="D280" s="52">
        <f>IF($B280="","",SUMIFS(Grids!$BQ$116:$EC$155,Grids!$EE$116:$GQ$155,"&gt;="&amp;$B280*1000000000,Grids!$EE$116:$GQ$155,"&lt;"&amp;($B280+1)*1000000000))</f>
        <v/>
      </c>
      <c r="E280" s="52">
        <f>IF($B280="","",SUMIFS(Grids!$BQ$160:$EC$219,Grids!$EE$160:$GQ$219,"&gt;="&amp;$B280*1000000000,Grids!$EE$160:$GQ$219,"&lt;"&amp;($B280+1)*1000000000))</f>
        <v/>
      </c>
      <c r="F280" s="53">
        <f>IF($B280="","",SUM($C$26:$C280))</f>
        <v/>
      </c>
      <c r="G280" s="53">
        <f>IF($B280="","",SUM($D$26:$D280))</f>
        <v/>
      </c>
      <c r="H280" s="53">
        <f>IF($B280="","",SUM($E$26:$E280))</f>
        <v/>
      </c>
    </row>
    <row r="281">
      <c r="B281" s="51">
        <f>IF(DATE(YEAR_Y,1,1)+255&gt;DATE(YEAR_Y,12,31),"",DATE(YEAR_Y,1,1)+255)</f>
        <v/>
      </c>
      <c r="C281" s="52">
        <f>IF($B281="","",SUMIFS(Grids!$BQ$12:$EC$111,Grids!$EE$12:$GQ$111,"&gt;="&amp;$B281*1000000000,Grids!$EE$12:$GQ$111,"&lt;"&amp;($B281+1)*1000000000))</f>
        <v/>
      </c>
      <c r="D281" s="52">
        <f>IF($B281="","",SUMIFS(Grids!$BQ$116:$EC$155,Grids!$EE$116:$GQ$155,"&gt;="&amp;$B281*1000000000,Grids!$EE$116:$GQ$155,"&lt;"&amp;($B281+1)*1000000000))</f>
        <v/>
      </c>
      <c r="E281" s="52">
        <f>IF($B281="","",SUMIFS(Grids!$BQ$160:$EC$219,Grids!$EE$160:$GQ$219,"&gt;="&amp;$B281*1000000000,Grids!$EE$160:$GQ$219,"&lt;"&amp;($B281+1)*1000000000))</f>
        <v/>
      </c>
      <c r="F281" s="53">
        <f>IF($B281="","",SUM($C$26:$C281))</f>
        <v/>
      </c>
      <c r="G281" s="53">
        <f>IF($B281="","",SUM($D$26:$D281))</f>
        <v/>
      </c>
      <c r="H281" s="53">
        <f>IF($B281="","",SUM($E$26:$E281))</f>
        <v/>
      </c>
    </row>
    <row r="282">
      <c r="B282" s="51">
        <f>IF(DATE(YEAR_Y,1,1)+256&gt;DATE(YEAR_Y,12,31),"",DATE(YEAR_Y,1,1)+256)</f>
        <v/>
      </c>
      <c r="C282" s="52">
        <f>IF($B282="","",SUMIFS(Grids!$BQ$12:$EC$111,Grids!$EE$12:$GQ$111,"&gt;="&amp;$B282*1000000000,Grids!$EE$12:$GQ$111,"&lt;"&amp;($B282+1)*1000000000))</f>
        <v/>
      </c>
      <c r="D282" s="52">
        <f>IF($B282="","",SUMIFS(Grids!$BQ$116:$EC$155,Grids!$EE$116:$GQ$155,"&gt;="&amp;$B282*1000000000,Grids!$EE$116:$GQ$155,"&lt;"&amp;($B282+1)*1000000000))</f>
        <v/>
      </c>
      <c r="E282" s="52">
        <f>IF($B282="","",SUMIFS(Grids!$BQ$160:$EC$219,Grids!$EE$160:$GQ$219,"&gt;="&amp;$B282*1000000000,Grids!$EE$160:$GQ$219,"&lt;"&amp;($B282+1)*1000000000))</f>
        <v/>
      </c>
      <c r="F282" s="53">
        <f>IF($B282="","",SUM($C$26:$C282))</f>
        <v/>
      </c>
      <c r="G282" s="53">
        <f>IF($B282="","",SUM($D$26:$D282))</f>
        <v/>
      </c>
      <c r="H282" s="53">
        <f>IF($B282="","",SUM($E$26:$E282))</f>
        <v/>
      </c>
    </row>
    <row r="283">
      <c r="B283" s="51">
        <f>IF(DATE(YEAR_Y,1,1)+257&gt;DATE(YEAR_Y,12,31),"",DATE(YEAR_Y,1,1)+257)</f>
        <v/>
      </c>
      <c r="C283" s="52">
        <f>IF($B283="","",SUMIFS(Grids!$BQ$12:$EC$111,Grids!$EE$12:$GQ$111,"&gt;="&amp;$B283*1000000000,Grids!$EE$12:$GQ$111,"&lt;"&amp;($B283+1)*1000000000))</f>
        <v/>
      </c>
      <c r="D283" s="52">
        <f>IF($B283="","",SUMIFS(Grids!$BQ$116:$EC$155,Grids!$EE$116:$GQ$155,"&gt;="&amp;$B283*1000000000,Grids!$EE$116:$GQ$155,"&lt;"&amp;($B283+1)*1000000000))</f>
        <v/>
      </c>
      <c r="E283" s="52">
        <f>IF($B283="","",SUMIFS(Grids!$BQ$160:$EC$219,Grids!$EE$160:$GQ$219,"&gt;="&amp;$B283*1000000000,Grids!$EE$160:$GQ$219,"&lt;"&amp;($B283+1)*1000000000))</f>
        <v/>
      </c>
      <c r="F283" s="53">
        <f>IF($B283="","",SUM($C$26:$C283))</f>
        <v/>
      </c>
      <c r="G283" s="53">
        <f>IF($B283="","",SUM($D$26:$D283))</f>
        <v/>
      </c>
      <c r="H283" s="53">
        <f>IF($B283="","",SUM($E$26:$E283))</f>
        <v/>
      </c>
    </row>
    <row r="284">
      <c r="B284" s="51">
        <f>IF(DATE(YEAR_Y,1,1)+258&gt;DATE(YEAR_Y,12,31),"",DATE(YEAR_Y,1,1)+258)</f>
        <v/>
      </c>
      <c r="C284" s="52">
        <f>IF($B284="","",SUMIFS(Grids!$BQ$12:$EC$111,Grids!$EE$12:$GQ$111,"&gt;="&amp;$B284*1000000000,Grids!$EE$12:$GQ$111,"&lt;"&amp;($B284+1)*1000000000))</f>
        <v/>
      </c>
      <c r="D284" s="52">
        <f>IF($B284="","",SUMIFS(Grids!$BQ$116:$EC$155,Grids!$EE$116:$GQ$155,"&gt;="&amp;$B284*1000000000,Grids!$EE$116:$GQ$155,"&lt;"&amp;($B284+1)*1000000000))</f>
        <v/>
      </c>
      <c r="E284" s="52">
        <f>IF($B284="","",SUMIFS(Grids!$BQ$160:$EC$219,Grids!$EE$160:$GQ$219,"&gt;="&amp;$B284*1000000000,Grids!$EE$160:$GQ$219,"&lt;"&amp;($B284+1)*1000000000))</f>
        <v/>
      </c>
      <c r="F284" s="53">
        <f>IF($B284="","",SUM($C$26:$C284))</f>
        <v/>
      </c>
      <c r="G284" s="53">
        <f>IF($B284="","",SUM($D$26:$D284))</f>
        <v/>
      </c>
      <c r="H284" s="53">
        <f>IF($B284="","",SUM($E$26:$E284))</f>
        <v/>
      </c>
    </row>
    <row r="285">
      <c r="B285" s="51">
        <f>IF(DATE(YEAR_Y,1,1)+259&gt;DATE(YEAR_Y,12,31),"",DATE(YEAR_Y,1,1)+259)</f>
        <v/>
      </c>
      <c r="C285" s="52">
        <f>IF($B285="","",SUMIFS(Grids!$BQ$12:$EC$111,Grids!$EE$12:$GQ$111,"&gt;="&amp;$B285*1000000000,Grids!$EE$12:$GQ$111,"&lt;"&amp;($B285+1)*1000000000))</f>
        <v/>
      </c>
      <c r="D285" s="52">
        <f>IF($B285="","",SUMIFS(Grids!$BQ$116:$EC$155,Grids!$EE$116:$GQ$155,"&gt;="&amp;$B285*1000000000,Grids!$EE$116:$GQ$155,"&lt;"&amp;($B285+1)*1000000000))</f>
        <v/>
      </c>
      <c r="E285" s="52">
        <f>IF($B285="","",SUMIFS(Grids!$BQ$160:$EC$219,Grids!$EE$160:$GQ$219,"&gt;="&amp;$B285*1000000000,Grids!$EE$160:$GQ$219,"&lt;"&amp;($B285+1)*1000000000))</f>
        <v/>
      </c>
      <c r="F285" s="53">
        <f>IF($B285="","",SUM($C$26:$C285))</f>
        <v/>
      </c>
      <c r="G285" s="53">
        <f>IF($B285="","",SUM($D$26:$D285))</f>
        <v/>
      </c>
      <c r="H285" s="53">
        <f>IF($B285="","",SUM($E$26:$E285))</f>
        <v/>
      </c>
    </row>
    <row r="286">
      <c r="B286" s="51">
        <f>IF(DATE(YEAR_Y,1,1)+260&gt;DATE(YEAR_Y,12,31),"",DATE(YEAR_Y,1,1)+260)</f>
        <v/>
      </c>
      <c r="C286" s="52">
        <f>IF($B286="","",SUMIFS(Grids!$BQ$12:$EC$111,Grids!$EE$12:$GQ$111,"&gt;="&amp;$B286*1000000000,Grids!$EE$12:$GQ$111,"&lt;"&amp;($B286+1)*1000000000))</f>
        <v/>
      </c>
      <c r="D286" s="52">
        <f>IF($B286="","",SUMIFS(Grids!$BQ$116:$EC$155,Grids!$EE$116:$GQ$155,"&gt;="&amp;$B286*1000000000,Grids!$EE$116:$GQ$155,"&lt;"&amp;($B286+1)*1000000000))</f>
        <v/>
      </c>
      <c r="E286" s="52">
        <f>IF($B286="","",SUMIFS(Grids!$BQ$160:$EC$219,Grids!$EE$160:$GQ$219,"&gt;="&amp;$B286*1000000000,Grids!$EE$160:$GQ$219,"&lt;"&amp;($B286+1)*1000000000))</f>
        <v/>
      </c>
      <c r="F286" s="53">
        <f>IF($B286="","",SUM($C$26:$C286))</f>
        <v/>
      </c>
      <c r="G286" s="53">
        <f>IF($B286="","",SUM($D$26:$D286))</f>
        <v/>
      </c>
      <c r="H286" s="53">
        <f>IF($B286="","",SUM($E$26:$E286))</f>
        <v/>
      </c>
    </row>
    <row r="287">
      <c r="B287" s="51">
        <f>IF(DATE(YEAR_Y,1,1)+261&gt;DATE(YEAR_Y,12,31),"",DATE(YEAR_Y,1,1)+261)</f>
        <v/>
      </c>
      <c r="C287" s="52">
        <f>IF($B287="","",SUMIFS(Grids!$BQ$12:$EC$111,Grids!$EE$12:$GQ$111,"&gt;="&amp;$B287*1000000000,Grids!$EE$12:$GQ$111,"&lt;"&amp;($B287+1)*1000000000))</f>
        <v/>
      </c>
      <c r="D287" s="52">
        <f>IF($B287="","",SUMIFS(Grids!$BQ$116:$EC$155,Grids!$EE$116:$GQ$155,"&gt;="&amp;$B287*1000000000,Grids!$EE$116:$GQ$155,"&lt;"&amp;($B287+1)*1000000000))</f>
        <v/>
      </c>
      <c r="E287" s="52">
        <f>IF($B287="","",SUMIFS(Grids!$BQ$160:$EC$219,Grids!$EE$160:$GQ$219,"&gt;="&amp;$B287*1000000000,Grids!$EE$160:$GQ$219,"&lt;"&amp;($B287+1)*1000000000))</f>
        <v/>
      </c>
      <c r="F287" s="53">
        <f>IF($B287="","",SUM($C$26:$C287))</f>
        <v/>
      </c>
      <c r="G287" s="53">
        <f>IF($B287="","",SUM($D$26:$D287))</f>
        <v/>
      </c>
      <c r="H287" s="53">
        <f>IF($B287="","",SUM($E$26:$E287))</f>
        <v/>
      </c>
    </row>
    <row r="288">
      <c r="B288" s="51">
        <f>IF(DATE(YEAR_Y,1,1)+262&gt;DATE(YEAR_Y,12,31),"",DATE(YEAR_Y,1,1)+262)</f>
        <v/>
      </c>
      <c r="C288" s="52">
        <f>IF($B288="","",SUMIFS(Grids!$BQ$12:$EC$111,Grids!$EE$12:$GQ$111,"&gt;="&amp;$B288*1000000000,Grids!$EE$12:$GQ$111,"&lt;"&amp;($B288+1)*1000000000))</f>
        <v/>
      </c>
      <c r="D288" s="52">
        <f>IF($B288="","",SUMIFS(Grids!$BQ$116:$EC$155,Grids!$EE$116:$GQ$155,"&gt;="&amp;$B288*1000000000,Grids!$EE$116:$GQ$155,"&lt;"&amp;($B288+1)*1000000000))</f>
        <v/>
      </c>
      <c r="E288" s="52">
        <f>IF($B288="","",SUMIFS(Grids!$BQ$160:$EC$219,Grids!$EE$160:$GQ$219,"&gt;="&amp;$B288*1000000000,Grids!$EE$160:$GQ$219,"&lt;"&amp;($B288+1)*1000000000))</f>
        <v/>
      </c>
      <c r="F288" s="53">
        <f>IF($B288="","",SUM($C$26:$C288))</f>
        <v/>
      </c>
      <c r="G288" s="53">
        <f>IF($B288="","",SUM($D$26:$D288))</f>
        <v/>
      </c>
      <c r="H288" s="53">
        <f>IF($B288="","",SUM($E$26:$E288))</f>
        <v/>
      </c>
    </row>
    <row r="289">
      <c r="B289" s="51">
        <f>IF(DATE(YEAR_Y,1,1)+263&gt;DATE(YEAR_Y,12,31),"",DATE(YEAR_Y,1,1)+263)</f>
        <v/>
      </c>
      <c r="C289" s="52">
        <f>IF($B289="","",SUMIFS(Grids!$BQ$12:$EC$111,Grids!$EE$12:$GQ$111,"&gt;="&amp;$B289*1000000000,Grids!$EE$12:$GQ$111,"&lt;"&amp;($B289+1)*1000000000))</f>
        <v/>
      </c>
      <c r="D289" s="52">
        <f>IF($B289="","",SUMIFS(Grids!$BQ$116:$EC$155,Grids!$EE$116:$GQ$155,"&gt;="&amp;$B289*1000000000,Grids!$EE$116:$GQ$155,"&lt;"&amp;($B289+1)*1000000000))</f>
        <v/>
      </c>
      <c r="E289" s="52">
        <f>IF($B289="","",SUMIFS(Grids!$BQ$160:$EC$219,Grids!$EE$160:$GQ$219,"&gt;="&amp;$B289*1000000000,Grids!$EE$160:$GQ$219,"&lt;"&amp;($B289+1)*1000000000))</f>
        <v/>
      </c>
      <c r="F289" s="53">
        <f>IF($B289="","",SUM($C$26:$C289))</f>
        <v/>
      </c>
      <c r="G289" s="53">
        <f>IF($B289="","",SUM($D$26:$D289))</f>
        <v/>
      </c>
      <c r="H289" s="53">
        <f>IF($B289="","",SUM($E$26:$E289))</f>
        <v/>
      </c>
    </row>
    <row r="290">
      <c r="B290" s="51">
        <f>IF(DATE(YEAR_Y,1,1)+264&gt;DATE(YEAR_Y,12,31),"",DATE(YEAR_Y,1,1)+264)</f>
        <v/>
      </c>
      <c r="C290" s="52">
        <f>IF($B290="","",SUMIFS(Grids!$BQ$12:$EC$111,Grids!$EE$12:$GQ$111,"&gt;="&amp;$B290*1000000000,Grids!$EE$12:$GQ$111,"&lt;"&amp;($B290+1)*1000000000))</f>
        <v/>
      </c>
      <c r="D290" s="52">
        <f>IF($B290="","",SUMIFS(Grids!$BQ$116:$EC$155,Grids!$EE$116:$GQ$155,"&gt;="&amp;$B290*1000000000,Grids!$EE$116:$GQ$155,"&lt;"&amp;($B290+1)*1000000000))</f>
        <v/>
      </c>
      <c r="E290" s="52">
        <f>IF($B290="","",SUMIFS(Grids!$BQ$160:$EC$219,Grids!$EE$160:$GQ$219,"&gt;="&amp;$B290*1000000000,Grids!$EE$160:$GQ$219,"&lt;"&amp;($B290+1)*1000000000))</f>
        <v/>
      </c>
      <c r="F290" s="53">
        <f>IF($B290="","",SUM($C$26:$C290))</f>
        <v/>
      </c>
      <c r="G290" s="53">
        <f>IF($B290="","",SUM($D$26:$D290))</f>
        <v/>
      </c>
      <c r="H290" s="53">
        <f>IF($B290="","",SUM($E$26:$E290))</f>
        <v/>
      </c>
    </row>
    <row r="291">
      <c r="B291" s="51">
        <f>IF(DATE(YEAR_Y,1,1)+265&gt;DATE(YEAR_Y,12,31),"",DATE(YEAR_Y,1,1)+265)</f>
        <v/>
      </c>
      <c r="C291" s="52">
        <f>IF($B291="","",SUMIFS(Grids!$BQ$12:$EC$111,Grids!$EE$12:$GQ$111,"&gt;="&amp;$B291*1000000000,Grids!$EE$12:$GQ$111,"&lt;"&amp;($B291+1)*1000000000))</f>
        <v/>
      </c>
      <c r="D291" s="52">
        <f>IF($B291="","",SUMIFS(Grids!$BQ$116:$EC$155,Grids!$EE$116:$GQ$155,"&gt;="&amp;$B291*1000000000,Grids!$EE$116:$GQ$155,"&lt;"&amp;($B291+1)*1000000000))</f>
        <v/>
      </c>
      <c r="E291" s="52">
        <f>IF($B291="","",SUMIFS(Grids!$BQ$160:$EC$219,Grids!$EE$160:$GQ$219,"&gt;="&amp;$B291*1000000000,Grids!$EE$160:$GQ$219,"&lt;"&amp;($B291+1)*1000000000))</f>
        <v/>
      </c>
      <c r="F291" s="53">
        <f>IF($B291="","",SUM($C$26:$C291))</f>
        <v/>
      </c>
      <c r="G291" s="53">
        <f>IF($B291="","",SUM($D$26:$D291))</f>
        <v/>
      </c>
      <c r="H291" s="53">
        <f>IF($B291="","",SUM($E$26:$E291))</f>
        <v/>
      </c>
    </row>
    <row r="292">
      <c r="B292" s="51">
        <f>IF(DATE(YEAR_Y,1,1)+266&gt;DATE(YEAR_Y,12,31),"",DATE(YEAR_Y,1,1)+266)</f>
        <v/>
      </c>
      <c r="C292" s="52">
        <f>IF($B292="","",SUMIFS(Grids!$BQ$12:$EC$111,Grids!$EE$12:$GQ$111,"&gt;="&amp;$B292*1000000000,Grids!$EE$12:$GQ$111,"&lt;"&amp;($B292+1)*1000000000))</f>
        <v/>
      </c>
      <c r="D292" s="52">
        <f>IF($B292="","",SUMIFS(Grids!$BQ$116:$EC$155,Grids!$EE$116:$GQ$155,"&gt;="&amp;$B292*1000000000,Grids!$EE$116:$GQ$155,"&lt;"&amp;($B292+1)*1000000000))</f>
        <v/>
      </c>
      <c r="E292" s="52">
        <f>IF($B292="","",SUMIFS(Grids!$BQ$160:$EC$219,Grids!$EE$160:$GQ$219,"&gt;="&amp;$B292*1000000000,Grids!$EE$160:$GQ$219,"&lt;"&amp;($B292+1)*1000000000))</f>
        <v/>
      </c>
      <c r="F292" s="53">
        <f>IF($B292="","",SUM($C$26:$C292))</f>
        <v/>
      </c>
      <c r="G292" s="53">
        <f>IF($B292="","",SUM($D$26:$D292))</f>
        <v/>
      </c>
      <c r="H292" s="53">
        <f>IF($B292="","",SUM($E$26:$E292))</f>
        <v/>
      </c>
    </row>
    <row r="293">
      <c r="B293" s="51">
        <f>IF(DATE(YEAR_Y,1,1)+267&gt;DATE(YEAR_Y,12,31),"",DATE(YEAR_Y,1,1)+267)</f>
        <v/>
      </c>
      <c r="C293" s="52">
        <f>IF($B293="","",SUMIFS(Grids!$BQ$12:$EC$111,Grids!$EE$12:$GQ$111,"&gt;="&amp;$B293*1000000000,Grids!$EE$12:$GQ$111,"&lt;"&amp;($B293+1)*1000000000))</f>
        <v/>
      </c>
      <c r="D293" s="52">
        <f>IF($B293="","",SUMIFS(Grids!$BQ$116:$EC$155,Grids!$EE$116:$GQ$155,"&gt;="&amp;$B293*1000000000,Grids!$EE$116:$GQ$155,"&lt;"&amp;($B293+1)*1000000000))</f>
        <v/>
      </c>
      <c r="E293" s="52">
        <f>IF($B293="","",SUMIFS(Grids!$BQ$160:$EC$219,Grids!$EE$160:$GQ$219,"&gt;="&amp;$B293*1000000000,Grids!$EE$160:$GQ$219,"&lt;"&amp;($B293+1)*1000000000))</f>
        <v/>
      </c>
      <c r="F293" s="53">
        <f>IF($B293="","",SUM($C$26:$C293))</f>
        <v/>
      </c>
      <c r="G293" s="53">
        <f>IF($B293="","",SUM($D$26:$D293))</f>
        <v/>
      </c>
      <c r="H293" s="53">
        <f>IF($B293="","",SUM($E$26:$E293))</f>
        <v/>
      </c>
    </row>
    <row r="294">
      <c r="B294" s="51">
        <f>IF(DATE(YEAR_Y,1,1)+268&gt;DATE(YEAR_Y,12,31),"",DATE(YEAR_Y,1,1)+268)</f>
        <v/>
      </c>
      <c r="C294" s="52">
        <f>IF($B294="","",SUMIFS(Grids!$BQ$12:$EC$111,Grids!$EE$12:$GQ$111,"&gt;="&amp;$B294*1000000000,Grids!$EE$12:$GQ$111,"&lt;"&amp;($B294+1)*1000000000))</f>
        <v/>
      </c>
      <c r="D294" s="52">
        <f>IF($B294="","",SUMIFS(Grids!$BQ$116:$EC$155,Grids!$EE$116:$GQ$155,"&gt;="&amp;$B294*1000000000,Grids!$EE$116:$GQ$155,"&lt;"&amp;($B294+1)*1000000000))</f>
        <v/>
      </c>
      <c r="E294" s="52">
        <f>IF($B294="","",SUMIFS(Grids!$BQ$160:$EC$219,Grids!$EE$160:$GQ$219,"&gt;="&amp;$B294*1000000000,Grids!$EE$160:$GQ$219,"&lt;"&amp;($B294+1)*1000000000))</f>
        <v/>
      </c>
      <c r="F294" s="53">
        <f>IF($B294="","",SUM($C$26:$C294))</f>
        <v/>
      </c>
      <c r="G294" s="53">
        <f>IF($B294="","",SUM($D$26:$D294))</f>
        <v/>
      </c>
      <c r="H294" s="53">
        <f>IF($B294="","",SUM($E$26:$E294))</f>
        <v/>
      </c>
    </row>
    <row r="295">
      <c r="B295" s="51">
        <f>IF(DATE(YEAR_Y,1,1)+269&gt;DATE(YEAR_Y,12,31),"",DATE(YEAR_Y,1,1)+269)</f>
        <v/>
      </c>
      <c r="C295" s="52">
        <f>IF($B295="","",SUMIFS(Grids!$BQ$12:$EC$111,Grids!$EE$12:$GQ$111,"&gt;="&amp;$B295*1000000000,Grids!$EE$12:$GQ$111,"&lt;"&amp;($B295+1)*1000000000))</f>
        <v/>
      </c>
      <c r="D295" s="52">
        <f>IF($B295="","",SUMIFS(Grids!$BQ$116:$EC$155,Grids!$EE$116:$GQ$155,"&gt;="&amp;$B295*1000000000,Grids!$EE$116:$GQ$155,"&lt;"&amp;($B295+1)*1000000000))</f>
        <v/>
      </c>
      <c r="E295" s="52">
        <f>IF($B295="","",SUMIFS(Grids!$BQ$160:$EC$219,Grids!$EE$160:$GQ$219,"&gt;="&amp;$B295*1000000000,Grids!$EE$160:$GQ$219,"&lt;"&amp;($B295+1)*1000000000))</f>
        <v/>
      </c>
      <c r="F295" s="53">
        <f>IF($B295="","",SUM($C$26:$C295))</f>
        <v/>
      </c>
      <c r="G295" s="53">
        <f>IF($B295="","",SUM($D$26:$D295))</f>
        <v/>
      </c>
      <c r="H295" s="53">
        <f>IF($B295="","",SUM($E$26:$E295))</f>
        <v/>
      </c>
    </row>
    <row r="296">
      <c r="B296" s="51">
        <f>IF(DATE(YEAR_Y,1,1)+270&gt;DATE(YEAR_Y,12,31),"",DATE(YEAR_Y,1,1)+270)</f>
        <v/>
      </c>
      <c r="C296" s="52">
        <f>IF($B296="","",SUMIFS(Grids!$BQ$12:$EC$111,Grids!$EE$12:$GQ$111,"&gt;="&amp;$B296*1000000000,Grids!$EE$12:$GQ$111,"&lt;"&amp;($B296+1)*1000000000))</f>
        <v/>
      </c>
      <c r="D296" s="52">
        <f>IF($B296="","",SUMIFS(Grids!$BQ$116:$EC$155,Grids!$EE$116:$GQ$155,"&gt;="&amp;$B296*1000000000,Grids!$EE$116:$GQ$155,"&lt;"&amp;($B296+1)*1000000000))</f>
        <v/>
      </c>
      <c r="E296" s="52">
        <f>IF($B296="","",SUMIFS(Grids!$BQ$160:$EC$219,Grids!$EE$160:$GQ$219,"&gt;="&amp;$B296*1000000000,Grids!$EE$160:$GQ$219,"&lt;"&amp;($B296+1)*1000000000))</f>
        <v/>
      </c>
      <c r="F296" s="53">
        <f>IF($B296="","",SUM($C$26:$C296))</f>
        <v/>
      </c>
      <c r="G296" s="53">
        <f>IF($B296="","",SUM($D$26:$D296))</f>
        <v/>
      </c>
      <c r="H296" s="53">
        <f>IF($B296="","",SUM($E$26:$E296))</f>
        <v/>
      </c>
    </row>
    <row r="297">
      <c r="B297" s="51">
        <f>IF(DATE(YEAR_Y,1,1)+271&gt;DATE(YEAR_Y,12,31),"",DATE(YEAR_Y,1,1)+271)</f>
        <v/>
      </c>
      <c r="C297" s="52">
        <f>IF($B297="","",SUMIFS(Grids!$BQ$12:$EC$111,Grids!$EE$12:$GQ$111,"&gt;="&amp;$B297*1000000000,Grids!$EE$12:$GQ$111,"&lt;"&amp;($B297+1)*1000000000))</f>
        <v/>
      </c>
      <c r="D297" s="52">
        <f>IF($B297="","",SUMIFS(Grids!$BQ$116:$EC$155,Grids!$EE$116:$GQ$155,"&gt;="&amp;$B297*1000000000,Grids!$EE$116:$GQ$155,"&lt;"&amp;($B297+1)*1000000000))</f>
        <v/>
      </c>
      <c r="E297" s="52">
        <f>IF($B297="","",SUMIFS(Grids!$BQ$160:$EC$219,Grids!$EE$160:$GQ$219,"&gt;="&amp;$B297*1000000000,Grids!$EE$160:$GQ$219,"&lt;"&amp;($B297+1)*1000000000))</f>
        <v/>
      </c>
      <c r="F297" s="53">
        <f>IF($B297="","",SUM($C$26:$C297))</f>
        <v/>
      </c>
      <c r="G297" s="53">
        <f>IF($B297="","",SUM($D$26:$D297))</f>
        <v/>
      </c>
      <c r="H297" s="53">
        <f>IF($B297="","",SUM($E$26:$E297))</f>
        <v/>
      </c>
    </row>
    <row r="298">
      <c r="B298" s="51">
        <f>IF(DATE(YEAR_Y,1,1)+272&gt;DATE(YEAR_Y,12,31),"",DATE(YEAR_Y,1,1)+272)</f>
        <v/>
      </c>
      <c r="C298" s="52">
        <f>IF($B298="","",SUMIFS(Grids!$BQ$12:$EC$111,Grids!$EE$12:$GQ$111,"&gt;="&amp;$B298*1000000000,Grids!$EE$12:$GQ$111,"&lt;"&amp;($B298+1)*1000000000))</f>
        <v/>
      </c>
      <c r="D298" s="52">
        <f>IF($B298="","",SUMIFS(Grids!$BQ$116:$EC$155,Grids!$EE$116:$GQ$155,"&gt;="&amp;$B298*1000000000,Grids!$EE$116:$GQ$155,"&lt;"&amp;($B298+1)*1000000000))</f>
        <v/>
      </c>
      <c r="E298" s="52">
        <f>IF($B298="","",SUMIFS(Grids!$BQ$160:$EC$219,Grids!$EE$160:$GQ$219,"&gt;="&amp;$B298*1000000000,Grids!$EE$160:$GQ$219,"&lt;"&amp;($B298+1)*1000000000))</f>
        <v/>
      </c>
      <c r="F298" s="53">
        <f>IF($B298="","",SUM($C$26:$C298))</f>
        <v/>
      </c>
      <c r="G298" s="53">
        <f>IF($B298="","",SUM($D$26:$D298))</f>
        <v/>
      </c>
      <c r="H298" s="53">
        <f>IF($B298="","",SUM($E$26:$E298))</f>
        <v/>
      </c>
    </row>
    <row r="299">
      <c r="B299" s="51">
        <f>IF(DATE(YEAR_Y,1,1)+273&gt;DATE(YEAR_Y,12,31),"",DATE(YEAR_Y,1,1)+273)</f>
        <v/>
      </c>
      <c r="C299" s="52">
        <f>IF($B299="","",SUMIFS(Grids!$BQ$12:$EC$111,Grids!$EE$12:$GQ$111,"&gt;="&amp;$B299*1000000000,Grids!$EE$12:$GQ$111,"&lt;"&amp;($B299+1)*1000000000))</f>
        <v/>
      </c>
      <c r="D299" s="52">
        <f>IF($B299="","",SUMIFS(Grids!$BQ$116:$EC$155,Grids!$EE$116:$GQ$155,"&gt;="&amp;$B299*1000000000,Grids!$EE$116:$GQ$155,"&lt;"&amp;($B299+1)*1000000000))</f>
        <v/>
      </c>
      <c r="E299" s="52">
        <f>IF($B299="","",SUMIFS(Grids!$BQ$160:$EC$219,Grids!$EE$160:$GQ$219,"&gt;="&amp;$B299*1000000000,Grids!$EE$160:$GQ$219,"&lt;"&amp;($B299+1)*1000000000))</f>
        <v/>
      </c>
      <c r="F299" s="53">
        <f>IF($B299="","",SUM($C$26:$C299))</f>
        <v/>
      </c>
      <c r="G299" s="53">
        <f>IF($B299="","",SUM($D$26:$D299))</f>
        <v/>
      </c>
      <c r="H299" s="53">
        <f>IF($B299="","",SUM($E$26:$E299))</f>
        <v/>
      </c>
    </row>
    <row r="300">
      <c r="B300" s="51">
        <f>IF(DATE(YEAR_Y,1,1)+274&gt;DATE(YEAR_Y,12,31),"",DATE(YEAR_Y,1,1)+274)</f>
        <v/>
      </c>
      <c r="C300" s="52">
        <f>IF($B300="","",SUMIFS(Grids!$BQ$12:$EC$111,Grids!$EE$12:$GQ$111,"&gt;="&amp;$B300*1000000000,Grids!$EE$12:$GQ$111,"&lt;"&amp;($B300+1)*1000000000))</f>
        <v/>
      </c>
      <c r="D300" s="52">
        <f>IF($B300="","",SUMIFS(Grids!$BQ$116:$EC$155,Grids!$EE$116:$GQ$155,"&gt;="&amp;$B300*1000000000,Grids!$EE$116:$GQ$155,"&lt;"&amp;($B300+1)*1000000000))</f>
        <v/>
      </c>
      <c r="E300" s="52">
        <f>IF($B300="","",SUMIFS(Grids!$BQ$160:$EC$219,Grids!$EE$160:$GQ$219,"&gt;="&amp;$B300*1000000000,Grids!$EE$160:$GQ$219,"&lt;"&amp;($B300+1)*1000000000))</f>
        <v/>
      </c>
      <c r="F300" s="53">
        <f>IF($B300="","",SUM($C$26:$C300))</f>
        <v/>
      </c>
      <c r="G300" s="53">
        <f>IF($B300="","",SUM($D$26:$D300))</f>
        <v/>
      </c>
      <c r="H300" s="53">
        <f>IF($B300="","",SUM($E$26:$E300))</f>
        <v/>
      </c>
    </row>
    <row r="301">
      <c r="B301" s="51">
        <f>IF(DATE(YEAR_Y,1,1)+275&gt;DATE(YEAR_Y,12,31),"",DATE(YEAR_Y,1,1)+275)</f>
        <v/>
      </c>
      <c r="C301" s="52">
        <f>IF($B301="","",SUMIFS(Grids!$BQ$12:$EC$111,Grids!$EE$12:$GQ$111,"&gt;="&amp;$B301*1000000000,Grids!$EE$12:$GQ$111,"&lt;"&amp;($B301+1)*1000000000))</f>
        <v/>
      </c>
      <c r="D301" s="52">
        <f>IF($B301="","",SUMIFS(Grids!$BQ$116:$EC$155,Grids!$EE$116:$GQ$155,"&gt;="&amp;$B301*1000000000,Grids!$EE$116:$GQ$155,"&lt;"&amp;($B301+1)*1000000000))</f>
        <v/>
      </c>
      <c r="E301" s="52">
        <f>IF($B301="","",SUMIFS(Grids!$BQ$160:$EC$219,Grids!$EE$160:$GQ$219,"&gt;="&amp;$B301*1000000000,Grids!$EE$160:$GQ$219,"&lt;"&amp;($B301+1)*1000000000))</f>
        <v/>
      </c>
      <c r="F301" s="53">
        <f>IF($B301="","",SUM($C$26:$C301))</f>
        <v/>
      </c>
      <c r="G301" s="53">
        <f>IF($B301="","",SUM($D$26:$D301))</f>
        <v/>
      </c>
      <c r="H301" s="53">
        <f>IF($B301="","",SUM($E$26:$E301))</f>
        <v/>
      </c>
    </row>
    <row r="302">
      <c r="B302" s="51">
        <f>IF(DATE(YEAR_Y,1,1)+276&gt;DATE(YEAR_Y,12,31),"",DATE(YEAR_Y,1,1)+276)</f>
        <v/>
      </c>
      <c r="C302" s="52">
        <f>IF($B302="","",SUMIFS(Grids!$BQ$12:$EC$111,Grids!$EE$12:$GQ$111,"&gt;="&amp;$B302*1000000000,Grids!$EE$12:$GQ$111,"&lt;"&amp;($B302+1)*1000000000))</f>
        <v/>
      </c>
      <c r="D302" s="52">
        <f>IF($B302="","",SUMIFS(Grids!$BQ$116:$EC$155,Grids!$EE$116:$GQ$155,"&gt;="&amp;$B302*1000000000,Grids!$EE$116:$GQ$155,"&lt;"&amp;($B302+1)*1000000000))</f>
        <v/>
      </c>
      <c r="E302" s="52">
        <f>IF($B302="","",SUMIFS(Grids!$BQ$160:$EC$219,Grids!$EE$160:$GQ$219,"&gt;="&amp;$B302*1000000000,Grids!$EE$160:$GQ$219,"&lt;"&amp;($B302+1)*1000000000))</f>
        <v/>
      </c>
      <c r="F302" s="53">
        <f>IF($B302="","",SUM($C$26:$C302))</f>
        <v/>
      </c>
      <c r="G302" s="53">
        <f>IF($B302="","",SUM($D$26:$D302))</f>
        <v/>
      </c>
      <c r="H302" s="53">
        <f>IF($B302="","",SUM($E$26:$E302))</f>
        <v/>
      </c>
    </row>
    <row r="303">
      <c r="B303" s="51">
        <f>IF(DATE(YEAR_Y,1,1)+277&gt;DATE(YEAR_Y,12,31),"",DATE(YEAR_Y,1,1)+277)</f>
        <v/>
      </c>
      <c r="C303" s="52">
        <f>IF($B303="","",SUMIFS(Grids!$BQ$12:$EC$111,Grids!$EE$12:$GQ$111,"&gt;="&amp;$B303*1000000000,Grids!$EE$12:$GQ$111,"&lt;"&amp;($B303+1)*1000000000))</f>
        <v/>
      </c>
      <c r="D303" s="52">
        <f>IF($B303="","",SUMIFS(Grids!$BQ$116:$EC$155,Grids!$EE$116:$GQ$155,"&gt;="&amp;$B303*1000000000,Grids!$EE$116:$GQ$155,"&lt;"&amp;($B303+1)*1000000000))</f>
        <v/>
      </c>
      <c r="E303" s="52">
        <f>IF($B303="","",SUMIFS(Grids!$BQ$160:$EC$219,Grids!$EE$160:$GQ$219,"&gt;="&amp;$B303*1000000000,Grids!$EE$160:$GQ$219,"&lt;"&amp;($B303+1)*1000000000))</f>
        <v/>
      </c>
      <c r="F303" s="53">
        <f>IF($B303="","",SUM($C$26:$C303))</f>
        <v/>
      </c>
      <c r="G303" s="53">
        <f>IF($B303="","",SUM($D$26:$D303))</f>
        <v/>
      </c>
      <c r="H303" s="53">
        <f>IF($B303="","",SUM($E$26:$E303))</f>
        <v/>
      </c>
    </row>
    <row r="304">
      <c r="B304" s="51">
        <f>IF(DATE(YEAR_Y,1,1)+278&gt;DATE(YEAR_Y,12,31),"",DATE(YEAR_Y,1,1)+278)</f>
        <v/>
      </c>
      <c r="C304" s="52">
        <f>IF($B304="","",SUMIFS(Grids!$BQ$12:$EC$111,Grids!$EE$12:$GQ$111,"&gt;="&amp;$B304*1000000000,Grids!$EE$12:$GQ$111,"&lt;"&amp;($B304+1)*1000000000))</f>
        <v/>
      </c>
      <c r="D304" s="52">
        <f>IF($B304="","",SUMIFS(Grids!$BQ$116:$EC$155,Grids!$EE$116:$GQ$155,"&gt;="&amp;$B304*1000000000,Grids!$EE$116:$GQ$155,"&lt;"&amp;($B304+1)*1000000000))</f>
        <v/>
      </c>
      <c r="E304" s="52">
        <f>IF($B304="","",SUMIFS(Grids!$BQ$160:$EC$219,Grids!$EE$160:$GQ$219,"&gt;="&amp;$B304*1000000000,Grids!$EE$160:$GQ$219,"&lt;"&amp;($B304+1)*1000000000))</f>
        <v/>
      </c>
      <c r="F304" s="53">
        <f>IF($B304="","",SUM($C$26:$C304))</f>
        <v/>
      </c>
      <c r="G304" s="53">
        <f>IF($B304="","",SUM($D$26:$D304))</f>
        <v/>
      </c>
      <c r="H304" s="53">
        <f>IF($B304="","",SUM($E$26:$E304))</f>
        <v/>
      </c>
    </row>
    <row r="305">
      <c r="B305" s="51">
        <f>IF(DATE(YEAR_Y,1,1)+279&gt;DATE(YEAR_Y,12,31),"",DATE(YEAR_Y,1,1)+279)</f>
        <v/>
      </c>
      <c r="C305" s="52">
        <f>IF($B305="","",SUMIFS(Grids!$BQ$12:$EC$111,Grids!$EE$12:$GQ$111,"&gt;="&amp;$B305*1000000000,Grids!$EE$12:$GQ$111,"&lt;"&amp;($B305+1)*1000000000))</f>
        <v/>
      </c>
      <c r="D305" s="52">
        <f>IF($B305="","",SUMIFS(Grids!$BQ$116:$EC$155,Grids!$EE$116:$GQ$155,"&gt;="&amp;$B305*1000000000,Grids!$EE$116:$GQ$155,"&lt;"&amp;($B305+1)*1000000000))</f>
        <v/>
      </c>
      <c r="E305" s="52">
        <f>IF($B305="","",SUMIFS(Grids!$BQ$160:$EC$219,Grids!$EE$160:$GQ$219,"&gt;="&amp;$B305*1000000000,Grids!$EE$160:$GQ$219,"&lt;"&amp;($B305+1)*1000000000))</f>
        <v/>
      </c>
      <c r="F305" s="53">
        <f>IF($B305="","",SUM($C$26:$C305))</f>
        <v/>
      </c>
      <c r="G305" s="53">
        <f>IF($B305="","",SUM($D$26:$D305))</f>
        <v/>
      </c>
      <c r="H305" s="53">
        <f>IF($B305="","",SUM($E$26:$E305))</f>
        <v/>
      </c>
    </row>
    <row r="306">
      <c r="B306" s="51">
        <f>IF(DATE(YEAR_Y,1,1)+280&gt;DATE(YEAR_Y,12,31),"",DATE(YEAR_Y,1,1)+280)</f>
        <v/>
      </c>
      <c r="C306" s="52">
        <f>IF($B306="","",SUMIFS(Grids!$BQ$12:$EC$111,Grids!$EE$12:$GQ$111,"&gt;="&amp;$B306*1000000000,Grids!$EE$12:$GQ$111,"&lt;"&amp;($B306+1)*1000000000))</f>
        <v/>
      </c>
      <c r="D306" s="52">
        <f>IF($B306="","",SUMIFS(Grids!$BQ$116:$EC$155,Grids!$EE$116:$GQ$155,"&gt;="&amp;$B306*1000000000,Grids!$EE$116:$GQ$155,"&lt;"&amp;($B306+1)*1000000000))</f>
        <v/>
      </c>
      <c r="E306" s="52">
        <f>IF($B306="","",SUMIFS(Grids!$BQ$160:$EC$219,Grids!$EE$160:$GQ$219,"&gt;="&amp;$B306*1000000000,Grids!$EE$160:$GQ$219,"&lt;"&amp;($B306+1)*1000000000))</f>
        <v/>
      </c>
      <c r="F306" s="53">
        <f>IF($B306="","",SUM($C$26:$C306))</f>
        <v/>
      </c>
      <c r="G306" s="53">
        <f>IF($B306="","",SUM($D$26:$D306))</f>
        <v/>
      </c>
      <c r="H306" s="53">
        <f>IF($B306="","",SUM($E$26:$E306))</f>
        <v/>
      </c>
    </row>
    <row r="307">
      <c r="B307" s="51">
        <f>IF(DATE(YEAR_Y,1,1)+281&gt;DATE(YEAR_Y,12,31),"",DATE(YEAR_Y,1,1)+281)</f>
        <v/>
      </c>
      <c r="C307" s="52">
        <f>IF($B307="","",SUMIFS(Grids!$BQ$12:$EC$111,Grids!$EE$12:$GQ$111,"&gt;="&amp;$B307*1000000000,Grids!$EE$12:$GQ$111,"&lt;"&amp;($B307+1)*1000000000))</f>
        <v/>
      </c>
      <c r="D307" s="52">
        <f>IF($B307="","",SUMIFS(Grids!$BQ$116:$EC$155,Grids!$EE$116:$GQ$155,"&gt;="&amp;$B307*1000000000,Grids!$EE$116:$GQ$155,"&lt;"&amp;($B307+1)*1000000000))</f>
        <v/>
      </c>
      <c r="E307" s="52">
        <f>IF($B307="","",SUMIFS(Grids!$BQ$160:$EC$219,Grids!$EE$160:$GQ$219,"&gt;="&amp;$B307*1000000000,Grids!$EE$160:$GQ$219,"&lt;"&amp;($B307+1)*1000000000))</f>
        <v/>
      </c>
      <c r="F307" s="53">
        <f>IF($B307="","",SUM($C$26:$C307))</f>
        <v/>
      </c>
      <c r="G307" s="53">
        <f>IF($B307="","",SUM($D$26:$D307))</f>
        <v/>
      </c>
      <c r="H307" s="53">
        <f>IF($B307="","",SUM($E$26:$E307))</f>
        <v/>
      </c>
    </row>
    <row r="308">
      <c r="B308" s="51">
        <f>IF(DATE(YEAR_Y,1,1)+282&gt;DATE(YEAR_Y,12,31),"",DATE(YEAR_Y,1,1)+282)</f>
        <v/>
      </c>
      <c r="C308" s="52">
        <f>IF($B308="","",SUMIFS(Grids!$BQ$12:$EC$111,Grids!$EE$12:$GQ$111,"&gt;="&amp;$B308*1000000000,Grids!$EE$12:$GQ$111,"&lt;"&amp;($B308+1)*1000000000))</f>
        <v/>
      </c>
      <c r="D308" s="52">
        <f>IF($B308="","",SUMIFS(Grids!$BQ$116:$EC$155,Grids!$EE$116:$GQ$155,"&gt;="&amp;$B308*1000000000,Grids!$EE$116:$GQ$155,"&lt;"&amp;($B308+1)*1000000000))</f>
        <v/>
      </c>
      <c r="E308" s="52">
        <f>IF($B308="","",SUMIFS(Grids!$BQ$160:$EC$219,Grids!$EE$160:$GQ$219,"&gt;="&amp;$B308*1000000000,Grids!$EE$160:$GQ$219,"&lt;"&amp;($B308+1)*1000000000))</f>
        <v/>
      </c>
      <c r="F308" s="53">
        <f>IF($B308="","",SUM($C$26:$C308))</f>
        <v/>
      </c>
      <c r="G308" s="53">
        <f>IF($B308="","",SUM($D$26:$D308))</f>
        <v/>
      </c>
      <c r="H308" s="53">
        <f>IF($B308="","",SUM($E$26:$E308))</f>
        <v/>
      </c>
    </row>
    <row r="309">
      <c r="B309" s="51">
        <f>IF(DATE(YEAR_Y,1,1)+283&gt;DATE(YEAR_Y,12,31),"",DATE(YEAR_Y,1,1)+283)</f>
        <v/>
      </c>
      <c r="C309" s="52">
        <f>IF($B309="","",SUMIFS(Grids!$BQ$12:$EC$111,Grids!$EE$12:$GQ$111,"&gt;="&amp;$B309*1000000000,Grids!$EE$12:$GQ$111,"&lt;"&amp;($B309+1)*1000000000))</f>
        <v/>
      </c>
      <c r="D309" s="52">
        <f>IF($B309="","",SUMIFS(Grids!$BQ$116:$EC$155,Grids!$EE$116:$GQ$155,"&gt;="&amp;$B309*1000000000,Grids!$EE$116:$GQ$155,"&lt;"&amp;($B309+1)*1000000000))</f>
        <v/>
      </c>
      <c r="E309" s="52">
        <f>IF($B309="","",SUMIFS(Grids!$BQ$160:$EC$219,Grids!$EE$160:$GQ$219,"&gt;="&amp;$B309*1000000000,Grids!$EE$160:$GQ$219,"&lt;"&amp;($B309+1)*1000000000))</f>
        <v/>
      </c>
      <c r="F309" s="53">
        <f>IF($B309="","",SUM($C$26:$C309))</f>
        <v/>
      </c>
      <c r="G309" s="53">
        <f>IF($B309="","",SUM($D$26:$D309))</f>
        <v/>
      </c>
      <c r="H309" s="53">
        <f>IF($B309="","",SUM($E$26:$E309))</f>
        <v/>
      </c>
    </row>
    <row r="310">
      <c r="B310" s="51">
        <f>IF(DATE(YEAR_Y,1,1)+284&gt;DATE(YEAR_Y,12,31),"",DATE(YEAR_Y,1,1)+284)</f>
        <v/>
      </c>
      <c r="C310" s="52">
        <f>IF($B310="","",SUMIFS(Grids!$BQ$12:$EC$111,Grids!$EE$12:$GQ$111,"&gt;="&amp;$B310*1000000000,Grids!$EE$12:$GQ$111,"&lt;"&amp;($B310+1)*1000000000))</f>
        <v/>
      </c>
      <c r="D310" s="52">
        <f>IF($B310="","",SUMIFS(Grids!$BQ$116:$EC$155,Grids!$EE$116:$GQ$155,"&gt;="&amp;$B310*1000000000,Grids!$EE$116:$GQ$155,"&lt;"&amp;($B310+1)*1000000000))</f>
        <v/>
      </c>
      <c r="E310" s="52">
        <f>IF($B310="","",SUMIFS(Grids!$BQ$160:$EC$219,Grids!$EE$160:$GQ$219,"&gt;="&amp;$B310*1000000000,Grids!$EE$160:$GQ$219,"&lt;"&amp;($B310+1)*1000000000))</f>
        <v/>
      </c>
      <c r="F310" s="53">
        <f>IF($B310="","",SUM($C$26:$C310))</f>
        <v/>
      </c>
      <c r="G310" s="53">
        <f>IF($B310="","",SUM($D$26:$D310))</f>
        <v/>
      </c>
      <c r="H310" s="53">
        <f>IF($B310="","",SUM($E$26:$E310))</f>
        <v/>
      </c>
    </row>
    <row r="311">
      <c r="B311" s="51">
        <f>IF(DATE(YEAR_Y,1,1)+285&gt;DATE(YEAR_Y,12,31),"",DATE(YEAR_Y,1,1)+285)</f>
        <v/>
      </c>
      <c r="C311" s="52">
        <f>IF($B311="","",SUMIFS(Grids!$BQ$12:$EC$111,Grids!$EE$12:$GQ$111,"&gt;="&amp;$B311*1000000000,Grids!$EE$12:$GQ$111,"&lt;"&amp;($B311+1)*1000000000))</f>
        <v/>
      </c>
      <c r="D311" s="52">
        <f>IF($B311="","",SUMIFS(Grids!$BQ$116:$EC$155,Grids!$EE$116:$GQ$155,"&gt;="&amp;$B311*1000000000,Grids!$EE$116:$GQ$155,"&lt;"&amp;($B311+1)*1000000000))</f>
        <v/>
      </c>
      <c r="E311" s="52">
        <f>IF($B311="","",SUMIFS(Grids!$BQ$160:$EC$219,Grids!$EE$160:$GQ$219,"&gt;="&amp;$B311*1000000000,Grids!$EE$160:$GQ$219,"&lt;"&amp;($B311+1)*1000000000))</f>
        <v/>
      </c>
      <c r="F311" s="53">
        <f>IF($B311="","",SUM($C$26:$C311))</f>
        <v/>
      </c>
      <c r="G311" s="53">
        <f>IF($B311="","",SUM($D$26:$D311))</f>
        <v/>
      </c>
      <c r="H311" s="53">
        <f>IF($B311="","",SUM($E$26:$E311))</f>
        <v/>
      </c>
    </row>
    <row r="312">
      <c r="B312" s="51">
        <f>IF(DATE(YEAR_Y,1,1)+286&gt;DATE(YEAR_Y,12,31),"",DATE(YEAR_Y,1,1)+286)</f>
        <v/>
      </c>
      <c r="C312" s="52">
        <f>IF($B312="","",SUMIFS(Grids!$BQ$12:$EC$111,Grids!$EE$12:$GQ$111,"&gt;="&amp;$B312*1000000000,Grids!$EE$12:$GQ$111,"&lt;"&amp;($B312+1)*1000000000))</f>
        <v/>
      </c>
      <c r="D312" s="52">
        <f>IF($B312="","",SUMIFS(Grids!$BQ$116:$EC$155,Grids!$EE$116:$GQ$155,"&gt;="&amp;$B312*1000000000,Grids!$EE$116:$GQ$155,"&lt;"&amp;($B312+1)*1000000000))</f>
        <v/>
      </c>
      <c r="E312" s="52">
        <f>IF($B312="","",SUMIFS(Grids!$BQ$160:$EC$219,Grids!$EE$160:$GQ$219,"&gt;="&amp;$B312*1000000000,Grids!$EE$160:$GQ$219,"&lt;"&amp;($B312+1)*1000000000))</f>
        <v/>
      </c>
      <c r="F312" s="53">
        <f>IF($B312="","",SUM($C$26:$C312))</f>
        <v/>
      </c>
      <c r="G312" s="53">
        <f>IF($B312="","",SUM($D$26:$D312))</f>
        <v/>
      </c>
      <c r="H312" s="53">
        <f>IF($B312="","",SUM($E$26:$E312))</f>
        <v/>
      </c>
    </row>
    <row r="313">
      <c r="B313" s="51">
        <f>IF(DATE(YEAR_Y,1,1)+287&gt;DATE(YEAR_Y,12,31),"",DATE(YEAR_Y,1,1)+287)</f>
        <v/>
      </c>
      <c r="C313" s="52">
        <f>IF($B313="","",SUMIFS(Grids!$BQ$12:$EC$111,Grids!$EE$12:$GQ$111,"&gt;="&amp;$B313*1000000000,Grids!$EE$12:$GQ$111,"&lt;"&amp;($B313+1)*1000000000))</f>
        <v/>
      </c>
      <c r="D313" s="52">
        <f>IF($B313="","",SUMIFS(Grids!$BQ$116:$EC$155,Grids!$EE$116:$GQ$155,"&gt;="&amp;$B313*1000000000,Grids!$EE$116:$GQ$155,"&lt;"&amp;($B313+1)*1000000000))</f>
        <v/>
      </c>
      <c r="E313" s="52">
        <f>IF($B313="","",SUMIFS(Grids!$BQ$160:$EC$219,Grids!$EE$160:$GQ$219,"&gt;="&amp;$B313*1000000000,Grids!$EE$160:$GQ$219,"&lt;"&amp;($B313+1)*1000000000))</f>
        <v/>
      </c>
      <c r="F313" s="53">
        <f>IF($B313="","",SUM($C$26:$C313))</f>
        <v/>
      </c>
      <c r="G313" s="53">
        <f>IF($B313="","",SUM($D$26:$D313))</f>
        <v/>
      </c>
      <c r="H313" s="53">
        <f>IF($B313="","",SUM($E$26:$E313))</f>
        <v/>
      </c>
    </row>
    <row r="314">
      <c r="B314" s="51">
        <f>IF(DATE(YEAR_Y,1,1)+288&gt;DATE(YEAR_Y,12,31),"",DATE(YEAR_Y,1,1)+288)</f>
        <v/>
      </c>
      <c r="C314" s="52">
        <f>IF($B314="","",SUMIFS(Grids!$BQ$12:$EC$111,Grids!$EE$12:$GQ$111,"&gt;="&amp;$B314*1000000000,Grids!$EE$12:$GQ$111,"&lt;"&amp;($B314+1)*1000000000))</f>
        <v/>
      </c>
      <c r="D314" s="52">
        <f>IF($B314="","",SUMIFS(Grids!$BQ$116:$EC$155,Grids!$EE$116:$GQ$155,"&gt;="&amp;$B314*1000000000,Grids!$EE$116:$GQ$155,"&lt;"&amp;($B314+1)*1000000000))</f>
        <v/>
      </c>
      <c r="E314" s="52">
        <f>IF($B314="","",SUMIFS(Grids!$BQ$160:$EC$219,Grids!$EE$160:$GQ$219,"&gt;="&amp;$B314*1000000000,Grids!$EE$160:$GQ$219,"&lt;"&amp;($B314+1)*1000000000))</f>
        <v/>
      </c>
      <c r="F314" s="53">
        <f>IF($B314="","",SUM($C$26:$C314))</f>
        <v/>
      </c>
      <c r="G314" s="53">
        <f>IF($B314="","",SUM($D$26:$D314))</f>
        <v/>
      </c>
      <c r="H314" s="53">
        <f>IF($B314="","",SUM($E$26:$E314))</f>
        <v/>
      </c>
    </row>
    <row r="315">
      <c r="B315" s="51">
        <f>IF(DATE(YEAR_Y,1,1)+289&gt;DATE(YEAR_Y,12,31),"",DATE(YEAR_Y,1,1)+289)</f>
        <v/>
      </c>
      <c r="C315" s="52">
        <f>IF($B315="","",SUMIFS(Grids!$BQ$12:$EC$111,Grids!$EE$12:$GQ$111,"&gt;="&amp;$B315*1000000000,Grids!$EE$12:$GQ$111,"&lt;"&amp;($B315+1)*1000000000))</f>
        <v/>
      </c>
      <c r="D315" s="52">
        <f>IF($B315="","",SUMIFS(Grids!$BQ$116:$EC$155,Grids!$EE$116:$GQ$155,"&gt;="&amp;$B315*1000000000,Grids!$EE$116:$GQ$155,"&lt;"&amp;($B315+1)*1000000000))</f>
        <v/>
      </c>
      <c r="E315" s="52">
        <f>IF($B315="","",SUMIFS(Grids!$BQ$160:$EC$219,Grids!$EE$160:$GQ$219,"&gt;="&amp;$B315*1000000000,Grids!$EE$160:$GQ$219,"&lt;"&amp;($B315+1)*1000000000))</f>
        <v/>
      </c>
      <c r="F315" s="53">
        <f>IF($B315="","",SUM($C$26:$C315))</f>
        <v/>
      </c>
      <c r="G315" s="53">
        <f>IF($B315="","",SUM($D$26:$D315))</f>
        <v/>
      </c>
      <c r="H315" s="53">
        <f>IF($B315="","",SUM($E$26:$E315))</f>
        <v/>
      </c>
    </row>
    <row r="316">
      <c r="B316" s="51">
        <f>IF(DATE(YEAR_Y,1,1)+290&gt;DATE(YEAR_Y,12,31),"",DATE(YEAR_Y,1,1)+290)</f>
        <v/>
      </c>
      <c r="C316" s="52">
        <f>IF($B316="","",SUMIFS(Grids!$BQ$12:$EC$111,Grids!$EE$12:$GQ$111,"&gt;="&amp;$B316*1000000000,Grids!$EE$12:$GQ$111,"&lt;"&amp;($B316+1)*1000000000))</f>
        <v/>
      </c>
      <c r="D316" s="52">
        <f>IF($B316="","",SUMIFS(Grids!$BQ$116:$EC$155,Grids!$EE$116:$GQ$155,"&gt;="&amp;$B316*1000000000,Grids!$EE$116:$GQ$155,"&lt;"&amp;($B316+1)*1000000000))</f>
        <v/>
      </c>
      <c r="E316" s="52">
        <f>IF($B316="","",SUMIFS(Grids!$BQ$160:$EC$219,Grids!$EE$160:$GQ$219,"&gt;="&amp;$B316*1000000000,Grids!$EE$160:$GQ$219,"&lt;"&amp;($B316+1)*1000000000))</f>
        <v/>
      </c>
      <c r="F316" s="53">
        <f>IF($B316="","",SUM($C$26:$C316))</f>
        <v/>
      </c>
      <c r="G316" s="53">
        <f>IF($B316="","",SUM($D$26:$D316))</f>
        <v/>
      </c>
      <c r="H316" s="53">
        <f>IF($B316="","",SUM($E$26:$E316))</f>
        <v/>
      </c>
    </row>
    <row r="317">
      <c r="B317" s="51">
        <f>IF(DATE(YEAR_Y,1,1)+291&gt;DATE(YEAR_Y,12,31),"",DATE(YEAR_Y,1,1)+291)</f>
        <v/>
      </c>
      <c r="C317" s="52">
        <f>IF($B317="","",SUMIFS(Grids!$BQ$12:$EC$111,Grids!$EE$12:$GQ$111,"&gt;="&amp;$B317*1000000000,Grids!$EE$12:$GQ$111,"&lt;"&amp;($B317+1)*1000000000))</f>
        <v/>
      </c>
      <c r="D317" s="52">
        <f>IF($B317="","",SUMIFS(Grids!$BQ$116:$EC$155,Grids!$EE$116:$GQ$155,"&gt;="&amp;$B317*1000000000,Grids!$EE$116:$GQ$155,"&lt;"&amp;($B317+1)*1000000000))</f>
        <v/>
      </c>
      <c r="E317" s="52">
        <f>IF($B317="","",SUMIFS(Grids!$BQ$160:$EC$219,Grids!$EE$160:$GQ$219,"&gt;="&amp;$B317*1000000000,Grids!$EE$160:$GQ$219,"&lt;"&amp;($B317+1)*1000000000))</f>
        <v/>
      </c>
      <c r="F317" s="53">
        <f>IF($B317="","",SUM($C$26:$C317))</f>
        <v/>
      </c>
      <c r="G317" s="53">
        <f>IF($B317="","",SUM($D$26:$D317))</f>
        <v/>
      </c>
      <c r="H317" s="53">
        <f>IF($B317="","",SUM($E$26:$E317))</f>
        <v/>
      </c>
    </row>
    <row r="318">
      <c r="B318" s="51">
        <f>IF(DATE(YEAR_Y,1,1)+292&gt;DATE(YEAR_Y,12,31),"",DATE(YEAR_Y,1,1)+292)</f>
        <v/>
      </c>
      <c r="C318" s="52">
        <f>IF($B318="","",SUMIFS(Grids!$BQ$12:$EC$111,Grids!$EE$12:$GQ$111,"&gt;="&amp;$B318*1000000000,Grids!$EE$12:$GQ$111,"&lt;"&amp;($B318+1)*1000000000))</f>
        <v/>
      </c>
      <c r="D318" s="52">
        <f>IF($B318="","",SUMIFS(Grids!$BQ$116:$EC$155,Grids!$EE$116:$GQ$155,"&gt;="&amp;$B318*1000000000,Grids!$EE$116:$GQ$155,"&lt;"&amp;($B318+1)*1000000000))</f>
        <v/>
      </c>
      <c r="E318" s="52">
        <f>IF($B318="","",SUMIFS(Grids!$BQ$160:$EC$219,Grids!$EE$160:$GQ$219,"&gt;="&amp;$B318*1000000000,Grids!$EE$160:$GQ$219,"&lt;"&amp;($B318+1)*1000000000))</f>
        <v/>
      </c>
      <c r="F318" s="53">
        <f>IF($B318="","",SUM($C$26:$C318))</f>
        <v/>
      </c>
      <c r="G318" s="53">
        <f>IF($B318="","",SUM($D$26:$D318))</f>
        <v/>
      </c>
      <c r="H318" s="53">
        <f>IF($B318="","",SUM($E$26:$E318))</f>
        <v/>
      </c>
    </row>
    <row r="319">
      <c r="B319" s="51">
        <f>IF(DATE(YEAR_Y,1,1)+293&gt;DATE(YEAR_Y,12,31),"",DATE(YEAR_Y,1,1)+293)</f>
        <v/>
      </c>
      <c r="C319" s="52">
        <f>IF($B319="","",SUMIFS(Grids!$BQ$12:$EC$111,Grids!$EE$12:$GQ$111,"&gt;="&amp;$B319*1000000000,Grids!$EE$12:$GQ$111,"&lt;"&amp;($B319+1)*1000000000))</f>
        <v/>
      </c>
      <c r="D319" s="52">
        <f>IF($B319="","",SUMIFS(Grids!$BQ$116:$EC$155,Grids!$EE$116:$GQ$155,"&gt;="&amp;$B319*1000000000,Grids!$EE$116:$GQ$155,"&lt;"&amp;($B319+1)*1000000000))</f>
        <v/>
      </c>
      <c r="E319" s="52">
        <f>IF($B319="","",SUMIFS(Grids!$BQ$160:$EC$219,Grids!$EE$160:$GQ$219,"&gt;="&amp;$B319*1000000000,Grids!$EE$160:$GQ$219,"&lt;"&amp;($B319+1)*1000000000))</f>
        <v/>
      </c>
      <c r="F319" s="53">
        <f>IF($B319="","",SUM($C$26:$C319))</f>
        <v/>
      </c>
      <c r="G319" s="53">
        <f>IF($B319="","",SUM($D$26:$D319))</f>
        <v/>
      </c>
      <c r="H319" s="53">
        <f>IF($B319="","",SUM($E$26:$E319))</f>
        <v/>
      </c>
    </row>
    <row r="320">
      <c r="B320" s="51">
        <f>IF(DATE(YEAR_Y,1,1)+294&gt;DATE(YEAR_Y,12,31),"",DATE(YEAR_Y,1,1)+294)</f>
        <v/>
      </c>
      <c r="C320" s="52">
        <f>IF($B320="","",SUMIFS(Grids!$BQ$12:$EC$111,Grids!$EE$12:$GQ$111,"&gt;="&amp;$B320*1000000000,Grids!$EE$12:$GQ$111,"&lt;"&amp;($B320+1)*1000000000))</f>
        <v/>
      </c>
      <c r="D320" s="52">
        <f>IF($B320="","",SUMIFS(Grids!$BQ$116:$EC$155,Grids!$EE$116:$GQ$155,"&gt;="&amp;$B320*1000000000,Grids!$EE$116:$GQ$155,"&lt;"&amp;($B320+1)*1000000000))</f>
        <v/>
      </c>
      <c r="E320" s="52">
        <f>IF($B320="","",SUMIFS(Grids!$BQ$160:$EC$219,Grids!$EE$160:$GQ$219,"&gt;="&amp;$B320*1000000000,Grids!$EE$160:$GQ$219,"&lt;"&amp;($B320+1)*1000000000))</f>
        <v/>
      </c>
      <c r="F320" s="53">
        <f>IF($B320="","",SUM($C$26:$C320))</f>
        <v/>
      </c>
      <c r="G320" s="53">
        <f>IF($B320="","",SUM($D$26:$D320))</f>
        <v/>
      </c>
      <c r="H320" s="53">
        <f>IF($B320="","",SUM($E$26:$E320))</f>
        <v/>
      </c>
    </row>
    <row r="321">
      <c r="B321" s="51">
        <f>IF(DATE(YEAR_Y,1,1)+295&gt;DATE(YEAR_Y,12,31),"",DATE(YEAR_Y,1,1)+295)</f>
        <v/>
      </c>
      <c r="C321" s="52">
        <f>IF($B321="","",SUMIFS(Grids!$BQ$12:$EC$111,Grids!$EE$12:$GQ$111,"&gt;="&amp;$B321*1000000000,Grids!$EE$12:$GQ$111,"&lt;"&amp;($B321+1)*1000000000))</f>
        <v/>
      </c>
      <c r="D321" s="52">
        <f>IF($B321="","",SUMIFS(Grids!$BQ$116:$EC$155,Grids!$EE$116:$GQ$155,"&gt;="&amp;$B321*1000000000,Grids!$EE$116:$GQ$155,"&lt;"&amp;($B321+1)*1000000000))</f>
        <v/>
      </c>
      <c r="E321" s="52">
        <f>IF($B321="","",SUMIFS(Grids!$BQ$160:$EC$219,Grids!$EE$160:$GQ$219,"&gt;="&amp;$B321*1000000000,Grids!$EE$160:$GQ$219,"&lt;"&amp;($B321+1)*1000000000))</f>
        <v/>
      </c>
      <c r="F321" s="53">
        <f>IF($B321="","",SUM($C$26:$C321))</f>
        <v/>
      </c>
      <c r="G321" s="53">
        <f>IF($B321="","",SUM($D$26:$D321))</f>
        <v/>
      </c>
      <c r="H321" s="53">
        <f>IF($B321="","",SUM($E$26:$E321))</f>
        <v/>
      </c>
    </row>
    <row r="322">
      <c r="B322" s="51">
        <f>IF(DATE(YEAR_Y,1,1)+296&gt;DATE(YEAR_Y,12,31),"",DATE(YEAR_Y,1,1)+296)</f>
        <v/>
      </c>
      <c r="C322" s="52">
        <f>IF($B322="","",SUMIFS(Grids!$BQ$12:$EC$111,Grids!$EE$12:$GQ$111,"&gt;="&amp;$B322*1000000000,Grids!$EE$12:$GQ$111,"&lt;"&amp;($B322+1)*1000000000))</f>
        <v/>
      </c>
      <c r="D322" s="52">
        <f>IF($B322="","",SUMIFS(Grids!$BQ$116:$EC$155,Grids!$EE$116:$GQ$155,"&gt;="&amp;$B322*1000000000,Grids!$EE$116:$GQ$155,"&lt;"&amp;($B322+1)*1000000000))</f>
        <v/>
      </c>
      <c r="E322" s="52">
        <f>IF($B322="","",SUMIFS(Grids!$BQ$160:$EC$219,Grids!$EE$160:$GQ$219,"&gt;="&amp;$B322*1000000000,Grids!$EE$160:$GQ$219,"&lt;"&amp;($B322+1)*1000000000))</f>
        <v/>
      </c>
      <c r="F322" s="53">
        <f>IF($B322="","",SUM($C$26:$C322))</f>
        <v/>
      </c>
      <c r="G322" s="53">
        <f>IF($B322="","",SUM($D$26:$D322))</f>
        <v/>
      </c>
      <c r="H322" s="53">
        <f>IF($B322="","",SUM($E$26:$E322))</f>
        <v/>
      </c>
    </row>
    <row r="323">
      <c r="B323" s="51">
        <f>IF(DATE(YEAR_Y,1,1)+297&gt;DATE(YEAR_Y,12,31),"",DATE(YEAR_Y,1,1)+297)</f>
        <v/>
      </c>
      <c r="C323" s="52">
        <f>IF($B323="","",SUMIFS(Grids!$BQ$12:$EC$111,Grids!$EE$12:$GQ$111,"&gt;="&amp;$B323*1000000000,Grids!$EE$12:$GQ$111,"&lt;"&amp;($B323+1)*1000000000))</f>
        <v/>
      </c>
      <c r="D323" s="52">
        <f>IF($B323="","",SUMIFS(Grids!$BQ$116:$EC$155,Grids!$EE$116:$GQ$155,"&gt;="&amp;$B323*1000000000,Grids!$EE$116:$GQ$155,"&lt;"&amp;($B323+1)*1000000000))</f>
        <v/>
      </c>
      <c r="E323" s="52">
        <f>IF($B323="","",SUMIFS(Grids!$BQ$160:$EC$219,Grids!$EE$160:$GQ$219,"&gt;="&amp;$B323*1000000000,Grids!$EE$160:$GQ$219,"&lt;"&amp;($B323+1)*1000000000))</f>
        <v/>
      </c>
      <c r="F323" s="53">
        <f>IF($B323="","",SUM($C$26:$C323))</f>
        <v/>
      </c>
      <c r="G323" s="53">
        <f>IF($B323="","",SUM($D$26:$D323))</f>
        <v/>
      </c>
      <c r="H323" s="53">
        <f>IF($B323="","",SUM($E$26:$E323))</f>
        <v/>
      </c>
    </row>
    <row r="324">
      <c r="B324" s="51">
        <f>IF(DATE(YEAR_Y,1,1)+298&gt;DATE(YEAR_Y,12,31),"",DATE(YEAR_Y,1,1)+298)</f>
        <v/>
      </c>
      <c r="C324" s="52">
        <f>IF($B324="","",SUMIFS(Grids!$BQ$12:$EC$111,Grids!$EE$12:$GQ$111,"&gt;="&amp;$B324*1000000000,Grids!$EE$12:$GQ$111,"&lt;"&amp;($B324+1)*1000000000))</f>
        <v/>
      </c>
      <c r="D324" s="52">
        <f>IF($B324="","",SUMIFS(Grids!$BQ$116:$EC$155,Grids!$EE$116:$GQ$155,"&gt;="&amp;$B324*1000000000,Grids!$EE$116:$GQ$155,"&lt;"&amp;($B324+1)*1000000000))</f>
        <v/>
      </c>
      <c r="E324" s="52">
        <f>IF($B324="","",SUMIFS(Grids!$BQ$160:$EC$219,Grids!$EE$160:$GQ$219,"&gt;="&amp;$B324*1000000000,Grids!$EE$160:$GQ$219,"&lt;"&amp;($B324+1)*1000000000))</f>
        <v/>
      </c>
      <c r="F324" s="53">
        <f>IF($B324="","",SUM($C$26:$C324))</f>
        <v/>
      </c>
      <c r="G324" s="53">
        <f>IF($B324="","",SUM($D$26:$D324))</f>
        <v/>
      </c>
      <c r="H324" s="53">
        <f>IF($B324="","",SUM($E$26:$E324))</f>
        <v/>
      </c>
    </row>
    <row r="325">
      <c r="B325" s="51">
        <f>IF(DATE(YEAR_Y,1,1)+299&gt;DATE(YEAR_Y,12,31),"",DATE(YEAR_Y,1,1)+299)</f>
        <v/>
      </c>
      <c r="C325" s="52">
        <f>IF($B325="","",SUMIFS(Grids!$BQ$12:$EC$111,Grids!$EE$12:$GQ$111,"&gt;="&amp;$B325*1000000000,Grids!$EE$12:$GQ$111,"&lt;"&amp;($B325+1)*1000000000))</f>
        <v/>
      </c>
      <c r="D325" s="52">
        <f>IF($B325="","",SUMIFS(Grids!$BQ$116:$EC$155,Grids!$EE$116:$GQ$155,"&gt;="&amp;$B325*1000000000,Grids!$EE$116:$GQ$155,"&lt;"&amp;($B325+1)*1000000000))</f>
        <v/>
      </c>
      <c r="E325" s="52">
        <f>IF($B325="","",SUMIFS(Grids!$BQ$160:$EC$219,Grids!$EE$160:$GQ$219,"&gt;="&amp;$B325*1000000000,Grids!$EE$160:$GQ$219,"&lt;"&amp;($B325+1)*1000000000))</f>
        <v/>
      </c>
      <c r="F325" s="53">
        <f>IF($B325="","",SUM($C$26:$C325))</f>
        <v/>
      </c>
      <c r="G325" s="53">
        <f>IF($B325="","",SUM($D$26:$D325))</f>
        <v/>
      </c>
      <c r="H325" s="53">
        <f>IF($B325="","",SUM($E$26:$E325))</f>
        <v/>
      </c>
    </row>
    <row r="326">
      <c r="B326" s="51">
        <f>IF(DATE(YEAR_Y,1,1)+300&gt;DATE(YEAR_Y,12,31),"",DATE(YEAR_Y,1,1)+300)</f>
        <v/>
      </c>
      <c r="C326" s="52">
        <f>IF($B326="","",SUMIFS(Grids!$BQ$12:$EC$111,Grids!$EE$12:$GQ$111,"&gt;="&amp;$B326*1000000000,Grids!$EE$12:$GQ$111,"&lt;"&amp;($B326+1)*1000000000))</f>
        <v/>
      </c>
      <c r="D326" s="52">
        <f>IF($B326="","",SUMIFS(Grids!$BQ$116:$EC$155,Grids!$EE$116:$GQ$155,"&gt;="&amp;$B326*1000000000,Grids!$EE$116:$GQ$155,"&lt;"&amp;($B326+1)*1000000000))</f>
        <v/>
      </c>
      <c r="E326" s="52">
        <f>IF($B326="","",SUMIFS(Grids!$BQ$160:$EC$219,Grids!$EE$160:$GQ$219,"&gt;="&amp;$B326*1000000000,Grids!$EE$160:$GQ$219,"&lt;"&amp;($B326+1)*1000000000))</f>
        <v/>
      </c>
      <c r="F326" s="53">
        <f>IF($B326="","",SUM($C$26:$C326))</f>
        <v/>
      </c>
      <c r="G326" s="53">
        <f>IF($B326="","",SUM($D$26:$D326))</f>
        <v/>
      </c>
      <c r="H326" s="53">
        <f>IF($B326="","",SUM($E$26:$E326))</f>
        <v/>
      </c>
    </row>
    <row r="327">
      <c r="B327" s="51">
        <f>IF(DATE(YEAR_Y,1,1)+301&gt;DATE(YEAR_Y,12,31),"",DATE(YEAR_Y,1,1)+301)</f>
        <v/>
      </c>
      <c r="C327" s="52">
        <f>IF($B327="","",SUMIFS(Grids!$BQ$12:$EC$111,Grids!$EE$12:$GQ$111,"&gt;="&amp;$B327*1000000000,Grids!$EE$12:$GQ$111,"&lt;"&amp;($B327+1)*1000000000))</f>
        <v/>
      </c>
      <c r="D327" s="52">
        <f>IF($B327="","",SUMIFS(Grids!$BQ$116:$EC$155,Grids!$EE$116:$GQ$155,"&gt;="&amp;$B327*1000000000,Grids!$EE$116:$GQ$155,"&lt;"&amp;($B327+1)*1000000000))</f>
        <v/>
      </c>
      <c r="E327" s="52">
        <f>IF($B327="","",SUMIFS(Grids!$BQ$160:$EC$219,Grids!$EE$160:$GQ$219,"&gt;="&amp;$B327*1000000000,Grids!$EE$160:$GQ$219,"&lt;"&amp;($B327+1)*1000000000))</f>
        <v/>
      </c>
      <c r="F327" s="53">
        <f>IF($B327="","",SUM($C$26:$C327))</f>
        <v/>
      </c>
      <c r="G327" s="53">
        <f>IF($B327="","",SUM($D$26:$D327))</f>
        <v/>
      </c>
      <c r="H327" s="53">
        <f>IF($B327="","",SUM($E$26:$E327))</f>
        <v/>
      </c>
    </row>
    <row r="328">
      <c r="B328" s="51">
        <f>IF(DATE(YEAR_Y,1,1)+302&gt;DATE(YEAR_Y,12,31),"",DATE(YEAR_Y,1,1)+302)</f>
        <v/>
      </c>
      <c r="C328" s="52">
        <f>IF($B328="","",SUMIFS(Grids!$BQ$12:$EC$111,Grids!$EE$12:$GQ$111,"&gt;="&amp;$B328*1000000000,Grids!$EE$12:$GQ$111,"&lt;"&amp;($B328+1)*1000000000))</f>
        <v/>
      </c>
      <c r="D328" s="52">
        <f>IF($B328="","",SUMIFS(Grids!$BQ$116:$EC$155,Grids!$EE$116:$GQ$155,"&gt;="&amp;$B328*1000000000,Grids!$EE$116:$GQ$155,"&lt;"&amp;($B328+1)*1000000000))</f>
        <v/>
      </c>
      <c r="E328" s="52">
        <f>IF($B328="","",SUMIFS(Grids!$BQ$160:$EC$219,Grids!$EE$160:$GQ$219,"&gt;="&amp;$B328*1000000000,Grids!$EE$160:$GQ$219,"&lt;"&amp;($B328+1)*1000000000))</f>
        <v/>
      </c>
      <c r="F328" s="53">
        <f>IF($B328="","",SUM($C$26:$C328))</f>
        <v/>
      </c>
      <c r="G328" s="53">
        <f>IF($B328="","",SUM($D$26:$D328))</f>
        <v/>
      </c>
      <c r="H328" s="53">
        <f>IF($B328="","",SUM($E$26:$E328))</f>
        <v/>
      </c>
    </row>
    <row r="329">
      <c r="B329" s="51">
        <f>IF(DATE(YEAR_Y,1,1)+303&gt;DATE(YEAR_Y,12,31),"",DATE(YEAR_Y,1,1)+303)</f>
        <v/>
      </c>
      <c r="C329" s="52">
        <f>IF($B329="","",SUMIFS(Grids!$BQ$12:$EC$111,Grids!$EE$12:$GQ$111,"&gt;="&amp;$B329*1000000000,Grids!$EE$12:$GQ$111,"&lt;"&amp;($B329+1)*1000000000))</f>
        <v/>
      </c>
      <c r="D329" s="52">
        <f>IF($B329="","",SUMIFS(Grids!$BQ$116:$EC$155,Grids!$EE$116:$GQ$155,"&gt;="&amp;$B329*1000000000,Grids!$EE$116:$GQ$155,"&lt;"&amp;($B329+1)*1000000000))</f>
        <v/>
      </c>
      <c r="E329" s="52">
        <f>IF($B329="","",SUMIFS(Grids!$BQ$160:$EC$219,Grids!$EE$160:$GQ$219,"&gt;="&amp;$B329*1000000000,Grids!$EE$160:$GQ$219,"&lt;"&amp;($B329+1)*1000000000))</f>
        <v/>
      </c>
      <c r="F329" s="53">
        <f>IF($B329="","",SUM($C$26:$C329))</f>
        <v/>
      </c>
      <c r="G329" s="53">
        <f>IF($B329="","",SUM($D$26:$D329))</f>
        <v/>
      </c>
      <c r="H329" s="53">
        <f>IF($B329="","",SUM($E$26:$E329))</f>
        <v/>
      </c>
    </row>
    <row r="330">
      <c r="B330" s="51">
        <f>IF(DATE(YEAR_Y,1,1)+304&gt;DATE(YEAR_Y,12,31),"",DATE(YEAR_Y,1,1)+304)</f>
        <v/>
      </c>
      <c r="C330" s="52">
        <f>IF($B330="","",SUMIFS(Grids!$BQ$12:$EC$111,Grids!$EE$12:$GQ$111,"&gt;="&amp;$B330*1000000000,Grids!$EE$12:$GQ$111,"&lt;"&amp;($B330+1)*1000000000))</f>
        <v/>
      </c>
      <c r="D330" s="52">
        <f>IF($B330="","",SUMIFS(Grids!$BQ$116:$EC$155,Grids!$EE$116:$GQ$155,"&gt;="&amp;$B330*1000000000,Grids!$EE$116:$GQ$155,"&lt;"&amp;($B330+1)*1000000000))</f>
        <v/>
      </c>
      <c r="E330" s="52">
        <f>IF($B330="","",SUMIFS(Grids!$BQ$160:$EC$219,Grids!$EE$160:$GQ$219,"&gt;="&amp;$B330*1000000000,Grids!$EE$160:$GQ$219,"&lt;"&amp;($B330+1)*1000000000))</f>
        <v/>
      </c>
      <c r="F330" s="53">
        <f>IF($B330="","",SUM($C$26:$C330))</f>
        <v/>
      </c>
      <c r="G330" s="53">
        <f>IF($B330="","",SUM($D$26:$D330))</f>
        <v/>
      </c>
      <c r="H330" s="53">
        <f>IF($B330="","",SUM($E$26:$E330))</f>
        <v/>
      </c>
    </row>
    <row r="331">
      <c r="B331" s="51">
        <f>IF(DATE(YEAR_Y,1,1)+305&gt;DATE(YEAR_Y,12,31),"",DATE(YEAR_Y,1,1)+305)</f>
        <v/>
      </c>
      <c r="C331" s="52">
        <f>IF($B331="","",SUMIFS(Grids!$BQ$12:$EC$111,Grids!$EE$12:$GQ$111,"&gt;="&amp;$B331*1000000000,Grids!$EE$12:$GQ$111,"&lt;"&amp;($B331+1)*1000000000))</f>
        <v/>
      </c>
      <c r="D331" s="52">
        <f>IF($B331="","",SUMIFS(Grids!$BQ$116:$EC$155,Grids!$EE$116:$GQ$155,"&gt;="&amp;$B331*1000000000,Grids!$EE$116:$GQ$155,"&lt;"&amp;($B331+1)*1000000000))</f>
        <v/>
      </c>
      <c r="E331" s="52">
        <f>IF($B331="","",SUMIFS(Grids!$BQ$160:$EC$219,Grids!$EE$160:$GQ$219,"&gt;="&amp;$B331*1000000000,Grids!$EE$160:$GQ$219,"&lt;"&amp;($B331+1)*1000000000))</f>
        <v/>
      </c>
      <c r="F331" s="53">
        <f>IF($B331="","",SUM($C$26:$C331))</f>
        <v/>
      </c>
      <c r="G331" s="53">
        <f>IF($B331="","",SUM($D$26:$D331))</f>
        <v/>
      </c>
      <c r="H331" s="53">
        <f>IF($B331="","",SUM($E$26:$E331))</f>
        <v/>
      </c>
    </row>
    <row r="332">
      <c r="B332" s="51">
        <f>IF(DATE(YEAR_Y,1,1)+306&gt;DATE(YEAR_Y,12,31),"",DATE(YEAR_Y,1,1)+306)</f>
        <v/>
      </c>
      <c r="C332" s="52">
        <f>IF($B332="","",SUMIFS(Grids!$BQ$12:$EC$111,Grids!$EE$12:$GQ$111,"&gt;="&amp;$B332*1000000000,Grids!$EE$12:$GQ$111,"&lt;"&amp;($B332+1)*1000000000))</f>
        <v/>
      </c>
      <c r="D332" s="52">
        <f>IF($B332="","",SUMIFS(Grids!$BQ$116:$EC$155,Grids!$EE$116:$GQ$155,"&gt;="&amp;$B332*1000000000,Grids!$EE$116:$GQ$155,"&lt;"&amp;($B332+1)*1000000000))</f>
        <v/>
      </c>
      <c r="E332" s="52">
        <f>IF($B332="","",SUMIFS(Grids!$BQ$160:$EC$219,Grids!$EE$160:$GQ$219,"&gt;="&amp;$B332*1000000000,Grids!$EE$160:$GQ$219,"&lt;"&amp;($B332+1)*1000000000))</f>
        <v/>
      </c>
      <c r="F332" s="53">
        <f>IF($B332="","",SUM($C$26:$C332))</f>
        <v/>
      </c>
      <c r="G332" s="53">
        <f>IF($B332="","",SUM($D$26:$D332))</f>
        <v/>
      </c>
      <c r="H332" s="53">
        <f>IF($B332="","",SUM($E$26:$E332))</f>
        <v/>
      </c>
    </row>
    <row r="333">
      <c r="B333" s="51">
        <f>IF(DATE(YEAR_Y,1,1)+307&gt;DATE(YEAR_Y,12,31),"",DATE(YEAR_Y,1,1)+307)</f>
        <v/>
      </c>
      <c r="C333" s="52">
        <f>IF($B333="","",SUMIFS(Grids!$BQ$12:$EC$111,Grids!$EE$12:$GQ$111,"&gt;="&amp;$B333*1000000000,Grids!$EE$12:$GQ$111,"&lt;"&amp;($B333+1)*1000000000))</f>
        <v/>
      </c>
      <c r="D333" s="52">
        <f>IF($B333="","",SUMIFS(Grids!$BQ$116:$EC$155,Grids!$EE$116:$GQ$155,"&gt;="&amp;$B333*1000000000,Grids!$EE$116:$GQ$155,"&lt;"&amp;($B333+1)*1000000000))</f>
        <v/>
      </c>
      <c r="E333" s="52">
        <f>IF($B333="","",SUMIFS(Grids!$BQ$160:$EC$219,Grids!$EE$160:$GQ$219,"&gt;="&amp;$B333*1000000000,Grids!$EE$160:$GQ$219,"&lt;"&amp;($B333+1)*1000000000))</f>
        <v/>
      </c>
      <c r="F333" s="53">
        <f>IF($B333="","",SUM($C$26:$C333))</f>
        <v/>
      </c>
      <c r="G333" s="53">
        <f>IF($B333="","",SUM($D$26:$D333))</f>
        <v/>
      </c>
      <c r="H333" s="53">
        <f>IF($B333="","",SUM($E$26:$E333))</f>
        <v/>
      </c>
    </row>
    <row r="334">
      <c r="B334" s="51">
        <f>IF(DATE(YEAR_Y,1,1)+308&gt;DATE(YEAR_Y,12,31),"",DATE(YEAR_Y,1,1)+308)</f>
        <v/>
      </c>
      <c r="C334" s="52">
        <f>IF($B334="","",SUMIFS(Grids!$BQ$12:$EC$111,Grids!$EE$12:$GQ$111,"&gt;="&amp;$B334*1000000000,Grids!$EE$12:$GQ$111,"&lt;"&amp;($B334+1)*1000000000))</f>
        <v/>
      </c>
      <c r="D334" s="52">
        <f>IF($B334="","",SUMIFS(Grids!$BQ$116:$EC$155,Grids!$EE$116:$GQ$155,"&gt;="&amp;$B334*1000000000,Grids!$EE$116:$GQ$155,"&lt;"&amp;($B334+1)*1000000000))</f>
        <v/>
      </c>
      <c r="E334" s="52">
        <f>IF($B334="","",SUMIFS(Grids!$BQ$160:$EC$219,Grids!$EE$160:$GQ$219,"&gt;="&amp;$B334*1000000000,Grids!$EE$160:$GQ$219,"&lt;"&amp;($B334+1)*1000000000))</f>
        <v/>
      </c>
      <c r="F334" s="53">
        <f>IF($B334="","",SUM($C$26:$C334))</f>
        <v/>
      </c>
      <c r="G334" s="53">
        <f>IF($B334="","",SUM($D$26:$D334))</f>
        <v/>
      </c>
      <c r="H334" s="53">
        <f>IF($B334="","",SUM($E$26:$E334))</f>
        <v/>
      </c>
    </row>
    <row r="335">
      <c r="B335" s="51">
        <f>IF(DATE(YEAR_Y,1,1)+309&gt;DATE(YEAR_Y,12,31),"",DATE(YEAR_Y,1,1)+309)</f>
        <v/>
      </c>
      <c r="C335" s="52">
        <f>IF($B335="","",SUMIFS(Grids!$BQ$12:$EC$111,Grids!$EE$12:$GQ$111,"&gt;="&amp;$B335*1000000000,Grids!$EE$12:$GQ$111,"&lt;"&amp;($B335+1)*1000000000))</f>
        <v/>
      </c>
      <c r="D335" s="52">
        <f>IF($B335="","",SUMIFS(Grids!$BQ$116:$EC$155,Grids!$EE$116:$GQ$155,"&gt;="&amp;$B335*1000000000,Grids!$EE$116:$GQ$155,"&lt;"&amp;($B335+1)*1000000000))</f>
        <v/>
      </c>
      <c r="E335" s="52">
        <f>IF($B335="","",SUMIFS(Grids!$BQ$160:$EC$219,Grids!$EE$160:$GQ$219,"&gt;="&amp;$B335*1000000000,Grids!$EE$160:$GQ$219,"&lt;"&amp;($B335+1)*1000000000))</f>
        <v/>
      </c>
      <c r="F335" s="53">
        <f>IF($B335="","",SUM($C$26:$C335))</f>
        <v/>
      </c>
      <c r="G335" s="53">
        <f>IF($B335="","",SUM($D$26:$D335))</f>
        <v/>
      </c>
      <c r="H335" s="53">
        <f>IF($B335="","",SUM($E$26:$E335))</f>
        <v/>
      </c>
    </row>
    <row r="336">
      <c r="B336" s="51">
        <f>IF(DATE(YEAR_Y,1,1)+310&gt;DATE(YEAR_Y,12,31),"",DATE(YEAR_Y,1,1)+310)</f>
        <v/>
      </c>
      <c r="C336" s="52">
        <f>IF($B336="","",SUMIFS(Grids!$BQ$12:$EC$111,Grids!$EE$12:$GQ$111,"&gt;="&amp;$B336*1000000000,Grids!$EE$12:$GQ$111,"&lt;"&amp;($B336+1)*1000000000))</f>
        <v/>
      </c>
      <c r="D336" s="52">
        <f>IF($B336="","",SUMIFS(Grids!$BQ$116:$EC$155,Grids!$EE$116:$GQ$155,"&gt;="&amp;$B336*1000000000,Grids!$EE$116:$GQ$155,"&lt;"&amp;($B336+1)*1000000000))</f>
        <v/>
      </c>
      <c r="E336" s="52">
        <f>IF($B336="","",SUMIFS(Grids!$BQ$160:$EC$219,Grids!$EE$160:$GQ$219,"&gt;="&amp;$B336*1000000000,Grids!$EE$160:$GQ$219,"&lt;"&amp;($B336+1)*1000000000))</f>
        <v/>
      </c>
      <c r="F336" s="53">
        <f>IF($B336="","",SUM($C$26:$C336))</f>
        <v/>
      </c>
      <c r="G336" s="53">
        <f>IF($B336="","",SUM($D$26:$D336))</f>
        <v/>
      </c>
      <c r="H336" s="53">
        <f>IF($B336="","",SUM($E$26:$E336))</f>
        <v/>
      </c>
    </row>
    <row r="337">
      <c r="B337" s="51">
        <f>IF(DATE(YEAR_Y,1,1)+311&gt;DATE(YEAR_Y,12,31),"",DATE(YEAR_Y,1,1)+311)</f>
        <v/>
      </c>
      <c r="C337" s="52">
        <f>IF($B337="","",SUMIFS(Grids!$BQ$12:$EC$111,Grids!$EE$12:$GQ$111,"&gt;="&amp;$B337*1000000000,Grids!$EE$12:$GQ$111,"&lt;"&amp;($B337+1)*1000000000))</f>
        <v/>
      </c>
      <c r="D337" s="52">
        <f>IF($B337="","",SUMIFS(Grids!$BQ$116:$EC$155,Grids!$EE$116:$GQ$155,"&gt;="&amp;$B337*1000000000,Grids!$EE$116:$GQ$155,"&lt;"&amp;($B337+1)*1000000000))</f>
        <v/>
      </c>
      <c r="E337" s="52">
        <f>IF($B337="","",SUMIFS(Grids!$BQ$160:$EC$219,Grids!$EE$160:$GQ$219,"&gt;="&amp;$B337*1000000000,Grids!$EE$160:$GQ$219,"&lt;"&amp;($B337+1)*1000000000))</f>
        <v/>
      </c>
      <c r="F337" s="53">
        <f>IF($B337="","",SUM($C$26:$C337))</f>
        <v/>
      </c>
      <c r="G337" s="53">
        <f>IF($B337="","",SUM($D$26:$D337))</f>
        <v/>
      </c>
      <c r="H337" s="53">
        <f>IF($B337="","",SUM($E$26:$E337))</f>
        <v/>
      </c>
    </row>
    <row r="338">
      <c r="B338" s="51">
        <f>IF(DATE(YEAR_Y,1,1)+312&gt;DATE(YEAR_Y,12,31),"",DATE(YEAR_Y,1,1)+312)</f>
        <v/>
      </c>
      <c r="C338" s="52">
        <f>IF($B338="","",SUMIFS(Grids!$BQ$12:$EC$111,Grids!$EE$12:$GQ$111,"&gt;="&amp;$B338*1000000000,Grids!$EE$12:$GQ$111,"&lt;"&amp;($B338+1)*1000000000))</f>
        <v/>
      </c>
      <c r="D338" s="52">
        <f>IF($B338="","",SUMIFS(Grids!$BQ$116:$EC$155,Grids!$EE$116:$GQ$155,"&gt;="&amp;$B338*1000000000,Grids!$EE$116:$GQ$155,"&lt;"&amp;($B338+1)*1000000000))</f>
        <v/>
      </c>
      <c r="E338" s="52">
        <f>IF($B338="","",SUMIFS(Grids!$BQ$160:$EC$219,Grids!$EE$160:$GQ$219,"&gt;="&amp;$B338*1000000000,Grids!$EE$160:$GQ$219,"&lt;"&amp;($B338+1)*1000000000))</f>
        <v/>
      </c>
      <c r="F338" s="53">
        <f>IF($B338="","",SUM($C$26:$C338))</f>
        <v/>
      </c>
      <c r="G338" s="53">
        <f>IF($B338="","",SUM($D$26:$D338))</f>
        <v/>
      </c>
      <c r="H338" s="53">
        <f>IF($B338="","",SUM($E$26:$E338))</f>
        <v/>
      </c>
    </row>
    <row r="339">
      <c r="B339" s="51">
        <f>IF(DATE(YEAR_Y,1,1)+313&gt;DATE(YEAR_Y,12,31),"",DATE(YEAR_Y,1,1)+313)</f>
        <v/>
      </c>
      <c r="C339" s="52">
        <f>IF($B339="","",SUMIFS(Grids!$BQ$12:$EC$111,Grids!$EE$12:$GQ$111,"&gt;="&amp;$B339*1000000000,Grids!$EE$12:$GQ$111,"&lt;"&amp;($B339+1)*1000000000))</f>
        <v/>
      </c>
      <c r="D339" s="52">
        <f>IF($B339="","",SUMIFS(Grids!$BQ$116:$EC$155,Grids!$EE$116:$GQ$155,"&gt;="&amp;$B339*1000000000,Grids!$EE$116:$GQ$155,"&lt;"&amp;($B339+1)*1000000000))</f>
        <v/>
      </c>
      <c r="E339" s="52">
        <f>IF($B339="","",SUMIFS(Grids!$BQ$160:$EC$219,Grids!$EE$160:$GQ$219,"&gt;="&amp;$B339*1000000000,Grids!$EE$160:$GQ$219,"&lt;"&amp;($B339+1)*1000000000))</f>
        <v/>
      </c>
      <c r="F339" s="53">
        <f>IF($B339="","",SUM($C$26:$C339))</f>
        <v/>
      </c>
      <c r="G339" s="53">
        <f>IF($B339="","",SUM($D$26:$D339))</f>
        <v/>
      </c>
      <c r="H339" s="53">
        <f>IF($B339="","",SUM($E$26:$E339))</f>
        <v/>
      </c>
    </row>
    <row r="340">
      <c r="B340" s="51">
        <f>IF(DATE(YEAR_Y,1,1)+314&gt;DATE(YEAR_Y,12,31),"",DATE(YEAR_Y,1,1)+314)</f>
        <v/>
      </c>
      <c r="C340" s="52">
        <f>IF($B340="","",SUMIFS(Grids!$BQ$12:$EC$111,Grids!$EE$12:$GQ$111,"&gt;="&amp;$B340*1000000000,Grids!$EE$12:$GQ$111,"&lt;"&amp;($B340+1)*1000000000))</f>
        <v/>
      </c>
      <c r="D340" s="52">
        <f>IF($B340="","",SUMIFS(Grids!$BQ$116:$EC$155,Grids!$EE$116:$GQ$155,"&gt;="&amp;$B340*1000000000,Grids!$EE$116:$GQ$155,"&lt;"&amp;($B340+1)*1000000000))</f>
        <v/>
      </c>
      <c r="E340" s="52">
        <f>IF($B340="","",SUMIFS(Grids!$BQ$160:$EC$219,Grids!$EE$160:$GQ$219,"&gt;="&amp;$B340*1000000000,Grids!$EE$160:$GQ$219,"&lt;"&amp;($B340+1)*1000000000))</f>
        <v/>
      </c>
      <c r="F340" s="53">
        <f>IF($B340="","",SUM($C$26:$C340))</f>
        <v/>
      </c>
      <c r="G340" s="53">
        <f>IF($B340="","",SUM($D$26:$D340))</f>
        <v/>
      </c>
      <c r="H340" s="53">
        <f>IF($B340="","",SUM($E$26:$E340))</f>
        <v/>
      </c>
    </row>
    <row r="341">
      <c r="B341" s="51">
        <f>IF(DATE(YEAR_Y,1,1)+315&gt;DATE(YEAR_Y,12,31),"",DATE(YEAR_Y,1,1)+315)</f>
        <v/>
      </c>
      <c r="C341" s="52">
        <f>IF($B341="","",SUMIFS(Grids!$BQ$12:$EC$111,Grids!$EE$12:$GQ$111,"&gt;="&amp;$B341*1000000000,Grids!$EE$12:$GQ$111,"&lt;"&amp;($B341+1)*1000000000))</f>
        <v/>
      </c>
      <c r="D341" s="52">
        <f>IF($B341="","",SUMIFS(Grids!$BQ$116:$EC$155,Grids!$EE$116:$GQ$155,"&gt;="&amp;$B341*1000000000,Grids!$EE$116:$GQ$155,"&lt;"&amp;($B341+1)*1000000000))</f>
        <v/>
      </c>
      <c r="E341" s="52">
        <f>IF($B341="","",SUMIFS(Grids!$BQ$160:$EC$219,Grids!$EE$160:$GQ$219,"&gt;="&amp;$B341*1000000000,Grids!$EE$160:$GQ$219,"&lt;"&amp;($B341+1)*1000000000))</f>
        <v/>
      </c>
      <c r="F341" s="53">
        <f>IF($B341="","",SUM($C$26:$C341))</f>
        <v/>
      </c>
      <c r="G341" s="53">
        <f>IF($B341="","",SUM($D$26:$D341))</f>
        <v/>
      </c>
      <c r="H341" s="53">
        <f>IF($B341="","",SUM($E$26:$E341))</f>
        <v/>
      </c>
    </row>
    <row r="342">
      <c r="B342" s="51">
        <f>IF(DATE(YEAR_Y,1,1)+316&gt;DATE(YEAR_Y,12,31),"",DATE(YEAR_Y,1,1)+316)</f>
        <v/>
      </c>
      <c r="C342" s="52">
        <f>IF($B342="","",SUMIFS(Grids!$BQ$12:$EC$111,Grids!$EE$12:$GQ$111,"&gt;="&amp;$B342*1000000000,Grids!$EE$12:$GQ$111,"&lt;"&amp;($B342+1)*1000000000))</f>
        <v/>
      </c>
      <c r="D342" s="52">
        <f>IF($B342="","",SUMIFS(Grids!$BQ$116:$EC$155,Grids!$EE$116:$GQ$155,"&gt;="&amp;$B342*1000000000,Grids!$EE$116:$GQ$155,"&lt;"&amp;($B342+1)*1000000000))</f>
        <v/>
      </c>
      <c r="E342" s="52">
        <f>IF($B342="","",SUMIFS(Grids!$BQ$160:$EC$219,Grids!$EE$160:$GQ$219,"&gt;="&amp;$B342*1000000000,Grids!$EE$160:$GQ$219,"&lt;"&amp;($B342+1)*1000000000))</f>
        <v/>
      </c>
      <c r="F342" s="53">
        <f>IF($B342="","",SUM($C$26:$C342))</f>
        <v/>
      </c>
      <c r="G342" s="53">
        <f>IF($B342="","",SUM($D$26:$D342))</f>
        <v/>
      </c>
      <c r="H342" s="53">
        <f>IF($B342="","",SUM($E$26:$E342))</f>
        <v/>
      </c>
    </row>
    <row r="343">
      <c r="B343" s="51">
        <f>IF(DATE(YEAR_Y,1,1)+317&gt;DATE(YEAR_Y,12,31),"",DATE(YEAR_Y,1,1)+317)</f>
        <v/>
      </c>
      <c r="C343" s="52">
        <f>IF($B343="","",SUMIFS(Grids!$BQ$12:$EC$111,Grids!$EE$12:$GQ$111,"&gt;="&amp;$B343*1000000000,Grids!$EE$12:$GQ$111,"&lt;"&amp;($B343+1)*1000000000))</f>
        <v/>
      </c>
      <c r="D343" s="52">
        <f>IF($B343="","",SUMIFS(Grids!$BQ$116:$EC$155,Grids!$EE$116:$GQ$155,"&gt;="&amp;$B343*1000000000,Grids!$EE$116:$GQ$155,"&lt;"&amp;($B343+1)*1000000000))</f>
        <v/>
      </c>
      <c r="E343" s="52">
        <f>IF($B343="","",SUMIFS(Grids!$BQ$160:$EC$219,Grids!$EE$160:$GQ$219,"&gt;="&amp;$B343*1000000000,Grids!$EE$160:$GQ$219,"&lt;"&amp;($B343+1)*1000000000))</f>
        <v/>
      </c>
      <c r="F343" s="53">
        <f>IF($B343="","",SUM($C$26:$C343))</f>
        <v/>
      </c>
      <c r="G343" s="53">
        <f>IF($B343="","",SUM($D$26:$D343))</f>
        <v/>
      </c>
      <c r="H343" s="53">
        <f>IF($B343="","",SUM($E$26:$E343))</f>
        <v/>
      </c>
    </row>
    <row r="344">
      <c r="B344" s="51">
        <f>IF(DATE(YEAR_Y,1,1)+318&gt;DATE(YEAR_Y,12,31),"",DATE(YEAR_Y,1,1)+318)</f>
        <v/>
      </c>
      <c r="C344" s="52">
        <f>IF($B344="","",SUMIFS(Grids!$BQ$12:$EC$111,Grids!$EE$12:$GQ$111,"&gt;="&amp;$B344*1000000000,Grids!$EE$12:$GQ$111,"&lt;"&amp;($B344+1)*1000000000))</f>
        <v/>
      </c>
      <c r="D344" s="52">
        <f>IF($B344="","",SUMIFS(Grids!$BQ$116:$EC$155,Grids!$EE$116:$GQ$155,"&gt;="&amp;$B344*1000000000,Grids!$EE$116:$GQ$155,"&lt;"&amp;($B344+1)*1000000000))</f>
        <v/>
      </c>
      <c r="E344" s="52">
        <f>IF($B344="","",SUMIFS(Grids!$BQ$160:$EC$219,Grids!$EE$160:$GQ$219,"&gt;="&amp;$B344*1000000000,Grids!$EE$160:$GQ$219,"&lt;"&amp;($B344+1)*1000000000))</f>
        <v/>
      </c>
      <c r="F344" s="53">
        <f>IF($B344="","",SUM($C$26:$C344))</f>
        <v/>
      </c>
      <c r="G344" s="53">
        <f>IF($B344="","",SUM($D$26:$D344))</f>
        <v/>
      </c>
      <c r="H344" s="53">
        <f>IF($B344="","",SUM($E$26:$E344))</f>
        <v/>
      </c>
    </row>
    <row r="345">
      <c r="B345" s="51">
        <f>IF(DATE(YEAR_Y,1,1)+319&gt;DATE(YEAR_Y,12,31),"",DATE(YEAR_Y,1,1)+319)</f>
        <v/>
      </c>
      <c r="C345" s="52">
        <f>IF($B345="","",SUMIFS(Grids!$BQ$12:$EC$111,Grids!$EE$12:$GQ$111,"&gt;="&amp;$B345*1000000000,Grids!$EE$12:$GQ$111,"&lt;"&amp;($B345+1)*1000000000))</f>
        <v/>
      </c>
      <c r="D345" s="52">
        <f>IF($B345="","",SUMIFS(Grids!$BQ$116:$EC$155,Grids!$EE$116:$GQ$155,"&gt;="&amp;$B345*1000000000,Grids!$EE$116:$GQ$155,"&lt;"&amp;($B345+1)*1000000000))</f>
        <v/>
      </c>
      <c r="E345" s="52">
        <f>IF($B345="","",SUMIFS(Grids!$BQ$160:$EC$219,Grids!$EE$160:$GQ$219,"&gt;="&amp;$B345*1000000000,Grids!$EE$160:$GQ$219,"&lt;"&amp;($B345+1)*1000000000))</f>
        <v/>
      </c>
      <c r="F345" s="53">
        <f>IF($B345="","",SUM($C$26:$C345))</f>
        <v/>
      </c>
      <c r="G345" s="53">
        <f>IF($B345="","",SUM($D$26:$D345))</f>
        <v/>
      </c>
      <c r="H345" s="53">
        <f>IF($B345="","",SUM($E$26:$E345))</f>
        <v/>
      </c>
    </row>
    <row r="346">
      <c r="B346" s="51">
        <f>IF(DATE(YEAR_Y,1,1)+320&gt;DATE(YEAR_Y,12,31),"",DATE(YEAR_Y,1,1)+320)</f>
        <v/>
      </c>
      <c r="C346" s="52">
        <f>IF($B346="","",SUMIFS(Grids!$BQ$12:$EC$111,Grids!$EE$12:$GQ$111,"&gt;="&amp;$B346*1000000000,Grids!$EE$12:$GQ$111,"&lt;"&amp;($B346+1)*1000000000))</f>
        <v/>
      </c>
      <c r="D346" s="52">
        <f>IF($B346="","",SUMIFS(Grids!$BQ$116:$EC$155,Grids!$EE$116:$GQ$155,"&gt;="&amp;$B346*1000000000,Grids!$EE$116:$GQ$155,"&lt;"&amp;($B346+1)*1000000000))</f>
        <v/>
      </c>
      <c r="E346" s="52">
        <f>IF($B346="","",SUMIFS(Grids!$BQ$160:$EC$219,Grids!$EE$160:$GQ$219,"&gt;="&amp;$B346*1000000000,Grids!$EE$160:$GQ$219,"&lt;"&amp;($B346+1)*1000000000))</f>
        <v/>
      </c>
      <c r="F346" s="53">
        <f>IF($B346="","",SUM($C$26:$C346))</f>
        <v/>
      </c>
      <c r="G346" s="53">
        <f>IF($B346="","",SUM($D$26:$D346))</f>
        <v/>
      </c>
      <c r="H346" s="53">
        <f>IF($B346="","",SUM($E$26:$E346))</f>
        <v/>
      </c>
    </row>
    <row r="347">
      <c r="B347" s="51">
        <f>IF(DATE(YEAR_Y,1,1)+321&gt;DATE(YEAR_Y,12,31),"",DATE(YEAR_Y,1,1)+321)</f>
        <v/>
      </c>
      <c r="C347" s="52">
        <f>IF($B347="","",SUMIFS(Grids!$BQ$12:$EC$111,Grids!$EE$12:$GQ$111,"&gt;="&amp;$B347*1000000000,Grids!$EE$12:$GQ$111,"&lt;"&amp;($B347+1)*1000000000))</f>
        <v/>
      </c>
      <c r="D347" s="52">
        <f>IF($B347="","",SUMIFS(Grids!$BQ$116:$EC$155,Grids!$EE$116:$GQ$155,"&gt;="&amp;$B347*1000000000,Grids!$EE$116:$GQ$155,"&lt;"&amp;($B347+1)*1000000000))</f>
        <v/>
      </c>
      <c r="E347" s="52">
        <f>IF($B347="","",SUMIFS(Grids!$BQ$160:$EC$219,Grids!$EE$160:$GQ$219,"&gt;="&amp;$B347*1000000000,Grids!$EE$160:$GQ$219,"&lt;"&amp;($B347+1)*1000000000))</f>
        <v/>
      </c>
      <c r="F347" s="53">
        <f>IF($B347="","",SUM($C$26:$C347))</f>
        <v/>
      </c>
      <c r="G347" s="53">
        <f>IF($B347="","",SUM($D$26:$D347))</f>
        <v/>
      </c>
      <c r="H347" s="53">
        <f>IF($B347="","",SUM($E$26:$E347))</f>
        <v/>
      </c>
    </row>
    <row r="348">
      <c r="B348" s="51">
        <f>IF(DATE(YEAR_Y,1,1)+322&gt;DATE(YEAR_Y,12,31),"",DATE(YEAR_Y,1,1)+322)</f>
        <v/>
      </c>
      <c r="C348" s="52">
        <f>IF($B348="","",SUMIFS(Grids!$BQ$12:$EC$111,Grids!$EE$12:$GQ$111,"&gt;="&amp;$B348*1000000000,Grids!$EE$12:$GQ$111,"&lt;"&amp;($B348+1)*1000000000))</f>
        <v/>
      </c>
      <c r="D348" s="52">
        <f>IF($B348="","",SUMIFS(Grids!$BQ$116:$EC$155,Grids!$EE$116:$GQ$155,"&gt;="&amp;$B348*1000000000,Grids!$EE$116:$GQ$155,"&lt;"&amp;($B348+1)*1000000000))</f>
        <v/>
      </c>
      <c r="E348" s="52">
        <f>IF($B348="","",SUMIFS(Grids!$BQ$160:$EC$219,Grids!$EE$160:$GQ$219,"&gt;="&amp;$B348*1000000000,Grids!$EE$160:$GQ$219,"&lt;"&amp;($B348+1)*1000000000))</f>
        <v/>
      </c>
      <c r="F348" s="53">
        <f>IF($B348="","",SUM($C$26:$C348))</f>
        <v/>
      </c>
      <c r="G348" s="53">
        <f>IF($B348="","",SUM($D$26:$D348))</f>
        <v/>
      </c>
      <c r="H348" s="53">
        <f>IF($B348="","",SUM($E$26:$E348))</f>
        <v/>
      </c>
    </row>
    <row r="349">
      <c r="B349" s="51">
        <f>IF(DATE(YEAR_Y,1,1)+323&gt;DATE(YEAR_Y,12,31),"",DATE(YEAR_Y,1,1)+323)</f>
        <v/>
      </c>
      <c r="C349" s="52">
        <f>IF($B349="","",SUMIFS(Grids!$BQ$12:$EC$111,Grids!$EE$12:$GQ$111,"&gt;="&amp;$B349*1000000000,Grids!$EE$12:$GQ$111,"&lt;"&amp;($B349+1)*1000000000))</f>
        <v/>
      </c>
      <c r="D349" s="52">
        <f>IF($B349="","",SUMIFS(Grids!$BQ$116:$EC$155,Grids!$EE$116:$GQ$155,"&gt;="&amp;$B349*1000000000,Grids!$EE$116:$GQ$155,"&lt;"&amp;($B349+1)*1000000000))</f>
        <v/>
      </c>
      <c r="E349" s="52">
        <f>IF($B349="","",SUMIFS(Grids!$BQ$160:$EC$219,Grids!$EE$160:$GQ$219,"&gt;="&amp;$B349*1000000000,Grids!$EE$160:$GQ$219,"&lt;"&amp;($B349+1)*1000000000))</f>
        <v/>
      </c>
      <c r="F349" s="53">
        <f>IF($B349="","",SUM($C$26:$C349))</f>
        <v/>
      </c>
      <c r="G349" s="53">
        <f>IF($B349="","",SUM($D$26:$D349))</f>
        <v/>
      </c>
      <c r="H349" s="53">
        <f>IF($B349="","",SUM($E$26:$E349))</f>
        <v/>
      </c>
    </row>
    <row r="350">
      <c r="B350" s="51">
        <f>IF(DATE(YEAR_Y,1,1)+324&gt;DATE(YEAR_Y,12,31),"",DATE(YEAR_Y,1,1)+324)</f>
        <v/>
      </c>
      <c r="C350" s="52">
        <f>IF($B350="","",SUMIFS(Grids!$BQ$12:$EC$111,Grids!$EE$12:$GQ$111,"&gt;="&amp;$B350*1000000000,Grids!$EE$12:$GQ$111,"&lt;"&amp;($B350+1)*1000000000))</f>
        <v/>
      </c>
      <c r="D350" s="52">
        <f>IF($B350="","",SUMIFS(Grids!$BQ$116:$EC$155,Grids!$EE$116:$GQ$155,"&gt;="&amp;$B350*1000000000,Grids!$EE$116:$GQ$155,"&lt;"&amp;($B350+1)*1000000000))</f>
        <v/>
      </c>
      <c r="E350" s="52">
        <f>IF($B350="","",SUMIFS(Grids!$BQ$160:$EC$219,Grids!$EE$160:$GQ$219,"&gt;="&amp;$B350*1000000000,Grids!$EE$160:$GQ$219,"&lt;"&amp;($B350+1)*1000000000))</f>
        <v/>
      </c>
      <c r="F350" s="53">
        <f>IF($B350="","",SUM($C$26:$C350))</f>
        <v/>
      </c>
      <c r="G350" s="53">
        <f>IF($B350="","",SUM($D$26:$D350))</f>
        <v/>
      </c>
      <c r="H350" s="53">
        <f>IF($B350="","",SUM($E$26:$E350))</f>
        <v/>
      </c>
    </row>
    <row r="351">
      <c r="B351" s="51">
        <f>IF(DATE(YEAR_Y,1,1)+325&gt;DATE(YEAR_Y,12,31),"",DATE(YEAR_Y,1,1)+325)</f>
        <v/>
      </c>
      <c r="C351" s="52">
        <f>IF($B351="","",SUMIFS(Grids!$BQ$12:$EC$111,Grids!$EE$12:$GQ$111,"&gt;="&amp;$B351*1000000000,Grids!$EE$12:$GQ$111,"&lt;"&amp;($B351+1)*1000000000))</f>
        <v/>
      </c>
      <c r="D351" s="52">
        <f>IF($B351="","",SUMIFS(Grids!$BQ$116:$EC$155,Grids!$EE$116:$GQ$155,"&gt;="&amp;$B351*1000000000,Grids!$EE$116:$GQ$155,"&lt;"&amp;($B351+1)*1000000000))</f>
        <v/>
      </c>
      <c r="E351" s="52">
        <f>IF($B351="","",SUMIFS(Grids!$BQ$160:$EC$219,Grids!$EE$160:$GQ$219,"&gt;="&amp;$B351*1000000000,Grids!$EE$160:$GQ$219,"&lt;"&amp;($B351+1)*1000000000))</f>
        <v/>
      </c>
      <c r="F351" s="53">
        <f>IF($B351="","",SUM($C$26:$C351))</f>
        <v/>
      </c>
      <c r="G351" s="53">
        <f>IF($B351="","",SUM($D$26:$D351))</f>
        <v/>
      </c>
      <c r="H351" s="53">
        <f>IF($B351="","",SUM($E$26:$E351))</f>
        <v/>
      </c>
    </row>
    <row r="352">
      <c r="B352" s="51">
        <f>IF(DATE(YEAR_Y,1,1)+326&gt;DATE(YEAR_Y,12,31),"",DATE(YEAR_Y,1,1)+326)</f>
        <v/>
      </c>
      <c r="C352" s="52">
        <f>IF($B352="","",SUMIFS(Grids!$BQ$12:$EC$111,Grids!$EE$12:$GQ$111,"&gt;="&amp;$B352*1000000000,Grids!$EE$12:$GQ$111,"&lt;"&amp;($B352+1)*1000000000))</f>
        <v/>
      </c>
      <c r="D352" s="52">
        <f>IF($B352="","",SUMIFS(Grids!$BQ$116:$EC$155,Grids!$EE$116:$GQ$155,"&gt;="&amp;$B352*1000000000,Grids!$EE$116:$GQ$155,"&lt;"&amp;($B352+1)*1000000000))</f>
        <v/>
      </c>
      <c r="E352" s="52">
        <f>IF($B352="","",SUMIFS(Grids!$BQ$160:$EC$219,Grids!$EE$160:$GQ$219,"&gt;="&amp;$B352*1000000000,Grids!$EE$160:$GQ$219,"&lt;"&amp;($B352+1)*1000000000))</f>
        <v/>
      </c>
      <c r="F352" s="53">
        <f>IF($B352="","",SUM($C$26:$C352))</f>
        <v/>
      </c>
      <c r="G352" s="53">
        <f>IF($B352="","",SUM($D$26:$D352))</f>
        <v/>
      </c>
      <c r="H352" s="53">
        <f>IF($B352="","",SUM($E$26:$E352))</f>
        <v/>
      </c>
    </row>
    <row r="353">
      <c r="B353" s="51">
        <f>IF(DATE(YEAR_Y,1,1)+327&gt;DATE(YEAR_Y,12,31),"",DATE(YEAR_Y,1,1)+327)</f>
        <v/>
      </c>
      <c r="C353" s="52">
        <f>IF($B353="","",SUMIFS(Grids!$BQ$12:$EC$111,Grids!$EE$12:$GQ$111,"&gt;="&amp;$B353*1000000000,Grids!$EE$12:$GQ$111,"&lt;"&amp;($B353+1)*1000000000))</f>
        <v/>
      </c>
      <c r="D353" s="52">
        <f>IF($B353="","",SUMIFS(Grids!$BQ$116:$EC$155,Grids!$EE$116:$GQ$155,"&gt;="&amp;$B353*1000000000,Grids!$EE$116:$GQ$155,"&lt;"&amp;($B353+1)*1000000000))</f>
        <v/>
      </c>
      <c r="E353" s="52">
        <f>IF($B353="","",SUMIFS(Grids!$BQ$160:$EC$219,Grids!$EE$160:$GQ$219,"&gt;="&amp;$B353*1000000000,Grids!$EE$160:$GQ$219,"&lt;"&amp;($B353+1)*1000000000))</f>
        <v/>
      </c>
      <c r="F353" s="53">
        <f>IF($B353="","",SUM($C$26:$C353))</f>
        <v/>
      </c>
      <c r="G353" s="53">
        <f>IF($B353="","",SUM($D$26:$D353))</f>
        <v/>
      </c>
      <c r="H353" s="53">
        <f>IF($B353="","",SUM($E$26:$E353))</f>
        <v/>
      </c>
    </row>
    <row r="354">
      <c r="B354" s="51">
        <f>IF(DATE(YEAR_Y,1,1)+328&gt;DATE(YEAR_Y,12,31),"",DATE(YEAR_Y,1,1)+328)</f>
        <v/>
      </c>
      <c r="C354" s="52">
        <f>IF($B354="","",SUMIFS(Grids!$BQ$12:$EC$111,Grids!$EE$12:$GQ$111,"&gt;="&amp;$B354*1000000000,Grids!$EE$12:$GQ$111,"&lt;"&amp;($B354+1)*1000000000))</f>
        <v/>
      </c>
      <c r="D354" s="52">
        <f>IF($B354="","",SUMIFS(Grids!$BQ$116:$EC$155,Grids!$EE$116:$GQ$155,"&gt;="&amp;$B354*1000000000,Grids!$EE$116:$GQ$155,"&lt;"&amp;($B354+1)*1000000000))</f>
        <v/>
      </c>
      <c r="E354" s="52">
        <f>IF($B354="","",SUMIFS(Grids!$BQ$160:$EC$219,Grids!$EE$160:$GQ$219,"&gt;="&amp;$B354*1000000000,Grids!$EE$160:$GQ$219,"&lt;"&amp;($B354+1)*1000000000))</f>
        <v/>
      </c>
      <c r="F354" s="53">
        <f>IF($B354="","",SUM($C$26:$C354))</f>
        <v/>
      </c>
      <c r="G354" s="53">
        <f>IF($B354="","",SUM($D$26:$D354))</f>
        <v/>
      </c>
      <c r="H354" s="53">
        <f>IF($B354="","",SUM($E$26:$E354))</f>
        <v/>
      </c>
    </row>
    <row r="355">
      <c r="B355" s="51">
        <f>IF(DATE(YEAR_Y,1,1)+329&gt;DATE(YEAR_Y,12,31),"",DATE(YEAR_Y,1,1)+329)</f>
        <v/>
      </c>
      <c r="C355" s="52">
        <f>IF($B355="","",SUMIFS(Grids!$BQ$12:$EC$111,Grids!$EE$12:$GQ$111,"&gt;="&amp;$B355*1000000000,Grids!$EE$12:$GQ$111,"&lt;"&amp;($B355+1)*1000000000))</f>
        <v/>
      </c>
      <c r="D355" s="52">
        <f>IF($B355="","",SUMIFS(Grids!$BQ$116:$EC$155,Grids!$EE$116:$GQ$155,"&gt;="&amp;$B355*1000000000,Grids!$EE$116:$GQ$155,"&lt;"&amp;($B355+1)*1000000000))</f>
        <v/>
      </c>
      <c r="E355" s="52">
        <f>IF($B355="","",SUMIFS(Grids!$BQ$160:$EC$219,Grids!$EE$160:$GQ$219,"&gt;="&amp;$B355*1000000000,Grids!$EE$160:$GQ$219,"&lt;"&amp;($B355+1)*1000000000))</f>
        <v/>
      </c>
      <c r="F355" s="53">
        <f>IF($B355="","",SUM($C$26:$C355))</f>
        <v/>
      </c>
      <c r="G355" s="53">
        <f>IF($B355="","",SUM($D$26:$D355))</f>
        <v/>
      </c>
      <c r="H355" s="53">
        <f>IF($B355="","",SUM($E$26:$E355))</f>
        <v/>
      </c>
    </row>
    <row r="356">
      <c r="B356" s="51">
        <f>IF(DATE(YEAR_Y,1,1)+330&gt;DATE(YEAR_Y,12,31),"",DATE(YEAR_Y,1,1)+330)</f>
        <v/>
      </c>
      <c r="C356" s="52">
        <f>IF($B356="","",SUMIFS(Grids!$BQ$12:$EC$111,Grids!$EE$12:$GQ$111,"&gt;="&amp;$B356*1000000000,Grids!$EE$12:$GQ$111,"&lt;"&amp;($B356+1)*1000000000))</f>
        <v/>
      </c>
      <c r="D356" s="52">
        <f>IF($B356="","",SUMIFS(Grids!$BQ$116:$EC$155,Grids!$EE$116:$GQ$155,"&gt;="&amp;$B356*1000000000,Grids!$EE$116:$GQ$155,"&lt;"&amp;($B356+1)*1000000000))</f>
        <v/>
      </c>
      <c r="E356" s="52">
        <f>IF($B356="","",SUMIFS(Grids!$BQ$160:$EC$219,Grids!$EE$160:$GQ$219,"&gt;="&amp;$B356*1000000000,Grids!$EE$160:$GQ$219,"&lt;"&amp;($B356+1)*1000000000))</f>
        <v/>
      </c>
      <c r="F356" s="53">
        <f>IF($B356="","",SUM($C$26:$C356))</f>
        <v/>
      </c>
      <c r="G356" s="53">
        <f>IF($B356="","",SUM($D$26:$D356))</f>
        <v/>
      </c>
      <c r="H356" s="53">
        <f>IF($B356="","",SUM($E$26:$E356))</f>
        <v/>
      </c>
    </row>
    <row r="357">
      <c r="B357" s="51">
        <f>IF(DATE(YEAR_Y,1,1)+331&gt;DATE(YEAR_Y,12,31),"",DATE(YEAR_Y,1,1)+331)</f>
        <v/>
      </c>
      <c r="C357" s="52">
        <f>IF($B357="","",SUMIFS(Grids!$BQ$12:$EC$111,Grids!$EE$12:$GQ$111,"&gt;="&amp;$B357*1000000000,Grids!$EE$12:$GQ$111,"&lt;"&amp;($B357+1)*1000000000))</f>
        <v/>
      </c>
      <c r="D357" s="52">
        <f>IF($B357="","",SUMIFS(Grids!$BQ$116:$EC$155,Grids!$EE$116:$GQ$155,"&gt;="&amp;$B357*1000000000,Grids!$EE$116:$GQ$155,"&lt;"&amp;($B357+1)*1000000000))</f>
        <v/>
      </c>
      <c r="E357" s="52">
        <f>IF($B357="","",SUMIFS(Grids!$BQ$160:$EC$219,Grids!$EE$160:$GQ$219,"&gt;="&amp;$B357*1000000000,Grids!$EE$160:$GQ$219,"&lt;"&amp;($B357+1)*1000000000))</f>
        <v/>
      </c>
      <c r="F357" s="53">
        <f>IF($B357="","",SUM($C$26:$C357))</f>
        <v/>
      </c>
      <c r="G357" s="53">
        <f>IF($B357="","",SUM($D$26:$D357))</f>
        <v/>
      </c>
      <c r="H357" s="53">
        <f>IF($B357="","",SUM($E$26:$E357))</f>
        <v/>
      </c>
    </row>
    <row r="358">
      <c r="B358" s="51">
        <f>IF(DATE(YEAR_Y,1,1)+332&gt;DATE(YEAR_Y,12,31),"",DATE(YEAR_Y,1,1)+332)</f>
        <v/>
      </c>
      <c r="C358" s="52">
        <f>IF($B358="","",SUMIFS(Grids!$BQ$12:$EC$111,Grids!$EE$12:$GQ$111,"&gt;="&amp;$B358*1000000000,Grids!$EE$12:$GQ$111,"&lt;"&amp;($B358+1)*1000000000))</f>
        <v/>
      </c>
      <c r="D358" s="52">
        <f>IF($B358="","",SUMIFS(Grids!$BQ$116:$EC$155,Grids!$EE$116:$GQ$155,"&gt;="&amp;$B358*1000000000,Grids!$EE$116:$GQ$155,"&lt;"&amp;($B358+1)*1000000000))</f>
        <v/>
      </c>
      <c r="E358" s="52">
        <f>IF($B358="","",SUMIFS(Grids!$BQ$160:$EC$219,Grids!$EE$160:$GQ$219,"&gt;="&amp;$B358*1000000000,Grids!$EE$160:$GQ$219,"&lt;"&amp;($B358+1)*1000000000))</f>
        <v/>
      </c>
      <c r="F358" s="53">
        <f>IF($B358="","",SUM($C$26:$C358))</f>
        <v/>
      </c>
      <c r="G358" s="53">
        <f>IF($B358="","",SUM($D$26:$D358))</f>
        <v/>
      </c>
      <c r="H358" s="53">
        <f>IF($B358="","",SUM($E$26:$E358))</f>
        <v/>
      </c>
    </row>
    <row r="359">
      <c r="B359" s="51">
        <f>IF(DATE(YEAR_Y,1,1)+333&gt;DATE(YEAR_Y,12,31),"",DATE(YEAR_Y,1,1)+333)</f>
        <v/>
      </c>
      <c r="C359" s="52">
        <f>IF($B359="","",SUMIFS(Grids!$BQ$12:$EC$111,Grids!$EE$12:$GQ$111,"&gt;="&amp;$B359*1000000000,Grids!$EE$12:$GQ$111,"&lt;"&amp;($B359+1)*1000000000))</f>
        <v/>
      </c>
      <c r="D359" s="52">
        <f>IF($B359="","",SUMIFS(Grids!$BQ$116:$EC$155,Grids!$EE$116:$GQ$155,"&gt;="&amp;$B359*1000000000,Grids!$EE$116:$GQ$155,"&lt;"&amp;($B359+1)*1000000000))</f>
        <v/>
      </c>
      <c r="E359" s="52">
        <f>IF($B359="","",SUMIFS(Grids!$BQ$160:$EC$219,Grids!$EE$160:$GQ$219,"&gt;="&amp;$B359*1000000000,Grids!$EE$160:$GQ$219,"&lt;"&amp;($B359+1)*1000000000))</f>
        <v/>
      </c>
      <c r="F359" s="53">
        <f>IF($B359="","",SUM($C$26:$C359))</f>
        <v/>
      </c>
      <c r="G359" s="53">
        <f>IF($B359="","",SUM($D$26:$D359))</f>
        <v/>
      </c>
      <c r="H359" s="53">
        <f>IF($B359="","",SUM($E$26:$E359))</f>
        <v/>
      </c>
    </row>
    <row r="360">
      <c r="B360" s="51">
        <f>IF(DATE(YEAR_Y,1,1)+334&gt;DATE(YEAR_Y,12,31),"",DATE(YEAR_Y,1,1)+334)</f>
        <v/>
      </c>
      <c r="C360" s="52">
        <f>IF($B360="","",SUMIFS(Grids!$BQ$12:$EC$111,Grids!$EE$12:$GQ$111,"&gt;="&amp;$B360*1000000000,Grids!$EE$12:$GQ$111,"&lt;"&amp;($B360+1)*1000000000))</f>
        <v/>
      </c>
      <c r="D360" s="52">
        <f>IF($B360="","",SUMIFS(Grids!$BQ$116:$EC$155,Grids!$EE$116:$GQ$155,"&gt;="&amp;$B360*1000000000,Grids!$EE$116:$GQ$155,"&lt;"&amp;($B360+1)*1000000000))</f>
        <v/>
      </c>
      <c r="E360" s="52">
        <f>IF($B360="","",SUMIFS(Grids!$BQ$160:$EC$219,Grids!$EE$160:$GQ$219,"&gt;="&amp;$B360*1000000000,Grids!$EE$160:$GQ$219,"&lt;"&amp;($B360+1)*1000000000))</f>
        <v/>
      </c>
      <c r="F360" s="53">
        <f>IF($B360="","",SUM($C$26:$C360))</f>
        <v/>
      </c>
      <c r="G360" s="53">
        <f>IF($B360="","",SUM($D$26:$D360))</f>
        <v/>
      </c>
      <c r="H360" s="53">
        <f>IF($B360="","",SUM($E$26:$E360))</f>
        <v/>
      </c>
    </row>
    <row r="361">
      <c r="B361" s="51">
        <f>IF(DATE(YEAR_Y,1,1)+335&gt;DATE(YEAR_Y,12,31),"",DATE(YEAR_Y,1,1)+335)</f>
        <v/>
      </c>
      <c r="C361" s="52">
        <f>IF($B361="","",SUMIFS(Grids!$BQ$12:$EC$111,Grids!$EE$12:$GQ$111,"&gt;="&amp;$B361*1000000000,Grids!$EE$12:$GQ$111,"&lt;"&amp;($B361+1)*1000000000))</f>
        <v/>
      </c>
      <c r="D361" s="52">
        <f>IF($B361="","",SUMIFS(Grids!$BQ$116:$EC$155,Grids!$EE$116:$GQ$155,"&gt;="&amp;$B361*1000000000,Grids!$EE$116:$GQ$155,"&lt;"&amp;($B361+1)*1000000000))</f>
        <v/>
      </c>
      <c r="E361" s="52">
        <f>IF($B361="","",SUMIFS(Grids!$BQ$160:$EC$219,Grids!$EE$160:$GQ$219,"&gt;="&amp;$B361*1000000000,Grids!$EE$160:$GQ$219,"&lt;"&amp;($B361+1)*1000000000))</f>
        <v/>
      </c>
      <c r="F361" s="53">
        <f>IF($B361="","",SUM($C$26:$C361))</f>
        <v/>
      </c>
      <c r="G361" s="53">
        <f>IF($B361="","",SUM($D$26:$D361))</f>
        <v/>
      </c>
      <c r="H361" s="53">
        <f>IF($B361="","",SUM($E$26:$E361))</f>
        <v/>
      </c>
    </row>
    <row r="362">
      <c r="B362" s="51">
        <f>IF(DATE(YEAR_Y,1,1)+336&gt;DATE(YEAR_Y,12,31),"",DATE(YEAR_Y,1,1)+336)</f>
        <v/>
      </c>
      <c r="C362" s="52">
        <f>IF($B362="","",SUMIFS(Grids!$BQ$12:$EC$111,Grids!$EE$12:$GQ$111,"&gt;="&amp;$B362*1000000000,Grids!$EE$12:$GQ$111,"&lt;"&amp;($B362+1)*1000000000))</f>
        <v/>
      </c>
      <c r="D362" s="52">
        <f>IF($B362="","",SUMIFS(Grids!$BQ$116:$EC$155,Grids!$EE$116:$GQ$155,"&gt;="&amp;$B362*1000000000,Grids!$EE$116:$GQ$155,"&lt;"&amp;($B362+1)*1000000000))</f>
        <v/>
      </c>
      <c r="E362" s="52">
        <f>IF($B362="","",SUMIFS(Grids!$BQ$160:$EC$219,Grids!$EE$160:$GQ$219,"&gt;="&amp;$B362*1000000000,Grids!$EE$160:$GQ$219,"&lt;"&amp;($B362+1)*1000000000))</f>
        <v/>
      </c>
      <c r="F362" s="53">
        <f>IF($B362="","",SUM($C$26:$C362))</f>
        <v/>
      </c>
      <c r="G362" s="53">
        <f>IF($B362="","",SUM($D$26:$D362))</f>
        <v/>
      </c>
      <c r="H362" s="53">
        <f>IF($B362="","",SUM($E$26:$E362))</f>
        <v/>
      </c>
    </row>
    <row r="363">
      <c r="B363" s="51">
        <f>IF(DATE(YEAR_Y,1,1)+337&gt;DATE(YEAR_Y,12,31),"",DATE(YEAR_Y,1,1)+337)</f>
        <v/>
      </c>
      <c r="C363" s="52">
        <f>IF($B363="","",SUMIFS(Grids!$BQ$12:$EC$111,Grids!$EE$12:$GQ$111,"&gt;="&amp;$B363*1000000000,Grids!$EE$12:$GQ$111,"&lt;"&amp;($B363+1)*1000000000))</f>
        <v/>
      </c>
      <c r="D363" s="52">
        <f>IF($B363="","",SUMIFS(Grids!$BQ$116:$EC$155,Grids!$EE$116:$GQ$155,"&gt;="&amp;$B363*1000000000,Grids!$EE$116:$GQ$155,"&lt;"&amp;($B363+1)*1000000000))</f>
        <v/>
      </c>
      <c r="E363" s="52">
        <f>IF($B363="","",SUMIFS(Grids!$BQ$160:$EC$219,Grids!$EE$160:$GQ$219,"&gt;="&amp;$B363*1000000000,Grids!$EE$160:$GQ$219,"&lt;"&amp;($B363+1)*1000000000))</f>
        <v/>
      </c>
      <c r="F363" s="53">
        <f>IF($B363="","",SUM($C$26:$C363))</f>
        <v/>
      </c>
      <c r="G363" s="53">
        <f>IF($B363="","",SUM($D$26:$D363))</f>
        <v/>
      </c>
      <c r="H363" s="53">
        <f>IF($B363="","",SUM($E$26:$E363))</f>
        <v/>
      </c>
    </row>
    <row r="364">
      <c r="B364" s="51">
        <f>IF(DATE(YEAR_Y,1,1)+338&gt;DATE(YEAR_Y,12,31),"",DATE(YEAR_Y,1,1)+338)</f>
        <v/>
      </c>
      <c r="C364" s="52">
        <f>IF($B364="","",SUMIFS(Grids!$BQ$12:$EC$111,Grids!$EE$12:$GQ$111,"&gt;="&amp;$B364*1000000000,Grids!$EE$12:$GQ$111,"&lt;"&amp;($B364+1)*1000000000))</f>
        <v/>
      </c>
      <c r="D364" s="52">
        <f>IF($B364="","",SUMIFS(Grids!$BQ$116:$EC$155,Grids!$EE$116:$GQ$155,"&gt;="&amp;$B364*1000000000,Grids!$EE$116:$GQ$155,"&lt;"&amp;($B364+1)*1000000000))</f>
        <v/>
      </c>
      <c r="E364" s="52">
        <f>IF($B364="","",SUMIFS(Grids!$BQ$160:$EC$219,Grids!$EE$160:$GQ$219,"&gt;="&amp;$B364*1000000000,Grids!$EE$160:$GQ$219,"&lt;"&amp;($B364+1)*1000000000))</f>
        <v/>
      </c>
      <c r="F364" s="53">
        <f>IF($B364="","",SUM($C$26:$C364))</f>
        <v/>
      </c>
      <c r="G364" s="53">
        <f>IF($B364="","",SUM($D$26:$D364))</f>
        <v/>
      </c>
      <c r="H364" s="53">
        <f>IF($B364="","",SUM($E$26:$E364))</f>
        <v/>
      </c>
    </row>
    <row r="365">
      <c r="B365" s="51">
        <f>IF(DATE(YEAR_Y,1,1)+339&gt;DATE(YEAR_Y,12,31),"",DATE(YEAR_Y,1,1)+339)</f>
        <v/>
      </c>
      <c r="C365" s="52">
        <f>IF($B365="","",SUMIFS(Grids!$BQ$12:$EC$111,Grids!$EE$12:$GQ$111,"&gt;="&amp;$B365*1000000000,Grids!$EE$12:$GQ$111,"&lt;"&amp;($B365+1)*1000000000))</f>
        <v/>
      </c>
      <c r="D365" s="52">
        <f>IF($B365="","",SUMIFS(Grids!$BQ$116:$EC$155,Grids!$EE$116:$GQ$155,"&gt;="&amp;$B365*1000000000,Grids!$EE$116:$GQ$155,"&lt;"&amp;($B365+1)*1000000000))</f>
        <v/>
      </c>
      <c r="E365" s="52">
        <f>IF($B365="","",SUMIFS(Grids!$BQ$160:$EC$219,Grids!$EE$160:$GQ$219,"&gt;="&amp;$B365*1000000000,Grids!$EE$160:$GQ$219,"&lt;"&amp;($B365+1)*1000000000))</f>
        <v/>
      </c>
      <c r="F365" s="53">
        <f>IF($B365="","",SUM($C$26:$C365))</f>
        <v/>
      </c>
      <c r="G365" s="53">
        <f>IF($B365="","",SUM($D$26:$D365))</f>
        <v/>
      </c>
      <c r="H365" s="53">
        <f>IF($B365="","",SUM($E$26:$E365))</f>
        <v/>
      </c>
    </row>
    <row r="366">
      <c r="B366" s="51">
        <f>IF(DATE(YEAR_Y,1,1)+340&gt;DATE(YEAR_Y,12,31),"",DATE(YEAR_Y,1,1)+340)</f>
        <v/>
      </c>
      <c r="C366" s="52">
        <f>IF($B366="","",SUMIFS(Grids!$BQ$12:$EC$111,Grids!$EE$12:$GQ$111,"&gt;="&amp;$B366*1000000000,Grids!$EE$12:$GQ$111,"&lt;"&amp;($B366+1)*1000000000))</f>
        <v/>
      </c>
      <c r="D366" s="52">
        <f>IF($B366="","",SUMIFS(Grids!$BQ$116:$EC$155,Grids!$EE$116:$GQ$155,"&gt;="&amp;$B366*1000000000,Grids!$EE$116:$GQ$155,"&lt;"&amp;($B366+1)*1000000000))</f>
        <v/>
      </c>
      <c r="E366" s="52">
        <f>IF($B366="","",SUMIFS(Grids!$BQ$160:$EC$219,Grids!$EE$160:$GQ$219,"&gt;="&amp;$B366*1000000000,Grids!$EE$160:$GQ$219,"&lt;"&amp;($B366+1)*1000000000))</f>
        <v/>
      </c>
      <c r="F366" s="53">
        <f>IF($B366="","",SUM($C$26:$C366))</f>
        <v/>
      </c>
      <c r="G366" s="53">
        <f>IF($B366="","",SUM($D$26:$D366))</f>
        <v/>
      </c>
      <c r="H366" s="53">
        <f>IF($B366="","",SUM($E$26:$E366))</f>
        <v/>
      </c>
    </row>
    <row r="367">
      <c r="B367" s="51">
        <f>IF(DATE(YEAR_Y,1,1)+341&gt;DATE(YEAR_Y,12,31),"",DATE(YEAR_Y,1,1)+341)</f>
        <v/>
      </c>
      <c r="C367" s="52">
        <f>IF($B367="","",SUMIFS(Grids!$BQ$12:$EC$111,Grids!$EE$12:$GQ$111,"&gt;="&amp;$B367*1000000000,Grids!$EE$12:$GQ$111,"&lt;"&amp;($B367+1)*1000000000))</f>
        <v/>
      </c>
      <c r="D367" s="52">
        <f>IF($B367="","",SUMIFS(Grids!$BQ$116:$EC$155,Grids!$EE$116:$GQ$155,"&gt;="&amp;$B367*1000000000,Grids!$EE$116:$GQ$155,"&lt;"&amp;($B367+1)*1000000000))</f>
        <v/>
      </c>
      <c r="E367" s="52">
        <f>IF($B367="","",SUMIFS(Grids!$BQ$160:$EC$219,Grids!$EE$160:$GQ$219,"&gt;="&amp;$B367*1000000000,Grids!$EE$160:$GQ$219,"&lt;"&amp;($B367+1)*1000000000))</f>
        <v/>
      </c>
      <c r="F367" s="53">
        <f>IF($B367="","",SUM($C$26:$C367))</f>
        <v/>
      </c>
      <c r="G367" s="53">
        <f>IF($B367="","",SUM($D$26:$D367))</f>
        <v/>
      </c>
      <c r="H367" s="53">
        <f>IF($B367="","",SUM($E$26:$E367))</f>
        <v/>
      </c>
    </row>
    <row r="368">
      <c r="B368" s="51">
        <f>IF(DATE(YEAR_Y,1,1)+342&gt;DATE(YEAR_Y,12,31),"",DATE(YEAR_Y,1,1)+342)</f>
        <v/>
      </c>
      <c r="C368" s="52">
        <f>IF($B368="","",SUMIFS(Grids!$BQ$12:$EC$111,Grids!$EE$12:$GQ$111,"&gt;="&amp;$B368*1000000000,Grids!$EE$12:$GQ$111,"&lt;"&amp;($B368+1)*1000000000))</f>
        <v/>
      </c>
      <c r="D368" s="52">
        <f>IF($B368="","",SUMIFS(Grids!$BQ$116:$EC$155,Grids!$EE$116:$GQ$155,"&gt;="&amp;$B368*1000000000,Grids!$EE$116:$GQ$155,"&lt;"&amp;($B368+1)*1000000000))</f>
        <v/>
      </c>
      <c r="E368" s="52">
        <f>IF($B368="","",SUMIFS(Grids!$BQ$160:$EC$219,Grids!$EE$160:$GQ$219,"&gt;="&amp;$B368*1000000000,Grids!$EE$160:$GQ$219,"&lt;"&amp;($B368+1)*1000000000))</f>
        <v/>
      </c>
      <c r="F368" s="53">
        <f>IF($B368="","",SUM($C$26:$C368))</f>
        <v/>
      </c>
      <c r="G368" s="53">
        <f>IF($B368="","",SUM($D$26:$D368))</f>
        <v/>
      </c>
      <c r="H368" s="53">
        <f>IF($B368="","",SUM($E$26:$E368))</f>
        <v/>
      </c>
    </row>
    <row r="369">
      <c r="B369" s="51">
        <f>IF(DATE(YEAR_Y,1,1)+343&gt;DATE(YEAR_Y,12,31),"",DATE(YEAR_Y,1,1)+343)</f>
        <v/>
      </c>
      <c r="C369" s="52">
        <f>IF($B369="","",SUMIFS(Grids!$BQ$12:$EC$111,Grids!$EE$12:$GQ$111,"&gt;="&amp;$B369*1000000000,Grids!$EE$12:$GQ$111,"&lt;"&amp;($B369+1)*1000000000))</f>
        <v/>
      </c>
      <c r="D369" s="52">
        <f>IF($B369="","",SUMIFS(Grids!$BQ$116:$EC$155,Grids!$EE$116:$GQ$155,"&gt;="&amp;$B369*1000000000,Grids!$EE$116:$GQ$155,"&lt;"&amp;($B369+1)*1000000000))</f>
        <v/>
      </c>
      <c r="E369" s="52">
        <f>IF($B369="","",SUMIFS(Grids!$BQ$160:$EC$219,Grids!$EE$160:$GQ$219,"&gt;="&amp;$B369*1000000000,Grids!$EE$160:$GQ$219,"&lt;"&amp;($B369+1)*1000000000))</f>
        <v/>
      </c>
      <c r="F369" s="53">
        <f>IF($B369="","",SUM($C$26:$C369))</f>
        <v/>
      </c>
      <c r="G369" s="53">
        <f>IF($B369="","",SUM($D$26:$D369))</f>
        <v/>
      </c>
      <c r="H369" s="53">
        <f>IF($B369="","",SUM($E$26:$E369))</f>
        <v/>
      </c>
    </row>
    <row r="370">
      <c r="B370" s="51">
        <f>IF(DATE(YEAR_Y,1,1)+344&gt;DATE(YEAR_Y,12,31),"",DATE(YEAR_Y,1,1)+344)</f>
        <v/>
      </c>
      <c r="C370" s="52">
        <f>IF($B370="","",SUMIFS(Grids!$BQ$12:$EC$111,Grids!$EE$12:$GQ$111,"&gt;="&amp;$B370*1000000000,Grids!$EE$12:$GQ$111,"&lt;"&amp;($B370+1)*1000000000))</f>
        <v/>
      </c>
      <c r="D370" s="52">
        <f>IF($B370="","",SUMIFS(Grids!$BQ$116:$EC$155,Grids!$EE$116:$GQ$155,"&gt;="&amp;$B370*1000000000,Grids!$EE$116:$GQ$155,"&lt;"&amp;($B370+1)*1000000000))</f>
        <v/>
      </c>
      <c r="E370" s="52">
        <f>IF($B370="","",SUMIFS(Grids!$BQ$160:$EC$219,Grids!$EE$160:$GQ$219,"&gt;="&amp;$B370*1000000000,Grids!$EE$160:$GQ$219,"&lt;"&amp;($B370+1)*1000000000))</f>
        <v/>
      </c>
      <c r="F370" s="53">
        <f>IF($B370="","",SUM($C$26:$C370))</f>
        <v/>
      </c>
      <c r="G370" s="53">
        <f>IF($B370="","",SUM($D$26:$D370))</f>
        <v/>
      </c>
      <c r="H370" s="53">
        <f>IF($B370="","",SUM($E$26:$E370))</f>
        <v/>
      </c>
    </row>
    <row r="371">
      <c r="B371" s="51">
        <f>IF(DATE(YEAR_Y,1,1)+345&gt;DATE(YEAR_Y,12,31),"",DATE(YEAR_Y,1,1)+345)</f>
        <v/>
      </c>
      <c r="C371" s="52">
        <f>IF($B371="","",SUMIFS(Grids!$BQ$12:$EC$111,Grids!$EE$12:$GQ$111,"&gt;="&amp;$B371*1000000000,Grids!$EE$12:$GQ$111,"&lt;"&amp;($B371+1)*1000000000))</f>
        <v/>
      </c>
      <c r="D371" s="52">
        <f>IF($B371="","",SUMIFS(Grids!$BQ$116:$EC$155,Grids!$EE$116:$GQ$155,"&gt;="&amp;$B371*1000000000,Grids!$EE$116:$GQ$155,"&lt;"&amp;($B371+1)*1000000000))</f>
        <v/>
      </c>
      <c r="E371" s="52">
        <f>IF($B371="","",SUMIFS(Grids!$BQ$160:$EC$219,Grids!$EE$160:$GQ$219,"&gt;="&amp;$B371*1000000000,Grids!$EE$160:$GQ$219,"&lt;"&amp;($B371+1)*1000000000))</f>
        <v/>
      </c>
      <c r="F371" s="53">
        <f>IF($B371="","",SUM($C$26:$C371))</f>
        <v/>
      </c>
      <c r="G371" s="53">
        <f>IF($B371="","",SUM($D$26:$D371))</f>
        <v/>
      </c>
      <c r="H371" s="53">
        <f>IF($B371="","",SUM($E$26:$E371))</f>
        <v/>
      </c>
    </row>
    <row r="372">
      <c r="B372" s="51">
        <f>IF(DATE(YEAR_Y,1,1)+346&gt;DATE(YEAR_Y,12,31),"",DATE(YEAR_Y,1,1)+346)</f>
        <v/>
      </c>
      <c r="C372" s="52">
        <f>IF($B372="","",SUMIFS(Grids!$BQ$12:$EC$111,Grids!$EE$12:$GQ$111,"&gt;="&amp;$B372*1000000000,Grids!$EE$12:$GQ$111,"&lt;"&amp;($B372+1)*1000000000))</f>
        <v/>
      </c>
      <c r="D372" s="52">
        <f>IF($B372="","",SUMIFS(Grids!$BQ$116:$EC$155,Grids!$EE$116:$GQ$155,"&gt;="&amp;$B372*1000000000,Grids!$EE$116:$GQ$155,"&lt;"&amp;($B372+1)*1000000000))</f>
        <v/>
      </c>
      <c r="E372" s="52">
        <f>IF($B372="","",SUMIFS(Grids!$BQ$160:$EC$219,Grids!$EE$160:$GQ$219,"&gt;="&amp;$B372*1000000000,Grids!$EE$160:$GQ$219,"&lt;"&amp;($B372+1)*1000000000))</f>
        <v/>
      </c>
      <c r="F372" s="53">
        <f>IF($B372="","",SUM($C$26:$C372))</f>
        <v/>
      </c>
      <c r="G372" s="53">
        <f>IF($B372="","",SUM($D$26:$D372))</f>
        <v/>
      </c>
      <c r="H372" s="53">
        <f>IF($B372="","",SUM($E$26:$E372))</f>
        <v/>
      </c>
    </row>
    <row r="373">
      <c r="B373" s="51">
        <f>IF(DATE(YEAR_Y,1,1)+347&gt;DATE(YEAR_Y,12,31),"",DATE(YEAR_Y,1,1)+347)</f>
        <v/>
      </c>
      <c r="C373" s="52">
        <f>IF($B373="","",SUMIFS(Grids!$BQ$12:$EC$111,Grids!$EE$12:$GQ$111,"&gt;="&amp;$B373*1000000000,Grids!$EE$12:$GQ$111,"&lt;"&amp;($B373+1)*1000000000))</f>
        <v/>
      </c>
      <c r="D373" s="52">
        <f>IF($B373="","",SUMIFS(Grids!$BQ$116:$EC$155,Grids!$EE$116:$GQ$155,"&gt;="&amp;$B373*1000000000,Grids!$EE$116:$GQ$155,"&lt;"&amp;($B373+1)*1000000000))</f>
        <v/>
      </c>
      <c r="E373" s="52">
        <f>IF($B373="","",SUMIFS(Grids!$BQ$160:$EC$219,Grids!$EE$160:$GQ$219,"&gt;="&amp;$B373*1000000000,Grids!$EE$160:$GQ$219,"&lt;"&amp;($B373+1)*1000000000))</f>
        <v/>
      </c>
      <c r="F373" s="53">
        <f>IF($B373="","",SUM($C$26:$C373))</f>
        <v/>
      </c>
      <c r="G373" s="53">
        <f>IF($B373="","",SUM($D$26:$D373))</f>
        <v/>
      </c>
      <c r="H373" s="53">
        <f>IF($B373="","",SUM($E$26:$E373))</f>
        <v/>
      </c>
    </row>
    <row r="374">
      <c r="B374" s="51">
        <f>IF(DATE(YEAR_Y,1,1)+348&gt;DATE(YEAR_Y,12,31),"",DATE(YEAR_Y,1,1)+348)</f>
        <v/>
      </c>
      <c r="C374" s="52">
        <f>IF($B374="","",SUMIFS(Grids!$BQ$12:$EC$111,Grids!$EE$12:$GQ$111,"&gt;="&amp;$B374*1000000000,Grids!$EE$12:$GQ$111,"&lt;"&amp;($B374+1)*1000000000))</f>
        <v/>
      </c>
      <c r="D374" s="52">
        <f>IF($B374="","",SUMIFS(Grids!$BQ$116:$EC$155,Grids!$EE$116:$GQ$155,"&gt;="&amp;$B374*1000000000,Grids!$EE$116:$GQ$155,"&lt;"&amp;($B374+1)*1000000000))</f>
        <v/>
      </c>
      <c r="E374" s="52">
        <f>IF($B374="","",SUMIFS(Grids!$BQ$160:$EC$219,Grids!$EE$160:$GQ$219,"&gt;="&amp;$B374*1000000000,Grids!$EE$160:$GQ$219,"&lt;"&amp;($B374+1)*1000000000))</f>
        <v/>
      </c>
      <c r="F374" s="53">
        <f>IF($B374="","",SUM($C$26:$C374))</f>
        <v/>
      </c>
      <c r="G374" s="53">
        <f>IF($B374="","",SUM($D$26:$D374))</f>
        <v/>
      </c>
      <c r="H374" s="53">
        <f>IF($B374="","",SUM($E$26:$E374))</f>
        <v/>
      </c>
    </row>
    <row r="375">
      <c r="B375" s="51">
        <f>IF(DATE(YEAR_Y,1,1)+349&gt;DATE(YEAR_Y,12,31),"",DATE(YEAR_Y,1,1)+349)</f>
        <v/>
      </c>
      <c r="C375" s="52">
        <f>IF($B375="","",SUMIFS(Grids!$BQ$12:$EC$111,Grids!$EE$12:$GQ$111,"&gt;="&amp;$B375*1000000000,Grids!$EE$12:$GQ$111,"&lt;"&amp;($B375+1)*1000000000))</f>
        <v/>
      </c>
      <c r="D375" s="52">
        <f>IF($B375="","",SUMIFS(Grids!$BQ$116:$EC$155,Grids!$EE$116:$GQ$155,"&gt;="&amp;$B375*1000000000,Grids!$EE$116:$GQ$155,"&lt;"&amp;($B375+1)*1000000000))</f>
        <v/>
      </c>
      <c r="E375" s="52">
        <f>IF($B375="","",SUMIFS(Grids!$BQ$160:$EC$219,Grids!$EE$160:$GQ$219,"&gt;="&amp;$B375*1000000000,Grids!$EE$160:$GQ$219,"&lt;"&amp;($B375+1)*1000000000))</f>
        <v/>
      </c>
      <c r="F375" s="53">
        <f>IF($B375="","",SUM($C$26:$C375))</f>
        <v/>
      </c>
      <c r="G375" s="53">
        <f>IF($B375="","",SUM($D$26:$D375))</f>
        <v/>
      </c>
      <c r="H375" s="53">
        <f>IF($B375="","",SUM($E$26:$E375))</f>
        <v/>
      </c>
    </row>
    <row r="376">
      <c r="B376" s="51">
        <f>IF(DATE(YEAR_Y,1,1)+350&gt;DATE(YEAR_Y,12,31),"",DATE(YEAR_Y,1,1)+350)</f>
        <v/>
      </c>
      <c r="C376" s="52">
        <f>IF($B376="","",SUMIFS(Grids!$BQ$12:$EC$111,Grids!$EE$12:$GQ$111,"&gt;="&amp;$B376*1000000000,Grids!$EE$12:$GQ$111,"&lt;"&amp;($B376+1)*1000000000))</f>
        <v/>
      </c>
      <c r="D376" s="52">
        <f>IF($B376="","",SUMIFS(Grids!$BQ$116:$EC$155,Grids!$EE$116:$GQ$155,"&gt;="&amp;$B376*1000000000,Grids!$EE$116:$GQ$155,"&lt;"&amp;($B376+1)*1000000000))</f>
        <v/>
      </c>
      <c r="E376" s="52">
        <f>IF($B376="","",SUMIFS(Grids!$BQ$160:$EC$219,Grids!$EE$160:$GQ$219,"&gt;="&amp;$B376*1000000000,Grids!$EE$160:$GQ$219,"&lt;"&amp;($B376+1)*1000000000))</f>
        <v/>
      </c>
      <c r="F376" s="53">
        <f>IF($B376="","",SUM($C$26:$C376))</f>
        <v/>
      </c>
      <c r="G376" s="53">
        <f>IF($B376="","",SUM($D$26:$D376))</f>
        <v/>
      </c>
      <c r="H376" s="53">
        <f>IF($B376="","",SUM($E$26:$E376))</f>
        <v/>
      </c>
    </row>
    <row r="377">
      <c r="B377" s="51">
        <f>IF(DATE(YEAR_Y,1,1)+351&gt;DATE(YEAR_Y,12,31),"",DATE(YEAR_Y,1,1)+351)</f>
        <v/>
      </c>
      <c r="C377" s="52">
        <f>IF($B377="","",SUMIFS(Grids!$BQ$12:$EC$111,Grids!$EE$12:$GQ$111,"&gt;="&amp;$B377*1000000000,Grids!$EE$12:$GQ$111,"&lt;"&amp;($B377+1)*1000000000))</f>
        <v/>
      </c>
      <c r="D377" s="52">
        <f>IF($B377="","",SUMIFS(Grids!$BQ$116:$EC$155,Grids!$EE$116:$GQ$155,"&gt;="&amp;$B377*1000000000,Grids!$EE$116:$GQ$155,"&lt;"&amp;($B377+1)*1000000000))</f>
        <v/>
      </c>
      <c r="E377" s="52">
        <f>IF($B377="","",SUMIFS(Grids!$BQ$160:$EC$219,Grids!$EE$160:$GQ$219,"&gt;="&amp;$B377*1000000000,Grids!$EE$160:$GQ$219,"&lt;"&amp;($B377+1)*1000000000))</f>
        <v/>
      </c>
      <c r="F377" s="53">
        <f>IF($B377="","",SUM($C$26:$C377))</f>
        <v/>
      </c>
      <c r="G377" s="53">
        <f>IF($B377="","",SUM($D$26:$D377))</f>
        <v/>
      </c>
      <c r="H377" s="53">
        <f>IF($B377="","",SUM($E$26:$E377))</f>
        <v/>
      </c>
    </row>
    <row r="378">
      <c r="B378" s="51">
        <f>IF(DATE(YEAR_Y,1,1)+352&gt;DATE(YEAR_Y,12,31),"",DATE(YEAR_Y,1,1)+352)</f>
        <v/>
      </c>
      <c r="C378" s="52">
        <f>IF($B378="","",SUMIFS(Grids!$BQ$12:$EC$111,Grids!$EE$12:$GQ$111,"&gt;="&amp;$B378*1000000000,Grids!$EE$12:$GQ$111,"&lt;"&amp;($B378+1)*1000000000))</f>
        <v/>
      </c>
      <c r="D378" s="52">
        <f>IF($B378="","",SUMIFS(Grids!$BQ$116:$EC$155,Grids!$EE$116:$GQ$155,"&gt;="&amp;$B378*1000000000,Grids!$EE$116:$GQ$155,"&lt;"&amp;($B378+1)*1000000000))</f>
        <v/>
      </c>
      <c r="E378" s="52">
        <f>IF($B378="","",SUMIFS(Grids!$BQ$160:$EC$219,Grids!$EE$160:$GQ$219,"&gt;="&amp;$B378*1000000000,Grids!$EE$160:$GQ$219,"&lt;"&amp;($B378+1)*1000000000))</f>
        <v/>
      </c>
      <c r="F378" s="53">
        <f>IF($B378="","",SUM($C$26:$C378))</f>
        <v/>
      </c>
      <c r="G378" s="53">
        <f>IF($B378="","",SUM($D$26:$D378))</f>
        <v/>
      </c>
      <c r="H378" s="53">
        <f>IF($B378="","",SUM($E$26:$E378))</f>
        <v/>
      </c>
    </row>
    <row r="379">
      <c r="B379" s="51">
        <f>IF(DATE(YEAR_Y,1,1)+353&gt;DATE(YEAR_Y,12,31),"",DATE(YEAR_Y,1,1)+353)</f>
        <v/>
      </c>
      <c r="C379" s="52">
        <f>IF($B379="","",SUMIFS(Grids!$BQ$12:$EC$111,Grids!$EE$12:$GQ$111,"&gt;="&amp;$B379*1000000000,Grids!$EE$12:$GQ$111,"&lt;"&amp;($B379+1)*1000000000))</f>
        <v/>
      </c>
      <c r="D379" s="52">
        <f>IF($B379="","",SUMIFS(Grids!$BQ$116:$EC$155,Grids!$EE$116:$GQ$155,"&gt;="&amp;$B379*1000000000,Grids!$EE$116:$GQ$155,"&lt;"&amp;($B379+1)*1000000000))</f>
        <v/>
      </c>
      <c r="E379" s="52">
        <f>IF($B379="","",SUMIFS(Grids!$BQ$160:$EC$219,Grids!$EE$160:$GQ$219,"&gt;="&amp;$B379*1000000000,Grids!$EE$160:$GQ$219,"&lt;"&amp;($B379+1)*1000000000))</f>
        <v/>
      </c>
      <c r="F379" s="53">
        <f>IF($B379="","",SUM($C$26:$C379))</f>
        <v/>
      </c>
      <c r="G379" s="53">
        <f>IF($B379="","",SUM($D$26:$D379))</f>
        <v/>
      </c>
      <c r="H379" s="53">
        <f>IF($B379="","",SUM($E$26:$E379))</f>
        <v/>
      </c>
    </row>
    <row r="380">
      <c r="B380" s="51">
        <f>IF(DATE(YEAR_Y,1,1)+354&gt;DATE(YEAR_Y,12,31),"",DATE(YEAR_Y,1,1)+354)</f>
        <v/>
      </c>
      <c r="C380" s="52">
        <f>IF($B380="","",SUMIFS(Grids!$BQ$12:$EC$111,Grids!$EE$12:$GQ$111,"&gt;="&amp;$B380*1000000000,Grids!$EE$12:$GQ$111,"&lt;"&amp;($B380+1)*1000000000))</f>
        <v/>
      </c>
      <c r="D380" s="52">
        <f>IF($B380="","",SUMIFS(Grids!$BQ$116:$EC$155,Grids!$EE$116:$GQ$155,"&gt;="&amp;$B380*1000000000,Grids!$EE$116:$GQ$155,"&lt;"&amp;($B380+1)*1000000000))</f>
        <v/>
      </c>
      <c r="E380" s="52">
        <f>IF($B380="","",SUMIFS(Grids!$BQ$160:$EC$219,Grids!$EE$160:$GQ$219,"&gt;="&amp;$B380*1000000000,Grids!$EE$160:$GQ$219,"&lt;"&amp;($B380+1)*1000000000))</f>
        <v/>
      </c>
      <c r="F380" s="53">
        <f>IF($B380="","",SUM($C$26:$C380))</f>
        <v/>
      </c>
      <c r="G380" s="53">
        <f>IF($B380="","",SUM($D$26:$D380))</f>
        <v/>
      </c>
      <c r="H380" s="53">
        <f>IF($B380="","",SUM($E$26:$E380))</f>
        <v/>
      </c>
    </row>
    <row r="381">
      <c r="B381" s="51">
        <f>IF(DATE(YEAR_Y,1,1)+355&gt;DATE(YEAR_Y,12,31),"",DATE(YEAR_Y,1,1)+355)</f>
        <v/>
      </c>
      <c r="C381" s="52">
        <f>IF($B381="","",SUMIFS(Grids!$BQ$12:$EC$111,Grids!$EE$12:$GQ$111,"&gt;="&amp;$B381*1000000000,Grids!$EE$12:$GQ$111,"&lt;"&amp;($B381+1)*1000000000))</f>
        <v/>
      </c>
      <c r="D381" s="52">
        <f>IF($B381="","",SUMIFS(Grids!$BQ$116:$EC$155,Grids!$EE$116:$GQ$155,"&gt;="&amp;$B381*1000000000,Grids!$EE$116:$GQ$155,"&lt;"&amp;($B381+1)*1000000000))</f>
        <v/>
      </c>
      <c r="E381" s="52">
        <f>IF($B381="","",SUMIFS(Grids!$BQ$160:$EC$219,Grids!$EE$160:$GQ$219,"&gt;="&amp;$B381*1000000000,Grids!$EE$160:$GQ$219,"&lt;"&amp;($B381+1)*1000000000))</f>
        <v/>
      </c>
      <c r="F381" s="53">
        <f>IF($B381="","",SUM($C$26:$C381))</f>
        <v/>
      </c>
      <c r="G381" s="53">
        <f>IF($B381="","",SUM($D$26:$D381))</f>
        <v/>
      </c>
      <c r="H381" s="53">
        <f>IF($B381="","",SUM($E$26:$E381))</f>
        <v/>
      </c>
    </row>
    <row r="382">
      <c r="B382" s="51">
        <f>IF(DATE(YEAR_Y,1,1)+356&gt;DATE(YEAR_Y,12,31),"",DATE(YEAR_Y,1,1)+356)</f>
        <v/>
      </c>
      <c r="C382" s="52">
        <f>IF($B382="","",SUMIFS(Grids!$BQ$12:$EC$111,Grids!$EE$12:$GQ$111,"&gt;="&amp;$B382*1000000000,Grids!$EE$12:$GQ$111,"&lt;"&amp;($B382+1)*1000000000))</f>
        <v/>
      </c>
      <c r="D382" s="52">
        <f>IF($B382="","",SUMIFS(Grids!$BQ$116:$EC$155,Grids!$EE$116:$GQ$155,"&gt;="&amp;$B382*1000000000,Grids!$EE$116:$GQ$155,"&lt;"&amp;($B382+1)*1000000000))</f>
        <v/>
      </c>
      <c r="E382" s="52">
        <f>IF($B382="","",SUMIFS(Grids!$BQ$160:$EC$219,Grids!$EE$160:$GQ$219,"&gt;="&amp;$B382*1000000000,Grids!$EE$160:$GQ$219,"&lt;"&amp;($B382+1)*1000000000))</f>
        <v/>
      </c>
      <c r="F382" s="53">
        <f>IF($B382="","",SUM($C$26:$C382))</f>
        <v/>
      </c>
      <c r="G382" s="53">
        <f>IF($B382="","",SUM($D$26:$D382))</f>
        <v/>
      </c>
      <c r="H382" s="53">
        <f>IF($B382="","",SUM($E$26:$E382))</f>
        <v/>
      </c>
    </row>
    <row r="383">
      <c r="B383" s="51">
        <f>IF(DATE(YEAR_Y,1,1)+357&gt;DATE(YEAR_Y,12,31),"",DATE(YEAR_Y,1,1)+357)</f>
        <v/>
      </c>
      <c r="C383" s="52">
        <f>IF($B383="","",SUMIFS(Grids!$BQ$12:$EC$111,Grids!$EE$12:$GQ$111,"&gt;="&amp;$B383*1000000000,Grids!$EE$12:$GQ$111,"&lt;"&amp;($B383+1)*1000000000))</f>
        <v/>
      </c>
      <c r="D383" s="52">
        <f>IF($B383="","",SUMIFS(Grids!$BQ$116:$EC$155,Grids!$EE$116:$GQ$155,"&gt;="&amp;$B383*1000000000,Grids!$EE$116:$GQ$155,"&lt;"&amp;($B383+1)*1000000000))</f>
        <v/>
      </c>
      <c r="E383" s="52">
        <f>IF($B383="","",SUMIFS(Grids!$BQ$160:$EC$219,Grids!$EE$160:$GQ$219,"&gt;="&amp;$B383*1000000000,Grids!$EE$160:$GQ$219,"&lt;"&amp;($B383+1)*1000000000))</f>
        <v/>
      </c>
      <c r="F383" s="53">
        <f>IF($B383="","",SUM($C$26:$C383))</f>
        <v/>
      </c>
      <c r="G383" s="53">
        <f>IF($B383="","",SUM($D$26:$D383))</f>
        <v/>
      </c>
      <c r="H383" s="53">
        <f>IF($B383="","",SUM($E$26:$E383))</f>
        <v/>
      </c>
    </row>
    <row r="384">
      <c r="B384" s="51">
        <f>IF(DATE(YEAR_Y,1,1)+358&gt;DATE(YEAR_Y,12,31),"",DATE(YEAR_Y,1,1)+358)</f>
        <v/>
      </c>
      <c r="C384" s="52">
        <f>IF($B384="","",SUMIFS(Grids!$BQ$12:$EC$111,Grids!$EE$12:$GQ$111,"&gt;="&amp;$B384*1000000000,Grids!$EE$12:$GQ$111,"&lt;"&amp;($B384+1)*1000000000))</f>
        <v/>
      </c>
      <c r="D384" s="52">
        <f>IF($B384="","",SUMIFS(Grids!$BQ$116:$EC$155,Grids!$EE$116:$GQ$155,"&gt;="&amp;$B384*1000000000,Grids!$EE$116:$GQ$155,"&lt;"&amp;($B384+1)*1000000000))</f>
        <v/>
      </c>
      <c r="E384" s="52">
        <f>IF($B384="","",SUMIFS(Grids!$BQ$160:$EC$219,Grids!$EE$160:$GQ$219,"&gt;="&amp;$B384*1000000000,Grids!$EE$160:$GQ$219,"&lt;"&amp;($B384+1)*1000000000))</f>
        <v/>
      </c>
      <c r="F384" s="53">
        <f>IF($B384="","",SUM($C$26:$C384))</f>
        <v/>
      </c>
      <c r="G384" s="53">
        <f>IF($B384="","",SUM($D$26:$D384))</f>
        <v/>
      </c>
      <c r="H384" s="53">
        <f>IF($B384="","",SUM($E$26:$E384))</f>
        <v/>
      </c>
    </row>
    <row r="385">
      <c r="B385" s="51">
        <f>IF(DATE(YEAR_Y,1,1)+359&gt;DATE(YEAR_Y,12,31),"",DATE(YEAR_Y,1,1)+359)</f>
        <v/>
      </c>
      <c r="C385" s="52">
        <f>IF($B385="","",SUMIFS(Grids!$BQ$12:$EC$111,Grids!$EE$12:$GQ$111,"&gt;="&amp;$B385*1000000000,Grids!$EE$12:$GQ$111,"&lt;"&amp;($B385+1)*1000000000))</f>
        <v/>
      </c>
      <c r="D385" s="52">
        <f>IF($B385="","",SUMIFS(Grids!$BQ$116:$EC$155,Grids!$EE$116:$GQ$155,"&gt;="&amp;$B385*1000000000,Grids!$EE$116:$GQ$155,"&lt;"&amp;($B385+1)*1000000000))</f>
        <v/>
      </c>
      <c r="E385" s="52">
        <f>IF($B385="","",SUMIFS(Grids!$BQ$160:$EC$219,Grids!$EE$160:$GQ$219,"&gt;="&amp;$B385*1000000000,Grids!$EE$160:$GQ$219,"&lt;"&amp;($B385+1)*1000000000))</f>
        <v/>
      </c>
      <c r="F385" s="53">
        <f>IF($B385="","",SUM($C$26:$C385))</f>
        <v/>
      </c>
      <c r="G385" s="53">
        <f>IF($B385="","",SUM($D$26:$D385))</f>
        <v/>
      </c>
      <c r="H385" s="53">
        <f>IF($B385="","",SUM($E$26:$E385))</f>
        <v/>
      </c>
    </row>
    <row r="386">
      <c r="B386" s="51">
        <f>IF(DATE(YEAR_Y,1,1)+360&gt;DATE(YEAR_Y,12,31),"",DATE(YEAR_Y,1,1)+360)</f>
        <v/>
      </c>
      <c r="C386" s="52">
        <f>IF($B386="","",SUMIFS(Grids!$BQ$12:$EC$111,Grids!$EE$12:$GQ$111,"&gt;="&amp;$B386*1000000000,Grids!$EE$12:$GQ$111,"&lt;"&amp;($B386+1)*1000000000))</f>
        <v/>
      </c>
      <c r="D386" s="52">
        <f>IF($B386="","",SUMIFS(Grids!$BQ$116:$EC$155,Grids!$EE$116:$GQ$155,"&gt;="&amp;$B386*1000000000,Grids!$EE$116:$GQ$155,"&lt;"&amp;($B386+1)*1000000000))</f>
        <v/>
      </c>
      <c r="E386" s="52">
        <f>IF($B386="","",SUMIFS(Grids!$BQ$160:$EC$219,Grids!$EE$160:$GQ$219,"&gt;="&amp;$B386*1000000000,Grids!$EE$160:$GQ$219,"&lt;"&amp;($B386+1)*1000000000))</f>
        <v/>
      </c>
      <c r="F386" s="53">
        <f>IF($B386="","",SUM($C$26:$C386))</f>
        <v/>
      </c>
      <c r="G386" s="53">
        <f>IF($B386="","",SUM($D$26:$D386))</f>
        <v/>
      </c>
      <c r="H386" s="53">
        <f>IF($B386="","",SUM($E$26:$E386))</f>
        <v/>
      </c>
    </row>
    <row r="387">
      <c r="B387" s="51">
        <f>IF(DATE(YEAR_Y,1,1)+361&gt;DATE(YEAR_Y,12,31),"",DATE(YEAR_Y,1,1)+361)</f>
        <v/>
      </c>
      <c r="C387" s="52">
        <f>IF($B387="","",SUMIFS(Grids!$BQ$12:$EC$111,Grids!$EE$12:$GQ$111,"&gt;="&amp;$B387*1000000000,Grids!$EE$12:$GQ$111,"&lt;"&amp;($B387+1)*1000000000))</f>
        <v/>
      </c>
      <c r="D387" s="52">
        <f>IF($B387="","",SUMIFS(Grids!$BQ$116:$EC$155,Grids!$EE$116:$GQ$155,"&gt;="&amp;$B387*1000000000,Grids!$EE$116:$GQ$155,"&lt;"&amp;($B387+1)*1000000000))</f>
        <v/>
      </c>
      <c r="E387" s="52">
        <f>IF($B387="","",SUMIFS(Grids!$BQ$160:$EC$219,Grids!$EE$160:$GQ$219,"&gt;="&amp;$B387*1000000000,Grids!$EE$160:$GQ$219,"&lt;"&amp;($B387+1)*1000000000))</f>
        <v/>
      </c>
      <c r="F387" s="53">
        <f>IF($B387="","",SUM($C$26:$C387))</f>
        <v/>
      </c>
      <c r="G387" s="53">
        <f>IF($B387="","",SUM($D$26:$D387))</f>
        <v/>
      </c>
      <c r="H387" s="53">
        <f>IF($B387="","",SUM($E$26:$E387))</f>
        <v/>
      </c>
    </row>
    <row r="388">
      <c r="B388" s="51">
        <f>IF(DATE(YEAR_Y,1,1)+362&gt;DATE(YEAR_Y,12,31),"",DATE(YEAR_Y,1,1)+362)</f>
        <v/>
      </c>
      <c r="C388" s="52">
        <f>IF($B388="","",SUMIFS(Grids!$BQ$12:$EC$111,Grids!$EE$12:$GQ$111,"&gt;="&amp;$B388*1000000000,Grids!$EE$12:$GQ$111,"&lt;"&amp;($B388+1)*1000000000))</f>
        <v/>
      </c>
      <c r="D388" s="52">
        <f>IF($B388="","",SUMIFS(Grids!$BQ$116:$EC$155,Grids!$EE$116:$GQ$155,"&gt;="&amp;$B388*1000000000,Grids!$EE$116:$GQ$155,"&lt;"&amp;($B388+1)*1000000000))</f>
        <v/>
      </c>
      <c r="E388" s="52">
        <f>IF($B388="","",SUMIFS(Grids!$BQ$160:$EC$219,Grids!$EE$160:$GQ$219,"&gt;="&amp;$B388*1000000000,Grids!$EE$160:$GQ$219,"&lt;"&amp;($B388+1)*1000000000))</f>
        <v/>
      </c>
      <c r="F388" s="53">
        <f>IF($B388="","",SUM($C$26:$C388))</f>
        <v/>
      </c>
      <c r="G388" s="53">
        <f>IF($B388="","",SUM($D$26:$D388))</f>
        <v/>
      </c>
      <c r="H388" s="53">
        <f>IF($B388="","",SUM($E$26:$E388))</f>
        <v/>
      </c>
    </row>
    <row r="389">
      <c r="B389" s="51">
        <f>IF(DATE(YEAR_Y,1,1)+363&gt;DATE(YEAR_Y,12,31),"",DATE(YEAR_Y,1,1)+363)</f>
        <v/>
      </c>
      <c r="C389" s="52">
        <f>IF($B389="","",SUMIFS(Grids!$BQ$12:$EC$111,Grids!$EE$12:$GQ$111,"&gt;="&amp;$B389*1000000000,Grids!$EE$12:$GQ$111,"&lt;"&amp;($B389+1)*1000000000))</f>
        <v/>
      </c>
      <c r="D389" s="52">
        <f>IF($B389="","",SUMIFS(Grids!$BQ$116:$EC$155,Grids!$EE$116:$GQ$155,"&gt;="&amp;$B389*1000000000,Grids!$EE$116:$GQ$155,"&lt;"&amp;($B389+1)*1000000000))</f>
        <v/>
      </c>
      <c r="E389" s="52">
        <f>IF($B389="","",SUMIFS(Grids!$BQ$160:$EC$219,Grids!$EE$160:$GQ$219,"&gt;="&amp;$B389*1000000000,Grids!$EE$160:$GQ$219,"&lt;"&amp;($B389+1)*1000000000))</f>
        <v/>
      </c>
      <c r="F389" s="53">
        <f>IF($B389="","",SUM($C$26:$C389))</f>
        <v/>
      </c>
      <c r="G389" s="53">
        <f>IF($B389="","",SUM($D$26:$D389))</f>
        <v/>
      </c>
      <c r="H389" s="53">
        <f>IF($B389="","",SUM($E$26:$E389))</f>
        <v/>
      </c>
    </row>
    <row r="390">
      <c r="B390" s="51">
        <f>IF(DATE(YEAR_Y,1,1)+364&gt;DATE(YEAR_Y,12,31),"",DATE(YEAR_Y,1,1)+364)</f>
        <v/>
      </c>
      <c r="C390" s="52">
        <f>IF($B390="","",SUMIFS(Grids!$BQ$12:$EC$111,Grids!$EE$12:$GQ$111,"&gt;="&amp;$B390*1000000000,Grids!$EE$12:$GQ$111,"&lt;"&amp;($B390+1)*1000000000))</f>
        <v/>
      </c>
      <c r="D390" s="52">
        <f>IF($B390="","",SUMIFS(Grids!$BQ$116:$EC$155,Grids!$EE$116:$GQ$155,"&gt;="&amp;$B390*1000000000,Grids!$EE$116:$GQ$155,"&lt;"&amp;($B390+1)*1000000000))</f>
        <v/>
      </c>
      <c r="E390" s="52">
        <f>IF($B390="","",SUMIFS(Grids!$BQ$160:$EC$219,Grids!$EE$160:$GQ$219,"&gt;="&amp;$B390*1000000000,Grids!$EE$160:$GQ$219,"&lt;"&amp;($B390+1)*1000000000))</f>
        <v/>
      </c>
      <c r="F390" s="53">
        <f>IF($B390="","",SUM($C$26:$C390))</f>
        <v/>
      </c>
      <c r="G390" s="53">
        <f>IF($B390="","",SUM($D$26:$D390))</f>
        <v/>
      </c>
      <c r="H390" s="53">
        <f>IF($B390="","",SUM($E$26:$E390))</f>
        <v/>
      </c>
    </row>
    <row r="391">
      <c r="B391" s="51">
        <f>IF(DATE(YEAR_Y,1,1)+365&gt;DATE(YEAR_Y,12,31),"",DATE(YEAR_Y,1,1)+365)</f>
        <v/>
      </c>
      <c r="C391" s="52">
        <f>IF($B391="","",SUMIFS(Grids!$BQ$12:$EC$111,Grids!$EE$12:$GQ$111,"&gt;="&amp;$B391*1000000000,Grids!$EE$12:$GQ$111,"&lt;"&amp;($B391+1)*1000000000))</f>
        <v/>
      </c>
      <c r="D391" s="52">
        <f>IF($B391="","",SUMIFS(Grids!$BQ$116:$EC$155,Grids!$EE$116:$GQ$155,"&gt;="&amp;$B391*1000000000,Grids!$EE$116:$GQ$155,"&lt;"&amp;($B391+1)*1000000000))</f>
        <v/>
      </c>
      <c r="E391" s="52">
        <f>IF($B391="","",SUMIFS(Grids!$BQ$160:$EC$219,Grids!$EE$160:$GQ$219,"&gt;="&amp;$B391*1000000000,Grids!$EE$160:$GQ$219,"&lt;"&amp;($B391+1)*1000000000))</f>
        <v/>
      </c>
      <c r="F391" s="53">
        <f>IF($B391="","",SUM($C$26:$C391))</f>
        <v/>
      </c>
      <c r="G391" s="53">
        <f>IF($B391="","",SUM($D$26:$D391))</f>
        <v/>
      </c>
      <c r="H391" s="53">
        <f>IF($B391="","",SUM($E$26:$E391))</f>
        <v/>
      </c>
    </row>
    <row r="392">
      <c r="B392" s="51">
        <f>IF(DATE(YEAR_Y,1,1)+366&gt;DATE(YEAR_Y,12,31),"",DATE(YEAR_Y,1,1)+366)</f>
        <v/>
      </c>
      <c r="C392" s="52">
        <f>IF($B392="","",SUMIFS(Grids!$BQ$12:$EC$111,Grids!$EE$12:$GQ$111,"&gt;="&amp;$B392*1000000000,Grids!$EE$12:$GQ$111,"&lt;"&amp;($B392+1)*1000000000))</f>
        <v/>
      </c>
      <c r="D392" s="52">
        <f>IF($B392="","",SUMIFS(Grids!$BQ$116:$EC$155,Grids!$EE$116:$GQ$155,"&gt;="&amp;$B392*1000000000,Grids!$EE$116:$GQ$155,"&lt;"&amp;($B392+1)*1000000000))</f>
        <v/>
      </c>
      <c r="E392" s="52">
        <f>IF($B392="","",SUMIFS(Grids!$BQ$160:$EC$219,Grids!$EE$160:$GQ$219,"&gt;="&amp;$B392*1000000000,Grids!$EE$160:$GQ$219,"&lt;"&amp;($B392+1)*1000000000))</f>
        <v/>
      </c>
      <c r="F392" s="53">
        <f>IF($B392="","",SUM($C$26:$C392))</f>
        <v/>
      </c>
      <c r="G392" s="53">
        <f>IF($B392="","",SUM($D$26:$D392))</f>
        <v/>
      </c>
      <c r="H392" s="53">
        <f>IF($B392="","",SUM($E$26:$E392))</f>
        <v/>
      </c>
    </row>
    <row r="393">
      <c r="B393" s="51">
        <f>IF(DATE(YEAR_Y,1,1)+367&gt;DATE(YEAR_Y,12,31),"",DATE(YEAR_Y,1,1)+367)</f>
        <v/>
      </c>
      <c r="C393" s="52">
        <f>IF($B393="","",SUMIFS(Grids!$BQ$12:$EC$111,Grids!$EE$12:$GQ$111,"&gt;="&amp;$B393*1000000000,Grids!$EE$12:$GQ$111,"&lt;"&amp;($B393+1)*1000000000))</f>
        <v/>
      </c>
      <c r="D393" s="52">
        <f>IF($B393="","",SUMIFS(Grids!$BQ$116:$EC$155,Grids!$EE$116:$GQ$155,"&gt;="&amp;$B393*1000000000,Grids!$EE$116:$GQ$155,"&lt;"&amp;($B393+1)*1000000000))</f>
        <v/>
      </c>
      <c r="E393" s="52">
        <f>IF($B393="","",SUMIFS(Grids!$BQ$160:$EC$219,Grids!$EE$160:$GQ$219,"&gt;="&amp;$B393*1000000000,Grids!$EE$160:$GQ$219,"&lt;"&amp;($B393+1)*1000000000))</f>
        <v/>
      </c>
      <c r="F393" s="53">
        <f>IF($B393="","",SUM($C$26:$C393))</f>
        <v/>
      </c>
      <c r="G393" s="53">
        <f>IF($B393="","",SUM($D$26:$D393))</f>
        <v/>
      </c>
      <c r="H393" s="53">
        <f>IF($B393="","",SUM($E$26:$E393))</f>
        <v/>
      </c>
    </row>
    <row r="394">
      <c r="B394" s="51">
        <f>IF(DATE(YEAR_Y,1,1)+368&gt;DATE(YEAR_Y,12,31),"",DATE(YEAR_Y,1,1)+368)</f>
        <v/>
      </c>
      <c r="C394" s="52">
        <f>IF($B394="","",SUMIFS(Grids!$BQ$12:$EC$111,Grids!$EE$12:$GQ$111,"&gt;="&amp;$B394*1000000000,Grids!$EE$12:$GQ$111,"&lt;"&amp;($B394+1)*1000000000))</f>
        <v/>
      </c>
      <c r="D394" s="52">
        <f>IF($B394="","",SUMIFS(Grids!$BQ$116:$EC$155,Grids!$EE$116:$GQ$155,"&gt;="&amp;$B394*1000000000,Grids!$EE$116:$GQ$155,"&lt;"&amp;($B394+1)*1000000000))</f>
        <v/>
      </c>
      <c r="E394" s="52">
        <f>IF($B394="","",SUMIFS(Grids!$BQ$160:$EC$219,Grids!$EE$160:$GQ$219,"&gt;="&amp;$B394*1000000000,Grids!$EE$160:$GQ$219,"&lt;"&amp;($B394+1)*1000000000))</f>
        <v/>
      </c>
      <c r="F394" s="53">
        <f>IF($B394="","",SUM($C$26:$C394))</f>
        <v/>
      </c>
      <c r="G394" s="53">
        <f>IF($B394="","",SUM($D$26:$D394))</f>
        <v/>
      </c>
      <c r="H394" s="53">
        <f>IF($B394="","",SUM($E$26:$E394))</f>
        <v/>
      </c>
    </row>
    <row r="395">
      <c r="B395" s="51">
        <f>IF(DATE(YEAR_Y,1,1)+369&gt;DATE(YEAR_Y,12,31),"",DATE(YEAR_Y,1,1)+369)</f>
        <v/>
      </c>
      <c r="C395" s="52">
        <f>IF($B395="","",SUMIFS(Grids!$BQ$12:$EC$111,Grids!$EE$12:$GQ$111,"&gt;="&amp;$B395*1000000000,Grids!$EE$12:$GQ$111,"&lt;"&amp;($B395+1)*1000000000))</f>
        <v/>
      </c>
      <c r="D395" s="52">
        <f>IF($B395="","",SUMIFS(Grids!$BQ$116:$EC$155,Grids!$EE$116:$GQ$155,"&gt;="&amp;$B395*1000000000,Grids!$EE$116:$GQ$155,"&lt;"&amp;($B395+1)*1000000000))</f>
        <v/>
      </c>
      <c r="E395" s="52">
        <f>IF($B395="","",SUMIFS(Grids!$BQ$160:$EC$219,Grids!$EE$160:$GQ$219,"&gt;="&amp;$B395*1000000000,Grids!$EE$160:$GQ$219,"&lt;"&amp;($B395+1)*1000000000))</f>
        <v/>
      </c>
      <c r="F395" s="53">
        <f>IF($B395="","",SUM($C$26:$C395))</f>
        <v/>
      </c>
      <c r="G395" s="53">
        <f>IF($B395="","",SUM($D$26:$D395))</f>
        <v/>
      </c>
      <c r="H395" s="53">
        <f>IF($B395="","",SUM($E$26:$E395))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A9D08E"/>
    <outlinePr summaryBelow="1" summaryRight="1"/>
    <pageSetUpPr/>
  </sheetPr>
  <dimension ref="B1:AZ259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5" customWidth="1" min="3" max="3"/>
    <col width="2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24" customWidth="1" min="51" max="51"/>
    <col width="8" customWidth="1" min="52" max="52"/>
  </cols>
  <sheetData>
    <row r="1">
      <c r="B1" s="1" t="inlineStr">
        <is>
          <t>FUNDAMENTALS - WHAT PAYS THE DIVIDEND</t>
        </is>
      </c>
    </row>
    <row r="2">
      <c r="B2" s="2" t="inlineStr">
        <is>
          <t>DPS is per share, declared currency, on an ex-date clock; EPS and payout are fiscal; yield Y-n = DPS Y-n x FX / that year-end price. Filter with the header arrows; never sort.</t>
        </is>
      </c>
    </row>
    <row r="4">
      <c r="B4" s="3" t="inlineStr">
        <is>
          <t>Flag thresholds</t>
        </is>
      </c>
      <c r="C4" s="8" t="inlineStr">
        <is>
          <t>payout above</t>
        </is>
      </c>
      <c r="D4" s="54" t="n">
        <v>1</v>
      </c>
      <c r="E4" s="8" t="inlineStr">
        <is>
          <t>FCF cover below</t>
        </is>
      </c>
      <c r="F4" s="55" t="n">
        <v>1</v>
      </c>
      <c r="G4" s="8" t="inlineStr">
        <is>
          <t>ND/EBITDA above</t>
        </is>
      </c>
      <c r="H4" s="55" t="n">
        <v>3</v>
      </c>
    </row>
    <row r="5">
      <c r="B5" s="8" t="inlineStr">
        <is>
          <t>Fundamentals pulls</t>
        </is>
      </c>
      <c r="C5" s="19">
        <f>IF(PULL_FUND="Y","ON - amber columns live","OFF - amber columns blank (Summary C16)")</f>
        <v/>
      </c>
      <c r="D5" s="20" t="n"/>
      <c r="E5" s="20" t="n"/>
      <c r="F5" s="20" t="n"/>
      <c r="G5" s="20" t="n"/>
      <c r="H5" s="21" t="n"/>
    </row>
    <row r="8">
      <c r="B8" s="2" t="inlineStr">
        <is>
          <t>Jump to:</t>
        </is>
      </c>
      <c r="C8" s="56" t="inlineStr">
        <is>
          <t>DPS</t>
        </is>
      </c>
      <c r="D8" s="56" t="inlineStr">
        <is>
          <t>Yields</t>
        </is>
      </c>
      <c r="E8" s="56" t="inlineStr">
        <is>
          <t>EPS</t>
        </is>
      </c>
      <c r="F8" s="56" t="inlineStr">
        <is>
          <t>Payout</t>
        </is>
      </c>
      <c r="G8" s="56" t="inlineStr">
        <is>
          <t>Buybacks</t>
        </is>
      </c>
      <c r="H8" s="56" t="inlineStr">
        <is>
          <t>Balance sheet</t>
        </is>
      </c>
      <c r="I8" s="56" t="inlineStr">
        <is>
          <t>Sector tables</t>
        </is>
      </c>
    </row>
    <row r="10">
      <c r="B10" s="6" t="inlineStr">
        <is>
          <t>WHO</t>
        </is>
      </c>
      <c r="C10" s="7" t="n"/>
      <c r="D10" s="7" t="n"/>
      <c r="E10" s="7" t="n"/>
      <c r="F10" s="57" t="inlineStr">
        <is>
          <t>DPS BY EX-DATE YEAR  (per share, declared ccy - cash types only)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6" t="inlineStr">
        <is>
          <t>DIVIDEND YIELD BY YEAR</t>
        </is>
      </c>
      <c r="Q10" s="7" t="n"/>
      <c r="R10" s="7" t="n"/>
      <c r="S10" s="7" t="n"/>
      <c r="T10" s="7" t="n"/>
      <c r="U10" s="7" t="n"/>
      <c r="V10" s="7" t="n"/>
      <c r="W10" s="7" t="n"/>
      <c r="X10" s="59" t="inlineStr">
        <is>
          <t>EPS BY FISCAL YEAR</t>
        </is>
      </c>
      <c r="Y10" s="60" t="n"/>
      <c r="Z10" s="60" t="n"/>
      <c r="AA10" s="60" t="n"/>
      <c r="AB10" s="60" t="n"/>
      <c r="AC10" s="60" t="n"/>
      <c r="AD10" s="60" t="n"/>
      <c r="AE10" s="6" t="inlineStr">
        <is>
          <t>PAYOUT</t>
        </is>
      </c>
      <c r="AF10" s="7" t="n"/>
      <c r="AG10" s="7" t="n"/>
      <c r="AH10" s="7" t="n"/>
      <c r="AI10" s="7" t="n"/>
      <c r="AJ10" s="7" t="n"/>
      <c r="AK10" s="7" t="n"/>
      <c r="AL10" s="7" t="n"/>
      <c r="AM10" s="7" t="n"/>
      <c r="AN10" s="57" t="inlineStr">
        <is>
          <t>BUYBACKS (LTM / mkt cap)</t>
        </is>
      </c>
      <c r="AO10" s="58" t="n"/>
      <c r="AP10" s="58" t="n"/>
      <c r="AQ10" s="58" t="n"/>
      <c r="AR10" s="58" t="n"/>
      <c r="AS10" s="59" t="inlineStr">
        <is>
          <t>BALANCE SHEET &amp; CASH</t>
        </is>
      </c>
      <c r="AT10" s="60" t="n"/>
      <c r="AU10" s="60" t="n"/>
      <c r="AV10" s="60" t="n"/>
      <c r="AW10" s="60" t="n"/>
      <c r="AX10" s="60" t="n"/>
    </row>
    <row r="11">
      <c r="B11" s="23" t="inlineStr">
        <is>
          <t>Index</t>
        </is>
      </c>
      <c r="C11" s="23" t="inlineStr">
        <is>
          <t>Ticker</t>
        </is>
      </c>
      <c r="D11" s="23" t="inlineStr">
        <is>
          <t>Name</t>
        </is>
      </c>
      <c r="E11" s="23" t="inlineStr">
        <is>
          <t>GICS Sector</t>
        </is>
      </c>
      <c r="F11" s="61" t="inlineStr">
        <is>
          <t>DPS
Y-5</t>
        </is>
      </c>
      <c r="G11" s="62" t="inlineStr">
        <is>
          <t>DPS
Y-4</t>
        </is>
      </c>
      <c r="H11" s="62" t="inlineStr">
        <is>
          <t>DPS
Y-3</t>
        </is>
      </c>
      <c r="I11" s="62" t="inlineStr">
        <is>
          <t>DPS
Y-2</t>
        </is>
      </c>
      <c r="J11" s="62" t="inlineStr">
        <is>
          <t>DPS
Y-1</t>
        </is>
      </c>
      <c r="K11" s="62" t="inlineStr">
        <is>
          <t>DPS
YTD</t>
        </is>
      </c>
      <c r="L11" s="62" t="inlineStr">
        <is>
          <t>DPS to
come</t>
        </is>
      </c>
      <c r="M11" s="62" t="inlineStr">
        <is>
          <t>MODEL DPS
yr Y</t>
        </is>
      </c>
      <c r="N11" s="62" t="inlineStr">
        <is>
          <t>Fwd DPS
(street)</t>
        </is>
      </c>
      <c r="O11" s="62" t="inlineStr">
        <is>
          <t>5Y avg
DPS</t>
        </is>
      </c>
      <c r="P11" s="63" t="inlineStr">
        <is>
          <t>Yld
Y-5</t>
        </is>
      </c>
      <c r="Q11" s="23" t="inlineStr">
        <is>
          <t>Yld
Y-4</t>
        </is>
      </c>
      <c r="R11" s="23" t="inlineStr">
        <is>
          <t>Yld
Y-3</t>
        </is>
      </c>
      <c r="S11" s="23" t="inlineStr">
        <is>
          <t>Yld
Y-2</t>
        </is>
      </c>
      <c r="T11" s="23" t="inlineStr">
        <is>
          <t>Yld
Y-1</t>
        </is>
      </c>
      <c r="U11" s="23" t="inlineStr">
        <is>
          <t>Dvd yld
12M</t>
        </is>
      </c>
      <c r="V11" s="23" t="inlineStr">
        <is>
          <t>MODEL
fwd yld</t>
        </is>
      </c>
      <c r="W11" s="23" t="inlineStr">
        <is>
          <t>Street
fwd yld</t>
        </is>
      </c>
      <c r="X11" s="64" t="inlineStr">
        <is>
          <t>EPS
Y-5</t>
        </is>
      </c>
      <c r="Y11" s="65" t="inlineStr">
        <is>
          <t>EPS
Y-4</t>
        </is>
      </c>
      <c r="Z11" s="65" t="inlineStr">
        <is>
          <t>EPS
Y-3</t>
        </is>
      </c>
      <c r="AA11" s="65" t="inlineStr">
        <is>
          <t>EPS
Y-2</t>
        </is>
      </c>
      <c r="AB11" s="65" t="inlineStr">
        <is>
          <t>EPS
Y-1</t>
        </is>
      </c>
      <c r="AC11" s="65" t="inlineStr">
        <is>
          <t>5Y avg
EPS</t>
        </is>
      </c>
      <c r="AD11" s="65" t="inlineStr">
        <is>
          <t>Fwd EPS
(street)</t>
        </is>
      </c>
      <c r="AE11" s="63" t="inlineStr">
        <is>
          <t>Payout
Y-5</t>
        </is>
      </c>
      <c r="AF11" s="23" t="inlineStr">
        <is>
          <t>Payout
Y-4</t>
        </is>
      </c>
      <c r="AG11" s="23" t="inlineStr">
        <is>
          <t>Payout
Y-3</t>
        </is>
      </c>
      <c r="AH11" s="23" t="inlineStr">
        <is>
          <t>Payout
Y-2</t>
        </is>
      </c>
      <c r="AI11" s="23" t="inlineStr">
        <is>
          <t>Payout
Y-1</t>
        </is>
      </c>
      <c r="AJ11" s="23" t="inlineStr">
        <is>
          <t>5Y avg
payout</t>
        </is>
      </c>
      <c r="AK11" s="23" t="inlineStr">
        <is>
          <t>Fwd payout
(street)</t>
        </is>
      </c>
      <c r="AL11" s="23" t="inlineStr">
        <is>
          <t>MODEL
payout (Y)</t>
        </is>
      </c>
      <c r="AM11" s="23" t="inlineStr">
        <is>
          <t>Payout
trend</t>
        </is>
      </c>
      <c r="AN11" s="61" t="inlineStr">
        <is>
          <t>Buyback
Y-4</t>
        </is>
      </c>
      <c r="AO11" s="62" t="inlineStr">
        <is>
          <t>Buyback
Y-3</t>
        </is>
      </c>
      <c r="AP11" s="62" t="inlineStr">
        <is>
          <t>Buyback
Y-2</t>
        </is>
      </c>
      <c r="AQ11" s="62" t="inlineStr">
        <is>
          <t>Buyback
Y-1</t>
        </is>
      </c>
      <c r="AR11" s="62" t="inlineStr">
        <is>
          <t>Bb+dvd
yield</t>
        </is>
      </c>
      <c r="AS11" s="64" t="inlineStr">
        <is>
          <t>ND/E
Y-2</t>
        </is>
      </c>
      <c r="AT11" s="65" t="inlineStr">
        <is>
          <t>ND/E
Y-1</t>
        </is>
      </c>
      <c r="AU11" s="65" t="inlineStr">
        <is>
          <t>Net debt
/EBITDA</t>
        </is>
      </c>
      <c r="AV11" s="65" t="inlineStr">
        <is>
          <t>EBITDA
/interest</t>
        </is>
      </c>
      <c r="AW11" s="65" t="inlineStr">
        <is>
          <t>FCF
yld</t>
        </is>
      </c>
      <c r="AX11" s="65" t="inlineStr">
        <is>
          <t>FCF
cover</t>
        </is>
      </c>
      <c r="AY11" s="63" t="inlineStr">
        <is>
          <t>Watch</t>
        </is>
      </c>
      <c r="AZ11" s="23" t="inlineStr">
        <is>
          <t>Dvd
ccy</t>
        </is>
      </c>
    </row>
    <row r="12">
      <c r="B12" s="66" t="inlineStr">
        <is>
          <t>HSI</t>
        </is>
      </c>
      <c r="C12" s="8">
        <f>IF(HSI!$C$7="","",HSI!$C$7)</f>
        <v/>
      </c>
      <c r="D12" s="8">
        <f>IF($C12="","",HSI!$D$7)</f>
        <v/>
      </c>
      <c r="E12" s="8">
        <f>IF($C12="","",HSI!$E$7)</f>
        <v/>
      </c>
      <c r="F12" s="67">
        <f>IF($C12="","",SUMPRODUCT(('Dvd Calendar'!$E$11:$AR$11&gt;=DATE(YEAR_Y-5,1,1))*('Dvd Calendar'!$E$11:$AR$11&lt;=DATE(YEAR_Y-5,12,31))*'Dvd Calendar'!$E$14:$AR$14*(('Dvd Calendar'!$E$16:$AR$16=TYPE1)*(TYPE1&lt;&gt;"")+('Dvd Calendar'!$E$16:$AR$16=TYPE2)*(TYPE2&lt;&gt;"")+('Dvd Calendar'!$E$16:$AR$16=TYPE3)*(TYPE3&lt;&gt;"")+('Dvd Calendar'!$E$16:$AR$16=TYPE4)*(TYPE4&lt;&gt;"")+('Dvd Calendar'!$E$16:$AR$16=SPECIAL_LBL)*(INC_SPECIALS="Y"))))</f>
        <v/>
      </c>
      <c r="G12" s="68">
        <f>IF($C12="","",SUMPRODUCT(('Dvd Calendar'!$E$11:$AR$11&gt;=DATE(YEAR_Y-4,1,1))*('Dvd Calendar'!$E$11:$AR$11&lt;=DATE(YEAR_Y-4,12,31))*'Dvd Calendar'!$E$14:$AR$14*(('Dvd Calendar'!$E$16:$AR$16=TYPE1)*(TYPE1&lt;&gt;"")+('Dvd Calendar'!$E$16:$AR$16=TYPE2)*(TYPE2&lt;&gt;"")+('Dvd Calendar'!$E$16:$AR$16=TYPE3)*(TYPE3&lt;&gt;"")+('Dvd Calendar'!$E$16:$AR$16=TYPE4)*(TYPE4&lt;&gt;"")+('Dvd Calendar'!$E$16:$AR$16=SPECIAL_LBL)*(INC_SPECIALS="Y"))))</f>
        <v/>
      </c>
      <c r="H12" s="68">
        <f>IF($C12="","",SUMPRODUCT(('Dvd Calendar'!$E$11:$AR$11&gt;=DATE(YEAR_Y-3,1,1))*('Dvd Calendar'!$E$11:$AR$11&lt;=DATE(YEAR_Y-3,12,31))*'Dvd Calendar'!$E$14:$AR$14*(('Dvd Calendar'!$E$16:$AR$16=TYPE1)*(TYPE1&lt;&gt;"")+('Dvd Calendar'!$E$16:$AR$16=TYPE2)*(TYPE2&lt;&gt;"")+('Dvd Calendar'!$E$16:$AR$16=TYPE3)*(TYPE3&lt;&gt;"")+('Dvd Calendar'!$E$16:$AR$16=TYPE4)*(TYPE4&lt;&gt;"")+('Dvd Calendar'!$E$16:$AR$16=SPECIAL_LBL)*(INC_SPECIALS="Y"))))</f>
        <v/>
      </c>
      <c r="I12" s="68">
        <f>IF($C12="","",SUMPRODUCT(('Dvd Calendar'!$E$11:$AR$11&gt;=DATE(YEAR_Y-2,1,1))*('Dvd Calendar'!$E$11:$AR$11&lt;=DATE(YEAR_Y-2,12,31))*'Dvd Calendar'!$E$14:$AR$14*(('Dvd Calendar'!$E$16:$AR$16=TYPE1)*(TYPE1&lt;&gt;"")+('Dvd Calendar'!$E$16:$AR$16=TYPE2)*(TYPE2&lt;&gt;"")+('Dvd Calendar'!$E$16:$AR$16=TYPE3)*(TYPE3&lt;&gt;"")+('Dvd Calendar'!$E$16:$AR$16=TYPE4)*(TYPE4&lt;&gt;"")+('Dvd Calendar'!$E$16:$AR$16=SPECIAL_LBL)*(INC_SPECIALS="Y"))))</f>
        <v/>
      </c>
      <c r="J12" s="68">
        <f>IF($C12="","",SUMPRODUCT(('Dvd Calendar'!$E$11:$AR$11&gt;=DATE(YEAR_Y-1,1,1))*('Dvd Calendar'!$E$11:$AR$11&lt;=DATE(YEAR_Y-1,12,31))*'Dvd Calendar'!$E$14:$AR$14*(('Dvd Calendar'!$E$16:$AR$16=TYPE1)*(TYPE1&lt;&gt;"")+('Dvd Calendar'!$E$16:$AR$16=TYPE2)*(TYPE2&lt;&gt;"")+('Dvd Calendar'!$E$16:$AR$16=TYPE3)*(TYPE3&lt;&gt;"")+('Dvd Calendar'!$E$16:$AR$16=TYPE4)*(TYPE4&lt;&gt;"")+('Dvd Calendar'!$E$16:$AR$16=SPECIAL_LBL)*(INC_SPECIALS="Y"))))</f>
        <v/>
      </c>
      <c r="K12" s="69">
        <f>IF($C12="","",HSI!$J$7)</f>
        <v/>
      </c>
      <c r="L12" s="69">
        <f>IF($C12="","",HSI!$K$7)</f>
        <v/>
      </c>
      <c r="M12" s="44">
        <f>IF($C12="","",HSI!$J$7+HSI!$L$7)</f>
        <v/>
      </c>
      <c r="N12" s="70">
        <f>IF($C12="","",IF(PULL_FUND="N","",IFERROR(BDP($C12,BESTDPS_FIELD,FWD_OVERRIDE,TEXT(MOD(YEAR_Y,100),"00")&amp;"Y"),"")))</f>
        <v/>
      </c>
      <c r="O12" s="69">
        <f>IF($C12="","",AVERAGE(F12:J12))</f>
        <v/>
      </c>
      <c r="P12" s="71">
        <f>IF($C12="","",IF(PULL_FUND="N","",IF(COUNTIFS('Fund History'!$J$8:$J$12,"&gt;="&amp;DATE(YEAR_Y-5,1,1),'Fund History'!$J$8:$J$12,"&lt;="&amp;DATE(YEAR_Y-5,12,31))=0,"",IFERROR($F12*HSI!$G$7/SUMIFS('Fund History'!$K$8:$K$12,'Fund History'!$J$8:$J$12,"&gt;="&amp;DATE(YEAR_Y-5,1,1),'Fund History'!$J$8:$J$12,"&lt;="&amp;DATE(YEAR_Y-5,12,31)),""))))</f>
        <v/>
      </c>
      <c r="Q12" s="72">
        <f>IF($C12="","",IF(PULL_FUND="N","",IF(COUNTIFS('Fund History'!$J$8:$J$12,"&gt;="&amp;DATE(YEAR_Y-4,1,1),'Fund History'!$J$8:$J$12,"&lt;="&amp;DATE(YEAR_Y-4,12,31))=0,"",IFERROR($G12*HSI!$G$7/SUMIFS('Fund History'!$K$8:$K$12,'Fund History'!$J$8:$J$12,"&gt;="&amp;DATE(YEAR_Y-4,1,1),'Fund History'!$J$8:$J$12,"&lt;="&amp;DATE(YEAR_Y-4,12,31)),""))))</f>
        <v/>
      </c>
      <c r="R12" s="72">
        <f>IF($C12="","",IF(PULL_FUND="N","",IF(COUNTIFS('Fund History'!$J$8:$J$12,"&gt;="&amp;DATE(YEAR_Y-3,1,1),'Fund History'!$J$8:$J$12,"&lt;="&amp;DATE(YEAR_Y-3,12,31))=0,"",IFERROR($H12*HSI!$G$7/SUMIFS('Fund History'!$K$8:$K$12,'Fund History'!$J$8:$J$12,"&gt;="&amp;DATE(YEAR_Y-3,1,1),'Fund History'!$J$8:$J$12,"&lt;="&amp;DATE(YEAR_Y-3,12,31)),""))))</f>
        <v/>
      </c>
      <c r="S12" s="72">
        <f>IF($C12="","",IF(PULL_FUND="N","",IF(COUNTIFS('Fund History'!$J$8:$J$12,"&gt;="&amp;DATE(YEAR_Y-2,1,1),'Fund History'!$J$8:$J$12,"&lt;="&amp;DATE(YEAR_Y-2,12,31))=0,"",IFERROR($I12*HSI!$G$7/SUMIFS('Fund History'!$K$8:$K$12,'Fund History'!$J$8:$J$12,"&gt;="&amp;DATE(YEAR_Y-2,1,1),'Fund History'!$J$8:$J$12,"&lt;="&amp;DATE(YEAR_Y-2,12,31)),""))))</f>
        <v/>
      </c>
      <c r="T12" s="72">
        <f>IF($C12="","",IF(PULL_FUND="N","",IF(COUNTIFS('Fund History'!$J$8:$J$12,"&gt;="&amp;DATE(YEAR_Y-1,1,1),'Fund History'!$J$8:$J$12,"&lt;="&amp;DATE(YEAR_Y-1,12,31))=0,"",IFERROR($J12*HSI!$G$7/SUMIFS('Fund History'!$K$8:$K$12,'Fund History'!$J$8:$J$12,"&gt;="&amp;DATE(YEAR_Y-1,1,1),'Fund History'!$J$8:$J$12,"&lt;="&amp;DATE(YEAR_Y-1,12,31)),""))))</f>
        <v/>
      </c>
      <c r="U12" s="73">
        <f>IF($C12="","",IF(ISNUMBER(HSI!$I$7),HSI!$I$7/100,""))</f>
        <v/>
      </c>
      <c r="V12" s="74">
        <f>IF($C12="","",IF(ISNUMBER(HSI!$X$7),IFERROR($M12*HSI!$G$7/HSI!$X$7,""),""))</f>
        <v/>
      </c>
      <c r="W12" s="73">
        <f>IF($C12="","",IF(ISNUMBER($N12),IFERROR($N12*HSI!$G$7/HSI!$X$7,""),""))</f>
        <v/>
      </c>
      <c r="X12" s="75">
        <f>IF($C12="","",IF(PULL_FUND="N","",IFERROR(BDP($C12,EPS_FIELD,YR_OVERRIDE,TEXT(YEAR_Y-5,"0")),"")))</f>
        <v/>
      </c>
      <c r="Y12" s="76">
        <f>IF($C12="","",IF(PULL_FUND="N","",IFERROR(BDP($C12,EPS_FIELD,YR_OVERRIDE,TEXT(YEAR_Y-4,"0")),"")))</f>
        <v/>
      </c>
      <c r="Z12" s="76">
        <f>IF($C12="","",IF(PULL_FUND="N","",IFERROR(BDP($C12,EPS_FIELD,YR_OVERRIDE,TEXT(YEAR_Y-3,"0")),"")))</f>
        <v/>
      </c>
      <c r="AA12" s="76">
        <f>IF($C12="","",IF(PULL_FUND="N","",IFERROR(BDP($C12,EPS_FIELD,YR_OVERRIDE,TEXT(YEAR_Y-2,"0")),"")))</f>
        <v/>
      </c>
      <c r="AB12" s="76">
        <f>IF($C12="","",IF(PULL_FUND="N","",IFERROR(BDP($C12,EPS_FIELD,YR_OVERRIDE,TEXT(YEAR_Y-1,"0")),"")))</f>
        <v/>
      </c>
      <c r="AC12" s="50">
        <f>IF($C12="","",IFERROR(AVERAGE(X12:AB12),""))</f>
        <v/>
      </c>
      <c r="AD12" s="76">
        <f>IF($C12="","",IF(PULL_FUND="N","",IFERROR(BDP($C12,BESTEPS_FIELD,FWD_OVERRIDE,TEXT(MOD(YEAR_Y,100),"00")&amp;"Y"),"")))</f>
        <v/>
      </c>
      <c r="AE12" s="77">
        <f>IF($C12="","",IF(PULL_FUND="N","",IFERROR(BDP($C12,PAYOUT_FIELD,YR_OVERRIDE,TEXT(YEAR_Y-5,"0"))/100,"")))</f>
        <v/>
      </c>
      <c r="AF12" s="78">
        <f>IF($C12="","",IF(PULL_FUND="N","",IFERROR(BDP($C12,PAYOUT_FIELD,YR_OVERRIDE,TEXT(YEAR_Y-4,"0"))/100,"")))</f>
        <v/>
      </c>
      <c r="AG12" s="78">
        <f>IF($C12="","",IF(PULL_FUND="N","",IFERROR(BDP($C12,PAYOUT_FIELD,YR_OVERRIDE,TEXT(YEAR_Y-3,"0"))/100,"")))</f>
        <v/>
      </c>
      <c r="AH12" s="78">
        <f>IF($C12="","",IF(PULL_FUND="N","",IFERROR(BDP($C12,PAYOUT_FIELD,YR_OVERRIDE,TEXT(YEAR_Y-2,"0"))/100,"")))</f>
        <v/>
      </c>
      <c r="AI12" s="78">
        <f>IF($C12="","",IF(PULL_FUND="N","",IFERROR(BDP($C12,PAYOUT_FIELD,YR_OVERRIDE,TEXT(YEAR_Y-1,"0"))/100,"")))</f>
        <v/>
      </c>
      <c r="AJ12" s="79">
        <f>IF($C12="","",IFERROR(AVERAGE(AE12:AI12),""))</f>
        <v/>
      </c>
      <c r="AK12" s="80">
        <f>IF($C12="","",IF(ISNUMBER($AD12)*ISNUMBER($N12)*($AD12&lt;&gt;0)=0,"",$N12/$AD12))</f>
        <v/>
      </c>
      <c r="AL12" s="79">
        <f>IF($C12="","",IF(ISNUMBER($AD12)*($AD12&lt;&gt;0)=0,"",$M12/$AD12))</f>
        <v/>
      </c>
      <c r="AM12" s="37">
        <f>IF($C12="","",IF(ISNUMBER($AE12)*ISNUMBER($AI12)=0,"",IF($AI12&gt;$AE12+0.05,"rising",IF($AI12&lt;$AE12-0.05,"falling","stable"))))</f>
        <v/>
      </c>
      <c r="AN12" s="81">
        <f>IF($C12="","",IF(PULL_FUND="N","",IF(COUNTIFS('Fund History'!$G$8:$G$12,"&gt;="&amp;DATE(YEAR_Y-4,1,1),'Fund History'!$G$8:$G$12,"&lt;="&amp;DATE(YEAR_Y-4,12,31))=0,"",SUMIFS('Fund History'!$H$8:$H$12,'Fund History'!$G$8:$G$12,"&gt;="&amp;DATE(YEAR_Y-4,1,1),'Fund History'!$G$8:$G$12,"&lt;="&amp;DATE(YEAR_Y-4,12,31))/100)))</f>
        <v/>
      </c>
      <c r="AO12" s="82">
        <f>IF($C12="","",IF(PULL_FUND="N","",IF(COUNTIFS('Fund History'!$G$8:$G$12,"&gt;="&amp;DATE(YEAR_Y-3,1,1),'Fund History'!$G$8:$G$12,"&lt;="&amp;DATE(YEAR_Y-3,12,31))=0,"",SUMIFS('Fund History'!$H$8:$H$12,'Fund History'!$G$8:$G$12,"&gt;="&amp;DATE(YEAR_Y-3,1,1),'Fund History'!$G$8:$G$12,"&lt;="&amp;DATE(YEAR_Y-3,12,31))/100)))</f>
        <v/>
      </c>
      <c r="AP12" s="82">
        <f>IF($C12="","",IF(PULL_FUND="N","",IF(COUNTIFS('Fund History'!$G$8:$G$12,"&gt;="&amp;DATE(YEAR_Y-2,1,1),'Fund History'!$G$8:$G$12,"&lt;="&amp;DATE(YEAR_Y-2,12,31))=0,"",SUMIFS('Fund History'!$H$8:$H$12,'Fund History'!$G$8:$G$12,"&gt;="&amp;DATE(YEAR_Y-2,1,1),'Fund History'!$G$8:$G$12,"&lt;="&amp;DATE(YEAR_Y-2,12,31))/100)))</f>
        <v/>
      </c>
      <c r="AQ12" s="82">
        <f>IF($C12="","",IF(PULL_FUND="N","",IF(COUNTIFS('Fund History'!$G$8:$G$12,"&gt;="&amp;DATE(YEAR_Y-1,1,1),'Fund History'!$G$8:$G$12,"&lt;="&amp;DATE(YEAR_Y-1,12,31))=0,"",SUMIFS('Fund History'!$H$8:$H$12,'Fund History'!$G$8:$G$12,"&gt;="&amp;DATE(YEAR_Y-1,1,1),'Fund History'!$G$8:$G$12,"&lt;="&amp;DATE(YEAR_Y-1,12,31))/100)))</f>
        <v/>
      </c>
      <c r="AR12" s="83">
        <f>IF($C12="","",IF(N($AQ12)+N(HSI!$I$7)=0,"",N($AQ12)+N(HSI!$I$7)/100))</f>
        <v/>
      </c>
      <c r="AS12" s="75">
        <f>IF($C12="","",IF(PULL_FUND="N","",IF(COUNTIFS('Fund History'!$D$8:$D$12,"&gt;="&amp;DATE(YEAR_Y-2,1,1),'Fund History'!$D$8:$D$12,"&lt;="&amp;DATE(YEAR_Y-2,12,31))=0,"",SUMIFS('Fund History'!$E$8:$E$12,'Fund History'!$D$8:$D$12,"&gt;="&amp;DATE(YEAR_Y-2,1,1),'Fund History'!$D$8:$D$12,"&lt;="&amp;DATE(YEAR_Y-2,12,31)))))</f>
        <v/>
      </c>
      <c r="AT12" s="76">
        <f>IF($C12="","",IF(PULL_FUND="N","",IF(COUNTIFS('Fund History'!$D$8:$D$12,"&gt;="&amp;DATE(YEAR_Y-1,1,1),'Fund History'!$D$8:$D$12,"&lt;="&amp;DATE(YEAR_Y-1,12,31))=0,"",SUMIFS('Fund History'!$E$8:$E$12,'Fund History'!$D$8:$D$12,"&gt;="&amp;DATE(YEAR_Y-1,1,1),'Fund History'!$D$8:$D$12,"&lt;="&amp;DATE(YEAR_Y-1,12,31)))))</f>
        <v/>
      </c>
      <c r="AU12" s="76">
        <f>IF($C12="","",IF(PULL_FUND="N","",IFERROR(BDP($C12,NDEBITDA_FIELD),"")))</f>
        <v/>
      </c>
      <c r="AV12" s="84">
        <f>IF($C12="","",IF(PULL_FUND="N","",IFERROR(BDP($C12,EBINT_FIELD),"")))</f>
        <v/>
      </c>
      <c r="AW12" s="82">
        <f>IF($C12="","",IF(PULL_FUND="N","",IFERROR(BDP($C12,FCF_FIELD)/100,"")))</f>
        <v/>
      </c>
      <c r="AX12" s="50">
        <f>IF($C12="","",IF(N($U12)=0,"",IFERROR($AW12/$U12,"")))</f>
        <v/>
      </c>
      <c r="AY12" s="85">
        <f>IF($C12="","",TRIM(IF(ISNUMBER($AJ12)*(N($AJ12)&gt;$D$4)&gt;0,"payout high  ","")&amp;IF(ISNUMBER($AX12)*(N($AX12)&lt;$F$4)&gt;0,"FCF below dvd  ","")&amp;IF(ISNUMBER($AU12)*(N($AU12)&gt;$H$4)&gt;0,"leverage high","")))</f>
        <v/>
      </c>
      <c r="AZ12" s="86">
        <f>IF($C12="","",IF(HSI!$F$7="HKD","",HSI!$F$7))</f>
        <v/>
      </c>
    </row>
    <row r="13">
      <c r="B13" s="66" t="inlineStr">
        <is>
          <t>HSI</t>
        </is>
      </c>
      <c r="C13" s="8">
        <f>IF(HSI!$C$8="","",HSI!$C$8)</f>
        <v/>
      </c>
      <c r="D13" s="8">
        <f>IF($C13="","",HSI!$D$8)</f>
        <v/>
      </c>
      <c r="E13" s="8">
        <f>IF($C13="","",HSI!$E$8)</f>
        <v/>
      </c>
      <c r="F13" s="67">
        <f>IF($C13="","",SUMPRODUCT(('Dvd Calendar'!$E$22:$AR$22&gt;=DATE(YEAR_Y-5,1,1))*('Dvd Calendar'!$E$22:$AR$22&lt;=DATE(YEAR_Y-5,12,31))*'Dvd Calendar'!$E$25:$AR$25*(('Dvd Calendar'!$E$27:$AR$27=TYPE1)*(TYPE1&lt;&gt;"")+('Dvd Calendar'!$E$27:$AR$27=TYPE2)*(TYPE2&lt;&gt;"")+('Dvd Calendar'!$E$27:$AR$27=TYPE3)*(TYPE3&lt;&gt;"")+('Dvd Calendar'!$E$27:$AR$27=TYPE4)*(TYPE4&lt;&gt;"")+('Dvd Calendar'!$E$27:$AR$27=SPECIAL_LBL)*(INC_SPECIALS="Y"))))</f>
        <v/>
      </c>
      <c r="G13" s="68">
        <f>IF($C13="","",SUMPRODUCT(('Dvd Calendar'!$E$22:$AR$22&gt;=DATE(YEAR_Y-4,1,1))*('Dvd Calendar'!$E$22:$AR$22&lt;=DATE(YEAR_Y-4,12,31))*'Dvd Calendar'!$E$25:$AR$25*(('Dvd Calendar'!$E$27:$AR$27=TYPE1)*(TYPE1&lt;&gt;"")+('Dvd Calendar'!$E$27:$AR$27=TYPE2)*(TYPE2&lt;&gt;"")+('Dvd Calendar'!$E$27:$AR$27=TYPE3)*(TYPE3&lt;&gt;"")+('Dvd Calendar'!$E$27:$AR$27=TYPE4)*(TYPE4&lt;&gt;"")+('Dvd Calendar'!$E$27:$AR$27=SPECIAL_LBL)*(INC_SPECIALS="Y"))))</f>
        <v/>
      </c>
      <c r="H13" s="68">
        <f>IF($C13="","",SUMPRODUCT(('Dvd Calendar'!$E$22:$AR$22&gt;=DATE(YEAR_Y-3,1,1))*('Dvd Calendar'!$E$22:$AR$22&lt;=DATE(YEAR_Y-3,12,31))*'Dvd Calendar'!$E$25:$AR$25*(('Dvd Calendar'!$E$27:$AR$27=TYPE1)*(TYPE1&lt;&gt;"")+('Dvd Calendar'!$E$27:$AR$27=TYPE2)*(TYPE2&lt;&gt;"")+('Dvd Calendar'!$E$27:$AR$27=TYPE3)*(TYPE3&lt;&gt;"")+('Dvd Calendar'!$E$27:$AR$27=TYPE4)*(TYPE4&lt;&gt;"")+('Dvd Calendar'!$E$27:$AR$27=SPECIAL_LBL)*(INC_SPECIALS="Y"))))</f>
        <v/>
      </c>
      <c r="I13" s="68">
        <f>IF($C13="","",SUMPRODUCT(('Dvd Calendar'!$E$22:$AR$22&gt;=DATE(YEAR_Y-2,1,1))*('Dvd Calendar'!$E$22:$AR$22&lt;=DATE(YEAR_Y-2,12,31))*'Dvd Calendar'!$E$25:$AR$25*(('Dvd Calendar'!$E$27:$AR$27=TYPE1)*(TYPE1&lt;&gt;"")+('Dvd Calendar'!$E$27:$AR$27=TYPE2)*(TYPE2&lt;&gt;"")+('Dvd Calendar'!$E$27:$AR$27=TYPE3)*(TYPE3&lt;&gt;"")+('Dvd Calendar'!$E$27:$AR$27=TYPE4)*(TYPE4&lt;&gt;"")+('Dvd Calendar'!$E$27:$AR$27=SPECIAL_LBL)*(INC_SPECIALS="Y"))))</f>
        <v/>
      </c>
      <c r="J13" s="68">
        <f>IF($C13="","",SUMPRODUCT(('Dvd Calendar'!$E$22:$AR$22&gt;=DATE(YEAR_Y-1,1,1))*('Dvd Calendar'!$E$22:$AR$22&lt;=DATE(YEAR_Y-1,12,31))*'Dvd Calendar'!$E$25:$AR$25*(('Dvd Calendar'!$E$27:$AR$27=TYPE1)*(TYPE1&lt;&gt;"")+('Dvd Calendar'!$E$27:$AR$27=TYPE2)*(TYPE2&lt;&gt;"")+('Dvd Calendar'!$E$27:$AR$27=TYPE3)*(TYPE3&lt;&gt;"")+('Dvd Calendar'!$E$27:$AR$27=TYPE4)*(TYPE4&lt;&gt;"")+('Dvd Calendar'!$E$27:$AR$27=SPECIAL_LBL)*(INC_SPECIALS="Y"))))</f>
        <v/>
      </c>
      <c r="K13" s="69">
        <f>IF($C13="","",HSI!$J$8)</f>
        <v/>
      </c>
      <c r="L13" s="69">
        <f>IF($C13="","",HSI!$K$8)</f>
        <v/>
      </c>
      <c r="M13" s="44">
        <f>IF($C13="","",HSI!$J$8+HSI!$L$8)</f>
        <v/>
      </c>
      <c r="N13" s="70">
        <f>IF($C13="","",IF(PULL_FUND="N","",IFERROR(BDP($C13,BESTDPS_FIELD,FWD_OVERRIDE,TEXT(MOD(YEAR_Y,100),"00")&amp;"Y"),"")))</f>
        <v/>
      </c>
      <c r="O13" s="69">
        <f>IF($C13="","",AVERAGE(F13:J13))</f>
        <v/>
      </c>
      <c r="P13" s="71">
        <f>IF($C13="","",IF(PULL_FUND="N","",IF(COUNTIFS('Fund History'!$J$14:$J$18,"&gt;="&amp;DATE(YEAR_Y-5,1,1),'Fund History'!$J$14:$J$18,"&lt;="&amp;DATE(YEAR_Y-5,12,31))=0,"",IFERROR($F13*HSI!$G$8/SUMIFS('Fund History'!$K$14:$K$18,'Fund History'!$J$14:$J$18,"&gt;="&amp;DATE(YEAR_Y-5,1,1),'Fund History'!$J$14:$J$18,"&lt;="&amp;DATE(YEAR_Y-5,12,31)),""))))</f>
        <v/>
      </c>
      <c r="Q13" s="72">
        <f>IF($C13="","",IF(PULL_FUND="N","",IF(COUNTIFS('Fund History'!$J$14:$J$18,"&gt;="&amp;DATE(YEAR_Y-4,1,1),'Fund History'!$J$14:$J$18,"&lt;="&amp;DATE(YEAR_Y-4,12,31))=0,"",IFERROR($G13*HSI!$G$8/SUMIFS('Fund History'!$K$14:$K$18,'Fund History'!$J$14:$J$18,"&gt;="&amp;DATE(YEAR_Y-4,1,1),'Fund History'!$J$14:$J$18,"&lt;="&amp;DATE(YEAR_Y-4,12,31)),""))))</f>
        <v/>
      </c>
      <c r="R13" s="72">
        <f>IF($C13="","",IF(PULL_FUND="N","",IF(COUNTIFS('Fund History'!$J$14:$J$18,"&gt;="&amp;DATE(YEAR_Y-3,1,1),'Fund History'!$J$14:$J$18,"&lt;="&amp;DATE(YEAR_Y-3,12,31))=0,"",IFERROR($H13*HSI!$G$8/SUMIFS('Fund History'!$K$14:$K$18,'Fund History'!$J$14:$J$18,"&gt;="&amp;DATE(YEAR_Y-3,1,1),'Fund History'!$J$14:$J$18,"&lt;="&amp;DATE(YEAR_Y-3,12,31)),""))))</f>
        <v/>
      </c>
      <c r="S13" s="72">
        <f>IF($C13="","",IF(PULL_FUND="N","",IF(COUNTIFS('Fund History'!$J$14:$J$18,"&gt;="&amp;DATE(YEAR_Y-2,1,1),'Fund History'!$J$14:$J$18,"&lt;="&amp;DATE(YEAR_Y-2,12,31))=0,"",IFERROR($I13*HSI!$G$8/SUMIFS('Fund History'!$K$14:$K$18,'Fund History'!$J$14:$J$18,"&gt;="&amp;DATE(YEAR_Y-2,1,1),'Fund History'!$J$14:$J$18,"&lt;="&amp;DATE(YEAR_Y-2,12,31)),""))))</f>
        <v/>
      </c>
      <c r="T13" s="72">
        <f>IF($C13="","",IF(PULL_FUND="N","",IF(COUNTIFS('Fund History'!$J$14:$J$18,"&gt;="&amp;DATE(YEAR_Y-1,1,1),'Fund History'!$J$14:$J$18,"&lt;="&amp;DATE(YEAR_Y-1,12,31))=0,"",IFERROR($J13*HSI!$G$8/SUMIFS('Fund History'!$K$14:$K$18,'Fund History'!$J$14:$J$18,"&gt;="&amp;DATE(YEAR_Y-1,1,1),'Fund History'!$J$14:$J$18,"&lt;="&amp;DATE(YEAR_Y-1,12,31)),""))))</f>
        <v/>
      </c>
      <c r="U13" s="73">
        <f>IF($C13="","",IF(ISNUMBER(HSI!$I$8),HSI!$I$8/100,""))</f>
        <v/>
      </c>
      <c r="V13" s="74">
        <f>IF($C13="","",IF(ISNUMBER(HSI!$X$8),IFERROR($M13*HSI!$G$8/HSI!$X$8,""),""))</f>
        <v/>
      </c>
      <c r="W13" s="73">
        <f>IF($C13="","",IF(ISNUMBER($N13),IFERROR($N13*HSI!$G$8/HSI!$X$8,""),""))</f>
        <v/>
      </c>
      <c r="X13" s="75">
        <f>IF($C13="","",IF(PULL_FUND="N","",IFERROR(BDP($C13,EPS_FIELD,YR_OVERRIDE,TEXT(YEAR_Y-5,"0")),"")))</f>
        <v/>
      </c>
      <c r="Y13" s="76">
        <f>IF($C13="","",IF(PULL_FUND="N","",IFERROR(BDP($C13,EPS_FIELD,YR_OVERRIDE,TEXT(YEAR_Y-4,"0")),"")))</f>
        <v/>
      </c>
      <c r="Z13" s="76">
        <f>IF($C13="","",IF(PULL_FUND="N","",IFERROR(BDP($C13,EPS_FIELD,YR_OVERRIDE,TEXT(YEAR_Y-3,"0")),"")))</f>
        <v/>
      </c>
      <c r="AA13" s="76">
        <f>IF($C13="","",IF(PULL_FUND="N","",IFERROR(BDP($C13,EPS_FIELD,YR_OVERRIDE,TEXT(YEAR_Y-2,"0")),"")))</f>
        <v/>
      </c>
      <c r="AB13" s="76">
        <f>IF($C13="","",IF(PULL_FUND="N","",IFERROR(BDP($C13,EPS_FIELD,YR_OVERRIDE,TEXT(YEAR_Y-1,"0")),"")))</f>
        <v/>
      </c>
      <c r="AC13" s="50">
        <f>IF($C13="","",IFERROR(AVERAGE(X13:AB13),""))</f>
        <v/>
      </c>
      <c r="AD13" s="76">
        <f>IF($C13="","",IF(PULL_FUND="N","",IFERROR(BDP($C13,BESTEPS_FIELD,FWD_OVERRIDE,TEXT(MOD(YEAR_Y,100),"00")&amp;"Y"),"")))</f>
        <v/>
      </c>
      <c r="AE13" s="77">
        <f>IF($C13="","",IF(PULL_FUND="N","",IFERROR(BDP($C13,PAYOUT_FIELD,YR_OVERRIDE,TEXT(YEAR_Y-5,"0"))/100,"")))</f>
        <v/>
      </c>
      <c r="AF13" s="78">
        <f>IF($C13="","",IF(PULL_FUND="N","",IFERROR(BDP($C13,PAYOUT_FIELD,YR_OVERRIDE,TEXT(YEAR_Y-4,"0"))/100,"")))</f>
        <v/>
      </c>
      <c r="AG13" s="78">
        <f>IF($C13="","",IF(PULL_FUND="N","",IFERROR(BDP($C13,PAYOUT_FIELD,YR_OVERRIDE,TEXT(YEAR_Y-3,"0"))/100,"")))</f>
        <v/>
      </c>
      <c r="AH13" s="78">
        <f>IF($C13="","",IF(PULL_FUND="N","",IFERROR(BDP($C13,PAYOUT_FIELD,YR_OVERRIDE,TEXT(YEAR_Y-2,"0"))/100,"")))</f>
        <v/>
      </c>
      <c r="AI13" s="78">
        <f>IF($C13="","",IF(PULL_FUND="N","",IFERROR(BDP($C13,PAYOUT_FIELD,YR_OVERRIDE,TEXT(YEAR_Y-1,"0"))/100,"")))</f>
        <v/>
      </c>
      <c r="AJ13" s="79">
        <f>IF($C13="","",IFERROR(AVERAGE(AE13:AI13),""))</f>
        <v/>
      </c>
      <c r="AK13" s="80">
        <f>IF($C13="","",IF(ISNUMBER($AD13)*ISNUMBER($N13)*($AD13&lt;&gt;0)=0,"",$N13/$AD13))</f>
        <v/>
      </c>
      <c r="AL13" s="79">
        <f>IF($C13="","",IF(ISNUMBER($AD13)*($AD13&lt;&gt;0)=0,"",$M13/$AD13))</f>
        <v/>
      </c>
      <c r="AM13" s="37">
        <f>IF($C13="","",IF(ISNUMBER($AE13)*ISNUMBER($AI13)=0,"",IF($AI13&gt;$AE13+0.05,"rising",IF($AI13&lt;$AE13-0.05,"falling","stable"))))</f>
        <v/>
      </c>
      <c r="AN13" s="81">
        <f>IF($C13="","",IF(PULL_FUND="N","",IF(COUNTIFS('Fund History'!$G$14:$G$18,"&gt;="&amp;DATE(YEAR_Y-4,1,1),'Fund History'!$G$14:$G$18,"&lt;="&amp;DATE(YEAR_Y-4,12,31))=0,"",SUMIFS('Fund History'!$H$14:$H$18,'Fund History'!$G$14:$G$18,"&gt;="&amp;DATE(YEAR_Y-4,1,1),'Fund History'!$G$14:$G$18,"&lt;="&amp;DATE(YEAR_Y-4,12,31))/100)))</f>
        <v/>
      </c>
      <c r="AO13" s="82">
        <f>IF($C13="","",IF(PULL_FUND="N","",IF(COUNTIFS('Fund History'!$G$14:$G$18,"&gt;="&amp;DATE(YEAR_Y-3,1,1),'Fund History'!$G$14:$G$18,"&lt;="&amp;DATE(YEAR_Y-3,12,31))=0,"",SUMIFS('Fund History'!$H$14:$H$18,'Fund History'!$G$14:$G$18,"&gt;="&amp;DATE(YEAR_Y-3,1,1),'Fund History'!$G$14:$G$18,"&lt;="&amp;DATE(YEAR_Y-3,12,31))/100)))</f>
        <v/>
      </c>
      <c r="AP13" s="82">
        <f>IF($C13="","",IF(PULL_FUND="N","",IF(COUNTIFS('Fund History'!$G$14:$G$18,"&gt;="&amp;DATE(YEAR_Y-2,1,1),'Fund History'!$G$14:$G$18,"&lt;="&amp;DATE(YEAR_Y-2,12,31))=0,"",SUMIFS('Fund History'!$H$14:$H$18,'Fund History'!$G$14:$G$18,"&gt;="&amp;DATE(YEAR_Y-2,1,1),'Fund History'!$G$14:$G$18,"&lt;="&amp;DATE(YEAR_Y-2,12,31))/100)))</f>
        <v/>
      </c>
      <c r="AQ13" s="82">
        <f>IF($C13="","",IF(PULL_FUND="N","",IF(COUNTIFS('Fund History'!$G$14:$G$18,"&gt;="&amp;DATE(YEAR_Y-1,1,1),'Fund History'!$G$14:$G$18,"&lt;="&amp;DATE(YEAR_Y-1,12,31))=0,"",SUMIFS('Fund History'!$H$14:$H$18,'Fund History'!$G$14:$G$18,"&gt;="&amp;DATE(YEAR_Y-1,1,1),'Fund History'!$G$14:$G$18,"&lt;="&amp;DATE(YEAR_Y-1,12,31))/100)))</f>
        <v/>
      </c>
      <c r="AR13" s="83">
        <f>IF($C13="","",IF(N($AQ13)+N(HSI!$I$8)=0,"",N($AQ13)+N(HSI!$I$8)/100))</f>
        <v/>
      </c>
      <c r="AS13" s="75">
        <f>IF($C13="","",IF(PULL_FUND="N","",IF(COUNTIFS('Fund History'!$D$14:$D$18,"&gt;="&amp;DATE(YEAR_Y-2,1,1),'Fund History'!$D$14:$D$18,"&lt;="&amp;DATE(YEAR_Y-2,12,31))=0,"",SUMIFS('Fund History'!$E$14:$E$18,'Fund History'!$D$14:$D$18,"&gt;="&amp;DATE(YEAR_Y-2,1,1),'Fund History'!$D$14:$D$18,"&lt;="&amp;DATE(YEAR_Y-2,12,31)))))</f>
        <v/>
      </c>
      <c r="AT13" s="76">
        <f>IF($C13="","",IF(PULL_FUND="N","",IF(COUNTIFS('Fund History'!$D$14:$D$18,"&gt;="&amp;DATE(YEAR_Y-1,1,1),'Fund History'!$D$14:$D$18,"&lt;="&amp;DATE(YEAR_Y-1,12,31))=0,"",SUMIFS('Fund History'!$E$14:$E$18,'Fund History'!$D$14:$D$18,"&gt;="&amp;DATE(YEAR_Y-1,1,1),'Fund History'!$D$14:$D$18,"&lt;="&amp;DATE(YEAR_Y-1,12,31)))))</f>
        <v/>
      </c>
      <c r="AU13" s="76">
        <f>IF($C13="","",IF(PULL_FUND="N","",IFERROR(BDP($C13,NDEBITDA_FIELD),"")))</f>
        <v/>
      </c>
      <c r="AV13" s="84">
        <f>IF($C13="","",IF(PULL_FUND="N","",IFERROR(BDP($C13,EBINT_FIELD),"")))</f>
        <v/>
      </c>
      <c r="AW13" s="82">
        <f>IF($C13="","",IF(PULL_FUND="N","",IFERROR(BDP($C13,FCF_FIELD)/100,"")))</f>
        <v/>
      </c>
      <c r="AX13" s="50">
        <f>IF($C13="","",IF(N($U13)=0,"",IFERROR($AW13/$U13,"")))</f>
        <v/>
      </c>
      <c r="AY13" s="85">
        <f>IF($C13="","",TRIM(IF(ISNUMBER($AJ13)*(N($AJ13)&gt;$D$4)&gt;0,"payout high  ","")&amp;IF(ISNUMBER($AX13)*(N($AX13)&lt;$F$4)&gt;0,"FCF below dvd  ","")&amp;IF(ISNUMBER($AU13)*(N($AU13)&gt;$H$4)&gt;0,"leverage high","")))</f>
        <v/>
      </c>
      <c r="AZ13" s="86">
        <f>IF($C13="","",IF(HSI!$F$8="HKD","",HSI!$F$8))</f>
        <v/>
      </c>
    </row>
    <row r="14">
      <c r="B14" s="66" t="inlineStr">
        <is>
          <t>HSI</t>
        </is>
      </c>
      <c r="C14" s="8">
        <f>IF(HSI!$C$9="","",HSI!$C$9)</f>
        <v/>
      </c>
      <c r="D14" s="8">
        <f>IF($C14="","",HSI!$D$9)</f>
        <v/>
      </c>
      <c r="E14" s="8">
        <f>IF($C14="","",HSI!$E$9)</f>
        <v/>
      </c>
      <c r="F14" s="67">
        <f>IF($C14="","",SUMPRODUCT(('Dvd Calendar'!$E$33:$AR$33&gt;=DATE(YEAR_Y-5,1,1))*('Dvd Calendar'!$E$33:$AR$33&lt;=DATE(YEAR_Y-5,12,31))*'Dvd Calendar'!$E$36:$AR$36*(('Dvd Calendar'!$E$38:$AR$38=TYPE1)*(TYPE1&lt;&gt;"")+('Dvd Calendar'!$E$38:$AR$38=TYPE2)*(TYPE2&lt;&gt;"")+('Dvd Calendar'!$E$38:$AR$38=TYPE3)*(TYPE3&lt;&gt;"")+('Dvd Calendar'!$E$38:$AR$38=TYPE4)*(TYPE4&lt;&gt;"")+('Dvd Calendar'!$E$38:$AR$38=SPECIAL_LBL)*(INC_SPECIALS="Y"))))</f>
        <v/>
      </c>
      <c r="G14" s="68">
        <f>IF($C14="","",SUMPRODUCT(('Dvd Calendar'!$E$33:$AR$33&gt;=DATE(YEAR_Y-4,1,1))*('Dvd Calendar'!$E$33:$AR$33&lt;=DATE(YEAR_Y-4,12,31))*'Dvd Calendar'!$E$36:$AR$36*(('Dvd Calendar'!$E$38:$AR$38=TYPE1)*(TYPE1&lt;&gt;"")+('Dvd Calendar'!$E$38:$AR$38=TYPE2)*(TYPE2&lt;&gt;"")+('Dvd Calendar'!$E$38:$AR$38=TYPE3)*(TYPE3&lt;&gt;"")+('Dvd Calendar'!$E$38:$AR$38=TYPE4)*(TYPE4&lt;&gt;"")+('Dvd Calendar'!$E$38:$AR$38=SPECIAL_LBL)*(INC_SPECIALS="Y"))))</f>
        <v/>
      </c>
      <c r="H14" s="68">
        <f>IF($C14="","",SUMPRODUCT(('Dvd Calendar'!$E$33:$AR$33&gt;=DATE(YEAR_Y-3,1,1))*('Dvd Calendar'!$E$33:$AR$33&lt;=DATE(YEAR_Y-3,12,31))*'Dvd Calendar'!$E$36:$AR$36*(('Dvd Calendar'!$E$38:$AR$38=TYPE1)*(TYPE1&lt;&gt;"")+('Dvd Calendar'!$E$38:$AR$38=TYPE2)*(TYPE2&lt;&gt;"")+('Dvd Calendar'!$E$38:$AR$38=TYPE3)*(TYPE3&lt;&gt;"")+('Dvd Calendar'!$E$38:$AR$38=TYPE4)*(TYPE4&lt;&gt;"")+('Dvd Calendar'!$E$38:$AR$38=SPECIAL_LBL)*(INC_SPECIALS="Y"))))</f>
        <v/>
      </c>
      <c r="I14" s="68">
        <f>IF($C14="","",SUMPRODUCT(('Dvd Calendar'!$E$33:$AR$33&gt;=DATE(YEAR_Y-2,1,1))*('Dvd Calendar'!$E$33:$AR$33&lt;=DATE(YEAR_Y-2,12,31))*'Dvd Calendar'!$E$36:$AR$36*(('Dvd Calendar'!$E$38:$AR$38=TYPE1)*(TYPE1&lt;&gt;"")+('Dvd Calendar'!$E$38:$AR$38=TYPE2)*(TYPE2&lt;&gt;"")+('Dvd Calendar'!$E$38:$AR$38=TYPE3)*(TYPE3&lt;&gt;"")+('Dvd Calendar'!$E$38:$AR$38=TYPE4)*(TYPE4&lt;&gt;"")+('Dvd Calendar'!$E$38:$AR$38=SPECIAL_LBL)*(INC_SPECIALS="Y"))))</f>
        <v/>
      </c>
      <c r="J14" s="68">
        <f>IF($C14="","",SUMPRODUCT(('Dvd Calendar'!$E$33:$AR$33&gt;=DATE(YEAR_Y-1,1,1))*('Dvd Calendar'!$E$33:$AR$33&lt;=DATE(YEAR_Y-1,12,31))*'Dvd Calendar'!$E$36:$AR$36*(('Dvd Calendar'!$E$38:$AR$38=TYPE1)*(TYPE1&lt;&gt;"")+('Dvd Calendar'!$E$38:$AR$38=TYPE2)*(TYPE2&lt;&gt;"")+('Dvd Calendar'!$E$38:$AR$38=TYPE3)*(TYPE3&lt;&gt;"")+('Dvd Calendar'!$E$38:$AR$38=TYPE4)*(TYPE4&lt;&gt;"")+('Dvd Calendar'!$E$38:$AR$38=SPECIAL_LBL)*(INC_SPECIALS="Y"))))</f>
        <v/>
      </c>
      <c r="K14" s="69">
        <f>IF($C14="","",HSI!$J$9)</f>
        <v/>
      </c>
      <c r="L14" s="69">
        <f>IF($C14="","",HSI!$K$9)</f>
        <v/>
      </c>
      <c r="M14" s="44">
        <f>IF($C14="","",HSI!$J$9+HSI!$L$9)</f>
        <v/>
      </c>
      <c r="N14" s="70">
        <f>IF($C14="","",IF(PULL_FUND="N","",IFERROR(BDP($C14,BESTDPS_FIELD,FWD_OVERRIDE,TEXT(MOD(YEAR_Y,100),"00")&amp;"Y"),"")))</f>
        <v/>
      </c>
      <c r="O14" s="69">
        <f>IF($C14="","",AVERAGE(F14:J14))</f>
        <v/>
      </c>
      <c r="P14" s="71">
        <f>IF($C14="","",IF(PULL_FUND="N","",IF(COUNTIFS('Fund History'!$J$20:$J$24,"&gt;="&amp;DATE(YEAR_Y-5,1,1),'Fund History'!$J$20:$J$24,"&lt;="&amp;DATE(YEAR_Y-5,12,31))=0,"",IFERROR($F14*HSI!$G$9/SUMIFS('Fund History'!$K$20:$K$24,'Fund History'!$J$20:$J$24,"&gt;="&amp;DATE(YEAR_Y-5,1,1),'Fund History'!$J$20:$J$24,"&lt;="&amp;DATE(YEAR_Y-5,12,31)),""))))</f>
        <v/>
      </c>
      <c r="Q14" s="72">
        <f>IF($C14="","",IF(PULL_FUND="N","",IF(COUNTIFS('Fund History'!$J$20:$J$24,"&gt;="&amp;DATE(YEAR_Y-4,1,1),'Fund History'!$J$20:$J$24,"&lt;="&amp;DATE(YEAR_Y-4,12,31))=0,"",IFERROR($G14*HSI!$G$9/SUMIFS('Fund History'!$K$20:$K$24,'Fund History'!$J$20:$J$24,"&gt;="&amp;DATE(YEAR_Y-4,1,1),'Fund History'!$J$20:$J$24,"&lt;="&amp;DATE(YEAR_Y-4,12,31)),""))))</f>
        <v/>
      </c>
      <c r="R14" s="72">
        <f>IF($C14="","",IF(PULL_FUND="N","",IF(COUNTIFS('Fund History'!$J$20:$J$24,"&gt;="&amp;DATE(YEAR_Y-3,1,1),'Fund History'!$J$20:$J$24,"&lt;="&amp;DATE(YEAR_Y-3,12,31))=0,"",IFERROR($H14*HSI!$G$9/SUMIFS('Fund History'!$K$20:$K$24,'Fund History'!$J$20:$J$24,"&gt;="&amp;DATE(YEAR_Y-3,1,1),'Fund History'!$J$20:$J$24,"&lt;="&amp;DATE(YEAR_Y-3,12,31)),""))))</f>
        <v/>
      </c>
      <c r="S14" s="72">
        <f>IF($C14="","",IF(PULL_FUND="N","",IF(COUNTIFS('Fund History'!$J$20:$J$24,"&gt;="&amp;DATE(YEAR_Y-2,1,1),'Fund History'!$J$20:$J$24,"&lt;="&amp;DATE(YEAR_Y-2,12,31))=0,"",IFERROR($I14*HSI!$G$9/SUMIFS('Fund History'!$K$20:$K$24,'Fund History'!$J$20:$J$24,"&gt;="&amp;DATE(YEAR_Y-2,1,1),'Fund History'!$J$20:$J$24,"&lt;="&amp;DATE(YEAR_Y-2,12,31)),""))))</f>
        <v/>
      </c>
      <c r="T14" s="72">
        <f>IF($C14="","",IF(PULL_FUND="N","",IF(COUNTIFS('Fund History'!$J$20:$J$24,"&gt;="&amp;DATE(YEAR_Y-1,1,1),'Fund History'!$J$20:$J$24,"&lt;="&amp;DATE(YEAR_Y-1,12,31))=0,"",IFERROR($J14*HSI!$G$9/SUMIFS('Fund History'!$K$20:$K$24,'Fund History'!$J$20:$J$24,"&gt;="&amp;DATE(YEAR_Y-1,1,1),'Fund History'!$J$20:$J$24,"&lt;="&amp;DATE(YEAR_Y-1,12,31)),""))))</f>
        <v/>
      </c>
      <c r="U14" s="73">
        <f>IF($C14="","",IF(ISNUMBER(HSI!$I$9),HSI!$I$9/100,""))</f>
        <v/>
      </c>
      <c r="V14" s="74">
        <f>IF($C14="","",IF(ISNUMBER(HSI!$X$9),IFERROR($M14*HSI!$G$9/HSI!$X$9,""),""))</f>
        <v/>
      </c>
      <c r="W14" s="73">
        <f>IF($C14="","",IF(ISNUMBER($N14),IFERROR($N14*HSI!$G$9/HSI!$X$9,""),""))</f>
        <v/>
      </c>
      <c r="X14" s="75">
        <f>IF($C14="","",IF(PULL_FUND="N","",IFERROR(BDP($C14,EPS_FIELD,YR_OVERRIDE,TEXT(YEAR_Y-5,"0")),"")))</f>
        <v/>
      </c>
      <c r="Y14" s="76">
        <f>IF($C14="","",IF(PULL_FUND="N","",IFERROR(BDP($C14,EPS_FIELD,YR_OVERRIDE,TEXT(YEAR_Y-4,"0")),"")))</f>
        <v/>
      </c>
      <c r="Z14" s="76">
        <f>IF($C14="","",IF(PULL_FUND="N","",IFERROR(BDP($C14,EPS_FIELD,YR_OVERRIDE,TEXT(YEAR_Y-3,"0")),"")))</f>
        <v/>
      </c>
      <c r="AA14" s="76">
        <f>IF($C14="","",IF(PULL_FUND="N","",IFERROR(BDP($C14,EPS_FIELD,YR_OVERRIDE,TEXT(YEAR_Y-2,"0")),"")))</f>
        <v/>
      </c>
      <c r="AB14" s="76">
        <f>IF($C14="","",IF(PULL_FUND="N","",IFERROR(BDP($C14,EPS_FIELD,YR_OVERRIDE,TEXT(YEAR_Y-1,"0")),"")))</f>
        <v/>
      </c>
      <c r="AC14" s="50">
        <f>IF($C14="","",IFERROR(AVERAGE(X14:AB14),""))</f>
        <v/>
      </c>
      <c r="AD14" s="76">
        <f>IF($C14="","",IF(PULL_FUND="N","",IFERROR(BDP($C14,BESTEPS_FIELD,FWD_OVERRIDE,TEXT(MOD(YEAR_Y,100),"00")&amp;"Y"),"")))</f>
        <v/>
      </c>
      <c r="AE14" s="77">
        <f>IF($C14="","",IF(PULL_FUND="N","",IFERROR(BDP($C14,PAYOUT_FIELD,YR_OVERRIDE,TEXT(YEAR_Y-5,"0"))/100,"")))</f>
        <v/>
      </c>
      <c r="AF14" s="78">
        <f>IF($C14="","",IF(PULL_FUND="N","",IFERROR(BDP($C14,PAYOUT_FIELD,YR_OVERRIDE,TEXT(YEAR_Y-4,"0"))/100,"")))</f>
        <v/>
      </c>
      <c r="AG14" s="78">
        <f>IF($C14="","",IF(PULL_FUND="N","",IFERROR(BDP($C14,PAYOUT_FIELD,YR_OVERRIDE,TEXT(YEAR_Y-3,"0"))/100,"")))</f>
        <v/>
      </c>
      <c r="AH14" s="78">
        <f>IF($C14="","",IF(PULL_FUND="N","",IFERROR(BDP($C14,PAYOUT_FIELD,YR_OVERRIDE,TEXT(YEAR_Y-2,"0"))/100,"")))</f>
        <v/>
      </c>
      <c r="AI14" s="78">
        <f>IF($C14="","",IF(PULL_FUND="N","",IFERROR(BDP($C14,PAYOUT_FIELD,YR_OVERRIDE,TEXT(YEAR_Y-1,"0"))/100,"")))</f>
        <v/>
      </c>
      <c r="AJ14" s="79">
        <f>IF($C14="","",IFERROR(AVERAGE(AE14:AI14),""))</f>
        <v/>
      </c>
      <c r="AK14" s="80">
        <f>IF($C14="","",IF(ISNUMBER($AD14)*ISNUMBER($N14)*($AD14&lt;&gt;0)=0,"",$N14/$AD14))</f>
        <v/>
      </c>
      <c r="AL14" s="79">
        <f>IF($C14="","",IF(ISNUMBER($AD14)*($AD14&lt;&gt;0)=0,"",$M14/$AD14))</f>
        <v/>
      </c>
      <c r="AM14" s="37">
        <f>IF($C14="","",IF(ISNUMBER($AE14)*ISNUMBER($AI14)=0,"",IF($AI14&gt;$AE14+0.05,"rising",IF($AI14&lt;$AE14-0.05,"falling","stable"))))</f>
        <v/>
      </c>
      <c r="AN14" s="81">
        <f>IF($C14="","",IF(PULL_FUND="N","",IF(COUNTIFS('Fund History'!$G$20:$G$24,"&gt;="&amp;DATE(YEAR_Y-4,1,1),'Fund History'!$G$20:$G$24,"&lt;="&amp;DATE(YEAR_Y-4,12,31))=0,"",SUMIFS('Fund History'!$H$20:$H$24,'Fund History'!$G$20:$G$24,"&gt;="&amp;DATE(YEAR_Y-4,1,1),'Fund History'!$G$20:$G$24,"&lt;="&amp;DATE(YEAR_Y-4,12,31))/100)))</f>
        <v/>
      </c>
      <c r="AO14" s="82">
        <f>IF($C14="","",IF(PULL_FUND="N","",IF(COUNTIFS('Fund History'!$G$20:$G$24,"&gt;="&amp;DATE(YEAR_Y-3,1,1),'Fund History'!$G$20:$G$24,"&lt;="&amp;DATE(YEAR_Y-3,12,31))=0,"",SUMIFS('Fund History'!$H$20:$H$24,'Fund History'!$G$20:$G$24,"&gt;="&amp;DATE(YEAR_Y-3,1,1),'Fund History'!$G$20:$G$24,"&lt;="&amp;DATE(YEAR_Y-3,12,31))/100)))</f>
        <v/>
      </c>
      <c r="AP14" s="82">
        <f>IF($C14="","",IF(PULL_FUND="N","",IF(COUNTIFS('Fund History'!$G$20:$G$24,"&gt;="&amp;DATE(YEAR_Y-2,1,1),'Fund History'!$G$20:$G$24,"&lt;="&amp;DATE(YEAR_Y-2,12,31))=0,"",SUMIFS('Fund History'!$H$20:$H$24,'Fund History'!$G$20:$G$24,"&gt;="&amp;DATE(YEAR_Y-2,1,1),'Fund History'!$G$20:$G$24,"&lt;="&amp;DATE(YEAR_Y-2,12,31))/100)))</f>
        <v/>
      </c>
      <c r="AQ14" s="82">
        <f>IF($C14="","",IF(PULL_FUND="N","",IF(COUNTIFS('Fund History'!$G$20:$G$24,"&gt;="&amp;DATE(YEAR_Y-1,1,1),'Fund History'!$G$20:$G$24,"&lt;="&amp;DATE(YEAR_Y-1,12,31))=0,"",SUMIFS('Fund History'!$H$20:$H$24,'Fund History'!$G$20:$G$24,"&gt;="&amp;DATE(YEAR_Y-1,1,1),'Fund History'!$G$20:$G$24,"&lt;="&amp;DATE(YEAR_Y-1,12,31))/100)))</f>
        <v/>
      </c>
      <c r="AR14" s="83">
        <f>IF($C14="","",IF(N($AQ14)+N(HSI!$I$9)=0,"",N($AQ14)+N(HSI!$I$9)/100))</f>
        <v/>
      </c>
      <c r="AS14" s="75">
        <f>IF($C14="","",IF(PULL_FUND="N","",IF(COUNTIFS('Fund History'!$D$20:$D$24,"&gt;="&amp;DATE(YEAR_Y-2,1,1),'Fund History'!$D$20:$D$24,"&lt;="&amp;DATE(YEAR_Y-2,12,31))=0,"",SUMIFS('Fund History'!$E$20:$E$24,'Fund History'!$D$20:$D$24,"&gt;="&amp;DATE(YEAR_Y-2,1,1),'Fund History'!$D$20:$D$24,"&lt;="&amp;DATE(YEAR_Y-2,12,31)))))</f>
        <v/>
      </c>
      <c r="AT14" s="76">
        <f>IF($C14="","",IF(PULL_FUND="N","",IF(COUNTIFS('Fund History'!$D$20:$D$24,"&gt;="&amp;DATE(YEAR_Y-1,1,1),'Fund History'!$D$20:$D$24,"&lt;="&amp;DATE(YEAR_Y-1,12,31))=0,"",SUMIFS('Fund History'!$E$20:$E$24,'Fund History'!$D$20:$D$24,"&gt;="&amp;DATE(YEAR_Y-1,1,1),'Fund History'!$D$20:$D$24,"&lt;="&amp;DATE(YEAR_Y-1,12,31)))))</f>
        <v/>
      </c>
      <c r="AU14" s="76">
        <f>IF($C14="","",IF(PULL_FUND="N","",IFERROR(BDP($C14,NDEBITDA_FIELD),"")))</f>
        <v/>
      </c>
      <c r="AV14" s="84">
        <f>IF($C14="","",IF(PULL_FUND="N","",IFERROR(BDP($C14,EBINT_FIELD),"")))</f>
        <v/>
      </c>
      <c r="AW14" s="82">
        <f>IF($C14="","",IF(PULL_FUND="N","",IFERROR(BDP($C14,FCF_FIELD)/100,"")))</f>
        <v/>
      </c>
      <c r="AX14" s="50">
        <f>IF($C14="","",IF(N($U14)=0,"",IFERROR($AW14/$U14,"")))</f>
        <v/>
      </c>
      <c r="AY14" s="85">
        <f>IF($C14="","",TRIM(IF(ISNUMBER($AJ14)*(N($AJ14)&gt;$D$4)&gt;0,"payout high  ","")&amp;IF(ISNUMBER($AX14)*(N($AX14)&lt;$F$4)&gt;0,"FCF below dvd  ","")&amp;IF(ISNUMBER($AU14)*(N($AU14)&gt;$H$4)&gt;0,"leverage high","")))</f>
        <v/>
      </c>
      <c r="AZ14" s="86">
        <f>IF($C14="","",IF(HSI!$F$9="HKD","",HSI!$F$9))</f>
        <v/>
      </c>
    </row>
    <row r="15">
      <c r="B15" s="66" t="inlineStr">
        <is>
          <t>HSI</t>
        </is>
      </c>
      <c r="C15" s="8">
        <f>IF(HSI!$C$10="","",HSI!$C$10)</f>
        <v/>
      </c>
      <c r="D15" s="8">
        <f>IF($C15="","",HSI!$D$10)</f>
        <v/>
      </c>
      <c r="E15" s="8">
        <f>IF($C15="","",HSI!$E$10)</f>
        <v/>
      </c>
      <c r="F15" s="67">
        <f>IF($C15="","",SUMPRODUCT(('Dvd Calendar'!$E$44:$AR$44&gt;=DATE(YEAR_Y-5,1,1))*('Dvd Calendar'!$E$44:$AR$44&lt;=DATE(YEAR_Y-5,12,31))*'Dvd Calendar'!$E$47:$AR$47*(('Dvd Calendar'!$E$49:$AR$49=TYPE1)*(TYPE1&lt;&gt;"")+('Dvd Calendar'!$E$49:$AR$49=TYPE2)*(TYPE2&lt;&gt;"")+('Dvd Calendar'!$E$49:$AR$49=TYPE3)*(TYPE3&lt;&gt;"")+('Dvd Calendar'!$E$49:$AR$49=TYPE4)*(TYPE4&lt;&gt;"")+('Dvd Calendar'!$E$49:$AR$49=SPECIAL_LBL)*(INC_SPECIALS="Y"))))</f>
        <v/>
      </c>
      <c r="G15" s="68">
        <f>IF($C15="","",SUMPRODUCT(('Dvd Calendar'!$E$44:$AR$44&gt;=DATE(YEAR_Y-4,1,1))*('Dvd Calendar'!$E$44:$AR$44&lt;=DATE(YEAR_Y-4,12,31))*'Dvd Calendar'!$E$47:$AR$47*(('Dvd Calendar'!$E$49:$AR$49=TYPE1)*(TYPE1&lt;&gt;"")+('Dvd Calendar'!$E$49:$AR$49=TYPE2)*(TYPE2&lt;&gt;"")+('Dvd Calendar'!$E$49:$AR$49=TYPE3)*(TYPE3&lt;&gt;"")+('Dvd Calendar'!$E$49:$AR$49=TYPE4)*(TYPE4&lt;&gt;"")+('Dvd Calendar'!$E$49:$AR$49=SPECIAL_LBL)*(INC_SPECIALS="Y"))))</f>
        <v/>
      </c>
      <c r="H15" s="68">
        <f>IF($C15="","",SUMPRODUCT(('Dvd Calendar'!$E$44:$AR$44&gt;=DATE(YEAR_Y-3,1,1))*('Dvd Calendar'!$E$44:$AR$44&lt;=DATE(YEAR_Y-3,12,31))*'Dvd Calendar'!$E$47:$AR$47*(('Dvd Calendar'!$E$49:$AR$49=TYPE1)*(TYPE1&lt;&gt;"")+('Dvd Calendar'!$E$49:$AR$49=TYPE2)*(TYPE2&lt;&gt;"")+('Dvd Calendar'!$E$49:$AR$49=TYPE3)*(TYPE3&lt;&gt;"")+('Dvd Calendar'!$E$49:$AR$49=TYPE4)*(TYPE4&lt;&gt;"")+('Dvd Calendar'!$E$49:$AR$49=SPECIAL_LBL)*(INC_SPECIALS="Y"))))</f>
        <v/>
      </c>
      <c r="I15" s="68">
        <f>IF($C15="","",SUMPRODUCT(('Dvd Calendar'!$E$44:$AR$44&gt;=DATE(YEAR_Y-2,1,1))*('Dvd Calendar'!$E$44:$AR$44&lt;=DATE(YEAR_Y-2,12,31))*'Dvd Calendar'!$E$47:$AR$47*(('Dvd Calendar'!$E$49:$AR$49=TYPE1)*(TYPE1&lt;&gt;"")+('Dvd Calendar'!$E$49:$AR$49=TYPE2)*(TYPE2&lt;&gt;"")+('Dvd Calendar'!$E$49:$AR$49=TYPE3)*(TYPE3&lt;&gt;"")+('Dvd Calendar'!$E$49:$AR$49=TYPE4)*(TYPE4&lt;&gt;"")+('Dvd Calendar'!$E$49:$AR$49=SPECIAL_LBL)*(INC_SPECIALS="Y"))))</f>
        <v/>
      </c>
      <c r="J15" s="68">
        <f>IF($C15="","",SUMPRODUCT(('Dvd Calendar'!$E$44:$AR$44&gt;=DATE(YEAR_Y-1,1,1))*('Dvd Calendar'!$E$44:$AR$44&lt;=DATE(YEAR_Y-1,12,31))*'Dvd Calendar'!$E$47:$AR$47*(('Dvd Calendar'!$E$49:$AR$49=TYPE1)*(TYPE1&lt;&gt;"")+('Dvd Calendar'!$E$49:$AR$49=TYPE2)*(TYPE2&lt;&gt;"")+('Dvd Calendar'!$E$49:$AR$49=TYPE3)*(TYPE3&lt;&gt;"")+('Dvd Calendar'!$E$49:$AR$49=TYPE4)*(TYPE4&lt;&gt;"")+('Dvd Calendar'!$E$49:$AR$49=SPECIAL_LBL)*(INC_SPECIALS="Y"))))</f>
        <v/>
      </c>
      <c r="K15" s="69">
        <f>IF($C15="","",HSI!$J$10)</f>
        <v/>
      </c>
      <c r="L15" s="69">
        <f>IF($C15="","",HSI!$K$10)</f>
        <v/>
      </c>
      <c r="M15" s="44">
        <f>IF($C15="","",HSI!$J$10+HSI!$L$10)</f>
        <v/>
      </c>
      <c r="N15" s="70">
        <f>IF($C15="","",IF(PULL_FUND="N","",IFERROR(BDP($C15,BESTDPS_FIELD,FWD_OVERRIDE,TEXT(MOD(YEAR_Y,100),"00")&amp;"Y"),"")))</f>
        <v/>
      </c>
      <c r="O15" s="69">
        <f>IF($C15="","",AVERAGE(F15:J15))</f>
        <v/>
      </c>
      <c r="P15" s="71">
        <f>IF($C15="","",IF(PULL_FUND="N","",IF(COUNTIFS('Fund History'!$J$26:$J$30,"&gt;="&amp;DATE(YEAR_Y-5,1,1),'Fund History'!$J$26:$J$30,"&lt;="&amp;DATE(YEAR_Y-5,12,31))=0,"",IFERROR($F15*HSI!$G$10/SUMIFS('Fund History'!$K$26:$K$30,'Fund History'!$J$26:$J$30,"&gt;="&amp;DATE(YEAR_Y-5,1,1),'Fund History'!$J$26:$J$30,"&lt;="&amp;DATE(YEAR_Y-5,12,31)),""))))</f>
        <v/>
      </c>
      <c r="Q15" s="72">
        <f>IF($C15="","",IF(PULL_FUND="N","",IF(COUNTIFS('Fund History'!$J$26:$J$30,"&gt;="&amp;DATE(YEAR_Y-4,1,1),'Fund History'!$J$26:$J$30,"&lt;="&amp;DATE(YEAR_Y-4,12,31))=0,"",IFERROR($G15*HSI!$G$10/SUMIFS('Fund History'!$K$26:$K$30,'Fund History'!$J$26:$J$30,"&gt;="&amp;DATE(YEAR_Y-4,1,1),'Fund History'!$J$26:$J$30,"&lt;="&amp;DATE(YEAR_Y-4,12,31)),""))))</f>
        <v/>
      </c>
      <c r="R15" s="72">
        <f>IF($C15="","",IF(PULL_FUND="N","",IF(COUNTIFS('Fund History'!$J$26:$J$30,"&gt;="&amp;DATE(YEAR_Y-3,1,1),'Fund History'!$J$26:$J$30,"&lt;="&amp;DATE(YEAR_Y-3,12,31))=0,"",IFERROR($H15*HSI!$G$10/SUMIFS('Fund History'!$K$26:$K$30,'Fund History'!$J$26:$J$30,"&gt;="&amp;DATE(YEAR_Y-3,1,1),'Fund History'!$J$26:$J$30,"&lt;="&amp;DATE(YEAR_Y-3,12,31)),""))))</f>
        <v/>
      </c>
      <c r="S15" s="72">
        <f>IF($C15="","",IF(PULL_FUND="N","",IF(COUNTIFS('Fund History'!$J$26:$J$30,"&gt;="&amp;DATE(YEAR_Y-2,1,1),'Fund History'!$J$26:$J$30,"&lt;="&amp;DATE(YEAR_Y-2,12,31))=0,"",IFERROR($I15*HSI!$G$10/SUMIFS('Fund History'!$K$26:$K$30,'Fund History'!$J$26:$J$30,"&gt;="&amp;DATE(YEAR_Y-2,1,1),'Fund History'!$J$26:$J$30,"&lt;="&amp;DATE(YEAR_Y-2,12,31)),""))))</f>
        <v/>
      </c>
      <c r="T15" s="72">
        <f>IF($C15="","",IF(PULL_FUND="N","",IF(COUNTIFS('Fund History'!$J$26:$J$30,"&gt;="&amp;DATE(YEAR_Y-1,1,1),'Fund History'!$J$26:$J$30,"&lt;="&amp;DATE(YEAR_Y-1,12,31))=0,"",IFERROR($J15*HSI!$G$10/SUMIFS('Fund History'!$K$26:$K$30,'Fund History'!$J$26:$J$30,"&gt;="&amp;DATE(YEAR_Y-1,1,1),'Fund History'!$J$26:$J$30,"&lt;="&amp;DATE(YEAR_Y-1,12,31)),""))))</f>
        <v/>
      </c>
      <c r="U15" s="73">
        <f>IF($C15="","",IF(ISNUMBER(HSI!$I$10),HSI!$I$10/100,""))</f>
        <v/>
      </c>
      <c r="V15" s="74">
        <f>IF($C15="","",IF(ISNUMBER(HSI!$X$10),IFERROR($M15*HSI!$G$10/HSI!$X$10,""),""))</f>
        <v/>
      </c>
      <c r="W15" s="73">
        <f>IF($C15="","",IF(ISNUMBER($N15),IFERROR($N15*HSI!$G$10/HSI!$X$10,""),""))</f>
        <v/>
      </c>
      <c r="X15" s="75">
        <f>IF($C15="","",IF(PULL_FUND="N","",IFERROR(BDP($C15,EPS_FIELD,YR_OVERRIDE,TEXT(YEAR_Y-5,"0")),"")))</f>
        <v/>
      </c>
      <c r="Y15" s="76">
        <f>IF($C15="","",IF(PULL_FUND="N","",IFERROR(BDP($C15,EPS_FIELD,YR_OVERRIDE,TEXT(YEAR_Y-4,"0")),"")))</f>
        <v/>
      </c>
      <c r="Z15" s="76">
        <f>IF($C15="","",IF(PULL_FUND="N","",IFERROR(BDP($C15,EPS_FIELD,YR_OVERRIDE,TEXT(YEAR_Y-3,"0")),"")))</f>
        <v/>
      </c>
      <c r="AA15" s="76">
        <f>IF($C15="","",IF(PULL_FUND="N","",IFERROR(BDP($C15,EPS_FIELD,YR_OVERRIDE,TEXT(YEAR_Y-2,"0")),"")))</f>
        <v/>
      </c>
      <c r="AB15" s="76">
        <f>IF($C15="","",IF(PULL_FUND="N","",IFERROR(BDP($C15,EPS_FIELD,YR_OVERRIDE,TEXT(YEAR_Y-1,"0")),"")))</f>
        <v/>
      </c>
      <c r="AC15" s="50">
        <f>IF($C15="","",IFERROR(AVERAGE(X15:AB15),""))</f>
        <v/>
      </c>
      <c r="AD15" s="76">
        <f>IF($C15="","",IF(PULL_FUND="N","",IFERROR(BDP($C15,BESTEPS_FIELD,FWD_OVERRIDE,TEXT(MOD(YEAR_Y,100),"00")&amp;"Y"),"")))</f>
        <v/>
      </c>
      <c r="AE15" s="77">
        <f>IF($C15="","",IF(PULL_FUND="N","",IFERROR(BDP($C15,PAYOUT_FIELD,YR_OVERRIDE,TEXT(YEAR_Y-5,"0"))/100,"")))</f>
        <v/>
      </c>
      <c r="AF15" s="78">
        <f>IF($C15="","",IF(PULL_FUND="N","",IFERROR(BDP($C15,PAYOUT_FIELD,YR_OVERRIDE,TEXT(YEAR_Y-4,"0"))/100,"")))</f>
        <v/>
      </c>
      <c r="AG15" s="78">
        <f>IF($C15="","",IF(PULL_FUND="N","",IFERROR(BDP($C15,PAYOUT_FIELD,YR_OVERRIDE,TEXT(YEAR_Y-3,"0"))/100,"")))</f>
        <v/>
      </c>
      <c r="AH15" s="78">
        <f>IF($C15="","",IF(PULL_FUND="N","",IFERROR(BDP($C15,PAYOUT_FIELD,YR_OVERRIDE,TEXT(YEAR_Y-2,"0"))/100,"")))</f>
        <v/>
      </c>
      <c r="AI15" s="78">
        <f>IF($C15="","",IF(PULL_FUND="N","",IFERROR(BDP($C15,PAYOUT_FIELD,YR_OVERRIDE,TEXT(YEAR_Y-1,"0"))/100,"")))</f>
        <v/>
      </c>
      <c r="AJ15" s="79">
        <f>IF($C15="","",IFERROR(AVERAGE(AE15:AI15),""))</f>
        <v/>
      </c>
      <c r="AK15" s="80">
        <f>IF($C15="","",IF(ISNUMBER($AD15)*ISNUMBER($N15)*($AD15&lt;&gt;0)=0,"",$N15/$AD15))</f>
        <v/>
      </c>
      <c r="AL15" s="79">
        <f>IF($C15="","",IF(ISNUMBER($AD15)*($AD15&lt;&gt;0)=0,"",$M15/$AD15))</f>
        <v/>
      </c>
      <c r="AM15" s="37">
        <f>IF($C15="","",IF(ISNUMBER($AE15)*ISNUMBER($AI15)=0,"",IF($AI15&gt;$AE15+0.05,"rising",IF($AI15&lt;$AE15-0.05,"falling","stable"))))</f>
        <v/>
      </c>
      <c r="AN15" s="81">
        <f>IF($C15="","",IF(PULL_FUND="N","",IF(COUNTIFS('Fund History'!$G$26:$G$30,"&gt;="&amp;DATE(YEAR_Y-4,1,1),'Fund History'!$G$26:$G$30,"&lt;="&amp;DATE(YEAR_Y-4,12,31))=0,"",SUMIFS('Fund History'!$H$26:$H$30,'Fund History'!$G$26:$G$30,"&gt;="&amp;DATE(YEAR_Y-4,1,1),'Fund History'!$G$26:$G$30,"&lt;="&amp;DATE(YEAR_Y-4,12,31))/100)))</f>
        <v/>
      </c>
      <c r="AO15" s="82">
        <f>IF($C15="","",IF(PULL_FUND="N","",IF(COUNTIFS('Fund History'!$G$26:$G$30,"&gt;="&amp;DATE(YEAR_Y-3,1,1),'Fund History'!$G$26:$G$30,"&lt;="&amp;DATE(YEAR_Y-3,12,31))=0,"",SUMIFS('Fund History'!$H$26:$H$30,'Fund History'!$G$26:$G$30,"&gt;="&amp;DATE(YEAR_Y-3,1,1),'Fund History'!$G$26:$G$30,"&lt;="&amp;DATE(YEAR_Y-3,12,31))/100)))</f>
        <v/>
      </c>
      <c r="AP15" s="82">
        <f>IF($C15="","",IF(PULL_FUND="N","",IF(COUNTIFS('Fund History'!$G$26:$G$30,"&gt;="&amp;DATE(YEAR_Y-2,1,1),'Fund History'!$G$26:$G$30,"&lt;="&amp;DATE(YEAR_Y-2,12,31))=0,"",SUMIFS('Fund History'!$H$26:$H$30,'Fund History'!$G$26:$G$30,"&gt;="&amp;DATE(YEAR_Y-2,1,1),'Fund History'!$G$26:$G$30,"&lt;="&amp;DATE(YEAR_Y-2,12,31))/100)))</f>
        <v/>
      </c>
      <c r="AQ15" s="82">
        <f>IF($C15="","",IF(PULL_FUND="N","",IF(COUNTIFS('Fund History'!$G$26:$G$30,"&gt;="&amp;DATE(YEAR_Y-1,1,1),'Fund History'!$G$26:$G$30,"&lt;="&amp;DATE(YEAR_Y-1,12,31))=0,"",SUMIFS('Fund History'!$H$26:$H$30,'Fund History'!$G$26:$G$30,"&gt;="&amp;DATE(YEAR_Y-1,1,1),'Fund History'!$G$26:$G$30,"&lt;="&amp;DATE(YEAR_Y-1,12,31))/100)))</f>
        <v/>
      </c>
      <c r="AR15" s="83">
        <f>IF($C15="","",IF(N($AQ15)+N(HSI!$I$10)=0,"",N($AQ15)+N(HSI!$I$10)/100))</f>
        <v/>
      </c>
      <c r="AS15" s="75">
        <f>IF($C15="","",IF(PULL_FUND="N","",IF(COUNTIFS('Fund History'!$D$26:$D$30,"&gt;="&amp;DATE(YEAR_Y-2,1,1),'Fund History'!$D$26:$D$30,"&lt;="&amp;DATE(YEAR_Y-2,12,31))=0,"",SUMIFS('Fund History'!$E$26:$E$30,'Fund History'!$D$26:$D$30,"&gt;="&amp;DATE(YEAR_Y-2,1,1),'Fund History'!$D$26:$D$30,"&lt;="&amp;DATE(YEAR_Y-2,12,31)))))</f>
        <v/>
      </c>
      <c r="AT15" s="76">
        <f>IF($C15="","",IF(PULL_FUND="N","",IF(COUNTIFS('Fund History'!$D$26:$D$30,"&gt;="&amp;DATE(YEAR_Y-1,1,1),'Fund History'!$D$26:$D$30,"&lt;="&amp;DATE(YEAR_Y-1,12,31))=0,"",SUMIFS('Fund History'!$E$26:$E$30,'Fund History'!$D$26:$D$30,"&gt;="&amp;DATE(YEAR_Y-1,1,1),'Fund History'!$D$26:$D$30,"&lt;="&amp;DATE(YEAR_Y-1,12,31)))))</f>
        <v/>
      </c>
      <c r="AU15" s="76">
        <f>IF($C15="","",IF(PULL_FUND="N","",IFERROR(BDP($C15,NDEBITDA_FIELD),"")))</f>
        <v/>
      </c>
      <c r="AV15" s="84">
        <f>IF($C15="","",IF(PULL_FUND="N","",IFERROR(BDP($C15,EBINT_FIELD),"")))</f>
        <v/>
      </c>
      <c r="AW15" s="82">
        <f>IF($C15="","",IF(PULL_FUND="N","",IFERROR(BDP($C15,FCF_FIELD)/100,"")))</f>
        <v/>
      </c>
      <c r="AX15" s="50">
        <f>IF($C15="","",IF(N($U15)=0,"",IFERROR($AW15/$U15,"")))</f>
        <v/>
      </c>
      <c r="AY15" s="85">
        <f>IF($C15="","",TRIM(IF(ISNUMBER($AJ15)*(N($AJ15)&gt;$D$4)&gt;0,"payout high  ","")&amp;IF(ISNUMBER($AX15)*(N($AX15)&lt;$F$4)&gt;0,"FCF below dvd  ","")&amp;IF(ISNUMBER($AU15)*(N($AU15)&gt;$H$4)&gt;0,"leverage high","")))</f>
        <v/>
      </c>
      <c r="AZ15" s="86">
        <f>IF($C15="","",IF(HSI!$F$10="HKD","",HSI!$F$10))</f>
        <v/>
      </c>
    </row>
    <row r="16">
      <c r="B16" s="66" t="inlineStr">
        <is>
          <t>HSI</t>
        </is>
      </c>
      <c r="C16" s="8">
        <f>IF(HSI!$C$11="","",HSI!$C$11)</f>
        <v/>
      </c>
      <c r="D16" s="8">
        <f>IF($C16="","",HSI!$D$11)</f>
        <v/>
      </c>
      <c r="E16" s="8">
        <f>IF($C16="","",HSI!$E$11)</f>
        <v/>
      </c>
      <c r="F16" s="67">
        <f>IF($C16="","",SUMPRODUCT(('Dvd Calendar'!$E$55:$AR$55&gt;=DATE(YEAR_Y-5,1,1))*('Dvd Calendar'!$E$55:$AR$55&lt;=DATE(YEAR_Y-5,12,31))*'Dvd Calendar'!$E$58:$AR$58*(('Dvd Calendar'!$E$60:$AR$60=TYPE1)*(TYPE1&lt;&gt;"")+('Dvd Calendar'!$E$60:$AR$60=TYPE2)*(TYPE2&lt;&gt;"")+('Dvd Calendar'!$E$60:$AR$60=TYPE3)*(TYPE3&lt;&gt;"")+('Dvd Calendar'!$E$60:$AR$60=TYPE4)*(TYPE4&lt;&gt;"")+('Dvd Calendar'!$E$60:$AR$60=SPECIAL_LBL)*(INC_SPECIALS="Y"))))</f>
        <v/>
      </c>
      <c r="G16" s="68">
        <f>IF($C16="","",SUMPRODUCT(('Dvd Calendar'!$E$55:$AR$55&gt;=DATE(YEAR_Y-4,1,1))*('Dvd Calendar'!$E$55:$AR$55&lt;=DATE(YEAR_Y-4,12,31))*'Dvd Calendar'!$E$58:$AR$58*(('Dvd Calendar'!$E$60:$AR$60=TYPE1)*(TYPE1&lt;&gt;"")+('Dvd Calendar'!$E$60:$AR$60=TYPE2)*(TYPE2&lt;&gt;"")+('Dvd Calendar'!$E$60:$AR$60=TYPE3)*(TYPE3&lt;&gt;"")+('Dvd Calendar'!$E$60:$AR$60=TYPE4)*(TYPE4&lt;&gt;"")+('Dvd Calendar'!$E$60:$AR$60=SPECIAL_LBL)*(INC_SPECIALS="Y"))))</f>
        <v/>
      </c>
      <c r="H16" s="68">
        <f>IF($C16="","",SUMPRODUCT(('Dvd Calendar'!$E$55:$AR$55&gt;=DATE(YEAR_Y-3,1,1))*('Dvd Calendar'!$E$55:$AR$55&lt;=DATE(YEAR_Y-3,12,31))*'Dvd Calendar'!$E$58:$AR$58*(('Dvd Calendar'!$E$60:$AR$60=TYPE1)*(TYPE1&lt;&gt;"")+('Dvd Calendar'!$E$60:$AR$60=TYPE2)*(TYPE2&lt;&gt;"")+('Dvd Calendar'!$E$60:$AR$60=TYPE3)*(TYPE3&lt;&gt;"")+('Dvd Calendar'!$E$60:$AR$60=TYPE4)*(TYPE4&lt;&gt;"")+('Dvd Calendar'!$E$60:$AR$60=SPECIAL_LBL)*(INC_SPECIALS="Y"))))</f>
        <v/>
      </c>
      <c r="I16" s="68">
        <f>IF($C16="","",SUMPRODUCT(('Dvd Calendar'!$E$55:$AR$55&gt;=DATE(YEAR_Y-2,1,1))*('Dvd Calendar'!$E$55:$AR$55&lt;=DATE(YEAR_Y-2,12,31))*'Dvd Calendar'!$E$58:$AR$58*(('Dvd Calendar'!$E$60:$AR$60=TYPE1)*(TYPE1&lt;&gt;"")+('Dvd Calendar'!$E$60:$AR$60=TYPE2)*(TYPE2&lt;&gt;"")+('Dvd Calendar'!$E$60:$AR$60=TYPE3)*(TYPE3&lt;&gt;"")+('Dvd Calendar'!$E$60:$AR$60=TYPE4)*(TYPE4&lt;&gt;"")+('Dvd Calendar'!$E$60:$AR$60=SPECIAL_LBL)*(INC_SPECIALS="Y"))))</f>
        <v/>
      </c>
      <c r="J16" s="68">
        <f>IF($C16="","",SUMPRODUCT(('Dvd Calendar'!$E$55:$AR$55&gt;=DATE(YEAR_Y-1,1,1))*('Dvd Calendar'!$E$55:$AR$55&lt;=DATE(YEAR_Y-1,12,31))*'Dvd Calendar'!$E$58:$AR$58*(('Dvd Calendar'!$E$60:$AR$60=TYPE1)*(TYPE1&lt;&gt;"")+('Dvd Calendar'!$E$60:$AR$60=TYPE2)*(TYPE2&lt;&gt;"")+('Dvd Calendar'!$E$60:$AR$60=TYPE3)*(TYPE3&lt;&gt;"")+('Dvd Calendar'!$E$60:$AR$60=TYPE4)*(TYPE4&lt;&gt;"")+('Dvd Calendar'!$E$60:$AR$60=SPECIAL_LBL)*(INC_SPECIALS="Y"))))</f>
        <v/>
      </c>
      <c r="K16" s="69">
        <f>IF($C16="","",HSI!$J$11)</f>
        <v/>
      </c>
      <c r="L16" s="69">
        <f>IF($C16="","",HSI!$K$11)</f>
        <v/>
      </c>
      <c r="M16" s="44">
        <f>IF($C16="","",HSI!$J$11+HSI!$L$11)</f>
        <v/>
      </c>
      <c r="N16" s="70">
        <f>IF($C16="","",IF(PULL_FUND="N","",IFERROR(BDP($C16,BESTDPS_FIELD,FWD_OVERRIDE,TEXT(MOD(YEAR_Y,100),"00")&amp;"Y"),"")))</f>
        <v/>
      </c>
      <c r="O16" s="69">
        <f>IF($C16="","",AVERAGE(F16:J16))</f>
        <v/>
      </c>
      <c r="P16" s="71">
        <f>IF($C16="","",IF(PULL_FUND="N","",IF(COUNTIFS('Fund History'!$J$32:$J$36,"&gt;="&amp;DATE(YEAR_Y-5,1,1),'Fund History'!$J$32:$J$36,"&lt;="&amp;DATE(YEAR_Y-5,12,31))=0,"",IFERROR($F16*HSI!$G$11/SUMIFS('Fund History'!$K$32:$K$36,'Fund History'!$J$32:$J$36,"&gt;="&amp;DATE(YEAR_Y-5,1,1),'Fund History'!$J$32:$J$36,"&lt;="&amp;DATE(YEAR_Y-5,12,31)),""))))</f>
        <v/>
      </c>
      <c r="Q16" s="72">
        <f>IF($C16="","",IF(PULL_FUND="N","",IF(COUNTIFS('Fund History'!$J$32:$J$36,"&gt;="&amp;DATE(YEAR_Y-4,1,1),'Fund History'!$J$32:$J$36,"&lt;="&amp;DATE(YEAR_Y-4,12,31))=0,"",IFERROR($G16*HSI!$G$11/SUMIFS('Fund History'!$K$32:$K$36,'Fund History'!$J$32:$J$36,"&gt;="&amp;DATE(YEAR_Y-4,1,1),'Fund History'!$J$32:$J$36,"&lt;="&amp;DATE(YEAR_Y-4,12,31)),""))))</f>
        <v/>
      </c>
      <c r="R16" s="72">
        <f>IF($C16="","",IF(PULL_FUND="N","",IF(COUNTIFS('Fund History'!$J$32:$J$36,"&gt;="&amp;DATE(YEAR_Y-3,1,1),'Fund History'!$J$32:$J$36,"&lt;="&amp;DATE(YEAR_Y-3,12,31))=0,"",IFERROR($H16*HSI!$G$11/SUMIFS('Fund History'!$K$32:$K$36,'Fund History'!$J$32:$J$36,"&gt;="&amp;DATE(YEAR_Y-3,1,1),'Fund History'!$J$32:$J$36,"&lt;="&amp;DATE(YEAR_Y-3,12,31)),""))))</f>
        <v/>
      </c>
      <c r="S16" s="72">
        <f>IF($C16="","",IF(PULL_FUND="N","",IF(COUNTIFS('Fund History'!$J$32:$J$36,"&gt;="&amp;DATE(YEAR_Y-2,1,1),'Fund History'!$J$32:$J$36,"&lt;="&amp;DATE(YEAR_Y-2,12,31))=0,"",IFERROR($I16*HSI!$G$11/SUMIFS('Fund History'!$K$32:$K$36,'Fund History'!$J$32:$J$36,"&gt;="&amp;DATE(YEAR_Y-2,1,1),'Fund History'!$J$32:$J$36,"&lt;="&amp;DATE(YEAR_Y-2,12,31)),""))))</f>
        <v/>
      </c>
      <c r="T16" s="72">
        <f>IF($C16="","",IF(PULL_FUND="N","",IF(COUNTIFS('Fund History'!$J$32:$J$36,"&gt;="&amp;DATE(YEAR_Y-1,1,1),'Fund History'!$J$32:$J$36,"&lt;="&amp;DATE(YEAR_Y-1,12,31))=0,"",IFERROR($J16*HSI!$G$11/SUMIFS('Fund History'!$K$32:$K$36,'Fund History'!$J$32:$J$36,"&gt;="&amp;DATE(YEAR_Y-1,1,1),'Fund History'!$J$32:$J$36,"&lt;="&amp;DATE(YEAR_Y-1,12,31)),""))))</f>
        <v/>
      </c>
      <c r="U16" s="73">
        <f>IF($C16="","",IF(ISNUMBER(HSI!$I$11),HSI!$I$11/100,""))</f>
        <v/>
      </c>
      <c r="V16" s="74">
        <f>IF($C16="","",IF(ISNUMBER(HSI!$X$11),IFERROR($M16*HSI!$G$11/HSI!$X$11,""),""))</f>
        <v/>
      </c>
      <c r="W16" s="73">
        <f>IF($C16="","",IF(ISNUMBER($N16),IFERROR($N16*HSI!$G$11/HSI!$X$11,""),""))</f>
        <v/>
      </c>
      <c r="X16" s="75">
        <f>IF($C16="","",IF(PULL_FUND="N","",IFERROR(BDP($C16,EPS_FIELD,YR_OVERRIDE,TEXT(YEAR_Y-5,"0")),"")))</f>
        <v/>
      </c>
      <c r="Y16" s="76">
        <f>IF($C16="","",IF(PULL_FUND="N","",IFERROR(BDP($C16,EPS_FIELD,YR_OVERRIDE,TEXT(YEAR_Y-4,"0")),"")))</f>
        <v/>
      </c>
      <c r="Z16" s="76">
        <f>IF($C16="","",IF(PULL_FUND="N","",IFERROR(BDP($C16,EPS_FIELD,YR_OVERRIDE,TEXT(YEAR_Y-3,"0")),"")))</f>
        <v/>
      </c>
      <c r="AA16" s="76">
        <f>IF($C16="","",IF(PULL_FUND="N","",IFERROR(BDP($C16,EPS_FIELD,YR_OVERRIDE,TEXT(YEAR_Y-2,"0")),"")))</f>
        <v/>
      </c>
      <c r="AB16" s="76">
        <f>IF($C16="","",IF(PULL_FUND="N","",IFERROR(BDP($C16,EPS_FIELD,YR_OVERRIDE,TEXT(YEAR_Y-1,"0")),"")))</f>
        <v/>
      </c>
      <c r="AC16" s="50">
        <f>IF($C16="","",IFERROR(AVERAGE(X16:AB16),""))</f>
        <v/>
      </c>
      <c r="AD16" s="76">
        <f>IF($C16="","",IF(PULL_FUND="N","",IFERROR(BDP($C16,BESTEPS_FIELD,FWD_OVERRIDE,TEXT(MOD(YEAR_Y,100),"00")&amp;"Y"),"")))</f>
        <v/>
      </c>
      <c r="AE16" s="77">
        <f>IF($C16="","",IF(PULL_FUND="N","",IFERROR(BDP($C16,PAYOUT_FIELD,YR_OVERRIDE,TEXT(YEAR_Y-5,"0"))/100,"")))</f>
        <v/>
      </c>
      <c r="AF16" s="78">
        <f>IF($C16="","",IF(PULL_FUND="N","",IFERROR(BDP($C16,PAYOUT_FIELD,YR_OVERRIDE,TEXT(YEAR_Y-4,"0"))/100,"")))</f>
        <v/>
      </c>
      <c r="AG16" s="78">
        <f>IF($C16="","",IF(PULL_FUND="N","",IFERROR(BDP($C16,PAYOUT_FIELD,YR_OVERRIDE,TEXT(YEAR_Y-3,"0"))/100,"")))</f>
        <v/>
      </c>
      <c r="AH16" s="78">
        <f>IF($C16="","",IF(PULL_FUND="N","",IFERROR(BDP($C16,PAYOUT_FIELD,YR_OVERRIDE,TEXT(YEAR_Y-2,"0"))/100,"")))</f>
        <v/>
      </c>
      <c r="AI16" s="78">
        <f>IF($C16="","",IF(PULL_FUND="N","",IFERROR(BDP($C16,PAYOUT_FIELD,YR_OVERRIDE,TEXT(YEAR_Y-1,"0"))/100,"")))</f>
        <v/>
      </c>
      <c r="AJ16" s="79">
        <f>IF($C16="","",IFERROR(AVERAGE(AE16:AI16),""))</f>
        <v/>
      </c>
      <c r="AK16" s="80">
        <f>IF($C16="","",IF(ISNUMBER($AD16)*ISNUMBER($N16)*($AD16&lt;&gt;0)=0,"",$N16/$AD16))</f>
        <v/>
      </c>
      <c r="AL16" s="79">
        <f>IF($C16="","",IF(ISNUMBER($AD16)*($AD16&lt;&gt;0)=0,"",$M16/$AD16))</f>
        <v/>
      </c>
      <c r="AM16" s="37">
        <f>IF($C16="","",IF(ISNUMBER($AE16)*ISNUMBER($AI16)=0,"",IF($AI16&gt;$AE16+0.05,"rising",IF($AI16&lt;$AE16-0.05,"falling","stable"))))</f>
        <v/>
      </c>
      <c r="AN16" s="81">
        <f>IF($C16="","",IF(PULL_FUND="N","",IF(COUNTIFS('Fund History'!$G$32:$G$36,"&gt;="&amp;DATE(YEAR_Y-4,1,1),'Fund History'!$G$32:$G$36,"&lt;="&amp;DATE(YEAR_Y-4,12,31))=0,"",SUMIFS('Fund History'!$H$32:$H$36,'Fund History'!$G$32:$G$36,"&gt;="&amp;DATE(YEAR_Y-4,1,1),'Fund History'!$G$32:$G$36,"&lt;="&amp;DATE(YEAR_Y-4,12,31))/100)))</f>
        <v/>
      </c>
      <c r="AO16" s="82">
        <f>IF($C16="","",IF(PULL_FUND="N","",IF(COUNTIFS('Fund History'!$G$32:$G$36,"&gt;="&amp;DATE(YEAR_Y-3,1,1),'Fund History'!$G$32:$G$36,"&lt;="&amp;DATE(YEAR_Y-3,12,31))=0,"",SUMIFS('Fund History'!$H$32:$H$36,'Fund History'!$G$32:$G$36,"&gt;="&amp;DATE(YEAR_Y-3,1,1),'Fund History'!$G$32:$G$36,"&lt;="&amp;DATE(YEAR_Y-3,12,31))/100)))</f>
        <v/>
      </c>
      <c r="AP16" s="82">
        <f>IF($C16="","",IF(PULL_FUND="N","",IF(COUNTIFS('Fund History'!$G$32:$G$36,"&gt;="&amp;DATE(YEAR_Y-2,1,1),'Fund History'!$G$32:$G$36,"&lt;="&amp;DATE(YEAR_Y-2,12,31))=0,"",SUMIFS('Fund History'!$H$32:$H$36,'Fund History'!$G$32:$G$36,"&gt;="&amp;DATE(YEAR_Y-2,1,1),'Fund History'!$G$32:$G$36,"&lt;="&amp;DATE(YEAR_Y-2,12,31))/100)))</f>
        <v/>
      </c>
      <c r="AQ16" s="82">
        <f>IF($C16="","",IF(PULL_FUND="N","",IF(COUNTIFS('Fund History'!$G$32:$G$36,"&gt;="&amp;DATE(YEAR_Y-1,1,1),'Fund History'!$G$32:$G$36,"&lt;="&amp;DATE(YEAR_Y-1,12,31))=0,"",SUMIFS('Fund History'!$H$32:$H$36,'Fund History'!$G$32:$G$36,"&gt;="&amp;DATE(YEAR_Y-1,1,1),'Fund History'!$G$32:$G$36,"&lt;="&amp;DATE(YEAR_Y-1,12,31))/100)))</f>
        <v/>
      </c>
      <c r="AR16" s="83">
        <f>IF($C16="","",IF(N($AQ16)+N(HSI!$I$11)=0,"",N($AQ16)+N(HSI!$I$11)/100))</f>
        <v/>
      </c>
      <c r="AS16" s="75">
        <f>IF($C16="","",IF(PULL_FUND="N","",IF(COUNTIFS('Fund History'!$D$32:$D$36,"&gt;="&amp;DATE(YEAR_Y-2,1,1),'Fund History'!$D$32:$D$36,"&lt;="&amp;DATE(YEAR_Y-2,12,31))=0,"",SUMIFS('Fund History'!$E$32:$E$36,'Fund History'!$D$32:$D$36,"&gt;="&amp;DATE(YEAR_Y-2,1,1),'Fund History'!$D$32:$D$36,"&lt;="&amp;DATE(YEAR_Y-2,12,31)))))</f>
        <v/>
      </c>
      <c r="AT16" s="76">
        <f>IF($C16="","",IF(PULL_FUND="N","",IF(COUNTIFS('Fund History'!$D$32:$D$36,"&gt;="&amp;DATE(YEAR_Y-1,1,1),'Fund History'!$D$32:$D$36,"&lt;="&amp;DATE(YEAR_Y-1,12,31))=0,"",SUMIFS('Fund History'!$E$32:$E$36,'Fund History'!$D$32:$D$36,"&gt;="&amp;DATE(YEAR_Y-1,1,1),'Fund History'!$D$32:$D$36,"&lt;="&amp;DATE(YEAR_Y-1,12,31)))))</f>
        <v/>
      </c>
      <c r="AU16" s="76">
        <f>IF($C16="","",IF(PULL_FUND="N","",IFERROR(BDP($C16,NDEBITDA_FIELD),"")))</f>
        <v/>
      </c>
      <c r="AV16" s="84">
        <f>IF($C16="","",IF(PULL_FUND="N","",IFERROR(BDP($C16,EBINT_FIELD),"")))</f>
        <v/>
      </c>
      <c r="AW16" s="82">
        <f>IF($C16="","",IF(PULL_FUND="N","",IFERROR(BDP($C16,FCF_FIELD)/100,"")))</f>
        <v/>
      </c>
      <c r="AX16" s="50">
        <f>IF($C16="","",IF(N($U16)=0,"",IFERROR($AW16/$U16,"")))</f>
        <v/>
      </c>
      <c r="AY16" s="85">
        <f>IF($C16="","",TRIM(IF(ISNUMBER($AJ16)*(N($AJ16)&gt;$D$4)&gt;0,"payout high  ","")&amp;IF(ISNUMBER($AX16)*(N($AX16)&lt;$F$4)&gt;0,"FCF below dvd  ","")&amp;IF(ISNUMBER($AU16)*(N($AU16)&gt;$H$4)&gt;0,"leverage high","")))</f>
        <v/>
      </c>
      <c r="AZ16" s="86">
        <f>IF($C16="","",IF(HSI!$F$11="HKD","",HSI!$F$11))</f>
        <v/>
      </c>
    </row>
    <row r="17">
      <c r="B17" s="66" t="inlineStr">
        <is>
          <t>HSI</t>
        </is>
      </c>
      <c r="C17" s="8">
        <f>IF(HSI!$C$12="","",HSI!$C$12)</f>
        <v/>
      </c>
      <c r="D17" s="8">
        <f>IF($C17="","",HSI!$D$12)</f>
        <v/>
      </c>
      <c r="E17" s="8">
        <f>IF($C17="","",HSI!$E$12)</f>
        <v/>
      </c>
      <c r="F17" s="67">
        <f>IF($C17="","",SUMPRODUCT(('Dvd Calendar'!$E$66:$AR$66&gt;=DATE(YEAR_Y-5,1,1))*('Dvd Calendar'!$E$66:$AR$66&lt;=DATE(YEAR_Y-5,12,31))*'Dvd Calendar'!$E$69:$AR$69*(('Dvd Calendar'!$E$71:$AR$71=TYPE1)*(TYPE1&lt;&gt;"")+('Dvd Calendar'!$E$71:$AR$71=TYPE2)*(TYPE2&lt;&gt;"")+('Dvd Calendar'!$E$71:$AR$71=TYPE3)*(TYPE3&lt;&gt;"")+('Dvd Calendar'!$E$71:$AR$71=TYPE4)*(TYPE4&lt;&gt;"")+('Dvd Calendar'!$E$71:$AR$71=SPECIAL_LBL)*(INC_SPECIALS="Y"))))</f>
        <v/>
      </c>
      <c r="G17" s="68">
        <f>IF($C17="","",SUMPRODUCT(('Dvd Calendar'!$E$66:$AR$66&gt;=DATE(YEAR_Y-4,1,1))*('Dvd Calendar'!$E$66:$AR$66&lt;=DATE(YEAR_Y-4,12,31))*'Dvd Calendar'!$E$69:$AR$69*(('Dvd Calendar'!$E$71:$AR$71=TYPE1)*(TYPE1&lt;&gt;"")+('Dvd Calendar'!$E$71:$AR$71=TYPE2)*(TYPE2&lt;&gt;"")+('Dvd Calendar'!$E$71:$AR$71=TYPE3)*(TYPE3&lt;&gt;"")+('Dvd Calendar'!$E$71:$AR$71=TYPE4)*(TYPE4&lt;&gt;"")+('Dvd Calendar'!$E$71:$AR$71=SPECIAL_LBL)*(INC_SPECIALS="Y"))))</f>
        <v/>
      </c>
      <c r="H17" s="68">
        <f>IF($C17="","",SUMPRODUCT(('Dvd Calendar'!$E$66:$AR$66&gt;=DATE(YEAR_Y-3,1,1))*('Dvd Calendar'!$E$66:$AR$66&lt;=DATE(YEAR_Y-3,12,31))*'Dvd Calendar'!$E$69:$AR$69*(('Dvd Calendar'!$E$71:$AR$71=TYPE1)*(TYPE1&lt;&gt;"")+('Dvd Calendar'!$E$71:$AR$71=TYPE2)*(TYPE2&lt;&gt;"")+('Dvd Calendar'!$E$71:$AR$71=TYPE3)*(TYPE3&lt;&gt;"")+('Dvd Calendar'!$E$71:$AR$71=TYPE4)*(TYPE4&lt;&gt;"")+('Dvd Calendar'!$E$71:$AR$71=SPECIAL_LBL)*(INC_SPECIALS="Y"))))</f>
        <v/>
      </c>
      <c r="I17" s="68">
        <f>IF($C17="","",SUMPRODUCT(('Dvd Calendar'!$E$66:$AR$66&gt;=DATE(YEAR_Y-2,1,1))*('Dvd Calendar'!$E$66:$AR$66&lt;=DATE(YEAR_Y-2,12,31))*'Dvd Calendar'!$E$69:$AR$69*(('Dvd Calendar'!$E$71:$AR$71=TYPE1)*(TYPE1&lt;&gt;"")+('Dvd Calendar'!$E$71:$AR$71=TYPE2)*(TYPE2&lt;&gt;"")+('Dvd Calendar'!$E$71:$AR$71=TYPE3)*(TYPE3&lt;&gt;"")+('Dvd Calendar'!$E$71:$AR$71=TYPE4)*(TYPE4&lt;&gt;"")+('Dvd Calendar'!$E$71:$AR$71=SPECIAL_LBL)*(INC_SPECIALS="Y"))))</f>
        <v/>
      </c>
      <c r="J17" s="68">
        <f>IF($C17="","",SUMPRODUCT(('Dvd Calendar'!$E$66:$AR$66&gt;=DATE(YEAR_Y-1,1,1))*('Dvd Calendar'!$E$66:$AR$66&lt;=DATE(YEAR_Y-1,12,31))*'Dvd Calendar'!$E$69:$AR$69*(('Dvd Calendar'!$E$71:$AR$71=TYPE1)*(TYPE1&lt;&gt;"")+('Dvd Calendar'!$E$71:$AR$71=TYPE2)*(TYPE2&lt;&gt;"")+('Dvd Calendar'!$E$71:$AR$71=TYPE3)*(TYPE3&lt;&gt;"")+('Dvd Calendar'!$E$71:$AR$71=TYPE4)*(TYPE4&lt;&gt;"")+('Dvd Calendar'!$E$71:$AR$71=SPECIAL_LBL)*(INC_SPECIALS="Y"))))</f>
        <v/>
      </c>
      <c r="K17" s="69">
        <f>IF($C17="","",HSI!$J$12)</f>
        <v/>
      </c>
      <c r="L17" s="69">
        <f>IF($C17="","",HSI!$K$12)</f>
        <v/>
      </c>
      <c r="M17" s="44">
        <f>IF($C17="","",HSI!$J$12+HSI!$L$12)</f>
        <v/>
      </c>
      <c r="N17" s="70">
        <f>IF($C17="","",IF(PULL_FUND="N","",IFERROR(BDP($C17,BESTDPS_FIELD,FWD_OVERRIDE,TEXT(MOD(YEAR_Y,100),"00")&amp;"Y"),"")))</f>
        <v/>
      </c>
      <c r="O17" s="69">
        <f>IF($C17="","",AVERAGE(F17:J17))</f>
        <v/>
      </c>
      <c r="P17" s="71">
        <f>IF($C17="","",IF(PULL_FUND="N","",IF(COUNTIFS('Fund History'!$J$38:$J$42,"&gt;="&amp;DATE(YEAR_Y-5,1,1),'Fund History'!$J$38:$J$42,"&lt;="&amp;DATE(YEAR_Y-5,12,31))=0,"",IFERROR($F17*HSI!$G$12/SUMIFS('Fund History'!$K$38:$K$42,'Fund History'!$J$38:$J$42,"&gt;="&amp;DATE(YEAR_Y-5,1,1),'Fund History'!$J$38:$J$42,"&lt;="&amp;DATE(YEAR_Y-5,12,31)),""))))</f>
        <v/>
      </c>
      <c r="Q17" s="72">
        <f>IF($C17="","",IF(PULL_FUND="N","",IF(COUNTIFS('Fund History'!$J$38:$J$42,"&gt;="&amp;DATE(YEAR_Y-4,1,1),'Fund History'!$J$38:$J$42,"&lt;="&amp;DATE(YEAR_Y-4,12,31))=0,"",IFERROR($G17*HSI!$G$12/SUMIFS('Fund History'!$K$38:$K$42,'Fund History'!$J$38:$J$42,"&gt;="&amp;DATE(YEAR_Y-4,1,1),'Fund History'!$J$38:$J$42,"&lt;="&amp;DATE(YEAR_Y-4,12,31)),""))))</f>
        <v/>
      </c>
      <c r="R17" s="72">
        <f>IF($C17="","",IF(PULL_FUND="N","",IF(COUNTIFS('Fund History'!$J$38:$J$42,"&gt;="&amp;DATE(YEAR_Y-3,1,1),'Fund History'!$J$38:$J$42,"&lt;="&amp;DATE(YEAR_Y-3,12,31))=0,"",IFERROR($H17*HSI!$G$12/SUMIFS('Fund History'!$K$38:$K$42,'Fund History'!$J$38:$J$42,"&gt;="&amp;DATE(YEAR_Y-3,1,1),'Fund History'!$J$38:$J$42,"&lt;="&amp;DATE(YEAR_Y-3,12,31)),""))))</f>
        <v/>
      </c>
      <c r="S17" s="72">
        <f>IF($C17="","",IF(PULL_FUND="N","",IF(COUNTIFS('Fund History'!$J$38:$J$42,"&gt;="&amp;DATE(YEAR_Y-2,1,1),'Fund History'!$J$38:$J$42,"&lt;="&amp;DATE(YEAR_Y-2,12,31))=0,"",IFERROR($I17*HSI!$G$12/SUMIFS('Fund History'!$K$38:$K$42,'Fund History'!$J$38:$J$42,"&gt;="&amp;DATE(YEAR_Y-2,1,1),'Fund History'!$J$38:$J$42,"&lt;="&amp;DATE(YEAR_Y-2,12,31)),""))))</f>
        <v/>
      </c>
      <c r="T17" s="72">
        <f>IF($C17="","",IF(PULL_FUND="N","",IF(COUNTIFS('Fund History'!$J$38:$J$42,"&gt;="&amp;DATE(YEAR_Y-1,1,1),'Fund History'!$J$38:$J$42,"&lt;="&amp;DATE(YEAR_Y-1,12,31))=0,"",IFERROR($J17*HSI!$G$12/SUMIFS('Fund History'!$K$38:$K$42,'Fund History'!$J$38:$J$42,"&gt;="&amp;DATE(YEAR_Y-1,1,1),'Fund History'!$J$38:$J$42,"&lt;="&amp;DATE(YEAR_Y-1,12,31)),""))))</f>
        <v/>
      </c>
      <c r="U17" s="73">
        <f>IF($C17="","",IF(ISNUMBER(HSI!$I$12),HSI!$I$12/100,""))</f>
        <v/>
      </c>
      <c r="V17" s="74">
        <f>IF($C17="","",IF(ISNUMBER(HSI!$X$12),IFERROR($M17*HSI!$G$12/HSI!$X$12,""),""))</f>
        <v/>
      </c>
      <c r="W17" s="73">
        <f>IF($C17="","",IF(ISNUMBER($N17),IFERROR($N17*HSI!$G$12/HSI!$X$12,""),""))</f>
        <v/>
      </c>
      <c r="X17" s="75">
        <f>IF($C17="","",IF(PULL_FUND="N","",IFERROR(BDP($C17,EPS_FIELD,YR_OVERRIDE,TEXT(YEAR_Y-5,"0")),"")))</f>
        <v/>
      </c>
      <c r="Y17" s="76">
        <f>IF($C17="","",IF(PULL_FUND="N","",IFERROR(BDP($C17,EPS_FIELD,YR_OVERRIDE,TEXT(YEAR_Y-4,"0")),"")))</f>
        <v/>
      </c>
      <c r="Z17" s="76">
        <f>IF($C17="","",IF(PULL_FUND="N","",IFERROR(BDP($C17,EPS_FIELD,YR_OVERRIDE,TEXT(YEAR_Y-3,"0")),"")))</f>
        <v/>
      </c>
      <c r="AA17" s="76">
        <f>IF($C17="","",IF(PULL_FUND="N","",IFERROR(BDP($C17,EPS_FIELD,YR_OVERRIDE,TEXT(YEAR_Y-2,"0")),"")))</f>
        <v/>
      </c>
      <c r="AB17" s="76">
        <f>IF($C17="","",IF(PULL_FUND="N","",IFERROR(BDP($C17,EPS_FIELD,YR_OVERRIDE,TEXT(YEAR_Y-1,"0")),"")))</f>
        <v/>
      </c>
      <c r="AC17" s="50">
        <f>IF($C17="","",IFERROR(AVERAGE(X17:AB17),""))</f>
        <v/>
      </c>
      <c r="AD17" s="76">
        <f>IF($C17="","",IF(PULL_FUND="N","",IFERROR(BDP($C17,BESTEPS_FIELD,FWD_OVERRIDE,TEXT(MOD(YEAR_Y,100),"00")&amp;"Y"),"")))</f>
        <v/>
      </c>
      <c r="AE17" s="77">
        <f>IF($C17="","",IF(PULL_FUND="N","",IFERROR(BDP($C17,PAYOUT_FIELD,YR_OVERRIDE,TEXT(YEAR_Y-5,"0"))/100,"")))</f>
        <v/>
      </c>
      <c r="AF17" s="78">
        <f>IF($C17="","",IF(PULL_FUND="N","",IFERROR(BDP($C17,PAYOUT_FIELD,YR_OVERRIDE,TEXT(YEAR_Y-4,"0"))/100,"")))</f>
        <v/>
      </c>
      <c r="AG17" s="78">
        <f>IF($C17="","",IF(PULL_FUND="N","",IFERROR(BDP($C17,PAYOUT_FIELD,YR_OVERRIDE,TEXT(YEAR_Y-3,"0"))/100,"")))</f>
        <v/>
      </c>
      <c r="AH17" s="78">
        <f>IF($C17="","",IF(PULL_FUND="N","",IFERROR(BDP($C17,PAYOUT_FIELD,YR_OVERRIDE,TEXT(YEAR_Y-2,"0"))/100,"")))</f>
        <v/>
      </c>
      <c r="AI17" s="78">
        <f>IF($C17="","",IF(PULL_FUND="N","",IFERROR(BDP($C17,PAYOUT_FIELD,YR_OVERRIDE,TEXT(YEAR_Y-1,"0"))/100,"")))</f>
        <v/>
      </c>
      <c r="AJ17" s="79">
        <f>IF($C17="","",IFERROR(AVERAGE(AE17:AI17),""))</f>
        <v/>
      </c>
      <c r="AK17" s="80">
        <f>IF($C17="","",IF(ISNUMBER($AD17)*ISNUMBER($N17)*($AD17&lt;&gt;0)=0,"",$N17/$AD17))</f>
        <v/>
      </c>
      <c r="AL17" s="79">
        <f>IF($C17="","",IF(ISNUMBER($AD17)*($AD17&lt;&gt;0)=0,"",$M17/$AD17))</f>
        <v/>
      </c>
      <c r="AM17" s="37">
        <f>IF($C17="","",IF(ISNUMBER($AE17)*ISNUMBER($AI17)=0,"",IF($AI17&gt;$AE17+0.05,"rising",IF($AI17&lt;$AE17-0.05,"falling","stable"))))</f>
        <v/>
      </c>
      <c r="AN17" s="81">
        <f>IF($C17="","",IF(PULL_FUND="N","",IF(COUNTIFS('Fund History'!$G$38:$G$42,"&gt;="&amp;DATE(YEAR_Y-4,1,1),'Fund History'!$G$38:$G$42,"&lt;="&amp;DATE(YEAR_Y-4,12,31))=0,"",SUMIFS('Fund History'!$H$38:$H$42,'Fund History'!$G$38:$G$42,"&gt;="&amp;DATE(YEAR_Y-4,1,1),'Fund History'!$G$38:$G$42,"&lt;="&amp;DATE(YEAR_Y-4,12,31))/100)))</f>
        <v/>
      </c>
      <c r="AO17" s="82">
        <f>IF($C17="","",IF(PULL_FUND="N","",IF(COUNTIFS('Fund History'!$G$38:$G$42,"&gt;="&amp;DATE(YEAR_Y-3,1,1),'Fund History'!$G$38:$G$42,"&lt;="&amp;DATE(YEAR_Y-3,12,31))=0,"",SUMIFS('Fund History'!$H$38:$H$42,'Fund History'!$G$38:$G$42,"&gt;="&amp;DATE(YEAR_Y-3,1,1),'Fund History'!$G$38:$G$42,"&lt;="&amp;DATE(YEAR_Y-3,12,31))/100)))</f>
        <v/>
      </c>
      <c r="AP17" s="82">
        <f>IF($C17="","",IF(PULL_FUND="N","",IF(COUNTIFS('Fund History'!$G$38:$G$42,"&gt;="&amp;DATE(YEAR_Y-2,1,1),'Fund History'!$G$38:$G$42,"&lt;="&amp;DATE(YEAR_Y-2,12,31))=0,"",SUMIFS('Fund History'!$H$38:$H$42,'Fund History'!$G$38:$G$42,"&gt;="&amp;DATE(YEAR_Y-2,1,1),'Fund History'!$G$38:$G$42,"&lt;="&amp;DATE(YEAR_Y-2,12,31))/100)))</f>
        <v/>
      </c>
      <c r="AQ17" s="82">
        <f>IF($C17="","",IF(PULL_FUND="N","",IF(COUNTIFS('Fund History'!$G$38:$G$42,"&gt;="&amp;DATE(YEAR_Y-1,1,1),'Fund History'!$G$38:$G$42,"&lt;="&amp;DATE(YEAR_Y-1,12,31))=0,"",SUMIFS('Fund History'!$H$38:$H$42,'Fund History'!$G$38:$G$42,"&gt;="&amp;DATE(YEAR_Y-1,1,1),'Fund History'!$G$38:$G$42,"&lt;="&amp;DATE(YEAR_Y-1,12,31))/100)))</f>
        <v/>
      </c>
      <c r="AR17" s="83">
        <f>IF($C17="","",IF(N($AQ17)+N(HSI!$I$12)=0,"",N($AQ17)+N(HSI!$I$12)/100))</f>
        <v/>
      </c>
      <c r="AS17" s="75">
        <f>IF($C17="","",IF(PULL_FUND="N","",IF(COUNTIFS('Fund History'!$D$38:$D$42,"&gt;="&amp;DATE(YEAR_Y-2,1,1),'Fund History'!$D$38:$D$42,"&lt;="&amp;DATE(YEAR_Y-2,12,31))=0,"",SUMIFS('Fund History'!$E$38:$E$42,'Fund History'!$D$38:$D$42,"&gt;="&amp;DATE(YEAR_Y-2,1,1),'Fund History'!$D$38:$D$42,"&lt;="&amp;DATE(YEAR_Y-2,12,31)))))</f>
        <v/>
      </c>
      <c r="AT17" s="76">
        <f>IF($C17="","",IF(PULL_FUND="N","",IF(COUNTIFS('Fund History'!$D$38:$D$42,"&gt;="&amp;DATE(YEAR_Y-1,1,1),'Fund History'!$D$38:$D$42,"&lt;="&amp;DATE(YEAR_Y-1,12,31))=0,"",SUMIFS('Fund History'!$E$38:$E$42,'Fund History'!$D$38:$D$42,"&gt;="&amp;DATE(YEAR_Y-1,1,1),'Fund History'!$D$38:$D$42,"&lt;="&amp;DATE(YEAR_Y-1,12,31)))))</f>
        <v/>
      </c>
      <c r="AU17" s="76">
        <f>IF($C17="","",IF(PULL_FUND="N","",IFERROR(BDP($C17,NDEBITDA_FIELD),"")))</f>
        <v/>
      </c>
      <c r="AV17" s="84">
        <f>IF($C17="","",IF(PULL_FUND="N","",IFERROR(BDP($C17,EBINT_FIELD),"")))</f>
        <v/>
      </c>
      <c r="AW17" s="82">
        <f>IF($C17="","",IF(PULL_FUND="N","",IFERROR(BDP($C17,FCF_FIELD)/100,"")))</f>
        <v/>
      </c>
      <c r="AX17" s="50">
        <f>IF($C17="","",IF(N($U17)=0,"",IFERROR($AW17/$U17,"")))</f>
        <v/>
      </c>
      <c r="AY17" s="85">
        <f>IF($C17="","",TRIM(IF(ISNUMBER($AJ17)*(N($AJ17)&gt;$D$4)&gt;0,"payout high  ","")&amp;IF(ISNUMBER($AX17)*(N($AX17)&lt;$F$4)&gt;0,"FCF below dvd  ","")&amp;IF(ISNUMBER($AU17)*(N($AU17)&gt;$H$4)&gt;0,"leverage high","")))</f>
        <v/>
      </c>
      <c r="AZ17" s="86">
        <f>IF($C17="","",IF(HSI!$F$12="HKD","",HSI!$F$12))</f>
        <v/>
      </c>
    </row>
    <row r="18">
      <c r="B18" s="66" t="inlineStr">
        <is>
          <t>HSI</t>
        </is>
      </c>
      <c r="C18" s="8">
        <f>IF(HSI!$C$13="","",HSI!$C$13)</f>
        <v/>
      </c>
      <c r="D18" s="8">
        <f>IF($C18="","",HSI!$D$13)</f>
        <v/>
      </c>
      <c r="E18" s="8">
        <f>IF($C18="","",HSI!$E$13)</f>
        <v/>
      </c>
      <c r="F18" s="67">
        <f>IF($C18="","",SUMPRODUCT(('Dvd Calendar'!$E$77:$AR$77&gt;=DATE(YEAR_Y-5,1,1))*('Dvd Calendar'!$E$77:$AR$77&lt;=DATE(YEAR_Y-5,12,31))*'Dvd Calendar'!$E$80:$AR$80*(('Dvd Calendar'!$E$82:$AR$82=TYPE1)*(TYPE1&lt;&gt;"")+('Dvd Calendar'!$E$82:$AR$82=TYPE2)*(TYPE2&lt;&gt;"")+('Dvd Calendar'!$E$82:$AR$82=TYPE3)*(TYPE3&lt;&gt;"")+('Dvd Calendar'!$E$82:$AR$82=TYPE4)*(TYPE4&lt;&gt;"")+('Dvd Calendar'!$E$82:$AR$82=SPECIAL_LBL)*(INC_SPECIALS="Y"))))</f>
        <v/>
      </c>
      <c r="G18" s="68">
        <f>IF($C18="","",SUMPRODUCT(('Dvd Calendar'!$E$77:$AR$77&gt;=DATE(YEAR_Y-4,1,1))*('Dvd Calendar'!$E$77:$AR$77&lt;=DATE(YEAR_Y-4,12,31))*'Dvd Calendar'!$E$80:$AR$80*(('Dvd Calendar'!$E$82:$AR$82=TYPE1)*(TYPE1&lt;&gt;"")+('Dvd Calendar'!$E$82:$AR$82=TYPE2)*(TYPE2&lt;&gt;"")+('Dvd Calendar'!$E$82:$AR$82=TYPE3)*(TYPE3&lt;&gt;"")+('Dvd Calendar'!$E$82:$AR$82=TYPE4)*(TYPE4&lt;&gt;"")+('Dvd Calendar'!$E$82:$AR$82=SPECIAL_LBL)*(INC_SPECIALS="Y"))))</f>
        <v/>
      </c>
      <c r="H18" s="68">
        <f>IF($C18="","",SUMPRODUCT(('Dvd Calendar'!$E$77:$AR$77&gt;=DATE(YEAR_Y-3,1,1))*('Dvd Calendar'!$E$77:$AR$77&lt;=DATE(YEAR_Y-3,12,31))*'Dvd Calendar'!$E$80:$AR$80*(('Dvd Calendar'!$E$82:$AR$82=TYPE1)*(TYPE1&lt;&gt;"")+('Dvd Calendar'!$E$82:$AR$82=TYPE2)*(TYPE2&lt;&gt;"")+('Dvd Calendar'!$E$82:$AR$82=TYPE3)*(TYPE3&lt;&gt;"")+('Dvd Calendar'!$E$82:$AR$82=TYPE4)*(TYPE4&lt;&gt;"")+('Dvd Calendar'!$E$82:$AR$82=SPECIAL_LBL)*(INC_SPECIALS="Y"))))</f>
        <v/>
      </c>
      <c r="I18" s="68">
        <f>IF($C18="","",SUMPRODUCT(('Dvd Calendar'!$E$77:$AR$77&gt;=DATE(YEAR_Y-2,1,1))*('Dvd Calendar'!$E$77:$AR$77&lt;=DATE(YEAR_Y-2,12,31))*'Dvd Calendar'!$E$80:$AR$80*(('Dvd Calendar'!$E$82:$AR$82=TYPE1)*(TYPE1&lt;&gt;"")+('Dvd Calendar'!$E$82:$AR$82=TYPE2)*(TYPE2&lt;&gt;"")+('Dvd Calendar'!$E$82:$AR$82=TYPE3)*(TYPE3&lt;&gt;"")+('Dvd Calendar'!$E$82:$AR$82=TYPE4)*(TYPE4&lt;&gt;"")+('Dvd Calendar'!$E$82:$AR$82=SPECIAL_LBL)*(INC_SPECIALS="Y"))))</f>
        <v/>
      </c>
      <c r="J18" s="68">
        <f>IF($C18="","",SUMPRODUCT(('Dvd Calendar'!$E$77:$AR$77&gt;=DATE(YEAR_Y-1,1,1))*('Dvd Calendar'!$E$77:$AR$77&lt;=DATE(YEAR_Y-1,12,31))*'Dvd Calendar'!$E$80:$AR$80*(('Dvd Calendar'!$E$82:$AR$82=TYPE1)*(TYPE1&lt;&gt;"")+('Dvd Calendar'!$E$82:$AR$82=TYPE2)*(TYPE2&lt;&gt;"")+('Dvd Calendar'!$E$82:$AR$82=TYPE3)*(TYPE3&lt;&gt;"")+('Dvd Calendar'!$E$82:$AR$82=TYPE4)*(TYPE4&lt;&gt;"")+('Dvd Calendar'!$E$82:$AR$82=SPECIAL_LBL)*(INC_SPECIALS="Y"))))</f>
        <v/>
      </c>
      <c r="K18" s="69">
        <f>IF($C18="","",HSI!$J$13)</f>
        <v/>
      </c>
      <c r="L18" s="69">
        <f>IF($C18="","",HSI!$K$13)</f>
        <v/>
      </c>
      <c r="M18" s="44">
        <f>IF($C18="","",HSI!$J$13+HSI!$L$13)</f>
        <v/>
      </c>
      <c r="N18" s="70">
        <f>IF($C18="","",IF(PULL_FUND="N","",IFERROR(BDP($C18,BESTDPS_FIELD,FWD_OVERRIDE,TEXT(MOD(YEAR_Y,100),"00")&amp;"Y"),"")))</f>
        <v/>
      </c>
      <c r="O18" s="69">
        <f>IF($C18="","",AVERAGE(F18:J18))</f>
        <v/>
      </c>
      <c r="P18" s="71">
        <f>IF($C18="","",IF(PULL_FUND="N","",IF(COUNTIFS('Fund History'!$J$44:$J$48,"&gt;="&amp;DATE(YEAR_Y-5,1,1),'Fund History'!$J$44:$J$48,"&lt;="&amp;DATE(YEAR_Y-5,12,31))=0,"",IFERROR($F18*HSI!$G$13/SUMIFS('Fund History'!$K$44:$K$48,'Fund History'!$J$44:$J$48,"&gt;="&amp;DATE(YEAR_Y-5,1,1),'Fund History'!$J$44:$J$48,"&lt;="&amp;DATE(YEAR_Y-5,12,31)),""))))</f>
        <v/>
      </c>
      <c r="Q18" s="72">
        <f>IF($C18="","",IF(PULL_FUND="N","",IF(COUNTIFS('Fund History'!$J$44:$J$48,"&gt;="&amp;DATE(YEAR_Y-4,1,1),'Fund History'!$J$44:$J$48,"&lt;="&amp;DATE(YEAR_Y-4,12,31))=0,"",IFERROR($G18*HSI!$G$13/SUMIFS('Fund History'!$K$44:$K$48,'Fund History'!$J$44:$J$48,"&gt;="&amp;DATE(YEAR_Y-4,1,1),'Fund History'!$J$44:$J$48,"&lt;="&amp;DATE(YEAR_Y-4,12,31)),""))))</f>
        <v/>
      </c>
      <c r="R18" s="72">
        <f>IF($C18="","",IF(PULL_FUND="N","",IF(COUNTIFS('Fund History'!$J$44:$J$48,"&gt;="&amp;DATE(YEAR_Y-3,1,1),'Fund History'!$J$44:$J$48,"&lt;="&amp;DATE(YEAR_Y-3,12,31))=0,"",IFERROR($H18*HSI!$G$13/SUMIFS('Fund History'!$K$44:$K$48,'Fund History'!$J$44:$J$48,"&gt;="&amp;DATE(YEAR_Y-3,1,1),'Fund History'!$J$44:$J$48,"&lt;="&amp;DATE(YEAR_Y-3,12,31)),""))))</f>
        <v/>
      </c>
      <c r="S18" s="72">
        <f>IF($C18="","",IF(PULL_FUND="N","",IF(COUNTIFS('Fund History'!$J$44:$J$48,"&gt;="&amp;DATE(YEAR_Y-2,1,1),'Fund History'!$J$44:$J$48,"&lt;="&amp;DATE(YEAR_Y-2,12,31))=0,"",IFERROR($I18*HSI!$G$13/SUMIFS('Fund History'!$K$44:$K$48,'Fund History'!$J$44:$J$48,"&gt;="&amp;DATE(YEAR_Y-2,1,1),'Fund History'!$J$44:$J$48,"&lt;="&amp;DATE(YEAR_Y-2,12,31)),""))))</f>
        <v/>
      </c>
      <c r="T18" s="72">
        <f>IF($C18="","",IF(PULL_FUND="N","",IF(COUNTIFS('Fund History'!$J$44:$J$48,"&gt;="&amp;DATE(YEAR_Y-1,1,1),'Fund History'!$J$44:$J$48,"&lt;="&amp;DATE(YEAR_Y-1,12,31))=0,"",IFERROR($J18*HSI!$G$13/SUMIFS('Fund History'!$K$44:$K$48,'Fund History'!$J$44:$J$48,"&gt;="&amp;DATE(YEAR_Y-1,1,1),'Fund History'!$J$44:$J$48,"&lt;="&amp;DATE(YEAR_Y-1,12,31)),""))))</f>
        <v/>
      </c>
      <c r="U18" s="73">
        <f>IF($C18="","",IF(ISNUMBER(HSI!$I$13),HSI!$I$13/100,""))</f>
        <v/>
      </c>
      <c r="V18" s="74">
        <f>IF($C18="","",IF(ISNUMBER(HSI!$X$13),IFERROR($M18*HSI!$G$13/HSI!$X$13,""),""))</f>
        <v/>
      </c>
      <c r="W18" s="73">
        <f>IF($C18="","",IF(ISNUMBER($N18),IFERROR($N18*HSI!$G$13/HSI!$X$13,""),""))</f>
        <v/>
      </c>
      <c r="X18" s="75">
        <f>IF($C18="","",IF(PULL_FUND="N","",IFERROR(BDP($C18,EPS_FIELD,YR_OVERRIDE,TEXT(YEAR_Y-5,"0")),"")))</f>
        <v/>
      </c>
      <c r="Y18" s="76">
        <f>IF($C18="","",IF(PULL_FUND="N","",IFERROR(BDP($C18,EPS_FIELD,YR_OVERRIDE,TEXT(YEAR_Y-4,"0")),"")))</f>
        <v/>
      </c>
      <c r="Z18" s="76">
        <f>IF($C18="","",IF(PULL_FUND="N","",IFERROR(BDP($C18,EPS_FIELD,YR_OVERRIDE,TEXT(YEAR_Y-3,"0")),"")))</f>
        <v/>
      </c>
      <c r="AA18" s="76">
        <f>IF($C18="","",IF(PULL_FUND="N","",IFERROR(BDP($C18,EPS_FIELD,YR_OVERRIDE,TEXT(YEAR_Y-2,"0")),"")))</f>
        <v/>
      </c>
      <c r="AB18" s="76">
        <f>IF($C18="","",IF(PULL_FUND="N","",IFERROR(BDP($C18,EPS_FIELD,YR_OVERRIDE,TEXT(YEAR_Y-1,"0")),"")))</f>
        <v/>
      </c>
      <c r="AC18" s="50">
        <f>IF($C18="","",IFERROR(AVERAGE(X18:AB18),""))</f>
        <v/>
      </c>
      <c r="AD18" s="76">
        <f>IF($C18="","",IF(PULL_FUND="N","",IFERROR(BDP($C18,BESTEPS_FIELD,FWD_OVERRIDE,TEXT(MOD(YEAR_Y,100),"00")&amp;"Y"),"")))</f>
        <v/>
      </c>
      <c r="AE18" s="77">
        <f>IF($C18="","",IF(PULL_FUND="N","",IFERROR(BDP($C18,PAYOUT_FIELD,YR_OVERRIDE,TEXT(YEAR_Y-5,"0"))/100,"")))</f>
        <v/>
      </c>
      <c r="AF18" s="78">
        <f>IF($C18="","",IF(PULL_FUND="N","",IFERROR(BDP($C18,PAYOUT_FIELD,YR_OVERRIDE,TEXT(YEAR_Y-4,"0"))/100,"")))</f>
        <v/>
      </c>
      <c r="AG18" s="78">
        <f>IF($C18="","",IF(PULL_FUND="N","",IFERROR(BDP($C18,PAYOUT_FIELD,YR_OVERRIDE,TEXT(YEAR_Y-3,"0"))/100,"")))</f>
        <v/>
      </c>
      <c r="AH18" s="78">
        <f>IF($C18="","",IF(PULL_FUND="N","",IFERROR(BDP($C18,PAYOUT_FIELD,YR_OVERRIDE,TEXT(YEAR_Y-2,"0"))/100,"")))</f>
        <v/>
      </c>
      <c r="AI18" s="78">
        <f>IF($C18="","",IF(PULL_FUND="N","",IFERROR(BDP($C18,PAYOUT_FIELD,YR_OVERRIDE,TEXT(YEAR_Y-1,"0"))/100,"")))</f>
        <v/>
      </c>
      <c r="AJ18" s="79">
        <f>IF($C18="","",IFERROR(AVERAGE(AE18:AI18),""))</f>
        <v/>
      </c>
      <c r="AK18" s="80">
        <f>IF($C18="","",IF(ISNUMBER($AD18)*ISNUMBER($N18)*($AD18&lt;&gt;0)=0,"",$N18/$AD18))</f>
        <v/>
      </c>
      <c r="AL18" s="79">
        <f>IF($C18="","",IF(ISNUMBER($AD18)*($AD18&lt;&gt;0)=0,"",$M18/$AD18))</f>
        <v/>
      </c>
      <c r="AM18" s="37">
        <f>IF($C18="","",IF(ISNUMBER($AE18)*ISNUMBER($AI18)=0,"",IF($AI18&gt;$AE18+0.05,"rising",IF($AI18&lt;$AE18-0.05,"falling","stable"))))</f>
        <v/>
      </c>
      <c r="AN18" s="81">
        <f>IF($C18="","",IF(PULL_FUND="N","",IF(COUNTIFS('Fund History'!$G$44:$G$48,"&gt;="&amp;DATE(YEAR_Y-4,1,1),'Fund History'!$G$44:$G$48,"&lt;="&amp;DATE(YEAR_Y-4,12,31))=0,"",SUMIFS('Fund History'!$H$44:$H$48,'Fund History'!$G$44:$G$48,"&gt;="&amp;DATE(YEAR_Y-4,1,1),'Fund History'!$G$44:$G$48,"&lt;="&amp;DATE(YEAR_Y-4,12,31))/100)))</f>
        <v/>
      </c>
      <c r="AO18" s="82">
        <f>IF($C18="","",IF(PULL_FUND="N","",IF(COUNTIFS('Fund History'!$G$44:$G$48,"&gt;="&amp;DATE(YEAR_Y-3,1,1),'Fund History'!$G$44:$G$48,"&lt;="&amp;DATE(YEAR_Y-3,12,31))=0,"",SUMIFS('Fund History'!$H$44:$H$48,'Fund History'!$G$44:$G$48,"&gt;="&amp;DATE(YEAR_Y-3,1,1),'Fund History'!$G$44:$G$48,"&lt;="&amp;DATE(YEAR_Y-3,12,31))/100)))</f>
        <v/>
      </c>
      <c r="AP18" s="82">
        <f>IF($C18="","",IF(PULL_FUND="N","",IF(COUNTIFS('Fund History'!$G$44:$G$48,"&gt;="&amp;DATE(YEAR_Y-2,1,1),'Fund History'!$G$44:$G$48,"&lt;="&amp;DATE(YEAR_Y-2,12,31))=0,"",SUMIFS('Fund History'!$H$44:$H$48,'Fund History'!$G$44:$G$48,"&gt;="&amp;DATE(YEAR_Y-2,1,1),'Fund History'!$G$44:$G$48,"&lt;="&amp;DATE(YEAR_Y-2,12,31))/100)))</f>
        <v/>
      </c>
      <c r="AQ18" s="82">
        <f>IF($C18="","",IF(PULL_FUND="N","",IF(COUNTIFS('Fund History'!$G$44:$G$48,"&gt;="&amp;DATE(YEAR_Y-1,1,1),'Fund History'!$G$44:$G$48,"&lt;="&amp;DATE(YEAR_Y-1,12,31))=0,"",SUMIFS('Fund History'!$H$44:$H$48,'Fund History'!$G$44:$G$48,"&gt;="&amp;DATE(YEAR_Y-1,1,1),'Fund History'!$G$44:$G$48,"&lt;="&amp;DATE(YEAR_Y-1,12,31))/100)))</f>
        <v/>
      </c>
      <c r="AR18" s="83">
        <f>IF($C18="","",IF(N($AQ18)+N(HSI!$I$13)=0,"",N($AQ18)+N(HSI!$I$13)/100))</f>
        <v/>
      </c>
      <c r="AS18" s="75">
        <f>IF($C18="","",IF(PULL_FUND="N","",IF(COUNTIFS('Fund History'!$D$44:$D$48,"&gt;="&amp;DATE(YEAR_Y-2,1,1),'Fund History'!$D$44:$D$48,"&lt;="&amp;DATE(YEAR_Y-2,12,31))=0,"",SUMIFS('Fund History'!$E$44:$E$48,'Fund History'!$D$44:$D$48,"&gt;="&amp;DATE(YEAR_Y-2,1,1),'Fund History'!$D$44:$D$48,"&lt;="&amp;DATE(YEAR_Y-2,12,31)))))</f>
        <v/>
      </c>
      <c r="AT18" s="76">
        <f>IF($C18="","",IF(PULL_FUND="N","",IF(COUNTIFS('Fund History'!$D$44:$D$48,"&gt;="&amp;DATE(YEAR_Y-1,1,1),'Fund History'!$D$44:$D$48,"&lt;="&amp;DATE(YEAR_Y-1,12,31))=0,"",SUMIFS('Fund History'!$E$44:$E$48,'Fund History'!$D$44:$D$48,"&gt;="&amp;DATE(YEAR_Y-1,1,1),'Fund History'!$D$44:$D$48,"&lt;="&amp;DATE(YEAR_Y-1,12,31)))))</f>
        <v/>
      </c>
      <c r="AU18" s="76">
        <f>IF($C18="","",IF(PULL_FUND="N","",IFERROR(BDP($C18,NDEBITDA_FIELD),"")))</f>
        <v/>
      </c>
      <c r="AV18" s="84">
        <f>IF($C18="","",IF(PULL_FUND="N","",IFERROR(BDP($C18,EBINT_FIELD),"")))</f>
        <v/>
      </c>
      <c r="AW18" s="82">
        <f>IF($C18="","",IF(PULL_FUND="N","",IFERROR(BDP($C18,FCF_FIELD)/100,"")))</f>
        <v/>
      </c>
      <c r="AX18" s="50">
        <f>IF($C18="","",IF(N($U18)=0,"",IFERROR($AW18/$U18,"")))</f>
        <v/>
      </c>
      <c r="AY18" s="85">
        <f>IF($C18="","",TRIM(IF(ISNUMBER($AJ18)*(N($AJ18)&gt;$D$4)&gt;0,"payout high  ","")&amp;IF(ISNUMBER($AX18)*(N($AX18)&lt;$F$4)&gt;0,"FCF below dvd  ","")&amp;IF(ISNUMBER($AU18)*(N($AU18)&gt;$H$4)&gt;0,"leverage high","")))</f>
        <v/>
      </c>
      <c r="AZ18" s="86">
        <f>IF($C18="","",IF(HSI!$F$13="HKD","",HSI!$F$13))</f>
        <v/>
      </c>
    </row>
    <row r="19">
      <c r="B19" s="66" t="inlineStr">
        <is>
          <t>HSI</t>
        </is>
      </c>
      <c r="C19" s="8">
        <f>IF(HSI!$C$14="","",HSI!$C$14)</f>
        <v/>
      </c>
      <c r="D19" s="8">
        <f>IF($C19="","",HSI!$D$14)</f>
        <v/>
      </c>
      <c r="E19" s="8">
        <f>IF($C19="","",HSI!$E$14)</f>
        <v/>
      </c>
      <c r="F19" s="67">
        <f>IF($C19="","",SUMPRODUCT(('Dvd Calendar'!$E$88:$AR$88&gt;=DATE(YEAR_Y-5,1,1))*('Dvd Calendar'!$E$88:$AR$88&lt;=DATE(YEAR_Y-5,12,31))*'Dvd Calendar'!$E$91:$AR$91*(('Dvd Calendar'!$E$93:$AR$93=TYPE1)*(TYPE1&lt;&gt;"")+('Dvd Calendar'!$E$93:$AR$93=TYPE2)*(TYPE2&lt;&gt;"")+('Dvd Calendar'!$E$93:$AR$93=TYPE3)*(TYPE3&lt;&gt;"")+('Dvd Calendar'!$E$93:$AR$93=TYPE4)*(TYPE4&lt;&gt;"")+('Dvd Calendar'!$E$93:$AR$93=SPECIAL_LBL)*(INC_SPECIALS="Y"))))</f>
        <v/>
      </c>
      <c r="G19" s="68">
        <f>IF($C19="","",SUMPRODUCT(('Dvd Calendar'!$E$88:$AR$88&gt;=DATE(YEAR_Y-4,1,1))*('Dvd Calendar'!$E$88:$AR$88&lt;=DATE(YEAR_Y-4,12,31))*'Dvd Calendar'!$E$91:$AR$91*(('Dvd Calendar'!$E$93:$AR$93=TYPE1)*(TYPE1&lt;&gt;"")+('Dvd Calendar'!$E$93:$AR$93=TYPE2)*(TYPE2&lt;&gt;"")+('Dvd Calendar'!$E$93:$AR$93=TYPE3)*(TYPE3&lt;&gt;"")+('Dvd Calendar'!$E$93:$AR$93=TYPE4)*(TYPE4&lt;&gt;"")+('Dvd Calendar'!$E$93:$AR$93=SPECIAL_LBL)*(INC_SPECIALS="Y"))))</f>
        <v/>
      </c>
      <c r="H19" s="68">
        <f>IF($C19="","",SUMPRODUCT(('Dvd Calendar'!$E$88:$AR$88&gt;=DATE(YEAR_Y-3,1,1))*('Dvd Calendar'!$E$88:$AR$88&lt;=DATE(YEAR_Y-3,12,31))*'Dvd Calendar'!$E$91:$AR$91*(('Dvd Calendar'!$E$93:$AR$93=TYPE1)*(TYPE1&lt;&gt;"")+('Dvd Calendar'!$E$93:$AR$93=TYPE2)*(TYPE2&lt;&gt;"")+('Dvd Calendar'!$E$93:$AR$93=TYPE3)*(TYPE3&lt;&gt;"")+('Dvd Calendar'!$E$93:$AR$93=TYPE4)*(TYPE4&lt;&gt;"")+('Dvd Calendar'!$E$93:$AR$93=SPECIAL_LBL)*(INC_SPECIALS="Y"))))</f>
        <v/>
      </c>
      <c r="I19" s="68">
        <f>IF($C19="","",SUMPRODUCT(('Dvd Calendar'!$E$88:$AR$88&gt;=DATE(YEAR_Y-2,1,1))*('Dvd Calendar'!$E$88:$AR$88&lt;=DATE(YEAR_Y-2,12,31))*'Dvd Calendar'!$E$91:$AR$91*(('Dvd Calendar'!$E$93:$AR$93=TYPE1)*(TYPE1&lt;&gt;"")+('Dvd Calendar'!$E$93:$AR$93=TYPE2)*(TYPE2&lt;&gt;"")+('Dvd Calendar'!$E$93:$AR$93=TYPE3)*(TYPE3&lt;&gt;"")+('Dvd Calendar'!$E$93:$AR$93=TYPE4)*(TYPE4&lt;&gt;"")+('Dvd Calendar'!$E$93:$AR$93=SPECIAL_LBL)*(INC_SPECIALS="Y"))))</f>
        <v/>
      </c>
      <c r="J19" s="68">
        <f>IF($C19="","",SUMPRODUCT(('Dvd Calendar'!$E$88:$AR$88&gt;=DATE(YEAR_Y-1,1,1))*('Dvd Calendar'!$E$88:$AR$88&lt;=DATE(YEAR_Y-1,12,31))*'Dvd Calendar'!$E$91:$AR$91*(('Dvd Calendar'!$E$93:$AR$93=TYPE1)*(TYPE1&lt;&gt;"")+('Dvd Calendar'!$E$93:$AR$93=TYPE2)*(TYPE2&lt;&gt;"")+('Dvd Calendar'!$E$93:$AR$93=TYPE3)*(TYPE3&lt;&gt;"")+('Dvd Calendar'!$E$93:$AR$93=TYPE4)*(TYPE4&lt;&gt;"")+('Dvd Calendar'!$E$93:$AR$93=SPECIAL_LBL)*(INC_SPECIALS="Y"))))</f>
        <v/>
      </c>
      <c r="K19" s="69">
        <f>IF($C19="","",HSI!$J$14)</f>
        <v/>
      </c>
      <c r="L19" s="69">
        <f>IF($C19="","",HSI!$K$14)</f>
        <v/>
      </c>
      <c r="M19" s="44">
        <f>IF($C19="","",HSI!$J$14+HSI!$L$14)</f>
        <v/>
      </c>
      <c r="N19" s="70">
        <f>IF($C19="","",IF(PULL_FUND="N","",IFERROR(BDP($C19,BESTDPS_FIELD,FWD_OVERRIDE,TEXT(MOD(YEAR_Y,100),"00")&amp;"Y"),"")))</f>
        <v/>
      </c>
      <c r="O19" s="69">
        <f>IF($C19="","",AVERAGE(F19:J19))</f>
        <v/>
      </c>
      <c r="P19" s="71">
        <f>IF($C19="","",IF(PULL_FUND="N","",IF(COUNTIFS('Fund History'!$J$50:$J$54,"&gt;="&amp;DATE(YEAR_Y-5,1,1),'Fund History'!$J$50:$J$54,"&lt;="&amp;DATE(YEAR_Y-5,12,31))=0,"",IFERROR($F19*HSI!$G$14/SUMIFS('Fund History'!$K$50:$K$54,'Fund History'!$J$50:$J$54,"&gt;="&amp;DATE(YEAR_Y-5,1,1),'Fund History'!$J$50:$J$54,"&lt;="&amp;DATE(YEAR_Y-5,12,31)),""))))</f>
        <v/>
      </c>
      <c r="Q19" s="72">
        <f>IF($C19="","",IF(PULL_FUND="N","",IF(COUNTIFS('Fund History'!$J$50:$J$54,"&gt;="&amp;DATE(YEAR_Y-4,1,1),'Fund History'!$J$50:$J$54,"&lt;="&amp;DATE(YEAR_Y-4,12,31))=0,"",IFERROR($G19*HSI!$G$14/SUMIFS('Fund History'!$K$50:$K$54,'Fund History'!$J$50:$J$54,"&gt;="&amp;DATE(YEAR_Y-4,1,1),'Fund History'!$J$50:$J$54,"&lt;="&amp;DATE(YEAR_Y-4,12,31)),""))))</f>
        <v/>
      </c>
      <c r="R19" s="72">
        <f>IF($C19="","",IF(PULL_FUND="N","",IF(COUNTIFS('Fund History'!$J$50:$J$54,"&gt;="&amp;DATE(YEAR_Y-3,1,1),'Fund History'!$J$50:$J$54,"&lt;="&amp;DATE(YEAR_Y-3,12,31))=0,"",IFERROR($H19*HSI!$G$14/SUMIFS('Fund History'!$K$50:$K$54,'Fund History'!$J$50:$J$54,"&gt;="&amp;DATE(YEAR_Y-3,1,1),'Fund History'!$J$50:$J$54,"&lt;="&amp;DATE(YEAR_Y-3,12,31)),""))))</f>
        <v/>
      </c>
      <c r="S19" s="72">
        <f>IF($C19="","",IF(PULL_FUND="N","",IF(COUNTIFS('Fund History'!$J$50:$J$54,"&gt;="&amp;DATE(YEAR_Y-2,1,1),'Fund History'!$J$50:$J$54,"&lt;="&amp;DATE(YEAR_Y-2,12,31))=0,"",IFERROR($I19*HSI!$G$14/SUMIFS('Fund History'!$K$50:$K$54,'Fund History'!$J$50:$J$54,"&gt;="&amp;DATE(YEAR_Y-2,1,1),'Fund History'!$J$50:$J$54,"&lt;="&amp;DATE(YEAR_Y-2,12,31)),""))))</f>
        <v/>
      </c>
      <c r="T19" s="72">
        <f>IF($C19="","",IF(PULL_FUND="N","",IF(COUNTIFS('Fund History'!$J$50:$J$54,"&gt;="&amp;DATE(YEAR_Y-1,1,1),'Fund History'!$J$50:$J$54,"&lt;="&amp;DATE(YEAR_Y-1,12,31))=0,"",IFERROR($J19*HSI!$G$14/SUMIFS('Fund History'!$K$50:$K$54,'Fund History'!$J$50:$J$54,"&gt;="&amp;DATE(YEAR_Y-1,1,1),'Fund History'!$J$50:$J$54,"&lt;="&amp;DATE(YEAR_Y-1,12,31)),""))))</f>
        <v/>
      </c>
      <c r="U19" s="73">
        <f>IF($C19="","",IF(ISNUMBER(HSI!$I$14),HSI!$I$14/100,""))</f>
        <v/>
      </c>
      <c r="V19" s="74">
        <f>IF($C19="","",IF(ISNUMBER(HSI!$X$14),IFERROR($M19*HSI!$G$14/HSI!$X$14,""),""))</f>
        <v/>
      </c>
      <c r="W19" s="73">
        <f>IF($C19="","",IF(ISNUMBER($N19),IFERROR($N19*HSI!$G$14/HSI!$X$14,""),""))</f>
        <v/>
      </c>
      <c r="X19" s="75">
        <f>IF($C19="","",IF(PULL_FUND="N","",IFERROR(BDP($C19,EPS_FIELD,YR_OVERRIDE,TEXT(YEAR_Y-5,"0")),"")))</f>
        <v/>
      </c>
      <c r="Y19" s="76">
        <f>IF($C19="","",IF(PULL_FUND="N","",IFERROR(BDP($C19,EPS_FIELD,YR_OVERRIDE,TEXT(YEAR_Y-4,"0")),"")))</f>
        <v/>
      </c>
      <c r="Z19" s="76">
        <f>IF($C19="","",IF(PULL_FUND="N","",IFERROR(BDP($C19,EPS_FIELD,YR_OVERRIDE,TEXT(YEAR_Y-3,"0")),"")))</f>
        <v/>
      </c>
      <c r="AA19" s="76">
        <f>IF($C19="","",IF(PULL_FUND="N","",IFERROR(BDP($C19,EPS_FIELD,YR_OVERRIDE,TEXT(YEAR_Y-2,"0")),"")))</f>
        <v/>
      </c>
      <c r="AB19" s="76">
        <f>IF($C19="","",IF(PULL_FUND="N","",IFERROR(BDP($C19,EPS_FIELD,YR_OVERRIDE,TEXT(YEAR_Y-1,"0")),"")))</f>
        <v/>
      </c>
      <c r="AC19" s="50">
        <f>IF($C19="","",IFERROR(AVERAGE(X19:AB19),""))</f>
        <v/>
      </c>
      <c r="AD19" s="76">
        <f>IF($C19="","",IF(PULL_FUND="N","",IFERROR(BDP($C19,BESTEPS_FIELD,FWD_OVERRIDE,TEXT(MOD(YEAR_Y,100),"00")&amp;"Y"),"")))</f>
        <v/>
      </c>
      <c r="AE19" s="77">
        <f>IF($C19="","",IF(PULL_FUND="N","",IFERROR(BDP($C19,PAYOUT_FIELD,YR_OVERRIDE,TEXT(YEAR_Y-5,"0"))/100,"")))</f>
        <v/>
      </c>
      <c r="AF19" s="78">
        <f>IF($C19="","",IF(PULL_FUND="N","",IFERROR(BDP($C19,PAYOUT_FIELD,YR_OVERRIDE,TEXT(YEAR_Y-4,"0"))/100,"")))</f>
        <v/>
      </c>
      <c r="AG19" s="78">
        <f>IF($C19="","",IF(PULL_FUND="N","",IFERROR(BDP($C19,PAYOUT_FIELD,YR_OVERRIDE,TEXT(YEAR_Y-3,"0"))/100,"")))</f>
        <v/>
      </c>
      <c r="AH19" s="78">
        <f>IF($C19="","",IF(PULL_FUND="N","",IFERROR(BDP($C19,PAYOUT_FIELD,YR_OVERRIDE,TEXT(YEAR_Y-2,"0"))/100,"")))</f>
        <v/>
      </c>
      <c r="AI19" s="78">
        <f>IF($C19="","",IF(PULL_FUND="N","",IFERROR(BDP($C19,PAYOUT_FIELD,YR_OVERRIDE,TEXT(YEAR_Y-1,"0"))/100,"")))</f>
        <v/>
      </c>
      <c r="AJ19" s="79">
        <f>IF($C19="","",IFERROR(AVERAGE(AE19:AI19),""))</f>
        <v/>
      </c>
      <c r="AK19" s="80">
        <f>IF($C19="","",IF(ISNUMBER($AD19)*ISNUMBER($N19)*($AD19&lt;&gt;0)=0,"",$N19/$AD19))</f>
        <v/>
      </c>
      <c r="AL19" s="79">
        <f>IF($C19="","",IF(ISNUMBER($AD19)*($AD19&lt;&gt;0)=0,"",$M19/$AD19))</f>
        <v/>
      </c>
      <c r="AM19" s="37">
        <f>IF($C19="","",IF(ISNUMBER($AE19)*ISNUMBER($AI19)=0,"",IF($AI19&gt;$AE19+0.05,"rising",IF($AI19&lt;$AE19-0.05,"falling","stable"))))</f>
        <v/>
      </c>
      <c r="AN19" s="81">
        <f>IF($C19="","",IF(PULL_FUND="N","",IF(COUNTIFS('Fund History'!$G$50:$G$54,"&gt;="&amp;DATE(YEAR_Y-4,1,1),'Fund History'!$G$50:$G$54,"&lt;="&amp;DATE(YEAR_Y-4,12,31))=0,"",SUMIFS('Fund History'!$H$50:$H$54,'Fund History'!$G$50:$G$54,"&gt;="&amp;DATE(YEAR_Y-4,1,1),'Fund History'!$G$50:$G$54,"&lt;="&amp;DATE(YEAR_Y-4,12,31))/100)))</f>
        <v/>
      </c>
      <c r="AO19" s="82">
        <f>IF($C19="","",IF(PULL_FUND="N","",IF(COUNTIFS('Fund History'!$G$50:$G$54,"&gt;="&amp;DATE(YEAR_Y-3,1,1),'Fund History'!$G$50:$G$54,"&lt;="&amp;DATE(YEAR_Y-3,12,31))=0,"",SUMIFS('Fund History'!$H$50:$H$54,'Fund History'!$G$50:$G$54,"&gt;="&amp;DATE(YEAR_Y-3,1,1),'Fund History'!$G$50:$G$54,"&lt;="&amp;DATE(YEAR_Y-3,12,31))/100)))</f>
        <v/>
      </c>
      <c r="AP19" s="82">
        <f>IF($C19="","",IF(PULL_FUND="N","",IF(COUNTIFS('Fund History'!$G$50:$G$54,"&gt;="&amp;DATE(YEAR_Y-2,1,1),'Fund History'!$G$50:$G$54,"&lt;="&amp;DATE(YEAR_Y-2,12,31))=0,"",SUMIFS('Fund History'!$H$50:$H$54,'Fund History'!$G$50:$G$54,"&gt;="&amp;DATE(YEAR_Y-2,1,1),'Fund History'!$G$50:$G$54,"&lt;="&amp;DATE(YEAR_Y-2,12,31))/100)))</f>
        <v/>
      </c>
      <c r="AQ19" s="82">
        <f>IF($C19="","",IF(PULL_FUND="N","",IF(COUNTIFS('Fund History'!$G$50:$G$54,"&gt;="&amp;DATE(YEAR_Y-1,1,1),'Fund History'!$G$50:$G$54,"&lt;="&amp;DATE(YEAR_Y-1,12,31))=0,"",SUMIFS('Fund History'!$H$50:$H$54,'Fund History'!$G$50:$G$54,"&gt;="&amp;DATE(YEAR_Y-1,1,1),'Fund History'!$G$50:$G$54,"&lt;="&amp;DATE(YEAR_Y-1,12,31))/100)))</f>
        <v/>
      </c>
      <c r="AR19" s="83">
        <f>IF($C19="","",IF(N($AQ19)+N(HSI!$I$14)=0,"",N($AQ19)+N(HSI!$I$14)/100))</f>
        <v/>
      </c>
      <c r="AS19" s="75">
        <f>IF($C19="","",IF(PULL_FUND="N","",IF(COUNTIFS('Fund History'!$D$50:$D$54,"&gt;="&amp;DATE(YEAR_Y-2,1,1),'Fund History'!$D$50:$D$54,"&lt;="&amp;DATE(YEAR_Y-2,12,31))=0,"",SUMIFS('Fund History'!$E$50:$E$54,'Fund History'!$D$50:$D$54,"&gt;="&amp;DATE(YEAR_Y-2,1,1),'Fund History'!$D$50:$D$54,"&lt;="&amp;DATE(YEAR_Y-2,12,31)))))</f>
        <v/>
      </c>
      <c r="AT19" s="76">
        <f>IF($C19="","",IF(PULL_FUND="N","",IF(COUNTIFS('Fund History'!$D$50:$D$54,"&gt;="&amp;DATE(YEAR_Y-1,1,1),'Fund History'!$D$50:$D$54,"&lt;="&amp;DATE(YEAR_Y-1,12,31))=0,"",SUMIFS('Fund History'!$E$50:$E$54,'Fund History'!$D$50:$D$54,"&gt;="&amp;DATE(YEAR_Y-1,1,1),'Fund History'!$D$50:$D$54,"&lt;="&amp;DATE(YEAR_Y-1,12,31)))))</f>
        <v/>
      </c>
      <c r="AU19" s="76">
        <f>IF($C19="","",IF(PULL_FUND="N","",IFERROR(BDP($C19,NDEBITDA_FIELD),"")))</f>
        <v/>
      </c>
      <c r="AV19" s="84">
        <f>IF($C19="","",IF(PULL_FUND="N","",IFERROR(BDP($C19,EBINT_FIELD),"")))</f>
        <v/>
      </c>
      <c r="AW19" s="82">
        <f>IF($C19="","",IF(PULL_FUND="N","",IFERROR(BDP($C19,FCF_FIELD)/100,"")))</f>
        <v/>
      </c>
      <c r="AX19" s="50">
        <f>IF($C19="","",IF(N($U19)=0,"",IFERROR($AW19/$U19,"")))</f>
        <v/>
      </c>
      <c r="AY19" s="85">
        <f>IF($C19="","",TRIM(IF(ISNUMBER($AJ19)*(N($AJ19)&gt;$D$4)&gt;0,"payout high  ","")&amp;IF(ISNUMBER($AX19)*(N($AX19)&lt;$F$4)&gt;0,"FCF below dvd  ","")&amp;IF(ISNUMBER($AU19)*(N($AU19)&gt;$H$4)&gt;0,"leverage high","")))</f>
        <v/>
      </c>
      <c r="AZ19" s="86">
        <f>IF($C19="","",IF(HSI!$F$14="HKD","",HSI!$F$14))</f>
        <v/>
      </c>
    </row>
    <row r="20">
      <c r="B20" s="66" t="inlineStr">
        <is>
          <t>HSI</t>
        </is>
      </c>
      <c r="C20" s="8">
        <f>IF(HSI!$C$15="","",HSI!$C$15)</f>
        <v/>
      </c>
      <c r="D20" s="8">
        <f>IF($C20="","",HSI!$D$15)</f>
        <v/>
      </c>
      <c r="E20" s="8">
        <f>IF($C20="","",HSI!$E$15)</f>
        <v/>
      </c>
      <c r="F20" s="67">
        <f>IF($C20="","",SUMPRODUCT(('Dvd Calendar'!$E$99:$AR$99&gt;=DATE(YEAR_Y-5,1,1))*('Dvd Calendar'!$E$99:$AR$99&lt;=DATE(YEAR_Y-5,12,31))*'Dvd Calendar'!$E$102:$AR$102*(('Dvd Calendar'!$E$104:$AR$104=TYPE1)*(TYPE1&lt;&gt;"")+('Dvd Calendar'!$E$104:$AR$104=TYPE2)*(TYPE2&lt;&gt;"")+('Dvd Calendar'!$E$104:$AR$104=TYPE3)*(TYPE3&lt;&gt;"")+('Dvd Calendar'!$E$104:$AR$104=TYPE4)*(TYPE4&lt;&gt;"")+('Dvd Calendar'!$E$104:$AR$104=SPECIAL_LBL)*(INC_SPECIALS="Y"))))</f>
        <v/>
      </c>
      <c r="G20" s="68">
        <f>IF($C20="","",SUMPRODUCT(('Dvd Calendar'!$E$99:$AR$99&gt;=DATE(YEAR_Y-4,1,1))*('Dvd Calendar'!$E$99:$AR$99&lt;=DATE(YEAR_Y-4,12,31))*'Dvd Calendar'!$E$102:$AR$102*(('Dvd Calendar'!$E$104:$AR$104=TYPE1)*(TYPE1&lt;&gt;"")+('Dvd Calendar'!$E$104:$AR$104=TYPE2)*(TYPE2&lt;&gt;"")+('Dvd Calendar'!$E$104:$AR$104=TYPE3)*(TYPE3&lt;&gt;"")+('Dvd Calendar'!$E$104:$AR$104=TYPE4)*(TYPE4&lt;&gt;"")+('Dvd Calendar'!$E$104:$AR$104=SPECIAL_LBL)*(INC_SPECIALS="Y"))))</f>
        <v/>
      </c>
      <c r="H20" s="68">
        <f>IF($C20="","",SUMPRODUCT(('Dvd Calendar'!$E$99:$AR$99&gt;=DATE(YEAR_Y-3,1,1))*('Dvd Calendar'!$E$99:$AR$99&lt;=DATE(YEAR_Y-3,12,31))*'Dvd Calendar'!$E$102:$AR$102*(('Dvd Calendar'!$E$104:$AR$104=TYPE1)*(TYPE1&lt;&gt;"")+('Dvd Calendar'!$E$104:$AR$104=TYPE2)*(TYPE2&lt;&gt;"")+('Dvd Calendar'!$E$104:$AR$104=TYPE3)*(TYPE3&lt;&gt;"")+('Dvd Calendar'!$E$104:$AR$104=TYPE4)*(TYPE4&lt;&gt;"")+('Dvd Calendar'!$E$104:$AR$104=SPECIAL_LBL)*(INC_SPECIALS="Y"))))</f>
        <v/>
      </c>
      <c r="I20" s="68">
        <f>IF($C20="","",SUMPRODUCT(('Dvd Calendar'!$E$99:$AR$99&gt;=DATE(YEAR_Y-2,1,1))*('Dvd Calendar'!$E$99:$AR$99&lt;=DATE(YEAR_Y-2,12,31))*'Dvd Calendar'!$E$102:$AR$102*(('Dvd Calendar'!$E$104:$AR$104=TYPE1)*(TYPE1&lt;&gt;"")+('Dvd Calendar'!$E$104:$AR$104=TYPE2)*(TYPE2&lt;&gt;"")+('Dvd Calendar'!$E$104:$AR$104=TYPE3)*(TYPE3&lt;&gt;"")+('Dvd Calendar'!$E$104:$AR$104=TYPE4)*(TYPE4&lt;&gt;"")+('Dvd Calendar'!$E$104:$AR$104=SPECIAL_LBL)*(INC_SPECIALS="Y"))))</f>
        <v/>
      </c>
      <c r="J20" s="68">
        <f>IF($C20="","",SUMPRODUCT(('Dvd Calendar'!$E$99:$AR$99&gt;=DATE(YEAR_Y-1,1,1))*('Dvd Calendar'!$E$99:$AR$99&lt;=DATE(YEAR_Y-1,12,31))*'Dvd Calendar'!$E$102:$AR$102*(('Dvd Calendar'!$E$104:$AR$104=TYPE1)*(TYPE1&lt;&gt;"")+('Dvd Calendar'!$E$104:$AR$104=TYPE2)*(TYPE2&lt;&gt;"")+('Dvd Calendar'!$E$104:$AR$104=TYPE3)*(TYPE3&lt;&gt;"")+('Dvd Calendar'!$E$104:$AR$104=TYPE4)*(TYPE4&lt;&gt;"")+('Dvd Calendar'!$E$104:$AR$104=SPECIAL_LBL)*(INC_SPECIALS="Y"))))</f>
        <v/>
      </c>
      <c r="K20" s="69">
        <f>IF($C20="","",HSI!$J$15)</f>
        <v/>
      </c>
      <c r="L20" s="69">
        <f>IF($C20="","",HSI!$K$15)</f>
        <v/>
      </c>
      <c r="M20" s="44">
        <f>IF($C20="","",HSI!$J$15+HSI!$L$15)</f>
        <v/>
      </c>
      <c r="N20" s="70">
        <f>IF($C20="","",IF(PULL_FUND="N","",IFERROR(BDP($C20,BESTDPS_FIELD,FWD_OVERRIDE,TEXT(MOD(YEAR_Y,100),"00")&amp;"Y"),"")))</f>
        <v/>
      </c>
      <c r="O20" s="69">
        <f>IF($C20="","",AVERAGE(F20:J20))</f>
        <v/>
      </c>
      <c r="P20" s="71">
        <f>IF($C20="","",IF(PULL_FUND="N","",IF(COUNTIFS('Fund History'!$J$56:$J$60,"&gt;="&amp;DATE(YEAR_Y-5,1,1),'Fund History'!$J$56:$J$60,"&lt;="&amp;DATE(YEAR_Y-5,12,31))=0,"",IFERROR($F20*HSI!$G$15/SUMIFS('Fund History'!$K$56:$K$60,'Fund History'!$J$56:$J$60,"&gt;="&amp;DATE(YEAR_Y-5,1,1),'Fund History'!$J$56:$J$60,"&lt;="&amp;DATE(YEAR_Y-5,12,31)),""))))</f>
        <v/>
      </c>
      <c r="Q20" s="72">
        <f>IF($C20="","",IF(PULL_FUND="N","",IF(COUNTIFS('Fund History'!$J$56:$J$60,"&gt;="&amp;DATE(YEAR_Y-4,1,1),'Fund History'!$J$56:$J$60,"&lt;="&amp;DATE(YEAR_Y-4,12,31))=0,"",IFERROR($G20*HSI!$G$15/SUMIFS('Fund History'!$K$56:$K$60,'Fund History'!$J$56:$J$60,"&gt;="&amp;DATE(YEAR_Y-4,1,1),'Fund History'!$J$56:$J$60,"&lt;="&amp;DATE(YEAR_Y-4,12,31)),""))))</f>
        <v/>
      </c>
      <c r="R20" s="72">
        <f>IF($C20="","",IF(PULL_FUND="N","",IF(COUNTIFS('Fund History'!$J$56:$J$60,"&gt;="&amp;DATE(YEAR_Y-3,1,1),'Fund History'!$J$56:$J$60,"&lt;="&amp;DATE(YEAR_Y-3,12,31))=0,"",IFERROR($H20*HSI!$G$15/SUMIFS('Fund History'!$K$56:$K$60,'Fund History'!$J$56:$J$60,"&gt;="&amp;DATE(YEAR_Y-3,1,1),'Fund History'!$J$56:$J$60,"&lt;="&amp;DATE(YEAR_Y-3,12,31)),""))))</f>
        <v/>
      </c>
      <c r="S20" s="72">
        <f>IF($C20="","",IF(PULL_FUND="N","",IF(COUNTIFS('Fund History'!$J$56:$J$60,"&gt;="&amp;DATE(YEAR_Y-2,1,1),'Fund History'!$J$56:$J$60,"&lt;="&amp;DATE(YEAR_Y-2,12,31))=0,"",IFERROR($I20*HSI!$G$15/SUMIFS('Fund History'!$K$56:$K$60,'Fund History'!$J$56:$J$60,"&gt;="&amp;DATE(YEAR_Y-2,1,1),'Fund History'!$J$56:$J$60,"&lt;="&amp;DATE(YEAR_Y-2,12,31)),""))))</f>
        <v/>
      </c>
      <c r="T20" s="72">
        <f>IF($C20="","",IF(PULL_FUND="N","",IF(COUNTIFS('Fund History'!$J$56:$J$60,"&gt;="&amp;DATE(YEAR_Y-1,1,1),'Fund History'!$J$56:$J$60,"&lt;="&amp;DATE(YEAR_Y-1,12,31))=0,"",IFERROR($J20*HSI!$G$15/SUMIFS('Fund History'!$K$56:$K$60,'Fund History'!$J$56:$J$60,"&gt;="&amp;DATE(YEAR_Y-1,1,1),'Fund History'!$J$56:$J$60,"&lt;="&amp;DATE(YEAR_Y-1,12,31)),""))))</f>
        <v/>
      </c>
      <c r="U20" s="73">
        <f>IF($C20="","",IF(ISNUMBER(HSI!$I$15),HSI!$I$15/100,""))</f>
        <v/>
      </c>
      <c r="V20" s="74">
        <f>IF($C20="","",IF(ISNUMBER(HSI!$X$15),IFERROR($M20*HSI!$G$15/HSI!$X$15,""),""))</f>
        <v/>
      </c>
      <c r="W20" s="73">
        <f>IF($C20="","",IF(ISNUMBER($N20),IFERROR($N20*HSI!$G$15/HSI!$X$15,""),""))</f>
        <v/>
      </c>
      <c r="X20" s="75">
        <f>IF($C20="","",IF(PULL_FUND="N","",IFERROR(BDP($C20,EPS_FIELD,YR_OVERRIDE,TEXT(YEAR_Y-5,"0")),"")))</f>
        <v/>
      </c>
      <c r="Y20" s="76">
        <f>IF($C20="","",IF(PULL_FUND="N","",IFERROR(BDP($C20,EPS_FIELD,YR_OVERRIDE,TEXT(YEAR_Y-4,"0")),"")))</f>
        <v/>
      </c>
      <c r="Z20" s="76">
        <f>IF($C20="","",IF(PULL_FUND="N","",IFERROR(BDP($C20,EPS_FIELD,YR_OVERRIDE,TEXT(YEAR_Y-3,"0")),"")))</f>
        <v/>
      </c>
      <c r="AA20" s="76">
        <f>IF($C20="","",IF(PULL_FUND="N","",IFERROR(BDP($C20,EPS_FIELD,YR_OVERRIDE,TEXT(YEAR_Y-2,"0")),"")))</f>
        <v/>
      </c>
      <c r="AB20" s="76">
        <f>IF($C20="","",IF(PULL_FUND="N","",IFERROR(BDP($C20,EPS_FIELD,YR_OVERRIDE,TEXT(YEAR_Y-1,"0")),"")))</f>
        <v/>
      </c>
      <c r="AC20" s="50">
        <f>IF($C20="","",IFERROR(AVERAGE(X20:AB20),""))</f>
        <v/>
      </c>
      <c r="AD20" s="76">
        <f>IF($C20="","",IF(PULL_FUND="N","",IFERROR(BDP($C20,BESTEPS_FIELD,FWD_OVERRIDE,TEXT(MOD(YEAR_Y,100),"00")&amp;"Y"),"")))</f>
        <v/>
      </c>
      <c r="AE20" s="77">
        <f>IF($C20="","",IF(PULL_FUND="N","",IFERROR(BDP($C20,PAYOUT_FIELD,YR_OVERRIDE,TEXT(YEAR_Y-5,"0"))/100,"")))</f>
        <v/>
      </c>
      <c r="AF20" s="78">
        <f>IF($C20="","",IF(PULL_FUND="N","",IFERROR(BDP($C20,PAYOUT_FIELD,YR_OVERRIDE,TEXT(YEAR_Y-4,"0"))/100,"")))</f>
        <v/>
      </c>
      <c r="AG20" s="78">
        <f>IF($C20="","",IF(PULL_FUND="N","",IFERROR(BDP($C20,PAYOUT_FIELD,YR_OVERRIDE,TEXT(YEAR_Y-3,"0"))/100,"")))</f>
        <v/>
      </c>
      <c r="AH20" s="78">
        <f>IF($C20="","",IF(PULL_FUND="N","",IFERROR(BDP($C20,PAYOUT_FIELD,YR_OVERRIDE,TEXT(YEAR_Y-2,"0"))/100,"")))</f>
        <v/>
      </c>
      <c r="AI20" s="78">
        <f>IF($C20="","",IF(PULL_FUND="N","",IFERROR(BDP($C20,PAYOUT_FIELD,YR_OVERRIDE,TEXT(YEAR_Y-1,"0"))/100,"")))</f>
        <v/>
      </c>
      <c r="AJ20" s="79">
        <f>IF($C20="","",IFERROR(AVERAGE(AE20:AI20),""))</f>
        <v/>
      </c>
      <c r="AK20" s="80">
        <f>IF($C20="","",IF(ISNUMBER($AD20)*ISNUMBER($N20)*($AD20&lt;&gt;0)=0,"",$N20/$AD20))</f>
        <v/>
      </c>
      <c r="AL20" s="79">
        <f>IF($C20="","",IF(ISNUMBER($AD20)*($AD20&lt;&gt;0)=0,"",$M20/$AD20))</f>
        <v/>
      </c>
      <c r="AM20" s="37">
        <f>IF($C20="","",IF(ISNUMBER($AE20)*ISNUMBER($AI20)=0,"",IF($AI20&gt;$AE20+0.05,"rising",IF($AI20&lt;$AE20-0.05,"falling","stable"))))</f>
        <v/>
      </c>
      <c r="AN20" s="81">
        <f>IF($C20="","",IF(PULL_FUND="N","",IF(COUNTIFS('Fund History'!$G$56:$G$60,"&gt;="&amp;DATE(YEAR_Y-4,1,1),'Fund History'!$G$56:$G$60,"&lt;="&amp;DATE(YEAR_Y-4,12,31))=0,"",SUMIFS('Fund History'!$H$56:$H$60,'Fund History'!$G$56:$G$60,"&gt;="&amp;DATE(YEAR_Y-4,1,1),'Fund History'!$G$56:$G$60,"&lt;="&amp;DATE(YEAR_Y-4,12,31))/100)))</f>
        <v/>
      </c>
      <c r="AO20" s="82">
        <f>IF($C20="","",IF(PULL_FUND="N","",IF(COUNTIFS('Fund History'!$G$56:$G$60,"&gt;="&amp;DATE(YEAR_Y-3,1,1),'Fund History'!$G$56:$G$60,"&lt;="&amp;DATE(YEAR_Y-3,12,31))=0,"",SUMIFS('Fund History'!$H$56:$H$60,'Fund History'!$G$56:$G$60,"&gt;="&amp;DATE(YEAR_Y-3,1,1),'Fund History'!$G$56:$G$60,"&lt;="&amp;DATE(YEAR_Y-3,12,31))/100)))</f>
        <v/>
      </c>
      <c r="AP20" s="82">
        <f>IF($C20="","",IF(PULL_FUND="N","",IF(COUNTIFS('Fund History'!$G$56:$G$60,"&gt;="&amp;DATE(YEAR_Y-2,1,1),'Fund History'!$G$56:$G$60,"&lt;="&amp;DATE(YEAR_Y-2,12,31))=0,"",SUMIFS('Fund History'!$H$56:$H$60,'Fund History'!$G$56:$G$60,"&gt;="&amp;DATE(YEAR_Y-2,1,1),'Fund History'!$G$56:$G$60,"&lt;="&amp;DATE(YEAR_Y-2,12,31))/100)))</f>
        <v/>
      </c>
      <c r="AQ20" s="82">
        <f>IF($C20="","",IF(PULL_FUND="N","",IF(COUNTIFS('Fund History'!$G$56:$G$60,"&gt;="&amp;DATE(YEAR_Y-1,1,1),'Fund History'!$G$56:$G$60,"&lt;="&amp;DATE(YEAR_Y-1,12,31))=0,"",SUMIFS('Fund History'!$H$56:$H$60,'Fund History'!$G$56:$G$60,"&gt;="&amp;DATE(YEAR_Y-1,1,1),'Fund History'!$G$56:$G$60,"&lt;="&amp;DATE(YEAR_Y-1,12,31))/100)))</f>
        <v/>
      </c>
      <c r="AR20" s="83">
        <f>IF($C20="","",IF(N($AQ20)+N(HSI!$I$15)=0,"",N($AQ20)+N(HSI!$I$15)/100))</f>
        <v/>
      </c>
      <c r="AS20" s="75">
        <f>IF($C20="","",IF(PULL_FUND="N","",IF(COUNTIFS('Fund History'!$D$56:$D$60,"&gt;="&amp;DATE(YEAR_Y-2,1,1),'Fund History'!$D$56:$D$60,"&lt;="&amp;DATE(YEAR_Y-2,12,31))=0,"",SUMIFS('Fund History'!$E$56:$E$60,'Fund History'!$D$56:$D$60,"&gt;="&amp;DATE(YEAR_Y-2,1,1),'Fund History'!$D$56:$D$60,"&lt;="&amp;DATE(YEAR_Y-2,12,31)))))</f>
        <v/>
      </c>
      <c r="AT20" s="76">
        <f>IF($C20="","",IF(PULL_FUND="N","",IF(COUNTIFS('Fund History'!$D$56:$D$60,"&gt;="&amp;DATE(YEAR_Y-1,1,1),'Fund History'!$D$56:$D$60,"&lt;="&amp;DATE(YEAR_Y-1,12,31))=0,"",SUMIFS('Fund History'!$E$56:$E$60,'Fund History'!$D$56:$D$60,"&gt;="&amp;DATE(YEAR_Y-1,1,1),'Fund History'!$D$56:$D$60,"&lt;="&amp;DATE(YEAR_Y-1,12,31)))))</f>
        <v/>
      </c>
      <c r="AU20" s="76">
        <f>IF($C20="","",IF(PULL_FUND="N","",IFERROR(BDP($C20,NDEBITDA_FIELD),"")))</f>
        <v/>
      </c>
      <c r="AV20" s="84">
        <f>IF($C20="","",IF(PULL_FUND="N","",IFERROR(BDP($C20,EBINT_FIELD),"")))</f>
        <v/>
      </c>
      <c r="AW20" s="82">
        <f>IF($C20="","",IF(PULL_FUND="N","",IFERROR(BDP($C20,FCF_FIELD)/100,"")))</f>
        <v/>
      </c>
      <c r="AX20" s="50">
        <f>IF($C20="","",IF(N($U20)=0,"",IFERROR($AW20/$U20,"")))</f>
        <v/>
      </c>
      <c r="AY20" s="85">
        <f>IF($C20="","",TRIM(IF(ISNUMBER($AJ20)*(N($AJ20)&gt;$D$4)&gt;0,"payout high  ","")&amp;IF(ISNUMBER($AX20)*(N($AX20)&lt;$F$4)&gt;0,"FCF below dvd  ","")&amp;IF(ISNUMBER($AU20)*(N($AU20)&gt;$H$4)&gt;0,"leverage high","")))</f>
        <v/>
      </c>
      <c r="AZ20" s="86">
        <f>IF($C20="","",IF(HSI!$F$15="HKD","",HSI!$F$15))</f>
        <v/>
      </c>
    </row>
    <row r="21">
      <c r="B21" s="66" t="inlineStr">
        <is>
          <t>HSI</t>
        </is>
      </c>
      <c r="C21" s="8">
        <f>IF(HSI!$C$16="","",HSI!$C$16)</f>
        <v/>
      </c>
      <c r="D21" s="8">
        <f>IF($C21="","",HSI!$D$16)</f>
        <v/>
      </c>
      <c r="E21" s="8">
        <f>IF($C21="","",HSI!$E$16)</f>
        <v/>
      </c>
      <c r="F21" s="67">
        <f>IF($C21="","",SUMPRODUCT(('Dvd Calendar'!$E$110:$AR$110&gt;=DATE(YEAR_Y-5,1,1))*('Dvd Calendar'!$E$110:$AR$110&lt;=DATE(YEAR_Y-5,12,31))*'Dvd Calendar'!$E$113:$AR$113*(('Dvd Calendar'!$E$115:$AR$115=TYPE1)*(TYPE1&lt;&gt;"")+('Dvd Calendar'!$E$115:$AR$115=TYPE2)*(TYPE2&lt;&gt;"")+('Dvd Calendar'!$E$115:$AR$115=TYPE3)*(TYPE3&lt;&gt;"")+('Dvd Calendar'!$E$115:$AR$115=TYPE4)*(TYPE4&lt;&gt;"")+('Dvd Calendar'!$E$115:$AR$115=SPECIAL_LBL)*(INC_SPECIALS="Y"))))</f>
        <v/>
      </c>
      <c r="G21" s="68">
        <f>IF($C21="","",SUMPRODUCT(('Dvd Calendar'!$E$110:$AR$110&gt;=DATE(YEAR_Y-4,1,1))*('Dvd Calendar'!$E$110:$AR$110&lt;=DATE(YEAR_Y-4,12,31))*'Dvd Calendar'!$E$113:$AR$113*(('Dvd Calendar'!$E$115:$AR$115=TYPE1)*(TYPE1&lt;&gt;"")+('Dvd Calendar'!$E$115:$AR$115=TYPE2)*(TYPE2&lt;&gt;"")+('Dvd Calendar'!$E$115:$AR$115=TYPE3)*(TYPE3&lt;&gt;"")+('Dvd Calendar'!$E$115:$AR$115=TYPE4)*(TYPE4&lt;&gt;"")+('Dvd Calendar'!$E$115:$AR$115=SPECIAL_LBL)*(INC_SPECIALS="Y"))))</f>
        <v/>
      </c>
      <c r="H21" s="68">
        <f>IF($C21="","",SUMPRODUCT(('Dvd Calendar'!$E$110:$AR$110&gt;=DATE(YEAR_Y-3,1,1))*('Dvd Calendar'!$E$110:$AR$110&lt;=DATE(YEAR_Y-3,12,31))*'Dvd Calendar'!$E$113:$AR$113*(('Dvd Calendar'!$E$115:$AR$115=TYPE1)*(TYPE1&lt;&gt;"")+('Dvd Calendar'!$E$115:$AR$115=TYPE2)*(TYPE2&lt;&gt;"")+('Dvd Calendar'!$E$115:$AR$115=TYPE3)*(TYPE3&lt;&gt;"")+('Dvd Calendar'!$E$115:$AR$115=TYPE4)*(TYPE4&lt;&gt;"")+('Dvd Calendar'!$E$115:$AR$115=SPECIAL_LBL)*(INC_SPECIALS="Y"))))</f>
        <v/>
      </c>
      <c r="I21" s="68">
        <f>IF($C21="","",SUMPRODUCT(('Dvd Calendar'!$E$110:$AR$110&gt;=DATE(YEAR_Y-2,1,1))*('Dvd Calendar'!$E$110:$AR$110&lt;=DATE(YEAR_Y-2,12,31))*'Dvd Calendar'!$E$113:$AR$113*(('Dvd Calendar'!$E$115:$AR$115=TYPE1)*(TYPE1&lt;&gt;"")+('Dvd Calendar'!$E$115:$AR$115=TYPE2)*(TYPE2&lt;&gt;"")+('Dvd Calendar'!$E$115:$AR$115=TYPE3)*(TYPE3&lt;&gt;"")+('Dvd Calendar'!$E$115:$AR$115=TYPE4)*(TYPE4&lt;&gt;"")+('Dvd Calendar'!$E$115:$AR$115=SPECIAL_LBL)*(INC_SPECIALS="Y"))))</f>
        <v/>
      </c>
      <c r="J21" s="68">
        <f>IF($C21="","",SUMPRODUCT(('Dvd Calendar'!$E$110:$AR$110&gt;=DATE(YEAR_Y-1,1,1))*('Dvd Calendar'!$E$110:$AR$110&lt;=DATE(YEAR_Y-1,12,31))*'Dvd Calendar'!$E$113:$AR$113*(('Dvd Calendar'!$E$115:$AR$115=TYPE1)*(TYPE1&lt;&gt;"")+('Dvd Calendar'!$E$115:$AR$115=TYPE2)*(TYPE2&lt;&gt;"")+('Dvd Calendar'!$E$115:$AR$115=TYPE3)*(TYPE3&lt;&gt;"")+('Dvd Calendar'!$E$115:$AR$115=TYPE4)*(TYPE4&lt;&gt;"")+('Dvd Calendar'!$E$115:$AR$115=SPECIAL_LBL)*(INC_SPECIALS="Y"))))</f>
        <v/>
      </c>
      <c r="K21" s="69">
        <f>IF($C21="","",HSI!$J$16)</f>
        <v/>
      </c>
      <c r="L21" s="69">
        <f>IF($C21="","",HSI!$K$16)</f>
        <v/>
      </c>
      <c r="M21" s="44">
        <f>IF($C21="","",HSI!$J$16+HSI!$L$16)</f>
        <v/>
      </c>
      <c r="N21" s="70">
        <f>IF($C21="","",IF(PULL_FUND="N","",IFERROR(BDP($C21,BESTDPS_FIELD,FWD_OVERRIDE,TEXT(MOD(YEAR_Y,100),"00")&amp;"Y"),"")))</f>
        <v/>
      </c>
      <c r="O21" s="69">
        <f>IF($C21="","",AVERAGE(F21:J21))</f>
        <v/>
      </c>
      <c r="P21" s="71">
        <f>IF($C21="","",IF(PULL_FUND="N","",IF(COUNTIFS('Fund History'!$J$62:$J$66,"&gt;="&amp;DATE(YEAR_Y-5,1,1),'Fund History'!$J$62:$J$66,"&lt;="&amp;DATE(YEAR_Y-5,12,31))=0,"",IFERROR($F21*HSI!$G$16/SUMIFS('Fund History'!$K$62:$K$66,'Fund History'!$J$62:$J$66,"&gt;="&amp;DATE(YEAR_Y-5,1,1),'Fund History'!$J$62:$J$66,"&lt;="&amp;DATE(YEAR_Y-5,12,31)),""))))</f>
        <v/>
      </c>
      <c r="Q21" s="72">
        <f>IF($C21="","",IF(PULL_FUND="N","",IF(COUNTIFS('Fund History'!$J$62:$J$66,"&gt;="&amp;DATE(YEAR_Y-4,1,1),'Fund History'!$J$62:$J$66,"&lt;="&amp;DATE(YEAR_Y-4,12,31))=0,"",IFERROR($G21*HSI!$G$16/SUMIFS('Fund History'!$K$62:$K$66,'Fund History'!$J$62:$J$66,"&gt;="&amp;DATE(YEAR_Y-4,1,1),'Fund History'!$J$62:$J$66,"&lt;="&amp;DATE(YEAR_Y-4,12,31)),""))))</f>
        <v/>
      </c>
      <c r="R21" s="72">
        <f>IF($C21="","",IF(PULL_FUND="N","",IF(COUNTIFS('Fund History'!$J$62:$J$66,"&gt;="&amp;DATE(YEAR_Y-3,1,1),'Fund History'!$J$62:$J$66,"&lt;="&amp;DATE(YEAR_Y-3,12,31))=0,"",IFERROR($H21*HSI!$G$16/SUMIFS('Fund History'!$K$62:$K$66,'Fund History'!$J$62:$J$66,"&gt;="&amp;DATE(YEAR_Y-3,1,1),'Fund History'!$J$62:$J$66,"&lt;="&amp;DATE(YEAR_Y-3,12,31)),""))))</f>
        <v/>
      </c>
      <c r="S21" s="72">
        <f>IF($C21="","",IF(PULL_FUND="N","",IF(COUNTIFS('Fund History'!$J$62:$J$66,"&gt;="&amp;DATE(YEAR_Y-2,1,1),'Fund History'!$J$62:$J$66,"&lt;="&amp;DATE(YEAR_Y-2,12,31))=0,"",IFERROR($I21*HSI!$G$16/SUMIFS('Fund History'!$K$62:$K$66,'Fund History'!$J$62:$J$66,"&gt;="&amp;DATE(YEAR_Y-2,1,1),'Fund History'!$J$62:$J$66,"&lt;="&amp;DATE(YEAR_Y-2,12,31)),""))))</f>
        <v/>
      </c>
      <c r="T21" s="72">
        <f>IF($C21="","",IF(PULL_FUND="N","",IF(COUNTIFS('Fund History'!$J$62:$J$66,"&gt;="&amp;DATE(YEAR_Y-1,1,1),'Fund History'!$J$62:$J$66,"&lt;="&amp;DATE(YEAR_Y-1,12,31))=0,"",IFERROR($J21*HSI!$G$16/SUMIFS('Fund History'!$K$62:$K$66,'Fund History'!$J$62:$J$66,"&gt;="&amp;DATE(YEAR_Y-1,1,1),'Fund History'!$J$62:$J$66,"&lt;="&amp;DATE(YEAR_Y-1,12,31)),""))))</f>
        <v/>
      </c>
      <c r="U21" s="73">
        <f>IF($C21="","",IF(ISNUMBER(HSI!$I$16),HSI!$I$16/100,""))</f>
        <v/>
      </c>
      <c r="V21" s="74">
        <f>IF($C21="","",IF(ISNUMBER(HSI!$X$16),IFERROR($M21*HSI!$G$16/HSI!$X$16,""),""))</f>
        <v/>
      </c>
      <c r="W21" s="73">
        <f>IF($C21="","",IF(ISNUMBER($N21),IFERROR($N21*HSI!$G$16/HSI!$X$16,""),""))</f>
        <v/>
      </c>
      <c r="X21" s="75">
        <f>IF($C21="","",IF(PULL_FUND="N","",IFERROR(BDP($C21,EPS_FIELD,YR_OVERRIDE,TEXT(YEAR_Y-5,"0")),"")))</f>
        <v/>
      </c>
      <c r="Y21" s="76">
        <f>IF($C21="","",IF(PULL_FUND="N","",IFERROR(BDP($C21,EPS_FIELD,YR_OVERRIDE,TEXT(YEAR_Y-4,"0")),"")))</f>
        <v/>
      </c>
      <c r="Z21" s="76">
        <f>IF($C21="","",IF(PULL_FUND="N","",IFERROR(BDP($C21,EPS_FIELD,YR_OVERRIDE,TEXT(YEAR_Y-3,"0")),"")))</f>
        <v/>
      </c>
      <c r="AA21" s="76">
        <f>IF($C21="","",IF(PULL_FUND="N","",IFERROR(BDP($C21,EPS_FIELD,YR_OVERRIDE,TEXT(YEAR_Y-2,"0")),"")))</f>
        <v/>
      </c>
      <c r="AB21" s="76">
        <f>IF($C21="","",IF(PULL_FUND="N","",IFERROR(BDP($C21,EPS_FIELD,YR_OVERRIDE,TEXT(YEAR_Y-1,"0")),"")))</f>
        <v/>
      </c>
      <c r="AC21" s="50">
        <f>IF($C21="","",IFERROR(AVERAGE(X21:AB21),""))</f>
        <v/>
      </c>
      <c r="AD21" s="76">
        <f>IF($C21="","",IF(PULL_FUND="N","",IFERROR(BDP($C21,BESTEPS_FIELD,FWD_OVERRIDE,TEXT(MOD(YEAR_Y,100),"00")&amp;"Y"),"")))</f>
        <v/>
      </c>
      <c r="AE21" s="77">
        <f>IF($C21="","",IF(PULL_FUND="N","",IFERROR(BDP($C21,PAYOUT_FIELD,YR_OVERRIDE,TEXT(YEAR_Y-5,"0"))/100,"")))</f>
        <v/>
      </c>
      <c r="AF21" s="78">
        <f>IF($C21="","",IF(PULL_FUND="N","",IFERROR(BDP($C21,PAYOUT_FIELD,YR_OVERRIDE,TEXT(YEAR_Y-4,"0"))/100,"")))</f>
        <v/>
      </c>
      <c r="AG21" s="78">
        <f>IF($C21="","",IF(PULL_FUND="N","",IFERROR(BDP($C21,PAYOUT_FIELD,YR_OVERRIDE,TEXT(YEAR_Y-3,"0"))/100,"")))</f>
        <v/>
      </c>
      <c r="AH21" s="78">
        <f>IF($C21="","",IF(PULL_FUND="N","",IFERROR(BDP($C21,PAYOUT_FIELD,YR_OVERRIDE,TEXT(YEAR_Y-2,"0"))/100,"")))</f>
        <v/>
      </c>
      <c r="AI21" s="78">
        <f>IF($C21="","",IF(PULL_FUND="N","",IFERROR(BDP($C21,PAYOUT_FIELD,YR_OVERRIDE,TEXT(YEAR_Y-1,"0"))/100,"")))</f>
        <v/>
      </c>
      <c r="AJ21" s="79">
        <f>IF($C21="","",IFERROR(AVERAGE(AE21:AI21),""))</f>
        <v/>
      </c>
      <c r="AK21" s="80">
        <f>IF($C21="","",IF(ISNUMBER($AD21)*ISNUMBER($N21)*($AD21&lt;&gt;0)=0,"",$N21/$AD21))</f>
        <v/>
      </c>
      <c r="AL21" s="79">
        <f>IF($C21="","",IF(ISNUMBER($AD21)*($AD21&lt;&gt;0)=0,"",$M21/$AD21))</f>
        <v/>
      </c>
      <c r="AM21" s="37">
        <f>IF($C21="","",IF(ISNUMBER($AE21)*ISNUMBER($AI21)=0,"",IF($AI21&gt;$AE21+0.05,"rising",IF($AI21&lt;$AE21-0.05,"falling","stable"))))</f>
        <v/>
      </c>
      <c r="AN21" s="81">
        <f>IF($C21="","",IF(PULL_FUND="N","",IF(COUNTIFS('Fund History'!$G$62:$G$66,"&gt;="&amp;DATE(YEAR_Y-4,1,1),'Fund History'!$G$62:$G$66,"&lt;="&amp;DATE(YEAR_Y-4,12,31))=0,"",SUMIFS('Fund History'!$H$62:$H$66,'Fund History'!$G$62:$G$66,"&gt;="&amp;DATE(YEAR_Y-4,1,1),'Fund History'!$G$62:$G$66,"&lt;="&amp;DATE(YEAR_Y-4,12,31))/100)))</f>
        <v/>
      </c>
      <c r="AO21" s="82">
        <f>IF($C21="","",IF(PULL_FUND="N","",IF(COUNTIFS('Fund History'!$G$62:$G$66,"&gt;="&amp;DATE(YEAR_Y-3,1,1),'Fund History'!$G$62:$G$66,"&lt;="&amp;DATE(YEAR_Y-3,12,31))=0,"",SUMIFS('Fund History'!$H$62:$H$66,'Fund History'!$G$62:$G$66,"&gt;="&amp;DATE(YEAR_Y-3,1,1),'Fund History'!$G$62:$G$66,"&lt;="&amp;DATE(YEAR_Y-3,12,31))/100)))</f>
        <v/>
      </c>
      <c r="AP21" s="82">
        <f>IF($C21="","",IF(PULL_FUND="N","",IF(COUNTIFS('Fund History'!$G$62:$G$66,"&gt;="&amp;DATE(YEAR_Y-2,1,1),'Fund History'!$G$62:$G$66,"&lt;="&amp;DATE(YEAR_Y-2,12,31))=0,"",SUMIFS('Fund History'!$H$62:$H$66,'Fund History'!$G$62:$G$66,"&gt;="&amp;DATE(YEAR_Y-2,1,1),'Fund History'!$G$62:$G$66,"&lt;="&amp;DATE(YEAR_Y-2,12,31))/100)))</f>
        <v/>
      </c>
      <c r="AQ21" s="82">
        <f>IF($C21="","",IF(PULL_FUND="N","",IF(COUNTIFS('Fund History'!$G$62:$G$66,"&gt;="&amp;DATE(YEAR_Y-1,1,1),'Fund History'!$G$62:$G$66,"&lt;="&amp;DATE(YEAR_Y-1,12,31))=0,"",SUMIFS('Fund History'!$H$62:$H$66,'Fund History'!$G$62:$G$66,"&gt;="&amp;DATE(YEAR_Y-1,1,1),'Fund History'!$G$62:$G$66,"&lt;="&amp;DATE(YEAR_Y-1,12,31))/100)))</f>
        <v/>
      </c>
      <c r="AR21" s="83">
        <f>IF($C21="","",IF(N($AQ21)+N(HSI!$I$16)=0,"",N($AQ21)+N(HSI!$I$16)/100))</f>
        <v/>
      </c>
      <c r="AS21" s="75">
        <f>IF($C21="","",IF(PULL_FUND="N","",IF(COUNTIFS('Fund History'!$D$62:$D$66,"&gt;="&amp;DATE(YEAR_Y-2,1,1),'Fund History'!$D$62:$D$66,"&lt;="&amp;DATE(YEAR_Y-2,12,31))=0,"",SUMIFS('Fund History'!$E$62:$E$66,'Fund History'!$D$62:$D$66,"&gt;="&amp;DATE(YEAR_Y-2,1,1),'Fund History'!$D$62:$D$66,"&lt;="&amp;DATE(YEAR_Y-2,12,31)))))</f>
        <v/>
      </c>
      <c r="AT21" s="76">
        <f>IF($C21="","",IF(PULL_FUND="N","",IF(COUNTIFS('Fund History'!$D$62:$D$66,"&gt;="&amp;DATE(YEAR_Y-1,1,1),'Fund History'!$D$62:$D$66,"&lt;="&amp;DATE(YEAR_Y-1,12,31))=0,"",SUMIFS('Fund History'!$E$62:$E$66,'Fund History'!$D$62:$D$66,"&gt;="&amp;DATE(YEAR_Y-1,1,1),'Fund History'!$D$62:$D$66,"&lt;="&amp;DATE(YEAR_Y-1,12,31)))))</f>
        <v/>
      </c>
      <c r="AU21" s="76">
        <f>IF($C21="","",IF(PULL_FUND="N","",IFERROR(BDP($C21,NDEBITDA_FIELD),"")))</f>
        <v/>
      </c>
      <c r="AV21" s="84">
        <f>IF($C21="","",IF(PULL_FUND="N","",IFERROR(BDP($C21,EBINT_FIELD),"")))</f>
        <v/>
      </c>
      <c r="AW21" s="82">
        <f>IF($C21="","",IF(PULL_FUND="N","",IFERROR(BDP($C21,FCF_FIELD)/100,"")))</f>
        <v/>
      </c>
      <c r="AX21" s="50">
        <f>IF($C21="","",IF(N($U21)=0,"",IFERROR($AW21/$U21,"")))</f>
        <v/>
      </c>
      <c r="AY21" s="85">
        <f>IF($C21="","",TRIM(IF(ISNUMBER($AJ21)*(N($AJ21)&gt;$D$4)&gt;0,"payout high  ","")&amp;IF(ISNUMBER($AX21)*(N($AX21)&lt;$F$4)&gt;0,"FCF below dvd  ","")&amp;IF(ISNUMBER($AU21)*(N($AU21)&gt;$H$4)&gt;0,"leverage high","")))</f>
        <v/>
      </c>
      <c r="AZ21" s="86">
        <f>IF($C21="","",IF(HSI!$F$16="HKD","",HSI!$F$16))</f>
        <v/>
      </c>
    </row>
    <row r="22">
      <c r="B22" s="66" t="inlineStr">
        <is>
          <t>HSI</t>
        </is>
      </c>
      <c r="C22" s="8">
        <f>IF(HSI!$C$17="","",HSI!$C$17)</f>
        <v/>
      </c>
      <c r="D22" s="8">
        <f>IF($C22="","",HSI!$D$17)</f>
        <v/>
      </c>
      <c r="E22" s="8">
        <f>IF($C22="","",HSI!$E$17)</f>
        <v/>
      </c>
      <c r="F22" s="67">
        <f>IF($C22="","",SUMPRODUCT(('Dvd Calendar'!$E$121:$AR$121&gt;=DATE(YEAR_Y-5,1,1))*('Dvd Calendar'!$E$121:$AR$121&lt;=DATE(YEAR_Y-5,12,31))*'Dvd Calendar'!$E$124:$AR$124*(('Dvd Calendar'!$E$126:$AR$126=TYPE1)*(TYPE1&lt;&gt;"")+('Dvd Calendar'!$E$126:$AR$126=TYPE2)*(TYPE2&lt;&gt;"")+('Dvd Calendar'!$E$126:$AR$126=TYPE3)*(TYPE3&lt;&gt;"")+('Dvd Calendar'!$E$126:$AR$126=TYPE4)*(TYPE4&lt;&gt;"")+('Dvd Calendar'!$E$126:$AR$126=SPECIAL_LBL)*(INC_SPECIALS="Y"))))</f>
        <v/>
      </c>
      <c r="G22" s="68">
        <f>IF($C22="","",SUMPRODUCT(('Dvd Calendar'!$E$121:$AR$121&gt;=DATE(YEAR_Y-4,1,1))*('Dvd Calendar'!$E$121:$AR$121&lt;=DATE(YEAR_Y-4,12,31))*'Dvd Calendar'!$E$124:$AR$124*(('Dvd Calendar'!$E$126:$AR$126=TYPE1)*(TYPE1&lt;&gt;"")+('Dvd Calendar'!$E$126:$AR$126=TYPE2)*(TYPE2&lt;&gt;"")+('Dvd Calendar'!$E$126:$AR$126=TYPE3)*(TYPE3&lt;&gt;"")+('Dvd Calendar'!$E$126:$AR$126=TYPE4)*(TYPE4&lt;&gt;"")+('Dvd Calendar'!$E$126:$AR$126=SPECIAL_LBL)*(INC_SPECIALS="Y"))))</f>
        <v/>
      </c>
      <c r="H22" s="68">
        <f>IF($C22="","",SUMPRODUCT(('Dvd Calendar'!$E$121:$AR$121&gt;=DATE(YEAR_Y-3,1,1))*('Dvd Calendar'!$E$121:$AR$121&lt;=DATE(YEAR_Y-3,12,31))*'Dvd Calendar'!$E$124:$AR$124*(('Dvd Calendar'!$E$126:$AR$126=TYPE1)*(TYPE1&lt;&gt;"")+('Dvd Calendar'!$E$126:$AR$126=TYPE2)*(TYPE2&lt;&gt;"")+('Dvd Calendar'!$E$126:$AR$126=TYPE3)*(TYPE3&lt;&gt;"")+('Dvd Calendar'!$E$126:$AR$126=TYPE4)*(TYPE4&lt;&gt;"")+('Dvd Calendar'!$E$126:$AR$126=SPECIAL_LBL)*(INC_SPECIALS="Y"))))</f>
        <v/>
      </c>
      <c r="I22" s="68">
        <f>IF($C22="","",SUMPRODUCT(('Dvd Calendar'!$E$121:$AR$121&gt;=DATE(YEAR_Y-2,1,1))*('Dvd Calendar'!$E$121:$AR$121&lt;=DATE(YEAR_Y-2,12,31))*'Dvd Calendar'!$E$124:$AR$124*(('Dvd Calendar'!$E$126:$AR$126=TYPE1)*(TYPE1&lt;&gt;"")+('Dvd Calendar'!$E$126:$AR$126=TYPE2)*(TYPE2&lt;&gt;"")+('Dvd Calendar'!$E$126:$AR$126=TYPE3)*(TYPE3&lt;&gt;"")+('Dvd Calendar'!$E$126:$AR$126=TYPE4)*(TYPE4&lt;&gt;"")+('Dvd Calendar'!$E$126:$AR$126=SPECIAL_LBL)*(INC_SPECIALS="Y"))))</f>
        <v/>
      </c>
      <c r="J22" s="68">
        <f>IF($C22="","",SUMPRODUCT(('Dvd Calendar'!$E$121:$AR$121&gt;=DATE(YEAR_Y-1,1,1))*('Dvd Calendar'!$E$121:$AR$121&lt;=DATE(YEAR_Y-1,12,31))*'Dvd Calendar'!$E$124:$AR$124*(('Dvd Calendar'!$E$126:$AR$126=TYPE1)*(TYPE1&lt;&gt;"")+('Dvd Calendar'!$E$126:$AR$126=TYPE2)*(TYPE2&lt;&gt;"")+('Dvd Calendar'!$E$126:$AR$126=TYPE3)*(TYPE3&lt;&gt;"")+('Dvd Calendar'!$E$126:$AR$126=TYPE4)*(TYPE4&lt;&gt;"")+('Dvd Calendar'!$E$126:$AR$126=SPECIAL_LBL)*(INC_SPECIALS="Y"))))</f>
        <v/>
      </c>
      <c r="K22" s="69">
        <f>IF($C22="","",HSI!$J$17)</f>
        <v/>
      </c>
      <c r="L22" s="69">
        <f>IF($C22="","",HSI!$K$17)</f>
        <v/>
      </c>
      <c r="M22" s="44">
        <f>IF($C22="","",HSI!$J$17+HSI!$L$17)</f>
        <v/>
      </c>
      <c r="N22" s="70">
        <f>IF($C22="","",IF(PULL_FUND="N","",IFERROR(BDP($C22,BESTDPS_FIELD,FWD_OVERRIDE,TEXT(MOD(YEAR_Y,100),"00")&amp;"Y"),"")))</f>
        <v/>
      </c>
      <c r="O22" s="69">
        <f>IF($C22="","",AVERAGE(F22:J22))</f>
        <v/>
      </c>
      <c r="P22" s="71">
        <f>IF($C22="","",IF(PULL_FUND="N","",IF(COUNTIFS('Fund History'!$J$68:$J$72,"&gt;="&amp;DATE(YEAR_Y-5,1,1),'Fund History'!$J$68:$J$72,"&lt;="&amp;DATE(YEAR_Y-5,12,31))=0,"",IFERROR($F22*HSI!$G$17/SUMIFS('Fund History'!$K$68:$K$72,'Fund History'!$J$68:$J$72,"&gt;="&amp;DATE(YEAR_Y-5,1,1),'Fund History'!$J$68:$J$72,"&lt;="&amp;DATE(YEAR_Y-5,12,31)),""))))</f>
        <v/>
      </c>
      <c r="Q22" s="72">
        <f>IF($C22="","",IF(PULL_FUND="N","",IF(COUNTIFS('Fund History'!$J$68:$J$72,"&gt;="&amp;DATE(YEAR_Y-4,1,1),'Fund History'!$J$68:$J$72,"&lt;="&amp;DATE(YEAR_Y-4,12,31))=0,"",IFERROR($G22*HSI!$G$17/SUMIFS('Fund History'!$K$68:$K$72,'Fund History'!$J$68:$J$72,"&gt;="&amp;DATE(YEAR_Y-4,1,1),'Fund History'!$J$68:$J$72,"&lt;="&amp;DATE(YEAR_Y-4,12,31)),""))))</f>
        <v/>
      </c>
      <c r="R22" s="72">
        <f>IF($C22="","",IF(PULL_FUND="N","",IF(COUNTIFS('Fund History'!$J$68:$J$72,"&gt;="&amp;DATE(YEAR_Y-3,1,1),'Fund History'!$J$68:$J$72,"&lt;="&amp;DATE(YEAR_Y-3,12,31))=0,"",IFERROR($H22*HSI!$G$17/SUMIFS('Fund History'!$K$68:$K$72,'Fund History'!$J$68:$J$72,"&gt;="&amp;DATE(YEAR_Y-3,1,1),'Fund History'!$J$68:$J$72,"&lt;="&amp;DATE(YEAR_Y-3,12,31)),""))))</f>
        <v/>
      </c>
      <c r="S22" s="72">
        <f>IF($C22="","",IF(PULL_FUND="N","",IF(COUNTIFS('Fund History'!$J$68:$J$72,"&gt;="&amp;DATE(YEAR_Y-2,1,1),'Fund History'!$J$68:$J$72,"&lt;="&amp;DATE(YEAR_Y-2,12,31))=0,"",IFERROR($I22*HSI!$G$17/SUMIFS('Fund History'!$K$68:$K$72,'Fund History'!$J$68:$J$72,"&gt;="&amp;DATE(YEAR_Y-2,1,1),'Fund History'!$J$68:$J$72,"&lt;="&amp;DATE(YEAR_Y-2,12,31)),""))))</f>
        <v/>
      </c>
      <c r="T22" s="72">
        <f>IF($C22="","",IF(PULL_FUND="N","",IF(COUNTIFS('Fund History'!$J$68:$J$72,"&gt;="&amp;DATE(YEAR_Y-1,1,1),'Fund History'!$J$68:$J$72,"&lt;="&amp;DATE(YEAR_Y-1,12,31))=0,"",IFERROR($J22*HSI!$G$17/SUMIFS('Fund History'!$K$68:$K$72,'Fund History'!$J$68:$J$72,"&gt;="&amp;DATE(YEAR_Y-1,1,1),'Fund History'!$J$68:$J$72,"&lt;="&amp;DATE(YEAR_Y-1,12,31)),""))))</f>
        <v/>
      </c>
      <c r="U22" s="73">
        <f>IF($C22="","",IF(ISNUMBER(HSI!$I$17),HSI!$I$17/100,""))</f>
        <v/>
      </c>
      <c r="V22" s="74">
        <f>IF($C22="","",IF(ISNUMBER(HSI!$X$17),IFERROR($M22*HSI!$G$17/HSI!$X$17,""),""))</f>
        <v/>
      </c>
      <c r="W22" s="73">
        <f>IF($C22="","",IF(ISNUMBER($N22),IFERROR($N22*HSI!$G$17/HSI!$X$17,""),""))</f>
        <v/>
      </c>
      <c r="X22" s="75">
        <f>IF($C22="","",IF(PULL_FUND="N","",IFERROR(BDP($C22,EPS_FIELD,YR_OVERRIDE,TEXT(YEAR_Y-5,"0")),"")))</f>
        <v/>
      </c>
      <c r="Y22" s="76">
        <f>IF($C22="","",IF(PULL_FUND="N","",IFERROR(BDP($C22,EPS_FIELD,YR_OVERRIDE,TEXT(YEAR_Y-4,"0")),"")))</f>
        <v/>
      </c>
      <c r="Z22" s="76">
        <f>IF($C22="","",IF(PULL_FUND="N","",IFERROR(BDP($C22,EPS_FIELD,YR_OVERRIDE,TEXT(YEAR_Y-3,"0")),"")))</f>
        <v/>
      </c>
      <c r="AA22" s="76">
        <f>IF($C22="","",IF(PULL_FUND="N","",IFERROR(BDP($C22,EPS_FIELD,YR_OVERRIDE,TEXT(YEAR_Y-2,"0")),"")))</f>
        <v/>
      </c>
      <c r="AB22" s="76">
        <f>IF($C22="","",IF(PULL_FUND="N","",IFERROR(BDP($C22,EPS_FIELD,YR_OVERRIDE,TEXT(YEAR_Y-1,"0")),"")))</f>
        <v/>
      </c>
      <c r="AC22" s="50">
        <f>IF($C22="","",IFERROR(AVERAGE(X22:AB22),""))</f>
        <v/>
      </c>
      <c r="AD22" s="76">
        <f>IF($C22="","",IF(PULL_FUND="N","",IFERROR(BDP($C22,BESTEPS_FIELD,FWD_OVERRIDE,TEXT(MOD(YEAR_Y,100),"00")&amp;"Y"),"")))</f>
        <v/>
      </c>
      <c r="AE22" s="77">
        <f>IF($C22="","",IF(PULL_FUND="N","",IFERROR(BDP($C22,PAYOUT_FIELD,YR_OVERRIDE,TEXT(YEAR_Y-5,"0"))/100,"")))</f>
        <v/>
      </c>
      <c r="AF22" s="78">
        <f>IF($C22="","",IF(PULL_FUND="N","",IFERROR(BDP($C22,PAYOUT_FIELD,YR_OVERRIDE,TEXT(YEAR_Y-4,"0"))/100,"")))</f>
        <v/>
      </c>
      <c r="AG22" s="78">
        <f>IF($C22="","",IF(PULL_FUND="N","",IFERROR(BDP($C22,PAYOUT_FIELD,YR_OVERRIDE,TEXT(YEAR_Y-3,"0"))/100,"")))</f>
        <v/>
      </c>
      <c r="AH22" s="78">
        <f>IF($C22="","",IF(PULL_FUND="N","",IFERROR(BDP($C22,PAYOUT_FIELD,YR_OVERRIDE,TEXT(YEAR_Y-2,"0"))/100,"")))</f>
        <v/>
      </c>
      <c r="AI22" s="78">
        <f>IF($C22="","",IF(PULL_FUND="N","",IFERROR(BDP($C22,PAYOUT_FIELD,YR_OVERRIDE,TEXT(YEAR_Y-1,"0"))/100,"")))</f>
        <v/>
      </c>
      <c r="AJ22" s="79">
        <f>IF($C22="","",IFERROR(AVERAGE(AE22:AI22),""))</f>
        <v/>
      </c>
      <c r="AK22" s="80">
        <f>IF($C22="","",IF(ISNUMBER($AD22)*ISNUMBER($N22)*($AD22&lt;&gt;0)=0,"",$N22/$AD22))</f>
        <v/>
      </c>
      <c r="AL22" s="79">
        <f>IF($C22="","",IF(ISNUMBER($AD22)*($AD22&lt;&gt;0)=0,"",$M22/$AD22))</f>
        <v/>
      </c>
      <c r="AM22" s="37">
        <f>IF($C22="","",IF(ISNUMBER($AE22)*ISNUMBER($AI22)=0,"",IF($AI22&gt;$AE22+0.05,"rising",IF($AI22&lt;$AE22-0.05,"falling","stable"))))</f>
        <v/>
      </c>
      <c r="AN22" s="81">
        <f>IF($C22="","",IF(PULL_FUND="N","",IF(COUNTIFS('Fund History'!$G$68:$G$72,"&gt;="&amp;DATE(YEAR_Y-4,1,1),'Fund History'!$G$68:$G$72,"&lt;="&amp;DATE(YEAR_Y-4,12,31))=0,"",SUMIFS('Fund History'!$H$68:$H$72,'Fund History'!$G$68:$G$72,"&gt;="&amp;DATE(YEAR_Y-4,1,1),'Fund History'!$G$68:$G$72,"&lt;="&amp;DATE(YEAR_Y-4,12,31))/100)))</f>
        <v/>
      </c>
      <c r="AO22" s="82">
        <f>IF($C22="","",IF(PULL_FUND="N","",IF(COUNTIFS('Fund History'!$G$68:$G$72,"&gt;="&amp;DATE(YEAR_Y-3,1,1),'Fund History'!$G$68:$G$72,"&lt;="&amp;DATE(YEAR_Y-3,12,31))=0,"",SUMIFS('Fund History'!$H$68:$H$72,'Fund History'!$G$68:$G$72,"&gt;="&amp;DATE(YEAR_Y-3,1,1),'Fund History'!$G$68:$G$72,"&lt;="&amp;DATE(YEAR_Y-3,12,31))/100)))</f>
        <v/>
      </c>
      <c r="AP22" s="82">
        <f>IF($C22="","",IF(PULL_FUND="N","",IF(COUNTIFS('Fund History'!$G$68:$G$72,"&gt;="&amp;DATE(YEAR_Y-2,1,1),'Fund History'!$G$68:$G$72,"&lt;="&amp;DATE(YEAR_Y-2,12,31))=0,"",SUMIFS('Fund History'!$H$68:$H$72,'Fund History'!$G$68:$G$72,"&gt;="&amp;DATE(YEAR_Y-2,1,1),'Fund History'!$G$68:$G$72,"&lt;="&amp;DATE(YEAR_Y-2,12,31))/100)))</f>
        <v/>
      </c>
      <c r="AQ22" s="82">
        <f>IF($C22="","",IF(PULL_FUND="N","",IF(COUNTIFS('Fund History'!$G$68:$G$72,"&gt;="&amp;DATE(YEAR_Y-1,1,1),'Fund History'!$G$68:$G$72,"&lt;="&amp;DATE(YEAR_Y-1,12,31))=0,"",SUMIFS('Fund History'!$H$68:$H$72,'Fund History'!$G$68:$G$72,"&gt;="&amp;DATE(YEAR_Y-1,1,1),'Fund History'!$G$68:$G$72,"&lt;="&amp;DATE(YEAR_Y-1,12,31))/100)))</f>
        <v/>
      </c>
      <c r="AR22" s="83">
        <f>IF($C22="","",IF(N($AQ22)+N(HSI!$I$17)=0,"",N($AQ22)+N(HSI!$I$17)/100))</f>
        <v/>
      </c>
      <c r="AS22" s="75">
        <f>IF($C22="","",IF(PULL_FUND="N","",IF(COUNTIFS('Fund History'!$D$68:$D$72,"&gt;="&amp;DATE(YEAR_Y-2,1,1),'Fund History'!$D$68:$D$72,"&lt;="&amp;DATE(YEAR_Y-2,12,31))=0,"",SUMIFS('Fund History'!$E$68:$E$72,'Fund History'!$D$68:$D$72,"&gt;="&amp;DATE(YEAR_Y-2,1,1),'Fund History'!$D$68:$D$72,"&lt;="&amp;DATE(YEAR_Y-2,12,31)))))</f>
        <v/>
      </c>
      <c r="AT22" s="76">
        <f>IF($C22="","",IF(PULL_FUND="N","",IF(COUNTIFS('Fund History'!$D$68:$D$72,"&gt;="&amp;DATE(YEAR_Y-1,1,1),'Fund History'!$D$68:$D$72,"&lt;="&amp;DATE(YEAR_Y-1,12,31))=0,"",SUMIFS('Fund History'!$E$68:$E$72,'Fund History'!$D$68:$D$72,"&gt;="&amp;DATE(YEAR_Y-1,1,1),'Fund History'!$D$68:$D$72,"&lt;="&amp;DATE(YEAR_Y-1,12,31)))))</f>
        <v/>
      </c>
      <c r="AU22" s="76">
        <f>IF($C22="","",IF(PULL_FUND="N","",IFERROR(BDP($C22,NDEBITDA_FIELD),"")))</f>
        <v/>
      </c>
      <c r="AV22" s="84">
        <f>IF($C22="","",IF(PULL_FUND="N","",IFERROR(BDP($C22,EBINT_FIELD),"")))</f>
        <v/>
      </c>
      <c r="AW22" s="82">
        <f>IF($C22="","",IF(PULL_FUND="N","",IFERROR(BDP($C22,FCF_FIELD)/100,"")))</f>
        <v/>
      </c>
      <c r="AX22" s="50">
        <f>IF($C22="","",IF(N($U22)=0,"",IFERROR($AW22/$U22,"")))</f>
        <v/>
      </c>
      <c r="AY22" s="85">
        <f>IF($C22="","",TRIM(IF(ISNUMBER($AJ22)*(N($AJ22)&gt;$D$4)&gt;0,"payout high  ","")&amp;IF(ISNUMBER($AX22)*(N($AX22)&lt;$F$4)&gt;0,"FCF below dvd  ","")&amp;IF(ISNUMBER($AU22)*(N($AU22)&gt;$H$4)&gt;0,"leverage high","")))</f>
        <v/>
      </c>
      <c r="AZ22" s="86">
        <f>IF($C22="","",IF(HSI!$F$17="HKD","",HSI!$F$17))</f>
        <v/>
      </c>
    </row>
    <row r="23">
      <c r="B23" s="66" t="inlineStr">
        <is>
          <t>HSI</t>
        </is>
      </c>
      <c r="C23" s="8">
        <f>IF(HSI!$C$18="","",HSI!$C$18)</f>
        <v/>
      </c>
      <c r="D23" s="8">
        <f>IF($C23="","",HSI!$D$18)</f>
        <v/>
      </c>
      <c r="E23" s="8">
        <f>IF($C23="","",HSI!$E$18)</f>
        <v/>
      </c>
      <c r="F23" s="67">
        <f>IF($C23="","",SUMPRODUCT(('Dvd Calendar'!$E$132:$AR$132&gt;=DATE(YEAR_Y-5,1,1))*('Dvd Calendar'!$E$132:$AR$132&lt;=DATE(YEAR_Y-5,12,31))*'Dvd Calendar'!$E$135:$AR$135*(('Dvd Calendar'!$E$137:$AR$137=TYPE1)*(TYPE1&lt;&gt;"")+('Dvd Calendar'!$E$137:$AR$137=TYPE2)*(TYPE2&lt;&gt;"")+('Dvd Calendar'!$E$137:$AR$137=TYPE3)*(TYPE3&lt;&gt;"")+('Dvd Calendar'!$E$137:$AR$137=TYPE4)*(TYPE4&lt;&gt;"")+('Dvd Calendar'!$E$137:$AR$137=SPECIAL_LBL)*(INC_SPECIALS="Y"))))</f>
        <v/>
      </c>
      <c r="G23" s="68">
        <f>IF($C23="","",SUMPRODUCT(('Dvd Calendar'!$E$132:$AR$132&gt;=DATE(YEAR_Y-4,1,1))*('Dvd Calendar'!$E$132:$AR$132&lt;=DATE(YEAR_Y-4,12,31))*'Dvd Calendar'!$E$135:$AR$135*(('Dvd Calendar'!$E$137:$AR$137=TYPE1)*(TYPE1&lt;&gt;"")+('Dvd Calendar'!$E$137:$AR$137=TYPE2)*(TYPE2&lt;&gt;"")+('Dvd Calendar'!$E$137:$AR$137=TYPE3)*(TYPE3&lt;&gt;"")+('Dvd Calendar'!$E$137:$AR$137=TYPE4)*(TYPE4&lt;&gt;"")+('Dvd Calendar'!$E$137:$AR$137=SPECIAL_LBL)*(INC_SPECIALS="Y"))))</f>
        <v/>
      </c>
      <c r="H23" s="68">
        <f>IF($C23="","",SUMPRODUCT(('Dvd Calendar'!$E$132:$AR$132&gt;=DATE(YEAR_Y-3,1,1))*('Dvd Calendar'!$E$132:$AR$132&lt;=DATE(YEAR_Y-3,12,31))*'Dvd Calendar'!$E$135:$AR$135*(('Dvd Calendar'!$E$137:$AR$137=TYPE1)*(TYPE1&lt;&gt;"")+('Dvd Calendar'!$E$137:$AR$137=TYPE2)*(TYPE2&lt;&gt;"")+('Dvd Calendar'!$E$137:$AR$137=TYPE3)*(TYPE3&lt;&gt;"")+('Dvd Calendar'!$E$137:$AR$137=TYPE4)*(TYPE4&lt;&gt;"")+('Dvd Calendar'!$E$137:$AR$137=SPECIAL_LBL)*(INC_SPECIALS="Y"))))</f>
        <v/>
      </c>
      <c r="I23" s="68">
        <f>IF($C23="","",SUMPRODUCT(('Dvd Calendar'!$E$132:$AR$132&gt;=DATE(YEAR_Y-2,1,1))*('Dvd Calendar'!$E$132:$AR$132&lt;=DATE(YEAR_Y-2,12,31))*'Dvd Calendar'!$E$135:$AR$135*(('Dvd Calendar'!$E$137:$AR$137=TYPE1)*(TYPE1&lt;&gt;"")+('Dvd Calendar'!$E$137:$AR$137=TYPE2)*(TYPE2&lt;&gt;"")+('Dvd Calendar'!$E$137:$AR$137=TYPE3)*(TYPE3&lt;&gt;"")+('Dvd Calendar'!$E$137:$AR$137=TYPE4)*(TYPE4&lt;&gt;"")+('Dvd Calendar'!$E$137:$AR$137=SPECIAL_LBL)*(INC_SPECIALS="Y"))))</f>
        <v/>
      </c>
      <c r="J23" s="68">
        <f>IF($C23="","",SUMPRODUCT(('Dvd Calendar'!$E$132:$AR$132&gt;=DATE(YEAR_Y-1,1,1))*('Dvd Calendar'!$E$132:$AR$132&lt;=DATE(YEAR_Y-1,12,31))*'Dvd Calendar'!$E$135:$AR$135*(('Dvd Calendar'!$E$137:$AR$137=TYPE1)*(TYPE1&lt;&gt;"")+('Dvd Calendar'!$E$137:$AR$137=TYPE2)*(TYPE2&lt;&gt;"")+('Dvd Calendar'!$E$137:$AR$137=TYPE3)*(TYPE3&lt;&gt;"")+('Dvd Calendar'!$E$137:$AR$137=TYPE4)*(TYPE4&lt;&gt;"")+('Dvd Calendar'!$E$137:$AR$137=SPECIAL_LBL)*(INC_SPECIALS="Y"))))</f>
        <v/>
      </c>
      <c r="K23" s="69">
        <f>IF($C23="","",HSI!$J$18)</f>
        <v/>
      </c>
      <c r="L23" s="69">
        <f>IF($C23="","",HSI!$K$18)</f>
        <v/>
      </c>
      <c r="M23" s="44">
        <f>IF($C23="","",HSI!$J$18+HSI!$L$18)</f>
        <v/>
      </c>
      <c r="N23" s="70">
        <f>IF($C23="","",IF(PULL_FUND="N","",IFERROR(BDP($C23,BESTDPS_FIELD,FWD_OVERRIDE,TEXT(MOD(YEAR_Y,100),"00")&amp;"Y"),"")))</f>
        <v/>
      </c>
      <c r="O23" s="69">
        <f>IF($C23="","",AVERAGE(F23:J23))</f>
        <v/>
      </c>
      <c r="P23" s="71">
        <f>IF($C23="","",IF(PULL_FUND="N","",IF(COUNTIFS('Fund History'!$J$74:$J$78,"&gt;="&amp;DATE(YEAR_Y-5,1,1),'Fund History'!$J$74:$J$78,"&lt;="&amp;DATE(YEAR_Y-5,12,31))=0,"",IFERROR($F23*HSI!$G$18/SUMIFS('Fund History'!$K$74:$K$78,'Fund History'!$J$74:$J$78,"&gt;="&amp;DATE(YEAR_Y-5,1,1),'Fund History'!$J$74:$J$78,"&lt;="&amp;DATE(YEAR_Y-5,12,31)),""))))</f>
        <v/>
      </c>
      <c r="Q23" s="72">
        <f>IF($C23="","",IF(PULL_FUND="N","",IF(COUNTIFS('Fund History'!$J$74:$J$78,"&gt;="&amp;DATE(YEAR_Y-4,1,1),'Fund History'!$J$74:$J$78,"&lt;="&amp;DATE(YEAR_Y-4,12,31))=0,"",IFERROR($G23*HSI!$G$18/SUMIFS('Fund History'!$K$74:$K$78,'Fund History'!$J$74:$J$78,"&gt;="&amp;DATE(YEAR_Y-4,1,1),'Fund History'!$J$74:$J$78,"&lt;="&amp;DATE(YEAR_Y-4,12,31)),""))))</f>
        <v/>
      </c>
      <c r="R23" s="72">
        <f>IF($C23="","",IF(PULL_FUND="N","",IF(COUNTIFS('Fund History'!$J$74:$J$78,"&gt;="&amp;DATE(YEAR_Y-3,1,1),'Fund History'!$J$74:$J$78,"&lt;="&amp;DATE(YEAR_Y-3,12,31))=0,"",IFERROR($H23*HSI!$G$18/SUMIFS('Fund History'!$K$74:$K$78,'Fund History'!$J$74:$J$78,"&gt;="&amp;DATE(YEAR_Y-3,1,1),'Fund History'!$J$74:$J$78,"&lt;="&amp;DATE(YEAR_Y-3,12,31)),""))))</f>
        <v/>
      </c>
      <c r="S23" s="72">
        <f>IF($C23="","",IF(PULL_FUND="N","",IF(COUNTIFS('Fund History'!$J$74:$J$78,"&gt;="&amp;DATE(YEAR_Y-2,1,1),'Fund History'!$J$74:$J$78,"&lt;="&amp;DATE(YEAR_Y-2,12,31))=0,"",IFERROR($I23*HSI!$G$18/SUMIFS('Fund History'!$K$74:$K$78,'Fund History'!$J$74:$J$78,"&gt;="&amp;DATE(YEAR_Y-2,1,1),'Fund History'!$J$74:$J$78,"&lt;="&amp;DATE(YEAR_Y-2,12,31)),""))))</f>
        <v/>
      </c>
      <c r="T23" s="72">
        <f>IF($C23="","",IF(PULL_FUND="N","",IF(COUNTIFS('Fund History'!$J$74:$J$78,"&gt;="&amp;DATE(YEAR_Y-1,1,1),'Fund History'!$J$74:$J$78,"&lt;="&amp;DATE(YEAR_Y-1,12,31))=0,"",IFERROR($J23*HSI!$G$18/SUMIFS('Fund History'!$K$74:$K$78,'Fund History'!$J$74:$J$78,"&gt;="&amp;DATE(YEAR_Y-1,1,1),'Fund History'!$J$74:$J$78,"&lt;="&amp;DATE(YEAR_Y-1,12,31)),""))))</f>
        <v/>
      </c>
      <c r="U23" s="73">
        <f>IF($C23="","",IF(ISNUMBER(HSI!$I$18),HSI!$I$18/100,""))</f>
        <v/>
      </c>
      <c r="V23" s="74">
        <f>IF($C23="","",IF(ISNUMBER(HSI!$X$18),IFERROR($M23*HSI!$G$18/HSI!$X$18,""),""))</f>
        <v/>
      </c>
      <c r="W23" s="73">
        <f>IF($C23="","",IF(ISNUMBER($N23),IFERROR($N23*HSI!$G$18/HSI!$X$18,""),""))</f>
        <v/>
      </c>
      <c r="X23" s="75">
        <f>IF($C23="","",IF(PULL_FUND="N","",IFERROR(BDP($C23,EPS_FIELD,YR_OVERRIDE,TEXT(YEAR_Y-5,"0")),"")))</f>
        <v/>
      </c>
      <c r="Y23" s="76">
        <f>IF($C23="","",IF(PULL_FUND="N","",IFERROR(BDP($C23,EPS_FIELD,YR_OVERRIDE,TEXT(YEAR_Y-4,"0")),"")))</f>
        <v/>
      </c>
      <c r="Z23" s="76">
        <f>IF($C23="","",IF(PULL_FUND="N","",IFERROR(BDP($C23,EPS_FIELD,YR_OVERRIDE,TEXT(YEAR_Y-3,"0")),"")))</f>
        <v/>
      </c>
      <c r="AA23" s="76">
        <f>IF($C23="","",IF(PULL_FUND="N","",IFERROR(BDP($C23,EPS_FIELD,YR_OVERRIDE,TEXT(YEAR_Y-2,"0")),"")))</f>
        <v/>
      </c>
      <c r="AB23" s="76">
        <f>IF($C23="","",IF(PULL_FUND="N","",IFERROR(BDP($C23,EPS_FIELD,YR_OVERRIDE,TEXT(YEAR_Y-1,"0")),"")))</f>
        <v/>
      </c>
      <c r="AC23" s="50">
        <f>IF($C23="","",IFERROR(AVERAGE(X23:AB23),""))</f>
        <v/>
      </c>
      <c r="AD23" s="76">
        <f>IF($C23="","",IF(PULL_FUND="N","",IFERROR(BDP($C23,BESTEPS_FIELD,FWD_OVERRIDE,TEXT(MOD(YEAR_Y,100),"00")&amp;"Y"),"")))</f>
        <v/>
      </c>
      <c r="AE23" s="77">
        <f>IF($C23="","",IF(PULL_FUND="N","",IFERROR(BDP($C23,PAYOUT_FIELD,YR_OVERRIDE,TEXT(YEAR_Y-5,"0"))/100,"")))</f>
        <v/>
      </c>
      <c r="AF23" s="78">
        <f>IF($C23="","",IF(PULL_FUND="N","",IFERROR(BDP($C23,PAYOUT_FIELD,YR_OVERRIDE,TEXT(YEAR_Y-4,"0"))/100,"")))</f>
        <v/>
      </c>
      <c r="AG23" s="78">
        <f>IF($C23="","",IF(PULL_FUND="N","",IFERROR(BDP($C23,PAYOUT_FIELD,YR_OVERRIDE,TEXT(YEAR_Y-3,"0"))/100,"")))</f>
        <v/>
      </c>
      <c r="AH23" s="78">
        <f>IF($C23="","",IF(PULL_FUND="N","",IFERROR(BDP($C23,PAYOUT_FIELD,YR_OVERRIDE,TEXT(YEAR_Y-2,"0"))/100,"")))</f>
        <v/>
      </c>
      <c r="AI23" s="78">
        <f>IF($C23="","",IF(PULL_FUND="N","",IFERROR(BDP($C23,PAYOUT_FIELD,YR_OVERRIDE,TEXT(YEAR_Y-1,"0"))/100,"")))</f>
        <v/>
      </c>
      <c r="AJ23" s="79">
        <f>IF($C23="","",IFERROR(AVERAGE(AE23:AI23),""))</f>
        <v/>
      </c>
      <c r="AK23" s="80">
        <f>IF($C23="","",IF(ISNUMBER($AD23)*ISNUMBER($N23)*($AD23&lt;&gt;0)=0,"",$N23/$AD23))</f>
        <v/>
      </c>
      <c r="AL23" s="79">
        <f>IF($C23="","",IF(ISNUMBER($AD23)*($AD23&lt;&gt;0)=0,"",$M23/$AD23))</f>
        <v/>
      </c>
      <c r="AM23" s="37">
        <f>IF($C23="","",IF(ISNUMBER($AE23)*ISNUMBER($AI23)=0,"",IF($AI23&gt;$AE23+0.05,"rising",IF($AI23&lt;$AE23-0.05,"falling","stable"))))</f>
        <v/>
      </c>
      <c r="AN23" s="81">
        <f>IF($C23="","",IF(PULL_FUND="N","",IF(COUNTIFS('Fund History'!$G$74:$G$78,"&gt;="&amp;DATE(YEAR_Y-4,1,1),'Fund History'!$G$74:$G$78,"&lt;="&amp;DATE(YEAR_Y-4,12,31))=0,"",SUMIFS('Fund History'!$H$74:$H$78,'Fund History'!$G$74:$G$78,"&gt;="&amp;DATE(YEAR_Y-4,1,1),'Fund History'!$G$74:$G$78,"&lt;="&amp;DATE(YEAR_Y-4,12,31))/100)))</f>
        <v/>
      </c>
      <c r="AO23" s="82">
        <f>IF($C23="","",IF(PULL_FUND="N","",IF(COUNTIFS('Fund History'!$G$74:$G$78,"&gt;="&amp;DATE(YEAR_Y-3,1,1),'Fund History'!$G$74:$G$78,"&lt;="&amp;DATE(YEAR_Y-3,12,31))=0,"",SUMIFS('Fund History'!$H$74:$H$78,'Fund History'!$G$74:$G$78,"&gt;="&amp;DATE(YEAR_Y-3,1,1),'Fund History'!$G$74:$G$78,"&lt;="&amp;DATE(YEAR_Y-3,12,31))/100)))</f>
        <v/>
      </c>
      <c r="AP23" s="82">
        <f>IF($C23="","",IF(PULL_FUND="N","",IF(COUNTIFS('Fund History'!$G$74:$G$78,"&gt;="&amp;DATE(YEAR_Y-2,1,1),'Fund History'!$G$74:$G$78,"&lt;="&amp;DATE(YEAR_Y-2,12,31))=0,"",SUMIFS('Fund History'!$H$74:$H$78,'Fund History'!$G$74:$G$78,"&gt;="&amp;DATE(YEAR_Y-2,1,1),'Fund History'!$G$74:$G$78,"&lt;="&amp;DATE(YEAR_Y-2,12,31))/100)))</f>
        <v/>
      </c>
      <c r="AQ23" s="82">
        <f>IF($C23="","",IF(PULL_FUND="N","",IF(COUNTIFS('Fund History'!$G$74:$G$78,"&gt;="&amp;DATE(YEAR_Y-1,1,1),'Fund History'!$G$74:$G$78,"&lt;="&amp;DATE(YEAR_Y-1,12,31))=0,"",SUMIFS('Fund History'!$H$74:$H$78,'Fund History'!$G$74:$G$78,"&gt;="&amp;DATE(YEAR_Y-1,1,1),'Fund History'!$G$74:$G$78,"&lt;="&amp;DATE(YEAR_Y-1,12,31))/100)))</f>
        <v/>
      </c>
      <c r="AR23" s="83">
        <f>IF($C23="","",IF(N($AQ23)+N(HSI!$I$18)=0,"",N($AQ23)+N(HSI!$I$18)/100))</f>
        <v/>
      </c>
      <c r="AS23" s="75">
        <f>IF($C23="","",IF(PULL_FUND="N","",IF(COUNTIFS('Fund History'!$D$74:$D$78,"&gt;="&amp;DATE(YEAR_Y-2,1,1),'Fund History'!$D$74:$D$78,"&lt;="&amp;DATE(YEAR_Y-2,12,31))=0,"",SUMIFS('Fund History'!$E$74:$E$78,'Fund History'!$D$74:$D$78,"&gt;="&amp;DATE(YEAR_Y-2,1,1),'Fund History'!$D$74:$D$78,"&lt;="&amp;DATE(YEAR_Y-2,12,31)))))</f>
        <v/>
      </c>
      <c r="AT23" s="76">
        <f>IF($C23="","",IF(PULL_FUND="N","",IF(COUNTIFS('Fund History'!$D$74:$D$78,"&gt;="&amp;DATE(YEAR_Y-1,1,1),'Fund History'!$D$74:$D$78,"&lt;="&amp;DATE(YEAR_Y-1,12,31))=0,"",SUMIFS('Fund History'!$E$74:$E$78,'Fund History'!$D$74:$D$78,"&gt;="&amp;DATE(YEAR_Y-1,1,1),'Fund History'!$D$74:$D$78,"&lt;="&amp;DATE(YEAR_Y-1,12,31)))))</f>
        <v/>
      </c>
      <c r="AU23" s="76">
        <f>IF($C23="","",IF(PULL_FUND="N","",IFERROR(BDP($C23,NDEBITDA_FIELD),"")))</f>
        <v/>
      </c>
      <c r="AV23" s="84">
        <f>IF($C23="","",IF(PULL_FUND="N","",IFERROR(BDP($C23,EBINT_FIELD),"")))</f>
        <v/>
      </c>
      <c r="AW23" s="82">
        <f>IF($C23="","",IF(PULL_FUND="N","",IFERROR(BDP($C23,FCF_FIELD)/100,"")))</f>
        <v/>
      </c>
      <c r="AX23" s="50">
        <f>IF($C23="","",IF(N($U23)=0,"",IFERROR($AW23/$U23,"")))</f>
        <v/>
      </c>
      <c r="AY23" s="85">
        <f>IF($C23="","",TRIM(IF(ISNUMBER($AJ23)*(N($AJ23)&gt;$D$4)&gt;0,"payout high  ","")&amp;IF(ISNUMBER($AX23)*(N($AX23)&lt;$F$4)&gt;0,"FCF below dvd  ","")&amp;IF(ISNUMBER($AU23)*(N($AU23)&gt;$H$4)&gt;0,"leverage high","")))</f>
        <v/>
      </c>
      <c r="AZ23" s="86">
        <f>IF($C23="","",IF(HSI!$F$18="HKD","",HSI!$F$18))</f>
        <v/>
      </c>
    </row>
    <row r="24">
      <c r="B24" s="66" t="inlineStr">
        <is>
          <t>HSI</t>
        </is>
      </c>
      <c r="C24" s="8">
        <f>IF(HSI!$C$19="","",HSI!$C$19)</f>
        <v/>
      </c>
      <c r="D24" s="8">
        <f>IF($C24="","",HSI!$D$19)</f>
        <v/>
      </c>
      <c r="E24" s="8">
        <f>IF($C24="","",HSI!$E$19)</f>
        <v/>
      </c>
      <c r="F24" s="67">
        <f>IF($C24="","",SUMPRODUCT(('Dvd Calendar'!$E$143:$AR$143&gt;=DATE(YEAR_Y-5,1,1))*('Dvd Calendar'!$E$143:$AR$143&lt;=DATE(YEAR_Y-5,12,31))*'Dvd Calendar'!$E$146:$AR$146*(('Dvd Calendar'!$E$148:$AR$148=TYPE1)*(TYPE1&lt;&gt;"")+('Dvd Calendar'!$E$148:$AR$148=TYPE2)*(TYPE2&lt;&gt;"")+('Dvd Calendar'!$E$148:$AR$148=TYPE3)*(TYPE3&lt;&gt;"")+('Dvd Calendar'!$E$148:$AR$148=TYPE4)*(TYPE4&lt;&gt;"")+('Dvd Calendar'!$E$148:$AR$148=SPECIAL_LBL)*(INC_SPECIALS="Y"))))</f>
        <v/>
      </c>
      <c r="G24" s="68">
        <f>IF($C24="","",SUMPRODUCT(('Dvd Calendar'!$E$143:$AR$143&gt;=DATE(YEAR_Y-4,1,1))*('Dvd Calendar'!$E$143:$AR$143&lt;=DATE(YEAR_Y-4,12,31))*'Dvd Calendar'!$E$146:$AR$146*(('Dvd Calendar'!$E$148:$AR$148=TYPE1)*(TYPE1&lt;&gt;"")+('Dvd Calendar'!$E$148:$AR$148=TYPE2)*(TYPE2&lt;&gt;"")+('Dvd Calendar'!$E$148:$AR$148=TYPE3)*(TYPE3&lt;&gt;"")+('Dvd Calendar'!$E$148:$AR$148=TYPE4)*(TYPE4&lt;&gt;"")+('Dvd Calendar'!$E$148:$AR$148=SPECIAL_LBL)*(INC_SPECIALS="Y"))))</f>
        <v/>
      </c>
      <c r="H24" s="68">
        <f>IF($C24="","",SUMPRODUCT(('Dvd Calendar'!$E$143:$AR$143&gt;=DATE(YEAR_Y-3,1,1))*('Dvd Calendar'!$E$143:$AR$143&lt;=DATE(YEAR_Y-3,12,31))*'Dvd Calendar'!$E$146:$AR$146*(('Dvd Calendar'!$E$148:$AR$148=TYPE1)*(TYPE1&lt;&gt;"")+('Dvd Calendar'!$E$148:$AR$148=TYPE2)*(TYPE2&lt;&gt;"")+('Dvd Calendar'!$E$148:$AR$148=TYPE3)*(TYPE3&lt;&gt;"")+('Dvd Calendar'!$E$148:$AR$148=TYPE4)*(TYPE4&lt;&gt;"")+('Dvd Calendar'!$E$148:$AR$148=SPECIAL_LBL)*(INC_SPECIALS="Y"))))</f>
        <v/>
      </c>
      <c r="I24" s="68">
        <f>IF($C24="","",SUMPRODUCT(('Dvd Calendar'!$E$143:$AR$143&gt;=DATE(YEAR_Y-2,1,1))*('Dvd Calendar'!$E$143:$AR$143&lt;=DATE(YEAR_Y-2,12,31))*'Dvd Calendar'!$E$146:$AR$146*(('Dvd Calendar'!$E$148:$AR$148=TYPE1)*(TYPE1&lt;&gt;"")+('Dvd Calendar'!$E$148:$AR$148=TYPE2)*(TYPE2&lt;&gt;"")+('Dvd Calendar'!$E$148:$AR$148=TYPE3)*(TYPE3&lt;&gt;"")+('Dvd Calendar'!$E$148:$AR$148=TYPE4)*(TYPE4&lt;&gt;"")+('Dvd Calendar'!$E$148:$AR$148=SPECIAL_LBL)*(INC_SPECIALS="Y"))))</f>
        <v/>
      </c>
      <c r="J24" s="68">
        <f>IF($C24="","",SUMPRODUCT(('Dvd Calendar'!$E$143:$AR$143&gt;=DATE(YEAR_Y-1,1,1))*('Dvd Calendar'!$E$143:$AR$143&lt;=DATE(YEAR_Y-1,12,31))*'Dvd Calendar'!$E$146:$AR$146*(('Dvd Calendar'!$E$148:$AR$148=TYPE1)*(TYPE1&lt;&gt;"")+('Dvd Calendar'!$E$148:$AR$148=TYPE2)*(TYPE2&lt;&gt;"")+('Dvd Calendar'!$E$148:$AR$148=TYPE3)*(TYPE3&lt;&gt;"")+('Dvd Calendar'!$E$148:$AR$148=TYPE4)*(TYPE4&lt;&gt;"")+('Dvd Calendar'!$E$148:$AR$148=SPECIAL_LBL)*(INC_SPECIALS="Y"))))</f>
        <v/>
      </c>
      <c r="K24" s="69">
        <f>IF($C24="","",HSI!$J$19)</f>
        <v/>
      </c>
      <c r="L24" s="69">
        <f>IF($C24="","",HSI!$K$19)</f>
        <v/>
      </c>
      <c r="M24" s="44">
        <f>IF($C24="","",HSI!$J$19+HSI!$L$19)</f>
        <v/>
      </c>
      <c r="N24" s="70">
        <f>IF($C24="","",IF(PULL_FUND="N","",IFERROR(BDP($C24,BESTDPS_FIELD,FWD_OVERRIDE,TEXT(MOD(YEAR_Y,100),"00")&amp;"Y"),"")))</f>
        <v/>
      </c>
      <c r="O24" s="69">
        <f>IF($C24="","",AVERAGE(F24:J24))</f>
        <v/>
      </c>
      <c r="P24" s="71">
        <f>IF($C24="","",IF(PULL_FUND="N","",IF(COUNTIFS('Fund History'!$J$80:$J$84,"&gt;="&amp;DATE(YEAR_Y-5,1,1),'Fund History'!$J$80:$J$84,"&lt;="&amp;DATE(YEAR_Y-5,12,31))=0,"",IFERROR($F24*HSI!$G$19/SUMIFS('Fund History'!$K$80:$K$84,'Fund History'!$J$80:$J$84,"&gt;="&amp;DATE(YEAR_Y-5,1,1),'Fund History'!$J$80:$J$84,"&lt;="&amp;DATE(YEAR_Y-5,12,31)),""))))</f>
        <v/>
      </c>
      <c r="Q24" s="72">
        <f>IF($C24="","",IF(PULL_FUND="N","",IF(COUNTIFS('Fund History'!$J$80:$J$84,"&gt;="&amp;DATE(YEAR_Y-4,1,1),'Fund History'!$J$80:$J$84,"&lt;="&amp;DATE(YEAR_Y-4,12,31))=0,"",IFERROR($G24*HSI!$G$19/SUMIFS('Fund History'!$K$80:$K$84,'Fund History'!$J$80:$J$84,"&gt;="&amp;DATE(YEAR_Y-4,1,1),'Fund History'!$J$80:$J$84,"&lt;="&amp;DATE(YEAR_Y-4,12,31)),""))))</f>
        <v/>
      </c>
      <c r="R24" s="72">
        <f>IF($C24="","",IF(PULL_FUND="N","",IF(COUNTIFS('Fund History'!$J$80:$J$84,"&gt;="&amp;DATE(YEAR_Y-3,1,1),'Fund History'!$J$80:$J$84,"&lt;="&amp;DATE(YEAR_Y-3,12,31))=0,"",IFERROR($H24*HSI!$G$19/SUMIFS('Fund History'!$K$80:$K$84,'Fund History'!$J$80:$J$84,"&gt;="&amp;DATE(YEAR_Y-3,1,1),'Fund History'!$J$80:$J$84,"&lt;="&amp;DATE(YEAR_Y-3,12,31)),""))))</f>
        <v/>
      </c>
      <c r="S24" s="72">
        <f>IF($C24="","",IF(PULL_FUND="N","",IF(COUNTIFS('Fund History'!$J$80:$J$84,"&gt;="&amp;DATE(YEAR_Y-2,1,1),'Fund History'!$J$80:$J$84,"&lt;="&amp;DATE(YEAR_Y-2,12,31))=0,"",IFERROR($I24*HSI!$G$19/SUMIFS('Fund History'!$K$80:$K$84,'Fund History'!$J$80:$J$84,"&gt;="&amp;DATE(YEAR_Y-2,1,1),'Fund History'!$J$80:$J$84,"&lt;="&amp;DATE(YEAR_Y-2,12,31)),""))))</f>
        <v/>
      </c>
      <c r="T24" s="72">
        <f>IF($C24="","",IF(PULL_FUND="N","",IF(COUNTIFS('Fund History'!$J$80:$J$84,"&gt;="&amp;DATE(YEAR_Y-1,1,1),'Fund History'!$J$80:$J$84,"&lt;="&amp;DATE(YEAR_Y-1,12,31))=0,"",IFERROR($J24*HSI!$G$19/SUMIFS('Fund History'!$K$80:$K$84,'Fund History'!$J$80:$J$84,"&gt;="&amp;DATE(YEAR_Y-1,1,1),'Fund History'!$J$80:$J$84,"&lt;="&amp;DATE(YEAR_Y-1,12,31)),""))))</f>
        <v/>
      </c>
      <c r="U24" s="73">
        <f>IF($C24="","",IF(ISNUMBER(HSI!$I$19),HSI!$I$19/100,""))</f>
        <v/>
      </c>
      <c r="V24" s="74">
        <f>IF($C24="","",IF(ISNUMBER(HSI!$X$19),IFERROR($M24*HSI!$G$19/HSI!$X$19,""),""))</f>
        <v/>
      </c>
      <c r="W24" s="73">
        <f>IF($C24="","",IF(ISNUMBER($N24),IFERROR($N24*HSI!$G$19/HSI!$X$19,""),""))</f>
        <v/>
      </c>
      <c r="X24" s="75">
        <f>IF($C24="","",IF(PULL_FUND="N","",IFERROR(BDP($C24,EPS_FIELD,YR_OVERRIDE,TEXT(YEAR_Y-5,"0")),"")))</f>
        <v/>
      </c>
      <c r="Y24" s="76">
        <f>IF($C24="","",IF(PULL_FUND="N","",IFERROR(BDP($C24,EPS_FIELD,YR_OVERRIDE,TEXT(YEAR_Y-4,"0")),"")))</f>
        <v/>
      </c>
      <c r="Z24" s="76">
        <f>IF($C24="","",IF(PULL_FUND="N","",IFERROR(BDP($C24,EPS_FIELD,YR_OVERRIDE,TEXT(YEAR_Y-3,"0")),"")))</f>
        <v/>
      </c>
      <c r="AA24" s="76">
        <f>IF($C24="","",IF(PULL_FUND="N","",IFERROR(BDP($C24,EPS_FIELD,YR_OVERRIDE,TEXT(YEAR_Y-2,"0")),"")))</f>
        <v/>
      </c>
      <c r="AB24" s="76">
        <f>IF($C24="","",IF(PULL_FUND="N","",IFERROR(BDP($C24,EPS_FIELD,YR_OVERRIDE,TEXT(YEAR_Y-1,"0")),"")))</f>
        <v/>
      </c>
      <c r="AC24" s="50">
        <f>IF($C24="","",IFERROR(AVERAGE(X24:AB24),""))</f>
        <v/>
      </c>
      <c r="AD24" s="76">
        <f>IF($C24="","",IF(PULL_FUND="N","",IFERROR(BDP($C24,BESTEPS_FIELD,FWD_OVERRIDE,TEXT(MOD(YEAR_Y,100),"00")&amp;"Y"),"")))</f>
        <v/>
      </c>
      <c r="AE24" s="77">
        <f>IF($C24="","",IF(PULL_FUND="N","",IFERROR(BDP($C24,PAYOUT_FIELD,YR_OVERRIDE,TEXT(YEAR_Y-5,"0"))/100,"")))</f>
        <v/>
      </c>
      <c r="AF24" s="78">
        <f>IF($C24="","",IF(PULL_FUND="N","",IFERROR(BDP($C24,PAYOUT_FIELD,YR_OVERRIDE,TEXT(YEAR_Y-4,"0"))/100,"")))</f>
        <v/>
      </c>
      <c r="AG24" s="78">
        <f>IF($C24="","",IF(PULL_FUND="N","",IFERROR(BDP($C24,PAYOUT_FIELD,YR_OVERRIDE,TEXT(YEAR_Y-3,"0"))/100,"")))</f>
        <v/>
      </c>
      <c r="AH24" s="78">
        <f>IF($C24="","",IF(PULL_FUND="N","",IFERROR(BDP($C24,PAYOUT_FIELD,YR_OVERRIDE,TEXT(YEAR_Y-2,"0"))/100,"")))</f>
        <v/>
      </c>
      <c r="AI24" s="78">
        <f>IF($C24="","",IF(PULL_FUND="N","",IFERROR(BDP($C24,PAYOUT_FIELD,YR_OVERRIDE,TEXT(YEAR_Y-1,"0"))/100,"")))</f>
        <v/>
      </c>
      <c r="AJ24" s="79">
        <f>IF($C24="","",IFERROR(AVERAGE(AE24:AI24),""))</f>
        <v/>
      </c>
      <c r="AK24" s="80">
        <f>IF($C24="","",IF(ISNUMBER($AD24)*ISNUMBER($N24)*($AD24&lt;&gt;0)=0,"",$N24/$AD24))</f>
        <v/>
      </c>
      <c r="AL24" s="79">
        <f>IF($C24="","",IF(ISNUMBER($AD24)*($AD24&lt;&gt;0)=0,"",$M24/$AD24))</f>
        <v/>
      </c>
      <c r="AM24" s="37">
        <f>IF($C24="","",IF(ISNUMBER($AE24)*ISNUMBER($AI24)=0,"",IF($AI24&gt;$AE24+0.05,"rising",IF($AI24&lt;$AE24-0.05,"falling","stable"))))</f>
        <v/>
      </c>
      <c r="AN24" s="81">
        <f>IF($C24="","",IF(PULL_FUND="N","",IF(COUNTIFS('Fund History'!$G$80:$G$84,"&gt;="&amp;DATE(YEAR_Y-4,1,1),'Fund History'!$G$80:$G$84,"&lt;="&amp;DATE(YEAR_Y-4,12,31))=0,"",SUMIFS('Fund History'!$H$80:$H$84,'Fund History'!$G$80:$G$84,"&gt;="&amp;DATE(YEAR_Y-4,1,1),'Fund History'!$G$80:$G$84,"&lt;="&amp;DATE(YEAR_Y-4,12,31))/100)))</f>
        <v/>
      </c>
      <c r="AO24" s="82">
        <f>IF($C24="","",IF(PULL_FUND="N","",IF(COUNTIFS('Fund History'!$G$80:$G$84,"&gt;="&amp;DATE(YEAR_Y-3,1,1),'Fund History'!$G$80:$G$84,"&lt;="&amp;DATE(YEAR_Y-3,12,31))=0,"",SUMIFS('Fund History'!$H$80:$H$84,'Fund History'!$G$80:$G$84,"&gt;="&amp;DATE(YEAR_Y-3,1,1),'Fund History'!$G$80:$G$84,"&lt;="&amp;DATE(YEAR_Y-3,12,31))/100)))</f>
        <v/>
      </c>
      <c r="AP24" s="82">
        <f>IF($C24="","",IF(PULL_FUND="N","",IF(COUNTIFS('Fund History'!$G$80:$G$84,"&gt;="&amp;DATE(YEAR_Y-2,1,1),'Fund History'!$G$80:$G$84,"&lt;="&amp;DATE(YEAR_Y-2,12,31))=0,"",SUMIFS('Fund History'!$H$80:$H$84,'Fund History'!$G$80:$G$84,"&gt;="&amp;DATE(YEAR_Y-2,1,1),'Fund History'!$G$80:$G$84,"&lt;="&amp;DATE(YEAR_Y-2,12,31))/100)))</f>
        <v/>
      </c>
      <c r="AQ24" s="82">
        <f>IF($C24="","",IF(PULL_FUND="N","",IF(COUNTIFS('Fund History'!$G$80:$G$84,"&gt;="&amp;DATE(YEAR_Y-1,1,1),'Fund History'!$G$80:$G$84,"&lt;="&amp;DATE(YEAR_Y-1,12,31))=0,"",SUMIFS('Fund History'!$H$80:$H$84,'Fund History'!$G$80:$G$84,"&gt;="&amp;DATE(YEAR_Y-1,1,1),'Fund History'!$G$80:$G$84,"&lt;="&amp;DATE(YEAR_Y-1,12,31))/100)))</f>
        <v/>
      </c>
      <c r="AR24" s="83">
        <f>IF($C24="","",IF(N($AQ24)+N(HSI!$I$19)=0,"",N($AQ24)+N(HSI!$I$19)/100))</f>
        <v/>
      </c>
      <c r="AS24" s="75">
        <f>IF($C24="","",IF(PULL_FUND="N","",IF(COUNTIFS('Fund History'!$D$80:$D$84,"&gt;="&amp;DATE(YEAR_Y-2,1,1),'Fund History'!$D$80:$D$84,"&lt;="&amp;DATE(YEAR_Y-2,12,31))=0,"",SUMIFS('Fund History'!$E$80:$E$84,'Fund History'!$D$80:$D$84,"&gt;="&amp;DATE(YEAR_Y-2,1,1),'Fund History'!$D$80:$D$84,"&lt;="&amp;DATE(YEAR_Y-2,12,31)))))</f>
        <v/>
      </c>
      <c r="AT24" s="76">
        <f>IF($C24="","",IF(PULL_FUND="N","",IF(COUNTIFS('Fund History'!$D$80:$D$84,"&gt;="&amp;DATE(YEAR_Y-1,1,1),'Fund History'!$D$80:$D$84,"&lt;="&amp;DATE(YEAR_Y-1,12,31))=0,"",SUMIFS('Fund History'!$E$80:$E$84,'Fund History'!$D$80:$D$84,"&gt;="&amp;DATE(YEAR_Y-1,1,1),'Fund History'!$D$80:$D$84,"&lt;="&amp;DATE(YEAR_Y-1,12,31)))))</f>
        <v/>
      </c>
      <c r="AU24" s="76">
        <f>IF($C24="","",IF(PULL_FUND="N","",IFERROR(BDP($C24,NDEBITDA_FIELD),"")))</f>
        <v/>
      </c>
      <c r="AV24" s="84">
        <f>IF($C24="","",IF(PULL_FUND="N","",IFERROR(BDP($C24,EBINT_FIELD),"")))</f>
        <v/>
      </c>
      <c r="AW24" s="82">
        <f>IF($C24="","",IF(PULL_FUND="N","",IFERROR(BDP($C24,FCF_FIELD)/100,"")))</f>
        <v/>
      </c>
      <c r="AX24" s="50">
        <f>IF($C24="","",IF(N($U24)=0,"",IFERROR($AW24/$U24,"")))</f>
        <v/>
      </c>
      <c r="AY24" s="85">
        <f>IF($C24="","",TRIM(IF(ISNUMBER($AJ24)*(N($AJ24)&gt;$D$4)&gt;0,"payout high  ","")&amp;IF(ISNUMBER($AX24)*(N($AX24)&lt;$F$4)&gt;0,"FCF below dvd  ","")&amp;IF(ISNUMBER($AU24)*(N($AU24)&gt;$H$4)&gt;0,"leverage high","")))</f>
        <v/>
      </c>
      <c r="AZ24" s="86">
        <f>IF($C24="","",IF(HSI!$F$19="HKD","",HSI!$F$19))</f>
        <v/>
      </c>
    </row>
    <row r="25">
      <c r="B25" s="66" t="inlineStr">
        <is>
          <t>HSI</t>
        </is>
      </c>
      <c r="C25" s="8">
        <f>IF(HSI!$C$20="","",HSI!$C$20)</f>
        <v/>
      </c>
      <c r="D25" s="8">
        <f>IF($C25="","",HSI!$D$20)</f>
        <v/>
      </c>
      <c r="E25" s="8">
        <f>IF($C25="","",HSI!$E$20)</f>
        <v/>
      </c>
      <c r="F25" s="67">
        <f>IF($C25="","",SUMPRODUCT(('Dvd Calendar'!$E$154:$AR$154&gt;=DATE(YEAR_Y-5,1,1))*('Dvd Calendar'!$E$154:$AR$154&lt;=DATE(YEAR_Y-5,12,31))*'Dvd Calendar'!$E$157:$AR$157*(('Dvd Calendar'!$E$159:$AR$159=TYPE1)*(TYPE1&lt;&gt;"")+('Dvd Calendar'!$E$159:$AR$159=TYPE2)*(TYPE2&lt;&gt;"")+('Dvd Calendar'!$E$159:$AR$159=TYPE3)*(TYPE3&lt;&gt;"")+('Dvd Calendar'!$E$159:$AR$159=TYPE4)*(TYPE4&lt;&gt;"")+('Dvd Calendar'!$E$159:$AR$159=SPECIAL_LBL)*(INC_SPECIALS="Y"))))</f>
        <v/>
      </c>
      <c r="G25" s="68">
        <f>IF($C25="","",SUMPRODUCT(('Dvd Calendar'!$E$154:$AR$154&gt;=DATE(YEAR_Y-4,1,1))*('Dvd Calendar'!$E$154:$AR$154&lt;=DATE(YEAR_Y-4,12,31))*'Dvd Calendar'!$E$157:$AR$157*(('Dvd Calendar'!$E$159:$AR$159=TYPE1)*(TYPE1&lt;&gt;"")+('Dvd Calendar'!$E$159:$AR$159=TYPE2)*(TYPE2&lt;&gt;"")+('Dvd Calendar'!$E$159:$AR$159=TYPE3)*(TYPE3&lt;&gt;"")+('Dvd Calendar'!$E$159:$AR$159=TYPE4)*(TYPE4&lt;&gt;"")+('Dvd Calendar'!$E$159:$AR$159=SPECIAL_LBL)*(INC_SPECIALS="Y"))))</f>
        <v/>
      </c>
      <c r="H25" s="68">
        <f>IF($C25="","",SUMPRODUCT(('Dvd Calendar'!$E$154:$AR$154&gt;=DATE(YEAR_Y-3,1,1))*('Dvd Calendar'!$E$154:$AR$154&lt;=DATE(YEAR_Y-3,12,31))*'Dvd Calendar'!$E$157:$AR$157*(('Dvd Calendar'!$E$159:$AR$159=TYPE1)*(TYPE1&lt;&gt;"")+('Dvd Calendar'!$E$159:$AR$159=TYPE2)*(TYPE2&lt;&gt;"")+('Dvd Calendar'!$E$159:$AR$159=TYPE3)*(TYPE3&lt;&gt;"")+('Dvd Calendar'!$E$159:$AR$159=TYPE4)*(TYPE4&lt;&gt;"")+('Dvd Calendar'!$E$159:$AR$159=SPECIAL_LBL)*(INC_SPECIALS="Y"))))</f>
        <v/>
      </c>
      <c r="I25" s="68">
        <f>IF($C25="","",SUMPRODUCT(('Dvd Calendar'!$E$154:$AR$154&gt;=DATE(YEAR_Y-2,1,1))*('Dvd Calendar'!$E$154:$AR$154&lt;=DATE(YEAR_Y-2,12,31))*'Dvd Calendar'!$E$157:$AR$157*(('Dvd Calendar'!$E$159:$AR$159=TYPE1)*(TYPE1&lt;&gt;"")+('Dvd Calendar'!$E$159:$AR$159=TYPE2)*(TYPE2&lt;&gt;"")+('Dvd Calendar'!$E$159:$AR$159=TYPE3)*(TYPE3&lt;&gt;"")+('Dvd Calendar'!$E$159:$AR$159=TYPE4)*(TYPE4&lt;&gt;"")+('Dvd Calendar'!$E$159:$AR$159=SPECIAL_LBL)*(INC_SPECIALS="Y"))))</f>
        <v/>
      </c>
      <c r="J25" s="68">
        <f>IF($C25="","",SUMPRODUCT(('Dvd Calendar'!$E$154:$AR$154&gt;=DATE(YEAR_Y-1,1,1))*('Dvd Calendar'!$E$154:$AR$154&lt;=DATE(YEAR_Y-1,12,31))*'Dvd Calendar'!$E$157:$AR$157*(('Dvd Calendar'!$E$159:$AR$159=TYPE1)*(TYPE1&lt;&gt;"")+('Dvd Calendar'!$E$159:$AR$159=TYPE2)*(TYPE2&lt;&gt;"")+('Dvd Calendar'!$E$159:$AR$159=TYPE3)*(TYPE3&lt;&gt;"")+('Dvd Calendar'!$E$159:$AR$159=TYPE4)*(TYPE4&lt;&gt;"")+('Dvd Calendar'!$E$159:$AR$159=SPECIAL_LBL)*(INC_SPECIALS="Y"))))</f>
        <v/>
      </c>
      <c r="K25" s="69">
        <f>IF($C25="","",HSI!$J$20)</f>
        <v/>
      </c>
      <c r="L25" s="69">
        <f>IF($C25="","",HSI!$K$20)</f>
        <v/>
      </c>
      <c r="M25" s="44">
        <f>IF($C25="","",HSI!$J$20+HSI!$L$20)</f>
        <v/>
      </c>
      <c r="N25" s="70">
        <f>IF($C25="","",IF(PULL_FUND="N","",IFERROR(BDP($C25,BESTDPS_FIELD,FWD_OVERRIDE,TEXT(MOD(YEAR_Y,100),"00")&amp;"Y"),"")))</f>
        <v/>
      </c>
      <c r="O25" s="69">
        <f>IF($C25="","",AVERAGE(F25:J25))</f>
        <v/>
      </c>
      <c r="P25" s="71">
        <f>IF($C25="","",IF(PULL_FUND="N","",IF(COUNTIFS('Fund History'!$J$86:$J$90,"&gt;="&amp;DATE(YEAR_Y-5,1,1),'Fund History'!$J$86:$J$90,"&lt;="&amp;DATE(YEAR_Y-5,12,31))=0,"",IFERROR($F25*HSI!$G$20/SUMIFS('Fund History'!$K$86:$K$90,'Fund History'!$J$86:$J$90,"&gt;="&amp;DATE(YEAR_Y-5,1,1),'Fund History'!$J$86:$J$90,"&lt;="&amp;DATE(YEAR_Y-5,12,31)),""))))</f>
        <v/>
      </c>
      <c r="Q25" s="72">
        <f>IF($C25="","",IF(PULL_FUND="N","",IF(COUNTIFS('Fund History'!$J$86:$J$90,"&gt;="&amp;DATE(YEAR_Y-4,1,1),'Fund History'!$J$86:$J$90,"&lt;="&amp;DATE(YEAR_Y-4,12,31))=0,"",IFERROR($G25*HSI!$G$20/SUMIFS('Fund History'!$K$86:$K$90,'Fund History'!$J$86:$J$90,"&gt;="&amp;DATE(YEAR_Y-4,1,1),'Fund History'!$J$86:$J$90,"&lt;="&amp;DATE(YEAR_Y-4,12,31)),""))))</f>
        <v/>
      </c>
      <c r="R25" s="72">
        <f>IF($C25="","",IF(PULL_FUND="N","",IF(COUNTIFS('Fund History'!$J$86:$J$90,"&gt;="&amp;DATE(YEAR_Y-3,1,1),'Fund History'!$J$86:$J$90,"&lt;="&amp;DATE(YEAR_Y-3,12,31))=0,"",IFERROR($H25*HSI!$G$20/SUMIFS('Fund History'!$K$86:$K$90,'Fund History'!$J$86:$J$90,"&gt;="&amp;DATE(YEAR_Y-3,1,1),'Fund History'!$J$86:$J$90,"&lt;="&amp;DATE(YEAR_Y-3,12,31)),""))))</f>
        <v/>
      </c>
      <c r="S25" s="72">
        <f>IF($C25="","",IF(PULL_FUND="N","",IF(COUNTIFS('Fund History'!$J$86:$J$90,"&gt;="&amp;DATE(YEAR_Y-2,1,1),'Fund History'!$J$86:$J$90,"&lt;="&amp;DATE(YEAR_Y-2,12,31))=0,"",IFERROR($I25*HSI!$G$20/SUMIFS('Fund History'!$K$86:$K$90,'Fund History'!$J$86:$J$90,"&gt;="&amp;DATE(YEAR_Y-2,1,1),'Fund History'!$J$86:$J$90,"&lt;="&amp;DATE(YEAR_Y-2,12,31)),""))))</f>
        <v/>
      </c>
      <c r="T25" s="72">
        <f>IF($C25="","",IF(PULL_FUND="N","",IF(COUNTIFS('Fund History'!$J$86:$J$90,"&gt;="&amp;DATE(YEAR_Y-1,1,1),'Fund History'!$J$86:$J$90,"&lt;="&amp;DATE(YEAR_Y-1,12,31))=0,"",IFERROR($J25*HSI!$G$20/SUMIFS('Fund History'!$K$86:$K$90,'Fund History'!$J$86:$J$90,"&gt;="&amp;DATE(YEAR_Y-1,1,1),'Fund History'!$J$86:$J$90,"&lt;="&amp;DATE(YEAR_Y-1,12,31)),""))))</f>
        <v/>
      </c>
      <c r="U25" s="73">
        <f>IF($C25="","",IF(ISNUMBER(HSI!$I$20),HSI!$I$20/100,""))</f>
        <v/>
      </c>
      <c r="V25" s="74">
        <f>IF($C25="","",IF(ISNUMBER(HSI!$X$20),IFERROR($M25*HSI!$G$20/HSI!$X$20,""),""))</f>
        <v/>
      </c>
      <c r="W25" s="73">
        <f>IF($C25="","",IF(ISNUMBER($N25),IFERROR($N25*HSI!$G$20/HSI!$X$20,""),""))</f>
        <v/>
      </c>
      <c r="X25" s="75">
        <f>IF($C25="","",IF(PULL_FUND="N","",IFERROR(BDP($C25,EPS_FIELD,YR_OVERRIDE,TEXT(YEAR_Y-5,"0")),"")))</f>
        <v/>
      </c>
      <c r="Y25" s="76">
        <f>IF($C25="","",IF(PULL_FUND="N","",IFERROR(BDP($C25,EPS_FIELD,YR_OVERRIDE,TEXT(YEAR_Y-4,"0")),"")))</f>
        <v/>
      </c>
      <c r="Z25" s="76">
        <f>IF($C25="","",IF(PULL_FUND="N","",IFERROR(BDP($C25,EPS_FIELD,YR_OVERRIDE,TEXT(YEAR_Y-3,"0")),"")))</f>
        <v/>
      </c>
      <c r="AA25" s="76">
        <f>IF($C25="","",IF(PULL_FUND="N","",IFERROR(BDP($C25,EPS_FIELD,YR_OVERRIDE,TEXT(YEAR_Y-2,"0")),"")))</f>
        <v/>
      </c>
      <c r="AB25" s="76">
        <f>IF($C25="","",IF(PULL_FUND="N","",IFERROR(BDP($C25,EPS_FIELD,YR_OVERRIDE,TEXT(YEAR_Y-1,"0")),"")))</f>
        <v/>
      </c>
      <c r="AC25" s="50">
        <f>IF($C25="","",IFERROR(AVERAGE(X25:AB25),""))</f>
        <v/>
      </c>
      <c r="AD25" s="76">
        <f>IF($C25="","",IF(PULL_FUND="N","",IFERROR(BDP($C25,BESTEPS_FIELD,FWD_OVERRIDE,TEXT(MOD(YEAR_Y,100),"00")&amp;"Y"),"")))</f>
        <v/>
      </c>
      <c r="AE25" s="77">
        <f>IF($C25="","",IF(PULL_FUND="N","",IFERROR(BDP($C25,PAYOUT_FIELD,YR_OVERRIDE,TEXT(YEAR_Y-5,"0"))/100,"")))</f>
        <v/>
      </c>
      <c r="AF25" s="78">
        <f>IF($C25="","",IF(PULL_FUND="N","",IFERROR(BDP($C25,PAYOUT_FIELD,YR_OVERRIDE,TEXT(YEAR_Y-4,"0"))/100,"")))</f>
        <v/>
      </c>
      <c r="AG25" s="78">
        <f>IF($C25="","",IF(PULL_FUND="N","",IFERROR(BDP($C25,PAYOUT_FIELD,YR_OVERRIDE,TEXT(YEAR_Y-3,"0"))/100,"")))</f>
        <v/>
      </c>
      <c r="AH25" s="78">
        <f>IF($C25="","",IF(PULL_FUND="N","",IFERROR(BDP($C25,PAYOUT_FIELD,YR_OVERRIDE,TEXT(YEAR_Y-2,"0"))/100,"")))</f>
        <v/>
      </c>
      <c r="AI25" s="78">
        <f>IF($C25="","",IF(PULL_FUND="N","",IFERROR(BDP($C25,PAYOUT_FIELD,YR_OVERRIDE,TEXT(YEAR_Y-1,"0"))/100,"")))</f>
        <v/>
      </c>
      <c r="AJ25" s="79">
        <f>IF($C25="","",IFERROR(AVERAGE(AE25:AI25),""))</f>
        <v/>
      </c>
      <c r="AK25" s="80">
        <f>IF($C25="","",IF(ISNUMBER($AD25)*ISNUMBER($N25)*($AD25&lt;&gt;0)=0,"",$N25/$AD25))</f>
        <v/>
      </c>
      <c r="AL25" s="79">
        <f>IF($C25="","",IF(ISNUMBER($AD25)*($AD25&lt;&gt;0)=0,"",$M25/$AD25))</f>
        <v/>
      </c>
      <c r="AM25" s="37">
        <f>IF($C25="","",IF(ISNUMBER($AE25)*ISNUMBER($AI25)=0,"",IF($AI25&gt;$AE25+0.05,"rising",IF($AI25&lt;$AE25-0.05,"falling","stable"))))</f>
        <v/>
      </c>
      <c r="AN25" s="81">
        <f>IF($C25="","",IF(PULL_FUND="N","",IF(COUNTIFS('Fund History'!$G$86:$G$90,"&gt;="&amp;DATE(YEAR_Y-4,1,1),'Fund History'!$G$86:$G$90,"&lt;="&amp;DATE(YEAR_Y-4,12,31))=0,"",SUMIFS('Fund History'!$H$86:$H$90,'Fund History'!$G$86:$G$90,"&gt;="&amp;DATE(YEAR_Y-4,1,1),'Fund History'!$G$86:$G$90,"&lt;="&amp;DATE(YEAR_Y-4,12,31))/100)))</f>
        <v/>
      </c>
      <c r="AO25" s="82">
        <f>IF($C25="","",IF(PULL_FUND="N","",IF(COUNTIFS('Fund History'!$G$86:$G$90,"&gt;="&amp;DATE(YEAR_Y-3,1,1),'Fund History'!$G$86:$G$90,"&lt;="&amp;DATE(YEAR_Y-3,12,31))=0,"",SUMIFS('Fund History'!$H$86:$H$90,'Fund History'!$G$86:$G$90,"&gt;="&amp;DATE(YEAR_Y-3,1,1),'Fund History'!$G$86:$G$90,"&lt;="&amp;DATE(YEAR_Y-3,12,31))/100)))</f>
        <v/>
      </c>
      <c r="AP25" s="82">
        <f>IF($C25="","",IF(PULL_FUND="N","",IF(COUNTIFS('Fund History'!$G$86:$G$90,"&gt;="&amp;DATE(YEAR_Y-2,1,1),'Fund History'!$G$86:$G$90,"&lt;="&amp;DATE(YEAR_Y-2,12,31))=0,"",SUMIFS('Fund History'!$H$86:$H$90,'Fund History'!$G$86:$G$90,"&gt;="&amp;DATE(YEAR_Y-2,1,1),'Fund History'!$G$86:$G$90,"&lt;="&amp;DATE(YEAR_Y-2,12,31))/100)))</f>
        <v/>
      </c>
      <c r="AQ25" s="82">
        <f>IF($C25="","",IF(PULL_FUND="N","",IF(COUNTIFS('Fund History'!$G$86:$G$90,"&gt;="&amp;DATE(YEAR_Y-1,1,1),'Fund History'!$G$86:$G$90,"&lt;="&amp;DATE(YEAR_Y-1,12,31))=0,"",SUMIFS('Fund History'!$H$86:$H$90,'Fund History'!$G$86:$G$90,"&gt;="&amp;DATE(YEAR_Y-1,1,1),'Fund History'!$G$86:$G$90,"&lt;="&amp;DATE(YEAR_Y-1,12,31))/100)))</f>
        <v/>
      </c>
      <c r="AR25" s="83">
        <f>IF($C25="","",IF(N($AQ25)+N(HSI!$I$20)=0,"",N($AQ25)+N(HSI!$I$20)/100))</f>
        <v/>
      </c>
      <c r="AS25" s="75">
        <f>IF($C25="","",IF(PULL_FUND="N","",IF(COUNTIFS('Fund History'!$D$86:$D$90,"&gt;="&amp;DATE(YEAR_Y-2,1,1),'Fund History'!$D$86:$D$90,"&lt;="&amp;DATE(YEAR_Y-2,12,31))=0,"",SUMIFS('Fund History'!$E$86:$E$90,'Fund History'!$D$86:$D$90,"&gt;="&amp;DATE(YEAR_Y-2,1,1),'Fund History'!$D$86:$D$90,"&lt;="&amp;DATE(YEAR_Y-2,12,31)))))</f>
        <v/>
      </c>
      <c r="AT25" s="76">
        <f>IF($C25="","",IF(PULL_FUND="N","",IF(COUNTIFS('Fund History'!$D$86:$D$90,"&gt;="&amp;DATE(YEAR_Y-1,1,1),'Fund History'!$D$86:$D$90,"&lt;="&amp;DATE(YEAR_Y-1,12,31))=0,"",SUMIFS('Fund History'!$E$86:$E$90,'Fund History'!$D$86:$D$90,"&gt;="&amp;DATE(YEAR_Y-1,1,1),'Fund History'!$D$86:$D$90,"&lt;="&amp;DATE(YEAR_Y-1,12,31)))))</f>
        <v/>
      </c>
      <c r="AU25" s="76">
        <f>IF($C25="","",IF(PULL_FUND="N","",IFERROR(BDP($C25,NDEBITDA_FIELD),"")))</f>
        <v/>
      </c>
      <c r="AV25" s="84">
        <f>IF($C25="","",IF(PULL_FUND="N","",IFERROR(BDP($C25,EBINT_FIELD),"")))</f>
        <v/>
      </c>
      <c r="AW25" s="82">
        <f>IF($C25="","",IF(PULL_FUND="N","",IFERROR(BDP($C25,FCF_FIELD)/100,"")))</f>
        <v/>
      </c>
      <c r="AX25" s="50">
        <f>IF($C25="","",IF(N($U25)=0,"",IFERROR($AW25/$U25,"")))</f>
        <v/>
      </c>
      <c r="AY25" s="85">
        <f>IF($C25="","",TRIM(IF(ISNUMBER($AJ25)*(N($AJ25)&gt;$D$4)&gt;0,"payout high  ","")&amp;IF(ISNUMBER($AX25)*(N($AX25)&lt;$F$4)&gt;0,"FCF below dvd  ","")&amp;IF(ISNUMBER($AU25)*(N($AU25)&gt;$H$4)&gt;0,"leverage high","")))</f>
        <v/>
      </c>
      <c r="AZ25" s="86">
        <f>IF($C25="","",IF(HSI!$F$20="HKD","",HSI!$F$20))</f>
        <v/>
      </c>
    </row>
    <row r="26">
      <c r="B26" s="66" t="inlineStr">
        <is>
          <t>HSI</t>
        </is>
      </c>
      <c r="C26" s="8">
        <f>IF(HSI!$C$21="","",HSI!$C$21)</f>
        <v/>
      </c>
      <c r="D26" s="8">
        <f>IF($C26="","",HSI!$D$21)</f>
        <v/>
      </c>
      <c r="E26" s="8">
        <f>IF($C26="","",HSI!$E$21)</f>
        <v/>
      </c>
      <c r="F26" s="67">
        <f>IF($C26="","",SUMPRODUCT(('Dvd Calendar'!$E$165:$AR$165&gt;=DATE(YEAR_Y-5,1,1))*('Dvd Calendar'!$E$165:$AR$165&lt;=DATE(YEAR_Y-5,12,31))*'Dvd Calendar'!$E$168:$AR$168*(('Dvd Calendar'!$E$170:$AR$170=TYPE1)*(TYPE1&lt;&gt;"")+('Dvd Calendar'!$E$170:$AR$170=TYPE2)*(TYPE2&lt;&gt;"")+('Dvd Calendar'!$E$170:$AR$170=TYPE3)*(TYPE3&lt;&gt;"")+('Dvd Calendar'!$E$170:$AR$170=TYPE4)*(TYPE4&lt;&gt;"")+('Dvd Calendar'!$E$170:$AR$170=SPECIAL_LBL)*(INC_SPECIALS="Y"))))</f>
        <v/>
      </c>
      <c r="G26" s="68">
        <f>IF($C26="","",SUMPRODUCT(('Dvd Calendar'!$E$165:$AR$165&gt;=DATE(YEAR_Y-4,1,1))*('Dvd Calendar'!$E$165:$AR$165&lt;=DATE(YEAR_Y-4,12,31))*'Dvd Calendar'!$E$168:$AR$168*(('Dvd Calendar'!$E$170:$AR$170=TYPE1)*(TYPE1&lt;&gt;"")+('Dvd Calendar'!$E$170:$AR$170=TYPE2)*(TYPE2&lt;&gt;"")+('Dvd Calendar'!$E$170:$AR$170=TYPE3)*(TYPE3&lt;&gt;"")+('Dvd Calendar'!$E$170:$AR$170=TYPE4)*(TYPE4&lt;&gt;"")+('Dvd Calendar'!$E$170:$AR$170=SPECIAL_LBL)*(INC_SPECIALS="Y"))))</f>
        <v/>
      </c>
      <c r="H26" s="68">
        <f>IF($C26="","",SUMPRODUCT(('Dvd Calendar'!$E$165:$AR$165&gt;=DATE(YEAR_Y-3,1,1))*('Dvd Calendar'!$E$165:$AR$165&lt;=DATE(YEAR_Y-3,12,31))*'Dvd Calendar'!$E$168:$AR$168*(('Dvd Calendar'!$E$170:$AR$170=TYPE1)*(TYPE1&lt;&gt;"")+('Dvd Calendar'!$E$170:$AR$170=TYPE2)*(TYPE2&lt;&gt;"")+('Dvd Calendar'!$E$170:$AR$170=TYPE3)*(TYPE3&lt;&gt;"")+('Dvd Calendar'!$E$170:$AR$170=TYPE4)*(TYPE4&lt;&gt;"")+('Dvd Calendar'!$E$170:$AR$170=SPECIAL_LBL)*(INC_SPECIALS="Y"))))</f>
        <v/>
      </c>
      <c r="I26" s="68">
        <f>IF($C26="","",SUMPRODUCT(('Dvd Calendar'!$E$165:$AR$165&gt;=DATE(YEAR_Y-2,1,1))*('Dvd Calendar'!$E$165:$AR$165&lt;=DATE(YEAR_Y-2,12,31))*'Dvd Calendar'!$E$168:$AR$168*(('Dvd Calendar'!$E$170:$AR$170=TYPE1)*(TYPE1&lt;&gt;"")+('Dvd Calendar'!$E$170:$AR$170=TYPE2)*(TYPE2&lt;&gt;"")+('Dvd Calendar'!$E$170:$AR$170=TYPE3)*(TYPE3&lt;&gt;"")+('Dvd Calendar'!$E$170:$AR$170=TYPE4)*(TYPE4&lt;&gt;"")+('Dvd Calendar'!$E$170:$AR$170=SPECIAL_LBL)*(INC_SPECIALS="Y"))))</f>
        <v/>
      </c>
      <c r="J26" s="68">
        <f>IF($C26="","",SUMPRODUCT(('Dvd Calendar'!$E$165:$AR$165&gt;=DATE(YEAR_Y-1,1,1))*('Dvd Calendar'!$E$165:$AR$165&lt;=DATE(YEAR_Y-1,12,31))*'Dvd Calendar'!$E$168:$AR$168*(('Dvd Calendar'!$E$170:$AR$170=TYPE1)*(TYPE1&lt;&gt;"")+('Dvd Calendar'!$E$170:$AR$170=TYPE2)*(TYPE2&lt;&gt;"")+('Dvd Calendar'!$E$170:$AR$170=TYPE3)*(TYPE3&lt;&gt;"")+('Dvd Calendar'!$E$170:$AR$170=TYPE4)*(TYPE4&lt;&gt;"")+('Dvd Calendar'!$E$170:$AR$170=SPECIAL_LBL)*(INC_SPECIALS="Y"))))</f>
        <v/>
      </c>
      <c r="K26" s="69">
        <f>IF($C26="","",HSI!$J$21)</f>
        <v/>
      </c>
      <c r="L26" s="69">
        <f>IF($C26="","",HSI!$K$21)</f>
        <v/>
      </c>
      <c r="M26" s="44">
        <f>IF($C26="","",HSI!$J$21+HSI!$L$21)</f>
        <v/>
      </c>
      <c r="N26" s="70">
        <f>IF($C26="","",IF(PULL_FUND="N","",IFERROR(BDP($C26,BESTDPS_FIELD,FWD_OVERRIDE,TEXT(MOD(YEAR_Y,100),"00")&amp;"Y"),"")))</f>
        <v/>
      </c>
      <c r="O26" s="69">
        <f>IF($C26="","",AVERAGE(F26:J26))</f>
        <v/>
      </c>
      <c r="P26" s="71">
        <f>IF($C26="","",IF(PULL_FUND="N","",IF(COUNTIFS('Fund History'!$J$92:$J$96,"&gt;="&amp;DATE(YEAR_Y-5,1,1),'Fund History'!$J$92:$J$96,"&lt;="&amp;DATE(YEAR_Y-5,12,31))=0,"",IFERROR($F26*HSI!$G$21/SUMIFS('Fund History'!$K$92:$K$96,'Fund History'!$J$92:$J$96,"&gt;="&amp;DATE(YEAR_Y-5,1,1),'Fund History'!$J$92:$J$96,"&lt;="&amp;DATE(YEAR_Y-5,12,31)),""))))</f>
        <v/>
      </c>
      <c r="Q26" s="72">
        <f>IF($C26="","",IF(PULL_FUND="N","",IF(COUNTIFS('Fund History'!$J$92:$J$96,"&gt;="&amp;DATE(YEAR_Y-4,1,1),'Fund History'!$J$92:$J$96,"&lt;="&amp;DATE(YEAR_Y-4,12,31))=0,"",IFERROR($G26*HSI!$G$21/SUMIFS('Fund History'!$K$92:$K$96,'Fund History'!$J$92:$J$96,"&gt;="&amp;DATE(YEAR_Y-4,1,1),'Fund History'!$J$92:$J$96,"&lt;="&amp;DATE(YEAR_Y-4,12,31)),""))))</f>
        <v/>
      </c>
      <c r="R26" s="72">
        <f>IF($C26="","",IF(PULL_FUND="N","",IF(COUNTIFS('Fund History'!$J$92:$J$96,"&gt;="&amp;DATE(YEAR_Y-3,1,1),'Fund History'!$J$92:$J$96,"&lt;="&amp;DATE(YEAR_Y-3,12,31))=0,"",IFERROR($H26*HSI!$G$21/SUMIFS('Fund History'!$K$92:$K$96,'Fund History'!$J$92:$J$96,"&gt;="&amp;DATE(YEAR_Y-3,1,1),'Fund History'!$J$92:$J$96,"&lt;="&amp;DATE(YEAR_Y-3,12,31)),""))))</f>
        <v/>
      </c>
      <c r="S26" s="72">
        <f>IF($C26="","",IF(PULL_FUND="N","",IF(COUNTIFS('Fund History'!$J$92:$J$96,"&gt;="&amp;DATE(YEAR_Y-2,1,1),'Fund History'!$J$92:$J$96,"&lt;="&amp;DATE(YEAR_Y-2,12,31))=0,"",IFERROR($I26*HSI!$G$21/SUMIFS('Fund History'!$K$92:$K$96,'Fund History'!$J$92:$J$96,"&gt;="&amp;DATE(YEAR_Y-2,1,1),'Fund History'!$J$92:$J$96,"&lt;="&amp;DATE(YEAR_Y-2,12,31)),""))))</f>
        <v/>
      </c>
      <c r="T26" s="72">
        <f>IF($C26="","",IF(PULL_FUND="N","",IF(COUNTIFS('Fund History'!$J$92:$J$96,"&gt;="&amp;DATE(YEAR_Y-1,1,1),'Fund History'!$J$92:$J$96,"&lt;="&amp;DATE(YEAR_Y-1,12,31))=0,"",IFERROR($J26*HSI!$G$21/SUMIFS('Fund History'!$K$92:$K$96,'Fund History'!$J$92:$J$96,"&gt;="&amp;DATE(YEAR_Y-1,1,1),'Fund History'!$J$92:$J$96,"&lt;="&amp;DATE(YEAR_Y-1,12,31)),""))))</f>
        <v/>
      </c>
      <c r="U26" s="73">
        <f>IF($C26="","",IF(ISNUMBER(HSI!$I$21),HSI!$I$21/100,""))</f>
        <v/>
      </c>
      <c r="V26" s="74">
        <f>IF($C26="","",IF(ISNUMBER(HSI!$X$21),IFERROR($M26*HSI!$G$21/HSI!$X$21,""),""))</f>
        <v/>
      </c>
      <c r="W26" s="73">
        <f>IF($C26="","",IF(ISNUMBER($N26),IFERROR($N26*HSI!$G$21/HSI!$X$21,""),""))</f>
        <v/>
      </c>
      <c r="X26" s="75">
        <f>IF($C26="","",IF(PULL_FUND="N","",IFERROR(BDP($C26,EPS_FIELD,YR_OVERRIDE,TEXT(YEAR_Y-5,"0")),"")))</f>
        <v/>
      </c>
      <c r="Y26" s="76">
        <f>IF($C26="","",IF(PULL_FUND="N","",IFERROR(BDP($C26,EPS_FIELD,YR_OVERRIDE,TEXT(YEAR_Y-4,"0")),"")))</f>
        <v/>
      </c>
      <c r="Z26" s="76">
        <f>IF($C26="","",IF(PULL_FUND="N","",IFERROR(BDP($C26,EPS_FIELD,YR_OVERRIDE,TEXT(YEAR_Y-3,"0")),"")))</f>
        <v/>
      </c>
      <c r="AA26" s="76">
        <f>IF($C26="","",IF(PULL_FUND="N","",IFERROR(BDP($C26,EPS_FIELD,YR_OVERRIDE,TEXT(YEAR_Y-2,"0")),"")))</f>
        <v/>
      </c>
      <c r="AB26" s="76">
        <f>IF($C26="","",IF(PULL_FUND="N","",IFERROR(BDP($C26,EPS_FIELD,YR_OVERRIDE,TEXT(YEAR_Y-1,"0")),"")))</f>
        <v/>
      </c>
      <c r="AC26" s="50">
        <f>IF($C26="","",IFERROR(AVERAGE(X26:AB26),""))</f>
        <v/>
      </c>
      <c r="AD26" s="76">
        <f>IF($C26="","",IF(PULL_FUND="N","",IFERROR(BDP($C26,BESTEPS_FIELD,FWD_OVERRIDE,TEXT(MOD(YEAR_Y,100),"00")&amp;"Y"),"")))</f>
        <v/>
      </c>
      <c r="AE26" s="77">
        <f>IF($C26="","",IF(PULL_FUND="N","",IFERROR(BDP($C26,PAYOUT_FIELD,YR_OVERRIDE,TEXT(YEAR_Y-5,"0"))/100,"")))</f>
        <v/>
      </c>
      <c r="AF26" s="78">
        <f>IF($C26="","",IF(PULL_FUND="N","",IFERROR(BDP($C26,PAYOUT_FIELD,YR_OVERRIDE,TEXT(YEAR_Y-4,"0"))/100,"")))</f>
        <v/>
      </c>
      <c r="AG26" s="78">
        <f>IF($C26="","",IF(PULL_FUND="N","",IFERROR(BDP($C26,PAYOUT_FIELD,YR_OVERRIDE,TEXT(YEAR_Y-3,"0"))/100,"")))</f>
        <v/>
      </c>
      <c r="AH26" s="78">
        <f>IF($C26="","",IF(PULL_FUND="N","",IFERROR(BDP($C26,PAYOUT_FIELD,YR_OVERRIDE,TEXT(YEAR_Y-2,"0"))/100,"")))</f>
        <v/>
      </c>
      <c r="AI26" s="78">
        <f>IF($C26="","",IF(PULL_FUND="N","",IFERROR(BDP($C26,PAYOUT_FIELD,YR_OVERRIDE,TEXT(YEAR_Y-1,"0"))/100,"")))</f>
        <v/>
      </c>
      <c r="AJ26" s="79">
        <f>IF($C26="","",IFERROR(AVERAGE(AE26:AI26),""))</f>
        <v/>
      </c>
      <c r="AK26" s="80">
        <f>IF($C26="","",IF(ISNUMBER($AD26)*ISNUMBER($N26)*($AD26&lt;&gt;0)=0,"",$N26/$AD26))</f>
        <v/>
      </c>
      <c r="AL26" s="79">
        <f>IF($C26="","",IF(ISNUMBER($AD26)*($AD26&lt;&gt;0)=0,"",$M26/$AD26))</f>
        <v/>
      </c>
      <c r="AM26" s="37">
        <f>IF($C26="","",IF(ISNUMBER($AE26)*ISNUMBER($AI26)=0,"",IF($AI26&gt;$AE26+0.05,"rising",IF($AI26&lt;$AE26-0.05,"falling","stable"))))</f>
        <v/>
      </c>
      <c r="AN26" s="81">
        <f>IF($C26="","",IF(PULL_FUND="N","",IF(COUNTIFS('Fund History'!$G$92:$G$96,"&gt;="&amp;DATE(YEAR_Y-4,1,1),'Fund History'!$G$92:$G$96,"&lt;="&amp;DATE(YEAR_Y-4,12,31))=0,"",SUMIFS('Fund History'!$H$92:$H$96,'Fund History'!$G$92:$G$96,"&gt;="&amp;DATE(YEAR_Y-4,1,1),'Fund History'!$G$92:$G$96,"&lt;="&amp;DATE(YEAR_Y-4,12,31))/100)))</f>
        <v/>
      </c>
      <c r="AO26" s="82">
        <f>IF($C26="","",IF(PULL_FUND="N","",IF(COUNTIFS('Fund History'!$G$92:$G$96,"&gt;="&amp;DATE(YEAR_Y-3,1,1),'Fund History'!$G$92:$G$96,"&lt;="&amp;DATE(YEAR_Y-3,12,31))=0,"",SUMIFS('Fund History'!$H$92:$H$96,'Fund History'!$G$92:$G$96,"&gt;="&amp;DATE(YEAR_Y-3,1,1),'Fund History'!$G$92:$G$96,"&lt;="&amp;DATE(YEAR_Y-3,12,31))/100)))</f>
        <v/>
      </c>
      <c r="AP26" s="82">
        <f>IF($C26="","",IF(PULL_FUND="N","",IF(COUNTIFS('Fund History'!$G$92:$G$96,"&gt;="&amp;DATE(YEAR_Y-2,1,1),'Fund History'!$G$92:$G$96,"&lt;="&amp;DATE(YEAR_Y-2,12,31))=0,"",SUMIFS('Fund History'!$H$92:$H$96,'Fund History'!$G$92:$G$96,"&gt;="&amp;DATE(YEAR_Y-2,1,1),'Fund History'!$G$92:$G$96,"&lt;="&amp;DATE(YEAR_Y-2,12,31))/100)))</f>
        <v/>
      </c>
      <c r="AQ26" s="82">
        <f>IF($C26="","",IF(PULL_FUND="N","",IF(COUNTIFS('Fund History'!$G$92:$G$96,"&gt;="&amp;DATE(YEAR_Y-1,1,1),'Fund History'!$G$92:$G$96,"&lt;="&amp;DATE(YEAR_Y-1,12,31))=0,"",SUMIFS('Fund History'!$H$92:$H$96,'Fund History'!$G$92:$G$96,"&gt;="&amp;DATE(YEAR_Y-1,1,1),'Fund History'!$G$92:$G$96,"&lt;="&amp;DATE(YEAR_Y-1,12,31))/100)))</f>
        <v/>
      </c>
      <c r="AR26" s="83">
        <f>IF($C26="","",IF(N($AQ26)+N(HSI!$I$21)=0,"",N($AQ26)+N(HSI!$I$21)/100))</f>
        <v/>
      </c>
      <c r="AS26" s="75">
        <f>IF($C26="","",IF(PULL_FUND="N","",IF(COUNTIFS('Fund History'!$D$92:$D$96,"&gt;="&amp;DATE(YEAR_Y-2,1,1),'Fund History'!$D$92:$D$96,"&lt;="&amp;DATE(YEAR_Y-2,12,31))=0,"",SUMIFS('Fund History'!$E$92:$E$96,'Fund History'!$D$92:$D$96,"&gt;="&amp;DATE(YEAR_Y-2,1,1),'Fund History'!$D$92:$D$96,"&lt;="&amp;DATE(YEAR_Y-2,12,31)))))</f>
        <v/>
      </c>
      <c r="AT26" s="76">
        <f>IF($C26="","",IF(PULL_FUND="N","",IF(COUNTIFS('Fund History'!$D$92:$D$96,"&gt;="&amp;DATE(YEAR_Y-1,1,1),'Fund History'!$D$92:$D$96,"&lt;="&amp;DATE(YEAR_Y-1,12,31))=0,"",SUMIFS('Fund History'!$E$92:$E$96,'Fund History'!$D$92:$D$96,"&gt;="&amp;DATE(YEAR_Y-1,1,1),'Fund History'!$D$92:$D$96,"&lt;="&amp;DATE(YEAR_Y-1,12,31)))))</f>
        <v/>
      </c>
      <c r="AU26" s="76">
        <f>IF($C26="","",IF(PULL_FUND="N","",IFERROR(BDP($C26,NDEBITDA_FIELD),"")))</f>
        <v/>
      </c>
      <c r="AV26" s="84">
        <f>IF($C26="","",IF(PULL_FUND="N","",IFERROR(BDP($C26,EBINT_FIELD),"")))</f>
        <v/>
      </c>
      <c r="AW26" s="82">
        <f>IF($C26="","",IF(PULL_FUND="N","",IFERROR(BDP($C26,FCF_FIELD)/100,"")))</f>
        <v/>
      </c>
      <c r="AX26" s="50">
        <f>IF($C26="","",IF(N($U26)=0,"",IFERROR($AW26/$U26,"")))</f>
        <v/>
      </c>
      <c r="AY26" s="85">
        <f>IF($C26="","",TRIM(IF(ISNUMBER($AJ26)*(N($AJ26)&gt;$D$4)&gt;0,"payout high  ","")&amp;IF(ISNUMBER($AX26)*(N($AX26)&lt;$F$4)&gt;0,"FCF below dvd  ","")&amp;IF(ISNUMBER($AU26)*(N($AU26)&gt;$H$4)&gt;0,"leverage high","")))</f>
        <v/>
      </c>
      <c r="AZ26" s="86">
        <f>IF($C26="","",IF(HSI!$F$21="HKD","",HSI!$F$21))</f>
        <v/>
      </c>
    </row>
    <row r="27">
      <c r="B27" s="66" t="inlineStr">
        <is>
          <t>HSI</t>
        </is>
      </c>
      <c r="C27" s="8">
        <f>IF(HSI!$C$22="","",HSI!$C$22)</f>
        <v/>
      </c>
      <c r="D27" s="8">
        <f>IF($C27="","",HSI!$D$22)</f>
        <v/>
      </c>
      <c r="E27" s="8">
        <f>IF($C27="","",HSI!$E$22)</f>
        <v/>
      </c>
      <c r="F27" s="67">
        <f>IF($C27="","",SUMPRODUCT(('Dvd Calendar'!$E$176:$AR$176&gt;=DATE(YEAR_Y-5,1,1))*('Dvd Calendar'!$E$176:$AR$176&lt;=DATE(YEAR_Y-5,12,31))*'Dvd Calendar'!$E$179:$AR$179*(('Dvd Calendar'!$E$181:$AR$181=TYPE1)*(TYPE1&lt;&gt;"")+('Dvd Calendar'!$E$181:$AR$181=TYPE2)*(TYPE2&lt;&gt;"")+('Dvd Calendar'!$E$181:$AR$181=TYPE3)*(TYPE3&lt;&gt;"")+('Dvd Calendar'!$E$181:$AR$181=TYPE4)*(TYPE4&lt;&gt;"")+('Dvd Calendar'!$E$181:$AR$181=SPECIAL_LBL)*(INC_SPECIALS="Y"))))</f>
        <v/>
      </c>
      <c r="G27" s="68">
        <f>IF($C27="","",SUMPRODUCT(('Dvd Calendar'!$E$176:$AR$176&gt;=DATE(YEAR_Y-4,1,1))*('Dvd Calendar'!$E$176:$AR$176&lt;=DATE(YEAR_Y-4,12,31))*'Dvd Calendar'!$E$179:$AR$179*(('Dvd Calendar'!$E$181:$AR$181=TYPE1)*(TYPE1&lt;&gt;"")+('Dvd Calendar'!$E$181:$AR$181=TYPE2)*(TYPE2&lt;&gt;"")+('Dvd Calendar'!$E$181:$AR$181=TYPE3)*(TYPE3&lt;&gt;"")+('Dvd Calendar'!$E$181:$AR$181=TYPE4)*(TYPE4&lt;&gt;"")+('Dvd Calendar'!$E$181:$AR$181=SPECIAL_LBL)*(INC_SPECIALS="Y"))))</f>
        <v/>
      </c>
      <c r="H27" s="68">
        <f>IF($C27="","",SUMPRODUCT(('Dvd Calendar'!$E$176:$AR$176&gt;=DATE(YEAR_Y-3,1,1))*('Dvd Calendar'!$E$176:$AR$176&lt;=DATE(YEAR_Y-3,12,31))*'Dvd Calendar'!$E$179:$AR$179*(('Dvd Calendar'!$E$181:$AR$181=TYPE1)*(TYPE1&lt;&gt;"")+('Dvd Calendar'!$E$181:$AR$181=TYPE2)*(TYPE2&lt;&gt;"")+('Dvd Calendar'!$E$181:$AR$181=TYPE3)*(TYPE3&lt;&gt;"")+('Dvd Calendar'!$E$181:$AR$181=TYPE4)*(TYPE4&lt;&gt;"")+('Dvd Calendar'!$E$181:$AR$181=SPECIAL_LBL)*(INC_SPECIALS="Y"))))</f>
        <v/>
      </c>
      <c r="I27" s="68">
        <f>IF($C27="","",SUMPRODUCT(('Dvd Calendar'!$E$176:$AR$176&gt;=DATE(YEAR_Y-2,1,1))*('Dvd Calendar'!$E$176:$AR$176&lt;=DATE(YEAR_Y-2,12,31))*'Dvd Calendar'!$E$179:$AR$179*(('Dvd Calendar'!$E$181:$AR$181=TYPE1)*(TYPE1&lt;&gt;"")+('Dvd Calendar'!$E$181:$AR$181=TYPE2)*(TYPE2&lt;&gt;"")+('Dvd Calendar'!$E$181:$AR$181=TYPE3)*(TYPE3&lt;&gt;"")+('Dvd Calendar'!$E$181:$AR$181=TYPE4)*(TYPE4&lt;&gt;"")+('Dvd Calendar'!$E$181:$AR$181=SPECIAL_LBL)*(INC_SPECIALS="Y"))))</f>
        <v/>
      </c>
      <c r="J27" s="68">
        <f>IF($C27="","",SUMPRODUCT(('Dvd Calendar'!$E$176:$AR$176&gt;=DATE(YEAR_Y-1,1,1))*('Dvd Calendar'!$E$176:$AR$176&lt;=DATE(YEAR_Y-1,12,31))*'Dvd Calendar'!$E$179:$AR$179*(('Dvd Calendar'!$E$181:$AR$181=TYPE1)*(TYPE1&lt;&gt;"")+('Dvd Calendar'!$E$181:$AR$181=TYPE2)*(TYPE2&lt;&gt;"")+('Dvd Calendar'!$E$181:$AR$181=TYPE3)*(TYPE3&lt;&gt;"")+('Dvd Calendar'!$E$181:$AR$181=TYPE4)*(TYPE4&lt;&gt;"")+('Dvd Calendar'!$E$181:$AR$181=SPECIAL_LBL)*(INC_SPECIALS="Y"))))</f>
        <v/>
      </c>
      <c r="K27" s="69">
        <f>IF($C27="","",HSI!$J$22)</f>
        <v/>
      </c>
      <c r="L27" s="69">
        <f>IF($C27="","",HSI!$K$22)</f>
        <v/>
      </c>
      <c r="M27" s="44">
        <f>IF($C27="","",HSI!$J$22+HSI!$L$22)</f>
        <v/>
      </c>
      <c r="N27" s="70">
        <f>IF($C27="","",IF(PULL_FUND="N","",IFERROR(BDP($C27,BESTDPS_FIELD,FWD_OVERRIDE,TEXT(MOD(YEAR_Y,100),"00")&amp;"Y"),"")))</f>
        <v/>
      </c>
      <c r="O27" s="69">
        <f>IF($C27="","",AVERAGE(F27:J27))</f>
        <v/>
      </c>
      <c r="P27" s="71">
        <f>IF($C27="","",IF(PULL_FUND="N","",IF(COUNTIFS('Fund History'!$J$98:$J$102,"&gt;="&amp;DATE(YEAR_Y-5,1,1),'Fund History'!$J$98:$J$102,"&lt;="&amp;DATE(YEAR_Y-5,12,31))=0,"",IFERROR($F27*HSI!$G$22/SUMIFS('Fund History'!$K$98:$K$102,'Fund History'!$J$98:$J$102,"&gt;="&amp;DATE(YEAR_Y-5,1,1),'Fund History'!$J$98:$J$102,"&lt;="&amp;DATE(YEAR_Y-5,12,31)),""))))</f>
        <v/>
      </c>
      <c r="Q27" s="72">
        <f>IF($C27="","",IF(PULL_FUND="N","",IF(COUNTIFS('Fund History'!$J$98:$J$102,"&gt;="&amp;DATE(YEAR_Y-4,1,1),'Fund History'!$J$98:$J$102,"&lt;="&amp;DATE(YEAR_Y-4,12,31))=0,"",IFERROR($G27*HSI!$G$22/SUMIFS('Fund History'!$K$98:$K$102,'Fund History'!$J$98:$J$102,"&gt;="&amp;DATE(YEAR_Y-4,1,1),'Fund History'!$J$98:$J$102,"&lt;="&amp;DATE(YEAR_Y-4,12,31)),""))))</f>
        <v/>
      </c>
      <c r="R27" s="72">
        <f>IF($C27="","",IF(PULL_FUND="N","",IF(COUNTIFS('Fund History'!$J$98:$J$102,"&gt;="&amp;DATE(YEAR_Y-3,1,1),'Fund History'!$J$98:$J$102,"&lt;="&amp;DATE(YEAR_Y-3,12,31))=0,"",IFERROR($H27*HSI!$G$22/SUMIFS('Fund History'!$K$98:$K$102,'Fund History'!$J$98:$J$102,"&gt;="&amp;DATE(YEAR_Y-3,1,1),'Fund History'!$J$98:$J$102,"&lt;="&amp;DATE(YEAR_Y-3,12,31)),""))))</f>
        <v/>
      </c>
      <c r="S27" s="72">
        <f>IF($C27="","",IF(PULL_FUND="N","",IF(COUNTIFS('Fund History'!$J$98:$J$102,"&gt;="&amp;DATE(YEAR_Y-2,1,1),'Fund History'!$J$98:$J$102,"&lt;="&amp;DATE(YEAR_Y-2,12,31))=0,"",IFERROR($I27*HSI!$G$22/SUMIFS('Fund History'!$K$98:$K$102,'Fund History'!$J$98:$J$102,"&gt;="&amp;DATE(YEAR_Y-2,1,1),'Fund History'!$J$98:$J$102,"&lt;="&amp;DATE(YEAR_Y-2,12,31)),""))))</f>
        <v/>
      </c>
      <c r="T27" s="72">
        <f>IF($C27="","",IF(PULL_FUND="N","",IF(COUNTIFS('Fund History'!$J$98:$J$102,"&gt;="&amp;DATE(YEAR_Y-1,1,1),'Fund History'!$J$98:$J$102,"&lt;="&amp;DATE(YEAR_Y-1,12,31))=0,"",IFERROR($J27*HSI!$G$22/SUMIFS('Fund History'!$K$98:$K$102,'Fund History'!$J$98:$J$102,"&gt;="&amp;DATE(YEAR_Y-1,1,1),'Fund History'!$J$98:$J$102,"&lt;="&amp;DATE(YEAR_Y-1,12,31)),""))))</f>
        <v/>
      </c>
      <c r="U27" s="73">
        <f>IF($C27="","",IF(ISNUMBER(HSI!$I$22),HSI!$I$22/100,""))</f>
        <v/>
      </c>
      <c r="V27" s="74">
        <f>IF($C27="","",IF(ISNUMBER(HSI!$X$22),IFERROR($M27*HSI!$G$22/HSI!$X$22,""),""))</f>
        <v/>
      </c>
      <c r="W27" s="73">
        <f>IF($C27="","",IF(ISNUMBER($N27),IFERROR($N27*HSI!$G$22/HSI!$X$22,""),""))</f>
        <v/>
      </c>
      <c r="X27" s="75">
        <f>IF($C27="","",IF(PULL_FUND="N","",IFERROR(BDP($C27,EPS_FIELD,YR_OVERRIDE,TEXT(YEAR_Y-5,"0")),"")))</f>
        <v/>
      </c>
      <c r="Y27" s="76">
        <f>IF($C27="","",IF(PULL_FUND="N","",IFERROR(BDP($C27,EPS_FIELD,YR_OVERRIDE,TEXT(YEAR_Y-4,"0")),"")))</f>
        <v/>
      </c>
      <c r="Z27" s="76">
        <f>IF($C27="","",IF(PULL_FUND="N","",IFERROR(BDP($C27,EPS_FIELD,YR_OVERRIDE,TEXT(YEAR_Y-3,"0")),"")))</f>
        <v/>
      </c>
      <c r="AA27" s="76">
        <f>IF($C27="","",IF(PULL_FUND="N","",IFERROR(BDP($C27,EPS_FIELD,YR_OVERRIDE,TEXT(YEAR_Y-2,"0")),"")))</f>
        <v/>
      </c>
      <c r="AB27" s="76">
        <f>IF($C27="","",IF(PULL_FUND="N","",IFERROR(BDP($C27,EPS_FIELD,YR_OVERRIDE,TEXT(YEAR_Y-1,"0")),"")))</f>
        <v/>
      </c>
      <c r="AC27" s="50">
        <f>IF($C27="","",IFERROR(AVERAGE(X27:AB27),""))</f>
        <v/>
      </c>
      <c r="AD27" s="76">
        <f>IF($C27="","",IF(PULL_FUND="N","",IFERROR(BDP($C27,BESTEPS_FIELD,FWD_OVERRIDE,TEXT(MOD(YEAR_Y,100),"00")&amp;"Y"),"")))</f>
        <v/>
      </c>
      <c r="AE27" s="77">
        <f>IF($C27="","",IF(PULL_FUND="N","",IFERROR(BDP($C27,PAYOUT_FIELD,YR_OVERRIDE,TEXT(YEAR_Y-5,"0"))/100,"")))</f>
        <v/>
      </c>
      <c r="AF27" s="78">
        <f>IF($C27="","",IF(PULL_FUND="N","",IFERROR(BDP($C27,PAYOUT_FIELD,YR_OVERRIDE,TEXT(YEAR_Y-4,"0"))/100,"")))</f>
        <v/>
      </c>
      <c r="AG27" s="78">
        <f>IF($C27="","",IF(PULL_FUND="N","",IFERROR(BDP($C27,PAYOUT_FIELD,YR_OVERRIDE,TEXT(YEAR_Y-3,"0"))/100,"")))</f>
        <v/>
      </c>
      <c r="AH27" s="78">
        <f>IF($C27="","",IF(PULL_FUND="N","",IFERROR(BDP($C27,PAYOUT_FIELD,YR_OVERRIDE,TEXT(YEAR_Y-2,"0"))/100,"")))</f>
        <v/>
      </c>
      <c r="AI27" s="78">
        <f>IF($C27="","",IF(PULL_FUND="N","",IFERROR(BDP($C27,PAYOUT_FIELD,YR_OVERRIDE,TEXT(YEAR_Y-1,"0"))/100,"")))</f>
        <v/>
      </c>
      <c r="AJ27" s="79">
        <f>IF($C27="","",IFERROR(AVERAGE(AE27:AI27),""))</f>
        <v/>
      </c>
      <c r="AK27" s="80">
        <f>IF($C27="","",IF(ISNUMBER($AD27)*ISNUMBER($N27)*($AD27&lt;&gt;0)=0,"",$N27/$AD27))</f>
        <v/>
      </c>
      <c r="AL27" s="79">
        <f>IF($C27="","",IF(ISNUMBER($AD27)*($AD27&lt;&gt;0)=0,"",$M27/$AD27))</f>
        <v/>
      </c>
      <c r="AM27" s="37">
        <f>IF($C27="","",IF(ISNUMBER($AE27)*ISNUMBER($AI27)=0,"",IF($AI27&gt;$AE27+0.05,"rising",IF($AI27&lt;$AE27-0.05,"falling","stable"))))</f>
        <v/>
      </c>
      <c r="AN27" s="81">
        <f>IF($C27="","",IF(PULL_FUND="N","",IF(COUNTIFS('Fund History'!$G$98:$G$102,"&gt;="&amp;DATE(YEAR_Y-4,1,1),'Fund History'!$G$98:$G$102,"&lt;="&amp;DATE(YEAR_Y-4,12,31))=0,"",SUMIFS('Fund History'!$H$98:$H$102,'Fund History'!$G$98:$G$102,"&gt;="&amp;DATE(YEAR_Y-4,1,1),'Fund History'!$G$98:$G$102,"&lt;="&amp;DATE(YEAR_Y-4,12,31))/100)))</f>
        <v/>
      </c>
      <c r="AO27" s="82">
        <f>IF($C27="","",IF(PULL_FUND="N","",IF(COUNTIFS('Fund History'!$G$98:$G$102,"&gt;="&amp;DATE(YEAR_Y-3,1,1),'Fund History'!$G$98:$G$102,"&lt;="&amp;DATE(YEAR_Y-3,12,31))=0,"",SUMIFS('Fund History'!$H$98:$H$102,'Fund History'!$G$98:$G$102,"&gt;="&amp;DATE(YEAR_Y-3,1,1),'Fund History'!$G$98:$G$102,"&lt;="&amp;DATE(YEAR_Y-3,12,31))/100)))</f>
        <v/>
      </c>
      <c r="AP27" s="82">
        <f>IF($C27="","",IF(PULL_FUND="N","",IF(COUNTIFS('Fund History'!$G$98:$G$102,"&gt;="&amp;DATE(YEAR_Y-2,1,1),'Fund History'!$G$98:$G$102,"&lt;="&amp;DATE(YEAR_Y-2,12,31))=0,"",SUMIFS('Fund History'!$H$98:$H$102,'Fund History'!$G$98:$G$102,"&gt;="&amp;DATE(YEAR_Y-2,1,1),'Fund History'!$G$98:$G$102,"&lt;="&amp;DATE(YEAR_Y-2,12,31))/100)))</f>
        <v/>
      </c>
      <c r="AQ27" s="82">
        <f>IF($C27="","",IF(PULL_FUND="N","",IF(COUNTIFS('Fund History'!$G$98:$G$102,"&gt;="&amp;DATE(YEAR_Y-1,1,1),'Fund History'!$G$98:$G$102,"&lt;="&amp;DATE(YEAR_Y-1,12,31))=0,"",SUMIFS('Fund History'!$H$98:$H$102,'Fund History'!$G$98:$G$102,"&gt;="&amp;DATE(YEAR_Y-1,1,1),'Fund History'!$G$98:$G$102,"&lt;="&amp;DATE(YEAR_Y-1,12,31))/100)))</f>
        <v/>
      </c>
      <c r="AR27" s="83">
        <f>IF($C27="","",IF(N($AQ27)+N(HSI!$I$22)=0,"",N($AQ27)+N(HSI!$I$22)/100))</f>
        <v/>
      </c>
      <c r="AS27" s="75">
        <f>IF($C27="","",IF(PULL_FUND="N","",IF(COUNTIFS('Fund History'!$D$98:$D$102,"&gt;="&amp;DATE(YEAR_Y-2,1,1),'Fund History'!$D$98:$D$102,"&lt;="&amp;DATE(YEAR_Y-2,12,31))=0,"",SUMIFS('Fund History'!$E$98:$E$102,'Fund History'!$D$98:$D$102,"&gt;="&amp;DATE(YEAR_Y-2,1,1),'Fund History'!$D$98:$D$102,"&lt;="&amp;DATE(YEAR_Y-2,12,31)))))</f>
        <v/>
      </c>
      <c r="AT27" s="76">
        <f>IF($C27="","",IF(PULL_FUND="N","",IF(COUNTIFS('Fund History'!$D$98:$D$102,"&gt;="&amp;DATE(YEAR_Y-1,1,1),'Fund History'!$D$98:$D$102,"&lt;="&amp;DATE(YEAR_Y-1,12,31))=0,"",SUMIFS('Fund History'!$E$98:$E$102,'Fund History'!$D$98:$D$102,"&gt;="&amp;DATE(YEAR_Y-1,1,1),'Fund History'!$D$98:$D$102,"&lt;="&amp;DATE(YEAR_Y-1,12,31)))))</f>
        <v/>
      </c>
      <c r="AU27" s="76">
        <f>IF($C27="","",IF(PULL_FUND="N","",IFERROR(BDP($C27,NDEBITDA_FIELD),"")))</f>
        <v/>
      </c>
      <c r="AV27" s="84">
        <f>IF($C27="","",IF(PULL_FUND="N","",IFERROR(BDP($C27,EBINT_FIELD),"")))</f>
        <v/>
      </c>
      <c r="AW27" s="82">
        <f>IF($C27="","",IF(PULL_FUND="N","",IFERROR(BDP($C27,FCF_FIELD)/100,"")))</f>
        <v/>
      </c>
      <c r="AX27" s="50">
        <f>IF($C27="","",IF(N($U27)=0,"",IFERROR($AW27/$U27,"")))</f>
        <v/>
      </c>
      <c r="AY27" s="85">
        <f>IF($C27="","",TRIM(IF(ISNUMBER($AJ27)*(N($AJ27)&gt;$D$4)&gt;0,"payout high  ","")&amp;IF(ISNUMBER($AX27)*(N($AX27)&lt;$F$4)&gt;0,"FCF below dvd  ","")&amp;IF(ISNUMBER($AU27)*(N($AU27)&gt;$H$4)&gt;0,"leverage high","")))</f>
        <v/>
      </c>
      <c r="AZ27" s="86">
        <f>IF($C27="","",IF(HSI!$F$22="HKD","",HSI!$F$22))</f>
        <v/>
      </c>
    </row>
    <row r="28">
      <c r="B28" s="66" t="inlineStr">
        <is>
          <t>HSI</t>
        </is>
      </c>
      <c r="C28" s="8">
        <f>IF(HSI!$C$23="","",HSI!$C$23)</f>
        <v/>
      </c>
      <c r="D28" s="8">
        <f>IF($C28="","",HSI!$D$23)</f>
        <v/>
      </c>
      <c r="E28" s="8">
        <f>IF($C28="","",HSI!$E$23)</f>
        <v/>
      </c>
      <c r="F28" s="67">
        <f>IF($C28="","",SUMPRODUCT(('Dvd Calendar'!$E$187:$AR$187&gt;=DATE(YEAR_Y-5,1,1))*('Dvd Calendar'!$E$187:$AR$187&lt;=DATE(YEAR_Y-5,12,31))*'Dvd Calendar'!$E$190:$AR$190*(('Dvd Calendar'!$E$192:$AR$192=TYPE1)*(TYPE1&lt;&gt;"")+('Dvd Calendar'!$E$192:$AR$192=TYPE2)*(TYPE2&lt;&gt;"")+('Dvd Calendar'!$E$192:$AR$192=TYPE3)*(TYPE3&lt;&gt;"")+('Dvd Calendar'!$E$192:$AR$192=TYPE4)*(TYPE4&lt;&gt;"")+('Dvd Calendar'!$E$192:$AR$192=SPECIAL_LBL)*(INC_SPECIALS="Y"))))</f>
        <v/>
      </c>
      <c r="G28" s="68">
        <f>IF($C28="","",SUMPRODUCT(('Dvd Calendar'!$E$187:$AR$187&gt;=DATE(YEAR_Y-4,1,1))*('Dvd Calendar'!$E$187:$AR$187&lt;=DATE(YEAR_Y-4,12,31))*'Dvd Calendar'!$E$190:$AR$190*(('Dvd Calendar'!$E$192:$AR$192=TYPE1)*(TYPE1&lt;&gt;"")+('Dvd Calendar'!$E$192:$AR$192=TYPE2)*(TYPE2&lt;&gt;"")+('Dvd Calendar'!$E$192:$AR$192=TYPE3)*(TYPE3&lt;&gt;"")+('Dvd Calendar'!$E$192:$AR$192=TYPE4)*(TYPE4&lt;&gt;"")+('Dvd Calendar'!$E$192:$AR$192=SPECIAL_LBL)*(INC_SPECIALS="Y"))))</f>
        <v/>
      </c>
      <c r="H28" s="68">
        <f>IF($C28="","",SUMPRODUCT(('Dvd Calendar'!$E$187:$AR$187&gt;=DATE(YEAR_Y-3,1,1))*('Dvd Calendar'!$E$187:$AR$187&lt;=DATE(YEAR_Y-3,12,31))*'Dvd Calendar'!$E$190:$AR$190*(('Dvd Calendar'!$E$192:$AR$192=TYPE1)*(TYPE1&lt;&gt;"")+('Dvd Calendar'!$E$192:$AR$192=TYPE2)*(TYPE2&lt;&gt;"")+('Dvd Calendar'!$E$192:$AR$192=TYPE3)*(TYPE3&lt;&gt;"")+('Dvd Calendar'!$E$192:$AR$192=TYPE4)*(TYPE4&lt;&gt;"")+('Dvd Calendar'!$E$192:$AR$192=SPECIAL_LBL)*(INC_SPECIALS="Y"))))</f>
        <v/>
      </c>
      <c r="I28" s="68">
        <f>IF($C28="","",SUMPRODUCT(('Dvd Calendar'!$E$187:$AR$187&gt;=DATE(YEAR_Y-2,1,1))*('Dvd Calendar'!$E$187:$AR$187&lt;=DATE(YEAR_Y-2,12,31))*'Dvd Calendar'!$E$190:$AR$190*(('Dvd Calendar'!$E$192:$AR$192=TYPE1)*(TYPE1&lt;&gt;"")+('Dvd Calendar'!$E$192:$AR$192=TYPE2)*(TYPE2&lt;&gt;"")+('Dvd Calendar'!$E$192:$AR$192=TYPE3)*(TYPE3&lt;&gt;"")+('Dvd Calendar'!$E$192:$AR$192=TYPE4)*(TYPE4&lt;&gt;"")+('Dvd Calendar'!$E$192:$AR$192=SPECIAL_LBL)*(INC_SPECIALS="Y"))))</f>
        <v/>
      </c>
      <c r="J28" s="68">
        <f>IF($C28="","",SUMPRODUCT(('Dvd Calendar'!$E$187:$AR$187&gt;=DATE(YEAR_Y-1,1,1))*('Dvd Calendar'!$E$187:$AR$187&lt;=DATE(YEAR_Y-1,12,31))*'Dvd Calendar'!$E$190:$AR$190*(('Dvd Calendar'!$E$192:$AR$192=TYPE1)*(TYPE1&lt;&gt;"")+('Dvd Calendar'!$E$192:$AR$192=TYPE2)*(TYPE2&lt;&gt;"")+('Dvd Calendar'!$E$192:$AR$192=TYPE3)*(TYPE3&lt;&gt;"")+('Dvd Calendar'!$E$192:$AR$192=TYPE4)*(TYPE4&lt;&gt;"")+('Dvd Calendar'!$E$192:$AR$192=SPECIAL_LBL)*(INC_SPECIALS="Y"))))</f>
        <v/>
      </c>
      <c r="K28" s="69">
        <f>IF($C28="","",HSI!$J$23)</f>
        <v/>
      </c>
      <c r="L28" s="69">
        <f>IF($C28="","",HSI!$K$23)</f>
        <v/>
      </c>
      <c r="M28" s="44">
        <f>IF($C28="","",HSI!$J$23+HSI!$L$23)</f>
        <v/>
      </c>
      <c r="N28" s="70">
        <f>IF($C28="","",IF(PULL_FUND="N","",IFERROR(BDP($C28,BESTDPS_FIELD,FWD_OVERRIDE,TEXT(MOD(YEAR_Y,100),"00")&amp;"Y"),"")))</f>
        <v/>
      </c>
      <c r="O28" s="69">
        <f>IF($C28="","",AVERAGE(F28:J28))</f>
        <v/>
      </c>
      <c r="P28" s="71">
        <f>IF($C28="","",IF(PULL_FUND="N","",IF(COUNTIFS('Fund History'!$J$104:$J$108,"&gt;="&amp;DATE(YEAR_Y-5,1,1),'Fund History'!$J$104:$J$108,"&lt;="&amp;DATE(YEAR_Y-5,12,31))=0,"",IFERROR($F28*HSI!$G$23/SUMIFS('Fund History'!$K$104:$K$108,'Fund History'!$J$104:$J$108,"&gt;="&amp;DATE(YEAR_Y-5,1,1),'Fund History'!$J$104:$J$108,"&lt;="&amp;DATE(YEAR_Y-5,12,31)),""))))</f>
        <v/>
      </c>
      <c r="Q28" s="72">
        <f>IF($C28="","",IF(PULL_FUND="N","",IF(COUNTIFS('Fund History'!$J$104:$J$108,"&gt;="&amp;DATE(YEAR_Y-4,1,1),'Fund History'!$J$104:$J$108,"&lt;="&amp;DATE(YEAR_Y-4,12,31))=0,"",IFERROR($G28*HSI!$G$23/SUMIFS('Fund History'!$K$104:$K$108,'Fund History'!$J$104:$J$108,"&gt;="&amp;DATE(YEAR_Y-4,1,1),'Fund History'!$J$104:$J$108,"&lt;="&amp;DATE(YEAR_Y-4,12,31)),""))))</f>
        <v/>
      </c>
      <c r="R28" s="72">
        <f>IF($C28="","",IF(PULL_FUND="N","",IF(COUNTIFS('Fund History'!$J$104:$J$108,"&gt;="&amp;DATE(YEAR_Y-3,1,1),'Fund History'!$J$104:$J$108,"&lt;="&amp;DATE(YEAR_Y-3,12,31))=0,"",IFERROR($H28*HSI!$G$23/SUMIFS('Fund History'!$K$104:$K$108,'Fund History'!$J$104:$J$108,"&gt;="&amp;DATE(YEAR_Y-3,1,1),'Fund History'!$J$104:$J$108,"&lt;="&amp;DATE(YEAR_Y-3,12,31)),""))))</f>
        <v/>
      </c>
      <c r="S28" s="72">
        <f>IF($C28="","",IF(PULL_FUND="N","",IF(COUNTIFS('Fund History'!$J$104:$J$108,"&gt;="&amp;DATE(YEAR_Y-2,1,1),'Fund History'!$J$104:$J$108,"&lt;="&amp;DATE(YEAR_Y-2,12,31))=0,"",IFERROR($I28*HSI!$G$23/SUMIFS('Fund History'!$K$104:$K$108,'Fund History'!$J$104:$J$108,"&gt;="&amp;DATE(YEAR_Y-2,1,1),'Fund History'!$J$104:$J$108,"&lt;="&amp;DATE(YEAR_Y-2,12,31)),""))))</f>
        <v/>
      </c>
      <c r="T28" s="72">
        <f>IF($C28="","",IF(PULL_FUND="N","",IF(COUNTIFS('Fund History'!$J$104:$J$108,"&gt;="&amp;DATE(YEAR_Y-1,1,1),'Fund History'!$J$104:$J$108,"&lt;="&amp;DATE(YEAR_Y-1,12,31))=0,"",IFERROR($J28*HSI!$G$23/SUMIFS('Fund History'!$K$104:$K$108,'Fund History'!$J$104:$J$108,"&gt;="&amp;DATE(YEAR_Y-1,1,1),'Fund History'!$J$104:$J$108,"&lt;="&amp;DATE(YEAR_Y-1,12,31)),""))))</f>
        <v/>
      </c>
      <c r="U28" s="73">
        <f>IF($C28="","",IF(ISNUMBER(HSI!$I$23),HSI!$I$23/100,""))</f>
        <v/>
      </c>
      <c r="V28" s="74">
        <f>IF($C28="","",IF(ISNUMBER(HSI!$X$23),IFERROR($M28*HSI!$G$23/HSI!$X$23,""),""))</f>
        <v/>
      </c>
      <c r="W28" s="73">
        <f>IF($C28="","",IF(ISNUMBER($N28),IFERROR($N28*HSI!$G$23/HSI!$X$23,""),""))</f>
        <v/>
      </c>
      <c r="X28" s="75">
        <f>IF($C28="","",IF(PULL_FUND="N","",IFERROR(BDP($C28,EPS_FIELD,YR_OVERRIDE,TEXT(YEAR_Y-5,"0")),"")))</f>
        <v/>
      </c>
      <c r="Y28" s="76">
        <f>IF($C28="","",IF(PULL_FUND="N","",IFERROR(BDP($C28,EPS_FIELD,YR_OVERRIDE,TEXT(YEAR_Y-4,"0")),"")))</f>
        <v/>
      </c>
      <c r="Z28" s="76">
        <f>IF($C28="","",IF(PULL_FUND="N","",IFERROR(BDP($C28,EPS_FIELD,YR_OVERRIDE,TEXT(YEAR_Y-3,"0")),"")))</f>
        <v/>
      </c>
      <c r="AA28" s="76">
        <f>IF($C28="","",IF(PULL_FUND="N","",IFERROR(BDP($C28,EPS_FIELD,YR_OVERRIDE,TEXT(YEAR_Y-2,"0")),"")))</f>
        <v/>
      </c>
      <c r="AB28" s="76">
        <f>IF($C28="","",IF(PULL_FUND="N","",IFERROR(BDP($C28,EPS_FIELD,YR_OVERRIDE,TEXT(YEAR_Y-1,"0")),"")))</f>
        <v/>
      </c>
      <c r="AC28" s="50">
        <f>IF($C28="","",IFERROR(AVERAGE(X28:AB28),""))</f>
        <v/>
      </c>
      <c r="AD28" s="76">
        <f>IF($C28="","",IF(PULL_FUND="N","",IFERROR(BDP($C28,BESTEPS_FIELD,FWD_OVERRIDE,TEXT(MOD(YEAR_Y,100),"00")&amp;"Y"),"")))</f>
        <v/>
      </c>
      <c r="AE28" s="77">
        <f>IF($C28="","",IF(PULL_FUND="N","",IFERROR(BDP($C28,PAYOUT_FIELD,YR_OVERRIDE,TEXT(YEAR_Y-5,"0"))/100,"")))</f>
        <v/>
      </c>
      <c r="AF28" s="78">
        <f>IF($C28="","",IF(PULL_FUND="N","",IFERROR(BDP($C28,PAYOUT_FIELD,YR_OVERRIDE,TEXT(YEAR_Y-4,"0"))/100,"")))</f>
        <v/>
      </c>
      <c r="AG28" s="78">
        <f>IF($C28="","",IF(PULL_FUND="N","",IFERROR(BDP($C28,PAYOUT_FIELD,YR_OVERRIDE,TEXT(YEAR_Y-3,"0"))/100,"")))</f>
        <v/>
      </c>
      <c r="AH28" s="78">
        <f>IF($C28="","",IF(PULL_FUND="N","",IFERROR(BDP($C28,PAYOUT_FIELD,YR_OVERRIDE,TEXT(YEAR_Y-2,"0"))/100,"")))</f>
        <v/>
      </c>
      <c r="AI28" s="78">
        <f>IF($C28="","",IF(PULL_FUND="N","",IFERROR(BDP($C28,PAYOUT_FIELD,YR_OVERRIDE,TEXT(YEAR_Y-1,"0"))/100,"")))</f>
        <v/>
      </c>
      <c r="AJ28" s="79">
        <f>IF($C28="","",IFERROR(AVERAGE(AE28:AI28),""))</f>
        <v/>
      </c>
      <c r="AK28" s="80">
        <f>IF($C28="","",IF(ISNUMBER($AD28)*ISNUMBER($N28)*($AD28&lt;&gt;0)=0,"",$N28/$AD28))</f>
        <v/>
      </c>
      <c r="AL28" s="79">
        <f>IF($C28="","",IF(ISNUMBER($AD28)*($AD28&lt;&gt;0)=0,"",$M28/$AD28))</f>
        <v/>
      </c>
      <c r="AM28" s="37">
        <f>IF($C28="","",IF(ISNUMBER($AE28)*ISNUMBER($AI28)=0,"",IF($AI28&gt;$AE28+0.05,"rising",IF($AI28&lt;$AE28-0.05,"falling","stable"))))</f>
        <v/>
      </c>
      <c r="AN28" s="81">
        <f>IF($C28="","",IF(PULL_FUND="N","",IF(COUNTIFS('Fund History'!$G$104:$G$108,"&gt;="&amp;DATE(YEAR_Y-4,1,1),'Fund History'!$G$104:$G$108,"&lt;="&amp;DATE(YEAR_Y-4,12,31))=0,"",SUMIFS('Fund History'!$H$104:$H$108,'Fund History'!$G$104:$G$108,"&gt;="&amp;DATE(YEAR_Y-4,1,1),'Fund History'!$G$104:$G$108,"&lt;="&amp;DATE(YEAR_Y-4,12,31))/100)))</f>
        <v/>
      </c>
      <c r="AO28" s="82">
        <f>IF($C28="","",IF(PULL_FUND="N","",IF(COUNTIFS('Fund History'!$G$104:$G$108,"&gt;="&amp;DATE(YEAR_Y-3,1,1),'Fund History'!$G$104:$G$108,"&lt;="&amp;DATE(YEAR_Y-3,12,31))=0,"",SUMIFS('Fund History'!$H$104:$H$108,'Fund History'!$G$104:$G$108,"&gt;="&amp;DATE(YEAR_Y-3,1,1),'Fund History'!$G$104:$G$108,"&lt;="&amp;DATE(YEAR_Y-3,12,31))/100)))</f>
        <v/>
      </c>
      <c r="AP28" s="82">
        <f>IF($C28="","",IF(PULL_FUND="N","",IF(COUNTIFS('Fund History'!$G$104:$G$108,"&gt;="&amp;DATE(YEAR_Y-2,1,1),'Fund History'!$G$104:$G$108,"&lt;="&amp;DATE(YEAR_Y-2,12,31))=0,"",SUMIFS('Fund History'!$H$104:$H$108,'Fund History'!$G$104:$G$108,"&gt;="&amp;DATE(YEAR_Y-2,1,1),'Fund History'!$G$104:$G$108,"&lt;="&amp;DATE(YEAR_Y-2,12,31))/100)))</f>
        <v/>
      </c>
      <c r="AQ28" s="82">
        <f>IF($C28="","",IF(PULL_FUND="N","",IF(COUNTIFS('Fund History'!$G$104:$G$108,"&gt;="&amp;DATE(YEAR_Y-1,1,1),'Fund History'!$G$104:$G$108,"&lt;="&amp;DATE(YEAR_Y-1,12,31))=0,"",SUMIFS('Fund History'!$H$104:$H$108,'Fund History'!$G$104:$G$108,"&gt;="&amp;DATE(YEAR_Y-1,1,1),'Fund History'!$G$104:$G$108,"&lt;="&amp;DATE(YEAR_Y-1,12,31))/100)))</f>
        <v/>
      </c>
      <c r="AR28" s="83">
        <f>IF($C28="","",IF(N($AQ28)+N(HSI!$I$23)=0,"",N($AQ28)+N(HSI!$I$23)/100))</f>
        <v/>
      </c>
      <c r="AS28" s="75">
        <f>IF($C28="","",IF(PULL_FUND="N","",IF(COUNTIFS('Fund History'!$D$104:$D$108,"&gt;="&amp;DATE(YEAR_Y-2,1,1),'Fund History'!$D$104:$D$108,"&lt;="&amp;DATE(YEAR_Y-2,12,31))=0,"",SUMIFS('Fund History'!$E$104:$E$108,'Fund History'!$D$104:$D$108,"&gt;="&amp;DATE(YEAR_Y-2,1,1),'Fund History'!$D$104:$D$108,"&lt;="&amp;DATE(YEAR_Y-2,12,31)))))</f>
        <v/>
      </c>
      <c r="AT28" s="76">
        <f>IF($C28="","",IF(PULL_FUND="N","",IF(COUNTIFS('Fund History'!$D$104:$D$108,"&gt;="&amp;DATE(YEAR_Y-1,1,1),'Fund History'!$D$104:$D$108,"&lt;="&amp;DATE(YEAR_Y-1,12,31))=0,"",SUMIFS('Fund History'!$E$104:$E$108,'Fund History'!$D$104:$D$108,"&gt;="&amp;DATE(YEAR_Y-1,1,1),'Fund History'!$D$104:$D$108,"&lt;="&amp;DATE(YEAR_Y-1,12,31)))))</f>
        <v/>
      </c>
      <c r="AU28" s="76">
        <f>IF($C28="","",IF(PULL_FUND="N","",IFERROR(BDP($C28,NDEBITDA_FIELD),"")))</f>
        <v/>
      </c>
      <c r="AV28" s="84">
        <f>IF($C28="","",IF(PULL_FUND="N","",IFERROR(BDP($C28,EBINT_FIELD),"")))</f>
        <v/>
      </c>
      <c r="AW28" s="82">
        <f>IF($C28="","",IF(PULL_FUND="N","",IFERROR(BDP($C28,FCF_FIELD)/100,"")))</f>
        <v/>
      </c>
      <c r="AX28" s="50">
        <f>IF($C28="","",IF(N($U28)=0,"",IFERROR($AW28/$U28,"")))</f>
        <v/>
      </c>
      <c r="AY28" s="85">
        <f>IF($C28="","",TRIM(IF(ISNUMBER($AJ28)*(N($AJ28)&gt;$D$4)&gt;0,"payout high  ","")&amp;IF(ISNUMBER($AX28)*(N($AX28)&lt;$F$4)&gt;0,"FCF below dvd  ","")&amp;IF(ISNUMBER($AU28)*(N($AU28)&gt;$H$4)&gt;0,"leverage high","")))</f>
        <v/>
      </c>
      <c r="AZ28" s="86">
        <f>IF($C28="","",IF(HSI!$F$23="HKD","",HSI!$F$23))</f>
        <v/>
      </c>
    </row>
    <row r="29">
      <c r="B29" s="66" t="inlineStr">
        <is>
          <t>HSI</t>
        </is>
      </c>
      <c r="C29" s="8">
        <f>IF(HSI!$C$24="","",HSI!$C$24)</f>
        <v/>
      </c>
      <c r="D29" s="8">
        <f>IF($C29="","",HSI!$D$24)</f>
        <v/>
      </c>
      <c r="E29" s="8">
        <f>IF($C29="","",HSI!$E$24)</f>
        <v/>
      </c>
      <c r="F29" s="67">
        <f>IF($C29="","",SUMPRODUCT(('Dvd Calendar'!$E$198:$AR$198&gt;=DATE(YEAR_Y-5,1,1))*('Dvd Calendar'!$E$198:$AR$198&lt;=DATE(YEAR_Y-5,12,31))*'Dvd Calendar'!$E$201:$AR$201*(('Dvd Calendar'!$E$203:$AR$203=TYPE1)*(TYPE1&lt;&gt;"")+('Dvd Calendar'!$E$203:$AR$203=TYPE2)*(TYPE2&lt;&gt;"")+('Dvd Calendar'!$E$203:$AR$203=TYPE3)*(TYPE3&lt;&gt;"")+('Dvd Calendar'!$E$203:$AR$203=TYPE4)*(TYPE4&lt;&gt;"")+('Dvd Calendar'!$E$203:$AR$203=SPECIAL_LBL)*(INC_SPECIALS="Y"))))</f>
        <v/>
      </c>
      <c r="G29" s="68">
        <f>IF($C29="","",SUMPRODUCT(('Dvd Calendar'!$E$198:$AR$198&gt;=DATE(YEAR_Y-4,1,1))*('Dvd Calendar'!$E$198:$AR$198&lt;=DATE(YEAR_Y-4,12,31))*'Dvd Calendar'!$E$201:$AR$201*(('Dvd Calendar'!$E$203:$AR$203=TYPE1)*(TYPE1&lt;&gt;"")+('Dvd Calendar'!$E$203:$AR$203=TYPE2)*(TYPE2&lt;&gt;"")+('Dvd Calendar'!$E$203:$AR$203=TYPE3)*(TYPE3&lt;&gt;"")+('Dvd Calendar'!$E$203:$AR$203=TYPE4)*(TYPE4&lt;&gt;"")+('Dvd Calendar'!$E$203:$AR$203=SPECIAL_LBL)*(INC_SPECIALS="Y"))))</f>
        <v/>
      </c>
      <c r="H29" s="68">
        <f>IF($C29="","",SUMPRODUCT(('Dvd Calendar'!$E$198:$AR$198&gt;=DATE(YEAR_Y-3,1,1))*('Dvd Calendar'!$E$198:$AR$198&lt;=DATE(YEAR_Y-3,12,31))*'Dvd Calendar'!$E$201:$AR$201*(('Dvd Calendar'!$E$203:$AR$203=TYPE1)*(TYPE1&lt;&gt;"")+('Dvd Calendar'!$E$203:$AR$203=TYPE2)*(TYPE2&lt;&gt;"")+('Dvd Calendar'!$E$203:$AR$203=TYPE3)*(TYPE3&lt;&gt;"")+('Dvd Calendar'!$E$203:$AR$203=TYPE4)*(TYPE4&lt;&gt;"")+('Dvd Calendar'!$E$203:$AR$203=SPECIAL_LBL)*(INC_SPECIALS="Y"))))</f>
        <v/>
      </c>
      <c r="I29" s="68">
        <f>IF($C29="","",SUMPRODUCT(('Dvd Calendar'!$E$198:$AR$198&gt;=DATE(YEAR_Y-2,1,1))*('Dvd Calendar'!$E$198:$AR$198&lt;=DATE(YEAR_Y-2,12,31))*'Dvd Calendar'!$E$201:$AR$201*(('Dvd Calendar'!$E$203:$AR$203=TYPE1)*(TYPE1&lt;&gt;"")+('Dvd Calendar'!$E$203:$AR$203=TYPE2)*(TYPE2&lt;&gt;"")+('Dvd Calendar'!$E$203:$AR$203=TYPE3)*(TYPE3&lt;&gt;"")+('Dvd Calendar'!$E$203:$AR$203=TYPE4)*(TYPE4&lt;&gt;"")+('Dvd Calendar'!$E$203:$AR$203=SPECIAL_LBL)*(INC_SPECIALS="Y"))))</f>
        <v/>
      </c>
      <c r="J29" s="68">
        <f>IF($C29="","",SUMPRODUCT(('Dvd Calendar'!$E$198:$AR$198&gt;=DATE(YEAR_Y-1,1,1))*('Dvd Calendar'!$E$198:$AR$198&lt;=DATE(YEAR_Y-1,12,31))*'Dvd Calendar'!$E$201:$AR$201*(('Dvd Calendar'!$E$203:$AR$203=TYPE1)*(TYPE1&lt;&gt;"")+('Dvd Calendar'!$E$203:$AR$203=TYPE2)*(TYPE2&lt;&gt;"")+('Dvd Calendar'!$E$203:$AR$203=TYPE3)*(TYPE3&lt;&gt;"")+('Dvd Calendar'!$E$203:$AR$203=TYPE4)*(TYPE4&lt;&gt;"")+('Dvd Calendar'!$E$203:$AR$203=SPECIAL_LBL)*(INC_SPECIALS="Y"))))</f>
        <v/>
      </c>
      <c r="K29" s="69">
        <f>IF($C29="","",HSI!$J$24)</f>
        <v/>
      </c>
      <c r="L29" s="69">
        <f>IF($C29="","",HSI!$K$24)</f>
        <v/>
      </c>
      <c r="M29" s="44">
        <f>IF($C29="","",HSI!$J$24+HSI!$L$24)</f>
        <v/>
      </c>
      <c r="N29" s="70">
        <f>IF($C29="","",IF(PULL_FUND="N","",IFERROR(BDP($C29,BESTDPS_FIELD,FWD_OVERRIDE,TEXT(MOD(YEAR_Y,100),"00")&amp;"Y"),"")))</f>
        <v/>
      </c>
      <c r="O29" s="69">
        <f>IF($C29="","",AVERAGE(F29:J29))</f>
        <v/>
      </c>
      <c r="P29" s="71">
        <f>IF($C29="","",IF(PULL_FUND="N","",IF(COUNTIFS('Fund History'!$J$110:$J$114,"&gt;="&amp;DATE(YEAR_Y-5,1,1),'Fund History'!$J$110:$J$114,"&lt;="&amp;DATE(YEAR_Y-5,12,31))=0,"",IFERROR($F29*HSI!$G$24/SUMIFS('Fund History'!$K$110:$K$114,'Fund History'!$J$110:$J$114,"&gt;="&amp;DATE(YEAR_Y-5,1,1),'Fund History'!$J$110:$J$114,"&lt;="&amp;DATE(YEAR_Y-5,12,31)),""))))</f>
        <v/>
      </c>
      <c r="Q29" s="72">
        <f>IF($C29="","",IF(PULL_FUND="N","",IF(COUNTIFS('Fund History'!$J$110:$J$114,"&gt;="&amp;DATE(YEAR_Y-4,1,1),'Fund History'!$J$110:$J$114,"&lt;="&amp;DATE(YEAR_Y-4,12,31))=0,"",IFERROR($G29*HSI!$G$24/SUMIFS('Fund History'!$K$110:$K$114,'Fund History'!$J$110:$J$114,"&gt;="&amp;DATE(YEAR_Y-4,1,1),'Fund History'!$J$110:$J$114,"&lt;="&amp;DATE(YEAR_Y-4,12,31)),""))))</f>
        <v/>
      </c>
      <c r="R29" s="72">
        <f>IF($C29="","",IF(PULL_FUND="N","",IF(COUNTIFS('Fund History'!$J$110:$J$114,"&gt;="&amp;DATE(YEAR_Y-3,1,1),'Fund History'!$J$110:$J$114,"&lt;="&amp;DATE(YEAR_Y-3,12,31))=0,"",IFERROR($H29*HSI!$G$24/SUMIFS('Fund History'!$K$110:$K$114,'Fund History'!$J$110:$J$114,"&gt;="&amp;DATE(YEAR_Y-3,1,1),'Fund History'!$J$110:$J$114,"&lt;="&amp;DATE(YEAR_Y-3,12,31)),""))))</f>
        <v/>
      </c>
      <c r="S29" s="72">
        <f>IF($C29="","",IF(PULL_FUND="N","",IF(COUNTIFS('Fund History'!$J$110:$J$114,"&gt;="&amp;DATE(YEAR_Y-2,1,1),'Fund History'!$J$110:$J$114,"&lt;="&amp;DATE(YEAR_Y-2,12,31))=0,"",IFERROR($I29*HSI!$G$24/SUMIFS('Fund History'!$K$110:$K$114,'Fund History'!$J$110:$J$114,"&gt;="&amp;DATE(YEAR_Y-2,1,1),'Fund History'!$J$110:$J$114,"&lt;="&amp;DATE(YEAR_Y-2,12,31)),""))))</f>
        <v/>
      </c>
      <c r="T29" s="72">
        <f>IF($C29="","",IF(PULL_FUND="N","",IF(COUNTIFS('Fund History'!$J$110:$J$114,"&gt;="&amp;DATE(YEAR_Y-1,1,1),'Fund History'!$J$110:$J$114,"&lt;="&amp;DATE(YEAR_Y-1,12,31))=0,"",IFERROR($J29*HSI!$G$24/SUMIFS('Fund History'!$K$110:$K$114,'Fund History'!$J$110:$J$114,"&gt;="&amp;DATE(YEAR_Y-1,1,1),'Fund History'!$J$110:$J$114,"&lt;="&amp;DATE(YEAR_Y-1,12,31)),""))))</f>
        <v/>
      </c>
      <c r="U29" s="73">
        <f>IF($C29="","",IF(ISNUMBER(HSI!$I$24),HSI!$I$24/100,""))</f>
        <v/>
      </c>
      <c r="V29" s="74">
        <f>IF($C29="","",IF(ISNUMBER(HSI!$X$24),IFERROR($M29*HSI!$G$24/HSI!$X$24,""),""))</f>
        <v/>
      </c>
      <c r="W29" s="73">
        <f>IF($C29="","",IF(ISNUMBER($N29),IFERROR($N29*HSI!$G$24/HSI!$X$24,""),""))</f>
        <v/>
      </c>
      <c r="X29" s="75">
        <f>IF($C29="","",IF(PULL_FUND="N","",IFERROR(BDP($C29,EPS_FIELD,YR_OVERRIDE,TEXT(YEAR_Y-5,"0")),"")))</f>
        <v/>
      </c>
      <c r="Y29" s="76">
        <f>IF($C29="","",IF(PULL_FUND="N","",IFERROR(BDP($C29,EPS_FIELD,YR_OVERRIDE,TEXT(YEAR_Y-4,"0")),"")))</f>
        <v/>
      </c>
      <c r="Z29" s="76">
        <f>IF($C29="","",IF(PULL_FUND="N","",IFERROR(BDP($C29,EPS_FIELD,YR_OVERRIDE,TEXT(YEAR_Y-3,"0")),"")))</f>
        <v/>
      </c>
      <c r="AA29" s="76">
        <f>IF($C29="","",IF(PULL_FUND="N","",IFERROR(BDP($C29,EPS_FIELD,YR_OVERRIDE,TEXT(YEAR_Y-2,"0")),"")))</f>
        <v/>
      </c>
      <c r="AB29" s="76">
        <f>IF($C29="","",IF(PULL_FUND="N","",IFERROR(BDP($C29,EPS_FIELD,YR_OVERRIDE,TEXT(YEAR_Y-1,"0")),"")))</f>
        <v/>
      </c>
      <c r="AC29" s="50">
        <f>IF($C29="","",IFERROR(AVERAGE(X29:AB29),""))</f>
        <v/>
      </c>
      <c r="AD29" s="76">
        <f>IF($C29="","",IF(PULL_FUND="N","",IFERROR(BDP($C29,BESTEPS_FIELD,FWD_OVERRIDE,TEXT(MOD(YEAR_Y,100),"00")&amp;"Y"),"")))</f>
        <v/>
      </c>
      <c r="AE29" s="77">
        <f>IF($C29="","",IF(PULL_FUND="N","",IFERROR(BDP($C29,PAYOUT_FIELD,YR_OVERRIDE,TEXT(YEAR_Y-5,"0"))/100,"")))</f>
        <v/>
      </c>
      <c r="AF29" s="78">
        <f>IF($C29="","",IF(PULL_FUND="N","",IFERROR(BDP($C29,PAYOUT_FIELD,YR_OVERRIDE,TEXT(YEAR_Y-4,"0"))/100,"")))</f>
        <v/>
      </c>
      <c r="AG29" s="78">
        <f>IF($C29="","",IF(PULL_FUND="N","",IFERROR(BDP($C29,PAYOUT_FIELD,YR_OVERRIDE,TEXT(YEAR_Y-3,"0"))/100,"")))</f>
        <v/>
      </c>
      <c r="AH29" s="78">
        <f>IF($C29="","",IF(PULL_FUND="N","",IFERROR(BDP($C29,PAYOUT_FIELD,YR_OVERRIDE,TEXT(YEAR_Y-2,"0"))/100,"")))</f>
        <v/>
      </c>
      <c r="AI29" s="78">
        <f>IF($C29="","",IF(PULL_FUND="N","",IFERROR(BDP($C29,PAYOUT_FIELD,YR_OVERRIDE,TEXT(YEAR_Y-1,"0"))/100,"")))</f>
        <v/>
      </c>
      <c r="AJ29" s="79">
        <f>IF($C29="","",IFERROR(AVERAGE(AE29:AI29),""))</f>
        <v/>
      </c>
      <c r="AK29" s="80">
        <f>IF($C29="","",IF(ISNUMBER($AD29)*ISNUMBER($N29)*($AD29&lt;&gt;0)=0,"",$N29/$AD29))</f>
        <v/>
      </c>
      <c r="AL29" s="79">
        <f>IF($C29="","",IF(ISNUMBER($AD29)*($AD29&lt;&gt;0)=0,"",$M29/$AD29))</f>
        <v/>
      </c>
      <c r="AM29" s="37">
        <f>IF($C29="","",IF(ISNUMBER($AE29)*ISNUMBER($AI29)=0,"",IF($AI29&gt;$AE29+0.05,"rising",IF($AI29&lt;$AE29-0.05,"falling","stable"))))</f>
        <v/>
      </c>
      <c r="AN29" s="81">
        <f>IF($C29="","",IF(PULL_FUND="N","",IF(COUNTIFS('Fund History'!$G$110:$G$114,"&gt;="&amp;DATE(YEAR_Y-4,1,1),'Fund History'!$G$110:$G$114,"&lt;="&amp;DATE(YEAR_Y-4,12,31))=0,"",SUMIFS('Fund History'!$H$110:$H$114,'Fund History'!$G$110:$G$114,"&gt;="&amp;DATE(YEAR_Y-4,1,1),'Fund History'!$G$110:$G$114,"&lt;="&amp;DATE(YEAR_Y-4,12,31))/100)))</f>
        <v/>
      </c>
      <c r="AO29" s="82">
        <f>IF($C29="","",IF(PULL_FUND="N","",IF(COUNTIFS('Fund History'!$G$110:$G$114,"&gt;="&amp;DATE(YEAR_Y-3,1,1),'Fund History'!$G$110:$G$114,"&lt;="&amp;DATE(YEAR_Y-3,12,31))=0,"",SUMIFS('Fund History'!$H$110:$H$114,'Fund History'!$G$110:$G$114,"&gt;="&amp;DATE(YEAR_Y-3,1,1),'Fund History'!$G$110:$G$114,"&lt;="&amp;DATE(YEAR_Y-3,12,31))/100)))</f>
        <v/>
      </c>
      <c r="AP29" s="82">
        <f>IF($C29="","",IF(PULL_FUND="N","",IF(COUNTIFS('Fund History'!$G$110:$G$114,"&gt;="&amp;DATE(YEAR_Y-2,1,1),'Fund History'!$G$110:$G$114,"&lt;="&amp;DATE(YEAR_Y-2,12,31))=0,"",SUMIFS('Fund History'!$H$110:$H$114,'Fund History'!$G$110:$G$114,"&gt;="&amp;DATE(YEAR_Y-2,1,1),'Fund History'!$G$110:$G$114,"&lt;="&amp;DATE(YEAR_Y-2,12,31))/100)))</f>
        <v/>
      </c>
      <c r="AQ29" s="82">
        <f>IF($C29="","",IF(PULL_FUND="N","",IF(COUNTIFS('Fund History'!$G$110:$G$114,"&gt;="&amp;DATE(YEAR_Y-1,1,1),'Fund History'!$G$110:$G$114,"&lt;="&amp;DATE(YEAR_Y-1,12,31))=0,"",SUMIFS('Fund History'!$H$110:$H$114,'Fund History'!$G$110:$G$114,"&gt;="&amp;DATE(YEAR_Y-1,1,1),'Fund History'!$G$110:$G$114,"&lt;="&amp;DATE(YEAR_Y-1,12,31))/100)))</f>
        <v/>
      </c>
      <c r="AR29" s="83">
        <f>IF($C29="","",IF(N($AQ29)+N(HSI!$I$24)=0,"",N($AQ29)+N(HSI!$I$24)/100))</f>
        <v/>
      </c>
      <c r="AS29" s="75">
        <f>IF($C29="","",IF(PULL_FUND="N","",IF(COUNTIFS('Fund History'!$D$110:$D$114,"&gt;="&amp;DATE(YEAR_Y-2,1,1),'Fund History'!$D$110:$D$114,"&lt;="&amp;DATE(YEAR_Y-2,12,31))=0,"",SUMIFS('Fund History'!$E$110:$E$114,'Fund History'!$D$110:$D$114,"&gt;="&amp;DATE(YEAR_Y-2,1,1),'Fund History'!$D$110:$D$114,"&lt;="&amp;DATE(YEAR_Y-2,12,31)))))</f>
        <v/>
      </c>
      <c r="AT29" s="76">
        <f>IF($C29="","",IF(PULL_FUND="N","",IF(COUNTIFS('Fund History'!$D$110:$D$114,"&gt;="&amp;DATE(YEAR_Y-1,1,1),'Fund History'!$D$110:$D$114,"&lt;="&amp;DATE(YEAR_Y-1,12,31))=0,"",SUMIFS('Fund History'!$E$110:$E$114,'Fund History'!$D$110:$D$114,"&gt;="&amp;DATE(YEAR_Y-1,1,1),'Fund History'!$D$110:$D$114,"&lt;="&amp;DATE(YEAR_Y-1,12,31)))))</f>
        <v/>
      </c>
      <c r="AU29" s="76">
        <f>IF($C29="","",IF(PULL_FUND="N","",IFERROR(BDP($C29,NDEBITDA_FIELD),"")))</f>
        <v/>
      </c>
      <c r="AV29" s="84">
        <f>IF($C29="","",IF(PULL_FUND="N","",IFERROR(BDP($C29,EBINT_FIELD),"")))</f>
        <v/>
      </c>
      <c r="AW29" s="82">
        <f>IF($C29="","",IF(PULL_FUND="N","",IFERROR(BDP($C29,FCF_FIELD)/100,"")))</f>
        <v/>
      </c>
      <c r="AX29" s="50">
        <f>IF($C29="","",IF(N($U29)=0,"",IFERROR($AW29/$U29,"")))</f>
        <v/>
      </c>
      <c r="AY29" s="85">
        <f>IF($C29="","",TRIM(IF(ISNUMBER($AJ29)*(N($AJ29)&gt;$D$4)&gt;0,"payout high  ","")&amp;IF(ISNUMBER($AX29)*(N($AX29)&lt;$F$4)&gt;0,"FCF below dvd  ","")&amp;IF(ISNUMBER($AU29)*(N($AU29)&gt;$H$4)&gt;0,"leverage high","")))</f>
        <v/>
      </c>
      <c r="AZ29" s="86">
        <f>IF($C29="","",IF(HSI!$F$24="HKD","",HSI!$F$24))</f>
        <v/>
      </c>
    </row>
    <row r="30">
      <c r="B30" s="66" t="inlineStr">
        <is>
          <t>HSI</t>
        </is>
      </c>
      <c r="C30" s="8">
        <f>IF(HSI!$C$25="","",HSI!$C$25)</f>
        <v/>
      </c>
      <c r="D30" s="8">
        <f>IF($C30="","",HSI!$D$25)</f>
        <v/>
      </c>
      <c r="E30" s="8">
        <f>IF($C30="","",HSI!$E$25)</f>
        <v/>
      </c>
      <c r="F30" s="67">
        <f>IF($C30="","",SUMPRODUCT(('Dvd Calendar'!$E$209:$AR$209&gt;=DATE(YEAR_Y-5,1,1))*('Dvd Calendar'!$E$209:$AR$209&lt;=DATE(YEAR_Y-5,12,31))*'Dvd Calendar'!$E$212:$AR$212*(('Dvd Calendar'!$E$214:$AR$214=TYPE1)*(TYPE1&lt;&gt;"")+('Dvd Calendar'!$E$214:$AR$214=TYPE2)*(TYPE2&lt;&gt;"")+('Dvd Calendar'!$E$214:$AR$214=TYPE3)*(TYPE3&lt;&gt;"")+('Dvd Calendar'!$E$214:$AR$214=TYPE4)*(TYPE4&lt;&gt;"")+('Dvd Calendar'!$E$214:$AR$214=SPECIAL_LBL)*(INC_SPECIALS="Y"))))</f>
        <v/>
      </c>
      <c r="G30" s="68">
        <f>IF($C30="","",SUMPRODUCT(('Dvd Calendar'!$E$209:$AR$209&gt;=DATE(YEAR_Y-4,1,1))*('Dvd Calendar'!$E$209:$AR$209&lt;=DATE(YEAR_Y-4,12,31))*'Dvd Calendar'!$E$212:$AR$212*(('Dvd Calendar'!$E$214:$AR$214=TYPE1)*(TYPE1&lt;&gt;"")+('Dvd Calendar'!$E$214:$AR$214=TYPE2)*(TYPE2&lt;&gt;"")+('Dvd Calendar'!$E$214:$AR$214=TYPE3)*(TYPE3&lt;&gt;"")+('Dvd Calendar'!$E$214:$AR$214=TYPE4)*(TYPE4&lt;&gt;"")+('Dvd Calendar'!$E$214:$AR$214=SPECIAL_LBL)*(INC_SPECIALS="Y"))))</f>
        <v/>
      </c>
      <c r="H30" s="68">
        <f>IF($C30="","",SUMPRODUCT(('Dvd Calendar'!$E$209:$AR$209&gt;=DATE(YEAR_Y-3,1,1))*('Dvd Calendar'!$E$209:$AR$209&lt;=DATE(YEAR_Y-3,12,31))*'Dvd Calendar'!$E$212:$AR$212*(('Dvd Calendar'!$E$214:$AR$214=TYPE1)*(TYPE1&lt;&gt;"")+('Dvd Calendar'!$E$214:$AR$214=TYPE2)*(TYPE2&lt;&gt;"")+('Dvd Calendar'!$E$214:$AR$214=TYPE3)*(TYPE3&lt;&gt;"")+('Dvd Calendar'!$E$214:$AR$214=TYPE4)*(TYPE4&lt;&gt;"")+('Dvd Calendar'!$E$214:$AR$214=SPECIAL_LBL)*(INC_SPECIALS="Y"))))</f>
        <v/>
      </c>
      <c r="I30" s="68">
        <f>IF($C30="","",SUMPRODUCT(('Dvd Calendar'!$E$209:$AR$209&gt;=DATE(YEAR_Y-2,1,1))*('Dvd Calendar'!$E$209:$AR$209&lt;=DATE(YEAR_Y-2,12,31))*'Dvd Calendar'!$E$212:$AR$212*(('Dvd Calendar'!$E$214:$AR$214=TYPE1)*(TYPE1&lt;&gt;"")+('Dvd Calendar'!$E$214:$AR$214=TYPE2)*(TYPE2&lt;&gt;"")+('Dvd Calendar'!$E$214:$AR$214=TYPE3)*(TYPE3&lt;&gt;"")+('Dvd Calendar'!$E$214:$AR$214=TYPE4)*(TYPE4&lt;&gt;"")+('Dvd Calendar'!$E$214:$AR$214=SPECIAL_LBL)*(INC_SPECIALS="Y"))))</f>
        <v/>
      </c>
      <c r="J30" s="68">
        <f>IF($C30="","",SUMPRODUCT(('Dvd Calendar'!$E$209:$AR$209&gt;=DATE(YEAR_Y-1,1,1))*('Dvd Calendar'!$E$209:$AR$209&lt;=DATE(YEAR_Y-1,12,31))*'Dvd Calendar'!$E$212:$AR$212*(('Dvd Calendar'!$E$214:$AR$214=TYPE1)*(TYPE1&lt;&gt;"")+('Dvd Calendar'!$E$214:$AR$214=TYPE2)*(TYPE2&lt;&gt;"")+('Dvd Calendar'!$E$214:$AR$214=TYPE3)*(TYPE3&lt;&gt;"")+('Dvd Calendar'!$E$214:$AR$214=TYPE4)*(TYPE4&lt;&gt;"")+('Dvd Calendar'!$E$214:$AR$214=SPECIAL_LBL)*(INC_SPECIALS="Y"))))</f>
        <v/>
      </c>
      <c r="K30" s="69">
        <f>IF($C30="","",HSI!$J$25)</f>
        <v/>
      </c>
      <c r="L30" s="69">
        <f>IF($C30="","",HSI!$K$25)</f>
        <v/>
      </c>
      <c r="M30" s="44">
        <f>IF($C30="","",HSI!$J$25+HSI!$L$25)</f>
        <v/>
      </c>
      <c r="N30" s="70">
        <f>IF($C30="","",IF(PULL_FUND="N","",IFERROR(BDP($C30,BESTDPS_FIELD,FWD_OVERRIDE,TEXT(MOD(YEAR_Y,100),"00")&amp;"Y"),"")))</f>
        <v/>
      </c>
      <c r="O30" s="69">
        <f>IF($C30="","",AVERAGE(F30:J30))</f>
        <v/>
      </c>
      <c r="P30" s="71">
        <f>IF($C30="","",IF(PULL_FUND="N","",IF(COUNTIFS('Fund History'!$J$116:$J$120,"&gt;="&amp;DATE(YEAR_Y-5,1,1),'Fund History'!$J$116:$J$120,"&lt;="&amp;DATE(YEAR_Y-5,12,31))=0,"",IFERROR($F30*HSI!$G$25/SUMIFS('Fund History'!$K$116:$K$120,'Fund History'!$J$116:$J$120,"&gt;="&amp;DATE(YEAR_Y-5,1,1),'Fund History'!$J$116:$J$120,"&lt;="&amp;DATE(YEAR_Y-5,12,31)),""))))</f>
        <v/>
      </c>
      <c r="Q30" s="72">
        <f>IF($C30="","",IF(PULL_FUND="N","",IF(COUNTIFS('Fund History'!$J$116:$J$120,"&gt;="&amp;DATE(YEAR_Y-4,1,1),'Fund History'!$J$116:$J$120,"&lt;="&amp;DATE(YEAR_Y-4,12,31))=0,"",IFERROR($G30*HSI!$G$25/SUMIFS('Fund History'!$K$116:$K$120,'Fund History'!$J$116:$J$120,"&gt;="&amp;DATE(YEAR_Y-4,1,1),'Fund History'!$J$116:$J$120,"&lt;="&amp;DATE(YEAR_Y-4,12,31)),""))))</f>
        <v/>
      </c>
      <c r="R30" s="72">
        <f>IF($C30="","",IF(PULL_FUND="N","",IF(COUNTIFS('Fund History'!$J$116:$J$120,"&gt;="&amp;DATE(YEAR_Y-3,1,1),'Fund History'!$J$116:$J$120,"&lt;="&amp;DATE(YEAR_Y-3,12,31))=0,"",IFERROR($H30*HSI!$G$25/SUMIFS('Fund History'!$K$116:$K$120,'Fund History'!$J$116:$J$120,"&gt;="&amp;DATE(YEAR_Y-3,1,1),'Fund History'!$J$116:$J$120,"&lt;="&amp;DATE(YEAR_Y-3,12,31)),""))))</f>
        <v/>
      </c>
      <c r="S30" s="72">
        <f>IF($C30="","",IF(PULL_FUND="N","",IF(COUNTIFS('Fund History'!$J$116:$J$120,"&gt;="&amp;DATE(YEAR_Y-2,1,1),'Fund History'!$J$116:$J$120,"&lt;="&amp;DATE(YEAR_Y-2,12,31))=0,"",IFERROR($I30*HSI!$G$25/SUMIFS('Fund History'!$K$116:$K$120,'Fund History'!$J$116:$J$120,"&gt;="&amp;DATE(YEAR_Y-2,1,1),'Fund History'!$J$116:$J$120,"&lt;="&amp;DATE(YEAR_Y-2,12,31)),""))))</f>
        <v/>
      </c>
      <c r="T30" s="72">
        <f>IF($C30="","",IF(PULL_FUND="N","",IF(COUNTIFS('Fund History'!$J$116:$J$120,"&gt;="&amp;DATE(YEAR_Y-1,1,1),'Fund History'!$J$116:$J$120,"&lt;="&amp;DATE(YEAR_Y-1,12,31))=0,"",IFERROR($J30*HSI!$G$25/SUMIFS('Fund History'!$K$116:$K$120,'Fund History'!$J$116:$J$120,"&gt;="&amp;DATE(YEAR_Y-1,1,1),'Fund History'!$J$116:$J$120,"&lt;="&amp;DATE(YEAR_Y-1,12,31)),""))))</f>
        <v/>
      </c>
      <c r="U30" s="73">
        <f>IF($C30="","",IF(ISNUMBER(HSI!$I$25),HSI!$I$25/100,""))</f>
        <v/>
      </c>
      <c r="V30" s="74">
        <f>IF($C30="","",IF(ISNUMBER(HSI!$X$25),IFERROR($M30*HSI!$G$25/HSI!$X$25,""),""))</f>
        <v/>
      </c>
      <c r="W30" s="73">
        <f>IF($C30="","",IF(ISNUMBER($N30),IFERROR($N30*HSI!$G$25/HSI!$X$25,""),""))</f>
        <v/>
      </c>
      <c r="X30" s="75">
        <f>IF($C30="","",IF(PULL_FUND="N","",IFERROR(BDP($C30,EPS_FIELD,YR_OVERRIDE,TEXT(YEAR_Y-5,"0")),"")))</f>
        <v/>
      </c>
      <c r="Y30" s="76">
        <f>IF($C30="","",IF(PULL_FUND="N","",IFERROR(BDP($C30,EPS_FIELD,YR_OVERRIDE,TEXT(YEAR_Y-4,"0")),"")))</f>
        <v/>
      </c>
      <c r="Z30" s="76">
        <f>IF($C30="","",IF(PULL_FUND="N","",IFERROR(BDP($C30,EPS_FIELD,YR_OVERRIDE,TEXT(YEAR_Y-3,"0")),"")))</f>
        <v/>
      </c>
      <c r="AA30" s="76">
        <f>IF($C30="","",IF(PULL_FUND="N","",IFERROR(BDP($C30,EPS_FIELD,YR_OVERRIDE,TEXT(YEAR_Y-2,"0")),"")))</f>
        <v/>
      </c>
      <c r="AB30" s="76">
        <f>IF($C30="","",IF(PULL_FUND="N","",IFERROR(BDP($C30,EPS_FIELD,YR_OVERRIDE,TEXT(YEAR_Y-1,"0")),"")))</f>
        <v/>
      </c>
      <c r="AC30" s="50">
        <f>IF($C30="","",IFERROR(AVERAGE(X30:AB30),""))</f>
        <v/>
      </c>
      <c r="AD30" s="76">
        <f>IF($C30="","",IF(PULL_FUND="N","",IFERROR(BDP($C30,BESTEPS_FIELD,FWD_OVERRIDE,TEXT(MOD(YEAR_Y,100),"00")&amp;"Y"),"")))</f>
        <v/>
      </c>
      <c r="AE30" s="77">
        <f>IF($C30="","",IF(PULL_FUND="N","",IFERROR(BDP($C30,PAYOUT_FIELD,YR_OVERRIDE,TEXT(YEAR_Y-5,"0"))/100,"")))</f>
        <v/>
      </c>
      <c r="AF30" s="78">
        <f>IF($C30="","",IF(PULL_FUND="N","",IFERROR(BDP($C30,PAYOUT_FIELD,YR_OVERRIDE,TEXT(YEAR_Y-4,"0"))/100,"")))</f>
        <v/>
      </c>
      <c r="AG30" s="78">
        <f>IF($C30="","",IF(PULL_FUND="N","",IFERROR(BDP($C30,PAYOUT_FIELD,YR_OVERRIDE,TEXT(YEAR_Y-3,"0"))/100,"")))</f>
        <v/>
      </c>
      <c r="AH30" s="78">
        <f>IF($C30="","",IF(PULL_FUND="N","",IFERROR(BDP($C30,PAYOUT_FIELD,YR_OVERRIDE,TEXT(YEAR_Y-2,"0"))/100,"")))</f>
        <v/>
      </c>
      <c r="AI30" s="78">
        <f>IF($C30="","",IF(PULL_FUND="N","",IFERROR(BDP($C30,PAYOUT_FIELD,YR_OVERRIDE,TEXT(YEAR_Y-1,"0"))/100,"")))</f>
        <v/>
      </c>
      <c r="AJ30" s="79">
        <f>IF($C30="","",IFERROR(AVERAGE(AE30:AI30),""))</f>
        <v/>
      </c>
      <c r="AK30" s="80">
        <f>IF($C30="","",IF(ISNUMBER($AD30)*ISNUMBER($N30)*($AD30&lt;&gt;0)=0,"",$N30/$AD30))</f>
        <v/>
      </c>
      <c r="AL30" s="79">
        <f>IF($C30="","",IF(ISNUMBER($AD30)*($AD30&lt;&gt;0)=0,"",$M30/$AD30))</f>
        <v/>
      </c>
      <c r="AM30" s="37">
        <f>IF($C30="","",IF(ISNUMBER($AE30)*ISNUMBER($AI30)=0,"",IF($AI30&gt;$AE30+0.05,"rising",IF($AI30&lt;$AE30-0.05,"falling","stable"))))</f>
        <v/>
      </c>
      <c r="AN30" s="81">
        <f>IF($C30="","",IF(PULL_FUND="N","",IF(COUNTIFS('Fund History'!$G$116:$G$120,"&gt;="&amp;DATE(YEAR_Y-4,1,1),'Fund History'!$G$116:$G$120,"&lt;="&amp;DATE(YEAR_Y-4,12,31))=0,"",SUMIFS('Fund History'!$H$116:$H$120,'Fund History'!$G$116:$G$120,"&gt;="&amp;DATE(YEAR_Y-4,1,1),'Fund History'!$G$116:$G$120,"&lt;="&amp;DATE(YEAR_Y-4,12,31))/100)))</f>
        <v/>
      </c>
      <c r="AO30" s="82">
        <f>IF($C30="","",IF(PULL_FUND="N","",IF(COUNTIFS('Fund History'!$G$116:$G$120,"&gt;="&amp;DATE(YEAR_Y-3,1,1),'Fund History'!$G$116:$G$120,"&lt;="&amp;DATE(YEAR_Y-3,12,31))=0,"",SUMIFS('Fund History'!$H$116:$H$120,'Fund History'!$G$116:$G$120,"&gt;="&amp;DATE(YEAR_Y-3,1,1),'Fund History'!$G$116:$G$120,"&lt;="&amp;DATE(YEAR_Y-3,12,31))/100)))</f>
        <v/>
      </c>
      <c r="AP30" s="82">
        <f>IF($C30="","",IF(PULL_FUND="N","",IF(COUNTIFS('Fund History'!$G$116:$G$120,"&gt;="&amp;DATE(YEAR_Y-2,1,1),'Fund History'!$G$116:$G$120,"&lt;="&amp;DATE(YEAR_Y-2,12,31))=0,"",SUMIFS('Fund History'!$H$116:$H$120,'Fund History'!$G$116:$G$120,"&gt;="&amp;DATE(YEAR_Y-2,1,1),'Fund History'!$G$116:$G$120,"&lt;="&amp;DATE(YEAR_Y-2,12,31))/100)))</f>
        <v/>
      </c>
      <c r="AQ30" s="82">
        <f>IF($C30="","",IF(PULL_FUND="N","",IF(COUNTIFS('Fund History'!$G$116:$G$120,"&gt;="&amp;DATE(YEAR_Y-1,1,1),'Fund History'!$G$116:$G$120,"&lt;="&amp;DATE(YEAR_Y-1,12,31))=0,"",SUMIFS('Fund History'!$H$116:$H$120,'Fund History'!$G$116:$G$120,"&gt;="&amp;DATE(YEAR_Y-1,1,1),'Fund History'!$G$116:$G$120,"&lt;="&amp;DATE(YEAR_Y-1,12,31))/100)))</f>
        <v/>
      </c>
      <c r="AR30" s="83">
        <f>IF($C30="","",IF(N($AQ30)+N(HSI!$I$25)=0,"",N($AQ30)+N(HSI!$I$25)/100))</f>
        <v/>
      </c>
      <c r="AS30" s="75">
        <f>IF($C30="","",IF(PULL_FUND="N","",IF(COUNTIFS('Fund History'!$D$116:$D$120,"&gt;="&amp;DATE(YEAR_Y-2,1,1),'Fund History'!$D$116:$D$120,"&lt;="&amp;DATE(YEAR_Y-2,12,31))=0,"",SUMIFS('Fund History'!$E$116:$E$120,'Fund History'!$D$116:$D$120,"&gt;="&amp;DATE(YEAR_Y-2,1,1),'Fund History'!$D$116:$D$120,"&lt;="&amp;DATE(YEAR_Y-2,12,31)))))</f>
        <v/>
      </c>
      <c r="AT30" s="76">
        <f>IF($C30="","",IF(PULL_FUND="N","",IF(COUNTIFS('Fund History'!$D$116:$D$120,"&gt;="&amp;DATE(YEAR_Y-1,1,1),'Fund History'!$D$116:$D$120,"&lt;="&amp;DATE(YEAR_Y-1,12,31))=0,"",SUMIFS('Fund History'!$E$116:$E$120,'Fund History'!$D$116:$D$120,"&gt;="&amp;DATE(YEAR_Y-1,1,1),'Fund History'!$D$116:$D$120,"&lt;="&amp;DATE(YEAR_Y-1,12,31)))))</f>
        <v/>
      </c>
      <c r="AU30" s="76">
        <f>IF($C30="","",IF(PULL_FUND="N","",IFERROR(BDP($C30,NDEBITDA_FIELD),"")))</f>
        <v/>
      </c>
      <c r="AV30" s="84">
        <f>IF($C30="","",IF(PULL_FUND="N","",IFERROR(BDP($C30,EBINT_FIELD),"")))</f>
        <v/>
      </c>
      <c r="AW30" s="82">
        <f>IF($C30="","",IF(PULL_FUND="N","",IFERROR(BDP($C30,FCF_FIELD)/100,"")))</f>
        <v/>
      </c>
      <c r="AX30" s="50">
        <f>IF($C30="","",IF(N($U30)=0,"",IFERROR($AW30/$U30,"")))</f>
        <v/>
      </c>
      <c r="AY30" s="85">
        <f>IF($C30="","",TRIM(IF(ISNUMBER($AJ30)*(N($AJ30)&gt;$D$4)&gt;0,"payout high  ","")&amp;IF(ISNUMBER($AX30)*(N($AX30)&lt;$F$4)&gt;0,"FCF below dvd  ","")&amp;IF(ISNUMBER($AU30)*(N($AU30)&gt;$H$4)&gt;0,"leverage high","")))</f>
        <v/>
      </c>
      <c r="AZ30" s="86">
        <f>IF($C30="","",IF(HSI!$F$25="HKD","",HSI!$F$25))</f>
        <v/>
      </c>
    </row>
    <row r="31">
      <c r="B31" s="66" t="inlineStr">
        <is>
          <t>HSI</t>
        </is>
      </c>
      <c r="C31" s="8">
        <f>IF(HSI!$C$26="","",HSI!$C$26)</f>
        <v/>
      </c>
      <c r="D31" s="8">
        <f>IF($C31="","",HSI!$D$26)</f>
        <v/>
      </c>
      <c r="E31" s="8">
        <f>IF($C31="","",HSI!$E$26)</f>
        <v/>
      </c>
      <c r="F31" s="67">
        <f>IF($C31="","",SUMPRODUCT(('Dvd Calendar'!$E$220:$AR$220&gt;=DATE(YEAR_Y-5,1,1))*('Dvd Calendar'!$E$220:$AR$220&lt;=DATE(YEAR_Y-5,12,31))*'Dvd Calendar'!$E$223:$AR$223*(('Dvd Calendar'!$E$225:$AR$225=TYPE1)*(TYPE1&lt;&gt;"")+('Dvd Calendar'!$E$225:$AR$225=TYPE2)*(TYPE2&lt;&gt;"")+('Dvd Calendar'!$E$225:$AR$225=TYPE3)*(TYPE3&lt;&gt;"")+('Dvd Calendar'!$E$225:$AR$225=TYPE4)*(TYPE4&lt;&gt;"")+('Dvd Calendar'!$E$225:$AR$225=SPECIAL_LBL)*(INC_SPECIALS="Y"))))</f>
        <v/>
      </c>
      <c r="G31" s="68">
        <f>IF($C31="","",SUMPRODUCT(('Dvd Calendar'!$E$220:$AR$220&gt;=DATE(YEAR_Y-4,1,1))*('Dvd Calendar'!$E$220:$AR$220&lt;=DATE(YEAR_Y-4,12,31))*'Dvd Calendar'!$E$223:$AR$223*(('Dvd Calendar'!$E$225:$AR$225=TYPE1)*(TYPE1&lt;&gt;"")+('Dvd Calendar'!$E$225:$AR$225=TYPE2)*(TYPE2&lt;&gt;"")+('Dvd Calendar'!$E$225:$AR$225=TYPE3)*(TYPE3&lt;&gt;"")+('Dvd Calendar'!$E$225:$AR$225=TYPE4)*(TYPE4&lt;&gt;"")+('Dvd Calendar'!$E$225:$AR$225=SPECIAL_LBL)*(INC_SPECIALS="Y"))))</f>
        <v/>
      </c>
      <c r="H31" s="68">
        <f>IF($C31="","",SUMPRODUCT(('Dvd Calendar'!$E$220:$AR$220&gt;=DATE(YEAR_Y-3,1,1))*('Dvd Calendar'!$E$220:$AR$220&lt;=DATE(YEAR_Y-3,12,31))*'Dvd Calendar'!$E$223:$AR$223*(('Dvd Calendar'!$E$225:$AR$225=TYPE1)*(TYPE1&lt;&gt;"")+('Dvd Calendar'!$E$225:$AR$225=TYPE2)*(TYPE2&lt;&gt;"")+('Dvd Calendar'!$E$225:$AR$225=TYPE3)*(TYPE3&lt;&gt;"")+('Dvd Calendar'!$E$225:$AR$225=TYPE4)*(TYPE4&lt;&gt;"")+('Dvd Calendar'!$E$225:$AR$225=SPECIAL_LBL)*(INC_SPECIALS="Y"))))</f>
        <v/>
      </c>
      <c r="I31" s="68">
        <f>IF($C31="","",SUMPRODUCT(('Dvd Calendar'!$E$220:$AR$220&gt;=DATE(YEAR_Y-2,1,1))*('Dvd Calendar'!$E$220:$AR$220&lt;=DATE(YEAR_Y-2,12,31))*'Dvd Calendar'!$E$223:$AR$223*(('Dvd Calendar'!$E$225:$AR$225=TYPE1)*(TYPE1&lt;&gt;"")+('Dvd Calendar'!$E$225:$AR$225=TYPE2)*(TYPE2&lt;&gt;"")+('Dvd Calendar'!$E$225:$AR$225=TYPE3)*(TYPE3&lt;&gt;"")+('Dvd Calendar'!$E$225:$AR$225=TYPE4)*(TYPE4&lt;&gt;"")+('Dvd Calendar'!$E$225:$AR$225=SPECIAL_LBL)*(INC_SPECIALS="Y"))))</f>
        <v/>
      </c>
      <c r="J31" s="68">
        <f>IF($C31="","",SUMPRODUCT(('Dvd Calendar'!$E$220:$AR$220&gt;=DATE(YEAR_Y-1,1,1))*('Dvd Calendar'!$E$220:$AR$220&lt;=DATE(YEAR_Y-1,12,31))*'Dvd Calendar'!$E$223:$AR$223*(('Dvd Calendar'!$E$225:$AR$225=TYPE1)*(TYPE1&lt;&gt;"")+('Dvd Calendar'!$E$225:$AR$225=TYPE2)*(TYPE2&lt;&gt;"")+('Dvd Calendar'!$E$225:$AR$225=TYPE3)*(TYPE3&lt;&gt;"")+('Dvd Calendar'!$E$225:$AR$225=TYPE4)*(TYPE4&lt;&gt;"")+('Dvd Calendar'!$E$225:$AR$225=SPECIAL_LBL)*(INC_SPECIALS="Y"))))</f>
        <v/>
      </c>
      <c r="K31" s="69">
        <f>IF($C31="","",HSI!$J$26)</f>
        <v/>
      </c>
      <c r="L31" s="69">
        <f>IF($C31="","",HSI!$K$26)</f>
        <v/>
      </c>
      <c r="M31" s="44">
        <f>IF($C31="","",HSI!$J$26+HSI!$L$26)</f>
        <v/>
      </c>
      <c r="N31" s="70">
        <f>IF($C31="","",IF(PULL_FUND="N","",IFERROR(BDP($C31,BESTDPS_FIELD,FWD_OVERRIDE,TEXT(MOD(YEAR_Y,100),"00")&amp;"Y"),"")))</f>
        <v/>
      </c>
      <c r="O31" s="69">
        <f>IF($C31="","",AVERAGE(F31:J31))</f>
        <v/>
      </c>
      <c r="P31" s="71">
        <f>IF($C31="","",IF(PULL_FUND="N","",IF(COUNTIFS('Fund History'!$J$122:$J$126,"&gt;="&amp;DATE(YEAR_Y-5,1,1),'Fund History'!$J$122:$J$126,"&lt;="&amp;DATE(YEAR_Y-5,12,31))=0,"",IFERROR($F31*HSI!$G$26/SUMIFS('Fund History'!$K$122:$K$126,'Fund History'!$J$122:$J$126,"&gt;="&amp;DATE(YEAR_Y-5,1,1),'Fund History'!$J$122:$J$126,"&lt;="&amp;DATE(YEAR_Y-5,12,31)),""))))</f>
        <v/>
      </c>
      <c r="Q31" s="72">
        <f>IF($C31="","",IF(PULL_FUND="N","",IF(COUNTIFS('Fund History'!$J$122:$J$126,"&gt;="&amp;DATE(YEAR_Y-4,1,1),'Fund History'!$J$122:$J$126,"&lt;="&amp;DATE(YEAR_Y-4,12,31))=0,"",IFERROR($G31*HSI!$G$26/SUMIFS('Fund History'!$K$122:$K$126,'Fund History'!$J$122:$J$126,"&gt;="&amp;DATE(YEAR_Y-4,1,1),'Fund History'!$J$122:$J$126,"&lt;="&amp;DATE(YEAR_Y-4,12,31)),""))))</f>
        <v/>
      </c>
      <c r="R31" s="72">
        <f>IF($C31="","",IF(PULL_FUND="N","",IF(COUNTIFS('Fund History'!$J$122:$J$126,"&gt;="&amp;DATE(YEAR_Y-3,1,1),'Fund History'!$J$122:$J$126,"&lt;="&amp;DATE(YEAR_Y-3,12,31))=0,"",IFERROR($H31*HSI!$G$26/SUMIFS('Fund History'!$K$122:$K$126,'Fund History'!$J$122:$J$126,"&gt;="&amp;DATE(YEAR_Y-3,1,1),'Fund History'!$J$122:$J$126,"&lt;="&amp;DATE(YEAR_Y-3,12,31)),""))))</f>
        <v/>
      </c>
      <c r="S31" s="72">
        <f>IF($C31="","",IF(PULL_FUND="N","",IF(COUNTIFS('Fund History'!$J$122:$J$126,"&gt;="&amp;DATE(YEAR_Y-2,1,1),'Fund History'!$J$122:$J$126,"&lt;="&amp;DATE(YEAR_Y-2,12,31))=0,"",IFERROR($I31*HSI!$G$26/SUMIFS('Fund History'!$K$122:$K$126,'Fund History'!$J$122:$J$126,"&gt;="&amp;DATE(YEAR_Y-2,1,1),'Fund History'!$J$122:$J$126,"&lt;="&amp;DATE(YEAR_Y-2,12,31)),""))))</f>
        <v/>
      </c>
      <c r="T31" s="72">
        <f>IF($C31="","",IF(PULL_FUND="N","",IF(COUNTIFS('Fund History'!$J$122:$J$126,"&gt;="&amp;DATE(YEAR_Y-1,1,1),'Fund History'!$J$122:$J$126,"&lt;="&amp;DATE(YEAR_Y-1,12,31))=0,"",IFERROR($J31*HSI!$G$26/SUMIFS('Fund History'!$K$122:$K$126,'Fund History'!$J$122:$J$126,"&gt;="&amp;DATE(YEAR_Y-1,1,1),'Fund History'!$J$122:$J$126,"&lt;="&amp;DATE(YEAR_Y-1,12,31)),""))))</f>
        <v/>
      </c>
      <c r="U31" s="73">
        <f>IF($C31="","",IF(ISNUMBER(HSI!$I$26),HSI!$I$26/100,""))</f>
        <v/>
      </c>
      <c r="V31" s="74">
        <f>IF($C31="","",IF(ISNUMBER(HSI!$X$26),IFERROR($M31*HSI!$G$26/HSI!$X$26,""),""))</f>
        <v/>
      </c>
      <c r="W31" s="73">
        <f>IF($C31="","",IF(ISNUMBER($N31),IFERROR($N31*HSI!$G$26/HSI!$X$26,""),""))</f>
        <v/>
      </c>
      <c r="X31" s="75">
        <f>IF($C31="","",IF(PULL_FUND="N","",IFERROR(BDP($C31,EPS_FIELD,YR_OVERRIDE,TEXT(YEAR_Y-5,"0")),"")))</f>
        <v/>
      </c>
      <c r="Y31" s="76">
        <f>IF($C31="","",IF(PULL_FUND="N","",IFERROR(BDP($C31,EPS_FIELD,YR_OVERRIDE,TEXT(YEAR_Y-4,"0")),"")))</f>
        <v/>
      </c>
      <c r="Z31" s="76">
        <f>IF($C31="","",IF(PULL_FUND="N","",IFERROR(BDP($C31,EPS_FIELD,YR_OVERRIDE,TEXT(YEAR_Y-3,"0")),"")))</f>
        <v/>
      </c>
      <c r="AA31" s="76">
        <f>IF($C31="","",IF(PULL_FUND="N","",IFERROR(BDP($C31,EPS_FIELD,YR_OVERRIDE,TEXT(YEAR_Y-2,"0")),"")))</f>
        <v/>
      </c>
      <c r="AB31" s="76">
        <f>IF($C31="","",IF(PULL_FUND="N","",IFERROR(BDP($C31,EPS_FIELD,YR_OVERRIDE,TEXT(YEAR_Y-1,"0")),"")))</f>
        <v/>
      </c>
      <c r="AC31" s="50">
        <f>IF($C31="","",IFERROR(AVERAGE(X31:AB31),""))</f>
        <v/>
      </c>
      <c r="AD31" s="76">
        <f>IF($C31="","",IF(PULL_FUND="N","",IFERROR(BDP($C31,BESTEPS_FIELD,FWD_OVERRIDE,TEXT(MOD(YEAR_Y,100),"00")&amp;"Y"),"")))</f>
        <v/>
      </c>
      <c r="AE31" s="77">
        <f>IF($C31="","",IF(PULL_FUND="N","",IFERROR(BDP($C31,PAYOUT_FIELD,YR_OVERRIDE,TEXT(YEAR_Y-5,"0"))/100,"")))</f>
        <v/>
      </c>
      <c r="AF31" s="78">
        <f>IF($C31="","",IF(PULL_FUND="N","",IFERROR(BDP($C31,PAYOUT_FIELD,YR_OVERRIDE,TEXT(YEAR_Y-4,"0"))/100,"")))</f>
        <v/>
      </c>
      <c r="AG31" s="78">
        <f>IF($C31="","",IF(PULL_FUND="N","",IFERROR(BDP($C31,PAYOUT_FIELD,YR_OVERRIDE,TEXT(YEAR_Y-3,"0"))/100,"")))</f>
        <v/>
      </c>
      <c r="AH31" s="78">
        <f>IF($C31="","",IF(PULL_FUND="N","",IFERROR(BDP($C31,PAYOUT_FIELD,YR_OVERRIDE,TEXT(YEAR_Y-2,"0"))/100,"")))</f>
        <v/>
      </c>
      <c r="AI31" s="78">
        <f>IF($C31="","",IF(PULL_FUND="N","",IFERROR(BDP($C31,PAYOUT_FIELD,YR_OVERRIDE,TEXT(YEAR_Y-1,"0"))/100,"")))</f>
        <v/>
      </c>
      <c r="AJ31" s="79">
        <f>IF($C31="","",IFERROR(AVERAGE(AE31:AI31),""))</f>
        <v/>
      </c>
      <c r="AK31" s="80">
        <f>IF($C31="","",IF(ISNUMBER($AD31)*ISNUMBER($N31)*($AD31&lt;&gt;0)=0,"",$N31/$AD31))</f>
        <v/>
      </c>
      <c r="AL31" s="79">
        <f>IF($C31="","",IF(ISNUMBER($AD31)*($AD31&lt;&gt;0)=0,"",$M31/$AD31))</f>
        <v/>
      </c>
      <c r="AM31" s="37">
        <f>IF($C31="","",IF(ISNUMBER($AE31)*ISNUMBER($AI31)=0,"",IF($AI31&gt;$AE31+0.05,"rising",IF($AI31&lt;$AE31-0.05,"falling","stable"))))</f>
        <v/>
      </c>
      <c r="AN31" s="81">
        <f>IF($C31="","",IF(PULL_FUND="N","",IF(COUNTIFS('Fund History'!$G$122:$G$126,"&gt;="&amp;DATE(YEAR_Y-4,1,1),'Fund History'!$G$122:$G$126,"&lt;="&amp;DATE(YEAR_Y-4,12,31))=0,"",SUMIFS('Fund History'!$H$122:$H$126,'Fund History'!$G$122:$G$126,"&gt;="&amp;DATE(YEAR_Y-4,1,1),'Fund History'!$G$122:$G$126,"&lt;="&amp;DATE(YEAR_Y-4,12,31))/100)))</f>
        <v/>
      </c>
      <c r="AO31" s="82">
        <f>IF($C31="","",IF(PULL_FUND="N","",IF(COUNTIFS('Fund History'!$G$122:$G$126,"&gt;="&amp;DATE(YEAR_Y-3,1,1),'Fund History'!$G$122:$G$126,"&lt;="&amp;DATE(YEAR_Y-3,12,31))=0,"",SUMIFS('Fund History'!$H$122:$H$126,'Fund History'!$G$122:$G$126,"&gt;="&amp;DATE(YEAR_Y-3,1,1),'Fund History'!$G$122:$G$126,"&lt;="&amp;DATE(YEAR_Y-3,12,31))/100)))</f>
        <v/>
      </c>
      <c r="AP31" s="82">
        <f>IF($C31="","",IF(PULL_FUND="N","",IF(COUNTIFS('Fund History'!$G$122:$G$126,"&gt;="&amp;DATE(YEAR_Y-2,1,1),'Fund History'!$G$122:$G$126,"&lt;="&amp;DATE(YEAR_Y-2,12,31))=0,"",SUMIFS('Fund History'!$H$122:$H$126,'Fund History'!$G$122:$G$126,"&gt;="&amp;DATE(YEAR_Y-2,1,1),'Fund History'!$G$122:$G$126,"&lt;="&amp;DATE(YEAR_Y-2,12,31))/100)))</f>
        <v/>
      </c>
      <c r="AQ31" s="82">
        <f>IF($C31="","",IF(PULL_FUND="N","",IF(COUNTIFS('Fund History'!$G$122:$G$126,"&gt;="&amp;DATE(YEAR_Y-1,1,1),'Fund History'!$G$122:$G$126,"&lt;="&amp;DATE(YEAR_Y-1,12,31))=0,"",SUMIFS('Fund History'!$H$122:$H$126,'Fund History'!$G$122:$G$126,"&gt;="&amp;DATE(YEAR_Y-1,1,1),'Fund History'!$G$122:$G$126,"&lt;="&amp;DATE(YEAR_Y-1,12,31))/100)))</f>
        <v/>
      </c>
      <c r="AR31" s="83">
        <f>IF($C31="","",IF(N($AQ31)+N(HSI!$I$26)=0,"",N($AQ31)+N(HSI!$I$26)/100))</f>
        <v/>
      </c>
      <c r="AS31" s="75">
        <f>IF($C31="","",IF(PULL_FUND="N","",IF(COUNTIFS('Fund History'!$D$122:$D$126,"&gt;="&amp;DATE(YEAR_Y-2,1,1),'Fund History'!$D$122:$D$126,"&lt;="&amp;DATE(YEAR_Y-2,12,31))=0,"",SUMIFS('Fund History'!$E$122:$E$126,'Fund History'!$D$122:$D$126,"&gt;="&amp;DATE(YEAR_Y-2,1,1),'Fund History'!$D$122:$D$126,"&lt;="&amp;DATE(YEAR_Y-2,12,31)))))</f>
        <v/>
      </c>
      <c r="AT31" s="76">
        <f>IF($C31="","",IF(PULL_FUND="N","",IF(COUNTIFS('Fund History'!$D$122:$D$126,"&gt;="&amp;DATE(YEAR_Y-1,1,1),'Fund History'!$D$122:$D$126,"&lt;="&amp;DATE(YEAR_Y-1,12,31))=0,"",SUMIFS('Fund History'!$E$122:$E$126,'Fund History'!$D$122:$D$126,"&gt;="&amp;DATE(YEAR_Y-1,1,1),'Fund History'!$D$122:$D$126,"&lt;="&amp;DATE(YEAR_Y-1,12,31)))))</f>
        <v/>
      </c>
      <c r="AU31" s="76">
        <f>IF($C31="","",IF(PULL_FUND="N","",IFERROR(BDP($C31,NDEBITDA_FIELD),"")))</f>
        <v/>
      </c>
      <c r="AV31" s="84">
        <f>IF($C31="","",IF(PULL_FUND="N","",IFERROR(BDP($C31,EBINT_FIELD),"")))</f>
        <v/>
      </c>
      <c r="AW31" s="82">
        <f>IF($C31="","",IF(PULL_FUND="N","",IFERROR(BDP($C31,FCF_FIELD)/100,"")))</f>
        <v/>
      </c>
      <c r="AX31" s="50">
        <f>IF($C31="","",IF(N($U31)=0,"",IFERROR($AW31/$U31,"")))</f>
        <v/>
      </c>
      <c r="AY31" s="85">
        <f>IF($C31="","",TRIM(IF(ISNUMBER($AJ31)*(N($AJ31)&gt;$D$4)&gt;0,"payout high  ","")&amp;IF(ISNUMBER($AX31)*(N($AX31)&lt;$F$4)&gt;0,"FCF below dvd  ","")&amp;IF(ISNUMBER($AU31)*(N($AU31)&gt;$H$4)&gt;0,"leverage high","")))</f>
        <v/>
      </c>
      <c r="AZ31" s="86">
        <f>IF($C31="","",IF(HSI!$F$26="HKD","",HSI!$F$26))</f>
        <v/>
      </c>
    </row>
    <row r="32">
      <c r="B32" s="66" t="inlineStr">
        <is>
          <t>HSI</t>
        </is>
      </c>
      <c r="C32" s="8">
        <f>IF(HSI!$C$27="","",HSI!$C$27)</f>
        <v/>
      </c>
      <c r="D32" s="8">
        <f>IF($C32="","",HSI!$D$27)</f>
        <v/>
      </c>
      <c r="E32" s="8">
        <f>IF($C32="","",HSI!$E$27)</f>
        <v/>
      </c>
      <c r="F32" s="67">
        <f>IF($C32="","",SUMPRODUCT(('Dvd Calendar'!$E$231:$AR$231&gt;=DATE(YEAR_Y-5,1,1))*('Dvd Calendar'!$E$231:$AR$231&lt;=DATE(YEAR_Y-5,12,31))*'Dvd Calendar'!$E$234:$AR$234*(('Dvd Calendar'!$E$236:$AR$236=TYPE1)*(TYPE1&lt;&gt;"")+('Dvd Calendar'!$E$236:$AR$236=TYPE2)*(TYPE2&lt;&gt;"")+('Dvd Calendar'!$E$236:$AR$236=TYPE3)*(TYPE3&lt;&gt;"")+('Dvd Calendar'!$E$236:$AR$236=TYPE4)*(TYPE4&lt;&gt;"")+('Dvd Calendar'!$E$236:$AR$236=SPECIAL_LBL)*(INC_SPECIALS="Y"))))</f>
        <v/>
      </c>
      <c r="G32" s="68">
        <f>IF($C32="","",SUMPRODUCT(('Dvd Calendar'!$E$231:$AR$231&gt;=DATE(YEAR_Y-4,1,1))*('Dvd Calendar'!$E$231:$AR$231&lt;=DATE(YEAR_Y-4,12,31))*'Dvd Calendar'!$E$234:$AR$234*(('Dvd Calendar'!$E$236:$AR$236=TYPE1)*(TYPE1&lt;&gt;"")+('Dvd Calendar'!$E$236:$AR$236=TYPE2)*(TYPE2&lt;&gt;"")+('Dvd Calendar'!$E$236:$AR$236=TYPE3)*(TYPE3&lt;&gt;"")+('Dvd Calendar'!$E$236:$AR$236=TYPE4)*(TYPE4&lt;&gt;"")+('Dvd Calendar'!$E$236:$AR$236=SPECIAL_LBL)*(INC_SPECIALS="Y"))))</f>
        <v/>
      </c>
      <c r="H32" s="68">
        <f>IF($C32="","",SUMPRODUCT(('Dvd Calendar'!$E$231:$AR$231&gt;=DATE(YEAR_Y-3,1,1))*('Dvd Calendar'!$E$231:$AR$231&lt;=DATE(YEAR_Y-3,12,31))*'Dvd Calendar'!$E$234:$AR$234*(('Dvd Calendar'!$E$236:$AR$236=TYPE1)*(TYPE1&lt;&gt;"")+('Dvd Calendar'!$E$236:$AR$236=TYPE2)*(TYPE2&lt;&gt;"")+('Dvd Calendar'!$E$236:$AR$236=TYPE3)*(TYPE3&lt;&gt;"")+('Dvd Calendar'!$E$236:$AR$236=TYPE4)*(TYPE4&lt;&gt;"")+('Dvd Calendar'!$E$236:$AR$236=SPECIAL_LBL)*(INC_SPECIALS="Y"))))</f>
        <v/>
      </c>
      <c r="I32" s="68">
        <f>IF($C32="","",SUMPRODUCT(('Dvd Calendar'!$E$231:$AR$231&gt;=DATE(YEAR_Y-2,1,1))*('Dvd Calendar'!$E$231:$AR$231&lt;=DATE(YEAR_Y-2,12,31))*'Dvd Calendar'!$E$234:$AR$234*(('Dvd Calendar'!$E$236:$AR$236=TYPE1)*(TYPE1&lt;&gt;"")+('Dvd Calendar'!$E$236:$AR$236=TYPE2)*(TYPE2&lt;&gt;"")+('Dvd Calendar'!$E$236:$AR$236=TYPE3)*(TYPE3&lt;&gt;"")+('Dvd Calendar'!$E$236:$AR$236=TYPE4)*(TYPE4&lt;&gt;"")+('Dvd Calendar'!$E$236:$AR$236=SPECIAL_LBL)*(INC_SPECIALS="Y"))))</f>
        <v/>
      </c>
      <c r="J32" s="68">
        <f>IF($C32="","",SUMPRODUCT(('Dvd Calendar'!$E$231:$AR$231&gt;=DATE(YEAR_Y-1,1,1))*('Dvd Calendar'!$E$231:$AR$231&lt;=DATE(YEAR_Y-1,12,31))*'Dvd Calendar'!$E$234:$AR$234*(('Dvd Calendar'!$E$236:$AR$236=TYPE1)*(TYPE1&lt;&gt;"")+('Dvd Calendar'!$E$236:$AR$236=TYPE2)*(TYPE2&lt;&gt;"")+('Dvd Calendar'!$E$236:$AR$236=TYPE3)*(TYPE3&lt;&gt;"")+('Dvd Calendar'!$E$236:$AR$236=TYPE4)*(TYPE4&lt;&gt;"")+('Dvd Calendar'!$E$236:$AR$236=SPECIAL_LBL)*(INC_SPECIALS="Y"))))</f>
        <v/>
      </c>
      <c r="K32" s="69">
        <f>IF($C32="","",HSI!$J$27)</f>
        <v/>
      </c>
      <c r="L32" s="69">
        <f>IF($C32="","",HSI!$K$27)</f>
        <v/>
      </c>
      <c r="M32" s="44">
        <f>IF($C32="","",HSI!$J$27+HSI!$L$27)</f>
        <v/>
      </c>
      <c r="N32" s="70">
        <f>IF($C32="","",IF(PULL_FUND="N","",IFERROR(BDP($C32,BESTDPS_FIELD,FWD_OVERRIDE,TEXT(MOD(YEAR_Y,100),"00")&amp;"Y"),"")))</f>
        <v/>
      </c>
      <c r="O32" s="69">
        <f>IF($C32="","",AVERAGE(F32:J32))</f>
        <v/>
      </c>
      <c r="P32" s="71">
        <f>IF($C32="","",IF(PULL_FUND="N","",IF(COUNTIFS('Fund History'!$J$128:$J$132,"&gt;="&amp;DATE(YEAR_Y-5,1,1),'Fund History'!$J$128:$J$132,"&lt;="&amp;DATE(YEAR_Y-5,12,31))=0,"",IFERROR($F32*HSI!$G$27/SUMIFS('Fund History'!$K$128:$K$132,'Fund History'!$J$128:$J$132,"&gt;="&amp;DATE(YEAR_Y-5,1,1),'Fund History'!$J$128:$J$132,"&lt;="&amp;DATE(YEAR_Y-5,12,31)),""))))</f>
        <v/>
      </c>
      <c r="Q32" s="72">
        <f>IF($C32="","",IF(PULL_FUND="N","",IF(COUNTIFS('Fund History'!$J$128:$J$132,"&gt;="&amp;DATE(YEAR_Y-4,1,1),'Fund History'!$J$128:$J$132,"&lt;="&amp;DATE(YEAR_Y-4,12,31))=0,"",IFERROR($G32*HSI!$G$27/SUMIFS('Fund History'!$K$128:$K$132,'Fund History'!$J$128:$J$132,"&gt;="&amp;DATE(YEAR_Y-4,1,1),'Fund History'!$J$128:$J$132,"&lt;="&amp;DATE(YEAR_Y-4,12,31)),""))))</f>
        <v/>
      </c>
      <c r="R32" s="72">
        <f>IF($C32="","",IF(PULL_FUND="N","",IF(COUNTIFS('Fund History'!$J$128:$J$132,"&gt;="&amp;DATE(YEAR_Y-3,1,1),'Fund History'!$J$128:$J$132,"&lt;="&amp;DATE(YEAR_Y-3,12,31))=0,"",IFERROR($H32*HSI!$G$27/SUMIFS('Fund History'!$K$128:$K$132,'Fund History'!$J$128:$J$132,"&gt;="&amp;DATE(YEAR_Y-3,1,1),'Fund History'!$J$128:$J$132,"&lt;="&amp;DATE(YEAR_Y-3,12,31)),""))))</f>
        <v/>
      </c>
      <c r="S32" s="72">
        <f>IF($C32="","",IF(PULL_FUND="N","",IF(COUNTIFS('Fund History'!$J$128:$J$132,"&gt;="&amp;DATE(YEAR_Y-2,1,1),'Fund History'!$J$128:$J$132,"&lt;="&amp;DATE(YEAR_Y-2,12,31))=0,"",IFERROR($I32*HSI!$G$27/SUMIFS('Fund History'!$K$128:$K$132,'Fund History'!$J$128:$J$132,"&gt;="&amp;DATE(YEAR_Y-2,1,1),'Fund History'!$J$128:$J$132,"&lt;="&amp;DATE(YEAR_Y-2,12,31)),""))))</f>
        <v/>
      </c>
      <c r="T32" s="72">
        <f>IF($C32="","",IF(PULL_FUND="N","",IF(COUNTIFS('Fund History'!$J$128:$J$132,"&gt;="&amp;DATE(YEAR_Y-1,1,1),'Fund History'!$J$128:$J$132,"&lt;="&amp;DATE(YEAR_Y-1,12,31))=0,"",IFERROR($J32*HSI!$G$27/SUMIFS('Fund History'!$K$128:$K$132,'Fund History'!$J$128:$J$132,"&gt;="&amp;DATE(YEAR_Y-1,1,1),'Fund History'!$J$128:$J$132,"&lt;="&amp;DATE(YEAR_Y-1,12,31)),""))))</f>
        <v/>
      </c>
      <c r="U32" s="73">
        <f>IF($C32="","",IF(ISNUMBER(HSI!$I$27),HSI!$I$27/100,""))</f>
        <v/>
      </c>
      <c r="V32" s="74">
        <f>IF($C32="","",IF(ISNUMBER(HSI!$X$27),IFERROR($M32*HSI!$G$27/HSI!$X$27,""),""))</f>
        <v/>
      </c>
      <c r="W32" s="73">
        <f>IF($C32="","",IF(ISNUMBER($N32),IFERROR($N32*HSI!$G$27/HSI!$X$27,""),""))</f>
        <v/>
      </c>
      <c r="X32" s="75">
        <f>IF($C32="","",IF(PULL_FUND="N","",IFERROR(BDP($C32,EPS_FIELD,YR_OVERRIDE,TEXT(YEAR_Y-5,"0")),"")))</f>
        <v/>
      </c>
      <c r="Y32" s="76">
        <f>IF($C32="","",IF(PULL_FUND="N","",IFERROR(BDP($C32,EPS_FIELD,YR_OVERRIDE,TEXT(YEAR_Y-4,"0")),"")))</f>
        <v/>
      </c>
      <c r="Z32" s="76">
        <f>IF($C32="","",IF(PULL_FUND="N","",IFERROR(BDP($C32,EPS_FIELD,YR_OVERRIDE,TEXT(YEAR_Y-3,"0")),"")))</f>
        <v/>
      </c>
      <c r="AA32" s="76">
        <f>IF($C32="","",IF(PULL_FUND="N","",IFERROR(BDP($C32,EPS_FIELD,YR_OVERRIDE,TEXT(YEAR_Y-2,"0")),"")))</f>
        <v/>
      </c>
      <c r="AB32" s="76">
        <f>IF($C32="","",IF(PULL_FUND="N","",IFERROR(BDP($C32,EPS_FIELD,YR_OVERRIDE,TEXT(YEAR_Y-1,"0")),"")))</f>
        <v/>
      </c>
      <c r="AC32" s="50">
        <f>IF($C32="","",IFERROR(AVERAGE(X32:AB32),""))</f>
        <v/>
      </c>
      <c r="AD32" s="76">
        <f>IF($C32="","",IF(PULL_FUND="N","",IFERROR(BDP($C32,BESTEPS_FIELD,FWD_OVERRIDE,TEXT(MOD(YEAR_Y,100),"00")&amp;"Y"),"")))</f>
        <v/>
      </c>
      <c r="AE32" s="77">
        <f>IF($C32="","",IF(PULL_FUND="N","",IFERROR(BDP($C32,PAYOUT_FIELD,YR_OVERRIDE,TEXT(YEAR_Y-5,"0"))/100,"")))</f>
        <v/>
      </c>
      <c r="AF32" s="78">
        <f>IF($C32="","",IF(PULL_FUND="N","",IFERROR(BDP($C32,PAYOUT_FIELD,YR_OVERRIDE,TEXT(YEAR_Y-4,"0"))/100,"")))</f>
        <v/>
      </c>
      <c r="AG32" s="78">
        <f>IF($C32="","",IF(PULL_FUND="N","",IFERROR(BDP($C32,PAYOUT_FIELD,YR_OVERRIDE,TEXT(YEAR_Y-3,"0"))/100,"")))</f>
        <v/>
      </c>
      <c r="AH32" s="78">
        <f>IF($C32="","",IF(PULL_FUND="N","",IFERROR(BDP($C32,PAYOUT_FIELD,YR_OVERRIDE,TEXT(YEAR_Y-2,"0"))/100,"")))</f>
        <v/>
      </c>
      <c r="AI32" s="78">
        <f>IF($C32="","",IF(PULL_FUND="N","",IFERROR(BDP($C32,PAYOUT_FIELD,YR_OVERRIDE,TEXT(YEAR_Y-1,"0"))/100,"")))</f>
        <v/>
      </c>
      <c r="AJ32" s="79">
        <f>IF($C32="","",IFERROR(AVERAGE(AE32:AI32),""))</f>
        <v/>
      </c>
      <c r="AK32" s="80">
        <f>IF($C32="","",IF(ISNUMBER($AD32)*ISNUMBER($N32)*($AD32&lt;&gt;0)=0,"",$N32/$AD32))</f>
        <v/>
      </c>
      <c r="AL32" s="79">
        <f>IF($C32="","",IF(ISNUMBER($AD32)*($AD32&lt;&gt;0)=0,"",$M32/$AD32))</f>
        <v/>
      </c>
      <c r="AM32" s="37">
        <f>IF($C32="","",IF(ISNUMBER($AE32)*ISNUMBER($AI32)=0,"",IF($AI32&gt;$AE32+0.05,"rising",IF($AI32&lt;$AE32-0.05,"falling","stable"))))</f>
        <v/>
      </c>
      <c r="AN32" s="81">
        <f>IF($C32="","",IF(PULL_FUND="N","",IF(COUNTIFS('Fund History'!$G$128:$G$132,"&gt;="&amp;DATE(YEAR_Y-4,1,1),'Fund History'!$G$128:$G$132,"&lt;="&amp;DATE(YEAR_Y-4,12,31))=0,"",SUMIFS('Fund History'!$H$128:$H$132,'Fund History'!$G$128:$G$132,"&gt;="&amp;DATE(YEAR_Y-4,1,1),'Fund History'!$G$128:$G$132,"&lt;="&amp;DATE(YEAR_Y-4,12,31))/100)))</f>
        <v/>
      </c>
      <c r="AO32" s="82">
        <f>IF($C32="","",IF(PULL_FUND="N","",IF(COUNTIFS('Fund History'!$G$128:$G$132,"&gt;="&amp;DATE(YEAR_Y-3,1,1),'Fund History'!$G$128:$G$132,"&lt;="&amp;DATE(YEAR_Y-3,12,31))=0,"",SUMIFS('Fund History'!$H$128:$H$132,'Fund History'!$G$128:$G$132,"&gt;="&amp;DATE(YEAR_Y-3,1,1),'Fund History'!$G$128:$G$132,"&lt;="&amp;DATE(YEAR_Y-3,12,31))/100)))</f>
        <v/>
      </c>
      <c r="AP32" s="82">
        <f>IF($C32="","",IF(PULL_FUND="N","",IF(COUNTIFS('Fund History'!$G$128:$G$132,"&gt;="&amp;DATE(YEAR_Y-2,1,1),'Fund History'!$G$128:$G$132,"&lt;="&amp;DATE(YEAR_Y-2,12,31))=0,"",SUMIFS('Fund History'!$H$128:$H$132,'Fund History'!$G$128:$G$132,"&gt;="&amp;DATE(YEAR_Y-2,1,1),'Fund History'!$G$128:$G$132,"&lt;="&amp;DATE(YEAR_Y-2,12,31))/100)))</f>
        <v/>
      </c>
      <c r="AQ32" s="82">
        <f>IF($C32="","",IF(PULL_FUND="N","",IF(COUNTIFS('Fund History'!$G$128:$G$132,"&gt;="&amp;DATE(YEAR_Y-1,1,1),'Fund History'!$G$128:$G$132,"&lt;="&amp;DATE(YEAR_Y-1,12,31))=0,"",SUMIFS('Fund History'!$H$128:$H$132,'Fund History'!$G$128:$G$132,"&gt;="&amp;DATE(YEAR_Y-1,1,1),'Fund History'!$G$128:$G$132,"&lt;="&amp;DATE(YEAR_Y-1,12,31))/100)))</f>
        <v/>
      </c>
      <c r="AR32" s="83">
        <f>IF($C32="","",IF(N($AQ32)+N(HSI!$I$27)=0,"",N($AQ32)+N(HSI!$I$27)/100))</f>
        <v/>
      </c>
      <c r="AS32" s="75">
        <f>IF($C32="","",IF(PULL_FUND="N","",IF(COUNTIFS('Fund History'!$D$128:$D$132,"&gt;="&amp;DATE(YEAR_Y-2,1,1),'Fund History'!$D$128:$D$132,"&lt;="&amp;DATE(YEAR_Y-2,12,31))=0,"",SUMIFS('Fund History'!$E$128:$E$132,'Fund History'!$D$128:$D$132,"&gt;="&amp;DATE(YEAR_Y-2,1,1),'Fund History'!$D$128:$D$132,"&lt;="&amp;DATE(YEAR_Y-2,12,31)))))</f>
        <v/>
      </c>
      <c r="AT32" s="76">
        <f>IF($C32="","",IF(PULL_FUND="N","",IF(COUNTIFS('Fund History'!$D$128:$D$132,"&gt;="&amp;DATE(YEAR_Y-1,1,1),'Fund History'!$D$128:$D$132,"&lt;="&amp;DATE(YEAR_Y-1,12,31))=0,"",SUMIFS('Fund History'!$E$128:$E$132,'Fund History'!$D$128:$D$132,"&gt;="&amp;DATE(YEAR_Y-1,1,1),'Fund History'!$D$128:$D$132,"&lt;="&amp;DATE(YEAR_Y-1,12,31)))))</f>
        <v/>
      </c>
      <c r="AU32" s="76">
        <f>IF($C32="","",IF(PULL_FUND="N","",IFERROR(BDP($C32,NDEBITDA_FIELD),"")))</f>
        <v/>
      </c>
      <c r="AV32" s="84">
        <f>IF($C32="","",IF(PULL_FUND="N","",IFERROR(BDP($C32,EBINT_FIELD),"")))</f>
        <v/>
      </c>
      <c r="AW32" s="82">
        <f>IF($C32="","",IF(PULL_FUND="N","",IFERROR(BDP($C32,FCF_FIELD)/100,"")))</f>
        <v/>
      </c>
      <c r="AX32" s="50">
        <f>IF($C32="","",IF(N($U32)=0,"",IFERROR($AW32/$U32,"")))</f>
        <v/>
      </c>
      <c r="AY32" s="85">
        <f>IF($C32="","",TRIM(IF(ISNUMBER($AJ32)*(N($AJ32)&gt;$D$4)&gt;0,"payout high  ","")&amp;IF(ISNUMBER($AX32)*(N($AX32)&lt;$F$4)&gt;0,"FCF below dvd  ","")&amp;IF(ISNUMBER($AU32)*(N($AU32)&gt;$H$4)&gt;0,"leverage high","")))</f>
        <v/>
      </c>
      <c r="AZ32" s="86">
        <f>IF($C32="","",IF(HSI!$F$27="HKD","",HSI!$F$27))</f>
        <v/>
      </c>
    </row>
    <row r="33">
      <c r="B33" s="66" t="inlineStr">
        <is>
          <t>HSI</t>
        </is>
      </c>
      <c r="C33" s="8">
        <f>IF(HSI!$C$28="","",HSI!$C$28)</f>
        <v/>
      </c>
      <c r="D33" s="8">
        <f>IF($C33="","",HSI!$D$28)</f>
        <v/>
      </c>
      <c r="E33" s="8">
        <f>IF($C33="","",HSI!$E$28)</f>
        <v/>
      </c>
      <c r="F33" s="67">
        <f>IF($C33="","",SUMPRODUCT(('Dvd Calendar'!$E$242:$AR$242&gt;=DATE(YEAR_Y-5,1,1))*('Dvd Calendar'!$E$242:$AR$242&lt;=DATE(YEAR_Y-5,12,31))*'Dvd Calendar'!$E$245:$AR$245*(('Dvd Calendar'!$E$247:$AR$247=TYPE1)*(TYPE1&lt;&gt;"")+('Dvd Calendar'!$E$247:$AR$247=TYPE2)*(TYPE2&lt;&gt;"")+('Dvd Calendar'!$E$247:$AR$247=TYPE3)*(TYPE3&lt;&gt;"")+('Dvd Calendar'!$E$247:$AR$247=TYPE4)*(TYPE4&lt;&gt;"")+('Dvd Calendar'!$E$247:$AR$247=SPECIAL_LBL)*(INC_SPECIALS="Y"))))</f>
        <v/>
      </c>
      <c r="G33" s="68">
        <f>IF($C33="","",SUMPRODUCT(('Dvd Calendar'!$E$242:$AR$242&gt;=DATE(YEAR_Y-4,1,1))*('Dvd Calendar'!$E$242:$AR$242&lt;=DATE(YEAR_Y-4,12,31))*'Dvd Calendar'!$E$245:$AR$245*(('Dvd Calendar'!$E$247:$AR$247=TYPE1)*(TYPE1&lt;&gt;"")+('Dvd Calendar'!$E$247:$AR$247=TYPE2)*(TYPE2&lt;&gt;"")+('Dvd Calendar'!$E$247:$AR$247=TYPE3)*(TYPE3&lt;&gt;"")+('Dvd Calendar'!$E$247:$AR$247=TYPE4)*(TYPE4&lt;&gt;"")+('Dvd Calendar'!$E$247:$AR$247=SPECIAL_LBL)*(INC_SPECIALS="Y"))))</f>
        <v/>
      </c>
      <c r="H33" s="68">
        <f>IF($C33="","",SUMPRODUCT(('Dvd Calendar'!$E$242:$AR$242&gt;=DATE(YEAR_Y-3,1,1))*('Dvd Calendar'!$E$242:$AR$242&lt;=DATE(YEAR_Y-3,12,31))*'Dvd Calendar'!$E$245:$AR$245*(('Dvd Calendar'!$E$247:$AR$247=TYPE1)*(TYPE1&lt;&gt;"")+('Dvd Calendar'!$E$247:$AR$247=TYPE2)*(TYPE2&lt;&gt;"")+('Dvd Calendar'!$E$247:$AR$247=TYPE3)*(TYPE3&lt;&gt;"")+('Dvd Calendar'!$E$247:$AR$247=TYPE4)*(TYPE4&lt;&gt;"")+('Dvd Calendar'!$E$247:$AR$247=SPECIAL_LBL)*(INC_SPECIALS="Y"))))</f>
        <v/>
      </c>
      <c r="I33" s="68">
        <f>IF($C33="","",SUMPRODUCT(('Dvd Calendar'!$E$242:$AR$242&gt;=DATE(YEAR_Y-2,1,1))*('Dvd Calendar'!$E$242:$AR$242&lt;=DATE(YEAR_Y-2,12,31))*'Dvd Calendar'!$E$245:$AR$245*(('Dvd Calendar'!$E$247:$AR$247=TYPE1)*(TYPE1&lt;&gt;"")+('Dvd Calendar'!$E$247:$AR$247=TYPE2)*(TYPE2&lt;&gt;"")+('Dvd Calendar'!$E$247:$AR$247=TYPE3)*(TYPE3&lt;&gt;"")+('Dvd Calendar'!$E$247:$AR$247=TYPE4)*(TYPE4&lt;&gt;"")+('Dvd Calendar'!$E$247:$AR$247=SPECIAL_LBL)*(INC_SPECIALS="Y"))))</f>
        <v/>
      </c>
      <c r="J33" s="68">
        <f>IF($C33="","",SUMPRODUCT(('Dvd Calendar'!$E$242:$AR$242&gt;=DATE(YEAR_Y-1,1,1))*('Dvd Calendar'!$E$242:$AR$242&lt;=DATE(YEAR_Y-1,12,31))*'Dvd Calendar'!$E$245:$AR$245*(('Dvd Calendar'!$E$247:$AR$247=TYPE1)*(TYPE1&lt;&gt;"")+('Dvd Calendar'!$E$247:$AR$247=TYPE2)*(TYPE2&lt;&gt;"")+('Dvd Calendar'!$E$247:$AR$247=TYPE3)*(TYPE3&lt;&gt;"")+('Dvd Calendar'!$E$247:$AR$247=TYPE4)*(TYPE4&lt;&gt;"")+('Dvd Calendar'!$E$247:$AR$247=SPECIAL_LBL)*(INC_SPECIALS="Y"))))</f>
        <v/>
      </c>
      <c r="K33" s="69">
        <f>IF($C33="","",HSI!$J$28)</f>
        <v/>
      </c>
      <c r="L33" s="69">
        <f>IF($C33="","",HSI!$K$28)</f>
        <v/>
      </c>
      <c r="M33" s="44">
        <f>IF($C33="","",HSI!$J$28+HSI!$L$28)</f>
        <v/>
      </c>
      <c r="N33" s="70">
        <f>IF($C33="","",IF(PULL_FUND="N","",IFERROR(BDP($C33,BESTDPS_FIELD,FWD_OVERRIDE,TEXT(MOD(YEAR_Y,100),"00")&amp;"Y"),"")))</f>
        <v/>
      </c>
      <c r="O33" s="69">
        <f>IF($C33="","",AVERAGE(F33:J33))</f>
        <v/>
      </c>
      <c r="P33" s="71">
        <f>IF($C33="","",IF(PULL_FUND="N","",IF(COUNTIFS('Fund History'!$J$134:$J$138,"&gt;="&amp;DATE(YEAR_Y-5,1,1),'Fund History'!$J$134:$J$138,"&lt;="&amp;DATE(YEAR_Y-5,12,31))=0,"",IFERROR($F33*HSI!$G$28/SUMIFS('Fund History'!$K$134:$K$138,'Fund History'!$J$134:$J$138,"&gt;="&amp;DATE(YEAR_Y-5,1,1),'Fund History'!$J$134:$J$138,"&lt;="&amp;DATE(YEAR_Y-5,12,31)),""))))</f>
        <v/>
      </c>
      <c r="Q33" s="72">
        <f>IF($C33="","",IF(PULL_FUND="N","",IF(COUNTIFS('Fund History'!$J$134:$J$138,"&gt;="&amp;DATE(YEAR_Y-4,1,1),'Fund History'!$J$134:$J$138,"&lt;="&amp;DATE(YEAR_Y-4,12,31))=0,"",IFERROR($G33*HSI!$G$28/SUMIFS('Fund History'!$K$134:$K$138,'Fund History'!$J$134:$J$138,"&gt;="&amp;DATE(YEAR_Y-4,1,1),'Fund History'!$J$134:$J$138,"&lt;="&amp;DATE(YEAR_Y-4,12,31)),""))))</f>
        <v/>
      </c>
      <c r="R33" s="72">
        <f>IF($C33="","",IF(PULL_FUND="N","",IF(COUNTIFS('Fund History'!$J$134:$J$138,"&gt;="&amp;DATE(YEAR_Y-3,1,1),'Fund History'!$J$134:$J$138,"&lt;="&amp;DATE(YEAR_Y-3,12,31))=0,"",IFERROR($H33*HSI!$G$28/SUMIFS('Fund History'!$K$134:$K$138,'Fund History'!$J$134:$J$138,"&gt;="&amp;DATE(YEAR_Y-3,1,1),'Fund History'!$J$134:$J$138,"&lt;="&amp;DATE(YEAR_Y-3,12,31)),""))))</f>
        <v/>
      </c>
      <c r="S33" s="72">
        <f>IF($C33="","",IF(PULL_FUND="N","",IF(COUNTIFS('Fund History'!$J$134:$J$138,"&gt;="&amp;DATE(YEAR_Y-2,1,1),'Fund History'!$J$134:$J$138,"&lt;="&amp;DATE(YEAR_Y-2,12,31))=0,"",IFERROR($I33*HSI!$G$28/SUMIFS('Fund History'!$K$134:$K$138,'Fund History'!$J$134:$J$138,"&gt;="&amp;DATE(YEAR_Y-2,1,1),'Fund History'!$J$134:$J$138,"&lt;="&amp;DATE(YEAR_Y-2,12,31)),""))))</f>
        <v/>
      </c>
      <c r="T33" s="72">
        <f>IF($C33="","",IF(PULL_FUND="N","",IF(COUNTIFS('Fund History'!$J$134:$J$138,"&gt;="&amp;DATE(YEAR_Y-1,1,1),'Fund History'!$J$134:$J$138,"&lt;="&amp;DATE(YEAR_Y-1,12,31))=0,"",IFERROR($J33*HSI!$G$28/SUMIFS('Fund History'!$K$134:$K$138,'Fund History'!$J$134:$J$138,"&gt;="&amp;DATE(YEAR_Y-1,1,1),'Fund History'!$J$134:$J$138,"&lt;="&amp;DATE(YEAR_Y-1,12,31)),""))))</f>
        <v/>
      </c>
      <c r="U33" s="73">
        <f>IF($C33="","",IF(ISNUMBER(HSI!$I$28),HSI!$I$28/100,""))</f>
        <v/>
      </c>
      <c r="V33" s="74">
        <f>IF($C33="","",IF(ISNUMBER(HSI!$X$28),IFERROR($M33*HSI!$G$28/HSI!$X$28,""),""))</f>
        <v/>
      </c>
      <c r="W33" s="73">
        <f>IF($C33="","",IF(ISNUMBER($N33),IFERROR($N33*HSI!$G$28/HSI!$X$28,""),""))</f>
        <v/>
      </c>
      <c r="X33" s="75">
        <f>IF($C33="","",IF(PULL_FUND="N","",IFERROR(BDP($C33,EPS_FIELD,YR_OVERRIDE,TEXT(YEAR_Y-5,"0")),"")))</f>
        <v/>
      </c>
      <c r="Y33" s="76">
        <f>IF($C33="","",IF(PULL_FUND="N","",IFERROR(BDP($C33,EPS_FIELD,YR_OVERRIDE,TEXT(YEAR_Y-4,"0")),"")))</f>
        <v/>
      </c>
      <c r="Z33" s="76">
        <f>IF($C33="","",IF(PULL_FUND="N","",IFERROR(BDP($C33,EPS_FIELD,YR_OVERRIDE,TEXT(YEAR_Y-3,"0")),"")))</f>
        <v/>
      </c>
      <c r="AA33" s="76">
        <f>IF($C33="","",IF(PULL_FUND="N","",IFERROR(BDP($C33,EPS_FIELD,YR_OVERRIDE,TEXT(YEAR_Y-2,"0")),"")))</f>
        <v/>
      </c>
      <c r="AB33" s="76">
        <f>IF($C33="","",IF(PULL_FUND="N","",IFERROR(BDP($C33,EPS_FIELD,YR_OVERRIDE,TEXT(YEAR_Y-1,"0")),"")))</f>
        <v/>
      </c>
      <c r="AC33" s="50">
        <f>IF($C33="","",IFERROR(AVERAGE(X33:AB33),""))</f>
        <v/>
      </c>
      <c r="AD33" s="76">
        <f>IF($C33="","",IF(PULL_FUND="N","",IFERROR(BDP($C33,BESTEPS_FIELD,FWD_OVERRIDE,TEXT(MOD(YEAR_Y,100),"00")&amp;"Y"),"")))</f>
        <v/>
      </c>
      <c r="AE33" s="77">
        <f>IF($C33="","",IF(PULL_FUND="N","",IFERROR(BDP($C33,PAYOUT_FIELD,YR_OVERRIDE,TEXT(YEAR_Y-5,"0"))/100,"")))</f>
        <v/>
      </c>
      <c r="AF33" s="78">
        <f>IF($C33="","",IF(PULL_FUND="N","",IFERROR(BDP($C33,PAYOUT_FIELD,YR_OVERRIDE,TEXT(YEAR_Y-4,"0"))/100,"")))</f>
        <v/>
      </c>
      <c r="AG33" s="78">
        <f>IF($C33="","",IF(PULL_FUND="N","",IFERROR(BDP($C33,PAYOUT_FIELD,YR_OVERRIDE,TEXT(YEAR_Y-3,"0"))/100,"")))</f>
        <v/>
      </c>
      <c r="AH33" s="78">
        <f>IF($C33="","",IF(PULL_FUND="N","",IFERROR(BDP($C33,PAYOUT_FIELD,YR_OVERRIDE,TEXT(YEAR_Y-2,"0"))/100,"")))</f>
        <v/>
      </c>
      <c r="AI33" s="78">
        <f>IF($C33="","",IF(PULL_FUND="N","",IFERROR(BDP($C33,PAYOUT_FIELD,YR_OVERRIDE,TEXT(YEAR_Y-1,"0"))/100,"")))</f>
        <v/>
      </c>
      <c r="AJ33" s="79">
        <f>IF($C33="","",IFERROR(AVERAGE(AE33:AI33),""))</f>
        <v/>
      </c>
      <c r="AK33" s="80">
        <f>IF($C33="","",IF(ISNUMBER($AD33)*ISNUMBER($N33)*($AD33&lt;&gt;0)=0,"",$N33/$AD33))</f>
        <v/>
      </c>
      <c r="AL33" s="79">
        <f>IF($C33="","",IF(ISNUMBER($AD33)*($AD33&lt;&gt;0)=0,"",$M33/$AD33))</f>
        <v/>
      </c>
      <c r="AM33" s="37">
        <f>IF($C33="","",IF(ISNUMBER($AE33)*ISNUMBER($AI33)=0,"",IF($AI33&gt;$AE33+0.05,"rising",IF($AI33&lt;$AE33-0.05,"falling","stable"))))</f>
        <v/>
      </c>
      <c r="AN33" s="81">
        <f>IF($C33="","",IF(PULL_FUND="N","",IF(COUNTIFS('Fund History'!$G$134:$G$138,"&gt;="&amp;DATE(YEAR_Y-4,1,1),'Fund History'!$G$134:$G$138,"&lt;="&amp;DATE(YEAR_Y-4,12,31))=0,"",SUMIFS('Fund History'!$H$134:$H$138,'Fund History'!$G$134:$G$138,"&gt;="&amp;DATE(YEAR_Y-4,1,1),'Fund History'!$G$134:$G$138,"&lt;="&amp;DATE(YEAR_Y-4,12,31))/100)))</f>
        <v/>
      </c>
      <c r="AO33" s="82">
        <f>IF($C33="","",IF(PULL_FUND="N","",IF(COUNTIFS('Fund History'!$G$134:$G$138,"&gt;="&amp;DATE(YEAR_Y-3,1,1),'Fund History'!$G$134:$G$138,"&lt;="&amp;DATE(YEAR_Y-3,12,31))=0,"",SUMIFS('Fund History'!$H$134:$H$138,'Fund History'!$G$134:$G$138,"&gt;="&amp;DATE(YEAR_Y-3,1,1),'Fund History'!$G$134:$G$138,"&lt;="&amp;DATE(YEAR_Y-3,12,31))/100)))</f>
        <v/>
      </c>
      <c r="AP33" s="82">
        <f>IF($C33="","",IF(PULL_FUND="N","",IF(COUNTIFS('Fund History'!$G$134:$G$138,"&gt;="&amp;DATE(YEAR_Y-2,1,1),'Fund History'!$G$134:$G$138,"&lt;="&amp;DATE(YEAR_Y-2,12,31))=0,"",SUMIFS('Fund History'!$H$134:$H$138,'Fund History'!$G$134:$G$138,"&gt;="&amp;DATE(YEAR_Y-2,1,1),'Fund History'!$G$134:$G$138,"&lt;="&amp;DATE(YEAR_Y-2,12,31))/100)))</f>
        <v/>
      </c>
      <c r="AQ33" s="82">
        <f>IF($C33="","",IF(PULL_FUND="N","",IF(COUNTIFS('Fund History'!$G$134:$G$138,"&gt;="&amp;DATE(YEAR_Y-1,1,1),'Fund History'!$G$134:$G$138,"&lt;="&amp;DATE(YEAR_Y-1,12,31))=0,"",SUMIFS('Fund History'!$H$134:$H$138,'Fund History'!$G$134:$G$138,"&gt;="&amp;DATE(YEAR_Y-1,1,1),'Fund History'!$G$134:$G$138,"&lt;="&amp;DATE(YEAR_Y-1,12,31))/100)))</f>
        <v/>
      </c>
      <c r="AR33" s="83">
        <f>IF($C33="","",IF(N($AQ33)+N(HSI!$I$28)=0,"",N($AQ33)+N(HSI!$I$28)/100))</f>
        <v/>
      </c>
      <c r="AS33" s="75">
        <f>IF($C33="","",IF(PULL_FUND="N","",IF(COUNTIFS('Fund History'!$D$134:$D$138,"&gt;="&amp;DATE(YEAR_Y-2,1,1),'Fund History'!$D$134:$D$138,"&lt;="&amp;DATE(YEAR_Y-2,12,31))=0,"",SUMIFS('Fund History'!$E$134:$E$138,'Fund History'!$D$134:$D$138,"&gt;="&amp;DATE(YEAR_Y-2,1,1),'Fund History'!$D$134:$D$138,"&lt;="&amp;DATE(YEAR_Y-2,12,31)))))</f>
        <v/>
      </c>
      <c r="AT33" s="76">
        <f>IF($C33="","",IF(PULL_FUND="N","",IF(COUNTIFS('Fund History'!$D$134:$D$138,"&gt;="&amp;DATE(YEAR_Y-1,1,1),'Fund History'!$D$134:$D$138,"&lt;="&amp;DATE(YEAR_Y-1,12,31))=0,"",SUMIFS('Fund History'!$E$134:$E$138,'Fund History'!$D$134:$D$138,"&gt;="&amp;DATE(YEAR_Y-1,1,1),'Fund History'!$D$134:$D$138,"&lt;="&amp;DATE(YEAR_Y-1,12,31)))))</f>
        <v/>
      </c>
      <c r="AU33" s="76">
        <f>IF($C33="","",IF(PULL_FUND="N","",IFERROR(BDP($C33,NDEBITDA_FIELD),"")))</f>
        <v/>
      </c>
      <c r="AV33" s="84">
        <f>IF($C33="","",IF(PULL_FUND="N","",IFERROR(BDP($C33,EBINT_FIELD),"")))</f>
        <v/>
      </c>
      <c r="AW33" s="82">
        <f>IF($C33="","",IF(PULL_FUND="N","",IFERROR(BDP($C33,FCF_FIELD)/100,"")))</f>
        <v/>
      </c>
      <c r="AX33" s="50">
        <f>IF($C33="","",IF(N($U33)=0,"",IFERROR($AW33/$U33,"")))</f>
        <v/>
      </c>
      <c r="AY33" s="85">
        <f>IF($C33="","",TRIM(IF(ISNUMBER($AJ33)*(N($AJ33)&gt;$D$4)&gt;0,"payout high  ","")&amp;IF(ISNUMBER($AX33)*(N($AX33)&lt;$F$4)&gt;0,"FCF below dvd  ","")&amp;IF(ISNUMBER($AU33)*(N($AU33)&gt;$H$4)&gt;0,"leverage high","")))</f>
        <v/>
      </c>
      <c r="AZ33" s="86">
        <f>IF($C33="","",IF(HSI!$F$28="HKD","",HSI!$F$28))</f>
        <v/>
      </c>
    </row>
    <row r="34">
      <c r="B34" s="66" t="inlineStr">
        <is>
          <t>HSI</t>
        </is>
      </c>
      <c r="C34" s="8">
        <f>IF(HSI!$C$29="","",HSI!$C$29)</f>
        <v/>
      </c>
      <c r="D34" s="8">
        <f>IF($C34="","",HSI!$D$29)</f>
        <v/>
      </c>
      <c r="E34" s="8">
        <f>IF($C34="","",HSI!$E$29)</f>
        <v/>
      </c>
      <c r="F34" s="67">
        <f>IF($C34="","",SUMPRODUCT(('Dvd Calendar'!$E$253:$AR$253&gt;=DATE(YEAR_Y-5,1,1))*('Dvd Calendar'!$E$253:$AR$253&lt;=DATE(YEAR_Y-5,12,31))*'Dvd Calendar'!$E$256:$AR$256*(('Dvd Calendar'!$E$258:$AR$258=TYPE1)*(TYPE1&lt;&gt;"")+('Dvd Calendar'!$E$258:$AR$258=TYPE2)*(TYPE2&lt;&gt;"")+('Dvd Calendar'!$E$258:$AR$258=TYPE3)*(TYPE3&lt;&gt;"")+('Dvd Calendar'!$E$258:$AR$258=TYPE4)*(TYPE4&lt;&gt;"")+('Dvd Calendar'!$E$258:$AR$258=SPECIAL_LBL)*(INC_SPECIALS="Y"))))</f>
        <v/>
      </c>
      <c r="G34" s="68">
        <f>IF($C34="","",SUMPRODUCT(('Dvd Calendar'!$E$253:$AR$253&gt;=DATE(YEAR_Y-4,1,1))*('Dvd Calendar'!$E$253:$AR$253&lt;=DATE(YEAR_Y-4,12,31))*'Dvd Calendar'!$E$256:$AR$256*(('Dvd Calendar'!$E$258:$AR$258=TYPE1)*(TYPE1&lt;&gt;"")+('Dvd Calendar'!$E$258:$AR$258=TYPE2)*(TYPE2&lt;&gt;"")+('Dvd Calendar'!$E$258:$AR$258=TYPE3)*(TYPE3&lt;&gt;"")+('Dvd Calendar'!$E$258:$AR$258=TYPE4)*(TYPE4&lt;&gt;"")+('Dvd Calendar'!$E$258:$AR$258=SPECIAL_LBL)*(INC_SPECIALS="Y"))))</f>
        <v/>
      </c>
      <c r="H34" s="68">
        <f>IF($C34="","",SUMPRODUCT(('Dvd Calendar'!$E$253:$AR$253&gt;=DATE(YEAR_Y-3,1,1))*('Dvd Calendar'!$E$253:$AR$253&lt;=DATE(YEAR_Y-3,12,31))*'Dvd Calendar'!$E$256:$AR$256*(('Dvd Calendar'!$E$258:$AR$258=TYPE1)*(TYPE1&lt;&gt;"")+('Dvd Calendar'!$E$258:$AR$258=TYPE2)*(TYPE2&lt;&gt;"")+('Dvd Calendar'!$E$258:$AR$258=TYPE3)*(TYPE3&lt;&gt;"")+('Dvd Calendar'!$E$258:$AR$258=TYPE4)*(TYPE4&lt;&gt;"")+('Dvd Calendar'!$E$258:$AR$258=SPECIAL_LBL)*(INC_SPECIALS="Y"))))</f>
        <v/>
      </c>
      <c r="I34" s="68">
        <f>IF($C34="","",SUMPRODUCT(('Dvd Calendar'!$E$253:$AR$253&gt;=DATE(YEAR_Y-2,1,1))*('Dvd Calendar'!$E$253:$AR$253&lt;=DATE(YEAR_Y-2,12,31))*'Dvd Calendar'!$E$256:$AR$256*(('Dvd Calendar'!$E$258:$AR$258=TYPE1)*(TYPE1&lt;&gt;"")+('Dvd Calendar'!$E$258:$AR$258=TYPE2)*(TYPE2&lt;&gt;"")+('Dvd Calendar'!$E$258:$AR$258=TYPE3)*(TYPE3&lt;&gt;"")+('Dvd Calendar'!$E$258:$AR$258=TYPE4)*(TYPE4&lt;&gt;"")+('Dvd Calendar'!$E$258:$AR$258=SPECIAL_LBL)*(INC_SPECIALS="Y"))))</f>
        <v/>
      </c>
      <c r="J34" s="68">
        <f>IF($C34="","",SUMPRODUCT(('Dvd Calendar'!$E$253:$AR$253&gt;=DATE(YEAR_Y-1,1,1))*('Dvd Calendar'!$E$253:$AR$253&lt;=DATE(YEAR_Y-1,12,31))*'Dvd Calendar'!$E$256:$AR$256*(('Dvd Calendar'!$E$258:$AR$258=TYPE1)*(TYPE1&lt;&gt;"")+('Dvd Calendar'!$E$258:$AR$258=TYPE2)*(TYPE2&lt;&gt;"")+('Dvd Calendar'!$E$258:$AR$258=TYPE3)*(TYPE3&lt;&gt;"")+('Dvd Calendar'!$E$258:$AR$258=TYPE4)*(TYPE4&lt;&gt;"")+('Dvd Calendar'!$E$258:$AR$258=SPECIAL_LBL)*(INC_SPECIALS="Y"))))</f>
        <v/>
      </c>
      <c r="K34" s="69">
        <f>IF($C34="","",HSI!$J$29)</f>
        <v/>
      </c>
      <c r="L34" s="69">
        <f>IF($C34="","",HSI!$K$29)</f>
        <v/>
      </c>
      <c r="M34" s="44">
        <f>IF($C34="","",HSI!$J$29+HSI!$L$29)</f>
        <v/>
      </c>
      <c r="N34" s="70">
        <f>IF($C34="","",IF(PULL_FUND="N","",IFERROR(BDP($C34,BESTDPS_FIELD,FWD_OVERRIDE,TEXT(MOD(YEAR_Y,100),"00")&amp;"Y"),"")))</f>
        <v/>
      </c>
      <c r="O34" s="69">
        <f>IF($C34="","",AVERAGE(F34:J34))</f>
        <v/>
      </c>
      <c r="P34" s="71">
        <f>IF($C34="","",IF(PULL_FUND="N","",IF(COUNTIFS('Fund History'!$J$140:$J$144,"&gt;="&amp;DATE(YEAR_Y-5,1,1),'Fund History'!$J$140:$J$144,"&lt;="&amp;DATE(YEAR_Y-5,12,31))=0,"",IFERROR($F34*HSI!$G$29/SUMIFS('Fund History'!$K$140:$K$144,'Fund History'!$J$140:$J$144,"&gt;="&amp;DATE(YEAR_Y-5,1,1),'Fund History'!$J$140:$J$144,"&lt;="&amp;DATE(YEAR_Y-5,12,31)),""))))</f>
        <v/>
      </c>
      <c r="Q34" s="72">
        <f>IF($C34="","",IF(PULL_FUND="N","",IF(COUNTIFS('Fund History'!$J$140:$J$144,"&gt;="&amp;DATE(YEAR_Y-4,1,1),'Fund History'!$J$140:$J$144,"&lt;="&amp;DATE(YEAR_Y-4,12,31))=0,"",IFERROR($G34*HSI!$G$29/SUMIFS('Fund History'!$K$140:$K$144,'Fund History'!$J$140:$J$144,"&gt;="&amp;DATE(YEAR_Y-4,1,1),'Fund History'!$J$140:$J$144,"&lt;="&amp;DATE(YEAR_Y-4,12,31)),""))))</f>
        <v/>
      </c>
      <c r="R34" s="72">
        <f>IF($C34="","",IF(PULL_FUND="N","",IF(COUNTIFS('Fund History'!$J$140:$J$144,"&gt;="&amp;DATE(YEAR_Y-3,1,1),'Fund History'!$J$140:$J$144,"&lt;="&amp;DATE(YEAR_Y-3,12,31))=0,"",IFERROR($H34*HSI!$G$29/SUMIFS('Fund History'!$K$140:$K$144,'Fund History'!$J$140:$J$144,"&gt;="&amp;DATE(YEAR_Y-3,1,1),'Fund History'!$J$140:$J$144,"&lt;="&amp;DATE(YEAR_Y-3,12,31)),""))))</f>
        <v/>
      </c>
      <c r="S34" s="72">
        <f>IF($C34="","",IF(PULL_FUND="N","",IF(COUNTIFS('Fund History'!$J$140:$J$144,"&gt;="&amp;DATE(YEAR_Y-2,1,1),'Fund History'!$J$140:$J$144,"&lt;="&amp;DATE(YEAR_Y-2,12,31))=0,"",IFERROR($I34*HSI!$G$29/SUMIFS('Fund History'!$K$140:$K$144,'Fund History'!$J$140:$J$144,"&gt;="&amp;DATE(YEAR_Y-2,1,1),'Fund History'!$J$140:$J$144,"&lt;="&amp;DATE(YEAR_Y-2,12,31)),""))))</f>
        <v/>
      </c>
      <c r="T34" s="72">
        <f>IF($C34="","",IF(PULL_FUND="N","",IF(COUNTIFS('Fund History'!$J$140:$J$144,"&gt;="&amp;DATE(YEAR_Y-1,1,1),'Fund History'!$J$140:$J$144,"&lt;="&amp;DATE(YEAR_Y-1,12,31))=0,"",IFERROR($J34*HSI!$G$29/SUMIFS('Fund History'!$K$140:$K$144,'Fund History'!$J$140:$J$144,"&gt;="&amp;DATE(YEAR_Y-1,1,1),'Fund History'!$J$140:$J$144,"&lt;="&amp;DATE(YEAR_Y-1,12,31)),""))))</f>
        <v/>
      </c>
      <c r="U34" s="73">
        <f>IF($C34="","",IF(ISNUMBER(HSI!$I$29),HSI!$I$29/100,""))</f>
        <v/>
      </c>
      <c r="V34" s="74">
        <f>IF($C34="","",IF(ISNUMBER(HSI!$X$29),IFERROR($M34*HSI!$G$29/HSI!$X$29,""),""))</f>
        <v/>
      </c>
      <c r="W34" s="73">
        <f>IF($C34="","",IF(ISNUMBER($N34),IFERROR($N34*HSI!$G$29/HSI!$X$29,""),""))</f>
        <v/>
      </c>
      <c r="X34" s="75">
        <f>IF($C34="","",IF(PULL_FUND="N","",IFERROR(BDP($C34,EPS_FIELD,YR_OVERRIDE,TEXT(YEAR_Y-5,"0")),"")))</f>
        <v/>
      </c>
      <c r="Y34" s="76">
        <f>IF($C34="","",IF(PULL_FUND="N","",IFERROR(BDP($C34,EPS_FIELD,YR_OVERRIDE,TEXT(YEAR_Y-4,"0")),"")))</f>
        <v/>
      </c>
      <c r="Z34" s="76">
        <f>IF($C34="","",IF(PULL_FUND="N","",IFERROR(BDP($C34,EPS_FIELD,YR_OVERRIDE,TEXT(YEAR_Y-3,"0")),"")))</f>
        <v/>
      </c>
      <c r="AA34" s="76">
        <f>IF($C34="","",IF(PULL_FUND="N","",IFERROR(BDP($C34,EPS_FIELD,YR_OVERRIDE,TEXT(YEAR_Y-2,"0")),"")))</f>
        <v/>
      </c>
      <c r="AB34" s="76">
        <f>IF($C34="","",IF(PULL_FUND="N","",IFERROR(BDP($C34,EPS_FIELD,YR_OVERRIDE,TEXT(YEAR_Y-1,"0")),"")))</f>
        <v/>
      </c>
      <c r="AC34" s="50">
        <f>IF($C34="","",IFERROR(AVERAGE(X34:AB34),""))</f>
        <v/>
      </c>
      <c r="AD34" s="76">
        <f>IF($C34="","",IF(PULL_FUND="N","",IFERROR(BDP($C34,BESTEPS_FIELD,FWD_OVERRIDE,TEXT(MOD(YEAR_Y,100),"00")&amp;"Y"),"")))</f>
        <v/>
      </c>
      <c r="AE34" s="77">
        <f>IF($C34="","",IF(PULL_FUND="N","",IFERROR(BDP($C34,PAYOUT_FIELD,YR_OVERRIDE,TEXT(YEAR_Y-5,"0"))/100,"")))</f>
        <v/>
      </c>
      <c r="AF34" s="78">
        <f>IF($C34="","",IF(PULL_FUND="N","",IFERROR(BDP($C34,PAYOUT_FIELD,YR_OVERRIDE,TEXT(YEAR_Y-4,"0"))/100,"")))</f>
        <v/>
      </c>
      <c r="AG34" s="78">
        <f>IF($C34="","",IF(PULL_FUND="N","",IFERROR(BDP($C34,PAYOUT_FIELD,YR_OVERRIDE,TEXT(YEAR_Y-3,"0"))/100,"")))</f>
        <v/>
      </c>
      <c r="AH34" s="78">
        <f>IF($C34="","",IF(PULL_FUND="N","",IFERROR(BDP($C34,PAYOUT_FIELD,YR_OVERRIDE,TEXT(YEAR_Y-2,"0"))/100,"")))</f>
        <v/>
      </c>
      <c r="AI34" s="78">
        <f>IF($C34="","",IF(PULL_FUND="N","",IFERROR(BDP($C34,PAYOUT_FIELD,YR_OVERRIDE,TEXT(YEAR_Y-1,"0"))/100,"")))</f>
        <v/>
      </c>
      <c r="AJ34" s="79">
        <f>IF($C34="","",IFERROR(AVERAGE(AE34:AI34),""))</f>
        <v/>
      </c>
      <c r="AK34" s="80">
        <f>IF($C34="","",IF(ISNUMBER($AD34)*ISNUMBER($N34)*($AD34&lt;&gt;0)=0,"",$N34/$AD34))</f>
        <v/>
      </c>
      <c r="AL34" s="79">
        <f>IF($C34="","",IF(ISNUMBER($AD34)*($AD34&lt;&gt;0)=0,"",$M34/$AD34))</f>
        <v/>
      </c>
      <c r="AM34" s="37">
        <f>IF($C34="","",IF(ISNUMBER($AE34)*ISNUMBER($AI34)=0,"",IF($AI34&gt;$AE34+0.05,"rising",IF($AI34&lt;$AE34-0.05,"falling","stable"))))</f>
        <v/>
      </c>
      <c r="AN34" s="81">
        <f>IF($C34="","",IF(PULL_FUND="N","",IF(COUNTIFS('Fund History'!$G$140:$G$144,"&gt;="&amp;DATE(YEAR_Y-4,1,1),'Fund History'!$G$140:$G$144,"&lt;="&amp;DATE(YEAR_Y-4,12,31))=0,"",SUMIFS('Fund History'!$H$140:$H$144,'Fund History'!$G$140:$G$144,"&gt;="&amp;DATE(YEAR_Y-4,1,1),'Fund History'!$G$140:$G$144,"&lt;="&amp;DATE(YEAR_Y-4,12,31))/100)))</f>
        <v/>
      </c>
      <c r="AO34" s="82">
        <f>IF($C34="","",IF(PULL_FUND="N","",IF(COUNTIFS('Fund History'!$G$140:$G$144,"&gt;="&amp;DATE(YEAR_Y-3,1,1),'Fund History'!$G$140:$G$144,"&lt;="&amp;DATE(YEAR_Y-3,12,31))=0,"",SUMIFS('Fund History'!$H$140:$H$144,'Fund History'!$G$140:$G$144,"&gt;="&amp;DATE(YEAR_Y-3,1,1),'Fund History'!$G$140:$G$144,"&lt;="&amp;DATE(YEAR_Y-3,12,31))/100)))</f>
        <v/>
      </c>
      <c r="AP34" s="82">
        <f>IF($C34="","",IF(PULL_FUND="N","",IF(COUNTIFS('Fund History'!$G$140:$G$144,"&gt;="&amp;DATE(YEAR_Y-2,1,1),'Fund History'!$G$140:$G$144,"&lt;="&amp;DATE(YEAR_Y-2,12,31))=0,"",SUMIFS('Fund History'!$H$140:$H$144,'Fund History'!$G$140:$G$144,"&gt;="&amp;DATE(YEAR_Y-2,1,1),'Fund History'!$G$140:$G$144,"&lt;="&amp;DATE(YEAR_Y-2,12,31))/100)))</f>
        <v/>
      </c>
      <c r="AQ34" s="82">
        <f>IF($C34="","",IF(PULL_FUND="N","",IF(COUNTIFS('Fund History'!$G$140:$G$144,"&gt;="&amp;DATE(YEAR_Y-1,1,1),'Fund History'!$G$140:$G$144,"&lt;="&amp;DATE(YEAR_Y-1,12,31))=0,"",SUMIFS('Fund History'!$H$140:$H$144,'Fund History'!$G$140:$G$144,"&gt;="&amp;DATE(YEAR_Y-1,1,1),'Fund History'!$G$140:$G$144,"&lt;="&amp;DATE(YEAR_Y-1,12,31))/100)))</f>
        <v/>
      </c>
      <c r="AR34" s="83">
        <f>IF($C34="","",IF(N($AQ34)+N(HSI!$I$29)=0,"",N($AQ34)+N(HSI!$I$29)/100))</f>
        <v/>
      </c>
      <c r="AS34" s="75">
        <f>IF($C34="","",IF(PULL_FUND="N","",IF(COUNTIFS('Fund History'!$D$140:$D$144,"&gt;="&amp;DATE(YEAR_Y-2,1,1),'Fund History'!$D$140:$D$144,"&lt;="&amp;DATE(YEAR_Y-2,12,31))=0,"",SUMIFS('Fund History'!$E$140:$E$144,'Fund History'!$D$140:$D$144,"&gt;="&amp;DATE(YEAR_Y-2,1,1),'Fund History'!$D$140:$D$144,"&lt;="&amp;DATE(YEAR_Y-2,12,31)))))</f>
        <v/>
      </c>
      <c r="AT34" s="76">
        <f>IF($C34="","",IF(PULL_FUND="N","",IF(COUNTIFS('Fund History'!$D$140:$D$144,"&gt;="&amp;DATE(YEAR_Y-1,1,1),'Fund History'!$D$140:$D$144,"&lt;="&amp;DATE(YEAR_Y-1,12,31))=0,"",SUMIFS('Fund History'!$E$140:$E$144,'Fund History'!$D$140:$D$144,"&gt;="&amp;DATE(YEAR_Y-1,1,1),'Fund History'!$D$140:$D$144,"&lt;="&amp;DATE(YEAR_Y-1,12,31)))))</f>
        <v/>
      </c>
      <c r="AU34" s="76">
        <f>IF($C34="","",IF(PULL_FUND="N","",IFERROR(BDP($C34,NDEBITDA_FIELD),"")))</f>
        <v/>
      </c>
      <c r="AV34" s="84">
        <f>IF($C34="","",IF(PULL_FUND="N","",IFERROR(BDP($C34,EBINT_FIELD),"")))</f>
        <v/>
      </c>
      <c r="AW34" s="82">
        <f>IF($C34="","",IF(PULL_FUND="N","",IFERROR(BDP($C34,FCF_FIELD)/100,"")))</f>
        <v/>
      </c>
      <c r="AX34" s="50">
        <f>IF($C34="","",IF(N($U34)=0,"",IFERROR($AW34/$U34,"")))</f>
        <v/>
      </c>
      <c r="AY34" s="85">
        <f>IF($C34="","",TRIM(IF(ISNUMBER($AJ34)*(N($AJ34)&gt;$D$4)&gt;0,"payout high  ","")&amp;IF(ISNUMBER($AX34)*(N($AX34)&lt;$F$4)&gt;0,"FCF below dvd  ","")&amp;IF(ISNUMBER($AU34)*(N($AU34)&gt;$H$4)&gt;0,"leverage high","")))</f>
        <v/>
      </c>
      <c r="AZ34" s="86">
        <f>IF($C34="","",IF(HSI!$F$29="HKD","",HSI!$F$29))</f>
        <v/>
      </c>
    </row>
    <row r="35">
      <c r="B35" s="66" t="inlineStr">
        <is>
          <t>HSI</t>
        </is>
      </c>
      <c r="C35" s="8">
        <f>IF(HSI!$C$30="","",HSI!$C$30)</f>
        <v/>
      </c>
      <c r="D35" s="8">
        <f>IF($C35="","",HSI!$D$30)</f>
        <v/>
      </c>
      <c r="E35" s="8">
        <f>IF($C35="","",HSI!$E$30)</f>
        <v/>
      </c>
      <c r="F35" s="67">
        <f>IF($C35="","",SUMPRODUCT(('Dvd Calendar'!$E$264:$AR$264&gt;=DATE(YEAR_Y-5,1,1))*('Dvd Calendar'!$E$264:$AR$264&lt;=DATE(YEAR_Y-5,12,31))*'Dvd Calendar'!$E$267:$AR$267*(('Dvd Calendar'!$E$269:$AR$269=TYPE1)*(TYPE1&lt;&gt;"")+('Dvd Calendar'!$E$269:$AR$269=TYPE2)*(TYPE2&lt;&gt;"")+('Dvd Calendar'!$E$269:$AR$269=TYPE3)*(TYPE3&lt;&gt;"")+('Dvd Calendar'!$E$269:$AR$269=TYPE4)*(TYPE4&lt;&gt;"")+('Dvd Calendar'!$E$269:$AR$269=SPECIAL_LBL)*(INC_SPECIALS="Y"))))</f>
        <v/>
      </c>
      <c r="G35" s="68">
        <f>IF($C35="","",SUMPRODUCT(('Dvd Calendar'!$E$264:$AR$264&gt;=DATE(YEAR_Y-4,1,1))*('Dvd Calendar'!$E$264:$AR$264&lt;=DATE(YEAR_Y-4,12,31))*'Dvd Calendar'!$E$267:$AR$267*(('Dvd Calendar'!$E$269:$AR$269=TYPE1)*(TYPE1&lt;&gt;"")+('Dvd Calendar'!$E$269:$AR$269=TYPE2)*(TYPE2&lt;&gt;"")+('Dvd Calendar'!$E$269:$AR$269=TYPE3)*(TYPE3&lt;&gt;"")+('Dvd Calendar'!$E$269:$AR$269=TYPE4)*(TYPE4&lt;&gt;"")+('Dvd Calendar'!$E$269:$AR$269=SPECIAL_LBL)*(INC_SPECIALS="Y"))))</f>
        <v/>
      </c>
      <c r="H35" s="68">
        <f>IF($C35="","",SUMPRODUCT(('Dvd Calendar'!$E$264:$AR$264&gt;=DATE(YEAR_Y-3,1,1))*('Dvd Calendar'!$E$264:$AR$264&lt;=DATE(YEAR_Y-3,12,31))*'Dvd Calendar'!$E$267:$AR$267*(('Dvd Calendar'!$E$269:$AR$269=TYPE1)*(TYPE1&lt;&gt;"")+('Dvd Calendar'!$E$269:$AR$269=TYPE2)*(TYPE2&lt;&gt;"")+('Dvd Calendar'!$E$269:$AR$269=TYPE3)*(TYPE3&lt;&gt;"")+('Dvd Calendar'!$E$269:$AR$269=TYPE4)*(TYPE4&lt;&gt;"")+('Dvd Calendar'!$E$269:$AR$269=SPECIAL_LBL)*(INC_SPECIALS="Y"))))</f>
        <v/>
      </c>
      <c r="I35" s="68">
        <f>IF($C35="","",SUMPRODUCT(('Dvd Calendar'!$E$264:$AR$264&gt;=DATE(YEAR_Y-2,1,1))*('Dvd Calendar'!$E$264:$AR$264&lt;=DATE(YEAR_Y-2,12,31))*'Dvd Calendar'!$E$267:$AR$267*(('Dvd Calendar'!$E$269:$AR$269=TYPE1)*(TYPE1&lt;&gt;"")+('Dvd Calendar'!$E$269:$AR$269=TYPE2)*(TYPE2&lt;&gt;"")+('Dvd Calendar'!$E$269:$AR$269=TYPE3)*(TYPE3&lt;&gt;"")+('Dvd Calendar'!$E$269:$AR$269=TYPE4)*(TYPE4&lt;&gt;"")+('Dvd Calendar'!$E$269:$AR$269=SPECIAL_LBL)*(INC_SPECIALS="Y"))))</f>
        <v/>
      </c>
      <c r="J35" s="68">
        <f>IF($C35="","",SUMPRODUCT(('Dvd Calendar'!$E$264:$AR$264&gt;=DATE(YEAR_Y-1,1,1))*('Dvd Calendar'!$E$264:$AR$264&lt;=DATE(YEAR_Y-1,12,31))*'Dvd Calendar'!$E$267:$AR$267*(('Dvd Calendar'!$E$269:$AR$269=TYPE1)*(TYPE1&lt;&gt;"")+('Dvd Calendar'!$E$269:$AR$269=TYPE2)*(TYPE2&lt;&gt;"")+('Dvd Calendar'!$E$269:$AR$269=TYPE3)*(TYPE3&lt;&gt;"")+('Dvd Calendar'!$E$269:$AR$269=TYPE4)*(TYPE4&lt;&gt;"")+('Dvd Calendar'!$E$269:$AR$269=SPECIAL_LBL)*(INC_SPECIALS="Y"))))</f>
        <v/>
      </c>
      <c r="K35" s="69">
        <f>IF($C35="","",HSI!$J$30)</f>
        <v/>
      </c>
      <c r="L35" s="69">
        <f>IF($C35="","",HSI!$K$30)</f>
        <v/>
      </c>
      <c r="M35" s="44">
        <f>IF($C35="","",HSI!$J$30+HSI!$L$30)</f>
        <v/>
      </c>
      <c r="N35" s="70">
        <f>IF($C35="","",IF(PULL_FUND="N","",IFERROR(BDP($C35,BESTDPS_FIELD,FWD_OVERRIDE,TEXT(MOD(YEAR_Y,100),"00")&amp;"Y"),"")))</f>
        <v/>
      </c>
      <c r="O35" s="69">
        <f>IF($C35="","",AVERAGE(F35:J35))</f>
        <v/>
      </c>
      <c r="P35" s="71">
        <f>IF($C35="","",IF(PULL_FUND="N","",IF(COUNTIFS('Fund History'!$J$146:$J$150,"&gt;="&amp;DATE(YEAR_Y-5,1,1),'Fund History'!$J$146:$J$150,"&lt;="&amp;DATE(YEAR_Y-5,12,31))=0,"",IFERROR($F35*HSI!$G$30/SUMIFS('Fund History'!$K$146:$K$150,'Fund History'!$J$146:$J$150,"&gt;="&amp;DATE(YEAR_Y-5,1,1),'Fund History'!$J$146:$J$150,"&lt;="&amp;DATE(YEAR_Y-5,12,31)),""))))</f>
        <v/>
      </c>
      <c r="Q35" s="72">
        <f>IF($C35="","",IF(PULL_FUND="N","",IF(COUNTIFS('Fund History'!$J$146:$J$150,"&gt;="&amp;DATE(YEAR_Y-4,1,1),'Fund History'!$J$146:$J$150,"&lt;="&amp;DATE(YEAR_Y-4,12,31))=0,"",IFERROR($G35*HSI!$G$30/SUMIFS('Fund History'!$K$146:$K$150,'Fund History'!$J$146:$J$150,"&gt;="&amp;DATE(YEAR_Y-4,1,1),'Fund History'!$J$146:$J$150,"&lt;="&amp;DATE(YEAR_Y-4,12,31)),""))))</f>
        <v/>
      </c>
      <c r="R35" s="72">
        <f>IF($C35="","",IF(PULL_FUND="N","",IF(COUNTIFS('Fund History'!$J$146:$J$150,"&gt;="&amp;DATE(YEAR_Y-3,1,1),'Fund History'!$J$146:$J$150,"&lt;="&amp;DATE(YEAR_Y-3,12,31))=0,"",IFERROR($H35*HSI!$G$30/SUMIFS('Fund History'!$K$146:$K$150,'Fund History'!$J$146:$J$150,"&gt;="&amp;DATE(YEAR_Y-3,1,1),'Fund History'!$J$146:$J$150,"&lt;="&amp;DATE(YEAR_Y-3,12,31)),""))))</f>
        <v/>
      </c>
      <c r="S35" s="72">
        <f>IF($C35="","",IF(PULL_FUND="N","",IF(COUNTIFS('Fund History'!$J$146:$J$150,"&gt;="&amp;DATE(YEAR_Y-2,1,1),'Fund History'!$J$146:$J$150,"&lt;="&amp;DATE(YEAR_Y-2,12,31))=0,"",IFERROR($I35*HSI!$G$30/SUMIFS('Fund History'!$K$146:$K$150,'Fund History'!$J$146:$J$150,"&gt;="&amp;DATE(YEAR_Y-2,1,1),'Fund History'!$J$146:$J$150,"&lt;="&amp;DATE(YEAR_Y-2,12,31)),""))))</f>
        <v/>
      </c>
      <c r="T35" s="72">
        <f>IF($C35="","",IF(PULL_FUND="N","",IF(COUNTIFS('Fund History'!$J$146:$J$150,"&gt;="&amp;DATE(YEAR_Y-1,1,1),'Fund History'!$J$146:$J$150,"&lt;="&amp;DATE(YEAR_Y-1,12,31))=0,"",IFERROR($J35*HSI!$G$30/SUMIFS('Fund History'!$K$146:$K$150,'Fund History'!$J$146:$J$150,"&gt;="&amp;DATE(YEAR_Y-1,1,1),'Fund History'!$J$146:$J$150,"&lt;="&amp;DATE(YEAR_Y-1,12,31)),""))))</f>
        <v/>
      </c>
      <c r="U35" s="73">
        <f>IF($C35="","",IF(ISNUMBER(HSI!$I$30),HSI!$I$30/100,""))</f>
        <v/>
      </c>
      <c r="V35" s="74">
        <f>IF($C35="","",IF(ISNUMBER(HSI!$X$30),IFERROR($M35*HSI!$G$30/HSI!$X$30,""),""))</f>
        <v/>
      </c>
      <c r="W35" s="73">
        <f>IF($C35="","",IF(ISNUMBER($N35),IFERROR($N35*HSI!$G$30/HSI!$X$30,""),""))</f>
        <v/>
      </c>
      <c r="X35" s="75">
        <f>IF($C35="","",IF(PULL_FUND="N","",IFERROR(BDP($C35,EPS_FIELD,YR_OVERRIDE,TEXT(YEAR_Y-5,"0")),"")))</f>
        <v/>
      </c>
      <c r="Y35" s="76">
        <f>IF($C35="","",IF(PULL_FUND="N","",IFERROR(BDP($C35,EPS_FIELD,YR_OVERRIDE,TEXT(YEAR_Y-4,"0")),"")))</f>
        <v/>
      </c>
      <c r="Z35" s="76">
        <f>IF($C35="","",IF(PULL_FUND="N","",IFERROR(BDP($C35,EPS_FIELD,YR_OVERRIDE,TEXT(YEAR_Y-3,"0")),"")))</f>
        <v/>
      </c>
      <c r="AA35" s="76">
        <f>IF($C35="","",IF(PULL_FUND="N","",IFERROR(BDP($C35,EPS_FIELD,YR_OVERRIDE,TEXT(YEAR_Y-2,"0")),"")))</f>
        <v/>
      </c>
      <c r="AB35" s="76">
        <f>IF($C35="","",IF(PULL_FUND="N","",IFERROR(BDP($C35,EPS_FIELD,YR_OVERRIDE,TEXT(YEAR_Y-1,"0")),"")))</f>
        <v/>
      </c>
      <c r="AC35" s="50">
        <f>IF($C35="","",IFERROR(AVERAGE(X35:AB35),""))</f>
        <v/>
      </c>
      <c r="AD35" s="76">
        <f>IF($C35="","",IF(PULL_FUND="N","",IFERROR(BDP($C35,BESTEPS_FIELD,FWD_OVERRIDE,TEXT(MOD(YEAR_Y,100),"00")&amp;"Y"),"")))</f>
        <v/>
      </c>
      <c r="AE35" s="77">
        <f>IF($C35="","",IF(PULL_FUND="N","",IFERROR(BDP($C35,PAYOUT_FIELD,YR_OVERRIDE,TEXT(YEAR_Y-5,"0"))/100,"")))</f>
        <v/>
      </c>
      <c r="AF35" s="78">
        <f>IF($C35="","",IF(PULL_FUND="N","",IFERROR(BDP($C35,PAYOUT_FIELD,YR_OVERRIDE,TEXT(YEAR_Y-4,"0"))/100,"")))</f>
        <v/>
      </c>
      <c r="AG35" s="78">
        <f>IF($C35="","",IF(PULL_FUND="N","",IFERROR(BDP($C35,PAYOUT_FIELD,YR_OVERRIDE,TEXT(YEAR_Y-3,"0"))/100,"")))</f>
        <v/>
      </c>
      <c r="AH35" s="78">
        <f>IF($C35="","",IF(PULL_FUND="N","",IFERROR(BDP($C35,PAYOUT_FIELD,YR_OVERRIDE,TEXT(YEAR_Y-2,"0"))/100,"")))</f>
        <v/>
      </c>
      <c r="AI35" s="78">
        <f>IF($C35="","",IF(PULL_FUND="N","",IFERROR(BDP($C35,PAYOUT_FIELD,YR_OVERRIDE,TEXT(YEAR_Y-1,"0"))/100,"")))</f>
        <v/>
      </c>
      <c r="AJ35" s="79">
        <f>IF($C35="","",IFERROR(AVERAGE(AE35:AI35),""))</f>
        <v/>
      </c>
      <c r="AK35" s="80">
        <f>IF($C35="","",IF(ISNUMBER($AD35)*ISNUMBER($N35)*($AD35&lt;&gt;0)=0,"",$N35/$AD35))</f>
        <v/>
      </c>
      <c r="AL35" s="79">
        <f>IF($C35="","",IF(ISNUMBER($AD35)*($AD35&lt;&gt;0)=0,"",$M35/$AD35))</f>
        <v/>
      </c>
      <c r="AM35" s="37">
        <f>IF($C35="","",IF(ISNUMBER($AE35)*ISNUMBER($AI35)=0,"",IF($AI35&gt;$AE35+0.05,"rising",IF($AI35&lt;$AE35-0.05,"falling","stable"))))</f>
        <v/>
      </c>
      <c r="AN35" s="81">
        <f>IF($C35="","",IF(PULL_FUND="N","",IF(COUNTIFS('Fund History'!$G$146:$G$150,"&gt;="&amp;DATE(YEAR_Y-4,1,1),'Fund History'!$G$146:$G$150,"&lt;="&amp;DATE(YEAR_Y-4,12,31))=0,"",SUMIFS('Fund History'!$H$146:$H$150,'Fund History'!$G$146:$G$150,"&gt;="&amp;DATE(YEAR_Y-4,1,1),'Fund History'!$G$146:$G$150,"&lt;="&amp;DATE(YEAR_Y-4,12,31))/100)))</f>
        <v/>
      </c>
      <c r="AO35" s="82">
        <f>IF($C35="","",IF(PULL_FUND="N","",IF(COUNTIFS('Fund History'!$G$146:$G$150,"&gt;="&amp;DATE(YEAR_Y-3,1,1),'Fund History'!$G$146:$G$150,"&lt;="&amp;DATE(YEAR_Y-3,12,31))=0,"",SUMIFS('Fund History'!$H$146:$H$150,'Fund History'!$G$146:$G$150,"&gt;="&amp;DATE(YEAR_Y-3,1,1),'Fund History'!$G$146:$G$150,"&lt;="&amp;DATE(YEAR_Y-3,12,31))/100)))</f>
        <v/>
      </c>
      <c r="AP35" s="82">
        <f>IF($C35="","",IF(PULL_FUND="N","",IF(COUNTIFS('Fund History'!$G$146:$G$150,"&gt;="&amp;DATE(YEAR_Y-2,1,1),'Fund History'!$G$146:$G$150,"&lt;="&amp;DATE(YEAR_Y-2,12,31))=0,"",SUMIFS('Fund History'!$H$146:$H$150,'Fund History'!$G$146:$G$150,"&gt;="&amp;DATE(YEAR_Y-2,1,1),'Fund History'!$G$146:$G$150,"&lt;="&amp;DATE(YEAR_Y-2,12,31))/100)))</f>
        <v/>
      </c>
      <c r="AQ35" s="82">
        <f>IF($C35="","",IF(PULL_FUND="N","",IF(COUNTIFS('Fund History'!$G$146:$G$150,"&gt;="&amp;DATE(YEAR_Y-1,1,1),'Fund History'!$G$146:$G$150,"&lt;="&amp;DATE(YEAR_Y-1,12,31))=0,"",SUMIFS('Fund History'!$H$146:$H$150,'Fund History'!$G$146:$G$150,"&gt;="&amp;DATE(YEAR_Y-1,1,1),'Fund History'!$G$146:$G$150,"&lt;="&amp;DATE(YEAR_Y-1,12,31))/100)))</f>
        <v/>
      </c>
      <c r="AR35" s="83">
        <f>IF($C35="","",IF(N($AQ35)+N(HSI!$I$30)=0,"",N($AQ35)+N(HSI!$I$30)/100))</f>
        <v/>
      </c>
      <c r="AS35" s="75">
        <f>IF($C35="","",IF(PULL_FUND="N","",IF(COUNTIFS('Fund History'!$D$146:$D$150,"&gt;="&amp;DATE(YEAR_Y-2,1,1),'Fund History'!$D$146:$D$150,"&lt;="&amp;DATE(YEAR_Y-2,12,31))=0,"",SUMIFS('Fund History'!$E$146:$E$150,'Fund History'!$D$146:$D$150,"&gt;="&amp;DATE(YEAR_Y-2,1,1),'Fund History'!$D$146:$D$150,"&lt;="&amp;DATE(YEAR_Y-2,12,31)))))</f>
        <v/>
      </c>
      <c r="AT35" s="76">
        <f>IF($C35="","",IF(PULL_FUND="N","",IF(COUNTIFS('Fund History'!$D$146:$D$150,"&gt;="&amp;DATE(YEAR_Y-1,1,1),'Fund History'!$D$146:$D$150,"&lt;="&amp;DATE(YEAR_Y-1,12,31))=0,"",SUMIFS('Fund History'!$E$146:$E$150,'Fund History'!$D$146:$D$150,"&gt;="&amp;DATE(YEAR_Y-1,1,1),'Fund History'!$D$146:$D$150,"&lt;="&amp;DATE(YEAR_Y-1,12,31)))))</f>
        <v/>
      </c>
      <c r="AU35" s="76">
        <f>IF($C35="","",IF(PULL_FUND="N","",IFERROR(BDP($C35,NDEBITDA_FIELD),"")))</f>
        <v/>
      </c>
      <c r="AV35" s="84">
        <f>IF($C35="","",IF(PULL_FUND="N","",IFERROR(BDP($C35,EBINT_FIELD),"")))</f>
        <v/>
      </c>
      <c r="AW35" s="82">
        <f>IF($C35="","",IF(PULL_FUND="N","",IFERROR(BDP($C35,FCF_FIELD)/100,"")))</f>
        <v/>
      </c>
      <c r="AX35" s="50">
        <f>IF($C35="","",IF(N($U35)=0,"",IFERROR($AW35/$U35,"")))</f>
        <v/>
      </c>
      <c r="AY35" s="85">
        <f>IF($C35="","",TRIM(IF(ISNUMBER($AJ35)*(N($AJ35)&gt;$D$4)&gt;0,"payout high  ","")&amp;IF(ISNUMBER($AX35)*(N($AX35)&lt;$F$4)&gt;0,"FCF below dvd  ","")&amp;IF(ISNUMBER($AU35)*(N($AU35)&gt;$H$4)&gt;0,"leverage high","")))</f>
        <v/>
      </c>
      <c r="AZ35" s="86">
        <f>IF($C35="","",IF(HSI!$F$30="HKD","",HSI!$F$30))</f>
        <v/>
      </c>
    </row>
    <row r="36">
      <c r="B36" s="66" t="inlineStr">
        <is>
          <t>HSI</t>
        </is>
      </c>
      <c r="C36" s="8">
        <f>IF(HSI!$C$31="","",HSI!$C$31)</f>
        <v/>
      </c>
      <c r="D36" s="8">
        <f>IF($C36="","",HSI!$D$31)</f>
        <v/>
      </c>
      <c r="E36" s="8">
        <f>IF($C36="","",HSI!$E$31)</f>
        <v/>
      </c>
      <c r="F36" s="67">
        <f>IF($C36="","",SUMPRODUCT(('Dvd Calendar'!$E$275:$AR$275&gt;=DATE(YEAR_Y-5,1,1))*('Dvd Calendar'!$E$275:$AR$275&lt;=DATE(YEAR_Y-5,12,31))*'Dvd Calendar'!$E$278:$AR$278*(('Dvd Calendar'!$E$280:$AR$280=TYPE1)*(TYPE1&lt;&gt;"")+('Dvd Calendar'!$E$280:$AR$280=TYPE2)*(TYPE2&lt;&gt;"")+('Dvd Calendar'!$E$280:$AR$280=TYPE3)*(TYPE3&lt;&gt;"")+('Dvd Calendar'!$E$280:$AR$280=TYPE4)*(TYPE4&lt;&gt;"")+('Dvd Calendar'!$E$280:$AR$280=SPECIAL_LBL)*(INC_SPECIALS="Y"))))</f>
        <v/>
      </c>
      <c r="G36" s="68">
        <f>IF($C36="","",SUMPRODUCT(('Dvd Calendar'!$E$275:$AR$275&gt;=DATE(YEAR_Y-4,1,1))*('Dvd Calendar'!$E$275:$AR$275&lt;=DATE(YEAR_Y-4,12,31))*'Dvd Calendar'!$E$278:$AR$278*(('Dvd Calendar'!$E$280:$AR$280=TYPE1)*(TYPE1&lt;&gt;"")+('Dvd Calendar'!$E$280:$AR$280=TYPE2)*(TYPE2&lt;&gt;"")+('Dvd Calendar'!$E$280:$AR$280=TYPE3)*(TYPE3&lt;&gt;"")+('Dvd Calendar'!$E$280:$AR$280=TYPE4)*(TYPE4&lt;&gt;"")+('Dvd Calendar'!$E$280:$AR$280=SPECIAL_LBL)*(INC_SPECIALS="Y"))))</f>
        <v/>
      </c>
      <c r="H36" s="68">
        <f>IF($C36="","",SUMPRODUCT(('Dvd Calendar'!$E$275:$AR$275&gt;=DATE(YEAR_Y-3,1,1))*('Dvd Calendar'!$E$275:$AR$275&lt;=DATE(YEAR_Y-3,12,31))*'Dvd Calendar'!$E$278:$AR$278*(('Dvd Calendar'!$E$280:$AR$280=TYPE1)*(TYPE1&lt;&gt;"")+('Dvd Calendar'!$E$280:$AR$280=TYPE2)*(TYPE2&lt;&gt;"")+('Dvd Calendar'!$E$280:$AR$280=TYPE3)*(TYPE3&lt;&gt;"")+('Dvd Calendar'!$E$280:$AR$280=TYPE4)*(TYPE4&lt;&gt;"")+('Dvd Calendar'!$E$280:$AR$280=SPECIAL_LBL)*(INC_SPECIALS="Y"))))</f>
        <v/>
      </c>
      <c r="I36" s="68">
        <f>IF($C36="","",SUMPRODUCT(('Dvd Calendar'!$E$275:$AR$275&gt;=DATE(YEAR_Y-2,1,1))*('Dvd Calendar'!$E$275:$AR$275&lt;=DATE(YEAR_Y-2,12,31))*'Dvd Calendar'!$E$278:$AR$278*(('Dvd Calendar'!$E$280:$AR$280=TYPE1)*(TYPE1&lt;&gt;"")+('Dvd Calendar'!$E$280:$AR$280=TYPE2)*(TYPE2&lt;&gt;"")+('Dvd Calendar'!$E$280:$AR$280=TYPE3)*(TYPE3&lt;&gt;"")+('Dvd Calendar'!$E$280:$AR$280=TYPE4)*(TYPE4&lt;&gt;"")+('Dvd Calendar'!$E$280:$AR$280=SPECIAL_LBL)*(INC_SPECIALS="Y"))))</f>
        <v/>
      </c>
      <c r="J36" s="68">
        <f>IF($C36="","",SUMPRODUCT(('Dvd Calendar'!$E$275:$AR$275&gt;=DATE(YEAR_Y-1,1,1))*('Dvd Calendar'!$E$275:$AR$275&lt;=DATE(YEAR_Y-1,12,31))*'Dvd Calendar'!$E$278:$AR$278*(('Dvd Calendar'!$E$280:$AR$280=TYPE1)*(TYPE1&lt;&gt;"")+('Dvd Calendar'!$E$280:$AR$280=TYPE2)*(TYPE2&lt;&gt;"")+('Dvd Calendar'!$E$280:$AR$280=TYPE3)*(TYPE3&lt;&gt;"")+('Dvd Calendar'!$E$280:$AR$280=TYPE4)*(TYPE4&lt;&gt;"")+('Dvd Calendar'!$E$280:$AR$280=SPECIAL_LBL)*(INC_SPECIALS="Y"))))</f>
        <v/>
      </c>
      <c r="K36" s="69">
        <f>IF($C36="","",HSI!$J$31)</f>
        <v/>
      </c>
      <c r="L36" s="69">
        <f>IF($C36="","",HSI!$K$31)</f>
        <v/>
      </c>
      <c r="M36" s="44">
        <f>IF($C36="","",HSI!$J$31+HSI!$L$31)</f>
        <v/>
      </c>
      <c r="N36" s="70">
        <f>IF($C36="","",IF(PULL_FUND="N","",IFERROR(BDP($C36,BESTDPS_FIELD,FWD_OVERRIDE,TEXT(MOD(YEAR_Y,100),"00")&amp;"Y"),"")))</f>
        <v/>
      </c>
      <c r="O36" s="69">
        <f>IF($C36="","",AVERAGE(F36:J36))</f>
        <v/>
      </c>
      <c r="P36" s="71">
        <f>IF($C36="","",IF(PULL_FUND="N","",IF(COUNTIFS('Fund History'!$J$152:$J$156,"&gt;="&amp;DATE(YEAR_Y-5,1,1),'Fund History'!$J$152:$J$156,"&lt;="&amp;DATE(YEAR_Y-5,12,31))=0,"",IFERROR($F36*HSI!$G$31/SUMIFS('Fund History'!$K$152:$K$156,'Fund History'!$J$152:$J$156,"&gt;="&amp;DATE(YEAR_Y-5,1,1),'Fund History'!$J$152:$J$156,"&lt;="&amp;DATE(YEAR_Y-5,12,31)),""))))</f>
        <v/>
      </c>
      <c r="Q36" s="72">
        <f>IF($C36="","",IF(PULL_FUND="N","",IF(COUNTIFS('Fund History'!$J$152:$J$156,"&gt;="&amp;DATE(YEAR_Y-4,1,1),'Fund History'!$J$152:$J$156,"&lt;="&amp;DATE(YEAR_Y-4,12,31))=0,"",IFERROR($G36*HSI!$G$31/SUMIFS('Fund History'!$K$152:$K$156,'Fund History'!$J$152:$J$156,"&gt;="&amp;DATE(YEAR_Y-4,1,1),'Fund History'!$J$152:$J$156,"&lt;="&amp;DATE(YEAR_Y-4,12,31)),""))))</f>
        <v/>
      </c>
      <c r="R36" s="72">
        <f>IF($C36="","",IF(PULL_FUND="N","",IF(COUNTIFS('Fund History'!$J$152:$J$156,"&gt;="&amp;DATE(YEAR_Y-3,1,1),'Fund History'!$J$152:$J$156,"&lt;="&amp;DATE(YEAR_Y-3,12,31))=0,"",IFERROR($H36*HSI!$G$31/SUMIFS('Fund History'!$K$152:$K$156,'Fund History'!$J$152:$J$156,"&gt;="&amp;DATE(YEAR_Y-3,1,1),'Fund History'!$J$152:$J$156,"&lt;="&amp;DATE(YEAR_Y-3,12,31)),""))))</f>
        <v/>
      </c>
      <c r="S36" s="72">
        <f>IF($C36="","",IF(PULL_FUND="N","",IF(COUNTIFS('Fund History'!$J$152:$J$156,"&gt;="&amp;DATE(YEAR_Y-2,1,1),'Fund History'!$J$152:$J$156,"&lt;="&amp;DATE(YEAR_Y-2,12,31))=0,"",IFERROR($I36*HSI!$G$31/SUMIFS('Fund History'!$K$152:$K$156,'Fund History'!$J$152:$J$156,"&gt;="&amp;DATE(YEAR_Y-2,1,1),'Fund History'!$J$152:$J$156,"&lt;="&amp;DATE(YEAR_Y-2,12,31)),""))))</f>
        <v/>
      </c>
      <c r="T36" s="72">
        <f>IF($C36="","",IF(PULL_FUND="N","",IF(COUNTIFS('Fund History'!$J$152:$J$156,"&gt;="&amp;DATE(YEAR_Y-1,1,1),'Fund History'!$J$152:$J$156,"&lt;="&amp;DATE(YEAR_Y-1,12,31))=0,"",IFERROR($J36*HSI!$G$31/SUMIFS('Fund History'!$K$152:$K$156,'Fund History'!$J$152:$J$156,"&gt;="&amp;DATE(YEAR_Y-1,1,1),'Fund History'!$J$152:$J$156,"&lt;="&amp;DATE(YEAR_Y-1,12,31)),""))))</f>
        <v/>
      </c>
      <c r="U36" s="73">
        <f>IF($C36="","",IF(ISNUMBER(HSI!$I$31),HSI!$I$31/100,""))</f>
        <v/>
      </c>
      <c r="V36" s="74">
        <f>IF($C36="","",IF(ISNUMBER(HSI!$X$31),IFERROR($M36*HSI!$G$31/HSI!$X$31,""),""))</f>
        <v/>
      </c>
      <c r="W36" s="73">
        <f>IF($C36="","",IF(ISNUMBER($N36),IFERROR($N36*HSI!$G$31/HSI!$X$31,""),""))</f>
        <v/>
      </c>
      <c r="X36" s="75">
        <f>IF($C36="","",IF(PULL_FUND="N","",IFERROR(BDP($C36,EPS_FIELD,YR_OVERRIDE,TEXT(YEAR_Y-5,"0")),"")))</f>
        <v/>
      </c>
      <c r="Y36" s="76">
        <f>IF($C36="","",IF(PULL_FUND="N","",IFERROR(BDP($C36,EPS_FIELD,YR_OVERRIDE,TEXT(YEAR_Y-4,"0")),"")))</f>
        <v/>
      </c>
      <c r="Z36" s="76">
        <f>IF($C36="","",IF(PULL_FUND="N","",IFERROR(BDP($C36,EPS_FIELD,YR_OVERRIDE,TEXT(YEAR_Y-3,"0")),"")))</f>
        <v/>
      </c>
      <c r="AA36" s="76">
        <f>IF($C36="","",IF(PULL_FUND="N","",IFERROR(BDP($C36,EPS_FIELD,YR_OVERRIDE,TEXT(YEAR_Y-2,"0")),"")))</f>
        <v/>
      </c>
      <c r="AB36" s="76">
        <f>IF($C36="","",IF(PULL_FUND="N","",IFERROR(BDP($C36,EPS_FIELD,YR_OVERRIDE,TEXT(YEAR_Y-1,"0")),"")))</f>
        <v/>
      </c>
      <c r="AC36" s="50">
        <f>IF($C36="","",IFERROR(AVERAGE(X36:AB36),""))</f>
        <v/>
      </c>
      <c r="AD36" s="76">
        <f>IF($C36="","",IF(PULL_FUND="N","",IFERROR(BDP($C36,BESTEPS_FIELD,FWD_OVERRIDE,TEXT(MOD(YEAR_Y,100),"00")&amp;"Y"),"")))</f>
        <v/>
      </c>
      <c r="AE36" s="77">
        <f>IF($C36="","",IF(PULL_FUND="N","",IFERROR(BDP($C36,PAYOUT_FIELD,YR_OVERRIDE,TEXT(YEAR_Y-5,"0"))/100,"")))</f>
        <v/>
      </c>
      <c r="AF36" s="78">
        <f>IF($C36="","",IF(PULL_FUND="N","",IFERROR(BDP($C36,PAYOUT_FIELD,YR_OVERRIDE,TEXT(YEAR_Y-4,"0"))/100,"")))</f>
        <v/>
      </c>
      <c r="AG36" s="78">
        <f>IF($C36="","",IF(PULL_FUND="N","",IFERROR(BDP($C36,PAYOUT_FIELD,YR_OVERRIDE,TEXT(YEAR_Y-3,"0"))/100,"")))</f>
        <v/>
      </c>
      <c r="AH36" s="78">
        <f>IF($C36="","",IF(PULL_FUND="N","",IFERROR(BDP($C36,PAYOUT_FIELD,YR_OVERRIDE,TEXT(YEAR_Y-2,"0"))/100,"")))</f>
        <v/>
      </c>
      <c r="AI36" s="78">
        <f>IF($C36="","",IF(PULL_FUND="N","",IFERROR(BDP($C36,PAYOUT_FIELD,YR_OVERRIDE,TEXT(YEAR_Y-1,"0"))/100,"")))</f>
        <v/>
      </c>
      <c r="AJ36" s="79">
        <f>IF($C36="","",IFERROR(AVERAGE(AE36:AI36),""))</f>
        <v/>
      </c>
      <c r="AK36" s="80">
        <f>IF($C36="","",IF(ISNUMBER($AD36)*ISNUMBER($N36)*($AD36&lt;&gt;0)=0,"",$N36/$AD36))</f>
        <v/>
      </c>
      <c r="AL36" s="79">
        <f>IF($C36="","",IF(ISNUMBER($AD36)*($AD36&lt;&gt;0)=0,"",$M36/$AD36))</f>
        <v/>
      </c>
      <c r="AM36" s="37">
        <f>IF($C36="","",IF(ISNUMBER($AE36)*ISNUMBER($AI36)=0,"",IF($AI36&gt;$AE36+0.05,"rising",IF($AI36&lt;$AE36-0.05,"falling","stable"))))</f>
        <v/>
      </c>
      <c r="AN36" s="81">
        <f>IF($C36="","",IF(PULL_FUND="N","",IF(COUNTIFS('Fund History'!$G$152:$G$156,"&gt;="&amp;DATE(YEAR_Y-4,1,1),'Fund History'!$G$152:$G$156,"&lt;="&amp;DATE(YEAR_Y-4,12,31))=0,"",SUMIFS('Fund History'!$H$152:$H$156,'Fund History'!$G$152:$G$156,"&gt;="&amp;DATE(YEAR_Y-4,1,1),'Fund History'!$G$152:$G$156,"&lt;="&amp;DATE(YEAR_Y-4,12,31))/100)))</f>
        <v/>
      </c>
      <c r="AO36" s="82">
        <f>IF($C36="","",IF(PULL_FUND="N","",IF(COUNTIFS('Fund History'!$G$152:$G$156,"&gt;="&amp;DATE(YEAR_Y-3,1,1),'Fund History'!$G$152:$G$156,"&lt;="&amp;DATE(YEAR_Y-3,12,31))=0,"",SUMIFS('Fund History'!$H$152:$H$156,'Fund History'!$G$152:$G$156,"&gt;="&amp;DATE(YEAR_Y-3,1,1),'Fund History'!$G$152:$G$156,"&lt;="&amp;DATE(YEAR_Y-3,12,31))/100)))</f>
        <v/>
      </c>
      <c r="AP36" s="82">
        <f>IF($C36="","",IF(PULL_FUND="N","",IF(COUNTIFS('Fund History'!$G$152:$G$156,"&gt;="&amp;DATE(YEAR_Y-2,1,1),'Fund History'!$G$152:$G$156,"&lt;="&amp;DATE(YEAR_Y-2,12,31))=0,"",SUMIFS('Fund History'!$H$152:$H$156,'Fund History'!$G$152:$G$156,"&gt;="&amp;DATE(YEAR_Y-2,1,1),'Fund History'!$G$152:$G$156,"&lt;="&amp;DATE(YEAR_Y-2,12,31))/100)))</f>
        <v/>
      </c>
      <c r="AQ36" s="82">
        <f>IF($C36="","",IF(PULL_FUND="N","",IF(COUNTIFS('Fund History'!$G$152:$G$156,"&gt;="&amp;DATE(YEAR_Y-1,1,1),'Fund History'!$G$152:$G$156,"&lt;="&amp;DATE(YEAR_Y-1,12,31))=0,"",SUMIFS('Fund History'!$H$152:$H$156,'Fund History'!$G$152:$G$156,"&gt;="&amp;DATE(YEAR_Y-1,1,1),'Fund History'!$G$152:$G$156,"&lt;="&amp;DATE(YEAR_Y-1,12,31))/100)))</f>
        <v/>
      </c>
      <c r="AR36" s="83">
        <f>IF($C36="","",IF(N($AQ36)+N(HSI!$I$31)=0,"",N($AQ36)+N(HSI!$I$31)/100))</f>
        <v/>
      </c>
      <c r="AS36" s="75">
        <f>IF($C36="","",IF(PULL_FUND="N","",IF(COUNTIFS('Fund History'!$D$152:$D$156,"&gt;="&amp;DATE(YEAR_Y-2,1,1),'Fund History'!$D$152:$D$156,"&lt;="&amp;DATE(YEAR_Y-2,12,31))=0,"",SUMIFS('Fund History'!$E$152:$E$156,'Fund History'!$D$152:$D$156,"&gt;="&amp;DATE(YEAR_Y-2,1,1),'Fund History'!$D$152:$D$156,"&lt;="&amp;DATE(YEAR_Y-2,12,31)))))</f>
        <v/>
      </c>
      <c r="AT36" s="76">
        <f>IF($C36="","",IF(PULL_FUND="N","",IF(COUNTIFS('Fund History'!$D$152:$D$156,"&gt;="&amp;DATE(YEAR_Y-1,1,1),'Fund History'!$D$152:$D$156,"&lt;="&amp;DATE(YEAR_Y-1,12,31))=0,"",SUMIFS('Fund History'!$E$152:$E$156,'Fund History'!$D$152:$D$156,"&gt;="&amp;DATE(YEAR_Y-1,1,1),'Fund History'!$D$152:$D$156,"&lt;="&amp;DATE(YEAR_Y-1,12,31)))))</f>
        <v/>
      </c>
      <c r="AU36" s="76">
        <f>IF($C36="","",IF(PULL_FUND="N","",IFERROR(BDP($C36,NDEBITDA_FIELD),"")))</f>
        <v/>
      </c>
      <c r="AV36" s="84">
        <f>IF($C36="","",IF(PULL_FUND="N","",IFERROR(BDP($C36,EBINT_FIELD),"")))</f>
        <v/>
      </c>
      <c r="AW36" s="82">
        <f>IF($C36="","",IF(PULL_FUND="N","",IFERROR(BDP($C36,FCF_FIELD)/100,"")))</f>
        <v/>
      </c>
      <c r="AX36" s="50">
        <f>IF($C36="","",IF(N($U36)=0,"",IFERROR($AW36/$U36,"")))</f>
        <v/>
      </c>
      <c r="AY36" s="85">
        <f>IF($C36="","",TRIM(IF(ISNUMBER($AJ36)*(N($AJ36)&gt;$D$4)&gt;0,"payout high  ","")&amp;IF(ISNUMBER($AX36)*(N($AX36)&lt;$F$4)&gt;0,"FCF below dvd  ","")&amp;IF(ISNUMBER($AU36)*(N($AU36)&gt;$H$4)&gt;0,"leverage high","")))</f>
        <v/>
      </c>
      <c r="AZ36" s="86">
        <f>IF($C36="","",IF(HSI!$F$31="HKD","",HSI!$F$31))</f>
        <v/>
      </c>
    </row>
    <row r="37">
      <c r="B37" s="66" t="inlineStr">
        <is>
          <t>HSI</t>
        </is>
      </c>
      <c r="C37" s="8">
        <f>IF(HSI!$C$32="","",HSI!$C$32)</f>
        <v/>
      </c>
      <c r="D37" s="8">
        <f>IF($C37="","",HSI!$D$32)</f>
        <v/>
      </c>
      <c r="E37" s="8">
        <f>IF($C37="","",HSI!$E$32)</f>
        <v/>
      </c>
      <c r="F37" s="67">
        <f>IF($C37="","",SUMPRODUCT(('Dvd Calendar'!$E$286:$AR$286&gt;=DATE(YEAR_Y-5,1,1))*('Dvd Calendar'!$E$286:$AR$286&lt;=DATE(YEAR_Y-5,12,31))*'Dvd Calendar'!$E$289:$AR$289*(('Dvd Calendar'!$E$291:$AR$291=TYPE1)*(TYPE1&lt;&gt;"")+('Dvd Calendar'!$E$291:$AR$291=TYPE2)*(TYPE2&lt;&gt;"")+('Dvd Calendar'!$E$291:$AR$291=TYPE3)*(TYPE3&lt;&gt;"")+('Dvd Calendar'!$E$291:$AR$291=TYPE4)*(TYPE4&lt;&gt;"")+('Dvd Calendar'!$E$291:$AR$291=SPECIAL_LBL)*(INC_SPECIALS="Y"))))</f>
        <v/>
      </c>
      <c r="G37" s="68">
        <f>IF($C37="","",SUMPRODUCT(('Dvd Calendar'!$E$286:$AR$286&gt;=DATE(YEAR_Y-4,1,1))*('Dvd Calendar'!$E$286:$AR$286&lt;=DATE(YEAR_Y-4,12,31))*'Dvd Calendar'!$E$289:$AR$289*(('Dvd Calendar'!$E$291:$AR$291=TYPE1)*(TYPE1&lt;&gt;"")+('Dvd Calendar'!$E$291:$AR$291=TYPE2)*(TYPE2&lt;&gt;"")+('Dvd Calendar'!$E$291:$AR$291=TYPE3)*(TYPE3&lt;&gt;"")+('Dvd Calendar'!$E$291:$AR$291=TYPE4)*(TYPE4&lt;&gt;"")+('Dvd Calendar'!$E$291:$AR$291=SPECIAL_LBL)*(INC_SPECIALS="Y"))))</f>
        <v/>
      </c>
      <c r="H37" s="68">
        <f>IF($C37="","",SUMPRODUCT(('Dvd Calendar'!$E$286:$AR$286&gt;=DATE(YEAR_Y-3,1,1))*('Dvd Calendar'!$E$286:$AR$286&lt;=DATE(YEAR_Y-3,12,31))*'Dvd Calendar'!$E$289:$AR$289*(('Dvd Calendar'!$E$291:$AR$291=TYPE1)*(TYPE1&lt;&gt;"")+('Dvd Calendar'!$E$291:$AR$291=TYPE2)*(TYPE2&lt;&gt;"")+('Dvd Calendar'!$E$291:$AR$291=TYPE3)*(TYPE3&lt;&gt;"")+('Dvd Calendar'!$E$291:$AR$291=TYPE4)*(TYPE4&lt;&gt;"")+('Dvd Calendar'!$E$291:$AR$291=SPECIAL_LBL)*(INC_SPECIALS="Y"))))</f>
        <v/>
      </c>
      <c r="I37" s="68">
        <f>IF($C37="","",SUMPRODUCT(('Dvd Calendar'!$E$286:$AR$286&gt;=DATE(YEAR_Y-2,1,1))*('Dvd Calendar'!$E$286:$AR$286&lt;=DATE(YEAR_Y-2,12,31))*'Dvd Calendar'!$E$289:$AR$289*(('Dvd Calendar'!$E$291:$AR$291=TYPE1)*(TYPE1&lt;&gt;"")+('Dvd Calendar'!$E$291:$AR$291=TYPE2)*(TYPE2&lt;&gt;"")+('Dvd Calendar'!$E$291:$AR$291=TYPE3)*(TYPE3&lt;&gt;"")+('Dvd Calendar'!$E$291:$AR$291=TYPE4)*(TYPE4&lt;&gt;"")+('Dvd Calendar'!$E$291:$AR$291=SPECIAL_LBL)*(INC_SPECIALS="Y"))))</f>
        <v/>
      </c>
      <c r="J37" s="68">
        <f>IF($C37="","",SUMPRODUCT(('Dvd Calendar'!$E$286:$AR$286&gt;=DATE(YEAR_Y-1,1,1))*('Dvd Calendar'!$E$286:$AR$286&lt;=DATE(YEAR_Y-1,12,31))*'Dvd Calendar'!$E$289:$AR$289*(('Dvd Calendar'!$E$291:$AR$291=TYPE1)*(TYPE1&lt;&gt;"")+('Dvd Calendar'!$E$291:$AR$291=TYPE2)*(TYPE2&lt;&gt;"")+('Dvd Calendar'!$E$291:$AR$291=TYPE3)*(TYPE3&lt;&gt;"")+('Dvd Calendar'!$E$291:$AR$291=TYPE4)*(TYPE4&lt;&gt;"")+('Dvd Calendar'!$E$291:$AR$291=SPECIAL_LBL)*(INC_SPECIALS="Y"))))</f>
        <v/>
      </c>
      <c r="K37" s="69">
        <f>IF($C37="","",HSI!$J$32)</f>
        <v/>
      </c>
      <c r="L37" s="69">
        <f>IF($C37="","",HSI!$K$32)</f>
        <v/>
      </c>
      <c r="M37" s="44">
        <f>IF($C37="","",HSI!$J$32+HSI!$L$32)</f>
        <v/>
      </c>
      <c r="N37" s="70">
        <f>IF($C37="","",IF(PULL_FUND="N","",IFERROR(BDP($C37,BESTDPS_FIELD,FWD_OVERRIDE,TEXT(MOD(YEAR_Y,100),"00")&amp;"Y"),"")))</f>
        <v/>
      </c>
      <c r="O37" s="69">
        <f>IF($C37="","",AVERAGE(F37:J37))</f>
        <v/>
      </c>
      <c r="P37" s="71">
        <f>IF($C37="","",IF(PULL_FUND="N","",IF(COUNTIFS('Fund History'!$J$158:$J$162,"&gt;="&amp;DATE(YEAR_Y-5,1,1),'Fund History'!$J$158:$J$162,"&lt;="&amp;DATE(YEAR_Y-5,12,31))=0,"",IFERROR($F37*HSI!$G$32/SUMIFS('Fund History'!$K$158:$K$162,'Fund History'!$J$158:$J$162,"&gt;="&amp;DATE(YEAR_Y-5,1,1),'Fund History'!$J$158:$J$162,"&lt;="&amp;DATE(YEAR_Y-5,12,31)),""))))</f>
        <v/>
      </c>
      <c r="Q37" s="72">
        <f>IF($C37="","",IF(PULL_FUND="N","",IF(COUNTIFS('Fund History'!$J$158:$J$162,"&gt;="&amp;DATE(YEAR_Y-4,1,1),'Fund History'!$J$158:$J$162,"&lt;="&amp;DATE(YEAR_Y-4,12,31))=0,"",IFERROR($G37*HSI!$G$32/SUMIFS('Fund History'!$K$158:$K$162,'Fund History'!$J$158:$J$162,"&gt;="&amp;DATE(YEAR_Y-4,1,1),'Fund History'!$J$158:$J$162,"&lt;="&amp;DATE(YEAR_Y-4,12,31)),""))))</f>
        <v/>
      </c>
      <c r="R37" s="72">
        <f>IF($C37="","",IF(PULL_FUND="N","",IF(COUNTIFS('Fund History'!$J$158:$J$162,"&gt;="&amp;DATE(YEAR_Y-3,1,1),'Fund History'!$J$158:$J$162,"&lt;="&amp;DATE(YEAR_Y-3,12,31))=0,"",IFERROR($H37*HSI!$G$32/SUMIFS('Fund History'!$K$158:$K$162,'Fund History'!$J$158:$J$162,"&gt;="&amp;DATE(YEAR_Y-3,1,1),'Fund History'!$J$158:$J$162,"&lt;="&amp;DATE(YEAR_Y-3,12,31)),""))))</f>
        <v/>
      </c>
      <c r="S37" s="72">
        <f>IF($C37="","",IF(PULL_FUND="N","",IF(COUNTIFS('Fund History'!$J$158:$J$162,"&gt;="&amp;DATE(YEAR_Y-2,1,1),'Fund History'!$J$158:$J$162,"&lt;="&amp;DATE(YEAR_Y-2,12,31))=0,"",IFERROR($I37*HSI!$G$32/SUMIFS('Fund History'!$K$158:$K$162,'Fund History'!$J$158:$J$162,"&gt;="&amp;DATE(YEAR_Y-2,1,1),'Fund History'!$J$158:$J$162,"&lt;="&amp;DATE(YEAR_Y-2,12,31)),""))))</f>
        <v/>
      </c>
      <c r="T37" s="72">
        <f>IF($C37="","",IF(PULL_FUND="N","",IF(COUNTIFS('Fund History'!$J$158:$J$162,"&gt;="&amp;DATE(YEAR_Y-1,1,1),'Fund History'!$J$158:$J$162,"&lt;="&amp;DATE(YEAR_Y-1,12,31))=0,"",IFERROR($J37*HSI!$G$32/SUMIFS('Fund History'!$K$158:$K$162,'Fund History'!$J$158:$J$162,"&gt;="&amp;DATE(YEAR_Y-1,1,1),'Fund History'!$J$158:$J$162,"&lt;="&amp;DATE(YEAR_Y-1,12,31)),""))))</f>
        <v/>
      </c>
      <c r="U37" s="73">
        <f>IF($C37="","",IF(ISNUMBER(HSI!$I$32),HSI!$I$32/100,""))</f>
        <v/>
      </c>
      <c r="V37" s="74">
        <f>IF($C37="","",IF(ISNUMBER(HSI!$X$32),IFERROR($M37*HSI!$G$32/HSI!$X$32,""),""))</f>
        <v/>
      </c>
      <c r="W37" s="73">
        <f>IF($C37="","",IF(ISNUMBER($N37),IFERROR($N37*HSI!$G$32/HSI!$X$32,""),""))</f>
        <v/>
      </c>
      <c r="X37" s="75">
        <f>IF($C37="","",IF(PULL_FUND="N","",IFERROR(BDP($C37,EPS_FIELD,YR_OVERRIDE,TEXT(YEAR_Y-5,"0")),"")))</f>
        <v/>
      </c>
      <c r="Y37" s="76">
        <f>IF($C37="","",IF(PULL_FUND="N","",IFERROR(BDP($C37,EPS_FIELD,YR_OVERRIDE,TEXT(YEAR_Y-4,"0")),"")))</f>
        <v/>
      </c>
      <c r="Z37" s="76">
        <f>IF($C37="","",IF(PULL_FUND="N","",IFERROR(BDP($C37,EPS_FIELD,YR_OVERRIDE,TEXT(YEAR_Y-3,"0")),"")))</f>
        <v/>
      </c>
      <c r="AA37" s="76">
        <f>IF($C37="","",IF(PULL_FUND="N","",IFERROR(BDP($C37,EPS_FIELD,YR_OVERRIDE,TEXT(YEAR_Y-2,"0")),"")))</f>
        <v/>
      </c>
      <c r="AB37" s="76">
        <f>IF($C37="","",IF(PULL_FUND="N","",IFERROR(BDP($C37,EPS_FIELD,YR_OVERRIDE,TEXT(YEAR_Y-1,"0")),"")))</f>
        <v/>
      </c>
      <c r="AC37" s="50">
        <f>IF($C37="","",IFERROR(AVERAGE(X37:AB37),""))</f>
        <v/>
      </c>
      <c r="AD37" s="76">
        <f>IF($C37="","",IF(PULL_FUND="N","",IFERROR(BDP($C37,BESTEPS_FIELD,FWD_OVERRIDE,TEXT(MOD(YEAR_Y,100),"00")&amp;"Y"),"")))</f>
        <v/>
      </c>
      <c r="AE37" s="77">
        <f>IF($C37="","",IF(PULL_FUND="N","",IFERROR(BDP($C37,PAYOUT_FIELD,YR_OVERRIDE,TEXT(YEAR_Y-5,"0"))/100,"")))</f>
        <v/>
      </c>
      <c r="AF37" s="78">
        <f>IF($C37="","",IF(PULL_FUND="N","",IFERROR(BDP($C37,PAYOUT_FIELD,YR_OVERRIDE,TEXT(YEAR_Y-4,"0"))/100,"")))</f>
        <v/>
      </c>
      <c r="AG37" s="78">
        <f>IF($C37="","",IF(PULL_FUND="N","",IFERROR(BDP($C37,PAYOUT_FIELD,YR_OVERRIDE,TEXT(YEAR_Y-3,"0"))/100,"")))</f>
        <v/>
      </c>
      <c r="AH37" s="78">
        <f>IF($C37="","",IF(PULL_FUND="N","",IFERROR(BDP($C37,PAYOUT_FIELD,YR_OVERRIDE,TEXT(YEAR_Y-2,"0"))/100,"")))</f>
        <v/>
      </c>
      <c r="AI37" s="78">
        <f>IF($C37="","",IF(PULL_FUND="N","",IFERROR(BDP($C37,PAYOUT_FIELD,YR_OVERRIDE,TEXT(YEAR_Y-1,"0"))/100,"")))</f>
        <v/>
      </c>
      <c r="AJ37" s="79">
        <f>IF($C37="","",IFERROR(AVERAGE(AE37:AI37),""))</f>
        <v/>
      </c>
      <c r="AK37" s="80">
        <f>IF($C37="","",IF(ISNUMBER($AD37)*ISNUMBER($N37)*($AD37&lt;&gt;0)=0,"",$N37/$AD37))</f>
        <v/>
      </c>
      <c r="AL37" s="79">
        <f>IF($C37="","",IF(ISNUMBER($AD37)*($AD37&lt;&gt;0)=0,"",$M37/$AD37))</f>
        <v/>
      </c>
      <c r="AM37" s="37">
        <f>IF($C37="","",IF(ISNUMBER($AE37)*ISNUMBER($AI37)=0,"",IF($AI37&gt;$AE37+0.05,"rising",IF($AI37&lt;$AE37-0.05,"falling","stable"))))</f>
        <v/>
      </c>
      <c r="AN37" s="81">
        <f>IF($C37="","",IF(PULL_FUND="N","",IF(COUNTIFS('Fund History'!$G$158:$G$162,"&gt;="&amp;DATE(YEAR_Y-4,1,1),'Fund History'!$G$158:$G$162,"&lt;="&amp;DATE(YEAR_Y-4,12,31))=0,"",SUMIFS('Fund History'!$H$158:$H$162,'Fund History'!$G$158:$G$162,"&gt;="&amp;DATE(YEAR_Y-4,1,1),'Fund History'!$G$158:$G$162,"&lt;="&amp;DATE(YEAR_Y-4,12,31))/100)))</f>
        <v/>
      </c>
      <c r="AO37" s="82">
        <f>IF($C37="","",IF(PULL_FUND="N","",IF(COUNTIFS('Fund History'!$G$158:$G$162,"&gt;="&amp;DATE(YEAR_Y-3,1,1),'Fund History'!$G$158:$G$162,"&lt;="&amp;DATE(YEAR_Y-3,12,31))=0,"",SUMIFS('Fund History'!$H$158:$H$162,'Fund History'!$G$158:$G$162,"&gt;="&amp;DATE(YEAR_Y-3,1,1),'Fund History'!$G$158:$G$162,"&lt;="&amp;DATE(YEAR_Y-3,12,31))/100)))</f>
        <v/>
      </c>
      <c r="AP37" s="82">
        <f>IF($C37="","",IF(PULL_FUND="N","",IF(COUNTIFS('Fund History'!$G$158:$G$162,"&gt;="&amp;DATE(YEAR_Y-2,1,1),'Fund History'!$G$158:$G$162,"&lt;="&amp;DATE(YEAR_Y-2,12,31))=0,"",SUMIFS('Fund History'!$H$158:$H$162,'Fund History'!$G$158:$G$162,"&gt;="&amp;DATE(YEAR_Y-2,1,1),'Fund History'!$G$158:$G$162,"&lt;="&amp;DATE(YEAR_Y-2,12,31))/100)))</f>
        <v/>
      </c>
      <c r="AQ37" s="82">
        <f>IF($C37="","",IF(PULL_FUND="N","",IF(COUNTIFS('Fund History'!$G$158:$G$162,"&gt;="&amp;DATE(YEAR_Y-1,1,1),'Fund History'!$G$158:$G$162,"&lt;="&amp;DATE(YEAR_Y-1,12,31))=0,"",SUMIFS('Fund History'!$H$158:$H$162,'Fund History'!$G$158:$G$162,"&gt;="&amp;DATE(YEAR_Y-1,1,1),'Fund History'!$G$158:$G$162,"&lt;="&amp;DATE(YEAR_Y-1,12,31))/100)))</f>
        <v/>
      </c>
      <c r="AR37" s="83">
        <f>IF($C37="","",IF(N($AQ37)+N(HSI!$I$32)=0,"",N($AQ37)+N(HSI!$I$32)/100))</f>
        <v/>
      </c>
      <c r="AS37" s="75">
        <f>IF($C37="","",IF(PULL_FUND="N","",IF(COUNTIFS('Fund History'!$D$158:$D$162,"&gt;="&amp;DATE(YEAR_Y-2,1,1),'Fund History'!$D$158:$D$162,"&lt;="&amp;DATE(YEAR_Y-2,12,31))=0,"",SUMIFS('Fund History'!$E$158:$E$162,'Fund History'!$D$158:$D$162,"&gt;="&amp;DATE(YEAR_Y-2,1,1),'Fund History'!$D$158:$D$162,"&lt;="&amp;DATE(YEAR_Y-2,12,31)))))</f>
        <v/>
      </c>
      <c r="AT37" s="76">
        <f>IF($C37="","",IF(PULL_FUND="N","",IF(COUNTIFS('Fund History'!$D$158:$D$162,"&gt;="&amp;DATE(YEAR_Y-1,1,1),'Fund History'!$D$158:$D$162,"&lt;="&amp;DATE(YEAR_Y-1,12,31))=0,"",SUMIFS('Fund History'!$E$158:$E$162,'Fund History'!$D$158:$D$162,"&gt;="&amp;DATE(YEAR_Y-1,1,1),'Fund History'!$D$158:$D$162,"&lt;="&amp;DATE(YEAR_Y-1,12,31)))))</f>
        <v/>
      </c>
      <c r="AU37" s="76">
        <f>IF($C37="","",IF(PULL_FUND="N","",IFERROR(BDP($C37,NDEBITDA_FIELD),"")))</f>
        <v/>
      </c>
      <c r="AV37" s="84">
        <f>IF($C37="","",IF(PULL_FUND="N","",IFERROR(BDP($C37,EBINT_FIELD),"")))</f>
        <v/>
      </c>
      <c r="AW37" s="82">
        <f>IF($C37="","",IF(PULL_FUND="N","",IFERROR(BDP($C37,FCF_FIELD)/100,"")))</f>
        <v/>
      </c>
      <c r="AX37" s="50">
        <f>IF($C37="","",IF(N($U37)=0,"",IFERROR($AW37/$U37,"")))</f>
        <v/>
      </c>
      <c r="AY37" s="85">
        <f>IF($C37="","",TRIM(IF(ISNUMBER($AJ37)*(N($AJ37)&gt;$D$4)&gt;0,"payout high  ","")&amp;IF(ISNUMBER($AX37)*(N($AX37)&lt;$F$4)&gt;0,"FCF below dvd  ","")&amp;IF(ISNUMBER($AU37)*(N($AU37)&gt;$H$4)&gt;0,"leverage high","")))</f>
        <v/>
      </c>
      <c r="AZ37" s="86">
        <f>IF($C37="","",IF(HSI!$F$32="HKD","",HSI!$F$32))</f>
        <v/>
      </c>
    </row>
    <row r="38">
      <c r="B38" s="66" t="inlineStr">
        <is>
          <t>HSI</t>
        </is>
      </c>
      <c r="C38" s="8">
        <f>IF(HSI!$C$33="","",HSI!$C$33)</f>
        <v/>
      </c>
      <c r="D38" s="8">
        <f>IF($C38="","",HSI!$D$33)</f>
        <v/>
      </c>
      <c r="E38" s="8">
        <f>IF($C38="","",HSI!$E$33)</f>
        <v/>
      </c>
      <c r="F38" s="67">
        <f>IF($C38="","",SUMPRODUCT(('Dvd Calendar'!$E$297:$AR$297&gt;=DATE(YEAR_Y-5,1,1))*('Dvd Calendar'!$E$297:$AR$297&lt;=DATE(YEAR_Y-5,12,31))*'Dvd Calendar'!$E$300:$AR$300*(('Dvd Calendar'!$E$302:$AR$302=TYPE1)*(TYPE1&lt;&gt;"")+('Dvd Calendar'!$E$302:$AR$302=TYPE2)*(TYPE2&lt;&gt;"")+('Dvd Calendar'!$E$302:$AR$302=TYPE3)*(TYPE3&lt;&gt;"")+('Dvd Calendar'!$E$302:$AR$302=TYPE4)*(TYPE4&lt;&gt;"")+('Dvd Calendar'!$E$302:$AR$302=SPECIAL_LBL)*(INC_SPECIALS="Y"))))</f>
        <v/>
      </c>
      <c r="G38" s="68">
        <f>IF($C38="","",SUMPRODUCT(('Dvd Calendar'!$E$297:$AR$297&gt;=DATE(YEAR_Y-4,1,1))*('Dvd Calendar'!$E$297:$AR$297&lt;=DATE(YEAR_Y-4,12,31))*'Dvd Calendar'!$E$300:$AR$300*(('Dvd Calendar'!$E$302:$AR$302=TYPE1)*(TYPE1&lt;&gt;"")+('Dvd Calendar'!$E$302:$AR$302=TYPE2)*(TYPE2&lt;&gt;"")+('Dvd Calendar'!$E$302:$AR$302=TYPE3)*(TYPE3&lt;&gt;"")+('Dvd Calendar'!$E$302:$AR$302=TYPE4)*(TYPE4&lt;&gt;"")+('Dvd Calendar'!$E$302:$AR$302=SPECIAL_LBL)*(INC_SPECIALS="Y"))))</f>
        <v/>
      </c>
      <c r="H38" s="68">
        <f>IF($C38="","",SUMPRODUCT(('Dvd Calendar'!$E$297:$AR$297&gt;=DATE(YEAR_Y-3,1,1))*('Dvd Calendar'!$E$297:$AR$297&lt;=DATE(YEAR_Y-3,12,31))*'Dvd Calendar'!$E$300:$AR$300*(('Dvd Calendar'!$E$302:$AR$302=TYPE1)*(TYPE1&lt;&gt;"")+('Dvd Calendar'!$E$302:$AR$302=TYPE2)*(TYPE2&lt;&gt;"")+('Dvd Calendar'!$E$302:$AR$302=TYPE3)*(TYPE3&lt;&gt;"")+('Dvd Calendar'!$E$302:$AR$302=TYPE4)*(TYPE4&lt;&gt;"")+('Dvd Calendar'!$E$302:$AR$302=SPECIAL_LBL)*(INC_SPECIALS="Y"))))</f>
        <v/>
      </c>
      <c r="I38" s="68">
        <f>IF($C38="","",SUMPRODUCT(('Dvd Calendar'!$E$297:$AR$297&gt;=DATE(YEAR_Y-2,1,1))*('Dvd Calendar'!$E$297:$AR$297&lt;=DATE(YEAR_Y-2,12,31))*'Dvd Calendar'!$E$300:$AR$300*(('Dvd Calendar'!$E$302:$AR$302=TYPE1)*(TYPE1&lt;&gt;"")+('Dvd Calendar'!$E$302:$AR$302=TYPE2)*(TYPE2&lt;&gt;"")+('Dvd Calendar'!$E$302:$AR$302=TYPE3)*(TYPE3&lt;&gt;"")+('Dvd Calendar'!$E$302:$AR$302=TYPE4)*(TYPE4&lt;&gt;"")+('Dvd Calendar'!$E$302:$AR$302=SPECIAL_LBL)*(INC_SPECIALS="Y"))))</f>
        <v/>
      </c>
      <c r="J38" s="68">
        <f>IF($C38="","",SUMPRODUCT(('Dvd Calendar'!$E$297:$AR$297&gt;=DATE(YEAR_Y-1,1,1))*('Dvd Calendar'!$E$297:$AR$297&lt;=DATE(YEAR_Y-1,12,31))*'Dvd Calendar'!$E$300:$AR$300*(('Dvd Calendar'!$E$302:$AR$302=TYPE1)*(TYPE1&lt;&gt;"")+('Dvd Calendar'!$E$302:$AR$302=TYPE2)*(TYPE2&lt;&gt;"")+('Dvd Calendar'!$E$302:$AR$302=TYPE3)*(TYPE3&lt;&gt;"")+('Dvd Calendar'!$E$302:$AR$302=TYPE4)*(TYPE4&lt;&gt;"")+('Dvd Calendar'!$E$302:$AR$302=SPECIAL_LBL)*(INC_SPECIALS="Y"))))</f>
        <v/>
      </c>
      <c r="K38" s="69">
        <f>IF($C38="","",HSI!$J$33)</f>
        <v/>
      </c>
      <c r="L38" s="69">
        <f>IF($C38="","",HSI!$K$33)</f>
        <v/>
      </c>
      <c r="M38" s="44">
        <f>IF($C38="","",HSI!$J$33+HSI!$L$33)</f>
        <v/>
      </c>
      <c r="N38" s="70">
        <f>IF($C38="","",IF(PULL_FUND="N","",IFERROR(BDP($C38,BESTDPS_FIELD,FWD_OVERRIDE,TEXT(MOD(YEAR_Y,100),"00")&amp;"Y"),"")))</f>
        <v/>
      </c>
      <c r="O38" s="69">
        <f>IF($C38="","",AVERAGE(F38:J38))</f>
        <v/>
      </c>
      <c r="P38" s="71">
        <f>IF($C38="","",IF(PULL_FUND="N","",IF(COUNTIFS('Fund History'!$J$164:$J$168,"&gt;="&amp;DATE(YEAR_Y-5,1,1),'Fund History'!$J$164:$J$168,"&lt;="&amp;DATE(YEAR_Y-5,12,31))=0,"",IFERROR($F38*HSI!$G$33/SUMIFS('Fund History'!$K$164:$K$168,'Fund History'!$J$164:$J$168,"&gt;="&amp;DATE(YEAR_Y-5,1,1),'Fund History'!$J$164:$J$168,"&lt;="&amp;DATE(YEAR_Y-5,12,31)),""))))</f>
        <v/>
      </c>
      <c r="Q38" s="72">
        <f>IF($C38="","",IF(PULL_FUND="N","",IF(COUNTIFS('Fund History'!$J$164:$J$168,"&gt;="&amp;DATE(YEAR_Y-4,1,1),'Fund History'!$J$164:$J$168,"&lt;="&amp;DATE(YEAR_Y-4,12,31))=0,"",IFERROR($G38*HSI!$G$33/SUMIFS('Fund History'!$K$164:$K$168,'Fund History'!$J$164:$J$168,"&gt;="&amp;DATE(YEAR_Y-4,1,1),'Fund History'!$J$164:$J$168,"&lt;="&amp;DATE(YEAR_Y-4,12,31)),""))))</f>
        <v/>
      </c>
      <c r="R38" s="72">
        <f>IF($C38="","",IF(PULL_FUND="N","",IF(COUNTIFS('Fund History'!$J$164:$J$168,"&gt;="&amp;DATE(YEAR_Y-3,1,1),'Fund History'!$J$164:$J$168,"&lt;="&amp;DATE(YEAR_Y-3,12,31))=0,"",IFERROR($H38*HSI!$G$33/SUMIFS('Fund History'!$K$164:$K$168,'Fund History'!$J$164:$J$168,"&gt;="&amp;DATE(YEAR_Y-3,1,1),'Fund History'!$J$164:$J$168,"&lt;="&amp;DATE(YEAR_Y-3,12,31)),""))))</f>
        <v/>
      </c>
      <c r="S38" s="72">
        <f>IF($C38="","",IF(PULL_FUND="N","",IF(COUNTIFS('Fund History'!$J$164:$J$168,"&gt;="&amp;DATE(YEAR_Y-2,1,1),'Fund History'!$J$164:$J$168,"&lt;="&amp;DATE(YEAR_Y-2,12,31))=0,"",IFERROR($I38*HSI!$G$33/SUMIFS('Fund History'!$K$164:$K$168,'Fund History'!$J$164:$J$168,"&gt;="&amp;DATE(YEAR_Y-2,1,1),'Fund History'!$J$164:$J$168,"&lt;="&amp;DATE(YEAR_Y-2,12,31)),""))))</f>
        <v/>
      </c>
      <c r="T38" s="72">
        <f>IF($C38="","",IF(PULL_FUND="N","",IF(COUNTIFS('Fund History'!$J$164:$J$168,"&gt;="&amp;DATE(YEAR_Y-1,1,1),'Fund History'!$J$164:$J$168,"&lt;="&amp;DATE(YEAR_Y-1,12,31))=0,"",IFERROR($J38*HSI!$G$33/SUMIFS('Fund History'!$K$164:$K$168,'Fund History'!$J$164:$J$168,"&gt;="&amp;DATE(YEAR_Y-1,1,1),'Fund History'!$J$164:$J$168,"&lt;="&amp;DATE(YEAR_Y-1,12,31)),""))))</f>
        <v/>
      </c>
      <c r="U38" s="73">
        <f>IF($C38="","",IF(ISNUMBER(HSI!$I$33),HSI!$I$33/100,""))</f>
        <v/>
      </c>
      <c r="V38" s="74">
        <f>IF($C38="","",IF(ISNUMBER(HSI!$X$33),IFERROR($M38*HSI!$G$33/HSI!$X$33,""),""))</f>
        <v/>
      </c>
      <c r="W38" s="73">
        <f>IF($C38="","",IF(ISNUMBER($N38),IFERROR($N38*HSI!$G$33/HSI!$X$33,""),""))</f>
        <v/>
      </c>
      <c r="X38" s="75">
        <f>IF($C38="","",IF(PULL_FUND="N","",IFERROR(BDP($C38,EPS_FIELD,YR_OVERRIDE,TEXT(YEAR_Y-5,"0")),"")))</f>
        <v/>
      </c>
      <c r="Y38" s="76">
        <f>IF($C38="","",IF(PULL_FUND="N","",IFERROR(BDP($C38,EPS_FIELD,YR_OVERRIDE,TEXT(YEAR_Y-4,"0")),"")))</f>
        <v/>
      </c>
      <c r="Z38" s="76">
        <f>IF($C38="","",IF(PULL_FUND="N","",IFERROR(BDP($C38,EPS_FIELD,YR_OVERRIDE,TEXT(YEAR_Y-3,"0")),"")))</f>
        <v/>
      </c>
      <c r="AA38" s="76">
        <f>IF($C38="","",IF(PULL_FUND="N","",IFERROR(BDP($C38,EPS_FIELD,YR_OVERRIDE,TEXT(YEAR_Y-2,"0")),"")))</f>
        <v/>
      </c>
      <c r="AB38" s="76">
        <f>IF($C38="","",IF(PULL_FUND="N","",IFERROR(BDP($C38,EPS_FIELD,YR_OVERRIDE,TEXT(YEAR_Y-1,"0")),"")))</f>
        <v/>
      </c>
      <c r="AC38" s="50">
        <f>IF($C38="","",IFERROR(AVERAGE(X38:AB38),""))</f>
        <v/>
      </c>
      <c r="AD38" s="76">
        <f>IF($C38="","",IF(PULL_FUND="N","",IFERROR(BDP($C38,BESTEPS_FIELD,FWD_OVERRIDE,TEXT(MOD(YEAR_Y,100),"00")&amp;"Y"),"")))</f>
        <v/>
      </c>
      <c r="AE38" s="77">
        <f>IF($C38="","",IF(PULL_FUND="N","",IFERROR(BDP($C38,PAYOUT_FIELD,YR_OVERRIDE,TEXT(YEAR_Y-5,"0"))/100,"")))</f>
        <v/>
      </c>
      <c r="AF38" s="78">
        <f>IF($C38="","",IF(PULL_FUND="N","",IFERROR(BDP($C38,PAYOUT_FIELD,YR_OVERRIDE,TEXT(YEAR_Y-4,"0"))/100,"")))</f>
        <v/>
      </c>
      <c r="AG38" s="78">
        <f>IF($C38="","",IF(PULL_FUND="N","",IFERROR(BDP($C38,PAYOUT_FIELD,YR_OVERRIDE,TEXT(YEAR_Y-3,"0"))/100,"")))</f>
        <v/>
      </c>
      <c r="AH38" s="78">
        <f>IF($C38="","",IF(PULL_FUND="N","",IFERROR(BDP($C38,PAYOUT_FIELD,YR_OVERRIDE,TEXT(YEAR_Y-2,"0"))/100,"")))</f>
        <v/>
      </c>
      <c r="AI38" s="78">
        <f>IF($C38="","",IF(PULL_FUND="N","",IFERROR(BDP($C38,PAYOUT_FIELD,YR_OVERRIDE,TEXT(YEAR_Y-1,"0"))/100,"")))</f>
        <v/>
      </c>
      <c r="AJ38" s="79">
        <f>IF($C38="","",IFERROR(AVERAGE(AE38:AI38),""))</f>
        <v/>
      </c>
      <c r="AK38" s="80">
        <f>IF($C38="","",IF(ISNUMBER($AD38)*ISNUMBER($N38)*($AD38&lt;&gt;0)=0,"",$N38/$AD38))</f>
        <v/>
      </c>
      <c r="AL38" s="79">
        <f>IF($C38="","",IF(ISNUMBER($AD38)*($AD38&lt;&gt;0)=0,"",$M38/$AD38))</f>
        <v/>
      </c>
      <c r="AM38" s="37">
        <f>IF($C38="","",IF(ISNUMBER($AE38)*ISNUMBER($AI38)=0,"",IF($AI38&gt;$AE38+0.05,"rising",IF($AI38&lt;$AE38-0.05,"falling","stable"))))</f>
        <v/>
      </c>
      <c r="AN38" s="81">
        <f>IF($C38="","",IF(PULL_FUND="N","",IF(COUNTIFS('Fund History'!$G$164:$G$168,"&gt;="&amp;DATE(YEAR_Y-4,1,1),'Fund History'!$G$164:$G$168,"&lt;="&amp;DATE(YEAR_Y-4,12,31))=0,"",SUMIFS('Fund History'!$H$164:$H$168,'Fund History'!$G$164:$G$168,"&gt;="&amp;DATE(YEAR_Y-4,1,1),'Fund History'!$G$164:$G$168,"&lt;="&amp;DATE(YEAR_Y-4,12,31))/100)))</f>
        <v/>
      </c>
      <c r="AO38" s="82">
        <f>IF($C38="","",IF(PULL_FUND="N","",IF(COUNTIFS('Fund History'!$G$164:$G$168,"&gt;="&amp;DATE(YEAR_Y-3,1,1),'Fund History'!$G$164:$G$168,"&lt;="&amp;DATE(YEAR_Y-3,12,31))=0,"",SUMIFS('Fund History'!$H$164:$H$168,'Fund History'!$G$164:$G$168,"&gt;="&amp;DATE(YEAR_Y-3,1,1),'Fund History'!$G$164:$G$168,"&lt;="&amp;DATE(YEAR_Y-3,12,31))/100)))</f>
        <v/>
      </c>
      <c r="AP38" s="82">
        <f>IF($C38="","",IF(PULL_FUND="N","",IF(COUNTIFS('Fund History'!$G$164:$G$168,"&gt;="&amp;DATE(YEAR_Y-2,1,1),'Fund History'!$G$164:$G$168,"&lt;="&amp;DATE(YEAR_Y-2,12,31))=0,"",SUMIFS('Fund History'!$H$164:$H$168,'Fund History'!$G$164:$G$168,"&gt;="&amp;DATE(YEAR_Y-2,1,1),'Fund History'!$G$164:$G$168,"&lt;="&amp;DATE(YEAR_Y-2,12,31))/100)))</f>
        <v/>
      </c>
      <c r="AQ38" s="82">
        <f>IF($C38="","",IF(PULL_FUND="N","",IF(COUNTIFS('Fund History'!$G$164:$G$168,"&gt;="&amp;DATE(YEAR_Y-1,1,1),'Fund History'!$G$164:$G$168,"&lt;="&amp;DATE(YEAR_Y-1,12,31))=0,"",SUMIFS('Fund History'!$H$164:$H$168,'Fund History'!$G$164:$G$168,"&gt;="&amp;DATE(YEAR_Y-1,1,1),'Fund History'!$G$164:$G$168,"&lt;="&amp;DATE(YEAR_Y-1,12,31))/100)))</f>
        <v/>
      </c>
      <c r="AR38" s="83">
        <f>IF($C38="","",IF(N($AQ38)+N(HSI!$I$33)=0,"",N($AQ38)+N(HSI!$I$33)/100))</f>
        <v/>
      </c>
      <c r="AS38" s="75">
        <f>IF($C38="","",IF(PULL_FUND="N","",IF(COUNTIFS('Fund History'!$D$164:$D$168,"&gt;="&amp;DATE(YEAR_Y-2,1,1),'Fund History'!$D$164:$D$168,"&lt;="&amp;DATE(YEAR_Y-2,12,31))=0,"",SUMIFS('Fund History'!$E$164:$E$168,'Fund History'!$D$164:$D$168,"&gt;="&amp;DATE(YEAR_Y-2,1,1),'Fund History'!$D$164:$D$168,"&lt;="&amp;DATE(YEAR_Y-2,12,31)))))</f>
        <v/>
      </c>
      <c r="AT38" s="76">
        <f>IF($C38="","",IF(PULL_FUND="N","",IF(COUNTIFS('Fund History'!$D$164:$D$168,"&gt;="&amp;DATE(YEAR_Y-1,1,1),'Fund History'!$D$164:$D$168,"&lt;="&amp;DATE(YEAR_Y-1,12,31))=0,"",SUMIFS('Fund History'!$E$164:$E$168,'Fund History'!$D$164:$D$168,"&gt;="&amp;DATE(YEAR_Y-1,1,1),'Fund History'!$D$164:$D$168,"&lt;="&amp;DATE(YEAR_Y-1,12,31)))))</f>
        <v/>
      </c>
      <c r="AU38" s="76">
        <f>IF($C38="","",IF(PULL_FUND="N","",IFERROR(BDP($C38,NDEBITDA_FIELD),"")))</f>
        <v/>
      </c>
      <c r="AV38" s="84">
        <f>IF($C38="","",IF(PULL_FUND="N","",IFERROR(BDP($C38,EBINT_FIELD),"")))</f>
        <v/>
      </c>
      <c r="AW38" s="82">
        <f>IF($C38="","",IF(PULL_FUND="N","",IFERROR(BDP($C38,FCF_FIELD)/100,"")))</f>
        <v/>
      </c>
      <c r="AX38" s="50">
        <f>IF($C38="","",IF(N($U38)=0,"",IFERROR($AW38/$U38,"")))</f>
        <v/>
      </c>
      <c r="AY38" s="85">
        <f>IF($C38="","",TRIM(IF(ISNUMBER($AJ38)*(N($AJ38)&gt;$D$4)&gt;0,"payout high  ","")&amp;IF(ISNUMBER($AX38)*(N($AX38)&lt;$F$4)&gt;0,"FCF below dvd  ","")&amp;IF(ISNUMBER($AU38)*(N($AU38)&gt;$H$4)&gt;0,"leverage high","")))</f>
        <v/>
      </c>
      <c r="AZ38" s="86">
        <f>IF($C38="","",IF(HSI!$F$33="HKD","",HSI!$F$33))</f>
        <v/>
      </c>
    </row>
    <row r="39">
      <c r="B39" s="66" t="inlineStr">
        <is>
          <t>HSI</t>
        </is>
      </c>
      <c r="C39" s="8">
        <f>IF(HSI!$C$34="","",HSI!$C$34)</f>
        <v/>
      </c>
      <c r="D39" s="8">
        <f>IF($C39="","",HSI!$D$34)</f>
        <v/>
      </c>
      <c r="E39" s="8">
        <f>IF($C39="","",HSI!$E$34)</f>
        <v/>
      </c>
      <c r="F39" s="67">
        <f>IF($C39="","",SUMPRODUCT(('Dvd Calendar'!$E$308:$AR$308&gt;=DATE(YEAR_Y-5,1,1))*('Dvd Calendar'!$E$308:$AR$308&lt;=DATE(YEAR_Y-5,12,31))*'Dvd Calendar'!$E$311:$AR$311*(('Dvd Calendar'!$E$313:$AR$313=TYPE1)*(TYPE1&lt;&gt;"")+('Dvd Calendar'!$E$313:$AR$313=TYPE2)*(TYPE2&lt;&gt;"")+('Dvd Calendar'!$E$313:$AR$313=TYPE3)*(TYPE3&lt;&gt;"")+('Dvd Calendar'!$E$313:$AR$313=TYPE4)*(TYPE4&lt;&gt;"")+('Dvd Calendar'!$E$313:$AR$313=SPECIAL_LBL)*(INC_SPECIALS="Y"))))</f>
        <v/>
      </c>
      <c r="G39" s="68">
        <f>IF($C39="","",SUMPRODUCT(('Dvd Calendar'!$E$308:$AR$308&gt;=DATE(YEAR_Y-4,1,1))*('Dvd Calendar'!$E$308:$AR$308&lt;=DATE(YEAR_Y-4,12,31))*'Dvd Calendar'!$E$311:$AR$311*(('Dvd Calendar'!$E$313:$AR$313=TYPE1)*(TYPE1&lt;&gt;"")+('Dvd Calendar'!$E$313:$AR$313=TYPE2)*(TYPE2&lt;&gt;"")+('Dvd Calendar'!$E$313:$AR$313=TYPE3)*(TYPE3&lt;&gt;"")+('Dvd Calendar'!$E$313:$AR$313=TYPE4)*(TYPE4&lt;&gt;"")+('Dvd Calendar'!$E$313:$AR$313=SPECIAL_LBL)*(INC_SPECIALS="Y"))))</f>
        <v/>
      </c>
      <c r="H39" s="68">
        <f>IF($C39="","",SUMPRODUCT(('Dvd Calendar'!$E$308:$AR$308&gt;=DATE(YEAR_Y-3,1,1))*('Dvd Calendar'!$E$308:$AR$308&lt;=DATE(YEAR_Y-3,12,31))*'Dvd Calendar'!$E$311:$AR$311*(('Dvd Calendar'!$E$313:$AR$313=TYPE1)*(TYPE1&lt;&gt;"")+('Dvd Calendar'!$E$313:$AR$313=TYPE2)*(TYPE2&lt;&gt;"")+('Dvd Calendar'!$E$313:$AR$313=TYPE3)*(TYPE3&lt;&gt;"")+('Dvd Calendar'!$E$313:$AR$313=TYPE4)*(TYPE4&lt;&gt;"")+('Dvd Calendar'!$E$313:$AR$313=SPECIAL_LBL)*(INC_SPECIALS="Y"))))</f>
        <v/>
      </c>
      <c r="I39" s="68">
        <f>IF($C39="","",SUMPRODUCT(('Dvd Calendar'!$E$308:$AR$308&gt;=DATE(YEAR_Y-2,1,1))*('Dvd Calendar'!$E$308:$AR$308&lt;=DATE(YEAR_Y-2,12,31))*'Dvd Calendar'!$E$311:$AR$311*(('Dvd Calendar'!$E$313:$AR$313=TYPE1)*(TYPE1&lt;&gt;"")+('Dvd Calendar'!$E$313:$AR$313=TYPE2)*(TYPE2&lt;&gt;"")+('Dvd Calendar'!$E$313:$AR$313=TYPE3)*(TYPE3&lt;&gt;"")+('Dvd Calendar'!$E$313:$AR$313=TYPE4)*(TYPE4&lt;&gt;"")+('Dvd Calendar'!$E$313:$AR$313=SPECIAL_LBL)*(INC_SPECIALS="Y"))))</f>
        <v/>
      </c>
      <c r="J39" s="68">
        <f>IF($C39="","",SUMPRODUCT(('Dvd Calendar'!$E$308:$AR$308&gt;=DATE(YEAR_Y-1,1,1))*('Dvd Calendar'!$E$308:$AR$308&lt;=DATE(YEAR_Y-1,12,31))*'Dvd Calendar'!$E$311:$AR$311*(('Dvd Calendar'!$E$313:$AR$313=TYPE1)*(TYPE1&lt;&gt;"")+('Dvd Calendar'!$E$313:$AR$313=TYPE2)*(TYPE2&lt;&gt;"")+('Dvd Calendar'!$E$313:$AR$313=TYPE3)*(TYPE3&lt;&gt;"")+('Dvd Calendar'!$E$313:$AR$313=TYPE4)*(TYPE4&lt;&gt;"")+('Dvd Calendar'!$E$313:$AR$313=SPECIAL_LBL)*(INC_SPECIALS="Y"))))</f>
        <v/>
      </c>
      <c r="K39" s="69">
        <f>IF($C39="","",HSI!$J$34)</f>
        <v/>
      </c>
      <c r="L39" s="69">
        <f>IF($C39="","",HSI!$K$34)</f>
        <v/>
      </c>
      <c r="M39" s="44">
        <f>IF($C39="","",HSI!$J$34+HSI!$L$34)</f>
        <v/>
      </c>
      <c r="N39" s="70">
        <f>IF($C39="","",IF(PULL_FUND="N","",IFERROR(BDP($C39,BESTDPS_FIELD,FWD_OVERRIDE,TEXT(MOD(YEAR_Y,100),"00")&amp;"Y"),"")))</f>
        <v/>
      </c>
      <c r="O39" s="69">
        <f>IF($C39="","",AVERAGE(F39:J39))</f>
        <v/>
      </c>
      <c r="P39" s="71">
        <f>IF($C39="","",IF(PULL_FUND="N","",IF(COUNTIFS('Fund History'!$J$170:$J$174,"&gt;="&amp;DATE(YEAR_Y-5,1,1),'Fund History'!$J$170:$J$174,"&lt;="&amp;DATE(YEAR_Y-5,12,31))=0,"",IFERROR($F39*HSI!$G$34/SUMIFS('Fund History'!$K$170:$K$174,'Fund History'!$J$170:$J$174,"&gt;="&amp;DATE(YEAR_Y-5,1,1),'Fund History'!$J$170:$J$174,"&lt;="&amp;DATE(YEAR_Y-5,12,31)),""))))</f>
        <v/>
      </c>
      <c r="Q39" s="72">
        <f>IF($C39="","",IF(PULL_FUND="N","",IF(COUNTIFS('Fund History'!$J$170:$J$174,"&gt;="&amp;DATE(YEAR_Y-4,1,1),'Fund History'!$J$170:$J$174,"&lt;="&amp;DATE(YEAR_Y-4,12,31))=0,"",IFERROR($G39*HSI!$G$34/SUMIFS('Fund History'!$K$170:$K$174,'Fund History'!$J$170:$J$174,"&gt;="&amp;DATE(YEAR_Y-4,1,1),'Fund History'!$J$170:$J$174,"&lt;="&amp;DATE(YEAR_Y-4,12,31)),""))))</f>
        <v/>
      </c>
      <c r="R39" s="72">
        <f>IF($C39="","",IF(PULL_FUND="N","",IF(COUNTIFS('Fund History'!$J$170:$J$174,"&gt;="&amp;DATE(YEAR_Y-3,1,1),'Fund History'!$J$170:$J$174,"&lt;="&amp;DATE(YEAR_Y-3,12,31))=0,"",IFERROR($H39*HSI!$G$34/SUMIFS('Fund History'!$K$170:$K$174,'Fund History'!$J$170:$J$174,"&gt;="&amp;DATE(YEAR_Y-3,1,1),'Fund History'!$J$170:$J$174,"&lt;="&amp;DATE(YEAR_Y-3,12,31)),""))))</f>
        <v/>
      </c>
      <c r="S39" s="72">
        <f>IF($C39="","",IF(PULL_FUND="N","",IF(COUNTIFS('Fund History'!$J$170:$J$174,"&gt;="&amp;DATE(YEAR_Y-2,1,1),'Fund History'!$J$170:$J$174,"&lt;="&amp;DATE(YEAR_Y-2,12,31))=0,"",IFERROR($I39*HSI!$G$34/SUMIFS('Fund History'!$K$170:$K$174,'Fund History'!$J$170:$J$174,"&gt;="&amp;DATE(YEAR_Y-2,1,1),'Fund History'!$J$170:$J$174,"&lt;="&amp;DATE(YEAR_Y-2,12,31)),""))))</f>
        <v/>
      </c>
      <c r="T39" s="72">
        <f>IF($C39="","",IF(PULL_FUND="N","",IF(COUNTIFS('Fund History'!$J$170:$J$174,"&gt;="&amp;DATE(YEAR_Y-1,1,1),'Fund History'!$J$170:$J$174,"&lt;="&amp;DATE(YEAR_Y-1,12,31))=0,"",IFERROR($J39*HSI!$G$34/SUMIFS('Fund History'!$K$170:$K$174,'Fund History'!$J$170:$J$174,"&gt;="&amp;DATE(YEAR_Y-1,1,1),'Fund History'!$J$170:$J$174,"&lt;="&amp;DATE(YEAR_Y-1,12,31)),""))))</f>
        <v/>
      </c>
      <c r="U39" s="73">
        <f>IF($C39="","",IF(ISNUMBER(HSI!$I$34),HSI!$I$34/100,""))</f>
        <v/>
      </c>
      <c r="V39" s="74">
        <f>IF($C39="","",IF(ISNUMBER(HSI!$X$34),IFERROR($M39*HSI!$G$34/HSI!$X$34,""),""))</f>
        <v/>
      </c>
      <c r="W39" s="73">
        <f>IF($C39="","",IF(ISNUMBER($N39),IFERROR($N39*HSI!$G$34/HSI!$X$34,""),""))</f>
        <v/>
      </c>
      <c r="X39" s="75">
        <f>IF($C39="","",IF(PULL_FUND="N","",IFERROR(BDP($C39,EPS_FIELD,YR_OVERRIDE,TEXT(YEAR_Y-5,"0")),"")))</f>
        <v/>
      </c>
      <c r="Y39" s="76">
        <f>IF($C39="","",IF(PULL_FUND="N","",IFERROR(BDP($C39,EPS_FIELD,YR_OVERRIDE,TEXT(YEAR_Y-4,"0")),"")))</f>
        <v/>
      </c>
      <c r="Z39" s="76">
        <f>IF($C39="","",IF(PULL_FUND="N","",IFERROR(BDP($C39,EPS_FIELD,YR_OVERRIDE,TEXT(YEAR_Y-3,"0")),"")))</f>
        <v/>
      </c>
      <c r="AA39" s="76">
        <f>IF($C39="","",IF(PULL_FUND="N","",IFERROR(BDP($C39,EPS_FIELD,YR_OVERRIDE,TEXT(YEAR_Y-2,"0")),"")))</f>
        <v/>
      </c>
      <c r="AB39" s="76">
        <f>IF($C39="","",IF(PULL_FUND="N","",IFERROR(BDP($C39,EPS_FIELD,YR_OVERRIDE,TEXT(YEAR_Y-1,"0")),"")))</f>
        <v/>
      </c>
      <c r="AC39" s="50">
        <f>IF($C39="","",IFERROR(AVERAGE(X39:AB39),""))</f>
        <v/>
      </c>
      <c r="AD39" s="76">
        <f>IF($C39="","",IF(PULL_FUND="N","",IFERROR(BDP($C39,BESTEPS_FIELD,FWD_OVERRIDE,TEXT(MOD(YEAR_Y,100),"00")&amp;"Y"),"")))</f>
        <v/>
      </c>
      <c r="AE39" s="77">
        <f>IF($C39="","",IF(PULL_FUND="N","",IFERROR(BDP($C39,PAYOUT_FIELD,YR_OVERRIDE,TEXT(YEAR_Y-5,"0"))/100,"")))</f>
        <v/>
      </c>
      <c r="AF39" s="78">
        <f>IF($C39="","",IF(PULL_FUND="N","",IFERROR(BDP($C39,PAYOUT_FIELD,YR_OVERRIDE,TEXT(YEAR_Y-4,"0"))/100,"")))</f>
        <v/>
      </c>
      <c r="AG39" s="78">
        <f>IF($C39="","",IF(PULL_FUND="N","",IFERROR(BDP($C39,PAYOUT_FIELD,YR_OVERRIDE,TEXT(YEAR_Y-3,"0"))/100,"")))</f>
        <v/>
      </c>
      <c r="AH39" s="78">
        <f>IF($C39="","",IF(PULL_FUND="N","",IFERROR(BDP($C39,PAYOUT_FIELD,YR_OVERRIDE,TEXT(YEAR_Y-2,"0"))/100,"")))</f>
        <v/>
      </c>
      <c r="AI39" s="78">
        <f>IF($C39="","",IF(PULL_FUND="N","",IFERROR(BDP($C39,PAYOUT_FIELD,YR_OVERRIDE,TEXT(YEAR_Y-1,"0"))/100,"")))</f>
        <v/>
      </c>
      <c r="AJ39" s="79">
        <f>IF($C39="","",IFERROR(AVERAGE(AE39:AI39),""))</f>
        <v/>
      </c>
      <c r="AK39" s="80">
        <f>IF($C39="","",IF(ISNUMBER($AD39)*ISNUMBER($N39)*($AD39&lt;&gt;0)=0,"",$N39/$AD39))</f>
        <v/>
      </c>
      <c r="AL39" s="79">
        <f>IF($C39="","",IF(ISNUMBER($AD39)*($AD39&lt;&gt;0)=0,"",$M39/$AD39))</f>
        <v/>
      </c>
      <c r="AM39" s="37">
        <f>IF($C39="","",IF(ISNUMBER($AE39)*ISNUMBER($AI39)=0,"",IF($AI39&gt;$AE39+0.05,"rising",IF($AI39&lt;$AE39-0.05,"falling","stable"))))</f>
        <v/>
      </c>
      <c r="AN39" s="81">
        <f>IF($C39="","",IF(PULL_FUND="N","",IF(COUNTIFS('Fund History'!$G$170:$G$174,"&gt;="&amp;DATE(YEAR_Y-4,1,1),'Fund History'!$G$170:$G$174,"&lt;="&amp;DATE(YEAR_Y-4,12,31))=0,"",SUMIFS('Fund History'!$H$170:$H$174,'Fund History'!$G$170:$G$174,"&gt;="&amp;DATE(YEAR_Y-4,1,1),'Fund History'!$G$170:$G$174,"&lt;="&amp;DATE(YEAR_Y-4,12,31))/100)))</f>
        <v/>
      </c>
      <c r="AO39" s="82">
        <f>IF($C39="","",IF(PULL_FUND="N","",IF(COUNTIFS('Fund History'!$G$170:$G$174,"&gt;="&amp;DATE(YEAR_Y-3,1,1),'Fund History'!$G$170:$G$174,"&lt;="&amp;DATE(YEAR_Y-3,12,31))=0,"",SUMIFS('Fund History'!$H$170:$H$174,'Fund History'!$G$170:$G$174,"&gt;="&amp;DATE(YEAR_Y-3,1,1),'Fund History'!$G$170:$G$174,"&lt;="&amp;DATE(YEAR_Y-3,12,31))/100)))</f>
        <v/>
      </c>
      <c r="AP39" s="82">
        <f>IF($C39="","",IF(PULL_FUND="N","",IF(COUNTIFS('Fund History'!$G$170:$G$174,"&gt;="&amp;DATE(YEAR_Y-2,1,1),'Fund History'!$G$170:$G$174,"&lt;="&amp;DATE(YEAR_Y-2,12,31))=0,"",SUMIFS('Fund History'!$H$170:$H$174,'Fund History'!$G$170:$G$174,"&gt;="&amp;DATE(YEAR_Y-2,1,1),'Fund History'!$G$170:$G$174,"&lt;="&amp;DATE(YEAR_Y-2,12,31))/100)))</f>
        <v/>
      </c>
      <c r="AQ39" s="82">
        <f>IF($C39="","",IF(PULL_FUND="N","",IF(COUNTIFS('Fund History'!$G$170:$G$174,"&gt;="&amp;DATE(YEAR_Y-1,1,1),'Fund History'!$G$170:$G$174,"&lt;="&amp;DATE(YEAR_Y-1,12,31))=0,"",SUMIFS('Fund History'!$H$170:$H$174,'Fund History'!$G$170:$G$174,"&gt;="&amp;DATE(YEAR_Y-1,1,1),'Fund History'!$G$170:$G$174,"&lt;="&amp;DATE(YEAR_Y-1,12,31))/100)))</f>
        <v/>
      </c>
      <c r="AR39" s="83">
        <f>IF($C39="","",IF(N($AQ39)+N(HSI!$I$34)=0,"",N($AQ39)+N(HSI!$I$34)/100))</f>
        <v/>
      </c>
      <c r="AS39" s="75">
        <f>IF($C39="","",IF(PULL_FUND="N","",IF(COUNTIFS('Fund History'!$D$170:$D$174,"&gt;="&amp;DATE(YEAR_Y-2,1,1),'Fund History'!$D$170:$D$174,"&lt;="&amp;DATE(YEAR_Y-2,12,31))=0,"",SUMIFS('Fund History'!$E$170:$E$174,'Fund History'!$D$170:$D$174,"&gt;="&amp;DATE(YEAR_Y-2,1,1),'Fund History'!$D$170:$D$174,"&lt;="&amp;DATE(YEAR_Y-2,12,31)))))</f>
        <v/>
      </c>
      <c r="AT39" s="76">
        <f>IF($C39="","",IF(PULL_FUND="N","",IF(COUNTIFS('Fund History'!$D$170:$D$174,"&gt;="&amp;DATE(YEAR_Y-1,1,1),'Fund History'!$D$170:$D$174,"&lt;="&amp;DATE(YEAR_Y-1,12,31))=0,"",SUMIFS('Fund History'!$E$170:$E$174,'Fund History'!$D$170:$D$174,"&gt;="&amp;DATE(YEAR_Y-1,1,1),'Fund History'!$D$170:$D$174,"&lt;="&amp;DATE(YEAR_Y-1,12,31)))))</f>
        <v/>
      </c>
      <c r="AU39" s="76">
        <f>IF($C39="","",IF(PULL_FUND="N","",IFERROR(BDP($C39,NDEBITDA_FIELD),"")))</f>
        <v/>
      </c>
      <c r="AV39" s="84">
        <f>IF($C39="","",IF(PULL_FUND="N","",IFERROR(BDP($C39,EBINT_FIELD),"")))</f>
        <v/>
      </c>
      <c r="AW39" s="82">
        <f>IF($C39="","",IF(PULL_FUND="N","",IFERROR(BDP($C39,FCF_FIELD)/100,"")))</f>
        <v/>
      </c>
      <c r="AX39" s="50">
        <f>IF($C39="","",IF(N($U39)=0,"",IFERROR($AW39/$U39,"")))</f>
        <v/>
      </c>
      <c r="AY39" s="85">
        <f>IF($C39="","",TRIM(IF(ISNUMBER($AJ39)*(N($AJ39)&gt;$D$4)&gt;0,"payout high  ","")&amp;IF(ISNUMBER($AX39)*(N($AX39)&lt;$F$4)&gt;0,"FCF below dvd  ","")&amp;IF(ISNUMBER($AU39)*(N($AU39)&gt;$H$4)&gt;0,"leverage high","")))</f>
        <v/>
      </c>
      <c r="AZ39" s="86">
        <f>IF($C39="","",IF(HSI!$F$34="HKD","",HSI!$F$34))</f>
        <v/>
      </c>
    </row>
    <row r="40">
      <c r="B40" s="66" t="inlineStr">
        <is>
          <t>HSI</t>
        </is>
      </c>
      <c r="C40" s="8">
        <f>IF(HSI!$C$35="","",HSI!$C$35)</f>
        <v/>
      </c>
      <c r="D40" s="8">
        <f>IF($C40="","",HSI!$D$35)</f>
        <v/>
      </c>
      <c r="E40" s="8">
        <f>IF($C40="","",HSI!$E$35)</f>
        <v/>
      </c>
      <c r="F40" s="67">
        <f>IF($C40="","",SUMPRODUCT(('Dvd Calendar'!$E$319:$AR$319&gt;=DATE(YEAR_Y-5,1,1))*('Dvd Calendar'!$E$319:$AR$319&lt;=DATE(YEAR_Y-5,12,31))*'Dvd Calendar'!$E$322:$AR$322*(('Dvd Calendar'!$E$324:$AR$324=TYPE1)*(TYPE1&lt;&gt;"")+('Dvd Calendar'!$E$324:$AR$324=TYPE2)*(TYPE2&lt;&gt;"")+('Dvd Calendar'!$E$324:$AR$324=TYPE3)*(TYPE3&lt;&gt;"")+('Dvd Calendar'!$E$324:$AR$324=TYPE4)*(TYPE4&lt;&gt;"")+('Dvd Calendar'!$E$324:$AR$324=SPECIAL_LBL)*(INC_SPECIALS="Y"))))</f>
        <v/>
      </c>
      <c r="G40" s="68">
        <f>IF($C40="","",SUMPRODUCT(('Dvd Calendar'!$E$319:$AR$319&gt;=DATE(YEAR_Y-4,1,1))*('Dvd Calendar'!$E$319:$AR$319&lt;=DATE(YEAR_Y-4,12,31))*'Dvd Calendar'!$E$322:$AR$322*(('Dvd Calendar'!$E$324:$AR$324=TYPE1)*(TYPE1&lt;&gt;"")+('Dvd Calendar'!$E$324:$AR$324=TYPE2)*(TYPE2&lt;&gt;"")+('Dvd Calendar'!$E$324:$AR$324=TYPE3)*(TYPE3&lt;&gt;"")+('Dvd Calendar'!$E$324:$AR$324=TYPE4)*(TYPE4&lt;&gt;"")+('Dvd Calendar'!$E$324:$AR$324=SPECIAL_LBL)*(INC_SPECIALS="Y"))))</f>
        <v/>
      </c>
      <c r="H40" s="68">
        <f>IF($C40="","",SUMPRODUCT(('Dvd Calendar'!$E$319:$AR$319&gt;=DATE(YEAR_Y-3,1,1))*('Dvd Calendar'!$E$319:$AR$319&lt;=DATE(YEAR_Y-3,12,31))*'Dvd Calendar'!$E$322:$AR$322*(('Dvd Calendar'!$E$324:$AR$324=TYPE1)*(TYPE1&lt;&gt;"")+('Dvd Calendar'!$E$324:$AR$324=TYPE2)*(TYPE2&lt;&gt;"")+('Dvd Calendar'!$E$324:$AR$324=TYPE3)*(TYPE3&lt;&gt;"")+('Dvd Calendar'!$E$324:$AR$324=TYPE4)*(TYPE4&lt;&gt;"")+('Dvd Calendar'!$E$324:$AR$324=SPECIAL_LBL)*(INC_SPECIALS="Y"))))</f>
        <v/>
      </c>
      <c r="I40" s="68">
        <f>IF($C40="","",SUMPRODUCT(('Dvd Calendar'!$E$319:$AR$319&gt;=DATE(YEAR_Y-2,1,1))*('Dvd Calendar'!$E$319:$AR$319&lt;=DATE(YEAR_Y-2,12,31))*'Dvd Calendar'!$E$322:$AR$322*(('Dvd Calendar'!$E$324:$AR$324=TYPE1)*(TYPE1&lt;&gt;"")+('Dvd Calendar'!$E$324:$AR$324=TYPE2)*(TYPE2&lt;&gt;"")+('Dvd Calendar'!$E$324:$AR$324=TYPE3)*(TYPE3&lt;&gt;"")+('Dvd Calendar'!$E$324:$AR$324=TYPE4)*(TYPE4&lt;&gt;"")+('Dvd Calendar'!$E$324:$AR$324=SPECIAL_LBL)*(INC_SPECIALS="Y"))))</f>
        <v/>
      </c>
      <c r="J40" s="68">
        <f>IF($C40="","",SUMPRODUCT(('Dvd Calendar'!$E$319:$AR$319&gt;=DATE(YEAR_Y-1,1,1))*('Dvd Calendar'!$E$319:$AR$319&lt;=DATE(YEAR_Y-1,12,31))*'Dvd Calendar'!$E$322:$AR$322*(('Dvd Calendar'!$E$324:$AR$324=TYPE1)*(TYPE1&lt;&gt;"")+('Dvd Calendar'!$E$324:$AR$324=TYPE2)*(TYPE2&lt;&gt;"")+('Dvd Calendar'!$E$324:$AR$324=TYPE3)*(TYPE3&lt;&gt;"")+('Dvd Calendar'!$E$324:$AR$324=TYPE4)*(TYPE4&lt;&gt;"")+('Dvd Calendar'!$E$324:$AR$324=SPECIAL_LBL)*(INC_SPECIALS="Y"))))</f>
        <v/>
      </c>
      <c r="K40" s="69">
        <f>IF($C40="","",HSI!$J$35)</f>
        <v/>
      </c>
      <c r="L40" s="69">
        <f>IF($C40="","",HSI!$K$35)</f>
        <v/>
      </c>
      <c r="M40" s="44">
        <f>IF($C40="","",HSI!$J$35+HSI!$L$35)</f>
        <v/>
      </c>
      <c r="N40" s="70">
        <f>IF($C40="","",IF(PULL_FUND="N","",IFERROR(BDP($C40,BESTDPS_FIELD,FWD_OVERRIDE,TEXT(MOD(YEAR_Y,100),"00")&amp;"Y"),"")))</f>
        <v/>
      </c>
      <c r="O40" s="69">
        <f>IF($C40="","",AVERAGE(F40:J40))</f>
        <v/>
      </c>
      <c r="P40" s="71">
        <f>IF($C40="","",IF(PULL_FUND="N","",IF(COUNTIFS('Fund History'!$J$176:$J$180,"&gt;="&amp;DATE(YEAR_Y-5,1,1),'Fund History'!$J$176:$J$180,"&lt;="&amp;DATE(YEAR_Y-5,12,31))=0,"",IFERROR($F40*HSI!$G$35/SUMIFS('Fund History'!$K$176:$K$180,'Fund History'!$J$176:$J$180,"&gt;="&amp;DATE(YEAR_Y-5,1,1),'Fund History'!$J$176:$J$180,"&lt;="&amp;DATE(YEAR_Y-5,12,31)),""))))</f>
        <v/>
      </c>
      <c r="Q40" s="72">
        <f>IF($C40="","",IF(PULL_FUND="N","",IF(COUNTIFS('Fund History'!$J$176:$J$180,"&gt;="&amp;DATE(YEAR_Y-4,1,1),'Fund History'!$J$176:$J$180,"&lt;="&amp;DATE(YEAR_Y-4,12,31))=0,"",IFERROR($G40*HSI!$G$35/SUMIFS('Fund History'!$K$176:$K$180,'Fund History'!$J$176:$J$180,"&gt;="&amp;DATE(YEAR_Y-4,1,1),'Fund History'!$J$176:$J$180,"&lt;="&amp;DATE(YEAR_Y-4,12,31)),""))))</f>
        <v/>
      </c>
      <c r="R40" s="72">
        <f>IF($C40="","",IF(PULL_FUND="N","",IF(COUNTIFS('Fund History'!$J$176:$J$180,"&gt;="&amp;DATE(YEAR_Y-3,1,1),'Fund History'!$J$176:$J$180,"&lt;="&amp;DATE(YEAR_Y-3,12,31))=0,"",IFERROR($H40*HSI!$G$35/SUMIFS('Fund History'!$K$176:$K$180,'Fund History'!$J$176:$J$180,"&gt;="&amp;DATE(YEAR_Y-3,1,1),'Fund History'!$J$176:$J$180,"&lt;="&amp;DATE(YEAR_Y-3,12,31)),""))))</f>
        <v/>
      </c>
      <c r="S40" s="72">
        <f>IF($C40="","",IF(PULL_FUND="N","",IF(COUNTIFS('Fund History'!$J$176:$J$180,"&gt;="&amp;DATE(YEAR_Y-2,1,1),'Fund History'!$J$176:$J$180,"&lt;="&amp;DATE(YEAR_Y-2,12,31))=0,"",IFERROR($I40*HSI!$G$35/SUMIFS('Fund History'!$K$176:$K$180,'Fund History'!$J$176:$J$180,"&gt;="&amp;DATE(YEAR_Y-2,1,1),'Fund History'!$J$176:$J$180,"&lt;="&amp;DATE(YEAR_Y-2,12,31)),""))))</f>
        <v/>
      </c>
      <c r="T40" s="72">
        <f>IF($C40="","",IF(PULL_FUND="N","",IF(COUNTIFS('Fund History'!$J$176:$J$180,"&gt;="&amp;DATE(YEAR_Y-1,1,1),'Fund History'!$J$176:$J$180,"&lt;="&amp;DATE(YEAR_Y-1,12,31))=0,"",IFERROR($J40*HSI!$G$35/SUMIFS('Fund History'!$K$176:$K$180,'Fund History'!$J$176:$J$180,"&gt;="&amp;DATE(YEAR_Y-1,1,1),'Fund History'!$J$176:$J$180,"&lt;="&amp;DATE(YEAR_Y-1,12,31)),""))))</f>
        <v/>
      </c>
      <c r="U40" s="73">
        <f>IF($C40="","",IF(ISNUMBER(HSI!$I$35),HSI!$I$35/100,""))</f>
        <v/>
      </c>
      <c r="V40" s="74">
        <f>IF($C40="","",IF(ISNUMBER(HSI!$X$35),IFERROR($M40*HSI!$G$35/HSI!$X$35,""),""))</f>
        <v/>
      </c>
      <c r="W40" s="73">
        <f>IF($C40="","",IF(ISNUMBER($N40),IFERROR($N40*HSI!$G$35/HSI!$X$35,""),""))</f>
        <v/>
      </c>
      <c r="X40" s="75">
        <f>IF($C40="","",IF(PULL_FUND="N","",IFERROR(BDP($C40,EPS_FIELD,YR_OVERRIDE,TEXT(YEAR_Y-5,"0")),"")))</f>
        <v/>
      </c>
      <c r="Y40" s="76">
        <f>IF($C40="","",IF(PULL_FUND="N","",IFERROR(BDP($C40,EPS_FIELD,YR_OVERRIDE,TEXT(YEAR_Y-4,"0")),"")))</f>
        <v/>
      </c>
      <c r="Z40" s="76">
        <f>IF($C40="","",IF(PULL_FUND="N","",IFERROR(BDP($C40,EPS_FIELD,YR_OVERRIDE,TEXT(YEAR_Y-3,"0")),"")))</f>
        <v/>
      </c>
      <c r="AA40" s="76">
        <f>IF($C40="","",IF(PULL_FUND="N","",IFERROR(BDP($C40,EPS_FIELD,YR_OVERRIDE,TEXT(YEAR_Y-2,"0")),"")))</f>
        <v/>
      </c>
      <c r="AB40" s="76">
        <f>IF($C40="","",IF(PULL_FUND="N","",IFERROR(BDP($C40,EPS_FIELD,YR_OVERRIDE,TEXT(YEAR_Y-1,"0")),"")))</f>
        <v/>
      </c>
      <c r="AC40" s="50">
        <f>IF($C40="","",IFERROR(AVERAGE(X40:AB40),""))</f>
        <v/>
      </c>
      <c r="AD40" s="76">
        <f>IF($C40="","",IF(PULL_FUND="N","",IFERROR(BDP($C40,BESTEPS_FIELD,FWD_OVERRIDE,TEXT(MOD(YEAR_Y,100),"00")&amp;"Y"),"")))</f>
        <v/>
      </c>
      <c r="AE40" s="77">
        <f>IF($C40="","",IF(PULL_FUND="N","",IFERROR(BDP($C40,PAYOUT_FIELD,YR_OVERRIDE,TEXT(YEAR_Y-5,"0"))/100,"")))</f>
        <v/>
      </c>
      <c r="AF40" s="78">
        <f>IF($C40="","",IF(PULL_FUND="N","",IFERROR(BDP($C40,PAYOUT_FIELD,YR_OVERRIDE,TEXT(YEAR_Y-4,"0"))/100,"")))</f>
        <v/>
      </c>
      <c r="AG40" s="78">
        <f>IF($C40="","",IF(PULL_FUND="N","",IFERROR(BDP($C40,PAYOUT_FIELD,YR_OVERRIDE,TEXT(YEAR_Y-3,"0"))/100,"")))</f>
        <v/>
      </c>
      <c r="AH40" s="78">
        <f>IF($C40="","",IF(PULL_FUND="N","",IFERROR(BDP($C40,PAYOUT_FIELD,YR_OVERRIDE,TEXT(YEAR_Y-2,"0"))/100,"")))</f>
        <v/>
      </c>
      <c r="AI40" s="78">
        <f>IF($C40="","",IF(PULL_FUND="N","",IFERROR(BDP($C40,PAYOUT_FIELD,YR_OVERRIDE,TEXT(YEAR_Y-1,"0"))/100,"")))</f>
        <v/>
      </c>
      <c r="AJ40" s="79">
        <f>IF($C40="","",IFERROR(AVERAGE(AE40:AI40),""))</f>
        <v/>
      </c>
      <c r="AK40" s="80">
        <f>IF($C40="","",IF(ISNUMBER($AD40)*ISNUMBER($N40)*($AD40&lt;&gt;0)=0,"",$N40/$AD40))</f>
        <v/>
      </c>
      <c r="AL40" s="79">
        <f>IF($C40="","",IF(ISNUMBER($AD40)*($AD40&lt;&gt;0)=0,"",$M40/$AD40))</f>
        <v/>
      </c>
      <c r="AM40" s="37">
        <f>IF($C40="","",IF(ISNUMBER($AE40)*ISNUMBER($AI40)=0,"",IF($AI40&gt;$AE40+0.05,"rising",IF($AI40&lt;$AE40-0.05,"falling","stable"))))</f>
        <v/>
      </c>
      <c r="AN40" s="81">
        <f>IF($C40="","",IF(PULL_FUND="N","",IF(COUNTIFS('Fund History'!$G$176:$G$180,"&gt;="&amp;DATE(YEAR_Y-4,1,1),'Fund History'!$G$176:$G$180,"&lt;="&amp;DATE(YEAR_Y-4,12,31))=0,"",SUMIFS('Fund History'!$H$176:$H$180,'Fund History'!$G$176:$G$180,"&gt;="&amp;DATE(YEAR_Y-4,1,1),'Fund History'!$G$176:$G$180,"&lt;="&amp;DATE(YEAR_Y-4,12,31))/100)))</f>
        <v/>
      </c>
      <c r="AO40" s="82">
        <f>IF($C40="","",IF(PULL_FUND="N","",IF(COUNTIFS('Fund History'!$G$176:$G$180,"&gt;="&amp;DATE(YEAR_Y-3,1,1),'Fund History'!$G$176:$G$180,"&lt;="&amp;DATE(YEAR_Y-3,12,31))=0,"",SUMIFS('Fund History'!$H$176:$H$180,'Fund History'!$G$176:$G$180,"&gt;="&amp;DATE(YEAR_Y-3,1,1),'Fund History'!$G$176:$G$180,"&lt;="&amp;DATE(YEAR_Y-3,12,31))/100)))</f>
        <v/>
      </c>
      <c r="AP40" s="82">
        <f>IF($C40="","",IF(PULL_FUND="N","",IF(COUNTIFS('Fund History'!$G$176:$G$180,"&gt;="&amp;DATE(YEAR_Y-2,1,1),'Fund History'!$G$176:$G$180,"&lt;="&amp;DATE(YEAR_Y-2,12,31))=0,"",SUMIFS('Fund History'!$H$176:$H$180,'Fund History'!$G$176:$G$180,"&gt;="&amp;DATE(YEAR_Y-2,1,1),'Fund History'!$G$176:$G$180,"&lt;="&amp;DATE(YEAR_Y-2,12,31))/100)))</f>
        <v/>
      </c>
      <c r="AQ40" s="82">
        <f>IF($C40="","",IF(PULL_FUND="N","",IF(COUNTIFS('Fund History'!$G$176:$G$180,"&gt;="&amp;DATE(YEAR_Y-1,1,1),'Fund History'!$G$176:$G$180,"&lt;="&amp;DATE(YEAR_Y-1,12,31))=0,"",SUMIFS('Fund History'!$H$176:$H$180,'Fund History'!$G$176:$G$180,"&gt;="&amp;DATE(YEAR_Y-1,1,1),'Fund History'!$G$176:$G$180,"&lt;="&amp;DATE(YEAR_Y-1,12,31))/100)))</f>
        <v/>
      </c>
      <c r="AR40" s="83">
        <f>IF($C40="","",IF(N($AQ40)+N(HSI!$I$35)=0,"",N($AQ40)+N(HSI!$I$35)/100))</f>
        <v/>
      </c>
      <c r="AS40" s="75">
        <f>IF($C40="","",IF(PULL_FUND="N","",IF(COUNTIFS('Fund History'!$D$176:$D$180,"&gt;="&amp;DATE(YEAR_Y-2,1,1),'Fund History'!$D$176:$D$180,"&lt;="&amp;DATE(YEAR_Y-2,12,31))=0,"",SUMIFS('Fund History'!$E$176:$E$180,'Fund History'!$D$176:$D$180,"&gt;="&amp;DATE(YEAR_Y-2,1,1),'Fund History'!$D$176:$D$180,"&lt;="&amp;DATE(YEAR_Y-2,12,31)))))</f>
        <v/>
      </c>
      <c r="AT40" s="76">
        <f>IF($C40="","",IF(PULL_FUND="N","",IF(COUNTIFS('Fund History'!$D$176:$D$180,"&gt;="&amp;DATE(YEAR_Y-1,1,1),'Fund History'!$D$176:$D$180,"&lt;="&amp;DATE(YEAR_Y-1,12,31))=0,"",SUMIFS('Fund History'!$E$176:$E$180,'Fund History'!$D$176:$D$180,"&gt;="&amp;DATE(YEAR_Y-1,1,1),'Fund History'!$D$176:$D$180,"&lt;="&amp;DATE(YEAR_Y-1,12,31)))))</f>
        <v/>
      </c>
      <c r="AU40" s="76">
        <f>IF($C40="","",IF(PULL_FUND="N","",IFERROR(BDP($C40,NDEBITDA_FIELD),"")))</f>
        <v/>
      </c>
      <c r="AV40" s="84">
        <f>IF($C40="","",IF(PULL_FUND="N","",IFERROR(BDP($C40,EBINT_FIELD),"")))</f>
        <v/>
      </c>
      <c r="AW40" s="82">
        <f>IF($C40="","",IF(PULL_FUND="N","",IFERROR(BDP($C40,FCF_FIELD)/100,"")))</f>
        <v/>
      </c>
      <c r="AX40" s="50">
        <f>IF($C40="","",IF(N($U40)=0,"",IFERROR($AW40/$U40,"")))</f>
        <v/>
      </c>
      <c r="AY40" s="85">
        <f>IF($C40="","",TRIM(IF(ISNUMBER($AJ40)*(N($AJ40)&gt;$D$4)&gt;0,"payout high  ","")&amp;IF(ISNUMBER($AX40)*(N($AX40)&lt;$F$4)&gt;0,"FCF below dvd  ","")&amp;IF(ISNUMBER($AU40)*(N($AU40)&gt;$H$4)&gt;0,"leverage high","")))</f>
        <v/>
      </c>
      <c r="AZ40" s="86">
        <f>IF($C40="","",IF(HSI!$F$35="HKD","",HSI!$F$35))</f>
        <v/>
      </c>
    </row>
    <row r="41">
      <c r="B41" s="66" t="inlineStr">
        <is>
          <t>HSI</t>
        </is>
      </c>
      <c r="C41" s="8">
        <f>IF(HSI!$C$36="","",HSI!$C$36)</f>
        <v/>
      </c>
      <c r="D41" s="8">
        <f>IF($C41="","",HSI!$D$36)</f>
        <v/>
      </c>
      <c r="E41" s="8">
        <f>IF($C41="","",HSI!$E$36)</f>
        <v/>
      </c>
      <c r="F41" s="67">
        <f>IF($C41="","",SUMPRODUCT(('Dvd Calendar'!$E$330:$AR$330&gt;=DATE(YEAR_Y-5,1,1))*('Dvd Calendar'!$E$330:$AR$330&lt;=DATE(YEAR_Y-5,12,31))*'Dvd Calendar'!$E$333:$AR$333*(('Dvd Calendar'!$E$335:$AR$335=TYPE1)*(TYPE1&lt;&gt;"")+('Dvd Calendar'!$E$335:$AR$335=TYPE2)*(TYPE2&lt;&gt;"")+('Dvd Calendar'!$E$335:$AR$335=TYPE3)*(TYPE3&lt;&gt;"")+('Dvd Calendar'!$E$335:$AR$335=TYPE4)*(TYPE4&lt;&gt;"")+('Dvd Calendar'!$E$335:$AR$335=SPECIAL_LBL)*(INC_SPECIALS="Y"))))</f>
        <v/>
      </c>
      <c r="G41" s="68">
        <f>IF($C41="","",SUMPRODUCT(('Dvd Calendar'!$E$330:$AR$330&gt;=DATE(YEAR_Y-4,1,1))*('Dvd Calendar'!$E$330:$AR$330&lt;=DATE(YEAR_Y-4,12,31))*'Dvd Calendar'!$E$333:$AR$333*(('Dvd Calendar'!$E$335:$AR$335=TYPE1)*(TYPE1&lt;&gt;"")+('Dvd Calendar'!$E$335:$AR$335=TYPE2)*(TYPE2&lt;&gt;"")+('Dvd Calendar'!$E$335:$AR$335=TYPE3)*(TYPE3&lt;&gt;"")+('Dvd Calendar'!$E$335:$AR$335=TYPE4)*(TYPE4&lt;&gt;"")+('Dvd Calendar'!$E$335:$AR$335=SPECIAL_LBL)*(INC_SPECIALS="Y"))))</f>
        <v/>
      </c>
      <c r="H41" s="68">
        <f>IF($C41="","",SUMPRODUCT(('Dvd Calendar'!$E$330:$AR$330&gt;=DATE(YEAR_Y-3,1,1))*('Dvd Calendar'!$E$330:$AR$330&lt;=DATE(YEAR_Y-3,12,31))*'Dvd Calendar'!$E$333:$AR$333*(('Dvd Calendar'!$E$335:$AR$335=TYPE1)*(TYPE1&lt;&gt;"")+('Dvd Calendar'!$E$335:$AR$335=TYPE2)*(TYPE2&lt;&gt;"")+('Dvd Calendar'!$E$335:$AR$335=TYPE3)*(TYPE3&lt;&gt;"")+('Dvd Calendar'!$E$335:$AR$335=TYPE4)*(TYPE4&lt;&gt;"")+('Dvd Calendar'!$E$335:$AR$335=SPECIAL_LBL)*(INC_SPECIALS="Y"))))</f>
        <v/>
      </c>
      <c r="I41" s="68">
        <f>IF($C41="","",SUMPRODUCT(('Dvd Calendar'!$E$330:$AR$330&gt;=DATE(YEAR_Y-2,1,1))*('Dvd Calendar'!$E$330:$AR$330&lt;=DATE(YEAR_Y-2,12,31))*'Dvd Calendar'!$E$333:$AR$333*(('Dvd Calendar'!$E$335:$AR$335=TYPE1)*(TYPE1&lt;&gt;"")+('Dvd Calendar'!$E$335:$AR$335=TYPE2)*(TYPE2&lt;&gt;"")+('Dvd Calendar'!$E$335:$AR$335=TYPE3)*(TYPE3&lt;&gt;"")+('Dvd Calendar'!$E$335:$AR$335=TYPE4)*(TYPE4&lt;&gt;"")+('Dvd Calendar'!$E$335:$AR$335=SPECIAL_LBL)*(INC_SPECIALS="Y"))))</f>
        <v/>
      </c>
      <c r="J41" s="68">
        <f>IF($C41="","",SUMPRODUCT(('Dvd Calendar'!$E$330:$AR$330&gt;=DATE(YEAR_Y-1,1,1))*('Dvd Calendar'!$E$330:$AR$330&lt;=DATE(YEAR_Y-1,12,31))*'Dvd Calendar'!$E$333:$AR$333*(('Dvd Calendar'!$E$335:$AR$335=TYPE1)*(TYPE1&lt;&gt;"")+('Dvd Calendar'!$E$335:$AR$335=TYPE2)*(TYPE2&lt;&gt;"")+('Dvd Calendar'!$E$335:$AR$335=TYPE3)*(TYPE3&lt;&gt;"")+('Dvd Calendar'!$E$335:$AR$335=TYPE4)*(TYPE4&lt;&gt;"")+('Dvd Calendar'!$E$335:$AR$335=SPECIAL_LBL)*(INC_SPECIALS="Y"))))</f>
        <v/>
      </c>
      <c r="K41" s="69">
        <f>IF($C41="","",HSI!$J$36)</f>
        <v/>
      </c>
      <c r="L41" s="69">
        <f>IF($C41="","",HSI!$K$36)</f>
        <v/>
      </c>
      <c r="M41" s="44">
        <f>IF($C41="","",HSI!$J$36+HSI!$L$36)</f>
        <v/>
      </c>
      <c r="N41" s="70">
        <f>IF($C41="","",IF(PULL_FUND="N","",IFERROR(BDP($C41,BESTDPS_FIELD,FWD_OVERRIDE,TEXT(MOD(YEAR_Y,100),"00")&amp;"Y"),"")))</f>
        <v/>
      </c>
      <c r="O41" s="69">
        <f>IF($C41="","",AVERAGE(F41:J41))</f>
        <v/>
      </c>
      <c r="P41" s="71">
        <f>IF($C41="","",IF(PULL_FUND="N","",IF(COUNTIFS('Fund History'!$J$182:$J$186,"&gt;="&amp;DATE(YEAR_Y-5,1,1),'Fund History'!$J$182:$J$186,"&lt;="&amp;DATE(YEAR_Y-5,12,31))=0,"",IFERROR($F41*HSI!$G$36/SUMIFS('Fund History'!$K$182:$K$186,'Fund History'!$J$182:$J$186,"&gt;="&amp;DATE(YEAR_Y-5,1,1),'Fund History'!$J$182:$J$186,"&lt;="&amp;DATE(YEAR_Y-5,12,31)),""))))</f>
        <v/>
      </c>
      <c r="Q41" s="72">
        <f>IF($C41="","",IF(PULL_FUND="N","",IF(COUNTIFS('Fund History'!$J$182:$J$186,"&gt;="&amp;DATE(YEAR_Y-4,1,1),'Fund History'!$J$182:$J$186,"&lt;="&amp;DATE(YEAR_Y-4,12,31))=0,"",IFERROR($G41*HSI!$G$36/SUMIFS('Fund History'!$K$182:$K$186,'Fund History'!$J$182:$J$186,"&gt;="&amp;DATE(YEAR_Y-4,1,1),'Fund History'!$J$182:$J$186,"&lt;="&amp;DATE(YEAR_Y-4,12,31)),""))))</f>
        <v/>
      </c>
      <c r="R41" s="72">
        <f>IF($C41="","",IF(PULL_FUND="N","",IF(COUNTIFS('Fund History'!$J$182:$J$186,"&gt;="&amp;DATE(YEAR_Y-3,1,1),'Fund History'!$J$182:$J$186,"&lt;="&amp;DATE(YEAR_Y-3,12,31))=0,"",IFERROR($H41*HSI!$G$36/SUMIFS('Fund History'!$K$182:$K$186,'Fund History'!$J$182:$J$186,"&gt;="&amp;DATE(YEAR_Y-3,1,1),'Fund History'!$J$182:$J$186,"&lt;="&amp;DATE(YEAR_Y-3,12,31)),""))))</f>
        <v/>
      </c>
      <c r="S41" s="72">
        <f>IF($C41="","",IF(PULL_FUND="N","",IF(COUNTIFS('Fund History'!$J$182:$J$186,"&gt;="&amp;DATE(YEAR_Y-2,1,1),'Fund History'!$J$182:$J$186,"&lt;="&amp;DATE(YEAR_Y-2,12,31))=0,"",IFERROR($I41*HSI!$G$36/SUMIFS('Fund History'!$K$182:$K$186,'Fund History'!$J$182:$J$186,"&gt;="&amp;DATE(YEAR_Y-2,1,1),'Fund History'!$J$182:$J$186,"&lt;="&amp;DATE(YEAR_Y-2,12,31)),""))))</f>
        <v/>
      </c>
      <c r="T41" s="72">
        <f>IF($C41="","",IF(PULL_FUND="N","",IF(COUNTIFS('Fund History'!$J$182:$J$186,"&gt;="&amp;DATE(YEAR_Y-1,1,1),'Fund History'!$J$182:$J$186,"&lt;="&amp;DATE(YEAR_Y-1,12,31))=0,"",IFERROR($J41*HSI!$G$36/SUMIFS('Fund History'!$K$182:$K$186,'Fund History'!$J$182:$J$186,"&gt;="&amp;DATE(YEAR_Y-1,1,1),'Fund History'!$J$182:$J$186,"&lt;="&amp;DATE(YEAR_Y-1,12,31)),""))))</f>
        <v/>
      </c>
      <c r="U41" s="73">
        <f>IF($C41="","",IF(ISNUMBER(HSI!$I$36),HSI!$I$36/100,""))</f>
        <v/>
      </c>
      <c r="V41" s="74">
        <f>IF($C41="","",IF(ISNUMBER(HSI!$X$36),IFERROR($M41*HSI!$G$36/HSI!$X$36,""),""))</f>
        <v/>
      </c>
      <c r="W41" s="73">
        <f>IF($C41="","",IF(ISNUMBER($N41),IFERROR($N41*HSI!$G$36/HSI!$X$36,""),""))</f>
        <v/>
      </c>
      <c r="X41" s="75">
        <f>IF($C41="","",IF(PULL_FUND="N","",IFERROR(BDP($C41,EPS_FIELD,YR_OVERRIDE,TEXT(YEAR_Y-5,"0")),"")))</f>
        <v/>
      </c>
      <c r="Y41" s="76">
        <f>IF($C41="","",IF(PULL_FUND="N","",IFERROR(BDP($C41,EPS_FIELD,YR_OVERRIDE,TEXT(YEAR_Y-4,"0")),"")))</f>
        <v/>
      </c>
      <c r="Z41" s="76">
        <f>IF($C41="","",IF(PULL_FUND="N","",IFERROR(BDP($C41,EPS_FIELD,YR_OVERRIDE,TEXT(YEAR_Y-3,"0")),"")))</f>
        <v/>
      </c>
      <c r="AA41" s="76">
        <f>IF($C41="","",IF(PULL_FUND="N","",IFERROR(BDP($C41,EPS_FIELD,YR_OVERRIDE,TEXT(YEAR_Y-2,"0")),"")))</f>
        <v/>
      </c>
      <c r="AB41" s="76">
        <f>IF($C41="","",IF(PULL_FUND="N","",IFERROR(BDP($C41,EPS_FIELD,YR_OVERRIDE,TEXT(YEAR_Y-1,"0")),"")))</f>
        <v/>
      </c>
      <c r="AC41" s="50">
        <f>IF($C41="","",IFERROR(AVERAGE(X41:AB41),""))</f>
        <v/>
      </c>
      <c r="AD41" s="76">
        <f>IF($C41="","",IF(PULL_FUND="N","",IFERROR(BDP($C41,BESTEPS_FIELD,FWD_OVERRIDE,TEXT(MOD(YEAR_Y,100),"00")&amp;"Y"),"")))</f>
        <v/>
      </c>
      <c r="AE41" s="77">
        <f>IF($C41="","",IF(PULL_FUND="N","",IFERROR(BDP($C41,PAYOUT_FIELD,YR_OVERRIDE,TEXT(YEAR_Y-5,"0"))/100,"")))</f>
        <v/>
      </c>
      <c r="AF41" s="78">
        <f>IF($C41="","",IF(PULL_FUND="N","",IFERROR(BDP($C41,PAYOUT_FIELD,YR_OVERRIDE,TEXT(YEAR_Y-4,"0"))/100,"")))</f>
        <v/>
      </c>
      <c r="AG41" s="78">
        <f>IF($C41="","",IF(PULL_FUND="N","",IFERROR(BDP($C41,PAYOUT_FIELD,YR_OVERRIDE,TEXT(YEAR_Y-3,"0"))/100,"")))</f>
        <v/>
      </c>
      <c r="AH41" s="78">
        <f>IF($C41="","",IF(PULL_FUND="N","",IFERROR(BDP($C41,PAYOUT_FIELD,YR_OVERRIDE,TEXT(YEAR_Y-2,"0"))/100,"")))</f>
        <v/>
      </c>
      <c r="AI41" s="78">
        <f>IF($C41="","",IF(PULL_FUND="N","",IFERROR(BDP($C41,PAYOUT_FIELD,YR_OVERRIDE,TEXT(YEAR_Y-1,"0"))/100,"")))</f>
        <v/>
      </c>
      <c r="AJ41" s="79">
        <f>IF($C41="","",IFERROR(AVERAGE(AE41:AI41),""))</f>
        <v/>
      </c>
      <c r="AK41" s="80">
        <f>IF($C41="","",IF(ISNUMBER($AD41)*ISNUMBER($N41)*($AD41&lt;&gt;0)=0,"",$N41/$AD41))</f>
        <v/>
      </c>
      <c r="AL41" s="79">
        <f>IF($C41="","",IF(ISNUMBER($AD41)*($AD41&lt;&gt;0)=0,"",$M41/$AD41))</f>
        <v/>
      </c>
      <c r="AM41" s="37">
        <f>IF($C41="","",IF(ISNUMBER($AE41)*ISNUMBER($AI41)=0,"",IF($AI41&gt;$AE41+0.05,"rising",IF($AI41&lt;$AE41-0.05,"falling","stable"))))</f>
        <v/>
      </c>
      <c r="AN41" s="81">
        <f>IF($C41="","",IF(PULL_FUND="N","",IF(COUNTIFS('Fund History'!$G$182:$G$186,"&gt;="&amp;DATE(YEAR_Y-4,1,1),'Fund History'!$G$182:$G$186,"&lt;="&amp;DATE(YEAR_Y-4,12,31))=0,"",SUMIFS('Fund History'!$H$182:$H$186,'Fund History'!$G$182:$G$186,"&gt;="&amp;DATE(YEAR_Y-4,1,1),'Fund History'!$G$182:$G$186,"&lt;="&amp;DATE(YEAR_Y-4,12,31))/100)))</f>
        <v/>
      </c>
      <c r="AO41" s="82">
        <f>IF($C41="","",IF(PULL_FUND="N","",IF(COUNTIFS('Fund History'!$G$182:$G$186,"&gt;="&amp;DATE(YEAR_Y-3,1,1),'Fund History'!$G$182:$G$186,"&lt;="&amp;DATE(YEAR_Y-3,12,31))=0,"",SUMIFS('Fund History'!$H$182:$H$186,'Fund History'!$G$182:$G$186,"&gt;="&amp;DATE(YEAR_Y-3,1,1),'Fund History'!$G$182:$G$186,"&lt;="&amp;DATE(YEAR_Y-3,12,31))/100)))</f>
        <v/>
      </c>
      <c r="AP41" s="82">
        <f>IF($C41="","",IF(PULL_FUND="N","",IF(COUNTIFS('Fund History'!$G$182:$G$186,"&gt;="&amp;DATE(YEAR_Y-2,1,1),'Fund History'!$G$182:$G$186,"&lt;="&amp;DATE(YEAR_Y-2,12,31))=0,"",SUMIFS('Fund History'!$H$182:$H$186,'Fund History'!$G$182:$G$186,"&gt;="&amp;DATE(YEAR_Y-2,1,1),'Fund History'!$G$182:$G$186,"&lt;="&amp;DATE(YEAR_Y-2,12,31))/100)))</f>
        <v/>
      </c>
      <c r="AQ41" s="82">
        <f>IF($C41="","",IF(PULL_FUND="N","",IF(COUNTIFS('Fund History'!$G$182:$G$186,"&gt;="&amp;DATE(YEAR_Y-1,1,1),'Fund History'!$G$182:$G$186,"&lt;="&amp;DATE(YEAR_Y-1,12,31))=0,"",SUMIFS('Fund History'!$H$182:$H$186,'Fund History'!$G$182:$G$186,"&gt;="&amp;DATE(YEAR_Y-1,1,1),'Fund History'!$G$182:$G$186,"&lt;="&amp;DATE(YEAR_Y-1,12,31))/100)))</f>
        <v/>
      </c>
      <c r="AR41" s="83">
        <f>IF($C41="","",IF(N($AQ41)+N(HSI!$I$36)=0,"",N($AQ41)+N(HSI!$I$36)/100))</f>
        <v/>
      </c>
      <c r="AS41" s="75">
        <f>IF($C41="","",IF(PULL_FUND="N","",IF(COUNTIFS('Fund History'!$D$182:$D$186,"&gt;="&amp;DATE(YEAR_Y-2,1,1),'Fund History'!$D$182:$D$186,"&lt;="&amp;DATE(YEAR_Y-2,12,31))=0,"",SUMIFS('Fund History'!$E$182:$E$186,'Fund History'!$D$182:$D$186,"&gt;="&amp;DATE(YEAR_Y-2,1,1),'Fund History'!$D$182:$D$186,"&lt;="&amp;DATE(YEAR_Y-2,12,31)))))</f>
        <v/>
      </c>
      <c r="AT41" s="76">
        <f>IF($C41="","",IF(PULL_FUND="N","",IF(COUNTIFS('Fund History'!$D$182:$D$186,"&gt;="&amp;DATE(YEAR_Y-1,1,1),'Fund History'!$D$182:$D$186,"&lt;="&amp;DATE(YEAR_Y-1,12,31))=0,"",SUMIFS('Fund History'!$E$182:$E$186,'Fund History'!$D$182:$D$186,"&gt;="&amp;DATE(YEAR_Y-1,1,1),'Fund History'!$D$182:$D$186,"&lt;="&amp;DATE(YEAR_Y-1,12,31)))))</f>
        <v/>
      </c>
      <c r="AU41" s="76">
        <f>IF($C41="","",IF(PULL_FUND="N","",IFERROR(BDP($C41,NDEBITDA_FIELD),"")))</f>
        <v/>
      </c>
      <c r="AV41" s="84">
        <f>IF($C41="","",IF(PULL_FUND="N","",IFERROR(BDP($C41,EBINT_FIELD),"")))</f>
        <v/>
      </c>
      <c r="AW41" s="82">
        <f>IF($C41="","",IF(PULL_FUND="N","",IFERROR(BDP($C41,FCF_FIELD)/100,"")))</f>
        <v/>
      </c>
      <c r="AX41" s="50">
        <f>IF($C41="","",IF(N($U41)=0,"",IFERROR($AW41/$U41,"")))</f>
        <v/>
      </c>
      <c r="AY41" s="85">
        <f>IF($C41="","",TRIM(IF(ISNUMBER($AJ41)*(N($AJ41)&gt;$D$4)&gt;0,"payout high  ","")&amp;IF(ISNUMBER($AX41)*(N($AX41)&lt;$F$4)&gt;0,"FCF below dvd  ","")&amp;IF(ISNUMBER($AU41)*(N($AU41)&gt;$H$4)&gt;0,"leverage high","")))</f>
        <v/>
      </c>
      <c r="AZ41" s="86">
        <f>IF($C41="","",IF(HSI!$F$36="HKD","",HSI!$F$36))</f>
        <v/>
      </c>
    </row>
    <row r="42">
      <c r="B42" s="66" t="inlineStr">
        <is>
          <t>HSI</t>
        </is>
      </c>
      <c r="C42" s="8">
        <f>IF(HSI!$C$37="","",HSI!$C$37)</f>
        <v/>
      </c>
      <c r="D42" s="8">
        <f>IF($C42="","",HSI!$D$37)</f>
        <v/>
      </c>
      <c r="E42" s="8">
        <f>IF($C42="","",HSI!$E$37)</f>
        <v/>
      </c>
      <c r="F42" s="67">
        <f>IF($C42="","",SUMPRODUCT(('Dvd Calendar'!$E$341:$AR$341&gt;=DATE(YEAR_Y-5,1,1))*('Dvd Calendar'!$E$341:$AR$341&lt;=DATE(YEAR_Y-5,12,31))*'Dvd Calendar'!$E$344:$AR$344*(('Dvd Calendar'!$E$346:$AR$346=TYPE1)*(TYPE1&lt;&gt;"")+('Dvd Calendar'!$E$346:$AR$346=TYPE2)*(TYPE2&lt;&gt;"")+('Dvd Calendar'!$E$346:$AR$346=TYPE3)*(TYPE3&lt;&gt;"")+('Dvd Calendar'!$E$346:$AR$346=TYPE4)*(TYPE4&lt;&gt;"")+('Dvd Calendar'!$E$346:$AR$346=SPECIAL_LBL)*(INC_SPECIALS="Y"))))</f>
        <v/>
      </c>
      <c r="G42" s="68">
        <f>IF($C42="","",SUMPRODUCT(('Dvd Calendar'!$E$341:$AR$341&gt;=DATE(YEAR_Y-4,1,1))*('Dvd Calendar'!$E$341:$AR$341&lt;=DATE(YEAR_Y-4,12,31))*'Dvd Calendar'!$E$344:$AR$344*(('Dvd Calendar'!$E$346:$AR$346=TYPE1)*(TYPE1&lt;&gt;"")+('Dvd Calendar'!$E$346:$AR$346=TYPE2)*(TYPE2&lt;&gt;"")+('Dvd Calendar'!$E$346:$AR$346=TYPE3)*(TYPE3&lt;&gt;"")+('Dvd Calendar'!$E$346:$AR$346=TYPE4)*(TYPE4&lt;&gt;"")+('Dvd Calendar'!$E$346:$AR$346=SPECIAL_LBL)*(INC_SPECIALS="Y"))))</f>
        <v/>
      </c>
      <c r="H42" s="68">
        <f>IF($C42="","",SUMPRODUCT(('Dvd Calendar'!$E$341:$AR$341&gt;=DATE(YEAR_Y-3,1,1))*('Dvd Calendar'!$E$341:$AR$341&lt;=DATE(YEAR_Y-3,12,31))*'Dvd Calendar'!$E$344:$AR$344*(('Dvd Calendar'!$E$346:$AR$346=TYPE1)*(TYPE1&lt;&gt;"")+('Dvd Calendar'!$E$346:$AR$346=TYPE2)*(TYPE2&lt;&gt;"")+('Dvd Calendar'!$E$346:$AR$346=TYPE3)*(TYPE3&lt;&gt;"")+('Dvd Calendar'!$E$346:$AR$346=TYPE4)*(TYPE4&lt;&gt;"")+('Dvd Calendar'!$E$346:$AR$346=SPECIAL_LBL)*(INC_SPECIALS="Y"))))</f>
        <v/>
      </c>
      <c r="I42" s="68">
        <f>IF($C42="","",SUMPRODUCT(('Dvd Calendar'!$E$341:$AR$341&gt;=DATE(YEAR_Y-2,1,1))*('Dvd Calendar'!$E$341:$AR$341&lt;=DATE(YEAR_Y-2,12,31))*'Dvd Calendar'!$E$344:$AR$344*(('Dvd Calendar'!$E$346:$AR$346=TYPE1)*(TYPE1&lt;&gt;"")+('Dvd Calendar'!$E$346:$AR$346=TYPE2)*(TYPE2&lt;&gt;"")+('Dvd Calendar'!$E$346:$AR$346=TYPE3)*(TYPE3&lt;&gt;"")+('Dvd Calendar'!$E$346:$AR$346=TYPE4)*(TYPE4&lt;&gt;"")+('Dvd Calendar'!$E$346:$AR$346=SPECIAL_LBL)*(INC_SPECIALS="Y"))))</f>
        <v/>
      </c>
      <c r="J42" s="68">
        <f>IF($C42="","",SUMPRODUCT(('Dvd Calendar'!$E$341:$AR$341&gt;=DATE(YEAR_Y-1,1,1))*('Dvd Calendar'!$E$341:$AR$341&lt;=DATE(YEAR_Y-1,12,31))*'Dvd Calendar'!$E$344:$AR$344*(('Dvd Calendar'!$E$346:$AR$346=TYPE1)*(TYPE1&lt;&gt;"")+('Dvd Calendar'!$E$346:$AR$346=TYPE2)*(TYPE2&lt;&gt;"")+('Dvd Calendar'!$E$346:$AR$346=TYPE3)*(TYPE3&lt;&gt;"")+('Dvd Calendar'!$E$346:$AR$346=TYPE4)*(TYPE4&lt;&gt;"")+('Dvd Calendar'!$E$346:$AR$346=SPECIAL_LBL)*(INC_SPECIALS="Y"))))</f>
        <v/>
      </c>
      <c r="K42" s="69">
        <f>IF($C42="","",HSI!$J$37)</f>
        <v/>
      </c>
      <c r="L42" s="69">
        <f>IF($C42="","",HSI!$K$37)</f>
        <v/>
      </c>
      <c r="M42" s="44">
        <f>IF($C42="","",HSI!$J$37+HSI!$L$37)</f>
        <v/>
      </c>
      <c r="N42" s="70">
        <f>IF($C42="","",IF(PULL_FUND="N","",IFERROR(BDP($C42,BESTDPS_FIELD,FWD_OVERRIDE,TEXT(MOD(YEAR_Y,100),"00")&amp;"Y"),"")))</f>
        <v/>
      </c>
      <c r="O42" s="69">
        <f>IF($C42="","",AVERAGE(F42:J42))</f>
        <v/>
      </c>
      <c r="P42" s="71">
        <f>IF($C42="","",IF(PULL_FUND="N","",IF(COUNTIFS('Fund History'!$J$188:$J$192,"&gt;="&amp;DATE(YEAR_Y-5,1,1),'Fund History'!$J$188:$J$192,"&lt;="&amp;DATE(YEAR_Y-5,12,31))=0,"",IFERROR($F42*HSI!$G$37/SUMIFS('Fund History'!$K$188:$K$192,'Fund History'!$J$188:$J$192,"&gt;="&amp;DATE(YEAR_Y-5,1,1),'Fund History'!$J$188:$J$192,"&lt;="&amp;DATE(YEAR_Y-5,12,31)),""))))</f>
        <v/>
      </c>
      <c r="Q42" s="72">
        <f>IF($C42="","",IF(PULL_FUND="N","",IF(COUNTIFS('Fund History'!$J$188:$J$192,"&gt;="&amp;DATE(YEAR_Y-4,1,1),'Fund History'!$J$188:$J$192,"&lt;="&amp;DATE(YEAR_Y-4,12,31))=0,"",IFERROR($G42*HSI!$G$37/SUMIFS('Fund History'!$K$188:$K$192,'Fund History'!$J$188:$J$192,"&gt;="&amp;DATE(YEAR_Y-4,1,1),'Fund History'!$J$188:$J$192,"&lt;="&amp;DATE(YEAR_Y-4,12,31)),""))))</f>
        <v/>
      </c>
      <c r="R42" s="72">
        <f>IF($C42="","",IF(PULL_FUND="N","",IF(COUNTIFS('Fund History'!$J$188:$J$192,"&gt;="&amp;DATE(YEAR_Y-3,1,1),'Fund History'!$J$188:$J$192,"&lt;="&amp;DATE(YEAR_Y-3,12,31))=0,"",IFERROR($H42*HSI!$G$37/SUMIFS('Fund History'!$K$188:$K$192,'Fund History'!$J$188:$J$192,"&gt;="&amp;DATE(YEAR_Y-3,1,1),'Fund History'!$J$188:$J$192,"&lt;="&amp;DATE(YEAR_Y-3,12,31)),""))))</f>
        <v/>
      </c>
      <c r="S42" s="72">
        <f>IF($C42="","",IF(PULL_FUND="N","",IF(COUNTIFS('Fund History'!$J$188:$J$192,"&gt;="&amp;DATE(YEAR_Y-2,1,1),'Fund History'!$J$188:$J$192,"&lt;="&amp;DATE(YEAR_Y-2,12,31))=0,"",IFERROR($I42*HSI!$G$37/SUMIFS('Fund History'!$K$188:$K$192,'Fund History'!$J$188:$J$192,"&gt;="&amp;DATE(YEAR_Y-2,1,1),'Fund History'!$J$188:$J$192,"&lt;="&amp;DATE(YEAR_Y-2,12,31)),""))))</f>
        <v/>
      </c>
      <c r="T42" s="72">
        <f>IF($C42="","",IF(PULL_FUND="N","",IF(COUNTIFS('Fund History'!$J$188:$J$192,"&gt;="&amp;DATE(YEAR_Y-1,1,1),'Fund History'!$J$188:$J$192,"&lt;="&amp;DATE(YEAR_Y-1,12,31))=0,"",IFERROR($J42*HSI!$G$37/SUMIFS('Fund History'!$K$188:$K$192,'Fund History'!$J$188:$J$192,"&gt;="&amp;DATE(YEAR_Y-1,1,1),'Fund History'!$J$188:$J$192,"&lt;="&amp;DATE(YEAR_Y-1,12,31)),""))))</f>
        <v/>
      </c>
      <c r="U42" s="73">
        <f>IF($C42="","",IF(ISNUMBER(HSI!$I$37),HSI!$I$37/100,""))</f>
        <v/>
      </c>
      <c r="V42" s="74">
        <f>IF($C42="","",IF(ISNUMBER(HSI!$X$37),IFERROR($M42*HSI!$G$37/HSI!$X$37,""),""))</f>
        <v/>
      </c>
      <c r="W42" s="73">
        <f>IF($C42="","",IF(ISNUMBER($N42),IFERROR($N42*HSI!$G$37/HSI!$X$37,""),""))</f>
        <v/>
      </c>
      <c r="X42" s="75">
        <f>IF($C42="","",IF(PULL_FUND="N","",IFERROR(BDP($C42,EPS_FIELD,YR_OVERRIDE,TEXT(YEAR_Y-5,"0")),"")))</f>
        <v/>
      </c>
      <c r="Y42" s="76">
        <f>IF($C42="","",IF(PULL_FUND="N","",IFERROR(BDP($C42,EPS_FIELD,YR_OVERRIDE,TEXT(YEAR_Y-4,"0")),"")))</f>
        <v/>
      </c>
      <c r="Z42" s="76">
        <f>IF($C42="","",IF(PULL_FUND="N","",IFERROR(BDP($C42,EPS_FIELD,YR_OVERRIDE,TEXT(YEAR_Y-3,"0")),"")))</f>
        <v/>
      </c>
      <c r="AA42" s="76">
        <f>IF($C42="","",IF(PULL_FUND="N","",IFERROR(BDP($C42,EPS_FIELD,YR_OVERRIDE,TEXT(YEAR_Y-2,"0")),"")))</f>
        <v/>
      </c>
      <c r="AB42" s="76">
        <f>IF($C42="","",IF(PULL_FUND="N","",IFERROR(BDP($C42,EPS_FIELD,YR_OVERRIDE,TEXT(YEAR_Y-1,"0")),"")))</f>
        <v/>
      </c>
      <c r="AC42" s="50">
        <f>IF($C42="","",IFERROR(AVERAGE(X42:AB42),""))</f>
        <v/>
      </c>
      <c r="AD42" s="76">
        <f>IF($C42="","",IF(PULL_FUND="N","",IFERROR(BDP($C42,BESTEPS_FIELD,FWD_OVERRIDE,TEXT(MOD(YEAR_Y,100),"00")&amp;"Y"),"")))</f>
        <v/>
      </c>
      <c r="AE42" s="77">
        <f>IF($C42="","",IF(PULL_FUND="N","",IFERROR(BDP($C42,PAYOUT_FIELD,YR_OVERRIDE,TEXT(YEAR_Y-5,"0"))/100,"")))</f>
        <v/>
      </c>
      <c r="AF42" s="78">
        <f>IF($C42="","",IF(PULL_FUND="N","",IFERROR(BDP($C42,PAYOUT_FIELD,YR_OVERRIDE,TEXT(YEAR_Y-4,"0"))/100,"")))</f>
        <v/>
      </c>
      <c r="AG42" s="78">
        <f>IF($C42="","",IF(PULL_FUND="N","",IFERROR(BDP($C42,PAYOUT_FIELD,YR_OVERRIDE,TEXT(YEAR_Y-3,"0"))/100,"")))</f>
        <v/>
      </c>
      <c r="AH42" s="78">
        <f>IF($C42="","",IF(PULL_FUND="N","",IFERROR(BDP($C42,PAYOUT_FIELD,YR_OVERRIDE,TEXT(YEAR_Y-2,"0"))/100,"")))</f>
        <v/>
      </c>
      <c r="AI42" s="78">
        <f>IF($C42="","",IF(PULL_FUND="N","",IFERROR(BDP($C42,PAYOUT_FIELD,YR_OVERRIDE,TEXT(YEAR_Y-1,"0"))/100,"")))</f>
        <v/>
      </c>
      <c r="AJ42" s="79">
        <f>IF($C42="","",IFERROR(AVERAGE(AE42:AI42),""))</f>
        <v/>
      </c>
      <c r="AK42" s="80">
        <f>IF($C42="","",IF(ISNUMBER($AD42)*ISNUMBER($N42)*($AD42&lt;&gt;0)=0,"",$N42/$AD42))</f>
        <v/>
      </c>
      <c r="AL42" s="79">
        <f>IF($C42="","",IF(ISNUMBER($AD42)*($AD42&lt;&gt;0)=0,"",$M42/$AD42))</f>
        <v/>
      </c>
      <c r="AM42" s="37">
        <f>IF($C42="","",IF(ISNUMBER($AE42)*ISNUMBER($AI42)=0,"",IF($AI42&gt;$AE42+0.05,"rising",IF($AI42&lt;$AE42-0.05,"falling","stable"))))</f>
        <v/>
      </c>
      <c r="AN42" s="81">
        <f>IF($C42="","",IF(PULL_FUND="N","",IF(COUNTIFS('Fund History'!$G$188:$G$192,"&gt;="&amp;DATE(YEAR_Y-4,1,1),'Fund History'!$G$188:$G$192,"&lt;="&amp;DATE(YEAR_Y-4,12,31))=0,"",SUMIFS('Fund History'!$H$188:$H$192,'Fund History'!$G$188:$G$192,"&gt;="&amp;DATE(YEAR_Y-4,1,1),'Fund History'!$G$188:$G$192,"&lt;="&amp;DATE(YEAR_Y-4,12,31))/100)))</f>
        <v/>
      </c>
      <c r="AO42" s="82">
        <f>IF($C42="","",IF(PULL_FUND="N","",IF(COUNTIFS('Fund History'!$G$188:$G$192,"&gt;="&amp;DATE(YEAR_Y-3,1,1),'Fund History'!$G$188:$G$192,"&lt;="&amp;DATE(YEAR_Y-3,12,31))=0,"",SUMIFS('Fund History'!$H$188:$H$192,'Fund History'!$G$188:$G$192,"&gt;="&amp;DATE(YEAR_Y-3,1,1),'Fund History'!$G$188:$G$192,"&lt;="&amp;DATE(YEAR_Y-3,12,31))/100)))</f>
        <v/>
      </c>
      <c r="AP42" s="82">
        <f>IF($C42="","",IF(PULL_FUND="N","",IF(COUNTIFS('Fund History'!$G$188:$G$192,"&gt;="&amp;DATE(YEAR_Y-2,1,1),'Fund History'!$G$188:$G$192,"&lt;="&amp;DATE(YEAR_Y-2,12,31))=0,"",SUMIFS('Fund History'!$H$188:$H$192,'Fund History'!$G$188:$G$192,"&gt;="&amp;DATE(YEAR_Y-2,1,1),'Fund History'!$G$188:$G$192,"&lt;="&amp;DATE(YEAR_Y-2,12,31))/100)))</f>
        <v/>
      </c>
      <c r="AQ42" s="82">
        <f>IF($C42="","",IF(PULL_FUND="N","",IF(COUNTIFS('Fund History'!$G$188:$G$192,"&gt;="&amp;DATE(YEAR_Y-1,1,1),'Fund History'!$G$188:$G$192,"&lt;="&amp;DATE(YEAR_Y-1,12,31))=0,"",SUMIFS('Fund History'!$H$188:$H$192,'Fund History'!$G$188:$G$192,"&gt;="&amp;DATE(YEAR_Y-1,1,1),'Fund History'!$G$188:$G$192,"&lt;="&amp;DATE(YEAR_Y-1,12,31))/100)))</f>
        <v/>
      </c>
      <c r="AR42" s="83">
        <f>IF($C42="","",IF(N($AQ42)+N(HSI!$I$37)=0,"",N($AQ42)+N(HSI!$I$37)/100))</f>
        <v/>
      </c>
      <c r="AS42" s="75">
        <f>IF($C42="","",IF(PULL_FUND="N","",IF(COUNTIFS('Fund History'!$D$188:$D$192,"&gt;="&amp;DATE(YEAR_Y-2,1,1),'Fund History'!$D$188:$D$192,"&lt;="&amp;DATE(YEAR_Y-2,12,31))=0,"",SUMIFS('Fund History'!$E$188:$E$192,'Fund History'!$D$188:$D$192,"&gt;="&amp;DATE(YEAR_Y-2,1,1),'Fund History'!$D$188:$D$192,"&lt;="&amp;DATE(YEAR_Y-2,12,31)))))</f>
        <v/>
      </c>
      <c r="AT42" s="76">
        <f>IF($C42="","",IF(PULL_FUND="N","",IF(COUNTIFS('Fund History'!$D$188:$D$192,"&gt;="&amp;DATE(YEAR_Y-1,1,1),'Fund History'!$D$188:$D$192,"&lt;="&amp;DATE(YEAR_Y-1,12,31))=0,"",SUMIFS('Fund History'!$E$188:$E$192,'Fund History'!$D$188:$D$192,"&gt;="&amp;DATE(YEAR_Y-1,1,1),'Fund History'!$D$188:$D$192,"&lt;="&amp;DATE(YEAR_Y-1,12,31)))))</f>
        <v/>
      </c>
      <c r="AU42" s="76">
        <f>IF($C42="","",IF(PULL_FUND="N","",IFERROR(BDP($C42,NDEBITDA_FIELD),"")))</f>
        <v/>
      </c>
      <c r="AV42" s="84">
        <f>IF($C42="","",IF(PULL_FUND="N","",IFERROR(BDP($C42,EBINT_FIELD),"")))</f>
        <v/>
      </c>
      <c r="AW42" s="82">
        <f>IF($C42="","",IF(PULL_FUND="N","",IFERROR(BDP($C42,FCF_FIELD)/100,"")))</f>
        <v/>
      </c>
      <c r="AX42" s="50">
        <f>IF($C42="","",IF(N($U42)=0,"",IFERROR($AW42/$U42,"")))</f>
        <v/>
      </c>
      <c r="AY42" s="85">
        <f>IF($C42="","",TRIM(IF(ISNUMBER($AJ42)*(N($AJ42)&gt;$D$4)&gt;0,"payout high  ","")&amp;IF(ISNUMBER($AX42)*(N($AX42)&lt;$F$4)&gt;0,"FCF below dvd  ","")&amp;IF(ISNUMBER($AU42)*(N($AU42)&gt;$H$4)&gt;0,"leverage high","")))</f>
        <v/>
      </c>
      <c r="AZ42" s="86">
        <f>IF($C42="","",IF(HSI!$F$37="HKD","",HSI!$F$37))</f>
        <v/>
      </c>
    </row>
    <row r="43">
      <c r="B43" s="66" t="inlineStr">
        <is>
          <t>HSI</t>
        </is>
      </c>
      <c r="C43" s="8">
        <f>IF(HSI!$C$38="","",HSI!$C$38)</f>
        <v/>
      </c>
      <c r="D43" s="8">
        <f>IF($C43="","",HSI!$D$38)</f>
        <v/>
      </c>
      <c r="E43" s="8">
        <f>IF($C43="","",HSI!$E$38)</f>
        <v/>
      </c>
      <c r="F43" s="67">
        <f>IF($C43="","",SUMPRODUCT(('Dvd Calendar'!$E$352:$AR$352&gt;=DATE(YEAR_Y-5,1,1))*('Dvd Calendar'!$E$352:$AR$352&lt;=DATE(YEAR_Y-5,12,31))*'Dvd Calendar'!$E$355:$AR$355*(('Dvd Calendar'!$E$357:$AR$357=TYPE1)*(TYPE1&lt;&gt;"")+('Dvd Calendar'!$E$357:$AR$357=TYPE2)*(TYPE2&lt;&gt;"")+('Dvd Calendar'!$E$357:$AR$357=TYPE3)*(TYPE3&lt;&gt;"")+('Dvd Calendar'!$E$357:$AR$357=TYPE4)*(TYPE4&lt;&gt;"")+('Dvd Calendar'!$E$357:$AR$357=SPECIAL_LBL)*(INC_SPECIALS="Y"))))</f>
        <v/>
      </c>
      <c r="G43" s="68">
        <f>IF($C43="","",SUMPRODUCT(('Dvd Calendar'!$E$352:$AR$352&gt;=DATE(YEAR_Y-4,1,1))*('Dvd Calendar'!$E$352:$AR$352&lt;=DATE(YEAR_Y-4,12,31))*'Dvd Calendar'!$E$355:$AR$355*(('Dvd Calendar'!$E$357:$AR$357=TYPE1)*(TYPE1&lt;&gt;"")+('Dvd Calendar'!$E$357:$AR$357=TYPE2)*(TYPE2&lt;&gt;"")+('Dvd Calendar'!$E$357:$AR$357=TYPE3)*(TYPE3&lt;&gt;"")+('Dvd Calendar'!$E$357:$AR$357=TYPE4)*(TYPE4&lt;&gt;"")+('Dvd Calendar'!$E$357:$AR$357=SPECIAL_LBL)*(INC_SPECIALS="Y"))))</f>
        <v/>
      </c>
      <c r="H43" s="68">
        <f>IF($C43="","",SUMPRODUCT(('Dvd Calendar'!$E$352:$AR$352&gt;=DATE(YEAR_Y-3,1,1))*('Dvd Calendar'!$E$352:$AR$352&lt;=DATE(YEAR_Y-3,12,31))*'Dvd Calendar'!$E$355:$AR$355*(('Dvd Calendar'!$E$357:$AR$357=TYPE1)*(TYPE1&lt;&gt;"")+('Dvd Calendar'!$E$357:$AR$357=TYPE2)*(TYPE2&lt;&gt;"")+('Dvd Calendar'!$E$357:$AR$357=TYPE3)*(TYPE3&lt;&gt;"")+('Dvd Calendar'!$E$357:$AR$357=TYPE4)*(TYPE4&lt;&gt;"")+('Dvd Calendar'!$E$357:$AR$357=SPECIAL_LBL)*(INC_SPECIALS="Y"))))</f>
        <v/>
      </c>
      <c r="I43" s="68">
        <f>IF($C43="","",SUMPRODUCT(('Dvd Calendar'!$E$352:$AR$352&gt;=DATE(YEAR_Y-2,1,1))*('Dvd Calendar'!$E$352:$AR$352&lt;=DATE(YEAR_Y-2,12,31))*'Dvd Calendar'!$E$355:$AR$355*(('Dvd Calendar'!$E$357:$AR$357=TYPE1)*(TYPE1&lt;&gt;"")+('Dvd Calendar'!$E$357:$AR$357=TYPE2)*(TYPE2&lt;&gt;"")+('Dvd Calendar'!$E$357:$AR$357=TYPE3)*(TYPE3&lt;&gt;"")+('Dvd Calendar'!$E$357:$AR$357=TYPE4)*(TYPE4&lt;&gt;"")+('Dvd Calendar'!$E$357:$AR$357=SPECIAL_LBL)*(INC_SPECIALS="Y"))))</f>
        <v/>
      </c>
      <c r="J43" s="68">
        <f>IF($C43="","",SUMPRODUCT(('Dvd Calendar'!$E$352:$AR$352&gt;=DATE(YEAR_Y-1,1,1))*('Dvd Calendar'!$E$352:$AR$352&lt;=DATE(YEAR_Y-1,12,31))*'Dvd Calendar'!$E$355:$AR$355*(('Dvd Calendar'!$E$357:$AR$357=TYPE1)*(TYPE1&lt;&gt;"")+('Dvd Calendar'!$E$357:$AR$357=TYPE2)*(TYPE2&lt;&gt;"")+('Dvd Calendar'!$E$357:$AR$357=TYPE3)*(TYPE3&lt;&gt;"")+('Dvd Calendar'!$E$357:$AR$357=TYPE4)*(TYPE4&lt;&gt;"")+('Dvd Calendar'!$E$357:$AR$357=SPECIAL_LBL)*(INC_SPECIALS="Y"))))</f>
        <v/>
      </c>
      <c r="K43" s="69">
        <f>IF($C43="","",HSI!$J$38)</f>
        <v/>
      </c>
      <c r="L43" s="69">
        <f>IF($C43="","",HSI!$K$38)</f>
        <v/>
      </c>
      <c r="M43" s="44">
        <f>IF($C43="","",HSI!$J$38+HSI!$L$38)</f>
        <v/>
      </c>
      <c r="N43" s="70">
        <f>IF($C43="","",IF(PULL_FUND="N","",IFERROR(BDP($C43,BESTDPS_FIELD,FWD_OVERRIDE,TEXT(MOD(YEAR_Y,100),"00")&amp;"Y"),"")))</f>
        <v/>
      </c>
      <c r="O43" s="69">
        <f>IF($C43="","",AVERAGE(F43:J43))</f>
        <v/>
      </c>
      <c r="P43" s="71">
        <f>IF($C43="","",IF(PULL_FUND="N","",IF(COUNTIFS('Fund History'!$J$194:$J$198,"&gt;="&amp;DATE(YEAR_Y-5,1,1),'Fund History'!$J$194:$J$198,"&lt;="&amp;DATE(YEAR_Y-5,12,31))=0,"",IFERROR($F43*HSI!$G$38/SUMIFS('Fund History'!$K$194:$K$198,'Fund History'!$J$194:$J$198,"&gt;="&amp;DATE(YEAR_Y-5,1,1),'Fund History'!$J$194:$J$198,"&lt;="&amp;DATE(YEAR_Y-5,12,31)),""))))</f>
        <v/>
      </c>
      <c r="Q43" s="72">
        <f>IF($C43="","",IF(PULL_FUND="N","",IF(COUNTIFS('Fund History'!$J$194:$J$198,"&gt;="&amp;DATE(YEAR_Y-4,1,1),'Fund History'!$J$194:$J$198,"&lt;="&amp;DATE(YEAR_Y-4,12,31))=0,"",IFERROR($G43*HSI!$G$38/SUMIFS('Fund History'!$K$194:$K$198,'Fund History'!$J$194:$J$198,"&gt;="&amp;DATE(YEAR_Y-4,1,1),'Fund History'!$J$194:$J$198,"&lt;="&amp;DATE(YEAR_Y-4,12,31)),""))))</f>
        <v/>
      </c>
      <c r="R43" s="72">
        <f>IF($C43="","",IF(PULL_FUND="N","",IF(COUNTIFS('Fund History'!$J$194:$J$198,"&gt;="&amp;DATE(YEAR_Y-3,1,1),'Fund History'!$J$194:$J$198,"&lt;="&amp;DATE(YEAR_Y-3,12,31))=0,"",IFERROR($H43*HSI!$G$38/SUMIFS('Fund History'!$K$194:$K$198,'Fund History'!$J$194:$J$198,"&gt;="&amp;DATE(YEAR_Y-3,1,1),'Fund History'!$J$194:$J$198,"&lt;="&amp;DATE(YEAR_Y-3,12,31)),""))))</f>
        <v/>
      </c>
      <c r="S43" s="72">
        <f>IF($C43="","",IF(PULL_FUND="N","",IF(COUNTIFS('Fund History'!$J$194:$J$198,"&gt;="&amp;DATE(YEAR_Y-2,1,1),'Fund History'!$J$194:$J$198,"&lt;="&amp;DATE(YEAR_Y-2,12,31))=0,"",IFERROR($I43*HSI!$G$38/SUMIFS('Fund History'!$K$194:$K$198,'Fund History'!$J$194:$J$198,"&gt;="&amp;DATE(YEAR_Y-2,1,1),'Fund History'!$J$194:$J$198,"&lt;="&amp;DATE(YEAR_Y-2,12,31)),""))))</f>
        <v/>
      </c>
      <c r="T43" s="72">
        <f>IF($C43="","",IF(PULL_FUND="N","",IF(COUNTIFS('Fund History'!$J$194:$J$198,"&gt;="&amp;DATE(YEAR_Y-1,1,1),'Fund History'!$J$194:$J$198,"&lt;="&amp;DATE(YEAR_Y-1,12,31))=0,"",IFERROR($J43*HSI!$G$38/SUMIFS('Fund History'!$K$194:$K$198,'Fund History'!$J$194:$J$198,"&gt;="&amp;DATE(YEAR_Y-1,1,1),'Fund History'!$J$194:$J$198,"&lt;="&amp;DATE(YEAR_Y-1,12,31)),""))))</f>
        <v/>
      </c>
      <c r="U43" s="73">
        <f>IF($C43="","",IF(ISNUMBER(HSI!$I$38),HSI!$I$38/100,""))</f>
        <v/>
      </c>
      <c r="V43" s="74">
        <f>IF($C43="","",IF(ISNUMBER(HSI!$X$38),IFERROR($M43*HSI!$G$38/HSI!$X$38,""),""))</f>
        <v/>
      </c>
      <c r="W43" s="73">
        <f>IF($C43="","",IF(ISNUMBER($N43),IFERROR($N43*HSI!$G$38/HSI!$X$38,""),""))</f>
        <v/>
      </c>
      <c r="X43" s="75">
        <f>IF($C43="","",IF(PULL_FUND="N","",IFERROR(BDP($C43,EPS_FIELD,YR_OVERRIDE,TEXT(YEAR_Y-5,"0")),"")))</f>
        <v/>
      </c>
      <c r="Y43" s="76">
        <f>IF($C43="","",IF(PULL_FUND="N","",IFERROR(BDP($C43,EPS_FIELD,YR_OVERRIDE,TEXT(YEAR_Y-4,"0")),"")))</f>
        <v/>
      </c>
      <c r="Z43" s="76">
        <f>IF($C43="","",IF(PULL_FUND="N","",IFERROR(BDP($C43,EPS_FIELD,YR_OVERRIDE,TEXT(YEAR_Y-3,"0")),"")))</f>
        <v/>
      </c>
      <c r="AA43" s="76">
        <f>IF($C43="","",IF(PULL_FUND="N","",IFERROR(BDP($C43,EPS_FIELD,YR_OVERRIDE,TEXT(YEAR_Y-2,"0")),"")))</f>
        <v/>
      </c>
      <c r="AB43" s="76">
        <f>IF($C43="","",IF(PULL_FUND="N","",IFERROR(BDP($C43,EPS_FIELD,YR_OVERRIDE,TEXT(YEAR_Y-1,"0")),"")))</f>
        <v/>
      </c>
      <c r="AC43" s="50">
        <f>IF($C43="","",IFERROR(AVERAGE(X43:AB43),""))</f>
        <v/>
      </c>
      <c r="AD43" s="76">
        <f>IF($C43="","",IF(PULL_FUND="N","",IFERROR(BDP($C43,BESTEPS_FIELD,FWD_OVERRIDE,TEXT(MOD(YEAR_Y,100),"00")&amp;"Y"),"")))</f>
        <v/>
      </c>
      <c r="AE43" s="77">
        <f>IF($C43="","",IF(PULL_FUND="N","",IFERROR(BDP($C43,PAYOUT_FIELD,YR_OVERRIDE,TEXT(YEAR_Y-5,"0"))/100,"")))</f>
        <v/>
      </c>
      <c r="AF43" s="78">
        <f>IF($C43="","",IF(PULL_FUND="N","",IFERROR(BDP($C43,PAYOUT_FIELD,YR_OVERRIDE,TEXT(YEAR_Y-4,"0"))/100,"")))</f>
        <v/>
      </c>
      <c r="AG43" s="78">
        <f>IF($C43="","",IF(PULL_FUND="N","",IFERROR(BDP($C43,PAYOUT_FIELD,YR_OVERRIDE,TEXT(YEAR_Y-3,"0"))/100,"")))</f>
        <v/>
      </c>
      <c r="AH43" s="78">
        <f>IF($C43="","",IF(PULL_FUND="N","",IFERROR(BDP($C43,PAYOUT_FIELD,YR_OVERRIDE,TEXT(YEAR_Y-2,"0"))/100,"")))</f>
        <v/>
      </c>
      <c r="AI43" s="78">
        <f>IF($C43="","",IF(PULL_FUND="N","",IFERROR(BDP($C43,PAYOUT_FIELD,YR_OVERRIDE,TEXT(YEAR_Y-1,"0"))/100,"")))</f>
        <v/>
      </c>
      <c r="AJ43" s="79">
        <f>IF($C43="","",IFERROR(AVERAGE(AE43:AI43),""))</f>
        <v/>
      </c>
      <c r="AK43" s="80">
        <f>IF($C43="","",IF(ISNUMBER($AD43)*ISNUMBER($N43)*($AD43&lt;&gt;0)=0,"",$N43/$AD43))</f>
        <v/>
      </c>
      <c r="AL43" s="79">
        <f>IF($C43="","",IF(ISNUMBER($AD43)*($AD43&lt;&gt;0)=0,"",$M43/$AD43))</f>
        <v/>
      </c>
      <c r="AM43" s="37">
        <f>IF($C43="","",IF(ISNUMBER($AE43)*ISNUMBER($AI43)=0,"",IF($AI43&gt;$AE43+0.05,"rising",IF($AI43&lt;$AE43-0.05,"falling","stable"))))</f>
        <v/>
      </c>
      <c r="AN43" s="81">
        <f>IF($C43="","",IF(PULL_FUND="N","",IF(COUNTIFS('Fund History'!$G$194:$G$198,"&gt;="&amp;DATE(YEAR_Y-4,1,1),'Fund History'!$G$194:$G$198,"&lt;="&amp;DATE(YEAR_Y-4,12,31))=0,"",SUMIFS('Fund History'!$H$194:$H$198,'Fund History'!$G$194:$G$198,"&gt;="&amp;DATE(YEAR_Y-4,1,1),'Fund History'!$G$194:$G$198,"&lt;="&amp;DATE(YEAR_Y-4,12,31))/100)))</f>
        <v/>
      </c>
      <c r="AO43" s="82">
        <f>IF($C43="","",IF(PULL_FUND="N","",IF(COUNTIFS('Fund History'!$G$194:$G$198,"&gt;="&amp;DATE(YEAR_Y-3,1,1),'Fund History'!$G$194:$G$198,"&lt;="&amp;DATE(YEAR_Y-3,12,31))=0,"",SUMIFS('Fund History'!$H$194:$H$198,'Fund History'!$G$194:$G$198,"&gt;="&amp;DATE(YEAR_Y-3,1,1),'Fund History'!$G$194:$G$198,"&lt;="&amp;DATE(YEAR_Y-3,12,31))/100)))</f>
        <v/>
      </c>
      <c r="AP43" s="82">
        <f>IF($C43="","",IF(PULL_FUND="N","",IF(COUNTIFS('Fund History'!$G$194:$G$198,"&gt;="&amp;DATE(YEAR_Y-2,1,1),'Fund History'!$G$194:$G$198,"&lt;="&amp;DATE(YEAR_Y-2,12,31))=0,"",SUMIFS('Fund History'!$H$194:$H$198,'Fund History'!$G$194:$G$198,"&gt;="&amp;DATE(YEAR_Y-2,1,1),'Fund History'!$G$194:$G$198,"&lt;="&amp;DATE(YEAR_Y-2,12,31))/100)))</f>
        <v/>
      </c>
      <c r="AQ43" s="82">
        <f>IF($C43="","",IF(PULL_FUND="N","",IF(COUNTIFS('Fund History'!$G$194:$G$198,"&gt;="&amp;DATE(YEAR_Y-1,1,1),'Fund History'!$G$194:$G$198,"&lt;="&amp;DATE(YEAR_Y-1,12,31))=0,"",SUMIFS('Fund History'!$H$194:$H$198,'Fund History'!$G$194:$G$198,"&gt;="&amp;DATE(YEAR_Y-1,1,1),'Fund History'!$G$194:$G$198,"&lt;="&amp;DATE(YEAR_Y-1,12,31))/100)))</f>
        <v/>
      </c>
      <c r="AR43" s="83">
        <f>IF($C43="","",IF(N($AQ43)+N(HSI!$I$38)=0,"",N($AQ43)+N(HSI!$I$38)/100))</f>
        <v/>
      </c>
      <c r="AS43" s="75">
        <f>IF($C43="","",IF(PULL_FUND="N","",IF(COUNTIFS('Fund History'!$D$194:$D$198,"&gt;="&amp;DATE(YEAR_Y-2,1,1),'Fund History'!$D$194:$D$198,"&lt;="&amp;DATE(YEAR_Y-2,12,31))=0,"",SUMIFS('Fund History'!$E$194:$E$198,'Fund History'!$D$194:$D$198,"&gt;="&amp;DATE(YEAR_Y-2,1,1),'Fund History'!$D$194:$D$198,"&lt;="&amp;DATE(YEAR_Y-2,12,31)))))</f>
        <v/>
      </c>
      <c r="AT43" s="76">
        <f>IF($C43="","",IF(PULL_FUND="N","",IF(COUNTIFS('Fund History'!$D$194:$D$198,"&gt;="&amp;DATE(YEAR_Y-1,1,1),'Fund History'!$D$194:$D$198,"&lt;="&amp;DATE(YEAR_Y-1,12,31))=0,"",SUMIFS('Fund History'!$E$194:$E$198,'Fund History'!$D$194:$D$198,"&gt;="&amp;DATE(YEAR_Y-1,1,1),'Fund History'!$D$194:$D$198,"&lt;="&amp;DATE(YEAR_Y-1,12,31)))))</f>
        <v/>
      </c>
      <c r="AU43" s="76">
        <f>IF($C43="","",IF(PULL_FUND="N","",IFERROR(BDP($C43,NDEBITDA_FIELD),"")))</f>
        <v/>
      </c>
      <c r="AV43" s="84">
        <f>IF($C43="","",IF(PULL_FUND="N","",IFERROR(BDP($C43,EBINT_FIELD),"")))</f>
        <v/>
      </c>
      <c r="AW43" s="82">
        <f>IF($C43="","",IF(PULL_FUND="N","",IFERROR(BDP($C43,FCF_FIELD)/100,"")))</f>
        <v/>
      </c>
      <c r="AX43" s="50">
        <f>IF($C43="","",IF(N($U43)=0,"",IFERROR($AW43/$U43,"")))</f>
        <v/>
      </c>
      <c r="AY43" s="85">
        <f>IF($C43="","",TRIM(IF(ISNUMBER($AJ43)*(N($AJ43)&gt;$D$4)&gt;0,"payout high  ","")&amp;IF(ISNUMBER($AX43)*(N($AX43)&lt;$F$4)&gt;0,"FCF below dvd  ","")&amp;IF(ISNUMBER($AU43)*(N($AU43)&gt;$H$4)&gt;0,"leverage high","")))</f>
        <v/>
      </c>
      <c r="AZ43" s="86">
        <f>IF($C43="","",IF(HSI!$F$38="HKD","",HSI!$F$38))</f>
        <v/>
      </c>
    </row>
    <row r="44">
      <c r="B44" s="66" t="inlineStr">
        <is>
          <t>HSI</t>
        </is>
      </c>
      <c r="C44" s="8">
        <f>IF(HSI!$C$39="","",HSI!$C$39)</f>
        <v/>
      </c>
      <c r="D44" s="8">
        <f>IF($C44="","",HSI!$D$39)</f>
        <v/>
      </c>
      <c r="E44" s="8">
        <f>IF($C44="","",HSI!$E$39)</f>
        <v/>
      </c>
      <c r="F44" s="67">
        <f>IF($C44="","",SUMPRODUCT(('Dvd Calendar'!$E$363:$AR$363&gt;=DATE(YEAR_Y-5,1,1))*('Dvd Calendar'!$E$363:$AR$363&lt;=DATE(YEAR_Y-5,12,31))*'Dvd Calendar'!$E$366:$AR$366*(('Dvd Calendar'!$E$368:$AR$368=TYPE1)*(TYPE1&lt;&gt;"")+('Dvd Calendar'!$E$368:$AR$368=TYPE2)*(TYPE2&lt;&gt;"")+('Dvd Calendar'!$E$368:$AR$368=TYPE3)*(TYPE3&lt;&gt;"")+('Dvd Calendar'!$E$368:$AR$368=TYPE4)*(TYPE4&lt;&gt;"")+('Dvd Calendar'!$E$368:$AR$368=SPECIAL_LBL)*(INC_SPECIALS="Y"))))</f>
        <v/>
      </c>
      <c r="G44" s="68">
        <f>IF($C44="","",SUMPRODUCT(('Dvd Calendar'!$E$363:$AR$363&gt;=DATE(YEAR_Y-4,1,1))*('Dvd Calendar'!$E$363:$AR$363&lt;=DATE(YEAR_Y-4,12,31))*'Dvd Calendar'!$E$366:$AR$366*(('Dvd Calendar'!$E$368:$AR$368=TYPE1)*(TYPE1&lt;&gt;"")+('Dvd Calendar'!$E$368:$AR$368=TYPE2)*(TYPE2&lt;&gt;"")+('Dvd Calendar'!$E$368:$AR$368=TYPE3)*(TYPE3&lt;&gt;"")+('Dvd Calendar'!$E$368:$AR$368=TYPE4)*(TYPE4&lt;&gt;"")+('Dvd Calendar'!$E$368:$AR$368=SPECIAL_LBL)*(INC_SPECIALS="Y"))))</f>
        <v/>
      </c>
      <c r="H44" s="68">
        <f>IF($C44="","",SUMPRODUCT(('Dvd Calendar'!$E$363:$AR$363&gt;=DATE(YEAR_Y-3,1,1))*('Dvd Calendar'!$E$363:$AR$363&lt;=DATE(YEAR_Y-3,12,31))*'Dvd Calendar'!$E$366:$AR$366*(('Dvd Calendar'!$E$368:$AR$368=TYPE1)*(TYPE1&lt;&gt;"")+('Dvd Calendar'!$E$368:$AR$368=TYPE2)*(TYPE2&lt;&gt;"")+('Dvd Calendar'!$E$368:$AR$368=TYPE3)*(TYPE3&lt;&gt;"")+('Dvd Calendar'!$E$368:$AR$368=TYPE4)*(TYPE4&lt;&gt;"")+('Dvd Calendar'!$E$368:$AR$368=SPECIAL_LBL)*(INC_SPECIALS="Y"))))</f>
        <v/>
      </c>
      <c r="I44" s="68">
        <f>IF($C44="","",SUMPRODUCT(('Dvd Calendar'!$E$363:$AR$363&gt;=DATE(YEAR_Y-2,1,1))*('Dvd Calendar'!$E$363:$AR$363&lt;=DATE(YEAR_Y-2,12,31))*'Dvd Calendar'!$E$366:$AR$366*(('Dvd Calendar'!$E$368:$AR$368=TYPE1)*(TYPE1&lt;&gt;"")+('Dvd Calendar'!$E$368:$AR$368=TYPE2)*(TYPE2&lt;&gt;"")+('Dvd Calendar'!$E$368:$AR$368=TYPE3)*(TYPE3&lt;&gt;"")+('Dvd Calendar'!$E$368:$AR$368=TYPE4)*(TYPE4&lt;&gt;"")+('Dvd Calendar'!$E$368:$AR$368=SPECIAL_LBL)*(INC_SPECIALS="Y"))))</f>
        <v/>
      </c>
      <c r="J44" s="68">
        <f>IF($C44="","",SUMPRODUCT(('Dvd Calendar'!$E$363:$AR$363&gt;=DATE(YEAR_Y-1,1,1))*('Dvd Calendar'!$E$363:$AR$363&lt;=DATE(YEAR_Y-1,12,31))*'Dvd Calendar'!$E$366:$AR$366*(('Dvd Calendar'!$E$368:$AR$368=TYPE1)*(TYPE1&lt;&gt;"")+('Dvd Calendar'!$E$368:$AR$368=TYPE2)*(TYPE2&lt;&gt;"")+('Dvd Calendar'!$E$368:$AR$368=TYPE3)*(TYPE3&lt;&gt;"")+('Dvd Calendar'!$E$368:$AR$368=TYPE4)*(TYPE4&lt;&gt;"")+('Dvd Calendar'!$E$368:$AR$368=SPECIAL_LBL)*(INC_SPECIALS="Y"))))</f>
        <v/>
      </c>
      <c r="K44" s="69">
        <f>IF($C44="","",HSI!$J$39)</f>
        <v/>
      </c>
      <c r="L44" s="69">
        <f>IF($C44="","",HSI!$K$39)</f>
        <v/>
      </c>
      <c r="M44" s="44">
        <f>IF($C44="","",HSI!$J$39+HSI!$L$39)</f>
        <v/>
      </c>
      <c r="N44" s="70">
        <f>IF($C44="","",IF(PULL_FUND="N","",IFERROR(BDP($C44,BESTDPS_FIELD,FWD_OVERRIDE,TEXT(MOD(YEAR_Y,100),"00")&amp;"Y"),"")))</f>
        <v/>
      </c>
      <c r="O44" s="69">
        <f>IF($C44="","",AVERAGE(F44:J44))</f>
        <v/>
      </c>
      <c r="P44" s="71">
        <f>IF($C44="","",IF(PULL_FUND="N","",IF(COUNTIFS('Fund History'!$J$200:$J$204,"&gt;="&amp;DATE(YEAR_Y-5,1,1),'Fund History'!$J$200:$J$204,"&lt;="&amp;DATE(YEAR_Y-5,12,31))=0,"",IFERROR($F44*HSI!$G$39/SUMIFS('Fund History'!$K$200:$K$204,'Fund History'!$J$200:$J$204,"&gt;="&amp;DATE(YEAR_Y-5,1,1),'Fund History'!$J$200:$J$204,"&lt;="&amp;DATE(YEAR_Y-5,12,31)),""))))</f>
        <v/>
      </c>
      <c r="Q44" s="72">
        <f>IF($C44="","",IF(PULL_FUND="N","",IF(COUNTIFS('Fund History'!$J$200:$J$204,"&gt;="&amp;DATE(YEAR_Y-4,1,1),'Fund History'!$J$200:$J$204,"&lt;="&amp;DATE(YEAR_Y-4,12,31))=0,"",IFERROR($G44*HSI!$G$39/SUMIFS('Fund History'!$K$200:$K$204,'Fund History'!$J$200:$J$204,"&gt;="&amp;DATE(YEAR_Y-4,1,1),'Fund History'!$J$200:$J$204,"&lt;="&amp;DATE(YEAR_Y-4,12,31)),""))))</f>
        <v/>
      </c>
      <c r="R44" s="72">
        <f>IF($C44="","",IF(PULL_FUND="N","",IF(COUNTIFS('Fund History'!$J$200:$J$204,"&gt;="&amp;DATE(YEAR_Y-3,1,1),'Fund History'!$J$200:$J$204,"&lt;="&amp;DATE(YEAR_Y-3,12,31))=0,"",IFERROR($H44*HSI!$G$39/SUMIFS('Fund History'!$K$200:$K$204,'Fund History'!$J$200:$J$204,"&gt;="&amp;DATE(YEAR_Y-3,1,1),'Fund History'!$J$200:$J$204,"&lt;="&amp;DATE(YEAR_Y-3,12,31)),""))))</f>
        <v/>
      </c>
      <c r="S44" s="72">
        <f>IF($C44="","",IF(PULL_FUND="N","",IF(COUNTIFS('Fund History'!$J$200:$J$204,"&gt;="&amp;DATE(YEAR_Y-2,1,1),'Fund History'!$J$200:$J$204,"&lt;="&amp;DATE(YEAR_Y-2,12,31))=0,"",IFERROR($I44*HSI!$G$39/SUMIFS('Fund History'!$K$200:$K$204,'Fund History'!$J$200:$J$204,"&gt;="&amp;DATE(YEAR_Y-2,1,1),'Fund History'!$J$200:$J$204,"&lt;="&amp;DATE(YEAR_Y-2,12,31)),""))))</f>
        <v/>
      </c>
      <c r="T44" s="72">
        <f>IF($C44="","",IF(PULL_FUND="N","",IF(COUNTIFS('Fund History'!$J$200:$J$204,"&gt;="&amp;DATE(YEAR_Y-1,1,1),'Fund History'!$J$200:$J$204,"&lt;="&amp;DATE(YEAR_Y-1,12,31))=0,"",IFERROR($J44*HSI!$G$39/SUMIFS('Fund History'!$K$200:$K$204,'Fund History'!$J$200:$J$204,"&gt;="&amp;DATE(YEAR_Y-1,1,1),'Fund History'!$J$200:$J$204,"&lt;="&amp;DATE(YEAR_Y-1,12,31)),""))))</f>
        <v/>
      </c>
      <c r="U44" s="73">
        <f>IF($C44="","",IF(ISNUMBER(HSI!$I$39),HSI!$I$39/100,""))</f>
        <v/>
      </c>
      <c r="V44" s="74">
        <f>IF($C44="","",IF(ISNUMBER(HSI!$X$39),IFERROR($M44*HSI!$G$39/HSI!$X$39,""),""))</f>
        <v/>
      </c>
      <c r="W44" s="73">
        <f>IF($C44="","",IF(ISNUMBER($N44),IFERROR($N44*HSI!$G$39/HSI!$X$39,""),""))</f>
        <v/>
      </c>
      <c r="X44" s="75">
        <f>IF($C44="","",IF(PULL_FUND="N","",IFERROR(BDP($C44,EPS_FIELD,YR_OVERRIDE,TEXT(YEAR_Y-5,"0")),"")))</f>
        <v/>
      </c>
      <c r="Y44" s="76">
        <f>IF($C44="","",IF(PULL_FUND="N","",IFERROR(BDP($C44,EPS_FIELD,YR_OVERRIDE,TEXT(YEAR_Y-4,"0")),"")))</f>
        <v/>
      </c>
      <c r="Z44" s="76">
        <f>IF($C44="","",IF(PULL_FUND="N","",IFERROR(BDP($C44,EPS_FIELD,YR_OVERRIDE,TEXT(YEAR_Y-3,"0")),"")))</f>
        <v/>
      </c>
      <c r="AA44" s="76">
        <f>IF($C44="","",IF(PULL_FUND="N","",IFERROR(BDP($C44,EPS_FIELD,YR_OVERRIDE,TEXT(YEAR_Y-2,"0")),"")))</f>
        <v/>
      </c>
      <c r="AB44" s="76">
        <f>IF($C44="","",IF(PULL_FUND="N","",IFERROR(BDP($C44,EPS_FIELD,YR_OVERRIDE,TEXT(YEAR_Y-1,"0")),"")))</f>
        <v/>
      </c>
      <c r="AC44" s="50">
        <f>IF($C44="","",IFERROR(AVERAGE(X44:AB44),""))</f>
        <v/>
      </c>
      <c r="AD44" s="76">
        <f>IF($C44="","",IF(PULL_FUND="N","",IFERROR(BDP($C44,BESTEPS_FIELD,FWD_OVERRIDE,TEXT(MOD(YEAR_Y,100),"00")&amp;"Y"),"")))</f>
        <v/>
      </c>
      <c r="AE44" s="77">
        <f>IF($C44="","",IF(PULL_FUND="N","",IFERROR(BDP($C44,PAYOUT_FIELD,YR_OVERRIDE,TEXT(YEAR_Y-5,"0"))/100,"")))</f>
        <v/>
      </c>
      <c r="AF44" s="78">
        <f>IF($C44="","",IF(PULL_FUND="N","",IFERROR(BDP($C44,PAYOUT_FIELD,YR_OVERRIDE,TEXT(YEAR_Y-4,"0"))/100,"")))</f>
        <v/>
      </c>
      <c r="AG44" s="78">
        <f>IF($C44="","",IF(PULL_FUND="N","",IFERROR(BDP($C44,PAYOUT_FIELD,YR_OVERRIDE,TEXT(YEAR_Y-3,"0"))/100,"")))</f>
        <v/>
      </c>
      <c r="AH44" s="78">
        <f>IF($C44="","",IF(PULL_FUND="N","",IFERROR(BDP($C44,PAYOUT_FIELD,YR_OVERRIDE,TEXT(YEAR_Y-2,"0"))/100,"")))</f>
        <v/>
      </c>
      <c r="AI44" s="78">
        <f>IF($C44="","",IF(PULL_FUND="N","",IFERROR(BDP($C44,PAYOUT_FIELD,YR_OVERRIDE,TEXT(YEAR_Y-1,"0"))/100,"")))</f>
        <v/>
      </c>
      <c r="AJ44" s="79">
        <f>IF($C44="","",IFERROR(AVERAGE(AE44:AI44),""))</f>
        <v/>
      </c>
      <c r="AK44" s="80">
        <f>IF($C44="","",IF(ISNUMBER($AD44)*ISNUMBER($N44)*($AD44&lt;&gt;0)=0,"",$N44/$AD44))</f>
        <v/>
      </c>
      <c r="AL44" s="79">
        <f>IF($C44="","",IF(ISNUMBER($AD44)*($AD44&lt;&gt;0)=0,"",$M44/$AD44))</f>
        <v/>
      </c>
      <c r="AM44" s="37">
        <f>IF($C44="","",IF(ISNUMBER($AE44)*ISNUMBER($AI44)=0,"",IF($AI44&gt;$AE44+0.05,"rising",IF($AI44&lt;$AE44-0.05,"falling","stable"))))</f>
        <v/>
      </c>
      <c r="AN44" s="81">
        <f>IF($C44="","",IF(PULL_FUND="N","",IF(COUNTIFS('Fund History'!$G$200:$G$204,"&gt;="&amp;DATE(YEAR_Y-4,1,1),'Fund History'!$G$200:$G$204,"&lt;="&amp;DATE(YEAR_Y-4,12,31))=0,"",SUMIFS('Fund History'!$H$200:$H$204,'Fund History'!$G$200:$G$204,"&gt;="&amp;DATE(YEAR_Y-4,1,1),'Fund History'!$G$200:$G$204,"&lt;="&amp;DATE(YEAR_Y-4,12,31))/100)))</f>
        <v/>
      </c>
      <c r="AO44" s="82">
        <f>IF($C44="","",IF(PULL_FUND="N","",IF(COUNTIFS('Fund History'!$G$200:$G$204,"&gt;="&amp;DATE(YEAR_Y-3,1,1),'Fund History'!$G$200:$G$204,"&lt;="&amp;DATE(YEAR_Y-3,12,31))=0,"",SUMIFS('Fund History'!$H$200:$H$204,'Fund History'!$G$200:$G$204,"&gt;="&amp;DATE(YEAR_Y-3,1,1),'Fund History'!$G$200:$G$204,"&lt;="&amp;DATE(YEAR_Y-3,12,31))/100)))</f>
        <v/>
      </c>
      <c r="AP44" s="82">
        <f>IF($C44="","",IF(PULL_FUND="N","",IF(COUNTIFS('Fund History'!$G$200:$G$204,"&gt;="&amp;DATE(YEAR_Y-2,1,1),'Fund History'!$G$200:$G$204,"&lt;="&amp;DATE(YEAR_Y-2,12,31))=0,"",SUMIFS('Fund History'!$H$200:$H$204,'Fund History'!$G$200:$G$204,"&gt;="&amp;DATE(YEAR_Y-2,1,1),'Fund History'!$G$200:$G$204,"&lt;="&amp;DATE(YEAR_Y-2,12,31))/100)))</f>
        <v/>
      </c>
      <c r="AQ44" s="82">
        <f>IF($C44="","",IF(PULL_FUND="N","",IF(COUNTIFS('Fund History'!$G$200:$G$204,"&gt;="&amp;DATE(YEAR_Y-1,1,1),'Fund History'!$G$200:$G$204,"&lt;="&amp;DATE(YEAR_Y-1,12,31))=0,"",SUMIFS('Fund History'!$H$200:$H$204,'Fund History'!$G$200:$G$204,"&gt;="&amp;DATE(YEAR_Y-1,1,1),'Fund History'!$G$200:$G$204,"&lt;="&amp;DATE(YEAR_Y-1,12,31))/100)))</f>
        <v/>
      </c>
      <c r="AR44" s="83">
        <f>IF($C44="","",IF(N($AQ44)+N(HSI!$I$39)=0,"",N($AQ44)+N(HSI!$I$39)/100))</f>
        <v/>
      </c>
      <c r="AS44" s="75">
        <f>IF($C44="","",IF(PULL_FUND="N","",IF(COUNTIFS('Fund History'!$D$200:$D$204,"&gt;="&amp;DATE(YEAR_Y-2,1,1),'Fund History'!$D$200:$D$204,"&lt;="&amp;DATE(YEAR_Y-2,12,31))=0,"",SUMIFS('Fund History'!$E$200:$E$204,'Fund History'!$D$200:$D$204,"&gt;="&amp;DATE(YEAR_Y-2,1,1),'Fund History'!$D$200:$D$204,"&lt;="&amp;DATE(YEAR_Y-2,12,31)))))</f>
        <v/>
      </c>
      <c r="AT44" s="76">
        <f>IF($C44="","",IF(PULL_FUND="N","",IF(COUNTIFS('Fund History'!$D$200:$D$204,"&gt;="&amp;DATE(YEAR_Y-1,1,1),'Fund History'!$D$200:$D$204,"&lt;="&amp;DATE(YEAR_Y-1,12,31))=0,"",SUMIFS('Fund History'!$E$200:$E$204,'Fund History'!$D$200:$D$204,"&gt;="&amp;DATE(YEAR_Y-1,1,1),'Fund History'!$D$200:$D$204,"&lt;="&amp;DATE(YEAR_Y-1,12,31)))))</f>
        <v/>
      </c>
      <c r="AU44" s="76">
        <f>IF($C44="","",IF(PULL_FUND="N","",IFERROR(BDP($C44,NDEBITDA_FIELD),"")))</f>
        <v/>
      </c>
      <c r="AV44" s="84">
        <f>IF($C44="","",IF(PULL_FUND="N","",IFERROR(BDP($C44,EBINT_FIELD),"")))</f>
        <v/>
      </c>
      <c r="AW44" s="82">
        <f>IF($C44="","",IF(PULL_FUND="N","",IFERROR(BDP($C44,FCF_FIELD)/100,"")))</f>
        <v/>
      </c>
      <c r="AX44" s="50">
        <f>IF($C44="","",IF(N($U44)=0,"",IFERROR($AW44/$U44,"")))</f>
        <v/>
      </c>
      <c r="AY44" s="85">
        <f>IF($C44="","",TRIM(IF(ISNUMBER($AJ44)*(N($AJ44)&gt;$D$4)&gt;0,"payout high  ","")&amp;IF(ISNUMBER($AX44)*(N($AX44)&lt;$F$4)&gt;0,"FCF below dvd  ","")&amp;IF(ISNUMBER($AU44)*(N($AU44)&gt;$H$4)&gt;0,"leverage high","")))</f>
        <v/>
      </c>
      <c r="AZ44" s="86">
        <f>IF($C44="","",IF(HSI!$F$39="HKD","",HSI!$F$39))</f>
        <v/>
      </c>
    </row>
    <row r="45">
      <c r="B45" s="66" t="inlineStr">
        <is>
          <t>HSI</t>
        </is>
      </c>
      <c r="C45" s="8">
        <f>IF(HSI!$C$40="","",HSI!$C$40)</f>
        <v/>
      </c>
      <c r="D45" s="8">
        <f>IF($C45="","",HSI!$D$40)</f>
        <v/>
      </c>
      <c r="E45" s="8">
        <f>IF($C45="","",HSI!$E$40)</f>
        <v/>
      </c>
      <c r="F45" s="67">
        <f>IF($C45="","",SUMPRODUCT(('Dvd Calendar'!$E$374:$AR$374&gt;=DATE(YEAR_Y-5,1,1))*('Dvd Calendar'!$E$374:$AR$374&lt;=DATE(YEAR_Y-5,12,31))*'Dvd Calendar'!$E$377:$AR$377*(('Dvd Calendar'!$E$379:$AR$379=TYPE1)*(TYPE1&lt;&gt;"")+('Dvd Calendar'!$E$379:$AR$379=TYPE2)*(TYPE2&lt;&gt;"")+('Dvd Calendar'!$E$379:$AR$379=TYPE3)*(TYPE3&lt;&gt;"")+('Dvd Calendar'!$E$379:$AR$379=TYPE4)*(TYPE4&lt;&gt;"")+('Dvd Calendar'!$E$379:$AR$379=SPECIAL_LBL)*(INC_SPECIALS="Y"))))</f>
        <v/>
      </c>
      <c r="G45" s="68">
        <f>IF($C45="","",SUMPRODUCT(('Dvd Calendar'!$E$374:$AR$374&gt;=DATE(YEAR_Y-4,1,1))*('Dvd Calendar'!$E$374:$AR$374&lt;=DATE(YEAR_Y-4,12,31))*'Dvd Calendar'!$E$377:$AR$377*(('Dvd Calendar'!$E$379:$AR$379=TYPE1)*(TYPE1&lt;&gt;"")+('Dvd Calendar'!$E$379:$AR$379=TYPE2)*(TYPE2&lt;&gt;"")+('Dvd Calendar'!$E$379:$AR$379=TYPE3)*(TYPE3&lt;&gt;"")+('Dvd Calendar'!$E$379:$AR$379=TYPE4)*(TYPE4&lt;&gt;"")+('Dvd Calendar'!$E$379:$AR$379=SPECIAL_LBL)*(INC_SPECIALS="Y"))))</f>
        <v/>
      </c>
      <c r="H45" s="68">
        <f>IF($C45="","",SUMPRODUCT(('Dvd Calendar'!$E$374:$AR$374&gt;=DATE(YEAR_Y-3,1,1))*('Dvd Calendar'!$E$374:$AR$374&lt;=DATE(YEAR_Y-3,12,31))*'Dvd Calendar'!$E$377:$AR$377*(('Dvd Calendar'!$E$379:$AR$379=TYPE1)*(TYPE1&lt;&gt;"")+('Dvd Calendar'!$E$379:$AR$379=TYPE2)*(TYPE2&lt;&gt;"")+('Dvd Calendar'!$E$379:$AR$379=TYPE3)*(TYPE3&lt;&gt;"")+('Dvd Calendar'!$E$379:$AR$379=TYPE4)*(TYPE4&lt;&gt;"")+('Dvd Calendar'!$E$379:$AR$379=SPECIAL_LBL)*(INC_SPECIALS="Y"))))</f>
        <v/>
      </c>
      <c r="I45" s="68">
        <f>IF($C45="","",SUMPRODUCT(('Dvd Calendar'!$E$374:$AR$374&gt;=DATE(YEAR_Y-2,1,1))*('Dvd Calendar'!$E$374:$AR$374&lt;=DATE(YEAR_Y-2,12,31))*'Dvd Calendar'!$E$377:$AR$377*(('Dvd Calendar'!$E$379:$AR$379=TYPE1)*(TYPE1&lt;&gt;"")+('Dvd Calendar'!$E$379:$AR$379=TYPE2)*(TYPE2&lt;&gt;"")+('Dvd Calendar'!$E$379:$AR$379=TYPE3)*(TYPE3&lt;&gt;"")+('Dvd Calendar'!$E$379:$AR$379=TYPE4)*(TYPE4&lt;&gt;"")+('Dvd Calendar'!$E$379:$AR$379=SPECIAL_LBL)*(INC_SPECIALS="Y"))))</f>
        <v/>
      </c>
      <c r="J45" s="68">
        <f>IF($C45="","",SUMPRODUCT(('Dvd Calendar'!$E$374:$AR$374&gt;=DATE(YEAR_Y-1,1,1))*('Dvd Calendar'!$E$374:$AR$374&lt;=DATE(YEAR_Y-1,12,31))*'Dvd Calendar'!$E$377:$AR$377*(('Dvd Calendar'!$E$379:$AR$379=TYPE1)*(TYPE1&lt;&gt;"")+('Dvd Calendar'!$E$379:$AR$379=TYPE2)*(TYPE2&lt;&gt;"")+('Dvd Calendar'!$E$379:$AR$379=TYPE3)*(TYPE3&lt;&gt;"")+('Dvd Calendar'!$E$379:$AR$379=TYPE4)*(TYPE4&lt;&gt;"")+('Dvd Calendar'!$E$379:$AR$379=SPECIAL_LBL)*(INC_SPECIALS="Y"))))</f>
        <v/>
      </c>
      <c r="K45" s="69">
        <f>IF($C45="","",HSI!$J$40)</f>
        <v/>
      </c>
      <c r="L45" s="69">
        <f>IF($C45="","",HSI!$K$40)</f>
        <v/>
      </c>
      <c r="M45" s="44">
        <f>IF($C45="","",HSI!$J$40+HSI!$L$40)</f>
        <v/>
      </c>
      <c r="N45" s="70">
        <f>IF($C45="","",IF(PULL_FUND="N","",IFERROR(BDP($C45,BESTDPS_FIELD,FWD_OVERRIDE,TEXT(MOD(YEAR_Y,100),"00")&amp;"Y"),"")))</f>
        <v/>
      </c>
      <c r="O45" s="69">
        <f>IF($C45="","",AVERAGE(F45:J45))</f>
        <v/>
      </c>
      <c r="P45" s="71">
        <f>IF($C45="","",IF(PULL_FUND="N","",IF(COUNTIFS('Fund History'!$J$206:$J$210,"&gt;="&amp;DATE(YEAR_Y-5,1,1),'Fund History'!$J$206:$J$210,"&lt;="&amp;DATE(YEAR_Y-5,12,31))=0,"",IFERROR($F45*HSI!$G$40/SUMIFS('Fund History'!$K$206:$K$210,'Fund History'!$J$206:$J$210,"&gt;="&amp;DATE(YEAR_Y-5,1,1),'Fund History'!$J$206:$J$210,"&lt;="&amp;DATE(YEAR_Y-5,12,31)),""))))</f>
        <v/>
      </c>
      <c r="Q45" s="72">
        <f>IF($C45="","",IF(PULL_FUND="N","",IF(COUNTIFS('Fund History'!$J$206:$J$210,"&gt;="&amp;DATE(YEAR_Y-4,1,1),'Fund History'!$J$206:$J$210,"&lt;="&amp;DATE(YEAR_Y-4,12,31))=0,"",IFERROR($G45*HSI!$G$40/SUMIFS('Fund History'!$K$206:$K$210,'Fund History'!$J$206:$J$210,"&gt;="&amp;DATE(YEAR_Y-4,1,1),'Fund History'!$J$206:$J$210,"&lt;="&amp;DATE(YEAR_Y-4,12,31)),""))))</f>
        <v/>
      </c>
      <c r="R45" s="72">
        <f>IF($C45="","",IF(PULL_FUND="N","",IF(COUNTIFS('Fund History'!$J$206:$J$210,"&gt;="&amp;DATE(YEAR_Y-3,1,1),'Fund History'!$J$206:$J$210,"&lt;="&amp;DATE(YEAR_Y-3,12,31))=0,"",IFERROR($H45*HSI!$G$40/SUMIFS('Fund History'!$K$206:$K$210,'Fund History'!$J$206:$J$210,"&gt;="&amp;DATE(YEAR_Y-3,1,1),'Fund History'!$J$206:$J$210,"&lt;="&amp;DATE(YEAR_Y-3,12,31)),""))))</f>
        <v/>
      </c>
      <c r="S45" s="72">
        <f>IF($C45="","",IF(PULL_FUND="N","",IF(COUNTIFS('Fund History'!$J$206:$J$210,"&gt;="&amp;DATE(YEAR_Y-2,1,1),'Fund History'!$J$206:$J$210,"&lt;="&amp;DATE(YEAR_Y-2,12,31))=0,"",IFERROR($I45*HSI!$G$40/SUMIFS('Fund History'!$K$206:$K$210,'Fund History'!$J$206:$J$210,"&gt;="&amp;DATE(YEAR_Y-2,1,1),'Fund History'!$J$206:$J$210,"&lt;="&amp;DATE(YEAR_Y-2,12,31)),""))))</f>
        <v/>
      </c>
      <c r="T45" s="72">
        <f>IF($C45="","",IF(PULL_FUND="N","",IF(COUNTIFS('Fund History'!$J$206:$J$210,"&gt;="&amp;DATE(YEAR_Y-1,1,1),'Fund History'!$J$206:$J$210,"&lt;="&amp;DATE(YEAR_Y-1,12,31))=0,"",IFERROR($J45*HSI!$G$40/SUMIFS('Fund History'!$K$206:$K$210,'Fund History'!$J$206:$J$210,"&gt;="&amp;DATE(YEAR_Y-1,1,1),'Fund History'!$J$206:$J$210,"&lt;="&amp;DATE(YEAR_Y-1,12,31)),""))))</f>
        <v/>
      </c>
      <c r="U45" s="73">
        <f>IF($C45="","",IF(ISNUMBER(HSI!$I$40),HSI!$I$40/100,""))</f>
        <v/>
      </c>
      <c r="V45" s="74">
        <f>IF($C45="","",IF(ISNUMBER(HSI!$X$40),IFERROR($M45*HSI!$G$40/HSI!$X$40,""),""))</f>
        <v/>
      </c>
      <c r="W45" s="73">
        <f>IF($C45="","",IF(ISNUMBER($N45),IFERROR($N45*HSI!$G$40/HSI!$X$40,""),""))</f>
        <v/>
      </c>
      <c r="X45" s="75">
        <f>IF($C45="","",IF(PULL_FUND="N","",IFERROR(BDP($C45,EPS_FIELD,YR_OVERRIDE,TEXT(YEAR_Y-5,"0")),"")))</f>
        <v/>
      </c>
      <c r="Y45" s="76">
        <f>IF($C45="","",IF(PULL_FUND="N","",IFERROR(BDP($C45,EPS_FIELD,YR_OVERRIDE,TEXT(YEAR_Y-4,"0")),"")))</f>
        <v/>
      </c>
      <c r="Z45" s="76">
        <f>IF($C45="","",IF(PULL_FUND="N","",IFERROR(BDP($C45,EPS_FIELD,YR_OVERRIDE,TEXT(YEAR_Y-3,"0")),"")))</f>
        <v/>
      </c>
      <c r="AA45" s="76">
        <f>IF($C45="","",IF(PULL_FUND="N","",IFERROR(BDP($C45,EPS_FIELD,YR_OVERRIDE,TEXT(YEAR_Y-2,"0")),"")))</f>
        <v/>
      </c>
      <c r="AB45" s="76">
        <f>IF($C45="","",IF(PULL_FUND="N","",IFERROR(BDP($C45,EPS_FIELD,YR_OVERRIDE,TEXT(YEAR_Y-1,"0")),"")))</f>
        <v/>
      </c>
      <c r="AC45" s="50">
        <f>IF($C45="","",IFERROR(AVERAGE(X45:AB45),""))</f>
        <v/>
      </c>
      <c r="AD45" s="76">
        <f>IF($C45="","",IF(PULL_FUND="N","",IFERROR(BDP($C45,BESTEPS_FIELD,FWD_OVERRIDE,TEXT(MOD(YEAR_Y,100),"00")&amp;"Y"),"")))</f>
        <v/>
      </c>
      <c r="AE45" s="77">
        <f>IF($C45="","",IF(PULL_FUND="N","",IFERROR(BDP($C45,PAYOUT_FIELD,YR_OVERRIDE,TEXT(YEAR_Y-5,"0"))/100,"")))</f>
        <v/>
      </c>
      <c r="AF45" s="78">
        <f>IF($C45="","",IF(PULL_FUND="N","",IFERROR(BDP($C45,PAYOUT_FIELD,YR_OVERRIDE,TEXT(YEAR_Y-4,"0"))/100,"")))</f>
        <v/>
      </c>
      <c r="AG45" s="78">
        <f>IF($C45="","",IF(PULL_FUND="N","",IFERROR(BDP($C45,PAYOUT_FIELD,YR_OVERRIDE,TEXT(YEAR_Y-3,"0"))/100,"")))</f>
        <v/>
      </c>
      <c r="AH45" s="78">
        <f>IF($C45="","",IF(PULL_FUND="N","",IFERROR(BDP($C45,PAYOUT_FIELD,YR_OVERRIDE,TEXT(YEAR_Y-2,"0"))/100,"")))</f>
        <v/>
      </c>
      <c r="AI45" s="78">
        <f>IF($C45="","",IF(PULL_FUND="N","",IFERROR(BDP($C45,PAYOUT_FIELD,YR_OVERRIDE,TEXT(YEAR_Y-1,"0"))/100,"")))</f>
        <v/>
      </c>
      <c r="AJ45" s="79">
        <f>IF($C45="","",IFERROR(AVERAGE(AE45:AI45),""))</f>
        <v/>
      </c>
      <c r="AK45" s="80">
        <f>IF($C45="","",IF(ISNUMBER($AD45)*ISNUMBER($N45)*($AD45&lt;&gt;0)=0,"",$N45/$AD45))</f>
        <v/>
      </c>
      <c r="AL45" s="79">
        <f>IF($C45="","",IF(ISNUMBER($AD45)*($AD45&lt;&gt;0)=0,"",$M45/$AD45))</f>
        <v/>
      </c>
      <c r="AM45" s="37">
        <f>IF($C45="","",IF(ISNUMBER($AE45)*ISNUMBER($AI45)=0,"",IF($AI45&gt;$AE45+0.05,"rising",IF($AI45&lt;$AE45-0.05,"falling","stable"))))</f>
        <v/>
      </c>
      <c r="AN45" s="81">
        <f>IF($C45="","",IF(PULL_FUND="N","",IF(COUNTIFS('Fund History'!$G$206:$G$210,"&gt;="&amp;DATE(YEAR_Y-4,1,1),'Fund History'!$G$206:$G$210,"&lt;="&amp;DATE(YEAR_Y-4,12,31))=0,"",SUMIFS('Fund History'!$H$206:$H$210,'Fund History'!$G$206:$G$210,"&gt;="&amp;DATE(YEAR_Y-4,1,1),'Fund History'!$G$206:$G$210,"&lt;="&amp;DATE(YEAR_Y-4,12,31))/100)))</f>
        <v/>
      </c>
      <c r="AO45" s="82">
        <f>IF($C45="","",IF(PULL_FUND="N","",IF(COUNTIFS('Fund History'!$G$206:$G$210,"&gt;="&amp;DATE(YEAR_Y-3,1,1),'Fund History'!$G$206:$G$210,"&lt;="&amp;DATE(YEAR_Y-3,12,31))=0,"",SUMIFS('Fund History'!$H$206:$H$210,'Fund History'!$G$206:$G$210,"&gt;="&amp;DATE(YEAR_Y-3,1,1),'Fund History'!$G$206:$G$210,"&lt;="&amp;DATE(YEAR_Y-3,12,31))/100)))</f>
        <v/>
      </c>
      <c r="AP45" s="82">
        <f>IF($C45="","",IF(PULL_FUND="N","",IF(COUNTIFS('Fund History'!$G$206:$G$210,"&gt;="&amp;DATE(YEAR_Y-2,1,1),'Fund History'!$G$206:$G$210,"&lt;="&amp;DATE(YEAR_Y-2,12,31))=0,"",SUMIFS('Fund History'!$H$206:$H$210,'Fund History'!$G$206:$G$210,"&gt;="&amp;DATE(YEAR_Y-2,1,1),'Fund History'!$G$206:$G$210,"&lt;="&amp;DATE(YEAR_Y-2,12,31))/100)))</f>
        <v/>
      </c>
      <c r="AQ45" s="82">
        <f>IF($C45="","",IF(PULL_FUND="N","",IF(COUNTIFS('Fund History'!$G$206:$G$210,"&gt;="&amp;DATE(YEAR_Y-1,1,1),'Fund History'!$G$206:$G$210,"&lt;="&amp;DATE(YEAR_Y-1,12,31))=0,"",SUMIFS('Fund History'!$H$206:$H$210,'Fund History'!$G$206:$G$210,"&gt;="&amp;DATE(YEAR_Y-1,1,1),'Fund History'!$G$206:$G$210,"&lt;="&amp;DATE(YEAR_Y-1,12,31))/100)))</f>
        <v/>
      </c>
      <c r="AR45" s="83">
        <f>IF($C45="","",IF(N($AQ45)+N(HSI!$I$40)=0,"",N($AQ45)+N(HSI!$I$40)/100))</f>
        <v/>
      </c>
      <c r="AS45" s="75">
        <f>IF($C45="","",IF(PULL_FUND="N","",IF(COUNTIFS('Fund History'!$D$206:$D$210,"&gt;="&amp;DATE(YEAR_Y-2,1,1),'Fund History'!$D$206:$D$210,"&lt;="&amp;DATE(YEAR_Y-2,12,31))=0,"",SUMIFS('Fund History'!$E$206:$E$210,'Fund History'!$D$206:$D$210,"&gt;="&amp;DATE(YEAR_Y-2,1,1),'Fund History'!$D$206:$D$210,"&lt;="&amp;DATE(YEAR_Y-2,12,31)))))</f>
        <v/>
      </c>
      <c r="AT45" s="76">
        <f>IF($C45="","",IF(PULL_FUND="N","",IF(COUNTIFS('Fund History'!$D$206:$D$210,"&gt;="&amp;DATE(YEAR_Y-1,1,1),'Fund History'!$D$206:$D$210,"&lt;="&amp;DATE(YEAR_Y-1,12,31))=0,"",SUMIFS('Fund History'!$E$206:$E$210,'Fund History'!$D$206:$D$210,"&gt;="&amp;DATE(YEAR_Y-1,1,1),'Fund History'!$D$206:$D$210,"&lt;="&amp;DATE(YEAR_Y-1,12,31)))))</f>
        <v/>
      </c>
      <c r="AU45" s="76">
        <f>IF($C45="","",IF(PULL_FUND="N","",IFERROR(BDP($C45,NDEBITDA_FIELD),"")))</f>
        <v/>
      </c>
      <c r="AV45" s="84">
        <f>IF($C45="","",IF(PULL_FUND="N","",IFERROR(BDP($C45,EBINT_FIELD),"")))</f>
        <v/>
      </c>
      <c r="AW45" s="82">
        <f>IF($C45="","",IF(PULL_FUND="N","",IFERROR(BDP($C45,FCF_FIELD)/100,"")))</f>
        <v/>
      </c>
      <c r="AX45" s="50">
        <f>IF($C45="","",IF(N($U45)=0,"",IFERROR($AW45/$U45,"")))</f>
        <v/>
      </c>
      <c r="AY45" s="85">
        <f>IF($C45="","",TRIM(IF(ISNUMBER($AJ45)*(N($AJ45)&gt;$D$4)&gt;0,"payout high  ","")&amp;IF(ISNUMBER($AX45)*(N($AX45)&lt;$F$4)&gt;0,"FCF below dvd  ","")&amp;IF(ISNUMBER($AU45)*(N($AU45)&gt;$H$4)&gt;0,"leverage high","")))</f>
        <v/>
      </c>
      <c r="AZ45" s="86">
        <f>IF($C45="","",IF(HSI!$F$40="HKD","",HSI!$F$40))</f>
        <v/>
      </c>
    </row>
    <row r="46">
      <c r="B46" s="66" t="inlineStr">
        <is>
          <t>HSI</t>
        </is>
      </c>
      <c r="C46" s="8">
        <f>IF(HSI!$C$41="","",HSI!$C$41)</f>
        <v/>
      </c>
      <c r="D46" s="8">
        <f>IF($C46="","",HSI!$D$41)</f>
        <v/>
      </c>
      <c r="E46" s="8">
        <f>IF($C46="","",HSI!$E$41)</f>
        <v/>
      </c>
      <c r="F46" s="67">
        <f>IF($C46="","",SUMPRODUCT(('Dvd Calendar'!$E$385:$AR$385&gt;=DATE(YEAR_Y-5,1,1))*('Dvd Calendar'!$E$385:$AR$385&lt;=DATE(YEAR_Y-5,12,31))*'Dvd Calendar'!$E$388:$AR$388*(('Dvd Calendar'!$E$390:$AR$390=TYPE1)*(TYPE1&lt;&gt;"")+('Dvd Calendar'!$E$390:$AR$390=TYPE2)*(TYPE2&lt;&gt;"")+('Dvd Calendar'!$E$390:$AR$390=TYPE3)*(TYPE3&lt;&gt;"")+('Dvd Calendar'!$E$390:$AR$390=TYPE4)*(TYPE4&lt;&gt;"")+('Dvd Calendar'!$E$390:$AR$390=SPECIAL_LBL)*(INC_SPECIALS="Y"))))</f>
        <v/>
      </c>
      <c r="G46" s="68">
        <f>IF($C46="","",SUMPRODUCT(('Dvd Calendar'!$E$385:$AR$385&gt;=DATE(YEAR_Y-4,1,1))*('Dvd Calendar'!$E$385:$AR$385&lt;=DATE(YEAR_Y-4,12,31))*'Dvd Calendar'!$E$388:$AR$388*(('Dvd Calendar'!$E$390:$AR$390=TYPE1)*(TYPE1&lt;&gt;"")+('Dvd Calendar'!$E$390:$AR$390=TYPE2)*(TYPE2&lt;&gt;"")+('Dvd Calendar'!$E$390:$AR$390=TYPE3)*(TYPE3&lt;&gt;"")+('Dvd Calendar'!$E$390:$AR$390=TYPE4)*(TYPE4&lt;&gt;"")+('Dvd Calendar'!$E$390:$AR$390=SPECIAL_LBL)*(INC_SPECIALS="Y"))))</f>
        <v/>
      </c>
      <c r="H46" s="68">
        <f>IF($C46="","",SUMPRODUCT(('Dvd Calendar'!$E$385:$AR$385&gt;=DATE(YEAR_Y-3,1,1))*('Dvd Calendar'!$E$385:$AR$385&lt;=DATE(YEAR_Y-3,12,31))*'Dvd Calendar'!$E$388:$AR$388*(('Dvd Calendar'!$E$390:$AR$390=TYPE1)*(TYPE1&lt;&gt;"")+('Dvd Calendar'!$E$390:$AR$390=TYPE2)*(TYPE2&lt;&gt;"")+('Dvd Calendar'!$E$390:$AR$390=TYPE3)*(TYPE3&lt;&gt;"")+('Dvd Calendar'!$E$390:$AR$390=TYPE4)*(TYPE4&lt;&gt;"")+('Dvd Calendar'!$E$390:$AR$390=SPECIAL_LBL)*(INC_SPECIALS="Y"))))</f>
        <v/>
      </c>
      <c r="I46" s="68">
        <f>IF($C46="","",SUMPRODUCT(('Dvd Calendar'!$E$385:$AR$385&gt;=DATE(YEAR_Y-2,1,1))*('Dvd Calendar'!$E$385:$AR$385&lt;=DATE(YEAR_Y-2,12,31))*'Dvd Calendar'!$E$388:$AR$388*(('Dvd Calendar'!$E$390:$AR$390=TYPE1)*(TYPE1&lt;&gt;"")+('Dvd Calendar'!$E$390:$AR$390=TYPE2)*(TYPE2&lt;&gt;"")+('Dvd Calendar'!$E$390:$AR$390=TYPE3)*(TYPE3&lt;&gt;"")+('Dvd Calendar'!$E$390:$AR$390=TYPE4)*(TYPE4&lt;&gt;"")+('Dvd Calendar'!$E$390:$AR$390=SPECIAL_LBL)*(INC_SPECIALS="Y"))))</f>
        <v/>
      </c>
      <c r="J46" s="68">
        <f>IF($C46="","",SUMPRODUCT(('Dvd Calendar'!$E$385:$AR$385&gt;=DATE(YEAR_Y-1,1,1))*('Dvd Calendar'!$E$385:$AR$385&lt;=DATE(YEAR_Y-1,12,31))*'Dvd Calendar'!$E$388:$AR$388*(('Dvd Calendar'!$E$390:$AR$390=TYPE1)*(TYPE1&lt;&gt;"")+('Dvd Calendar'!$E$390:$AR$390=TYPE2)*(TYPE2&lt;&gt;"")+('Dvd Calendar'!$E$390:$AR$390=TYPE3)*(TYPE3&lt;&gt;"")+('Dvd Calendar'!$E$390:$AR$390=TYPE4)*(TYPE4&lt;&gt;"")+('Dvd Calendar'!$E$390:$AR$390=SPECIAL_LBL)*(INC_SPECIALS="Y"))))</f>
        <v/>
      </c>
      <c r="K46" s="69">
        <f>IF($C46="","",HSI!$J$41)</f>
        <v/>
      </c>
      <c r="L46" s="69">
        <f>IF($C46="","",HSI!$K$41)</f>
        <v/>
      </c>
      <c r="M46" s="44">
        <f>IF($C46="","",HSI!$J$41+HSI!$L$41)</f>
        <v/>
      </c>
      <c r="N46" s="70">
        <f>IF($C46="","",IF(PULL_FUND="N","",IFERROR(BDP($C46,BESTDPS_FIELD,FWD_OVERRIDE,TEXT(MOD(YEAR_Y,100),"00")&amp;"Y"),"")))</f>
        <v/>
      </c>
      <c r="O46" s="69">
        <f>IF($C46="","",AVERAGE(F46:J46))</f>
        <v/>
      </c>
      <c r="P46" s="71">
        <f>IF($C46="","",IF(PULL_FUND="N","",IF(COUNTIFS('Fund History'!$J$212:$J$216,"&gt;="&amp;DATE(YEAR_Y-5,1,1),'Fund History'!$J$212:$J$216,"&lt;="&amp;DATE(YEAR_Y-5,12,31))=0,"",IFERROR($F46*HSI!$G$41/SUMIFS('Fund History'!$K$212:$K$216,'Fund History'!$J$212:$J$216,"&gt;="&amp;DATE(YEAR_Y-5,1,1),'Fund History'!$J$212:$J$216,"&lt;="&amp;DATE(YEAR_Y-5,12,31)),""))))</f>
        <v/>
      </c>
      <c r="Q46" s="72">
        <f>IF($C46="","",IF(PULL_FUND="N","",IF(COUNTIFS('Fund History'!$J$212:$J$216,"&gt;="&amp;DATE(YEAR_Y-4,1,1),'Fund History'!$J$212:$J$216,"&lt;="&amp;DATE(YEAR_Y-4,12,31))=0,"",IFERROR($G46*HSI!$G$41/SUMIFS('Fund History'!$K$212:$K$216,'Fund History'!$J$212:$J$216,"&gt;="&amp;DATE(YEAR_Y-4,1,1),'Fund History'!$J$212:$J$216,"&lt;="&amp;DATE(YEAR_Y-4,12,31)),""))))</f>
        <v/>
      </c>
      <c r="R46" s="72">
        <f>IF($C46="","",IF(PULL_FUND="N","",IF(COUNTIFS('Fund History'!$J$212:$J$216,"&gt;="&amp;DATE(YEAR_Y-3,1,1),'Fund History'!$J$212:$J$216,"&lt;="&amp;DATE(YEAR_Y-3,12,31))=0,"",IFERROR($H46*HSI!$G$41/SUMIFS('Fund History'!$K$212:$K$216,'Fund History'!$J$212:$J$216,"&gt;="&amp;DATE(YEAR_Y-3,1,1),'Fund History'!$J$212:$J$216,"&lt;="&amp;DATE(YEAR_Y-3,12,31)),""))))</f>
        <v/>
      </c>
      <c r="S46" s="72">
        <f>IF($C46="","",IF(PULL_FUND="N","",IF(COUNTIFS('Fund History'!$J$212:$J$216,"&gt;="&amp;DATE(YEAR_Y-2,1,1),'Fund History'!$J$212:$J$216,"&lt;="&amp;DATE(YEAR_Y-2,12,31))=0,"",IFERROR($I46*HSI!$G$41/SUMIFS('Fund History'!$K$212:$K$216,'Fund History'!$J$212:$J$216,"&gt;="&amp;DATE(YEAR_Y-2,1,1),'Fund History'!$J$212:$J$216,"&lt;="&amp;DATE(YEAR_Y-2,12,31)),""))))</f>
        <v/>
      </c>
      <c r="T46" s="72">
        <f>IF($C46="","",IF(PULL_FUND="N","",IF(COUNTIFS('Fund History'!$J$212:$J$216,"&gt;="&amp;DATE(YEAR_Y-1,1,1),'Fund History'!$J$212:$J$216,"&lt;="&amp;DATE(YEAR_Y-1,12,31))=0,"",IFERROR($J46*HSI!$G$41/SUMIFS('Fund History'!$K$212:$K$216,'Fund History'!$J$212:$J$216,"&gt;="&amp;DATE(YEAR_Y-1,1,1),'Fund History'!$J$212:$J$216,"&lt;="&amp;DATE(YEAR_Y-1,12,31)),""))))</f>
        <v/>
      </c>
      <c r="U46" s="73">
        <f>IF($C46="","",IF(ISNUMBER(HSI!$I$41),HSI!$I$41/100,""))</f>
        <v/>
      </c>
      <c r="V46" s="74">
        <f>IF($C46="","",IF(ISNUMBER(HSI!$X$41),IFERROR($M46*HSI!$G$41/HSI!$X$41,""),""))</f>
        <v/>
      </c>
      <c r="W46" s="73">
        <f>IF($C46="","",IF(ISNUMBER($N46),IFERROR($N46*HSI!$G$41/HSI!$X$41,""),""))</f>
        <v/>
      </c>
      <c r="X46" s="75">
        <f>IF($C46="","",IF(PULL_FUND="N","",IFERROR(BDP($C46,EPS_FIELD,YR_OVERRIDE,TEXT(YEAR_Y-5,"0")),"")))</f>
        <v/>
      </c>
      <c r="Y46" s="76">
        <f>IF($C46="","",IF(PULL_FUND="N","",IFERROR(BDP($C46,EPS_FIELD,YR_OVERRIDE,TEXT(YEAR_Y-4,"0")),"")))</f>
        <v/>
      </c>
      <c r="Z46" s="76">
        <f>IF($C46="","",IF(PULL_FUND="N","",IFERROR(BDP($C46,EPS_FIELD,YR_OVERRIDE,TEXT(YEAR_Y-3,"0")),"")))</f>
        <v/>
      </c>
      <c r="AA46" s="76">
        <f>IF($C46="","",IF(PULL_FUND="N","",IFERROR(BDP($C46,EPS_FIELD,YR_OVERRIDE,TEXT(YEAR_Y-2,"0")),"")))</f>
        <v/>
      </c>
      <c r="AB46" s="76">
        <f>IF($C46="","",IF(PULL_FUND="N","",IFERROR(BDP($C46,EPS_FIELD,YR_OVERRIDE,TEXT(YEAR_Y-1,"0")),"")))</f>
        <v/>
      </c>
      <c r="AC46" s="50">
        <f>IF($C46="","",IFERROR(AVERAGE(X46:AB46),""))</f>
        <v/>
      </c>
      <c r="AD46" s="76">
        <f>IF($C46="","",IF(PULL_FUND="N","",IFERROR(BDP($C46,BESTEPS_FIELD,FWD_OVERRIDE,TEXT(MOD(YEAR_Y,100),"00")&amp;"Y"),"")))</f>
        <v/>
      </c>
      <c r="AE46" s="77">
        <f>IF($C46="","",IF(PULL_FUND="N","",IFERROR(BDP($C46,PAYOUT_FIELD,YR_OVERRIDE,TEXT(YEAR_Y-5,"0"))/100,"")))</f>
        <v/>
      </c>
      <c r="AF46" s="78">
        <f>IF($C46="","",IF(PULL_FUND="N","",IFERROR(BDP($C46,PAYOUT_FIELD,YR_OVERRIDE,TEXT(YEAR_Y-4,"0"))/100,"")))</f>
        <v/>
      </c>
      <c r="AG46" s="78">
        <f>IF($C46="","",IF(PULL_FUND="N","",IFERROR(BDP($C46,PAYOUT_FIELD,YR_OVERRIDE,TEXT(YEAR_Y-3,"0"))/100,"")))</f>
        <v/>
      </c>
      <c r="AH46" s="78">
        <f>IF($C46="","",IF(PULL_FUND="N","",IFERROR(BDP($C46,PAYOUT_FIELD,YR_OVERRIDE,TEXT(YEAR_Y-2,"0"))/100,"")))</f>
        <v/>
      </c>
      <c r="AI46" s="78">
        <f>IF($C46="","",IF(PULL_FUND="N","",IFERROR(BDP($C46,PAYOUT_FIELD,YR_OVERRIDE,TEXT(YEAR_Y-1,"0"))/100,"")))</f>
        <v/>
      </c>
      <c r="AJ46" s="79">
        <f>IF($C46="","",IFERROR(AVERAGE(AE46:AI46),""))</f>
        <v/>
      </c>
      <c r="AK46" s="80">
        <f>IF($C46="","",IF(ISNUMBER($AD46)*ISNUMBER($N46)*($AD46&lt;&gt;0)=0,"",$N46/$AD46))</f>
        <v/>
      </c>
      <c r="AL46" s="79">
        <f>IF($C46="","",IF(ISNUMBER($AD46)*($AD46&lt;&gt;0)=0,"",$M46/$AD46))</f>
        <v/>
      </c>
      <c r="AM46" s="37">
        <f>IF($C46="","",IF(ISNUMBER($AE46)*ISNUMBER($AI46)=0,"",IF($AI46&gt;$AE46+0.05,"rising",IF($AI46&lt;$AE46-0.05,"falling","stable"))))</f>
        <v/>
      </c>
      <c r="AN46" s="81">
        <f>IF($C46="","",IF(PULL_FUND="N","",IF(COUNTIFS('Fund History'!$G$212:$G$216,"&gt;="&amp;DATE(YEAR_Y-4,1,1),'Fund History'!$G$212:$G$216,"&lt;="&amp;DATE(YEAR_Y-4,12,31))=0,"",SUMIFS('Fund History'!$H$212:$H$216,'Fund History'!$G$212:$G$216,"&gt;="&amp;DATE(YEAR_Y-4,1,1),'Fund History'!$G$212:$G$216,"&lt;="&amp;DATE(YEAR_Y-4,12,31))/100)))</f>
        <v/>
      </c>
      <c r="AO46" s="82">
        <f>IF($C46="","",IF(PULL_FUND="N","",IF(COUNTIFS('Fund History'!$G$212:$G$216,"&gt;="&amp;DATE(YEAR_Y-3,1,1),'Fund History'!$G$212:$G$216,"&lt;="&amp;DATE(YEAR_Y-3,12,31))=0,"",SUMIFS('Fund History'!$H$212:$H$216,'Fund History'!$G$212:$G$216,"&gt;="&amp;DATE(YEAR_Y-3,1,1),'Fund History'!$G$212:$G$216,"&lt;="&amp;DATE(YEAR_Y-3,12,31))/100)))</f>
        <v/>
      </c>
      <c r="AP46" s="82">
        <f>IF($C46="","",IF(PULL_FUND="N","",IF(COUNTIFS('Fund History'!$G$212:$G$216,"&gt;="&amp;DATE(YEAR_Y-2,1,1),'Fund History'!$G$212:$G$216,"&lt;="&amp;DATE(YEAR_Y-2,12,31))=0,"",SUMIFS('Fund History'!$H$212:$H$216,'Fund History'!$G$212:$G$216,"&gt;="&amp;DATE(YEAR_Y-2,1,1),'Fund History'!$G$212:$G$216,"&lt;="&amp;DATE(YEAR_Y-2,12,31))/100)))</f>
        <v/>
      </c>
      <c r="AQ46" s="82">
        <f>IF($C46="","",IF(PULL_FUND="N","",IF(COUNTIFS('Fund History'!$G$212:$G$216,"&gt;="&amp;DATE(YEAR_Y-1,1,1),'Fund History'!$G$212:$G$216,"&lt;="&amp;DATE(YEAR_Y-1,12,31))=0,"",SUMIFS('Fund History'!$H$212:$H$216,'Fund History'!$G$212:$G$216,"&gt;="&amp;DATE(YEAR_Y-1,1,1),'Fund History'!$G$212:$G$216,"&lt;="&amp;DATE(YEAR_Y-1,12,31))/100)))</f>
        <v/>
      </c>
      <c r="AR46" s="83">
        <f>IF($C46="","",IF(N($AQ46)+N(HSI!$I$41)=0,"",N($AQ46)+N(HSI!$I$41)/100))</f>
        <v/>
      </c>
      <c r="AS46" s="75">
        <f>IF($C46="","",IF(PULL_FUND="N","",IF(COUNTIFS('Fund History'!$D$212:$D$216,"&gt;="&amp;DATE(YEAR_Y-2,1,1),'Fund History'!$D$212:$D$216,"&lt;="&amp;DATE(YEAR_Y-2,12,31))=0,"",SUMIFS('Fund History'!$E$212:$E$216,'Fund History'!$D$212:$D$216,"&gt;="&amp;DATE(YEAR_Y-2,1,1),'Fund History'!$D$212:$D$216,"&lt;="&amp;DATE(YEAR_Y-2,12,31)))))</f>
        <v/>
      </c>
      <c r="AT46" s="76">
        <f>IF($C46="","",IF(PULL_FUND="N","",IF(COUNTIFS('Fund History'!$D$212:$D$216,"&gt;="&amp;DATE(YEAR_Y-1,1,1),'Fund History'!$D$212:$D$216,"&lt;="&amp;DATE(YEAR_Y-1,12,31))=0,"",SUMIFS('Fund History'!$E$212:$E$216,'Fund History'!$D$212:$D$216,"&gt;="&amp;DATE(YEAR_Y-1,1,1),'Fund History'!$D$212:$D$216,"&lt;="&amp;DATE(YEAR_Y-1,12,31)))))</f>
        <v/>
      </c>
      <c r="AU46" s="76">
        <f>IF($C46="","",IF(PULL_FUND="N","",IFERROR(BDP($C46,NDEBITDA_FIELD),"")))</f>
        <v/>
      </c>
      <c r="AV46" s="84">
        <f>IF($C46="","",IF(PULL_FUND="N","",IFERROR(BDP($C46,EBINT_FIELD),"")))</f>
        <v/>
      </c>
      <c r="AW46" s="82">
        <f>IF($C46="","",IF(PULL_FUND="N","",IFERROR(BDP($C46,FCF_FIELD)/100,"")))</f>
        <v/>
      </c>
      <c r="AX46" s="50">
        <f>IF($C46="","",IF(N($U46)=0,"",IFERROR($AW46/$U46,"")))</f>
        <v/>
      </c>
      <c r="AY46" s="85">
        <f>IF($C46="","",TRIM(IF(ISNUMBER($AJ46)*(N($AJ46)&gt;$D$4)&gt;0,"payout high  ","")&amp;IF(ISNUMBER($AX46)*(N($AX46)&lt;$F$4)&gt;0,"FCF below dvd  ","")&amp;IF(ISNUMBER($AU46)*(N($AU46)&gt;$H$4)&gt;0,"leverage high","")))</f>
        <v/>
      </c>
      <c r="AZ46" s="86">
        <f>IF($C46="","",IF(HSI!$F$41="HKD","",HSI!$F$41))</f>
        <v/>
      </c>
    </row>
    <row r="47">
      <c r="B47" s="66" t="inlineStr">
        <is>
          <t>HSI</t>
        </is>
      </c>
      <c r="C47" s="8">
        <f>IF(HSI!$C$42="","",HSI!$C$42)</f>
        <v/>
      </c>
      <c r="D47" s="8">
        <f>IF($C47="","",HSI!$D$42)</f>
        <v/>
      </c>
      <c r="E47" s="8">
        <f>IF($C47="","",HSI!$E$42)</f>
        <v/>
      </c>
      <c r="F47" s="67">
        <f>IF($C47="","",SUMPRODUCT(('Dvd Calendar'!$E$396:$AR$396&gt;=DATE(YEAR_Y-5,1,1))*('Dvd Calendar'!$E$396:$AR$396&lt;=DATE(YEAR_Y-5,12,31))*'Dvd Calendar'!$E$399:$AR$399*(('Dvd Calendar'!$E$401:$AR$401=TYPE1)*(TYPE1&lt;&gt;"")+('Dvd Calendar'!$E$401:$AR$401=TYPE2)*(TYPE2&lt;&gt;"")+('Dvd Calendar'!$E$401:$AR$401=TYPE3)*(TYPE3&lt;&gt;"")+('Dvd Calendar'!$E$401:$AR$401=TYPE4)*(TYPE4&lt;&gt;"")+('Dvd Calendar'!$E$401:$AR$401=SPECIAL_LBL)*(INC_SPECIALS="Y"))))</f>
        <v/>
      </c>
      <c r="G47" s="68">
        <f>IF($C47="","",SUMPRODUCT(('Dvd Calendar'!$E$396:$AR$396&gt;=DATE(YEAR_Y-4,1,1))*('Dvd Calendar'!$E$396:$AR$396&lt;=DATE(YEAR_Y-4,12,31))*'Dvd Calendar'!$E$399:$AR$399*(('Dvd Calendar'!$E$401:$AR$401=TYPE1)*(TYPE1&lt;&gt;"")+('Dvd Calendar'!$E$401:$AR$401=TYPE2)*(TYPE2&lt;&gt;"")+('Dvd Calendar'!$E$401:$AR$401=TYPE3)*(TYPE3&lt;&gt;"")+('Dvd Calendar'!$E$401:$AR$401=TYPE4)*(TYPE4&lt;&gt;"")+('Dvd Calendar'!$E$401:$AR$401=SPECIAL_LBL)*(INC_SPECIALS="Y"))))</f>
        <v/>
      </c>
      <c r="H47" s="68">
        <f>IF($C47="","",SUMPRODUCT(('Dvd Calendar'!$E$396:$AR$396&gt;=DATE(YEAR_Y-3,1,1))*('Dvd Calendar'!$E$396:$AR$396&lt;=DATE(YEAR_Y-3,12,31))*'Dvd Calendar'!$E$399:$AR$399*(('Dvd Calendar'!$E$401:$AR$401=TYPE1)*(TYPE1&lt;&gt;"")+('Dvd Calendar'!$E$401:$AR$401=TYPE2)*(TYPE2&lt;&gt;"")+('Dvd Calendar'!$E$401:$AR$401=TYPE3)*(TYPE3&lt;&gt;"")+('Dvd Calendar'!$E$401:$AR$401=TYPE4)*(TYPE4&lt;&gt;"")+('Dvd Calendar'!$E$401:$AR$401=SPECIAL_LBL)*(INC_SPECIALS="Y"))))</f>
        <v/>
      </c>
      <c r="I47" s="68">
        <f>IF($C47="","",SUMPRODUCT(('Dvd Calendar'!$E$396:$AR$396&gt;=DATE(YEAR_Y-2,1,1))*('Dvd Calendar'!$E$396:$AR$396&lt;=DATE(YEAR_Y-2,12,31))*'Dvd Calendar'!$E$399:$AR$399*(('Dvd Calendar'!$E$401:$AR$401=TYPE1)*(TYPE1&lt;&gt;"")+('Dvd Calendar'!$E$401:$AR$401=TYPE2)*(TYPE2&lt;&gt;"")+('Dvd Calendar'!$E$401:$AR$401=TYPE3)*(TYPE3&lt;&gt;"")+('Dvd Calendar'!$E$401:$AR$401=TYPE4)*(TYPE4&lt;&gt;"")+('Dvd Calendar'!$E$401:$AR$401=SPECIAL_LBL)*(INC_SPECIALS="Y"))))</f>
        <v/>
      </c>
      <c r="J47" s="68">
        <f>IF($C47="","",SUMPRODUCT(('Dvd Calendar'!$E$396:$AR$396&gt;=DATE(YEAR_Y-1,1,1))*('Dvd Calendar'!$E$396:$AR$396&lt;=DATE(YEAR_Y-1,12,31))*'Dvd Calendar'!$E$399:$AR$399*(('Dvd Calendar'!$E$401:$AR$401=TYPE1)*(TYPE1&lt;&gt;"")+('Dvd Calendar'!$E$401:$AR$401=TYPE2)*(TYPE2&lt;&gt;"")+('Dvd Calendar'!$E$401:$AR$401=TYPE3)*(TYPE3&lt;&gt;"")+('Dvd Calendar'!$E$401:$AR$401=TYPE4)*(TYPE4&lt;&gt;"")+('Dvd Calendar'!$E$401:$AR$401=SPECIAL_LBL)*(INC_SPECIALS="Y"))))</f>
        <v/>
      </c>
      <c r="K47" s="69">
        <f>IF($C47="","",HSI!$J$42)</f>
        <v/>
      </c>
      <c r="L47" s="69">
        <f>IF($C47="","",HSI!$K$42)</f>
        <v/>
      </c>
      <c r="M47" s="44">
        <f>IF($C47="","",HSI!$J$42+HSI!$L$42)</f>
        <v/>
      </c>
      <c r="N47" s="70">
        <f>IF($C47="","",IF(PULL_FUND="N","",IFERROR(BDP($C47,BESTDPS_FIELD,FWD_OVERRIDE,TEXT(MOD(YEAR_Y,100),"00")&amp;"Y"),"")))</f>
        <v/>
      </c>
      <c r="O47" s="69">
        <f>IF($C47="","",AVERAGE(F47:J47))</f>
        <v/>
      </c>
      <c r="P47" s="71">
        <f>IF($C47="","",IF(PULL_FUND="N","",IF(COUNTIFS('Fund History'!$J$218:$J$222,"&gt;="&amp;DATE(YEAR_Y-5,1,1),'Fund History'!$J$218:$J$222,"&lt;="&amp;DATE(YEAR_Y-5,12,31))=0,"",IFERROR($F47*HSI!$G$42/SUMIFS('Fund History'!$K$218:$K$222,'Fund History'!$J$218:$J$222,"&gt;="&amp;DATE(YEAR_Y-5,1,1),'Fund History'!$J$218:$J$222,"&lt;="&amp;DATE(YEAR_Y-5,12,31)),""))))</f>
        <v/>
      </c>
      <c r="Q47" s="72">
        <f>IF($C47="","",IF(PULL_FUND="N","",IF(COUNTIFS('Fund History'!$J$218:$J$222,"&gt;="&amp;DATE(YEAR_Y-4,1,1),'Fund History'!$J$218:$J$222,"&lt;="&amp;DATE(YEAR_Y-4,12,31))=0,"",IFERROR($G47*HSI!$G$42/SUMIFS('Fund History'!$K$218:$K$222,'Fund History'!$J$218:$J$222,"&gt;="&amp;DATE(YEAR_Y-4,1,1),'Fund History'!$J$218:$J$222,"&lt;="&amp;DATE(YEAR_Y-4,12,31)),""))))</f>
        <v/>
      </c>
      <c r="R47" s="72">
        <f>IF($C47="","",IF(PULL_FUND="N","",IF(COUNTIFS('Fund History'!$J$218:$J$222,"&gt;="&amp;DATE(YEAR_Y-3,1,1),'Fund History'!$J$218:$J$222,"&lt;="&amp;DATE(YEAR_Y-3,12,31))=0,"",IFERROR($H47*HSI!$G$42/SUMIFS('Fund History'!$K$218:$K$222,'Fund History'!$J$218:$J$222,"&gt;="&amp;DATE(YEAR_Y-3,1,1),'Fund History'!$J$218:$J$222,"&lt;="&amp;DATE(YEAR_Y-3,12,31)),""))))</f>
        <v/>
      </c>
      <c r="S47" s="72">
        <f>IF($C47="","",IF(PULL_FUND="N","",IF(COUNTIFS('Fund History'!$J$218:$J$222,"&gt;="&amp;DATE(YEAR_Y-2,1,1),'Fund History'!$J$218:$J$222,"&lt;="&amp;DATE(YEAR_Y-2,12,31))=0,"",IFERROR($I47*HSI!$G$42/SUMIFS('Fund History'!$K$218:$K$222,'Fund History'!$J$218:$J$222,"&gt;="&amp;DATE(YEAR_Y-2,1,1),'Fund History'!$J$218:$J$222,"&lt;="&amp;DATE(YEAR_Y-2,12,31)),""))))</f>
        <v/>
      </c>
      <c r="T47" s="72">
        <f>IF($C47="","",IF(PULL_FUND="N","",IF(COUNTIFS('Fund History'!$J$218:$J$222,"&gt;="&amp;DATE(YEAR_Y-1,1,1),'Fund History'!$J$218:$J$222,"&lt;="&amp;DATE(YEAR_Y-1,12,31))=0,"",IFERROR($J47*HSI!$G$42/SUMIFS('Fund History'!$K$218:$K$222,'Fund History'!$J$218:$J$222,"&gt;="&amp;DATE(YEAR_Y-1,1,1),'Fund History'!$J$218:$J$222,"&lt;="&amp;DATE(YEAR_Y-1,12,31)),""))))</f>
        <v/>
      </c>
      <c r="U47" s="73">
        <f>IF($C47="","",IF(ISNUMBER(HSI!$I$42),HSI!$I$42/100,""))</f>
        <v/>
      </c>
      <c r="V47" s="74">
        <f>IF($C47="","",IF(ISNUMBER(HSI!$X$42),IFERROR($M47*HSI!$G$42/HSI!$X$42,""),""))</f>
        <v/>
      </c>
      <c r="W47" s="73">
        <f>IF($C47="","",IF(ISNUMBER($N47),IFERROR($N47*HSI!$G$42/HSI!$X$42,""),""))</f>
        <v/>
      </c>
      <c r="X47" s="75">
        <f>IF($C47="","",IF(PULL_FUND="N","",IFERROR(BDP($C47,EPS_FIELD,YR_OVERRIDE,TEXT(YEAR_Y-5,"0")),"")))</f>
        <v/>
      </c>
      <c r="Y47" s="76">
        <f>IF($C47="","",IF(PULL_FUND="N","",IFERROR(BDP($C47,EPS_FIELD,YR_OVERRIDE,TEXT(YEAR_Y-4,"0")),"")))</f>
        <v/>
      </c>
      <c r="Z47" s="76">
        <f>IF($C47="","",IF(PULL_FUND="N","",IFERROR(BDP($C47,EPS_FIELD,YR_OVERRIDE,TEXT(YEAR_Y-3,"0")),"")))</f>
        <v/>
      </c>
      <c r="AA47" s="76">
        <f>IF($C47="","",IF(PULL_FUND="N","",IFERROR(BDP($C47,EPS_FIELD,YR_OVERRIDE,TEXT(YEAR_Y-2,"0")),"")))</f>
        <v/>
      </c>
      <c r="AB47" s="76">
        <f>IF($C47="","",IF(PULL_FUND="N","",IFERROR(BDP($C47,EPS_FIELD,YR_OVERRIDE,TEXT(YEAR_Y-1,"0")),"")))</f>
        <v/>
      </c>
      <c r="AC47" s="50">
        <f>IF($C47="","",IFERROR(AVERAGE(X47:AB47),""))</f>
        <v/>
      </c>
      <c r="AD47" s="76">
        <f>IF($C47="","",IF(PULL_FUND="N","",IFERROR(BDP($C47,BESTEPS_FIELD,FWD_OVERRIDE,TEXT(MOD(YEAR_Y,100),"00")&amp;"Y"),"")))</f>
        <v/>
      </c>
      <c r="AE47" s="77">
        <f>IF($C47="","",IF(PULL_FUND="N","",IFERROR(BDP($C47,PAYOUT_FIELD,YR_OVERRIDE,TEXT(YEAR_Y-5,"0"))/100,"")))</f>
        <v/>
      </c>
      <c r="AF47" s="78">
        <f>IF($C47="","",IF(PULL_FUND="N","",IFERROR(BDP($C47,PAYOUT_FIELD,YR_OVERRIDE,TEXT(YEAR_Y-4,"0"))/100,"")))</f>
        <v/>
      </c>
      <c r="AG47" s="78">
        <f>IF($C47="","",IF(PULL_FUND="N","",IFERROR(BDP($C47,PAYOUT_FIELD,YR_OVERRIDE,TEXT(YEAR_Y-3,"0"))/100,"")))</f>
        <v/>
      </c>
      <c r="AH47" s="78">
        <f>IF($C47="","",IF(PULL_FUND="N","",IFERROR(BDP($C47,PAYOUT_FIELD,YR_OVERRIDE,TEXT(YEAR_Y-2,"0"))/100,"")))</f>
        <v/>
      </c>
      <c r="AI47" s="78">
        <f>IF($C47="","",IF(PULL_FUND="N","",IFERROR(BDP($C47,PAYOUT_FIELD,YR_OVERRIDE,TEXT(YEAR_Y-1,"0"))/100,"")))</f>
        <v/>
      </c>
      <c r="AJ47" s="79">
        <f>IF($C47="","",IFERROR(AVERAGE(AE47:AI47),""))</f>
        <v/>
      </c>
      <c r="AK47" s="80">
        <f>IF($C47="","",IF(ISNUMBER($AD47)*ISNUMBER($N47)*($AD47&lt;&gt;0)=0,"",$N47/$AD47))</f>
        <v/>
      </c>
      <c r="AL47" s="79">
        <f>IF($C47="","",IF(ISNUMBER($AD47)*($AD47&lt;&gt;0)=0,"",$M47/$AD47))</f>
        <v/>
      </c>
      <c r="AM47" s="37">
        <f>IF($C47="","",IF(ISNUMBER($AE47)*ISNUMBER($AI47)=0,"",IF($AI47&gt;$AE47+0.05,"rising",IF($AI47&lt;$AE47-0.05,"falling","stable"))))</f>
        <v/>
      </c>
      <c r="AN47" s="81">
        <f>IF($C47="","",IF(PULL_FUND="N","",IF(COUNTIFS('Fund History'!$G$218:$G$222,"&gt;="&amp;DATE(YEAR_Y-4,1,1),'Fund History'!$G$218:$G$222,"&lt;="&amp;DATE(YEAR_Y-4,12,31))=0,"",SUMIFS('Fund History'!$H$218:$H$222,'Fund History'!$G$218:$G$222,"&gt;="&amp;DATE(YEAR_Y-4,1,1),'Fund History'!$G$218:$G$222,"&lt;="&amp;DATE(YEAR_Y-4,12,31))/100)))</f>
        <v/>
      </c>
      <c r="AO47" s="82">
        <f>IF($C47="","",IF(PULL_FUND="N","",IF(COUNTIFS('Fund History'!$G$218:$G$222,"&gt;="&amp;DATE(YEAR_Y-3,1,1),'Fund History'!$G$218:$G$222,"&lt;="&amp;DATE(YEAR_Y-3,12,31))=0,"",SUMIFS('Fund History'!$H$218:$H$222,'Fund History'!$G$218:$G$222,"&gt;="&amp;DATE(YEAR_Y-3,1,1),'Fund History'!$G$218:$G$222,"&lt;="&amp;DATE(YEAR_Y-3,12,31))/100)))</f>
        <v/>
      </c>
      <c r="AP47" s="82">
        <f>IF($C47="","",IF(PULL_FUND="N","",IF(COUNTIFS('Fund History'!$G$218:$G$222,"&gt;="&amp;DATE(YEAR_Y-2,1,1),'Fund History'!$G$218:$G$222,"&lt;="&amp;DATE(YEAR_Y-2,12,31))=0,"",SUMIFS('Fund History'!$H$218:$H$222,'Fund History'!$G$218:$G$222,"&gt;="&amp;DATE(YEAR_Y-2,1,1),'Fund History'!$G$218:$G$222,"&lt;="&amp;DATE(YEAR_Y-2,12,31))/100)))</f>
        <v/>
      </c>
      <c r="AQ47" s="82">
        <f>IF($C47="","",IF(PULL_FUND="N","",IF(COUNTIFS('Fund History'!$G$218:$G$222,"&gt;="&amp;DATE(YEAR_Y-1,1,1),'Fund History'!$G$218:$G$222,"&lt;="&amp;DATE(YEAR_Y-1,12,31))=0,"",SUMIFS('Fund History'!$H$218:$H$222,'Fund History'!$G$218:$G$222,"&gt;="&amp;DATE(YEAR_Y-1,1,1),'Fund History'!$G$218:$G$222,"&lt;="&amp;DATE(YEAR_Y-1,12,31))/100)))</f>
        <v/>
      </c>
      <c r="AR47" s="83">
        <f>IF($C47="","",IF(N($AQ47)+N(HSI!$I$42)=0,"",N($AQ47)+N(HSI!$I$42)/100))</f>
        <v/>
      </c>
      <c r="AS47" s="75">
        <f>IF($C47="","",IF(PULL_FUND="N","",IF(COUNTIFS('Fund History'!$D$218:$D$222,"&gt;="&amp;DATE(YEAR_Y-2,1,1),'Fund History'!$D$218:$D$222,"&lt;="&amp;DATE(YEAR_Y-2,12,31))=0,"",SUMIFS('Fund History'!$E$218:$E$222,'Fund History'!$D$218:$D$222,"&gt;="&amp;DATE(YEAR_Y-2,1,1),'Fund History'!$D$218:$D$222,"&lt;="&amp;DATE(YEAR_Y-2,12,31)))))</f>
        <v/>
      </c>
      <c r="AT47" s="76">
        <f>IF($C47="","",IF(PULL_FUND="N","",IF(COUNTIFS('Fund History'!$D$218:$D$222,"&gt;="&amp;DATE(YEAR_Y-1,1,1),'Fund History'!$D$218:$D$222,"&lt;="&amp;DATE(YEAR_Y-1,12,31))=0,"",SUMIFS('Fund History'!$E$218:$E$222,'Fund History'!$D$218:$D$222,"&gt;="&amp;DATE(YEAR_Y-1,1,1),'Fund History'!$D$218:$D$222,"&lt;="&amp;DATE(YEAR_Y-1,12,31)))))</f>
        <v/>
      </c>
      <c r="AU47" s="76">
        <f>IF($C47="","",IF(PULL_FUND="N","",IFERROR(BDP($C47,NDEBITDA_FIELD),"")))</f>
        <v/>
      </c>
      <c r="AV47" s="84">
        <f>IF($C47="","",IF(PULL_FUND="N","",IFERROR(BDP($C47,EBINT_FIELD),"")))</f>
        <v/>
      </c>
      <c r="AW47" s="82">
        <f>IF($C47="","",IF(PULL_FUND="N","",IFERROR(BDP($C47,FCF_FIELD)/100,"")))</f>
        <v/>
      </c>
      <c r="AX47" s="50">
        <f>IF($C47="","",IF(N($U47)=0,"",IFERROR($AW47/$U47,"")))</f>
        <v/>
      </c>
      <c r="AY47" s="85">
        <f>IF($C47="","",TRIM(IF(ISNUMBER($AJ47)*(N($AJ47)&gt;$D$4)&gt;0,"payout high  ","")&amp;IF(ISNUMBER($AX47)*(N($AX47)&lt;$F$4)&gt;0,"FCF below dvd  ","")&amp;IF(ISNUMBER($AU47)*(N($AU47)&gt;$H$4)&gt;0,"leverage high","")))</f>
        <v/>
      </c>
      <c r="AZ47" s="86">
        <f>IF($C47="","",IF(HSI!$F$42="HKD","",HSI!$F$42))</f>
        <v/>
      </c>
    </row>
    <row r="48">
      <c r="B48" s="66" t="inlineStr">
        <is>
          <t>HSI</t>
        </is>
      </c>
      <c r="C48" s="8">
        <f>IF(HSI!$C$43="","",HSI!$C$43)</f>
        <v/>
      </c>
      <c r="D48" s="8">
        <f>IF($C48="","",HSI!$D$43)</f>
        <v/>
      </c>
      <c r="E48" s="8">
        <f>IF($C48="","",HSI!$E$43)</f>
        <v/>
      </c>
      <c r="F48" s="67">
        <f>IF($C48="","",SUMPRODUCT(('Dvd Calendar'!$E$407:$AR$407&gt;=DATE(YEAR_Y-5,1,1))*('Dvd Calendar'!$E$407:$AR$407&lt;=DATE(YEAR_Y-5,12,31))*'Dvd Calendar'!$E$410:$AR$410*(('Dvd Calendar'!$E$412:$AR$412=TYPE1)*(TYPE1&lt;&gt;"")+('Dvd Calendar'!$E$412:$AR$412=TYPE2)*(TYPE2&lt;&gt;"")+('Dvd Calendar'!$E$412:$AR$412=TYPE3)*(TYPE3&lt;&gt;"")+('Dvd Calendar'!$E$412:$AR$412=TYPE4)*(TYPE4&lt;&gt;"")+('Dvd Calendar'!$E$412:$AR$412=SPECIAL_LBL)*(INC_SPECIALS="Y"))))</f>
        <v/>
      </c>
      <c r="G48" s="68">
        <f>IF($C48="","",SUMPRODUCT(('Dvd Calendar'!$E$407:$AR$407&gt;=DATE(YEAR_Y-4,1,1))*('Dvd Calendar'!$E$407:$AR$407&lt;=DATE(YEAR_Y-4,12,31))*'Dvd Calendar'!$E$410:$AR$410*(('Dvd Calendar'!$E$412:$AR$412=TYPE1)*(TYPE1&lt;&gt;"")+('Dvd Calendar'!$E$412:$AR$412=TYPE2)*(TYPE2&lt;&gt;"")+('Dvd Calendar'!$E$412:$AR$412=TYPE3)*(TYPE3&lt;&gt;"")+('Dvd Calendar'!$E$412:$AR$412=TYPE4)*(TYPE4&lt;&gt;"")+('Dvd Calendar'!$E$412:$AR$412=SPECIAL_LBL)*(INC_SPECIALS="Y"))))</f>
        <v/>
      </c>
      <c r="H48" s="68">
        <f>IF($C48="","",SUMPRODUCT(('Dvd Calendar'!$E$407:$AR$407&gt;=DATE(YEAR_Y-3,1,1))*('Dvd Calendar'!$E$407:$AR$407&lt;=DATE(YEAR_Y-3,12,31))*'Dvd Calendar'!$E$410:$AR$410*(('Dvd Calendar'!$E$412:$AR$412=TYPE1)*(TYPE1&lt;&gt;"")+('Dvd Calendar'!$E$412:$AR$412=TYPE2)*(TYPE2&lt;&gt;"")+('Dvd Calendar'!$E$412:$AR$412=TYPE3)*(TYPE3&lt;&gt;"")+('Dvd Calendar'!$E$412:$AR$412=TYPE4)*(TYPE4&lt;&gt;"")+('Dvd Calendar'!$E$412:$AR$412=SPECIAL_LBL)*(INC_SPECIALS="Y"))))</f>
        <v/>
      </c>
      <c r="I48" s="68">
        <f>IF($C48="","",SUMPRODUCT(('Dvd Calendar'!$E$407:$AR$407&gt;=DATE(YEAR_Y-2,1,1))*('Dvd Calendar'!$E$407:$AR$407&lt;=DATE(YEAR_Y-2,12,31))*'Dvd Calendar'!$E$410:$AR$410*(('Dvd Calendar'!$E$412:$AR$412=TYPE1)*(TYPE1&lt;&gt;"")+('Dvd Calendar'!$E$412:$AR$412=TYPE2)*(TYPE2&lt;&gt;"")+('Dvd Calendar'!$E$412:$AR$412=TYPE3)*(TYPE3&lt;&gt;"")+('Dvd Calendar'!$E$412:$AR$412=TYPE4)*(TYPE4&lt;&gt;"")+('Dvd Calendar'!$E$412:$AR$412=SPECIAL_LBL)*(INC_SPECIALS="Y"))))</f>
        <v/>
      </c>
      <c r="J48" s="68">
        <f>IF($C48="","",SUMPRODUCT(('Dvd Calendar'!$E$407:$AR$407&gt;=DATE(YEAR_Y-1,1,1))*('Dvd Calendar'!$E$407:$AR$407&lt;=DATE(YEAR_Y-1,12,31))*'Dvd Calendar'!$E$410:$AR$410*(('Dvd Calendar'!$E$412:$AR$412=TYPE1)*(TYPE1&lt;&gt;"")+('Dvd Calendar'!$E$412:$AR$412=TYPE2)*(TYPE2&lt;&gt;"")+('Dvd Calendar'!$E$412:$AR$412=TYPE3)*(TYPE3&lt;&gt;"")+('Dvd Calendar'!$E$412:$AR$412=TYPE4)*(TYPE4&lt;&gt;"")+('Dvd Calendar'!$E$412:$AR$412=SPECIAL_LBL)*(INC_SPECIALS="Y"))))</f>
        <v/>
      </c>
      <c r="K48" s="69">
        <f>IF($C48="","",HSI!$J$43)</f>
        <v/>
      </c>
      <c r="L48" s="69">
        <f>IF($C48="","",HSI!$K$43)</f>
        <v/>
      </c>
      <c r="M48" s="44">
        <f>IF($C48="","",HSI!$J$43+HSI!$L$43)</f>
        <v/>
      </c>
      <c r="N48" s="70">
        <f>IF($C48="","",IF(PULL_FUND="N","",IFERROR(BDP($C48,BESTDPS_FIELD,FWD_OVERRIDE,TEXT(MOD(YEAR_Y,100),"00")&amp;"Y"),"")))</f>
        <v/>
      </c>
      <c r="O48" s="69">
        <f>IF($C48="","",AVERAGE(F48:J48))</f>
        <v/>
      </c>
      <c r="P48" s="71">
        <f>IF($C48="","",IF(PULL_FUND="N","",IF(COUNTIFS('Fund History'!$J$224:$J$228,"&gt;="&amp;DATE(YEAR_Y-5,1,1),'Fund History'!$J$224:$J$228,"&lt;="&amp;DATE(YEAR_Y-5,12,31))=0,"",IFERROR($F48*HSI!$G$43/SUMIFS('Fund History'!$K$224:$K$228,'Fund History'!$J$224:$J$228,"&gt;="&amp;DATE(YEAR_Y-5,1,1),'Fund History'!$J$224:$J$228,"&lt;="&amp;DATE(YEAR_Y-5,12,31)),""))))</f>
        <v/>
      </c>
      <c r="Q48" s="72">
        <f>IF($C48="","",IF(PULL_FUND="N","",IF(COUNTIFS('Fund History'!$J$224:$J$228,"&gt;="&amp;DATE(YEAR_Y-4,1,1),'Fund History'!$J$224:$J$228,"&lt;="&amp;DATE(YEAR_Y-4,12,31))=0,"",IFERROR($G48*HSI!$G$43/SUMIFS('Fund History'!$K$224:$K$228,'Fund History'!$J$224:$J$228,"&gt;="&amp;DATE(YEAR_Y-4,1,1),'Fund History'!$J$224:$J$228,"&lt;="&amp;DATE(YEAR_Y-4,12,31)),""))))</f>
        <v/>
      </c>
      <c r="R48" s="72">
        <f>IF($C48="","",IF(PULL_FUND="N","",IF(COUNTIFS('Fund History'!$J$224:$J$228,"&gt;="&amp;DATE(YEAR_Y-3,1,1),'Fund History'!$J$224:$J$228,"&lt;="&amp;DATE(YEAR_Y-3,12,31))=0,"",IFERROR($H48*HSI!$G$43/SUMIFS('Fund History'!$K$224:$K$228,'Fund History'!$J$224:$J$228,"&gt;="&amp;DATE(YEAR_Y-3,1,1),'Fund History'!$J$224:$J$228,"&lt;="&amp;DATE(YEAR_Y-3,12,31)),""))))</f>
        <v/>
      </c>
      <c r="S48" s="72">
        <f>IF($C48="","",IF(PULL_FUND="N","",IF(COUNTIFS('Fund History'!$J$224:$J$228,"&gt;="&amp;DATE(YEAR_Y-2,1,1),'Fund History'!$J$224:$J$228,"&lt;="&amp;DATE(YEAR_Y-2,12,31))=0,"",IFERROR($I48*HSI!$G$43/SUMIFS('Fund History'!$K$224:$K$228,'Fund History'!$J$224:$J$228,"&gt;="&amp;DATE(YEAR_Y-2,1,1),'Fund History'!$J$224:$J$228,"&lt;="&amp;DATE(YEAR_Y-2,12,31)),""))))</f>
        <v/>
      </c>
      <c r="T48" s="72">
        <f>IF($C48="","",IF(PULL_FUND="N","",IF(COUNTIFS('Fund History'!$J$224:$J$228,"&gt;="&amp;DATE(YEAR_Y-1,1,1),'Fund History'!$J$224:$J$228,"&lt;="&amp;DATE(YEAR_Y-1,12,31))=0,"",IFERROR($J48*HSI!$G$43/SUMIFS('Fund History'!$K$224:$K$228,'Fund History'!$J$224:$J$228,"&gt;="&amp;DATE(YEAR_Y-1,1,1),'Fund History'!$J$224:$J$228,"&lt;="&amp;DATE(YEAR_Y-1,12,31)),""))))</f>
        <v/>
      </c>
      <c r="U48" s="73">
        <f>IF($C48="","",IF(ISNUMBER(HSI!$I$43),HSI!$I$43/100,""))</f>
        <v/>
      </c>
      <c r="V48" s="74">
        <f>IF($C48="","",IF(ISNUMBER(HSI!$X$43),IFERROR($M48*HSI!$G$43/HSI!$X$43,""),""))</f>
        <v/>
      </c>
      <c r="W48" s="73">
        <f>IF($C48="","",IF(ISNUMBER($N48),IFERROR($N48*HSI!$G$43/HSI!$X$43,""),""))</f>
        <v/>
      </c>
      <c r="X48" s="75">
        <f>IF($C48="","",IF(PULL_FUND="N","",IFERROR(BDP($C48,EPS_FIELD,YR_OVERRIDE,TEXT(YEAR_Y-5,"0")),"")))</f>
        <v/>
      </c>
      <c r="Y48" s="76">
        <f>IF($C48="","",IF(PULL_FUND="N","",IFERROR(BDP($C48,EPS_FIELD,YR_OVERRIDE,TEXT(YEAR_Y-4,"0")),"")))</f>
        <v/>
      </c>
      <c r="Z48" s="76">
        <f>IF($C48="","",IF(PULL_FUND="N","",IFERROR(BDP($C48,EPS_FIELD,YR_OVERRIDE,TEXT(YEAR_Y-3,"0")),"")))</f>
        <v/>
      </c>
      <c r="AA48" s="76">
        <f>IF($C48="","",IF(PULL_FUND="N","",IFERROR(BDP($C48,EPS_FIELD,YR_OVERRIDE,TEXT(YEAR_Y-2,"0")),"")))</f>
        <v/>
      </c>
      <c r="AB48" s="76">
        <f>IF($C48="","",IF(PULL_FUND="N","",IFERROR(BDP($C48,EPS_FIELD,YR_OVERRIDE,TEXT(YEAR_Y-1,"0")),"")))</f>
        <v/>
      </c>
      <c r="AC48" s="50">
        <f>IF($C48="","",IFERROR(AVERAGE(X48:AB48),""))</f>
        <v/>
      </c>
      <c r="AD48" s="76">
        <f>IF($C48="","",IF(PULL_FUND="N","",IFERROR(BDP($C48,BESTEPS_FIELD,FWD_OVERRIDE,TEXT(MOD(YEAR_Y,100),"00")&amp;"Y"),"")))</f>
        <v/>
      </c>
      <c r="AE48" s="77">
        <f>IF($C48="","",IF(PULL_FUND="N","",IFERROR(BDP($C48,PAYOUT_FIELD,YR_OVERRIDE,TEXT(YEAR_Y-5,"0"))/100,"")))</f>
        <v/>
      </c>
      <c r="AF48" s="78">
        <f>IF($C48="","",IF(PULL_FUND="N","",IFERROR(BDP($C48,PAYOUT_FIELD,YR_OVERRIDE,TEXT(YEAR_Y-4,"0"))/100,"")))</f>
        <v/>
      </c>
      <c r="AG48" s="78">
        <f>IF($C48="","",IF(PULL_FUND="N","",IFERROR(BDP($C48,PAYOUT_FIELD,YR_OVERRIDE,TEXT(YEAR_Y-3,"0"))/100,"")))</f>
        <v/>
      </c>
      <c r="AH48" s="78">
        <f>IF($C48="","",IF(PULL_FUND="N","",IFERROR(BDP($C48,PAYOUT_FIELD,YR_OVERRIDE,TEXT(YEAR_Y-2,"0"))/100,"")))</f>
        <v/>
      </c>
      <c r="AI48" s="78">
        <f>IF($C48="","",IF(PULL_FUND="N","",IFERROR(BDP($C48,PAYOUT_FIELD,YR_OVERRIDE,TEXT(YEAR_Y-1,"0"))/100,"")))</f>
        <v/>
      </c>
      <c r="AJ48" s="79">
        <f>IF($C48="","",IFERROR(AVERAGE(AE48:AI48),""))</f>
        <v/>
      </c>
      <c r="AK48" s="80">
        <f>IF($C48="","",IF(ISNUMBER($AD48)*ISNUMBER($N48)*($AD48&lt;&gt;0)=0,"",$N48/$AD48))</f>
        <v/>
      </c>
      <c r="AL48" s="79">
        <f>IF($C48="","",IF(ISNUMBER($AD48)*($AD48&lt;&gt;0)=0,"",$M48/$AD48))</f>
        <v/>
      </c>
      <c r="AM48" s="37">
        <f>IF($C48="","",IF(ISNUMBER($AE48)*ISNUMBER($AI48)=0,"",IF($AI48&gt;$AE48+0.05,"rising",IF($AI48&lt;$AE48-0.05,"falling","stable"))))</f>
        <v/>
      </c>
      <c r="AN48" s="81">
        <f>IF($C48="","",IF(PULL_FUND="N","",IF(COUNTIFS('Fund History'!$G$224:$G$228,"&gt;="&amp;DATE(YEAR_Y-4,1,1),'Fund History'!$G$224:$G$228,"&lt;="&amp;DATE(YEAR_Y-4,12,31))=0,"",SUMIFS('Fund History'!$H$224:$H$228,'Fund History'!$G$224:$G$228,"&gt;="&amp;DATE(YEAR_Y-4,1,1),'Fund History'!$G$224:$G$228,"&lt;="&amp;DATE(YEAR_Y-4,12,31))/100)))</f>
        <v/>
      </c>
      <c r="AO48" s="82">
        <f>IF($C48="","",IF(PULL_FUND="N","",IF(COUNTIFS('Fund History'!$G$224:$G$228,"&gt;="&amp;DATE(YEAR_Y-3,1,1),'Fund History'!$G$224:$G$228,"&lt;="&amp;DATE(YEAR_Y-3,12,31))=0,"",SUMIFS('Fund History'!$H$224:$H$228,'Fund History'!$G$224:$G$228,"&gt;="&amp;DATE(YEAR_Y-3,1,1),'Fund History'!$G$224:$G$228,"&lt;="&amp;DATE(YEAR_Y-3,12,31))/100)))</f>
        <v/>
      </c>
      <c r="AP48" s="82">
        <f>IF($C48="","",IF(PULL_FUND="N","",IF(COUNTIFS('Fund History'!$G$224:$G$228,"&gt;="&amp;DATE(YEAR_Y-2,1,1),'Fund History'!$G$224:$G$228,"&lt;="&amp;DATE(YEAR_Y-2,12,31))=0,"",SUMIFS('Fund History'!$H$224:$H$228,'Fund History'!$G$224:$G$228,"&gt;="&amp;DATE(YEAR_Y-2,1,1),'Fund History'!$G$224:$G$228,"&lt;="&amp;DATE(YEAR_Y-2,12,31))/100)))</f>
        <v/>
      </c>
      <c r="AQ48" s="82">
        <f>IF($C48="","",IF(PULL_FUND="N","",IF(COUNTIFS('Fund History'!$G$224:$G$228,"&gt;="&amp;DATE(YEAR_Y-1,1,1),'Fund History'!$G$224:$G$228,"&lt;="&amp;DATE(YEAR_Y-1,12,31))=0,"",SUMIFS('Fund History'!$H$224:$H$228,'Fund History'!$G$224:$G$228,"&gt;="&amp;DATE(YEAR_Y-1,1,1),'Fund History'!$G$224:$G$228,"&lt;="&amp;DATE(YEAR_Y-1,12,31))/100)))</f>
        <v/>
      </c>
      <c r="AR48" s="83">
        <f>IF($C48="","",IF(N($AQ48)+N(HSI!$I$43)=0,"",N($AQ48)+N(HSI!$I$43)/100))</f>
        <v/>
      </c>
      <c r="AS48" s="75">
        <f>IF($C48="","",IF(PULL_FUND="N","",IF(COUNTIFS('Fund History'!$D$224:$D$228,"&gt;="&amp;DATE(YEAR_Y-2,1,1),'Fund History'!$D$224:$D$228,"&lt;="&amp;DATE(YEAR_Y-2,12,31))=0,"",SUMIFS('Fund History'!$E$224:$E$228,'Fund History'!$D$224:$D$228,"&gt;="&amp;DATE(YEAR_Y-2,1,1),'Fund History'!$D$224:$D$228,"&lt;="&amp;DATE(YEAR_Y-2,12,31)))))</f>
        <v/>
      </c>
      <c r="AT48" s="76">
        <f>IF($C48="","",IF(PULL_FUND="N","",IF(COUNTIFS('Fund History'!$D$224:$D$228,"&gt;="&amp;DATE(YEAR_Y-1,1,1),'Fund History'!$D$224:$D$228,"&lt;="&amp;DATE(YEAR_Y-1,12,31))=0,"",SUMIFS('Fund History'!$E$224:$E$228,'Fund History'!$D$224:$D$228,"&gt;="&amp;DATE(YEAR_Y-1,1,1),'Fund History'!$D$224:$D$228,"&lt;="&amp;DATE(YEAR_Y-1,12,31)))))</f>
        <v/>
      </c>
      <c r="AU48" s="76">
        <f>IF($C48="","",IF(PULL_FUND="N","",IFERROR(BDP($C48,NDEBITDA_FIELD),"")))</f>
        <v/>
      </c>
      <c r="AV48" s="84">
        <f>IF($C48="","",IF(PULL_FUND="N","",IFERROR(BDP($C48,EBINT_FIELD),"")))</f>
        <v/>
      </c>
      <c r="AW48" s="82">
        <f>IF($C48="","",IF(PULL_FUND="N","",IFERROR(BDP($C48,FCF_FIELD)/100,"")))</f>
        <v/>
      </c>
      <c r="AX48" s="50">
        <f>IF($C48="","",IF(N($U48)=0,"",IFERROR($AW48/$U48,"")))</f>
        <v/>
      </c>
      <c r="AY48" s="85">
        <f>IF($C48="","",TRIM(IF(ISNUMBER($AJ48)*(N($AJ48)&gt;$D$4)&gt;0,"payout high  ","")&amp;IF(ISNUMBER($AX48)*(N($AX48)&lt;$F$4)&gt;0,"FCF below dvd  ","")&amp;IF(ISNUMBER($AU48)*(N($AU48)&gt;$H$4)&gt;0,"leverage high","")))</f>
        <v/>
      </c>
      <c r="AZ48" s="86">
        <f>IF($C48="","",IF(HSI!$F$43="HKD","",HSI!$F$43))</f>
        <v/>
      </c>
    </row>
    <row r="49">
      <c r="B49" s="66" t="inlineStr">
        <is>
          <t>HSI</t>
        </is>
      </c>
      <c r="C49" s="8">
        <f>IF(HSI!$C$44="","",HSI!$C$44)</f>
        <v/>
      </c>
      <c r="D49" s="8">
        <f>IF($C49="","",HSI!$D$44)</f>
        <v/>
      </c>
      <c r="E49" s="8">
        <f>IF($C49="","",HSI!$E$44)</f>
        <v/>
      </c>
      <c r="F49" s="67">
        <f>IF($C49="","",SUMPRODUCT(('Dvd Calendar'!$E$418:$AR$418&gt;=DATE(YEAR_Y-5,1,1))*('Dvd Calendar'!$E$418:$AR$418&lt;=DATE(YEAR_Y-5,12,31))*'Dvd Calendar'!$E$421:$AR$421*(('Dvd Calendar'!$E$423:$AR$423=TYPE1)*(TYPE1&lt;&gt;"")+('Dvd Calendar'!$E$423:$AR$423=TYPE2)*(TYPE2&lt;&gt;"")+('Dvd Calendar'!$E$423:$AR$423=TYPE3)*(TYPE3&lt;&gt;"")+('Dvd Calendar'!$E$423:$AR$423=TYPE4)*(TYPE4&lt;&gt;"")+('Dvd Calendar'!$E$423:$AR$423=SPECIAL_LBL)*(INC_SPECIALS="Y"))))</f>
        <v/>
      </c>
      <c r="G49" s="68">
        <f>IF($C49="","",SUMPRODUCT(('Dvd Calendar'!$E$418:$AR$418&gt;=DATE(YEAR_Y-4,1,1))*('Dvd Calendar'!$E$418:$AR$418&lt;=DATE(YEAR_Y-4,12,31))*'Dvd Calendar'!$E$421:$AR$421*(('Dvd Calendar'!$E$423:$AR$423=TYPE1)*(TYPE1&lt;&gt;"")+('Dvd Calendar'!$E$423:$AR$423=TYPE2)*(TYPE2&lt;&gt;"")+('Dvd Calendar'!$E$423:$AR$423=TYPE3)*(TYPE3&lt;&gt;"")+('Dvd Calendar'!$E$423:$AR$423=TYPE4)*(TYPE4&lt;&gt;"")+('Dvd Calendar'!$E$423:$AR$423=SPECIAL_LBL)*(INC_SPECIALS="Y"))))</f>
        <v/>
      </c>
      <c r="H49" s="68">
        <f>IF($C49="","",SUMPRODUCT(('Dvd Calendar'!$E$418:$AR$418&gt;=DATE(YEAR_Y-3,1,1))*('Dvd Calendar'!$E$418:$AR$418&lt;=DATE(YEAR_Y-3,12,31))*'Dvd Calendar'!$E$421:$AR$421*(('Dvd Calendar'!$E$423:$AR$423=TYPE1)*(TYPE1&lt;&gt;"")+('Dvd Calendar'!$E$423:$AR$423=TYPE2)*(TYPE2&lt;&gt;"")+('Dvd Calendar'!$E$423:$AR$423=TYPE3)*(TYPE3&lt;&gt;"")+('Dvd Calendar'!$E$423:$AR$423=TYPE4)*(TYPE4&lt;&gt;"")+('Dvd Calendar'!$E$423:$AR$423=SPECIAL_LBL)*(INC_SPECIALS="Y"))))</f>
        <v/>
      </c>
      <c r="I49" s="68">
        <f>IF($C49="","",SUMPRODUCT(('Dvd Calendar'!$E$418:$AR$418&gt;=DATE(YEAR_Y-2,1,1))*('Dvd Calendar'!$E$418:$AR$418&lt;=DATE(YEAR_Y-2,12,31))*'Dvd Calendar'!$E$421:$AR$421*(('Dvd Calendar'!$E$423:$AR$423=TYPE1)*(TYPE1&lt;&gt;"")+('Dvd Calendar'!$E$423:$AR$423=TYPE2)*(TYPE2&lt;&gt;"")+('Dvd Calendar'!$E$423:$AR$423=TYPE3)*(TYPE3&lt;&gt;"")+('Dvd Calendar'!$E$423:$AR$423=TYPE4)*(TYPE4&lt;&gt;"")+('Dvd Calendar'!$E$423:$AR$423=SPECIAL_LBL)*(INC_SPECIALS="Y"))))</f>
        <v/>
      </c>
      <c r="J49" s="68">
        <f>IF($C49="","",SUMPRODUCT(('Dvd Calendar'!$E$418:$AR$418&gt;=DATE(YEAR_Y-1,1,1))*('Dvd Calendar'!$E$418:$AR$418&lt;=DATE(YEAR_Y-1,12,31))*'Dvd Calendar'!$E$421:$AR$421*(('Dvd Calendar'!$E$423:$AR$423=TYPE1)*(TYPE1&lt;&gt;"")+('Dvd Calendar'!$E$423:$AR$423=TYPE2)*(TYPE2&lt;&gt;"")+('Dvd Calendar'!$E$423:$AR$423=TYPE3)*(TYPE3&lt;&gt;"")+('Dvd Calendar'!$E$423:$AR$423=TYPE4)*(TYPE4&lt;&gt;"")+('Dvd Calendar'!$E$423:$AR$423=SPECIAL_LBL)*(INC_SPECIALS="Y"))))</f>
        <v/>
      </c>
      <c r="K49" s="69">
        <f>IF($C49="","",HSI!$J$44)</f>
        <v/>
      </c>
      <c r="L49" s="69">
        <f>IF($C49="","",HSI!$K$44)</f>
        <v/>
      </c>
      <c r="M49" s="44">
        <f>IF($C49="","",HSI!$J$44+HSI!$L$44)</f>
        <v/>
      </c>
      <c r="N49" s="70">
        <f>IF($C49="","",IF(PULL_FUND="N","",IFERROR(BDP($C49,BESTDPS_FIELD,FWD_OVERRIDE,TEXT(MOD(YEAR_Y,100),"00")&amp;"Y"),"")))</f>
        <v/>
      </c>
      <c r="O49" s="69">
        <f>IF($C49="","",AVERAGE(F49:J49))</f>
        <v/>
      </c>
      <c r="P49" s="71">
        <f>IF($C49="","",IF(PULL_FUND="N","",IF(COUNTIFS('Fund History'!$J$230:$J$234,"&gt;="&amp;DATE(YEAR_Y-5,1,1),'Fund History'!$J$230:$J$234,"&lt;="&amp;DATE(YEAR_Y-5,12,31))=0,"",IFERROR($F49*HSI!$G$44/SUMIFS('Fund History'!$K$230:$K$234,'Fund History'!$J$230:$J$234,"&gt;="&amp;DATE(YEAR_Y-5,1,1),'Fund History'!$J$230:$J$234,"&lt;="&amp;DATE(YEAR_Y-5,12,31)),""))))</f>
        <v/>
      </c>
      <c r="Q49" s="72">
        <f>IF($C49="","",IF(PULL_FUND="N","",IF(COUNTIFS('Fund History'!$J$230:$J$234,"&gt;="&amp;DATE(YEAR_Y-4,1,1),'Fund History'!$J$230:$J$234,"&lt;="&amp;DATE(YEAR_Y-4,12,31))=0,"",IFERROR($G49*HSI!$G$44/SUMIFS('Fund History'!$K$230:$K$234,'Fund History'!$J$230:$J$234,"&gt;="&amp;DATE(YEAR_Y-4,1,1),'Fund History'!$J$230:$J$234,"&lt;="&amp;DATE(YEAR_Y-4,12,31)),""))))</f>
        <v/>
      </c>
      <c r="R49" s="72">
        <f>IF($C49="","",IF(PULL_FUND="N","",IF(COUNTIFS('Fund History'!$J$230:$J$234,"&gt;="&amp;DATE(YEAR_Y-3,1,1),'Fund History'!$J$230:$J$234,"&lt;="&amp;DATE(YEAR_Y-3,12,31))=0,"",IFERROR($H49*HSI!$G$44/SUMIFS('Fund History'!$K$230:$K$234,'Fund History'!$J$230:$J$234,"&gt;="&amp;DATE(YEAR_Y-3,1,1),'Fund History'!$J$230:$J$234,"&lt;="&amp;DATE(YEAR_Y-3,12,31)),""))))</f>
        <v/>
      </c>
      <c r="S49" s="72">
        <f>IF($C49="","",IF(PULL_FUND="N","",IF(COUNTIFS('Fund History'!$J$230:$J$234,"&gt;="&amp;DATE(YEAR_Y-2,1,1),'Fund History'!$J$230:$J$234,"&lt;="&amp;DATE(YEAR_Y-2,12,31))=0,"",IFERROR($I49*HSI!$G$44/SUMIFS('Fund History'!$K$230:$K$234,'Fund History'!$J$230:$J$234,"&gt;="&amp;DATE(YEAR_Y-2,1,1),'Fund History'!$J$230:$J$234,"&lt;="&amp;DATE(YEAR_Y-2,12,31)),""))))</f>
        <v/>
      </c>
      <c r="T49" s="72">
        <f>IF($C49="","",IF(PULL_FUND="N","",IF(COUNTIFS('Fund History'!$J$230:$J$234,"&gt;="&amp;DATE(YEAR_Y-1,1,1),'Fund History'!$J$230:$J$234,"&lt;="&amp;DATE(YEAR_Y-1,12,31))=0,"",IFERROR($J49*HSI!$G$44/SUMIFS('Fund History'!$K$230:$K$234,'Fund History'!$J$230:$J$234,"&gt;="&amp;DATE(YEAR_Y-1,1,1),'Fund History'!$J$230:$J$234,"&lt;="&amp;DATE(YEAR_Y-1,12,31)),""))))</f>
        <v/>
      </c>
      <c r="U49" s="73">
        <f>IF($C49="","",IF(ISNUMBER(HSI!$I$44),HSI!$I$44/100,""))</f>
        <v/>
      </c>
      <c r="V49" s="74">
        <f>IF($C49="","",IF(ISNUMBER(HSI!$X$44),IFERROR($M49*HSI!$G$44/HSI!$X$44,""),""))</f>
        <v/>
      </c>
      <c r="W49" s="73">
        <f>IF($C49="","",IF(ISNUMBER($N49),IFERROR($N49*HSI!$G$44/HSI!$X$44,""),""))</f>
        <v/>
      </c>
      <c r="X49" s="75">
        <f>IF($C49="","",IF(PULL_FUND="N","",IFERROR(BDP($C49,EPS_FIELD,YR_OVERRIDE,TEXT(YEAR_Y-5,"0")),"")))</f>
        <v/>
      </c>
      <c r="Y49" s="76">
        <f>IF($C49="","",IF(PULL_FUND="N","",IFERROR(BDP($C49,EPS_FIELD,YR_OVERRIDE,TEXT(YEAR_Y-4,"0")),"")))</f>
        <v/>
      </c>
      <c r="Z49" s="76">
        <f>IF($C49="","",IF(PULL_FUND="N","",IFERROR(BDP($C49,EPS_FIELD,YR_OVERRIDE,TEXT(YEAR_Y-3,"0")),"")))</f>
        <v/>
      </c>
      <c r="AA49" s="76">
        <f>IF($C49="","",IF(PULL_FUND="N","",IFERROR(BDP($C49,EPS_FIELD,YR_OVERRIDE,TEXT(YEAR_Y-2,"0")),"")))</f>
        <v/>
      </c>
      <c r="AB49" s="76">
        <f>IF($C49="","",IF(PULL_FUND="N","",IFERROR(BDP($C49,EPS_FIELD,YR_OVERRIDE,TEXT(YEAR_Y-1,"0")),"")))</f>
        <v/>
      </c>
      <c r="AC49" s="50">
        <f>IF($C49="","",IFERROR(AVERAGE(X49:AB49),""))</f>
        <v/>
      </c>
      <c r="AD49" s="76">
        <f>IF($C49="","",IF(PULL_FUND="N","",IFERROR(BDP($C49,BESTEPS_FIELD,FWD_OVERRIDE,TEXT(MOD(YEAR_Y,100),"00")&amp;"Y"),"")))</f>
        <v/>
      </c>
      <c r="AE49" s="77">
        <f>IF($C49="","",IF(PULL_FUND="N","",IFERROR(BDP($C49,PAYOUT_FIELD,YR_OVERRIDE,TEXT(YEAR_Y-5,"0"))/100,"")))</f>
        <v/>
      </c>
      <c r="AF49" s="78">
        <f>IF($C49="","",IF(PULL_FUND="N","",IFERROR(BDP($C49,PAYOUT_FIELD,YR_OVERRIDE,TEXT(YEAR_Y-4,"0"))/100,"")))</f>
        <v/>
      </c>
      <c r="AG49" s="78">
        <f>IF($C49="","",IF(PULL_FUND="N","",IFERROR(BDP($C49,PAYOUT_FIELD,YR_OVERRIDE,TEXT(YEAR_Y-3,"0"))/100,"")))</f>
        <v/>
      </c>
      <c r="AH49" s="78">
        <f>IF($C49="","",IF(PULL_FUND="N","",IFERROR(BDP($C49,PAYOUT_FIELD,YR_OVERRIDE,TEXT(YEAR_Y-2,"0"))/100,"")))</f>
        <v/>
      </c>
      <c r="AI49" s="78">
        <f>IF($C49="","",IF(PULL_FUND="N","",IFERROR(BDP($C49,PAYOUT_FIELD,YR_OVERRIDE,TEXT(YEAR_Y-1,"0"))/100,"")))</f>
        <v/>
      </c>
      <c r="AJ49" s="79">
        <f>IF($C49="","",IFERROR(AVERAGE(AE49:AI49),""))</f>
        <v/>
      </c>
      <c r="AK49" s="80">
        <f>IF($C49="","",IF(ISNUMBER($AD49)*ISNUMBER($N49)*($AD49&lt;&gt;0)=0,"",$N49/$AD49))</f>
        <v/>
      </c>
      <c r="AL49" s="79">
        <f>IF($C49="","",IF(ISNUMBER($AD49)*($AD49&lt;&gt;0)=0,"",$M49/$AD49))</f>
        <v/>
      </c>
      <c r="AM49" s="37">
        <f>IF($C49="","",IF(ISNUMBER($AE49)*ISNUMBER($AI49)=0,"",IF($AI49&gt;$AE49+0.05,"rising",IF($AI49&lt;$AE49-0.05,"falling","stable"))))</f>
        <v/>
      </c>
      <c r="AN49" s="81">
        <f>IF($C49="","",IF(PULL_FUND="N","",IF(COUNTIFS('Fund History'!$G$230:$G$234,"&gt;="&amp;DATE(YEAR_Y-4,1,1),'Fund History'!$G$230:$G$234,"&lt;="&amp;DATE(YEAR_Y-4,12,31))=0,"",SUMIFS('Fund History'!$H$230:$H$234,'Fund History'!$G$230:$G$234,"&gt;="&amp;DATE(YEAR_Y-4,1,1),'Fund History'!$G$230:$G$234,"&lt;="&amp;DATE(YEAR_Y-4,12,31))/100)))</f>
        <v/>
      </c>
      <c r="AO49" s="82">
        <f>IF($C49="","",IF(PULL_FUND="N","",IF(COUNTIFS('Fund History'!$G$230:$G$234,"&gt;="&amp;DATE(YEAR_Y-3,1,1),'Fund History'!$G$230:$G$234,"&lt;="&amp;DATE(YEAR_Y-3,12,31))=0,"",SUMIFS('Fund History'!$H$230:$H$234,'Fund History'!$G$230:$G$234,"&gt;="&amp;DATE(YEAR_Y-3,1,1),'Fund History'!$G$230:$G$234,"&lt;="&amp;DATE(YEAR_Y-3,12,31))/100)))</f>
        <v/>
      </c>
      <c r="AP49" s="82">
        <f>IF($C49="","",IF(PULL_FUND="N","",IF(COUNTIFS('Fund History'!$G$230:$G$234,"&gt;="&amp;DATE(YEAR_Y-2,1,1),'Fund History'!$G$230:$G$234,"&lt;="&amp;DATE(YEAR_Y-2,12,31))=0,"",SUMIFS('Fund History'!$H$230:$H$234,'Fund History'!$G$230:$G$234,"&gt;="&amp;DATE(YEAR_Y-2,1,1),'Fund History'!$G$230:$G$234,"&lt;="&amp;DATE(YEAR_Y-2,12,31))/100)))</f>
        <v/>
      </c>
      <c r="AQ49" s="82">
        <f>IF($C49="","",IF(PULL_FUND="N","",IF(COUNTIFS('Fund History'!$G$230:$G$234,"&gt;="&amp;DATE(YEAR_Y-1,1,1),'Fund History'!$G$230:$G$234,"&lt;="&amp;DATE(YEAR_Y-1,12,31))=0,"",SUMIFS('Fund History'!$H$230:$H$234,'Fund History'!$G$230:$G$234,"&gt;="&amp;DATE(YEAR_Y-1,1,1),'Fund History'!$G$230:$G$234,"&lt;="&amp;DATE(YEAR_Y-1,12,31))/100)))</f>
        <v/>
      </c>
      <c r="AR49" s="83">
        <f>IF($C49="","",IF(N($AQ49)+N(HSI!$I$44)=0,"",N($AQ49)+N(HSI!$I$44)/100))</f>
        <v/>
      </c>
      <c r="AS49" s="75">
        <f>IF($C49="","",IF(PULL_FUND="N","",IF(COUNTIFS('Fund History'!$D$230:$D$234,"&gt;="&amp;DATE(YEAR_Y-2,1,1),'Fund History'!$D$230:$D$234,"&lt;="&amp;DATE(YEAR_Y-2,12,31))=0,"",SUMIFS('Fund History'!$E$230:$E$234,'Fund History'!$D$230:$D$234,"&gt;="&amp;DATE(YEAR_Y-2,1,1),'Fund History'!$D$230:$D$234,"&lt;="&amp;DATE(YEAR_Y-2,12,31)))))</f>
        <v/>
      </c>
      <c r="AT49" s="76">
        <f>IF($C49="","",IF(PULL_FUND="N","",IF(COUNTIFS('Fund History'!$D$230:$D$234,"&gt;="&amp;DATE(YEAR_Y-1,1,1),'Fund History'!$D$230:$D$234,"&lt;="&amp;DATE(YEAR_Y-1,12,31))=0,"",SUMIFS('Fund History'!$E$230:$E$234,'Fund History'!$D$230:$D$234,"&gt;="&amp;DATE(YEAR_Y-1,1,1),'Fund History'!$D$230:$D$234,"&lt;="&amp;DATE(YEAR_Y-1,12,31)))))</f>
        <v/>
      </c>
      <c r="AU49" s="76">
        <f>IF($C49="","",IF(PULL_FUND="N","",IFERROR(BDP($C49,NDEBITDA_FIELD),"")))</f>
        <v/>
      </c>
      <c r="AV49" s="84">
        <f>IF($C49="","",IF(PULL_FUND="N","",IFERROR(BDP($C49,EBINT_FIELD),"")))</f>
        <v/>
      </c>
      <c r="AW49" s="82">
        <f>IF($C49="","",IF(PULL_FUND="N","",IFERROR(BDP($C49,FCF_FIELD)/100,"")))</f>
        <v/>
      </c>
      <c r="AX49" s="50">
        <f>IF($C49="","",IF(N($U49)=0,"",IFERROR($AW49/$U49,"")))</f>
        <v/>
      </c>
      <c r="AY49" s="85">
        <f>IF($C49="","",TRIM(IF(ISNUMBER($AJ49)*(N($AJ49)&gt;$D$4)&gt;0,"payout high  ","")&amp;IF(ISNUMBER($AX49)*(N($AX49)&lt;$F$4)&gt;0,"FCF below dvd  ","")&amp;IF(ISNUMBER($AU49)*(N($AU49)&gt;$H$4)&gt;0,"leverage high","")))</f>
        <v/>
      </c>
      <c r="AZ49" s="86">
        <f>IF($C49="","",IF(HSI!$F$44="HKD","",HSI!$F$44))</f>
        <v/>
      </c>
    </row>
    <row r="50">
      <c r="B50" s="66" t="inlineStr">
        <is>
          <t>HSI</t>
        </is>
      </c>
      <c r="C50" s="8">
        <f>IF(HSI!$C$45="","",HSI!$C$45)</f>
        <v/>
      </c>
      <c r="D50" s="8">
        <f>IF($C50="","",HSI!$D$45)</f>
        <v/>
      </c>
      <c r="E50" s="8">
        <f>IF($C50="","",HSI!$E$45)</f>
        <v/>
      </c>
      <c r="F50" s="67">
        <f>IF($C50="","",SUMPRODUCT(('Dvd Calendar'!$E$429:$AR$429&gt;=DATE(YEAR_Y-5,1,1))*('Dvd Calendar'!$E$429:$AR$429&lt;=DATE(YEAR_Y-5,12,31))*'Dvd Calendar'!$E$432:$AR$432*(('Dvd Calendar'!$E$434:$AR$434=TYPE1)*(TYPE1&lt;&gt;"")+('Dvd Calendar'!$E$434:$AR$434=TYPE2)*(TYPE2&lt;&gt;"")+('Dvd Calendar'!$E$434:$AR$434=TYPE3)*(TYPE3&lt;&gt;"")+('Dvd Calendar'!$E$434:$AR$434=TYPE4)*(TYPE4&lt;&gt;"")+('Dvd Calendar'!$E$434:$AR$434=SPECIAL_LBL)*(INC_SPECIALS="Y"))))</f>
        <v/>
      </c>
      <c r="G50" s="68">
        <f>IF($C50="","",SUMPRODUCT(('Dvd Calendar'!$E$429:$AR$429&gt;=DATE(YEAR_Y-4,1,1))*('Dvd Calendar'!$E$429:$AR$429&lt;=DATE(YEAR_Y-4,12,31))*'Dvd Calendar'!$E$432:$AR$432*(('Dvd Calendar'!$E$434:$AR$434=TYPE1)*(TYPE1&lt;&gt;"")+('Dvd Calendar'!$E$434:$AR$434=TYPE2)*(TYPE2&lt;&gt;"")+('Dvd Calendar'!$E$434:$AR$434=TYPE3)*(TYPE3&lt;&gt;"")+('Dvd Calendar'!$E$434:$AR$434=TYPE4)*(TYPE4&lt;&gt;"")+('Dvd Calendar'!$E$434:$AR$434=SPECIAL_LBL)*(INC_SPECIALS="Y"))))</f>
        <v/>
      </c>
      <c r="H50" s="68">
        <f>IF($C50="","",SUMPRODUCT(('Dvd Calendar'!$E$429:$AR$429&gt;=DATE(YEAR_Y-3,1,1))*('Dvd Calendar'!$E$429:$AR$429&lt;=DATE(YEAR_Y-3,12,31))*'Dvd Calendar'!$E$432:$AR$432*(('Dvd Calendar'!$E$434:$AR$434=TYPE1)*(TYPE1&lt;&gt;"")+('Dvd Calendar'!$E$434:$AR$434=TYPE2)*(TYPE2&lt;&gt;"")+('Dvd Calendar'!$E$434:$AR$434=TYPE3)*(TYPE3&lt;&gt;"")+('Dvd Calendar'!$E$434:$AR$434=TYPE4)*(TYPE4&lt;&gt;"")+('Dvd Calendar'!$E$434:$AR$434=SPECIAL_LBL)*(INC_SPECIALS="Y"))))</f>
        <v/>
      </c>
      <c r="I50" s="68">
        <f>IF($C50="","",SUMPRODUCT(('Dvd Calendar'!$E$429:$AR$429&gt;=DATE(YEAR_Y-2,1,1))*('Dvd Calendar'!$E$429:$AR$429&lt;=DATE(YEAR_Y-2,12,31))*'Dvd Calendar'!$E$432:$AR$432*(('Dvd Calendar'!$E$434:$AR$434=TYPE1)*(TYPE1&lt;&gt;"")+('Dvd Calendar'!$E$434:$AR$434=TYPE2)*(TYPE2&lt;&gt;"")+('Dvd Calendar'!$E$434:$AR$434=TYPE3)*(TYPE3&lt;&gt;"")+('Dvd Calendar'!$E$434:$AR$434=TYPE4)*(TYPE4&lt;&gt;"")+('Dvd Calendar'!$E$434:$AR$434=SPECIAL_LBL)*(INC_SPECIALS="Y"))))</f>
        <v/>
      </c>
      <c r="J50" s="68">
        <f>IF($C50="","",SUMPRODUCT(('Dvd Calendar'!$E$429:$AR$429&gt;=DATE(YEAR_Y-1,1,1))*('Dvd Calendar'!$E$429:$AR$429&lt;=DATE(YEAR_Y-1,12,31))*'Dvd Calendar'!$E$432:$AR$432*(('Dvd Calendar'!$E$434:$AR$434=TYPE1)*(TYPE1&lt;&gt;"")+('Dvd Calendar'!$E$434:$AR$434=TYPE2)*(TYPE2&lt;&gt;"")+('Dvd Calendar'!$E$434:$AR$434=TYPE3)*(TYPE3&lt;&gt;"")+('Dvd Calendar'!$E$434:$AR$434=TYPE4)*(TYPE4&lt;&gt;"")+('Dvd Calendar'!$E$434:$AR$434=SPECIAL_LBL)*(INC_SPECIALS="Y"))))</f>
        <v/>
      </c>
      <c r="K50" s="69">
        <f>IF($C50="","",HSI!$J$45)</f>
        <v/>
      </c>
      <c r="L50" s="69">
        <f>IF($C50="","",HSI!$K$45)</f>
        <v/>
      </c>
      <c r="M50" s="44">
        <f>IF($C50="","",HSI!$J$45+HSI!$L$45)</f>
        <v/>
      </c>
      <c r="N50" s="70">
        <f>IF($C50="","",IF(PULL_FUND="N","",IFERROR(BDP($C50,BESTDPS_FIELD,FWD_OVERRIDE,TEXT(MOD(YEAR_Y,100),"00")&amp;"Y"),"")))</f>
        <v/>
      </c>
      <c r="O50" s="69">
        <f>IF($C50="","",AVERAGE(F50:J50))</f>
        <v/>
      </c>
      <c r="P50" s="71">
        <f>IF($C50="","",IF(PULL_FUND="N","",IF(COUNTIFS('Fund History'!$J$236:$J$240,"&gt;="&amp;DATE(YEAR_Y-5,1,1),'Fund History'!$J$236:$J$240,"&lt;="&amp;DATE(YEAR_Y-5,12,31))=0,"",IFERROR($F50*HSI!$G$45/SUMIFS('Fund History'!$K$236:$K$240,'Fund History'!$J$236:$J$240,"&gt;="&amp;DATE(YEAR_Y-5,1,1),'Fund History'!$J$236:$J$240,"&lt;="&amp;DATE(YEAR_Y-5,12,31)),""))))</f>
        <v/>
      </c>
      <c r="Q50" s="72">
        <f>IF($C50="","",IF(PULL_FUND="N","",IF(COUNTIFS('Fund History'!$J$236:$J$240,"&gt;="&amp;DATE(YEAR_Y-4,1,1),'Fund History'!$J$236:$J$240,"&lt;="&amp;DATE(YEAR_Y-4,12,31))=0,"",IFERROR($G50*HSI!$G$45/SUMIFS('Fund History'!$K$236:$K$240,'Fund History'!$J$236:$J$240,"&gt;="&amp;DATE(YEAR_Y-4,1,1),'Fund History'!$J$236:$J$240,"&lt;="&amp;DATE(YEAR_Y-4,12,31)),""))))</f>
        <v/>
      </c>
      <c r="R50" s="72">
        <f>IF($C50="","",IF(PULL_FUND="N","",IF(COUNTIFS('Fund History'!$J$236:$J$240,"&gt;="&amp;DATE(YEAR_Y-3,1,1),'Fund History'!$J$236:$J$240,"&lt;="&amp;DATE(YEAR_Y-3,12,31))=0,"",IFERROR($H50*HSI!$G$45/SUMIFS('Fund History'!$K$236:$K$240,'Fund History'!$J$236:$J$240,"&gt;="&amp;DATE(YEAR_Y-3,1,1),'Fund History'!$J$236:$J$240,"&lt;="&amp;DATE(YEAR_Y-3,12,31)),""))))</f>
        <v/>
      </c>
      <c r="S50" s="72">
        <f>IF($C50="","",IF(PULL_FUND="N","",IF(COUNTIFS('Fund History'!$J$236:$J$240,"&gt;="&amp;DATE(YEAR_Y-2,1,1),'Fund History'!$J$236:$J$240,"&lt;="&amp;DATE(YEAR_Y-2,12,31))=0,"",IFERROR($I50*HSI!$G$45/SUMIFS('Fund History'!$K$236:$K$240,'Fund History'!$J$236:$J$240,"&gt;="&amp;DATE(YEAR_Y-2,1,1),'Fund History'!$J$236:$J$240,"&lt;="&amp;DATE(YEAR_Y-2,12,31)),""))))</f>
        <v/>
      </c>
      <c r="T50" s="72">
        <f>IF($C50="","",IF(PULL_FUND="N","",IF(COUNTIFS('Fund History'!$J$236:$J$240,"&gt;="&amp;DATE(YEAR_Y-1,1,1),'Fund History'!$J$236:$J$240,"&lt;="&amp;DATE(YEAR_Y-1,12,31))=0,"",IFERROR($J50*HSI!$G$45/SUMIFS('Fund History'!$K$236:$K$240,'Fund History'!$J$236:$J$240,"&gt;="&amp;DATE(YEAR_Y-1,1,1),'Fund History'!$J$236:$J$240,"&lt;="&amp;DATE(YEAR_Y-1,12,31)),""))))</f>
        <v/>
      </c>
      <c r="U50" s="73">
        <f>IF($C50="","",IF(ISNUMBER(HSI!$I$45),HSI!$I$45/100,""))</f>
        <v/>
      </c>
      <c r="V50" s="74">
        <f>IF($C50="","",IF(ISNUMBER(HSI!$X$45),IFERROR($M50*HSI!$G$45/HSI!$X$45,""),""))</f>
        <v/>
      </c>
      <c r="W50" s="73">
        <f>IF($C50="","",IF(ISNUMBER($N50),IFERROR($N50*HSI!$G$45/HSI!$X$45,""),""))</f>
        <v/>
      </c>
      <c r="X50" s="75">
        <f>IF($C50="","",IF(PULL_FUND="N","",IFERROR(BDP($C50,EPS_FIELD,YR_OVERRIDE,TEXT(YEAR_Y-5,"0")),"")))</f>
        <v/>
      </c>
      <c r="Y50" s="76">
        <f>IF($C50="","",IF(PULL_FUND="N","",IFERROR(BDP($C50,EPS_FIELD,YR_OVERRIDE,TEXT(YEAR_Y-4,"0")),"")))</f>
        <v/>
      </c>
      <c r="Z50" s="76">
        <f>IF($C50="","",IF(PULL_FUND="N","",IFERROR(BDP($C50,EPS_FIELD,YR_OVERRIDE,TEXT(YEAR_Y-3,"0")),"")))</f>
        <v/>
      </c>
      <c r="AA50" s="76">
        <f>IF($C50="","",IF(PULL_FUND="N","",IFERROR(BDP($C50,EPS_FIELD,YR_OVERRIDE,TEXT(YEAR_Y-2,"0")),"")))</f>
        <v/>
      </c>
      <c r="AB50" s="76">
        <f>IF($C50="","",IF(PULL_FUND="N","",IFERROR(BDP($C50,EPS_FIELD,YR_OVERRIDE,TEXT(YEAR_Y-1,"0")),"")))</f>
        <v/>
      </c>
      <c r="AC50" s="50">
        <f>IF($C50="","",IFERROR(AVERAGE(X50:AB50),""))</f>
        <v/>
      </c>
      <c r="AD50" s="76">
        <f>IF($C50="","",IF(PULL_FUND="N","",IFERROR(BDP($C50,BESTEPS_FIELD,FWD_OVERRIDE,TEXT(MOD(YEAR_Y,100),"00")&amp;"Y"),"")))</f>
        <v/>
      </c>
      <c r="AE50" s="77">
        <f>IF($C50="","",IF(PULL_FUND="N","",IFERROR(BDP($C50,PAYOUT_FIELD,YR_OVERRIDE,TEXT(YEAR_Y-5,"0"))/100,"")))</f>
        <v/>
      </c>
      <c r="AF50" s="78">
        <f>IF($C50="","",IF(PULL_FUND="N","",IFERROR(BDP($C50,PAYOUT_FIELD,YR_OVERRIDE,TEXT(YEAR_Y-4,"0"))/100,"")))</f>
        <v/>
      </c>
      <c r="AG50" s="78">
        <f>IF($C50="","",IF(PULL_FUND="N","",IFERROR(BDP($C50,PAYOUT_FIELD,YR_OVERRIDE,TEXT(YEAR_Y-3,"0"))/100,"")))</f>
        <v/>
      </c>
      <c r="AH50" s="78">
        <f>IF($C50="","",IF(PULL_FUND="N","",IFERROR(BDP($C50,PAYOUT_FIELD,YR_OVERRIDE,TEXT(YEAR_Y-2,"0"))/100,"")))</f>
        <v/>
      </c>
      <c r="AI50" s="78">
        <f>IF($C50="","",IF(PULL_FUND="N","",IFERROR(BDP($C50,PAYOUT_FIELD,YR_OVERRIDE,TEXT(YEAR_Y-1,"0"))/100,"")))</f>
        <v/>
      </c>
      <c r="AJ50" s="79">
        <f>IF($C50="","",IFERROR(AVERAGE(AE50:AI50),""))</f>
        <v/>
      </c>
      <c r="AK50" s="80">
        <f>IF($C50="","",IF(ISNUMBER($AD50)*ISNUMBER($N50)*($AD50&lt;&gt;0)=0,"",$N50/$AD50))</f>
        <v/>
      </c>
      <c r="AL50" s="79">
        <f>IF($C50="","",IF(ISNUMBER($AD50)*($AD50&lt;&gt;0)=0,"",$M50/$AD50))</f>
        <v/>
      </c>
      <c r="AM50" s="37">
        <f>IF($C50="","",IF(ISNUMBER($AE50)*ISNUMBER($AI50)=0,"",IF($AI50&gt;$AE50+0.05,"rising",IF($AI50&lt;$AE50-0.05,"falling","stable"))))</f>
        <v/>
      </c>
      <c r="AN50" s="81">
        <f>IF($C50="","",IF(PULL_FUND="N","",IF(COUNTIFS('Fund History'!$G$236:$G$240,"&gt;="&amp;DATE(YEAR_Y-4,1,1),'Fund History'!$G$236:$G$240,"&lt;="&amp;DATE(YEAR_Y-4,12,31))=0,"",SUMIFS('Fund History'!$H$236:$H$240,'Fund History'!$G$236:$G$240,"&gt;="&amp;DATE(YEAR_Y-4,1,1),'Fund History'!$G$236:$G$240,"&lt;="&amp;DATE(YEAR_Y-4,12,31))/100)))</f>
        <v/>
      </c>
      <c r="AO50" s="82">
        <f>IF($C50="","",IF(PULL_FUND="N","",IF(COUNTIFS('Fund History'!$G$236:$G$240,"&gt;="&amp;DATE(YEAR_Y-3,1,1),'Fund History'!$G$236:$G$240,"&lt;="&amp;DATE(YEAR_Y-3,12,31))=0,"",SUMIFS('Fund History'!$H$236:$H$240,'Fund History'!$G$236:$G$240,"&gt;="&amp;DATE(YEAR_Y-3,1,1),'Fund History'!$G$236:$G$240,"&lt;="&amp;DATE(YEAR_Y-3,12,31))/100)))</f>
        <v/>
      </c>
      <c r="AP50" s="82">
        <f>IF($C50="","",IF(PULL_FUND="N","",IF(COUNTIFS('Fund History'!$G$236:$G$240,"&gt;="&amp;DATE(YEAR_Y-2,1,1),'Fund History'!$G$236:$G$240,"&lt;="&amp;DATE(YEAR_Y-2,12,31))=0,"",SUMIFS('Fund History'!$H$236:$H$240,'Fund History'!$G$236:$G$240,"&gt;="&amp;DATE(YEAR_Y-2,1,1),'Fund History'!$G$236:$G$240,"&lt;="&amp;DATE(YEAR_Y-2,12,31))/100)))</f>
        <v/>
      </c>
      <c r="AQ50" s="82">
        <f>IF($C50="","",IF(PULL_FUND="N","",IF(COUNTIFS('Fund History'!$G$236:$G$240,"&gt;="&amp;DATE(YEAR_Y-1,1,1),'Fund History'!$G$236:$G$240,"&lt;="&amp;DATE(YEAR_Y-1,12,31))=0,"",SUMIFS('Fund History'!$H$236:$H$240,'Fund History'!$G$236:$G$240,"&gt;="&amp;DATE(YEAR_Y-1,1,1),'Fund History'!$G$236:$G$240,"&lt;="&amp;DATE(YEAR_Y-1,12,31))/100)))</f>
        <v/>
      </c>
      <c r="AR50" s="83">
        <f>IF($C50="","",IF(N($AQ50)+N(HSI!$I$45)=0,"",N($AQ50)+N(HSI!$I$45)/100))</f>
        <v/>
      </c>
      <c r="AS50" s="75">
        <f>IF($C50="","",IF(PULL_FUND="N","",IF(COUNTIFS('Fund History'!$D$236:$D$240,"&gt;="&amp;DATE(YEAR_Y-2,1,1),'Fund History'!$D$236:$D$240,"&lt;="&amp;DATE(YEAR_Y-2,12,31))=0,"",SUMIFS('Fund History'!$E$236:$E$240,'Fund History'!$D$236:$D$240,"&gt;="&amp;DATE(YEAR_Y-2,1,1),'Fund History'!$D$236:$D$240,"&lt;="&amp;DATE(YEAR_Y-2,12,31)))))</f>
        <v/>
      </c>
      <c r="AT50" s="76">
        <f>IF($C50="","",IF(PULL_FUND="N","",IF(COUNTIFS('Fund History'!$D$236:$D$240,"&gt;="&amp;DATE(YEAR_Y-1,1,1),'Fund History'!$D$236:$D$240,"&lt;="&amp;DATE(YEAR_Y-1,12,31))=0,"",SUMIFS('Fund History'!$E$236:$E$240,'Fund History'!$D$236:$D$240,"&gt;="&amp;DATE(YEAR_Y-1,1,1),'Fund History'!$D$236:$D$240,"&lt;="&amp;DATE(YEAR_Y-1,12,31)))))</f>
        <v/>
      </c>
      <c r="AU50" s="76">
        <f>IF($C50="","",IF(PULL_FUND="N","",IFERROR(BDP($C50,NDEBITDA_FIELD),"")))</f>
        <v/>
      </c>
      <c r="AV50" s="84">
        <f>IF($C50="","",IF(PULL_FUND="N","",IFERROR(BDP($C50,EBINT_FIELD),"")))</f>
        <v/>
      </c>
      <c r="AW50" s="82">
        <f>IF($C50="","",IF(PULL_FUND="N","",IFERROR(BDP($C50,FCF_FIELD)/100,"")))</f>
        <v/>
      </c>
      <c r="AX50" s="50">
        <f>IF($C50="","",IF(N($U50)=0,"",IFERROR($AW50/$U50,"")))</f>
        <v/>
      </c>
      <c r="AY50" s="85">
        <f>IF($C50="","",TRIM(IF(ISNUMBER($AJ50)*(N($AJ50)&gt;$D$4)&gt;0,"payout high  ","")&amp;IF(ISNUMBER($AX50)*(N($AX50)&lt;$F$4)&gt;0,"FCF below dvd  ","")&amp;IF(ISNUMBER($AU50)*(N($AU50)&gt;$H$4)&gt;0,"leverage high","")))</f>
        <v/>
      </c>
      <c r="AZ50" s="86">
        <f>IF($C50="","",IF(HSI!$F$45="HKD","",HSI!$F$45))</f>
        <v/>
      </c>
    </row>
    <row r="51">
      <c r="B51" s="66" t="inlineStr">
        <is>
          <t>HSI</t>
        </is>
      </c>
      <c r="C51" s="8">
        <f>IF(HSI!$C$46="","",HSI!$C$46)</f>
        <v/>
      </c>
      <c r="D51" s="8">
        <f>IF($C51="","",HSI!$D$46)</f>
        <v/>
      </c>
      <c r="E51" s="8">
        <f>IF($C51="","",HSI!$E$46)</f>
        <v/>
      </c>
      <c r="F51" s="67">
        <f>IF($C51="","",SUMPRODUCT(('Dvd Calendar'!$E$440:$AR$440&gt;=DATE(YEAR_Y-5,1,1))*('Dvd Calendar'!$E$440:$AR$440&lt;=DATE(YEAR_Y-5,12,31))*'Dvd Calendar'!$E$443:$AR$443*(('Dvd Calendar'!$E$445:$AR$445=TYPE1)*(TYPE1&lt;&gt;"")+('Dvd Calendar'!$E$445:$AR$445=TYPE2)*(TYPE2&lt;&gt;"")+('Dvd Calendar'!$E$445:$AR$445=TYPE3)*(TYPE3&lt;&gt;"")+('Dvd Calendar'!$E$445:$AR$445=TYPE4)*(TYPE4&lt;&gt;"")+('Dvd Calendar'!$E$445:$AR$445=SPECIAL_LBL)*(INC_SPECIALS="Y"))))</f>
        <v/>
      </c>
      <c r="G51" s="68">
        <f>IF($C51="","",SUMPRODUCT(('Dvd Calendar'!$E$440:$AR$440&gt;=DATE(YEAR_Y-4,1,1))*('Dvd Calendar'!$E$440:$AR$440&lt;=DATE(YEAR_Y-4,12,31))*'Dvd Calendar'!$E$443:$AR$443*(('Dvd Calendar'!$E$445:$AR$445=TYPE1)*(TYPE1&lt;&gt;"")+('Dvd Calendar'!$E$445:$AR$445=TYPE2)*(TYPE2&lt;&gt;"")+('Dvd Calendar'!$E$445:$AR$445=TYPE3)*(TYPE3&lt;&gt;"")+('Dvd Calendar'!$E$445:$AR$445=TYPE4)*(TYPE4&lt;&gt;"")+('Dvd Calendar'!$E$445:$AR$445=SPECIAL_LBL)*(INC_SPECIALS="Y"))))</f>
        <v/>
      </c>
      <c r="H51" s="68">
        <f>IF($C51="","",SUMPRODUCT(('Dvd Calendar'!$E$440:$AR$440&gt;=DATE(YEAR_Y-3,1,1))*('Dvd Calendar'!$E$440:$AR$440&lt;=DATE(YEAR_Y-3,12,31))*'Dvd Calendar'!$E$443:$AR$443*(('Dvd Calendar'!$E$445:$AR$445=TYPE1)*(TYPE1&lt;&gt;"")+('Dvd Calendar'!$E$445:$AR$445=TYPE2)*(TYPE2&lt;&gt;"")+('Dvd Calendar'!$E$445:$AR$445=TYPE3)*(TYPE3&lt;&gt;"")+('Dvd Calendar'!$E$445:$AR$445=TYPE4)*(TYPE4&lt;&gt;"")+('Dvd Calendar'!$E$445:$AR$445=SPECIAL_LBL)*(INC_SPECIALS="Y"))))</f>
        <v/>
      </c>
      <c r="I51" s="68">
        <f>IF($C51="","",SUMPRODUCT(('Dvd Calendar'!$E$440:$AR$440&gt;=DATE(YEAR_Y-2,1,1))*('Dvd Calendar'!$E$440:$AR$440&lt;=DATE(YEAR_Y-2,12,31))*'Dvd Calendar'!$E$443:$AR$443*(('Dvd Calendar'!$E$445:$AR$445=TYPE1)*(TYPE1&lt;&gt;"")+('Dvd Calendar'!$E$445:$AR$445=TYPE2)*(TYPE2&lt;&gt;"")+('Dvd Calendar'!$E$445:$AR$445=TYPE3)*(TYPE3&lt;&gt;"")+('Dvd Calendar'!$E$445:$AR$445=TYPE4)*(TYPE4&lt;&gt;"")+('Dvd Calendar'!$E$445:$AR$445=SPECIAL_LBL)*(INC_SPECIALS="Y"))))</f>
        <v/>
      </c>
      <c r="J51" s="68">
        <f>IF($C51="","",SUMPRODUCT(('Dvd Calendar'!$E$440:$AR$440&gt;=DATE(YEAR_Y-1,1,1))*('Dvd Calendar'!$E$440:$AR$440&lt;=DATE(YEAR_Y-1,12,31))*'Dvd Calendar'!$E$443:$AR$443*(('Dvd Calendar'!$E$445:$AR$445=TYPE1)*(TYPE1&lt;&gt;"")+('Dvd Calendar'!$E$445:$AR$445=TYPE2)*(TYPE2&lt;&gt;"")+('Dvd Calendar'!$E$445:$AR$445=TYPE3)*(TYPE3&lt;&gt;"")+('Dvd Calendar'!$E$445:$AR$445=TYPE4)*(TYPE4&lt;&gt;"")+('Dvd Calendar'!$E$445:$AR$445=SPECIAL_LBL)*(INC_SPECIALS="Y"))))</f>
        <v/>
      </c>
      <c r="K51" s="69">
        <f>IF($C51="","",HSI!$J$46)</f>
        <v/>
      </c>
      <c r="L51" s="69">
        <f>IF($C51="","",HSI!$K$46)</f>
        <v/>
      </c>
      <c r="M51" s="44">
        <f>IF($C51="","",HSI!$J$46+HSI!$L$46)</f>
        <v/>
      </c>
      <c r="N51" s="70">
        <f>IF($C51="","",IF(PULL_FUND="N","",IFERROR(BDP($C51,BESTDPS_FIELD,FWD_OVERRIDE,TEXT(MOD(YEAR_Y,100),"00")&amp;"Y"),"")))</f>
        <v/>
      </c>
      <c r="O51" s="69">
        <f>IF($C51="","",AVERAGE(F51:J51))</f>
        <v/>
      </c>
      <c r="P51" s="71">
        <f>IF($C51="","",IF(PULL_FUND="N","",IF(COUNTIFS('Fund History'!$J$242:$J$246,"&gt;="&amp;DATE(YEAR_Y-5,1,1),'Fund History'!$J$242:$J$246,"&lt;="&amp;DATE(YEAR_Y-5,12,31))=0,"",IFERROR($F51*HSI!$G$46/SUMIFS('Fund History'!$K$242:$K$246,'Fund History'!$J$242:$J$246,"&gt;="&amp;DATE(YEAR_Y-5,1,1),'Fund History'!$J$242:$J$246,"&lt;="&amp;DATE(YEAR_Y-5,12,31)),""))))</f>
        <v/>
      </c>
      <c r="Q51" s="72">
        <f>IF($C51="","",IF(PULL_FUND="N","",IF(COUNTIFS('Fund History'!$J$242:$J$246,"&gt;="&amp;DATE(YEAR_Y-4,1,1),'Fund History'!$J$242:$J$246,"&lt;="&amp;DATE(YEAR_Y-4,12,31))=0,"",IFERROR($G51*HSI!$G$46/SUMIFS('Fund History'!$K$242:$K$246,'Fund History'!$J$242:$J$246,"&gt;="&amp;DATE(YEAR_Y-4,1,1),'Fund History'!$J$242:$J$246,"&lt;="&amp;DATE(YEAR_Y-4,12,31)),""))))</f>
        <v/>
      </c>
      <c r="R51" s="72">
        <f>IF($C51="","",IF(PULL_FUND="N","",IF(COUNTIFS('Fund History'!$J$242:$J$246,"&gt;="&amp;DATE(YEAR_Y-3,1,1),'Fund History'!$J$242:$J$246,"&lt;="&amp;DATE(YEAR_Y-3,12,31))=0,"",IFERROR($H51*HSI!$G$46/SUMIFS('Fund History'!$K$242:$K$246,'Fund History'!$J$242:$J$246,"&gt;="&amp;DATE(YEAR_Y-3,1,1),'Fund History'!$J$242:$J$246,"&lt;="&amp;DATE(YEAR_Y-3,12,31)),""))))</f>
        <v/>
      </c>
      <c r="S51" s="72">
        <f>IF($C51="","",IF(PULL_FUND="N","",IF(COUNTIFS('Fund History'!$J$242:$J$246,"&gt;="&amp;DATE(YEAR_Y-2,1,1),'Fund History'!$J$242:$J$246,"&lt;="&amp;DATE(YEAR_Y-2,12,31))=0,"",IFERROR($I51*HSI!$G$46/SUMIFS('Fund History'!$K$242:$K$246,'Fund History'!$J$242:$J$246,"&gt;="&amp;DATE(YEAR_Y-2,1,1),'Fund History'!$J$242:$J$246,"&lt;="&amp;DATE(YEAR_Y-2,12,31)),""))))</f>
        <v/>
      </c>
      <c r="T51" s="72">
        <f>IF($C51="","",IF(PULL_FUND="N","",IF(COUNTIFS('Fund History'!$J$242:$J$246,"&gt;="&amp;DATE(YEAR_Y-1,1,1),'Fund History'!$J$242:$J$246,"&lt;="&amp;DATE(YEAR_Y-1,12,31))=0,"",IFERROR($J51*HSI!$G$46/SUMIFS('Fund History'!$K$242:$K$246,'Fund History'!$J$242:$J$246,"&gt;="&amp;DATE(YEAR_Y-1,1,1),'Fund History'!$J$242:$J$246,"&lt;="&amp;DATE(YEAR_Y-1,12,31)),""))))</f>
        <v/>
      </c>
      <c r="U51" s="73">
        <f>IF($C51="","",IF(ISNUMBER(HSI!$I$46),HSI!$I$46/100,""))</f>
        <v/>
      </c>
      <c r="V51" s="74">
        <f>IF($C51="","",IF(ISNUMBER(HSI!$X$46),IFERROR($M51*HSI!$G$46/HSI!$X$46,""),""))</f>
        <v/>
      </c>
      <c r="W51" s="73">
        <f>IF($C51="","",IF(ISNUMBER($N51),IFERROR($N51*HSI!$G$46/HSI!$X$46,""),""))</f>
        <v/>
      </c>
      <c r="X51" s="75">
        <f>IF($C51="","",IF(PULL_FUND="N","",IFERROR(BDP($C51,EPS_FIELD,YR_OVERRIDE,TEXT(YEAR_Y-5,"0")),"")))</f>
        <v/>
      </c>
      <c r="Y51" s="76">
        <f>IF($C51="","",IF(PULL_FUND="N","",IFERROR(BDP($C51,EPS_FIELD,YR_OVERRIDE,TEXT(YEAR_Y-4,"0")),"")))</f>
        <v/>
      </c>
      <c r="Z51" s="76">
        <f>IF($C51="","",IF(PULL_FUND="N","",IFERROR(BDP($C51,EPS_FIELD,YR_OVERRIDE,TEXT(YEAR_Y-3,"0")),"")))</f>
        <v/>
      </c>
      <c r="AA51" s="76">
        <f>IF($C51="","",IF(PULL_FUND="N","",IFERROR(BDP($C51,EPS_FIELD,YR_OVERRIDE,TEXT(YEAR_Y-2,"0")),"")))</f>
        <v/>
      </c>
      <c r="AB51" s="76">
        <f>IF($C51="","",IF(PULL_FUND="N","",IFERROR(BDP($C51,EPS_FIELD,YR_OVERRIDE,TEXT(YEAR_Y-1,"0")),"")))</f>
        <v/>
      </c>
      <c r="AC51" s="50">
        <f>IF($C51="","",IFERROR(AVERAGE(X51:AB51),""))</f>
        <v/>
      </c>
      <c r="AD51" s="76">
        <f>IF($C51="","",IF(PULL_FUND="N","",IFERROR(BDP($C51,BESTEPS_FIELD,FWD_OVERRIDE,TEXT(MOD(YEAR_Y,100),"00")&amp;"Y"),"")))</f>
        <v/>
      </c>
      <c r="AE51" s="77">
        <f>IF($C51="","",IF(PULL_FUND="N","",IFERROR(BDP($C51,PAYOUT_FIELD,YR_OVERRIDE,TEXT(YEAR_Y-5,"0"))/100,"")))</f>
        <v/>
      </c>
      <c r="AF51" s="78">
        <f>IF($C51="","",IF(PULL_FUND="N","",IFERROR(BDP($C51,PAYOUT_FIELD,YR_OVERRIDE,TEXT(YEAR_Y-4,"0"))/100,"")))</f>
        <v/>
      </c>
      <c r="AG51" s="78">
        <f>IF($C51="","",IF(PULL_FUND="N","",IFERROR(BDP($C51,PAYOUT_FIELD,YR_OVERRIDE,TEXT(YEAR_Y-3,"0"))/100,"")))</f>
        <v/>
      </c>
      <c r="AH51" s="78">
        <f>IF($C51="","",IF(PULL_FUND="N","",IFERROR(BDP($C51,PAYOUT_FIELD,YR_OVERRIDE,TEXT(YEAR_Y-2,"0"))/100,"")))</f>
        <v/>
      </c>
      <c r="AI51" s="78">
        <f>IF($C51="","",IF(PULL_FUND="N","",IFERROR(BDP($C51,PAYOUT_FIELD,YR_OVERRIDE,TEXT(YEAR_Y-1,"0"))/100,"")))</f>
        <v/>
      </c>
      <c r="AJ51" s="79">
        <f>IF($C51="","",IFERROR(AVERAGE(AE51:AI51),""))</f>
        <v/>
      </c>
      <c r="AK51" s="80">
        <f>IF($C51="","",IF(ISNUMBER($AD51)*ISNUMBER($N51)*($AD51&lt;&gt;0)=0,"",$N51/$AD51))</f>
        <v/>
      </c>
      <c r="AL51" s="79">
        <f>IF($C51="","",IF(ISNUMBER($AD51)*($AD51&lt;&gt;0)=0,"",$M51/$AD51))</f>
        <v/>
      </c>
      <c r="AM51" s="37">
        <f>IF($C51="","",IF(ISNUMBER($AE51)*ISNUMBER($AI51)=0,"",IF($AI51&gt;$AE51+0.05,"rising",IF($AI51&lt;$AE51-0.05,"falling","stable"))))</f>
        <v/>
      </c>
      <c r="AN51" s="81">
        <f>IF($C51="","",IF(PULL_FUND="N","",IF(COUNTIFS('Fund History'!$G$242:$G$246,"&gt;="&amp;DATE(YEAR_Y-4,1,1),'Fund History'!$G$242:$G$246,"&lt;="&amp;DATE(YEAR_Y-4,12,31))=0,"",SUMIFS('Fund History'!$H$242:$H$246,'Fund History'!$G$242:$G$246,"&gt;="&amp;DATE(YEAR_Y-4,1,1),'Fund History'!$G$242:$G$246,"&lt;="&amp;DATE(YEAR_Y-4,12,31))/100)))</f>
        <v/>
      </c>
      <c r="AO51" s="82">
        <f>IF($C51="","",IF(PULL_FUND="N","",IF(COUNTIFS('Fund History'!$G$242:$G$246,"&gt;="&amp;DATE(YEAR_Y-3,1,1),'Fund History'!$G$242:$G$246,"&lt;="&amp;DATE(YEAR_Y-3,12,31))=0,"",SUMIFS('Fund History'!$H$242:$H$246,'Fund History'!$G$242:$G$246,"&gt;="&amp;DATE(YEAR_Y-3,1,1),'Fund History'!$G$242:$G$246,"&lt;="&amp;DATE(YEAR_Y-3,12,31))/100)))</f>
        <v/>
      </c>
      <c r="AP51" s="82">
        <f>IF($C51="","",IF(PULL_FUND="N","",IF(COUNTIFS('Fund History'!$G$242:$G$246,"&gt;="&amp;DATE(YEAR_Y-2,1,1),'Fund History'!$G$242:$G$246,"&lt;="&amp;DATE(YEAR_Y-2,12,31))=0,"",SUMIFS('Fund History'!$H$242:$H$246,'Fund History'!$G$242:$G$246,"&gt;="&amp;DATE(YEAR_Y-2,1,1),'Fund History'!$G$242:$G$246,"&lt;="&amp;DATE(YEAR_Y-2,12,31))/100)))</f>
        <v/>
      </c>
      <c r="AQ51" s="82">
        <f>IF($C51="","",IF(PULL_FUND="N","",IF(COUNTIFS('Fund History'!$G$242:$G$246,"&gt;="&amp;DATE(YEAR_Y-1,1,1),'Fund History'!$G$242:$G$246,"&lt;="&amp;DATE(YEAR_Y-1,12,31))=0,"",SUMIFS('Fund History'!$H$242:$H$246,'Fund History'!$G$242:$G$246,"&gt;="&amp;DATE(YEAR_Y-1,1,1),'Fund History'!$G$242:$G$246,"&lt;="&amp;DATE(YEAR_Y-1,12,31))/100)))</f>
        <v/>
      </c>
      <c r="AR51" s="83">
        <f>IF($C51="","",IF(N($AQ51)+N(HSI!$I$46)=0,"",N($AQ51)+N(HSI!$I$46)/100))</f>
        <v/>
      </c>
      <c r="AS51" s="75">
        <f>IF($C51="","",IF(PULL_FUND="N","",IF(COUNTIFS('Fund History'!$D$242:$D$246,"&gt;="&amp;DATE(YEAR_Y-2,1,1),'Fund History'!$D$242:$D$246,"&lt;="&amp;DATE(YEAR_Y-2,12,31))=0,"",SUMIFS('Fund History'!$E$242:$E$246,'Fund History'!$D$242:$D$246,"&gt;="&amp;DATE(YEAR_Y-2,1,1),'Fund History'!$D$242:$D$246,"&lt;="&amp;DATE(YEAR_Y-2,12,31)))))</f>
        <v/>
      </c>
      <c r="AT51" s="76">
        <f>IF($C51="","",IF(PULL_FUND="N","",IF(COUNTIFS('Fund History'!$D$242:$D$246,"&gt;="&amp;DATE(YEAR_Y-1,1,1),'Fund History'!$D$242:$D$246,"&lt;="&amp;DATE(YEAR_Y-1,12,31))=0,"",SUMIFS('Fund History'!$E$242:$E$246,'Fund History'!$D$242:$D$246,"&gt;="&amp;DATE(YEAR_Y-1,1,1),'Fund History'!$D$242:$D$246,"&lt;="&amp;DATE(YEAR_Y-1,12,31)))))</f>
        <v/>
      </c>
      <c r="AU51" s="76">
        <f>IF($C51="","",IF(PULL_FUND="N","",IFERROR(BDP($C51,NDEBITDA_FIELD),"")))</f>
        <v/>
      </c>
      <c r="AV51" s="84">
        <f>IF($C51="","",IF(PULL_FUND="N","",IFERROR(BDP($C51,EBINT_FIELD),"")))</f>
        <v/>
      </c>
      <c r="AW51" s="82">
        <f>IF($C51="","",IF(PULL_FUND="N","",IFERROR(BDP($C51,FCF_FIELD)/100,"")))</f>
        <v/>
      </c>
      <c r="AX51" s="50">
        <f>IF($C51="","",IF(N($U51)=0,"",IFERROR($AW51/$U51,"")))</f>
        <v/>
      </c>
      <c r="AY51" s="85">
        <f>IF($C51="","",TRIM(IF(ISNUMBER($AJ51)*(N($AJ51)&gt;$D$4)&gt;0,"payout high  ","")&amp;IF(ISNUMBER($AX51)*(N($AX51)&lt;$F$4)&gt;0,"FCF below dvd  ","")&amp;IF(ISNUMBER($AU51)*(N($AU51)&gt;$H$4)&gt;0,"leverage high","")))</f>
        <v/>
      </c>
      <c r="AZ51" s="86">
        <f>IF($C51="","",IF(HSI!$F$46="HKD","",HSI!$F$46))</f>
        <v/>
      </c>
    </row>
    <row r="52">
      <c r="B52" s="66" t="inlineStr">
        <is>
          <t>HSI</t>
        </is>
      </c>
      <c r="C52" s="8">
        <f>IF(HSI!$C$47="","",HSI!$C$47)</f>
        <v/>
      </c>
      <c r="D52" s="8">
        <f>IF($C52="","",HSI!$D$47)</f>
        <v/>
      </c>
      <c r="E52" s="8">
        <f>IF($C52="","",HSI!$E$47)</f>
        <v/>
      </c>
      <c r="F52" s="67">
        <f>IF($C52="","",SUMPRODUCT(('Dvd Calendar'!$E$451:$AR$451&gt;=DATE(YEAR_Y-5,1,1))*('Dvd Calendar'!$E$451:$AR$451&lt;=DATE(YEAR_Y-5,12,31))*'Dvd Calendar'!$E$454:$AR$454*(('Dvd Calendar'!$E$456:$AR$456=TYPE1)*(TYPE1&lt;&gt;"")+('Dvd Calendar'!$E$456:$AR$456=TYPE2)*(TYPE2&lt;&gt;"")+('Dvd Calendar'!$E$456:$AR$456=TYPE3)*(TYPE3&lt;&gt;"")+('Dvd Calendar'!$E$456:$AR$456=TYPE4)*(TYPE4&lt;&gt;"")+('Dvd Calendar'!$E$456:$AR$456=SPECIAL_LBL)*(INC_SPECIALS="Y"))))</f>
        <v/>
      </c>
      <c r="G52" s="68">
        <f>IF($C52="","",SUMPRODUCT(('Dvd Calendar'!$E$451:$AR$451&gt;=DATE(YEAR_Y-4,1,1))*('Dvd Calendar'!$E$451:$AR$451&lt;=DATE(YEAR_Y-4,12,31))*'Dvd Calendar'!$E$454:$AR$454*(('Dvd Calendar'!$E$456:$AR$456=TYPE1)*(TYPE1&lt;&gt;"")+('Dvd Calendar'!$E$456:$AR$456=TYPE2)*(TYPE2&lt;&gt;"")+('Dvd Calendar'!$E$456:$AR$456=TYPE3)*(TYPE3&lt;&gt;"")+('Dvd Calendar'!$E$456:$AR$456=TYPE4)*(TYPE4&lt;&gt;"")+('Dvd Calendar'!$E$456:$AR$456=SPECIAL_LBL)*(INC_SPECIALS="Y"))))</f>
        <v/>
      </c>
      <c r="H52" s="68">
        <f>IF($C52="","",SUMPRODUCT(('Dvd Calendar'!$E$451:$AR$451&gt;=DATE(YEAR_Y-3,1,1))*('Dvd Calendar'!$E$451:$AR$451&lt;=DATE(YEAR_Y-3,12,31))*'Dvd Calendar'!$E$454:$AR$454*(('Dvd Calendar'!$E$456:$AR$456=TYPE1)*(TYPE1&lt;&gt;"")+('Dvd Calendar'!$E$456:$AR$456=TYPE2)*(TYPE2&lt;&gt;"")+('Dvd Calendar'!$E$456:$AR$456=TYPE3)*(TYPE3&lt;&gt;"")+('Dvd Calendar'!$E$456:$AR$456=TYPE4)*(TYPE4&lt;&gt;"")+('Dvd Calendar'!$E$456:$AR$456=SPECIAL_LBL)*(INC_SPECIALS="Y"))))</f>
        <v/>
      </c>
      <c r="I52" s="68">
        <f>IF($C52="","",SUMPRODUCT(('Dvd Calendar'!$E$451:$AR$451&gt;=DATE(YEAR_Y-2,1,1))*('Dvd Calendar'!$E$451:$AR$451&lt;=DATE(YEAR_Y-2,12,31))*'Dvd Calendar'!$E$454:$AR$454*(('Dvd Calendar'!$E$456:$AR$456=TYPE1)*(TYPE1&lt;&gt;"")+('Dvd Calendar'!$E$456:$AR$456=TYPE2)*(TYPE2&lt;&gt;"")+('Dvd Calendar'!$E$456:$AR$456=TYPE3)*(TYPE3&lt;&gt;"")+('Dvd Calendar'!$E$456:$AR$456=TYPE4)*(TYPE4&lt;&gt;"")+('Dvd Calendar'!$E$456:$AR$456=SPECIAL_LBL)*(INC_SPECIALS="Y"))))</f>
        <v/>
      </c>
      <c r="J52" s="68">
        <f>IF($C52="","",SUMPRODUCT(('Dvd Calendar'!$E$451:$AR$451&gt;=DATE(YEAR_Y-1,1,1))*('Dvd Calendar'!$E$451:$AR$451&lt;=DATE(YEAR_Y-1,12,31))*'Dvd Calendar'!$E$454:$AR$454*(('Dvd Calendar'!$E$456:$AR$456=TYPE1)*(TYPE1&lt;&gt;"")+('Dvd Calendar'!$E$456:$AR$456=TYPE2)*(TYPE2&lt;&gt;"")+('Dvd Calendar'!$E$456:$AR$456=TYPE3)*(TYPE3&lt;&gt;"")+('Dvd Calendar'!$E$456:$AR$456=TYPE4)*(TYPE4&lt;&gt;"")+('Dvd Calendar'!$E$456:$AR$456=SPECIAL_LBL)*(INC_SPECIALS="Y"))))</f>
        <v/>
      </c>
      <c r="K52" s="69">
        <f>IF($C52="","",HSI!$J$47)</f>
        <v/>
      </c>
      <c r="L52" s="69">
        <f>IF($C52="","",HSI!$K$47)</f>
        <v/>
      </c>
      <c r="M52" s="44">
        <f>IF($C52="","",HSI!$J$47+HSI!$L$47)</f>
        <v/>
      </c>
      <c r="N52" s="70">
        <f>IF($C52="","",IF(PULL_FUND="N","",IFERROR(BDP($C52,BESTDPS_FIELD,FWD_OVERRIDE,TEXT(MOD(YEAR_Y,100),"00")&amp;"Y"),"")))</f>
        <v/>
      </c>
      <c r="O52" s="69">
        <f>IF($C52="","",AVERAGE(F52:J52))</f>
        <v/>
      </c>
      <c r="P52" s="71">
        <f>IF($C52="","",IF(PULL_FUND="N","",IF(COUNTIFS('Fund History'!$J$248:$J$252,"&gt;="&amp;DATE(YEAR_Y-5,1,1),'Fund History'!$J$248:$J$252,"&lt;="&amp;DATE(YEAR_Y-5,12,31))=0,"",IFERROR($F52*HSI!$G$47/SUMIFS('Fund History'!$K$248:$K$252,'Fund History'!$J$248:$J$252,"&gt;="&amp;DATE(YEAR_Y-5,1,1),'Fund History'!$J$248:$J$252,"&lt;="&amp;DATE(YEAR_Y-5,12,31)),""))))</f>
        <v/>
      </c>
      <c r="Q52" s="72">
        <f>IF($C52="","",IF(PULL_FUND="N","",IF(COUNTIFS('Fund History'!$J$248:$J$252,"&gt;="&amp;DATE(YEAR_Y-4,1,1),'Fund History'!$J$248:$J$252,"&lt;="&amp;DATE(YEAR_Y-4,12,31))=0,"",IFERROR($G52*HSI!$G$47/SUMIFS('Fund History'!$K$248:$K$252,'Fund History'!$J$248:$J$252,"&gt;="&amp;DATE(YEAR_Y-4,1,1),'Fund History'!$J$248:$J$252,"&lt;="&amp;DATE(YEAR_Y-4,12,31)),""))))</f>
        <v/>
      </c>
      <c r="R52" s="72">
        <f>IF($C52="","",IF(PULL_FUND="N","",IF(COUNTIFS('Fund History'!$J$248:$J$252,"&gt;="&amp;DATE(YEAR_Y-3,1,1),'Fund History'!$J$248:$J$252,"&lt;="&amp;DATE(YEAR_Y-3,12,31))=0,"",IFERROR($H52*HSI!$G$47/SUMIFS('Fund History'!$K$248:$K$252,'Fund History'!$J$248:$J$252,"&gt;="&amp;DATE(YEAR_Y-3,1,1),'Fund History'!$J$248:$J$252,"&lt;="&amp;DATE(YEAR_Y-3,12,31)),""))))</f>
        <v/>
      </c>
      <c r="S52" s="72">
        <f>IF($C52="","",IF(PULL_FUND="N","",IF(COUNTIFS('Fund History'!$J$248:$J$252,"&gt;="&amp;DATE(YEAR_Y-2,1,1),'Fund History'!$J$248:$J$252,"&lt;="&amp;DATE(YEAR_Y-2,12,31))=0,"",IFERROR($I52*HSI!$G$47/SUMIFS('Fund History'!$K$248:$K$252,'Fund History'!$J$248:$J$252,"&gt;="&amp;DATE(YEAR_Y-2,1,1),'Fund History'!$J$248:$J$252,"&lt;="&amp;DATE(YEAR_Y-2,12,31)),""))))</f>
        <v/>
      </c>
      <c r="T52" s="72">
        <f>IF($C52="","",IF(PULL_FUND="N","",IF(COUNTIFS('Fund History'!$J$248:$J$252,"&gt;="&amp;DATE(YEAR_Y-1,1,1),'Fund History'!$J$248:$J$252,"&lt;="&amp;DATE(YEAR_Y-1,12,31))=0,"",IFERROR($J52*HSI!$G$47/SUMIFS('Fund History'!$K$248:$K$252,'Fund History'!$J$248:$J$252,"&gt;="&amp;DATE(YEAR_Y-1,1,1),'Fund History'!$J$248:$J$252,"&lt;="&amp;DATE(YEAR_Y-1,12,31)),""))))</f>
        <v/>
      </c>
      <c r="U52" s="73">
        <f>IF($C52="","",IF(ISNUMBER(HSI!$I$47),HSI!$I$47/100,""))</f>
        <v/>
      </c>
      <c r="V52" s="74">
        <f>IF($C52="","",IF(ISNUMBER(HSI!$X$47),IFERROR($M52*HSI!$G$47/HSI!$X$47,""),""))</f>
        <v/>
      </c>
      <c r="W52" s="73">
        <f>IF($C52="","",IF(ISNUMBER($N52),IFERROR($N52*HSI!$G$47/HSI!$X$47,""),""))</f>
        <v/>
      </c>
      <c r="X52" s="75">
        <f>IF($C52="","",IF(PULL_FUND="N","",IFERROR(BDP($C52,EPS_FIELD,YR_OVERRIDE,TEXT(YEAR_Y-5,"0")),"")))</f>
        <v/>
      </c>
      <c r="Y52" s="76">
        <f>IF($C52="","",IF(PULL_FUND="N","",IFERROR(BDP($C52,EPS_FIELD,YR_OVERRIDE,TEXT(YEAR_Y-4,"0")),"")))</f>
        <v/>
      </c>
      <c r="Z52" s="76">
        <f>IF($C52="","",IF(PULL_FUND="N","",IFERROR(BDP($C52,EPS_FIELD,YR_OVERRIDE,TEXT(YEAR_Y-3,"0")),"")))</f>
        <v/>
      </c>
      <c r="AA52" s="76">
        <f>IF($C52="","",IF(PULL_FUND="N","",IFERROR(BDP($C52,EPS_FIELD,YR_OVERRIDE,TEXT(YEAR_Y-2,"0")),"")))</f>
        <v/>
      </c>
      <c r="AB52" s="76">
        <f>IF($C52="","",IF(PULL_FUND="N","",IFERROR(BDP($C52,EPS_FIELD,YR_OVERRIDE,TEXT(YEAR_Y-1,"0")),"")))</f>
        <v/>
      </c>
      <c r="AC52" s="50">
        <f>IF($C52="","",IFERROR(AVERAGE(X52:AB52),""))</f>
        <v/>
      </c>
      <c r="AD52" s="76">
        <f>IF($C52="","",IF(PULL_FUND="N","",IFERROR(BDP($C52,BESTEPS_FIELD,FWD_OVERRIDE,TEXT(MOD(YEAR_Y,100),"00")&amp;"Y"),"")))</f>
        <v/>
      </c>
      <c r="AE52" s="77">
        <f>IF($C52="","",IF(PULL_FUND="N","",IFERROR(BDP($C52,PAYOUT_FIELD,YR_OVERRIDE,TEXT(YEAR_Y-5,"0"))/100,"")))</f>
        <v/>
      </c>
      <c r="AF52" s="78">
        <f>IF($C52="","",IF(PULL_FUND="N","",IFERROR(BDP($C52,PAYOUT_FIELD,YR_OVERRIDE,TEXT(YEAR_Y-4,"0"))/100,"")))</f>
        <v/>
      </c>
      <c r="AG52" s="78">
        <f>IF($C52="","",IF(PULL_FUND="N","",IFERROR(BDP($C52,PAYOUT_FIELD,YR_OVERRIDE,TEXT(YEAR_Y-3,"0"))/100,"")))</f>
        <v/>
      </c>
      <c r="AH52" s="78">
        <f>IF($C52="","",IF(PULL_FUND="N","",IFERROR(BDP($C52,PAYOUT_FIELD,YR_OVERRIDE,TEXT(YEAR_Y-2,"0"))/100,"")))</f>
        <v/>
      </c>
      <c r="AI52" s="78">
        <f>IF($C52="","",IF(PULL_FUND="N","",IFERROR(BDP($C52,PAYOUT_FIELD,YR_OVERRIDE,TEXT(YEAR_Y-1,"0"))/100,"")))</f>
        <v/>
      </c>
      <c r="AJ52" s="79">
        <f>IF($C52="","",IFERROR(AVERAGE(AE52:AI52),""))</f>
        <v/>
      </c>
      <c r="AK52" s="80">
        <f>IF($C52="","",IF(ISNUMBER($AD52)*ISNUMBER($N52)*($AD52&lt;&gt;0)=0,"",$N52/$AD52))</f>
        <v/>
      </c>
      <c r="AL52" s="79">
        <f>IF($C52="","",IF(ISNUMBER($AD52)*($AD52&lt;&gt;0)=0,"",$M52/$AD52))</f>
        <v/>
      </c>
      <c r="AM52" s="37">
        <f>IF($C52="","",IF(ISNUMBER($AE52)*ISNUMBER($AI52)=0,"",IF($AI52&gt;$AE52+0.05,"rising",IF($AI52&lt;$AE52-0.05,"falling","stable"))))</f>
        <v/>
      </c>
      <c r="AN52" s="81">
        <f>IF($C52="","",IF(PULL_FUND="N","",IF(COUNTIFS('Fund History'!$G$248:$G$252,"&gt;="&amp;DATE(YEAR_Y-4,1,1),'Fund History'!$G$248:$G$252,"&lt;="&amp;DATE(YEAR_Y-4,12,31))=0,"",SUMIFS('Fund History'!$H$248:$H$252,'Fund History'!$G$248:$G$252,"&gt;="&amp;DATE(YEAR_Y-4,1,1),'Fund History'!$G$248:$G$252,"&lt;="&amp;DATE(YEAR_Y-4,12,31))/100)))</f>
        <v/>
      </c>
      <c r="AO52" s="82">
        <f>IF($C52="","",IF(PULL_FUND="N","",IF(COUNTIFS('Fund History'!$G$248:$G$252,"&gt;="&amp;DATE(YEAR_Y-3,1,1),'Fund History'!$G$248:$G$252,"&lt;="&amp;DATE(YEAR_Y-3,12,31))=0,"",SUMIFS('Fund History'!$H$248:$H$252,'Fund History'!$G$248:$G$252,"&gt;="&amp;DATE(YEAR_Y-3,1,1),'Fund History'!$G$248:$G$252,"&lt;="&amp;DATE(YEAR_Y-3,12,31))/100)))</f>
        <v/>
      </c>
      <c r="AP52" s="82">
        <f>IF($C52="","",IF(PULL_FUND="N","",IF(COUNTIFS('Fund History'!$G$248:$G$252,"&gt;="&amp;DATE(YEAR_Y-2,1,1),'Fund History'!$G$248:$G$252,"&lt;="&amp;DATE(YEAR_Y-2,12,31))=0,"",SUMIFS('Fund History'!$H$248:$H$252,'Fund History'!$G$248:$G$252,"&gt;="&amp;DATE(YEAR_Y-2,1,1),'Fund History'!$G$248:$G$252,"&lt;="&amp;DATE(YEAR_Y-2,12,31))/100)))</f>
        <v/>
      </c>
      <c r="AQ52" s="82">
        <f>IF($C52="","",IF(PULL_FUND="N","",IF(COUNTIFS('Fund History'!$G$248:$G$252,"&gt;="&amp;DATE(YEAR_Y-1,1,1),'Fund History'!$G$248:$G$252,"&lt;="&amp;DATE(YEAR_Y-1,12,31))=0,"",SUMIFS('Fund History'!$H$248:$H$252,'Fund History'!$G$248:$G$252,"&gt;="&amp;DATE(YEAR_Y-1,1,1),'Fund History'!$G$248:$G$252,"&lt;="&amp;DATE(YEAR_Y-1,12,31))/100)))</f>
        <v/>
      </c>
      <c r="AR52" s="83">
        <f>IF($C52="","",IF(N($AQ52)+N(HSI!$I$47)=0,"",N($AQ52)+N(HSI!$I$47)/100))</f>
        <v/>
      </c>
      <c r="AS52" s="75">
        <f>IF($C52="","",IF(PULL_FUND="N","",IF(COUNTIFS('Fund History'!$D$248:$D$252,"&gt;="&amp;DATE(YEAR_Y-2,1,1),'Fund History'!$D$248:$D$252,"&lt;="&amp;DATE(YEAR_Y-2,12,31))=0,"",SUMIFS('Fund History'!$E$248:$E$252,'Fund History'!$D$248:$D$252,"&gt;="&amp;DATE(YEAR_Y-2,1,1),'Fund History'!$D$248:$D$252,"&lt;="&amp;DATE(YEAR_Y-2,12,31)))))</f>
        <v/>
      </c>
      <c r="AT52" s="76">
        <f>IF($C52="","",IF(PULL_FUND="N","",IF(COUNTIFS('Fund History'!$D$248:$D$252,"&gt;="&amp;DATE(YEAR_Y-1,1,1),'Fund History'!$D$248:$D$252,"&lt;="&amp;DATE(YEAR_Y-1,12,31))=0,"",SUMIFS('Fund History'!$E$248:$E$252,'Fund History'!$D$248:$D$252,"&gt;="&amp;DATE(YEAR_Y-1,1,1),'Fund History'!$D$248:$D$252,"&lt;="&amp;DATE(YEAR_Y-1,12,31)))))</f>
        <v/>
      </c>
      <c r="AU52" s="76">
        <f>IF($C52="","",IF(PULL_FUND="N","",IFERROR(BDP($C52,NDEBITDA_FIELD),"")))</f>
        <v/>
      </c>
      <c r="AV52" s="84">
        <f>IF($C52="","",IF(PULL_FUND="N","",IFERROR(BDP($C52,EBINT_FIELD),"")))</f>
        <v/>
      </c>
      <c r="AW52" s="82">
        <f>IF($C52="","",IF(PULL_FUND="N","",IFERROR(BDP($C52,FCF_FIELD)/100,"")))</f>
        <v/>
      </c>
      <c r="AX52" s="50">
        <f>IF($C52="","",IF(N($U52)=0,"",IFERROR($AW52/$U52,"")))</f>
        <v/>
      </c>
      <c r="AY52" s="85">
        <f>IF($C52="","",TRIM(IF(ISNUMBER($AJ52)*(N($AJ52)&gt;$D$4)&gt;0,"payout high  ","")&amp;IF(ISNUMBER($AX52)*(N($AX52)&lt;$F$4)&gt;0,"FCF below dvd  ","")&amp;IF(ISNUMBER($AU52)*(N($AU52)&gt;$H$4)&gt;0,"leverage high","")))</f>
        <v/>
      </c>
      <c r="AZ52" s="86">
        <f>IF($C52="","",IF(HSI!$F$47="HKD","",HSI!$F$47))</f>
        <v/>
      </c>
    </row>
    <row r="53">
      <c r="B53" s="66" t="inlineStr">
        <is>
          <t>HSI</t>
        </is>
      </c>
      <c r="C53" s="8">
        <f>IF(HSI!$C$48="","",HSI!$C$48)</f>
        <v/>
      </c>
      <c r="D53" s="8">
        <f>IF($C53="","",HSI!$D$48)</f>
        <v/>
      </c>
      <c r="E53" s="8">
        <f>IF($C53="","",HSI!$E$48)</f>
        <v/>
      </c>
      <c r="F53" s="67">
        <f>IF($C53="","",SUMPRODUCT(('Dvd Calendar'!$E$462:$AR$462&gt;=DATE(YEAR_Y-5,1,1))*('Dvd Calendar'!$E$462:$AR$462&lt;=DATE(YEAR_Y-5,12,31))*'Dvd Calendar'!$E$465:$AR$465*(('Dvd Calendar'!$E$467:$AR$467=TYPE1)*(TYPE1&lt;&gt;"")+('Dvd Calendar'!$E$467:$AR$467=TYPE2)*(TYPE2&lt;&gt;"")+('Dvd Calendar'!$E$467:$AR$467=TYPE3)*(TYPE3&lt;&gt;"")+('Dvd Calendar'!$E$467:$AR$467=TYPE4)*(TYPE4&lt;&gt;"")+('Dvd Calendar'!$E$467:$AR$467=SPECIAL_LBL)*(INC_SPECIALS="Y"))))</f>
        <v/>
      </c>
      <c r="G53" s="68">
        <f>IF($C53="","",SUMPRODUCT(('Dvd Calendar'!$E$462:$AR$462&gt;=DATE(YEAR_Y-4,1,1))*('Dvd Calendar'!$E$462:$AR$462&lt;=DATE(YEAR_Y-4,12,31))*'Dvd Calendar'!$E$465:$AR$465*(('Dvd Calendar'!$E$467:$AR$467=TYPE1)*(TYPE1&lt;&gt;"")+('Dvd Calendar'!$E$467:$AR$467=TYPE2)*(TYPE2&lt;&gt;"")+('Dvd Calendar'!$E$467:$AR$467=TYPE3)*(TYPE3&lt;&gt;"")+('Dvd Calendar'!$E$467:$AR$467=TYPE4)*(TYPE4&lt;&gt;"")+('Dvd Calendar'!$E$467:$AR$467=SPECIAL_LBL)*(INC_SPECIALS="Y"))))</f>
        <v/>
      </c>
      <c r="H53" s="68">
        <f>IF($C53="","",SUMPRODUCT(('Dvd Calendar'!$E$462:$AR$462&gt;=DATE(YEAR_Y-3,1,1))*('Dvd Calendar'!$E$462:$AR$462&lt;=DATE(YEAR_Y-3,12,31))*'Dvd Calendar'!$E$465:$AR$465*(('Dvd Calendar'!$E$467:$AR$467=TYPE1)*(TYPE1&lt;&gt;"")+('Dvd Calendar'!$E$467:$AR$467=TYPE2)*(TYPE2&lt;&gt;"")+('Dvd Calendar'!$E$467:$AR$467=TYPE3)*(TYPE3&lt;&gt;"")+('Dvd Calendar'!$E$467:$AR$467=TYPE4)*(TYPE4&lt;&gt;"")+('Dvd Calendar'!$E$467:$AR$467=SPECIAL_LBL)*(INC_SPECIALS="Y"))))</f>
        <v/>
      </c>
      <c r="I53" s="68">
        <f>IF($C53="","",SUMPRODUCT(('Dvd Calendar'!$E$462:$AR$462&gt;=DATE(YEAR_Y-2,1,1))*('Dvd Calendar'!$E$462:$AR$462&lt;=DATE(YEAR_Y-2,12,31))*'Dvd Calendar'!$E$465:$AR$465*(('Dvd Calendar'!$E$467:$AR$467=TYPE1)*(TYPE1&lt;&gt;"")+('Dvd Calendar'!$E$467:$AR$467=TYPE2)*(TYPE2&lt;&gt;"")+('Dvd Calendar'!$E$467:$AR$467=TYPE3)*(TYPE3&lt;&gt;"")+('Dvd Calendar'!$E$467:$AR$467=TYPE4)*(TYPE4&lt;&gt;"")+('Dvd Calendar'!$E$467:$AR$467=SPECIAL_LBL)*(INC_SPECIALS="Y"))))</f>
        <v/>
      </c>
      <c r="J53" s="68">
        <f>IF($C53="","",SUMPRODUCT(('Dvd Calendar'!$E$462:$AR$462&gt;=DATE(YEAR_Y-1,1,1))*('Dvd Calendar'!$E$462:$AR$462&lt;=DATE(YEAR_Y-1,12,31))*'Dvd Calendar'!$E$465:$AR$465*(('Dvd Calendar'!$E$467:$AR$467=TYPE1)*(TYPE1&lt;&gt;"")+('Dvd Calendar'!$E$467:$AR$467=TYPE2)*(TYPE2&lt;&gt;"")+('Dvd Calendar'!$E$467:$AR$467=TYPE3)*(TYPE3&lt;&gt;"")+('Dvd Calendar'!$E$467:$AR$467=TYPE4)*(TYPE4&lt;&gt;"")+('Dvd Calendar'!$E$467:$AR$467=SPECIAL_LBL)*(INC_SPECIALS="Y"))))</f>
        <v/>
      </c>
      <c r="K53" s="69">
        <f>IF($C53="","",HSI!$J$48)</f>
        <v/>
      </c>
      <c r="L53" s="69">
        <f>IF($C53="","",HSI!$K$48)</f>
        <v/>
      </c>
      <c r="M53" s="44">
        <f>IF($C53="","",HSI!$J$48+HSI!$L$48)</f>
        <v/>
      </c>
      <c r="N53" s="70">
        <f>IF($C53="","",IF(PULL_FUND="N","",IFERROR(BDP($C53,BESTDPS_FIELD,FWD_OVERRIDE,TEXT(MOD(YEAR_Y,100),"00")&amp;"Y"),"")))</f>
        <v/>
      </c>
      <c r="O53" s="69">
        <f>IF($C53="","",AVERAGE(F53:J53))</f>
        <v/>
      </c>
      <c r="P53" s="71">
        <f>IF($C53="","",IF(PULL_FUND="N","",IF(COUNTIFS('Fund History'!$J$254:$J$258,"&gt;="&amp;DATE(YEAR_Y-5,1,1),'Fund History'!$J$254:$J$258,"&lt;="&amp;DATE(YEAR_Y-5,12,31))=0,"",IFERROR($F53*HSI!$G$48/SUMIFS('Fund History'!$K$254:$K$258,'Fund History'!$J$254:$J$258,"&gt;="&amp;DATE(YEAR_Y-5,1,1),'Fund History'!$J$254:$J$258,"&lt;="&amp;DATE(YEAR_Y-5,12,31)),""))))</f>
        <v/>
      </c>
      <c r="Q53" s="72">
        <f>IF($C53="","",IF(PULL_FUND="N","",IF(COUNTIFS('Fund History'!$J$254:$J$258,"&gt;="&amp;DATE(YEAR_Y-4,1,1),'Fund History'!$J$254:$J$258,"&lt;="&amp;DATE(YEAR_Y-4,12,31))=0,"",IFERROR($G53*HSI!$G$48/SUMIFS('Fund History'!$K$254:$K$258,'Fund History'!$J$254:$J$258,"&gt;="&amp;DATE(YEAR_Y-4,1,1),'Fund History'!$J$254:$J$258,"&lt;="&amp;DATE(YEAR_Y-4,12,31)),""))))</f>
        <v/>
      </c>
      <c r="R53" s="72">
        <f>IF($C53="","",IF(PULL_FUND="N","",IF(COUNTIFS('Fund History'!$J$254:$J$258,"&gt;="&amp;DATE(YEAR_Y-3,1,1),'Fund History'!$J$254:$J$258,"&lt;="&amp;DATE(YEAR_Y-3,12,31))=0,"",IFERROR($H53*HSI!$G$48/SUMIFS('Fund History'!$K$254:$K$258,'Fund History'!$J$254:$J$258,"&gt;="&amp;DATE(YEAR_Y-3,1,1),'Fund History'!$J$254:$J$258,"&lt;="&amp;DATE(YEAR_Y-3,12,31)),""))))</f>
        <v/>
      </c>
      <c r="S53" s="72">
        <f>IF($C53="","",IF(PULL_FUND="N","",IF(COUNTIFS('Fund History'!$J$254:$J$258,"&gt;="&amp;DATE(YEAR_Y-2,1,1),'Fund History'!$J$254:$J$258,"&lt;="&amp;DATE(YEAR_Y-2,12,31))=0,"",IFERROR($I53*HSI!$G$48/SUMIFS('Fund History'!$K$254:$K$258,'Fund History'!$J$254:$J$258,"&gt;="&amp;DATE(YEAR_Y-2,1,1),'Fund History'!$J$254:$J$258,"&lt;="&amp;DATE(YEAR_Y-2,12,31)),""))))</f>
        <v/>
      </c>
      <c r="T53" s="72">
        <f>IF($C53="","",IF(PULL_FUND="N","",IF(COUNTIFS('Fund History'!$J$254:$J$258,"&gt;="&amp;DATE(YEAR_Y-1,1,1),'Fund History'!$J$254:$J$258,"&lt;="&amp;DATE(YEAR_Y-1,12,31))=0,"",IFERROR($J53*HSI!$G$48/SUMIFS('Fund History'!$K$254:$K$258,'Fund History'!$J$254:$J$258,"&gt;="&amp;DATE(YEAR_Y-1,1,1),'Fund History'!$J$254:$J$258,"&lt;="&amp;DATE(YEAR_Y-1,12,31)),""))))</f>
        <v/>
      </c>
      <c r="U53" s="73">
        <f>IF($C53="","",IF(ISNUMBER(HSI!$I$48),HSI!$I$48/100,""))</f>
        <v/>
      </c>
      <c r="V53" s="74">
        <f>IF($C53="","",IF(ISNUMBER(HSI!$X$48),IFERROR($M53*HSI!$G$48/HSI!$X$48,""),""))</f>
        <v/>
      </c>
      <c r="W53" s="73">
        <f>IF($C53="","",IF(ISNUMBER($N53),IFERROR($N53*HSI!$G$48/HSI!$X$48,""),""))</f>
        <v/>
      </c>
      <c r="X53" s="75">
        <f>IF($C53="","",IF(PULL_FUND="N","",IFERROR(BDP($C53,EPS_FIELD,YR_OVERRIDE,TEXT(YEAR_Y-5,"0")),"")))</f>
        <v/>
      </c>
      <c r="Y53" s="76">
        <f>IF($C53="","",IF(PULL_FUND="N","",IFERROR(BDP($C53,EPS_FIELD,YR_OVERRIDE,TEXT(YEAR_Y-4,"0")),"")))</f>
        <v/>
      </c>
      <c r="Z53" s="76">
        <f>IF($C53="","",IF(PULL_FUND="N","",IFERROR(BDP($C53,EPS_FIELD,YR_OVERRIDE,TEXT(YEAR_Y-3,"0")),"")))</f>
        <v/>
      </c>
      <c r="AA53" s="76">
        <f>IF($C53="","",IF(PULL_FUND="N","",IFERROR(BDP($C53,EPS_FIELD,YR_OVERRIDE,TEXT(YEAR_Y-2,"0")),"")))</f>
        <v/>
      </c>
      <c r="AB53" s="76">
        <f>IF($C53="","",IF(PULL_FUND="N","",IFERROR(BDP($C53,EPS_FIELD,YR_OVERRIDE,TEXT(YEAR_Y-1,"0")),"")))</f>
        <v/>
      </c>
      <c r="AC53" s="50">
        <f>IF($C53="","",IFERROR(AVERAGE(X53:AB53),""))</f>
        <v/>
      </c>
      <c r="AD53" s="76">
        <f>IF($C53="","",IF(PULL_FUND="N","",IFERROR(BDP($C53,BESTEPS_FIELD,FWD_OVERRIDE,TEXT(MOD(YEAR_Y,100),"00")&amp;"Y"),"")))</f>
        <v/>
      </c>
      <c r="AE53" s="77">
        <f>IF($C53="","",IF(PULL_FUND="N","",IFERROR(BDP($C53,PAYOUT_FIELD,YR_OVERRIDE,TEXT(YEAR_Y-5,"0"))/100,"")))</f>
        <v/>
      </c>
      <c r="AF53" s="78">
        <f>IF($C53="","",IF(PULL_FUND="N","",IFERROR(BDP($C53,PAYOUT_FIELD,YR_OVERRIDE,TEXT(YEAR_Y-4,"0"))/100,"")))</f>
        <v/>
      </c>
      <c r="AG53" s="78">
        <f>IF($C53="","",IF(PULL_FUND="N","",IFERROR(BDP($C53,PAYOUT_FIELD,YR_OVERRIDE,TEXT(YEAR_Y-3,"0"))/100,"")))</f>
        <v/>
      </c>
      <c r="AH53" s="78">
        <f>IF($C53="","",IF(PULL_FUND="N","",IFERROR(BDP($C53,PAYOUT_FIELD,YR_OVERRIDE,TEXT(YEAR_Y-2,"0"))/100,"")))</f>
        <v/>
      </c>
      <c r="AI53" s="78">
        <f>IF($C53="","",IF(PULL_FUND="N","",IFERROR(BDP($C53,PAYOUT_FIELD,YR_OVERRIDE,TEXT(YEAR_Y-1,"0"))/100,"")))</f>
        <v/>
      </c>
      <c r="AJ53" s="79">
        <f>IF($C53="","",IFERROR(AVERAGE(AE53:AI53),""))</f>
        <v/>
      </c>
      <c r="AK53" s="80">
        <f>IF($C53="","",IF(ISNUMBER($AD53)*ISNUMBER($N53)*($AD53&lt;&gt;0)=0,"",$N53/$AD53))</f>
        <v/>
      </c>
      <c r="AL53" s="79">
        <f>IF($C53="","",IF(ISNUMBER($AD53)*($AD53&lt;&gt;0)=0,"",$M53/$AD53))</f>
        <v/>
      </c>
      <c r="AM53" s="37">
        <f>IF($C53="","",IF(ISNUMBER($AE53)*ISNUMBER($AI53)=0,"",IF($AI53&gt;$AE53+0.05,"rising",IF($AI53&lt;$AE53-0.05,"falling","stable"))))</f>
        <v/>
      </c>
      <c r="AN53" s="81">
        <f>IF($C53="","",IF(PULL_FUND="N","",IF(COUNTIFS('Fund History'!$G$254:$G$258,"&gt;="&amp;DATE(YEAR_Y-4,1,1),'Fund History'!$G$254:$G$258,"&lt;="&amp;DATE(YEAR_Y-4,12,31))=0,"",SUMIFS('Fund History'!$H$254:$H$258,'Fund History'!$G$254:$G$258,"&gt;="&amp;DATE(YEAR_Y-4,1,1),'Fund History'!$G$254:$G$258,"&lt;="&amp;DATE(YEAR_Y-4,12,31))/100)))</f>
        <v/>
      </c>
      <c r="AO53" s="82">
        <f>IF($C53="","",IF(PULL_FUND="N","",IF(COUNTIFS('Fund History'!$G$254:$G$258,"&gt;="&amp;DATE(YEAR_Y-3,1,1),'Fund History'!$G$254:$G$258,"&lt;="&amp;DATE(YEAR_Y-3,12,31))=0,"",SUMIFS('Fund History'!$H$254:$H$258,'Fund History'!$G$254:$G$258,"&gt;="&amp;DATE(YEAR_Y-3,1,1),'Fund History'!$G$254:$G$258,"&lt;="&amp;DATE(YEAR_Y-3,12,31))/100)))</f>
        <v/>
      </c>
      <c r="AP53" s="82">
        <f>IF($C53="","",IF(PULL_FUND="N","",IF(COUNTIFS('Fund History'!$G$254:$G$258,"&gt;="&amp;DATE(YEAR_Y-2,1,1),'Fund History'!$G$254:$G$258,"&lt;="&amp;DATE(YEAR_Y-2,12,31))=0,"",SUMIFS('Fund History'!$H$254:$H$258,'Fund History'!$G$254:$G$258,"&gt;="&amp;DATE(YEAR_Y-2,1,1),'Fund History'!$G$254:$G$258,"&lt;="&amp;DATE(YEAR_Y-2,12,31))/100)))</f>
        <v/>
      </c>
      <c r="AQ53" s="82">
        <f>IF($C53="","",IF(PULL_FUND="N","",IF(COUNTIFS('Fund History'!$G$254:$G$258,"&gt;="&amp;DATE(YEAR_Y-1,1,1),'Fund History'!$G$254:$G$258,"&lt;="&amp;DATE(YEAR_Y-1,12,31))=0,"",SUMIFS('Fund History'!$H$254:$H$258,'Fund History'!$G$254:$G$258,"&gt;="&amp;DATE(YEAR_Y-1,1,1),'Fund History'!$G$254:$G$258,"&lt;="&amp;DATE(YEAR_Y-1,12,31))/100)))</f>
        <v/>
      </c>
      <c r="AR53" s="83">
        <f>IF($C53="","",IF(N($AQ53)+N(HSI!$I$48)=0,"",N($AQ53)+N(HSI!$I$48)/100))</f>
        <v/>
      </c>
      <c r="AS53" s="75">
        <f>IF($C53="","",IF(PULL_FUND="N","",IF(COUNTIFS('Fund History'!$D$254:$D$258,"&gt;="&amp;DATE(YEAR_Y-2,1,1),'Fund History'!$D$254:$D$258,"&lt;="&amp;DATE(YEAR_Y-2,12,31))=0,"",SUMIFS('Fund History'!$E$254:$E$258,'Fund History'!$D$254:$D$258,"&gt;="&amp;DATE(YEAR_Y-2,1,1),'Fund History'!$D$254:$D$258,"&lt;="&amp;DATE(YEAR_Y-2,12,31)))))</f>
        <v/>
      </c>
      <c r="AT53" s="76">
        <f>IF($C53="","",IF(PULL_FUND="N","",IF(COUNTIFS('Fund History'!$D$254:$D$258,"&gt;="&amp;DATE(YEAR_Y-1,1,1),'Fund History'!$D$254:$D$258,"&lt;="&amp;DATE(YEAR_Y-1,12,31))=0,"",SUMIFS('Fund History'!$E$254:$E$258,'Fund History'!$D$254:$D$258,"&gt;="&amp;DATE(YEAR_Y-1,1,1),'Fund History'!$D$254:$D$258,"&lt;="&amp;DATE(YEAR_Y-1,12,31)))))</f>
        <v/>
      </c>
      <c r="AU53" s="76">
        <f>IF($C53="","",IF(PULL_FUND="N","",IFERROR(BDP($C53,NDEBITDA_FIELD),"")))</f>
        <v/>
      </c>
      <c r="AV53" s="84">
        <f>IF($C53="","",IF(PULL_FUND="N","",IFERROR(BDP($C53,EBINT_FIELD),"")))</f>
        <v/>
      </c>
      <c r="AW53" s="82">
        <f>IF($C53="","",IF(PULL_FUND="N","",IFERROR(BDP($C53,FCF_FIELD)/100,"")))</f>
        <v/>
      </c>
      <c r="AX53" s="50">
        <f>IF($C53="","",IF(N($U53)=0,"",IFERROR($AW53/$U53,"")))</f>
        <v/>
      </c>
      <c r="AY53" s="85">
        <f>IF($C53="","",TRIM(IF(ISNUMBER($AJ53)*(N($AJ53)&gt;$D$4)&gt;0,"payout high  ","")&amp;IF(ISNUMBER($AX53)*(N($AX53)&lt;$F$4)&gt;0,"FCF below dvd  ","")&amp;IF(ISNUMBER($AU53)*(N($AU53)&gt;$H$4)&gt;0,"leverage high","")))</f>
        <v/>
      </c>
      <c r="AZ53" s="86">
        <f>IF($C53="","",IF(HSI!$F$48="HKD","",HSI!$F$48))</f>
        <v/>
      </c>
    </row>
    <row r="54">
      <c r="B54" s="66" t="inlineStr">
        <is>
          <t>HSI</t>
        </is>
      </c>
      <c r="C54" s="8">
        <f>IF(HSI!$C$49="","",HSI!$C$49)</f>
        <v/>
      </c>
      <c r="D54" s="8">
        <f>IF($C54="","",HSI!$D$49)</f>
        <v/>
      </c>
      <c r="E54" s="8">
        <f>IF($C54="","",HSI!$E$49)</f>
        <v/>
      </c>
      <c r="F54" s="67">
        <f>IF($C54="","",SUMPRODUCT(('Dvd Calendar'!$E$473:$AR$473&gt;=DATE(YEAR_Y-5,1,1))*('Dvd Calendar'!$E$473:$AR$473&lt;=DATE(YEAR_Y-5,12,31))*'Dvd Calendar'!$E$476:$AR$476*(('Dvd Calendar'!$E$478:$AR$478=TYPE1)*(TYPE1&lt;&gt;"")+('Dvd Calendar'!$E$478:$AR$478=TYPE2)*(TYPE2&lt;&gt;"")+('Dvd Calendar'!$E$478:$AR$478=TYPE3)*(TYPE3&lt;&gt;"")+('Dvd Calendar'!$E$478:$AR$478=TYPE4)*(TYPE4&lt;&gt;"")+('Dvd Calendar'!$E$478:$AR$478=SPECIAL_LBL)*(INC_SPECIALS="Y"))))</f>
        <v/>
      </c>
      <c r="G54" s="68">
        <f>IF($C54="","",SUMPRODUCT(('Dvd Calendar'!$E$473:$AR$473&gt;=DATE(YEAR_Y-4,1,1))*('Dvd Calendar'!$E$473:$AR$473&lt;=DATE(YEAR_Y-4,12,31))*'Dvd Calendar'!$E$476:$AR$476*(('Dvd Calendar'!$E$478:$AR$478=TYPE1)*(TYPE1&lt;&gt;"")+('Dvd Calendar'!$E$478:$AR$478=TYPE2)*(TYPE2&lt;&gt;"")+('Dvd Calendar'!$E$478:$AR$478=TYPE3)*(TYPE3&lt;&gt;"")+('Dvd Calendar'!$E$478:$AR$478=TYPE4)*(TYPE4&lt;&gt;"")+('Dvd Calendar'!$E$478:$AR$478=SPECIAL_LBL)*(INC_SPECIALS="Y"))))</f>
        <v/>
      </c>
      <c r="H54" s="68">
        <f>IF($C54="","",SUMPRODUCT(('Dvd Calendar'!$E$473:$AR$473&gt;=DATE(YEAR_Y-3,1,1))*('Dvd Calendar'!$E$473:$AR$473&lt;=DATE(YEAR_Y-3,12,31))*'Dvd Calendar'!$E$476:$AR$476*(('Dvd Calendar'!$E$478:$AR$478=TYPE1)*(TYPE1&lt;&gt;"")+('Dvd Calendar'!$E$478:$AR$478=TYPE2)*(TYPE2&lt;&gt;"")+('Dvd Calendar'!$E$478:$AR$478=TYPE3)*(TYPE3&lt;&gt;"")+('Dvd Calendar'!$E$478:$AR$478=TYPE4)*(TYPE4&lt;&gt;"")+('Dvd Calendar'!$E$478:$AR$478=SPECIAL_LBL)*(INC_SPECIALS="Y"))))</f>
        <v/>
      </c>
      <c r="I54" s="68">
        <f>IF($C54="","",SUMPRODUCT(('Dvd Calendar'!$E$473:$AR$473&gt;=DATE(YEAR_Y-2,1,1))*('Dvd Calendar'!$E$473:$AR$473&lt;=DATE(YEAR_Y-2,12,31))*'Dvd Calendar'!$E$476:$AR$476*(('Dvd Calendar'!$E$478:$AR$478=TYPE1)*(TYPE1&lt;&gt;"")+('Dvd Calendar'!$E$478:$AR$478=TYPE2)*(TYPE2&lt;&gt;"")+('Dvd Calendar'!$E$478:$AR$478=TYPE3)*(TYPE3&lt;&gt;"")+('Dvd Calendar'!$E$478:$AR$478=TYPE4)*(TYPE4&lt;&gt;"")+('Dvd Calendar'!$E$478:$AR$478=SPECIAL_LBL)*(INC_SPECIALS="Y"))))</f>
        <v/>
      </c>
      <c r="J54" s="68">
        <f>IF($C54="","",SUMPRODUCT(('Dvd Calendar'!$E$473:$AR$473&gt;=DATE(YEAR_Y-1,1,1))*('Dvd Calendar'!$E$473:$AR$473&lt;=DATE(YEAR_Y-1,12,31))*'Dvd Calendar'!$E$476:$AR$476*(('Dvd Calendar'!$E$478:$AR$478=TYPE1)*(TYPE1&lt;&gt;"")+('Dvd Calendar'!$E$478:$AR$478=TYPE2)*(TYPE2&lt;&gt;"")+('Dvd Calendar'!$E$478:$AR$478=TYPE3)*(TYPE3&lt;&gt;"")+('Dvd Calendar'!$E$478:$AR$478=TYPE4)*(TYPE4&lt;&gt;"")+('Dvd Calendar'!$E$478:$AR$478=SPECIAL_LBL)*(INC_SPECIALS="Y"))))</f>
        <v/>
      </c>
      <c r="K54" s="69">
        <f>IF($C54="","",HSI!$J$49)</f>
        <v/>
      </c>
      <c r="L54" s="69">
        <f>IF($C54="","",HSI!$K$49)</f>
        <v/>
      </c>
      <c r="M54" s="44">
        <f>IF($C54="","",HSI!$J$49+HSI!$L$49)</f>
        <v/>
      </c>
      <c r="N54" s="70">
        <f>IF($C54="","",IF(PULL_FUND="N","",IFERROR(BDP($C54,BESTDPS_FIELD,FWD_OVERRIDE,TEXT(MOD(YEAR_Y,100),"00")&amp;"Y"),"")))</f>
        <v/>
      </c>
      <c r="O54" s="69">
        <f>IF($C54="","",AVERAGE(F54:J54))</f>
        <v/>
      </c>
      <c r="P54" s="71">
        <f>IF($C54="","",IF(PULL_FUND="N","",IF(COUNTIFS('Fund History'!$J$260:$J$264,"&gt;="&amp;DATE(YEAR_Y-5,1,1),'Fund History'!$J$260:$J$264,"&lt;="&amp;DATE(YEAR_Y-5,12,31))=0,"",IFERROR($F54*HSI!$G$49/SUMIFS('Fund History'!$K$260:$K$264,'Fund History'!$J$260:$J$264,"&gt;="&amp;DATE(YEAR_Y-5,1,1),'Fund History'!$J$260:$J$264,"&lt;="&amp;DATE(YEAR_Y-5,12,31)),""))))</f>
        <v/>
      </c>
      <c r="Q54" s="72">
        <f>IF($C54="","",IF(PULL_FUND="N","",IF(COUNTIFS('Fund History'!$J$260:$J$264,"&gt;="&amp;DATE(YEAR_Y-4,1,1),'Fund History'!$J$260:$J$264,"&lt;="&amp;DATE(YEAR_Y-4,12,31))=0,"",IFERROR($G54*HSI!$G$49/SUMIFS('Fund History'!$K$260:$K$264,'Fund History'!$J$260:$J$264,"&gt;="&amp;DATE(YEAR_Y-4,1,1),'Fund History'!$J$260:$J$264,"&lt;="&amp;DATE(YEAR_Y-4,12,31)),""))))</f>
        <v/>
      </c>
      <c r="R54" s="72">
        <f>IF($C54="","",IF(PULL_FUND="N","",IF(COUNTIFS('Fund History'!$J$260:$J$264,"&gt;="&amp;DATE(YEAR_Y-3,1,1),'Fund History'!$J$260:$J$264,"&lt;="&amp;DATE(YEAR_Y-3,12,31))=0,"",IFERROR($H54*HSI!$G$49/SUMIFS('Fund History'!$K$260:$K$264,'Fund History'!$J$260:$J$264,"&gt;="&amp;DATE(YEAR_Y-3,1,1),'Fund History'!$J$260:$J$264,"&lt;="&amp;DATE(YEAR_Y-3,12,31)),""))))</f>
        <v/>
      </c>
      <c r="S54" s="72">
        <f>IF($C54="","",IF(PULL_FUND="N","",IF(COUNTIFS('Fund History'!$J$260:$J$264,"&gt;="&amp;DATE(YEAR_Y-2,1,1),'Fund History'!$J$260:$J$264,"&lt;="&amp;DATE(YEAR_Y-2,12,31))=0,"",IFERROR($I54*HSI!$G$49/SUMIFS('Fund History'!$K$260:$K$264,'Fund History'!$J$260:$J$264,"&gt;="&amp;DATE(YEAR_Y-2,1,1),'Fund History'!$J$260:$J$264,"&lt;="&amp;DATE(YEAR_Y-2,12,31)),""))))</f>
        <v/>
      </c>
      <c r="T54" s="72">
        <f>IF($C54="","",IF(PULL_FUND="N","",IF(COUNTIFS('Fund History'!$J$260:$J$264,"&gt;="&amp;DATE(YEAR_Y-1,1,1),'Fund History'!$J$260:$J$264,"&lt;="&amp;DATE(YEAR_Y-1,12,31))=0,"",IFERROR($J54*HSI!$G$49/SUMIFS('Fund History'!$K$260:$K$264,'Fund History'!$J$260:$J$264,"&gt;="&amp;DATE(YEAR_Y-1,1,1),'Fund History'!$J$260:$J$264,"&lt;="&amp;DATE(YEAR_Y-1,12,31)),""))))</f>
        <v/>
      </c>
      <c r="U54" s="73">
        <f>IF($C54="","",IF(ISNUMBER(HSI!$I$49),HSI!$I$49/100,""))</f>
        <v/>
      </c>
      <c r="V54" s="74">
        <f>IF($C54="","",IF(ISNUMBER(HSI!$X$49),IFERROR($M54*HSI!$G$49/HSI!$X$49,""),""))</f>
        <v/>
      </c>
      <c r="W54" s="73">
        <f>IF($C54="","",IF(ISNUMBER($N54),IFERROR($N54*HSI!$G$49/HSI!$X$49,""),""))</f>
        <v/>
      </c>
      <c r="X54" s="75">
        <f>IF($C54="","",IF(PULL_FUND="N","",IFERROR(BDP($C54,EPS_FIELD,YR_OVERRIDE,TEXT(YEAR_Y-5,"0")),"")))</f>
        <v/>
      </c>
      <c r="Y54" s="76">
        <f>IF($C54="","",IF(PULL_FUND="N","",IFERROR(BDP($C54,EPS_FIELD,YR_OVERRIDE,TEXT(YEAR_Y-4,"0")),"")))</f>
        <v/>
      </c>
      <c r="Z54" s="76">
        <f>IF($C54="","",IF(PULL_FUND="N","",IFERROR(BDP($C54,EPS_FIELD,YR_OVERRIDE,TEXT(YEAR_Y-3,"0")),"")))</f>
        <v/>
      </c>
      <c r="AA54" s="76">
        <f>IF($C54="","",IF(PULL_FUND="N","",IFERROR(BDP($C54,EPS_FIELD,YR_OVERRIDE,TEXT(YEAR_Y-2,"0")),"")))</f>
        <v/>
      </c>
      <c r="AB54" s="76">
        <f>IF($C54="","",IF(PULL_FUND="N","",IFERROR(BDP($C54,EPS_FIELD,YR_OVERRIDE,TEXT(YEAR_Y-1,"0")),"")))</f>
        <v/>
      </c>
      <c r="AC54" s="50">
        <f>IF($C54="","",IFERROR(AVERAGE(X54:AB54),""))</f>
        <v/>
      </c>
      <c r="AD54" s="76">
        <f>IF($C54="","",IF(PULL_FUND="N","",IFERROR(BDP($C54,BESTEPS_FIELD,FWD_OVERRIDE,TEXT(MOD(YEAR_Y,100),"00")&amp;"Y"),"")))</f>
        <v/>
      </c>
      <c r="AE54" s="77">
        <f>IF($C54="","",IF(PULL_FUND="N","",IFERROR(BDP($C54,PAYOUT_FIELD,YR_OVERRIDE,TEXT(YEAR_Y-5,"0"))/100,"")))</f>
        <v/>
      </c>
      <c r="AF54" s="78">
        <f>IF($C54="","",IF(PULL_FUND="N","",IFERROR(BDP($C54,PAYOUT_FIELD,YR_OVERRIDE,TEXT(YEAR_Y-4,"0"))/100,"")))</f>
        <v/>
      </c>
      <c r="AG54" s="78">
        <f>IF($C54="","",IF(PULL_FUND="N","",IFERROR(BDP($C54,PAYOUT_FIELD,YR_OVERRIDE,TEXT(YEAR_Y-3,"0"))/100,"")))</f>
        <v/>
      </c>
      <c r="AH54" s="78">
        <f>IF($C54="","",IF(PULL_FUND="N","",IFERROR(BDP($C54,PAYOUT_FIELD,YR_OVERRIDE,TEXT(YEAR_Y-2,"0"))/100,"")))</f>
        <v/>
      </c>
      <c r="AI54" s="78">
        <f>IF($C54="","",IF(PULL_FUND="N","",IFERROR(BDP($C54,PAYOUT_FIELD,YR_OVERRIDE,TEXT(YEAR_Y-1,"0"))/100,"")))</f>
        <v/>
      </c>
      <c r="AJ54" s="79">
        <f>IF($C54="","",IFERROR(AVERAGE(AE54:AI54),""))</f>
        <v/>
      </c>
      <c r="AK54" s="80">
        <f>IF($C54="","",IF(ISNUMBER($AD54)*ISNUMBER($N54)*($AD54&lt;&gt;0)=0,"",$N54/$AD54))</f>
        <v/>
      </c>
      <c r="AL54" s="79">
        <f>IF($C54="","",IF(ISNUMBER($AD54)*($AD54&lt;&gt;0)=0,"",$M54/$AD54))</f>
        <v/>
      </c>
      <c r="AM54" s="37">
        <f>IF($C54="","",IF(ISNUMBER($AE54)*ISNUMBER($AI54)=0,"",IF($AI54&gt;$AE54+0.05,"rising",IF($AI54&lt;$AE54-0.05,"falling","stable"))))</f>
        <v/>
      </c>
      <c r="AN54" s="81">
        <f>IF($C54="","",IF(PULL_FUND="N","",IF(COUNTIFS('Fund History'!$G$260:$G$264,"&gt;="&amp;DATE(YEAR_Y-4,1,1),'Fund History'!$G$260:$G$264,"&lt;="&amp;DATE(YEAR_Y-4,12,31))=0,"",SUMIFS('Fund History'!$H$260:$H$264,'Fund History'!$G$260:$G$264,"&gt;="&amp;DATE(YEAR_Y-4,1,1),'Fund History'!$G$260:$G$264,"&lt;="&amp;DATE(YEAR_Y-4,12,31))/100)))</f>
        <v/>
      </c>
      <c r="AO54" s="82">
        <f>IF($C54="","",IF(PULL_FUND="N","",IF(COUNTIFS('Fund History'!$G$260:$G$264,"&gt;="&amp;DATE(YEAR_Y-3,1,1),'Fund History'!$G$260:$G$264,"&lt;="&amp;DATE(YEAR_Y-3,12,31))=0,"",SUMIFS('Fund History'!$H$260:$H$264,'Fund History'!$G$260:$G$264,"&gt;="&amp;DATE(YEAR_Y-3,1,1),'Fund History'!$G$260:$G$264,"&lt;="&amp;DATE(YEAR_Y-3,12,31))/100)))</f>
        <v/>
      </c>
      <c r="AP54" s="82">
        <f>IF($C54="","",IF(PULL_FUND="N","",IF(COUNTIFS('Fund History'!$G$260:$G$264,"&gt;="&amp;DATE(YEAR_Y-2,1,1),'Fund History'!$G$260:$G$264,"&lt;="&amp;DATE(YEAR_Y-2,12,31))=0,"",SUMIFS('Fund History'!$H$260:$H$264,'Fund History'!$G$260:$G$264,"&gt;="&amp;DATE(YEAR_Y-2,1,1),'Fund History'!$G$260:$G$264,"&lt;="&amp;DATE(YEAR_Y-2,12,31))/100)))</f>
        <v/>
      </c>
      <c r="AQ54" s="82">
        <f>IF($C54="","",IF(PULL_FUND="N","",IF(COUNTIFS('Fund History'!$G$260:$G$264,"&gt;="&amp;DATE(YEAR_Y-1,1,1),'Fund History'!$G$260:$G$264,"&lt;="&amp;DATE(YEAR_Y-1,12,31))=0,"",SUMIFS('Fund History'!$H$260:$H$264,'Fund History'!$G$260:$G$264,"&gt;="&amp;DATE(YEAR_Y-1,1,1),'Fund History'!$G$260:$G$264,"&lt;="&amp;DATE(YEAR_Y-1,12,31))/100)))</f>
        <v/>
      </c>
      <c r="AR54" s="83">
        <f>IF($C54="","",IF(N($AQ54)+N(HSI!$I$49)=0,"",N($AQ54)+N(HSI!$I$49)/100))</f>
        <v/>
      </c>
      <c r="AS54" s="75">
        <f>IF($C54="","",IF(PULL_FUND="N","",IF(COUNTIFS('Fund History'!$D$260:$D$264,"&gt;="&amp;DATE(YEAR_Y-2,1,1),'Fund History'!$D$260:$D$264,"&lt;="&amp;DATE(YEAR_Y-2,12,31))=0,"",SUMIFS('Fund History'!$E$260:$E$264,'Fund History'!$D$260:$D$264,"&gt;="&amp;DATE(YEAR_Y-2,1,1),'Fund History'!$D$260:$D$264,"&lt;="&amp;DATE(YEAR_Y-2,12,31)))))</f>
        <v/>
      </c>
      <c r="AT54" s="76">
        <f>IF($C54="","",IF(PULL_FUND="N","",IF(COUNTIFS('Fund History'!$D$260:$D$264,"&gt;="&amp;DATE(YEAR_Y-1,1,1),'Fund History'!$D$260:$D$264,"&lt;="&amp;DATE(YEAR_Y-1,12,31))=0,"",SUMIFS('Fund History'!$E$260:$E$264,'Fund History'!$D$260:$D$264,"&gt;="&amp;DATE(YEAR_Y-1,1,1),'Fund History'!$D$260:$D$264,"&lt;="&amp;DATE(YEAR_Y-1,12,31)))))</f>
        <v/>
      </c>
      <c r="AU54" s="76">
        <f>IF($C54="","",IF(PULL_FUND="N","",IFERROR(BDP($C54,NDEBITDA_FIELD),"")))</f>
        <v/>
      </c>
      <c r="AV54" s="84">
        <f>IF($C54="","",IF(PULL_FUND="N","",IFERROR(BDP($C54,EBINT_FIELD),"")))</f>
        <v/>
      </c>
      <c r="AW54" s="82">
        <f>IF($C54="","",IF(PULL_FUND="N","",IFERROR(BDP($C54,FCF_FIELD)/100,"")))</f>
        <v/>
      </c>
      <c r="AX54" s="50">
        <f>IF($C54="","",IF(N($U54)=0,"",IFERROR($AW54/$U54,"")))</f>
        <v/>
      </c>
      <c r="AY54" s="85">
        <f>IF($C54="","",TRIM(IF(ISNUMBER($AJ54)*(N($AJ54)&gt;$D$4)&gt;0,"payout high  ","")&amp;IF(ISNUMBER($AX54)*(N($AX54)&lt;$F$4)&gt;0,"FCF below dvd  ","")&amp;IF(ISNUMBER($AU54)*(N($AU54)&gt;$H$4)&gt;0,"leverage high","")))</f>
        <v/>
      </c>
      <c r="AZ54" s="86">
        <f>IF($C54="","",IF(HSI!$F$49="HKD","",HSI!$F$49))</f>
        <v/>
      </c>
    </row>
    <row r="55">
      <c r="B55" s="66" t="inlineStr">
        <is>
          <t>HSI</t>
        </is>
      </c>
      <c r="C55" s="8">
        <f>IF(HSI!$C$50="","",HSI!$C$50)</f>
        <v/>
      </c>
      <c r="D55" s="8">
        <f>IF($C55="","",HSI!$D$50)</f>
        <v/>
      </c>
      <c r="E55" s="8">
        <f>IF($C55="","",HSI!$E$50)</f>
        <v/>
      </c>
      <c r="F55" s="67">
        <f>IF($C55="","",SUMPRODUCT(('Dvd Calendar'!$E$484:$AR$484&gt;=DATE(YEAR_Y-5,1,1))*('Dvd Calendar'!$E$484:$AR$484&lt;=DATE(YEAR_Y-5,12,31))*'Dvd Calendar'!$E$487:$AR$487*(('Dvd Calendar'!$E$489:$AR$489=TYPE1)*(TYPE1&lt;&gt;"")+('Dvd Calendar'!$E$489:$AR$489=TYPE2)*(TYPE2&lt;&gt;"")+('Dvd Calendar'!$E$489:$AR$489=TYPE3)*(TYPE3&lt;&gt;"")+('Dvd Calendar'!$E$489:$AR$489=TYPE4)*(TYPE4&lt;&gt;"")+('Dvd Calendar'!$E$489:$AR$489=SPECIAL_LBL)*(INC_SPECIALS="Y"))))</f>
        <v/>
      </c>
      <c r="G55" s="68">
        <f>IF($C55="","",SUMPRODUCT(('Dvd Calendar'!$E$484:$AR$484&gt;=DATE(YEAR_Y-4,1,1))*('Dvd Calendar'!$E$484:$AR$484&lt;=DATE(YEAR_Y-4,12,31))*'Dvd Calendar'!$E$487:$AR$487*(('Dvd Calendar'!$E$489:$AR$489=TYPE1)*(TYPE1&lt;&gt;"")+('Dvd Calendar'!$E$489:$AR$489=TYPE2)*(TYPE2&lt;&gt;"")+('Dvd Calendar'!$E$489:$AR$489=TYPE3)*(TYPE3&lt;&gt;"")+('Dvd Calendar'!$E$489:$AR$489=TYPE4)*(TYPE4&lt;&gt;"")+('Dvd Calendar'!$E$489:$AR$489=SPECIAL_LBL)*(INC_SPECIALS="Y"))))</f>
        <v/>
      </c>
      <c r="H55" s="68">
        <f>IF($C55="","",SUMPRODUCT(('Dvd Calendar'!$E$484:$AR$484&gt;=DATE(YEAR_Y-3,1,1))*('Dvd Calendar'!$E$484:$AR$484&lt;=DATE(YEAR_Y-3,12,31))*'Dvd Calendar'!$E$487:$AR$487*(('Dvd Calendar'!$E$489:$AR$489=TYPE1)*(TYPE1&lt;&gt;"")+('Dvd Calendar'!$E$489:$AR$489=TYPE2)*(TYPE2&lt;&gt;"")+('Dvd Calendar'!$E$489:$AR$489=TYPE3)*(TYPE3&lt;&gt;"")+('Dvd Calendar'!$E$489:$AR$489=TYPE4)*(TYPE4&lt;&gt;"")+('Dvd Calendar'!$E$489:$AR$489=SPECIAL_LBL)*(INC_SPECIALS="Y"))))</f>
        <v/>
      </c>
      <c r="I55" s="68">
        <f>IF($C55="","",SUMPRODUCT(('Dvd Calendar'!$E$484:$AR$484&gt;=DATE(YEAR_Y-2,1,1))*('Dvd Calendar'!$E$484:$AR$484&lt;=DATE(YEAR_Y-2,12,31))*'Dvd Calendar'!$E$487:$AR$487*(('Dvd Calendar'!$E$489:$AR$489=TYPE1)*(TYPE1&lt;&gt;"")+('Dvd Calendar'!$E$489:$AR$489=TYPE2)*(TYPE2&lt;&gt;"")+('Dvd Calendar'!$E$489:$AR$489=TYPE3)*(TYPE3&lt;&gt;"")+('Dvd Calendar'!$E$489:$AR$489=TYPE4)*(TYPE4&lt;&gt;"")+('Dvd Calendar'!$E$489:$AR$489=SPECIAL_LBL)*(INC_SPECIALS="Y"))))</f>
        <v/>
      </c>
      <c r="J55" s="68">
        <f>IF($C55="","",SUMPRODUCT(('Dvd Calendar'!$E$484:$AR$484&gt;=DATE(YEAR_Y-1,1,1))*('Dvd Calendar'!$E$484:$AR$484&lt;=DATE(YEAR_Y-1,12,31))*'Dvd Calendar'!$E$487:$AR$487*(('Dvd Calendar'!$E$489:$AR$489=TYPE1)*(TYPE1&lt;&gt;"")+('Dvd Calendar'!$E$489:$AR$489=TYPE2)*(TYPE2&lt;&gt;"")+('Dvd Calendar'!$E$489:$AR$489=TYPE3)*(TYPE3&lt;&gt;"")+('Dvd Calendar'!$E$489:$AR$489=TYPE4)*(TYPE4&lt;&gt;"")+('Dvd Calendar'!$E$489:$AR$489=SPECIAL_LBL)*(INC_SPECIALS="Y"))))</f>
        <v/>
      </c>
      <c r="K55" s="69">
        <f>IF($C55="","",HSI!$J$50)</f>
        <v/>
      </c>
      <c r="L55" s="69">
        <f>IF($C55="","",HSI!$K$50)</f>
        <v/>
      </c>
      <c r="M55" s="44">
        <f>IF($C55="","",HSI!$J$50+HSI!$L$50)</f>
        <v/>
      </c>
      <c r="N55" s="70">
        <f>IF($C55="","",IF(PULL_FUND="N","",IFERROR(BDP($C55,BESTDPS_FIELD,FWD_OVERRIDE,TEXT(MOD(YEAR_Y,100),"00")&amp;"Y"),"")))</f>
        <v/>
      </c>
      <c r="O55" s="69">
        <f>IF($C55="","",AVERAGE(F55:J55))</f>
        <v/>
      </c>
      <c r="P55" s="71">
        <f>IF($C55="","",IF(PULL_FUND="N","",IF(COUNTIFS('Fund History'!$J$266:$J$270,"&gt;="&amp;DATE(YEAR_Y-5,1,1),'Fund History'!$J$266:$J$270,"&lt;="&amp;DATE(YEAR_Y-5,12,31))=0,"",IFERROR($F55*HSI!$G$50/SUMIFS('Fund History'!$K$266:$K$270,'Fund History'!$J$266:$J$270,"&gt;="&amp;DATE(YEAR_Y-5,1,1),'Fund History'!$J$266:$J$270,"&lt;="&amp;DATE(YEAR_Y-5,12,31)),""))))</f>
        <v/>
      </c>
      <c r="Q55" s="72">
        <f>IF($C55="","",IF(PULL_FUND="N","",IF(COUNTIFS('Fund History'!$J$266:$J$270,"&gt;="&amp;DATE(YEAR_Y-4,1,1),'Fund History'!$J$266:$J$270,"&lt;="&amp;DATE(YEAR_Y-4,12,31))=0,"",IFERROR($G55*HSI!$G$50/SUMIFS('Fund History'!$K$266:$K$270,'Fund History'!$J$266:$J$270,"&gt;="&amp;DATE(YEAR_Y-4,1,1),'Fund History'!$J$266:$J$270,"&lt;="&amp;DATE(YEAR_Y-4,12,31)),""))))</f>
        <v/>
      </c>
      <c r="R55" s="72">
        <f>IF($C55="","",IF(PULL_FUND="N","",IF(COUNTIFS('Fund History'!$J$266:$J$270,"&gt;="&amp;DATE(YEAR_Y-3,1,1),'Fund History'!$J$266:$J$270,"&lt;="&amp;DATE(YEAR_Y-3,12,31))=0,"",IFERROR($H55*HSI!$G$50/SUMIFS('Fund History'!$K$266:$K$270,'Fund History'!$J$266:$J$270,"&gt;="&amp;DATE(YEAR_Y-3,1,1),'Fund History'!$J$266:$J$270,"&lt;="&amp;DATE(YEAR_Y-3,12,31)),""))))</f>
        <v/>
      </c>
      <c r="S55" s="72">
        <f>IF($C55="","",IF(PULL_FUND="N","",IF(COUNTIFS('Fund History'!$J$266:$J$270,"&gt;="&amp;DATE(YEAR_Y-2,1,1),'Fund History'!$J$266:$J$270,"&lt;="&amp;DATE(YEAR_Y-2,12,31))=0,"",IFERROR($I55*HSI!$G$50/SUMIFS('Fund History'!$K$266:$K$270,'Fund History'!$J$266:$J$270,"&gt;="&amp;DATE(YEAR_Y-2,1,1),'Fund History'!$J$266:$J$270,"&lt;="&amp;DATE(YEAR_Y-2,12,31)),""))))</f>
        <v/>
      </c>
      <c r="T55" s="72">
        <f>IF($C55="","",IF(PULL_FUND="N","",IF(COUNTIFS('Fund History'!$J$266:$J$270,"&gt;="&amp;DATE(YEAR_Y-1,1,1),'Fund History'!$J$266:$J$270,"&lt;="&amp;DATE(YEAR_Y-1,12,31))=0,"",IFERROR($J55*HSI!$G$50/SUMIFS('Fund History'!$K$266:$K$270,'Fund History'!$J$266:$J$270,"&gt;="&amp;DATE(YEAR_Y-1,1,1),'Fund History'!$J$266:$J$270,"&lt;="&amp;DATE(YEAR_Y-1,12,31)),""))))</f>
        <v/>
      </c>
      <c r="U55" s="73">
        <f>IF($C55="","",IF(ISNUMBER(HSI!$I$50),HSI!$I$50/100,""))</f>
        <v/>
      </c>
      <c r="V55" s="74">
        <f>IF($C55="","",IF(ISNUMBER(HSI!$X$50),IFERROR($M55*HSI!$G$50/HSI!$X$50,""),""))</f>
        <v/>
      </c>
      <c r="W55" s="73">
        <f>IF($C55="","",IF(ISNUMBER($N55),IFERROR($N55*HSI!$G$50/HSI!$X$50,""),""))</f>
        <v/>
      </c>
      <c r="X55" s="75">
        <f>IF($C55="","",IF(PULL_FUND="N","",IFERROR(BDP($C55,EPS_FIELD,YR_OVERRIDE,TEXT(YEAR_Y-5,"0")),"")))</f>
        <v/>
      </c>
      <c r="Y55" s="76">
        <f>IF($C55="","",IF(PULL_FUND="N","",IFERROR(BDP($C55,EPS_FIELD,YR_OVERRIDE,TEXT(YEAR_Y-4,"0")),"")))</f>
        <v/>
      </c>
      <c r="Z55" s="76">
        <f>IF($C55="","",IF(PULL_FUND="N","",IFERROR(BDP($C55,EPS_FIELD,YR_OVERRIDE,TEXT(YEAR_Y-3,"0")),"")))</f>
        <v/>
      </c>
      <c r="AA55" s="76">
        <f>IF($C55="","",IF(PULL_FUND="N","",IFERROR(BDP($C55,EPS_FIELD,YR_OVERRIDE,TEXT(YEAR_Y-2,"0")),"")))</f>
        <v/>
      </c>
      <c r="AB55" s="76">
        <f>IF($C55="","",IF(PULL_FUND="N","",IFERROR(BDP($C55,EPS_FIELD,YR_OVERRIDE,TEXT(YEAR_Y-1,"0")),"")))</f>
        <v/>
      </c>
      <c r="AC55" s="50">
        <f>IF($C55="","",IFERROR(AVERAGE(X55:AB55),""))</f>
        <v/>
      </c>
      <c r="AD55" s="76">
        <f>IF($C55="","",IF(PULL_FUND="N","",IFERROR(BDP($C55,BESTEPS_FIELD,FWD_OVERRIDE,TEXT(MOD(YEAR_Y,100),"00")&amp;"Y"),"")))</f>
        <v/>
      </c>
      <c r="AE55" s="77">
        <f>IF($C55="","",IF(PULL_FUND="N","",IFERROR(BDP($C55,PAYOUT_FIELD,YR_OVERRIDE,TEXT(YEAR_Y-5,"0"))/100,"")))</f>
        <v/>
      </c>
      <c r="AF55" s="78">
        <f>IF($C55="","",IF(PULL_FUND="N","",IFERROR(BDP($C55,PAYOUT_FIELD,YR_OVERRIDE,TEXT(YEAR_Y-4,"0"))/100,"")))</f>
        <v/>
      </c>
      <c r="AG55" s="78">
        <f>IF($C55="","",IF(PULL_FUND="N","",IFERROR(BDP($C55,PAYOUT_FIELD,YR_OVERRIDE,TEXT(YEAR_Y-3,"0"))/100,"")))</f>
        <v/>
      </c>
      <c r="AH55" s="78">
        <f>IF($C55="","",IF(PULL_FUND="N","",IFERROR(BDP($C55,PAYOUT_FIELD,YR_OVERRIDE,TEXT(YEAR_Y-2,"0"))/100,"")))</f>
        <v/>
      </c>
      <c r="AI55" s="78">
        <f>IF($C55="","",IF(PULL_FUND="N","",IFERROR(BDP($C55,PAYOUT_FIELD,YR_OVERRIDE,TEXT(YEAR_Y-1,"0"))/100,"")))</f>
        <v/>
      </c>
      <c r="AJ55" s="79">
        <f>IF($C55="","",IFERROR(AVERAGE(AE55:AI55),""))</f>
        <v/>
      </c>
      <c r="AK55" s="80">
        <f>IF($C55="","",IF(ISNUMBER($AD55)*ISNUMBER($N55)*($AD55&lt;&gt;0)=0,"",$N55/$AD55))</f>
        <v/>
      </c>
      <c r="AL55" s="79">
        <f>IF($C55="","",IF(ISNUMBER($AD55)*($AD55&lt;&gt;0)=0,"",$M55/$AD55))</f>
        <v/>
      </c>
      <c r="AM55" s="37">
        <f>IF($C55="","",IF(ISNUMBER($AE55)*ISNUMBER($AI55)=0,"",IF($AI55&gt;$AE55+0.05,"rising",IF($AI55&lt;$AE55-0.05,"falling","stable"))))</f>
        <v/>
      </c>
      <c r="AN55" s="81">
        <f>IF($C55="","",IF(PULL_FUND="N","",IF(COUNTIFS('Fund History'!$G$266:$G$270,"&gt;="&amp;DATE(YEAR_Y-4,1,1),'Fund History'!$G$266:$G$270,"&lt;="&amp;DATE(YEAR_Y-4,12,31))=0,"",SUMIFS('Fund History'!$H$266:$H$270,'Fund History'!$G$266:$G$270,"&gt;="&amp;DATE(YEAR_Y-4,1,1),'Fund History'!$G$266:$G$270,"&lt;="&amp;DATE(YEAR_Y-4,12,31))/100)))</f>
        <v/>
      </c>
      <c r="AO55" s="82">
        <f>IF($C55="","",IF(PULL_FUND="N","",IF(COUNTIFS('Fund History'!$G$266:$G$270,"&gt;="&amp;DATE(YEAR_Y-3,1,1),'Fund History'!$G$266:$G$270,"&lt;="&amp;DATE(YEAR_Y-3,12,31))=0,"",SUMIFS('Fund History'!$H$266:$H$270,'Fund History'!$G$266:$G$270,"&gt;="&amp;DATE(YEAR_Y-3,1,1),'Fund History'!$G$266:$G$270,"&lt;="&amp;DATE(YEAR_Y-3,12,31))/100)))</f>
        <v/>
      </c>
      <c r="AP55" s="82">
        <f>IF($C55="","",IF(PULL_FUND="N","",IF(COUNTIFS('Fund History'!$G$266:$G$270,"&gt;="&amp;DATE(YEAR_Y-2,1,1),'Fund History'!$G$266:$G$270,"&lt;="&amp;DATE(YEAR_Y-2,12,31))=0,"",SUMIFS('Fund History'!$H$266:$H$270,'Fund History'!$G$266:$G$270,"&gt;="&amp;DATE(YEAR_Y-2,1,1),'Fund History'!$G$266:$G$270,"&lt;="&amp;DATE(YEAR_Y-2,12,31))/100)))</f>
        <v/>
      </c>
      <c r="AQ55" s="82">
        <f>IF($C55="","",IF(PULL_FUND="N","",IF(COUNTIFS('Fund History'!$G$266:$G$270,"&gt;="&amp;DATE(YEAR_Y-1,1,1),'Fund History'!$G$266:$G$270,"&lt;="&amp;DATE(YEAR_Y-1,12,31))=0,"",SUMIFS('Fund History'!$H$266:$H$270,'Fund History'!$G$266:$G$270,"&gt;="&amp;DATE(YEAR_Y-1,1,1),'Fund History'!$G$266:$G$270,"&lt;="&amp;DATE(YEAR_Y-1,12,31))/100)))</f>
        <v/>
      </c>
      <c r="AR55" s="83">
        <f>IF($C55="","",IF(N($AQ55)+N(HSI!$I$50)=0,"",N($AQ55)+N(HSI!$I$50)/100))</f>
        <v/>
      </c>
      <c r="AS55" s="75">
        <f>IF($C55="","",IF(PULL_FUND="N","",IF(COUNTIFS('Fund History'!$D$266:$D$270,"&gt;="&amp;DATE(YEAR_Y-2,1,1),'Fund History'!$D$266:$D$270,"&lt;="&amp;DATE(YEAR_Y-2,12,31))=0,"",SUMIFS('Fund History'!$E$266:$E$270,'Fund History'!$D$266:$D$270,"&gt;="&amp;DATE(YEAR_Y-2,1,1),'Fund History'!$D$266:$D$270,"&lt;="&amp;DATE(YEAR_Y-2,12,31)))))</f>
        <v/>
      </c>
      <c r="AT55" s="76">
        <f>IF($C55="","",IF(PULL_FUND="N","",IF(COUNTIFS('Fund History'!$D$266:$D$270,"&gt;="&amp;DATE(YEAR_Y-1,1,1),'Fund History'!$D$266:$D$270,"&lt;="&amp;DATE(YEAR_Y-1,12,31))=0,"",SUMIFS('Fund History'!$E$266:$E$270,'Fund History'!$D$266:$D$270,"&gt;="&amp;DATE(YEAR_Y-1,1,1),'Fund History'!$D$266:$D$270,"&lt;="&amp;DATE(YEAR_Y-1,12,31)))))</f>
        <v/>
      </c>
      <c r="AU55" s="76">
        <f>IF($C55="","",IF(PULL_FUND="N","",IFERROR(BDP($C55,NDEBITDA_FIELD),"")))</f>
        <v/>
      </c>
      <c r="AV55" s="84">
        <f>IF($C55="","",IF(PULL_FUND="N","",IFERROR(BDP($C55,EBINT_FIELD),"")))</f>
        <v/>
      </c>
      <c r="AW55" s="82">
        <f>IF($C55="","",IF(PULL_FUND="N","",IFERROR(BDP($C55,FCF_FIELD)/100,"")))</f>
        <v/>
      </c>
      <c r="AX55" s="50">
        <f>IF($C55="","",IF(N($U55)=0,"",IFERROR($AW55/$U55,"")))</f>
        <v/>
      </c>
      <c r="AY55" s="85">
        <f>IF($C55="","",TRIM(IF(ISNUMBER($AJ55)*(N($AJ55)&gt;$D$4)&gt;0,"payout high  ","")&amp;IF(ISNUMBER($AX55)*(N($AX55)&lt;$F$4)&gt;0,"FCF below dvd  ","")&amp;IF(ISNUMBER($AU55)*(N($AU55)&gt;$H$4)&gt;0,"leverage high","")))</f>
        <v/>
      </c>
      <c r="AZ55" s="86">
        <f>IF($C55="","",IF(HSI!$F$50="HKD","",HSI!$F$50))</f>
        <v/>
      </c>
    </row>
    <row r="56">
      <c r="B56" s="66" t="inlineStr">
        <is>
          <t>HSI</t>
        </is>
      </c>
      <c r="C56" s="8">
        <f>IF(HSI!$C$51="","",HSI!$C$51)</f>
        <v/>
      </c>
      <c r="D56" s="8">
        <f>IF($C56="","",HSI!$D$51)</f>
        <v/>
      </c>
      <c r="E56" s="8">
        <f>IF($C56="","",HSI!$E$51)</f>
        <v/>
      </c>
      <c r="F56" s="67">
        <f>IF($C56="","",SUMPRODUCT(('Dvd Calendar'!$E$495:$AR$495&gt;=DATE(YEAR_Y-5,1,1))*('Dvd Calendar'!$E$495:$AR$495&lt;=DATE(YEAR_Y-5,12,31))*'Dvd Calendar'!$E$498:$AR$498*(('Dvd Calendar'!$E$500:$AR$500=TYPE1)*(TYPE1&lt;&gt;"")+('Dvd Calendar'!$E$500:$AR$500=TYPE2)*(TYPE2&lt;&gt;"")+('Dvd Calendar'!$E$500:$AR$500=TYPE3)*(TYPE3&lt;&gt;"")+('Dvd Calendar'!$E$500:$AR$500=TYPE4)*(TYPE4&lt;&gt;"")+('Dvd Calendar'!$E$500:$AR$500=SPECIAL_LBL)*(INC_SPECIALS="Y"))))</f>
        <v/>
      </c>
      <c r="G56" s="68">
        <f>IF($C56="","",SUMPRODUCT(('Dvd Calendar'!$E$495:$AR$495&gt;=DATE(YEAR_Y-4,1,1))*('Dvd Calendar'!$E$495:$AR$495&lt;=DATE(YEAR_Y-4,12,31))*'Dvd Calendar'!$E$498:$AR$498*(('Dvd Calendar'!$E$500:$AR$500=TYPE1)*(TYPE1&lt;&gt;"")+('Dvd Calendar'!$E$500:$AR$500=TYPE2)*(TYPE2&lt;&gt;"")+('Dvd Calendar'!$E$500:$AR$500=TYPE3)*(TYPE3&lt;&gt;"")+('Dvd Calendar'!$E$500:$AR$500=TYPE4)*(TYPE4&lt;&gt;"")+('Dvd Calendar'!$E$500:$AR$500=SPECIAL_LBL)*(INC_SPECIALS="Y"))))</f>
        <v/>
      </c>
      <c r="H56" s="68">
        <f>IF($C56="","",SUMPRODUCT(('Dvd Calendar'!$E$495:$AR$495&gt;=DATE(YEAR_Y-3,1,1))*('Dvd Calendar'!$E$495:$AR$495&lt;=DATE(YEAR_Y-3,12,31))*'Dvd Calendar'!$E$498:$AR$498*(('Dvd Calendar'!$E$500:$AR$500=TYPE1)*(TYPE1&lt;&gt;"")+('Dvd Calendar'!$E$500:$AR$500=TYPE2)*(TYPE2&lt;&gt;"")+('Dvd Calendar'!$E$500:$AR$500=TYPE3)*(TYPE3&lt;&gt;"")+('Dvd Calendar'!$E$500:$AR$500=TYPE4)*(TYPE4&lt;&gt;"")+('Dvd Calendar'!$E$500:$AR$500=SPECIAL_LBL)*(INC_SPECIALS="Y"))))</f>
        <v/>
      </c>
      <c r="I56" s="68">
        <f>IF($C56="","",SUMPRODUCT(('Dvd Calendar'!$E$495:$AR$495&gt;=DATE(YEAR_Y-2,1,1))*('Dvd Calendar'!$E$495:$AR$495&lt;=DATE(YEAR_Y-2,12,31))*'Dvd Calendar'!$E$498:$AR$498*(('Dvd Calendar'!$E$500:$AR$500=TYPE1)*(TYPE1&lt;&gt;"")+('Dvd Calendar'!$E$500:$AR$500=TYPE2)*(TYPE2&lt;&gt;"")+('Dvd Calendar'!$E$500:$AR$500=TYPE3)*(TYPE3&lt;&gt;"")+('Dvd Calendar'!$E$500:$AR$500=TYPE4)*(TYPE4&lt;&gt;"")+('Dvd Calendar'!$E$500:$AR$500=SPECIAL_LBL)*(INC_SPECIALS="Y"))))</f>
        <v/>
      </c>
      <c r="J56" s="68">
        <f>IF($C56="","",SUMPRODUCT(('Dvd Calendar'!$E$495:$AR$495&gt;=DATE(YEAR_Y-1,1,1))*('Dvd Calendar'!$E$495:$AR$495&lt;=DATE(YEAR_Y-1,12,31))*'Dvd Calendar'!$E$498:$AR$498*(('Dvd Calendar'!$E$500:$AR$500=TYPE1)*(TYPE1&lt;&gt;"")+('Dvd Calendar'!$E$500:$AR$500=TYPE2)*(TYPE2&lt;&gt;"")+('Dvd Calendar'!$E$500:$AR$500=TYPE3)*(TYPE3&lt;&gt;"")+('Dvd Calendar'!$E$500:$AR$500=TYPE4)*(TYPE4&lt;&gt;"")+('Dvd Calendar'!$E$500:$AR$500=SPECIAL_LBL)*(INC_SPECIALS="Y"))))</f>
        <v/>
      </c>
      <c r="K56" s="69">
        <f>IF($C56="","",HSI!$J$51)</f>
        <v/>
      </c>
      <c r="L56" s="69">
        <f>IF($C56="","",HSI!$K$51)</f>
        <v/>
      </c>
      <c r="M56" s="44">
        <f>IF($C56="","",HSI!$J$51+HSI!$L$51)</f>
        <v/>
      </c>
      <c r="N56" s="70">
        <f>IF($C56="","",IF(PULL_FUND="N","",IFERROR(BDP($C56,BESTDPS_FIELD,FWD_OVERRIDE,TEXT(MOD(YEAR_Y,100),"00")&amp;"Y"),"")))</f>
        <v/>
      </c>
      <c r="O56" s="69">
        <f>IF($C56="","",AVERAGE(F56:J56))</f>
        <v/>
      </c>
      <c r="P56" s="71">
        <f>IF($C56="","",IF(PULL_FUND="N","",IF(COUNTIFS('Fund History'!$J$272:$J$276,"&gt;="&amp;DATE(YEAR_Y-5,1,1),'Fund History'!$J$272:$J$276,"&lt;="&amp;DATE(YEAR_Y-5,12,31))=0,"",IFERROR($F56*HSI!$G$51/SUMIFS('Fund History'!$K$272:$K$276,'Fund History'!$J$272:$J$276,"&gt;="&amp;DATE(YEAR_Y-5,1,1),'Fund History'!$J$272:$J$276,"&lt;="&amp;DATE(YEAR_Y-5,12,31)),""))))</f>
        <v/>
      </c>
      <c r="Q56" s="72">
        <f>IF($C56="","",IF(PULL_FUND="N","",IF(COUNTIFS('Fund History'!$J$272:$J$276,"&gt;="&amp;DATE(YEAR_Y-4,1,1),'Fund History'!$J$272:$J$276,"&lt;="&amp;DATE(YEAR_Y-4,12,31))=0,"",IFERROR($G56*HSI!$G$51/SUMIFS('Fund History'!$K$272:$K$276,'Fund History'!$J$272:$J$276,"&gt;="&amp;DATE(YEAR_Y-4,1,1),'Fund History'!$J$272:$J$276,"&lt;="&amp;DATE(YEAR_Y-4,12,31)),""))))</f>
        <v/>
      </c>
      <c r="R56" s="72">
        <f>IF($C56="","",IF(PULL_FUND="N","",IF(COUNTIFS('Fund History'!$J$272:$J$276,"&gt;="&amp;DATE(YEAR_Y-3,1,1),'Fund History'!$J$272:$J$276,"&lt;="&amp;DATE(YEAR_Y-3,12,31))=0,"",IFERROR($H56*HSI!$G$51/SUMIFS('Fund History'!$K$272:$K$276,'Fund History'!$J$272:$J$276,"&gt;="&amp;DATE(YEAR_Y-3,1,1),'Fund History'!$J$272:$J$276,"&lt;="&amp;DATE(YEAR_Y-3,12,31)),""))))</f>
        <v/>
      </c>
      <c r="S56" s="72">
        <f>IF($C56="","",IF(PULL_FUND="N","",IF(COUNTIFS('Fund History'!$J$272:$J$276,"&gt;="&amp;DATE(YEAR_Y-2,1,1),'Fund History'!$J$272:$J$276,"&lt;="&amp;DATE(YEAR_Y-2,12,31))=0,"",IFERROR($I56*HSI!$G$51/SUMIFS('Fund History'!$K$272:$K$276,'Fund History'!$J$272:$J$276,"&gt;="&amp;DATE(YEAR_Y-2,1,1),'Fund History'!$J$272:$J$276,"&lt;="&amp;DATE(YEAR_Y-2,12,31)),""))))</f>
        <v/>
      </c>
      <c r="T56" s="72">
        <f>IF($C56="","",IF(PULL_FUND="N","",IF(COUNTIFS('Fund History'!$J$272:$J$276,"&gt;="&amp;DATE(YEAR_Y-1,1,1),'Fund History'!$J$272:$J$276,"&lt;="&amp;DATE(YEAR_Y-1,12,31))=0,"",IFERROR($J56*HSI!$G$51/SUMIFS('Fund History'!$K$272:$K$276,'Fund History'!$J$272:$J$276,"&gt;="&amp;DATE(YEAR_Y-1,1,1),'Fund History'!$J$272:$J$276,"&lt;="&amp;DATE(YEAR_Y-1,12,31)),""))))</f>
        <v/>
      </c>
      <c r="U56" s="73">
        <f>IF($C56="","",IF(ISNUMBER(HSI!$I$51),HSI!$I$51/100,""))</f>
        <v/>
      </c>
      <c r="V56" s="74">
        <f>IF($C56="","",IF(ISNUMBER(HSI!$X$51),IFERROR($M56*HSI!$G$51/HSI!$X$51,""),""))</f>
        <v/>
      </c>
      <c r="W56" s="73">
        <f>IF($C56="","",IF(ISNUMBER($N56),IFERROR($N56*HSI!$G$51/HSI!$X$51,""),""))</f>
        <v/>
      </c>
      <c r="X56" s="75">
        <f>IF($C56="","",IF(PULL_FUND="N","",IFERROR(BDP($C56,EPS_FIELD,YR_OVERRIDE,TEXT(YEAR_Y-5,"0")),"")))</f>
        <v/>
      </c>
      <c r="Y56" s="76">
        <f>IF($C56="","",IF(PULL_FUND="N","",IFERROR(BDP($C56,EPS_FIELD,YR_OVERRIDE,TEXT(YEAR_Y-4,"0")),"")))</f>
        <v/>
      </c>
      <c r="Z56" s="76">
        <f>IF($C56="","",IF(PULL_FUND="N","",IFERROR(BDP($C56,EPS_FIELD,YR_OVERRIDE,TEXT(YEAR_Y-3,"0")),"")))</f>
        <v/>
      </c>
      <c r="AA56" s="76">
        <f>IF($C56="","",IF(PULL_FUND="N","",IFERROR(BDP($C56,EPS_FIELD,YR_OVERRIDE,TEXT(YEAR_Y-2,"0")),"")))</f>
        <v/>
      </c>
      <c r="AB56" s="76">
        <f>IF($C56="","",IF(PULL_FUND="N","",IFERROR(BDP($C56,EPS_FIELD,YR_OVERRIDE,TEXT(YEAR_Y-1,"0")),"")))</f>
        <v/>
      </c>
      <c r="AC56" s="50">
        <f>IF($C56="","",IFERROR(AVERAGE(X56:AB56),""))</f>
        <v/>
      </c>
      <c r="AD56" s="76">
        <f>IF($C56="","",IF(PULL_FUND="N","",IFERROR(BDP($C56,BESTEPS_FIELD,FWD_OVERRIDE,TEXT(MOD(YEAR_Y,100),"00")&amp;"Y"),"")))</f>
        <v/>
      </c>
      <c r="AE56" s="77">
        <f>IF($C56="","",IF(PULL_FUND="N","",IFERROR(BDP($C56,PAYOUT_FIELD,YR_OVERRIDE,TEXT(YEAR_Y-5,"0"))/100,"")))</f>
        <v/>
      </c>
      <c r="AF56" s="78">
        <f>IF($C56="","",IF(PULL_FUND="N","",IFERROR(BDP($C56,PAYOUT_FIELD,YR_OVERRIDE,TEXT(YEAR_Y-4,"0"))/100,"")))</f>
        <v/>
      </c>
      <c r="AG56" s="78">
        <f>IF($C56="","",IF(PULL_FUND="N","",IFERROR(BDP($C56,PAYOUT_FIELD,YR_OVERRIDE,TEXT(YEAR_Y-3,"0"))/100,"")))</f>
        <v/>
      </c>
      <c r="AH56" s="78">
        <f>IF($C56="","",IF(PULL_FUND="N","",IFERROR(BDP($C56,PAYOUT_FIELD,YR_OVERRIDE,TEXT(YEAR_Y-2,"0"))/100,"")))</f>
        <v/>
      </c>
      <c r="AI56" s="78">
        <f>IF($C56="","",IF(PULL_FUND="N","",IFERROR(BDP($C56,PAYOUT_FIELD,YR_OVERRIDE,TEXT(YEAR_Y-1,"0"))/100,"")))</f>
        <v/>
      </c>
      <c r="AJ56" s="79">
        <f>IF($C56="","",IFERROR(AVERAGE(AE56:AI56),""))</f>
        <v/>
      </c>
      <c r="AK56" s="80">
        <f>IF($C56="","",IF(ISNUMBER($AD56)*ISNUMBER($N56)*($AD56&lt;&gt;0)=0,"",$N56/$AD56))</f>
        <v/>
      </c>
      <c r="AL56" s="79">
        <f>IF($C56="","",IF(ISNUMBER($AD56)*($AD56&lt;&gt;0)=0,"",$M56/$AD56))</f>
        <v/>
      </c>
      <c r="AM56" s="37">
        <f>IF($C56="","",IF(ISNUMBER($AE56)*ISNUMBER($AI56)=0,"",IF($AI56&gt;$AE56+0.05,"rising",IF($AI56&lt;$AE56-0.05,"falling","stable"))))</f>
        <v/>
      </c>
      <c r="AN56" s="81">
        <f>IF($C56="","",IF(PULL_FUND="N","",IF(COUNTIFS('Fund History'!$G$272:$G$276,"&gt;="&amp;DATE(YEAR_Y-4,1,1),'Fund History'!$G$272:$G$276,"&lt;="&amp;DATE(YEAR_Y-4,12,31))=0,"",SUMIFS('Fund History'!$H$272:$H$276,'Fund History'!$G$272:$G$276,"&gt;="&amp;DATE(YEAR_Y-4,1,1),'Fund History'!$G$272:$G$276,"&lt;="&amp;DATE(YEAR_Y-4,12,31))/100)))</f>
        <v/>
      </c>
      <c r="AO56" s="82">
        <f>IF($C56="","",IF(PULL_FUND="N","",IF(COUNTIFS('Fund History'!$G$272:$G$276,"&gt;="&amp;DATE(YEAR_Y-3,1,1),'Fund History'!$G$272:$G$276,"&lt;="&amp;DATE(YEAR_Y-3,12,31))=0,"",SUMIFS('Fund History'!$H$272:$H$276,'Fund History'!$G$272:$G$276,"&gt;="&amp;DATE(YEAR_Y-3,1,1),'Fund History'!$G$272:$G$276,"&lt;="&amp;DATE(YEAR_Y-3,12,31))/100)))</f>
        <v/>
      </c>
      <c r="AP56" s="82">
        <f>IF($C56="","",IF(PULL_FUND="N","",IF(COUNTIFS('Fund History'!$G$272:$G$276,"&gt;="&amp;DATE(YEAR_Y-2,1,1),'Fund History'!$G$272:$G$276,"&lt;="&amp;DATE(YEAR_Y-2,12,31))=0,"",SUMIFS('Fund History'!$H$272:$H$276,'Fund History'!$G$272:$G$276,"&gt;="&amp;DATE(YEAR_Y-2,1,1),'Fund History'!$G$272:$G$276,"&lt;="&amp;DATE(YEAR_Y-2,12,31))/100)))</f>
        <v/>
      </c>
      <c r="AQ56" s="82">
        <f>IF($C56="","",IF(PULL_FUND="N","",IF(COUNTIFS('Fund History'!$G$272:$G$276,"&gt;="&amp;DATE(YEAR_Y-1,1,1),'Fund History'!$G$272:$G$276,"&lt;="&amp;DATE(YEAR_Y-1,12,31))=0,"",SUMIFS('Fund History'!$H$272:$H$276,'Fund History'!$G$272:$G$276,"&gt;="&amp;DATE(YEAR_Y-1,1,1),'Fund History'!$G$272:$G$276,"&lt;="&amp;DATE(YEAR_Y-1,12,31))/100)))</f>
        <v/>
      </c>
      <c r="AR56" s="83">
        <f>IF($C56="","",IF(N($AQ56)+N(HSI!$I$51)=0,"",N($AQ56)+N(HSI!$I$51)/100))</f>
        <v/>
      </c>
      <c r="AS56" s="75">
        <f>IF($C56="","",IF(PULL_FUND="N","",IF(COUNTIFS('Fund History'!$D$272:$D$276,"&gt;="&amp;DATE(YEAR_Y-2,1,1),'Fund History'!$D$272:$D$276,"&lt;="&amp;DATE(YEAR_Y-2,12,31))=0,"",SUMIFS('Fund History'!$E$272:$E$276,'Fund History'!$D$272:$D$276,"&gt;="&amp;DATE(YEAR_Y-2,1,1),'Fund History'!$D$272:$D$276,"&lt;="&amp;DATE(YEAR_Y-2,12,31)))))</f>
        <v/>
      </c>
      <c r="AT56" s="76">
        <f>IF($C56="","",IF(PULL_FUND="N","",IF(COUNTIFS('Fund History'!$D$272:$D$276,"&gt;="&amp;DATE(YEAR_Y-1,1,1),'Fund History'!$D$272:$D$276,"&lt;="&amp;DATE(YEAR_Y-1,12,31))=0,"",SUMIFS('Fund History'!$E$272:$E$276,'Fund History'!$D$272:$D$276,"&gt;="&amp;DATE(YEAR_Y-1,1,1),'Fund History'!$D$272:$D$276,"&lt;="&amp;DATE(YEAR_Y-1,12,31)))))</f>
        <v/>
      </c>
      <c r="AU56" s="76">
        <f>IF($C56="","",IF(PULL_FUND="N","",IFERROR(BDP($C56,NDEBITDA_FIELD),"")))</f>
        <v/>
      </c>
      <c r="AV56" s="84">
        <f>IF($C56="","",IF(PULL_FUND="N","",IFERROR(BDP($C56,EBINT_FIELD),"")))</f>
        <v/>
      </c>
      <c r="AW56" s="82">
        <f>IF($C56="","",IF(PULL_FUND="N","",IFERROR(BDP($C56,FCF_FIELD)/100,"")))</f>
        <v/>
      </c>
      <c r="AX56" s="50">
        <f>IF($C56="","",IF(N($U56)=0,"",IFERROR($AW56/$U56,"")))</f>
        <v/>
      </c>
      <c r="AY56" s="85">
        <f>IF($C56="","",TRIM(IF(ISNUMBER($AJ56)*(N($AJ56)&gt;$D$4)&gt;0,"payout high  ","")&amp;IF(ISNUMBER($AX56)*(N($AX56)&lt;$F$4)&gt;0,"FCF below dvd  ","")&amp;IF(ISNUMBER($AU56)*(N($AU56)&gt;$H$4)&gt;0,"leverage high","")))</f>
        <v/>
      </c>
      <c r="AZ56" s="86">
        <f>IF($C56="","",IF(HSI!$F$51="HKD","",HSI!$F$51))</f>
        <v/>
      </c>
    </row>
    <row r="57">
      <c r="B57" s="66" t="inlineStr">
        <is>
          <t>HSI</t>
        </is>
      </c>
      <c r="C57" s="8">
        <f>IF(HSI!$C$52="","",HSI!$C$52)</f>
        <v/>
      </c>
      <c r="D57" s="8">
        <f>IF($C57="","",HSI!$D$52)</f>
        <v/>
      </c>
      <c r="E57" s="8">
        <f>IF($C57="","",HSI!$E$52)</f>
        <v/>
      </c>
      <c r="F57" s="67">
        <f>IF($C57="","",SUMPRODUCT(('Dvd Calendar'!$E$506:$AR$506&gt;=DATE(YEAR_Y-5,1,1))*('Dvd Calendar'!$E$506:$AR$506&lt;=DATE(YEAR_Y-5,12,31))*'Dvd Calendar'!$E$509:$AR$509*(('Dvd Calendar'!$E$511:$AR$511=TYPE1)*(TYPE1&lt;&gt;"")+('Dvd Calendar'!$E$511:$AR$511=TYPE2)*(TYPE2&lt;&gt;"")+('Dvd Calendar'!$E$511:$AR$511=TYPE3)*(TYPE3&lt;&gt;"")+('Dvd Calendar'!$E$511:$AR$511=TYPE4)*(TYPE4&lt;&gt;"")+('Dvd Calendar'!$E$511:$AR$511=SPECIAL_LBL)*(INC_SPECIALS="Y"))))</f>
        <v/>
      </c>
      <c r="G57" s="68">
        <f>IF($C57="","",SUMPRODUCT(('Dvd Calendar'!$E$506:$AR$506&gt;=DATE(YEAR_Y-4,1,1))*('Dvd Calendar'!$E$506:$AR$506&lt;=DATE(YEAR_Y-4,12,31))*'Dvd Calendar'!$E$509:$AR$509*(('Dvd Calendar'!$E$511:$AR$511=TYPE1)*(TYPE1&lt;&gt;"")+('Dvd Calendar'!$E$511:$AR$511=TYPE2)*(TYPE2&lt;&gt;"")+('Dvd Calendar'!$E$511:$AR$511=TYPE3)*(TYPE3&lt;&gt;"")+('Dvd Calendar'!$E$511:$AR$511=TYPE4)*(TYPE4&lt;&gt;"")+('Dvd Calendar'!$E$511:$AR$511=SPECIAL_LBL)*(INC_SPECIALS="Y"))))</f>
        <v/>
      </c>
      <c r="H57" s="68">
        <f>IF($C57="","",SUMPRODUCT(('Dvd Calendar'!$E$506:$AR$506&gt;=DATE(YEAR_Y-3,1,1))*('Dvd Calendar'!$E$506:$AR$506&lt;=DATE(YEAR_Y-3,12,31))*'Dvd Calendar'!$E$509:$AR$509*(('Dvd Calendar'!$E$511:$AR$511=TYPE1)*(TYPE1&lt;&gt;"")+('Dvd Calendar'!$E$511:$AR$511=TYPE2)*(TYPE2&lt;&gt;"")+('Dvd Calendar'!$E$511:$AR$511=TYPE3)*(TYPE3&lt;&gt;"")+('Dvd Calendar'!$E$511:$AR$511=TYPE4)*(TYPE4&lt;&gt;"")+('Dvd Calendar'!$E$511:$AR$511=SPECIAL_LBL)*(INC_SPECIALS="Y"))))</f>
        <v/>
      </c>
      <c r="I57" s="68">
        <f>IF($C57="","",SUMPRODUCT(('Dvd Calendar'!$E$506:$AR$506&gt;=DATE(YEAR_Y-2,1,1))*('Dvd Calendar'!$E$506:$AR$506&lt;=DATE(YEAR_Y-2,12,31))*'Dvd Calendar'!$E$509:$AR$509*(('Dvd Calendar'!$E$511:$AR$511=TYPE1)*(TYPE1&lt;&gt;"")+('Dvd Calendar'!$E$511:$AR$511=TYPE2)*(TYPE2&lt;&gt;"")+('Dvd Calendar'!$E$511:$AR$511=TYPE3)*(TYPE3&lt;&gt;"")+('Dvd Calendar'!$E$511:$AR$511=TYPE4)*(TYPE4&lt;&gt;"")+('Dvd Calendar'!$E$511:$AR$511=SPECIAL_LBL)*(INC_SPECIALS="Y"))))</f>
        <v/>
      </c>
      <c r="J57" s="68">
        <f>IF($C57="","",SUMPRODUCT(('Dvd Calendar'!$E$506:$AR$506&gt;=DATE(YEAR_Y-1,1,1))*('Dvd Calendar'!$E$506:$AR$506&lt;=DATE(YEAR_Y-1,12,31))*'Dvd Calendar'!$E$509:$AR$509*(('Dvd Calendar'!$E$511:$AR$511=TYPE1)*(TYPE1&lt;&gt;"")+('Dvd Calendar'!$E$511:$AR$511=TYPE2)*(TYPE2&lt;&gt;"")+('Dvd Calendar'!$E$511:$AR$511=TYPE3)*(TYPE3&lt;&gt;"")+('Dvd Calendar'!$E$511:$AR$511=TYPE4)*(TYPE4&lt;&gt;"")+('Dvd Calendar'!$E$511:$AR$511=SPECIAL_LBL)*(INC_SPECIALS="Y"))))</f>
        <v/>
      </c>
      <c r="K57" s="69">
        <f>IF($C57="","",HSI!$J$52)</f>
        <v/>
      </c>
      <c r="L57" s="69">
        <f>IF($C57="","",HSI!$K$52)</f>
        <v/>
      </c>
      <c r="M57" s="44">
        <f>IF($C57="","",HSI!$J$52+HSI!$L$52)</f>
        <v/>
      </c>
      <c r="N57" s="70">
        <f>IF($C57="","",IF(PULL_FUND="N","",IFERROR(BDP($C57,BESTDPS_FIELD,FWD_OVERRIDE,TEXT(MOD(YEAR_Y,100),"00")&amp;"Y"),"")))</f>
        <v/>
      </c>
      <c r="O57" s="69">
        <f>IF($C57="","",AVERAGE(F57:J57))</f>
        <v/>
      </c>
      <c r="P57" s="71">
        <f>IF($C57="","",IF(PULL_FUND="N","",IF(COUNTIFS('Fund History'!$J$278:$J$282,"&gt;="&amp;DATE(YEAR_Y-5,1,1),'Fund History'!$J$278:$J$282,"&lt;="&amp;DATE(YEAR_Y-5,12,31))=0,"",IFERROR($F57*HSI!$G$52/SUMIFS('Fund History'!$K$278:$K$282,'Fund History'!$J$278:$J$282,"&gt;="&amp;DATE(YEAR_Y-5,1,1),'Fund History'!$J$278:$J$282,"&lt;="&amp;DATE(YEAR_Y-5,12,31)),""))))</f>
        <v/>
      </c>
      <c r="Q57" s="72">
        <f>IF($C57="","",IF(PULL_FUND="N","",IF(COUNTIFS('Fund History'!$J$278:$J$282,"&gt;="&amp;DATE(YEAR_Y-4,1,1),'Fund History'!$J$278:$J$282,"&lt;="&amp;DATE(YEAR_Y-4,12,31))=0,"",IFERROR($G57*HSI!$G$52/SUMIFS('Fund History'!$K$278:$K$282,'Fund History'!$J$278:$J$282,"&gt;="&amp;DATE(YEAR_Y-4,1,1),'Fund History'!$J$278:$J$282,"&lt;="&amp;DATE(YEAR_Y-4,12,31)),""))))</f>
        <v/>
      </c>
      <c r="R57" s="72">
        <f>IF($C57="","",IF(PULL_FUND="N","",IF(COUNTIFS('Fund History'!$J$278:$J$282,"&gt;="&amp;DATE(YEAR_Y-3,1,1),'Fund History'!$J$278:$J$282,"&lt;="&amp;DATE(YEAR_Y-3,12,31))=0,"",IFERROR($H57*HSI!$G$52/SUMIFS('Fund History'!$K$278:$K$282,'Fund History'!$J$278:$J$282,"&gt;="&amp;DATE(YEAR_Y-3,1,1),'Fund History'!$J$278:$J$282,"&lt;="&amp;DATE(YEAR_Y-3,12,31)),""))))</f>
        <v/>
      </c>
      <c r="S57" s="72">
        <f>IF($C57="","",IF(PULL_FUND="N","",IF(COUNTIFS('Fund History'!$J$278:$J$282,"&gt;="&amp;DATE(YEAR_Y-2,1,1),'Fund History'!$J$278:$J$282,"&lt;="&amp;DATE(YEAR_Y-2,12,31))=0,"",IFERROR($I57*HSI!$G$52/SUMIFS('Fund History'!$K$278:$K$282,'Fund History'!$J$278:$J$282,"&gt;="&amp;DATE(YEAR_Y-2,1,1),'Fund History'!$J$278:$J$282,"&lt;="&amp;DATE(YEAR_Y-2,12,31)),""))))</f>
        <v/>
      </c>
      <c r="T57" s="72">
        <f>IF($C57="","",IF(PULL_FUND="N","",IF(COUNTIFS('Fund History'!$J$278:$J$282,"&gt;="&amp;DATE(YEAR_Y-1,1,1),'Fund History'!$J$278:$J$282,"&lt;="&amp;DATE(YEAR_Y-1,12,31))=0,"",IFERROR($J57*HSI!$G$52/SUMIFS('Fund History'!$K$278:$K$282,'Fund History'!$J$278:$J$282,"&gt;="&amp;DATE(YEAR_Y-1,1,1),'Fund History'!$J$278:$J$282,"&lt;="&amp;DATE(YEAR_Y-1,12,31)),""))))</f>
        <v/>
      </c>
      <c r="U57" s="73">
        <f>IF($C57="","",IF(ISNUMBER(HSI!$I$52),HSI!$I$52/100,""))</f>
        <v/>
      </c>
      <c r="V57" s="74">
        <f>IF($C57="","",IF(ISNUMBER(HSI!$X$52),IFERROR($M57*HSI!$G$52/HSI!$X$52,""),""))</f>
        <v/>
      </c>
      <c r="W57" s="73">
        <f>IF($C57="","",IF(ISNUMBER($N57),IFERROR($N57*HSI!$G$52/HSI!$X$52,""),""))</f>
        <v/>
      </c>
      <c r="X57" s="75">
        <f>IF($C57="","",IF(PULL_FUND="N","",IFERROR(BDP($C57,EPS_FIELD,YR_OVERRIDE,TEXT(YEAR_Y-5,"0")),"")))</f>
        <v/>
      </c>
      <c r="Y57" s="76">
        <f>IF($C57="","",IF(PULL_FUND="N","",IFERROR(BDP($C57,EPS_FIELD,YR_OVERRIDE,TEXT(YEAR_Y-4,"0")),"")))</f>
        <v/>
      </c>
      <c r="Z57" s="76">
        <f>IF($C57="","",IF(PULL_FUND="N","",IFERROR(BDP($C57,EPS_FIELD,YR_OVERRIDE,TEXT(YEAR_Y-3,"0")),"")))</f>
        <v/>
      </c>
      <c r="AA57" s="76">
        <f>IF($C57="","",IF(PULL_FUND="N","",IFERROR(BDP($C57,EPS_FIELD,YR_OVERRIDE,TEXT(YEAR_Y-2,"0")),"")))</f>
        <v/>
      </c>
      <c r="AB57" s="76">
        <f>IF($C57="","",IF(PULL_FUND="N","",IFERROR(BDP($C57,EPS_FIELD,YR_OVERRIDE,TEXT(YEAR_Y-1,"0")),"")))</f>
        <v/>
      </c>
      <c r="AC57" s="50">
        <f>IF($C57="","",IFERROR(AVERAGE(X57:AB57),""))</f>
        <v/>
      </c>
      <c r="AD57" s="76">
        <f>IF($C57="","",IF(PULL_FUND="N","",IFERROR(BDP($C57,BESTEPS_FIELD,FWD_OVERRIDE,TEXT(MOD(YEAR_Y,100),"00")&amp;"Y"),"")))</f>
        <v/>
      </c>
      <c r="AE57" s="77">
        <f>IF($C57="","",IF(PULL_FUND="N","",IFERROR(BDP($C57,PAYOUT_FIELD,YR_OVERRIDE,TEXT(YEAR_Y-5,"0"))/100,"")))</f>
        <v/>
      </c>
      <c r="AF57" s="78">
        <f>IF($C57="","",IF(PULL_FUND="N","",IFERROR(BDP($C57,PAYOUT_FIELD,YR_OVERRIDE,TEXT(YEAR_Y-4,"0"))/100,"")))</f>
        <v/>
      </c>
      <c r="AG57" s="78">
        <f>IF($C57="","",IF(PULL_FUND="N","",IFERROR(BDP($C57,PAYOUT_FIELD,YR_OVERRIDE,TEXT(YEAR_Y-3,"0"))/100,"")))</f>
        <v/>
      </c>
      <c r="AH57" s="78">
        <f>IF($C57="","",IF(PULL_FUND="N","",IFERROR(BDP($C57,PAYOUT_FIELD,YR_OVERRIDE,TEXT(YEAR_Y-2,"0"))/100,"")))</f>
        <v/>
      </c>
      <c r="AI57" s="78">
        <f>IF($C57="","",IF(PULL_FUND="N","",IFERROR(BDP($C57,PAYOUT_FIELD,YR_OVERRIDE,TEXT(YEAR_Y-1,"0"))/100,"")))</f>
        <v/>
      </c>
      <c r="AJ57" s="79">
        <f>IF($C57="","",IFERROR(AVERAGE(AE57:AI57),""))</f>
        <v/>
      </c>
      <c r="AK57" s="80">
        <f>IF($C57="","",IF(ISNUMBER($AD57)*ISNUMBER($N57)*($AD57&lt;&gt;0)=0,"",$N57/$AD57))</f>
        <v/>
      </c>
      <c r="AL57" s="79">
        <f>IF($C57="","",IF(ISNUMBER($AD57)*($AD57&lt;&gt;0)=0,"",$M57/$AD57))</f>
        <v/>
      </c>
      <c r="AM57" s="37">
        <f>IF($C57="","",IF(ISNUMBER($AE57)*ISNUMBER($AI57)=0,"",IF($AI57&gt;$AE57+0.05,"rising",IF($AI57&lt;$AE57-0.05,"falling","stable"))))</f>
        <v/>
      </c>
      <c r="AN57" s="81">
        <f>IF($C57="","",IF(PULL_FUND="N","",IF(COUNTIFS('Fund History'!$G$278:$G$282,"&gt;="&amp;DATE(YEAR_Y-4,1,1),'Fund History'!$G$278:$G$282,"&lt;="&amp;DATE(YEAR_Y-4,12,31))=0,"",SUMIFS('Fund History'!$H$278:$H$282,'Fund History'!$G$278:$G$282,"&gt;="&amp;DATE(YEAR_Y-4,1,1),'Fund History'!$G$278:$G$282,"&lt;="&amp;DATE(YEAR_Y-4,12,31))/100)))</f>
        <v/>
      </c>
      <c r="AO57" s="82">
        <f>IF($C57="","",IF(PULL_FUND="N","",IF(COUNTIFS('Fund History'!$G$278:$G$282,"&gt;="&amp;DATE(YEAR_Y-3,1,1),'Fund History'!$G$278:$G$282,"&lt;="&amp;DATE(YEAR_Y-3,12,31))=0,"",SUMIFS('Fund History'!$H$278:$H$282,'Fund History'!$G$278:$G$282,"&gt;="&amp;DATE(YEAR_Y-3,1,1),'Fund History'!$G$278:$G$282,"&lt;="&amp;DATE(YEAR_Y-3,12,31))/100)))</f>
        <v/>
      </c>
      <c r="AP57" s="82">
        <f>IF($C57="","",IF(PULL_FUND="N","",IF(COUNTIFS('Fund History'!$G$278:$G$282,"&gt;="&amp;DATE(YEAR_Y-2,1,1),'Fund History'!$G$278:$G$282,"&lt;="&amp;DATE(YEAR_Y-2,12,31))=0,"",SUMIFS('Fund History'!$H$278:$H$282,'Fund History'!$G$278:$G$282,"&gt;="&amp;DATE(YEAR_Y-2,1,1),'Fund History'!$G$278:$G$282,"&lt;="&amp;DATE(YEAR_Y-2,12,31))/100)))</f>
        <v/>
      </c>
      <c r="AQ57" s="82">
        <f>IF($C57="","",IF(PULL_FUND="N","",IF(COUNTIFS('Fund History'!$G$278:$G$282,"&gt;="&amp;DATE(YEAR_Y-1,1,1),'Fund History'!$G$278:$G$282,"&lt;="&amp;DATE(YEAR_Y-1,12,31))=0,"",SUMIFS('Fund History'!$H$278:$H$282,'Fund History'!$G$278:$G$282,"&gt;="&amp;DATE(YEAR_Y-1,1,1),'Fund History'!$G$278:$G$282,"&lt;="&amp;DATE(YEAR_Y-1,12,31))/100)))</f>
        <v/>
      </c>
      <c r="AR57" s="83">
        <f>IF($C57="","",IF(N($AQ57)+N(HSI!$I$52)=0,"",N($AQ57)+N(HSI!$I$52)/100))</f>
        <v/>
      </c>
      <c r="AS57" s="75">
        <f>IF($C57="","",IF(PULL_FUND="N","",IF(COUNTIFS('Fund History'!$D$278:$D$282,"&gt;="&amp;DATE(YEAR_Y-2,1,1),'Fund History'!$D$278:$D$282,"&lt;="&amp;DATE(YEAR_Y-2,12,31))=0,"",SUMIFS('Fund History'!$E$278:$E$282,'Fund History'!$D$278:$D$282,"&gt;="&amp;DATE(YEAR_Y-2,1,1),'Fund History'!$D$278:$D$282,"&lt;="&amp;DATE(YEAR_Y-2,12,31)))))</f>
        <v/>
      </c>
      <c r="AT57" s="76">
        <f>IF($C57="","",IF(PULL_FUND="N","",IF(COUNTIFS('Fund History'!$D$278:$D$282,"&gt;="&amp;DATE(YEAR_Y-1,1,1),'Fund History'!$D$278:$D$282,"&lt;="&amp;DATE(YEAR_Y-1,12,31))=0,"",SUMIFS('Fund History'!$E$278:$E$282,'Fund History'!$D$278:$D$282,"&gt;="&amp;DATE(YEAR_Y-1,1,1),'Fund History'!$D$278:$D$282,"&lt;="&amp;DATE(YEAR_Y-1,12,31)))))</f>
        <v/>
      </c>
      <c r="AU57" s="76">
        <f>IF($C57="","",IF(PULL_FUND="N","",IFERROR(BDP($C57,NDEBITDA_FIELD),"")))</f>
        <v/>
      </c>
      <c r="AV57" s="84">
        <f>IF($C57="","",IF(PULL_FUND="N","",IFERROR(BDP($C57,EBINT_FIELD),"")))</f>
        <v/>
      </c>
      <c r="AW57" s="82">
        <f>IF($C57="","",IF(PULL_FUND="N","",IFERROR(BDP($C57,FCF_FIELD)/100,"")))</f>
        <v/>
      </c>
      <c r="AX57" s="50">
        <f>IF($C57="","",IF(N($U57)=0,"",IFERROR($AW57/$U57,"")))</f>
        <v/>
      </c>
      <c r="AY57" s="85">
        <f>IF($C57="","",TRIM(IF(ISNUMBER($AJ57)*(N($AJ57)&gt;$D$4)&gt;0,"payout high  ","")&amp;IF(ISNUMBER($AX57)*(N($AX57)&lt;$F$4)&gt;0,"FCF below dvd  ","")&amp;IF(ISNUMBER($AU57)*(N($AU57)&gt;$H$4)&gt;0,"leverage high","")))</f>
        <v/>
      </c>
      <c r="AZ57" s="86">
        <f>IF($C57="","",IF(HSI!$F$52="HKD","",HSI!$F$52))</f>
        <v/>
      </c>
    </row>
    <row r="58">
      <c r="B58" s="66" t="inlineStr">
        <is>
          <t>HSI</t>
        </is>
      </c>
      <c r="C58" s="8">
        <f>IF(HSI!$C$53="","",HSI!$C$53)</f>
        <v/>
      </c>
      <c r="D58" s="8">
        <f>IF($C58="","",HSI!$D$53)</f>
        <v/>
      </c>
      <c r="E58" s="8">
        <f>IF($C58="","",HSI!$E$53)</f>
        <v/>
      </c>
      <c r="F58" s="67">
        <f>IF($C58="","",SUMPRODUCT(('Dvd Calendar'!$E$517:$AR$517&gt;=DATE(YEAR_Y-5,1,1))*('Dvd Calendar'!$E$517:$AR$517&lt;=DATE(YEAR_Y-5,12,31))*'Dvd Calendar'!$E$520:$AR$520*(('Dvd Calendar'!$E$522:$AR$522=TYPE1)*(TYPE1&lt;&gt;"")+('Dvd Calendar'!$E$522:$AR$522=TYPE2)*(TYPE2&lt;&gt;"")+('Dvd Calendar'!$E$522:$AR$522=TYPE3)*(TYPE3&lt;&gt;"")+('Dvd Calendar'!$E$522:$AR$522=TYPE4)*(TYPE4&lt;&gt;"")+('Dvd Calendar'!$E$522:$AR$522=SPECIAL_LBL)*(INC_SPECIALS="Y"))))</f>
        <v/>
      </c>
      <c r="G58" s="68">
        <f>IF($C58="","",SUMPRODUCT(('Dvd Calendar'!$E$517:$AR$517&gt;=DATE(YEAR_Y-4,1,1))*('Dvd Calendar'!$E$517:$AR$517&lt;=DATE(YEAR_Y-4,12,31))*'Dvd Calendar'!$E$520:$AR$520*(('Dvd Calendar'!$E$522:$AR$522=TYPE1)*(TYPE1&lt;&gt;"")+('Dvd Calendar'!$E$522:$AR$522=TYPE2)*(TYPE2&lt;&gt;"")+('Dvd Calendar'!$E$522:$AR$522=TYPE3)*(TYPE3&lt;&gt;"")+('Dvd Calendar'!$E$522:$AR$522=TYPE4)*(TYPE4&lt;&gt;"")+('Dvd Calendar'!$E$522:$AR$522=SPECIAL_LBL)*(INC_SPECIALS="Y"))))</f>
        <v/>
      </c>
      <c r="H58" s="68">
        <f>IF($C58="","",SUMPRODUCT(('Dvd Calendar'!$E$517:$AR$517&gt;=DATE(YEAR_Y-3,1,1))*('Dvd Calendar'!$E$517:$AR$517&lt;=DATE(YEAR_Y-3,12,31))*'Dvd Calendar'!$E$520:$AR$520*(('Dvd Calendar'!$E$522:$AR$522=TYPE1)*(TYPE1&lt;&gt;"")+('Dvd Calendar'!$E$522:$AR$522=TYPE2)*(TYPE2&lt;&gt;"")+('Dvd Calendar'!$E$522:$AR$522=TYPE3)*(TYPE3&lt;&gt;"")+('Dvd Calendar'!$E$522:$AR$522=TYPE4)*(TYPE4&lt;&gt;"")+('Dvd Calendar'!$E$522:$AR$522=SPECIAL_LBL)*(INC_SPECIALS="Y"))))</f>
        <v/>
      </c>
      <c r="I58" s="68">
        <f>IF($C58="","",SUMPRODUCT(('Dvd Calendar'!$E$517:$AR$517&gt;=DATE(YEAR_Y-2,1,1))*('Dvd Calendar'!$E$517:$AR$517&lt;=DATE(YEAR_Y-2,12,31))*'Dvd Calendar'!$E$520:$AR$520*(('Dvd Calendar'!$E$522:$AR$522=TYPE1)*(TYPE1&lt;&gt;"")+('Dvd Calendar'!$E$522:$AR$522=TYPE2)*(TYPE2&lt;&gt;"")+('Dvd Calendar'!$E$522:$AR$522=TYPE3)*(TYPE3&lt;&gt;"")+('Dvd Calendar'!$E$522:$AR$522=TYPE4)*(TYPE4&lt;&gt;"")+('Dvd Calendar'!$E$522:$AR$522=SPECIAL_LBL)*(INC_SPECIALS="Y"))))</f>
        <v/>
      </c>
      <c r="J58" s="68">
        <f>IF($C58="","",SUMPRODUCT(('Dvd Calendar'!$E$517:$AR$517&gt;=DATE(YEAR_Y-1,1,1))*('Dvd Calendar'!$E$517:$AR$517&lt;=DATE(YEAR_Y-1,12,31))*'Dvd Calendar'!$E$520:$AR$520*(('Dvd Calendar'!$E$522:$AR$522=TYPE1)*(TYPE1&lt;&gt;"")+('Dvd Calendar'!$E$522:$AR$522=TYPE2)*(TYPE2&lt;&gt;"")+('Dvd Calendar'!$E$522:$AR$522=TYPE3)*(TYPE3&lt;&gt;"")+('Dvd Calendar'!$E$522:$AR$522=TYPE4)*(TYPE4&lt;&gt;"")+('Dvd Calendar'!$E$522:$AR$522=SPECIAL_LBL)*(INC_SPECIALS="Y"))))</f>
        <v/>
      </c>
      <c r="K58" s="69">
        <f>IF($C58="","",HSI!$J$53)</f>
        <v/>
      </c>
      <c r="L58" s="69">
        <f>IF($C58="","",HSI!$K$53)</f>
        <v/>
      </c>
      <c r="M58" s="44">
        <f>IF($C58="","",HSI!$J$53+HSI!$L$53)</f>
        <v/>
      </c>
      <c r="N58" s="70">
        <f>IF($C58="","",IF(PULL_FUND="N","",IFERROR(BDP($C58,BESTDPS_FIELD,FWD_OVERRIDE,TEXT(MOD(YEAR_Y,100),"00")&amp;"Y"),"")))</f>
        <v/>
      </c>
      <c r="O58" s="69">
        <f>IF($C58="","",AVERAGE(F58:J58))</f>
        <v/>
      </c>
      <c r="P58" s="71">
        <f>IF($C58="","",IF(PULL_FUND="N","",IF(COUNTIFS('Fund History'!$J$284:$J$288,"&gt;="&amp;DATE(YEAR_Y-5,1,1),'Fund History'!$J$284:$J$288,"&lt;="&amp;DATE(YEAR_Y-5,12,31))=0,"",IFERROR($F58*HSI!$G$53/SUMIFS('Fund History'!$K$284:$K$288,'Fund History'!$J$284:$J$288,"&gt;="&amp;DATE(YEAR_Y-5,1,1),'Fund History'!$J$284:$J$288,"&lt;="&amp;DATE(YEAR_Y-5,12,31)),""))))</f>
        <v/>
      </c>
      <c r="Q58" s="72">
        <f>IF($C58="","",IF(PULL_FUND="N","",IF(COUNTIFS('Fund History'!$J$284:$J$288,"&gt;="&amp;DATE(YEAR_Y-4,1,1),'Fund History'!$J$284:$J$288,"&lt;="&amp;DATE(YEAR_Y-4,12,31))=0,"",IFERROR($G58*HSI!$G$53/SUMIFS('Fund History'!$K$284:$K$288,'Fund History'!$J$284:$J$288,"&gt;="&amp;DATE(YEAR_Y-4,1,1),'Fund History'!$J$284:$J$288,"&lt;="&amp;DATE(YEAR_Y-4,12,31)),""))))</f>
        <v/>
      </c>
      <c r="R58" s="72">
        <f>IF($C58="","",IF(PULL_FUND="N","",IF(COUNTIFS('Fund History'!$J$284:$J$288,"&gt;="&amp;DATE(YEAR_Y-3,1,1),'Fund History'!$J$284:$J$288,"&lt;="&amp;DATE(YEAR_Y-3,12,31))=0,"",IFERROR($H58*HSI!$G$53/SUMIFS('Fund History'!$K$284:$K$288,'Fund History'!$J$284:$J$288,"&gt;="&amp;DATE(YEAR_Y-3,1,1),'Fund History'!$J$284:$J$288,"&lt;="&amp;DATE(YEAR_Y-3,12,31)),""))))</f>
        <v/>
      </c>
      <c r="S58" s="72">
        <f>IF($C58="","",IF(PULL_FUND="N","",IF(COUNTIFS('Fund History'!$J$284:$J$288,"&gt;="&amp;DATE(YEAR_Y-2,1,1),'Fund History'!$J$284:$J$288,"&lt;="&amp;DATE(YEAR_Y-2,12,31))=0,"",IFERROR($I58*HSI!$G$53/SUMIFS('Fund History'!$K$284:$K$288,'Fund History'!$J$284:$J$288,"&gt;="&amp;DATE(YEAR_Y-2,1,1),'Fund History'!$J$284:$J$288,"&lt;="&amp;DATE(YEAR_Y-2,12,31)),""))))</f>
        <v/>
      </c>
      <c r="T58" s="72">
        <f>IF($C58="","",IF(PULL_FUND="N","",IF(COUNTIFS('Fund History'!$J$284:$J$288,"&gt;="&amp;DATE(YEAR_Y-1,1,1),'Fund History'!$J$284:$J$288,"&lt;="&amp;DATE(YEAR_Y-1,12,31))=0,"",IFERROR($J58*HSI!$G$53/SUMIFS('Fund History'!$K$284:$K$288,'Fund History'!$J$284:$J$288,"&gt;="&amp;DATE(YEAR_Y-1,1,1),'Fund History'!$J$284:$J$288,"&lt;="&amp;DATE(YEAR_Y-1,12,31)),""))))</f>
        <v/>
      </c>
      <c r="U58" s="73">
        <f>IF($C58="","",IF(ISNUMBER(HSI!$I$53),HSI!$I$53/100,""))</f>
        <v/>
      </c>
      <c r="V58" s="74">
        <f>IF($C58="","",IF(ISNUMBER(HSI!$X$53),IFERROR($M58*HSI!$G$53/HSI!$X$53,""),""))</f>
        <v/>
      </c>
      <c r="W58" s="73">
        <f>IF($C58="","",IF(ISNUMBER($N58),IFERROR($N58*HSI!$G$53/HSI!$X$53,""),""))</f>
        <v/>
      </c>
      <c r="X58" s="75">
        <f>IF($C58="","",IF(PULL_FUND="N","",IFERROR(BDP($C58,EPS_FIELD,YR_OVERRIDE,TEXT(YEAR_Y-5,"0")),"")))</f>
        <v/>
      </c>
      <c r="Y58" s="76">
        <f>IF($C58="","",IF(PULL_FUND="N","",IFERROR(BDP($C58,EPS_FIELD,YR_OVERRIDE,TEXT(YEAR_Y-4,"0")),"")))</f>
        <v/>
      </c>
      <c r="Z58" s="76">
        <f>IF($C58="","",IF(PULL_FUND="N","",IFERROR(BDP($C58,EPS_FIELD,YR_OVERRIDE,TEXT(YEAR_Y-3,"0")),"")))</f>
        <v/>
      </c>
      <c r="AA58" s="76">
        <f>IF($C58="","",IF(PULL_FUND="N","",IFERROR(BDP($C58,EPS_FIELD,YR_OVERRIDE,TEXT(YEAR_Y-2,"0")),"")))</f>
        <v/>
      </c>
      <c r="AB58" s="76">
        <f>IF($C58="","",IF(PULL_FUND="N","",IFERROR(BDP($C58,EPS_FIELD,YR_OVERRIDE,TEXT(YEAR_Y-1,"0")),"")))</f>
        <v/>
      </c>
      <c r="AC58" s="50">
        <f>IF($C58="","",IFERROR(AVERAGE(X58:AB58),""))</f>
        <v/>
      </c>
      <c r="AD58" s="76">
        <f>IF($C58="","",IF(PULL_FUND="N","",IFERROR(BDP($C58,BESTEPS_FIELD,FWD_OVERRIDE,TEXT(MOD(YEAR_Y,100),"00")&amp;"Y"),"")))</f>
        <v/>
      </c>
      <c r="AE58" s="77">
        <f>IF($C58="","",IF(PULL_FUND="N","",IFERROR(BDP($C58,PAYOUT_FIELD,YR_OVERRIDE,TEXT(YEAR_Y-5,"0"))/100,"")))</f>
        <v/>
      </c>
      <c r="AF58" s="78">
        <f>IF($C58="","",IF(PULL_FUND="N","",IFERROR(BDP($C58,PAYOUT_FIELD,YR_OVERRIDE,TEXT(YEAR_Y-4,"0"))/100,"")))</f>
        <v/>
      </c>
      <c r="AG58" s="78">
        <f>IF($C58="","",IF(PULL_FUND="N","",IFERROR(BDP($C58,PAYOUT_FIELD,YR_OVERRIDE,TEXT(YEAR_Y-3,"0"))/100,"")))</f>
        <v/>
      </c>
      <c r="AH58" s="78">
        <f>IF($C58="","",IF(PULL_FUND="N","",IFERROR(BDP($C58,PAYOUT_FIELD,YR_OVERRIDE,TEXT(YEAR_Y-2,"0"))/100,"")))</f>
        <v/>
      </c>
      <c r="AI58" s="78">
        <f>IF($C58="","",IF(PULL_FUND="N","",IFERROR(BDP($C58,PAYOUT_FIELD,YR_OVERRIDE,TEXT(YEAR_Y-1,"0"))/100,"")))</f>
        <v/>
      </c>
      <c r="AJ58" s="79">
        <f>IF($C58="","",IFERROR(AVERAGE(AE58:AI58),""))</f>
        <v/>
      </c>
      <c r="AK58" s="80">
        <f>IF($C58="","",IF(ISNUMBER($AD58)*ISNUMBER($N58)*($AD58&lt;&gt;0)=0,"",$N58/$AD58))</f>
        <v/>
      </c>
      <c r="AL58" s="79">
        <f>IF($C58="","",IF(ISNUMBER($AD58)*($AD58&lt;&gt;0)=0,"",$M58/$AD58))</f>
        <v/>
      </c>
      <c r="AM58" s="37">
        <f>IF($C58="","",IF(ISNUMBER($AE58)*ISNUMBER($AI58)=0,"",IF($AI58&gt;$AE58+0.05,"rising",IF($AI58&lt;$AE58-0.05,"falling","stable"))))</f>
        <v/>
      </c>
      <c r="AN58" s="81">
        <f>IF($C58="","",IF(PULL_FUND="N","",IF(COUNTIFS('Fund History'!$G$284:$G$288,"&gt;="&amp;DATE(YEAR_Y-4,1,1),'Fund History'!$G$284:$G$288,"&lt;="&amp;DATE(YEAR_Y-4,12,31))=0,"",SUMIFS('Fund History'!$H$284:$H$288,'Fund History'!$G$284:$G$288,"&gt;="&amp;DATE(YEAR_Y-4,1,1),'Fund History'!$G$284:$G$288,"&lt;="&amp;DATE(YEAR_Y-4,12,31))/100)))</f>
        <v/>
      </c>
      <c r="AO58" s="82">
        <f>IF($C58="","",IF(PULL_FUND="N","",IF(COUNTIFS('Fund History'!$G$284:$G$288,"&gt;="&amp;DATE(YEAR_Y-3,1,1),'Fund History'!$G$284:$G$288,"&lt;="&amp;DATE(YEAR_Y-3,12,31))=0,"",SUMIFS('Fund History'!$H$284:$H$288,'Fund History'!$G$284:$G$288,"&gt;="&amp;DATE(YEAR_Y-3,1,1),'Fund History'!$G$284:$G$288,"&lt;="&amp;DATE(YEAR_Y-3,12,31))/100)))</f>
        <v/>
      </c>
      <c r="AP58" s="82">
        <f>IF($C58="","",IF(PULL_FUND="N","",IF(COUNTIFS('Fund History'!$G$284:$G$288,"&gt;="&amp;DATE(YEAR_Y-2,1,1),'Fund History'!$G$284:$G$288,"&lt;="&amp;DATE(YEAR_Y-2,12,31))=0,"",SUMIFS('Fund History'!$H$284:$H$288,'Fund History'!$G$284:$G$288,"&gt;="&amp;DATE(YEAR_Y-2,1,1),'Fund History'!$G$284:$G$288,"&lt;="&amp;DATE(YEAR_Y-2,12,31))/100)))</f>
        <v/>
      </c>
      <c r="AQ58" s="82">
        <f>IF($C58="","",IF(PULL_FUND="N","",IF(COUNTIFS('Fund History'!$G$284:$G$288,"&gt;="&amp;DATE(YEAR_Y-1,1,1),'Fund History'!$G$284:$G$288,"&lt;="&amp;DATE(YEAR_Y-1,12,31))=0,"",SUMIFS('Fund History'!$H$284:$H$288,'Fund History'!$G$284:$G$288,"&gt;="&amp;DATE(YEAR_Y-1,1,1),'Fund History'!$G$284:$G$288,"&lt;="&amp;DATE(YEAR_Y-1,12,31))/100)))</f>
        <v/>
      </c>
      <c r="AR58" s="83">
        <f>IF($C58="","",IF(N($AQ58)+N(HSI!$I$53)=0,"",N($AQ58)+N(HSI!$I$53)/100))</f>
        <v/>
      </c>
      <c r="AS58" s="75">
        <f>IF($C58="","",IF(PULL_FUND="N","",IF(COUNTIFS('Fund History'!$D$284:$D$288,"&gt;="&amp;DATE(YEAR_Y-2,1,1),'Fund History'!$D$284:$D$288,"&lt;="&amp;DATE(YEAR_Y-2,12,31))=0,"",SUMIFS('Fund History'!$E$284:$E$288,'Fund History'!$D$284:$D$288,"&gt;="&amp;DATE(YEAR_Y-2,1,1),'Fund History'!$D$284:$D$288,"&lt;="&amp;DATE(YEAR_Y-2,12,31)))))</f>
        <v/>
      </c>
      <c r="AT58" s="76">
        <f>IF($C58="","",IF(PULL_FUND="N","",IF(COUNTIFS('Fund History'!$D$284:$D$288,"&gt;="&amp;DATE(YEAR_Y-1,1,1),'Fund History'!$D$284:$D$288,"&lt;="&amp;DATE(YEAR_Y-1,12,31))=0,"",SUMIFS('Fund History'!$E$284:$E$288,'Fund History'!$D$284:$D$288,"&gt;="&amp;DATE(YEAR_Y-1,1,1),'Fund History'!$D$284:$D$288,"&lt;="&amp;DATE(YEAR_Y-1,12,31)))))</f>
        <v/>
      </c>
      <c r="AU58" s="76">
        <f>IF($C58="","",IF(PULL_FUND="N","",IFERROR(BDP($C58,NDEBITDA_FIELD),"")))</f>
        <v/>
      </c>
      <c r="AV58" s="84">
        <f>IF($C58="","",IF(PULL_FUND="N","",IFERROR(BDP($C58,EBINT_FIELD),"")))</f>
        <v/>
      </c>
      <c r="AW58" s="82">
        <f>IF($C58="","",IF(PULL_FUND="N","",IFERROR(BDP($C58,FCF_FIELD)/100,"")))</f>
        <v/>
      </c>
      <c r="AX58" s="50">
        <f>IF($C58="","",IF(N($U58)=0,"",IFERROR($AW58/$U58,"")))</f>
        <v/>
      </c>
      <c r="AY58" s="85">
        <f>IF($C58="","",TRIM(IF(ISNUMBER($AJ58)*(N($AJ58)&gt;$D$4)&gt;0,"payout high  ","")&amp;IF(ISNUMBER($AX58)*(N($AX58)&lt;$F$4)&gt;0,"FCF below dvd  ","")&amp;IF(ISNUMBER($AU58)*(N($AU58)&gt;$H$4)&gt;0,"leverage high","")))</f>
        <v/>
      </c>
      <c r="AZ58" s="86">
        <f>IF($C58="","",IF(HSI!$F$53="HKD","",HSI!$F$53))</f>
        <v/>
      </c>
    </row>
    <row r="59">
      <c r="B59" s="66" t="inlineStr">
        <is>
          <t>HSI</t>
        </is>
      </c>
      <c r="C59" s="8">
        <f>IF(HSI!$C$54="","",HSI!$C$54)</f>
        <v/>
      </c>
      <c r="D59" s="8">
        <f>IF($C59="","",HSI!$D$54)</f>
        <v/>
      </c>
      <c r="E59" s="8">
        <f>IF($C59="","",HSI!$E$54)</f>
        <v/>
      </c>
      <c r="F59" s="67">
        <f>IF($C59="","",SUMPRODUCT(('Dvd Calendar'!$E$528:$AR$528&gt;=DATE(YEAR_Y-5,1,1))*('Dvd Calendar'!$E$528:$AR$528&lt;=DATE(YEAR_Y-5,12,31))*'Dvd Calendar'!$E$531:$AR$531*(('Dvd Calendar'!$E$533:$AR$533=TYPE1)*(TYPE1&lt;&gt;"")+('Dvd Calendar'!$E$533:$AR$533=TYPE2)*(TYPE2&lt;&gt;"")+('Dvd Calendar'!$E$533:$AR$533=TYPE3)*(TYPE3&lt;&gt;"")+('Dvd Calendar'!$E$533:$AR$533=TYPE4)*(TYPE4&lt;&gt;"")+('Dvd Calendar'!$E$533:$AR$533=SPECIAL_LBL)*(INC_SPECIALS="Y"))))</f>
        <v/>
      </c>
      <c r="G59" s="68">
        <f>IF($C59="","",SUMPRODUCT(('Dvd Calendar'!$E$528:$AR$528&gt;=DATE(YEAR_Y-4,1,1))*('Dvd Calendar'!$E$528:$AR$528&lt;=DATE(YEAR_Y-4,12,31))*'Dvd Calendar'!$E$531:$AR$531*(('Dvd Calendar'!$E$533:$AR$533=TYPE1)*(TYPE1&lt;&gt;"")+('Dvd Calendar'!$E$533:$AR$533=TYPE2)*(TYPE2&lt;&gt;"")+('Dvd Calendar'!$E$533:$AR$533=TYPE3)*(TYPE3&lt;&gt;"")+('Dvd Calendar'!$E$533:$AR$533=TYPE4)*(TYPE4&lt;&gt;"")+('Dvd Calendar'!$E$533:$AR$533=SPECIAL_LBL)*(INC_SPECIALS="Y"))))</f>
        <v/>
      </c>
      <c r="H59" s="68">
        <f>IF($C59="","",SUMPRODUCT(('Dvd Calendar'!$E$528:$AR$528&gt;=DATE(YEAR_Y-3,1,1))*('Dvd Calendar'!$E$528:$AR$528&lt;=DATE(YEAR_Y-3,12,31))*'Dvd Calendar'!$E$531:$AR$531*(('Dvd Calendar'!$E$533:$AR$533=TYPE1)*(TYPE1&lt;&gt;"")+('Dvd Calendar'!$E$533:$AR$533=TYPE2)*(TYPE2&lt;&gt;"")+('Dvd Calendar'!$E$533:$AR$533=TYPE3)*(TYPE3&lt;&gt;"")+('Dvd Calendar'!$E$533:$AR$533=TYPE4)*(TYPE4&lt;&gt;"")+('Dvd Calendar'!$E$533:$AR$533=SPECIAL_LBL)*(INC_SPECIALS="Y"))))</f>
        <v/>
      </c>
      <c r="I59" s="68">
        <f>IF($C59="","",SUMPRODUCT(('Dvd Calendar'!$E$528:$AR$528&gt;=DATE(YEAR_Y-2,1,1))*('Dvd Calendar'!$E$528:$AR$528&lt;=DATE(YEAR_Y-2,12,31))*'Dvd Calendar'!$E$531:$AR$531*(('Dvd Calendar'!$E$533:$AR$533=TYPE1)*(TYPE1&lt;&gt;"")+('Dvd Calendar'!$E$533:$AR$533=TYPE2)*(TYPE2&lt;&gt;"")+('Dvd Calendar'!$E$533:$AR$533=TYPE3)*(TYPE3&lt;&gt;"")+('Dvd Calendar'!$E$533:$AR$533=TYPE4)*(TYPE4&lt;&gt;"")+('Dvd Calendar'!$E$533:$AR$533=SPECIAL_LBL)*(INC_SPECIALS="Y"))))</f>
        <v/>
      </c>
      <c r="J59" s="68">
        <f>IF($C59="","",SUMPRODUCT(('Dvd Calendar'!$E$528:$AR$528&gt;=DATE(YEAR_Y-1,1,1))*('Dvd Calendar'!$E$528:$AR$528&lt;=DATE(YEAR_Y-1,12,31))*'Dvd Calendar'!$E$531:$AR$531*(('Dvd Calendar'!$E$533:$AR$533=TYPE1)*(TYPE1&lt;&gt;"")+('Dvd Calendar'!$E$533:$AR$533=TYPE2)*(TYPE2&lt;&gt;"")+('Dvd Calendar'!$E$533:$AR$533=TYPE3)*(TYPE3&lt;&gt;"")+('Dvd Calendar'!$E$533:$AR$533=TYPE4)*(TYPE4&lt;&gt;"")+('Dvd Calendar'!$E$533:$AR$533=SPECIAL_LBL)*(INC_SPECIALS="Y"))))</f>
        <v/>
      </c>
      <c r="K59" s="69">
        <f>IF($C59="","",HSI!$J$54)</f>
        <v/>
      </c>
      <c r="L59" s="69">
        <f>IF($C59="","",HSI!$K$54)</f>
        <v/>
      </c>
      <c r="M59" s="44">
        <f>IF($C59="","",HSI!$J$54+HSI!$L$54)</f>
        <v/>
      </c>
      <c r="N59" s="70">
        <f>IF($C59="","",IF(PULL_FUND="N","",IFERROR(BDP($C59,BESTDPS_FIELD,FWD_OVERRIDE,TEXT(MOD(YEAR_Y,100),"00")&amp;"Y"),"")))</f>
        <v/>
      </c>
      <c r="O59" s="69">
        <f>IF($C59="","",AVERAGE(F59:J59))</f>
        <v/>
      </c>
      <c r="P59" s="71">
        <f>IF($C59="","",IF(PULL_FUND="N","",IF(COUNTIFS('Fund History'!$J$290:$J$294,"&gt;="&amp;DATE(YEAR_Y-5,1,1),'Fund History'!$J$290:$J$294,"&lt;="&amp;DATE(YEAR_Y-5,12,31))=0,"",IFERROR($F59*HSI!$G$54/SUMIFS('Fund History'!$K$290:$K$294,'Fund History'!$J$290:$J$294,"&gt;="&amp;DATE(YEAR_Y-5,1,1),'Fund History'!$J$290:$J$294,"&lt;="&amp;DATE(YEAR_Y-5,12,31)),""))))</f>
        <v/>
      </c>
      <c r="Q59" s="72">
        <f>IF($C59="","",IF(PULL_FUND="N","",IF(COUNTIFS('Fund History'!$J$290:$J$294,"&gt;="&amp;DATE(YEAR_Y-4,1,1),'Fund History'!$J$290:$J$294,"&lt;="&amp;DATE(YEAR_Y-4,12,31))=0,"",IFERROR($G59*HSI!$G$54/SUMIFS('Fund History'!$K$290:$K$294,'Fund History'!$J$290:$J$294,"&gt;="&amp;DATE(YEAR_Y-4,1,1),'Fund History'!$J$290:$J$294,"&lt;="&amp;DATE(YEAR_Y-4,12,31)),""))))</f>
        <v/>
      </c>
      <c r="R59" s="72">
        <f>IF($C59="","",IF(PULL_FUND="N","",IF(COUNTIFS('Fund History'!$J$290:$J$294,"&gt;="&amp;DATE(YEAR_Y-3,1,1),'Fund History'!$J$290:$J$294,"&lt;="&amp;DATE(YEAR_Y-3,12,31))=0,"",IFERROR($H59*HSI!$G$54/SUMIFS('Fund History'!$K$290:$K$294,'Fund History'!$J$290:$J$294,"&gt;="&amp;DATE(YEAR_Y-3,1,1),'Fund History'!$J$290:$J$294,"&lt;="&amp;DATE(YEAR_Y-3,12,31)),""))))</f>
        <v/>
      </c>
      <c r="S59" s="72">
        <f>IF($C59="","",IF(PULL_FUND="N","",IF(COUNTIFS('Fund History'!$J$290:$J$294,"&gt;="&amp;DATE(YEAR_Y-2,1,1),'Fund History'!$J$290:$J$294,"&lt;="&amp;DATE(YEAR_Y-2,12,31))=0,"",IFERROR($I59*HSI!$G$54/SUMIFS('Fund History'!$K$290:$K$294,'Fund History'!$J$290:$J$294,"&gt;="&amp;DATE(YEAR_Y-2,1,1),'Fund History'!$J$290:$J$294,"&lt;="&amp;DATE(YEAR_Y-2,12,31)),""))))</f>
        <v/>
      </c>
      <c r="T59" s="72">
        <f>IF($C59="","",IF(PULL_FUND="N","",IF(COUNTIFS('Fund History'!$J$290:$J$294,"&gt;="&amp;DATE(YEAR_Y-1,1,1),'Fund History'!$J$290:$J$294,"&lt;="&amp;DATE(YEAR_Y-1,12,31))=0,"",IFERROR($J59*HSI!$G$54/SUMIFS('Fund History'!$K$290:$K$294,'Fund History'!$J$290:$J$294,"&gt;="&amp;DATE(YEAR_Y-1,1,1),'Fund History'!$J$290:$J$294,"&lt;="&amp;DATE(YEAR_Y-1,12,31)),""))))</f>
        <v/>
      </c>
      <c r="U59" s="73">
        <f>IF($C59="","",IF(ISNUMBER(HSI!$I$54),HSI!$I$54/100,""))</f>
        <v/>
      </c>
      <c r="V59" s="74">
        <f>IF($C59="","",IF(ISNUMBER(HSI!$X$54),IFERROR($M59*HSI!$G$54/HSI!$X$54,""),""))</f>
        <v/>
      </c>
      <c r="W59" s="73">
        <f>IF($C59="","",IF(ISNUMBER($N59),IFERROR($N59*HSI!$G$54/HSI!$X$54,""),""))</f>
        <v/>
      </c>
      <c r="X59" s="75">
        <f>IF($C59="","",IF(PULL_FUND="N","",IFERROR(BDP($C59,EPS_FIELD,YR_OVERRIDE,TEXT(YEAR_Y-5,"0")),"")))</f>
        <v/>
      </c>
      <c r="Y59" s="76">
        <f>IF($C59="","",IF(PULL_FUND="N","",IFERROR(BDP($C59,EPS_FIELD,YR_OVERRIDE,TEXT(YEAR_Y-4,"0")),"")))</f>
        <v/>
      </c>
      <c r="Z59" s="76">
        <f>IF($C59="","",IF(PULL_FUND="N","",IFERROR(BDP($C59,EPS_FIELD,YR_OVERRIDE,TEXT(YEAR_Y-3,"0")),"")))</f>
        <v/>
      </c>
      <c r="AA59" s="76">
        <f>IF($C59="","",IF(PULL_FUND="N","",IFERROR(BDP($C59,EPS_FIELD,YR_OVERRIDE,TEXT(YEAR_Y-2,"0")),"")))</f>
        <v/>
      </c>
      <c r="AB59" s="76">
        <f>IF($C59="","",IF(PULL_FUND="N","",IFERROR(BDP($C59,EPS_FIELD,YR_OVERRIDE,TEXT(YEAR_Y-1,"0")),"")))</f>
        <v/>
      </c>
      <c r="AC59" s="50">
        <f>IF($C59="","",IFERROR(AVERAGE(X59:AB59),""))</f>
        <v/>
      </c>
      <c r="AD59" s="76">
        <f>IF($C59="","",IF(PULL_FUND="N","",IFERROR(BDP($C59,BESTEPS_FIELD,FWD_OVERRIDE,TEXT(MOD(YEAR_Y,100),"00")&amp;"Y"),"")))</f>
        <v/>
      </c>
      <c r="AE59" s="77">
        <f>IF($C59="","",IF(PULL_FUND="N","",IFERROR(BDP($C59,PAYOUT_FIELD,YR_OVERRIDE,TEXT(YEAR_Y-5,"0"))/100,"")))</f>
        <v/>
      </c>
      <c r="AF59" s="78">
        <f>IF($C59="","",IF(PULL_FUND="N","",IFERROR(BDP($C59,PAYOUT_FIELD,YR_OVERRIDE,TEXT(YEAR_Y-4,"0"))/100,"")))</f>
        <v/>
      </c>
      <c r="AG59" s="78">
        <f>IF($C59="","",IF(PULL_FUND="N","",IFERROR(BDP($C59,PAYOUT_FIELD,YR_OVERRIDE,TEXT(YEAR_Y-3,"0"))/100,"")))</f>
        <v/>
      </c>
      <c r="AH59" s="78">
        <f>IF($C59="","",IF(PULL_FUND="N","",IFERROR(BDP($C59,PAYOUT_FIELD,YR_OVERRIDE,TEXT(YEAR_Y-2,"0"))/100,"")))</f>
        <v/>
      </c>
      <c r="AI59" s="78">
        <f>IF($C59="","",IF(PULL_FUND="N","",IFERROR(BDP($C59,PAYOUT_FIELD,YR_OVERRIDE,TEXT(YEAR_Y-1,"0"))/100,"")))</f>
        <v/>
      </c>
      <c r="AJ59" s="79">
        <f>IF($C59="","",IFERROR(AVERAGE(AE59:AI59),""))</f>
        <v/>
      </c>
      <c r="AK59" s="80">
        <f>IF($C59="","",IF(ISNUMBER($AD59)*ISNUMBER($N59)*($AD59&lt;&gt;0)=0,"",$N59/$AD59))</f>
        <v/>
      </c>
      <c r="AL59" s="79">
        <f>IF($C59="","",IF(ISNUMBER($AD59)*($AD59&lt;&gt;0)=0,"",$M59/$AD59))</f>
        <v/>
      </c>
      <c r="AM59" s="37">
        <f>IF($C59="","",IF(ISNUMBER($AE59)*ISNUMBER($AI59)=0,"",IF($AI59&gt;$AE59+0.05,"rising",IF($AI59&lt;$AE59-0.05,"falling","stable"))))</f>
        <v/>
      </c>
      <c r="AN59" s="81">
        <f>IF($C59="","",IF(PULL_FUND="N","",IF(COUNTIFS('Fund History'!$G$290:$G$294,"&gt;="&amp;DATE(YEAR_Y-4,1,1),'Fund History'!$G$290:$G$294,"&lt;="&amp;DATE(YEAR_Y-4,12,31))=0,"",SUMIFS('Fund History'!$H$290:$H$294,'Fund History'!$G$290:$G$294,"&gt;="&amp;DATE(YEAR_Y-4,1,1),'Fund History'!$G$290:$G$294,"&lt;="&amp;DATE(YEAR_Y-4,12,31))/100)))</f>
        <v/>
      </c>
      <c r="AO59" s="82">
        <f>IF($C59="","",IF(PULL_FUND="N","",IF(COUNTIFS('Fund History'!$G$290:$G$294,"&gt;="&amp;DATE(YEAR_Y-3,1,1),'Fund History'!$G$290:$G$294,"&lt;="&amp;DATE(YEAR_Y-3,12,31))=0,"",SUMIFS('Fund History'!$H$290:$H$294,'Fund History'!$G$290:$G$294,"&gt;="&amp;DATE(YEAR_Y-3,1,1),'Fund History'!$G$290:$G$294,"&lt;="&amp;DATE(YEAR_Y-3,12,31))/100)))</f>
        <v/>
      </c>
      <c r="AP59" s="82">
        <f>IF($C59="","",IF(PULL_FUND="N","",IF(COUNTIFS('Fund History'!$G$290:$G$294,"&gt;="&amp;DATE(YEAR_Y-2,1,1),'Fund History'!$G$290:$G$294,"&lt;="&amp;DATE(YEAR_Y-2,12,31))=0,"",SUMIFS('Fund History'!$H$290:$H$294,'Fund History'!$G$290:$G$294,"&gt;="&amp;DATE(YEAR_Y-2,1,1),'Fund History'!$G$290:$G$294,"&lt;="&amp;DATE(YEAR_Y-2,12,31))/100)))</f>
        <v/>
      </c>
      <c r="AQ59" s="82">
        <f>IF($C59="","",IF(PULL_FUND="N","",IF(COUNTIFS('Fund History'!$G$290:$G$294,"&gt;="&amp;DATE(YEAR_Y-1,1,1),'Fund History'!$G$290:$G$294,"&lt;="&amp;DATE(YEAR_Y-1,12,31))=0,"",SUMIFS('Fund History'!$H$290:$H$294,'Fund History'!$G$290:$G$294,"&gt;="&amp;DATE(YEAR_Y-1,1,1),'Fund History'!$G$290:$G$294,"&lt;="&amp;DATE(YEAR_Y-1,12,31))/100)))</f>
        <v/>
      </c>
      <c r="AR59" s="83">
        <f>IF($C59="","",IF(N($AQ59)+N(HSI!$I$54)=0,"",N($AQ59)+N(HSI!$I$54)/100))</f>
        <v/>
      </c>
      <c r="AS59" s="75">
        <f>IF($C59="","",IF(PULL_FUND="N","",IF(COUNTIFS('Fund History'!$D$290:$D$294,"&gt;="&amp;DATE(YEAR_Y-2,1,1),'Fund History'!$D$290:$D$294,"&lt;="&amp;DATE(YEAR_Y-2,12,31))=0,"",SUMIFS('Fund History'!$E$290:$E$294,'Fund History'!$D$290:$D$294,"&gt;="&amp;DATE(YEAR_Y-2,1,1),'Fund History'!$D$290:$D$294,"&lt;="&amp;DATE(YEAR_Y-2,12,31)))))</f>
        <v/>
      </c>
      <c r="AT59" s="76">
        <f>IF($C59="","",IF(PULL_FUND="N","",IF(COUNTIFS('Fund History'!$D$290:$D$294,"&gt;="&amp;DATE(YEAR_Y-1,1,1),'Fund History'!$D$290:$D$294,"&lt;="&amp;DATE(YEAR_Y-1,12,31))=0,"",SUMIFS('Fund History'!$E$290:$E$294,'Fund History'!$D$290:$D$294,"&gt;="&amp;DATE(YEAR_Y-1,1,1),'Fund History'!$D$290:$D$294,"&lt;="&amp;DATE(YEAR_Y-1,12,31)))))</f>
        <v/>
      </c>
      <c r="AU59" s="76">
        <f>IF($C59="","",IF(PULL_FUND="N","",IFERROR(BDP($C59,NDEBITDA_FIELD),"")))</f>
        <v/>
      </c>
      <c r="AV59" s="84">
        <f>IF($C59="","",IF(PULL_FUND="N","",IFERROR(BDP($C59,EBINT_FIELD),"")))</f>
        <v/>
      </c>
      <c r="AW59" s="82">
        <f>IF($C59="","",IF(PULL_FUND="N","",IFERROR(BDP($C59,FCF_FIELD)/100,"")))</f>
        <v/>
      </c>
      <c r="AX59" s="50">
        <f>IF($C59="","",IF(N($U59)=0,"",IFERROR($AW59/$U59,"")))</f>
        <v/>
      </c>
      <c r="AY59" s="85">
        <f>IF($C59="","",TRIM(IF(ISNUMBER($AJ59)*(N($AJ59)&gt;$D$4)&gt;0,"payout high  ","")&amp;IF(ISNUMBER($AX59)*(N($AX59)&lt;$F$4)&gt;0,"FCF below dvd  ","")&amp;IF(ISNUMBER($AU59)*(N($AU59)&gt;$H$4)&gt;0,"leverage high","")))</f>
        <v/>
      </c>
      <c r="AZ59" s="86">
        <f>IF($C59="","",IF(HSI!$F$54="HKD","",HSI!$F$54))</f>
        <v/>
      </c>
    </row>
    <row r="60">
      <c r="B60" s="66" t="inlineStr">
        <is>
          <t>HSI</t>
        </is>
      </c>
      <c r="C60" s="8">
        <f>IF(HSI!$C$55="","",HSI!$C$55)</f>
        <v/>
      </c>
      <c r="D60" s="8">
        <f>IF($C60="","",HSI!$D$55)</f>
        <v/>
      </c>
      <c r="E60" s="8">
        <f>IF($C60="","",HSI!$E$55)</f>
        <v/>
      </c>
      <c r="F60" s="67">
        <f>IF($C60="","",SUMPRODUCT(('Dvd Calendar'!$E$539:$AR$539&gt;=DATE(YEAR_Y-5,1,1))*('Dvd Calendar'!$E$539:$AR$539&lt;=DATE(YEAR_Y-5,12,31))*'Dvd Calendar'!$E$542:$AR$542*(('Dvd Calendar'!$E$544:$AR$544=TYPE1)*(TYPE1&lt;&gt;"")+('Dvd Calendar'!$E$544:$AR$544=TYPE2)*(TYPE2&lt;&gt;"")+('Dvd Calendar'!$E$544:$AR$544=TYPE3)*(TYPE3&lt;&gt;"")+('Dvd Calendar'!$E$544:$AR$544=TYPE4)*(TYPE4&lt;&gt;"")+('Dvd Calendar'!$E$544:$AR$544=SPECIAL_LBL)*(INC_SPECIALS="Y"))))</f>
        <v/>
      </c>
      <c r="G60" s="68">
        <f>IF($C60="","",SUMPRODUCT(('Dvd Calendar'!$E$539:$AR$539&gt;=DATE(YEAR_Y-4,1,1))*('Dvd Calendar'!$E$539:$AR$539&lt;=DATE(YEAR_Y-4,12,31))*'Dvd Calendar'!$E$542:$AR$542*(('Dvd Calendar'!$E$544:$AR$544=TYPE1)*(TYPE1&lt;&gt;"")+('Dvd Calendar'!$E$544:$AR$544=TYPE2)*(TYPE2&lt;&gt;"")+('Dvd Calendar'!$E$544:$AR$544=TYPE3)*(TYPE3&lt;&gt;"")+('Dvd Calendar'!$E$544:$AR$544=TYPE4)*(TYPE4&lt;&gt;"")+('Dvd Calendar'!$E$544:$AR$544=SPECIAL_LBL)*(INC_SPECIALS="Y"))))</f>
        <v/>
      </c>
      <c r="H60" s="68">
        <f>IF($C60="","",SUMPRODUCT(('Dvd Calendar'!$E$539:$AR$539&gt;=DATE(YEAR_Y-3,1,1))*('Dvd Calendar'!$E$539:$AR$539&lt;=DATE(YEAR_Y-3,12,31))*'Dvd Calendar'!$E$542:$AR$542*(('Dvd Calendar'!$E$544:$AR$544=TYPE1)*(TYPE1&lt;&gt;"")+('Dvd Calendar'!$E$544:$AR$544=TYPE2)*(TYPE2&lt;&gt;"")+('Dvd Calendar'!$E$544:$AR$544=TYPE3)*(TYPE3&lt;&gt;"")+('Dvd Calendar'!$E$544:$AR$544=TYPE4)*(TYPE4&lt;&gt;"")+('Dvd Calendar'!$E$544:$AR$544=SPECIAL_LBL)*(INC_SPECIALS="Y"))))</f>
        <v/>
      </c>
      <c r="I60" s="68">
        <f>IF($C60="","",SUMPRODUCT(('Dvd Calendar'!$E$539:$AR$539&gt;=DATE(YEAR_Y-2,1,1))*('Dvd Calendar'!$E$539:$AR$539&lt;=DATE(YEAR_Y-2,12,31))*'Dvd Calendar'!$E$542:$AR$542*(('Dvd Calendar'!$E$544:$AR$544=TYPE1)*(TYPE1&lt;&gt;"")+('Dvd Calendar'!$E$544:$AR$544=TYPE2)*(TYPE2&lt;&gt;"")+('Dvd Calendar'!$E$544:$AR$544=TYPE3)*(TYPE3&lt;&gt;"")+('Dvd Calendar'!$E$544:$AR$544=TYPE4)*(TYPE4&lt;&gt;"")+('Dvd Calendar'!$E$544:$AR$544=SPECIAL_LBL)*(INC_SPECIALS="Y"))))</f>
        <v/>
      </c>
      <c r="J60" s="68">
        <f>IF($C60="","",SUMPRODUCT(('Dvd Calendar'!$E$539:$AR$539&gt;=DATE(YEAR_Y-1,1,1))*('Dvd Calendar'!$E$539:$AR$539&lt;=DATE(YEAR_Y-1,12,31))*'Dvd Calendar'!$E$542:$AR$542*(('Dvd Calendar'!$E$544:$AR$544=TYPE1)*(TYPE1&lt;&gt;"")+('Dvd Calendar'!$E$544:$AR$544=TYPE2)*(TYPE2&lt;&gt;"")+('Dvd Calendar'!$E$544:$AR$544=TYPE3)*(TYPE3&lt;&gt;"")+('Dvd Calendar'!$E$544:$AR$544=TYPE4)*(TYPE4&lt;&gt;"")+('Dvd Calendar'!$E$544:$AR$544=SPECIAL_LBL)*(INC_SPECIALS="Y"))))</f>
        <v/>
      </c>
      <c r="K60" s="69">
        <f>IF($C60="","",HSI!$J$55)</f>
        <v/>
      </c>
      <c r="L60" s="69">
        <f>IF($C60="","",HSI!$K$55)</f>
        <v/>
      </c>
      <c r="M60" s="44">
        <f>IF($C60="","",HSI!$J$55+HSI!$L$55)</f>
        <v/>
      </c>
      <c r="N60" s="70">
        <f>IF($C60="","",IF(PULL_FUND="N","",IFERROR(BDP($C60,BESTDPS_FIELD,FWD_OVERRIDE,TEXT(MOD(YEAR_Y,100),"00")&amp;"Y"),"")))</f>
        <v/>
      </c>
      <c r="O60" s="69">
        <f>IF($C60="","",AVERAGE(F60:J60))</f>
        <v/>
      </c>
      <c r="P60" s="71">
        <f>IF($C60="","",IF(PULL_FUND="N","",IF(COUNTIFS('Fund History'!$J$296:$J$300,"&gt;="&amp;DATE(YEAR_Y-5,1,1),'Fund History'!$J$296:$J$300,"&lt;="&amp;DATE(YEAR_Y-5,12,31))=0,"",IFERROR($F60*HSI!$G$55/SUMIFS('Fund History'!$K$296:$K$300,'Fund History'!$J$296:$J$300,"&gt;="&amp;DATE(YEAR_Y-5,1,1),'Fund History'!$J$296:$J$300,"&lt;="&amp;DATE(YEAR_Y-5,12,31)),""))))</f>
        <v/>
      </c>
      <c r="Q60" s="72">
        <f>IF($C60="","",IF(PULL_FUND="N","",IF(COUNTIFS('Fund History'!$J$296:$J$300,"&gt;="&amp;DATE(YEAR_Y-4,1,1),'Fund History'!$J$296:$J$300,"&lt;="&amp;DATE(YEAR_Y-4,12,31))=0,"",IFERROR($G60*HSI!$G$55/SUMIFS('Fund History'!$K$296:$K$300,'Fund History'!$J$296:$J$300,"&gt;="&amp;DATE(YEAR_Y-4,1,1),'Fund History'!$J$296:$J$300,"&lt;="&amp;DATE(YEAR_Y-4,12,31)),""))))</f>
        <v/>
      </c>
      <c r="R60" s="72">
        <f>IF($C60="","",IF(PULL_FUND="N","",IF(COUNTIFS('Fund History'!$J$296:$J$300,"&gt;="&amp;DATE(YEAR_Y-3,1,1),'Fund History'!$J$296:$J$300,"&lt;="&amp;DATE(YEAR_Y-3,12,31))=0,"",IFERROR($H60*HSI!$G$55/SUMIFS('Fund History'!$K$296:$K$300,'Fund History'!$J$296:$J$300,"&gt;="&amp;DATE(YEAR_Y-3,1,1),'Fund History'!$J$296:$J$300,"&lt;="&amp;DATE(YEAR_Y-3,12,31)),""))))</f>
        <v/>
      </c>
      <c r="S60" s="72">
        <f>IF($C60="","",IF(PULL_FUND="N","",IF(COUNTIFS('Fund History'!$J$296:$J$300,"&gt;="&amp;DATE(YEAR_Y-2,1,1),'Fund History'!$J$296:$J$300,"&lt;="&amp;DATE(YEAR_Y-2,12,31))=0,"",IFERROR($I60*HSI!$G$55/SUMIFS('Fund History'!$K$296:$K$300,'Fund History'!$J$296:$J$300,"&gt;="&amp;DATE(YEAR_Y-2,1,1),'Fund History'!$J$296:$J$300,"&lt;="&amp;DATE(YEAR_Y-2,12,31)),""))))</f>
        <v/>
      </c>
      <c r="T60" s="72">
        <f>IF($C60="","",IF(PULL_FUND="N","",IF(COUNTIFS('Fund History'!$J$296:$J$300,"&gt;="&amp;DATE(YEAR_Y-1,1,1),'Fund History'!$J$296:$J$300,"&lt;="&amp;DATE(YEAR_Y-1,12,31))=0,"",IFERROR($J60*HSI!$G$55/SUMIFS('Fund History'!$K$296:$K$300,'Fund History'!$J$296:$J$300,"&gt;="&amp;DATE(YEAR_Y-1,1,1),'Fund History'!$J$296:$J$300,"&lt;="&amp;DATE(YEAR_Y-1,12,31)),""))))</f>
        <v/>
      </c>
      <c r="U60" s="73">
        <f>IF($C60="","",IF(ISNUMBER(HSI!$I$55),HSI!$I$55/100,""))</f>
        <v/>
      </c>
      <c r="V60" s="74">
        <f>IF($C60="","",IF(ISNUMBER(HSI!$X$55),IFERROR($M60*HSI!$G$55/HSI!$X$55,""),""))</f>
        <v/>
      </c>
      <c r="W60" s="73">
        <f>IF($C60="","",IF(ISNUMBER($N60),IFERROR($N60*HSI!$G$55/HSI!$X$55,""),""))</f>
        <v/>
      </c>
      <c r="X60" s="75">
        <f>IF($C60="","",IF(PULL_FUND="N","",IFERROR(BDP($C60,EPS_FIELD,YR_OVERRIDE,TEXT(YEAR_Y-5,"0")),"")))</f>
        <v/>
      </c>
      <c r="Y60" s="76">
        <f>IF($C60="","",IF(PULL_FUND="N","",IFERROR(BDP($C60,EPS_FIELD,YR_OVERRIDE,TEXT(YEAR_Y-4,"0")),"")))</f>
        <v/>
      </c>
      <c r="Z60" s="76">
        <f>IF($C60="","",IF(PULL_FUND="N","",IFERROR(BDP($C60,EPS_FIELD,YR_OVERRIDE,TEXT(YEAR_Y-3,"0")),"")))</f>
        <v/>
      </c>
      <c r="AA60" s="76">
        <f>IF($C60="","",IF(PULL_FUND="N","",IFERROR(BDP($C60,EPS_FIELD,YR_OVERRIDE,TEXT(YEAR_Y-2,"0")),"")))</f>
        <v/>
      </c>
      <c r="AB60" s="76">
        <f>IF($C60="","",IF(PULL_FUND="N","",IFERROR(BDP($C60,EPS_FIELD,YR_OVERRIDE,TEXT(YEAR_Y-1,"0")),"")))</f>
        <v/>
      </c>
      <c r="AC60" s="50">
        <f>IF($C60="","",IFERROR(AVERAGE(X60:AB60),""))</f>
        <v/>
      </c>
      <c r="AD60" s="76">
        <f>IF($C60="","",IF(PULL_FUND="N","",IFERROR(BDP($C60,BESTEPS_FIELD,FWD_OVERRIDE,TEXT(MOD(YEAR_Y,100),"00")&amp;"Y"),"")))</f>
        <v/>
      </c>
      <c r="AE60" s="77">
        <f>IF($C60="","",IF(PULL_FUND="N","",IFERROR(BDP($C60,PAYOUT_FIELD,YR_OVERRIDE,TEXT(YEAR_Y-5,"0"))/100,"")))</f>
        <v/>
      </c>
      <c r="AF60" s="78">
        <f>IF($C60="","",IF(PULL_FUND="N","",IFERROR(BDP($C60,PAYOUT_FIELD,YR_OVERRIDE,TEXT(YEAR_Y-4,"0"))/100,"")))</f>
        <v/>
      </c>
      <c r="AG60" s="78">
        <f>IF($C60="","",IF(PULL_FUND="N","",IFERROR(BDP($C60,PAYOUT_FIELD,YR_OVERRIDE,TEXT(YEAR_Y-3,"0"))/100,"")))</f>
        <v/>
      </c>
      <c r="AH60" s="78">
        <f>IF($C60="","",IF(PULL_FUND="N","",IFERROR(BDP($C60,PAYOUT_FIELD,YR_OVERRIDE,TEXT(YEAR_Y-2,"0"))/100,"")))</f>
        <v/>
      </c>
      <c r="AI60" s="78">
        <f>IF($C60="","",IF(PULL_FUND="N","",IFERROR(BDP($C60,PAYOUT_FIELD,YR_OVERRIDE,TEXT(YEAR_Y-1,"0"))/100,"")))</f>
        <v/>
      </c>
      <c r="AJ60" s="79">
        <f>IF($C60="","",IFERROR(AVERAGE(AE60:AI60),""))</f>
        <v/>
      </c>
      <c r="AK60" s="80">
        <f>IF($C60="","",IF(ISNUMBER($AD60)*ISNUMBER($N60)*($AD60&lt;&gt;0)=0,"",$N60/$AD60))</f>
        <v/>
      </c>
      <c r="AL60" s="79">
        <f>IF($C60="","",IF(ISNUMBER($AD60)*($AD60&lt;&gt;0)=0,"",$M60/$AD60))</f>
        <v/>
      </c>
      <c r="AM60" s="37">
        <f>IF($C60="","",IF(ISNUMBER($AE60)*ISNUMBER($AI60)=0,"",IF($AI60&gt;$AE60+0.05,"rising",IF($AI60&lt;$AE60-0.05,"falling","stable"))))</f>
        <v/>
      </c>
      <c r="AN60" s="81">
        <f>IF($C60="","",IF(PULL_FUND="N","",IF(COUNTIFS('Fund History'!$G$296:$G$300,"&gt;="&amp;DATE(YEAR_Y-4,1,1),'Fund History'!$G$296:$G$300,"&lt;="&amp;DATE(YEAR_Y-4,12,31))=0,"",SUMIFS('Fund History'!$H$296:$H$300,'Fund History'!$G$296:$G$300,"&gt;="&amp;DATE(YEAR_Y-4,1,1),'Fund History'!$G$296:$G$300,"&lt;="&amp;DATE(YEAR_Y-4,12,31))/100)))</f>
        <v/>
      </c>
      <c r="AO60" s="82">
        <f>IF($C60="","",IF(PULL_FUND="N","",IF(COUNTIFS('Fund History'!$G$296:$G$300,"&gt;="&amp;DATE(YEAR_Y-3,1,1),'Fund History'!$G$296:$G$300,"&lt;="&amp;DATE(YEAR_Y-3,12,31))=0,"",SUMIFS('Fund History'!$H$296:$H$300,'Fund History'!$G$296:$G$300,"&gt;="&amp;DATE(YEAR_Y-3,1,1),'Fund History'!$G$296:$G$300,"&lt;="&amp;DATE(YEAR_Y-3,12,31))/100)))</f>
        <v/>
      </c>
      <c r="AP60" s="82">
        <f>IF($C60="","",IF(PULL_FUND="N","",IF(COUNTIFS('Fund History'!$G$296:$G$300,"&gt;="&amp;DATE(YEAR_Y-2,1,1),'Fund History'!$G$296:$G$300,"&lt;="&amp;DATE(YEAR_Y-2,12,31))=0,"",SUMIFS('Fund History'!$H$296:$H$300,'Fund History'!$G$296:$G$300,"&gt;="&amp;DATE(YEAR_Y-2,1,1),'Fund History'!$G$296:$G$300,"&lt;="&amp;DATE(YEAR_Y-2,12,31))/100)))</f>
        <v/>
      </c>
      <c r="AQ60" s="82">
        <f>IF($C60="","",IF(PULL_FUND="N","",IF(COUNTIFS('Fund History'!$G$296:$G$300,"&gt;="&amp;DATE(YEAR_Y-1,1,1),'Fund History'!$G$296:$G$300,"&lt;="&amp;DATE(YEAR_Y-1,12,31))=0,"",SUMIFS('Fund History'!$H$296:$H$300,'Fund History'!$G$296:$G$300,"&gt;="&amp;DATE(YEAR_Y-1,1,1),'Fund History'!$G$296:$G$300,"&lt;="&amp;DATE(YEAR_Y-1,12,31))/100)))</f>
        <v/>
      </c>
      <c r="AR60" s="83">
        <f>IF($C60="","",IF(N($AQ60)+N(HSI!$I$55)=0,"",N($AQ60)+N(HSI!$I$55)/100))</f>
        <v/>
      </c>
      <c r="AS60" s="75">
        <f>IF($C60="","",IF(PULL_FUND="N","",IF(COUNTIFS('Fund History'!$D$296:$D$300,"&gt;="&amp;DATE(YEAR_Y-2,1,1),'Fund History'!$D$296:$D$300,"&lt;="&amp;DATE(YEAR_Y-2,12,31))=0,"",SUMIFS('Fund History'!$E$296:$E$300,'Fund History'!$D$296:$D$300,"&gt;="&amp;DATE(YEAR_Y-2,1,1),'Fund History'!$D$296:$D$300,"&lt;="&amp;DATE(YEAR_Y-2,12,31)))))</f>
        <v/>
      </c>
      <c r="AT60" s="76">
        <f>IF($C60="","",IF(PULL_FUND="N","",IF(COUNTIFS('Fund History'!$D$296:$D$300,"&gt;="&amp;DATE(YEAR_Y-1,1,1),'Fund History'!$D$296:$D$300,"&lt;="&amp;DATE(YEAR_Y-1,12,31))=0,"",SUMIFS('Fund History'!$E$296:$E$300,'Fund History'!$D$296:$D$300,"&gt;="&amp;DATE(YEAR_Y-1,1,1),'Fund History'!$D$296:$D$300,"&lt;="&amp;DATE(YEAR_Y-1,12,31)))))</f>
        <v/>
      </c>
      <c r="AU60" s="76">
        <f>IF($C60="","",IF(PULL_FUND="N","",IFERROR(BDP($C60,NDEBITDA_FIELD),"")))</f>
        <v/>
      </c>
      <c r="AV60" s="84">
        <f>IF($C60="","",IF(PULL_FUND="N","",IFERROR(BDP($C60,EBINT_FIELD),"")))</f>
        <v/>
      </c>
      <c r="AW60" s="82">
        <f>IF($C60="","",IF(PULL_FUND="N","",IFERROR(BDP($C60,FCF_FIELD)/100,"")))</f>
        <v/>
      </c>
      <c r="AX60" s="50">
        <f>IF($C60="","",IF(N($U60)=0,"",IFERROR($AW60/$U60,"")))</f>
        <v/>
      </c>
      <c r="AY60" s="85">
        <f>IF($C60="","",TRIM(IF(ISNUMBER($AJ60)*(N($AJ60)&gt;$D$4)&gt;0,"payout high  ","")&amp;IF(ISNUMBER($AX60)*(N($AX60)&lt;$F$4)&gt;0,"FCF below dvd  ","")&amp;IF(ISNUMBER($AU60)*(N($AU60)&gt;$H$4)&gt;0,"leverage high","")))</f>
        <v/>
      </c>
      <c r="AZ60" s="86">
        <f>IF($C60="","",IF(HSI!$F$55="HKD","",HSI!$F$55))</f>
        <v/>
      </c>
    </row>
    <row r="61">
      <c r="B61" s="66" t="inlineStr">
        <is>
          <t>HSI</t>
        </is>
      </c>
      <c r="C61" s="8">
        <f>IF(HSI!$C$56="","",HSI!$C$56)</f>
        <v/>
      </c>
      <c r="D61" s="8">
        <f>IF($C61="","",HSI!$D$56)</f>
        <v/>
      </c>
      <c r="E61" s="8">
        <f>IF($C61="","",HSI!$E$56)</f>
        <v/>
      </c>
      <c r="F61" s="67">
        <f>IF($C61="","",SUMPRODUCT(('Dvd Calendar'!$E$550:$AR$550&gt;=DATE(YEAR_Y-5,1,1))*('Dvd Calendar'!$E$550:$AR$550&lt;=DATE(YEAR_Y-5,12,31))*'Dvd Calendar'!$E$553:$AR$553*(('Dvd Calendar'!$E$555:$AR$555=TYPE1)*(TYPE1&lt;&gt;"")+('Dvd Calendar'!$E$555:$AR$555=TYPE2)*(TYPE2&lt;&gt;"")+('Dvd Calendar'!$E$555:$AR$555=TYPE3)*(TYPE3&lt;&gt;"")+('Dvd Calendar'!$E$555:$AR$555=TYPE4)*(TYPE4&lt;&gt;"")+('Dvd Calendar'!$E$555:$AR$555=SPECIAL_LBL)*(INC_SPECIALS="Y"))))</f>
        <v/>
      </c>
      <c r="G61" s="68">
        <f>IF($C61="","",SUMPRODUCT(('Dvd Calendar'!$E$550:$AR$550&gt;=DATE(YEAR_Y-4,1,1))*('Dvd Calendar'!$E$550:$AR$550&lt;=DATE(YEAR_Y-4,12,31))*'Dvd Calendar'!$E$553:$AR$553*(('Dvd Calendar'!$E$555:$AR$555=TYPE1)*(TYPE1&lt;&gt;"")+('Dvd Calendar'!$E$555:$AR$555=TYPE2)*(TYPE2&lt;&gt;"")+('Dvd Calendar'!$E$555:$AR$555=TYPE3)*(TYPE3&lt;&gt;"")+('Dvd Calendar'!$E$555:$AR$555=TYPE4)*(TYPE4&lt;&gt;"")+('Dvd Calendar'!$E$555:$AR$555=SPECIAL_LBL)*(INC_SPECIALS="Y"))))</f>
        <v/>
      </c>
      <c r="H61" s="68">
        <f>IF($C61="","",SUMPRODUCT(('Dvd Calendar'!$E$550:$AR$550&gt;=DATE(YEAR_Y-3,1,1))*('Dvd Calendar'!$E$550:$AR$550&lt;=DATE(YEAR_Y-3,12,31))*'Dvd Calendar'!$E$553:$AR$553*(('Dvd Calendar'!$E$555:$AR$555=TYPE1)*(TYPE1&lt;&gt;"")+('Dvd Calendar'!$E$555:$AR$555=TYPE2)*(TYPE2&lt;&gt;"")+('Dvd Calendar'!$E$555:$AR$555=TYPE3)*(TYPE3&lt;&gt;"")+('Dvd Calendar'!$E$555:$AR$555=TYPE4)*(TYPE4&lt;&gt;"")+('Dvd Calendar'!$E$555:$AR$555=SPECIAL_LBL)*(INC_SPECIALS="Y"))))</f>
        <v/>
      </c>
      <c r="I61" s="68">
        <f>IF($C61="","",SUMPRODUCT(('Dvd Calendar'!$E$550:$AR$550&gt;=DATE(YEAR_Y-2,1,1))*('Dvd Calendar'!$E$550:$AR$550&lt;=DATE(YEAR_Y-2,12,31))*'Dvd Calendar'!$E$553:$AR$553*(('Dvd Calendar'!$E$555:$AR$555=TYPE1)*(TYPE1&lt;&gt;"")+('Dvd Calendar'!$E$555:$AR$555=TYPE2)*(TYPE2&lt;&gt;"")+('Dvd Calendar'!$E$555:$AR$555=TYPE3)*(TYPE3&lt;&gt;"")+('Dvd Calendar'!$E$555:$AR$555=TYPE4)*(TYPE4&lt;&gt;"")+('Dvd Calendar'!$E$555:$AR$555=SPECIAL_LBL)*(INC_SPECIALS="Y"))))</f>
        <v/>
      </c>
      <c r="J61" s="68">
        <f>IF($C61="","",SUMPRODUCT(('Dvd Calendar'!$E$550:$AR$550&gt;=DATE(YEAR_Y-1,1,1))*('Dvd Calendar'!$E$550:$AR$550&lt;=DATE(YEAR_Y-1,12,31))*'Dvd Calendar'!$E$553:$AR$553*(('Dvd Calendar'!$E$555:$AR$555=TYPE1)*(TYPE1&lt;&gt;"")+('Dvd Calendar'!$E$555:$AR$555=TYPE2)*(TYPE2&lt;&gt;"")+('Dvd Calendar'!$E$555:$AR$555=TYPE3)*(TYPE3&lt;&gt;"")+('Dvd Calendar'!$E$555:$AR$555=TYPE4)*(TYPE4&lt;&gt;"")+('Dvd Calendar'!$E$555:$AR$555=SPECIAL_LBL)*(INC_SPECIALS="Y"))))</f>
        <v/>
      </c>
      <c r="K61" s="69">
        <f>IF($C61="","",HSI!$J$56)</f>
        <v/>
      </c>
      <c r="L61" s="69">
        <f>IF($C61="","",HSI!$K$56)</f>
        <v/>
      </c>
      <c r="M61" s="44">
        <f>IF($C61="","",HSI!$J$56+HSI!$L$56)</f>
        <v/>
      </c>
      <c r="N61" s="70">
        <f>IF($C61="","",IF(PULL_FUND="N","",IFERROR(BDP($C61,BESTDPS_FIELD,FWD_OVERRIDE,TEXT(MOD(YEAR_Y,100),"00")&amp;"Y"),"")))</f>
        <v/>
      </c>
      <c r="O61" s="69">
        <f>IF($C61="","",AVERAGE(F61:J61))</f>
        <v/>
      </c>
      <c r="P61" s="71">
        <f>IF($C61="","",IF(PULL_FUND="N","",IF(COUNTIFS('Fund History'!$J$302:$J$306,"&gt;="&amp;DATE(YEAR_Y-5,1,1),'Fund History'!$J$302:$J$306,"&lt;="&amp;DATE(YEAR_Y-5,12,31))=0,"",IFERROR($F61*HSI!$G$56/SUMIFS('Fund History'!$K$302:$K$306,'Fund History'!$J$302:$J$306,"&gt;="&amp;DATE(YEAR_Y-5,1,1),'Fund History'!$J$302:$J$306,"&lt;="&amp;DATE(YEAR_Y-5,12,31)),""))))</f>
        <v/>
      </c>
      <c r="Q61" s="72">
        <f>IF($C61="","",IF(PULL_FUND="N","",IF(COUNTIFS('Fund History'!$J$302:$J$306,"&gt;="&amp;DATE(YEAR_Y-4,1,1),'Fund History'!$J$302:$J$306,"&lt;="&amp;DATE(YEAR_Y-4,12,31))=0,"",IFERROR($G61*HSI!$G$56/SUMIFS('Fund History'!$K$302:$K$306,'Fund History'!$J$302:$J$306,"&gt;="&amp;DATE(YEAR_Y-4,1,1),'Fund History'!$J$302:$J$306,"&lt;="&amp;DATE(YEAR_Y-4,12,31)),""))))</f>
        <v/>
      </c>
      <c r="R61" s="72">
        <f>IF($C61="","",IF(PULL_FUND="N","",IF(COUNTIFS('Fund History'!$J$302:$J$306,"&gt;="&amp;DATE(YEAR_Y-3,1,1),'Fund History'!$J$302:$J$306,"&lt;="&amp;DATE(YEAR_Y-3,12,31))=0,"",IFERROR($H61*HSI!$G$56/SUMIFS('Fund History'!$K$302:$K$306,'Fund History'!$J$302:$J$306,"&gt;="&amp;DATE(YEAR_Y-3,1,1),'Fund History'!$J$302:$J$306,"&lt;="&amp;DATE(YEAR_Y-3,12,31)),""))))</f>
        <v/>
      </c>
      <c r="S61" s="72">
        <f>IF($C61="","",IF(PULL_FUND="N","",IF(COUNTIFS('Fund History'!$J$302:$J$306,"&gt;="&amp;DATE(YEAR_Y-2,1,1),'Fund History'!$J$302:$J$306,"&lt;="&amp;DATE(YEAR_Y-2,12,31))=0,"",IFERROR($I61*HSI!$G$56/SUMIFS('Fund History'!$K$302:$K$306,'Fund History'!$J$302:$J$306,"&gt;="&amp;DATE(YEAR_Y-2,1,1),'Fund History'!$J$302:$J$306,"&lt;="&amp;DATE(YEAR_Y-2,12,31)),""))))</f>
        <v/>
      </c>
      <c r="T61" s="72">
        <f>IF($C61="","",IF(PULL_FUND="N","",IF(COUNTIFS('Fund History'!$J$302:$J$306,"&gt;="&amp;DATE(YEAR_Y-1,1,1),'Fund History'!$J$302:$J$306,"&lt;="&amp;DATE(YEAR_Y-1,12,31))=0,"",IFERROR($J61*HSI!$G$56/SUMIFS('Fund History'!$K$302:$K$306,'Fund History'!$J$302:$J$306,"&gt;="&amp;DATE(YEAR_Y-1,1,1),'Fund History'!$J$302:$J$306,"&lt;="&amp;DATE(YEAR_Y-1,12,31)),""))))</f>
        <v/>
      </c>
      <c r="U61" s="73">
        <f>IF($C61="","",IF(ISNUMBER(HSI!$I$56),HSI!$I$56/100,""))</f>
        <v/>
      </c>
      <c r="V61" s="74">
        <f>IF($C61="","",IF(ISNUMBER(HSI!$X$56),IFERROR($M61*HSI!$G$56/HSI!$X$56,""),""))</f>
        <v/>
      </c>
      <c r="W61" s="73">
        <f>IF($C61="","",IF(ISNUMBER($N61),IFERROR($N61*HSI!$G$56/HSI!$X$56,""),""))</f>
        <v/>
      </c>
      <c r="X61" s="75">
        <f>IF($C61="","",IF(PULL_FUND="N","",IFERROR(BDP($C61,EPS_FIELD,YR_OVERRIDE,TEXT(YEAR_Y-5,"0")),"")))</f>
        <v/>
      </c>
      <c r="Y61" s="76">
        <f>IF($C61="","",IF(PULL_FUND="N","",IFERROR(BDP($C61,EPS_FIELD,YR_OVERRIDE,TEXT(YEAR_Y-4,"0")),"")))</f>
        <v/>
      </c>
      <c r="Z61" s="76">
        <f>IF($C61="","",IF(PULL_FUND="N","",IFERROR(BDP($C61,EPS_FIELD,YR_OVERRIDE,TEXT(YEAR_Y-3,"0")),"")))</f>
        <v/>
      </c>
      <c r="AA61" s="76">
        <f>IF($C61="","",IF(PULL_FUND="N","",IFERROR(BDP($C61,EPS_FIELD,YR_OVERRIDE,TEXT(YEAR_Y-2,"0")),"")))</f>
        <v/>
      </c>
      <c r="AB61" s="76">
        <f>IF($C61="","",IF(PULL_FUND="N","",IFERROR(BDP($C61,EPS_FIELD,YR_OVERRIDE,TEXT(YEAR_Y-1,"0")),"")))</f>
        <v/>
      </c>
      <c r="AC61" s="50">
        <f>IF($C61="","",IFERROR(AVERAGE(X61:AB61),""))</f>
        <v/>
      </c>
      <c r="AD61" s="76">
        <f>IF($C61="","",IF(PULL_FUND="N","",IFERROR(BDP($C61,BESTEPS_FIELD,FWD_OVERRIDE,TEXT(MOD(YEAR_Y,100),"00")&amp;"Y"),"")))</f>
        <v/>
      </c>
      <c r="AE61" s="77">
        <f>IF($C61="","",IF(PULL_FUND="N","",IFERROR(BDP($C61,PAYOUT_FIELD,YR_OVERRIDE,TEXT(YEAR_Y-5,"0"))/100,"")))</f>
        <v/>
      </c>
      <c r="AF61" s="78">
        <f>IF($C61="","",IF(PULL_FUND="N","",IFERROR(BDP($C61,PAYOUT_FIELD,YR_OVERRIDE,TEXT(YEAR_Y-4,"0"))/100,"")))</f>
        <v/>
      </c>
      <c r="AG61" s="78">
        <f>IF($C61="","",IF(PULL_FUND="N","",IFERROR(BDP($C61,PAYOUT_FIELD,YR_OVERRIDE,TEXT(YEAR_Y-3,"0"))/100,"")))</f>
        <v/>
      </c>
      <c r="AH61" s="78">
        <f>IF($C61="","",IF(PULL_FUND="N","",IFERROR(BDP($C61,PAYOUT_FIELD,YR_OVERRIDE,TEXT(YEAR_Y-2,"0"))/100,"")))</f>
        <v/>
      </c>
      <c r="AI61" s="78">
        <f>IF($C61="","",IF(PULL_FUND="N","",IFERROR(BDP($C61,PAYOUT_FIELD,YR_OVERRIDE,TEXT(YEAR_Y-1,"0"))/100,"")))</f>
        <v/>
      </c>
      <c r="AJ61" s="79">
        <f>IF($C61="","",IFERROR(AVERAGE(AE61:AI61),""))</f>
        <v/>
      </c>
      <c r="AK61" s="80">
        <f>IF($C61="","",IF(ISNUMBER($AD61)*ISNUMBER($N61)*($AD61&lt;&gt;0)=0,"",$N61/$AD61))</f>
        <v/>
      </c>
      <c r="AL61" s="79">
        <f>IF($C61="","",IF(ISNUMBER($AD61)*($AD61&lt;&gt;0)=0,"",$M61/$AD61))</f>
        <v/>
      </c>
      <c r="AM61" s="37">
        <f>IF($C61="","",IF(ISNUMBER($AE61)*ISNUMBER($AI61)=0,"",IF($AI61&gt;$AE61+0.05,"rising",IF($AI61&lt;$AE61-0.05,"falling","stable"))))</f>
        <v/>
      </c>
      <c r="AN61" s="81">
        <f>IF($C61="","",IF(PULL_FUND="N","",IF(COUNTIFS('Fund History'!$G$302:$G$306,"&gt;="&amp;DATE(YEAR_Y-4,1,1),'Fund History'!$G$302:$G$306,"&lt;="&amp;DATE(YEAR_Y-4,12,31))=0,"",SUMIFS('Fund History'!$H$302:$H$306,'Fund History'!$G$302:$G$306,"&gt;="&amp;DATE(YEAR_Y-4,1,1),'Fund History'!$G$302:$G$306,"&lt;="&amp;DATE(YEAR_Y-4,12,31))/100)))</f>
        <v/>
      </c>
      <c r="AO61" s="82">
        <f>IF($C61="","",IF(PULL_FUND="N","",IF(COUNTIFS('Fund History'!$G$302:$G$306,"&gt;="&amp;DATE(YEAR_Y-3,1,1),'Fund History'!$G$302:$G$306,"&lt;="&amp;DATE(YEAR_Y-3,12,31))=0,"",SUMIFS('Fund History'!$H$302:$H$306,'Fund History'!$G$302:$G$306,"&gt;="&amp;DATE(YEAR_Y-3,1,1),'Fund History'!$G$302:$G$306,"&lt;="&amp;DATE(YEAR_Y-3,12,31))/100)))</f>
        <v/>
      </c>
      <c r="AP61" s="82">
        <f>IF($C61="","",IF(PULL_FUND="N","",IF(COUNTIFS('Fund History'!$G$302:$G$306,"&gt;="&amp;DATE(YEAR_Y-2,1,1),'Fund History'!$G$302:$G$306,"&lt;="&amp;DATE(YEAR_Y-2,12,31))=0,"",SUMIFS('Fund History'!$H$302:$H$306,'Fund History'!$G$302:$G$306,"&gt;="&amp;DATE(YEAR_Y-2,1,1),'Fund History'!$G$302:$G$306,"&lt;="&amp;DATE(YEAR_Y-2,12,31))/100)))</f>
        <v/>
      </c>
      <c r="AQ61" s="82">
        <f>IF($C61="","",IF(PULL_FUND="N","",IF(COUNTIFS('Fund History'!$G$302:$G$306,"&gt;="&amp;DATE(YEAR_Y-1,1,1),'Fund History'!$G$302:$G$306,"&lt;="&amp;DATE(YEAR_Y-1,12,31))=0,"",SUMIFS('Fund History'!$H$302:$H$306,'Fund History'!$G$302:$G$306,"&gt;="&amp;DATE(YEAR_Y-1,1,1),'Fund History'!$G$302:$G$306,"&lt;="&amp;DATE(YEAR_Y-1,12,31))/100)))</f>
        <v/>
      </c>
      <c r="AR61" s="83">
        <f>IF($C61="","",IF(N($AQ61)+N(HSI!$I$56)=0,"",N($AQ61)+N(HSI!$I$56)/100))</f>
        <v/>
      </c>
      <c r="AS61" s="75">
        <f>IF($C61="","",IF(PULL_FUND="N","",IF(COUNTIFS('Fund History'!$D$302:$D$306,"&gt;="&amp;DATE(YEAR_Y-2,1,1),'Fund History'!$D$302:$D$306,"&lt;="&amp;DATE(YEAR_Y-2,12,31))=0,"",SUMIFS('Fund History'!$E$302:$E$306,'Fund History'!$D$302:$D$306,"&gt;="&amp;DATE(YEAR_Y-2,1,1),'Fund History'!$D$302:$D$306,"&lt;="&amp;DATE(YEAR_Y-2,12,31)))))</f>
        <v/>
      </c>
      <c r="AT61" s="76">
        <f>IF($C61="","",IF(PULL_FUND="N","",IF(COUNTIFS('Fund History'!$D$302:$D$306,"&gt;="&amp;DATE(YEAR_Y-1,1,1),'Fund History'!$D$302:$D$306,"&lt;="&amp;DATE(YEAR_Y-1,12,31))=0,"",SUMIFS('Fund History'!$E$302:$E$306,'Fund History'!$D$302:$D$306,"&gt;="&amp;DATE(YEAR_Y-1,1,1),'Fund History'!$D$302:$D$306,"&lt;="&amp;DATE(YEAR_Y-1,12,31)))))</f>
        <v/>
      </c>
      <c r="AU61" s="76">
        <f>IF($C61="","",IF(PULL_FUND="N","",IFERROR(BDP($C61,NDEBITDA_FIELD),"")))</f>
        <v/>
      </c>
      <c r="AV61" s="84">
        <f>IF($C61="","",IF(PULL_FUND="N","",IFERROR(BDP($C61,EBINT_FIELD),"")))</f>
        <v/>
      </c>
      <c r="AW61" s="82">
        <f>IF($C61="","",IF(PULL_FUND="N","",IFERROR(BDP($C61,FCF_FIELD)/100,"")))</f>
        <v/>
      </c>
      <c r="AX61" s="50">
        <f>IF($C61="","",IF(N($U61)=0,"",IFERROR($AW61/$U61,"")))</f>
        <v/>
      </c>
      <c r="AY61" s="85">
        <f>IF($C61="","",TRIM(IF(ISNUMBER($AJ61)*(N($AJ61)&gt;$D$4)&gt;0,"payout high  ","")&amp;IF(ISNUMBER($AX61)*(N($AX61)&lt;$F$4)&gt;0,"FCF below dvd  ","")&amp;IF(ISNUMBER($AU61)*(N($AU61)&gt;$H$4)&gt;0,"leverage high","")))</f>
        <v/>
      </c>
      <c r="AZ61" s="86">
        <f>IF($C61="","",IF(HSI!$F$56="HKD","",HSI!$F$56))</f>
        <v/>
      </c>
    </row>
    <row r="62">
      <c r="B62" s="66" t="inlineStr">
        <is>
          <t>HSI</t>
        </is>
      </c>
      <c r="C62" s="8">
        <f>IF(HSI!$C$57="","",HSI!$C$57)</f>
        <v/>
      </c>
      <c r="D62" s="8">
        <f>IF($C62="","",HSI!$D$57)</f>
        <v/>
      </c>
      <c r="E62" s="8">
        <f>IF($C62="","",HSI!$E$57)</f>
        <v/>
      </c>
      <c r="F62" s="67">
        <f>IF($C62="","",SUMPRODUCT(('Dvd Calendar'!$E$561:$AR$561&gt;=DATE(YEAR_Y-5,1,1))*('Dvd Calendar'!$E$561:$AR$561&lt;=DATE(YEAR_Y-5,12,31))*'Dvd Calendar'!$E$564:$AR$564*(('Dvd Calendar'!$E$566:$AR$566=TYPE1)*(TYPE1&lt;&gt;"")+('Dvd Calendar'!$E$566:$AR$566=TYPE2)*(TYPE2&lt;&gt;"")+('Dvd Calendar'!$E$566:$AR$566=TYPE3)*(TYPE3&lt;&gt;"")+('Dvd Calendar'!$E$566:$AR$566=TYPE4)*(TYPE4&lt;&gt;"")+('Dvd Calendar'!$E$566:$AR$566=SPECIAL_LBL)*(INC_SPECIALS="Y"))))</f>
        <v/>
      </c>
      <c r="G62" s="68">
        <f>IF($C62="","",SUMPRODUCT(('Dvd Calendar'!$E$561:$AR$561&gt;=DATE(YEAR_Y-4,1,1))*('Dvd Calendar'!$E$561:$AR$561&lt;=DATE(YEAR_Y-4,12,31))*'Dvd Calendar'!$E$564:$AR$564*(('Dvd Calendar'!$E$566:$AR$566=TYPE1)*(TYPE1&lt;&gt;"")+('Dvd Calendar'!$E$566:$AR$566=TYPE2)*(TYPE2&lt;&gt;"")+('Dvd Calendar'!$E$566:$AR$566=TYPE3)*(TYPE3&lt;&gt;"")+('Dvd Calendar'!$E$566:$AR$566=TYPE4)*(TYPE4&lt;&gt;"")+('Dvd Calendar'!$E$566:$AR$566=SPECIAL_LBL)*(INC_SPECIALS="Y"))))</f>
        <v/>
      </c>
      <c r="H62" s="68">
        <f>IF($C62="","",SUMPRODUCT(('Dvd Calendar'!$E$561:$AR$561&gt;=DATE(YEAR_Y-3,1,1))*('Dvd Calendar'!$E$561:$AR$561&lt;=DATE(YEAR_Y-3,12,31))*'Dvd Calendar'!$E$564:$AR$564*(('Dvd Calendar'!$E$566:$AR$566=TYPE1)*(TYPE1&lt;&gt;"")+('Dvd Calendar'!$E$566:$AR$566=TYPE2)*(TYPE2&lt;&gt;"")+('Dvd Calendar'!$E$566:$AR$566=TYPE3)*(TYPE3&lt;&gt;"")+('Dvd Calendar'!$E$566:$AR$566=TYPE4)*(TYPE4&lt;&gt;"")+('Dvd Calendar'!$E$566:$AR$566=SPECIAL_LBL)*(INC_SPECIALS="Y"))))</f>
        <v/>
      </c>
      <c r="I62" s="68">
        <f>IF($C62="","",SUMPRODUCT(('Dvd Calendar'!$E$561:$AR$561&gt;=DATE(YEAR_Y-2,1,1))*('Dvd Calendar'!$E$561:$AR$561&lt;=DATE(YEAR_Y-2,12,31))*'Dvd Calendar'!$E$564:$AR$564*(('Dvd Calendar'!$E$566:$AR$566=TYPE1)*(TYPE1&lt;&gt;"")+('Dvd Calendar'!$E$566:$AR$566=TYPE2)*(TYPE2&lt;&gt;"")+('Dvd Calendar'!$E$566:$AR$566=TYPE3)*(TYPE3&lt;&gt;"")+('Dvd Calendar'!$E$566:$AR$566=TYPE4)*(TYPE4&lt;&gt;"")+('Dvd Calendar'!$E$566:$AR$566=SPECIAL_LBL)*(INC_SPECIALS="Y"))))</f>
        <v/>
      </c>
      <c r="J62" s="68">
        <f>IF($C62="","",SUMPRODUCT(('Dvd Calendar'!$E$561:$AR$561&gt;=DATE(YEAR_Y-1,1,1))*('Dvd Calendar'!$E$561:$AR$561&lt;=DATE(YEAR_Y-1,12,31))*'Dvd Calendar'!$E$564:$AR$564*(('Dvd Calendar'!$E$566:$AR$566=TYPE1)*(TYPE1&lt;&gt;"")+('Dvd Calendar'!$E$566:$AR$566=TYPE2)*(TYPE2&lt;&gt;"")+('Dvd Calendar'!$E$566:$AR$566=TYPE3)*(TYPE3&lt;&gt;"")+('Dvd Calendar'!$E$566:$AR$566=TYPE4)*(TYPE4&lt;&gt;"")+('Dvd Calendar'!$E$566:$AR$566=SPECIAL_LBL)*(INC_SPECIALS="Y"))))</f>
        <v/>
      </c>
      <c r="K62" s="69">
        <f>IF($C62="","",HSI!$J$57)</f>
        <v/>
      </c>
      <c r="L62" s="69">
        <f>IF($C62="","",HSI!$K$57)</f>
        <v/>
      </c>
      <c r="M62" s="44">
        <f>IF($C62="","",HSI!$J$57+HSI!$L$57)</f>
        <v/>
      </c>
      <c r="N62" s="70">
        <f>IF($C62="","",IF(PULL_FUND="N","",IFERROR(BDP($C62,BESTDPS_FIELD,FWD_OVERRIDE,TEXT(MOD(YEAR_Y,100),"00")&amp;"Y"),"")))</f>
        <v/>
      </c>
      <c r="O62" s="69">
        <f>IF($C62="","",AVERAGE(F62:J62))</f>
        <v/>
      </c>
      <c r="P62" s="71">
        <f>IF($C62="","",IF(PULL_FUND="N","",IF(COUNTIFS('Fund History'!$J$308:$J$312,"&gt;="&amp;DATE(YEAR_Y-5,1,1),'Fund History'!$J$308:$J$312,"&lt;="&amp;DATE(YEAR_Y-5,12,31))=0,"",IFERROR($F62*HSI!$G$57/SUMIFS('Fund History'!$K$308:$K$312,'Fund History'!$J$308:$J$312,"&gt;="&amp;DATE(YEAR_Y-5,1,1),'Fund History'!$J$308:$J$312,"&lt;="&amp;DATE(YEAR_Y-5,12,31)),""))))</f>
        <v/>
      </c>
      <c r="Q62" s="72">
        <f>IF($C62="","",IF(PULL_FUND="N","",IF(COUNTIFS('Fund History'!$J$308:$J$312,"&gt;="&amp;DATE(YEAR_Y-4,1,1),'Fund History'!$J$308:$J$312,"&lt;="&amp;DATE(YEAR_Y-4,12,31))=0,"",IFERROR($G62*HSI!$G$57/SUMIFS('Fund History'!$K$308:$K$312,'Fund History'!$J$308:$J$312,"&gt;="&amp;DATE(YEAR_Y-4,1,1),'Fund History'!$J$308:$J$312,"&lt;="&amp;DATE(YEAR_Y-4,12,31)),""))))</f>
        <v/>
      </c>
      <c r="R62" s="72">
        <f>IF($C62="","",IF(PULL_FUND="N","",IF(COUNTIFS('Fund History'!$J$308:$J$312,"&gt;="&amp;DATE(YEAR_Y-3,1,1),'Fund History'!$J$308:$J$312,"&lt;="&amp;DATE(YEAR_Y-3,12,31))=0,"",IFERROR($H62*HSI!$G$57/SUMIFS('Fund History'!$K$308:$K$312,'Fund History'!$J$308:$J$312,"&gt;="&amp;DATE(YEAR_Y-3,1,1),'Fund History'!$J$308:$J$312,"&lt;="&amp;DATE(YEAR_Y-3,12,31)),""))))</f>
        <v/>
      </c>
      <c r="S62" s="72">
        <f>IF($C62="","",IF(PULL_FUND="N","",IF(COUNTIFS('Fund History'!$J$308:$J$312,"&gt;="&amp;DATE(YEAR_Y-2,1,1),'Fund History'!$J$308:$J$312,"&lt;="&amp;DATE(YEAR_Y-2,12,31))=0,"",IFERROR($I62*HSI!$G$57/SUMIFS('Fund History'!$K$308:$K$312,'Fund History'!$J$308:$J$312,"&gt;="&amp;DATE(YEAR_Y-2,1,1),'Fund History'!$J$308:$J$312,"&lt;="&amp;DATE(YEAR_Y-2,12,31)),""))))</f>
        <v/>
      </c>
      <c r="T62" s="72">
        <f>IF($C62="","",IF(PULL_FUND="N","",IF(COUNTIFS('Fund History'!$J$308:$J$312,"&gt;="&amp;DATE(YEAR_Y-1,1,1),'Fund History'!$J$308:$J$312,"&lt;="&amp;DATE(YEAR_Y-1,12,31))=0,"",IFERROR($J62*HSI!$G$57/SUMIFS('Fund History'!$K$308:$K$312,'Fund History'!$J$308:$J$312,"&gt;="&amp;DATE(YEAR_Y-1,1,1),'Fund History'!$J$308:$J$312,"&lt;="&amp;DATE(YEAR_Y-1,12,31)),""))))</f>
        <v/>
      </c>
      <c r="U62" s="73">
        <f>IF($C62="","",IF(ISNUMBER(HSI!$I$57),HSI!$I$57/100,""))</f>
        <v/>
      </c>
      <c r="V62" s="74">
        <f>IF($C62="","",IF(ISNUMBER(HSI!$X$57),IFERROR($M62*HSI!$G$57/HSI!$X$57,""),""))</f>
        <v/>
      </c>
      <c r="W62" s="73">
        <f>IF($C62="","",IF(ISNUMBER($N62),IFERROR($N62*HSI!$G$57/HSI!$X$57,""),""))</f>
        <v/>
      </c>
      <c r="X62" s="75">
        <f>IF($C62="","",IF(PULL_FUND="N","",IFERROR(BDP($C62,EPS_FIELD,YR_OVERRIDE,TEXT(YEAR_Y-5,"0")),"")))</f>
        <v/>
      </c>
      <c r="Y62" s="76">
        <f>IF($C62="","",IF(PULL_FUND="N","",IFERROR(BDP($C62,EPS_FIELD,YR_OVERRIDE,TEXT(YEAR_Y-4,"0")),"")))</f>
        <v/>
      </c>
      <c r="Z62" s="76">
        <f>IF($C62="","",IF(PULL_FUND="N","",IFERROR(BDP($C62,EPS_FIELD,YR_OVERRIDE,TEXT(YEAR_Y-3,"0")),"")))</f>
        <v/>
      </c>
      <c r="AA62" s="76">
        <f>IF($C62="","",IF(PULL_FUND="N","",IFERROR(BDP($C62,EPS_FIELD,YR_OVERRIDE,TEXT(YEAR_Y-2,"0")),"")))</f>
        <v/>
      </c>
      <c r="AB62" s="76">
        <f>IF($C62="","",IF(PULL_FUND="N","",IFERROR(BDP($C62,EPS_FIELD,YR_OVERRIDE,TEXT(YEAR_Y-1,"0")),"")))</f>
        <v/>
      </c>
      <c r="AC62" s="50">
        <f>IF($C62="","",IFERROR(AVERAGE(X62:AB62),""))</f>
        <v/>
      </c>
      <c r="AD62" s="76">
        <f>IF($C62="","",IF(PULL_FUND="N","",IFERROR(BDP($C62,BESTEPS_FIELD,FWD_OVERRIDE,TEXT(MOD(YEAR_Y,100),"00")&amp;"Y"),"")))</f>
        <v/>
      </c>
      <c r="AE62" s="77">
        <f>IF($C62="","",IF(PULL_FUND="N","",IFERROR(BDP($C62,PAYOUT_FIELD,YR_OVERRIDE,TEXT(YEAR_Y-5,"0"))/100,"")))</f>
        <v/>
      </c>
      <c r="AF62" s="78">
        <f>IF($C62="","",IF(PULL_FUND="N","",IFERROR(BDP($C62,PAYOUT_FIELD,YR_OVERRIDE,TEXT(YEAR_Y-4,"0"))/100,"")))</f>
        <v/>
      </c>
      <c r="AG62" s="78">
        <f>IF($C62="","",IF(PULL_FUND="N","",IFERROR(BDP($C62,PAYOUT_FIELD,YR_OVERRIDE,TEXT(YEAR_Y-3,"0"))/100,"")))</f>
        <v/>
      </c>
      <c r="AH62" s="78">
        <f>IF($C62="","",IF(PULL_FUND="N","",IFERROR(BDP($C62,PAYOUT_FIELD,YR_OVERRIDE,TEXT(YEAR_Y-2,"0"))/100,"")))</f>
        <v/>
      </c>
      <c r="AI62" s="78">
        <f>IF($C62="","",IF(PULL_FUND="N","",IFERROR(BDP($C62,PAYOUT_FIELD,YR_OVERRIDE,TEXT(YEAR_Y-1,"0"))/100,"")))</f>
        <v/>
      </c>
      <c r="AJ62" s="79">
        <f>IF($C62="","",IFERROR(AVERAGE(AE62:AI62),""))</f>
        <v/>
      </c>
      <c r="AK62" s="80">
        <f>IF($C62="","",IF(ISNUMBER($AD62)*ISNUMBER($N62)*($AD62&lt;&gt;0)=0,"",$N62/$AD62))</f>
        <v/>
      </c>
      <c r="AL62" s="79">
        <f>IF($C62="","",IF(ISNUMBER($AD62)*($AD62&lt;&gt;0)=0,"",$M62/$AD62))</f>
        <v/>
      </c>
      <c r="AM62" s="37">
        <f>IF($C62="","",IF(ISNUMBER($AE62)*ISNUMBER($AI62)=0,"",IF($AI62&gt;$AE62+0.05,"rising",IF($AI62&lt;$AE62-0.05,"falling","stable"))))</f>
        <v/>
      </c>
      <c r="AN62" s="81">
        <f>IF($C62="","",IF(PULL_FUND="N","",IF(COUNTIFS('Fund History'!$G$308:$G$312,"&gt;="&amp;DATE(YEAR_Y-4,1,1),'Fund History'!$G$308:$G$312,"&lt;="&amp;DATE(YEAR_Y-4,12,31))=0,"",SUMIFS('Fund History'!$H$308:$H$312,'Fund History'!$G$308:$G$312,"&gt;="&amp;DATE(YEAR_Y-4,1,1),'Fund History'!$G$308:$G$312,"&lt;="&amp;DATE(YEAR_Y-4,12,31))/100)))</f>
        <v/>
      </c>
      <c r="AO62" s="82">
        <f>IF($C62="","",IF(PULL_FUND="N","",IF(COUNTIFS('Fund History'!$G$308:$G$312,"&gt;="&amp;DATE(YEAR_Y-3,1,1),'Fund History'!$G$308:$G$312,"&lt;="&amp;DATE(YEAR_Y-3,12,31))=0,"",SUMIFS('Fund History'!$H$308:$H$312,'Fund History'!$G$308:$G$312,"&gt;="&amp;DATE(YEAR_Y-3,1,1),'Fund History'!$G$308:$G$312,"&lt;="&amp;DATE(YEAR_Y-3,12,31))/100)))</f>
        <v/>
      </c>
      <c r="AP62" s="82">
        <f>IF($C62="","",IF(PULL_FUND="N","",IF(COUNTIFS('Fund History'!$G$308:$G$312,"&gt;="&amp;DATE(YEAR_Y-2,1,1),'Fund History'!$G$308:$G$312,"&lt;="&amp;DATE(YEAR_Y-2,12,31))=0,"",SUMIFS('Fund History'!$H$308:$H$312,'Fund History'!$G$308:$G$312,"&gt;="&amp;DATE(YEAR_Y-2,1,1),'Fund History'!$G$308:$G$312,"&lt;="&amp;DATE(YEAR_Y-2,12,31))/100)))</f>
        <v/>
      </c>
      <c r="AQ62" s="82">
        <f>IF($C62="","",IF(PULL_FUND="N","",IF(COUNTIFS('Fund History'!$G$308:$G$312,"&gt;="&amp;DATE(YEAR_Y-1,1,1),'Fund History'!$G$308:$G$312,"&lt;="&amp;DATE(YEAR_Y-1,12,31))=0,"",SUMIFS('Fund History'!$H$308:$H$312,'Fund History'!$G$308:$G$312,"&gt;="&amp;DATE(YEAR_Y-1,1,1),'Fund History'!$G$308:$G$312,"&lt;="&amp;DATE(YEAR_Y-1,12,31))/100)))</f>
        <v/>
      </c>
      <c r="AR62" s="83">
        <f>IF($C62="","",IF(N($AQ62)+N(HSI!$I$57)=0,"",N($AQ62)+N(HSI!$I$57)/100))</f>
        <v/>
      </c>
      <c r="AS62" s="75">
        <f>IF($C62="","",IF(PULL_FUND="N","",IF(COUNTIFS('Fund History'!$D$308:$D$312,"&gt;="&amp;DATE(YEAR_Y-2,1,1),'Fund History'!$D$308:$D$312,"&lt;="&amp;DATE(YEAR_Y-2,12,31))=0,"",SUMIFS('Fund History'!$E$308:$E$312,'Fund History'!$D$308:$D$312,"&gt;="&amp;DATE(YEAR_Y-2,1,1),'Fund History'!$D$308:$D$312,"&lt;="&amp;DATE(YEAR_Y-2,12,31)))))</f>
        <v/>
      </c>
      <c r="AT62" s="76">
        <f>IF($C62="","",IF(PULL_FUND="N","",IF(COUNTIFS('Fund History'!$D$308:$D$312,"&gt;="&amp;DATE(YEAR_Y-1,1,1),'Fund History'!$D$308:$D$312,"&lt;="&amp;DATE(YEAR_Y-1,12,31))=0,"",SUMIFS('Fund History'!$E$308:$E$312,'Fund History'!$D$308:$D$312,"&gt;="&amp;DATE(YEAR_Y-1,1,1),'Fund History'!$D$308:$D$312,"&lt;="&amp;DATE(YEAR_Y-1,12,31)))))</f>
        <v/>
      </c>
      <c r="AU62" s="76">
        <f>IF($C62="","",IF(PULL_FUND="N","",IFERROR(BDP($C62,NDEBITDA_FIELD),"")))</f>
        <v/>
      </c>
      <c r="AV62" s="84">
        <f>IF($C62="","",IF(PULL_FUND="N","",IFERROR(BDP($C62,EBINT_FIELD),"")))</f>
        <v/>
      </c>
      <c r="AW62" s="82">
        <f>IF($C62="","",IF(PULL_FUND="N","",IFERROR(BDP($C62,FCF_FIELD)/100,"")))</f>
        <v/>
      </c>
      <c r="AX62" s="50">
        <f>IF($C62="","",IF(N($U62)=0,"",IFERROR($AW62/$U62,"")))</f>
        <v/>
      </c>
      <c r="AY62" s="85">
        <f>IF($C62="","",TRIM(IF(ISNUMBER($AJ62)*(N($AJ62)&gt;$D$4)&gt;0,"payout high  ","")&amp;IF(ISNUMBER($AX62)*(N($AX62)&lt;$F$4)&gt;0,"FCF below dvd  ","")&amp;IF(ISNUMBER($AU62)*(N($AU62)&gt;$H$4)&gt;0,"leverage high","")))</f>
        <v/>
      </c>
      <c r="AZ62" s="86">
        <f>IF($C62="","",IF(HSI!$F$57="HKD","",HSI!$F$57))</f>
        <v/>
      </c>
    </row>
    <row r="63">
      <c r="B63" s="66" t="inlineStr">
        <is>
          <t>HSI</t>
        </is>
      </c>
      <c r="C63" s="8">
        <f>IF(HSI!$C$58="","",HSI!$C$58)</f>
        <v/>
      </c>
      <c r="D63" s="8">
        <f>IF($C63="","",HSI!$D$58)</f>
        <v/>
      </c>
      <c r="E63" s="8">
        <f>IF($C63="","",HSI!$E$58)</f>
        <v/>
      </c>
      <c r="F63" s="67">
        <f>IF($C63="","",SUMPRODUCT(('Dvd Calendar'!$E$572:$AR$572&gt;=DATE(YEAR_Y-5,1,1))*('Dvd Calendar'!$E$572:$AR$572&lt;=DATE(YEAR_Y-5,12,31))*'Dvd Calendar'!$E$575:$AR$575*(('Dvd Calendar'!$E$577:$AR$577=TYPE1)*(TYPE1&lt;&gt;"")+('Dvd Calendar'!$E$577:$AR$577=TYPE2)*(TYPE2&lt;&gt;"")+('Dvd Calendar'!$E$577:$AR$577=TYPE3)*(TYPE3&lt;&gt;"")+('Dvd Calendar'!$E$577:$AR$577=TYPE4)*(TYPE4&lt;&gt;"")+('Dvd Calendar'!$E$577:$AR$577=SPECIAL_LBL)*(INC_SPECIALS="Y"))))</f>
        <v/>
      </c>
      <c r="G63" s="68">
        <f>IF($C63="","",SUMPRODUCT(('Dvd Calendar'!$E$572:$AR$572&gt;=DATE(YEAR_Y-4,1,1))*('Dvd Calendar'!$E$572:$AR$572&lt;=DATE(YEAR_Y-4,12,31))*'Dvd Calendar'!$E$575:$AR$575*(('Dvd Calendar'!$E$577:$AR$577=TYPE1)*(TYPE1&lt;&gt;"")+('Dvd Calendar'!$E$577:$AR$577=TYPE2)*(TYPE2&lt;&gt;"")+('Dvd Calendar'!$E$577:$AR$577=TYPE3)*(TYPE3&lt;&gt;"")+('Dvd Calendar'!$E$577:$AR$577=TYPE4)*(TYPE4&lt;&gt;"")+('Dvd Calendar'!$E$577:$AR$577=SPECIAL_LBL)*(INC_SPECIALS="Y"))))</f>
        <v/>
      </c>
      <c r="H63" s="68">
        <f>IF($C63="","",SUMPRODUCT(('Dvd Calendar'!$E$572:$AR$572&gt;=DATE(YEAR_Y-3,1,1))*('Dvd Calendar'!$E$572:$AR$572&lt;=DATE(YEAR_Y-3,12,31))*'Dvd Calendar'!$E$575:$AR$575*(('Dvd Calendar'!$E$577:$AR$577=TYPE1)*(TYPE1&lt;&gt;"")+('Dvd Calendar'!$E$577:$AR$577=TYPE2)*(TYPE2&lt;&gt;"")+('Dvd Calendar'!$E$577:$AR$577=TYPE3)*(TYPE3&lt;&gt;"")+('Dvd Calendar'!$E$577:$AR$577=TYPE4)*(TYPE4&lt;&gt;"")+('Dvd Calendar'!$E$577:$AR$577=SPECIAL_LBL)*(INC_SPECIALS="Y"))))</f>
        <v/>
      </c>
      <c r="I63" s="68">
        <f>IF($C63="","",SUMPRODUCT(('Dvd Calendar'!$E$572:$AR$572&gt;=DATE(YEAR_Y-2,1,1))*('Dvd Calendar'!$E$572:$AR$572&lt;=DATE(YEAR_Y-2,12,31))*'Dvd Calendar'!$E$575:$AR$575*(('Dvd Calendar'!$E$577:$AR$577=TYPE1)*(TYPE1&lt;&gt;"")+('Dvd Calendar'!$E$577:$AR$577=TYPE2)*(TYPE2&lt;&gt;"")+('Dvd Calendar'!$E$577:$AR$577=TYPE3)*(TYPE3&lt;&gt;"")+('Dvd Calendar'!$E$577:$AR$577=TYPE4)*(TYPE4&lt;&gt;"")+('Dvd Calendar'!$E$577:$AR$577=SPECIAL_LBL)*(INC_SPECIALS="Y"))))</f>
        <v/>
      </c>
      <c r="J63" s="68">
        <f>IF($C63="","",SUMPRODUCT(('Dvd Calendar'!$E$572:$AR$572&gt;=DATE(YEAR_Y-1,1,1))*('Dvd Calendar'!$E$572:$AR$572&lt;=DATE(YEAR_Y-1,12,31))*'Dvd Calendar'!$E$575:$AR$575*(('Dvd Calendar'!$E$577:$AR$577=TYPE1)*(TYPE1&lt;&gt;"")+('Dvd Calendar'!$E$577:$AR$577=TYPE2)*(TYPE2&lt;&gt;"")+('Dvd Calendar'!$E$577:$AR$577=TYPE3)*(TYPE3&lt;&gt;"")+('Dvd Calendar'!$E$577:$AR$577=TYPE4)*(TYPE4&lt;&gt;"")+('Dvd Calendar'!$E$577:$AR$577=SPECIAL_LBL)*(INC_SPECIALS="Y"))))</f>
        <v/>
      </c>
      <c r="K63" s="69">
        <f>IF($C63="","",HSI!$J$58)</f>
        <v/>
      </c>
      <c r="L63" s="69">
        <f>IF($C63="","",HSI!$K$58)</f>
        <v/>
      </c>
      <c r="M63" s="44">
        <f>IF($C63="","",HSI!$J$58+HSI!$L$58)</f>
        <v/>
      </c>
      <c r="N63" s="70">
        <f>IF($C63="","",IF(PULL_FUND="N","",IFERROR(BDP($C63,BESTDPS_FIELD,FWD_OVERRIDE,TEXT(MOD(YEAR_Y,100),"00")&amp;"Y"),"")))</f>
        <v/>
      </c>
      <c r="O63" s="69">
        <f>IF($C63="","",AVERAGE(F63:J63))</f>
        <v/>
      </c>
      <c r="P63" s="71">
        <f>IF($C63="","",IF(PULL_FUND="N","",IF(COUNTIFS('Fund History'!$J$314:$J$318,"&gt;="&amp;DATE(YEAR_Y-5,1,1),'Fund History'!$J$314:$J$318,"&lt;="&amp;DATE(YEAR_Y-5,12,31))=0,"",IFERROR($F63*HSI!$G$58/SUMIFS('Fund History'!$K$314:$K$318,'Fund History'!$J$314:$J$318,"&gt;="&amp;DATE(YEAR_Y-5,1,1),'Fund History'!$J$314:$J$318,"&lt;="&amp;DATE(YEAR_Y-5,12,31)),""))))</f>
        <v/>
      </c>
      <c r="Q63" s="72">
        <f>IF($C63="","",IF(PULL_FUND="N","",IF(COUNTIFS('Fund History'!$J$314:$J$318,"&gt;="&amp;DATE(YEAR_Y-4,1,1),'Fund History'!$J$314:$J$318,"&lt;="&amp;DATE(YEAR_Y-4,12,31))=0,"",IFERROR($G63*HSI!$G$58/SUMIFS('Fund History'!$K$314:$K$318,'Fund History'!$J$314:$J$318,"&gt;="&amp;DATE(YEAR_Y-4,1,1),'Fund History'!$J$314:$J$318,"&lt;="&amp;DATE(YEAR_Y-4,12,31)),""))))</f>
        <v/>
      </c>
      <c r="R63" s="72">
        <f>IF($C63="","",IF(PULL_FUND="N","",IF(COUNTIFS('Fund History'!$J$314:$J$318,"&gt;="&amp;DATE(YEAR_Y-3,1,1),'Fund History'!$J$314:$J$318,"&lt;="&amp;DATE(YEAR_Y-3,12,31))=0,"",IFERROR($H63*HSI!$G$58/SUMIFS('Fund History'!$K$314:$K$318,'Fund History'!$J$314:$J$318,"&gt;="&amp;DATE(YEAR_Y-3,1,1),'Fund History'!$J$314:$J$318,"&lt;="&amp;DATE(YEAR_Y-3,12,31)),""))))</f>
        <v/>
      </c>
      <c r="S63" s="72">
        <f>IF($C63="","",IF(PULL_FUND="N","",IF(COUNTIFS('Fund History'!$J$314:$J$318,"&gt;="&amp;DATE(YEAR_Y-2,1,1),'Fund History'!$J$314:$J$318,"&lt;="&amp;DATE(YEAR_Y-2,12,31))=0,"",IFERROR($I63*HSI!$G$58/SUMIFS('Fund History'!$K$314:$K$318,'Fund History'!$J$314:$J$318,"&gt;="&amp;DATE(YEAR_Y-2,1,1),'Fund History'!$J$314:$J$318,"&lt;="&amp;DATE(YEAR_Y-2,12,31)),""))))</f>
        <v/>
      </c>
      <c r="T63" s="72">
        <f>IF($C63="","",IF(PULL_FUND="N","",IF(COUNTIFS('Fund History'!$J$314:$J$318,"&gt;="&amp;DATE(YEAR_Y-1,1,1),'Fund History'!$J$314:$J$318,"&lt;="&amp;DATE(YEAR_Y-1,12,31))=0,"",IFERROR($J63*HSI!$G$58/SUMIFS('Fund History'!$K$314:$K$318,'Fund History'!$J$314:$J$318,"&gt;="&amp;DATE(YEAR_Y-1,1,1),'Fund History'!$J$314:$J$318,"&lt;="&amp;DATE(YEAR_Y-1,12,31)),""))))</f>
        <v/>
      </c>
      <c r="U63" s="73">
        <f>IF($C63="","",IF(ISNUMBER(HSI!$I$58),HSI!$I$58/100,""))</f>
        <v/>
      </c>
      <c r="V63" s="74">
        <f>IF($C63="","",IF(ISNUMBER(HSI!$X$58),IFERROR($M63*HSI!$G$58/HSI!$X$58,""),""))</f>
        <v/>
      </c>
      <c r="W63" s="73">
        <f>IF($C63="","",IF(ISNUMBER($N63),IFERROR($N63*HSI!$G$58/HSI!$X$58,""),""))</f>
        <v/>
      </c>
      <c r="X63" s="75">
        <f>IF($C63="","",IF(PULL_FUND="N","",IFERROR(BDP($C63,EPS_FIELD,YR_OVERRIDE,TEXT(YEAR_Y-5,"0")),"")))</f>
        <v/>
      </c>
      <c r="Y63" s="76">
        <f>IF($C63="","",IF(PULL_FUND="N","",IFERROR(BDP($C63,EPS_FIELD,YR_OVERRIDE,TEXT(YEAR_Y-4,"0")),"")))</f>
        <v/>
      </c>
      <c r="Z63" s="76">
        <f>IF($C63="","",IF(PULL_FUND="N","",IFERROR(BDP($C63,EPS_FIELD,YR_OVERRIDE,TEXT(YEAR_Y-3,"0")),"")))</f>
        <v/>
      </c>
      <c r="AA63" s="76">
        <f>IF($C63="","",IF(PULL_FUND="N","",IFERROR(BDP($C63,EPS_FIELD,YR_OVERRIDE,TEXT(YEAR_Y-2,"0")),"")))</f>
        <v/>
      </c>
      <c r="AB63" s="76">
        <f>IF($C63="","",IF(PULL_FUND="N","",IFERROR(BDP($C63,EPS_FIELD,YR_OVERRIDE,TEXT(YEAR_Y-1,"0")),"")))</f>
        <v/>
      </c>
      <c r="AC63" s="50">
        <f>IF($C63="","",IFERROR(AVERAGE(X63:AB63),""))</f>
        <v/>
      </c>
      <c r="AD63" s="76">
        <f>IF($C63="","",IF(PULL_FUND="N","",IFERROR(BDP($C63,BESTEPS_FIELD,FWD_OVERRIDE,TEXT(MOD(YEAR_Y,100),"00")&amp;"Y"),"")))</f>
        <v/>
      </c>
      <c r="AE63" s="77">
        <f>IF($C63="","",IF(PULL_FUND="N","",IFERROR(BDP($C63,PAYOUT_FIELD,YR_OVERRIDE,TEXT(YEAR_Y-5,"0"))/100,"")))</f>
        <v/>
      </c>
      <c r="AF63" s="78">
        <f>IF($C63="","",IF(PULL_FUND="N","",IFERROR(BDP($C63,PAYOUT_FIELD,YR_OVERRIDE,TEXT(YEAR_Y-4,"0"))/100,"")))</f>
        <v/>
      </c>
      <c r="AG63" s="78">
        <f>IF($C63="","",IF(PULL_FUND="N","",IFERROR(BDP($C63,PAYOUT_FIELD,YR_OVERRIDE,TEXT(YEAR_Y-3,"0"))/100,"")))</f>
        <v/>
      </c>
      <c r="AH63" s="78">
        <f>IF($C63="","",IF(PULL_FUND="N","",IFERROR(BDP($C63,PAYOUT_FIELD,YR_OVERRIDE,TEXT(YEAR_Y-2,"0"))/100,"")))</f>
        <v/>
      </c>
      <c r="AI63" s="78">
        <f>IF($C63="","",IF(PULL_FUND="N","",IFERROR(BDP($C63,PAYOUT_FIELD,YR_OVERRIDE,TEXT(YEAR_Y-1,"0"))/100,"")))</f>
        <v/>
      </c>
      <c r="AJ63" s="79">
        <f>IF($C63="","",IFERROR(AVERAGE(AE63:AI63),""))</f>
        <v/>
      </c>
      <c r="AK63" s="80">
        <f>IF($C63="","",IF(ISNUMBER($AD63)*ISNUMBER($N63)*($AD63&lt;&gt;0)=0,"",$N63/$AD63))</f>
        <v/>
      </c>
      <c r="AL63" s="79">
        <f>IF($C63="","",IF(ISNUMBER($AD63)*($AD63&lt;&gt;0)=0,"",$M63/$AD63))</f>
        <v/>
      </c>
      <c r="AM63" s="37">
        <f>IF($C63="","",IF(ISNUMBER($AE63)*ISNUMBER($AI63)=0,"",IF($AI63&gt;$AE63+0.05,"rising",IF($AI63&lt;$AE63-0.05,"falling","stable"))))</f>
        <v/>
      </c>
      <c r="AN63" s="81">
        <f>IF($C63="","",IF(PULL_FUND="N","",IF(COUNTIFS('Fund History'!$G$314:$G$318,"&gt;="&amp;DATE(YEAR_Y-4,1,1),'Fund History'!$G$314:$G$318,"&lt;="&amp;DATE(YEAR_Y-4,12,31))=0,"",SUMIFS('Fund History'!$H$314:$H$318,'Fund History'!$G$314:$G$318,"&gt;="&amp;DATE(YEAR_Y-4,1,1),'Fund History'!$G$314:$G$318,"&lt;="&amp;DATE(YEAR_Y-4,12,31))/100)))</f>
        <v/>
      </c>
      <c r="AO63" s="82">
        <f>IF($C63="","",IF(PULL_FUND="N","",IF(COUNTIFS('Fund History'!$G$314:$G$318,"&gt;="&amp;DATE(YEAR_Y-3,1,1),'Fund History'!$G$314:$G$318,"&lt;="&amp;DATE(YEAR_Y-3,12,31))=0,"",SUMIFS('Fund History'!$H$314:$H$318,'Fund History'!$G$314:$G$318,"&gt;="&amp;DATE(YEAR_Y-3,1,1),'Fund History'!$G$314:$G$318,"&lt;="&amp;DATE(YEAR_Y-3,12,31))/100)))</f>
        <v/>
      </c>
      <c r="AP63" s="82">
        <f>IF($C63="","",IF(PULL_FUND="N","",IF(COUNTIFS('Fund History'!$G$314:$G$318,"&gt;="&amp;DATE(YEAR_Y-2,1,1),'Fund History'!$G$314:$G$318,"&lt;="&amp;DATE(YEAR_Y-2,12,31))=0,"",SUMIFS('Fund History'!$H$314:$H$318,'Fund History'!$G$314:$G$318,"&gt;="&amp;DATE(YEAR_Y-2,1,1),'Fund History'!$G$314:$G$318,"&lt;="&amp;DATE(YEAR_Y-2,12,31))/100)))</f>
        <v/>
      </c>
      <c r="AQ63" s="82">
        <f>IF($C63="","",IF(PULL_FUND="N","",IF(COUNTIFS('Fund History'!$G$314:$G$318,"&gt;="&amp;DATE(YEAR_Y-1,1,1),'Fund History'!$G$314:$G$318,"&lt;="&amp;DATE(YEAR_Y-1,12,31))=0,"",SUMIFS('Fund History'!$H$314:$H$318,'Fund History'!$G$314:$G$318,"&gt;="&amp;DATE(YEAR_Y-1,1,1),'Fund History'!$G$314:$G$318,"&lt;="&amp;DATE(YEAR_Y-1,12,31))/100)))</f>
        <v/>
      </c>
      <c r="AR63" s="83">
        <f>IF($C63="","",IF(N($AQ63)+N(HSI!$I$58)=0,"",N($AQ63)+N(HSI!$I$58)/100))</f>
        <v/>
      </c>
      <c r="AS63" s="75">
        <f>IF($C63="","",IF(PULL_FUND="N","",IF(COUNTIFS('Fund History'!$D$314:$D$318,"&gt;="&amp;DATE(YEAR_Y-2,1,1),'Fund History'!$D$314:$D$318,"&lt;="&amp;DATE(YEAR_Y-2,12,31))=0,"",SUMIFS('Fund History'!$E$314:$E$318,'Fund History'!$D$314:$D$318,"&gt;="&amp;DATE(YEAR_Y-2,1,1),'Fund History'!$D$314:$D$318,"&lt;="&amp;DATE(YEAR_Y-2,12,31)))))</f>
        <v/>
      </c>
      <c r="AT63" s="76">
        <f>IF($C63="","",IF(PULL_FUND="N","",IF(COUNTIFS('Fund History'!$D$314:$D$318,"&gt;="&amp;DATE(YEAR_Y-1,1,1),'Fund History'!$D$314:$D$318,"&lt;="&amp;DATE(YEAR_Y-1,12,31))=0,"",SUMIFS('Fund History'!$E$314:$E$318,'Fund History'!$D$314:$D$318,"&gt;="&amp;DATE(YEAR_Y-1,1,1),'Fund History'!$D$314:$D$318,"&lt;="&amp;DATE(YEAR_Y-1,12,31)))))</f>
        <v/>
      </c>
      <c r="AU63" s="76">
        <f>IF($C63="","",IF(PULL_FUND="N","",IFERROR(BDP($C63,NDEBITDA_FIELD),"")))</f>
        <v/>
      </c>
      <c r="AV63" s="84">
        <f>IF($C63="","",IF(PULL_FUND="N","",IFERROR(BDP($C63,EBINT_FIELD),"")))</f>
        <v/>
      </c>
      <c r="AW63" s="82">
        <f>IF($C63="","",IF(PULL_FUND="N","",IFERROR(BDP($C63,FCF_FIELD)/100,"")))</f>
        <v/>
      </c>
      <c r="AX63" s="50">
        <f>IF($C63="","",IF(N($U63)=0,"",IFERROR($AW63/$U63,"")))</f>
        <v/>
      </c>
      <c r="AY63" s="85">
        <f>IF($C63="","",TRIM(IF(ISNUMBER($AJ63)*(N($AJ63)&gt;$D$4)&gt;0,"payout high  ","")&amp;IF(ISNUMBER($AX63)*(N($AX63)&lt;$F$4)&gt;0,"FCF below dvd  ","")&amp;IF(ISNUMBER($AU63)*(N($AU63)&gt;$H$4)&gt;0,"leverage high","")))</f>
        <v/>
      </c>
      <c r="AZ63" s="86">
        <f>IF($C63="","",IF(HSI!$F$58="HKD","",HSI!$F$58))</f>
        <v/>
      </c>
    </row>
    <row r="64">
      <c r="B64" s="66" t="inlineStr">
        <is>
          <t>HSI</t>
        </is>
      </c>
      <c r="C64" s="8">
        <f>IF(HSI!$C$59="","",HSI!$C$59)</f>
        <v/>
      </c>
      <c r="D64" s="8">
        <f>IF($C64="","",HSI!$D$59)</f>
        <v/>
      </c>
      <c r="E64" s="8">
        <f>IF($C64="","",HSI!$E$59)</f>
        <v/>
      </c>
      <c r="F64" s="67">
        <f>IF($C64="","",SUMPRODUCT(('Dvd Calendar'!$E$583:$AR$583&gt;=DATE(YEAR_Y-5,1,1))*('Dvd Calendar'!$E$583:$AR$583&lt;=DATE(YEAR_Y-5,12,31))*'Dvd Calendar'!$E$586:$AR$586*(('Dvd Calendar'!$E$588:$AR$588=TYPE1)*(TYPE1&lt;&gt;"")+('Dvd Calendar'!$E$588:$AR$588=TYPE2)*(TYPE2&lt;&gt;"")+('Dvd Calendar'!$E$588:$AR$588=TYPE3)*(TYPE3&lt;&gt;"")+('Dvd Calendar'!$E$588:$AR$588=TYPE4)*(TYPE4&lt;&gt;"")+('Dvd Calendar'!$E$588:$AR$588=SPECIAL_LBL)*(INC_SPECIALS="Y"))))</f>
        <v/>
      </c>
      <c r="G64" s="68">
        <f>IF($C64="","",SUMPRODUCT(('Dvd Calendar'!$E$583:$AR$583&gt;=DATE(YEAR_Y-4,1,1))*('Dvd Calendar'!$E$583:$AR$583&lt;=DATE(YEAR_Y-4,12,31))*'Dvd Calendar'!$E$586:$AR$586*(('Dvd Calendar'!$E$588:$AR$588=TYPE1)*(TYPE1&lt;&gt;"")+('Dvd Calendar'!$E$588:$AR$588=TYPE2)*(TYPE2&lt;&gt;"")+('Dvd Calendar'!$E$588:$AR$588=TYPE3)*(TYPE3&lt;&gt;"")+('Dvd Calendar'!$E$588:$AR$588=TYPE4)*(TYPE4&lt;&gt;"")+('Dvd Calendar'!$E$588:$AR$588=SPECIAL_LBL)*(INC_SPECIALS="Y"))))</f>
        <v/>
      </c>
      <c r="H64" s="68">
        <f>IF($C64="","",SUMPRODUCT(('Dvd Calendar'!$E$583:$AR$583&gt;=DATE(YEAR_Y-3,1,1))*('Dvd Calendar'!$E$583:$AR$583&lt;=DATE(YEAR_Y-3,12,31))*'Dvd Calendar'!$E$586:$AR$586*(('Dvd Calendar'!$E$588:$AR$588=TYPE1)*(TYPE1&lt;&gt;"")+('Dvd Calendar'!$E$588:$AR$588=TYPE2)*(TYPE2&lt;&gt;"")+('Dvd Calendar'!$E$588:$AR$588=TYPE3)*(TYPE3&lt;&gt;"")+('Dvd Calendar'!$E$588:$AR$588=TYPE4)*(TYPE4&lt;&gt;"")+('Dvd Calendar'!$E$588:$AR$588=SPECIAL_LBL)*(INC_SPECIALS="Y"))))</f>
        <v/>
      </c>
      <c r="I64" s="68">
        <f>IF($C64="","",SUMPRODUCT(('Dvd Calendar'!$E$583:$AR$583&gt;=DATE(YEAR_Y-2,1,1))*('Dvd Calendar'!$E$583:$AR$583&lt;=DATE(YEAR_Y-2,12,31))*'Dvd Calendar'!$E$586:$AR$586*(('Dvd Calendar'!$E$588:$AR$588=TYPE1)*(TYPE1&lt;&gt;"")+('Dvd Calendar'!$E$588:$AR$588=TYPE2)*(TYPE2&lt;&gt;"")+('Dvd Calendar'!$E$588:$AR$588=TYPE3)*(TYPE3&lt;&gt;"")+('Dvd Calendar'!$E$588:$AR$588=TYPE4)*(TYPE4&lt;&gt;"")+('Dvd Calendar'!$E$588:$AR$588=SPECIAL_LBL)*(INC_SPECIALS="Y"))))</f>
        <v/>
      </c>
      <c r="J64" s="68">
        <f>IF($C64="","",SUMPRODUCT(('Dvd Calendar'!$E$583:$AR$583&gt;=DATE(YEAR_Y-1,1,1))*('Dvd Calendar'!$E$583:$AR$583&lt;=DATE(YEAR_Y-1,12,31))*'Dvd Calendar'!$E$586:$AR$586*(('Dvd Calendar'!$E$588:$AR$588=TYPE1)*(TYPE1&lt;&gt;"")+('Dvd Calendar'!$E$588:$AR$588=TYPE2)*(TYPE2&lt;&gt;"")+('Dvd Calendar'!$E$588:$AR$588=TYPE3)*(TYPE3&lt;&gt;"")+('Dvd Calendar'!$E$588:$AR$588=TYPE4)*(TYPE4&lt;&gt;"")+('Dvd Calendar'!$E$588:$AR$588=SPECIAL_LBL)*(INC_SPECIALS="Y"))))</f>
        <v/>
      </c>
      <c r="K64" s="69">
        <f>IF($C64="","",HSI!$J$59)</f>
        <v/>
      </c>
      <c r="L64" s="69">
        <f>IF($C64="","",HSI!$K$59)</f>
        <v/>
      </c>
      <c r="M64" s="44">
        <f>IF($C64="","",HSI!$J$59+HSI!$L$59)</f>
        <v/>
      </c>
      <c r="N64" s="70">
        <f>IF($C64="","",IF(PULL_FUND="N","",IFERROR(BDP($C64,BESTDPS_FIELD,FWD_OVERRIDE,TEXT(MOD(YEAR_Y,100),"00")&amp;"Y"),"")))</f>
        <v/>
      </c>
      <c r="O64" s="69">
        <f>IF($C64="","",AVERAGE(F64:J64))</f>
        <v/>
      </c>
      <c r="P64" s="71">
        <f>IF($C64="","",IF(PULL_FUND="N","",IF(COUNTIFS('Fund History'!$J$320:$J$324,"&gt;="&amp;DATE(YEAR_Y-5,1,1),'Fund History'!$J$320:$J$324,"&lt;="&amp;DATE(YEAR_Y-5,12,31))=0,"",IFERROR($F64*HSI!$G$59/SUMIFS('Fund History'!$K$320:$K$324,'Fund History'!$J$320:$J$324,"&gt;="&amp;DATE(YEAR_Y-5,1,1),'Fund History'!$J$320:$J$324,"&lt;="&amp;DATE(YEAR_Y-5,12,31)),""))))</f>
        <v/>
      </c>
      <c r="Q64" s="72">
        <f>IF($C64="","",IF(PULL_FUND="N","",IF(COUNTIFS('Fund History'!$J$320:$J$324,"&gt;="&amp;DATE(YEAR_Y-4,1,1),'Fund History'!$J$320:$J$324,"&lt;="&amp;DATE(YEAR_Y-4,12,31))=0,"",IFERROR($G64*HSI!$G$59/SUMIFS('Fund History'!$K$320:$K$324,'Fund History'!$J$320:$J$324,"&gt;="&amp;DATE(YEAR_Y-4,1,1),'Fund History'!$J$320:$J$324,"&lt;="&amp;DATE(YEAR_Y-4,12,31)),""))))</f>
        <v/>
      </c>
      <c r="R64" s="72">
        <f>IF($C64="","",IF(PULL_FUND="N","",IF(COUNTIFS('Fund History'!$J$320:$J$324,"&gt;="&amp;DATE(YEAR_Y-3,1,1),'Fund History'!$J$320:$J$324,"&lt;="&amp;DATE(YEAR_Y-3,12,31))=0,"",IFERROR($H64*HSI!$G$59/SUMIFS('Fund History'!$K$320:$K$324,'Fund History'!$J$320:$J$324,"&gt;="&amp;DATE(YEAR_Y-3,1,1),'Fund History'!$J$320:$J$324,"&lt;="&amp;DATE(YEAR_Y-3,12,31)),""))))</f>
        <v/>
      </c>
      <c r="S64" s="72">
        <f>IF($C64="","",IF(PULL_FUND="N","",IF(COUNTIFS('Fund History'!$J$320:$J$324,"&gt;="&amp;DATE(YEAR_Y-2,1,1),'Fund History'!$J$320:$J$324,"&lt;="&amp;DATE(YEAR_Y-2,12,31))=0,"",IFERROR($I64*HSI!$G$59/SUMIFS('Fund History'!$K$320:$K$324,'Fund History'!$J$320:$J$324,"&gt;="&amp;DATE(YEAR_Y-2,1,1),'Fund History'!$J$320:$J$324,"&lt;="&amp;DATE(YEAR_Y-2,12,31)),""))))</f>
        <v/>
      </c>
      <c r="T64" s="72">
        <f>IF($C64="","",IF(PULL_FUND="N","",IF(COUNTIFS('Fund History'!$J$320:$J$324,"&gt;="&amp;DATE(YEAR_Y-1,1,1),'Fund History'!$J$320:$J$324,"&lt;="&amp;DATE(YEAR_Y-1,12,31))=0,"",IFERROR($J64*HSI!$G$59/SUMIFS('Fund History'!$K$320:$K$324,'Fund History'!$J$320:$J$324,"&gt;="&amp;DATE(YEAR_Y-1,1,1),'Fund History'!$J$320:$J$324,"&lt;="&amp;DATE(YEAR_Y-1,12,31)),""))))</f>
        <v/>
      </c>
      <c r="U64" s="73">
        <f>IF($C64="","",IF(ISNUMBER(HSI!$I$59),HSI!$I$59/100,""))</f>
        <v/>
      </c>
      <c r="V64" s="74">
        <f>IF($C64="","",IF(ISNUMBER(HSI!$X$59),IFERROR($M64*HSI!$G$59/HSI!$X$59,""),""))</f>
        <v/>
      </c>
      <c r="W64" s="73">
        <f>IF($C64="","",IF(ISNUMBER($N64),IFERROR($N64*HSI!$G$59/HSI!$X$59,""),""))</f>
        <v/>
      </c>
      <c r="X64" s="75">
        <f>IF($C64="","",IF(PULL_FUND="N","",IFERROR(BDP($C64,EPS_FIELD,YR_OVERRIDE,TEXT(YEAR_Y-5,"0")),"")))</f>
        <v/>
      </c>
      <c r="Y64" s="76">
        <f>IF($C64="","",IF(PULL_FUND="N","",IFERROR(BDP($C64,EPS_FIELD,YR_OVERRIDE,TEXT(YEAR_Y-4,"0")),"")))</f>
        <v/>
      </c>
      <c r="Z64" s="76">
        <f>IF($C64="","",IF(PULL_FUND="N","",IFERROR(BDP($C64,EPS_FIELD,YR_OVERRIDE,TEXT(YEAR_Y-3,"0")),"")))</f>
        <v/>
      </c>
      <c r="AA64" s="76">
        <f>IF($C64="","",IF(PULL_FUND="N","",IFERROR(BDP($C64,EPS_FIELD,YR_OVERRIDE,TEXT(YEAR_Y-2,"0")),"")))</f>
        <v/>
      </c>
      <c r="AB64" s="76">
        <f>IF($C64="","",IF(PULL_FUND="N","",IFERROR(BDP($C64,EPS_FIELD,YR_OVERRIDE,TEXT(YEAR_Y-1,"0")),"")))</f>
        <v/>
      </c>
      <c r="AC64" s="50">
        <f>IF($C64="","",IFERROR(AVERAGE(X64:AB64),""))</f>
        <v/>
      </c>
      <c r="AD64" s="76">
        <f>IF($C64="","",IF(PULL_FUND="N","",IFERROR(BDP($C64,BESTEPS_FIELD,FWD_OVERRIDE,TEXT(MOD(YEAR_Y,100),"00")&amp;"Y"),"")))</f>
        <v/>
      </c>
      <c r="AE64" s="77">
        <f>IF($C64="","",IF(PULL_FUND="N","",IFERROR(BDP($C64,PAYOUT_FIELD,YR_OVERRIDE,TEXT(YEAR_Y-5,"0"))/100,"")))</f>
        <v/>
      </c>
      <c r="AF64" s="78">
        <f>IF($C64="","",IF(PULL_FUND="N","",IFERROR(BDP($C64,PAYOUT_FIELD,YR_OVERRIDE,TEXT(YEAR_Y-4,"0"))/100,"")))</f>
        <v/>
      </c>
      <c r="AG64" s="78">
        <f>IF($C64="","",IF(PULL_FUND="N","",IFERROR(BDP($C64,PAYOUT_FIELD,YR_OVERRIDE,TEXT(YEAR_Y-3,"0"))/100,"")))</f>
        <v/>
      </c>
      <c r="AH64" s="78">
        <f>IF($C64="","",IF(PULL_FUND="N","",IFERROR(BDP($C64,PAYOUT_FIELD,YR_OVERRIDE,TEXT(YEAR_Y-2,"0"))/100,"")))</f>
        <v/>
      </c>
      <c r="AI64" s="78">
        <f>IF($C64="","",IF(PULL_FUND="N","",IFERROR(BDP($C64,PAYOUT_FIELD,YR_OVERRIDE,TEXT(YEAR_Y-1,"0"))/100,"")))</f>
        <v/>
      </c>
      <c r="AJ64" s="79">
        <f>IF($C64="","",IFERROR(AVERAGE(AE64:AI64),""))</f>
        <v/>
      </c>
      <c r="AK64" s="80">
        <f>IF($C64="","",IF(ISNUMBER($AD64)*ISNUMBER($N64)*($AD64&lt;&gt;0)=0,"",$N64/$AD64))</f>
        <v/>
      </c>
      <c r="AL64" s="79">
        <f>IF($C64="","",IF(ISNUMBER($AD64)*($AD64&lt;&gt;0)=0,"",$M64/$AD64))</f>
        <v/>
      </c>
      <c r="AM64" s="37">
        <f>IF($C64="","",IF(ISNUMBER($AE64)*ISNUMBER($AI64)=0,"",IF($AI64&gt;$AE64+0.05,"rising",IF($AI64&lt;$AE64-0.05,"falling","stable"))))</f>
        <v/>
      </c>
      <c r="AN64" s="81">
        <f>IF($C64="","",IF(PULL_FUND="N","",IF(COUNTIFS('Fund History'!$G$320:$G$324,"&gt;="&amp;DATE(YEAR_Y-4,1,1),'Fund History'!$G$320:$G$324,"&lt;="&amp;DATE(YEAR_Y-4,12,31))=0,"",SUMIFS('Fund History'!$H$320:$H$324,'Fund History'!$G$320:$G$324,"&gt;="&amp;DATE(YEAR_Y-4,1,1),'Fund History'!$G$320:$G$324,"&lt;="&amp;DATE(YEAR_Y-4,12,31))/100)))</f>
        <v/>
      </c>
      <c r="AO64" s="82">
        <f>IF($C64="","",IF(PULL_FUND="N","",IF(COUNTIFS('Fund History'!$G$320:$G$324,"&gt;="&amp;DATE(YEAR_Y-3,1,1),'Fund History'!$G$320:$G$324,"&lt;="&amp;DATE(YEAR_Y-3,12,31))=0,"",SUMIFS('Fund History'!$H$320:$H$324,'Fund History'!$G$320:$G$324,"&gt;="&amp;DATE(YEAR_Y-3,1,1),'Fund History'!$G$320:$G$324,"&lt;="&amp;DATE(YEAR_Y-3,12,31))/100)))</f>
        <v/>
      </c>
      <c r="AP64" s="82">
        <f>IF($C64="","",IF(PULL_FUND="N","",IF(COUNTIFS('Fund History'!$G$320:$G$324,"&gt;="&amp;DATE(YEAR_Y-2,1,1),'Fund History'!$G$320:$G$324,"&lt;="&amp;DATE(YEAR_Y-2,12,31))=0,"",SUMIFS('Fund History'!$H$320:$H$324,'Fund History'!$G$320:$G$324,"&gt;="&amp;DATE(YEAR_Y-2,1,1),'Fund History'!$G$320:$G$324,"&lt;="&amp;DATE(YEAR_Y-2,12,31))/100)))</f>
        <v/>
      </c>
      <c r="AQ64" s="82">
        <f>IF($C64="","",IF(PULL_FUND="N","",IF(COUNTIFS('Fund History'!$G$320:$G$324,"&gt;="&amp;DATE(YEAR_Y-1,1,1),'Fund History'!$G$320:$G$324,"&lt;="&amp;DATE(YEAR_Y-1,12,31))=0,"",SUMIFS('Fund History'!$H$320:$H$324,'Fund History'!$G$320:$G$324,"&gt;="&amp;DATE(YEAR_Y-1,1,1),'Fund History'!$G$320:$G$324,"&lt;="&amp;DATE(YEAR_Y-1,12,31))/100)))</f>
        <v/>
      </c>
      <c r="AR64" s="83">
        <f>IF($C64="","",IF(N($AQ64)+N(HSI!$I$59)=0,"",N($AQ64)+N(HSI!$I$59)/100))</f>
        <v/>
      </c>
      <c r="AS64" s="75">
        <f>IF($C64="","",IF(PULL_FUND="N","",IF(COUNTIFS('Fund History'!$D$320:$D$324,"&gt;="&amp;DATE(YEAR_Y-2,1,1),'Fund History'!$D$320:$D$324,"&lt;="&amp;DATE(YEAR_Y-2,12,31))=0,"",SUMIFS('Fund History'!$E$320:$E$324,'Fund History'!$D$320:$D$324,"&gt;="&amp;DATE(YEAR_Y-2,1,1),'Fund History'!$D$320:$D$324,"&lt;="&amp;DATE(YEAR_Y-2,12,31)))))</f>
        <v/>
      </c>
      <c r="AT64" s="76">
        <f>IF($C64="","",IF(PULL_FUND="N","",IF(COUNTIFS('Fund History'!$D$320:$D$324,"&gt;="&amp;DATE(YEAR_Y-1,1,1),'Fund History'!$D$320:$D$324,"&lt;="&amp;DATE(YEAR_Y-1,12,31))=0,"",SUMIFS('Fund History'!$E$320:$E$324,'Fund History'!$D$320:$D$324,"&gt;="&amp;DATE(YEAR_Y-1,1,1),'Fund History'!$D$320:$D$324,"&lt;="&amp;DATE(YEAR_Y-1,12,31)))))</f>
        <v/>
      </c>
      <c r="AU64" s="76">
        <f>IF($C64="","",IF(PULL_FUND="N","",IFERROR(BDP($C64,NDEBITDA_FIELD),"")))</f>
        <v/>
      </c>
      <c r="AV64" s="84">
        <f>IF($C64="","",IF(PULL_FUND="N","",IFERROR(BDP($C64,EBINT_FIELD),"")))</f>
        <v/>
      </c>
      <c r="AW64" s="82">
        <f>IF($C64="","",IF(PULL_FUND="N","",IFERROR(BDP($C64,FCF_FIELD)/100,"")))</f>
        <v/>
      </c>
      <c r="AX64" s="50">
        <f>IF($C64="","",IF(N($U64)=0,"",IFERROR($AW64/$U64,"")))</f>
        <v/>
      </c>
      <c r="AY64" s="85">
        <f>IF($C64="","",TRIM(IF(ISNUMBER($AJ64)*(N($AJ64)&gt;$D$4)&gt;0,"payout high  ","")&amp;IF(ISNUMBER($AX64)*(N($AX64)&lt;$F$4)&gt;0,"FCF below dvd  ","")&amp;IF(ISNUMBER($AU64)*(N($AU64)&gt;$H$4)&gt;0,"leverage high","")))</f>
        <v/>
      </c>
      <c r="AZ64" s="86">
        <f>IF($C64="","",IF(HSI!$F$59="HKD","",HSI!$F$59))</f>
        <v/>
      </c>
    </row>
    <row r="65">
      <c r="B65" s="66" t="inlineStr">
        <is>
          <t>HSI</t>
        </is>
      </c>
      <c r="C65" s="8">
        <f>IF(HSI!$C$60="","",HSI!$C$60)</f>
        <v/>
      </c>
      <c r="D65" s="8">
        <f>IF($C65="","",HSI!$D$60)</f>
        <v/>
      </c>
      <c r="E65" s="8">
        <f>IF($C65="","",HSI!$E$60)</f>
        <v/>
      </c>
      <c r="F65" s="67">
        <f>IF($C65="","",SUMPRODUCT(('Dvd Calendar'!$E$594:$AR$594&gt;=DATE(YEAR_Y-5,1,1))*('Dvd Calendar'!$E$594:$AR$594&lt;=DATE(YEAR_Y-5,12,31))*'Dvd Calendar'!$E$597:$AR$597*(('Dvd Calendar'!$E$599:$AR$599=TYPE1)*(TYPE1&lt;&gt;"")+('Dvd Calendar'!$E$599:$AR$599=TYPE2)*(TYPE2&lt;&gt;"")+('Dvd Calendar'!$E$599:$AR$599=TYPE3)*(TYPE3&lt;&gt;"")+('Dvd Calendar'!$E$599:$AR$599=TYPE4)*(TYPE4&lt;&gt;"")+('Dvd Calendar'!$E$599:$AR$599=SPECIAL_LBL)*(INC_SPECIALS="Y"))))</f>
        <v/>
      </c>
      <c r="G65" s="68">
        <f>IF($C65="","",SUMPRODUCT(('Dvd Calendar'!$E$594:$AR$594&gt;=DATE(YEAR_Y-4,1,1))*('Dvd Calendar'!$E$594:$AR$594&lt;=DATE(YEAR_Y-4,12,31))*'Dvd Calendar'!$E$597:$AR$597*(('Dvd Calendar'!$E$599:$AR$599=TYPE1)*(TYPE1&lt;&gt;"")+('Dvd Calendar'!$E$599:$AR$599=TYPE2)*(TYPE2&lt;&gt;"")+('Dvd Calendar'!$E$599:$AR$599=TYPE3)*(TYPE3&lt;&gt;"")+('Dvd Calendar'!$E$599:$AR$599=TYPE4)*(TYPE4&lt;&gt;"")+('Dvd Calendar'!$E$599:$AR$599=SPECIAL_LBL)*(INC_SPECIALS="Y"))))</f>
        <v/>
      </c>
      <c r="H65" s="68">
        <f>IF($C65="","",SUMPRODUCT(('Dvd Calendar'!$E$594:$AR$594&gt;=DATE(YEAR_Y-3,1,1))*('Dvd Calendar'!$E$594:$AR$594&lt;=DATE(YEAR_Y-3,12,31))*'Dvd Calendar'!$E$597:$AR$597*(('Dvd Calendar'!$E$599:$AR$599=TYPE1)*(TYPE1&lt;&gt;"")+('Dvd Calendar'!$E$599:$AR$599=TYPE2)*(TYPE2&lt;&gt;"")+('Dvd Calendar'!$E$599:$AR$599=TYPE3)*(TYPE3&lt;&gt;"")+('Dvd Calendar'!$E$599:$AR$599=TYPE4)*(TYPE4&lt;&gt;"")+('Dvd Calendar'!$E$599:$AR$599=SPECIAL_LBL)*(INC_SPECIALS="Y"))))</f>
        <v/>
      </c>
      <c r="I65" s="68">
        <f>IF($C65="","",SUMPRODUCT(('Dvd Calendar'!$E$594:$AR$594&gt;=DATE(YEAR_Y-2,1,1))*('Dvd Calendar'!$E$594:$AR$594&lt;=DATE(YEAR_Y-2,12,31))*'Dvd Calendar'!$E$597:$AR$597*(('Dvd Calendar'!$E$599:$AR$599=TYPE1)*(TYPE1&lt;&gt;"")+('Dvd Calendar'!$E$599:$AR$599=TYPE2)*(TYPE2&lt;&gt;"")+('Dvd Calendar'!$E$599:$AR$599=TYPE3)*(TYPE3&lt;&gt;"")+('Dvd Calendar'!$E$599:$AR$599=TYPE4)*(TYPE4&lt;&gt;"")+('Dvd Calendar'!$E$599:$AR$599=SPECIAL_LBL)*(INC_SPECIALS="Y"))))</f>
        <v/>
      </c>
      <c r="J65" s="68">
        <f>IF($C65="","",SUMPRODUCT(('Dvd Calendar'!$E$594:$AR$594&gt;=DATE(YEAR_Y-1,1,1))*('Dvd Calendar'!$E$594:$AR$594&lt;=DATE(YEAR_Y-1,12,31))*'Dvd Calendar'!$E$597:$AR$597*(('Dvd Calendar'!$E$599:$AR$599=TYPE1)*(TYPE1&lt;&gt;"")+('Dvd Calendar'!$E$599:$AR$599=TYPE2)*(TYPE2&lt;&gt;"")+('Dvd Calendar'!$E$599:$AR$599=TYPE3)*(TYPE3&lt;&gt;"")+('Dvd Calendar'!$E$599:$AR$599=TYPE4)*(TYPE4&lt;&gt;"")+('Dvd Calendar'!$E$599:$AR$599=SPECIAL_LBL)*(INC_SPECIALS="Y"))))</f>
        <v/>
      </c>
      <c r="K65" s="69">
        <f>IF($C65="","",HSI!$J$60)</f>
        <v/>
      </c>
      <c r="L65" s="69">
        <f>IF($C65="","",HSI!$K$60)</f>
        <v/>
      </c>
      <c r="M65" s="44">
        <f>IF($C65="","",HSI!$J$60+HSI!$L$60)</f>
        <v/>
      </c>
      <c r="N65" s="70">
        <f>IF($C65="","",IF(PULL_FUND="N","",IFERROR(BDP($C65,BESTDPS_FIELD,FWD_OVERRIDE,TEXT(MOD(YEAR_Y,100),"00")&amp;"Y"),"")))</f>
        <v/>
      </c>
      <c r="O65" s="69">
        <f>IF($C65="","",AVERAGE(F65:J65))</f>
        <v/>
      </c>
      <c r="P65" s="71">
        <f>IF($C65="","",IF(PULL_FUND="N","",IF(COUNTIFS('Fund History'!$J$326:$J$330,"&gt;="&amp;DATE(YEAR_Y-5,1,1),'Fund History'!$J$326:$J$330,"&lt;="&amp;DATE(YEAR_Y-5,12,31))=0,"",IFERROR($F65*HSI!$G$60/SUMIFS('Fund History'!$K$326:$K$330,'Fund History'!$J$326:$J$330,"&gt;="&amp;DATE(YEAR_Y-5,1,1),'Fund History'!$J$326:$J$330,"&lt;="&amp;DATE(YEAR_Y-5,12,31)),""))))</f>
        <v/>
      </c>
      <c r="Q65" s="72">
        <f>IF($C65="","",IF(PULL_FUND="N","",IF(COUNTIFS('Fund History'!$J$326:$J$330,"&gt;="&amp;DATE(YEAR_Y-4,1,1),'Fund History'!$J$326:$J$330,"&lt;="&amp;DATE(YEAR_Y-4,12,31))=0,"",IFERROR($G65*HSI!$G$60/SUMIFS('Fund History'!$K$326:$K$330,'Fund History'!$J$326:$J$330,"&gt;="&amp;DATE(YEAR_Y-4,1,1),'Fund History'!$J$326:$J$330,"&lt;="&amp;DATE(YEAR_Y-4,12,31)),""))))</f>
        <v/>
      </c>
      <c r="R65" s="72">
        <f>IF($C65="","",IF(PULL_FUND="N","",IF(COUNTIFS('Fund History'!$J$326:$J$330,"&gt;="&amp;DATE(YEAR_Y-3,1,1),'Fund History'!$J$326:$J$330,"&lt;="&amp;DATE(YEAR_Y-3,12,31))=0,"",IFERROR($H65*HSI!$G$60/SUMIFS('Fund History'!$K$326:$K$330,'Fund History'!$J$326:$J$330,"&gt;="&amp;DATE(YEAR_Y-3,1,1),'Fund History'!$J$326:$J$330,"&lt;="&amp;DATE(YEAR_Y-3,12,31)),""))))</f>
        <v/>
      </c>
      <c r="S65" s="72">
        <f>IF($C65="","",IF(PULL_FUND="N","",IF(COUNTIFS('Fund History'!$J$326:$J$330,"&gt;="&amp;DATE(YEAR_Y-2,1,1),'Fund History'!$J$326:$J$330,"&lt;="&amp;DATE(YEAR_Y-2,12,31))=0,"",IFERROR($I65*HSI!$G$60/SUMIFS('Fund History'!$K$326:$K$330,'Fund History'!$J$326:$J$330,"&gt;="&amp;DATE(YEAR_Y-2,1,1),'Fund History'!$J$326:$J$330,"&lt;="&amp;DATE(YEAR_Y-2,12,31)),""))))</f>
        <v/>
      </c>
      <c r="T65" s="72">
        <f>IF($C65="","",IF(PULL_FUND="N","",IF(COUNTIFS('Fund History'!$J$326:$J$330,"&gt;="&amp;DATE(YEAR_Y-1,1,1),'Fund History'!$J$326:$J$330,"&lt;="&amp;DATE(YEAR_Y-1,12,31))=0,"",IFERROR($J65*HSI!$G$60/SUMIFS('Fund History'!$K$326:$K$330,'Fund History'!$J$326:$J$330,"&gt;="&amp;DATE(YEAR_Y-1,1,1),'Fund History'!$J$326:$J$330,"&lt;="&amp;DATE(YEAR_Y-1,12,31)),""))))</f>
        <v/>
      </c>
      <c r="U65" s="73">
        <f>IF($C65="","",IF(ISNUMBER(HSI!$I$60),HSI!$I$60/100,""))</f>
        <v/>
      </c>
      <c r="V65" s="74">
        <f>IF($C65="","",IF(ISNUMBER(HSI!$X$60),IFERROR($M65*HSI!$G$60/HSI!$X$60,""),""))</f>
        <v/>
      </c>
      <c r="W65" s="73">
        <f>IF($C65="","",IF(ISNUMBER($N65),IFERROR($N65*HSI!$G$60/HSI!$X$60,""),""))</f>
        <v/>
      </c>
      <c r="X65" s="75">
        <f>IF($C65="","",IF(PULL_FUND="N","",IFERROR(BDP($C65,EPS_FIELD,YR_OVERRIDE,TEXT(YEAR_Y-5,"0")),"")))</f>
        <v/>
      </c>
      <c r="Y65" s="76">
        <f>IF($C65="","",IF(PULL_FUND="N","",IFERROR(BDP($C65,EPS_FIELD,YR_OVERRIDE,TEXT(YEAR_Y-4,"0")),"")))</f>
        <v/>
      </c>
      <c r="Z65" s="76">
        <f>IF($C65="","",IF(PULL_FUND="N","",IFERROR(BDP($C65,EPS_FIELD,YR_OVERRIDE,TEXT(YEAR_Y-3,"0")),"")))</f>
        <v/>
      </c>
      <c r="AA65" s="76">
        <f>IF($C65="","",IF(PULL_FUND="N","",IFERROR(BDP($C65,EPS_FIELD,YR_OVERRIDE,TEXT(YEAR_Y-2,"0")),"")))</f>
        <v/>
      </c>
      <c r="AB65" s="76">
        <f>IF($C65="","",IF(PULL_FUND="N","",IFERROR(BDP($C65,EPS_FIELD,YR_OVERRIDE,TEXT(YEAR_Y-1,"0")),"")))</f>
        <v/>
      </c>
      <c r="AC65" s="50">
        <f>IF($C65="","",IFERROR(AVERAGE(X65:AB65),""))</f>
        <v/>
      </c>
      <c r="AD65" s="76">
        <f>IF($C65="","",IF(PULL_FUND="N","",IFERROR(BDP($C65,BESTEPS_FIELD,FWD_OVERRIDE,TEXT(MOD(YEAR_Y,100),"00")&amp;"Y"),"")))</f>
        <v/>
      </c>
      <c r="AE65" s="77">
        <f>IF($C65="","",IF(PULL_FUND="N","",IFERROR(BDP($C65,PAYOUT_FIELD,YR_OVERRIDE,TEXT(YEAR_Y-5,"0"))/100,"")))</f>
        <v/>
      </c>
      <c r="AF65" s="78">
        <f>IF($C65="","",IF(PULL_FUND="N","",IFERROR(BDP($C65,PAYOUT_FIELD,YR_OVERRIDE,TEXT(YEAR_Y-4,"0"))/100,"")))</f>
        <v/>
      </c>
      <c r="AG65" s="78">
        <f>IF($C65="","",IF(PULL_FUND="N","",IFERROR(BDP($C65,PAYOUT_FIELD,YR_OVERRIDE,TEXT(YEAR_Y-3,"0"))/100,"")))</f>
        <v/>
      </c>
      <c r="AH65" s="78">
        <f>IF($C65="","",IF(PULL_FUND="N","",IFERROR(BDP($C65,PAYOUT_FIELD,YR_OVERRIDE,TEXT(YEAR_Y-2,"0"))/100,"")))</f>
        <v/>
      </c>
      <c r="AI65" s="78">
        <f>IF($C65="","",IF(PULL_FUND="N","",IFERROR(BDP($C65,PAYOUT_FIELD,YR_OVERRIDE,TEXT(YEAR_Y-1,"0"))/100,"")))</f>
        <v/>
      </c>
      <c r="AJ65" s="79">
        <f>IF($C65="","",IFERROR(AVERAGE(AE65:AI65),""))</f>
        <v/>
      </c>
      <c r="AK65" s="80">
        <f>IF($C65="","",IF(ISNUMBER($AD65)*ISNUMBER($N65)*($AD65&lt;&gt;0)=0,"",$N65/$AD65))</f>
        <v/>
      </c>
      <c r="AL65" s="79">
        <f>IF($C65="","",IF(ISNUMBER($AD65)*($AD65&lt;&gt;0)=0,"",$M65/$AD65))</f>
        <v/>
      </c>
      <c r="AM65" s="37">
        <f>IF($C65="","",IF(ISNUMBER($AE65)*ISNUMBER($AI65)=0,"",IF($AI65&gt;$AE65+0.05,"rising",IF($AI65&lt;$AE65-0.05,"falling","stable"))))</f>
        <v/>
      </c>
      <c r="AN65" s="81">
        <f>IF($C65="","",IF(PULL_FUND="N","",IF(COUNTIFS('Fund History'!$G$326:$G$330,"&gt;="&amp;DATE(YEAR_Y-4,1,1),'Fund History'!$G$326:$G$330,"&lt;="&amp;DATE(YEAR_Y-4,12,31))=0,"",SUMIFS('Fund History'!$H$326:$H$330,'Fund History'!$G$326:$G$330,"&gt;="&amp;DATE(YEAR_Y-4,1,1),'Fund History'!$G$326:$G$330,"&lt;="&amp;DATE(YEAR_Y-4,12,31))/100)))</f>
        <v/>
      </c>
      <c r="AO65" s="82">
        <f>IF($C65="","",IF(PULL_FUND="N","",IF(COUNTIFS('Fund History'!$G$326:$G$330,"&gt;="&amp;DATE(YEAR_Y-3,1,1),'Fund History'!$G$326:$G$330,"&lt;="&amp;DATE(YEAR_Y-3,12,31))=0,"",SUMIFS('Fund History'!$H$326:$H$330,'Fund History'!$G$326:$G$330,"&gt;="&amp;DATE(YEAR_Y-3,1,1),'Fund History'!$G$326:$G$330,"&lt;="&amp;DATE(YEAR_Y-3,12,31))/100)))</f>
        <v/>
      </c>
      <c r="AP65" s="82">
        <f>IF($C65="","",IF(PULL_FUND="N","",IF(COUNTIFS('Fund History'!$G$326:$G$330,"&gt;="&amp;DATE(YEAR_Y-2,1,1),'Fund History'!$G$326:$G$330,"&lt;="&amp;DATE(YEAR_Y-2,12,31))=0,"",SUMIFS('Fund History'!$H$326:$H$330,'Fund History'!$G$326:$G$330,"&gt;="&amp;DATE(YEAR_Y-2,1,1),'Fund History'!$G$326:$G$330,"&lt;="&amp;DATE(YEAR_Y-2,12,31))/100)))</f>
        <v/>
      </c>
      <c r="AQ65" s="82">
        <f>IF($C65="","",IF(PULL_FUND="N","",IF(COUNTIFS('Fund History'!$G$326:$G$330,"&gt;="&amp;DATE(YEAR_Y-1,1,1),'Fund History'!$G$326:$G$330,"&lt;="&amp;DATE(YEAR_Y-1,12,31))=0,"",SUMIFS('Fund History'!$H$326:$H$330,'Fund History'!$G$326:$G$330,"&gt;="&amp;DATE(YEAR_Y-1,1,1),'Fund History'!$G$326:$G$330,"&lt;="&amp;DATE(YEAR_Y-1,12,31))/100)))</f>
        <v/>
      </c>
      <c r="AR65" s="83">
        <f>IF($C65="","",IF(N($AQ65)+N(HSI!$I$60)=0,"",N($AQ65)+N(HSI!$I$60)/100))</f>
        <v/>
      </c>
      <c r="AS65" s="75">
        <f>IF($C65="","",IF(PULL_FUND="N","",IF(COUNTIFS('Fund History'!$D$326:$D$330,"&gt;="&amp;DATE(YEAR_Y-2,1,1),'Fund History'!$D$326:$D$330,"&lt;="&amp;DATE(YEAR_Y-2,12,31))=0,"",SUMIFS('Fund History'!$E$326:$E$330,'Fund History'!$D$326:$D$330,"&gt;="&amp;DATE(YEAR_Y-2,1,1),'Fund History'!$D$326:$D$330,"&lt;="&amp;DATE(YEAR_Y-2,12,31)))))</f>
        <v/>
      </c>
      <c r="AT65" s="76">
        <f>IF($C65="","",IF(PULL_FUND="N","",IF(COUNTIFS('Fund History'!$D$326:$D$330,"&gt;="&amp;DATE(YEAR_Y-1,1,1),'Fund History'!$D$326:$D$330,"&lt;="&amp;DATE(YEAR_Y-1,12,31))=0,"",SUMIFS('Fund History'!$E$326:$E$330,'Fund History'!$D$326:$D$330,"&gt;="&amp;DATE(YEAR_Y-1,1,1),'Fund History'!$D$326:$D$330,"&lt;="&amp;DATE(YEAR_Y-1,12,31)))))</f>
        <v/>
      </c>
      <c r="AU65" s="76">
        <f>IF($C65="","",IF(PULL_FUND="N","",IFERROR(BDP($C65,NDEBITDA_FIELD),"")))</f>
        <v/>
      </c>
      <c r="AV65" s="84">
        <f>IF($C65="","",IF(PULL_FUND="N","",IFERROR(BDP($C65,EBINT_FIELD),"")))</f>
        <v/>
      </c>
      <c r="AW65" s="82">
        <f>IF($C65="","",IF(PULL_FUND="N","",IFERROR(BDP($C65,FCF_FIELD)/100,"")))</f>
        <v/>
      </c>
      <c r="AX65" s="50">
        <f>IF($C65="","",IF(N($U65)=0,"",IFERROR($AW65/$U65,"")))</f>
        <v/>
      </c>
      <c r="AY65" s="85">
        <f>IF($C65="","",TRIM(IF(ISNUMBER($AJ65)*(N($AJ65)&gt;$D$4)&gt;0,"payout high  ","")&amp;IF(ISNUMBER($AX65)*(N($AX65)&lt;$F$4)&gt;0,"FCF below dvd  ","")&amp;IF(ISNUMBER($AU65)*(N($AU65)&gt;$H$4)&gt;0,"leverage high","")))</f>
        <v/>
      </c>
      <c r="AZ65" s="86">
        <f>IF($C65="","",IF(HSI!$F$60="HKD","",HSI!$F$60))</f>
        <v/>
      </c>
    </row>
    <row r="66">
      <c r="B66" s="66" t="inlineStr">
        <is>
          <t>HSI</t>
        </is>
      </c>
      <c r="C66" s="8">
        <f>IF(HSI!$C$61="","",HSI!$C$61)</f>
        <v/>
      </c>
      <c r="D66" s="8">
        <f>IF($C66="","",HSI!$D$61)</f>
        <v/>
      </c>
      <c r="E66" s="8">
        <f>IF($C66="","",HSI!$E$61)</f>
        <v/>
      </c>
      <c r="F66" s="67">
        <f>IF($C66="","",SUMPRODUCT(('Dvd Calendar'!$E$605:$AR$605&gt;=DATE(YEAR_Y-5,1,1))*('Dvd Calendar'!$E$605:$AR$605&lt;=DATE(YEAR_Y-5,12,31))*'Dvd Calendar'!$E$608:$AR$608*(('Dvd Calendar'!$E$610:$AR$610=TYPE1)*(TYPE1&lt;&gt;"")+('Dvd Calendar'!$E$610:$AR$610=TYPE2)*(TYPE2&lt;&gt;"")+('Dvd Calendar'!$E$610:$AR$610=TYPE3)*(TYPE3&lt;&gt;"")+('Dvd Calendar'!$E$610:$AR$610=TYPE4)*(TYPE4&lt;&gt;"")+('Dvd Calendar'!$E$610:$AR$610=SPECIAL_LBL)*(INC_SPECIALS="Y"))))</f>
        <v/>
      </c>
      <c r="G66" s="68">
        <f>IF($C66="","",SUMPRODUCT(('Dvd Calendar'!$E$605:$AR$605&gt;=DATE(YEAR_Y-4,1,1))*('Dvd Calendar'!$E$605:$AR$605&lt;=DATE(YEAR_Y-4,12,31))*'Dvd Calendar'!$E$608:$AR$608*(('Dvd Calendar'!$E$610:$AR$610=TYPE1)*(TYPE1&lt;&gt;"")+('Dvd Calendar'!$E$610:$AR$610=TYPE2)*(TYPE2&lt;&gt;"")+('Dvd Calendar'!$E$610:$AR$610=TYPE3)*(TYPE3&lt;&gt;"")+('Dvd Calendar'!$E$610:$AR$610=TYPE4)*(TYPE4&lt;&gt;"")+('Dvd Calendar'!$E$610:$AR$610=SPECIAL_LBL)*(INC_SPECIALS="Y"))))</f>
        <v/>
      </c>
      <c r="H66" s="68">
        <f>IF($C66="","",SUMPRODUCT(('Dvd Calendar'!$E$605:$AR$605&gt;=DATE(YEAR_Y-3,1,1))*('Dvd Calendar'!$E$605:$AR$605&lt;=DATE(YEAR_Y-3,12,31))*'Dvd Calendar'!$E$608:$AR$608*(('Dvd Calendar'!$E$610:$AR$610=TYPE1)*(TYPE1&lt;&gt;"")+('Dvd Calendar'!$E$610:$AR$610=TYPE2)*(TYPE2&lt;&gt;"")+('Dvd Calendar'!$E$610:$AR$610=TYPE3)*(TYPE3&lt;&gt;"")+('Dvd Calendar'!$E$610:$AR$610=TYPE4)*(TYPE4&lt;&gt;"")+('Dvd Calendar'!$E$610:$AR$610=SPECIAL_LBL)*(INC_SPECIALS="Y"))))</f>
        <v/>
      </c>
      <c r="I66" s="68">
        <f>IF($C66="","",SUMPRODUCT(('Dvd Calendar'!$E$605:$AR$605&gt;=DATE(YEAR_Y-2,1,1))*('Dvd Calendar'!$E$605:$AR$605&lt;=DATE(YEAR_Y-2,12,31))*'Dvd Calendar'!$E$608:$AR$608*(('Dvd Calendar'!$E$610:$AR$610=TYPE1)*(TYPE1&lt;&gt;"")+('Dvd Calendar'!$E$610:$AR$610=TYPE2)*(TYPE2&lt;&gt;"")+('Dvd Calendar'!$E$610:$AR$610=TYPE3)*(TYPE3&lt;&gt;"")+('Dvd Calendar'!$E$610:$AR$610=TYPE4)*(TYPE4&lt;&gt;"")+('Dvd Calendar'!$E$610:$AR$610=SPECIAL_LBL)*(INC_SPECIALS="Y"))))</f>
        <v/>
      </c>
      <c r="J66" s="68">
        <f>IF($C66="","",SUMPRODUCT(('Dvd Calendar'!$E$605:$AR$605&gt;=DATE(YEAR_Y-1,1,1))*('Dvd Calendar'!$E$605:$AR$605&lt;=DATE(YEAR_Y-1,12,31))*'Dvd Calendar'!$E$608:$AR$608*(('Dvd Calendar'!$E$610:$AR$610=TYPE1)*(TYPE1&lt;&gt;"")+('Dvd Calendar'!$E$610:$AR$610=TYPE2)*(TYPE2&lt;&gt;"")+('Dvd Calendar'!$E$610:$AR$610=TYPE3)*(TYPE3&lt;&gt;"")+('Dvd Calendar'!$E$610:$AR$610=TYPE4)*(TYPE4&lt;&gt;"")+('Dvd Calendar'!$E$610:$AR$610=SPECIAL_LBL)*(INC_SPECIALS="Y"))))</f>
        <v/>
      </c>
      <c r="K66" s="69">
        <f>IF($C66="","",HSI!$J$61)</f>
        <v/>
      </c>
      <c r="L66" s="69">
        <f>IF($C66="","",HSI!$K$61)</f>
        <v/>
      </c>
      <c r="M66" s="44">
        <f>IF($C66="","",HSI!$J$61+HSI!$L$61)</f>
        <v/>
      </c>
      <c r="N66" s="70">
        <f>IF($C66="","",IF(PULL_FUND="N","",IFERROR(BDP($C66,BESTDPS_FIELD,FWD_OVERRIDE,TEXT(MOD(YEAR_Y,100),"00")&amp;"Y"),"")))</f>
        <v/>
      </c>
      <c r="O66" s="69">
        <f>IF($C66="","",AVERAGE(F66:J66))</f>
        <v/>
      </c>
      <c r="P66" s="71">
        <f>IF($C66="","",IF(PULL_FUND="N","",IF(COUNTIFS('Fund History'!$J$332:$J$336,"&gt;="&amp;DATE(YEAR_Y-5,1,1),'Fund History'!$J$332:$J$336,"&lt;="&amp;DATE(YEAR_Y-5,12,31))=0,"",IFERROR($F66*HSI!$G$61/SUMIFS('Fund History'!$K$332:$K$336,'Fund History'!$J$332:$J$336,"&gt;="&amp;DATE(YEAR_Y-5,1,1),'Fund History'!$J$332:$J$336,"&lt;="&amp;DATE(YEAR_Y-5,12,31)),""))))</f>
        <v/>
      </c>
      <c r="Q66" s="72">
        <f>IF($C66="","",IF(PULL_FUND="N","",IF(COUNTIFS('Fund History'!$J$332:$J$336,"&gt;="&amp;DATE(YEAR_Y-4,1,1),'Fund History'!$J$332:$J$336,"&lt;="&amp;DATE(YEAR_Y-4,12,31))=0,"",IFERROR($G66*HSI!$G$61/SUMIFS('Fund History'!$K$332:$K$336,'Fund History'!$J$332:$J$336,"&gt;="&amp;DATE(YEAR_Y-4,1,1),'Fund History'!$J$332:$J$336,"&lt;="&amp;DATE(YEAR_Y-4,12,31)),""))))</f>
        <v/>
      </c>
      <c r="R66" s="72">
        <f>IF($C66="","",IF(PULL_FUND="N","",IF(COUNTIFS('Fund History'!$J$332:$J$336,"&gt;="&amp;DATE(YEAR_Y-3,1,1),'Fund History'!$J$332:$J$336,"&lt;="&amp;DATE(YEAR_Y-3,12,31))=0,"",IFERROR($H66*HSI!$G$61/SUMIFS('Fund History'!$K$332:$K$336,'Fund History'!$J$332:$J$336,"&gt;="&amp;DATE(YEAR_Y-3,1,1),'Fund History'!$J$332:$J$336,"&lt;="&amp;DATE(YEAR_Y-3,12,31)),""))))</f>
        <v/>
      </c>
      <c r="S66" s="72">
        <f>IF($C66="","",IF(PULL_FUND="N","",IF(COUNTIFS('Fund History'!$J$332:$J$336,"&gt;="&amp;DATE(YEAR_Y-2,1,1),'Fund History'!$J$332:$J$336,"&lt;="&amp;DATE(YEAR_Y-2,12,31))=0,"",IFERROR($I66*HSI!$G$61/SUMIFS('Fund History'!$K$332:$K$336,'Fund History'!$J$332:$J$336,"&gt;="&amp;DATE(YEAR_Y-2,1,1),'Fund History'!$J$332:$J$336,"&lt;="&amp;DATE(YEAR_Y-2,12,31)),""))))</f>
        <v/>
      </c>
      <c r="T66" s="72">
        <f>IF($C66="","",IF(PULL_FUND="N","",IF(COUNTIFS('Fund History'!$J$332:$J$336,"&gt;="&amp;DATE(YEAR_Y-1,1,1),'Fund History'!$J$332:$J$336,"&lt;="&amp;DATE(YEAR_Y-1,12,31))=0,"",IFERROR($J66*HSI!$G$61/SUMIFS('Fund History'!$K$332:$K$336,'Fund History'!$J$332:$J$336,"&gt;="&amp;DATE(YEAR_Y-1,1,1),'Fund History'!$J$332:$J$336,"&lt;="&amp;DATE(YEAR_Y-1,12,31)),""))))</f>
        <v/>
      </c>
      <c r="U66" s="73">
        <f>IF($C66="","",IF(ISNUMBER(HSI!$I$61),HSI!$I$61/100,""))</f>
        <v/>
      </c>
      <c r="V66" s="74">
        <f>IF($C66="","",IF(ISNUMBER(HSI!$X$61),IFERROR($M66*HSI!$G$61/HSI!$X$61,""),""))</f>
        <v/>
      </c>
      <c r="W66" s="73">
        <f>IF($C66="","",IF(ISNUMBER($N66),IFERROR($N66*HSI!$G$61/HSI!$X$61,""),""))</f>
        <v/>
      </c>
      <c r="X66" s="75">
        <f>IF($C66="","",IF(PULL_FUND="N","",IFERROR(BDP($C66,EPS_FIELD,YR_OVERRIDE,TEXT(YEAR_Y-5,"0")),"")))</f>
        <v/>
      </c>
      <c r="Y66" s="76">
        <f>IF($C66="","",IF(PULL_FUND="N","",IFERROR(BDP($C66,EPS_FIELD,YR_OVERRIDE,TEXT(YEAR_Y-4,"0")),"")))</f>
        <v/>
      </c>
      <c r="Z66" s="76">
        <f>IF($C66="","",IF(PULL_FUND="N","",IFERROR(BDP($C66,EPS_FIELD,YR_OVERRIDE,TEXT(YEAR_Y-3,"0")),"")))</f>
        <v/>
      </c>
      <c r="AA66" s="76">
        <f>IF($C66="","",IF(PULL_FUND="N","",IFERROR(BDP($C66,EPS_FIELD,YR_OVERRIDE,TEXT(YEAR_Y-2,"0")),"")))</f>
        <v/>
      </c>
      <c r="AB66" s="76">
        <f>IF($C66="","",IF(PULL_FUND="N","",IFERROR(BDP($C66,EPS_FIELD,YR_OVERRIDE,TEXT(YEAR_Y-1,"0")),"")))</f>
        <v/>
      </c>
      <c r="AC66" s="50">
        <f>IF($C66="","",IFERROR(AVERAGE(X66:AB66),""))</f>
        <v/>
      </c>
      <c r="AD66" s="76">
        <f>IF($C66="","",IF(PULL_FUND="N","",IFERROR(BDP($C66,BESTEPS_FIELD,FWD_OVERRIDE,TEXT(MOD(YEAR_Y,100),"00")&amp;"Y"),"")))</f>
        <v/>
      </c>
      <c r="AE66" s="77">
        <f>IF($C66="","",IF(PULL_FUND="N","",IFERROR(BDP($C66,PAYOUT_FIELD,YR_OVERRIDE,TEXT(YEAR_Y-5,"0"))/100,"")))</f>
        <v/>
      </c>
      <c r="AF66" s="78">
        <f>IF($C66="","",IF(PULL_FUND="N","",IFERROR(BDP($C66,PAYOUT_FIELD,YR_OVERRIDE,TEXT(YEAR_Y-4,"0"))/100,"")))</f>
        <v/>
      </c>
      <c r="AG66" s="78">
        <f>IF($C66="","",IF(PULL_FUND="N","",IFERROR(BDP($C66,PAYOUT_FIELD,YR_OVERRIDE,TEXT(YEAR_Y-3,"0"))/100,"")))</f>
        <v/>
      </c>
      <c r="AH66" s="78">
        <f>IF($C66="","",IF(PULL_FUND="N","",IFERROR(BDP($C66,PAYOUT_FIELD,YR_OVERRIDE,TEXT(YEAR_Y-2,"0"))/100,"")))</f>
        <v/>
      </c>
      <c r="AI66" s="78">
        <f>IF($C66="","",IF(PULL_FUND="N","",IFERROR(BDP($C66,PAYOUT_FIELD,YR_OVERRIDE,TEXT(YEAR_Y-1,"0"))/100,"")))</f>
        <v/>
      </c>
      <c r="AJ66" s="79">
        <f>IF($C66="","",IFERROR(AVERAGE(AE66:AI66),""))</f>
        <v/>
      </c>
      <c r="AK66" s="80">
        <f>IF($C66="","",IF(ISNUMBER($AD66)*ISNUMBER($N66)*($AD66&lt;&gt;0)=0,"",$N66/$AD66))</f>
        <v/>
      </c>
      <c r="AL66" s="79">
        <f>IF($C66="","",IF(ISNUMBER($AD66)*($AD66&lt;&gt;0)=0,"",$M66/$AD66))</f>
        <v/>
      </c>
      <c r="AM66" s="37">
        <f>IF($C66="","",IF(ISNUMBER($AE66)*ISNUMBER($AI66)=0,"",IF($AI66&gt;$AE66+0.05,"rising",IF($AI66&lt;$AE66-0.05,"falling","stable"))))</f>
        <v/>
      </c>
      <c r="AN66" s="81">
        <f>IF($C66="","",IF(PULL_FUND="N","",IF(COUNTIFS('Fund History'!$G$332:$G$336,"&gt;="&amp;DATE(YEAR_Y-4,1,1),'Fund History'!$G$332:$G$336,"&lt;="&amp;DATE(YEAR_Y-4,12,31))=0,"",SUMIFS('Fund History'!$H$332:$H$336,'Fund History'!$G$332:$G$336,"&gt;="&amp;DATE(YEAR_Y-4,1,1),'Fund History'!$G$332:$G$336,"&lt;="&amp;DATE(YEAR_Y-4,12,31))/100)))</f>
        <v/>
      </c>
      <c r="AO66" s="82">
        <f>IF($C66="","",IF(PULL_FUND="N","",IF(COUNTIFS('Fund History'!$G$332:$G$336,"&gt;="&amp;DATE(YEAR_Y-3,1,1),'Fund History'!$G$332:$G$336,"&lt;="&amp;DATE(YEAR_Y-3,12,31))=0,"",SUMIFS('Fund History'!$H$332:$H$336,'Fund History'!$G$332:$G$336,"&gt;="&amp;DATE(YEAR_Y-3,1,1),'Fund History'!$G$332:$G$336,"&lt;="&amp;DATE(YEAR_Y-3,12,31))/100)))</f>
        <v/>
      </c>
      <c r="AP66" s="82">
        <f>IF($C66="","",IF(PULL_FUND="N","",IF(COUNTIFS('Fund History'!$G$332:$G$336,"&gt;="&amp;DATE(YEAR_Y-2,1,1),'Fund History'!$G$332:$G$336,"&lt;="&amp;DATE(YEAR_Y-2,12,31))=0,"",SUMIFS('Fund History'!$H$332:$H$336,'Fund History'!$G$332:$G$336,"&gt;="&amp;DATE(YEAR_Y-2,1,1),'Fund History'!$G$332:$G$336,"&lt;="&amp;DATE(YEAR_Y-2,12,31))/100)))</f>
        <v/>
      </c>
      <c r="AQ66" s="82">
        <f>IF($C66="","",IF(PULL_FUND="N","",IF(COUNTIFS('Fund History'!$G$332:$G$336,"&gt;="&amp;DATE(YEAR_Y-1,1,1),'Fund History'!$G$332:$G$336,"&lt;="&amp;DATE(YEAR_Y-1,12,31))=0,"",SUMIFS('Fund History'!$H$332:$H$336,'Fund History'!$G$332:$G$336,"&gt;="&amp;DATE(YEAR_Y-1,1,1),'Fund History'!$G$332:$G$336,"&lt;="&amp;DATE(YEAR_Y-1,12,31))/100)))</f>
        <v/>
      </c>
      <c r="AR66" s="83">
        <f>IF($C66="","",IF(N($AQ66)+N(HSI!$I$61)=0,"",N($AQ66)+N(HSI!$I$61)/100))</f>
        <v/>
      </c>
      <c r="AS66" s="75">
        <f>IF($C66="","",IF(PULL_FUND="N","",IF(COUNTIFS('Fund History'!$D$332:$D$336,"&gt;="&amp;DATE(YEAR_Y-2,1,1),'Fund History'!$D$332:$D$336,"&lt;="&amp;DATE(YEAR_Y-2,12,31))=0,"",SUMIFS('Fund History'!$E$332:$E$336,'Fund History'!$D$332:$D$336,"&gt;="&amp;DATE(YEAR_Y-2,1,1),'Fund History'!$D$332:$D$336,"&lt;="&amp;DATE(YEAR_Y-2,12,31)))))</f>
        <v/>
      </c>
      <c r="AT66" s="76">
        <f>IF($C66="","",IF(PULL_FUND="N","",IF(COUNTIFS('Fund History'!$D$332:$D$336,"&gt;="&amp;DATE(YEAR_Y-1,1,1),'Fund History'!$D$332:$D$336,"&lt;="&amp;DATE(YEAR_Y-1,12,31))=0,"",SUMIFS('Fund History'!$E$332:$E$336,'Fund History'!$D$332:$D$336,"&gt;="&amp;DATE(YEAR_Y-1,1,1),'Fund History'!$D$332:$D$336,"&lt;="&amp;DATE(YEAR_Y-1,12,31)))))</f>
        <v/>
      </c>
      <c r="AU66" s="76">
        <f>IF($C66="","",IF(PULL_FUND="N","",IFERROR(BDP($C66,NDEBITDA_FIELD),"")))</f>
        <v/>
      </c>
      <c r="AV66" s="84">
        <f>IF($C66="","",IF(PULL_FUND="N","",IFERROR(BDP($C66,EBINT_FIELD),"")))</f>
        <v/>
      </c>
      <c r="AW66" s="82">
        <f>IF($C66="","",IF(PULL_FUND="N","",IFERROR(BDP($C66,FCF_FIELD)/100,"")))</f>
        <v/>
      </c>
      <c r="AX66" s="50">
        <f>IF($C66="","",IF(N($U66)=0,"",IFERROR($AW66/$U66,"")))</f>
        <v/>
      </c>
      <c r="AY66" s="85">
        <f>IF($C66="","",TRIM(IF(ISNUMBER($AJ66)*(N($AJ66)&gt;$D$4)&gt;0,"payout high  ","")&amp;IF(ISNUMBER($AX66)*(N($AX66)&lt;$F$4)&gt;0,"FCF below dvd  ","")&amp;IF(ISNUMBER($AU66)*(N($AU66)&gt;$H$4)&gt;0,"leverage high","")))</f>
        <v/>
      </c>
      <c r="AZ66" s="86">
        <f>IF($C66="","",IF(HSI!$F$61="HKD","",HSI!$F$61))</f>
        <v/>
      </c>
    </row>
    <row r="67">
      <c r="B67" s="66" t="inlineStr">
        <is>
          <t>HSI</t>
        </is>
      </c>
      <c r="C67" s="8">
        <f>IF(HSI!$C$62="","",HSI!$C$62)</f>
        <v/>
      </c>
      <c r="D67" s="8">
        <f>IF($C67="","",HSI!$D$62)</f>
        <v/>
      </c>
      <c r="E67" s="8">
        <f>IF($C67="","",HSI!$E$62)</f>
        <v/>
      </c>
      <c r="F67" s="67">
        <f>IF($C67="","",SUMPRODUCT(('Dvd Calendar'!$E$616:$AR$616&gt;=DATE(YEAR_Y-5,1,1))*('Dvd Calendar'!$E$616:$AR$616&lt;=DATE(YEAR_Y-5,12,31))*'Dvd Calendar'!$E$619:$AR$619*(('Dvd Calendar'!$E$621:$AR$621=TYPE1)*(TYPE1&lt;&gt;"")+('Dvd Calendar'!$E$621:$AR$621=TYPE2)*(TYPE2&lt;&gt;"")+('Dvd Calendar'!$E$621:$AR$621=TYPE3)*(TYPE3&lt;&gt;"")+('Dvd Calendar'!$E$621:$AR$621=TYPE4)*(TYPE4&lt;&gt;"")+('Dvd Calendar'!$E$621:$AR$621=SPECIAL_LBL)*(INC_SPECIALS="Y"))))</f>
        <v/>
      </c>
      <c r="G67" s="68">
        <f>IF($C67="","",SUMPRODUCT(('Dvd Calendar'!$E$616:$AR$616&gt;=DATE(YEAR_Y-4,1,1))*('Dvd Calendar'!$E$616:$AR$616&lt;=DATE(YEAR_Y-4,12,31))*'Dvd Calendar'!$E$619:$AR$619*(('Dvd Calendar'!$E$621:$AR$621=TYPE1)*(TYPE1&lt;&gt;"")+('Dvd Calendar'!$E$621:$AR$621=TYPE2)*(TYPE2&lt;&gt;"")+('Dvd Calendar'!$E$621:$AR$621=TYPE3)*(TYPE3&lt;&gt;"")+('Dvd Calendar'!$E$621:$AR$621=TYPE4)*(TYPE4&lt;&gt;"")+('Dvd Calendar'!$E$621:$AR$621=SPECIAL_LBL)*(INC_SPECIALS="Y"))))</f>
        <v/>
      </c>
      <c r="H67" s="68">
        <f>IF($C67="","",SUMPRODUCT(('Dvd Calendar'!$E$616:$AR$616&gt;=DATE(YEAR_Y-3,1,1))*('Dvd Calendar'!$E$616:$AR$616&lt;=DATE(YEAR_Y-3,12,31))*'Dvd Calendar'!$E$619:$AR$619*(('Dvd Calendar'!$E$621:$AR$621=TYPE1)*(TYPE1&lt;&gt;"")+('Dvd Calendar'!$E$621:$AR$621=TYPE2)*(TYPE2&lt;&gt;"")+('Dvd Calendar'!$E$621:$AR$621=TYPE3)*(TYPE3&lt;&gt;"")+('Dvd Calendar'!$E$621:$AR$621=TYPE4)*(TYPE4&lt;&gt;"")+('Dvd Calendar'!$E$621:$AR$621=SPECIAL_LBL)*(INC_SPECIALS="Y"))))</f>
        <v/>
      </c>
      <c r="I67" s="68">
        <f>IF($C67="","",SUMPRODUCT(('Dvd Calendar'!$E$616:$AR$616&gt;=DATE(YEAR_Y-2,1,1))*('Dvd Calendar'!$E$616:$AR$616&lt;=DATE(YEAR_Y-2,12,31))*'Dvd Calendar'!$E$619:$AR$619*(('Dvd Calendar'!$E$621:$AR$621=TYPE1)*(TYPE1&lt;&gt;"")+('Dvd Calendar'!$E$621:$AR$621=TYPE2)*(TYPE2&lt;&gt;"")+('Dvd Calendar'!$E$621:$AR$621=TYPE3)*(TYPE3&lt;&gt;"")+('Dvd Calendar'!$E$621:$AR$621=TYPE4)*(TYPE4&lt;&gt;"")+('Dvd Calendar'!$E$621:$AR$621=SPECIAL_LBL)*(INC_SPECIALS="Y"))))</f>
        <v/>
      </c>
      <c r="J67" s="68">
        <f>IF($C67="","",SUMPRODUCT(('Dvd Calendar'!$E$616:$AR$616&gt;=DATE(YEAR_Y-1,1,1))*('Dvd Calendar'!$E$616:$AR$616&lt;=DATE(YEAR_Y-1,12,31))*'Dvd Calendar'!$E$619:$AR$619*(('Dvd Calendar'!$E$621:$AR$621=TYPE1)*(TYPE1&lt;&gt;"")+('Dvd Calendar'!$E$621:$AR$621=TYPE2)*(TYPE2&lt;&gt;"")+('Dvd Calendar'!$E$621:$AR$621=TYPE3)*(TYPE3&lt;&gt;"")+('Dvd Calendar'!$E$621:$AR$621=TYPE4)*(TYPE4&lt;&gt;"")+('Dvd Calendar'!$E$621:$AR$621=SPECIAL_LBL)*(INC_SPECIALS="Y"))))</f>
        <v/>
      </c>
      <c r="K67" s="69">
        <f>IF($C67="","",HSI!$J$62)</f>
        <v/>
      </c>
      <c r="L67" s="69">
        <f>IF($C67="","",HSI!$K$62)</f>
        <v/>
      </c>
      <c r="M67" s="44">
        <f>IF($C67="","",HSI!$J$62+HSI!$L$62)</f>
        <v/>
      </c>
      <c r="N67" s="70">
        <f>IF($C67="","",IF(PULL_FUND="N","",IFERROR(BDP($C67,BESTDPS_FIELD,FWD_OVERRIDE,TEXT(MOD(YEAR_Y,100),"00")&amp;"Y"),"")))</f>
        <v/>
      </c>
      <c r="O67" s="69">
        <f>IF($C67="","",AVERAGE(F67:J67))</f>
        <v/>
      </c>
      <c r="P67" s="71">
        <f>IF($C67="","",IF(PULL_FUND="N","",IF(COUNTIFS('Fund History'!$J$338:$J$342,"&gt;="&amp;DATE(YEAR_Y-5,1,1),'Fund History'!$J$338:$J$342,"&lt;="&amp;DATE(YEAR_Y-5,12,31))=0,"",IFERROR($F67*HSI!$G$62/SUMIFS('Fund History'!$K$338:$K$342,'Fund History'!$J$338:$J$342,"&gt;="&amp;DATE(YEAR_Y-5,1,1),'Fund History'!$J$338:$J$342,"&lt;="&amp;DATE(YEAR_Y-5,12,31)),""))))</f>
        <v/>
      </c>
      <c r="Q67" s="72">
        <f>IF($C67="","",IF(PULL_FUND="N","",IF(COUNTIFS('Fund History'!$J$338:$J$342,"&gt;="&amp;DATE(YEAR_Y-4,1,1),'Fund History'!$J$338:$J$342,"&lt;="&amp;DATE(YEAR_Y-4,12,31))=0,"",IFERROR($G67*HSI!$G$62/SUMIFS('Fund History'!$K$338:$K$342,'Fund History'!$J$338:$J$342,"&gt;="&amp;DATE(YEAR_Y-4,1,1),'Fund History'!$J$338:$J$342,"&lt;="&amp;DATE(YEAR_Y-4,12,31)),""))))</f>
        <v/>
      </c>
      <c r="R67" s="72">
        <f>IF($C67="","",IF(PULL_FUND="N","",IF(COUNTIFS('Fund History'!$J$338:$J$342,"&gt;="&amp;DATE(YEAR_Y-3,1,1),'Fund History'!$J$338:$J$342,"&lt;="&amp;DATE(YEAR_Y-3,12,31))=0,"",IFERROR($H67*HSI!$G$62/SUMIFS('Fund History'!$K$338:$K$342,'Fund History'!$J$338:$J$342,"&gt;="&amp;DATE(YEAR_Y-3,1,1),'Fund History'!$J$338:$J$342,"&lt;="&amp;DATE(YEAR_Y-3,12,31)),""))))</f>
        <v/>
      </c>
      <c r="S67" s="72">
        <f>IF($C67="","",IF(PULL_FUND="N","",IF(COUNTIFS('Fund History'!$J$338:$J$342,"&gt;="&amp;DATE(YEAR_Y-2,1,1),'Fund History'!$J$338:$J$342,"&lt;="&amp;DATE(YEAR_Y-2,12,31))=0,"",IFERROR($I67*HSI!$G$62/SUMIFS('Fund History'!$K$338:$K$342,'Fund History'!$J$338:$J$342,"&gt;="&amp;DATE(YEAR_Y-2,1,1),'Fund History'!$J$338:$J$342,"&lt;="&amp;DATE(YEAR_Y-2,12,31)),""))))</f>
        <v/>
      </c>
      <c r="T67" s="72">
        <f>IF($C67="","",IF(PULL_FUND="N","",IF(COUNTIFS('Fund History'!$J$338:$J$342,"&gt;="&amp;DATE(YEAR_Y-1,1,1),'Fund History'!$J$338:$J$342,"&lt;="&amp;DATE(YEAR_Y-1,12,31))=0,"",IFERROR($J67*HSI!$G$62/SUMIFS('Fund History'!$K$338:$K$342,'Fund History'!$J$338:$J$342,"&gt;="&amp;DATE(YEAR_Y-1,1,1),'Fund History'!$J$338:$J$342,"&lt;="&amp;DATE(YEAR_Y-1,12,31)),""))))</f>
        <v/>
      </c>
      <c r="U67" s="73">
        <f>IF($C67="","",IF(ISNUMBER(HSI!$I$62),HSI!$I$62/100,""))</f>
        <v/>
      </c>
      <c r="V67" s="74">
        <f>IF($C67="","",IF(ISNUMBER(HSI!$X$62),IFERROR($M67*HSI!$G$62/HSI!$X$62,""),""))</f>
        <v/>
      </c>
      <c r="W67" s="73">
        <f>IF($C67="","",IF(ISNUMBER($N67),IFERROR($N67*HSI!$G$62/HSI!$X$62,""),""))</f>
        <v/>
      </c>
      <c r="X67" s="75">
        <f>IF($C67="","",IF(PULL_FUND="N","",IFERROR(BDP($C67,EPS_FIELD,YR_OVERRIDE,TEXT(YEAR_Y-5,"0")),"")))</f>
        <v/>
      </c>
      <c r="Y67" s="76">
        <f>IF($C67="","",IF(PULL_FUND="N","",IFERROR(BDP($C67,EPS_FIELD,YR_OVERRIDE,TEXT(YEAR_Y-4,"0")),"")))</f>
        <v/>
      </c>
      <c r="Z67" s="76">
        <f>IF($C67="","",IF(PULL_FUND="N","",IFERROR(BDP($C67,EPS_FIELD,YR_OVERRIDE,TEXT(YEAR_Y-3,"0")),"")))</f>
        <v/>
      </c>
      <c r="AA67" s="76">
        <f>IF($C67="","",IF(PULL_FUND="N","",IFERROR(BDP($C67,EPS_FIELD,YR_OVERRIDE,TEXT(YEAR_Y-2,"0")),"")))</f>
        <v/>
      </c>
      <c r="AB67" s="76">
        <f>IF($C67="","",IF(PULL_FUND="N","",IFERROR(BDP($C67,EPS_FIELD,YR_OVERRIDE,TEXT(YEAR_Y-1,"0")),"")))</f>
        <v/>
      </c>
      <c r="AC67" s="50">
        <f>IF($C67="","",IFERROR(AVERAGE(X67:AB67),""))</f>
        <v/>
      </c>
      <c r="AD67" s="76">
        <f>IF($C67="","",IF(PULL_FUND="N","",IFERROR(BDP($C67,BESTEPS_FIELD,FWD_OVERRIDE,TEXT(MOD(YEAR_Y,100),"00")&amp;"Y"),"")))</f>
        <v/>
      </c>
      <c r="AE67" s="77">
        <f>IF($C67="","",IF(PULL_FUND="N","",IFERROR(BDP($C67,PAYOUT_FIELD,YR_OVERRIDE,TEXT(YEAR_Y-5,"0"))/100,"")))</f>
        <v/>
      </c>
      <c r="AF67" s="78">
        <f>IF($C67="","",IF(PULL_FUND="N","",IFERROR(BDP($C67,PAYOUT_FIELD,YR_OVERRIDE,TEXT(YEAR_Y-4,"0"))/100,"")))</f>
        <v/>
      </c>
      <c r="AG67" s="78">
        <f>IF($C67="","",IF(PULL_FUND="N","",IFERROR(BDP($C67,PAYOUT_FIELD,YR_OVERRIDE,TEXT(YEAR_Y-3,"0"))/100,"")))</f>
        <v/>
      </c>
      <c r="AH67" s="78">
        <f>IF($C67="","",IF(PULL_FUND="N","",IFERROR(BDP($C67,PAYOUT_FIELD,YR_OVERRIDE,TEXT(YEAR_Y-2,"0"))/100,"")))</f>
        <v/>
      </c>
      <c r="AI67" s="78">
        <f>IF($C67="","",IF(PULL_FUND="N","",IFERROR(BDP($C67,PAYOUT_FIELD,YR_OVERRIDE,TEXT(YEAR_Y-1,"0"))/100,"")))</f>
        <v/>
      </c>
      <c r="AJ67" s="79">
        <f>IF($C67="","",IFERROR(AVERAGE(AE67:AI67),""))</f>
        <v/>
      </c>
      <c r="AK67" s="80">
        <f>IF($C67="","",IF(ISNUMBER($AD67)*ISNUMBER($N67)*($AD67&lt;&gt;0)=0,"",$N67/$AD67))</f>
        <v/>
      </c>
      <c r="AL67" s="79">
        <f>IF($C67="","",IF(ISNUMBER($AD67)*($AD67&lt;&gt;0)=0,"",$M67/$AD67))</f>
        <v/>
      </c>
      <c r="AM67" s="37">
        <f>IF($C67="","",IF(ISNUMBER($AE67)*ISNUMBER($AI67)=0,"",IF($AI67&gt;$AE67+0.05,"rising",IF($AI67&lt;$AE67-0.05,"falling","stable"))))</f>
        <v/>
      </c>
      <c r="AN67" s="81">
        <f>IF($C67="","",IF(PULL_FUND="N","",IF(COUNTIFS('Fund History'!$G$338:$G$342,"&gt;="&amp;DATE(YEAR_Y-4,1,1),'Fund History'!$G$338:$G$342,"&lt;="&amp;DATE(YEAR_Y-4,12,31))=0,"",SUMIFS('Fund History'!$H$338:$H$342,'Fund History'!$G$338:$G$342,"&gt;="&amp;DATE(YEAR_Y-4,1,1),'Fund History'!$G$338:$G$342,"&lt;="&amp;DATE(YEAR_Y-4,12,31))/100)))</f>
        <v/>
      </c>
      <c r="AO67" s="82">
        <f>IF($C67="","",IF(PULL_FUND="N","",IF(COUNTIFS('Fund History'!$G$338:$G$342,"&gt;="&amp;DATE(YEAR_Y-3,1,1),'Fund History'!$G$338:$G$342,"&lt;="&amp;DATE(YEAR_Y-3,12,31))=0,"",SUMIFS('Fund History'!$H$338:$H$342,'Fund History'!$G$338:$G$342,"&gt;="&amp;DATE(YEAR_Y-3,1,1),'Fund History'!$G$338:$G$342,"&lt;="&amp;DATE(YEAR_Y-3,12,31))/100)))</f>
        <v/>
      </c>
      <c r="AP67" s="82">
        <f>IF($C67="","",IF(PULL_FUND="N","",IF(COUNTIFS('Fund History'!$G$338:$G$342,"&gt;="&amp;DATE(YEAR_Y-2,1,1),'Fund History'!$G$338:$G$342,"&lt;="&amp;DATE(YEAR_Y-2,12,31))=0,"",SUMIFS('Fund History'!$H$338:$H$342,'Fund History'!$G$338:$G$342,"&gt;="&amp;DATE(YEAR_Y-2,1,1),'Fund History'!$G$338:$G$342,"&lt;="&amp;DATE(YEAR_Y-2,12,31))/100)))</f>
        <v/>
      </c>
      <c r="AQ67" s="82">
        <f>IF($C67="","",IF(PULL_FUND="N","",IF(COUNTIFS('Fund History'!$G$338:$G$342,"&gt;="&amp;DATE(YEAR_Y-1,1,1),'Fund History'!$G$338:$G$342,"&lt;="&amp;DATE(YEAR_Y-1,12,31))=0,"",SUMIFS('Fund History'!$H$338:$H$342,'Fund History'!$G$338:$G$342,"&gt;="&amp;DATE(YEAR_Y-1,1,1),'Fund History'!$G$338:$G$342,"&lt;="&amp;DATE(YEAR_Y-1,12,31))/100)))</f>
        <v/>
      </c>
      <c r="AR67" s="83">
        <f>IF($C67="","",IF(N($AQ67)+N(HSI!$I$62)=0,"",N($AQ67)+N(HSI!$I$62)/100))</f>
        <v/>
      </c>
      <c r="AS67" s="75">
        <f>IF($C67="","",IF(PULL_FUND="N","",IF(COUNTIFS('Fund History'!$D$338:$D$342,"&gt;="&amp;DATE(YEAR_Y-2,1,1),'Fund History'!$D$338:$D$342,"&lt;="&amp;DATE(YEAR_Y-2,12,31))=0,"",SUMIFS('Fund History'!$E$338:$E$342,'Fund History'!$D$338:$D$342,"&gt;="&amp;DATE(YEAR_Y-2,1,1),'Fund History'!$D$338:$D$342,"&lt;="&amp;DATE(YEAR_Y-2,12,31)))))</f>
        <v/>
      </c>
      <c r="AT67" s="76">
        <f>IF($C67="","",IF(PULL_FUND="N","",IF(COUNTIFS('Fund History'!$D$338:$D$342,"&gt;="&amp;DATE(YEAR_Y-1,1,1),'Fund History'!$D$338:$D$342,"&lt;="&amp;DATE(YEAR_Y-1,12,31))=0,"",SUMIFS('Fund History'!$E$338:$E$342,'Fund History'!$D$338:$D$342,"&gt;="&amp;DATE(YEAR_Y-1,1,1),'Fund History'!$D$338:$D$342,"&lt;="&amp;DATE(YEAR_Y-1,12,31)))))</f>
        <v/>
      </c>
      <c r="AU67" s="76">
        <f>IF($C67="","",IF(PULL_FUND="N","",IFERROR(BDP($C67,NDEBITDA_FIELD),"")))</f>
        <v/>
      </c>
      <c r="AV67" s="84">
        <f>IF($C67="","",IF(PULL_FUND="N","",IFERROR(BDP($C67,EBINT_FIELD),"")))</f>
        <v/>
      </c>
      <c r="AW67" s="82">
        <f>IF($C67="","",IF(PULL_FUND="N","",IFERROR(BDP($C67,FCF_FIELD)/100,"")))</f>
        <v/>
      </c>
      <c r="AX67" s="50">
        <f>IF($C67="","",IF(N($U67)=0,"",IFERROR($AW67/$U67,"")))</f>
        <v/>
      </c>
      <c r="AY67" s="85">
        <f>IF($C67="","",TRIM(IF(ISNUMBER($AJ67)*(N($AJ67)&gt;$D$4)&gt;0,"payout high  ","")&amp;IF(ISNUMBER($AX67)*(N($AX67)&lt;$F$4)&gt;0,"FCF below dvd  ","")&amp;IF(ISNUMBER($AU67)*(N($AU67)&gt;$H$4)&gt;0,"leverage high","")))</f>
        <v/>
      </c>
      <c r="AZ67" s="86">
        <f>IF($C67="","",IF(HSI!$F$62="HKD","",HSI!$F$62))</f>
        <v/>
      </c>
    </row>
    <row r="68">
      <c r="B68" s="66" t="inlineStr">
        <is>
          <t>HSI</t>
        </is>
      </c>
      <c r="C68" s="8">
        <f>IF(HSI!$C$63="","",HSI!$C$63)</f>
        <v/>
      </c>
      <c r="D68" s="8">
        <f>IF($C68="","",HSI!$D$63)</f>
        <v/>
      </c>
      <c r="E68" s="8">
        <f>IF($C68="","",HSI!$E$63)</f>
        <v/>
      </c>
      <c r="F68" s="67">
        <f>IF($C68="","",SUMPRODUCT(('Dvd Calendar'!$E$627:$AR$627&gt;=DATE(YEAR_Y-5,1,1))*('Dvd Calendar'!$E$627:$AR$627&lt;=DATE(YEAR_Y-5,12,31))*'Dvd Calendar'!$E$630:$AR$630*(('Dvd Calendar'!$E$632:$AR$632=TYPE1)*(TYPE1&lt;&gt;"")+('Dvd Calendar'!$E$632:$AR$632=TYPE2)*(TYPE2&lt;&gt;"")+('Dvd Calendar'!$E$632:$AR$632=TYPE3)*(TYPE3&lt;&gt;"")+('Dvd Calendar'!$E$632:$AR$632=TYPE4)*(TYPE4&lt;&gt;"")+('Dvd Calendar'!$E$632:$AR$632=SPECIAL_LBL)*(INC_SPECIALS="Y"))))</f>
        <v/>
      </c>
      <c r="G68" s="68">
        <f>IF($C68="","",SUMPRODUCT(('Dvd Calendar'!$E$627:$AR$627&gt;=DATE(YEAR_Y-4,1,1))*('Dvd Calendar'!$E$627:$AR$627&lt;=DATE(YEAR_Y-4,12,31))*'Dvd Calendar'!$E$630:$AR$630*(('Dvd Calendar'!$E$632:$AR$632=TYPE1)*(TYPE1&lt;&gt;"")+('Dvd Calendar'!$E$632:$AR$632=TYPE2)*(TYPE2&lt;&gt;"")+('Dvd Calendar'!$E$632:$AR$632=TYPE3)*(TYPE3&lt;&gt;"")+('Dvd Calendar'!$E$632:$AR$632=TYPE4)*(TYPE4&lt;&gt;"")+('Dvd Calendar'!$E$632:$AR$632=SPECIAL_LBL)*(INC_SPECIALS="Y"))))</f>
        <v/>
      </c>
      <c r="H68" s="68">
        <f>IF($C68="","",SUMPRODUCT(('Dvd Calendar'!$E$627:$AR$627&gt;=DATE(YEAR_Y-3,1,1))*('Dvd Calendar'!$E$627:$AR$627&lt;=DATE(YEAR_Y-3,12,31))*'Dvd Calendar'!$E$630:$AR$630*(('Dvd Calendar'!$E$632:$AR$632=TYPE1)*(TYPE1&lt;&gt;"")+('Dvd Calendar'!$E$632:$AR$632=TYPE2)*(TYPE2&lt;&gt;"")+('Dvd Calendar'!$E$632:$AR$632=TYPE3)*(TYPE3&lt;&gt;"")+('Dvd Calendar'!$E$632:$AR$632=TYPE4)*(TYPE4&lt;&gt;"")+('Dvd Calendar'!$E$632:$AR$632=SPECIAL_LBL)*(INC_SPECIALS="Y"))))</f>
        <v/>
      </c>
      <c r="I68" s="68">
        <f>IF($C68="","",SUMPRODUCT(('Dvd Calendar'!$E$627:$AR$627&gt;=DATE(YEAR_Y-2,1,1))*('Dvd Calendar'!$E$627:$AR$627&lt;=DATE(YEAR_Y-2,12,31))*'Dvd Calendar'!$E$630:$AR$630*(('Dvd Calendar'!$E$632:$AR$632=TYPE1)*(TYPE1&lt;&gt;"")+('Dvd Calendar'!$E$632:$AR$632=TYPE2)*(TYPE2&lt;&gt;"")+('Dvd Calendar'!$E$632:$AR$632=TYPE3)*(TYPE3&lt;&gt;"")+('Dvd Calendar'!$E$632:$AR$632=TYPE4)*(TYPE4&lt;&gt;"")+('Dvd Calendar'!$E$632:$AR$632=SPECIAL_LBL)*(INC_SPECIALS="Y"))))</f>
        <v/>
      </c>
      <c r="J68" s="68">
        <f>IF($C68="","",SUMPRODUCT(('Dvd Calendar'!$E$627:$AR$627&gt;=DATE(YEAR_Y-1,1,1))*('Dvd Calendar'!$E$627:$AR$627&lt;=DATE(YEAR_Y-1,12,31))*'Dvd Calendar'!$E$630:$AR$630*(('Dvd Calendar'!$E$632:$AR$632=TYPE1)*(TYPE1&lt;&gt;"")+('Dvd Calendar'!$E$632:$AR$632=TYPE2)*(TYPE2&lt;&gt;"")+('Dvd Calendar'!$E$632:$AR$632=TYPE3)*(TYPE3&lt;&gt;"")+('Dvd Calendar'!$E$632:$AR$632=TYPE4)*(TYPE4&lt;&gt;"")+('Dvd Calendar'!$E$632:$AR$632=SPECIAL_LBL)*(INC_SPECIALS="Y"))))</f>
        <v/>
      </c>
      <c r="K68" s="69">
        <f>IF($C68="","",HSI!$J$63)</f>
        <v/>
      </c>
      <c r="L68" s="69">
        <f>IF($C68="","",HSI!$K$63)</f>
        <v/>
      </c>
      <c r="M68" s="44">
        <f>IF($C68="","",HSI!$J$63+HSI!$L$63)</f>
        <v/>
      </c>
      <c r="N68" s="70">
        <f>IF($C68="","",IF(PULL_FUND="N","",IFERROR(BDP($C68,BESTDPS_FIELD,FWD_OVERRIDE,TEXT(MOD(YEAR_Y,100),"00")&amp;"Y"),"")))</f>
        <v/>
      </c>
      <c r="O68" s="69">
        <f>IF($C68="","",AVERAGE(F68:J68))</f>
        <v/>
      </c>
      <c r="P68" s="71">
        <f>IF($C68="","",IF(PULL_FUND="N","",IF(COUNTIFS('Fund History'!$J$344:$J$348,"&gt;="&amp;DATE(YEAR_Y-5,1,1),'Fund History'!$J$344:$J$348,"&lt;="&amp;DATE(YEAR_Y-5,12,31))=0,"",IFERROR($F68*HSI!$G$63/SUMIFS('Fund History'!$K$344:$K$348,'Fund History'!$J$344:$J$348,"&gt;="&amp;DATE(YEAR_Y-5,1,1),'Fund History'!$J$344:$J$348,"&lt;="&amp;DATE(YEAR_Y-5,12,31)),""))))</f>
        <v/>
      </c>
      <c r="Q68" s="72">
        <f>IF($C68="","",IF(PULL_FUND="N","",IF(COUNTIFS('Fund History'!$J$344:$J$348,"&gt;="&amp;DATE(YEAR_Y-4,1,1),'Fund History'!$J$344:$J$348,"&lt;="&amp;DATE(YEAR_Y-4,12,31))=0,"",IFERROR($G68*HSI!$G$63/SUMIFS('Fund History'!$K$344:$K$348,'Fund History'!$J$344:$J$348,"&gt;="&amp;DATE(YEAR_Y-4,1,1),'Fund History'!$J$344:$J$348,"&lt;="&amp;DATE(YEAR_Y-4,12,31)),""))))</f>
        <v/>
      </c>
      <c r="R68" s="72">
        <f>IF($C68="","",IF(PULL_FUND="N","",IF(COUNTIFS('Fund History'!$J$344:$J$348,"&gt;="&amp;DATE(YEAR_Y-3,1,1),'Fund History'!$J$344:$J$348,"&lt;="&amp;DATE(YEAR_Y-3,12,31))=0,"",IFERROR($H68*HSI!$G$63/SUMIFS('Fund History'!$K$344:$K$348,'Fund History'!$J$344:$J$348,"&gt;="&amp;DATE(YEAR_Y-3,1,1),'Fund History'!$J$344:$J$348,"&lt;="&amp;DATE(YEAR_Y-3,12,31)),""))))</f>
        <v/>
      </c>
      <c r="S68" s="72">
        <f>IF($C68="","",IF(PULL_FUND="N","",IF(COUNTIFS('Fund History'!$J$344:$J$348,"&gt;="&amp;DATE(YEAR_Y-2,1,1),'Fund History'!$J$344:$J$348,"&lt;="&amp;DATE(YEAR_Y-2,12,31))=0,"",IFERROR($I68*HSI!$G$63/SUMIFS('Fund History'!$K$344:$K$348,'Fund History'!$J$344:$J$348,"&gt;="&amp;DATE(YEAR_Y-2,1,1),'Fund History'!$J$344:$J$348,"&lt;="&amp;DATE(YEAR_Y-2,12,31)),""))))</f>
        <v/>
      </c>
      <c r="T68" s="72">
        <f>IF($C68="","",IF(PULL_FUND="N","",IF(COUNTIFS('Fund History'!$J$344:$J$348,"&gt;="&amp;DATE(YEAR_Y-1,1,1),'Fund History'!$J$344:$J$348,"&lt;="&amp;DATE(YEAR_Y-1,12,31))=0,"",IFERROR($J68*HSI!$G$63/SUMIFS('Fund History'!$K$344:$K$348,'Fund History'!$J$344:$J$348,"&gt;="&amp;DATE(YEAR_Y-1,1,1),'Fund History'!$J$344:$J$348,"&lt;="&amp;DATE(YEAR_Y-1,12,31)),""))))</f>
        <v/>
      </c>
      <c r="U68" s="73">
        <f>IF($C68="","",IF(ISNUMBER(HSI!$I$63),HSI!$I$63/100,""))</f>
        <v/>
      </c>
      <c r="V68" s="74">
        <f>IF($C68="","",IF(ISNUMBER(HSI!$X$63),IFERROR($M68*HSI!$G$63/HSI!$X$63,""),""))</f>
        <v/>
      </c>
      <c r="W68" s="73">
        <f>IF($C68="","",IF(ISNUMBER($N68),IFERROR($N68*HSI!$G$63/HSI!$X$63,""),""))</f>
        <v/>
      </c>
      <c r="X68" s="75">
        <f>IF($C68="","",IF(PULL_FUND="N","",IFERROR(BDP($C68,EPS_FIELD,YR_OVERRIDE,TEXT(YEAR_Y-5,"0")),"")))</f>
        <v/>
      </c>
      <c r="Y68" s="76">
        <f>IF($C68="","",IF(PULL_FUND="N","",IFERROR(BDP($C68,EPS_FIELD,YR_OVERRIDE,TEXT(YEAR_Y-4,"0")),"")))</f>
        <v/>
      </c>
      <c r="Z68" s="76">
        <f>IF($C68="","",IF(PULL_FUND="N","",IFERROR(BDP($C68,EPS_FIELD,YR_OVERRIDE,TEXT(YEAR_Y-3,"0")),"")))</f>
        <v/>
      </c>
      <c r="AA68" s="76">
        <f>IF($C68="","",IF(PULL_FUND="N","",IFERROR(BDP($C68,EPS_FIELD,YR_OVERRIDE,TEXT(YEAR_Y-2,"0")),"")))</f>
        <v/>
      </c>
      <c r="AB68" s="76">
        <f>IF($C68="","",IF(PULL_FUND="N","",IFERROR(BDP($C68,EPS_FIELD,YR_OVERRIDE,TEXT(YEAR_Y-1,"0")),"")))</f>
        <v/>
      </c>
      <c r="AC68" s="50">
        <f>IF($C68="","",IFERROR(AVERAGE(X68:AB68),""))</f>
        <v/>
      </c>
      <c r="AD68" s="76">
        <f>IF($C68="","",IF(PULL_FUND="N","",IFERROR(BDP($C68,BESTEPS_FIELD,FWD_OVERRIDE,TEXT(MOD(YEAR_Y,100),"00")&amp;"Y"),"")))</f>
        <v/>
      </c>
      <c r="AE68" s="77">
        <f>IF($C68="","",IF(PULL_FUND="N","",IFERROR(BDP($C68,PAYOUT_FIELD,YR_OVERRIDE,TEXT(YEAR_Y-5,"0"))/100,"")))</f>
        <v/>
      </c>
      <c r="AF68" s="78">
        <f>IF($C68="","",IF(PULL_FUND="N","",IFERROR(BDP($C68,PAYOUT_FIELD,YR_OVERRIDE,TEXT(YEAR_Y-4,"0"))/100,"")))</f>
        <v/>
      </c>
      <c r="AG68" s="78">
        <f>IF($C68="","",IF(PULL_FUND="N","",IFERROR(BDP($C68,PAYOUT_FIELD,YR_OVERRIDE,TEXT(YEAR_Y-3,"0"))/100,"")))</f>
        <v/>
      </c>
      <c r="AH68" s="78">
        <f>IF($C68="","",IF(PULL_FUND="N","",IFERROR(BDP($C68,PAYOUT_FIELD,YR_OVERRIDE,TEXT(YEAR_Y-2,"0"))/100,"")))</f>
        <v/>
      </c>
      <c r="AI68" s="78">
        <f>IF($C68="","",IF(PULL_FUND="N","",IFERROR(BDP($C68,PAYOUT_FIELD,YR_OVERRIDE,TEXT(YEAR_Y-1,"0"))/100,"")))</f>
        <v/>
      </c>
      <c r="AJ68" s="79">
        <f>IF($C68="","",IFERROR(AVERAGE(AE68:AI68),""))</f>
        <v/>
      </c>
      <c r="AK68" s="80">
        <f>IF($C68="","",IF(ISNUMBER($AD68)*ISNUMBER($N68)*($AD68&lt;&gt;0)=0,"",$N68/$AD68))</f>
        <v/>
      </c>
      <c r="AL68" s="79">
        <f>IF($C68="","",IF(ISNUMBER($AD68)*($AD68&lt;&gt;0)=0,"",$M68/$AD68))</f>
        <v/>
      </c>
      <c r="AM68" s="37">
        <f>IF($C68="","",IF(ISNUMBER($AE68)*ISNUMBER($AI68)=0,"",IF($AI68&gt;$AE68+0.05,"rising",IF($AI68&lt;$AE68-0.05,"falling","stable"))))</f>
        <v/>
      </c>
      <c r="AN68" s="81">
        <f>IF($C68="","",IF(PULL_FUND="N","",IF(COUNTIFS('Fund History'!$G$344:$G$348,"&gt;="&amp;DATE(YEAR_Y-4,1,1),'Fund History'!$G$344:$G$348,"&lt;="&amp;DATE(YEAR_Y-4,12,31))=0,"",SUMIFS('Fund History'!$H$344:$H$348,'Fund History'!$G$344:$G$348,"&gt;="&amp;DATE(YEAR_Y-4,1,1),'Fund History'!$G$344:$G$348,"&lt;="&amp;DATE(YEAR_Y-4,12,31))/100)))</f>
        <v/>
      </c>
      <c r="AO68" s="82">
        <f>IF($C68="","",IF(PULL_FUND="N","",IF(COUNTIFS('Fund History'!$G$344:$G$348,"&gt;="&amp;DATE(YEAR_Y-3,1,1),'Fund History'!$G$344:$G$348,"&lt;="&amp;DATE(YEAR_Y-3,12,31))=0,"",SUMIFS('Fund History'!$H$344:$H$348,'Fund History'!$G$344:$G$348,"&gt;="&amp;DATE(YEAR_Y-3,1,1),'Fund History'!$G$344:$G$348,"&lt;="&amp;DATE(YEAR_Y-3,12,31))/100)))</f>
        <v/>
      </c>
      <c r="AP68" s="82">
        <f>IF($C68="","",IF(PULL_FUND="N","",IF(COUNTIFS('Fund History'!$G$344:$G$348,"&gt;="&amp;DATE(YEAR_Y-2,1,1),'Fund History'!$G$344:$G$348,"&lt;="&amp;DATE(YEAR_Y-2,12,31))=0,"",SUMIFS('Fund History'!$H$344:$H$348,'Fund History'!$G$344:$G$348,"&gt;="&amp;DATE(YEAR_Y-2,1,1),'Fund History'!$G$344:$G$348,"&lt;="&amp;DATE(YEAR_Y-2,12,31))/100)))</f>
        <v/>
      </c>
      <c r="AQ68" s="82">
        <f>IF($C68="","",IF(PULL_FUND="N","",IF(COUNTIFS('Fund History'!$G$344:$G$348,"&gt;="&amp;DATE(YEAR_Y-1,1,1),'Fund History'!$G$344:$G$348,"&lt;="&amp;DATE(YEAR_Y-1,12,31))=0,"",SUMIFS('Fund History'!$H$344:$H$348,'Fund History'!$G$344:$G$348,"&gt;="&amp;DATE(YEAR_Y-1,1,1),'Fund History'!$G$344:$G$348,"&lt;="&amp;DATE(YEAR_Y-1,12,31))/100)))</f>
        <v/>
      </c>
      <c r="AR68" s="83">
        <f>IF($C68="","",IF(N($AQ68)+N(HSI!$I$63)=0,"",N($AQ68)+N(HSI!$I$63)/100))</f>
        <v/>
      </c>
      <c r="AS68" s="75">
        <f>IF($C68="","",IF(PULL_FUND="N","",IF(COUNTIFS('Fund History'!$D$344:$D$348,"&gt;="&amp;DATE(YEAR_Y-2,1,1),'Fund History'!$D$344:$D$348,"&lt;="&amp;DATE(YEAR_Y-2,12,31))=0,"",SUMIFS('Fund History'!$E$344:$E$348,'Fund History'!$D$344:$D$348,"&gt;="&amp;DATE(YEAR_Y-2,1,1),'Fund History'!$D$344:$D$348,"&lt;="&amp;DATE(YEAR_Y-2,12,31)))))</f>
        <v/>
      </c>
      <c r="AT68" s="76">
        <f>IF($C68="","",IF(PULL_FUND="N","",IF(COUNTIFS('Fund History'!$D$344:$D$348,"&gt;="&amp;DATE(YEAR_Y-1,1,1),'Fund History'!$D$344:$D$348,"&lt;="&amp;DATE(YEAR_Y-1,12,31))=0,"",SUMIFS('Fund History'!$E$344:$E$348,'Fund History'!$D$344:$D$348,"&gt;="&amp;DATE(YEAR_Y-1,1,1),'Fund History'!$D$344:$D$348,"&lt;="&amp;DATE(YEAR_Y-1,12,31)))))</f>
        <v/>
      </c>
      <c r="AU68" s="76">
        <f>IF($C68="","",IF(PULL_FUND="N","",IFERROR(BDP($C68,NDEBITDA_FIELD),"")))</f>
        <v/>
      </c>
      <c r="AV68" s="84">
        <f>IF($C68="","",IF(PULL_FUND="N","",IFERROR(BDP($C68,EBINT_FIELD),"")))</f>
        <v/>
      </c>
      <c r="AW68" s="82">
        <f>IF($C68="","",IF(PULL_FUND="N","",IFERROR(BDP($C68,FCF_FIELD)/100,"")))</f>
        <v/>
      </c>
      <c r="AX68" s="50">
        <f>IF($C68="","",IF(N($U68)=0,"",IFERROR($AW68/$U68,"")))</f>
        <v/>
      </c>
      <c r="AY68" s="85">
        <f>IF($C68="","",TRIM(IF(ISNUMBER($AJ68)*(N($AJ68)&gt;$D$4)&gt;0,"payout high  ","")&amp;IF(ISNUMBER($AX68)*(N($AX68)&lt;$F$4)&gt;0,"FCF below dvd  ","")&amp;IF(ISNUMBER($AU68)*(N($AU68)&gt;$H$4)&gt;0,"leverage high","")))</f>
        <v/>
      </c>
      <c r="AZ68" s="86">
        <f>IF($C68="","",IF(HSI!$F$63="HKD","",HSI!$F$63))</f>
        <v/>
      </c>
    </row>
    <row r="69">
      <c r="B69" s="66" t="inlineStr">
        <is>
          <t>HSI</t>
        </is>
      </c>
      <c r="C69" s="8">
        <f>IF(HSI!$C$64="","",HSI!$C$64)</f>
        <v/>
      </c>
      <c r="D69" s="8">
        <f>IF($C69="","",HSI!$D$64)</f>
        <v/>
      </c>
      <c r="E69" s="8">
        <f>IF($C69="","",HSI!$E$64)</f>
        <v/>
      </c>
      <c r="F69" s="67">
        <f>IF($C69="","",SUMPRODUCT(('Dvd Calendar'!$E$638:$AR$638&gt;=DATE(YEAR_Y-5,1,1))*('Dvd Calendar'!$E$638:$AR$638&lt;=DATE(YEAR_Y-5,12,31))*'Dvd Calendar'!$E$641:$AR$641*(('Dvd Calendar'!$E$643:$AR$643=TYPE1)*(TYPE1&lt;&gt;"")+('Dvd Calendar'!$E$643:$AR$643=TYPE2)*(TYPE2&lt;&gt;"")+('Dvd Calendar'!$E$643:$AR$643=TYPE3)*(TYPE3&lt;&gt;"")+('Dvd Calendar'!$E$643:$AR$643=TYPE4)*(TYPE4&lt;&gt;"")+('Dvd Calendar'!$E$643:$AR$643=SPECIAL_LBL)*(INC_SPECIALS="Y"))))</f>
        <v/>
      </c>
      <c r="G69" s="68">
        <f>IF($C69="","",SUMPRODUCT(('Dvd Calendar'!$E$638:$AR$638&gt;=DATE(YEAR_Y-4,1,1))*('Dvd Calendar'!$E$638:$AR$638&lt;=DATE(YEAR_Y-4,12,31))*'Dvd Calendar'!$E$641:$AR$641*(('Dvd Calendar'!$E$643:$AR$643=TYPE1)*(TYPE1&lt;&gt;"")+('Dvd Calendar'!$E$643:$AR$643=TYPE2)*(TYPE2&lt;&gt;"")+('Dvd Calendar'!$E$643:$AR$643=TYPE3)*(TYPE3&lt;&gt;"")+('Dvd Calendar'!$E$643:$AR$643=TYPE4)*(TYPE4&lt;&gt;"")+('Dvd Calendar'!$E$643:$AR$643=SPECIAL_LBL)*(INC_SPECIALS="Y"))))</f>
        <v/>
      </c>
      <c r="H69" s="68">
        <f>IF($C69="","",SUMPRODUCT(('Dvd Calendar'!$E$638:$AR$638&gt;=DATE(YEAR_Y-3,1,1))*('Dvd Calendar'!$E$638:$AR$638&lt;=DATE(YEAR_Y-3,12,31))*'Dvd Calendar'!$E$641:$AR$641*(('Dvd Calendar'!$E$643:$AR$643=TYPE1)*(TYPE1&lt;&gt;"")+('Dvd Calendar'!$E$643:$AR$643=TYPE2)*(TYPE2&lt;&gt;"")+('Dvd Calendar'!$E$643:$AR$643=TYPE3)*(TYPE3&lt;&gt;"")+('Dvd Calendar'!$E$643:$AR$643=TYPE4)*(TYPE4&lt;&gt;"")+('Dvd Calendar'!$E$643:$AR$643=SPECIAL_LBL)*(INC_SPECIALS="Y"))))</f>
        <v/>
      </c>
      <c r="I69" s="68">
        <f>IF($C69="","",SUMPRODUCT(('Dvd Calendar'!$E$638:$AR$638&gt;=DATE(YEAR_Y-2,1,1))*('Dvd Calendar'!$E$638:$AR$638&lt;=DATE(YEAR_Y-2,12,31))*'Dvd Calendar'!$E$641:$AR$641*(('Dvd Calendar'!$E$643:$AR$643=TYPE1)*(TYPE1&lt;&gt;"")+('Dvd Calendar'!$E$643:$AR$643=TYPE2)*(TYPE2&lt;&gt;"")+('Dvd Calendar'!$E$643:$AR$643=TYPE3)*(TYPE3&lt;&gt;"")+('Dvd Calendar'!$E$643:$AR$643=TYPE4)*(TYPE4&lt;&gt;"")+('Dvd Calendar'!$E$643:$AR$643=SPECIAL_LBL)*(INC_SPECIALS="Y"))))</f>
        <v/>
      </c>
      <c r="J69" s="68">
        <f>IF($C69="","",SUMPRODUCT(('Dvd Calendar'!$E$638:$AR$638&gt;=DATE(YEAR_Y-1,1,1))*('Dvd Calendar'!$E$638:$AR$638&lt;=DATE(YEAR_Y-1,12,31))*'Dvd Calendar'!$E$641:$AR$641*(('Dvd Calendar'!$E$643:$AR$643=TYPE1)*(TYPE1&lt;&gt;"")+('Dvd Calendar'!$E$643:$AR$643=TYPE2)*(TYPE2&lt;&gt;"")+('Dvd Calendar'!$E$643:$AR$643=TYPE3)*(TYPE3&lt;&gt;"")+('Dvd Calendar'!$E$643:$AR$643=TYPE4)*(TYPE4&lt;&gt;"")+('Dvd Calendar'!$E$643:$AR$643=SPECIAL_LBL)*(INC_SPECIALS="Y"))))</f>
        <v/>
      </c>
      <c r="K69" s="69">
        <f>IF($C69="","",HSI!$J$64)</f>
        <v/>
      </c>
      <c r="L69" s="69">
        <f>IF($C69="","",HSI!$K$64)</f>
        <v/>
      </c>
      <c r="M69" s="44">
        <f>IF($C69="","",HSI!$J$64+HSI!$L$64)</f>
        <v/>
      </c>
      <c r="N69" s="70">
        <f>IF($C69="","",IF(PULL_FUND="N","",IFERROR(BDP($C69,BESTDPS_FIELD,FWD_OVERRIDE,TEXT(MOD(YEAR_Y,100),"00")&amp;"Y"),"")))</f>
        <v/>
      </c>
      <c r="O69" s="69">
        <f>IF($C69="","",AVERAGE(F69:J69))</f>
        <v/>
      </c>
      <c r="P69" s="71">
        <f>IF($C69="","",IF(PULL_FUND="N","",IF(COUNTIFS('Fund History'!$J$350:$J$354,"&gt;="&amp;DATE(YEAR_Y-5,1,1),'Fund History'!$J$350:$J$354,"&lt;="&amp;DATE(YEAR_Y-5,12,31))=0,"",IFERROR($F69*HSI!$G$64/SUMIFS('Fund History'!$K$350:$K$354,'Fund History'!$J$350:$J$354,"&gt;="&amp;DATE(YEAR_Y-5,1,1),'Fund History'!$J$350:$J$354,"&lt;="&amp;DATE(YEAR_Y-5,12,31)),""))))</f>
        <v/>
      </c>
      <c r="Q69" s="72">
        <f>IF($C69="","",IF(PULL_FUND="N","",IF(COUNTIFS('Fund History'!$J$350:$J$354,"&gt;="&amp;DATE(YEAR_Y-4,1,1),'Fund History'!$J$350:$J$354,"&lt;="&amp;DATE(YEAR_Y-4,12,31))=0,"",IFERROR($G69*HSI!$G$64/SUMIFS('Fund History'!$K$350:$K$354,'Fund History'!$J$350:$J$354,"&gt;="&amp;DATE(YEAR_Y-4,1,1),'Fund History'!$J$350:$J$354,"&lt;="&amp;DATE(YEAR_Y-4,12,31)),""))))</f>
        <v/>
      </c>
      <c r="R69" s="72">
        <f>IF($C69="","",IF(PULL_FUND="N","",IF(COUNTIFS('Fund History'!$J$350:$J$354,"&gt;="&amp;DATE(YEAR_Y-3,1,1),'Fund History'!$J$350:$J$354,"&lt;="&amp;DATE(YEAR_Y-3,12,31))=0,"",IFERROR($H69*HSI!$G$64/SUMIFS('Fund History'!$K$350:$K$354,'Fund History'!$J$350:$J$354,"&gt;="&amp;DATE(YEAR_Y-3,1,1),'Fund History'!$J$350:$J$354,"&lt;="&amp;DATE(YEAR_Y-3,12,31)),""))))</f>
        <v/>
      </c>
      <c r="S69" s="72">
        <f>IF($C69="","",IF(PULL_FUND="N","",IF(COUNTIFS('Fund History'!$J$350:$J$354,"&gt;="&amp;DATE(YEAR_Y-2,1,1),'Fund History'!$J$350:$J$354,"&lt;="&amp;DATE(YEAR_Y-2,12,31))=0,"",IFERROR($I69*HSI!$G$64/SUMIFS('Fund History'!$K$350:$K$354,'Fund History'!$J$350:$J$354,"&gt;="&amp;DATE(YEAR_Y-2,1,1),'Fund History'!$J$350:$J$354,"&lt;="&amp;DATE(YEAR_Y-2,12,31)),""))))</f>
        <v/>
      </c>
      <c r="T69" s="72">
        <f>IF($C69="","",IF(PULL_FUND="N","",IF(COUNTIFS('Fund History'!$J$350:$J$354,"&gt;="&amp;DATE(YEAR_Y-1,1,1),'Fund History'!$J$350:$J$354,"&lt;="&amp;DATE(YEAR_Y-1,12,31))=0,"",IFERROR($J69*HSI!$G$64/SUMIFS('Fund History'!$K$350:$K$354,'Fund History'!$J$350:$J$354,"&gt;="&amp;DATE(YEAR_Y-1,1,1),'Fund History'!$J$350:$J$354,"&lt;="&amp;DATE(YEAR_Y-1,12,31)),""))))</f>
        <v/>
      </c>
      <c r="U69" s="73">
        <f>IF($C69="","",IF(ISNUMBER(HSI!$I$64),HSI!$I$64/100,""))</f>
        <v/>
      </c>
      <c r="V69" s="74">
        <f>IF($C69="","",IF(ISNUMBER(HSI!$X$64),IFERROR($M69*HSI!$G$64/HSI!$X$64,""),""))</f>
        <v/>
      </c>
      <c r="W69" s="73">
        <f>IF($C69="","",IF(ISNUMBER($N69),IFERROR($N69*HSI!$G$64/HSI!$X$64,""),""))</f>
        <v/>
      </c>
      <c r="X69" s="75">
        <f>IF($C69="","",IF(PULL_FUND="N","",IFERROR(BDP($C69,EPS_FIELD,YR_OVERRIDE,TEXT(YEAR_Y-5,"0")),"")))</f>
        <v/>
      </c>
      <c r="Y69" s="76">
        <f>IF($C69="","",IF(PULL_FUND="N","",IFERROR(BDP($C69,EPS_FIELD,YR_OVERRIDE,TEXT(YEAR_Y-4,"0")),"")))</f>
        <v/>
      </c>
      <c r="Z69" s="76">
        <f>IF($C69="","",IF(PULL_FUND="N","",IFERROR(BDP($C69,EPS_FIELD,YR_OVERRIDE,TEXT(YEAR_Y-3,"0")),"")))</f>
        <v/>
      </c>
      <c r="AA69" s="76">
        <f>IF($C69="","",IF(PULL_FUND="N","",IFERROR(BDP($C69,EPS_FIELD,YR_OVERRIDE,TEXT(YEAR_Y-2,"0")),"")))</f>
        <v/>
      </c>
      <c r="AB69" s="76">
        <f>IF($C69="","",IF(PULL_FUND="N","",IFERROR(BDP($C69,EPS_FIELD,YR_OVERRIDE,TEXT(YEAR_Y-1,"0")),"")))</f>
        <v/>
      </c>
      <c r="AC69" s="50">
        <f>IF($C69="","",IFERROR(AVERAGE(X69:AB69),""))</f>
        <v/>
      </c>
      <c r="AD69" s="76">
        <f>IF($C69="","",IF(PULL_FUND="N","",IFERROR(BDP($C69,BESTEPS_FIELD,FWD_OVERRIDE,TEXT(MOD(YEAR_Y,100),"00")&amp;"Y"),"")))</f>
        <v/>
      </c>
      <c r="AE69" s="77">
        <f>IF($C69="","",IF(PULL_FUND="N","",IFERROR(BDP($C69,PAYOUT_FIELD,YR_OVERRIDE,TEXT(YEAR_Y-5,"0"))/100,"")))</f>
        <v/>
      </c>
      <c r="AF69" s="78">
        <f>IF($C69="","",IF(PULL_FUND="N","",IFERROR(BDP($C69,PAYOUT_FIELD,YR_OVERRIDE,TEXT(YEAR_Y-4,"0"))/100,"")))</f>
        <v/>
      </c>
      <c r="AG69" s="78">
        <f>IF($C69="","",IF(PULL_FUND="N","",IFERROR(BDP($C69,PAYOUT_FIELD,YR_OVERRIDE,TEXT(YEAR_Y-3,"0"))/100,"")))</f>
        <v/>
      </c>
      <c r="AH69" s="78">
        <f>IF($C69="","",IF(PULL_FUND="N","",IFERROR(BDP($C69,PAYOUT_FIELD,YR_OVERRIDE,TEXT(YEAR_Y-2,"0"))/100,"")))</f>
        <v/>
      </c>
      <c r="AI69" s="78">
        <f>IF($C69="","",IF(PULL_FUND="N","",IFERROR(BDP($C69,PAYOUT_FIELD,YR_OVERRIDE,TEXT(YEAR_Y-1,"0"))/100,"")))</f>
        <v/>
      </c>
      <c r="AJ69" s="79">
        <f>IF($C69="","",IFERROR(AVERAGE(AE69:AI69),""))</f>
        <v/>
      </c>
      <c r="AK69" s="80">
        <f>IF($C69="","",IF(ISNUMBER($AD69)*ISNUMBER($N69)*($AD69&lt;&gt;0)=0,"",$N69/$AD69))</f>
        <v/>
      </c>
      <c r="AL69" s="79">
        <f>IF($C69="","",IF(ISNUMBER($AD69)*($AD69&lt;&gt;0)=0,"",$M69/$AD69))</f>
        <v/>
      </c>
      <c r="AM69" s="37">
        <f>IF($C69="","",IF(ISNUMBER($AE69)*ISNUMBER($AI69)=0,"",IF($AI69&gt;$AE69+0.05,"rising",IF($AI69&lt;$AE69-0.05,"falling","stable"))))</f>
        <v/>
      </c>
      <c r="AN69" s="81">
        <f>IF($C69="","",IF(PULL_FUND="N","",IF(COUNTIFS('Fund History'!$G$350:$G$354,"&gt;="&amp;DATE(YEAR_Y-4,1,1),'Fund History'!$G$350:$G$354,"&lt;="&amp;DATE(YEAR_Y-4,12,31))=0,"",SUMIFS('Fund History'!$H$350:$H$354,'Fund History'!$G$350:$G$354,"&gt;="&amp;DATE(YEAR_Y-4,1,1),'Fund History'!$G$350:$G$354,"&lt;="&amp;DATE(YEAR_Y-4,12,31))/100)))</f>
        <v/>
      </c>
      <c r="AO69" s="82">
        <f>IF($C69="","",IF(PULL_FUND="N","",IF(COUNTIFS('Fund History'!$G$350:$G$354,"&gt;="&amp;DATE(YEAR_Y-3,1,1),'Fund History'!$G$350:$G$354,"&lt;="&amp;DATE(YEAR_Y-3,12,31))=0,"",SUMIFS('Fund History'!$H$350:$H$354,'Fund History'!$G$350:$G$354,"&gt;="&amp;DATE(YEAR_Y-3,1,1),'Fund History'!$G$350:$G$354,"&lt;="&amp;DATE(YEAR_Y-3,12,31))/100)))</f>
        <v/>
      </c>
      <c r="AP69" s="82">
        <f>IF($C69="","",IF(PULL_FUND="N","",IF(COUNTIFS('Fund History'!$G$350:$G$354,"&gt;="&amp;DATE(YEAR_Y-2,1,1),'Fund History'!$G$350:$G$354,"&lt;="&amp;DATE(YEAR_Y-2,12,31))=0,"",SUMIFS('Fund History'!$H$350:$H$354,'Fund History'!$G$350:$G$354,"&gt;="&amp;DATE(YEAR_Y-2,1,1),'Fund History'!$G$350:$G$354,"&lt;="&amp;DATE(YEAR_Y-2,12,31))/100)))</f>
        <v/>
      </c>
      <c r="AQ69" s="82">
        <f>IF($C69="","",IF(PULL_FUND="N","",IF(COUNTIFS('Fund History'!$G$350:$G$354,"&gt;="&amp;DATE(YEAR_Y-1,1,1),'Fund History'!$G$350:$G$354,"&lt;="&amp;DATE(YEAR_Y-1,12,31))=0,"",SUMIFS('Fund History'!$H$350:$H$354,'Fund History'!$G$350:$G$354,"&gt;="&amp;DATE(YEAR_Y-1,1,1),'Fund History'!$G$350:$G$354,"&lt;="&amp;DATE(YEAR_Y-1,12,31))/100)))</f>
        <v/>
      </c>
      <c r="AR69" s="83">
        <f>IF($C69="","",IF(N($AQ69)+N(HSI!$I$64)=0,"",N($AQ69)+N(HSI!$I$64)/100))</f>
        <v/>
      </c>
      <c r="AS69" s="75">
        <f>IF($C69="","",IF(PULL_FUND="N","",IF(COUNTIFS('Fund History'!$D$350:$D$354,"&gt;="&amp;DATE(YEAR_Y-2,1,1),'Fund History'!$D$350:$D$354,"&lt;="&amp;DATE(YEAR_Y-2,12,31))=0,"",SUMIFS('Fund History'!$E$350:$E$354,'Fund History'!$D$350:$D$354,"&gt;="&amp;DATE(YEAR_Y-2,1,1),'Fund History'!$D$350:$D$354,"&lt;="&amp;DATE(YEAR_Y-2,12,31)))))</f>
        <v/>
      </c>
      <c r="AT69" s="76">
        <f>IF($C69="","",IF(PULL_FUND="N","",IF(COUNTIFS('Fund History'!$D$350:$D$354,"&gt;="&amp;DATE(YEAR_Y-1,1,1),'Fund History'!$D$350:$D$354,"&lt;="&amp;DATE(YEAR_Y-1,12,31))=0,"",SUMIFS('Fund History'!$E$350:$E$354,'Fund History'!$D$350:$D$354,"&gt;="&amp;DATE(YEAR_Y-1,1,1),'Fund History'!$D$350:$D$354,"&lt;="&amp;DATE(YEAR_Y-1,12,31)))))</f>
        <v/>
      </c>
      <c r="AU69" s="76">
        <f>IF($C69="","",IF(PULL_FUND="N","",IFERROR(BDP($C69,NDEBITDA_FIELD),"")))</f>
        <v/>
      </c>
      <c r="AV69" s="84">
        <f>IF($C69="","",IF(PULL_FUND="N","",IFERROR(BDP($C69,EBINT_FIELD),"")))</f>
        <v/>
      </c>
      <c r="AW69" s="82">
        <f>IF($C69="","",IF(PULL_FUND="N","",IFERROR(BDP($C69,FCF_FIELD)/100,"")))</f>
        <v/>
      </c>
      <c r="AX69" s="50">
        <f>IF($C69="","",IF(N($U69)=0,"",IFERROR($AW69/$U69,"")))</f>
        <v/>
      </c>
      <c r="AY69" s="85">
        <f>IF($C69="","",TRIM(IF(ISNUMBER($AJ69)*(N($AJ69)&gt;$D$4)&gt;0,"payout high  ","")&amp;IF(ISNUMBER($AX69)*(N($AX69)&lt;$F$4)&gt;0,"FCF below dvd  ","")&amp;IF(ISNUMBER($AU69)*(N($AU69)&gt;$H$4)&gt;0,"leverage high","")))</f>
        <v/>
      </c>
      <c r="AZ69" s="86">
        <f>IF($C69="","",IF(HSI!$F$64="HKD","",HSI!$F$64))</f>
        <v/>
      </c>
    </row>
    <row r="70">
      <c r="B70" s="66" t="inlineStr">
        <is>
          <t>HSI</t>
        </is>
      </c>
      <c r="C70" s="8">
        <f>IF(HSI!$C$65="","",HSI!$C$65)</f>
        <v/>
      </c>
      <c r="D70" s="8">
        <f>IF($C70="","",HSI!$D$65)</f>
        <v/>
      </c>
      <c r="E70" s="8">
        <f>IF($C70="","",HSI!$E$65)</f>
        <v/>
      </c>
      <c r="F70" s="67">
        <f>IF($C70="","",SUMPRODUCT(('Dvd Calendar'!$E$649:$AR$649&gt;=DATE(YEAR_Y-5,1,1))*('Dvd Calendar'!$E$649:$AR$649&lt;=DATE(YEAR_Y-5,12,31))*'Dvd Calendar'!$E$652:$AR$652*(('Dvd Calendar'!$E$654:$AR$654=TYPE1)*(TYPE1&lt;&gt;"")+('Dvd Calendar'!$E$654:$AR$654=TYPE2)*(TYPE2&lt;&gt;"")+('Dvd Calendar'!$E$654:$AR$654=TYPE3)*(TYPE3&lt;&gt;"")+('Dvd Calendar'!$E$654:$AR$654=TYPE4)*(TYPE4&lt;&gt;"")+('Dvd Calendar'!$E$654:$AR$654=SPECIAL_LBL)*(INC_SPECIALS="Y"))))</f>
        <v/>
      </c>
      <c r="G70" s="68">
        <f>IF($C70="","",SUMPRODUCT(('Dvd Calendar'!$E$649:$AR$649&gt;=DATE(YEAR_Y-4,1,1))*('Dvd Calendar'!$E$649:$AR$649&lt;=DATE(YEAR_Y-4,12,31))*'Dvd Calendar'!$E$652:$AR$652*(('Dvd Calendar'!$E$654:$AR$654=TYPE1)*(TYPE1&lt;&gt;"")+('Dvd Calendar'!$E$654:$AR$654=TYPE2)*(TYPE2&lt;&gt;"")+('Dvd Calendar'!$E$654:$AR$654=TYPE3)*(TYPE3&lt;&gt;"")+('Dvd Calendar'!$E$654:$AR$654=TYPE4)*(TYPE4&lt;&gt;"")+('Dvd Calendar'!$E$654:$AR$654=SPECIAL_LBL)*(INC_SPECIALS="Y"))))</f>
        <v/>
      </c>
      <c r="H70" s="68">
        <f>IF($C70="","",SUMPRODUCT(('Dvd Calendar'!$E$649:$AR$649&gt;=DATE(YEAR_Y-3,1,1))*('Dvd Calendar'!$E$649:$AR$649&lt;=DATE(YEAR_Y-3,12,31))*'Dvd Calendar'!$E$652:$AR$652*(('Dvd Calendar'!$E$654:$AR$654=TYPE1)*(TYPE1&lt;&gt;"")+('Dvd Calendar'!$E$654:$AR$654=TYPE2)*(TYPE2&lt;&gt;"")+('Dvd Calendar'!$E$654:$AR$654=TYPE3)*(TYPE3&lt;&gt;"")+('Dvd Calendar'!$E$654:$AR$654=TYPE4)*(TYPE4&lt;&gt;"")+('Dvd Calendar'!$E$654:$AR$654=SPECIAL_LBL)*(INC_SPECIALS="Y"))))</f>
        <v/>
      </c>
      <c r="I70" s="68">
        <f>IF($C70="","",SUMPRODUCT(('Dvd Calendar'!$E$649:$AR$649&gt;=DATE(YEAR_Y-2,1,1))*('Dvd Calendar'!$E$649:$AR$649&lt;=DATE(YEAR_Y-2,12,31))*'Dvd Calendar'!$E$652:$AR$652*(('Dvd Calendar'!$E$654:$AR$654=TYPE1)*(TYPE1&lt;&gt;"")+('Dvd Calendar'!$E$654:$AR$654=TYPE2)*(TYPE2&lt;&gt;"")+('Dvd Calendar'!$E$654:$AR$654=TYPE3)*(TYPE3&lt;&gt;"")+('Dvd Calendar'!$E$654:$AR$654=TYPE4)*(TYPE4&lt;&gt;"")+('Dvd Calendar'!$E$654:$AR$654=SPECIAL_LBL)*(INC_SPECIALS="Y"))))</f>
        <v/>
      </c>
      <c r="J70" s="68">
        <f>IF($C70="","",SUMPRODUCT(('Dvd Calendar'!$E$649:$AR$649&gt;=DATE(YEAR_Y-1,1,1))*('Dvd Calendar'!$E$649:$AR$649&lt;=DATE(YEAR_Y-1,12,31))*'Dvd Calendar'!$E$652:$AR$652*(('Dvd Calendar'!$E$654:$AR$654=TYPE1)*(TYPE1&lt;&gt;"")+('Dvd Calendar'!$E$654:$AR$654=TYPE2)*(TYPE2&lt;&gt;"")+('Dvd Calendar'!$E$654:$AR$654=TYPE3)*(TYPE3&lt;&gt;"")+('Dvd Calendar'!$E$654:$AR$654=TYPE4)*(TYPE4&lt;&gt;"")+('Dvd Calendar'!$E$654:$AR$654=SPECIAL_LBL)*(INC_SPECIALS="Y"))))</f>
        <v/>
      </c>
      <c r="K70" s="69">
        <f>IF($C70="","",HSI!$J$65)</f>
        <v/>
      </c>
      <c r="L70" s="69">
        <f>IF($C70="","",HSI!$K$65)</f>
        <v/>
      </c>
      <c r="M70" s="44">
        <f>IF($C70="","",HSI!$J$65+HSI!$L$65)</f>
        <v/>
      </c>
      <c r="N70" s="70">
        <f>IF($C70="","",IF(PULL_FUND="N","",IFERROR(BDP($C70,BESTDPS_FIELD,FWD_OVERRIDE,TEXT(MOD(YEAR_Y,100),"00")&amp;"Y"),"")))</f>
        <v/>
      </c>
      <c r="O70" s="69">
        <f>IF($C70="","",AVERAGE(F70:J70))</f>
        <v/>
      </c>
      <c r="P70" s="71">
        <f>IF($C70="","",IF(PULL_FUND="N","",IF(COUNTIFS('Fund History'!$J$356:$J$360,"&gt;="&amp;DATE(YEAR_Y-5,1,1),'Fund History'!$J$356:$J$360,"&lt;="&amp;DATE(YEAR_Y-5,12,31))=0,"",IFERROR($F70*HSI!$G$65/SUMIFS('Fund History'!$K$356:$K$360,'Fund History'!$J$356:$J$360,"&gt;="&amp;DATE(YEAR_Y-5,1,1),'Fund History'!$J$356:$J$360,"&lt;="&amp;DATE(YEAR_Y-5,12,31)),""))))</f>
        <v/>
      </c>
      <c r="Q70" s="72">
        <f>IF($C70="","",IF(PULL_FUND="N","",IF(COUNTIFS('Fund History'!$J$356:$J$360,"&gt;="&amp;DATE(YEAR_Y-4,1,1),'Fund History'!$J$356:$J$360,"&lt;="&amp;DATE(YEAR_Y-4,12,31))=0,"",IFERROR($G70*HSI!$G$65/SUMIFS('Fund History'!$K$356:$K$360,'Fund History'!$J$356:$J$360,"&gt;="&amp;DATE(YEAR_Y-4,1,1),'Fund History'!$J$356:$J$360,"&lt;="&amp;DATE(YEAR_Y-4,12,31)),""))))</f>
        <v/>
      </c>
      <c r="R70" s="72">
        <f>IF($C70="","",IF(PULL_FUND="N","",IF(COUNTIFS('Fund History'!$J$356:$J$360,"&gt;="&amp;DATE(YEAR_Y-3,1,1),'Fund History'!$J$356:$J$360,"&lt;="&amp;DATE(YEAR_Y-3,12,31))=0,"",IFERROR($H70*HSI!$G$65/SUMIFS('Fund History'!$K$356:$K$360,'Fund History'!$J$356:$J$360,"&gt;="&amp;DATE(YEAR_Y-3,1,1),'Fund History'!$J$356:$J$360,"&lt;="&amp;DATE(YEAR_Y-3,12,31)),""))))</f>
        <v/>
      </c>
      <c r="S70" s="72">
        <f>IF($C70="","",IF(PULL_FUND="N","",IF(COUNTIFS('Fund History'!$J$356:$J$360,"&gt;="&amp;DATE(YEAR_Y-2,1,1),'Fund History'!$J$356:$J$360,"&lt;="&amp;DATE(YEAR_Y-2,12,31))=0,"",IFERROR($I70*HSI!$G$65/SUMIFS('Fund History'!$K$356:$K$360,'Fund History'!$J$356:$J$360,"&gt;="&amp;DATE(YEAR_Y-2,1,1),'Fund History'!$J$356:$J$360,"&lt;="&amp;DATE(YEAR_Y-2,12,31)),""))))</f>
        <v/>
      </c>
      <c r="T70" s="72">
        <f>IF($C70="","",IF(PULL_FUND="N","",IF(COUNTIFS('Fund History'!$J$356:$J$360,"&gt;="&amp;DATE(YEAR_Y-1,1,1),'Fund History'!$J$356:$J$360,"&lt;="&amp;DATE(YEAR_Y-1,12,31))=0,"",IFERROR($J70*HSI!$G$65/SUMIFS('Fund History'!$K$356:$K$360,'Fund History'!$J$356:$J$360,"&gt;="&amp;DATE(YEAR_Y-1,1,1),'Fund History'!$J$356:$J$360,"&lt;="&amp;DATE(YEAR_Y-1,12,31)),""))))</f>
        <v/>
      </c>
      <c r="U70" s="73">
        <f>IF($C70="","",IF(ISNUMBER(HSI!$I$65),HSI!$I$65/100,""))</f>
        <v/>
      </c>
      <c r="V70" s="74">
        <f>IF($C70="","",IF(ISNUMBER(HSI!$X$65),IFERROR($M70*HSI!$G$65/HSI!$X$65,""),""))</f>
        <v/>
      </c>
      <c r="W70" s="73">
        <f>IF($C70="","",IF(ISNUMBER($N70),IFERROR($N70*HSI!$G$65/HSI!$X$65,""),""))</f>
        <v/>
      </c>
      <c r="X70" s="75">
        <f>IF($C70="","",IF(PULL_FUND="N","",IFERROR(BDP($C70,EPS_FIELD,YR_OVERRIDE,TEXT(YEAR_Y-5,"0")),"")))</f>
        <v/>
      </c>
      <c r="Y70" s="76">
        <f>IF($C70="","",IF(PULL_FUND="N","",IFERROR(BDP($C70,EPS_FIELD,YR_OVERRIDE,TEXT(YEAR_Y-4,"0")),"")))</f>
        <v/>
      </c>
      <c r="Z70" s="76">
        <f>IF($C70="","",IF(PULL_FUND="N","",IFERROR(BDP($C70,EPS_FIELD,YR_OVERRIDE,TEXT(YEAR_Y-3,"0")),"")))</f>
        <v/>
      </c>
      <c r="AA70" s="76">
        <f>IF($C70="","",IF(PULL_FUND="N","",IFERROR(BDP($C70,EPS_FIELD,YR_OVERRIDE,TEXT(YEAR_Y-2,"0")),"")))</f>
        <v/>
      </c>
      <c r="AB70" s="76">
        <f>IF($C70="","",IF(PULL_FUND="N","",IFERROR(BDP($C70,EPS_FIELD,YR_OVERRIDE,TEXT(YEAR_Y-1,"0")),"")))</f>
        <v/>
      </c>
      <c r="AC70" s="50">
        <f>IF($C70="","",IFERROR(AVERAGE(X70:AB70),""))</f>
        <v/>
      </c>
      <c r="AD70" s="76">
        <f>IF($C70="","",IF(PULL_FUND="N","",IFERROR(BDP($C70,BESTEPS_FIELD,FWD_OVERRIDE,TEXT(MOD(YEAR_Y,100),"00")&amp;"Y"),"")))</f>
        <v/>
      </c>
      <c r="AE70" s="77">
        <f>IF($C70="","",IF(PULL_FUND="N","",IFERROR(BDP($C70,PAYOUT_FIELD,YR_OVERRIDE,TEXT(YEAR_Y-5,"0"))/100,"")))</f>
        <v/>
      </c>
      <c r="AF70" s="78">
        <f>IF($C70="","",IF(PULL_FUND="N","",IFERROR(BDP($C70,PAYOUT_FIELD,YR_OVERRIDE,TEXT(YEAR_Y-4,"0"))/100,"")))</f>
        <v/>
      </c>
      <c r="AG70" s="78">
        <f>IF($C70="","",IF(PULL_FUND="N","",IFERROR(BDP($C70,PAYOUT_FIELD,YR_OVERRIDE,TEXT(YEAR_Y-3,"0"))/100,"")))</f>
        <v/>
      </c>
      <c r="AH70" s="78">
        <f>IF($C70="","",IF(PULL_FUND="N","",IFERROR(BDP($C70,PAYOUT_FIELD,YR_OVERRIDE,TEXT(YEAR_Y-2,"0"))/100,"")))</f>
        <v/>
      </c>
      <c r="AI70" s="78">
        <f>IF($C70="","",IF(PULL_FUND="N","",IFERROR(BDP($C70,PAYOUT_FIELD,YR_OVERRIDE,TEXT(YEAR_Y-1,"0"))/100,"")))</f>
        <v/>
      </c>
      <c r="AJ70" s="79">
        <f>IF($C70="","",IFERROR(AVERAGE(AE70:AI70),""))</f>
        <v/>
      </c>
      <c r="AK70" s="80">
        <f>IF($C70="","",IF(ISNUMBER($AD70)*ISNUMBER($N70)*($AD70&lt;&gt;0)=0,"",$N70/$AD70))</f>
        <v/>
      </c>
      <c r="AL70" s="79">
        <f>IF($C70="","",IF(ISNUMBER($AD70)*($AD70&lt;&gt;0)=0,"",$M70/$AD70))</f>
        <v/>
      </c>
      <c r="AM70" s="37">
        <f>IF($C70="","",IF(ISNUMBER($AE70)*ISNUMBER($AI70)=0,"",IF($AI70&gt;$AE70+0.05,"rising",IF($AI70&lt;$AE70-0.05,"falling","stable"))))</f>
        <v/>
      </c>
      <c r="AN70" s="81">
        <f>IF($C70="","",IF(PULL_FUND="N","",IF(COUNTIFS('Fund History'!$G$356:$G$360,"&gt;="&amp;DATE(YEAR_Y-4,1,1),'Fund History'!$G$356:$G$360,"&lt;="&amp;DATE(YEAR_Y-4,12,31))=0,"",SUMIFS('Fund History'!$H$356:$H$360,'Fund History'!$G$356:$G$360,"&gt;="&amp;DATE(YEAR_Y-4,1,1),'Fund History'!$G$356:$G$360,"&lt;="&amp;DATE(YEAR_Y-4,12,31))/100)))</f>
        <v/>
      </c>
      <c r="AO70" s="82">
        <f>IF($C70="","",IF(PULL_FUND="N","",IF(COUNTIFS('Fund History'!$G$356:$G$360,"&gt;="&amp;DATE(YEAR_Y-3,1,1),'Fund History'!$G$356:$G$360,"&lt;="&amp;DATE(YEAR_Y-3,12,31))=0,"",SUMIFS('Fund History'!$H$356:$H$360,'Fund History'!$G$356:$G$360,"&gt;="&amp;DATE(YEAR_Y-3,1,1),'Fund History'!$G$356:$G$360,"&lt;="&amp;DATE(YEAR_Y-3,12,31))/100)))</f>
        <v/>
      </c>
      <c r="AP70" s="82">
        <f>IF($C70="","",IF(PULL_FUND="N","",IF(COUNTIFS('Fund History'!$G$356:$G$360,"&gt;="&amp;DATE(YEAR_Y-2,1,1),'Fund History'!$G$356:$G$360,"&lt;="&amp;DATE(YEAR_Y-2,12,31))=0,"",SUMIFS('Fund History'!$H$356:$H$360,'Fund History'!$G$356:$G$360,"&gt;="&amp;DATE(YEAR_Y-2,1,1),'Fund History'!$G$356:$G$360,"&lt;="&amp;DATE(YEAR_Y-2,12,31))/100)))</f>
        <v/>
      </c>
      <c r="AQ70" s="82">
        <f>IF($C70="","",IF(PULL_FUND="N","",IF(COUNTIFS('Fund History'!$G$356:$G$360,"&gt;="&amp;DATE(YEAR_Y-1,1,1),'Fund History'!$G$356:$G$360,"&lt;="&amp;DATE(YEAR_Y-1,12,31))=0,"",SUMIFS('Fund History'!$H$356:$H$360,'Fund History'!$G$356:$G$360,"&gt;="&amp;DATE(YEAR_Y-1,1,1),'Fund History'!$G$356:$G$360,"&lt;="&amp;DATE(YEAR_Y-1,12,31))/100)))</f>
        <v/>
      </c>
      <c r="AR70" s="83">
        <f>IF($C70="","",IF(N($AQ70)+N(HSI!$I$65)=0,"",N($AQ70)+N(HSI!$I$65)/100))</f>
        <v/>
      </c>
      <c r="AS70" s="75">
        <f>IF($C70="","",IF(PULL_FUND="N","",IF(COUNTIFS('Fund History'!$D$356:$D$360,"&gt;="&amp;DATE(YEAR_Y-2,1,1),'Fund History'!$D$356:$D$360,"&lt;="&amp;DATE(YEAR_Y-2,12,31))=0,"",SUMIFS('Fund History'!$E$356:$E$360,'Fund History'!$D$356:$D$360,"&gt;="&amp;DATE(YEAR_Y-2,1,1),'Fund History'!$D$356:$D$360,"&lt;="&amp;DATE(YEAR_Y-2,12,31)))))</f>
        <v/>
      </c>
      <c r="AT70" s="76">
        <f>IF($C70="","",IF(PULL_FUND="N","",IF(COUNTIFS('Fund History'!$D$356:$D$360,"&gt;="&amp;DATE(YEAR_Y-1,1,1),'Fund History'!$D$356:$D$360,"&lt;="&amp;DATE(YEAR_Y-1,12,31))=0,"",SUMIFS('Fund History'!$E$356:$E$360,'Fund History'!$D$356:$D$360,"&gt;="&amp;DATE(YEAR_Y-1,1,1),'Fund History'!$D$356:$D$360,"&lt;="&amp;DATE(YEAR_Y-1,12,31)))))</f>
        <v/>
      </c>
      <c r="AU70" s="76">
        <f>IF($C70="","",IF(PULL_FUND="N","",IFERROR(BDP($C70,NDEBITDA_FIELD),"")))</f>
        <v/>
      </c>
      <c r="AV70" s="84">
        <f>IF($C70="","",IF(PULL_FUND="N","",IFERROR(BDP($C70,EBINT_FIELD),"")))</f>
        <v/>
      </c>
      <c r="AW70" s="82">
        <f>IF($C70="","",IF(PULL_FUND="N","",IFERROR(BDP($C70,FCF_FIELD)/100,"")))</f>
        <v/>
      </c>
      <c r="AX70" s="50">
        <f>IF($C70="","",IF(N($U70)=0,"",IFERROR($AW70/$U70,"")))</f>
        <v/>
      </c>
      <c r="AY70" s="85">
        <f>IF($C70="","",TRIM(IF(ISNUMBER($AJ70)*(N($AJ70)&gt;$D$4)&gt;0,"payout high  ","")&amp;IF(ISNUMBER($AX70)*(N($AX70)&lt;$F$4)&gt;0,"FCF below dvd  ","")&amp;IF(ISNUMBER($AU70)*(N($AU70)&gt;$H$4)&gt;0,"leverage high","")))</f>
        <v/>
      </c>
      <c r="AZ70" s="86">
        <f>IF($C70="","",IF(HSI!$F$65="HKD","",HSI!$F$65))</f>
        <v/>
      </c>
    </row>
    <row r="71">
      <c r="B71" s="66" t="inlineStr">
        <is>
          <t>HSI</t>
        </is>
      </c>
      <c r="C71" s="8">
        <f>IF(HSI!$C$66="","",HSI!$C$66)</f>
        <v/>
      </c>
      <c r="D71" s="8">
        <f>IF($C71="","",HSI!$D$66)</f>
        <v/>
      </c>
      <c r="E71" s="8">
        <f>IF($C71="","",HSI!$E$66)</f>
        <v/>
      </c>
      <c r="F71" s="67">
        <f>IF($C71="","",SUMPRODUCT(('Dvd Calendar'!$E$660:$AR$660&gt;=DATE(YEAR_Y-5,1,1))*('Dvd Calendar'!$E$660:$AR$660&lt;=DATE(YEAR_Y-5,12,31))*'Dvd Calendar'!$E$663:$AR$663*(('Dvd Calendar'!$E$665:$AR$665=TYPE1)*(TYPE1&lt;&gt;"")+('Dvd Calendar'!$E$665:$AR$665=TYPE2)*(TYPE2&lt;&gt;"")+('Dvd Calendar'!$E$665:$AR$665=TYPE3)*(TYPE3&lt;&gt;"")+('Dvd Calendar'!$E$665:$AR$665=TYPE4)*(TYPE4&lt;&gt;"")+('Dvd Calendar'!$E$665:$AR$665=SPECIAL_LBL)*(INC_SPECIALS="Y"))))</f>
        <v/>
      </c>
      <c r="G71" s="68">
        <f>IF($C71="","",SUMPRODUCT(('Dvd Calendar'!$E$660:$AR$660&gt;=DATE(YEAR_Y-4,1,1))*('Dvd Calendar'!$E$660:$AR$660&lt;=DATE(YEAR_Y-4,12,31))*'Dvd Calendar'!$E$663:$AR$663*(('Dvd Calendar'!$E$665:$AR$665=TYPE1)*(TYPE1&lt;&gt;"")+('Dvd Calendar'!$E$665:$AR$665=TYPE2)*(TYPE2&lt;&gt;"")+('Dvd Calendar'!$E$665:$AR$665=TYPE3)*(TYPE3&lt;&gt;"")+('Dvd Calendar'!$E$665:$AR$665=TYPE4)*(TYPE4&lt;&gt;"")+('Dvd Calendar'!$E$665:$AR$665=SPECIAL_LBL)*(INC_SPECIALS="Y"))))</f>
        <v/>
      </c>
      <c r="H71" s="68">
        <f>IF($C71="","",SUMPRODUCT(('Dvd Calendar'!$E$660:$AR$660&gt;=DATE(YEAR_Y-3,1,1))*('Dvd Calendar'!$E$660:$AR$660&lt;=DATE(YEAR_Y-3,12,31))*'Dvd Calendar'!$E$663:$AR$663*(('Dvd Calendar'!$E$665:$AR$665=TYPE1)*(TYPE1&lt;&gt;"")+('Dvd Calendar'!$E$665:$AR$665=TYPE2)*(TYPE2&lt;&gt;"")+('Dvd Calendar'!$E$665:$AR$665=TYPE3)*(TYPE3&lt;&gt;"")+('Dvd Calendar'!$E$665:$AR$665=TYPE4)*(TYPE4&lt;&gt;"")+('Dvd Calendar'!$E$665:$AR$665=SPECIAL_LBL)*(INC_SPECIALS="Y"))))</f>
        <v/>
      </c>
      <c r="I71" s="68">
        <f>IF($C71="","",SUMPRODUCT(('Dvd Calendar'!$E$660:$AR$660&gt;=DATE(YEAR_Y-2,1,1))*('Dvd Calendar'!$E$660:$AR$660&lt;=DATE(YEAR_Y-2,12,31))*'Dvd Calendar'!$E$663:$AR$663*(('Dvd Calendar'!$E$665:$AR$665=TYPE1)*(TYPE1&lt;&gt;"")+('Dvd Calendar'!$E$665:$AR$665=TYPE2)*(TYPE2&lt;&gt;"")+('Dvd Calendar'!$E$665:$AR$665=TYPE3)*(TYPE3&lt;&gt;"")+('Dvd Calendar'!$E$665:$AR$665=TYPE4)*(TYPE4&lt;&gt;"")+('Dvd Calendar'!$E$665:$AR$665=SPECIAL_LBL)*(INC_SPECIALS="Y"))))</f>
        <v/>
      </c>
      <c r="J71" s="68">
        <f>IF($C71="","",SUMPRODUCT(('Dvd Calendar'!$E$660:$AR$660&gt;=DATE(YEAR_Y-1,1,1))*('Dvd Calendar'!$E$660:$AR$660&lt;=DATE(YEAR_Y-1,12,31))*'Dvd Calendar'!$E$663:$AR$663*(('Dvd Calendar'!$E$665:$AR$665=TYPE1)*(TYPE1&lt;&gt;"")+('Dvd Calendar'!$E$665:$AR$665=TYPE2)*(TYPE2&lt;&gt;"")+('Dvd Calendar'!$E$665:$AR$665=TYPE3)*(TYPE3&lt;&gt;"")+('Dvd Calendar'!$E$665:$AR$665=TYPE4)*(TYPE4&lt;&gt;"")+('Dvd Calendar'!$E$665:$AR$665=SPECIAL_LBL)*(INC_SPECIALS="Y"))))</f>
        <v/>
      </c>
      <c r="K71" s="69">
        <f>IF($C71="","",HSI!$J$66)</f>
        <v/>
      </c>
      <c r="L71" s="69">
        <f>IF($C71="","",HSI!$K$66)</f>
        <v/>
      </c>
      <c r="M71" s="44">
        <f>IF($C71="","",HSI!$J$66+HSI!$L$66)</f>
        <v/>
      </c>
      <c r="N71" s="70">
        <f>IF($C71="","",IF(PULL_FUND="N","",IFERROR(BDP($C71,BESTDPS_FIELD,FWD_OVERRIDE,TEXT(MOD(YEAR_Y,100),"00")&amp;"Y"),"")))</f>
        <v/>
      </c>
      <c r="O71" s="69">
        <f>IF($C71="","",AVERAGE(F71:J71))</f>
        <v/>
      </c>
      <c r="P71" s="71">
        <f>IF($C71="","",IF(PULL_FUND="N","",IF(COUNTIFS('Fund History'!$J$362:$J$366,"&gt;="&amp;DATE(YEAR_Y-5,1,1),'Fund History'!$J$362:$J$366,"&lt;="&amp;DATE(YEAR_Y-5,12,31))=0,"",IFERROR($F71*HSI!$G$66/SUMIFS('Fund History'!$K$362:$K$366,'Fund History'!$J$362:$J$366,"&gt;="&amp;DATE(YEAR_Y-5,1,1),'Fund History'!$J$362:$J$366,"&lt;="&amp;DATE(YEAR_Y-5,12,31)),""))))</f>
        <v/>
      </c>
      <c r="Q71" s="72">
        <f>IF($C71="","",IF(PULL_FUND="N","",IF(COUNTIFS('Fund History'!$J$362:$J$366,"&gt;="&amp;DATE(YEAR_Y-4,1,1),'Fund History'!$J$362:$J$366,"&lt;="&amp;DATE(YEAR_Y-4,12,31))=0,"",IFERROR($G71*HSI!$G$66/SUMIFS('Fund History'!$K$362:$K$366,'Fund History'!$J$362:$J$366,"&gt;="&amp;DATE(YEAR_Y-4,1,1),'Fund History'!$J$362:$J$366,"&lt;="&amp;DATE(YEAR_Y-4,12,31)),""))))</f>
        <v/>
      </c>
      <c r="R71" s="72">
        <f>IF($C71="","",IF(PULL_FUND="N","",IF(COUNTIFS('Fund History'!$J$362:$J$366,"&gt;="&amp;DATE(YEAR_Y-3,1,1),'Fund History'!$J$362:$J$366,"&lt;="&amp;DATE(YEAR_Y-3,12,31))=0,"",IFERROR($H71*HSI!$G$66/SUMIFS('Fund History'!$K$362:$K$366,'Fund History'!$J$362:$J$366,"&gt;="&amp;DATE(YEAR_Y-3,1,1),'Fund History'!$J$362:$J$366,"&lt;="&amp;DATE(YEAR_Y-3,12,31)),""))))</f>
        <v/>
      </c>
      <c r="S71" s="72">
        <f>IF($C71="","",IF(PULL_FUND="N","",IF(COUNTIFS('Fund History'!$J$362:$J$366,"&gt;="&amp;DATE(YEAR_Y-2,1,1),'Fund History'!$J$362:$J$366,"&lt;="&amp;DATE(YEAR_Y-2,12,31))=0,"",IFERROR($I71*HSI!$G$66/SUMIFS('Fund History'!$K$362:$K$366,'Fund History'!$J$362:$J$366,"&gt;="&amp;DATE(YEAR_Y-2,1,1),'Fund History'!$J$362:$J$366,"&lt;="&amp;DATE(YEAR_Y-2,12,31)),""))))</f>
        <v/>
      </c>
      <c r="T71" s="72">
        <f>IF($C71="","",IF(PULL_FUND="N","",IF(COUNTIFS('Fund History'!$J$362:$J$366,"&gt;="&amp;DATE(YEAR_Y-1,1,1),'Fund History'!$J$362:$J$366,"&lt;="&amp;DATE(YEAR_Y-1,12,31))=0,"",IFERROR($J71*HSI!$G$66/SUMIFS('Fund History'!$K$362:$K$366,'Fund History'!$J$362:$J$366,"&gt;="&amp;DATE(YEAR_Y-1,1,1),'Fund History'!$J$362:$J$366,"&lt;="&amp;DATE(YEAR_Y-1,12,31)),""))))</f>
        <v/>
      </c>
      <c r="U71" s="73">
        <f>IF($C71="","",IF(ISNUMBER(HSI!$I$66),HSI!$I$66/100,""))</f>
        <v/>
      </c>
      <c r="V71" s="74">
        <f>IF($C71="","",IF(ISNUMBER(HSI!$X$66),IFERROR($M71*HSI!$G$66/HSI!$X$66,""),""))</f>
        <v/>
      </c>
      <c r="W71" s="73">
        <f>IF($C71="","",IF(ISNUMBER($N71),IFERROR($N71*HSI!$G$66/HSI!$X$66,""),""))</f>
        <v/>
      </c>
      <c r="X71" s="75">
        <f>IF($C71="","",IF(PULL_FUND="N","",IFERROR(BDP($C71,EPS_FIELD,YR_OVERRIDE,TEXT(YEAR_Y-5,"0")),"")))</f>
        <v/>
      </c>
      <c r="Y71" s="76">
        <f>IF($C71="","",IF(PULL_FUND="N","",IFERROR(BDP($C71,EPS_FIELD,YR_OVERRIDE,TEXT(YEAR_Y-4,"0")),"")))</f>
        <v/>
      </c>
      <c r="Z71" s="76">
        <f>IF($C71="","",IF(PULL_FUND="N","",IFERROR(BDP($C71,EPS_FIELD,YR_OVERRIDE,TEXT(YEAR_Y-3,"0")),"")))</f>
        <v/>
      </c>
      <c r="AA71" s="76">
        <f>IF($C71="","",IF(PULL_FUND="N","",IFERROR(BDP($C71,EPS_FIELD,YR_OVERRIDE,TEXT(YEAR_Y-2,"0")),"")))</f>
        <v/>
      </c>
      <c r="AB71" s="76">
        <f>IF($C71="","",IF(PULL_FUND="N","",IFERROR(BDP($C71,EPS_FIELD,YR_OVERRIDE,TEXT(YEAR_Y-1,"0")),"")))</f>
        <v/>
      </c>
      <c r="AC71" s="50">
        <f>IF($C71="","",IFERROR(AVERAGE(X71:AB71),""))</f>
        <v/>
      </c>
      <c r="AD71" s="76">
        <f>IF($C71="","",IF(PULL_FUND="N","",IFERROR(BDP($C71,BESTEPS_FIELD,FWD_OVERRIDE,TEXT(MOD(YEAR_Y,100),"00")&amp;"Y"),"")))</f>
        <v/>
      </c>
      <c r="AE71" s="77">
        <f>IF($C71="","",IF(PULL_FUND="N","",IFERROR(BDP($C71,PAYOUT_FIELD,YR_OVERRIDE,TEXT(YEAR_Y-5,"0"))/100,"")))</f>
        <v/>
      </c>
      <c r="AF71" s="78">
        <f>IF($C71="","",IF(PULL_FUND="N","",IFERROR(BDP($C71,PAYOUT_FIELD,YR_OVERRIDE,TEXT(YEAR_Y-4,"0"))/100,"")))</f>
        <v/>
      </c>
      <c r="AG71" s="78">
        <f>IF($C71="","",IF(PULL_FUND="N","",IFERROR(BDP($C71,PAYOUT_FIELD,YR_OVERRIDE,TEXT(YEAR_Y-3,"0"))/100,"")))</f>
        <v/>
      </c>
      <c r="AH71" s="78">
        <f>IF($C71="","",IF(PULL_FUND="N","",IFERROR(BDP($C71,PAYOUT_FIELD,YR_OVERRIDE,TEXT(YEAR_Y-2,"0"))/100,"")))</f>
        <v/>
      </c>
      <c r="AI71" s="78">
        <f>IF($C71="","",IF(PULL_FUND="N","",IFERROR(BDP($C71,PAYOUT_FIELD,YR_OVERRIDE,TEXT(YEAR_Y-1,"0"))/100,"")))</f>
        <v/>
      </c>
      <c r="AJ71" s="79">
        <f>IF($C71="","",IFERROR(AVERAGE(AE71:AI71),""))</f>
        <v/>
      </c>
      <c r="AK71" s="80">
        <f>IF($C71="","",IF(ISNUMBER($AD71)*ISNUMBER($N71)*($AD71&lt;&gt;0)=0,"",$N71/$AD71))</f>
        <v/>
      </c>
      <c r="AL71" s="79">
        <f>IF($C71="","",IF(ISNUMBER($AD71)*($AD71&lt;&gt;0)=0,"",$M71/$AD71))</f>
        <v/>
      </c>
      <c r="AM71" s="37">
        <f>IF($C71="","",IF(ISNUMBER($AE71)*ISNUMBER($AI71)=0,"",IF($AI71&gt;$AE71+0.05,"rising",IF($AI71&lt;$AE71-0.05,"falling","stable"))))</f>
        <v/>
      </c>
      <c r="AN71" s="81">
        <f>IF($C71="","",IF(PULL_FUND="N","",IF(COUNTIFS('Fund History'!$G$362:$G$366,"&gt;="&amp;DATE(YEAR_Y-4,1,1),'Fund History'!$G$362:$G$366,"&lt;="&amp;DATE(YEAR_Y-4,12,31))=0,"",SUMIFS('Fund History'!$H$362:$H$366,'Fund History'!$G$362:$G$366,"&gt;="&amp;DATE(YEAR_Y-4,1,1),'Fund History'!$G$362:$G$366,"&lt;="&amp;DATE(YEAR_Y-4,12,31))/100)))</f>
        <v/>
      </c>
      <c r="AO71" s="82">
        <f>IF($C71="","",IF(PULL_FUND="N","",IF(COUNTIFS('Fund History'!$G$362:$G$366,"&gt;="&amp;DATE(YEAR_Y-3,1,1),'Fund History'!$G$362:$G$366,"&lt;="&amp;DATE(YEAR_Y-3,12,31))=0,"",SUMIFS('Fund History'!$H$362:$H$366,'Fund History'!$G$362:$G$366,"&gt;="&amp;DATE(YEAR_Y-3,1,1),'Fund History'!$G$362:$G$366,"&lt;="&amp;DATE(YEAR_Y-3,12,31))/100)))</f>
        <v/>
      </c>
      <c r="AP71" s="82">
        <f>IF($C71="","",IF(PULL_FUND="N","",IF(COUNTIFS('Fund History'!$G$362:$G$366,"&gt;="&amp;DATE(YEAR_Y-2,1,1),'Fund History'!$G$362:$G$366,"&lt;="&amp;DATE(YEAR_Y-2,12,31))=0,"",SUMIFS('Fund History'!$H$362:$H$366,'Fund History'!$G$362:$G$366,"&gt;="&amp;DATE(YEAR_Y-2,1,1),'Fund History'!$G$362:$G$366,"&lt;="&amp;DATE(YEAR_Y-2,12,31))/100)))</f>
        <v/>
      </c>
      <c r="AQ71" s="82">
        <f>IF($C71="","",IF(PULL_FUND="N","",IF(COUNTIFS('Fund History'!$G$362:$G$366,"&gt;="&amp;DATE(YEAR_Y-1,1,1),'Fund History'!$G$362:$G$366,"&lt;="&amp;DATE(YEAR_Y-1,12,31))=0,"",SUMIFS('Fund History'!$H$362:$H$366,'Fund History'!$G$362:$G$366,"&gt;="&amp;DATE(YEAR_Y-1,1,1),'Fund History'!$G$362:$G$366,"&lt;="&amp;DATE(YEAR_Y-1,12,31))/100)))</f>
        <v/>
      </c>
      <c r="AR71" s="83">
        <f>IF($C71="","",IF(N($AQ71)+N(HSI!$I$66)=0,"",N($AQ71)+N(HSI!$I$66)/100))</f>
        <v/>
      </c>
      <c r="AS71" s="75">
        <f>IF($C71="","",IF(PULL_FUND="N","",IF(COUNTIFS('Fund History'!$D$362:$D$366,"&gt;="&amp;DATE(YEAR_Y-2,1,1),'Fund History'!$D$362:$D$366,"&lt;="&amp;DATE(YEAR_Y-2,12,31))=0,"",SUMIFS('Fund History'!$E$362:$E$366,'Fund History'!$D$362:$D$366,"&gt;="&amp;DATE(YEAR_Y-2,1,1),'Fund History'!$D$362:$D$366,"&lt;="&amp;DATE(YEAR_Y-2,12,31)))))</f>
        <v/>
      </c>
      <c r="AT71" s="76">
        <f>IF($C71="","",IF(PULL_FUND="N","",IF(COUNTIFS('Fund History'!$D$362:$D$366,"&gt;="&amp;DATE(YEAR_Y-1,1,1),'Fund History'!$D$362:$D$366,"&lt;="&amp;DATE(YEAR_Y-1,12,31))=0,"",SUMIFS('Fund History'!$E$362:$E$366,'Fund History'!$D$362:$D$366,"&gt;="&amp;DATE(YEAR_Y-1,1,1),'Fund History'!$D$362:$D$366,"&lt;="&amp;DATE(YEAR_Y-1,12,31)))))</f>
        <v/>
      </c>
      <c r="AU71" s="76">
        <f>IF($C71="","",IF(PULL_FUND="N","",IFERROR(BDP($C71,NDEBITDA_FIELD),"")))</f>
        <v/>
      </c>
      <c r="AV71" s="84">
        <f>IF($C71="","",IF(PULL_FUND="N","",IFERROR(BDP($C71,EBINT_FIELD),"")))</f>
        <v/>
      </c>
      <c r="AW71" s="82">
        <f>IF($C71="","",IF(PULL_FUND="N","",IFERROR(BDP($C71,FCF_FIELD)/100,"")))</f>
        <v/>
      </c>
      <c r="AX71" s="50">
        <f>IF($C71="","",IF(N($U71)=0,"",IFERROR($AW71/$U71,"")))</f>
        <v/>
      </c>
      <c r="AY71" s="85">
        <f>IF($C71="","",TRIM(IF(ISNUMBER($AJ71)*(N($AJ71)&gt;$D$4)&gt;0,"payout high  ","")&amp;IF(ISNUMBER($AX71)*(N($AX71)&lt;$F$4)&gt;0,"FCF below dvd  ","")&amp;IF(ISNUMBER($AU71)*(N($AU71)&gt;$H$4)&gt;0,"leverage high","")))</f>
        <v/>
      </c>
      <c r="AZ71" s="86">
        <f>IF($C71="","",IF(HSI!$F$66="HKD","",HSI!$F$66))</f>
        <v/>
      </c>
    </row>
    <row r="72">
      <c r="B72" s="66" t="inlineStr">
        <is>
          <t>HSI</t>
        </is>
      </c>
      <c r="C72" s="8">
        <f>IF(HSI!$C$67="","",HSI!$C$67)</f>
        <v/>
      </c>
      <c r="D72" s="8">
        <f>IF($C72="","",HSI!$D$67)</f>
        <v/>
      </c>
      <c r="E72" s="8">
        <f>IF($C72="","",HSI!$E$67)</f>
        <v/>
      </c>
      <c r="F72" s="67">
        <f>IF($C72="","",SUMPRODUCT(('Dvd Calendar'!$E$671:$AR$671&gt;=DATE(YEAR_Y-5,1,1))*('Dvd Calendar'!$E$671:$AR$671&lt;=DATE(YEAR_Y-5,12,31))*'Dvd Calendar'!$E$674:$AR$674*(('Dvd Calendar'!$E$676:$AR$676=TYPE1)*(TYPE1&lt;&gt;"")+('Dvd Calendar'!$E$676:$AR$676=TYPE2)*(TYPE2&lt;&gt;"")+('Dvd Calendar'!$E$676:$AR$676=TYPE3)*(TYPE3&lt;&gt;"")+('Dvd Calendar'!$E$676:$AR$676=TYPE4)*(TYPE4&lt;&gt;"")+('Dvd Calendar'!$E$676:$AR$676=SPECIAL_LBL)*(INC_SPECIALS="Y"))))</f>
        <v/>
      </c>
      <c r="G72" s="68">
        <f>IF($C72="","",SUMPRODUCT(('Dvd Calendar'!$E$671:$AR$671&gt;=DATE(YEAR_Y-4,1,1))*('Dvd Calendar'!$E$671:$AR$671&lt;=DATE(YEAR_Y-4,12,31))*'Dvd Calendar'!$E$674:$AR$674*(('Dvd Calendar'!$E$676:$AR$676=TYPE1)*(TYPE1&lt;&gt;"")+('Dvd Calendar'!$E$676:$AR$676=TYPE2)*(TYPE2&lt;&gt;"")+('Dvd Calendar'!$E$676:$AR$676=TYPE3)*(TYPE3&lt;&gt;"")+('Dvd Calendar'!$E$676:$AR$676=TYPE4)*(TYPE4&lt;&gt;"")+('Dvd Calendar'!$E$676:$AR$676=SPECIAL_LBL)*(INC_SPECIALS="Y"))))</f>
        <v/>
      </c>
      <c r="H72" s="68">
        <f>IF($C72="","",SUMPRODUCT(('Dvd Calendar'!$E$671:$AR$671&gt;=DATE(YEAR_Y-3,1,1))*('Dvd Calendar'!$E$671:$AR$671&lt;=DATE(YEAR_Y-3,12,31))*'Dvd Calendar'!$E$674:$AR$674*(('Dvd Calendar'!$E$676:$AR$676=TYPE1)*(TYPE1&lt;&gt;"")+('Dvd Calendar'!$E$676:$AR$676=TYPE2)*(TYPE2&lt;&gt;"")+('Dvd Calendar'!$E$676:$AR$676=TYPE3)*(TYPE3&lt;&gt;"")+('Dvd Calendar'!$E$676:$AR$676=TYPE4)*(TYPE4&lt;&gt;"")+('Dvd Calendar'!$E$676:$AR$676=SPECIAL_LBL)*(INC_SPECIALS="Y"))))</f>
        <v/>
      </c>
      <c r="I72" s="68">
        <f>IF($C72="","",SUMPRODUCT(('Dvd Calendar'!$E$671:$AR$671&gt;=DATE(YEAR_Y-2,1,1))*('Dvd Calendar'!$E$671:$AR$671&lt;=DATE(YEAR_Y-2,12,31))*'Dvd Calendar'!$E$674:$AR$674*(('Dvd Calendar'!$E$676:$AR$676=TYPE1)*(TYPE1&lt;&gt;"")+('Dvd Calendar'!$E$676:$AR$676=TYPE2)*(TYPE2&lt;&gt;"")+('Dvd Calendar'!$E$676:$AR$676=TYPE3)*(TYPE3&lt;&gt;"")+('Dvd Calendar'!$E$676:$AR$676=TYPE4)*(TYPE4&lt;&gt;"")+('Dvd Calendar'!$E$676:$AR$676=SPECIAL_LBL)*(INC_SPECIALS="Y"))))</f>
        <v/>
      </c>
      <c r="J72" s="68">
        <f>IF($C72="","",SUMPRODUCT(('Dvd Calendar'!$E$671:$AR$671&gt;=DATE(YEAR_Y-1,1,1))*('Dvd Calendar'!$E$671:$AR$671&lt;=DATE(YEAR_Y-1,12,31))*'Dvd Calendar'!$E$674:$AR$674*(('Dvd Calendar'!$E$676:$AR$676=TYPE1)*(TYPE1&lt;&gt;"")+('Dvd Calendar'!$E$676:$AR$676=TYPE2)*(TYPE2&lt;&gt;"")+('Dvd Calendar'!$E$676:$AR$676=TYPE3)*(TYPE3&lt;&gt;"")+('Dvd Calendar'!$E$676:$AR$676=TYPE4)*(TYPE4&lt;&gt;"")+('Dvd Calendar'!$E$676:$AR$676=SPECIAL_LBL)*(INC_SPECIALS="Y"))))</f>
        <v/>
      </c>
      <c r="K72" s="69">
        <f>IF($C72="","",HSI!$J$67)</f>
        <v/>
      </c>
      <c r="L72" s="69">
        <f>IF($C72="","",HSI!$K$67)</f>
        <v/>
      </c>
      <c r="M72" s="44">
        <f>IF($C72="","",HSI!$J$67+HSI!$L$67)</f>
        <v/>
      </c>
      <c r="N72" s="70">
        <f>IF($C72="","",IF(PULL_FUND="N","",IFERROR(BDP($C72,BESTDPS_FIELD,FWD_OVERRIDE,TEXT(MOD(YEAR_Y,100),"00")&amp;"Y"),"")))</f>
        <v/>
      </c>
      <c r="O72" s="69">
        <f>IF($C72="","",AVERAGE(F72:J72))</f>
        <v/>
      </c>
      <c r="P72" s="71">
        <f>IF($C72="","",IF(PULL_FUND="N","",IF(COUNTIFS('Fund History'!$J$368:$J$372,"&gt;="&amp;DATE(YEAR_Y-5,1,1),'Fund History'!$J$368:$J$372,"&lt;="&amp;DATE(YEAR_Y-5,12,31))=0,"",IFERROR($F72*HSI!$G$67/SUMIFS('Fund History'!$K$368:$K$372,'Fund History'!$J$368:$J$372,"&gt;="&amp;DATE(YEAR_Y-5,1,1),'Fund History'!$J$368:$J$372,"&lt;="&amp;DATE(YEAR_Y-5,12,31)),""))))</f>
        <v/>
      </c>
      <c r="Q72" s="72">
        <f>IF($C72="","",IF(PULL_FUND="N","",IF(COUNTIFS('Fund History'!$J$368:$J$372,"&gt;="&amp;DATE(YEAR_Y-4,1,1),'Fund History'!$J$368:$J$372,"&lt;="&amp;DATE(YEAR_Y-4,12,31))=0,"",IFERROR($G72*HSI!$G$67/SUMIFS('Fund History'!$K$368:$K$372,'Fund History'!$J$368:$J$372,"&gt;="&amp;DATE(YEAR_Y-4,1,1),'Fund History'!$J$368:$J$372,"&lt;="&amp;DATE(YEAR_Y-4,12,31)),""))))</f>
        <v/>
      </c>
      <c r="R72" s="72">
        <f>IF($C72="","",IF(PULL_FUND="N","",IF(COUNTIFS('Fund History'!$J$368:$J$372,"&gt;="&amp;DATE(YEAR_Y-3,1,1),'Fund History'!$J$368:$J$372,"&lt;="&amp;DATE(YEAR_Y-3,12,31))=0,"",IFERROR($H72*HSI!$G$67/SUMIFS('Fund History'!$K$368:$K$372,'Fund History'!$J$368:$J$372,"&gt;="&amp;DATE(YEAR_Y-3,1,1),'Fund History'!$J$368:$J$372,"&lt;="&amp;DATE(YEAR_Y-3,12,31)),""))))</f>
        <v/>
      </c>
      <c r="S72" s="72">
        <f>IF($C72="","",IF(PULL_FUND="N","",IF(COUNTIFS('Fund History'!$J$368:$J$372,"&gt;="&amp;DATE(YEAR_Y-2,1,1),'Fund History'!$J$368:$J$372,"&lt;="&amp;DATE(YEAR_Y-2,12,31))=0,"",IFERROR($I72*HSI!$G$67/SUMIFS('Fund History'!$K$368:$K$372,'Fund History'!$J$368:$J$372,"&gt;="&amp;DATE(YEAR_Y-2,1,1),'Fund History'!$J$368:$J$372,"&lt;="&amp;DATE(YEAR_Y-2,12,31)),""))))</f>
        <v/>
      </c>
      <c r="T72" s="72">
        <f>IF($C72="","",IF(PULL_FUND="N","",IF(COUNTIFS('Fund History'!$J$368:$J$372,"&gt;="&amp;DATE(YEAR_Y-1,1,1),'Fund History'!$J$368:$J$372,"&lt;="&amp;DATE(YEAR_Y-1,12,31))=0,"",IFERROR($J72*HSI!$G$67/SUMIFS('Fund History'!$K$368:$K$372,'Fund History'!$J$368:$J$372,"&gt;="&amp;DATE(YEAR_Y-1,1,1),'Fund History'!$J$368:$J$372,"&lt;="&amp;DATE(YEAR_Y-1,12,31)),""))))</f>
        <v/>
      </c>
      <c r="U72" s="73">
        <f>IF($C72="","",IF(ISNUMBER(HSI!$I$67),HSI!$I$67/100,""))</f>
        <v/>
      </c>
      <c r="V72" s="74">
        <f>IF($C72="","",IF(ISNUMBER(HSI!$X$67),IFERROR($M72*HSI!$G$67/HSI!$X$67,""),""))</f>
        <v/>
      </c>
      <c r="W72" s="73">
        <f>IF($C72="","",IF(ISNUMBER($N72),IFERROR($N72*HSI!$G$67/HSI!$X$67,""),""))</f>
        <v/>
      </c>
      <c r="X72" s="75">
        <f>IF($C72="","",IF(PULL_FUND="N","",IFERROR(BDP($C72,EPS_FIELD,YR_OVERRIDE,TEXT(YEAR_Y-5,"0")),"")))</f>
        <v/>
      </c>
      <c r="Y72" s="76">
        <f>IF($C72="","",IF(PULL_FUND="N","",IFERROR(BDP($C72,EPS_FIELD,YR_OVERRIDE,TEXT(YEAR_Y-4,"0")),"")))</f>
        <v/>
      </c>
      <c r="Z72" s="76">
        <f>IF($C72="","",IF(PULL_FUND="N","",IFERROR(BDP($C72,EPS_FIELD,YR_OVERRIDE,TEXT(YEAR_Y-3,"0")),"")))</f>
        <v/>
      </c>
      <c r="AA72" s="76">
        <f>IF($C72="","",IF(PULL_FUND="N","",IFERROR(BDP($C72,EPS_FIELD,YR_OVERRIDE,TEXT(YEAR_Y-2,"0")),"")))</f>
        <v/>
      </c>
      <c r="AB72" s="76">
        <f>IF($C72="","",IF(PULL_FUND="N","",IFERROR(BDP($C72,EPS_FIELD,YR_OVERRIDE,TEXT(YEAR_Y-1,"0")),"")))</f>
        <v/>
      </c>
      <c r="AC72" s="50">
        <f>IF($C72="","",IFERROR(AVERAGE(X72:AB72),""))</f>
        <v/>
      </c>
      <c r="AD72" s="76">
        <f>IF($C72="","",IF(PULL_FUND="N","",IFERROR(BDP($C72,BESTEPS_FIELD,FWD_OVERRIDE,TEXT(MOD(YEAR_Y,100),"00")&amp;"Y"),"")))</f>
        <v/>
      </c>
      <c r="AE72" s="77">
        <f>IF($C72="","",IF(PULL_FUND="N","",IFERROR(BDP($C72,PAYOUT_FIELD,YR_OVERRIDE,TEXT(YEAR_Y-5,"0"))/100,"")))</f>
        <v/>
      </c>
      <c r="AF72" s="78">
        <f>IF($C72="","",IF(PULL_FUND="N","",IFERROR(BDP($C72,PAYOUT_FIELD,YR_OVERRIDE,TEXT(YEAR_Y-4,"0"))/100,"")))</f>
        <v/>
      </c>
      <c r="AG72" s="78">
        <f>IF($C72="","",IF(PULL_FUND="N","",IFERROR(BDP($C72,PAYOUT_FIELD,YR_OVERRIDE,TEXT(YEAR_Y-3,"0"))/100,"")))</f>
        <v/>
      </c>
      <c r="AH72" s="78">
        <f>IF($C72="","",IF(PULL_FUND="N","",IFERROR(BDP($C72,PAYOUT_FIELD,YR_OVERRIDE,TEXT(YEAR_Y-2,"0"))/100,"")))</f>
        <v/>
      </c>
      <c r="AI72" s="78">
        <f>IF($C72="","",IF(PULL_FUND="N","",IFERROR(BDP($C72,PAYOUT_FIELD,YR_OVERRIDE,TEXT(YEAR_Y-1,"0"))/100,"")))</f>
        <v/>
      </c>
      <c r="AJ72" s="79">
        <f>IF($C72="","",IFERROR(AVERAGE(AE72:AI72),""))</f>
        <v/>
      </c>
      <c r="AK72" s="80">
        <f>IF($C72="","",IF(ISNUMBER($AD72)*ISNUMBER($N72)*($AD72&lt;&gt;0)=0,"",$N72/$AD72))</f>
        <v/>
      </c>
      <c r="AL72" s="79">
        <f>IF($C72="","",IF(ISNUMBER($AD72)*($AD72&lt;&gt;0)=0,"",$M72/$AD72))</f>
        <v/>
      </c>
      <c r="AM72" s="37">
        <f>IF($C72="","",IF(ISNUMBER($AE72)*ISNUMBER($AI72)=0,"",IF($AI72&gt;$AE72+0.05,"rising",IF($AI72&lt;$AE72-0.05,"falling","stable"))))</f>
        <v/>
      </c>
      <c r="AN72" s="81">
        <f>IF($C72="","",IF(PULL_FUND="N","",IF(COUNTIFS('Fund History'!$G$368:$G$372,"&gt;="&amp;DATE(YEAR_Y-4,1,1),'Fund History'!$G$368:$G$372,"&lt;="&amp;DATE(YEAR_Y-4,12,31))=0,"",SUMIFS('Fund History'!$H$368:$H$372,'Fund History'!$G$368:$G$372,"&gt;="&amp;DATE(YEAR_Y-4,1,1),'Fund History'!$G$368:$G$372,"&lt;="&amp;DATE(YEAR_Y-4,12,31))/100)))</f>
        <v/>
      </c>
      <c r="AO72" s="82">
        <f>IF($C72="","",IF(PULL_FUND="N","",IF(COUNTIFS('Fund History'!$G$368:$G$372,"&gt;="&amp;DATE(YEAR_Y-3,1,1),'Fund History'!$G$368:$G$372,"&lt;="&amp;DATE(YEAR_Y-3,12,31))=0,"",SUMIFS('Fund History'!$H$368:$H$372,'Fund History'!$G$368:$G$372,"&gt;="&amp;DATE(YEAR_Y-3,1,1),'Fund History'!$G$368:$G$372,"&lt;="&amp;DATE(YEAR_Y-3,12,31))/100)))</f>
        <v/>
      </c>
      <c r="AP72" s="82">
        <f>IF($C72="","",IF(PULL_FUND="N","",IF(COUNTIFS('Fund History'!$G$368:$G$372,"&gt;="&amp;DATE(YEAR_Y-2,1,1),'Fund History'!$G$368:$G$372,"&lt;="&amp;DATE(YEAR_Y-2,12,31))=0,"",SUMIFS('Fund History'!$H$368:$H$372,'Fund History'!$G$368:$G$372,"&gt;="&amp;DATE(YEAR_Y-2,1,1),'Fund History'!$G$368:$G$372,"&lt;="&amp;DATE(YEAR_Y-2,12,31))/100)))</f>
        <v/>
      </c>
      <c r="AQ72" s="82">
        <f>IF($C72="","",IF(PULL_FUND="N","",IF(COUNTIFS('Fund History'!$G$368:$G$372,"&gt;="&amp;DATE(YEAR_Y-1,1,1),'Fund History'!$G$368:$G$372,"&lt;="&amp;DATE(YEAR_Y-1,12,31))=0,"",SUMIFS('Fund History'!$H$368:$H$372,'Fund History'!$G$368:$G$372,"&gt;="&amp;DATE(YEAR_Y-1,1,1),'Fund History'!$G$368:$G$372,"&lt;="&amp;DATE(YEAR_Y-1,12,31))/100)))</f>
        <v/>
      </c>
      <c r="AR72" s="83">
        <f>IF($C72="","",IF(N($AQ72)+N(HSI!$I$67)=0,"",N($AQ72)+N(HSI!$I$67)/100))</f>
        <v/>
      </c>
      <c r="AS72" s="75">
        <f>IF($C72="","",IF(PULL_FUND="N","",IF(COUNTIFS('Fund History'!$D$368:$D$372,"&gt;="&amp;DATE(YEAR_Y-2,1,1),'Fund History'!$D$368:$D$372,"&lt;="&amp;DATE(YEAR_Y-2,12,31))=0,"",SUMIFS('Fund History'!$E$368:$E$372,'Fund History'!$D$368:$D$372,"&gt;="&amp;DATE(YEAR_Y-2,1,1),'Fund History'!$D$368:$D$372,"&lt;="&amp;DATE(YEAR_Y-2,12,31)))))</f>
        <v/>
      </c>
      <c r="AT72" s="76">
        <f>IF($C72="","",IF(PULL_FUND="N","",IF(COUNTIFS('Fund History'!$D$368:$D$372,"&gt;="&amp;DATE(YEAR_Y-1,1,1),'Fund History'!$D$368:$D$372,"&lt;="&amp;DATE(YEAR_Y-1,12,31))=0,"",SUMIFS('Fund History'!$E$368:$E$372,'Fund History'!$D$368:$D$372,"&gt;="&amp;DATE(YEAR_Y-1,1,1),'Fund History'!$D$368:$D$372,"&lt;="&amp;DATE(YEAR_Y-1,12,31)))))</f>
        <v/>
      </c>
      <c r="AU72" s="76">
        <f>IF($C72="","",IF(PULL_FUND="N","",IFERROR(BDP($C72,NDEBITDA_FIELD),"")))</f>
        <v/>
      </c>
      <c r="AV72" s="84">
        <f>IF($C72="","",IF(PULL_FUND="N","",IFERROR(BDP($C72,EBINT_FIELD),"")))</f>
        <v/>
      </c>
      <c r="AW72" s="82">
        <f>IF($C72="","",IF(PULL_FUND="N","",IFERROR(BDP($C72,FCF_FIELD)/100,"")))</f>
        <v/>
      </c>
      <c r="AX72" s="50">
        <f>IF($C72="","",IF(N($U72)=0,"",IFERROR($AW72/$U72,"")))</f>
        <v/>
      </c>
      <c r="AY72" s="85">
        <f>IF($C72="","",TRIM(IF(ISNUMBER($AJ72)*(N($AJ72)&gt;$D$4)&gt;0,"payout high  ","")&amp;IF(ISNUMBER($AX72)*(N($AX72)&lt;$F$4)&gt;0,"FCF below dvd  ","")&amp;IF(ISNUMBER($AU72)*(N($AU72)&gt;$H$4)&gt;0,"leverage high","")))</f>
        <v/>
      </c>
      <c r="AZ72" s="86">
        <f>IF($C72="","",IF(HSI!$F$67="HKD","",HSI!$F$67))</f>
        <v/>
      </c>
    </row>
    <row r="73">
      <c r="B73" s="66" t="inlineStr">
        <is>
          <t>HSI</t>
        </is>
      </c>
      <c r="C73" s="8">
        <f>IF(HSI!$C$68="","",HSI!$C$68)</f>
        <v/>
      </c>
      <c r="D73" s="8">
        <f>IF($C73="","",HSI!$D$68)</f>
        <v/>
      </c>
      <c r="E73" s="8">
        <f>IF($C73="","",HSI!$E$68)</f>
        <v/>
      </c>
      <c r="F73" s="67">
        <f>IF($C73="","",SUMPRODUCT(('Dvd Calendar'!$E$682:$AR$682&gt;=DATE(YEAR_Y-5,1,1))*('Dvd Calendar'!$E$682:$AR$682&lt;=DATE(YEAR_Y-5,12,31))*'Dvd Calendar'!$E$685:$AR$685*(('Dvd Calendar'!$E$687:$AR$687=TYPE1)*(TYPE1&lt;&gt;"")+('Dvd Calendar'!$E$687:$AR$687=TYPE2)*(TYPE2&lt;&gt;"")+('Dvd Calendar'!$E$687:$AR$687=TYPE3)*(TYPE3&lt;&gt;"")+('Dvd Calendar'!$E$687:$AR$687=TYPE4)*(TYPE4&lt;&gt;"")+('Dvd Calendar'!$E$687:$AR$687=SPECIAL_LBL)*(INC_SPECIALS="Y"))))</f>
        <v/>
      </c>
      <c r="G73" s="68">
        <f>IF($C73="","",SUMPRODUCT(('Dvd Calendar'!$E$682:$AR$682&gt;=DATE(YEAR_Y-4,1,1))*('Dvd Calendar'!$E$682:$AR$682&lt;=DATE(YEAR_Y-4,12,31))*'Dvd Calendar'!$E$685:$AR$685*(('Dvd Calendar'!$E$687:$AR$687=TYPE1)*(TYPE1&lt;&gt;"")+('Dvd Calendar'!$E$687:$AR$687=TYPE2)*(TYPE2&lt;&gt;"")+('Dvd Calendar'!$E$687:$AR$687=TYPE3)*(TYPE3&lt;&gt;"")+('Dvd Calendar'!$E$687:$AR$687=TYPE4)*(TYPE4&lt;&gt;"")+('Dvd Calendar'!$E$687:$AR$687=SPECIAL_LBL)*(INC_SPECIALS="Y"))))</f>
        <v/>
      </c>
      <c r="H73" s="68">
        <f>IF($C73="","",SUMPRODUCT(('Dvd Calendar'!$E$682:$AR$682&gt;=DATE(YEAR_Y-3,1,1))*('Dvd Calendar'!$E$682:$AR$682&lt;=DATE(YEAR_Y-3,12,31))*'Dvd Calendar'!$E$685:$AR$685*(('Dvd Calendar'!$E$687:$AR$687=TYPE1)*(TYPE1&lt;&gt;"")+('Dvd Calendar'!$E$687:$AR$687=TYPE2)*(TYPE2&lt;&gt;"")+('Dvd Calendar'!$E$687:$AR$687=TYPE3)*(TYPE3&lt;&gt;"")+('Dvd Calendar'!$E$687:$AR$687=TYPE4)*(TYPE4&lt;&gt;"")+('Dvd Calendar'!$E$687:$AR$687=SPECIAL_LBL)*(INC_SPECIALS="Y"))))</f>
        <v/>
      </c>
      <c r="I73" s="68">
        <f>IF($C73="","",SUMPRODUCT(('Dvd Calendar'!$E$682:$AR$682&gt;=DATE(YEAR_Y-2,1,1))*('Dvd Calendar'!$E$682:$AR$682&lt;=DATE(YEAR_Y-2,12,31))*'Dvd Calendar'!$E$685:$AR$685*(('Dvd Calendar'!$E$687:$AR$687=TYPE1)*(TYPE1&lt;&gt;"")+('Dvd Calendar'!$E$687:$AR$687=TYPE2)*(TYPE2&lt;&gt;"")+('Dvd Calendar'!$E$687:$AR$687=TYPE3)*(TYPE3&lt;&gt;"")+('Dvd Calendar'!$E$687:$AR$687=TYPE4)*(TYPE4&lt;&gt;"")+('Dvd Calendar'!$E$687:$AR$687=SPECIAL_LBL)*(INC_SPECIALS="Y"))))</f>
        <v/>
      </c>
      <c r="J73" s="68">
        <f>IF($C73="","",SUMPRODUCT(('Dvd Calendar'!$E$682:$AR$682&gt;=DATE(YEAR_Y-1,1,1))*('Dvd Calendar'!$E$682:$AR$682&lt;=DATE(YEAR_Y-1,12,31))*'Dvd Calendar'!$E$685:$AR$685*(('Dvd Calendar'!$E$687:$AR$687=TYPE1)*(TYPE1&lt;&gt;"")+('Dvd Calendar'!$E$687:$AR$687=TYPE2)*(TYPE2&lt;&gt;"")+('Dvd Calendar'!$E$687:$AR$687=TYPE3)*(TYPE3&lt;&gt;"")+('Dvd Calendar'!$E$687:$AR$687=TYPE4)*(TYPE4&lt;&gt;"")+('Dvd Calendar'!$E$687:$AR$687=SPECIAL_LBL)*(INC_SPECIALS="Y"))))</f>
        <v/>
      </c>
      <c r="K73" s="69">
        <f>IF($C73="","",HSI!$J$68)</f>
        <v/>
      </c>
      <c r="L73" s="69">
        <f>IF($C73="","",HSI!$K$68)</f>
        <v/>
      </c>
      <c r="M73" s="44">
        <f>IF($C73="","",HSI!$J$68+HSI!$L$68)</f>
        <v/>
      </c>
      <c r="N73" s="70">
        <f>IF($C73="","",IF(PULL_FUND="N","",IFERROR(BDP($C73,BESTDPS_FIELD,FWD_OVERRIDE,TEXT(MOD(YEAR_Y,100),"00")&amp;"Y"),"")))</f>
        <v/>
      </c>
      <c r="O73" s="69">
        <f>IF($C73="","",AVERAGE(F73:J73))</f>
        <v/>
      </c>
      <c r="P73" s="71">
        <f>IF($C73="","",IF(PULL_FUND="N","",IF(COUNTIFS('Fund History'!$J$374:$J$378,"&gt;="&amp;DATE(YEAR_Y-5,1,1),'Fund History'!$J$374:$J$378,"&lt;="&amp;DATE(YEAR_Y-5,12,31))=0,"",IFERROR($F73*HSI!$G$68/SUMIFS('Fund History'!$K$374:$K$378,'Fund History'!$J$374:$J$378,"&gt;="&amp;DATE(YEAR_Y-5,1,1),'Fund History'!$J$374:$J$378,"&lt;="&amp;DATE(YEAR_Y-5,12,31)),""))))</f>
        <v/>
      </c>
      <c r="Q73" s="72">
        <f>IF($C73="","",IF(PULL_FUND="N","",IF(COUNTIFS('Fund History'!$J$374:$J$378,"&gt;="&amp;DATE(YEAR_Y-4,1,1),'Fund History'!$J$374:$J$378,"&lt;="&amp;DATE(YEAR_Y-4,12,31))=0,"",IFERROR($G73*HSI!$G$68/SUMIFS('Fund History'!$K$374:$K$378,'Fund History'!$J$374:$J$378,"&gt;="&amp;DATE(YEAR_Y-4,1,1),'Fund History'!$J$374:$J$378,"&lt;="&amp;DATE(YEAR_Y-4,12,31)),""))))</f>
        <v/>
      </c>
      <c r="R73" s="72">
        <f>IF($C73="","",IF(PULL_FUND="N","",IF(COUNTIFS('Fund History'!$J$374:$J$378,"&gt;="&amp;DATE(YEAR_Y-3,1,1),'Fund History'!$J$374:$J$378,"&lt;="&amp;DATE(YEAR_Y-3,12,31))=0,"",IFERROR($H73*HSI!$G$68/SUMIFS('Fund History'!$K$374:$K$378,'Fund History'!$J$374:$J$378,"&gt;="&amp;DATE(YEAR_Y-3,1,1),'Fund History'!$J$374:$J$378,"&lt;="&amp;DATE(YEAR_Y-3,12,31)),""))))</f>
        <v/>
      </c>
      <c r="S73" s="72">
        <f>IF($C73="","",IF(PULL_FUND="N","",IF(COUNTIFS('Fund History'!$J$374:$J$378,"&gt;="&amp;DATE(YEAR_Y-2,1,1),'Fund History'!$J$374:$J$378,"&lt;="&amp;DATE(YEAR_Y-2,12,31))=0,"",IFERROR($I73*HSI!$G$68/SUMIFS('Fund History'!$K$374:$K$378,'Fund History'!$J$374:$J$378,"&gt;="&amp;DATE(YEAR_Y-2,1,1),'Fund History'!$J$374:$J$378,"&lt;="&amp;DATE(YEAR_Y-2,12,31)),""))))</f>
        <v/>
      </c>
      <c r="T73" s="72">
        <f>IF($C73="","",IF(PULL_FUND="N","",IF(COUNTIFS('Fund History'!$J$374:$J$378,"&gt;="&amp;DATE(YEAR_Y-1,1,1),'Fund History'!$J$374:$J$378,"&lt;="&amp;DATE(YEAR_Y-1,12,31))=0,"",IFERROR($J73*HSI!$G$68/SUMIFS('Fund History'!$K$374:$K$378,'Fund History'!$J$374:$J$378,"&gt;="&amp;DATE(YEAR_Y-1,1,1),'Fund History'!$J$374:$J$378,"&lt;="&amp;DATE(YEAR_Y-1,12,31)),""))))</f>
        <v/>
      </c>
      <c r="U73" s="73">
        <f>IF($C73="","",IF(ISNUMBER(HSI!$I$68),HSI!$I$68/100,""))</f>
        <v/>
      </c>
      <c r="V73" s="74">
        <f>IF($C73="","",IF(ISNUMBER(HSI!$X$68),IFERROR($M73*HSI!$G$68/HSI!$X$68,""),""))</f>
        <v/>
      </c>
      <c r="W73" s="73">
        <f>IF($C73="","",IF(ISNUMBER($N73),IFERROR($N73*HSI!$G$68/HSI!$X$68,""),""))</f>
        <v/>
      </c>
      <c r="X73" s="75">
        <f>IF($C73="","",IF(PULL_FUND="N","",IFERROR(BDP($C73,EPS_FIELD,YR_OVERRIDE,TEXT(YEAR_Y-5,"0")),"")))</f>
        <v/>
      </c>
      <c r="Y73" s="76">
        <f>IF($C73="","",IF(PULL_FUND="N","",IFERROR(BDP($C73,EPS_FIELD,YR_OVERRIDE,TEXT(YEAR_Y-4,"0")),"")))</f>
        <v/>
      </c>
      <c r="Z73" s="76">
        <f>IF($C73="","",IF(PULL_FUND="N","",IFERROR(BDP($C73,EPS_FIELD,YR_OVERRIDE,TEXT(YEAR_Y-3,"0")),"")))</f>
        <v/>
      </c>
      <c r="AA73" s="76">
        <f>IF($C73="","",IF(PULL_FUND="N","",IFERROR(BDP($C73,EPS_FIELD,YR_OVERRIDE,TEXT(YEAR_Y-2,"0")),"")))</f>
        <v/>
      </c>
      <c r="AB73" s="76">
        <f>IF($C73="","",IF(PULL_FUND="N","",IFERROR(BDP($C73,EPS_FIELD,YR_OVERRIDE,TEXT(YEAR_Y-1,"0")),"")))</f>
        <v/>
      </c>
      <c r="AC73" s="50">
        <f>IF($C73="","",IFERROR(AVERAGE(X73:AB73),""))</f>
        <v/>
      </c>
      <c r="AD73" s="76">
        <f>IF($C73="","",IF(PULL_FUND="N","",IFERROR(BDP($C73,BESTEPS_FIELD,FWD_OVERRIDE,TEXT(MOD(YEAR_Y,100),"00")&amp;"Y"),"")))</f>
        <v/>
      </c>
      <c r="AE73" s="77">
        <f>IF($C73="","",IF(PULL_FUND="N","",IFERROR(BDP($C73,PAYOUT_FIELD,YR_OVERRIDE,TEXT(YEAR_Y-5,"0"))/100,"")))</f>
        <v/>
      </c>
      <c r="AF73" s="78">
        <f>IF($C73="","",IF(PULL_FUND="N","",IFERROR(BDP($C73,PAYOUT_FIELD,YR_OVERRIDE,TEXT(YEAR_Y-4,"0"))/100,"")))</f>
        <v/>
      </c>
      <c r="AG73" s="78">
        <f>IF($C73="","",IF(PULL_FUND="N","",IFERROR(BDP($C73,PAYOUT_FIELD,YR_OVERRIDE,TEXT(YEAR_Y-3,"0"))/100,"")))</f>
        <v/>
      </c>
      <c r="AH73" s="78">
        <f>IF($C73="","",IF(PULL_FUND="N","",IFERROR(BDP($C73,PAYOUT_FIELD,YR_OVERRIDE,TEXT(YEAR_Y-2,"0"))/100,"")))</f>
        <v/>
      </c>
      <c r="AI73" s="78">
        <f>IF($C73="","",IF(PULL_FUND="N","",IFERROR(BDP($C73,PAYOUT_FIELD,YR_OVERRIDE,TEXT(YEAR_Y-1,"0"))/100,"")))</f>
        <v/>
      </c>
      <c r="AJ73" s="79">
        <f>IF($C73="","",IFERROR(AVERAGE(AE73:AI73),""))</f>
        <v/>
      </c>
      <c r="AK73" s="80">
        <f>IF($C73="","",IF(ISNUMBER($AD73)*ISNUMBER($N73)*($AD73&lt;&gt;0)=0,"",$N73/$AD73))</f>
        <v/>
      </c>
      <c r="AL73" s="79">
        <f>IF($C73="","",IF(ISNUMBER($AD73)*($AD73&lt;&gt;0)=0,"",$M73/$AD73))</f>
        <v/>
      </c>
      <c r="AM73" s="37">
        <f>IF($C73="","",IF(ISNUMBER($AE73)*ISNUMBER($AI73)=0,"",IF($AI73&gt;$AE73+0.05,"rising",IF($AI73&lt;$AE73-0.05,"falling","stable"))))</f>
        <v/>
      </c>
      <c r="AN73" s="81">
        <f>IF($C73="","",IF(PULL_FUND="N","",IF(COUNTIFS('Fund History'!$G$374:$G$378,"&gt;="&amp;DATE(YEAR_Y-4,1,1),'Fund History'!$G$374:$G$378,"&lt;="&amp;DATE(YEAR_Y-4,12,31))=0,"",SUMIFS('Fund History'!$H$374:$H$378,'Fund History'!$G$374:$G$378,"&gt;="&amp;DATE(YEAR_Y-4,1,1),'Fund History'!$G$374:$G$378,"&lt;="&amp;DATE(YEAR_Y-4,12,31))/100)))</f>
        <v/>
      </c>
      <c r="AO73" s="82">
        <f>IF($C73="","",IF(PULL_FUND="N","",IF(COUNTIFS('Fund History'!$G$374:$G$378,"&gt;="&amp;DATE(YEAR_Y-3,1,1),'Fund History'!$G$374:$G$378,"&lt;="&amp;DATE(YEAR_Y-3,12,31))=0,"",SUMIFS('Fund History'!$H$374:$H$378,'Fund History'!$G$374:$G$378,"&gt;="&amp;DATE(YEAR_Y-3,1,1),'Fund History'!$G$374:$G$378,"&lt;="&amp;DATE(YEAR_Y-3,12,31))/100)))</f>
        <v/>
      </c>
      <c r="AP73" s="82">
        <f>IF($C73="","",IF(PULL_FUND="N","",IF(COUNTIFS('Fund History'!$G$374:$G$378,"&gt;="&amp;DATE(YEAR_Y-2,1,1),'Fund History'!$G$374:$G$378,"&lt;="&amp;DATE(YEAR_Y-2,12,31))=0,"",SUMIFS('Fund History'!$H$374:$H$378,'Fund History'!$G$374:$G$378,"&gt;="&amp;DATE(YEAR_Y-2,1,1),'Fund History'!$G$374:$G$378,"&lt;="&amp;DATE(YEAR_Y-2,12,31))/100)))</f>
        <v/>
      </c>
      <c r="AQ73" s="82">
        <f>IF($C73="","",IF(PULL_FUND="N","",IF(COUNTIFS('Fund History'!$G$374:$G$378,"&gt;="&amp;DATE(YEAR_Y-1,1,1),'Fund History'!$G$374:$G$378,"&lt;="&amp;DATE(YEAR_Y-1,12,31))=0,"",SUMIFS('Fund History'!$H$374:$H$378,'Fund History'!$G$374:$G$378,"&gt;="&amp;DATE(YEAR_Y-1,1,1),'Fund History'!$G$374:$G$378,"&lt;="&amp;DATE(YEAR_Y-1,12,31))/100)))</f>
        <v/>
      </c>
      <c r="AR73" s="83">
        <f>IF($C73="","",IF(N($AQ73)+N(HSI!$I$68)=0,"",N($AQ73)+N(HSI!$I$68)/100))</f>
        <v/>
      </c>
      <c r="AS73" s="75">
        <f>IF($C73="","",IF(PULL_FUND="N","",IF(COUNTIFS('Fund History'!$D$374:$D$378,"&gt;="&amp;DATE(YEAR_Y-2,1,1),'Fund History'!$D$374:$D$378,"&lt;="&amp;DATE(YEAR_Y-2,12,31))=0,"",SUMIFS('Fund History'!$E$374:$E$378,'Fund History'!$D$374:$D$378,"&gt;="&amp;DATE(YEAR_Y-2,1,1),'Fund History'!$D$374:$D$378,"&lt;="&amp;DATE(YEAR_Y-2,12,31)))))</f>
        <v/>
      </c>
      <c r="AT73" s="76">
        <f>IF($C73="","",IF(PULL_FUND="N","",IF(COUNTIFS('Fund History'!$D$374:$D$378,"&gt;="&amp;DATE(YEAR_Y-1,1,1),'Fund History'!$D$374:$D$378,"&lt;="&amp;DATE(YEAR_Y-1,12,31))=0,"",SUMIFS('Fund History'!$E$374:$E$378,'Fund History'!$D$374:$D$378,"&gt;="&amp;DATE(YEAR_Y-1,1,1),'Fund History'!$D$374:$D$378,"&lt;="&amp;DATE(YEAR_Y-1,12,31)))))</f>
        <v/>
      </c>
      <c r="AU73" s="76">
        <f>IF($C73="","",IF(PULL_FUND="N","",IFERROR(BDP($C73,NDEBITDA_FIELD),"")))</f>
        <v/>
      </c>
      <c r="AV73" s="84">
        <f>IF($C73="","",IF(PULL_FUND="N","",IFERROR(BDP($C73,EBINT_FIELD),"")))</f>
        <v/>
      </c>
      <c r="AW73" s="82">
        <f>IF($C73="","",IF(PULL_FUND="N","",IFERROR(BDP($C73,FCF_FIELD)/100,"")))</f>
        <v/>
      </c>
      <c r="AX73" s="50">
        <f>IF($C73="","",IF(N($U73)=0,"",IFERROR($AW73/$U73,"")))</f>
        <v/>
      </c>
      <c r="AY73" s="85">
        <f>IF($C73="","",TRIM(IF(ISNUMBER($AJ73)*(N($AJ73)&gt;$D$4)&gt;0,"payout high  ","")&amp;IF(ISNUMBER($AX73)*(N($AX73)&lt;$F$4)&gt;0,"FCF below dvd  ","")&amp;IF(ISNUMBER($AU73)*(N($AU73)&gt;$H$4)&gt;0,"leverage high","")))</f>
        <v/>
      </c>
      <c r="AZ73" s="86">
        <f>IF($C73="","",IF(HSI!$F$68="HKD","",HSI!$F$68))</f>
        <v/>
      </c>
    </row>
    <row r="74">
      <c r="B74" s="66" t="inlineStr">
        <is>
          <t>HSI</t>
        </is>
      </c>
      <c r="C74" s="8">
        <f>IF(HSI!$C$69="","",HSI!$C$69)</f>
        <v/>
      </c>
      <c r="D74" s="8">
        <f>IF($C74="","",HSI!$D$69)</f>
        <v/>
      </c>
      <c r="E74" s="8">
        <f>IF($C74="","",HSI!$E$69)</f>
        <v/>
      </c>
      <c r="F74" s="67">
        <f>IF($C74="","",SUMPRODUCT(('Dvd Calendar'!$E$693:$AR$693&gt;=DATE(YEAR_Y-5,1,1))*('Dvd Calendar'!$E$693:$AR$693&lt;=DATE(YEAR_Y-5,12,31))*'Dvd Calendar'!$E$696:$AR$696*(('Dvd Calendar'!$E$698:$AR$698=TYPE1)*(TYPE1&lt;&gt;"")+('Dvd Calendar'!$E$698:$AR$698=TYPE2)*(TYPE2&lt;&gt;"")+('Dvd Calendar'!$E$698:$AR$698=TYPE3)*(TYPE3&lt;&gt;"")+('Dvd Calendar'!$E$698:$AR$698=TYPE4)*(TYPE4&lt;&gt;"")+('Dvd Calendar'!$E$698:$AR$698=SPECIAL_LBL)*(INC_SPECIALS="Y"))))</f>
        <v/>
      </c>
      <c r="G74" s="68">
        <f>IF($C74="","",SUMPRODUCT(('Dvd Calendar'!$E$693:$AR$693&gt;=DATE(YEAR_Y-4,1,1))*('Dvd Calendar'!$E$693:$AR$693&lt;=DATE(YEAR_Y-4,12,31))*'Dvd Calendar'!$E$696:$AR$696*(('Dvd Calendar'!$E$698:$AR$698=TYPE1)*(TYPE1&lt;&gt;"")+('Dvd Calendar'!$E$698:$AR$698=TYPE2)*(TYPE2&lt;&gt;"")+('Dvd Calendar'!$E$698:$AR$698=TYPE3)*(TYPE3&lt;&gt;"")+('Dvd Calendar'!$E$698:$AR$698=TYPE4)*(TYPE4&lt;&gt;"")+('Dvd Calendar'!$E$698:$AR$698=SPECIAL_LBL)*(INC_SPECIALS="Y"))))</f>
        <v/>
      </c>
      <c r="H74" s="68">
        <f>IF($C74="","",SUMPRODUCT(('Dvd Calendar'!$E$693:$AR$693&gt;=DATE(YEAR_Y-3,1,1))*('Dvd Calendar'!$E$693:$AR$693&lt;=DATE(YEAR_Y-3,12,31))*'Dvd Calendar'!$E$696:$AR$696*(('Dvd Calendar'!$E$698:$AR$698=TYPE1)*(TYPE1&lt;&gt;"")+('Dvd Calendar'!$E$698:$AR$698=TYPE2)*(TYPE2&lt;&gt;"")+('Dvd Calendar'!$E$698:$AR$698=TYPE3)*(TYPE3&lt;&gt;"")+('Dvd Calendar'!$E$698:$AR$698=TYPE4)*(TYPE4&lt;&gt;"")+('Dvd Calendar'!$E$698:$AR$698=SPECIAL_LBL)*(INC_SPECIALS="Y"))))</f>
        <v/>
      </c>
      <c r="I74" s="68">
        <f>IF($C74="","",SUMPRODUCT(('Dvd Calendar'!$E$693:$AR$693&gt;=DATE(YEAR_Y-2,1,1))*('Dvd Calendar'!$E$693:$AR$693&lt;=DATE(YEAR_Y-2,12,31))*'Dvd Calendar'!$E$696:$AR$696*(('Dvd Calendar'!$E$698:$AR$698=TYPE1)*(TYPE1&lt;&gt;"")+('Dvd Calendar'!$E$698:$AR$698=TYPE2)*(TYPE2&lt;&gt;"")+('Dvd Calendar'!$E$698:$AR$698=TYPE3)*(TYPE3&lt;&gt;"")+('Dvd Calendar'!$E$698:$AR$698=TYPE4)*(TYPE4&lt;&gt;"")+('Dvd Calendar'!$E$698:$AR$698=SPECIAL_LBL)*(INC_SPECIALS="Y"))))</f>
        <v/>
      </c>
      <c r="J74" s="68">
        <f>IF($C74="","",SUMPRODUCT(('Dvd Calendar'!$E$693:$AR$693&gt;=DATE(YEAR_Y-1,1,1))*('Dvd Calendar'!$E$693:$AR$693&lt;=DATE(YEAR_Y-1,12,31))*'Dvd Calendar'!$E$696:$AR$696*(('Dvd Calendar'!$E$698:$AR$698=TYPE1)*(TYPE1&lt;&gt;"")+('Dvd Calendar'!$E$698:$AR$698=TYPE2)*(TYPE2&lt;&gt;"")+('Dvd Calendar'!$E$698:$AR$698=TYPE3)*(TYPE3&lt;&gt;"")+('Dvd Calendar'!$E$698:$AR$698=TYPE4)*(TYPE4&lt;&gt;"")+('Dvd Calendar'!$E$698:$AR$698=SPECIAL_LBL)*(INC_SPECIALS="Y"))))</f>
        <v/>
      </c>
      <c r="K74" s="69">
        <f>IF($C74="","",HSI!$J$69)</f>
        <v/>
      </c>
      <c r="L74" s="69">
        <f>IF($C74="","",HSI!$K$69)</f>
        <v/>
      </c>
      <c r="M74" s="44">
        <f>IF($C74="","",HSI!$J$69+HSI!$L$69)</f>
        <v/>
      </c>
      <c r="N74" s="70">
        <f>IF($C74="","",IF(PULL_FUND="N","",IFERROR(BDP($C74,BESTDPS_FIELD,FWD_OVERRIDE,TEXT(MOD(YEAR_Y,100),"00")&amp;"Y"),"")))</f>
        <v/>
      </c>
      <c r="O74" s="69">
        <f>IF($C74="","",AVERAGE(F74:J74))</f>
        <v/>
      </c>
      <c r="P74" s="71">
        <f>IF($C74="","",IF(PULL_FUND="N","",IF(COUNTIFS('Fund History'!$J$380:$J$384,"&gt;="&amp;DATE(YEAR_Y-5,1,1),'Fund History'!$J$380:$J$384,"&lt;="&amp;DATE(YEAR_Y-5,12,31))=0,"",IFERROR($F74*HSI!$G$69/SUMIFS('Fund History'!$K$380:$K$384,'Fund History'!$J$380:$J$384,"&gt;="&amp;DATE(YEAR_Y-5,1,1),'Fund History'!$J$380:$J$384,"&lt;="&amp;DATE(YEAR_Y-5,12,31)),""))))</f>
        <v/>
      </c>
      <c r="Q74" s="72">
        <f>IF($C74="","",IF(PULL_FUND="N","",IF(COUNTIFS('Fund History'!$J$380:$J$384,"&gt;="&amp;DATE(YEAR_Y-4,1,1),'Fund History'!$J$380:$J$384,"&lt;="&amp;DATE(YEAR_Y-4,12,31))=0,"",IFERROR($G74*HSI!$G$69/SUMIFS('Fund History'!$K$380:$K$384,'Fund History'!$J$380:$J$384,"&gt;="&amp;DATE(YEAR_Y-4,1,1),'Fund History'!$J$380:$J$384,"&lt;="&amp;DATE(YEAR_Y-4,12,31)),""))))</f>
        <v/>
      </c>
      <c r="R74" s="72">
        <f>IF($C74="","",IF(PULL_FUND="N","",IF(COUNTIFS('Fund History'!$J$380:$J$384,"&gt;="&amp;DATE(YEAR_Y-3,1,1),'Fund History'!$J$380:$J$384,"&lt;="&amp;DATE(YEAR_Y-3,12,31))=0,"",IFERROR($H74*HSI!$G$69/SUMIFS('Fund History'!$K$380:$K$384,'Fund History'!$J$380:$J$384,"&gt;="&amp;DATE(YEAR_Y-3,1,1),'Fund History'!$J$380:$J$384,"&lt;="&amp;DATE(YEAR_Y-3,12,31)),""))))</f>
        <v/>
      </c>
      <c r="S74" s="72">
        <f>IF($C74="","",IF(PULL_FUND="N","",IF(COUNTIFS('Fund History'!$J$380:$J$384,"&gt;="&amp;DATE(YEAR_Y-2,1,1),'Fund History'!$J$380:$J$384,"&lt;="&amp;DATE(YEAR_Y-2,12,31))=0,"",IFERROR($I74*HSI!$G$69/SUMIFS('Fund History'!$K$380:$K$384,'Fund History'!$J$380:$J$384,"&gt;="&amp;DATE(YEAR_Y-2,1,1),'Fund History'!$J$380:$J$384,"&lt;="&amp;DATE(YEAR_Y-2,12,31)),""))))</f>
        <v/>
      </c>
      <c r="T74" s="72">
        <f>IF($C74="","",IF(PULL_FUND="N","",IF(COUNTIFS('Fund History'!$J$380:$J$384,"&gt;="&amp;DATE(YEAR_Y-1,1,1),'Fund History'!$J$380:$J$384,"&lt;="&amp;DATE(YEAR_Y-1,12,31))=0,"",IFERROR($J74*HSI!$G$69/SUMIFS('Fund History'!$K$380:$K$384,'Fund History'!$J$380:$J$384,"&gt;="&amp;DATE(YEAR_Y-1,1,1),'Fund History'!$J$380:$J$384,"&lt;="&amp;DATE(YEAR_Y-1,12,31)),""))))</f>
        <v/>
      </c>
      <c r="U74" s="73">
        <f>IF($C74="","",IF(ISNUMBER(HSI!$I$69),HSI!$I$69/100,""))</f>
        <v/>
      </c>
      <c r="V74" s="74">
        <f>IF($C74="","",IF(ISNUMBER(HSI!$X$69),IFERROR($M74*HSI!$G$69/HSI!$X$69,""),""))</f>
        <v/>
      </c>
      <c r="W74" s="73">
        <f>IF($C74="","",IF(ISNUMBER($N74),IFERROR($N74*HSI!$G$69/HSI!$X$69,""),""))</f>
        <v/>
      </c>
      <c r="X74" s="75">
        <f>IF($C74="","",IF(PULL_FUND="N","",IFERROR(BDP($C74,EPS_FIELD,YR_OVERRIDE,TEXT(YEAR_Y-5,"0")),"")))</f>
        <v/>
      </c>
      <c r="Y74" s="76">
        <f>IF($C74="","",IF(PULL_FUND="N","",IFERROR(BDP($C74,EPS_FIELD,YR_OVERRIDE,TEXT(YEAR_Y-4,"0")),"")))</f>
        <v/>
      </c>
      <c r="Z74" s="76">
        <f>IF($C74="","",IF(PULL_FUND="N","",IFERROR(BDP($C74,EPS_FIELD,YR_OVERRIDE,TEXT(YEAR_Y-3,"0")),"")))</f>
        <v/>
      </c>
      <c r="AA74" s="76">
        <f>IF($C74="","",IF(PULL_FUND="N","",IFERROR(BDP($C74,EPS_FIELD,YR_OVERRIDE,TEXT(YEAR_Y-2,"0")),"")))</f>
        <v/>
      </c>
      <c r="AB74" s="76">
        <f>IF($C74="","",IF(PULL_FUND="N","",IFERROR(BDP($C74,EPS_FIELD,YR_OVERRIDE,TEXT(YEAR_Y-1,"0")),"")))</f>
        <v/>
      </c>
      <c r="AC74" s="50">
        <f>IF($C74="","",IFERROR(AVERAGE(X74:AB74),""))</f>
        <v/>
      </c>
      <c r="AD74" s="76">
        <f>IF($C74="","",IF(PULL_FUND="N","",IFERROR(BDP($C74,BESTEPS_FIELD,FWD_OVERRIDE,TEXT(MOD(YEAR_Y,100),"00")&amp;"Y"),"")))</f>
        <v/>
      </c>
      <c r="AE74" s="77">
        <f>IF($C74="","",IF(PULL_FUND="N","",IFERROR(BDP($C74,PAYOUT_FIELD,YR_OVERRIDE,TEXT(YEAR_Y-5,"0"))/100,"")))</f>
        <v/>
      </c>
      <c r="AF74" s="78">
        <f>IF($C74="","",IF(PULL_FUND="N","",IFERROR(BDP($C74,PAYOUT_FIELD,YR_OVERRIDE,TEXT(YEAR_Y-4,"0"))/100,"")))</f>
        <v/>
      </c>
      <c r="AG74" s="78">
        <f>IF($C74="","",IF(PULL_FUND="N","",IFERROR(BDP($C74,PAYOUT_FIELD,YR_OVERRIDE,TEXT(YEAR_Y-3,"0"))/100,"")))</f>
        <v/>
      </c>
      <c r="AH74" s="78">
        <f>IF($C74="","",IF(PULL_FUND="N","",IFERROR(BDP($C74,PAYOUT_FIELD,YR_OVERRIDE,TEXT(YEAR_Y-2,"0"))/100,"")))</f>
        <v/>
      </c>
      <c r="AI74" s="78">
        <f>IF($C74="","",IF(PULL_FUND="N","",IFERROR(BDP($C74,PAYOUT_FIELD,YR_OVERRIDE,TEXT(YEAR_Y-1,"0"))/100,"")))</f>
        <v/>
      </c>
      <c r="AJ74" s="79">
        <f>IF($C74="","",IFERROR(AVERAGE(AE74:AI74),""))</f>
        <v/>
      </c>
      <c r="AK74" s="80">
        <f>IF($C74="","",IF(ISNUMBER($AD74)*ISNUMBER($N74)*($AD74&lt;&gt;0)=0,"",$N74/$AD74))</f>
        <v/>
      </c>
      <c r="AL74" s="79">
        <f>IF($C74="","",IF(ISNUMBER($AD74)*($AD74&lt;&gt;0)=0,"",$M74/$AD74))</f>
        <v/>
      </c>
      <c r="AM74" s="37">
        <f>IF($C74="","",IF(ISNUMBER($AE74)*ISNUMBER($AI74)=0,"",IF($AI74&gt;$AE74+0.05,"rising",IF($AI74&lt;$AE74-0.05,"falling","stable"))))</f>
        <v/>
      </c>
      <c r="AN74" s="81">
        <f>IF($C74="","",IF(PULL_FUND="N","",IF(COUNTIFS('Fund History'!$G$380:$G$384,"&gt;="&amp;DATE(YEAR_Y-4,1,1),'Fund History'!$G$380:$G$384,"&lt;="&amp;DATE(YEAR_Y-4,12,31))=0,"",SUMIFS('Fund History'!$H$380:$H$384,'Fund History'!$G$380:$G$384,"&gt;="&amp;DATE(YEAR_Y-4,1,1),'Fund History'!$G$380:$G$384,"&lt;="&amp;DATE(YEAR_Y-4,12,31))/100)))</f>
        <v/>
      </c>
      <c r="AO74" s="82">
        <f>IF($C74="","",IF(PULL_FUND="N","",IF(COUNTIFS('Fund History'!$G$380:$G$384,"&gt;="&amp;DATE(YEAR_Y-3,1,1),'Fund History'!$G$380:$G$384,"&lt;="&amp;DATE(YEAR_Y-3,12,31))=0,"",SUMIFS('Fund History'!$H$380:$H$384,'Fund History'!$G$380:$G$384,"&gt;="&amp;DATE(YEAR_Y-3,1,1),'Fund History'!$G$380:$G$384,"&lt;="&amp;DATE(YEAR_Y-3,12,31))/100)))</f>
        <v/>
      </c>
      <c r="AP74" s="82">
        <f>IF($C74="","",IF(PULL_FUND="N","",IF(COUNTIFS('Fund History'!$G$380:$G$384,"&gt;="&amp;DATE(YEAR_Y-2,1,1),'Fund History'!$G$380:$G$384,"&lt;="&amp;DATE(YEAR_Y-2,12,31))=0,"",SUMIFS('Fund History'!$H$380:$H$384,'Fund History'!$G$380:$G$384,"&gt;="&amp;DATE(YEAR_Y-2,1,1),'Fund History'!$G$380:$G$384,"&lt;="&amp;DATE(YEAR_Y-2,12,31))/100)))</f>
        <v/>
      </c>
      <c r="AQ74" s="82">
        <f>IF($C74="","",IF(PULL_FUND="N","",IF(COUNTIFS('Fund History'!$G$380:$G$384,"&gt;="&amp;DATE(YEAR_Y-1,1,1),'Fund History'!$G$380:$G$384,"&lt;="&amp;DATE(YEAR_Y-1,12,31))=0,"",SUMIFS('Fund History'!$H$380:$H$384,'Fund History'!$G$380:$G$384,"&gt;="&amp;DATE(YEAR_Y-1,1,1),'Fund History'!$G$380:$G$384,"&lt;="&amp;DATE(YEAR_Y-1,12,31))/100)))</f>
        <v/>
      </c>
      <c r="AR74" s="83">
        <f>IF($C74="","",IF(N($AQ74)+N(HSI!$I$69)=0,"",N($AQ74)+N(HSI!$I$69)/100))</f>
        <v/>
      </c>
      <c r="AS74" s="75">
        <f>IF($C74="","",IF(PULL_FUND="N","",IF(COUNTIFS('Fund History'!$D$380:$D$384,"&gt;="&amp;DATE(YEAR_Y-2,1,1),'Fund History'!$D$380:$D$384,"&lt;="&amp;DATE(YEAR_Y-2,12,31))=0,"",SUMIFS('Fund History'!$E$380:$E$384,'Fund History'!$D$380:$D$384,"&gt;="&amp;DATE(YEAR_Y-2,1,1),'Fund History'!$D$380:$D$384,"&lt;="&amp;DATE(YEAR_Y-2,12,31)))))</f>
        <v/>
      </c>
      <c r="AT74" s="76">
        <f>IF($C74="","",IF(PULL_FUND="N","",IF(COUNTIFS('Fund History'!$D$380:$D$384,"&gt;="&amp;DATE(YEAR_Y-1,1,1),'Fund History'!$D$380:$D$384,"&lt;="&amp;DATE(YEAR_Y-1,12,31))=0,"",SUMIFS('Fund History'!$E$380:$E$384,'Fund History'!$D$380:$D$384,"&gt;="&amp;DATE(YEAR_Y-1,1,1),'Fund History'!$D$380:$D$384,"&lt;="&amp;DATE(YEAR_Y-1,12,31)))))</f>
        <v/>
      </c>
      <c r="AU74" s="76">
        <f>IF($C74="","",IF(PULL_FUND="N","",IFERROR(BDP($C74,NDEBITDA_FIELD),"")))</f>
        <v/>
      </c>
      <c r="AV74" s="84">
        <f>IF($C74="","",IF(PULL_FUND="N","",IFERROR(BDP($C74,EBINT_FIELD),"")))</f>
        <v/>
      </c>
      <c r="AW74" s="82">
        <f>IF($C74="","",IF(PULL_FUND="N","",IFERROR(BDP($C74,FCF_FIELD)/100,"")))</f>
        <v/>
      </c>
      <c r="AX74" s="50">
        <f>IF($C74="","",IF(N($U74)=0,"",IFERROR($AW74/$U74,"")))</f>
        <v/>
      </c>
      <c r="AY74" s="85">
        <f>IF($C74="","",TRIM(IF(ISNUMBER($AJ74)*(N($AJ74)&gt;$D$4)&gt;0,"payout high  ","")&amp;IF(ISNUMBER($AX74)*(N($AX74)&lt;$F$4)&gt;0,"FCF below dvd  ","")&amp;IF(ISNUMBER($AU74)*(N($AU74)&gt;$H$4)&gt;0,"leverage high","")))</f>
        <v/>
      </c>
      <c r="AZ74" s="86">
        <f>IF($C74="","",IF(HSI!$F$69="HKD","",HSI!$F$69))</f>
        <v/>
      </c>
    </row>
    <row r="75">
      <c r="B75" s="66" t="inlineStr">
        <is>
          <t>HSI</t>
        </is>
      </c>
      <c r="C75" s="8">
        <f>IF(HSI!$C$70="","",HSI!$C$70)</f>
        <v/>
      </c>
      <c r="D75" s="8">
        <f>IF($C75="","",HSI!$D$70)</f>
        <v/>
      </c>
      <c r="E75" s="8">
        <f>IF($C75="","",HSI!$E$70)</f>
        <v/>
      </c>
      <c r="F75" s="67">
        <f>IF($C75="","",SUMPRODUCT(('Dvd Calendar'!$E$704:$AR$704&gt;=DATE(YEAR_Y-5,1,1))*('Dvd Calendar'!$E$704:$AR$704&lt;=DATE(YEAR_Y-5,12,31))*'Dvd Calendar'!$E$707:$AR$707*(('Dvd Calendar'!$E$709:$AR$709=TYPE1)*(TYPE1&lt;&gt;"")+('Dvd Calendar'!$E$709:$AR$709=TYPE2)*(TYPE2&lt;&gt;"")+('Dvd Calendar'!$E$709:$AR$709=TYPE3)*(TYPE3&lt;&gt;"")+('Dvd Calendar'!$E$709:$AR$709=TYPE4)*(TYPE4&lt;&gt;"")+('Dvd Calendar'!$E$709:$AR$709=SPECIAL_LBL)*(INC_SPECIALS="Y"))))</f>
        <v/>
      </c>
      <c r="G75" s="68">
        <f>IF($C75="","",SUMPRODUCT(('Dvd Calendar'!$E$704:$AR$704&gt;=DATE(YEAR_Y-4,1,1))*('Dvd Calendar'!$E$704:$AR$704&lt;=DATE(YEAR_Y-4,12,31))*'Dvd Calendar'!$E$707:$AR$707*(('Dvd Calendar'!$E$709:$AR$709=TYPE1)*(TYPE1&lt;&gt;"")+('Dvd Calendar'!$E$709:$AR$709=TYPE2)*(TYPE2&lt;&gt;"")+('Dvd Calendar'!$E$709:$AR$709=TYPE3)*(TYPE3&lt;&gt;"")+('Dvd Calendar'!$E$709:$AR$709=TYPE4)*(TYPE4&lt;&gt;"")+('Dvd Calendar'!$E$709:$AR$709=SPECIAL_LBL)*(INC_SPECIALS="Y"))))</f>
        <v/>
      </c>
      <c r="H75" s="68">
        <f>IF($C75="","",SUMPRODUCT(('Dvd Calendar'!$E$704:$AR$704&gt;=DATE(YEAR_Y-3,1,1))*('Dvd Calendar'!$E$704:$AR$704&lt;=DATE(YEAR_Y-3,12,31))*'Dvd Calendar'!$E$707:$AR$707*(('Dvd Calendar'!$E$709:$AR$709=TYPE1)*(TYPE1&lt;&gt;"")+('Dvd Calendar'!$E$709:$AR$709=TYPE2)*(TYPE2&lt;&gt;"")+('Dvd Calendar'!$E$709:$AR$709=TYPE3)*(TYPE3&lt;&gt;"")+('Dvd Calendar'!$E$709:$AR$709=TYPE4)*(TYPE4&lt;&gt;"")+('Dvd Calendar'!$E$709:$AR$709=SPECIAL_LBL)*(INC_SPECIALS="Y"))))</f>
        <v/>
      </c>
      <c r="I75" s="68">
        <f>IF($C75="","",SUMPRODUCT(('Dvd Calendar'!$E$704:$AR$704&gt;=DATE(YEAR_Y-2,1,1))*('Dvd Calendar'!$E$704:$AR$704&lt;=DATE(YEAR_Y-2,12,31))*'Dvd Calendar'!$E$707:$AR$707*(('Dvd Calendar'!$E$709:$AR$709=TYPE1)*(TYPE1&lt;&gt;"")+('Dvd Calendar'!$E$709:$AR$709=TYPE2)*(TYPE2&lt;&gt;"")+('Dvd Calendar'!$E$709:$AR$709=TYPE3)*(TYPE3&lt;&gt;"")+('Dvd Calendar'!$E$709:$AR$709=TYPE4)*(TYPE4&lt;&gt;"")+('Dvd Calendar'!$E$709:$AR$709=SPECIAL_LBL)*(INC_SPECIALS="Y"))))</f>
        <v/>
      </c>
      <c r="J75" s="68">
        <f>IF($C75="","",SUMPRODUCT(('Dvd Calendar'!$E$704:$AR$704&gt;=DATE(YEAR_Y-1,1,1))*('Dvd Calendar'!$E$704:$AR$704&lt;=DATE(YEAR_Y-1,12,31))*'Dvd Calendar'!$E$707:$AR$707*(('Dvd Calendar'!$E$709:$AR$709=TYPE1)*(TYPE1&lt;&gt;"")+('Dvd Calendar'!$E$709:$AR$709=TYPE2)*(TYPE2&lt;&gt;"")+('Dvd Calendar'!$E$709:$AR$709=TYPE3)*(TYPE3&lt;&gt;"")+('Dvd Calendar'!$E$709:$AR$709=TYPE4)*(TYPE4&lt;&gt;"")+('Dvd Calendar'!$E$709:$AR$709=SPECIAL_LBL)*(INC_SPECIALS="Y"))))</f>
        <v/>
      </c>
      <c r="K75" s="69">
        <f>IF($C75="","",HSI!$J$70)</f>
        <v/>
      </c>
      <c r="L75" s="69">
        <f>IF($C75="","",HSI!$K$70)</f>
        <v/>
      </c>
      <c r="M75" s="44">
        <f>IF($C75="","",HSI!$J$70+HSI!$L$70)</f>
        <v/>
      </c>
      <c r="N75" s="70">
        <f>IF($C75="","",IF(PULL_FUND="N","",IFERROR(BDP($C75,BESTDPS_FIELD,FWD_OVERRIDE,TEXT(MOD(YEAR_Y,100),"00")&amp;"Y"),"")))</f>
        <v/>
      </c>
      <c r="O75" s="69">
        <f>IF($C75="","",AVERAGE(F75:J75))</f>
        <v/>
      </c>
      <c r="P75" s="71">
        <f>IF($C75="","",IF(PULL_FUND="N","",IF(COUNTIFS('Fund History'!$J$386:$J$390,"&gt;="&amp;DATE(YEAR_Y-5,1,1),'Fund History'!$J$386:$J$390,"&lt;="&amp;DATE(YEAR_Y-5,12,31))=0,"",IFERROR($F75*HSI!$G$70/SUMIFS('Fund History'!$K$386:$K$390,'Fund History'!$J$386:$J$390,"&gt;="&amp;DATE(YEAR_Y-5,1,1),'Fund History'!$J$386:$J$390,"&lt;="&amp;DATE(YEAR_Y-5,12,31)),""))))</f>
        <v/>
      </c>
      <c r="Q75" s="72">
        <f>IF($C75="","",IF(PULL_FUND="N","",IF(COUNTIFS('Fund History'!$J$386:$J$390,"&gt;="&amp;DATE(YEAR_Y-4,1,1),'Fund History'!$J$386:$J$390,"&lt;="&amp;DATE(YEAR_Y-4,12,31))=0,"",IFERROR($G75*HSI!$G$70/SUMIFS('Fund History'!$K$386:$K$390,'Fund History'!$J$386:$J$390,"&gt;="&amp;DATE(YEAR_Y-4,1,1),'Fund History'!$J$386:$J$390,"&lt;="&amp;DATE(YEAR_Y-4,12,31)),""))))</f>
        <v/>
      </c>
      <c r="R75" s="72">
        <f>IF($C75="","",IF(PULL_FUND="N","",IF(COUNTIFS('Fund History'!$J$386:$J$390,"&gt;="&amp;DATE(YEAR_Y-3,1,1),'Fund History'!$J$386:$J$390,"&lt;="&amp;DATE(YEAR_Y-3,12,31))=0,"",IFERROR($H75*HSI!$G$70/SUMIFS('Fund History'!$K$386:$K$390,'Fund History'!$J$386:$J$390,"&gt;="&amp;DATE(YEAR_Y-3,1,1),'Fund History'!$J$386:$J$390,"&lt;="&amp;DATE(YEAR_Y-3,12,31)),""))))</f>
        <v/>
      </c>
      <c r="S75" s="72">
        <f>IF($C75="","",IF(PULL_FUND="N","",IF(COUNTIFS('Fund History'!$J$386:$J$390,"&gt;="&amp;DATE(YEAR_Y-2,1,1),'Fund History'!$J$386:$J$390,"&lt;="&amp;DATE(YEAR_Y-2,12,31))=0,"",IFERROR($I75*HSI!$G$70/SUMIFS('Fund History'!$K$386:$K$390,'Fund History'!$J$386:$J$390,"&gt;="&amp;DATE(YEAR_Y-2,1,1),'Fund History'!$J$386:$J$390,"&lt;="&amp;DATE(YEAR_Y-2,12,31)),""))))</f>
        <v/>
      </c>
      <c r="T75" s="72">
        <f>IF($C75="","",IF(PULL_FUND="N","",IF(COUNTIFS('Fund History'!$J$386:$J$390,"&gt;="&amp;DATE(YEAR_Y-1,1,1),'Fund History'!$J$386:$J$390,"&lt;="&amp;DATE(YEAR_Y-1,12,31))=0,"",IFERROR($J75*HSI!$G$70/SUMIFS('Fund History'!$K$386:$K$390,'Fund History'!$J$386:$J$390,"&gt;="&amp;DATE(YEAR_Y-1,1,1),'Fund History'!$J$386:$J$390,"&lt;="&amp;DATE(YEAR_Y-1,12,31)),""))))</f>
        <v/>
      </c>
      <c r="U75" s="73">
        <f>IF($C75="","",IF(ISNUMBER(HSI!$I$70),HSI!$I$70/100,""))</f>
        <v/>
      </c>
      <c r="V75" s="74">
        <f>IF($C75="","",IF(ISNUMBER(HSI!$X$70),IFERROR($M75*HSI!$G$70/HSI!$X$70,""),""))</f>
        <v/>
      </c>
      <c r="W75" s="73">
        <f>IF($C75="","",IF(ISNUMBER($N75),IFERROR($N75*HSI!$G$70/HSI!$X$70,""),""))</f>
        <v/>
      </c>
      <c r="X75" s="75">
        <f>IF($C75="","",IF(PULL_FUND="N","",IFERROR(BDP($C75,EPS_FIELD,YR_OVERRIDE,TEXT(YEAR_Y-5,"0")),"")))</f>
        <v/>
      </c>
      <c r="Y75" s="76">
        <f>IF($C75="","",IF(PULL_FUND="N","",IFERROR(BDP($C75,EPS_FIELD,YR_OVERRIDE,TEXT(YEAR_Y-4,"0")),"")))</f>
        <v/>
      </c>
      <c r="Z75" s="76">
        <f>IF($C75="","",IF(PULL_FUND="N","",IFERROR(BDP($C75,EPS_FIELD,YR_OVERRIDE,TEXT(YEAR_Y-3,"0")),"")))</f>
        <v/>
      </c>
      <c r="AA75" s="76">
        <f>IF($C75="","",IF(PULL_FUND="N","",IFERROR(BDP($C75,EPS_FIELD,YR_OVERRIDE,TEXT(YEAR_Y-2,"0")),"")))</f>
        <v/>
      </c>
      <c r="AB75" s="76">
        <f>IF($C75="","",IF(PULL_FUND="N","",IFERROR(BDP($C75,EPS_FIELD,YR_OVERRIDE,TEXT(YEAR_Y-1,"0")),"")))</f>
        <v/>
      </c>
      <c r="AC75" s="50">
        <f>IF($C75="","",IFERROR(AVERAGE(X75:AB75),""))</f>
        <v/>
      </c>
      <c r="AD75" s="76">
        <f>IF($C75="","",IF(PULL_FUND="N","",IFERROR(BDP($C75,BESTEPS_FIELD,FWD_OVERRIDE,TEXT(MOD(YEAR_Y,100),"00")&amp;"Y"),"")))</f>
        <v/>
      </c>
      <c r="AE75" s="77">
        <f>IF($C75="","",IF(PULL_FUND="N","",IFERROR(BDP($C75,PAYOUT_FIELD,YR_OVERRIDE,TEXT(YEAR_Y-5,"0"))/100,"")))</f>
        <v/>
      </c>
      <c r="AF75" s="78">
        <f>IF($C75="","",IF(PULL_FUND="N","",IFERROR(BDP($C75,PAYOUT_FIELD,YR_OVERRIDE,TEXT(YEAR_Y-4,"0"))/100,"")))</f>
        <v/>
      </c>
      <c r="AG75" s="78">
        <f>IF($C75="","",IF(PULL_FUND="N","",IFERROR(BDP($C75,PAYOUT_FIELD,YR_OVERRIDE,TEXT(YEAR_Y-3,"0"))/100,"")))</f>
        <v/>
      </c>
      <c r="AH75" s="78">
        <f>IF($C75="","",IF(PULL_FUND="N","",IFERROR(BDP($C75,PAYOUT_FIELD,YR_OVERRIDE,TEXT(YEAR_Y-2,"0"))/100,"")))</f>
        <v/>
      </c>
      <c r="AI75" s="78">
        <f>IF($C75="","",IF(PULL_FUND="N","",IFERROR(BDP($C75,PAYOUT_FIELD,YR_OVERRIDE,TEXT(YEAR_Y-1,"0"))/100,"")))</f>
        <v/>
      </c>
      <c r="AJ75" s="79">
        <f>IF($C75="","",IFERROR(AVERAGE(AE75:AI75),""))</f>
        <v/>
      </c>
      <c r="AK75" s="80">
        <f>IF($C75="","",IF(ISNUMBER($AD75)*ISNUMBER($N75)*($AD75&lt;&gt;0)=0,"",$N75/$AD75))</f>
        <v/>
      </c>
      <c r="AL75" s="79">
        <f>IF($C75="","",IF(ISNUMBER($AD75)*($AD75&lt;&gt;0)=0,"",$M75/$AD75))</f>
        <v/>
      </c>
      <c r="AM75" s="37">
        <f>IF($C75="","",IF(ISNUMBER($AE75)*ISNUMBER($AI75)=0,"",IF($AI75&gt;$AE75+0.05,"rising",IF($AI75&lt;$AE75-0.05,"falling","stable"))))</f>
        <v/>
      </c>
      <c r="AN75" s="81">
        <f>IF($C75="","",IF(PULL_FUND="N","",IF(COUNTIFS('Fund History'!$G$386:$G$390,"&gt;="&amp;DATE(YEAR_Y-4,1,1),'Fund History'!$G$386:$G$390,"&lt;="&amp;DATE(YEAR_Y-4,12,31))=0,"",SUMIFS('Fund History'!$H$386:$H$390,'Fund History'!$G$386:$G$390,"&gt;="&amp;DATE(YEAR_Y-4,1,1),'Fund History'!$G$386:$G$390,"&lt;="&amp;DATE(YEAR_Y-4,12,31))/100)))</f>
        <v/>
      </c>
      <c r="AO75" s="82">
        <f>IF($C75="","",IF(PULL_FUND="N","",IF(COUNTIFS('Fund History'!$G$386:$G$390,"&gt;="&amp;DATE(YEAR_Y-3,1,1),'Fund History'!$G$386:$G$390,"&lt;="&amp;DATE(YEAR_Y-3,12,31))=0,"",SUMIFS('Fund History'!$H$386:$H$390,'Fund History'!$G$386:$G$390,"&gt;="&amp;DATE(YEAR_Y-3,1,1),'Fund History'!$G$386:$G$390,"&lt;="&amp;DATE(YEAR_Y-3,12,31))/100)))</f>
        <v/>
      </c>
      <c r="AP75" s="82">
        <f>IF($C75="","",IF(PULL_FUND="N","",IF(COUNTIFS('Fund History'!$G$386:$G$390,"&gt;="&amp;DATE(YEAR_Y-2,1,1),'Fund History'!$G$386:$G$390,"&lt;="&amp;DATE(YEAR_Y-2,12,31))=0,"",SUMIFS('Fund History'!$H$386:$H$390,'Fund History'!$G$386:$G$390,"&gt;="&amp;DATE(YEAR_Y-2,1,1),'Fund History'!$G$386:$G$390,"&lt;="&amp;DATE(YEAR_Y-2,12,31))/100)))</f>
        <v/>
      </c>
      <c r="AQ75" s="82">
        <f>IF($C75="","",IF(PULL_FUND="N","",IF(COUNTIFS('Fund History'!$G$386:$G$390,"&gt;="&amp;DATE(YEAR_Y-1,1,1),'Fund History'!$G$386:$G$390,"&lt;="&amp;DATE(YEAR_Y-1,12,31))=0,"",SUMIFS('Fund History'!$H$386:$H$390,'Fund History'!$G$386:$G$390,"&gt;="&amp;DATE(YEAR_Y-1,1,1),'Fund History'!$G$386:$G$390,"&lt;="&amp;DATE(YEAR_Y-1,12,31))/100)))</f>
        <v/>
      </c>
      <c r="AR75" s="83">
        <f>IF($C75="","",IF(N($AQ75)+N(HSI!$I$70)=0,"",N($AQ75)+N(HSI!$I$70)/100))</f>
        <v/>
      </c>
      <c r="AS75" s="75">
        <f>IF($C75="","",IF(PULL_FUND="N","",IF(COUNTIFS('Fund History'!$D$386:$D$390,"&gt;="&amp;DATE(YEAR_Y-2,1,1),'Fund History'!$D$386:$D$390,"&lt;="&amp;DATE(YEAR_Y-2,12,31))=0,"",SUMIFS('Fund History'!$E$386:$E$390,'Fund History'!$D$386:$D$390,"&gt;="&amp;DATE(YEAR_Y-2,1,1),'Fund History'!$D$386:$D$390,"&lt;="&amp;DATE(YEAR_Y-2,12,31)))))</f>
        <v/>
      </c>
      <c r="AT75" s="76">
        <f>IF($C75="","",IF(PULL_FUND="N","",IF(COUNTIFS('Fund History'!$D$386:$D$390,"&gt;="&amp;DATE(YEAR_Y-1,1,1),'Fund History'!$D$386:$D$390,"&lt;="&amp;DATE(YEAR_Y-1,12,31))=0,"",SUMIFS('Fund History'!$E$386:$E$390,'Fund History'!$D$386:$D$390,"&gt;="&amp;DATE(YEAR_Y-1,1,1),'Fund History'!$D$386:$D$390,"&lt;="&amp;DATE(YEAR_Y-1,12,31)))))</f>
        <v/>
      </c>
      <c r="AU75" s="76">
        <f>IF($C75="","",IF(PULL_FUND="N","",IFERROR(BDP($C75,NDEBITDA_FIELD),"")))</f>
        <v/>
      </c>
      <c r="AV75" s="84">
        <f>IF($C75="","",IF(PULL_FUND="N","",IFERROR(BDP($C75,EBINT_FIELD),"")))</f>
        <v/>
      </c>
      <c r="AW75" s="82">
        <f>IF($C75="","",IF(PULL_FUND="N","",IFERROR(BDP($C75,FCF_FIELD)/100,"")))</f>
        <v/>
      </c>
      <c r="AX75" s="50">
        <f>IF($C75="","",IF(N($U75)=0,"",IFERROR($AW75/$U75,"")))</f>
        <v/>
      </c>
      <c r="AY75" s="85">
        <f>IF($C75="","",TRIM(IF(ISNUMBER($AJ75)*(N($AJ75)&gt;$D$4)&gt;0,"payout high  ","")&amp;IF(ISNUMBER($AX75)*(N($AX75)&lt;$F$4)&gt;0,"FCF below dvd  ","")&amp;IF(ISNUMBER($AU75)*(N($AU75)&gt;$H$4)&gt;0,"leverage high","")))</f>
        <v/>
      </c>
      <c r="AZ75" s="86">
        <f>IF($C75="","",IF(HSI!$F$70="HKD","",HSI!$F$70))</f>
        <v/>
      </c>
    </row>
    <row r="76">
      <c r="B76" s="66" t="inlineStr">
        <is>
          <t>HSI</t>
        </is>
      </c>
      <c r="C76" s="8">
        <f>IF(HSI!$C$71="","",HSI!$C$71)</f>
        <v/>
      </c>
      <c r="D76" s="8">
        <f>IF($C76="","",HSI!$D$71)</f>
        <v/>
      </c>
      <c r="E76" s="8">
        <f>IF($C76="","",HSI!$E$71)</f>
        <v/>
      </c>
      <c r="F76" s="67">
        <f>IF($C76="","",SUMPRODUCT(('Dvd Calendar'!$E$715:$AR$715&gt;=DATE(YEAR_Y-5,1,1))*('Dvd Calendar'!$E$715:$AR$715&lt;=DATE(YEAR_Y-5,12,31))*'Dvd Calendar'!$E$718:$AR$718*(('Dvd Calendar'!$E$720:$AR$720=TYPE1)*(TYPE1&lt;&gt;"")+('Dvd Calendar'!$E$720:$AR$720=TYPE2)*(TYPE2&lt;&gt;"")+('Dvd Calendar'!$E$720:$AR$720=TYPE3)*(TYPE3&lt;&gt;"")+('Dvd Calendar'!$E$720:$AR$720=TYPE4)*(TYPE4&lt;&gt;"")+('Dvd Calendar'!$E$720:$AR$720=SPECIAL_LBL)*(INC_SPECIALS="Y"))))</f>
        <v/>
      </c>
      <c r="G76" s="68">
        <f>IF($C76="","",SUMPRODUCT(('Dvd Calendar'!$E$715:$AR$715&gt;=DATE(YEAR_Y-4,1,1))*('Dvd Calendar'!$E$715:$AR$715&lt;=DATE(YEAR_Y-4,12,31))*'Dvd Calendar'!$E$718:$AR$718*(('Dvd Calendar'!$E$720:$AR$720=TYPE1)*(TYPE1&lt;&gt;"")+('Dvd Calendar'!$E$720:$AR$720=TYPE2)*(TYPE2&lt;&gt;"")+('Dvd Calendar'!$E$720:$AR$720=TYPE3)*(TYPE3&lt;&gt;"")+('Dvd Calendar'!$E$720:$AR$720=TYPE4)*(TYPE4&lt;&gt;"")+('Dvd Calendar'!$E$720:$AR$720=SPECIAL_LBL)*(INC_SPECIALS="Y"))))</f>
        <v/>
      </c>
      <c r="H76" s="68">
        <f>IF($C76="","",SUMPRODUCT(('Dvd Calendar'!$E$715:$AR$715&gt;=DATE(YEAR_Y-3,1,1))*('Dvd Calendar'!$E$715:$AR$715&lt;=DATE(YEAR_Y-3,12,31))*'Dvd Calendar'!$E$718:$AR$718*(('Dvd Calendar'!$E$720:$AR$720=TYPE1)*(TYPE1&lt;&gt;"")+('Dvd Calendar'!$E$720:$AR$720=TYPE2)*(TYPE2&lt;&gt;"")+('Dvd Calendar'!$E$720:$AR$720=TYPE3)*(TYPE3&lt;&gt;"")+('Dvd Calendar'!$E$720:$AR$720=TYPE4)*(TYPE4&lt;&gt;"")+('Dvd Calendar'!$E$720:$AR$720=SPECIAL_LBL)*(INC_SPECIALS="Y"))))</f>
        <v/>
      </c>
      <c r="I76" s="68">
        <f>IF($C76="","",SUMPRODUCT(('Dvd Calendar'!$E$715:$AR$715&gt;=DATE(YEAR_Y-2,1,1))*('Dvd Calendar'!$E$715:$AR$715&lt;=DATE(YEAR_Y-2,12,31))*'Dvd Calendar'!$E$718:$AR$718*(('Dvd Calendar'!$E$720:$AR$720=TYPE1)*(TYPE1&lt;&gt;"")+('Dvd Calendar'!$E$720:$AR$720=TYPE2)*(TYPE2&lt;&gt;"")+('Dvd Calendar'!$E$720:$AR$720=TYPE3)*(TYPE3&lt;&gt;"")+('Dvd Calendar'!$E$720:$AR$720=TYPE4)*(TYPE4&lt;&gt;"")+('Dvd Calendar'!$E$720:$AR$720=SPECIAL_LBL)*(INC_SPECIALS="Y"))))</f>
        <v/>
      </c>
      <c r="J76" s="68">
        <f>IF($C76="","",SUMPRODUCT(('Dvd Calendar'!$E$715:$AR$715&gt;=DATE(YEAR_Y-1,1,1))*('Dvd Calendar'!$E$715:$AR$715&lt;=DATE(YEAR_Y-1,12,31))*'Dvd Calendar'!$E$718:$AR$718*(('Dvd Calendar'!$E$720:$AR$720=TYPE1)*(TYPE1&lt;&gt;"")+('Dvd Calendar'!$E$720:$AR$720=TYPE2)*(TYPE2&lt;&gt;"")+('Dvd Calendar'!$E$720:$AR$720=TYPE3)*(TYPE3&lt;&gt;"")+('Dvd Calendar'!$E$720:$AR$720=TYPE4)*(TYPE4&lt;&gt;"")+('Dvd Calendar'!$E$720:$AR$720=SPECIAL_LBL)*(INC_SPECIALS="Y"))))</f>
        <v/>
      </c>
      <c r="K76" s="69">
        <f>IF($C76="","",HSI!$J$71)</f>
        <v/>
      </c>
      <c r="L76" s="69">
        <f>IF($C76="","",HSI!$K$71)</f>
        <v/>
      </c>
      <c r="M76" s="44">
        <f>IF($C76="","",HSI!$J$71+HSI!$L$71)</f>
        <v/>
      </c>
      <c r="N76" s="70">
        <f>IF($C76="","",IF(PULL_FUND="N","",IFERROR(BDP($C76,BESTDPS_FIELD,FWD_OVERRIDE,TEXT(MOD(YEAR_Y,100),"00")&amp;"Y"),"")))</f>
        <v/>
      </c>
      <c r="O76" s="69">
        <f>IF($C76="","",AVERAGE(F76:J76))</f>
        <v/>
      </c>
      <c r="P76" s="71">
        <f>IF($C76="","",IF(PULL_FUND="N","",IF(COUNTIFS('Fund History'!$J$392:$J$396,"&gt;="&amp;DATE(YEAR_Y-5,1,1),'Fund History'!$J$392:$J$396,"&lt;="&amp;DATE(YEAR_Y-5,12,31))=0,"",IFERROR($F76*HSI!$G$71/SUMIFS('Fund History'!$K$392:$K$396,'Fund History'!$J$392:$J$396,"&gt;="&amp;DATE(YEAR_Y-5,1,1),'Fund History'!$J$392:$J$396,"&lt;="&amp;DATE(YEAR_Y-5,12,31)),""))))</f>
        <v/>
      </c>
      <c r="Q76" s="72">
        <f>IF($C76="","",IF(PULL_FUND="N","",IF(COUNTIFS('Fund History'!$J$392:$J$396,"&gt;="&amp;DATE(YEAR_Y-4,1,1),'Fund History'!$J$392:$J$396,"&lt;="&amp;DATE(YEAR_Y-4,12,31))=0,"",IFERROR($G76*HSI!$G$71/SUMIFS('Fund History'!$K$392:$K$396,'Fund History'!$J$392:$J$396,"&gt;="&amp;DATE(YEAR_Y-4,1,1),'Fund History'!$J$392:$J$396,"&lt;="&amp;DATE(YEAR_Y-4,12,31)),""))))</f>
        <v/>
      </c>
      <c r="R76" s="72">
        <f>IF($C76="","",IF(PULL_FUND="N","",IF(COUNTIFS('Fund History'!$J$392:$J$396,"&gt;="&amp;DATE(YEAR_Y-3,1,1),'Fund History'!$J$392:$J$396,"&lt;="&amp;DATE(YEAR_Y-3,12,31))=0,"",IFERROR($H76*HSI!$G$71/SUMIFS('Fund History'!$K$392:$K$396,'Fund History'!$J$392:$J$396,"&gt;="&amp;DATE(YEAR_Y-3,1,1),'Fund History'!$J$392:$J$396,"&lt;="&amp;DATE(YEAR_Y-3,12,31)),""))))</f>
        <v/>
      </c>
      <c r="S76" s="72">
        <f>IF($C76="","",IF(PULL_FUND="N","",IF(COUNTIFS('Fund History'!$J$392:$J$396,"&gt;="&amp;DATE(YEAR_Y-2,1,1),'Fund History'!$J$392:$J$396,"&lt;="&amp;DATE(YEAR_Y-2,12,31))=0,"",IFERROR($I76*HSI!$G$71/SUMIFS('Fund History'!$K$392:$K$396,'Fund History'!$J$392:$J$396,"&gt;="&amp;DATE(YEAR_Y-2,1,1),'Fund History'!$J$392:$J$396,"&lt;="&amp;DATE(YEAR_Y-2,12,31)),""))))</f>
        <v/>
      </c>
      <c r="T76" s="72">
        <f>IF($C76="","",IF(PULL_FUND="N","",IF(COUNTIFS('Fund History'!$J$392:$J$396,"&gt;="&amp;DATE(YEAR_Y-1,1,1),'Fund History'!$J$392:$J$396,"&lt;="&amp;DATE(YEAR_Y-1,12,31))=0,"",IFERROR($J76*HSI!$G$71/SUMIFS('Fund History'!$K$392:$K$396,'Fund History'!$J$392:$J$396,"&gt;="&amp;DATE(YEAR_Y-1,1,1),'Fund History'!$J$392:$J$396,"&lt;="&amp;DATE(YEAR_Y-1,12,31)),""))))</f>
        <v/>
      </c>
      <c r="U76" s="73">
        <f>IF($C76="","",IF(ISNUMBER(HSI!$I$71),HSI!$I$71/100,""))</f>
        <v/>
      </c>
      <c r="V76" s="74">
        <f>IF($C76="","",IF(ISNUMBER(HSI!$X$71),IFERROR($M76*HSI!$G$71/HSI!$X$71,""),""))</f>
        <v/>
      </c>
      <c r="W76" s="73">
        <f>IF($C76="","",IF(ISNUMBER($N76),IFERROR($N76*HSI!$G$71/HSI!$X$71,""),""))</f>
        <v/>
      </c>
      <c r="X76" s="75">
        <f>IF($C76="","",IF(PULL_FUND="N","",IFERROR(BDP($C76,EPS_FIELD,YR_OVERRIDE,TEXT(YEAR_Y-5,"0")),"")))</f>
        <v/>
      </c>
      <c r="Y76" s="76">
        <f>IF($C76="","",IF(PULL_FUND="N","",IFERROR(BDP($C76,EPS_FIELD,YR_OVERRIDE,TEXT(YEAR_Y-4,"0")),"")))</f>
        <v/>
      </c>
      <c r="Z76" s="76">
        <f>IF($C76="","",IF(PULL_FUND="N","",IFERROR(BDP($C76,EPS_FIELD,YR_OVERRIDE,TEXT(YEAR_Y-3,"0")),"")))</f>
        <v/>
      </c>
      <c r="AA76" s="76">
        <f>IF($C76="","",IF(PULL_FUND="N","",IFERROR(BDP($C76,EPS_FIELD,YR_OVERRIDE,TEXT(YEAR_Y-2,"0")),"")))</f>
        <v/>
      </c>
      <c r="AB76" s="76">
        <f>IF($C76="","",IF(PULL_FUND="N","",IFERROR(BDP($C76,EPS_FIELD,YR_OVERRIDE,TEXT(YEAR_Y-1,"0")),"")))</f>
        <v/>
      </c>
      <c r="AC76" s="50">
        <f>IF($C76="","",IFERROR(AVERAGE(X76:AB76),""))</f>
        <v/>
      </c>
      <c r="AD76" s="76">
        <f>IF($C76="","",IF(PULL_FUND="N","",IFERROR(BDP($C76,BESTEPS_FIELD,FWD_OVERRIDE,TEXT(MOD(YEAR_Y,100),"00")&amp;"Y"),"")))</f>
        <v/>
      </c>
      <c r="AE76" s="77">
        <f>IF($C76="","",IF(PULL_FUND="N","",IFERROR(BDP($C76,PAYOUT_FIELD,YR_OVERRIDE,TEXT(YEAR_Y-5,"0"))/100,"")))</f>
        <v/>
      </c>
      <c r="AF76" s="78">
        <f>IF($C76="","",IF(PULL_FUND="N","",IFERROR(BDP($C76,PAYOUT_FIELD,YR_OVERRIDE,TEXT(YEAR_Y-4,"0"))/100,"")))</f>
        <v/>
      </c>
      <c r="AG76" s="78">
        <f>IF($C76="","",IF(PULL_FUND="N","",IFERROR(BDP($C76,PAYOUT_FIELD,YR_OVERRIDE,TEXT(YEAR_Y-3,"0"))/100,"")))</f>
        <v/>
      </c>
      <c r="AH76" s="78">
        <f>IF($C76="","",IF(PULL_FUND="N","",IFERROR(BDP($C76,PAYOUT_FIELD,YR_OVERRIDE,TEXT(YEAR_Y-2,"0"))/100,"")))</f>
        <v/>
      </c>
      <c r="AI76" s="78">
        <f>IF($C76="","",IF(PULL_FUND="N","",IFERROR(BDP($C76,PAYOUT_FIELD,YR_OVERRIDE,TEXT(YEAR_Y-1,"0"))/100,"")))</f>
        <v/>
      </c>
      <c r="AJ76" s="79">
        <f>IF($C76="","",IFERROR(AVERAGE(AE76:AI76),""))</f>
        <v/>
      </c>
      <c r="AK76" s="80">
        <f>IF($C76="","",IF(ISNUMBER($AD76)*ISNUMBER($N76)*($AD76&lt;&gt;0)=0,"",$N76/$AD76))</f>
        <v/>
      </c>
      <c r="AL76" s="79">
        <f>IF($C76="","",IF(ISNUMBER($AD76)*($AD76&lt;&gt;0)=0,"",$M76/$AD76))</f>
        <v/>
      </c>
      <c r="AM76" s="37">
        <f>IF($C76="","",IF(ISNUMBER($AE76)*ISNUMBER($AI76)=0,"",IF($AI76&gt;$AE76+0.05,"rising",IF($AI76&lt;$AE76-0.05,"falling","stable"))))</f>
        <v/>
      </c>
      <c r="AN76" s="81">
        <f>IF($C76="","",IF(PULL_FUND="N","",IF(COUNTIFS('Fund History'!$G$392:$G$396,"&gt;="&amp;DATE(YEAR_Y-4,1,1),'Fund History'!$G$392:$G$396,"&lt;="&amp;DATE(YEAR_Y-4,12,31))=0,"",SUMIFS('Fund History'!$H$392:$H$396,'Fund History'!$G$392:$G$396,"&gt;="&amp;DATE(YEAR_Y-4,1,1),'Fund History'!$G$392:$G$396,"&lt;="&amp;DATE(YEAR_Y-4,12,31))/100)))</f>
        <v/>
      </c>
      <c r="AO76" s="82">
        <f>IF($C76="","",IF(PULL_FUND="N","",IF(COUNTIFS('Fund History'!$G$392:$G$396,"&gt;="&amp;DATE(YEAR_Y-3,1,1),'Fund History'!$G$392:$G$396,"&lt;="&amp;DATE(YEAR_Y-3,12,31))=0,"",SUMIFS('Fund History'!$H$392:$H$396,'Fund History'!$G$392:$G$396,"&gt;="&amp;DATE(YEAR_Y-3,1,1),'Fund History'!$G$392:$G$396,"&lt;="&amp;DATE(YEAR_Y-3,12,31))/100)))</f>
        <v/>
      </c>
      <c r="AP76" s="82">
        <f>IF($C76="","",IF(PULL_FUND="N","",IF(COUNTIFS('Fund History'!$G$392:$G$396,"&gt;="&amp;DATE(YEAR_Y-2,1,1),'Fund History'!$G$392:$G$396,"&lt;="&amp;DATE(YEAR_Y-2,12,31))=0,"",SUMIFS('Fund History'!$H$392:$H$396,'Fund History'!$G$392:$G$396,"&gt;="&amp;DATE(YEAR_Y-2,1,1),'Fund History'!$G$392:$G$396,"&lt;="&amp;DATE(YEAR_Y-2,12,31))/100)))</f>
        <v/>
      </c>
      <c r="AQ76" s="82">
        <f>IF($C76="","",IF(PULL_FUND="N","",IF(COUNTIFS('Fund History'!$G$392:$G$396,"&gt;="&amp;DATE(YEAR_Y-1,1,1),'Fund History'!$G$392:$G$396,"&lt;="&amp;DATE(YEAR_Y-1,12,31))=0,"",SUMIFS('Fund History'!$H$392:$H$396,'Fund History'!$G$392:$G$396,"&gt;="&amp;DATE(YEAR_Y-1,1,1),'Fund History'!$G$392:$G$396,"&lt;="&amp;DATE(YEAR_Y-1,12,31))/100)))</f>
        <v/>
      </c>
      <c r="AR76" s="83">
        <f>IF($C76="","",IF(N($AQ76)+N(HSI!$I$71)=0,"",N($AQ76)+N(HSI!$I$71)/100))</f>
        <v/>
      </c>
      <c r="AS76" s="75">
        <f>IF($C76="","",IF(PULL_FUND="N","",IF(COUNTIFS('Fund History'!$D$392:$D$396,"&gt;="&amp;DATE(YEAR_Y-2,1,1),'Fund History'!$D$392:$D$396,"&lt;="&amp;DATE(YEAR_Y-2,12,31))=0,"",SUMIFS('Fund History'!$E$392:$E$396,'Fund History'!$D$392:$D$396,"&gt;="&amp;DATE(YEAR_Y-2,1,1),'Fund History'!$D$392:$D$396,"&lt;="&amp;DATE(YEAR_Y-2,12,31)))))</f>
        <v/>
      </c>
      <c r="AT76" s="76">
        <f>IF($C76="","",IF(PULL_FUND="N","",IF(COUNTIFS('Fund History'!$D$392:$D$396,"&gt;="&amp;DATE(YEAR_Y-1,1,1),'Fund History'!$D$392:$D$396,"&lt;="&amp;DATE(YEAR_Y-1,12,31))=0,"",SUMIFS('Fund History'!$E$392:$E$396,'Fund History'!$D$392:$D$396,"&gt;="&amp;DATE(YEAR_Y-1,1,1),'Fund History'!$D$392:$D$396,"&lt;="&amp;DATE(YEAR_Y-1,12,31)))))</f>
        <v/>
      </c>
      <c r="AU76" s="76">
        <f>IF($C76="","",IF(PULL_FUND="N","",IFERROR(BDP($C76,NDEBITDA_FIELD),"")))</f>
        <v/>
      </c>
      <c r="AV76" s="84">
        <f>IF($C76="","",IF(PULL_FUND="N","",IFERROR(BDP($C76,EBINT_FIELD),"")))</f>
        <v/>
      </c>
      <c r="AW76" s="82">
        <f>IF($C76="","",IF(PULL_FUND="N","",IFERROR(BDP($C76,FCF_FIELD)/100,"")))</f>
        <v/>
      </c>
      <c r="AX76" s="50">
        <f>IF($C76="","",IF(N($U76)=0,"",IFERROR($AW76/$U76,"")))</f>
        <v/>
      </c>
      <c r="AY76" s="85">
        <f>IF($C76="","",TRIM(IF(ISNUMBER($AJ76)*(N($AJ76)&gt;$D$4)&gt;0,"payout high  ","")&amp;IF(ISNUMBER($AX76)*(N($AX76)&lt;$F$4)&gt;0,"FCF below dvd  ","")&amp;IF(ISNUMBER($AU76)*(N($AU76)&gt;$H$4)&gt;0,"leverage high","")))</f>
        <v/>
      </c>
      <c r="AZ76" s="86">
        <f>IF($C76="","",IF(HSI!$F$71="HKD","",HSI!$F$71))</f>
        <v/>
      </c>
    </row>
    <row r="77">
      <c r="B77" s="66" t="inlineStr">
        <is>
          <t>HSI</t>
        </is>
      </c>
      <c r="C77" s="8">
        <f>IF(HSI!$C$72="","",HSI!$C$72)</f>
        <v/>
      </c>
      <c r="D77" s="8">
        <f>IF($C77="","",HSI!$D$72)</f>
        <v/>
      </c>
      <c r="E77" s="8">
        <f>IF($C77="","",HSI!$E$72)</f>
        <v/>
      </c>
      <c r="F77" s="67">
        <f>IF($C77="","",SUMPRODUCT(('Dvd Calendar'!$E$726:$AR$726&gt;=DATE(YEAR_Y-5,1,1))*('Dvd Calendar'!$E$726:$AR$726&lt;=DATE(YEAR_Y-5,12,31))*'Dvd Calendar'!$E$729:$AR$729*(('Dvd Calendar'!$E$731:$AR$731=TYPE1)*(TYPE1&lt;&gt;"")+('Dvd Calendar'!$E$731:$AR$731=TYPE2)*(TYPE2&lt;&gt;"")+('Dvd Calendar'!$E$731:$AR$731=TYPE3)*(TYPE3&lt;&gt;"")+('Dvd Calendar'!$E$731:$AR$731=TYPE4)*(TYPE4&lt;&gt;"")+('Dvd Calendar'!$E$731:$AR$731=SPECIAL_LBL)*(INC_SPECIALS="Y"))))</f>
        <v/>
      </c>
      <c r="G77" s="68">
        <f>IF($C77="","",SUMPRODUCT(('Dvd Calendar'!$E$726:$AR$726&gt;=DATE(YEAR_Y-4,1,1))*('Dvd Calendar'!$E$726:$AR$726&lt;=DATE(YEAR_Y-4,12,31))*'Dvd Calendar'!$E$729:$AR$729*(('Dvd Calendar'!$E$731:$AR$731=TYPE1)*(TYPE1&lt;&gt;"")+('Dvd Calendar'!$E$731:$AR$731=TYPE2)*(TYPE2&lt;&gt;"")+('Dvd Calendar'!$E$731:$AR$731=TYPE3)*(TYPE3&lt;&gt;"")+('Dvd Calendar'!$E$731:$AR$731=TYPE4)*(TYPE4&lt;&gt;"")+('Dvd Calendar'!$E$731:$AR$731=SPECIAL_LBL)*(INC_SPECIALS="Y"))))</f>
        <v/>
      </c>
      <c r="H77" s="68">
        <f>IF($C77="","",SUMPRODUCT(('Dvd Calendar'!$E$726:$AR$726&gt;=DATE(YEAR_Y-3,1,1))*('Dvd Calendar'!$E$726:$AR$726&lt;=DATE(YEAR_Y-3,12,31))*'Dvd Calendar'!$E$729:$AR$729*(('Dvd Calendar'!$E$731:$AR$731=TYPE1)*(TYPE1&lt;&gt;"")+('Dvd Calendar'!$E$731:$AR$731=TYPE2)*(TYPE2&lt;&gt;"")+('Dvd Calendar'!$E$731:$AR$731=TYPE3)*(TYPE3&lt;&gt;"")+('Dvd Calendar'!$E$731:$AR$731=TYPE4)*(TYPE4&lt;&gt;"")+('Dvd Calendar'!$E$731:$AR$731=SPECIAL_LBL)*(INC_SPECIALS="Y"))))</f>
        <v/>
      </c>
      <c r="I77" s="68">
        <f>IF($C77="","",SUMPRODUCT(('Dvd Calendar'!$E$726:$AR$726&gt;=DATE(YEAR_Y-2,1,1))*('Dvd Calendar'!$E$726:$AR$726&lt;=DATE(YEAR_Y-2,12,31))*'Dvd Calendar'!$E$729:$AR$729*(('Dvd Calendar'!$E$731:$AR$731=TYPE1)*(TYPE1&lt;&gt;"")+('Dvd Calendar'!$E$731:$AR$731=TYPE2)*(TYPE2&lt;&gt;"")+('Dvd Calendar'!$E$731:$AR$731=TYPE3)*(TYPE3&lt;&gt;"")+('Dvd Calendar'!$E$731:$AR$731=TYPE4)*(TYPE4&lt;&gt;"")+('Dvd Calendar'!$E$731:$AR$731=SPECIAL_LBL)*(INC_SPECIALS="Y"))))</f>
        <v/>
      </c>
      <c r="J77" s="68">
        <f>IF($C77="","",SUMPRODUCT(('Dvd Calendar'!$E$726:$AR$726&gt;=DATE(YEAR_Y-1,1,1))*('Dvd Calendar'!$E$726:$AR$726&lt;=DATE(YEAR_Y-1,12,31))*'Dvd Calendar'!$E$729:$AR$729*(('Dvd Calendar'!$E$731:$AR$731=TYPE1)*(TYPE1&lt;&gt;"")+('Dvd Calendar'!$E$731:$AR$731=TYPE2)*(TYPE2&lt;&gt;"")+('Dvd Calendar'!$E$731:$AR$731=TYPE3)*(TYPE3&lt;&gt;"")+('Dvd Calendar'!$E$731:$AR$731=TYPE4)*(TYPE4&lt;&gt;"")+('Dvd Calendar'!$E$731:$AR$731=SPECIAL_LBL)*(INC_SPECIALS="Y"))))</f>
        <v/>
      </c>
      <c r="K77" s="69">
        <f>IF($C77="","",HSI!$J$72)</f>
        <v/>
      </c>
      <c r="L77" s="69">
        <f>IF($C77="","",HSI!$K$72)</f>
        <v/>
      </c>
      <c r="M77" s="44">
        <f>IF($C77="","",HSI!$J$72+HSI!$L$72)</f>
        <v/>
      </c>
      <c r="N77" s="70">
        <f>IF($C77="","",IF(PULL_FUND="N","",IFERROR(BDP($C77,BESTDPS_FIELD,FWD_OVERRIDE,TEXT(MOD(YEAR_Y,100),"00")&amp;"Y"),"")))</f>
        <v/>
      </c>
      <c r="O77" s="69">
        <f>IF($C77="","",AVERAGE(F77:J77))</f>
        <v/>
      </c>
      <c r="P77" s="71">
        <f>IF($C77="","",IF(PULL_FUND="N","",IF(COUNTIFS('Fund History'!$J$398:$J$402,"&gt;="&amp;DATE(YEAR_Y-5,1,1),'Fund History'!$J$398:$J$402,"&lt;="&amp;DATE(YEAR_Y-5,12,31))=0,"",IFERROR($F77*HSI!$G$72/SUMIFS('Fund History'!$K$398:$K$402,'Fund History'!$J$398:$J$402,"&gt;="&amp;DATE(YEAR_Y-5,1,1),'Fund History'!$J$398:$J$402,"&lt;="&amp;DATE(YEAR_Y-5,12,31)),""))))</f>
        <v/>
      </c>
      <c r="Q77" s="72">
        <f>IF($C77="","",IF(PULL_FUND="N","",IF(COUNTIFS('Fund History'!$J$398:$J$402,"&gt;="&amp;DATE(YEAR_Y-4,1,1),'Fund History'!$J$398:$J$402,"&lt;="&amp;DATE(YEAR_Y-4,12,31))=0,"",IFERROR($G77*HSI!$G$72/SUMIFS('Fund History'!$K$398:$K$402,'Fund History'!$J$398:$J$402,"&gt;="&amp;DATE(YEAR_Y-4,1,1),'Fund History'!$J$398:$J$402,"&lt;="&amp;DATE(YEAR_Y-4,12,31)),""))))</f>
        <v/>
      </c>
      <c r="R77" s="72">
        <f>IF($C77="","",IF(PULL_FUND="N","",IF(COUNTIFS('Fund History'!$J$398:$J$402,"&gt;="&amp;DATE(YEAR_Y-3,1,1),'Fund History'!$J$398:$J$402,"&lt;="&amp;DATE(YEAR_Y-3,12,31))=0,"",IFERROR($H77*HSI!$G$72/SUMIFS('Fund History'!$K$398:$K$402,'Fund History'!$J$398:$J$402,"&gt;="&amp;DATE(YEAR_Y-3,1,1),'Fund History'!$J$398:$J$402,"&lt;="&amp;DATE(YEAR_Y-3,12,31)),""))))</f>
        <v/>
      </c>
      <c r="S77" s="72">
        <f>IF($C77="","",IF(PULL_FUND="N","",IF(COUNTIFS('Fund History'!$J$398:$J$402,"&gt;="&amp;DATE(YEAR_Y-2,1,1),'Fund History'!$J$398:$J$402,"&lt;="&amp;DATE(YEAR_Y-2,12,31))=0,"",IFERROR($I77*HSI!$G$72/SUMIFS('Fund History'!$K$398:$K$402,'Fund History'!$J$398:$J$402,"&gt;="&amp;DATE(YEAR_Y-2,1,1),'Fund History'!$J$398:$J$402,"&lt;="&amp;DATE(YEAR_Y-2,12,31)),""))))</f>
        <v/>
      </c>
      <c r="T77" s="72">
        <f>IF($C77="","",IF(PULL_FUND="N","",IF(COUNTIFS('Fund History'!$J$398:$J$402,"&gt;="&amp;DATE(YEAR_Y-1,1,1),'Fund History'!$J$398:$J$402,"&lt;="&amp;DATE(YEAR_Y-1,12,31))=0,"",IFERROR($J77*HSI!$G$72/SUMIFS('Fund History'!$K$398:$K$402,'Fund History'!$J$398:$J$402,"&gt;="&amp;DATE(YEAR_Y-1,1,1),'Fund History'!$J$398:$J$402,"&lt;="&amp;DATE(YEAR_Y-1,12,31)),""))))</f>
        <v/>
      </c>
      <c r="U77" s="73">
        <f>IF($C77="","",IF(ISNUMBER(HSI!$I$72),HSI!$I$72/100,""))</f>
        <v/>
      </c>
      <c r="V77" s="74">
        <f>IF($C77="","",IF(ISNUMBER(HSI!$X$72),IFERROR($M77*HSI!$G$72/HSI!$X$72,""),""))</f>
        <v/>
      </c>
      <c r="W77" s="73">
        <f>IF($C77="","",IF(ISNUMBER($N77),IFERROR($N77*HSI!$G$72/HSI!$X$72,""),""))</f>
        <v/>
      </c>
      <c r="X77" s="75">
        <f>IF($C77="","",IF(PULL_FUND="N","",IFERROR(BDP($C77,EPS_FIELD,YR_OVERRIDE,TEXT(YEAR_Y-5,"0")),"")))</f>
        <v/>
      </c>
      <c r="Y77" s="76">
        <f>IF($C77="","",IF(PULL_FUND="N","",IFERROR(BDP($C77,EPS_FIELD,YR_OVERRIDE,TEXT(YEAR_Y-4,"0")),"")))</f>
        <v/>
      </c>
      <c r="Z77" s="76">
        <f>IF($C77="","",IF(PULL_FUND="N","",IFERROR(BDP($C77,EPS_FIELD,YR_OVERRIDE,TEXT(YEAR_Y-3,"0")),"")))</f>
        <v/>
      </c>
      <c r="AA77" s="76">
        <f>IF($C77="","",IF(PULL_FUND="N","",IFERROR(BDP($C77,EPS_FIELD,YR_OVERRIDE,TEXT(YEAR_Y-2,"0")),"")))</f>
        <v/>
      </c>
      <c r="AB77" s="76">
        <f>IF($C77="","",IF(PULL_FUND="N","",IFERROR(BDP($C77,EPS_FIELD,YR_OVERRIDE,TEXT(YEAR_Y-1,"0")),"")))</f>
        <v/>
      </c>
      <c r="AC77" s="50">
        <f>IF($C77="","",IFERROR(AVERAGE(X77:AB77),""))</f>
        <v/>
      </c>
      <c r="AD77" s="76">
        <f>IF($C77="","",IF(PULL_FUND="N","",IFERROR(BDP($C77,BESTEPS_FIELD,FWD_OVERRIDE,TEXT(MOD(YEAR_Y,100),"00")&amp;"Y"),"")))</f>
        <v/>
      </c>
      <c r="AE77" s="77">
        <f>IF($C77="","",IF(PULL_FUND="N","",IFERROR(BDP($C77,PAYOUT_FIELD,YR_OVERRIDE,TEXT(YEAR_Y-5,"0"))/100,"")))</f>
        <v/>
      </c>
      <c r="AF77" s="78">
        <f>IF($C77="","",IF(PULL_FUND="N","",IFERROR(BDP($C77,PAYOUT_FIELD,YR_OVERRIDE,TEXT(YEAR_Y-4,"0"))/100,"")))</f>
        <v/>
      </c>
      <c r="AG77" s="78">
        <f>IF($C77="","",IF(PULL_FUND="N","",IFERROR(BDP($C77,PAYOUT_FIELD,YR_OVERRIDE,TEXT(YEAR_Y-3,"0"))/100,"")))</f>
        <v/>
      </c>
      <c r="AH77" s="78">
        <f>IF($C77="","",IF(PULL_FUND="N","",IFERROR(BDP($C77,PAYOUT_FIELD,YR_OVERRIDE,TEXT(YEAR_Y-2,"0"))/100,"")))</f>
        <v/>
      </c>
      <c r="AI77" s="78">
        <f>IF($C77="","",IF(PULL_FUND="N","",IFERROR(BDP($C77,PAYOUT_FIELD,YR_OVERRIDE,TEXT(YEAR_Y-1,"0"))/100,"")))</f>
        <v/>
      </c>
      <c r="AJ77" s="79">
        <f>IF($C77="","",IFERROR(AVERAGE(AE77:AI77),""))</f>
        <v/>
      </c>
      <c r="AK77" s="80">
        <f>IF($C77="","",IF(ISNUMBER($AD77)*ISNUMBER($N77)*($AD77&lt;&gt;0)=0,"",$N77/$AD77))</f>
        <v/>
      </c>
      <c r="AL77" s="79">
        <f>IF($C77="","",IF(ISNUMBER($AD77)*($AD77&lt;&gt;0)=0,"",$M77/$AD77))</f>
        <v/>
      </c>
      <c r="AM77" s="37">
        <f>IF($C77="","",IF(ISNUMBER($AE77)*ISNUMBER($AI77)=0,"",IF($AI77&gt;$AE77+0.05,"rising",IF($AI77&lt;$AE77-0.05,"falling","stable"))))</f>
        <v/>
      </c>
      <c r="AN77" s="81">
        <f>IF($C77="","",IF(PULL_FUND="N","",IF(COUNTIFS('Fund History'!$G$398:$G$402,"&gt;="&amp;DATE(YEAR_Y-4,1,1),'Fund History'!$G$398:$G$402,"&lt;="&amp;DATE(YEAR_Y-4,12,31))=0,"",SUMIFS('Fund History'!$H$398:$H$402,'Fund History'!$G$398:$G$402,"&gt;="&amp;DATE(YEAR_Y-4,1,1),'Fund History'!$G$398:$G$402,"&lt;="&amp;DATE(YEAR_Y-4,12,31))/100)))</f>
        <v/>
      </c>
      <c r="AO77" s="82">
        <f>IF($C77="","",IF(PULL_FUND="N","",IF(COUNTIFS('Fund History'!$G$398:$G$402,"&gt;="&amp;DATE(YEAR_Y-3,1,1),'Fund History'!$G$398:$G$402,"&lt;="&amp;DATE(YEAR_Y-3,12,31))=0,"",SUMIFS('Fund History'!$H$398:$H$402,'Fund History'!$G$398:$G$402,"&gt;="&amp;DATE(YEAR_Y-3,1,1),'Fund History'!$G$398:$G$402,"&lt;="&amp;DATE(YEAR_Y-3,12,31))/100)))</f>
        <v/>
      </c>
      <c r="AP77" s="82">
        <f>IF($C77="","",IF(PULL_FUND="N","",IF(COUNTIFS('Fund History'!$G$398:$G$402,"&gt;="&amp;DATE(YEAR_Y-2,1,1),'Fund History'!$G$398:$G$402,"&lt;="&amp;DATE(YEAR_Y-2,12,31))=0,"",SUMIFS('Fund History'!$H$398:$H$402,'Fund History'!$G$398:$G$402,"&gt;="&amp;DATE(YEAR_Y-2,1,1),'Fund History'!$G$398:$G$402,"&lt;="&amp;DATE(YEAR_Y-2,12,31))/100)))</f>
        <v/>
      </c>
      <c r="AQ77" s="82">
        <f>IF($C77="","",IF(PULL_FUND="N","",IF(COUNTIFS('Fund History'!$G$398:$G$402,"&gt;="&amp;DATE(YEAR_Y-1,1,1),'Fund History'!$G$398:$G$402,"&lt;="&amp;DATE(YEAR_Y-1,12,31))=0,"",SUMIFS('Fund History'!$H$398:$H$402,'Fund History'!$G$398:$G$402,"&gt;="&amp;DATE(YEAR_Y-1,1,1),'Fund History'!$G$398:$G$402,"&lt;="&amp;DATE(YEAR_Y-1,12,31))/100)))</f>
        <v/>
      </c>
      <c r="AR77" s="83">
        <f>IF($C77="","",IF(N($AQ77)+N(HSI!$I$72)=0,"",N($AQ77)+N(HSI!$I$72)/100))</f>
        <v/>
      </c>
      <c r="AS77" s="75">
        <f>IF($C77="","",IF(PULL_FUND="N","",IF(COUNTIFS('Fund History'!$D$398:$D$402,"&gt;="&amp;DATE(YEAR_Y-2,1,1),'Fund History'!$D$398:$D$402,"&lt;="&amp;DATE(YEAR_Y-2,12,31))=0,"",SUMIFS('Fund History'!$E$398:$E$402,'Fund History'!$D$398:$D$402,"&gt;="&amp;DATE(YEAR_Y-2,1,1),'Fund History'!$D$398:$D$402,"&lt;="&amp;DATE(YEAR_Y-2,12,31)))))</f>
        <v/>
      </c>
      <c r="AT77" s="76">
        <f>IF($C77="","",IF(PULL_FUND="N","",IF(COUNTIFS('Fund History'!$D$398:$D$402,"&gt;="&amp;DATE(YEAR_Y-1,1,1),'Fund History'!$D$398:$D$402,"&lt;="&amp;DATE(YEAR_Y-1,12,31))=0,"",SUMIFS('Fund History'!$E$398:$E$402,'Fund History'!$D$398:$D$402,"&gt;="&amp;DATE(YEAR_Y-1,1,1),'Fund History'!$D$398:$D$402,"&lt;="&amp;DATE(YEAR_Y-1,12,31)))))</f>
        <v/>
      </c>
      <c r="AU77" s="76">
        <f>IF($C77="","",IF(PULL_FUND="N","",IFERROR(BDP($C77,NDEBITDA_FIELD),"")))</f>
        <v/>
      </c>
      <c r="AV77" s="84">
        <f>IF($C77="","",IF(PULL_FUND="N","",IFERROR(BDP($C77,EBINT_FIELD),"")))</f>
        <v/>
      </c>
      <c r="AW77" s="82">
        <f>IF($C77="","",IF(PULL_FUND="N","",IFERROR(BDP($C77,FCF_FIELD)/100,"")))</f>
        <v/>
      </c>
      <c r="AX77" s="50">
        <f>IF($C77="","",IF(N($U77)=0,"",IFERROR($AW77/$U77,"")))</f>
        <v/>
      </c>
      <c r="AY77" s="85">
        <f>IF($C77="","",TRIM(IF(ISNUMBER($AJ77)*(N($AJ77)&gt;$D$4)&gt;0,"payout high  ","")&amp;IF(ISNUMBER($AX77)*(N($AX77)&lt;$F$4)&gt;0,"FCF below dvd  ","")&amp;IF(ISNUMBER($AU77)*(N($AU77)&gt;$H$4)&gt;0,"leverage high","")))</f>
        <v/>
      </c>
      <c r="AZ77" s="86">
        <f>IF($C77="","",IF(HSI!$F$72="HKD","",HSI!$F$72))</f>
        <v/>
      </c>
    </row>
    <row r="78">
      <c r="B78" s="66" t="inlineStr">
        <is>
          <t>HSI</t>
        </is>
      </c>
      <c r="C78" s="8">
        <f>IF(HSI!$C$73="","",HSI!$C$73)</f>
        <v/>
      </c>
      <c r="D78" s="8">
        <f>IF($C78="","",HSI!$D$73)</f>
        <v/>
      </c>
      <c r="E78" s="8">
        <f>IF($C78="","",HSI!$E$73)</f>
        <v/>
      </c>
      <c r="F78" s="67">
        <f>IF($C78="","",SUMPRODUCT(('Dvd Calendar'!$E$737:$AR$737&gt;=DATE(YEAR_Y-5,1,1))*('Dvd Calendar'!$E$737:$AR$737&lt;=DATE(YEAR_Y-5,12,31))*'Dvd Calendar'!$E$740:$AR$740*(('Dvd Calendar'!$E$742:$AR$742=TYPE1)*(TYPE1&lt;&gt;"")+('Dvd Calendar'!$E$742:$AR$742=TYPE2)*(TYPE2&lt;&gt;"")+('Dvd Calendar'!$E$742:$AR$742=TYPE3)*(TYPE3&lt;&gt;"")+('Dvd Calendar'!$E$742:$AR$742=TYPE4)*(TYPE4&lt;&gt;"")+('Dvd Calendar'!$E$742:$AR$742=SPECIAL_LBL)*(INC_SPECIALS="Y"))))</f>
        <v/>
      </c>
      <c r="G78" s="68">
        <f>IF($C78="","",SUMPRODUCT(('Dvd Calendar'!$E$737:$AR$737&gt;=DATE(YEAR_Y-4,1,1))*('Dvd Calendar'!$E$737:$AR$737&lt;=DATE(YEAR_Y-4,12,31))*'Dvd Calendar'!$E$740:$AR$740*(('Dvd Calendar'!$E$742:$AR$742=TYPE1)*(TYPE1&lt;&gt;"")+('Dvd Calendar'!$E$742:$AR$742=TYPE2)*(TYPE2&lt;&gt;"")+('Dvd Calendar'!$E$742:$AR$742=TYPE3)*(TYPE3&lt;&gt;"")+('Dvd Calendar'!$E$742:$AR$742=TYPE4)*(TYPE4&lt;&gt;"")+('Dvd Calendar'!$E$742:$AR$742=SPECIAL_LBL)*(INC_SPECIALS="Y"))))</f>
        <v/>
      </c>
      <c r="H78" s="68">
        <f>IF($C78="","",SUMPRODUCT(('Dvd Calendar'!$E$737:$AR$737&gt;=DATE(YEAR_Y-3,1,1))*('Dvd Calendar'!$E$737:$AR$737&lt;=DATE(YEAR_Y-3,12,31))*'Dvd Calendar'!$E$740:$AR$740*(('Dvd Calendar'!$E$742:$AR$742=TYPE1)*(TYPE1&lt;&gt;"")+('Dvd Calendar'!$E$742:$AR$742=TYPE2)*(TYPE2&lt;&gt;"")+('Dvd Calendar'!$E$742:$AR$742=TYPE3)*(TYPE3&lt;&gt;"")+('Dvd Calendar'!$E$742:$AR$742=TYPE4)*(TYPE4&lt;&gt;"")+('Dvd Calendar'!$E$742:$AR$742=SPECIAL_LBL)*(INC_SPECIALS="Y"))))</f>
        <v/>
      </c>
      <c r="I78" s="68">
        <f>IF($C78="","",SUMPRODUCT(('Dvd Calendar'!$E$737:$AR$737&gt;=DATE(YEAR_Y-2,1,1))*('Dvd Calendar'!$E$737:$AR$737&lt;=DATE(YEAR_Y-2,12,31))*'Dvd Calendar'!$E$740:$AR$740*(('Dvd Calendar'!$E$742:$AR$742=TYPE1)*(TYPE1&lt;&gt;"")+('Dvd Calendar'!$E$742:$AR$742=TYPE2)*(TYPE2&lt;&gt;"")+('Dvd Calendar'!$E$742:$AR$742=TYPE3)*(TYPE3&lt;&gt;"")+('Dvd Calendar'!$E$742:$AR$742=TYPE4)*(TYPE4&lt;&gt;"")+('Dvd Calendar'!$E$742:$AR$742=SPECIAL_LBL)*(INC_SPECIALS="Y"))))</f>
        <v/>
      </c>
      <c r="J78" s="68">
        <f>IF($C78="","",SUMPRODUCT(('Dvd Calendar'!$E$737:$AR$737&gt;=DATE(YEAR_Y-1,1,1))*('Dvd Calendar'!$E$737:$AR$737&lt;=DATE(YEAR_Y-1,12,31))*'Dvd Calendar'!$E$740:$AR$740*(('Dvd Calendar'!$E$742:$AR$742=TYPE1)*(TYPE1&lt;&gt;"")+('Dvd Calendar'!$E$742:$AR$742=TYPE2)*(TYPE2&lt;&gt;"")+('Dvd Calendar'!$E$742:$AR$742=TYPE3)*(TYPE3&lt;&gt;"")+('Dvd Calendar'!$E$742:$AR$742=TYPE4)*(TYPE4&lt;&gt;"")+('Dvd Calendar'!$E$742:$AR$742=SPECIAL_LBL)*(INC_SPECIALS="Y"))))</f>
        <v/>
      </c>
      <c r="K78" s="69">
        <f>IF($C78="","",HSI!$J$73)</f>
        <v/>
      </c>
      <c r="L78" s="69">
        <f>IF($C78="","",HSI!$K$73)</f>
        <v/>
      </c>
      <c r="M78" s="44">
        <f>IF($C78="","",HSI!$J$73+HSI!$L$73)</f>
        <v/>
      </c>
      <c r="N78" s="70">
        <f>IF($C78="","",IF(PULL_FUND="N","",IFERROR(BDP($C78,BESTDPS_FIELD,FWD_OVERRIDE,TEXT(MOD(YEAR_Y,100),"00")&amp;"Y"),"")))</f>
        <v/>
      </c>
      <c r="O78" s="69">
        <f>IF($C78="","",AVERAGE(F78:J78))</f>
        <v/>
      </c>
      <c r="P78" s="71">
        <f>IF($C78="","",IF(PULL_FUND="N","",IF(COUNTIFS('Fund History'!$J$404:$J$408,"&gt;="&amp;DATE(YEAR_Y-5,1,1),'Fund History'!$J$404:$J$408,"&lt;="&amp;DATE(YEAR_Y-5,12,31))=0,"",IFERROR($F78*HSI!$G$73/SUMIFS('Fund History'!$K$404:$K$408,'Fund History'!$J$404:$J$408,"&gt;="&amp;DATE(YEAR_Y-5,1,1),'Fund History'!$J$404:$J$408,"&lt;="&amp;DATE(YEAR_Y-5,12,31)),""))))</f>
        <v/>
      </c>
      <c r="Q78" s="72">
        <f>IF($C78="","",IF(PULL_FUND="N","",IF(COUNTIFS('Fund History'!$J$404:$J$408,"&gt;="&amp;DATE(YEAR_Y-4,1,1),'Fund History'!$J$404:$J$408,"&lt;="&amp;DATE(YEAR_Y-4,12,31))=0,"",IFERROR($G78*HSI!$G$73/SUMIFS('Fund History'!$K$404:$K$408,'Fund History'!$J$404:$J$408,"&gt;="&amp;DATE(YEAR_Y-4,1,1),'Fund History'!$J$404:$J$408,"&lt;="&amp;DATE(YEAR_Y-4,12,31)),""))))</f>
        <v/>
      </c>
      <c r="R78" s="72">
        <f>IF($C78="","",IF(PULL_FUND="N","",IF(COUNTIFS('Fund History'!$J$404:$J$408,"&gt;="&amp;DATE(YEAR_Y-3,1,1),'Fund History'!$J$404:$J$408,"&lt;="&amp;DATE(YEAR_Y-3,12,31))=0,"",IFERROR($H78*HSI!$G$73/SUMIFS('Fund History'!$K$404:$K$408,'Fund History'!$J$404:$J$408,"&gt;="&amp;DATE(YEAR_Y-3,1,1),'Fund History'!$J$404:$J$408,"&lt;="&amp;DATE(YEAR_Y-3,12,31)),""))))</f>
        <v/>
      </c>
      <c r="S78" s="72">
        <f>IF($C78="","",IF(PULL_FUND="N","",IF(COUNTIFS('Fund History'!$J$404:$J$408,"&gt;="&amp;DATE(YEAR_Y-2,1,1),'Fund History'!$J$404:$J$408,"&lt;="&amp;DATE(YEAR_Y-2,12,31))=0,"",IFERROR($I78*HSI!$G$73/SUMIFS('Fund History'!$K$404:$K$408,'Fund History'!$J$404:$J$408,"&gt;="&amp;DATE(YEAR_Y-2,1,1),'Fund History'!$J$404:$J$408,"&lt;="&amp;DATE(YEAR_Y-2,12,31)),""))))</f>
        <v/>
      </c>
      <c r="T78" s="72">
        <f>IF($C78="","",IF(PULL_FUND="N","",IF(COUNTIFS('Fund History'!$J$404:$J$408,"&gt;="&amp;DATE(YEAR_Y-1,1,1),'Fund History'!$J$404:$J$408,"&lt;="&amp;DATE(YEAR_Y-1,12,31))=0,"",IFERROR($J78*HSI!$G$73/SUMIFS('Fund History'!$K$404:$K$408,'Fund History'!$J$404:$J$408,"&gt;="&amp;DATE(YEAR_Y-1,1,1),'Fund History'!$J$404:$J$408,"&lt;="&amp;DATE(YEAR_Y-1,12,31)),""))))</f>
        <v/>
      </c>
      <c r="U78" s="73">
        <f>IF($C78="","",IF(ISNUMBER(HSI!$I$73),HSI!$I$73/100,""))</f>
        <v/>
      </c>
      <c r="V78" s="74">
        <f>IF($C78="","",IF(ISNUMBER(HSI!$X$73),IFERROR($M78*HSI!$G$73/HSI!$X$73,""),""))</f>
        <v/>
      </c>
      <c r="W78" s="73">
        <f>IF($C78="","",IF(ISNUMBER($N78),IFERROR($N78*HSI!$G$73/HSI!$X$73,""),""))</f>
        <v/>
      </c>
      <c r="X78" s="75">
        <f>IF($C78="","",IF(PULL_FUND="N","",IFERROR(BDP($C78,EPS_FIELD,YR_OVERRIDE,TEXT(YEAR_Y-5,"0")),"")))</f>
        <v/>
      </c>
      <c r="Y78" s="76">
        <f>IF($C78="","",IF(PULL_FUND="N","",IFERROR(BDP($C78,EPS_FIELD,YR_OVERRIDE,TEXT(YEAR_Y-4,"0")),"")))</f>
        <v/>
      </c>
      <c r="Z78" s="76">
        <f>IF($C78="","",IF(PULL_FUND="N","",IFERROR(BDP($C78,EPS_FIELD,YR_OVERRIDE,TEXT(YEAR_Y-3,"0")),"")))</f>
        <v/>
      </c>
      <c r="AA78" s="76">
        <f>IF($C78="","",IF(PULL_FUND="N","",IFERROR(BDP($C78,EPS_FIELD,YR_OVERRIDE,TEXT(YEAR_Y-2,"0")),"")))</f>
        <v/>
      </c>
      <c r="AB78" s="76">
        <f>IF($C78="","",IF(PULL_FUND="N","",IFERROR(BDP($C78,EPS_FIELD,YR_OVERRIDE,TEXT(YEAR_Y-1,"0")),"")))</f>
        <v/>
      </c>
      <c r="AC78" s="50">
        <f>IF($C78="","",IFERROR(AVERAGE(X78:AB78),""))</f>
        <v/>
      </c>
      <c r="AD78" s="76">
        <f>IF($C78="","",IF(PULL_FUND="N","",IFERROR(BDP($C78,BESTEPS_FIELD,FWD_OVERRIDE,TEXT(MOD(YEAR_Y,100),"00")&amp;"Y"),"")))</f>
        <v/>
      </c>
      <c r="AE78" s="77">
        <f>IF($C78="","",IF(PULL_FUND="N","",IFERROR(BDP($C78,PAYOUT_FIELD,YR_OVERRIDE,TEXT(YEAR_Y-5,"0"))/100,"")))</f>
        <v/>
      </c>
      <c r="AF78" s="78">
        <f>IF($C78="","",IF(PULL_FUND="N","",IFERROR(BDP($C78,PAYOUT_FIELD,YR_OVERRIDE,TEXT(YEAR_Y-4,"0"))/100,"")))</f>
        <v/>
      </c>
      <c r="AG78" s="78">
        <f>IF($C78="","",IF(PULL_FUND="N","",IFERROR(BDP($C78,PAYOUT_FIELD,YR_OVERRIDE,TEXT(YEAR_Y-3,"0"))/100,"")))</f>
        <v/>
      </c>
      <c r="AH78" s="78">
        <f>IF($C78="","",IF(PULL_FUND="N","",IFERROR(BDP($C78,PAYOUT_FIELD,YR_OVERRIDE,TEXT(YEAR_Y-2,"0"))/100,"")))</f>
        <v/>
      </c>
      <c r="AI78" s="78">
        <f>IF($C78="","",IF(PULL_FUND="N","",IFERROR(BDP($C78,PAYOUT_FIELD,YR_OVERRIDE,TEXT(YEAR_Y-1,"0"))/100,"")))</f>
        <v/>
      </c>
      <c r="AJ78" s="79">
        <f>IF($C78="","",IFERROR(AVERAGE(AE78:AI78),""))</f>
        <v/>
      </c>
      <c r="AK78" s="80">
        <f>IF($C78="","",IF(ISNUMBER($AD78)*ISNUMBER($N78)*($AD78&lt;&gt;0)=0,"",$N78/$AD78))</f>
        <v/>
      </c>
      <c r="AL78" s="79">
        <f>IF($C78="","",IF(ISNUMBER($AD78)*($AD78&lt;&gt;0)=0,"",$M78/$AD78))</f>
        <v/>
      </c>
      <c r="AM78" s="37">
        <f>IF($C78="","",IF(ISNUMBER($AE78)*ISNUMBER($AI78)=0,"",IF($AI78&gt;$AE78+0.05,"rising",IF($AI78&lt;$AE78-0.05,"falling","stable"))))</f>
        <v/>
      </c>
      <c r="AN78" s="81">
        <f>IF($C78="","",IF(PULL_FUND="N","",IF(COUNTIFS('Fund History'!$G$404:$G$408,"&gt;="&amp;DATE(YEAR_Y-4,1,1),'Fund History'!$G$404:$G$408,"&lt;="&amp;DATE(YEAR_Y-4,12,31))=0,"",SUMIFS('Fund History'!$H$404:$H$408,'Fund History'!$G$404:$G$408,"&gt;="&amp;DATE(YEAR_Y-4,1,1),'Fund History'!$G$404:$G$408,"&lt;="&amp;DATE(YEAR_Y-4,12,31))/100)))</f>
        <v/>
      </c>
      <c r="AO78" s="82">
        <f>IF($C78="","",IF(PULL_FUND="N","",IF(COUNTIFS('Fund History'!$G$404:$G$408,"&gt;="&amp;DATE(YEAR_Y-3,1,1),'Fund History'!$G$404:$G$408,"&lt;="&amp;DATE(YEAR_Y-3,12,31))=0,"",SUMIFS('Fund History'!$H$404:$H$408,'Fund History'!$G$404:$G$408,"&gt;="&amp;DATE(YEAR_Y-3,1,1),'Fund History'!$G$404:$G$408,"&lt;="&amp;DATE(YEAR_Y-3,12,31))/100)))</f>
        <v/>
      </c>
      <c r="AP78" s="82">
        <f>IF($C78="","",IF(PULL_FUND="N","",IF(COUNTIFS('Fund History'!$G$404:$G$408,"&gt;="&amp;DATE(YEAR_Y-2,1,1),'Fund History'!$G$404:$G$408,"&lt;="&amp;DATE(YEAR_Y-2,12,31))=0,"",SUMIFS('Fund History'!$H$404:$H$408,'Fund History'!$G$404:$G$408,"&gt;="&amp;DATE(YEAR_Y-2,1,1),'Fund History'!$G$404:$G$408,"&lt;="&amp;DATE(YEAR_Y-2,12,31))/100)))</f>
        <v/>
      </c>
      <c r="AQ78" s="82">
        <f>IF($C78="","",IF(PULL_FUND="N","",IF(COUNTIFS('Fund History'!$G$404:$G$408,"&gt;="&amp;DATE(YEAR_Y-1,1,1),'Fund History'!$G$404:$G$408,"&lt;="&amp;DATE(YEAR_Y-1,12,31))=0,"",SUMIFS('Fund History'!$H$404:$H$408,'Fund History'!$G$404:$G$408,"&gt;="&amp;DATE(YEAR_Y-1,1,1),'Fund History'!$G$404:$G$408,"&lt;="&amp;DATE(YEAR_Y-1,12,31))/100)))</f>
        <v/>
      </c>
      <c r="AR78" s="83">
        <f>IF($C78="","",IF(N($AQ78)+N(HSI!$I$73)=0,"",N($AQ78)+N(HSI!$I$73)/100))</f>
        <v/>
      </c>
      <c r="AS78" s="75">
        <f>IF($C78="","",IF(PULL_FUND="N","",IF(COUNTIFS('Fund History'!$D$404:$D$408,"&gt;="&amp;DATE(YEAR_Y-2,1,1),'Fund History'!$D$404:$D$408,"&lt;="&amp;DATE(YEAR_Y-2,12,31))=0,"",SUMIFS('Fund History'!$E$404:$E$408,'Fund History'!$D$404:$D$408,"&gt;="&amp;DATE(YEAR_Y-2,1,1),'Fund History'!$D$404:$D$408,"&lt;="&amp;DATE(YEAR_Y-2,12,31)))))</f>
        <v/>
      </c>
      <c r="AT78" s="76">
        <f>IF($C78="","",IF(PULL_FUND="N","",IF(COUNTIFS('Fund History'!$D$404:$D$408,"&gt;="&amp;DATE(YEAR_Y-1,1,1),'Fund History'!$D$404:$D$408,"&lt;="&amp;DATE(YEAR_Y-1,12,31))=0,"",SUMIFS('Fund History'!$E$404:$E$408,'Fund History'!$D$404:$D$408,"&gt;="&amp;DATE(YEAR_Y-1,1,1),'Fund History'!$D$404:$D$408,"&lt;="&amp;DATE(YEAR_Y-1,12,31)))))</f>
        <v/>
      </c>
      <c r="AU78" s="76">
        <f>IF($C78="","",IF(PULL_FUND="N","",IFERROR(BDP($C78,NDEBITDA_FIELD),"")))</f>
        <v/>
      </c>
      <c r="AV78" s="84">
        <f>IF($C78="","",IF(PULL_FUND="N","",IFERROR(BDP($C78,EBINT_FIELD),"")))</f>
        <v/>
      </c>
      <c r="AW78" s="82">
        <f>IF($C78="","",IF(PULL_FUND="N","",IFERROR(BDP($C78,FCF_FIELD)/100,"")))</f>
        <v/>
      </c>
      <c r="AX78" s="50">
        <f>IF($C78="","",IF(N($U78)=0,"",IFERROR($AW78/$U78,"")))</f>
        <v/>
      </c>
      <c r="AY78" s="85">
        <f>IF($C78="","",TRIM(IF(ISNUMBER($AJ78)*(N($AJ78)&gt;$D$4)&gt;0,"payout high  ","")&amp;IF(ISNUMBER($AX78)*(N($AX78)&lt;$F$4)&gt;0,"FCF below dvd  ","")&amp;IF(ISNUMBER($AU78)*(N($AU78)&gt;$H$4)&gt;0,"leverage high","")))</f>
        <v/>
      </c>
      <c r="AZ78" s="86">
        <f>IF($C78="","",IF(HSI!$F$73="HKD","",HSI!$F$73))</f>
        <v/>
      </c>
    </row>
    <row r="79">
      <c r="B79" s="66" t="inlineStr">
        <is>
          <t>HSI</t>
        </is>
      </c>
      <c r="C79" s="8">
        <f>IF(HSI!$C$74="","",HSI!$C$74)</f>
        <v/>
      </c>
      <c r="D79" s="8">
        <f>IF($C79="","",HSI!$D$74)</f>
        <v/>
      </c>
      <c r="E79" s="8">
        <f>IF($C79="","",HSI!$E$74)</f>
        <v/>
      </c>
      <c r="F79" s="67">
        <f>IF($C79="","",SUMPRODUCT(('Dvd Calendar'!$E$748:$AR$748&gt;=DATE(YEAR_Y-5,1,1))*('Dvd Calendar'!$E$748:$AR$748&lt;=DATE(YEAR_Y-5,12,31))*'Dvd Calendar'!$E$751:$AR$751*(('Dvd Calendar'!$E$753:$AR$753=TYPE1)*(TYPE1&lt;&gt;"")+('Dvd Calendar'!$E$753:$AR$753=TYPE2)*(TYPE2&lt;&gt;"")+('Dvd Calendar'!$E$753:$AR$753=TYPE3)*(TYPE3&lt;&gt;"")+('Dvd Calendar'!$E$753:$AR$753=TYPE4)*(TYPE4&lt;&gt;"")+('Dvd Calendar'!$E$753:$AR$753=SPECIAL_LBL)*(INC_SPECIALS="Y"))))</f>
        <v/>
      </c>
      <c r="G79" s="68">
        <f>IF($C79="","",SUMPRODUCT(('Dvd Calendar'!$E$748:$AR$748&gt;=DATE(YEAR_Y-4,1,1))*('Dvd Calendar'!$E$748:$AR$748&lt;=DATE(YEAR_Y-4,12,31))*'Dvd Calendar'!$E$751:$AR$751*(('Dvd Calendar'!$E$753:$AR$753=TYPE1)*(TYPE1&lt;&gt;"")+('Dvd Calendar'!$E$753:$AR$753=TYPE2)*(TYPE2&lt;&gt;"")+('Dvd Calendar'!$E$753:$AR$753=TYPE3)*(TYPE3&lt;&gt;"")+('Dvd Calendar'!$E$753:$AR$753=TYPE4)*(TYPE4&lt;&gt;"")+('Dvd Calendar'!$E$753:$AR$753=SPECIAL_LBL)*(INC_SPECIALS="Y"))))</f>
        <v/>
      </c>
      <c r="H79" s="68">
        <f>IF($C79="","",SUMPRODUCT(('Dvd Calendar'!$E$748:$AR$748&gt;=DATE(YEAR_Y-3,1,1))*('Dvd Calendar'!$E$748:$AR$748&lt;=DATE(YEAR_Y-3,12,31))*'Dvd Calendar'!$E$751:$AR$751*(('Dvd Calendar'!$E$753:$AR$753=TYPE1)*(TYPE1&lt;&gt;"")+('Dvd Calendar'!$E$753:$AR$753=TYPE2)*(TYPE2&lt;&gt;"")+('Dvd Calendar'!$E$753:$AR$753=TYPE3)*(TYPE3&lt;&gt;"")+('Dvd Calendar'!$E$753:$AR$753=TYPE4)*(TYPE4&lt;&gt;"")+('Dvd Calendar'!$E$753:$AR$753=SPECIAL_LBL)*(INC_SPECIALS="Y"))))</f>
        <v/>
      </c>
      <c r="I79" s="68">
        <f>IF($C79="","",SUMPRODUCT(('Dvd Calendar'!$E$748:$AR$748&gt;=DATE(YEAR_Y-2,1,1))*('Dvd Calendar'!$E$748:$AR$748&lt;=DATE(YEAR_Y-2,12,31))*'Dvd Calendar'!$E$751:$AR$751*(('Dvd Calendar'!$E$753:$AR$753=TYPE1)*(TYPE1&lt;&gt;"")+('Dvd Calendar'!$E$753:$AR$753=TYPE2)*(TYPE2&lt;&gt;"")+('Dvd Calendar'!$E$753:$AR$753=TYPE3)*(TYPE3&lt;&gt;"")+('Dvd Calendar'!$E$753:$AR$753=TYPE4)*(TYPE4&lt;&gt;"")+('Dvd Calendar'!$E$753:$AR$753=SPECIAL_LBL)*(INC_SPECIALS="Y"))))</f>
        <v/>
      </c>
      <c r="J79" s="68">
        <f>IF($C79="","",SUMPRODUCT(('Dvd Calendar'!$E$748:$AR$748&gt;=DATE(YEAR_Y-1,1,1))*('Dvd Calendar'!$E$748:$AR$748&lt;=DATE(YEAR_Y-1,12,31))*'Dvd Calendar'!$E$751:$AR$751*(('Dvd Calendar'!$E$753:$AR$753=TYPE1)*(TYPE1&lt;&gt;"")+('Dvd Calendar'!$E$753:$AR$753=TYPE2)*(TYPE2&lt;&gt;"")+('Dvd Calendar'!$E$753:$AR$753=TYPE3)*(TYPE3&lt;&gt;"")+('Dvd Calendar'!$E$753:$AR$753=TYPE4)*(TYPE4&lt;&gt;"")+('Dvd Calendar'!$E$753:$AR$753=SPECIAL_LBL)*(INC_SPECIALS="Y"))))</f>
        <v/>
      </c>
      <c r="K79" s="69">
        <f>IF($C79="","",HSI!$J$74)</f>
        <v/>
      </c>
      <c r="L79" s="69">
        <f>IF($C79="","",HSI!$K$74)</f>
        <v/>
      </c>
      <c r="M79" s="44">
        <f>IF($C79="","",HSI!$J$74+HSI!$L$74)</f>
        <v/>
      </c>
      <c r="N79" s="70">
        <f>IF($C79="","",IF(PULL_FUND="N","",IFERROR(BDP($C79,BESTDPS_FIELD,FWD_OVERRIDE,TEXT(MOD(YEAR_Y,100),"00")&amp;"Y"),"")))</f>
        <v/>
      </c>
      <c r="O79" s="69">
        <f>IF($C79="","",AVERAGE(F79:J79))</f>
        <v/>
      </c>
      <c r="P79" s="71">
        <f>IF($C79="","",IF(PULL_FUND="N","",IF(COUNTIFS('Fund History'!$J$410:$J$414,"&gt;="&amp;DATE(YEAR_Y-5,1,1),'Fund History'!$J$410:$J$414,"&lt;="&amp;DATE(YEAR_Y-5,12,31))=0,"",IFERROR($F79*HSI!$G$74/SUMIFS('Fund History'!$K$410:$K$414,'Fund History'!$J$410:$J$414,"&gt;="&amp;DATE(YEAR_Y-5,1,1),'Fund History'!$J$410:$J$414,"&lt;="&amp;DATE(YEAR_Y-5,12,31)),""))))</f>
        <v/>
      </c>
      <c r="Q79" s="72">
        <f>IF($C79="","",IF(PULL_FUND="N","",IF(COUNTIFS('Fund History'!$J$410:$J$414,"&gt;="&amp;DATE(YEAR_Y-4,1,1),'Fund History'!$J$410:$J$414,"&lt;="&amp;DATE(YEAR_Y-4,12,31))=0,"",IFERROR($G79*HSI!$G$74/SUMIFS('Fund History'!$K$410:$K$414,'Fund History'!$J$410:$J$414,"&gt;="&amp;DATE(YEAR_Y-4,1,1),'Fund History'!$J$410:$J$414,"&lt;="&amp;DATE(YEAR_Y-4,12,31)),""))))</f>
        <v/>
      </c>
      <c r="R79" s="72">
        <f>IF($C79="","",IF(PULL_FUND="N","",IF(COUNTIFS('Fund History'!$J$410:$J$414,"&gt;="&amp;DATE(YEAR_Y-3,1,1),'Fund History'!$J$410:$J$414,"&lt;="&amp;DATE(YEAR_Y-3,12,31))=0,"",IFERROR($H79*HSI!$G$74/SUMIFS('Fund History'!$K$410:$K$414,'Fund History'!$J$410:$J$414,"&gt;="&amp;DATE(YEAR_Y-3,1,1),'Fund History'!$J$410:$J$414,"&lt;="&amp;DATE(YEAR_Y-3,12,31)),""))))</f>
        <v/>
      </c>
      <c r="S79" s="72">
        <f>IF($C79="","",IF(PULL_FUND="N","",IF(COUNTIFS('Fund History'!$J$410:$J$414,"&gt;="&amp;DATE(YEAR_Y-2,1,1),'Fund History'!$J$410:$J$414,"&lt;="&amp;DATE(YEAR_Y-2,12,31))=0,"",IFERROR($I79*HSI!$G$74/SUMIFS('Fund History'!$K$410:$K$414,'Fund History'!$J$410:$J$414,"&gt;="&amp;DATE(YEAR_Y-2,1,1),'Fund History'!$J$410:$J$414,"&lt;="&amp;DATE(YEAR_Y-2,12,31)),""))))</f>
        <v/>
      </c>
      <c r="T79" s="72">
        <f>IF($C79="","",IF(PULL_FUND="N","",IF(COUNTIFS('Fund History'!$J$410:$J$414,"&gt;="&amp;DATE(YEAR_Y-1,1,1),'Fund History'!$J$410:$J$414,"&lt;="&amp;DATE(YEAR_Y-1,12,31))=0,"",IFERROR($J79*HSI!$G$74/SUMIFS('Fund History'!$K$410:$K$414,'Fund History'!$J$410:$J$414,"&gt;="&amp;DATE(YEAR_Y-1,1,1),'Fund History'!$J$410:$J$414,"&lt;="&amp;DATE(YEAR_Y-1,12,31)),""))))</f>
        <v/>
      </c>
      <c r="U79" s="73">
        <f>IF($C79="","",IF(ISNUMBER(HSI!$I$74),HSI!$I$74/100,""))</f>
        <v/>
      </c>
      <c r="V79" s="74">
        <f>IF($C79="","",IF(ISNUMBER(HSI!$X$74),IFERROR($M79*HSI!$G$74/HSI!$X$74,""),""))</f>
        <v/>
      </c>
      <c r="W79" s="73">
        <f>IF($C79="","",IF(ISNUMBER($N79),IFERROR($N79*HSI!$G$74/HSI!$X$74,""),""))</f>
        <v/>
      </c>
      <c r="X79" s="75">
        <f>IF($C79="","",IF(PULL_FUND="N","",IFERROR(BDP($C79,EPS_FIELD,YR_OVERRIDE,TEXT(YEAR_Y-5,"0")),"")))</f>
        <v/>
      </c>
      <c r="Y79" s="76">
        <f>IF($C79="","",IF(PULL_FUND="N","",IFERROR(BDP($C79,EPS_FIELD,YR_OVERRIDE,TEXT(YEAR_Y-4,"0")),"")))</f>
        <v/>
      </c>
      <c r="Z79" s="76">
        <f>IF($C79="","",IF(PULL_FUND="N","",IFERROR(BDP($C79,EPS_FIELD,YR_OVERRIDE,TEXT(YEAR_Y-3,"0")),"")))</f>
        <v/>
      </c>
      <c r="AA79" s="76">
        <f>IF($C79="","",IF(PULL_FUND="N","",IFERROR(BDP($C79,EPS_FIELD,YR_OVERRIDE,TEXT(YEAR_Y-2,"0")),"")))</f>
        <v/>
      </c>
      <c r="AB79" s="76">
        <f>IF($C79="","",IF(PULL_FUND="N","",IFERROR(BDP($C79,EPS_FIELD,YR_OVERRIDE,TEXT(YEAR_Y-1,"0")),"")))</f>
        <v/>
      </c>
      <c r="AC79" s="50">
        <f>IF($C79="","",IFERROR(AVERAGE(X79:AB79),""))</f>
        <v/>
      </c>
      <c r="AD79" s="76">
        <f>IF($C79="","",IF(PULL_FUND="N","",IFERROR(BDP($C79,BESTEPS_FIELD,FWD_OVERRIDE,TEXT(MOD(YEAR_Y,100),"00")&amp;"Y"),"")))</f>
        <v/>
      </c>
      <c r="AE79" s="77">
        <f>IF($C79="","",IF(PULL_FUND="N","",IFERROR(BDP($C79,PAYOUT_FIELD,YR_OVERRIDE,TEXT(YEAR_Y-5,"0"))/100,"")))</f>
        <v/>
      </c>
      <c r="AF79" s="78">
        <f>IF($C79="","",IF(PULL_FUND="N","",IFERROR(BDP($C79,PAYOUT_FIELD,YR_OVERRIDE,TEXT(YEAR_Y-4,"0"))/100,"")))</f>
        <v/>
      </c>
      <c r="AG79" s="78">
        <f>IF($C79="","",IF(PULL_FUND="N","",IFERROR(BDP($C79,PAYOUT_FIELD,YR_OVERRIDE,TEXT(YEAR_Y-3,"0"))/100,"")))</f>
        <v/>
      </c>
      <c r="AH79" s="78">
        <f>IF($C79="","",IF(PULL_FUND="N","",IFERROR(BDP($C79,PAYOUT_FIELD,YR_OVERRIDE,TEXT(YEAR_Y-2,"0"))/100,"")))</f>
        <v/>
      </c>
      <c r="AI79" s="78">
        <f>IF($C79="","",IF(PULL_FUND="N","",IFERROR(BDP($C79,PAYOUT_FIELD,YR_OVERRIDE,TEXT(YEAR_Y-1,"0"))/100,"")))</f>
        <v/>
      </c>
      <c r="AJ79" s="79">
        <f>IF($C79="","",IFERROR(AVERAGE(AE79:AI79),""))</f>
        <v/>
      </c>
      <c r="AK79" s="80">
        <f>IF($C79="","",IF(ISNUMBER($AD79)*ISNUMBER($N79)*($AD79&lt;&gt;0)=0,"",$N79/$AD79))</f>
        <v/>
      </c>
      <c r="AL79" s="79">
        <f>IF($C79="","",IF(ISNUMBER($AD79)*($AD79&lt;&gt;0)=0,"",$M79/$AD79))</f>
        <v/>
      </c>
      <c r="AM79" s="37">
        <f>IF($C79="","",IF(ISNUMBER($AE79)*ISNUMBER($AI79)=0,"",IF($AI79&gt;$AE79+0.05,"rising",IF($AI79&lt;$AE79-0.05,"falling","stable"))))</f>
        <v/>
      </c>
      <c r="AN79" s="81">
        <f>IF($C79="","",IF(PULL_FUND="N","",IF(COUNTIFS('Fund History'!$G$410:$G$414,"&gt;="&amp;DATE(YEAR_Y-4,1,1),'Fund History'!$G$410:$G$414,"&lt;="&amp;DATE(YEAR_Y-4,12,31))=0,"",SUMIFS('Fund History'!$H$410:$H$414,'Fund History'!$G$410:$G$414,"&gt;="&amp;DATE(YEAR_Y-4,1,1),'Fund History'!$G$410:$G$414,"&lt;="&amp;DATE(YEAR_Y-4,12,31))/100)))</f>
        <v/>
      </c>
      <c r="AO79" s="82">
        <f>IF($C79="","",IF(PULL_FUND="N","",IF(COUNTIFS('Fund History'!$G$410:$G$414,"&gt;="&amp;DATE(YEAR_Y-3,1,1),'Fund History'!$G$410:$G$414,"&lt;="&amp;DATE(YEAR_Y-3,12,31))=0,"",SUMIFS('Fund History'!$H$410:$H$414,'Fund History'!$G$410:$G$414,"&gt;="&amp;DATE(YEAR_Y-3,1,1),'Fund History'!$G$410:$G$414,"&lt;="&amp;DATE(YEAR_Y-3,12,31))/100)))</f>
        <v/>
      </c>
      <c r="AP79" s="82">
        <f>IF($C79="","",IF(PULL_FUND="N","",IF(COUNTIFS('Fund History'!$G$410:$G$414,"&gt;="&amp;DATE(YEAR_Y-2,1,1),'Fund History'!$G$410:$G$414,"&lt;="&amp;DATE(YEAR_Y-2,12,31))=0,"",SUMIFS('Fund History'!$H$410:$H$414,'Fund History'!$G$410:$G$414,"&gt;="&amp;DATE(YEAR_Y-2,1,1),'Fund History'!$G$410:$G$414,"&lt;="&amp;DATE(YEAR_Y-2,12,31))/100)))</f>
        <v/>
      </c>
      <c r="AQ79" s="82">
        <f>IF($C79="","",IF(PULL_FUND="N","",IF(COUNTIFS('Fund History'!$G$410:$G$414,"&gt;="&amp;DATE(YEAR_Y-1,1,1),'Fund History'!$G$410:$G$414,"&lt;="&amp;DATE(YEAR_Y-1,12,31))=0,"",SUMIFS('Fund History'!$H$410:$H$414,'Fund History'!$G$410:$G$414,"&gt;="&amp;DATE(YEAR_Y-1,1,1),'Fund History'!$G$410:$G$414,"&lt;="&amp;DATE(YEAR_Y-1,12,31))/100)))</f>
        <v/>
      </c>
      <c r="AR79" s="83">
        <f>IF($C79="","",IF(N($AQ79)+N(HSI!$I$74)=0,"",N($AQ79)+N(HSI!$I$74)/100))</f>
        <v/>
      </c>
      <c r="AS79" s="75">
        <f>IF($C79="","",IF(PULL_FUND="N","",IF(COUNTIFS('Fund History'!$D$410:$D$414,"&gt;="&amp;DATE(YEAR_Y-2,1,1),'Fund History'!$D$410:$D$414,"&lt;="&amp;DATE(YEAR_Y-2,12,31))=0,"",SUMIFS('Fund History'!$E$410:$E$414,'Fund History'!$D$410:$D$414,"&gt;="&amp;DATE(YEAR_Y-2,1,1),'Fund History'!$D$410:$D$414,"&lt;="&amp;DATE(YEAR_Y-2,12,31)))))</f>
        <v/>
      </c>
      <c r="AT79" s="76">
        <f>IF($C79="","",IF(PULL_FUND="N","",IF(COUNTIFS('Fund History'!$D$410:$D$414,"&gt;="&amp;DATE(YEAR_Y-1,1,1),'Fund History'!$D$410:$D$414,"&lt;="&amp;DATE(YEAR_Y-1,12,31))=0,"",SUMIFS('Fund History'!$E$410:$E$414,'Fund History'!$D$410:$D$414,"&gt;="&amp;DATE(YEAR_Y-1,1,1),'Fund History'!$D$410:$D$414,"&lt;="&amp;DATE(YEAR_Y-1,12,31)))))</f>
        <v/>
      </c>
      <c r="AU79" s="76">
        <f>IF($C79="","",IF(PULL_FUND="N","",IFERROR(BDP($C79,NDEBITDA_FIELD),"")))</f>
        <v/>
      </c>
      <c r="AV79" s="84">
        <f>IF($C79="","",IF(PULL_FUND="N","",IFERROR(BDP($C79,EBINT_FIELD),"")))</f>
        <v/>
      </c>
      <c r="AW79" s="82">
        <f>IF($C79="","",IF(PULL_FUND="N","",IFERROR(BDP($C79,FCF_FIELD)/100,"")))</f>
        <v/>
      </c>
      <c r="AX79" s="50">
        <f>IF($C79="","",IF(N($U79)=0,"",IFERROR($AW79/$U79,"")))</f>
        <v/>
      </c>
      <c r="AY79" s="85">
        <f>IF($C79="","",TRIM(IF(ISNUMBER($AJ79)*(N($AJ79)&gt;$D$4)&gt;0,"payout high  ","")&amp;IF(ISNUMBER($AX79)*(N($AX79)&lt;$F$4)&gt;0,"FCF below dvd  ","")&amp;IF(ISNUMBER($AU79)*(N($AU79)&gt;$H$4)&gt;0,"leverage high","")))</f>
        <v/>
      </c>
      <c r="AZ79" s="86">
        <f>IF($C79="","",IF(HSI!$F$74="HKD","",HSI!$F$74))</f>
        <v/>
      </c>
    </row>
    <row r="80">
      <c r="B80" s="66" t="inlineStr">
        <is>
          <t>HSI</t>
        </is>
      </c>
      <c r="C80" s="8">
        <f>IF(HSI!$C$75="","",HSI!$C$75)</f>
        <v/>
      </c>
      <c r="D80" s="8">
        <f>IF($C80="","",HSI!$D$75)</f>
        <v/>
      </c>
      <c r="E80" s="8">
        <f>IF($C80="","",HSI!$E$75)</f>
        <v/>
      </c>
      <c r="F80" s="67">
        <f>IF($C80="","",SUMPRODUCT(('Dvd Calendar'!$E$759:$AR$759&gt;=DATE(YEAR_Y-5,1,1))*('Dvd Calendar'!$E$759:$AR$759&lt;=DATE(YEAR_Y-5,12,31))*'Dvd Calendar'!$E$762:$AR$762*(('Dvd Calendar'!$E$764:$AR$764=TYPE1)*(TYPE1&lt;&gt;"")+('Dvd Calendar'!$E$764:$AR$764=TYPE2)*(TYPE2&lt;&gt;"")+('Dvd Calendar'!$E$764:$AR$764=TYPE3)*(TYPE3&lt;&gt;"")+('Dvd Calendar'!$E$764:$AR$764=TYPE4)*(TYPE4&lt;&gt;"")+('Dvd Calendar'!$E$764:$AR$764=SPECIAL_LBL)*(INC_SPECIALS="Y"))))</f>
        <v/>
      </c>
      <c r="G80" s="68">
        <f>IF($C80="","",SUMPRODUCT(('Dvd Calendar'!$E$759:$AR$759&gt;=DATE(YEAR_Y-4,1,1))*('Dvd Calendar'!$E$759:$AR$759&lt;=DATE(YEAR_Y-4,12,31))*'Dvd Calendar'!$E$762:$AR$762*(('Dvd Calendar'!$E$764:$AR$764=TYPE1)*(TYPE1&lt;&gt;"")+('Dvd Calendar'!$E$764:$AR$764=TYPE2)*(TYPE2&lt;&gt;"")+('Dvd Calendar'!$E$764:$AR$764=TYPE3)*(TYPE3&lt;&gt;"")+('Dvd Calendar'!$E$764:$AR$764=TYPE4)*(TYPE4&lt;&gt;"")+('Dvd Calendar'!$E$764:$AR$764=SPECIAL_LBL)*(INC_SPECIALS="Y"))))</f>
        <v/>
      </c>
      <c r="H80" s="68">
        <f>IF($C80="","",SUMPRODUCT(('Dvd Calendar'!$E$759:$AR$759&gt;=DATE(YEAR_Y-3,1,1))*('Dvd Calendar'!$E$759:$AR$759&lt;=DATE(YEAR_Y-3,12,31))*'Dvd Calendar'!$E$762:$AR$762*(('Dvd Calendar'!$E$764:$AR$764=TYPE1)*(TYPE1&lt;&gt;"")+('Dvd Calendar'!$E$764:$AR$764=TYPE2)*(TYPE2&lt;&gt;"")+('Dvd Calendar'!$E$764:$AR$764=TYPE3)*(TYPE3&lt;&gt;"")+('Dvd Calendar'!$E$764:$AR$764=TYPE4)*(TYPE4&lt;&gt;"")+('Dvd Calendar'!$E$764:$AR$764=SPECIAL_LBL)*(INC_SPECIALS="Y"))))</f>
        <v/>
      </c>
      <c r="I80" s="68">
        <f>IF($C80="","",SUMPRODUCT(('Dvd Calendar'!$E$759:$AR$759&gt;=DATE(YEAR_Y-2,1,1))*('Dvd Calendar'!$E$759:$AR$759&lt;=DATE(YEAR_Y-2,12,31))*'Dvd Calendar'!$E$762:$AR$762*(('Dvd Calendar'!$E$764:$AR$764=TYPE1)*(TYPE1&lt;&gt;"")+('Dvd Calendar'!$E$764:$AR$764=TYPE2)*(TYPE2&lt;&gt;"")+('Dvd Calendar'!$E$764:$AR$764=TYPE3)*(TYPE3&lt;&gt;"")+('Dvd Calendar'!$E$764:$AR$764=TYPE4)*(TYPE4&lt;&gt;"")+('Dvd Calendar'!$E$764:$AR$764=SPECIAL_LBL)*(INC_SPECIALS="Y"))))</f>
        <v/>
      </c>
      <c r="J80" s="68">
        <f>IF($C80="","",SUMPRODUCT(('Dvd Calendar'!$E$759:$AR$759&gt;=DATE(YEAR_Y-1,1,1))*('Dvd Calendar'!$E$759:$AR$759&lt;=DATE(YEAR_Y-1,12,31))*'Dvd Calendar'!$E$762:$AR$762*(('Dvd Calendar'!$E$764:$AR$764=TYPE1)*(TYPE1&lt;&gt;"")+('Dvd Calendar'!$E$764:$AR$764=TYPE2)*(TYPE2&lt;&gt;"")+('Dvd Calendar'!$E$764:$AR$764=TYPE3)*(TYPE3&lt;&gt;"")+('Dvd Calendar'!$E$764:$AR$764=TYPE4)*(TYPE4&lt;&gt;"")+('Dvd Calendar'!$E$764:$AR$764=SPECIAL_LBL)*(INC_SPECIALS="Y"))))</f>
        <v/>
      </c>
      <c r="K80" s="69">
        <f>IF($C80="","",HSI!$J$75)</f>
        <v/>
      </c>
      <c r="L80" s="69">
        <f>IF($C80="","",HSI!$K$75)</f>
        <v/>
      </c>
      <c r="M80" s="44">
        <f>IF($C80="","",HSI!$J$75+HSI!$L$75)</f>
        <v/>
      </c>
      <c r="N80" s="70">
        <f>IF($C80="","",IF(PULL_FUND="N","",IFERROR(BDP($C80,BESTDPS_FIELD,FWD_OVERRIDE,TEXT(MOD(YEAR_Y,100),"00")&amp;"Y"),"")))</f>
        <v/>
      </c>
      <c r="O80" s="69">
        <f>IF($C80="","",AVERAGE(F80:J80))</f>
        <v/>
      </c>
      <c r="P80" s="71">
        <f>IF($C80="","",IF(PULL_FUND="N","",IF(COUNTIFS('Fund History'!$J$416:$J$420,"&gt;="&amp;DATE(YEAR_Y-5,1,1),'Fund History'!$J$416:$J$420,"&lt;="&amp;DATE(YEAR_Y-5,12,31))=0,"",IFERROR($F80*HSI!$G$75/SUMIFS('Fund History'!$K$416:$K$420,'Fund History'!$J$416:$J$420,"&gt;="&amp;DATE(YEAR_Y-5,1,1),'Fund History'!$J$416:$J$420,"&lt;="&amp;DATE(YEAR_Y-5,12,31)),""))))</f>
        <v/>
      </c>
      <c r="Q80" s="72">
        <f>IF($C80="","",IF(PULL_FUND="N","",IF(COUNTIFS('Fund History'!$J$416:$J$420,"&gt;="&amp;DATE(YEAR_Y-4,1,1),'Fund History'!$J$416:$J$420,"&lt;="&amp;DATE(YEAR_Y-4,12,31))=0,"",IFERROR($G80*HSI!$G$75/SUMIFS('Fund History'!$K$416:$K$420,'Fund History'!$J$416:$J$420,"&gt;="&amp;DATE(YEAR_Y-4,1,1),'Fund History'!$J$416:$J$420,"&lt;="&amp;DATE(YEAR_Y-4,12,31)),""))))</f>
        <v/>
      </c>
      <c r="R80" s="72">
        <f>IF($C80="","",IF(PULL_FUND="N","",IF(COUNTIFS('Fund History'!$J$416:$J$420,"&gt;="&amp;DATE(YEAR_Y-3,1,1),'Fund History'!$J$416:$J$420,"&lt;="&amp;DATE(YEAR_Y-3,12,31))=0,"",IFERROR($H80*HSI!$G$75/SUMIFS('Fund History'!$K$416:$K$420,'Fund History'!$J$416:$J$420,"&gt;="&amp;DATE(YEAR_Y-3,1,1),'Fund History'!$J$416:$J$420,"&lt;="&amp;DATE(YEAR_Y-3,12,31)),""))))</f>
        <v/>
      </c>
      <c r="S80" s="72">
        <f>IF($C80="","",IF(PULL_FUND="N","",IF(COUNTIFS('Fund History'!$J$416:$J$420,"&gt;="&amp;DATE(YEAR_Y-2,1,1),'Fund History'!$J$416:$J$420,"&lt;="&amp;DATE(YEAR_Y-2,12,31))=0,"",IFERROR($I80*HSI!$G$75/SUMIFS('Fund History'!$K$416:$K$420,'Fund History'!$J$416:$J$420,"&gt;="&amp;DATE(YEAR_Y-2,1,1),'Fund History'!$J$416:$J$420,"&lt;="&amp;DATE(YEAR_Y-2,12,31)),""))))</f>
        <v/>
      </c>
      <c r="T80" s="72">
        <f>IF($C80="","",IF(PULL_FUND="N","",IF(COUNTIFS('Fund History'!$J$416:$J$420,"&gt;="&amp;DATE(YEAR_Y-1,1,1),'Fund History'!$J$416:$J$420,"&lt;="&amp;DATE(YEAR_Y-1,12,31))=0,"",IFERROR($J80*HSI!$G$75/SUMIFS('Fund History'!$K$416:$K$420,'Fund History'!$J$416:$J$420,"&gt;="&amp;DATE(YEAR_Y-1,1,1),'Fund History'!$J$416:$J$420,"&lt;="&amp;DATE(YEAR_Y-1,12,31)),""))))</f>
        <v/>
      </c>
      <c r="U80" s="73">
        <f>IF($C80="","",IF(ISNUMBER(HSI!$I$75),HSI!$I$75/100,""))</f>
        <v/>
      </c>
      <c r="V80" s="74">
        <f>IF($C80="","",IF(ISNUMBER(HSI!$X$75),IFERROR($M80*HSI!$G$75/HSI!$X$75,""),""))</f>
        <v/>
      </c>
      <c r="W80" s="73">
        <f>IF($C80="","",IF(ISNUMBER($N80),IFERROR($N80*HSI!$G$75/HSI!$X$75,""),""))</f>
        <v/>
      </c>
      <c r="X80" s="75">
        <f>IF($C80="","",IF(PULL_FUND="N","",IFERROR(BDP($C80,EPS_FIELD,YR_OVERRIDE,TEXT(YEAR_Y-5,"0")),"")))</f>
        <v/>
      </c>
      <c r="Y80" s="76">
        <f>IF($C80="","",IF(PULL_FUND="N","",IFERROR(BDP($C80,EPS_FIELD,YR_OVERRIDE,TEXT(YEAR_Y-4,"0")),"")))</f>
        <v/>
      </c>
      <c r="Z80" s="76">
        <f>IF($C80="","",IF(PULL_FUND="N","",IFERROR(BDP($C80,EPS_FIELD,YR_OVERRIDE,TEXT(YEAR_Y-3,"0")),"")))</f>
        <v/>
      </c>
      <c r="AA80" s="76">
        <f>IF($C80="","",IF(PULL_FUND="N","",IFERROR(BDP($C80,EPS_FIELD,YR_OVERRIDE,TEXT(YEAR_Y-2,"0")),"")))</f>
        <v/>
      </c>
      <c r="AB80" s="76">
        <f>IF($C80="","",IF(PULL_FUND="N","",IFERROR(BDP($C80,EPS_FIELD,YR_OVERRIDE,TEXT(YEAR_Y-1,"0")),"")))</f>
        <v/>
      </c>
      <c r="AC80" s="50">
        <f>IF($C80="","",IFERROR(AVERAGE(X80:AB80),""))</f>
        <v/>
      </c>
      <c r="AD80" s="76">
        <f>IF($C80="","",IF(PULL_FUND="N","",IFERROR(BDP($C80,BESTEPS_FIELD,FWD_OVERRIDE,TEXT(MOD(YEAR_Y,100),"00")&amp;"Y"),"")))</f>
        <v/>
      </c>
      <c r="AE80" s="77">
        <f>IF($C80="","",IF(PULL_FUND="N","",IFERROR(BDP($C80,PAYOUT_FIELD,YR_OVERRIDE,TEXT(YEAR_Y-5,"0"))/100,"")))</f>
        <v/>
      </c>
      <c r="AF80" s="78">
        <f>IF($C80="","",IF(PULL_FUND="N","",IFERROR(BDP($C80,PAYOUT_FIELD,YR_OVERRIDE,TEXT(YEAR_Y-4,"0"))/100,"")))</f>
        <v/>
      </c>
      <c r="AG80" s="78">
        <f>IF($C80="","",IF(PULL_FUND="N","",IFERROR(BDP($C80,PAYOUT_FIELD,YR_OVERRIDE,TEXT(YEAR_Y-3,"0"))/100,"")))</f>
        <v/>
      </c>
      <c r="AH80" s="78">
        <f>IF($C80="","",IF(PULL_FUND="N","",IFERROR(BDP($C80,PAYOUT_FIELD,YR_OVERRIDE,TEXT(YEAR_Y-2,"0"))/100,"")))</f>
        <v/>
      </c>
      <c r="AI80" s="78">
        <f>IF($C80="","",IF(PULL_FUND="N","",IFERROR(BDP($C80,PAYOUT_FIELD,YR_OVERRIDE,TEXT(YEAR_Y-1,"0"))/100,"")))</f>
        <v/>
      </c>
      <c r="AJ80" s="79">
        <f>IF($C80="","",IFERROR(AVERAGE(AE80:AI80),""))</f>
        <v/>
      </c>
      <c r="AK80" s="80">
        <f>IF($C80="","",IF(ISNUMBER($AD80)*ISNUMBER($N80)*($AD80&lt;&gt;0)=0,"",$N80/$AD80))</f>
        <v/>
      </c>
      <c r="AL80" s="79">
        <f>IF($C80="","",IF(ISNUMBER($AD80)*($AD80&lt;&gt;0)=0,"",$M80/$AD80))</f>
        <v/>
      </c>
      <c r="AM80" s="37">
        <f>IF($C80="","",IF(ISNUMBER($AE80)*ISNUMBER($AI80)=0,"",IF($AI80&gt;$AE80+0.05,"rising",IF($AI80&lt;$AE80-0.05,"falling","stable"))))</f>
        <v/>
      </c>
      <c r="AN80" s="81">
        <f>IF($C80="","",IF(PULL_FUND="N","",IF(COUNTIFS('Fund History'!$G$416:$G$420,"&gt;="&amp;DATE(YEAR_Y-4,1,1),'Fund History'!$G$416:$G$420,"&lt;="&amp;DATE(YEAR_Y-4,12,31))=0,"",SUMIFS('Fund History'!$H$416:$H$420,'Fund History'!$G$416:$G$420,"&gt;="&amp;DATE(YEAR_Y-4,1,1),'Fund History'!$G$416:$G$420,"&lt;="&amp;DATE(YEAR_Y-4,12,31))/100)))</f>
        <v/>
      </c>
      <c r="AO80" s="82">
        <f>IF($C80="","",IF(PULL_FUND="N","",IF(COUNTIFS('Fund History'!$G$416:$G$420,"&gt;="&amp;DATE(YEAR_Y-3,1,1),'Fund History'!$G$416:$G$420,"&lt;="&amp;DATE(YEAR_Y-3,12,31))=0,"",SUMIFS('Fund History'!$H$416:$H$420,'Fund History'!$G$416:$G$420,"&gt;="&amp;DATE(YEAR_Y-3,1,1),'Fund History'!$G$416:$G$420,"&lt;="&amp;DATE(YEAR_Y-3,12,31))/100)))</f>
        <v/>
      </c>
      <c r="AP80" s="82">
        <f>IF($C80="","",IF(PULL_FUND="N","",IF(COUNTIFS('Fund History'!$G$416:$G$420,"&gt;="&amp;DATE(YEAR_Y-2,1,1),'Fund History'!$G$416:$G$420,"&lt;="&amp;DATE(YEAR_Y-2,12,31))=0,"",SUMIFS('Fund History'!$H$416:$H$420,'Fund History'!$G$416:$G$420,"&gt;="&amp;DATE(YEAR_Y-2,1,1),'Fund History'!$G$416:$G$420,"&lt;="&amp;DATE(YEAR_Y-2,12,31))/100)))</f>
        <v/>
      </c>
      <c r="AQ80" s="82">
        <f>IF($C80="","",IF(PULL_FUND="N","",IF(COUNTIFS('Fund History'!$G$416:$G$420,"&gt;="&amp;DATE(YEAR_Y-1,1,1),'Fund History'!$G$416:$G$420,"&lt;="&amp;DATE(YEAR_Y-1,12,31))=0,"",SUMIFS('Fund History'!$H$416:$H$420,'Fund History'!$G$416:$G$420,"&gt;="&amp;DATE(YEAR_Y-1,1,1),'Fund History'!$G$416:$G$420,"&lt;="&amp;DATE(YEAR_Y-1,12,31))/100)))</f>
        <v/>
      </c>
      <c r="AR80" s="83">
        <f>IF($C80="","",IF(N($AQ80)+N(HSI!$I$75)=0,"",N($AQ80)+N(HSI!$I$75)/100))</f>
        <v/>
      </c>
      <c r="AS80" s="75">
        <f>IF($C80="","",IF(PULL_FUND="N","",IF(COUNTIFS('Fund History'!$D$416:$D$420,"&gt;="&amp;DATE(YEAR_Y-2,1,1),'Fund History'!$D$416:$D$420,"&lt;="&amp;DATE(YEAR_Y-2,12,31))=0,"",SUMIFS('Fund History'!$E$416:$E$420,'Fund History'!$D$416:$D$420,"&gt;="&amp;DATE(YEAR_Y-2,1,1),'Fund History'!$D$416:$D$420,"&lt;="&amp;DATE(YEAR_Y-2,12,31)))))</f>
        <v/>
      </c>
      <c r="AT80" s="76">
        <f>IF($C80="","",IF(PULL_FUND="N","",IF(COUNTIFS('Fund History'!$D$416:$D$420,"&gt;="&amp;DATE(YEAR_Y-1,1,1),'Fund History'!$D$416:$D$420,"&lt;="&amp;DATE(YEAR_Y-1,12,31))=0,"",SUMIFS('Fund History'!$E$416:$E$420,'Fund History'!$D$416:$D$420,"&gt;="&amp;DATE(YEAR_Y-1,1,1),'Fund History'!$D$416:$D$420,"&lt;="&amp;DATE(YEAR_Y-1,12,31)))))</f>
        <v/>
      </c>
      <c r="AU80" s="76">
        <f>IF($C80="","",IF(PULL_FUND="N","",IFERROR(BDP($C80,NDEBITDA_FIELD),"")))</f>
        <v/>
      </c>
      <c r="AV80" s="84">
        <f>IF($C80="","",IF(PULL_FUND="N","",IFERROR(BDP($C80,EBINT_FIELD),"")))</f>
        <v/>
      </c>
      <c r="AW80" s="82">
        <f>IF($C80="","",IF(PULL_FUND="N","",IFERROR(BDP($C80,FCF_FIELD)/100,"")))</f>
        <v/>
      </c>
      <c r="AX80" s="50">
        <f>IF($C80="","",IF(N($U80)=0,"",IFERROR($AW80/$U80,"")))</f>
        <v/>
      </c>
      <c r="AY80" s="85">
        <f>IF($C80="","",TRIM(IF(ISNUMBER($AJ80)*(N($AJ80)&gt;$D$4)&gt;0,"payout high  ","")&amp;IF(ISNUMBER($AX80)*(N($AX80)&lt;$F$4)&gt;0,"FCF below dvd  ","")&amp;IF(ISNUMBER($AU80)*(N($AU80)&gt;$H$4)&gt;0,"leverage high","")))</f>
        <v/>
      </c>
      <c r="AZ80" s="86">
        <f>IF($C80="","",IF(HSI!$F$75="HKD","",HSI!$F$75))</f>
        <v/>
      </c>
    </row>
    <row r="81">
      <c r="B81" s="66" t="inlineStr">
        <is>
          <t>HSI</t>
        </is>
      </c>
      <c r="C81" s="8">
        <f>IF(HSI!$C$76="","",HSI!$C$76)</f>
        <v/>
      </c>
      <c r="D81" s="8">
        <f>IF($C81="","",HSI!$D$76)</f>
        <v/>
      </c>
      <c r="E81" s="8">
        <f>IF($C81="","",HSI!$E$76)</f>
        <v/>
      </c>
      <c r="F81" s="67">
        <f>IF($C81="","",SUMPRODUCT(('Dvd Calendar'!$E$770:$AR$770&gt;=DATE(YEAR_Y-5,1,1))*('Dvd Calendar'!$E$770:$AR$770&lt;=DATE(YEAR_Y-5,12,31))*'Dvd Calendar'!$E$773:$AR$773*(('Dvd Calendar'!$E$775:$AR$775=TYPE1)*(TYPE1&lt;&gt;"")+('Dvd Calendar'!$E$775:$AR$775=TYPE2)*(TYPE2&lt;&gt;"")+('Dvd Calendar'!$E$775:$AR$775=TYPE3)*(TYPE3&lt;&gt;"")+('Dvd Calendar'!$E$775:$AR$775=TYPE4)*(TYPE4&lt;&gt;"")+('Dvd Calendar'!$E$775:$AR$775=SPECIAL_LBL)*(INC_SPECIALS="Y"))))</f>
        <v/>
      </c>
      <c r="G81" s="68">
        <f>IF($C81="","",SUMPRODUCT(('Dvd Calendar'!$E$770:$AR$770&gt;=DATE(YEAR_Y-4,1,1))*('Dvd Calendar'!$E$770:$AR$770&lt;=DATE(YEAR_Y-4,12,31))*'Dvd Calendar'!$E$773:$AR$773*(('Dvd Calendar'!$E$775:$AR$775=TYPE1)*(TYPE1&lt;&gt;"")+('Dvd Calendar'!$E$775:$AR$775=TYPE2)*(TYPE2&lt;&gt;"")+('Dvd Calendar'!$E$775:$AR$775=TYPE3)*(TYPE3&lt;&gt;"")+('Dvd Calendar'!$E$775:$AR$775=TYPE4)*(TYPE4&lt;&gt;"")+('Dvd Calendar'!$E$775:$AR$775=SPECIAL_LBL)*(INC_SPECIALS="Y"))))</f>
        <v/>
      </c>
      <c r="H81" s="68">
        <f>IF($C81="","",SUMPRODUCT(('Dvd Calendar'!$E$770:$AR$770&gt;=DATE(YEAR_Y-3,1,1))*('Dvd Calendar'!$E$770:$AR$770&lt;=DATE(YEAR_Y-3,12,31))*'Dvd Calendar'!$E$773:$AR$773*(('Dvd Calendar'!$E$775:$AR$775=TYPE1)*(TYPE1&lt;&gt;"")+('Dvd Calendar'!$E$775:$AR$775=TYPE2)*(TYPE2&lt;&gt;"")+('Dvd Calendar'!$E$775:$AR$775=TYPE3)*(TYPE3&lt;&gt;"")+('Dvd Calendar'!$E$775:$AR$775=TYPE4)*(TYPE4&lt;&gt;"")+('Dvd Calendar'!$E$775:$AR$775=SPECIAL_LBL)*(INC_SPECIALS="Y"))))</f>
        <v/>
      </c>
      <c r="I81" s="68">
        <f>IF($C81="","",SUMPRODUCT(('Dvd Calendar'!$E$770:$AR$770&gt;=DATE(YEAR_Y-2,1,1))*('Dvd Calendar'!$E$770:$AR$770&lt;=DATE(YEAR_Y-2,12,31))*'Dvd Calendar'!$E$773:$AR$773*(('Dvd Calendar'!$E$775:$AR$775=TYPE1)*(TYPE1&lt;&gt;"")+('Dvd Calendar'!$E$775:$AR$775=TYPE2)*(TYPE2&lt;&gt;"")+('Dvd Calendar'!$E$775:$AR$775=TYPE3)*(TYPE3&lt;&gt;"")+('Dvd Calendar'!$E$775:$AR$775=TYPE4)*(TYPE4&lt;&gt;"")+('Dvd Calendar'!$E$775:$AR$775=SPECIAL_LBL)*(INC_SPECIALS="Y"))))</f>
        <v/>
      </c>
      <c r="J81" s="68">
        <f>IF($C81="","",SUMPRODUCT(('Dvd Calendar'!$E$770:$AR$770&gt;=DATE(YEAR_Y-1,1,1))*('Dvd Calendar'!$E$770:$AR$770&lt;=DATE(YEAR_Y-1,12,31))*'Dvd Calendar'!$E$773:$AR$773*(('Dvd Calendar'!$E$775:$AR$775=TYPE1)*(TYPE1&lt;&gt;"")+('Dvd Calendar'!$E$775:$AR$775=TYPE2)*(TYPE2&lt;&gt;"")+('Dvd Calendar'!$E$775:$AR$775=TYPE3)*(TYPE3&lt;&gt;"")+('Dvd Calendar'!$E$775:$AR$775=TYPE4)*(TYPE4&lt;&gt;"")+('Dvd Calendar'!$E$775:$AR$775=SPECIAL_LBL)*(INC_SPECIALS="Y"))))</f>
        <v/>
      </c>
      <c r="K81" s="69">
        <f>IF($C81="","",HSI!$J$76)</f>
        <v/>
      </c>
      <c r="L81" s="69">
        <f>IF($C81="","",HSI!$K$76)</f>
        <v/>
      </c>
      <c r="M81" s="44">
        <f>IF($C81="","",HSI!$J$76+HSI!$L$76)</f>
        <v/>
      </c>
      <c r="N81" s="70">
        <f>IF($C81="","",IF(PULL_FUND="N","",IFERROR(BDP($C81,BESTDPS_FIELD,FWD_OVERRIDE,TEXT(MOD(YEAR_Y,100),"00")&amp;"Y"),"")))</f>
        <v/>
      </c>
      <c r="O81" s="69">
        <f>IF($C81="","",AVERAGE(F81:J81))</f>
        <v/>
      </c>
      <c r="P81" s="71">
        <f>IF($C81="","",IF(PULL_FUND="N","",IF(COUNTIFS('Fund History'!$J$422:$J$426,"&gt;="&amp;DATE(YEAR_Y-5,1,1),'Fund History'!$J$422:$J$426,"&lt;="&amp;DATE(YEAR_Y-5,12,31))=0,"",IFERROR($F81*HSI!$G$76/SUMIFS('Fund History'!$K$422:$K$426,'Fund History'!$J$422:$J$426,"&gt;="&amp;DATE(YEAR_Y-5,1,1),'Fund History'!$J$422:$J$426,"&lt;="&amp;DATE(YEAR_Y-5,12,31)),""))))</f>
        <v/>
      </c>
      <c r="Q81" s="72">
        <f>IF($C81="","",IF(PULL_FUND="N","",IF(COUNTIFS('Fund History'!$J$422:$J$426,"&gt;="&amp;DATE(YEAR_Y-4,1,1),'Fund History'!$J$422:$J$426,"&lt;="&amp;DATE(YEAR_Y-4,12,31))=0,"",IFERROR($G81*HSI!$G$76/SUMIFS('Fund History'!$K$422:$K$426,'Fund History'!$J$422:$J$426,"&gt;="&amp;DATE(YEAR_Y-4,1,1),'Fund History'!$J$422:$J$426,"&lt;="&amp;DATE(YEAR_Y-4,12,31)),""))))</f>
        <v/>
      </c>
      <c r="R81" s="72">
        <f>IF($C81="","",IF(PULL_FUND="N","",IF(COUNTIFS('Fund History'!$J$422:$J$426,"&gt;="&amp;DATE(YEAR_Y-3,1,1),'Fund History'!$J$422:$J$426,"&lt;="&amp;DATE(YEAR_Y-3,12,31))=0,"",IFERROR($H81*HSI!$G$76/SUMIFS('Fund History'!$K$422:$K$426,'Fund History'!$J$422:$J$426,"&gt;="&amp;DATE(YEAR_Y-3,1,1),'Fund History'!$J$422:$J$426,"&lt;="&amp;DATE(YEAR_Y-3,12,31)),""))))</f>
        <v/>
      </c>
      <c r="S81" s="72">
        <f>IF($C81="","",IF(PULL_FUND="N","",IF(COUNTIFS('Fund History'!$J$422:$J$426,"&gt;="&amp;DATE(YEAR_Y-2,1,1),'Fund History'!$J$422:$J$426,"&lt;="&amp;DATE(YEAR_Y-2,12,31))=0,"",IFERROR($I81*HSI!$G$76/SUMIFS('Fund History'!$K$422:$K$426,'Fund History'!$J$422:$J$426,"&gt;="&amp;DATE(YEAR_Y-2,1,1),'Fund History'!$J$422:$J$426,"&lt;="&amp;DATE(YEAR_Y-2,12,31)),""))))</f>
        <v/>
      </c>
      <c r="T81" s="72">
        <f>IF($C81="","",IF(PULL_FUND="N","",IF(COUNTIFS('Fund History'!$J$422:$J$426,"&gt;="&amp;DATE(YEAR_Y-1,1,1),'Fund History'!$J$422:$J$426,"&lt;="&amp;DATE(YEAR_Y-1,12,31))=0,"",IFERROR($J81*HSI!$G$76/SUMIFS('Fund History'!$K$422:$K$426,'Fund History'!$J$422:$J$426,"&gt;="&amp;DATE(YEAR_Y-1,1,1),'Fund History'!$J$422:$J$426,"&lt;="&amp;DATE(YEAR_Y-1,12,31)),""))))</f>
        <v/>
      </c>
      <c r="U81" s="73">
        <f>IF($C81="","",IF(ISNUMBER(HSI!$I$76),HSI!$I$76/100,""))</f>
        <v/>
      </c>
      <c r="V81" s="74">
        <f>IF($C81="","",IF(ISNUMBER(HSI!$X$76),IFERROR($M81*HSI!$G$76/HSI!$X$76,""),""))</f>
        <v/>
      </c>
      <c r="W81" s="73">
        <f>IF($C81="","",IF(ISNUMBER($N81),IFERROR($N81*HSI!$G$76/HSI!$X$76,""),""))</f>
        <v/>
      </c>
      <c r="X81" s="75">
        <f>IF($C81="","",IF(PULL_FUND="N","",IFERROR(BDP($C81,EPS_FIELD,YR_OVERRIDE,TEXT(YEAR_Y-5,"0")),"")))</f>
        <v/>
      </c>
      <c r="Y81" s="76">
        <f>IF($C81="","",IF(PULL_FUND="N","",IFERROR(BDP($C81,EPS_FIELD,YR_OVERRIDE,TEXT(YEAR_Y-4,"0")),"")))</f>
        <v/>
      </c>
      <c r="Z81" s="76">
        <f>IF($C81="","",IF(PULL_FUND="N","",IFERROR(BDP($C81,EPS_FIELD,YR_OVERRIDE,TEXT(YEAR_Y-3,"0")),"")))</f>
        <v/>
      </c>
      <c r="AA81" s="76">
        <f>IF($C81="","",IF(PULL_FUND="N","",IFERROR(BDP($C81,EPS_FIELD,YR_OVERRIDE,TEXT(YEAR_Y-2,"0")),"")))</f>
        <v/>
      </c>
      <c r="AB81" s="76">
        <f>IF($C81="","",IF(PULL_FUND="N","",IFERROR(BDP($C81,EPS_FIELD,YR_OVERRIDE,TEXT(YEAR_Y-1,"0")),"")))</f>
        <v/>
      </c>
      <c r="AC81" s="50">
        <f>IF($C81="","",IFERROR(AVERAGE(X81:AB81),""))</f>
        <v/>
      </c>
      <c r="AD81" s="76">
        <f>IF($C81="","",IF(PULL_FUND="N","",IFERROR(BDP($C81,BESTEPS_FIELD,FWD_OVERRIDE,TEXT(MOD(YEAR_Y,100),"00")&amp;"Y"),"")))</f>
        <v/>
      </c>
      <c r="AE81" s="77">
        <f>IF($C81="","",IF(PULL_FUND="N","",IFERROR(BDP($C81,PAYOUT_FIELD,YR_OVERRIDE,TEXT(YEAR_Y-5,"0"))/100,"")))</f>
        <v/>
      </c>
      <c r="AF81" s="78">
        <f>IF($C81="","",IF(PULL_FUND="N","",IFERROR(BDP($C81,PAYOUT_FIELD,YR_OVERRIDE,TEXT(YEAR_Y-4,"0"))/100,"")))</f>
        <v/>
      </c>
      <c r="AG81" s="78">
        <f>IF($C81="","",IF(PULL_FUND="N","",IFERROR(BDP($C81,PAYOUT_FIELD,YR_OVERRIDE,TEXT(YEAR_Y-3,"0"))/100,"")))</f>
        <v/>
      </c>
      <c r="AH81" s="78">
        <f>IF($C81="","",IF(PULL_FUND="N","",IFERROR(BDP($C81,PAYOUT_FIELD,YR_OVERRIDE,TEXT(YEAR_Y-2,"0"))/100,"")))</f>
        <v/>
      </c>
      <c r="AI81" s="78">
        <f>IF($C81="","",IF(PULL_FUND="N","",IFERROR(BDP($C81,PAYOUT_FIELD,YR_OVERRIDE,TEXT(YEAR_Y-1,"0"))/100,"")))</f>
        <v/>
      </c>
      <c r="AJ81" s="79">
        <f>IF($C81="","",IFERROR(AVERAGE(AE81:AI81),""))</f>
        <v/>
      </c>
      <c r="AK81" s="80">
        <f>IF($C81="","",IF(ISNUMBER($AD81)*ISNUMBER($N81)*($AD81&lt;&gt;0)=0,"",$N81/$AD81))</f>
        <v/>
      </c>
      <c r="AL81" s="79">
        <f>IF($C81="","",IF(ISNUMBER($AD81)*($AD81&lt;&gt;0)=0,"",$M81/$AD81))</f>
        <v/>
      </c>
      <c r="AM81" s="37">
        <f>IF($C81="","",IF(ISNUMBER($AE81)*ISNUMBER($AI81)=0,"",IF($AI81&gt;$AE81+0.05,"rising",IF($AI81&lt;$AE81-0.05,"falling","stable"))))</f>
        <v/>
      </c>
      <c r="AN81" s="81">
        <f>IF($C81="","",IF(PULL_FUND="N","",IF(COUNTIFS('Fund History'!$G$422:$G$426,"&gt;="&amp;DATE(YEAR_Y-4,1,1),'Fund History'!$G$422:$G$426,"&lt;="&amp;DATE(YEAR_Y-4,12,31))=0,"",SUMIFS('Fund History'!$H$422:$H$426,'Fund History'!$G$422:$G$426,"&gt;="&amp;DATE(YEAR_Y-4,1,1),'Fund History'!$G$422:$G$426,"&lt;="&amp;DATE(YEAR_Y-4,12,31))/100)))</f>
        <v/>
      </c>
      <c r="AO81" s="82">
        <f>IF($C81="","",IF(PULL_FUND="N","",IF(COUNTIFS('Fund History'!$G$422:$G$426,"&gt;="&amp;DATE(YEAR_Y-3,1,1),'Fund History'!$G$422:$G$426,"&lt;="&amp;DATE(YEAR_Y-3,12,31))=0,"",SUMIFS('Fund History'!$H$422:$H$426,'Fund History'!$G$422:$G$426,"&gt;="&amp;DATE(YEAR_Y-3,1,1),'Fund History'!$G$422:$G$426,"&lt;="&amp;DATE(YEAR_Y-3,12,31))/100)))</f>
        <v/>
      </c>
      <c r="AP81" s="82">
        <f>IF($C81="","",IF(PULL_FUND="N","",IF(COUNTIFS('Fund History'!$G$422:$G$426,"&gt;="&amp;DATE(YEAR_Y-2,1,1),'Fund History'!$G$422:$G$426,"&lt;="&amp;DATE(YEAR_Y-2,12,31))=0,"",SUMIFS('Fund History'!$H$422:$H$426,'Fund History'!$G$422:$G$426,"&gt;="&amp;DATE(YEAR_Y-2,1,1),'Fund History'!$G$422:$G$426,"&lt;="&amp;DATE(YEAR_Y-2,12,31))/100)))</f>
        <v/>
      </c>
      <c r="AQ81" s="82">
        <f>IF($C81="","",IF(PULL_FUND="N","",IF(COUNTIFS('Fund History'!$G$422:$G$426,"&gt;="&amp;DATE(YEAR_Y-1,1,1),'Fund History'!$G$422:$G$426,"&lt;="&amp;DATE(YEAR_Y-1,12,31))=0,"",SUMIFS('Fund History'!$H$422:$H$426,'Fund History'!$G$422:$G$426,"&gt;="&amp;DATE(YEAR_Y-1,1,1),'Fund History'!$G$422:$G$426,"&lt;="&amp;DATE(YEAR_Y-1,12,31))/100)))</f>
        <v/>
      </c>
      <c r="AR81" s="83">
        <f>IF($C81="","",IF(N($AQ81)+N(HSI!$I$76)=0,"",N($AQ81)+N(HSI!$I$76)/100))</f>
        <v/>
      </c>
      <c r="AS81" s="75">
        <f>IF($C81="","",IF(PULL_FUND="N","",IF(COUNTIFS('Fund History'!$D$422:$D$426,"&gt;="&amp;DATE(YEAR_Y-2,1,1),'Fund History'!$D$422:$D$426,"&lt;="&amp;DATE(YEAR_Y-2,12,31))=0,"",SUMIFS('Fund History'!$E$422:$E$426,'Fund History'!$D$422:$D$426,"&gt;="&amp;DATE(YEAR_Y-2,1,1),'Fund History'!$D$422:$D$426,"&lt;="&amp;DATE(YEAR_Y-2,12,31)))))</f>
        <v/>
      </c>
      <c r="AT81" s="76">
        <f>IF($C81="","",IF(PULL_FUND="N","",IF(COUNTIFS('Fund History'!$D$422:$D$426,"&gt;="&amp;DATE(YEAR_Y-1,1,1),'Fund History'!$D$422:$D$426,"&lt;="&amp;DATE(YEAR_Y-1,12,31))=0,"",SUMIFS('Fund History'!$E$422:$E$426,'Fund History'!$D$422:$D$426,"&gt;="&amp;DATE(YEAR_Y-1,1,1),'Fund History'!$D$422:$D$426,"&lt;="&amp;DATE(YEAR_Y-1,12,31)))))</f>
        <v/>
      </c>
      <c r="AU81" s="76">
        <f>IF($C81="","",IF(PULL_FUND="N","",IFERROR(BDP($C81,NDEBITDA_FIELD),"")))</f>
        <v/>
      </c>
      <c r="AV81" s="84">
        <f>IF($C81="","",IF(PULL_FUND="N","",IFERROR(BDP($C81,EBINT_FIELD),"")))</f>
        <v/>
      </c>
      <c r="AW81" s="82">
        <f>IF($C81="","",IF(PULL_FUND="N","",IFERROR(BDP($C81,FCF_FIELD)/100,"")))</f>
        <v/>
      </c>
      <c r="AX81" s="50">
        <f>IF($C81="","",IF(N($U81)=0,"",IFERROR($AW81/$U81,"")))</f>
        <v/>
      </c>
      <c r="AY81" s="85">
        <f>IF($C81="","",TRIM(IF(ISNUMBER($AJ81)*(N($AJ81)&gt;$D$4)&gt;0,"payout high  ","")&amp;IF(ISNUMBER($AX81)*(N($AX81)&lt;$F$4)&gt;0,"FCF below dvd  ","")&amp;IF(ISNUMBER($AU81)*(N($AU81)&gt;$H$4)&gt;0,"leverage high","")))</f>
        <v/>
      </c>
      <c r="AZ81" s="86">
        <f>IF($C81="","",IF(HSI!$F$76="HKD","",HSI!$F$76))</f>
        <v/>
      </c>
    </row>
    <row r="82">
      <c r="B82" s="66" t="inlineStr">
        <is>
          <t>HSI</t>
        </is>
      </c>
      <c r="C82" s="8">
        <f>IF(HSI!$C$77="","",HSI!$C$77)</f>
        <v/>
      </c>
      <c r="D82" s="8">
        <f>IF($C82="","",HSI!$D$77)</f>
        <v/>
      </c>
      <c r="E82" s="8">
        <f>IF($C82="","",HSI!$E$77)</f>
        <v/>
      </c>
      <c r="F82" s="67">
        <f>IF($C82="","",SUMPRODUCT(('Dvd Calendar'!$E$781:$AR$781&gt;=DATE(YEAR_Y-5,1,1))*('Dvd Calendar'!$E$781:$AR$781&lt;=DATE(YEAR_Y-5,12,31))*'Dvd Calendar'!$E$784:$AR$784*(('Dvd Calendar'!$E$786:$AR$786=TYPE1)*(TYPE1&lt;&gt;"")+('Dvd Calendar'!$E$786:$AR$786=TYPE2)*(TYPE2&lt;&gt;"")+('Dvd Calendar'!$E$786:$AR$786=TYPE3)*(TYPE3&lt;&gt;"")+('Dvd Calendar'!$E$786:$AR$786=TYPE4)*(TYPE4&lt;&gt;"")+('Dvd Calendar'!$E$786:$AR$786=SPECIAL_LBL)*(INC_SPECIALS="Y"))))</f>
        <v/>
      </c>
      <c r="G82" s="68">
        <f>IF($C82="","",SUMPRODUCT(('Dvd Calendar'!$E$781:$AR$781&gt;=DATE(YEAR_Y-4,1,1))*('Dvd Calendar'!$E$781:$AR$781&lt;=DATE(YEAR_Y-4,12,31))*'Dvd Calendar'!$E$784:$AR$784*(('Dvd Calendar'!$E$786:$AR$786=TYPE1)*(TYPE1&lt;&gt;"")+('Dvd Calendar'!$E$786:$AR$786=TYPE2)*(TYPE2&lt;&gt;"")+('Dvd Calendar'!$E$786:$AR$786=TYPE3)*(TYPE3&lt;&gt;"")+('Dvd Calendar'!$E$786:$AR$786=TYPE4)*(TYPE4&lt;&gt;"")+('Dvd Calendar'!$E$786:$AR$786=SPECIAL_LBL)*(INC_SPECIALS="Y"))))</f>
        <v/>
      </c>
      <c r="H82" s="68">
        <f>IF($C82="","",SUMPRODUCT(('Dvd Calendar'!$E$781:$AR$781&gt;=DATE(YEAR_Y-3,1,1))*('Dvd Calendar'!$E$781:$AR$781&lt;=DATE(YEAR_Y-3,12,31))*'Dvd Calendar'!$E$784:$AR$784*(('Dvd Calendar'!$E$786:$AR$786=TYPE1)*(TYPE1&lt;&gt;"")+('Dvd Calendar'!$E$786:$AR$786=TYPE2)*(TYPE2&lt;&gt;"")+('Dvd Calendar'!$E$786:$AR$786=TYPE3)*(TYPE3&lt;&gt;"")+('Dvd Calendar'!$E$786:$AR$786=TYPE4)*(TYPE4&lt;&gt;"")+('Dvd Calendar'!$E$786:$AR$786=SPECIAL_LBL)*(INC_SPECIALS="Y"))))</f>
        <v/>
      </c>
      <c r="I82" s="68">
        <f>IF($C82="","",SUMPRODUCT(('Dvd Calendar'!$E$781:$AR$781&gt;=DATE(YEAR_Y-2,1,1))*('Dvd Calendar'!$E$781:$AR$781&lt;=DATE(YEAR_Y-2,12,31))*'Dvd Calendar'!$E$784:$AR$784*(('Dvd Calendar'!$E$786:$AR$786=TYPE1)*(TYPE1&lt;&gt;"")+('Dvd Calendar'!$E$786:$AR$786=TYPE2)*(TYPE2&lt;&gt;"")+('Dvd Calendar'!$E$786:$AR$786=TYPE3)*(TYPE3&lt;&gt;"")+('Dvd Calendar'!$E$786:$AR$786=TYPE4)*(TYPE4&lt;&gt;"")+('Dvd Calendar'!$E$786:$AR$786=SPECIAL_LBL)*(INC_SPECIALS="Y"))))</f>
        <v/>
      </c>
      <c r="J82" s="68">
        <f>IF($C82="","",SUMPRODUCT(('Dvd Calendar'!$E$781:$AR$781&gt;=DATE(YEAR_Y-1,1,1))*('Dvd Calendar'!$E$781:$AR$781&lt;=DATE(YEAR_Y-1,12,31))*'Dvd Calendar'!$E$784:$AR$784*(('Dvd Calendar'!$E$786:$AR$786=TYPE1)*(TYPE1&lt;&gt;"")+('Dvd Calendar'!$E$786:$AR$786=TYPE2)*(TYPE2&lt;&gt;"")+('Dvd Calendar'!$E$786:$AR$786=TYPE3)*(TYPE3&lt;&gt;"")+('Dvd Calendar'!$E$786:$AR$786=TYPE4)*(TYPE4&lt;&gt;"")+('Dvd Calendar'!$E$786:$AR$786=SPECIAL_LBL)*(INC_SPECIALS="Y"))))</f>
        <v/>
      </c>
      <c r="K82" s="69">
        <f>IF($C82="","",HSI!$J$77)</f>
        <v/>
      </c>
      <c r="L82" s="69">
        <f>IF($C82="","",HSI!$K$77)</f>
        <v/>
      </c>
      <c r="M82" s="44">
        <f>IF($C82="","",HSI!$J$77+HSI!$L$77)</f>
        <v/>
      </c>
      <c r="N82" s="70">
        <f>IF($C82="","",IF(PULL_FUND="N","",IFERROR(BDP($C82,BESTDPS_FIELD,FWD_OVERRIDE,TEXT(MOD(YEAR_Y,100),"00")&amp;"Y"),"")))</f>
        <v/>
      </c>
      <c r="O82" s="69">
        <f>IF($C82="","",AVERAGE(F82:J82))</f>
        <v/>
      </c>
      <c r="P82" s="71">
        <f>IF($C82="","",IF(PULL_FUND="N","",IF(COUNTIFS('Fund History'!$J$428:$J$432,"&gt;="&amp;DATE(YEAR_Y-5,1,1),'Fund History'!$J$428:$J$432,"&lt;="&amp;DATE(YEAR_Y-5,12,31))=0,"",IFERROR($F82*HSI!$G$77/SUMIFS('Fund History'!$K$428:$K$432,'Fund History'!$J$428:$J$432,"&gt;="&amp;DATE(YEAR_Y-5,1,1),'Fund History'!$J$428:$J$432,"&lt;="&amp;DATE(YEAR_Y-5,12,31)),""))))</f>
        <v/>
      </c>
      <c r="Q82" s="72">
        <f>IF($C82="","",IF(PULL_FUND="N","",IF(COUNTIFS('Fund History'!$J$428:$J$432,"&gt;="&amp;DATE(YEAR_Y-4,1,1),'Fund History'!$J$428:$J$432,"&lt;="&amp;DATE(YEAR_Y-4,12,31))=0,"",IFERROR($G82*HSI!$G$77/SUMIFS('Fund History'!$K$428:$K$432,'Fund History'!$J$428:$J$432,"&gt;="&amp;DATE(YEAR_Y-4,1,1),'Fund History'!$J$428:$J$432,"&lt;="&amp;DATE(YEAR_Y-4,12,31)),""))))</f>
        <v/>
      </c>
      <c r="R82" s="72">
        <f>IF($C82="","",IF(PULL_FUND="N","",IF(COUNTIFS('Fund History'!$J$428:$J$432,"&gt;="&amp;DATE(YEAR_Y-3,1,1),'Fund History'!$J$428:$J$432,"&lt;="&amp;DATE(YEAR_Y-3,12,31))=0,"",IFERROR($H82*HSI!$G$77/SUMIFS('Fund History'!$K$428:$K$432,'Fund History'!$J$428:$J$432,"&gt;="&amp;DATE(YEAR_Y-3,1,1),'Fund History'!$J$428:$J$432,"&lt;="&amp;DATE(YEAR_Y-3,12,31)),""))))</f>
        <v/>
      </c>
      <c r="S82" s="72">
        <f>IF($C82="","",IF(PULL_FUND="N","",IF(COUNTIFS('Fund History'!$J$428:$J$432,"&gt;="&amp;DATE(YEAR_Y-2,1,1),'Fund History'!$J$428:$J$432,"&lt;="&amp;DATE(YEAR_Y-2,12,31))=0,"",IFERROR($I82*HSI!$G$77/SUMIFS('Fund History'!$K$428:$K$432,'Fund History'!$J$428:$J$432,"&gt;="&amp;DATE(YEAR_Y-2,1,1),'Fund History'!$J$428:$J$432,"&lt;="&amp;DATE(YEAR_Y-2,12,31)),""))))</f>
        <v/>
      </c>
      <c r="T82" s="72">
        <f>IF($C82="","",IF(PULL_FUND="N","",IF(COUNTIFS('Fund History'!$J$428:$J$432,"&gt;="&amp;DATE(YEAR_Y-1,1,1),'Fund History'!$J$428:$J$432,"&lt;="&amp;DATE(YEAR_Y-1,12,31))=0,"",IFERROR($J82*HSI!$G$77/SUMIFS('Fund History'!$K$428:$K$432,'Fund History'!$J$428:$J$432,"&gt;="&amp;DATE(YEAR_Y-1,1,1),'Fund History'!$J$428:$J$432,"&lt;="&amp;DATE(YEAR_Y-1,12,31)),""))))</f>
        <v/>
      </c>
      <c r="U82" s="73">
        <f>IF($C82="","",IF(ISNUMBER(HSI!$I$77),HSI!$I$77/100,""))</f>
        <v/>
      </c>
      <c r="V82" s="74">
        <f>IF($C82="","",IF(ISNUMBER(HSI!$X$77),IFERROR($M82*HSI!$G$77/HSI!$X$77,""),""))</f>
        <v/>
      </c>
      <c r="W82" s="73">
        <f>IF($C82="","",IF(ISNUMBER($N82),IFERROR($N82*HSI!$G$77/HSI!$X$77,""),""))</f>
        <v/>
      </c>
      <c r="X82" s="75">
        <f>IF($C82="","",IF(PULL_FUND="N","",IFERROR(BDP($C82,EPS_FIELD,YR_OVERRIDE,TEXT(YEAR_Y-5,"0")),"")))</f>
        <v/>
      </c>
      <c r="Y82" s="76">
        <f>IF($C82="","",IF(PULL_FUND="N","",IFERROR(BDP($C82,EPS_FIELD,YR_OVERRIDE,TEXT(YEAR_Y-4,"0")),"")))</f>
        <v/>
      </c>
      <c r="Z82" s="76">
        <f>IF($C82="","",IF(PULL_FUND="N","",IFERROR(BDP($C82,EPS_FIELD,YR_OVERRIDE,TEXT(YEAR_Y-3,"0")),"")))</f>
        <v/>
      </c>
      <c r="AA82" s="76">
        <f>IF($C82="","",IF(PULL_FUND="N","",IFERROR(BDP($C82,EPS_FIELD,YR_OVERRIDE,TEXT(YEAR_Y-2,"0")),"")))</f>
        <v/>
      </c>
      <c r="AB82" s="76">
        <f>IF($C82="","",IF(PULL_FUND="N","",IFERROR(BDP($C82,EPS_FIELD,YR_OVERRIDE,TEXT(YEAR_Y-1,"0")),"")))</f>
        <v/>
      </c>
      <c r="AC82" s="50">
        <f>IF($C82="","",IFERROR(AVERAGE(X82:AB82),""))</f>
        <v/>
      </c>
      <c r="AD82" s="76">
        <f>IF($C82="","",IF(PULL_FUND="N","",IFERROR(BDP($C82,BESTEPS_FIELD,FWD_OVERRIDE,TEXT(MOD(YEAR_Y,100),"00")&amp;"Y"),"")))</f>
        <v/>
      </c>
      <c r="AE82" s="77">
        <f>IF($C82="","",IF(PULL_FUND="N","",IFERROR(BDP($C82,PAYOUT_FIELD,YR_OVERRIDE,TEXT(YEAR_Y-5,"0"))/100,"")))</f>
        <v/>
      </c>
      <c r="AF82" s="78">
        <f>IF($C82="","",IF(PULL_FUND="N","",IFERROR(BDP($C82,PAYOUT_FIELD,YR_OVERRIDE,TEXT(YEAR_Y-4,"0"))/100,"")))</f>
        <v/>
      </c>
      <c r="AG82" s="78">
        <f>IF($C82="","",IF(PULL_FUND="N","",IFERROR(BDP($C82,PAYOUT_FIELD,YR_OVERRIDE,TEXT(YEAR_Y-3,"0"))/100,"")))</f>
        <v/>
      </c>
      <c r="AH82" s="78">
        <f>IF($C82="","",IF(PULL_FUND="N","",IFERROR(BDP($C82,PAYOUT_FIELD,YR_OVERRIDE,TEXT(YEAR_Y-2,"0"))/100,"")))</f>
        <v/>
      </c>
      <c r="AI82" s="78">
        <f>IF($C82="","",IF(PULL_FUND="N","",IFERROR(BDP($C82,PAYOUT_FIELD,YR_OVERRIDE,TEXT(YEAR_Y-1,"0"))/100,"")))</f>
        <v/>
      </c>
      <c r="AJ82" s="79">
        <f>IF($C82="","",IFERROR(AVERAGE(AE82:AI82),""))</f>
        <v/>
      </c>
      <c r="AK82" s="80">
        <f>IF($C82="","",IF(ISNUMBER($AD82)*ISNUMBER($N82)*($AD82&lt;&gt;0)=0,"",$N82/$AD82))</f>
        <v/>
      </c>
      <c r="AL82" s="79">
        <f>IF($C82="","",IF(ISNUMBER($AD82)*($AD82&lt;&gt;0)=0,"",$M82/$AD82))</f>
        <v/>
      </c>
      <c r="AM82" s="37">
        <f>IF($C82="","",IF(ISNUMBER($AE82)*ISNUMBER($AI82)=0,"",IF($AI82&gt;$AE82+0.05,"rising",IF($AI82&lt;$AE82-0.05,"falling","stable"))))</f>
        <v/>
      </c>
      <c r="AN82" s="81">
        <f>IF($C82="","",IF(PULL_FUND="N","",IF(COUNTIFS('Fund History'!$G$428:$G$432,"&gt;="&amp;DATE(YEAR_Y-4,1,1),'Fund History'!$G$428:$G$432,"&lt;="&amp;DATE(YEAR_Y-4,12,31))=0,"",SUMIFS('Fund History'!$H$428:$H$432,'Fund History'!$G$428:$G$432,"&gt;="&amp;DATE(YEAR_Y-4,1,1),'Fund History'!$G$428:$G$432,"&lt;="&amp;DATE(YEAR_Y-4,12,31))/100)))</f>
        <v/>
      </c>
      <c r="AO82" s="82">
        <f>IF($C82="","",IF(PULL_FUND="N","",IF(COUNTIFS('Fund History'!$G$428:$G$432,"&gt;="&amp;DATE(YEAR_Y-3,1,1),'Fund History'!$G$428:$G$432,"&lt;="&amp;DATE(YEAR_Y-3,12,31))=0,"",SUMIFS('Fund History'!$H$428:$H$432,'Fund History'!$G$428:$G$432,"&gt;="&amp;DATE(YEAR_Y-3,1,1),'Fund History'!$G$428:$G$432,"&lt;="&amp;DATE(YEAR_Y-3,12,31))/100)))</f>
        <v/>
      </c>
      <c r="AP82" s="82">
        <f>IF($C82="","",IF(PULL_FUND="N","",IF(COUNTIFS('Fund History'!$G$428:$G$432,"&gt;="&amp;DATE(YEAR_Y-2,1,1),'Fund History'!$G$428:$G$432,"&lt;="&amp;DATE(YEAR_Y-2,12,31))=0,"",SUMIFS('Fund History'!$H$428:$H$432,'Fund History'!$G$428:$G$432,"&gt;="&amp;DATE(YEAR_Y-2,1,1),'Fund History'!$G$428:$G$432,"&lt;="&amp;DATE(YEAR_Y-2,12,31))/100)))</f>
        <v/>
      </c>
      <c r="AQ82" s="82">
        <f>IF($C82="","",IF(PULL_FUND="N","",IF(COUNTIFS('Fund History'!$G$428:$G$432,"&gt;="&amp;DATE(YEAR_Y-1,1,1),'Fund History'!$G$428:$G$432,"&lt;="&amp;DATE(YEAR_Y-1,12,31))=0,"",SUMIFS('Fund History'!$H$428:$H$432,'Fund History'!$G$428:$G$432,"&gt;="&amp;DATE(YEAR_Y-1,1,1),'Fund History'!$G$428:$G$432,"&lt;="&amp;DATE(YEAR_Y-1,12,31))/100)))</f>
        <v/>
      </c>
      <c r="AR82" s="83">
        <f>IF($C82="","",IF(N($AQ82)+N(HSI!$I$77)=0,"",N($AQ82)+N(HSI!$I$77)/100))</f>
        <v/>
      </c>
      <c r="AS82" s="75">
        <f>IF($C82="","",IF(PULL_FUND="N","",IF(COUNTIFS('Fund History'!$D$428:$D$432,"&gt;="&amp;DATE(YEAR_Y-2,1,1),'Fund History'!$D$428:$D$432,"&lt;="&amp;DATE(YEAR_Y-2,12,31))=0,"",SUMIFS('Fund History'!$E$428:$E$432,'Fund History'!$D$428:$D$432,"&gt;="&amp;DATE(YEAR_Y-2,1,1),'Fund History'!$D$428:$D$432,"&lt;="&amp;DATE(YEAR_Y-2,12,31)))))</f>
        <v/>
      </c>
      <c r="AT82" s="76">
        <f>IF($C82="","",IF(PULL_FUND="N","",IF(COUNTIFS('Fund History'!$D$428:$D$432,"&gt;="&amp;DATE(YEAR_Y-1,1,1),'Fund History'!$D$428:$D$432,"&lt;="&amp;DATE(YEAR_Y-1,12,31))=0,"",SUMIFS('Fund History'!$E$428:$E$432,'Fund History'!$D$428:$D$432,"&gt;="&amp;DATE(YEAR_Y-1,1,1),'Fund History'!$D$428:$D$432,"&lt;="&amp;DATE(YEAR_Y-1,12,31)))))</f>
        <v/>
      </c>
      <c r="AU82" s="76">
        <f>IF($C82="","",IF(PULL_FUND="N","",IFERROR(BDP($C82,NDEBITDA_FIELD),"")))</f>
        <v/>
      </c>
      <c r="AV82" s="84">
        <f>IF($C82="","",IF(PULL_FUND="N","",IFERROR(BDP($C82,EBINT_FIELD),"")))</f>
        <v/>
      </c>
      <c r="AW82" s="82">
        <f>IF($C82="","",IF(PULL_FUND="N","",IFERROR(BDP($C82,FCF_FIELD)/100,"")))</f>
        <v/>
      </c>
      <c r="AX82" s="50">
        <f>IF($C82="","",IF(N($U82)=0,"",IFERROR($AW82/$U82,"")))</f>
        <v/>
      </c>
      <c r="AY82" s="85">
        <f>IF($C82="","",TRIM(IF(ISNUMBER($AJ82)*(N($AJ82)&gt;$D$4)&gt;0,"payout high  ","")&amp;IF(ISNUMBER($AX82)*(N($AX82)&lt;$F$4)&gt;0,"FCF below dvd  ","")&amp;IF(ISNUMBER($AU82)*(N($AU82)&gt;$H$4)&gt;0,"leverage high","")))</f>
        <v/>
      </c>
      <c r="AZ82" s="86">
        <f>IF($C82="","",IF(HSI!$F$77="HKD","",HSI!$F$77))</f>
        <v/>
      </c>
    </row>
    <row r="83">
      <c r="B83" s="66" t="inlineStr">
        <is>
          <t>HSI</t>
        </is>
      </c>
      <c r="C83" s="8">
        <f>IF(HSI!$C$78="","",HSI!$C$78)</f>
        <v/>
      </c>
      <c r="D83" s="8">
        <f>IF($C83="","",HSI!$D$78)</f>
        <v/>
      </c>
      <c r="E83" s="8">
        <f>IF($C83="","",HSI!$E$78)</f>
        <v/>
      </c>
      <c r="F83" s="67">
        <f>IF($C83="","",SUMPRODUCT(('Dvd Calendar'!$E$792:$AR$792&gt;=DATE(YEAR_Y-5,1,1))*('Dvd Calendar'!$E$792:$AR$792&lt;=DATE(YEAR_Y-5,12,31))*'Dvd Calendar'!$E$795:$AR$795*(('Dvd Calendar'!$E$797:$AR$797=TYPE1)*(TYPE1&lt;&gt;"")+('Dvd Calendar'!$E$797:$AR$797=TYPE2)*(TYPE2&lt;&gt;"")+('Dvd Calendar'!$E$797:$AR$797=TYPE3)*(TYPE3&lt;&gt;"")+('Dvd Calendar'!$E$797:$AR$797=TYPE4)*(TYPE4&lt;&gt;"")+('Dvd Calendar'!$E$797:$AR$797=SPECIAL_LBL)*(INC_SPECIALS="Y"))))</f>
        <v/>
      </c>
      <c r="G83" s="68">
        <f>IF($C83="","",SUMPRODUCT(('Dvd Calendar'!$E$792:$AR$792&gt;=DATE(YEAR_Y-4,1,1))*('Dvd Calendar'!$E$792:$AR$792&lt;=DATE(YEAR_Y-4,12,31))*'Dvd Calendar'!$E$795:$AR$795*(('Dvd Calendar'!$E$797:$AR$797=TYPE1)*(TYPE1&lt;&gt;"")+('Dvd Calendar'!$E$797:$AR$797=TYPE2)*(TYPE2&lt;&gt;"")+('Dvd Calendar'!$E$797:$AR$797=TYPE3)*(TYPE3&lt;&gt;"")+('Dvd Calendar'!$E$797:$AR$797=TYPE4)*(TYPE4&lt;&gt;"")+('Dvd Calendar'!$E$797:$AR$797=SPECIAL_LBL)*(INC_SPECIALS="Y"))))</f>
        <v/>
      </c>
      <c r="H83" s="68">
        <f>IF($C83="","",SUMPRODUCT(('Dvd Calendar'!$E$792:$AR$792&gt;=DATE(YEAR_Y-3,1,1))*('Dvd Calendar'!$E$792:$AR$792&lt;=DATE(YEAR_Y-3,12,31))*'Dvd Calendar'!$E$795:$AR$795*(('Dvd Calendar'!$E$797:$AR$797=TYPE1)*(TYPE1&lt;&gt;"")+('Dvd Calendar'!$E$797:$AR$797=TYPE2)*(TYPE2&lt;&gt;"")+('Dvd Calendar'!$E$797:$AR$797=TYPE3)*(TYPE3&lt;&gt;"")+('Dvd Calendar'!$E$797:$AR$797=TYPE4)*(TYPE4&lt;&gt;"")+('Dvd Calendar'!$E$797:$AR$797=SPECIAL_LBL)*(INC_SPECIALS="Y"))))</f>
        <v/>
      </c>
      <c r="I83" s="68">
        <f>IF($C83="","",SUMPRODUCT(('Dvd Calendar'!$E$792:$AR$792&gt;=DATE(YEAR_Y-2,1,1))*('Dvd Calendar'!$E$792:$AR$792&lt;=DATE(YEAR_Y-2,12,31))*'Dvd Calendar'!$E$795:$AR$795*(('Dvd Calendar'!$E$797:$AR$797=TYPE1)*(TYPE1&lt;&gt;"")+('Dvd Calendar'!$E$797:$AR$797=TYPE2)*(TYPE2&lt;&gt;"")+('Dvd Calendar'!$E$797:$AR$797=TYPE3)*(TYPE3&lt;&gt;"")+('Dvd Calendar'!$E$797:$AR$797=TYPE4)*(TYPE4&lt;&gt;"")+('Dvd Calendar'!$E$797:$AR$797=SPECIAL_LBL)*(INC_SPECIALS="Y"))))</f>
        <v/>
      </c>
      <c r="J83" s="68">
        <f>IF($C83="","",SUMPRODUCT(('Dvd Calendar'!$E$792:$AR$792&gt;=DATE(YEAR_Y-1,1,1))*('Dvd Calendar'!$E$792:$AR$792&lt;=DATE(YEAR_Y-1,12,31))*'Dvd Calendar'!$E$795:$AR$795*(('Dvd Calendar'!$E$797:$AR$797=TYPE1)*(TYPE1&lt;&gt;"")+('Dvd Calendar'!$E$797:$AR$797=TYPE2)*(TYPE2&lt;&gt;"")+('Dvd Calendar'!$E$797:$AR$797=TYPE3)*(TYPE3&lt;&gt;"")+('Dvd Calendar'!$E$797:$AR$797=TYPE4)*(TYPE4&lt;&gt;"")+('Dvd Calendar'!$E$797:$AR$797=SPECIAL_LBL)*(INC_SPECIALS="Y"))))</f>
        <v/>
      </c>
      <c r="K83" s="69">
        <f>IF($C83="","",HSI!$J$78)</f>
        <v/>
      </c>
      <c r="L83" s="69">
        <f>IF($C83="","",HSI!$K$78)</f>
        <v/>
      </c>
      <c r="M83" s="44">
        <f>IF($C83="","",HSI!$J$78+HSI!$L$78)</f>
        <v/>
      </c>
      <c r="N83" s="70">
        <f>IF($C83="","",IF(PULL_FUND="N","",IFERROR(BDP($C83,BESTDPS_FIELD,FWD_OVERRIDE,TEXT(MOD(YEAR_Y,100),"00")&amp;"Y"),"")))</f>
        <v/>
      </c>
      <c r="O83" s="69">
        <f>IF($C83="","",AVERAGE(F83:J83))</f>
        <v/>
      </c>
      <c r="P83" s="71">
        <f>IF($C83="","",IF(PULL_FUND="N","",IF(COUNTIFS('Fund History'!$J$434:$J$438,"&gt;="&amp;DATE(YEAR_Y-5,1,1),'Fund History'!$J$434:$J$438,"&lt;="&amp;DATE(YEAR_Y-5,12,31))=0,"",IFERROR($F83*HSI!$G$78/SUMIFS('Fund History'!$K$434:$K$438,'Fund History'!$J$434:$J$438,"&gt;="&amp;DATE(YEAR_Y-5,1,1),'Fund History'!$J$434:$J$438,"&lt;="&amp;DATE(YEAR_Y-5,12,31)),""))))</f>
        <v/>
      </c>
      <c r="Q83" s="72">
        <f>IF($C83="","",IF(PULL_FUND="N","",IF(COUNTIFS('Fund History'!$J$434:$J$438,"&gt;="&amp;DATE(YEAR_Y-4,1,1),'Fund History'!$J$434:$J$438,"&lt;="&amp;DATE(YEAR_Y-4,12,31))=0,"",IFERROR($G83*HSI!$G$78/SUMIFS('Fund History'!$K$434:$K$438,'Fund History'!$J$434:$J$438,"&gt;="&amp;DATE(YEAR_Y-4,1,1),'Fund History'!$J$434:$J$438,"&lt;="&amp;DATE(YEAR_Y-4,12,31)),""))))</f>
        <v/>
      </c>
      <c r="R83" s="72">
        <f>IF($C83="","",IF(PULL_FUND="N","",IF(COUNTIFS('Fund History'!$J$434:$J$438,"&gt;="&amp;DATE(YEAR_Y-3,1,1),'Fund History'!$J$434:$J$438,"&lt;="&amp;DATE(YEAR_Y-3,12,31))=0,"",IFERROR($H83*HSI!$G$78/SUMIFS('Fund History'!$K$434:$K$438,'Fund History'!$J$434:$J$438,"&gt;="&amp;DATE(YEAR_Y-3,1,1),'Fund History'!$J$434:$J$438,"&lt;="&amp;DATE(YEAR_Y-3,12,31)),""))))</f>
        <v/>
      </c>
      <c r="S83" s="72">
        <f>IF($C83="","",IF(PULL_FUND="N","",IF(COUNTIFS('Fund History'!$J$434:$J$438,"&gt;="&amp;DATE(YEAR_Y-2,1,1),'Fund History'!$J$434:$J$438,"&lt;="&amp;DATE(YEAR_Y-2,12,31))=0,"",IFERROR($I83*HSI!$G$78/SUMIFS('Fund History'!$K$434:$K$438,'Fund History'!$J$434:$J$438,"&gt;="&amp;DATE(YEAR_Y-2,1,1),'Fund History'!$J$434:$J$438,"&lt;="&amp;DATE(YEAR_Y-2,12,31)),""))))</f>
        <v/>
      </c>
      <c r="T83" s="72">
        <f>IF($C83="","",IF(PULL_FUND="N","",IF(COUNTIFS('Fund History'!$J$434:$J$438,"&gt;="&amp;DATE(YEAR_Y-1,1,1),'Fund History'!$J$434:$J$438,"&lt;="&amp;DATE(YEAR_Y-1,12,31))=0,"",IFERROR($J83*HSI!$G$78/SUMIFS('Fund History'!$K$434:$K$438,'Fund History'!$J$434:$J$438,"&gt;="&amp;DATE(YEAR_Y-1,1,1),'Fund History'!$J$434:$J$438,"&lt;="&amp;DATE(YEAR_Y-1,12,31)),""))))</f>
        <v/>
      </c>
      <c r="U83" s="73">
        <f>IF($C83="","",IF(ISNUMBER(HSI!$I$78),HSI!$I$78/100,""))</f>
        <v/>
      </c>
      <c r="V83" s="74">
        <f>IF($C83="","",IF(ISNUMBER(HSI!$X$78),IFERROR($M83*HSI!$G$78/HSI!$X$78,""),""))</f>
        <v/>
      </c>
      <c r="W83" s="73">
        <f>IF($C83="","",IF(ISNUMBER($N83),IFERROR($N83*HSI!$G$78/HSI!$X$78,""),""))</f>
        <v/>
      </c>
      <c r="X83" s="75">
        <f>IF($C83="","",IF(PULL_FUND="N","",IFERROR(BDP($C83,EPS_FIELD,YR_OVERRIDE,TEXT(YEAR_Y-5,"0")),"")))</f>
        <v/>
      </c>
      <c r="Y83" s="76">
        <f>IF($C83="","",IF(PULL_FUND="N","",IFERROR(BDP($C83,EPS_FIELD,YR_OVERRIDE,TEXT(YEAR_Y-4,"0")),"")))</f>
        <v/>
      </c>
      <c r="Z83" s="76">
        <f>IF($C83="","",IF(PULL_FUND="N","",IFERROR(BDP($C83,EPS_FIELD,YR_OVERRIDE,TEXT(YEAR_Y-3,"0")),"")))</f>
        <v/>
      </c>
      <c r="AA83" s="76">
        <f>IF($C83="","",IF(PULL_FUND="N","",IFERROR(BDP($C83,EPS_FIELD,YR_OVERRIDE,TEXT(YEAR_Y-2,"0")),"")))</f>
        <v/>
      </c>
      <c r="AB83" s="76">
        <f>IF($C83="","",IF(PULL_FUND="N","",IFERROR(BDP($C83,EPS_FIELD,YR_OVERRIDE,TEXT(YEAR_Y-1,"0")),"")))</f>
        <v/>
      </c>
      <c r="AC83" s="50">
        <f>IF($C83="","",IFERROR(AVERAGE(X83:AB83),""))</f>
        <v/>
      </c>
      <c r="AD83" s="76">
        <f>IF($C83="","",IF(PULL_FUND="N","",IFERROR(BDP($C83,BESTEPS_FIELD,FWD_OVERRIDE,TEXT(MOD(YEAR_Y,100),"00")&amp;"Y"),"")))</f>
        <v/>
      </c>
      <c r="AE83" s="77">
        <f>IF($C83="","",IF(PULL_FUND="N","",IFERROR(BDP($C83,PAYOUT_FIELD,YR_OVERRIDE,TEXT(YEAR_Y-5,"0"))/100,"")))</f>
        <v/>
      </c>
      <c r="AF83" s="78">
        <f>IF($C83="","",IF(PULL_FUND="N","",IFERROR(BDP($C83,PAYOUT_FIELD,YR_OVERRIDE,TEXT(YEAR_Y-4,"0"))/100,"")))</f>
        <v/>
      </c>
      <c r="AG83" s="78">
        <f>IF($C83="","",IF(PULL_FUND="N","",IFERROR(BDP($C83,PAYOUT_FIELD,YR_OVERRIDE,TEXT(YEAR_Y-3,"0"))/100,"")))</f>
        <v/>
      </c>
      <c r="AH83" s="78">
        <f>IF($C83="","",IF(PULL_FUND="N","",IFERROR(BDP($C83,PAYOUT_FIELD,YR_OVERRIDE,TEXT(YEAR_Y-2,"0"))/100,"")))</f>
        <v/>
      </c>
      <c r="AI83" s="78">
        <f>IF($C83="","",IF(PULL_FUND="N","",IFERROR(BDP($C83,PAYOUT_FIELD,YR_OVERRIDE,TEXT(YEAR_Y-1,"0"))/100,"")))</f>
        <v/>
      </c>
      <c r="AJ83" s="79">
        <f>IF($C83="","",IFERROR(AVERAGE(AE83:AI83),""))</f>
        <v/>
      </c>
      <c r="AK83" s="80">
        <f>IF($C83="","",IF(ISNUMBER($AD83)*ISNUMBER($N83)*($AD83&lt;&gt;0)=0,"",$N83/$AD83))</f>
        <v/>
      </c>
      <c r="AL83" s="79">
        <f>IF($C83="","",IF(ISNUMBER($AD83)*($AD83&lt;&gt;0)=0,"",$M83/$AD83))</f>
        <v/>
      </c>
      <c r="AM83" s="37">
        <f>IF($C83="","",IF(ISNUMBER($AE83)*ISNUMBER($AI83)=0,"",IF($AI83&gt;$AE83+0.05,"rising",IF($AI83&lt;$AE83-0.05,"falling","stable"))))</f>
        <v/>
      </c>
      <c r="AN83" s="81">
        <f>IF($C83="","",IF(PULL_FUND="N","",IF(COUNTIFS('Fund History'!$G$434:$G$438,"&gt;="&amp;DATE(YEAR_Y-4,1,1),'Fund History'!$G$434:$G$438,"&lt;="&amp;DATE(YEAR_Y-4,12,31))=0,"",SUMIFS('Fund History'!$H$434:$H$438,'Fund History'!$G$434:$G$438,"&gt;="&amp;DATE(YEAR_Y-4,1,1),'Fund History'!$G$434:$G$438,"&lt;="&amp;DATE(YEAR_Y-4,12,31))/100)))</f>
        <v/>
      </c>
      <c r="AO83" s="82">
        <f>IF($C83="","",IF(PULL_FUND="N","",IF(COUNTIFS('Fund History'!$G$434:$G$438,"&gt;="&amp;DATE(YEAR_Y-3,1,1),'Fund History'!$G$434:$G$438,"&lt;="&amp;DATE(YEAR_Y-3,12,31))=0,"",SUMIFS('Fund History'!$H$434:$H$438,'Fund History'!$G$434:$G$438,"&gt;="&amp;DATE(YEAR_Y-3,1,1),'Fund History'!$G$434:$G$438,"&lt;="&amp;DATE(YEAR_Y-3,12,31))/100)))</f>
        <v/>
      </c>
      <c r="AP83" s="82">
        <f>IF($C83="","",IF(PULL_FUND="N","",IF(COUNTIFS('Fund History'!$G$434:$G$438,"&gt;="&amp;DATE(YEAR_Y-2,1,1),'Fund History'!$G$434:$G$438,"&lt;="&amp;DATE(YEAR_Y-2,12,31))=0,"",SUMIFS('Fund History'!$H$434:$H$438,'Fund History'!$G$434:$G$438,"&gt;="&amp;DATE(YEAR_Y-2,1,1),'Fund History'!$G$434:$G$438,"&lt;="&amp;DATE(YEAR_Y-2,12,31))/100)))</f>
        <v/>
      </c>
      <c r="AQ83" s="82">
        <f>IF($C83="","",IF(PULL_FUND="N","",IF(COUNTIFS('Fund History'!$G$434:$G$438,"&gt;="&amp;DATE(YEAR_Y-1,1,1),'Fund History'!$G$434:$G$438,"&lt;="&amp;DATE(YEAR_Y-1,12,31))=0,"",SUMIFS('Fund History'!$H$434:$H$438,'Fund History'!$G$434:$G$438,"&gt;="&amp;DATE(YEAR_Y-1,1,1),'Fund History'!$G$434:$G$438,"&lt;="&amp;DATE(YEAR_Y-1,12,31))/100)))</f>
        <v/>
      </c>
      <c r="AR83" s="83">
        <f>IF($C83="","",IF(N($AQ83)+N(HSI!$I$78)=0,"",N($AQ83)+N(HSI!$I$78)/100))</f>
        <v/>
      </c>
      <c r="AS83" s="75">
        <f>IF($C83="","",IF(PULL_FUND="N","",IF(COUNTIFS('Fund History'!$D$434:$D$438,"&gt;="&amp;DATE(YEAR_Y-2,1,1),'Fund History'!$D$434:$D$438,"&lt;="&amp;DATE(YEAR_Y-2,12,31))=0,"",SUMIFS('Fund History'!$E$434:$E$438,'Fund History'!$D$434:$D$438,"&gt;="&amp;DATE(YEAR_Y-2,1,1),'Fund History'!$D$434:$D$438,"&lt;="&amp;DATE(YEAR_Y-2,12,31)))))</f>
        <v/>
      </c>
      <c r="AT83" s="76">
        <f>IF($C83="","",IF(PULL_FUND="N","",IF(COUNTIFS('Fund History'!$D$434:$D$438,"&gt;="&amp;DATE(YEAR_Y-1,1,1),'Fund History'!$D$434:$D$438,"&lt;="&amp;DATE(YEAR_Y-1,12,31))=0,"",SUMIFS('Fund History'!$E$434:$E$438,'Fund History'!$D$434:$D$438,"&gt;="&amp;DATE(YEAR_Y-1,1,1),'Fund History'!$D$434:$D$438,"&lt;="&amp;DATE(YEAR_Y-1,12,31)))))</f>
        <v/>
      </c>
      <c r="AU83" s="76">
        <f>IF($C83="","",IF(PULL_FUND="N","",IFERROR(BDP($C83,NDEBITDA_FIELD),"")))</f>
        <v/>
      </c>
      <c r="AV83" s="84">
        <f>IF($C83="","",IF(PULL_FUND="N","",IFERROR(BDP($C83,EBINT_FIELD),"")))</f>
        <v/>
      </c>
      <c r="AW83" s="82">
        <f>IF($C83="","",IF(PULL_FUND="N","",IFERROR(BDP($C83,FCF_FIELD)/100,"")))</f>
        <v/>
      </c>
      <c r="AX83" s="50">
        <f>IF($C83="","",IF(N($U83)=0,"",IFERROR($AW83/$U83,"")))</f>
        <v/>
      </c>
      <c r="AY83" s="85">
        <f>IF($C83="","",TRIM(IF(ISNUMBER($AJ83)*(N($AJ83)&gt;$D$4)&gt;0,"payout high  ","")&amp;IF(ISNUMBER($AX83)*(N($AX83)&lt;$F$4)&gt;0,"FCF below dvd  ","")&amp;IF(ISNUMBER($AU83)*(N($AU83)&gt;$H$4)&gt;0,"leverage high","")))</f>
        <v/>
      </c>
      <c r="AZ83" s="86">
        <f>IF($C83="","",IF(HSI!$F$78="HKD","",HSI!$F$78))</f>
        <v/>
      </c>
    </row>
    <row r="84">
      <c r="B84" s="66" t="inlineStr">
        <is>
          <t>HSI</t>
        </is>
      </c>
      <c r="C84" s="8">
        <f>IF(HSI!$C$79="","",HSI!$C$79)</f>
        <v/>
      </c>
      <c r="D84" s="8">
        <f>IF($C84="","",HSI!$D$79)</f>
        <v/>
      </c>
      <c r="E84" s="8">
        <f>IF($C84="","",HSI!$E$79)</f>
        <v/>
      </c>
      <c r="F84" s="67">
        <f>IF($C84="","",SUMPRODUCT(('Dvd Calendar'!$E$803:$AR$803&gt;=DATE(YEAR_Y-5,1,1))*('Dvd Calendar'!$E$803:$AR$803&lt;=DATE(YEAR_Y-5,12,31))*'Dvd Calendar'!$E$806:$AR$806*(('Dvd Calendar'!$E$808:$AR$808=TYPE1)*(TYPE1&lt;&gt;"")+('Dvd Calendar'!$E$808:$AR$808=TYPE2)*(TYPE2&lt;&gt;"")+('Dvd Calendar'!$E$808:$AR$808=TYPE3)*(TYPE3&lt;&gt;"")+('Dvd Calendar'!$E$808:$AR$808=TYPE4)*(TYPE4&lt;&gt;"")+('Dvd Calendar'!$E$808:$AR$808=SPECIAL_LBL)*(INC_SPECIALS="Y"))))</f>
        <v/>
      </c>
      <c r="G84" s="68">
        <f>IF($C84="","",SUMPRODUCT(('Dvd Calendar'!$E$803:$AR$803&gt;=DATE(YEAR_Y-4,1,1))*('Dvd Calendar'!$E$803:$AR$803&lt;=DATE(YEAR_Y-4,12,31))*'Dvd Calendar'!$E$806:$AR$806*(('Dvd Calendar'!$E$808:$AR$808=TYPE1)*(TYPE1&lt;&gt;"")+('Dvd Calendar'!$E$808:$AR$808=TYPE2)*(TYPE2&lt;&gt;"")+('Dvd Calendar'!$E$808:$AR$808=TYPE3)*(TYPE3&lt;&gt;"")+('Dvd Calendar'!$E$808:$AR$808=TYPE4)*(TYPE4&lt;&gt;"")+('Dvd Calendar'!$E$808:$AR$808=SPECIAL_LBL)*(INC_SPECIALS="Y"))))</f>
        <v/>
      </c>
      <c r="H84" s="68">
        <f>IF($C84="","",SUMPRODUCT(('Dvd Calendar'!$E$803:$AR$803&gt;=DATE(YEAR_Y-3,1,1))*('Dvd Calendar'!$E$803:$AR$803&lt;=DATE(YEAR_Y-3,12,31))*'Dvd Calendar'!$E$806:$AR$806*(('Dvd Calendar'!$E$808:$AR$808=TYPE1)*(TYPE1&lt;&gt;"")+('Dvd Calendar'!$E$808:$AR$808=TYPE2)*(TYPE2&lt;&gt;"")+('Dvd Calendar'!$E$808:$AR$808=TYPE3)*(TYPE3&lt;&gt;"")+('Dvd Calendar'!$E$808:$AR$808=TYPE4)*(TYPE4&lt;&gt;"")+('Dvd Calendar'!$E$808:$AR$808=SPECIAL_LBL)*(INC_SPECIALS="Y"))))</f>
        <v/>
      </c>
      <c r="I84" s="68">
        <f>IF($C84="","",SUMPRODUCT(('Dvd Calendar'!$E$803:$AR$803&gt;=DATE(YEAR_Y-2,1,1))*('Dvd Calendar'!$E$803:$AR$803&lt;=DATE(YEAR_Y-2,12,31))*'Dvd Calendar'!$E$806:$AR$806*(('Dvd Calendar'!$E$808:$AR$808=TYPE1)*(TYPE1&lt;&gt;"")+('Dvd Calendar'!$E$808:$AR$808=TYPE2)*(TYPE2&lt;&gt;"")+('Dvd Calendar'!$E$808:$AR$808=TYPE3)*(TYPE3&lt;&gt;"")+('Dvd Calendar'!$E$808:$AR$808=TYPE4)*(TYPE4&lt;&gt;"")+('Dvd Calendar'!$E$808:$AR$808=SPECIAL_LBL)*(INC_SPECIALS="Y"))))</f>
        <v/>
      </c>
      <c r="J84" s="68">
        <f>IF($C84="","",SUMPRODUCT(('Dvd Calendar'!$E$803:$AR$803&gt;=DATE(YEAR_Y-1,1,1))*('Dvd Calendar'!$E$803:$AR$803&lt;=DATE(YEAR_Y-1,12,31))*'Dvd Calendar'!$E$806:$AR$806*(('Dvd Calendar'!$E$808:$AR$808=TYPE1)*(TYPE1&lt;&gt;"")+('Dvd Calendar'!$E$808:$AR$808=TYPE2)*(TYPE2&lt;&gt;"")+('Dvd Calendar'!$E$808:$AR$808=TYPE3)*(TYPE3&lt;&gt;"")+('Dvd Calendar'!$E$808:$AR$808=TYPE4)*(TYPE4&lt;&gt;"")+('Dvd Calendar'!$E$808:$AR$808=SPECIAL_LBL)*(INC_SPECIALS="Y"))))</f>
        <v/>
      </c>
      <c r="K84" s="69">
        <f>IF($C84="","",HSI!$J$79)</f>
        <v/>
      </c>
      <c r="L84" s="69">
        <f>IF($C84="","",HSI!$K$79)</f>
        <v/>
      </c>
      <c r="M84" s="44">
        <f>IF($C84="","",HSI!$J$79+HSI!$L$79)</f>
        <v/>
      </c>
      <c r="N84" s="70">
        <f>IF($C84="","",IF(PULL_FUND="N","",IFERROR(BDP($C84,BESTDPS_FIELD,FWD_OVERRIDE,TEXT(MOD(YEAR_Y,100),"00")&amp;"Y"),"")))</f>
        <v/>
      </c>
      <c r="O84" s="69">
        <f>IF($C84="","",AVERAGE(F84:J84))</f>
        <v/>
      </c>
      <c r="P84" s="71">
        <f>IF($C84="","",IF(PULL_FUND="N","",IF(COUNTIFS('Fund History'!$J$440:$J$444,"&gt;="&amp;DATE(YEAR_Y-5,1,1),'Fund History'!$J$440:$J$444,"&lt;="&amp;DATE(YEAR_Y-5,12,31))=0,"",IFERROR($F84*HSI!$G$79/SUMIFS('Fund History'!$K$440:$K$444,'Fund History'!$J$440:$J$444,"&gt;="&amp;DATE(YEAR_Y-5,1,1),'Fund History'!$J$440:$J$444,"&lt;="&amp;DATE(YEAR_Y-5,12,31)),""))))</f>
        <v/>
      </c>
      <c r="Q84" s="72">
        <f>IF($C84="","",IF(PULL_FUND="N","",IF(COUNTIFS('Fund History'!$J$440:$J$444,"&gt;="&amp;DATE(YEAR_Y-4,1,1),'Fund History'!$J$440:$J$444,"&lt;="&amp;DATE(YEAR_Y-4,12,31))=0,"",IFERROR($G84*HSI!$G$79/SUMIFS('Fund History'!$K$440:$K$444,'Fund History'!$J$440:$J$444,"&gt;="&amp;DATE(YEAR_Y-4,1,1),'Fund History'!$J$440:$J$444,"&lt;="&amp;DATE(YEAR_Y-4,12,31)),""))))</f>
        <v/>
      </c>
      <c r="R84" s="72">
        <f>IF($C84="","",IF(PULL_FUND="N","",IF(COUNTIFS('Fund History'!$J$440:$J$444,"&gt;="&amp;DATE(YEAR_Y-3,1,1),'Fund History'!$J$440:$J$444,"&lt;="&amp;DATE(YEAR_Y-3,12,31))=0,"",IFERROR($H84*HSI!$G$79/SUMIFS('Fund History'!$K$440:$K$444,'Fund History'!$J$440:$J$444,"&gt;="&amp;DATE(YEAR_Y-3,1,1),'Fund History'!$J$440:$J$444,"&lt;="&amp;DATE(YEAR_Y-3,12,31)),""))))</f>
        <v/>
      </c>
      <c r="S84" s="72">
        <f>IF($C84="","",IF(PULL_FUND="N","",IF(COUNTIFS('Fund History'!$J$440:$J$444,"&gt;="&amp;DATE(YEAR_Y-2,1,1),'Fund History'!$J$440:$J$444,"&lt;="&amp;DATE(YEAR_Y-2,12,31))=0,"",IFERROR($I84*HSI!$G$79/SUMIFS('Fund History'!$K$440:$K$444,'Fund History'!$J$440:$J$444,"&gt;="&amp;DATE(YEAR_Y-2,1,1),'Fund History'!$J$440:$J$444,"&lt;="&amp;DATE(YEAR_Y-2,12,31)),""))))</f>
        <v/>
      </c>
      <c r="T84" s="72">
        <f>IF($C84="","",IF(PULL_FUND="N","",IF(COUNTIFS('Fund History'!$J$440:$J$444,"&gt;="&amp;DATE(YEAR_Y-1,1,1),'Fund History'!$J$440:$J$444,"&lt;="&amp;DATE(YEAR_Y-1,12,31))=0,"",IFERROR($J84*HSI!$G$79/SUMIFS('Fund History'!$K$440:$K$444,'Fund History'!$J$440:$J$444,"&gt;="&amp;DATE(YEAR_Y-1,1,1),'Fund History'!$J$440:$J$444,"&lt;="&amp;DATE(YEAR_Y-1,12,31)),""))))</f>
        <v/>
      </c>
      <c r="U84" s="73">
        <f>IF($C84="","",IF(ISNUMBER(HSI!$I$79),HSI!$I$79/100,""))</f>
        <v/>
      </c>
      <c r="V84" s="74">
        <f>IF($C84="","",IF(ISNUMBER(HSI!$X$79),IFERROR($M84*HSI!$G$79/HSI!$X$79,""),""))</f>
        <v/>
      </c>
      <c r="W84" s="73">
        <f>IF($C84="","",IF(ISNUMBER($N84),IFERROR($N84*HSI!$G$79/HSI!$X$79,""),""))</f>
        <v/>
      </c>
      <c r="X84" s="75">
        <f>IF($C84="","",IF(PULL_FUND="N","",IFERROR(BDP($C84,EPS_FIELD,YR_OVERRIDE,TEXT(YEAR_Y-5,"0")),"")))</f>
        <v/>
      </c>
      <c r="Y84" s="76">
        <f>IF($C84="","",IF(PULL_FUND="N","",IFERROR(BDP($C84,EPS_FIELD,YR_OVERRIDE,TEXT(YEAR_Y-4,"0")),"")))</f>
        <v/>
      </c>
      <c r="Z84" s="76">
        <f>IF($C84="","",IF(PULL_FUND="N","",IFERROR(BDP($C84,EPS_FIELD,YR_OVERRIDE,TEXT(YEAR_Y-3,"0")),"")))</f>
        <v/>
      </c>
      <c r="AA84" s="76">
        <f>IF($C84="","",IF(PULL_FUND="N","",IFERROR(BDP($C84,EPS_FIELD,YR_OVERRIDE,TEXT(YEAR_Y-2,"0")),"")))</f>
        <v/>
      </c>
      <c r="AB84" s="76">
        <f>IF($C84="","",IF(PULL_FUND="N","",IFERROR(BDP($C84,EPS_FIELD,YR_OVERRIDE,TEXT(YEAR_Y-1,"0")),"")))</f>
        <v/>
      </c>
      <c r="AC84" s="50">
        <f>IF($C84="","",IFERROR(AVERAGE(X84:AB84),""))</f>
        <v/>
      </c>
      <c r="AD84" s="76">
        <f>IF($C84="","",IF(PULL_FUND="N","",IFERROR(BDP($C84,BESTEPS_FIELD,FWD_OVERRIDE,TEXT(MOD(YEAR_Y,100),"00")&amp;"Y"),"")))</f>
        <v/>
      </c>
      <c r="AE84" s="77">
        <f>IF($C84="","",IF(PULL_FUND="N","",IFERROR(BDP($C84,PAYOUT_FIELD,YR_OVERRIDE,TEXT(YEAR_Y-5,"0"))/100,"")))</f>
        <v/>
      </c>
      <c r="AF84" s="78">
        <f>IF($C84="","",IF(PULL_FUND="N","",IFERROR(BDP($C84,PAYOUT_FIELD,YR_OVERRIDE,TEXT(YEAR_Y-4,"0"))/100,"")))</f>
        <v/>
      </c>
      <c r="AG84" s="78">
        <f>IF($C84="","",IF(PULL_FUND="N","",IFERROR(BDP($C84,PAYOUT_FIELD,YR_OVERRIDE,TEXT(YEAR_Y-3,"0"))/100,"")))</f>
        <v/>
      </c>
      <c r="AH84" s="78">
        <f>IF($C84="","",IF(PULL_FUND="N","",IFERROR(BDP($C84,PAYOUT_FIELD,YR_OVERRIDE,TEXT(YEAR_Y-2,"0"))/100,"")))</f>
        <v/>
      </c>
      <c r="AI84" s="78">
        <f>IF($C84="","",IF(PULL_FUND="N","",IFERROR(BDP($C84,PAYOUT_FIELD,YR_OVERRIDE,TEXT(YEAR_Y-1,"0"))/100,"")))</f>
        <v/>
      </c>
      <c r="AJ84" s="79">
        <f>IF($C84="","",IFERROR(AVERAGE(AE84:AI84),""))</f>
        <v/>
      </c>
      <c r="AK84" s="80">
        <f>IF($C84="","",IF(ISNUMBER($AD84)*ISNUMBER($N84)*($AD84&lt;&gt;0)=0,"",$N84/$AD84))</f>
        <v/>
      </c>
      <c r="AL84" s="79">
        <f>IF($C84="","",IF(ISNUMBER($AD84)*($AD84&lt;&gt;0)=0,"",$M84/$AD84))</f>
        <v/>
      </c>
      <c r="AM84" s="37">
        <f>IF($C84="","",IF(ISNUMBER($AE84)*ISNUMBER($AI84)=0,"",IF($AI84&gt;$AE84+0.05,"rising",IF($AI84&lt;$AE84-0.05,"falling","stable"))))</f>
        <v/>
      </c>
      <c r="AN84" s="81">
        <f>IF($C84="","",IF(PULL_FUND="N","",IF(COUNTIFS('Fund History'!$G$440:$G$444,"&gt;="&amp;DATE(YEAR_Y-4,1,1),'Fund History'!$G$440:$G$444,"&lt;="&amp;DATE(YEAR_Y-4,12,31))=0,"",SUMIFS('Fund History'!$H$440:$H$444,'Fund History'!$G$440:$G$444,"&gt;="&amp;DATE(YEAR_Y-4,1,1),'Fund History'!$G$440:$G$444,"&lt;="&amp;DATE(YEAR_Y-4,12,31))/100)))</f>
        <v/>
      </c>
      <c r="AO84" s="82">
        <f>IF($C84="","",IF(PULL_FUND="N","",IF(COUNTIFS('Fund History'!$G$440:$G$444,"&gt;="&amp;DATE(YEAR_Y-3,1,1),'Fund History'!$G$440:$G$444,"&lt;="&amp;DATE(YEAR_Y-3,12,31))=0,"",SUMIFS('Fund History'!$H$440:$H$444,'Fund History'!$G$440:$G$444,"&gt;="&amp;DATE(YEAR_Y-3,1,1),'Fund History'!$G$440:$G$444,"&lt;="&amp;DATE(YEAR_Y-3,12,31))/100)))</f>
        <v/>
      </c>
      <c r="AP84" s="82">
        <f>IF($C84="","",IF(PULL_FUND="N","",IF(COUNTIFS('Fund History'!$G$440:$G$444,"&gt;="&amp;DATE(YEAR_Y-2,1,1),'Fund History'!$G$440:$G$444,"&lt;="&amp;DATE(YEAR_Y-2,12,31))=0,"",SUMIFS('Fund History'!$H$440:$H$444,'Fund History'!$G$440:$G$444,"&gt;="&amp;DATE(YEAR_Y-2,1,1),'Fund History'!$G$440:$G$444,"&lt;="&amp;DATE(YEAR_Y-2,12,31))/100)))</f>
        <v/>
      </c>
      <c r="AQ84" s="82">
        <f>IF($C84="","",IF(PULL_FUND="N","",IF(COUNTIFS('Fund History'!$G$440:$G$444,"&gt;="&amp;DATE(YEAR_Y-1,1,1),'Fund History'!$G$440:$G$444,"&lt;="&amp;DATE(YEAR_Y-1,12,31))=0,"",SUMIFS('Fund History'!$H$440:$H$444,'Fund History'!$G$440:$G$444,"&gt;="&amp;DATE(YEAR_Y-1,1,1),'Fund History'!$G$440:$G$444,"&lt;="&amp;DATE(YEAR_Y-1,12,31))/100)))</f>
        <v/>
      </c>
      <c r="AR84" s="83">
        <f>IF($C84="","",IF(N($AQ84)+N(HSI!$I$79)=0,"",N($AQ84)+N(HSI!$I$79)/100))</f>
        <v/>
      </c>
      <c r="AS84" s="75">
        <f>IF($C84="","",IF(PULL_FUND="N","",IF(COUNTIFS('Fund History'!$D$440:$D$444,"&gt;="&amp;DATE(YEAR_Y-2,1,1),'Fund History'!$D$440:$D$444,"&lt;="&amp;DATE(YEAR_Y-2,12,31))=0,"",SUMIFS('Fund History'!$E$440:$E$444,'Fund History'!$D$440:$D$444,"&gt;="&amp;DATE(YEAR_Y-2,1,1),'Fund History'!$D$440:$D$444,"&lt;="&amp;DATE(YEAR_Y-2,12,31)))))</f>
        <v/>
      </c>
      <c r="AT84" s="76">
        <f>IF($C84="","",IF(PULL_FUND="N","",IF(COUNTIFS('Fund History'!$D$440:$D$444,"&gt;="&amp;DATE(YEAR_Y-1,1,1),'Fund History'!$D$440:$D$444,"&lt;="&amp;DATE(YEAR_Y-1,12,31))=0,"",SUMIFS('Fund History'!$E$440:$E$444,'Fund History'!$D$440:$D$444,"&gt;="&amp;DATE(YEAR_Y-1,1,1),'Fund History'!$D$440:$D$444,"&lt;="&amp;DATE(YEAR_Y-1,12,31)))))</f>
        <v/>
      </c>
      <c r="AU84" s="76">
        <f>IF($C84="","",IF(PULL_FUND="N","",IFERROR(BDP($C84,NDEBITDA_FIELD),"")))</f>
        <v/>
      </c>
      <c r="AV84" s="84">
        <f>IF($C84="","",IF(PULL_FUND="N","",IFERROR(BDP($C84,EBINT_FIELD),"")))</f>
        <v/>
      </c>
      <c r="AW84" s="82">
        <f>IF($C84="","",IF(PULL_FUND="N","",IFERROR(BDP($C84,FCF_FIELD)/100,"")))</f>
        <v/>
      </c>
      <c r="AX84" s="50">
        <f>IF($C84="","",IF(N($U84)=0,"",IFERROR($AW84/$U84,"")))</f>
        <v/>
      </c>
      <c r="AY84" s="85">
        <f>IF($C84="","",TRIM(IF(ISNUMBER($AJ84)*(N($AJ84)&gt;$D$4)&gt;0,"payout high  ","")&amp;IF(ISNUMBER($AX84)*(N($AX84)&lt;$F$4)&gt;0,"FCF below dvd  ","")&amp;IF(ISNUMBER($AU84)*(N($AU84)&gt;$H$4)&gt;0,"leverage high","")))</f>
        <v/>
      </c>
      <c r="AZ84" s="86">
        <f>IF($C84="","",IF(HSI!$F$79="HKD","",HSI!$F$79))</f>
        <v/>
      </c>
    </row>
    <row r="85">
      <c r="B85" s="66" t="inlineStr">
        <is>
          <t>HSI</t>
        </is>
      </c>
      <c r="C85" s="8">
        <f>IF(HSI!$C$80="","",HSI!$C$80)</f>
        <v/>
      </c>
      <c r="D85" s="8">
        <f>IF($C85="","",HSI!$D$80)</f>
        <v/>
      </c>
      <c r="E85" s="8">
        <f>IF($C85="","",HSI!$E$80)</f>
        <v/>
      </c>
      <c r="F85" s="67">
        <f>IF($C85="","",SUMPRODUCT(('Dvd Calendar'!$E$814:$AR$814&gt;=DATE(YEAR_Y-5,1,1))*('Dvd Calendar'!$E$814:$AR$814&lt;=DATE(YEAR_Y-5,12,31))*'Dvd Calendar'!$E$817:$AR$817*(('Dvd Calendar'!$E$819:$AR$819=TYPE1)*(TYPE1&lt;&gt;"")+('Dvd Calendar'!$E$819:$AR$819=TYPE2)*(TYPE2&lt;&gt;"")+('Dvd Calendar'!$E$819:$AR$819=TYPE3)*(TYPE3&lt;&gt;"")+('Dvd Calendar'!$E$819:$AR$819=TYPE4)*(TYPE4&lt;&gt;"")+('Dvd Calendar'!$E$819:$AR$819=SPECIAL_LBL)*(INC_SPECIALS="Y"))))</f>
        <v/>
      </c>
      <c r="G85" s="68">
        <f>IF($C85="","",SUMPRODUCT(('Dvd Calendar'!$E$814:$AR$814&gt;=DATE(YEAR_Y-4,1,1))*('Dvd Calendar'!$E$814:$AR$814&lt;=DATE(YEAR_Y-4,12,31))*'Dvd Calendar'!$E$817:$AR$817*(('Dvd Calendar'!$E$819:$AR$819=TYPE1)*(TYPE1&lt;&gt;"")+('Dvd Calendar'!$E$819:$AR$819=TYPE2)*(TYPE2&lt;&gt;"")+('Dvd Calendar'!$E$819:$AR$819=TYPE3)*(TYPE3&lt;&gt;"")+('Dvd Calendar'!$E$819:$AR$819=TYPE4)*(TYPE4&lt;&gt;"")+('Dvd Calendar'!$E$819:$AR$819=SPECIAL_LBL)*(INC_SPECIALS="Y"))))</f>
        <v/>
      </c>
      <c r="H85" s="68">
        <f>IF($C85="","",SUMPRODUCT(('Dvd Calendar'!$E$814:$AR$814&gt;=DATE(YEAR_Y-3,1,1))*('Dvd Calendar'!$E$814:$AR$814&lt;=DATE(YEAR_Y-3,12,31))*'Dvd Calendar'!$E$817:$AR$817*(('Dvd Calendar'!$E$819:$AR$819=TYPE1)*(TYPE1&lt;&gt;"")+('Dvd Calendar'!$E$819:$AR$819=TYPE2)*(TYPE2&lt;&gt;"")+('Dvd Calendar'!$E$819:$AR$819=TYPE3)*(TYPE3&lt;&gt;"")+('Dvd Calendar'!$E$819:$AR$819=TYPE4)*(TYPE4&lt;&gt;"")+('Dvd Calendar'!$E$819:$AR$819=SPECIAL_LBL)*(INC_SPECIALS="Y"))))</f>
        <v/>
      </c>
      <c r="I85" s="68">
        <f>IF($C85="","",SUMPRODUCT(('Dvd Calendar'!$E$814:$AR$814&gt;=DATE(YEAR_Y-2,1,1))*('Dvd Calendar'!$E$814:$AR$814&lt;=DATE(YEAR_Y-2,12,31))*'Dvd Calendar'!$E$817:$AR$817*(('Dvd Calendar'!$E$819:$AR$819=TYPE1)*(TYPE1&lt;&gt;"")+('Dvd Calendar'!$E$819:$AR$819=TYPE2)*(TYPE2&lt;&gt;"")+('Dvd Calendar'!$E$819:$AR$819=TYPE3)*(TYPE3&lt;&gt;"")+('Dvd Calendar'!$E$819:$AR$819=TYPE4)*(TYPE4&lt;&gt;"")+('Dvd Calendar'!$E$819:$AR$819=SPECIAL_LBL)*(INC_SPECIALS="Y"))))</f>
        <v/>
      </c>
      <c r="J85" s="68">
        <f>IF($C85="","",SUMPRODUCT(('Dvd Calendar'!$E$814:$AR$814&gt;=DATE(YEAR_Y-1,1,1))*('Dvd Calendar'!$E$814:$AR$814&lt;=DATE(YEAR_Y-1,12,31))*'Dvd Calendar'!$E$817:$AR$817*(('Dvd Calendar'!$E$819:$AR$819=TYPE1)*(TYPE1&lt;&gt;"")+('Dvd Calendar'!$E$819:$AR$819=TYPE2)*(TYPE2&lt;&gt;"")+('Dvd Calendar'!$E$819:$AR$819=TYPE3)*(TYPE3&lt;&gt;"")+('Dvd Calendar'!$E$819:$AR$819=TYPE4)*(TYPE4&lt;&gt;"")+('Dvd Calendar'!$E$819:$AR$819=SPECIAL_LBL)*(INC_SPECIALS="Y"))))</f>
        <v/>
      </c>
      <c r="K85" s="69">
        <f>IF($C85="","",HSI!$J$80)</f>
        <v/>
      </c>
      <c r="L85" s="69">
        <f>IF($C85="","",HSI!$K$80)</f>
        <v/>
      </c>
      <c r="M85" s="44">
        <f>IF($C85="","",HSI!$J$80+HSI!$L$80)</f>
        <v/>
      </c>
      <c r="N85" s="70">
        <f>IF($C85="","",IF(PULL_FUND="N","",IFERROR(BDP($C85,BESTDPS_FIELD,FWD_OVERRIDE,TEXT(MOD(YEAR_Y,100),"00")&amp;"Y"),"")))</f>
        <v/>
      </c>
      <c r="O85" s="69">
        <f>IF($C85="","",AVERAGE(F85:J85))</f>
        <v/>
      </c>
      <c r="P85" s="71">
        <f>IF($C85="","",IF(PULL_FUND="N","",IF(COUNTIFS('Fund History'!$J$446:$J$450,"&gt;="&amp;DATE(YEAR_Y-5,1,1),'Fund History'!$J$446:$J$450,"&lt;="&amp;DATE(YEAR_Y-5,12,31))=0,"",IFERROR($F85*HSI!$G$80/SUMIFS('Fund History'!$K$446:$K$450,'Fund History'!$J$446:$J$450,"&gt;="&amp;DATE(YEAR_Y-5,1,1),'Fund History'!$J$446:$J$450,"&lt;="&amp;DATE(YEAR_Y-5,12,31)),""))))</f>
        <v/>
      </c>
      <c r="Q85" s="72">
        <f>IF($C85="","",IF(PULL_FUND="N","",IF(COUNTIFS('Fund History'!$J$446:$J$450,"&gt;="&amp;DATE(YEAR_Y-4,1,1),'Fund History'!$J$446:$J$450,"&lt;="&amp;DATE(YEAR_Y-4,12,31))=0,"",IFERROR($G85*HSI!$G$80/SUMIFS('Fund History'!$K$446:$K$450,'Fund History'!$J$446:$J$450,"&gt;="&amp;DATE(YEAR_Y-4,1,1),'Fund History'!$J$446:$J$450,"&lt;="&amp;DATE(YEAR_Y-4,12,31)),""))))</f>
        <v/>
      </c>
      <c r="R85" s="72">
        <f>IF($C85="","",IF(PULL_FUND="N","",IF(COUNTIFS('Fund History'!$J$446:$J$450,"&gt;="&amp;DATE(YEAR_Y-3,1,1),'Fund History'!$J$446:$J$450,"&lt;="&amp;DATE(YEAR_Y-3,12,31))=0,"",IFERROR($H85*HSI!$G$80/SUMIFS('Fund History'!$K$446:$K$450,'Fund History'!$J$446:$J$450,"&gt;="&amp;DATE(YEAR_Y-3,1,1),'Fund History'!$J$446:$J$450,"&lt;="&amp;DATE(YEAR_Y-3,12,31)),""))))</f>
        <v/>
      </c>
      <c r="S85" s="72">
        <f>IF($C85="","",IF(PULL_FUND="N","",IF(COUNTIFS('Fund History'!$J$446:$J$450,"&gt;="&amp;DATE(YEAR_Y-2,1,1),'Fund History'!$J$446:$J$450,"&lt;="&amp;DATE(YEAR_Y-2,12,31))=0,"",IFERROR($I85*HSI!$G$80/SUMIFS('Fund History'!$K$446:$K$450,'Fund History'!$J$446:$J$450,"&gt;="&amp;DATE(YEAR_Y-2,1,1),'Fund History'!$J$446:$J$450,"&lt;="&amp;DATE(YEAR_Y-2,12,31)),""))))</f>
        <v/>
      </c>
      <c r="T85" s="72">
        <f>IF($C85="","",IF(PULL_FUND="N","",IF(COUNTIFS('Fund History'!$J$446:$J$450,"&gt;="&amp;DATE(YEAR_Y-1,1,1),'Fund History'!$J$446:$J$450,"&lt;="&amp;DATE(YEAR_Y-1,12,31))=0,"",IFERROR($J85*HSI!$G$80/SUMIFS('Fund History'!$K$446:$K$450,'Fund History'!$J$446:$J$450,"&gt;="&amp;DATE(YEAR_Y-1,1,1),'Fund History'!$J$446:$J$450,"&lt;="&amp;DATE(YEAR_Y-1,12,31)),""))))</f>
        <v/>
      </c>
      <c r="U85" s="73">
        <f>IF($C85="","",IF(ISNUMBER(HSI!$I$80),HSI!$I$80/100,""))</f>
        <v/>
      </c>
      <c r="V85" s="74">
        <f>IF($C85="","",IF(ISNUMBER(HSI!$X$80),IFERROR($M85*HSI!$G$80/HSI!$X$80,""),""))</f>
        <v/>
      </c>
      <c r="W85" s="73">
        <f>IF($C85="","",IF(ISNUMBER($N85),IFERROR($N85*HSI!$G$80/HSI!$X$80,""),""))</f>
        <v/>
      </c>
      <c r="X85" s="75">
        <f>IF($C85="","",IF(PULL_FUND="N","",IFERROR(BDP($C85,EPS_FIELD,YR_OVERRIDE,TEXT(YEAR_Y-5,"0")),"")))</f>
        <v/>
      </c>
      <c r="Y85" s="76">
        <f>IF($C85="","",IF(PULL_FUND="N","",IFERROR(BDP($C85,EPS_FIELD,YR_OVERRIDE,TEXT(YEAR_Y-4,"0")),"")))</f>
        <v/>
      </c>
      <c r="Z85" s="76">
        <f>IF($C85="","",IF(PULL_FUND="N","",IFERROR(BDP($C85,EPS_FIELD,YR_OVERRIDE,TEXT(YEAR_Y-3,"0")),"")))</f>
        <v/>
      </c>
      <c r="AA85" s="76">
        <f>IF($C85="","",IF(PULL_FUND="N","",IFERROR(BDP($C85,EPS_FIELD,YR_OVERRIDE,TEXT(YEAR_Y-2,"0")),"")))</f>
        <v/>
      </c>
      <c r="AB85" s="76">
        <f>IF($C85="","",IF(PULL_FUND="N","",IFERROR(BDP($C85,EPS_FIELD,YR_OVERRIDE,TEXT(YEAR_Y-1,"0")),"")))</f>
        <v/>
      </c>
      <c r="AC85" s="50">
        <f>IF($C85="","",IFERROR(AVERAGE(X85:AB85),""))</f>
        <v/>
      </c>
      <c r="AD85" s="76">
        <f>IF($C85="","",IF(PULL_FUND="N","",IFERROR(BDP($C85,BESTEPS_FIELD,FWD_OVERRIDE,TEXT(MOD(YEAR_Y,100),"00")&amp;"Y"),"")))</f>
        <v/>
      </c>
      <c r="AE85" s="77">
        <f>IF($C85="","",IF(PULL_FUND="N","",IFERROR(BDP($C85,PAYOUT_FIELD,YR_OVERRIDE,TEXT(YEAR_Y-5,"0"))/100,"")))</f>
        <v/>
      </c>
      <c r="AF85" s="78">
        <f>IF($C85="","",IF(PULL_FUND="N","",IFERROR(BDP($C85,PAYOUT_FIELD,YR_OVERRIDE,TEXT(YEAR_Y-4,"0"))/100,"")))</f>
        <v/>
      </c>
      <c r="AG85" s="78">
        <f>IF($C85="","",IF(PULL_FUND="N","",IFERROR(BDP($C85,PAYOUT_FIELD,YR_OVERRIDE,TEXT(YEAR_Y-3,"0"))/100,"")))</f>
        <v/>
      </c>
      <c r="AH85" s="78">
        <f>IF($C85="","",IF(PULL_FUND="N","",IFERROR(BDP($C85,PAYOUT_FIELD,YR_OVERRIDE,TEXT(YEAR_Y-2,"0"))/100,"")))</f>
        <v/>
      </c>
      <c r="AI85" s="78">
        <f>IF($C85="","",IF(PULL_FUND="N","",IFERROR(BDP($C85,PAYOUT_FIELD,YR_OVERRIDE,TEXT(YEAR_Y-1,"0"))/100,"")))</f>
        <v/>
      </c>
      <c r="AJ85" s="79">
        <f>IF($C85="","",IFERROR(AVERAGE(AE85:AI85),""))</f>
        <v/>
      </c>
      <c r="AK85" s="80">
        <f>IF($C85="","",IF(ISNUMBER($AD85)*ISNUMBER($N85)*($AD85&lt;&gt;0)=0,"",$N85/$AD85))</f>
        <v/>
      </c>
      <c r="AL85" s="79">
        <f>IF($C85="","",IF(ISNUMBER($AD85)*($AD85&lt;&gt;0)=0,"",$M85/$AD85))</f>
        <v/>
      </c>
      <c r="AM85" s="37">
        <f>IF($C85="","",IF(ISNUMBER($AE85)*ISNUMBER($AI85)=0,"",IF($AI85&gt;$AE85+0.05,"rising",IF($AI85&lt;$AE85-0.05,"falling","stable"))))</f>
        <v/>
      </c>
      <c r="AN85" s="81">
        <f>IF($C85="","",IF(PULL_FUND="N","",IF(COUNTIFS('Fund History'!$G$446:$G$450,"&gt;="&amp;DATE(YEAR_Y-4,1,1),'Fund History'!$G$446:$G$450,"&lt;="&amp;DATE(YEAR_Y-4,12,31))=0,"",SUMIFS('Fund History'!$H$446:$H$450,'Fund History'!$G$446:$G$450,"&gt;="&amp;DATE(YEAR_Y-4,1,1),'Fund History'!$G$446:$G$450,"&lt;="&amp;DATE(YEAR_Y-4,12,31))/100)))</f>
        <v/>
      </c>
      <c r="AO85" s="82">
        <f>IF($C85="","",IF(PULL_FUND="N","",IF(COUNTIFS('Fund History'!$G$446:$G$450,"&gt;="&amp;DATE(YEAR_Y-3,1,1),'Fund History'!$G$446:$G$450,"&lt;="&amp;DATE(YEAR_Y-3,12,31))=0,"",SUMIFS('Fund History'!$H$446:$H$450,'Fund History'!$G$446:$G$450,"&gt;="&amp;DATE(YEAR_Y-3,1,1),'Fund History'!$G$446:$G$450,"&lt;="&amp;DATE(YEAR_Y-3,12,31))/100)))</f>
        <v/>
      </c>
      <c r="AP85" s="82">
        <f>IF($C85="","",IF(PULL_FUND="N","",IF(COUNTIFS('Fund History'!$G$446:$G$450,"&gt;="&amp;DATE(YEAR_Y-2,1,1),'Fund History'!$G$446:$G$450,"&lt;="&amp;DATE(YEAR_Y-2,12,31))=0,"",SUMIFS('Fund History'!$H$446:$H$450,'Fund History'!$G$446:$G$450,"&gt;="&amp;DATE(YEAR_Y-2,1,1),'Fund History'!$G$446:$G$450,"&lt;="&amp;DATE(YEAR_Y-2,12,31))/100)))</f>
        <v/>
      </c>
      <c r="AQ85" s="82">
        <f>IF($C85="","",IF(PULL_FUND="N","",IF(COUNTIFS('Fund History'!$G$446:$G$450,"&gt;="&amp;DATE(YEAR_Y-1,1,1),'Fund History'!$G$446:$G$450,"&lt;="&amp;DATE(YEAR_Y-1,12,31))=0,"",SUMIFS('Fund History'!$H$446:$H$450,'Fund History'!$G$446:$G$450,"&gt;="&amp;DATE(YEAR_Y-1,1,1),'Fund History'!$G$446:$G$450,"&lt;="&amp;DATE(YEAR_Y-1,12,31))/100)))</f>
        <v/>
      </c>
      <c r="AR85" s="83">
        <f>IF($C85="","",IF(N($AQ85)+N(HSI!$I$80)=0,"",N($AQ85)+N(HSI!$I$80)/100))</f>
        <v/>
      </c>
      <c r="AS85" s="75">
        <f>IF($C85="","",IF(PULL_FUND="N","",IF(COUNTIFS('Fund History'!$D$446:$D$450,"&gt;="&amp;DATE(YEAR_Y-2,1,1),'Fund History'!$D$446:$D$450,"&lt;="&amp;DATE(YEAR_Y-2,12,31))=0,"",SUMIFS('Fund History'!$E$446:$E$450,'Fund History'!$D$446:$D$450,"&gt;="&amp;DATE(YEAR_Y-2,1,1),'Fund History'!$D$446:$D$450,"&lt;="&amp;DATE(YEAR_Y-2,12,31)))))</f>
        <v/>
      </c>
      <c r="AT85" s="76">
        <f>IF($C85="","",IF(PULL_FUND="N","",IF(COUNTIFS('Fund History'!$D$446:$D$450,"&gt;="&amp;DATE(YEAR_Y-1,1,1),'Fund History'!$D$446:$D$450,"&lt;="&amp;DATE(YEAR_Y-1,12,31))=0,"",SUMIFS('Fund History'!$E$446:$E$450,'Fund History'!$D$446:$D$450,"&gt;="&amp;DATE(YEAR_Y-1,1,1),'Fund History'!$D$446:$D$450,"&lt;="&amp;DATE(YEAR_Y-1,12,31)))))</f>
        <v/>
      </c>
      <c r="AU85" s="76">
        <f>IF($C85="","",IF(PULL_FUND="N","",IFERROR(BDP($C85,NDEBITDA_FIELD),"")))</f>
        <v/>
      </c>
      <c r="AV85" s="84">
        <f>IF($C85="","",IF(PULL_FUND="N","",IFERROR(BDP($C85,EBINT_FIELD),"")))</f>
        <v/>
      </c>
      <c r="AW85" s="82">
        <f>IF($C85="","",IF(PULL_FUND="N","",IFERROR(BDP($C85,FCF_FIELD)/100,"")))</f>
        <v/>
      </c>
      <c r="AX85" s="50">
        <f>IF($C85="","",IF(N($U85)=0,"",IFERROR($AW85/$U85,"")))</f>
        <v/>
      </c>
      <c r="AY85" s="85">
        <f>IF($C85="","",TRIM(IF(ISNUMBER($AJ85)*(N($AJ85)&gt;$D$4)&gt;0,"payout high  ","")&amp;IF(ISNUMBER($AX85)*(N($AX85)&lt;$F$4)&gt;0,"FCF below dvd  ","")&amp;IF(ISNUMBER($AU85)*(N($AU85)&gt;$H$4)&gt;0,"leverage high","")))</f>
        <v/>
      </c>
      <c r="AZ85" s="86">
        <f>IF($C85="","",IF(HSI!$F$80="HKD","",HSI!$F$80))</f>
        <v/>
      </c>
    </row>
    <row r="86">
      <c r="B86" s="66" t="inlineStr">
        <is>
          <t>HSI</t>
        </is>
      </c>
      <c r="C86" s="8">
        <f>IF(HSI!$C$81="","",HSI!$C$81)</f>
        <v/>
      </c>
      <c r="D86" s="8">
        <f>IF($C86="","",HSI!$D$81)</f>
        <v/>
      </c>
      <c r="E86" s="8">
        <f>IF($C86="","",HSI!$E$81)</f>
        <v/>
      </c>
      <c r="F86" s="67">
        <f>IF($C86="","",SUMPRODUCT(('Dvd Calendar'!$E$825:$AR$825&gt;=DATE(YEAR_Y-5,1,1))*('Dvd Calendar'!$E$825:$AR$825&lt;=DATE(YEAR_Y-5,12,31))*'Dvd Calendar'!$E$828:$AR$828*(('Dvd Calendar'!$E$830:$AR$830=TYPE1)*(TYPE1&lt;&gt;"")+('Dvd Calendar'!$E$830:$AR$830=TYPE2)*(TYPE2&lt;&gt;"")+('Dvd Calendar'!$E$830:$AR$830=TYPE3)*(TYPE3&lt;&gt;"")+('Dvd Calendar'!$E$830:$AR$830=TYPE4)*(TYPE4&lt;&gt;"")+('Dvd Calendar'!$E$830:$AR$830=SPECIAL_LBL)*(INC_SPECIALS="Y"))))</f>
        <v/>
      </c>
      <c r="G86" s="68">
        <f>IF($C86="","",SUMPRODUCT(('Dvd Calendar'!$E$825:$AR$825&gt;=DATE(YEAR_Y-4,1,1))*('Dvd Calendar'!$E$825:$AR$825&lt;=DATE(YEAR_Y-4,12,31))*'Dvd Calendar'!$E$828:$AR$828*(('Dvd Calendar'!$E$830:$AR$830=TYPE1)*(TYPE1&lt;&gt;"")+('Dvd Calendar'!$E$830:$AR$830=TYPE2)*(TYPE2&lt;&gt;"")+('Dvd Calendar'!$E$830:$AR$830=TYPE3)*(TYPE3&lt;&gt;"")+('Dvd Calendar'!$E$830:$AR$830=TYPE4)*(TYPE4&lt;&gt;"")+('Dvd Calendar'!$E$830:$AR$830=SPECIAL_LBL)*(INC_SPECIALS="Y"))))</f>
        <v/>
      </c>
      <c r="H86" s="68">
        <f>IF($C86="","",SUMPRODUCT(('Dvd Calendar'!$E$825:$AR$825&gt;=DATE(YEAR_Y-3,1,1))*('Dvd Calendar'!$E$825:$AR$825&lt;=DATE(YEAR_Y-3,12,31))*'Dvd Calendar'!$E$828:$AR$828*(('Dvd Calendar'!$E$830:$AR$830=TYPE1)*(TYPE1&lt;&gt;"")+('Dvd Calendar'!$E$830:$AR$830=TYPE2)*(TYPE2&lt;&gt;"")+('Dvd Calendar'!$E$830:$AR$830=TYPE3)*(TYPE3&lt;&gt;"")+('Dvd Calendar'!$E$830:$AR$830=TYPE4)*(TYPE4&lt;&gt;"")+('Dvd Calendar'!$E$830:$AR$830=SPECIAL_LBL)*(INC_SPECIALS="Y"))))</f>
        <v/>
      </c>
      <c r="I86" s="68">
        <f>IF($C86="","",SUMPRODUCT(('Dvd Calendar'!$E$825:$AR$825&gt;=DATE(YEAR_Y-2,1,1))*('Dvd Calendar'!$E$825:$AR$825&lt;=DATE(YEAR_Y-2,12,31))*'Dvd Calendar'!$E$828:$AR$828*(('Dvd Calendar'!$E$830:$AR$830=TYPE1)*(TYPE1&lt;&gt;"")+('Dvd Calendar'!$E$830:$AR$830=TYPE2)*(TYPE2&lt;&gt;"")+('Dvd Calendar'!$E$830:$AR$830=TYPE3)*(TYPE3&lt;&gt;"")+('Dvd Calendar'!$E$830:$AR$830=TYPE4)*(TYPE4&lt;&gt;"")+('Dvd Calendar'!$E$830:$AR$830=SPECIAL_LBL)*(INC_SPECIALS="Y"))))</f>
        <v/>
      </c>
      <c r="J86" s="68">
        <f>IF($C86="","",SUMPRODUCT(('Dvd Calendar'!$E$825:$AR$825&gt;=DATE(YEAR_Y-1,1,1))*('Dvd Calendar'!$E$825:$AR$825&lt;=DATE(YEAR_Y-1,12,31))*'Dvd Calendar'!$E$828:$AR$828*(('Dvd Calendar'!$E$830:$AR$830=TYPE1)*(TYPE1&lt;&gt;"")+('Dvd Calendar'!$E$830:$AR$830=TYPE2)*(TYPE2&lt;&gt;"")+('Dvd Calendar'!$E$830:$AR$830=TYPE3)*(TYPE3&lt;&gt;"")+('Dvd Calendar'!$E$830:$AR$830=TYPE4)*(TYPE4&lt;&gt;"")+('Dvd Calendar'!$E$830:$AR$830=SPECIAL_LBL)*(INC_SPECIALS="Y"))))</f>
        <v/>
      </c>
      <c r="K86" s="69">
        <f>IF($C86="","",HSI!$J$81)</f>
        <v/>
      </c>
      <c r="L86" s="69">
        <f>IF($C86="","",HSI!$K$81)</f>
        <v/>
      </c>
      <c r="M86" s="44">
        <f>IF($C86="","",HSI!$J$81+HSI!$L$81)</f>
        <v/>
      </c>
      <c r="N86" s="70">
        <f>IF($C86="","",IF(PULL_FUND="N","",IFERROR(BDP($C86,BESTDPS_FIELD,FWD_OVERRIDE,TEXT(MOD(YEAR_Y,100),"00")&amp;"Y"),"")))</f>
        <v/>
      </c>
      <c r="O86" s="69">
        <f>IF($C86="","",AVERAGE(F86:J86))</f>
        <v/>
      </c>
      <c r="P86" s="71">
        <f>IF($C86="","",IF(PULL_FUND="N","",IF(COUNTIFS('Fund History'!$J$452:$J$456,"&gt;="&amp;DATE(YEAR_Y-5,1,1),'Fund History'!$J$452:$J$456,"&lt;="&amp;DATE(YEAR_Y-5,12,31))=0,"",IFERROR($F86*HSI!$G$81/SUMIFS('Fund History'!$K$452:$K$456,'Fund History'!$J$452:$J$456,"&gt;="&amp;DATE(YEAR_Y-5,1,1),'Fund History'!$J$452:$J$456,"&lt;="&amp;DATE(YEAR_Y-5,12,31)),""))))</f>
        <v/>
      </c>
      <c r="Q86" s="72">
        <f>IF($C86="","",IF(PULL_FUND="N","",IF(COUNTIFS('Fund History'!$J$452:$J$456,"&gt;="&amp;DATE(YEAR_Y-4,1,1),'Fund History'!$J$452:$J$456,"&lt;="&amp;DATE(YEAR_Y-4,12,31))=0,"",IFERROR($G86*HSI!$G$81/SUMIFS('Fund History'!$K$452:$K$456,'Fund History'!$J$452:$J$456,"&gt;="&amp;DATE(YEAR_Y-4,1,1),'Fund History'!$J$452:$J$456,"&lt;="&amp;DATE(YEAR_Y-4,12,31)),""))))</f>
        <v/>
      </c>
      <c r="R86" s="72">
        <f>IF($C86="","",IF(PULL_FUND="N","",IF(COUNTIFS('Fund History'!$J$452:$J$456,"&gt;="&amp;DATE(YEAR_Y-3,1,1),'Fund History'!$J$452:$J$456,"&lt;="&amp;DATE(YEAR_Y-3,12,31))=0,"",IFERROR($H86*HSI!$G$81/SUMIFS('Fund History'!$K$452:$K$456,'Fund History'!$J$452:$J$456,"&gt;="&amp;DATE(YEAR_Y-3,1,1),'Fund History'!$J$452:$J$456,"&lt;="&amp;DATE(YEAR_Y-3,12,31)),""))))</f>
        <v/>
      </c>
      <c r="S86" s="72">
        <f>IF($C86="","",IF(PULL_FUND="N","",IF(COUNTIFS('Fund History'!$J$452:$J$456,"&gt;="&amp;DATE(YEAR_Y-2,1,1),'Fund History'!$J$452:$J$456,"&lt;="&amp;DATE(YEAR_Y-2,12,31))=0,"",IFERROR($I86*HSI!$G$81/SUMIFS('Fund History'!$K$452:$K$456,'Fund History'!$J$452:$J$456,"&gt;="&amp;DATE(YEAR_Y-2,1,1),'Fund History'!$J$452:$J$456,"&lt;="&amp;DATE(YEAR_Y-2,12,31)),""))))</f>
        <v/>
      </c>
      <c r="T86" s="72">
        <f>IF($C86="","",IF(PULL_FUND="N","",IF(COUNTIFS('Fund History'!$J$452:$J$456,"&gt;="&amp;DATE(YEAR_Y-1,1,1),'Fund History'!$J$452:$J$456,"&lt;="&amp;DATE(YEAR_Y-1,12,31))=0,"",IFERROR($J86*HSI!$G$81/SUMIFS('Fund History'!$K$452:$K$456,'Fund History'!$J$452:$J$456,"&gt;="&amp;DATE(YEAR_Y-1,1,1),'Fund History'!$J$452:$J$456,"&lt;="&amp;DATE(YEAR_Y-1,12,31)),""))))</f>
        <v/>
      </c>
      <c r="U86" s="73">
        <f>IF($C86="","",IF(ISNUMBER(HSI!$I$81),HSI!$I$81/100,""))</f>
        <v/>
      </c>
      <c r="V86" s="74">
        <f>IF($C86="","",IF(ISNUMBER(HSI!$X$81),IFERROR($M86*HSI!$G$81/HSI!$X$81,""),""))</f>
        <v/>
      </c>
      <c r="W86" s="73">
        <f>IF($C86="","",IF(ISNUMBER($N86),IFERROR($N86*HSI!$G$81/HSI!$X$81,""),""))</f>
        <v/>
      </c>
      <c r="X86" s="75">
        <f>IF($C86="","",IF(PULL_FUND="N","",IFERROR(BDP($C86,EPS_FIELD,YR_OVERRIDE,TEXT(YEAR_Y-5,"0")),"")))</f>
        <v/>
      </c>
      <c r="Y86" s="76">
        <f>IF($C86="","",IF(PULL_FUND="N","",IFERROR(BDP($C86,EPS_FIELD,YR_OVERRIDE,TEXT(YEAR_Y-4,"0")),"")))</f>
        <v/>
      </c>
      <c r="Z86" s="76">
        <f>IF($C86="","",IF(PULL_FUND="N","",IFERROR(BDP($C86,EPS_FIELD,YR_OVERRIDE,TEXT(YEAR_Y-3,"0")),"")))</f>
        <v/>
      </c>
      <c r="AA86" s="76">
        <f>IF($C86="","",IF(PULL_FUND="N","",IFERROR(BDP($C86,EPS_FIELD,YR_OVERRIDE,TEXT(YEAR_Y-2,"0")),"")))</f>
        <v/>
      </c>
      <c r="AB86" s="76">
        <f>IF($C86="","",IF(PULL_FUND="N","",IFERROR(BDP($C86,EPS_FIELD,YR_OVERRIDE,TEXT(YEAR_Y-1,"0")),"")))</f>
        <v/>
      </c>
      <c r="AC86" s="50">
        <f>IF($C86="","",IFERROR(AVERAGE(X86:AB86),""))</f>
        <v/>
      </c>
      <c r="AD86" s="76">
        <f>IF($C86="","",IF(PULL_FUND="N","",IFERROR(BDP($C86,BESTEPS_FIELD,FWD_OVERRIDE,TEXT(MOD(YEAR_Y,100),"00")&amp;"Y"),"")))</f>
        <v/>
      </c>
      <c r="AE86" s="77">
        <f>IF($C86="","",IF(PULL_FUND="N","",IFERROR(BDP($C86,PAYOUT_FIELD,YR_OVERRIDE,TEXT(YEAR_Y-5,"0"))/100,"")))</f>
        <v/>
      </c>
      <c r="AF86" s="78">
        <f>IF($C86="","",IF(PULL_FUND="N","",IFERROR(BDP($C86,PAYOUT_FIELD,YR_OVERRIDE,TEXT(YEAR_Y-4,"0"))/100,"")))</f>
        <v/>
      </c>
      <c r="AG86" s="78">
        <f>IF($C86="","",IF(PULL_FUND="N","",IFERROR(BDP($C86,PAYOUT_FIELD,YR_OVERRIDE,TEXT(YEAR_Y-3,"0"))/100,"")))</f>
        <v/>
      </c>
      <c r="AH86" s="78">
        <f>IF($C86="","",IF(PULL_FUND="N","",IFERROR(BDP($C86,PAYOUT_FIELD,YR_OVERRIDE,TEXT(YEAR_Y-2,"0"))/100,"")))</f>
        <v/>
      </c>
      <c r="AI86" s="78">
        <f>IF($C86="","",IF(PULL_FUND="N","",IFERROR(BDP($C86,PAYOUT_FIELD,YR_OVERRIDE,TEXT(YEAR_Y-1,"0"))/100,"")))</f>
        <v/>
      </c>
      <c r="AJ86" s="79">
        <f>IF($C86="","",IFERROR(AVERAGE(AE86:AI86),""))</f>
        <v/>
      </c>
      <c r="AK86" s="80">
        <f>IF($C86="","",IF(ISNUMBER($AD86)*ISNUMBER($N86)*($AD86&lt;&gt;0)=0,"",$N86/$AD86))</f>
        <v/>
      </c>
      <c r="AL86" s="79">
        <f>IF($C86="","",IF(ISNUMBER($AD86)*($AD86&lt;&gt;0)=0,"",$M86/$AD86))</f>
        <v/>
      </c>
      <c r="AM86" s="37">
        <f>IF($C86="","",IF(ISNUMBER($AE86)*ISNUMBER($AI86)=0,"",IF($AI86&gt;$AE86+0.05,"rising",IF($AI86&lt;$AE86-0.05,"falling","stable"))))</f>
        <v/>
      </c>
      <c r="AN86" s="81">
        <f>IF($C86="","",IF(PULL_FUND="N","",IF(COUNTIFS('Fund History'!$G$452:$G$456,"&gt;="&amp;DATE(YEAR_Y-4,1,1),'Fund History'!$G$452:$G$456,"&lt;="&amp;DATE(YEAR_Y-4,12,31))=0,"",SUMIFS('Fund History'!$H$452:$H$456,'Fund History'!$G$452:$G$456,"&gt;="&amp;DATE(YEAR_Y-4,1,1),'Fund History'!$G$452:$G$456,"&lt;="&amp;DATE(YEAR_Y-4,12,31))/100)))</f>
        <v/>
      </c>
      <c r="AO86" s="82">
        <f>IF($C86="","",IF(PULL_FUND="N","",IF(COUNTIFS('Fund History'!$G$452:$G$456,"&gt;="&amp;DATE(YEAR_Y-3,1,1),'Fund History'!$G$452:$G$456,"&lt;="&amp;DATE(YEAR_Y-3,12,31))=0,"",SUMIFS('Fund History'!$H$452:$H$456,'Fund History'!$G$452:$G$456,"&gt;="&amp;DATE(YEAR_Y-3,1,1),'Fund History'!$G$452:$G$456,"&lt;="&amp;DATE(YEAR_Y-3,12,31))/100)))</f>
        <v/>
      </c>
      <c r="AP86" s="82">
        <f>IF($C86="","",IF(PULL_FUND="N","",IF(COUNTIFS('Fund History'!$G$452:$G$456,"&gt;="&amp;DATE(YEAR_Y-2,1,1),'Fund History'!$G$452:$G$456,"&lt;="&amp;DATE(YEAR_Y-2,12,31))=0,"",SUMIFS('Fund History'!$H$452:$H$456,'Fund History'!$G$452:$G$456,"&gt;="&amp;DATE(YEAR_Y-2,1,1),'Fund History'!$G$452:$G$456,"&lt;="&amp;DATE(YEAR_Y-2,12,31))/100)))</f>
        <v/>
      </c>
      <c r="AQ86" s="82">
        <f>IF($C86="","",IF(PULL_FUND="N","",IF(COUNTIFS('Fund History'!$G$452:$G$456,"&gt;="&amp;DATE(YEAR_Y-1,1,1),'Fund History'!$G$452:$G$456,"&lt;="&amp;DATE(YEAR_Y-1,12,31))=0,"",SUMIFS('Fund History'!$H$452:$H$456,'Fund History'!$G$452:$G$456,"&gt;="&amp;DATE(YEAR_Y-1,1,1),'Fund History'!$G$452:$G$456,"&lt;="&amp;DATE(YEAR_Y-1,12,31))/100)))</f>
        <v/>
      </c>
      <c r="AR86" s="83">
        <f>IF($C86="","",IF(N($AQ86)+N(HSI!$I$81)=0,"",N($AQ86)+N(HSI!$I$81)/100))</f>
        <v/>
      </c>
      <c r="AS86" s="75">
        <f>IF($C86="","",IF(PULL_FUND="N","",IF(COUNTIFS('Fund History'!$D$452:$D$456,"&gt;="&amp;DATE(YEAR_Y-2,1,1),'Fund History'!$D$452:$D$456,"&lt;="&amp;DATE(YEAR_Y-2,12,31))=0,"",SUMIFS('Fund History'!$E$452:$E$456,'Fund History'!$D$452:$D$456,"&gt;="&amp;DATE(YEAR_Y-2,1,1),'Fund History'!$D$452:$D$456,"&lt;="&amp;DATE(YEAR_Y-2,12,31)))))</f>
        <v/>
      </c>
      <c r="AT86" s="76">
        <f>IF($C86="","",IF(PULL_FUND="N","",IF(COUNTIFS('Fund History'!$D$452:$D$456,"&gt;="&amp;DATE(YEAR_Y-1,1,1),'Fund History'!$D$452:$D$456,"&lt;="&amp;DATE(YEAR_Y-1,12,31))=0,"",SUMIFS('Fund History'!$E$452:$E$456,'Fund History'!$D$452:$D$456,"&gt;="&amp;DATE(YEAR_Y-1,1,1),'Fund History'!$D$452:$D$456,"&lt;="&amp;DATE(YEAR_Y-1,12,31)))))</f>
        <v/>
      </c>
      <c r="AU86" s="76">
        <f>IF($C86="","",IF(PULL_FUND="N","",IFERROR(BDP($C86,NDEBITDA_FIELD),"")))</f>
        <v/>
      </c>
      <c r="AV86" s="84">
        <f>IF($C86="","",IF(PULL_FUND="N","",IFERROR(BDP($C86,EBINT_FIELD),"")))</f>
        <v/>
      </c>
      <c r="AW86" s="82">
        <f>IF($C86="","",IF(PULL_FUND="N","",IFERROR(BDP($C86,FCF_FIELD)/100,"")))</f>
        <v/>
      </c>
      <c r="AX86" s="50">
        <f>IF($C86="","",IF(N($U86)=0,"",IFERROR($AW86/$U86,"")))</f>
        <v/>
      </c>
      <c r="AY86" s="85">
        <f>IF($C86="","",TRIM(IF(ISNUMBER($AJ86)*(N($AJ86)&gt;$D$4)&gt;0,"payout high  ","")&amp;IF(ISNUMBER($AX86)*(N($AX86)&lt;$F$4)&gt;0,"FCF below dvd  ","")&amp;IF(ISNUMBER($AU86)*(N($AU86)&gt;$H$4)&gt;0,"leverage high","")))</f>
        <v/>
      </c>
      <c r="AZ86" s="86">
        <f>IF($C86="","",IF(HSI!$F$81="HKD","",HSI!$F$81))</f>
        <v/>
      </c>
    </row>
    <row r="87">
      <c r="B87" s="66" t="inlineStr">
        <is>
          <t>HSI</t>
        </is>
      </c>
      <c r="C87" s="8">
        <f>IF(HSI!$C$82="","",HSI!$C$82)</f>
        <v/>
      </c>
      <c r="D87" s="8">
        <f>IF($C87="","",HSI!$D$82)</f>
        <v/>
      </c>
      <c r="E87" s="8">
        <f>IF($C87="","",HSI!$E$82)</f>
        <v/>
      </c>
      <c r="F87" s="67">
        <f>IF($C87="","",SUMPRODUCT(('Dvd Calendar'!$E$836:$AR$836&gt;=DATE(YEAR_Y-5,1,1))*('Dvd Calendar'!$E$836:$AR$836&lt;=DATE(YEAR_Y-5,12,31))*'Dvd Calendar'!$E$839:$AR$839*(('Dvd Calendar'!$E$841:$AR$841=TYPE1)*(TYPE1&lt;&gt;"")+('Dvd Calendar'!$E$841:$AR$841=TYPE2)*(TYPE2&lt;&gt;"")+('Dvd Calendar'!$E$841:$AR$841=TYPE3)*(TYPE3&lt;&gt;"")+('Dvd Calendar'!$E$841:$AR$841=TYPE4)*(TYPE4&lt;&gt;"")+('Dvd Calendar'!$E$841:$AR$841=SPECIAL_LBL)*(INC_SPECIALS="Y"))))</f>
        <v/>
      </c>
      <c r="G87" s="68">
        <f>IF($C87="","",SUMPRODUCT(('Dvd Calendar'!$E$836:$AR$836&gt;=DATE(YEAR_Y-4,1,1))*('Dvd Calendar'!$E$836:$AR$836&lt;=DATE(YEAR_Y-4,12,31))*'Dvd Calendar'!$E$839:$AR$839*(('Dvd Calendar'!$E$841:$AR$841=TYPE1)*(TYPE1&lt;&gt;"")+('Dvd Calendar'!$E$841:$AR$841=TYPE2)*(TYPE2&lt;&gt;"")+('Dvd Calendar'!$E$841:$AR$841=TYPE3)*(TYPE3&lt;&gt;"")+('Dvd Calendar'!$E$841:$AR$841=TYPE4)*(TYPE4&lt;&gt;"")+('Dvd Calendar'!$E$841:$AR$841=SPECIAL_LBL)*(INC_SPECIALS="Y"))))</f>
        <v/>
      </c>
      <c r="H87" s="68">
        <f>IF($C87="","",SUMPRODUCT(('Dvd Calendar'!$E$836:$AR$836&gt;=DATE(YEAR_Y-3,1,1))*('Dvd Calendar'!$E$836:$AR$836&lt;=DATE(YEAR_Y-3,12,31))*'Dvd Calendar'!$E$839:$AR$839*(('Dvd Calendar'!$E$841:$AR$841=TYPE1)*(TYPE1&lt;&gt;"")+('Dvd Calendar'!$E$841:$AR$841=TYPE2)*(TYPE2&lt;&gt;"")+('Dvd Calendar'!$E$841:$AR$841=TYPE3)*(TYPE3&lt;&gt;"")+('Dvd Calendar'!$E$841:$AR$841=TYPE4)*(TYPE4&lt;&gt;"")+('Dvd Calendar'!$E$841:$AR$841=SPECIAL_LBL)*(INC_SPECIALS="Y"))))</f>
        <v/>
      </c>
      <c r="I87" s="68">
        <f>IF($C87="","",SUMPRODUCT(('Dvd Calendar'!$E$836:$AR$836&gt;=DATE(YEAR_Y-2,1,1))*('Dvd Calendar'!$E$836:$AR$836&lt;=DATE(YEAR_Y-2,12,31))*'Dvd Calendar'!$E$839:$AR$839*(('Dvd Calendar'!$E$841:$AR$841=TYPE1)*(TYPE1&lt;&gt;"")+('Dvd Calendar'!$E$841:$AR$841=TYPE2)*(TYPE2&lt;&gt;"")+('Dvd Calendar'!$E$841:$AR$841=TYPE3)*(TYPE3&lt;&gt;"")+('Dvd Calendar'!$E$841:$AR$841=TYPE4)*(TYPE4&lt;&gt;"")+('Dvd Calendar'!$E$841:$AR$841=SPECIAL_LBL)*(INC_SPECIALS="Y"))))</f>
        <v/>
      </c>
      <c r="J87" s="68">
        <f>IF($C87="","",SUMPRODUCT(('Dvd Calendar'!$E$836:$AR$836&gt;=DATE(YEAR_Y-1,1,1))*('Dvd Calendar'!$E$836:$AR$836&lt;=DATE(YEAR_Y-1,12,31))*'Dvd Calendar'!$E$839:$AR$839*(('Dvd Calendar'!$E$841:$AR$841=TYPE1)*(TYPE1&lt;&gt;"")+('Dvd Calendar'!$E$841:$AR$841=TYPE2)*(TYPE2&lt;&gt;"")+('Dvd Calendar'!$E$841:$AR$841=TYPE3)*(TYPE3&lt;&gt;"")+('Dvd Calendar'!$E$841:$AR$841=TYPE4)*(TYPE4&lt;&gt;"")+('Dvd Calendar'!$E$841:$AR$841=SPECIAL_LBL)*(INC_SPECIALS="Y"))))</f>
        <v/>
      </c>
      <c r="K87" s="69">
        <f>IF($C87="","",HSI!$J$82)</f>
        <v/>
      </c>
      <c r="L87" s="69">
        <f>IF($C87="","",HSI!$K$82)</f>
        <v/>
      </c>
      <c r="M87" s="44">
        <f>IF($C87="","",HSI!$J$82+HSI!$L$82)</f>
        <v/>
      </c>
      <c r="N87" s="70">
        <f>IF($C87="","",IF(PULL_FUND="N","",IFERROR(BDP($C87,BESTDPS_FIELD,FWD_OVERRIDE,TEXT(MOD(YEAR_Y,100),"00")&amp;"Y"),"")))</f>
        <v/>
      </c>
      <c r="O87" s="69">
        <f>IF($C87="","",AVERAGE(F87:J87))</f>
        <v/>
      </c>
      <c r="P87" s="71">
        <f>IF($C87="","",IF(PULL_FUND="N","",IF(COUNTIFS('Fund History'!$J$458:$J$462,"&gt;="&amp;DATE(YEAR_Y-5,1,1),'Fund History'!$J$458:$J$462,"&lt;="&amp;DATE(YEAR_Y-5,12,31))=0,"",IFERROR($F87*HSI!$G$82/SUMIFS('Fund History'!$K$458:$K$462,'Fund History'!$J$458:$J$462,"&gt;="&amp;DATE(YEAR_Y-5,1,1),'Fund History'!$J$458:$J$462,"&lt;="&amp;DATE(YEAR_Y-5,12,31)),""))))</f>
        <v/>
      </c>
      <c r="Q87" s="72">
        <f>IF($C87="","",IF(PULL_FUND="N","",IF(COUNTIFS('Fund History'!$J$458:$J$462,"&gt;="&amp;DATE(YEAR_Y-4,1,1),'Fund History'!$J$458:$J$462,"&lt;="&amp;DATE(YEAR_Y-4,12,31))=0,"",IFERROR($G87*HSI!$G$82/SUMIFS('Fund History'!$K$458:$K$462,'Fund History'!$J$458:$J$462,"&gt;="&amp;DATE(YEAR_Y-4,1,1),'Fund History'!$J$458:$J$462,"&lt;="&amp;DATE(YEAR_Y-4,12,31)),""))))</f>
        <v/>
      </c>
      <c r="R87" s="72">
        <f>IF($C87="","",IF(PULL_FUND="N","",IF(COUNTIFS('Fund History'!$J$458:$J$462,"&gt;="&amp;DATE(YEAR_Y-3,1,1),'Fund History'!$J$458:$J$462,"&lt;="&amp;DATE(YEAR_Y-3,12,31))=0,"",IFERROR($H87*HSI!$G$82/SUMIFS('Fund History'!$K$458:$K$462,'Fund History'!$J$458:$J$462,"&gt;="&amp;DATE(YEAR_Y-3,1,1),'Fund History'!$J$458:$J$462,"&lt;="&amp;DATE(YEAR_Y-3,12,31)),""))))</f>
        <v/>
      </c>
      <c r="S87" s="72">
        <f>IF($C87="","",IF(PULL_FUND="N","",IF(COUNTIFS('Fund History'!$J$458:$J$462,"&gt;="&amp;DATE(YEAR_Y-2,1,1),'Fund History'!$J$458:$J$462,"&lt;="&amp;DATE(YEAR_Y-2,12,31))=0,"",IFERROR($I87*HSI!$G$82/SUMIFS('Fund History'!$K$458:$K$462,'Fund History'!$J$458:$J$462,"&gt;="&amp;DATE(YEAR_Y-2,1,1),'Fund History'!$J$458:$J$462,"&lt;="&amp;DATE(YEAR_Y-2,12,31)),""))))</f>
        <v/>
      </c>
      <c r="T87" s="72">
        <f>IF($C87="","",IF(PULL_FUND="N","",IF(COUNTIFS('Fund History'!$J$458:$J$462,"&gt;="&amp;DATE(YEAR_Y-1,1,1),'Fund History'!$J$458:$J$462,"&lt;="&amp;DATE(YEAR_Y-1,12,31))=0,"",IFERROR($J87*HSI!$G$82/SUMIFS('Fund History'!$K$458:$K$462,'Fund History'!$J$458:$J$462,"&gt;="&amp;DATE(YEAR_Y-1,1,1),'Fund History'!$J$458:$J$462,"&lt;="&amp;DATE(YEAR_Y-1,12,31)),""))))</f>
        <v/>
      </c>
      <c r="U87" s="73">
        <f>IF($C87="","",IF(ISNUMBER(HSI!$I$82),HSI!$I$82/100,""))</f>
        <v/>
      </c>
      <c r="V87" s="74">
        <f>IF($C87="","",IF(ISNUMBER(HSI!$X$82),IFERROR($M87*HSI!$G$82/HSI!$X$82,""),""))</f>
        <v/>
      </c>
      <c r="W87" s="73">
        <f>IF($C87="","",IF(ISNUMBER($N87),IFERROR($N87*HSI!$G$82/HSI!$X$82,""),""))</f>
        <v/>
      </c>
      <c r="X87" s="75">
        <f>IF($C87="","",IF(PULL_FUND="N","",IFERROR(BDP($C87,EPS_FIELD,YR_OVERRIDE,TEXT(YEAR_Y-5,"0")),"")))</f>
        <v/>
      </c>
      <c r="Y87" s="76">
        <f>IF($C87="","",IF(PULL_FUND="N","",IFERROR(BDP($C87,EPS_FIELD,YR_OVERRIDE,TEXT(YEAR_Y-4,"0")),"")))</f>
        <v/>
      </c>
      <c r="Z87" s="76">
        <f>IF($C87="","",IF(PULL_FUND="N","",IFERROR(BDP($C87,EPS_FIELD,YR_OVERRIDE,TEXT(YEAR_Y-3,"0")),"")))</f>
        <v/>
      </c>
      <c r="AA87" s="76">
        <f>IF($C87="","",IF(PULL_FUND="N","",IFERROR(BDP($C87,EPS_FIELD,YR_OVERRIDE,TEXT(YEAR_Y-2,"0")),"")))</f>
        <v/>
      </c>
      <c r="AB87" s="76">
        <f>IF($C87="","",IF(PULL_FUND="N","",IFERROR(BDP($C87,EPS_FIELD,YR_OVERRIDE,TEXT(YEAR_Y-1,"0")),"")))</f>
        <v/>
      </c>
      <c r="AC87" s="50">
        <f>IF($C87="","",IFERROR(AVERAGE(X87:AB87),""))</f>
        <v/>
      </c>
      <c r="AD87" s="76">
        <f>IF($C87="","",IF(PULL_FUND="N","",IFERROR(BDP($C87,BESTEPS_FIELD,FWD_OVERRIDE,TEXT(MOD(YEAR_Y,100),"00")&amp;"Y"),"")))</f>
        <v/>
      </c>
      <c r="AE87" s="77">
        <f>IF($C87="","",IF(PULL_FUND="N","",IFERROR(BDP($C87,PAYOUT_FIELD,YR_OVERRIDE,TEXT(YEAR_Y-5,"0"))/100,"")))</f>
        <v/>
      </c>
      <c r="AF87" s="78">
        <f>IF($C87="","",IF(PULL_FUND="N","",IFERROR(BDP($C87,PAYOUT_FIELD,YR_OVERRIDE,TEXT(YEAR_Y-4,"0"))/100,"")))</f>
        <v/>
      </c>
      <c r="AG87" s="78">
        <f>IF($C87="","",IF(PULL_FUND="N","",IFERROR(BDP($C87,PAYOUT_FIELD,YR_OVERRIDE,TEXT(YEAR_Y-3,"0"))/100,"")))</f>
        <v/>
      </c>
      <c r="AH87" s="78">
        <f>IF($C87="","",IF(PULL_FUND="N","",IFERROR(BDP($C87,PAYOUT_FIELD,YR_OVERRIDE,TEXT(YEAR_Y-2,"0"))/100,"")))</f>
        <v/>
      </c>
      <c r="AI87" s="78">
        <f>IF($C87="","",IF(PULL_FUND="N","",IFERROR(BDP($C87,PAYOUT_FIELD,YR_OVERRIDE,TEXT(YEAR_Y-1,"0"))/100,"")))</f>
        <v/>
      </c>
      <c r="AJ87" s="79">
        <f>IF($C87="","",IFERROR(AVERAGE(AE87:AI87),""))</f>
        <v/>
      </c>
      <c r="AK87" s="80">
        <f>IF($C87="","",IF(ISNUMBER($AD87)*ISNUMBER($N87)*($AD87&lt;&gt;0)=0,"",$N87/$AD87))</f>
        <v/>
      </c>
      <c r="AL87" s="79">
        <f>IF($C87="","",IF(ISNUMBER($AD87)*($AD87&lt;&gt;0)=0,"",$M87/$AD87))</f>
        <v/>
      </c>
      <c r="AM87" s="37">
        <f>IF($C87="","",IF(ISNUMBER($AE87)*ISNUMBER($AI87)=0,"",IF($AI87&gt;$AE87+0.05,"rising",IF($AI87&lt;$AE87-0.05,"falling","stable"))))</f>
        <v/>
      </c>
      <c r="AN87" s="81">
        <f>IF($C87="","",IF(PULL_FUND="N","",IF(COUNTIFS('Fund History'!$G$458:$G$462,"&gt;="&amp;DATE(YEAR_Y-4,1,1),'Fund History'!$G$458:$G$462,"&lt;="&amp;DATE(YEAR_Y-4,12,31))=0,"",SUMIFS('Fund History'!$H$458:$H$462,'Fund History'!$G$458:$G$462,"&gt;="&amp;DATE(YEAR_Y-4,1,1),'Fund History'!$G$458:$G$462,"&lt;="&amp;DATE(YEAR_Y-4,12,31))/100)))</f>
        <v/>
      </c>
      <c r="AO87" s="82">
        <f>IF($C87="","",IF(PULL_FUND="N","",IF(COUNTIFS('Fund History'!$G$458:$G$462,"&gt;="&amp;DATE(YEAR_Y-3,1,1),'Fund History'!$G$458:$G$462,"&lt;="&amp;DATE(YEAR_Y-3,12,31))=0,"",SUMIFS('Fund History'!$H$458:$H$462,'Fund History'!$G$458:$G$462,"&gt;="&amp;DATE(YEAR_Y-3,1,1),'Fund History'!$G$458:$G$462,"&lt;="&amp;DATE(YEAR_Y-3,12,31))/100)))</f>
        <v/>
      </c>
      <c r="AP87" s="82">
        <f>IF($C87="","",IF(PULL_FUND="N","",IF(COUNTIFS('Fund History'!$G$458:$G$462,"&gt;="&amp;DATE(YEAR_Y-2,1,1),'Fund History'!$G$458:$G$462,"&lt;="&amp;DATE(YEAR_Y-2,12,31))=0,"",SUMIFS('Fund History'!$H$458:$H$462,'Fund History'!$G$458:$G$462,"&gt;="&amp;DATE(YEAR_Y-2,1,1),'Fund History'!$G$458:$G$462,"&lt;="&amp;DATE(YEAR_Y-2,12,31))/100)))</f>
        <v/>
      </c>
      <c r="AQ87" s="82">
        <f>IF($C87="","",IF(PULL_FUND="N","",IF(COUNTIFS('Fund History'!$G$458:$G$462,"&gt;="&amp;DATE(YEAR_Y-1,1,1),'Fund History'!$G$458:$G$462,"&lt;="&amp;DATE(YEAR_Y-1,12,31))=0,"",SUMIFS('Fund History'!$H$458:$H$462,'Fund History'!$G$458:$G$462,"&gt;="&amp;DATE(YEAR_Y-1,1,1),'Fund History'!$G$458:$G$462,"&lt;="&amp;DATE(YEAR_Y-1,12,31))/100)))</f>
        <v/>
      </c>
      <c r="AR87" s="83">
        <f>IF($C87="","",IF(N($AQ87)+N(HSI!$I$82)=0,"",N($AQ87)+N(HSI!$I$82)/100))</f>
        <v/>
      </c>
      <c r="AS87" s="75">
        <f>IF($C87="","",IF(PULL_FUND="N","",IF(COUNTIFS('Fund History'!$D$458:$D$462,"&gt;="&amp;DATE(YEAR_Y-2,1,1),'Fund History'!$D$458:$D$462,"&lt;="&amp;DATE(YEAR_Y-2,12,31))=0,"",SUMIFS('Fund History'!$E$458:$E$462,'Fund History'!$D$458:$D$462,"&gt;="&amp;DATE(YEAR_Y-2,1,1),'Fund History'!$D$458:$D$462,"&lt;="&amp;DATE(YEAR_Y-2,12,31)))))</f>
        <v/>
      </c>
      <c r="AT87" s="76">
        <f>IF($C87="","",IF(PULL_FUND="N","",IF(COUNTIFS('Fund History'!$D$458:$D$462,"&gt;="&amp;DATE(YEAR_Y-1,1,1),'Fund History'!$D$458:$D$462,"&lt;="&amp;DATE(YEAR_Y-1,12,31))=0,"",SUMIFS('Fund History'!$E$458:$E$462,'Fund History'!$D$458:$D$462,"&gt;="&amp;DATE(YEAR_Y-1,1,1),'Fund History'!$D$458:$D$462,"&lt;="&amp;DATE(YEAR_Y-1,12,31)))))</f>
        <v/>
      </c>
      <c r="AU87" s="76">
        <f>IF($C87="","",IF(PULL_FUND="N","",IFERROR(BDP($C87,NDEBITDA_FIELD),"")))</f>
        <v/>
      </c>
      <c r="AV87" s="84">
        <f>IF($C87="","",IF(PULL_FUND="N","",IFERROR(BDP($C87,EBINT_FIELD),"")))</f>
        <v/>
      </c>
      <c r="AW87" s="82">
        <f>IF($C87="","",IF(PULL_FUND="N","",IFERROR(BDP($C87,FCF_FIELD)/100,"")))</f>
        <v/>
      </c>
      <c r="AX87" s="50">
        <f>IF($C87="","",IF(N($U87)=0,"",IFERROR($AW87/$U87,"")))</f>
        <v/>
      </c>
      <c r="AY87" s="85">
        <f>IF($C87="","",TRIM(IF(ISNUMBER($AJ87)*(N($AJ87)&gt;$D$4)&gt;0,"payout high  ","")&amp;IF(ISNUMBER($AX87)*(N($AX87)&lt;$F$4)&gt;0,"FCF below dvd  ","")&amp;IF(ISNUMBER($AU87)*(N($AU87)&gt;$H$4)&gt;0,"leverage high","")))</f>
        <v/>
      </c>
      <c r="AZ87" s="86">
        <f>IF($C87="","",IF(HSI!$F$82="HKD","",HSI!$F$82))</f>
        <v/>
      </c>
    </row>
    <row r="88">
      <c r="B88" s="66" t="inlineStr">
        <is>
          <t>HSI</t>
        </is>
      </c>
      <c r="C88" s="8">
        <f>IF(HSI!$C$83="","",HSI!$C$83)</f>
        <v/>
      </c>
      <c r="D88" s="8">
        <f>IF($C88="","",HSI!$D$83)</f>
        <v/>
      </c>
      <c r="E88" s="8">
        <f>IF($C88="","",HSI!$E$83)</f>
        <v/>
      </c>
      <c r="F88" s="67">
        <f>IF($C88="","",SUMPRODUCT(('Dvd Calendar'!$E$847:$AR$847&gt;=DATE(YEAR_Y-5,1,1))*('Dvd Calendar'!$E$847:$AR$847&lt;=DATE(YEAR_Y-5,12,31))*'Dvd Calendar'!$E$850:$AR$850*(('Dvd Calendar'!$E$852:$AR$852=TYPE1)*(TYPE1&lt;&gt;"")+('Dvd Calendar'!$E$852:$AR$852=TYPE2)*(TYPE2&lt;&gt;"")+('Dvd Calendar'!$E$852:$AR$852=TYPE3)*(TYPE3&lt;&gt;"")+('Dvd Calendar'!$E$852:$AR$852=TYPE4)*(TYPE4&lt;&gt;"")+('Dvd Calendar'!$E$852:$AR$852=SPECIAL_LBL)*(INC_SPECIALS="Y"))))</f>
        <v/>
      </c>
      <c r="G88" s="68">
        <f>IF($C88="","",SUMPRODUCT(('Dvd Calendar'!$E$847:$AR$847&gt;=DATE(YEAR_Y-4,1,1))*('Dvd Calendar'!$E$847:$AR$847&lt;=DATE(YEAR_Y-4,12,31))*'Dvd Calendar'!$E$850:$AR$850*(('Dvd Calendar'!$E$852:$AR$852=TYPE1)*(TYPE1&lt;&gt;"")+('Dvd Calendar'!$E$852:$AR$852=TYPE2)*(TYPE2&lt;&gt;"")+('Dvd Calendar'!$E$852:$AR$852=TYPE3)*(TYPE3&lt;&gt;"")+('Dvd Calendar'!$E$852:$AR$852=TYPE4)*(TYPE4&lt;&gt;"")+('Dvd Calendar'!$E$852:$AR$852=SPECIAL_LBL)*(INC_SPECIALS="Y"))))</f>
        <v/>
      </c>
      <c r="H88" s="68">
        <f>IF($C88="","",SUMPRODUCT(('Dvd Calendar'!$E$847:$AR$847&gt;=DATE(YEAR_Y-3,1,1))*('Dvd Calendar'!$E$847:$AR$847&lt;=DATE(YEAR_Y-3,12,31))*'Dvd Calendar'!$E$850:$AR$850*(('Dvd Calendar'!$E$852:$AR$852=TYPE1)*(TYPE1&lt;&gt;"")+('Dvd Calendar'!$E$852:$AR$852=TYPE2)*(TYPE2&lt;&gt;"")+('Dvd Calendar'!$E$852:$AR$852=TYPE3)*(TYPE3&lt;&gt;"")+('Dvd Calendar'!$E$852:$AR$852=TYPE4)*(TYPE4&lt;&gt;"")+('Dvd Calendar'!$E$852:$AR$852=SPECIAL_LBL)*(INC_SPECIALS="Y"))))</f>
        <v/>
      </c>
      <c r="I88" s="68">
        <f>IF($C88="","",SUMPRODUCT(('Dvd Calendar'!$E$847:$AR$847&gt;=DATE(YEAR_Y-2,1,1))*('Dvd Calendar'!$E$847:$AR$847&lt;=DATE(YEAR_Y-2,12,31))*'Dvd Calendar'!$E$850:$AR$850*(('Dvd Calendar'!$E$852:$AR$852=TYPE1)*(TYPE1&lt;&gt;"")+('Dvd Calendar'!$E$852:$AR$852=TYPE2)*(TYPE2&lt;&gt;"")+('Dvd Calendar'!$E$852:$AR$852=TYPE3)*(TYPE3&lt;&gt;"")+('Dvd Calendar'!$E$852:$AR$852=TYPE4)*(TYPE4&lt;&gt;"")+('Dvd Calendar'!$E$852:$AR$852=SPECIAL_LBL)*(INC_SPECIALS="Y"))))</f>
        <v/>
      </c>
      <c r="J88" s="68">
        <f>IF($C88="","",SUMPRODUCT(('Dvd Calendar'!$E$847:$AR$847&gt;=DATE(YEAR_Y-1,1,1))*('Dvd Calendar'!$E$847:$AR$847&lt;=DATE(YEAR_Y-1,12,31))*'Dvd Calendar'!$E$850:$AR$850*(('Dvd Calendar'!$E$852:$AR$852=TYPE1)*(TYPE1&lt;&gt;"")+('Dvd Calendar'!$E$852:$AR$852=TYPE2)*(TYPE2&lt;&gt;"")+('Dvd Calendar'!$E$852:$AR$852=TYPE3)*(TYPE3&lt;&gt;"")+('Dvd Calendar'!$E$852:$AR$852=TYPE4)*(TYPE4&lt;&gt;"")+('Dvd Calendar'!$E$852:$AR$852=SPECIAL_LBL)*(INC_SPECIALS="Y"))))</f>
        <v/>
      </c>
      <c r="K88" s="69">
        <f>IF($C88="","",HSI!$J$83)</f>
        <v/>
      </c>
      <c r="L88" s="69">
        <f>IF($C88="","",HSI!$K$83)</f>
        <v/>
      </c>
      <c r="M88" s="44">
        <f>IF($C88="","",HSI!$J$83+HSI!$L$83)</f>
        <v/>
      </c>
      <c r="N88" s="70">
        <f>IF($C88="","",IF(PULL_FUND="N","",IFERROR(BDP($C88,BESTDPS_FIELD,FWD_OVERRIDE,TEXT(MOD(YEAR_Y,100),"00")&amp;"Y"),"")))</f>
        <v/>
      </c>
      <c r="O88" s="69">
        <f>IF($C88="","",AVERAGE(F88:J88))</f>
        <v/>
      </c>
      <c r="P88" s="71">
        <f>IF($C88="","",IF(PULL_FUND="N","",IF(COUNTIFS('Fund History'!$J$464:$J$468,"&gt;="&amp;DATE(YEAR_Y-5,1,1),'Fund History'!$J$464:$J$468,"&lt;="&amp;DATE(YEAR_Y-5,12,31))=0,"",IFERROR($F88*HSI!$G$83/SUMIFS('Fund History'!$K$464:$K$468,'Fund History'!$J$464:$J$468,"&gt;="&amp;DATE(YEAR_Y-5,1,1),'Fund History'!$J$464:$J$468,"&lt;="&amp;DATE(YEAR_Y-5,12,31)),""))))</f>
        <v/>
      </c>
      <c r="Q88" s="72">
        <f>IF($C88="","",IF(PULL_FUND="N","",IF(COUNTIFS('Fund History'!$J$464:$J$468,"&gt;="&amp;DATE(YEAR_Y-4,1,1),'Fund History'!$J$464:$J$468,"&lt;="&amp;DATE(YEAR_Y-4,12,31))=0,"",IFERROR($G88*HSI!$G$83/SUMIFS('Fund History'!$K$464:$K$468,'Fund History'!$J$464:$J$468,"&gt;="&amp;DATE(YEAR_Y-4,1,1),'Fund History'!$J$464:$J$468,"&lt;="&amp;DATE(YEAR_Y-4,12,31)),""))))</f>
        <v/>
      </c>
      <c r="R88" s="72">
        <f>IF($C88="","",IF(PULL_FUND="N","",IF(COUNTIFS('Fund History'!$J$464:$J$468,"&gt;="&amp;DATE(YEAR_Y-3,1,1),'Fund History'!$J$464:$J$468,"&lt;="&amp;DATE(YEAR_Y-3,12,31))=0,"",IFERROR($H88*HSI!$G$83/SUMIFS('Fund History'!$K$464:$K$468,'Fund History'!$J$464:$J$468,"&gt;="&amp;DATE(YEAR_Y-3,1,1),'Fund History'!$J$464:$J$468,"&lt;="&amp;DATE(YEAR_Y-3,12,31)),""))))</f>
        <v/>
      </c>
      <c r="S88" s="72">
        <f>IF($C88="","",IF(PULL_FUND="N","",IF(COUNTIFS('Fund History'!$J$464:$J$468,"&gt;="&amp;DATE(YEAR_Y-2,1,1),'Fund History'!$J$464:$J$468,"&lt;="&amp;DATE(YEAR_Y-2,12,31))=0,"",IFERROR($I88*HSI!$G$83/SUMIFS('Fund History'!$K$464:$K$468,'Fund History'!$J$464:$J$468,"&gt;="&amp;DATE(YEAR_Y-2,1,1),'Fund History'!$J$464:$J$468,"&lt;="&amp;DATE(YEAR_Y-2,12,31)),""))))</f>
        <v/>
      </c>
      <c r="T88" s="72">
        <f>IF($C88="","",IF(PULL_FUND="N","",IF(COUNTIFS('Fund History'!$J$464:$J$468,"&gt;="&amp;DATE(YEAR_Y-1,1,1),'Fund History'!$J$464:$J$468,"&lt;="&amp;DATE(YEAR_Y-1,12,31))=0,"",IFERROR($J88*HSI!$G$83/SUMIFS('Fund History'!$K$464:$K$468,'Fund History'!$J$464:$J$468,"&gt;="&amp;DATE(YEAR_Y-1,1,1),'Fund History'!$J$464:$J$468,"&lt;="&amp;DATE(YEAR_Y-1,12,31)),""))))</f>
        <v/>
      </c>
      <c r="U88" s="73">
        <f>IF($C88="","",IF(ISNUMBER(HSI!$I$83),HSI!$I$83/100,""))</f>
        <v/>
      </c>
      <c r="V88" s="74">
        <f>IF($C88="","",IF(ISNUMBER(HSI!$X$83),IFERROR($M88*HSI!$G$83/HSI!$X$83,""),""))</f>
        <v/>
      </c>
      <c r="W88" s="73">
        <f>IF($C88="","",IF(ISNUMBER($N88),IFERROR($N88*HSI!$G$83/HSI!$X$83,""),""))</f>
        <v/>
      </c>
      <c r="X88" s="75">
        <f>IF($C88="","",IF(PULL_FUND="N","",IFERROR(BDP($C88,EPS_FIELD,YR_OVERRIDE,TEXT(YEAR_Y-5,"0")),"")))</f>
        <v/>
      </c>
      <c r="Y88" s="76">
        <f>IF($C88="","",IF(PULL_FUND="N","",IFERROR(BDP($C88,EPS_FIELD,YR_OVERRIDE,TEXT(YEAR_Y-4,"0")),"")))</f>
        <v/>
      </c>
      <c r="Z88" s="76">
        <f>IF($C88="","",IF(PULL_FUND="N","",IFERROR(BDP($C88,EPS_FIELD,YR_OVERRIDE,TEXT(YEAR_Y-3,"0")),"")))</f>
        <v/>
      </c>
      <c r="AA88" s="76">
        <f>IF($C88="","",IF(PULL_FUND="N","",IFERROR(BDP($C88,EPS_FIELD,YR_OVERRIDE,TEXT(YEAR_Y-2,"0")),"")))</f>
        <v/>
      </c>
      <c r="AB88" s="76">
        <f>IF($C88="","",IF(PULL_FUND="N","",IFERROR(BDP($C88,EPS_FIELD,YR_OVERRIDE,TEXT(YEAR_Y-1,"0")),"")))</f>
        <v/>
      </c>
      <c r="AC88" s="50">
        <f>IF($C88="","",IFERROR(AVERAGE(X88:AB88),""))</f>
        <v/>
      </c>
      <c r="AD88" s="76">
        <f>IF($C88="","",IF(PULL_FUND="N","",IFERROR(BDP($C88,BESTEPS_FIELD,FWD_OVERRIDE,TEXT(MOD(YEAR_Y,100),"00")&amp;"Y"),"")))</f>
        <v/>
      </c>
      <c r="AE88" s="77">
        <f>IF($C88="","",IF(PULL_FUND="N","",IFERROR(BDP($C88,PAYOUT_FIELD,YR_OVERRIDE,TEXT(YEAR_Y-5,"0"))/100,"")))</f>
        <v/>
      </c>
      <c r="AF88" s="78">
        <f>IF($C88="","",IF(PULL_FUND="N","",IFERROR(BDP($C88,PAYOUT_FIELD,YR_OVERRIDE,TEXT(YEAR_Y-4,"0"))/100,"")))</f>
        <v/>
      </c>
      <c r="AG88" s="78">
        <f>IF($C88="","",IF(PULL_FUND="N","",IFERROR(BDP($C88,PAYOUT_FIELD,YR_OVERRIDE,TEXT(YEAR_Y-3,"0"))/100,"")))</f>
        <v/>
      </c>
      <c r="AH88" s="78">
        <f>IF($C88="","",IF(PULL_FUND="N","",IFERROR(BDP($C88,PAYOUT_FIELD,YR_OVERRIDE,TEXT(YEAR_Y-2,"0"))/100,"")))</f>
        <v/>
      </c>
      <c r="AI88" s="78">
        <f>IF($C88="","",IF(PULL_FUND="N","",IFERROR(BDP($C88,PAYOUT_FIELD,YR_OVERRIDE,TEXT(YEAR_Y-1,"0"))/100,"")))</f>
        <v/>
      </c>
      <c r="AJ88" s="79">
        <f>IF($C88="","",IFERROR(AVERAGE(AE88:AI88),""))</f>
        <v/>
      </c>
      <c r="AK88" s="80">
        <f>IF($C88="","",IF(ISNUMBER($AD88)*ISNUMBER($N88)*($AD88&lt;&gt;0)=0,"",$N88/$AD88))</f>
        <v/>
      </c>
      <c r="AL88" s="79">
        <f>IF($C88="","",IF(ISNUMBER($AD88)*($AD88&lt;&gt;0)=0,"",$M88/$AD88))</f>
        <v/>
      </c>
      <c r="AM88" s="37">
        <f>IF($C88="","",IF(ISNUMBER($AE88)*ISNUMBER($AI88)=0,"",IF($AI88&gt;$AE88+0.05,"rising",IF($AI88&lt;$AE88-0.05,"falling","stable"))))</f>
        <v/>
      </c>
      <c r="AN88" s="81">
        <f>IF($C88="","",IF(PULL_FUND="N","",IF(COUNTIFS('Fund History'!$G$464:$G$468,"&gt;="&amp;DATE(YEAR_Y-4,1,1),'Fund History'!$G$464:$G$468,"&lt;="&amp;DATE(YEAR_Y-4,12,31))=0,"",SUMIFS('Fund History'!$H$464:$H$468,'Fund History'!$G$464:$G$468,"&gt;="&amp;DATE(YEAR_Y-4,1,1),'Fund History'!$G$464:$G$468,"&lt;="&amp;DATE(YEAR_Y-4,12,31))/100)))</f>
        <v/>
      </c>
      <c r="AO88" s="82">
        <f>IF($C88="","",IF(PULL_FUND="N","",IF(COUNTIFS('Fund History'!$G$464:$G$468,"&gt;="&amp;DATE(YEAR_Y-3,1,1),'Fund History'!$G$464:$G$468,"&lt;="&amp;DATE(YEAR_Y-3,12,31))=0,"",SUMIFS('Fund History'!$H$464:$H$468,'Fund History'!$G$464:$G$468,"&gt;="&amp;DATE(YEAR_Y-3,1,1),'Fund History'!$G$464:$G$468,"&lt;="&amp;DATE(YEAR_Y-3,12,31))/100)))</f>
        <v/>
      </c>
      <c r="AP88" s="82">
        <f>IF($C88="","",IF(PULL_FUND="N","",IF(COUNTIFS('Fund History'!$G$464:$G$468,"&gt;="&amp;DATE(YEAR_Y-2,1,1),'Fund History'!$G$464:$G$468,"&lt;="&amp;DATE(YEAR_Y-2,12,31))=0,"",SUMIFS('Fund History'!$H$464:$H$468,'Fund History'!$G$464:$G$468,"&gt;="&amp;DATE(YEAR_Y-2,1,1),'Fund History'!$G$464:$G$468,"&lt;="&amp;DATE(YEAR_Y-2,12,31))/100)))</f>
        <v/>
      </c>
      <c r="AQ88" s="82">
        <f>IF($C88="","",IF(PULL_FUND="N","",IF(COUNTIFS('Fund History'!$G$464:$G$468,"&gt;="&amp;DATE(YEAR_Y-1,1,1),'Fund History'!$G$464:$G$468,"&lt;="&amp;DATE(YEAR_Y-1,12,31))=0,"",SUMIFS('Fund History'!$H$464:$H$468,'Fund History'!$G$464:$G$468,"&gt;="&amp;DATE(YEAR_Y-1,1,1),'Fund History'!$G$464:$G$468,"&lt;="&amp;DATE(YEAR_Y-1,12,31))/100)))</f>
        <v/>
      </c>
      <c r="AR88" s="83">
        <f>IF($C88="","",IF(N($AQ88)+N(HSI!$I$83)=0,"",N($AQ88)+N(HSI!$I$83)/100))</f>
        <v/>
      </c>
      <c r="AS88" s="75">
        <f>IF($C88="","",IF(PULL_FUND="N","",IF(COUNTIFS('Fund History'!$D$464:$D$468,"&gt;="&amp;DATE(YEAR_Y-2,1,1),'Fund History'!$D$464:$D$468,"&lt;="&amp;DATE(YEAR_Y-2,12,31))=0,"",SUMIFS('Fund History'!$E$464:$E$468,'Fund History'!$D$464:$D$468,"&gt;="&amp;DATE(YEAR_Y-2,1,1),'Fund History'!$D$464:$D$468,"&lt;="&amp;DATE(YEAR_Y-2,12,31)))))</f>
        <v/>
      </c>
      <c r="AT88" s="76">
        <f>IF($C88="","",IF(PULL_FUND="N","",IF(COUNTIFS('Fund History'!$D$464:$D$468,"&gt;="&amp;DATE(YEAR_Y-1,1,1),'Fund History'!$D$464:$D$468,"&lt;="&amp;DATE(YEAR_Y-1,12,31))=0,"",SUMIFS('Fund History'!$E$464:$E$468,'Fund History'!$D$464:$D$468,"&gt;="&amp;DATE(YEAR_Y-1,1,1),'Fund History'!$D$464:$D$468,"&lt;="&amp;DATE(YEAR_Y-1,12,31)))))</f>
        <v/>
      </c>
      <c r="AU88" s="76">
        <f>IF($C88="","",IF(PULL_FUND="N","",IFERROR(BDP($C88,NDEBITDA_FIELD),"")))</f>
        <v/>
      </c>
      <c r="AV88" s="84">
        <f>IF($C88="","",IF(PULL_FUND="N","",IFERROR(BDP($C88,EBINT_FIELD),"")))</f>
        <v/>
      </c>
      <c r="AW88" s="82">
        <f>IF($C88="","",IF(PULL_FUND="N","",IFERROR(BDP($C88,FCF_FIELD)/100,"")))</f>
        <v/>
      </c>
      <c r="AX88" s="50">
        <f>IF($C88="","",IF(N($U88)=0,"",IFERROR($AW88/$U88,"")))</f>
        <v/>
      </c>
      <c r="AY88" s="85">
        <f>IF($C88="","",TRIM(IF(ISNUMBER($AJ88)*(N($AJ88)&gt;$D$4)&gt;0,"payout high  ","")&amp;IF(ISNUMBER($AX88)*(N($AX88)&lt;$F$4)&gt;0,"FCF below dvd  ","")&amp;IF(ISNUMBER($AU88)*(N($AU88)&gt;$H$4)&gt;0,"leverage high","")))</f>
        <v/>
      </c>
      <c r="AZ88" s="86">
        <f>IF($C88="","",IF(HSI!$F$83="HKD","",HSI!$F$83))</f>
        <v/>
      </c>
    </row>
    <row r="89">
      <c r="B89" s="66" t="inlineStr">
        <is>
          <t>HSI</t>
        </is>
      </c>
      <c r="C89" s="8">
        <f>IF(HSI!$C$84="","",HSI!$C$84)</f>
        <v/>
      </c>
      <c r="D89" s="8">
        <f>IF($C89="","",HSI!$D$84)</f>
        <v/>
      </c>
      <c r="E89" s="8">
        <f>IF($C89="","",HSI!$E$84)</f>
        <v/>
      </c>
      <c r="F89" s="67">
        <f>IF($C89="","",SUMPRODUCT(('Dvd Calendar'!$E$858:$AR$858&gt;=DATE(YEAR_Y-5,1,1))*('Dvd Calendar'!$E$858:$AR$858&lt;=DATE(YEAR_Y-5,12,31))*'Dvd Calendar'!$E$861:$AR$861*(('Dvd Calendar'!$E$863:$AR$863=TYPE1)*(TYPE1&lt;&gt;"")+('Dvd Calendar'!$E$863:$AR$863=TYPE2)*(TYPE2&lt;&gt;"")+('Dvd Calendar'!$E$863:$AR$863=TYPE3)*(TYPE3&lt;&gt;"")+('Dvd Calendar'!$E$863:$AR$863=TYPE4)*(TYPE4&lt;&gt;"")+('Dvd Calendar'!$E$863:$AR$863=SPECIAL_LBL)*(INC_SPECIALS="Y"))))</f>
        <v/>
      </c>
      <c r="G89" s="68">
        <f>IF($C89="","",SUMPRODUCT(('Dvd Calendar'!$E$858:$AR$858&gt;=DATE(YEAR_Y-4,1,1))*('Dvd Calendar'!$E$858:$AR$858&lt;=DATE(YEAR_Y-4,12,31))*'Dvd Calendar'!$E$861:$AR$861*(('Dvd Calendar'!$E$863:$AR$863=TYPE1)*(TYPE1&lt;&gt;"")+('Dvd Calendar'!$E$863:$AR$863=TYPE2)*(TYPE2&lt;&gt;"")+('Dvd Calendar'!$E$863:$AR$863=TYPE3)*(TYPE3&lt;&gt;"")+('Dvd Calendar'!$E$863:$AR$863=TYPE4)*(TYPE4&lt;&gt;"")+('Dvd Calendar'!$E$863:$AR$863=SPECIAL_LBL)*(INC_SPECIALS="Y"))))</f>
        <v/>
      </c>
      <c r="H89" s="68">
        <f>IF($C89="","",SUMPRODUCT(('Dvd Calendar'!$E$858:$AR$858&gt;=DATE(YEAR_Y-3,1,1))*('Dvd Calendar'!$E$858:$AR$858&lt;=DATE(YEAR_Y-3,12,31))*'Dvd Calendar'!$E$861:$AR$861*(('Dvd Calendar'!$E$863:$AR$863=TYPE1)*(TYPE1&lt;&gt;"")+('Dvd Calendar'!$E$863:$AR$863=TYPE2)*(TYPE2&lt;&gt;"")+('Dvd Calendar'!$E$863:$AR$863=TYPE3)*(TYPE3&lt;&gt;"")+('Dvd Calendar'!$E$863:$AR$863=TYPE4)*(TYPE4&lt;&gt;"")+('Dvd Calendar'!$E$863:$AR$863=SPECIAL_LBL)*(INC_SPECIALS="Y"))))</f>
        <v/>
      </c>
      <c r="I89" s="68">
        <f>IF($C89="","",SUMPRODUCT(('Dvd Calendar'!$E$858:$AR$858&gt;=DATE(YEAR_Y-2,1,1))*('Dvd Calendar'!$E$858:$AR$858&lt;=DATE(YEAR_Y-2,12,31))*'Dvd Calendar'!$E$861:$AR$861*(('Dvd Calendar'!$E$863:$AR$863=TYPE1)*(TYPE1&lt;&gt;"")+('Dvd Calendar'!$E$863:$AR$863=TYPE2)*(TYPE2&lt;&gt;"")+('Dvd Calendar'!$E$863:$AR$863=TYPE3)*(TYPE3&lt;&gt;"")+('Dvd Calendar'!$E$863:$AR$863=TYPE4)*(TYPE4&lt;&gt;"")+('Dvd Calendar'!$E$863:$AR$863=SPECIAL_LBL)*(INC_SPECIALS="Y"))))</f>
        <v/>
      </c>
      <c r="J89" s="68">
        <f>IF($C89="","",SUMPRODUCT(('Dvd Calendar'!$E$858:$AR$858&gt;=DATE(YEAR_Y-1,1,1))*('Dvd Calendar'!$E$858:$AR$858&lt;=DATE(YEAR_Y-1,12,31))*'Dvd Calendar'!$E$861:$AR$861*(('Dvd Calendar'!$E$863:$AR$863=TYPE1)*(TYPE1&lt;&gt;"")+('Dvd Calendar'!$E$863:$AR$863=TYPE2)*(TYPE2&lt;&gt;"")+('Dvd Calendar'!$E$863:$AR$863=TYPE3)*(TYPE3&lt;&gt;"")+('Dvd Calendar'!$E$863:$AR$863=TYPE4)*(TYPE4&lt;&gt;"")+('Dvd Calendar'!$E$863:$AR$863=SPECIAL_LBL)*(INC_SPECIALS="Y"))))</f>
        <v/>
      </c>
      <c r="K89" s="69">
        <f>IF($C89="","",HSI!$J$84)</f>
        <v/>
      </c>
      <c r="L89" s="69">
        <f>IF($C89="","",HSI!$K$84)</f>
        <v/>
      </c>
      <c r="M89" s="44">
        <f>IF($C89="","",HSI!$J$84+HSI!$L$84)</f>
        <v/>
      </c>
      <c r="N89" s="70">
        <f>IF($C89="","",IF(PULL_FUND="N","",IFERROR(BDP($C89,BESTDPS_FIELD,FWD_OVERRIDE,TEXT(MOD(YEAR_Y,100),"00")&amp;"Y"),"")))</f>
        <v/>
      </c>
      <c r="O89" s="69">
        <f>IF($C89="","",AVERAGE(F89:J89))</f>
        <v/>
      </c>
      <c r="P89" s="71">
        <f>IF($C89="","",IF(PULL_FUND="N","",IF(COUNTIFS('Fund History'!$J$470:$J$474,"&gt;="&amp;DATE(YEAR_Y-5,1,1),'Fund History'!$J$470:$J$474,"&lt;="&amp;DATE(YEAR_Y-5,12,31))=0,"",IFERROR($F89*HSI!$G$84/SUMIFS('Fund History'!$K$470:$K$474,'Fund History'!$J$470:$J$474,"&gt;="&amp;DATE(YEAR_Y-5,1,1),'Fund History'!$J$470:$J$474,"&lt;="&amp;DATE(YEAR_Y-5,12,31)),""))))</f>
        <v/>
      </c>
      <c r="Q89" s="72">
        <f>IF($C89="","",IF(PULL_FUND="N","",IF(COUNTIFS('Fund History'!$J$470:$J$474,"&gt;="&amp;DATE(YEAR_Y-4,1,1),'Fund History'!$J$470:$J$474,"&lt;="&amp;DATE(YEAR_Y-4,12,31))=0,"",IFERROR($G89*HSI!$G$84/SUMIFS('Fund History'!$K$470:$K$474,'Fund History'!$J$470:$J$474,"&gt;="&amp;DATE(YEAR_Y-4,1,1),'Fund History'!$J$470:$J$474,"&lt;="&amp;DATE(YEAR_Y-4,12,31)),""))))</f>
        <v/>
      </c>
      <c r="R89" s="72">
        <f>IF($C89="","",IF(PULL_FUND="N","",IF(COUNTIFS('Fund History'!$J$470:$J$474,"&gt;="&amp;DATE(YEAR_Y-3,1,1),'Fund History'!$J$470:$J$474,"&lt;="&amp;DATE(YEAR_Y-3,12,31))=0,"",IFERROR($H89*HSI!$G$84/SUMIFS('Fund History'!$K$470:$K$474,'Fund History'!$J$470:$J$474,"&gt;="&amp;DATE(YEAR_Y-3,1,1),'Fund History'!$J$470:$J$474,"&lt;="&amp;DATE(YEAR_Y-3,12,31)),""))))</f>
        <v/>
      </c>
      <c r="S89" s="72">
        <f>IF($C89="","",IF(PULL_FUND="N","",IF(COUNTIFS('Fund History'!$J$470:$J$474,"&gt;="&amp;DATE(YEAR_Y-2,1,1),'Fund History'!$J$470:$J$474,"&lt;="&amp;DATE(YEAR_Y-2,12,31))=0,"",IFERROR($I89*HSI!$G$84/SUMIFS('Fund History'!$K$470:$K$474,'Fund History'!$J$470:$J$474,"&gt;="&amp;DATE(YEAR_Y-2,1,1),'Fund History'!$J$470:$J$474,"&lt;="&amp;DATE(YEAR_Y-2,12,31)),""))))</f>
        <v/>
      </c>
      <c r="T89" s="72">
        <f>IF($C89="","",IF(PULL_FUND="N","",IF(COUNTIFS('Fund History'!$J$470:$J$474,"&gt;="&amp;DATE(YEAR_Y-1,1,1),'Fund History'!$J$470:$J$474,"&lt;="&amp;DATE(YEAR_Y-1,12,31))=0,"",IFERROR($J89*HSI!$G$84/SUMIFS('Fund History'!$K$470:$K$474,'Fund History'!$J$470:$J$474,"&gt;="&amp;DATE(YEAR_Y-1,1,1),'Fund History'!$J$470:$J$474,"&lt;="&amp;DATE(YEAR_Y-1,12,31)),""))))</f>
        <v/>
      </c>
      <c r="U89" s="73">
        <f>IF($C89="","",IF(ISNUMBER(HSI!$I$84),HSI!$I$84/100,""))</f>
        <v/>
      </c>
      <c r="V89" s="74">
        <f>IF($C89="","",IF(ISNUMBER(HSI!$X$84),IFERROR($M89*HSI!$G$84/HSI!$X$84,""),""))</f>
        <v/>
      </c>
      <c r="W89" s="73">
        <f>IF($C89="","",IF(ISNUMBER($N89),IFERROR($N89*HSI!$G$84/HSI!$X$84,""),""))</f>
        <v/>
      </c>
      <c r="X89" s="75">
        <f>IF($C89="","",IF(PULL_FUND="N","",IFERROR(BDP($C89,EPS_FIELD,YR_OVERRIDE,TEXT(YEAR_Y-5,"0")),"")))</f>
        <v/>
      </c>
      <c r="Y89" s="76">
        <f>IF($C89="","",IF(PULL_FUND="N","",IFERROR(BDP($C89,EPS_FIELD,YR_OVERRIDE,TEXT(YEAR_Y-4,"0")),"")))</f>
        <v/>
      </c>
      <c r="Z89" s="76">
        <f>IF($C89="","",IF(PULL_FUND="N","",IFERROR(BDP($C89,EPS_FIELD,YR_OVERRIDE,TEXT(YEAR_Y-3,"0")),"")))</f>
        <v/>
      </c>
      <c r="AA89" s="76">
        <f>IF($C89="","",IF(PULL_FUND="N","",IFERROR(BDP($C89,EPS_FIELD,YR_OVERRIDE,TEXT(YEAR_Y-2,"0")),"")))</f>
        <v/>
      </c>
      <c r="AB89" s="76">
        <f>IF($C89="","",IF(PULL_FUND="N","",IFERROR(BDP($C89,EPS_FIELD,YR_OVERRIDE,TEXT(YEAR_Y-1,"0")),"")))</f>
        <v/>
      </c>
      <c r="AC89" s="50">
        <f>IF($C89="","",IFERROR(AVERAGE(X89:AB89),""))</f>
        <v/>
      </c>
      <c r="AD89" s="76">
        <f>IF($C89="","",IF(PULL_FUND="N","",IFERROR(BDP($C89,BESTEPS_FIELD,FWD_OVERRIDE,TEXT(MOD(YEAR_Y,100),"00")&amp;"Y"),"")))</f>
        <v/>
      </c>
      <c r="AE89" s="77">
        <f>IF($C89="","",IF(PULL_FUND="N","",IFERROR(BDP($C89,PAYOUT_FIELD,YR_OVERRIDE,TEXT(YEAR_Y-5,"0"))/100,"")))</f>
        <v/>
      </c>
      <c r="AF89" s="78">
        <f>IF($C89="","",IF(PULL_FUND="N","",IFERROR(BDP($C89,PAYOUT_FIELD,YR_OVERRIDE,TEXT(YEAR_Y-4,"0"))/100,"")))</f>
        <v/>
      </c>
      <c r="AG89" s="78">
        <f>IF($C89="","",IF(PULL_FUND="N","",IFERROR(BDP($C89,PAYOUT_FIELD,YR_OVERRIDE,TEXT(YEAR_Y-3,"0"))/100,"")))</f>
        <v/>
      </c>
      <c r="AH89" s="78">
        <f>IF($C89="","",IF(PULL_FUND="N","",IFERROR(BDP($C89,PAYOUT_FIELD,YR_OVERRIDE,TEXT(YEAR_Y-2,"0"))/100,"")))</f>
        <v/>
      </c>
      <c r="AI89" s="78">
        <f>IF($C89="","",IF(PULL_FUND="N","",IFERROR(BDP($C89,PAYOUT_FIELD,YR_OVERRIDE,TEXT(YEAR_Y-1,"0"))/100,"")))</f>
        <v/>
      </c>
      <c r="AJ89" s="79">
        <f>IF($C89="","",IFERROR(AVERAGE(AE89:AI89),""))</f>
        <v/>
      </c>
      <c r="AK89" s="80">
        <f>IF($C89="","",IF(ISNUMBER($AD89)*ISNUMBER($N89)*($AD89&lt;&gt;0)=0,"",$N89/$AD89))</f>
        <v/>
      </c>
      <c r="AL89" s="79">
        <f>IF($C89="","",IF(ISNUMBER($AD89)*($AD89&lt;&gt;0)=0,"",$M89/$AD89))</f>
        <v/>
      </c>
      <c r="AM89" s="37">
        <f>IF($C89="","",IF(ISNUMBER($AE89)*ISNUMBER($AI89)=0,"",IF($AI89&gt;$AE89+0.05,"rising",IF($AI89&lt;$AE89-0.05,"falling","stable"))))</f>
        <v/>
      </c>
      <c r="AN89" s="81">
        <f>IF($C89="","",IF(PULL_FUND="N","",IF(COUNTIFS('Fund History'!$G$470:$G$474,"&gt;="&amp;DATE(YEAR_Y-4,1,1),'Fund History'!$G$470:$G$474,"&lt;="&amp;DATE(YEAR_Y-4,12,31))=0,"",SUMIFS('Fund History'!$H$470:$H$474,'Fund History'!$G$470:$G$474,"&gt;="&amp;DATE(YEAR_Y-4,1,1),'Fund History'!$G$470:$G$474,"&lt;="&amp;DATE(YEAR_Y-4,12,31))/100)))</f>
        <v/>
      </c>
      <c r="AO89" s="82">
        <f>IF($C89="","",IF(PULL_FUND="N","",IF(COUNTIFS('Fund History'!$G$470:$G$474,"&gt;="&amp;DATE(YEAR_Y-3,1,1),'Fund History'!$G$470:$G$474,"&lt;="&amp;DATE(YEAR_Y-3,12,31))=0,"",SUMIFS('Fund History'!$H$470:$H$474,'Fund History'!$G$470:$G$474,"&gt;="&amp;DATE(YEAR_Y-3,1,1),'Fund History'!$G$470:$G$474,"&lt;="&amp;DATE(YEAR_Y-3,12,31))/100)))</f>
        <v/>
      </c>
      <c r="AP89" s="82">
        <f>IF($C89="","",IF(PULL_FUND="N","",IF(COUNTIFS('Fund History'!$G$470:$G$474,"&gt;="&amp;DATE(YEAR_Y-2,1,1),'Fund History'!$G$470:$G$474,"&lt;="&amp;DATE(YEAR_Y-2,12,31))=0,"",SUMIFS('Fund History'!$H$470:$H$474,'Fund History'!$G$470:$G$474,"&gt;="&amp;DATE(YEAR_Y-2,1,1),'Fund History'!$G$470:$G$474,"&lt;="&amp;DATE(YEAR_Y-2,12,31))/100)))</f>
        <v/>
      </c>
      <c r="AQ89" s="82">
        <f>IF($C89="","",IF(PULL_FUND="N","",IF(COUNTIFS('Fund History'!$G$470:$G$474,"&gt;="&amp;DATE(YEAR_Y-1,1,1),'Fund History'!$G$470:$G$474,"&lt;="&amp;DATE(YEAR_Y-1,12,31))=0,"",SUMIFS('Fund History'!$H$470:$H$474,'Fund History'!$G$470:$G$474,"&gt;="&amp;DATE(YEAR_Y-1,1,1),'Fund History'!$G$470:$G$474,"&lt;="&amp;DATE(YEAR_Y-1,12,31))/100)))</f>
        <v/>
      </c>
      <c r="AR89" s="83">
        <f>IF($C89="","",IF(N($AQ89)+N(HSI!$I$84)=0,"",N($AQ89)+N(HSI!$I$84)/100))</f>
        <v/>
      </c>
      <c r="AS89" s="75">
        <f>IF($C89="","",IF(PULL_FUND="N","",IF(COUNTIFS('Fund History'!$D$470:$D$474,"&gt;="&amp;DATE(YEAR_Y-2,1,1),'Fund History'!$D$470:$D$474,"&lt;="&amp;DATE(YEAR_Y-2,12,31))=0,"",SUMIFS('Fund History'!$E$470:$E$474,'Fund History'!$D$470:$D$474,"&gt;="&amp;DATE(YEAR_Y-2,1,1),'Fund History'!$D$470:$D$474,"&lt;="&amp;DATE(YEAR_Y-2,12,31)))))</f>
        <v/>
      </c>
      <c r="AT89" s="76">
        <f>IF($C89="","",IF(PULL_FUND="N","",IF(COUNTIFS('Fund History'!$D$470:$D$474,"&gt;="&amp;DATE(YEAR_Y-1,1,1),'Fund History'!$D$470:$D$474,"&lt;="&amp;DATE(YEAR_Y-1,12,31))=0,"",SUMIFS('Fund History'!$E$470:$E$474,'Fund History'!$D$470:$D$474,"&gt;="&amp;DATE(YEAR_Y-1,1,1),'Fund History'!$D$470:$D$474,"&lt;="&amp;DATE(YEAR_Y-1,12,31)))))</f>
        <v/>
      </c>
      <c r="AU89" s="76">
        <f>IF($C89="","",IF(PULL_FUND="N","",IFERROR(BDP($C89,NDEBITDA_FIELD),"")))</f>
        <v/>
      </c>
      <c r="AV89" s="84">
        <f>IF($C89="","",IF(PULL_FUND="N","",IFERROR(BDP($C89,EBINT_FIELD),"")))</f>
        <v/>
      </c>
      <c r="AW89" s="82">
        <f>IF($C89="","",IF(PULL_FUND="N","",IFERROR(BDP($C89,FCF_FIELD)/100,"")))</f>
        <v/>
      </c>
      <c r="AX89" s="50">
        <f>IF($C89="","",IF(N($U89)=0,"",IFERROR($AW89/$U89,"")))</f>
        <v/>
      </c>
      <c r="AY89" s="85">
        <f>IF($C89="","",TRIM(IF(ISNUMBER($AJ89)*(N($AJ89)&gt;$D$4)&gt;0,"payout high  ","")&amp;IF(ISNUMBER($AX89)*(N($AX89)&lt;$F$4)&gt;0,"FCF below dvd  ","")&amp;IF(ISNUMBER($AU89)*(N($AU89)&gt;$H$4)&gt;0,"leverage high","")))</f>
        <v/>
      </c>
      <c r="AZ89" s="86">
        <f>IF($C89="","",IF(HSI!$F$84="HKD","",HSI!$F$84))</f>
        <v/>
      </c>
    </row>
    <row r="90">
      <c r="B90" s="66" t="inlineStr">
        <is>
          <t>HSI</t>
        </is>
      </c>
      <c r="C90" s="8">
        <f>IF(HSI!$C$85="","",HSI!$C$85)</f>
        <v/>
      </c>
      <c r="D90" s="8">
        <f>IF($C90="","",HSI!$D$85)</f>
        <v/>
      </c>
      <c r="E90" s="8">
        <f>IF($C90="","",HSI!$E$85)</f>
        <v/>
      </c>
      <c r="F90" s="67">
        <f>IF($C90="","",SUMPRODUCT(('Dvd Calendar'!$E$869:$AR$869&gt;=DATE(YEAR_Y-5,1,1))*('Dvd Calendar'!$E$869:$AR$869&lt;=DATE(YEAR_Y-5,12,31))*'Dvd Calendar'!$E$872:$AR$872*(('Dvd Calendar'!$E$874:$AR$874=TYPE1)*(TYPE1&lt;&gt;"")+('Dvd Calendar'!$E$874:$AR$874=TYPE2)*(TYPE2&lt;&gt;"")+('Dvd Calendar'!$E$874:$AR$874=TYPE3)*(TYPE3&lt;&gt;"")+('Dvd Calendar'!$E$874:$AR$874=TYPE4)*(TYPE4&lt;&gt;"")+('Dvd Calendar'!$E$874:$AR$874=SPECIAL_LBL)*(INC_SPECIALS="Y"))))</f>
        <v/>
      </c>
      <c r="G90" s="68">
        <f>IF($C90="","",SUMPRODUCT(('Dvd Calendar'!$E$869:$AR$869&gt;=DATE(YEAR_Y-4,1,1))*('Dvd Calendar'!$E$869:$AR$869&lt;=DATE(YEAR_Y-4,12,31))*'Dvd Calendar'!$E$872:$AR$872*(('Dvd Calendar'!$E$874:$AR$874=TYPE1)*(TYPE1&lt;&gt;"")+('Dvd Calendar'!$E$874:$AR$874=TYPE2)*(TYPE2&lt;&gt;"")+('Dvd Calendar'!$E$874:$AR$874=TYPE3)*(TYPE3&lt;&gt;"")+('Dvd Calendar'!$E$874:$AR$874=TYPE4)*(TYPE4&lt;&gt;"")+('Dvd Calendar'!$E$874:$AR$874=SPECIAL_LBL)*(INC_SPECIALS="Y"))))</f>
        <v/>
      </c>
      <c r="H90" s="68">
        <f>IF($C90="","",SUMPRODUCT(('Dvd Calendar'!$E$869:$AR$869&gt;=DATE(YEAR_Y-3,1,1))*('Dvd Calendar'!$E$869:$AR$869&lt;=DATE(YEAR_Y-3,12,31))*'Dvd Calendar'!$E$872:$AR$872*(('Dvd Calendar'!$E$874:$AR$874=TYPE1)*(TYPE1&lt;&gt;"")+('Dvd Calendar'!$E$874:$AR$874=TYPE2)*(TYPE2&lt;&gt;"")+('Dvd Calendar'!$E$874:$AR$874=TYPE3)*(TYPE3&lt;&gt;"")+('Dvd Calendar'!$E$874:$AR$874=TYPE4)*(TYPE4&lt;&gt;"")+('Dvd Calendar'!$E$874:$AR$874=SPECIAL_LBL)*(INC_SPECIALS="Y"))))</f>
        <v/>
      </c>
      <c r="I90" s="68">
        <f>IF($C90="","",SUMPRODUCT(('Dvd Calendar'!$E$869:$AR$869&gt;=DATE(YEAR_Y-2,1,1))*('Dvd Calendar'!$E$869:$AR$869&lt;=DATE(YEAR_Y-2,12,31))*'Dvd Calendar'!$E$872:$AR$872*(('Dvd Calendar'!$E$874:$AR$874=TYPE1)*(TYPE1&lt;&gt;"")+('Dvd Calendar'!$E$874:$AR$874=TYPE2)*(TYPE2&lt;&gt;"")+('Dvd Calendar'!$E$874:$AR$874=TYPE3)*(TYPE3&lt;&gt;"")+('Dvd Calendar'!$E$874:$AR$874=TYPE4)*(TYPE4&lt;&gt;"")+('Dvd Calendar'!$E$874:$AR$874=SPECIAL_LBL)*(INC_SPECIALS="Y"))))</f>
        <v/>
      </c>
      <c r="J90" s="68">
        <f>IF($C90="","",SUMPRODUCT(('Dvd Calendar'!$E$869:$AR$869&gt;=DATE(YEAR_Y-1,1,1))*('Dvd Calendar'!$E$869:$AR$869&lt;=DATE(YEAR_Y-1,12,31))*'Dvd Calendar'!$E$872:$AR$872*(('Dvd Calendar'!$E$874:$AR$874=TYPE1)*(TYPE1&lt;&gt;"")+('Dvd Calendar'!$E$874:$AR$874=TYPE2)*(TYPE2&lt;&gt;"")+('Dvd Calendar'!$E$874:$AR$874=TYPE3)*(TYPE3&lt;&gt;"")+('Dvd Calendar'!$E$874:$AR$874=TYPE4)*(TYPE4&lt;&gt;"")+('Dvd Calendar'!$E$874:$AR$874=SPECIAL_LBL)*(INC_SPECIALS="Y"))))</f>
        <v/>
      </c>
      <c r="K90" s="69">
        <f>IF($C90="","",HSI!$J$85)</f>
        <v/>
      </c>
      <c r="L90" s="69">
        <f>IF($C90="","",HSI!$K$85)</f>
        <v/>
      </c>
      <c r="M90" s="44">
        <f>IF($C90="","",HSI!$J$85+HSI!$L$85)</f>
        <v/>
      </c>
      <c r="N90" s="70">
        <f>IF($C90="","",IF(PULL_FUND="N","",IFERROR(BDP($C90,BESTDPS_FIELD,FWD_OVERRIDE,TEXT(MOD(YEAR_Y,100),"00")&amp;"Y"),"")))</f>
        <v/>
      </c>
      <c r="O90" s="69">
        <f>IF($C90="","",AVERAGE(F90:J90))</f>
        <v/>
      </c>
      <c r="P90" s="71">
        <f>IF($C90="","",IF(PULL_FUND="N","",IF(COUNTIFS('Fund History'!$J$476:$J$480,"&gt;="&amp;DATE(YEAR_Y-5,1,1),'Fund History'!$J$476:$J$480,"&lt;="&amp;DATE(YEAR_Y-5,12,31))=0,"",IFERROR($F90*HSI!$G$85/SUMIFS('Fund History'!$K$476:$K$480,'Fund History'!$J$476:$J$480,"&gt;="&amp;DATE(YEAR_Y-5,1,1),'Fund History'!$J$476:$J$480,"&lt;="&amp;DATE(YEAR_Y-5,12,31)),""))))</f>
        <v/>
      </c>
      <c r="Q90" s="72">
        <f>IF($C90="","",IF(PULL_FUND="N","",IF(COUNTIFS('Fund History'!$J$476:$J$480,"&gt;="&amp;DATE(YEAR_Y-4,1,1),'Fund History'!$J$476:$J$480,"&lt;="&amp;DATE(YEAR_Y-4,12,31))=0,"",IFERROR($G90*HSI!$G$85/SUMIFS('Fund History'!$K$476:$K$480,'Fund History'!$J$476:$J$480,"&gt;="&amp;DATE(YEAR_Y-4,1,1),'Fund History'!$J$476:$J$480,"&lt;="&amp;DATE(YEAR_Y-4,12,31)),""))))</f>
        <v/>
      </c>
      <c r="R90" s="72">
        <f>IF($C90="","",IF(PULL_FUND="N","",IF(COUNTIFS('Fund History'!$J$476:$J$480,"&gt;="&amp;DATE(YEAR_Y-3,1,1),'Fund History'!$J$476:$J$480,"&lt;="&amp;DATE(YEAR_Y-3,12,31))=0,"",IFERROR($H90*HSI!$G$85/SUMIFS('Fund History'!$K$476:$K$480,'Fund History'!$J$476:$J$480,"&gt;="&amp;DATE(YEAR_Y-3,1,1),'Fund History'!$J$476:$J$480,"&lt;="&amp;DATE(YEAR_Y-3,12,31)),""))))</f>
        <v/>
      </c>
      <c r="S90" s="72">
        <f>IF($C90="","",IF(PULL_FUND="N","",IF(COUNTIFS('Fund History'!$J$476:$J$480,"&gt;="&amp;DATE(YEAR_Y-2,1,1),'Fund History'!$J$476:$J$480,"&lt;="&amp;DATE(YEAR_Y-2,12,31))=0,"",IFERROR($I90*HSI!$G$85/SUMIFS('Fund History'!$K$476:$K$480,'Fund History'!$J$476:$J$480,"&gt;="&amp;DATE(YEAR_Y-2,1,1),'Fund History'!$J$476:$J$480,"&lt;="&amp;DATE(YEAR_Y-2,12,31)),""))))</f>
        <v/>
      </c>
      <c r="T90" s="72">
        <f>IF($C90="","",IF(PULL_FUND="N","",IF(COUNTIFS('Fund History'!$J$476:$J$480,"&gt;="&amp;DATE(YEAR_Y-1,1,1),'Fund History'!$J$476:$J$480,"&lt;="&amp;DATE(YEAR_Y-1,12,31))=0,"",IFERROR($J90*HSI!$G$85/SUMIFS('Fund History'!$K$476:$K$480,'Fund History'!$J$476:$J$480,"&gt;="&amp;DATE(YEAR_Y-1,1,1),'Fund History'!$J$476:$J$480,"&lt;="&amp;DATE(YEAR_Y-1,12,31)),""))))</f>
        <v/>
      </c>
      <c r="U90" s="73">
        <f>IF($C90="","",IF(ISNUMBER(HSI!$I$85),HSI!$I$85/100,""))</f>
        <v/>
      </c>
      <c r="V90" s="74">
        <f>IF($C90="","",IF(ISNUMBER(HSI!$X$85),IFERROR($M90*HSI!$G$85/HSI!$X$85,""),""))</f>
        <v/>
      </c>
      <c r="W90" s="73">
        <f>IF($C90="","",IF(ISNUMBER($N90),IFERROR($N90*HSI!$G$85/HSI!$X$85,""),""))</f>
        <v/>
      </c>
      <c r="X90" s="75">
        <f>IF($C90="","",IF(PULL_FUND="N","",IFERROR(BDP($C90,EPS_FIELD,YR_OVERRIDE,TEXT(YEAR_Y-5,"0")),"")))</f>
        <v/>
      </c>
      <c r="Y90" s="76">
        <f>IF($C90="","",IF(PULL_FUND="N","",IFERROR(BDP($C90,EPS_FIELD,YR_OVERRIDE,TEXT(YEAR_Y-4,"0")),"")))</f>
        <v/>
      </c>
      <c r="Z90" s="76">
        <f>IF($C90="","",IF(PULL_FUND="N","",IFERROR(BDP($C90,EPS_FIELD,YR_OVERRIDE,TEXT(YEAR_Y-3,"0")),"")))</f>
        <v/>
      </c>
      <c r="AA90" s="76">
        <f>IF($C90="","",IF(PULL_FUND="N","",IFERROR(BDP($C90,EPS_FIELD,YR_OVERRIDE,TEXT(YEAR_Y-2,"0")),"")))</f>
        <v/>
      </c>
      <c r="AB90" s="76">
        <f>IF($C90="","",IF(PULL_FUND="N","",IFERROR(BDP($C90,EPS_FIELD,YR_OVERRIDE,TEXT(YEAR_Y-1,"0")),"")))</f>
        <v/>
      </c>
      <c r="AC90" s="50">
        <f>IF($C90="","",IFERROR(AVERAGE(X90:AB90),""))</f>
        <v/>
      </c>
      <c r="AD90" s="76">
        <f>IF($C90="","",IF(PULL_FUND="N","",IFERROR(BDP($C90,BESTEPS_FIELD,FWD_OVERRIDE,TEXT(MOD(YEAR_Y,100),"00")&amp;"Y"),"")))</f>
        <v/>
      </c>
      <c r="AE90" s="77">
        <f>IF($C90="","",IF(PULL_FUND="N","",IFERROR(BDP($C90,PAYOUT_FIELD,YR_OVERRIDE,TEXT(YEAR_Y-5,"0"))/100,"")))</f>
        <v/>
      </c>
      <c r="AF90" s="78">
        <f>IF($C90="","",IF(PULL_FUND="N","",IFERROR(BDP($C90,PAYOUT_FIELD,YR_OVERRIDE,TEXT(YEAR_Y-4,"0"))/100,"")))</f>
        <v/>
      </c>
      <c r="AG90" s="78">
        <f>IF($C90="","",IF(PULL_FUND="N","",IFERROR(BDP($C90,PAYOUT_FIELD,YR_OVERRIDE,TEXT(YEAR_Y-3,"0"))/100,"")))</f>
        <v/>
      </c>
      <c r="AH90" s="78">
        <f>IF($C90="","",IF(PULL_FUND="N","",IFERROR(BDP($C90,PAYOUT_FIELD,YR_OVERRIDE,TEXT(YEAR_Y-2,"0"))/100,"")))</f>
        <v/>
      </c>
      <c r="AI90" s="78">
        <f>IF($C90="","",IF(PULL_FUND="N","",IFERROR(BDP($C90,PAYOUT_FIELD,YR_OVERRIDE,TEXT(YEAR_Y-1,"0"))/100,"")))</f>
        <v/>
      </c>
      <c r="AJ90" s="79">
        <f>IF($C90="","",IFERROR(AVERAGE(AE90:AI90),""))</f>
        <v/>
      </c>
      <c r="AK90" s="80">
        <f>IF($C90="","",IF(ISNUMBER($AD90)*ISNUMBER($N90)*($AD90&lt;&gt;0)=0,"",$N90/$AD90))</f>
        <v/>
      </c>
      <c r="AL90" s="79">
        <f>IF($C90="","",IF(ISNUMBER($AD90)*($AD90&lt;&gt;0)=0,"",$M90/$AD90))</f>
        <v/>
      </c>
      <c r="AM90" s="37">
        <f>IF($C90="","",IF(ISNUMBER($AE90)*ISNUMBER($AI90)=0,"",IF($AI90&gt;$AE90+0.05,"rising",IF($AI90&lt;$AE90-0.05,"falling","stable"))))</f>
        <v/>
      </c>
      <c r="AN90" s="81">
        <f>IF($C90="","",IF(PULL_FUND="N","",IF(COUNTIFS('Fund History'!$G$476:$G$480,"&gt;="&amp;DATE(YEAR_Y-4,1,1),'Fund History'!$G$476:$G$480,"&lt;="&amp;DATE(YEAR_Y-4,12,31))=0,"",SUMIFS('Fund History'!$H$476:$H$480,'Fund History'!$G$476:$G$480,"&gt;="&amp;DATE(YEAR_Y-4,1,1),'Fund History'!$G$476:$G$480,"&lt;="&amp;DATE(YEAR_Y-4,12,31))/100)))</f>
        <v/>
      </c>
      <c r="AO90" s="82">
        <f>IF($C90="","",IF(PULL_FUND="N","",IF(COUNTIFS('Fund History'!$G$476:$G$480,"&gt;="&amp;DATE(YEAR_Y-3,1,1),'Fund History'!$G$476:$G$480,"&lt;="&amp;DATE(YEAR_Y-3,12,31))=0,"",SUMIFS('Fund History'!$H$476:$H$480,'Fund History'!$G$476:$G$480,"&gt;="&amp;DATE(YEAR_Y-3,1,1),'Fund History'!$G$476:$G$480,"&lt;="&amp;DATE(YEAR_Y-3,12,31))/100)))</f>
        <v/>
      </c>
      <c r="AP90" s="82">
        <f>IF($C90="","",IF(PULL_FUND="N","",IF(COUNTIFS('Fund History'!$G$476:$G$480,"&gt;="&amp;DATE(YEAR_Y-2,1,1),'Fund History'!$G$476:$G$480,"&lt;="&amp;DATE(YEAR_Y-2,12,31))=0,"",SUMIFS('Fund History'!$H$476:$H$480,'Fund History'!$G$476:$G$480,"&gt;="&amp;DATE(YEAR_Y-2,1,1),'Fund History'!$G$476:$G$480,"&lt;="&amp;DATE(YEAR_Y-2,12,31))/100)))</f>
        <v/>
      </c>
      <c r="AQ90" s="82">
        <f>IF($C90="","",IF(PULL_FUND="N","",IF(COUNTIFS('Fund History'!$G$476:$G$480,"&gt;="&amp;DATE(YEAR_Y-1,1,1),'Fund History'!$G$476:$G$480,"&lt;="&amp;DATE(YEAR_Y-1,12,31))=0,"",SUMIFS('Fund History'!$H$476:$H$480,'Fund History'!$G$476:$G$480,"&gt;="&amp;DATE(YEAR_Y-1,1,1),'Fund History'!$G$476:$G$480,"&lt;="&amp;DATE(YEAR_Y-1,12,31))/100)))</f>
        <v/>
      </c>
      <c r="AR90" s="83">
        <f>IF($C90="","",IF(N($AQ90)+N(HSI!$I$85)=0,"",N($AQ90)+N(HSI!$I$85)/100))</f>
        <v/>
      </c>
      <c r="AS90" s="75">
        <f>IF($C90="","",IF(PULL_FUND="N","",IF(COUNTIFS('Fund History'!$D$476:$D$480,"&gt;="&amp;DATE(YEAR_Y-2,1,1),'Fund History'!$D$476:$D$480,"&lt;="&amp;DATE(YEAR_Y-2,12,31))=0,"",SUMIFS('Fund History'!$E$476:$E$480,'Fund History'!$D$476:$D$480,"&gt;="&amp;DATE(YEAR_Y-2,1,1),'Fund History'!$D$476:$D$480,"&lt;="&amp;DATE(YEAR_Y-2,12,31)))))</f>
        <v/>
      </c>
      <c r="AT90" s="76">
        <f>IF($C90="","",IF(PULL_FUND="N","",IF(COUNTIFS('Fund History'!$D$476:$D$480,"&gt;="&amp;DATE(YEAR_Y-1,1,1),'Fund History'!$D$476:$D$480,"&lt;="&amp;DATE(YEAR_Y-1,12,31))=0,"",SUMIFS('Fund History'!$E$476:$E$480,'Fund History'!$D$476:$D$480,"&gt;="&amp;DATE(YEAR_Y-1,1,1),'Fund History'!$D$476:$D$480,"&lt;="&amp;DATE(YEAR_Y-1,12,31)))))</f>
        <v/>
      </c>
      <c r="AU90" s="76">
        <f>IF($C90="","",IF(PULL_FUND="N","",IFERROR(BDP($C90,NDEBITDA_FIELD),"")))</f>
        <v/>
      </c>
      <c r="AV90" s="84">
        <f>IF($C90="","",IF(PULL_FUND="N","",IFERROR(BDP($C90,EBINT_FIELD),"")))</f>
        <v/>
      </c>
      <c r="AW90" s="82">
        <f>IF($C90="","",IF(PULL_FUND="N","",IFERROR(BDP($C90,FCF_FIELD)/100,"")))</f>
        <v/>
      </c>
      <c r="AX90" s="50">
        <f>IF($C90="","",IF(N($U90)=0,"",IFERROR($AW90/$U90,"")))</f>
        <v/>
      </c>
      <c r="AY90" s="85">
        <f>IF($C90="","",TRIM(IF(ISNUMBER($AJ90)*(N($AJ90)&gt;$D$4)&gt;0,"payout high  ","")&amp;IF(ISNUMBER($AX90)*(N($AX90)&lt;$F$4)&gt;0,"FCF below dvd  ","")&amp;IF(ISNUMBER($AU90)*(N($AU90)&gt;$H$4)&gt;0,"leverage high","")))</f>
        <v/>
      </c>
      <c r="AZ90" s="86">
        <f>IF($C90="","",IF(HSI!$F$85="HKD","",HSI!$F$85))</f>
        <v/>
      </c>
    </row>
    <row r="91">
      <c r="B91" s="66" t="inlineStr">
        <is>
          <t>HSI</t>
        </is>
      </c>
      <c r="C91" s="8">
        <f>IF(HSI!$C$86="","",HSI!$C$86)</f>
        <v/>
      </c>
      <c r="D91" s="8">
        <f>IF($C91="","",HSI!$D$86)</f>
        <v/>
      </c>
      <c r="E91" s="8">
        <f>IF($C91="","",HSI!$E$86)</f>
        <v/>
      </c>
      <c r="F91" s="67">
        <f>IF($C91="","",SUMPRODUCT(('Dvd Calendar'!$E$880:$AR$880&gt;=DATE(YEAR_Y-5,1,1))*('Dvd Calendar'!$E$880:$AR$880&lt;=DATE(YEAR_Y-5,12,31))*'Dvd Calendar'!$E$883:$AR$883*(('Dvd Calendar'!$E$885:$AR$885=TYPE1)*(TYPE1&lt;&gt;"")+('Dvd Calendar'!$E$885:$AR$885=TYPE2)*(TYPE2&lt;&gt;"")+('Dvd Calendar'!$E$885:$AR$885=TYPE3)*(TYPE3&lt;&gt;"")+('Dvd Calendar'!$E$885:$AR$885=TYPE4)*(TYPE4&lt;&gt;"")+('Dvd Calendar'!$E$885:$AR$885=SPECIAL_LBL)*(INC_SPECIALS="Y"))))</f>
        <v/>
      </c>
      <c r="G91" s="68">
        <f>IF($C91="","",SUMPRODUCT(('Dvd Calendar'!$E$880:$AR$880&gt;=DATE(YEAR_Y-4,1,1))*('Dvd Calendar'!$E$880:$AR$880&lt;=DATE(YEAR_Y-4,12,31))*'Dvd Calendar'!$E$883:$AR$883*(('Dvd Calendar'!$E$885:$AR$885=TYPE1)*(TYPE1&lt;&gt;"")+('Dvd Calendar'!$E$885:$AR$885=TYPE2)*(TYPE2&lt;&gt;"")+('Dvd Calendar'!$E$885:$AR$885=TYPE3)*(TYPE3&lt;&gt;"")+('Dvd Calendar'!$E$885:$AR$885=TYPE4)*(TYPE4&lt;&gt;"")+('Dvd Calendar'!$E$885:$AR$885=SPECIAL_LBL)*(INC_SPECIALS="Y"))))</f>
        <v/>
      </c>
      <c r="H91" s="68">
        <f>IF($C91="","",SUMPRODUCT(('Dvd Calendar'!$E$880:$AR$880&gt;=DATE(YEAR_Y-3,1,1))*('Dvd Calendar'!$E$880:$AR$880&lt;=DATE(YEAR_Y-3,12,31))*'Dvd Calendar'!$E$883:$AR$883*(('Dvd Calendar'!$E$885:$AR$885=TYPE1)*(TYPE1&lt;&gt;"")+('Dvd Calendar'!$E$885:$AR$885=TYPE2)*(TYPE2&lt;&gt;"")+('Dvd Calendar'!$E$885:$AR$885=TYPE3)*(TYPE3&lt;&gt;"")+('Dvd Calendar'!$E$885:$AR$885=TYPE4)*(TYPE4&lt;&gt;"")+('Dvd Calendar'!$E$885:$AR$885=SPECIAL_LBL)*(INC_SPECIALS="Y"))))</f>
        <v/>
      </c>
      <c r="I91" s="68">
        <f>IF($C91="","",SUMPRODUCT(('Dvd Calendar'!$E$880:$AR$880&gt;=DATE(YEAR_Y-2,1,1))*('Dvd Calendar'!$E$880:$AR$880&lt;=DATE(YEAR_Y-2,12,31))*'Dvd Calendar'!$E$883:$AR$883*(('Dvd Calendar'!$E$885:$AR$885=TYPE1)*(TYPE1&lt;&gt;"")+('Dvd Calendar'!$E$885:$AR$885=TYPE2)*(TYPE2&lt;&gt;"")+('Dvd Calendar'!$E$885:$AR$885=TYPE3)*(TYPE3&lt;&gt;"")+('Dvd Calendar'!$E$885:$AR$885=TYPE4)*(TYPE4&lt;&gt;"")+('Dvd Calendar'!$E$885:$AR$885=SPECIAL_LBL)*(INC_SPECIALS="Y"))))</f>
        <v/>
      </c>
      <c r="J91" s="68">
        <f>IF($C91="","",SUMPRODUCT(('Dvd Calendar'!$E$880:$AR$880&gt;=DATE(YEAR_Y-1,1,1))*('Dvd Calendar'!$E$880:$AR$880&lt;=DATE(YEAR_Y-1,12,31))*'Dvd Calendar'!$E$883:$AR$883*(('Dvd Calendar'!$E$885:$AR$885=TYPE1)*(TYPE1&lt;&gt;"")+('Dvd Calendar'!$E$885:$AR$885=TYPE2)*(TYPE2&lt;&gt;"")+('Dvd Calendar'!$E$885:$AR$885=TYPE3)*(TYPE3&lt;&gt;"")+('Dvd Calendar'!$E$885:$AR$885=TYPE4)*(TYPE4&lt;&gt;"")+('Dvd Calendar'!$E$885:$AR$885=SPECIAL_LBL)*(INC_SPECIALS="Y"))))</f>
        <v/>
      </c>
      <c r="K91" s="69">
        <f>IF($C91="","",HSI!$J$86)</f>
        <v/>
      </c>
      <c r="L91" s="69">
        <f>IF($C91="","",HSI!$K$86)</f>
        <v/>
      </c>
      <c r="M91" s="44">
        <f>IF($C91="","",HSI!$J$86+HSI!$L$86)</f>
        <v/>
      </c>
      <c r="N91" s="70">
        <f>IF($C91="","",IF(PULL_FUND="N","",IFERROR(BDP($C91,BESTDPS_FIELD,FWD_OVERRIDE,TEXT(MOD(YEAR_Y,100),"00")&amp;"Y"),"")))</f>
        <v/>
      </c>
      <c r="O91" s="69">
        <f>IF($C91="","",AVERAGE(F91:J91))</f>
        <v/>
      </c>
      <c r="P91" s="71">
        <f>IF($C91="","",IF(PULL_FUND="N","",IF(COUNTIFS('Fund History'!$J$482:$J$486,"&gt;="&amp;DATE(YEAR_Y-5,1,1),'Fund History'!$J$482:$J$486,"&lt;="&amp;DATE(YEAR_Y-5,12,31))=0,"",IFERROR($F91*HSI!$G$86/SUMIFS('Fund History'!$K$482:$K$486,'Fund History'!$J$482:$J$486,"&gt;="&amp;DATE(YEAR_Y-5,1,1),'Fund History'!$J$482:$J$486,"&lt;="&amp;DATE(YEAR_Y-5,12,31)),""))))</f>
        <v/>
      </c>
      <c r="Q91" s="72">
        <f>IF($C91="","",IF(PULL_FUND="N","",IF(COUNTIFS('Fund History'!$J$482:$J$486,"&gt;="&amp;DATE(YEAR_Y-4,1,1),'Fund History'!$J$482:$J$486,"&lt;="&amp;DATE(YEAR_Y-4,12,31))=0,"",IFERROR($G91*HSI!$G$86/SUMIFS('Fund History'!$K$482:$K$486,'Fund History'!$J$482:$J$486,"&gt;="&amp;DATE(YEAR_Y-4,1,1),'Fund History'!$J$482:$J$486,"&lt;="&amp;DATE(YEAR_Y-4,12,31)),""))))</f>
        <v/>
      </c>
      <c r="R91" s="72">
        <f>IF($C91="","",IF(PULL_FUND="N","",IF(COUNTIFS('Fund History'!$J$482:$J$486,"&gt;="&amp;DATE(YEAR_Y-3,1,1),'Fund History'!$J$482:$J$486,"&lt;="&amp;DATE(YEAR_Y-3,12,31))=0,"",IFERROR($H91*HSI!$G$86/SUMIFS('Fund History'!$K$482:$K$486,'Fund History'!$J$482:$J$486,"&gt;="&amp;DATE(YEAR_Y-3,1,1),'Fund History'!$J$482:$J$486,"&lt;="&amp;DATE(YEAR_Y-3,12,31)),""))))</f>
        <v/>
      </c>
      <c r="S91" s="72">
        <f>IF($C91="","",IF(PULL_FUND="N","",IF(COUNTIFS('Fund History'!$J$482:$J$486,"&gt;="&amp;DATE(YEAR_Y-2,1,1),'Fund History'!$J$482:$J$486,"&lt;="&amp;DATE(YEAR_Y-2,12,31))=0,"",IFERROR($I91*HSI!$G$86/SUMIFS('Fund History'!$K$482:$K$486,'Fund History'!$J$482:$J$486,"&gt;="&amp;DATE(YEAR_Y-2,1,1),'Fund History'!$J$482:$J$486,"&lt;="&amp;DATE(YEAR_Y-2,12,31)),""))))</f>
        <v/>
      </c>
      <c r="T91" s="72">
        <f>IF($C91="","",IF(PULL_FUND="N","",IF(COUNTIFS('Fund History'!$J$482:$J$486,"&gt;="&amp;DATE(YEAR_Y-1,1,1),'Fund History'!$J$482:$J$486,"&lt;="&amp;DATE(YEAR_Y-1,12,31))=0,"",IFERROR($J91*HSI!$G$86/SUMIFS('Fund History'!$K$482:$K$486,'Fund History'!$J$482:$J$486,"&gt;="&amp;DATE(YEAR_Y-1,1,1),'Fund History'!$J$482:$J$486,"&lt;="&amp;DATE(YEAR_Y-1,12,31)),""))))</f>
        <v/>
      </c>
      <c r="U91" s="73">
        <f>IF($C91="","",IF(ISNUMBER(HSI!$I$86),HSI!$I$86/100,""))</f>
        <v/>
      </c>
      <c r="V91" s="74">
        <f>IF($C91="","",IF(ISNUMBER(HSI!$X$86),IFERROR($M91*HSI!$G$86/HSI!$X$86,""),""))</f>
        <v/>
      </c>
      <c r="W91" s="73">
        <f>IF($C91="","",IF(ISNUMBER($N91),IFERROR($N91*HSI!$G$86/HSI!$X$86,""),""))</f>
        <v/>
      </c>
      <c r="X91" s="75">
        <f>IF($C91="","",IF(PULL_FUND="N","",IFERROR(BDP($C91,EPS_FIELD,YR_OVERRIDE,TEXT(YEAR_Y-5,"0")),"")))</f>
        <v/>
      </c>
      <c r="Y91" s="76">
        <f>IF($C91="","",IF(PULL_FUND="N","",IFERROR(BDP($C91,EPS_FIELD,YR_OVERRIDE,TEXT(YEAR_Y-4,"0")),"")))</f>
        <v/>
      </c>
      <c r="Z91" s="76">
        <f>IF($C91="","",IF(PULL_FUND="N","",IFERROR(BDP($C91,EPS_FIELD,YR_OVERRIDE,TEXT(YEAR_Y-3,"0")),"")))</f>
        <v/>
      </c>
      <c r="AA91" s="76">
        <f>IF($C91="","",IF(PULL_FUND="N","",IFERROR(BDP($C91,EPS_FIELD,YR_OVERRIDE,TEXT(YEAR_Y-2,"0")),"")))</f>
        <v/>
      </c>
      <c r="AB91" s="76">
        <f>IF($C91="","",IF(PULL_FUND="N","",IFERROR(BDP($C91,EPS_FIELD,YR_OVERRIDE,TEXT(YEAR_Y-1,"0")),"")))</f>
        <v/>
      </c>
      <c r="AC91" s="50">
        <f>IF($C91="","",IFERROR(AVERAGE(X91:AB91),""))</f>
        <v/>
      </c>
      <c r="AD91" s="76">
        <f>IF($C91="","",IF(PULL_FUND="N","",IFERROR(BDP($C91,BESTEPS_FIELD,FWD_OVERRIDE,TEXT(MOD(YEAR_Y,100),"00")&amp;"Y"),"")))</f>
        <v/>
      </c>
      <c r="AE91" s="77">
        <f>IF($C91="","",IF(PULL_FUND="N","",IFERROR(BDP($C91,PAYOUT_FIELD,YR_OVERRIDE,TEXT(YEAR_Y-5,"0"))/100,"")))</f>
        <v/>
      </c>
      <c r="AF91" s="78">
        <f>IF($C91="","",IF(PULL_FUND="N","",IFERROR(BDP($C91,PAYOUT_FIELD,YR_OVERRIDE,TEXT(YEAR_Y-4,"0"))/100,"")))</f>
        <v/>
      </c>
      <c r="AG91" s="78">
        <f>IF($C91="","",IF(PULL_FUND="N","",IFERROR(BDP($C91,PAYOUT_FIELD,YR_OVERRIDE,TEXT(YEAR_Y-3,"0"))/100,"")))</f>
        <v/>
      </c>
      <c r="AH91" s="78">
        <f>IF($C91="","",IF(PULL_FUND="N","",IFERROR(BDP($C91,PAYOUT_FIELD,YR_OVERRIDE,TEXT(YEAR_Y-2,"0"))/100,"")))</f>
        <v/>
      </c>
      <c r="AI91" s="78">
        <f>IF($C91="","",IF(PULL_FUND="N","",IFERROR(BDP($C91,PAYOUT_FIELD,YR_OVERRIDE,TEXT(YEAR_Y-1,"0"))/100,"")))</f>
        <v/>
      </c>
      <c r="AJ91" s="79">
        <f>IF($C91="","",IFERROR(AVERAGE(AE91:AI91),""))</f>
        <v/>
      </c>
      <c r="AK91" s="80">
        <f>IF($C91="","",IF(ISNUMBER($AD91)*ISNUMBER($N91)*($AD91&lt;&gt;0)=0,"",$N91/$AD91))</f>
        <v/>
      </c>
      <c r="AL91" s="79">
        <f>IF($C91="","",IF(ISNUMBER($AD91)*($AD91&lt;&gt;0)=0,"",$M91/$AD91))</f>
        <v/>
      </c>
      <c r="AM91" s="37">
        <f>IF($C91="","",IF(ISNUMBER($AE91)*ISNUMBER($AI91)=0,"",IF($AI91&gt;$AE91+0.05,"rising",IF($AI91&lt;$AE91-0.05,"falling","stable"))))</f>
        <v/>
      </c>
      <c r="AN91" s="81">
        <f>IF($C91="","",IF(PULL_FUND="N","",IF(COUNTIFS('Fund History'!$G$482:$G$486,"&gt;="&amp;DATE(YEAR_Y-4,1,1),'Fund History'!$G$482:$G$486,"&lt;="&amp;DATE(YEAR_Y-4,12,31))=0,"",SUMIFS('Fund History'!$H$482:$H$486,'Fund History'!$G$482:$G$486,"&gt;="&amp;DATE(YEAR_Y-4,1,1),'Fund History'!$G$482:$G$486,"&lt;="&amp;DATE(YEAR_Y-4,12,31))/100)))</f>
        <v/>
      </c>
      <c r="AO91" s="82">
        <f>IF($C91="","",IF(PULL_FUND="N","",IF(COUNTIFS('Fund History'!$G$482:$G$486,"&gt;="&amp;DATE(YEAR_Y-3,1,1),'Fund History'!$G$482:$G$486,"&lt;="&amp;DATE(YEAR_Y-3,12,31))=0,"",SUMIFS('Fund History'!$H$482:$H$486,'Fund History'!$G$482:$G$486,"&gt;="&amp;DATE(YEAR_Y-3,1,1),'Fund History'!$G$482:$G$486,"&lt;="&amp;DATE(YEAR_Y-3,12,31))/100)))</f>
        <v/>
      </c>
      <c r="AP91" s="82">
        <f>IF($C91="","",IF(PULL_FUND="N","",IF(COUNTIFS('Fund History'!$G$482:$G$486,"&gt;="&amp;DATE(YEAR_Y-2,1,1),'Fund History'!$G$482:$G$486,"&lt;="&amp;DATE(YEAR_Y-2,12,31))=0,"",SUMIFS('Fund History'!$H$482:$H$486,'Fund History'!$G$482:$G$486,"&gt;="&amp;DATE(YEAR_Y-2,1,1),'Fund History'!$G$482:$G$486,"&lt;="&amp;DATE(YEAR_Y-2,12,31))/100)))</f>
        <v/>
      </c>
      <c r="AQ91" s="82">
        <f>IF($C91="","",IF(PULL_FUND="N","",IF(COUNTIFS('Fund History'!$G$482:$G$486,"&gt;="&amp;DATE(YEAR_Y-1,1,1),'Fund History'!$G$482:$G$486,"&lt;="&amp;DATE(YEAR_Y-1,12,31))=0,"",SUMIFS('Fund History'!$H$482:$H$486,'Fund History'!$G$482:$G$486,"&gt;="&amp;DATE(YEAR_Y-1,1,1),'Fund History'!$G$482:$G$486,"&lt;="&amp;DATE(YEAR_Y-1,12,31))/100)))</f>
        <v/>
      </c>
      <c r="AR91" s="83">
        <f>IF($C91="","",IF(N($AQ91)+N(HSI!$I$86)=0,"",N($AQ91)+N(HSI!$I$86)/100))</f>
        <v/>
      </c>
      <c r="AS91" s="75">
        <f>IF($C91="","",IF(PULL_FUND="N","",IF(COUNTIFS('Fund History'!$D$482:$D$486,"&gt;="&amp;DATE(YEAR_Y-2,1,1),'Fund History'!$D$482:$D$486,"&lt;="&amp;DATE(YEAR_Y-2,12,31))=0,"",SUMIFS('Fund History'!$E$482:$E$486,'Fund History'!$D$482:$D$486,"&gt;="&amp;DATE(YEAR_Y-2,1,1),'Fund History'!$D$482:$D$486,"&lt;="&amp;DATE(YEAR_Y-2,12,31)))))</f>
        <v/>
      </c>
      <c r="AT91" s="76">
        <f>IF($C91="","",IF(PULL_FUND="N","",IF(COUNTIFS('Fund History'!$D$482:$D$486,"&gt;="&amp;DATE(YEAR_Y-1,1,1),'Fund History'!$D$482:$D$486,"&lt;="&amp;DATE(YEAR_Y-1,12,31))=0,"",SUMIFS('Fund History'!$E$482:$E$486,'Fund History'!$D$482:$D$486,"&gt;="&amp;DATE(YEAR_Y-1,1,1),'Fund History'!$D$482:$D$486,"&lt;="&amp;DATE(YEAR_Y-1,12,31)))))</f>
        <v/>
      </c>
      <c r="AU91" s="76">
        <f>IF($C91="","",IF(PULL_FUND="N","",IFERROR(BDP($C91,NDEBITDA_FIELD),"")))</f>
        <v/>
      </c>
      <c r="AV91" s="84">
        <f>IF($C91="","",IF(PULL_FUND="N","",IFERROR(BDP($C91,EBINT_FIELD),"")))</f>
        <v/>
      </c>
      <c r="AW91" s="82">
        <f>IF($C91="","",IF(PULL_FUND="N","",IFERROR(BDP($C91,FCF_FIELD)/100,"")))</f>
        <v/>
      </c>
      <c r="AX91" s="50">
        <f>IF($C91="","",IF(N($U91)=0,"",IFERROR($AW91/$U91,"")))</f>
        <v/>
      </c>
      <c r="AY91" s="85">
        <f>IF($C91="","",TRIM(IF(ISNUMBER($AJ91)*(N($AJ91)&gt;$D$4)&gt;0,"payout high  ","")&amp;IF(ISNUMBER($AX91)*(N($AX91)&lt;$F$4)&gt;0,"FCF below dvd  ","")&amp;IF(ISNUMBER($AU91)*(N($AU91)&gt;$H$4)&gt;0,"leverage high","")))</f>
        <v/>
      </c>
      <c r="AZ91" s="86">
        <f>IF($C91="","",IF(HSI!$F$86="HKD","",HSI!$F$86))</f>
        <v/>
      </c>
    </row>
    <row r="92">
      <c r="B92" s="66" t="inlineStr">
        <is>
          <t>HSI</t>
        </is>
      </c>
      <c r="C92" s="8">
        <f>IF(HSI!$C$87="","",HSI!$C$87)</f>
        <v/>
      </c>
      <c r="D92" s="8">
        <f>IF($C92="","",HSI!$D$87)</f>
        <v/>
      </c>
      <c r="E92" s="8">
        <f>IF($C92="","",HSI!$E$87)</f>
        <v/>
      </c>
      <c r="F92" s="67">
        <f>IF($C92="","",SUMPRODUCT(('Dvd Calendar'!$E$891:$AR$891&gt;=DATE(YEAR_Y-5,1,1))*('Dvd Calendar'!$E$891:$AR$891&lt;=DATE(YEAR_Y-5,12,31))*'Dvd Calendar'!$E$894:$AR$894*(('Dvd Calendar'!$E$896:$AR$896=TYPE1)*(TYPE1&lt;&gt;"")+('Dvd Calendar'!$E$896:$AR$896=TYPE2)*(TYPE2&lt;&gt;"")+('Dvd Calendar'!$E$896:$AR$896=TYPE3)*(TYPE3&lt;&gt;"")+('Dvd Calendar'!$E$896:$AR$896=TYPE4)*(TYPE4&lt;&gt;"")+('Dvd Calendar'!$E$896:$AR$896=SPECIAL_LBL)*(INC_SPECIALS="Y"))))</f>
        <v/>
      </c>
      <c r="G92" s="68">
        <f>IF($C92="","",SUMPRODUCT(('Dvd Calendar'!$E$891:$AR$891&gt;=DATE(YEAR_Y-4,1,1))*('Dvd Calendar'!$E$891:$AR$891&lt;=DATE(YEAR_Y-4,12,31))*'Dvd Calendar'!$E$894:$AR$894*(('Dvd Calendar'!$E$896:$AR$896=TYPE1)*(TYPE1&lt;&gt;"")+('Dvd Calendar'!$E$896:$AR$896=TYPE2)*(TYPE2&lt;&gt;"")+('Dvd Calendar'!$E$896:$AR$896=TYPE3)*(TYPE3&lt;&gt;"")+('Dvd Calendar'!$E$896:$AR$896=TYPE4)*(TYPE4&lt;&gt;"")+('Dvd Calendar'!$E$896:$AR$896=SPECIAL_LBL)*(INC_SPECIALS="Y"))))</f>
        <v/>
      </c>
      <c r="H92" s="68">
        <f>IF($C92="","",SUMPRODUCT(('Dvd Calendar'!$E$891:$AR$891&gt;=DATE(YEAR_Y-3,1,1))*('Dvd Calendar'!$E$891:$AR$891&lt;=DATE(YEAR_Y-3,12,31))*'Dvd Calendar'!$E$894:$AR$894*(('Dvd Calendar'!$E$896:$AR$896=TYPE1)*(TYPE1&lt;&gt;"")+('Dvd Calendar'!$E$896:$AR$896=TYPE2)*(TYPE2&lt;&gt;"")+('Dvd Calendar'!$E$896:$AR$896=TYPE3)*(TYPE3&lt;&gt;"")+('Dvd Calendar'!$E$896:$AR$896=TYPE4)*(TYPE4&lt;&gt;"")+('Dvd Calendar'!$E$896:$AR$896=SPECIAL_LBL)*(INC_SPECIALS="Y"))))</f>
        <v/>
      </c>
      <c r="I92" s="68">
        <f>IF($C92="","",SUMPRODUCT(('Dvd Calendar'!$E$891:$AR$891&gt;=DATE(YEAR_Y-2,1,1))*('Dvd Calendar'!$E$891:$AR$891&lt;=DATE(YEAR_Y-2,12,31))*'Dvd Calendar'!$E$894:$AR$894*(('Dvd Calendar'!$E$896:$AR$896=TYPE1)*(TYPE1&lt;&gt;"")+('Dvd Calendar'!$E$896:$AR$896=TYPE2)*(TYPE2&lt;&gt;"")+('Dvd Calendar'!$E$896:$AR$896=TYPE3)*(TYPE3&lt;&gt;"")+('Dvd Calendar'!$E$896:$AR$896=TYPE4)*(TYPE4&lt;&gt;"")+('Dvd Calendar'!$E$896:$AR$896=SPECIAL_LBL)*(INC_SPECIALS="Y"))))</f>
        <v/>
      </c>
      <c r="J92" s="68">
        <f>IF($C92="","",SUMPRODUCT(('Dvd Calendar'!$E$891:$AR$891&gt;=DATE(YEAR_Y-1,1,1))*('Dvd Calendar'!$E$891:$AR$891&lt;=DATE(YEAR_Y-1,12,31))*'Dvd Calendar'!$E$894:$AR$894*(('Dvd Calendar'!$E$896:$AR$896=TYPE1)*(TYPE1&lt;&gt;"")+('Dvd Calendar'!$E$896:$AR$896=TYPE2)*(TYPE2&lt;&gt;"")+('Dvd Calendar'!$E$896:$AR$896=TYPE3)*(TYPE3&lt;&gt;"")+('Dvd Calendar'!$E$896:$AR$896=TYPE4)*(TYPE4&lt;&gt;"")+('Dvd Calendar'!$E$896:$AR$896=SPECIAL_LBL)*(INC_SPECIALS="Y"))))</f>
        <v/>
      </c>
      <c r="K92" s="69">
        <f>IF($C92="","",HSI!$J$87)</f>
        <v/>
      </c>
      <c r="L92" s="69">
        <f>IF($C92="","",HSI!$K$87)</f>
        <v/>
      </c>
      <c r="M92" s="44">
        <f>IF($C92="","",HSI!$J$87+HSI!$L$87)</f>
        <v/>
      </c>
      <c r="N92" s="70">
        <f>IF($C92="","",IF(PULL_FUND="N","",IFERROR(BDP($C92,BESTDPS_FIELD,FWD_OVERRIDE,TEXT(MOD(YEAR_Y,100),"00")&amp;"Y"),"")))</f>
        <v/>
      </c>
      <c r="O92" s="69">
        <f>IF($C92="","",AVERAGE(F92:J92))</f>
        <v/>
      </c>
      <c r="P92" s="71">
        <f>IF($C92="","",IF(PULL_FUND="N","",IF(COUNTIFS('Fund History'!$J$488:$J$492,"&gt;="&amp;DATE(YEAR_Y-5,1,1),'Fund History'!$J$488:$J$492,"&lt;="&amp;DATE(YEAR_Y-5,12,31))=0,"",IFERROR($F92*HSI!$G$87/SUMIFS('Fund History'!$K$488:$K$492,'Fund History'!$J$488:$J$492,"&gt;="&amp;DATE(YEAR_Y-5,1,1),'Fund History'!$J$488:$J$492,"&lt;="&amp;DATE(YEAR_Y-5,12,31)),""))))</f>
        <v/>
      </c>
      <c r="Q92" s="72">
        <f>IF($C92="","",IF(PULL_FUND="N","",IF(COUNTIFS('Fund History'!$J$488:$J$492,"&gt;="&amp;DATE(YEAR_Y-4,1,1),'Fund History'!$J$488:$J$492,"&lt;="&amp;DATE(YEAR_Y-4,12,31))=0,"",IFERROR($G92*HSI!$G$87/SUMIFS('Fund History'!$K$488:$K$492,'Fund History'!$J$488:$J$492,"&gt;="&amp;DATE(YEAR_Y-4,1,1),'Fund History'!$J$488:$J$492,"&lt;="&amp;DATE(YEAR_Y-4,12,31)),""))))</f>
        <v/>
      </c>
      <c r="R92" s="72">
        <f>IF($C92="","",IF(PULL_FUND="N","",IF(COUNTIFS('Fund History'!$J$488:$J$492,"&gt;="&amp;DATE(YEAR_Y-3,1,1),'Fund History'!$J$488:$J$492,"&lt;="&amp;DATE(YEAR_Y-3,12,31))=0,"",IFERROR($H92*HSI!$G$87/SUMIFS('Fund History'!$K$488:$K$492,'Fund History'!$J$488:$J$492,"&gt;="&amp;DATE(YEAR_Y-3,1,1),'Fund History'!$J$488:$J$492,"&lt;="&amp;DATE(YEAR_Y-3,12,31)),""))))</f>
        <v/>
      </c>
      <c r="S92" s="72">
        <f>IF($C92="","",IF(PULL_FUND="N","",IF(COUNTIFS('Fund History'!$J$488:$J$492,"&gt;="&amp;DATE(YEAR_Y-2,1,1),'Fund History'!$J$488:$J$492,"&lt;="&amp;DATE(YEAR_Y-2,12,31))=0,"",IFERROR($I92*HSI!$G$87/SUMIFS('Fund History'!$K$488:$K$492,'Fund History'!$J$488:$J$492,"&gt;="&amp;DATE(YEAR_Y-2,1,1),'Fund History'!$J$488:$J$492,"&lt;="&amp;DATE(YEAR_Y-2,12,31)),""))))</f>
        <v/>
      </c>
      <c r="T92" s="72">
        <f>IF($C92="","",IF(PULL_FUND="N","",IF(COUNTIFS('Fund History'!$J$488:$J$492,"&gt;="&amp;DATE(YEAR_Y-1,1,1),'Fund History'!$J$488:$J$492,"&lt;="&amp;DATE(YEAR_Y-1,12,31))=0,"",IFERROR($J92*HSI!$G$87/SUMIFS('Fund History'!$K$488:$K$492,'Fund History'!$J$488:$J$492,"&gt;="&amp;DATE(YEAR_Y-1,1,1),'Fund History'!$J$488:$J$492,"&lt;="&amp;DATE(YEAR_Y-1,12,31)),""))))</f>
        <v/>
      </c>
      <c r="U92" s="73">
        <f>IF($C92="","",IF(ISNUMBER(HSI!$I$87),HSI!$I$87/100,""))</f>
        <v/>
      </c>
      <c r="V92" s="74">
        <f>IF($C92="","",IF(ISNUMBER(HSI!$X$87),IFERROR($M92*HSI!$G$87/HSI!$X$87,""),""))</f>
        <v/>
      </c>
      <c r="W92" s="73">
        <f>IF($C92="","",IF(ISNUMBER($N92),IFERROR($N92*HSI!$G$87/HSI!$X$87,""),""))</f>
        <v/>
      </c>
      <c r="X92" s="75">
        <f>IF($C92="","",IF(PULL_FUND="N","",IFERROR(BDP($C92,EPS_FIELD,YR_OVERRIDE,TEXT(YEAR_Y-5,"0")),"")))</f>
        <v/>
      </c>
      <c r="Y92" s="76">
        <f>IF($C92="","",IF(PULL_FUND="N","",IFERROR(BDP($C92,EPS_FIELD,YR_OVERRIDE,TEXT(YEAR_Y-4,"0")),"")))</f>
        <v/>
      </c>
      <c r="Z92" s="76">
        <f>IF($C92="","",IF(PULL_FUND="N","",IFERROR(BDP($C92,EPS_FIELD,YR_OVERRIDE,TEXT(YEAR_Y-3,"0")),"")))</f>
        <v/>
      </c>
      <c r="AA92" s="76">
        <f>IF($C92="","",IF(PULL_FUND="N","",IFERROR(BDP($C92,EPS_FIELD,YR_OVERRIDE,TEXT(YEAR_Y-2,"0")),"")))</f>
        <v/>
      </c>
      <c r="AB92" s="76">
        <f>IF($C92="","",IF(PULL_FUND="N","",IFERROR(BDP($C92,EPS_FIELD,YR_OVERRIDE,TEXT(YEAR_Y-1,"0")),"")))</f>
        <v/>
      </c>
      <c r="AC92" s="50">
        <f>IF($C92="","",IFERROR(AVERAGE(X92:AB92),""))</f>
        <v/>
      </c>
      <c r="AD92" s="76">
        <f>IF($C92="","",IF(PULL_FUND="N","",IFERROR(BDP($C92,BESTEPS_FIELD,FWD_OVERRIDE,TEXT(MOD(YEAR_Y,100),"00")&amp;"Y"),"")))</f>
        <v/>
      </c>
      <c r="AE92" s="77">
        <f>IF($C92="","",IF(PULL_FUND="N","",IFERROR(BDP($C92,PAYOUT_FIELD,YR_OVERRIDE,TEXT(YEAR_Y-5,"0"))/100,"")))</f>
        <v/>
      </c>
      <c r="AF92" s="78">
        <f>IF($C92="","",IF(PULL_FUND="N","",IFERROR(BDP($C92,PAYOUT_FIELD,YR_OVERRIDE,TEXT(YEAR_Y-4,"0"))/100,"")))</f>
        <v/>
      </c>
      <c r="AG92" s="78">
        <f>IF($C92="","",IF(PULL_FUND="N","",IFERROR(BDP($C92,PAYOUT_FIELD,YR_OVERRIDE,TEXT(YEAR_Y-3,"0"))/100,"")))</f>
        <v/>
      </c>
      <c r="AH92" s="78">
        <f>IF($C92="","",IF(PULL_FUND="N","",IFERROR(BDP($C92,PAYOUT_FIELD,YR_OVERRIDE,TEXT(YEAR_Y-2,"0"))/100,"")))</f>
        <v/>
      </c>
      <c r="AI92" s="78">
        <f>IF($C92="","",IF(PULL_FUND="N","",IFERROR(BDP($C92,PAYOUT_FIELD,YR_OVERRIDE,TEXT(YEAR_Y-1,"0"))/100,"")))</f>
        <v/>
      </c>
      <c r="AJ92" s="79">
        <f>IF($C92="","",IFERROR(AVERAGE(AE92:AI92),""))</f>
        <v/>
      </c>
      <c r="AK92" s="80">
        <f>IF($C92="","",IF(ISNUMBER($AD92)*ISNUMBER($N92)*($AD92&lt;&gt;0)=0,"",$N92/$AD92))</f>
        <v/>
      </c>
      <c r="AL92" s="79">
        <f>IF($C92="","",IF(ISNUMBER($AD92)*($AD92&lt;&gt;0)=0,"",$M92/$AD92))</f>
        <v/>
      </c>
      <c r="AM92" s="37">
        <f>IF($C92="","",IF(ISNUMBER($AE92)*ISNUMBER($AI92)=0,"",IF($AI92&gt;$AE92+0.05,"rising",IF($AI92&lt;$AE92-0.05,"falling","stable"))))</f>
        <v/>
      </c>
      <c r="AN92" s="81">
        <f>IF($C92="","",IF(PULL_FUND="N","",IF(COUNTIFS('Fund History'!$G$488:$G$492,"&gt;="&amp;DATE(YEAR_Y-4,1,1),'Fund History'!$G$488:$G$492,"&lt;="&amp;DATE(YEAR_Y-4,12,31))=0,"",SUMIFS('Fund History'!$H$488:$H$492,'Fund History'!$G$488:$G$492,"&gt;="&amp;DATE(YEAR_Y-4,1,1),'Fund History'!$G$488:$G$492,"&lt;="&amp;DATE(YEAR_Y-4,12,31))/100)))</f>
        <v/>
      </c>
      <c r="AO92" s="82">
        <f>IF($C92="","",IF(PULL_FUND="N","",IF(COUNTIFS('Fund History'!$G$488:$G$492,"&gt;="&amp;DATE(YEAR_Y-3,1,1),'Fund History'!$G$488:$G$492,"&lt;="&amp;DATE(YEAR_Y-3,12,31))=0,"",SUMIFS('Fund History'!$H$488:$H$492,'Fund History'!$G$488:$G$492,"&gt;="&amp;DATE(YEAR_Y-3,1,1),'Fund History'!$G$488:$G$492,"&lt;="&amp;DATE(YEAR_Y-3,12,31))/100)))</f>
        <v/>
      </c>
      <c r="AP92" s="82">
        <f>IF($C92="","",IF(PULL_FUND="N","",IF(COUNTIFS('Fund History'!$G$488:$G$492,"&gt;="&amp;DATE(YEAR_Y-2,1,1),'Fund History'!$G$488:$G$492,"&lt;="&amp;DATE(YEAR_Y-2,12,31))=0,"",SUMIFS('Fund History'!$H$488:$H$492,'Fund History'!$G$488:$G$492,"&gt;="&amp;DATE(YEAR_Y-2,1,1),'Fund History'!$G$488:$G$492,"&lt;="&amp;DATE(YEAR_Y-2,12,31))/100)))</f>
        <v/>
      </c>
      <c r="AQ92" s="82">
        <f>IF($C92="","",IF(PULL_FUND="N","",IF(COUNTIFS('Fund History'!$G$488:$G$492,"&gt;="&amp;DATE(YEAR_Y-1,1,1),'Fund History'!$G$488:$G$492,"&lt;="&amp;DATE(YEAR_Y-1,12,31))=0,"",SUMIFS('Fund History'!$H$488:$H$492,'Fund History'!$G$488:$G$492,"&gt;="&amp;DATE(YEAR_Y-1,1,1),'Fund History'!$G$488:$G$492,"&lt;="&amp;DATE(YEAR_Y-1,12,31))/100)))</f>
        <v/>
      </c>
      <c r="AR92" s="83">
        <f>IF($C92="","",IF(N($AQ92)+N(HSI!$I$87)=0,"",N($AQ92)+N(HSI!$I$87)/100))</f>
        <v/>
      </c>
      <c r="AS92" s="75">
        <f>IF($C92="","",IF(PULL_FUND="N","",IF(COUNTIFS('Fund History'!$D$488:$D$492,"&gt;="&amp;DATE(YEAR_Y-2,1,1),'Fund History'!$D$488:$D$492,"&lt;="&amp;DATE(YEAR_Y-2,12,31))=0,"",SUMIFS('Fund History'!$E$488:$E$492,'Fund History'!$D$488:$D$492,"&gt;="&amp;DATE(YEAR_Y-2,1,1),'Fund History'!$D$488:$D$492,"&lt;="&amp;DATE(YEAR_Y-2,12,31)))))</f>
        <v/>
      </c>
      <c r="AT92" s="76">
        <f>IF($C92="","",IF(PULL_FUND="N","",IF(COUNTIFS('Fund History'!$D$488:$D$492,"&gt;="&amp;DATE(YEAR_Y-1,1,1),'Fund History'!$D$488:$D$492,"&lt;="&amp;DATE(YEAR_Y-1,12,31))=0,"",SUMIFS('Fund History'!$E$488:$E$492,'Fund History'!$D$488:$D$492,"&gt;="&amp;DATE(YEAR_Y-1,1,1),'Fund History'!$D$488:$D$492,"&lt;="&amp;DATE(YEAR_Y-1,12,31)))))</f>
        <v/>
      </c>
      <c r="AU92" s="76">
        <f>IF($C92="","",IF(PULL_FUND="N","",IFERROR(BDP($C92,NDEBITDA_FIELD),"")))</f>
        <v/>
      </c>
      <c r="AV92" s="84">
        <f>IF($C92="","",IF(PULL_FUND="N","",IFERROR(BDP($C92,EBINT_FIELD),"")))</f>
        <v/>
      </c>
      <c r="AW92" s="82">
        <f>IF($C92="","",IF(PULL_FUND="N","",IFERROR(BDP($C92,FCF_FIELD)/100,"")))</f>
        <v/>
      </c>
      <c r="AX92" s="50">
        <f>IF($C92="","",IF(N($U92)=0,"",IFERROR($AW92/$U92,"")))</f>
        <v/>
      </c>
      <c r="AY92" s="85">
        <f>IF($C92="","",TRIM(IF(ISNUMBER($AJ92)*(N($AJ92)&gt;$D$4)&gt;0,"payout high  ","")&amp;IF(ISNUMBER($AX92)*(N($AX92)&lt;$F$4)&gt;0,"FCF below dvd  ","")&amp;IF(ISNUMBER($AU92)*(N($AU92)&gt;$H$4)&gt;0,"leverage high","")))</f>
        <v/>
      </c>
      <c r="AZ92" s="86">
        <f>IF($C92="","",IF(HSI!$F$87="HKD","",HSI!$F$87))</f>
        <v/>
      </c>
    </row>
    <row r="93">
      <c r="B93" s="66" t="inlineStr">
        <is>
          <t>HSI</t>
        </is>
      </c>
      <c r="C93" s="8">
        <f>IF(HSI!$C$88="","",HSI!$C$88)</f>
        <v/>
      </c>
      <c r="D93" s="8">
        <f>IF($C93="","",HSI!$D$88)</f>
        <v/>
      </c>
      <c r="E93" s="8">
        <f>IF($C93="","",HSI!$E$88)</f>
        <v/>
      </c>
      <c r="F93" s="67">
        <f>IF($C93="","",SUMPRODUCT(('Dvd Calendar'!$E$902:$AR$902&gt;=DATE(YEAR_Y-5,1,1))*('Dvd Calendar'!$E$902:$AR$902&lt;=DATE(YEAR_Y-5,12,31))*'Dvd Calendar'!$E$905:$AR$905*(('Dvd Calendar'!$E$907:$AR$907=TYPE1)*(TYPE1&lt;&gt;"")+('Dvd Calendar'!$E$907:$AR$907=TYPE2)*(TYPE2&lt;&gt;"")+('Dvd Calendar'!$E$907:$AR$907=TYPE3)*(TYPE3&lt;&gt;"")+('Dvd Calendar'!$E$907:$AR$907=TYPE4)*(TYPE4&lt;&gt;"")+('Dvd Calendar'!$E$907:$AR$907=SPECIAL_LBL)*(INC_SPECIALS="Y"))))</f>
        <v/>
      </c>
      <c r="G93" s="68">
        <f>IF($C93="","",SUMPRODUCT(('Dvd Calendar'!$E$902:$AR$902&gt;=DATE(YEAR_Y-4,1,1))*('Dvd Calendar'!$E$902:$AR$902&lt;=DATE(YEAR_Y-4,12,31))*'Dvd Calendar'!$E$905:$AR$905*(('Dvd Calendar'!$E$907:$AR$907=TYPE1)*(TYPE1&lt;&gt;"")+('Dvd Calendar'!$E$907:$AR$907=TYPE2)*(TYPE2&lt;&gt;"")+('Dvd Calendar'!$E$907:$AR$907=TYPE3)*(TYPE3&lt;&gt;"")+('Dvd Calendar'!$E$907:$AR$907=TYPE4)*(TYPE4&lt;&gt;"")+('Dvd Calendar'!$E$907:$AR$907=SPECIAL_LBL)*(INC_SPECIALS="Y"))))</f>
        <v/>
      </c>
      <c r="H93" s="68">
        <f>IF($C93="","",SUMPRODUCT(('Dvd Calendar'!$E$902:$AR$902&gt;=DATE(YEAR_Y-3,1,1))*('Dvd Calendar'!$E$902:$AR$902&lt;=DATE(YEAR_Y-3,12,31))*'Dvd Calendar'!$E$905:$AR$905*(('Dvd Calendar'!$E$907:$AR$907=TYPE1)*(TYPE1&lt;&gt;"")+('Dvd Calendar'!$E$907:$AR$907=TYPE2)*(TYPE2&lt;&gt;"")+('Dvd Calendar'!$E$907:$AR$907=TYPE3)*(TYPE3&lt;&gt;"")+('Dvd Calendar'!$E$907:$AR$907=TYPE4)*(TYPE4&lt;&gt;"")+('Dvd Calendar'!$E$907:$AR$907=SPECIAL_LBL)*(INC_SPECIALS="Y"))))</f>
        <v/>
      </c>
      <c r="I93" s="68">
        <f>IF($C93="","",SUMPRODUCT(('Dvd Calendar'!$E$902:$AR$902&gt;=DATE(YEAR_Y-2,1,1))*('Dvd Calendar'!$E$902:$AR$902&lt;=DATE(YEAR_Y-2,12,31))*'Dvd Calendar'!$E$905:$AR$905*(('Dvd Calendar'!$E$907:$AR$907=TYPE1)*(TYPE1&lt;&gt;"")+('Dvd Calendar'!$E$907:$AR$907=TYPE2)*(TYPE2&lt;&gt;"")+('Dvd Calendar'!$E$907:$AR$907=TYPE3)*(TYPE3&lt;&gt;"")+('Dvd Calendar'!$E$907:$AR$907=TYPE4)*(TYPE4&lt;&gt;"")+('Dvd Calendar'!$E$907:$AR$907=SPECIAL_LBL)*(INC_SPECIALS="Y"))))</f>
        <v/>
      </c>
      <c r="J93" s="68">
        <f>IF($C93="","",SUMPRODUCT(('Dvd Calendar'!$E$902:$AR$902&gt;=DATE(YEAR_Y-1,1,1))*('Dvd Calendar'!$E$902:$AR$902&lt;=DATE(YEAR_Y-1,12,31))*'Dvd Calendar'!$E$905:$AR$905*(('Dvd Calendar'!$E$907:$AR$907=TYPE1)*(TYPE1&lt;&gt;"")+('Dvd Calendar'!$E$907:$AR$907=TYPE2)*(TYPE2&lt;&gt;"")+('Dvd Calendar'!$E$907:$AR$907=TYPE3)*(TYPE3&lt;&gt;"")+('Dvd Calendar'!$E$907:$AR$907=TYPE4)*(TYPE4&lt;&gt;"")+('Dvd Calendar'!$E$907:$AR$907=SPECIAL_LBL)*(INC_SPECIALS="Y"))))</f>
        <v/>
      </c>
      <c r="K93" s="69">
        <f>IF($C93="","",HSI!$J$88)</f>
        <v/>
      </c>
      <c r="L93" s="69">
        <f>IF($C93="","",HSI!$K$88)</f>
        <v/>
      </c>
      <c r="M93" s="44">
        <f>IF($C93="","",HSI!$J$88+HSI!$L$88)</f>
        <v/>
      </c>
      <c r="N93" s="70">
        <f>IF($C93="","",IF(PULL_FUND="N","",IFERROR(BDP($C93,BESTDPS_FIELD,FWD_OVERRIDE,TEXT(MOD(YEAR_Y,100),"00")&amp;"Y"),"")))</f>
        <v/>
      </c>
      <c r="O93" s="69">
        <f>IF($C93="","",AVERAGE(F93:J93))</f>
        <v/>
      </c>
      <c r="P93" s="71">
        <f>IF($C93="","",IF(PULL_FUND="N","",IF(COUNTIFS('Fund History'!$J$494:$J$498,"&gt;="&amp;DATE(YEAR_Y-5,1,1),'Fund History'!$J$494:$J$498,"&lt;="&amp;DATE(YEAR_Y-5,12,31))=0,"",IFERROR($F93*HSI!$G$88/SUMIFS('Fund History'!$K$494:$K$498,'Fund History'!$J$494:$J$498,"&gt;="&amp;DATE(YEAR_Y-5,1,1),'Fund History'!$J$494:$J$498,"&lt;="&amp;DATE(YEAR_Y-5,12,31)),""))))</f>
        <v/>
      </c>
      <c r="Q93" s="72">
        <f>IF($C93="","",IF(PULL_FUND="N","",IF(COUNTIFS('Fund History'!$J$494:$J$498,"&gt;="&amp;DATE(YEAR_Y-4,1,1),'Fund History'!$J$494:$J$498,"&lt;="&amp;DATE(YEAR_Y-4,12,31))=0,"",IFERROR($G93*HSI!$G$88/SUMIFS('Fund History'!$K$494:$K$498,'Fund History'!$J$494:$J$498,"&gt;="&amp;DATE(YEAR_Y-4,1,1),'Fund History'!$J$494:$J$498,"&lt;="&amp;DATE(YEAR_Y-4,12,31)),""))))</f>
        <v/>
      </c>
      <c r="R93" s="72">
        <f>IF($C93="","",IF(PULL_FUND="N","",IF(COUNTIFS('Fund History'!$J$494:$J$498,"&gt;="&amp;DATE(YEAR_Y-3,1,1),'Fund History'!$J$494:$J$498,"&lt;="&amp;DATE(YEAR_Y-3,12,31))=0,"",IFERROR($H93*HSI!$G$88/SUMIFS('Fund History'!$K$494:$K$498,'Fund History'!$J$494:$J$498,"&gt;="&amp;DATE(YEAR_Y-3,1,1),'Fund History'!$J$494:$J$498,"&lt;="&amp;DATE(YEAR_Y-3,12,31)),""))))</f>
        <v/>
      </c>
      <c r="S93" s="72">
        <f>IF($C93="","",IF(PULL_FUND="N","",IF(COUNTIFS('Fund History'!$J$494:$J$498,"&gt;="&amp;DATE(YEAR_Y-2,1,1),'Fund History'!$J$494:$J$498,"&lt;="&amp;DATE(YEAR_Y-2,12,31))=0,"",IFERROR($I93*HSI!$G$88/SUMIFS('Fund History'!$K$494:$K$498,'Fund History'!$J$494:$J$498,"&gt;="&amp;DATE(YEAR_Y-2,1,1),'Fund History'!$J$494:$J$498,"&lt;="&amp;DATE(YEAR_Y-2,12,31)),""))))</f>
        <v/>
      </c>
      <c r="T93" s="72">
        <f>IF($C93="","",IF(PULL_FUND="N","",IF(COUNTIFS('Fund History'!$J$494:$J$498,"&gt;="&amp;DATE(YEAR_Y-1,1,1),'Fund History'!$J$494:$J$498,"&lt;="&amp;DATE(YEAR_Y-1,12,31))=0,"",IFERROR($J93*HSI!$G$88/SUMIFS('Fund History'!$K$494:$K$498,'Fund History'!$J$494:$J$498,"&gt;="&amp;DATE(YEAR_Y-1,1,1),'Fund History'!$J$494:$J$498,"&lt;="&amp;DATE(YEAR_Y-1,12,31)),""))))</f>
        <v/>
      </c>
      <c r="U93" s="73">
        <f>IF($C93="","",IF(ISNUMBER(HSI!$I$88),HSI!$I$88/100,""))</f>
        <v/>
      </c>
      <c r="V93" s="74">
        <f>IF($C93="","",IF(ISNUMBER(HSI!$X$88),IFERROR($M93*HSI!$G$88/HSI!$X$88,""),""))</f>
        <v/>
      </c>
      <c r="W93" s="73">
        <f>IF($C93="","",IF(ISNUMBER($N93),IFERROR($N93*HSI!$G$88/HSI!$X$88,""),""))</f>
        <v/>
      </c>
      <c r="X93" s="75">
        <f>IF($C93="","",IF(PULL_FUND="N","",IFERROR(BDP($C93,EPS_FIELD,YR_OVERRIDE,TEXT(YEAR_Y-5,"0")),"")))</f>
        <v/>
      </c>
      <c r="Y93" s="76">
        <f>IF($C93="","",IF(PULL_FUND="N","",IFERROR(BDP($C93,EPS_FIELD,YR_OVERRIDE,TEXT(YEAR_Y-4,"0")),"")))</f>
        <v/>
      </c>
      <c r="Z93" s="76">
        <f>IF($C93="","",IF(PULL_FUND="N","",IFERROR(BDP($C93,EPS_FIELD,YR_OVERRIDE,TEXT(YEAR_Y-3,"0")),"")))</f>
        <v/>
      </c>
      <c r="AA93" s="76">
        <f>IF($C93="","",IF(PULL_FUND="N","",IFERROR(BDP($C93,EPS_FIELD,YR_OVERRIDE,TEXT(YEAR_Y-2,"0")),"")))</f>
        <v/>
      </c>
      <c r="AB93" s="76">
        <f>IF($C93="","",IF(PULL_FUND="N","",IFERROR(BDP($C93,EPS_FIELD,YR_OVERRIDE,TEXT(YEAR_Y-1,"0")),"")))</f>
        <v/>
      </c>
      <c r="AC93" s="50">
        <f>IF($C93="","",IFERROR(AVERAGE(X93:AB93),""))</f>
        <v/>
      </c>
      <c r="AD93" s="76">
        <f>IF($C93="","",IF(PULL_FUND="N","",IFERROR(BDP($C93,BESTEPS_FIELD,FWD_OVERRIDE,TEXT(MOD(YEAR_Y,100),"00")&amp;"Y"),"")))</f>
        <v/>
      </c>
      <c r="AE93" s="77">
        <f>IF($C93="","",IF(PULL_FUND="N","",IFERROR(BDP($C93,PAYOUT_FIELD,YR_OVERRIDE,TEXT(YEAR_Y-5,"0"))/100,"")))</f>
        <v/>
      </c>
      <c r="AF93" s="78">
        <f>IF($C93="","",IF(PULL_FUND="N","",IFERROR(BDP($C93,PAYOUT_FIELD,YR_OVERRIDE,TEXT(YEAR_Y-4,"0"))/100,"")))</f>
        <v/>
      </c>
      <c r="AG93" s="78">
        <f>IF($C93="","",IF(PULL_FUND="N","",IFERROR(BDP($C93,PAYOUT_FIELD,YR_OVERRIDE,TEXT(YEAR_Y-3,"0"))/100,"")))</f>
        <v/>
      </c>
      <c r="AH93" s="78">
        <f>IF($C93="","",IF(PULL_FUND="N","",IFERROR(BDP($C93,PAYOUT_FIELD,YR_OVERRIDE,TEXT(YEAR_Y-2,"0"))/100,"")))</f>
        <v/>
      </c>
      <c r="AI93" s="78">
        <f>IF($C93="","",IF(PULL_FUND="N","",IFERROR(BDP($C93,PAYOUT_FIELD,YR_OVERRIDE,TEXT(YEAR_Y-1,"0"))/100,"")))</f>
        <v/>
      </c>
      <c r="AJ93" s="79">
        <f>IF($C93="","",IFERROR(AVERAGE(AE93:AI93),""))</f>
        <v/>
      </c>
      <c r="AK93" s="80">
        <f>IF($C93="","",IF(ISNUMBER($AD93)*ISNUMBER($N93)*($AD93&lt;&gt;0)=0,"",$N93/$AD93))</f>
        <v/>
      </c>
      <c r="AL93" s="79">
        <f>IF($C93="","",IF(ISNUMBER($AD93)*($AD93&lt;&gt;0)=0,"",$M93/$AD93))</f>
        <v/>
      </c>
      <c r="AM93" s="37">
        <f>IF($C93="","",IF(ISNUMBER($AE93)*ISNUMBER($AI93)=0,"",IF($AI93&gt;$AE93+0.05,"rising",IF($AI93&lt;$AE93-0.05,"falling","stable"))))</f>
        <v/>
      </c>
      <c r="AN93" s="81">
        <f>IF($C93="","",IF(PULL_FUND="N","",IF(COUNTIFS('Fund History'!$G$494:$G$498,"&gt;="&amp;DATE(YEAR_Y-4,1,1),'Fund History'!$G$494:$G$498,"&lt;="&amp;DATE(YEAR_Y-4,12,31))=0,"",SUMIFS('Fund History'!$H$494:$H$498,'Fund History'!$G$494:$G$498,"&gt;="&amp;DATE(YEAR_Y-4,1,1),'Fund History'!$G$494:$G$498,"&lt;="&amp;DATE(YEAR_Y-4,12,31))/100)))</f>
        <v/>
      </c>
      <c r="AO93" s="82">
        <f>IF($C93="","",IF(PULL_FUND="N","",IF(COUNTIFS('Fund History'!$G$494:$G$498,"&gt;="&amp;DATE(YEAR_Y-3,1,1),'Fund History'!$G$494:$G$498,"&lt;="&amp;DATE(YEAR_Y-3,12,31))=0,"",SUMIFS('Fund History'!$H$494:$H$498,'Fund History'!$G$494:$G$498,"&gt;="&amp;DATE(YEAR_Y-3,1,1),'Fund History'!$G$494:$G$498,"&lt;="&amp;DATE(YEAR_Y-3,12,31))/100)))</f>
        <v/>
      </c>
      <c r="AP93" s="82">
        <f>IF($C93="","",IF(PULL_FUND="N","",IF(COUNTIFS('Fund History'!$G$494:$G$498,"&gt;="&amp;DATE(YEAR_Y-2,1,1),'Fund History'!$G$494:$G$498,"&lt;="&amp;DATE(YEAR_Y-2,12,31))=0,"",SUMIFS('Fund History'!$H$494:$H$498,'Fund History'!$G$494:$G$498,"&gt;="&amp;DATE(YEAR_Y-2,1,1),'Fund History'!$G$494:$G$498,"&lt;="&amp;DATE(YEAR_Y-2,12,31))/100)))</f>
        <v/>
      </c>
      <c r="AQ93" s="82">
        <f>IF($C93="","",IF(PULL_FUND="N","",IF(COUNTIFS('Fund History'!$G$494:$G$498,"&gt;="&amp;DATE(YEAR_Y-1,1,1),'Fund History'!$G$494:$G$498,"&lt;="&amp;DATE(YEAR_Y-1,12,31))=0,"",SUMIFS('Fund History'!$H$494:$H$498,'Fund History'!$G$494:$G$498,"&gt;="&amp;DATE(YEAR_Y-1,1,1),'Fund History'!$G$494:$G$498,"&lt;="&amp;DATE(YEAR_Y-1,12,31))/100)))</f>
        <v/>
      </c>
      <c r="AR93" s="83">
        <f>IF($C93="","",IF(N($AQ93)+N(HSI!$I$88)=0,"",N($AQ93)+N(HSI!$I$88)/100))</f>
        <v/>
      </c>
      <c r="AS93" s="75">
        <f>IF($C93="","",IF(PULL_FUND="N","",IF(COUNTIFS('Fund History'!$D$494:$D$498,"&gt;="&amp;DATE(YEAR_Y-2,1,1),'Fund History'!$D$494:$D$498,"&lt;="&amp;DATE(YEAR_Y-2,12,31))=0,"",SUMIFS('Fund History'!$E$494:$E$498,'Fund History'!$D$494:$D$498,"&gt;="&amp;DATE(YEAR_Y-2,1,1),'Fund History'!$D$494:$D$498,"&lt;="&amp;DATE(YEAR_Y-2,12,31)))))</f>
        <v/>
      </c>
      <c r="AT93" s="76">
        <f>IF($C93="","",IF(PULL_FUND="N","",IF(COUNTIFS('Fund History'!$D$494:$D$498,"&gt;="&amp;DATE(YEAR_Y-1,1,1),'Fund History'!$D$494:$D$498,"&lt;="&amp;DATE(YEAR_Y-1,12,31))=0,"",SUMIFS('Fund History'!$E$494:$E$498,'Fund History'!$D$494:$D$498,"&gt;="&amp;DATE(YEAR_Y-1,1,1),'Fund History'!$D$494:$D$498,"&lt;="&amp;DATE(YEAR_Y-1,12,31)))))</f>
        <v/>
      </c>
      <c r="AU93" s="76">
        <f>IF($C93="","",IF(PULL_FUND="N","",IFERROR(BDP($C93,NDEBITDA_FIELD),"")))</f>
        <v/>
      </c>
      <c r="AV93" s="84">
        <f>IF($C93="","",IF(PULL_FUND="N","",IFERROR(BDP($C93,EBINT_FIELD),"")))</f>
        <v/>
      </c>
      <c r="AW93" s="82">
        <f>IF($C93="","",IF(PULL_FUND="N","",IFERROR(BDP($C93,FCF_FIELD)/100,"")))</f>
        <v/>
      </c>
      <c r="AX93" s="50">
        <f>IF($C93="","",IF(N($U93)=0,"",IFERROR($AW93/$U93,"")))</f>
        <v/>
      </c>
      <c r="AY93" s="85">
        <f>IF($C93="","",TRIM(IF(ISNUMBER($AJ93)*(N($AJ93)&gt;$D$4)&gt;0,"payout high  ","")&amp;IF(ISNUMBER($AX93)*(N($AX93)&lt;$F$4)&gt;0,"FCF below dvd  ","")&amp;IF(ISNUMBER($AU93)*(N($AU93)&gt;$H$4)&gt;0,"leverage high","")))</f>
        <v/>
      </c>
      <c r="AZ93" s="86">
        <f>IF($C93="","",IF(HSI!$F$88="HKD","",HSI!$F$88))</f>
        <v/>
      </c>
    </row>
    <row r="94">
      <c r="B94" s="66" t="inlineStr">
        <is>
          <t>HSI</t>
        </is>
      </c>
      <c r="C94" s="8">
        <f>IF(HSI!$C$89="","",HSI!$C$89)</f>
        <v/>
      </c>
      <c r="D94" s="8">
        <f>IF($C94="","",HSI!$D$89)</f>
        <v/>
      </c>
      <c r="E94" s="8">
        <f>IF($C94="","",HSI!$E$89)</f>
        <v/>
      </c>
      <c r="F94" s="67">
        <f>IF($C94="","",SUMPRODUCT(('Dvd Calendar'!$E$913:$AR$913&gt;=DATE(YEAR_Y-5,1,1))*('Dvd Calendar'!$E$913:$AR$913&lt;=DATE(YEAR_Y-5,12,31))*'Dvd Calendar'!$E$916:$AR$916*(('Dvd Calendar'!$E$918:$AR$918=TYPE1)*(TYPE1&lt;&gt;"")+('Dvd Calendar'!$E$918:$AR$918=TYPE2)*(TYPE2&lt;&gt;"")+('Dvd Calendar'!$E$918:$AR$918=TYPE3)*(TYPE3&lt;&gt;"")+('Dvd Calendar'!$E$918:$AR$918=TYPE4)*(TYPE4&lt;&gt;"")+('Dvd Calendar'!$E$918:$AR$918=SPECIAL_LBL)*(INC_SPECIALS="Y"))))</f>
        <v/>
      </c>
      <c r="G94" s="68">
        <f>IF($C94="","",SUMPRODUCT(('Dvd Calendar'!$E$913:$AR$913&gt;=DATE(YEAR_Y-4,1,1))*('Dvd Calendar'!$E$913:$AR$913&lt;=DATE(YEAR_Y-4,12,31))*'Dvd Calendar'!$E$916:$AR$916*(('Dvd Calendar'!$E$918:$AR$918=TYPE1)*(TYPE1&lt;&gt;"")+('Dvd Calendar'!$E$918:$AR$918=TYPE2)*(TYPE2&lt;&gt;"")+('Dvd Calendar'!$E$918:$AR$918=TYPE3)*(TYPE3&lt;&gt;"")+('Dvd Calendar'!$E$918:$AR$918=TYPE4)*(TYPE4&lt;&gt;"")+('Dvd Calendar'!$E$918:$AR$918=SPECIAL_LBL)*(INC_SPECIALS="Y"))))</f>
        <v/>
      </c>
      <c r="H94" s="68">
        <f>IF($C94="","",SUMPRODUCT(('Dvd Calendar'!$E$913:$AR$913&gt;=DATE(YEAR_Y-3,1,1))*('Dvd Calendar'!$E$913:$AR$913&lt;=DATE(YEAR_Y-3,12,31))*'Dvd Calendar'!$E$916:$AR$916*(('Dvd Calendar'!$E$918:$AR$918=TYPE1)*(TYPE1&lt;&gt;"")+('Dvd Calendar'!$E$918:$AR$918=TYPE2)*(TYPE2&lt;&gt;"")+('Dvd Calendar'!$E$918:$AR$918=TYPE3)*(TYPE3&lt;&gt;"")+('Dvd Calendar'!$E$918:$AR$918=TYPE4)*(TYPE4&lt;&gt;"")+('Dvd Calendar'!$E$918:$AR$918=SPECIAL_LBL)*(INC_SPECIALS="Y"))))</f>
        <v/>
      </c>
      <c r="I94" s="68">
        <f>IF($C94="","",SUMPRODUCT(('Dvd Calendar'!$E$913:$AR$913&gt;=DATE(YEAR_Y-2,1,1))*('Dvd Calendar'!$E$913:$AR$913&lt;=DATE(YEAR_Y-2,12,31))*'Dvd Calendar'!$E$916:$AR$916*(('Dvd Calendar'!$E$918:$AR$918=TYPE1)*(TYPE1&lt;&gt;"")+('Dvd Calendar'!$E$918:$AR$918=TYPE2)*(TYPE2&lt;&gt;"")+('Dvd Calendar'!$E$918:$AR$918=TYPE3)*(TYPE3&lt;&gt;"")+('Dvd Calendar'!$E$918:$AR$918=TYPE4)*(TYPE4&lt;&gt;"")+('Dvd Calendar'!$E$918:$AR$918=SPECIAL_LBL)*(INC_SPECIALS="Y"))))</f>
        <v/>
      </c>
      <c r="J94" s="68">
        <f>IF($C94="","",SUMPRODUCT(('Dvd Calendar'!$E$913:$AR$913&gt;=DATE(YEAR_Y-1,1,1))*('Dvd Calendar'!$E$913:$AR$913&lt;=DATE(YEAR_Y-1,12,31))*'Dvd Calendar'!$E$916:$AR$916*(('Dvd Calendar'!$E$918:$AR$918=TYPE1)*(TYPE1&lt;&gt;"")+('Dvd Calendar'!$E$918:$AR$918=TYPE2)*(TYPE2&lt;&gt;"")+('Dvd Calendar'!$E$918:$AR$918=TYPE3)*(TYPE3&lt;&gt;"")+('Dvd Calendar'!$E$918:$AR$918=TYPE4)*(TYPE4&lt;&gt;"")+('Dvd Calendar'!$E$918:$AR$918=SPECIAL_LBL)*(INC_SPECIALS="Y"))))</f>
        <v/>
      </c>
      <c r="K94" s="69">
        <f>IF($C94="","",HSI!$J$89)</f>
        <v/>
      </c>
      <c r="L94" s="69">
        <f>IF($C94="","",HSI!$K$89)</f>
        <v/>
      </c>
      <c r="M94" s="44">
        <f>IF($C94="","",HSI!$J$89+HSI!$L$89)</f>
        <v/>
      </c>
      <c r="N94" s="70">
        <f>IF($C94="","",IF(PULL_FUND="N","",IFERROR(BDP($C94,BESTDPS_FIELD,FWD_OVERRIDE,TEXT(MOD(YEAR_Y,100),"00")&amp;"Y"),"")))</f>
        <v/>
      </c>
      <c r="O94" s="69">
        <f>IF($C94="","",AVERAGE(F94:J94))</f>
        <v/>
      </c>
      <c r="P94" s="71">
        <f>IF($C94="","",IF(PULL_FUND="N","",IF(COUNTIFS('Fund History'!$J$500:$J$504,"&gt;="&amp;DATE(YEAR_Y-5,1,1),'Fund History'!$J$500:$J$504,"&lt;="&amp;DATE(YEAR_Y-5,12,31))=0,"",IFERROR($F94*HSI!$G$89/SUMIFS('Fund History'!$K$500:$K$504,'Fund History'!$J$500:$J$504,"&gt;="&amp;DATE(YEAR_Y-5,1,1),'Fund History'!$J$500:$J$504,"&lt;="&amp;DATE(YEAR_Y-5,12,31)),""))))</f>
        <v/>
      </c>
      <c r="Q94" s="72">
        <f>IF($C94="","",IF(PULL_FUND="N","",IF(COUNTIFS('Fund History'!$J$500:$J$504,"&gt;="&amp;DATE(YEAR_Y-4,1,1),'Fund History'!$J$500:$J$504,"&lt;="&amp;DATE(YEAR_Y-4,12,31))=0,"",IFERROR($G94*HSI!$G$89/SUMIFS('Fund History'!$K$500:$K$504,'Fund History'!$J$500:$J$504,"&gt;="&amp;DATE(YEAR_Y-4,1,1),'Fund History'!$J$500:$J$504,"&lt;="&amp;DATE(YEAR_Y-4,12,31)),""))))</f>
        <v/>
      </c>
      <c r="R94" s="72">
        <f>IF($C94="","",IF(PULL_FUND="N","",IF(COUNTIFS('Fund History'!$J$500:$J$504,"&gt;="&amp;DATE(YEAR_Y-3,1,1),'Fund History'!$J$500:$J$504,"&lt;="&amp;DATE(YEAR_Y-3,12,31))=0,"",IFERROR($H94*HSI!$G$89/SUMIFS('Fund History'!$K$500:$K$504,'Fund History'!$J$500:$J$504,"&gt;="&amp;DATE(YEAR_Y-3,1,1),'Fund History'!$J$500:$J$504,"&lt;="&amp;DATE(YEAR_Y-3,12,31)),""))))</f>
        <v/>
      </c>
      <c r="S94" s="72">
        <f>IF($C94="","",IF(PULL_FUND="N","",IF(COUNTIFS('Fund History'!$J$500:$J$504,"&gt;="&amp;DATE(YEAR_Y-2,1,1),'Fund History'!$J$500:$J$504,"&lt;="&amp;DATE(YEAR_Y-2,12,31))=0,"",IFERROR($I94*HSI!$G$89/SUMIFS('Fund History'!$K$500:$K$504,'Fund History'!$J$500:$J$504,"&gt;="&amp;DATE(YEAR_Y-2,1,1),'Fund History'!$J$500:$J$504,"&lt;="&amp;DATE(YEAR_Y-2,12,31)),""))))</f>
        <v/>
      </c>
      <c r="T94" s="72">
        <f>IF($C94="","",IF(PULL_FUND="N","",IF(COUNTIFS('Fund History'!$J$500:$J$504,"&gt;="&amp;DATE(YEAR_Y-1,1,1),'Fund History'!$J$500:$J$504,"&lt;="&amp;DATE(YEAR_Y-1,12,31))=0,"",IFERROR($J94*HSI!$G$89/SUMIFS('Fund History'!$K$500:$K$504,'Fund History'!$J$500:$J$504,"&gt;="&amp;DATE(YEAR_Y-1,1,1),'Fund History'!$J$500:$J$504,"&lt;="&amp;DATE(YEAR_Y-1,12,31)),""))))</f>
        <v/>
      </c>
      <c r="U94" s="73">
        <f>IF($C94="","",IF(ISNUMBER(HSI!$I$89),HSI!$I$89/100,""))</f>
        <v/>
      </c>
      <c r="V94" s="74">
        <f>IF($C94="","",IF(ISNUMBER(HSI!$X$89),IFERROR($M94*HSI!$G$89/HSI!$X$89,""),""))</f>
        <v/>
      </c>
      <c r="W94" s="73">
        <f>IF($C94="","",IF(ISNUMBER($N94),IFERROR($N94*HSI!$G$89/HSI!$X$89,""),""))</f>
        <v/>
      </c>
      <c r="X94" s="75">
        <f>IF($C94="","",IF(PULL_FUND="N","",IFERROR(BDP($C94,EPS_FIELD,YR_OVERRIDE,TEXT(YEAR_Y-5,"0")),"")))</f>
        <v/>
      </c>
      <c r="Y94" s="76">
        <f>IF($C94="","",IF(PULL_FUND="N","",IFERROR(BDP($C94,EPS_FIELD,YR_OVERRIDE,TEXT(YEAR_Y-4,"0")),"")))</f>
        <v/>
      </c>
      <c r="Z94" s="76">
        <f>IF($C94="","",IF(PULL_FUND="N","",IFERROR(BDP($C94,EPS_FIELD,YR_OVERRIDE,TEXT(YEAR_Y-3,"0")),"")))</f>
        <v/>
      </c>
      <c r="AA94" s="76">
        <f>IF($C94="","",IF(PULL_FUND="N","",IFERROR(BDP($C94,EPS_FIELD,YR_OVERRIDE,TEXT(YEAR_Y-2,"0")),"")))</f>
        <v/>
      </c>
      <c r="AB94" s="76">
        <f>IF($C94="","",IF(PULL_FUND="N","",IFERROR(BDP($C94,EPS_FIELD,YR_OVERRIDE,TEXT(YEAR_Y-1,"0")),"")))</f>
        <v/>
      </c>
      <c r="AC94" s="50">
        <f>IF($C94="","",IFERROR(AVERAGE(X94:AB94),""))</f>
        <v/>
      </c>
      <c r="AD94" s="76">
        <f>IF($C94="","",IF(PULL_FUND="N","",IFERROR(BDP($C94,BESTEPS_FIELD,FWD_OVERRIDE,TEXT(MOD(YEAR_Y,100),"00")&amp;"Y"),"")))</f>
        <v/>
      </c>
      <c r="AE94" s="77">
        <f>IF($C94="","",IF(PULL_FUND="N","",IFERROR(BDP($C94,PAYOUT_FIELD,YR_OVERRIDE,TEXT(YEAR_Y-5,"0"))/100,"")))</f>
        <v/>
      </c>
      <c r="AF94" s="78">
        <f>IF($C94="","",IF(PULL_FUND="N","",IFERROR(BDP($C94,PAYOUT_FIELD,YR_OVERRIDE,TEXT(YEAR_Y-4,"0"))/100,"")))</f>
        <v/>
      </c>
      <c r="AG94" s="78">
        <f>IF($C94="","",IF(PULL_FUND="N","",IFERROR(BDP($C94,PAYOUT_FIELD,YR_OVERRIDE,TEXT(YEAR_Y-3,"0"))/100,"")))</f>
        <v/>
      </c>
      <c r="AH94" s="78">
        <f>IF($C94="","",IF(PULL_FUND="N","",IFERROR(BDP($C94,PAYOUT_FIELD,YR_OVERRIDE,TEXT(YEAR_Y-2,"0"))/100,"")))</f>
        <v/>
      </c>
      <c r="AI94" s="78">
        <f>IF($C94="","",IF(PULL_FUND="N","",IFERROR(BDP($C94,PAYOUT_FIELD,YR_OVERRIDE,TEXT(YEAR_Y-1,"0"))/100,"")))</f>
        <v/>
      </c>
      <c r="AJ94" s="79">
        <f>IF($C94="","",IFERROR(AVERAGE(AE94:AI94),""))</f>
        <v/>
      </c>
      <c r="AK94" s="80">
        <f>IF($C94="","",IF(ISNUMBER($AD94)*ISNUMBER($N94)*($AD94&lt;&gt;0)=0,"",$N94/$AD94))</f>
        <v/>
      </c>
      <c r="AL94" s="79">
        <f>IF($C94="","",IF(ISNUMBER($AD94)*($AD94&lt;&gt;0)=0,"",$M94/$AD94))</f>
        <v/>
      </c>
      <c r="AM94" s="37">
        <f>IF($C94="","",IF(ISNUMBER($AE94)*ISNUMBER($AI94)=0,"",IF($AI94&gt;$AE94+0.05,"rising",IF($AI94&lt;$AE94-0.05,"falling","stable"))))</f>
        <v/>
      </c>
      <c r="AN94" s="81">
        <f>IF($C94="","",IF(PULL_FUND="N","",IF(COUNTIFS('Fund History'!$G$500:$G$504,"&gt;="&amp;DATE(YEAR_Y-4,1,1),'Fund History'!$G$500:$G$504,"&lt;="&amp;DATE(YEAR_Y-4,12,31))=0,"",SUMIFS('Fund History'!$H$500:$H$504,'Fund History'!$G$500:$G$504,"&gt;="&amp;DATE(YEAR_Y-4,1,1),'Fund History'!$G$500:$G$504,"&lt;="&amp;DATE(YEAR_Y-4,12,31))/100)))</f>
        <v/>
      </c>
      <c r="AO94" s="82">
        <f>IF($C94="","",IF(PULL_FUND="N","",IF(COUNTIFS('Fund History'!$G$500:$G$504,"&gt;="&amp;DATE(YEAR_Y-3,1,1),'Fund History'!$G$500:$G$504,"&lt;="&amp;DATE(YEAR_Y-3,12,31))=0,"",SUMIFS('Fund History'!$H$500:$H$504,'Fund History'!$G$500:$G$504,"&gt;="&amp;DATE(YEAR_Y-3,1,1),'Fund History'!$G$500:$G$504,"&lt;="&amp;DATE(YEAR_Y-3,12,31))/100)))</f>
        <v/>
      </c>
      <c r="AP94" s="82">
        <f>IF($C94="","",IF(PULL_FUND="N","",IF(COUNTIFS('Fund History'!$G$500:$G$504,"&gt;="&amp;DATE(YEAR_Y-2,1,1),'Fund History'!$G$500:$G$504,"&lt;="&amp;DATE(YEAR_Y-2,12,31))=0,"",SUMIFS('Fund History'!$H$500:$H$504,'Fund History'!$G$500:$G$504,"&gt;="&amp;DATE(YEAR_Y-2,1,1),'Fund History'!$G$500:$G$504,"&lt;="&amp;DATE(YEAR_Y-2,12,31))/100)))</f>
        <v/>
      </c>
      <c r="AQ94" s="82">
        <f>IF($C94="","",IF(PULL_FUND="N","",IF(COUNTIFS('Fund History'!$G$500:$G$504,"&gt;="&amp;DATE(YEAR_Y-1,1,1),'Fund History'!$G$500:$G$504,"&lt;="&amp;DATE(YEAR_Y-1,12,31))=0,"",SUMIFS('Fund History'!$H$500:$H$504,'Fund History'!$G$500:$G$504,"&gt;="&amp;DATE(YEAR_Y-1,1,1),'Fund History'!$G$500:$G$504,"&lt;="&amp;DATE(YEAR_Y-1,12,31))/100)))</f>
        <v/>
      </c>
      <c r="AR94" s="83">
        <f>IF($C94="","",IF(N($AQ94)+N(HSI!$I$89)=0,"",N($AQ94)+N(HSI!$I$89)/100))</f>
        <v/>
      </c>
      <c r="AS94" s="75">
        <f>IF($C94="","",IF(PULL_FUND="N","",IF(COUNTIFS('Fund History'!$D$500:$D$504,"&gt;="&amp;DATE(YEAR_Y-2,1,1),'Fund History'!$D$500:$D$504,"&lt;="&amp;DATE(YEAR_Y-2,12,31))=0,"",SUMIFS('Fund History'!$E$500:$E$504,'Fund History'!$D$500:$D$504,"&gt;="&amp;DATE(YEAR_Y-2,1,1),'Fund History'!$D$500:$D$504,"&lt;="&amp;DATE(YEAR_Y-2,12,31)))))</f>
        <v/>
      </c>
      <c r="AT94" s="76">
        <f>IF($C94="","",IF(PULL_FUND="N","",IF(COUNTIFS('Fund History'!$D$500:$D$504,"&gt;="&amp;DATE(YEAR_Y-1,1,1),'Fund History'!$D$500:$D$504,"&lt;="&amp;DATE(YEAR_Y-1,12,31))=0,"",SUMIFS('Fund History'!$E$500:$E$504,'Fund History'!$D$500:$D$504,"&gt;="&amp;DATE(YEAR_Y-1,1,1),'Fund History'!$D$500:$D$504,"&lt;="&amp;DATE(YEAR_Y-1,12,31)))))</f>
        <v/>
      </c>
      <c r="AU94" s="76">
        <f>IF($C94="","",IF(PULL_FUND="N","",IFERROR(BDP($C94,NDEBITDA_FIELD),"")))</f>
        <v/>
      </c>
      <c r="AV94" s="84">
        <f>IF($C94="","",IF(PULL_FUND="N","",IFERROR(BDP($C94,EBINT_FIELD),"")))</f>
        <v/>
      </c>
      <c r="AW94" s="82">
        <f>IF($C94="","",IF(PULL_FUND="N","",IFERROR(BDP($C94,FCF_FIELD)/100,"")))</f>
        <v/>
      </c>
      <c r="AX94" s="50">
        <f>IF($C94="","",IF(N($U94)=0,"",IFERROR($AW94/$U94,"")))</f>
        <v/>
      </c>
      <c r="AY94" s="85">
        <f>IF($C94="","",TRIM(IF(ISNUMBER($AJ94)*(N($AJ94)&gt;$D$4)&gt;0,"payout high  ","")&amp;IF(ISNUMBER($AX94)*(N($AX94)&lt;$F$4)&gt;0,"FCF below dvd  ","")&amp;IF(ISNUMBER($AU94)*(N($AU94)&gt;$H$4)&gt;0,"leverage high","")))</f>
        <v/>
      </c>
      <c r="AZ94" s="86">
        <f>IF($C94="","",IF(HSI!$F$89="HKD","",HSI!$F$89))</f>
        <v/>
      </c>
    </row>
    <row r="95">
      <c r="B95" s="66" t="inlineStr">
        <is>
          <t>HSI</t>
        </is>
      </c>
      <c r="C95" s="8">
        <f>IF(HSI!$C$90="","",HSI!$C$90)</f>
        <v/>
      </c>
      <c r="D95" s="8">
        <f>IF($C95="","",HSI!$D$90)</f>
        <v/>
      </c>
      <c r="E95" s="8">
        <f>IF($C95="","",HSI!$E$90)</f>
        <v/>
      </c>
      <c r="F95" s="67">
        <f>IF($C95="","",SUMPRODUCT(('Dvd Calendar'!$E$924:$AR$924&gt;=DATE(YEAR_Y-5,1,1))*('Dvd Calendar'!$E$924:$AR$924&lt;=DATE(YEAR_Y-5,12,31))*'Dvd Calendar'!$E$927:$AR$927*(('Dvd Calendar'!$E$929:$AR$929=TYPE1)*(TYPE1&lt;&gt;"")+('Dvd Calendar'!$E$929:$AR$929=TYPE2)*(TYPE2&lt;&gt;"")+('Dvd Calendar'!$E$929:$AR$929=TYPE3)*(TYPE3&lt;&gt;"")+('Dvd Calendar'!$E$929:$AR$929=TYPE4)*(TYPE4&lt;&gt;"")+('Dvd Calendar'!$E$929:$AR$929=SPECIAL_LBL)*(INC_SPECIALS="Y"))))</f>
        <v/>
      </c>
      <c r="G95" s="68">
        <f>IF($C95="","",SUMPRODUCT(('Dvd Calendar'!$E$924:$AR$924&gt;=DATE(YEAR_Y-4,1,1))*('Dvd Calendar'!$E$924:$AR$924&lt;=DATE(YEAR_Y-4,12,31))*'Dvd Calendar'!$E$927:$AR$927*(('Dvd Calendar'!$E$929:$AR$929=TYPE1)*(TYPE1&lt;&gt;"")+('Dvd Calendar'!$E$929:$AR$929=TYPE2)*(TYPE2&lt;&gt;"")+('Dvd Calendar'!$E$929:$AR$929=TYPE3)*(TYPE3&lt;&gt;"")+('Dvd Calendar'!$E$929:$AR$929=TYPE4)*(TYPE4&lt;&gt;"")+('Dvd Calendar'!$E$929:$AR$929=SPECIAL_LBL)*(INC_SPECIALS="Y"))))</f>
        <v/>
      </c>
      <c r="H95" s="68">
        <f>IF($C95="","",SUMPRODUCT(('Dvd Calendar'!$E$924:$AR$924&gt;=DATE(YEAR_Y-3,1,1))*('Dvd Calendar'!$E$924:$AR$924&lt;=DATE(YEAR_Y-3,12,31))*'Dvd Calendar'!$E$927:$AR$927*(('Dvd Calendar'!$E$929:$AR$929=TYPE1)*(TYPE1&lt;&gt;"")+('Dvd Calendar'!$E$929:$AR$929=TYPE2)*(TYPE2&lt;&gt;"")+('Dvd Calendar'!$E$929:$AR$929=TYPE3)*(TYPE3&lt;&gt;"")+('Dvd Calendar'!$E$929:$AR$929=TYPE4)*(TYPE4&lt;&gt;"")+('Dvd Calendar'!$E$929:$AR$929=SPECIAL_LBL)*(INC_SPECIALS="Y"))))</f>
        <v/>
      </c>
      <c r="I95" s="68">
        <f>IF($C95="","",SUMPRODUCT(('Dvd Calendar'!$E$924:$AR$924&gt;=DATE(YEAR_Y-2,1,1))*('Dvd Calendar'!$E$924:$AR$924&lt;=DATE(YEAR_Y-2,12,31))*'Dvd Calendar'!$E$927:$AR$927*(('Dvd Calendar'!$E$929:$AR$929=TYPE1)*(TYPE1&lt;&gt;"")+('Dvd Calendar'!$E$929:$AR$929=TYPE2)*(TYPE2&lt;&gt;"")+('Dvd Calendar'!$E$929:$AR$929=TYPE3)*(TYPE3&lt;&gt;"")+('Dvd Calendar'!$E$929:$AR$929=TYPE4)*(TYPE4&lt;&gt;"")+('Dvd Calendar'!$E$929:$AR$929=SPECIAL_LBL)*(INC_SPECIALS="Y"))))</f>
        <v/>
      </c>
      <c r="J95" s="68">
        <f>IF($C95="","",SUMPRODUCT(('Dvd Calendar'!$E$924:$AR$924&gt;=DATE(YEAR_Y-1,1,1))*('Dvd Calendar'!$E$924:$AR$924&lt;=DATE(YEAR_Y-1,12,31))*'Dvd Calendar'!$E$927:$AR$927*(('Dvd Calendar'!$E$929:$AR$929=TYPE1)*(TYPE1&lt;&gt;"")+('Dvd Calendar'!$E$929:$AR$929=TYPE2)*(TYPE2&lt;&gt;"")+('Dvd Calendar'!$E$929:$AR$929=TYPE3)*(TYPE3&lt;&gt;"")+('Dvd Calendar'!$E$929:$AR$929=TYPE4)*(TYPE4&lt;&gt;"")+('Dvd Calendar'!$E$929:$AR$929=SPECIAL_LBL)*(INC_SPECIALS="Y"))))</f>
        <v/>
      </c>
      <c r="K95" s="69">
        <f>IF($C95="","",HSI!$J$90)</f>
        <v/>
      </c>
      <c r="L95" s="69">
        <f>IF($C95="","",HSI!$K$90)</f>
        <v/>
      </c>
      <c r="M95" s="44">
        <f>IF($C95="","",HSI!$J$90+HSI!$L$90)</f>
        <v/>
      </c>
      <c r="N95" s="70">
        <f>IF($C95="","",IF(PULL_FUND="N","",IFERROR(BDP($C95,BESTDPS_FIELD,FWD_OVERRIDE,TEXT(MOD(YEAR_Y,100),"00")&amp;"Y"),"")))</f>
        <v/>
      </c>
      <c r="O95" s="69">
        <f>IF($C95="","",AVERAGE(F95:J95))</f>
        <v/>
      </c>
      <c r="P95" s="71">
        <f>IF($C95="","",IF(PULL_FUND="N","",IF(COUNTIFS('Fund History'!$J$506:$J$510,"&gt;="&amp;DATE(YEAR_Y-5,1,1),'Fund History'!$J$506:$J$510,"&lt;="&amp;DATE(YEAR_Y-5,12,31))=0,"",IFERROR($F95*HSI!$G$90/SUMIFS('Fund History'!$K$506:$K$510,'Fund History'!$J$506:$J$510,"&gt;="&amp;DATE(YEAR_Y-5,1,1),'Fund History'!$J$506:$J$510,"&lt;="&amp;DATE(YEAR_Y-5,12,31)),""))))</f>
        <v/>
      </c>
      <c r="Q95" s="72">
        <f>IF($C95="","",IF(PULL_FUND="N","",IF(COUNTIFS('Fund History'!$J$506:$J$510,"&gt;="&amp;DATE(YEAR_Y-4,1,1),'Fund History'!$J$506:$J$510,"&lt;="&amp;DATE(YEAR_Y-4,12,31))=0,"",IFERROR($G95*HSI!$G$90/SUMIFS('Fund History'!$K$506:$K$510,'Fund History'!$J$506:$J$510,"&gt;="&amp;DATE(YEAR_Y-4,1,1),'Fund History'!$J$506:$J$510,"&lt;="&amp;DATE(YEAR_Y-4,12,31)),""))))</f>
        <v/>
      </c>
      <c r="R95" s="72">
        <f>IF($C95="","",IF(PULL_FUND="N","",IF(COUNTIFS('Fund History'!$J$506:$J$510,"&gt;="&amp;DATE(YEAR_Y-3,1,1),'Fund History'!$J$506:$J$510,"&lt;="&amp;DATE(YEAR_Y-3,12,31))=0,"",IFERROR($H95*HSI!$G$90/SUMIFS('Fund History'!$K$506:$K$510,'Fund History'!$J$506:$J$510,"&gt;="&amp;DATE(YEAR_Y-3,1,1),'Fund History'!$J$506:$J$510,"&lt;="&amp;DATE(YEAR_Y-3,12,31)),""))))</f>
        <v/>
      </c>
      <c r="S95" s="72">
        <f>IF($C95="","",IF(PULL_FUND="N","",IF(COUNTIFS('Fund History'!$J$506:$J$510,"&gt;="&amp;DATE(YEAR_Y-2,1,1),'Fund History'!$J$506:$J$510,"&lt;="&amp;DATE(YEAR_Y-2,12,31))=0,"",IFERROR($I95*HSI!$G$90/SUMIFS('Fund History'!$K$506:$K$510,'Fund History'!$J$506:$J$510,"&gt;="&amp;DATE(YEAR_Y-2,1,1),'Fund History'!$J$506:$J$510,"&lt;="&amp;DATE(YEAR_Y-2,12,31)),""))))</f>
        <v/>
      </c>
      <c r="T95" s="72">
        <f>IF($C95="","",IF(PULL_FUND="N","",IF(COUNTIFS('Fund History'!$J$506:$J$510,"&gt;="&amp;DATE(YEAR_Y-1,1,1),'Fund History'!$J$506:$J$510,"&lt;="&amp;DATE(YEAR_Y-1,12,31))=0,"",IFERROR($J95*HSI!$G$90/SUMIFS('Fund History'!$K$506:$K$510,'Fund History'!$J$506:$J$510,"&gt;="&amp;DATE(YEAR_Y-1,1,1),'Fund History'!$J$506:$J$510,"&lt;="&amp;DATE(YEAR_Y-1,12,31)),""))))</f>
        <v/>
      </c>
      <c r="U95" s="73">
        <f>IF($C95="","",IF(ISNUMBER(HSI!$I$90),HSI!$I$90/100,""))</f>
        <v/>
      </c>
      <c r="V95" s="74">
        <f>IF($C95="","",IF(ISNUMBER(HSI!$X$90),IFERROR($M95*HSI!$G$90/HSI!$X$90,""),""))</f>
        <v/>
      </c>
      <c r="W95" s="73">
        <f>IF($C95="","",IF(ISNUMBER($N95),IFERROR($N95*HSI!$G$90/HSI!$X$90,""),""))</f>
        <v/>
      </c>
      <c r="X95" s="75">
        <f>IF($C95="","",IF(PULL_FUND="N","",IFERROR(BDP($C95,EPS_FIELD,YR_OVERRIDE,TEXT(YEAR_Y-5,"0")),"")))</f>
        <v/>
      </c>
      <c r="Y95" s="76">
        <f>IF($C95="","",IF(PULL_FUND="N","",IFERROR(BDP($C95,EPS_FIELD,YR_OVERRIDE,TEXT(YEAR_Y-4,"0")),"")))</f>
        <v/>
      </c>
      <c r="Z95" s="76">
        <f>IF($C95="","",IF(PULL_FUND="N","",IFERROR(BDP($C95,EPS_FIELD,YR_OVERRIDE,TEXT(YEAR_Y-3,"0")),"")))</f>
        <v/>
      </c>
      <c r="AA95" s="76">
        <f>IF($C95="","",IF(PULL_FUND="N","",IFERROR(BDP($C95,EPS_FIELD,YR_OVERRIDE,TEXT(YEAR_Y-2,"0")),"")))</f>
        <v/>
      </c>
      <c r="AB95" s="76">
        <f>IF($C95="","",IF(PULL_FUND="N","",IFERROR(BDP($C95,EPS_FIELD,YR_OVERRIDE,TEXT(YEAR_Y-1,"0")),"")))</f>
        <v/>
      </c>
      <c r="AC95" s="50">
        <f>IF($C95="","",IFERROR(AVERAGE(X95:AB95),""))</f>
        <v/>
      </c>
      <c r="AD95" s="76">
        <f>IF($C95="","",IF(PULL_FUND="N","",IFERROR(BDP($C95,BESTEPS_FIELD,FWD_OVERRIDE,TEXT(MOD(YEAR_Y,100),"00")&amp;"Y"),"")))</f>
        <v/>
      </c>
      <c r="AE95" s="77">
        <f>IF($C95="","",IF(PULL_FUND="N","",IFERROR(BDP($C95,PAYOUT_FIELD,YR_OVERRIDE,TEXT(YEAR_Y-5,"0"))/100,"")))</f>
        <v/>
      </c>
      <c r="AF95" s="78">
        <f>IF($C95="","",IF(PULL_FUND="N","",IFERROR(BDP($C95,PAYOUT_FIELD,YR_OVERRIDE,TEXT(YEAR_Y-4,"0"))/100,"")))</f>
        <v/>
      </c>
      <c r="AG95" s="78">
        <f>IF($C95="","",IF(PULL_FUND="N","",IFERROR(BDP($C95,PAYOUT_FIELD,YR_OVERRIDE,TEXT(YEAR_Y-3,"0"))/100,"")))</f>
        <v/>
      </c>
      <c r="AH95" s="78">
        <f>IF($C95="","",IF(PULL_FUND="N","",IFERROR(BDP($C95,PAYOUT_FIELD,YR_OVERRIDE,TEXT(YEAR_Y-2,"0"))/100,"")))</f>
        <v/>
      </c>
      <c r="AI95" s="78">
        <f>IF($C95="","",IF(PULL_FUND="N","",IFERROR(BDP($C95,PAYOUT_FIELD,YR_OVERRIDE,TEXT(YEAR_Y-1,"0"))/100,"")))</f>
        <v/>
      </c>
      <c r="AJ95" s="79">
        <f>IF($C95="","",IFERROR(AVERAGE(AE95:AI95),""))</f>
        <v/>
      </c>
      <c r="AK95" s="80">
        <f>IF($C95="","",IF(ISNUMBER($AD95)*ISNUMBER($N95)*($AD95&lt;&gt;0)=0,"",$N95/$AD95))</f>
        <v/>
      </c>
      <c r="AL95" s="79">
        <f>IF($C95="","",IF(ISNUMBER($AD95)*($AD95&lt;&gt;0)=0,"",$M95/$AD95))</f>
        <v/>
      </c>
      <c r="AM95" s="37">
        <f>IF($C95="","",IF(ISNUMBER($AE95)*ISNUMBER($AI95)=0,"",IF($AI95&gt;$AE95+0.05,"rising",IF($AI95&lt;$AE95-0.05,"falling","stable"))))</f>
        <v/>
      </c>
      <c r="AN95" s="81">
        <f>IF($C95="","",IF(PULL_FUND="N","",IF(COUNTIFS('Fund History'!$G$506:$G$510,"&gt;="&amp;DATE(YEAR_Y-4,1,1),'Fund History'!$G$506:$G$510,"&lt;="&amp;DATE(YEAR_Y-4,12,31))=0,"",SUMIFS('Fund History'!$H$506:$H$510,'Fund History'!$G$506:$G$510,"&gt;="&amp;DATE(YEAR_Y-4,1,1),'Fund History'!$G$506:$G$510,"&lt;="&amp;DATE(YEAR_Y-4,12,31))/100)))</f>
        <v/>
      </c>
      <c r="AO95" s="82">
        <f>IF($C95="","",IF(PULL_FUND="N","",IF(COUNTIFS('Fund History'!$G$506:$G$510,"&gt;="&amp;DATE(YEAR_Y-3,1,1),'Fund History'!$G$506:$G$510,"&lt;="&amp;DATE(YEAR_Y-3,12,31))=0,"",SUMIFS('Fund History'!$H$506:$H$510,'Fund History'!$G$506:$G$510,"&gt;="&amp;DATE(YEAR_Y-3,1,1),'Fund History'!$G$506:$G$510,"&lt;="&amp;DATE(YEAR_Y-3,12,31))/100)))</f>
        <v/>
      </c>
      <c r="AP95" s="82">
        <f>IF($C95="","",IF(PULL_FUND="N","",IF(COUNTIFS('Fund History'!$G$506:$G$510,"&gt;="&amp;DATE(YEAR_Y-2,1,1),'Fund History'!$G$506:$G$510,"&lt;="&amp;DATE(YEAR_Y-2,12,31))=0,"",SUMIFS('Fund History'!$H$506:$H$510,'Fund History'!$G$506:$G$510,"&gt;="&amp;DATE(YEAR_Y-2,1,1),'Fund History'!$G$506:$G$510,"&lt;="&amp;DATE(YEAR_Y-2,12,31))/100)))</f>
        <v/>
      </c>
      <c r="AQ95" s="82">
        <f>IF($C95="","",IF(PULL_FUND="N","",IF(COUNTIFS('Fund History'!$G$506:$G$510,"&gt;="&amp;DATE(YEAR_Y-1,1,1),'Fund History'!$G$506:$G$510,"&lt;="&amp;DATE(YEAR_Y-1,12,31))=0,"",SUMIFS('Fund History'!$H$506:$H$510,'Fund History'!$G$506:$G$510,"&gt;="&amp;DATE(YEAR_Y-1,1,1),'Fund History'!$G$506:$G$510,"&lt;="&amp;DATE(YEAR_Y-1,12,31))/100)))</f>
        <v/>
      </c>
      <c r="AR95" s="83">
        <f>IF($C95="","",IF(N($AQ95)+N(HSI!$I$90)=0,"",N($AQ95)+N(HSI!$I$90)/100))</f>
        <v/>
      </c>
      <c r="AS95" s="75">
        <f>IF($C95="","",IF(PULL_FUND="N","",IF(COUNTIFS('Fund History'!$D$506:$D$510,"&gt;="&amp;DATE(YEAR_Y-2,1,1),'Fund History'!$D$506:$D$510,"&lt;="&amp;DATE(YEAR_Y-2,12,31))=0,"",SUMIFS('Fund History'!$E$506:$E$510,'Fund History'!$D$506:$D$510,"&gt;="&amp;DATE(YEAR_Y-2,1,1),'Fund History'!$D$506:$D$510,"&lt;="&amp;DATE(YEAR_Y-2,12,31)))))</f>
        <v/>
      </c>
      <c r="AT95" s="76">
        <f>IF($C95="","",IF(PULL_FUND="N","",IF(COUNTIFS('Fund History'!$D$506:$D$510,"&gt;="&amp;DATE(YEAR_Y-1,1,1),'Fund History'!$D$506:$D$510,"&lt;="&amp;DATE(YEAR_Y-1,12,31))=0,"",SUMIFS('Fund History'!$E$506:$E$510,'Fund History'!$D$506:$D$510,"&gt;="&amp;DATE(YEAR_Y-1,1,1),'Fund History'!$D$506:$D$510,"&lt;="&amp;DATE(YEAR_Y-1,12,31)))))</f>
        <v/>
      </c>
      <c r="AU95" s="76">
        <f>IF($C95="","",IF(PULL_FUND="N","",IFERROR(BDP($C95,NDEBITDA_FIELD),"")))</f>
        <v/>
      </c>
      <c r="AV95" s="84">
        <f>IF($C95="","",IF(PULL_FUND="N","",IFERROR(BDP($C95,EBINT_FIELD),"")))</f>
        <v/>
      </c>
      <c r="AW95" s="82">
        <f>IF($C95="","",IF(PULL_FUND="N","",IFERROR(BDP($C95,FCF_FIELD)/100,"")))</f>
        <v/>
      </c>
      <c r="AX95" s="50">
        <f>IF($C95="","",IF(N($U95)=0,"",IFERROR($AW95/$U95,"")))</f>
        <v/>
      </c>
      <c r="AY95" s="85">
        <f>IF($C95="","",TRIM(IF(ISNUMBER($AJ95)*(N($AJ95)&gt;$D$4)&gt;0,"payout high  ","")&amp;IF(ISNUMBER($AX95)*(N($AX95)&lt;$F$4)&gt;0,"FCF below dvd  ","")&amp;IF(ISNUMBER($AU95)*(N($AU95)&gt;$H$4)&gt;0,"leverage high","")))</f>
        <v/>
      </c>
      <c r="AZ95" s="86">
        <f>IF($C95="","",IF(HSI!$F$90="HKD","",HSI!$F$90))</f>
        <v/>
      </c>
    </row>
    <row r="96">
      <c r="B96" s="66" t="inlineStr">
        <is>
          <t>HSI</t>
        </is>
      </c>
      <c r="C96" s="8">
        <f>IF(HSI!$C$91="","",HSI!$C$91)</f>
        <v/>
      </c>
      <c r="D96" s="8">
        <f>IF($C96="","",HSI!$D$91)</f>
        <v/>
      </c>
      <c r="E96" s="8">
        <f>IF($C96="","",HSI!$E$91)</f>
        <v/>
      </c>
      <c r="F96" s="67">
        <f>IF($C96="","",SUMPRODUCT(('Dvd Calendar'!$E$935:$AR$935&gt;=DATE(YEAR_Y-5,1,1))*('Dvd Calendar'!$E$935:$AR$935&lt;=DATE(YEAR_Y-5,12,31))*'Dvd Calendar'!$E$938:$AR$938*(('Dvd Calendar'!$E$940:$AR$940=TYPE1)*(TYPE1&lt;&gt;"")+('Dvd Calendar'!$E$940:$AR$940=TYPE2)*(TYPE2&lt;&gt;"")+('Dvd Calendar'!$E$940:$AR$940=TYPE3)*(TYPE3&lt;&gt;"")+('Dvd Calendar'!$E$940:$AR$940=TYPE4)*(TYPE4&lt;&gt;"")+('Dvd Calendar'!$E$940:$AR$940=SPECIAL_LBL)*(INC_SPECIALS="Y"))))</f>
        <v/>
      </c>
      <c r="G96" s="68">
        <f>IF($C96="","",SUMPRODUCT(('Dvd Calendar'!$E$935:$AR$935&gt;=DATE(YEAR_Y-4,1,1))*('Dvd Calendar'!$E$935:$AR$935&lt;=DATE(YEAR_Y-4,12,31))*'Dvd Calendar'!$E$938:$AR$938*(('Dvd Calendar'!$E$940:$AR$940=TYPE1)*(TYPE1&lt;&gt;"")+('Dvd Calendar'!$E$940:$AR$940=TYPE2)*(TYPE2&lt;&gt;"")+('Dvd Calendar'!$E$940:$AR$940=TYPE3)*(TYPE3&lt;&gt;"")+('Dvd Calendar'!$E$940:$AR$940=TYPE4)*(TYPE4&lt;&gt;"")+('Dvd Calendar'!$E$940:$AR$940=SPECIAL_LBL)*(INC_SPECIALS="Y"))))</f>
        <v/>
      </c>
      <c r="H96" s="68">
        <f>IF($C96="","",SUMPRODUCT(('Dvd Calendar'!$E$935:$AR$935&gt;=DATE(YEAR_Y-3,1,1))*('Dvd Calendar'!$E$935:$AR$935&lt;=DATE(YEAR_Y-3,12,31))*'Dvd Calendar'!$E$938:$AR$938*(('Dvd Calendar'!$E$940:$AR$940=TYPE1)*(TYPE1&lt;&gt;"")+('Dvd Calendar'!$E$940:$AR$940=TYPE2)*(TYPE2&lt;&gt;"")+('Dvd Calendar'!$E$940:$AR$940=TYPE3)*(TYPE3&lt;&gt;"")+('Dvd Calendar'!$E$940:$AR$940=TYPE4)*(TYPE4&lt;&gt;"")+('Dvd Calendar'!$E$940:$AR$940=SPECIAL_LBL)*(INC_SPECIALS="Y"))))</f>
        <v/>
      </c>
      <c r="I96" s="68">
        <f>IF($C96="","",SUMPRODUCT(('Dvd Calendar'!$E$935:$AR$935&gt;=DATE(YEAR_Y-2,1,1))*('Dvd Calendar'!$E$935:$AR$935&lt;=DATE(YEAR_Y-2,12,31))*'Dvd Calendar'!$E$938:$AR$938*(('Dvd Calendar'!$E$940:$AR$940=TYPE1)*(TYPE1&lt;&gt;"")+('Dvd Calendar'!$E$940:$AR$940=TYPE2)*(TYPE2&lt;&gt;"")+('Dvd Calendar'!$E$940:$AR$940=TYPE3)*(TYPE3&lt;&gt;"")+('Dvd Calendar'!$E$940:$AR$940=TYPE4)*(TYPE4&lt;&gt;"")+('Dvd Calendar'!$E$940:$AR$940=SPECIAL_LBL)*(INC_SPECIALS="Y"))))</f>
        <v/>
      </c>
      <c r="J96" s="68">
        <f>IF($C96="","",SUMPRODUCT(('Dvd Calendar'!$E$935:$AR$935&gt;=DATE(YEAR_Y-1,1,1))*('Dvd Calendar'!$E$935:$AR$935&lt;=DATE(YEAR_Y-1,12,31))*'Dvd Calendar'!$E$938:$AR$938*(('Dvd Calendar'!$E$940:$AR$940=TYPE1)*(TYPE1&lt;&gt;"")+('Dvd Calendar'!$E$940:$AR$940=TYPE2)*(TYPE2&lt;&gt;"")+('Dvd Calendar'!$E$940:$AR$940=TYPE3)*(TYPE3&lt;&gt;"")+('Dvd Calendar'!$E$940:$AR$940=TYPE4)*(TYPE4&lt;&gt;"")+('Dvd Calendar'!$E$940:$AR$940=SPECIAL_LBL)*(INC_SPECIALS="Y"))))</f>
        <v/>
      </c>
      <c r="K96" s="69">
        <f>IF($C96="","",HSI!$J$91)</f>
        <v/>
      </c>
      <c r="L96" s="69">
        <f>IF($C96="","",HSI!$K$91)</f>
        <v/>
      </c>
      <c r="M96" s="44">
        <f>IF($C96="","",HSI!$J$91+HSI!$L$91)</f>
        <v/>
      </c>
      <c r="N96" s="70">
        <f>IF($C96="","",IF(PULL_FUND="N","",IFERROR(BDP($C96,BESTDPS_FIELD,FWD_OVERRIDE,TEXT(MOD(YEAR_Y,100),"00")&amp;"Y"),"")))</f>
        <v/>
      </c>
      <c r="O96" s="69">
        <f>IF($C96="","",AVERAGE(F96:J96))</f>
        <v/>
      </c>
      <c r="P96" s="71">
        <f>IF($C96="","",IF(PULL_FUND="N","",IF(COUNTIFS('Fund History'!$J$512:$J$516,"&gt;="&amp;DATE(YEAR_Y-5,1,1),'Fund History'!$J$512:$J$516,"&lt;="&amp;DATE(YEAR_Y-5,12,31))=0,"",IFERROR($F96*HSI!$G$91/SUMIFS('Fund History'!$K$512:$K$516,'Fund History'!$J$512:$J$516,"&gt;="&amp;DATE(YEAR_Y-5,1,1),'Fund History'!$J$512:$J$516,"&lt;="&amp;DATE(YEAR_Y-5,12,31)),""))))</f>
        <v/>
      </c>
      <c r="Q96" s="72">
        <f>IF($C96="","",IF(PULL_FUND="N","",IF(COUNTIFS('Fund History'!$J$512:$J$516,"&gt;="&amp;DATE(YEAR_Y-4,1,1),'Fund History'!$J$512:$J$516,"&lt;="&amp;DATE(YEAR_Y-4,12,31))=0,"",IFERROR($G96*HSI!$G$91/SUMIFS('Fund History'!$K$512:$K$516,'Fund History'!$J$512:$J$516,"&gt;="&amp;DATE(YEAR_Y-4,1,1),'Fund History'!$J$512:$J$516,"&lt;="&amp;DATE(YEAR_Y-4,12,31)),""))))</f>
        <v/>
      </c>
      <c r="R96" s="72">
        <f>IF($C96="","",IF(PULL_FUND="N","",IF(COUNTIFS('Fund History'!$J$512:$J$516,"&gt;="&amp;DATE(YEAR_Y-3,1,1),'Fund History'!$J$512:$J$516,"&lt;="&amp;DATE(YEAR_Y-3,12,31))=0,"",IFERROR($H96*HSI!$G$91/SUMIFS('Fund History'!$K$512:$K$516,'Fund History'!$J$512:$J$516,"&gt;="&amp;DATE(YEAR_Y-3,1,1),'Fund History'!$J$512:$J$516,"&lt;="&amp;DATE(YEAR_Y-3,12,31)),""))))</f>
        <v/>
      </c>
      <c r="S96" s="72">
        <f>IF($C96="","",IF(PULL_FUND="N","",IF(COUNTIFS('Fund History'!$J$512:$J$516,"&gt;="&amp;DATE(YEAR_Y-2,1,1),'Fund History'!$J$512:$J$516,"&lt;="&amp;DATE(YEAR_Y-2,12,31))=0,"",IFERROR($I96*HSI!$G$91/SUMIFS('Fund History'!$K$512:$K$516,'Fund History'!$J$512:$J$516,"&gt;="&amp;DATE(YEAR_Y-2,1,1),'Fund History'!$J$512:$J$516,"&lt;="&amp;DATE(YEAR_Y-2,12,31)),""))))</f>
        <v/>
      </c>
      <c r="T96" s="72">
        <f>IF($C96="","",IF(PULL_FUND="N","",IF(COUNTIFS('Fund History'!$J$512:$J$516,"&gt;="&amp;DATE(YEAR_Y-1,1,1),'Fund History'!$J$512:$J$516,"&lt;="&amp;DATE(YEAR_Y-1,12,31))=0,"",IFERROR($J96*HSI!$G$91/SUMIFS('Fund History'!$K$512:$K$516,'Fund History'!$J$512:$J$516,"&gt;="&amp;DATE(YEAR_Y-1,1,1),'Fund History'!$J$512:$J$516,"&lt;="&amp;DATE(YEAR_Y-1,12,31)),""))))</f>
        <v/>
      </c>
      <c r="U96" s="73">
        <f>IF($C96="","",IF(ISNUMBER(HSI!$I$91),HSI!$I$91/100,""))</f>
        <v/>
      </c>
      <c r="V96" s="74">
        <f>IF($C96="","",IF(ISNUMBER(HSI!$X$91),IFERROR($M96*HSI!$G$91/HSI!$X$91,""),""))</f>
        <v/>
      </c>
      <c r="W96" s="73">
        <f>IF($C96="","",IF(ISNUMBER($N96),IFERROR($N96*HSI!$G$91/HSI!$X$91,""),""))</f>
        <v/>
      </c>
      <c r="X96" s="75">
        <f>IF($C96="","",IF(PULL_FUND="N","",IFERROR(BDP($C96,EPS_FIELD,YR_OVERRIDE,TEXT(YEAR_Y-5,"0")),"")))</f>
        <v/>
      </c>
      <c r="Y96" s="76">
        <f>IF($C96="","",IF(PULL_FUND="N","",IFERROR(BDP($C96,EPS_FIELD,YR_OVERRIDE,TEXT(YEAR_Y-4,"0")),"")))</f>
        <v/>
      </c>
      <c r="Z96" s="76">
        <f>IF($C96="","",IF(PULL_FUND="N","",IFERROR(BDP($C96,EPS_FIELD,YR_OVERRIDE,TEXT(YEAR_Y-3,"0")),"")))</f>
        <v/>
      </c>
      <c r="AA96" s="76">
        <f>IF($C96="","",IF(PULL_FUND="N","",IFERROR(BDP($C96,EPS_FIELD,YR_OVERRIDE,TEXT(YEAR_Y-2,"0")),"")))</f>
        <v/>
      </c>
      <c r="AB96" s="76">
        <f>IF($C96="","",IF(PULL_FUND="N","",IFERROR(BDP($C96,EPS_FIELD,YR_OVERRIDE,TEXT(YEAR_Y-1,"0")),"")))</f>
        <v/>
      </c>
      <c r="AC96" s="50">
        <f>IF($C96="","",IFERROR(AVERAGE(X96:AB96),""))</f>
        <v/>
      </c>
      <c r="AD96" s="76">
        <f>IF($C96="","",IF(PULL_FUND="N","",IFERROR(BDP($C96,BESTEPS_FIELD,FWD_OVERRIDE,TEXT(MOD(YEAR_Y,100),"00")&amp;"Y"),"")))</f>
        <v/>
      </c>
      <c r="AE96" s="77">
        <f>IF($C96="","",IF(PULL_FUND="N","",IFERROR(BDP($C96,PAYOUT_FIELD,YR_OVERRIDE,TEXT(YEAR_Y-5,"0"))/100,"")))</f>
        <v/>
      </c>
      <c r="AF96" s="78">
        <f>IF($C96="","",IF(PULL_FUND="N","",IFERROR(BDP($C96,PAYOUT_FIELD,YR_OVERRIDE,TEXT(YEAR_Y-4,"0"))/100,"")))</f>
        <v/>
      </c>
      <c r="AG96" s="78">
        <f>IF($C96="","",IF(PULL_FUND="N","",IFERROR(BDP($C96,PAYOUT_FIELD,YR_OVERRIDE,TEXT(YEAR_Y-3,"0"))/100,"")))</f>
        <v/>
      </c>
      <c r="AH96" s="78">
        <f>IF($C96="","",IF(PULL_FUND="N","",IFERROR(BDP($C96,PAYOUT_FIELD,YR_OVERRIDE,TEXT(YEAR_Y-2,"0"))/100,"")))</f>
        <v/>
      </c>
      <c r="AI96" s="78">
        <f>IF($C96="","",IF(PULL_FUND="N","",IFERROR(BDP($C96,PAYOUT_FIELD,YR_OVERRIDE,TEXT(YEAR_Y-1,"0"))/100,"")))</f>
        <v/>
      </c>
      <c r="AJ96" s="79">
        <f>IF($C96="","",IFERROR(AVERAGE(AE96:AI96),""))</f>
        <v/>
      </c>
      <c r="AK96" s="80">
        <f>IF($C96="","",IF(ISNUMBER($AD96)*ISNUMBER($N96)*($AD96&lt;&gt;0)=0,"",$N96/$AD96))</f>
        <v/>
      </c>
      <c r="AL96" s="79">
        <f>IF($C96="","",IF(ISNUMBER($AD96)*($AD96&lt;&gt;0)=0,"",$M96/$AD96))</f>
        <v/>
      </c>
      <c r="AM96" s="37">
        <f>IF($C96="","",IF(ISNUMBER($AE96)*ISNUMBER($AI96)=0,"",IF($AI96&gt;$AE96+0.05,"rising",IF($AI96&lt;$AE96-0.05,"falling","stable"))))</f>
        <v/>
      </c>
      <c r="AN96" s="81">
        <f>IF($C96="","",IF(PULL_FUND="N","",IF(COUNTIFS('Fund History'!$G$512:$G$516,"&gt;="&amp;DATE(YEAR_Y-4,1,1),'Fund History'!$G$512:$G$516,"&lt;="&amp;DATE(YEAR_Y-4,12,31))=0,"",SUMIFS('Fund History'!$H$512:$H$516,'Fund History'!$G$512:$G$516,"&gt;="&amp;DATE(YEAR_Y-4,1,1),'Fund History'!$G$512:$G$516,"&lt;="&amp;DATE(YEAR_Y-4,12,31))/100)))</f>
        <v/>
      </c>
      <c r="AO96" s="82">
        <f>IF($C96="","",IF(PULL_FUND="N","",IF(COUNTIFS('Fund History'!$G$512:$G$516,"&gt;="&amp;DATE(YEAR_Y-3,1,1),'Fund History'!$G$512:$G$516,"&lt;="&amp;DATE(YEAR_Y-3,12,31))=0,"",SUMIFS('Fund History'!$H$512:$H$516,'Fund History'!$G$512:$G$516,"&gt;="&amp;DATE(YEAR_Y-3,1,1),'Fund History'!$G$512:$G$516,"&lt;="&amp;DATE(YEAR_Y-3,12,31))/100)))</f>
        <v/>
      </c>
      <c r="AP96" s="82">
        <f>IF($C96="","",IF(PULL_FUND="N","",IF(COUNTIFS('Fund History'!$G$512:$G$516,"&gt;="&amp;DATE(YEAR_Y-2,1,1),'Fund History'!$G$512:$G$516,"&lt;="&amp;DATE(YEAR_Y-2,12,31))=0,"",SUMIFS('Fund History'!$H$512:$H$516,'Fund History'!$G$512:$G$516,"&gt;="&amp;DATE(YEAR_Y-2,1,1),'Fund History'!$G$512:$G$516,"&lt;="&amp;DATE(YEAR_Y-2,12,31))/100)))</f>
        <v/>
      </c>
      <c r="AQ96" s="82">
        <f>IF($C96="","",IF(PULL_FUND="N","",IF(COUNTIFS('Fund History'!$G$512:$G$516,"&gt;="&amp;DATE(YEAR_Y-1,1,1),'Fund History'!$G$512:$G$516,"&lt;="&amp;DATE(YEAR_Y-1,12,31))=0,"",SUMIFS('Fund History'!$H$512:$H$516,'Fund History'!$G$512:$G$516,"&gt;="&amp;DATE(YEAR_Y-1,1,1),'Fund History'!$G$512:$G$516,"&lt;="&amp;DATE(YEAR_Y-1,12,31))/100)))</f>
        <v/>
      </c>
      <c r="AR96" s="83">
        <f>IF($C96="","",IF(N($AQ96)+N(HSI!$I$91)=0,"",N($AQ96)+N(HSI!$I$91)/100))</f>
        <v/>
      </c>
      <c r="AS96" s="75">
        <f>IF($C96="","",IF(PULL_FUND="N","",IF(COUNTIFS('Fund History'!$D$512:$D$516,"&gt;="&amp;DATE(YEAR_Y-2,1,1),'Fund History'!$D$512:$D$516,"&lt;="&amp;DATE(YEAR_Y-2,12,31))=0,"",SUMIFS('Fund History'!$E$512:$E$516,'Fund History'!$D$512:$D$516,"&gt;="&amp;DATE(YEAR_Y-2,1,1),'Fund History'!$D$512:$D$516,"&lt;="&amp;DATE(YEAR_Y-2,12,31)))))</f>
        <v/>
      </c>
      <c r="AT96" s="76">
        <f>IF($C96="","",IF(PULL_FUND="N","",IF(COUNTIFS('Fund History'!$D$512:$D$516,"&gt;="&amp;DATE(YEAR_Y-1,1,1),'Fund History'!$D$512:$D$516,"&lt;="&amp;DATE(YEAR_Y-1,12,31))=0,"",SUMIFS('Fund History'!$E$512:$E$516,'Fund History'!$D$512:$D$516,"&gt;="&amp;DATE(YEAR_Y-1,1,1),'Fund History'!$D$512:$D$516,"&lt;="&amp;DATE(YEAR_Y-1,12,31)))))</f>
        <v/>
      </c>
      <c r="AU96" s="76">
        <f>IF($C96="","",IF(PULL_FUND="N","",IFERROR(BDP($C96,NDEBITDA_FIELD),"")))</f>
        <v/>
      </c>
      <c r="AV96" s="84">
        <f>IF($C96="","",IF(PULL_FUND="N","",IFERROR(BDP($C96,EBINT_FIELD),"")))</f>
        <v/>
      </c>
      <c r="AW96" s="82">
        <f>IF($C96="","",IF(PULL_FUND="N","",IFERROR(BDP($C96,FCF_FIELD)/100,"")))</f>
        <v/>
      </c>
      <c r="AX96" s="50">
        <f>IF($C96="","",IF(N($U96)=0,"",IFERROR($AW96/$U96,"")))</f>
        <v/>
      </c>
      <c r="AY96" s="85">
        <f>IF($C96="","",TRIM(IF(ISNUMBER($AJ96)*(N($AJ96)&gt;$D$4)&gt;0,"payout high  ","")&amp;IF(ISNUMBER($AX96)*(N($AX96)&lt;$F$4)&gt;0,"FCF below dvd  ","")&amp;IF(ISNUMBER($AU96)*(N($AU96)&gt;$H$4)&gt;0,"leverage high","")))</f>
        <v/>
      </c>
      <c r="AZ96" s="86">
        <f>IF($C96="","",IF(HSI!$F$91="HKD","",HSI!$F$91))</f>
        <v/>
      </c>
    </row>
    <row r="97">
      <c r="B97" s="66" t="inlineStr">
        <is>
          <t>HSI</t>
        </is>
      </c>
      <c r="C97" s="8">
        <f>IF(HSI!$C$92="","",HSI!$C$92)</f>
        <v/>
      </c>
      <c r="D97" s="8">
        <f>IF($C97="","",HSI!$D$92)</f>
        <v/>
      </c>
      <c r="E97" s="8">
        <f>IF($C97="","",HSI!$E$92)</f>
        <v/>
      </c>
      <c r="F97" s="67">
        <f>IF($C97="","",SUMPRODUCT(('Dvd Calendar'!$E$946:$AR$946&gt;=DATE(YEAR_Y-5,1,1))*('Dvd Calendar'!$E$946:$AR$946&lt;=DATE(YEAR_Y-5,12,31))*'Dvd Calendar'!$E$949:$AR$949*(('Dvd Calendar'!$E$951:$AR$951=TYPE1)*(TYPE1&lt;&gt;"")+('Dvd Calendar'!$E$951:$AR$951=TYPE2)*(TYPE2&lt;&gt;"")+('Dvd Calendar'!$E$951:$AR$951=TYPE3)*(TYPE3&lt;&gt;"")+('Dvd Calendar'!$E$951:$AR$951=TYPE4)*(TYPE4&lt;&gt;"")+('Dvd Calendar'!$E$951:$AR$951=SPECIAL_LBL)*(INC_SPECIALS="Y"))))</f>
        <v/>
      </c>
      <c r="G97" s="68">
        <f>IF($C97="","",SUMPRODUCT(('Dvd Calendar'!$E$946:$AR$946&gt;=DATE(YEAR_Y-4,1,1))*('Dvd Calendar'!$E$946:$AR$946&lt;=DATE(YEAR_Y-4,12,31))*'Dvd Calendar'!$E$949:$AR$949*(('Dvd Calendar'!$E$951:$AR$951=TYPE1)*(TYPE1&lt;&gt;"")+('Dvd Calendar'!$E$951:$AR$951=TYPE2)*(TYPE2&lt;&gt;"")+('Dvd Calendar'!$E$951:$AR$951=TYPE3)*(TYPE3&lt;&gt;"")+('Dvd Calendar'!$E$951:$AR$951=TYPE4)*(TYPE4&lt;&gt;"")+('Dvd Calendar'!$E$951:$AR$951=SPECIAL_LBL)*(INC_SPECIALS="Y"))))</f>
        <v/>
      </c>
      <c r="H97" s="68">
        <f>IF($C97="","",SUMPRODUCT(('Dvd Calendar'!$E$946:$AR$946&gt;=DATE(YEAR_Y-3,1,1))*('Dvd Calendar'!$E$946:$AR$946&lt;=DATE(YEAR_Y-3,12,31))*'Dvd Calendar'!$E$949:$AR$949*(('Dvd Calendar'!$E$951:$AR$951=TYPE1)*(TYPE1&lt;&gt;"")+('Dvd Calendar'!$E$951:$AR$951=TYPE2)*(TYPE2&lt;&gt;"")+('Dvd Calendar'!$E$951:$AR$951=TYPE3)*(TYPE3&lt;&gt;"")+('Dvd Calendar'!$E$951:$AR$951=TYPE4)*(TYPE4&lt;&gt;"")+('Dvd Calendar'!$E$951:$AR$951=SPECIAL_LBL)*(INC_SPECIALS="Y"))))</f>
        <v/>
      </c>
      <c r="I97" s="68">
        <f>IF($C97="","",SUMPRODUCT(('Dvd Calendar'!$E$946:$AR$946&gt;=DATE(YEAR_Y-2,1,1))*('Dvd Calendar'!$E$946:$AR$946&lt;=DATE(YEAR_Y-2,12,31))*'Dvd Calendar'!$E$949:$AR$949*(('Dvd Calendar'!$E$951:$AR$951=TYPE1)*(TYPE1&lt;&gt;"")+('Dvd Calendar'!$E$951:$AR$951=TYPE2)*(TYPE2&lt;&gt;"")+('Dvd Calendar'!$E$951:$AR$951=TYPE3)*(TYPE3&lt;&gt;"")+('Dvd Calendar'!$E$951:$AR$951=TYPE4)*(TYPE4&lt;&gt;"")+('Dvd Calendar'!$E$951:$AR$951=SPECIAL_LBL)*(INC_SPECIALS="Y"))))</f>
        <v/>
      </c>
      <c r="J97" s="68">
        <f>IF($C97="","",SUMPRODUCT(('Dvd Calendar'!$E$946:$AR$946&gt;=DATE(YEAR_Y-1,1,1))*('Dvd Calendar'!$E$946:$AR$946&lt;=DATE(YEAR_Y-1,12,31))*'Dvd Calendar'!$E$949:$AR$949*(('Dvd Calendar'!$E$951:$AR$951=TYPE1)*(TYPE1&lt;&gt;"")+('Dvd Calendar'!$E$951:$AR$951=TYPE2)*(TYPE2&lt;&gt;"")+('Dvd Calendar'!$E$951:$AR$951=TYPE3)*(TYPE3&lt;&gt;"")+('Dvd Calendar'!$E$951:$AR$951=TYPE4)*(TYPE4&lt;&gt;"")+('Dvd Calendar'!$E$951:$AR$951=SPECIAL_LBL)*(INC_SPECIALS="Y"))))</f>
        <v/>
      </c>
      <c r="K97" s="69">
        <f>IF($C97="","",HSI!$J$92)</f>
        <v/>
      </c>
      <c r="L97" s="69">
        <f>IF($C97="","",HSI!$K$92)</f>
        <v/>
      </c>
      <c r="M97" s="44">
        <f>IF($C97="","",HSI!$J$92+HSI!$L$92)</f>
        <v/>
      </c>
      <c r="N97" s="70">
        <f>IF($C97="","",IF(PULL_FUND="N","",IFERROR(BDP($C97,BESTDPS_FIELD,FWD_OVERRIDE,TEXT(MOD(YEAR_Y,100),"00")&amp;"Y"),"")))</f>
        <v/>
      </c>
      <c r="O97" s="69">
        <f>IF($C97="","",AVERAGE(F97:J97))</f>
        <v/>
      </c>
      <c r="P97" s="71">
        <f>IF($C97="","",IF(PULL_FUND="N","",IF(COUNTIFS('Fund History'!$J$518:$J$522,"&gt;="&amp;DATE(YEAR_Y-5,1,1),'Fund History'!$J$518:$J$522,"&lt;="&amp;DATE(YEAR_Y-5,12,31))=0,"",IFERROR($F97*HSI!$G$92/SUMIFS('Fund History'!$K$518:$K$522,'Fund History'!$J$518:$J$522,"&gt;="&amp;DATE(YEAR_Y-5,1,1),'Fund History'!$J$518:$J$522,"&lt;="&amp;DATE(YEAR_Y-5,12,31)),""))))</f>
        <v/>
      </c>
      <c r="Q97" s="72">
        <f>IF($C97="","",IF(PULL_FUND="N","",IF(COUNTIFS('Fund History'!$J$518:$J$522,"&gt;="&amp;DATE(YEAR_Y-4,1,1),'Fund History'!$J$518:$J$522,"&lt;="&amp;DATE(YEAR_Y-4,12,31))=0,"",IFERROR($G97*HSI!$G$92/SUMIFS('Fund History'!$K$518:$K$522,'Fund History'!$J$518:$J$522,"&gt;="&amp;DATE(YEAR_Y-4,1,1),'Fund History'!$J$518:$J$522,"&lt;="&amp;DATE(YEAR_Y-4,12,31)),""))))</f>
        <v/>
      </c>
      <c r="R97" s="72">
        <f>IF($C97="","",IF(PULL_FUND="N","",IF(COUNTIFS('Fund History'!$J$518:$J$522,"&gt;="&amp;DATE(YEAR_Y-3,1,1),'Fund History'!$J$518:$J$522,"&lt;="&amp;DATE(YEAR_Y-3,12,31))=0,"",IFERROR($H97*HSI!$G$92/SUMIFS('Fund History'!$K$518:$K$522,'Fund History'!$J$518:$J$522,"&gt;="&amp;DATE(YEAR_Y-3,1,1),'Fund History'!$J$518:$J$522,"&lt;="&amp;DATE(YEAR_Y-3,12,31)),""))))</f>
        <v/>
      </c>
      <c r="S97" s="72">
        <f>IF($C97="","",IF(PULL_FUND="N","",IF(COUNTIFS('Fund History'!$J$518:$J$522,"&gt;="&amp;DATE(YEAR_Y-2,1,1),'Fund History'!$J$518:$J$522,"&lt;="&amp;DATE(YEAR_Y-2,12,31))=0,"",IFERROR($I97*HSI!$G$92/SUMIFS('Fund History'!$K$518:$K$522,'Fund History'!$J$518:$J$522,"&gt;="&amp;DATE(YEAR_Y-2,1,1),'Fund History'!$J$518:$J$522,"&lt;="&amp;DATE(YEAR_Y-2,12,31)),""))))</f>
        <v/>
      </c>
      <c r="T97" s="72">
        <f>IF($C97="","",IF(PULL_FUND="N","",IF(COUNTIFS('Fund History'!$J$518:$J$522,"&gt;="&amp;DATE(YEAR_Y-1,1,1),'Fund History'!$J$518:$J$522,"&lt;="&amp;DATE(YEAR_Y-1,12,31))=0,"",IFERROR($J97*HSI!$G$92/SUMIFS('Fund History'!$K$518:$K$522,'Fund History'!$J$518:$J$522,"&gt;="&amp;DATE(YEAR_Y-1,1,1),'Fund History'!$J$518:$J$522,"&lt;="&amp;DATE(YEAR_Y-1,12,31)),""))))</f>
        <v/>
      </c>
      <c r="U97" s="73">
        <f>IF($C97="","",IF(ISNUMBER(HSI!$I$92),HSI!$I$92/100,""))</f>
        <v/>
      </c>
      <c r="V97" s="74">
        <f>IF($C97="","",IF(ISNUMBER(HSI!$X$92),IFERROR($M97*HSI!$G$92/HSI!$X$92,""),""))</f>
        <v/>
      </c>
      <c r="W97" s="73">
        <f>IF($C97="","",IF(ISNUMBER($N97),IFERROR($N97*HSI!$G$92/HSI!$X$92,""),""))</f>
        <v/>
      </c>
      <c r="X97" s="75">
        <f>IF($C97="","",IF(PULL_FUND="N","",IFERROR(BDP($C97,EPS_FIELD,YR_OVERRIDE,TEXT(YEAR_Y-5,"0")),"")))</f>
        <v/>
      </c>
      <c r="Y97" s="76">
        <f>IF($C97="","",IF(PULL_FUND="N","",IFERROR(BDP($C97,EPS_FIELD,YR_OVERRIDE,TEXT(YEAR_Y-4,"0")),"")))</f>
        <v/>
      </c>
      <c r="Z97" s="76">
        <f>IF($C97="","",IF(PULL_FUND="N","",IFERROR(BDP($C97,EPS_FIELD,YR_OVERRIDE,TEXT(YEAR_Y-3,"0")),"")))</f>
        <v/>
      </c>
      <c r="AA97" s="76">
        <f>IF($C97="","",IF(PULL_FUND="N","",IFERROR(BDP($C97,EPS_FIELD,YR_OVERRIDE,TEXT(YEAR_Y-2,"0")),"")))</f>
        <v/>
      </c>
      <c r="AB97" s="76">
        <f>IF($C97="","",IF(PULL_FUND="N","",IFERROR(BDP($C97,EPS_FIELD,YR_OVERRIDE,TEXT(YEAR_Y-1,"0")),"")))</f>
        <v/>
      </c>
      <c r="AC97" s="50">
        <f>IF($C97="","",IFERROR(AVERAGE(X97:AB97),""))</f>
        <v/>
      </c>
      <c r="AD97" s="76">
        <f>IF($C97="","",IF(PULL_FUND="N","",IFERROR(BDP($C97,BESTEPS_FIELD,FWD_OVERRIDE,TEXT(MOD(YEAR_Y,100),"00")&amp;"Y"),"")))</f>
        <v/>
      </c>
      <c r="AE97" s="77">
        <f>IF($C97="","",IF(PULL_FUND="N","",IFERROR(BDP($C97,PAYOUT_FIELD,YR_OVERRIDE,TEXT(YEAR_Y-5,"0"))/100,"")))</f>
        <v/>
      </c>
      <c r="AF97" s="78">
        <f>IF($C97="","",IF(PULL_FUND="N","",IFERROR(BDP($C97,PAYOUT_FIELD,YR_OVERRIDE,TEXT(YEAR_Y-4,"0"))/100,"")))</f>
        <v/>
      </c>
      <c r="AG97" s="78">
        <f>IF($C97="","",IF(PULL_FUND="N","",IFERROR(BDP($C97,PAYOUT_FIELD,YR_OVERRIDE,TEXT(YEAR_Y-3,"0"))/100,"")))</f>
        <v/>
      </c>
      <c r="AH97" s="78">
        <f>IF($C97="","",IF(PULL_FUND="N","",IFERROR(BDP($C97,PAYOUT_FIELD,YR_OVERRIDE,TEXT(YEAR_Y-2,"0"))/100,"")))</f>
        <v/>
      </c>
      <c r="AI97" s="78">
        <f>IF($C97="","",IF(PULL_FUND="N","",IFERROR(BDP($C97,PAYOUT_FIELD,YR_OVERRIDE,TEXT(YEAR_Y-1,"0"))/100,"")))</f>
        <v/>
      </c>
      <c r="AJ97" s="79">
        <f>IF($C97="","",IFERROR(AVERAGE(AE97:AI97),""))</f>
        <v/>
      </c>
      <c r="AK97" s="80">
        <f>IF($C97="","",IF(ISNUMBER($AD97)*ISNUMBER($N97)*($AD97&lt;&gt;0)=0,"",$N97/$AD97))</f>
        <v/>
      </c>
      <c r="AL97" s="79">
        <f>IF($C97="","",IF(ISNUMBER($AD97)*($AD97&lt;&gt;0)=0,"",$M97/$AD97))</f>
        <v/>
      </c>
      <c r="AM97" s="37">
        <f>IF($C97="","",IF(ISNUMBER($AE97)*ISNUMBER($AI97)=0,"",IF($AI97&gt;$AE97+0.05,"rising",IF($AI97&lt;$AE97-0.05,"falling","stable"))))</f>
        <v/>
      </c>
      <c r="AN97" s="81">
        <f>IF($C97="","",IF(PULL_FUND="N","",IF(COUNTIFS('Fund History'!$G$518:$G$522,"&gt;="&amp;DATE(YEAR_Y-4,1,1),'Fund History'!$G$518:$G$522,"&lt;="&amp;DATE(YEAR_Y-4,12,31))=0,"",SUMIFS('Fund History'!$H$518:$H$522,'Fund History'!$G$518:$G$522,"&gt;="&amp;DATE(YEAR_Y-4,1,1),'Fund History'!$G$518:$G$522,"&lt;="&amp;DATE(YEAR_Y-4,12,31))/100)))</f>
        <v/>
      </c>
      <c r="AO97" s="82">
        <f>IF($C97="","",IF(PULL_FUND="N","",IF(COUNTIFS('Fund History'!$G$518:$G$522,"&gt;="&amp;DATE(YEAR_Y-3,1,1),'Fund History'!$G$518:$G$522,"&lt;="&amp;DATE(YEAR_Y-3,12,31))=0,"",SUMIFS('Fund History'!$H$518:$H$522,'Fund History'!$G$518:$G$522,"&gt;="&amp;DATE(YEAR_Y-3,1,1),'Fund History'!$G$518:$G$522,"&lt;="&amp;DATE(YEAR_Y-3,12,31))/100)))</f>
        <v/>
      </c>
      <c r="AP97" s="82">
        <f>IF($C97="","",IF(PULL_FUND="N","",IF(COUNTIFS('Fund History'!$G$518:$G$522,"&gt;="&amp;DATE(YEAR_Y-2,1,1),'Fund History'!$G$518:$G$522,"&lt;="&amp;DATE(YEAR_Y-2,12,31))=0,"",SUMIFS('Fund History'!$H$518:$H$522,'Fund History'!$G$518:$G$522,"&gt;="&amp;DATE(YEAR_Y-2,1,1),'Fund History'!$G$518:$G$522,"&lt;="&amp;DATE(YEAR_Y-2,12,31))/100)))</f>
        <v/>
      </c>
      <c r="AQ97" s="82">
        <f>IF($C97="","",IF(PULL_FUND="N","",IF(COUNTIFS('Fund History'!$G$518:$G$522,"&gt;="&amp;DATE(YEAR_Y-1,1,1),'Fund History'!$G$518:$G$522,"&lt;="&amp;DATE(YEAR_Y-1,12,31))=0,"",SUMIFS('Fund History'!$H$518:$H$522,'Fund History'!$G$518:$G$522,"&gt;="&amp;DATE(YEAR_Y-1,1,1),'Fund History'!$G$518:$G$522,"&lt;="&amp;DATE(YEAR_Y-1,12,31))/100)))</f>
        <v/>
      </c>
      <c r="AR97" s="83">
        <f>IF($C97="","",IF(N($AQ97)+N(HSI!$I$92)=0,"",N($AQ97)+N(HSI!$I$92)/100))</f>
        <v/>
      </c>
      <c r="AS97" s="75">
        <f>IF($C97="","",IF(PULL_FUND="N","",IF(COUNTIFS('Fund History'!$D$518:$D$522,"&gt;="&amp;DATE(YEAR_Y-2,1,1),'Fund History'!$D$518:$D$522,"&lt;="&amp;DATE(YEAR_Y-2,12,31))=0,"",SUMIFS('Fund History'!$E$518:$E$522,'Fund History'!$D$518:$D$522,"&gt;="&amp;DATE(YEAR_Y-2,1,1),'Fund History'!$D$518:$D$522,"&lt;="&amp;DATE(YEAR_Y-2,12,31)))))</f>
        <v/>
      </c>
      <c r="AT97" s="76">
        <f>IF($C97="","",IF(PULL_FUND="N","",IF(COUNTIFS('Fund History'!$D$518:$D$522,"&gt;="&amp;DATE(YEAR_Y-1,1,1),'Fund History'!$D$518:$D$522,"&lt;="&amp;DATE(YEAR_Y-1,12,31))=0,"",SUMIFS('Fund History'!$E$518:$E$522,'Fund History'!$D$518:$D$522,"&gt;="&amp;DATE(YEAR_Y-1,1,1),'Fund History'!$D$518:$D$522,"&lt;="&amp;DATE(YEAR_Y-1,12,31)))))</f>
        <v/>
      </c>
      <c r="AU97" s="76">
        <f>IF($C97="","",IF(PULL_FUND="N","",IFERROR(BDP($C97,NDEBITDA_FIELD),"")))</f>
        <v/>
      </c>
      <c r="AV97" s="84">
        <f>IF($C97="","",IF(PULL_FUND="N","",IFERROR(BDP($C97,EBINT_FIELD),"")))</f>
        <v/>
      </c>
      <c r="AW97" s="82">
        <f>IF($C97="","",IF(PULL_FUND="N","",IFERROR(BDP($C97,FCF_FIELD)/100,"")))</f>
        <v/>
      </c>
      <c r="AX97" s="50">
        <f>IF($C97="","",IF(N($U97)=0,"",IFERROR($AW97/$U97,"")))</f>
        <v/>
      </c>
      <c r="AY97" s="85">
        <f>IF($C97="","",TRIM(IF(ISNUMBER($AJ97)*(N($AJ97)&gt;$D$4)&gt;0,"payout high  ","")&amp;IF(ISNUMBER($AX97)*(N($AX97)&lt;$F$4)&gt;0,"FCF below dvd  ","")&amp;IF(ISNUMBER($AU97)*(N($AU97)&gt;$H$4)&gt;0,"leverage high","")))</f>
        <v/>
      </c>
      <c r="AZ97" s="86">
        <f>IF($C97="","",IF(HSI!$F$92="HKD","",HSI!$F$92))</f>
        <v/>
      </c>
    </row>
    <row r="98">
      <c r="B98" s="66" t="inlineStr">
        <is>
          <t>HSI</t>
        </is>
      </c>
      <c r="C98" s="8">
        <f>IF(HSI!$C$93="","",HSI!$C$93)</f>
        <v/>
      </c>
      <c r="D98" s="8">
        <f>IF($C98="","",HSI!$D$93)</f>
        <v/>
      </c>
      <c r="E98" s="8">
        <f>IF($C98="","",HSI!$E$93)</f>
        <v/>
      </c>
      <c r="F98" s="67">
        <f>IF($C98="","",SUMPRODUCT(('Dvd Calendar'!$E$957:$AR$957&gt;=DATE(YEAR_Y-5,1,1))*('Dvd Calendar'!$E$957:$AR$957&lt;=DATE(YEAR_Y-5,12,31))*'Dvd Calendar'!$E$960:$AR$960*(('Dvd Calendar'!$E$962:$AR$962=TYPE1)*(TYPE1&lt;&gt;"")+('Dvd Calendar'!$E$962:$AR$962=TYPE2)*(TYPE2&lt;&gt;"")+('Dvd Calendar'!$E$962:$AR$962=TYPE3)*(TYPE3&lt;&gt;"")+('Dvd Calendar'!$E$962:$AR$962=TYPE4)*(TYPE4&lt;&gt;"")+('Dvd Calendar'!$E$962:$AR$962=SPECIAL_LBL)*(INC_SPECIALS="Y"))))</f>
        <v/>
      </c>
      <c r="G98" s="68">
        <f>IF($C98="","",SUMPRODUCT(('Dvd Calendar'!$E$957:$AR$957&gt;=DATE(YEAR_Y-4,1,1))*('Dvd Calendar'!$E$957:$AR$957&lt;=DATE(YEAR_Y-4,12,31))*'Dvd Calendar'!$E$960:$AR$960*(('Dvd Calendar'!$E$962:$AR$962=TYPE1)*(TYPE1&lt;&gt;"")+('Dvd Calendar'!$E$962:$AR$962=TYPE2)*(TYPE2&lt;&gt;"")+('Dvd Calendar'!$E$962:$AR$962=TYPE3)*(TYPE3&lt;&gt;"")+('Dvd Calendar'!$E$962:$AR$962=TYPE4)*(TYPE4&lt;&gt;"")+('Dvd Calendar'!$E$962:$AR$962=SPECIAL_LBL)*(INC_SPECIALS="Y"))))</f>
        <v/>
      </c>
      <c r="H98" s="68">
        <f>IF($C98="","",SUMPRODUCT(('Dvd Calendar'!$E$957:$AR$957&gt;=DATE(YEAR_Y-3,1,1))*('Dvd Calendar'!$E$957:$AR$957&lt;=DATE(YEAR_Y-3,12,31))*'Dvd Calendar'!$E$960:$AR$960*(('Dvd Calendar'!$E$962:$AR$962=TYPE1)*(TYPE1&lt;&gt;"")+('Dvd Calendar'!$E$962:$AR$962=TYPE2)*(TYPE2&lt;&gt;"")+('Dvd Calendar'!$E$962:$AR$962=TYPE3)*(TYPE3&lt;&gt;"")+('Dvd Calendar'!$E$962:$AR$962=TYPE4)*(TYPE4&lt;&gt;"")+('Dvd Calendar'!$E$962:$AR$962=SPECIAL_LBL)*(INC_SPECIALS="Y"))))</f>
        <v/>
      </c>
      <c r="I98" s="68">
        <f>IF($C98="","",SUMPRODUCT(('Dvd Calendar'!$E$957:$AR$957&gt;=DATE(YEAR_Y-2,1,1))*('Dvd Calendar'!$E$957:$AR$957&lt;=DATE(YEAR_Y-2,12,31))*'Dvd Calendar'!$E$960:$AR$960*(('Dvd Calendar'!$E$962:$AR$962=TYPE1)*(TYPE1&lt;&gt;"")+('Dvd Calendar'!$E$962:$AR$962=TYPE2)*(TYPE2&lt;&gt;"")+('Dvd Calendar'!$E$962:$AR$962=TYPE3)*(TYPE3&lt;&gt;"")+('Dvd Calendar'!$E$962:$AR$962=TYPE4)*(TYPE4&lt;&gt;"")+('Dvd Calendar'!$E$962:$AR$962=SPECIAL_LBL)*(INC_SPECIALS="Y"))))</f>
        <v/>
      </c>
      <c r="J98" s="68">
        <f>IF($C98="","",SUMPRODUCT(('Dvd Calendar'!$E$957:$AR$957&gt;=DATE(YEAR_Y-1,1,1))*('Dvd Calendar'!$E$957:$AR$957&lt;=DATE(YEAR_Y-1,12,31))*'Dvd Calendar'!$E$960:$AR$960*(('Dvd Calendar'!$E$962:$AR$962=TYPE1)*(TYPE1&lt;&gt;"")+('Dvd Calendar'!$E$962:$AR$962=TYPE2)*(TYPE2&lt;&gt;"")+('Dvd Calendar'!$E$962:$AR$962=TYPE3)*(TYPE3&lt;&gt;"")+('Dvd Calendar'!$E$962:$AR$962=TYPE4)*(TYPE4&lt;&gt;"")+('Dvd Calendar'!$E$962:$AR$962=SPECIAL_LBL)*(INC_SPECIALS="Y"))))</f>
        <v/>
      </c>
      <c r="K98" s="69">
        <f>IF($C98="","",HSI!$J$93)</f>
        <v/>
      </c>
      <c r="L98" s="69">
        <f>IF($C98="","",HSI!$K$93)</f>
        <v/>
      </c>
      <c r="M98" s="44">
        <f>IF($C98="","",HSI!$J$93+HSI!$L$93)</f>
        <v/>
      </c>
      <c r="N98" s="70">
        <f>IF($C98="","",IF(PULL_FUND="N","",IFERROR(BDP($C98,BESTDPS_FIELD,FWD_OVERRIDE,TEXT(MOD(YEAR_Y,100),"00")&amp;"Y"),"")))</f>
        <v/>
      </c>
      <c r="O98" s="69">
        <f>IF($C98="","",AVERAGE(F98:J98))</f>
        <v/>
      </c>
      <c r="P98" s="71">
        <f>IF($C98="","",IF(PULL_FUND="N","",IF(COUNTIFS('Fund History'!$J$524:$J$528,"&gt;="&amp;DATE(YEAR_Y-5,1,1),'Fund History'!$J$524:$J$528,"&lt;="&amp;DATE(YEAR_Y-5,12,31))=0,"",IFERROR($F98*HSI!$G$93/SUMIFS('Fund History'!$K$524:$K$528,'Fund History'!$J$524:$J$528,"&gt;="&amp;DATE(YEAR_Y-5,1,1),'Fund History'!$J$524:$J$528,"&lt;="&amp;DATE(YEAR_Y-5,12,31)),""))))</f>
        <v/>
      </c>
      <c r="Q98" s="72">
        <f>IF($C98="","",IF(PULL_FUND="N","",IF(COUNTIFS('Fund History'!$J$524:$J$528,"&gt;="&amp;DATE(YEAR_Y-4,1,1),'Fund History'!$J$524:$J$528,"&lt;="&amp;DATE(YEAR_Y-4,12,31))=0,"",IFERROR($G98*HSI!$G$93/SUMIFS('Fund History'!$K$524:$K$528,'Fund History'!$J$524:$J$528,"&gt;="&amp;DATE(YEAR_Y-4,1,1),'Fund History'!$J$524:$J$528,"&lt;="&amp;DATE(YEAR_Y-4,12,31)),""))))</f>
        <v/>
      </c>
      <c r="R98" s="72">
        <f>IF($C98="","",IF(PULL_FUND="N","",IF(COUNTIFS('Fund History'!$J$524:$J$528,"&gt;="&amp;DATE(YEAR_Y-3,1,1),'Fund History'!$J$524:$J$528,"&lt;="&amp;DATE(YEAR_Y-3,12,31))=0,"",IFERROR($H98*HSI!$G$93/SUMIFS('Fund History'!$K$524:$K$528,'Fund History'!$J$524:$J$528,"&gt;="&amp;DATE(YEAR_Y-3,1,1),'Fund History'!$J$524:$J$528,"&lt;="&amp;DATE(YEAR_Y-3,12,31)),""))))</f>
        <v/>
      </c>
      <c r="S98" s="72">
        <f>IF($C98="","",IF(PULL_FUND="N","",IF(COUNTIFS('Fund History'!$J$524:$J$528,"&gt;="&amp;DATE(YEAR_Y-2,1,1),'Fund History'!$J$524:$J$528,"&lt;="&amp;DATE(YEAR_Y-2,12,31))=0,"",IFERROR($I98*HSI!$G$93/SUMIFS('Fund History'!$K$524:$K$528,'Fund History'!$J$524:$J$528,"&gt;="&amp;DATE(YEAR_Y-2,1,1),'Fund History'!$J$524:$J$528,"&lt;="&amp;DATE(YEAR_Y-2,12,31)),""))))</f>
        <v/>
      </c>
      <c r="T98" s="72">
        <f>IF($C98="","",IF(PULL_FUND="N","",IF(COUNTIFS('Fund History'!$J$524:$J$528,"&gt;="&amp;DATE(YEAR_Y-1,1,1),'Fund History'!$J$524:$J$528,"&lt;="&amp;DATE(YEAR_Y-1,12,31))=0,"",IFERROR($J98*HSI!$G$93/SUMIFS('Fund History'!$K$524:$K$528,'Fund History'!$J$524:$J$528,"&gt;="&amp;DATE(YEAR_Y-1,1,1),'Fund History'!$J$524:$J$528,"&lt;="&amp;DATE(YEAR_Y-1,12,31)),""))))</f>
        <v/>
      </c>
      <c r="U98" s="73">
        <f>IF($C98="","",IF(ISNUMBER(HSI!$I$93),HSI!$I$93/100,""))</f>
        <v/>
      </c>
      <c r="V98" s="74">
        <f>IF($C98="","",IF(ISNUMBER(HSI!$X$93),IFERROR($M98*HSI!$G$93/HSI!$X$93,""),""))</f>
        <v/>
      </c>
      <c r="W98" s="73">
        <f>IF($C98="","",IF(ISNUMBER($N98),IFERROR($N98*HSI!$G$93/HSI!$X$93,""),""))</f>
        <v/>
      </c>
      <c r="X98" s="75">
        <f>IF($C98="","",IF(PULL_FUND="N","",IFERROR(BDP($C98,EPS_FIELD,YR_OVERRIDE,TEXT(YEAR_Y-5,"0")),"")))</f>
        <v/>
      </c>
      <c r="Y98" s="76">
        <f>IF($C98="","",IF(PULL_FUND="N","",IFERROR(BDP($C98,EPS_FIELD,YR_OVERRIDE,TEXT(YEAR_Y-4,"0")),"")))</f>
        <v/>
      </c>
      <c r="Z98" s="76">
        <f>IF($C98="","",IF(PULL_FUND="N","",IFERROR(BDP($C98,EPS_FIELD,YR_OVERRIDE,TEXT(YEAR_Y-3,"0")),"")))</f>
        <v/>
      </c>
      <c r="AA98" s="76">
        <f>IF($C98="","",IF(PULL_FUND="N","",IFERROR(BDP($C98,EPS_FIELD,YR_OVERRIDE,TEXT(YEAR_Y-2,"0")),"")))</f>
        <v/>
      </c>
      <c r="AB98" s="76">
        <f>IF($C98="","",IF(PULL_FUND="N","",IFERROR(BDP($C98,EPS_FIELD,YR_OVERRIDE,TEXT(YEAR_Y-1,"0")),"")))</f>
        <v/>
      </c>
      <c r="AC98" s="50">
        <f>IF($C98="","",IFERROR(AVERAGE(X98:AB98),""))</f>
        <v/>
      </c>
      <c r="AD98" s="76">
        <f>IF($C98="","",IF(PULL_FUND="N","",IFERROR(BDP($C98,BESTEPS_FIELD,FWD_OVERRIDE,TEXT(MOD(YEAR_Y,100),"00")&amp;"Y"),"")))</f>
        <v/>
      </c>
      <c r="AE98" s="77">
        <f>IF($C98="","",IF(PULL_FUND="N","",IFERROR(BDP($C98,PAYOUT_FIELD,YR_OVERRIDE,TEXT(YEAR_Y-5,"0"))/100,"")))</f>
        <v/>
      </c>
      <c r="AF98" s="78">
        <f>IF($C98="","",IF(PULL_FUND="N","",IFERROR(BDP($C98,PAYOUT_FIELD,YR_OVERRIDE,TEXT(YEAR_Y-4,"0"))/100,"")))</f>
        <v/>
      </c>
      <c r="AG98" s="78">
        <f>IF($C98="","",IF(PULL_FUND="N","",IFERROR(BDP($C98,PAYOUT_FIELD,YR_OVERRIDE,TEXT(YEAR_Y-3,"0"))/100,"")))</f>
        <v/>
      </c>
      <c r="AH98" s="78">
        <f>IF($C98="","",IF(PULL_FUND="N","",IFERROR(BDP($C98,PAYOUT_FIELD,YR_OVERRIDE,TEXT(YEAR_Y-2,"0"))/100,"")))</f>
        <v/>
      </c>
      <c r="AI98" s="78">
        <f>IF($C98="","",IF(PULL_FUND="N","",IFERROR(BDP($C98,PAYOUT_FIELD,YR_OVERRIDE,TEXT(YEAR_Y-1,"0"))/100,"")))</f>
        <v/>
      </c>
      <c r="AJ98" s="79">
        <f>IF($C98="","",IFERROR(AVERAGE(AE98:AI98),""))</f>
        <v/>
      </c>
      <c r="AK98" s="80">
        <f>IF($C98="","",IF(ISNUMBER($AD98)*ISNUMBER($N98)*($AD98&lt;&gt;0)=0,"",$N98/$AD98))</f>
        <v/>
      </c>
      <c r="AL98" s="79">
        <f>IF($C98="","",IF(ISNUMBER($AD98)*($AD98&lt;&gt;0)=0,"",$M98/$AD98))</f>
        <v/>
      </c>
      <c r="AM98" s="37">
        <f>IF($C98="","",IF(ISNUMBER($AE98)*ISNUMBER($AI98)=0,"",IF($AI98&gt;$AE98+0.05,"rising",IF($AI98&lt;$AE98-0.05,"falling","stable"))))</f>
        <v/>
      </c>
      <c r="AN98" s="81">
        <f>IF($C98="","",IF(PULL_FUND="N","",IF(COUNTIFS('Fund History'!$G$524:$G$528,"&gt;="&amp;DATE(YEAR_Y-4,1,1),'Fund History'!$G$524:$G$528,"&lt;="&amp;DATE(YEAR_Y-4,12,31))=0,"",SUMIFS('Fund History'!$H$524:$H$528,'Fund History'!$G$524:$G$528,"&gt;="&amp;DATE(YEAR_Y-4,1,1),'Fund History'!$G$524:$G$528,"&lt;="&amp;DATE(YEAR_Y-4,12,31))/100)))</f>
        <v/>
      </c>
      <c r="AO98" s="82">
        <f>IF($C98="","",IF(PULL_FUND="N","",IF(COUNTIFS('Fund History'!$G$524:$G$528,"&gt;="&amp;DATE(YEAR_Y-3,1,1),'Fund History'!$G$524:$G$528,"&lt;="&amp;DATE(YEAR_Y-3,12,31))=0,"",SUMIFS('Fund History'!$H$524:$H$528,'Fund History'!$G$524:$G$528,"&gt;="&amp;DATE(YEAR_Y-3,1,1),'Fund History'!$G$524:$G$528,"&lt;="&amp;DATE(YEAR_Y-3,12,31))/100)))</f>
        <v/>
      </c>
      <c r="AP98" s="82">
        <f>IF($C98="","",IF(PULL_FUND="N","",IF(COUNTIFS('Fund History'!$G$524:$G$528,"&gt;="&amp;DATE(YEAR_Y-2,1,1),'Fund History'!$G$524:$G$528,"&lt;="&amp;DATE(YEAR_Y-2,12,31))=0,"",SUMIFS('Fund History'!$H$524:$H$528,'Fund History'!$G$524:$G$528,"&gt;="&amp;DATE(YEAR_Y-2,1,1),'Fund History'!$G$524:$G$528,"&lt;="&amp;DATE(YEAR_Y-2,12,31))/100)))</f>
        <v/>
      </c>
      <c r="AQ98" s="82">
        <f>IF($C98="","",IF(PULL_FUND="N","",IF(COUNTIFS('Fund History'!$G$524:$G$528,"&gt;="&amp;DATE(YEAR_Y-1,1,1),'Fund History'!$G$524:$G$528,"&lt;="&amp;DATE(YEAR_Y-1,12,31))=0,"",SUMIFS('Fund History'!$H$524:$H$528,'Fund History'!$G$524:$G$528,"&gt;="&amp;DATE(YEAR_Y-1,1,1),'Fund History'!$G$524:$G$528,"&lt;="&amp;DATE(YEAR_Y-1,12,31))/100)))</f>
        <v/>
      </c>
      <c r="AR98" s="83">
        <f>IF($C98="","",IF(N($AQ98)+N(HSI!$I$93)=0,"",N($AQ98)+N(HSI!$I$93)/100))</f>
        <v/>
      </c>
      <c r="AS98" s="75">
        <f>IF($C98="","",IF(PULL_FUND="N","",IF(COUNTIFS('Fund History'!$D$524:$D$528,"&gt;="&amp;DATE(YEAR_Y-2,1,1),'Fund History'!$D$524:$D$528,"&lt;="&amp;DATE(YEAR_Y-2,12,31))=0,"",SUMIFS('Fund History'!$E$524:$E$528,'Fund History'!$D$524:$D$528,"&gt;="&amp;DATE(YEAR_Y-2,1,1),'Fund History'!$D$524:$D$528,"&lt;="&amp;DATE(YEAR_Y-2,12,31)))))</f>
        <v/>
      </c>
      <c r="AT98" s="76">
        <f>IF($C98="","",IF(PULL_FUND="N","",IF(COUNTIFS('Fund History'!$D$524:$D$528,"&gt;="&amp;DATE(YEAR_Y-1,1,1),'Fund History'!$D$524:$D$528,"&lt;="&amp;DATE(YEAR_Y-1,12,31))=0,"",SUMIFS('Fund History'!$E$524:$E$528,'Fund History'!$D$524:$D$528,"&gt;="&amp;DATE(YEAR_Y-1,1,1),'Fund History'!$D$524:$D$528,"&lt;="&amp;DATE(YEAR_Y-1,12,31)))))</f>
        <v/>
      </c>
      <c r="AU98" s="76">
        <f>IF($C98="","",IF(PULL_FUND="N","",IFERROR(BDP($C98,NDEBITDA_FIELD),"")))</f>
        <v/>
      </c>
      <c r="AV98" s="84">
        <f>IF($C98="","",IF(PULL_FUND="N","",IFERROR(BDP($C98,EBINT_FIELD),"")))</f>
        <v/>
      </c>
      <c r="AW98" s="82">
        <f>IF($C98="","",IF(PULL_FUND="N","",IFERROR(BDP($C98,FCF_FIELD)/100,"")))</f>
        <v/>
      </c>
      <c r="AX98" s="50">
        <f>IF($C98="","",IF(N($U98)=0,"",IFERROR($AW98/$U98,"")))</f>
        <v/>
      </c>
      <c r="AY98" s="85">
        <f>IF($C98="","",TRIM(IF(ISNUMBER($AJ98)*(N($AJ98)&gt;$D$4)&gt;0,"payout high  ","")&amp;IF(ISNUMBER($AX98)*(N($AX98)&lt;$F$4)&gt;0,"FCF below dvd  ","")&amp;IF(ISNUMBER($AU98)*(N($AU98)&gt;$H$4)&gt;0,"leverage high","")))</f>
        <v/>
      </c>
      <c r="AZ98" s="86">
        <f>IF($C98="","",IF(HSI!$F$93="HKD","",HSI!$F$93))</f>
        <v/>
      </c>
    </row>
    <row r="99">
      <c r="B99" s="66" t="inlineStr">
        <is>
          <t>HSI</t>
        </is>
      </c>
      <c r="C99" s="8">
        <f>IF(HSI!$C$94="","",HSI!$C$94)</f>
        <v/>
      </c>
      <c r="D99" s="8">
        <f>IF($C99="","",HSI!$D$94)</f>
        <v/>
      </c>
      <c r="E99" s="8">
        <f>IF($C99="","",HSI!$E$94)</f>
        <v/>
      </c>
      <c r="F99" s="67">
        <f>IF($C99="","",SUMPRODUCT(('Dvd Calendar'!$E$968:$AR$968&gt;=DATE(YEAR_Y-5,1,1))*('Dvd Calendar'!$E$968:$AR$968&lt;=DATE(YEAR_Y-5,12,31))*'Dvd Calendar'!$E$971:$AR$971*(('Dvd Calendar'!$E$973:$AR$973=TYPE1)*(TYPE1&lt;&gt;"")+('Dvd Calendar'!$E$973:$AR$973=TYPE2)*(TYPE2&lt;&gt;"")+('Dvd Calendar'!$E$973:$AR$973=TYPE3)*(TYPE3&lt;&gt;"")+('Dvd Calendar'!$E$973:$AR$973=TYPE4)*(TYPE4&lt;&gt;"")+('Dvd Calendar'!$E$973:$AR$973=SPECIAL_LBL)*(INC_SPECIALS="Y"))))</f>
        <v/>
      </c>
      <c r="G99" s="68">
        <f>IF($C99="","",SUMPRODUCT(('Dvd Calendar'!$E$968:$AR$968&gt;=DATE(YEAR_Y-4,1,1))*('Dvd Calendar'!$E$968:$AR$968&lt;=DATE(YEAR_Y-4,12,31))*'Dvd Calendar'!$E$971:$AR$971*(('Dvd Calendar'!$E$973:$AR$973=TYPE1)*(TYPE1&lt;&gt;"")+('Dvd Calendar'!$E$973:$AR$973=TYPE2)*(TYPE2&lt;&gt;"")+('Dvd Calendar'!$E$973:$AR$973=TYPE3)*(TYPE3&lt;&gt;"")+('Dvd Calendar'!$E$973:$AR$973=TYPE4)*(TYPE4&lt;&gt;"")+('Dvd Calendar'!$E$973:$AR$973=SPECIAL_LBL)*(INC_SPECIALS="Y"))))</f>
        <v/>
      </c>
      <c r="H99" s="68">
        <f>IF($C99="","",SUMPRODUCT(('Dvd Calendar'!$E$968:$AR$968&gt;=DATE(YEAR_Y-3,1,1))*('Dvd Calendar'!$E$968:$AR$968&lt;=DATE(YEAR_Y-3,12,31))*'Dvd Calendar'!$E$971:$AR$971*(('Dvd Calendar'!$E$973:$AR$973=TYPE1)*(TYPE1&lt;&gt;"")+('Dvd Calendar'!$E$973:$AR$973=TYPE2)*(TYPE2&lt;&gt;"")+('Dvd Calendar'!$E$973:$AR$973=TYPE3)*(TYPE3&lt;&gt;"")+('Dvd Calendar'!$E$973:$AR$973=TYPE4)*(TYPE4&lt;&gt;"")+('Dvd Calendar'!$E$973:$AR$973=SPECIAL_LBL)*(INC_SPECIALS="Y"))))</f>
        <v/>
      </c>
      <c r="I99" s="68">
        <f>IF($C99="","",SUMPRODUCT(('Dvd Calendar'!$E$968:$AR$968&gt;=DATE(YEAR_Y-2,1,1))*('Dvd Calendar'!$E$968:$AR$968&lt;=DATE(YEAR_Y-2,12,31))*'Dvd Calendar'!$E$971:$AR$971*(('Dvd Calendar'!$E$973:$AR$973=TYPE1)*(TYPE1&lt;&gt;"")+('Dvd Calendar'!$E$973:$AR$973=TYPE2)*(TYPE2&lt;&gt;"")+('Dvd Calendar'!$E$973:$AR$973=TYPE3)*(TYPE3&lt;&gt;"")+('Dvd Calendar'!$E$973:$AR$973=TYPE4)*(TYPE4&lt;&gt;"")+('Dvd Calendar'!$E$973:$AR$973=SPECIAL_LBL)*(INC_SPECIALS="Y"))))</f>
        <v/>
      </c>
      <c r="J99" s="68">
        <f>IF($C99="","",SUMPRODUCT(('Dvd Calendar'!$E$968:$AR$968&gt;=DATE(YEAR_Y-1,1,1))*('Dvd Calendar'!$E$968:$AR$968&lt;=DATE(YEAR_Y-1,12,31))*'Dvd Calendar'!$E$971:$AR$971*(('Dvd Calendar'!$E$973:$AR$973=TYPE1)*(TYPE1&lt;&gt;"")+('Dvd Calendar'!$E$973:$AR$973=TYPE2)*(TYPE2&lt;&gt;"")+('Dvd Calendar'!$E$973:$AR$973=TYPE3)*(TYPE3&lt;&gt;"")+('Dvd Calendar'!$E$973:$AR$973=TYPE4)*(TYPE4&lt;&gt;"")+('Dvd Calendar'!$E$973:$AR$973=SPECIAL_LBL)*(INC_SPECIALS="Y"))))</f>
        <v/>
      </c>
      <c r="K99" s="69">
        <f>IF($C99="","",HSI!$J$94)</f>
        <v/>
      </c>
      <c r="L99" s="69">
        <f>IF($C99="","",HSI!$K$94)</f>
        <v/>
      </c>
      <c r="M99" s="44">
        <f>IF($C99="","",HSI!$J$94+HSI!$L$94)</f>
        <v/>
      </c>
      <c r="N99" s="70">
        <f>IF($C99="","",IF(PULL_FUND="N","",IFERROR(BDP($C99,BESTDPS_FIELD,FWD_OVERRIDE,TEXT(MOD(YEAR_Y,100),"00")&amp;"Y"),"")))</f>
        <v/>
      </c>
      <c r="O99" s="69">
        <f>IF($C99="","",AVERAGE(F99:J99))</f>
        <v/>
      </c>
      <c r="P99" s="71">
        <f>IF($C99="","",IF(PULL_FUND="N","",IF(COUNTIFS('Fund History'!$J$530:$J$534,"&gt;="&amp;DATE(YEAR_Y-5,1,1),'Fund History'!$J$530:$J$534,"&lt;="&amp;DATE(YEAR_Y-5,12,31))=0,"",IFERROR($F99*HSI!$G$94/SUMIFS('Fund History'!$K$530:$K$534,'Fund History'!$J$530:$J$534,"&gt;="&amp;DATE(YEAR_Y-5,1,1),'Fund History'!$J$530:$J$534,"&lt;="&amp;DATE(YEAR_Y-5,12,31)),""))))</f>
        <v/>
      </c>
      <c r="Q99" s="72">
        <f>IF($C99="","",IF(PULL_FUND="N","",IF(COUNTIFS('Fund History'!$J$530:$J$534,"&gt;="&amp;DATE(YEAR_Y-4,1,1),'Fund History'!$J$530:$J$534,"&lt;="&amp;DATE(YEAR_Y-4,12,31))=0,"",IFERROR($G99*HSI!$G$94/SUMIFS('Fund History'!$K$530:$K$534,'Fund History'!$J$530:$J$534,"&gt;="&amp;DATE(YEAR_Y-4,1,1),'Fund History'!$J$530:$J$534,"&lt;="&amp;DATE(YEAR_Y-4,12,31)),""))))</f>
        <v/>
      </c>
      <c r="R99" s="72">
        <f>IF($C99="","",IF(PULL_FUND="N","",IF(COUNTIFS('Fund History'!$J$530:$J$534,"&gt;="&amp;DATE(YEAR_Y-3,1,1),'Fund History'!$J$530:$J$534,"&lt;="&amp;DATE(YEAR_Y-3,12,31))=0,"",IFERROR($H99*HSI!$G$94/SUMIFS('Fund History'!$K$530:$K$534,'Fund History'!$J$530:$J$534,"&gt;="&amp;DATE(YEAR_Y-3,1,1),'Fund History'!$J$530:$J$534,"&lt;="&amp;DATE(YEAR_Y-3,12,31)),""))))</f>
        <v/>
      </c>
      <c r="S99" s="72">
        <f>IF($C99="","",IF(PULL_FUND="N","",IF(COUNTIFS('Fund History'!$J$530:$J$534,"&gt;="&amp;DATE(YEAR_Y-2,1,1),'Fund History'!$J$530:$J$534,"&lt;="&amp;DATE(YEAR_Y-2,12,31))=0,"",IFERROR($I99*HSI!$G$94/SUMIFS('Fund History'!$K$530:$K$534,'Fund History'!$J$530:$J$534,"&gt;="&amp;DATE(YEAR_Y-2,1,1),'Fund History'!$J$530:$J$534,"&lt;="&amp;DATE(YEAR_Y-2,12,31)),""))))</f>
        <v/>
      </c>
      <c r="T99" s="72">
        <f>IF($C99="","",IF(PULL_FUND="N","",IF(COUNTIFS('Fund History'!$J$530:$J$534,"&gt;="&amp;DATE(YEAR_Y-1,1,1),'Fund History'!$J$530:$J$534,"&lt;="&amp;DATE(YEAR_Y-1,12,31))=0,"",IFERROR($J99*HSI!$G$94/SUMIFS('Fund History'!$K$530:$K$534,'Fund History'!$J$530:$J$534,"&gt;="&amp;DATE(YEAR_Y-1,1,1),'Fund History'!$J$530:$J$534,"&lt;="&amp;DATE(YEAR_Y-1,12,31)),""))))</f>
        <v/>
      </c>
      <c r="U99" s="73">
        <f>IF($C99="","",IF(ISNUMBER(HSI!$I$94),HSI!$I$94/100,""))</f>
        <v/>
      </c>
      <c r="V99" s="74">
        <f>IF($C99="","",IF(ISNUMBER(HSI!$X$94),IFERROR($M99*HSI!$G$94/HSI!$X$94,""),""))</f>
        <v/>
      </c>
      <c r="W99" s="73">
        <f>IF($C99="","",IF(ISNUMBER($N99),IFERROR($N99*HSI!$G$94/HSI!$X$94,""),""))</f>
        <v/>
      </c>
      <c r="X99" s="75">
        <f>IF($C99="","",IF(PULL_FUND="N","",IFERROR(BDP($C99,EPS_FIELD,YR_OVERRIDE,TEXT(YEAR_Y-5,"0")),"")))</f>
        <v/>
      </c>
      <c r="Y99" s="76">
        <f>IF($C99="","",IF(PULL_FUND="N","",IFERROR(BDP($C99,EPS_FIELD,YR_OVERRIDE,TEXT(YEAR_Y-4,"0")),"")))</f>
        <v/>
      </c>
      <c r="Z99" s="76">
        <f>IF($C99="","",IF(PULL_FUND="N","",IFERROR(BDP($C99,EPS_FIELD,YR_OVERRIDE,TEXT(YEAR_Y-3,"0")),"")))</f>
        <v/>
      </c>
      <c r="AA99" s="76">
        <f>IF($C99="","",IF(PULL_FUND="N","",IFERROR(BDP($C99,EPS_FIELD,YR_OVERRIDE,TEXT(YEAR_Y-2,"0")),"")))</f>
        <v/>
      </c>
      <c r="AB99" s="76">
        <f>IF($C99="","",IF(PULL_FUND="N","",IFERROR(BDP($C99,EPS_FIELD,YR_OVERRIDE,TEXT(YEAR_Y-1,"0")),"")))</f>
        <v/>
      </c>
      <c r="AC99" s="50">
        <f>IF($C99="","",IFERROR(AVERAGE(X99:AB99),""))</f>
        <v/>
      </c>
      <c r="AD99" s="76">
        <f>IF($C99="","",IF(PULL_FUND="N","",IFERROR(BDP($C99,BESTEPS_FIELD,FWD_OVERRIDE,TEXT(MOD(YEAR_Y,100),"00")&amp;"Y"),"")))</f>
        <v/>
      </c>
      <c r="AE99" s="77">
        <f>IF($C99="","",IF(PULL_FUND="N","",IFERROR(BDP($C99,PAYOUT_FIELD,YR_OVERRIDE,TEXT(YEAR_Y-5,"0"))/100,"")))</f>
        <v/>
      </c>
      <c r="AF99" s="78">
        <f>IF($C99="","",IF(PULL_FUND="N","",IFERROR(BDP($C99,PAYOUT_FIELD,YR_OVERRIDE,TEXT(YEAR_Y-4,"0"))/100,"")))</f>
        <v/>
      </c>
      <c r="AG99" s="78">
        <f>IF($C99="","",IF(PULL_FUND="N","",IFERROR(BDP($C99,PAYOUT_FIELD,YR_OVERRIDE,TEXT(YEAR_Y-3,"0"))/100,"")))</f>
        <v/>
      </c>
      <c r="AH99" s="78">
        <f>IF($C99="","",IF(PULL_FUND="N","",IFERROR(BDP($C99,PAYOUT_FIELD,YR_OVERRIDE,TEXT(YEAR_Y-2,"0"))/100,"")))</f>
        <v/>
      </c>
      <c r="AI99" s="78">
        <f>IF($C99="","",IF(PULL_FUND="N","",IFERROR(BDP($C99,PAYOUT_FIELD,YR_OVERRIDE,TEXT(YEAR_Y-1,"0"))/100,"")))</f>
        <v/>
      </c>
      <c r="AJ99" s="79">
        <f>IF($C99="","",IFERROR(AVERAGE(AE99:AI99),""))</f>
        <v/>
      </c>
      <c r="AK99" s="80">
        <f>IF($C99="","",IF(ISNUMBER($AD99)*ISNUMBER($N99)*($AD99&lt;&gt;0)=0,"",$N99/$AD99))</f>
        <v/>
      </c>
      <c r="AL99" s="79">
        <f>IF($C99="","",IF(ISNUMBER($AD99)*($AD99&lt;&gt;0)=0,"",$M99/$AD99))</f>
        <v/>
      </c>
      <c r="AM99" s="37">
        <f>IF($C99="","",IF(ISNUMBER($AE99)*ISNUMBER($AI99)=0,"",IF($AI99&gt;$AE99+0.05,"rising",IF($AI99&lt;$AE99-0.05,"falling","stable"))))</f>
        <v/>
      </c>
      <c r="AN99" s="81">
        <f>IF($C99="","",IF(PULL_FUND="N","",IF(COUNTIFS('Fund History'!$G$530:$G$534,"&gt;="&amp;DATE(YEAR_Y-4,1,1),'Fund History'!$G$530:$G$534,"&lt;="&amp;DATE(YEAR_Y-4,12,31))=0,"",SUMIFS('Fund History'!$H$530:$H$534,'Fund History'!$G$530:$G$534,"&gt;="&amp;DATE(YEAR_Y-4,1,1),'Fund History'!$G$530:$G$534,"&lt;="&amp;DATE(YEAR_Y-4,12,31))/100)))</f>
        <v/>
      </c>
      <c r="AO99" s="82">
        <f>IF($C99="","",IF(PULL_FUND="N","",IF(COUNTIFS('Fund History'!$G$530:$G$534,"&gt;="&amp;DATE(YEAR_Y-3,1,1),'Fund History'!$G$530:$G$534,"&lt;="&amp;DATE(YEAR_Y-3,12,31))=0,"",SUMIFS('Fund History'!$H$530:$H$534,'Fund History'!$G$530:$G$534,"&gt;="&amp;DATE(YEAR_Y-3,1,1),'Fund History'!$G$530:$G$534,"&lt;="&amp;DATE(YEAR_Y-3,12,31))/100)))</f>
        <v/>
      </c>
      <c r="AP99" s="82">
        <f>IF($C99="","",IF(PULL_FUND="N","",IF(COUNTIFS('Fund History'!$G$530:$G$534,"&gt;="&amp;DATE(YEAR_Y-2,1,1),'Fund History'!$G$530:$G$534,"&lt;="&amp;DATE(YEAR_Y-2,12,31))=0,"",SUMIFS('Fund History'!$H$530:$H$534,'Fund History'!$G$530:$G$534,"&gt;="&amp;DATE(YEAR_Y-2,1,1),'Fund History'!$G$530:$G$534,"&lt;="&amp;DATE(YEAR_Y-2,12,31))/100)))</f>
        <v/>
      </c>
      <c r="AQ99" s="82">
        <f>IF($C99="","",IF(PULL_FUND="N","",IF(COUNTIFS('Fund History'!$G$530:$G$534,"&gt;="&amp;DATE(YEAR_Y-1,1,1),'Fund History'!$G$530:$G$534,"&lt;="&amp;DATE(YEAR_Y-1,12,31))=0,"",SUMIFS('Fund History'!$H$530:$H$534,'Fund History'!$G$530:$G$534,"&gt;="&amp;DATE(YEAR_Y-1,1,1),'Fund History'!$G$530:$G$534,"&lt;="&amp;DATE(YEAR_Y-1,12,31))/100)))</f>
        <v/>
      </c>
      <c r="AR99" s="83">
        <f>IF($C99="","",IF(N($AQ99)+N(HSI!$I$94)=0,"",N($AQ99)+N(HSI!$I$94)/100))</f>
        <v/>
      </c>
      <c r="AS99" s="75">
        <f>IF($C99="","",IF(PULL_FUND="N","",IF(COUNTIFS('Fund History'!$D$530:$D$534,"&gt;="&amp;DATE(YEAR_Y-2,1,1),'Fund History'!$D$530:$D$534,"&lt;="&amp;DATE(YEAR_Y-2,12,31))=0,"",SUMIFS('Fund History'!$E$530:$E$534,'Fund History'!$D$530:$D$534,"&gt;="&amp;DATE(YEAR_Y-2,1,1),'Fund History'!$D$530:$D$534,"&lt;="&amp;DATE(YEAR_Y-2,12,31)))))</f>
        <v/>
      </c>
      <c r="AT99" s="76">
        <f>IF($C99="","",IF(PULL_FUND="N","",IF(COUNTIFS('Fund History'!$D$530:$D$534,"&gt;="&amp;DATE(YEAR_Y-1,1,1),'Fund History'!$D$530:$D$534,"&lt;="&amp;DATE(YEAR_Y-1,12,31))=0,"",SUMIFS('Fund History'!$E$530:$E$534,'Fund History'!$D$530:$D$534,"&gt;="&amp;DATE(YEAR_Y-1,1,1),'Fund History'!$D$530:$D$534,"&lt;="&amp;DATE(YEAR_Y-1,12,31)))))</f>
        <v/>
      </c>
      <c r="AU99" s="76">
        <f>IF($C99="","",IF(PULL_FUND="N","",IFERROR(BDP($C99,NDEBITDA_FIELD),"")))</f>
        <v/>
      </c>
      <c r="AV99" s="84">
        <f>IF($C99="","",IF(PULL_FUND="N","",IFERROR(BDP($C99,EBINT_FIELD),"")))</f>
        <v/>
      </c>
      <c r="AW99" s="82">
        <f>IF($C99="","",IF(PULL_FUND="N","",IFERROR(BDP($C99,FCF_FIELD)/100,"")))</f>
        <v/>
      </c>
      <c r="AX99" s="50">
        <f>IF($C99="","",IF(N($U99)=0,"",IFERROR($AW99/$U99,"")))</f>
        <v/>
      </c>
      <c r="AY99" s="85">
        <f>IF($C99="","",TRIM(IF(ISNUMBER($AJ99)*(N($AJ99)&gt;$D$4)&gt;0,"payout high  ","")&amp;IF(ISNUMBER($AX99)*(N($AX99)&lt;$F$4)&gt;0,"FCF below dvd  ","")&amp;IF(ISNUMBER($AU99)*(N($AU99)&gt;$H$4)&gt;0,"leverage high","")))</f>
        <v/>
      </c>
      <c r="AZ99" s="86">
        <f>IF($C99="","",IF(HSI!$F$94="HKD","",HSI!$F$94))</f>
        <v/>
      </c>
    </row>
    <row r="100">
      <c r="B100" s="66" t="inlineStr">
        <is>
          <t>HSI</t>
        </is>
      </c>
      <c r="C100" s="8">
        <f>IF(HSI!$C$95="","",HSI!$C$95)</f>
        <v/>
      </c>
      <c r="D100" s="8">
        <f>IF($C100="","",HSI!$D$95)</f>
        <v/>
      </c>
      <c r="E100" s="8">
        <f>IF($C100="","",HSI!$E$95)</f>
        <v/>
      </c>
      <c r="F100" s="67">
        <f>IF($C100="","",SUMPRODUCT(('Dvd Calendar'!$E$979:$AR$979&gt;=DATE(YEAR_Y-5,1,1))*('Dvd Calendar'!$E$979:$AR$979&lt;=DATE(YEAR_Y-5,12,31))*'Dvd Calendar'!$E$982:$AR$982*(('Dvd Calendar'!$E$984:$AR$984=TYPE1)*(TYPE1&lt;&gt;"")+('Dvd Calendar'!$E$984:$AR$984=TYPE2)*(TYPE2&lt;&gt;"")+('Dvd Calendar'!$E$984:$AR$984=TYPE3)*(TYPE3&lt;&gt;"")+('Dvd Calendar'!$E$984:$AR$984=TYPE4)*(TYPE4&lt;&gt;"")+('Dvd Calendar'!$E$984:$AR$984=SPECIAL_LBL)*(INC_SPECIALS="Y"))))</f>
        <v/>
      </c>
      <c r="G100" s="68">
        <f>IF($C100="","",SUMPRODUCT(('Dvd Calendar'!$E$979:$AR$979&gt;=DATE(YEAR_Y-4,1,1))*('Dvd Calendar'!$E$979:$AR$979&lt;=DATE(YEAR_Y-4,12,31))*'Dvd Calendar'!$E$982:$AR$982*(('Dvd Calendar'!$E$984:$AR$984=TYPE1)*(TYPE1&lt;&gt;"")+('Dvd Calendar'!$E$984:$AR$984=TYPE2)*(TYPE2&lt;&gt;"")+('Dvd Calendar'!$E$984:$AR$984=TYPE3)*(TYPE3&lt;&gt;"")+('Dvd Calendar'!$E$984:$AR$984=TYPE4)*(TYPE4&lt;&gt;"")+('Dvd Calendar'!$E$984:$AR$984=SPECIAL_LBL)*(INC_SPECIALS="Y"))))</f>
        <v/>
      </c>
      <c r="H100" s="68">
        <f>IF($C100="","",SUMPRODUCT(('Dvd Calendar'!$E$979:$AR$979&gt;=DATE(YEAR_Y-3,1,1))*('Dvd Calendar'!$E$979:$AR$979&lt;=DATE(YEAR_Y-3,12,31))*'Dvd Calendar'!$E$982:$AR$982*(('Dvd Calendar'!$E$984:$AR$984=TYPE1)*(TYPE1&lt;&gt;"")+('Dvd Calendar'!$E$984:$AR$984=TYPE2)*(TYPE2&lt;&gt;"")+('Dvd Calendar'!$E$984:$AR$984=TYPE3)*(TYPE3&lt;&gt;"")+('Dvd Calendar'!$E$984:$AR$984=TYPE4)*(TYPE4&lt;&gt;"")+('Dvd Calendar'!$E$984:$AR$984=SPECIAL_LBL)*(INC_SPECIALS="Y"))))</f>
        <v/>
      </c>
      <c r="I100" s="68">
        <f>IF($C100="","",SUMPRODUCT(('Dvd Calendar'!$E$979:$AR$979&gt;=DATE(YEAR_Y-2,1,1))*('Dvd Calendar'!$E$979:$AR$979&lt;=DATE(YEAR_Y-2,12,31))*'Dvd Calendar'!$E$982:$AR$982*(('Dvd Calendar'!$E$984:$AR$984=TYPE1)*(TYPE1&lt;&gt;"")+('Dvd Calendar'!$E$984:$AR$984=TYPE2)*(TYPE2&lt;&gt;"")+('Dvd Calendar'!$E$984:$AR$984=TYPE3)*(TYPE3&lt;&gt;"")+('Dvd Calendar'!$E$984:$AR$984=TYPE4)*(TYPE4&lt;&gt;"")+('Dvd Calendar'!$E$984:$AR$984=SPECIAL_LBL)*(INC_SPECIALS="Y"))))</f>
        <v/>
      </c>
      <c r="J100" s="68">
        <f>IF($C100="","",SUMPRODUCT(('Dvd Calendar'!$E$979:$AR$979&gt;=DATE(YEAR_Y-1,1,1))*('Dvd Calendar'!$E$979:$AR$979&lt;=DATE(YEAR_Y-1,12,31))*'Dvd Calendar'!$E$982:$AR$982*(('Dvd Calendar'!$E$984:$AR$984=TYPE1)*(TYPE1&lt;&gt;"")+('Dvd Calendar'!$E$984:$AR$984=TYPE2)*(TYPE2&lt;&gt;"")+('Dvd Calendar'!$E$984:$AR$984=TYPE3)*(TYPE3&lt;&gt;"")+('Dvd Calendar'!$E$984:$AR$984=TYPE4)*(TYPE4&lt;&gt;"")+('Dvd Calendar'!$E$984:$AR$984=SPECIAL_LBL)*(INC_SPECIALS="Y"))))</f>
        <v/>
      </c>
      <c r="K100" s="69">
        <f>IF($C100="","",HSI!$J$95)</f>
        <v/>
      </c>
      <c r="L100" s="69">
        <f>IF($C100="","",HSI!$K$95)</f>
        <v/>
      </c>
      <c r="M100" s="44">
        <f>IF($C100="","",HSI!$J$95+HSI!$L$95)</f>
        <v/>
      </c>
      <c r="N100" s="70">
        <f>IF($C100="","",IF(PULL_FUND="N","",IFERROR(BDP($C100,BESTDPS_FIELD,FWD_OVERRIDE,TEXT(MOD(YEAR_Y,100),"00")&amp;"Y"),"")))</f>
        <v/>
      </c>
      <c r="O100" s="69">
        <f>IF($C100="","",AVERAGE(F100:J100))</f>
        <v/>
      </c>
      <c r="P100" s="71">
        <f>IF($C100="","",IF(PULL_FUND="N","",IF(COUNTIFS('Fund History'!$J$536:$J$540,"&gt;="&amp;DATE(YEAR_Y-5,1,1),'Fund History'!$J$536:$J$540,"&lt;="&amp;DATE(YEAR_Y-5,12,31))=0,"",IFERROR($F100*HSI!$G$95/SUMIFS('Fund History'!$K$536:$K$540,'Fund History'!$J$536:$J$540,"&gt;="&amp;DATE(YEAR_Y-5,1,1),'Fund History'!$J$536:$J$540,"&lt;="&amp;DATE(YEAR_Y-5,12,31)),""))))</f>
        <v/>
      </c>
      <c r="Q100" s="72">
        <f>IF($C100="","",IF(PULL_FUND="N","",IF(COUNTIFS('Fund History'!$J$536:$J$540,"&gt;="&amp;DATE(YEAR_Y-4,1,1),'Fund History'!$J$536:$J$540,"&lt;="&amp;DATE(YEAR_Y-4,12,31))=0,"",IFERROR($G100*HSI!$G$95/SUMIFS('Fund History'!$K$536:$K$540,'Fund History'!$J$536:$J$540,"&gt;="&amp;DATE(YEAR_Y-4,1,1),'Fund History'!$J$536:$J$540,"&lt;="&amp;DATE(YEAR_Y-4,12,31)),""))))</f>
        <v/>
      </c>
      <c r="R100" s="72">
        <f>IF($C100="","",IF(PULL_FUND="N","",IF(COUNTIFS('Fund History'!$J$536:$J$540,"&gt;="&amp;DATE(YEAR_Y-3,1,1),'Fund History'!$J$536:$J$540,"&lt;="&amp;DATE(YEAR_Y-3,12,31))=0,"",IFERROR($H100*HSI!$G$95/SUMIFS('Fund History'!$K$536:$K$540,'Fund History'!$J$536:$J$540,"&gt;="&amp;DATE(YEAR_Y-3,1,1),'Fund History'!$J$536:$J$540,"&lt;="&amp;DATE(YEAR_Y-3,12,31)),""))))</f>
        <v/>
      </c>
      <c r="S100" s="72">
        <f>IF($C100="","",IF(PULL_FUND="N","",IF(COUNTIFS('Fund History'!$J$536:$J$540,"&gt;="&amp;DATE(YEAR_Y-2,1,1),'Fund History'!$J$536:$J$540,"&lt;="&amp;DATE(YEAR_Y-2,12,31))=0,"",IFERROR($I100*HSI!$G$95/SUMIFS('Fund History'!$K$536:$K$540,'Fund History'!$J$536:$J$540,"&gt;="&amp;DATE(YEAR_Y-2,1,1),'Fund History'!$J$536:$J$540,"&lt;="&amp;DATE(YEAR_Y-2,12,31)),""))))</f>
        <v/>
      </c>
      <c r="T100" s="72">
        <f>IF($C100="","",IF(PULL_FUND="N","",IF(COUNTIFS('Fund History'!$J$536:$J$540,"&gt;="&amp;DATE(YEAR_Y-1,1,1),'Fund History'!$J$536:$J$540,"&lt;="&amp;DATE(YEAR_Y-1,12,31))=0,"",IFERROR($J100*HSI!$G$95/SUMIFS('Fund History'!$K$536:$K$540,'Fund History'!$J$536:$J$540,"&gt;="&amp;DATE(YEAR_Y-1,1,1),'Fund History'!$J$536:$J$540,"&lt;="&amp;DATE(YEAR_Y-1,12,31)),""))))</f>
        <v/>
      </c>
      <c r="U100" s="73">
        <f>IF($C100="","",IF(ISNUMBER(HSI!$I$95),HSI!$I$95/100,""))</f>
        <v/>
      </c>
      <c r="V100" s="74">
        <f>IF($C100="","",IF(ISNUMBER(HSI!$X$95),IFERROR($M100*HSI!$G$95/HSI!$X$95,""),""))</f>
        <v/>
      </c>
      <c r="W100" s="73">
        <f>IF($C100="","",IF(ISNUMBER($N100),IFERROR($N100*HSI!$G$95/HSI!$X$95,""),""))</f>
        <v/>
      </c>
      <c r="X100" s="75">
        <f>IF($C100="","",IF(PULL_FUND="N","",IFERROR(BDP($C100,EPS_FIELD,YR_OVERRIDE,TEXT(YEAR_Y-5,"0")),"")))</f>
        <v/>
      </c>
      <c r="Y100" s="76">
        <f>IF($C100="","",IF(PULL_FUND="N","",IFERROR(BDP($C100,EPS_FIELD,YR_OVERRIDE,TEXT(YEAR_Y-4,"0")),"")))</f>
        <v/>
      </c>
      <c r="Z100" s="76">
        <f>IF($C100="","",IF(PULL_FUND="N","",IFERROR(BDP($C100,EPS_FIELD,YR_OVERRIDE,TEXT(YEAR_Y-3,"0")),"")))</f>
        <v/>
      </c>
      <c r="AA100" s="76">
        <f>IF($C100="","",IF(PULL_FUND="N","",IFERROR(BDP($C100,EPS_FIELD,YR_OVERRIDE,TEXT(YEAR_Y-2,"0")),"")))</f>
        <v/>
      </c>
      <c r="AB100" s="76">
        <f>IF($C100="","",IF(PULL_FUND="N","",IFERROR(BDP($C100,EPS_FIELD,YR_OVERRIDE,TEXT(YEAR_Y-1,"0")),"")))</f>
        <v/>
      </c>
      <c r="AC100" s="50">
        <f>IF($C100="","",IFERROR(AVERAGE(X100:AB100),""))</f>
        <v/>
      </c>
      <c r="AD100" s="76">
        <f>IF($C100="","",IF(PULL_FUND="N","",IFERROR(BDP($C100,BESTEPS_FIELD,FWD_OVERRIDE,TEXT(MOD(YEAR_Y,100),"00")&amp;"Y"),"")))</f>
        <v/>
      </c>
      <c r="AE100" s="77">
        <f>IF($C100="","",IF(PULL_FUND="N","",IFERROR(BDP($C100,PAYOUT_FIELD,YR_OVERRIDE,TEXT(YEAR_Y-5,"0"))/100,"")))</f>
        <v/>
      </c>
      <c r="AF100" s="78">
        <f>IF($C100="","",IF(PULL_FUND="N","",IFERROR(BDP($C100,PAYOUT_FIELD,YR_OVERRIDE,TEXT(YEAR_Y-4,"0"))/100,"")))</f>
        <v/>
      </c>
      <c r="AG100" s="78">
        <f>IF($C100="","",IF(PULL_FUND="N","",IFERROR(BDP($C100,PAYOUT_FIELD,YR_OVERRIDE,TEXT(YEAR_Y-3,"0"))/100,"")))</f>
        <v/>
      </c>
      <c r="AH100" s="78">
        <f>IF($C100="","",IF(PULL_FUND="N","",IFERROR(BDP($C100,PAYOUT_FIELD,YR_OVERRIDE,TEXT(YEAR_Y-2,"0"))/100,"")))</f>
        <v/>
      </c>
      <c r="AI100" s="78">
        <f>IF($C100="","",IF(PULL_FUND="N","",IFERROR(BDP($C100,PAYOUT_FIELD,YR_OVERRIDE,TEXT(YEAR_Y-1,"0"))/100,"")))</f>
        <v/>
      </c>
      <c r="AJ100" s="79">
        <f>IF($C100="","",IFERROR(AVERAGE(AE100:AI100),""))</f>
        <v/>
      </c>
      <c r="AK100" s="80">
        <f>IF($C100="","",IF(ISNUMBER($AD100)*ISNUMBER($N100)*($AD100&lt;&gt;0)=0,"",$N100/$AD100))</f>
        <v/>
      </c>
      <c r="AL100" s="79">
        <f>IF($C100="","",IF(ISNUMBER($AD100)*($AD100&lt;&gt;0)=0,"",$M100/$AD100))</f>
        <v/>
      </c>
      <c r="AM100" s="37">
        <f>IF($C100="","",IF(ISNUMBER($AE100)*ISNUMBER($AI100)=0,"",IF($AI100&gt;$AE100+0.05,"rising",IF($AI100&lt;$AE100-0.05,"falling","stable"))))</f>
        <v/>
      </c>
      <c r="AN100" s="81">
        <f>IF($C100="","",IF(PULL_FUND="N","",IF(COUNTIFS('Fund History'!$G$536:$G$540,"&gt;="&amp;DATE(YEAR_Y-4,1,1),'Fund History'!$G$536:$G$540,"&lt;="&amp;DATE(YEAR_Y-4,12,31))=0,"",SUMIFS('Fund History'!$H$536:$H$540,'Fund History'!$G$536:$G$540,"&gt;="&amp;DATE(YEAR_Y-4,1,1),'Fund History'!$G$536:$G$540,"&lt;="&amp;DATE(YEAR_Y-4,12,31))/100)))</f>
        <v/>
      </c>
      <c r="AO100" s="82">
        <f>IF($C100="","",IF(PULL_FUND="N","",IF(COUNTIFS('Fund History'!$G$536:$G$540,"&gt;="&amp;DATE(YEAR_Y-3,1,1),'Fund History'!$G$536:$G$540,"&lt;="&amp;DATE(YEAR_Y-3,12,31))=0,"",SUMIFS('Fund History'!$H$536:$H$540,'Fund History'!$G$536:$G$540,"&gt;="&amp;DATE(YEAR_Y-3,1,1),'Fund History'!$G$536:$G$540,"&lt;="&amp;DATE(YEAR_Y-3,12,31))/100)))</f>
        <v/>
      </c>
      <c r="AP100" s="82">
        <f>IF($C100="","",IF(PULL_FUND="N","",IF(COUNTIFS('Fund History'!$G$536:$G$540,"&gt;="&amp;DATE(YEAR_Y-2,1,1),'Fund History'!$G$536:$G$540,"&lt;="&amp;DATE(YEAR_Y-2,12,31))=0,"",SUMIFS('Fund History'!$H$536:$H$540,'Fund History'!$G$536:$G$540,"&gt;="&amp;DATE(YEAR_Y-2,1,1),'Fund History'!$G$536:$G$540,"&lt;="&amp;DATE(YEAR_Y-2,12,31))/100)))</f>
        <v/>
      </c>
      <c r="AQ100" s="82">
        <f>IF($C100="","",IF(PULL_FUND="N","",IF(COUNTIFS('Fund History'!$G$536:$G$540,"&gt;="&amp;DATE(YEAR_Y-1,1,1),'Fund History'!$G$536:$G$540,"&lt;="&amp;DATE(YEAR_Y-1,12,31))=0,"",SUMIFS('Fund History'!$H$536:$H$540,'Fund History'!$G$536:$G$540,"&gt;="&amp;DATE(YEAR_Y-1,1,1),'Fund History'!$G$536:$G$540,"&lt;="&amp;DATE(YEAR_Y-1,12,31))/100)))</f>
        <v/>
      </c>
      <c r="AR100" s="83">
        <f>IF($C100="","",IF(N($AQ100)+N(HSI!$I$95)=0,"",N($AQ100)+N(HSI!$I$95)/100))</f>
        <v/>
      </c>
      <c r="AS100" s="75">
        <f>IF($C100="","",IF(PULL_FUND="N","",IF(COUNTIFS('Fund History'!$D$536:$D$540,"&gt;="&amp;DATE(YEAR_Y-2,1,1),'Fund History'!$D$536:$D$540,"&lt;="&amp;DATE(YEAR_Y-2,12,31))=0,"",SUMIFS('Fund History'!$E$536:$E$540,'Fund History'!$D$536:$D$540,"&gt;="&amp;DATE(YEAR_Y-2,1,1),'Fund History'!$D$536:$D$540,"&lt;="&amp;DATE(YEAR_Y-2,12,31)))))</f>
        <v/>
      </c>
      <c r="AT100" s="76">
        <f>IF($C100="","",IF(PULL_FUND="N","",IF(COUNTIFS('Fund History'!$D$536:$D$540,"&gt;="&amp;DATE(YEAR_Y-1,1,1),'Fund History'!$D$536:$D$540,"&lt;="&amp;DATE(YEAR_Y-1,12,31))=0,"",SUMIFS('Fund History'!$E$536:$E$540,'Fund History'!$D$536:$D$540,"&gt;="&amp;DATE(YEAR_Y-1,1,1),'Fund History'!$D$536:$D$540,"&lt;="&amp;DATE(YEAR_Y-1,12,31)))))</f>
        <v/>
      </c>
      <c r="AU100" s="76">
        <f>IF($C100="","",IF(PULL_FUND="N","",IFERROR(BDP($C100,NDEBITDA_FIELD),"")))</f>
        <v/>
      </c>
      <c r="AV100" s="84">
        <f>IF($C100="","",IF(PULL_FUND="N","",IFERROR(BDP($C100,EBINT_FIELD),"")))</f>
        <v/>
      </c>
      <c r="AW100" s="82">
        <f>IF($C100="","",IF(PULL_FUND="N","",IFERROR(BDP($C100,FCF_FIELD)/100,"")))</f>
        <v/>
      </c>
      <c r="AX100" s="50">
        <f>IF($C100="","",IF(N($U100)=0,"",IFERROR($AW100/$U100,"")))</f>
        <v/>
      </c>
      <c r="AY100" s="85">
        <f>IF($C100="","",TRIM(IF(ISNUMBER($AJ100)*(N($AJ100)&gt;$D$4)&gt;0,"payout high  ","")&amp;IF(ISNUMBER($AX100)*(N($AX100)&lt;$F$4)&gt;0,"FCF below dvd  ","")&amp;IF(ISNUMBER($AU100)*(N($AU100)&gt;$H$4)&gt;0,"leverage high","")))</f>
        <v/>
      </c>
      <c r="AZ100" s="86">
        <f>IF($C100="","",IF(HSI!$F$95="HKD","",HSI!$F$95))</f>
        <v/>
      </c>
    </row>
    <row r="101">
      <c r="B101" s="66" t="inlineStr">
        <is>
          <t>HSI</t>
        </is>
      </c>
      <c r="C101" s="8">
        <f>IF(HSI!$C$96="","",HSI!$C$96)</f>
        <v/>
      </c>
      <c r="D101" s="8">
        <f>IF($C101="","",HSI!$D$96)</f>
        <v/>
      </c>
      <c r="E101" s="8">
        <f>IF($C101="","",HSI!$E$96)</f>
        <v/>
      </c>
      <c r="F101" s="67">
        <f>IF($C101="","",SUMPRODUCT(('Dvd Calendar'!$E$990:$AR$990&gt;=DATE(YEAR_Y-5,1,1))*('Dvd Calendar'!$E$990:$AR$990&lt;=DATE(YEAR_Y-5,12,31))*'Dvd Calendar'!$E$993:$AR$993*(('Dvd Calendar'!$E$995:$AR$995=TYPE1)*(TYPE1&lt;&gt;"")+('Dvd Calendar'!$E$995:$AR$995=TYPE2)*(TYPE2&lt;&gt;"")+('Dvd Calendar'!$E$995:$AR$995=TYPE3)*(TYPE3&lt;&gt;"")+('Dvd Calendar'!$E$995:$AR$995=TYPE4)*(TYPE4&lt;&gt;"")+('Dvd Calendar'!$E$995:$AR$995=SPECIAL_LBL)*(INC_SPECIALS="Y"))))</f>
        <v/>
      </c>
      <c r="G101" s="68">
        <f>IF($C101="","",SUMPRODUCT(('Dvd Calendar'!$E$990:$AR$990&gt;=DATE(YEAR_Y-4,1,1))*('Dvd Calendar'!$E$990:$AR$990&lt;=DATE(YEAR_Y-4,12,31))*'Dvd Calendar'!$E$993:$AR$993*(('Dvd Calendar'!$E$995:$AR$995=TYPE1)*(TYPE1&lt;&gt;"")+('Dvd Calendar'!$E$995:$AR$995=TYPE2)*(TYPE2&lt;&gt;"")+('Dvd Calendar'!$E$995:$AR$995=TYPE3)*(TYPE3&lt;&gt;"")+('Dvd Calendar'!$E$995:$AR$995=TYPE4)*(TYPE4&lt;&gt;"")+('Dvd Calendar'!$E$995:$AR$995=SPECIAL_LBL)*(INC_SPECIALS="Y"))))</f>
        <v/>
      </c>
      <c r="H101" s="68">
        <f>IF($C101="","",SUMPRODUCT(('Dvd Calendar'!$E$990:$AR$990&gt;=DATE(YEAR_Y-3,1,1))*('Dvd Calendar'!$E$990:$AR$990&lt;=DATE(YEAR_Y-3,12,31))*'Dvd Calendar'!$E$993:$AR$993*(('Dvd Calendar'!$E$995:$AR$995=TYPE1)*(TYPE1&lt;&gt;"")+('Dvd Calendar'!$E$995:$AR$995=TYPE2)*(TYPE2&lt;&gt;"")+('Dvd Calendar'!$E$995:$AR$995=TYPE3)*(TYPE3&lt;&gt;"")+('Dvd Calendar'!$E$995:$AR$995=TYPE4)*(TYPE4&lt;&gt;"")+('Dvd Calendar'!$E$995:$AR$995=SPECIAL_LBL)*(INC_SPECIALS="Y"))))</f>
        <v/>
      </c>
      <c r="I101" s="68">
        <f>IF($C101="","",SUMPRODUCT(('Dvd Calendar'!$E$990:$AR$990&gt;=DATE(YEAR_Y-2,1,1))*('Dvd Calendar'!$E$990:$AR$990&lt;=DATE(YEAR_Y-2,12,31))*'Dvd Calendar'!$E$993:$AR$993*(('Dvd Calendar'!$E$995:$AR$995=TYPE1)*(TYPE1&lt;&gt;"")+('Dvd Calendar'!$E$995:$AR$995=TYPE2)*(TYPE2&lt;&gt;"")+('Dvd Calendar'!$E$995:$AR$995=TYPE3)*(TYPE3&lt;&gt;"")+('Dvd Calendar'!$E$995:$AR$995=TYPE4)*(TYPE4&lt;&gt;"")+('Dvd Calendar'!$E$995:$AR$995=SPECIAL_LBL)*(INC_SPECIALS="Y"))))</f>
        <v/>
      </c>
      <c r="J101" s="68">
        <f>IF($C101="","",SUMPRODUCT(('Dvd Calendar'!$E$990:$AR$990&gt;=DATE(YEAR_Y-1,1,1))*('Dvd Calendar'!$E$990:$AR$990&lt;=DATE(YEAR_Y-1,12,31))*'Dvd Calendar'!$E$993:$AR$993*(('Dvd Calendar'!$E$995:$AR$995=TYPE1)*(TYPE1&lt;&gt;"")+('Dvd Calendar'!$E$995:$AR$995=TYPE2)*(TYPE2&lt;&gt;"")+('Dvd Calendar'!$E$995:$AR$995=TYPE3)*(TYPE3&lt;&gt;"")+('Dvd Calendar'!$E$995:$AR$995=TYPE4)*(TYPE4&lt;&gt;"")+('Dvd Calendar'!$E$995:$AR$995=SPECIAL_LBL)*(INC_SPECIALS="Y"))))</f>
        <v/>
      </c>
      <c r="K101" s="69">
        <f>IF($C101="","",HSI!$J$96)</f>
        <v/>
      </c>
      <c r="L101" s="69">
        <f>IF($C101="","",HSI!$K$96)</f>
        <v/>
      </c>
      <c r="M101" s="44">
        <f>IF($C101="","",HSI!$J$96+HSI!$L$96)</f>
        <v/>
      </c>
      <c r="N101" s="70">
        <f>IF($C101="","",IF(PULL_FUND="N","",IFERROR(BDP($C101,BESTDPS_FIELD,FWD_OVERRIDE,TEXT(MOD(YEAR_Y,100),"00")&amp;"Y"),"")))</f>
        <v/>
      </c>
      <c r="O101" s="69">
        <f>IF($C101="","",AVERAGE(F101:J101))</f>
        <v/>
      </c>
      <c r="P101" s="71">
        <f>IF($C101="","",IF(PULL_FUND="N","",IF(COUNTIFS('Fund History'!$J$542:$J$546,"&gt;="&amp;DATE(YEAR_Y-5,1,1),'Fund History'!$J$542:$J$546,"&lt;="&amp;DATE(YEAR_Y-5,12,31))=0,"",IFERROR($F101*HSI!$G$96/SUMIFS('Fund History'!$K$542:$K$546,'Fund History'!$J$542:$J$546,"&gt;="&amp;DATE(YEAR_Y-5,1,1),'Fund History'!$J$542:$J$546,"&lt;="&amp;DATE(YEAR_Y-5,12,31)),""))))</f>
        <v/>
      </c>
      <c r="Q101" s="72">
        <f>IF($C101="","",IF(PULL_FUND="N","",IF(COUNTIFS('Fund History'!$J$542:$J$546,"&gt;="&amp;DATE(YEAR_Y-4,1,1),'Fund History'!$J$542:$J$546,"&lt;="&amp;DATE(YEAR_Y-4,12,31))=0,"",IFERROR($G101*HSI!$G$96/SUMIFS('Fund History'!$K$542:$K$546,'Fund History'!$J$542:$J$546,"&gt;="&amp;DATE(YEAR_Y-4,1,1),'Fund History'!$J$542:$J$546,"&lt;="&amp;DATE(YEAR_Y-4,12,31)),""))))</f>
        <v/>
      </c>
      <c r="R101" s="72">
        <f>IF($C101="","",IF(PULL_FUND="N","",IF(COUNTIFS('Fund History'!$J$542:$J$546,"&gt;="&amp;DATE(YEAR_Y-3,1,1),'Fund History'!$J$542:$J$546,"&lt;="&amp;DATE(YEAR_Y-3,12,31))=0,"",IFERROR($H101*HSI!$G$96/SUMIFS('Fund History'!$K$542:$K$546,'Fund History'!$J$542:$J$546,"&gt;="&amp;DATE(YEAR_Y-3,1,1),'Fund History'!$J$542:$J$546,"&lt;="&amp;DATE(YEAR_Y-3,12,31)),""))))</f>
        <v/>
      </c>
      <c r="S101" s="72">
        <f>IF($C101="","",IF(PULL_FUND="N","",IF(COUNTIFS('Fund History'!$J$542:$J$546,"&gt;="&amp;DATE(YEAR_Y-2,1,1),'Fund History'!$J$542:$J$546,"&lt;="&amp;DATE(YEAR_Y-2,12,31))=0,"",IFERROR($I101*HSI!$G$96/SUMIFS('Fund History'!$K$542:$K$546,'Fund History'!$J$542:$J$546,"&gt;="&amp;DATE(YEAR_Y-2,1,1),'Fund History'!$J$542:$J$546,"&lt;="&amp;DATE(YEAR_Y-2,12,31)),""))))</f>
        <v/>
      </c>
      <c r="T101" s="72">
        <f>IF($C101="","",IF(PULL_FUND="N","",IF(COUNTIFS('Fund History'!$J$542:$J$546,"&gt;="&amp;DATE(YEAR_Y-1,1,1),'Fund History'!$J$542:$J$546,"&lt;="&amp;DATE(YEAR_Y-1,12,31))=0,"",IFERROR($J101*HSI!$G$96/SUMIFS('Fund History'!$K$542:$K$546,'Fund History'!$J$542:$J$546,"&gt;="&amp;DATE(YEAR_Y-1,1,1),'Fund History'!$J$542:$J$546,"&lt;="&amp;DATE(YEAR_Y-1,12,31)),""))))</f>
        <v/>
      </c>
      <c r="U101" s="73">
        <f>IF($C101="","",IF(ISNUMBER(HSI!$I$96),HSI!$I$96/100,""))</f>
        <v/>
      </c>
      <c r="V101" s="74">
        <f>IF($C101="","",IF(ISNUMBER(HSI!$X$96),IFERROR($M101*HSI!$G$96/HSI!$X$96,""),""))</f>
        <v/>
      </c>
      <c r="W101" s="73">
        <f>IF($C101="","",IF(ISNUMBER($N101),IFERROR($N101*HSI!$G$96/HSI!$X$96,""),""))</f>
        <v/>
      </c>
      <c r="X101" s="75">
        <f>IF($C101="","",IF(PULL_FUND="N","",IFERROR(BDP($C101,EPS_FIELD,YR_OVERRIDE,TEXT(YEAR_Y-5,"0")),"")))</f>
        <v/>
      </c>
      <c r="Y101" s="76">
        <f>IF($C101="","",IF(PULL_FUND="N","",IFERROR(BDP($C101,EPS_FIELD,YR_OVERRIDE,TEXT(YEAR_Y-4,"0")),"")))</f>
        <v/>
      </c>
      <c r="Z101" s="76">
        <f>IF($C101="","",IF(PULL_FUND="N","",IFERROR(BDP($C101,EPS_FIELD,YR_OVERRIDE,TEXT(YEAR_Y-3,"0")),"")))</f>
        <v/>
      </c>
      <c r="AA101" s="76">
        <f>IF($C101="","",IF(PULL_FUND="N","",IFERROR(BDP($C101,EPS_FIELD,YR_OVERRIDE,TEXT(YEAR_Y-2,"0")),"")))</f>
        <v/>
      </c>
      <c r="AB101" s="76">
        <f>IF($C101="","",IF(PULL_FUND="N","",IFERROR(BDP($C101,EPS_FIELD,YR_OVERRIDE,TEXT(YEAR_Y-1,"0")),"")))</f>
        <v/>
      </c>
      <c r="AC101" s="50">
        <f>IF($C101="","",IFERROR(AVERAGE(X101:AB101),""))</f>
        <v/>
      </c>
      <c r="AD101" s="76">
        <f>IF($C101="","",IF(PULL_FUND="N","",IFERROR(BDP($C101,BESTEPS_FIELD,FWD_OVERRIDE,TEXT(MOD(YEAR_Y,100),"00")&amp;"Y"),"")))</f>
        <v/>
      </c>
      <c r="AE101" s="77">
        <f>IF($C101="","",IF(PULL_FUND="N","",IFERROR(BDP($C101,PAYOUT_FIELD,YR_OVERRIDE,TEXT(YEAR_Y-5,"0"))/100,"")))</f>
        <v/>
      </c>
      <c r="AF101" s="78">
        <f>IF($C101="","",IF(PULL_FUND="N","",IFERROR(BDP($C101,PAYOUT_FIELD,YR_OVERRIDE,TEXT(YEAR_Y-4,"0"))/100,"")))</f>
        <v/>
      </c>
      <c r="AG101" s="78">
        <f>IF($C101="","",IF(PULL_FUND="N","",IFERROR(BDP($C101,PAYOUT_FIELD,YR_OVERRIDE,TEXT(YEAR_Y-3,"0"))/100,"")))</f>
        <v/>
      </c>
      <c r="AH101" s="78">
        <f>IF($C101="","",IF(PULL_FUND="N","",IFERROR(BDP($C101,PAYOUT_FIELD,YR_OVERRIDE,TEXT(YEAR_Y-2,"0"))/100,"")))</f>
        <v/>
      </c>
      <c r="AI101" s="78">
        <f>IF($C101="","",IF(PULL_FUND="N","",IFERROR(BDP($C101,PAYOUT_FIELD,YR_OVERRIDE,TEXT(YEAR_Y-1,"0"))/100,"")))</f>
        <v/>
      </c>
      <c r="AJ101" s="79">
        <f>IF($C101="","",IFERROR(AVERAGE(AE101:AI101),""))</f>
        <v/>
      </c>
      <c r="AK101" s="80">
        <f>IF($C101="","",IF(ISNUMBER($AD101)*ISNUMBER($N101)*($AD101&lt;&gt;0)=0,"",$N101/$AD101))</f>
        <v/>
      </c>
      <c r="AL101" s="79">
        <f>IF($C101="","",IF(ISNUMBER($AD101)*($AD101&lt;&gt;0)=0,"",$M101/$AD101))</f>
        <v/>
      </c>
      <c r="AM101" s="37">
        <f>IF($C101="","",IF(ISNUMBER($AE101)*ISNUMBER($AI101)=0,"",IF($AI101&gt;$AE101+0.05,"rising",IF($AI101&lt;$AE101-0.05,"falling","stable"))))</f>
        <v/>
      </c>
      <c r="AN101" s="81">
        <f>IF($C101="","",IF(PULL_FUND="N","",IF(COUNTIFS('Fund History'!$G$542:$G$546,"&gt;="&amp;DATE(YEAR_Y-4,1,1),'Fund History'!$G$542:$G$546,"&lt;="&amp;DATE(YEAR_Y-4,12,31))=0,"",SUMIFS('Fund History'!$H$542:$H$546,'Fund History'!$G$542:$G$546,"&gt;="&amp;DATE(YEAR_Y-4,1,1),'Fund History'!$G$542:$G$546,"&lt;="&amp;DATE(YEAR_Y-4,12,31))/100)))</f>
        <v/>
      </c>
      <c r="AO101" s="82">
        <f>IF($C101="","",IF(PULL_FUND="N","",IF(COUNTIFS('Fund History'!$G$542:$G$546,"&gt;="&amp;DATE(YEAR_Y-3,1,1),'Fund History'!$G$542:$G$546,"&lt;="&amp;DATE(YEAR_Y-3,12,31))=0,"",SUMIFS('Fund History'!$H$542:$H$546,'Fund History'!$G$542:$G$546,"&gt;="&amp;DATE(YEAR_Y-3,1,1),'Fund History'!$G$542:$G$546,"&lt;="&amp;DATE(YEAR_Y-3,12,31))/100)))</f>
        <v/>
      </c>
      <c r="AP101" s="82">
        <f>IF($C101="","",IF(PULL_FUND="N","",IF(COUNTIFS('Fund History'!$G$542:$G$546,"&gt;="&amp;DATE(YEAR_Y-2,1,1),'Fund History'!$G$542:$G$546,"&lt;="&amp;DATE(YEAR_Y-2,12,31))=0,"",SUMIFS('Fund History'!$H$542:$H$546,'Fund History'!$G$542:$G$546,"&gt;="&amp;DATE(YEAR_Y-2,1,1),'Fund History'!$G$542:$G$546,"&lt;="&amp;DATE(YEAR_Y-2,12,31))/100)))</f>
        <v/>
      </c>
      <c r="AQ101" s="82">
        <f>IF($C101="","",IF(PULL_FUND="N","",IF(COUNTIFS('Fund History'!$G$542:$G$546,"&gt;="&amp;DATE(YEAR_Y-1,1,1),'Fund History'!$G$542:$G$546,"&lt;="&amp;DATE(YEAR_Y-1,12,31))=0,"",SUMIFS('Fund History'!$H$542:$H$546,'Fund History'!$G$542:$G$546,"&gt;="&amp;DATE(YEAR_Y-1,1,1),'Fund History'!$G$542:$G$546,"&lt;="&amp;DATE(YEAR_Y-1,12,31))/100)))</f>
        <v/>
      </c>
      <c r="AR101" s="83">
        <f>IF($C101="","",IF(N($AQ101)+N(HSI!$I$96)=0,"",N($AQ101)+N(HSI!$I$96)/100))</f>
        <v/>
      </c>
      <c r="AS101" s="75">
        <f>IF($C101="","",IF(PULL_FUND="N","",IF(COUNTIFS('Fund History'!$D$542:$D$546,"&gt;="&amp;DATE(YEAR_Y-2,1,1),'Fund History'!$D$542:$D$546,"&lt;="&amp;DATE(YEAR_Y-2,12,31))=0,"",SUMIFS('Fund History'!$E$542:$E$546,'Fund History'!$D$542:$D$546,"&gt;="&amp;DATE(YEAR_Y-2,1,1),'Fund History'!$D$542:$D$546,"&lt;="&amp;DATE(YEAR_Y-2,12,31)))))</f>
        <v/>
      </c>
      <c r="AT101" s="76">
        <f>IF($C101="","",IF(PULL_FUND="N","",IF(COUNTIFS('Fund History'!$D$542:$D$546,"&gt;="&amp;DATE(YEAR_Y-1,1,1),'Fund History'!$D$542:$D$546,"&lt;="&amp;DATE(YEAR_Y-1,12,31))=0,"",SUMIFS('Fund History'!$E$542:$E$546,'Fund History'!$D$542:$D$546,"&gt;="&amp;DATE(YEAR_Y-1,1,1),'Fund History'!$D$542:$D$546,"&lt;="&amp;DATE(YEAR_Y-1,12,31)))))</f>
        <v/>
      </c>
      <c r="AU101" s="76">
        <f>IF($C101="","",IF(PULL_FUND="N","",IFERROR(BDP($C101,NDEBITDA_FIELD),"")))</f>
        <v/>
      </c>
      <c r="AV101" s="84">
        <f>IF($C101="","",IF(PULL_FUND="N","",IFERROR(BDP($C101,EBINT_FIELD),"")))</f>
        <v/>
      </c>
      <c r="AW101" s="82">
        <f>IF($C101="","",IF(PULL_FUND="N","",IFERROR(BDP($C101,FCF_FIELD)/100,"")))</f>
        <v/>
      </c>
      <c r="AX101" s="50">
        <f>IF($C101="","",IF(N($U101)=0,"",IFERROR($AW101/$U101,"")))</f>
        <v/>
      </c>
      <c r="AY101" s="85">
        <f>IF($C101="","",TRIM(IF(ISNUMBER($AJ101)*(N($AJ101)&gt;$D$4)&gt;0,"payout high  ","")&amp;IF(ISNUMBER($AX101)*(N($AX101)&lt;$F$4)&gt;0,"FCF below dvd  ","")&amp;IF(ISNUMBER($AU101)*(N($AU101)&gt;$H$4)&gt;0,"leverage high","")))</f>
        <v/>
      </c>
      <c r="AZ101" s="86">
        <f>IF($C101="","",IF(HSI!$F$96="HKD","",HSI!$F$96))</f>
        <v/>
      </c>
    </row>
    <row r="102">
      <c r="B102" s="66" t="inlineStr">
        <is>
          <t>HSI</t>
        </is>
      </c>
      <c r="C102" s="8">
        <f>IF(HSI!$C$97="","",HSI!$C$97)</f>
        <v/>
      </c>
      <c r="D102" s="8">
        <f>IF($C102="","",HSI!$D$97)</f>
        <v/>
      </c>
      <c r="E102" s="8">
        <f>IF($C102="","",HSI!$E$97)</f>
        <v/>
      </c>
      <c r="F102" s="67">
        <f>IF($C102="","",SUMPRODUCT(('Dvd Calendar'!$E$1001:$AR$1001&gt;=DATE(YEAR_Y-5,1,1))*('Dvd Calendar'!$E$1001:$AR$1001&lt;=DATE(YEAR_Y-5,12,31))*'Dvd Calendar'!$E$1004:$AR$1004*(('Dvd Calendar'!$E$1006:$AR$1006=TYPE1)*(TYPE1&lt;&gt;"")+('Dvd Calendar'!$E$1006:$AR$1006=TYPE2)*(TYPE2&lt;&gt;"")+('Dvd Calendar'!$E$1006:$AR$1006=TYPE3)*(TYPE3&lt;&gt;"")+('Dvd Calendar'!$E$1006:$AR$1006=TYPE4)*(TYPE4&lt;&gt;"")+('Dvd Calendar'!$E$1006:$AR$1006=SPECIAL_LBL)*(INC_SPECIALS="Y"))))</f>
        <v/>
      </c>
      <c r="G102" s="68">
        <f>IF($C102="","",SUMPRODUCT(('Dvd Calendar'!$E$1001:$AR$1001&gt;=DATE(YEAR_Y-4,1,1))*('Dvd Calendar'!$E$1001:$AR$1001&lt;=DATE(YEAR_Y-4,12,31))*'Dvd Calendar'!$E$1004:$AR$1004*(('Dvd Calendar'!$E$1006:$AR$1006=TYPE1)*(TYPE1&lt;&gt;"")+('Dvd Calendar'!$E$1006:$AR$1006=TYPE2)*(TYPE2&lt;&gt;"")+('Dvd Calendar'!$E$1006:$AR$1006=TYPE3)*(TYPE3&lt;&gt;"")+('Dvd Calendar'!$E$1006:$AR$1006=TYPE4)*(TYPE4&lt;&gt;"")+('Dvd Calendar'!$E$1006:$AR$1006=SPECIAL_LBL)*(INC_SPECIALS="Y"))))</f>
        <v/>
      </c>
      <c r="H102" s="68">
        <f>IF($C102="","",SUMPRODUCT(('Dvd Calendar'!$E$1001:$AR$1001&gt;=DATE(YEAR_Y-3,1,1))*('Dvd Calendar'!$E$1001:$AR$1001&lt;=DATE(YEAR_Y-3,12,31))*'Dvd Calendar'!$E$1004:$AR$1004*(('Dvd Calendar'!$E$1006:$AR$1006=TYPE1)*(TYPE1&lt;&gt;"")+('Dvd Calendar'!$E$1006:$AR$1006=TYPE2)*(TYPE2&lt;&gt;"")+('Dvd Calendar'!$E$1006:$AR$1006=TYPE3)*(TYPE3&lt;&gt;"")+('Dvd Calendar'!$E$1006:$AR$1006=TYPE4)*(TYPE4&lt;&gt;"")+('Dvd Calendar'!$E$1006:$AR$1006=SPECIAL_LBL)*(INC_SPECIALS="Y"))))</f>
        <v/>
      </c>
      <c r="I102" s="68">
        <f>IF($C102="","",SUMPRODUCT(('Dvd Calendar'!$E$1001:$AR$1001&gt;=DATE(YEAR_Y-2,1,1))*('Dvd Calendar'!$E$1001:$AR$1001&lt;=DATE(YEAR_Y-2,12,31))*'Dvd Calendar'!$E$1004:$AR$1004*(('Dvd Calendar'!$E$1006:$AR$1006=TYPE1)*(TYPE1&lt;&gt;"")+('Dvd Calendar'!$E$1006:$AR$1006=TYPE2)*(TYPE2&lt;&gt;"")+('Dvd Calendar'!$E$1006:$AR$1006=TYPE3)*(TYPE3&lt;&gt;"")+('Dvd Calendar'!$E$1006:$AR$1006=TYPE4)*(TYPE4&lt;&gt;"")+('Dvd Calendar'!$E$1006:$AR$1006=SPECIAL_LBL)*(INC_SPECIALS="Y"))))</f>
        <v/>
      </c>
      <c r="J102" s="68">
        <f>IF($C102="","",SUMPRODUCT(('Dvd Calendar'!$E$1001:$AR$1001&gt;=DATE(YEAR_Y-1,1,1))*('Dvd Calendar'!$E$1001:$AR$1001&lt;=DATE(YEAR_Y-1,12,31))*'Dvd Calendar'!$E$1004:$AR$1004*(('Dvd Calendar'!$E$1006:$AR$1006=TYPE1)*(TYPE1&lt;&gt;"")+('Dvd Calendar'!$E$1006:$AR$1006=TYPE2)*(TYPE2&lt;&gt;"")+('Dvd Calendar'!$E$1006:$AR$1006=TYPE3)*(TYPE3&lt;&gt;"")+('Dvd Calendar'!$E$1006:$AR$1006=TYPE4)*(TYPE4&lt;&gt;"")+('Dvd Calendar'!$E$1006:$AR$1006=SPECIAL_LBL)*(INC_SPECIALS="Y"))))</f>
        <v/>
      </c>
      <c r="K102" s="69">
        <f>IF($C102="","",HSI!$J$97)</f>
        <v/>
      </c>
      <c r="L102" s="69">
        <f>IF($C102="","",HSI!$K$97)</f>
        <v/>
      </c>
      <c r="M102" s="44">
        <f>IF($C102="","",HSI!$J$97+HSI!$L$97)</f>
        <v/>
      </c>
      <c r="N102" s="70">
        <f>IF($C102="","",IF(PULL_FUND="N","",IFERROR(BDP($C102,BESTDPS_FIELD,FWD_OVERRIDE,TEXT(MOD(YEAR_Y,100),"00")&amp;"Y"),"")))</f>
        <v/>
      </c>
      <c r="O102" s="69">
        <f>IF($C102="","",AVERAGE(F102:J102))</f>
        <v/>
      </c>
      <c r="P102" s="71">
        <f>IF($C102="","",IF(PULL_FUND="N","",IF(COUNTIFS('Fund History'!$J$548:$J$552,"&gt;="&amp;DATE(YEAR_Y-5,1,1),'Fund History'!$J$548:$J$552,"&lt;="&amp;DATE(YEAR_Y-5,12,31))=0,"",IFERROR($F102*HSI!$G$97/SUMIFS('Fund History'!$K$548:$K$552,'Fund History'!$J$548:$J$552,"&gt;="&amp;DATE(YEAR_Y-5,1,1),'Fund History'!$J$548:$J$552,"&lt;="&amp;DATE(YEAR_Y-5,12,31)),""))))</f>
        <v/>
      </c>
      <c r="Q102" s="72">
        <f>IF($C102="","",IF(PULL_FUND="N","",IF(COUNTIFS('Fund History'!$J$548:$J$552,"&gt;="&amp;DATE(YEAR_Y-4,1,1),'Fund History'!$J$548:$J$552,"&lt;="&amp;DATE(YEAR_Y-4,12,31))=0,"",IFERROR($G102*HSI!$G$97/SUMIFS('Fund History'!$K$548:$K$552,'Fund History'!$J$548:$J$552,"&gt;="&amp;DATE(YEAR_Y-4,1,1),'Fund History'!$J$548:$J$552,"&lt;="&amp;DATE(YEAR_Y-4,12,31)),""))))</f>
        <v/>
      </c>
      <c r="R102" s="72">
        <f>IF($C102="","",IF(PULL_FUND="N","",IF(COUNTIFS('Fund History'!$J$548:$J$552,"&gt;="&amp;DATE(YEAR_Y-3,1,1),'Fund History'!$J$548:$J$552,"&lt;="&amp;DATE(YEAR_Y-3,12,31))=0,"",IFERROR($H102*HSI!$G$97/SUMIFS('Fund History'!$K$548:$K$552,'Fund History'!$J$548:$J$552,"&gt;="&amp;DATE(YEAR_Y-3,1,1),'Fund History'!$J$548:$J$552,"&lt;="&amp;DATE(YEAR_Y-3,12,31)),""))))</f>
        <v/>
      </c>
      <c r="S102" s="72">
        <f>IF($C102="","",IF(PULL_FUND="N","",IF(COUNTIFS('Fund History'!$J$548:$J$552,"&gt;="&amp;DATE(YEAR_Y-2,1,1),'Fund History'!$J$548:$J$552,"&lt;="&amp;DATE(YEAR_Y-2,12,31))=0,"",IFERROR($I102*HSI!$G$97/SUMIFS('Fund History'!$K$548:$K$552,'Fund History'!$J$548:$J$552,"&gt;="&amp;DATE(YEAR_Y-2,1,1),'Fund History'!$J$548:$J$552,"&lt;="&amp;DATE(YEAR_Y-2,12,31)),""))))</f>
        <v/>
      </c>
      <c r="T102" s="72">
        <f>IF($C102="","",IF(PULL_FUND="N","",IF(COUNTIFS('Fund History'!$J$548:$J$552,"&gt;="&amp;DATE(YEAR_Y-1,1,1),'Fund History'!$J$548:$J$552,"&lt;="&amp;DATE(YEAR_Y-1,12,31))=0,"",IFERROR($J102*HSI!$G$97/SUMIFS('Fund History'!$K$548:$K$552,'Fund History'!$J$548:$J$552,"&gt;="&amp;DATE(YEAR_Y-1,1,1),'Fund History'!$J$548:$J$552,"&lt;="&amp;DATE(YEAR_Y-1,12,31)),""))))</f>
        <v/>
      </c>
      <c r="U102" s="73">
        <f>IF($C102="","",IF(ISNUMBER(HSI!$I$97),HSI!$I$97/100,""))</f>
        <v/>
      </c>
      <c r="V102" s="74">
        <f>IF($C102="","",IF(ISNUMBER(HSI!$X$97),IFERROR($M102*HSI!$G$97/HSI!$X$97,""),""))</f>
        <v/>
      </c>
      <c r="W102" s="73">
        <f>IF($C102="","",IF(ISNUMBER($N102),IFERROR($N102*HSI!$G$97/HSI!$X$97,""),""))</f>
        <v/>
      </c>
      <c r="X102" s="75">
        <f>IF($C102="","",IF(PULL_FUND="N","",IFERROR(BDP($C102,EPS_FIELD,YR_OVERRIDE,TEXT(YEAR_Y-5,"0")),"")))</f>
        <v/>
      </c>
      <c r="Y102" s="76">
        <f>IF($C102="","",IF(PULL_FUND="N","",IFERROR(BDP($C102,EPS_FIELD,YR_OVERRIDE,TEXT(YEAR_Y-4,"0")),"")))</f>
        <v/>
      </c>
      <c r="Z102" s="76">
        <f>IF($C102="","",IF(PULL_FUND="N","",IFERROR(BDP($C102,EPS_FIELD,YR_OVERRIDE,TEXT(YEAR_Y-3,"0")),"")))</f>
        <v/>
      </c>
      <c r="AA102" s="76">
        <f>IF($C102="","",IF(PULL_FUND="N","",IFERROR(BDP($C102,EPS_FIELD,YR_OVERRIDE,TEXT(YEAR_Y-2,"0")),"")))</f>
        <v/>
      </c>
      <c r="AB102" s="76">
        <f>IF($C102="","",IF(PULL_FUND="N","",IFERROR(BDP($C102,EPS_FIELD,YR_OVERRIDE,TEXT(YEAR_Y-1,"0")),"")))</f>
        <v/>
      </c>
      <c r="AC102" s="50">
        <f>IF($C102="","",IFERROR(AVERAGE(X102:AB102),""))</f>
        <v/>
      </c>
      <c r="AD102" s="76">
        <f>IF($C102="","",IF(PULL_FUND="N","",IFERROR(BDP($C102,BESTEPS_FIELD,FWD_OVERRIDE,TEXT(MOD(YEAR_Y,100),"00")&amp;"Y"),"")))</f>
        <v/>
      </c>
      <c r="AE102" s="77">
        <f>IF($C102="","",IF(PULL_FUND="N","",IFERROR(BDP($C102,PAYOUT_FIELD,YR_OVERRIDE,TEXT(YEAR_Y-5,"0"))/100,"")))</f>
        <v/>
      </c>
      <c r="AF102" s="78">
        <f>IF($C102="","",IF(PULL_FUND="N","",IFERROR(BDP($C102,PAYOUT_FIELD,YR_OVERRIDE,TEXT(YEAR_Y-4,"0"))/100,"")))</f>
        <v/>
      </c>
      <c r="AG102" s="78">
        <f>IF($C102="","",IF(PULL_FUND="N","",IFERROR(BDP($C102,PAYOUT_FIELD,YR_OVERRIDE,TEXT(YEAR_Y-3,"0"))/100,"")))</f>
        <v/>
      </c>
      <c r="AH102" s="78">
        <f>IF($C102="","",IF(PULL_FUND="N","",IFERROR(BDP($C102,PAYOUT_FIELD,YR_OVERRIDE,TEXT(YEAR_Y-2,"0"))/100,"")))</f>
        <v/>
      </c>
      <c r="AI102" s="78">
        <f>IF($C102="","",IF(PULL_FUND="N","",IFERROR(BDP($C102,PAYOUT_FIELD,YR_OVERRIDE,TEXT(YEAR_Y-1,"0"))/100,"")))</f>
        <v/>
      </c>
      <c r="AJ102" s="79">
        <f>IF($C102="","",IFERROR(AVERAGE(AE102:AI102),""))</f>
        <v/>
      </c>
      <c r="AK102" s="80">
        <f>IF($C102="","",IF(ISNUMBER($AD102)*ISNUMBER($N102)*($AD102&lt;&gt;0)=0,"",$N102/$AD102))</f>
        <v/>
      </c>
      <c r="AL102" s="79">
        <f>IF($C102="","",IF(ISNUMBER($AD102)*($AD102&lt;&gt;0)=0,"",$M102/$AD102))</f>
        <v/>
      </c>
      <c r="AM102" s="37">
        <f>IF($C102="","",IF(ISNUMBER($AE102)*ISNUMBER($AI102)=0,"",IF($AI102&gt;$AE102+0.05,"rising",IF($AI102&lt;$AE102-0.05,"falling","stable"))))</f>
        <v/>
      </c>
      <c r="AN102" s="81">
        <f>IF($C102="","",IF(PULL_FUND="N","",IF(COUNTIFS('Fund History'!$G$548:$G$552,"&gt;="&amp;DATE(YEAR_Y-4,1,1),'Fund History'!$G$548:$G$552,"&lt;="&amp;DATE(YEAR_Y-4,12,31))=0,"",SUMIFS('Fund History'!$H$548:$H$552,'Fund History'!$G$548:$G$552,"&gt;="&amp;DATE(YEAR_Y-4,1,1),'Fund History'!$G$548:$G$552,"&lt;="&amp;DATE(YEAR_Y-4,12,31))/100)))</f>
        <v/>
      </c>
      <c r="AO102" s="82">
        <f>IF($C102="","",IF(PULL_FUND="N","",IF(COUNTIFS('Fund History'!$G$548:$G$552,"&gt;="&amp;DATE(YEAR_Y-3,1,1),'Fund History'!$G$548:$G$552,"&lt;="&amp;DATE(YEAR_Y-3,12,31))=0,"",SUMIFS('Fund History'!$H$548:$H$552,'Fund History'!$G$548:$G$552,"&gt;="&amp;DATE(YEAR_Y-3,1,1),'Fund History'!$G$548:$G$552,"&lt;="&amp;DATE(YEAR_Y-3,12,31))/100)))</f>
        <v/>
      </c>
      <c r="AP102" s="82">
        <f>IF($C102="","",IF(PULL_FUND="N","",IF(COUNTIFS('Fund History'!$G$548:$G$552,"&gt;="&amp;DATE(YEAR_Y-2,1,1),'Fund History'!$G$548:$G$552,"&lt;="&amp;DATE(YEAR_Y-2,12,31))=0,"",SUMIFS('Fund History'!$H$548:$H$552,'Fund History'!$G$548:$G$552,"&gt;="&amp;DATE(YEAR_Y-2,1,1),'Fund History'!$G$548:$G$552,"&lt;="&amp;DATE(YEAR_Y-2,12,31))/100)))</f>
        <v/>
      </c>
      <c r="AQ102" s="82">
        <f>IF($C102="","",IF(PULL_FUND="N","",IF(COUNTIFS('Fund History'!$G$548:$G$552,"&gt;="&amp;DATE(YEAR_Y-1,1,1),'Fund History'!$G$548:$G$552,"&lt;="&amp;DATE(YEAR_Y-1,12,31))=0,"",SUMIFS('Fund History'!$H$548:$H$552,'Fund History'!$G$548:$G$552,"&gt;="&amp;DATE(YEAR_Y-1,1,1),'Fund History'!$G$548:$G$552,"&lt;="&amp;DATE(YEAR_Y-1,12,31))/100)))</f>
        <v/>
      </c>
      <c r="AR102" s="83">
        <f>IF($C102="","",IF(N($AQ102)+N(HSI!$I$97)=0,"",N($AQ102)+N(HSI!$I$97)/100))</f>
        <v/>
      </c>
      <c r="AS102" s="75">
        <f>IF($C102="","",IF(PULL_FUND="N","",IF(COUNTIFS('Fund History'!$D$548:$D$552,"&gt;="&amp;DATE(YEAR_Y-2,1,1),'Fund History'!$D$548:$D$552,"&lt;="&amp;DATE(YEAR_Y-2,12,31))=0,"",SUMIFS('Fund History'!$E$548:$E$552,'Fund History'!$D$548:$D$552,"&gt;="&amp;DATE(YEAR_Y-2,1,1),'Fund History'!$D$548:$D$552,"&lt;="&amp;DATE(YEAR_Y-2,12,31)))))</f>
        <v/>
      </c>
      <c r="AT102" s="76">
        <f>IF($C102="","",IF(PULL_FUND="N","",IF(COUNTIFS('Fund History'!$D$548:$D$552,"&gt;="&amp;DATE(YEAR_Y-1,1,1),'Fund History'!$D$548:$D$552,"&lt;="&amp;DATE(YEAR_Y-1,12,31))=0,"",SUMIFS('Fund History'!$E$548:$E$552,'Fund History'!$D$548:$D$552,"&gt;="&amp;DATE(YEAR_Y-1,1,1),'Fund History'!$D$548:$D$552,"&lt;="&amp;DATE(YEAR_Y-1,12,31)))))</f>
        <v/>
      </c>
      <c r="AU102" s="76">
        <f>IF($C102="","",IF(PULL_FUND="N","",IFERROR(BDP($C102,NDEBITDA_FIELD),"")))</f>
        <v/>
      </c>
      <c r="AV102" s="84">
        <f>IF($C102="","",IF(PULL_FUND="N","",IFERROR(BDP($C102,EBINT_FIELD),"")))</f>
        <v/>
      </c>
      <c r="AW102" s="82">
        <f>IF($C102="","",IF(PULL_FUND="N","",IFERROR(BDP($C102,FCF_FIELD)/100,"")))</f>
        <v/>
      </c>
      <c r="AX102" s="50">
        <f>IF($C102="","",IF(N($U102)=0,"",IFERROR($AW102/$U102,"")))</f>
        <v/>
      </c>
      <c r="AY102" s="85">
        <f>IF($C102="","",TRIM(IF(ISNUMBER($AJ102)*(N($AJ102)&gt;$D$4)&gt;0,"payout high  ","")&amp;IF(ISNUMBER($AX102)*(N($AX102)&lt;$F$4)&gt;0,"FCF below dvd  ","")&amp;IF(ISNUMBER($AU102)*(N($AU102)&gt;$H$4)&gt;0,"leverage high","")))</f>
        <v/>
      </c>
      <c r="AZ102" s="86">
        <f>IF($C102="","",IF(HSI!$F$97="HKD","",HSI!$F$97))</f>
        <v/>
      </c>
    </row>
    <row r="103">
      <c r="B103" s="66" t="inlineStr">
        <is>
          <t>HSI</t>
        </is>
      </c>
      <c r="C103" s="8">
        <f>IF(HSI!$C$98="","",HSI!$C$98)</f>
        <v/>
      </c>
      <c r="D103" s="8">
        <f>IF($C103="","",HSI!$D$98)</f>
        <v/>
      </c>
      <c r="E103" s="8">
        <f>IF($C103="","",HSI!$E$98)</f>
        <v/>
      </c>
      <c r="F103" s="67">
        <f>IF($C103="","",SUMPRODUCT(('Dvd Calendar'!$E$1012:$AR$1012&gt;=DATE(YEAR_Y-5,1,1))*('Dvd Calendar'!$E$1012:$AR$1012&lt;=DATE(YEAR_Y-5,12,31))*'Dvd Calendar'!$E$1015:$AR$1015*(('Dvd Calendar'!$E$1017:$AR$1017=TYPE1)*(TYPE1&lt;&gt;"")+('Dvd Calendar'!$E$1017:$AR$1017=TYPE2)*(TYPE2&lt;&gt;"")+('Dvd Calendar'!$E$1017:$AR$1017=TYPE3)*(TYPE3&lt;&gt;"")+('Dvd Calendar'!$E$1017:$AR$1017=TYPE4)*(TYPE4&lt;&gt;"")+('Dvd Calendar'!$E$1017:$AR$1017=SPECIAL_LBL)*(INC_SPECIALS="Y"))))</f>
        <v/>
      </c>
      <c r="G103" s="68">
        <f>IF($C103="","",SUMPRODUCT(('Dvd Calendar'!$E$1012:$AR$1012&gt;=DATE(YEAR_Y-4,1,1))*('Dvd Calendar'!$E$1012:$AR$1012&lt;=DATE(YEAR_Y-4,12,31))*'Dvd Calendar'!$E$1015:$AR$1015*(('Dvd Calendar'!$E$1017:$AR$1017=TYPE1)*(TYPE1&lt;&gt;"")+('Dvd Calendar'!$E$1017:$AR$1017=TYPE2)*(TYPE2&lt;&gt;"")+('Dvd Calendar'!$E$1017:$AR$1017=TYPE3)*(TYPE3&lt;&gt;"")+('Dvd Calendar'!$E$1017:$AR$1017=TYPE4)*(TYPE4&lt;&gt;"")+('Dvd Calendar'!$E$1017:$AR$1017=SPECIAL_LBL)*(INC_SPECIALS="Y"))))</f>
        <v/>
      </c>
      <c r="H103" s="68">
        <f>IF($C103="","",SUMPRODUCT(('Dvd Calendar'!$E$1012:$AR$1012&gt;=DATE(YEAR_Y-3,1,1))*('Dvd Calendar'!$E$1012:$AR$1012&lt;=DATE(YEAR_Y-3,12,31))*'Dvd Calendar'!$E$1015:$AR$1015*(('Dvd Calendar'!$E$1017:$AR$1017=TYPE1)*(TYPE1&lt;&gt;"")+('Dvd Calendar'!$E$1017:$AR$1017=TYPE2)*(TYPE2&lt;&gt;"")+('Dvd Calendar'!$E$1017:$AR$1017=TYPE3)*(TYPE3&lt;&gt;"")+('Dvd Calendar'!$E$1017:$AR$1017=TYPE4)*(TYPE4&lt;&gt;"")+('Dvd Calendar'!$E$1017:$AR$1017=SPECIAL_LBL)*(INC_SPECIALS="Y"))))</f>
        <v/>
      </c>
      <c r="I103" s="68">
        <f>IF($C103="","",SUMPRODUCT(('Dvd Calendar'!$E$1012:$AR$1012&gt;=DATE(YEAR_Y-2,1,1))*('Dvd Calendar'!$E$1012:$AR$1012&lt;=DATE(YEAR_Y-2,12,31))*'Dvd Calendar'!$E$1015:$AR$1015*(('Dvd Calendar'!$E$1017:$AR$1017=TYPE1)*(TYPE1&lt;&gt;"")+('Dvd Calendar'!$E$1017:$AR$1017=TYPE2)*(TYPE2&lt;&gt;"")+('Dvd Calendar'!$E$1017:$AR$1017=TYPE3)*(TYPE3&lt;&gt;"")+('Dvd Calendar'!$E$1017:$AR$1017=TYPE4)*(TYPE4&lt;&gt;"")+('Dvd Calendar'!$E$1017:$AR$1017=SPECIAL_LBL)*(INC_SPECIALS="Y"))))</f>
        <v/>
      </c>
      <c r="J103" s="68">
        <f>IF($C103="","",SUMPRODUCT(('Dvd Calendar'!$E$1012:$AR$1012&gt;=DATE(YEAR_Y-1,1,1))*('Dvd Calendar'!$E$1012:$AR$1012&lt;=DATE(YEAR_Y-1,12,31))*'Dvd Calendar'!$E$1015:$AR$1015*(('Dvd Calendar'!$E$1017:$AR$1017=TYPE1)*(TYPE1&lt;&gt;"")+('Dvd Calendar'!$E$1017:$AR$1017=TYPE2)*(TYPE2&lt;&gt;"")+('Dvd Calendar'!$E$1017:$AR$1017=TYPE3)*(TYPE3&lt;&gt;"")+('Dvd Calendar'!$E$1017:$AR$1017=TYPE4)*(TYPE4&lt;&gt;"")+('Dvd Calendar'!$E$1017:$AR$1017=SPECIAL_LBL)*(INC_SPECIALS="Y"))))</f>
        <v/>
      </c>
      <c r="K103" s="69">
        <f>IF($C103="","",HSI!$J$98)</f>
        <v/>
      </c>
      <c r="L103" s="69">
        <f>IF($C103="","",HSI!$K$98)</f>
        <v/>
      </c>
      <c r="M103" s="44">
        <f>IF($C103="","",HSI!$J$98+HSI!$L$98)</f>
        <v/>
      </c>
      <c r="N103" s="70">
        <f>IF($C103="","",IF(PULL_FUND="N","",IFERROR(BDP($C103,BESTDPS_FIELD,FWD_OVERRIDE,TEXT(MOD(YEAR_Y,100),"00")&amp;"Y"),"")))</f>
        <v/>
      </c>
      <c r="O103" s="69">
        <f>IF($C103="","",AVERAGE(F103:J103))</f>
        <v/>
      </c>
      <c r="P103" s="71">
        <f>IF($C103="","",IF(PULL_FUND="N","",IF(COUNTIFS('Fund History'!$J$554:$J$558,"&gt;="&amp;DATE(YEAR_Y-5,1,1),'Fund History'!$J$554:$J$558,"&lt;="&amp;DATE(YEAR_Y-5,12,31))=0,"",IFERROR($F103*HSI!$G$98/SUMIFS('Fund History'!$K$554:$K$558,'Fund History'!$J$554:$J$558,"&gt;="&amp;DATE(YEAR_Y-5,1,1),'Fund History'!$J$554:$J$558,"&lt;="&amp;DATE(YEAR_Y-5,12,31)),""))))</f>
        <v/>
      </c>
      <c r="Q103" s="72">
        <f>IF($C103="","",IF(PULL_FUND="N","",IF(COUNTIFS('Fund History'!$J$554:$J$558,"&gt;="&amp;DATE(YEAR_Y-4,1,1),'Fund History'!$J$554:$J$558,"&lt;="&amp;DATE(YEAR_Y-4,12,31))=0,"",IFERROR($G103*HSI!$G$98/SUMIFS('Fund History'!$K$554:$K$558,'Fund History'!$J$554:$J$558,"&gt;="&amp;DATE(YEAR_Y-4,1,1),'Fund History'!$J$554:$J$558,"&lt;="&amp;DATE(YEAR_Y-4,12,31)),""))))</f>
        <v/>
      </c>
      <c r="R103" s="72">
        <f>IF($C103="","",IF(PULL_FUND="N","",IF(COUNTIFS('Fund History'!$J$554:$J$558,"&gt;="&amp;DATE(YEAR_Y-3,1,1),'Fund History'!$J$554:$J$558,"&lt;="&amp;DATE(YEAR_Y-3,12,31))=0,"",IFERROR($H103*HSI!$G$98/SUMIFS('Fund History'!$K$554:$K$558,'Fund History'!$J$554:$J$558,"&gt;="&amp;DATE(YEAR_Y-3,1,1),'Fund History'!$J$554:$J$558,"&lt;="&amp;DATE(YEAR_Y-3,12,31)),""))))</f>
        <v/>
      </c>
      <c r="S103" s="72">
        <f>IF($C103="","",IF(PULL_FUND="N","",IF(COUNTIFS('Fund History'!$J$554:$J$558,"&gt;="&amp;DATE(YEAR_Y-2,1,1),'Fund History'!$J$554:$J$558,"&lt;="&amp;DATE(YEAR_Y-2,12,31))=0,"",IFERROR($I103*HSI!$G$98/SUMIFS('Fund History'!$K$554:$K$558,'Fund History'!$J$554:$J$558,"&gt;="&amp;DATE(YEAR_Y-2,1,1),'Fund History'!$J$554:$J$558,"&lt;="&amp;DATE(YEAR_Y-2,12,31)),""))))</f>
        <v/>
      </c>
      <c r="T103" s="72">
        <f>IF($C103="","",IF(PULL_FUND="N","",IF(COUNTIFS('Fund History'!$J$554:$J$558,"&gt;="&amp;DATE(YEAR_Y-1,1,1),'Fund History'!$J$554:$J$558,"&lt;="&amp;DATE(YEAR_Y-1,12,31))=0,"",IFERROR($J103*HSI!$G$98/SUMIFS('Fund History'!$K$554:$K$558,'Fund History'!$J$554:$J$558,"&gt;="&amp;DATE(YEAR_Y-1,1,1),'Fund History'!$J$554:$J$558,"&lt;="&amp;DATE(YEAR_Y-1,12,31)),""))))</f>
        <v/>
      </c>
      <c r="U103" s="73">
        <f>IF($C103="","",IF(ISNUMBER(HSI!$I$98),HSI!$I$98/100,""))</f>
        <v/>
      </c>
      <c r="V103" s="74">
        <f>IF($C103="","",IF(ISNUMBER(HSI!$X$98),IFERROR($M103*HSI!$G$98/HSI!$X$98,""),""))</f>
        <v/>
      </c>
      <c r="W103" s="73">
        <f>IF($C103="","",IF(ISNUMBER($N103),IFERROR($N103*HSI!$G$98/HSI!$X$98,""),""))</f>
        <v/>
      </c>
      <c r="X103" s="75">
        <f>IF($C103="","",IF(PULL_FUND="N","",IFERROR(BDP($C103,EPS_FIELD,YR_OVERRIDE,TEXT(YEAR_Y-5,"0")),"")))</f>
        <v/>
      </c>
      <c r="Y103" s="76">
        <f>IF($C103="","",IF(PULL_FUND="N","",IFERROR(BDP($C103,EPS_FIELD,YR_OVERRIDE,TEXT(YEAR_Y-4,"0")),"")))</f>
        <v/>
      </c>
      <c r="Z103" s="76">
        <f>IF($C103="","",IF(PULL_FUND="N","",IFERROR(BDP($C103,EPS_FIELD,YR_OVERRIDE,TEXT(YEAR_Y-3,"0")),"")))</f>
        <v/>
      </c>
      <c r="AA103" s="76">
        <f>IF($C103="","",IF(PULL_FUND="N","",IFERROR(BDP($C103,EPS_FIELD,YR_OVERRIDE,TEXT(YEAR_Y-2,"0")),"")))</f>
        <v/>
      </c>
      <c r="AB103" s="76">
        <f>IF($C103="","",IF(PULL_FUND="N","",IFERROR(BDP($C103,EPS_FIELD,YR_OVERRIDE,TEXT(YEAR_Y-1,"0")),"")))</f>
        <v/>
      </c>
      <c r="AC103" s="50">
        <f>IF($C103="","",IFERROR(AVERAGE(X103:AB103),""))</f>
        <v/>
      </c>
      <c r="AD103" s="76">
        <f>IF($C103="","",IF(PULL_FUND="N","",IFERROR(BDP($C103,BESTEPS_FIELD,FWD_OVERRIDE,TEXT(MOD(YEAR_Y,100),"00")&amp;"Y"),"")))</f>
        <v/>
      </c>
      <c r="AE103" s="77">
        <f>IF($C103="","",IF(PULL_FUND="N","",IFERROR(BDP($C103,PAYOUT_FIELD,YR_OVERRIDE,TEXT(YEAR_Y-5,"0"))/100,"")))</f>
        <v/>
      </c>
      <c r="AF103" s="78">
        <f>IF($C103="","",IF(PULL_FUND="N","",IFERROR(BDP($C103,PAYOUT_FIELD,YR_OVERRIDE,TEXT(YEAR_Y-4,"0"))/100,"")))</f>
        <v/>
      </c>
      <c r="AG103" s="78">
        <f>IF($C103="","",IF(PULL_FUND="N","",IFERROR(BDP($C103,PAYOUT_FIELD,YR_OVERRIDE,TEXT(YEAR_Y-3,"0"))/100,"")))</f>
        <v/>
      </c>
      <c r="AH103" s="78">
        <f>IF($C103="","",IF(PULL_FUND="N","",IFERROR(BDP($C103,PAYOUT_FIELD,YR_OVERRIDE,TEXT(YEAR_Y-2,"0"))/100,"")))</f>
        <v/>
      </c>
      <c r="AI103" s="78">
        <f>IF($C103="","",IF(PULL_FUND="N","",IFERROR(BDP($C103,PAYOUT_FIELD,YR_OVERRIDE,TEXT(YEAR_Y-1,"0"))/100,"")))</f>
        <v/>
      </c>
      <c r="AJ103" s="79">
        <f>IF($C103="","",IFERROR(AVERAGE(AE103:AI103),""))</f>
        <v/>
      </c>
      <c r="AK103" s="80">
        <f>IF($C103="","",IF(ISNUMBER($AD103)*ISNUMBER($N103)*($AD103&lt;&gt;0)=0,"",$N103/$AD103))</f>
        <v/>
      </c>
      <c r="AL103" s="79">
        <f>IF($C103="","",IF(ISNUMBER($AD103)*($AD103&lt;&gt;0)=0,"",$M103/$AD103))</f>
        <v/>
      </c>
      <c r="AM103" s="37">
        <f>IF($C103="","",IF(ISNUMBER($AE103)*ISNUMBER($AI103)=0,"",IF($AI103&gt;$AE103+0.05,"rising",IF($AI103&lt;$AE103-0.05,"falling","stable"))))</f>
        <v/>
      </c>
      <c r="AN103" s="81">
        <f>IF($C103="","",IF(PULL_FUND="N","",IF(COUNTIFS('Fund History'!$G$554:$G$558,"&gt;="&amp;DATE(YEAR_Y-4,1,1),'Fund History'!$G$554:$G$558,"&lt;="&amp;DATE(YEAR_Y-4,12,31))=0,"",SUMIFS('Fund History'!$H$554:$H$558,'Fund History'!$G$554:$G$558,"&gt;="&amp;DATE(YEAR_Y-4,1,1),'Fund History'!$G$554:$G$558,"&lt;="&amp;DATE(YEAR_Y-4,12,31))/100)))</f>
        <v/>
      </c>
      <c r="AO103" s="82">
        <f>IF($C103="","",IF(PULL_FUND="N","",IF(COUNTIFS('Fund History'!$G$554:$G$558,"&gt;="&amp;DATE(YEAR_Y-3,1,1),'Fund History'!$G$554:$G$558,"&lt;="&amp;DATE(YEAR_Y-3,12,31))=0,"",SUMIFS('Fund History'!$H$554:$H$558,'Fund History'!$G$554:$G$558,"&gt;="&amp;DATE(YEAR_Y-3,1,1),'Fund History'!$G$554:$G$558,"&lt;="&amp;DATE(YEAR_Y-3,12,31))/100)))</f>
        <v/>
      </c>
      <c r="AP103" s="82">
        <f>IF($C103="","",IF(PULL_FUND="N","",IF(COUNTIFS('Fund History'!$G$554:$G$558,"&gt;="&amp;DATE(YEAR_Y-2,1,1),'Fund History'!$G$554:$G$558,"&lt;="&amp;DATE(YEAR_Y-2,12,31))=0,"",SUMIFS('Fund History'!$H$554:$H$558,'Fund History'!$G$554:$G$558,"&gt;="&amp;DATE(YEAR_Y-2,1,1),'Fund History'!$G$554:$G$558,"&lt;="&amp;DATE(YEAR_Y-2,12,31))/100)))</f>
        <v/>
      </c>
      <c r="AQ103" s="82">
        <f>IF($C103="","",IF(PULL_FUND="N","",IF(COUNTIFS('Fund History'!$G$554:$G$558,"&gt;="&amp;DATE(YEAR_Y-1,1,1),'Fund History'!$G$554:$G$558,"&lt;="&amp;DATE(YEAR_Y-1,12,31))=0,"",SUMIFS('Fund History'!$H$554:$H$558,'Fund History'!$G$554:$G$558,"&gt;="&amp;DATE(YEAR_Y-1,1,1),'Fund History'!$G$554:$G$558,"&lt;="&amp;DATE(YEAR_Y-1,12,31))/100)))</f>
        <v/>
      </c>
      <c r="AR103" s="83">
        <f>IF($C103="","",IF(N($AQ103)+N(HSI!$I$98)=0,"",N($AQ103)+N(HSI!$I$98)/100))</f>
        <v/>
      </c>
      <c r="AS103" s="75">
        <f>IF($C103="","",IF(PULL_FUND="N","",IF(COUNTIFS('Fund History'!$D$554:$D$558,"&gt;="&amp;DATE(YEAR_Y-2,1,1),'Fund History'!$D$554:$D$558,"&lt;="&amp;DATE(YEAR_Y-2,12,31))=0,"",SUMIFS('Fund History'!$E$554:$E$558,'Fund History'!$D$554:$D$558,"&gt;="&amp;DATE(YEAR_Y-2,1,1),'Fund History'!$D$554:$D$558,"&lt;="&amp;DATE(YEAR_Y-2,12,31)))))</f>
        <v/>
      </c>
      <c r="AT103" s="76">
        <f>IF($C103="","",IF(PULL_FUND="N","",IF(COUNTIFS('Fund History'!$D$554:$D$558,"&gt;="&amp;DATE(YEAR_Y-1,1,1),'Fund History'!$D$554:$D$558,"&lt;="&amp;DATE(YEAR_Y-1,12,31))=0,"",SUMIFS('Fund History'!$E$554:$E$558,'Fund History'!$D$554:$D$558,"&gt;="&amp;DATE(YEAR_Y-1,1,1),'Fund History'!$D$554:$D$558,"&lt;="&amp;DATE(YEAR_Y-1,12,31)))))</f>
        <v/>
      </c>
      <c r="AU103" s="76">
        <f>IF($C103="","",IF(PULL_FUND="N","",IFERROR(BDP($C103,NDEBITDA_FIELD),"")))</f>
        <v/>
      </c>
      <c r="AV103" s="84">
        <f>IF($C103="","",IF(PULL_FUND="N","",IFERROR(BDP($C103,EBINT_FIELD),"")))</f>
        <v/>
      </c>
      <c r="AW103" s="82">
        <f>IF($C103="","",IF(PULL_FUND="N","",IFERROR(BDP($C103,FCF_FIELD)/100,"")))</f>
        <v/>
      </c>
      <c r="AX103" s="50">
        <f>IF($C103="","",IF(N($U103)=0,"",IFERROR($AW103/$U103,"")))</f>
        <v/>
      </c>
      <c r="AY103" s="85">
        <f>IF($C103="","",TRIM(IF(ISNUMBER($AJ103)*(N($AJ103)&gt;$D$4)&gt;0,"payout high  ","")&amp;IF(ISNUMBER($AX103)*(N($AX103)&lt;$F$4)&gt;0,"FCF below dvd  ","")&amp;IF(ISNUMBER($AU103)*(N($AU103)&gt;$H$4)&gt;0,"leverage high","")))</f>
        <v/>
      </c>
      <c r="AZ103" s="86">
        <f>IF($C103="","",IF(HSI!$F$98="HKD","",HSI!$F$98))</f>
        <v/>
      </c>
    </row>
    <row r="104">
      <c r="B104" s="66" t="inlineStr">
        <is>
          <t>HSI</t>
        </is>
      </c>
      <c r="C104" s="8">
        <f>IF(HSI!$C$99="","",HSI!$C$99)</f>
        <v/>
      </c>
      <c r="D104" s="8">
        <f>IF($C104="","",HSI!$D$99)</f>
        <v/>
      </c>
      <c r="E104" s="8">
        <f>IF($C104="","",HSI!$E$99)</f>
        <v/>
      </c>
      <c r="F104" s="67">
        <f>IF($C104="","",SUMPRODUCT(('Dvd Calendar'!$E$1023:$AR$1023&gt;=DATE(YEAR_Y-5,1,1))*('Dvd Calendar'!$E$1023:$AR$1023&lt;=DATE(YEAR_Y-5,12,31))*'Dvd Calendar'!$E$1026:$AR$1026*(('Dvd Calendar'!$E$1028:$AR$1028=TYPE1)*(TYPE1&lt;&gt;"")+('Dvd Calendar'!$E$1028:$AR$1028=TYPE2)*(TYPE2&lt;&gt;"")+('Dvd Calendar'!$E$1028:$AR$1028=TYPE3)*(TYPE3&lt;&gt;"")+('Dvd Calendar'!$E$1028:$AR$1028=TYPE4)*(TYPE4&lt;&gt;"")+('Dvd Calendar'!$E$1028:$AR$1028=SPECIAL_LBL)*(INC_SPECIALS="Y"))))</f>
        <v/>
      </c>
      <c r="G104" s="68">
        <f>IF($C104="","",SUMPRODUCT(('Dvd Calendar'!$E$1023:$AR$1023&gt;=DATE(YEAR_Y-4,1,1))*('Dvd Calendar'!$E$1023:$AR$1023&lt;=DATE(YEAR_Y-4,12,31))*'Dvd Calendar'!$E$1026:$AR$1026*(('Dvd Calendar'!$E$1028:$AR$1028=TYPE1)*(TYPE1&lt;&gt;"")+('Dvd Calendar'!$E$1028:$AR$1028=TYPE2)*(TYPE2&lt;&gt;"")+('Dvd Calendar'!$E$1028:$AR$1028=TYPE3)*(TYPE3&lt;&gt;"")+('Dvd Calendar'!$E$1028:$AR$1028=TYPE4)*(TYPE4&lt;&gt;"")+('Dvd Calendar'!$E$1028:$AR$1028=SPECIAL_LBL)*(INC_SPECIALS="Y"))))</f>
        <v/>
      </c>
      <c r="H104" s="68">
        <f>IF($C104="","",SUMPRODUCT(('Dvd Calendar'!$E$1023:$AR$1023&gt;=DATE(YEAR_Y-3,1,1))*('Dvd Calendar'!$E$1023:$AR$1023&lt;=DATE(YEAR_Y-3,12,31))*'Dvd Calendar'!$E$1026:$AR$1026*(('Dvd Calendar'!$E$1028:$AR$1028=TYPE1)*(TYPE1&lt;&gt;"")+('Dvd Calendar'!$E$1028:$AR$1028=TYPE2)*(TYPE2&lt;&gt;"")+('Dvd Calendar'!$E$1028:$AR$1028=TYPE3)*(TYPE3&lt;&gt;"")+('Dvd Calendar'!$E$1028:$AR$1028=TYPE4)*(TYPE4&lt;&gt;"")+('Dvd Calendar'!$E$1028:$AR$1028=SPECIAL_LBL)*(INC_SPECIALS="Y"))))</f>
        <v/>
      </c>
      <c r="I104" s="68">
        <f>IF($C104="","",SUMPRODUCT(('Dvd Calendar'!$E$1023:$AR$1023&gt;=DATE(YEAR_Y-2,1,1))*('Dvd Calendar'!$E$1023:$AR$1023&lt;=DATE(YEAR_Y-2,12,31))*'Dvd Calendar'!$E$1026:$AR$1026*(('Dvd Calendar'!$E$1028:$AR$1028=TYPE1)*(TYPE1&lt;&gt;"")+('Dvd Calendar'!$E$1028:$AR$1028=TYPE2)*(TYPE2&lt;&gt;"")+('Dvd Calendar'!$E$1028:$AR$1028=TYPE3)*(TYPE3&lt;&gt;"")+('Dvd Calendar'!$E$1028:$AR$1028=TYPE4)*(TYPE4&lt;&gt;"")+('Dvd Calendar'!$E$1028:$AR$1028=SPECIAL_LBL)*(INC_SPECIALS="Y"))))</f>
        <v/>
      </c>
      <c r="J104" s="68">
        <f>IF($C104="","",SUMPRODUCT(('Dvd Calendar'!$E$1023:$AR$1023&gt;=DATE(YEAR_Y-1,1,1))*('Dvd Calendar'!$E$1023:$AR$1023&lt;=DATE(YEAR_Y-1,12,31))*'Dvd Calendar'!$E$1026:$AR$1026*(('Dvd Calendar'!$E$1028:$AR$1028=TYPE1)*(TYPE1&lt;&gt;"")+('Dvd Calendar'!$E$1028:$AR$1028=TYPE2)*(TYPE2&lt;&gt;"")+('Dvd Calendar'!$E$1028:$AR$1028=TYPE3)*(TYPE3&lt;&gt;"")+('Dvd Calendar'!$E$1028:$AR$1028=TYPE4)*(TYPE4&lt;&gt;"")+('Dvd Calendar'!$E$1028:$AR$1028=SPECIAL_LBL)*(INC_SPECIALS="Y"))))</f>
        <v/>
      </c>
      <c r="K104" s="69">
        <f>IF($C104="","",HSI!$J$99)</f>
        <v/>
      </c>
      <c r="L104" s="69">
        <f>IF($C104="","",HSI!$K$99)</f>
        <v/>
      </c>
      <c r="M104" s="44">
        <f>IF($C104="","",HSI!$J$99+HSI!$L$99)</f>
        <v/>
      </c>
      <c r="N104" s="70">
        <f>IF($C104="","",IF(PULL_FUND="N","",IFERROR(BDP($C104,BESTDPS_FIELD,FWD_OVERRIDE,TEXT(MOD(YEAR_Y,100),"00")&amp;"Y"),"")))</f>
        <v/>
      </c>
      <c r="O104" s="69">
        <f>IF($C104="","",AVERAGE(F104:J104))</f>
        <v/>
      </c>
      <c r="P104" s="71">
        <f>IF($C104="","",IF(PULL_FUND="N","",IF(COUNTIFS('Fund History'!$J$560:$J$564,"&gt;="&amp;DATE(YEAR_Y-5,1,1),'Fund History'!$J$560:$J$564,"&lt;="&amp;DATE(YEAR_Y-5,12,31))=0,"",IFERROR($F104*HSI!$G$99/SUMIFS('Fund History'!$K$560:$K$564,'Fund History'!$J$560:$J$564,"&gt;="&amp;DATE(YEAR_Y-5,1,1),'Fund History'!$J$560:$J$564,"&lt;="&amp;DATE(YEAR_Y-5,12,31)),""))))</f>
        <v/>
      </c>
      <c r="Q104" s="72">
        <f>IF($C104="","",IF(PULL_FUND="N","",IF(COUNTIFS('Fund History'!$J$560:$J$564,"&gt;="&amp;DATE(YEAR_Y-4,1,1),'Fund History'!$J$560:$J$564,"&lt;="&amp;DATE(YEAR_Y-4,12,31))=0,"",IFERROR($G104*HSI!$G$99/SUMIFS('Fund History'!$K$560:$K$564,'Fund History'!$J$560:$J$564,"&gt;="&amp;DATE(YEAR_Y-4,1,1),'Fund History'!$J$560:$J$564,"&lt;="&amp;DATE(YEAR_Y-4,12,31)),""))))</f>
        <v/>
      </c>
      <c r="R104" s="72">
        <f>IF($C104="","",IF(PULL_FUND="N","",IF(COUNTIFS('Fund History'!$J$560:$J$564,"&gt;="&amp;DATE(YEAR_Y-3,1,1),'Fund History'!$J$560:$J$564,"&lt;="&amp;DATE(YEAR_Y-3,12,31))=0,"",IFERROR($H104*HSI!$G$99/SUMIFS('Fund History'!$K$560:$K$564,'Fund History'!$J$560:$J$564,"&gt;="&amp;DATE(YEAR_Y-3,1,1),'Fund History'!$J$560:$J$564,"&lt;="&amp;DATE(YEAR_Y-3,12,31)),""))))</f>
        <v/>
      </c>
      <c r="S104" s="72">
        <f>IF($C104="","",IF(PULL_FUND="N","",IF(COUNTIFS('Fund History'!$J$560:$J$564,"&gt;="&amp;DATE(YEAR_Y-2,1,1),'Fund History'!$J$560:$J$564,"&lt;="&amp;DATE(YEAR_Y-2,12,31))=0,"",IFERROR($I104*HSI!$G$99/SUMIFS('Fund History'!$K$560:$K$564,'Fund History'!$J$560:$J$564,"&gt;="&amp;DATE(YEAR_Y-2,1,1),'Fund History'!$J$560:$J$564,"&lt;="&amp;DATE(YEAR_Y-2,12,31)),""))))</f>
        <v/>
      </c>
      <c r="T104" s="72">
        <f>IF($C104="","",IF(PULL_FUND="N","",IF(COUNTIFS('Fund History'!$J$560:$J$564,"&gt;="&amp;DATE(YEAR_Y-1,1,1),'Fund History'!$J$560:$J$564,"&lt;="&amp;DATE(YEAR_Y-1,12,31))=0,"",IFERROR($J104*HSI!$G$99/SUMIFS('Fund History'!$K$560:$K$564,'Fund History'!$J$560:$J$564,"&gt;="&amp;DATE(YEAR_Y-1,1,1),'Fund History'!$J$560:$J$564,"&lt;="&amp;DATE(YEAR_Y-1,12,31)),""))))</f>
        <v/>
      </c>
      <c r="U104" s="73">
        <f>IF($C104="","",IF(ISNUMBER(HSI!$I$99),HSI!$I$99/100,""))</f>
        <v/>
      </c>
      <c r="V104" s="74">
        <f>IF($C104="","",IF(ISNUMBER(HSI!$X$99),IFERROR($M104*HSI!$G$99/HSI!$X$99,""),""))</f>
        <v/>
      </c>
      <c r="W104" s="73">
        <f>IF($C104="","",IF(ISNUMBER($N104),IFERROR($N104*HSI!$G$99/HSI!$X$99,""),""))</f>
        <v/>
      </c>
      <c r="X104" s="75">
        <f>IF($C104="","",IF(PULL_FUND="N","",IFERROR(BDP($C104,EPS_FIELD,YR_OVERRIDE,TEXT(YEAR_Y-5,"0")),"")))</f>
        <v/>
      </c>
      <c r="Y104" s="76">
        <f>IF($C104="","",IF(PULL_FUND="N","",IFERROR(BDP($C104,EPS_FIELD,YR_OVERRIDE,TEXT(YEAR_Y-4,"0")),"")))</f>
        <v/>
      </c>
      <c r="Z104" s="76">
        <f>IF($C104="","",IF(PULL_FUND="N","",IFERROR(BDP($C104,EPS_FIELD,YR_OVERRIDE,TEXT(YEAR_Y-3,"0")),"")))</f>
        <v/>
      </c>
      <c r="AA104" s="76">
        <f>IF($C104="","",IF(PULL_FUND="N","",IFERROR(BDP($C104,EPS_FIELD,YR_OVERRIDE,TEXT(YEAR_Y-2,"0")),"")))</f>
        <v/>
      </c>
      <c r="AB104" s="76">
        <f>IF($C104="","",IF(PULL_FUND="N","",IFERROR(BDP($C104,EPS_FIELD,YR_OVERRIDE,TEXT(YEAR_Y-1,"0")),"")))</f>
        <v/>
      </c>
      <c r="AC104" s="50">
        <f>IF($C104="","",IFERROR(AVERAGE(X104:AB104),""))</f>
        <v/>
      </c>
      <c r="AD104" s="76">
        <f>IF($C104="","",IF(PULL_FUND="N","",IFERROR(BDP($C104,BESTEPS_FIELD,FWD_OVERRIDE,TEXT(MOD(YEAR_Y,100),"00")&amp;"Y"),"")))</f>
        <v/>
      </c>
      <c r="AE104" s="77">
        <f>IF($C104="","",IF(PULL_FUND="N","",IFERROR(BDP($C104,PAYOUT_FIELD,YR_OVERRIDE,TEXT(YEAR_Y-5,"0"))/100,"")))</f>
        <v/>
      </c>
      <c r="AF104" s="78">
        <f>IF($C104="","",IF(PULL_FUND="N","",IFERROR(BDP($C104,PAYOUT_FIELD,YR_OVERRIDE,TEXT(YEAR_Y-4,"0"))/100,"")))</f>
        <v/>
      </c>
      <c r="AG104" s="78">
        <f>IF($C104="","",IF(PULL_FUND="N","",IFERROR(BDP($C104,PAYOUT_FIELD,YR_OVERRIDE,TEXT(YEAR_Y-3,"0"))/100,"")))</f>
        <v/>
      </c>
      <c r="AH104" s="78">
        <f>IF($C104="","",IF(PULL_FUND="N","",IFERROR(BDP($C104,PAYOUT_FIELD,YR_OVERRIDE,TEXT(YEAR_Y-2,"0"))/100,"")))</f>
        <v/>
      </c>
      <c r="AI104" s="78">
        <f>IF($C104="","",IF(PULL_FUND="N","",IFERROR(BDP($C104,PAYOUT_FIELD,YR_OVERRIDE,TEXT(YEAR_Y-1,"0"))/100,"")))</f>
        <v/>
      </c>
      <c r="AJ104" s="79">
        <f>IF($C104="","",IFERROR(AVERAGE(AE104:AI104),""))</f>
        <v/>
      </c>
      <c r="AK104" s="80">
        <f>IF($C104="","",IF(ISNUMBER($AD104)*ISNUMBER($N104)*($AD104&lt;&gt;0)=0,"",$N104/$AD104))</f>
        <v/>
      </c>
      <c r="AL104" s="79">
        <f>IF($C104="","",IF(ISNUMBER($AD104)*($AD104&lt;&gt;0)=0,"",$M104/$AD104))</f>
        <v/>
      </c>
      <c r="AM104" s="37">
        <f>IF($C104="","",IF(ISNUMBER($AE104)*ISNUMBER($AI104)=0,"",IF($AI104&gt;$AE104+0.05,"rising",IF($AI104&lt;$AE104-0.05,"falling","stable"))))</f>
        <v/>
      </c>
      <c r="AN104" s="81">
        <f>IF($C104="","",IF(PULL_FUND="N","",IF(COUNTIFS('Fund History'!$G$560:$G$564,"&gt;="&amp;DATE(YEAR_Y-4,1,1),'Fund History'!$G$560:$G$564,"&lt;="&amp;DATE(YEAR_Y-4,12,31))=0,"",SUMIFS('Fund History'!$H$560:$H$564,'Fund History'!$G$560:$G$564,"&gt;="&amp;DATE(YEAR_Y-4,1,1),'Fund History'!$G$560:$G$564,"&lt;="&amp;DATE(YEAR_Y-4,12,31))/100)))</f>
        <v/>
      </c>
      <c r="AO104" s="82">
        <f>IF($C104="","",IF(PULL_FUND="N","",IF(COUNTIFS('Fund History'!$G$560:$G$564,"&gt;="&amp;DATE(YEAR_Y-3,1,1),'Fund History'!$G$560:$G$564,"&lt;="&amp;DATE(YEAR_Y-3,12,31))=0,"",SUMIFS('Fund History'!$H$560:$H$564,'Fund History'!$G$560:$G$564,"&gt;="&amp;DATE(YEAR_Y-3,1,1),'Fund History'!$G$560:$G$564,"&lt;="&amp;DATE(YEAR_Y-3,12,31))/100)))</f>
        <v/>
      </c>
      <c r="AP104" s="82">
        <f>IF($C104="","",IF(PULL_FUND="N","",IF(COUNTIFS('Fund History'!$G$560:$G$564,"&gt;="&amp;DATE(YEAR_Y-2,1,1),'Fund History'!$G$560:$G$564,"&lt;="&amp;DATE(YEAR_Y-2,12,31))=0,"",SUMIFS('Fund History'!$H$560:$H$564,'Fund History'!$G$560:$G$564,"&gt;="&amp;DATE(YEAR_Y-2,1,1),'Fund History'!$G$560:$G$564,"&lt;="&amp;DATE(YEAR_Y-2,12,31))/100)))</f>
        <v/>
      </c>
      <c r="AQ104" s="82">
        <f>IF($C104="","",IF(PULL_FUND="N","",IF(COUNTIFS('Fund History'!$G$560:$G$564,"&gt;="&amp;DATE(YEAR_Y-1,1,1),'Fund History'!$G$560:$G$564,"&lt;="&amp;DATE(YEAR_Y-1,12,31))=0,"",SUMIFS('Fund History'!$H$560:$H$564,'Fund History'!$G$560:$G$564,"&gt;="&amp;DATE(YEAR_Y-1,1,1),'Fund History'!$G$560:$G$564,"&lt;="&amp;DATE(YEAR_Y-1,12,31))/100)))</f>
        <v/>
      </c>
      <c r="AR104" s="83">
        <f>IF($C104="","",IF(N($AQ104)+N(HSI!$I$99)=0,"",N($AQ104)+N(HSI!$I$99)/100))</f>
        <v/>
      </c>
      <c r="AS104" s="75">
        <f>IF($C104="","",IF(PULL_FUND="N","",IF(COUNTIFS('Fund History'!$D$560:$D$564,"&gt;="&amp;DATE(YEAR_Y-2,1,1),'Fund History'!$D$560:$D$564,"&lt;="&amp;DATE(YEAR_Y-2,12,31))=0,"",SUMIFS('Fund History'!$E$560:$E$564,'Fund History'!$D$560:$D$564,"&gt;="&amp;DATE(YEAR_Y-2,1,1),'Fund History'!$D$560:$D$564,"&lt;="&amp;DATE(YEAR_Y-2,12,31)))))</f>
        <v/>
      </c>
      <c r="AT104" s="76">
        <f>IF($C104="","",IF(PULL_FUND="N","",IF(COUNTIFS('Fund History'!$D$560:$D$564,"&gt;="&amp;DATE(YEAR_Y-1,1,1),'Fund History'!$D$560:$D$564,"&lt;="&amp;DATE(YEAR_Y-1,12,31))=0,"",SUMIFS('Fund History'!$E$560:$E$564,'Fund History'!$D$560:$D$564,"&gt;="&amp;DATE(YEAR_Y-1,1,1),'Fund History'!$D$560:$D$564,"&lt;="&amp;DATE(YEAR_Y-1,12,31)))))</f>
        <v/>
      </c>
      <c r="AU104" s="76">
        <f>IF($C104="","",IF(PULL_FUND="N","",IFERROR(BDP($C104,NDEBITDA_FIELD),"")))</f>
        <v/>
      </c>
      <c r="AV104" s="84">
        <f>IF($C104="","",IF(PULL_FUND="N","",IFERROR(BDP($C104,EBINT_FIELD),"")))</f>
        <v/>
      </c>
      <c r="AW104" s="82">
        <f>IF($C104="","",IF(PULL_FUND="N","",IFERROR(BDP($C104,FCF_FIELD)/100,"")))</f>
        <v/>
      </c>
      <c r="AX104" s="50">
        <f>IF($C104="","",IF(N($U104)=0,"",IFERROR($AW104/$U104,"")))</f>
        <v/>
      </c>
      <c r="AY104" s="85">
        <f>IF($C104="","",TRIM(IF(ISNUMBER($AJ104)*(N($AJ104)&gt;$D$4)&gt;0,"payout high  ","")&amp;IF(ISNUMBER($AX104)*(N($AX104)&lt;$F$4)&gt;0,"FCF below dvd  ","")&amp;IF(ISNUMBER($AU104)*(N($AU104)&gt;$H$4)&gt;0,"leverage high","")))</f>
        <v/>
      </c>
      <c r="AZ104" s="86">
        <f>IF($C104="","",IF(HSI!$F$99="HKD","",HSI!$F$99))</f>
        <v/>
      </c>
    </row>
    <row r="105">
      <c r="B105" s="66" t="inlineStr">
        <is>
          <t>HSI</t>
        </is>
      </c>
      <c r="C105" s="8">
        <f>IF(HSI!$C$100="","",HSI!$C$100)</f>
        <v/>
      </c>
      <c r="D105" s="8">
        <f>IF($C105="","",HSI!$D$100)</f>
        <v/>
      </c>
      <c r="E105" s="8">
        <f>IF($C105="","",HSI!$E$100)</f>
        <v/>
      </c>
      <c r="F105" s="67">
        <f>IF($C105="","",SUMPRODUCT(('Dvd Calendar'!$E$1034:$AR$1034&gt;=DATE(YEAR_Y-5,1,1))*('Dvd Calendar'!$E$1034:$AR$1034&lt;=DATE(YEAR_Y-5,12,31))*'Dvd Calendar'!$E$1037:$AR$1037*(('Dvd Calendar'!$E$1039:$AR$1039=TYPE1)*(TYPE1&lt;&gt;"")+('Dvd Calendar'!$E$1039:$AR$1039=TYPE2)*(TYPE2&lt;&gt;"")+('Dvd Calendar'!$E$1039:$AR$1039=TYPE3)*(TYPE3&lt;&gt;"")+('Dvd Calendar'!$E$1039:$AR$1039=TYPE4)*(TYPE4&lt;&gt;"")+('Dvd Calendar'!$E$1039:$AR$1039=SPECIAL_LBL)*(INC_SPECIALS="Y"))))</f>
        <v/>
      </c>
      <c r="G105" s="68">
        <f>IF($C105="","",SUMPRODUCT(('Dvd Calendar'!$E$1034:$AR$1034&gt;=DATE(YEAR_Y-4,1,1))*('Dvd Calendar'!$E$1034:$AR$1034&lt;=DATE(YEAR_Y-4,12,31))*'Dvd Calendar'!$E$1037:$AR$1037*(('Dvd Calendar'!$E$1039:$AR$1039=TYPE1)*(TYPE1&lt;&gt;"")+('Dvd Calendar'!$E$1039:$AR$1039=TYPE2)*(TYPE2&lt;&gt;"")+('Dvd Calendar'!$E$1039:$AR$1039=TYPE3)*(TYPE3&lt;&gt;"")+('Dvd Calendar'!$E$1039:$AR$1039=TYPE4)*(TYPE4&lt;&gt;"")+('Dvd Calendar'!$E$1039:$AR$1039=SPECIAL_LBL)*(INC_SPECIALS="Y"))))</f>
        <v/>
      </c>
      <c r="H105" s="68">
        <f>IF($C105="","",SUMPRODUCT(('Dvd Calendar'!$E$1034:$AR$1034&gt;=DATE(YEAR_Y-3,1,1))*('Dvd Calendar'!$E$1034:$AR$1034&lt;=DATE(YEAR_Y-3,12,31))*'Dvd Calendar'!$E$1037:$AR$1037*(('Dvd Calendar'!$E$1039:$AR$1039=TYPE1)*(TYPE1&lt;&gt;"")+('Dvd Calendar'!$E$1039:$AR$1039=TYPE2)*(TYPE2&lt;&gt;"")+('Dvd Calendar'!$E$1039:$AR$1039=TYPE3)*(TYPE3&lt;&gt;"")+('Dvd Calendar'!$E$1039:$AR$1039=TYPE4)*(TYPE4&lt;&gt;"")+('Dvd Calendar'!$E$1039:$AR$1039=SPECIAL_LBL)*(INC_SPECIALS="Y"))))</f>
        <v/>
      </c>
      <c r="I105" s="68">
        <f>IF($C105="","",SUMPRODUCT(('Dvd Calendar'!$E$1034:$AR$1034&gt;=DATE(YEAR_Y-2,1,1))*('Dvd Calendar'!$E$1034:$AR$1034&lt;=DATE(YEAR_Y-2,12,31))*'Dvd Calendar'!$E$1037:$AR$1037*(('Dvd Calendar'!$E$1039:$AR$1039=TYPE1)*(TYPE1&lt;&gt;"")+('Dvd Calendar'!$E$1039:$AR$1039=TYPE2)*(TYPE2&lt;&gt;"")+('Dvd Calendar'!$E$1039:$AR$1039=TYPE3)*(TYPE3&lt;&gt;"")+('Dvd Calendar'!$E$1039:$AR$1039=TYPE4)*(TYPE4&lt;&gt;"")+('Dvd Calendar'!$E$1039:$AR$1039=SPECIAL_LBL)*(INC_SPECIALS="Y"))))</f>
        <v/>
      </c>
      <c r="J105" s="68">
        <f>IF($C105="","",SUMPRODUCT(('Dvd Calendar'!$E$1034:$AR$1034&gt;=DATE(YEAR_Y-1,1,1))*('Dvd Calendar'!$E$1034:$AR$1034&lt;=DATE(YEAR_Y-1,12,31))*'Dvd Calendar'!$E$1037:$AR$1037*(('Dvd Calendar'!$E$1039:$AR$1039=TYPE1)*(TYPE1&lt;&gt;"")+('Dvd Calendar'!$E$1039:$AR$1039=TYPE2)*(TYPE2&lt;&gt;"")+('Dvd Calendar'!$E$1039:$AR$1039=TYPE3)*(TYPE3&lt;&gt;"")+('Dvd Calendar'!$E$1039:$AR$1039=TYPE4)*(TYPE4&lt;&gt;"")+('Dvd Calendar'!$E$1039:$AR$1039=SPECIAL_LBL)*(INC_SPECIALS="Y"))))</f>
        <v/>
      </c>
      <c r="K105" s="69">
        <f>IF($C105="","",HSI!$J$100)</f>
        <v/>
      </c>
      <c r="L105" s="69">
        <f>IF($C105="","",HSI!$K$100)</f>
        <v/>
      </c>
      <c r="M105" s="44">
        <f>IF($C105="","",HSI!$J$100+HSI!$L$100)</f>
        <v/>
      </c>
      <c r="N105" s="70">
        <f>IF($C105="","",IF(PULL_FUND="N","",IFERROR(BDP($C105,BESTDPS_FIELD,FWD_OVERRIDE,TEXT(MOD(YEAR_Y,100),"00")&amp;"Y"),"")))</f>
        <v/>
      </c>
      <c r="O105" s="69">
        <f>IF($C105="","",AVERAGE(F105:J105))</f>
        <v/>
      </c>
      <c r="P105" s="71">
        <f>IF($C105="","",IF(PULL_FUND="N","",IF(COUNTIFS('Fund History'!$J$566:$J$570,"&gt;="&amp;DATE(YEAR_Y-5,1,1),'Fund History'!$J$566:$J$570,"&lt;="&amp;DATE(YEAR_Y-5,12,31))=0,"",IFERROR($F105*HSI!$G$100/SUMIFS('Fund History'!$K$566:$K$570,'Fund History'!$J$566:$J$570,"&gt;="&amp;DATE(YEAR_Y-5,1,1),'Fund History'!$J$566:$J$570,"&lt;="&amp;DATE(YEAR_Y-5,12,31)),""))))</f>
        <v/>
      </c>
      <c r="Q105" s="72">
        <f>IF($C105="","",IF(PULL_FUND="N","",IF(COUNTIFS('Fund History'!$J$566:$J$570,"&gt;="&amp;DATE(YEAR_Y-4,1,1),'Fund History'!$J$566:$J$570,"&lt;="&amp;DATE(YEAR_Y-4,12,31))=0,"",IFERROR($G105*HSI!$G$100/SUMIFS('Fund History'!$K$566:$K$570,'Fund History'!$J$566:$J$570,"&gt;="&amp;DATE(YEAR_Y-4,1,1),'Fund History'!$J$566:$J$570,"&lt;="&amp;DATE(YEAR_Y-4,12,31)),""))))</f>
        <v/>
      </c>
      <c r="R105" s="72">
        <f>IF($C105="","",IF(PULL_FUND="N","",IF(COUNTIFS('Fund History'!$J$566:$J$570,"&gt;="&amp;DATE(YEAR_Y-3,1,1),'Fund History'!$J$566:$J$570,"&lt;="&amp;DATE(YEAR_Y-3,12,31))=0,"",IFERROR($H105*HSI!$G$100/SUMIFS('Fund History'!$K$566:$K$570,'Fund History'!$J$566:$J$570,"&gt;="&amp;DATE(YEAR_Y-3,1,1),'Fund History'!$J$566:$J$570,"&lt;="&amp;DATE(YEAR_Y-3,12,31)),""))))</f>
        <v/>
      </c>
      <c r="S105" s="72">
        <f>IF($C105="","",IF(PULL_FUND="N","",IF(COUNTIFS('Fund History'!$J$566:$J$570,"&gt;="&amp;DATE(YEAR_Y-2,1,1),'Fund History'!$J$566:$J$570,"&lt;="&amp;DATE(YEAR_Y-2,12,31))=0,"",IFERROR($I105*HSI!$G$100/SUMIFS('Fund History'!$K$566:$K$570,'Fund History'!$J$566:$J$570,"&gt;="&amp;DATE(YEAR_Y-2,1,1),'Fund History'!$J$566:$J$570,"&lt;="&amp;DATE(YEAR_Y-2,12,31)),""))))</f>
        <v/>
      </c>
      <c r="T105" s="72">
        <f>IF($C105="","",IF(PULL_FUND="N","",IF(COUNTIFS('Fund History'!$J$566:$J$570,"&gt;="&amp;DATE(YEAR_Y-1,1,1),'Fund History'!$J$566:$J$570,"&lt;="&amp;DATE(YEAR_Y-1,12,31))=0,"",IFERROR($J105*HSI!$G$100/SUMIFS('Fund History'!$K$566:$K$570,'Fund History'!$J$566:$J$570,"&gt;="&amp;DATE(YEAR_Y-1,1,1),'Fund History'!$J$566:$J$570,"&lt;="&amp;DATE(YEAR_Y-1,12,31)),""))))</f>
        <v/>
      </c>
      <c r="U105" s="73">
        <f>IF($C105="","",IF(ISNUMBER(HSI!$I$100),HSI!$I$100/100,""))</f>
        <v/>
      </c>
      <c r="V105" s="74">
        <f>IF($C105="","",IF(ISNUMBER(HSI!$X$100),IFERROR($M105*HSI!$G$100/HSI!$X$100,""),""))</f>
        <v/>
      </c>
      <c r="W105" s="73">
        <f>IF($C105="","",IF(ISNUMBER($N105),IFERROR($N105*HSI!$G$100/HSI!$X$100,""),""))</f>
        <v/>
      </c>
      <c r="X105" s="75">
        <f>IF($C105="","",IF(PULL_FUND="N","",IFERROR(BDP($C105,EPS_FIELD,YR_OVERRIDE,TEXT(YEAR_Y-5,"0")),"")))</f>
        <v/>
      </c>
      <c r="Y105" s="76">
        <f>IF($C105="","",IF(PULL_FUND="N","",IFERROR(BDP($C105,EPS_FIELD,YR_OVERRIDE,TEXT(YEAR_Y-4,"0")),"")))</f>
        <v/>
      </c>
      <c r="Z105" s="76">
        <f>IF($C105="","",IF(PULL_FUND="N","",IFERROR(BDP($C105,EPS_FIELD,YR_OVERRIDE,TEXT(YEAR_Y-3,"0")),"")))</f>
        <v/>
      </c>
      <c r="AA105" s="76">
        <f>IF($C105="","",IF(PULL_FUND="N","",IFERROR(BDP($C105,EPS_FIELD,YR_OVERRIDE,TEXT(YEAR_Y-2,"0")),"")))</f>
        <v/>
      </c>
      <c r="AB105" s="76">
        <f>IF($C105="","",IF(PULL_FUND="N","",IFERROR(BDP($C105,EPS_FIELD,YR_OVERRIDE,TEXT(YEAR_Y-1,"0")),"")))</f>
        <v/>
      </c>
      <c r="AC105" s="50">
        <f>IF($C105="","",IFERROR(AVERAGE(X105:AB105),""))</f>
        <v/>
      </c>
      <c r="AD105" s="76">
        <f>IF($C105="","",IF(PULL_FUND="N","",IFERROR(BDP($C105,BESTEPS_FIELD,FWD_OVERRIDE,TEXT(MOD(YEAR_Y,100),"00")&amp;"Y"),"")))</f>
        <v/>
      </c>
      <c r="AE105" s="77">
        <f>IF($C105="","",IF(PULL_FUND="N","",IFERROR(BDP($C105,PAYOUT_FIELD,YR_OVERRIDE,TEXT(YEAR_Y-5,"0"))/100,"")))</f>
        <v/>
      </c>
      <c r="AF105" s="78">
        <f>IF($C105="","",IF(PULL_FUND="N","",IFERROR(BDP($C105,PAYOUT_FIELD,YR_OVERRIDE,TEXT(YEAR_Y-4,"0"))/100,"")))</f>
        <v/>
      </c>
      <c r="AG105" s="78">
        <f>IF($C105="","",IF(PULL_FUND="N","",IFERROR(BDP($C105,PAYOUT_FIELD,YR_OVERRIDE,TEXT(YEAR_Y-3,"0"))/100,"")))</f>
        <v/>
      </c>
      <c r="AH105" s="78">
        <f>IF($C105="","",IF(PULL_FUND="N","",IFERROR(BDP($C105,PAYOUT_FIELD,YR_OVERRIDE,TEXT(YEAR_Y-2,"0"))/100,"")))</f>
        <v/>
      </c>
      <c r="AI105" s="78">
        <f>IF($C105="","",IF(PULL_FUND="N","",IFERROR(BDP($C105,PAYOUT_FIELD,YR_OVERRIDE,TEXT(YEAR_Y-1,"0"))/100,"")))</f>
        <v/>
      </c>
      <c r="AJ105" s="79">
        <f>IF($C105="","",IFERROR(AVERAGE(AE105:AI105),""))</f>
        <v/>
      </c>
      <c r="AK105" s="80">
        <f>IF($C105="","",IF(ISNUMBER($AD105)*ISNUMBER($N105)*($AD105&lt;&gt;0)=0,"",$N105/$AD105))</f>
        <v/>
      </c>
      <c r="AL105" s="79">
        <f>IF($C105="","",IF(ISNUMBER($AD105)*($AD105&lt;&gt;0)=0,"",$M105/$AD105))</f>
        <v/>
      </c>
      <c r="AM105" s="37">
        <f>IF($C105="","",IF(ISNUMBER($AE105)*ISNUMBER($AI105)=0,"",IF($AI105&gt;$AE105+0.05,"rising",IF($AI105&lt;$AE105-0.05,"falling","stable"))))</f>
        <v/>
      </c>
      <c r="AN105" s="81">
        <f>IF($C105="","",IF(PULL_FUND="N","",IF(COUNTIFS('Fund History'!$G$566:$G$570,"&gt;="&amp;DATE(YEAR_Y-4,1,1),'Fund History'!$G$566:$G$570,"&lt;="&amp;DATE(YEAR_Y-4,12,31))=0,"",SUMIFS('Fund History'!$H$566:$H$570,'Fund History'!$G$566:$G$570,"&gt;="&amp;DATE(YEAR_Y-4,1,1),'Fund History'!$G$566:$G$570,"&lt;="&amp;DATE(YEAR_Y-4,12,31))/100)))</f>
        <v/>
      </c>
      <c r="AO105" s="82">
        <f>IF($C105="","",IF(PULL_FUND="N","",IF(COUNTIFS('Fund History'!$G$566:$G$570,"&gt;="&amp;DATE(YEAR_Y-3,1,1),'Fund History'!$G$566:$G$570,"&lt;="&amp;DATE(YEAR_Y-3,12,31))=0,"",SUMIFS('Fund History'!$H$566:$H$570,'Fund History'!$G$566:$G$570,"&gt;="&amp;DATE(YEAR_Y-3,1,1),'Fund History'!$G$566:$G$570,"&lt;="&amp;DATE(YEAR_Y-3,12,31))/100)))</f>
        <v/>
      </c>
      <c r="AP105" s="82">
        <f>IF($C105="","",IF(PULL_FUND="N","",IF(COUNTIFS('Fund History'!$G$566:$G$570,"&gt;="&amp;DATE(YEAR_Y-2,1,1),'Fund History'!$G$566:$G$570,"&lt;="&amp;DATE(YEAR_Y-2,12,31))=0,"",SUMIFS('Fund History'!$H$566:$H$570,'Fund History'!$G$566:$G$570,"&gt;="&amp;DATE(YEAR_Y-2,1,1),'Fund History'!$G$566:$G$570,"&lt;="&amp;DATE(YEAR_Y-2,12,31))/100)))</f>
        <v/>
      </c>
      <c r="AQ105" s="82">
        <f>IF($C105="","",IF(PULL_FUND="N","",IF(COUNTIFS('Fund History'!$G$566:$G$570,"&gt;="&amp;DATE(YEAR_Y-1,1,1),'Fund History'!$G$566:$G$570,"&lt;="&amp;DATE(YEAR_Y-1,12,31))=0,"",SUMIFS('Fund History'!$H$566:$H$570,'Fund History'!$G$566:$G$570,"&gt;="&amp;DATE(YEAR_Y-1,1,1),'Fund History'!$G$566:$G$570,"&lt;="&amp;DATE(YEAR_Y-1,12,31))/100)))</f>
        <v/>
      </c>
      <c r="AR105" s="83">
        <f>IF($C105="","",IF(N($AQ105)+N(HSI!$I$100)=0,"",N($AQ105)+N(HSI!$I$100)/100))</f>
        <v/>
      </c>
      <c r="AS105" s="75">
        <f>IF($C105="","",IF(PULL_FUND="N","",IF(COUNTIFS('Fund History'!$D$566:$D$570,"&gt;="&amp;DATE(YEAR_Y-2,1,1),'Fund History'!$D$566:$D$570,"&lt;="&amp;DATE(YEAR_Y-2,12,31))=0,"",SUMIFS('Fund History'!$E$566:$E$570,'Fund History'!$D$566:$D$570,"&gt;="&amp;DATE(YEAR_Y-2,1,1),'Fund History'!$D$566:$D$570,"&lt;="&amp;DATE(YEAR_Y-2,12,31)))))</f>
        <v/>
      </c>
      <c r="AT105" s="76">
        <f>IF($C105="","",IF(PULL_FUND="N","",IF(COUNTIFS('Fund History'!$D$566:$D$570,"&gt;="&amp;DATE(YEAR_Y-1,1,1),'Fund History'!$D$566:$D$570,"&lt;="&amp;DATE(YEAR_Y-1,12,31))=0,"",SUMIFS('Fund History'!$E$566:$E$570,'Fund History'!$D$566:$D$570,"&gt;="&amp;DATE(YEAR_Y-1,1,1),'Fund History'!$D$566:$D$570,"&lt;="&amp;DATE(YEAR_Y-1,12,31)))))</f>
        <v/>
      </c>
      <c r="AU105" s="76">
        <f>IF($C105="","",IF(PULL_FUND="N","",IFERROR(BDP($C105,NDEBITDA_FIELD),"")))</f>
        <v/>
      </c>
      <c r="AV105" s="84">
        <f>IF($C105="","",IF(PULL_FUND="N","",IFERROR(BDP($C105,EBINT_FIELD),"")))</f>
        <v/>
      </c>
      <c r="AW105" s="82">
        <f>IF($C105="","",IF(PULL_FUND="N","",IFERROR(BDP($C105,FCF_FIELD)/100,"")))</f>
        <v/>
      </c>
      <c r="AX105" s="50">
        <f>IF($C105="","",IF(N($U105)=0,"",IFERROR($AW105/$U105,"")))</f>
        <v/>
      </c>
      <c r="AY105" s="85">
        <f>IF($C105="","",TRIM(IF(ISNUMBER($AJ105)*(N($AJ105)&gt;$D$4)&gt;0,"payout high  ","")&amp;IF(ISNUMBER($AX105)*(N($AX105)&lt;$F$4)&gt;0,"FCF below dvd  ","")&amp;IF(ISNUMBER($AU105)*(N($AU105)&gt;$H$4)&gt;0,"leverage high","")))</f>
        <v/>
      </c>
      <c r="AZ105" s="86">
        <f>IF($C105="","",IF(HSI!$F$100="HKD","",HSI!$F$100))</f>
        <v/>
      </c>
    </row>
    <row r="106">
      <c r="B106" s="66" t="inlineStr">
        <is>
          <t>HSI</t>
        </is>
      </c>
      <c r="C106" s="8">
        <f>IF(HSI!$C$101="","",HSI!$C$101)</f>
        <v/>
      </c>
      <c r="D106" s="8">
        <f>IF($C106="","",HSI!$D$101)</f>
        <v/>
      </c>
      <c r="E106" s="8">
        <f>IF($C106="","",HSI!$E$101)</f>
        <v/>
      </c>
      <c r="F106" s="67">
        <f>IF($C106="","",SUMPRODUCT(('Dvd Calendar'!$E$1045:$AR$1045&gt;=DATE(YEAR_Y-5,1,1))*('Dvd Calendar'!$E$1045:$AR$1045&lt;=DATE(YEAR_Y-5,12,31))*'Dvd Calendar'!$E$1048:$AR$1048*(('Dvd Calendar'!$E$1050:$AR$1050=TYPE1)*(TYPE1&lt;&gt;"")+('Dvd Calendar'!$E$1050:$AR$1050=TYPE2)*(TYPE2&lt;&gt;"")+('Dvd Calendar'!$E$1050:$AR$1050=TYPE3)*(TYPE3&lt;&gt;"")+('Dvd Calendar'!$E$1050:$AR$1050=TYPE4)*(TYPE4&lt;&gt;"")+('Dvd Calendar'!$E$1050:$AR$1050=SPECIAL_LBL)*(INC_SPECIALS="Y"))))</f>
        <v/>
      </c>
      <c r="G106" s="68">
        <f>IF($C106="","",SUMPRODUCT(('Dvd Calendar'!$E$1045:$AR$1045&gt;=DATE(YEAR_Y-4,1,1))*('Dvd Calendar'!$E$1045:$AR$1045&lt;=DATE(YEAR_Y-4,12,31))*'Dvd Calendar'!$E$1048:$AR$1048*(('Dvd Calendar'!$E$1050:$AR$1050=TYPE1)*(TYPE1&lt;&gt;"")+('Dvd Calendar'!$E$1050:$AR$1050=TYPE2)*(TYPE2&lt;&gt;"")+('Dvd Calendar'!$E$1050:$AR$1050=TYPE3)*(TYPE3&lt;&gt;"")+('Dvd Calendar'!$E$1050:$AR$1050=TYPE4)*(TYPE4&lt;&gt;"")+('Dvd Calendar'!$E$1050:$AR$1050=SPECIAL_LBL)*(INC_SPECIALS="Y"))))</f>
        <v/>
      </c>
      <c r="H106" s="68">
        <f>IF($C106="","",SUMPRODUCT(('Dvd Calendar'!$E$1045:$AR$1045&gt;=DATE(YEAR_Y-3,1,1))*('Dvd Calendar'!$E$1045:$AR$1045&lt;=DATE(YEAR_Y-3,12,31))*'Dvd Calendar'!$E$1048:$AR$1048*(('Dvd Calendar'!$E$1050:$AR$1050=TYPE1)*(TYPE1&lt;&gt;"")+('Dvd Calendar'!$E$1050:$AR$1050=TYPE2)*(TYPE2&lt;&gt;"")+('Dvd Calendar'!$E$1050:$AR$1050=TYPE3)*(TYPE3&lt;&gt;"")+('Dvd Calendar'!$E$1050:$AR$1050=TYPE4)*(TYPE4&lt;&gt;"")+('Dvd Calendar'!$E$1050:$AR$1050=SPECIAL_LBL)*(INC_SPECIALS="Y"))))</f>
        <v/>
      </c>
      <c r="I106" s="68">
        <f>IF($C106="","",SUMPRODUCT(('Dvd Calendar'!$E$1045:$AR$1045&gt;=DATE(YEAR_Y-2,1,1))*('Dvd Calendar'!$E$1045:$AR$1045&lt;=DATE(YEAR_Y-2,12,31))*'Dvd Calendar'!$E$1048:$AR$1048*(('Dvd Calendar'!$E$1050:$AR$1050=TYPE1)*(TYPE1&lt;&gt;"")+('Dvd Calendar'!$E$1050:$AR$1050=TYPE2)*(TYPE2&lt;&gt;"")+('Dvd Calendar'!$E$1050:$AR$1050=TYPE3)*(TYPE3&lt;&gt;"")+('Dvd Calendar'!$E$1050:$AR$1050=TYPE4)*(TYPE4&lt;&gt;"")+('Dvd Calendar'!$E$1050:$AR$1050=SPECIAL_LBL)*(INC_SPECIALS="Y"))))</f>
        <v/>
      </c>
      <c r="J106" s="68">
        <f>IF($C106="","",SUMPRODUCT(('Dvd Calendar'!$E$1045:$AR$1045&gt;=DATE(YEAR_Y-1,1,1))*('Dvd Calendar'!$E$1045:$AR$1045&lt;=DATE(YEAR_Y-1,12,31))*'Dvd Calendar'!$E$1048:$AR$1048*(('Dvd Calendar'!$E$1050:$AR$1050=TYPE1)*(TYPE1&lt;&gt;"")+('Dvd Calendar'!$E$1050:$AR$1050=TYPE2)*(TYPE2&lt;&gt;"")+('Dvd Calendar'!$E$1050:$AR$1050=TYPE3)*(TYPE3&lt;&gt;"")+('Dvd Calendar'!$E$1050:$AR$1050=TYPE4)*(TYPE4&lt;&gt;"")+('Dvd Calendar'!$E$1050:$AR$1050=SPECIAL_LBL)*(INC_SPECIALS="Y"))))</f>
        <v/>
      </c>
      <c r="K106" s="69">
        <f>IF($C106="","",HSI!$J$101)</f>
        <v/>
      </c>
      <c r="L106" s="69">
        <f>IF($C106="","",HSI!$K$101)</f>
        <v/>
      </c>
      <c r="M106" s="44">
        <f>IF($C106="","",HSI!$J$101+HSI!$L$101)</f>
        <v/>
      </c>
      <c r="N106" s="70">
        <f>IF($C106="","",IF(PULL_FUND="N","",IFERROR(BDP($C106,BESTDPS_FIELD,FWD_OVERRIDE,TEXT(MOD(YEAR_Y,100),"00")&amp;"Y"),"")))</f>
        <v/>
      </c>
      <c r="O106" s="69">
        <f>IF($C106="","",AVERAGE(F106:J106))</f>
        <v/>
      </c>
      <c r="P106" s="71">
        <f>IF($C106="","",IF(PULL_FUND="N","",IF(COUNTIFS('Fund History'!$J$572:$J$576,"&gt;="&amp;DATE(YEAR_Y-5,1,1),'Fund History'!$J$572:$J$576,"&lt;="&amp;DATE(YEAR_Y-5,12,31))=0,"",IFERROR($F106*HSI!$G$101/SUMIFS('Fund History'!$K$572:$K$576,'Fund History'!$J$572:$J$576,"&gt;="&amp;DATE(YEAR_Y-5,1,1),'Fund History'!$J$572:$J$576,"&lt;="&amp;DATE(YEAR_Y-5,12,31)),""))))</f>
        <v/>
      </c>
      <c r="Q106" s="72">
        <f>IF($C106="","",IF(PULL_FUND="N","",IF(COUNTIFS('Fund History'!$J$572:$J$576,"&gt;="&amp;DATE(YEAR_Y-4,1,1),'Fund History'!$J$572:$J$576,"&lt;="&amp;DATE(YEAR_Y-4,12,31))=0,"",IFERROR($G106*HSI!$G$101/SUMIFS('Fund History'!$K$572:$K$576,'Fund History'!$J$572:$J$576,"&gt;="&amp;DATE(YEAR_Y-4,1,1),'Fund History'!$J$572:$J$576,"&lt;="&amp;DATE(YEAR_Y-4,12,31)),""))))</f>
        <v/>
      </c>
      <c r="R106" s="72">
        <f>IF($C106="","",IF(PULL_FUND="N","",IF(COUNTIFS('Fund History'!$J$572:$J$576,"&gt;="&amp;DATE(YEAR_Y-3,1,1),'Fund History'!$J$572:$J$576,"&lt;="&amp;DATE(YEAR_Y-3,12,31))=0,"",IFERROR($H106*HSI!$G$101/SUMIFS('Fund History'!$K$572:$K$576,'Fund History'!$J$572:$J$576,"&gt;="&amp;DATE(YEAR_Y-3,1,1),'Fund History'!$J$572:$J$576,"&lt;="&amp;DATE(YEAR_Y-3,12,31)),""))))</f>
        <v/>
      </c>
      <c r="S106" s="72">
        <f>IF($C106="","",IF(PULL_FUND="N","",IF(COUNTIFS('Fund History'!$J$572:$J$576,"&gt;="&amp;DATE(YEAR_Y-2,1,1),'Fund History'!$J$572:$J$576,"&lt;="&amp;DATE(YEAR_Y-2,12,31))=0,"",IFERROR($I106*HSI!$G$101/SUMIFS('Fund History'!$K$572:$K$576,'Fund History'!$J$572:$J$576,"&gt;="&amp;DATE(YEAR_Y-2,1,1),'Fund History'!$J$572:$J$576,"&lt;="&amp;DATE(YEAR_Y-2,12,31)),""))))</f>
        <v/>
      </c>
      <c r="T106" s="72">
        <f>IF($C106="","",IF(PULL_FUND="N","",IF(COUNTIFS('Fund History'!$J$572:$J$576,"&gt;="&amp;DATE(YEAR_Y-1,1,1),'Fund History'!$J$572:$J$576,"&lt;="&amp;DATE(YEAR_Y-1,12,31))=0,"",IFERROR($J106*HSI!$G$101/SUMIFS('Fund History'!$K$572:$K$576,'Fund History'!$J$572:$J$576,"&gt;="&amp;DATE(YEAR_Y-1,1,1),'Fund History'!$J$572:$J$576,"&lt;="&amp;DATE(YEAR_Y-1,12,31)),""))))</f>
        <v/>
      </c>
      <c r="U106" s="73">
        <f>IF($C106="","",IF(ISNUMBER(HSI!$I$101),HSI!$I$101/100,""))</f>
        <v/>
      </c>
      <c r="V106" s="74">
        <f>IF($C106="","",IF(ISNUMBER(HSI!$X$101),IFERROR($M106*HSI!$G$101/HSI!$X$101,""),""))</f>
        <v/>
      </c>
      <c r="W106" s="73">
        <f>IF($C106="","",IF(ISNUMBER($N106),IFERROR($N106*HSI!$G$101/HSI!$X$101,""),""))</f>
        <v/>
      </c>
      <c r="X106" s="75">
        <f>IF($C106="","",IF(PULL_FUND="N","",IFERROR(BDP($C106,EPS_FIELD,YR_OVERRIDE,TEXT(YEAR_Y-5,"0")),"")))</f>
        <v/>
      </c>
      <c r="Y106" s="76">
        <f>IF($C106="","",IF(PULL_FUND="N","",IFERROR(BDP($C106,EPS_FIELD,YR_OVERRIDE,TEXT(YEAR_Y-4,"0")),"")))</f>
        <v/>
      </c>
      <c r="Z106" s="76">
        <f>IF($C106="","",IF(PULL_FUND="N","",IFERROR(BDP($C106,EPS_FIELD,YR_OVERRIDE,TEXT(YEAR_Y-3,"0")),"")))</f>
        <v/>
      </c>
      <c r="AA106" s="76">
        <f>IF($C106="","",IF(PULL_FUND="N","",IFERROR(BDP($C106,EPS_FIELD,YR_OVERRIDE,TEXT(YEAR_Y-2,"0")),"")))</f>
        <v/>
      </c>
      <c r="AB106" s="76">
        <f>IF($C106="","",IF(PULL_FUND="N","",IFERROR(BDP($C106,EPS_FIELD,YR_OVERRIDE,TEXT(YEAR_Y-1,"0")),"")))</f>
        <v/>
      </c>
      <c r="AC106" s="50">
        <f>IF($C106="","",IFERROR(AVERAGE(X106:AB106),""))</f>
        <v/>
      </c>
      <c r="AD106" s="76">
        <f>IF($C106="","",IF(PULL_FUND="N","",IFERROR(BDP($C106,BESTEPS_FIELD,FWD_OVERRIDE,TEXT(MOD(YEAR_Y,100),"00")&amp;"Y"),"")))</f>
        <v/>
      </c>
      <c r="AE106" s="77">
        <f>IF($C106="","",IF(PULL_FUND="N","",IFERROR(BDP($C106,PAYOUT_FIELD,YR_OVERRIDE,TEXT(YEAR_Y-5,"0"))/100,"")))</f>
        <v/>
      </c>
      <c r="AF106" s="78">
        <f>IF($C106="","",IF(PULL_FUND="N","",IFERROR(BDP($C106,PAYOUT_FIELD,YR_OVERRIDE,TEXT(YEAR_Y-4,"0"))/100,"")))</f>
        <v/>
      </c>
      <c r="AG106" s="78">
        <f>IF($C106="","",IF(PULL_FUND="N","",IFERROR(BDP($C106,PAYOUT_FIELD,YR_OVERRIDE,TEXT(YEAR_Y-3,"0"))/100,"")))</f>
        <v/>
      </c>
      <c r="AH106" s="78">
        <f>IF($C106="","",IF(PULL_FUND="N","",IFERROR(BDP($C106,PAYOUT_FIELD,YR_OVERRIDE,TEXT(YEAR_Y-2,"0"))/100,"")))</f>
        <v/>
      </c>
      <c r="AI106" s="78">
        <f>IF($C106="","",IF(PULL_FUND="N","",IFERROR(BDP($C106,PAYOUT_FIELD,YR_OVERRIDE,TEXT(YEAR_Y-1,"0"))/100,"")))</f>
        <v/>
      </c>
      <c r="AJ106" s="79">
        <f>IF($C106="","",IFERROR(AVERAGE(AE106:AI106),""))</f>
        <v/>
      </c>
      <c r="AK106" s="80">
        <f>IF($C106="","",IF(ISNUMBER($AD106)*ISNUMBER($N106)*($AD106&lt;&gt;0)=0,"",$N106/$AD106))</f>
        <v/>
      </c>
      <c r="AL106" s="79">
        <f>IF($C106="","",IF(ISNUMBER($AD106)*($AD106&lt;&gt;0)=0,"",$M106/$AD106))</f>
        <v/>
      </c>
      <c r="AM106" s="37">
        <f>IF($C106="","",IF(ISNUMBER($AE106)*ISNUMBER($AI106)=0,"",IF($AI106&gt;$AE106+0.05,"rising",IF($AI106&lt;$AE106-0.05,"falling","stable"))))</f>
        <v/>
      </c>
      <c r="AN106" s="81">
        <f>IF($C106="","",IF(PULL_FUND="N","",IF(COUNTIFS('Fund History'!$G$572:$G$576,"&gt;="&amp;DATE(YEAR_Y-4,1,1),'Fund History'!$G$572:$G$576,"&lt;="&amp;DATE(YEAR_Y-4,12,31))=0,"",SUMIFS('Fund History'!$H$572:$H$576,'Fund History'!$G$572:$G$576,"&gt;="&amp;DATE(YEAR_Y-4,1,1),'Fund History'!$G$572:$G$576,"&lt;="&amp;DATE(YEAR_Y-4,12,31))/100)))</f>
        <v/>
      </c>
      <c r="AO106" s="82">
        <f>IF($C106="","",IF(PULL_FUND="N","",IF(COUNTIFS('Fund History'!$G$572:$G$576,"&gt;="&amp;DATE(YEAR_Y-3,1,1),'Fund History'!$G$572:$G$576,"&lt;="&amp;DATE(YEAR_Y-3,12,31))=0,"",SUMIFS('Fund History'!$H$572:$H$576,'Fund History'!$G$572:$G$576,"&gt;="&amp;DATE(YEAR_Y-3,1,1),'Fund History'!$G$572:$G$576,"&lt;="&amp;DATE(YEAR_Y-3,12,31))/100)))</f>
        <v/>
      </c>
      <c r="AP106" s="82">
        <f>IF($C106="","",IF(PULL_FUND="N","",IF(COUNTIFS('Fund History'!$G$572:$G$576,"&gt;="&amp;DATE(YEAR_Y-2,1,1),'Fund History'!$G$572:$G$576,"&lt;="&amp;DATE(YEAR_Y-2,12,31))=0,"",SUMIFS('Fund History'!$H$572:$H$576,'Fund History'!$G$572:$G$576,"&gt;="&amp;DATE(YEAR_Y-2,1,1),'Fund History'!$G$572:$G$576,"&lt;="&amp;DATE(YEAR_Y-2,12,31))/100)))</f>
        <v/>
      </c>
      <c r="AQ106" s="82">
        <f>IF($C106="","",IF(PULL_FUND="N","",IF(COUNTIFS('Fund History'!$G$572:$G$576,"&gt;="&amp;DATE(YEAR_Y-1,1,1),'Fund History'!$G$572:$G$576,"&lt;="&amp;DATE(YEAR_Y-1,12,31))=0,"",SUMIFS('Fund History'!$H$572:$H$576,'Fund History'!$G$572:$G$576,"&gt;="&amp;DATE(YEAR_Y-1,1,1),'Fund History'!$G$572:$G$576,"&lt;="&amp;DATE(YEAR_Y-1,12,31))/100)))</f>
        <v/>
      </c>
      <c r="AR106" s="83">
        <f>IF($C106="","",IF(N($AQ106)+N(HSI!$I$101)=0,"",N($AQ106)+N(HSI!$I$101)/100))</f>
        <v/>
      </c>
      <c r="AS106" s="75">
        <f>IF($C106="","",IF(PULL_FUND="N","",IF(COUNTIFS('Fund History'!$D$572:$D$576,"&gt;="&amp;DATE(YEAR_Y-2,1,1),'Fund History'!$D$572:$D$576,"&lt;="&amp;DATE(YEAR_Y-2,12,31))=0,"",SUMIFS('Fund History'!$E$572:$E$576,'Fund History'!$D$572:$D$576,"&gt;="&amp;DATE(YEAR_Y-2,1,1),'Fund History'!$D$572:$D$576,"&lt;="&amp;DATE(YEAR_Y-2,12,31)))))</f>
        <v/>
      </c>
      <c r="AT106" s="76">
        <f>IF($C106="","",IF(PULL_FUND="N","",IF(COUNTIFS('Fund History'!$D$572:$D$576,"&gt;="&amp;DATE(YEAR_Y-1,1,1),'Fund History'!$D$572:$D$576,"&lt;="&amp;DATE(YEAR_Y-1,12,31))=0,"",SUMIFS('Fund History'!$E$572:$E$576,'Fund History'!$D$572:$D$576,"&gt;="&amp;DATE(YEAR_Y-1,1,1),'Fund History'!$D$572:$D$576,"&lt;="&amp;DATE(YEAR_Y-1,12,31)))))</f>
        <v/>
      </c>
      <c r="AU106" s="76">
        <f>IF($C106="","",IF(PULL_FUND="N","",IFERROR(BDP($C106,NDEBITDA_FIELD),"")))</f>
        <v/>
      </c>
      <c r="AV106" s="84">
        <f>IF($C106="","",IF(PULL_FUND="N","",IFERROR(BDP($C106,EBINT_FIELD),"")))</f>
        <v/>
      </c>
      <c r="AW106" s="82">
        <f>IF($C106="","",IF(PULL_FUND="N","",IFERROR(BDP($C106,FCF_FIELD)/100,"")))</f>
        <v/>
      </c>
      <c r="AX106" s="50">
        <f>IF($C106="","",IF(N($U106)=0,"",IFERROR($AW106/$U106,"")))</f>
        <v/>
      </c>
      <c r="AY106" s="85">
        <f>IF($C106="","",TRIM(IF(ISNUMBER($AJ106)*(N($AJ106)&gt;$D$4)&gt;0,"payout high  ","")&amp;IF(ISNUMBER($AX106)*(N($AX106)&lt;$F$4)&gt;0,"FCF below dvd  ","")&amp;IF(ISNUMBER($AU106)*(N($AU106)&gt;$H$4)&gt;0,"leverage high","")))</f>
        <v/>
      </c>
      <c r="AZ106" s="86">
        <f>IF($C106="","",IF(HSI!$F$101="HKD","",HSI!$F$101))</f>
        <v/>
      </c>
    </row>
    <row r="107">
      <c r="B107" s="66" t="inlineStr">
        <is>
          <t>HSI</t>
        </is>
      </c>
      <c r="C107" s="8">
        <f>IF(HSI!$C$102="","",HSI!$C$102)</f>
        <v/>
      </c>
      <c r="D107" s="8">
        <f>IF($C107="","",HSI!$D$102)</f>
        <v/>
      </c>
      <c r="E107" s="8">
        <f>IF($C107="","",HSI!$E$102)</f>
        <v/>
      </c>
      <c r="F107" s="67">
        <f>IF($C107="","",SUMPRODUCT(('Dvd Calendar'!$E$1056:$AR$1056&gt;=DATE(YEAR_Y-5,1,1))*('Dvd Calendar'!$E$1056:$AR$1056&lt;=DATE(YEAR_Y-5,12,31))*'Dvd Calendar'!$E$1059:$AR$1059*(('Dvd Calendar'!$E$1061:$AR$1061=TYPE1)*(TYPE1&lt;&gt;"")+('Dvd Calendar'!$E$1061:$AR$1061=TYPE2)*(TYPE2&lt;&gt;"")+('Dvd Calendar'!$E$1061:$AR$1061=TYPE3)*(TYPE3&lt;&gt;"")+('Dvd Calendar'!$E$1061:$AR$1061=TYPE4)*(TYPE4&lt;&gt;"")+('Dvd Calendar'!$E$1061:$AR$1061=SPECIAL_LBL)*(INC_SPECIALS="Y"))))</f>
        <v/>
      </c>
      <c r="G107" s="68">
        <f>IF($C107="","",SUMPRODUCT(('Dvd Calendar'!$E$1056:$AR$1056&gt;=DATE(YEAR_Y-4,1,1))*('Dvd Calendar'!$E$1056:$AR$1056&lt;=DATE(YEAR_Y-4,12,31))*'Dvd Calendar'!$E$1059:$AR$1059*(('Dvd Calendar'!$E$1061:$AR$1061=TYPE1)*(TYPE1&lt;&gt;"")+('Dvd Calendar'!$E$1061:$AR$1061=TYPE2)*(TYPE2&lt;&gt;"")+('Dvd Calendar'!$E$1061:$AR$1061=TYPE3)*(TYPE3&lt;&gt;"")+('Dvd Calendar'!$E$1061:$AR$1061=TYPE4)*(TYPE4&lt;&gt;"")+('Dvd Calendar'!$E$1061:$AR$1061=SPECIAL_LBL)*(INC_SPECIALS="Y"))))</f>
        <v/>
      </c>
      <c r="H107" s="68">
        <f>IF($C107="","",SUMPRODUCT(('Dvd Calendar'!$E$1056:$AR$1056&gt;=DATE(YEAR_Y-3,1,1))*('Dvd Calendar'!$E$1056:$AR$1056&lt;=DATE(YEAR_Y-3,12,31))*'Dvd Calendar'!$E$1059:$AR$1059*(('Dvd Calendar'!$E$1061:$AR$1061=TYPE1)*(TYPE1&lt;&gt;"")+('Dvd Calendar'!$E$1061:$AR$1061=TYPE2)*(TYPE2&lt;&gt;"")+('Dvd Calendar'!$E$1061:$AR$1061=TYPE3)*(TYPE3&lt;&gt;"")+('Dvd Calendar'!$E$1061:$AR$1061=TYPE4)*(TYPE4&lt;&gt;"")+('Dvd Calendar'!$E$1061:$AR$1061=SPECIAL_LBL)*(INC_SPECIALS="Y"))))</f>
        <v/>
      </c>
      <c r="I107" s="68">
        <f>IF($C107="","",SUMPRODUCT(('Dvd Calendar'!$E$1056:$AR$1056&gt;=DATE(YEAR_Y-2,1,1))*('Dvd Calendar'!$E$1056:$AR$1056&lt;=DATE(YEAR_Y-2,12,31))*'Dvd Calendar'!$E$1059:$AR$1059*(('Dvd Calendar'!$E$1061:$AR$1061=TYPE1)*(TYPE1&lt;&gt;"")+('Dvd Calendar'!$E$1061:$AR$1061=TYPE2)*(TYPE2&lt;&gt;"")+('Dvd Calendar'!$E$1061:$AR$1061=TYPE3)*(TYPE3&lt;&gt;"")+('Dvd Calendar'!$E$1061:$AR$1061=TYPE4)*(TYPE4&lt;&gt;"")+('Dvd Calendar'!$E$1061:$AR$1061=SPECIAL_LBL)*(INC_SPECIALS="Y"))))</f>
        <v/>
      </c>
      <c r="J107" s="68">
        <f>IF($C107="","",SUMPRODUCT(('Dvd Calendar'!$E$1056:$AR$1056&gt;=DATE(YEAR_Y-1,1,1))*('Dvd Calendar'!$E$1056:$AR$1056&lt;=DATE(YEAR_Y-1,12,31))*'Dvd Calendar'!$E$1059:$AR$1059*(('Dvd Calendar'!$E$1061:$AR$1061=TYPE1)*(TYPE1&lt;&gt;"")+('Dvd Calendar'!$E$1061:$AR$1061=TYPE2)*(TYPE2&lt;&gt;"")+('Dvd Calendar'!$E$1061:$AR$1061=TYPE3)*(TYPE3&lt;&gt;"")+('Dvd Calendar'!$E$1061:$AR$1061=TYPE4)*(TYPE4&lt;&gt;"")+('Dvd Calendar'!$E$1061:$AR$1061=SPECIAL_LBL)*(INC_SPECIALS="Y"))))</f>
        <v/>
      </c>
      <c r="K107" s="69">
        <f>IF($C107="","",HSI!$J$102)</f>
        <v/>
      </c>
      <c r="L107" s="69">
        <f>IF($C107="","",HSI!$K$102)</f>
        <v/>
      </c>
      <c r="M107" s="44">
        <f>IF($C107="","",HSI!$J$102+HSI!$L$102)</f>
        <v/>
      </c>
      <c r="N107" s="70">
        <f>IF($C107="","",IF(PULL_FUND="N","",IFERROR(BDP($C107,BESTDPS_FIELD,FWD_OVERRIDE,TEXT(MOD(YEAR_Y,100),"00")&amp;"Y"),"")))</f>
        <v/>
      </c>
      <c r="O107" s="69">
        <f>IF($C107="","",AVERAGE(F107:J107))</f>
        <v/>
      </c>
      <c r="P107" s="71">
        <f>IF($C107="","",IF(PULL_FUND="N","",IF(COUNTIFS('Fund History'!$J$578:$J$582,"&gt;="&amp;DATE(YEAR_Y-5,1,1),'Fund History'!$J$578:$J$582,"&lt;="&amp;DATE(YEAR_Y-5,12,31))=0,"",IFERROR($F107*HSI!$G$102/SUMIFS('Fund History'!$K$578:$K$582,'Fund History'!$J$578:$J$582,"&gt;="&amp;DATE(YEAR_Y-5,1,1),'Fund History'!$J$578:$J$582,"&lt;="&amp;DATE(YEAR_Y-5,12,31)),""))))</f>
        <v/>
      </c>
      <c r="Q107" s="72">
        <f>IF($C107="","",IF(PULL_FUND="N","",IF(COUNTIFS('Fund History'!$J$578:$J$582,"&gt;="&amp;DATE(YEAR_Y-4,1,1),'Fund History'!$J$578:$J$582,"&lt;="&amp;DATE(YEAR_Y-4,12,31))=0,"",IFERROR($G107*HSI!$G$102/SUMIFS('Fund History'!$K$578:$K$582,'Fund History'!$J$578:$J$582,"&gt;="&amp;DATE(YEAR_Y-4,1,1),'Fund History'!$J$578:$J$582,"&lt;="&amp;DATE(YEAR_Y-4,12,31)),""))))</f>
        <v/>
      </c>
      <c r="R107" s="72">
        <f>IF($C107="","",IF(PULL_FUND="N","",IF(COUNTIFS('Fund History'!$J$578:$J$582,"&gt;="&amp;DATE(YEAR_Y-3,1,1),'Fund History'!$J$578:$J$582,"&lt;="&amp;DATE(YEAR_Y-3,12,31))=0,"",IFERROR($H107*HSI!$G$102/SUMIFS('Fund History'!$K$578:$K$582,'Fund History'!$J$578:$J$582,"&gt;="&amp;DATE(YEAR_Y-3,1,1),'Fund History'!$J$578:$J$582,"&lt;="&amp;DATE(YEAR_Y-3,12,31)),""))))</f>
        <v/>
      </c>
      <c r="S107" s="72">
        <f>IF($C107="","",IF(PULL_FUND="N","",IF(COUNTIFS('Fund History'!$J$578:$J$582,"&gt;="&amp;DATE(YEAR_Y-2,1,1),'Fund History'!$J$578:$J$582,"&lt;="&amp;DATE(YEAR_Y-2,12,31))=0,"",IFERROR($I107*HSI!$G$102/SUMIFS('Fund History'!$K$578:$K$582,'Fund History'!$J$578:$J$582,"&gt;="&amp;DATE(YEAR_Y-2,1,1),'Fund History'!$J$578:$J$582,"&lt;="&amp;DATE(YEAR_Y-2,12,31)),""))))</f>
        <v/>
      </c>
      <c r="T107" s="72">
        <f>IF($C107="","",IF(PULL_FUND="N","",IF(COUNTIFS('Fund History'!$J$578:$J$582,"&gt;="&amp;DATE(YEAR_Y-1,1,1),'Fund History'!$J$578:$J$582,"&lt;="&amp;DATE(YEAR_Y-1,12,31))=0,"",IFERROR($J107*HSI!$G$102/SUMIFS('Fund History'!$K$578:$K$582,'Fund History'!$J$578:$J$582,"&gt;="&amp;DATE(YEAR_Y-1,1,1),'Fund History'!$J$578:$J$582,"&lt;="&amp;DATE(YEAR_Y-1,12,31)),""))))</f>
        <v/>
      </c>
      <c r="U107" s="73">
        <f>IF($C107="","",IF(ISNUMBER(HSI!$I$102),HSI!$I$102/100,""))</f>
        <v/>
      </c>
      <c r="V107" s="74">
        <f>IF($C107="","",IF(ISNUMBER(HSI!$X$102),IFERROR($M107*HSI!$G$102/HSI!$X$102,""),""))</f>
        <v/>
      </c>
      <c r="W107" s="73">
        <f>IF($C107="","",IF(ISNUMBER($N107),IFERROR($N107*HSI!$G$102/HSI!$X$102,""),""))</f>
        <v/>
      </c>
      <c r="X107" s="75">
        <f>IF($C107="","",IF(PULL_FUND="N","",IFERROR(BDP($C107,EPS_FIELD,YR_OVERRIDE,TEXT(YEAR_Y-5,"0")),"")))</f>
        <v/>
      </c>
      <c r="Y107" s="76">
        <f>IF($C107="","",IF(PULL_FUND="N","",IFERROR(BDP($C107,EPS_FIELD,YR_OVERRIDE,TEXT(YEAR_Y-4,"0")),"")))</f>
        <v/>
      </c>
      <c r="Z107" s="76">
        <f>IF($C107="","",IF(PULL_FUND="N","",IFERROR(BDP($C107,EPS_FIELD,YR_OVERRIDE,TEXT(YEAR_Y-3,"0")),"")))</f>
        <v/>
      </c>
      <c r="AA107" s="76">
        <f>IF($C107="","",IF(PULL_FUND="N","",IFERROR(BDP($C107,EPS_FIELD,YR_OVERRIDE,TEXT(YEAR_Y-2,"0")),"")))</f>
        <v/>
      </c>
      <c r="AB107" s="76">
        <f>IF($C107="","",IF(PULL_FUND="N","",IFERROR(BDP($C107,EPS_FIELD,YR_OVERRIDE,TEXT(YEAR_Y-1,"0")),"")))</f>
        <v/>
      </c>
      <c r="AC107" s="50">
        <f>IF($C107="","",IFERROR(AVERAGE(X107:AB107),""))</f>
        <v/>
      </c>
      <c r="AD107" s="76">
        <f>IF($C107="","",IF(PULL_FUND="N","",IFERROR(BDP($C107,BESTEPS_FIELD,FWD_OVERRIDE,TEXT(MOD(YEAR_Y,100),"00")&amp;"Y"),"")))</f>
        <v/>
      </c>
      <c r="AE107" s="77">
        <f>IF($C107="","",IF(PULL_FUND="N","",IFERROR(BDP($C107,PAYOUT_FIELD,YR_OVERRIDE,TEXT(YEAR_Y-5,"0"))/100,"")))</f>
        <v/>
      </c>
      <c r="AF107" s="78">
        <f>IF($C107="","",IF(PULL_FUND="N","",IFERROR(BDP($C107,PAYOUT_FIELD,YR_OVERRIDE,TEXT(YEAR_Y-4,"0"))/100,"")))</f>
        <v/>
      </c>
      <c r="AG107" s="78">
        <f>IF($C107="","",IF(PULL_FUND="N","",IFERROR(BDP($C107,PAYOUT_FIELD,YR_OVERRIDE,TEXT(YEAR_Y-3,"0"))/100,"")))</f>
        <v/>
      </c>
      <c r="AH107" s="78">
        <f>IF($C107="","",IF(PULL_FUND="N","",IFERROR(BDP($C107,PAYOUT_FIELD,YR_OVERRIDE,TEXT(YEAR_Y-2,"0"))/100,"")))</f>
        <v/>
      </c>
      <c r="AI107" s="78">
        <f>IF($C107="","",IF(PULL_FUND="N","",IFERROR(BDP($C107,PAYOUT_FIELD,YR_OVERRIDE,TEXT(YEAR_Y-1,"0"))/100,"")))</f>
        <v/>
      </c>
      <c r="AJ107" s="79">
        <f>IF($C107="","",IFERROR(AVERAGE(AE107:AI107),""))</f>
        <v/>
      </c>
      <c r="AK107" s="80">
        <f>IF($C107="","",IF(ISNUMBER($AD107)*ISNUMBER($N107)*($AD107&lt;&gt;0)=0,"",$N107/$AD107))</f>
        <v/>
      </c>
      <c r="AL107" s="79">
        <f>IF($C107="","",IF(ISNUMBER($AD107)*($AD107&lt;&gt;0)=0,"",$M107/$AD107))</f>
        <v/>
      </c>
      <c r="AM107" s="37">
        <f>IF($C107="","",IF(ISNUMBER($AE107)*ISNUMBER($AI107)=0,"",IF($AI107&gt;$AE107+0.05,"rising",IF($AI107&lt;$AE107-0.05,"falling","stable"))))</f>
        <v/>
      </c>
      <c r="AN107" s="81">
        <f>IF($C107="","",IF(PULL_FUND="N","",IF(COUNTIFS('Fund History'!$G$578:$G$582,"&gt;="&amp;DATE(YEAR_Y-4,1,1),'Fund History'!$G$578:$G$582,"&lt;="&amp;DATE(YEAR_Y-4,12,31))=0,"",SUMIFS('Fund History'!$H$578:$H$582,'Fund History'!$G$578:$G$582,"&gt;="&amp;DATE(YEAR_Y-4,1,1),'Fund History'!$G$578:$G$582,"&lt;="&amp;DATE(YEAR_Y-4,12,31))/100)))</f>
        <v/>
      </c>
      <c r="AO107" s="82">
        <f>IF($C107="","",IF(PULL_FUND="N","",IF(COUNTIFS('Fund History'!$G$578:$G$582,"&gt;="&amp;DATE(YEAR_Y-3,1,1),'Fund History'!$G$578:$G$582,"&lt;="&amp;DATE(YEAR_Y-3,12,31))=0,"",SUMIFS('Fund History'!$H$578:$H$582,'Fund History'!$G$578:$G$582,"&gt;="&amp;DATE(YEAR_Y-3,1,1),'Fund History'!$G$578:$G$582,"&lt;="&amp;DATE(YEAR_Y-3,12,31))/100)))</f>
        <v/>
      </c>
      <c r="AP107" s="82">
        <f>IF($C107="","",IF(PULL_FUND="N","",IF(COUNTIFS('Fund History'!$G$578:$G$582,"&gt;="&amp;DATE(YEAR_Y-2,1,1),'Fund History'!$G$578:$G$582,"&lt;="&amp;DATE(YEAR_Y-2,12,31))=0,"",SUMIFS('Fund History'!$H$578:$H$582,'Fund History'!$G$578:$G$582,"&gt;="&amp;DATE(YEAR_Y-2,1,1),'Fund History'!$G$578:$G$582,"&lt;="&amp;DATE(YEAR_Y-2,12,31))/100)))</f>
        <v/>
      </c>
      <c r="AQ107" s="82">
        <f>IF($C107="","",IF(PULL_FUND="N","",IF(COUNTIFS('Fund History'!$G$578:$G$582,"&gt;="&amp;DATE(YEAR_Y-1,1,1),'Fund History'!$G$578:$G$582,"&lt;="&amp;DATE(YEAR_Y-1,12,31))=0,"",SUMIFS('Fund History'!$H$578:$H$582,'Fund History'!$G$578:$G$582,"&gt;="&amp;DATE(YEAR_Y-1,1,1),'Fund History'!$G$578:$G$582,"&lt;="&amp;DATE(YEAR_Y-1,12,31))/100)))</f>
        <v/>
      </c>
      <c r="AR107" s="83">
        <f>IF($C107="","",IF(N($AQ107)+N(HSI!$I$102)=0,"",N($AQ107)+N(HSI!$I$102)/100))</f>
        <v/>
      </c>
      <c r="AS107" s="75">
        <f>IF($C107="","",IF(PULL_FUND="N","",IF(COUNTIFS('Fund History'!$D$578:$D$582,"&gt;="&amp;DATE(YEAR_Y-2,1,1),'Fund History'!$D$578:$D$582,"&lt;="&amp;DATE(YEAR_Y-2,12,31))=0,"",SUMIFS('Fund History'!$E$578:$E$582,'Fund History'!$D$578:$D$582,"&gt;="&amp;DATE(YEAR_Y-2,1,1),'Fund History'!$D$578:$D$582,"&lt;="&amp;DATE(YEAR_Y-2,12,31)))))</f>
        <v/>
      </c>
      <c r="AT107" s="76">
        <f>IF($C107="","",IF(PULL_FUND="N","",IF(COUNTIFS('Fund History'!$D$578:$D$582,"&gt;="&amp;DATE(YEAR_Y-1,1,1),'Fund History'!$D$578:$D$582,"&lt;="&amp;DATE(YEAR_Y-1,12,31))=0,"",SUMIFS('Fund History'!$E$578:$E$582,'Fund History'!$D$578:$D$582,"&gt;="&amp;DATE(YEAR_Y-1,1,1),'Fund History'!$D$578:$D$582,"&lt;="&amp;DATE(YEAR_Y-1,12,31)))))</f>
        <v/>
      </c>
      <c r="AU107" s="76">
        <f>IF($C107="","",IF(PULL_FUND="N","",IFERROR(BDP($C107,NDEBITDA_FIELD),"")))</f>
        <v/>
      </c>
      <c r="AV107" s="84">
        <f>IF($C107="","",IF(PULL_FUND="N","",IFERROR(BDP($C107,EBINT_FIELD),"")))</f>
        <v/>
      </c>
      <c r="AW107" s="82">
        <f>IF($C107="","",IF(PULL_FUND="N","",IFERROR(BDP($C107,FCF_FIELD)/100,"")))</f>
        <v/>
      </c>
      <c r="AX107" s="50">
        <f>IF($C107="","",IF(N($U107)=0,"",IFERROR($AW107/$U107,"")))</f>
        <v/>
      </c>
      <c r="AY107" s="85">
        <f>IF($C107="","",TRIM(IF(ISNUMBER($AJ107)*(N($AJ107)&gt;$D$4)&gt;0,"payout high  ","")&amp;IF(ISNUMBER($AX107)*(N($AX107)&lt;$F$4)&gt;0,"FCF below dvd  ","")&amp;IF(ISNUMBER($AU107)*(N($AU107)&gt;$H$4)&gt;0,"leverage high","")))</f>
        <v/>
      </c>
      <c r="AZ107" s="86">
        <f>IF($C107="","",IF(HSI!$F$102="HKD","",HSI!$F$102))</f>
        <v/>
      </c>
    </row>
    <row r="108">
      <c r="B108" s="66" t="inlineStr">
        <is>
          <t>HSI</t>
        </is>
      </c>
      <c r="C108" s="8">
        <f>IF(HSI!$C$103="","",HSI!$C$103)</f>
        <v/>
      </c>
      <c r="D108" s="8">
        <f>IF($C108="","",HSI!$D$103)</f>
        <v/>
      </c>
      <c r="E108" s="8">
        <f>IF($C108="","",HSI!$E$103)</f>
        <v/>
      </c>
      <c r="F108" s="67">
        <f>IF($C108="","",SUMPRODUCT(('Dvd Calendar'!$E$1067:$AR$1067&gt;=DATE(YEAR_Y-5,1,1))*('Dvd Calendar'!$E$1067:$AR$1067&lt;=DATE(YEAR_Y-5,12,31))*'Dvd Calendar'!$E$1070:$AR$1070*(('Dvd Calendar'!$E$1072:$AR$1072=TYPE1)*(TYPE1&lt;&gt;"")+('Dvd Calendar'!$E$1072:$AR$1072=TYPE2)*(TYPE2&lt;&gt;"")+('Dvd Calendar'!$E$1072:$AR$1072=TYPE3)*(TYPE3&lt;&gt;"")+('Dvd Calendar'!$E$1072:$AR$1072=TYPE4)*(TYPE4&lt;&gt;"")+('Dvd Calendar'!$E$1072:$AR$1072=SPECIAL_LBL)*(INC_SPECIALS="Y"))))</f>
        <v/>
      </c>
      <c r="G108" s="68">
        <f>IF($C108="","",SUMPRODUCT(('Dvd Calendar'!$E$1067:$AR$1067&gt;=DATE(YEAR_Y-4,1,1))*('Dvd Calendar'!$E$1067:$AR$1067&lt;=DATE(YEAR_Y-4,12,31))*'Dvd Calendar'!$E$1070:$AR$1070*(('Dvd Calendar'!$E$1072:$AR$1072=TYPE1)*(TYPE1&lt;&gt;"")+('Dvd Calendar'!$E$1072:$AR$1072=TYPE2)*(TYPE2&lt;&gt;"")+('Dvd Calendar'!$E$1072:$AR$1072=TYPE3)*(TYPE3&lt;&gt;"")+('Dvd Calendar'!$E$1072:$AR$1072=TYPE4)*(TYPE4&lt;&gt;"")+('Dvd Calendar'!$E$1072:$AR$1072=SPECIAL_LBL)*(INC_SPECIALS="Y"))))</f>
        <v/>
      </c>
      <c r="H108" s="68">
        <f>IF($C108="","",SUMPRODUCT(('Dvd Calendar'!$E$1067:$AR$1067&gt;=DATE(YEAR_Y-3,1,1))*('Dvd Calendar'!$E$1067:$AR$1067&lt;=DATE(YEAR_Y-3,12,31))*'Dvd Calendar'!$E$1070:$AR$1070*(('Dvd Calendar'!$E$1072:$AR$1072=TYPE1)*(TYPE1&lt;&gt;"")+('Dvd Calendar'!$E$1072:$AR$1072=TYPE2)*(TYPE2&lt;&gt;"")+('Dvd Calendar'!$E$1072:$AR$1072=TYPE3)*(TYPE3&lt;&gt;"")+('Dvd Calendar'!$E$1072:$AR$1072=TYPE4)*(TYPE4&lt;&gt;"")+('Dvd Calendar'!$E$1072:$AR$1072=SPECIAL_LBL)*(INC_SPECIALS="Y"))))</f>
        <v/>
      </c>
      <c r="I108" s="68">
        <f>IF($C108="","",SUMPRODUCT(('Dvd Calendar'!$E$1067:$AR$1067&gt;=DATE(YEAR_Y-2,1,1))*('Dvd Calendar'!$E$1067:$AR$1067&lt;=DATE(YEAR_Y-2,12,31))*'Dvd Calendar'!$E$1070:$AR$1070*(('Dvd Calendar'!$E$1072:$AR$1072=TYPE1)*(TYPE1&lt;&gt;"")+('Dvd Calendar'!$E$1072:$AR$1072=TYPE2)*(TYPE2&lt;&gt;"")+('Dvd Calendar'!$E$1072:$AR$1072=TYPE3)*(TYPE3&lt;&gt;"")+('Dvd Calendar'!$E$1072:$AR$1072=TYPE4)*(TYPE4&lt;&gt;"")+('Dvd Calendar'!$E$1072:$AR$1072=SPECIAL_LBL)*(INC_SPECIALS="Y"))))</f>
        <v/>
      </c>
      <c r="J108" s="68">
        <f>IF($C108="","",SUMPRODUCT(('Dvd Calendar'!$E$1067:$AR$1067&gt;=DATE(YEAR_Y-1,1,1))*('Dvd Calendar'!$E$1067:$AR$1067&lt;=DATE(YEAR_Y-1,12,31))*'Dvd Calendar'!$E$1070:$AR$1070*(('Dvd Calendar'!$E$1072:$AR$1072=TYPE1)*(TYPE1&lt;&gt;"")+('Dvd Calendar'!$E$1072:$AR$1072=TYPE2)*(TYPE2&lt;&gt;"")+('Dvd Calendar'!$E$1072:$AR$1072=TYPE3)*(TYPE3&lt;&gt;"")+('Dvd Calendar'!$E$1072:$AR$1072=TYPE4)*(TYPE4&lt;&gt;"")+('Dvd Calendar'!$E$1072:$AR$1072=SPECIAL_LBL)*(INC_SPECIALS="Y"))))</f>
        <v/>
      </c>
      <c r="K108" s="69">
        <f>IF($C108="","",HSI!$J$103)</f>
        <v/>
      </c>
      <c r="L108" s="69">
        <f>IF($C108="","",HSI!$K$103)</f>
        <v/>
      </c>
      <c r="M108" s="44">
        <f>IF($C108="","",HSI!$J$103+HSI!$L$103)</f>
        <v/>
      </c>
      <c r="N108" s="70">
        <f>IF($C108="","",IF(PULL_FUND="N","",IFERROR(BDP($C108,BESTDPS_FIELD,FWD_OVERRIDE,TEXT(MOD(YEAR_Y,100),"00")&amp;"Y"),"")))</f>
        <v/>
      </c>
      <c r="O108" s="69">
        <f>IF($C108="","",AVERAGE(F108:J108))</f>
        <v/>
      </c>
      <c r="P108" s="71">
        <f>IF($C108="","",IF(PULL_FUND="N","",IF(COUNTIFS('Fund History'!$J$584:$J$588,"&gt;="&amp;DATE(YEAR_Y-5,1,1),'Fund History'!$J$584:$J$588,"&lt;="&amp;DATE(YEAR_Y-5,12,31))=0,"",IFERROR($F108*HSI!$G$103/SUMIFS('Fund History'!$K$584:$K$588,'Fund History'!$J$584:$J$588,"&gt;="&amp;DATE(YEAR_Y-5,1,1),'Fund History'!$J$584:$J$588,"&lt;="&amp;DATE(YEAR_Y-5,12,31)),""))))</f>
        <v/>
      </c>
      <c r="Q108" s="72">
        <f>IF($C108="","",IF(PULL_FUND="N","",IF(COUNTIFS('Fund History'!$J$584:$J$588,"&gt;="&amp;DATE(YEAR_Y-4,1,1),'Fund History'!$J$584:$J$588,"&lt;="&amp;DATE(YEAR_Y-4,12,31))=0,"",IFERROR($G108*HSI!$G$103/SUMIFS('Fund History'!$K$584:$K$588,'Fund History'!$J$584:$J$588,"&gt;="&amp;DATE(YEAR_Y-4,1,1),'Fund History'!$J$584:$J$588,"&lt;="&amp;DATE(YEAR_Y-4,12,31)),""))))</f>
        <v/>
      </c>
      <c r="R108" s="72">
        <f>IF($C108="","",IF(PULL_FUND="N","",IF(COUNTIFS('Fund History'!$J$584:$J$588,"&gt;="&amp;DATE(YEAR_Y-3,1,1),'Fund History'!$J$584:$J$588,"&lt;="&amp;DATE(YEAR_Y-3,12,31))=0,"",IFERROR($H108*HSI!$G$103/SUMIFS('Fund History'!$K$584:$K$588,'Fund History'!$J$584:$J$588,"&gt;="&amp;DATE(YEAR_Y-3,1,1),'Fund History'!$J$584:$J$588,"&lt;="&amp;DATE(YEAR_Y-3,12,31)),""))))</f>
        <v/>
      </c>
      <c r="S108" s="72">
        <f>IF($C108="","",IF(PULL_FUND="N","",IF(COUNTIFS('Fund History'!$J$584:$J$588,"&gt;="&amp;DATE(YEAR_Y-2,1,1),'Fund History'!$J$584:$J$588,"&lt;="&amp;DATE(YEAR_Y-2,12,31))=0,"",IFERROR($I108*HSI!$G$103/SUMIFS('Fund History'!$K$584:$K$588,'Fund History'!$J$584:$J$588,"&gt;="&amp;DATE(YEAR_Y-2,1,1),'Fund History'!$J$584:$J$588,"&lt;="&amp;DATE(YEAR_Y-2,12,31)),""))))</f>
        <v/>
      </c>
      <c r="T108" s="72">
        <f>IF($C108="","",IF(PULL_FUND="N","",IF(COUNTIFS('Fund History'!$J$584:$J$588,"&gt;="&amp;DATE(YEAR_Y-1,1,1),'Fund History'!$J$584:$J$588,"&lt;="&amp;DATE(YEAR_Y-1,12,31))=0,"",IFERROR($J108*HSI!$G$103/SUMIFS('Fund History'!$K$584:$K$588,'Fund History'!$J$584:$J$588,"&gt;="&amp;DATE(YEAR_Y-1,1,1),'Fund History'!$J$584:$J$588,"&lt;="&amp;DATE(YEAR_Y-1,12,31)),""))))</f>
        <v/>
      </c>
      <c r="U108" s="73">
        <f>IF($C108="","",IF(ISNUMBER(HSI!$I$103),HSI!$I$103/100,""))</f>
        <v/>
      </c>
      <c r="V108" s="74">
        <f>IF($C108="","",IF(ISNUMBER(HSI!$X$103),IFERROR($M108*HSI!$G$103/HSI!$X$103,""),""))</f>
        <v/>
      </c>
      <c r="W108" s="73">
        <f>IF($C108="","",IF(ISNUMBER($N108),IFERROR($N108*HSI!$G$103/HSI!$X$103,""),""))</f>
        <v/>
      </c>
      <c r="X108" s="75">
        <f>IF($C108="","",IF(PULL_FUND="N","",IFERROR(BDP($C108,EPS_FIELD,YR_OVERRIDE,TEXT(YEAR_Y-5,"0")),"")))</f>
        <v/>
      </c>
      <c r="Y108" s="76">
        <f>IF($C108="","",IF(PULL_FUND="N","",IFERROR(BDP($C108,EPS_FIELD,YR_OVERRIDE,TEXT(YEAR_Y-4,"0")),"")))</f>
        <v/>
      </c>
      <c r="Z108" s="76">
        <f>IF($C108="","",IF(PULL_FUND="N","",IFERROR(BDP($C108,EPS_FIELD,YR_OVERRIDE,TEXT(YEAR_Y-3,"0")),"")))</f>
        <v/>
      </c>
      <c r="AA108" s="76">
        <f>IF($C108="","",IF(PULL_FUND="N","",IFERROR(BDP($C108,EPS_FIELD,YR_OVERRIDE,TEXT(YEAR_Y-2,"0")),"")))</f>
        <v/>
      </c>
      <c r="AB108" s="76">
        <f>IF($C108="","",IF(PULL_FUND="N","",IFERROR(BDP($C108,EPS_FIELD,YR_OVERRIDE,TEXT(YEAR_Y-1,"0")),"")))</f>
        <v/>
      </c>
      <c r="AC108" s="50">
        <f>IF($C108="","",IFERROR(AVERAGE(X108:AB108),""))</f>
        <v/>
      </c>
      <c r="AD108" s="76">
        <f>IF($C108="","",IF(PULL_FUND="N","",IFERROR(BDP($C108,BESTEPS_FIELD,FWD_OVERRIDE,TEXT(MOD(YEAR_Y,100),"00")&amp;"Y"),"")))</f>
        <v/>
      </c>
      <c r="AE108" s="77">
        <f>IF($C108="","",IF(PULL_FUND="N","",IFERROR(BDP($C108,PAYOUT_FIELD,YR_OVERRIDE,TEXT(YEAR_Y-5,"0"))/100,"")))</f>
        <v/>
      </c>
      <c r="AF108" s="78">
        <f>IF($C108="","",IF(PULL_FUND="N","",IFERROR(BDP($C108,PAYOUT_FIELD,YR_OVERRIDE,TEXT(YEAR_Y-4,"0"))/100,"")))</f>
        <v/>
      </c>
      <c r="AG108" s="78">
        <f>IF($C108="","",IF(PULL_FUND="N","",IFERROR(BDP($C108,PAYOUT_FIELD,YR_OVERRIDE,TEXT(YEAR_Y-3,"0"))/100,"")))</f>
        <v/>
      </c>
      <c r="AH108" s="78">
        <f>IF($C108="","",IF(PULL_FUND="N","",IFERROR(BDP($C108,PAYOUT_FIELD,YR_OVERRIDE,TEXT(YEAR_Y-2,"0"))/100,"")))</f>
        <v/>
      </c>
      <c r="AI108" s="78">
        <f>IF($C108="","",IF(PULL_FUND="N","",IFERROR(BDP($C108,PAYOUT_FIELD,YR_OVERRIDE,TEXT(YEAR_Y-1,"0"))/100,"")))</f>
        <v/>
      </c>
      <c r="AJ108" s="79">
        <f>IF($C108="","",IFERROR(AVERAGE(AE108:AI108),""))</f>
        <v/>
      </c>
      <c r="AK108" s="80">
        <f>IF($C108="","",IF(ISNUMBER($AD108)*ISNUMBER($N108)*($AD108&lt;&gt;0)=0,"",$N108/$AD108))</f>
        <v/>
      </c>
      <c r="AL108" s="79">
        <f>IF($C108="","",IF(ISNUMBER($AD108)*($AD108&lt;&gt;0)=0,"",$M108/$AD108))</f>
        <v/>
      </c>
      <c r="AM108" s="37">
        <f>IF($C108="","",IF(ISNUMBER($AE108)*ISNUMBER($AI108)=0,"",IF($AI108&gt;$AE108+0.05,"rising",IF($AI108&lt;$AE108-0.05,"falling","stable"))))</f>
        <v/>
      </c>
      <c r="AN108" s="81">
        <f>IF($C108="","",IF(PULL_FUND="N","",IF(COUNTIFS('Fund History'!$G$584:$G$588,"&gt;="&amp;DATE(YEAR_Y-4,1,1),'Fund History'!$G$584:$G$588,"&lt;="&amp;DATE(YEAR_Y-4,12,31))=0,"",SUMIFS('Fund History'!$H$584:$H$588,'Fund History'!$G$584:$G$588,"&gt;="&amp;DATE(YEAR_Y-4,1,1),'Fund History'!$G$584:$G$588,"&lt;="&amp;DATE(YEAR_Y-4,12,31))/100)))</f>
        <v/>
      </c>
      <c r="AO108" s="82">
        <f>IF($C108="","",IF(PULL_FUND="N","",IF(COUNTIFS('Fund History'!$G$584:$G$588,"&gt;="&amp;DATE(YEAR_Y-3,1,1),'Fund History'!$G$584:$G$588,"&lt;="&amp;DATE(YEAR_Y-3,12,31))=0,"",SUMIFS('Fund History'!$H$584:$H$588,'Fund History'!$G$584:$G$588,"&gt;="&amp;DATE(YEAR_Y-3,1,1),'Fund History'!$G$584:$G$588,"&lt;="&amp;DATE(YEAR_Y-3,12,31))/100)))</f>
        <v/>
      </c>
      <c r="AP108" s="82">
        <f>IF($C108="","",IF(PULL_FUND="N","",IF(COUNTIFS('Fund History'!$G$584:$G$588,"&gt;="&amp;DATE(YEAR_Y-2,1,1),'Fund History'!$G$584:$G$588,"&lt;="&amp;DATE(YEAR_Y-2,12,31))=0,"",SUMIFS('Fund History'!$H$584:$H$588,'Fund History'!$G$584:$G$588,"&gt;="&amp;DATE(YEAR_Y-2,1,1),'Fund History'!$G$584:$G$588,"&lt;="&amp;DATE(YEAR_Y-2,12,31))/100)))</f>
        <v/>
      </c>
      <c r="AQ108" s="82">
        <f>IF($C108="","",IF(PULL_FUND="N","",IF(COUNTIFS('Fund History'!$G$584:$G$588,"&gt;="&amp;DATE(YEAR_Y-1,1,1),'Fund History'!$G$584:$G$588,"&lt;="&amp;DATE(YEAR_Y-1,12,31))=0,"",SUMIFS('Fund History'!$H$584:$H$588,'Fund History'!$G$584:$G$588,"&gt;="&amp;DATE(YEAR_Y-1,1,1),'Fund History'!$G$584:$G$588,"&lt;="&amp;DATE(YEAR_Y-1,12,31))/100)))</f>
        <v/>
      </c>
      <c r="AR108" s="83">
        <f>IF($C108="","",IF(N($AQ108)+N(HSI!$I$103)=0,"",N($AQ108)+N(HSI!$I$103)/100))</f>
        <v/>
      </c>
      <c r="AS108" s="75">
        <f>IF($C108="","",IF(PULL_FUND="N","",IF(COUNTIFS('Fund History'!$D$584:$D$588,"&gt;="&amp;DATE(YEAR_Y-2,1,1),'Fund History'!$D$584:$D$588,"&lt;="&amp;DATE(YEAR_Y-2,12,31))=0,"",SUMIFS('Fund History'!$E$584:$E$588,'Fund History'!$D$584:$D$588,"&gt;="&amp;DATE(YEAR_Y-2,1,1),'Fund History'!$D$584:$D$588,"&lt;="&amp;DATE(YEAR_Y-2,12,31)))))</f>
        <v/>
      </c>
      <c r="AT108" s="76">
        <f>IF($C108="","",IF(PULL_FUND="N","",IF(COUNTIFS('Fund History'!$D$584:$D$588,"&gt;="&amp;DATE(YEAR_Y-1,1,1),'Fund History'!$D$584:$D$588,"&lt;="&amp;DATE(YEAR_Y-1,12,31))=0,"",SUMIFS('Fund History'!$E$584:$E$588,'Fund History'!$D$584:$D$588,"&gt;="&amp;DATE(YEAR_Y-1,1,1),'Fund History'!$D$584:$D$588,"&lt;="&amp;DATE(YEAR_Y-1,12,31)))))</f>
        <v/>
      </c>
      <c r="AU108" s="76">
        <f>IF($C108="","",IF(PULL_FUND="N","",IFERROR(BDP($C108,NDEBITDA_FIELD),"")))</f>
        <v/>
      </c>
      <c r="AV108" s="84">
        <f>IF($C108="","",IF(PULL_FUND="N","",IFERROR(BDP($C108,EBINT_FIELD),"")))</f>
        <v/>
      </c>
      <c r="AW108" s="82">
        <f>IF($C108="","",IF(PULL_FUND="N","",IFERROR(BDP($C108,FCF_FIELD)/100,"")))</f>
        <v/>
      </c>
      <c r="AX108" s="50">
        <f>IF($C108="","",IF(N($U108)=0,"",IFERROR($AW108/$U108,"")))</f>
        <v/>
      </c>
      <c r="AY108" s="85">
        <f>IF($C108="","",TRIM(IF(ISNUMBER($AJ108)*(N($AJ108)&gt;$D$4)&gt;0,"payout high  ","")&amp;IF(ISNUMBER($AX108)*(N($AX108)&lt;$F$4)&gt;0,"FCF below dvd  ","")&amp;IF(ISNUMBER($AU108)*(N($AU108)&gt;$H$4)&gt;0,"leverage high","")))</f>
        <v/>
      </c>
      <c r="AZ108" s="86">
        <f>IF($C108="","",IF(HSI!$F$103="HKD","",HSI!$F$103))</f>
        <v/>
      </c>
    </row>
    <row r="109">
      <c r="B109" s="66" t="inlineStr">
        <is>
          <t>HSI</t>
        </is>
      </c>
      <c r="C109" s="8">
        <f>IF(HSI!$C$104="","",HSI!$C$104)</f>
        <v/>
      </c>
      <c r="D109" s="8">
        <f>IF($C109="","",HSI!$D$104)</f>
        <v/>
      </c>
      <c r="E109" s="8">
        <f>IF($C109="","",HSI!$E$104)</f>
        <v/>
      </c>
      <c r="F109" s="67">
        <f>IF($C109="","",SUMPRODUCT(('Dvd Calendar'!$E$1078:$AR$1078&gt;=DATE(YEAR_Y-5,1,1))*('Dvd Calendar'!$E$1078:$AR$1078&lt;=DATE(YEAR_Y-5,12,31))*'Dvd Calendar'!$E$1081:$AR$1081*(('Dvd Calendar'!$E$1083:$AR$1083=TYPE1)*(TYPE1&lt;&gt;"")+('Dvd Calendar'!$E$1083:$AR$1083=TYPE2)*(TYPE2&lt;&gt;"")+('Dvd Calendar'!$E$1083:$AR$1083=TYPE3)*(TYPE3&lt;&gt;"")+('Dvd Calendar'!$E$1083:$AR$1083=TYPE4)*(TYPE4&lt;&gt;"")+('Dvd Calendar'!$E$1083:$AR$1083=SPECIAL_LBL)*(INC_SPECIALS="Y"))))</f>
        <v/>
      </c>
      <c r="G109" s="68">
        <f>IF($C109="","",SUMPRODUCT(('Dvd Calendar'!$E$1078:$AR$1078&gt;=DATE(YEAR_Y-4,1,1))*('Dvd Calendar'!$E$1078:$AR$1078&lt;=DATE(YEAR_Y-4,12,31))*'Dvd Calendar'!$E$1081:$AR$1081*(('Dvd Calendar'!$E$1083:$AR$1083=TYPE1)*(TYPE1&lt;&gt;"")+('Dvd Calendar'!$E$1083:$AR$1083=TYPE2)*(TYPE2&lt;&gt;"")+('Dvd Calendar'!$E$1083:$AR$1083=TYPE3)*(TYPE3&lt;&gt;"")+('Dvd Calendar'!$E$1083:$AR$1083=TYPE4)*(TYPE4&lt;&gt;"")+('Dvd Calendar'!$E$1083:$AR$1083=SPECIAL_LBL)*(INC_SPECIALS="Y"))))</f>
        <v/>
      </c>
      <c r="H109" s="68">
        <f>IF($C109="","",SUMPRODUCT(('Dvd Calendar'!$E$1078:$AR$1078&gt;=DATE(YEAR_Y-3,1,1))*('Dvd Calendar'!$E$1078:$AR$1078&lt;=DATE(YEAR_Y-3,12,31))*'Dvd Calendar'!$E$1081:$AR$1081*(('Dvd Calendar'!$E$1083:$AR$1083=TYPE1)*(TYPE1&lt;&gt;"")+('Dvd Calendar'!$E$1083:$AR$1083=TYPE2)*(TYPE2&lt;&gt;"")+('Dvd Calendar'!$E$1083:$AR$1083=TYPE3)*(TYPE3&lt;&gt;"")+('Dvd Calendar'!$E$1083:$AR$1083=TYPE4)*(TYPE4&lt;&gt;"")+('Dvd Calendar'!$E$1083:$AR$1083=SPECIAL_LBL)*(INC_SPECIALS="Y"))))</f>
        <v/>
      </c>
      <c r="I109" s="68">
        <f>IF($C109="","",SUMPRODUCT(('Dvd Calendar'!$E$1078:$AR$1078&gt;=DATE(YEAR_Y-2,1,1))*('Dvd Calendar'!$E$1078:$AR$1078&lt;=DATE(YEAR_Y-2,12,31))*'Dvd Calendar'!$E$1081:$AR$1081*(('Dvd Calendar'!$E$1083:$AR$1083=TYPE1)*(TYPE1&lt;&gt;"")+('Dvd Calendar'!$E$1083:$AR$1083=TYPE2)*(TYPE2&lt;&gt;"")+('Dvd Calendar'!$E$1083:$AR$1083=TYPE3)*(TYPE3&lt;&gt;"")+('Dvd Calendar'!$E$1083:$AR$1083=TYPE4)*(TYPE4&lt;&gt;"")+('Dvd Calendar'!$E$1083:$AR$1083=SPECIAL_LBL)*(INC_SPECIALS="Y"))))</f>
        <v/>
      </c>
      <c r="J109" s="68">
        <f>IF($C109="","",SUMPRODUCT(('Dvd Calendar'!$E$1078:$AR$1078&gt;=DATE(YEAR_Y-1,1,1))*('Dvd Calendar'!$E$1078:$AR$1078&lt;=DATE(YEAR_Y-1,12,31))*'Dvd Calendar'!$E$1081:$AR$1081*(('Dvd Calendar'!$E$1083:$AR$1083=TYPE1)*(TYPE1&lt;&gt;"")+('Dvd Calendar'!$E$1083:$AR$1083=TYPE2)*(TYPE2&lt;&gt;"")+('Dvd Calendar'!$E$1083:$AR$1083=TYPE3)*(TYPE3&lt;&gt;"")+('Dvd Calendar'!$E$1083:$AR$1083=TYPE4)*(TYPE4&lt;&gt;"")+('Dvd Calendar'!$E$1083:$AR$1083=SPECIAL_LBL)*(INC_SPECIALS="Y"))))</f>
        <v/>
      </c>
      <c r="K109" s="69">
        <f>IF($C109="","",HSI!$J$104)</f>
        <v/>
      </c>
      <c r="L109" s="69">
        <f>IF($C109="","",HSI!$K$104)</f>
        <v/>
      </c>
      <c r="M109" s="44">
        <f>IF($C109="","",HSI!$J$104+HSI!$L$104)</f>
        <v/>
      </c>
      <c r="N109" s="70">
        <f>IF($C109="","",IF(PULL_FUND="N","",IFERROR(BDP($C109,BESTDPS_FIELD,FWD_OVERRIDE,TEXT(MOD(YEAR_Y,100),"00")&amp;"Y"),"")))</f>
        <v/>
      </c>
      <c r="O109" s="69">
        <f>IF($C109="","",AVERAGE(F109:J109))</f>
        <v/>
      </c>
      <c r="P109" s="71">
        <f>IF($C109="","",IF(PULL_FUND="N","",IF(COUNTIFS('Fund History'!$J$590:$J$594,"&gt;="&amp;DATE(YEAR_Y-5,1,1),'Fund History'!$J$590:$J$594,"&lt;="&amp;DATE(YEAR_Y-5,12,31))=0,"",IFERROR($F109*HSI!$G$104/SUMIFS('Fund History'!$K$590:$K$594,'Fund History'!$J$590:$J$594,"&gt;="&amp;DATE(YEAR_Y-5,1,1),'Fund History'!$J$590:$J$594,"&lt;="&amp;DATE(YEAR_Y-5,12,31)),""))))</f>
        <v/>
      </c>
      <c r="Q109" s="72">
        <f>IF($C109="","",IF(PULL_FUND="N","",IF(COUNTIFS('Fund History'!$J$590:$J$594,"&gt;="&amp;DATE(YEAR_Y-4,1,1),'Fund History'!$J$590:$J$594,"&lt;="&amp;DATE(YEAR_Y-4,12,31))=0,"",IFERROR($G109*HSI!$G$104/SUMIFS('Fund History'!$K$590:$K$594,'Fund History'!$J$590:$J$594,"&gt;="&amp;DATE(YEAR_Y-4,1,1),'Fund History'!$J$590:$J$594,"&lt;="&amp;DATE(YEAR_Y-4,12,31)),""))))</f>
        <v/>
      </c>
      <c r="R109" s="72">
        <f>IF($C109="","",IF(PULL_FUND="N","",IF(COUNTIFS('Fund History'!$J$590:$J$594,"&gt;="&amp;DATE(YEAR_Y-3,1,1),'Fund History'!$J$590:$J$594,"&lt;="&amp;DATE(YEAR_Y-3,12,31))=0,"",IFERROR($H109*HSI!$G$104/SUMIFS('Fund History'!$K$590:$K$594,'Fund History'!$J$590:$J$594,"&gt;="&amp;DATE(YEAR_Y-3,1,1),'Fund History'!$J$590:$J$594,"&lt;="&amp;DATE(YEAR_Y-3,12,31)),""))))</f>
        <v/>
      </c>
      <c r="S109" s="72">
        <f>IF($C109="","",IF(PULL_FUND="N","",IF(COUNTIFS('Fund History'!$J$590:$J$594,"&gt;="&amp;DATE(YEAR_Y-2,1,1),'Fund History'!$J$590:$J$594,"&lt;="&amp;DATE(YEAR_Y-2,12,31))=0,"",IFERROR($I109*HSI!$G$104/SUMIFS('Fund History'!$K$590:$K$594,'Fund History'!$J$590:$J$594,"&gt;="&amp;DATE(YEAR_Y-2,1,1),'Fund History'!$J$590:$J$594,"&lt;="&amp;DATE(YEAR_Y-2,12,31)),""))))</f>
        <v/>
      </c>
      <c r="T109" s="72">
        <f>IF($C109="","",IF(PULL_FUND="N","",IF(COUNTIFS('Fund History'!$J$590:$J$594,"&gt;="&amp;DATE(YEAR_Y-1,1,1),'Fund History'!$J$590:$J$594,"&lt;="&amp;DATE(YEAR_Y-1,12,31))=0,"",IFERROR($J109*HSI!$G$104/SUMIFS('Fund History'!$K$590:$K$594,'Fund History'!$J$590:$J$594,"&gt;="&amp;DATE(YEAR_Y-1,1,1),'Fund History'!$J$590:$J$594,"&lt;="&amp;DATE(YEAR_Y-1,12,31)),""))))</f>
        <v/>
      </c>
      <c r="U109" s="73">
        <f>IF($C109="","",IF(ISNUMBER(HSI!$I$104),HSI!$I$104/100,""))</f>
        <v/>
      </c>
      <c r="V109" s="74">
        <f>IF($C109="","",IF(ISNUMBER(HSI!$X$104),IFERROR($M109*HSI!$G$104/HSI!$X$104,""),""))</f>
        <v/>
      </c>
      <c r="W109" s="73">
        <f>IF($C109="","",IF(ISNUMBER($N109),IFERROR($N109*HSI!$G$104/HSI!$X$104,""),""))</f>
        <v/>
      </c>
      <c r="X109" s="75">
        <f>IF($C109="","",IF(PULL_FUND="N","",IFERROR(BDP($C109,EPS_FIELD,YR_OVERRIDE,TEXT(YEAR_Y-5,"0")),"")))</f>
        <v/>
      </c>
      <c r="Y109" s="76">
        <f>IF($C109="","",IF(PULL_FUND="N","",IFERROR(BDP($C109,EPS_FIELD,YR_OVERRIDE,TEXT(YEAR_Y-4,"0")),"")))</f>
        <v/>
      </c>
      <c r="Z109" s="76">
        <f>IF($C109="","",IF(PULL_FUND="N","",IFERROR(BDP($C109,EPS_FIELD,YR_OVERRIDE,TEXT(YEAR_Y-3,"0")),"")))</f>
        <v/>
      </c>
      <c r="AA109" s="76">
        <f>IF($C109="","",IF(PULL_FUND="N","",IFERROR(BDP($C109,EPS_FIELD,YR_OVERRIDE,TEXT(YEAR_Y-2,"0")),"")))</f>
        <v/>
      </c>
      <c r="AB109" s="76">
        <f>IF($C109="","",IF(PULL_FUND="N","",IFERROR(BDP($C109,EPS_FIELD,YR_OVERRIDE,TEXT(YEAR_Y-1,"0")),"")))</f>
        <v/>
      </c>
      <c r="AC109" s="50">
        <f>IF($C109="","",IFERROR(AVERAGE(X109:AB109),""))</f>
        <v/>
      </c>
      <c r="AD109" s="76">
        <f>IF($C109="","",IF(PULL_FUND="N","",IFERROR(BDP($C109,BESTEPS_FIELD,FWD_OVERRIDE,TEXT(MOD(YEAR_Y,100),"00")&amp;"Y"),"")))</f>
        <v/>
      </c>
      <c r="AE109" s="77">
        <f>IF($C109="","",IF(PULL_FUND="N","",IFERROR(BDP($C109,PAYOUT_FIELD,YR_OVERRIDE,TEXT(YEAR_Y-5,"0"))/100,"")))</f>
        <v/>
      </c>
      <c r="AF109" s="78">
        <f>IF($C109="","",IF(PULL_FUND="N","",IFERROR(BDP($C109,PAYOUT_FIELD,YR_OVERRIDE,TEXT(YEAR_Y-4,"0"))/100,"")))</f>
        <v/>
      </c>
      <c r="AG109" s="78">
        <f>IF($C109="","",IF(PULL_FUND="N","",IFERROR(BDP($C109,PAYOUT_FIELD,YR_OVERRIDE,TEXT(YEAR_Y-3,"0"))/100,"")))</f>
        <v/>
      </c>
      <c r="AH109" s="78">
        <f>IF($C109="","",IF(PULL_FUND="N","",IFERROR(BDP($C109,PAYOUT_FIELD,YR_OVERRIDE,TEXT(YEAR_Y-2,"0"))/100,"")))</f>
        <v/>
      </c>
      <c r="AI109" s="78">
        <f>IF($C109="","",IF(PULL_FUND="N","",IFERROR(BDP($C109,PAYOUT_FIELD,YR_OVERRIDE,TEXT(YEAR_Y-1,"0"))/100,"")))</f>
        <v/>
      </c>
      <c r="AJ109" s="79">
        <f>IF($C109="","",IFERROR(AVERAGE(AE109:AI109),""))</f>
        <v/>
      </c>
      <c r="AK109" s="80">
        <f>IF($C109="","",IF(ISNUMBER($AD109)*ISNUMBER($N109)*($AD109&lt;&gt;0)=0,"",$N109/$AD109))</f>
        <v/>
      </c>
      <c r="AL109" s="79">
        <f>IF($C109="","",IF(ISNUMBER($AD109)*($AD109&lt;&gt;0)=0,"",$M109/$AD109))</f>
        <v/>
      </c>
      <c r="AM109" s="37">
        <f>IF($C109="","",IF(ISNUMBER($AE109)*ISNUMBER($AI109)=0,"",IF($AI109&gt;$AE109+0.05,"rising",IF($AI109&lt;$AE109-0.05,"falling","stable"))))</f>
        <v/>
      </c>
      <c r="AN109" s="81">
        <f>IF($C109="","",IF(PULL_FUND="N","",IF(COUNTIFS('Fund History'!$G$590:$G$594,"&gt;="&amp;DATE(YEAR_Y-4,1,1),'Fund History'!$G$590:$G$594,"&lt;="&amp;DATE(YEAR_Y-4,12,31))=0,"",SUMIFS('Fund History'!$H$590:$H$594,'Fund History'!$G$590:$G$594,"&gt;="&amp;DATE(YEAR_Y-4,1,1),'Fund History'!$G$590:$G$594,"&lt;="&amp;DATE(YEAR_Y-4,12,31))/100)))</f>
        <v/>
      </c>
      <c r="AO109" s="82">
        <f>IF($C109="","",IF(PULL_FUND="N","",IF(COUNTIFS('Fund History'!$G$590:$G$594,"&gt;="&amp;DATE(YEAR_Y-3,1,1),'Fund History'!$G$590:$G$594,"&lt;="&amp;DATE(YEAR_Y-3,12,31))=0,"",SUMIFS('Fund History'!$H$590:$H$594,'Fund History'!$G$590:$G$594,"&gt;="&amp;DATE(YEAR_Y-3,1,1),'Fund History'!$G$590:$G$594,"&lt;="&amp;DATE(YEAR_Y-3,12,31))/100)))</f>
        <v/>
      </c>
      <c r="AP109" s="82">
        <f>IF($C109="","",IF(PULL_FUND="N","",IF(COUNTIFS('Fund History'!$G$590:$G$594,"&gt;="&amp;DATE(YEAR_Y-2,1,1),'Fund History'!$G$590:$G$594,"&lt;="&amp;DATE(YEAR_Y-2,12,31))=0,"",SUMIFS('Fund History'!$H$590:$H$594,'Fund History'!$G$590:$G$594,"&gt;="&amp;DATE(YEAR_Y-2,1,1),'Fund History'!$G$590:$G$594,"&lt;="&amp;DATE(YEAR_Y-2,12,31))/100)))</f>
        <v/>
      </c>
      <c r="AQ109" s="82">
        <f>IF($C109="","",IF(PULL_FUND="N","",IF(COUNTIFS('Fund History'!$G$590:$G$594,"&gt;="&amp;DATE(YEAR_Y-1,1,1),'Fund History'!$G$590:$G$594,"&lt;="&amp;DATE(YEAR_Y-1,12,31))=0,"",SUMIFS('Fund History'!$H$590:$H$594,'Fund History'!$G$590:$G$594,"&gt;="&amp;DATE(YEAR_Y-1,1,1),'Fund History'!$G$590:$G$594,"&lt;="&amp;DATE(YEAR_Y-1,12,31))/100)))</f>
        <v/>
      </c>
      <c r="AR109" s="83">
        <f>IF($C109="","",IF(N($AQ109)+N(HSI!$I$104)=0,"",N($AQ109)+N(HSI!$I$104)/100))</f>
        <v/>
      </c>
      <c r="AS109" s="75">
        <f>IF($C109="","",IF(PULL_FUND="N","",IF(COUNTIFS('Fund History'!$D$590:$D$594,"&gt;="&amp;DATE(YEAR_Y-2,1,1),'Fund History'!$D$590:$D$594,"&lt;="&amp;DATE(YEAR_Y-2,12,31))=0,"",SUMIFS('Fund History'!$E$590:$E$594,'Fund History'!$D$590:$D$594,"&gt;="&amp;DATE(YEAR_Y-2,1,1),'Fund History'!$D$590:$D$594,"&lt;="&amp;DATE(YEAR_Y-2,12,31)))))</f>
        <v/>
      </c>
      <c r="AT109" s="76">
        <f>IF($C109="","",IF(PULL_FUND="N","",IF(COUNTIFS('Fund History'!$D$590:$D$594,"&gt;="&amp;DATE(YEAR_Y-1,1,1),'Fund History'!$D$590:$D$594,"&lt;="&amp;DATE(YEAR_Y-1,12,31))=0,"",SUMIFS('Fund History'!$E$590:$E$594,'Fund History'!$D$590:$D$594,"&gt;="&amp;DATE(YEAR_Y-1,1,1),'Fund History'!$D$590:$D$594,"&lt;="&amp;DATE(YEAR_Y-1,12,31)))))</f>
        <v/>
      </c>
      <c r="AU109" s="76">
        <f>IF($C109="","",IF(PULL_FUND="N","",IFERROR(BDP($C109,NDEBITDA_FIELD),"")))</f>
        <v/>
      </c>
      <c r="AV109" s="84">
        <f>IF($C109="","",IF(PULL_FUND="N","",IFERROR(BDP($C109,EBINT_FIELD),"")))</f>
        <v/>
      </c>
      <c r="AW109" s="82">
        <f>IF($C109="","",IF(PULL_FUND="N","",IFERROR(BDP($C109,FCF_FIELD)/100,"")))</f>
        <v/>
      </c>
      <c r="AX109" s="50">
        <f>IF($C109="","",IF(N($U109)=0,"",IFERROR($AW109/$U109,"")))</f>
        <v/>
      </c>
      <c r="AY109" s="85">
        <f>IF($C109="","",TRIM(IF(ISNUMBER($AJ109)*(N($AJ109)&gt;$D$4)&gt;0,"payout high  ","")&amp;IF(ISNUMBER($AX109)*(N($AX109)&lt;$F$4)&gt;0,"FCF below dvd  ","")&amp;IF(ISNUMBER($AU109)*(N($AU109)&gt;$H$4)&gt;0,"leverage high","")))</f>
        <v/>
      </c>
      <c r="AZ109" s="86">
        <f>IF($C109="","",IF(HSI!$F$104="HKD","",HSI!$F$104))</f>
        <v/>
      </c>
    </row>
    <row r="110">
      <c r="B110" s="66" t="inlineStr">
        <is>
          <t>HSI</t>
        </is>
      </c>
      <c r="C110" s="8">
        <f>IF(HSI!$C$105="","",HSI!$C$105)</f>
        <v/>
      </c>
      <c r="D110" s="8">
        <f>IF($C110="","",HSI!$D$105)</f>
        <v/>
      </c>
      <c r="E110" s="8">
        <f>IF($C110="","",HSI!$E$105)</f>
        <v/>
      </c>
      <c r="F110" s="67">
        <f>IF($C110="","",SUMPRODUCT(('Dvd Calendar'!$E$1089:$AR$1089&gt;=DATE(YEAR_Y-5,1,1))*('Dvd Calendar'!$E$1089:$AR$1089&lt;=DATE(YEAR_Y-5,12,31))*'Dvd Calendar'!$E$1092:$AR$1092*(('Dvd Calendar'!$E$1094:$AR$1094=TYPE1)*(TYPE1&lt;&gt;"")+('Dvd Calendar'!$E$1094:$AR$1094=TYPE2)*(TYPE2&lt;&gt;"")+('Dvd Calendar'!$E$1094:$AR$1094=TYPE3)*(TYPE3&lt;&gt;"")+('Dvd Calendar'!$E$1094:$AR$1094=TYPE4)*(TYPE4&lt;&gt;"")+('Dvd Calendar'!$E$1094:$AR$1094=SPECIAL_LBL)*(INC_SPECIALS="Y"))))</f>
        <v/>
      </c>
      <c r="G110" s="68">
        <f>IF($C110="","",SUMPRODUCT(('Dvd Calendar'!$E$1089:$AR$1089&gt;=DATE(YEAR_Y-4,1,1))*('Dvd Calendar'!$E$1089:$AR$1089&lt;=DATE(YEAR_Y-4,12,31))*'Dvd Calendar'!$E$1092:$AR$1092*(('Dvd Calendar'!$E$1094:$AR$1094=TYPE1)*(TYPE1&lt;&gt;"")+('Dvd Calendar'!$E$1094:$AR$1094=TYPE2)*(TYPE2&lt;&gt;"")+('Dvd Calendar'!$E$1094:$AR$1094=TYPE3)*(TYPE3&lt;&gt;"")+('Dvd Calendar'!$E$1094:$AR$1094=TYPE4)*(TYPE4&lt;&gt;"")+('Dvd Calendar'!$E$1094:$AR$1094=SPECIAL_LBL)*(INC_SPECIALS="Y"))))</f>
        <v/>
      </c>
      <c r="H110" s="68">
        <f>IF($C110="","",SUMPRODUCT(('Dvd Calendar'!$E$1089:$AR$1089&gt;=DATE(YEAR_Y-3,1,1))*('Dvd Calendar'!$E$1089:$AR$1089&lt;=DATE(YEAR_Y-3,12,31))*'Dvd Calendar'!$E$1092:$AR$1092*(('Dvd Calendar'!$E$1094:$AR$1094=TYPE1)*(TYPE1&lt;&gt;"")+('Dvd Calendar'!$E$1094:$AR$1094=TYPE2)*(TYPE2&lt;&gt;"")+('Dvd Calendar'!$E$1094:$AR$1094=TYPE3)*(TYPE3&lt;&gt;"")+('Dvd Calendar'!$E$1094:$AR$1094=TYPE4)*(TYPE4&lt;&gt;"")+('Dvd Calendar'!$E$1094:$AR$1094=SPECIAL_LBL)*(INC_SPECIALS="Y"))))</f>
        <v/>
      </c>
      <c r="I110" s="68">
        <f>IF($C110="","",SUMPRODUCT(('Dvd Calendar'!$E$1089:$AR$1089&gt;=DATE(YEAR_Y-2,1,1))*('Dvd Calendar'!$E$1089:$AR$1089&lt;=DATE(YEAR_Y-2,12,31))*'Dvd Calendar'!$E$1092:$AR$1092*(('Dvd Calendar'!$E$1094:$AR$1094=TYPE1)*(TYPE1&lt;&gt;"")+('Dvd Calendar'!$E$1094:$AR$1094=TYPE2)*(TYPE2&lt;&gt;"")+('Dvd Calendar'!$E$1094:$AR$1094=TYPE3)*(TYPE3&lt;&gt;"")+('Dvd Calendar'!$E$1094:$AR$1094=TYPE4)*(TYPE4&lt;&gt;"")+('Dvd Calendar'!$E$1094:$AR$1094=SPECIAL_LBL)*(INC_SPECIALS="Y"))))</f>
        <v/>
      </c>
      <c r="J110" s="68">
        <f>IF($C110="","",SUMPRODUCT(('Dvd Calendar'!$E$1089:$AR$1089&gt;=DATE(YEAR_Y-1,1,1))*('Dvd Calendar'!$E$1089:$AR$1089&lt;=DATE(YEAR_Y-1,12,31))*'Dvd Calendar'!$E$1092:$AR$1092*(('Dvd Calendar'!$E$1094:$AR$1094=TYPE1)*(TYPE1&lt;&gt;"")+('Dvd Calendar'!$E$1094:$AR$1094=TYPE2)*(TYPE2&lt;&gt;"")+('Dvd Calendar'!$E$1094:$AR$1094=TYPE3)*(TYPE3&lt;&gt;"")+('Dvd Calendar'!$E$1094:$AR$1094=TYPE4)*(TYPE4&lt;&gt;"")+('Dvd Calendar'!$E$1094:$AR$1094=SPECIAL_LBL)*(INC_SPECIALS="Y"))))</f>
        <v/>
      </c>
      <c r="K110" s="69">
        <f>IF($C110="","",HSI!$J$105)</f>
        <v/>
      </c>
      <c r="L110" s="69">
        <f>IF($C110="","",HSI!$K$105)</f>
        <v/>
      </c>
      <c r="M110" s="44">
        <f>IF($C110="","",HSI!$J$105+HSI!$L$105)</f>
        <v/>
      </c>
      <c r="N110" s="70">
        <f>IF($C110="","",IF(PULL_FUND="N","",IFERROR(BDP($C110,BESTDPS_FIELD,FWD_OVERRIDE,TEXT(MOD(YEAR_Y,100),"00")&amp;"Y"),"")))</f>
        <v/>
      </c>
      <c r="O110" s="69">
        <f>IF($C110="","",AVERAGE(F110:J110))</f>
        <v/>
      </c>
      <c r="P110" s="71">
        <f>IF($C110="","",IF(PULL_FUND="N","",IF(COUNTIFS('Fund History'!$J$596:$J$600,"&gt;="&amp;DATE(YEAR_Y-5,1,1),'Fund History'!$J$596:$J$600,"&lt;="&amp;DATE(YEAR_Y-5,12,31))=0,"",IFERROR($F110*HSI!$G$105/SUMIFS('Fund History'!$K$596:$K$600,'Fund History'!$J$596:$J$600,"&gt;="&amp;DATE(YEAR_Y-5,1,1),'Fund History'!$J$596:$J$600,"&lt;="&amp;DATE(YEAR_Y-5,12,31)),""))))</f>
        <v/>
      </c>
      <c r="Q110" s="72">
        <f>IF($C110="","",IF(PULL_FUND="N","",IF(COUNTIFS('Fund History'!$J$596:$J$600,"&gt;="&amp;DATE(YEAR_Y-4,1,1),'Fund History'!$J$596:$J$600,"&lt;="&amp;DATE(YEAR_Y-4,12,31))=0,"",IFERROR($G110*HSI!$G$105/SUMIFS('Fund History'!$K$596:$K$600,'Fund History'!$J$596:$J$600,"&gt;="&amp;DATE(YEAR_Y-4,1,1),'Fund History'!$J$596:$J$600,"&lt;="&amp;DATE(YEAR_Y-4,12,31)),""))))</f>
        <v/>
      </c>
      <c r="R110" s="72">
        <f>IF($C110="","",IF(PULL_FUND="N","",IF(COUNTIFS('Fund History'!$J$596:$J$600,"&gt;="&amp;DATE(YEAR_Y-3,1,1),'Fund History'!$J$596:$J$600,"&lt;="&amp;DATE(YEAR_Y-3,12,31))=0,"",IFERROR($H110*HSI!$G$105/SUMIFS('Fund History'!$K$596:$K$600,'Fund History'!$J$596:$J$600,"&gt;="&amp;DATE(YEAR_Y-3,1,1),'Fund History'!$J$596:$J$600,"&lt;="&amp;DATE(YEAR_Y-3,12,31)),""))))</f>
        <v/>
      </c>
      <c r="S110" s="72">
        <f>IF($C110="","",IF(PULL_FUND="N","",IF(COUNTIFS('Fund History'!$J$596:$J$600,"&gt;="&amp;DATE(YEAR_Y-2,1,1),'Fund History'!$J$596:$J$600,"&lt;="&amp;DATE(YEAR_Y-2,12,31))=0,"",IFERROR($I110*HSI!$G$105/SUMIFS('Fund History'!$K$596:$K$600,'Fund History'!$J$596:$J$600,"&gt;="&amp;DATE(YEAR_Y-2,1,1),'Fund History'!$J$596:$J$600,"&lt;="&amp;DATE(YEAR_Y-2,12,31)),""))))</f>
        <v/>
      </c>
      <c r="T110" s="72">
        <f>IF($C110="","",IF(PULL_FUND="N","",IF(COUNTIFS('Fund History'!$J$596:$J$600,"&gt;="&amp;DATE(YEAR_Y-1,1,1),'Fund History'!$J$596:$J$600,"&lt;="&amp;DATE(YEAR_Y-1,12,31))=0,"",IFERROR($J110*HSI!$G$105/SUMIFS('Fund History'!$K$596:$K$600,'Fund History'!$J$596:$J$600,"&gt;="&amp;DATE(YEAR_Y-1,1,1),'Fund History'!$J$596:$J$600,"&lt;="&amp;DATE(YEAR_Y-1,12,31)),""))))</f>
        <v/>
      </c>
      <c r="U110" s="73">
        <f>IF($C110="","",IF(ISNUMBER(HSI!$I$105),HSI!$I$105/100,""))</f>
        <v/>
      </c>
      <c r="V110" s="74">
        <f>IF($C110="","",IF(ISNUMBER(HSI!$X$105),IFERROR($M110*HSI!$G$105/HSI!$X$105,""),""))</f>
        <v/>
      </c>
      <c r="W110" s="73">
        <f>IF($C110="","",IF(ISNUMBER($N110),IFERROR($N110*HSI!$G$105/HSI!$X$105,""),""))</f>
        <v/>
      </c>
      <c r="X110" s="75">
        <f>IF($C110="","",IF(PULL_FUND="N","",IFERROR(BDP($C110,EPS_FIELD,YR_OVERRIDE,TEXT(YEAR_Y-5,"0")),"")))</f>
        <v/>
      </c>
      <c r="Y110" s="76">
        <f>IF($C110="","",IF(PULL_FUND="N","",IFERROR(BDP($C110,EPS_FIELD,YR_OVERRIDE,TEXT(YEAR_Y-4,"0")),"")))</f>
        <v/>
      </c>
      <c r="Z110" s="76">
        <f>IF($C110="","",IF(PULL_FUND="N","",IFERROR(BDP($C110,EPS_FIELD,YR_OVERRIDE,TEXT(YEAR_Y-3,"0")),"")))</f>
        <v/>
      </c>
      <c r="AA110" s="76">
        <f>IF($C110="","",IF(PULL_FUND="N","",IFERROR(BDP($C110,EPS_FIELD,YR_OVERRIDE,TEXT(YEAR_Y-2,"0")),"")))</f>
        <v/>
      </c>
      <c r="AB110" s="76">
        <f>IF($C110="","",IF(PULL_FUND="N","",IFERROR(BDP($C110,EPS_FIELD,YR_OVERRIDE,TEXT(YEAR_Y-1,"0")),"")))</f>
        <v/>
      </c>
      <c r="AC110" s="50">
        <f>IF($C110="","",IFERROR(AVERAGE(X110:AB110),""))</f>
        <v/>
      </c>
      <c r="AD110" s="76">
        <f>IF($C110="","",IF(PULL_FUND="N","",IFERROR(BDP($C110,BESTEPS_FIELD,FWD_OVERRIDE,TEXT(MOD(YEAR_Y,100),"00")&amp;"Y"),"")))</f>
        <v/>
      </c>
      <c r="AE110" s="77">
        <f>IF($C110="","",IF(PULL_FUND="N","",IFERROR(BDP($C110,PAYOUT_FIELD,YR_OVERRIDE,TEXT(YEAR_Y-5,"0"))/100,"")))</f>
        <v/>
      </c>
      <c r="AF110" s="78">
        <f>IF($C110="","",IF(PULL_FUND="N","",IFERROR(BDP($C110,PAYOUT_FIELD,YR_OVERRIDE,TEXT(YEAR_Y-4,"0"))/100,"")))</f>
        <v/>
      </c>
      <c r="AG110" s="78">
        <f>IF($C110="","",IF(PULL_FUND="N","",IFERROR(BDP($C110,PAYOUT_FIELD,YR_OVERRIDE,TEXT(YEAR_Y-3,"0"))/100,"")))</f>
        <v/>
      </c>
      <c r="AH110" s="78">
        <f>IF($C110="","",IF(PULL_FUND="N","",IFERROR(BDP($C110,PAYOUT_FIELD,YR_OVERRIDE,TEXT(YEAR_Y-2,"0"))/100,"")))</f>
        <v/>
      </c>
      <c r="AI110" s="78">
        <f>IF($C110="","",IF(PULL_FUND="N","",IFERROR(BDP($C110,PAYOUT_FIELD,YR_OVERRIDE,TEXT(YEAR_Y-1,"0"))/100,"")))</f>
        <v/>
      </c>
      <c r="AJ110" s="79">
        <f>IF($C110="","",IFERROR(AVERAGE(AE110:AI110),""))</f>
        <v/>
      </c>
      <c r="AK110" s="80">
        <f>IF($C110="","",IF(ISNUMBER($AD110)*ISNUMBER($N110)*($AD110&lt;&gt;0)=0,"",$N110/$AD110))</f>
        <v/>
      </c>
      <c r="AL110" s="79">
        <f>IF($C110="","",IF(ISNUMBER($AD110)*($AD110&lt;&gt;0)=0,"",$M110/$AD110))</f>
        <v/>
      </c>
      <c r="AM110" s="37">
        <f>IF($C110="","",IF(ISNUMBER($AE110)*ISNUMBER($AI110)=0,"",IF($AI110&gt;$AE110+0.05,"rising",IF($AI110&lt;$AE110-0.05,"falling","stable"))))</f>
        <v/>
      </c>
      <c r="AN110" s="81">
        <f>IF($C110="","",IF(PULL_FUND="N","",IF(COUNTIFS('Fund History'!$G$596:$G$600,"&gt;="&amp;DATE(YEAR_Y-4,1,1),'Fund History'!$G$596:$G$600,"&lt;="&amp;DATE(YEAR_Y-4,12,31))=0,"",SUMIFS('Fund History'!$H$596:$H$600,'Fund History'!$G$596:$G$600,"&gt;="&amp;DATE(YEAR_Y-4,1,1),'Fund History'!$G$596:$G$600,"&lt;="&amp;DATE(YEAR_Y-4,12,31))/100)))</f>
        <v/>
      </c>
      <c r="AO110" s="82">
        <f>IF($C110="","",IF(PULL_FUND="N","",IF(COUNTIFS('Fund History'!$G$596:$G$600,"&gt;="&amp;DATE(YEAR_Y-3,1,1),'Fund History'!$G$596:$G$600,"&lt;="&amp;DATE(YEAR_Y-3,12,31))=0,"",SUMIFS('Fund History'!$H$596:$H$600,'Fund History'!$G$596:$G$600,"&gt;="&amp;DATE(YEAR_Y-3,1,1),'Fund History'!$G$596:$G$600,"&lt;="&amp;DATE(YEAR_Y-3,12,31))/100)))</f>
        <v/>
      </c>
      <c r="AP110" s="82">
        <f>IF($C110="","",IF(PULL_FUND="N","",IF(COUNTIFS('Fund History'!$G$596:$G$600,"&gt;="&amp;DATE(YEAR_Y-2,1,1),'Fund History'!$G$596:$G$600,"&lt;="&amp;DATE(YEAR_Y-2,12,31))=0,"",SUMIFS('Fund History'!$H$596:$H$600,'Fund History'!$G$596:$G$600,"&gt;="&amp;DATE(YEAR_Y-2,1,1),'Fund History'!$G$596:$G$600,"&lt;="&amp;DATE(YEAR_Y-2,12,31))/100)))</f>
        <v/>
      </c>
      <c r="AQ110" s="82">
        <f>IF($C110="","",IF(PULL_FUND="N","",IF(COUNTIFS('Fund History'!$G$596:$G$600,"&gt;="&amp;DATE(YEAR_Y-1,1,1),'Fund History'!$G$596:$G$600,"&lt;="&amp;DATE(YEAR_Y-1,12,31))=0,"",SUMIFS('Fund History'!$H$596:$H$600,'Fund History'!$G$596:$G$600,"&gt;="&amp;DATE(YEAR_Y-1,1,1),'Fund History'!$G$596:$G$600,"&lt;="&amp;DATE(YEAR_Y-1,12,31))/100)))</f>
        <v/>
      </c>
      <c r="AR110" s="83">
        <f>IF($C110="","",IF(N($AQ110)+N(HSI!$I$105)=0,"",N($AQ110)+N(HSI!$I$105)/100))</f>
        <v/>
      </c>
      <c r="AS110" s="75">
        <f>IF($C110="","",IF(PULL_FUND="N","",IF(COUNTIFS('Fund History'!$D$596:$D$600,"&gt;="&amp;DATE(YEAR_Y-2,1,1),'Fund History'!$D$596:$D$600,"&lt;="&amp;DATE(YEAR_Y-2,12,31))=0,"",SUMIFS('Fund History'!$E$596:$E$600,'Fund History'!$D$596:$D$600,"&gt;="&amp;DATE(YEAR_Y-2,1,1),'Fund History'!$D$596:$D$600,"&lt;="&amp;DATE(YEAR_Y-2,12,31)))))</f>
        <v/>
      </c>
      <c r="AT110" s="76">
        <f>IF($C110="","",IF(PULL_FUND="N","",IF(COUNTIFS('Fund History'!$D$596:$D$600,"&gt;="&amp;DATE(YEAR_Y-1,1,1),'Fund History'!$D$596:$D$600,"&lt;="&amp;DATE(YEAR_Y-1,12,31))=0,"",SUMIFS('Fund History'!$E$596:$E$600,'Fund History'!$D$596:$D$600,"&gt;="&amp;DATE(YEAR_Y-1,1,1),'Fund History'!$D$596:$D$600,"&lt;="&amp;DATE(YEAR_Y-1,12,31)))))</f>
        <v/>
      </c>
      <c r="AU110" s="76">
        <f>IF($C110="","",IF(PULL_FUND="N","",IFERROR(BDP($C110,NDEBITDA_FIELD),"")))</f>
        <v/>
      </c>
      <c r="AV110" s="84">
        <f>IF($C110="","",IF(PULL_FUND="N","",IFERROR(BDP($C110,EBINT_FIELD),"")))</f>
        <v/>
      </c>
      <c r="AW110" s="82">
        <f>IF($C110="","",IF(PULL_FUND="N","",IFERROR(BDP($C110,FCF_FIELD)/100,"")))</f>
        <v/>
      </c>
      <c r="AX110" s="50">
        <f>IF($C110="","",IF(N($U110)=0,"",IFERROR($AW110/$U110,"")))</f>
        <v/>
      </c>
      <c r="AY110" s="85">
        <f>IF($C110="","",TRIM(IF(ISNUMBER($AJ110)*(N($AJ110)&gt;$D$4)&gt;0,"payout high  ","")&amp;IF(ISNUMBER($AX110)*(N($AX110)&lt;$F$4)&gt;0,"FCF below dvd  ","")&amp;IF(ISNUMBER($AU110)*(N($AU110)&gt;$H$4)&gt;0,"leverage high","")))</f>
        <v/>
      </c>
      <c r="AZ110" s="86">
        <f>IF($C110="","",IF(HSI!$F$105="HKD","",HSI!$F$105))</f>
        <v/>
      </c>
    </row>
    <row r="111">
      <c r="B111" s="66" t="inlineStr">
        <is>
          <t>HSI</t>
        </is>
      </c>
      <c r="C111" s="8">
        <f>IF(HSI!$C$106="","",HSI!$C$106)</f>
        <v/>
      </c>
      <c r="D111" s="8">
        <f>IF($C111="","",HSI!$D$106)</f>
        <v/>
      </c>
      <c r="E111" s="8">
        <f>IF($C111="","",HSI!$E$106)</f>
        <v/>
      </c>
      <c r="F111" s="67">
        <f>IF($C111="","",SUMPRODUCT(('Dvd Calendar'!$E$1100:$AR$1100&gt;=DATE(YEAR_Y-5,1,1))*('Dvd Calendar'!$E$1100:$AR$1100&lt;=DATE(YEAR_Y-5,12,31))*'Dvd Calendar'!$E$1103:$AR$1103*(('Dvd Calendar'!$E$1105:$AR$1105=TYPE1)*(TYPE1&lt;&gt;"")+('Dvd Calendar'!$E$1105:$AR$1105=TYPE2)*(TYPE2&lt;&gt;"")+('Dvd Calendar'!$E$1105:$AR$1105=TYPE3)*(TYPE3&lt;&gt;"")+('Dvd Calendar'!$E$1105:$AR$1105=TYPE4)*(TYPE4&lt;&gt;"")+('Dvd Calendar'!$E$1105:$AR$1105=SPECIAL_LBL)*(INC_SPECIALS="Y"))))</f>
        <v/>
      </c>
      <c r="G111" s="68">
        <f>IF($C111="","",SUMPRODUCT(('Dvd Calendar'!$E$1100:$AR$1100&gt;=DATE(YEAR_Y-4,1,1))*('Dvd Calendar'!$E$1100:$AR$1100&lt;=DATE(YEAR_Y-4,12,31))*'Dvd Calendar'!$E$1103:$AR$1103*(('Dvd Calendar'!$E$1105:$AR$1105=TYPE1)*(TYPE1&lt;&gt;"")+('Dvd Calendar'!$E$1105:$AR$1105=TYPE2)*(TYPE2&lt;&gt;"")+('Dvd Calendar'!$E$1105:$AR$1105=TYPE3)*(TYPE3&lt;&gt;"")+('Dvd Calendar'!$E$1105:$AR$1105=TYPE4)*(TYPE4&lt;&gt;"")+('Dvd Calendar'!$E$1105:$AR$1105=SPECIAL_LBL)*(INC_SPECIALS="Y"))))</f>
        <v/>
      </c>
      <c r="H111" s="68">
        <f>IF($C111="","",SUMPRODUCT(('Dvd Calendar'!$E$1100:$AR$1100&gt;=DATE(YEAR_Y-3,1,1))*('Dvd Calendar'!$E$1100:$AR$1100&lt;=DATE(YEAR_Y-3,12,31))*'Dvd Calendar'!$E$1103:$AR$1103*(('Dvd Calendar'!$E$1105:$AR$1105=TYPE1)*(TYPE1&lt;&gt;"")+('Dvd Calendar'!$E$1105:$AR$1105=TYPE2)*(TYPE2&lt;&gt;"")+('Dvd Calendar'!$E$1105:$AR$1105=TYPE3)*(TYPE3&lt;&gt;"")+('Dvd Calendar'!$E$1105:$AR$1105=TYPE4)*(TYPE4&lt;&gt;"")+('Dvd Calendar'!$E$1105:$AR$1105=SPECIAL_LBL)*(INC_SPECIALS="Y"))))</f>
        <v/>
      </c>
      <c r="I111" s="68">
        <f>IF($C111="","",SUMPRODUCT(('Dvd Calendar'!$E$1100:$AR$1100&gt;=DATE(YEAR_Y-2,1,1))*('Dvd Calendar'!$E$1100:$AR$1100&lt;=DATE(YEAR_Y-2,12,31))*'Dvd Calendar'!$E$1103:$AR$1103*(('Dvd Calendar'!$E$1105:$AR$1105=TYPE1)*(TYPE1&lt;&gt;"")+('Dvd Calendar'!$E$1105:$AR$1105=TYPE2)*(TYPE2&lt;&gt;"")+('Dvd Calendar'!$E$1105:$AR$1105=TYPE3)*(TYPE3&lt;&gt;"")+('Dvd Calendar'!$E$1105:$AR$1105=TYPE4)*(TYPE4&lt;&gt;"")+('Dvd Calendar'!$E$1105:$AR$1105=SPECIAL_LBL)*(INC_SPECIALS="Y"))))</f>
        <v/>
      </c>
      <c r="J111" s="68">
        <f>IF($C111="","",SUMPRODUCT(('Dvd Calendar'!$E$1100:$AR$1100&gt;=DATE(YEAR_Y-1,1,1))*('Dvd Calendar'!$E$1100:$AR$1100&lt;=DATE(YEAR_Y-1,12,31))*'Dvd Calendar'!$E$1103:$AR$1103*(('Dvd Calendar'!$E$1105:$AR$1105=TYPE1)*(TYPE1&lt;&gt;"")+('Dvd Calendar'!$E$1105:$AR$1105=TYPE2)*(TYPE2&lt;&gt;"")+('Dvd Calendar'!$E$1105:$AR$1105=TYPE3)*(TYPE3&lt;&gt;"")+('Dvd Calendar'!$E$1105:$AR$1105=TYPE4)*(TYPE4&lt;&gt;"")+('Dvd Calendar'!$E$1105:$AR$1105=SPECIAL_LBL)*(INC_SPECIALS="Y"))))</f>
        <v/>
      </c>
      <c r="K111" s="69">
        <f>IF($C111="","",HSI!$J$106)</f>
        <v/>
      </c>
      <c r="L111" s="69">
        <f>IF($C111="","",HSI!$K$106)</f>
        <v/>
      </c>
      <c r="M111" s="44">
        <f>IF($C111="","",HSI!$J$106+HSI!$L$106)</f>
        <v/>
      </c>
      <c r="N111" s="70">
        <f>IF($C111="","",IF(PULL_FUND="N","",IFERROR(BDP($C111,BESTDPS_FIELD,FWD_OVERRIDE,TEXT(MOD(YEAR_Y,100),"00")&amp;"Y"),"")))</f>
        <v/>
      </c>
      <c r="O111" s="69">
        <f>IF($C111="","",AVERAGE(F111:J111))</f>
        <v/>
      </c>
      <c r="P111" s="71">
        <f>IF($C111="","",IF(PULL_FUND="N","",IF(COUNTIFS('Fund History'!$J$602:$J$606,"&gt;="&amp;DATE(YEAR_Y-5,1,1),'Fund History'!$J$602:$J$606,"&lt;="&amp;DATE(YEAR_Y-5,12,31))=0,"",IFERROR($F111*HSI!$G$106/SUMIFS('Fund History'!$K$602:$K$606,'Fund History'!$J$602:$J$606,"&gt;="&amp;DATE(YEAR_Y-5,1,1),'Fund History'!$J$602:$J$606,"&lt;="&amp;DATE(YEAR_Y-5,12,31)),""))))</f>
        <v/>
      </c>
      <c r="Q111" s="72">
        <f>IF($C111="","",IF(PULL_FUND="N","",IF(COUNTIFS('Fund History'!$J$602:$J$606,"&gt;="&amp;DATE(YEAR_Y-4,1,1),'Fund History'!$J$602:$J$606,"&lt;="&amp;DATE(YEAR_Y-4,12,31))=0,"",IFERROR($G111*HSI!$G$106/SUMIFS('Fund History'!$K$602:$K$606,'Fund History'!$J$602:$J$606,"&gt;="&amp;DATE(YEAR_Y-4,1,1),'Fund History'!$J$602:$J$606,"&lt;="&amp;DATE(YEAR_Y-4,12,31)),""))))</f>
        <v/>
      </c>
      <c r="R111" s="72">
        <f>IF($C111="","",IF(PULL_FUND="N","",IF(COUNTIFS('Fund History'!$J$602:$J$606,"&gt;="&amp;DATE(YEAR_Y-3,1,1),'Fund History'!$J$602:$J$606,"&lt;="&amp;DATE(YEAR_Y-3,12,31))=0,"",IFERROR($H111*HSI!$G$106/SUMIFS('Fund History'!$K$602:$K$606,'Fund History'!$J$602:$J$606,"&gt;="&amp;DATE(YEAR_Y-3,1,1),'Fund History'!$J$602:$J$606,"&lt;="&amp;DATE(YEAR_Y-3,12,31)),""))))</f>
        <v/>
      </c>
      <c r="S111" s="72">
        <f>IF($C111="","",IF(PULL_FUND="N","",IF(COUNTIFS('Fund History'!$J$602:$J$606,"&gt;="&amp;DATE(YEAR_Y-2,1,1),'Fund History'!$J$602:$J$606,"&lt;="&amp;DATE(YEAR_Y-2,12,31))=0,"",IFERROR($I111*HSI!$G$106/SUMIFS('Fund History'!$K$602:$K$606,'Fund History'!$J$602:$J$606,"&gt;="&amp;DATE(YEAR_Y-2,1,1),'Fund History'!$J$602:$J$606,"&lt;="&amp;DATE(YEAR_Y-2,12,31)),""))))</f>
        <v/>
      </c>
      <c r="T111" s="72">
        <f>IF($C111="","",IF(PULL_FUND="N","",IF(COUNTIFS('Fund History'!$J$602:$J$606,"&gt;="&amp;DATE(YEAR_Y-1,1,1),'Fund History'!$J$602:$J$606,"&lt;="&amp;DATE(YEAR_Y-1,12,31))=0,"",IFERROR($J111*HSI!$G$106/SUMIFS('Fund History'!$K$602:$K$606,'Fund History'!$J$602:$J$606,"&gt;="&amp;DATE(YEAR_Y-1,1,1),'Fund History'!$J$602:$J$606,"&lt;="&amp;DATE(YEAR_Y-1,12,31)),""))))</f>
        <v/>
      </c>
      <c r="U111" s="73">
        <f>IF($C111="","",IF(ISNUMBER(HSI!$I$106),HSI!$I$106/100,""))</f>
        <v/>
      </c>
      <c r="V111" s="74">
        <f>IF($C111="","",IF(ISNUMBER(HSI!$X$106),IFERROR($M111*HSI!$G$106/HSI!$X$106,""),""))</f>
        <v/>
      </c>
      <c r="W111" s="73">
        <f>IF($C111="","",IF(ISNUMBER($N111),IFERROR($N111*HSI!$G$106/HSI!$X$106,""),""))</f>
        <v/>
      </c>
      <c r="X111" s="75">
        <f>IF($C111="","",IF(PULL_FUND="N","",IFERROR(BDP($C111,EPS_FIELD,YR_OVERRIDE,TEXT(YEAR_Y-5,"0")),"")))</f>
        <v/>
      </c>
      <c r="Y111" s="76">
        <f>IF($C111="","",IF(PULL_FUND="N","",IFERROR(BDP($C111,EPS_FIELD,YR_OVERRIDE,TEXT(YEAR_Y-4,"0")),"")))</f>
        <v/>
      </c>
      <c r="Z111" s="76">
        <f>IF($C111="","",IF(PULL_FUND="N","",IFERROR(BDP($C111,EPS_FIELD,YR_OVERRIDE,TEXT(YEAR_Y-3,"0")),"")))</f>
        <v/>
      </c>
      <c r="AA111" s="76">
        <f>IF($C111="","",IF(PULL_FUND="N","",IFERROR(BDP($C111,EPS_FIELD,YR_OVERRIDE,TEXT(YEAR_Y-2,"0")),"")))</f>
        <v/>
      </c>
      <c r="AB111" s="76">
        <f>IF($C111="","",IF(PULL_FUND="N","",IFERROR(BDP($C111,EPS_FIELD,YR_OVERRIDE,TEXT(YEAR_Y-1,"0")),"")))</f>
        <v/>
      </c>
      <c r="AC111" s="50">
        <f>IF($C111="","",IFERROR(AVERAGE(X111:AB111),""))</f>
        <v/>
      </c>
      <c r="AD111" s="76">
        <f>IF($C111="","",IF(PULL_FUND="N","",IFERROR(BDP($C111,BESTEPS_FIELD,FWD_OVERRIDE,TEXT(MOD(YEAR_Y,100),"00")&amp;"Y"),"")))</f>
        <v/>
      </c>
      <c r="AE111" s="77">
        <f>IF($C111="","",IF(PULL_FUND="N","",IFERROR(BDP($C111,PAYOUT_FIELD,YR_OVERRIDE,TEXT(YEAR_Y-5,"0"))/100,"")))</f>
        <v/>
      </c>
      <c r="AF111" s="78">
        <f>IF($C111="","",IF(PULL_FUND="N","",IFERROR(BDP($C111,PAYOUT_FIELD,YR_OVERRIDE,TEXT(YEAR_Y-4,"0"))/100,"")))</f>
        <v/>
      </c>
      <c r="AG111" s="78">
        <f>IF($C111="","",IF(PULL_FUND="N","",IFERROR(BDP($C111,PAYOUT_FIELD,YR_OVERRIDE,TEXT(YEAR_Y-3,"0"))/100,"")))</f>
        <v/>
      </c>
      <c r="AH111" s="78">
        <f>IF($C111="","",IF(PULL_FUND="N","",IFERROR(BDP($C111,PAYOUT_FIELD,YR_OVERRIDE,TEXT(YEAR_Y-2,"0"))/100,"")))</f>
        <v/>
      </c>
      <c r="AI111" s="78">
        <f>IF($C111="","",IF(PULL_FUND="N","",IFERROR(BDP($C111,PAYOUT_FIELD,YR_OVERRIDE,TEXT(YEAR_Y-1,"0"))/100,"")))</f>
        <v/>
      </c>
      <c r="AJ111" s="79">
        <f>IF($C111="","",IFERROR(AVERAGE(AE111:AI111),""))</f>
        <v/>
      </c>
      <c r="AK111" s="80">
        <f>IF($C111="","",IF(ISNUMBER($AD111)*ISNUMBER($N111)*($AD111&lt;&gt;0)=0,"",$N111/$AD111))</f>
        <v/>
      </c>
      <c r="AL111" s="79">
        <f>IF($C111="","",IF(ISNUMBER($AD111)*($AD111&lt;&gt;0)=0,"",$M111/$AD111))</f>
        <v/>
      </c>
      <c r="AM111" s="37">
        <f>IF($C111="","",IF(ISNUMBER($AE111)*ISNUMBER($AI111)=0,"",IF($AI111&gt;$AE111+0.05,"rising",IF($AI111&lt;$AE111-0.05,"falling","stable"))))</f>
        <v/>
      </c>
      <c r="AN111" s="81">
        <f>IF($C111="","",IF(PULL_FUND="N","",IF(COUNTIFS('Fund History'!$G$602:$G$606,"&gt;="&amp;DATE(YEAR_Y-4,1,1),'Fund History'!$G$602:$G$606,"&lt;="&amp;DATE(YEAR_Y-4,12,31))=0,"",SUMIFS('Fund History'!$H$602:$H$606,'Fund History'!$G$602:$G$606,"&gt;="&amp;DATE(YEAR_Y-4,1,1),'Fund History'!$G$602:$G$606,"&lt;="&amp;DATE(YEAR_Y-4,12,31))/100)))</f>
        <v/>
      </c>
      <c r="AO111" s="82">
        <f>IF($C111="","",IF(PULL_FUND="N","",IF(COUNTIFS('Fund History'!$G$602:$G$606,"&gt;="&amp;DATE(YEAR_Y-3,1,1),'Fund History'!$G$602:$G$606,"&lt;="&amp;DATE(YEAR_Y-3,12,31))=0,"",SUMIFS('Fund History'!$H$602:$H$606,'Fund History'!$G$602:$G$606,"&gt;="&amp;DATE(YEAR_Y-3,1,1),'Fund History'!$G$602:$G$606,"&lt;="&amp;DATE(YEAR_Y-3,12,31))/100)))</f>
        <v/>
      </c>
      <c r="AP111" s="82">
        <f>IF($C111="","",IF(PULL_FUND="N","",IF(COUNTIFS('Fund History'!$G$602:$G$606,"&gt;="&amp;DATE(YEAR_Y-2,1,1),'Fund History'!$G$602:$G$606,"&lt;="&amp;DATE(YEAR_Y-2,12,31))=0,"",SUMIFS('Fund History'!$H$602:$H$606,'Fund History'!$G$602:$G$606,"&gt;="&amp;DATE(YEAR_Y-2,1,1),'Fund History'!$G$602:$G$606,"&lt;="&amp;DATE(YEAR_Y-2,12,31))/100)))</f>
        <v/>
      </c>
      <c r="AQ111" s="82">
        <f>IF($C111="","",IF(PULL_FUND="N","",IF(COUNTIFS('Fund History'!$G$602:$G$606,"&gt;="&amp;DATE(YEAR_Y-1,1,1),'Fund History'!$G$602:$G$606,"&lt;="&amp;DATE(YEAR_Y-1,12,31))=0,"",SUMIFS('Fund History'!$H$602:$H$606,'Fund History'!$G$602:$G$606,"&gt;="&amp;DATE(YEAR_Y-1,1,1),'Fund History'!$G$602:$G$606,"&lt;="&amp;DATE(YEAR_Y-1,12,31))/100)))</f>
        <v/>
      </c>
      <c r="AR111" s="83">
        <f>IF($C111="","",IF(N($AQ111)+N(HSI!$I$106)=0,"",N($AQ111)+N(HSI!$I$106)/100))</f>
        <v/>
      </c>
      <c r="AS111" s="75">
        <f>IF($C111="","",IF(PULL_FUND="N","",IF(COUNTIFS('Fund History'!$D$602:$D$606,"&gt;="&amp;DATE(YEAR_Y-2,1,1),'Fund History'!$D$602:$D$606,"&lt;="&amp;DATE(YEAR_Y-2,12,31))=0,"",SUMIFS('Fund History'!$E$602:$E$606,'Fund History'!$D$602:$D$606,"&gt;="&amp;DATE(YEAR_Y-2,1,1),'Fund History'!$D$602:$D$606,"&lt;="&amp;DATE(YEAR_Y-2,12,31)))))</f>
        <v/>
      </c>
      <c r="AT111" s="76">
        <f>IF($C111="","",IF(PULL_FUND="N","",IF(COUNTIFS('Fund History'!$D$602:$D$606,"&gt;="&amp;DATE(YEAR_Y-1,1,1),'Fund History'!$D$602:$D$606,"&lt;="&amp;DATE(YEAR_Y-1,12,31))=0,"",SUMIFS('Fund History'!$E$602:$E$606,'Fund History'!$D$602:$D$606,"&gt;="&amp;DATE(YEAR_Y-1,1,1),'Fund History'!$D$602:$D$606,"&lt;="&amp;DATE(YEAR_Y-1,12,31)))))</f>
        <v/>
      </c>
      <c r="AU111" s="76">
        <f>IF($C111="","",IF(PULL_FUND="N","",IFERROR(BDP($C111,NDEBITDA_FIELD),"")))</f>
        <v/>
      </c>
      <c r="AV111" s="84">
        <f>IF($C111="","",IF(PULL_FUND="N","",IFERROR(BDP($C111,EBINT_FIELD),"")))</f>
        <v/>
      </c>
      <c r="AW111" s="82">
        <f>IF($C111="","",IF(PULL_FUND="N","",IFERROR(BDP($C111,FCF_FIELD)/100,"")))</f>
        <v/>
      </c>
      <c r="AX111" s="50">
        <f>IF($C111="","",IF(N($U111)=0,"",IFERROR($AW111/$U111,"")))</f>
        <v/>
      </c>
      <c r="AY111" s="85">
        <f>IF($C111="","",TRIM(IF(ISNUMBER($AJ111)*(N($AJ111)&gt;$D$4)&gt;0,"payout high  ","")&amp;IF(ISNUMBER($AX111)*(N($AX111)&lt;$F$4)&gt;0,"FCF below dvd  ","")&amp;IF(ISNUMBER($AU111)*(N($AU111)&gt;$H$4)&gt;0,"leverage high","")))</f>
        <v/>
      </c>
      <c r="AZ111" s="86">
        <f>IF($C111="","",IF(HSI!$F$106="HKD","",HSI!$F$106))</f>
        <v/>
      </c>
    </row>
    <row r="112">
      <c r="B112" s="66" t="inlineStr">
        <is>
          <t>HSTECH</t>
        </is>
      </c>
      <c r="C112" s="8">
        <f>IF(HSTECH!$C$7="","",HSTECH!$C$7)</f>
        <v/>
      </c>
      <c r="D112" s="8">
        <f>IF($C112="","",HSTECH!$D$7)</f>
        <v/>
      </c>
      <c r="E112" s="8">
        <f>IF($C112="","",HSTECH!$E$7)</f>
        <v/>
      </c>
      <c r="F112" s="67">
        <f>IF($C112="","",SUMPRODUCT(('Dvd Calendar'!$E$1116:$AR$1116&gt;=DATE(YEAR_Y-5,1,1))*('Dvd Calendar'!$E$1116:$AR$1116&lt;=DATE(YEAR_Y-5,12,31))*'Dvd Calendar'!$E$1119:$AR$1119*(('Dvd Calendar'!$E$1121:$AR$1121=TYPE1)*(TYPE1&lt;&gt;"")+('Dvd Calendar'!$E$1121:$AR$1121=TYPE2)*(TYPE2&lt;&gt;"")+('Dvd Calendar'!$E$1121:$AR$1121=TYPE3)*(TYPE3&lt;&gt;"")+('Dvd Calendar'!$E$1121:$AR$1121=TYPE4)*(TYPE4&lt;&gt;"")+('Dvd Calendar'!$E$1121:$AR$1121=SPECIAL_LBL)*(INC_SPECIALS="Y"))))</f>
        <v/>
      </c>
      <c r="G112" s="68">
        <f>IF($C112="","",SUMPRODUCT(('Dvd Calendar'!$E$1116:$AR$1116&gt;=DATE(YEAR_Y-4,1,1))*('Dvd Calendar'!$E$1116:$AR$1116&lt;=DATE(YEAR_Y-4,12,31))*'Dvd Calendar'!$E$1119:$AR$1119*(('Dvd Calendar'!$E$1121:$AR$1121=TYPE1)*(TYPE1&lt;&gt;"")+('Dvd Calendar'!$E$1121:$AR$1121=TYPE2)*(TYPE2&lt;&gt;"")+('Dvd Calendar'!$E$1121:$AR$1121=TYPE3)*(TYPE3&lt;&gt;"")+('Dvd Calendar'!$E$1121:$AR$1121=TYPE4)*(TYPE4&lt;&gt;"")+('Dvd Calendar'!$E$1121:$AR$1121=SPECIAL_LBL)*(INC_SPECIALS="Y"))))</f>
        <v/>
      </c>
      <c r="H112" s="68">
        <f>IF($C112="","",SUMPRODUCT(('Dvd Calendar'!$E$1116:$AR$1116&gt;=DATE(YEAR_Y-3,1,1))*('Dvd Calendar'!$E$1116:$AR$1116&lt;=DATE(YEAR_Y-3,12,31))*'Dvd Calendar'!$E$1119:$AR$1119*(('Dvd Calendar'!$E$1121:$AR$1121=TYPE1)*(TYPE1&lt;&gt;"")+('Dvd Calendar'!$E$1121:$AR$1121=TYPE2)*(TYPE2&lt;&gt;"")+('Dvd Calendar'!$E$1121:$AR$1121=TYPE3)*(TYPE3&lt;&gt;"")+('Dvd Calendar'!$E$1121:$AR$1121=TYPE4)*(TYPE4&lt;&gt;"")+('Dvd Calendar'!$E$1121:$AR$1121=SPECIAL_LBL)*(INC_SPECIALS="Y"))))</f>
        <v/>
      </c>
      <c r="I112" s="68">
        <f>IF($C112="","",SUMPRODUCT(('Dvd Calendar'!$E$1116:$AR$1116&gt;=DATE(YEAR_Y-2,1,1))*('Dvd Calendar'!$E$1116:$AR$1116&lt;=DATE(YEAR_Y-2,12,31))*'Dvd Calendar'!$E$1119:$AR$1119*(('Dvd Calendar'!$E$1121:$AR$1121=TYPE1)*(TYPE1&lt;&gt;"")+('Dvd Calendar'!$E$1121:$AR$1121=TYPE2)*(TYPE2&lt;&gt;"")+('Dvd Calendar'!$E$1121:$AR$1121=TYPE3)*(TYPE3&lt;&gt;"")+('Dvd Calendar'!$E$1121:$AR$1121=TYPE4)*(TYPE4&lt;&gt;"")+('Dvd Calendar'!$E$1121:$AR$1121=SPECIAL_LBL)*(INC_SPECIALS="Y"))))</f>
        <v/>
      </c>
      <c r="J112" s="68">
        <f>IF($C112="","",SUMPRODUCT(('Dvd Calendar'!$E$1116:$AR$1116&gt;=DATE(YEAR_Y-1,1,1))*('Dvd Calendar'!$E$1116:$AR$1116&lt;=DATE(YEAR_Y-1,12,31))*'Dvd Calendar'!$E$1119:$AR$1119*(('Dvd Calendar'!$E$1121:$AR$1121=TYPE1)*(TYPE1&lt;&gt;"")+('Dvd Calendar'!$E$1121:$AR$1121=TYPE2)*(TYPE2&lt;&gt;"")+('Dvd Calendar'!$E$1121:$AR$1121=TYPE3)*(TYPE3&lt;&gt;"")+('Dvd Calendar'!$E$1121:$AR$1121=TYPE4)*(TYPE4&lt;&gt;"")+('Dvd Calendar'!$E$1121:$AR$1121=SPECIAL_LBL)*(INC_SPECIALS="Y"))))</f>
        <v/>
      </c>
      <c r="K112" s="69">
        <f>IF($C112="","",HSTECH!$J$7)</f>
        <v/>
      </c>
      <c r="L112" s="69">
        <f>IF($C112="","",HSTECH!$K$7)</f>
        <v/>
      </c>
      <c r="M112" s="44">
        <f>IF($C112="","",HSTECH!$J$7+HSTECH!$L$7)</f>
        <v/>
      </c>
      <c r="N112" s="70">
        <f>IF($C112="","",IF(PULL_FUND="N","",IFERROR(BDP($C112,BESTDPS_FIELD,FWD_OVERRIDE,TEXT(MOD(YEAR_Y,100),"00")&amp;"Y"),"")))</f>
        <v/>
      </c>
      <c r="O112" s="69">
        <f>IF($C112="","",AVERAGE(F112:J112))</f>
        <v/>
      </c>
      <c r="P112" s="71">
        <f>IF($C112="","",IF(PULL_FUND="N","",IF(COUNTIFS('Fund History'!$J$612:$J$616,"&gt;="&amp;DATE(YEAR_Y-5,1,1),'Fund History'!$J$612:$J$616,"&lt;="&amp;DATE(YEAR_Y-5,12,31))=0,"",IFERROR($F112*HSTECH!$G$7/SUMIFS('Fund History'!$K$612:$K$616,'Fund History'!$J$612:$J$616,"&gt;="&amp;DATE(YEAR_Y-5,1,1),'Fund History'!$J$612:$J$616,"&lt;="&amp;DATE(YEAR_Y-5,12,31)),""))))</f>
        <v/>
      </c>
      <c r="Q112" s="72">
        <f>IF($C112="","",IF(PULL_FUND="N","",IF(COUNTIFS('Fund History'!$J$612:$J$616,"&gt;="&amp;DATE(YEAR_Y-4,1,1),'Fund History'!$J$612:$J$616,"&lt;="&amp;DATE(YEAR_Y-4,12,31))=0,"",IFERROR($G112*HSTECH!$G$7/SUMIFS('Fund History'!$K$612:$K$616,'Fund History'!$J$612:$J$616,"&gt;="&amp;DATE(YEAR_Y-4,1,1),'Fund History'!$J$612:$J$616,"&lt;="&amp;DATE(YEAR_Y-4,12,31)),""))))</f>
        <v/>
      </c>
      <c r="R112" s="72">
        <f>IF($C112="","",IF(PULL_FUND="N","",IF(COUNTIFS('Fund History'!$J$612:$J$616,"&gt;="&amp;DATE(YEAR_Y-3,1,1),'Fund History'!$J$612:$J$616,"&lt;="&amp;DATE(YEAR_Y-3,12,31))=0,"",IFERROR($H112*HSTECH!$G$7/SUMIFS('Fund History'!$K$612:$K$616,'Fund History'!$J$612:$J$616,"&gt;="&amp;DATE(YEAR_Y-3,1,1),'Fund History'!$J$612:$J$616,"&lt;="&amp;DATE(YEAR_Y-3,12,31)),""))))</f>
        <v/>
      </c>
      <c r="S112" s="72">
        <f>IF($C112="","",IF(PULL_FUND="N","",IF(COUNTIFS('Fund History'!$J$612:$J$616,"&gt;="&amp;DATE(YEAR_Y-2,1,1),'Fund History'!$J$612:$J$616,"&lt;="&amp;DATE(YEAR_Y-2,12,31))=0,"",IFERROR($I112*HSTECH!$G$7/SUMIFS('Fund History'!$K$612:$K$616,'Fund History'!$J$612:$J$616,"&gt;="&amp;DATE(YEAR_Y-2,1,1),'Fund History'!$J$612:$J$616,"&lt;="&amp;DATE(YEAR_Y-2,12,31)),""))))</f>
        <v/>
      </c>
      <c r="T112" s="72">
        <f>IF($C112="","",IF(PULL_FUND="N","",IF(COUNTIFS('Fund History'!$J$612:$J$616,"&gt;="&amp;DATE(YEAR_Y-1,1,1),'Fund History'!$J$612:$J$616,"&lt;="&amp;DATE(YEAR_Y-1,12,31))=0,"",IFERROR($J112*HSTECH!$G$7/SUMIFS('Fund History'!$K$612:$K$616,'Fund History'!$J$612:$J$616,"&gt;="&amp;DATE(YEAR_Y-1,1,1),'Fund History'!$J$612:$J$616,"&lt;="&amp;DATE(YEAR_Y-1,12,31)),""))))</f>
        <v/>
      </c>
      <c r="U112" s="73">
        <f>IF($C112="","",IF(ISNUMBER(HSTECH!$I$7),HSTECH!$I$7/100,""))</f>
        <v/>
      </c>
      <c r="V112" s="74">
        <f>IF($C112="","",IF(ISNUMBER(HSTECH!$X$7),IFERROR($M112*HSTECH!$G$7/HSTECH!$X$7,""),""))</f>
        <v/>
      </c>
      <c r="W112" s="73">
        <f>IF($C112="","",IF(ISNUMBER($N112),IFERROR($N112*HSTECH!$G$7/HSTECH!$X$7,""),""))</f>
        <v/>
      </c>
      <c r="X112" s="75">
        <f>IF($C112="","",IF(PULL_FUND="N","",IFERROR(BDP($C112,EPS_FIELD,YR_OVERRIDE,TEXT(YEAR_Y-5,"0")),"")))</f>
        <v/>
      </c>
      <c r="Y112" s="76">
        <f>IF($C112="","",IF(PULL_FUND="N","",IFERROR(BDP($C112,EPS_FIELD,YR_OVERRIDE,TEXT(YEAR_Y-4,"0")),"")))</f>
        <v/>
      </c>
      <c r="Z112" s="76">
        <f>IF($C112="","",IF(PULL_FUND="N","",IFERROR(BDP($C112,EPS_FIELD,YR_OVERRIDE,TEXT(YEAR_Y-3,"0")),"")))</f>
        <v/>
      </c>
      <c r="AA112" s="76">
        <f>IF($C112="","",IF(PULL_FUND="N","",IFERROR(BDP($C112,EPS_FIELD,YR_OVERRIDE,TEXT(YEAR_Y-2,"0")),"")))</f>
        <v/>
      </c>
      <c r="AB112" s="76">
        <f>IF($C112="","",IF(PULL_FUND="N","",IFERROR(BDP($C112,EPS_FIELD,YR_OVERRIDE,TEXT(YEAR_Y-1,"0")),"")))</f>
        <v/>
      </c>
      <c r="AC112" s="50">
        <f>IF($C112="","",IFERROR(AVERAGE(X112:AB112),""))</f>
        <v/>
      </c>
      <c r="AD112" s="76">
        <f>IF($C112="","",IF(PULL_FUND="N","",IFERROR(BDP($C112,BESTEPS_FIELD,FWD_OVERRIDE,TEXT(MOD(YEAR_Y,100),"00")&amp;"Y"),"")))</f>
        <v/>
      </c>
      <c r="AE112" s="77">
        <f>IF($C112="","",IF(PULL_FUND="N","",IFERROR(BDP($C112,PAYOUT_FIELD,YR_OVERRIDE,TEXT(YEAR_Y-5,"0"))/100,"")))</f>
        <v/>
      </c>
      <c r="AF112" s="78">
        <f>IF($C112="","",IF(PULL_FUND="N","",IFERROR(BDP($C112,PAYOUT_FIELD,YR_OVERRIDE,TEXT(YEAR_Y-4,"0"))/100,"")))</f>
        <v/>
      </c>
      <c r="AG112" s="78">
        <f>IF($C112="","",IF(PULL_FUND="N","",IFERROR(BDP($C112,PAYOUT_FIELD,YR_OVERRIDE,TEXT(YEAR_Y-3,"0"))/100,"")))</f>
        <v/>
      </c>
      <c r="AH112" s="78">
        <f>IF($C112="","",IF(PULL_FUND="N","",IFERROR(BDP($C112,PAYOUT_FIELD,YR_OVERRIDE,TEXT(YEAR_Y-2,"0"))/100,"")))</f>
        <v/>
      </c>
      <c r="AI112" s="78">
        <f>IF($C112="","",IF(PULL_FUND="N","",IFERROR(BDP($C112,PAYOUT_FIELD,YR_OVERRIDE,TEXT(YEAR_Y-1,"0"))/100,"")))</f>
        <v/>
      </c>
      <c r="AJ112" s="79">
        <f>IF($C112="","",IFERROR(AVERAGE(AE112:AI112),""))</f>
        <v/>
      </c>
      <c r="AK112" s="80">
        <f>IF($C112="","",IF(ISNUMBER($AD112)*ISNUMBER($N112)*($AD112&lt;&gt;0)=0,"",$N112/$AD112))</f>
        <v/>
      </c>
      <c r="AL112" s="79">
        <f>IF($C112="","",IF(ISNUMBER($AD112)*($AD112&lt;&gt;0)=0,"",$M112/$AD112))</f>
        <v/>
      </c>
      <c r="AM112" s="37">
        <f>IF($C112="","",IF(ISNUMBER($AE112)*ISNUMBER($AI112)=0,"",IF($AI112&gt;$AE112+0.05,"rising",IF($AI112&lt;$AE112-0.05,"falling","stable"))))</f>
        <v/>
      </c>
      <c r="AN112" s="81">
        <f>IF($C112="","",IF(PULL_FUND="N","",IF(COUNTIFS('Fund History'!$G$612:$G$616,"&gt;="&amp;DATE(YEAR_Y-4,1,1),'Fund History'!$G$612:$G$616,"&lt;="&amp;DATE(YEAR_Y-4,12,31))=0,"",SUMIFS('Fund History'!$H$612:$H$616,'Fund History'!$G$612:$G$616,"&gt;="&amp;DATE(YEAR_Y-4,1,1),'Fund History'!$G$612:$G$616,"&lt;="&amp;DATE(YEAR_Y-4,12,31))/100)))</f>
        <v/>
      </c>
      <c r="AO112" s="82">
        <f>IF($C112="","",IF(PULL_FUND="N","",IF(COUNTIFS('Fund History'!$G$612:$G$616,"&gt;="&amp;DATE(YEAR_Y-3,1,1),'Fund History'!$G$612:$G$616,"&lt;="&amp;DATE(YEAR_Y-3,12,31))=0,"",SUMIFS('Fund History'!$H$612:$H$616,'Fund History'!$G$612:$G$616,"&gt;="&amp;DATE(YEAR_Y-3,1,1),'Fund History'!$G$612:$G$616,"&lt;="&amp;DATE(YEAR_Y-3,12,31))/100)))</f>
        <v/>
      </c>
      <c r="AP112" s="82">
        <f>IF($C112="","",IF(PULL_FUND="N","",IF(COUNTIFS('Fund History'!$G$612:$G$616,"&gt;="&amp;DATE(YEAR_Y-2,1,1),'Fund History'!$G$612:$G$616,"&lt;="&amp;DATE(YEAR_Y-2,12,31))=0,"",SUMIFS('Fund History'!$H$612:$H$616,'Fund History'!$G$612:$G$616,"&gt;="&amp;DATE(YEAR_Y-2,1,1),'Fund History'!$G$612:$G$616,"&lt;="&amp;DATE(YEAR_Y-2,12,31))/100)))</f>
        <v/>
      </c>
      <c r="AQ112" s="82">
        <f>IF($C112="","",IF(PULL_FUND="N","",IF(COUNTIFS('Fund History'!$G$612:$G$616,"&gt;="&amp;DATE(YEAR_Y-1,1,1),'Fund History'!$G$612:$G$616,"&lt;="&amp;DATE(YEAR_Y-1,12,31))=0,"",SUMIFS('Fund History'!$H$612:$H$616,'Fund History'!$G$612:$G$616,"&gt;="&amp;DATE(YEAR_Y-1,1,1),'Fund History'!$G$612:$G$616,"&lt;="&amp;DATE(YEAR_Y-1,12,31))/100)))</f>
        <v/>
      </c>
      <c r="AR112" s="83">
        <f>IF($C112="","",IF(N($AQ112)+N(HSTECH!$I$7)=0,"",N($AQ112)+N(HSTECH!$I$7)/100))</f>
        <v/>
      </c>
      <c r="AS112" s="75">
        <f>IF($C112="","",IF(PULL_FUND="N","",IF(COUNTIFS('Fund History'!$D$612:$D$616,"&gt;="&amp;DATE(YEAR_Y-2,1,1),'Fund History'!$D$612:$D$616,"&lt;="&amp;DATE(YEAR_Y-2,12,31))=0,"",SUMIFS('Fund History'!$E$612:$E$616,'Fund History'!$D$612:$D$616,"&gt;="&amp;DATE(YEAR_Y-2,1,1),'Fund History'!$D$612:$D$616,"&lt;="&amp;DATE(YEAR_Y-2,12,31)))))</f>
        <v/>
      </c>
      <c r="AT112" s="76">
        <f>IF($C112="","",IF(PULL_FUND="N","",IF(COUNTIFS('Fund History'!$D$612:$D$616,"&gt;="&amp;DATE(YEAR_Y-1,1,1),'Fund History'!$D$612:$D$616,"&lt;="&amp;DATE(YEAR_Y-1,12,31))=0,"",SUMIFS('Fund History'!$E$612:$E$616,'Fund History'!$D$612:$D$616,"&gt;="&amp;DATE(YEAR_Y-1,1,1),'Fund History'!$D$612:$D$616,"&lt;="&amp;DATE(YEAR_Y-1,12,31)))))</f>
        <v/>
      </c>
      <c r="AU112" s="76">
        <f>IF($C112="","",IF(PULL_FUND="N","",IFERROR(BDP($C112,NDEBITDA_FIELD),"")))</f>
        <v/>
      </c>
      <c r="AV112" s="84">
        <f>IF($C112="","",IF(PULL_FUND="N","",IFERROR(BDP($C112,EBINT_FIELD),"")))</f>
        <v/>
      </c>
      <c r="AW112" s="82">
        <f>IF($C112="","",IF(PULL_FUND="N","",IFERROR(BDP($C112,FCF_FIELD)/100,"")))</f>
        <v/>
      </c>
      <c r="AX112" s="50">
        <f>IF($C112="","",IF(N($U112)=0,"",IFERROR($AW112/$U112,"")))</f>
        <v/>
      </c>
      <c r="AY112" s="85">
        <f>IF($C112="","",TRIM(IF(ISNUMBER($AJ112)*(N($AJ112)&gt;$D$4)&gt;0,"payout high  ","")&amp;IF(ISNUMBER($AX112)*(N($AX112)&lt;$F$4)&gt;0,"FCF below dvd  ","")&amp;IF(ISNUMBER($AU112)*(N($AU112)&gt;$H$4)&gt;0,"leverage high","")))</f>
        <v/>
      </c>
      <c r="AZ112" s="86">
        <f>IF($C112="","",IF(HSTECH!$F$7="HKD","",HSTECH!$F$7))</f>
        <v/>
      </c>
    </row>
    <row r="113">
      <c r="B113" s="66" t="inlineStr">
        <is>
          <t>HSTECH</t>
        </is>
      </c>
      <c r="C113" s="8">
        <f>IF(HSTECH!$C$8="","",HSTECH!$C$8)</f>
        <v/>
      </c>
      <c r="D113" s="8">
        <f>IF($C113="","",HSTECH!$D$8)</f>
        <v/>
      </c>
      <c r="E113" s="8">
        <f>IF($C113="","",HSTECH!$E$8)</f>
        <v/>
      </c>
      <c r="F113" s="67">
        <f>IF($C113="","",SUMPRODUCT(('Dvd Calendar'!$E$1127:$AR$1127&gt;=DATE(YEAR_Y-5,1,1))*('Dvd Calendar'!$E$1127:$AR$1127&lt;=DATE(YEAR_Y-5,12,31))*'Dvd Calendar'!$E$1130:$AR$1130*(('Dvd Calendar'!$E$1132:$AR$1132=TYPE1)*(TYPE1&lt;&gt;"")+('Dvd Calendar'!$E$1132:$AR$1132=TYPE2)*(TYPE2&lt;&gt;"")+('Dvd Calendar'!$E$1132:$AR$1132=TYPE3)*(TYPE3&lt;&gt;"")+('Dvd Calendar'!$E$1132:$AR$1132=TYPE4)*(TYPE4&lt;&gt;"")+('Dvd Calendar'!$E$1132:$AR$1132=SPECIAL_LBL)*(INC_SPECIALS="Y"))))</f>
        <v/>
      </c>
      <c r="G113" s="68">
        <f>IF($C113="","",SUMPRODUCT(('Dvd Calendar'!$E$1127:$AR$1127&gt;=DATE(YEAR_Y-4,1,1))*('Dvd Calendar'!$E$1127:$AR$1127&lt;=DATE(YEAR_Y-4,12,31))*'Dvd Calendar'!$E$1130:$AR$1130*(('Dvd Calendar'!$E$1132:$AR$1132=TYPE1)*(TYPE1&lt;&gt;"")+('Dvd Calendar'!$E$1132:$AR$1132=TYPE2)*(TYPE2&lt;&gt;"")+('Dvd Calendar'!$E$1132:$AR$1132=TYPE3)*(TYPE3&lt;&gt;"")+('Dvd Calendar'!$E$1132:$AR$1132=TYPE4)*(TYPE4&lt;&gt;"")+('Dvd Calendar'!$E$1132:$AR$1132=SPECIAL_LBL)*(INC_SPECIALS="Y"))))</f>
        <v/>
      </c>
      <c r="H113" s="68">
        <f>IF($C113="","",SUMPRODUCT(('Dvd Calendar'!$E$1127:$AR$1127&gt;=DATE(YEAR_Y-3,1,1))*('Dvd Calendar'!$E$1127:$AR$1127&lt;=DATE(YEAR_Y-3,12,31))*'Dvd Calendar'!$E$1130:$AR$1130*(('Dvd Calendar'!$E$1132:$AR$1132=TYPE1)*(TYPE1&lt;&gt;"")+('Dvd Calendar'!$E$1132:$AR$1132=TYPE2)*(TYPE2&lt;&gt;"")+('Dvd Calendar'!$E$1132:$AR$1132=TYPE3)*(TYPE3&lt;&gt;"")+('Dvd Calendar'!$E$1132:$AR$1132=TYPE4)*(TYPE4&lt;&gt;"")+('Dvd Calendar'!$E$1132:$AR$1132=SPECIAL_LBL)*(INC_SPECIALS="Y"))))</f>
        <v/>
      </c>
      <c r="I113" s="68">
        <f>IF($C113="","",SUMPRODUCT(('Dvd Calendar'!$E$1127:$AR$1127&gt;=DATE(YEAR_Y-2,1,1))*('Dvd Calendar'!$E$1127:$AR$1127&lt;=DATE(YEAR_Y-2,12,31))*'Dvd Calendar'!$E$1130:$AR$1130*(('Dvd Calendar'!$E$1132:$AR$1132=TYPE1)*(TYPE1&lt;&gt;"")+('Dvd Calendar'!$E$1132:$AR$1132=TYPE2)*(TYPE2&lt;&gt;"")+('Dvd Calendar'!$E$1132:$AR$1132=TYPE3)*(TYPE3&lt;&gt;"")+('Dvd Calendar'!$E$1132:$AR$1132=TYPE4)*(TYPE4&lt;&gt;"")+('Dvd Calendar'!$E$1132:$AR$1132=SPECIAL_LBL)*(INC_SPECIALS="Y"))))</f>
        <v/>
      </c>
      <c r="J113" s="68">
        <f>IF($C113="","",SUMPRODUCT(('Dvd Calendar'!$E$1127:$AR$1127&gt;=DATE(YEAR_Y-1,1,1))*('Dvd Calendar'!$E$1127:$AR$1127&lt;=DATE(YEAR_Y-1,12,31))*'Dvd Calendar'!$E$1130:$AR$1130*(('Dvd Calendar'!$E$1132:$AR$1132=TYPE1)*(TYPE1&lt;&gt;"")+('Dvd Calendar'!$E$1132:$AR$1132=TYPE2)*(TYPE2&lt;&gt;"")+('Dvd Calendar'!$E$1132:$AR$1132=TYPE3)*(TYPE3&lt;&gt;"")+('Dvd Calendar'!$E$1132:$AR$1132=TYPE4)*(TYPE4&lt;&gt;"")+('Dvd Calendar'!$E$1132:$AR$1132=SPECIAL_LBL)*(INC_SPECIALS="Y"))))</f>
        <v/>
      </c>
      <c r="K113" s="69">
        <f>IF($C113="","",HSTECH!$J$8)</f>
        <v/>
      </c>
      <c r="L113" s="69">
        <f>IF($C113="","",HSTECH!$K$8)</f>
        <v/>
      </c>
      <c r="M113" s="44">
        <f>IF($C113="","",HSTECH!$J$8+HSTECH!$L$8)</f>
        <v/>
      </c>
      <c r="N113" s="70">
        <f>IF($C113="","",IF(PULL_FUND="N","",IFERROR(BDP($C113,BESTDPS_FIELD,FWD_OVERRIDE,TEXT(MOD(YEAR_Y,100),"00")&amp;"Y"),"")))</f>
        <v/>
      </c>
      <c r="O113" s="69">
        <f>IF($C113="","",AVERAGE(F113:J113))</f>
        <v/>
      </c>
      <c r="P113" s="71">
        <f>IF($C113="","",IF(PULL_FUND="N","",IF(COUNTIFS('Fund History'!$J$618:$J$622,"&gt;="&amp;DATE(YEAR_Y-5,1,1),'Fund History'!$J$618:$J$622,"&lt;="&amp;DATE(YEAR_Y-5,12,31))=0,"",IFERROR($F113*HSTECH!$G$8/SUMIFS('Fund History'!$K$618:$K$622,'Fund History'!$J$618:$J$622,"&gt;="&amp;DATE(YEAR_Y-5,1,1),'Fund History'!$J$618:$J$622,"&lt;="&amp;DATE(YEAR_Y-5,12,31)),""))))</f>
        <v/>
      </c>
      <c r="Q113" s="72">
        <f>IF($C113="","",IF(PULL_FUND="N","",IF(COUNTIFS('Fund History'!$J$618:$J$622,"&gt;="&amp;DATE(YEAR_Y-4,1,1),'Fund History'!$J$618:$J$622,"&lt;="&amp;DATE(YEAR_Y-4,12,31))=0,"",IFERROR($G113*HSTECH!$G$8/SUMIFS('Fund History'!$K$618:$K$622,'Fund History'!$J$618:$J$622,"&gt;="&amp;DATE(YEAR_Y-4,1,1),'Fund History'!$J$618:$J$622,"&lt;="&amp;DATE(YEAR_Y-4,12,31)),""))))</f>
        <v/>
      </c>
      <c r="R113" s="72">
        <f>IF($C113="","",IF(PULL_FUND="N","",IF(COUNTIFS('Fund History'!$J$618:$J$622,"&gt;="&amp;DATE(YEAR_Y-3,1,1),'Fund History'!$J$618:$J$622,"&lt;="&amp;DATE(YEAR_Y-3,12,31))=0,"",IFERROR($H113*HSTECH!$G$8/SUMIFS('Fund History'!$K$618:$K$622,'Fund History'!$J$618:$J$622,"&gt;="&amp;DATE(YEAR_Y-3,1,1),'Fund History'!$J$618:$J$622,"&lt;="&amp;DATE(YEAR_Y-3,12,31)),""))))</f>
        <v/>
      </c>
      <c r="S113" s="72">
        <f>IF($C113="","",IF(PULL_FUND="N","",IF(COUNTIFS('Fund History'!$J$618:$J$622,"&gt;="&amp;DATE(YEAR_Y-2,1,1),'Fund History'!$J$618:$J$622,"&lt;="&amp;DATE(YEAR_Y-2,12,31))=0,"",IFERROR($I113*HSTECH!$G$8/SUMIFS('Fund History'!$K$618:$K$622,'Fund History'!$J$618:$J$622,"&gt;="&amp;DATE(YEAR_Y-2,1,1),'Fund History'!$J$618:$J$622,"&lt;="&amp;DATE(YEAR_Y-2,12,31)),""))))</f>
        <v/>
      </c>
      <c r="T113" s="72">
        <f>IF($C113="","",IF(PULL_FUND="N","",IF(COUNTIFS('Fund History'!$J$618:$J$622,"&gt;="&amp;DATE(YEAR_Y-1,1,1),'Fund History'!$J$618:$J$622,"&lt;="&amp;DATE(YEAR_Y-1,12,31))=0,"",IFERROR($J113*HSTECH!$G$8/SUMIFS('Fund History'!$K$618:$K$622,'Fund History'!$J$618:$J$622,"&gt;="&amp;DATE(YEAR_Y-1,1,1),'Fund History'!$J$618:$J$622,"&lt;="&amp;DATE(YEAR_Y-1,12,31)),""))))</f>
        <v/>
      </c>
      <c r="U113" s="73">
        <f>IF($C113="","",IF(ISNUMBER(HSTECH!$I$8),HSTECH!$I$8/100,""))</f>
        <v/>
      </c>
      <c r="V113" s="74">
        <f>IF($C113="","",IF(ISNUMBER(HSTECH!$X$8),IFERROR($M113*HSTECH!$G$8/HSTECH!$X$8,""),""))</f>
        <v/>
      </c>
      <c r="W113" s="73">
        <f>IF($C113="","",IF(ISNUMBER($N113),IFERROR($N113*HSTECH!$G$8/HSTECH!$X$8,""),""))</f>
        <v/>
      </c>
      <c r="X113" s="75">
        <f>IF($C113="","",IF(PULL_FUND="N","",IFERROR(BDP($C113,EPS_FIELD,YR_OVERRIDE,TEXT(YEAR_Y-5,"0")),"")))</f>
        <v/>
      </c>
      <c r="Y113" s="76">
        <f>IF($C113="","",IF(PULL_FUND="N","",IFERROR(BDP($C113,EPS_FIELD,YR_OVERRIDE,TEXT(YEAR_Y-4,"0")),"")))</f>
        <v/>
      </c>
      <c r="Z113" s="76">
        <f>IF($C113="","",IF(PULL_FUND="N","",IFERROR(BDP($C113,EPS_FIELD,YR_OVERRIDE,TEXT(YEAR_Y-3,"0")),"")))</f>
        <v/>
      </c>
      <c r="AA113" s="76">
        <f>IF($C113="","",IF(PULL_FUND="N","",IFERROR(BDP($C113,EPS_FIELD,YR_OVERRIDE,TEXT(YEAR_Y-2,"0")),"")))</f>
        <v/>
      </c>
      <c r="AB113" s="76">
        <f>IF($C113="","",IF(PULL_FUND="N","",IFERROR(BDP($C113,EPS_FIELD,YR_OVERRIDE,TEXT(YEAR_Y-1,"0")),"")))</f>
        <v/>
      </c>
      <c r="AC113" s="50">
        <f>IF($C113="","",IFERROR(AVERAGE(X113:AB113),""))</f>
        <v/>
      </c>
      <c r="AD113" s="76">
        <f>IF($C113="","",IF(PULL_FUND="N","",IFERROR(BDP($C113,BESTEPS_FIELD,FWD_OVERRIDE,TEXT(MOD(YEAR_Y,100),"00")&amp;"Y"),"")))</f>
        <v/>
      </c>
      <c r="AE113" s="77">
        <f>IF($C113="","",IF(PULL_FUND="N","",IFERROR(BDP($C113,PAYOUT_FIELD,YR_OVERRIDE,TEXT(YEAR_Y-5,"0"))/100,"")))</f>
        <v/>
      </c>
      <c r="AF113" s="78">
        <f>IF($C113="","",IF(PULL_FUND="N","",IFERROR(BDP($C113,PAYOUT_FIELD,YR_OVERRIDE,TEXT(YEAR_Y-4,"0"))/100,"")))</f>
        <v/>
      </c>
      <c r="AG113" s="78">
        <f>IF($C113="","",IF(PULL_FUND="N","",IFERROR(BDP($C113,PAYOUT_FIELD,YR_OVERRIDE,TEXT(YEAR_Y-3,"0"))/100,"")))</f>
        <v/>
      </c>
      <c r="AH113" s="78">
        <f>IF($C113="","",IF(PULL_FUND="N","",IFERROR(BDP($C113,PAYOUT_FIELD,YR_OVERRIDE,TEXT(YEAR_Y-2,"0"))/100,"")))</f>
        <v/>
      </c>
      <c r="AI113" s="78">
        <f>IF($C113="","",IF(PULL_FUND="N","",IFERROR(BDP($C113,PAYOUT_FIELD,YR_OVERRIDE,TEXT(YEAR_Y-1,"0"))/100,"")))</f>
        <v/>
      </c>
      <c r="AJ113" s="79">
        <f>IF($C113="","",IFERROR(AVERAGE(AE113:AI113),""))</f>
        <v/>
      </c>
      <c r="AK113" s="80">
        <f>IF($C113="","",IF(ISNUMBER($AD113)*ISNUMBER($N113)*($AD113&lt;&gt;0)=0,"",$N113/$AD113))</f>
        <v/>
      </c>
      <c r="AL113" s="79">
        <f>IF($C113="","",IF(ISNUMBER($AD113)*($AD113&lt;&gt;0)=0,"",$M113/$AD113))</f>
        <v/>
      </c>
      <c r="AM113" s="37">
        <f>IF($C113="","",IF(ISNUMBER($AE113)*ISNUMBER($AI113)=0,"",IF($AI113&gt;$AE113+0.05,"rising",IF($AI113&lt;$AE113-0.05,"falling","stable"))))</f>
        <v/>
      </c>
      <c r="AN113" s="81">
        <f>IF($C113="","",IF(PULL_FUND="N","",IF(COUNTIFS('Fund History'!$G$618:$G$622,"&gt;="&amp;DATE(YEAR_Y-4,1,1),'Fund History'!$G$618:$G$622,"&lt;="&amp;DATE(YEAR_Y-4,12,31))=0,"",SUMIFS('Fund History'!$H$618:$H$622,'Fund History'!$G$618:$G$622,"&gt;="&amp;DATE(YEAR_Y-4,1,1),'Fund History'!$G$618:$G$622,"&lt;="&amp;DATE(YEAR_Y-4,12,31))/100)))</f>
        <v/>
      </c>
      <c r="AO113" s="82">
        <f>IF($C113="","",IF(PULL_FUND="N","",IF(COUNTIFS('Fund History'!$G$618:$G$622,"&gt;="&amp;DATE(YEAR_Y-3,1,1),'Fund History'!$G$618:$G$622,"&lt;="&amp;DATE(YEAR_Y-3,12,31))=0,"",SUMIFS('Fund History'!$H$618:$H$622,'Fund History'!$G$618:$G$622,"&gt;="&amp;DATE(YEAR_Y-3,1,1),'Fund History'!$G$618:$G$622,"&lt;="&amp;DATE(YEAR_Y-3,12,31))/100)))</f>
        <v/>
      </c>
      <c r="AP113" s="82">
        <f>IF($C113="","",IF(PULL_FUND="N","",IF(COUNTIFS('Fund History'!$G$618:$G$622,"&gt;="&amp;DATE(YEAR_Y-2,1,1),'Fund History'!$G$618:$G$622,"&lt;="&amp;DATE(YEAR_Y-2,12,31))=0,"",SUMIFS('Fund History'!$H$618:$H$622,'Fund History'!$G$618:$G$622,"&gt;="&amp;DATE(YEAR_Y-2,1,1),'Fund History'!$G$618:$G$622,"&lt;="&amp;DATE(YEAR_Y-2,12,31))/100)))</f>
        <v/>
      </c>
      <c r="AQ113" s="82">
        <f>IF($C113="","",IF(PULL_FUND="N","",IF(COUNTIFS('Fund History'!$G$618:$G$622,"&gt;="&amp;DATE(YEAR_Y-1,1,1),'Fund History'!$G$618:$G$622,"&lt;="&amp;DATE(YEAR_Y-1,12,31))=0,"",SUMIFS('Fund History'!$H$618:$H$622,'Fund History'!$G$618:$G$622,"&gt;="&amp;DATE(YEAR_Y-1,1,1),'Fund History'!$G$618:$G$622,"&lt;="&amp;DATE(YEAR_Y-1,12,31))/100)))</f>
        <v/>
      </c>
      <c r="AR113" s="83">
        <f>IF($C113="","",IF(N($AQ113)+N(HSTECH!$I$8)=0,"",N($AQ113)+N(HSTECH!$I$8)/100))</f>
        <v/>
      </c>
      <c r="AS113" s="75">
        <f>IF($C113="","",IF(PULL_FUND="N","",IF(COUNTIFS('Fund History'!$D$618:$D$622,"&gt;="&amp;DATE(YEAR_Y-2,1,1),'Fund History'!$D$618:$D$622,"&lt;="&amp;DATE(YEAR_Y-2,12,31))=0,"",SUMIFS('Fund History'!$E$618:$E$622,'Fund History'!$D$618:$D$622,"&gt;="&amp;DATE(YEAR_Y-2,1,1),'Fund History'!$D$618:$D$622,"&lt;="&amp;DATE(YEAR_Y-2,12,31)))))</f>
        <v/>
      </c>
      <c r="AT113" s="76">
        <f>IF($C113="","",IF(PULL_FUND="N","",IF(COUNTIFS('Fund History'!$D$618:$D$622,"&gt;="&amp;DATE(YEAR_Y-1,1,1),'Fund History'!$D$618:$D$622,"&lt;="&amp;DATE(YEAR_Y-1,12,31))=0,"",SUMIFS('Fund History'!$E$618:$E$622,'Fund History'!$D$618:$D$622,"&gt;="&amp;DATE(YEAR_Y-1,1,1),'Fund History'!$D$618:$D$622,"&lt;="&amp;DATE(YEAR_Y-1,12,31)))))</f>
        <v/>
      </c>
      <c r="AU113" s="76">
        <f>IF($C113="","",IF(PULL_FUND="N","",IFERROR(BDP($C113,NDEBITDA_FIELD),"")))</f>
        <v/>
      </c>
      <c r="AV113" s="84">
        <f>IF($C113="","",IF(PULL_FUND="N","",IFERROR(BDP($C113,EBINT_FIELD),"")))</f>
        <v/>
      </c>
      <c r="AW113" s="82">
        <f>IF($C113="","",IF(PULL_FUND="N","",IFERROR(BDP($C113,FCF_FIELD)/100,"")))</f>
        <v/>
      </c>
      <c r="AX113" s="50">
        <f>IF($C113="","",IF(N($U113)=0,"",IFERROR($AW113/$U113,"")))</f>
        <v/>
      </c>
      <c r="AY113" s="85">
        <f>IF($C113="","",TRIM(IF(ISNUMBER($AJ113)*(N($AJ113)&gt;$D$4)&gt;0,"payout high  ","")&amp;IF(ISNUMBER($AX113)*(N($AX113)&lt;$F$4)&gt;0,"FCF below dvd  ","")&amp;IF(ISNUMBER($AU113)*(N($AU113)&gt;$H$4)&gt;0,"leverage high","")))</f>
        <v/>
      </c>
      <c r="AZ113" s="86">
        <f>IF($C113="","",IF(HSTECH!$F$8="HKD","",HSTECH!$F$8))</f>
        <v/>
      </c>
    </row>
    <row r="114">
      <c r="B114" s="66" t="inlineStr">
        <is>
          <t>HSTECH</t>
        </is>
      </c>
      <c r="C114" s="8">
        <f>IF(HSTECH!$C$9="","",HSTECH!$C$9)</f>
        <v/>
      </c>
      <c r="D114" s="8">
        <f>IF($C114="","",HSTECH!$D$9)</f>
        <v/>
      </c>
      <c r="E114" s="8">
        <f>IF($C114="","",HSTECH!$E$9)</f>
        <v/>
      </c>
      <c r="F114" s="67">
        <f>IF($C114="","",SUMPRODUCT(('Dvd Calendar'!$E$1138:$AR$1138&gt;=DATE(YEAR_Y-5,1,1))*('Dvd Calendar'!$E$1138:$AR$1138&lt;=DATE(YEAR_Y-5,12,31))*'Dvd Calendar'!$E$1141:$AR$1141*(('Dvd Calendar'!$E$1143:$AR$1143=TYPE1)*(TYPE1&lt;&gt;"")+('Dvd Calendar'!$E$1143:$AR$1143=TYPE2)*(TYPE2&lt;&gt;"")+('Dvd Calendar'!$E$1143:$AR$1143=TYPE3)*(TYPE3&lt;&gt;"")+('Dvd Calendar'!$E$1143:$AR$1143=TYPE4)*(TYPE4&lt;&gt;"")+('Dvd Calendar'!$E$1143:$AR$1143=SPECIAL_LBL)*(INC_SPECIALS="Y"))))</f>
        <v/>
      </c>
      <c r="G114" s="68">
        <f>IF($C114="","",SUMPRODUCT(('Dvd Calendar'!$E$1138:$AR$1138&gt;=DATE(YEAR_Y-4,1,1))*('Dvd Calendar'!$E$1138:$AR$1138&lt;=DATE(YEAR_Y-4,12,31))*'Dvd Calendar'!$E$1141:$AR$1141*(('Dvd Calendar'!$E$1143:$AR$1143=TYPE1)*(TYPE1&lt;&gt;"")+('Dvd Calendar'!$E$1143:$AR$1143=TYPE2)*(TYPE2&lt;&gt;"")+('Dvd Calendar'!$E$1143:$AR$1143=TYPE3)*(TYPE3&lt;&gt;"")+('Dvd Calendar'!$E$1143:$AR$1143=TYPE4)*(TYPE4&lt;&gt;"")+('Dvd Calendar'!$E$1143:$AR$1143=SPECIAL_LBL)*(INC_SPECIALS="Y"))))</f>
        <v/>
      </c>
      <c r="H114" s="68">
        <f>IF($C114="","",SUMPRODUCT(('Dvd Calendar'!$E$1138:$AR$1138&gt;=DATE(YEAR_Y-3,1,1))*('Dvd Calendar'!$E$1138:$AR$1138&lt;=DATE(YEAR_Y-3,12,31))*'Dvd Calendar'!$E$1141:$AR$1141*(('Dvd Calendar'!$E$1143:$AR$1143=TYPE1)*(TYPE1&lt;&gt;"")+('Dvd Calendar'!$E$1143:$AR$1143=TYPE2)*(TYPE2&lt;&gt;"")+('Dvd Calendar'!$E$1143:$AR$1143=TYPE3)*(TYPE3&lt;&gt;"")+('Dvd Calendar'!$E$1143:$AR$1143=TYPE4)*(TYPE4&lt;&gt;"")+('Dvd Calendar'!$E$1143:$AR$1143=SPECIAL_LBL)*(INC_SPECIALS="Y"))))</f>
        <v/>
      </c>
      <c r="I114" s="68">
        <f>IF($C114="","",SUMPRODUCT(('Dvd Calendar'!$E$1138:$AR$1138&gt;=DATE(YEAR_Y-2,1,1))*('Dvd Calendar'!$E$1138:$AR$1138&lt;=DATE(YEAR_Y-2,12,31))*'Dvd Calendar'!$E$1141:$AR$1141*(('Dvd Calendar'!$E$1143:$AR$1143=TYPE1)*(TYPE1&lt;&gt;"")+('Dvd Calendar'!$E$1143:$AR$1143=TYPE2)*(TYPE2&lt;&gt;"")+('Dvd Calendar'!$E$1143:$AR$1143=TYPE3)*(TYPE3&lt;&gt;"")+('Dvd Calendar'!$E$1143:$AR$1143=TYPE4)*(TYPE4&lt;&gt;"")+('Dvd Calendar'!$E$1143:$AR$1143=SPECIAL_LBL)*(INC_SPECIALS="Y"))))</f>
        <v/>
      </c>
      <c r="J114" s="68">
        <f>IF($C114="","",SUMPRODUCT(('Dvd Calendar'!$E$1138:$AR$1138&gt;=DATE(YEAR_Y-1,1,1))*('Dvd Calendar'!$E$1138:$AR$1138&lt;=DATE(YEAR_Y-1,12,31))*'Dvd Calendar'!$E$1141:$AR$1141*(('Dvd Calendar'!$E$1143:$AR$1143=TYPE1)*(TYPE1&lt;&gt;"")+('Dvd Calendar'!$E$1143:$AR$1143=TYPE2)*(TYPE2&lt;&gt;"")+('Dvd Calendar'!$E$1143:$AR$1143=TYPE3)*(TYPE3&lt;&gt;"")+('Dvd Calendar'!$E$1143:$AR$1143=TYPE4)*(TYPE4&lt;&gt;"")+('Dvd Calendar'!$E$1143:$AR$1143=SPECIAL_LBL)*(INC_SPECIALS="Y"))))</f>
        <v/>
      </c>
      <c r="K114" s="69">
        <f>IF($C114="","",HSTECH!$J$9)</f>
        <v/>
      </c>
      <c r="L114" s="69">
        <f>IF($C114="","",HSTECH!$K$9)</f>
        <v/>
      </c>
      <c r="M114" s="44">
        <f>IF($C114="","",HSTECH!$J$9+HSTECH!$L$9)</f>
        <v/>
      </c>
      <c r="N114" s="70">
        <f>IF($C114="","",IF(PULL_FUND="N","",IFERROR(BDP($C114,BESTDPS_FIELD,FWD_OVERRIDE,TEXT(MOD(YEAR_Y,100),"00")&amp;"Y"),"")))</f>
        <v/>
      </c>
      <c r="O114" s="69">
        <f>IF($C114="","",AVERAGE(F114:J114))</f>
        <v/>
      </c>
      <c r="P114" s="71">
        <f>IF($C114="","",IF(PULL_FUND="N","",IF(COUNTIFS('Fund History'!$J$624:$J$628,"&gt;="&amp;DATE(YEAR_Y-5,1,1),'Fund History'!$J$624:$J$628,"&lt;="&amp;DATE(YEAR_Y-5,12,31))=0,"",IFERROR($F114*HSTECH!$G$9/SUMIFS('Fund History'!$K$624:$K$628,'Fund History'!$J$624:$J$628,"&gt;="&amp;DATE(YEAR_Y-5,1,1),'Fund History'!$J$624:$J$628,"&lt;="&amp;DATE(YEAR_Y-5,12,31)),""))))</f>
        <v/>
      </c>
      <c r="Q114" s="72">
        <f>IF($C114="","",IF(PULL_FUND="N","",IF(COUNTIFS('Fund History'!$J$624:$J$628,"&gt;="&amp;DATE(YEAR_Y-4,1,1),'Fund History'!$J$624:$J$628,"&lt;="&amp;DATE(YEAR_Y-4,12,31))=0,"",IFERROR($G114*HSTECH!$G$9/SUMIFS('Fund History'!$K$624:$K$628,'Fund History'!$J$624:$J$628,"&gt;="&amp;DATE(YEAR_Y-4,1,1),'Fund History'!$J$624:$J$628,"&lt;="&amp;DATE(YEAR_Y-4,12,31)),""))))</f>
        <v/>
      </c>
      <c r="R114" s="72">
        <f>IF($C114="","",IF(PULL_FUND="N","",IF(COUNTIFS('Fund History'!$J$624:$J$628,"&gt;="&amp;DATE(YEAR_Y-3,1,1),'Fund History'!$J$624:$J$628,"&lt;="&amp;DATE(YEAR_Y-3,12,31))=0,"",IFERROR($H114*HSTECH!$G$9/SUMIFS('Fund History'!$K$624:$K$628,'Fund History'!$J$624:$J$628,"&gt;="&amp;DATE(YEAR_Y-3,1,1),'Fund History'!$J$624:$J$628,"&lt;="&amp;DATE(YEAR_Y-3,12,31)),""))))</f>
        <v/>
      </c>
      <c r="S114" s="72">
        <f>IF($C114="","",IF(PULL_FUND="N","",IF(COUNTIFS('Fund History'!$J$624:$J$628,"&gt;="&amp;DATE(YEAR_Y-2,1,1),'Fund History'!$J$624:$J$628,"&lt;="&amp;DATE(YEAR_Y-2,12,31))=0,"",IFERROR($I114*HSTECH!$G$9/SUMIFS('Fund History'!$K$624:$K$628,'Fund History'!$J$624:$J$628,"&gt;="&amp;DATE(YEAR_Y-2,1,1),'Fund History'!$J$624:$J$628,"&lt;="&amp;DATE(YEAR_Y-2,12,31)),""))))</f>
        <v/>
      </c>
      <c r="T114" s="72">
        <f>IF($C114="","",IF(PULL_FUND="N","",IF(COUNTIFS('Fund History'!$J$624:$J$628,"&gt;="&amp;DATE(YEAR_Y-1,1,1),'Fund History'!$J$624:$J$628,"&lt;="&amp;DATE(YEAR_Y-1,12,31))=0,"",IFERROR($J114*HSTECH!$G$9/SUMIFS('Fund History'!$K$624:$K$628,'Fund History'!$J$624:$J$628,"&gt;="&amp;DATE(YEAR_Y-1,1,1),'Fund History'!$J$624:$J$628,"&lt;="&amp;DATE(YEAR_Y-1,12,31)),""))))</f>
        <v/>
      </c>
      <c r="U114" s="73">
        <f>IF($C114="","",IF(ISNUMBER(HSTECH!$I$9),HSTECH!$I$9/100,""))</f>
        <v/>
      </c>
      <c r="V114" s="74">
        <f>IF($C114="","",IF(ISNUMBER(HSTECH!$X$9),IFERROR($M114*HSTECH!$G$9/HSTECH!$X$9,""),""))</f>
        <v/>
      </c>
      <c r="W114" s="73">
        <f>IF($C114="","",IF(ISNUMBER($N114),IFERROR($N114*HSTECH!$G$9/HSTECH!$X$9,""),""))</f>
        <v/>
      </c>
      <c r="X114" s="75">
        <f>IF($C114="","",IF(PULL_FUND="N","",IFERROR(BDP($C114,EPS_FIELD,YR_OVERRIDE,TEXT(YEAR_Y-5,"0")),"")))</f>
        <v/>
      </c>
      <c r="Y114" s="76">
        <f>IF($C114="","",IF(PULL_FUND="N","",IFERROR(BDP($C114,EPS_FIELD,YR_OVERRIDE,TEXT(YEAR_Y-4,"0")),"")))</f>
        <v/>
      </c>
      <c r="Z114" s="76">
        <f>IF($C114="","",IF(PULL_FUND="N","",IFERROR(BDP($C114,EPS_FIELD,YR_OVERRIDE,TEXT(YEAR_Y-3,"0")),"")))</f>
        <v/>
      </c>
      <c r="AA114" s="76">
        <f>IF($C114="","",IF(PULL_FUND="N","",IFERROR(BDP($C114,EPS_FIELD,YR_OVERRIDE,TEXT(YEAR_Y-2,"0")),"")))</f>
        <v/>
      </c>
      <c r="AB114" s="76">
        <f>IF($C114="","",IF(PULL_FUND="N","",IFERROR(BDP($C114,EPS_FIELD,YR_OVERRIDE,TEXT(YEAR_Y-1,"0")),"")))</f>
        <v/>
      </c>
      <c r="AC114" s="50">
        <f>IF($C114="","",IFERROR(AVERAGE(X114:AB114),""))</f>
        <v/>
      </c>
      <c r="AD114" s="76">
        <f>IF($C114="","",IF(PULL_FUND="N","",IFERROR(BDP($C114,BESTEPS_FIELD,FWD_OVERRIDE,TEXT(MOD(YEAR_Y,100),"00")&amp;"Y"),"")))</f>
        <v/>
      </c>
      <c r="AE114" s="77">
        <f>IF($C114="","",IF(PULL_FUND="N","",IFERROR(BDP($C114,PAYOUT_FIELD,YR_OVERRIDE,TEXT(YEAR_Y-5,"0"))/100,"")))</f>
        <v/>
      </c>
      <c r="AF114" s="78">
        <f>IF($C114="","",IF(PULL_FUND="N","",IFERROR(BDP($C114,PAYOUT_FIELD,YR_OVERRIDE,TEXT(YEAR_Y-4,"0"))/100,"")))</f>
        <v/>
      </c>
      <c r="AG114" s="78">
        <f>IF($C114="","",IF(PULL_FUND="N","",IFERROR(BDP($C114,PAYOUT_FIELD,YR_OVERRIDE,TEXT(YEAR_Y-3,"0"))/100,"")))</f>
        <v/>
      </c>
      <c r="AH114" s="78">
        <f>IF($C114="","",IF(PULL_FUND="N","",IFERROR(BDP($C114,PAYOUT_FIELD,YR_OVERRIDE,TEXT(YEAR_Y-2,"0"))/100,"")))</f>
        <v/>
      </c>
      <c r="AI114" s="78">
        <f>IF($C114="","",IF(PULL_FUND="N","",IFERROR(BDP($C114,PAYOUT_FIELD,YR_OVERRIDE,TEXT(YEAR_Y-1,"0"))/100,"")))</f>
        <v/>
      </c>
      <c r="AJ114" s="79">
        <f>IF($C114="","",IFERROR(AVERAGE(AE114:AI114),""))</f>
        <v/>
      </c>
      <c r="AK114" s="80">
        <f>IF($C114="","",IF(ISNUMBER($AD114)*ISNUMBER($N114)*($AD114&lt;&gt;0)=0,"",$N114/$AD114))</f>
        <v/>
      </c>
      <c r="AL114" s="79">
        <f>IF($C114="","",IF(ISNUMBER($AD114)*($AD114&lt;&gt;0)=0,"",$M114/$AD114))</f>
        <v/>
      </c>
      <c r="AM114" s="37">
        <f>IF($C114="","",IF(ISNUMBER($AE114)*ISNUMBER($AI114)=0,"",IF($AI114&gt;$AE114+0.05,"rising",IF($AI114&lt;$AE114-0.05,"falling","stable"))))</f>
        <v/>
      </c>
      <c r="AN114" s="81">
        <f>IF($C114="","",IF(PULL_FUND="N","",IF(COUNTIFS('Fund History'!$G$624:$G$628,"&gt;="&amp;DATE(YEAR_Y-4,1,1),'Fund History'!$G$624:$G$628,"&lt;="&amp;DATE(YEAR_Y-4,12,31))=0,"",SUMIFS('Fund History'!$H$624:$H$628,'Fund History'!$G$624:$G$628,"&gt;="&amp;DATE(YEAR_Y-4,1,1),'Fund History'!$G$624:$G$628,"&lt;="&amp;DATE(YEAR_Y-4,12,31))/100)))</f>
        <v/>
      </c>
      <c r="AO114" s="82">
        <f>IF($C114="","",IF(PULL_FUND="N","",IF(COUNTIFS('Fund History'!$G$624:$G$628,"&gt;="&amp;DATE(YEAR_Y-3,1,1),'Fund History'!$G$624:$G$628,"&lt;="&amp;DATE(YEAR_Y-3,12,31))=0,"",SUMIFS('Fund History'!$H$624:$H$628,'Fund History'!$G$624:$G$628,"&gt;="&amp;DATE(YEAR_Y-3,1,1),'Fund History'!$G$624:$G$628,"&lt;="&amp;DATE(YEAR_Y-3,12,31))/100)))</f>
        <v/>
      </c>
      <c r="AP114" s="82">
        <f>IF($C114="","",IF(PULL_FUND="N","",IF(COUNTIFS('Fund History'!$G$624:$G$628,"&gt;="&amp;DATE(YEAR_Y-2,1,1),'Fund History'!$G$624:$G$628,"&lt;="&amp;DATE(YEAR_Y-2,12,31))=0,"",SUMIFS('Fund History'!$H$624:$H$628,'Fund History'!$G$624:$G$628,"&gt;="&amp;DATE(YEAR_Y-2,1,1),'Fund History'!$G$624:$G$628,"&lt;="&amp;DATE(YEAR_Y-2,12,31))/100)))</f>
        <v/>
      </c>
      <c r="AQ114" s="82">
        <f>IF($C114="","",IF(PULL_FUND="N","",IF(COUNTIFS('Fund History'!$G$624:$G$628,"&gt;="&amp;DATE(YEAR_Y-1,1,1),'Fund History'!$G$624:$G$628,"&lt;="&amp;DATE(YEAR_Y-1,12,31))=0,"",SUMIFS('Fund History'!$H$624:$H$628,'Fund History'!$G$624:$G$628,"&gt;="&amp;DATE(YEAR_Y-1,1,1),'Fund History'!$G$624:$G$628,"&lt;="&amp;DATE(YEAR_Y-1,12,31))/100)))</f>
        <v/>
      </c>
      <c r="AR114" s="83">
        <f>IF($C114="","",IF(N($AQ114)+N(HSTECH!$I$9)=0,"",N($AQ114)+N(HSTECH!$I$9)/100))</f>
        <v/>
      </c>
      <c r="AS114" s="75">
        <f>IF($C114="","",IF(PULL_FUND="N","",IF(COUNTIFS('Fund History'!$D$624:$D$628,"&gt;="&amp;DATE(YEAR_Y-2,1,1),'Fund History'!$D$624:$D$628,"&lt;="&amp;DATE(YEAR_Y-2,12,31))=0,"",SUMIFS('Fund History'!$E$624:$E$628,'Fund History'!$D$624:$D$628,"&gt;="&amp;DATE(YEAR_Y-2,1,1),'Fund History'!$D$624:$D$628,"&lt;="&amp;DATE(YEAR_Y-2,12,31)))))</f>
        <v/>
      </c>
      <c r="AT114" s="76">
        <f>IF($C114="","",IF(PULL_FUND="N","",IF(COUNTIFS('Fund History'!$D$624:$D$628,"&gt;="&amp;DATE(YEAR_Y-1,1,1),'Fund History'!$D$624:$D$628,"&lt;="&amp;DATE(YEAR_Y-1,12,31))=0,"",SUMIFS('Fund History'!$E$624:$E$628,'Fund History'!$D$624:$D$628,"&gt;="&amp;DATE(YEAR_Y-1,1,1),'Fund History'!$D$624:$D$628,"&lt;="&amp;DATE(YEAR_Y-1,12,31)))))</f>
        <v/>
      </c>
      <c r="AU114" s="76">
        <f>IF($C114="","",IF(PULL_FUND="N","",IFERROR(BDP($C114,NDEBITDA_FIELD),"")))</f>
        <v/>
      </c>
      <c r="AV114" s="84">
        <f>IF($C114="","",IF(PULL_FUND="N","",IFERROR(BDP($C114,EBINT_FIELD),"")))</f>
        <v/>
      </c>
      <c r="AW114" s="82">
        <f>IF($C114="","",IF(PULL_FUND="N","",IFERROR(BDP($C114,FCF_FIELD)/100,"")))</f>
        <v/>
      </c>
      <c r="AX114" s="50">
        <f>IF($C114="","",IF(N($U114)=0,"",IFERROR($AW114/$U114,"")))</f>
        <v/>
      </c>
      <c r="AY114" s="85">
        <f>IF($C114="","",TRIM(IF(ISNUMBER($AJ114)*(N($AJ114)&gt;$D$4)&gt;0,"payout high  ","")&amp;IF(ISNUMBER($AX114)*(N($AX114)&lt;$F$4)&gt;0,"FCF below dvd  ","")&amp;IF(ISNUMBER($AU114)*(N($AU114)&gt;$H$4)&gt;0,"leverage high","")))</f>
        <v/>
      </c>
      <c r="AZ114" s="86">
        <f>IF($C114="","",IF(HSTECH!$F$9="HKD","",HSTECH!$F$9))</f>
        <v/>
      </c>
    </row>
    <row r="115">
      <c r="B115" s="66" t="inlineStr">
        <is>
          <t>HSTECH</t>
        </is>
      </c>
      <c r="C115" s="8">
        <f>IF(HSTECH!$C$10="","",HSTECH!$C$10)</f>
        <v/>
      </c>
      <c r="D115" s="8">
        <f>IF($C115="","",HSTECH!$D$10)</f>
        <v/>
      </c>
      <c r="E115" s="8">
        <f>IF($C115="","",HSTECH!$E$10)</f>
        <v/>
      </c>
      <c r="F115" s="67">
        <f>IF($C115="","",SUMPRODUCT(('Dvd Calendar'!$E$1149:$AR$1149&gt;=DATE(YEAR_Y-5,1,1))*('Dvd Calendar'!$E$1149:$AR$1149&lt;=DATE(YEAR_Y-5,12,31))*'Dvd Calendar'!$E$1152:$AR$1152*(('Dvd Calendar'!$E$1154:$AR$1154=TYPE1)*(TYPE1&lt;&gt;"")+('Dvd Calendar'!$E$1154:$AR$1154=TYPE2)*(TYPE2&lt;&gt;"")+('Dvd Calendar'!$E$1154:$AR$1154=TYPE3)*(TYPE3&lt;&gt;"")+('Dvd Calendar'!$E$1154:$AR$1154=TYPE4)*(TYPE4&lt;&gt;"")+('Dvd Calendar'!$E$1154:$AR$1154=SPECIAL_LBL)*(INC_SPECIALS="Y"))))</f>
        <v/>
      </c>
      <c r="G115" s="68">
        <f>IF($C115="","",SUMPRODUCT(('Dvd Calendar'!$E$1149:$AR$1149&gt;=DATE(YEAR_Y-4,1,1))*('Dvd Calendar'!$E$1149:$AR$1149&lt;=DATE(YEAR_Y-4,12,31))*'Dvd Calendar'!$E$1152:$AR$1152*(('Dvd Calendar'!$E$1154:$AR$1154=TYPE1)*(TYPE1&lt;&gt;"")+('Dvd Calendar'!$E$1154:$AR$1154=TYPE2)*(TYPE2&lt;&gt;"")+('Dvd Calendar'!$E$1154:$AR$1154=TYPE3)*(TYPE3&lt;&gt;"")+('Dvd Calendar'!$E$1154:$AR$1154=TYPE4)*(TYPE4&lt;&gt;"")+('Dvd Calendar'!$E$1154:$AR$1154=SPECIAL_LBL)*(INC_SPECIALS="Y"))))</f>
        <v/>
      </c>
      <c r="H115" s="68">
        <f>IF($C115="","",SUMPRODUCT(('Dvd Calendar'!$E$1149:$AR$1149&gt;=DATE(YEAR_Y-3,1,1))*('Dvd Calendar'!$E$1149:$AR$1149&lt;=DATE(YEAR_Y-3,12,31))*'Dvd Calendar'!$E$1152:$AR$1152*(('Dvd Calendar'!$E$1154:$AR$1154=TYPE1)*(TYPE1&lt;&gt;"")+('Dvd Calendar'!$E$1154:$AR$1154=TYPE2)*(TYPE2&lt;&gt;"")+('Dvd Calendar'!$E$1154:$AR$1154=TYPE3)*(TYPE3&lt;&gt;"")+('Dvd Calendar'!$E$1154:$AR$1154=TYPE4)*(TYPE4&lt;&gt;"")+('Dvd Calendar'!$E$1154:$AR$1154=SPECIAL_LBL)*(INC_SPECIALS="Y"))))</f>
        <v/>
      </c>
      <c r="I115" s="68">
        <f>IF($C115="","",SUMPRODUCT(('Dvd Calendar'!$E$1149:$AR$1149&gt;=DATE(YEAR_Y-2,1,1))*('Dvd Calendar'!$E$1149:$AR$1149&lt;=DATE(YEAR_Y-2,12,31))*'Dvd Calendar'!$E$1152:$AR$1152*(('Dvd Calendar'!$E$1154:$AR$1154=TYPE1)*(TYPE1&lt;&gt;"")+('Dvd Calendar'!$E$1154:$AR$1154=TYPE2)*(TYPE2&lt;&gt;"")+('Dvd Calendar'!$E$1154:$AR$1154=TYPE3)*(TYPE3&lt;&gt;"")+('Dvd Calendar'!$E$1154:$AR$1154=TYPE4)*(TYPE4&lt;&gt;"")+('Dvd Calendar'!$E$1154:$AR$1154=SPECIAL_LBL)*(INC_SPECIALS="Y"))))</f>
        <v/>
      </c>
      <c r="J115" s="68">
        <f>IF($C115="","",SUMPRODUCT(('Dvd Calendar'!$E$1149:$AR$1149&gt;=DATE(YEAR_Y-1,1,1))*('Dvd Calendar'!$E$1149:$AR$1149&lt;=DATE(YEAR_Y-1,12,31))*'Dvd Calendar'!$E$1152:$AR$1152*(('Dvd Calendar'!$E$1154:$AR$1154=TYPE1)*(TYPE1&lt;&gt;"")+('Dvd Calendar'!$E$1154:$AR$1154=TYPE2)*(TYPE2&lt;&gt;"")+('Dvd Calendar'!$E$1154:$AR$1154=TYPE3)*(TYPE3&lt;&gt;"")+('Dvd Calendar'!$E$1154:$AR$1154=TYPE4)*(TYPE4&lt;&gt;"")+('Dvd Calendar'!$E$1154:$AR$1154=SPECIAL_LBL)*(INC_SPECIALS="Y"))))</f>
        <v/>
      </c>
      <c r="K115" s="69">
        <f>IF($C115="","",HSTECH!$J$10)</f>
        <v/>
      </c>
      <c r="L115" s="69">
        <f>IF($C115="","",HSTECH!$K$10)</f>
        <v/>
      </c>
      <c r="M115" s="44">
        <f>IF($C115="","",HSTECH!$J$10+HSTECH!$L$10)</f>
        <v/>
      </c>
      <c r="N115" s="70">
        <f>IF($C115="","",IF(PULL_FUND="N","",IFERROR(BDP($C115,BESTDPS_FIELD,FWD_OVERRIDE,TEXT(MOD(YEAR_Y,100),"00")&amp;"Y"),"")))</f>
        <v/>
      </c>
      <c r="O115" s="69">
        <f>IF($C115="","",AVERAGE(F115:J115))</f>
        <v/>
      </c>
      <c r="P115" s="71">
        <f>IF($C115="","",IF(PULL_FUND="N","",IF(COUNTIFS('Fund History'!$J$630:$J$634,"&gt;="&amp;DATE(YEAR_Y-5,1,1),'Fund History'!$J$630:$J$634,"&lt;="&amp;DATE(YEAR_Y-5,12,31))=0,"",IFERROR($F115*HSTECH!$G$10/SUMIFS('Fund History'!$K$630:$K$634,'Fund History'!$J$630:$J$634,"&gt;="&amp;DATE(YEAR_Y-5,1,1),'Fund History'!$J$630:$J$634,"&lt;="&amp;DATE(YEAR_Y-5,12,31)),""))))</f>
        <v/>
      </c>
      <c r="Q115" s="72">
        <f>IF($C115="","",IF(PULL_FUND="N","",IF(COUNTIFS('Fund History'!$J$630:$J$634,"&gt;="&amp;DATE(YEAR_Y-4,1,1),'Fund History'!$J$630:$J$634,"&lt;="&amp;DATE(YEAR_Y-4,12,31))=0,"",IFERROR($G115*HSTECH!$G$10/SUMIFS('Fund History'!$K$630:$K$634,'Fund History'!$J$630:$J$634,"&gt;="&amp;DATE(YEAR_Y-4,1,1),'Fund History'!$J$630:$J$634,"&lt;="&amp;DATE(YEAR_Y-4,12,31)),""))))</f>
        <v/>
      </c>
      <c r="R115" s="72">
        <f>IF($C115="","",IF(PULL_FUND="N","",IF(COUNTIFS('Fund History'!$J$630:$J$634,"&gt;="&amp;DATE(YEAR_Y-3,1,1),'Fund History'!$J$630:$J$634,"&lt;="&amp;DATE(YEAR_Y-3,12,31))=0,"",IFERROR($H115*HSTECH!$G$10/SUMIFS('Fund History'!$K$630:$K$634,'Fund History'!$J$630:$J$634,"&gt;="&amp;DATE(YEAR_Y-3,1,1),'Fund History'!$J$630:$J$634,"&lt;="&amp;DATE(YEAR_Y-3,12,31)),""))))</f>
        <v/>
      </c>
      <c r="S115" s="72">
        <f>IF($C115="","",IF(PULL_FUND="N","",IF(COUNTIFS('Fund History'!$J$630:$J$634,"&gt;="&amp;DATE(YEAR_Y-2,1,1),'Fund History'!$J$630:$J$634,"&lt;="&amp;DATE(YEAR_Y-2,12,31))=0,"",IFERROR($I115*HSTECH!$G$10/SUMIFS('Fund History'!$K$630:$K$634,'Fund History'!$J$630:$J$634,"&gt;="&amp;DATE(YEAR_Y-2,1,1),'Fund History'!$J$630:$J$634,"&lt;="&amp;DATE(YEAR_Y-2,12,31)),""))))</f>
        <v/>
      </c>
      <c r="T115" s="72">
        <f>IF($C115="","",IF(PULL_FUND="N","",IF(COUNTIFS('Fund History'!$J$630:$J$634,"&gt;="&amp;DATE(YEAR_Y-1,1,1),'Fund History'!$J$630:$J$634,"&lt;="&amp;DATE(YEAR_Y-1,12,31))=0,"",IFERROR($J115*HSTECH!$G$10/SUMIFS('Fund History'!$K$630:$K$634,'Fund History'!$J$630:$J$634,"&gt;="&amp;DATE(YEAR_Y-1,1,1),'Fund History'!$J$630:$J$634,"&lt;="&amp;DATE(YEAR_Y-1,12,31)),""))))</f>
        <v/>
      </c>
      <c r="U115" s="73">
        <f>IF($C115="","",IF(ISNUMBER(HSTECH!$I$10),HSTECH!$I$10/100,""))</f>
        <v/>
      </c>
      <c r="V115" s="74">
        <f>IF($C115="","",IF(ISNUMBER(HSTECH!$X$10),IFERROR($M115*HSTECH!$G$10/HSTECH!$X$10,""),""))</f>
        <v/>
      </c>
      <c r="W115" s="73">
        <f>IF($C115="","",IF(ISNUMBER($N115),IFERROR($N115*HSTECH!$G$10/HSTECH!$X$10,""),""))</f>
        <v/>
      </c>
      <c r="X115" s="75">
        <f>IF($C115="","",IF(PULL_FUND="N","",IFERROR(BDP($C115,EPS_FIELD,YR_OVERRIDE,TEXT(YEAR_Y-5,"0")),"")))</f>
        <v/>
      </c>
      <c r="Y115" s="76">
        <f>IF($C115="","",IF(PULL_FUND="N","",IFERROR(BDP($C115,EPS_FIELD,YR_OVERRIDE,TEXT(YEAR_Y-4,"0")),"")))</f>
        <v/>
      </c>
      <c r="Z115" s="76">
        <f>IF($C115="","",IF(PULL_FUND="N","",IFERROR(BDP($C115,EPS_FIELD,YR_OVERRIDE,TEXT(YEAR_Y-3,"0")),"")))</f>
        <v/>
      </c>
      <c r="AA115" s="76">
        <f>IF($C115="","",IF(PULL_FUND="N","",IFERROR(BDP($C115,EPS_FIELD,YR_OVERRIDE,TEXT(YEAR_Y-2,"0")),"")))</f>
        <v/>
      </c>
      <c r="AB115" s="76">
        <f>IF($C115="","",IF(PULL_FUND="N","",IFERROR(BDP($C115,EPS_FIELD,YR_OVERRIDE,TEXT(YEAR_Y-1,"0")),"")))</f>
        <v/>
      </c>
      <c r="AC115" s="50">
        <f>IF($C115="","",IFERROR(AVERAGE(X115:AB115),""))</f>
        <v/>
      </c>
      <c r="AD115" s="76">
        <f>IF($C115="","",IF(PULL_FUND="N","",IFERROR(BDP($C115,BESTEPS_FIELD,FWD_OVERRIDE,TEXT(MOD(YEAR_Y,100),"00")&amp;"Y"),"")))</f>
        <v/>
      </c>
      <c r="AE115" s="77">
        <f>IF($C115="","",IF(PULL_FUND="N","",IFERROR(BDP($C115,PAYOUT_FIELD,YR_OVERRIDE,TEXT(YEAR_Y-5,"0"))/100,"")))</f>
        <v/>
      </c>
      <c r="AF115" s="78">
        <f>IF($C115="","",IF(PULL_FUND="N","",IFERROR(BDP($C115,PAYOUT_FIELD,YR_OVERRIDE,TEXT(YEAR_Y-4,"0"))/100,"")))</f>
        <v/>
      </c>
      <c r="AG115" s="78">
        <f>IF($C115="","",IF(PULL_FUND="N","",IFERROR(BDP($C115,PAYOUT_FIELD,YR_OVERRIDE,TEXT(YEAR_Y-3,"0"))/100,"")))</f>
        <v/>
      </c>
      <c r="AH115" s="78">
        <f>IF($C115="","",IF(PULL_FUND="N","",IFERROR(BDP($C115,PAYOUT_FIELD,YR_OVERRIDE,TEXT(YEAR_Y-2,"0"))/100,"")))</f>
        <v/>
      </c>
      <c r="AI115" s="78">
        <f>IF($C115="","",IF(PULL_FUND="N","",IFERROR(BDP($C115,PAYOUT_FIELD,YR_OVERRIDE,TEXT(YEAR_Y-1,"0"))/100,"")))</f>
        <v/>
      </c>
      <c r="AJ115" s="79">
        <f>IF($C115="","",IFERROR(AVERAGE(AE115:AI115),""))</f>
        <v/>
      </c>
      <c r="AK115" s="80">
        <f>IF($C115="","",IF(ISNUMBER($AD115)*ISNUMBER($N115)*($AD115&lt;&gt;0)=0,"",$N115/$AD115))</f>
        <v/>
      </c>
      <c r="AL115" s="79">
        <f>IF($C115="","",IF(ISNUMBER($AD115)*($AD115&lt;&gt;0)=0,"",$M115/$AD115))</f>
        <v/>
      </c>
      <c r="AM115" s="37">
        <f>IF($C115="","",IF(ISNUMBER($AE115)*ISNUMBER($AI115)=0,"",IF($AI115&gt;$AE115+0.05,"rising",IF($AI115&lt;$AE115-0.05,"falling","stable"))))</f>
        <v/>
      </c>
      <c r="AN115" s="81">
        <f>IF($C115="","",IF(PULL_FUND="N","",IF(COUNTIFS('Fund History'!$G$630:$G$634,"&gt;="&amp;DATE(YEAR_Y-4,1,1),'Fund History'!$G$630:$G$634,"&lt;="&amp;DATE(YEAR_Y-4,12,31))=0,"",SUMIFS('Fund History'!$H$630:$H$634,'Fund History'!$G$630:$G$634,"&gt;="&amp;DATE(YEAR_Y-4,1,1),'Fund History'!$G$630:$G$634,"&lt;="&amp;DATE(YEAR_Y-4,12,31))/100)))</f>
        <v/>
      </c>
      <c r="AO115" s="82">
        <f>IF($C115="","",IF(PULL_FUND="N","",IF(COUNTIFS('Fund History'!$G$630:$G$634,"&gt;="&amp;DATE(YEAR_Y-3,1,1),'Fund History'!$G$630:$G$634,"&lt;="&amp;DATE(YEAR_Y-3,12,31))=0,"",SUMIFS('Fund History'!$H$630:$H$634,'Fund History'!$G$630:$G$634,"&gt;="&amp;DATE(YEAR_Y-3,1,1),'Fund History'!$G$630:$G$634,"&lt;="&amp;DATE(YEAR_Y-3,12,31))/100)))</f>
        <v/>
      </c>
      <c r="AP115" s="82">
        <f>IF($C115="","",IF(PULL_FUND="N","",IF(COUNTIFS('Fund History'!$G$630:$G$634,"&gt;="&amp;DATE(YEAR_Y-2,1,1),'Fund History'!$G$630:$G$634,"&lt;="&amp;DATE(YEAR_Y-2,12,31))=0,"",SUMIFS('Fund History'!$H$630:$H$634,'Fund History'!$G$630:$G$634,"&gt;="&amp;DATE(YEAR_Y-2,1,1),'Fund History'!$G$630:$G$634,"&lt;="&amp;DATE(YEAR_Y-2,12,31))/100)))</f>
        <v/>
      </c>
      <c r="AQ115" s="82">
        <f>IF($C115="","",IF(PULL_FUND="N","",IF(COUNTIFS('Fund History'!$G$630:$G$634,"&gt;="&amp;DATE(YEAR_Y-1,1,1),'Fund History'!$G$630:$G$634,"&lt;="&amp;DATE(YEAR_Y-1,12,31))=0,"",SUMIFS('Fund History'!$H$630:$H$634,'Fund History'!$G$630:$G$634,"&gt;="&amp;DATE(YEAR_Y-1,1,1),'Fund History'!$G$630:$G$634,"&lt;="&amp;DATE(YEAR_Y-1,12,31))/100)))</f>
        <v/>
      </c>
      <c r="AR115" s="83">
        <f>IF($C115="","",IF(N($AQ115)+N(HSTECH!$I$10)=0,"",N($AQ115)+N(HSTECH!$I$10)/100))</f>
        <v/>
      </c>
      <c r="AS115" s="75">
        <f>IF($C115="","",IF(PULL_FUND="N","",IF(COUNTIFS('Fund History'!$D$630:$D$634,"&gt;="&amp;DATE(YEAR_Y-2,1,1),'Fund History'!$D$630:$D$634,"&lt;="&amp;DATE(YEAR_Y-2,12,31))=0,"",SUMIFS('Fund History'!$E$630:$E$634,'Fund History'!$D$630:$D$634,"&gt;="&amp;DATE(YEAR_Y-2,1,1),'Fund History'!$D$630:$D$634,"&lt;="&amp;DATE(YEAR_Y-2,12,31)))))</f>
        <v/>
      </c>
      <c r="AT115" s="76">
        <f>IF($C115="","",IF(PULL_FUND="N","",IF(COUNTIFS('Fund History'!$D$630:$D$634,"&gt;="&amp;DATE(YEAR_Y-1,1,1),'Fund History'!$D$630:$D$634,"&lt;="&amp;DATE(YEAR_Y-1,12,31))=0,"",SUMIFS('Fund History'!$E$630:$E$634,'Fund History'!$D$630:$D$634,"&gt;="&amp;DATE(YEAR_Y-1,1,1),'Fund History'!$D$630:$D$634,"&lt;="&amp;DATE(YEAR_Y-1,12,31)))))</f>
        <v/>
      </c>
      <c r="AU115" s="76">
        <f>IF($C115="","",IF(PULL_FUND="N","",IFERROR(BDP($C115,NDEBITDA_FIELD),"")))</f>
        <v/>
      </c>
      <c r="AV115" s="84">
        <f>IF($C115="","",IF(PULL_FUND="N","",IFERROR(BDP($C115,EBINT_FIELD),"")))</f>
        <v/>
      </c>
      <c r="AW115" s="82">
        <f>IF($C115="","",IF(PULL_FUND="N","",IFERROR(BDP($C115,FCF_FIELD)/100,"")))</f>
        <v/>
      </c>
      <c r="AX115" s="50">
        <f>IF($C115="","",IF(N($U115)=0,"",IFERROR($AW115/$U115,"")))</f>
        <v/>
      </c>
      <c r="AY115" s="85">
        <f>IF($C115="","",TRIM(IF(ISNUMBER($AJ115)*(N($AJ115)&gt;$D$4)&gt;0,"payout high  ","")&amp;IF(ISNUMBER($AX115)*(N($AX115)&lt;$F$4)&gt;0,"FCF below dvd  ","")&amp;IF(ISNUMBER($AU115)*(N($AU115)&gt;$H$4)&gt;0,"leverage high","")))</f>
        <v/>
      </c>
      <c r="AZ115" s="86">
        <f>IF($C115="","",IF(HSTECH!$F$10="HKD","",HSTECH!$F$10))</f>
        <v/>
      </c>
    </row>
    <row r="116">
      <c r="B116" s="66" t="inlineStr">
        <is>
          <t>HSTECH</t>
        </is>
      </c>
      <c r="C116" s="8">
        <f>IF(HSTECH!$C$11="","",HSTECH!$C$11)</f>
        <v/>
      </c>
      <c r="D116" s="8">
        <f>IF($C116="","",HSTECH!$D$11)</f>
        <v/>
      </c>
      <c r="E116" s="8">
        <f>IF($C116="","",HSTECH!$E$11)</f>
        <v/>
      </c>
      <c r="F116" s="67">
        <f>IF($C116="","",SUMPRODUCT(('Dvd Calendar'!$E$1160:$AR$1160&gt;=DATE(YEAR_Y-5,1,1))*('Dvd Calendar'!$E$1160:$AR$1160&lt;=DATE(YEAR_Y-5,12,31))*'Dvd Calendar'!$E$1163:$AR$1163*(('Dvd Calendar'!$E$1165:$AR$1165=TYPE1)*(TYPE1&lt;&gt;"")+('Dvd Calendar'!$E$1165:$AR$1165=TYPE2)*(TYPE2&lt;&gt;"")+('Dvd Calendar'!$E$1165:$AR$1165=TYPE3)*(TYPE3&lt;&gt;"")+('Dvd Calendar'!$E$1165:$AR$1165=TYPE4)*(TYPE4&lt;&gt;"")+('Dvd Calendar'!$E$1165:$AR$1165=SPECIAL_LBL)*(INC_SPECIALS="Y"))))</f>
        <v/>
      </c>
      <c r="G116" s="68">
        <f>IF($C116="","",SUMPRODUCT(('Dvd Calendar'!$E$1160:$AR$1160&gt;=DATE(YEAR_Y-4,1,1))*('Dvd Calendar'!$E$1160:$AR$1160&lt;=DATE(YEAR_Y-4,12,31))*'Dvd Calendar'!$E$1163:$AR$1163*(('Dvd Calendar'!$E$1165:$AR$1165=TYPE1)*(TYPE1&lt;&gt;"")+('Dvd Calendar'!$E$1165:$AR$1165=TYPE2)*(TYPE2&lt;&gt;"")+('Dvd Calendar'!$E$1165:$AR$1165=TYPE3)*(TYPE3&lt;&gt;"")+('Dvd Calendar'!$E$1165:$AR$1165=TYPE4)*(TYPE4&lt;&gt;"")+('Dvd Calendar'!$E$1165:$AR$1165=SPECIAL_LBL)*(INC_SPECIALS="Y"))))</f>
        <v/>
      </c>
      <c r="H116" s="68">
        <f>IF($C116="","",SUMPRODUCT(('Dvd Calendar'!$E$1160:$AR$1160&gt;=DATE(YEAR_Y-3,1,1))*('Dvd Calendar'!$E$1160:$AR$1160&lt;=DATE(YEAR_Y-3,12,31))*'Dvd Calendar'!$E$1163:$AR$1163*(('Dvd Calendar'!$E$1165:$AR$1165=TYPE1)*(TYPE1&lt;&gt;"")+('Dvd Calendar'!$E$1165:$AR$1165=TYPE2)*(TYPE2&lt;&gt;"")+('Dvd Calendar'!$E$1165:$AR$1165=TYPE3)*(TYPE3&lt;&gt;"")+('Dvd Calendar'!$E$1165:$AR$1165=TYPE4)*(TYPE4&lt;&gt;"")+('Dvd Calendar'!$E$1165:$AR$1165=SPECIAL_LBL)*(INC_SPECIALS="Y"))))</f>
        <v/>
      </c>
      <c r="I116" s="68">
        <f>IF($C116="","",SUMPRODUCT(('Dvd Calendar'!$E$1160:$AR$1160&gt;=DATE(YEAR_Y-2,1,1))*('Dvd Calendar'!$E$1160:$AR$1160&lt;=DATE(YEAR_Y-2,12,31))*'Dvd Calendar'!$E$1163:$AR$1163*(('Dvd Calendar'!$E$1165:$AR$1165=TYPE1)*(TYPE1&lt;&gt;"")+('Dvd Calendar'!$E$1165:$AR$1165=TYPE2)*(TYPE2&lt;&gt;"")+('Dvd Calendar'!$E$1165:$AR$1165=TYPE3)*(TYPE3&lt;&gt;"")+('Dvd Calendar'!$E$1165:$AR$1165=TYPE4)*(TYPE4&lt;&gt;"")+('Dvd Calendar'!$E$1165:$AR$1165=SPECIAL_LBL)*(INC_SPECIALS="Y"))))</f>
        <v/>
      </c>
      <c r="J116" s="68">
        <f>IF($C116="","",SUMPRODUCT(('Dvd Calendar'!$E$1160:$AR$1160&gt;=DATE(YEAR_Y-1,1,1))*('Dvd Calendar'!$E$1160:$AR$1160&lt;=DATE(YEAR_Y-1,12,31))*'Dvd Calendar'!$E$1163:$AR$1163*(('Dvd Calendar'!$E$1165:$AR$1165=TYPE1)*(TYPE1&lt;&gt;"")+('Dvd Calendar'!$E$1165:$AR$1165=TYPE2)*(TYPE2&lt;&gt;"")+('Dvd Calendar'!$E$1165:$AR$1165=TYPE3)*(TYPE3&lt;&gt;"")+('Dvd Calendar'!$E$1165:$AR$1165=TYPE4)*(TYPE4&lt;&gt;"")+('Dvd Calendar'!$E$1165:$AR$1165=SPECIAL_LBL)*(INC_SPECIALS="Y"))))</f>
        <v/>
      </c>
      <c r="K116" s="69">
        <f>IF($C116="","",HSTECH!$J$11)</f>
        <v/>
      </c>
      <c r="L116" s="69">
        <f>IF($C116="","",HSTECH!$K$11)</f>
        <v/>
      </c>
      <c r="M116" s="44">
        <f>IF($C116="","",HSTECH!$J$11+HSTECH!$L$11)</f>
        <v/>
      </c>
      <c r="N116" s="70">
        <f>IF($C116="","",IF(PULL_FUND="N","",IFERROR(BDP($C116,BESTDPS_FIELD,FWD_OVERRIDE,TEXT(MOD(YEAR_Y,100),"00")&amp;"Y"),"")))</f>
        <v/>
      </c>
      <c r="O116" s="69">
        <f>IF($C116="","",AVERAGE(F116:J116))</f>
        <v/>
      </c>
      <c r="P116" s="71">
        <f>IF($C116="","",IF(PULL_FUND="N","",IF(COUNTIFS('Fund History'!$J$636:$J$640,"&gt;="&amp;DATE(YEAR_Y-5,1,1),'Fund History'!$J$636:$J$640,"&lt;="&amp;DATE(YEAR_Y-5,12,31))=0,"",IFERROR($F116*HSTECH!$G$11/SUMIFS('Fund History'!$K$636:$K$640,'Fund History'!$J$636:$J$640,"&gt;="&amp;DATE(YEAR_Y-5,1,1),'Fund History'!$J$636:$J$640,"&lt;="&amp;DATE(YEAR_Y-5,12,31)),""))))</f>
        <v/>
      </c>
      <c r="Q116" s="72">
        <f>IF($C116="","",IF(PULL_FUND="N","",IF(COUNTIFS('Fund History'!$J$636:$J$640,"&gt;="&amp;DATE(YEAR_Y-4,1,1),'Fund History'!$J$636:$J$640,"&lt;="&amp;DATE(YEAR_Y-4,12,31))=0,"",IFERROR($G116*HSTECH!$G$11/SUMIFS('Fund History'!$K$636:$K$640,'Fund History'!$J$636:$J$640,"&gt;="&amp;DATE(YEAR_Y-4,1,1),'Fund History'!$J$636:$J$640,"&lt;="&amp;DATE(YEAR_Y-4,12,31)),""))))</f>
        <v/>
      </c>
      <c r="R116" s="72">
        <f>IF($C116="","",IF(PULL_FUND="N","",IF(COUNTIFS('Fund History'!$J$636:$J$640,"&gt;="&amp;DATE(YEAR_Y-3,1,1),'Fund History'!$J$636:$J$640,"&lt;="&amp;DATE(YEAR_Y-3,12,31))=0,"",IFERROR($H116*HSTECH!$G$11/SUMIFS('Fund History'!$K$636:$K$640,'Fund History'!$J$636:$J$640,"&gt;="&amp;DATE(YEAR_Y-3,1,1),'Fund History'!$J$636:$J$640,"&lt;="&amp;DATE(YEAR_Y-3,12,31)),""))))</f>
        <v/>
      </c>
      <c r="S116" s="72">
        <f>IF($C116="","",IF(PULL_FUND="N","",IF(COUNTIFS('Fund History'!$J$636:$J$640,"&gt;="&amp;DATE(YEAR_Y-2,1,1),'Fund History'!$J$636:$J$640,"&lt;="&amp;DATE(YEAR_Y-2,12,31))=0,"",IFERROR($I116*HSTECH!$G$11/SUMIFS('Fund History'!$K$636:$K$640,'Fund History'!$J$636:$J$640,"&gt;="&amp;DATE(YEAR_Y-2,1,1),'Fund History'!$J$636:$J$640,"&lt;="&amp;DATE(YEAR_Y-2,12,31)),""))))</f>
        <v/>
      </c>
      <c r="T116" s="72">
        <f>IF($C116="","",IF(PULL_FUND="N","",IF(COUNTIFS('Fund History'!$J$636:$J$640,"&gt;="&amp;DATE(YEAR_Y-1,1,1),'Fund History'!$J$636:$J$640,"&lt;="&amp;DATE(YEAR_Y-1,12,31))=0,"",IFERROR($J116*HSTECH!$G$11/SUMIFS('Fund History'!$K$636:$K$640,'Fund History'!$J$636:$J$640,"&gt;="&amp;DATE(YEAR_Y-1,1,1),'Fund History'!$J$636:$J$640,"&lt;="&amp;DATE(YEAR_Y-1,12,31)),""))))</f>
        <v/>
      </c>
      <c r="U116" s="73">
        <f>IF($C116="","",IF(ISNUMBER(HSTECH!$I$11),HSTECH!$I$11/100,""))</f>
        <v/>
      </c>
      <c r="V116" s="74">
        <f>IF($C116="","",IF(ISNUMBER(HSTECH!$X$11),IFERROR($M116*HSTECH!$G$11/HSTECH!$X$11,""),""))</f>
        <v/>
      </c>
      <c r="W116" s="73">
        <f>IF($C116="","",IF(ISNUMBER($N116),IFERROR($N116*HSTECH!$G$11/HSTECH!$X$11,""),""))</f>
        <v/>
      </c>
      <c r="X116" s="75">
        <f>IF($C116="","",IF(PULL_FUND="N","",IFERROR(BDP($C116,EPS_FIELD,YR_OVERRIDE,TEXT(YEAR_Y-5,"0")),"")))</f>
        <v/>
      </c>
      <c r="Y116" s="76">
        <f>IF($C116="","",IF(PULL_FUND="N","",IFERROR(BDP($C116,EPS_FIELD,YR_OVERRIDE,TEXT(YEAR_Y-4,"0")),"")))</f>
        <v/>
      </c>
      <c r="Z116" s="76">
        <f>IF($C116="","",IF(PULL_FUND="N","",IFERROR(BDP($C116,EPS_FIELD,YR_OVERRIDE,TEXT(YEAR_Y-3,"0")),"")))</f>
        <v/>
      </c>
      <c r="AA116" s="76">
        <f>IF($C116="","",IF(PULL_FUND="N","",IFERROR(BDP($C116,EPS_FIELD,YR_OVERRIDE,TEXT(YEAR_Y-2,"0")),"")))</f>
        <v/>
      </c>
      <c r="AB116" s="76">
        <f>IF($C116="","",IF(PULL_FUND="N","",IFERROR(BDP($C116,EPS_FIELD,YR_OVERRIDE,TEXT(YEAR_Y-1,"0")),"")))</f>
        <v/>
      </c>
      <c r="AC116" s="50">
        <f>IF($C116="","",IFERROR(AVERAGE(X116:AB116),""))</f>
        <v/>
      </c>
      <c r="AD116" s="76">
        <f>IF($C116="","",IF(PULL_FUND="N","",IFERROR(BDP($C116,BESTEPS_FIELD,FWD_OVERRIDE,TEXT(MOD(YEAR_Y,100),"00")&amp;"Y"),"")))</f>
        <v/>
      </c>
      <c r="AE116" s="77">
        <f>IF($C116="","",IF(PULL_FUND="N","",IFERROR(BDP($C116,PAYOUT_FIELD,YR_OVERRIDE,TEXT(YEAR_Y-5,"0"))/100,"")))</f>
        <v/>
      </c>
      <c r="AF116" s="78">
        <f>IF($C116="","",IF(PULL_FUND="N","",IFERROR(BDP($C116,PAYOUT_FIELD,YR_OVERRIDE,TEXT(YEAR_Y-4,"0"))/100,"")))</f>
        <v/>
      </c>
      <c r="AG116" s="78">
        <f>IF($C116="","",IF(PULL_FUND="N","",IFERROR(BDP($C116,PAYOUT_FIELD,YR_OVERRIDE,TEXT(YEAR_Y-3,"0"))/100,"")))</f>
        <v/>
      </c>
      <c r="AH116" s="78">
        <f>IF($C116="","",IF(PULL_FUND="N","",IFERROR(BDP($C116,PAYOUT_FIELD,YR_OVERRIDE,TEXT(YEAR_Y-2,"0"))/100,"")))</f>
        <v/>
      </c>
      <c r="AI116" s="78">
        <f>IF($C116="","",IF(PULL_FUND="N","",IFERROR(BDP($C116,PAYOUT_FIELD,YR_OVERRIDE,TEXT(YEAR_Y-1,"0"))/100,"")))</f>
        <v/>
      </c>
      <c r="AJ116" s="79">
        <f>IF($C116="","",IFERROR(AVERAGE(AE116:AI116),""))</f>
        <v/>
      </c>
      <c r="AK116" s="80">
        <f>IF($C116="","",IF(ISNUMBER($AD116)*ISNUMBER($N116)*($AD116&lt;&gt;0)=0,"",$N116/$AD116))</f>
        <v/>
      </c>
      <c r="AL116" s="79">
        <f>IF($C116="","",IF(ISNUMBER($AD116)*($AD116&lt;&gt;0)=0,"",$M116/$AD116))</f>
        <v/>
      </c>
      <c r="AM116" s="37">
        <f>IF($C116="","",IF(ISNUMBER($AE116)*ISNUMBER($AI116)=0,"",IF($AI116&gt;$AE116+0.05,"rising",IF($AI116&lt;$AE116-0.05,"falling","stable"))))</f>
        <v/>
      </c>
      <c r="AN116" s="81">
        <f>IF($C116="","",IF(PULL_FUND="N","",IF(COUNTIFS('Fund History'!$G$636:$G$640,"&gt;="&amp;DATE(YEAR_Y-4,1,1),'Fund History'!$G$636:$G$640,"&lt;="&amp;DATE(YEAR_Y-4,12,31))=0,"",SUMIFS('Fund History'!$H$636:$H$640,'Fund History'!$G$636:$G$640,"&gt;="&amp;DATE(YEAR_Y-4,1,1),'Fund History'!$G$636:$G$640,"&lt;="&amp;DATE(YEAR_Y-4,12,31))/100)))</f>
        <v/>
      </c>
      <c r="AO116" s="82">
        <f>IF($C116="","",IF(PULL_FUND="N","",IF(COUNTIFS('Fund History'!$G$636:$G$640,"&gt;="&amp;DATE(YEAR_Y-3,1,1),'Fund History'!$G$636:$G$640,"&lt;="&amp;DATE(YEAR_Y-3,12,31))=0,"",SUMIFS('Fund History'!$H$636:$H$640,'Fund History'!$G$636:$G$640,"&gt;="&amp;DATE(YEAR_Y-3,1,1),'Fund History'!$G$636:$G$640,"&lt;="&amp;DATE(YEAR_Y-3,12,31))/100)))</f>
        <v/>
      </c>
      <c r="AP116" s="82">
        <f>IF($C116="","",IF(PULL_FUND="N","",IF(COUNTIFS('Fund History'!$G$636:$G$640,"&gt;="&amp;DATE(YEAR_Y-2,1,1),'Fund History'!$G$636:$G$640,"&lt;="&amp;DATE(YEAR_Y-2,12,31))=0,"",SUMIFS('Fund History'!$H$636:$H$640,'Fund History'!$G$636:$G$640,"&gt;="&amp;DATE(YEAR_Y-2,1,1),'Fund History'!$G$636:$G$640,"&lt;="&amp;DATE(YEAR_Y-2,12,31))/100)))</f>
        <v/>
      </c>
      <c r="AQ116" s="82">
        <f>IF($C116="","",IF(PULL_FUND="N","",IF(COUNTIFS('Fund History'!$G$636:$G$640,"&gt;="&amp;DATE(YEAR_Y-1,1,1),'Fund History'!$G$636:$G$640,"&lt;="&amp;DATE(YEAR_Y-1,12,31))=0,"",SUMIFS('Fund History'!$H$636:$H$640,'Fund History'!$G$636:$G$640,"&gt;="&amp;DATE(YEAR_Y-1,1,1),'Fund History'!$G$636:$G$640,"&lt;="&amp;DATE(YEAR_Y-1,12,31))/100)))</f>
        <v/>
      </c>
      <c r="AR116" s="83">
        <f>IF($C116="","",IF(N($AQ116)+N(HSTECH!$I$11)=0,"",N($AQ116)+N(HSTECH!$I$11)/100))</f>
        <v/>
      </c>
      <c r="AS116" s="75">
        <f>IF($C116="","",IF(PULL_FUND="N","",IF(COUNTIFS('Fund History'!$D$636:$D$640,"&gt;="&amp;DATE(YEAR_Y-2,1,1),'Fund History'!$D$636:$D$640,"&lt;="&amp;DATE(YEAR_Y-2,12,31))=0,"",SUMIFS('Fund History'!$E$636:$E$640,'Fund History'!$D$636:$D$640,"&gt;="&amp;DATE(YEAR_Y-2,1,1),'Fund History'!$D$636:$D$640,"&lt;="&amp;DATE(YEAR_Y-2,12,31)))))</f>
        <v/>
      </c>
      <c r="AT116" s="76">
        <f>IF($C116="","",IF(PULL_FUND="N","",IF(COUNTIFS('Fund History'!$D$636:$D$640,"&gt;="&amp;DATE(YEAR_Y-1,1,1),'Fund History'!$D$636:$D$640,"&lt;="&amp;DATE(YEAR_Y-1,12,31))=0,"",SUMIFS('Fund History'!$E$636:$E$640,'Fund History'!$D$636:$D$640,"&gt;="&amp;DATE(YEAR_Y-1,1,1),'Fund History'!$D$636:$D$640,"&lt;="&amp;DATE(YEAR_Y-1,12,31)))))</f>
        <v/>
      </c>
      <c r="AU116" s="76">
        <f>IF($C116="","",IF(PULL_FUND="N","",IFERROR(BDP($C116,NDEBITDA_FIELD),"")))</f>
        <v/>
      </c>
      <c r="AV116" s="84">
        <f>IF($C116="","",IF(PULL_FUND="N","",IFERROR(BDP($C116,EBINT_FIELD),"")))</f>
        <v/>
      </c>
      <c r="AW116" s="82">
        <f>IF($C116="","",IF(PULL_FUND="N","",IFERROR(BDP($C116,FCF_FIELD)/100,"")))</f>
        <v/>
      </c>
      <c r="AX116" s="50">
        <f>IF($C116="","",IF(N($U116)=0,"",IFERROR($AW116/$U116,"")))</f>
        <v/>
      </c>
      <c r="AY116" s="85">
        <f>IF($C116="","",TRIM(IF(ISNUMBER($AJ116)*(N($AJ116)&gt;$D$4)&gt;0,"payout high  ","")&amp;IF(ISNUMBER($AX116)*(N($AX116)&lt;$F$4)&gt;0,"FCF below dvd  ","")&amp;IF(ISNUMBER($AU116)*(N($AU116)&gt;$H$4)&gt;0,"leverage high","")))</f>
        <v/>
      </c>
      <c r="AZ116" s="86">
        <f>IF($C116="","",IF(HSTECH!$F$11="HKD","",HSTECH!$F$11))</f>
        <v/>
      </c>
    </row>
    <row r="117">
      <c r="B117" s="66" t="inlineStr">
        <is>
          <t>HSTECH</t>
        </is>
      </c>
      <c r="C117" s="8">
        <f>IF(HSTECH!$C$12="","",HSTECH!$C$12)</f>
        <v/>
      </c>
      <c r="D117" s="8">
        <f>IF($C117="","",HSTECH!$D$12)</f>
        <v/>
      </c>
      <c r="E117" s="8">
        <f>IF($C117="","",HSTECH!$E$12)</f>
        <v/>
      </c>
      <c r="F117" s="67">
        <f>IF($C117="","",SUMPRODUCT(('Dvd Calendar'!$E$1171:$AR$1171&gt;=DATE(YEAR_Y-5,1,1))*('Dvd Calendar'!$E$1171:$AR$1171&lt;=DATE(YEAR_Y-5,12,31))*'Dvd Calendar'!$E$1174:$AR$1174*(('Dvd Calendar'!$E$1176:$AR$1176=TYPE1)*(TYPE1&lt;&gt;"")+('Dvd Calendar'!$E$1176:$AR$1176=TYPE2)*(TYPE2&lt;&gt;"")+('Dvd Calendar'!$E$1176:$AR$1176=TYPE3)*(TYPE3&lt;&gt;"")+('Dvd Calendar'!$E$1176:$AR$1176=TYPE4)*(TYPE4&lt;&gt;"")+('Dvd Calendar'!$E$1176:$AR$1176=SPECIAL_LBL)*(INC_SPECIALS="Y"))))</f>
        <v/>
      </c>
      <c r="G117" s="68">
        <f>IF($C117="","",SUMPRODUCT(('Dvd Calendar'!$E$1171:$AR$1171&gt;=DATE(YEAR_Y-4,1,1))*('Dvd Calendar'!$E$1171:$AR$1171&lt;=DATE(YEAR_Y-4,12,31))*'Dvd Calendar'!$E$1174:$AR$1174*(('Dvd Calendar'!$E$1176:$AR$1176=TYPE1)*(TYPE1&lt;&gt;"")+('Dvd Calendar'!$E$1176:$AR$1176=TYPE2)*(TYPE2&lt;&gt;"")+('Dvd Calendar'!$E$1176:$AR$1176=TYPE3)*(TYPE3&lt;&gt;"")+('Dvd Calendar'!$E$1176:$AR$1176=TYPE4)*(TYPE4&lt;&gt;"")+('Dvd Calendar'!$E$1176:$AR$1176=SPECIAL_LBL)*(INC_SPECIALS="Y"))))</f>
        <v/>
      </c>
      <c r="H117" s="68">
        <f>IF($C117="","",SUMPRODUCT(('Dvd Calendar'!$E$1171:$AR$1171&gt;=DATE(YEAR_Y-3,1,1))*('Dvd Calendar'!$E$1171:$AR$1171&lt;=DATE(YEAR_Y-3,12,31))*'Dvd Calendar'!$E$1174:$AR$1174*(('Dvd Calendar'!$E$1176:$AR$1176=TYPE1)*(TYPE1&lt;&gt;"")+('Dvd Calendar'!$E$1176:$AR$1176=TYPE2)*(TYPE2&lt;&gt;"")+('Dvd Calendar'!$E$1176:$AR$1176=TYPE3)*(TYPE3&lt;&gt;"")+('Dvd Calendar'!$E$1176:$AR$1176=TYPE4)*(TYPE4&lt;&gt;"")+('Dvd Calendar'!$E$1176:$AR$1176=SPECIAL_LBL)*(INC_SPECIALS="Y"))))</f>
        <v/>
      </c>
      <c r="I117" s="68">
        <f>IF($C117="","",SUMPRODUCT(('Dvd Calendar'!$E$1171:$AR$1171&gt;=DATE(YEAR_Y-2,1,1))*('Dvd Calendar'!$E$1171:$AR$1171&lt;=DATE(YEAR_Y-2,12,31))*'Dvd Calendar'!$E$1174:$AR$1174*(('Dvd Calendar'!$E$1176:$AR$1176=TYPE1)*(TYPE1&lt;&gt;"")+('Dvd Calendar'!$E$1176:$AR$1176=TYPE2)*(TYPE2&lt;&gt;"")+('Dvd Calendar'!$E$1176:$AR$1176=TYPE3)*(TYPE3&lt;&gt;"")+('Dvd Calendar'!$E$1176:$AR$1176=TYPE4)*(TYPE4&lt;&gt;"")+('Dvd Calendar'!$E$1176:$AR$1176=SPECIAL_LBL)*(INC_SPECIALS="Y"))))</f>
        <v/>
      </c>
      <c r="J117" s="68">
        <f>IF($C117="","",SUMPRODUCT(('Dvd Calendar'!$E$1171:$AR$1171&gt;=DATE(YEAR_Y-1,1,1))*('Dvd Calendar'!$E$1171:$AR$1171&lt;=DATE(YEAR_Y-1,12,31))*'Dvd Calendar'!$E$1174:$AR$1174*(('Dvd Calendar'!$E$1176:$AR$1176=TYPE1)*(TYPE1&lt;&gt;"")+('Dvd Calendar'!$E$1176:$AR$1176=TYPE2)*(TYPE2&lt;&gt;"")+('Dvd Calendar'!$E$1176:$AR$1176=TYPE3)*(TYPE3&lt;&gt;"")+('Dvd Calendar'!$E$1176:$AR$1176=TYPE4)*(TYPE4&lt;&gt;"")+('Dvd Calendar'!$E$1176:$AR$1176=SPECIAL_LBL)*(INC_SPECIALS="Y"))))</f>
        <v/>
      </c>
      <c r="K117" s="69">
        <f>IF($C117="","",HSTECH!$J$12)</f>
        <v/>
      </c>
      <c r="L117" s="69">
        <f>IF($C117="","",HSTECH!$K$12)</f>
        <v/>
      </c>
      <c r="M117" s="44">
        <f>IF($C117="","",HSTECH!$J$12+HSTECH!$L$12)</f>
        <v/>
      </c>
      <c r="N117" s="70">
        <f>IF($C117="","",IF(PULL_FUND="N","",IFERROR(BDP($C117,BESTDPS_FIELD,FWD_OVERRIDE,TEXT(MOD(YEAR_Y,100),"00")&amp;"Y"),"")))</f>
        <v/>
      </c>
      <c r="O117" s="69">
        <f>IF($C117="","",AVERAGE(F117:J117))</f>
        <v/>
      </c>
      <c r="P117" s="71">
        <f>IF($C117="","",IF(PULL_FUND="N","",IF(COUNTIFS('Fund History'!$J$642:$J$646,"&gt;="&amp;DATE(YEAR_Y-5,1,1),'Fund History'!$J$642:$J$646,"&lt;="&amp;DATE(YEAR_Y-5,12,31))=0,"",IFERROR($F117*HSTECH!$G$12/SUMIFS('Fund History'!$K$642:$K$646,'Fund History'!$J$642:$J$646,"&gt;="&amp;DATE(YEAR_Y-5,1,1),'Fund History'!$J$642:$J$646,"&lt;="&amp;DATE(YEAR_Y-5,12,31)),""))))</f>
        <v/>
      </c>
      <c r="Q117" s="72">
        <f>IF($C117="","",IF(PULL_FUND="N","",IF(COUNTIFS('Fund History'!$J$642:$J$646,"&gt;="&amp;DATE(YEAR_Y-4,1,1),'Fund History'!$J$642:$J$646,"&lt;="&amp;DATE(YEAR_Y-4,12,31))=0,"",IFERROR($G117*HSTECH!$G$12/SUMIFS('Fund History'!$K$642:$K$646,'Fund History'!$J$642:$J$646,"&gt;="&amp;DATE(YEAR_Y-4,1,1),'Fund History'!$J$642:$J$646,"&lt;="&amp;DATE(YEAR_Y-4,12,31)),""))))</f>
        <v/>
      </c>
      <c r="R117" s="72">
        <f>IF($C117="","",IF(PULL_FUND="N","",IF(COUNTIFS('Fund History'!$J$642:$J$646,"&gt;="&amp;DATE(YEAR_Y-3,1,1),'Fund History'!$J$642:$J$646,"&lt;="&amp;DATE(YEAR_Y-3,12,31))=0,"",IFERROR($H117*HSTECH!$G$12/SUMIFS('Fund History'!$K$642:$K$646,'Fund History'!$J$642:$J$646,"&gt;="&amp;DATE(YEAR_Y-3,1,1),'Fund History'!$J$642:$J$646,"&lt;="&amp;DATE(YEAR_Y-3,12,31)),""))))</f>
        <v/>
      </c>
      <c r="S117" s="72">
        <f>IF($C117="","",IF(PULL_FUND="N","",IF(COUNTIFS('Fund History'!$J$642:$J$646,"&gt;="&amp;DATE(YEAR_Y-2,1,1),'Fund History'!$J$642:$J$646,"&lt;="&amp;DATE(YEAR_Y-2,12,31))=0,"",IFERROR($I117*HSTECH!$G$12/SUMIFS('Fund History'!$K$642:$K$646,'Fund History'!$J$642:$J$646,"&gt;="&amp;DATE(YEAR_Y-2,1,1),'Fund History'!$J$642:$J$646,"&lt;="&amp;DATE(YEAR_Y-2,12,31)),""))))</f>
        <v/>
      </c>
      <c r="T117" s="72">
        <f>IF($C117="","",IF(PULL_FUND="N","",IF(COUNTIFS('Fund History'!$J$642:$J$646,"&gt;="&amp;DATE(YEAR_Y-1,1,1),'Fund History'!$J$642:$J$646,"&lt;="&amp;DATE(YEAR_Y-1,12,31))=0,"",IFERROR($J117*HSTECH!$G$12/SUMIFS('Fund History'!$K$642:$K$646,'Fund History'!$J$642:$J$646,"&gt;="&amp;DATE(YEAR_Y-1,1,1),'Fund History'!$J$642:$J$646,"&lt;="&amp;DATE(YEAR_Y-1,12,31)),""))))</f>
        <v/>
      </c>
      <c r="U117" s="73">
        <f>IF($C117="","",IF(ISNUMBER(HSTECH!$I$12),HSTECH!$I$12/100,""))</f>
        <v/>
      </c>
      <c r="V117" s="74">
        <f>IF($C117="","",IF(ISNUMBER(HSTECH!$X$12),IFERROR($M117*HSTECH!$G$12/HSTECH!$X$12,""),""))</f>
        <v/>
      </c>
      <c r="W117" s="73">
        <f>IF($C117="","",IF(ISNUMBER($N117),IFERROR($N117*HSTECH!$G$12/HSTECH!$X$12,""),""))</f>
        <v/>
      </c>
      <c r="X117" s="75">
        <f>IF($C117="","",IF(PULL_FUND="N","",IFERROR(BDP($C117,EPS_FIELD,YR_OVERRIDE,TEXT(YEAR_Y-5,"0")),"")))</f>
        <v/>
      </c>
      <c r="Y117" s="76">
        <f>IF($C117="","",IF(PULL_FUND="N","",IFERROR(BDP($C117,EPS_FIELD,YR_OVERRIDE,TEXT(YEAR_Y-4,"0")),"")))</f>
        <v/>
      </c>
      <c r="Z117" s="76">
        <f>IF($C117="","",IF(PULL_FUND="N","",IFERROR(BDP($C117,EPS_FIELD,YR_OVERRIDE,TEXT(YEAR_Y-3,"0")),"")))</f>
        <v/>
      </c>
      <c r="AA117" s="76">
        <f>IF($C117="","",IF(PULL_FUND="N","",IFERROR(BDP($C117,EPS_FIELD,YR_OVERRIDE,TEXT(YEAR_Y-2,"0")),"")))</f>
        <v/>
      </c>
      <c r="AB117" s="76">
        <f>IF($C117="","",IF(PULL_FUND="N","",IFERROR(BDP($C117,EPS_FIELD,YR_OVERRIDE,TEXT(YEAR_Y-1,"0")),"")))</f>
        <v/>
      </c>
      <c r="AC117" s="50">
        <f>IF($C117="","",IFERROR(AVERAGE(X117:AB117),""))</f>
        <v/>
      </c>
      <c r="AD117" s="76">
        <f>IF($C117="","",IF(PULL_FUND="N","",IFERROR(BDP($C117,BESTEPS_FIELD,FWD_OVERRIDE,TEXT(MOD(YEAR_Y,100),"00")&amp;"Y"),"")))</f>
        <v/>
      </c>
      <c r="AE117" s="77">
        <f>IF($C117="","",IF(PULL_FUND="N","",IFERROR(BDP($C117,PAYOUT_FIELD,YR_OVERRIDE,TEXT(YEAR_Y-5,"0"))/100,"")))</f>
        <v/>
      </c>
      <c r="AF117" s="78">
        <f>IF($C117="","",IF(PULL_FUND="N","",IFERROR(BDP($C117,PAYOUT_FIELD,YR_OVERRIDE,TEXT(YEAR_Y-4,"0"))/100,"")))</f>
        <v/>
      </c>
      <c r="AG117" s="78">
        <f>IF($C117="","",IF(PULL_FUND="N","",IFERROR(BDP($C117,PAYOUT_FIELD,YR_OVERRIDE,TEXT(YEAR_Y-3,"0"))/100,"")))</f>
        <v/>
      </c>
      <c r="AH117" s="78">
        <f>IF($C117="","",IF(PULL_FUND="N","",IFERROR(BDP($C117,PAYOUT_FIELD,YR_OVERRIDE,TEXT(YEAR_Y-2,"0"))/100,"")))</f>
        <v/>
      </c>
      <c r="AI117" s="78">
        <f>IF($C117="","",IF(PULL_FUND="N","",IFERROR(BDP($C117,PAYOUT_FIELD,YR_OVERRIDE,TEXT(YEAR_Y-1,"0"))/100,"")))</f>
        <v/>
      </c>
      <c r="AJ117" s="79">
        <f>IF($C117="","",IFERROR(AVERAGE(AE117:AI117),""))</f>
        <v/>
      </c>
      <c r="AK117" s="80">
        <f>IF($C117="","",IF(ISNUMBER($AD117)*ISNUMBER($N117)*($AD117&lt;&gt;0)=0,"",$N117/$AD117))</f>
        <v/>
      </c>
      <c r="AL117" s="79">
        <f>IF($C117="","",IF(ISNUMBER($AD117)*($AD117&lt;&gt;0)=0,"",$M117/$AD117))</f>
        <v/>
      </c>
      <c r="AM117" s="37">
        <f>IF($C117="","",IF(ISNUMBER($AE117)*ISNUMBER($AI117)=0,"",IF($AI117&gt;$AE117+0.05,"rising",IF($AI117&lt;$AE117-0.05,"falling","stable"))))</f>
        <v/>
      </c>
      <c r="AN117" s="81">
        <f>IF($C117="","",IF(PULL_FUND="N","",IF(COUNTIFS('Fund History'!$G$642:$G$646,"&gt;="&amp;DATE(YEAR_Y-4,1,1),'Fund History'!$G$642:$G$646,"&lt;="&amp;DATE(YEAR_Y-4,12,31))=0,"",SUMIFS('Fund History'!$H$642:$H$646,'Fund History'!$G$642:$G$646,"&gt;="&amp;DATE(YEAR_Y-4,1,1),'Fund History'!$G$642:$G$646,"&lt;="&amp;DATE(YEAR_Y-4,12,31))/100)))</f>
        <v/>
      </c>
      <c r="AO117" s="82">
        <f>IF($C117="","",IF(PULL_FUND="N","",IF(COUNTIFS('Fund History'!$G$642:$G$646,"&gt;="&amp;DATE(YEAR_Y-3,1,1),'Fund History'!$G$642:$G$646,"&lt;="&amp;DATE(YEAR_Y-3,12,31))=0,"",SUMIFS('Fund History'!$H$642:$H$646,'Fund History'!$G$642:$G$646,"&gt;="&amp;DATE(YEAR_Y-3,1,1),'Fund History'!$G$642:$G$646,"&lt;="&amp;DATE(YEAR_Y-3,12,31))/100)))</f>
        <v/>
      </c>
      <c r="AP117" s="82">
        <f>IF($C117="","",IF(PULL_FUND="N","",IF(COUNTIFS('Fund History'!$G$642:$G$646,"&gt;="&amp;DATE(YEAR_Y-2,1,1),'Fund History'!$G$642:$G$646,"&lt;="&amp;DATE(YEAR_Y-2,12,31))=0,"",SUMIFS('Fund History'!$H$642:$H$646,'Fund History'!$G$642:$G$646,"&gt;="&amp;DATE(YEAR_Y-2,1,1),'Fund History'!$G$642:$G$646,"&lt;="&amp;DATE(YEAR_Y-2,12,31))/100)))</f>
        <v/>
      </c>
      <c r="AQ117" s="82">
        <f>IF($C117="","",IF(PULL_FUND="N","",IF(COUNTIFS('Fund History'!$G$642:$G$646,"&gt;="&amp;DATE(YEAR_Y-1,1,1),'Fund History'!$G$642:$G$646,"&lt;="&amp;DATE(YEAR_Y-1,12,31))=0,"",SUMIFS('Fund History'!$H$642:$H$646,'Fund History'!$G$642:$G$646,"&gt;="&amp;DATE(YEAR_Y-1,1,1),'Fund History'!$G$642:$G$646,"&lt;="&amp;DATE(YEAR_Y-1,12,31))/100)))</f>
        <v/>
      </c>
      <c r="AR117" s="83">
        <f>IF($C117="","",IF(N($AQ117)+N(HSTECH!$I$12)=0,"",N($AQ117)+N(HSTECH!$I$12)/100))</f>
        <v/>
      </c>
      <c r="AS117" s="75">
        <f>IF($C117="","",IF(PULL_FUND="N","",IF(COUNTIFS('Fund History'!$D$642:$D$646,"&gt;="&amp;DATE(YEAR_Y-2,1,1),'Fund History'!$D$642:$D$646,"&lt;="&amp;DATE(YEAR_Y-2,12,31))=0,"",SUMIFS('Fund History'!$E$642:$E$646,'Fund History'!$D$642:$D$646,"&gt;="&amp;DATE(YEAR_Y-2,1,1),'Fund History'!$D$642:$D$646,"&lt;="&amp;DATE(YEAR_Y-2,12,31)))))</f>
        <v/>
      </c>
      <c r="AT117" s="76">
        <f>IF($C117="","",IF(PULL_FUND="N","",IF(COUNTIFS('Fund History'!$D$642:$D$646,"&gt;="&amp;DATE(YEAR_Y-1,1,1),'Fund History'!$D$642:$D$646,"&lt;="&amp;DATE(YEAR_Y-1,12,31))=0,"",SUMIFS('Fund History'!$E$642:$E$646,'Fund History'!$D$642:$D$646,"&gt;="&amp;DATE(YEAR_Y-1,1,1),'Fund History'!$D$642:$D$646,"&lt;="&amp;DATE(YEAR_Y-1,12,31)))))</f>
        <v/>
      </c>
      <c r="AU117" s="76">
        <f>IF($C117="","",IF(PULL_FUND="N","",IFERROR(BDP($C117,NDEBITDA_FIELD),"")))</f>
        <v/>
      </c>
      <c r="AV117" s="84">
        <f>IF($C117="","",IF(PULL_FUND="N","",IFERROR(BDP($C117,EBINT_FIELD),"")))</f>
        <v/>
      </c>
      <c r="AW117" s="82">
        <f>IF($C117="","",IF(PULL_FUND="N","",IFERROR(BDP($C117,FCF_FIELD)/100,"")))</f>
        <v/>
      </c>
      <c r="AX117" s="50">
        <f>IF($C117="","",IF(N($U117)=0,"",IFERROR($AW117/$U117,"")))</f>
        <v/>
      </c>
      <c r="AY117" s="85">
        <f>IF($C117="","",TRIM(IF(ISNUMBER($AJ117)*(N($AJ117)&gt;$D$4)&gt;0,"payout high  ","")&amp;IF(ISNUMBER($AX117)*(N($AX117)&lt;$F$4)&gt;0,"FCF below dvd  ","")&amp;IF(ISNUMBER($AU117)*(N($AU117)&gt;$H$4)&gt;0,"leverage high","")))</f>
        <v/>
      </c>
      <c r="AZ117" s="86">
        <f>IF($C117="","",IF(HSTECH!$F$12="HKD","",HSTECH!$F$12))</f>
        <v/>
      </c>
    </row>
    <row r="118">
      <c r="B118" s="66" t="inlineStr">
        <is>
          <t>HSTECH</t>
        </is>
      </c>
      <c r="C118" s="8">
        <f>IF(HSTECH!$C$13="","",HSTECH!$C$13)</f>
        <v/>
      </c>
      <c r="D118" s="8">
        <f>IF($C118="","",HSTECH!$D$13)</f>
        <v/>
      </c>
      <c r="E118" s="8">
        <f>IF($C118="","",HSTECH!$E$13)</f>
        <v/>
      </c>
      <c r="F118" s="67">
        <f>IF($C118="","",SUMPRODUCT(('Dvd Calendar'!$E$1182:$AR$1182&gt;=DATE(YEAR_Y-5,1,1))*('Dvd Calendar'!$E$1182:$AR$1182&lt;=DATE(YEAR_Y-5,12,31))*'Dvd Calendar'!$E$1185:$AR$1185*(('Dvd Calendar'!$E$1187:$AR$1187=TYPE1)*(TYPE1&lt;&gt;"")+('Dvd Calendar'!$E$1187:$AR$1187=TYPE2)*(TYPE2&lt;&gt;"")+('Dvd Calendar'!$E$1187:$AR$1187=TYPE3)*(TYPE3&lt;&gt;"")+('Dvd Calendar'!$E$1187:$AR$1187=TYPE4)*(TYPE4&lt;&gt;"")+('Dvd Calendar'!$E$1187:$AR$1187=SPECIAL_LBL)*(INC_SPECIALS="Y"))))</f>
        <v/>
      </c>
      <c r="G118" s="68">
        <f>IF($C118="","",SUMPRODUCT(('Dvd Calendar'!$E$1182:$AR$1182&gt;=DATE(YEAR_Y-4,1,1))*('Dvd Calendar'!$E$1182:$AR$1182&lt;=DATE(YEAR_Y-4,12,31))*'Dvd Calendar'!$E$1185:$AR$1185*(('Dvd Calendar'!$E$1187:$AR$1187=TYPE1)*(TYPE1&lt;&gt;"")+('Dvd Calendar'!$E$1187:$AR$1187=TYPE2)*(TYPE2&lt;&gt;"")+('Dvd Calendar'!$E$1187:$AR$1187=TYPE3)*(TYPE3&lt;&gt;"")+('Dvd Calendar'!$E$1187:$AR$1187=TYPE4)*(TYPE4&lt;&gt;"")+('Dvd Calendar'!$E$1187:$AR$1187=SPECIAL_LBL)*(INC_SPECIALS="Y"))))</f>
        <v/>
      </c>
      <c r="H118" s="68">
        <f>IF($C118="","",SUMPRODUCT(('Dvd Calendar'!$E$1182:$AR$1182&gt;=DATE(YEAR_Y-3,1,1))*('Dvd Calendar'!$E$1182:$AR$1182&lt;=DATE(YEAR_Y-3,12,31))*'Dvd Calendar'!$E$1185:$AR$1185*(('Dvd Calendar'!$E$1187:$AR$1187=TYPE1)*(TYPE1&lt;&gt;"")+('Dvd Calendar'!$E$1187:$AR$1187=TYPE2)*(TYPE2&lt;&gt;"")+('Dvd Calendar'!$E$1187:$AR$1187=TYPE3)*(TYPE3&lt;&gt;"")+('Dvd Calendar'!$E$1187:$AR$1187=TYPE4)*(TYPE4&lt;&gt;"")+('Dvd Calendar'!$E$1187:$AR$1187=SPECIAL_LBL)*(INC_SPECIALS="Y"))))</f>
        <v/>
      </c>
      <c r="I118" s="68">
        <f>IF($C118="","",SUMPRODUCT(('Dvd Calendar'!$E$1182:$AR$1182&gt;=DATE(YEAR_Y-2,1,1))*('Dvd Calendar'!$E$1182:$AR$1182&lt;=DATE(YEAR_Y-2,12,31))*'Dvd Calendar'!$E$1185:$AR$1185*(('Dvd Calendar'!$E$1187:$AR$1187=TYPE1)*(TYPE1&lt;&gt;"")+('Dvd Calendar'!$E$1187:$AR$1187=TYPE2)*(TYPE2&lt;&gt;"")+('Dvd Calendar'!$E$1187:$AR$1187=TYPE3)*(TYPE3&lt;&gt;"")+('Dvd Calendar'!$E$1187:$AR$1187=TYPE4)*(TYPE4&lt;&gt;"")+('Dvd Calendar'!$E$1187:$AR$1187=SPECIAL_LBL)*(INC_SPECIALS="Y"))))</f>
        <v/>
      </c>
      <c r="J118" s="68">
        <f>IF($C118="","",SUMPRODUCT(('Dvd Calendar'!$E$1182:$AR$1182&gt;=DATE(YEAR_Y-1,1,1))*('Dvd Calendar'!$E$1182:$AR$1182&lt;=DATE(YEAR_Y-1,12,31))*'Dvd Calendar'!$E$1185:$AR$1185*(('Dvd Calendar'!$E$1187:$AR$1187=TYPE1)*(TYPE1&lt;&gt;"")+('Dvd Calendar'!$E$1187:$AR$1187=TYPE2)*(TYPE2&lt;&gt;"")+('Dvd Calendar'!$E$1187:$AR$1187=TYPE3)*(TYPE3&lt;&gt;"")+('Dvd Calendar'!$E$1187:$AR$1187=TYPE4)*(TYPE4&lt;&gt;"")+('Dvd Calendar'!$E$1187:$AR$1187=SPECIAL_LBL)*(INC_SPECIALS="Y"))))</f>
        <v/>
      </c>
      <c r="K118" s="69">
        <f>IF($C118="","",HSTECH!$J$13)</f>
        <v/>
      </c>
      <c r="L118" s="69">
        <f>IF($C118="","",HSTECH!$K$13)</f>
        <v/>
      </c>
      <c r="M118" s="44">
        <f>IF($C118="","",HSTECH!$J$13+HSTECH!$L$13)</f>
        <v/>
      </c>
      <c r="N118" s="70">
        <f>IF($C118="","",IF(PULL_FUND="N","",IFERROR(BDP($C118,BESTDPS_FIELD,FWD_OVERRIDE,TEXT(MOD(YEAR_Y,100),"00")&amp;"Y"),"")))</f>
        <v/>
      </c>
      <c r="O118" s="69">
        <f>IF($C118="","",AVERAGE(F118:J118))</f>
        <v/>
      </c>
      <c r="P118" s="71">
        <f>IF($C118="","",IF(PULL_FUND="N","",IF(COUNTIFS('Fund History'!$J$648:$J$652,"&gt;="&amp;DATE(YEAR_Y-5,1,1),'Fund History'!$J$648:$J$652,"&lt;="&amp;DATE(YEAR_Y-5,12,31))=0,"",IFERROR($F118*HSTECH!$G$13/SUMIFS('Fund History'!$K$648:$K$652,'Fund History'!$J$648:$J$652,"&gt;="&amp;DATE(YEAR_Y-5,1,1),'Fund History'!$J$648:$J$652,"&lt;="&amp;DATE(YEAR_Y-5,12,31)),""))))</f>
        <v/>
      </c>
      <c r="Q118" s="72">
        <f>IF($C118="","",IF(PULL_FUND="N","",IF(COUNTIFS('Fund History'!$J$648:$J$652,"&gt;="&amp;DATE(YEAR_Y-4,1,1),'Fund History'!$J$648:$J$652,"&lt;="&amp;DATE(YEAR_Y-4,12,31))=0,"",IFERROR($G118*HSTECH!$G$13/SUMIFS('Fund History'!$K$648:$K$652,'Fund History'!$J$648:$J$652,"&gt;="&amp;DATE(YEAR_Y-4,1,1),'Fund History'!$J$648:$J$652,"&lt;="&amp;DATE(YEAR_Y-4,12,31)),""))))</f>
        <v/>
      </c>
      <c r="R118" s="72">
        <f>IF($C118="","",IF(PULL_FUND="N","",IF(COUNTIFS('Fund History'!$J$648:$J$652,"&gt;="&amp;DATE(YEAR_Y-3,1,1),'Fund History'!$J$648:$J$652,"&lt;="&amp;DATE(YEAR_Y-3,12,31))=0,"",IFERROR($H118*HSTECH!$G$13/SUMIFS('Fund History'!$K$648:$K$652,'Fund History'!$J$648:$J$652,"&gt;="&amp;DATE(YEAR_Y-3,1,1),'Fund History'!$J$648:$J$652,"&lt;="&amp;DATE(YEAR_Y-3,12,31)),""))))</f>
        <v/>
      </c>
      <c r="S118" s="72">
        <f>IF($C118="","",IF(PULL_FUND="N","",IF(COUNTIFS('Fund History'!$J$648:$J$652,"&gt;="&amp;DATE(YEAR_Y-2,1,1),'Fund History'!$J$648:$J$652,"&lt;="&amp;DATE(YEAR_Y-2,12,31))=0,"",IFERROR($I118*HSTECH!$G$13/SUMIFS('Fund History'!$K$648:$K$652,'Fund History'!$J$648:$J$652,"&gt;="&amp;DATE(YEAR_Y-2,1,1),'Fund History'!$J$648:$J$652,"&lt;="&amp;DATE(YEAR_Y-2,12,31)),""))))</f>
        <v/>
      </c>
      <c r="T118" s="72">
        <f>IF($C118="","",IF(PULL_FUND="N","",IF(COUNTIFS('Fund History'!$J$648:$J$652,"&gt;="&amp;DATE(YEAR_Y-1,1,1),'Fund History'!$J$648:$J$652,"&lt;="&amp;DATE(YEAR_Y-1,12,31))=0,"",IFERROR($J118*HSTECH!$G$13/SUMIFS('Fund History'!$K$648:$K$652,'Fund History'!$J$648:$J$652,"&gt;="&amp;DATE(YEAR_Y-1,1,1),'Fund History'!$J$648:$J$652,"&lt;="&amp;DATE(YEAR_Y-1,12,31)),""))))</f>
        <v/>
      </c>
      <c r="U118" s="73">
        <f>IF($C118="","",IF(ISNUMBER(HSTECH!$I$13),HSTECH!$I$13/100,""))</f>
        <v/>
      </c>
      <c r="V118" s="74">
        <f>IF($C118="","",IF(ISNUMBER(HSTECH!$X$13),IFERROR($M118*HSTECH!$G$13/HSTECH!$X$13,""),""))</f>
        <v/>
      </c>
      <c r="W118" s="73">
        <f>IF($C118="","",IF(ISNUMBER($N118),IFERROR($N118*HSTECH!$G$13/HSTECH!$X$13,""),""))</f>
        <v/>
      </c>
      <c r="X118" s="75">
        <f>IF($C118="","",IF(PULL_FUND="N","",IFERROR(BDP($C118,EPS_FIELD,YR_OVERRIDE,TEXT(YEAR_Y-5,"0")),"")))</f>
        <v/>
      </c>
      <c r="Y118" s="76">
        <f>IF($C118="","",IF(PULL_FUND="N","",IFERROR(BDP($C118,EPS_FIELD,YR_OVERRIDE,TEXT(YEAR_Y-4,"0")),"")))</f>
        <v/>
      </c>
      <c r="Z118" s="76">
        <f>IF($C118="","",IF(PULL_FUND="N","",IFERROR(BDP($C118,EPS_FIELD,YR_OVERRIDE,TEXT(YEAR_Y-3,"0")),"")))</f>
        <v/>
      </c>
      <c r="AA118" s="76">
        <f>IF($C118="","",IF(PULL_FUND="N","",IFERROR(BDP($C118,EPS_FIELD,YR_OVERRIDE,TEXT(YEAR_Y-2,"0")),"")))</f>
        <v/>
      </c>
      <c r="AB118" s="76">
        <f>IF($C118="","",IF(PULL_FUND="N","",IFERROR(BDP($C118,EPS_FIELD,YR_OVERRIDE,TEXT(YEAR_Y-1,"0")),"")))</f>
        <v/>
      </c>
      <c r="AC118" s="50">
        <f>IF($C118="","",IFERROR(AVERAGE(X118:AB118),""))</f>
        <v/>
      </c>
      <c r="AD118" s="76">
        <f>IF($C118="","",IF(PULL_FUND="N","",IFERROR(BDP($C118,BESTEPS_FIELD,FWD_OVERRIDE,TEXT(MOD(YEAR_Y,100),"00")&amp;"Y"),"")))</f>
        <v/>
      </c>
      <c r="AE118" s="77">
        <f>IF($C118="","",IF(PULL_FUND="N","",IFERROR(BDP($C118,PAYOUT_FIELD,YR_OVERRIDE,TEXT(YEAR_Y-5,"0"))/100,"")))</f>
        <v/>
      </c>
      <c r="AF118" s="78">
        <f>IF($C118="","",IF(PULL_FUND="N","",IFERROR(BDP($C118,PAYOUT_FIELD,YR_OVERRIDE,TEXT(YEAR_Y-4,"0"))/100,"")))</f>
        <v/>
      </c>
      <c r="AG118" s="78">
        <f>IF($C118="","",IF(PULL_FUND="N","",IFERROR(BDP($C118,PAYOUT_FIELD,YR_OVERRIDE,TEXT(YEAR_Y-3,"0"))/100,"")))</f>
        <v/>
      </c>
      <c r="AH118" s="78">
        <f>IF($C118="","",IF(PULL_FUND="N","",IFERROR(BDP($C118,PAYOUT_FIELD,YR_OVERRIDE,TEXT(YEAR_Y-2,"0"))/100,"")))</f>
        <v/>
      </c>
      <c r="AI118" s="78">
        <f>IF($C118="","",IF(PULL_FUND="N","",IFERROR(BDP($C118,PAYOUT_FIELD,YR_OVERRIDE,TEXT(YEAR_Y-1,"0"))/100,"")))</f>
        <v/>
      </c>
      <c r="AJ118" s="79">
        <f>IF($C118="","",IFERROR(AVERAGE(AE118:AI118),""))</f>
        <v/>
      </c>
      <c r="AK118" s="80">
        <f>IF($C118="","",IF(ISNUMBER($AD118)*ISNUMBER($N118)*($AD118&lt;&gt;0)=0,"",$N118/$AD118))</f>
        <v/>
      </c>
      <c r="AL118" s="79">
        <f>IF($C118="","",IF(ISNUMBER($AD118)*($AD118&lt;&gt;0)=0,"",$M118/$AD118))</f>
        <v/>
      </c>
      <c r="AM118" s="37">
        <f>IF($C118="","",IF(ISNUMBER($AE118)*ISNUMBER($AI118)=0,"",IF($AI118&gt;$AE118+0.05,"rising",IF($AI118&lt;$AE118-0.05,"falling","stable"))))</f>
        <v/>
      </c>
      <c r="AN118" s="81">
        <f>IF($C118="","",IF(PULL_FUND="N","",IF(COUNTIFS('Fund History'!$G$648:$G$652,"&gt;="&amp;DATE(YEAR_Y-4,1,1),'Fund History'!$G$648:$G$652,"&lt;="&amp;DATE(YEAR_Y-4,12,31))=0,"",SUMIFS('Fund History'!$H$648:$H$652,'Fund History'!$G$648:$G$652,"&gt;="&amp;DATE(YEAR_Y-4,1,1),'Fund History'!$G$648:$G$652,"&lt;="&amp;DATE(YEAR_Y-4,12,31))/100)))</f>
        <v/>
      </c>
      <c r="AO118" s="82">
        <f>IF($C118="","",IF(PULL_FUND="N","",IF(COUNTIFS('Fund History'!$G$648:$G$652,"&gt;="&amp;DATE(YEAR_Y-3,1,1),'Fund History'!$G$648:$G$652,"&lt;="&amp;DATE(YEAR_Y-3,12,31))=0,"",SUMIFS('Fund History'!$H$648:$H$652,'Fund History'!$G$648:$G$652,"&gt;="&amp;DATE(YEAR_Y-3,1,1),'Fund History'!$G$648:$G$652,"&lt;="&amp;DATE(YEAR_Y-3,12,31))/100)))</f>
        <v/>
      </c>
      <c r="AP118" s="82">
        <f>IF($C118="","",IF(PULL_FUND="N","",IF(COUNTIFS('Fund History'!$G$648:$G$652,"&gt;="&amp;DATE(YEAR_Y-2,1,1),'Fund History'!$G$648:$G$652,"&lt;="&amp;DATE(YEAR_Y-2,12,31))=0,"",SUMIFS('Fund History'!$H$648:$H$652,'Fund History'!$G$648:$G$652,"&gt;="&amp;DATE(YEAR_Y-2,1,1),'Fund History'!$G$648:$G$652,"&lt;="&amp;DATE(YEAR_Y-2,12,31))/100)))</f>
        <v/>
      </c>
      <c r="AQ118" s="82">
        <f>IF($C118="","",IF(PULL_FUND="N","",IF(COUNTIFS('Fund History'!$G$648:$G$652,"&gt;="&amp;DATE(YEAR_Y-1,1,1),'Fund History'!$G$648:$G$652,"&lt;="&amp;DATE(YEAR_Y-1,12,31))=0,"",SUMIFS('Fund History'!$H$648:$H$652,'Fund History'!$G$648:$G$652,"&gt;="&amp;DATE(YEAR_Y-1,1,1),'Fund History'!$G$648:$G$652,"&lt;="&amp;DATE(YEAR_Y-1,12,31))/100)))</f>
        <v/>
      </c>
      <c r="AR118" s="83">
        <f>IF($C118="","",IF(N($AQ118)+N(HSTECH!$I$13)=0,"",N($AQ118)+N(HSTECH!$I$13)/100))</f>
        <v/>
      </c>
      <c r="AS118" s="75">
        <f>IF($C118="","",IF(PULL_FUND="N","",IF(COUNTIFS('Fund History'!$D$648:$D$652,"&gt;="&amp;DATE(YEAR_Y-2,1,1),'Fund History'!$D$648:$D$652,"&lt;="&amp;DATE(YEAR_Y-2,12,31))=0,"",SUMIFS('Fund History'!$E$648:$E$652,'Fund History'!$D$648:$D$652,"&gt;="&amp;DATE(YEAR_Y-2,1,1),'Fund History'!$D$648:$D$652,"&lt;="&amp;DATE(YEAR_Y-2,12,31)))))</f>
        <v/>
      </c>
      <c r="AT118" s="76">
        <f>IF($C118="","",IF(PULL_FUND="N","",IF(COUNTIFS('Fund History'!$D$648:$D$652,"&gt;="&amp;DATE(YEAR_Y-1,1,1),'Fund History'!$D$648:$D$652,"&lt;="&amp;DATE(YEAR_Y-1,12,31))=0,"",SUMIFS('Fund History'!$E$648:$E$652,'Fund History'!$D$648:$D$652,"&gt;="&amp;DATE(YEAR_Y-1,1,1),'Fund History'!$D$648:$D$652,"&lt;="&amp;DATE(YEAR_Y-1,12,31)))))</f>
        <v/>
      </c>
      <c r="AU118" s="76">
        <f>IF($C118="","",IF(PULL_FUND="N","",IFERROR(BDP($C118,NDEBITDA_FIELD),"")))</f>
        <v/>
      </c>
      <c r="AV118" s="84">
        <f>IF($C118="","",IF(PULL_FUND="N","",IFERROR(BDP($C118,EBINT_FIELD),"")))</f>
        <v/>
      </c>
      <c r="AW118" s="82">
        <f>IF($C118="","",IF(PULL_FUND="N","",IFERROR(BDP($C118,FCF_FIELD)/100,"")))</f>
        <v/>
      </c>
      <c r="AX118" s="50">
        <f>IF($C118="","",IF(N($U118)=0,"",IFERROR($AW118/$U118,"")))</f>
        <v/>
      </c>
      <c r="AY118" s="85">
        <f>IF($C118="","",TRIM(IF(ISNUMBER($AJ118)*(N($AJ118)&gt;$D$4)&gt;0,"payout high  ","")&amp;IF(ISNUMBER($AX118)*(N($AX118)&lt;$F$4)&gt;0,"FCF below dvd  ","")&amp;IF(ISNUMBER($AU118)*(N($AU118)&gt;$H$4)&gt;0,"leverage high","")))</f>
        <v/>
      </c>
      <c r="AZ118" s="86">
        <f>IF($C118="","",IF(HSTECH!$F$13="HKD","",HSTECH!$F$13))</f>
        <v/>
      </c>
    </row>
    <row r="119">
      <c r="B119" s="66" t="inlineStr">
        <is>
          <t>HSTECH</t>
        </is>
      </c>
      <c r="C119" s="8">
        <f>IF(HSTECH!$C$14="","",HSTECH!$C$14)</f>
        <v/>
      </c>
      <c r="D119" s="8">
        <f>IF($C119="","",HSTECH!$D$14)</f>
        <v/>
      </c>
      <c r="E119" s="8">
        <f>IF($C119="","",HSTECH!$E$14)</f>
        <v/>
      </c>
      <c r="F119" s="67">
        <f>IF($C119="","",SUMPRODUCT(('Dvd Calendar'!$E$1193:$AR$1193&gt;=DATE(YEAR_Y-5,1,1))*('Dvd Calendar'!$E$1193:$AR$1193&lt;=DATE(YEAR_Y-5,12,31))*'Dvd Calendar'!$E$1196:$AR$1196*(('Dvd Calendar'!$E$1198:$AR$1198=TYPE1)*(TYPE1&lt;&gt;"")+('Dvd Calendar'!$E$1198:$AR$1198=TYPE2)*(TYPE2&lt;&gt;"")+('Dvd Calendar'!$E$1198:$AR$1198=TYPE3)*(TYPE3&lt;&gt;"")+('Dvd Calendar'!$E$1198:$AR$1198=TYPE4)*(TYPE4&lt;&gt;"")+('Dvd Calendar'!$E$1198:$AR$1198=SPECIAL_LBL)*(INC_SPECIALS="Y"))))</f>
        <v/>
      </c>
      <c r="G119" s="68">
        <f>IF($C119="","",SUMPRODUCT(('Dvd Calendar'!$E$1193:$AR$1193&gt;=DATE(YEAR_Y-4,1,1))*('Dvd Calendar'!$E$1193:$AR$1193&lt;=DATE(YEAR_Y-4,12,31))*'Dvd Calendar'!$E$1196:$AR$1196*(('Dvd Calendar'!$E$1198:$AR$1198=TYPE1)*(TYPE1&lt;&gt;"")+('Dvd Calendar'!$E$1198:$AR$1198=TYPE2)*(TYPE2&lt;&gt;"")+('Dvd Calendar'!$E$1198:$AR$1198=TYPE3)*(TYPE3&lt;&gt;"")+('Dvd Calendar'!$E$1198:$AR$1198=TYPE4)*(TYPE4&lt;&gt;"")+('Dvd Calendar'!$E$1198:$AR$1198=SPECIAL_LBL)*(INC_SPECIALS="Y"))))</f>
        <v/>
      </c>
      <c r="H119" s="68">
        <f>IF($C119="","",SUMPRODUCT(('Dvd Calendar'!$E$1193:$AR$1193&gt;=DATE(YEAR_Y-3,1,1))*('Dvd Calendar'!$E$1193:$AR$1193&lt;=DATE(YEAR_Y-3,12,31))*'Dvd Calendar'!$E$1196:$AR$1196*(('Dvd Calendar'!$E$1198:$AR$1198=TYPE1)*(TYPE1&lt;&gt;"")+('Dvd Calendar'!$E$1198:$AR$1198=TYPE2)*(TYPE2&lt;&gt;"")+('Dvd Calendar'!$E$1198:$AR$1198=TYPE3)*(TYPE3&lt;&gt;"")+('Dvd Calendar'!$E$1198:$AR$1198=TYPE4)*(TYPE4&lt;&gt;"")+('Dvd Calendar'!$E$1198:$AR$1198=SPECIAL_LBL)*(INC_SPECIALS="Y"))))</f>
        <v/>
      </c>
      <c r="I119" s="68">
        <f>IF($C119="","",SUMPRODUCT(('Dvd Calendar'!$E$1193:$AR$1193&gt;=DATE(YEAR_Y-2,1,1))*('Dvd Calendar'!$E$1193:$AR$1193&lt;=DATE(YEAR_Y-2,12,31))*'Dvd Calendar'!$E$1196:$AR$1196*(('Dvd Calendar'!$E$1198:$AR$1198=TYPE1)*(TYPE1&lt;&gt;"")+('Dvd Calendar'!$E$1198:$AR$1198=TYPE2)*(TYPE2&lt;&gt;"")+('Dvd Calendar'!$E$1198:$AR$1198=TYPE3)*(TYPE3&lt;&gt;"")+('Dvd Calendar'!$E$1198:$AR$1198=TYPE4)*(TYPE4&lt;&gt;"")+('Dvd Calendar'!$E$1198:$AR$1198=SPECIAL_LBL)*(INC_SPECIALS="Y"))))</f>
        <v/>
      </c>
      <c r="J119" s="68">
        <f>IF($C119="","",SUMPRODUCT(('Dvd Calendar'!$E$1193:$AR$1193&gt;=DATE(YEAR_Y-1,1,1))*('Dvd Calendar'!$E$1193:$AR$1193&lt;=DATE(YEAR_Y-1,12,31))*'Dvd Calendar'!$E$1196:$AR$1196*(('Dvd Calendar'!$E$1198:$AR$1198=TYPE1)*(TYPE1&lt;&gt;"")+('Dvd Calendar'!$E$1198:$AR$1198=TYPE2)*(TYPE2&lt;&gt;"")+('Dvd Calendar'!$E$1198:$AR$1198=TYPE3)*(TYPE3&lt;&gt;"")+('Dvd Calendar'!$E$1198:$AR$1198=TYPE4)*(TYPE4&lt;&gt;"")+('Dvd Calendar'!$E$1198:$AR$1198=SPECIAL_LBL)*(INC_SPECIALS="Y"))))</f>
        <v/>
      </c>
      <c r="K119" s="69">
        <f>IF($C119="","",HSTECH!$J$14)</f>
        <v/>
      </c>
      <c r="L119" s="69">
        <f>IF($C119="","",HSTECH!$K$14)</f>
        <v/>
      </c>
      <c r="M119" s="44">
        <f>IF($C119="","",HSTECH!$J$14+HSTECH!$L$14)</f>
        <v/>
      </c>
      <c r="N119" s="70">
        <f>IF($C119="","",IF(PULL_FUND="N","",IFERROR(BDP($C119,BESTDPS_FIELD,FWD_OVERRIDE,TEXT(MOD(YEAR_Y,100),"00")&amp;"Y"),"")))</f>
        <v/>
      </c>
      <c r="O119" s="69">
        <f>IF($C119="","",AVERAGE(F119:J119))</f>
        <v/>
      </c>
      <c r="P119" s="71">
        <f>IF($C119="","",IF(PULL_FUND="N","",IF(COUNTIFS('Fund History'!$J$654:$J$658,"&gt;="&amp;DATE(YEAR_Y-5,1,1),'Fund History'!$J$654:$J$658,"&lt;="&amp;DATE(YEAR_Y-5,12,31))=0,"",IFERROR($F119*HSTECH!$G$14/SUMIFS('Fund History'!$K$654:$K$658,'Fund History'!$J$654:$J$658,"&gt;="&amp;DATE(YEAR_Y-5,1,1),'Fund History'!$J$654:$J$658,"&lt;="&amp;DATE(YEAR_Y-5,12,31)),""))))</f>
        <v/>
      </c>
      <c r="Q119" s="72">
        <f>IF($C119="","",IF(PULL_FUND="N","",IF(COUNTIFS('Fund History'!$J$654:$J$658,"&gt;="&amp;DATE(YEAR_Y-4,1,1),'Fund History'!$J$654:$J$658,"&lt;="&amp;DATE(YEAR_Y-4,12,31))=0,"",IFERROR($G119*HSTECH!$G$14/SUMIFS('Fund History'!$K$654:$K$658,'Fund History'!$J$654:$J$658,"&gt;="&amp;DATE(YEAR_Y-4,1,1),'Fund History'!$J$654:$J$658,"&lt;="&amp;DATE(YEAR_Y-4,12,31)),""))))</f>
        <v/>
      </c>
      <c r="R119" s="72">
        <f>IF($C119="","",IF(PULL_FUND="N","",IF(COUNTIFS('Fund History'!$J$654:$J$658,"&gt;="&amp;DATE(YEAR_Y-3,1,1),'Fund History'!$J$654:$J$658,"&lt;="&amp;DATE(YEAR_Y-3,12,31))=0,"",IFERROR($H119*HSTECH!$G$14/SUMIFS('Fund History'!$K$654:$K$658,'Fund History'!$J$654:$J$658,"&gt;="&amp;DATE(YEAR_Y-3,1,1),'Fund History'!$J$654:$J$658,"&lt;="&amp;DATE(YEAR_Y-3,12,31)),""))))</f>
        <v/>
      </c>
      <c r="S119" s="72">
        <f>IF($C119="","",IF(PULL_FUND="N","",IF(COUNTIFS('Fund History'!$J$654:$J$658,"&gt;="&amp;DATE(YEAR_Y-2,1,1),'Fund History'!$J$654:$J$658,"&lt;="&amp;DATE(YEAR_Y-2,12,31))=0,"",IFERROR($I119*HSTECH!$G$14/SUMIFS('Fund History'!$K$654:$K$658,'Fund History'!$J$654:$J$658,"&gt;="&amp;DATE(YEAR_Y-2,1,1),'Fund History'!$J$654:$J$658,"&lt;="&amp;DATE(YEAR_Y-2,12,31)),""))))</f>
        <v/>
      </c>
      <c r="T119" s="72">
        <f>IF($C119="","",IF(PULL_FUND="N","",IF(COUNTIFS('Fund History'!$J$654:$J$658,"&gt;="&amp;DATE(YEAR_Y-1,1,1),'Fund History'!$J$654:$J$658,"&lt;="&amp;DATE(YEAR_Y-1,12,31))=0,"",IFERROR($J119*HSTECH!$G$14/SUMIFS('Fund History'!$K$654:$K$658,'Fund History'!$J$654:$J$658,"&gt;="&amp;DATE(YEAR_Y-1,1,1),'Fund History'!$J$654:$J$658,"&lt;="&amp;DATE(YEAR_Y-1,12,31)),""))))</f>
        <v/>
      </c>
      <c r="U119" s="73">
        <f>IF($C119="","",IF(ISNUMBER(HSTECH!$I$14),HSTECH!$I$14/100,""))</f>
        <v/>
      </c>
      <c r="V119" s="74">
        <f>IF($C119="","",IF(ISNUMBER(HSTECH!$X$14),IFERROR($M119*HSTECH!$G$14/HSTECH!$X$14,""),""))</f>
        <v/>
      </c>
      <c r="W119" s="73">
        <f>IF($C119="","",IF(ISNUMBER($N119),IFERROR($N119*HSTECH!$G$14/HSTECH!$X$14,""),""))</f>
        <v/>
      </c>
      <c r="X119" s="75">
        <f>IF($C119="","",IF(PULL_FUND="N","",IFERROR(BDP($C119,EPS_FIELD,YR_OVERRIDE,TEXT(YEAR_Y-5,"0")),"")))</f>
        <v/>
      </c>
      <c r="Y119" s="76">
        <f>IF($C119="","",IF(PULL_FUND="N","",IFERROR(BDP($C119,EPS_FIELD,YR_OVERRIDE,TEXT(YEAR_Y-4,"0")),"")))</f>
        <v/>
      </c>
      <c r="Z119" s="76">
        <f>IF($C119="","",IF(PULL_FUND="N","",IFERROR(BDP($C119,EPS_FIELD,YR_OVERRIDE,TEXT(YEAR_Y-3,"0")),"")))</f>
        <v/>
      </c>
      <c r="AA119" s="76">
        <f>IF($C119="","",IF(PULL_FUND="N","",IFERROR(BDP($C119,EPS_FIELD,YR_OVERRIDE,TEXT(YEAR_Y-2,"0")),"")))</f>
        <v/>
      </c>
      <c r="AB119" s="76">
        <f>IF($C119="","",IF(PULL_FUND="N","",IFERROR(BDP($C119,EPS_FIELD,YR_OVERRIDE,TEXT(YEAR_Y-1,"0")),"")))</f>
        <v/>
      </c>
      <c r="AC119" s="50">
        <f>IF($C119="","",IFERROR(AVERAGE(X119:AB119),""))</f>
        <v/>
      </c>
      <c r="AD119" s="76">
        <f>IF($C119="","",IF(PULL_FUND="N","",IFERROR(BDP($C119,BESTEPS_FIELD,FWD_OVERRIDE,TEXT(MOD(YEAR_Y,100),"00")&amp;"Y"),"")))</f>
        <v/>
      </c>
      <c r="AE119" s="77">
        <f>IF($C119="","",IF(PULL_FUND="N","",IFERROR(BDP($C119,PAYOUT_FIELD,YR_OVERRIDE,TEXT(YEAR_Y-5,"0"))/100,"")))</f>
        <v/>
      </c>
      <c r="AF119" s="78">
        <f>IF($C119="","",IF(PULL_FUND="N","",IFERROR(BDP($C119,PAYOUT_FIELD,YR_OVERRIDE,TEXT(YEAR_Y-4,"0"))/100,"")))</f>
        <v/>
      </c>
      <c r="AG119" s="78">
        <f>IF($C119="","",IF(PULL_FUND="N","",IFERROR(BDP($C119,PAYOUT_FIELD,YR_OVERRIDE,TEXT(YEAR_Y-3,"0"))/100,"")))</f>
        <v/>
      </c>
      <c r="AH119" s="78">
        <f>IF($C119="","",IF(PULL_FUND="N","",IFERROR(BDP($C119,PAYOUT_FIELD,YR_OVERRIDE,TEXT(YEAR_Y-2,"0"))/100,"")))</f>
        <v/>
      </c>
      <c r="AI119" s="78">
        <f>IF($C119="","",IF(PULL_FUND="N","",IFERROR(BDP($C119,PAYOUT_FIELD,YR_OVERRIDE,TEXT(YEAR_Y-1,"0"))/100,"")))</f>
        <v/>
      </c>
      <c r="AJ119" s="79">
        <f>IF($C119="","",IFERROR(AVERAGE(AE119:AI119),""))</f>
        <v/>
      </c>
      <c r="AK119" s="80">
        <f>IF($C119="","",IF(ISNUMBER($AD119)*ISNUMBER($N119)*($AD119&lt;&gt;0)=0,"",$N119/$AD119))</f>
        <v/>
      </c>
      <c r="AL119" s="79">
        <f>IF($C119="","",IF(ISNUMBER($AD119)*($AD119&lt;&gt;0)=0,"",$M119/$AD119))</f>
        <v/>
      </c>
      <c r="AM119" s="37">
        <f>IF($C119="","",IF(ISNUMBER($AE119)*ISNUMBER($AI119)=0,"",IF($AI119&gt;$AE119+0.05,"rising",IF($AI119&lt;$AE119-0.05,"falling","stable"))))</f>
        <v/>
      </c>
      <c r="AN119" s="81">
        <f>IF($C119="","",IF(PULL_FUND="N","",IF(COUNTIFS('Fund History'!$G$654:$G$658,"&gt;="&amp;DATE(YEAR_Y-4,1,1),'Fund History'!$G$654:$G$658,"&lt;="&amp;DATE(YEAR_Y-4,12,31))=0,"",SUMIFS('Fund History'!$H$654:$H$658,'Fund History'!$G$654:$G$658,"&gt;="&amp;DATE(YEAR_Y-4,1,1),'Fund History'!$G$654:$G$658,"&lt;="&amp;DATE(YEAR_Y-4,12,31))/100)))</f>
        <v/>
      </c>
      <c r="AO119" s="82">
        <f>IF($C119="","",IF(PULL_FUND="N","",IF(COUNTIFS('Fund History'!$G$654:$G$658,"&gt;="&amp;DATE(YEAR_Y-3,1,1),'Fund History'!$G$654:$G$658,"&lt;="&amp;DATE(YEAR_Y-3,12,31))=0,"",SUMIFS('Fund History'!$H$654:$H$658,'Fund History'!$G$654:$G$658,"&gt;="&amp;DATE(YEAR_Y-3,1,1),'Fund History'!$G$654:$G$658,"&lt;="&amp;DATE(YEAR_Y-3,12,31))/100)))</f>
        <v/>
      </c>
      <c r="AP119" s="82">
        <f>IF($C119="","",IF(PULL_FUND="N","",IF(COUNTIFS('Fund History'!$G$654:$G$658,"&gt;="&amp;DATE(YEAR_Y-2,1,1),'Fund History'!$G$654:$G$658,"&lt;="&amp;DATE(YEAR_Y-2,12,31))=0,"",SUMIFS('Fund History'!$H$654:$H$658,'Fund History'!$G$654:$G$658,"&gt;="&amp;DATE(YEAR_Y-2,1,1),'Fund History'!$G$654:$G$658,"&lt;="&amp;DATE(YEAR_Y-2,12,31))/100)))</f>
        <v/>
      </c>
      <c r="AQ119" s="82">
        <f>IF($C119="","",IF(PULL_FUND="N","",IF(COUNTIFS('Fund History'!$G$654:$G$658,"&gt;="&amp;DATE(YEAR_Y-1,1,1),'Fund History'!$G$654:$G$658,"&lt;="&amp;DATE(YEAR_Y-1,12,31))=0,"",SUMIFS('Fund History'!$H$654:$H$658,'Fund History'!$G$654:$G$658,"&gt;="&amp;DATE(YEAR_Y-1,1,1),'Fund History'!$G$654:$G$658,"&lt;="&amp;DATE(YEAR_Y-1,12,31))/100)))</f>
        <v/>
      </c>
      <c r="AR119" s="83">
        <f>IF($C119="","",IF(N($AQ119)+N(HSTECH!$I$14)=0,"",N($AQ119)+N(HSTECH!$I$14)/100))</f>
        <v/>
      </c>
      <c r="AS119" s="75">
        <f>IF($C119="","",IF(PULL_FUND="N","",IF(COUNTIFS('Fund History'!$D$654:$D$658,"&gt;="&amp;DATE(YEAR_Y-2,1,1),'Fund History'!$D$654:$D$658,"&lt;="&amp;DATE(YEAR_Y-2,12,31))=0,"",SUMIFS('Fund History'!$E$654:$E$658,'Fund History'!$D$654:$D$658,"&gt;="&amp;DATE(YEAR_Y-2,1,1),'Fund History'!$D$654:$D$658,"&lt;="&amp;DATE(YEAR_Y-2,12,31)))))</f>
        <v/>
      </c>
      <c r="AT119" s="76">
        <f>IF($C119="","",IF(PULL_FUND="N","",IF(COUNTIFS('Fund History'!$D$654:$D$658,"&gt;="&amp;DATE(YEAR_Y-1,1,1),'Fund History'!$D$654:$D$658,"&lt;="&amp;DATE(YEAR_Y-1,12,31))=0,"",SUMIFS('Fund History'!$E$654:$E$658,'Fund History'!$D$654:$D$658,"&gt;="&amp;DATE(YEAR_Y-1,1,1),'Fund History'!$D$654:$D$658,"&lt;="&amp;DATE(YEAR_Y-1,12,31)))))</f>
        <v/>
      </c>
      <c r="AU119" s="76">
        <f>IF($C119="","",IF(PULL_FUND="N","",IFERROR(BDP($C119,NDEBITDA_FIELD),"")))</f>
        <v/>
      </c>
      <c r="AV119" s="84">
        <f>IF($C119="","",IF(PULL_FUND="N","",IFERROR(BDP($C119,EBINT_FIELD),"")))</f>
        <v/>
      </c>
      <c r="AW119" s="82">
        <f>IF($C119="","",IF(PULL_FUND="N","",IFERROR(BDP($C119,FCF_FIELD)/100,"")))</f>
        <v/>
      </c>
      <c r="AX119" s="50">
        <f>IF($C119="","",IF(N($U119)=0,"",IFERROR($AW119/$U119,"")))</f>
        <v/>
      </c>
      <c r="AY119" s="85">
        <f>IF($C119="","",TRIM(IF(ISNUMBER($AJ119)*(N($AJ119)&gt;$D$4)&gt;0,"payout high  ","")&amp;IF(ISNUMBER($AX119)*(N($AX119)&lt;$F$4)&gt;0,"FCF below dvd  ","")&amp;IF(ISNUMBER($AU119)*(N($AU119)&gt;$H$4)&gt;0,"leverage high","")))</f>
        <v/>
      </c>
      <c r="AZ119" s="86">
        <f>IF($C119="","",IF(HSTECH!$F$14="HKD","",HSTECH!$F$14))</f>
        <v/>
      </c>
    </row>
    <row r="120">
      <c r="B120" s="66" t="inlineStr">
        <is>
          <t>HSTECH</t>
        </is>
      </c>
      <c r="C120" s="8">
        <f>IF(HSTECH!$C$15="","",HSTECH!$C$15)</f>
        <v/>
      </c>
      <c r="D120" s="8">
        <f>IF($C120="","",HSTECH!$D$15)</f>
        <v/>
      </c>
      <c r="E120" s="8">
        <f>IF($C120="","",HSTECH!$E$15)</f>
        <v/>
      </c>
      <c r="F120" s="67">
        <f>IF($C120="","",SUMPRODUCT(('Dvd Calendar'!$E$1204:$AR$1204&gt;=DATE(YEAR_Y-5,1,1))*('Dvd Calendar'!$E$1204:$AR$1204&lt;=DATE(YEAR_Y-5,12,31))*'Dvd Calendar'!$E$1207:$AR$1207*(('Dvd Calendar'!$E$1209:$AR$1209=TYPE1)*(TYPE1&lt;&gt;"")+('Dvd Calendar'!$E$1209:$AR$1209=TYPE2)*(TYPE2&lt;&gt;"")+('Dvd Calendar'!$E$1209:$AR$1209=TYPE3)*(TYPE3&lt;&gt;"")+('Dvd Calendar'!$E$1209:$AR$1209=TYPE4)*(TYPE4&lt;&gt;"")+('Dvd Calendar'!$E$1209:$AR$1209=SPECIAL_LBL)*(INC_SPECIALS="Y"))))</f>
        <v/>
      </c>
      <c r="G120" s="68">
        <f>IF($C120="","",SUMPRODUCT(('Dvd Calendar'!$E$1204:$AR$1204&gt;=DATE(YEAR_Y-4,1,1))*('Dvd Calendar'!$E$1204:$AR$1204&lt;=DATE(YEAR_Y-4,12,31))*'Dvd Calendar'!$E$1207:$AR$1207*(('Dvd Calendar'!$E$1209:$AR$1209=TYPE1)*(TYPE1&lt;&gt;"")+('Dvd Calendar'!$E$1209:$AR$1209=TYPE2)*(TYPE2&lt;&gt;"")+('Dvd Calendar'!$E$1209:$AR$1209=TYPE3)*(TYPE3&lt;&gt;"")+('Dvd Calendar'!$E$1209:$AR$1209=TYPE4)*(TYPE4&lt;&gt;"")+('Dvd Calendar'!$E$1209:$AR$1209=SPECIAL_LBL)*(INC_SPECIALS="Y"))))</f>
        <v/>
      </c>
      <c r="H120" s="68">
        <f>IF($C120="","",SUMPRODUCT(('Dvd Calendar'!$E$1204:$AR$1204&gt;=DATE(YEAR_Y-3,1,1))*('Dvd Calendar'!$E$1204:$AR$1204&lt;=DATE(YEAR_Y-3,12,31))*'Dvd Calendar'!$E$1207:$AR$1207*(('Dvd Calendar'!$E$1209:$AR$1209=TYPE1)*(TYPE1&lt;&gt;"")+('Dvd Calendar'!$E$1209:$AR$1209=TYPE2)*(TYPE2&lt;&gt;"")+('Dvd Calendar'!$E$1209:$AR$1209=TYPE3)*(TYPE3&lt;&gt;"")+('Dvd Calendar'!$E$1209:$AR$1209=TYPE4)*(TYPE4&lt;&gt;"")+('Dvd Calendar'!$E$1209:$AR$1209=SPECIAL_LBL)*(INC_SPECIALS="Y"))))</f>
        <v/>
      </c>
      <c r="I120" s="68">
        <f>IF($C120="","",SUMPRODUCT(('Dvd Calendar'!$E$1204:$AR$1204&gt;=DATE(YEAR_Y-2,1,1))*('Dvd Calendar'!$E$1204:$AR$1204&lt;=DATE(YEAR_Y-2,12,31))*'Dvd Calendar'!$E$1207:$AR$1207*(('Dvd Calendar'!$E$1209:$AR$1209=TYPE1)*(TYPE1&lt;&gt;"")+('Dvd Calendar'!$E$1209:$AR$1209=TYPE2)*(TYPE2&lt;&gt;"")+('Dvd Calendar'!$E$1209:$AR$1209=TYPE3)*(TYPE3&lt;&gt;"")+('Dvd Calendar'!$E$1209:$AR$1209=TYPE4)*(TYPE4&lt;&gt;"")+('Dvd Calendar'!$E$1209:$AR$1209=SPECIAL_LBL)*(INC_SPECIALS="Y"))))</f>
        <v/>
      </c>
      <c r="J120" s="68">
        <f>IF($C120="","",SUMPRODUCT(('Dvd Calendar'!$E$1204:$AR$1204&gt;=DATE(YEAR_Y-1,1,1))*('Dvd Calendar'!$E$1204:$AR$1204&lt;=DATE(YEAR_Y-1,12,31))*'Dvd Calendar'!$E$1207:$AR$1207*(('Dvd Calendar'!$E$1209:$AR$1209=TYPE1)*(TYPE1&lt;&gt;"")+('Dvd Calendar'!$E$1209:$AR$1209=TYPE2)*(TYPE2&lt;&gt;"")+('Dvd Calendar'!$E$1209:$AR$1209=TYPE3)*(TYPE3&lt;&gt;"")+('Dvd Calendar'!$E$1209:$AR$1209=TYPE4)*(TYPE4&lt;&gt;"")+('Dvd Calendar'!$E$1209:$AR$1209=SPECIAL_LBL)*(INC_SPECIALS="Y"))))</f>
        <v/>
      </c>
      <c r="K120" s="69">
        <f>IF($C120="","",HSTECH!$J$15)</f>
        <v/>
      </c>
      <c r="L120" s="69">
        <f>IF($C120="","",HSTECH!$K$15)</f>
        <v/>
      </c>
      <c r="M120" s="44">
        <f>IF($C120="","",HSTECH!$J$15+HSTECH!$L$15)</f>
        <v/>
      </c>
      <c r="N120" s="70">
        <f>IF($C120="","",IF(PULL_FUND="N","",IFERROR(BDP($C120,BESTDPS_FIELD,FWD_OVERRIDE,TEXT(MOD(YEAR_Y,100),"00")&amp;"Y"),"")))</f>
        <v/>
      </c>
      <c r="O120" s="69">
        <f>IF($C120="","",AVERAGE(F120:J120))</f>
        <v/>
      </c>
      <c r="P120" s="71">
        <f>IF($C120="","",IF(PULL_FUND="N","",IF(COUNTIFS('Fund History'!$J$660:$J$664,"&gt;="&amp;DATE(YEAR_Y-5,1,1),'Fund History'!$J$660:$J$664,"&lt;="&amp;DATE(YEAR_Y-5,12,31))=0,"",IFERROR($F120*HSTECH!$G$15/SUMIFS('Fund History'!$K$660:$K$664,'Fund History'!$J$660:$J$664,"&gt;="&amp;DATE(YEAR_Y-5,1,1),'Fund History'!$J$660:$J$664,"&lt;="&amp;DATE(YEAR_Y-5,12,31)),""))))</f>
        <v/>
      </c>
      <c r="Q120" s="72">
        <f>IF($C120="","",IF(PULL_FUND="N","",IF(COUNTIFS('Fund History'!$J$660:$J$664,"&gt;="&amp;DATE(YEAR_Y-4,1,1),'Fund History'!$J$660:$J$664,"&lt;="&amp;DATE(YEAR_Y-4,12,31))=0,"",IFERROR($G120*HSTECH!$G$15/SUMIFS('Fund History'!$K$660:$K$664,'Fund History'!$J$660:$J$664,"&gt;="&amp;DATE(YEAR_Y-4,1,1),'Fund History'!$J$660:$J$664,"&lt;="&amp;DATE(YEAR_Y-4,12,31)),""))))</f>
        <v/>
      </c>
      <c r="R120" s="72">
        <f>IF($C120="","",IF(PULL_FUND="N","",IF(COUNTIFS('Fund History'!$J$660:$J$664,"&gt;="&amp;DATE(YEAR_Y-3,1,1),'Fund History'!$J$660:$J$664,"&lt;="&amp;DATE(YEAR_Y-3,12,31))=0,"",IFERROR($H120*HSTECH!$G$15/SUMIFS('Fund History'!$K$660:$K$664,'Fund History'!$J$660:$J$664,"&gt;="&amp;DATE(YEAR_Y-3,1,1),'Fund History'!$J$660:$J$664,"&lt;="&amp;DATE(YEAR_Y-3,12,31)),""))))</f>
        <v/>
      </c>
      <c r="S120" s="72">
        <f>IF($C120="","",IF(PULL_FUND="N","",IF(COUNTIFS('Fund History'!$J$660:$J$664,"&gt;="&amp;DATE(YEAR_Y-2,1,1),'Fund History'!$J$660:$J$664,"&lt;="&amp;DATE(YEAR_Y-2,12,31))=0,"",IFERROR($I120*HSTECH!$G$15/SUMIFS('Fund History'!$K$660:$K$664,'Fund History'!$J$660:$J$664,"&gt;="&amp;DATE(YEAR_Y-2,1,1),'Fund History'!$J$660:$J$664,"&lt;="&amp;DATE(YEAR_Y-2,12,31)),""))))</f>
        <v/>
      </c>
      <c r="T120" s="72">
        <f>IF($C120="","",IF(PULL_FUND="N","",IF(COUNTIFS('Fund History'!$J$660:$J$664,"&gt;="&amp;DATE(YEAR_Y-1,1,1),'Fund History'!$J$660:$J$664,"&lt;="&amp;DATE(YEAR_Y-1,12,31))=0,"",IFERROR($J120*HSTECH!$G$15/SUMIFS('Fund History'!$K$660:$K$664,'Fund History'!$J$660:$J$664,"&gt;="&amp;DATE(YEAR_Y-1,1,1),'Fund History'!$J$660:$J$664,"&lt;="&amp;DATE(YEAR_Y-1,12,31)),""))))</f>
        <v/>
      </c>
      <c r="U120" s="73">
        <f>IF($C120="","",IF(ISNUMBER(HSTECH!$I$15),HSTECH!$I$15/100,""))</f>
        <v/>
      </c>
      <c r="V120" s="74">
        <f>IF($C120="","",IF(ISNUMBER(HSTECH!$X$15),IFERROR($M120*HSTECH!$G$15/HSTECH!$X$15,""),""))</f>
        <v/>
      </c>
      <c r="W120" s="73">
        <f>IF($C120="","",IF(ISNUMBER($N120),IFERROR($N120*HSTECH!$G$15/HSTECH!$X$15,""),""))</f>
        <v/>
      </c>
      <c r="X120" s="75">
        <f>IF($C120="","",IF(PULL_FUND="N","",IFERROR(BDP($C120,EPS_FIELD,YR_OVERRIDE,TEXT(YEAR_Y-5,"0")),"")))</f>
        <v/>
      </c>
      <c r="Y120" s="76">
        <f>IF($C120="","",IF(PULL_FUND="N","",IFERROR(BDP($C120,EPS_FIELD,YR_OVERRIDE,TEXT(YEAR_Y-4,"0")),"")))</f>
        <v/>
      </c>
      <c r="Z120" s="76">
        <f>IF($C120="","",IF(PULL_FUND="N","",IFERROR(BDP($C120,EPS_FIELD,YR_OVERRIDE,TEXT(YEAR_Y-3,"0")),"")))</f>
        <v/>
      </c>
      <c r="AA120" s="76">
        <f>IF($C120="","",IF(PULL_FUND="N","",IFERROR(BDP($C120,EPS_FIELD,YR_OVERRIDE,TEXT(YEAR_Y-2,"0")),"")))</f>
        <v/>
      </c>
      <c r="AB120" s="76">
        <f>IF($C120="","",IF(PULL_FUND="N","",IFERROR(BDP($C120,EPS_FIELD,YR_OVERRIDE,TEXT(YEAR_Y-1,"0")),"")))</f>
        <v/>
      </c>
      <c r="AC120" s="50">
        <f>IF($C120="","",IFERROR(AVERAGE(X120:AB120),""))</f>
        <v/>
      </c>
      <c r="AD120" s="76">
        <f>IF($C120="","",IF(PULL_FUND="N","",IFERROR(BDP($C120,BESTEPS_FIELD,FWD_OVERRIDE,TEXT(MOD(YEAR_Y,100),"00")&amp;"Y"),"")))</f>
        <v/>
      </c>
      <c r="AE120" s="77">
        <f>IF($C120="","",IF(PULL_FUND="N","",IFERROR(BDP($C120,PAYOUT_FIELD,YR_OVERRIDE,TEXT(YEAR_Y-5,"0"))/100,"")))</f>
        <v/>
      </c>
      <c r="AF120" s="78">
        <f>IF($C120="","",IF(PULL_FUND="N","",IFERROR(BDP($C120,PAYOUT_FIELD,YR_OVERRIDE,TEXT(YEAR_Y-4,"0"))/100,"")))</f>
        <v/>
      </c>
      <c r="AG120" s="78">
        <f>IF($C120="","",IF(PULL_FUND="N","",IFERROR(BDP($C120,PAYOUT_FIELD,YR_OVERRIDE,TEXT(YEAR_Y-3,"0"))/100,"")))</f>
        <v/>
      </c>
      <c r="AH120" s="78">
        <f>IF($C120="","",IF(PULL_FUND="N","",IFERROR(BDP($C120,PAYOUT_FIELD,YR_OVERRIDE,TEXT(YEAR_Y-2,"0"))/100,"")))</f>
        <v/>
      </c>
      <c r="AI120" s="78">
        <f>IF($C120="","",IF(PULL_FUND="N","",IFERROR(BDP($C120,PAYOUT_FIELD,YR_OVERRIDE,TEXT(YEAR_Y-1,"0"))/100,"")))</f>
        <v/>
      </c>
      <c r="AJ120" s="79">
        <f>IF($C120="","",IFERROR(AVERAGE(AE120:AI120),""))</f>
        <v/>
      </c>
      <c r="AK120" s="80">
        <f>IF($C120="","",IF(ISNUMBER($AD120)*ISNUMBER($N120)*($AD120&lt;&gt;0)=0,"",$N120/$AD120))</f>
        <v/>
      </c>
      <c r="AL120" s="79">
        <f>IF($C120="","",IF(ISNUMBER($AD120)*($AD120&lt;&gt;0)=0,"",$M120/$AD120))</f>
        <v/>
      </c>
      <c r="AM120" s="37">
        <f>IF($C120="","",IF(ISNUMBER($AE120)*ISNUMBER($AI120)=0,"",IF($AI120&gt;$AE120+0.05,"rising",IF($AI120&lt;$AE120-0.05,"falling","stable"))))</f>
        <v/>
      </c>
      <c r="AN120" s="81">
        <f>IF($C120="","",IF(PULL_FUND="N","",IF(COUNTIFS('Fund History'!$G$660:$G$664,"&gt;="&amp;DATE(YEAR_Y-4,1,1),'Fund History'!$G$660:$G$664,"&lt;="&amp;DATE(YEAR_Y-4,12,31))=0,"",SUMIFS('Fund History'!$H$660:$H$664,'Fund History'!$G$660:$G$664,"&gt;="&amp;DATE(YEAR_Y-4,1,1),'Fund History'!$G$660:$G$664,"&lt;="&amp;DATE(YEAR_Y-4,12,31))/100)))</f>
        <v/>
      </c>
      <c r="AO120" s="82">
        <f>IF($C120="","",IF(PULL_FUND="N","",IF(COUNTIFS('Fund History'!$G$660:$G$664,"&gt;="&amp;DATE(YEAR_Y-3,1,1),'Fund History'!$G$660:$G$664,"&lt;="&amp;DATE(YEAR_Y-3,12,31))=0,"",SUMIFS('Fund History'!$H$660:$H$664,'Fund History'!$G$660:$G$664,"&gt;="&amp;DATE(YEAR_Y-3,1,1),'Fund History'!$G$660:$G$664,"&lt;="&amp;DATE(YEAR_Y-3,12,31))/100)))</f>
        <v/>
      </c>
      <c r="AP120" s="82">
        <f>IF($C120="","",IF(PULL_FUND="N","",IF(COUNTIFS('Fund History'!$G$660:$G$664,"&gt;="&amp;DATE(YEAR_Y-2,1,1),'Fund History'!$G$660:$G$664,"&lt;="&amp;DATE(YEAR_Y-2,12,31))=0,"",SUMIFS('Fund History'!$H$660:$H$664,'Fund History'!$G$660:$G$664,"&gt;="&amp;DATE(YEAR_Y-2,1,1),'Fund History'!$G$660:$G$664,"&lt;="&amp;DATE(YEAR_Y-2,12,31))/100)))</f>
        <v/>
      </c>
      <c r="AQ120" s="82">
        <f>IF($C120="","",IF(PULL_FUND="N","",IF(COUNTIFS('Fund History'!$G$660:$G$664,"&gt;="&amp;DATE(YEAR_Y-1,1,1),'Fund History'!$G$660:$G$664,"&lt;="&amp;DATE(YEAR_Y-1,12,31))=0,"",SUMIFS('Fund History'!$H$660:$H$664,'Fund History'!$G$660:$G$664,"&gt;="&amp;DATE(YEAR_Y-1,1,1),'Fund History'!$G$660:$G$664,"&lt;="&amp;DATE(YEAR_Y-1,12,31))/100)))</f>
        <v/>
      </c>
      <c r="AR120" s="83">
        <f>IF($C120="","",IF(N($AQ120)+N(HSTECH!$I$15)=0,"",N($AQ120)+N(HSTECH!$I$15)/100))</f>
        <v/>
      </c>
      <c r="AS120" s="75">
        <f>IF($C120="","",IF(PULL_FUND="N","",IF(COUNTIFS('Fund History'!$D$660:$D$664,"&gt;="&amp;DATE(YEAR_Y-2,1,1),'Fund History'!$D$660:$D$664,"&lt;="&amp;DATE(YEAR_Y-2,12,31))=0,"",SUMIFS('Fund History'!$E$660:$E$664,'Fund History'!$D$660:$D$664,"&gt;="&amp;DATE(YEAR_Y-2,1,1),'Fund History'!$D$660:$D$664,"&lt;="&amp;DATE(YEAR_Y-2,12,31)))))</f>
        <v/>
      </c>
      <c r="AT120" s="76">
        <f>IF($C120="","",IF(PULL_FUND="N","",IF(COUNTIFS('Fund History'!$D$660:$D$664,"&gt;="&amp;DATE(YEAR_Y-1,1,1),'Fund History'!$D$660:$D$664,"&lt;="&amp;DATE(YEAR_Y-1,12,31))=0,"",SUMIFS('Fund History'!$E$660:$E$664,'Fund History'!$D$660:$D$664,"&gt;="&amp;DATE(YEAR_Y-1,1,1),'Fund History'!$D$660:$D$664,"&lt;="&amp;DATE(YEAR_Y-1,12,31)))))</f>
        <v/>
      </c>
      <c r="AU120" s="76">
        <f>IF($C120="","",IF(PULL_FUND="N","",IFERROR(BDP($C120,NDEBITDA_FIELD),"")))</f>
        <v/>
      </c>
      <c r="AV120" s="84">
        <f>IF($C120="","",IF(PULL_FUND="N","",IFERROR(BDP($C120,EBINT_FIELD),"")))</f>
        <v/>
      </c>
      <c r="AW120" s="82">
        <f>IF($C120="","",IF(PULL_FUND="N","",IFERROR(BDP($C120,FCF_FIELD)/100,"")))</f>
        <v/>
      </c>
      <c r="AX120" s="50">
        <f>IF($C120="","",IF(N($U120)=0,"",IFERROR($AW120/$U120,"")))</f>
        <v/>
      </c>
      <c r="AY120" s="85">
        <f>IF($C120="","",TRIM(IF(ISNUMBER($AJ120)*(N($AJ120)&gt;$D$4)&gt;0,"payout high  ","")&amp;IF(ISNUMBER($AX120)*(N($AX120)&lt;$F$4)&gt;0,"FCF below dvd  ","")&amp;IF(ISNUMBER($AU120)*(N($AU120)&gt;$H$4)&gt;0,"leverage high","")))</f>
        <v/>
      </c>
      <c r="AZ120" s="86">
        <f>IF($C120="","",IF(HSTECH!$F$15="HKD","",HSTECH!$F$15))</f>
        <v/>
      </c>
    </row>
    <row r="121">
      <c r="B121" s="66" t="inlineStr">
        <is>
          <t>HSTECH</t>
        </is>
      </c>
      <c r="C121" s="8">
        <f>IF(HSTECH!$C$16="","",HSTECH!$C$16)</f>
        <v/>
      </c>
      <c r="D121" s="8">
        <f>IF($C121="","",HSTECH!$D$16)</f>
        <v/>
      </c>
      <c r="E121" s="8">
        <f>IF($C121="","",HSTECH!$E$16)</f>
        <v/>
      </c>
      <c r="F121" s="67">
        <f>IF($C121="","",SUMPRODUCT(('Dvd Calendar'!$E$1215:$AR$1215&gt;=DATE(YEAR_Y-5,1,1))*('Dvd Calendar'!$E$1215:$AR$1215&lt;=DATE(YEAR_Y-5,12,31))*'Dvd Calendar'!$E$1218:$AR$1218*(('Dvd Calendar'!$E$1220:$AR$1220=TYPE1)*(TYPE1&lt;&gt;"")+('Dvd Calendar'!$E$1220:$AR$1220=TYPE2)*(TYPE2&lt;&gt;"")+('Dvd Calendar'!$E$1220:$AR$1220=TYPE3)*(TYPE3&lt;&gt;"")+('Dvd Calendar'!$E$1220:$AR$1220=TYPE4)*(TYPE4&lt;&gt;"")+('Dvd Calendar'!$E$1220:$AR$1220=SPECIAL_LBL)*(INC_SPECIALS="Y"))))</f>
        <v/>
      </c>
      <c r="G121" s="68">
        <f>IF($C121="","",SUMPRODUCT(('Dvd Calendar'!$E$1215:$AR$1215&gt;=DATE(YEAR_Y-4,1,1))*('Dvd Calendar'!$E$1215:$AR$1215&lt;=DATE(YEAR_Y-4,12,31))*'Dvd Calendar'!$E$1218:$AR$1218*(('Dvd Calendar'!$E$1220:$AR$1220=TYPE1)*(TYPE1&lt;&gt;"")+('Dvd Calendar'!$E$1220:$AR$1220=TYPE2)*(TYPE2&lt;&gt;"")+('Dvd Calendar'!$E$1220:$AR$1220=TYPE3)*(TYPE3&lt;&gt;"")+('Dvd Calendar'!$E$1220:$AR$1220=TYPE4)*(TYPE4&lt;&gt;"")+('Dvd Calendar'!$E$1220:$AR$1220=SPECIAL_LBL)*(INC_SPECIALS="Y"))))</f>
        <v/>
      </c>
      <c r="H121" s="68">
        <f>IF($C121="","",SUMPRODUCT(('Dvd Calendar'!$E$1215:$AR$1215&gt;=DATE(YEAR_Y-3,1,1))*('Dvd Calendar'!$E$1215:$AR$1215&lt;=DATE(YEAR_Y-3,12,31))*'Dvd Calendar'!$E$1218:$AR$1218*(('Dvd Calendar'!$E$1220:$AR$1220=TYPE1)*(TYPE1&lt;&gt;"")+('Dvd Calendar'!$E$1220:$AR$1220=TYPE2)*(TYPE2&lt;&gt;"")+('Dvd Calendar'!$E$1220:$AR$1220=TYPE3)*(TYPE3&lt;&gt;"")+('Dvd Calendar'!$E$1220:$AR$1220=TYPE4)*(TYPE4&lt;&gt;"")+('Dvd Calendar'!$E$1220:$AR$1220=SPECIAL_LBL)*(INC_SPECIALS="Y"))))</f>
        <v/>
      </c>
      <c r="I121" s="68">
        <f>IF($C121="","",SUMPRODUCT(('Dvd Calendar'!$E$1215:$AR$1215&gt;=DATE(YEAR_Y-2,1,1))*('Dvd Calendar'!$E$1215:$AR$1215&lt;=DATE(YEAR_Y-2,12,31))*'Dvd Calendar'!$E$1218:$AR$1218*(('Dvd Calendar'!$E$1220:$AR$1220=TYPE1)*(TYPE1&lt;&gt;"")+('Dvd Calendar'!$E$1220:$AR$1220=TYPE2)*(TYPE2&lt;&gt;"")+('Dvd Calendar'!$E$1220:$AR$1220=TYPE3)*(TYPE3&lt;&gt;"")+('Dvd Calendar'!$E$1220:$AR$1220=TYPE4)*(TYPE4&lt;&gt;"")+('Dvd Calendar'!$E$1220:$AR$1220=SPECIAL_LBL)*(INC_SPECIALS="Y"))))</f>
        <v/>
      </c>
      <c r="J121" s="68">
        <f>IF($C121="","",SUMPRODUCT(('Dvd Calendar'!$E$1215:$AR$1215&gt;=DATE(YEAR_Y-1,1,1))*('Dvd Calendar'!$E$1215:$AR$1215&lt;=DATE(YEAR_Y-1,12,31))*'Dvd Calendar'!$E$1218:$AR$1218*(('Dvd Calendar'!$E$1220:$AR$1220=TYPE1)*(TYPE1&lt;&gt;"")+('Dvd Calendar'!$E$1220:$AR$1220=TYPE2)*(TYPE2&lt;&gt;"")+('Dvd Calendar'!$E$1220:$AR$1220=TYPE3)*(TYPE3&lt;&gt;"")+('Dvd Calendar'!$E$1220:$AR$1220=TYPE4)*(TYPE4&lt;&gt;"")+('Dvd Calendar'!$E$1220:$AR$1220=SPECIAL_LBL)*(INC_SPECIALS="Y"))))</f>
        <v/>
      </c>
      <c r="K121" s="69">
        <f>IF($C121="","",HSTECH!$J$16)</f>
        <v/>
      </c>
      <c r="L121" s="69">
        <f>IF($C121="","",HSTECH!$K$16)</f>
        <v/>
      </c>
      <c r="M121" s="44">
        <f>IF($C121="","",HSTECH!$J$16+HSTECH!$L$16)</f>
        <v/>
      </c>
      <c r="N121" s="70">
        <f>IF($C121="","",IF(PULL_FUND="N","",IFERROR(BDP($C121,BESTDPS_FIELD,FWD_OVERRIDE,TEXT(MOD(YEAR_Y,100),"00")&amp;"Y"),"")))</f>
        <v/>
      </c>
      <c r="O121" s="69">
        <f>IF($C121="","",AVERAGE(F121:J121))</f>
        <v/>
      </c>
      <c r="P121" s="71">
        <f>IF($C121="","",IF(PULL_FUND="N","",IF(COUNTIFS('Fund History'!$J$666:$J$670,"&gt;="&amp;DATE(YEAR_Y-5,1,1),'Fund History'!$J$666:$J$670,"&lt;="&amp;DATE(YEAR_Y-5,12,31))=0,"",IFERROR($F121*HSTECH!$G$16/SUMIFS('Fund History'!$K$666:$K$670,'Fund History'!$J$666:$J$670,"&gt;="&amp;DATE(YEAR_Y-5,1,1),'Fund History'!$J$666:$J$670,"&lt;="&amp;DATE(YEAR_Y-5,12,31)),""))))</f>
        <v/>
      </c>
      <c r="Q121" s="72">
        <f>IF($C121="","",IF(PULL_FUND="N","",IF(COUNTIFS('Fund History'!$J$666:$J$670,"&gt;="&amp;DATE(YEAR_Y-4,1,1),'Fund History'!$J$666:$J$670,"&lt;="&amp;DATE(YEAR_Y-4,12,31))=0,"",IFERROR($G121*HSTECH!$G$16/SUMIFS('Fund History'!$K$666:$K$670,'Fund History'!$J$666:$J$670,"&gt;="&amp;DATE(YEAR_Y-4,1,1),'Fund History'!$J$666:$J$670,"&lt;="&amp;DATE(YEAR_Y-4,12,31)),""))))</f>
        <v/>
      </c>
      <c r="R121" s="72">
        <f>IF($C121="","",IF(PULL_FUND="N","",IF(COUNTIFS('Fund History'!$J$666:$J$670,"&gt;="&amp;DATE(YEAR_Y-3,1,1),'Fund History'!$J$666:$J$670,"&lt;="&amp;DATE(YEAR_Y-3,12,31))=0,"",IFERROR($H121*HSTECH!$G$16/SUMIFS('Fund History'!$K$666:$K$670,'Fund History'!$J$666:$J$670,"&gt;="&amp;DATE(YEAR_Y-3,1,1),'Fund History'!$J$666:$J$670,"&lt;="&amp;DATE(YEAR_Y-3,12,31)),""))))</f>
        <v/>
      </c>
      <c r="S121" s="72">
        <f>IF($C121="","",IF(PULL_FUND="N","",IF(COUNTIFS('Fund History'!$J$666:$J$670,"&gt;="&amp;DATE(YEAR_Y-2,1,1),'Fund History'!$J$666:$J$670,"&lt;="&amp;DATE(YEAR_Y-2,12,31))=0,"",IFERROR($I121*HSTECH!$G$16/SUMIFS('Fund History'!$K$666:$K$670,'Fund History'!$J$666:$J$670,"&gt;="&amp;DATE(YEAR_Y-2,1,1),'Fund History'!$J$666:$J$670,"&lt;="&amp;DATE(YEAR_Y-2,12,31)),""))))</f>
        <v/>
      </c>
      <c r="T121" s="72">
        <f>IF($C121="","",IF(PULL_FUND="N","",IF(COUNTIFS('Fund History'!$J$666:$J$670,"&gt;="&amp;DATE(YEAR_Y-1,1,1),'Fund History'!$J$666:$J$670,"&lt;="&amp;DATE(YEAR_Y-1,12,31))=0,"",IFERROR($J121*HSTECH!$G$16/SUMIFS('Fund History'!$K$666:$K$670,'Fund History'!$J$666:$J$670,"&gt;="&amp;DATE(YEAR_Y-1,1,1),'Fund History'!$J$666:$J$670,"&lt;="&amp;DATE(YEAR_Y-1,12,31)),""))))</f>
        <v/>
      </c>
      <c r="U121" s="73">
        <f>IF($C121="","",IF(ISNUMBER(HSTECH!$I$16),HSTECH!$I$16/100,""))</f>
        <v/>
      </c>
      <c r="V121" s="74">
        <f>IF($C121="","",IF(ISNUMBER(HSTECH!$X$16),IFERROR($M121*HSTECH!$G$16/HSTECH!$X$16,""),""))</f>
        <v/>
      </c>
      <c r="W121" s="73">
        <f>IF($C121="","",IF(ISNUMBER($N121),IFERROR($N121*HSTECH!$G$16/HSTECH!$X$16,""),""))</f>
        <v/>
      </c>
      <c r="X121" s="75">
        <f>IF($C121="","",IF(PULL_FUND="N","",IFERROR(BDP($C121,EPS_FIELD,YR_OVERRIDE,TEXT(YEAR_Y-5,"0")),"")))</f>
        <v/>
      </c>
      <c r="Y121" s="76">
        <f>IF($C121="","",IF(PULL_FUND="N","",IFERROR(BDP($C121,EPS_FIELD,YR_OVERRIDE,TEXT(YEAR_Y-4,"0")),"")))</f>
        <v/>
      </c>
      <c r="Z121" s="76">
        <f>IF($C121="","",IF(PULL_FUND="N","",IFERROR(BDP($C121,EPS_FIELD,YR_OVERRIDE,TEXT(YEAR_Y-3,"0")),"")))</f>
        <v/>
      </c>
      <c r="AA121" s="76">
        <f>IF($C121="","",IF(PULL_FUND="N","",IFERROR(BDP($C121,EPS_FIELD,YR_OVERRIDE,TEXT(YEAR_Y-2,"0")),"")))</f>
        <v/>
      </c>
      <c r="AB121" s="76">
        <f>IF($C121="","",IF(PULL_FUND="N","",IFERROR(BDP($C121,EPS_FIELD,YR_OVERRIDE,TEXT(YEAR_Y-1,"0")),"")))</f>
        <v/>
      </c>
      <c r="AC121" s="50">
        <f>IF($C121="","",IFERROR(AVERAGE(X121:AB121),""))</f>
        <v/>
      </c>
      <c r="AD121" s="76">
        <f>IF($C121="","",IF(PULL_FUND="N","",IFERROR(BDP($C121,BESTEPS_FIELD,FWD_OVERRIDE,TEXT(MOD(YEAR_Y,100),"00")&amp;"Y"),"")))</f>
        <v/>
      </c>
      <c r="AE121" s="77">
        <f>IF($C121="","",IF(PULL_FUND="N","",IFERROR(BDP($C121,PAYOUT_FIELD,YR_OVERRIDE,TEXT(YEAR_Y-5,"0"))/100,"")))</f>
        <v/>
      </c>
      <c r="AF121" s="78">
        <f>IF($C121="","",IF(PULL_FUND="N","",IFERROR(BDP($C121,PAYOUT_FIELD,YR_OVERRIDE,TEXT(YEAR_Y-4,"0"))/100,"")))</f>
        <v/>
      </c>
      <c r="AG121" s="78">
        <f>IF($C121="","",IF(PULL_FUND="N","",IFERROR(BDP($C121,PAYOUT_FIELD,YR_OVERRIDE,TEXT(YEAR_Y-3,"0"))/100,"")))</f>
        <v/>
      </c>
      <c r="AH121" s="78">
        <f>IF($C121="","",IF(PULL_FUND="N","",IFERROR(BDP($C121,PAYOUT_FIELD,YR_OVERRIDE,TEXT(YEAR_Y-2,"0"))/100,"")))</f>
        <v/>
      </c>
      <c r="AI121" s="78">
        <f>IF($C121="","",IF(PULL_FUND="N","",IFERROR(BDP($C121,PAYOUT_FIELD,YR_OVERRIDE,TEXT(YEAR_Y-1,"0"))/100,"")))</f>
        <v/>
      </c>
      <c r="AJ121" s="79">
        <f>IF($C121="","",IFERROR(AVERAGE(AE121:AI121),""))</f>
        <v/>
      </c>
      <c r="AK121" s="80">
        <f>IF($C121="","",IF(ISNUMBER($AD121)*ISNUMBER($N121)*($AD121&lt;&gt;0)=0,"",$N121/$AD121))</f>
        <v/>
      </c>
      <c r="AL121" s="79">
        <f>IF($C121="","",IF(ISNUMBER($AD121)*($AD121&lt;&gt;0)=0,"",$M121/$AD121))</f>
        <v/>
      </c>
      <c r="AM121" s="37">
        <f>IF($C121="","",IF(ISNUMBER($AE121)*ISNUMBER($AI121)=0,"",IF($AI121&gt;$AE121+0.05,"rising",IF($AI121&lt;$AE121-0.05,"falling","stable"))))</f>
        <v/>
      </c>
      <c r="AN121" s="81">
        <f>IF($C121="","",IF(PULL_FUND="N","",IF(COUNTIFS('Fund History'!$G$666:$G$670,"&gt;="&amp;DATE(YEAR_Y-4,1,1),'Fund History'!$G$666:$G$670,"&lt;="&amp;DATE(YEAR_Y-4,12,31))=0,"",SUMIFS('Fund History'!$H$666:$H$670,'Fund History'!$G$666:$G$670,"&gt;="&amp;DATE(YEAR_Y-4,1,1),'Fund History'!$G$666:$G$670,"&lt;="&amp;DATE(YEAR_Y-4,12,31))/100)))</f>
        <v/>
      </c>
      <c r="AO121" s="82">
        <f>IF($C121="","",IF(PULL_FUND="N","",IF(COUNTIFS('Fund History'!$G$666:$G$670,"&gt;="&amp;DATE(YEAR_Y-3,1,1),'Fund History'!$G$666:$G$670,"&lt;="&amp;DATE(YEAR_Y-3,12,31))=0,"",SUMIFS('Fund History'!$H$666:$H$670,'Fund History'!$G$666:$G$670,"&gt;="&amp;DATE(YEAR_Y-3,1,1),'Fund History'!$G$666:$G$670,"&lt;="&amp;DATE(YEAR_Y-3,12,31))/100)))</f>
        <v/>
      </c>
      <c r="AP121" s="82">
        <f>IF($C121="","",IF(PULL_FUND="N","",IF(COUNTIFS('Fund History'!$G$666:$G$670,"&gt;="&amp;DATE(YEAR_Y-2,1,1),'Fund History'!$G$666:$G$670,"&lt;="&amp;DATE(YEAR_Y-2,12,31))=0,"",SUMIFS('Fund History'!$H$666:$H$670,'Fund History'!$G$666:$G$670,"&gt;="&amp;DATE(YEAR_Y-2,1,1),'Fund History'!$G$666:$G$670,"&lt;="&amp;DATE(YEAR_Y-2,12,31))/100)))</f>
        <v/>
      </c>
      <c r="AQ121" s="82">
        <f>IF($C121="","",IF(PULL_FUND="N","",IF(COUNTIFS('Fund History'!$G$666:$G$670,"&gt;="&amp;DATE(YEAR_Y-1,1,1),'Fund History'!$G$666:$G$670,"&lt;="&amp;DATE(YEAR_Y-1,12,31))=0,"",SUMIFS('Fund History'!$H$666:$H$670,'Fund History'!$G$666:$G$670,"&gt;="&amp;DATE(YEAR_Y-1,1,1),'Fund History'!$G$666:$G$670,"&lt;="&amp;DATE(YEAR_Y-1,12,31))/100)))</f>
        <v/>
      </c>
      <c r="AR121" s="83">
        <f>IF($C121="","",IF(N($AQ121)+N(HSTECH!$I$16)=0,"",N($AQ121)+N(HSTECH!$I$16)/100))</f>
        <v/>
      </c>
      <c r="AS121" s="75">
        <f>IF($C121="","",IF(PULL_FUND="N","",IF(COUNTIFS('Fund History'!$D$666:$D$670,"&gt;="&amp;DATE(YEAR_Y-2,1,1),'Fund History'!$D$666:$D$670,"&lt;="&amp;DATE(YEAR_Y-2,12,31))=0,"",SUMIFS('Fund History'!$E$666:$E$670,'Fund History'!$D$666:$D$670,"&gt;="&amp;DATE(YEAR_Y-2,1,1),'Fund History'!$D$666:$D$670,"&lt;="&amp;DATE(YEAR_Y-2,12,31)))))</f>
        <v/>
      </c>
      <c r="AT121" s="76">
        <f>IF($C121="","",IF(PULL_FUND="N","",IF(COUNTIFS('Fund History'!$D$666:$D$670,"&gt;="&amp;DATE(YEAR_Y-1,1,1),'Fund History'!$D$666:$D$670,"&lt;="&amp;DATE(YEAR_Y-1,12,31))=0,"",SUMIFS('Fund History'!$E$666:$E$670,'Fund History'!$D$666:$D$670,"&gt;="&amp;DATE(YEAR_Y-1,1,1),'Fund History'!$D$666:$D$670,"&lt;="&amp;DATE(YEAR_Y-1,12,31)))))</f>
        <v/>
      </c>
      <c r="AU121" s="76">
        <f>IF($C121="","",IF(PULL_FUND="N","",IFERROR(BDP($C121,NDEBITDA_FIELD),"")))</f>
        <v/>
      </c>
      <c r="AV121" s="84">
        <f>IF($C121="","",IF(PULL_FUND="N","",IFERROR(BDP($C121,EBINT_FIELD),"")))</f>
        <v/>
      </c>
      <c r="AW121" s="82">
        <f>IF($C121="","",IF(PULL_FUND="N","",IFERROR(BDP($C121,FCF_FIELD)/100,"")))</f>
        <v/>
      </c>
      <c r="AX121" s="50">
        <f>IF($C121="","",IF(N($U121)=0,"",IFERROR($AW121/$U121,"")))</f>
        <v/>
      </c>
      <c r="AY121" s="85">
        <f>IF($C121="","",TRIM(IF(ISNUMBER($AJ121)*(N($AJ121)&gt;$D$4)&gt;0,"payout high  ","")&amp;IF(ISNUMBER($AX121)*(N($AX121)&lt;$F$4)&gt;0,"FCF below dvd  ","")&amp;IF(ISNUMBER($AU121)*(N($AU121)&gt;$H$4)&gt;0,"leverage high","")))</f>
        <v/>
      </c>
      <c r="AZ121" s="86">
        <f>IF($C121="","",IF(HSTECH!$F$16="HKD","",HSTECH!$F$16))</f>
        <v/>
      </c>
    </row>
    <row r="122">
      <c r="B122" s="66" t="inlineStr">
        <is>
          <t>HSTECH</t>
        </is>
      </c>
      <c r="C122" s="8">
        <f>IF(HSTECH!$C$17="","",HSTECH!$C$17)</f>
        <v/>
      </c>
      <c r="D122" s="8">
        <f>IF($C122="","",HSTECH!$D$17)</f>
        <v/>
      </c>
      <c r="E122" s="8">
        <f>IF($C122="","",HSTECH!$E$17)</f>
        <v/>
      </c>
      <c r="F122" s="67">
        <f>IF($C122="","",SUMPRODUCT(('Dvd Calendar'!$E$1226:$AR$1226&gt;=DATE(YEAR_Y-5,1,1))*('Dvd Calendar'!$E$1226:$AR$1226&lt;=DATE(YEAR_Y-5,12,31))*'Dvd Calendar'!$E$1229:$AR$1229*(('Dvd Calendar'!$E$1231:$AR$1231=TYPE1)*(TYPE1&lt;&gt;"")+('Dvd Calendar'!$E$1231:$AR$1231=TYPE2)*(TYPE2&lt;&gt;"")+('Dvd Calendar'!$E$1231:$AR$1231=TYPE3)*(TYPE3&lt;&gt;"")+('Dvd Calendar'!$E$1231:$AR$1231=TYPE4)*(TYPE4&lt;&gt;"")+('Dvd Calendar'!$E$1231:$AR$1231=SPECIAL_LBL)*(INC_SPECIALS="Y"))))</f>
        <v/>
      </c>
      <c r="G122" s="68">
        <f>IF($C122="","",SUMPRODUCT(('Dvd Calendar'!$E$1226:$AR$1226&gt;=DATE(YEAR_Y-4,1,1))*('Dvd Calendar'!$E$1226:$AR$1226&lt;=DATE(YEAR_Y-4,12,31))*'Dvd Calendar'!$E$1229:$AR$1229*(('Dvd Calendar'!$E$1231:$AR$1231=TYPE1)*(TYPE1&lt;&gt;"")+('Dvd Calendar'!$E$1231:$AR$1231=TYPE2)*(TYPE2&lt;&gt;"")+('Dvd Calendar'!$E$1231:$AR$1231=TYPE3)*(TYPE3&lt;&gt;"")+('Dvd Calendar'!$E$1231:$AR$1231=TYPE4)*(TYPE4&lt;&gt;"")+('Dvd Calendar'!$E$1231:$AR$1231=SPECIAL_LBL)*(INC_SPECIALS="Y"))))</f>
        <v/>
      </c>
      <c r="H122" s="68">
        <f>IF($C122="","",SUMPRODUCT(('Dvd Calendar'!$E$1226:$AR$1226&gt;=DATE(YEAR_Y-3,1,1))*('Dvd Calendar'!$E$1226:$AR$1226&lt;=DATE(YEAR_Y-3,12,31))*'Dvd Calendar'!$E$1229:$AR$1229*(('Dvd Calendar'!$E$1231:$AR$1231=TYPE1)*(TYPE1&lt;&gt;"")+('Dvd Calendar'!$E$1231:$AR$1231=TYPE2)*(TYPE2&lt;&gt;"")+('Dvd Calendar'!$E$1231:$AR$1231=TYPE3)*(TYPE3&lt;&gt;"")+('Dvd Calendar'!$E$1231:$AR$1231=TYPE4)*(TYPE4&lt;&gt;"")+('Dvd Calendar'!$E$1231:$AR$1231=SPECIAL_LBL)*(INC_SPECIALS="Y"))))</f>
        <v/>
      </c>
      <c r="I122" s="68">
        <f>IF($C122="","",SUMPRODUCT(('Dvd Calendar'!$E$1226:$AR$1226&gt;=DATE(YEAR_Y-2,1,1))*('Dvd Calendar'!$E$1226:$AR$1226&lt;=DATE(YEAR_Y-2,12,31))*'Dvd Calendar'!$E$1229:$AR$1229*(('Dvd Calendar'!$E$1231:$AR$1231=TYPE1)*(TYPE1&lt;&gt;"")+('Dvd Calendar'!$E$1231:$AR$1231=TYPE2)*(TYPE2&lt;&gt;"")+('Dvd Calendar'!$E$1231:$AR$1231=TYPE3)*(TYPE3&lt;&gt;"")+('Dvd Calendar'!$E$1231:$AR$1231=TYPE4)*(TYPE4&lt;&gt;"")+('Dvd Calendar'!$E$1231:$AR$1231=SPECIAL_LBL)*(INC_SPECIALS="Y"))))</f>
        <v/>
      </c>
      <c r="J122" s="68">
        <f>IF($C122="","",SUMPRODUCT(('Dvd Calendar'!$E$1226:$AR$1226&gt;=DATE(YEAR_Y-1,1,1))*('Dvd Calendar'!$E$1226:$AR$1226&lt;=DATE(YEAR_Y-1,12,31))*'Dvd Calendar'!$E$1229:$AR$1229*(('Dvd Calendar'!$E$1231:$AR$1231=TYPE1)*(TYPE1&lt;&gt;"")+('Dvd Calendar'!$E$1231:$AR$1231=TYPE2)*(TYPE2&lt;&gt;"")+('Dvd Calendar'!$E$1231:$AR$1231=TYPE3)*(TYPE3&lt;&gt;"")+('Dvd Calendar'!$E$1231:$AR$1231=TYPE4)*(TYPE4&lt;&gt;"")+('Dvd Calendar'!$E$1231:$AR$1231=SPECIAL_LBL)*(INC_SPECIALS="Y"))))</f>
        <v/>
      </c>
      <c r="K122" s="69">
        <f>IF($C122="","",HSTECH!$J$17)</f>
        <v/>
      </c>
      <c r="L122" s="69">
        <f>IF($C122="","",HSTECH!$K$17)</f>
        <v/>
      </c>
      <c r="M122" s="44">
        <f>IF($C122="","",HSTECH!$J$17+HSTECH!$L$17)</f>
        <v/>
      </c>
      <c r="N122" s="70">
        <f>IF($C122="","",IF(PULL_FUND="N","",IFERROR(BDP($C122,BESTDPS_FIELD,FWD_OVERRIDE,TEXT(MOD(YEAR_Y,100),"00")&amp;"Y"),"")))</f>
        <v/>
      </c>
      <c r="O122" s="69">
        <f>IF($C122="","",AVERAGE(F122:J122))</f>
        <v/>
      </c>
      <c r="P122" s="71">
        <f>IF($C122="","",IF(PULL_FUND="N","",IF(COUNTIFS('Fund History'!$J$672:$J$676,"&gt;="&amp;DATE(YEAR_Y-5,1,1),'Fund History'!$J$672:$J$676,"&lt;="&amp;DATE(YEAR_Y-5,12,31))=0,"",IFERROR($F122*HSTECH!$G$17/SUMIFS('Fund History'!$K$672:$K$676,'Fund History'!$J$672:$J$676,"&gt;="&amp;DATE(YEAR_Y-5,1,1),'Fund History'!$J$672:$J$676,"&lt;="&amp;DATE(YEAR_Y-5,12,31)),""))))</f>
        <v/>
      </c>
      <c r="Q122" s="72">
        <f>IF($C122="","",IF(PULL_FUND="N","",IF(COUNTIFS('Fund History'!$J$672:$J$676,"&gt;="&amp;DATE(YEAR_Y-4,1,1),'Fund History'!$J$672:$J$676,"&lt;="&amp;DATE(YEAR_Y-4,12,31))=0,"",IFERROR($G122*HSTECH!$G$17/SUMIFS('Fund History'!$K$672:$K$676,'Fund History'!$J$672:$J$676,"&gt;="&amp;DATE(YEAR_Y-4,1,1),'Fund History'!$J$672:$J$676,"&lt;="&amp;DATE(YEAR_Y-4,12,31)),""))))</f>
        <v/>
      </c>
      <c r="R122" s="72">
        <f>IF($C122="","",IF(PULL_FUND="N","",IF(COUNTIFS('Fund History'!$J$672:$J$676,"&gt;="&amp;DATE(YEAR_Y-3,1,1),'Fund History'!$J$672:$J$676,"&lt;="&amp;DATE(YEAR_Y-3,12,31))=0,"",IFERROR($H122*HSTECH!$G$17/SUMIFS('Fund History'!$K$672:$K$676,'Fund History'!$J$672:$J$676,"&gt;="&amp;DATE(YEAR_Y-3,1,1),'Fund History'!$J$672:$J$676,"&lt;="&amp;DATE(YEAR_Y-3,12,31)),""))))</f>
        <v/>
      </c>
      <c r="S122" s="72">
        <f>IF($C122="","",IF(PULL_FUND="N","",IF(COUNTIFS('Fund History'!$J$672:$J$676,"&gt;="&amp;DATE(YEAR_Y-2,1,1),'Fund History'!$J$672:$J$676,"&lt;="&amp;DATE(YEAR_Y-2,12,31))=0,"",IFERROR($I122*HSTECH!$G$17/SUMIFS('Fund History'!$K$672:$K$676,'Fund History'!$J$672:$J$676,"&gt;="&amp;DATE(YEAR_Y-2,1,1),'Fund History'!$J$672:$J$676,"&lt;="&amp;DATE(YEAR_Y-2,12,31)),""))))</f>
        <v/>
      </c>
      <c r="T122" s="72">
        <f>IF($C122="","",IF(PULL_FUND="N","",IF(COUNTIFS('Fund History'!$J$672:$J$676,"&gt;="&amp;DATE(YEAR_Y-1,1,1),'Fund History'!$J$672:$J$676,"&lt;="&amp;DATE(YEAR_Y-1,12,31))=0,"",IFERROR($J122*HSTECH!$G$17/SUMIFS('Fund History'!$K$672:$K$676,'Fund History'!$J$672:$J$676,"&gt;="&amp;DATE(YEAR_Y-1,1,1),'Fund History'!$J$672:$J$676,"&lt;="&amp;DATE(YEAR_Y-1,12,31)),""))))</f>
        <v/>
      </c>
      <c r="U122" s="73">
        <f>IF($C122="","",IF(ISNUMBER(HSTECH!$I$17),HSTECH!$I$17/100,""))</f>
        <v/>
      </c>
      <c r="V122" s="74">
        <f>IF($C122="","",IF(ISNUMBER(HSTECH!$X$17),IFERROR($M122*HSTECH!$G$17/HSTECH!$X$17,""),""))</f>
        <v/>
      </c>
      <c r="W122" s="73">
        <f>IF($C122="","",IF(ISNUMBER($N122),IFERROR($N122*HSTECH!$G$17/HSTECH!$X$17,""),""))</f>
        <v/>
      </c>
      <c r="X122" s="75">
        <f>IF($C122="","",IF(PULL_FUND="N","",IFERROR(BDP($C122,EPS_FIELD,YR_OVERRIDE,TEXT(YEAR_Y-5,"0")),"")))</f>
        <v/>
      </c>
      <c r="Y122" s="76">
        <f>IF($C122="","",IF(PULL_FUND="N","",IFERROR(BDP($C122,EPS_FIELD,YR_OVERRIDE,TEXT(YEAR_Y-4,"0")),"")))</f>
        <v/>
      </c>
      <c r="Z122" s="76">
        <f>IF($C122="","",IF(PULL_FUND="N","",IFERROR(BDP($C122,EPS_FIELD,YR_OVERRIDE,TEXT(YEAR_Y-3,"0")),"")))</f>
        <v/>
      </c>
      <c r="AA122" s="76">
        <f>IF($C122="","",IF(PULL_FUND="N","",IFERROR(BDP($C122,EPS_FIELD,YR_OVERRIDE,TEXT(YEAR_Y-2,"0")),"")))</f>
        <v/>
      </c>
      <c r="AB122" s="76">
        <f>IF($C122="","",IF(PULL_FUND="N","",IFERROR(BDP($C122,EPS_FIELD,YR_OVERRIDE,TEXT(YEAR_Y-1,"0")),"")))</f>
        <v/>
      </c>
      <c r="AC122" s="50">
        <f>IF($C122="","",IFERROR(AVERAGE(X122:AB122),""))</f>
        <v/>
      </c>
      <c r="AD122" s="76">
        <f>IF($C122="","",IF(PULL_FUND="N","",IFERROR(BDP($C122,BESTEPS_FIELD,FWD_OVERRIDE,TEXT(MOD(YEAR_Y,100),"00")&amp;"Y"),"")))</f>
        <v/>
      </c>
      <c r="AE122" s="77">
        <f>IF($C122="","",IF(PULL_FUND="N","",IFERROR(BDP($C122,PAYOUT_FIELD,YR_OVERRIDE,TEXT(YEAR_Y-5,"0"))/100,"")))</f>
        <v/>
      </c>
      <c r="AF122" s="78">
        <f>IF($C122="","",IF(PULL_FUND="N","",IFERROR(BDP($C122,PAYOUT_FIELD,YR_OVERRIDE,TEXT(YEAR_Y-4,"0"))/100,"")))</f>
        <v/>
      </c>
      <c r="AG122" s="78">
        <f>IF($C122="","",IF(PULL_FUND="N","",IFERROR(BDP($C122,PAYOUT_FIELD,YR_OVERRIDE,TEXT(YEAR_Y-3,"0"))/100,"")))</f>
        <v/>
      </c>
      <c r="AH122" s="78">
        <f>IF($C122="","",IF(PULL_FUND="N","",IFERROR(BDP($C122,PAYOUT_FIELD,YR_OVERRIDE,TEXT(YEAR_Y-2,"0"))/100,"")))</f>
        <v/>
      </c>
      <c r="AI122" s="78">
        <f>IF($C122="","",IF(PULL_FUND="N","",IFERROR(BDP($C122,PAYOUT_FIELD,YR_OVERRIDE,TEXT(YEAR_Y-1,"0"))/100,"")))</f>
        <v/>
      </c>
      <c r="AJ122" s="79">
        <f>IF($C122="","",IFERROR(AVERAGE(AE122:AI122),""))</f>
        <v/>
      </c>
      <c r="AK122" s="80">
        <f>IF($C122="","",IF(ISNUMBER($AD122)*ISNUMBER($N122)*($AD122&lt;&gt;0)=0,"",$N122/$AD122))</f>
        <v/>
      </c>
      <c r="AL122" s="79">
        <f>IF($C122="","",IF(ISNUMBER($AD122)*($AD122&lt;&gt;0)=0,"",$M122/$AD122))</f>
        <v/>
      </c>
      <c r="AM122" s="37">
        <f>IF($C122="","",IF(ISNUMBER($AE122)*ISNUMBER($AI122)=0,"",IF($AI122&gt;$AE122+0.05,"rising",IF($AI122&lt;$AE122-0.05,"falling","stable"))))</f>
        <v/>
      </c>
      <c r="AN122" s="81">
        <f>IF($C122="","",IF(PULL_FUND="N","",IF(COUNTIFS('Fund History'!$G$672:$G$676,"&gt;="&amp;DATE(YEAR_Y-4,1,1),'Fund History'!$G$672:$G$676,"&lt;="&amp;DATE(YEAR_Y-4,12,31))=0,"",SUMIFS('Fund History'!$H$672:$H$676,'Fund History'!$G$672:$G$676,"&gt;="&amp;DATE(YEAR_Y-4,1,1),'Fund History'!$G$672:$G$676,"&lt;="&amp;DATE(YEAR_Y-4,12,31))/100)))</f>
        <v/>
      </c>
      <c r="AO122" s="82">
        <f>IF($C122="","",IF(PULL_FUND="N","",IF(COUNTIFS('Fund History'!$G$672:$G$676,"&gt;="&amp;DATE(YEAR_Y-3,1,1),'Fund History'!$G$672:$G$676,"&lt;="&amp;DATE(YEAR_Y-3,12,31))=0,"",SUMIFS('Fund History'!$H$672:$H$676,'Fund History'!$G$672:$G$676,"&gt;="&amp;DATE(YEAR_Y-3,1,1),'Fund History'!$G$672:$G$676,"&lt;="&amp;DATE(YEAR_Y-3,12,31))/100)))</f>
        <v/>
      </c>
      <c r="AP122" s="82">
        <f>IF($C122="","",IF(PULL_FUND="N","",IF(COUNTIFS('Fund History'!$G$672:$G$676,"&gt;="&amp;DATE(YEAR_Y-2,1,1),'Fund History'!$G$672:$G$676,"&lt;="&amp;DATE(YEAR_Y-2,12,31))=0,"",SUMIFS('Fund History'!$H$672:$H$676,'Fund History'!$G$672:$G$676,"&gt;="&amp;DATE(YEAR_Y-2,1,1),'Fund History'!$G$672:$G$676,"&lt;="&amp;DATE(YEAR_Y-2,12,31))/100)))</f>
        <v/>
      </c>
      <c r="AQ122" s="82">
        <f>IF($C122="","",IF(PULL_FUND="N","",IF(COUNTIFS('Fund History'!$G$672:$G$676,"&gt;="&amp;DATE(YEAR_Y-1,1,1),'Fund History'!$G$672:$G$676,"&lt;="&amp;DATE(YEAR_Y-1,12,31))=0,"",SUMIFS('Fund History'!$H$672:$H$676,'Fund History'!$G$672:$G$676,"&gt;="&amp;DATE(YEAR_Y-1,1,1),'Fund History'!$G$672:$G$676,"&lt;="&amp;DATE(YEAR_Y-1,12,31))/100)))</f>
        <v/>
      </c>
      <c r="AR122" s="83">
        <f>IF($C122="","",IF(N($AQ122)+N(HSTECH!$I$17)=0,"",N($AQ122)+N(HSTECH!$I$17)/100))</f>
        <v/>
      </c>
      <c r="AS122" s="75">
        <f>IF($C122="","",IF(PULL_FUND="N","",IF(COUNTIFS('Fund History'!$D$672:$D$676,"&gt;="&amp;DATE(YEAR_Y-2,1,1),'Fund History'!$D$672:$D$676,"&lt;="&amp;DATE(YEAR_Y-2,12,31))=0,"",SUMIFS('Fund History'!$E$672:$E$676,'Fund History'!$D$672:$D$676,"&gt;="&amp;DATE(YEAR_Y-2,1,1),'Fund History'!$D$672:$D$676,"&lt;="&amp;DATE(YEAR_Y-2,12,31)))))</f>
        <v/>
      </c>
      <c r="AT122" s="76">
        <f>IF($C122="","",IF(PULL_FUND="N","",IF(COUNTIFS('Fund History'!$D$672:$D$676,"&gt;="&amp;DATE(YEAR_Y-1,1,1),'Fund History'!$D$672:$D$676,"&lt;="&amp;DATE(YEAR_Y-1,12,31))=0,"",SUMIFS('Fund History'!$E$672:$E$676,'Fund History'!$D$672:$D$676,"&gt;="&amp;DATE(YEAR_Y-1,1,1),'Fund History'!$D$672:$D$676,"&lt;="&amp;DATE(YEAR_Y-1,12,31)))))</f>
        <v/>
      </c>
      <c r="AU122" s="76">
        <f>IF($C122="","",IF(PULL_FUND="N","",IFERROR(BDP($C122,NDEBITDA_FIELD),"")))</f>
        <v/>
      </c>
      <c r="AV122" s="84">
        <f>IF($C122="","",IF(PULL_FUND="N","",IFERROR(BDP($C122,EBINT_FIELD),"")))</f>
        <v/>
      </c>
      <c r="AW122" s="82">
        <f>IF($C122="","",IF(PULL_FUND="N","",IFERROR(BDP($C122,FCF_FIELD)/100,"")))</f>
        <v/>
      </c>
      <c r="AX122" s="50">
        <f>IF($C122="","",IF(N($U122)=0,"",IFERROR($AW122/$U122,"")))</f>
        <v/>
      </c>
      <c r="AY122" s="85">
        <f>IF($C122="","",TRIM(IF(ISNUMBER($AJ122)*(N($AJ122)&gt;$D$4)&gt;0,"payout high  ","")&amp;IF(ISNUMBER($AX122)*(N($AX122)&lt;$F$4)&gt;0,"FCF below dvd  ","")&amp;IF(ISNUMBER($AU122)*(N($AU122)&gt;$H$4)&gt;0,"leverage high","")))</f>
        <v/>
      </c>
      <c r="AZ122" s="86">
        <f>IF($C122="","",IF(HSTECH!$F$17="HKD","",HSTECH!$F$17))</f>
        <v/>
      </c>
    </row>
    <row r="123">
      <c r="B123" s="66" t="inlineStr">
        <is>
          <t>HSTECH</t>
        </is>
      </c>
      <c r="C123" s="8">
        <f>IF(HSTECH!$C$18="","",HSTECH!$C$18)</f>
        <v/>
      </c>
      <c r="D123" s="8">
        <f>IF($C123="","",HSTECH!$D$18)</f>
        <v/>
      </c>
      <c r="E123" s="8">
        <f>IF($C123="","",HSTECH!$E$18)</f>
        <v/>
      </c>
      <c r="F123" s="67">
        <f>IF($C123="","",SUMPRODUCT(('Dvd Calendar'!$E$1237:$AR$1237&gt;=DATE(YEAR_Y-5,1,1))*('Dvd Calendar'!$E$1237:$AR$1237&lt;=DATE(YEAR_Y-5,12,31))*'Dvd Calendar'!$E$1240:$AR$1240*(('Dvd Calendar'!$E$1242:$AR$1242=TYPE1)*(TYPE1&lt;&gt;"")+('Dvd Calendar'!$E$1242:$AR$1242=TYPE2)*(TYPE2&lt;&gt;"")+('Dvd Calendar'!$E$1242:$AR$1242=TYPE3)*(TYPE3&lt;&gt;"")+('Dvd Calendar'!$E$1242:$AR$1242=TYPE4)*(TYPE4&lt;&gt;"")+('Dvd Calendar'!$E$1242:$AR$1242=SPECIAL_LBL)*(INC_SPECIALS="Y"))))</f>
        <v/>
      </c>
      <c r="G123" s="68">
        <f>IF($C123="","",SUMPRODUCT(('Dvd Calendar'!$E$1237:$AR$1237&gt;=DATE(YEAR_Y-4,1,1))*('Dvd Calendar'!$E$1237:$AR$1237&lt;=DATE(YEAR_Y-4,12,31))*'Dvd Calendar'!$E$1240:$AR$1240*(('Dvd Calendar'!$E$1242:$AR$1242=TYPE1)*(TYPE1&lt;&gt;"")+('Dvd Calendar'!$E$1242:$AR$1242=TYPE2)*(TYPE2&lt;&gt;"")+('Dvd Calendar'!$E$1242:$AR$1242=TYPE3)*(TYPE3&lt;&gt;"")+('Dvd Calendar'!$E$1242:$AR$1242=TYPE4)*(TYPE4&lt;&gt;"")+('Dvd Calendar'!$E$1242:$AR$1242=SPECIAL_LBL)*(INC_SPECIALS="Y"))))</f>
        <v/>
      </c>
      <c r="H123" s="68">
        <f>IF($C123="","",SUMPRODUCT(('Dvd Calendar'!$E$1237:$AR$1237&gt;=DATE(YEAR_Y-3,1,1))*('Dvd Calendar'!$E$1237:$AR$1237&lt;=DATE(YEAR_Y-3,12,31))*'Dvd Calendar'!$E$1240:$AR$1240*(('Dvd Calendar'!$E$1242:$AR$1242=TYPE1)*(TYPE1&lt;&gt;"")+('Dvd Calendar'!$E$1242:$AR$1242=TYPE2)*(TYPE2&lt;&gt;"")+('Dvd Calendar'!$E$1242:$AR$1242=TYPE3)*(TYPE3&lt;&gt;"")+('Dvd Calendar'!$E$1242:$AR$1242=TYPE4)*(TYPE4&lt;&gt;"")+('Dvd Calendar'!$E$1242:$AR$1242=SPECIAL_LBL)*(INC_SPECIALS="Y"))))</f>
        <v/>
      </c>
      <c r="I123" s="68">
        <f>IF($C123="","",SUMPRODUCT(('Dvd Calendar'!$E$1237:$AR$1237&gt;=DATE(YEAR_Y-2,1,1))*('Dvd Calendar'!$E$1237:$AR$1237&lt;=DATE(YEAR_Y-2,12,31))*'Dvd Calendar'!$E$1240:$AR$1240*(('Dvd Calendar'!$E$1242:$AR$1242=TYPE1)*(TYPE1&lt;&gt;"")+('Dvd Calendar'!$E$1242:$AR$1242=TYPE2)*(TYPE2&lt;&gt;"")+('Dvd Calendar'!$E$1242:$AR$1242=TYPE3)*(TYPE3&lt;&gt;"")+('Dvd Calendar'!$E$1242:$AR$1242=TYPE4)*(TYPE4&lt;&gt;"")+('Dvd Calendar'!$E$1242:$AR$1242=SPECIAL_LBL)*(INC_SPECIALS="Y"))))</f>
        <v/>
      </c>
      <c r="J123" s="68">
        <f>IF($C123="","",SUMPRODUCT(('Dvd Calendar'!$E$1237:$AR$1237&gt;=DATE(YEAR_Y-1,1,1))*('Dvd Calendar'!$E$1237:$AR$1237&lt;=DATE(YEAR_Y-1,12,31))*'Dvd Calendar'!$E$1240:$AR$1240*(('Dvd Calendar'!$E$1242:$AR$1242=TYPE1)*(TYPE1&lt;&gt;"")+('Dvd Calendar'!$E$1242:$AR$1242=TYPE2)*(TYPE2&lt;&gt;"")+('Dvd Calendar'!$E$1242:$AR$1242=TYPE3)*(TYPE3&lt;&gt;"")+('Dvd Calendar'!$E$1242:$AR$1242=TYPE4)*(TYPE4&lt;&gt;"")+('Dvd Calendar'!$E$1242:$AR$1242=SPECIAL_LBL)*(INC_SPECIALS="Y"))))</f>
        <v/>
      </c>
      <c r="K123" s="69">
        <f>IF($C123="","",HSTECH!$J$18)</f>
        <v/>
      </c>
      <c r="L123" s="69">
        <f>IF($C123="","",HSTECH!$K$18)</f>
        <v/>
      </c>
      <c r="M123" s="44">
        <f>IF($C123="","",HSTECH!$J$18+HSTECH!$L$18)</f>
        <v/>
      </c>
      <c r="N123" s="70">
        <f>IF($C123="","",IF(PULL_FUND="N","",IFERROR(BDP($C123,BESTDPS_FIELD,FWD_OVERRIDE,TEXT(MOD(YEAR_Y,100),"00")&amp;"Y"),"")))</f>
        <v/>
      </c>
      <c r="O123" s="69">
        <f>IF($C123="","",AVERAGE(F123:J123))</f>
        <v/>
      </c>
      <c r="P123" s="71">
        <f>IF($C123="","",IF(PULL_FUND="N","",IF(COUNTIFS('Fund History'!$J$678:$J$682,"&gt;="&amp;DATE(YEAR_Y-5,1,1),'Fund History'!$J$678:$J$682,"&lt;="&amp;DATE(YEAR_Y-5,12,31))=0,"",IFERROR($F123*HSTECH!$G$18/SUMIFS('Fund History'!$K$678:$K$682,'Fund History'!$J$678:$J$682,"&gt;="&amp;DATE(YEAR_Y-5,1,1),'Fund History'!$J$678:$J$682,"&lt;="&amp;DATE(YEAR_Y-5,12,31)),""))))</f>
        <v/>
      </c>
      <c r="Q123" s="72">
        <f>IF($C123="","",IF(PULL_FUND="N","",IF(COUNTIFS('Fund History'!$J$678:$J$682,"&gt;="&amp;DATE(YEAR_Y-4,1,1),'Fund History'!$J$678:$J$682,"&lt;="&amp;DATE(YEAR_Y-4,12,31))=0,"",IFERROR($G123*HSTECH!$G$18/SUMIFS('Fund History'!$K$678:$K$682,'Fund History'!$J$678:$J$682,"&gt;="&amp;DATE(YEAR_Y-4,1,1),'Fund History'!$J$678:$J$682,"&lt;="&amp;DATE(YEAR_Y-4,12,31)),""))))</f>
        <v/>
      </c>
      <c r="R123" s="72">
        <f>IF($C123="","",IF(PULL_FUND="N","",IF(COUNTIFS('Fund History'!$J$678:$J$682,"&gt;="&amp;DATE(YEAR_Y-3,1,1),'Fund History'!$J$678:$J$682,"&lt;="&amp;DATE(YEAR_Y-3,12,31))=0,"",IFERROR($H123*HSTECH!$G$18/SUMIFS('Fund History'!$K$678:$K$682,'Fund History'!$J$678:$J$682,"&gt;="&amp;DATE(YEAR_Y-3,1,1),'Fund History'!$J$678:$J$682,"&lt;="&amp;DATE(YEAR_Y-3,12,31)),""))))</f>
        <v/>
      </c>
      <c r="S123" s="72">
        <f>IF($C123="","",IF(PULL_FUND="N","",IF(COUNTIFS('Fund History'!$J$678:$J$682,"&gt;="&amp;DATE(YEAR_Y-2,1,1),'Fund History'!$J$678:$J$682,"&lt;="&amp;DATE(YEAR_Y-2,12,31))=0,"",IFERROR($I123*HSTECH!$G$18/SUMIFS('Fund History'!$K$678:$K$682,'Fund History'!$J$678:$J$682,"&gt;="&amp;DATE(YEAR_Y-2,1,1),'Fund History'!$J$678:$J$682,"&lt;="&amp;DATE(YEAR_Y-2,12,31)),""))))</f>
        <v/>
      </c>
      <c r="T123" s="72">
        <f>IF($C123="","",IF(PULL_FUND="N","",IF(COUNTIFS('Fund History'!$J$678:$J$682,"&gt;="&amp;DATE(YEAR_Y-1,1,1),'Fund History'!$J$678:$J$682,"&lt;="&amp;DATE(YEAR_Y-1,12,31))=0,"",IFERROR($J123*HSTECH!$G$18/SUMIFS('Fund History'!$K$678:$K$682,'Fund History'!$J$678:$J$682,"&gt;="&amp;DATE(YEAR_Y-1,1,1),'Fund History'!$J$678:$J$682,"&lt;="&amp;DATE(YEAR_Y-1,12,31)),""))))</f>
        <v/>
      </c>
      <c r="U123" s="73">
        <f>IF($C123="","",IF(ISNUMBER(HSTECH!$I$18),HSTECH!$I$18/100,""))</f>
        <v/>
      </c>
      <c r="V123" s="74">
        <f>IF($C123="","",IF(ISNUMBER(HSTECH!$X$18),IFERROR($M123*HSTECH!$G$18/HSTECH!$X$18,""),""))</f>
        <v/>
      </c>
      <c r="W123" s="73">
        <f>IF($C123="","",IF(ISNUMBER($N123),IFERROR($N123*HSTECH!$G$18/HSTECH!$X$18,""),""))</f>
        <v/>
      </c>
      <c r="X123" s="75">
        <f>IF($C123="","",IF(PULL_FUND="N","",IFERROR(BDP($C123,EPS_FIELD,YR_OVERRIDE,TEXT(YEAR_Y-5,"0")),"")))</f>
        <v/>
      </c>
      <c r="Y123" s="76">
        <f>IF($C123="","",IF(PULL_FUND="N","",IFERROR(BDP($C123,EPS_FIELD,YR_OVERRIDE,TEXT(YEAR_Y-4,"0")),"")))</f>
        <v/>
      </c>
      <c r="Z123" s="76">
        <f>IF($C123="","",IF(PULL_FUND="N","",IFERROR(BDP($C123,EPS_FIELD,YR_OVERRIDE,TEXT(YEAR_Y-3,"0")),"")))</f>
        <v/>
      </c>
      <c r="AA123" s="76">
        <f>IF($C123="","",IF(PULL_FUND="N","",IFERROR(BDP($C123,EPS_FIELD,YR_OVERRIDE,TEXT(YEAR_Y-2,"0")),"")))</f>
        <v/>
      </c>
      <c r="AB123" s="76">
        <f>IF($C123="","",IF(PULL_FUND="N","",IFERROR(BDP($C123,EPS_FIELD,YR_OVERRIDE,TEXT(YEAR_Y-1,"0")),"")))</f>
        <v/>
      </c>
      <c r="AC123" s="50">
        <f>IF($C123="","",IFERROR(AVERAGE(X123:AB123),""))</f>
        <v/>
      </c>
      <c r="AD123" s="76">
        <f>IF($C123="","",IF(PULL_FUND="N","",IFERROR(BDP($C123,BESTEPS_FIELD,FWD_OVERRIDE,TEXT(MOD(YEAR_Y,100),"00")&amp;"Y"),"")))</f>
        <v/>
      </c>
      <c r="AE123" s="77">
        <f>IF($C123="","",IF(PULL_FUND="N","",IFERROR(BDP($C123,PAYOUT_FIELD,YR_OVERRIDE,TEXT(YEAR_Y-5,"0"))/100,"")))</f>
        <v/>
      </c>
      <c r="AF123" s="78">
        <f>IF($C123="","",IF(PULL_FUND="N","",IFERROR(BDP($C123,PAYOUT_FIELD,YR_OVERRIDE,TEXT(YEAR_Y-4,"0"))/100,"")))</f>
        <v/>
      </c>
      <c r="AG123" s="78">
        <f>IF($C123="","",IF(PULL_FUND="N","",IFERROR(BDP($C123,PAYOUT_FIELD,YR_OVERRIDE,TEXT(YEAR_Y-3,"0"))/100,"")))</f>
        <v/>
      </c>
      <c r="AH123" s="78">
        <f>IF($C123="","",IF(PULL_FUND="N","",IFERROR(BDP($C123,PAYOUT_FIELD,YR_OVERRIDE,TEXT(YEAR_Y-2,"0"))/100,"")))</f>
        <v/>
      </c>
      <c r="AI123" s="78">
        <f>IF($C123="","",IF(PULL_FUND="N","",IFERROR(BDP($C123,PAYOUT_FIELD,YR_OVERRIDE,TEXT(YEAR_Y-1,"0"))/100,"")))</f>
        <v/>
      </c>
      <c r="AJ123" s="79">
        <f>IF($C123="","",IFERROR(AVERAGE(AE123:AI123),""))</f>
        <v/>
      </c>
      <c r="AK123" s="80">
        <f>IF($C123="","",IF(ISNUMBER($AD123)*ISNUMBER($N123)*($AD123&lt;&gt;0)=0,"",$N123/$AD123))</f>
        <v/>
      </c>
      <c r="AL123" s="79">
        <f>IF($C123="","",IF(ISNUMBER($AD123)*($AD123&lt;&gt;0)=0,"",$M123/$AD123))</f>
        <v/>
      </c>
      <c r="AM123" s="37">
        <f>IF($C123="","",IF(ISNUMBER($AE123)*ISNUMBER($AI123)=0,"",IF($AI123&gt;$AE123+0.05,"rising",IF($AI123&lt;$AE123-0.05,"falling","stable"))))</f>
        <v/>
      </c>
      <c r="AN123" s="81">
        <f>IF($C123="","",IF(PULL_FUND="N","",IF(COUNTIFS('Fund History'!$G$678:$G$682,"&gt;="&amp;DATE(YEAR_Y-4,1,1),'Fund History'!$G$678:$G$682,"&lt;="&amp;DATE(YEAR_Y-4,12,31))=0,"",SUMIFS('Fund History'!$H$678:$H$682,'Fund History'!$G$678:$G$682,"&gt;="&amp;DATE(YEAR_Y-4,1,1),'Fund History'!$G$678:$G$682,"&lt;="&amp;DATE(YEAR_Y-4,12,31))/100)))</f>
        <v/>
      </c>
      <c r="AO123" s="82">
        <f>IF($C123="","",IF(PULL_FUND="N","",IF(COUNTIFS('Fund History'!$G$678:$G$682,"&gt;="&amp;DATE(YEAR_Y-3,1,1),'Fund History'!$G$678:$G$682,"&lt;="&amp;DATE(YEAR_Y-3,12,31))=0,"",SUMIFS('Fund History'!$H$678:$H$682,'Fund History'!$G$678:$G$682,"&gt;="&amp;DATE(YEAR_Y-3,1,1),'Fund History'!$G$678:$G$682,"&lt;="&amp;DATE(YEAR_Y-3,12,31))/100)))</f>
        <v/>
      </c>
      <c r="AP123" s="82">
        <f>IF($C123="","",IF(PULL_FUND="N","",IF(COUNTIFS('Fund History'!$G$678:$G$682,"&gt;="&amp;DATE(YEAR_Y-2,1,1),'Fund History'!$G$678:$G$682,"&lt;="&amp;DATE(YEAR_Y-2,12,31))=0,"",SUMIFS('Fund History'!$H$678:$H$682,'Fund History'!$G$678:$G$682,"&gt;="&amp;DATE(YEAR_Y-2,1,1),'Fund History'!$G$678:$G$682,"&lt;="&amp;DATE(YEAR_Y-2,12,31))/100)))</f>
        <v/>
      </c>
      <c r="AQ123" s="82">
        <f>IF($C123="","",IF(PULL_FUND="N","",IF(COUNTIFS('Fund History'!$G$678:$G$682,"&gt;="&amp;DATE(YEAR_Y-1,1,1),'Fund History'!$G$678:$G$682,"&lt;="&amp;DATE(YEAR_Y-1,12,31))=0,"",SUMIFS('Fund History'!$H$678:$H$682,'Fund History'!$G$678:$G$682,"&gt;="&amp;DATE(YEAR_Y-1,1,1),'Fund History'!$G$678:$G$682,"&lt;="&amp;DATE(YEAR_Y-1,12,31))/100)))</f>
        <v/>
      </c>
      <c r="AR123" s="83">
        <f>IF($C123="","",IF(N($AQ123)+N(HSTECH!$I$18)=0,"",N($AQ123)+N(HSTECH!$I$18)/100))</f>
        <v/>
      </c>
      <c r="AS123" s="75">
        <f>IF($C123="","",IF(PULL_FUND="N","",IF(COUNTIFS('Fund History'!$D$678:$D$682,"&gt;="&amp;DATE(YEAR_Y-2,1,1),'Fund History'!$D$678:$D$682,"&lt;="&amp;DATE(YEAR_Y-2,12,31))=0,"",SUMIFS('Fund History'!$E$678:$E$682,'Fund History'!$D$678:$D$682,"&gt;="&amp;DATE(YEAR_Y-2,1,1),'Fund History'!$D$678:$D$682,"&lt;="&amp;DATE(YEAR_Y-2,12,31)))))</f>
        <v/>
      </c>
      <c r="AT123" s="76">
        <f>IF($C123="","",IF(PULL_FUND="N","",IF(COUNTIFS('Fund History'!$D$678:$D$682,"&gt;="&amp;DATE(YEAR_Y-1,1,1),'Fund History'!$D$678:$D$682,"&lt;="&amp;DATE(YEAR_Y-1,12,31))=0,"",SUMIFS('Fund History'!$E$678:$E$682,'Fund History'!$D$678:$D$682,"&gt;="&amp;DATE(YEAR_Y-1,1,1),'Fund History'!$D$678:$D$682,"&lt;="&amp;DATE(YEAR_Y-1,12,31)))))</f>
        <v/>
      </c>
      <c r="AU123" s="76">
        <f>IF($C123="","",IF(PULL_FUND="N","",IFERROR(BDP($C123,NDEBITDA_FIELD),"")))</f>
        <v/>
      </c>
      <c r="AV123" s="84">
        <f>IF($C123="","",IF(PULL_FUND="N","",IFERROR(BDP($C123,EBINT_FIELD),"")))</f>
        <v/>
      </c>
      <c r="AW123" s="82">
        <f>IF($C123="","",IF(PULL_FUND="N","",IFERROR(BDP($C123,FCF_FIELD)/100,"")))</f>
        <v/>
      </c>
      <c r="AX123" s="50">
        <f>IF($C123="","",IF(N($U123)=0,"",IFERROR($AW123/$U123,"")))</f>
        <v/>
      </c>
      <c r="AY123" s="85">
        <f>IF($C123="","",TRIM(IF(ISNUMBER($AJ123)*(N($AJ123)&gt;$D$4)&gt;0,"payout high  ","")&amp;IF(ISNUMBER($AX123)*(N($AX123)&lt;$F$4)&gt;0,"FCF below dvd  ","")&amp;IF(ISNUMBER($AU123)*(N($AU123)&gt;$H$4)&gt;0,"leverage high","")))</f>
        <v/>
      </c>
      <c r="AZ123" s="86">
        <f>IF($C123="","",IF(HSTECH!$F$18="HKD","",HSTECH!$F$18))</f>
        <v/>
      </c>
    </row>
    <row r="124">
      <c r="B124" s="66" t="inlineStr">
        <is>
          <t>HSTECH</t>
        </is>
      </c>
      <c r="C124" s="8">
        <f>IF(HSTECH!$C$19="","",HSTECH!$C$19)</f>
        <v/>
      </c>
      <c r="D124" s="8">
        <f>IF($C124="","",HSTECH!$D$19)</f>
        <v/>
      </c>
      <c r="E124" s="8">
        <f>IF($C124="","",HSTECH!$E$19)</f>
        <v/>
      </c>
      <c r="F124" s="67">
        <f>IF($C124="","",SUMPRODUCT(('Dvd Calendar'!$E$1248:$AR$1248&gt;=DATE(YEAR_Y-5,1,1))*('Dvd Calendar'!$E$1248:$AR$1248&lt;=DATE(YEAR_Y-5,12,31))*'Dvd Calendar'!$E$1251:$AR$1251*(('Dvd Calendar'!$E$1253:$AR$1253=TYPE1)*(TYPE1&lt;&gt;"")+('Dvd Calendar'!$E$1253:$AR$1253=TYPE2)*(TYPE2&lt;&gt;"")+('Dvd Calendar'!$E$1253:$AR$1253=TYPE3)*(TYPE3&lt;&gt;"")+('Dvd Calendar'!$E$1253:$AR$1253=TYPE4)*(TYPE4&lt;&gt;"")+('Dvd Calendar'!$E$1253:$AR$1253=SPECIAL_LBL)*(INC_SPECIALS="Y"))))</f>
        <v/>
      </c>
      <c r="G124" s="68">
        <f>IF($C124="","",SUMPRODUCT(('Dvd Calendar'!$E$1248:$AR$1248&gt;=DATE(YEAR_Y-4,1,1))*('Dvd Calendar'!$E$1248:$AR$1248&lt;=DATE(YEAR_Y-4,12,31))*'Dvd Calendar'!$E$1251:$AR$1251*(('Dvd Calendar'!$E$1253:$AR$1253=TYPE1)*(TYPE1&lt;&gt;"")+('Dvd Calendar'!$E$1253:$AR$1253=TYPE2)*(TYPE2&lt;&gt;"")+('Dvd Calendar'!$E$1253:$AR$1253=TYPE3)*(TYPE3&lt;&gt;"")+('Dvd Calendar'!$E$1253:$AR$1253=TYPE4)*(TYPE4&lt;&gt;"")+('Dvd Calendar'!$E$1253:$AR$1253=SPECIAL_LBL)*(INC_SPECIALS="Y"))))</f>
        <v/>
      </c>
      <c r="H124" s="68">
        <f>IF($C124="","",SUMPRODUCT(('Dvd Calendar'!$E$1248:$AR$1248&gt;=DATE(YEAR_Y-3,1,1))*('Dvd Calendar'!$E$1248:$AR$1248&lt;=DATE(YEAR_Y-3,12,31))*'Dvd Calendar'!$E$1251:$AR$1251*(('Dvd Calendar'!$E$1253:$AR$1253=TYPE1)*(TYPE1&lt;&gt;"")+('Dvd Calendar'!$E$1253:$AR$1253=TYPE2)*(TYPE2&lt;&gt;"")+('Dvd Calendar'!$E$1253:$AR$1253=TYPE3)*(TYPE3&lt;&gt;"")+('Dvd Calendar'!$E$1253:$AR$1253=TYPE4)*(TYPE4&lt;&gt;"")+('Dvd Calendar'!$E$1253:$AR$1253=SPECIAL_LBL)*(INC_SPECIALS="Y"))))</f>
        <v/>
      </c>
      <c r="I124" s="68">
        <f>IF($C124="","",SUMPRODUCT(('Dvd Calendar'!$E$1248:$AR$1248&gt;=DATE(YEAR_Y-2,1,1))*('Dvd Calendar'!$E$1248:$AR$1248&lt;=DATE(YEAR_Y-2,12,31))*'Dvd Calendar'!$E$1251:$AR$1251*(('Dvd Calendar'!$E$1253:$AR$1253=TYPE1)*(TYPE1&lt;&gt;"")+('Dvd Calendar'!$E$1253:$AR$1253=TYPE2)*(TYPE2&lt;&gt;"")+('Dvd Calendar'!$E$1253:$AR$1253=TYPE3)*(TYPE3&lt;&gt;"")+('Dvd Calendar'!$E$1253:$AR$1253=TYPE4)*(TYPE4&lt;&gt;"")+('Dvd Calendar'!$E$1253:$AR$1253=SPECIAL_LBL)*(INC_SPECIALS="Y"))))</f>
        <v/>
      </c>
      <c r="J124" s="68">
        <f>IF($C124="","",SUMPRODUCT(('Dvd Calendar'!$E$1248:$AR$1248&gt;=DATE(YEAR_Y-1,1,1))*('Dvd Calendar'!$E$1248:$AR$1248&lt;=DATE(YEAR_Y-1,12,31))*'Dvd Calendar'!$E$1251:$AR$1251*(('Dvd Calendar'!$E$1253:$AR$1253=TYPE1)*(TYPE1&lt;&gt;"")+('Dvd Calendar'!$E$1253:$AR$1253=TYPE2)*(TYPE2&lt;&gt;"")+('Dvd Calendar'!$E$1253:$AR$1253=TYPE3)*(TYPE3&lt;&gt;"")+('Dvd Calendar'!$E$1253:$AR$1253=TYPE4)*(TYPE4&lt;&gt;"")+('Dvd Calendar'!$E$1253:$AR$1253=SPECIAL_LBL)*(INC_SPECIALS="Y"))))</f>
        <v/>
      </c>
      <c r="K124" s="69">
        <f>IF($C124="","",HSTECH!$J$19)</f>
        <v/>
      </c>
      <c r="L124" s="69">
        <f>IF($C124="","",HSTECH!$K$19)</f>
        <v/>
      </c>
      <c r="M124" s="44">
        <f>IF($C124="","",HSTECH!$J$19+HSTECH!$L$19)</f>
        <v/>
      </c>
      <c r="N124" s="70">
        <f>IF($C124="","",IF(PULL_FUND="N","",IFERROR(BDP($C124,BESTDPS_FIELD,FWD_OVERRIDE,TEXT(MOD(YEAR_Y,100),"00")&amp;"Y"),"")))</f>
        <v/>
      </c>
      <c r="O124" s="69">
        <f>IF($C124="","",AVERAGE(F124:J124))</f>
        <v/>
      </c>
      <c r="P124" s="71">
        <f>IF($C124="","",IF(PULL_FUND="N","",IF(COUNTIFS('Fund History'!$J$684:$J$688,"&gt;="&amp;DATE(YEAR_Y-5,1,1),'Fund History'!$J$684:$J$688,"&lt;="&amp;DATE(YEAR_Y-5,12,31))=0,"",IFERROR($F124*HSTECH!$G$19/SUMIFS('Fund History'!$K$684:$K$688,'Fund History'!$J$684:$J$688,"&gt;="&amp;DATE(YEAR_Y-5,1,1),'Fund History'!$J$684:$J$688,"&lt;="&amp;DATE(YEAR_Y-5,12,31)),""))))</f>
        <v/>
      </c>
      <c r="Q124" s="72">
        <f>IF($C124="","",IF(PULL_FUND="N","",IF(COUNTIFS('Fund History'!$J$684:$J$688,"&gt;="&amp;DATE(YEAR_Y-4,1,1),'Fund History'!$J$684:$J$688,"&lt;="&amp;DATE(YEAR_Y-4,12,31))=0,"",IFERROR($G124*HSTECH!$G$19/SUMIFS('Fund History'!$K$684:$K$688,'Fund History'!$J$684:$J$688,"&gt;="&amp;DATE(YEAR_Y-4,1,1),'Fund History'!$J$684:$J$688,"&lt;="&amp;DATE(YEAR_Y-4,12,31)),""))))</f>
        <v/>
      </c>
      <c r="R124" s="72">
        <f>IF($C124="","",IF(PULL_FUND="N","",IF(COUNTIFS('Fund History'!$J$684:$J$688,"&gt;="&amp;DATE(YEAR_Y-3,1,1),'Fund History'!$J$684:$J$688,"&lt;="&amp;DATE(YEAR_Y-3,12,31))=0,"",IFERROR($H124*HSTECH!$G$19/SUMIFS('Fund History'!$K$684:$K$688,'Fund History'!$J$684:$J$688,"&gt;="&amp;DATE(YEAR_Y-3,1,1),'Fund History'!$J$684:$J$688,"&lt;="&amp;DATE(YEAR_Y-3,12,31)),""))))</f>
        <v/>
      </c>
      <c r="S124" s="72">
        <f>IF($C124="","",IF(PULL_FUND="N","",IF(COUNTIFS('Fund History'!$J$684:$J$688,"&gt;="&amp;DATE(YEAR_Y-2,1,1),'Fund History'!$J$684:$J$688,"&lt;="&amp;DATE(YEAR_Y-2,12,31))=0,"",IFERROR($I124*HSTECH!$G$19/SUMIFS('Fund History'!$K$684:$K$688,'Fund History'!$J$684:$J$688,"&gt;="&amp;DATE(YEAR_Y-2,1,1),'Fund History'!$J$684:$J$688,"&lt;="&amp;DATE(YEAR_Y-2,12,31)),""))))</f>
        <v/>
      </c>
      <c r="T124" s="72">
        <f>IF($C124="","",IF(PULL_FUND="N","",IF(COUNTIFS('Fund History'!$J$684:$J$688,"&gt;="&amp;DATE(YEAR_Y-1,1,1),'Fund History'!$J$684:$J$688,"&lt;="&amp;DATE(YEAR_Y-1,12,31))=0,"",IFERROR($J124*HSTECH!$G$19/SUMIFS('Fund History'!$K$684:$K$688,'Fund History'!$J$684:$J$688,"&gt;="&amp;DATE(YEAR_Y-1,1,1),'Fund History'!$J$684:$J$688,"&lt;="&amp;DATE(YEAR_Y-1,12,31)),""))))</f>
        <v/>
      </c>
      <c r="U124" s="73">
        <f>IF($C124="","",IF(ISNUMBER(HSTECH!$I$19),HSTECH!$I$19/100,""))</f>
        <v/>
      </c>
      <c r="V124" s="74">
        <f>IF($C124="","",IF(ISNUMBER(HSTECH!$X$19),IFERROR($M124*HSTECH!$G$19/HSTECH!$X$19,""),""))</f>
        <v/>
      </c>
      <c r="W124" s="73">
        <f>IF($C124="","",IF(ISNUMBER($N124),IFERROR($N124*HSTECH!$G$19/HSTECH!$X$19,""),""))</f>
        <v/>
      </c>
      <c r="X124" s="75">
        <f>IF($C124="","",IF(PULL_FUND="N","",IFERROR(BDP($C124,EPS_FIELD,YR_OVERRIDE,TEXT(YEAR_Y-5,"0")),"")))</f>
        <v/>
      </c>
      <c r="Y124" s="76">
        <f>IF($C124="","",IF(PULL_FUND="N","",IFERROR(BDP($C124,EPS_FIELD,YR_OVERRIDE,TEXT(YEAR_Y-4,"0")),"")))</f>
        <v/>
      </c>
      <c r="Z124" s="76">
        <f>IF($C124="","",IF(PULL_FUND="N","",IFERROR(BDP($C124,EPS_FIELD,YR_OVERRIDE,TEXT(YEAR_Y-3,"0")),"")))</f>
        <v/>
      </c>
      <c r="AA124" s="76">
        <f>IF($C124="","",IF(PULL_FUND="N","",IFERROR(BDP($C124,EPS_FIELD,YR_OVERRIDE,TEXT(YEAR_Y-2,"0")),"")))</f>
        <v/>
      </c>
      <c r="AB124" s="76">
        <f>IF($C124="","",IF(PULL_FUND="N","",IFERROR(BDP($C124,EPS_FIELD,YR_OVERRIDE,TEXT(YEAR_Y-1,"0")),"")))</f>
        <v/>
      </c>
      <c r="AC124" s="50">
        <f>IF($C124="","",IFERROR(AVERAGE(X124:AB124),""))</f>
        <v/>
      </c>
      <c r="AD124" s="76">
        <f>IF($C124="","",IF(PULL_FUND="N","",IFERROR(BDP($C124,BESTEPS_FIELD,FWD_OVERRIDE,TEXT(MOD(YEAR_Y,100),"00")&amp;"Y"),"")))</f>
        <v/>
      </c>
      <c r="AE124" s="77">
        <f>IF($C124="","",IF(PULL_FUND="N","",IFERROR(BDP($C124,PAYOUT_FIELD,YR_OVERRIDE,TEXT(YEAR_Y-5,"0"))/100,"")))</f>
        <v/>
      </c>
      <c r="AF124" s="78">
        <f>IF($C124="","",IF(PULL_FUND="N","",IFERROR(BDP($C124,PAYOUT_FIELD,YR_OVERRIDE,TEXT(YEAR_Y-4,"0"))/100,"")))</f>
        <v/>
      </c>
      <c r="AG124" s="78">
        <f>IF($C124="","",IF(PULL_FUND="N","",IFERROR(BDP($C124,PAYOUT_FIELD,YR_OVERRIDE,TEXT(YEAR_Y-3,"0"))/100,"")))</f>
        <v/>
      </c>
      <c r="AH124" s="78">
        <f>IF($C124="","",IF(PULL_FUND="N","",IFERROR(BDP($C124,PAYOUT_FIELD,YR_OVERRIDE,TEXT(YEAR_Y-2,"0"))/100,"")))</f>
        <v/>
      </c>
      <c r="AI124" s="78">
        <f>IF($C124="","",IF(PULL_FUND="N","",IFERROR(BDP($C124,PAYOUT_FIELD,YR_OVERRIDE,TEXT(YEAR_Y-1,"0"))/100,"")))</f>
        <v/>
      </c>
      <c r="AJ124" s="79">
        <f>IF($C124="","",IFERROR(AVERAGE(AE124:AI124),""))</f>
        <v/>
      </c>
      <c r="AK124" s="80">
        <f>IF($C124="","",IF(ISNUMBER($AD124)*ISNUMBER($N124)*($AD124&lt;&gt;0)=0,"",$N124/$AD124))</f>
        <v/>
      </c>
      <c r="AL124" s="79">
        <f>IF($C124="","",IF(ISNUMBER($AD124)*($AD124&lt;&gt;0)=0,"",$M124/$AD124))</f>
        <v/>
      </c>
      <c r="AM124" s="37">
        <f>IF($C124="","",IF(ISNUMBER($AE124)*ISNUMBER($AI124)=0,"",IF($AI124&gt;$AE124+0.05,"rising",IF($AI124&lt;$AE124-0.05,"falling","stable"))))</f>
        <v/>
      </c>
      <c r="AN124" s="81">
        <f>IF($C124="","",IF(PULL_FUND="N","",IF(COUNTIFS('Fund History'!$G$684:$G$688,"&gt;="&amp;DATE(YEAR_Y-4,1,1),'Fund History'!$G$684:$G$688,"&lt;="&amp;DATE(YEAR_Y-4,12,31))=0,"",SUMIFS('Fund History'!$H$684:$H$688,'Fund History'!$G$684:$G$688,"&gt;="&amp;DATE(YEAR_Y-4,1,1),'Fund History'!$G$684:$G$688,"&lt;="&amp;DATE(YEAR_Y-4,12,31))/100)))</f>
        <v/>
      </c>
      <c r="AO124" s="82">
        <f>IF($C124="","",IF(PULL_FUND="N","",IF(COUNTIFS('Fund History'!$G$684:$G$688,"&gt;="&amp;DATE(YEAR_Y-3,1,1),'Fund History'!$G$684:$G$688,"&lt;="&amp;DATE(YEAR_Y-3,12,31))=0,"",SUMIFS('Fund History'!$H$684:$H$688,'Fund History'!$G$684:$G$688,"&gt;="&amp;DATE(YEAR_Y-3,1,1),'Fund History'!$G$684:$G$688,"&lt;="&amp;DATE(YEAR_Y-3,12,31))/100)))</f>
        <v/>
      </c>
      <c r="AP124" s="82">
        <f>IF($C124="","",IF(PULL_FUND="N","",IF(COUNTIFS('Fund History'!$G$684:$G$688,"&gt;="&amp;DATE(YEAR_Y-2,1,1),'Fund History'!$G$684:$G$688,"&lt;="&amp;DATE(YEAR_Y-2,12,31))=0,"",SUMIFS('Fund History'!$H$684:$H$688,'Fund History'!$G$684:$G$688,"&gt;="&amp;DATE(YEAR_Y-2,1,1),'Fund History'!$G$684:$G$688,"&lt;="&amp;DATE(YEAR_Y-2,12,31))/100)))</f>
        <v/>
      </c>
      <c r="AQ124" s="82">
        <f>IF($C124="","",IF(PULL_FUND="N","",IF(COUNTIFS('Fund History'!$G$684:$G$688,"&gt;="&amp;DATE(YEAR_Y-1,1,1),'Fund History'!$G$684:$G$688,"&lt;="&amp;DATE(YEAR_Y-1,12,31))=0,"",SUMIFS('Fund History'!$H$684:$H$688,'Fund History'!$G$684:$G$688,"&gt;="&amp;DATE(YEAR_Y-1,1,1),'Fund History'!$G$684:$G$688,"&lt;="&amp;DATE(YEAR_Y-1,12,31))/100)))</f>
        <v/>
      </c>
      <c r="AR124" s="83">
        <f>IF($C124="","",IF(N($AQ124)+N(HSTECH!$I$19)=0,"",N($AQ124)+N(HSTECH!$I$19)/100))</f>
        <v/>
      </c>
      <c r="AS124" s="75">
        <f>IF($C124="","",IF(PULL_FUND="N","",IF(COUNTIFS('Fund History'!$D$684:$D$688,"&gt;="&amp;DATE(YEAR_Y-2,1,1),'Fund History'!$D$684:$D$688,"&lt;="&amp;DATE(YEAR_Y-2,12,31))=0,"",SUMIFS('Fund History'!$E$684:$E$688,'Fund History'!$D$684:$D$688,"&gt;="&amp;DATE(YEAR_Y-2,1,1),'Fund History'!$D$684:$D$688,"&lt;="&amp;DATE(YEAR_Y-2,12,31)))))</f>
        <v/>
      </c>
      <c r="AT124" s="76">
        <f>IF($C124="","",IF(PULL_FUND="N","",IF(COUNTIFS('Fund History'!$D$684:$D$688,"&gt;="&amp;DATE(YEAR_Y-1,1,1),'Fund History'!$D$684:$D$688,"&lt;="&amp;DATE(YEAR_Y-1,12,31))=0,"",SUMIFS('Fund History'!$E$684:$E$688,'Fund History'!$D$684:$D$688,"&gt;="&amp;DATE(YEAR_Y-1,1,1),'Fund History'!$D$684:$D$688,"&lt;="&amp;DATE(YEAR_Y-1,12,31)))))</f>
        <v/>
      </c>
      <c r="AU124" s="76">
        <f>IF($C124="","",IF(PULL_FUND="N","",IFERROR(BDP($C124,NDEBITDA_FIELD),"")))</f>
        <v/>
      </c>
      <c r="AV124" s="84">
        <f>IF($C124="","",IF(PULL_FUND="N","",IFERROR(BDP($C124,EBINT_FIELD),"")))</f>
        <v/>
      </c>
      <c r="AW124" s="82">
        <f>IF($C124="","",IF(PULL_FUND="N","",IFERROR(BDP($C124,FCF_FIELD)/100,"")))</f>
        <v/>
      </c>
      <c r="AX124" s="50">
        <f>IF($C124="","",IF(N($U124)=0,"",IFERROR($AW124/$U124,"")))</f>
        <v/>
      </c>
      <c r="AY124" s="85">
        <f>IF($C124="","",TRIM(IF(ISNUMBER($AJ124)*(N($AJ124)&gt;$D$4)&gt;0,"payout high  ","")&amp;IF(ISNUMBER($AX124)*(N($AX124)&lt;$F$4)&gt;0,"FCF below dvd  ","")&amp;IF(ISNUMBER($AU124)*(N($AU124)&gt;$H$4)&gt;0,"leverage high","")))</f>
        <v/>
      </c>
      <c r="AZ124" s="86">
        <f>IF($C124="","",IF(HSTECH!$F$19="HKD","",HSTECH!$F$19))</f>
        <v/>
      </c>
    </row>
    <row r="125">
      <c r="B125" s="66" t="inlineStr">
        <is>
          <t>HSTECH</t>
        </is>
      </c>
      <c r="C125" s="8">
        <f>IF(HSTECH!$C$20="","",HSTECH!$C$20)</f>
        <v/>
      </c>
      <c r="D125" s="8">
        <f>IF($C125="","",HSTECH!$D$20)</f>
        <v/>
      </c>
      <c r="E125" s="8">
        <f>IF($C125="","",HSTECH!$E$20)</f>
        <v/>
      </c>
      <c r="F125" s="67">
        <f>IF($C125="","",SUMPRODUCT(('Dvd Calendar'!$E$1259:$AR$1259&gt;=DATE(YEAR_Y-5,1,1))*('Dvd Calendar'!$E$1259:$AR$1259&lt;=DATE(YEAR_Y-5,12,31))*'Dvd Calendar'!$E$1262:$AR$1262*(('Dvd Calendar'!$E$1264:$AR$1264=TYPE1)*(TYPE1&lt;&gt;"")+('Dvd Calendar'!$E$1264:$AR$1264=TYPE2)*(TYPE2&lt;&gt;"")+('Dvd Calendar'!$E$1264:$AR$1264=TYPE3)*(TYPE3&lt;&gt;"")+('Dvd Calendar'!$E$1264:$AR$1264=TYPE4)*(TYPE4&lt;&gt;"")+('Dvd Calendar'!$E$1264:$AR$1264=SPECIAL_LBL)*(INC_SPECIALS="Y"))))</f>
        <v/>
      </c>
      <c r="G125" s="68">
        <f>IF($C125="","",SUMPRODUCT(('Dvd Calendar'!$E$1259:$AR$1259&gt;=DATE(YEAR_Y-4,1,1))*('Dvd Calendar'!$E$1259:$AR$1259&lt;=DATE(YEAR_Y-4,12,31))*'Dvd Calendar'!$E$1262:$AR$1262*(('Dvd Calendar'!$E$1264:$AR$1264=TYPE1)*(TYPE1&lt;&gt;"")+('Dvd Calendar'!$E$1264:$AR$1264=TYPE2)*(TYPE2&lt;&gt;"")+('Dvd Calendar'!$E$1264:$AR$1264=TYPE3)*(TYPE3&lt;&gt;"")+('Dvd Calendar'!$E$1264:$AR$1264=TYPE4)*(TYPE4&lt;&gt;"")+('Dvd Calendar'!$E$1264:$AR$1264=SPECIAL_LBL)*(INC_SPECIALS="Y"))))</f>
        <v/>
      </c>
      <c r="H125" s="68">
        <f>IF($C125="","",SUMPRODUCT(('Dvd Calendar'!$E$1259:$AR$1259&gt;=DATE(YEAR_Y-3,1,1))*('Dvd Calendar'!$E$1259:$AR$1259&lt;=DATE(YEAR_Y-3,12,31))*'Dvd Calendar'!$E$1262:$AR$1262*(('Dvd Calendar'!$E$1264:$AR$1264=TYPE1)*(TYPE1&lt;&gt;"")+('Dvd Calendar'!$E$1264:$AR$1264=TYPE2)*(TYPE2&lt;&gt;"")+('Dvd Calendar'!$E$1264:$AR$1264=TYPE3)*(TYPE3&lt;&gt;"")+('Dvd Calendar'!$E$1264:$AR$1264=TYPE4)*(TYPE4&lt;&gt;"")+('Dvd Calendar'!$E$1264:$AR$1264=SPECIAL_LBL)*(INC_SPECIALS="Y"))))</f>
        <v/>
      </c>
      <c r="I125" s="68">
        <f>IF($C125="","",SUMPRODUCT(('Dvd Calendar'!$E$1259:$AR$1259&gt;=DATE(YEAR_Y-2,1,1))*('Dvd Calendar'!$E$1259:$AR$1259&lt;=DATE(YEAR_Y-2,12,31))*'Dvd Calendar'!$E$1262:$AR$1262*(('Dvd Calendar'!$E$1264:$AR$1264=TYPE1)*(TYPE1&lt;&gt;"")+('Dvd Calendar'!$E$1264:$AR$1264=TYPE2)*(TYPE2&lt;&gt;"")+('Dvd Calendar'!$E$1264:$AR$1264=TYPE3)*(TYPE3&lt;&gt;"")+('Dvd Calendar'!$E$1264:$AR$1264=TYPE4)*(TYPE4&lt;&gt;"")+('Dvd Calendar'!$E$1264:$AR$1264=SPECIAL_LBL)*(INC_SPECIALS="Y"))))</f>
        <v/>
      </c>
      <c r="J125" s="68">
        <f>IF($C125="","",SUMPRODUCT(('Dvd Calendar'!$E$1259:$AR$1259&gt;=DATE(YEAR_Y-1,1,1))*('Dvd Calendar'!$E$1259:$AR$1259&lt;=DATE(YEAR_Y-1,12,31))*'Dvd Calendar'!$E$1262:$AR$1262*(('Dvd Calendar'!$E$1264:$AR$1264=TYPE1)*(TYPE1&lt;&gt;"")+('Dvd Calendar'!$E$1264:$AR$1264=TYPE2)*(TYPE2&lt;&gt;"")+('Dvd Calendar'!$E$1264:$AR$1264=TYPE3)*(TYPE3&lt;&gt;"")+('Dvd Calendar'!$E$1264:$AR$1264=TYPE4)*(TYPE4&lt;&gt;"")+('Dvd Calendar'!$E$1264:$AR$1264=SPECIAL_LBL)*(INC_SPECIALS="Y"))))</f>
        <v/>
      </c>
      <c r="K125" s="69">
        <f>IF($C125="","",HSTECH!$J$20)</f>
        <v/>
      </c>
      <c r="L125" s="69">
        <f>IF($C125="","",HSTECH!$K$20)</f>
        <v/>
      </c>
      <c r="M125" s="44">
        <f>IF($C125="","",HSTECH!$J$20+HSTECH!$L$20)</f>
        <v/>
      </c>
      <c r="N125" s="70">
        <f>IF($C125="","",IF(PULL_FUND="N","",IFERROR(BDP($C125,BESTDPS_FIELD,FWD_OVERRIDE,TEXT(MOD(YEAR_Y,100),"00")&amp;"Y"),"")))</f>
        <v/>
      </c>
      <c r="O125" s="69">
        <f>IF($C125="","",AVERAGE(F125:J125))</f>
        <v/>
      </c>
      <c r="P125" s="71">
        <f>IF($C125="","",IF(PULL_FUND="N","",IF(COUNTIFS('Fund History'!$J$690:$J$694,"&gt;="&amp;DATE(YEAR_Y-5,1,1),'Fund History'!$J$690:$J$694,"&lt;="&amp;DATE(YEAR_Y-5,12,31))=0,"",IFERROR($F125*HSTECH!$G$20/SUMIFS('Fund History'!$K$690:$K$694,'Fund History'!$J$690:$J$694,"&gt;="&amp;DATE(YEAR_Y-5,1,1),'Fund History'!$J$690:$J$694,"&lt;="&amp;DATE(YEAR_Y-5,12,31)),""))))</f>
        <v/>
      </c>
      <c r="Q125" s="72">
        <f>IF($C125="","",IF(PULL_FUND="N","",IF(COUNTIFS('Fund History'!$J$690:$J$694,"&gt;="&amp;DATE(YEAR_Y-4,1,1),'Fund History'!$J$690:$J$694,"&lt;="&amp;DATE(YEAR_Y-4,12,31))=0,"",IFERROR($G125*HSTECH!$G$20/SUMIFS('Fund History'!$K$690:$K$694,'Fund History'!$J$690:$J$694,"&gt;="&amp;DATE(YEAR_Y-4,1,1),'Fund History'!$J$690:$J$694,"&lt;="&amp;DATE(YEAR_Y-4,12,31)),""))))</f>
        <v/>
      </c>
      <c r="R125" s="72">
        <f>IF($C125="","",IF(PULL_FUND="N","",IF(COUNTIFS('Fund History'!$J$690:$J$694,"&gt;="&amp;DATE(YEAR_Y-3,1,1),'Fund History'!$J$690:$J$694,"&lt;="&amp;DATE(YEAR_Y-3,12,31))=0,"",IFERROR($H125*HSTECH!$G$20/SUMIFS('Fund History'!$K$690:$K$694,'Fund History'!$J$690:$J$694,"&gt;="&amp;DATE(YEAR_Y-3,1,1),'Fund History'!$J$690:$J$694,"&lt;="&amp;DATE(YEAR_Y-3,12,31)),""))))</f>
        <v/>
      </c>
      <c r="S125" s="72">
        <f>IF($C125="","",IF(PULL_FUND="N","",IF(COUNTIFS('Fund History'!$J$690:$J$694,"&gt;="&amp;DATE(YEAR_Y-2,1,1),'Fund History'!$J$690:$J$694,"&lt;="&amp;DATE(YEAR_Y-2,12,31))=0,"",IFERROR($I125*HSTECH!$G$20/SUMIFS('Fund History'!$K$690:$K$694,'Fund History'!$J$690:$J$694,"&gt;="&amp;DATE(YEAR_Y-2,1,1),'Fund History'!$J$690:$J$694,"&lt;="&amp;DATE(YEAR_Y-2,12,31)),""))))</f>
        <v/>
      </c>
      <c r="T125" s="72">
        <f>IF($C125="","",IF(PULL_FUND="N","",IF(COUNTIFS('Fund History'!$J$690:$J$694,"&gt;="&amp;DATE(YEAR_Y-1,1,1),'Fund History'!$J$690:$J$694,"&lt;="&amp;DATE(YEAR_Y-1,12,31))=0,"",IFERROR($J125*HSTECH!$G$20/SUMIFS('Fund History'!$K$690:$K$694,'Fund History'!$J$690:$J$694,"&gt;="&amp;DATE(YEAR_Y-1,1,1),'Fund History'!$J$690:$J$694,"&lt;="&amp;DATE(YEAR_Y-1,12,31)),""))))</f>
        <v/>
      </c>
      <c r="U125" s="73">
        <f>IF($C125="","",IF(ISNUMBER(HSTECH!$I$20),HSTECH!$I$20/100,""))</f>
        <v/>
      </c>
      <c r="V125" s="74">
        <f>IF($C125="","",IF(ISNUMBER(HSTECH!$X$20),IFERROR($M125*HSTECH!$G$20/HSTECH!$X$20,""),""))</f>
        <v/>
      </c>
      <c r="W125" s="73">
        <f>IF($C125="","",IF(ISNUMBER($N125),IFERROR($N125*HSTECH!$G$20/HSTECH!$X$20,""),""))</f>
        <v/>
      </c>
      <c r="X125" s="75">
        <f>IF($C125="","",IF(PULL_FUND="N","",IFERROR(BDP($C125,EPS_FIELD,YR_OVERRIDE,TEXT(YEAR_Y-5,"0")),"")))</f>
        <v/>
      </c>
      <c r="Y125" s="76">
        <f>IF($C125="","",IF(PULL_FUND="N","",IFERROR(BDP($C125,EPS_FIELD,YR_OVERRIDE,TEXT(YEAR_Y-4,"0")),"")))</f>
        <v/>
      </c>
      <c r="Z125" s="76">
        <f>IF($C125="","",IF(PULL_FUND="N","",IFERROR(BDP($C125,EPS_FIELD,YR_OVERRIDE,TEXT(YEAR_Y-3,"0")),"")))</f>
        <v/>
      </c>
      <c r="AA125" s="76">
        <f>IF($C125="","",IF(PULL_FUND="N","",IFERROR(BDP($C125,EPS_FIELD,YR_OVERRIDE,TEXT(YEAR_Y-2,"0")),"")))</f>
        <v/>
      </c>
      <c r="AB125" s="76">
        <f>IF($C125="","",IF(PULL_FUND="N","",IFERROR(BDP($C125,EPS_FIELD,YR_OVERRIDE,TEXT(YEAR_Y-1,"0")),"")))</f>
        <v/>
      </c>
      <c r="AC125" s="50">
        <f>IF($C125="","",IFERROR(AVERAGE(X125:AB125),""))</f>
        <v/>
      </c>
      <c r="AD125" s="76">
        <f>IF($C125="","",IF(PULL_FUND="N","",IFERROR(BDP($C125,BESTEPS_FIELD,FWD_OVERRIDE,TEXT(MOD(YEAR_Y,100),"00")&amp;"Y"),"")))</f>
        <v/>
      </c>
      <c r="AE125" s="77">
        <f>IF($C125="","",IF(PULL_FUND="N","",IFERROR(BDP($C125,PAYOUT_FIELD,YR_OVERRIDE,TEXT(YEAR_Y-5,"0"))/100,"")))</f>
        <v/>
      </c>
      <c r="AF125" s="78">
        <f>IF($C125="","",IF(PULL_FUND="N","",IFERROR(BDP($C125,PAYOUT_FIELD,YR_OVERRIDE,TEXT(YEAR_Y-4,"0"))/100,"")))</f>
        <v/>
      </c>
      <c r="AG125" s="78">
        <f>IF($C125="","",IF(PULL_FUND="N","",IFERROR(BDP($C125,PAYOUT_FIELD,YR_OVERRIDE,TEXT(YEAR_Y-3,"0"))/100,"")))</f>
        <v/>
      </c>
      <c r="AH125" s="78">
        <f>IF($C125="","",IF(PULL_FUND="N","",IFERROR(BDP($C125,PAYOUT_FIELD,YR_OVERRIDE,TEXT(YEAR_Y-2,"0"))/100,"")))</f>
        <v/>
      </c>
      <c r="AI125" s="78">
        <f>IF($C125="","",IF(PULL_FUND="N","",IFERROR(BDP($C125,PAYOUT_FIELD,YR_OVERRIDE,TEXT(YEAR_Y-1,"0"))/100,"")))</f>
        <v/>
      </c>
      <c r="AJ125" s="79">
        <f>IF($C125="","",IFERROR(AVERAGE(AE125:AI125),""))</f>
        <v/>
      </c>
      <c r="AK125" s="80">
        <f>IF($C125="","",IF(ISNUMBER($AD125)*ISNUMBER($N125)*($AD125&lt;&gt;0)=0,"",$N125/$AD125))</f>
        <v/>
      </c>
      <c r="AL125" s="79">
        <f>IF($C125="","",IF(ISNUMBER($AD125)*($AD125&lt;&gt;0)=0,"",$M125/$AD125))</f>
        <v/>
      </c>
      <c r="AM125" s="37">
        <f>IF($C125="","",IF(ISNUMBER($AE125)*ISNUMBER($AI125)=0,"",IF($AI125&gt;$AE125+0.05,"rising",IF($AI125&lt;$AE125-0.05,"falling","stable"))))</f>
        <v/>
      </c>
      <c r="AN125" s="81">
        <f>IF($C125="","",IF(PULL_FUND="N","",IF(COUNTIFS('Fund History'!$G$690:$G$694,"&gt;="&amp;DATE(YEAR_Y-4,1,1),'Fund History'!$G$690:$G$694,"&lt;="&amp;DATE(YEAR_Y-4,12,31))=0,"",SUMIFS('Fund History'!$H$690:$H$694,'Fund History'!$G$690:$G$694,"&gt;="&amp;DATE(YEAR_Y-4,1,1),'Fund History'!$G$690:$G$694,"&lt;="&amp;DATE(YEAR_Y-4,12,31))/100)))</f>
        <v/>
      </c>
      <c r="AO125" s="82">
        <f>IF($C125="","",IF(PULL_FUND="N","",IF(COUNTIFS('Fund History'!$G$690:$G$694,"&gt;="&amp;DATE(YEAR_Y-3,1,1),'Fund History'!$G$690:$G$694,"&lt;="&amp;DATE(YEAR_Y-3,12,31))=0,"",SUMIFS('Fund History'!$H$690:$H$694,'Fund History'!$G$690:$G$694,"&gt;="&amp;DATE(YEAR_Y-3,1,1),'Fund History'!$G$690:$G$694,"&lt;="&amp;DATE(YEAR_Y-3,12,31))/100)))</f>
        <v/>
      </c>
      <c r="AP125" s="82">
        <f>IF($C125="","",IF(PULL_FUND="N","",IF(COUNTIFS('Fund History'!$G$690:$G$694,"&gt;="&amp;DATE(YEAR_Y-2,1,1),'Fund History'!$G$690:$G$694,"&lt;="&amp;DATE(YEAR_Y-2,12,31))=0,"",SUMIFS('Fund History'!$H$690:$H$694,'Fund History'!$G$690:$G$694,"&gt;="&amp;DATE(YEAR_Y-2,1,1),'Fund History'!$G$690:$G$694,"&lt;="&amp;DATE(YEAR_Y-2,12,31))/100)))</f>
        <v/>
      </c>
      <c r="AQ125" s="82">
        <f>IF($C125="","",IF(PULL_FUND="N","",IF(COUNTIFS('Fund History'!$G$690:$G$694,"&gt;="&amp;DATE(YEAR_Y-1,1,1),'Fund History'!$G$690:$G$694,"&lt;="&amp;DATE(YEAR_Y-1,12,31))=0,"",SUMIFS('Fund History'!$H$690:$H$694,'Fund History'!$G$690:$G$694,"&gt;="&amp;DATE(YEAR_Y-1,1,1),'Fund History'!$G$690:$G$694,"&lt;="&amp;DATE(YEAR_Y-1,12,31))/100)))</f>
        <v/>
      </c>
      <c r="AR125" s="83">
        <f>IF($C125="","",IF(N($AQ125)+N(HSTECH!$I$20)=0,"",N($AQ125)+N(HSTECH!$I$20)/100))</f>
        <v/>
      </c>
      <c r="AS125" s="75">
        <f>IF($C125="","",IF(PULL_FUND="N","",IF(COUNTIFS('Fund History'!$D$690:$D$694,"&gt;="&amp;DATE(YEAR_Y-2,1,1),'Fund History'!$D$690:$D$694,"&lt;="&amp;DATE(YEAR_Y-2,12,31))=0,"",SUMIFS('Fund History'!$E$690:$E$694,'Fund History'!$D$690:$D$694,"&gt;="&amp;DATE(YEAR_Y-2,1,1),'Fund History'!$D$690:$D$694,"&lt;="&amp;DATE(YEAR_Y-2,12,31)))))</f>
        <v/>
      </c>
      <c r="AT125" s="76">
        <f>IF($C125="","",IF(PULL_FUND="N","",IF(COUNTIFS('Fund History'!$D$690:$D$694,"&gt;="&amp;DATE(YEAR_Y-1,1,1),'Fund History'!$D$690:$D$694,"&lt;="&amp;DATE(YEAR_Y-1,12,31))=0,"",SUMIFS('Fund History'!$E$690:$E$694,'Fund History'!$D$690:$D$694,"&gt;="&amp;DATE(YEAR_Y-1,1,1),'Fund History'!$D$690:$D$694,"&lt;="&amp;DATE(YEAR_Y-1,12,31)))))</f>
        <v/>
      </c>
      <c r="AU125" s="76">
        <f>IF($C125="","",IF(PULL_FUND="N","",IFERROR(BDP($C125,NDEBITDA_FIELD),"")))</f>
        <v/>
      </c>
      <c r="AV125" s="84">
        <f>IF($C125="","",IF(PULL_FUND="N","",IFERROR(BDP($C125,EBINT_FIELD),"")))</f>
        <v/>
      </c>
      <c r="AW125" s="82">
        <f>IF($C125="","",IF(PULL_FUND="N","",IFERROR(BDP($C125,FCF_FIELD)/100,"")))</f>
        <v/>
      </c>
      <c r="AX125" s="50">
        <f>IF($C125="","",IF(N($U125)=0,"",IFERROR($AW125/$U125,"")))</f>
        <v/>
      </c>
      <c r="AY125" s="85">
        <f>IF($C125="","",TRIM(IF(ISNUMBER($AJ125)*(N($AJ125)&gt;$D$4)&gt;0,"payout high  ","")&amp;IF(ISNUMBER($AX125)*(N($AX125)&lt;$F$4)&gt;0,"FCF below dvd  ","")&amp;IF(ISNUMBER($AU125)*(N($AU125)&gt;$H$4)&gt;0,"leverage high","")))</f>
        <v/>
      </c>
      <c r="AZ125" s="86">
        <f>IF($C125="","",IF(HSTECH!$F$20="HKD","",HSTECH!$F$20))</f>
        <v/>
      </c>
    </row>
    <row r="126">
      <c r="B126" s="66" t="inlineStr">
        <is>
          <t>HSTECH</t>
        </is>
      </c>
      <c r="C126" s="8">
        <f>IF(HSTECH!$C$21="","",HSTECH!$C$21)</f>
        <v/>
      </c>
      <c r="D126" s="8">
        <f>IF($C126="","",HSTECH!$D$21)</f>
        <v/>
      </c>
      <c r="E126" s="8">
        <f>IF($C126="","",HSTECH!$E$21)</f>
        <v/>
      </c>
      <c r="F126" s="67">
        <f>IF($C126="","",SUMPRODUCT(('Dvd Calendar'!$E$1270:$AR$1270&gt;=DATE(YEAR_Y-5,1,1))*('Dvd Calendar'!$E$1270:$AR$1270&lt;=DATE(YEAR_Y-5,12,31))*'Dvd Calendar'!$E$1273:$AR$1273*(('Dvd Calendar'!$E$1275:$AR$1275=TYPE1)*(TYPE1&lt;&gt;"")+('Dvd Calendar'!$E$1275:$AR$1275=TYPE2)*(TYPE2&lt;&gt;"")+('Dvd Calendar'!$E$1275:$AR$1275=TYPE3)*(TYPE3&lt;&gt;"")+('Dvd Calendar'!$E$1275:$AR$1275=TYPE4)*(TYPE4&lt;&gt;"")+('Dvd Calendar'!$E$1275:$AR$1275=SPECIAL_LBL)*(INC_SPECIALS="Y"))))</f>
        <v/>
      </c>
      <c r="G126" s="68">
        <f>IF($C126="","",SUMPRODUCT(('Dvd Calendar'!$E$1270:$AR$1270&gt;=DATE(YEAR_Y-4,1,1))*('Dvd Calendar'!$E$1270:$AR$1270&lt;=DATE(YEAR_Y-4,12,31))*'Dvd Calendar'!$E$1273:$AR$1273*(('Dvd Calendar'!$E$1275:$AR$1275=TYPE1)*(TYPE1&lt;&gt;"")+('Dvd Calendar'!$E$1275:$AR$1275=TYPE2)*(TYPE2&lt;&gt;"")+('Dvd Calendar'!$E$1275:$AR$1275=TYPE3)*(TYPE3&lt;&gt;"")+('Dvd Calendar'!$E$1275:$AR$1275=TYPE4)*(TYPE4&lt;&gt;"")+('Dvd Calendar'!$E$1275:$AR$1275=SPECIAL_LBL)*(INC_SPECIALS="Y"))))</f>
        <v/>
      </c>
      <c r="H126" s="68">
        <f>IF($C126="","",SUMPRODUCT(('Dvd Calendar'!$E$1270:$AR$1270&gt;=DATE(YEAR_Y-3,1,1))*('Dvd Calendar'!$E$1270:$AR$1270&lt;=DATE(YEAR_Y-3,12,31))*'Dvd Calendar'!$E$1273:$AR$1273*(('Dvd Calendar'!$E$1275:$AR$1275=TYPE1)*(TYPE1&lt;&gt;"")+('Dvd Calendar'!$E$1275:$AR$1275=TYPE2)*(TYPE2&lt;&gt;"")+('Dvd Calendar'!$E$1275:$AR$1275=TYPE3)*(TYPE3&lt;&gt;"")+('Dvd Calendar'!$E$1275:$AR$1275=TYPE4)*(TYPE4&lt;&gt;"")+('Dvd Calendar'!$E$1275:$AR$1275=SPECIAL_LBL)*(INC_SPECIALS="Y"))))</f>
        <v/>
      </c>
      <c r="I126" s="68">
        <f>IF($C126="","",SUMPRODUCT(('Dvd Calendar'!$E$1270:$AR$1270&gt;=DATE(YEAR_Y-2,1,1))*('Dvd Calendar'!$E$1270:$AR$1270&lt;=DATE(YEAR_Y-2,12,31))*'Dvd Calendar'!$E$1273:$AR$1273*(('Dvd Calendar'!$E$1275:$AR$1275=TYPE1)*(TYPE1&lt;&gt;"")+('Dvd Calendar'!$E$1275:$AR$1275=TYPE2)*(TYPE2&lt;&gt;"")+('Dvd Calendar'!$E$1275:$AR$1275=TYPE3)*(TYPE3&lt;&gt;"")+('Dvd Calendar'!$E$1275:$AR$1275=TYPE4)*(TYPE4&lt;&gt;"")+('Dvd Calendar'!$E$1275:$AR$1275=SPECIAL_LBL)*(INC_SPECIALS="Y"))))</f>
        <v/>
      </c>
      <c r="J126" s="68">
        <f>IF($C126="","",SUMPRODUCT(('Dvd Calendar'!$E$1270:$AR$1270&gt;=DATE(YEAR_Y-1,1,1))*('Dvd Calendar'!$E$1270:$AR$1270&lt;=DATE(YEAR_Y-1,12,31))*'Dvd Calendar'!$E$1273:$AR$1273*(('Dvd Calendar'!$E$1275:$AR$1275=TYPE1)*(TYPE1&lt;&gt;"")+('Dvd Calendar'!$E$1275:$AR$1275=TYPE2)*(TYPE2&lt;&gt;"")+('Dvd Calendar'!$E$1275:$AR$1275=TYPE3)*(TYPE3&lt;&gt;"")+('Dvd Calendar'!$E$1275:$AR$1275=TYPE4)*(TYPE4&lt;&gt;"")+('Dvd Calendar'!$E$1275:$AR$1275=SPECIAL_LBL)*(INC_SPECIALS="Y"))))</f>
        <v/>
      </c>
      <c r="K126" s="69">
        <f>IF($C126="","",HSTECH!$J$21)</f>
        <v/>
      </c>
      <c r="L126" s="69">
        <f>IF($C126="","",HSTECH!$K$21)</f>
        <v/>
      </c>
      <c r="M126" s="44">
        <f>IF($C126="","",HSTECH!$J$21+HSTECH!$L$21)</f>
        <v/>
      </c>
      <c r="N126" s="70">
        <f>IF($C126="","",IF(PULL_FUND="N","",IFERROR(BDP($C126,BESTDPS_FIELD,FWD_OVERRIDE,TEXT(MOD(YEAR_Y,100),"00")&amp;"Y"),"")))</f>
        <v/>
      </c>
      <c r="O126" s="69">
        <f>IF($C126="","",AVERAGE(F126:J126))</f>
        <v/>
      </c>
      <c r="P126" s="71">
        <f>IF($C126="","",IF(PULL_FUND="N","",IF(COUNTIFS('Fund History'!$J$696:$J$700,"&gt;="&amp;DATE(YEAR_Y-5,1,1),'Fund History'!$J$696:$J$700,"&lt;="&amp;DATE(YEAR_Y-5,12,31))=0,"",IFERROR($F126*HSTECH!$G$21/SUMIFS('Fund History'!$K$696:$K$700,'Fund History'!$J$696:$J$700,"&gt;="&amp;DATE(YEAR_Y-5,1,1),'Fund History'!$J$696:$J$700,"&lt;="&amp;DATE(YEAR_Y-5,12,31)),""))))</f>
        <v/>
      </c>
      <c r="Q126" s="72">
        <f>IF($C126="","",IF(PULL_FUND="N","",IF(COUNTIFS('Fund History'!$J$696:$J$700,"&gt;="&amp;DATE(YEAR_Y-4,1,1),'Fund History'!$J$696:$J$700,"&lt;="&amp;DATE(YEAR_Y-4,12,31))=0,"",IFERROR($G126*HSTECH!$G$21/SUMIFS('Fund History'!$K$696:$K$700,'Fund History'!$J$696:$J$700,"&gt;="&amp;DATE(YEAR_Y-4,1,1),'Fund History'!$J$696:$J$700,"&lt;="&amp;DATE(YEAR_Y-4,12,31)),""))))</f>
        <v/>
      </c>
      <c r="R126" s="72">
        <f>IF($C126="","",IF(PULL_FUND="N","",IF(COUNTIFS('Fund History'!$J$696:$J$700,"&gt;="&amp;DATE(YEAR_Y-3,1,1),'Fund History'!$J$696:$J$700,"&lt;="&amp;DATE(YEAR_Y-3,12,31))=0,"",IFERROR($H126*HSTECH!$G$21/SUMIFS('Fund History'!$K$696:$K$700,'Fund History'!$J$696:$J$700,"&gt;="&amp;DATE(YEAR_Y-3,1,1),'Fund History'!$J$696:$J$700,"&lt;="&amp;DATE(YEAR_Y-3,12,31)),""))))</f>
        <v/>
      </c>
      <c r="S126" s="72">
        <f>IF($C126="","",IF(PULL_FUND="N","",IF(COUNTIFS('Fund History'!$J$696:$J$700,"&gt;="&amp;DATE(YEAR_Y-2,1,1),'Fund History'!$J$696:$J$700,"&lt;="&amp;DATE(YEAR_Y-2,12,31))=0,"",IFERROR($I126*HSTECH!$G$21/SUMIFS('Fund History'!$K$696:$K$700,'Fund History'!$J$696:$J$700,"&gt;="&amp;DATE(YEAR_Y-2,1,1),'Fund History'!$J$696:$J$700,"&lt;="&amp;DATE(YEAR_Y-2,12,31)),""))))</f>
        <v/>
      </c>
      <c r="T126" s="72">
        <f>IF($C126="","",IF(PULL_FUND="N","",IF(COUNTIFS('Fund History'!$J$696:$J$700,"&gt;="&amp;DATE(YEAR_Y-1,1,1),'Fund History'!$J$696:$J$700,"&lt;="&amp;DATE(YEAR_Y-1,12,31))=0,"",IFERROR($J126*HSTECH!$G$21/SUMIFS('Fund History'!$K$696:$K$700,'Fund History'!$J$696:$J$700,"&gt;="&amp;DATE(YEAR_Y-1,1,1),'Fund History'!$J$696:$J$700,"&lt;="&amp;DATE(YEAR_Y-1,12,31)),""))))</f>
        <v/>
      </c>
      <c r="U126" s="73">
        <f>IF($C126="","",IF(ISNUMBER(HSTECH!$I$21),HSTECH!$I$21/100,""))</f>
        <v/>
      </c>
      <c r="V126" s="74">
        <f>IF($C126="","",IF(ISNUMBER(HSTECH!$X$21),IFERROR($M126*HSTECH!$G$21/HSTECH!$X$21,""),""))</f>
        <v/>
      </c>
      <c r="W126" s="73">
        <f>IF($C126="","",IF(ISNUMBER($N126),IFERROR($N126*HSTECH!$G$21/HSTECH!$X$21,""),""))</f>
        <v/>
      </c>
      <c r="X126" s="75">
        <f>IF($C126="","",IF(PULL_FUND="N","",IFERROR(BDP($C126,EPS_FIELD,YR_OVERRIDE,TEXT(YEAR_Y-5,"0")),"")))</f>
        <v/>
      </c>
      <c r="Y126" s="76">
        <f>IF($C126="","",IF(PULL_FUND="N","",IFERROR(BDP($C126,EPS_FIELD,YR_OVERRIDE,TEXT(YEAR_Y-4,"0")),"")))</f>
        <v/>
      </c>
      <c r="Z126" s="76">
        <f>IF($C126="","",IF(PULL_FUND="N","",IFERROR(BDP($C126,EPS_FIELD,YR_OVERRIDE,TEXT(YEAR_Y-3,"0")),"")))</f>
        <v/>
      </c>
      <c r="AA126" s="76">
        <f>IF($C126="","",IF(PULL_FUND="N","",IFERROR(BDP($C126,EPS_FIELD,YR_OVERRIDE,TEXT(YEAR_Y-2,"0")),"")))</f>
        <v/>
      </c>
      <c r="AB126" s="76">
        <f>IF($C126="","",IF(PULL_FUND="N","",IFERROR(BDP($C126,EPS_FIELD,YR_OVERRIDE,TEXT(YEAR_Y-1,"0")),"")))</f>
        <v/>
      </c>
      <c r="AC126" s="50">
        <f>IF($C126="","",IFERROR(AVERAGE(X126:AB126),""))</f>
        <v/>
      </c>
      <c r="AD126" s="76">
        <f>IF($C126="","",IF(PULL_FUND="N","",IFERROR(BDP($C126,BESTEPS_FIELD,FWD_OVERRIDE,TEXT(MOD(YEAR_Y,100),"00")&amp;"Y"),"")))</f>
        <v/>
      </c>
      <c r="AE126" s="77">
        <f>IF($C126="","",IF(PULL_FUND="N","",IFERROR(BDP($C126,PAYOUT_FIELD,YR_OVERRIDE,TEXT(YEAR_Y-5,"0"))/100,"")))</f>
        <v/>
      </c>
      <c r="AF126" s="78">
        <f>IF($C126="","",IF(PULL_FUND="N","",IFERROR(BDP($C126,PAYOUT_FIELD,YR_OVERRIDE,TEXT(YEAR_Y-4,"0"))/100,"")))</f>
        <v/>
      </c>
      <c r="AG126" s="78">
        <f>IF($C126="","",IF(PULL_FUND="N","",IFERROR(BDP($C126,PAYOUT_FIELD,YR_OVERRIDE,TEXT(YEAR_Y-3,"0"))/100,"")))</f>
        <v/>
      </c>
      <c r="AH126" s="78">
        <f>IF($C126="","",IF(PULL_FUND="N","",IFERROR(BDP($C126,PAYOUT_FIELD,YR_OVERRIDE,TEXT(YEAR_Y-2,"0"))/100,"")))</f>
        <v/>
      </c>
      <c r="AI126" s="78">
        <f>IF($C126="","",IF(PULL_FUND="N","",IFERROR(BDP($C126,PAYOUT_FIELD,YR_OVERRIDE,TEXT(YEAR_Y-1,"0"))/100,"")))</f>
        <v/>
      </c>
      <c r="AJ126" s="79">
        <f>IF($C126="","",IFERROR(AVERAGE(AE126:AI126),""))</f>
        <v/>
      </c>
      <c r="AK126" s="80">
        <f>IF($C126="","",IF(ISNUMBER($AD126)*ISNUMBER($N126)*($AD126&lt;&gt;0)=0,"",$N126/$AD126))</f>
        <v/>
      </c>
      <c r="AL126" s="79">
        <f>IF($C126="","",IF(ISNUMBER($AD126)*($AD126&lt;&gt;0)=0,"",$M126/$AD126))</f>
        <v/>
      </c>
      <c r="AM126" s="37">
        <f>IF($C126="","",IF(ISNUMBER($AE126)*ISNUMBER($AI126)=0,"",IF($AI126&gt;$AE126+0.05,"rising",IF($AI126&lt;$AE126-0.05,"falling","stable"))))</f>
        <v/>
      </c>
      <c r="AN126" s="81">
        <f>IF($C126="","",IF(PULL_FUND="N","",IF(COUNTIFS('Fund History'!$G$696:$G$700,"&gt;="&amp;DATE(YEAR_Y-4,1,1),'Fund History'!$G$696:$G$700,"&lt;="&amp;DATE(YEAR_Y-4,12,31))=0,"",SUMIFS('Fund History'!$H$696:$H$700,'Fund History'!$G$696:$G$700,"&gt;="&amp;DATE(YEAR_Y-4,1,1),'Fund History'!$G$696:$G$700,"&lt;="&amp;DATE(YEAR_Y-4,12,31))/100)))</f>
        <v/>
      </c>
      <c r="AO126" s="82">
        <f>IF($C126="","",IF(PULL_FUND="N","",IF(COUNTIFS('Fund History'!$G$696:$G$700,"&gt;="&amp;DATE(YEAR_Y-3,1,1),'Fund History'!$G$696:$G$700,"&lt;="&amp;DATE(YEAR_Y-3,12,31))=0,"",SUMIFS('Fund History'!$H$696:$H$700,'Fund History'!$G$696:$G$700,"&gt;="&amp;DATE(YEAR_Y-3,1,1),'Fund History'!$G$696:$G$700,"&lt;="&amp;DATE(YEAR_Y-3,12,31))/100)))</f>
        <v/>
      </c>
      <c r="AP126" s="82">
        <f>IF($C126="","",IF(PULL_FUND="N","",IF(COUNTIFS('Fund History'!$G$696:$G$700,"&gt;="&amp;DATE(YEAR_Y-2,1,1),'Fund History'!$G$696:$G$700,"&lt;="&amp;DATE(YEAR_Y-2,12,31))=0,"",SUMIFS('Fund History'!$H$696:$H$700,'Fund History'!$G$696:$G$700,"&gt;="&amp;DATE(YEAR_Y-2,1,1),'Fund History'!$G$696:$G$700,"&lt;="&amp;DATE(YEAR_Y-2,12,31))/100)))</f>
        <v/>
      </c>
      <c r="AQ126" s="82">
        <f>IF($C126="","",IF(PULL_FUND="N","",IF(COUNTIFS('Fund History'!$G$696:$G$700,"&gt;="&amp;DATE(YEAR_Y-1,1,1),'Fund History'!$G$696:$G$700,"&lt;="&amp;DATE(YEAR_Y-1,12,31))=0,"",SUMIFS('Fund History'!$H$696:$H$700,'Fund History'!$G$696:$G$700,"&gt;="&amp;DATE(YEAR_Y-1,1,1),'Fund History'!$G$696:$G$700,"&lt;="&amp;DATE(YEAR_Y-1,12,31))/100)))</f>
        <v/>
      </c>
      <c r="AR126" s="83">
        <f>IF($C126="","",IF(N($AQ126)+N(HSTECH!$I$21)=0,"",N($AQ126)+N(HSTECH!$I$21)/100))</f>
        <v/>
      </c>
      <c r="AS126" s="75">
        <f>IF($C126="","",IF(PULL_FUND="N","",IF(COUNTIFS('Fund History'!$D$696:$D$700,"&gt;="&amp;DATE(YEAR_Y-2,1,1),'Fund History'!$D$696:$D$700,"&lt;="&amp;DATE(YEAR_Y-2,12,31))=0,"",SUMIFS('Fund History'!$E$696:$E$700,'Fund History'!$D$696:$D$700,"&gt;="&amp;DATE(YEAR_Y-2,1,1),'Fund History'!$D$696:$D$700,"&lt;="&amp;DATE(YEAR_Y-2,12,31)))))</f>
        <v/>
      </c>
      <c r="AT126" s="76">
        <f>IF($C126="","",IF(PULL_FUND="N","",IF(COUNTIFS('Fund History'!$D$696:$D$700,"&gt;="&amp;DATE(YEAR_Y-1,1,1),'Fund History'!$D$696:$D$700,"&lt;="&amp;DATE(YEAR_Y-1,12,31))=0,"",SUMIFS('Fund History'!$E$696:$E$700,'Fund History'!$D$696:$D$700,"&gt;="&amp;DATE(YEAR_Y-1,1,1),'Fund History'!$D$696:$D$700,"&lt;="&amp;DATE(YEAR_Y-1,12,31)))))</f>
        <v/>
      </c>
      <c r="AU126" s="76">
        <f>IF($C126="","",IF(PULL_FUND="N","",IFERROR(BDP($C126,NDEBITDA_FIELD),"")))</f>
        <v/>
      </c>
      <c r="AV126" s="84">
        <f>IF($C126="","",IF(PULL_FUND="N","",IFERROR(BDP($C126,EBINT_FIELD),"")))</f>
        <v/>
      </c>
      <c r="AW126" s="82">
        <f>IF($C126="","",IF(PULL_FUND="N","",IFERROR(BDP($C126,FCF_FIELD)/100,"")))</f>
        <v/>
      </c>
      <c r="AX126" s="50">
        <f>IF($C126="","",IF(N($U126)=0,"",IFERROR($AW126/$U126,"")))</f>
        <v/>
      </c>
      <c r="AY126" s="85">
        <f>IF($C126="","",TRIM(IF(ISNUMBER($AJ126)*(N($AJ126)&gt;$D$4)&gt;0,"payout high  ","")&amp;IF(ISNUMBER($AX126)*(N($AX126)&lt;$F$4)&gt;0,"FCF below dvd  ","")&amp;IF(ISNUMBER($AU126)*(N($AU126)&gt;$H$4)&gt;0,"leverage high","")))</f>
        <v/>
      </c>
      <c r="AZ126" s="86">
        <f>IF($C126="","",IF(HSTECH!$F$21="HKD","",HSTECH!$F$21))</f>
        <v/>
      </c>
    </row>
    <row r="127">
      <c r="B127" s="66" t="inlineStr">
        <is>
          <t>HSTECH</t>
        </is>
      </c>
      <c r="C127" s="8">
        <f>IF(HSTECH!$C$22="","",HSTECH!$C$22)</f>
        <v/>
      </c>
      <c r="D127" s="8">
        <f>IF($C127="","",HSTECH!$D$22)</f>
        <v/>
      </c>
      <c r="E127" s="8">
        <f>IF($C127="","",HSTECH!$E$22)</f>
        <v/>
      </c>
      <c r="F127" s="67">
        <f>IF($C127="","",SUMPRODUCT(('Dvd Calendar'!$E$1281:$AR$1281&gt;=DATE(YEAR_Y-5,1,1))*('Dvd Calendar'!$E$1281:$AR$1281&lt;=DATE(YEAR_Y-5,12,31))*'Dvd Calendar'!$E$1284:$AR$1284*(('Dvd Calendar'!$E$1286:$AR$1286=TYPE1)*(TYPE1&lt;&gt;"")+('Dvd Calendar'!$E$1286:$AR$1286=TYPE2)*(TYPE2&lt;&gt;"")+('Dvd Calendar'!$E$1286:$AR$1286=TYPE3)*(TYPE3&lt;&gt;"")+('Dvd Calendar'!$E$1286:$AR$1286=TYPE4)*(TYPE4&lt;&gt;"")+('Dvd Calendar'!$E$1286:$AR$1286=SPECIAL_LBL)*(INC_SPECIALS="Y"))))</f>
        <v/>
      </c>
      <c r="G127" s="68">
        <f>IF($C127="","",SUMPRODUCT(('Dvd Calendar'!$E$1281:$AR$1281&gt;=DATE(YEAR_Y-4,1,1))*('Dvd Calendar'!$E$1281:$AR$1281&lt;=DATE(YEAR_Y-4,12,31))*'Dvd Calendar'!$E$1284:$AR$1284*(('Dvd Calendar'!$E$1286:$AR$1286=TYPE1)*(TYPE1&lt;&gt;"")+('Dvd Calendar'!$E$1286:$AR$1286=TYPE2)*(TYPE2&lt;&gt;"")+('Dvd Calendar'!$E$1286:$AR$1286=TYPE3)*(TYPE3&lt;&gt;"")+('Dvd Calendar'!$E$1286:$AR$1286=TYPE4)*(TYPE4&lt;&gt;"")+('Dvd Calendar'!$E$1286:$AR$1286=SPECIAL_LBL)*(INC_SPECIALS="Y"))))</f>
        <v/>
      </c>
      <c r="H127" s="68">
        <f>IF($C127="","",SUMPRODUCT(('Dvd Calendar'!$E$1281:$AR$1281&gt;=DATE(YEAR_Y-3,1,1))*('Dvd Calendar'!$E$1281:$AR$1281&lt;=DATE(YEAR_Y-3,12,31))*'Dvd Calendar'!$E$1284:$AR$1284*(('Dvd Calendar'!$E$1286:$AR$1286=TYPE1)*(TYPE1&lt;&gt;"")+('Dvd Calendar'!$E$1286:$AR$1286=TYPE2)*(TYPE2&lt;&gt;"")+('Dvd Calendar'!$E$1286:$AR$1286=TYPE3)*(TYPE3&lt;&gt;"")+('Dvd Calendar'!$E$1286:$AR$1286=TYPE4)*(TYPE4&lt;&gt;"")+('Dvd Calendar'!$E$1286:$AR$1286=SPECIAL_LBL)*(INC_SPECIALS="Y"))))</f>
        <v/>
      </c>
      <c r="I127" s="68">
        <f>IF($C127="","",SUMPRODUCT(('Dvd Calendar'!$E$1281:$AR$1281&gt;=DATE(YEAR_Y-2,1,1))*('Dvd Calendar'!$E$1281:$AR$1281&lt;=DATE(YEAR_Y-2,12,31))*'Dvd Calendar'!$E$1284:$AR$1284*(('Dvd Calendar'!$E$1286:$AR$1286=TYPE1)*(TYPE1&lt;&gt;"")+('Dvd Calendar'!$E$1286:$AR$1286=TYPE2)*(TYPE2&lt;&gt;"")+('Dvd Calendar'!$E$1286:$AR$1286=TYPE3)*(TYPE3&lt;&gt;"")+('Dvd Calendar'!$E$1286:$AR$1286=TYPE4)*(TYPE4&lt;&gt;"")+('Dvd Calendar'!$E$1286:$AR$1286=SPECIAL_LBL)*(INC_SPECIALS="Y"))))</f>
        <v/>
      </c>
      <c r="J127" s="68">
        <f>IF($C127="","",SUMPRODUCT(('Dvd Calendar'!$E$1281:$AR$1281&gt;=DATE(YEAR_Y-1,1,1))*('Dvd Calendar'!$E$1281:$AR$1281&lt;=DATE(YEAR_Y-1,12,31))*'Dvd Calendar'!$E$1284:$AR$1284*(('Dvd Calendar'!$E$1286:$AR$1286=TYPE1)*(TYPE1&lt;&gt;"")+('Dvd Calendar'!$E$1286:$AR$1286=TYPE2)*(TYPE2&lt;&gt;"")+('Dvd Calendar'!$E$1286:$AR$1286=TYPE3)*(TYPE3&lt;&gt;"")+('Dvd Calendar'!$E$1286:$AR$1286=TYPE4)*(TYPE4&lt;&gt;"")+('Dvd Calendar'!$E$1286:$AR$1286=SPECIAL_LBL)*(INC_SPECIALS="Y"))))</f>
        <v/>
      </c>
      <c r="K127" s="69">
        <f>IF($C127="","",HSTECH!$J$22)</f>
        <v/>
      </c>
      <c r="L127" s="69">
        <f>IF($C127="","",HSTECH!$K$22)</f>
        <v/>
      </c>
      <c r="M127" s="44">
        <f>IF($C127="","",HSTECH!$J$22+HSTECH!$L$22)</f>
        <v/>
      </c>
      <c r="N127" s="70">
        <f>IF($C127="","",IF(PULL_FUND="N","",IFERROR(BDP($C127,BESTDPS_FIELD,FWD_OVERRIDE,TEXT(MOD(YEAR_Y,100),"00")&amp;"Y"),"")))</f>
        <v/>
      </c>
      <c r="O127" s="69">
        <f>IF($C127="","",AVERAGE(F127:J127))</f>
        <v/>
      </c>
      <c r="P127" s="71">
        <f>IF($C127="","",IF(PULL_FUND="N","",IF(COUNTIFS('Fund History'!$J$702:$J$706,"&gt;="&amp;DATE(YEAR_Y-5,1,1),'Fund History'!$J$702:$J$706,"&lt;="&amp;DATE(YEAR_Y-5,12,31))=0,"",IFERROR($F127*HSTECH!$G$22/SUMIFS('Fund History'!$K$702:$K$706,'Fund History'!$J$702:$J$706,"&gt;="&amp;DATE(YEAR_Y-5,1,1),'Fund History'!$J$702:$J$706,"&lt;="&amp;DATE(YEAR_Y-5,12,31)),""))))</f>
        <v/>
      </c>
      <c r="Q127" s="72">
        <f>IF($C127="","",IF(PULL_FUND="N","",IF(COUNTIFS('Fund History'!$J$702:$J$706,"&gt;="&amp;DATE(YEAR_Y-4,1,1),'Fund History'!$J$702:$J$706,"&lt;="&amp;DATE(YEAR_Y-4,12,31))=0,"",IFERROR($G127*HSTECH!$G$22/SUMIFS('Fund History'!$K$702:$K$706,'Fund History'!$J$702:$J$706,"&gt;="&amp;DATE(YEAR_Y-4,1,1),'Fund History'!$J$702:$J$706,"&lt;="&amp;DATE(YEAR_Y-4,12,31)),""))))</f>
        <v/>
      </c>
      <c r="R127" s="72">
        <f>IF($C127="","",IF(PULL_FUND="N","",IF(COUNTIFS('Fund History'!$J$702:$J$706,"&gt;="&amp;DATE(YEAR_Y-3,1,1),'Fund History'!$J$702:$J$706,"&lt;="&amp;DATE(YEAR_Y-3,12,31))=0,"",IFERROR($H127*HSTECH!$G$22/SUMIFS('Fund History'!$K$702:$K$706,'Fund History'!$J$702:$J$706,"&gt;="&amp;DATE(YEAR_Y-3,1,1),'Fund History'!$J$702:$J$706,"&lt;="&amp;DATE(YEAR_Y-3,12,31)),""))))</f>
        <v/>
      </c>
      <c r="S127" s="72">
        <f>IF($C127="","",IF(PULL_FUND="N","",IF(COUNTIFS('Fund History'!$J$702:$J$706,"&gt;="&amp;DATE(YEAR_Y-2,1,1),'Fund History'!$J$702:$J$706,"&lt;="&amp;DATE(YEAR_Y-2,12,31))=0,"",IFERROR($I127*HSTECH!$G$22/SUMIFS('Fund History'!$K$702:$K$706,'Fund History'!$J$702:$J$706,"&gt;="&amp;DATE(YEAR_Y-2,1,1),'Fund History'!$J$702:$J$706,"&lt;="&amp;DATE(YEAR_Y-2,12,31)),""))))</f>
        <v/>
      </c>
      <c r="T127" s="72">
        <f>IF($C127="","",IF(PULL_FUND="N","",IF(COUNTIFS('Fund History'!$J$702:$J$706,"&gt;="&amp;DATE(YEAR_Y-1,1,1),'Fund History'!$J$702:$J$706,"&lt;="&amp;DATE(YEAR_Y-1,12,31))=0,"",IFERROR($J127*HSTECH!$G$22/SUMIFS('Fund History'!$K$702:$K$706,'Fund History'!$J$702:$J$706,"&gt;="&amp;DATE(YEAR_Y-1,1,1),'Fund History'!$J$702:$J$706,"&lt;="&amp;DATE(YEAR_Y-1,12,31)),""))))</f>
        <v/>
      </c>
      <c r="U127" s="73">
        <f>IF($C127="","",IF(ISNUMBER(HSTECH!$I$22),HSTECH!$I$22/100,""))</f>
        <v/>
      </c>
      <c r="V127" s="74">
        <f>IF($C127="","",IF(ISNUMBER(HSTECH!$X$22),IFERROR($M127*HSTECH!$G$22/HSTECH!$X$22,""),""))</f>
        <v/>
      </c>
      <c r="W127" s="73">
        <f>IF($C127="","",IF(ISNUMBER($N127),IFERROR($N127*HSTECH!$G$22/HSTECH!$X$22,""),""))</f>
        <v/>
      </c>
      <c r="X127" s="75">
        <f>IF($C127="","",IF(PULL_FUND="N","",IFERROR(BDP($C127,EPS_FIELD,YR_OVERRIDE,TEXT(YEAR_Y-5,"0")),"")))</f>
        <v/>
      </c>
      <c r="Y127" s="76">
        <f>IF($C127="","",IF(PULL_FUND="N","",IFERROR(BDP($C127,EPS_FIELD,YR_OVERRIDE,TEXT(YEAR_Y-4,"0")),"")))</f>
        <v/>
      </c>
      <c r="Z127" s="76">
        <f>IF($C127="","",IF(PULL_FUND="N","",IFERROR(BDP($C127,EPS_FIELD,YR_OVERRIDE,TEXT(YEAR_Y-3,"0")),"")))</f>
        <v/>
      </c>
      <c r="AA127" s="76">
        <f>IF($C127="","",IF(PULL_FUND="N","",IFERROR(BDP($C127,EPS_FIELD,YR_OVERRIDE,TEXT(YEAR_Y-2,"0")),"")))</f>
        <v/>
      </c>
      <c r="AB127" s="76">
        <f>IF($C127="","",IF(PULL_FUND="N","",IFERROR(BDP($C127,EPS_FIELD,YR_OVERRIDE,TEXT(YEAR_Y-1,"0")),"")))</f>
        <v/>
      </c>
      <c r="AC127" s="50">
        <f>IF($C127="","",IFERROR(AVERAGE(X127:AB127),""))</f>
        <v/>
      </c>
      <c r="AD127" s="76">
        <f>IF($C127="","",IF(PULL_FUND="N","",IFERROR(BDP($C127,BESTEPS_FIELD,FWD_OVERRIDE,TEXT(MOD(YEAR_Y,100),"00")&amp;"Y"),"")))</f>
        <v/>
      </c>
      <c r="AE127" s="77">
        <f>IF($C127="","",IF(PULL_FUND="N","",IFERROR(BDP($C127,PAYOUT_FIELD,YR_OVERRIDE,TEXT(YEAR_Y-5,"0"))/100,"")))</f>
        <v/>
      </c>
      <c r="AF127" s="78">
        <f>IF($C127="","",IF(PULL_FUND="N","",IFERROR(BDP($C127,PAYOUT_FIELD,YR_OVERRIDE,TEXT(YEAR_Y-4,"0"))/100,"")))</f>
        <v/>
      </c>
      <c r="AG127" s="78">
        <f>IF($C127="","",IF(PULL_FUND="N","",IFERROR(BDP($C127,PAYOUT_FIELD,YR_OVERRIDE,TEXT(YEAR_Y-3,"0"))/100,"")))</f>
        <v/>
      </c>
      <c r="AH127" s="78">
        <f>IF($C127="","",IF(PULL_FUND="N","",IFERROR(BDP($C127,PAYOUT_FIELD,YR_OVERRIDE,TEXT(YEAR_Y-2,"0"))/100,"")))</f>
        <v/>
      </c>
      <c r="AI127" s="78">
        <f>IF($C127="","",IF(PULL_FUND="N","",IFERROR(BDP($C127,PAYOUT_FIELD,YR_OVERRIDE,TEXT(YEAR_Y-1,"0"))/100,"")))</f>
        <v/>
      </c>
      <c r="AJ127" s="79">
        <f>IF($C127="","",IFERROR(AVERAGE(AE127:AI127),""))</f>
        <v/>
      </c>
      <c r="AK127" s="80">
        <f>IF($C127="","",IF(ISNUMBER($AD127)*ISNUMBER($N127)*($AD127&lt;&gt;0)=0,"",$N127/$AD127))</f>
        <v/>
      </c>
      <c r="AL127" s="79">
        <f>IF($C127="","",IF(ISNUMBER($AD127)*($AD127&lt;&gt;0)=0,"",$M127/$AD127))</f>
        <v/>
      </c>
      <c r="AM127" s="37">
        <f>IF($C127="","",IF(ISNUMBER($AE127)*ISNUMBER($AI127)=0,"",IF($AI127&gt;$AE127+0.05,"rising",IF($AI127&lt;$AE127-0.05,"falling","stable"))))</f>
        <v/>
      </c>
      <c r="AN127" s="81">
        <f>IF($C127="","",IF(PULL_FUND="N","",IF(COUNTIFS('Fund History'!$G$702:$G$706,"&gt;="&amp;DATE(YEAR_Y-4,1,1),'Fund History'!$G$702:$G$706,"&lt;="&amp;DATE(YEAR_Y-4,12,31))=0,"",SUMIFS('Fund History'!$H$702:$H$706,'Fund History'!$G$702:$G$706,"&gt;="&amp;DATE(YEAR_Y-4,1,1),'Fund History'!$G$702:$G$706,"&lt;="&amp;DATE(YEAR_Y-4,12,31))/100)))</f>
        <v/>
      </c>
      <c r="AO127" s="82">
        <f>IF($C127="","",IF(PULL_FUND="N","",IF(COUNTIFS('Fund History'!$G$702:$G$706,"&gt;="&amp;DATE(YEAR_Y-3,1,1),'Fund History'!$G$702:$G$706,"&lt;="&amp;DATE(YEAR_Y-3,12,31))=0,"",SUMIFS('Fund History'!$H$702:$H$706,'Fund History'!$G$702:$G$706,"&gt;="&amp;DATE(YEAR_Y-3,1,1),'Fund History'!$G$702:$G$706,"&lt;="&amp;DATE(YEAR_Y-3,12,31))/100)))</f>
        <v/>
      </c>
      <c r="AP127" s="82">
        <f>IF($C127="","",IF(PULL_FUND="N","",IF(COUNTIFS('Fund History'!$G$702:$G$706,"&gt;="&amp;DATE(YEAR_Y-2,1,1),'Fund History'!$G$702:$G$706,"&lt;="&amp;DATE(YEAR_Y-2,12,31))=0,"",SUMIFS('Fund History'!$H$702:$H$706,'Fund History'!$G$702:$G$706,"&gt;="&amp;DATE(YEAR_Y-2,1,1),'Fund History'!$G$702:$G$706,"&lt;="&amp;DATE(YEAR_Y-2,12,31))/100)))</f>
        <v/>
      </c>
      <c r="AQ127" s="82">
        <f>IF($C127="","",IF(PULL_FUND="N","",IF(COUNTIFS('Fund History'!$G$702:$G$706,"&gt;="&amp;DATE(YEAR_Y-1,1,1),'Fund History'!$G$702:$G$706,"&lt;="&amp;DATE(YEAR_Y-1,12,31))=0,"",SUMIFS('Fund History'!$H$702:$H$706,'Fund History'!$G$702:$G$706,"&gt;="&amp;DATE(YEAR_Y-1,1,1),'Fund History'!$G$702:$G$706,"&lt;="&amp;DATE(YEAR_Y-1,12,31))/100)))</f>
        <v/>
      </c>
      <c r="AR127" s="83">
        <f>IF($C127="","",IF(N($AQ127)+N(HSTECH!$I$22)=0,"",N($AQ127)+N(HSTECH!$I$22)/100))</f>
        <v/>
      </c>
      <c r="AS127" s="75">
        <f>IF($C127="","",IF(PULL_FUND="N","",IF(COUNTIFS('Fund History'!$D$702:$D$706,"&gt;="&amp;DATE(YEAR_Y-2,1,1),'Fund History'!$D$702:$D$706,"&lt;="&amp;DATE(YEAR_Y-2,12,31))=0,"",SUMIFS('Fund History'!$E$702:$E$706,'Fund History'!$D$702:$D$706,"&gt;="&amp;DATE(YEAR_Y-2,1,1),'Fund History'!$D$702:$D$706,"&lt;="&amp;DATE(YEAR_Y-2,12,31)))))</f>
        <v/>
      </c>
      <c r="AT127" s="76">
        <f>IF($C127="","",IF(PULL_FUND="N","",IF(COUNTIFS('Fund History'!$D$702:$D$706,"&gt;="&amp;DATE(YEAR_Y-1,1,1),'Fund History'!$D$702:$D$706,"&lt;="&amp;DATE(YEAR_Y-1,12,31))=0,"",SUMIFS('Fund History'!$E$702:$E$706,'Fund History'!$D$702:$D$706,"&gt;="&amp;DATE(YEAR_Y-1,1,1),'Fund History'!$D$702:$D$706,"&lt;="&amp;DATE(YEAR_Y-1,12,31)))))</f>
        <v/>
      </c>
      <c r="AU127" s="76">
        <f>IF($C127="","",IF(PULL_FUND="N","",IFERROR(BDP($C127,NDEBITDA_FIELD),"")))</f>
        <v/>
      </c>
      <c r="AV127" s="84">
        <f>IF($C127="","",IF(PULL_FUND="N","",IFERROR(BDP($C127,EBINT_FIELD),"")))</f>
        <v/>
      </c>
      <c r="AW127" s="82">
        <f>IF($C127="","",IF(PULL_FUND="N","",IFERROR(BDP($C127,FCF_FIELD)/100,"")))</f>
        <v/>
      </c>
      <c r="AX127" s="50">
        <f>IF($C127="","",IF(N($U127)=0,"",IFERROR($AW127/$U127,"")))</f>
        <v/>
      </c>
      <c r="AY127" s="85">
        <f>IF($C127="","",TRIM(IF(ISNUMBER($AJ127)*(N($AJ127)&gt;$D$4)&gt;0,"payout high  ","")&amp;IF(ISNUMBER($AX127)*(N($AX127)&lt;$F$4)&gt;0,"FCF below dvd  ","")&amp;IF(ISNUMBER($AU127)*(N($AU127)&gt;$H$4)&gt;0,"leverage high","")))</f>
        <v/>
      </c>
      <c r="AZ127" s="86">
        <f>IF($C127="","",IF(HSTECH!$F$22="HKD","",HSTECH!$F$22))</f>
        <v/>
      </c>
    </row>
    <row r="128">
      <c r="B128" s="66" t="inlineStr">
        <is>
          <t>HSTECH</t>
        </is>
      </c>
      <c r="C128" s="8">
        <f>IF(HSTECH!$C$23="","",HSTECH!$C$23)</f>
        <v/>
      </c>
      <c r="D128" s="8">
        <f>IF($C128="","",HSTECH!$D$23)</f>
        <v/>
      </c>
      <c r="E128" s="8">
        <f>IF($C128="","",HSTECH!$E$23)</f>
        <v/>
      </c>
      <c r="F128" s="67">
        <f>IF($C128="","",SUMPRODUCT(('Dvd Calendar'!$E$1292:$AR$1292&gt;=DATE(YEAR_Y-5,1,1))*('Dvd Calendar'!$E$1292:$AR$1292&lt;=DATE(YEAR_Y-5,12,31))*'Dvd Calendar'!$E$1295:$AR$1295*(('Dvd Calendar'!$E$1297:$AR$1297=TYPE1)*(TYPE1&lt;&gt;"")+('Dvd Calendar'!$E$1297:$AR$1297=TYPE2)*(TYPE2&lt;&gt;"")+('Dvd Calendar'!$E$1297:$AR$1297=TYPE3)*(TYPE3&lt;&gt;"")+('Dvd Calendar'!$E$1297:$AR$1297=TYPE4)*(TYPE4&lt;&gt;"")+('Dvd Calendar'!$E$1297:$AR$1297=SPECIAL_LBL)*(INC_SPECIALS="Y"))))</f>
        <v/>
      </c>
      <c r="G128" s="68">
        <f>IF($C128="","",SUMPRODUCT(('Dvd Calendar'!$E$1292:$AR$1292&gt;=DATE(YEAR_Y-4,1,1))*('Dvd Calendar'!$E$1292:$AR$1292&lt;=DATE(YEAR_Y-4,12,31))*'Dvd Calendar'!$E$1295:$AR$1295*(('Dvd Calendar'!$E$1297:$AR$1297=TYPE1)*(TYPE1&lt;&gt;"")+('Dvd Calendar'!$E$1297:$AR$1297=TYPE2)*(TYPE2&lt;&gt;"")+('Dvd Calendar'!$E$1297:$AR$1297=TYPE3)*(TYPE3&lt;&gt;"")+('Dvd Calendar'!$E$1297:$AR$1297=TYPE4)*(TYPE4&lt;&gt;"")+('Dvd Calendar'!$E$1297:$AR$1297=SPECIAL_LBL)*(INC_SPECIALS="Y"))))</f>
        <v/>
      </c>
      <c r="H128" s="68">
        <f>IF($C128="","",SUMPRODUCT(('Dvd Calendar'!$E$1292:$AR$1292&gt;=DATE(YEAR_Y-3,1,1))*('Dvd Calendar'!$E$1292:$AR$1292&lt;=DATE(YEAR_Y-3,12,31))*'Dvd Calendar'!$E$1295:$AR$1295*(('Dvd Calendar'!$E$1297:$AR$1297=TYPE1)*(TYPE1&lt;&gt;"")+('Dvd Calendar'!$E$1297:$AR$1297=TYPE2)*(TYPE2&lt;&gt;"")+('Dvd Calendar'!$E$1297:$AR$1297=TYPE3)*(TYPE3&lt;&gt;"")+('Dvd Calendar'!$E$1297:$AR$1297=TYPE4)*(TYPE4&lt;&gt;"")+('Dvd Calendar'!$E$1297:$AR$1297=SPECIAL_LBL)*(INC_SPECIALS="Y"))))</f>
        <v/>
      </c>
      <c r="I128" s="68">
        <f>IF($C128="","",SUMPRODUCT(('Dvd Calendar'!$E$1292:$AR$1292&gt;=DATE(YEAR_Y-2,1,1))*('Dvd Calendar'!$E$1292:$AR$1292&lt;=DATE(YEAR_Y-2,12,31))*'Dvd Calendar'!$E$1295:$AR$1295*(('Dvd Calendar'!$E$1297:$AR$1297=TYPE1)*(TYPE1&lt;&gt;"")+('Dvd Calendar'!$E$1297:$AR$1297=TYPE2)*(TYPE2&lt;&gt;"")+('Dvd Calendar'!$E$1297:$AR$1297=TYPE3)*(TYPE3&lt;&gt;"")+('Dvd Calendar'!$E$1297:$AR$1297=TYPE4)*(TYPE4&lt;&gt;"")+('Dvd Calendar'!$E$1297:$AR$1297=SPECIAL_LBL)*(INC_SPECIALS="Y"))))</f>
        <v/>
      </c>
      <c r="J128" s="68">
        <f>IF($C128="","",SUMPRODUCT(('Dvd Calendar'!$E$1292:$AR$1292&gt;=DATE(YEAR_Y-1,1,1))*('Dvd Calendar'!$E$1292:$AR$1292&lt;=DATE(YEAR_Y-1,12,31))*'Dvd Calendar'!$E$1295:$AR$1295*(('Dvd Calendar'!$E$1297:$AR$1297=TYPE1)*(TYPE1&lt;&gt;"")+('Dvd Calendar'!$E$1297:$AR$1297=TYPE2)*(TYPE2&lt;&gt;"")+('Dvd Calendar'!$E$1297:$AR$1297=TYPE3)*(TYPE3&lt;&gt;"")+('Dvd Calendar'!$E$1297:$AR$1297=TYPE4)*(TYPE4&lt;&gt;"")+('Dvd Calendar'!$E$1297:$AR$1297=SPECIAL_LBL)*(INC_SPECIALS="Y"))))</f>
        <v/>
      </c>
      <c r="K128" s="69">
        <f>IF($C128="","",HSTECH!$J$23)</f>
        <v/>
      </c>
      <c r="L128" s="69">
        <f>IF($C128="","",HSTECH!$K$23)</f>
        <v/>
      </c>
      <c r="M128" s="44">
        <f>IF($C128="","",HSTECH!$J$23+HSTECH!$L$23)</f>
        <v/>
      </c>
      <c r="N128" s="70">
        <f>IF($C128="","",IF(PULL_FUND="N","",IFERROR(BDP($C128,BESTDPS_FIELD,FWD_OVERRIDE,TEXT(MOD(YEAR_Y,100),"00")&amp;"Y"),"")))</f>
        <v/>
      </c>
      <c r="O128" s="69">
        <f>IF($C128="","",AVERAGE(F128:J128))</f>
        <v/>
      </c>
      <c r="P128" s="71">
        <f>IF($C128="","",IF(PULL_FUND="N","",IF(COUNTIFS('Fund History'!$J$708:$J$712,"&gt;="&amp;DATE(YEAR_Y-5,1,1),'Fund History'!$J$708:$J$712,"&lt;="&amp;DATE(YEAR_Y-5,12,31))=0,"",IFERROR($F128*HSTECH!$G$23/SUMIFS('Fund History'!$K$708:$K$712,'Fund History'!$J$708:$J$712,"&gt;="&amp;DATE(YEAR_Y-5,1,1),'Fund History'!$J$708:$J$712,"&lt;="&amp;DATE(YEAR_Y-5,12,31)),""))))</f>
        <v/>
      </c>
      <c r="Q128" s="72">
        <f>IF($C128="","",IF(PULL_FUND="N","",IF(COUNTIFS('Fund History'!$J$708:$J$712,"&gt;="&amp;DATE(YEAR_Y-4,1,1),'Fund History'!$J$708:$J$712,"&lt;="&amp;DATE(YEAR_Y-4,12,31))=0,"",IFERROR($G128*HSTECH!$G$23/SUMIFS('Fund History'!$K$708:$K$712,'Fund History'!$J$708:$J$712,"&gt;="&amp;DATE(YEAR_Y-4,1,1),'Fund History'!$J$708:$J$712,"&lt;="&amp;DATE(YEAR_Y-4,12,31)),""))))</f>
        <v/>
      </c>
      <c r="R128" s="72">
        <f>IF($C128="","",IF(PULL_FUND="N","",IF(COUNTIFS('Fund History'!$J$708:$J$712,"&gt;="&amp;DATE(YEAR_Y-3,1,1),'Fund History'!$J$708:$J$712,"&lt;="&amp;DATE(YEAR_Y-3,12,31))=0,"",IFERROR($H128*HSTECH!$G$23/SUMIFS('Fund History'!$K$708:$K$712,'Fund History'!$J$708:$J$712,"&gt;="&amp;DATE(YEAR_Y-3,1,1),'Fund History'!$J$708:$J$712,"&lt;="&amp;DATE(YEAR_Y-3,12,31)),""))))</f>
        <v/>
      </c>
      <c r="S128" s="72">
        <f>IF($C128="","",IF(PULL_FUND="N","",IF(COUNTIFS('Fund History'!$J$708:$J$712,"&gt;="&amp;DATE(YEAR_Y-2,1,1),'Fund History'!$J$708:$J$712,"&lt;="&amp;DATE(YEAR_Y-2,12,31))=0,"",IFERROR($I128*HSTECH!$G$23/SUMIFS('Fund History'!$K$708:$K$712,'Fund History'!$J$708:$J$712,"&gt;="&amp;DATE(YEAR_Y-2,1,1),'Fund History'!$J$708:$J$712,"&lt;="&amp;DATE(YEAR_Y-2,12,31)),""))))</f>
        <v/>
      </c>
      <c r="T128" s="72">
        <f>IF($C128="","",IF(PULL_FUND="N","",IF(COUNTIFS('Fund History'!$J$708:$J$712,"&gt;="&amp;DATE(YEAR_Y-1,1,1),'Fund History'!$J$708:$J$712,"&lt;="&amp;DATE(YEAR_Y-1,12,31))=0,"",IFERROR($J128*HSTECH!$G$23/SUMIFS('Fund History'!$K$708:$K$712,'Fund History'!$J$708:$J$712,"&gt;="&amp;DATE(YEAR_Y-1,1,1),'Fund History'!$J$708:$J$712,"&lt;="&amp;DATE(YEAR_Y-1,12,31)),""))))</f>
        <v/>
      </c>
      <c r="U128" s="73">
        <f>IF($C128="","",IF(ISNUMBER(HSTECH!$I$23),HSTECH!$I$23/100,""))</f>
        <v/>
      </c>
      <c r="V128" s="74">
        <f>IF($C128="","",IF(ISNUMBER(HSTECH!$X$23),IFERROR($M128*HSTECH!$G$23/HSTECH!$X$23,""),""))</f>
        <v/>
      </c>
      <c r="W128" s="73">
        <f>IF($C128="","",IF(ISNUMBER($N128),IFERROR($N128*HSTECH!$G$23/HSTECH!$X$23,""),""))</f>
        <v/>
      </c>
      <c r="X128" s="75">
        <f>IF($C128="","",IF(PULL_FUND="N","",IFERROR(BDP($C128,EPS_FIELD,YR_OVERRIDE,TEXT(YEAR_Y-5,"0")),"")))</f>
        <v/>
      </c>
      <c r="Y128" s="76">
        <f>IF($C128="","",IF(PULL_FUND="N","",IFERROR(BDP($C128,EPS_FIELD,YR_OVERRIDE,TEXT(YEAR_Y-4,"0")),"")))</f>
        <v/>
      </c>
      <c r="Z128" s="76">
        <f>IF($C128="","",IF(PULL_FUND="N","",IFERROR(BDP($C128,EPS_FIELD,YR_OVERRIDE,TEXT(YEAR_Y-3,"0")),"")))</f>
        <v/>
      </c>
      <c r="AA128" s="76">
        <f>IF($C128="","",IF(PULL_FUND="N","",IFERROR(BDP($C128,EPS_FIELD,YR_OVERRIDE,TEXT(YEAR_Y-2,"0")),"")))</f>
        <v/>
      </c>
      <c r="AB128" s="76">
        <f>IF($C128="","",IF(PULL_FUND="N","",IFERROR(BDP($C128,EPS_FIELD,YR_OVERRIDE,TEXT(YEAR_Y-1,"0")),"")))</f>
        <v/>
      </c>
      <c r="AC128" s="50">
        <f>IF($C128="","",IFERROR(AVERAGE(X128:AB128),""))</f>
        <v/>
      </c>
      <c r="AD128" s="76">
        <f>IF($C128="","",IF(PULL_FUND="N","",IFERROR(BDP($C128,BESTEPS_FIELD,FWD_OVERRIDE,TEXT(MOD(YEAR_Y,100),"00")&amp;"Y"),"")))</f>
        <v/>
      </c>
      <c r="AE128" s="77">
        <f>IF($C128="","",IF(PULL_FUND="N","",IFERROR(BDP($C128,PAYOUT_FIELD,YR_OVERRIDE,TEXT(YEAR_Y-5,"0"))/100,"")))</f>
        <v/>
      </c>
      <c r="AF128" s="78">
        <f>IF($C128="","",IF(PULL_FUND="N","",IFERROR(BDP($C128,PAYOUT_FIELD,YR_OVERRIDE,TEXT(YEAR_Y-4,"0"))/100,"")))</f>
        <v/>
      </c>
      <c r="AG128" s="78">
        <f>IF($C128="","",IF(PULL_FUND="N","",IFERROR(BDP($C128,PAYOUT_FIELD,YR_OVERRIDE,TEXT(YEAR_Y-3,"0"))/100,"")))</f>
        <v/>
      </c>
      <c r="AH128" s="78">
        <f>IF($C128="","",IF(PULL_FUND="N","",IFERROR(BDP($C128,PAYOUT_FIELD,YR_OVERRIDE,TEXT(YEAR_Y-2,"0"))/100,"")))</f>
        <v/>
      </c>
      <c r="AI128" s="78">
        <f>IF($C128="","",IF(PULL_FUND="N","",IFERROR(BDP($C128,PAYOUT_FIELD,YR_OVERRIDE,TEXT(YEAR_Y-1,"0"))/100,"")))</f>
        <v/>
      </c>
      <c r="AJ128" s="79">
        <f>IF($C128="","",IFERROR(AVERAGE(AE128:AI128),""))</f>
        <v/>
      </c>
      <c r="AK128" s="80">
        <f>IF($C128="","",IF(ISNUMBER($AD128)*ISNUMBER($N128)*($AD128&lt;&gt;0)=0,"",$N128/$AD128))</f>
        <v/>
      </c>
      <c r="AL128" s="79">
        <f>IF($C128="","",IF(ISNUMBER($AD128)*($AD128&lt;&gt;0)=0,"",$M128/$AD128))</f>
        <v/>
      </c>
      <c r="AM128" s="37">
        <f>IF($C128="","",IF(ISNUMBER($AE128)*ISNUMBER($AI128)=0,"",IF($AI128&gt;$AE128+0.05,"rising",IF($AI128&lt;$AE128-0.05,"falling","stable"))))</f>
        <v/>
      </c>
      <c r="AN128" s="81">
        <f>IF($C128="","",IF(PULL_FUND="N","",IF(COUNTIFS('Fund History'!$G$708:$G$712,"&gt;="&amp;DATE(YEAR_Y-4,1,1),'Fund History'!$G$708:$G$712,"&lt;="&amp;DATE(YEAR_Y-4,12,31))=0,"",SUMIFS('Fund History'!$H$708:$H$712,'Fund History'!$G$708:$G$712,"&gt;="&amp;DATE(YEAR_Y-4,1,1),'Fund History'!$G$708:$G$712,"&lt;="&amp;DATE(YEAR_Y-4,12,31))/100)))</f>
        <v/>
      </c>
      <c r="AO128" s="82">
        <f>IF($C128="","",IF(PULL_FUND="N","",IF(COUNTIFS('Fund History'!$G$708:$G$712,"&gt;="&amp;DATE(YEAR_Y-3,1,1),'Fund History'!$G$708:$G$712,"&lt;="&amp;DATE(YEAR_Y-3,12,31))=0,"",SUMIFS('Fund History'!$H$708:$H$712,'Fund History'!$G$708:$G$712,"&gt;="&amp;DATE(YEAR_Y-3,1,1),'Fund History'!$G$708:$G$712,"&lt;="&amp;DATE(YEAR_Y-3,12,31))/100)))</f>
        <v/>
      </c>
      <c r="AP128" s="82">
        <f>IF($C128="","",IF(PULL_FUND="N","",IF(COUNTIFS('Fund History'!$G$708:$G$712,"&gt;="&amp;DATE(YEAR_Y-2,1,1),'Fund History'!$G$708:$G$712,"&lt;="&amp;DATE(YEAR_Y-2,12,31))=0,"",SUMIFS('Fund History'!$H$708:$H$712,'Fund History'!$G$708:$G$712,"&gt;="&amp;DATE(YEAR_Y-2,1,1),'Fund History'!$G$708:$G$712,"&lt;="&amp;DATE(YEAR_Y-2,12,31))/100)))</f>
        <v/>
      </c>
      <c r="AQ128" s="82">
        <f>IF($C128="","",IF(PULL_FUND="N","",IF(COUNTIFS('Fund History'!$G$708:$G$712,"&gt;="&amp;DATE(YEAR_Y-1,1,1),'Fund History'!$G$708:$G$712,"&lt;="&amp;DATE(YEAR_Y-1,12,31))=0,"",SUMIFS('Fund History'!$H$708:$H$712,'Fund History'!$G$708:$G$712,"&gt;="&amp;DATE(YEAR_Y-1,1,1),'Fund History'!$G$708:$G$712,"&lt;="&amp;DATE(YEAR_Y-1,12,31))/100)))</f>
        <v/>
      </c>
      <c r="AR128" s="83">
        <f>IF($C128="","",IF(N($AQ128)+N(HSTECH!$I$23)=0,"",N($AQ128)+N(HSTECH!$I$23)/100))</f>
        <v/>
      </c>
      <c r="AS128" s="75">
        <f>IF($C128="","",IF(PULL_FUND="N","",IF(COUNTIFS('Fund History'!$D$708:$D$712,"&gt;="&amp;DATE(YEAR_Y-2,1,1),'Fund History'!$D$708:$D$712,"&lt;="&amp;DATE(YEAR_Y-2,12,31))=0,"",SUMIFS('Fund History'!$E$708:$E$712,'Fund History'!$D$708:$D$712,"&gt;="&amp;DATE(YEAR_Y-2,1,1),'Fund History'!$D$708:$D$712,"&lt;="&amp;DATE(YEAR_Y-2,12,31)))))</f>
        <v/>
      </c>
      <c r="AT128" s="76">
        <f>IF($C128="","",IF(PULL_FUND="N","",IF(COUNTIFS('Fund History'!$D$708:$D$712,"&gt;="&amp;DATE(YEAR_Y-1,1,1),'Fund History'!$D$708:$D$712,"&lt;="&amp;DATE(YEAR_Y-1,12,31))=0,"",SUMIFS('Fund History'!$E$708:$E$712,'Fund History'!$D$708:$D$712,"&gt;="&amp;DATE(YEAR_Y-1,1,1),'Fund History'!$D$708:$D$712,"&lt;="&amp;DATE(YEAR_Y-1,12,31)))))</f>
        <v/>
      </c>
      <c r="AU128" s="76">
        <f>IF($C128="","",IF(PULL_FUND="N","",IFERROR(BDP($C128,NDEBITDA_FIELD),"")))</f>
        <v/>
      </c>
      <c r="AV128" s="84">
        <f>IF($C128="","",IF(PULL_FUND="N","",IFERROR(BDP($C128,EBINT_FIELD),"")))</f>
        <v/>
      </c>
      <c r="AW128" s="82">
        <f>IF($C128="","",IF(PULL_FUND="N","",IFERROR(BDP($C128,FCF_FIELD)/100,"")))</f>
        <v/>
      </c>
      <c r="AX128" s="50">
        <f>IF($C128="","",IF(N($U128)=0,"",IFERROR($AW128/$U128,"")))</f>
        <v/>
      </c>
      <c r="AY128" s="85">
        <f>IF($C128="","",TRIM(IF(ISNUMBER($AJ128)*(N($AJ128)&gt;$D$4)&gt;0,"payout high  ","")&amp;IF(ISNUMBER($AX128)*(N($AX128)&lt;$F$4)&gt;0,"FCF below dvd  ","")&amp;IF(ISNUMBER($AU128)*(N($AU128)&gt;$H$4)&gt;0,"leverage high","")))</f>
        <v/>
      </c>
      <c r="AZ128" s="86">
        <f>IF($C128="","",IF(HSTECH!$F$23="HKD","",HSTECH!$F$23))</f>
        <v/>
      </c>
    </row>
    <row r="129">
      <c r="B129" s="66" t="inlineStr">
        <is>
          <t>HSTECH</t>
        </is>
      </c>
      <c r="C129" s="8">
        <f>IF(HSTECH!$C$24="","",HSTECH!$C$24)</f>
        <v/>
      </c>
      <c r="D129" s="8">
        <f>IF($C129="","",HSTECH!$D$24)</f>
        <v/>
      </c>
      <c r="E129" s="8">
        <f>IF($C129="","",HSTECH!$E$24)</f>
        <v/>
      </c>
      <c r="F129" s="67">
        <f>IF($C129="","",SUMPRODUCT(('Dvd Calendar'!$E$1303:$AR$1303&gt;=DATE(YEAR_Y-5,1,1))*('Dvd Calendar'!$E$1303:$AR$1303&lt;=DATE(YEAR_Y-5,12,31))*'Dvd Calendar'!$E$1306:$AR$1306*(('Dvd Calendar'!$E$1308:$AR$1308=TYPE1)*(TYPE1&lt;&gt;"")+('Dvd Calendar'!$E$1308:$AR$1308=TYPE2)*(TYPE2&lt;&gt;"")+('Dvd Calendar'!$E$1308:$AR$1308=TYPE3)*(TYPE3&lt;&gt;"")+('Dvd Calendar'!$E$1308:$AR$1308=TYPE4)*(TYPE4&lt;&gt;"")+('Dvd Calendar'!$E$1308:$AR$1308=SPECIAL_LBL)*(INC_SPECIALS="Y"))))</f>
        <v/>
      </c>
      <c r="G129" s="68">
        <f>IF($C129="","",SUMPRODUCT(('Dvd Calendar'!$E$1303:$AR$1303&gt;=DATE(YEAR_Y-4,1,1))*('Dvd Calendar'!$E$1303:$AR$1303&lt;=DATE(YEAR_Y-4,12,31))*'Dvd Calendar'!$E$1306:$AR$1306*(('Dvd Calendar'!$E$1308:$AR$1308=TYPE1)*(TYPE1&lt;&gt;"")+('Dvd Calendar'!$E$1308:$AR$1308=TYPE2)*(TYPE2&lt;&gt;"")+('Dvd Calendar'!$E$1308:$AR$1308=TYPE3)*(TYPE3&lt;&gt;"")+('Dvd Calendar'!$E$1308:$AR$1308=TYPE4)*(TYPE4&lt;&gt;"")+('Dvd Calendar'!$E$1308:$AR$1308=SPECIAL_LBL)*(INC_SPECIALS="Y"))))</f>
        <v/>
      </c>
      <c r="H129" s="68">
        <f>IF($C129="","",SUMPRODUCT(('Dvd Calendar'!$E$1303:$AR$1303&gt;=DATE(YEAR_Y-3,1,1))*('Dvd Calendar'!$E$1303:$AR$1303&lt;=DATE(YEAR_Y-3,12,31))*'Dvd Calendar'!$E$1306:$AR$1306*(('Dvd Calendar'!$E$1308:$AR$1308=TYPE1)*(TYPE1&lt;&gt;"")+('Dvd Calendar'!$E$1308:$AR$1308=TYPE2)*(TYPE2&lt;&gt;"")+('Dvd Calendar'!$E$1308:$AR$1308=TYPE3)*(TYPE3&lt;&gt;"")+('Dvd Calendar'!$E$1308:$AR$1308=TYPE4)*(TYPE4&lt;&gt;"")+('Dvd Calendar'!$E$1308:$AR$1308=SPECIAL_LBL)*(INC_SPECIALS="Y"))))</f>
        <v/>
      </c>
      <c r="I129" s="68">
        <f>IF($C129="","",SUMPRODUCT(('Dvd Calendar'!$E$1303:$AR$1303&gt;=DATE(YEAR_Y-2,1,1))*('Dvd Calendar'!$E$1303:$AR$1303&lt;=DATE(YEAR_Y-2,12,31))*'Dvd Calendar'!$E$1306:$AR$1306*(('Dvd Calendar'!$E$1308:$AR$1308=TYPE1)*(TYPE1&lt;&gt;"")+('Dvd Calendar'!$E$1308:$AR$1308=TYPE2)*(TYPE2&lt;&gt;"")+('Dvd Calendar'!$E$1308:$AR$1308=TYPE3)*(TYPE3&lt;&gt;"")+('Dvd Calendar'!$E$1308:$AR$1308=TYPE4)*(TYPE4&lt;&gt;"")+('Dvd Calendar'!$E$1308:$AR$1308=SPECIAL_LBL)*(INC_SPECIALS="Y"))))</f>
        <v/>
      </c>
      <c r="J129" s="68">
        <f>IF($C129="","",SUMPRODUCT(('Dvd Calendar'!$E$1303:$AR$1303&gt;=DATE(YEAR_Y-1,1,1))*('Dvd Calendar'!$E$1303:$AR$1303&lt;=DATE(YEAR_Y-1,12,31))*'Dvd Calendar'!$E$1306:$AR$1306*(('Dvd Calendar'!$E$1308:$AR$1308=TYPE1)*(TYPE1&lt;&gt;"")+('Dvd Calendar'!$E$1308:$AR$1308=TYPE2)*(TYPE2&lt;&gt;"")+('Dvd Calendar'!$E$1308:$AR$1308=TYPE3)*(TYPE3&lt;&gt;"")+('Dvd Calendar'!$E$1308:$AR$1308=TYPE4)*(TYPE4&lt;&gt;"")+('Dvd Calendar'!$E$1308:$AR$1308=SPECIAL_LBL)*(INC_SPECIALS="Y"))))</f>
        <v/>
      </c>
      <c r="K129" s="69">
        <f>IF($C129="","",HSTECH!$J$24)</f>
        <v/>
      </c>
      <c r="L129" s="69">
        <f>IF($C129="","",HSTECH!$K$24)</f>
        <v/>
      </c>
      <c r="M129" s="44">
        <f>IF($C129="","",HSTECH!$J$24+HSTECH!$L$24)</f>
        <v/>
      </c>
      <c r="N129" s="70">
        <f>IF($C129="","",IF(PULL_FUND="N","",IFERROR(BDP($C129,BESTDPS_FIELD,FWD_OVERRIDE,TEXT(MOD(YEAR_Y,100),"00")&amp;"Y"),"")))</f>
        <v/>
      </c>
      <c r="O129" s="69">
        <f>IF($C129="","",AVERAGE(F129:J129))</f>
        <v/>
      </c>
      <c r="P129" s="71">
        <f>IF($C129="","",IF(PULL_FUND="N","",IF(COUNTIFS('Fund History'!$J$714:$J$718,"&gt;="&amp;DATE(YEAR_Y-5,1,1),'Fund History'!$J$714:$J$718,"&lt;="&amp;DATE(YEAR_Y-5,12,31))=0,"",IFERROR($F129*HSTECH!$G$24/SUMIFS('Fund History'!$K$714:$K$718,'Fund History'!$J$714:$J$718,"&gt;="&amp;DATE(YEAR_Y-5,1,1),'Fund History'!$J$714:$J$718,"&lt;="&amp;DATE(YEAR_Y-5,12,31)),""))))</f>
        <v/>
      </c>
      <c r="Q129" s="72">
        <f>IF($C129="","",IF(PULL_FUND="N","",IF(COUNTIFS('Fund History'!$J$714:$J$718,"&gt;="&amp;DATE(YEAR_Y-4,1,1),'Fund History'!$J$714:$J$718,"&lt;="&amp;DATE(YEAR_Y-4,12,31))=0,"",IFERROR($G129*HSTECH!$G$24/SUMIFS('Fund History'!$K$714:$K$718,'Fund History'!$J$714:$J$718,"&gt;="&amp;DATE(YEAR_Y-4,1,1),'Fund History'!$J$714:$J$718,"&lt;="&amp;DATE(YEAR_Y-4,12,31)),""))))</f>
        <v/>
      </c>
      <c r="R129" s="72">
        <f>IF($C129="","",IF(PULL_FUND="N","",IF(COUNTIFS('Fund History'!$J$714:$J$718,"&gt;="&amp;DATE(YEAR_Y-3,1,1),'Fund History'!$J$714:$J$718,"&lt;="&amp;DATE(YEAR_Y-3,12,31))=0,"",IFERROR($H129*HSTECH!$G$24/SUMIFS('Fund History'!$K$714:$K$718,'Fund History'!$J$714:$J$718,"&gt;="&amp;DATE(YEAR_Y-3,1,1),'Fund History'!$J$714:$J$718,"&lt;="&amp;DATE(YEAR_Y-3,12,31)),""))))</f>
        <v/>
      </c>
      <c r="S129" s="72">
        <f>IF($C129="","",IF(PULL_FUND="N","",IF(COUNTIFS('Fund History'!$J$714:$J$718,"&gt;="&amp;DATE(YEAR_Y-2,1,1),'Fund History'!$J$714:$J$718,"&lt;="&amp;DATE(YEAR_Y-2,12,31))=0,"",IFERROR($I129*HSTECH!$G$24/SUMIFS('Fund History'!$K$714:$K$718,'Fund History'!$J$714:$J$718,"&gt;="&amp;DATE(YEAR_Y-2,1,1),'Fund History'!$J$714:$J$718,"&lt;="&amp;DATE(YEAR_Y-2,12,31)),""))))</f>
        <v/>
      </c>
      <c r="T129" s="72">
        <f>IF($C129="","",IF(PULL_FUND="N","",IF(COUNTIFS('Fund History'!$J$714:$J$718,"&gt;="&amp;DATE(YEAR_Y-1,1,1),'Fund History'!$J$714:$J$718,"&lt;="&amp;DATE(YEAR_Y-1,12,31))=0,"",IFERROR($J129*HSTECH!$G$24/SUMIFS('Fund History'!$K$714:$K$718,'Fund History'!$J$714:$J$718,"&gt;="&amp;DATE(YEAR_Y-1,1,1),'Fund History'!$J$714:$J$718,"&lt;="&amp;DATE(YEAR_Y-1,12,31)),""))))</f>
        <v/>
      </c>
      <c r="U129" s="73">
        <f>IF($C129="","",IF(ISNUMBER(HSTECH!$I$24),HSTECH!$I$24/100,""))</f>
        <v/>
      </c>
      <c r="V129" s="74">
        <f>IF($C129="","",IF(ISNUMBER(HSTECH!$X$24),IFERROR($M129*HSTECH!$G$24/HSTECH!$X$24,""),""))</f>
        <v/>
      </c>
      <c r="W129" s="73">
        <f>IF($C129="","",IF(ISNUMBER($N129),IFERROR($N129*HSTECH!$G$24/HSTECH!$X$24,""),""))</f>
        <v/>
      </c>
      <c r="X129" s="75">
        <f>IF($C129="","",IF(PULL_FUND="N","",IFERROR(BDP($C129,EPS_FIELD,YR_OVERRIDE,TEXT(YEAR_Y-5,"0")),"")))</f>
        <v/>
      </c>
      <c r="Y129" s="76">
        <f>IF($C129="","",IF(PULL_FUND="N","",IFERROR(BDP($C129,EPS_FIELD,YR_OVERRIDE,TEXT(YEAR_Y-4,"0")),"")))</f>
        <v/>
      </c>
      <c r="Z129" s="76">
        <f>IF($C129="","",IF(PULL_FUND="N","",IFERROR(BDP($C129,EPS_FIELD,YR_OVERRIDE,TEXT(YEAR_Y-3,"0")),"")))</f>
        <v/>
      </c>
      <c r="AA129" s="76">
        <f>IF($C129="","",IF(PULL_FUND="N","",IFERROR(BDP($C129,EPS_FIELD,YR_OVERRIDE,TEXT(YEAR_Y-2,"0")),"")))</f>
        <v/>
      </c>
      <c r="AB129" s="76">
        <f>IF($C129="","",IF(PULL_FUND="N","",IFERROR(BDP($C129,EPS_FIELD,YR_OVERRIDE,TEXT(YEAR_Y-1,"0")),"")))</f>
        <v/>
      </c>
      <c r="AC129" s="50">
        <f>IF($C129="","",IFERROR(AVERAGE(X129:AB129),""))</f>
        <v/>
      </c>
      <c r="AD129" s="76">
        <f>IF($C129="","",IF(PULL_FUND="N","",IFERROR(BDP($C129,BESTEPS_FIELD,FWD_OVERRIDE,TEXT(MOD(YEAR_Y,100),"00")&amp;"Y"),"")))</f>
        <v/>
      </c>
      <c r="AE129" s="77">
        <f>IF($C129="","",IF(PULL_FUND="N","",IFERROR(BDP($C129,PAYOUT_FIELD,YR_OVERRIDE,TEXT(YEAR_Y-5,"0"))/100,"")))</f>
        <v/>
      </c>
      <c r="AF129" s="78">
        <f>IF($C129="","",IF(PULL_FUND="N","",IFERROR(BDP($C129,PAYOUT_FIELD,YR_OVERRIDE,TEXT(YEAR_Y-4,"0"))/100,"")))</f>
        <v/>
      </c>
      <c r="AG129" s="78">
        <f>IF($C129="","",IF(PULL_FUND="N","",IFERROR(BDP($C129,PAYOUT_FIELD,YR_OVERRIDE,TEXT(YEAR_Y-3,"0"))/100,"")))</f>
        <v/>
      </c>
      <c r="AH129" s="78">
        <f>IF($C129="","",IF(PULL_FUND="N","",IFERROR(BDP($C129,PAYOUT_FIELD,YR_OVERRIDE,TEXT(YEAR_Y-2,"0"))/100,"")))</f>
        <v/>
      </c>
      <c r="AI129" s="78">
        <f>IF($C129="","",IF(PULL_FUND="N","",IFERROR(BDP($C129,PAYOUT_FIELD,YR_OVERRIDE,TEXT(YEAR_Y-1,"0"))/100,"")))</f>
        <v/>
      </c>
      <c r="AJ129" s="79">
        <f>IF($C129="","",IFERROR(AVERAGE(AE129:AI129),""))</f>
        <v/>
      </c>
      <c r="AK129" s="80">
        <f>IF($C129="","",IF(ISNUMBER($AD129)*ISNUMBER($N129)*($AD129&lt;&gt;0)=0,"",$N129/$AD129))</f>
        <v/>
      </c>
      <c r="AL129" s="79">
        <f>IF($C129="","",IF(ISNUMBER($AD129)*($AD129&lt;&gt;0)=0,"",$M129/$AD129))</f>
        <v/>
      </c>
      <c r="AM129" s="37">
        <f>IF($C129="","",IF(ISNUMBER($AE129)*ISNUMBER($AI129)=0,"",IF($AI129&gt;$AE129+0.05,"rising",IF($AI129&lt;$AE129-0.05,"falling","stable"))))</f>
        <v/>
      </c>
      <c r="AN129" s="81">
        <f>IF($C129="","",IF(PULL_FUND="N","",IF(COUNTIFS('Fund History'!$G$714:$G$718,"&gt;="&amp;DATE(YEAR_Y-4,1,1),'Fund History'!$G$714:$G$718,"&lt;="&amp;DATE(YEAR_Y-4,12,31))=0,"",SUMIFS('Fund History'!$H$714:$H$718,'Fund History'!$G$714:$G$718,"&gt;="&amp;DATE(YEAR_Y-4,1,1),'Fund History'!$G$714:$G$718,"&lt;="&amp;DATE(YEAR_Y-4,12,31))/100)))</f>
        <v/>
      </c>
      <c r="AO129" s="82">
        <f>IF($C129="","",IF(PULL_FUND="N","",IF(COUNTIFS('Fund History'!$G$714:$G$718,"&gt;="&amp;DATE(YEAR_Y-3,1,1),'Fund History'!$G$714:$G$718,"&lt;="&amp;DATE(YEAR_Y-3,12,31))=0,"",SUMIFS('Fund History'!$H$714:$H$718,'Fund History'!$G$714:$G$718,"&gt;="&amp;DATE(YEAR_Y-3,1,1),'Fund History'!$G$714:$G$718,"&lt;="&amp;DATE(YEAR_Y-3,12,31))/100)))</f>
        <v/>
      </c>
      <c r="AP129" s="82">
        <f>IF($C129="","",IF(PULL_FUND="N","",IF(COUNTIFS('Fund History'!$G$714:$G$718,"&gt;="&amp;DATE(YEAR_Y-2,1,1),'Fund History'!$G$714:$G$718,"&lt;="&amp;DATE(YEAR_Y-2,12,31))=0,"",SUMIFS('Fund History'!$H$714:$H$718,'Fund History'!$G$714:$G$718,"&gt;="&amp;DATE(YEAR_Y-2,1,1),'Fund History'!$G$714:$G$718,"&lt;="&amp;DATE(YEAR_Y-2,12,31))/100)))</f>
        <v/>
      </c>
      <c r="AQ129" s="82">
        <f>IF($C129="","",IF(PULL_FUND="N","",IF(COUNTIFS('Fund History'!$G$714:$G$718,"&gt;="&amp;DATE(YEAR_Y-1,1,1),'Fund History'!$G$714:$G$718,"&lt;="&amp;DATE(YEAR_Y-1,12,31))=0,"",SUMIFS('Fund History'!$H$714:$H$718,'Fund History'!$G$714:$G$718,"&gt;="&amp;DATE(YEAR_Y-1,1,1),'Fund History'!$G$714:$G$718,"&lt;="&amp;DATE(YEAR_Y-1,12,31))/100)))</f>
        <v/>
      </c>
      <c r="AR129" s="83">
        <f>IF($C129="","",IF(N($AQ129)+N(HSTECH!$I$24)=0,"",N($AQ129)+N(HSTECH!$I$24)/100))</f>
        <v/>
      </c>
      <c r="AS129" s="75">
        <f>IF($C129="","",IF(PULL_FUND="N","",IF(COUNTIFS('Fund History'!$D$714:$D$718,"&gt;="&amp;DATE(YEAR_Y-2,1,1),'Fund History'!$D$714:$D$718,"&lt;="&amp;DATE(YEAR_Y-2,12,31))=0,"",SUMIFS('Fund History'!$E$714:$E$718,'Fund History'!$D$714:$D$718,"&gt;="&amp;DATE(YEAR_Y-2,1,1),'Fund History'!$D$714:$D$718,"&lt;="&amp;DATE(YEAR_Y-2,12,31)))))</f>
        <v/>
      </c>
      <c r="AT129" s="76">
        <f>IF($C129="","",IF(PULL_FUND="N","",IF(COUNTIFS('Fund History'!$D$714:$D$718,"&gt;="&amp;DATE(YEAR_Y-1,1,1),'Fund History'!$D$714:$D$718,"&lt;="&amp;DATE(YEAR_Y-1,12,31))=0,"",SUMIFS('Fund History'!$E$714:$E$718,'Fund History'!$D$714:$D$718,"&gt;="&amp;DATE(YEAR_Y-1,1,1),'Fund History'!$D$714:$D$718,"&lt;="&amp;DATE(YEAR_Y-1,12,31)))))</f>
        <v/>
      </c>
      <c r="AU129" s="76">
        <f>IF($C129="","",IF(PULL_FUND="N","",IFERROR(BDP($C129,NDEBITDA_FIELD),"")))</f>
        <v/>
      </c>
      <c r="AV129" s="84">
        <f>IF($C129="","",IF(PULL_FUND="N","",IFERROR(BDP($C129,EBINT_FIELD),"")))</f>
        <v/>
      </c>
      <c r="AW129" s="82">
        <f>IF($C129="","",IF(PULL_FUND="N","",IFERROR(BDP($C129,FCF_FIELD)/100,"")))</f>
        <v/>
      </c>
      <c r="AX129" s="50">
        <f>IF($C129="","",IF(N($U129)=0,"",IFERROR($AW129/$U129,"")))</f>
        <v/>
      </c>
      <c r="AY129" s="85">
        <f>IF($C129="","",TRIM(IF(ISNUMBER($AJ129)*(N($AJ129)&gt;$D$4)&gt;0,"payout high  ","")&amp;IF(ISNUMBER($AX129)*(N($AX129)&lt;$F$4)&gt;0,"FCF below dvd  ","")&amp;IF(ISNUMBER($AU129)*(N($AU129)&gt;$H$4)&gt;0,"leverage high","")))</f>
        <v/>
      </c>
      <c r="AZ129" s="86">
        <f>IF($C129="","",IF(HSTECH!$F$24="HKD","",HSTECH!$F$24))</f>
        <v/>
      </c>
    </row>
    <row r="130">
      <c r="B130" s="66" t="inlineStr">
        <is>
          <t>HSTECH</t>
        </is>
      </c>
      <c r="C130" s="8">
        <f>IF(HSTECH!$C$25="","",HSTECH!$C$25)</f>
        <v/>
      </c>
      <c r="D130" s="8">
        <f>IF($C130="","",HSTECH!$D$25)</f>
        <v/>
      </c>
      <c r="E130" s="8">
        <f>IF($C130="","",HSTECH!$E$25)</f>
        <v/>
      </c>
      <c r="F130" s="67">
        <f>IF($C130="","",SUMPRODUCT(('Dvd Calendar'!$E$1314:$AR$1314&gt;=DATE(YEAR_Y-5,1,1))*('Dvd Calendar'!$E$1314:$AR$1314&lt;=DATE(YEAR_Y-5,12,31))*'Dvd Calendar'!$E$1317:$AR$1317*(('Dvd Calendar'!$E$1319:$AR$1319=TYPE1)*(TYPE1&lt;&gt;"")+('Dvd Calendar'!$E$1319:$AR$1319=TYPE2)*(TYPE2&lt;&gt;"")+('Dvd Calendar'!$E$1319:$AR$1319=TYPE3)*(TYPE3&lt;&gt;"")+('Dvd Calendar'!$E$1319:$AR$1319=TYPE4)*(TYPE4&lt;&gt;"")+('Dvd Calendar'!$E$1319:$AR$1319=SPECIAL_LBL)*(INC_SPECIALS="Y"))))</f>
        <v/>
      </c>
      <c r="G130" s="68">
        <f>IF($C130="","",SUMPRODUCT(('Dvd Calendar'!$E$1314:$AR$1314&gt;=DATE(YEAR_Y-4,1,1))*('Dvd Calendar'!$E$1314:$AR$1314&lt;=DATE(YEAR_Y-4,12,31))*'Dvd Calendar'!$E$1317:$AR$1317*(('Dvd Calendar'!$E$1319:$AR$1319=TYPE1)*(TYPE1&lt;&gt;"")+('Dvd Calendar'!$E$1319:$AR$1319=TYPE2)*(TYPE2&lt;&gt;"")+('Dvd Calendar'!$E$1319:$AR$1319=TYPE3)*(TYPE3&lt;&gt;"")+('Dvd Calendar'!$E$1319:$AR$1319=TYPE4)*(TYPE4&lt;&gt;"")+('Dvd Calendar'!$E$1319:$AR$1319=SPECIAL_LBL)*(INC_SPECIALS="Y"))))</f>
        <v/>
      </c>
      <c r="H130" s="68">
        <f>IF($C130="","",SUMPRODUCT(('Dvd Calendar'!$E$1314:$AR$1314&gt;=DATE(YEAR_Y-3,1,1))*('Dvd Calendar'!$E$1314:$AR$1314&lt;=DATE(YEAR_Y-3,12,31))*'Dvd Calendar'!$E$1317:$AR$1317*(('Dvd Calendar'!$E$1319:$AR$1319=TYPE1)*(TYPE1&lt;&gt;"")+('Dvd Calendar'!$E$1319:$AR$1319=TYPE2)*(TYPE2&lt;&gt;"")+('Dvd Calendar'!$E$1319:$AR$1319=TYPE3)*(TYPE3&lt;&gt;"")+('Dvd Calendar'!$E$1319:$AR$1319=TYPE4)*(TYPE4&lt;&gt;"")+('Dvd Calendar'!$E$1319:$AR$1319=SPECIAL_LBL)*(INC_SPECIALS="Y"))))</f>
        <v/>
      </c>
      <c r="I130" s="68">
        <f>IF($C130="","",SUMPRODUCT(('Dvd Calendar'!$E$1314:$AR$1314&gt;=DATE(YEAR_Y-2,1,1))*('Dvd Calendar'!$E$1314:$AR$1314&lt;=DATE(YEAR_Y-2,12,31))*'Dvd Calendar'!$E$1317:$AR$1317*(('Dvd Calendar'!$E$1319:$AR$1319=TYPE1)*(TYPE1&lt;&gt;"")+('Dvd Calendar'!$E$1319:$AR$1319=TYPE2)*(TYPE2&lt;&gt;"")+('Dvd Calendar'!$E$1319:$AR$1319=TYPE3)*(TYPE3&lt;&gt;"")+('Dvd Calendar'!$E$1319:$AR$1319=TYPE4)*(TYPE4&lt;&gt;"")+('Dvd Calendar'!$E$1319:$AR$1319=SPECIAL_LBL)*(INC_SPECIALS="Y"))))</f>
        <v/>
      </c>
      <c r="J130" s="68">
        <f>IF($C130="","",SUMPRODUCT(('Dvd Calendar'!$E$1314:$AR$1314&gt;=DATE(YEAR_Y-1,1,1))*('Dvd Calendar'!$E$1314:$AR$1314&lt;=DATE(YEAR_Y-1,12,31))*'Dvd Calendar'!$E$1317:$AR$1317*(('Dvd Calendar'!$E$1319:$AR$1319=TYPE1)*(TYPE1&lt;&gt;"")+('Dvd Calendar'!$E$1319:$AR$1319=TYPE2)*(TYPE2&lt;&gt;"")+('Dvd Calendar'!$E$1319:$AR$1319=TYPE3)*(TYPE3&lt;&gt;"")+('Dvd Calendar'!$E$1319:$AR$1319=TYPE4)*(TYPE4&lt;&gt;"")+('Dvd Calendar'!$E$1319:$AR$1319=SPECIAL_LBL)*(INC_SPECIALS="Y"))))</f>
        <v/>
      </c>
      <c r="K130" s="69">
        <f>IF($C130="","",HSTECH!$J$25)</f>
        <v/>
      </c>
      <c r="L130" s="69">
        <f>IF($C130="","",HSTECH!$K$25)</f>
        <v/>
      </c>
      <c r="M130" s="44">
        <f>IF($C130="","",HSTECH!$J$25+HSTECH!$L$25)</f>
        <v/>
      </c>
      <c r="N130" s="70">
        <f>IF($C130="","",IF(PULL_FUND="N","",IFERROR(BDP($C130,BESTDPS_FIELD,FWD_OVERRIDE,TEXT(MOD(YEAR_Y,100),"00")&amp;"Y"),"")))</f>
        <v/>
      </c>
      <c r="O130" s="69">
        <f>IF($C130="","",AVERAGE(F130:J130))</f>
        <v/>
      </c>
      <c r="P130" s="71">
        <f>IF($C130="","",IF(PULL_FUND="N","",IF(COUNTIFS('Fund History'!$J$720:$J$724,"&gt;="&amp;DATE(YEAR_Y-5,1,1),'Fund History'!$J$720:$J$724,"&lt;="&amp;DATE(YEAR_Y-5,12,31))=0,"",IFERROR($F130*HSTECH!$G$25/SUMIFS('Fund History'!$K$720:$K$724,'Fund History'!$J$720:$J$724,"&gt;="&amp;DATE(YEAR_Y-5,1,1),'Fund History'!$J$720:$J$724,"&lt;="&amp;DATE(YEAR_Y-5,12,31)),""))))</f>
        <v/>
      </c>
      <c r="Q130" s="72">
        <f>IF($C130="","",IF(PULL_FUND="N","",IF(COUNTIFS('Fund History'!$J$720:$J$724,"&gt;="&amp;DATE(YEAR_Y-4,1,1),'Fund History'!$J$720:$J$724,"&lt;="&amp;DATE(YEAR_Y-4,12,31))=0,"",IFERROR($G130*HSTECH!$G$25/SUMIFS('Fund History'!$K$720:$K$724,'Fund History'!$J$720:$J$724,"&gt;="&amp;DATE(YEAR_Y-4,1,1),'Fund History'!$J$720:$J$724,"&lt;="&amp;DATE(YEAR_Y-4,12,31)),""))))</f>
        <v/>
      </c>
      <c r="R130" s="72">
        <f>IF($C130="","",IF(PULL_FUND="N","",IF(COUNTIFS('Fund History'!$J$720:$J$724,"&gt;="&amp;DATE(YEAR_Y-3,1,1),'Fund History'!$J$720:$J$724,"&lt;="&amp;DATE(YEAR_Y-3,12,31))=0,"",IFERROR($H130*HSTECH!$G$25/SUMIFS('Fund History'!$K$720:$K$724,'Fund History'!$J$720:$J$724,"&gt;="&amp;DATE(YEAR_Y-3,1,1),'Fund History'!$J$720:$J$724,"&lt;="&amp;DATE(YEAR_Y-3,12,31)),""))))</f>
        <v/>
      </c>
      <c r="S130" s="72">
        <f>IF($C130="","",IF(PULL_FUND="N","",IF(COUNTIFS('Fund History'!$J$720:$J$724,"&gt;="&amp;DATE(YEAR_Y-2,1,1),'Fund History'!$J$720:$J$724,"&lt;="&amp;DATE(YEAR_Y-2,12,31))=0,"",IFERROR($I130*HSTECH!$G$25/SUMIFS('Fund History'!$K$720:$K$724,'Fund History'!$J$720:$J$724,"&gt;="&amp;DATE(YEAR_Y-2,1,1),'Fund History'!$J$720:$J$724,"&lt;="&amp;DATE(YEAR_Y-2,12,31)),""))))</f>
        <v/>
      </c>
      <c r="T130" s="72">
        <f>IF($C130="","",IF(PULL_FUND="N","",IF(COUNTIFS('Fund History'!$J$720:$J$724,"&gt;="&amp;DATE(YEAR_Y-1,1,1),'Fund History'!$J$720:$J$724,"&lt;="&amp;DATE(YEAR_Y-1,12,31))=0,"",IFERROR($J130*HSTECH!$G$25/SUMIFS('Fund History'!$K$720:$K$724,'Fund History'!$J$720:$J$724,"&gt;="&amp;DATE(YEAR_Y-1,1,1),'Fund History'!$J$720:$J$724,"&lt;="&amp;DATE(YEAR_Y-1,12,31)),""))))</f>
        <v/>
      </c>
      <c r="U130" s="73">
        <f>IF($C130="","",IF(ISNUMBER(HSTECH!$I$25),HSTECH!$I$25/100,""))</f>
        <v/>
      </c>
      <c r="V130" s="74">
        <f>IF($C130="","",IF(ISNUMBER(HSTECH!$X$25),IFERROR($M130*HSTECH!$G$25/HSTECH!$X$25,""),""))</f>
        <v/>
      </c>
      <c r="W130" s="73">
        <f>IF($C130="","",IF(ISNUMBER($N130),IFERROR($N130*HSTECH!$G$25/HSTECH!$X$25,""),""))</f>
        <v/>
      </c>
      <c r="X130" s="75">
        <f>IF($C130="","",IF(PULL_FUND="N","",IFERROR(BDP($C130,EPS_FIELD,YR_OVERRIDE,TEXT(YEAR_Y-5,"0")),"")))</f>
        <v/>
      </c>
      <c r="Y130" s="76">
        <f>IF($C130="","",IF(PULL_FUND="N","",IFERROR(BDP($C130,EPS_FIELD,YR_OVERRIDE,TEXT(YEAR_Y-4,"0")),"")))</f>
        <v/>
      </c>
      <c r="Z130" s="76">
        <f>IF($C130="","",IF(PULL_FUND="N","",IFERROR(BDP($C130,EPS_FIELD,YR_OVERRIDE,TEXT(YEAR_Y-3,"0")),"")))</f>
        <v/>
      </c>
      <c r="AA130" s="76">
        <f>IF($C130="","",IF(PULL_FUND="N","",IFERROR(BDP($C130,EPS_FIELD,YR_OVERRIDE,TEXT(YEAR_Y-2,"0")),"")))</f>
        <v/>
      </c>
      <c r="AB130" s="76">
        <f>IF($C130="","",IF(PULL_FUND="N","",IFERROR(BDP($C130,EPS_FIELD,YR_OVERRIDE,TEXT(YEAR_Y-1,"0")),"")))</f>
        <v/>
      </c>
      <c r="AC130" s="50">
        <f>IF($C130="","",IFERROR(AVERAGE(X130:AB130),""))</f>
        <v/>
      </c>
      <c r="AD130" s="76">
        <f>IF($C130="","",IF(PULL_FUND="N","",IFERROR(BDP($C130,BESTEPS_FIELD,FWD_OVERRIDE,TEXT(MOD(YEAR_Y,100),"00")&amp;"Y"),"")))</f>
        <v/>
      </c>
      <c r="AE130" s="77">
        <f>IF($C130="","",IF(PULL_FUND="N","",IFERROR(BDP($C130,PAYOUT_FIELD,YR_OVERRIDE,TEXT(YEAR_Y-5,"0"))/100,"")))</f>
        <v/>
      </c>
      <c r="AF130" s="78">
        <f>IF($C130="","",IF(PULL_FUND="N","",IFERROR(BDP($C130,PAYOUT_FIELD,YR_OVERRIDE,TEXT(YEAR_Y-4,"0"))/100,"")))</f>
        <v/>
      </c>
      <c r="AG130" s="78">
        <f>IF($C130="","",IF(PULL_FUND="N","",IFERROR(BDP($C130,PAYOUT_FIELD,YR_OVERRIDE,TEXT(YEAR_Y-3,"0"))/100,"")))</f>
        <v/>
      </c>
      <c r="AH130" s="78">
        <f>IF($C130="","",IF(PULL_FUND="N","",IFERROR(BDP($C130,PAYOUT_FIELD,YR_OVERRIDE,TEXT(YEAR_Y-2,"0"))/100,"")))</f>
        <v/>
      </c>
      <c r="AI130" s="78">
        <f>IF($C130="","",IF(PULL_FUND="N","",IFERROR(BDP($C130,PAYOUT_FIELD,YR_OVERRIDE,TEXT(YEAR_Y-1,"0"))/100,"")))</f>
        <v/>
      </c>
      <c r="AJ130" s="79">
        <f>IF($C130="","",IFERROR(AVERAGE(AE130:AI130),""))</f>
        <v/>
      </c>
      <c r="AK130" s="80">
        <f>IF($C130="","",IF(ISNUMBER($AD130)*ISNUMBER($N130)*($AD130&lt;&gt;0)=0,"",$N130/$AD130))</f>
        <v/>
      </c>
      <c r="AL130" s="79">
        <f>IF($C130="","",IF(ISNUMBER($AD130)*($AD130&lt;&gt;0)=0,"",$M130/$AD130))</f>
        <v/>
      </c>
      <c r="AM130" s="37">
        <f>IF($C130="","",IF(ISNUMBER($AE130)*ISNUMBER($AI130)=0,"",IF($AI130&gt;$AE130+0.05,"rising",IF($AI130&lt;$AE130-0.05,"falling","stable"))))</f>
        <v/>
      </c>
      <c r="AN130" s="81">
        <f>IF($C130="","",IF(PULL_FUND="N","",IF(COUNTIFS('Fund History'!$G$720:$G$724,"&gt;="&amp;DATE(YEAR_Y-4,1,1),'Fund History'!$G$720:$G$724,"&lt;="&amp;DATE(YEAR_Y-4,12,31))=0,"",SUMIFS('Fund History'!$H$720:$H$724,'Fund History'!$G$720:$G$724,"&gt;="&amp;DATE(YEAR_Y-4,1,1),'Fund History'!$G$720:$G$724,"&lt;="&amp;DATE(YEAR_Y-4,12,31))/100)))</f>
        <v/>
      </c>
      <c r="AO130" s="82">
        <f>IF($C130="","",IF(PULL_FUND="N","",IF(COUNTIFS('Fund History'!$G$720:$G$724,"&gt;="&amp;DATE(YEAR_Y-3,1,1),'Fund History'!$G$720:$G$724,"&lt;="&amp;DATE(YEAR_Y-3,12,31))=0,"",SUMIFS('Fund History'!$H$720:$H$724,'Fund History'!$G$720:$G$724,"&gt;="&amp;DATE(YEAR_Y-3,1,1),'Fund History'!$G$720:$G$724,"&lt;="&amp;DATE(YEAR_Y-3,12,31))/100)))</f>
        <v/>
      </c>
      <c r="AP130" s="82">
        <f>IF($C130="","",IF(PULL_FUND="N","",IF(COUNTIFS('Fund History'!$G$720:$G$724,"&gt;="&amp;DATE(YEAR_Y-2,1,1),'Fund History'!$G$720:$G$724,"&lt;="&amp;DATE(YEAR_Y-2,12,31))=0,"",SUMIFS('Fund History'!$H$720:$H$724,'Fund History'!$G$720:$G$724,"&gt;="&amp;DATE(YEAR_Y-2,1,1),'Fund History'!$G$720:$G$724,"&lt;="&amp;DATE(YEAR_Y-2,12,31))/100)))</f>
        <v/>
      </c>
      <c r="AQ130" s="82">
        <f>IF($C130="","",IF(PULL_FUND="N","",IF(COUNTIFS('Fund History'!$G$720:$G$724,"&gt;="&amp;DATE(YEAR_Y-1,1,1),'Fund History'!$G$720:$G$724,"&lt;="&amp;DATE(YEAR_Y-1,12,31))=0,"",SUMIFS('Fund History'!$H$720:$H$724,'Fund History'!$G$720:$G$724,"&gt;="&amp;DATE(YEAR_Y-1,1,1),'Fund History'!$G$720:$G$724,"&lt;="&amp;DATE(YEAR_Y-1,12,31))/100)))</f>
        <v/>
      </c>
      <c r="AR130" s="83">
        <f>IF($C130="","",IF(N($AQ130)+N(HSTECH!$I$25)=0,"",N($AQ130)+N(HSTECH!$I$25)/100))</f>
        <v/>
      </c>
      <c r="AS130" s="75">
        <f>IF($C130="","",IF(PULL_FUND="N","",IF(COUNTIFS('Fund History'!$D$720:$D$724,"&gt;="&amp;DATE(YEAR_Y-2,1,1),'Fund History'!$D$720:$D$724,"&lt;="&amp;DATE(YEAR_Y-2,12,31))=0,"",SUMIFS('Fund History'!$E$720:$E$724,'Fund History'!$D$720:$D$724,"&gt;="&amp;DATE(YEAR_Y-2,1,1),'Fund History'!$D$720:$D$724,"&lt;="&amp;DATE(YEAR_Y-2,12,31)))))</f>
        <v/>
      </c>
      <c r="AT130" s="76">
        <f>IF($C130="","",IF(PULL_FUND="N","",IF(COUNTIFS('Fund History'!$D$720:$D$724,"&gt;="&amp;DATE(YEAR_Y-1,1,1),'Fund History'!$D$720:$D$724,"&lt;="&amp;DATE(YEAR_Y-1,12,31))=0,"",SUMIFS('Fund History'!$E$720:$E$724,'Fund History'!$D$720:$D$724,"&gt;="&amp;DATE(YEAR_Y-1,1,1),'Fund History'!$D$720:$D$724,"&lt;="&amp;DATE(YEAR_Y-1,12,31)))))</f>
        <v/>
      </c>
      <c r="AU130" s="76">
        <f>IF($C130="","",IF(PULL_FUND="N","",IFERROR(BDP($C130,NDEBITDA_FIELD),"")))</f>
        <v/>
      </c>
      <c r="AV130" s="84">
        <f>IF($C130="","",IF(PULL_FUND="N","",IFERROR(BDP($C130,EBINT_FIELD),"")))</f>
        <v/>
      </c>
      <c r="AW130" s="82">
        <f>IF($C130="","",IF(PULL_FUND="N","",IFERROR(BDP($C130,FCF_FIELD)/100,"")))</f>
        <v/>
      </c>
      <c r="AX130" s="50">
        <f>IF($C130="","",IF(N($U130)=0,"",IFERROR($AW130/$U130,"")))</f>
        <v/>
      </c>
      <c r="AY130" s="85">
        <f>IF($C130="","",TRIM(IF(ISNUMBER($AJ130)*(N($AJ130)&gt;$D$4)&gt;0,"payout high  ","")&amp;IF(ISNUMBER($AX130)*(N($AX130)&lt;$F$4)&gt;0,"FCF below dvd  ","")&amp;IF(ISNUMBER($AU130)*(N($AU130)&gt;$H$4)&gt;0,"leverage high","")))</f>
        <v/>
      </c>
      <c r="AZ130" s="86">
        <f>IF($C130="","",IF(HSTECH!$F$25="HKD","",HSTECH!$F$25))</f>
        <v/>
      </c>
    </row>
    <row r="131">
      <c r="B131" s="66" t="inlineStr">
        <is>
          <t>HSTECH</t>
        </is>
      </c>
      <c r="C131" s="8">
        <f>IF(HSTECH!$C$26="","",HSTECH!$C$26)</f>
        <v/>
      </c>
      <c r="D131" s="8">
        <f>IF($C131="","",HSTECH!$D$26)</f>
        <v/>
      </c>
      <c r="E131" s="8">
        <f>IF($C131="","",HSTECH!$E$26)</f>
        <v/>
      </c>
      <c r="F131" s="67">
        <f>IF($C131="","",SUMPRODUCT(('Dvd Calendar'!$E$1325:$AR$1325&gt;=DATE(YEAR_Y-5,1,1))*('Dvd Calendar'!$E$1325:$AR$1325&lt;=DATE(YEAR_Y-5,12,31))*'Dvd Calendar'!$E$1328:$AR$1328*(('Dvd Calendar'!$E$1330:$AR$1330=TYPE1)*(TYPE1&lt;&gt;"")+('Dvd Calendar'!$E$1330:$AR$1330=TYPE2)*(TYPE2&lt;&gt;"")+('Dvd Calendar'!$E$1330:$AR$1330=TYPE3)*(TYPE3&lt;&gt;"")+('Dvd Calendar'!$E$1330:$AR$1330=TYPE4)*(TYPE4&lt;&gt;"")+('Dvd Calendar'!$E$1330:$AR$1330=SPECIAL_LBL)*(INC_SPECIALS="Y"))))</f>
        <v/>
      </c>
      <c r="G131" s="68">
        <f>IF($C131="","",SUMPRODUCT(('Dvd Calendar'!$E$1325:$AR$1325&gt;=DATE(YEAR_Y-4,1,1))*('Dvd Calendar'!$E$1325:$AR$1325&lt;=DATE(YEAR_Y-4,12,31))*'Dvd Calendar'!$E$1328:$AR$1328*(('Dvd Calendar'!$E$1330:$AR$1330=TYPE1)*(TYPE1&lt;&gt;"")+('Dvd Calendar'!$E$1330:$AR$1330=TYPE2)*(TYPE2&lt;&gt;"")+('Dvd Calendar'!$E$1330:$AR$1330=TYPE3)*(TYPE3&lt;&gt;"")+('Dvd Calendar'!$E$1330:$AR$1330=TYPE4)*(TYPE4&lt;&gt;"")+('Dvd Calendar'!$E$1330:$AR$1330=SPECIAL_LBL)*(INC_SPECIALS="Y"))))</f>
        <v/>
      </c>
      <c r="H131" s="68">
        <f>IF($C131="","",SUMPRODUCT(('Dvd Calendar'!$E$1325:$AR$1325&gt;=DATE(YEAR_Y-3,1,1))*('Dvd Calendar'!$E$1325:$AR$1325&lt;=DATE(YEAR_Y-3,12,31))*'Dvd Calendar'!$E$1328:$AR$1328*(('Dvd Calendar'!$E$1330:$AR$1330=TYPE1)*(TYPE1&lt;&gt;"")+('Dvd Calendar'!$E$1330:$AR$1330=TYPE2)*(TYPE2&lt;&gt;"")+('Dvd Calendar'!$E$1330:$AR$1330=TYPE3)*(TYPE3&lt;&gt;"")+('Dvd Calendar'!$E$1330:$AR$1330=TYPE4)*(TYPE4&lt;&gt;"")+('Dvd Calendar'!$E$1330:$AR$1330=SPECIAL_LBL)*(INC_SPECIALS="Y"))))</f>
        <v/>
      </c>
      <c r="I131" s="68">
        <f>IF($C131="","",SUMPRODUCT(('Dvd Calendar'!$E$1325:$AR$1325&gt;=DATE(YEAR_Y-2,1,1))*('Dvd Calendar'!$E$1325:$AR$1325&lt;=DATE(YEAR_Y-2,12,31))*'Dvd Calendar'!$E$1328:$AR$1328*(('Dvd Calendar'!$E$1330:$AR$1330=TYPE1)*(TYPE1&lt;&gt;"")+('Dvd Calendar'!$E$1330:$AR$1330=TYPE2)*(TYPE2&lt;&gt;"")+('Dvd Calendar'!$E$1330:$AR$1330=TYPE3)*(TYPE3&lt;&gt;"")+('Dvd Calendar'!$E$1330:$AR$1330=TYPE4)*(TYPE4&lt;&gt;"")+('Dvd Calendar'!$E$1330:$AR$1330=SPECIAL_LBL)*(INC_SPECIALS="Y"))))</f>
        <v/>
      </c>
      <c r="J131" s="68">
        <f>IF($C131="","",SUMPRODUCT(('Dvd Calendar'!$E$1325:$AR$1325&gt;=DATE(YEAR_Y-1,1,1))*('Dvd Calendar'!$E$1325:$AR$1325&lt;=DATE(YEAR_Y-1,12,31))*'Dvd Calendar'!$E$1328:$AR$1328*(('Dvd Calendar'!$E$1330:$AR$1330=TYPE1)*(TYPE1&lt;&gt;"")+('Dvd Calendar'!$E$1330:$AR$1330=TYPE2)*(TYPE2&lt;&gt;"")+('Dvd Calendar'!$E$1330:$AR$1330=TYPE3)*(TYPE3&lt;&gt;"")+('Dvd Calendar'!$E$1330:$AR$1330=TYPE4)*(TYPE4&lt;&gt;"")+('Dvd Calendar'!$E$1330:$AR$1330=SPECIAL_LBL)*(INC_SPECIALS="Y"))))</f>
        <v/>
      </c>
      <c r="K131" s="69">
        <f>IF($C131="","",HSTECH!$J$26)</f>
        <v/>
      </c>
      <c r="L131" s="69">
        <f>IF($C131="","",HSTECH!$K$26)</f>
        <v/>
      </c>
      <c r="M131" s="44">
        <f>IF($C131="","",HSTECH!$J$26+HSTECH!$L$26)</f>
        <v/>
      </c>
      <c r="N131" s="70">
        <f>IF($C131="","",IF(PULL_FUND="N","",IFERROR(BDP($C131,BESTDPS_FIELD,FWD_OVERRIDE,TEXT(MOD(YEAR_Y,100),"00")&amp;"Y"),"")))</f>
        <v/>
      </c>
      <c r="O131" s="69">
        <f>IF($C131="","",AVERAGE(F131:J131))</f>
        <v/>
      </c>
      <c r="P131" s="71">
        <f>IF($C131="","",IF(PULL_FUND="N","",IF(COUNTIFS('Fund History'!$J$726:$J$730,"&gt;="&amp;DATE(YEAR_Y-5,1,1),'Fund History'!$J$726:$J$730,"&lt;="&amp;DATE(YEAR_Y-5,12,31))=0,"",IFERROR($F131*HSTECH!$G$26/SUMIFS('Fund History'!$K$726:$K$730,'Fund History'!$J$726:$J$730,"&gt;="&amp;DATE(YEAR_Y-5,1,1),'Fund History'!$J$726:$J$730,"&lt;="&amp;DATE(YEAR_Y-5,12,31)),""))))</f>
        <v/>
      </c>
      <c r="Q131" s="72">
        <f>IF($C131="","",IF(PULL_FUND="N","",IF(COUNTIFS('Fund History'!$J$726:$J$730,"&gt;="&amp;DATE(YEAR_Y-4,1,1),'Fund History'!$J$726:$J$730,"&lt;="&amp;DATE(YEAR_Y-4,12,31))=0,"",IFERROR($G131*HSTECH!$G$26/SUMIFS('Fund History'!$K$726:$K$730,'Fund History'!$J$726:$J$730,"&gt;="&amp;DATE(YEAR_Y-4,1,1),'Fund History'!$J$726:$J$730,"&lt;="&amp;DATE(YEAR_Y-4,12,31)),""))))</f>
        <v/>
      </c>
      <c r="R131" s="72">
        <f>IF($C131="","",IF(PULL_FUND="N","",IF(COUNTIFS('Fund History'!$J$726:$J$730,"&gt;="&amp;DATE(YEAR_Y-3,1,1),'Fund History'!$J$726:$J$730,"&lt;="&amp;DATE(YEAR_Y-3,12,31))=0,"",IFERROR($H131*HSTECH!$G$26/SUMIFS('Fund History'!$K$726:$K$730,'Fund History'!$J$726:$J$730,"&gt;="&amp;DATE(YEAR_Y-3,1,1),'Fund History'!$J$726:$J$730,"&lt;="&amp;DATE(YEAR_Y-3,12,31)),""))))</f>
        <v/>
      </c>
      <c r="S131" s="72">
        <f>IF($C131="","",IF(PULL_FUND="N","",IF(COUNTIFS('Fund History'!$J$726:$J$730,"&gt;="&amp;DATE(YEAR_Y-2,1,1),'Fund History'!$J$726:$J$730,"&lt;="&amp;DATE(YEAR_Y-2,12,31))=0,"",IFERROR($I131*HSTECH!$G$26/SUMIFS('Fund History'!$K$726:$K$730,'Fund History'!$J$726:$J$730,"&gt;="&amp;DATE(YEAR_Y-2,1,1),'Fund History'!$J$726:$J$730,"&lt;="&amp;DATE(YEAR_Y-2,12,31)),""))))</f>
        <v/>
      </c>
      <c r="T131" s="72">
        <f>IF($C131="","",IF(PULL_FUND="N","",IF(COUNTIFS('Fund History'!$J$726:$J$730,"&gt;="&amp;DATE(YEAR_Y-1,1,1),'Fund History'!$J$726:$J$730,"&lt;="&amp;DATE(YEAR_Y-1,12,31))=0,"",IFERROR($J131*HSTECH!$G$26/SUMIFS('Fund History'!$K$726:$K$730,'Fund History'!$J$726:$J$730,"&gt;="&amp;DATE(YEAR_Y-1,1,1),'Fund History'!$J$726:$J$730,"&lt;="&amp;DATE(YEAR_Y-1,12,31)),""))))</f>
        <v/>
      </c>
      <c r="U131" s="73">
        <f>IF($C131="","",IF(ISNUMBER(HSTECH!$I$26),HSTECH!$I$26/100,""))</f>
        <v/>
      </c>
      <c r="V131" s="74">
        <f>IF($C131="","",IF(ISNUMBER(HSTECH!$X$26),IFERROR($M131*HSTECH!$G$26/HSTECH!$X$26,""),""))</f>
        <v/>
      </c>
      <c r="W131" s="73">
        <f>IF($C131="","",IF(ISNUMBER($N131),IFERROR($N131*HSTECH!$G$26/HSTECH!$X$26,""),""))</f>
        <v/>
      </c>
      <c r="X131" s="75">
        <f>IF($C131="","",IF(PULL_FUND="N","",IFERROR(BDP($C131,EPS_FIELD,YR_OVERRIDE,TEXT(YEAR_Y-5,"0")),"")))</f>
        <v/>
      </c>
      <c r="Y131" s="76">
        <f>IF($C131="","",IF(PULL_FUND="N","",IFERROR(BDP($C131,EPS_FIELD,YR_OVERRIDE,TEXT(YEAR_Y-4,"0")),"")))</f>
        <v/>
      </c>
      <c r="Z131" s="76">
        <f>IF($C131="","",IF(PULL_FUND="N","",IFERROR(BDP($C131,EPS_FIELD,YR_OVERRIDE,TEXT(YEAR_Y-3,"0")),"")))</f>
        <v/>
      </c>
      <c r="AA131" s="76">
        <f>IF($C131="","",IF(PULL_FUND="N","",IFERROR(BDP($C131,EPS_FIELD,YR_OVERRIDE,TEXT(YEAR_Y-2,"0")),"")))</f>
        <v/>
      </c>
      <c r="AB131" s="76">
        <f>IF($C131="","",IF(PULL_FUND="N","",IFERROR(BDP($C131,EPS_FIELD,YR_OVERRIDE,TEXT(YEAR_Y-1,"0")),"")))</f>
        <v/>
      </c>
      <c r="AC131" s="50">
        <f>IF($C131="","",IFERROR(AVERAGE(X131:AB131),""))</f>
        <v/>
      </c>
      <c r="AD131" s="76">
        <f>IF($C131="","",IF(PULL_FUND="N","",IFERROR(BDP($C131,BESTEPS_FIELD,FWD_OVERRIDE,TEXT(MOD(YEAR_Y,100),"00")&amp;"Y"),"")))</f>
        <v/>
      </c>
      <c r="AE131" s="77">
        <f>IF($C131="","",IF(PULL_FUND="N","",IFERROR(BDP($C131,PAYOUT_FIELD,YR_OVERRIDE,TEXT(YEAR_Y-5,"0"))/100,"")))</f>
        <v/>
      </c>
      <c r="AF131" s="78">
        <f>IF($C131="","",IF(PULL_FUND="N","",IFERROR(BDP($C131,PAYOUT_FIELD,YR_OVERRIDE,TEXT(YEAR_Y-4,"0"))/100,"")))</f>
        <v/>
      </c>
      <c r="AG131" s="78">
        <f>IF($C131="","",IF(PULL_FUND="N","",IFERROR(BDP($C131,PAYOUT_FIELD,YR_OVERRIDE,TEXT(YEAR_Y-3,"0"))/100,"")))</f>
        <v/>
      </c>
      <c r="AH131" s="78">
        <f>IF($C131="","",IF(PULL_FUND="N","",IFERROR(BDP($C131,PAYOUT_FIELD,YR_OVERRIDE,TEXT(YEAR_Y-2,"0"))/100,"")))</f>
        <v/>
      </c>
      <c r="AI131" s="78">
        <f>IF($C131="","",IF(PULL_FUND="N","",IFERROR(BDP($C131,PAYOUT_FIELD,YR_OVERRIDE,TEXT(YEAR_Y-1,"0"))/100,"")))</f>
        <v/>
      </c>
      <c r="AJ131" s="79">
        <f>IF($C131="","",IFERROR(AVERAGE(AE131:AI131),""))</f>
        <v/>
      </c>
      <c r="AK131" s="80">
        <f>IF($C131="","",IF(ISNUMBER($AD131)*ISNUMBER($N131)*($AD131&lt;&gt;0)=0,"",$N131/$AD131))</f>
        <v/>
      </c>
      <c r="AL131" s="79">
        <f>IF($C131="","",IF(ISNUMBER($AD131)*($AD131&lt;&gt;0)=0,"",$M131/$AD131))</f>
        <v/>
      </c>
      <c r="AM131" s="37">
        <f>IF($C131="","",IF(ISNUMBER($AE131)*ISNUMBER($AI131)=0,"",IF($AI131&gt;$AE131+0.05,"rising",IF($AI131&lt;$AE131-0.05,"falling","stable"))))</f>
        <v/>
      </c>
      <c r="AN131" s="81">
        <f>IF($C131="","",IF(PULL_FUND="N","",IF(COUNTIFS('Fund History'!$G$726:$G$730,"&gt;="&amp;DATE(YEAR_Y-4,1,1),'Fund History'!$G$726:$G$730,"&lt;="&amp;DATE(YEAR_Y-4,12,31))=0,"",SUMIFS('Fund History'!$H$726:$H$730,'Fund History'!$G$726:$G$730,"&gt;="&amp;DATE(YEAR_Y-4,1,1),'Fund History'!$G$726:$G$730,"&lt;="&amp;DATE(YEAR_Y-4,12,31))/100)))</f>
        <v/>
      </c>
      <c r="AO131" s="82">
        <f>IF($C131="","",IF(PULL_FUND="N","",IF(COUNTIFS('Fund History'!$G$726:$G$730,"&gt;="&amp;DATE(YEAR_Y-3,1,1),'Fund History'!$G$726:$G$730,"&lt;="&amp;DATE(YEAR_Y-3,12,31))=0,"",SUMIFS('Fund History'!$H$726:$H$730,'Fund History'!$G$726:$G$730,"&gt;="&amp;DATE(YEAR_Y-3,1,1),'Fund History'!$G$726:$G$730,"&lt;="&amp;DATE(YEAR_Y-3,12,31))/100)))</f>
        <v/>
      </c>
      <c r="AP131" s="82">
        <f>IF($C131="","",IF(PULL_FUND="N","",IF(COUNTIFS('Fund History'!$G$726:$G$730,"&gt;="&amp;DATE(YEAR_Y-2,1,1),'Fund History'!$G$726:$G$730,"&lt;="&amp;DATE(YEAR_Y-2,12,31))=0,"",SUMIFS('Fund History'!$H$726:$H$730,'Fund History'!$G$726:$G$730,"&gt;="&amp;DATE(YEAR_Y-2,1,1),'Fund History'!$G$726:$G$730,"&lt;="&amp;DATE(YEAR_Y-2,12,31))/100)))</f>
        <v/>
      </c>
      <c r="AQ131" s="82">
        <f>IF($C131="","",IF(PULL_FUND="N","",IF(COUNTIFS('Fund History'!$G$726:$G$730,"&gt;="&amp;DATE(YEAR_Y-1,1,1),'Fund History'!$G$726:$G$730,"&lt;="&amp;DATE(YEAR_Y-1,12,31))=0,"",SUMIFS('Fund History'!$H$726:$H$730,'Fund History'!$G$726:$G$730,"&gt;="&amp;DATE(YEAR_Y-1,1,1),'Fund History'!$G$726:$G$730,"&lt;="&amp;DATE(YEAR_Y-1,12,31))/100)))</f>
        <v/>
      </c>
      <c r="AR131" s="83">
        <f>IF($C131="","",IF(N($AQ131)+N(HSTECH!$I$26)=0,"",N($AQ131)+N(HSTECH!$I$26)/100))</f>
        <v/>
      </c>
      <c r="AS131" s="75">
        <f>IF($C131="","",IF(PULL_FUND="N","",IF(COUNTIFS('Fund History'!$D$726:$D$730,"&gt;="&amp;DATE(YEAR_Y-2,1,1),'Fund History'!$D$726:$D$730,"&lt;="&amp;DATE(YEAR_Y-2,12,31))=0,"",SUMIFS('Fund History'!$E$726:$E$730,'Fund History'!$D$726:$D$730,"&gt;="&amp;DATE(YEAR_Y-2,1,1),'Fund History'!$D$726:$D$730,"&lt;="&amp;DATE(YEAR_Y-2,12,31)))))</f>
        <v/>
      </c>
      <c r="AT131" s="76">
        <f>IF($C131="","",IF(PULL_FUND="N","",IF(COUNTIFS('Fund History'!$D$726:$D$730,"&gt;="&amp;DATE(YEAR_Y-1,1,1),'Fund History'!$D$726:$D$730,"&lt;="&amp;DATE(YEAR_Y-1,12,31))=0,"",SUMIFS('Fund History'!$E$726:$E$730,'Fund History'!$D$726:$D$730,"&gt;="&amp;DATE(YEAR_Y-1,1,1),'Fund History'!$D$726:$D$730,"&lt;="&amp;DATE(YEAR_Y-1,12,31)))))</f>
        <v/>
      </c>
      <c r="AU131" s="76">
        <f>IF($C131="","",IF(PULL_FUND="N","",IFERROR(BDP($C131,NDEBITDA_FIELD),"")))</f>
        <v/>
      </c>
      <c r="AV131" s="84">
        <f>IF($C131="","",IF(PULL_FUND="N","",IFERROR(BDP($C131,EBINT_FIELD),"")))</f>
        <v/>
      </c>
      <c r="AW131" s="82">
        <f>IF($C131="","",IF(PULL_FUND="N","",IFERROR(BDP($C131,FCF_FIELD)/100,"")))</f>
        <v/>
      </c>
      <c r="AX131" s="50">
        <f>IF($C131="","",IF(N($U131)=0,"",IFERROR($AW131/$U131,"")))</f>
        <v/>
      </c>
      <c r="AY131" s="85">
        <f>IF($C131="","",TRIM(IF(ISNUMBER($AJ131)*(N($AJ131)&gt;$D$4)&gt;0,"payout high  ","")&amp;IF(ISNUMBER($AX131)*(N($AX131)&lt;$F$4)&gt;0,"FCF below dvd  ","")&amp;IF(ISNUMBER($AU131)*(N($AU131)&gt;$H$4)&gt;0,"leverage high","")))</f>
        <v/>
      </c>
      <c r="AZ131" s="86">
        <f>IF($C131="","",IF(HSTECH!$F$26="HKD","",HSTECH!$F$26))</f>
        <v/>
      </c>
    </row>
    <row r="132">
      <c r="B132" s="66" t="inlineStr">
        <is>
          <t>HSTECH</t>
        </is>
      </c>
      <c r="C132" s="8">
        <f>IF(HSTECH!$C$27="","",HSTECH!$C$27)</f>
        <v/>
      </c>
      <c r="D132" s="8">
        <f>IF($C132="","",HSTECH!$D$27)</f>
        <v/>
      </c>
      <c r="E132" s="8">
        <f>IF($C132="","",HSTECH!$E$27)</f>
        <v/>
      </c>
      <c r="F132" s="67">
        <f>IF($C132="","",SUMPRODUCT(('Dvd Calendar'!$E$1336:$AR$1336&gt;=DATE(YEAR_Y-5,1,1))*('Dvd Calendar'!$E$1336:$AR$1336&lt;=DATE(YEAR_Y-5,12,31))*'Dvd Calendar'!$E$1339:$AR$1339*(('Dvd Calendar'!$E$1341:$AR$1341=TYPE1)*(TYPE1&lt;&gt;"")+('Dvd Calendar'!$E$1341:$AR$1341=TYPE2)*(TYPE2&lt;&gt;"")+('Dvd Calendar'!$E$1341:$AR$1341=TYPE3)*(TYPE3&lt;&gt;"")+('Dvd Calendar'!$E$1341:$AR$1341=TYPE4)*(TYPE4&lt;&gt;"")+('Dvd Calendar'!$E$1341:$AR$1341=SPECIAL_LBL)*(INC_SPECIALS="Y"))))</f>
        <v/>
      </c>
      <c r="G132" s="68">
        <f>IF($C132="","",SUMPRODUCT(('Dvd Calendar'!$E$1336:$AR$1336&gt;=DATE(YEAR_Y-4,1,1))*('Dvd Calendar'!$E$1336:$AR$1336&lt;=DATE(YEAR_Y-4,12,31))*'Dvd Calendar'!$E$1339:$AR$1339*(('Dvd Calendar'!$E$1341:$AR$1341=TYPE1)*(TYPE1&lt;&gt;"")+('Dvd Calendar'!$E$1341:$AR$1341=TYPE2)*(TYPE2&lt;&gt;"")+('Dvd Calendar'!$E$1341:$AR$1341=TYPE3)*(TYPE3&lt;&gt;"")+('Dvd Calendar'!$E$1341:$AR$1341=TYPE4)*(TYPE4&lt;&gt;"")+('Dvd Calendar'!$E$1341:$AR$1341=SPECIAL_LBL)*(INC_SPECIALS="Y"))))</f>
        <v/>
      </c>
      <c r="H132" s="68">
        <f>IF($C132="","",SUMPRODUCT(('Dvd Calendar'!$E$1336:$AR$1336&gt;=DATE(YEAR_Y-3,1,1))*('Dvd Calendar'!$E$1336:$AR$1336&lt;=DATE(YEAR_Y-3,12,31))*'Dvd Calendar'!$E$1339:$AR$1339*(('Dvd Calendar'!$E$1341:$AR$1341=TYPE1)*(TYPE1&lt;&gt;"")+('Dvd Calendar'!$E$1341:$AR$1341=TYPE2)*(TYPE2&lt;&gt;"")+('Dvd Calendar'!$E$1341:$AR$1341=TYPE3)*(TYPE3&lt;&gt;"")+('Dvd Calendar'!$E$1341:$AR$1341=TYPE4)*(TYPE4&lt;&gt;"")+('Dvd Calendar'!$E$1341:$AR$1341=SPECIAL_LBL)*(INC_SPECIALS="Y"))))</f>
        <v/>
      </c>
      <c r="I132" s="68">
        <f>IF($C132="","",SUMPRODUCT(('Dvd Calendar'!$E$1336:$AR$1336&gt;=DATE(YEAR_Y-2,1,1))*('Dvd Calendar'!$E$1336:$AR$1336&lt;=DATE(YEAR_Y-2,12,31))*'Dvd Calendar'!$E$1339:$AR$1339*(('Dvd Calendar'!$E$1341:$AR$1341=TYPE1)*(TYPE1&lt;&gt;"")+('Dvd Calendar'!$E$1341:$AR$1341=TYPE2)*(TYPE2&lt;&gt;"")+('Dvd Calendar'!$E$1341:$AR$1341=TYPE3)*(TYPE3&lt;&gt;"")+('Dvd Calendar'!$E$1341:$AR$1341=TYPE4)*(TYPE4&lt;&gt;"")+('Dvd Calendar'!$E$1341:$AR$1341=SPECIAL_LBL)*(INC_SPECIALS="Y"))))</f>
        <v/>
      </c>
      <c r="J132" s="68">
        <f>IF($C132="","",SUMPRODUCT(('Dvd Calendar'!$E$1336:$AR$1336&gt;=DATE(YEAR_Y-1,1,1))*('Dvd Calendar'!$E$1336:$AR$1336&lt;=DATE(YEAR_Y-1,12,31))*'Dvd Calendar'!$E$1339:$AR$1339*(('Dvd Calendar'!$E$1341:$AR$1341=TYPE1)*(TYPE1&lt;&gt;"")+('Dvd Calendar'!$E$1341:$AR$1341=TYPE2)*(TYPE2&lt;&gt;"")+('Dvd Calendar'!$E$1341:$AR$1341=TYPE3)*(TYPE3&lt;&gt;"")+('Dvd Calendar'!$E$1341:$AR$1341=TYPE4)*(TYPE4&lt;&gt;"")+('Dvd Calendar'!$E$1341:$AR$1341=SPECIAL_LBL)*(INC_SPECIALS="Y"))))</f>
        <v/>
      </c>
      <c r="K132" s="69">
        <f>IF($C132="","",HSTECH!$J$27)</f>
        <v/>
      </c>
      <c r="L132" s="69">
        <f>IF($C132="","",HSTECH!$K$27)</f>
        <v/>
      </c>
      <c r="M132" s="44">
        <f>IF($C132="","",HSTECH!$J$27+HSTECH!$L$27)</f>
        <v/>
      </c>
      <c r="N132" s="70">
        <f>IF($C132="","",IF(PULL_FUND="N","",IFERROR(BDP($C132,BESTDPS_FIELD,FWD_OVERRIDE,TEXT(MOD(YEAR_Y,100),"00")&amp;"Y"),"")))</f>
        <v/>
      </c>
      <c r="O132" s="69">
        <f>IF($C132="","",AVERAGE(F132:J132))</f>
        <v/>
      </c>
      <c r="P132" s="71">
        <f>IF($C132="","",IF(PULL_FUND="N","",IF(COUNTIFS('Fund History'!$J$732:$J$736,"&gt;="&amp;DATE(YEAR_Y-5,1,1),'Fund History'!$J$732:$J$736,"&lt;="&amp;DATE(YEAR_Y-5,12,31))=0,"",IFERROR($F132*HSTECH!$G$27/SUMIFS('Fund History'!$K$732:$K$736,'Fund History'!$J$732:$J$736,"&gt;="&amp;DATE(YEAR_Y-5,1,1),'Fund History'!$J$732:$J$736,"&lt;="&amp;DATE(YEAR_Y-5,12,31)),""))))</f>
        <v/>
      </c>
      <c r="Q132" s="72">
        <f>IF($C132="","",IF(PULL_FUND="N","",IF(COUNTIFS('Fund History'!$J$732:$J$736,"&gt;="&amp;DATE(YEAR_Y-4,1,1),'Fund History'!$J$732:$J$736,"&lt;="&amp;DATE(YEAR_Y-4,12,31))=0,"",IFERROR($G132*HSTECH!$G$27/SUMIFS('Fund History'!$K$732:$K$736,'Fund History'!$J$732:$J$736,"&gt;="&amp;DATE(YEAR_Y-4,1,1),'Fund History'!$J$732:$J$736,"&lt;="&amp;DATE(YEAR_Y-4,12,31)),""))))</f>
        <v/>
      </c>
      <c r="R132" s="72">
        <f>IF($C132="","",IF(PULL_FUND="N","",IF(COUNTIFS('Fund History'!$J$732:$J$736,"&gt;="&amp;DATE(YEAR_Y-3,1,1),'Fund History'!$J$732:$J$736,"&lt;="&amp;DATE(YEAR_Y-3,12,31))=0,"",IFERROR($H132*HSTECH!$G$27/SUMIFS('Fund History'!$K$732:$K$736,'Fund History'!$J$732:$J$736,"&gt;="&amp;DATE(YEAR_Y-3,1,1),'Fund History'!$J$732:$J$736,"&lt;="&amp;DATE(YEAR_Y-3,12,31)),""))))</f>
        <v/>
      </c>
      <c r="S132" s="72">
        <f>IF($C132="","",IF(PULL_FUND="N","",IF(COUNTIFS('Fund History'!$J$732:$J$736,"&gt;="&amp;DATE(YEAR_Y-2,1,1),'Fund History'!$J$732:$J$736,"&lt;="&amp;DATE(YEAR_Y-2,12,31))=0,"",IFERROR($I132*HSTECH!$G$27/SUMIFS('Fund History'!$K$732:$K$736,'Fund History'!$J$732:$J$736,"&gt;="&amp;DATE(YEAR_Y-2,1,1),'Fund History'!$J$732:$J$736,"&lt;="&amp;DATE(YEAR_Y-2,12,31)),""))))</f>
        <v/>
      </c>
      <c r="T132" s="72">
        <f>IF($C132="","",IF(PULL_FUND="N","",IF(COUNTIFS('Fund History'!$J$732:$J$736,"&gt;="&amp;DATE(YEAR_Y-1,1,1),'Fund History'!$J$732:$J$736,"&lt;="&amp;DATE(YEAR_Y-1,12,31))=0,"",IFERROR($J132*HSTECH!$G$27/SUMIFS('Fund History'!$K$732:$K$736,'Fund History'!$J$732:$J$736,"&gt;="&amp;DATE(YEAR_Y-1,1,1),'Fund History'!$J$732:$J$736,"&lt;="&amp;DATE(YEAR_Y-1,12,31)),""))))</f>
        <v/>
      </c>
      <c r="U132" s="73">
        <f>IF($C132="","",IF(ISNUMBER(HSTECH!$I$27),HSTECH!$I$27/100,""))</f>
        <v/>
      </c>
      <c r="V132" s="74">
        <f>IF($C132="","",IF(ISNUMBER(HSTECH!$X$27),IFERROR($M132*HSTECH!$G$27/HSTECH!$X$27,""),""))</f>
        <v/>
      </c>
      <c r="W132" s="73">
        <f>IF($C132="","",IF(ISNUMBER($N132),IFERROR($N132*HSTECH!$G$27/HSTECH!$X$27,""),""))</f>
        <v/>
      </c>
      <c r="X132" s="75">
        <f>IF($C132="","",IF(PULL_FUND="N","",IFERROR(BDP($C132,EPS_FIELD,YR_OVERRIDE,TEXT(YEAR_Y-5,"0")),"")))</f>
        <v/>
      </c>
      <c r="Y132" s="76">
        <f>IF($C132="","",IF(PULL_FUND="N","",IFERROR(BDP($C132,EPS_FIELD,YR_OVERRIDE,TEXT(YEAR_Y-4,"0")),"")))</f>
        <v/>
      </c>
      <c r="Z132" s="76">
        <f>IF($C132="","",IF(PULL_FUND="N","",IFERROR(BDP($C132,EPS_FIELD,YR_OVERRIDE,TEXT(YEAR_Y-3,"0")),"")))</f>
        <v/>
      </c>
      <c r="AA132" s="76">
        <f>IF($C132="","",IF(PULL_FUND="N","",IFERROR(BDP($C132,EPS_FIELD,YR_OVERRIDE,TEXT(YEAR_Y-2,"0")),"")))</f>
        <v/>
      </c>
      <c r="AB132" s="76">
        <f>IF($C132="","",IF(PULL_FUND="N","",IFERROR(BDP($C132,EPS_FIELD,YR_OVERRIDE,TEXT(YEAR_Y-1,"0")),"")))</f>
        <v/>
      </c>
      <c r="AC132" s="50">
        <f>IF($C132="","",IFERROR(AVERAGE(X132:AB132),""))</f>
        <v/>
      </c>
      <c r="AD132" s="76">
        <f>IF($C132="","",IF(PULL_FUND="N","",IFERROR(BDP($C132,BESTEPS_FIELD,FWD_OVERRIDE,TEXT(MOD(YEAR_Y,100),"00")&amp;"Y"),"")))</f>
        <v/>
      </c>
      <c r="AE132" s="77">
        <f>IF($C132="","",IF(PULL_FUND="N","",IFERROR(BDP($C132,PAYOUT_FIELD,YR_OVERRIDE,TEXT(YEAR_Y-5,"0"))/100,"")))</f>
        <v/>
      </c>
      <c r="AF132" s="78">
        <f>IF($C132="","",IF(PULL_FUND="N","",IFERROR(BDP($C132,PAYOUT_FIELD,YR_OVERRIDE,TEXT(YEAR_Y-4,"0"))/100,"")))</f>
        <v/>
      </c>
      <c r="AG132" s="78">
        <f>IF($C132="","",IF(PULL_FUND="N","",IFERROR(BDP($C132,PAYOUT_FIELD,YR_OVERRIDE,TEXT(YEAR_Y-3,"0"))/100,"")))</f>
        <v/>
      </c>
      <c r="AH132" s="78">
        <f>IF($C132="","",IF(PULL_FUND="N","",IFERROR(BDP($C132,PAYOUT_FIELD,YR_OVERRIDE,TEXT(YEAR_Y-2,"0"))/100,"")))</f>
        <v/>
      </c>
      <c r="AI132" s="78">
        <f>IF($C132="","",IF(PULL_FUND="N","",IFERROR(BDP($C132,PAYOUT_FIELD,YR_OVERRIDE,TEXT(YEAR_Y-1,"0"))/100,"")))</f>
        <v/>
      </c>
      <c r="AJ132" s="79">
        <f>IF($C132="","",IFERROR(AVERAGE(AE132:AI132),""))</f>
        <v/>
      </c>
      <c r="AK132" s="80">
        <f>IF($C132="","",IF(ISNUMBER($AD132)*ISNUMBER($N132)*($AD132&lt;&gt;0)=0,"",$N132/$AD132))</f>
        <v/>
      </c>
      <c r="AL132" s="79">
        <f>IF($C132="","",IF(ISNUMBER($AD132)*($AD132&lt;&gt;0)=0,"",$M132/$AD132))</f>
        <v/>
      </c>
      <c r="AM132" s="37">
        <f>IF($C132="","",IF(ISNUMBER($AE132)*ISNUMBER($AI132)=0,"",IF($AI132&gt;$AE132+0.05,"rising",IF($AI132&lt;$AE132-0.05,"falling","stable"))))</f>
        <v/>
      </c>
      <c r="AN132" s="81">
        <f>IF($C132="","",IF(PULL_FUND="N","",IF(COUNTIFS('Fund History'!$G$732:$G$736,"&gt;="&amp;DATE(YEAR_Y-4,1,1),'Fund History'!$G$732:$G$736,"&lt;="&amp;DATE(YEAR_Y-4,12,31))=0,"",SUMIFS('Fund History'!$H$732:$H$736,'Fund History'!$G$732:$G$736,"&gt;="&amp;DATE(YEAR_Y-4,1,1),'Fund History'!$G$732:$G$736,"&lt;="&amp;DATE(YEAR_Y-4,12,31))/100)))</f>
        <v/>
      </c>
      <c r="AO132" s="82">
        <f>IF($C132="","",IF(PULL_FUND="N","",IF(COUNTIFS('Fund History'!$G$732:$G$736,"&gt;="&amp;DATE(YEAR_Y-3,1,1),'Fund History'!$G$732:$G$736,"&lt;="&amp;DATE(YEAR_Y-3,12,31))=0,"",SUMIFS('Fund History'!$H$732:$H$736,'Fund History'!$G$732:$G$736,"&gt;="&amp;DATE(YEAR_Y-3,1,1),'Fund History'!$G$732:$G$736,"&lt;="&amp;DATE(YEAR_Y-3,12,31))/100)))</f>
        <v/>
      </c>
      <c r="AP132" s="82">
        <f>IF($C132="","",IF(PULL_FUND="N","",IF(COUNTIFS('Fund History'!$G$732:$G$736,"&gt;="&amp;DATE(YEAR_Y-2,1,1),'Fund History'!$G$732:$G$736,"&lt;="&amp;DATE(YEAR_Y-2,12,31))=0,"",SUMIFS('Fund History'!$H$732:$H$736,'Fund History'!$G$732:$G$736,"&gt;="&amp;DATE(YEAR_Y-2,1,1),'Fund History'!$G$732:$G$736,"&lt;="&amp;DATE(YEAR_Y-2,12,31))/100)))</f>
        <v/>
      </c>
      <c r="AQ132" s="82">
        <f>IF($C132="","",IF(PULL_FUND="N","",IF(COUNTIFS('Fund History'!$G$732:$G$736,"&gt;="&amp;DATE(YEAR_Y-1,1,1),'Fund History'!$G$732:$G$736,"&lt;="&amp;DATE(YEAR_Y-1,12,31))=0,"",SUMIFS('Fund History'!$H$732:$H$736,'Fund History'!$G$732:$G$736,"&gt;="&amp;DATE(YEAR_Y-1,1,1),'Fund History'!$G$732:$G$736,"&lt;="&amp;DATE(YEAR_Y-1,12,31))/100)))</f>
        <v/>
      </c>
      <c r="AR132" s="83">
        <f>IF($C132="","",IF(N($AQ132)+N(HSTECH!$I$27)=0,"",N($AQ132)+N(HSTECH!$I$27)/100))</f>
        <v/>
      </c>
      <c r="AS132" s="75">
        <f>IF($C132="","",IF(PULL_FUND="N","",IF(COUNTIFS('Fund History'!$D$732:$D$736,"&gt;="&amp;DATE(YEAR_Y-2,1,1),'Fund History'!$D$732:$D$736,"&lt;="&amp;DATE(YEAR_Y-2,12,31))=0,"",SUMIFS('Fund History'!$E$732:$E$736,'Fund History'!$D$732:$D$736,"&gt;="&amp;DATE(YEAR_Y-2,1,1),'Fund History'!$D$732:$D$736,"&lt;="&amp;DATE(YEAR_Y-2,12,31)))))</f>
        <v/>
      </c>
      <c r="AT132" s="76">
        <f>IF($C132="","",IF(PULL_FUND="N","",IF(COUNTIFS('Fund History'!$D$732:$D$736,"&gt;="&amp;DATE(YEAR_Y-1,1,1),'Fund History'!$D$732:$D$736,"&lt;="&amp;DATE(YEAR_Y-1,12,31))=0,"",SUMIFS('Fund History'!$E$732:$E$736,'Fund History'!$D$732:$D$736,"&gt;="&amp;DATE(YEAR_Y-1,1,1),'Fund History'!$D$732:$D$736,"&lt;="&amp;DATE(YEAR_Y-1,12,31)))))</f>
        <v/>
      </c>
      <c r="AU132" s="76">
        <f>IF($C132="","",IF(PULL_FUND="N","",IFERROR(BDP($C132,NDEBITDA_FIELD),"")))</f>
        <v/>
      </c>
      <c r="AV132" s="84">
        <f>IF($C132="","",IF(PULL_FUND="N","",IFERROR(BDP($C132,EBINT_FIELD),"")))</f>
        <v/>
      </c>
      <c r="AW132" s="82">
        <f>IF($C132="","",IF(PULL_FUND="N","",IFERROR(BDP($C132,FCF_FIELD)/100,"")))</f>
        <v/>
      </c>
      <c r="AX132" s="50">
        <f>IF($C132="","",IF(N($U132)=0,"",IFERROR($AW132/$U132,"")))</f>
        <v/>
      </c>
      <c r="AY132" s="85">
        <f>IF($C132="","",TRIM(IF(ISNUMBER($AJ132)*(N($AJ132)&gt;$D$4)&gt;0,"payout high  ","")&amp;IF(ISNUMBER($AX132)*(N($AX132)&lt;$F$4)&gt;0,"FCF below dvd  ","")&amp;IF(ISNUMBER($AU132)*(N($AU132)&gt;$H$4)&gt;0,"leverage high","")))</f>
        <v/>
      </c>
      <c r="AZ132" s="86">
        <f>IF($C132="","",IF(HSTECH!$F$27="HKD","",HSTECH!$F$27))</f>
        <v/>
      </c>
    </row>
    <row r="133">
      <c r="B133" s="66" t="inlineStr">
        <is>
          <t>HSTECH</t>
        </is>
      </c>
      <c r="C133" s="8">
        <f>IF(HSTECH!$C$28="","",HSTECH!$C$28)</f>
        <v/>
      </c>
      <c r="D133" s="8">
        <f>IF($C133="","",HSTECH!$D$28)</f>
        <v/>
      </c>
      <c r="E133" s="8">
        <f>IF($C133="","",HSTECH!$E$28)</f>
        <v/>
      </c>
      <c r="F133" s="67">
        <f>IF($C133="","",SUMPRODUCT(('Dvd Calendar'!$E$1347:$AR$1347&gt;=DATE(YEAR_Y-5,1,1))*('Dvd Calendar'!$E$1347:$AR$1347&lt;=DATE(YEAR_Y-5,12,31))*'Dvd Calendar'!$E$1350:$AR$1350*(('Dvd Calendar'!$E$1352:$AR$1352=TYPE1)*(TYPE1&lt;&gt;"")+('Dvd Calendar'!$E$1352:$AR$1352=TYPE2)*(TYPE2&lt;&gt;"")+('Dvd Calendar'!$E$1352:$AR$1352=TYPE3)*(TYPE3&lt;&gt;"")+('Dvd Calendar'!$E$1352:$AR$1352=TYPE4)*(TYPE4&lt;&gt;"")+('Dvd Calendar'!$E$1352:$AR$1352=SPECIAL_LBL)*(INC_SPECIALS="Y"))))</f>
        <v/>
      </c>
      <c r="G133" s="68">
        <f>IF($C133="","",SUMPRODUCT(('Dvd Calendar'!$E$1347:$AR$1347&gt;=DATE(YEAR_Y-4,1,1))*('Dvd Calendar'!$E$1347:$AR$1347&lt;=DATE(YEAR_Y-4,12,31))*'Dvd Calendar'!$E$1350:$AR$1350*(('Dvd Calendar'!$E$1352:$AR$1352=TYPE1)*(TYPE1&lt;&gt;"")+('Dvd Calendar'!$E$1352:$AR$1352=TYPE2)*(TYPE2&lt;&gt;"")+('Dvd Calendar'!$E$1352:$AR$1352=TYPE3)*(TYPE3&lt;&gt;"")+('Dvd Calendar'!$E$1352:$AR$1352=TYPE4)*(TYPE4&lt;&gt;"")+('Dvd Calendar'!$E$1352:$AR$1352=SPECIAL_LBL)*(INC_SPECIALS="Y"))))</f>
        <v/>
      </c>
      <c r="H133" s="68">
        <f>IF($C133="","",SUMPRODUCT(('Dvd Calendar'!$E$1347:$AR$1347&gt;=DATE(YEAR_Y-3,1,1))*('Dvd Calendar'!$E$1347:$AR$1347&lt;=DATE(YEAR_Y-3,12,31))*'Dvd Calendar'!$E$1350:$AR$1350*(('Dvd Calendar'!$E$1352:$AR$1352=TYPE1)*(TYPE1&lt;&gt;"")+('Dvd Calendar'!$E$1352:$AR$1352=TYPE2)*(TYPE2&lt;&gt;"")+('Dvd Calendar'!$E$1352:$AR$1352=TYPE3)*(TYPE3&lt;&gt;"")+('Dvd Calendar'!$E$1352:$AR$1352=TYPE4)*(TYPE4&lt;&gt;"")+('Dvd Calendar'!$E$1352:$AR$1352=SPECIAL_LBL)*(INC_SPECIALS="Y"))))</f>
        <v/>
      </c>
      <c r="I133" s="68">
        <f>IF($C133="","",SUMPRODUCT(('Dvd Calendar'!$E$1347:$AR$1347&gt;=DATE(YEAR_Y-2,1,1))*('Dvd Calendar'!$E$1347:$AR$1347&lt;=DATE(YEAR_Y-2,12,31))*'Dvd Calendar'!$E$1350:$AR$1350*(('Dvd Calendar'!$E$1352:$AR$1352=TYPE1)*(TYPE1&lt;&gt;"")+('Dvd Calendar'!$E$1352:$AR$1352=TYPE2)*(TYPE2&lt;&gt;"")+('Dvd Calendar'!$E$1352:$AR$1352=TYPE3)*(TYPE3&lt;&gt;"")+('Dvd Calendar'!$E$1352:$AR$1352=TYPE4)*(TYPE4&lt;&gt;"")+('Dvd Calendar'!$E$1352:$AR$1352=SPECIAL_LBL)*(INC_SPECIALS="Y"))))</f>
        <v/>
      </c>
      <c r="J133" s="68">
        <f>IF($C133="","",SUMPRODUCT(('Dvd Calendar'!$E$1347:$AR$1347&gt;=DATE(YEAR_Y-1,1,1))*('Dvd Calendar'!$E$1347:$AR$1347&lt;=DATE(YEAR_Y-1,12,31))*'Dvd Calendar'!$E$1350:$AR$1350*(('Dvd Calendar'!$E$1352:$AR$1352=TYPE1)*(TYPE1&lt;&gt;"")+('Dvd Calendar'!$E$1352:$AR$1352=TYPE2)*(TYPE2&lt;&gt;"")+('Dvd Calendar'!$E$1352:$AR$1352=TYPE3)*(TYPE3&lt;&gt;"")+('Dvd Calendar'!$E$1352:$AR$1352=TYPE4)*(TYPE4&lt;&gt;"")+('Dvd Calendar'!$E$1352:$AR$1352=SPECIAL_LBL)*(INC_SPECIALS="Y"))))</f>
        <v/>
      </c>
      <c r="K133" s="69">
        <f>IF($C133="","",HSTECH!$J$28)</f>
        <v/>
      </c>
      <c r="L133" s="69">
        <f>IF($C133="","",HSTECH!$K$28)</f>
        <v/>
      </c>
      <c r="M133" s="44">
        <f>IF($C133="","",HSTECH!$J$28+HSTECH!$L$28)</f>
        <v/>
      </c>
      <c r="N133" s="70">
        <f>IF($C133="","",IF(PULL_FUND="N","",IFERROR(BDP($C133,BESTDPS_FIELD,FWD_OVERRIDE,TEXT(MOD(YEAR_Y,100),"00")&amp;"Y"),"")))</f>
        <v/>
      </c>
      <c r="O133" s="69">
        <f>IF($C133="","",AVERAGE(F133:J133))</f>
        <v/>
      </c>
      <c r="P133" s="71">
        <f>IF($C133="","",IF(PULL_FUND="N","",IF(COUNTIFS('Fund History'!$J$738:$J$742,"&gt;="&amp;DATE(YEAR_Y-5,1,1),'Fund History'!$J$738:$J$742,"&lt;="&amp;DATE(YEAR_Y-5,12,31))=0,"",IFERROR($F133*HSTECH!$G$28/SUMIFS('Fund History'!$K$738:$K$742,'Fund History'!$J$738:$J$742,"&gt;="&amp;DATE(YEAR_Y-5,1,1),'Fund History'!$J$738:$J$742,"&lt;="&amp;DATE(YEAR_Y-5,12,31)),""))))</f>
        <v/>
      </c>
      <c r="Q133" s="72">
        <f>IF($C133="","",IF(PULL_FUND="N","",IF(COUNTIFS('Fund History'!$J$738:$J$742,"&gt;="&amp;DATE(YEAR_Y-4,1,1),'Fund History'!$J$738:$J$742,"&lt;="&amp;DATE(YEAR_Y-4,12,31))=0,"",IFERROR($G133*HSTECH!$G$28/SUMIFS('Fund History'!$K$738:$K$742,'Fund History'!$J$738:$J$742,"&gt;="&amp;DATE(YEAR_Y-4,1,1),'Fund History'!$J$738:$J$742,"&lt;="&amp;DATE(YEAR_Y-4,12,31)),""))))</f>
        <v/>
      </c>
      <c r="R133" s="72">
        <f>IF($C133="","",IF(PULL_FUND="N","",IF(COUNTIFS('Fund History'!$J$738:$J$742,"&gt;="&amp;DATE(YEAR_Y-3,1,1),'Fund History'!$J$738:$J$742,"&lt;="&amp;DATE(YEAR_Y-3,12,31))=0,"",IFERROR($H133*HSTECH!$G$28/SUMIFS('Fund History'!$K$738:$K$742,'Fund History'!$J$738:$J$742,"&gt;="&amp;DATE(YEAR_Y-3,1,1),'Fund History'!$J$738:$J$742,"&lt;="&amp;DATE(YEAR_Y-3,12,31)),""))))</f>
        <v/>
      </c>
      <c r="S133" s="72">
        <f>IF($C133="","",IF(PULL_FUND="N","",IF(COUNTIFS('Fund History'!$J$738:$J$742,"&gt;="&amp;DATE(YEAR_Y-2,1,1),'Fund History'!$J$738:$J$742,"&lt;="&amp;DATE(YEAR_Y-2,12,31))=0,"",IFERROR($I133*HSTECH!$G$28/SUMIFS('Fund History'!$K$738:$K$742,'Fund History'!$J$738:$J$742,"&gt;="&amp;DATE(YEAR_Y-2,1,1),'Fund History'!$J$738:$J$742,"&lt;="&amp;DATE(YEAR_Y-2,12,31)),""))))</f>
        <v/>
      </c>
      <c r="T133" s="72">
        <f>IF($C133="","",IF(PULL_FUND="N","",IF(COUNTIFS('Fund History'!$J$738:$J$742,"&gt;="&amp;DATE(YEAR_Y-1,1,1),'Fund History'!$J$738:$J$742,"&lt;="&amp;DATE(YEAR_Y-1,12,31))=0,"",IFERROR($J133*HSTECH!$G$28/SUMIFS('Fund History'!$K$738:$K$742,'Fund History'!$J$738:$J$742,"&gt;="&amp;DATE(YEAR_Y-1,1,1),'Fund History'!$J$738:$J$742,"&lt;="&amp;DATE(YEAR_Y-1,12,31)),""))))</f>
        <v/>
      </c>
      <c r="U133" s="73">
        <f>IF($C133="","",IF(ISNUMBER(HSTECH!$I$28),HSTECH!$I$28/100,""))</f>
        <v/>
      </c>
      <c r="V133" s="74">
        <f>IF($C133="","",IF(ISNUMBER(HSTECH!$X$28),IFERROR($M133*HSTECH!$G$28/HSTECH!$X$28,""),""))</f>
        <v/>
      </c>
      <c r="W133" s="73">
        <f>IF($C133="","",IF(ISNUMBER($N133),IFERROR($N133*HSTECH!$G$28/HSTECH!$X$28,""),""))</f>
        <v/>
      </c>
      <c r="X133" s="75">
        <f>IF($C133="","",IF(PULL_FUND="N","",IFERROR(BDP($C133,EPS_FIELD,YR_OVERRIDE,TEXT(YEAR_Y-5,"0")),"")))</f>
        <v/>
      </c>
      <c r="Y133" s="76">
        <f>IF($C133="","",IF(PULL_FUND="N","",IFERROR(BDP($C133,EPS_FIELD,YR_OVERRIDE,TEXT(YEAR_Y-4,"0")),"")))</f>
        <v/>
      </c>
      <c r="Z133" s="76">
        <f>IF($C133="","",IF(PULL_FUND="N","",IFERROR(BDP($C133,EPS_FIELD,YR_OVERRIDE,TEXT(YEAR_Y-3,"0")),"")))</f>
        <v/>
      </c>
      <c r="AA133" s="76">
        <f>IF($C133="","",IF(PULL_FUND="N","",IFERROR(BDP($C133,EPS_FIELD,YR_OVERRIDE,TEXT(YEAR_Y-2,"0")),"")))</f>
        <v/>
      </c>
      <c r="AB133" s="76">
        <f>IF($C133="","",IF(PULL_FUND="N","",IFERROR(BDP($C133,EPS_FIELD,YR_OVERRIDE,TEXT(YEAR_Y-1,"0")),"")))</f>
        <v/>
      </c>
      <c r="AC133" s="50">
        <f>IF($C133="","",IFERROR(AVERAGE(X133:AB133),""))</f>
        <v/>
      </c>
      <c r="AD133" s="76">
        <f>IF($C133="","",IF(PULL_FUND="N","",IFERROR(BDP($C133,BESTEPS_FIELD,FWD_OVERRIDE,TEXT(MOD(YEAR_Y,100),"00")&amp;"Y"),"")))</f>
        <v/>
      </c>
      <c r="AE133" s="77">
        <f>IF($C133="","",IF(PULL_FUND="N","",IFERROR(BDP($C133,PAYOUT_FIELD,YR_OVERRIDE,TEXT(YEAR_Y-5,"0"))/100,"")))</f>
        <v/>
      </c>
      <c r="AF133" s="78">
        <f>IF($C133="","",IF(PULL_FUND="N","",IFERROR(BDP($C133,PAYOUT_FIELD,YR_OVERRIDE,TEXT(YEAR_Y-4,"0"))/100,"")))</f>
        <v/>
      </c>
      <c r="AG133" s="78">
        <f>IF($C133="","",IF(PULL_FUND="N","",IFERROR(BDP($C133,PAYOUT_FIELD,YR_OVERRIDE,TEXT(YEAR_Y-3,"0"))/100,"")))</f>
        <v/>
      </c>
      <c r="AH133" s="78">
        <f>IF($C133="","",IF(PULL_FUND="N","",IFERROR(BDP($C133,PAYOUT_FIELD,YR_OVERRIDE,TEXT(YEAR_Y-2,"0"))/100,"")))</f>
        <v/>
      </c>
      <c r="AI133" s="78">
        <f>IF($C133="","",IF(PULL_FUND="N","",IFERROR(BDP($C133,PAYOUT_FIELD,YR_OVERRIDE,TEXT(YEAR_Y-1,"0"))/100,"")))</f>
        <v/>
      </c>
      <c r="AJ133" s="79">
        <f>IF($C133="","",IFERROR(AVERAGE(AE133:AI133),""))</f>
        <v/>
      </c>
      <c r="AK133" s="80">
        <f>IF($C133="","",IF(ISNUMBER($AD133)*ISNUMBER($N133)*($AD133&lt;&gt;0)=0,"",$N133/$AD133))</f>
        <v/>
      </c>
      <c r="AL133" s="79">
        <f>IF($C133="","",IF(ISNUMBER($AD133)*($AD133&lt;&gt;0)=0,"",$M133/$AD133))</f>
        <v/>
      </c>
      <c r="AM133" s="37">
        <f>IF($C133="","",IF(ISNUMBER($AE133)*ISNUMBER($AI133)=0,"",IF($AI133&gt;$AE133+0.05,"rising",IF($AI133&lt;$AE133-0.05,"falling","stable"))))</f>
        <v/>
      </c>
      <c r="AN133" s="81">
        <f>IF($C133="","",IF(PULL_FUND="N","",IF(COUNTIFS('Fund History'!$G$738:$G$742,"&gt;="&amp;DATE(YEAR_Y-4,1,1),'Fund History'!$G$738:$G$742,"&lt;="&amp;DATE(YEAR_Y-4,12,31))=0,"",SUMIFS('Fund History'!$H$738:$H$742,'Fund History'!$G$738:$G$742,"&gt;="&amp;DATE(YEAR_Y-4,1,1),'Fund History'!$G$738:$G$742,"&lt;="&amp;DATE(YEAR_Y-4,12,31))/100)))</f>
        <v/>
      </c>
      <c r="AO133" s="82">
        <f>IF($C133="","",IF(PULL_FUND="N","",IF(COUNTIFS('Fund History'!$G$738:$G$742,"&gt;="&amp;DATE(YEAR_Y-3,1,1),'Fund History'!$G$738:$G$742,"&lt;="&amp;DATE(YEAR_Y-3,12,31))=0,"",SUMIFS('Fund History'!$H$738:$H$742,'Fund History'!$G$738:$G$742,"&gt;="&amp;DATE(YEAR_Y-3,1,1),'Fund History'!$G$738:$G$742,"&lt;="&amp;DATE(YEAR_Y-3,12,31))/100)))</f>
        <v/>
      </c>
      <c r="AP133" s="82">
        <f>IF($C133="","",IF(PULL_FUND="N","",IF(COUNTIFS('Fund History'!$G$738:$G$742,"&gt;="&amp;DATE(YEAR_Y-2,1,1),'Fund History'!$G$738:$G$742,"&lt;="&amp;DATE(YEAR_Y-2,12,31))=0,"",SUMIFS('Fund History'!$H$738:$H$742,'Fund History'!$G$738:$G$742,"&gt;="&amp;DATE(YEAR_Y-2,1,1),'Fund History'!$G$738:$G$742,"&lt;="&amp;DATE(YEAR_Y-2,12,31))/100)))</f>
        <v/>
      </c>
      <c r="AQ133" s="82">
        <f>IF($C133="","",IF(PULL_FUND="N","",IF(COUNTIFS('Fund History'!$G$738:$G$742,"&gt;="&amp;DATE(YEAR_Y-1,1,1),'Fund History'!$G$738:$G$742,"&lt;="&amp;DATE(YEAR_Y-1,12,31))=0,"",SUMIFS('Fund History'!$H$738:$H$742,'Fund History'!$G$738:$G$742,"&gt;="&amp;DATE(YEAR_Y-1,1,1),'Fund History'!$G$738:$G$742,"&lt;="&amp;DATE(YEAR_Y-1,12,31))/100)))</f>
        <v/>
      </c>
      <c r="AR133" s="83">
        <f>IF($C133="","",IF(N($AQ133)+N(HSTECH!$I$28)=0,"",N($AQ133)+N(HSTECH!$I$28)/100))</f>
        <v/>
      </c>
      <c r="AS133" s="75">
        <f>IF($C133="","",IF(PULL_FUND="N","",IF(COUNTIFS('Fund History'!$D$738:$D$742,"&gt;="&amp;DATE(YEAR_Y-2,1,1),'Fund History'!$D$738:$D$742,"&lt;="&amp;DATE(YEAR_Y-2,12,31))=0,"",SUMIFS('Fund History'!$E$738:$E$742,'Fund History'!$D$738:$D$742,"&gt;="&amp;DATE(YEAR_Y-2,1,1),'Fund History'!$D$738:$D$742,"&lt;="&amp;DATE(YEAR_Y-2,12,31)))))</f>
        <v/>
      </c>
      <c r="AT133" s="76">
        <f>IF($C133="","",IF(PULL_FUND="N","",IF(COUNTIFS('Fund History'!$D$738:$D$742,"&gt;="&amp;DATE(YEAR_Y-1,1,1),'Fund History'!$D$738:$D$742,"&lt;="&amp;DATE(YEAR_Y-1,12,31))=0,"",SUMIFS('Fund History'!$E$738:$E$742,'Fund History'!$D$738:$D$742,"&gt;="&amp;DATE(YEAR_Y-1,1,1),'Fund History'!$D$738:$D$742,"&lt;="&amp;DATE(YEAR_Y-1,12,31)))))</f>
        <v/>
      </c>
      <c r="AU133" s="76">
        <f>IF($C133="","",IF(PULL_FUND="N","",IFERROR(BDP($C133,NDEBITDA_FIELD),"")))</f>
        <v/>
      </c>
      <c r="AV133" s="84">
        <f>IF($C133="","",IF(PULL_FUND="N","",IFERROR(BDP($C133,EBINT_FIELD),"")))</f>
        <v/>
      </c>
      <c r="AW133" s="82">
        <f>IF($C133="","",IF(PULL_FUND="N","",IFERROR(BDP($C133,FCF_FIELD)/100,"")))</f>
        <v/>
      </c>
      <c r="AX133" s="50">
        <f>IF($C133="","",IF(N($U133)=0,"",IFERROR($AW133/$U133,"")))</f>
        <v/>
      </c>
      <c r="AY133" s="85">
        <f>IF($C133="","",TRIM(IF(ISNUMBER($AJ133)*(N($AJ133)&gt;$D$4)&gt;0,"payout high  ","")&amp;IF(ISNUMBER($AX133)*(N($AX133)&lt;$F$4)&gt;0,"FCF below dvd  ","")&amp;IF(ISNUMBER($AU133)*(N($AU133)&gt;$H$4)&gt;0,"leverage high","")))</f>
        <v/>
      </c>
      <c r="AZ133" s="86">
        <f>IF($C133="","",IF(HSTECH!$F$28="HKD","",HSTECH!$F$28))</f>
        <v/>
      </c>
    </row>
    <row r="134">
      <c r="B134" s="66" t="inlineStr">
        <is>
          <t>HSTECH</t>
        </is>
      </c>
      <c r="C134" s="8">
        <f>IF(HSTECH!$C$29="","",HSTECH!$C$29)</f>
        <v/>
      </c>
      <c r="D134" s="8">
        <f>IF($C134="","",HSTECH!$D$29)</f>
        <v/>
      </c>
      <c r="E134" s="8">
        <f>IF($C134="","",HSTECH!$E$29)</f>
        <v/>
      </c>
      <c r="F134" s="67">
        <f>IF($C134="","",SUMPRODUCT(('Dvd Calendar'!$E$1358:$AR$1358&gt;=DATE(YEAR_Y-5,1,1))*('Dvd Calendar'!$E$1358:$AR$1358&lt;=DATE(YEAR_Y-5,12,31))*'Dvd Calendar'!$E$1361:$AR$1361*(('Dvd Calendar'!$E$1363:$AR$1363=TYPE1)*(TYPE1&lt;&gt;"")+('Dvd Calendar'!$E$1363:$AR$1363=TYPE2)*(TYPE2&lt;&gt;"")+('Dvd Calendar'!$E$1363:$AR$1363=TYPE3)*(TYPE3&lt;&gt;"")+('Dvd Calendar'!$E$1363:$AR$1363=TYPE4)*(TYPE4&lt;&gt;"")+('Dvd Calendar'!$E$1363:$AR$1363=SPECIAL_LBL)*(INC_SPECIALS="Y"))))</f>
        <v/>
      </c>
      <c r="G134" s="68">
        <f>IF($C134="","",SUMPRODUCT(('Dvd Calendar'!$E$1358:$AR$1358&gt;=DATE(YEAR_Y-4,1,1))*('Dvd Calendar'!$E$1358:$AR$1358&lt;=DATE(YEAR_Y-4,12,31))*'Dvd Calendar'!$E$1361:$AR$1361*(('Dvd Calendar'!$E$1363:$AR$1363=TYPE1)*(TYPE1&lt;&gt;"")+('Dvd Calendar'!$E$1363:$AR$1363=TYPE2)*(TYPE2&lt;&gt;"")+('Dvd Calendar'!$E$1363:$AR$1363=TYPE3)*(TYPE3&lt;&gt;"")+('Dvd Calendar'!$E$1363:$AR$1363=TYPE4)*(TYPE4&lt;&gt;"")+('Dvd Calendar'!$E$1363:$AR$1363=SPECIAL_LBL)*(INC_SPECIALS="Y"))))</f>
        <v/>
      </c>
      <c r="H134" s="68">
        <f>IF($C134="","",SUMPRODUCT(('Dvd Calendar'!$E$1358:$AR$1358&gt;=DATE(YEAR_Y-3,1,1))*('Dvd Calendar'!$E$1358:$AR$1358&lt;=DATE(YEAR_Y-3,12,31))*'Dvd Calendar'!$E$1361:$AR$1361*(('Dvd Calendar'!$E$1363:$AR$1363=TYPE1)*(TYPE1&lt;&gt;"")+('Dvd Calendar'!$E$1363:$AR$1363=TYPE2)*(TYPE2&lt;&gt;"")+('Dvd Calendar'!$E$1363:$AR$1363=TYPE3)*(TYPE3&lt;&gt;"")+('Dvd Calendar'!$E$1363:$AR$1363=TYPE4)*(TYPE4&lt;&gt;"")+('Dvd Calendar'!$E$1363:$AR$1363=SPECIAL_LBL)*(INC_SPECIALS="Y"))))</f>
        <v/>
      </c>
      <c r="I134" s="68">
        <f>IF($C134="","",SUMPRODUCT(('Dvd Calendar'!$E$1358:$AR$1358&gt;=DATE(YEAR_Y-2,1,1))*('Dvd Calendar'!$E$1358:$AR$1358&lt;=DATE(YEAR_Y-2,12,31))*'Dvd Calendar'!$E$1361:$AR$1361*(('Dvd Calendar'!$E$1363:$AR$1363=TYPE1)*(TYPE1&lt;&gt;"")+('Dvd Calendar'!$E$1363:$AR$1363=TYPE2)*(TYPE2&lt;&gt;"")+('Dvd Calendar'!$E$1363:$AR$1363=TYPE3)*(TYPE3&lt;&gt;"")+('Dvd Calendar'!$E$1363:$AR$1363=TYPE4)*(TYPE4&lt;&gt;"")+('Dvd Calendar'!$E$1363:$AR$1363=SPECIAL_LBL)*(INC_SPECIALS="Y"))))</f>
        <v/>
      </c>
      <c r="J134" s="68">
        <f>IF($C134="","",SUMPRODUCT(('Dvd Calendar'!$E$1358:$AR$1358&gt;=DATE(YEAR_Y-1,1,1))*('Dvd Calendar'!$E$1358:$AR$1358&lt;=DATE(YEAR_Y-1,12,31))*'Dvd Calendar'!$E$1361:$AR$1361*(('Dvd Calendar'!$E$1363:$AR$1363=TYPE1)*(TYPE1&lt;&gt;"")+('Dvd Calendar'!$E$1363:$AR$1363=TYPE2)*(TYPE2&lt;&gt;"")+('Dvd Calendar'!$E$1363:$AR$1363=TYPE3)*(TYPE3&lt;&gt;"")+('Dvd Calendar'!$E$1363:$AR$1363=TYPE4)*(TYPE4&lt;&gt;"")+('Dvd Calendar'!$E$1363:$AR$1363=SPECIAL_LBL)*(INC_SPECIALS="Y"))))</f>
        <v/>
      </c>
      <c r="K134" s="69">
        <f>IF($C134="","",HSTECH!$J$29)</f>
        <v/>
      </c>
      <c r="L134" s="69">
        <f>IF($C134="","",HSTECH!$K$29)</f>
        <v/>
      </c>
      <c r="M134" s="44">
        <f>IF($C134="","",HSTECH!$J$29+HSTECH!$L$29)</f>
        <v/>
      </c>
      <c r="N134" s="70">
        <f>IF($C134="","",IF(PULL_FUND="N","",IFERROR(BDP($C134,BESTDPS_FIELD,FWD_OVERRIDE,TEXT(MOD(YEAR_Y,100),"00")&amp;"Y"),"")))</f>
        <v/>
      </c>
      <c r="O134" s="69">
        <f>IF($C134="","",AVERAGE(F134:J134))</f>
        <v/>
      </c>
      <c r="P134" s="71">
        <f>IF($C134="","",IF(PULL_FUND="N","",IF(COUNTIFS('Fund History'!$J$744:$J$748,"&gt;="&amp;DATE(YEAR_Y-5,1,1),'Fund History'!$J$744:$J$748,"&lt;="&amp;DATE(YEAR_Y-5,12,31))=0,"",IFERROR($F134*HSTECH!$G$29/SUMIFS('Fund History'!$K$744:$K$748,'Fund History'!$J$744:$J$748,"&gt;="&amp;DATE(YEAR_Y-5,1,1),'Fund History'!$J$744:$J$748,"&lt;="&amp;DATE(YEAR_Y-5,12,31)),""))))</f>
        <v/>
      </c>
      <c r="Q134" s="72">
        <f>IF($C134="","",IF(PULL_FUND="N","",IF(COUNTIFS('Fund History'!$J$744:$J$748,"&gt;="&amp;DATE(YEAR_Y-4,1,1),'Fund History'!$J$744:$J$748,"&lt;="&amp;DATE(YEAR_Y-4,12,31))=0,"",IFERROR($G134*HSTECH!$G$29/SUMIFS('Fund History'!$K$744:$K$748,'Fund History'!$J$744:$J$748,"&gt;="&amp;DATE(YEAR_Y-4,1,1),'Fund History'!$J$744:$J$748,"&lt;="&amp;DATE(YEAR_Y-4,12,31)),""))))</f>
        <v/>
      </c>
      <c r="R134" s="72">
        <f>IF($C134="","",IF(PULL_FUND="N","",IF(COUNTIFS('Fund History'!$J$744:$J$748,"&gt;="&amp;DATE(YEAR_Y-3,1,1),'Fund History'!$J$744:$J$748,"&lt;="&amp;DATE(YEAR_Y-3,12,31))=0,"",IFERROR($H134*HSTECH!$G$29/SUMIFS('Fund History'!$K$744:$K$748,'Fund History'!$J$744:$J$748,"&gt;="&amp;DATE(YEAR_Y-3,1,1),'Fund History'!$J$744:$J$748,"&lt;="&amp;DATE(YEAR_Y-3,12,31)),""))))</f>
        <v/>
      </c>
      <c r="S134" s="72">
        <f>IF($C134="","",IF(PULL_FUND="N","",IF(COUNTIFS('Fund History'!$J$744:$J$748,"&gt;="&amp;DATE(YEAR_Y-2,1,1),'Fund History'!$J$744:$J$748,"&lt;="&amp;DATE(YEAR_Y-2,12,31))=0,"",IFERROR($I134*HSTECH!$G$29/SUMIFS('Fund History'!$K$744:$K$748,'Fund History'!$J$744:$J$748,"&gt;="&amp;DATE(YEAR_Y-2,1,1),'Fund History'!$J$744:$J$748,"&lt;="&amp;DATE(YEAR_Y-2,12,31)),""))))</f>
        <v/>
      </c>
      <c r="T134" s="72">
        <f>IF($C134="","",IF(PULL_FUND="N","",IF(COUNTIFS('Fund History'!$J$744:$J$748,"&gt;="&amp;DATE(YEAR_Y-1,1,1),'Fund History'!$J$744:$J$748,"&lt;="&amp;DATE(YEAR_Y-1,12,31))=0,"",IFERROR($J134*HSTECH!$G$29/SUMIFS('Fund History'!$K$744:$K$748,'Fund History'!$J$744:$J$748,"&gt;="&amp;DATE(YEAR_Y-1,1,1),'Fund History'!$J$744:$J$748,"&lt;="&amp;DATE(YEAR_Y-1,12,31)),""))))</f>
        <v/>
      </c>
      <c r="U134" s="73">
        <f>IF($C134="","",IF(ISNUMBER(HSTECH!$I$29),HSTECH!$I$29/100,""))</f>
        <v/>
      </c>
      <c r="V134" s="74">
        <f>IF($C134="","",IF(ISNUMBER(HSTECH!$X$29),IFERROR($M134*HSTECH!$G$29/HSTECH!$X$29,""),""))</f>
        <v/>
      </c>
      <c r="W134" s="73">
        <f>IF($C134="","",IF(ISNUMBER($N134),IFERROR($N134*HSTECH!$G$29/HSTECH!$X$29,""),""))</f>
        <v/>
      </c>
      <c r="X134" s="75">
        <f>IF($C134="","",IF(PULL_FUND="N","",IFERROR(BDP($C134,EPS_FIELD,YR_OVERRIDE,TEXT(YEAR_Y-5,"0")),"")))</f>
        <v/>
      </c>
      <c r="Y134" s="76">
        <f>IF($C134="","",IF(PULL_FUND="N","",IFERROR(BDP($C134,EPS_FIELD,YR_OVERRIDE,TEXT(YEAR_Y-4,"0")),"")))</f>
        <v/>
      </c>
      <c r="Z134" s="76">
        <f>IF($C134="","",IF(PULL_FUND="N","",IFERROR(BDP($C134,EPS_FIELD,YR_OVERRIDE,TEXT(YEAR_Y-3,"0")),"")))</f>
        <v/>
      </c>
      <c r="AA134" s="76">
        <f>IF($C134="","",IF(PULL_FUND="N","",IFERROR(BDP($C134,EPS_FIELD,YR_OVERRIDE,TEXT(YEAR_Y-2,"0")),"")))</f>
        <v/>
      </c>
      <c r="AB134" s="76">
        <f>IF($C134="","",IF(PULL_FUND="N","",IFERROR(BDP($C134,EPS_FIELD,YR_OVERRIDE,TEXT(YEAR_Y-1,"0")),"")))</f>
        <v/>
      </c>
      <c r="AC134" s="50">
        <f>IF($C134="","",IFERROR(AVERAGE(X134:AB134),""))</f>
        <v/>
      </c>
      <c r="AD134" s="76">
        <f>IF($C134="","",IF(PULL_FUND="N","",IFERROR(BDP($C134,BESTEPS_FIELD,FWD_OVERRIDE,TEXT(MOD(YEAR_Y,100),"00")&amp;"Y"),"")))</f>
        <v/>
      </c>
      <c r="AE134" s="77">
        <f>IF($C134="","",IF(PULL_FUND="N","",IFERROR(BDP($C134,PAYOUT_FIELD,YR_OVERRIDE,TEXT(YEAR_Y-5,"0"))/100,"")))</f>
        <v/>
      </c>
      <c r="AF134" s="78">
        <f>IF($C134="","",IF(PULL_FUND="N","",IFERROR(BDP($C134,PAYOUT_FIELD,YR_OVERRIDE,TEXT(YEAR_Y-4,"0"))/100,"")))</f>
        <v/>
      </c>
      <c r="AG134" s="78">
        <f>IF($C134="","",IF(PULL_FUND="N","",IFERROR(BDP($C134,PAYOUT_FIELD,YR_OVERRIDE,TEXT(YEAR_Y-3,"0"))/100,"")))</f>
        <v/>
      </c>
      <c r="AH134" s="78">
        <f>IF($C134="","",IF(PULL_FUND="N","",IFERROR(BDP($C134,PAYOUT_FIELD,YR_OVERRIDE,TEXT(YEAR_Y-2,"0"))/100,"")))</f>
        <v/>
      </c>
      <c r="AI134" s="78">
        <f>IF($C134="","",IF(PULL_FUND="N","",IFERROR(BDP($C134,PAYOUT_FIELD,YR_OVERRIDE,TEXT(YEAR_Y-1,"0"))/100,"")))</f>
        <v/>
      </c>
      <c r="AJ134" s="79">
        <f>IF($C134="","",IFERROR(AVERAGE(AE134:AI134),""))</f>
        <v/>
      </c>
      <c r="AK134" s="80">
        <f>IF($C134="","",IF(ISNUMBER($AD134)*ISNUMBER($N134)*($AD134&lt;&gt;0)=0,"",$N134/$AD134))</f>
        <v/>
      </c>
      <c r="AL134" s="79">
        <f>IF($C134="","",IF(ISNUMBER($AD134)*($AD134&lt;&gt;0)=0,"",$M134/$AD134))</f>
        <v/>
      </c>
      <c r="AM134" s="37">
        <f>IF($C134="","",IF(ISNUMBER($AE134)*ISNUMBER($AI134)=0,"",IF($AI134&gt;$AE134+0.05,"rising",IF($AI134&lt;$AE134-0.05,"falling","stable"))))</f>
        <v/>
      </c>
      <c r="AN134" s="81">
        <f>IF($C134="","",IF(PULL_FUND="N","",IF(COUNTIFS('Fund History'!$G$744:$G$748,"&gt;="&amp;DATE(YEAR_Y-4,1,1),'Fund History'!$G$744:$G$748,"&lt;="&amp;DATE(YEAR_Y-4,12,31))=0,"",SUMIFS('Fund History'!$H$744:$H$748,'Fund History'!$G$744:$G$748,"&gt;="&amp;DATE(YEAR_Y-4,1,1),'Fund History'!$G$744:$G$748,"&lt;="&amp;DATE(YEAR_Y-4,12,31))/100)))</f>
        <v/>
      </c>
      <c r="AO134" s="82">
        <f>IF($C134="","",IF(PULL_FUND="N","",IF(COUNTIFS('Fund History'!$G$744:$G$748,"&gt;="&amp;DATE(YEAR_Y-3,1,1),'Fund History'!$G$744:$G$748,"&lt;="&amp;DATE(YEAR_Y-3,12,31))=0,"",SUMIFS('Fund History'!$H$744:$H$748,'Fund History'!$G$744:$G$748,"&gt;="&amp;DATE(YEAR_Y-3,1,1),'Fund History'!$G$744:$G$748,"&lt;="&amp;DATE(YEAR_Y-3,12,31))/100)))</f>
        <v/>
      </c>
      <c r="AP134" s="82">
        <f>IF($C134="","",IF(PULL_FUND="N","",IF(COUNTIFS('Fund History'!$G$744:$G$748,"&gt;="&amp;DATE(YEAR_Y-2,1,1),'Fund History'!$G$744:$G$748,"&lt;="&amp;DATE(YEAR_Y-2,12,31))=0,"",SUMIFS('Fund History'!$H$744:$H$748,'Fund History'!$G$744:$G$748,"&gt;="&amp;DATE(YEAR_Y-2,1,1),'Fund History'!$G$744:$G$748,"&lt;="&amp;DATE(YEAR_Y-2,12,31))/100)))</f>
        <v/>
      </c>
      <c r="AQ134" s="82">
        <f>IF($C134="","",IF(PULL_FUND="N","",IF(COUNTIFS('Fund History'!$G$744:$G$748,"&gt;="&amp;DATE(YEAR_Y-1,1,1),'Fund History'!$G$744:$G$748,"&lt;="&amp;DATE(YEAR_Y-1,12,31))=0,"",SUMIFS('Fund History'!$H$744:$H$748,'Fund History'!$G$744:$G$748,"&gt;="&amp;DATE(YEAR_Y-1,1,1),'Fund History'!$G$744:$G$748,"&lt;="&amp;DATE(YEAR_Y-1,12,31))/100)))</f>
        <v/>
      </c>
      <c r="AR134" s="83">
        <f>IF($C134="","",IF(N($AQ134)+N(HSTECH!$I$29)=0,"",N($AQ134)+N(HSTECH!$I$29)/100))</f>
        <v/>
      </c>
      <c r="AS134" s="75">
        <f>IF($C134="","",IF(PULL_FUND="N","",IF(COUNTIFS('Fund History'!$D$744:$D$748,"&gt;="&amp;DATE(YEAR_Y-2,1,1),'Fund History'!$D$744:$D$748,"&lt;="&amp;DATE(YEAR_Y-2,12,31))=0,"",SUMIFS('Fund History'!$E$744:$E$748,'Fund History'!$D$744:$D$748,"&gt;="&amp;DATE(YEAR_Y-2,1,1),'Fund History'!$D$744:$D$748,"&lt;="&amp;DATE(YEAR_Y-2,12,31)))))</f>
        <v/>
      </c>
      <c r="AT134" s="76">
        <f>IF($C134="","",IF(PULL_FUND="N","",IF(COUNTIFS('Fund History'!$D$744:$D$748,"&gt;="&amp;DATE(YEAR_Y-1,1,1),'Fund History'!$D$744:$D$748,"&lt;="&amp;DATE(YEAR_Y-1,12,31))=0,"",SUMIFS('Fund History'!$E$744:$E$748,'Fund History'!$D$744:$D$748,"&gt;="&amp;DATE(YEAR_Y-1,1,1),'Fund History'!$D$744:$D$748,"&lt;="&amp;DATE(YEAR_Y-1,12,31)))))</f>
        <v/>
      </c>
      <c r="AU134" s="76">
        <f>IF($C134="","",IF(PULL_FUND="N","",IFERROR(BDP($C134,NDEBITDA_FIELD),"")))</f>
        <v/>
      </c>
      <c r="AV134" s="84">
        <f>IF($C134="","",IF(PULL_FUND="N","",IFERROR(BDP($C134,EBINT_FIELD),"")))</f>
        <v/>
      </c>
      <c r="AW134" s="82">
        <f>IF($C134="","",IF(PULL_FUND="N","",IFERROR(BDP($C134,FCF_FIELD)/100,"")))</f>
        <v/>
      </c>
      <c r="AX134" s="50">
        <f>IF($C134="","",IF(N($U134)=0,"",IFERROR($AW134/$U134,"")))</f>
        <v/>
      </c>
      <c r="AY134" s="85">
        <f>IF($C134="","",TRIM(IF(ISNUMBER($AJ134)*(N($AJ134)&gt;$D$4)&gt;0,"payout high  ","")&amp;IF(ISNUMBER($AX134)*(N($AX134)&lt;$F$4)&gt;0,"FCF below dvd  ","")&amp;IF(ISNUMBER($AU134)*(N($AU134)&gt;$H$4)&gt;0,"leverage high","")))</f>
        <v/>
      </c>
      <c r="AZ134" s="86">
        <f>IF($C134="","",IF(HSTECH!$F$29="HKD","",HSTECH!$F$29))</f>
        <v/>
      </c>
    </row>
    <row r="135">
      <c r="B135" s="66" t="inlineStr">
        <is>
          <t>HSTECH</t>
        </is>
      </c>
      <c r="C135" s="8">
        <f>IF(HSTECH!$C$30="","",HSTECH!$C$30)</f>
        <v/>
      </c>
      <c r="D135" s="8">
        <f>IF($C135="","",HSTECH!$D$30)</f>
        <v/>
      </c>
      <c r="E135" s="8">
        <f>IF($C135="","",HSTECH!$E$30)</f>
        <v/>
      </c>
      <c r="F135" s="67">
        <f>IF($C135="","",SUMPRODUCT(('Dvd Calendar'!$E$1369:$AR$1369&gt;=DATE(YEAR_Y-5,1,1))*('Dvd Calendar'!$E$1369:$AR$1369&lt;=DATE(YEAR_Y-5,12,31))*'Dvd Calendar'!$E$1372:$AR$1372*(('Dvd Calendar'!$E$1374:$AR$1374=TYPE1)*(TYPE1&lt;&gt;"")+('Dvd Calendar'!$E$1374:$AR$1374=TYPE2)*(TYPE2&lt;&gt;"")+('Dvd Calendar'!$E$1374:$AR$1374=TYPE3)*(TYPE3&lt;&gt;"")+('Dvd Calendar'!$E$1374:$AR$1374=TYPE4)*(TYPE4&lt;&gt;"")+('Dvd Calendar'!$E$1374:$AR$1374=SPECIAL_LBL)*(INC_SPECIALS="Y"))))</f>
        <v/>
      </c>
      <c r="G135" s="68">
        <f>IF($C135="","",SUMPRODUCT(('Dvd Calendar'!$E$1369:$AR$1369&gt;=DATE(YEAR_Y-4,1,1))*('Dvd Calendar'!$E$1369:$AR$1369&lt;=DATE(YEAR_Y-4,12,31))*'Dvd Calendar'!$E$1372:$AR$1372*(('Dvd Calendar'!$E$1374:$AR$1374=TYPE1)*(TYPE1&lt;&gt;"")+('Dvd Calendar'!$E$1374:$AR$1374=TYPE2)*(TYPE2&lt;&gt;"")+('Dvd Calendar'!$E$1374:$AR$1374=TYPE3)*(TYPE3&lt;&gt;"")+('Dvd Calendar'!$E$1374:$AR$1374=TYPE4)*(TYPE4&lt;&gt;"")+('Dvd Calendar'!$E$1374:$AR$1374=SPECIAL_LBL)*(INC_SPECIALS="Y"))))</f>
        <v/>
      </c>
      <c r="H135" s="68">
        <f>IF($C135="","",SUMPRODUCT(('Dvd Calendar'!$E$1369:$AR$1369&gt;=DATE(YEAR_Y-3,1,1))*('Dvd Calendar'!$E$1369:$AR$1369&lt;=DATE(YEAR_Y-3,12,31))*'Dvd Calendar'!$E$1372:$AR$1372*(('Dvd Calendar'!$E$1374:$AR$1374=TYPE1)*(TYPE1&lt;&gt;"")+('Dvd Calendar'!$E$1374:$AR$1374=TYPE2)*(TYPE2&lt;&gt;"")+('Dvd Calendar'!$E$1374:$AR$1374=TYPE3)*(TYPE3&lt;&gt;"")+('Dvd Calendar'!$E$1374:$AR$1374=TYPE4)*(TYPE4&lt;&gt;"")+('Dvd Calendar'!$E$1374:$AR$1374=SPECIAL_LBL)*(INC_SPECIALS="Y"))))</f>
        <v/>
      </c>
      <c r="I135" s="68">
        <f>IF($C135="","",SUMPRODUCT(('Dvd Calendar'!$E$1369:$AR$1369&gt;=DATE(YEAR_Y-2,1,1))*('Dvd Calendar'!$E$1369:$AR$1369&lt;=DATE(YEAR_Y-2,12,31))*'Dvd Calendar'!$E$1372:$AR$1372*(('Dvd Calendar'!$E$1374:$AR$1374=TYPE1)*(TYPE1&lt;&gt;"")+('Dvd Calendar'!$E$1374:$AR$1374=TYPE2)*(TYPE2&lt;&gt;"")+('Dvd Calendar'!$E$1374:$AR$1374=TYPE3)*(TYPE3&lt;&gt;"")+('Dvd Calendar'!$E$1374:$AR$1374=TYPE4)*(TYPE4&lt;&gt;"")+('Dvd Calendar'!$E$1374:$AR$1374=SPECIAL_LBL)*(INC_SPECIALS="Y"))))</f>
        <v/>
      </c>
      <c r="J135" s="68">
        <f>IF($C135="","",SUMPRODUCT(('Dvd Calendar'!$E$1369:$AR$1369&gt;=DATE(YEAR_Y-1,1,1))*('Dvd Calendar'!$E$1369:$AR$1369&lt;=DATE(YEAR_Y-1,12,31))*'Dvd Calendar'!$E$1372:$AR$1372*(('Dvd Calendar'!$E$1374:$AR$1374=TYPE1)*(TYPE1&lt;&gt;"")+('Dvd Calendar'!$E$1374:$AR$1374=TYPE2)*(TYPE2&lt;&gt;"")+('Dvd Calendar'!$E$1374:$AR$1374=TYPE3)*(TYPE3&lt;&gt;"")+('Dvd Calendar'!$E$1374:$AR$1374=TYPE4)*(TYPE4&lt;&gt;"")+('Dvd Calendar'!$E$1374:$AR$1374=SPECIAL_LBL)*(INC_SPECIALS="Y"))))</f>
        <v/>
      </c>
      <c r="K135" s="69">
        <f>IF($C135="","",HSTECH!$J$30)</f>
        <v/>
      </c>
      <c r="L135" s="69">
        <f>IF($C135="","",HSTECH!$K$30)</f>
        <v/>
      </c>
      <c r="M135" s="44">
        <f>IF($C135="","",HSTECH!$J$30+HSTECH!$L$30)</f>
        <v/>
      </c>
      <c r="N135" s="70">
        <f>IF($C135="","",IF(PULL_FUND="N","",IFERROR(BDP($C135,BESTDPS_FIELD,FWD_OVERRIDE,TEXT(MOD(YEAR_Y,100),"00")&amp;"Y"),"")))</f>
        <v/>
      </c>
      <c r="O135" s="69">
        <f>IF($C135="","",AVERAGE(F135:J135))</f>
        <v/>
      </c>
      <c r="P135" s="71">
        <f>IF($C135="","",IF(PULL_FUND="N","",IF(COUNTIFS('Fund History'!$J$750:$J$754,"&gt;="&amp;DATE(YEAR_Y-5,1,1),'Fund History'!$J$750:$J$754,"&lt;="&amp;DATE(YEAR_Y-5,12,31))=0,"",IFERROR($F135*HSTECH!$G$30/SUMIFS('Fund History'!$K$750:$K$754,'Fund History'!$J$750:$J$754,"&gt;="&amp;DATE(YEAR_Y-5,1,1),'Fund History'!$J$750:$J$754,"&lt;="&amp;DATE(YEAR_Y-5,12,31)),""))))</f>
        <v/>
      </c>
      <c r="Q135" s="72">
        <f>IF($C135="","",IF(PULL_FUND="N","",IF(COUNTIFS('Fund History'!$J$750:$J$754,"&gt;="&amp;DATE(YEAR_Y-4,1,1),'Fund History'!$J$750:$J$754,"&lt;="&amp;DATE(YEAR_Y-4,12,31))=0,"",IFERROR($G135*HSTECH!$G$30/SUMIFS('Fund History'!$K$750:$K$754,'Fund History'!$J$750:$J$754,"&gt;="&amp;DATE(YEAR_Y-4,1,1),'Fund History'!$J$750:$J$754,"&lt;="&amp;DATE(YEAR_Y-4,12,31)),""))))</f>
        <v/>
      </c>
      <c r="R135" s="72">
        <f>IF($C135="","",IF(PULL_FUND="N","",IF(COUNTIFS('Fund History'!$J$750:$J$754,"&gt;="&amp;DATE(YEAR_Y-3,1,1),'Fund History'!$J$750:$J$754,"&lt;="&amp;DATE(YEAR_Y-3,12,31))=0,"",IFERROR($H135*HSTECH!$G$30/SUMIFS('Fund History'!$K$750:$K$754,'Fund History'!$J$750:$J$754,"&gt;="&amp;DATE(YEAR_Y-3,1,1),'Fund History'!$J$750:$J$754,"&lt;="&amp;DATE(YEAR_Y-3,12,31)),""))))</f>
        <v/>
      </c>
      <c r="S135" s="72">
        <f>IF($C135="","",IF(PULL_FUND="N","",IF(COUNTIFS('Fund History'!$J$750:$J$754,"&gt;="&amp;DATE(YEAR_Y-2,1,1),'Fund History'!$J$750:$J$754,"&lt;="&amp;DATE(YEAR_Y-2,12,31))=0,"",IFERROR($I135*HSTECH!$G$30/SUMIFS('Fund History'!$K$750:$K$754,'Fund History'!$J$750:$J$754,"&gt;="&amp;DATE(YEAR_Y-2,1,1),'Fund History'!$J$750:$J$754,"&lt;="&amp;DATE(YEAR_Y-2,12,31)),""))))</f>
        <v/>
      </c>
      <c r="T135" s="72">
        <f>IF($C135="","",IF(PULL_FUND="N","",IF(COUNTIFS('Fund History'!$J$750:$J$754,"&gt;="&amp;DATE(YEAR_Y-1,1,1),'Fund History'!$J$750:$J$754,"&lt;="&amp;DATE(YEAR_Y-1,12,31))=0,"",IFERROR($J135*HSTECH!$G$30/SUMIFS('Fund History'!$K$750:$K$754,'Fund History'!$J$750:$J$754,"&gt;="&amp;DATE(YEAR_Y-1,1,1),'Fund History'!$J$750:$J$754,"&lt;="&amp;DATE(YEAR_Y-1,12,31)),""))))</f>
        <v/>
      </c>
      <c r="U135" s="73">
        <f>IF($C135="","",IF(ISNUMBER(HSTECH!$I$30),HSTECH!$I$30/100,""))</f>
        <v/>
      </c>
      <c r="V135" s="74">
        <f>IF($C135="","",IF(ISNUMBER(HSTECH!$X$30),IFERROR($M135*HSTECH!$G$30/HSTECH!$X$30,""),""))</f>
        <v/>
      </c>
      <c r="W135" s="73">
        <f>IF($C135="","",IF(ISNUMBER($N135),IFERROR($N135*HSTECH!$G$30/HSTECH!$X$30,""),""))</f>
        <v/>
      </c>
      <c r="X135" s="75">
        <f>IF($C135="","",IF(PULL_FUND="N","",IFERROR(BDP($C135,EPS_FIELD,YR_OVERRIDE,TEXT(YEAR_Y-5,"0")),"")))</f>
        <v/>
      </c>
      <c r="Y135" s="76">
        <f>IF($C135="","",IF(PULL_FUND="N","",IFERROR(BDP($C135,EPS_FIELD,YR_OVERRIDE,TEXT(YEAR_Y-4,"0")),"")))</f>
        <v/>
      </c>
      <c r="Z135" s="76">
        <f>IF($C135="","",IF(PULL_FUND="N","",IFERROR(BDP($C135,EPS_FIELD,YR_OVERRIDE,TEXT(YEAR_Y-3,"0")),"")))</f>
        <v/>
      </c>
      <c r="AA135" s="76">
        <f>IF($C135="","",IF(PULL_FUND="N","",IFERROR(BDP($C135,EPS_FIELD,YR_OVERRIDE,TEXT(YEAR_Y-2,"0")),"")))</f>
        <v/>
      </c>
      <c r="AB135" s="76">
        <f>IF($C135="","",IF(PULL_FUND="N","",IFERROR(BDP($C135,EPS_FIELD,YR_OVERRIDE,TEXT(YEAR_Y-1,"0")),"")))</f>
        <v/>
      </c>
      <c r="AC135" s="50">
        <f>IF($C135="","",IFERROR(AVERAGE(X135:AB135),""))</f>
        <v/>
      </c>
      <c r="AD135" s="76">
        <f>IF($C135="","",IF(PULL_FUND="N","",IFERROR(BDP($C135,BESTEPS_FIELD,FWD_OVERRIDE,TEXT(MOD(YEAR_Y,100),"00")&amp;"Y"),"")))</f>
        <v/>
      </c>
      <c r="AE135" s="77">
        <f>IF($C135="","",IF(PULL_FUND="N","",IFERROR(BDP($C135,PAYOUT_FIELD,YR_OVERRIDE,TEXT(YEAR_Y-5,"0"))/100,"")))</f>
        <v/>
      </c>
      <c r="AF135" s="78">
        <f>IF($C135="","",IF(PULL_FUND="N","",IFERROR(BDP($C135,PAYOUT_FIELD,YR_OVERRIDE,TEXT(YEAR_Y-4,"0"))/100,"")))</f>
        <v/>
      </c>
      <c r="AG135" s="78">
        <f>IF($C135="","",IF(PULL_FUND="N","",IFERROR(BDP($C135,PAYOUT_FIELD,YR_OVERRIDE,TEXT(YEAR_Y-3,"0"))/100,"")))</f>
        <v/>
      </c>
      <c r="AH135" s="78">
        <f>IF($C135="","",IF(PULL_FUND="N","",IFERROR(BDP($C135,PAYOUT_FIELD,YR_OVERRIDE,TEXT(YEAR_Y-2,"0"))/100,"")))</f>
        <v/>
      </c>
      <c r="AI135" s="78">
        <f>IF($C135="","",IF(PULL_FUND="N","",IFERROR(BDP($C135,PAYOUT_FIELD,YR_OVERRIDE,TEXT(YEAR_Y-1,"0"))/100,"")))</f>
        <v/>
      </c>
      <c r="AJ135" s="79">
        <f>IF($C135="","",IFERROR(AVERAGE(AE135:AI135),""))</f>
        <v/>
      </c>
      <c r="AK135" s="80">
        <f>IF($C135="","",IF(ISNUMBER($AD135)*ISNUMBER($N135)*($AD135&lt;&gt;0)=0,"",$N135/$AD135))</f>
        <v/>
      </c>
      <c r="AL135" s="79">
        <f>IF($C135="","",IF(ISNUMBER($AD135)*($AD135&lt;&gt;0)=0,"",$M135/$AD135))</f>
        <v/>
      </c>
      <c r="AM135" s="37">
        <f>IF($C135="","",IF(ISNUMBER($AE135)*ISNUMBER($AI135)=0,"",IF($AI135&gt;$AE135+0.05,"rising",IF($AI135&lt;$AE135-0.05,"falling","stable"))))</f>
        <v/>
      </c>
      <c r="AN135" s="81">
        <f>IF($C135="","",IF(PULL_FUND="N","",IF(COUNTIFS('Fund History'!$G$750:$G$754,"&gt;="&amp;DATE(YEAR_Y-4,1,1),'Fund History'!$G$750:$G$754,"&lt;="&amp;DATE(YEAR_Y-4,12,31))=0,"",SUMIFS('Fund History'!$H$750:$H$754,'Fund History'!$G$750:$G$754,"&gt;="&amp;DATE(YEAR_Y-4,1,1),'Fund History'!$G$750:$G$754,"&lt;="&amp;DATE(YEAR_Y-4,12,31))/100)))</f>
        <v/>
      </c>
      <c r="AO135" s="82">
        <f>IF($C135="","",IF(PULL_FUND="N","",IF(COUNTIFS('Fund History'!$G$750:$G$754,"&gt;="&amp;DATE(YEAR_Y-3,1,1),'Fund History'!$G$750:$G$754,"&lt;="&amp;DATE(YEAR_Y-3,12,31))=0,"",SUMIFS('Fund History'!$H$750:$H$754,'Fund History'!$G$750:$G$754,"&gt;="&amp;DATE(YEAR_Y-3,1,1),'Fund History'!$G$750:$G$754,"&lt;="&amp;DATE(YEAR_Y-3,12,31))/100)))</f>
        <v/>
      </c>
      <c r="AP135" s="82">
        <f>IF($C135="","",IF(PULL_FUND="N","",IF(COUNTIFS('Fund History'!$G$750:$G$754,"&gt;="&amp;DATE(YEAR_Y-2,1,1),'Fund History'!$G$750:$G$754,"&lt;="&amp;DATE(YEAR_Y-2,12,31))=0,"",SUMIFS('Fund History'!$H$750:$H$754,'Fund History'!$G$750:$G$754,"&gt;="&amp;DATE(YEAR_Y-2,1,1),'Fund History'!$G$750:$G$754,"&lt;="&amp;DATE(YEAR_Y-2,12,31))/100)))</f>
        <v/>
      </c>
      <c r="AQ135" s="82">
        <f>IF($C135="","",IF(PULL_FUND="N","",IF(COUNTIFS('Fund History'!$G$750:$G$754,"&gt;="&amp;DATE(YEAR_Y-1,1,1),'Fund History'!$G$750:$G$754,"&lt;="&amp;DATE(YEAR_Y-1,12,31))=0,"",SUMIFS('Fund History'!$H$750:$H$754,'Fund History'!$G$750:$G$754,"&gt;="&amp;DATE(YEAR_Y-1,1,1),'Fund History'!$G$750:$G$754,"&lt;="&amp;DATE(YEAR_Y-1,12,31))/100)))</f>
        <v/>
      </c>
      <c r="AR135" s="83">
        <f>IF($C135="","",IF(N($AQ135)+N(HSTECH!$I$30)=0,"",N($AQ135)+N(HSTECH!$I$30)/100))</f>
        <v/>
      </c>
      <c r="AS135" s="75">
        <f>IF($C135="","",IF(PULL_FUND="N","",IF(COUNTIFS('Fund History'!$D$750:$D$754,"&gt;="&amp;DATE(YEAR_Y-2,1,1),'Fund History'!$D$750:$D$754,"&lt;="&amp;DATE(YEAR_Y-2,12,31))=0,"",SUMIFS('Fund History'!$E$750:$E$754,'Fund History'!$D$750:$D$754,"&gt;="&amp;DATE(YEAR_Y-2,1,1),'Fund History'!$D$750:$D$754,"&lt;="&amp;DATE(YEAR_Y-2,12,31)))))</f>
        <v/>
      </c>
      <c r="AT135" s="76">
        <f>IF($C135="","",IF(PULL_FUND="N","",IF(COUNTIFS('Fund History'!$D$750:$D$754,"&gt;="&amp;DATE(YEAR_Y-1,1,1),'Fund History'!$D$750:$D$754,"&lt;="&amp;DATE(YEAR_Y-1,12,31))=0,"",SUMIFS('Fund History'!$E$750:$E$754,'Fund History'!$D$750:$D$754,"&gt;="&amp;DATE(YEAR_Y-1,1,1),'Fund History'!$D$750:$D$754,"&lt;="&amp;DATE(YEAR_Y-1,12,31)))))</f>
        <v/>
      </c>
      <c r="AU135" s="76">
        <f>IF($C135="","",IF(PULL_FUND="N","",IFERROR(BDP($C135,NDEBITDA_FIELD),"")))</f>
        <v/>
      </c>
      <c r="AV135" s="84">
        <f>IF($C135="","",IF(PULL_FUND="N","",IFERROR(BDP($C135,EBINT_FIELD),"")))</f>
        <v/>
      </c>
      <c r="AW135" s="82">
        <f>IF($C135="","",IF(PULL_FUND="N","",IFERROR(BDP($C135,FCF_FIELD)/100,"")))</f>
        <v/>
      </c>
      <c r="AX135" s="50">
        <f>IF($C135="","",IF(N($U135)=0,"",IFERROR($AW135/$U135,"")))</f>
        <v/>
      </c>
      <c r="AY135" s="85">
        <f>IF($C135="","",TRIM(IF(ISNUMBER($AJ135)*(N($AJ135)&gt;$D$4)&gt;0,"payout high  ","")&amp;IF(ISNUMBER($AX135)*(N($AX135)&lt;$F$4)&gt;0,"FCF below dvd  ","")&amp;IF(ISNUMBER($AU135)*(N($AU135)&gt;$H$4)&gt;0,"leverage high","")))</f>
        <v/>
      </c>
      <c r="AZ135" s="86">
        <f>IF($C135="","",IF(HSTECH!$F$30="HKD","",HSTECH!$F$30))</f>
        <v/>
      </c>
    </row>
    <row r="136">
      <c r="B136" s="66" t="inlineStr">
        <is>
          <t>HSTECH</t>
        </is>
      </c>
      <c r="C136" s="8">
        <f>IF(HSTECH!$C$31="","",HSTECH!$C$31)</f>
        <v/>
      </c>
      <c r="D136" s="8">
        <f>IF($C136="","",HSTECH!$D$31)</f>
        <v/>
      </c>
      <c r="E136" s="8">
        <f>IF($C136="","",HSTECH!$E$31)</f>
        <v/>
      </c>
      <c r="F136" s="67">
        <f>IF($C136="","",SUMPRODUCT(('Dvd Calendar'!$E$1380:$AR$1380&gt;=DATE(YEAR_Y-5,1,1))*('Dvd Calendar'!$E$1380:$AR$1380&lt;=DATE(YEAR_Y-5,12,31))*'Dvd Calendar'!$E$1383:$AR$1383*(('Dvd Calendar'!$E$1385:$AR$1385=TYPE1)*(TYPE1&lt;&gt;"")+('Dvd Calendar'!$E$1385:$AR$1385=TYPE2)*(TYPE2&lt;&gt;"")+('Dvd Calendar'!$E$1385:$AR$1385=TYPE3)*(TYPE3&lt;&gt;"")+('Dvd Calendar'!$E$1385:$AR$1385=TYPE4)*(TYPE4&lt;&gt;"")+('Dvd Calendar'!$E$1385:$AR$1385=SPECIAL_LBL)*(INC_SPECIALS="Y"))))</f>
        <v/>
      </c>
      <c r="G136" s="68">
        <f>IF($C136="","",SUMPRODUCT(('Dvd Calendar'!$E$1380:$AR$1380&gt;=DATE(YEAR_Y-4,1,1))*('Dvd Calendar'!$E$1380:$AR$1380&lt;=DATE(YEAR_Y-4,12,31))*'Dvd Calendar'!$E$1383:$AR$1383*(('Dvd Calendar'!$E$1385:$AR$1385=TYPE1)*(TYPE1&lt;&gt;"")+('Dvd Calendar'!$E$1385:$AR$1385=TYPE2)*(TYPE2&lt;&gt;"")+('Dvd Calendar'!$E$1385:$AR$1385=TYPE3)*(TYPE3&lt;&gt;"")+('Dvd Calendar'!$E$1385:$AR$1385=TYPE4)*(TYPE4&lt;&gt;"")+('Dvd Calendar'!$E$1385:$AR$1385=SPECIAL_LBL)*(INC_SPECIALS="Y"))))</f>
        <v/>
      </c>
      <c r="H136" s="68">
        <f>IF($C136="","",SUMPRODUCT(('Dvd Calendar'!$E$1380:$AR$1380&gt;=DATE(YEAR_Y-3,1,1))*('Dvd Calendar'!$E$1380:$AR$1380&lt;=DATE(YEAR_Y-3,12,31))*'Dvd Calendar'!$E$1383:$AR$1383*(('Dvd Calendar'!$E$1385:$AR$1385=TYPE1)*(TYPE1&lt;&gt;"")+('Dvd Calendar'!$E$1385:$AR$1385=TYPE2)*(TYPE2&lt;&gt;"")+('Dvd Calendar'!$E$1385:$AR$1385=TYPE3)*(TYPE3&lt;&gt;"")+('Dvd Calendar'!$E$1385:$AR$1385=TYPE4)*(TYPE4&lt;&gt;"")+('Dvd Calendar'!$E$1385:$AR$1385=SPECIAL_LBL)*(INC_SPECIALS="Y"))))</f>
        <v/>
      </c>
      <c r="I136" s="68">
        <f>IF($C136="","",SUMPRODUCT(('Dvd Calendar'!$E$1380:$AR$1380&gt;=DATE(YEAR_Y-2,1,1))*('Dvd Calendar'!$E$1380:$AR$1380&lt;=DATE(YEAR_Y-2,12,31))*'Dvd Calendar'!$E$1383:$AR$1383*(('Dvd Calendar'!$E$1385:$AR$1385=TYPE1)*(TYPE1&lt;&gt;"")+('Dvd Calendar'!$E$1385:$AR$1385=TYPE2)*(TYPE2&lt;&gt;"")+('Dvd Calendar'!$E$1385:$AR$1385=TYPE3)*(TYPE3&lt;&gt;"")+('Dvd Calendar'!$E$1385:$AR$1385=TYPE4)*(TYPE4&lt;&gt;"")+('Dvd Calendar'!$E$1385:$AR$1385=SPECIAL_LBL)*(INC_SPECIALS="Y"))))</f>
        <v/>
      </c>
      <c r="J136" s="68">
        <f>IF($C136="","",SUMPRODUCT(('Dvd Calendar'!$E$1380:$AR$1380&gt;=DATE(YEAR_Y-1,1,1))*('Dvd Calendar'!$E$1380:$AR$1380&lt;=DATE(YEAR_Y-1,12,31))*'Dvd Calendar'!$E$1383:$AR$1383*(('Dvd Calendar'!$E$1385:$AR$1385=TYPE1)*(TYPE1&lt;&gt;"")+('Dvd Calendar'!$E$1385:$AR$1385=TYPE2)*(TYPE2&lt;&gt;"")+('Dvd Calendar'!$E$1385:$AR$1385=TYPE3)*(TYPE3&lt;&gt;"")+('Dvd Calendar'!$E$1385:$AR$1385=TYPE4)*(TYPE4&lt;&gt;"")+('Dvd Calendar'!$E$1385:$AR$1385=SPECIAL_LBL)*(INC_SPECIALS="Y"))))</f>
        <v/>
      </c>
      <c r="K136" s="69">
        <f>IF($C136="","",HSTECH!$J$31)</f>
        <v/>
      </c>
      <c r="L136" s="69">
        <f>IF($C136="","",HSTECH!$K$31)</f>
        <v/>
      </c>
      <c r="M136" s="44">
        <f>IF($C136="","",HSTECH!$J$31+HSTECH!$L$31)</f>
        <v/>
      </c>
      <c r="N136" s="70">
        <f>IF($C136="","",IF(PULL_FUND="N","",IFERROR(BDP($C136,BESTDPS_FIELD,FWD_OVERRIDE,TEXT(MOD(YEAR_Y,100),"00")&amp;"Y"),"")))</f>
        <v/>
      </c>
      <c r="O136" s="69">
        <f>IF($C136="","",AVERAGE(F136:J136))</f>
        <v/>
      </c>
      <c r="P136" s="71">
        <f>IF($C136="","",IF(PULL_FUND="N","",IF(COUNTIFS('Fund History'!$J$756:$J$760,"&gt;="&amp;DATE(YEAR_Y-5,1,1),'Fund History'!$J$756:$J$760,"&lt;="&amp;DATE(YEAR_Y-5,12,31))=0,"",IFERROR($F136*HSTECH!$G$31/SUMIFS('Fund History'!$K$756:$K$760,'Fund History'!$J$756:$J$760,"&gt;="&amp;DATE(YEAR_Y-5,1,1),'Fund History'!$J$756:$J$760,"&lt;="&amp;DATE(YEAR_Y-5,12,31)),""))))</f>
        <v/>
      </c>
      <c r="Q136" s="72">
        <f>IF($C136="","",IF(PULL_FUND="N","",IF(COUNTIFS('Fund History'!$J$756:$J$760,"&gt;="&amp;DATE(YEAR_Y-4,1,1),'Fund History'!$J$756:$J$760,"&lt;="&amp;DATE(YEAR_Y-4,12,31))=0,"",IFERROR($G136*HSTECH!$G$31/SUMIFS('Fund History'!$K$756:$K$760,'Fund History'!$J$756:$J$760,"&gt;="&amp;DATE(YEAR_Y-4,1,1),'Fund History'!$J$756:$J$760,"&lt;="&amp;DATE(YEAR_Y-4,12,31)),""))))</f>
        <v/>
      </c>
      <c r="R136" s="72">
        <f>IF($C136="","",IF(PULL_FUND="N","",IF(COUNTIFS('Fund History'!$J$756:$J$760,"&gt;="&amp;DATE(YEAR_Y-3,1,1),'Fund History'!$J$756:$J$760,"&lt;="&amp;DATE(YEAR_Y-3,12,31))=0,"",IFERROR($H136*HSTECH!$G$31/SUMIFS('Fund History'!$K$756:$K$760,'Fund History'!$J$756:$J$760,"&gt;="&amp;DATE(YEAR_Y-3,1,1),'Fund History'!$J$756:$J$760,"&lt;="&amp;DATE(YEAR_Y-3,12,31)),""))))</f>
        <v/>
      </c>
      <c r="S136" s="72">
        <f>IF($C136="","",IF(PULL_FUND="N","",IF(COUNTIFS('Fund History'!$J$756:$J$760,"&gt;="&amp;DATE(YEAR_Y-2,1,1),'Fund History'!$J$756:$J$760,"&lt;="&amp;DATE(YEAR_Y-2,12,31))=0,"",IFERROR($I136*HSTECH!$G$31/SUMIFS('Fund History'!$K$756:$K$760,'Fund History'!$J$756:$J$760,"&gt;="&amp;DATE(YEAR_Y-2,1,1),'Fund History'!$J$756:$J$760,"&lt;="&amp;DATE(YEAR_Y-2,12,31)),""))))</f>
        <v/>
      </c>
      <c r="T136" s="72">
        <f>IF($C136="","",IF(PULL_FUND="N","",IF(COUNTIFS('Fund History'!$J$756:$J$760,"&gt;="&amp;DATE(YEAR_Y-1,1,1),'Fund History'!$J$756:$J$760,"&lt;="&amp;DATE(YEAR_Y-1,12,31))=0,"",IFERROR($J136*HSTECH!$G$31/SUMIFS('Fund History'!$K$756:$K$760,'Fund History'!$J$756:$J$760,"&gt;="&amp;DATE(YEAR_Y-1,1,1),'Fund History'!$J$756:$J$760,"&lt;="&amp;DATE(YEAR_Y-1,12,31)),""))))</f>
        <v/>
      </c>
      <c r="U136" s="73">
        <f>IF($C136="","",IF(ISNUMBER(HSTECH!$I$31),HSTECH!$I$31/100,""))</f>
        <v/>
      </c>
      <c r="V136" s="74">
        <f>IF($C136="","",IF(ISNUMBER(HSTECH!$X$31),IFERROR($M136*HSTECH!$G$31/HSTECH!$X$31,""),""))</f>
        <v/>
      </c>
      <c r="W136" s="73">
        <f>IF($C136="","",IF(ISNUMBER($N136),IFERROR($N136*HSTECH!$G$31/HSTECH!$X$31,""),""))</f>
        <v/>
      </c>
      <c r="X136" s="75">
        <f>IF($C136="","",IF(PULL_FUND="N","",IFERROR(BDP($C136,EPS_FIELD,YR_OVERRIDE,TEXT(YEAR_Y-5,"0")),"")))</f>
        <v/>
      </c>
      <c r="Y136" s="76">
        <f>IF($C136="","",IF(PULL_FUND="N","",IFERROR(BDP($C136,EPS_FIELD,YR_OVERRIDE,TEXT(YEAR_Y-4,"0")),"")))</f>
        <v/>
      </c>
      <c r="Z136" s="76">
        <f>IF($C136="","",IF(PULL_FUND="N","",IFERROR(BDP($C136,EPS_FIELD,YR_OVERRIDE,TEXT(YEAR_Y-3,"0")),"")))</f>
        <v/>
      </c>
      <c r="AA136" s="76">
        <f>IF($C136="","",IF(PULL_FUND="N","",IFERROR(BDP($C136,EPS_FIELD,YR_OVERRIDE,TEXT(YEAR_Y-2,"0")),"")))</f>
        <v/>
      </c>
      <c r="AB136" s="76">
        <f>IF($C136="","",IF(PULL_FUND="N","",IFERROR(BDP($C136,EPS_FIELD,YR_OVERRIDE,TEXT(YEAR_Y-1,"0")),"")))</f>
        <v/>
      </c>
      <c r="AC136" s="50">
        <f>IF($C136="","",IFERROR(AVERAGE(X136:AB136),""))</f>
        <v/>
      </c>
      <c r="AD136" s="76">
        <f>IF($C136="","",IF(PULL_FUND="N","",IFERROR(BDP($C136,BESTEPS_FIELD,FWD_OVERRIDE,TEXT(MOD(YEAR_Y,100),"00")&amp;"Y"),"")))</f>
        <v/>
      </c>
      <c r="AE136" s="77">
        <f>IF($C136="","",IF(PULL_FUND="N","",IFERROR(BDP($C136,PAYOUT_FIELD,YR_OVERRIDE,TEXT(YEAR_Y-5,"0"))/100,"")))</f>
        <v/>
      </c>
      <c r="AF136" s="78">
        <f>IF($C136="","",IF(PULL_FUND="N","",IFERROR(BDP($C136,PAYOUT_FIELD,YR_OVERRIDE,TEXT(YEAR_Y-4,"0"))/100,"")))</f>
        <v/>
      </c>
      <c r="AG136" s="78">
        <f>IF($C136="","",IF(PULL_FUND="N","",IFERROR(BDP($C136,PAYOUT_FIELD,YR_OVERRIDE,TEXT(YEAR_Y-3,"0"))/100,"")))</f>
        <v/>
      </c>
      <c r="AH136" s="78">
        <f>IF($C136="","",IF(PULL_FUND="N","",IFERROR(BDP($C136,PAYOUT_FIELD,YR_OVERRIDE,TEXT(YEAR_Y-2,"0"))/100,"")))</f>
        <v/>
      </c>
      <c r="AI136" s="78">
        <f>IF($C136="","",IF(PULL_FUND="N","",IFERROR(BDP($C136,PAYOUT_FIELD,YR_OVERRIDE,TEXT(YEAR_Y-1,"0"))/100,"")))</f>
        <v/>
      </c>
      <c r="AJ136" s="79">
        <f>IF($C136="","",IFERROR(AVERAGE(AE136:AI136),""))</f>
        <v/>
      </c>
      <c r="AK136" s="80">
        <f>IF($C136="","",IF(ISNUMBER($AD136)*ISNUMBER($N136)*($AD136&lt;&gt;0)=0,"",$N136/$AD136))</f>
        <v/>
      </c>
      <c r="AL136" s="79">
        <f>IF($C136="","",IF(ISNUMBER($AD136)*($AD136&lt;&gt;0)=0,"",$M136/$AD136))</f>
        <v/>
      </c>
      <c r="AM136" s="37">
        <f>IF($C136="","",IF(ISNUMBER($AE136)*ISNUMBER($AI136)=0,"",IF($AI136&gt;$AE136+0.05,"rising",IF($AI136&lt;$AE136-0.05,"falling","stable"))))</f>
        <v/>
      </c>
      <c r="AN136" s="81">
        <f>IF($C136="","",IF(PULL_FUND="N","",IF(COUNTIFS('Fund History'!$G$756:$G$760,"&gt;="&amp;DATE(YEAR_Y-4,1,1),'Fund History'!$G$756:$G$760,"&lt;="&amp;DATE(YEAR_Y-4,12,31))=0,"",SUMIFS('Fund History'!$H$756:$H$760,'Fund History'!$G$756:$G$760,"&gt;="&amp;DATE(YEAR_Y-4,1,1),'Fund History'!$G$756:$G$760,"&lt;="&amp;DATE(YEAR_Y-4,12,31))/100)))</f>
        <v/>
      </c>
      <c r="AO136" s="82">
        <f>IF($C136="","",IF(PULL_FUND="N","",IF(COUNTIFS('Fund History'!$G$756:$G$760,"&gt;="&amp;DATE(YEAR_Y-3,1,1),'Fund History'!$G$756:$G$760,"&lt;="&amp;DATE(YEAR_Y-3,12,31))=0,"",SUMIFS('Fund History'!$H$756:$H$760,'Fund History'!$G$756:$G$760,"&gt;="&amp;DATE(YEAR_Y-3,1,1),'Fund History'!$G$756:$G$760,"&lt;="&amp;DATE(YEAR_Y-3,12,31))/100)))</f>
        <v/>
      </c>
      <c r="AP136" s="82">
        <f>IF($C136="","",IF(PULL_FUND="N","",IF(COUNTIFS('Fund History'!$G$756:$G$760,"&gt;="&amp;DATE(YEAR_Y-2,1,1),'Fund History'!$G$756:$G$760,"&lt;="&amp;DATE(YEAR_Y-2,12,31))=0,"",SUMIFS('Fund History'!$H$756:$H$760,'Fund History'!$G$756:$G$760,"&gt;="&amp;DATE(YEAR_Y-2,1,1),'Fund History'!$G$756:$G$760,"&lt;="&amp;DATE(YEAR_Y-2,12,31))/100)))</f>
        <v/>
      </c>
      <c r="AQ136" s="82">
        <f>IF($C136="","",IF(PULL_FUND="N","",IF(COUNTIFS('Fund History'!$G$756:$G$760,"&gt;="&amp;DATE(YEAR_Y-1,1,1),'Fund History'!$G$756:$G$760,"&lt;="&amp;DATE(YEAR_Y-1,12,31))=0,"",SUMIFS('Fund History'!$H$756:$H$760,'Fund History'!$G$756:$G$760,"&gt;="&amp;DATE(YEAR_Y-1,1,1),'Fund History'!$G$756:$G$760,"&lt;="&amp;DATE(YEAR_Y-1,12,31))/100)))</f>
        <v/>
      </c>
      <c r="AR136" s="83">
        <f>IF($C136="","",IF(N($AQ136)+N(HSTECH!$I$31)=0,"",N($AQ136)+N(HSTECH!$I$31)/100))</f>
        <v/>
      </c>
      <c r="AS136" s="75">
        <f>IF($C136="","",IF(PULL_FUND="N","",IF(COUNTIFS('Fund History'!$D$756:$D$760,"&gt;="&amp;DATE(YEAR_Y-2,1,1),'Fund History'!$D$756:$D$760,"&lt;="&amp;DATE(YEAR_Y-2,12,31))=0,"",SUMIFS('Fund History'!$E$756:$E$760,'Fund History'!$D$756:$D$760,"&gt;="&amp;DATE(YEAR_Y-2,1,1),'Fund History'!$D$756:$D$760,"&lt;="&amp;DATE(YEAR_Y-2,12,31)))))</f>
        <v/>
      </c>
      <c r="AT136" s="76">
        <f>IF($C136="","",IF(PULL_FUND="N","",IF(COUNTIFS('Fund History'!$D$756:$D$760,"&gt;="&amp;DATE(YEAR_Y-1,1,1),'Fund History'!$D$756:$D$760,"&lt;="&amp;DATE(YEAR_Y-1,12,31))=0,"",SUMIFS('Fund History'!$E$756:$E$760,'Fund History'!$D$756:$D$760,"&gt;="&amp;DATE(YEAR_Y-1,1,1),'Fund History'!$D$756:$D$760,"&lt;="&amp;DATE(YEAR_Y-1,12,31)))))</f>
        <v/>
      </c>
      <c r="AU136" s="76">
        <f>IF($C136="","",IF(PULL_FUND="N","",IFERROR(BDP($C136,NDEBITDA_FIELD),"")))</f>
        <v/>
      </c>
      <c r="AV136" s="84">
        <f>IF($C136="","",IF(PULL_FUND="N","",IFERROR(BDP($C136,EBINT_FIELD),"")))</f>
        <v/>
      </c>
      <c r="AW136" s="82">
        <f>IF($C136="","",IF(PULL_FUND="N","",IFERROR(BDP($C136,FCF_FIELD)/100,"")))</f>
        <v/>
      </c>
      <c r="AX136" s="50">
        <f>IF($C136="","",IF(N($U136)=0,"",IFERROR($AW136/$U136,"")))</f>
        <v/>
      </c>
      <c r="AY136" s="85">
        <f>IF($C136="","",TRIM(IF(ISNUMBER($AJ136)*(N($AJ136)&gt;$D$4)&gt;0,"payout high  ","")&amp;IF(ISNUMBER($AX136)*(N($AX136)&lt;$F$4)&gt;0,"FCF below dvd  ","")&amp;IF(ISNUMBER($AU136)*(N($AU136)&gt;$H$4)&gt;0,"leverage high","")))</f>
        <v/>
      </c>
      <c r="AZ136" s="86">
        <f>IF($C136="","",IF(HSTECH!$F$31="HKD","",HSTECH!$F$31))</f>
        <v/>
      </c>
    </row>
    <row r="137">
      <c r="B137" s="66" t="inlineStr">
        <is>
          <t>HSTECH</t>
        </is>
      </c>
      <c r="C137" s="8">
        <f>IF(HSTECH!$C$32="","",HSTECH!$C$32)</f>
        <v/>
      </c>
      <c r="D137" s="8">
        <f>IF($C137="","",HSTECH!$D$32)</f>
        <v/>
      </c>
      <c r="E137" s="8">
        <f>IF($C137="","",HSTECH!$E$32)</f>
        <v/>
      </c>
      <c r="F137" s="67">
        <f>IF($C137="","",SUMPRODUCT(('Dvd Calendar'!$E$1391:$AR$1391&gt;=DATE(YEAR_Y-5,1,1))*('Dvd Calendar'!$E$1391:$AR$1391&lt;=DATE(YEAR_Y-5,12,31))*'Dvd Calendar'!$E$1394:$AR$1394*(('Dvd Calendar'!$E$1396:$AR$1396=TYPE1)*(TYPE1&lt;&gt;"")+('Dvd Calendar'!$E$1396:$AR$1396=TYPE2)*(TYPE2&lt;&gt;"")+('Dvd Calendar'!$E$1396:$AR$1396=TYPE3)*(TYPE3&lt;&gt;"")+('Dvd Calendar'!$E$1396:$AR$1396=TYPE4)*(TYPE4&lt;&gt;"")+('Dvd Calendar'!$E$1396:$AR$1396=SPECIAL_LBL)*(INC_SPECIALS="Y"))))</f>
        <v/>
      </c>
      <c r="G137" s="68">
        <f>IF($C137="","",SUMPRODUCT(('Dvd Calendar'!$E$1391:$AR$1391&gt;=DATE(YEAR_Y-4,1,1))*('Dvd Calendar'!$E$1391:$AR$1391&lt;=DATE(YEAR_Y-4,12,31))*'Dvd Calendar'!$E$1394:$AR$1394*(('Dvd Calendar'!$E$1396:$AR$1396=TYPE1)*(TYPE1&lt;&gt;"")+('Dvd Calendar'!$E$1396:$AR$1396=TYPE2)*(TYPE2&lt;&gt;"")+('Dvd Calendar'!$E$1396:$AR$1396=TYPE3)*(TYPE3&lt;&gt;"")+('Dvd Calendar'!$E$1396:$AR$1396=TYPE4)*(TYPE4&lt;&gt;"")+('Dvd Calendar'!$E$1396:$AR$1396=SPECIAL_LBL)*(INC_SPECIALS="Y"))))</f>
        <v/>
      </c>
      <c r="H137" s="68">
        <f>IF($C137="","",SUMPRODUCT(('Dvd Calendar'!$E$1391:$AR$1391&gt;=DATE(YEAR_Y-3,1,1))*('Dvd Calendar'!$E$1391:$AR$1391&lt;=DATE(YEAR_Y-3,12,31))*'Dvd Calendar'!$E$1394:$AR$1394*(('Dvd Calendar'!$E$1396:$AR$1396=TYPE1)*(TYPE1&lt;&gt;"")+('Dvd Calendar'!$E$1396:$AR$1396=TYPE2)*(TYPE2&lt;&gt;"")+('Dvd Calendar'!$E$1396:$AR$1396=TYPE3)*(TYPE3&lt;&gt;"")+('Dvd Calendar'!$E$1396:$AR$1396=TYPE4)*(TYPE4&lt;&gt;"")+('Dvd Calendar'!$E$1396:$AR$1396=SPECIAL_LBL)*(INC_SPECIALS="Y"))))</f>
        <v/>
      </c>
      <c r="I137" s="68">
        <f>IF($C137="","",SUMPRODUCT(('Dvd Calendar'!$E$1391:$AR$1391&gt;=DATE(YEAR_Y-2,1,1))*('Dvd Calendar'!$E$1391:$AR$1391&lt;=DATE(YEAR_Y-2,12,31))*'Dvd Calendar'!$E$1394:$AR$1394*(('Dvd Calendar'!$E$1396:$AR$1396=TYPE1)*(TYPE1&lt;&gt;"")+('Dvd Calendar'!$E$1396:$AR$1396=TYPE2)*(TYPE2&lt;&gt;"")+('Dvd Calendar'!$E$1396:$AR$1396=TYPE3)*(TYPE3&lt;&gt;"")+('Dvd Calendar'!$E$1396:$AR$1396=TYPE4)*(TYPE4&lt;&gt;"")+('Dvd Calendar'!$E$1396:$AR$1396=SPECIAL_LBL)*(INC_SPECIALS="Y"))))</f>
        <v/>
      </c>
      <c r="J137" s="68">
        <f>IF($C137="","",SUMPRODUCT(('Dvd Calendar'!$E$1391:$AR$1391&gt;=DATE(YEAR_Y-1,1,1))*('Dvd Calendar'!$E$1391:$AR$1391&lt;=DATE(YEAR_Y-1,12,31))*'Dvd Calendar'!$E$1394:$AR$1394*(('Dvd Calendar'!$E$1396:$AR$1396=TYPE1)*(TYPE1&lt;&gt;"")+('Dvd Calendar'!$E$1396:$AR$1396=TYPE2)*(TYPE2&lt;&gt;"")+('Dvd Calendar'!$E$1396:$AR$1396=TYPE3)*(TYPE3&lt;&gt;"")+('Dvd Calendar'!$E$1396:$AR$1396=TYPE4)*(TYPE4&lt;&gt;"")+('Dvd Calendar'!$E$1396:$AR$1396=SPECIAL_LBL)*(INC_SPECIALS="Y"))))</f>
        <v/>
      </c>
      <c r="K137" s="69">
        <f>IF($C137="","",HSTECH!$J$32)</f>
        <v/>
      </c>
      <c r="L137" s="69">
        <f>IF($C137="","",HSTECH!$K$32)</f>
        <v/>
      </c>
      <c r="M137" s="44">
        <f>IF($C137="","",HSTECH!$J$32+HSTECH!$L$32)</f>
        <v/>
      </c>
      <c r="N137" s="70">
        <f>IF($C137="","",IF(PULL_FUND="N","",IFERROR(BDP($C137,BESTDPS_FIELD,FWD_OVERRIDE,TEXT(MOD(YEAR_Y,100),"00")&amp;"Y"),"")))</f>
        <v/>
      </c>
      <c r="O137" s="69">
        <f>IF($C137="","",AVERAGE(F137:J137))</f>
        <v/>
      </c>
      <c r="P137" s="71">
        <f>IF($C137="","",IF(PULL_FUND="N","",IF(COUNTIFS('Fund History'!$J$762:$J$766,"&gt;="&amp;DATE(YEAR_Y-5,1,1),'Fund History'!$J$762:$J$766,"&lt;="&amp;DATE(YEAR_Y-5,12,31))=0,"",IFERROR($F137*HSTECH!$G$32/SUMIFS('Fund History'!$K$762:$K$766,'Fund History'!$J$762:$J$766,"&gt;="&amp;DATE(YEAR_Y-5,1,1),'Fund History'!$J$762:$J$766,"&lt;="&amp;DATE(YEAR_Y-5,12,31)),""))))</f>
        <v/>
      </c>
      <c r="Q137" s="72">
        <f>IF($C137="","",IF(PULL_FUND="N","",IF(COUNTIFS('Fund History'!$J$762:$J$766,"&gt;="&amp;DATE(YEAR_Y-4,1,1),'Fund History'!$J$762:$J$766,"&lt;="&amp;DATE(YEAR_Y-4,12,31))=0,"",IFERROR($G137*HSTECH!$G$32/SUMIFS('Fund History'!$K$762:$K$766,'Fund History'!$J$762:$J$766,"&gt;="&amp;DATE(YEAR_Y-4,1,1),'Fund History'!$J$762:$J$766,"&lt;="&amp;DATE(YEAR_Y-4,12,31)),""))))</f>
        <v/>
      </c>
      <c r="R137" s="72">
        <f>IF($C137="","",IF(PULL_FUND="N","",IF(COUNTIFS('Fund History'!$J$762:$J$766,"&gt;="&amp;DATE(YEAR_Y-3,1,1),'Fund History'!$J$762:$J$766,"&lt;="&amp;DATE(YEAR_Y-3,12,31))=0,"",IFERROR($H137*HSTECH!$G$32/SUMIFS('Fund History'!$K$762:$K$766,'Fund History'!$J$762:$J$766,"&gt;="&amp;DATE(YEAR_Y-3,1,1),'Fund History'!$J$762:$J$766,"&lt;="&amp;DATE(YEAR_Y-3,12,31)),""))))</f>
        <v/>
      </c>
      <c r="S137" s="72">
        <f>IF($C137="","",IF(PULL_FUND="N","",IF(COUNTIFS('Fund History'!$J$762:$J$766,"&gt;="&amp;DATE(YEAR_Y-2,1,1),'Fund History'!$J$762:$J$766,"&lt;="&amp;DATE(YEAR_Y-2,12,31))=0,"",IFERROR($I137*HSTECH!$G$32/SUMIFS('Fund History'!$K$762:$K$766,'Fund History'!$J$762:$J$766,"&gt;="&amp;DATE(YEAR_Y-2,1,1),'Fund History'!$J$762:$J$766,"&lt;="&amp;DATE(YEAR_Y-2,12,31)),""))))</f>
        <v/>
      </c>
      <c r="T137" s="72">
        <f>IF($C137="","",IF(PULL_FUND="N","",IF(COUNTIFS('Fund History'!$J$762:$J$766,"&gt;="&amp;DATE(YEAR_Y-1,1,1),'Fund History'!$J$762:$J$766,"&lt;="&amp;DATE(YEAR_Y-1,12,31))=0,"",IFERROR($J137*HSTECH!$G$32/SUMIFS('Fund History'!$K$762:$K$766,'Fund History'!$J$762:$J$766,"&gt;="&amp;DATE(YEAR_Y-1,1,1),'Fund History'!$J$762:$J$766,"&lt;="&amp;DATE(YEAR_Y-1,12,31)),""))))</f>
        <v/>
      </c>
      <c r="U137" s="73">
        <f>IF($C137="","",IF(ISNUMBER(HSTECH!$I$32),HSTECH!$I$32/100,""))</f>
        <v/>
      </c>
      <c r="V137" s="74">
        <f>IF($C137="","",IF(ISNUMBER(HSTECH!$X$32),IFERROR($M137*HSTECH!$G$32/HSTECH!$X$32,""),""))</f>
        <v/>
      </c>
      <c r="W137" s="73">
        <f>IF($C137="","",IF(ISNUMBER($N137),IFERROR($N137*HSTECH!$G$32/HSTECH!$X$32,""),""))</f>
        <v/>
      </c>
      <c r="X137" s="75">
        <f>IF($C137="","",IF(PULL_FUND="N","",IFERROR(BDP($C137,EPS_FIELD,YR_OVERRIDE,TEXT(YEAR_Y-5,"0")),"")))</f>
        <v/>
      </c>
      <c r="Y137" s="76">
        <f>IF($C137="","",IF(PULL_FUND="N","",IFERROR(BDP($C137,EPS_FIELD,YR_OVERRIDE,TEXT(YEAR_Y-4,"0")),"")))</f>
        <v/>
      </c>
      <c r="Z137" s="76">
        <f>IF($C137="","",IF(PULL_FUND="N","",IFERROR(BDP($C137,EPS_FIELD,YR_OVERRIDE,TEXT(YEAR_Y-3,"0")),"")))</f>
        <v/>
      </c>
      <c r="AA137" s="76">
        <f>IF($C137="","",IF(PULL_FUND="N","",IFERROR(BDP($C137,EPS_FIELD,YR_OVERRIDE,TEXT(YEAR_Y-2,"0")),"")))</f>
        <v/>
      </c>
      <c r="AB137" s="76">
        <f>IF($C137="","",IF(PULL_FUND="N","",IFERROR(BDP($C137,EPS_FIELD,YR_OVERRIDE,TEXT(YEAR_Y-1,"0")),"")))</f>
        <v/>
      </c>
      <c r="AC137" s="50">
        <f>IF($C137="","",IFERROR(AVERAGE(X137:AB137),""))</f>
        <v/>
      </c>
      <c r="AD137" s="76">
        <f>IF($C137="","",IF(PULL_FUND="N","",IFERROR(BDP($C137,BESTEPS_FIELD,FWD_OVERRIDE,TEXT(MOD(YEAR_Y,100),"00")&amp;"Y"),"")))</f>
        <v/>
      </c>
      <c r="AE137" s="77">
        <f>IF($C137="","",IF(PULL_FUND="N","",IFERROR(BDP($C137,PAYOUT_FIELD,YR_OVERRIDE,TEXT(YEAR_Y-5,"0"))/100,"")))</f>
        <v/>
      </c>
      <c r="AF137" s="78">
        <f>IF($C137="","",IF(PULL_FUND="N","",IFERROR(BDP($C137,PAYOUT_FIELD,YR_OVERRIDE,TEXT(YEAR_Y-4,"0"))/100,"")))</f>
        <v/>
      </c>
      <c r="AG137" s="78">
        <f>IF($C137="","",IF(PULL_FUND="N","",IFERROR(BDP($C137,PAYOUT_FIELD,YR_OVERRIDE,TEXT(YEAR_Y-3,"0"))/100,"")))</f>
        <v/>
      </c>
      <c r="AH137" s="78">
        <f>IF($C137="","",IF(PULL_FUND="N","",IFERROR(BDP($C137,PAYOUT_FIELD,YR_OVERRIDE,TEXT(YEAR_Y-2,"0"))/100,"")))</f>
        <v/>
      </c>
      <c r="AI137" s="78">
        <f>IF($C137="","",IF(PULL_FUND="N","",IFERROR(BDP($C137,PAYOUT_FIELD,YR_OVERRIDE,TEXT(YEAR_Y-1,"0"))/100,"")))</f>
        <v/>
      </c>
      <c r="AJ137" s="79">
        <f>IF($C137="","",IFERROR(AVERAGE(AE137:AI137),""))</f>
        <v/>
      </c>
      <c r="AK137" s="80">
        <f>IF($C137="","",IF(ISNUMBER($AD137)*ISNUMBER($N137)*($AD137&lt;&gt;0)=0,"",$N137/$AD137))</f>
        <v/>
      </c>
      <c r="AL137" s="79">
        <f>IF($C137="","",IF(ISNUMBER($AD137)*($AD137&lt;&gt;0)=0,"",$M137/$AD137))</f>
        <v/>
      </c>
      <c r="AM137" s="37">
        <f>IF($C137="","",IF(ISNUMBER($AE137)*ISNUMBER($AI137)=0,"",IF($AI137&gt;$AE137+0.05,"rising",IF($AI137&lt;$AE137-0.05,"falling","stable"))))</f>
        <v/>
      </c>
      <c r="AN137" s="81">
        <f>IF($C137="","",IF(PULL_FUND="N","",IF(COUNTIFS('Fund History'!$G$762:$G$766,"&gt;="&amp;DATE(YEAR_Y-4,1,1),'Fund History'!$G$762:$G$766,"&lt;="&amp;DATE(YEAR_Y-4,12,31))=0,"",SUMIFS('Fund History'!$H$762:$H$766,'Fund History'!$G$762:$G$766,"&gt;="&amp;DATE(YEAR_Y-4,1,1),'Fund History'!$G$762:$G$766,"&lt;="&amp;DATE(YEAR_Y-4,12,31))/100)))</f>
        <v/>
      </c>
      <c r="AO137" s="82">
        <f>IF($C137="","",IF(PULL_FUND="N","",IF(COUNTIFS('Fund History'!$G$762:$G$766,"&gt;="&amp;DATE(YEAR_Y-3,1,1),'Fund History'!$G$762:$G$766,"&lt;="&amp;DATE(YEAR_Y-3,12,31))=0,"",SUMIFS('Fund History'!$H$762:$H$766,'Fund History'!$G$762:$G$766,"&gt;="&amp;DATE(YEAR_Y-3,1,1),'Fund History'!$G$762:$G$766,"&lt;="&amp;DATE(YEAR_Y-3,12,31))/100)))</f>
        <v/>
      </c>
      <c r="AP137" s="82">
        <f>IF($C137="","",IF(PULL_FUND="N","",IF(COUNTIFS('Fund History'!$G$762:$G$766,"&gt;="&amp;DATE(YEAR_Y-2,1,1),'Fund History'!$G$762:$G$766,"&lt;="&amp;DATE(YEAR_Y-2,12,31))=0,"",SUMIFS('Fund History'!$H$762:$H$766,'Fund History'!$G$762:$G$766,"&gt;="&amp;DATE(YEAR_Y-2,1,1),'Fund History'!$G$762:$G$766,"&lt;="&amp;DATE(YEAR_Y-2,12,31))/100)))</f>
        <v/>
      </c>
      <c r="AQ137" s="82">
        <f>IF($C137="","",IF(PULL_FUND="N","",IF(COUNTIFS('Fund History'!$G$762:$G$766,"&gt;="&amp;DATE(YEAR_Y-1,1,1),'Fund History'!$G$762:$G$766,"&lt;="&amp;DATE(YEAR_Y-1,12,31))=0,"",SUMIFS('Fund History'!$H$762:$H$766,'Fund History'!$G$762:$G$766,"&gt;="&amp;DATE(YEAR_Y-1,1,1),'Fund History'!$G$762:$G$766,"&lt;="&amp;DATE(YEAR_Y-1,12,31))/100)))</f>
        <v/>
      </c>
      <c r="AR137" s="83">
        <f>IF($C137="","",IF(N($AQ137)+N(HSTECH!$I$32)=0,"",N($AQ137)+N(HSTECH!$I$32)/100))</f>
        <v/>
      </c>
      <c r="AS137" s="75">
        <f>IF($C137="","",IF(PULL_FUND="N","",IF(COUNTIFS('Fund History'!$D$762:$D$766,"&gt;="&amp;DATE(YEAR_Y-2,1,1),'Fund History'!$D$762:$D$766,"&lt;="&amp;DATE(YEAR_Y-2,12,31))=0,"",SUMIFS('Fund History'!$E$762:$E$766,'Fund History'!$D$762:$D$766,"&gt;="&amp;DATE(YEAR_Y-2,1,1),'Fund History'!$D$762:$D$766,"&lt;="&amp;DATE(YEAR_Y-2,12,31)))))</f>
        <v/>
      </c>
      <c r="AT137" s="76">
        <f>IF($C137="","",IF(PULL_FUND="N","",IF(COUNTIFS('Fund History'!$D$762:$D$766,"&gt;="&amp;DATE(YEAR_Y-1,1,1),'Fund History'!$D$762:$D$766,"&lt;="&amp;DATE(YEAR_Y-1,12,31))=0,"",SUMIFS('Fund History'!$E$762:$E$766,'Fund History'!$D$762:$D$766,"&gt;="&amp;DATE(YEAR_Y-1,1,1),'Fund History'!$D$762:$D$766,"&lt;="&amp;DATE(YEAR_Y-1,12,31)))))</f>
        <v/>
      </c>
      <c r="AU137" s="76">
        <f>IF($C137="","",IF(PULL_FUND="N","",IFERROR(BDP($C137,NDEBITDA_FIELD),"")))</f>
        <v/>
      </c>
      <c r="AV137" s="84">
        <f>IF($C137="","",IF(PULL_FUND="N","",IFERROR(BDP($C137,EBINT_FIELD),"")))</f>
        <v/>
      </c>
      <c r="AW137" s="82">
        <f>IF($C137="","",IF(PULL_FUND="N","",IFERROR(BDP($C137,FCF_FIELD)/100,"")))</f>
        <v/>
      </c>
      <c r="AX137" s="50">
        <f>IF($C137="","",IF(N($U137)=0,"",IFERROR($AW137/$U137,"")))</f>
        <v/>
      </c>
      <c r="AY137" s="85">
        <f>IF($C137="","",TRIM(IF(ISNUMBER($AJ137)*(N($AJ137)&gt;$D$4)&gt;0,"payout high  ","")&amp;IF(ISNUMBER($AX137)*(N($AX137)&lt;$F$4)&gt;0,"FCF below dvd  ","")&amp;IF(ISNUMBER($AU137)*(N($AU137)&gt;$H$4)&gt;0,"leverage high","")))</f>
        <v/>
      </c>
      <c r="AZ137" s="86">
        <f>IF($C137="","",IF(HSTECH!$F$32="HKD","",HSTECH!$F$32))</f>
        <v/>
      </c>
    </row>
    <row r="138">
      <c r="B138" s="66" t="inlineStr">
        <is>
          <t>HSTECH</t>
        </is>
      </c>
      <c r="C138" s="8">
        <f>IF(HSTECH!$C$33="","",HSTECH!$C$33)</f>
        <v/>
      </c>
      <c r="D138" s="8">
        <f>IF($C138="","",HSTECH!$D$33)</f>
        <v/>
      </c>
      <c r="E138" s="8">
        <f>IF($C138="","",HSTECH!$E$33)</f>
        <v/>
      </c>
      <c r="F138" s="67">
        <f>IF($C138="","",SUMPRODUCT(('Dvd Calendar'!$E$1402:$AR$1402&gt;=DATE(YEAR_Y-5,1,1))*('Dvd Calendar'!$E$1402:$AR$1402&lt;=DATE(YEAR_Y-5,12,31))*'Dvd Calendar'!$E$1405:$AR$1405*(('Dvd Calendar'!$E$1407:$AR$1407=TYPE1)*(TYPE1&lt;&gt;"")+('Dvd Calendar'!$E$1407:$AR$1407=TYPE2)*(TYPE2&lt;&gt;"")+('Dvd Calendar'!$E$1407:$AR$1407=TYPE3)*(TYPE3&lt;&gt;"")+('Dvd Calendar'!$E$1407:$AR$1407=TYPE4)*(TYPE4&lt;&gt;"")+('Dvd Calendar'!$E$1407:$AR$1407=SPECIAL_LBL)*(INC_SPECIALS="Y"))))</f>
        <v/>
      </c>
      <c r="G138" s="68">
        <f>IF($C138="","",SUMPRODUCT(('Dvd Calendar'!$E$1402:$AR$1402&gt;=DATE(YEAR_Y-4,1,1))*('Dvd Calendar'!$E$1402:$AR$1402&lt;=DATE(YEAR_Y-4,12,31))*'Dvd Calendar'!$E$1405:$AR$1405*(('Dvd Calendar'!$E$1407:$AR$1407=TYPE1)*(TYPE1&lt;&gt;"")+('Dvd Calendar'!$E$1407:$AR$1407=TYPE2)*(TYPE2&lt;&gt;"")+('Dvd Calendar'!$E$1407:$AR$1407=TYPE3)*(TYPE3&lt;&gt;"")+('Dvd Calendar'!$E$1407:$AR$1407=TYPE4)*(TYPE4&lt;&gt;"")+('Dvd Calendar'!$E$1407:$AR$1407=SPECIAL_LBL)*(INC_SPECIALS="Y"))))</f>
        <v/>
      </c>
      <c r="H138" s="68">
        <f>IF($C138="","",SUMPRODUCT(('Dvd Calendar'!$E$1402:$AR$1402&gt;=DATE(YEAR_Y-3,1,1))*('Dvd Calendar'!$E$1402:$AR$1402&lt;=DATE(YEAR_Y-3,12,31))*'Dvd Calendar'!$E$1405:$AR$1405*(('Dvd Calendar'!$E$1407:$AR$1407=TYPE1)*(TYPE1&lt;&gt;"")+('Dvd Calendar'!$E$1407:$AR$1407=TYPE2)*(TYPE2&lt;&gt;"")+('Dvd Calendar'!$E$1407:$AR$1407=TYPE3)*(TYPE3&lt;&gt;"")+('Dvd Calendar'!$E$1407:$AR$1407=TYPE4)*(TYPE4&lt;&gt;"")+('Dvd Calendar'!$E$1407:$AR$1407=SPECIAL_LBL)*(INC_SPECIALS="Y"))))</f>
        <v/>
      </c>
      <c r="I138" s="68">
        <f>IF($C138="","",SUMPRODUCT(('Dvd Calendar'!$E$1402:$AR$1402&gt;=DATE(YEAR_Y-2,1,1))*('Dvd Calendar'!$E$1402:$AR$1402&lt;=DATE(YEAR_Y-2,12,31))*'Dvd Calendar'!$E$1405:$AR$1405*(('Dvd Calendar'!$E$1407:$AR$1407=TYPE1)*(TYPE1&lt;&gt;"")+('Dvd Calendar'!$E$1407:$AR$1407=TYPE2)*(TYPE2&lt;&gt;"")+('Dvd Calendar'!$E$1407:$AR$1407=TYPE3)*(TYPE3&lt;&gt;"")+('Dvd Calendar'!$E$1407:$AR$1407=TYPE4)*(TYPE4&lt;&gt;"")+('Dvd Calendar'!$E$1407:$AR$1407=SPECIAL_LBL)*(INC_SPECIALS="Y"))))</f>
        <v/>
      </c>
      <c r="J138" s="68">
        <f>IF($C138="","",SUMPRODUCT(('Dvd Calendar'!$E$1402:$AR$1402&gt;=DATE(YEAR_Y-1,1,1))*('Dvd Calendar'!$E$1402:$AR$1402&lt;=DATE(YEAR_Y-1,12,31))*'Dvd Calendar'!$E$1405:$AR$1405*(('Dvd Calendar'!$E$1407:$AR$1407=TYPE1)*(TYPE1&lt;&gt;"")+('Dvd Calendar'!$E$1407:$AR$1407=TYPE2)*(TYPE2&lt;&gt;"")+('Dvd Calendar'!$E$1407:$AR$1407=TYPE3)*(TYPE3&lt;&gt;"")+('Dvd Calendar'!$E$1407:$AR$1407=TYPE4)*(TYPE4&lt;&gt;"")+('Dvd Calendar'!$E$1407:$AR$1407=SPECIAL_LBL)*(INC_SPECIALS="Y"))))</f>
        <v/>
      </c>
      <c r="K138" s="69">
        <f>IF($C138="","",HSTECH!$J$33)</f>
        <v/>
      </c>
      <c r="L138" s="69">
        <f>IF($C138="","",HSTECH!$K$33)</f>
        <v/>
      </c>
      <c r="M138" s="44">
        <f>IF($C138="","",HSTECH!$J$33+HSTECH!$L$33)</f>
        <v/>
      </c>
      <c r="N138" s="70">
        <f>IF($C138="","",IF(PULL_FUND="N","",IFERROR(BDP($C138,BESTDPS_FIELD,FWD_OVERRIDE,TEXT(MOD(YEAR_Y,100),"00")&amp;"Y"),"")))</f>
        <v/>
      </c>
      <c r="O138" s="69">
        <f>IF($C138="","",AVERAGE(F138:J138))</f>
        <v/>
      </c>
      <c r="P138" s="71">
        <f>IF($C138="","",IF(PULL_FUND="N","",IF(COUNTIFS('Fund History'!$J$768:$J$772,"&gt;="&amp;DATE(YEAR_Y-5,1,1),'Fund History'!$J$768:$J$772,"&lt;="&amp;DATE(YEAR_Y-5,12,31))=0,"",IFERROR($F138*HSTECH!$G$33/SUMIFS('Fund History'!$K$768:$K$772,'Fund History'!$J$768:$J$772,"&gt;="&amp;DATE(YEAR_Y-5,1,1),'Fund History'!$J$768:$J$772,"&lt;="&amp;DATE(YEAR_Y-5,12,31)),""))))</f>
        <v/>
      </c>
      <c r="Q138" s="72">
        <f>IF($C138="","",IF(PULL_FUND="N","",IF(COUNTIFS('Fund History'!$J$768:$J$772,"&gt;="&amp;DATE(YEAR_Y-4,1,1),'Fund History'!$J$768:$J$772,"&lt;="&amp;DATE(YEAR_Y-4,12,31))=0,"",IFERROR($G138*HSTECH!$G$33/SUMIFS('Fund History'!$K$768:$K$772,'Fund History'!$J$768:$J$772,"&gt;="&amp;DATE(YEAR_Y-4,1,1),'Fund History'!$J$768:$J$772,"&lt;="&amp;DATE(YEAR_Y-4,12,31)),""))))</f>
        <v/>
      </c>
      <c r="R138" s="72">
        <f>IF($C138="","",IF(PULL_FUND="N","",IF(COUNTIFS('Fund History'!$J$768:$J$772,"&gt;="&amp;DATE(YEAR_Y-3,1,1),'Fund History'!$J$768:$J$772,"&lt;="&amp;DATE(YEAR_Y-3,12,31))=0,"",IFERROR($H138*HSTECH!$G$33/SUMIFS('Fund History'!$K$768:$K$772,'Fund History'!$J$768:$J$772,"&gt;="&amp;DATE(YEAR_Y-3,1,1),'Fund History'!$J$768:$J$772,"&lt;="&amp;DATE(YEAR_Y-3,12,31)),""))))</f>
        <v/>
      </c>
      <c r="S138" s="72">
        <f>IF($C138="","",IF(PULL_FUND="N","",IF(COUNTIFS('Fund History'!$J$768:$J$772,"&gt;="&amp;DATE(YEAR_Y-2,1,1),'Fund History'!$J$768:$J$772,"&lt;="&amp;DATE(YEAR_Y-2,12,31))=0,"",IFERROR($I138*HSTECH!$G$33/SUMIFS('Fund History'!$K$768:$K$772,'Fund History'!$J$768:$J$772,"&gt;="&amp;DATE(YEAR_Y-2,1,1),'Fund History'!$J$768:$J$772,"&lt;="&amp;DATE(YEAR_Y-2,12,31)),""))))</f>
        <v/>
      </c>
      <c r="T138" s="72">
        <f>IF($C138="","",IF(PULL_FUND="N","",IF(COUNTIFS('Fund History'!$J$768:$J$772,"&gt;="&amp;DATE(YEAR_Y-1,1,1),'Fund History'!$J$768:$J$772,"&lt;="&amp;DATE(YEAR_Y-1,12,31))=0,"",IFERROR($J138*HSTECH!$G$33/SUMIFS('Fund History'!$K$768:$K$772,'Fund History'!$J$768:$J$772,"&gt;="&amp;DATE(YEAR_Y-1,1,1),'Fund History'!$J$768:$J$772,"&lt;="&amp;DATE(YEAR_Y-1,12,31)),""))))</f>
        <v/>
      </c>
      <c r="U138" s="73">
        <f>IF($C138="","",IF(ISNUMBER(HSTECH!$I$33),HSTECH!$I$33/100,""))</f>
        <v/>
      </c>
      <c r="V138" s="74">
        <f>IF($C138="","",IF(ISNUMBER(HSTECH!$X$33),IFERROR($M138*HSTECH!$G$33/HSTECH!$X$33,""),""))</f>
        <v/>
      </c>
      <c r="W138" s="73">
        <f>IF($C138="","",IF(ISNUMBER($N138),IFERROR($N138*HSTECH!$G$33/HSTECH!$X$33,""),""))</f>
        <v/>
      </c>
      <c r="X138" s="75">
        <f>IF($C138="","",IF(PULL_FUND="N","",IFERROR(BDP($C138,EPS_FIELD,YR_OVERRIDE,TEXT(YEAR_Y-5,"0")),"")))</f>
        <v/>
      </c>
      <c r="Y138" s="76">
        <f>IF($C138="","",IF(PULL_FUND="N","",IFERROR(BDP($C138,EPS_FIELD,YR_OVERRIDE,TEXT(YEAR_Y-4,"0")),"")))</f>
        <v/>
      </c>
      <c r="Z138" s="76">
        <f>IF($C138="","",IF(PULL_FUND="N","",IFERROR(BDP($C138,EPS_FIELD,YR_OVERRIDE,TEXT(YEAR_Y-3,"0")),"")))</f>
        <v/>
      </c>
      <c r="AA138" s="76">
        <f>IF($C138="","",IF(PULL_FUND="N","",IFERROR(BDP($C138,EPS_FIELD,YR_OVERRIDE,TEXT(YEAR_Y-2,"0")),"")))</f>
        <v/>
      </c>
      <c r="AB138" s="76">
        <f>IF($C138="","",IF(PULL_FUND="N","",IFERROR(BDP($C138,EPS_FIELD,YR_OVERRIDE,TEXT(YEAR_Y-1,"0")),"")))</f>
        <v/>
      </c>
      <c r="AC138" s="50">
        <f>IF($C138="","",IFERROR(AVERAGE(X138:AB138),""))</f>
        <v/>
      </c>
      <c r="AD138" s="76">
        <f>IF($C138="","",IF(PULL_FUND="N","",IFERROR(BDP($C138,BESTEPS_FIELD,FWD_OVERRIDE,TEXT(MOD(YEAR_Y,100),"00")&amp;"Y"),"")))</f>
        <v/>
      </c>
      <c r="AE138" s="77">
        <f>IF($C138="","",IF(PULL_FUND="N","",IFERROR(BDP($C138,PAYOUT_FIELD,YR_OVERRIDE,TEXT(YEAR_Y-5,"0"))/100,"")))</f>
        <v/>
      </c>
      <c r="AF138" s="78">
        <f>IF($C138="","",IF(PULL_FUND="N","",IFERROR(BDP($C138,PAYOUT_FIELD,YR_OVERRIDE,TEXT(YEAR_Y-4,"0"))/100,"")))</f>
        <v/>
      </c>
      <c r="AG138" s="78">
        <f>IF($C138="","",IF(PULL_FUND="N","",IFERROR(BDP($C138,PAYOUT_FIELD,YR_OVERRIDE,TEXT(YEAR_Y-3,"0"))/100,"")))</f>
        <v/>
      </c>
      <c r="AH138" s="78">
        <f>IF($C138="","",IF(PULL_FUND="N","",IFERROR(BDP($C138,PAYOUT_FIELD,YR_OVERRIDE,TEXT(YEAR_Y-2,"0"))/100,"")))</f>
        <v/>
      </c>
      <c r="AI138" s="78">
        <f>IF($C138="","",IF(PULL_FUND="N","",IFERROR(BDP($C138,PAYOUT_FIELD,YR_OVERRIDE,TEXT(YEAR_Y-1,"0"))/100,"")))</f>
        <v/>
      </c>
      <c r="AJ138" s="79">
        <f>IF($C138="","",IFERROR(AVERAGE(AE138:AI138),""))</f>
        <v/>
      </c>
      <c r="AK138" s="80">
        <f>IF($C138="","",IF(ISNUMBER($AD138)*ISNUMBER($N138)*($AD138&lt;&gt;0)=0,"",$N138/$AD138))</f>
        <v/>
      </c>
      <c r="AL138" s="79">
        <f>IF($C138="","",IF(ISNUMBER($AD138)*($AD138&lt;&gt;0)=0,"",$M138/$AD138))</f>
        <v/>
      </c>
      <c r="AM138" s="37">
        <f>IF($C138="","",IF(ISNUMBER($AE138)*ISNUMBER($AI138)=0,"",IF($AI138&gt;$AE138+0.05,"rising",IF($AI138&lt;$AE138-0.05,"falling","stable"))))</f>
        <v/>
      </c>
      <c r="AN138" s="81">
        <f>IF($C138="","",IF(PULL_FUND="N","",IF(COUNTIFS('Fund History'!$G$768:$G$772,"&gt;="&amp;DATE(YEAR_Y-4,1,1),'Fund History'!$G$768:$G$772,"&lt;="&amp;DATE(YEAR_Y-4,12,31))=0,"",SUMIFS('Fund History'!$H$768:$H$772,'Fund History'!$G$768:$G$772,"&gt;="&amp;DATE(YEAR_Y-4,1,1),'Fund History'!$G$768:$G$772,"&lt;="&amp;DATE(YEAR_Y-4,12,31))/100)))</f>
        <v/>
      </c>
      <c r="AO138" s="82">
        <f>IF($C138="","",IF(PULL_FUND="N","",IF(COUNTIFS('Fund History'!$G$768:$G$772,"&gt;="&amp;DATE(YEAR_Y-3,1,1),'Fund History'!$G$768:$G$772,"&lt;="&amp;DATE(YEAR_Y-3,12,31))=0,"",SUMIFS('Fund History'!$H$768:$H$772,'Fund History'!$G$768:$G$772,"&gt;="&amp;DATE(YEAR_Y-3,1,1),'Fund History'!$G$768:$G$772,"&lt;="&amp;DATE(YEAR_Y-3,12,31))/100)))</f>
        <v/>
      </c>
      <c r="AP138" s="82">
        <f>IF($C138="","",IF(PULL_FUND="N","",IF(COUNTIFS('Fund History'!$G$768:$G$772,"&gt;="&amp;DATE(YEAR_Y-2,1,1),'Fund History'!$G$768:$G$772,"&lt;="&amp;DATE(YEAR_Y-2,12,31))=0,"",SUMIFS('Fund History'!$H$768:$H$772,'Fund History'!$G$768:$G$772,"&gt;="&amp;DATE(YEAR_Y-2,1,1),'Fund History'!$G$768:$G$772,"&lt;="&amp;DATE(YEAR_Y-2,12,31))/100)))</f>
        <v/>
      </c>
      <c r="AQ138" s="82">
        <f>IF($C138="","",IF(PULL_FUND="N","",IF(COUNTIFS('Fund History'!$G$768:$G$772,"&gt;="&amp;DATE(YEAR_Y-1,1,1),'Fund History'!$G$768:$G$772,"&lt;="&amp;DATE(YEAR_Y-1,12,31))=0,"",SUMIFS('Fund History'!$H$768:$H$772,'Fund History'!$G$768:$G$772,"&gt;="&amp;DATE(YEAR_Y-1,1,1),'Fund History'!$G$768:$G$772,"&lt;="&amp;DATE(YEAR_Y-1,12,31))/100)))</f>
        <v/>
      </c>
      <c r="AR138" s="83">
        <f>IF($C138="","",IF(N($AQ138)+N(HSTECH!$I$33)=0,"",N($AQ138)+N(HSTECH!$I$33)/100))</f>
        <v/>
      </c>
      <c r="AS138" s="75">
        <f>IF($C138="","",IF(PULL_FUND="N","",IF(COUNTIFS('Fund History'!$D$768:$D$772,"&gt;="&amp;DATE(YEAR_Y-2,1,1),'Fund History'!$D$768:$D$772,"&lt;="&amp;DATE(YEAR_Y-2,12,31))=0,"",SUMIFS('Fund History'!$E$768:$E$772,'Fund History'!$D$768:$D$772,"&gt;="&amp;DATE(YEAR_Y-2,1,1),'Fund History'!$D$768:$D$772,"&lt;="&amp;DATE(YEAR_Y-2,12,31)))))</f>
        <v/>
      </c>
      <c r="AT138" s="76">
        <f>IF($C138="","",IF(PULL_FUND="N","",IF(COUNTIFS('Fund History'!$D$768:$D$772,"&gt;="&amp;DATE(YEAR_Y-1,1,1),'Fund History'!$D$768:$D$772,"&lt;="&amp;DATE(YEAR_Y-1,12,31))=0,"",SUMIFS('Fund History'!$E$768:$E$772,'Fund History'!$D$768:$D$772,"&gt;="&amp;DATE(YEAR_Y-1,1,1),'Fund History'!$D$768:$D$772,"&lt;="&amp;DATE(YEAR_Y-1,12,31)))))</f>
        <v/>
      </c>
      <c r="AU138" s="76">
        <f>IF($C138="","",IF(PULL_FUND="N","",IFERROR(BDP($C138,NDEBITDA_FIELD),"")))</f>
        <v/>
      </c>
      <c r="AV138" s="84">
        <f>IF($C138="","",IF(PULL_FUND="N","",IFERROR(BDP($C138,EBINT_FIELD),"")))</f>
        <v/>
      </c>
      <c r="AW138" s="82">
        <f>IF($C138="","",IF(PULL_FUND="N","",IFERROR(BDP($C138,FCF_FIELD)/100,"")))</f>
        <v/>
      </c>
      <c r="AX138" s="50">
        <f>IF($C138="","",IF(N($U138)=0,"",IFERROR($AW138/$U138,"")))</f>
        <v/>
      </c>
      <c r="AY138" s="85">
        <f>IF($C138="","",TRIM(IF(ISNUMBER($AJ138)*(N($AJ138)&gt;$D$4)&gt;0,"payout high  ","")&amp;IF(ISNUMBER($AX138)*(N($AX138)&lt;$F$4)&gt;0,"FCF below dvd  ","")&amp;IF(ISNUMBER($AU138)*(N($AU138)&gt;$H$4)&gt;0,"leverage high","")))</f>
        <v/>
      </c>
      <c r="AZ138" s="86">
        <f>IF($C138="","",IF(HSTECH!$F$33="HKD","",HSTECH!$F$33))</f>
        <v/>
      </c>
    </row>
    <row r="139">
      <c r="B139" s="66" t="inlineStr">
        <is>
          <t>HSTECH</t>
        </is>
      </c>
      <c r="C139" s="8">
        <f>IF(HSTECH!$C$34="","",HSTECH!$C$34)</f>
        <v/>
      </c>
      <c r="D139" s="8">
        <f>IF($C139="","",HSTECH!$D$34)</f>
        <v/>
      </c>
      <c r="E139" s="8">
        <f>IF($C139="","",HSTECH!$E$34)</f>
        <v/>
      </c>
      <c r="F139" s="67">
        <f>IF($C139="","",SUMPRODUCT(('Dvd Calendar'!$E$1413:$AR$1413&gt;=DATE(YEAR_Y-5,1,1))*('Dvd Calendar'!$E$1413:$AR$1413&lt;=DATE(YEAR_Y-5,12,31))*'Dvd Calendar'!$E$1416:$AR$1416*(('Dvd Calendar'!$E$1418:$AR$1418=TYPE1)*(TYPE1&lt;&gt;"")+('Dvd Calendar'!$E$1418:$AR$1418=TYPE2)*(TYPE2&lt;&gt;"")+('Dvd Calendar'!$E$1418:$AR$1418=TYPE3)*(TYPE3&lt;&gt;"")+('Dvd Calendar'!$E$1418:$AR$1418=TYPE4)*(TYPE4&lt;&gt;"")+('Dvd Calendar'!$E$1418:$AR$1418=SPECIAL_LBL)*(INC_SPECIALS="Y"))))</f>
        <v/>
      </c>
      <c r="G139" s="68">
        <f>IF($C139="","",SUMPRODUCT(('Dvd Calendar'!$E$1413:$AR$1413&gt;=DATE(YEAR_Y-4,1,1))*('Dvd Calendar'!$E$1413:$AR$1413&lt;=DATE(YEAR_Y-4,12,31))*'Dvd Calendar'!$E$1416:$AR$1416*(('Dvd Calendar'!$E$1418:$AR$1418=TYPE1)*(TYPE1&lt;&gt;"")+('Dvd Calendar'!$E$1418:$AR$1418=TYPE2)*(TYPE2&lt;&gt;"")+('Dvd Calendar'!$E$1418:$AR$1418=TYPE3)*(TYPE3&lt;&gt;"")+('Dvd Calendar'!$E$1418:$AR$1418=TYPE4)*(TYPE4&lt;&gt;"")+('Dvd Calendar'!$E$1418:$AR$1418=SPECIAL_LBL)*(INC_SPECIALS="Y"))))</f>
        <v/>
      </c>
      <c r="H139" s="68">
        <f>IF($C139="","",SUMPRODUCT(('Dvd Calendar'!$E$1413:$AR$1413&gt;=DATE(YEAR_Y-3,1,1))*('Dvd Calendar'!$E$1413:$AR$1413&lt;=DATE(YEAR_Y-3,12,31))*'Dvd Calendar'!$E$1416:$AR$1416*(('Dvd Calendar'!$E$1418:$AR$1418=TYPE1)*(TYPE1&lt;&gt;"")+('Dvd Calendar'!$E$1418:$AR$1418=TYPE2)*(TYPE2&lt;&gt;"")+('Dvd Calendar'!$E$1418:$AR$1418=TYPE3)*(TYPE3&lt;&gt;"")+('Dvd Calendar'!$E$1418:$AR$1418=TYPE4)*(TYPE4&lt;&gt;"")+('Dvd Calendar'!$E$1418:$AR$1418=SPECIAL_LBL)*(INC_SPECIALS="Y"))))</f>
        <v/>
      </c>
      <c r="I139" s="68">
        <f>IF($C139="","",SUMPRODUCT(('Dvd Calendar'!$E$1413:$AR$1413&gt;=DATE(YEAR_Y-2,1,1))*('Dvd Calendar'!$E$1413:$AR$1413&lt;=DATE(YEAR_Y-2,12,31))*'Dvd Calendar'!$E$1416:$AR$1416*(('Dvd Calendar'!$E$1418:$AR$1418=TYPE1)*(TYPE1&lt;&gt;"")+('Dvd Calendar'!$E$1418:$AR$1418=TYPE2)*(TYPE2&lt;&gt;"")+('Dvd Calendar'!$E$1418:$AR$1418=TYPE3)*(TYPE3&lt;&gt;"")+('Dvd Calendar'!$E$1418:$AR$1418=TYPE4)*(TYPE4&lt;&gt;"")+('Dvd Calendar'!$E$1418:$AR$1418=SPECIAL_LBL)*(INC_SPECIALS="Y"))))</f>
        <v/>
      </c>
      <c r="J139" s="68">
        <f>IF($C139="","",SUMPRODUCT(('Dvd Calendar'!$E$1413:$AR$1413&gt;=DATE(YEAR_Y-1,1,1))*('Dvd Calendar'!$E$1413:$AR$1413&lt;=DATE(YEAR_Y-1,12,31))*'Dvd Calendar'!$E$1416:$AR$1416*(('Dvd Calendar'!$E$1418:$AR$1418=TYPE1)*(TYPE1&lt;&gt;"")+('Dvd Calendar'!$E$1418:$AR$1418=TYPE2)*(TYPE2&lt;&gt;"")+('Dvd Calendar'!$E$1418:$AR$1418=TYPE3)*(TYPE3&lt;&gt;"")+('Dvd Calendar'!$E$1418:$AR$1418=TYPE4)*(TYPE4&lt;&gt;"")+('Dvd Calendar'!$E$1418:$AR$1418=SPECIAL_LBL)*(INC_SPECIALS="Y"))))</f>
        <v/>
      </c>
      <c r="K139" s="69">
        <f>IF($C139="","",HSTECH!$J$34)</f>
        <v/>
      </c>
      <c r="L139" s="69">
        <f>IF($C139="","",HSTECH!$K$34)</f>
        <v/>
      </c>
      <c r="M139" s="44">
        <f>IF($C139="","",HSTECH!$J$34+HSTECH!$L$34)</f>
        <v/>
      </c>
      <c r="N139" s="70">
        <f>IF($C139="","",IF(PULL_FUND="N","",IFERROR(BDP($C139,BESTDPS_FIELD,FWD_OVERRIDE,TEXT(MOD(YEAR_Y,100),"00")&amp;"Y"),"")))</f>
        <v/>
      </c>
      <c r="O139" s="69">
        <f>IF($C139="","",AVERAGE(F139:J139))</f>
        <v/>
      </c>
      <c r="P139" s="71">
        <f>IF($C139="","",IF(PULL_FUND="N","",IF(COUNTIFS('Fund History'!$J$774:$J$778,"&gt;="&amp;DATE(YEAR_Y-5,1,1),'Fund History'!$J$774:$J$778,"&lt;="&amp;DATE(YEAR_Y-5,12,31))=0,"",IFERROR($F139*HSTECH!$G$34/SUMIFS('Fund History'!$K$774:$K$778,'Fund History'!$J$774:$J$778,"&gt;="&amp;DATE(YEAR_Y-5,1,1),'Fund History'!$J$774:$J$778,"&lt;="&amp;DATE(YEAR_Y-5,12,31)),""))))</f>
        <v/>
      </c>
      <c r="Q139" s="72">
        <f>IF($C139="","",IF(PULL_FUND="N","",IF(COUNTIFS('Fund History'!$J$774:$J$778,"&gt;="&amp;DATE(YEAR_Y-4,1,1),'Fund History'!$J$774:$J$778,"&lt;="&amp;DATE(YEAR_Y-4,12,31))=0,"",IFERROR($G139*HSTECH!$G$34/SUMIFS('Fund History'!$K$774:$K$778,'Fund History'!$J$774:$J$778,"&gt;="&amp;DATE(YEAR_Y-4,1,1),'Fund History'!$J$774:$J$778,"&lt;="&amp;DATE(YEAR_Y-4,12,31)),""))))</f>
        <v/>
      </c>
      <c r="R139" s="72">
        <f>IF($C139="","",IF(PULL_FUND="N","",IF(COUNTIFS('Fund History'!$J$774:$J$778,"&gt;="&amp;DATE(YEAR_Y-3,1,1),'Fund History'!$J$774:$J$778,"&lt;="&amp;DATE(YEAR_Y-3,12,31))=0,"",IFERROR($H139*HSTECH!$G$34/SUMIFS('Fund History'!$K$774:$K$778,'Fund History'!$J$774:$J$778,"&gt;="&amp;DATE(YEAR_Y-3,1,1),'Fund History'!$J$774:$J$778,"&lt;="&amp;DATE(YEAR_Y-3,12,31)),""))))</f>
        <v/>
      </c>
      <c r="S139" s="72">
        <f>IF($C139="","",IF(PULL_FUND="N","",IF(COUNTIFS('Fund History'!$J$774:$J$778,"&gt;="&amp;DATE(YEAR_Y-2,1,1),'Fund History'!$J$774:$J$778,"&lt;="&amp;DATE(YEAR_Y-2,12,31))=0,"",IFERROR($I139*HSTECH!$G$34/SUMIFS('Fund History'!$K$774:$K$778,'Fund History'!$J$774:$J$778,"&gt;="&amp;DATE(YEAR_Y-2,1,1),'Fund History'!$J$774:$J$778,"&lt;="&amp;DATE(YEAR_Y-2,12,31)),""))))</f>
        <v/>
      </c>
      <c r="T139" s="72">
        <f>IF($C139="","",IF(PULL_FUND="N","",IF(COUNTIFS('Fund History'!$J$774:$J$778,"&gt;="&amp;DATE(YEAR_Y-1,1,1),'Fund History'!$J$774:$J$778,"&lt;="&amp;DATE(YEAR_Y-1,12,31))=0,"",IFERROR($J139*HSTECH!$G$34/SUMIFS('Fund History'!$K$774:$K$778,'Fund History'!$J$774:$J$778,"&gt;="&amp;DATE(YEAR_Y-1,1,1),'Fund History'!$J$774:$J$778,"&lt;="&amp;DATE(YEAR_Y-1,12,31)),""))))</f>
        <v/>
      </c>
      <c r="U139" s="73">
        <f>IF($C139="","",IF(ISNUMBER(HSTECH!$I$34),HSTECH!$I$34/100,""))</f>
        <v/>
      </c>
      <c r="V139" s="74">
        <f>IF($C139="","",IF(ISNUMBER(HSTECH!$X$34),IFERROR($M139*HSTECH!$G$34/HSTECH!$X$34,""),""))</f>
        <v/>
      </c>
      <c r="W139" s="73">
        <f>IF($C139="","",IF(ISNUMBER($N139),IFERROR($N139*HSTECH!$G$34/HSTECH!$X$34,""),""))</f>
        <v/>
      </c>
      <c r="X139" s="75">
        <f>IF($C139="","",IF(PULL_FUND="N","",IFERROR(BDP($C139,EPS_FIELD,YR_OVERRIDE,TEXT(YEAR_Y-5,"0")),"")))</f>
        <v/>
      </c>
      <c r="Y139" s="76">
        <f>IF($C139="","",IF(PULL_FUND="N","",IFERROR(BDP($C139,EPS_FIELD,YR_OVERRIDE,TEXT(YEAR_Y-4,"0")),"")))</f>
        <v/>
      </c>
      <c r="Z139" s="76">
        <f>IF($C139="","",IF(PULL_FUND="N","",IFERROR(BDP($C139,EPS_FIELD,YR_OVERRIDE,TEXT(YEAR_Y-3,"0")),"")))</f>
        <v/>
      </c>
      <c r="AA139" s="76">
        <f>IF($C139="","",IF(PULL_FUND="N","",IFERROR(BDP($C139,EPS_FIELD,YR_OVERRIDE,TEXT(YEAR_Y-2,"0")),"")))</f>
        <v/>
      </c>
      <c r="AB139" s="76">
        <f>IF($C139="","",IF(PULL_FUND="N","",IFERROR(BDP($C139,EPS_FIELD,YR_OVERRIDE,TEXT(YEAR_Y-1,"0")),"")))</f>
        <v/>
      </c>
      <c r="AC139" s="50">
        <f>IF($C139="","",IFERROR(AVERAGE(X139:AB139),""))</f>
        <v/>
      </c>
      <c r="AD139" s="76">
        <f>IF($C139="","",IF(PULL_FUND="N","",IFERROR(BDP($C139,BESTEPS_FIELD,FWD_OVERRIDE,TEXT(MOD(YEAR_Y,100),"00")&amp;"Y"),"")))</f>
        <v/>
      </c>
      <c r="AE139" s="77">
        <f>IF($C139="","",IF(PULL_FUND="N","",IFERROR(BDP($C139,PAYOUT_FIELD,YR_OVERRIDE,TEXT(YEAR_Y-5,"0"))/100,"")))</f>
        <v/>
      </c>
      <c r="AF139" s="78">
        <f>IF($C139="","",IF(PULL_FUND="N","",IFERROR(BDP($C139,PAYOUT_FIELD,YR_OVERRIDE,TEXT(YEAR_Y-4,"0"))/100,"")))</f>
        <v/>
      </c>
      <c r="AG139" s="78">
        <f>IF($C139="","",IF(PULL_FUND="N","",IFERROR(BDP($C139,PAYOUT_FIELD,YR_OVERRIDE,TEXT(YEAR_Y-3,"0"))/100,"")))</f>
        <v/>
      </c>
      <c r="AH139" s="78">
        <f>IF($C139="","",IF(PULL_FUND="N","",IFERROR(BDP($C139,PAYOUT_FIELD,YR_OVERRIDE,TEXT(YEAR_Y-2,"0"))/100,"")))</f>
        <v/>
      </c>
      <c r="AI139" s="78">
        <f>IF($C139="","",IF(PULL_FUND="N","",IFERROR(BDP($C139,PAYOUT_FIELD,YR_OVERRIDE,TEXT(YEAR_Y-1,"0"))/100,"")))</f>
        <v/>
      </c>
      <c r="AJ139" s="79">
        <f>IF($C139="","",IFERROR(AVERAGE(AE139:AI139),""))</f>
        <v/>
      </c>
      <c r="AK139" s="80">
        <f>IF($C139="","",IF(ISNUMBER($AD139)*ISNUMBER($N139)*($AD139&lt;&gt;0)=0,"",$N139/$AD139))</f>
        <v/>
      </c>
      <c r="AL139" s="79">
        <f>IF($C139="","",IF(ISNUMBER($AD139)*($AD139&lt;&gt;0)=0,"",$M139/$AD139))</f>
        <v/>
      </c>
      <c r="AM139" s="37">
        <f>IF($C139="","",IF(ISNUMBER($AE139)*ISNUMBER($AI139)=0,"",IF($AI139&gt;$AE139+0.05,"rising",IF($AI139&lt;$AE139-0.05,"falling","stable"))))</f>
        <v/>
      </c>
      <c r="AN139" s="81">
        <f>IF($C139="","",IF(PULL_FUND="N","",IF(COUNTIFS('Fund History'!$G$774:$G$778,"&gt;="&amp;DATE(YEAR_Y-4,1,1),'Fund History'!$G$774:$G$778,"&lt;="&amp;DATE(YEAR_Y-4,12,31))=0,"",SUMIFS('Fund History'!$H$774:$H$778,'Fund History'!$G$774:$G$778,"&gt;="&amp;DATE(YEAR_Y-4,1,1),'Fund History'!$G$774:$G$778,"&lt;="&amp;DATE(YEAR_Y-4,12,31))/100)))</f>
        <v/>
      </c>
      <c r="AO139" s="82">
        <f>IF($C139="","",IF(PULL_FUND="N","",IF(COUNTIFS('Fund History'!$G$774:$G$778,"&gt;="&amp;DATE(YEAR_Y-3,1,1),'Fund History'!$G$774:$G$778,"&lt;="&amp;DATE(YEAR_Y-3,12,31))=0,"",SUMIFS('Fund History'!$H$774:$H$778,'Fund History'!$G$774:$G$778,"&gt;="&amp;DATE(YEAR_Y-3,1,1),'Fund History'!$G$774:$G$778,"&lt;="&amp;DATE(YEAR_Y-3,12,31))/100)))</f>
        <v/>
      </c>
      <c r="AP139" s="82">
        <f>IF($C139="","",IF(PULL_FUND="N","",IF(COUNTIFS('Fund History'!$G$774:$G$778,"&gt;="&amp;DATE(YEAR_Y-2,1,1),'Fund History'!$G$774:$G$778,"&lt;="&amp;DATE(YEAR_Y-2,12,31))=0,"",SUMIFS('Fund History'!$H$774:$H$778,'Fund History'!$G$774:$G$778,"&gt;="&amp;DATE(YEAR_Y-2,1,1),'Fund History'!$G$774:$G$778,"&lt;="&amp;DATE(YEAR_Y-2,12,31))/100)))</f>
        <v/>
      </c>
      <c r="AQ139" s="82">
        <f>IF($C139="","",IF(PULL_FUND="N","",IF(COUNTIFS('Fund History'!$G$774:$G$778,"&gt;="&amp;DATE(YEAR_Y-1,1,1),'Fund History'!$G$774:$G$778,"&lt;="&amp;DATE(YEAR_Y-1,12,31))=0,"",SUMIFS('Fund History'!$H$774:$H$778,'Fund History'!$G$774:$G$778,"&gt;="&amp;DATE(YEAR_Y-1,1,1),'Fund History'!$G$774:$G$778,"&lt;="&amp;DATE(YEAR_Y-1,12,31))/100)))</f>
        <v/>
      </c>
      <c r="AR139" s="83">
        <f>IF($C139="","",IF(N($AQ139)+N(HSTECH!$I$34)=0,"",N($AQ139)+N(HSTECH!$I$34)/100))</f>
        <v/>
      </c>
      <c r="AS139" s="75">
        <f>IF($C139="","",IF(PULL_FUND="N","",IF(COUNTIFS('Fund History'!$D$774:$D$778,"&gt;="&amp;DATE(YEAR_Y-2,1,1),'Fund History'!$D$774:$D$778,"&lt;="&amp;DATE(YEAR_Y-2,12,31))=0,"",SUMIFS('Fund History'!$E$774:$E$778,'Fund History'!$D$774:$D$778,"&gt;="&amp;DATE(YEAR_Y-2,1,1),'Fund History'!$D$774:$D$778,"&lt;="&amp;DATE(YEAR_Y-2,12,31)))))</f>
        <v/>
      </c>
      <c r="AT139" s="76">
        <f>IF($C139="","",IF(PULL_FUND="N","",IF(COUNTIFS('Fund History'!$D$774:$D$778,"&gt;="&amp;DATE(YEAR_Y-1,1,1),'Fund History'!$D$774:$D$778,"&lt;="&amp;DATE(YEAR_Y-1,12,31))=0,"",SUMIFS('Fund History'!$E$774:$E$778,'Fund History'!$D$774:$D$778,"&gt;="&amp;DATE(YEAR_Y-1,1,1),'Fund History'!$D$774:$D$778,"&lt;="&amp;DATE(YEAR_Y-1,12,31)))))</f>
        <v/>
      </c>
      <c r="AU139" s="76">
        <f>IF($C139="","",IF(PULL_FUND="N","",IFERROR(BDP($C139,NDEBITDA_FIELD),"")))</f>
        <v/>
      </c>
      <c r="AV139" s="84">
        <f>IF($C139="","",IF(PULL_FUND="N","",IFERROR(BDP($C139,EBINT_FIELD),"")))</f>
        <v/>
      </c>
      <c r="AW139" s="82">
        <f>IF($C139="","",IF(PULL_FUND="N","",IFERROR(BDP($C139,FCF_FIELD)/100,"")))</f>
        <v/>
      </c>
      <c r="AX139" s="50">
        <f>IF($C139="","",IF(N($U139)=0,"",IFERROR($AW139/$U139,"")))</f>
        <v/>
      </c>
      <c r="AY139" s="85">
        <f>IF($C139="","",TRIM(IF(ISNUMBER($AJ139)*(N($AJ139)&gt;$D$4)&gt;0,"payout high  ","")&amp;IF(ISNUMBER($AX139)*(N($AX139)&lt;$F$4)&gt;0,"FCF below dvd  ","")&amp;IF(ISNUMBER($AU139)*(N($AU139)&gt;$H$4)&gt;0,"leverage high","")))</f>
        <v/>
      </c>
      <c r="AZ139" s="86">
        <f>IF($C139="","",IF(HSTECH!$F$34="HKD","",HSTECH!$F$34))</f>
        <v/>
      </c>
    </row>
    <row r="140">
      <c r="B140" s="66" t="inlineStr">
        <is>
          <t>HSTECH</t>
        </is>
      </c>
      <c r="C140" s="8">
        <f>IF(HSTECH!$C$35="","",HSTECH!$C$35)</f>
        <v/>
      </c>
      <c r="D140" s="8">
        <f>IF($C140="","",HSTECH!$D$35)</f>
        <v/>
      </c>
      <c r="E140" s="8">
        <f>IF($C140="","",HSTECH!$E$35)</f>
        <v/>
      </c>
      <c r="F140" s="67">
        <f>IF($C140="","",SUMPRODUCT(('Dvd Calendar'!$E$1424:$AR$1424&gt;=DATE(YEAR_Y-5,1,1))*('Dvd Calendar'!$E$1424:$AR$1424&lt;=DATE(YEAR_Y-5,12,31))*'Dvd Calendar'!$E$1427:$AR$1427*(('Dvd Calendar'!$E$1429:$AR$1429=TYPE1)*(TYPE1&lt;&gt;"")+('Dvd Calendar'!$E$1429:$AR$1429=TYPE2)*(TYPE2&lt;&gt;"")+('Dvd Calendar'!$E$1429:$AR$1429=TYPE3)*(TYPE3&lt;&gt;"")+('Dvd Calendar'!$E$1429:$AR$1429=TYPE4)*(TYPE4&lt;&gt;"")+('Dvd Calendar'!$E$1429:$AR$1429=SPECIAL_LBL)*(INC_SPECIALS="Y"))))</f>
        <v/>
      </c>
      <c r="G140" s="68">
        <f>IF($C140="","",SUMPRODUCT(('Dvd Calendar'!$E$1424:$AR$1424&gt;=DATE(YEAR_Y-4,1,1))*('Dvd Calendar'!$E$1424:$AR$1424&lt;=DATE(YEAR_Y-4,12,31))*'Dvd Calendar'!$E$1427:$AR$1427*(('Dvd Calendar'!$E$1429:$AR$1429=TYPE1)*(TYPE1&lt;&gt;"")+('Dvd Calendar'!$E$1429:$AR$1429=TYPE2)*(TYPE2&lt;&gt;"")+('Dvd Calendar'!$E$1429:$AR$1429=TYPE3)*(TYPE3&lt;&gt;"")+('Dvd Calendar'!$E$1429:$AR$1429=TYPE4)*(TYPE4&lt;&gt;"")+('Dvd Calendar'!$E$1429:$AR$1429=SPECIAL_LBL)*(INC_SPECIALS="Y"))))</f>
        <v/>
      </c>
      <c r="H140" s="68">
        <f>IF($C140="","",SUMPRODUCT(('Dvd Calendar'!$E$1424:$AR$1424&gt;=DATE(YEAR_Y-3,1,1))*('Dvd Calendar'!$E$1424:$AR$1424&lt;=DATE(YEAR_Y-3,12,31))*'Dvd Calendar'!$E$1427:$AR$1427*(('Dvd Calendar'!$E$1429:$AR$1429=TYPE1)*(TYPE1&lt;&gt;"")+('Dvd Calendar'!$E$1429:$AR$1429=TYPE2)*(TYPE2&lt;&gt;"")+('Dvd Calendar'!$E$1429:$AR$1429=TYPE3)*(TYPE3&lt;&gt;"")+('Dvd Calendar'!$E$1429:$AR$1429=TYPE4)*(TYPE4&lt;&gt;"")+('Dvd Calendar'!$E$1429:$AR$1429=SPECIAL_LBL)*(INC_SPECIALS="Y"))))</f>
        <v/>
      </c>
      <c r="I140" s="68">
        <f>IF($C140="","",SUMPRODUCT(('Dvd Calendar'!$E$1424:$AR$1424&gt;=DATE(YEAR_Y-2,1,1))*('Dvd Calendar'!$E$1424:$AR$1424&lt;=DATE(YEAR_Y-2,12,31))*'Dvd Calendar'!$E$1427:$AR$1427*(('Dvd Calendar'!$E$1429:$AR$1429=TYPE1)*(TYPE1&lt;&gt;"")+('Dvd Calendar'!$E$1429:$AR$1429=TYPE2)*(TYPE2&lt;&gt;"")+('Dvd Calendar'!$E$1429:$AR$1429=TYPE3)*(TYPE3&lt;&gt;"")+('Dvd Calendar'!$E$1429:$AR$1429=TYPE4)*(TYPE4&lt;&gt;"")+('Dvd Calendar'!$E$1429:$AR$1429=SPECIAL_LBL)*(INC_SPECIALS="Y"))))</f>
        <v/>
      </c>
      <c r="J140" s="68">
        <f>IF($C140="","",SUMPRODUCT(('Dvd Calendar'!$E$1424:$AR$1424&gt;=DATE(YEAR_Y-1,1,1))*('Dvd Calendar'!$E$1424:$AR$1424&lt;=DATE(YEAR_Y-1,12,31))*'Dvd Calendar'!$E$1427:$AR$1427*(('Dvd Calendar'!$E$1429:$AR$1429=TYPE1)*(TYPE1&lt;&gt;"")+('Dvd Calendar'!$E$1429:$AR$1429=TYPE2)*(TYPE2&lt;&gt;"")+('Dvd Calendar'!$E$1429:$AR$1429=TYPE3)*(TYPE3&lt;&gt;"")+('Dvd Calendar'!$E$1429:$AR$1429=TYPE4)*(TYPE4&lt;&gt;"")+('Dvd Calendar'!$E$1429:$AR$1429=SPECIAL_LBL)*(INC_SPECIALS="Y"))))</f>
        <v/>
      </c>
      <c r="K140" s="69">
        <f>IF($C140="","",HSTECH!$J$35)</f>
        <v/>
      </c>
      <c r="L140" s="69">
        <f>IF($C140="","",HSTECH!$K$35)</f>
        <v/>
      </c>
      <c r="M140" s="44">
        <f>IF($C140="","",HSTECH!$J$35+HSTECH!$L$35)</f>
        <v/>
      </c>
      <c r="N140" s="70">
        <f>IF($C140="","",IF(PULL_FUND="N","",IFERROR(BDP($C140,BESTDPS_FIELD,FWD_OVERRIDE,TEXT(MOD(YEAR_Y,100),"00")&amp;"Y"),"")))</f>
        <v/>
      </c>
      <c r="O140" s="69">
        <f>IF($C140="","",AVERAGE(F140:J140))</f>
        <v/>
      </c>
      <c r="P140" s="71">
        <f>IF($C140="","",IF(PULL_FUND="N","",IF(COUNTIFS('Fund History'!$J$780:$J$784,"&gt;="&amp;DATE(YEAR_Y-5,1,1),'Fund History'!$J$780:$J$784,"&lt;="&amp;DATE(YEAR_Y-5,12,31))=0,"",IFERROR($F140*HSTECH!$G$35/SUMIFS('Fund History'!$K$780:$K$784,'Fund History'!$J$780:$J$784,"&gt;="&amp;DATE(YEAR_Y-5,1,1),'Fund History'!$J$780:$J$784,"&lt;="&amp;DATE(YEAR_Y-5,12,31)),""))))</f>
        <v/>
      </c>
      <c r="Q140" s="72">
        <f>IF($C140="","",IF(PULL_FUND="N","",IF(COUNTIFS('Fund History'!$J$780:$J$784,"&gt;="&amp;DATE(YEAR_Y-4,1,1),'Fund History'!$J$780:$J$784,"&lt;="&amp;DATE(YEAR_Y-4,12,31))=0,"",IFERROR($G140*HSTECH!$G$35/SUMIFS('Fund History'!$K$780:$K$784,'Fund History'!$J$780:$J$784,"&gt;="&amp;DATE(YEAR_Y-4,1,1),'Fund History'!$J$780:$J$784,"&lt;="&amp;DATE(YEAR_Y-4,12,31)),""))))</f>
        <v/>
      </c>
      <c r="R140" s="72">
        <f>IF($C140="","",IF(PULL_FUND="N","",IF(COUNTIFS('Fund History'!$J$780:$J$784,"&gt;="&amp;DATE(YEAR_Y-3,1,1),'Fund History'!$J$780:$J$784,"&lt;="&amp;DATE(YEAR_Y-3,12,31))=0,"",IFERROR($H140*HSTECH!$G$35/SUMIFS('Fund History'!$K$780:$K$784,'Fund History'!$J$780:$J$784,"&gt;="&amp;DATE(YEAR_Y-3,1,1),'Fund History'!$J$780:$J$784,"&lt;="&amp;DATE(YEAR_Y-3,12,31)),""))))</f>
        <v/>
      </c>
      <c r="S140" s="72">
        <f>IF($C140="","",IF(PULL_FUND="N","",IF(COUNTIFS('Fund History'!$J$780:$J$784,"&gt;="&amp;DATE(YEAR_Y-2,1,1),'Fund History'!$J$780:$J$784,"&lt;="&amp;DATE(YEAR_Y-2,12,31))=0,"",IFERROR($I140*HSTECH!$G$35/SUMIFS('Fund History'!$K$780:$K$784,'Fund History'!$J$780:$J$784,"&gt;="&amp;DATE(YEAR_Y-2,1,1),'Fund History'!$J$780:$J$784,"&lt;="&amp;DATE(YEAR_Y-2,12,31)),""))))</f>
        <v/>
      </c>
      <c r="T140" s="72">
        <f>IF($C140="","",IF(PULL_FUND="N","",IF(COUNTIFS('Fund History'!$J$780:$J$784,"&gt;="&amp;DATE(YEAR_Y-1,1,1),'Fund History'!$J$780:$J$784,"&lt;="&amp;DATE(YEAR_Y-1,12,31))=0,"",IFERROR($J140*HSTECH!$G$35/SUMIFS('Fund History'!$K$780:$K$784,'Fund History'!$J$780:$J$784,"&gt;="&amp;DATE(YEAR_Y-1,1,1),'Fund History'!$J$780:$J$784,"&lt;="&amp;DATE(YEAR_Y-1,12,31)),""))))</f>
        <v/>
      </c>
      <c r="U140" s="73">
        <f>IF($C140="","",IF(ISNUMBER(HSTECH!$I$35),HSTECH!$I$35/100,""))</f>
        <v/>
      </c>
      <c r="V140" s="74">
        <f>IF($C140="","",IF(ISNUMBER(HSTECH!$X$35),IFERROR($M140*HSTECH!$G$35/HSTECH!$X$35,""),""))</f>
        <v/>
      </c>
      <c r="W140" s="73">
        <f>IF($C140="","",IF(ISNUMBER($N140),IFERROR($N140*HSTECH!$G$35/HSTECH!$X$35,""),""))</f>
        <v/>
      </c>
      <c r="X140" s="75">
        <f>IF($C140="","",IF(PULL_FUND="N","",IFERROR(BDP($C140,EPS_FIELD,YR_OVERRIDE,TEXT(YEAR_Y-5,"0")),"")))</f>
        <v/>
      </c>
      <c r="Y140" s="76">
        <f>IF($C140="","",IF(PULL_FUND="N","",IFERROR(BDP($C140,EPS_FIELD,YR_OVERRIDE,TEXT(YEAR_Y-4,"0")),"")))</f>
        <v/>
      </c>
      <c r="Z140" s="76">
        <f>IF($C140="","",IF(PULL_FUND="N","",IFERROR(BDP($C140,EPS_FIELD,YR_OVERRIDE,TEXT(YEAR_Y-3,"0")),"")))</f>
        <v/>
      </c>
      <c r="AA140" s="76">
        <f>IF($C140="","",IF(PULL_FUND="N","",IFERROR(BDP($C140,EPS_FIELD,YR_OVERRIDE,TEXT(YEAR_Y-2,"0")),"")))</f>
        <v/>
      </c>
      <c r="AB140" s="76">
        <f>IF($C140="","",IF(PULL_FUND="N","",IFERROR(BDP($C140,EPS_FIELD,YR_OVERRIDE,TEXT(YEAR_Y-1,"0")),"")))</f>
        <v/>
      </c>
      <c r="AC140" s="50">
        <f>IF($C140="","",IFERROR(AVERAGE(X140:AB140),""))</f>
        <v/>
      </c>
      <c r="AD140" s="76">
        <f>IF($C140="","",IF(PULL_FUND="N","",IFERROR(BDP($C140,BESTEPS_FIELD,FWD_OVERRIDE,TEXT(MOD(YEAR_Y,100),"00")&amp;"Y"),"")))</f>
        <v/>
      </c>
      <c r="AE140" s="77">
        <f>IF($C140="","",IF(PULL_FUND="N","",IFERROR(BDP($C140,PAYOUT_FIELD,YR_OVERRIDE,TEXT(YEAR_Y-5,"0"))/100,"")))</f>
        <v/>
      </c>
      <c r="AF140" s="78">
        <f>IF($C140="","",IF(PULL_FUND="N","",IFERROR(BDP($C140,PAYOUT_FIELD,YR_OVERRIDE,TEXT(YEAR_Y-4,"0"))/100,"")))</f>
        <v/>
      </c>
      <c r="AG140" s="78">
        <f>IF($C140="","",IF(PULL_FUND="N","",IFERROR(BDP($C140,PAYOUT_FIELD,YR_OVERRIDE,TEXT(YEAR_Y-3,"0"))/100,"")))</f>
        <v/>
      </c>
      <c r="AH140" s="78">
        <f>IF($C140="","",IF(PULL_FUND="N","",IFERROR(BDP($C140,PAYOUT_FIELD,YR_OVERRIDE,TEXT(YEAR_Y-2,"0"))/100,"")))</f>
        <v/>
      </c>
      <c r="AI140" s="78">
        <f>IF($C140="","",IF(PULL_FUND="N","",IFERROR(BDP($C140,PAYOUT_FIELD,YR_OVERRIDE,TEXT(YEAR_Y-1,"0"))/100,"")))</f>
        <v/>
      </c>
      <c r="AJ140" s="79">
        <f>IF($C140="","",IFERROR(AVERAGE(AE140:AI140),""))</f>
        <v/>
      </c>
      <c r="AK140" s="80">
        <f>IF($C140="","",IF(ISNUMBER($AD140)*ISNUMBER($N140)*($AD140&lt;&gt;0)=0,"",$N140/$AD140))</f>
        <v/>
      </c>
      <c r="AL140" s="79">
        <f>IF($C140="","",IF(ISNUMBER($AD140)*($AD140&lt;&gt;0)=0,"",$M140/$AD140))</f>
        <v/>
      </c>
      <c r="AM140" s="37">
        <f>IF($C140="","",IF(ISNUMBER($AE140)*ISNUMBER($AI140)=0,"",IF($AI140&gt;$AE140+0.05,"rising",IF($AI140&lt;$AE140-0.05,"falling","stable"))))</f>
        <v/>
      </c>
      <c r="AN140" s="81">
        <f>IF($C140="","",IF(PULL_FUND="N","",IF(COUNTIFS('Fund History'!$G$780:$G$784,"&gt;="&amp;DATE(YEAR_Y-4,1,1),'Fund History'!$G$780:$G$784,"&lt;="&amp;DATE(YEAR_Y-4,12,31))=0,"",SUMIFS('Fund History'!$H$780:$H$784,'Fund History'!$G$780:$G$784,"&gt;="&amp;DATE(YEAR_Y-4,1,1),'Fund History'!$G$780:$G$784,"&lt;="&amp;DATE(YEAR_Y-4,12,31))/100)))</f>
        <v/>
      </c>
      <c r="AO140" s="82">
        <f>IF($C140="","",IF(PULL_FUND="N","",IF(COUNTIFS('Fund History'!$G$780:$G$784,"&gt;="&amp;DATE(YEAR_Y-3,1,1),'Fund History'!$G$780:$G$784,"&lt;="&amp;DATE(YEAR_Y-3,12,31))=0,"",SUMIFS('Fund History'!$H$780:$H$784,'Fund History'!$G$780:$G$784,"&gt;="&amp;DATE(YEAR_Y-3,1,1),'Fund History'!$G$780:$G$784,"&lt;="&amp;DATE(YEAR_Y-3,12,31))/100)))</f>
        <v/>
      </c>
      <c r="AP140" s="82">
        <f>IF($C140="","",IF(PULL_FUND="N","",IF(COUNTIFS('Fund History'!$G$780:$G$784,"&gt;="&amp;DATE(YEAR_Y-2,1,1),'Fund History'!$G$780:$G$784,"&lt;="&amp;DATE(YEAR_Y-2,12,31))=0,"",SUMIFS('Fund History'!$H$780:$H$784,'Fund History'!$G$780:$G$784,"&gt;="&amp;DATE(YEAR_Y-2,1,1),'Fund History'!$G$780:$G$784,"&lt;="&amp;DATE(YEAR_Y-2,12,31))/100)))</f>
        <v/>
      </c>
      <c r="AQ140" s="82">
        <f>IF($C140="","",IF(PULL_FUND="N","",IF(COUNTIFS('Fund History'!$G$780:$G$784,"&gt;="&amp;DATE(YEAR_Y-1,1,1),'Fund History'!$G$780:$G$784,"&lt;="&amp;DATE(YEAR_Y-1,12,31))=0,"",SUMIFS('Fund History'!$H$780:$H$784,'Fund History'!$G$780:$G$784,"&gt;="&amp;DATE(YEAR_Y-1,1,1),'Fund History'!$G$780:$G$784,"&lt;="&amp;DATE(YEAR_Y-1,12,31))/100)))</f>
        <v/>
      </c>
      <c r="AR140" s="83">
        <f>IF($C140="","",IF(N($AQ140)+N(HSTECH!$I$35)=0,"",N($AQ140)+N(HSTECH!$I$35)/100))</f>
        <v/>
      </c>
      <c r="AS140" s="75">
        <f>IF($C140="","",IF(PULL_FUND="N","",IF(COUNTIFS('Fund History'!$D$780:$D$784,"&gt;="&amp;DATE(YEAR_Y-2,1,1),'Fund History'!$D$780:$D$784,"&lt;="&amp;DATE(YEAR_Y-2,12,31))=0,"",SUMIFS('Fund History'!$E$780:$E$784,'Fund History'!$D$780:$D$784,"&gt;="&amp;DATE(YEAR_Y-2,1,1),'Fund History'!$D$780:$D$784,"&lt;="&amp;DATE(YEAR_Y-2,12,31)))))</f>
        <v/>
      </c>
      <c r="AT140" s="76">
        <f>IF($C140="","",IF(PULL_FUND="N","",IF(COUNTIFS('Fund History'!$D$780:$D$784,"&gt;="&amp;DATE(YEAR_Y-1,1,1),'Fund History'!$D$780:$D$784,"&lt;="&amp;DATE(YEAR_Y-1,12,31))=0,"",SUMIFS('Fund History'!$E$780:$E$784,'Fund History'!$D$780:$D$784,"&gt;="&amp;DATE(YEAR_Y-1,1,1),'Fund History'!$D$780:$D$784,"&lt;="&amp;DATE(YEAR_Y-1,12,31)))))</f>
        <v/>
      </c>
      <c r="AU140" s="76">
        <f>IF($C140="","",IF(PULL_FUND="N","",IFERROR(BDP($C140,NDEBITDA_FIELD),"")))</f>
        <v/>
      </c>
      <c r="AV140" s="84">
        <f>IF($C140="","",IF(PULL_FUND="N","",IFERROR(BDP($C140,EBINT_FIELD),"")))</f>
        <v/>
      </c>
      <c r="AW140" s="82">
        <f>IF($C140="","",IF(PULL_FUND="N","",IFERROR(BDP($C140,FCF_FIELD)/100,"")))</f>
        <v/>
      </c>
      <c r="AX140" s="50">
        <f>IF($C140="","",IF(N($U140)=0,"",IFERROR($AW140/$U140,"")))</f>
        <v/>
      </c>
      <c r="AY140" s="85">
        <f>IF($C140="","",TRIM(IF(ISNUMBER($AJ140)*(N($AJ140)&gt;$D$4)&gt;0,"payout high  ","")&amp;IF(ISNUMBER($AX140)*(N($AX140)&lt;$F$4)&gt;0,"FCF below dvd  ","")&amp;IF(ISNUMBER($AU140)*(N($AU140)&gt;$H$4)&gt;0,"leverage high","")))</f>
        <v/>
      </c>
      <c r="AZ140" s="86">
        <f>IF($C140="","",IF(HSTECH!$F$35="HKD","",HSTECH!$F$35))</f>
        <v/>
      </c>
    </row>
    <row r="141">
      <c r="B141" s="66" t="inlineStr">
        <is>
          <t>HSTECH</t>
        </is>
      </c>
      <c r="C141" s="8">
        <f>IF(HSTECH!$C$36="","",HSTECH!$C$36)</f>
        <v/>
      </c>
      <c r="D141" s="8">
        <f>IF($C141="","",HSTECH!$D$36)</f>
        <v/>
      </c>
      <c r="E141" s="8">
        <f>IF($C141="","",HSTECH!$E$36)</f>
        <v/>
      </c>
      <c r="F141" s="67">
        <f>IF($C141="","",SUMPRODUCT(('Dvd Calendar'!$E$1435:$AR$1435&gt;=DATE(YEAR_Y-5,1,1))*('Dvd Calendar'!$E$1435:$AR$1435&lt;=DATE(YEAR_Y-5,12,31))*'Dvd Calendar'!$E$1438:$AR$1438*(('Dvd Calendar'!$E$1440:$AR$1440=TYPE1)*(TYPE1&lt;&gt;"")+('Dvd Calendar'!$E$1440:$AR$1440=TYPE2)*(TYPE2&lt;&gt;"")+('Dvd Calendar'!$E$1440:$AR$1440=TYPE3)*(TYPE3&lt;&gt;"")+('Dvd Calendar'!$E$1440:$AR$1440=TYPE4)*(TYPE4&lt;&gt;"")+('Dvd Calendar'!$E$1440:$AR$1440=SPECIAL_LBL)*(INC_SPECIALS="Y"))))</f>
        <v/>
      </c>
      <c r="G141" s="68">
        <f>IF($C141="","",SUMPRODUCT(('Dvd Calendar'!$E$1435:$AR$1435&gt;=DATE(YEAR_Y-4,1,1))*('Dvd Calendar'!$E$1435:$AR$1435&lt;=DATE(YEAR_Y-4,12,31))*'Dvd Calendar'!$E$1438:$AR$1438*(('Dvd Calendar'!$E$1440:$AR$1440=TYPE1)*(TYPE1&lt;&gt;"")+('Dvd Calendar'!$E$1440:$AR$1440=TYPE2)*(TYPE2&lt;&gt;"")+('Dvd Calendar'!$E$1440:$AR$1440=TYPE3)*(TYPE3&lt;&gt;"")+('Dvd Calendar'!$E$1440:$AR$1440=TYPE4)*(TYPE4&lt;&gt;"")+('Dvd Calendar'!$E$1440:$AR$1440=SPECIAL_LBL)*(INC_SPECIALS="Y"))))</f>
        <v/>
      </c>
      <c r="H141" s="68">
        <f>IF($C141="","",SUMPRODUCT(('Dvd Calendar'!$E$1435:$AR$1435&gt;=DATE(YEAR_Y-3,1,1))*('Dvd Calendar'!$E$1435:$AR$1435&lt;=DATE(YEAR_Y-3,12,31))*'Dvd Calendar'!$E$1438:$AR$1438*(('Dvd Calendar'!$E$1440:$AR$1440=TYPE1)*(TYPE1&lt;&gt;"")+('Dvd Calendar'!$E$1440:$AR$1440=TYPE2)*(TYPE2&lt;&gt;"")+('Dvd Calendar'!$E$1440:$AR$1440=TYPE3)*(TYPE3&lt;&gt;"")+('Dvd Calendar'!$E$1440:$AR$1440=TYPE4)*(TYPE4&lt;&gt;"")+('Dvd Calendar'!$E$1440:$AR$1440=SPECIAL_LBL)*(INC_SPECIALS="Y"))))</f>
        <v/>
      </c>
      <c r="I141" s="68">
        <f>IF($C141="","",SUMPRODUCT(('Dvd Calendar'!$E$1435:$AR$1435&gt;=DATE(YEAR_Y-2,1,1))*('Dvd Calendar'!$E$1435:$AR$1435&lt;=DATE(YEAR_Y-2,12,31))*'Dvd Calendar'!$E$1438:$AR$1438*(('Dvd Calendar'!$E$1440:$AR$1440=TYPE1)*(TYPE1&lt;&gt;"")+('Dvd Calendar'!$E$1440:$AR$1440=TYPE2)*(TYPE2&lt;&gt;"")+('Dvd Calendar'!$E$1440:$AR$1440=TYPE3)*(TYPE3&lt;&gt;"")+('Dvd Calendar'!$E$1440:$AR$1440=TYPE4)*(TYPE4&lt;&gt;"")+('Dvd Calendar'!$E$1440:$AR$1440=SPECIAL_LBL)*(INC_SPECIALS="Y"))))</f>
        <v/>
      </c>
      <c r="J141" s="68">
        <f>IF($C141="","",SUMPRODUCT(('Dvd Calendar'!$E$1435:$AR$1435&gt;=DATE(YEAR_Y-1,1,1))*('Dvd Calendar'!$E$1435:$AR$1435&lt;=DATE(YEAR_Y-1,12,31))*'Dvd Calendar'!$E$1438:$AR$1438*(('Dvd Calendar'!$E$1440:$AR$1440=TYPE1)*(TYPE1&lt;&gt;"")+('Dvd Calendar'!$E$1440:$AR$1440=TYPE2)*(TYPE2&lt;&gt;"")+('Dvd Calendar'!$E$1440:$AR$1440=TYPE3)*(TYPE3&lt;&gt;"")+('Dvd Calendar'!$E$1440:$AR$1440=TYPE4)*(TYPE4&lt;&gt;"")+('Dvd Calendar'!$E$1440:$AR$1440=SPECIAL_LBL)*(INC_SPECIALS="Y"))))</f>
        <v/>
      </c>
      <c r="K141" s="69">
        <f>IF($C141="","",HSTECH!$J$36)</f>
        <v/>
      </c>
      <c r="L141" s="69">
        <f>IF($C141="","",HSTECH!$K$36)</f>
        <v/>
      </c>
      <c r="M141" s="44">
        <f>IF($C141="","",HSTECH!$J$36+HSTECH!$L$36)</f>
        <v/>
      </c>
      <c r="N141" s="70">
        <f>IF($C141="","",IF(PULL_FUND="N","",IFERROR(BDP($C141,BESTDPS_FIELD,FWD_OVERRIDE,TEXT(MOD(YEAR_Y,100),"00")&amp;"Y"),"")))</f>
        <v/>
      </c>
      <c r="O141" s="69">
        <f>IF($C141="","",AVERAGE(F141:J141))</f>
        <v/>
      </c>
      <c r="P141" s="71">
        <f>IF($C141="","",IF(PULL_FUND="N","",IF(COUNTIFS('Fund History'!$J$786:$J$790,"&gt;="&amp;DATE(YEAR_Y-5,1,1),'Fund History'!$J$786:$J$790,"&lt;="&amp;DATE(YEAR_Y-5,12,31))=0,"",IFERROR($F141*HSTECH!$G$36/SUMIFS('Fund History'!$K$786:$K$790,'Fund History'!$J$786:$J$790,"&gt;="&amp;DATE(YEAR_Y-5,1,1),'Fund History'!$J$786:$J$790,"&lt;="&amp;DATE(YEAR_Y-5,12,31)),""))))</f>
        <v/>
      </c>
      <c r="Q141" s="72">
        <f>IF($C141="","",IF(PULL_FUND="N","",IF(COUNTIFS('Fund History'!$J$786:$J$790,"&gt;="&amp;DATE(YEAR_Y-4,1,1),'Fund History'!$J$786:$J$790,"&lt;="&amp;DATE(YEAR_Y-4,12,31))=0,"",IFERROR($G141*HSTECH!$G$36/SUMIFS('Fund History'!$K$786:$K$790,'Fund History'!$J$786:$J$790,"&gt;="&amp;DATE(YEAR_Y-4,1,1),'Fund History'!$J$786:$J$790,"&lt;="&amp;DATE(YEAR_Y-4,12,31)),""))))</f>
        <v/>
      </c>
      <c r="R141" s="72">
        <f>IF($C141="","",IF(PULL_FUND="N","",IF(COUNTIFS('Fund History'!$J$786:$J$790,"&gt;="&amp;DATE(YEAR_Y-3,1,1),'Fund History'!$J$786:$J$790,"&lt;="&amp;DATE(YEAR_Y-3,12,31))=0,"",IFERROR($H141*HSTECH!$G$36/SUMIFS('Fund History'!$K$786:$K$790,'Fund History'!$J$786:$J$790,"&gt;="&amp;DATE(YEAR_Y-3,1,1),'Fund History'!$J$786:$J$790,"&lt;="&amp;DATE(YEAR_Y-3,12,31)),""))))</f>
        <v/>
      </c>
      <c r="S141" s="72">
        <f>IF($C141="","",IF(PULL_FUND="N","",IF(COUNTIFS('Fund History'!$J$786:$J$790,"&gt;="&amp;DATE(YEAR_Y-2,1,1),'Fund History'!$J$786:$J$790,"&lt;="&amp;DATE(YEAR_Y-2,12,31))=0,"",IFERROR($I141*HSTECH!$G$36/SUMIFS('Fund History'!$K$786:$K$790,'Fund History'!$J$786:$J$790,"&gt;="&amp;DATE(YEAR_Y-2,1,1),'Fund History'!$J$786:$J$790,"&lt;="&amp;DATE(YEAR_Y-2,12,31)),""))))</f>
        <v/>
      </c>
      <c r="T141" s="72">
        <f>IF($C141="","",IF(PULL_FUND="N","",IF(COUNTIFS('Fund History'!$J$786:$J$790,"&gt;="&amp;DATE(YEAR_Y-1,1,1),'Fund History'!$J$786:$J$790,"&lt;="&amp;DATE(YEAR_Y-1,12,31))=0,"",IFERROR($J141*HSTECH!$G$36/SUMIFS('Fund History'!$K$786:$K$790,'Fund History'!$J$786:$J$790,"&gt;="&amp;DATE(YEAR_Y-1,1,1),'Fund History'!$J$786:$J$790,"&lt;="&amp;DATE(YEAR_Y-1,12,31)),""))))</f>
        <v/>
      </c>
      <c r="U141" s="73">
        <f>IF($C141="","",IF(ISNUMBER(HSTECH!$I$36),HSTECH!$I$36/100,""))</f>
        <v/>
      </c>
      <c r="V141" s="74">
        <f>IF($C141="","",IF(ISNUMBER(HSTECH!$X$36),IFERROR($M141*HSTECH!$G$36/HSTECH!$X$36,""),""))</f>
        <v/>
      </c>
      <c r="W141" s="73">
        <f>IF($C141="","",IF(ISNUMBER($N141),IFERROR($N141*HSTECH!$G$36/HSTECH!$X$36,""),""))</f>
        <v/>
      </c>
      <c r="X141" s="75">
        <f>IF($C141="","",IF(PULL_FUND="N","",IFERROR(BDP($C141,EPS_FIELD,YR_OVERRIDE,TEXT(YEAR_Y-5,"0")),"")))</f>
        <v/>
      </c>
      <c r="Y141" s="76">
        <f>IF($C141="","",IF(PULL_FUND="N","",IFERROR(BDP($C141,EPS_FIELD,YR_OVERRIDE,TEXT(YEAR_Y-4,"0")),"")))</f>
        <v/>
      </c>
      <c r="Z141" s="76">
        <f>IF($C141="","",IF(PULL_FUND="N","",IFERROR(BDP($C141,EPS_FIELD,YR_OVERRIDE,TEXT(YEAR_Y-3,"0")),"")))</f>
        <v/>
      </c>
      <c r="AA141" s="76">
        <f>IF($C141="","",IF(PULL_FUND="N","",IFERROR(BDP($C141,EPS_FIELD,YR_OVERRIDE,TEXT(YEAR_Y-2,"0")),"")))</f>
        <v/>
      </c>
      <c r="AB141" s="76">
        <f>IF($C141="","",IF(PULL_FUND="N","",IFERROR(BDP($C141,EPS_FIELD,YR_OVERRIDE,TEXT(YEAR_Y-1,"0")),"")))</f>
        <v/>
      </c>
      <c r="AC141" s="50">
        <f>IF($C141="","",IFERROR(AVERAGE(X141:AB141),""))</f>
        <v/>
      </c>
      <c r="AD141" s="76">
        <f>IF($C141="","",IF(PULL_FUND="N","",IFERROR(BDP($C141,BESTEPS_FIELD,FWD_OVERRIDE,TEXT(MOD(YEAR_Y,100),"00")&amp;"Y"),"")))</f>
        <v/>
      </c>
      <c r="AE141" s="77">
        <f>IF($C141="","",IF(PULL_FUND="N","",IFERROR(BDP($C141,PAYOUT_FIELD,YR_OVERRIDE,TEXT(YEAR_Y-5,"0"))/100,"")))</f>
        <v/>
      </c>
      <c r="AF141" s="78">
        <f>IF($C141="","",IF(PULL_FUND="N","",IFERROR(BDP($C141,PAYOUT_FIELD,YR_OVERRIDE,TEXT(YEAR_Y-4,"0"))/100,"")))</f>
        <v/>
      </c>
      <c r="AG141" s="78">
        <f>IF($C141="","",IF(PULL_FUND="N","",IFERROR(BDP($C141,PAYOUT_FIELD,YR_OVERRIDE,TEXT(YEAR_Y-3,"0"))/100,"")))</f>
        <v/>
      </c>
      <c r="AH141" s="78">
        <f>IF($C141="","",IF(PULL_FUND="N","",IFERROR(BDP($C141,PAYOUT_FIELD,YR_OVERRIDE,TEXT(YEAR_Y-2,"0"))/100,"")))</f>
        <v/>
      </c>
      <c r="AI141" s="78">
        <f>IF($C141="","",IF(PULL_FUND="N","",IFERROR(BDP($C141,PAYOUT_FIELD,YR_OVERRIDE,TEXT(YEAR_Y-1,"0"))/100,"")))</f>
        <v/>
      </c>
      <c r="AJ141" s="79">
        <f>IF($C141="","",IFERROR(AVERAGE(AE141:AI141),""))</f>
        <v/>
      </c>
      <c r="AK141" s="80">
        <f>IF($C141="","",IF(ISNUMBER($AD141)*ISNUMBER($N141)*($AD141&lt;&gt;0)=0,"",$N141/$AD141))</f>
        <v/>
      </c>
      <c r="AL141" s="79">
        <f>IF($C141="","",IF(ISNUMBER($AD141)*($AD141&lt;&gt;0)=0,"",$M141/$AD141))</f>
        <v/>
      </c>
      <c r="AM141" s="37">
        <f>IF($C141="","",IF(ISNUMBER($AE141)*ISNUMBER($AI141)=0,"",IF($AI141&gt;$AE141+0.05,"rising",IF($AI141&lt;$AE141-0.05,"falling","stable"))))</f>
        <v/>
      </c>
      <c r="AN141" s="81">
        <f>IF($C141="","",IF(PULL_FUND="N","",IF(COUNTIFS('Fund History'!$G$786:$G$790,"&gt;="&amp;DATE(YEAR_Y-4,1,1),'Fund History'!$G$786:$G$790,"&lt;="&amp;DATE(YEAR_Y-4,12,31))=0,"",SUMIFS('Fund History'!$H$786:$H$790,'Fund History'!$G$786:$G$790,"&gt;="&amp;DATE(YEAR_Y-4,1,1),'Fund History'!$G$786:$G$790,"&lt;="&amp;DATE(YEAR_Y-4,12,31))/100)))</f>
        <v/>
      </c>
      <c r="AO141" s="82">
        <f>IF($C141="","",IF(PULL_FUND="N","",IF(COUNTIFS('Fund History'!$G$786:$G$790,"&gt;="&amp;DATE(YEAR_Y-3,1,1),'Fund History'!$G$786:$G$790,"&lt;="&amp;DATE(YEAR_Y-3,12,31))=0,"",SUMIFS('Fund History'!$H$786:$H$790,'Fund History'!$G$786:$G$790,"&gt;="&amp;DATE(YEAR_Y-3,1,1),'Fund History'!$G$786:$G$790,"&lt;="&amp;DATE(YEAR_Y-3,12,31))/100)))</f>
        <v/>
      </c>
      <c r="AP141" s="82">
        <f>IF($C141="","",IF(PULL_FUND="N","",IF(COUNTIFS('Fund History'!$G$786:$G$790,"&gt;="&amp;DATE(YEAR_Y-2,1,1),'Fund History'!$G$786:$G$790,"&lt;="&amp;DATE(YEAR_Y-2,12,31))=0,"",SUMIFS('Fund History'!$H$786:$H$790,'Fund History'!$G$786:$G$790,"&gt;="&amp;DATE(YEAR_Y-2,1,1),'Fund History'!$G$786:$G$790,"&lt;="&amp;DATE(YEAR_Y-2,12,31))/100)))</f>
        <v/>
      </c>
      <c r="AQ141" s="82">
        <f>IF($C141="","",IF(PULL_FUND="N","",IF(COUNTIFS('Fund History'!$G$786:$G$790,"&gt;="&amp;DATE(YEAR_Y-1,1,1),'Fund History'!$G$786:$G$790,"&lt;="&amp;DATE(YEAR_Y-1,12,31))=0,"",SUMIFS('Fund History'!$H$786:$H$790,'Fund History'!$G$786:$G$790,"&gt;="&amp;DATE(YEAR_Y-1,1,1),'Fund History'!$G$786:$G$790,"&lt;="&amp;DATE(YEAR_Y-1,12,31))/100)))</f>
        <v/>
      </c>
      <c r="AR141" s="83">
        <f>IF($C141="","",IF(N($AQ141)+N(HSTECH!$I$36)=0,"",N($AQ141)+N(HSTECH!$I$36)/100))</f>
        <v/>
      </c>
      <c r="AS141" s="75">
        <f>IF($C141="","",IF(PULL_FUND="N","",IF(COUNTIFS('Fund History'!$D$786:$D$790,"&gt;="&amp;DATE(YEAR_Y-2,1,1),'Fund History'!$D$786:$D$790,"&lt;="&amp;DATE(YEAR_Y-2,12,31))=0,"",SUMIFS('Fund History'!$E$786:$E$790,'Fund History'!$D$786:$D$790,"&gt;="&amp;DATE(YEAR_Y-2,1,1),'Fund History'!$D$786:$D$790,"&lt;="&amp;DATE(YEAR_Y-2,12,31)))))</f>
        <v/>
      </c>
      <c r="AT141" s="76">
        <f>IF($C141="","",IF(PULL_FUND="N","",IF(COUNTIFS('Fund History'!$D$786:$D$790,"&gt;="&amp;DATE(YEAR_Y-1,1,1),'Fund History'!$D$786:$D$790,"&lt;="&amp;DATE(YEAR_Y-1,12,31))=0,"",SUMIFS('Fund History'!$E$786:$E$790,'Fund History'!$D$786:$D$790,"&gt;="&amp;DATE(YEAR_Y-1,1,1),'Fund History'!$D$786:$D$790,"&lt;="&amp;DATE(YEAR_Y-1,12,31)))))</f>
        <v/>
      </c>
      <c r="AU141" s="76">
        <f>IF($C141="","",IF(PULL_FUND="N","",IFERROR(BDP($C141,NDEBITDA_FIELD),"")))</f>
        <v/>
      </c>
      <c r="AV141" s="84">
        <f>IF($C141="","",IF(PULL_FUND="N","",IFERROR(BDP($C141,EBINT_FIELD),"")))</f>
        <v/>
      </c>
      <c r="AW141" s="82">
        <f>IF($C141="","",IF(PULL_FUND="N","",IFERROR(BDP($C141,FCF_FIELD)/100,"")))</f>
        <v/>
      </c>
      <c r="AX141" s="50">
        <f>IF($C141="","",IF(N($U141)=0,"",IFERROR($AW141/$U141,"")))</f>
        <v/>
      </c>
      <c r="AY141" s="85">
        <f>IF($C141="","",TRIM(IF(ISNUMBER($AJ141)*(N($AJ141)&gt;$D$4)&gt;0,"payout high  ","")&amp;IF(ISNUMBER($AX141)*(N($AX141)&lt;$F$4)&gt;0,"FCF below dvd  ","")&amp;IF(ISNUMBER($AU141)*(N($AU141)&gt;$H$4)&gt;0,"leverage high","")))</f>
        <v/>
      </c>
      <c r="AZ141" s="86">
        <f>IF($C141="","",IF(HSTECH!$F$36="HKD","",HSTECH!$F$36))</f>
        <v/>
      </c>
    </row>
    <row r="142">
      <c r="B142" s="66" t="inlineStr">
        <is>
          <t>HSTECH</t>
        </is>
      </c>
      <c r="C142" s="8">
        <f>IF(HSTECH!$C$37="","",HSTECH!$C$37)</f>
        <v/>
      </c>
      <c r="D142" s="8">
        <f>IF($C142="","",HSTECH!$D$37)</f>
        <v/>
      </c>
      <c r="E142" s="8">
        <f>IF($C142="","",HSTECH!$E$37)</f>
        <v/>
      </c>
      <c r="F142" s="67">
        <f>IF($C142="","",SUMPRODUCT(('Dvd Calendar'!$E$1446:$AR$1446&gt;=DATE(YEAR_Y-5,1,1))*('Dvd Calendar'!$E$1446:$AR$1446&lt;=DATE(YEAR_Y-5,12,31))*'Dvd Calendar'!$E$1449:$AR$1449*(('Dvd Calendar'!$E$1451:$AR$1451=TYPE1)*(TYPE1&lt;&gt;"")+('Dvd Calendar'!$E$1451:$AR$1451=TYPE2)*(TYPE2&lt;&gt;"")+('Dvd Calendar'!$E$1451:$AR$1451=TYPE3)*(TYPE3&lt;&gt;"")+('Dvd Calendar'!$E$1451:$AR$1451=TYPE4)*(TYPE4&lt;&gt;"")+('Dvd Calendar'!$E$1451:$AR$1451=SPECIAL_LBL)*(INC_SPECIALS="Y"))))</f>
        <v/>
      </c>
      <c r="G142" s="68">
        <f>IF($C142="","",SUMPRODUCT(('Dvd Calendar'!$E$1446:$AR$1446&gt;=DATE(YEAR_Y-4,1,1))*('Dvd Calendar'!$E$1446:$AR$1446&lt;=DATE(YEAR_Y-4,12,31))*'Dvd Calendar'!$E$1449:$AR$1449*(('Dvd Calendar'!$E$1451:$AR$1451=TYPE1)*(TYPE1&lt;&gt;"")+('Dvd Calendar'!$E$1451:$AR$1451=TYPE2)*(TYPE2&lt;&gt;"")+('Dvd Calendar'!$E$1451:$AR$1451=TYPE3)*(TYPE3&lt;&gt;"")+('Dvd Calendar'!$E$1451:$AR$1451=TYPE4)*(TYPE4&lt;&gt;"")+('Dvd Calendar'!$E$1451:$AR$1451=SPECIAL_LBL)*(INC_SPECIALS="Y"))))</f>
        <v/>
      </c>
      <c r="H142" s="68">
        <f>IF($C142="","",SUMPRODUCT(('Dvd Calendar'!$E$1446:$AR$1446&gt;=DATE(YEAR_Y-3,1,1))*('Dvd Calendar'!$E$1446:$AR$1446&lt;=DATE(YEAR_Y-3,12,31))*'Dvd Calendar'!$E$1449:$AR$1449*(('Dvd Calendar'!$E$1451:$AR$1451=TYPE1)*(TYPE1&lt;&gt;"")+('Dvd Calendar'!$E$1451:$AR$1451=TYPE2)*(TYPE2&lt;&gt;"")+('Dvd Calendar'!$E$1451:$AR$1451=TYPE3)*(TYPE3&lt;&gt;"")+('Dvd Calendar'!$E$1451:$AR$1451=TYPE4)*(TYPE4&lt;&gt;"")+('Dvd Calendar'!$E$1451:$AR$1451=SPECIAL_LBL)*(INC_SPECIALS="Y"))))</f>
        <v/>
      </c>
      <c r="I142" s="68">
        <f>IF($C142="","",SUMPRODUCT(('Dvd Calendar'!$E$1446:$AR$1446&gt;=DATE(YEAR_Y-2,1,1))*('Dvd Calendar'!$E$1446:$AR$1446&lt;=DATE(YEAR_Y-2,12,31))*'Dvd Calendar'!$E$1449:$AR$1449*(('Dvd Calendar'!$E$1451:$AR$1451=TYPE1)*(TYPE1&lt;&gt;"")+('Dvd Calendar'!$E$1451:$AR$1451=TYPE2)*(TYPE2&lt;&gt;"")+('Dvd Calendar'!$E$1451:$AR$1451=TYPE3)*(TYPE3&lt;&gt;"")+('Dvd Calendar'!$E$1451:$AR$1451=TYPE4)*(TYPE4&lt;&gt;"")+('Dvd Calendar'!$E$1451:$AR$1451=SPECIAL_LBL)*(INC_SPECIALS="Y"))))</f>
        <v/>
      </c>
      <c r="J142" s="68">
        <f>IF($C142="","",SUMPRODUCT(('Dvd Calendar'!$E$1446:$AR$1446&gt;=DATE(YEAR_Y-1,1,1))*('Dvd Calendar'!$E$1446:$AR$1446&lt;=DATE(YEAR_Y-1,12,31))*'Dvd Calendar'!$E$1449:$AR$1449*(('Dvd Calendar'!$E$1451:$AR$1451=TYPE1)*(TYPE1&lt;&gt;"")+('Dvd Calendar'!$E$1451:$AR$1451=TYPE2)*(TYPE2&lt;&gt;"")+('Dvd Calendar'!$E$1451:$AR$1451=TYPE3)*(TYPE3&lt;&gt;"")+('Dvd Calendar'!$E$1451:$AR$1451=TYPE4)*(TYPE4&lt;&gt;"")+('Dvd Calendar'!$E$1451:$AR$1451=SPECIAL_LBL)*(INC_SPECIALS="Y"))))</f>
        <v/>
      </c>
      <c r="K142" s="69">
        <f>IF($C142="","",HSTECH!$J$37)</f>
        <v/>
      </c>
      <c r="L142" s="69">
        <f>IF($C142="","",HSTECH!$K$37)</f>
        <v/>
      </c>
      <c r="M142" s="44">
        <f>IF($C142="","",HSTECH!$J$37+HSTECH!$L$37)</f>
        <v/>
      </c>
      <c r="N142" s="70">
        <f>IF($C142="","",IF(PULL_FUND="N","",IFERROR(BDP($C142,BESTDPS_FIELD,FWD_OVERRIDE,TEXT(MOD(YEAR_Y,100),"00")&amp;"Y"),"")))</f>
        <v/>
      </c>
      <c r="O142" s="69">
        <f>IF($C142="","",AVERAGE(F142:J142))</f>
        <v/>
      </c>
      <c r="P142" s="71">
        <f>IF($C142="","",IF(PULL_FUND="N","",IF(COUNTIFS('Fund History'!$J$792:$J$796,"&gt;="&amp;DATE(YEAR_Y-5,1,1),'Fund History'!$J$792:$J$796,"&lt;="&amp;DATE(YEAR_Y-5,12,31))=0,"",IFERROR($F142*HSTECH!$G$37/SUMIFS('Fund History'!$K$792:$K$796,'Fund History'!$J$792:$J$796,"&gt;="&amp;DATE(YEAR_Y-5,1,1),'Fund History'!$J$792:$J$796,"&lt;="&amp;DATE(YEAR_Y-5,12,31)),""))))</f>
        <v/>
      </c>
      <c r="Q142" s="72">
        <f>IF($C142="","",IF(PULL_FUND="N","",IF(COUNTIFS('Fund History'!$J$792:$J$796,"&gt;="&amp;DATE(YEAR_Y-4,1,1),'Fund History'!$J$792:$J$796,"&lt;="&amp;DATE(YEAR_Y-4,12,31))=0,"",IFERROR($G142*HSTECH!$G$37/SUMIFS('Fund History'!$K$792:$K$796,'Fund History'!$J$792:$J$796,"&gt;="&amp;DATE(YEAR_Y-4,1,1),'Fund History'!$J$792:$J$796,"&lt;="&amp;DATE(YEAR_Y-4,12,31)),""))))</f>
        <v/>
      </c>
      <c r="R142" s="72">
        <f>IF($C142="","",IF(PULL_FUND="N","",IF(COUNTIFS('Fund History'!$J$792:$J$796,"&gt;="&amp;DATE(YEAR_Y-3,1,1),'Fund History'!$J$792:$J$796,"&lt;="&amp;DATE(YEAR_Y-3,12,31))=0,"",IFERROR($H142*HSTECH!$G$37/SUMIFS('Fund History'!$K$792:$K$796,'Fund History'!$J$792:$J$796,"&gt;="&amp;DATE(YEAR_Y-3,1,1),'Fund History'!$J$792:$J$796,"&lt;="&amp;DATE(YEAR_Y-3,12,31)),""))))</f>
        <v/>
      </c>
      <c r="S142" s="72">
        <f>IF($C142="","",IF(PULL_FUND="N","",IF(COUNTIFS('Fund History'!$J$792:$J$796,"&gt;="&amp;DATE(YEAR_Y-2,1,1),'Fund History'!$J$792:$J$796,"&lt;="&amp;DATE(YEAR_Y-2,12,31))=0,"",IFERROR($I142*HSTECH!$G$37/SUMIFS('Fund History'!$K$792:$K$796,'Fund History'!$J$792:$J$796,"&gt;="&amp;DATE(YEAR_Y-2,1,1),'Fund History'!$J$792:$J$796,"&lt;="&amp;DATE(YEAR_Y-2,12,31)),""))))</f>
        <v/>
      </c>
      <c r="T142" s="72">
        <f>IF($C142="","",IF(PULL_FUND="N","",IF(COUNTIFS('Fund History'!$J$792:$J$796,"&gt;="&amp;DATE(YEAR_Y-1,1,1),'Fund History'!$J$792:$J$796,"&lt;="&amp;DATE(YEAR_Y-1,12,31))=0,"",IFERROR($J142*HSTECH!$G$37/SUMIFS('Fund History'!$K$792:$K$796,'Fund History'!$J$792:$J$796,"&gt;="&amp;DATE(YEAR_Y-1,1,1),'Fund History'!$J$792:$J$796,"&lt;="&amp;DATE(YEAR_Y-1,12,31)),""))))</f>
        <v/>
      </c>
      <c r="U142" s="73">
        <f>IF($C142="","",IF(ISNUMBER(HSTECH!$I$37),HSTECH!$I$37/100,""))</f>
        <v/>
      </c>
      <c r="V142" s="74">
        <f>IF($C142="","",IF(ISNUMBER(HSTECH!$X$37),IFERROR($M142*HSTECH!$G$37/HSTECH!$X$37,""),""))</f>
        <v/>
      </c>
      <c r="W142" s="73">
        <f>IF($C142="","",IF(ISNUMBER($N142),IFERROR($N142*HSTECH!$G$37/HSTECH!$X$37,""),""))</f>
        <v/>
      </c>
      <c r="X142" s="75">
        <f>IF($C142="","",IF(PULL_FUND="N","",IFERROR(BDP($C142,EPS_FIELD,YR_OVERRIDE,TEXT(YEAR_Y-5,"0")),"")))</f>
        <v/>
      </c>
      <c r="Y142" s="76">
        <f>IF($C142="","",IF(PULL_FUND="N","",IFERROR(BDP($C142,EPS_FIELD,YR_OVERRIDE,TEXT(YEAR_Y-4,"0")),"")))</f>
        <v/>
      </c>
      <c r="Z142" s="76">
        <f>IF($C142="","",IF(PULL_FUND="N","",IFERROR(BDP($C142,EPS_FIELD,YR_OVERRIDE,TEXT(YEAR_Y-3,"0")),"")))</f>
        <v/>
      </c>
      <c r="AA142" s="76">
        <f>IF($C142="","",IF(PULL_FUND="N","",IFERROR(BDP($C142,EPS_FIELD,YR_OVERRIDE,TEXT(YEAR_Y-2,"0")),"")))</f>
        <v/>
      </c>
      <c r="AB142" s="76">
        <f>IF($C142="","",IF(PULL_FUND="N","",IFERROR(BDP($C142,EPS_FIELD,YR_OVERRIDE,TEXT(YEAR_Y-1,"0")),"")))</f>
        <v/>
      </c>
      <c r="AC142" s="50">
        <f>IF($C142="","",IFERROR(AVERAGE(X142:AB142),""))</f>
        <v/>
      </c>
      <c r="AD142" s="76">
        <f>IF($C142="","",IF(PULL_FUND="N","",IFERROR(BDP($C142,BESTEPS_FIELD,FWD_OVERRIDE,TEXT(MOD(YEAR_Y,100),"00")&amp;"Y"),"")))</f>
        <v/>
      </c>
      <c r="AE142" s="77">
        <f>IF($C142="","",IF(PULL_FUND="N","",IFERROR(BDP($C142,PAYOUT_FIELD,YR_OVERRIDE,TEXT(YEAR_Y-5,"0"))/100,"")))</f>
        <v/>
      </c>
      <c r="AF142" s="78">
        <f>IF($C142="","",IF(PULL_FUND="N","",IFERROR(BDP($C142,PAYOUT_FIELD,YR_OVERRIDE,TEXT(YEAR_Y-4,"0"))/100,"")))</f>
        <v/>
      </c>
      <c r="AG142" s="78">
        <f>IF($C142="","",IF(PULL_FUND="N","",IFERROR(BDP($C142,PAYOUT_FIELD,YR_OVERRIDE,TEXT(YEAR_Y-3,"0"))/100,"")))</f>
        <v/>
      </c>
      <c r="AH142" s="78">
        <f>IF($C142="","",IF(PULL_FUND="N","",IFERROR(BDP($C142,PAYOUT_FIELD,YR_OVERRIDE,TEXT(YEAR_Y-2,"0"))/100,"")))</f>
        <v/>
      </c>
      <c r="AI142" s="78">
        <f>IF($C142="","",IF(PULL_FUND="N","",IFERROR(BDP($C142,PAYOUT_FIELD,YR_OVERRIDE,TEXT(YEAR_Y-1,"0"))/100,"")))</f>
        <v/>
      </c>
      <c r="AJ142" s="79">
        <f>IF($C142="","",IFERROR(AVERAGE(AE142:AI142),""))</f>
        <v/>
      </c>
      <c r="AK142" s="80">
        <f>IF($C142="","",IF(ISNUMBER($AD142)*ISNUMBER($N142)*($AD142&lt;&gt;0)=0,"",$N142/$AD142))</f>
        <v/>
      </c>
      <c r="AL142" s="79">
        <f>IF($C142="","",IF(ISNUMBER($AD142)*($AD142&lt;&gt;0)=0,"",$M142/$AD142))</f>
        <v/>
      </c>
      <c r="AM142" s="37">
        <f>IF($C142="","",IF(ISNUMBER($AE142)*ISNUMBER($AI142)=0,"",IF($AI142&gt;$AE142+0.05,"rising",IF($AI142&lt;$AE142-0.05,"falling","stable"))))</f>
        <v/>
      </c>
      <c r="AN142" s="81">
        <f>IF($C142="","",IF(PULL_FUND="N","",IF(COUNTIFS('Fund History'!$G$792:$G$796,"&gt;="&amp;DATE(YEAR_Y-4,1,1),'Fund History'!$G$792:$G$796,"&lt;="&amp;DATE(YEAR_Y-4,12,31))=0,"",SUMIFS('Fund History'!$H$792:$H$796,'Fund History'!$G$792:$G$796,"&gt;="&amp;DATE(YEAR_Y-4,1,1),'Fund History'!$G$792:$G$796,"&lt;="&amp;DATE(YEAR_Y-4,12,31))/100)))</f>
        <v/>
      </c>
      <c r="AO142" s="82">
        <f>IF($C142="","",IF(PULL_FUND="N","",IF(COUNTIFS('Fund History'!$G$792:$G$796,"&gt;="&amp;DATE(YEAR_Y-3,1,1),'Fund History'!$G$792:$G$796,"&lt;="&amp;DATE(YEAR_Y-3,12,31))=0,"",SUMIFS('Fund History'!$H$792:$H$796,'Fund History'!$G$792:$G$796,"&gt;="&amp;DATE(YEAR_Y-3,1,1),'Fund History'!$G$792:$G$796,"&lt;="&amp;DATE(YEAR_Y-3,12,31))/100)))</f>
        <v/>
      </c>
      <c r="AP142" s="82">
        <f>IF($C142="","",IF(PULL_FUND="N","",IF(COUNTIFS('Fund History'!$G$792:$G$796,"&gt;="&amp;DATE(YEAR_Y-2,1,1),'Fund History'!$G$792:$G$796,"&lt;="&amp;DATE(YEAR_Y-2,12,31))=0,"",SUMIFS('Fund History'!$H$792:$H$796,'Fund History'!$G$792:$G$796,"&gt;="&amp;DATE(YEAR_Y-2,1,1),'Fund History'!$G$792:$G$796,"&lt;="&amp;DATE(YEAR_Y-2,12,31))/100)))</f>
        <v/>
      </c>
      <c r="AQ142" s="82">
        <f>IF($C142="","",IF(PULL_FUND="N","",IF(COUNTIFS('Fund History'!$G$792:$G$796,"&gt;="&amp;DATE(YEAR_Y-1,1,1),'Fund History'!$G$792:$G$796,"&lt;="&amp;DATE(YEAR_Y-1,12,31))=0,"",SUMIFS('Fund History'!$H$792:$H$796,'Fund History'!$G$792:$G$796,"&gt;="&amp;DATE(YEAR_Y-1,1,1),'Fund History'!$G$792:$G$796,"&lt;="&amp;DATE(YEAR_Y-1,12,31))/100)))</f>
        <v/>
      </c>
      <c r="AR142" s="83">
        <f>IF($C142="","",IF(N($AQ142)+N(HSTECH!$I$37)=0,"",N($AQ142)+N(HSTECH!$I$37)/100))</f>
        <v/>
      </c>
      <c r="AS142" s="75">
        <f>IF($C142="","",IF(PULL_FUND="N","",IF(COUNTIFS('Fund History'!$D$792:$D$796,"&gt;="&amp;DATE(YEAR_Y-2,1,1),'Fund History'!$D$792:$D$796,"&lt;="&amp;DATE(YEAR_Y-2,12,31))=0,"",SUMIFS('Fund History'!$E$792:$E$796,'Fund History'!$D$792:$D$796,"&gt;="&amp;DATE(YEAR_Y-2,1,1),'Fund History'!$D$792:$D$796,"&lt;="&amp;DATE(YEAR_Y-2,12,31)))))</f>
        <v/>
      </c>
      <c r="AT142" s="76">
        <f>IF($C142="","",IF(PULL_FUND="N","",IF(COUNTIFS('Fund History'!$D$792:$D$796,"&gt;="&amp;DATE(YEAR_Y-1,1,1),'Fund History'!$D$792:$D$796,"&lt;="&amp;DATE(YEAR_Y-1,12,31))=0,"",SUMIFS('Fund History'!$E$792:$E$796,'Fund History'!$D$792:$D$796,"&gt;="&amp;DATE(YEAR_Y-1,1,1),'Fund History'!$D$792:$D$796,"&lt;="&amp;DATE(YEAR_Y-1,12,31)))))</f>
        <v/>
      </c>
      <c r="AU142" s="76">
        <f>IF($C142="","",IF(PULL_FUND="N","",IFERROR(BDP($C142,NDEBITDA_FIELD),"")))</f>
        <v/>
      </c>
      <c r="AV142" s="84">
        <f>IF($C142="","",IF(PULL_FUND="N","",IFERROR(BDP($C142,EBINT_FIELD),"")))</f>
        <v/>
      </c>
      <c r="AW142" s="82">
        <f>IF($C142="","",IF(PULL_FUND="N","",IFERROR(BDP($C142,FCF_FIELD)/100,"")))</f>
        <v/>
      </c>
      <c r="AX142" s="50">
        <f>IF($C142="","",IF(N($U142)=0,"",IFERROR($AW142/$U142,"")))</f>
        <v/>
      </c>
      <c r="AY142" s="85">
        <f>IF($C142="","",TRIM(IF(ISNUMBER($AJ142)*(N($AJ142)&gt;$D$4)&gt;0,"payout high  ","")&amp;IF(ISNUMBER($AX142)*(N($AX142)&lt;$F$4)&gt;0,"FCF below dvd  ","")&amp;IF(ISNUMBER($AU142)*(N($AU142)&gt;$H$4)&gt;0,"leverage high","")))</f>
        <v/>
      </c>
      <c r="AZ142" s="86">
        <f>IF($C142="","",IF(HSTECH!$F$37="HKD","",HSTECH!$F$37))</f>
        <v/>
      </c>
    </row>
    <row r="143">
      <c r="B143" s="66" t="inlineStr">
        <is>
          <t>HSTECH</t>
        </is>
      </c>
      <c r="C143" s="8">
        <f>IF(HSTECH!$C$38="","",HSTECH!$C$38)</f>
        <v/>
      </c>
      <c r="D143" s="8">
        <f>IF($C143="","",HSTECH!$D$38)</f>
        <v/>
      </c>
      <c r="E143" s="8">
        <f>IF($C143="","",HSTECH!$E$38)</f>
        <v/>
      </c>
      <c r="F143" s="67">
        <f>IF($C143="","",SUMPRODUCT(('Dvd Calendar'!$E$1457:$AR$1457&gt;=DATE(YEAR_Y-5,1,1))*('Dvd Calendar'!$E$1457:$AR$1457&lt;=DATE(YEAR_Y-5,12,31))*'Dvd Calendar'!$E$1460:$AR$1460*(('Dvd Calendar'!$E$1462:$AR$1462=TYPE1)*(TYPE1&lt;&gt;"")+('Dvd Calendar'!$E$1462:$AR$1462=TYPE2)*(TYPE2&lt;&gt;"")+('Dvd Calendar'!$E$1462:$AR$1462=TYPE3)*(TYPE3&lt;&gt;"")+('Dvd Calendar'!$E$1462:$AR$1462=TYPE4)*(TYPE4&lt;&gt;"")+('Dvd Calendar'!$E$1462:$AR$1462=SPECIAL_LBL)*(INC_SPECIALS="Y"))))</f>
        <v/>
      </c>
      <c r="G143" s="68">
        <f>IF($C143="","",SUMPRODUCT(('Dvd Calendar'!$E$1457:$AR$1457&gt;=DATE(YEAR_Y-4,1,1))*('Dvd Calendar'!$E$1457:$AR$1457&lt;=DATE(YEAR_Y-4,12,31))*'Dvd Calendar'!$E$1460:$AR$1460*(('Dvd Calendar'!$E$1462:$AR$1462=TYPE1)*(TYPE1&lt;&gt;"")+('Dvd Calendar'!$E$1462:$AR$1462=TYPE2)*(TYPE2&lt;&gt;"")+('Dvd Calendar'!$E$1462:$AR$1462=TYPE3)*(TYPE3&lt;&gt;"")+('Dvd Calendar'!$E$1462:$AR$1462=TYPE4)*(TYPE4&lt;&gt;"")+('Dvd Calendar'!$E$1462:$AR$1462=SPECIAL_LBL)*(INC_SPECIALS="Y"))))</f>
        <v/>
      </c>
      <c r="H143" s="68">
        <f>IF($C143="","",SUMPRODUCT(('Dvd Calendar'!$E$1457:$AR$1457&gt;=DATE(YEAR_Y-3,1,1))*('Dvd Calendar'!$E$1457:$AR$1457&lt;=DATE(YEAR_Y-3,12,31))*'Dvd Calendar'!$E$1460:$AR$1460*(('Dvd Calendar'!$E$1462:$AR$1462=TYPE1)*(TYPE1&lt;&gt;"")+('Dvd Calendar'!$E$1462:$AR$1462=TYPE2)*(TYPE2&lt;&gt;"")+('Dvd Calendar'!$E$1462:$AR$1462=TYPE3)*(TYPE3&lt;&gt;"")+('Dvd Calendar'!$E$1462:$AR$1462=TYPE4)*(TYPE4&lt;&gt;"")+('Dvd Calendar'!$E$1462:$AR$1462=SPECIAL_LBL)*(INC_SPECIALS="Y"))))</f>
        <v/>
      </c>
      <c r="I143" s="68">
        <f>IF($C143="","",SUMPRODUCT(('Dvd Calendar'!$E$1457:$AR$1457&gt;=DATE(YEAR_Y-2,1,1))*('Dvd Calendar'!$E$1457:$AR$1457&lt;=DATE(YEAR_Y-2,12,31))*'Dvd Calendar'!$E$1460:$AR$1460*(('Dvd Calendar'!$E$1462:$AR$1462=TYPE1)*(TYPE1&lt;&gt;"")+('Dvd Calendar'!$E$1462:$AR$1462=TYPE2)*(TYPE2&lt;&gt;"")+('Dvd Calendar'!$E$1462:$AR$1462=TYPE3)*(TYPE3&lt;&gt;"")+('Dvd Calendar'!$E$1462:$AR$1462=TYPE4)*(TYPE4&lt;&gt;"")+('Dvd Calendar'!$E$1462:$AR$1462=SPECIAL_LBL)*(INC_SPECIALS="Y"))))</f>
        <v/>
      </c>
      <c r="J143" s="68">
        <f>IF($C143="","",SUMPRODUCT(('Dvd Calendar'!$E$1457:$AR$1457&gt;=DATE(YEAR_Y-1,1,1))*('Dvd Calendar'!$E$1457:$AR$1457&lt;=DATE(YEAR_Y-1,12,31))*'Dvd Calendar'!$E$1460:$AR$1460*(('Dvd Calendar'!$E$1462:$AR$1462=TYPE1)*(TYPE1&lt;&gt;"")+('Dvd Calendar'!$E$1462:$AR$1462=TYPE2)*(TYPE2&lt;&gt;"")+('Dvd Calendar'!$E$1462:$AR$1462=TYPE3)*(TYPE3&lt;&gt;"")+('Dvd Calendar'!$E$1462:$AR$1462=TYPE4)*(TYPE4&lt;&gt;"")+('Dvd Calendar'!$E$1462:$AR$1462=SPECIAL_LBL)*(INC_SPECIALS="Y"))))</f>
        <v/>
      </c>
      <c r="K143" s="69">
        <f>IF($C143="","",HSTECH!$J$38)</f>
        <v/>
      </c>
      <c r="L143" s="69">
        <f>IF($C143="","",HSTECH!$K$38)</f>
        <v/>
      </c>
      <c r="M143" s="44">
        <f>IF($C143="","",HSTECH!$J$38+HSTECH!$L$38)</f>
        <v/>
      </c>
      <c r="N143" s="70">
        <f>IF($C143="","",IF(PULL_FUND="N","",IFERROR(BDP($C143,BESTDPS_FIELD,FWD_OVERRIDE,TEXT(MOD(YEAR_Y,100),"00")&amp;"Y"),"")))</f>
        <v/>
      </c>
      <c r="O143" s="69">
        <f>IF($C143="","",AVERAGE(F143:J143))</f>
        <v/>
      </c>
      <c r="P143" s="71">
        <f>IF($C143="","",IF(PULL_FUND="N","",IF(COUNTIFS('Fund History'!$J$798:$J$802,"&gt;="&amp;DATE(YEAR_Y-5,1,1),'Fund History'!$J$798:$J$802,"&lt;="&amp;DATE(YEAR_Y-5,12,31))=0,"",IFERROR($F143*HSTECH!$G$38/SUMIFS('Fund History'!$K$798:$K$802,'Fund History'!$J$798:$J$802,"&gt;="&amp;DATE(YEAR_Y-5,1,1),'Fund History'!$J$798:$J$802,"&lt;="&amp;DATE(YEAR_Y-5,12,31)),""))))</f>
        <v/>
      </c>
      <c r="Q143" s="72">
        <f>IF($C143="","",IF(PULL_FUND="N","",IF(COUNTIFS('Fund History'!$J$798:$J$802,"&gt;="&amp;DATE(YEAR_Y-4,1,1),'Fund History'!$J$798:$J$802,"&lt;="&amp;DATE(YEAR_Y-4,12,31))=0,"",IFERROR($G143*HSTECH!$G$38/SUMIFS('Fund History'!$K$798:$K$802,'Fund History'!$J$798:$J$802,"&gt;="&amp;DATE(YEAR_Y-4,1,1),'Fund History'!$J$798:$J$802,"&lt;="&amp;DATE(YEAR_Y-4,12,31)),""))))</f>
        <v/>
      </c>
      <c r="R143" s="72">
        <f>IF($C143="","",IF(PULL_FUND="N","",IF(COUNTIFS('Fund History'!$J$798:$J$802,"&gt;="&amp;DATE(YEAR_Y-3,1,1),'Fund History'!$J$798:$J$802,"&lt;="&amp;DATE(YEAR_Y-3,12,31))=0,"",IFERROR($H143*HSTECH!$G$38/SUMIFS('Fund History'!$K$798:$K$802,'Fund History'!$J$798:$J$802,"&gt;="&amp;DATE(YEAR_Y-3,1,1),'Fund History'!$J$798:$J$802,"&lt;="&amp;DATE(YEAR_Y-3,12,31)),""))))</f>
        <v/>
      </c>
      <c r="S143" s="72">
        <f>IF($C143="","",IF(PULL_FUND="N","",IF(COUNTIFS('Fund History'!$J$798:$J$802,"&gt;="&amp;DATE(YEAR_Y-2,1,1),'Fund History'!$J$798:$J$802,"&lt;="&amp;DATE(YEAR_Y-2,12,31))=0,"",IFERROR($I143*HSTECH!$G$38/SUMIFS('Fund History'!$K$798:$K$802,'Fund History'!$J$798:$J$802,"&gt;="&amp;DATE(YEAR_Y-2,1,1),'Fund History'!$J$798:$J$802,"&lt;="&amp;DATE(YEAR_Y-2,12,31)),""))))</f>
        <v/>
      </c>
      <c r="T143" s="72">
        <f>IF($C143="","",IF(PULL_FUND="N","",IF(COUNTIFS('Fund History'!$J$798:$J$802,"&gt;="&amp;DATE(YEAR_Y-1,1,1),'Fund History'!$J$798:$J$802,"&lt;="&amp;DATE(YEAR_Y-1,12,31))=0,"",IFERROR($J143*HSTECH!$G$38/SUMIFS('Fund History'!$K$798:$K$802,'Fund History'!$J$798:$J$802,"&gt;="&amp;DATE(YEAR_Y-1,1,1),'Fund History'!$J$798:$J$802,"&lt;="&amp;DATE(YEAR_Y-1,12,31)),""))))</f>
        <v/>
      </c>
      <c r="U143" s="73">
        <f>IF($C143="","",IF(ISNUMBER(HSTECH!$I$38),HSTECH!$I$38/100,""))</f>
        <v/>
      </c>
      <c r="V143" s="74">
        <f>IF($C143="","",IF(ISNUMBER(HSTECH!$X$38),IFERROR($M143*HSTECH!$G$38/HSTECH!$X$38,""),""))</f>
        <v/>
      </c>
      <c r="W143" s="73">
        <f>IF($C143="","",IF(ISNUMBER($N143),IFERROR($N143*HSTECH!$G$38/HSTECH!$X$38,""),""))</f>
        <v/>
      </c>
      <c r="X143" s="75">
        <f>IF($C143="","",IF(PULL_FUND="N","",IFERROR(BDP($C143,EPS_FIELD,YR_OVERRIDE,TEXT(YEAR_Y-5,"0")),"")))</f>
        <v/>
      </c>
      <c r="Y143" s="76">
        <f>IF($C143="","",IF(PULL_FUND="N","",IFERROR(BDP($C143,EPS_FIELD,YR_OVERRIDE,TEXT(YEAR_Y-4,"0")),"")))</f>
        <v/>
      </c>
      <c r="Z143" s="76">
        <f>IF($C143="","",IF(PULL_FUND="N","",IFERROR(BDP($C143,EPS_FIELD,YR_OVERRIDE,TEXT(YEAR_Y-3,"0")),"")))</f>
        <v/>
      </c>
      <c r="AA143" s="76">
        <f>IF($C143="","",IF(PULL_FUND="N","",IFERROR(BDP($C143,EPS_FIELD,YR_OVERRIDE,TEXT(YEAR_Y-2,"0")),"")))</f>
        <v/>
      </c>
      <c r="AB143" s="76">
        <f>IF($C143="","",IF(PULL_FUND="N","",IFERROR(BDP($C143,EPS_FIELD,YR_OVERRIDE,TEXT(YEAR_Y-1,"0")),"")))</f>
        <v/>
      </c>
      <c r="AC143" s="50">
        <f>IF($C143="","",IFERROR(AVERAGE(X143:AB143),""))</f>
        <v/>
      </c>
      <c r="AD143" s="76">
        <f>IF($C143="","",IF(PULL_FUND="N","",IFERROR(BDP($C143,BESTEPS_FIELD,FWD_OVERRIDE,TEXT(MOD(YEAR_Y,100),"00")&amp;"Y"),"")))</f>
        <v/>
      </c>
      <c r="AE143" s="77">
        <f>IF($C143="","",IF(PULL_FUND="N","",IFERROR(BDP($C143,PAYOUT_FIELD,YR_OVERRIDE,TEXT(YEAR_Y-5,"0"))/100,"")))</f>
        <v/>
      </c>
      <c r="AF143" s="78">
        <f>IF($C143="","",IF(PULL_FUND="N","",IFERROR(BDP($C143,PAYOUT_FIELD,YR_OVERRIDE,TEXT(YEAR_Y-4,"0"))/100,"")))</f>
        <v/>
      </c>
      <c r="AG143" s="78">
        <f>IF($C143="","",IF(PULL_FUND="N","",IFERROR(BDP($C143,PAYOUT_FIELD,YR_OVERRIDE,TEXT(YEAR_Y-3,"0"))/100,"")))</f>
        <v/>
      </c>
      <c r="AH143" s="78">
        <f>IF($C143="","",IF(PULL_FUND="N","",IFERROR(BDP($C143,PAYOUT_FIELD,YR_OVERRIDE,TEXT(YEAR_Y-2,"0"))/100,"")))</f>
        <v/>
      </c>
      <c r="AI143" s="78">
        <f>IF($C143="","",IF(PULL_FUND="N","",IFERROR(BDP($C143,PAYOUT_FIELD,YR_OVERRIDE,TEXT(YEAR_Y-1,"0"))/100,"")))</f>
        <v/>
      </c>
      <c r="AJ143" s="79">
        <f>IF($C143="","",IFERROR(AVERAGE(AE143:AI143),""))</f>
        <v/>
      </c>
      <c r="AK143" s="80">
        <f>IF($C143="","",IF(ISNUMBER($AD143)*ISNUMBER($N143)*($AD143&lt;&gt;0)=0,"",$N143/$AD143))</f>
        <v/>
      </c>
      <c r="AL143" s="79">
        <f>IF($C143="","",IF(ISNUMBER($AD143)*($AD143&lt;&gt;0)=0,"",$M143/$AD143))</f>
        <v/>
      </c>
      <c r="AM143" s="37">
        <f>IF($C143="","",IF(ISNUMBER($AE143)*ISNUMBER($AI143)=0,"",IF($AI143&gt;$AE143+0.05,"rising",IF($AI143&lt;$AE143-0.05,"falling","stable"))))</f>
        <v/>
      </c>
      <c r="AN143" s="81">
        <f>IF($C143="","",IF(PULL_FUND="N","",IF(COUNTIFS('Fund History'!$G$798:$G$802,"&gt;="&amp;DATE(YEAR_Y-4,1,1),'Fund History'!$G$798:$G$802,"&lt;="&amp;DATE(YEAR_Y-4,12,31))=0,"",SUMIFS('Fund History'!$H$798:$H$802,'Fund History'!$G$798:$G$802,"&gt;="&amp;DATE(YEAR_Y-4,1,1),'Fund History'!$G$798:$G$802,"&lt;="&amp;DATE(YEAR_Y-4,12,31))/100)))</f>
        <v/>
      </c>
      <c r="AO143" s="82">
        <f>IF($C143="","",IF(PULL_FUND="N","",IF(COUNTIFS('Fund History'!$G$798:$G$802,"&gt;="&amp;DATE(YEAR_Y-3,1,1),'Fund History'!$G$798:$G$802,"&lt;="&amp;DATE(YEAR_Y-3,12,31))=0,"",SUMIFS('Fund History'!$H$798:$H$802,'Fund History'!$G$798:$G$802,"&gt;="&amp;DATE(YEAR_Y-3,1,1),'Fund History'!$G$798:$G$802,"&lt;="&amp;DATE(YEAR_Y-3,12,31))/100)))</f>
        <v/>
      </c>
      <c r="AP143" s="82">
        <f>IF($C143="","",IF(PULL_FUND="N","",IF(COUNTIFS('Fund History'!$G$798:$G$802,"&gt;="&amp;DATE(YEAR_Y-2,1,1),'Fund History'!$G$798:$G$802,"&lt;="&amp;DATE(YEAR_Y-2,12,31))=0,"",SUMIFS('Fund History'!$H$798:$H$802,'Fund History'!$G$798:$G$802,"&gt;="&amp;DATE(YEAR_Y-2,1,1),'Fund History'!$G$798:$G$802,"&lt;="&amp;DATE(YEAR_Y-2,12,31))/100)))</f>
        <v/>
      </c>
      <c r="AQ143" s="82">
        <f>IF($C143="","",IF(PULL_FUND="N","",IF(COUNTIFS('Fund History'!$G$798:$G$802,"&gt;="&amp;DATE(YEAR_Y-1,1,1),'Fund History'!$G$798:$G$802,"&lt;="&amp;DATE(YEAR_Y-1,12,31))=0,"",SUMIFS('Fund History'!$H$798:$H$802,'Fund History'!$G$798:$G$802,"&gt;="&amp;DATE(YEAR_Y-1,1,1),'Fund History'!$G$798:$G$802,"&lt;="&amp;DATE(YEAR_Y-1,12,31))/100)))</f>
        <v/>
      </c>
      <c r="AR143" s="83">
        <f>IF($C143="","",IF(N($AQ143)+N(HSTECH!$I$38)=0,"",N($AQ143)+N(HSTECH!$I$38)/100))</f>
        <v/>
      </c>
      <c r="AS143" s="75">
        <f>IF($C143="","",IF(PULL_FUND="N","",IF(COUNTIFS('Fund History'!$D$798:$D$802,"&gt;="&amp;DATE(YEAR_Y-2,1,1),'Fund History'!$D$798:$D$802,"&lt;="&amp;DATE(YEAR_Y-2,12,31))=0,"",SUMIFS('Fund History'!$E$798:$E$802,'Fund History'!$D$798:$D$802,"&gt;="&amp;DATE(YEAR_Y-2,1,1),'Fund History'!$D$798:$D$802,"&lt;="&amp;DATE(YEAR_Y-2,12,31)))))</f>
        <v/>
      </c>
      <c r="AT143" s="76">
        <f>IF($C143="","",IF(PULL_FUND="N","",IF(COUNTIFS('Fund History'!$D$798:$D$802,"&gt;="&amp;DATE(YEAR_Y-1,1,1),'Fund History'!$D$798:$D$802,"&lt;="&amp;DATE(YEAR_Y-1,12,31))=0,"",SUMIFS('Fund History'!$E$798:$E$802,'Fund History'!$D$798:$D$802,"&gt;="&amp;DATE(YEAR_Y-1,1,1),'Fund History'!$D$798:$D$802,"&lt;="&amp;DATE(YEAR_Y-1,12,31)))))</f>
        <v/>
      </c>
      <c r="AU143" s="76">
        <f>IF($C143="","",IF(PULL_FUND="N","",IFERROR(BDP($C143,NDEBITDA_FIELD),"")))</f>
        <v/>
      </c>
      <c r="AV143" s="84">
        <f>IF($C143="","",IF(PULL_FUND="N","",IFERROR(BDP($C143,EBINT_FIELD),"")))</f>
        <v/>
      </c>
      <c r="AW143" s="82">
        <f>IF($C143="","",IF(PULL_FUND="N","",IFERROR(BDP($C143,FCF_FIELD)/100,"")))</f>
        <v/>
      </c>
      <c r="AX143" s="50">
        <f>IF($C143="","",IF(N($U143)=0,"",IFERROR($AW143/$U143,"")))</f>
        <v/>
      </c>
      <c r="AY143" s="85">
        <f>IF($C143="","",TRIM(IF(ISNUMBER($AJ143)*(N($AJ143)&gt;$D$4)&gt;0,"payout high  ","")&amp;IF(ISNUMBER($AX143)*(N($AX143)&lt;$F$4)&gt;0,"FCF below dvd  ","")&amp;IF(ISNUMBER($AU143)*(N($AU143)&gt;$H$4)&gt;0,"leverage high","")))</f>
        <v/>
      </c>
      <c r="AZ143" s="86">
        <f>IF($C143="","",IF(HSTECH!$F$38="HKD","",HSTECH!$F$38))</f>
        <v/>
      </c>
    </row>
    <row r="144">
      <c r="B144" s="66" t="inlineStr">
        <is>
          <t>HSTECH</t>
        </is>
      </c>
      <c r="C144" s="8">
        <f>IF(HSTECH!$C$39="","",HSTECH!$C$39)</f>
        <v/>
      </c>
      <c r="D144" s="8">
        <f>IF($C144="","",HSTECH!$D$39)</f>
        <v/>
      </c>
      <c r="E144" s="8">
        <f>IF($C144="","",HSTECH!$E$39)</f>
        <v/>
      </c>
      <c r="F144" s="67">
        <f>IF($C144="","",SUMPRODUCT(('Dvd Calendar'!$E$1468:$AR$1468&gt;=DATE(YEAR_Y-5,1,1))*('Dvd Calendar'!$E$1468:$AR$1468&lt;=DATE(YEAR_Y-5,12,31))*'Dvd Calendar'!$E$1471:$AR$1471*(('Dvd Calendar'!$E$1473:$AR$1473=TYPE1)*(TYPE1&lt;&gt;"")+('Dvd Calendar'!$E$1473:$AR$1473=TYPE2)*(TYPE2&lt;&gt;"")+('Dvd Calendar'!$E$1473:$AR$1473=TYPE3)*(TYPE3&lt;&gt;"")+('Dvd Calendar'!$E$1473:$AR$1473=TYPE4)*(TYPE4&lt;&gt;"")+('Dvd Calendar'!$E$1473:$AR$1473=SPECIAL_LBL)*(INC_SPECIALS="Y"))))</f>
        <v/>
      </c>
      <c r="G144" s="68">
        <f>IF($C144="","",SUMPRODUCT(('Dvd Calendar'!$E$1468:$AR$1468&gt;=DATE(YEAR_Y-4,1,1))*('Dvd Calendar'!$E$1468:$AR$1468&lt;=DATE(YEAR_Y-4,12,31))*'Dvd Calendar'!$E$1471:$AR$1471*(('Dvd Calendar'!$E$1473:$AR$1473=TYPE1)*(TYPE1&lt;&gt;"")+('Dvd Calendar'!$E$1473:$AR$1473=TYPE2)*(TYPE2&lt;&gt;"")+('Dvd Calendar'!$E$1473:$AR$1473=TYPE3)*(TYPE3&lt;&gt;"")+('Dvd Calendar'!$E$1473:$AR$1473=TYPE4)*(TYPE4&lt;&gt;"")+('Dvd Calendar'!$E$1473:$AR$1473=SPECIAL_LBL)*(INC_SPECIALS="Y"))))</f>
        <v/>
      </c>
      <c r="H144" s="68">
        <f>IF($C144="","",SUMPRODUCT(('Dvd Calendar'!$E$1468:$AR$1468&gt;=DATE(YEAR_Y-3,1,1))*('Dvd Calendar'!$E$1468:$AR$1468&lt;=DATE(YEAR_Y-3,12,31))*'Dvd Calendar'!$E$1471:$AR$1471*(('Dvd Calendar'!$E$1473:$AR$1473=TYPE1)*(TYPE1&lt;&gt;"")+('Dvd Calendar'!$E$1473:$AR$1473=TYPE2)*(TYPE2&lt;&gt;"")+('Dvd Calendar'!$E$1473:$AR$1473=TYPE3)*(TYPE3&lt;&gt;"")+('Dvd Calendar'!$E$1473:$AR$1473=TYPE4)*(TYPE4&lt;&gt;"")+('Dvd Calendar'!$E$1473:$AR$1473=SPECIAL_LBL)*(INC_SPECIALS="Y"))))</f>
        <v/>
      </c>
      <c r="I144" s="68">
        <f>IF($C144="","",SUMPRODUCT(('Dvd Calendar'!$E$1468:$AR$1468&gt;=DATE(YEAR_Y-2,1,1))*('Dvd Calendar'!$E$1468:$AR$1468&lt;=DATE(YEAR_Y-2,12,31))*'Dvd Calendar'!$E$1471:$AR$1471*(('Dvd Calendar'!$E$1473:$AR$1473=TYPE1)*(TYPE1&lt;&gt;"")+('Dvd Calendar'!$E$1473:$AR$1473=TYPE2)*(TYPE2&lt;&gt;"")+('Dvd Calendar'!$E$1473:$AR$1473=TYPE3)*(TYPE3&lt;&gt;"")+('Dvd Calendar'!$E$1473:$AR$1473=TYPE4)*(TYPE4&lt;&gt;"")+('Dvd Calendar'!$E$1473:$AR$1473=SPECIAL_LBL)*(INC_SPECIALS="Y"))))</f>
        <v/>
      </c>
      <c r="J144" s="68">
        <f>IF($C144="","",SUMPRODUCT(('Dvd Calendar'!$E$1468:$AR$1468&gt;=DATE(YEAR_Y-1,1,1))*('Dvd Calendar'!$E$1468:$AR$1468&lt;=DATE(YEAR_Y-1,12,31))*'Dvd Calendar'!$E$1471:$AR$1471*(('Dvd Calendar'!$E$1473:$AR$1473=TYPE1)*(TYPE1&lt;&gt;"")+('Dvd Calendar'!$E$1473:$AR$1473=TYPE2)*(TYPE2&lt;&gt;"")+('Dvd Calendar'!$E$1473:$AR$1473=TYPE3)*(TYPE3&lt;&gt;"")+('Dvd Calendar'!$E$1473:$AR$1473=TYPE4)*(TYPE4&lt;&gt;"")+('Dvd Calendar'!$E$1473:$AR$1473=SPECIAL_LBL)*(INC_SPECIALS="Y"))))</f>
        <v/>
      </c>
      <c r="K144" s="69">
        <f>IF($C144="","",HSTECH!$J$39)</f>
        <v/>
      </c>
      <c r="L144" s="69">
        <f>IF($C144="","",HSTECH!$K$39)</f>
        <v/>
      </c>
      <c r="M144" s="44">
        <f>IF($C144="","",HSTECH!$J$39+HSTECH!$L$39)</f>
        <v/>
      </c>
      <c r="N144" s="70">
        <f>IF($C144="","",IF(PULL_FUND="N","",IFERROR(BDP($C144,BESTDPS_FIELD,FWD_OVERRIDE,TEXT(MOD(YEAR_Y,100),"00")&amp;"Y"),"")))</f>
        <v/>
      </c>
      <c r="O144" s="69">
        <f>IF($C144="","",AVERAGE(F144:J144))</f>
        <v/>
      </c>
      <c r="P144" s="71">
        <f>IF($C144="","",IF(PULL_FUND="N","",IF(COUNTIFS('Fund History'!$J$804:$J$808,"&gt;="&amp;DATE(YEAR_Y-5,1,1),'Fund History'!$J$804:$J$808,"&lt;="&amp;DATE(YEAR_Y-5,12,31))=0,"",IFERROR($F144*HSTECH!$G$39/SUMIFS('Fund History'!$K$804:$K$808,'Fund History'!$J$804:$J$808,"&gt;="&amp;DATE(YEAR_Y-5,1,1),'Fund History'!$J$804:$J$808,"&lt;="&amp;DATE(YEAR_Y-5,12,31)),""))))</f>
        <v/>
      </c>
      <c r="Q144" s="72">
        <f>IF($C144="","",IF(PULL_FUND="N","",IF(COUNTIFS('Fund History'!$J$804:$J$808,"&gt;="&amp;DATE(YEAR_Y-4,1,1),'Fund History'!$J$804:$J$808,"&lt;="&amp;DATE(YEAR_Y-4,12,31))=0,"",IFERROR($G144*HSTECH!$G$39/SUMIFS('Fund History'!$K$804:$K$808,'Fund History'!$J$804:$J$808,"&gt;="&amp;DATE(YEAR_Y-4,1,1),'Fund History'!$J$804:$J$808,"&lt;="&amp;DATE(YEAR_Y-4,12,31)),""))))</f>
        <v/>
      </c>
      <c r="R144" s="72">
        <f>IF($C144="","",IF(PULL_FUND="N","",IF(COUNTIFS('Fund History'!$J$804:$J$808,"&gt;="&amp;DATE(YEAR_Y-3,1,1),'Fund History'!$J$804:$J$808,"&lt;="&amp;DATE(YEAR_Y-3,12,31))=0,"",IFERROR($H144*HSTECH!$G$39/SUMIFS('Fund History'!$K$804:$K$808,'Fund History'!$J$804:$J$808,"&gt;="&amp;DATE(YEAR_Y-3,1,1),'Fund History'!$J$804:$J$808,"&lt;="&amp;DATE(YEAR_Y-3,12,31)),""))))</f>
        <v/>
      </c>
      <c r="S144" s="72">
        <f>IF($C144="","",IF(PULL_FUND="N","",IF(COUNTIFS('Fund History'!$J$804:$J$808,"&gt;="&amp;DATE(YEAR_Y-2,1,1),'Fund History'!$J$804:$J$808,"&lt;="&amp;DATE(YEAR_Y-2,12,31))=0,"",IFERROR($I144*HSTECH!$G$39/SUMIFS('Fund History'!$K$804:$K$808,'Fund History'!$J$804:$J$808,"&gt;="&amp;DATE(YEAR_Y-2,1,1),'Fund History'!$J$804:$J$808,"&lt;="&amp;DATE(YEAR_Y-2,12,31)),""))))</f>
        <v/>
      </c>
      <c r="T144" s="72">
        <f>IF($C144="","",IF(PULL_FUND="N","",IF(COUNTIFS('Fund History'!$J$804:$J$808,"&gt;="&amp;DATE(YEAR_Y-1,1,1),'Fund History'!$J$804:$J$808,"&lt;="&amp;DATE(YEAR_Y-1,12,31))=0,"",IFERROR($J144*HSTECH!$G$39/SUMIFS('Fund History'!$K$804:$K$808,'Fund History'!$J$804:$J$808,"&gt;="&amp;DATE(YEAR_Y-1,1,1),'Fund History'!$J$804:$J$808,"&lt;="&amp;DATE(YEAR_Y-1,12,31)),""))))</f>
        <v/>
      </c>
      <c r="U144" s="73">
        <f>IF($C144="","",IF(ISNUMBER(HSTECH!$I$39),HSTECH!$I$39/100,""))</f>
        <v/>
      </c>
      <c r="V144" s="74">
        <f>IF($C144="","",IF(ISNUMBER(HSTECH!$X$39),IFERROR($M144*HSTECH!$G$39/HSTECH!$X$39,""),""))</f>
        <v/>
      </c>
      <c r="W144" s="73">
        <f>IF($C144="","",IF(ISNUMBER($N144),IFERROR($N144*HSTECH!$G$39/HSTECH!$X$39,""),""))</f>
        <v/>
      </c>
      <c r="X144" s="75">
        <f>IF($C144="","",IF(PULL_FUND="N","",IFERROR(BDP($C144,EPS_FIELD,YR_OVERRIDE,TEXT(YEAR_Y-5,"0")),"")))</f>
        <v/>
      </c>
      <c r="Y144" s="76">
        <f>IF($C144="","",IF(PULL_FUND="N","",IFERROR(BDP($C144,EPS_FIELD,YR_OVERRIDE,TEXT(YEAR_Y-4,"0")),"")))</f>
        <v/>
      </c>
      <c r="Z144" s="76">
        <f>IF($C144="","",IF(PULL_FUND="N","",IFERROR(BDP($C144,EPS_FIELD,YR_OVERRIDE,TEXT(YEAR_Y-3,"0")),"")))</f>
        <v/>
      </c>
      <c r="AA144" s="76">
        <f>IF($C144="","",IF(PULL_FUND="N","",IFERROR(BDP($C144,EPS_FIELD,YR_OVERRIDE,TEXT(YEAR_Y-2,"0")),"")))</f>
        <v/>
      </c>
      <c r="AB144" s="76">
        <f>IF($C144="","",IF(PULL_FUND="N","",IFERROR(BDP($C144,EPS_FIELD,YR_OVERRIDE,TEXT(YEAR_Y-1,"0")),"")))</f>
        <v/>
      </c>
      <c r="AC144" s="50">
        <f>IF($C144="","",IFERROR(AVERAGE(X144:AB144),""))</f>
        <v/>
      </c>
      <c r="AD144" s="76">
        <f>IF($C144="","",IF(PULL_FUND="N","",IFERROR(BDP($C144,BESTEPS_FIELD,FWD_OVERRIDE,TEXT(MOD(YEAR_Y,100),"00")&amp;"Y"),"")))</f>
        <v/>
      </c>
      <c r="AE144" s="77">
        <f>IF($C144="","",IF(PULL_FUND="N","",IFERROR(BDP($C144,PAYOUT_FIELD,YR_OVERRIDE,TEXT(YEAR_Y-5,"0"))/100,"")))</f>
        <v/>
      </c>
      <c r="AF144" s="78">
        <f>IF($C144="","",IF(PULL_FUND="N","",IFERROR(BDP($C144,PAYOUT_FIELD,YR_OVERRIDE,TEXT(YEAR_Y-4,"0"))/100,"")))</f>
        <v/>
      </c>
      <c r="AG144" s="78">
        <f>IF($C144="","",IF(PULL_FUND="N","",IFERROR(BDP($C144,PAYOUT_FIELD,YR_OVERRIDE,TEXT(YEAR_Y-3,"0"))/100,"")))</f>
        <v/>
      </c>
      <c r="AH144" s="78">
        <f>IF($C144="","",IF(PULL_FUND="N","",IFERROR(BDP($C144,PAYOUT_FIELD,YR_OVERRIDE,TEXT(YEAR_Y-2,"0"))/100,"")))</f>
        <v/>
      </c>
      <c r="AI144" s="78">
        <f>IF($C144="","",IF(PULL_FUND="N","",IFERROR(BDP($C144,PAYOUT_FIELD,YR_OVERRIDE,TEXT(YEAR_Y-1,"0"))/100,"")))</f>
        <v/>
      </c>
      <c r="AJ144" s="79">
        <f>IF($C144="","",IFERROR(AVERAGE(AE144:AI144),""))</f>
        <v/>
      </c>
      <c r="AK144" s="80">
        <f>IF($C144="","",IF(ISNUMBER($AD144)*ISNUMBER($N144)*($AD144&lt;&gt;0)=0,"",$N144/$AD144))</f>
        <v/>
      </c>
      <c r="AL144" s="79">
        <f>IF($C144="","",IF(ISNUMBER($AD144)*($AD144&lt;&gt;0)=0,"",$M144/$AD144))</f>
        <v/>
      </c>
      <c r="AM144" s="37">
        <f>IF($C144="","",IF(ISNUMBER($AE144)*ISNUMBER($AI144)=0,"",IF($AI144&gt;$AE144+0.05,"rising",IF($AI144&lt;$AE144-0.05,"falling","stable"))))</f>
        <v/>
      </c>
      <c r="AN144" s="81">
        <f>IF($C144="","",IF(PULL_FUND="N","",IF(COUNTIFS('Fund History'!$G$804:$G$808,"&gt;="&amp;DATE(YEAR_Y-4,1,1),'Fund History'!$G$804:$G$808,"&lt;="&amp;DATE(YEAR_Y-4,12,31))=0,"",SUMIFS('Fund History'!$H$804:$H$808,'Fund History'!$G$804:$G$808,"&gt;="&amp;DATE(YEAR_Y-4,1,1),'Fund History'!$G$804:$G$808,"&lt;="&amp;DATE(YEAR_Y-4,12,31))/100)))</f>
        <v/>
      </c>
      <c r="AO144" s="82">
        <f>IF($C144="","",IF(PULL_FUND="N","",IF(COUNTIFS('Fund History'!$G$804:$G$808,"&gt;="&amp;DATE(YEAR_Y-3,1,1),'Fund History'!$G$804:$G$808,"&lt;="&amp;DATE(YEAR_Y-3,12,31))=0,"",SUMIFS('Fund History'!$H$804:$H$808,'Fund History'!$G$804:$G$808,"&gt;="&amp;DATE(YEAR_Y-3,1,1),'Fund History'!$G$804:$G$808,"&lt;="&amp;DATE(YEAR_Y-3,12,31))/100)))</f>
        <v/>
      </c>
      <c r="AP144" s="82">
        <f>IF($C144="","",IF(PULL_FUND="N","",IF(COUNTIFS('Fund History'!$G$804:$G$808,"&gt;="&amp;DATE(YEAR_Y-2,1,1),'Fund History'!$G$804:$G$808,"&lt;="&amp;DATE(YEAR_Y-2,12,31))=0,"",SUMIFS('Fund History'!$H$804:$H$808,'Fund History'!$G$804:$G$808,"&gt;="&amp;DATE(YEAR_Y-2,1,1),'Fund History'!$G$804:$G$808,"&lt;="&amp;DATE(YEAR_Y-2,12,31))/100)))</f>
        <v/>
      </c>
      <c r="AQ144" s="82">
        <f>IF($C144="","",IF(PULL_FUND="N","",IF(COUNTIFS('Fund History'!$G$804:$G$808,"&gt;="&amp;DATE(YEAR_Y-1,1,1),'Fund History'!$G$804:$G$808,"&lt;="&amp;DATE(YEAR_Y-1,12,31))=0,"",SUMIFS('Fund History'!$H$804:$H$808,'Fund History'!$G$804:$G$808,"&gt;="&amp;DATE(YEAR_Y-1,1,1),'Fund History'!$G$804:$G$808,"&lt;="&amp;DATE(YEAR_Y-1,12,31))/100)))</f>
        <v/>
      </c>
      <c r="AR144" s="83">
        <f>IF($C144="","",IF(N($AQ144)+N(HSTECH!$I$39)=0,"",N($AQ144)+N(HSTECH!$I$39)/100))</f>
        <v/>
      </c>
      <c r="AS144" s="75">
        <f>IF($C144="","",IF(PULL_FUND="N","",IF(COUNTIFS('Fund History'!$D$804:$D$808,"&gt;="&amp;DATE(YEAR_Y-2,1,1),'Fund History'!$D$804:$D$808,"&lt;="&amp;DATE(YEAR_Y-2,12,31))=0,"",SUMIFS('Fund History'!$E$804:$E$808,'Fund History'!$D$804:$D$808,"&gt;="&amp;DATE(YEAR_Y-2,1,1),'Fund History'!$D$804:$D$808,"&lt;="&amp;DATE(YEAR_Y-2,12,31)))))</f>
        <v/>
      </c>
      <c r="AT144" s="76">
        <f>IF($C144="","",IF(PULL_FUND="N","",IF(COUNTIFS('Fund History'!$D$804:$D$808,"&gt;="&amp;DATE(YEAR_Y-1,1,1),'Fund History'!$D$804:$D$808,"&lt;="&amp;DATE(YEAR_Y-1,12,31))=0,"",SUMIFS('Fund History'!$E$804:$E$808,'Fund History'!$D$804:$D$808,"&gt;="&amp;DATE(YEAR_Y-1,1,1),'Fund History'!$D$804:$D$808,"&lt;="&amp;DATE(YEAR_Y-1,12,31)))))</f>
        <v/>
      </c>
      <c r="AU144" s="76">
        <f>IF($C144="","",IF(PULL_FUND="N","",IFERROR(BDP($C144,NDEBITDA_FIELD),"")))</f>
        <v/>
      </c>
      <c r="AV144" s="84">
        <f>IF($C144="","",IF(PULL_FUND="N","",IFERROR(BDP($C144,EBINT_FIELD),"")))</f>
        <v/>
      </c>
      <c r="AW144" s="82">
        <f>IF($C144="","",IF(PULL_FUND="N","",IFERROR(BDP($C144,FCF_FIELD)/100,"")))</f>
        <v/>
      </c>
      <c r="AX144" s="50">
        <f>IF($C144="","",IF(N($U144)=0,"",IFERROR($AW144/$U144,"")))</f>
        <v/>
      </c>
      <c r="AY144" s="85">
        <f>IF($C144="","",TRIM(IF(ISNUMBER($AJ144)*(N($AJ144)&gt;$D$4)&gt;0,"payout high  ","")&amp;IF(ISNUMBER($AX144)*(N($AX144)&lt;$F$4)&gt;0,"FCF below dvd  ","")&amp;IF(ISNUMBER($AU144)*(N($AU144)&gt;$H$4)&gt;0,"leverage high","")))</f>
        <v/>
      </c>
      <c r="AZ144" s="86">
        <f>IF($C144="","",IF(HSTECH!$F$39="HKD","",HSTECH!$F$39))</f>
        <v/>
      </c>
    </row>
    <row r="145">
      <c r="B145" s="66" t="inlineStr">
        <is>
          <t>HSTECH</t>
        </is>
      </c>
      <c r="C145" s="8">
        <f>IF(HSTECH!$C$40="","",HSTECH!$C$40)</f>
        <v/>
      </c>
      <c r="D145" s="8">
        <f>IF($C145="","",HSTECH!$D$40)</f>
        <v/>
      </c>
      <c r="E145" s="8">
        <f>IF($C145="","",HSTECH!$E$40)</f>
        <v/>
      </c>
      <c r="F145" s="67">
        <f>IF($C145="","",SUMPRODUCT(('Dvd Calendar'!$E$1479:$AR$1479&gt;=DATE(YEAR_Y-5,1,1))*('Dvd Calendar'!$E$1479:$AR$1479&lt;=DATE(YEAR_Y-5,12,31))*'Dvd Calendar'!$E$1482:$AR$1482*(('Dvd Calendar'!$E$1484:$AR$1484=TYPE1)*(TYPE1&lt;&gt;"")+('Dvd Calendar'!$E$1484:$AR$1484=TYPE2)*(TYPE2&lt;&gt;"")+('Dvd Calendar'!$E$1484:$AR$1484=TYPE3)*(TYPE3&lt;&gt;"")+('Dvd Calendar'!$E$1484:$AR$1484=TYPE4)*(TYPE4&lt;&gt;"")+('Dvd Calendar'!$E$1484:$AR$1484=SPECIAL_LBL)*(INC_SPECIALS="Y"))))</f>
        <v/>
      </c>
      <c r="G145" s="68">
        <f>IF($C145="","",SUMPRODUCT(('Dvd Calendar'!$E$1479:$AR$1479&gt;=DATE(YEAR_Y-4,1,1))*('Dvd Calendar'!$E$1479:$AR$1479&lt;=DATE(YEAR_Y-4,12,31))*'Dvd Calendar'!$E$1482:$AR$1482*(('Dvd Calendar'!$E$1484:$AR$1484=TYPE1)*(TYPE1&lt;&gt;"")+('Dvd Calendar'!$E$1484:$AR$1484=TYPE2)*(TYPE2&lt;&gt;"")+('Dvd Calendar'!$E$1484:$AR$1484=TYPE3)*(TYPE3&lt;&gt;"")+('Dvd Calendar'!$E$1484:$AR$1484=TYPE4)*(TYPE4&lt;&gt;"")+('Dvd Calendar'!$E$1484:$AR$1484=SPECIAL_LBL)*(INC_SPECIALS="Y"))))</f>
        <v/>
      </c>
      <c r="H145" s="68">
        <f>IF($C145="","",SUMPRODUCT(('Dvd Calendar'!$E$1479:$AR$1479&gt;=DATE(YEAR_Y-3,1,1))*('Dvd Calendar'!$E$1479:$AR$1479&lt;=DATE(YEAR_Y-3,12,31))*'Dvd Calendar'!$E$1482:$AR$1482*(('Dvd Calendar'!$E$1484:$AR$1484=TYPE1)*(TYPE1&lt;&gt;"")+('Dvd Calendar'!$E$1484:$AR$1484=TYPE2)*(TYPE2&lt;&gt;"")+('Dvd Calendar'!$E$1484:$AR$1484=TYPE3)*(TYPE3&lt;&gt;"")+('Dvd Calendar'!$E$1484:$AR$1484=TYPE4)*(TYPE4&lt;&gt;"")+('Dvd Calendar'!$E$1484:$AR$1484=SPECIAL_LBL)*(INC_SPECIALS="Y"))))</f>
        <v/>
      </c>
      <c r="I145" s="68">
        <f>IF($C145="","",SUMPRODUCT(('Dvd Calendar'!$E$1479:$AR$1479&gt;=DATE(YEAR_Y-2,1,1))*('Dvd Calendar'!$E$1479:$AR$1479&lt;=DATE(YEAR_Y-2,12,31))*'Dvd Calendar'!$E$1482:$AR$1482*(('Dvd Calendar'!$E$1484:$AR$1484=TYPE1)*(TYPE1&lt;&gt;"")+('Dvd Calendar'!$E$1484:$AR$1484=TYPE2)*(TYPE2&lt;&gt;"")+('Dvd Calendar'!$E$1484:$AR$1484=TYPE3)*(TYPE3&lt;&gt;"")+('Dvd Calendar'!$E$1484:$AR$1484=TYPE4)*(TYPE4&lt;&gt;"")+('Dvd Calendar'!$E$1484:$AR$1484=SPECIAL_LBL)*(INC_SPECIALS="Y"))))</f>
        <v/>
      </c>
      <c r="J145" s="68">
        <f>IF($C145="","",SUMPRODUCT(('Dvd Calendar'!$E$1479:$AR$1479&gt;=DATE(YEAR_Y-1,1,1))*('Dvd Calendar'!$E$1479:$AR$1479&lt;=DATE(YEAR_Y-1,12,31))*'Dvd Calendar'!$E$1482:$AR$1482*(('Dvd Calendar'!$E$1484:$AR$1484=TYPE1)*(TYPE1&lt;&gt;"")+('Dvd Calendar'!$E$1484:$AR$1484=TYPE2)*(TYPE2&lt;&gt;"")+('Dvd Calendar'!$E$1484:$AR$1484=TYPE3)*(TYPE3&lt;&gt;"")+('Dvd Calendar'!$E$1484:$AR$1484=TYPE4)*(TYPE4&lt;&gt;"")+('Dvd Calendar'!$E$1484:$AR$1484=SPECIAL_LBL)*(INC_SPECIALS="Y"))))</f>
        <v/>
      </c>
      <c r="K145" s="69">
        <f>IF($C145="","",HSTECH!$J$40)</f>
        <v/>
      </c>
      <c r="L145" s="69">
        <f>IF($C145="","",HSTECH!$K$40)</f>
        <v/>
      </c>
      <c r="M145" s="44">
        <f>IF($C145="","",HSTECH!$J$40+HSTECH!$L$40)</f>
        <v/>
      </c>
      <c r="N145" s="70">
        <f>IF($C145="","",IF(PULL_FUND="N","",IFERROR(BDP($C145,BESTDPS_FIELD,FWD_OVERRIDE,TEXT(MOD(YEAR_Y,100),"00")&amp;"Y"),"")))</f>
        <v/>
      </c>
      <c r="O145" s="69">
        <f>IF($C145="","",AVERAGE(F145:J145))</f>
        <v/>
      </c>
      <c r="P145" s="71">
        <f>IF($C145="","",IF(PULL_FUND="N","",IF(COUNTIFS('Fund History'!$J$810:$J$814,"&gt;="&amp;DATE(YEAR_Y-5,1,1),'Fund History'!$J$810:$J$814,"&lt;="&amp;DATE(YEAR_Y-5,12,31))=0,"",IFERROR($F145*HSTECH!$G$40/SUMIFS('Fund History'!$K$810:$K$814,'Fund History'!$J$810:$J$814,"&gt;="&amp;DATE(YEAR_Y-5,1,1),'Fund History'!$J$810:$J$814,"&lt;="&amp;DATE(YEAR_Y-5,12,31)),""))))</f>
        <v/>
      </c>
      <c r="Q145" s="72">
        <f>IF($C145="","",IF(PULL_FUND="N","",IF(COUNTIFS('Fund History'!$J$810:$J$814,"&gt;="&amp;DATE(YEAR_Y-4,1,1),'Fund History'!$J$810:$J$814,"&lt;="&amp;DATE(YEAR_Y-4,12,31))=0,"",IFERROR($G145*HSTECH!$G$40/SUMIFS('Fund History'!$K$810:$K$814,'Fund History'!$J$810:$J$814,"&gt;="&amp;DATE(YEAR_Y-4,1,1),'Fund History'!$J$810:$J$814,"&lt;="&amp;DATE(YEAR_Y-4,12,31)),""))))</f>
        <v/>
      </c>
      <c r="R145" s="72">
        <f>IF($C145="","",IF(PULL_FUND="N","",IF(COUNTIFS('Fund History'!$J$810:$J$814,"&gt;="&amp;DATE(YEAR_Y-3,1,1),'Fund History'!$J$810:$J$814,"&lt;="&amp;DATE(YEAR_Y-3,12,31))=0,"",IFERROR($H145*HSTECH!$G$40/SUMIFS('Fund History'!$K$810:$K$814,'Fund History'!$J$810:$J$814,"&gt;="&amp;DATE(YEAR_Y-3,1,1),'Fund History'!$J$810:$J$814,"&lt;="&amp;DATE(YEAR_Y-3,12,31)),""))))</f>
        <v/>
      </c>
      <c r="S145" s="72">
        <f>IF($C145="","",IF(PULL_FUND="N","",IF(COUNTIFS('Fund History'!$J$810:$J$814,"&gt;="&amp;DATE(YEAR_Y-2,1,1),'Fund History'!$J$810:$J$814,"&lt;="&amp;DATE(YEAR_Y-2,12,31))=0,"",IFERROR($I145*HSTECH!$G$40/SUMIFS('Fund History'!$K$810:$K$814,'Fund History'!$J$810:$J$814,"&gt;="&amp;DATE(YEAR_Y-2,1,1),'Fund History'!$J$810:$J$814,"&lt;="&amp;DATE(YEAR_Y-2,12,31)),""))))</f>
        <v/>
      </c>
      <c r="T145" s="72">
        <f>IF($C145="","",IF(PULL_FUND="N","",IF(COUNTIFS('Fund History'!$J$810:$J$814,"&gt;="&amp;DATE(YEAR_Y-1,1,1),'Fund History'!$J$810:$J$814,"&lt;="&amp;DATE(YEAR_Y-1,12,31))=0,"",IFERROR($J145*HSTECH!$G$40/SUMIFS('Fund History'!$K$810:$K$814,'Fund History'!$J$810:$J$814,"&gt;="&amp;DATE(YEAR_Y-1,1,1),'Fund History'!$J$810:$J$814,"&lt;="&amp;DATE(YEAR_Y-1,12,31)),""))))</f>
        <v/>
      </c>
      <c r="U145" s="73">
        <f>IF($C145="","",IF(ISNUMBER(HSTECH!$I$40),HSTECH!$I$40/100,""))</f>
        <v/>
      </c>
      <c r="V145" s="74">
        <f>IF($C145="","",IF(ISNUMBER(HSTECH!$X$40),IFERROR($M145*HSTECH!$G$40/HSTECH!$X$40,""),""))</f>
        <v/>
      </c>
      <c r="W145" s="73">
        <f>IF($C145="","",IF(ISNUMBER($N145),IFERROR($N145*HSTECH!$G$40/HSTECH!$X$40,""),""))</f>
        <v/>
      </c>
      <c r="X145" s="75">
        <f>IF($C145="","",IF(PULL_FUND="N","",IFERROR(BDP($C145,EPS_FIELD,YR_OVERRIDE,TEXT(YEAR_Y-5,"0")),"")))</f>
        <v/>
      </c>
      <c r="Y145" s="76">
        <f>IF($C145="","",IF(PULL_FUND="N","",IFERROR(BDP($C145,EPS_FIELD,YR_OVERRIDE,TEXT(YEAR_Y-4,"0")),"")))</f>
        <v/>
      </c>
      <c r="Z145" s="76">
        <f>IF($C145="","",IF(PULL_FUND="N","",IFERROR(BDP($C145,EPS_FIELD,YR_OVERRIDE,TEXT(YEAR_Y-3,"0")),"")))</f>
        <v/>
      </c>
      <c r="AA145" s="76">
        <f>IF($C145="","",IF(PULL_FUND="N","",IFERROR(BDP($C145,EPS_FIELD,YR_OVERRIDE,TEXT(YEAR_Y-2,"0")),"")))</f>
        <v/>
      </c>
      <c r="AB145" s="76">
        <f>IF($C145="","",IF(PULL_FUND="N","",IFERROR(BDP($C145,EPS_FIELD,YR_OVERRIDE,TEXT(YEAR_Y-1,"0")),"")))</f>
        <v/>
      </c>
      <c r="AC145" s="50">
        <f>IF($C145="","",IFERROR(AVERAGE(X145:AB145),""))</f>
        <v/>
      </c>
      <c r="AD145" s="76">
        <f>IF($C145="","",IF(PULL_FUND="N","",IFERROR(BDP($C145,BESTEPS_FIELD,FWD_OVERRIDE,TEXT(MOD(YEAR_Y,100),"00")&amp;"Y"),"")))</f>
        <v/>
      </c>
      <c r="AE145" s="77">
        <f>IF($C145="","",IF(PULL_FUND="N","",IFERROR(BDP($C145,PAYOUT_FIELD,YR_OVERRIDE,TEXT(YEAR_Y-5,"0"))/100,"")))</f>
        <v/>
      </c>
      <c r="AF145" s="78">
        <f>IF($C145="","",IF(PULL_FUND="N","",IFERROR(BDP($C145,PAYOUT_FIELD,YR_OVERRIDE,TEXT(YEAR_Y-4,"0"))/100,"")))</f>
        <v/>
      </c>
      <c r="AG145" s="78">
        <f>IF($C145="","",IF(PULL_FUND="N","",IFERROR(BDP($C145,PAYOUT_FIELD,YR_OVERRIDE,TEXT(YEAR_Y-3,"0"))/100,"")))</f>
        <v/>
      </c>
      <c r="AH145" s="78">
        <f>IF($C145="","",IF(PULL_FUND="N","",IFERROR(BDP($C145,PAYOUT_FIELD,YR_OVERRIDE,TEXT(YEAR_Y-2,"0"))/100,"")))</f>
        <v/>
      </c>
      <c r="AI145" s="78">
        <f>IF($C145="","",IF(PULL_FUND="N","",IFERROR(BDP($C145,PAYOUT_FIELD,YR_OVERRIDE,TEXT(YEAR_Y-1,"0"))/100,"")))</f>
        <v/>
      </c>
      <c r="AJ145" s="79">
        <f>IF($C145="","",IFERROR(AVERAGE(AE145:AI145),""))</f>
        <v/>
      </c>
      <c r="AK145" s="80">
        <f>IF($C145="","",IF(ISNUMBER($AD145)*ISNUMBER($N145)*($AD145&lt;&gt;0)=0,"",$N145/$AD145))</f>
        <v/>
      </c>
      <c r="AL145" s="79">
        <f>IF($C145="","",IF(ISNUMBER($AD145)*($AD145&lt;&gt;0)=0,"",$M145/$AD145))</f>
        <v/>
      </c>
      <c r="AM145" s="37">
        <f>IF($C145="","",IF(ISNUMBER($AE145)*ISNUMBER($AI145)=0,"",IF($AI145&gt;$AE145+0.05,"rising",IF($AI145&lt;$AE145-0.05,"falling","stable"))))</f>
        <v/>
      </c>
      <c r="AN145" s="81">
        <f>IF($C145="","",IF(PULL_FUND="N","",IF(COUNTIFS('Fund History'!$G$810:$G$814,"&gt;="&amp;DATE(YEAR_Y-4,1,1),'Fund History'!$G$810:$G$814,"&lt;="&amp;DATE(YEAR_Y-4,12,31))=0,"",SUMIFS('Fund History'!$H$810:$H$814,'Fund History'!$G$810:$G$814,"&gt;="&amp;DATE(YEAR_Y-4,1,1),'Fund History'!$G$810:$G$814,"&lt;="&amp;DATE(YEAR_Y-4,12,31))/100)))</f>
        <v/>
      </c>
      <c r="AO145" s="82">
        <f>IF($C145="","",IF(PULL_FUND="N","",IF(COUNTIFS('Fund History'!$G$810:$G$814,"&gt;="&amp;DATE(YEAR_Y-3,1,1),'Fund History'!$G$810:$G$814,"&lt;="&amp;DATE(YEAR_Y-3,12,31))=0,"",SUMIFS('Fund History'!$H$810:$H$814,'Fund History'!$G$810:$G$814,"&gt;="&amp;DATE(YEAR_Y-3,1,1),'Fund History'!$G$810:$G$814,"&lt;="&amp;DATE(YEAR_Y-3,12,31))/100)))</f>
        <v/>
      </c>
      <c r="AP145" s="82">
        <f>IF($C145="","",IF(PULL_FUND="N","",IF(COUNTIFS('Fund History'!$G$810:$G$814,"&gt;="&amp;DATE(YEAR_Y-2,1,1),'Fund History'!$G$810:$G$814,"&lt;="&amp;DATE(YEAR_Y-2,12,31))=0,"",SUMIFS('Fund History'!$H$810:$H$814,'Fund History'!$G$810:$G$814,"&gt;="&amp;DATE(YEAR_Y-2,1,1),'Fund History'!$G$810:$G$814,"&lt;="&amp;DATE(YEAR_Y-2,12,31))/100)))</f>
        <v/>
      </c>
      <c r="AQ145" s="82">
        <f>IF($C145="","",IF(PULL_FUND="N","",IF(COUNTIFS('Fund History'!$G$810:$G$814,"&gt;="&amp;DATE(YEAR_Y-1,1,1),'Fund History'!$G$810:$G$814,"&lt;="&amp;DATE(YEAR_Y-1,12,31))=0,"",SUMIFS('Fund History'!$H$810:$H$814,'Fund History'!$G$810:$G$814,"&gt;="&amp;DATE(YEAR_Y-1,1,1),'Fund History'!$G$810:$G$814,"&lt;="&amp;DATE(YEAR_Y-1,12,31))/100)))</f>
        <v/>
      </c>
      <c r="AR145" s="83">
        <f>IF($C145="","",IF(N($AQ145)+N(HSTECH!$I$40)=0,"",N($AQ145)+N(HSTECH!$I$40)/100))</f>
        <v/>
      </c>
      <c r="AS145" s="75">
        <f>IF($C145="","",IF(PULL_FUND="N","",IF(COUNTIFS('Fund History'!$D$810:$D$814,"&gt;="&amp;DATE(YEAR_Y-2,1,1),'Fund History'!$D$810:$D$814,"&lt;="&amp;DATE(YEAR_Y-2,12,31))=0,"",SUMIFS('Fund History'!$E$810:$E$814,'Fund History'!$D$810:$D$814,"&gt;="&amp;DATE(YEAR_Y-2,1,1),'Fund History'!$D$810:$D$814,"&lt;="&amp;DATE(YEAR_Y-2,12,31)))))</f>
        <v/>
      </c>
      <c r="AT145" s="76">
        <f>IF($C145="","",IF(PULL_FUND="N","",IF(COUNTIFS('Fund History'!$D$810:$D$814,"&gt;="&amp;DATE(YEAR_Y-1,1,1),'Fund History'!$D$810:$D$814,"&lt;="&amp;DATE(YEAR_Y-1,12,31))=0,"",SUMIFS('Fund History'!$E$810:$E$814,'Fund History'!$D$810:$D$814,"&gt;="&amp;DATE(YEAR_Y-1,1,1),'Fund History'!$D$810:$D$814,"&lt;="&amp;DATE(YEAR_Y-1,12,31)))))</f>
        <v/>
      </c>
      <c r="AU145" s="76">
        <f>IF($C145="","",IF(PULL_FUND="N","",IFERROR(BDP($C145,NDEBITDA_FIELD),"")))</f>
        <v/>
      </c>
      <c r="AV145" s="84">
        <f>IF($C145="","",IF(PULL_FUND="N","",IFERROR(BDP($C145,EBINT_FIELD),"")))</f>
        <v/>
      </c>
      <c r="AW145" s="82">
        <f>IF($C145="","",IF(PULL_FUND="N","",IFERROR(BDP($C145,FCF_FIELD)/100,"")))</f>
        <v/>
      </c>
      <c r="AX145" s="50">
        <f>IF($C145="","",IF(N($U145)=0,"",IFERROR($AW145/$U145,"")))</f>
        <v/>
      </c>
      <c r="AY145" s="85">
        <f>IF($C145="","",TRIM(IF(ISNUMBER($AJ145)*(N($AJ145)&gt;$D$4)&gt;0,"payout high  ","")&amp;IF(ISNUMBER($AX145)*(N($AX145)&lt;$F$4)&gt;0,"FCF below dvd  ","")&amp;IF(ISNUMBER($AU145)*(N($AU145)&gt;$H$4)&gt;0,"leverage high","")))</f>
        <v/>
      </c>
      <c r="AZ145" s="86">
        <f>IF($C145="","",IF(HSTECH!$F$40="HKD","",HSTECH!$F$40))</f>
        <v/>
      </c>
    </row>
    <row r="146">
      <c r="B146" s="66" t="inlineStr">
        <is>
          <t>HSTECH</t>
        </is>
      </c>
      <c r="C146" s="8">
        <f>IF(HSTECH!$C$41="","",HSTECH!$C$41)</f>
        <v/>
      </c>
      <c r="D146" s="8">
        <f>IF($C146="","",HSTECH!$D$41)</f>
        <v/>
      </c>
      <c r="E146" s="8">
        <f>IF($C146="","",HSTECH!$E$41)</f>
        <v/>
      </c>
      <c r="F146" s="67">
        <f>IF($C146="","",SUMPRODUCT(('Dvd Calendar'!$E$1490:$AR$1490&gt;=DATE(YEAR_Y-5,1,1))*('Dvd Calendar'!$E$1490:$AR$1490&lt;=DATE(YEAR_Y-5,12,31))*'Dvd Calendar'!$E$1493:$AR$1493*(('Dvd Calendar'!$E$1495:$AR$1495=TYPE1)*(TYPE1&lt;&gt;"")+('Dvd Calendar'!$E$1495:$AR$1495=TYPE2)*(TYPE2&lt;&gt;"")+('Dvd Calendar'!$E$1495:$AR$1495=TYPE3)*(TYPE3&lt;&gt;"")+('Dvd Calendar'!$E$1495:$AR$1495=TYPE4)*(TYPE4&lt;&gt;"")+('Dvd Calendar'!$E$1495:$AR$1495=SPECIAL_LBL)*(INC_SPECIALS="Y"))))</f>
        <v/>
      </c>
      <c r="G146" s="68">
        <f>IF($C146="","",SUMPRODUCT(('Dvd Calendar'!$E$1490:$AR$1490&gt;=DATE(YEAR_Y-4,1,1))*('Dvd Calendar'!$E$1490:$AR$1490&lt;=DATE(YEAR_Y-4,12,31))*'Dvd Calendar'!$E$1493:$AR$1493*(('Dvd Calendar'!$E$1495:$AR$1495=TYPE1)*(TYPE1&lt;&gt;"")+('Dvd Calendar'!$E$1495:$AR$1495=TYPE2)*(TYPE2&lt;&gt;"")+('Dvd Calendar'!$E$1495:$AR$1495=TYPE3)*(TYPE3&lt;&gt;"")+('Dvd Calendar'!$E$1495:$AR$1495=TYPE4)*(TYPE4&lt;&gt;"")+('Dvd Calendar'!$E$1495:$AR$1495=SPECIAL_LBL)*(INC_SPECIALS="Y"))))</f>
        <v/>
      </c>
      <c r="H146" s="68">
        <f>IF($C146="","",SUMPRODUCT(('Dvd Calendar'!$E$1490:$AR$1490&gt;=DATE(YEAR_Y-3,1,1))*('Dvd Calendar'!$E$1490:$AR$1490&lt;=DATE(YEAR_Y-3,12,31))*'Dvd Calendar'!$E$1493:$AR$1493*(('Dvd Calendar'!$E$1495:$AR$1495=TYPE1)*(TYPE1&lt;&gt;"")+('Dvd Calendar'!$E$1495:$AR$1495=TYPE2)*(TYPE2&lt;&gt;"")+('Dvd Calendar'!$E$1495:$AR$1495=TYPE3)*(TYPE3&lt;&gt;"")+('Dvd Calendar'!$E$1495:$AR$1495=TYPE4)*(TYPE4&lt;&gt;"")+('Dvd Calendar'!$E$1495:$AR$1495=SPECIAL_LBL)*(INC_SPECIALS="Y"))))</f>
        <v/>
      </c>
      <c r="I146" s="68">
        <f>IF($C146="","",SUMPRODUCT(('Dvd Calendar'!$E$1490:$AR$1490&gt;=DATE(YEAR_Y-2,1,1))*('Dvd Calendar'!$E$1490:$AR$1490&lt;=DATE(YEAR_Y-2,12,31))*'Dvd Calendar'!$E$1493:$AR$1493*(('Dvd Calendar'!$E$1495:$AR$1495=TYPE1)*(TYPE1&lt;&gt;"")+('Dvd Calendar'!$E$1495:$AR$1495=TYPE2)*(TYPE2&lt;&gt;"")+('Dvd Calendar'!$E$1495:$AR$1495=TYPE3)*(TYPE3&lt;&gt;"")+('Dvd Calendar'!$E$1495:$AR$1495=TYPE4)*(TYPE4&lt;&gt;"")+('Dvd Calendar'!$E$1495:$AR$1495=SPECIAL_LBL)*(INC_SPECIALS="Y"))))</f>
        <v/>
      </c>
      <c r="J146" s="68">
        <f>IF($C146="","",SUMPRODUCT(('Dvd Calendar'!$E$1490:$AR$1490&gt;=DATE(YEAR_Y-1,1,1))*('Dvd Calendar'!$E$1490:$AR$1490&lt;=DATE(YEAR_Y-1,12,31))*'Dvd Calendar'!$E$1493:$AR$1493*(('Dvd Calendar'!$E$1495:$AR$1495=TYPE1)*(TYPE1&lt;&gt;"")+('Dvd Calendar'!$E$1495:$AR$1495=TYPE2)*(TYPE2&lt;&gt;"")+('Dvd Calendar'!$E$1495:$AR$1495=TYPE3)*(TYPE3&lt;&gt;"")+('Dvd Calendar'!$E$1495:$AR$1495=TYPE4)*(TYPE4&lt;&gt;"")+('Dvd Calendar'!$E$1495:$AR$1495=SPECIAL_LBL)*(INC_SPECIALS="Y"))))</f>
        <v/>
      </c>
      <c r="K146" s="69">
        <f>IF($C146="","",HSTECH!$J$41)</f>
        <v/>
      </c>
      <c r="L146" s="69">
        <f>IF($C146="","",HSTECH!$K$41)</f>
        <v/>
      </c>
      <c r="M146" s="44">
        <f>IF($C146="","",HSTECH!$J$41+HSTECH!$L$41)</f>
        <v/>
      </c>
      <c r="N146" s="70">
        <f>IF($C146="","",IF(PULL_FUND="N","",IFERROR(BDP($C146,BESTDPS_FIELD,FWD_OVERRIDE,TEXT(MOD(YEAR_Y,100),"00")&amp;"Y"),"")))</f>
        <v/>
      </c>
      <c r="O146" s="69">
        <f>IF($C146="","",AVERAGE(F146:J146))</f>
        <v/>
      </c>
      <c r="P146" s="71">
        <f>IF($C146="","",IF(PULL_FUND="N","",IF(COUNTIFS('Fund History'!$J$816:$J$820,"&gt;="&amp;DATE(YEAR_Y-5,1,1),'Fund History'!$J$816:$J$820,"&lt;="&amp;DATE(YEAR_Y-5,12,31))=0,"",IFERROR($F146*HSTECH!$G$41/SUMIFS('Fund History'!$K$816:$K$820,'Fund History'!$J$816:$J$820,"&gt;="&amp;DATE(YEAR_Y-5,1,1),'Fund History'!$J$816:$J$820,"&lt;="&amp;DATE(YEAR_Y-5,12,31)),""))))</f>
        <v/>
      </c>
      <c r="Q146" s="72">
        <f>IF($C146="","",IF(PULL_FUND="N","",IF(COUNTIFS('Fund History'!$J$816:$J$820,"&gt;="&amp;DATE(YEAR_Y-4,1,1),'Fund History'!$J$816:$J$820,"&lt;="&amp;DATE(YEAR_Y-4,12,31))=0,"",IFERROR($G146*HSTECH!$G$41/SUMIFS('Fund History'!$K$816:$K$820,'Fund History'!$J$816:$J$820,"&gt;="&amp;DATE(YEAR_Y-4,1,1),'Fund History'!$J$816:$J$820,"&lt;="&amp;DATE(YEAR_Y-4,12,31)),""))))</f>
        <v/>
      </c>
      <c r="R146" s="72">
        <f>IF($C146="","",IF(PULL_FUND="N","",IF(COUNTIFS('Fund History'!$J$816:$J$820,"&gt;="&amp;DATE(YEAR_Y-3,1,1),'Fund History'!$J$816:$J$820,"&lt;="&amp;DATE(YEAR_Y-3,12,31))=0,"",IFERROR($H146*HSTECH!$G$41/SUMIFS('Fund History'!$K$816:$K$820,'Fund History'!$J$816:$J$820,"&gt;="&amp;DATE(YEAR_Y-3,1,1),'Fund History'!$J$816:$J$820,"&lt;="&amp;DATE(YEAR_Y-3,12,31)),""))))</f>
        <v/>
      </c>
      <c r="S146" s="72">
        <f>IF($C146="","",IF(PULL_FUND="N","",IF(COUNTIFS('Fund History'!$J$816:$J$820,"&gt;="&amp;DATE(YEAR_Y-2,1,1),'Fund History'!$J$816:$J$820,"&lt;="&amp;DATE(YEAR_Y-2,12,31))=0,"",IFERROR($I146*HSTECH!$G$41/SUMIFS('Fund History'!$K$816:$K$820,'Fund History'!$J$816:$J$820,"&gt;="&amp;DATE(YEAR_Y-2,1,1),'Fund History'!$J$816:$J$820,"&lt;="&amp;DATE(YEAR_Y-2,12,31)),""))))</f>
        <v/>
      </c>
      <c r="T146" s="72">
        <f>IF($C146="","",IF(PULL_FUND="N","",IF(COUNTIFS('Fund History'!$J$816:$J$820,"&gt;="&amp;DATE(YEAR_Y-1,1,1),'Fund History'!$J$816:$J$820,"&lt;="&amp;DATE(YEAR_Y-1,12,31))=0,"",IFERROR($J146*HSTECH!$G$41/SUMIFS('Fund History'!$K$816:$K$820,'Fund History'!$J$816:$J$820,"&gt;="&amp;DATE(YEAR_Y-1,1,1),'Fund History'!$J$816:$J$820,"&lt;="&amp;DATE(YEAR_Y-1,12,31)),""))))</f>
        <v/>
      </c>
      <c r="U146" s="73">
        <f>IF($C146="","",IF(ISNUMBER(HSTECH!$I$41),HSTECH!$I$41/100,""))</f>
        <v/>
      </c>
      <c r="V146" s="74">
        <f>IF($C146="","",IF(ISNUMBER(HSTECH!$X$41),IFERROR($M146*HSTECH!$G$41/HSTECH!$X$41,""),""))</f>
        <v/>
      </c>
      <c r="W146" s="73">
        <f>IF($C146="","",IF(ISNUMBER($N146),IFERROR($N146*HSTECH!$G$41/HSTECH!$X$41,""),""))</f>
        <v/>
      </c>
      <c r="X146" s="75">
        <f>IF($C146="","",IF(PULL_FUND="N","",IFERROR(BDP($C146,EPS_FIELD,YR_OVERRIDE,TEXT(YEAR_Y-5,"0")),"")))</f>
        <v/>
      </c>
      <c r="Y146" s="76">
        <f>IF($C146="","",IF(PULL_FUND="N","",IFERROR(BDP($C146,EPS_FIELD,YR_OVERRIDE,TEXT(YEAR_Y-4,"0")),"")))</f>
        <v/>
      </c>
      <c r="Z146" s="76">
        <f>IF($C146="","",IF(PULL_FUND="N","",IFERROR(BDP($C146,EPS_FIELD,YR_OVERRIDE,TEXT(YEAR_Y-3,"0")),"")))</f>
        <v/>
      </c>
      <c r="AA146" s="76">
        <f>IF($C146="","",IF(PULL_FUND="N","",IFERROR(BDP($C146,EPS_FIELD,YR_OVERRIDE,TEXT(YEAR_Y-2,"0")),"")))</f>
        <v/>
      </c>
      <c r="AB146" s="76">
        <f>IF($C146="","",IF(PULL_FUND="N","",IFERROR(BDP($C146,EPS_FIELD,YR_OVERRIDE,TEXT(YEAR_Y-1,"0")),"")))</f>
        <v/>
      </c>
      <c r="AC146" s="50">
        <f>IF($C146="","",IFERROR(AVERAGE(X146:AB146),""))</f>
        <v/>
      </c>
      <c r="AD146" s="76">
        <f>IF($C146="","",IF(PULL_FUND="N","",IFERROR(BDP($C146,BESTEPS_FIELD,FWD_OVERRIDE,TEXT(MOD(YEAR_Y,100),"00")&amp;"Y"),"")))</f>
        <v/>
      </c>
      <c r="AE146" s="77">
        <f>IF($C146="","",IF(PULL_FUND="N","",IFERROR(BDP($C146,PAYOUT_FIELD,YR_OVERRIDE,TEXT(YEAR_Y-5,"0"))/100,"")))</f>
        <v/>
      </c>
      <c r="AF146" s="78">
        <f>IF($C146="","",IF(PULL_FUND="N","",IFERROR(BDP($C146,PAYOUT_FIELD,YR_OVERRIDE,TEXT(YEAR_Y-4,"0"))/100,"")))</f>
        <v/>
      </c>
      <c r="AG146" s="78">
        <f>IF($C146="","",IF(PULL_FUND="N","",IFERROR(BDP($C146,PAYOUT_FIELD,YR_OVERRIDE,TEXT(YEAR_Y-3,"0"))/100,"")))</f>
        <v/>
      </c>
      <c r="AH146" s="78">
        <f>IF($C146="","",IF(PULL_FUND="N","",IFERROR(BDP($C146,PAYOUT_FIELD,YR_OVERRIDE,TEXT(YEAR_Y-2,"0"))/100,"")))</f>
        <v/>
      </c>
      <c r="AI146" s="78">
        <f>IF($C146="","",IF(PULL_FUND="N","",IFERROR(BDP($C146,PAYOUT_FIELD,YR_OVERRIDE,TEXT(YEAR_Y-1,"0"))/100,"")))</f>
        <v/>
      </c>
      <c r="AJ146" s="79">
        <f>IF($C146="","",IFERROR(AVERAGE(AE146:AI146),""))</f>
        <v/>
      </c>
      <c r="AK146" s="80">
        <f>IF($C146="","",IF(ISNUMBER($AD146)*ISNUMBER($N146)*($AD146&lt;&gt;0)=0,"",$N146/$AD146))</f>
        <v/>
      </c>
      <c r="AL146" s="79">
        <f>IF($C146="","",IF(ISNUMBER($AD146)*($AD146&lt;&gt;0)=0,"",$M146/$AD146))</f>
        <v/>
      </c>
      <c r="AM146" s="37">
        <f>IF($C146="","",IF(ISNUMBER($AE146)*ISNUMBER($AI146)=0,"",IF($AI146&gt;$AE146+0.05,"rising",IF($AI146&lt;$AE146-0.05,"falling","stable"))))</f>
        <v/>
      </c>
      <c r="AN146" s="81">
        <f>IF($C146="","",IF(PULL_FUND="N","",IF(COUNTIFS('Fund History'!$G$816:$G$820,"&gt;="&amp;DATE(YEAR_Y-4,1,1),'Fund History'!$G$816:$G$820,"&lt;="&amp;DATE(YEAR_Y-4,12,31))=0,"",SUMIFS('Fund History'!$H$816:$H$820,'Fund History'!$G$816:$G$820,"&gt;="&amp;DATE(YEAR_Y-4,1,1),'Fund History'!$G$816:$G$820,"&lt;="&amp;DATE(YEAR_Y-4,12,31))/100)))</f>
        <v/>
      </c>
      <c r="AO146" s="82">
        <f>IF($C146="","",IF(PULL_FUND="N","",IF(COUNTIFS('Fund History'!$G$816:$G$820,"&gt;="&amp;DATE(YEAR_Y-3,1,1),'Fund History'!$G$816:$G$820,"&lt;="&amp;DATE(YEAR_Y-3,12,31))=0,"",SUMIFS('Fund History'!$H$816:$H$820,'Fund History'!$G$816:$G$820,"&gt;="&amp;DATE(YEAR_Y-3,1,1),'Fund History'!$G$816:$G$820,"&lt;="&amp;DATE(YEAR_Y-3,12,31))/100)))</f>
        <v/>
      </c>
      <c r="AP146" s="82">
        <f>IF($C146="","",IF(PULL_FUND="N","",IF(COUNTIFS('Fund History'!$G$816:$G$820,"&gt;="&amp;DATE(YEAR_Y-2,1,1),'Fund History'!$G$816:$G$820,"&lt;="&amp;DATE(YEAR_Y-2,12,31))=0,"",SUMIFS('Fund History'!$H$816:$H$820,'Fund History'!$G$816:$G$820,"&gt;="&amp;DATE(YEAR_Y-2,1,1),'Fund History'!$G$816:$G$820,"&lt;="&amp;DATE(YEAR_Y-2,12,31))/100)))</f>
        <v/>
      </c>
      <c r="AQ146" s="82">
        <f>IF($C146="","",IF(PULL_FUND="N","",IF(COUNTIFS('Fund History'!$G$816:$G$820,"&gt;="&amp;DATE(YEAR_Y-1,1,1),'Fund History'!$G$816:$G$820,"&lt;="&amp;DATE(YEAR_Y-1,12,31))=0,"",SUMIFS('Fund History'!$H$816:$H$820,'Fund History'!$G$816:$G$820,"&gt;="&amp;DATE(YEAR_Y-1,1,1),'Fund History'!$G$816:$G$820,"&lt;="&amp;DATE(YEAR_Y-1,12,31))/100)))</f>
        <v/>
      </c>
      <c r="AR146" s="83">
        <f>IF($C146="","",IF(N($AQ146)+N(HSTECH!$I$41)=0,"",N($AQ146)+N(HSTECH!$I$41)/100))</f>
        <v/>
      </c>
      <c r="AS146" s="75">
        <f>IF($C146="","",IF(PULL_FUND="N","",IF(COUNTIFS('Fund History'!$D$816:$D$820,"&gt;="&amp;DATE(YEAR_Y-2,1,1),'Fund History'!$D$816:$D$820,"&lt;="&amp;DATE(YEAR_Y-2,12,31))=0,"",SUMIFS('Fund History'!$E$816:$E$820,'Fund History'!$D$816:$D$820,"&gt;="&amp;DATE(YEAR_Y-2,1,1),'Fund History'!$D$816:$D$820,"&lt;="&amp;DATE(YEAR_Y-2,12,31)))))</f>
        <v/>
      </c>
      <c r="AT146" s="76">
        <f>IF($C146="","",IF(PULL_FUND="N","",IF(COUNTIFS('Fund History'!$D$816:$D$820,"&gt;="&amp;DATE(YEAR_Y-1,1,1),'Fund History'!$D$816:$D$820,"&lt;="&amp;DATE(YEAR_Y-1,12,31))=0,"",SUMIFS('Fund History'!$E$816:$E$820,'Fund History'!$D$816:$D$820,"&gt;="&amp;DATE(YEAR_Y-1,1,1),'Fund History'!$D$816:$D$820,"&lt;="&amp;DATE(YEAR_Y-1,12,31)))))</f>
        <v/>
      </c>
      <c r="AU146" s="76">
        <f>IF($C146="","",IF(PULL_FUND="N","",IFERROR(BDP($C146,NDEBITDA_FIELD),"")))</f>
        <v/>
      </c>
      <c r="AV146" s="84">
        <f>IF($C146="","",IF(PULL_FUND="N","",IFERROR(BDP($C146,EBINT_FIELD),"")))</f>
        <v/>
      </c>
      <c r="AW146" s="82">
        <f>IF($C146="","",IF(PULL_FUND="N","",IFERROR(BDP($C146,FCF_FIELD)/100,"")))</f>
        <v/>
      </c>
      <c r="AX146" s="50">
        <f>IF($C146="","",IF(N($U146)=0,"",IFERROR($AW146/$U146,"")))</f>
        <v/>
      </c>
      <c r="AY146" s="85">
        <f>IF($C146="","",TRIM(IF(ISNUMBER($AJ146)*(N($AJ146)&gt;$D$4)&gt;0,"payout high  ","")&amp;IF(ISNUMBER($AX146)*(N($AX146)&lt;$F$4)&gt;0,"FCF below dvd  ","")&amp;IF(ISNUMBER($AU146)*(N($AU146)&gt;$H$4)&gt;0,"leverage high","")))</f>
        <v/>
      </c>
      <c r="AZ146" s="86">
        <f>IF($C146="","",IF(HSTECH!$F$41="HKD","",HSTECH!$F$41))</f>
        <v/>
      </c>
    </row>
    <row r="147">
      <c r="B147" s="66" t="inlineStr">
        <is>
          <t>HSTECH</t>
        </is>
      </c>
      <c r="C147" s="8">
        <f>IF(HSTECH!$C$42="","",HSTECH!$C$42)</f>
        <v/>
      </c>
      <c r="D147" s="8">
        <f>IF($C147="","",HSTECH!$D$42)</f>
        <v/>
      </c>
      <c r="E147" s="8">
        <f>IF($C147="","",HSTECH!$E$42)</f>
        <v/>
      </c>
      <c r="F147" s="67">
        <f>IF($C147="","",SUMPRODUCT(('Dvd Calendar'!$E$1501:$AR$1501&gt;=DATE(YEAR_Y-5,1,1))*('Dvd Calendar'!$E$1501:$AR$1501&lt;=DATE(YEAR_Y-5,12,31))*'Dvd Calendar'!$E$1504:$AR$1504*(('Dvd Calendar'!$E$1506:$AR$1506=TYPE1)*(TYPE1&lt;&gt;"")+('Dvd Calendar'!$E$1506:$AR$1506=TYPE2)*(TYPE2&lt;&gt;"")+('Dvd Calendar'!$E$1506:$AR$1506=TYPE3)*(TYPE3&lt;&gt;"")+('Dvd Calendar'!$E$1506:$AR$1506=TYPE4)*(TYPE4&lt;&gt;"")+('Dvd Calendar'!$E$1506:$AR$1506=SPECIAL_LBL)*(INC_SPECIALS="Y"))))</f>
        <v/>
      </c>
      <c r="G147" s="68">
        <f>IF($C147="","",SUMPRODUCT(('Dvd Calendar'!$E$1501:$AR$1501&gt;=DATE(YEAR_Y-4,1,1))*('Dvd Calendar'!$E$1501:$AR$1501&lt;=DATE(YEAR_Y-4,12,31))*'Dvd Calendar'!$E$1504:$AR$1504*(('Dvd Calendar'!$E$1506:$AR$1506=TYPE1)*(TYPE1&lt;&gt;"")+('Dvd Calendar'!$E$1506:$AR$1506=TYPE2)*(TYPE2&lt;&gt;"")+('Dvd Calendar'!$E$1506:$AR$1506=TYPE3)*(TYPE3&lt;&gt;"")+('Dvd Calendar'!$E$1506:$AR$1506=TYPE4)*(TYPE4&lt;&gt;"")+('Dvd Calendar'!$E$1506:$AR$1506=SPECIAL_LBL)*(INC_SPECIALS="Y"))))</f>
        <v/>
      </c>
      <c r="H147" s="68">
        <f>IF($C147="","",SUMPRODUCT(('Dvd Calendar'!$E$1501:$AR$1501&gt;=DATE(YEAR_Y-3,1,1))*('Dvd Calendar'!$E$1501:$AR$1501&lt;=DATE(YEAR_Y-3,12,31))*'Dvd Calendar'!$E$1504:$AR$1504*(('Dvd Calendar'!$E$1506:$AR$1506=TYPE1)*(TYPE1&lt;&gt;"")+('Dvd Calendar'!$E$1506:$AR$1506=TYPE2)*(TYPE2&lt;&gt;"")+('Dvd Calendar'!$E$1506:$AR$1506=TYPE3)*(TYPE3&lt;&gt;"")+('Dvd Calendar'!$E$1506:$AR$1506=TYPE4)*(TYPE4&lt;&gt;"")+('Dvd Calendar'!$E$1506:$AR$1506=SPECIAL_LBL)*(INC_SPECIALS="Y"))))</f>
        <v/>
      </c>
      <c r="I147" s="68">
        <f>IF($C147="","",SUMPRODUCT(('Dvd Calendar'!$E$1501:$AR$1501&gt;=DATE(YEAR_Y-2,1,1))*('Dvd Calendar'!$E$1501:$AR$1501&lt;=DATE(YEAR_Y-2,12,31))*'Dvd Calendar'!$E$1504:$AR$1504*(('Dvd Calendar'!$E$1506:$AR$1506=TYPE1)*(TYPE1&lt;&gt;"")+('Dvd Calendar'!$E$1506:$AR$1506=TYPE2)*(TYPE2&lt;&gt;"")+('Dvd Calendar'!$E$1506:$AR$1506=TYPE3)*(TYPE3&lt;&gt;"")+('Dvd Calendar'!$E$1506:$AR$1506=TYPE4)*(TYPE4&lt;&gt;"")+('Dvd Calendar'!$E$1506:$AR$1506=SPECIAL_LBL)*(INC_SPECIALS="Y"))))</f>
        <v/>
      </c>
      <c r="J147" s="68">
        <f>IF($C147="","",SUMPRODUCT(('Dvd Calendar'!$E$1501:$AR$1501&gt;=DATE(YEAR_Y-1,1,1))*('Dvd Calendar'!$E$1501:$AR$1501&lt;=DATE(YEAR_Y-1,12,31))*'Dvd Calendar'!$E$1504:$AR$1504*(('Dvd Calendar'!$E$1506:$AR$1506=TYPE1)*(TYPE1&lt;&gt;"")+('Dvd Calendar'!$E$1506:$AR$1506=TYPE2)*(TYPE2&lt;&gt;"")+('Dvd Calendar'!$E$1506:$AR$1506=TYPE3)*(TYPE3&lt;&gt;"")+('Dvd Calendar'!$E$1506:$AR$1506=TYPE4)*(TYPE4&lt;&gt;"")+('Dvd Calendar'!$E$1506:$AR$1506=SPECIAL_LBL)*(INC_SPECIALS="Y"))))</f>
        <v/>
      </c>
      <c r="K147" s="69">
        <f>IF($C147="","",HSTECH!$J$42)</f>
        <v/>
      </c>
      <c r="L147" s="69">
        <f>IF($C147="","",HSTECH!$K$42)</f>
        <v/>
      </c>
      <c r="M147" s="44">
        <f>IF($C147="","",HSTECH!$J$42+HSTECH!$L$42)</f>
        <v/>
      </c>
      <c r="N147" s="70">
        <f>IF($C147="","",IF(PULL_FUND="N","",IFERROR(BDP($C147,BESTDPS_FIELD,FWD_OVERRIDE,TEXT(MOD(YEAR_Y,100),"00")&amp;"Y"),"")))</f>
        <v/>
      </c>
      <c r="O147" s="69">
        <f>IF($C147="","",AVERAGE(F147:J147))</f>
        <v/>
      </c>
      <c r="P147" s="71">
        <f>IF($C147="","",IF(PULL_FUND="N","",IF(COUNTIFS('Fund History'!$J$822:$J$826,"&gt;="&amp;DATE(YEAR_Y-5,1,1),'Fund History'!$J$822:$J$826,"&lt;="&amp;DATE(YEAR_Y-5,12,31))=0,"",IFERROR($F147*HSTECH!$G$42/SUMIFS('Fund History'!$K$822:$K$826,'Fund History'!$J$822:$J$826,"&gt;="&amp;DATE(YEAR_Y-5,1,1),'Fund History'!$J$822:$J$826,"&lt;="&amp;DATE(YEAR_Y-5,12,31)),""))))</f>
        <v/>
      </c>
      <c r="Q147" s="72">
        <f>IF($C147="","",IF(PULL_FUND="N","",IF(COUNTIFS('Fund History'!$J$822:$J$826,"&gt;="&amp;DATE(YEAR_Y-4,1,1),'Fund History'!$J$822:$J$826,"&lt;="&amp;DATE(YEAR_Y-4,12,31))=0,"",IFERROR($G147*HSTECH!$G$42/SUMIFS('Fund History'!$K$822:$K$826,'Fund History'!$J$822:$J$826,"&gt;="&amp;DATE(YEAR_Y-4,1,1),'Fund History'!$J$822:$J$826,"&lt;="&amp;DATE(YEAR_Y-4,12,31)),""))))</f>
        <v/>
      </c>
      <c r="R147" s="72">
        <f>IF($C147="","",IF(PULL_FUND="N","",IF(COUNTIFS('Fund History'!$J$822:$J$826,"&gt;="&amp;DATE(YEAR_Y-3,1,1),'Fund History'!$J$822:$J$826,"&lt;="&amp;DATE(YEAR_Y-3,12,31))=0,"",IFERROR($H147*HSTECH!$G$42/SUMIFS('Fund History'!$K$822:$K$826,'Fund History'!$J$822:$J$826,"&gt;="&amp;DATE(YEAR_Y-3,1,1),'Fund History'!$J$822:$J$826,"&lt;="&amp;DATE(YEAR_Y-3,12,31)),""))))</f>
        <v/>
      </c>
      <c r="S147" s="72">
        <f>IF($C147="","",IF(PULL_FUND="N","",IF(COUNTIFS('Fund History'!$J$822:$J$826,"&gt;="&amp;DATE(YEAR_Y-2,1,1),'Fund History'!$J$822:$J$826,"&lt;="&amp;DATE(YEAR_Y-2,12,31))=0,"",IFERROR($I147*HSTECH!$G$42/SUMIFS('Fund History'!$K$822:$K$826,'Fund History'!$J$822:$J$826,"&gt;="&amp;DATE(YEAR_Y-2,1,1),'Fund History'!$J$822:$J$826,"&lt;="&amp;DATE(YEAR_Y-2,12,31)),""))))</f>
        <v/>
      </c>
      <c r="T147" s="72">
        <f>IF($C147="","",IF(PULL_FUND="N","",IF(COUNTIFS('Fund History'!$J$822:$J$826,"&gt;="&amp;DATE(YEAR_Y-1,1,1),'Fund History'!$J$822:$J$826,"&lt;="&amp;DATE(YEAR_Y-1,12,31))=0,"",IFERROR($J147*HSTECH!$G$42/SUMIFS('Fund History'!$K$822:$K$826,'Fund History'!$J$822:$J$826,"&gt;="&amp;DATE(YEAR_Y-1,1,1),'Fund History'!$J$822:$J$826,"&lt;="&amp;DATE(YEAR_Y-1,12,31)),""))))</f>
        <v/>
      </c>
      <c r="U147" s="73">
        <f>IF($C147="","",IF(ISNUMBER(HSTECH!$I$42),HSTECH!$I$42/100,""))</f>
        <v/>
      </c>
      <c r="V147" s="74">
        <f>IF($C147="","",IF(ISNUMBER(HSTECH!$X$42),IFERROR($M147*HSTECH!$G$42/HSTECH!$X$42,""),""))</f>
        <v/>
      </c>
      <c r="W147" s="73">
        <f>IF($C147="","",IF(ISNUMBER($N147),IFERROR($N147*HSTECH!$G$42/HSTECH!$X$42,""),""))</f>
        <v/>
      </c>
      <c r="X147" s="75">
        <f>IF($C147="","",IF(PULL_FUND="N","",IFERROR(BDP($C147,EPS_FIELD,YR_OVERRIDE,TEXT(YEAR_Y-5,"0")),"")))</f>
        <v/>
      </c>
      <c r="Y147" s="76">
        <f>IF($C147="","",IF(PULL_FUND="N","",IFERROR(BDP($C147,EPS_FIELD,YR_OVERRIDE,TEXT(YEAR_Y-4,"0")),"")))</f>
        <v/>
      </c>
      <c r="Z147" s="76">
        <f>IF($C147="","",IF(PULL_FUND="N","",IFERROR(BDP($C147,EPS_FIELD,YR_OVERRIDE,TEXT(YEAR_Y-3,"0")),"")))</f>
        <v/>
      </c>
      <c r="AA147" s="76">
        <f>IF($C147="","",IF(PULL_FUND="N","",IFERROR(BDP($C147,EPS_FIELD,YR_OVERRIDE,TEXT(YEAR_Y-2,"0")),"")))</f>
        <v/>
      </c>
      <c r="AB147" s="76">
        <f>IF($C147="","",IF(PULL_FUND="N","",IFERROR(BDP($C147,EPS_FIELD,YR_OVERRIDE,TEXT(YEAR_Y-1,"0")),"")))</f>
        <v/>
      </c>
      <c r="AC147" s="50">
        <f>IF($C147="","",IFERROR(AVERAGE(X147:AB147),""))</f>
        <v/>
      </c>
      <c r="AD147" s="76">
        <f>IF($C147="","",IF(PULL_FUND="N","",IFERROR(BDP($C147,BESTEPS_FIELD,FWD_OVERRIDE,TEXT(MOD(YEAR_Y,100),"00")&amp;"Y"),"")))</f>
        <v/>
      </c>
      <c r="AE147" s="77">
        <f>IF($C147="","",IF(PULL_FUND="N","",IFERROR(BDP($C147,PAYOUT_FIELD,YR_OVERRIDE,TEXT(YEAR_Y-5,"0"))/100,"")))</f>
        <v/>
      </c>
      <c r="AF147" s="78">
        <f>IF($C147="","",IF(PULL_FUND="N","",IFERROR(BDP($C147,PAYOUT_FIELD,YR_OVERRIDE,TEXT(YEAR_Y-4,"0"))/100,"")))</f>
        <v/>
      </c>
      <c r="AG147" s="78">
        <f>IF($C147="","",IF(PULL_FUND="N","",IFERROR(BDP($C147,PAYOUT_FIELD,YR_OVERRIDE,TEXT(YEAR_Y-3,"0"))/100,"")))</f>
        <v/>
      </c>
      <c r="AH147" s="78">
        <f>IF($C147="","",IF(PULL_FUND="N","",IFERROR(BDP($C147,PAYOUT_FIELD,YR_OVERRIDE,TEXT(YEAR_Y-2,"0"))/100,"")))</f>
        <v/>
      </c>
      <c r="AI147" s="78">
        <f>IF($C147="","",IF(PULL_FUND="N","",IFERROR(BDP($C147,PAYOUT_FIELD,YR_OVERRIDE,TEXT(YEAR_Y-1,"0"))/100,"")))</f>
        <v/>
      </c>
      <c r="AJ147" s="79">
        <f>IF($C147="","",IFERROR(AVERAGE(AE147:AI147),""))</f>
        <v/>
      </c>
      <c r="AK147" s="80">
        <f>IF($C147="","",IF(ISNUMBER($AD147)*ISNUMBER($N147)*($AD147&lt;&gt;0)=0,"",$N147/$AD147))</f>
        <v/>
      </c>
      <c r="AL147" s="79">
        <f>IF($C147="","",IF(ISNUMBER($AD147)*($AD147&lt;&gt;0)=0,"",$M147/$AD147))</f>
        <v/>
      </c>
      <c r="AM147" s="37">
        <f>IF($C147="","",IF(ISNUMBER($AE147)*ISNUMBER($AI147)=0,"",IF($AI147&gt;$AE147+0.05,"rising",IF($AI147&lt;$AE147-0.05,"falling","stable"))))</f>
        <v/>
      </c>
      <c r="AN147" s="81">
        <f>IF($C147="","",IF(PULL_FUND="N","",IF(COUNTIFS('Fund History'!$G$822:$G$826,"&gt;="&amp;DATE(YEAR_Y-4,1,1),'Fund History'!$G$822:$G$826,"&lt;="&amp;DATE(YEAR_Y-4,12,31))=0,"",SUMIFS('Fund History'!$H$822:$H$826,'Fund History'!$G$822:$G$826,"&gt;="&amp;DATE(YEAR_Y-4,1,1),'Fund History'!$G$822:$G$826,"&lt;="&amp;DATE(YEAR_Y-4,12,31))/100)))</f>
        <v/>
      </c>
      <c r="AO147" s="82">
        <f>IF($C147="","",IF(PULL_FUND="N","",IF(COUNTIFS('Fund History'!$G$822:$G$826,"&gt;="&amp;DATE(YEAR_Y-3,1,1),'Fund History'!$G$822:$G$826,"&lt;="&amp;DATE(YEAR_Y-3,12,31))=0,"",SUMIFS('Fund History'!$H$822:$H$826,'Fund History'!$G$822:$G$826,"&gt;="&amp;DATE(YEAR_Y-3,1,1),'Fund History'!$G$822:$G$826,"&lt;="&amp;DATE(YEAR_Y-3,12,31))/100)))</f>
        <v/>
      </c>
      <c r="AP147" s="82">
        <f>IF($C147="","",IF(PULL_FUND="N","",IF(COUNTIFS('Fund History'!$G$822:$G$826,"&gt;="&amp;DATE(YEAR_Y-2,1,1),'Fund History'!$G$822:$G$826,"&lt;="&amp;DATE(YEAR_Y-2,12,31))=0,"",SUMIFS('Fund History'!$H$822:$H$826,'Fund History'!$G$822:$G$826,"&gt;="&amp;DATE(YEAR_Y-2,1,1),'Fund History'!$G$822:$G$826,"&lt;="&amp;DATE(YEAR_Y-2,12,31))/100)))</f>
        <v/>
      </c>
      <c r="AQ147" s="82">
        <f>IF($C147="","",IF(PULL_FUND="N","",IF(COUNTIFS('Fund History'!$G$822:$G$826,"&gt;="&amp;DATE(YEAR_Y-1,1,1),'Fund History'!$G$822:$G$826,"&lt;="&amp;DATE(YEAR_Y-1,12,31))=0,"",SUMIFS('Fund History'!$H$822:$H$826,'Fund History'!$G$822:$G$826,"&gt;="&amp;DATE(YEAR_Y-1,1,1),'Fund History'!$G$822:$G$826,"&lt;="&amp;DATE(YEAR_Y-1,12,31))/100)))</f>
        <v/>
      </c>
      <c r="AR147" s="83">
        <f>IF($C147="","",IF(N($AQ147)+N(HSTECH!$I$42)=0,"",N($AQ147)+N(HSTECH!$I$42)/100))</f>
        <v/>
      </c>
      <c r="AS147" s="75">
        <f>IF($C147="","",IF(PULL_FUND="N","",IF(COUNTIFS('Fund History'!$D$822:$D$826,"&gt;="&amp;DATE(YEAR_Y-2,1,1),'Fund History'!$D$822:$D$826,"&lt;="&amp;DATE(YEAR_Y-2,12,31))=0,"",SUMIFS('Fund History'!$E$822:$E$826,'Fund History'!$D$822:$D$826,"&gt;="&amp;DATE(YEAR_Y-2,1,1),'Fund History'!$D$822:$D$826,"&lt;="&amp;DATE(YEAR_Y-2,12,31)))))</f>
        <v/>
      </c>
      <c r="AT147" s="76">
        <f>IF($C147="","",IF(PULL_FUND="N","",IF(COUNTIFS('Fund History'!$D$822:$D$826,"&gt;="&amp;DATE(YEAR_Y-1,1,1),'Fund History'!$D$822:$D$826,"&lt;="&amp;DATE(YEAR_Y-1,12,31))=0,"",SUMIFS('Fund History'!$E$822:$E$826,'Fund History'!$D$822:$D$826,"&gt;="&amp;DATE(YEAR_Y-1,1,1),'Fund History'!$D$822:$D$826,"&lt;="&amp;DATE(YEAR_Y-1,12,31)))))</f>
        <v/>
      </c>
      <c r="AU147" s="76">
        <f>IF($C147="","",IF(PULL_FUND="N","",IFERROR(BDP($C147,NDEBITDA_FIELD),"")))</f>
        <v/>
      </c>
      <c r="AV147" s="84">
        <f>IF($C147="","",IF(PULL_FUND="N","",IFERROR(BDP($C147,EBINT_FIELD),"")))</f>
        <v/>
      </c>
      <c r="AW147" s="82">
        <f>IF($C147="","",IF(PULL_FUND="N","",IFERROR(BDP($C147,FCF_FIELD)/100,"")))</f>
        <v/>
      </c>
      <c r="AX147" s="50">
        <f>IF($C147="","",IF(N($U147)=0,"",IFERROR($AW147/$U147,"")))</f>
        <v/>
      </c>
      <c r="AY147" s="85">
        <f>IF($C147="","",TRIM(IF(ISNUMBER($AJ147)*(N($AJ147)&gt;$D$4)&gt;0,"payout high  ","")&amp;IF(ISNUMBER($AX147)*(N($AX147)&lt;$F$4)&gt;0,"FCF below dvd  ","")&amp;IF(ISNUMBER($AU147)*(N($AU147)&gt;$H$4)&gt;0,"leverage high","")))</f>
        <v/>
      </c>
      <c r="AZ147" s="86">
        <f>IF($C147="","",IF(HSTECH!$F$42="HKD","",HSTECH!$F$42))</f>
        <v/>
      </c>
    </row>
    <row r="148">
      <c r="B148" s="66" t="inlineStr">
        <is>
          <t>HSTECH</t>
        </is>
      </c>
      <c r="C148" s="8">
        <f>IF(HSTECH!$C$43="","",HSTECH!$C$43)</f>
        <v/>
      </c>
      <c r="D148" s="8">
        <f>IF($C148="","",HSTECH!$D$43)</f>
        <v/>
      </c>
      <c r="E148" s="8">
        <f>IF($C148="","",HSTECH!$E$43)</f>
        <v/>
      </c>
      <c r="F148" s="67">
        <f>IF($C148="","",SUMPRODUCT(('Dvd Calendar'!$E$1512:$AR$1512&gt;=DATE(YEAR_Y-5,1,1))*('Dvd Calendar'!$E$1512:$AR$1512&lt;=DATE(YEAR_Y-5,12,31))*'Dvd Calendar'!$E$1515:$AR$1515*(('Dvd Calendar'!$E$1517:$AR$1517=TYPE1)*(TYPE1&lt;&gt;"")+('Dvd Calendar'!$E$1517:$AR$1517=TYPE2)*(TYPE2&lt;&gt;"")+('Dvd Calendar'!$E$1517:$AR$1517=TYPE3)*(TYPE3&lt;&gt;"")+('Dvd Calendar'!$E$1517:$AR$1517=TYPE4)*(TYPE4&lt;&gt;"")+('Dvd Calendar'!$E$1517:$AR$1517=SPECIAL_LBL)*(INC_SPECIALS="Y"))))</f>
        <v/>
      </c>
      <c r="G148" s="68">
        <f>IF($C148="","",SUMPRODUCT(('Dvd Calendar'!$E$1512:$AR$1512&gt;=DATE(YEAR_Y-4,1,1))*('Dvd Calendar'!$E$1512:$AR$1512&lt;=DATE(YEAR_Y-4,12,31))*'Dvd Calendar'!$E$1515:$AR$1515*(('Dvd Calendar'!$E$1517:$AR$1517=TYPE1)*(TYPE1&lt;&gt;"")+('Dvd Calendar'!$E$1517:$AR$1517=TYPE2)*(TYPE2&lt;&gt;"")+('Dvd Calendar'!$E$1517:$AR$1517=TYPE3)*(TYPE3&lt;&gt;"")+('Dvd Calendar'!$E$1517:$AR$1517=TYPE4)*(TYPE4&lt;&gt;"")+('Dvd Calendar'!$E$1517:$AR$1517=SPECIAL_LBL)*(INC_SPECIALS="Y"))))</f>
        <v/>
      </c>
      <c r="H148" s="68">
        <f>IF($C148="","",SUMPRODUCT(('Dvd Calendar'!$E$1512:$AR$1512&gt;=DATE(YEAR_Y-3,1,1))*('Dvd Calendar'!$E$1512:$AR$1512&lt;=DATE(YEAR_Y-3,12,31))*'Dvd Calendar'!$E$1515:$AR$1515*(('Dvd Calendar'!$E$1517:$AR$1517=TYPE1)*(TYPE1&lt;&gt;"")+('Dvd Calendar'!$E$1517:$AR$1517=TYPE2)*(TYPE2&lt;&gt;"")+('Dvd Calendar'!$E$1517:$AR$1517=TYPE3)*(TYPE3&lt;&gt;"")+('Dvd Calendar'!$E$1517:$AR$1517=TYPE4)*(TYPE4&lt;&gt;"")+('Dvd Calendar'!$E$1517:$AR$1517=SPECIAL_LBL)*(INC_SPECIALS="Y"))))</f>
        <v/>
      </c>
      <c r="I148" s="68">
        <f>IF($C148="","",SUMPRODUCT(('Dvd Calendar'!$E$1512:$AR$1512&gt;=DATE(YEAR_Y-2,1,1))*('Dvd Calendar'!$E$1512:$AR$1512&lt;=DATE(YEAR_Y-2,12,31))*'Dvd Calendar'!$E$1515:$AR$1515*(('Dvd Calendar'!$E$1517:$AR$1517=TYPE1)*(TYPE1&lt;&gt;"")+('Dvd Calendar'!$E$1517:$AR$1517=TYPE2)*(TYPE2&lt;&gt;"")+('Dvd Calendar'!$E$1517:$AR$1517=TYPE3)*(TYPE3&lt;&gt;"")+('Dvd Calendar'!$E$1517:$AR$1517=TYPE4)*(TYPE4&lt;&gt;"")+('Dvd Calendar'!$E$1517:$AR$1517=SPECIAL_LBL)*(INC_SPECIALS="Y"))))</f>
        <v/>
      </c>
      <c r="J148" s="68">
        <f>IF($C148="","",SUMPRODUCT(('Dvd Calendar'!$E$1512:$AR$1512&gt;=DATE(YEAR_Y-1,1,1))*('Dvd Calendar'!$E$1512:$AR$1512&lt;=DATE(YEAR_Y-1,12,31))*'Dvd Calendar'!$E$1515:$AR$1515*(('Dvd Calendar'!$E$1517:$AR$1517=TYPE1)*(TYPE1&lt;&gt;"")+('Dvd Calendar'!$E$1517:$AR$1517=TYPE2)*(TYPE2&lt;&gt;"")+('Dvd Calendar'!$E$1517:$AR$1517=TYPE3)*(TYPE3&lt;&gt;"")+('Dvd Calendar'!$E$1517:$AR$1517=TYPE4)*(TYPE4&lt;&gt;"")+('Dvd Calendar'!$E$1517:$AR$1517=SPECIAL_LBL)*(INC_SPECIALS="Y"))))</f>
        <v/>
      </c>
      <c r="K148" s="69">
        <f>IF($C148="","",HSTECH!$J$43)</f>
        <v/>
      </c>
      <c r="L148" s="69">
        <f>IF($C148="","",HSTECH!$K$43)</f>
        <v/>
      </c>
      <c r="M148" s="44">
        <f>IF($C148="","",HSTECH!$J$43+HSTECH!$L$43)</f>
        <v/>
      </c>
      <c r="N148" s="70">
        <f>IF($C148="","",IF(PULL_FUND="N","",IFERROR(BDP($C148,BESTDPS_FIELD,FWD_OVERRIDE,TEXT(MOD(YEAR_Y,100),"00")&amp;"Y"),"")))</f>
        <v/>
      </c>
      <c r="O148" s="69">
        <f>IF($C148="","",AVERAGE(F148:J148))</f>
        <v/>
      </c>
      <c r="P148" s="71">
        <f>IF($C148="","",IF(PULL_FUND="N","",IF(COUNTIFS('Fund History'!$J$828:$J$832,"&gt;="&amp;DATE(YEAR_Y-5,1,1),'Fund History'!$J$828:$J$832,"&lt;="&amp;DATE(YEAR_Y-5,12,31))=0,"",IFERROR($F148*HSTECH!$G$43/SUMIFS('Fund History'!$K$828:$K$832,'Fund History'!$J$828:$J$832,"&gt;="&amp;DATE(YEAR_Y-5,1,1),'Fund History'!$J$828:$J$832,"&lt;="&amp;DATE(YEAR_Y-5,12,31)),""))))</f>
        <v/>
      </c>
      <c r="Q148" s="72">
        <f>IF($C148="","",IF(PULL_FUND="N","",IF(COUNTIFS('Fund History'!$J$828:$J$832,"&gt;="&amp;DATE(YEAR_Y-4,1,1),'Fund History'!$J$828:$J$832,"&lt;="&amp;DATE(YEAR_Y-4,12,31))=0,"",IFERROR($G148*HSTECH!$G$43/SUMIFS('Fund History'!$K$828:$K$832,'Fund History'!$J$828:$J$832,"&gt;="&amp;DATE(YEAR_Y-4,1,1),'Fund History'!$J$828:$J$832,"&lt;="&amp;DATE(YEAR_Y-4,12,31)),""))))</f>
        <v/>
      </c>
      <c r="R148" s="72">
        <f>IF($C148="","",IF(PULL_FUND="N","",IF(COUNTIFS('Fund History'!$J$828:$J$832,"&gt;="&amp;DATE(YEAR_Y-3,1,1),'Fund History'!$J$828:$J$832,"&lt;="&amp;DATE(YEAR_Y-3,12,31))=0,"",IFERROR($H148*HSTECH!$G$43/SUMIFS('Fund History'!$K$828:$K$832,'Fund History'!$J$828:$J$832,"&gt;="&amp;DATE(YEAR_Y-3,1,1),'Fund History'!$J$828:$J$832,"&lt;="&amp;DATE(YEAR_Y-3,12,31)),""))))</f>
        <v/>
      </c>
      <c r="S148" s="72">
        <f>IF($C148="","",IF(PULL_FUND="N","",IF(COUNTIFS('Fund History'!$J$828:$J$832,"&gt;="&amp;DATE(YEAR_Y-2,1,1),'Fund History'!$J$828:$J$832,"&lt;="&amp;DATE(YEAR_Y-2,12,31))=0,"",IFERROR($I148*HSTECH!$G$43/SUMIFS('Fund History'!$K$828:$K$832,'Fund History'!$J$828:$J$832,"&gt;="&amp;DATE(YEAR_Y-2,1,1),'Fund History'!$J$828:$J$832,"&lt;="&amp;DATE(YEAR_Y-2,12,31)),""))))</f>
        <v/>
      </c>
      <c r="T148" s="72">
        <f>IF($C148="","",IF(PULL_FUND="N","",IF(COUNTIFS('Fund History'!$J$828:$J$832,"&gt;="&amp;DATE(YEAR_Y-1,1,1),'Fund History'!$J$828:$J$832,"&lt;="&amp;DATE(YEAR_Y-1,12,31))=0,"",IFERROR($J148*HSTECH!$G$43/SUMIFS('Fund History'!$K$828:$K$832,'Fund History'!$J$828:$J$832,"&gt;="&amp;DATE(YEAR_Y-1,1,1),'Fund History'!$J$828:$J$832,"&lt;="&amp;DATE(YEAR_Y-1,12,31)),""))))</f>
        <v/>
      </c>
      <c r="U148" s="73">
        <f>IF($C148="","",IF(ISNUMBER(HSTECH!$I$43),HSTECH!$I$43/100,""))</f>
        <v/>
      </c>
      <c r="V148" s="74">
        <f>IF($C148="","",IF(ISNUMBER(HSTECH!$X$43),IFERROR($M148*HSTECH!$G$43/HSTECH!$X$43,""),""))</f>
        <v/>
      </c>
      <c r="W148" s="73">
        <f>IF($C148="","",IF(ISNUMBER($N148),IFERROR($N148*HSTECH!$G$43/HSTECH!$X$43,""),""))</f>
        <v/>
      </c>
      <c r="X148" s="75">
        <f>IF($C148="","",IF(PULL_FUND="N","",IFERROR(BDP($C148,EPS_FIELD,YR_OVERRIDE,TEXT(YEAR_Y-5,"0")),"")))</f>
        <v/>
      </c>
      <c r="Y148" s="76">
        <f>IF($C148="","",IF(PULL_FUND="N","",IFERROR(BDP($C148,EPS_FIELD,YR_OVERRIDE,TEXT(YEAR_Y-4,"0")),"")))</f>
        <v/>
      </c>
      <c r="Z148" s="76">
        <f>IF($C148="","",IF(PULL_FUND="N","",IFERROR(BDP($C148,EPS_FIELD,YR_OVERRIDE,TEXT(YEAR_Y-3,"0")),"")))</f>
        <v/>
      </c>
      <c r="AA148" s="76">
        <f>IF($C148="","",IF(PULL_FUND="N","",IFERROR(BDP($C148,EPS_FIELD,YR_OVERRIDE,TEXT(YEAR_Y-2,"0")),"")))</f>
        <v/>
      </c>
      <c r="AB148" s="76">
        <f>IF($C148="","",IF(PULL_FUND="N","",IFERROR(BDP($C148,EPS_FIELD,YR_OVERRIDE,TEXT(YEAR_Y-1,"0")),"")))</f>
        <v/>
      </c>
      <c r="AC148" s="50">
        <f>IF($C148="","",IFERROR(AVERAGE(X148:AB148),""))</f>
        <v/>
      </c>
      <c r="AD148" s="76">
        <f>IF($C148="","",IF(PULL_FUND="N","",IFERROR(BDP($C148,BESTEPS_FIELD,FWD_OVERRIDE,TEXT(MOD(YEAR_Y,100),"00")&amp;"Y"),"")))</f>
        <v/>
      </c>
      <c r="AE148" s="77">
        <f>IF($C148="","",IF(PULL_FUND="N","",IFERROR(BDP($C148,PAYOUT_FIELD,YR_OVERRIDE,TEXT(YEAR_Y-5,"0"))/100,"")))</f>
        <v/>
      </c>
      <c r="AF148" s="78">
        <f>IF($C148="","",IF(PULL_FUND="N","",IFERROR(BDP($C148,PAYOUT_FIELD,YR_OVERRIDE,TEXT(YEAR_Y-4,"0"))/100,"")))</f>
        <v/>
      </c>
      <c r="AG148" s="78">
        <f>IF($C148="","",IF(PULL_FUND="N","",IFERROR(BDP($C148,PAYOUT_FIELD,YR_OVERRIDE,TEXT(YEAR_Y-3,"0"))/100,"")))</f>
        <v/>
      </c>
      <c r="AH148" s="78">
        <f>IF($C148="","",IF(PULL_FUND="N","",IFERROR(BDP($C148,PAYOUT_FIELD,YR_OVERRIDE,TEXT(YEAR_Y-2,"0"))/100,"")))</f>
        <v/>
      </c>
      <c r="AI148" s="78">
        <f>IF($C148="","",IF(PULL_FUND="N","",IFERROR(BDP($C148,PAYOUT_FIELD,YR_OVERRIDE,TEXT(YEAR_Y-1,"0"))/100,"")))</f>
        <v/>
      </c>
      <c r="AJ148" s="79">
        <f>IF($C148="","",IFERROR(AVERAGE(AE148:AI148),""))</f>
        <v/>
      </c>
      <c r="AK148" s="80">
        <f>IF($C148="","",IF(ISNUMBER($AD148)*ISNUMBER($N148)*($AD148&lt;&gt;0)=0,"",$N148/$AD148))</f>
        <v/>
      </c>
      <c r="AL148" s="79">
        <f>IF($C148="","",IF(ISNUMBER($AD148)*($AD148&lt;&gt;0)=0,"",$M148/$AD148))</f>
        <v/>
      </c>
      <c r="AM148" s="37">
        <f>IF($C148="","",IF(ISNUMBER($AE148)*ISNUMBER($AI148)=0,"",IF($AI148&gt;$AE148+0.05,"rising",IF($AI148&lt;$AE148-0.05,"falling","stable"))))</f>
        <v/>
      </c>
      <c r="AN148" s="81">
        <f>IF($C148="","",IF(PULL_FUND="N","",IF(COUNTIFS('Fund History'!$G$828:$G$832,"&gt;="&amp;DATE(YEAR_Y-4,1,1),'Fund History'!$G$828:$G$832,"&lt;="&amp;DATE(YEAR_Y-4,12,31))=0,"",SUMIFS('Fund History'!$H$828:$H$832,'Fund History'!$G$828:$G$832,"&gt;="&amp;DATE(YEAR_Y-4,1,1),'Fund History'!$G$828:$G$832,"&lt;="&amp;DATE(YEAR_Y-4,12,31))/100)))</f>
        <v/>
      </c>
      <c r="AO148" s="82">
        <f>IF($C148="","",IF(PULL_FUND="N","",IF(COUNTIFS('Fund History'!$G$828:$G$832,"&gt;="&amp;DATE(YEAR_Y-3,1,1),'Fund History'!$G$828:$G$832,"&lt;="&amp;DATE(YEAR_Y-3,12,31))=0,"",SUMIFS('Fund History'!$H$828:$H$832,'Fund History'!$G$828:$G$832,"&gt;="&amp;DATE(YEAR_Y-3,1,1),'Fund History'!$G$828:$G$832,"&lt;="&amp;DATE(YEAR_Y-3,12,31))/100)))</f>
        <v/>
      </c>
      <c r="AP148" s="82">
        <f>IF($C148="","",IF(PULL_FUND="N","",IF(COUNTIFS('Fund History'!$G$828:$G$832,"&gt;="&amp;DATE(YEAR_Y-2,1,1),'Fund History'!$G$828:$G$832,"&lt;="&amp;DATE(YEAR_Y-2,12,31))=0,"",SUMIFS('Fund History'!$H$828:$H$832,'Fund History'!$G$828:$G$832,"&gt;="&amp;DATE(YEAR_Y-2,1,1),'Fund History'!$G$828:$G$832,"&lt;="&amp;DATE(YEAR_Y-2,12,31))/100)))</f>
        <v/>
      </c>
      <c r="AQ148" s="82">
        <f>IF($C148="","",IF(PULL_FUND="N","",IF(COUNTIFS('Fund History'!$G$828:$G$832,"&gt;="&amp;DATE(YEAR_Y-1,1,1),'Fund History'!$G$828:$G$832,"&lt;="&amp;DATE(YEAR_Y-1,12,31))=0,"",SUMIFS('Fund History'!$H$828:$H$832,'Fund History'!$G$828:$G$832,"&gt;="&amp;DATE(YEAR_Y-1,1,1),'Fund History'!$G$828:$G$832,"&lt;="&amp;DATE(YEAR_Y-1,12,31))/100)))</f>
        <v/>
      </c>
      <c r="AR148" s="83">
        <f>IF($C148="","",IF(N($AQ148)+N(HSTECH!$I$43)=0,"",N($AQ148)+N(HSTECH!$I$43)/100))</f>
        <v/>
      </c>
      <c r="AS148" s="75">
        <f>IF($C148="","",IF(PULL_FUND="N","",IF(COUNTIFS('Fund History'!$D$828:$D$832,"&gt;="&amp;DATE(YEAR_Y-2,1,1),'Fund History'!$D$828:$D$832,"&lt;="&amp;DATE(YEAR_Y-2,12,31))=0,"",SUMIFS('Fund History'!$E$828:$E$832,'Fund History'!$D$828:$D$832,"&gt;="&amp;DATE(YEAR_Y-2,1,1),'Fund History'!$D$828:$D$832,"&lt;="&amp;DATE(YEAR_Y-2,12,31)))))</f>
        <v/>
      </c>
      <c r="AT148" s="76">
        <f>IF($C148="","",IF(PULL_FUND="N","",IF(COUNTIFS('Fund History'!$D$828:$D$832,"&gt;="&amp;DATE(YEAR_Y-1,1,1),'Fund History'!$D$828:$D$832,"&lt;="&amp;DATE(YEAR_Y-1,12,31))=0,"",SUMIFS('Fund History'!$E$828:$E$832,'Fund History'!$D$828:$D$832,"&gt;="&amp;DATE(YEAR_Y-1,1,1),'Fund History'!$D$828:$D$832,"&lt;="&amp;DATE(YEAR_Y-1,12,31)))))</f>
        <v/>
      </c>
      <c r="AU148" s="76">
        <f>IF($C148="","",IF(PULL_FUND="N","",IFERROR(BDP($C148,NDEBITDA_FIELD),"")))</f>
        <v/>
      </c>
      <c r="AV148" s="84">
        <f>IF($C148="","",IF(PULL_FUND="N","",IFERROR(BDP($C148,EBINT_FIELD),"")))</f>
        <v/>
      </c>
      <c r="AW148" s="82">
        <f>IF($C148="","",IF(PULL_FUND="N","",IFERROR(BDP($C148,FCF_FIELD)/100,"")))</f>
        <v/>
      </c>
      <c r="AX148" s="50">
        <f>IF($C148="","",IF(N($U148)=0,"",IFERROR($AW148/$U148,"")))</f>
        <v/>
      </c>
      <c r="AY148" s="85">
        <f>IF($C148="","",TRIM(IF(ISNUMBER($AJ148)*(N($AJ148)&gt;$D$4)&gt;0,"payout high  ","")&amp;IF(ISNUMBER($AX148)*(N($AX148)&lt;$F$4)&gt;0,"FCF below dvd  ","")&amp;IF(ISNUMBER($AU148)*(N($AU148)&gt;$H$4)&gt;0,"leverage high","")))</f>
        <v/>
      </c>
      <c r="AZ148" s="86">
        <f>IF($C148="","",IF(HSTECH!$F$43="HKD","",HSTECH!$F$43))</f>
        <v/>
      </c>
    </row>
    <row r="149">
      <c r="B149" s="66" t="inlineStr">
        <is>
          <t>HSTECH</t>
        </is>
      </c>
      <c r="C149" s="8">
        <f>IF(HSTECH!$C$44="","",HSTECH!$C$44)</f>
        <v/>
      </c>
      <c r="D149" s="8">
        <f>IF($C149="","",HSTECH!$D$44)</f>
        <v/>
      </c>
      <c r="E149" s="8">
        <f>IF($C149="","",HSTECH!$E$44)</f>
        <v/>
      </c>
      <c r="F149" s="67">
        <f>IF($C149="","",SUMPRODUCT(('Dvd Calendar'!$E$1523:$AR$1523&gt;=DATE(YEAR_Y-5,1,1))*('Dvd Calendar'!$E$1523:$AR$1523&lt;=DATE(YEAR_Y-5,12,31))*'Dvd Calendar'!$E$1526:$AR$1526*(('Dvd Calendar'!$E$1528:$AR$1528=TYPE1)*(TYPE1&lt;&gt;"")+('Dvd Calendar'!$E$1528:$AR$1528=TYPE2)*(TYPE2&lt;&gt;"")+('Dvd Calendar'!$E$1528:$AR$1528=TYPE3)*(TYPE3&lt;&gt;"")+('Dvd Calendar'!$E$1528:$AR$1528=TYPE4)*(TYPE4&lt;&gt;"")+('Dvd Calendar'!$E$1528:$AR$1528=SPECIAL_LBL)*(INC_SPECIALS="Y"))))</f>
        <v/>
      </c>
      <c r="G149" s="68">
        <f>IF($C149="","",SUMPRODUCT(('Dvd Calendar'!$E$1523:$AR$1523&gt;=DATE(YEAR_Y-4,1,1))*('Dvd Calendar'!$E$1523:$AR$1523&lt;=DATE(YEAR_Y-4,12,31))*'Dvd Calendar'!$E$1526:$AR$1526*(('Dvd Calendar'!$E$1528:$AR$1528=TYPE1)*(TYPE1&lt;&gt;"")+('Dvd Calendar'!$E$1528:$AR$1528=TYPE2)*(TYPE2&lt;&gt;"")+('Dvd Calendar'!$E$1528:$AR$1528=TYPE3)*(TYPE3&lt;&gt;"")+('Dvd Calendar'!$E$1528:$AR$1528=TYPE4)*(TYPE4&lt;&gt;"")+('Dvd Calendar'!$E$1528:$AR$1528=SPECIAL_LBL)*(INC_SPECIALS="Y"))))</f>
        <v/>
      </c>
      <c r="H149" s="68">
        <f>IF($C149="","",SUMPRODUCT(('Dvd Calendar'!$E$1523:$AR$1523&gt;=DATE(YEAR_Y-3,1,1))*('Dvd Calendar'!$E$1523:$AR$1523&lt;=DATE(YEAR_Y-3,12,31))*'Dvd Calendar'!$E$1526:$AR$1526*(('Dvd Calendar'!$E$1528:$AR$1528=TYPE1)*(TYPE1&lt;&gt;"")+('Dvd Calendar'!$E$1528:$AR$1528=TYPE2)*(TYPE2&lt;&gt;"")+('Dvd Calendar'!$E$1528:$AR$1528=TYPE3)*(TYPE3&lt;&gt;"")+('Dvd Calendar'!$E$1528:$AR$1528=TYPE4)*(TYPE4&lt;&gt;"")+('Dvd Calendar'!$E$1528:$AR$1528=SPECIAL_LBL)*(INC_SPECIALS="Y"))))</f>
        <v/>
      </c>
      <c r="I149" s="68">
        <f>IF($C149="","",SUMPRODUCT(('Dvd Calendar'!$E$1523:$AR$1523&gt;=DATE(YEAR_Y-2,1,1))*('Dvd Calendar'!$E$1523:$AR$1523&lt;=DATE(YEAR_Y-2,12,31))*'Dvd Calendar'!$E$1526:$AR$1526*(('Dvd Calendar'!$E$1528:$AR$1528=TYPE1)*(TYPE1&lt;&gt;"")+('Dvd Calendar'!$E$1528:$AR$1528=TYPE2)*(TYPE2&lt;&gt;"")+('Dvd Calendar'!$E$1528:$AR$1528=TYPE3)*(TYPE3&lt;&gt;"")+('Dvd Calendar'!$E$1528:$AR$1528=TYPE4)*(TYPE4&lt;&gt;"")+('Dvd Calendar'!$E$1528:$AR$1528=SPECIAL_LBL)*(INC_SPECIALS="Y"))))</f>
        <v/>
      </c>
      <c r="J149" s="68">
        <f>IF($C149="","",SUMPRODUCT(('Dvd Calendar'!$E$1523:$AR$1523&gt;=DATE(YEAR_Y-1,1,1))*('Dvd Calendar'!$E$1523:$AR$1523&lt;=DATE(YEAR_Y-1,12,31))*'Dvd Calendar'!$E$1526:$AR$1526*(('Dvd Calendar'!$E$1528:$AR$1528=TYPE1)*(TYPE1&lt;&gt;"")+('Dvd Calendar'!$E$1528:$AR$1528=TYPE2)*(TYPE2&lt;&gt;"")+('Dvd Calendar'!$E$1528:$AR$1528=TYPE3)*(TYPE3&lt;&gt;"")+('Dvd Calendar'!$E$1528:$AR$1528=TYPE4)*(TYPE4&lt;&gt;"")+('Dvd Calendar'!$E$1528:$AR$1528=SPECIAL_LBL)*(INC_SPECIALS="Y"))))</f>
        <v/>
      </c>
      <c r="K149" s="69">
        <f>IF($C149="","",HSTECH!$J$44)</f>
        <v/>
      </c>
      <c r="L149" s="69">
        <f>IF($C149="","",HSTECH!$K$44)</f>
        <v/>
      </c>
      <c r="M149" s="44">
        <f>IF($C149="","",HSTECH!$J$44+HSTECH!$L$44)</f>
        <v/>
      </c>
      <c r="N149" s="70">
        <f>IF($C149="","",IF(PULL_FUND="N","",IFERROR(BDP($C149,BESTDPS_FIELD,FWD_OVERRIDE,TEXT(MOD(YEAR_Y,100),"00")&amp;"Y"),"")))</f>
        <v/>
      </c>
      <c r="O149" s="69">
        <f>IF($C149="","",AVERAGE(F149:J149))</f>
        <v/>
      </c>
      <c r="P149" s="71">
        <f>IF($C149="","",IF(PULL_FUND="N","",IF(COUNTIFS('Fund History'!$J$834:$J$838,"&gt;="&amp;DATE(YEAR_Y-5,1,1),'Fund History'!$J$834:$J$838,"&lt;="&amp;DATE(YEAR_Y-5,12,31))=0,"",IFERROR($F149*HSTECH!$G$44/SUMIFS('Fund History'!$K$834:$K$838,'Fund History'!$J$834:$J$838,"&gt;="&amp;DATE(YEAR_Y-5,1,1),'Fund History'!$J$834:$J$838,"&lt;="&amp;DATE(YEAR_Y-5,12,31)),""))))</f>
        <v/>
      </c>
      <c r="Q149" s="72">
        <f>IF($C149="","",IF(PULL_FUND="N","",IF(COUNTIFS('Fund History'!$J$834:$J$838,"&gt;="&amp;DATE(YEAR_Y-4,1,1),'Fund History'!$J$834:$J$838,"&lt;="&amp;DATE(YEAR_Y-4,12,31))=0,"",IFERROR($G149*HSTECH!$G$44/SUMIFS('Fund History'!$K$834:$K$838,'Fund History'!$J$834:$J$838,"&gt;="&amp;DATE(YEAR_Y-4,1,1),'Fund History'!$J$834:$J$838,"&lt;="&amp;DATE(YEAR_Y-4,12,31)),""))))</f>
        <v/>
      </c>
      <c r="R149" s="72">
        <f>IF($C149="","",IF(PULL_FUND="N","",IF(COUNTIFS('Fund History'!$J$834:$J$838,"&gt;="&amp;DATE(YEAR_Y-3,1,1),'Fund History'!$J$834:$J$838,"&lt;="&amp;DATE(YEAR_Y-3,12,31))=0,"",IFERROR($H149*HSTECH!$G$44/SUMIFS('Fund History'!$K$834:$K$838,'Fund History'!$J$834:$J$838,"&gt;="&amp;DATE(YEAR_Y-3,1,1),'Fund History'!$J$834:$J$838,"&lt;="&amp;DATE(YEAR_Y-3,12,31)),""))))</f>
        <v/>
      </c>
      <c r="S149" s="72">
        <f>IF($C149="","",IF(PULL_FUND="N","",IF(COUNTIFS('Fund History'!$J$834:$J$838,"&gt;="&amp;DATE(YEAR_Y-2,1,1),'Fund History'!$J$834:$J$838,"&lt;="&amp;DATE(YEAR_Y-2,12,31))=0,"",IFERROR($I149*HSTECH!$G$44/SUMIFS('Fund History'!$K$834:$K$838,'Fund History'!$J$834:$J$838,"&gt;="&amp;DATE(YEAR_Y-2,1,1),'Fund History'!$J$834:$J$838,"&lt;="&amp;DATE(YEAR_Y-2,12,31)),""))))</f>
        <v/>
      </c>
      <c r="T149" s="72">
        <f>IF($C149="","",IF(PULL_FUND="N","",IF(COUNTIFS('Fund History'!$J$834:$J$838,"&gt;="&amp;DATE(YEAR_Y-1,1,1),'Fund History'!$J$834:$J$838,"&lt;="&amp;DATE(YEAR_Y-1,12,31))=0,"",IFERROR($J149*HSTECH!$G$44/SUMIFS('Fund History'!$K$834:$K$838,'Fund History'!$J$834:$J$838,"&gt;="&amp;DATE(YEAR_Y-1,1,1),'Fund History'!$J$834:$J$838,"&lt;="&amp;DATE(YEAR_Y-1,12,31)),""))))</f>
        <v/>
      </c>
      <c r="U149" s="73">
        <f>IF($C149="","",IF(ISNUMBER(HSTECH!$I$44),HSTECH!$I$44/100,""))</f>
        <v/>
      </c>
      <c r="V149" s="74">
        <f>IF($C149="","",IF(ISNUMBER(HSTECH!$X$44),IFERROR($M149*HSTECH!$G$44/HSTECH!$X$44,""),""))</f>
        <v/>
      </c>
      <c r="W149" s="73">
        <f>IF($C149="","",IF(ISNUMBER($N149),IFERROR($N149*HSTECH!$G$44/HSTECH!$X$44,""),""))</f>
        <v/>
      </c>
      <c r="X149" s="75">
        <f>IF($C149="","",IF(PULL_FUND="N","",IFERROR(BDP($C149,EPS_FIELD,YR_OVERRIDE,TEXT(YEAR_Y-5,"0")),"")))</f>
        <v/>
      </c>
      <c r="Y149" s="76">
        <f>IF($C149="","",IF(PULL_FUND="N","",IFERROR(BDP($C149,EPS_FIELD,YR_OVERRIDE,TEXT(YEAR_Y-4,"0")),"")))</f>
        <v/>
      </c>
      <c r="Z149" s="76">
        <f>IF($C149="","",IF(PULL_FUND="N","",IFERROR(BDP($C149,EPS_FIELD,YR_OVERRIDE,TEXT(YEAR_Y-3,"0")),"")))</f>
        <v/>
      </c>
      <c r="AA149" s="76">
        <f>IF($C149="","",IF(PULL_FUND="N","",IFERROR(BDP($C149,EPS_FIELD,YR_OVERRIDE,TEXT(YEAR_Y-2,"0")),"")))</f>
        <v/>
      </c>
      <c r="AB149" s="76">
        <f>IF($C149="","",IF(PULL_FUND="N","",IFERROR(BDP($C149,EPS_FIELD,YR_OVERRIDE,TEXT(YEAR_Y-1,"0")),"")))</f>
        <v/>
      </c>
      <c r="AC149" s="50">
        <f>IF($C149="","",IFERROR(AVERAGE(X149:AB149),""))</f>
        <v/>
      </c>
      <c r="AD149" s="76">
        <f>IF($C149="","",IF(PULL_FUND="N","",IFERROR(BDP($C149,BESTEPS_FIELD,FWD_OVERRIDE,TEXT(MOD(YEAR_Y,100),"00")&amp;"Y"),"")))</f>
        <v/>
      </c>
      <c r="AE149" s="77">
        <f>IF($C149="","",IF(PULL_FUND="N","",IFERROR(BDP($C149,PAYOUT_FIELD,YR_OVERRIDE,TEXT(YEAR_Y-5,"0"))/100,"")))</f>
        <v/>
      </c>
      <c r="AF149" s="78">
        <f>IF($C149="","",IF(PULL_FUND="N","",IFERROR(BDP($C149,PAYOUT_FIELD,YR_OVERRIDE,TEXT(YEAR_Y-4,"0"))/100,"")))</f>
        <v/>
      </c>
      <c r="AG149" s="78">
        <f>IF($C149="","",IF(PULL_FUND="N","",IFERROR(BDP($C149,PAYOUT_FIELD,YR_OVERRIDE,TEXT(YEAR_Y-3,"0"))/100,"")))</f>
        <v/>
      </c>
      <c r="AH149" s="78">
        <f>IF($C149="","",IF(PULL_FUND="N","",IFERROR(BDP($C149,PAYOUT_FIELD,YR_OVERRIDE,TEXT(YEAR_Y-2,"0"))/100,"")))</f>
        <v/>
      </c>
      <c r="AI149" s="78">
        <f>IF($C149="","",IF(PULL_FUND="N","",IFERROR(BDP($C149,PAYOUT_FIELD,YR_OVERRIDE,TEXT(YEAR_Y-1,"0"))/100,"")))</f>
        <v/>
      </c>
      <c r="AJ149" s="79">
        <f>IF($C149="","",IFERROR(AVERAGE(AE149:AI149),""))</f>
        <v/>
      </c>
      <c r="AK149" s="80">
        <f>IF($C149="","",IF(ISNUMBER($AD149)*ISNUMBER($N149)*($AD149&lt;&gt;0)=0,"",$N149/$AD149))</f>
        <v/>
      </c>
      <c r="AL149" s="79">
        <f>IF($C149="","",IF(ISNUMBER($AD149)*($AD149&lt;&gt;0)=0,"",$M149/$AD149))</f>
        <v/>
      </c>
      <c r="AM149" s="37">
        <f>IF($C149="","",IF(ISNUMBER($AE149)*ISNUMBER($AI149)=0,"",IF($AI149&gt;$AE149+0.05,"rising",IF($AI149&lt;$AE149-0.05,"falling","stable"))))</f>
        <v/>
      </c>
      <c r="AN149" s="81">
        <f>IF($C149="","",IF(PULL_FUND="N","",IF(COUNTIFS('Fund History'!$G$834:$G$838,"&gt;="&amp;DATE(YEAR_Y-4,1,1),'Fund History'!$G$834:$G$838,"&lt;="&amp;DATE(YEAR_Y-4,12,31))=0,"",SUMIFS('Fund History'!$H$834:$H$838,'Fund History'!$G$834:$G$838,"&gt;="&amp;DATE(YEAR_Y-4,1,1),'Fund History'!$G$834:$G$838,"&lt;="&amp;DATE(YEAR_Y-4,12,31))/100)))</f>
        <v/>
      </c>
      <c r="AO149" s="82">
        <f>IF($C149="","",IF(PULL_FUND="N","",IF(COUNTIFS('Fund History'!$G$834:$G$838,"&gt;="&amp;DATE(YEAR_Y-3,1,1),'Fund History'!$G$834:$G$838,"&lt;="&amp;DATE(YEAR_Y-3,12,31))=0,"",SUMIFS('Fund History'!$H$834:$H$838,'Fund History'!$G$834:$G$838,"&gt;="&amp;DATE(YEAR_Y-3,1,1),'Fund History'!$G$834:$G$838,"&lt;="&amp;DATE(YEAR_Y-3,12,31))/100)))</f>
        <v/>
      </c>
      <c r="AP149" s="82">
        <f>IF($C149="","",IF(PULL_FUND="N","",IF(COUNTIFS('Fund History'!$G$834:$G$838,"&gt;="&amp;DATE(YEAR_Y-2,1,1),'Fund History'!$G$834:$G$838,"&lt;="&amp;DATE(YEAR_Y-2,12,31))=0,"",SUMIFS('Fund History'!$H$834:$H$838,'Fund History'!$G$834:$G$838,"&gt;="&amp;DATE(YEAR_Y-2,1,1),'Fund History'!$G$834:$G$838,"&lt;="&amp;DATE(YEAR_Y-2,12,31))/100)))</f>
        <v/>
      </c>
      <c r="AQ149" s="82">
        <f>IF($C149="","",IF(PULL_FUND="N","",IF(COUNTIFS('Fund History'!$G$834:$G$838,"&gt;="&amp;DATE(YEAR_Y-1,1,1),'Fund History'!$G$834:$G$838,"&lt;="&amp;DATE(YEAR_Y-1,12,31))=0,"",SUMIFS('Fund History'!$H$834:$H$838,'Fund History'!$G$834:$G$838,"&gt;="&amp;DATE(YEAR_Y-1,1,1),'Fund History'!$G$834:$G$838,"&lt;="&amp;DATE(YEAR_Y-1,12,31))/100)))</f>
        <v/>
      </c>
      <c r="AR149" s="83">
        <f>IF($C149="","",IF(N($AQ149)+N(HSTECH!$I$44)=0,"",N($AQ149)+N(HSTECH!$I$44)/100))</f>
        <v/>
      </c>
      <c r="AS149" s="75">
        <f>IF($C149="","",IF(PULL_FUND="N","",IF(COUNTIFS('Fund History'!$D$834:$D$838,"&gt;="&amp;DATE(YEAR_Y-2,1,1),'Fund History'!$D$834:$D$838,"&lt;="&amp;DATE(YEAR_Y-2,12,31))=0,"",SUMIFS('Fund History'!$E$834:$E$838,'Fund History'!$D$834:$D$838,"&gt;="&amp;DATE(YEAR_Y-2,1,1),'Fund History'!$D$834:$D$838,"&lt;="&amp;DATE(YEAR_Y-2,12,31)))))</f>
        <v/>
      </c>
      <c r="AT149" s="76">
        <f>IF($C149="","",IF(PULL_FUND="N","",IF(COUNTIFS('Fund History'!$D$834:$D$838,"&gt;="&amp;DATE(YEAR_Y-1,1,1),'Fund History'!$D$834:$D$838,"&lt;="&amp;DATE(YEAR_Y-1,12,31))=0,"",SUMIFS('Fund History'!$E$834:$E$838,'Fund History'!$D$834:$D$838,"&gt;="&amp;DATE(YEAR_Y-1,1,1),'Fund History'!$D$834:$D$838,"&lt;="&amp;DATE(YEAR_Y-1,12,31)))))</f>
        <v/>
      </c>
      <c r="AU149" s="76">
        <f>IF($C149="","",IF(PULL_FUND="N","",IFERROR(BDP($C149,NDEBITDA_FIELD),"")))</f>
        <v/>
      </c>
      <c r="AV149" s="84">
        <f>IF($C149="","",IF(PULL_FUND="N","",IFERROR(BDP($C149,EBINT_FIELD),"")))</f>
        <v/>
      </c>
      <c r="AW149" s="82">
        <f>IF($C149="","",IF(PULL_FUND="N","",IFERROR(BDP($C149,FCF_FIELD)/100,"")))</f>
        <v/>
      </c>
      <c r="AX149" s="50">
        <f>IF($C149="","",IF(N($U149)=0,"",IFERROR($AW149/$U149,"")))</f>
        <v/>
      </c>
      <c r="AY149" s="85">
        <f>IF($C149="","",TRIM(IF(ISNUMBER($AJ149)*(N($AJ149)&gt;$D$4)&gt;0,"payout high  ","")&amp;IF(ISNUMBER($AX149)*(N($AX149)&lt;$F$4)&gt;0,"FCF below dvd  ","")&amp;IF(ISNUMBER($AU149)*(N($AU149)&gt;$H$4)&gt;0,"leverage high","")))</f>
        <v/>
      </c>
      <c r="AZ149" s="86">
        <f>IF($C149="","",IF(HSTECH!$F$44="HKD","",HSTECH!$F$44))</f>
        <v/>
      </c>
    </row>
    <row r="150">
      <c r="B150" s="66" t="inlineStr">
        <is>
          <t>HSTECH</t>
        </is>
      </c>
      <c r="C150" s="8">
        <f>IF(HSTECH!$C$45="","",HSTECH!$C$45)</f>
        <v/>
      </c>
      <c r="D150" s="8">
        <f>IF($C150="","",HSTECH!$D$45)</f>
        <v/>
      </c>
      <c r="E150" s="8">
        <f>IF($C150="","",HSTECH!$E$45)</f>
        <v/>
      </c>
      <c r="F150" s="67">
        <f>IF($C150="","",SUMPRODUCT(('Dvd Calendar'!$E$1534:$AR$1534&gt;=DATE(YEAR_Y-5,1,1))*('Dvd Calendar'!$E$1534:$AR$1534&lt;=DATE(YEAR_Y-5,12,31))*'Dvd Calendar'!$E$1537:$AR$1537*(('Dvd Calendar'!$E$1539:$AR$1539=TYPE1)*(TYPE1&lt;&gt;"")+('Dvd Calendar'!$E$1539:$AR$1539=TYPE2)*(TYPE2&lt;&gt;"")+('Dvd Calendar'!$E$1539:$AR$1539=TYPE3)*(TYPE3&lt;&gt;"")+('Dvd Calendar'!$E$1539:$AR$1539=TYPE4)*(TYPE4&lt;&gt;"")+('Dvd Calendar'!$E$1539:$AR$1539=SPECIAL_LBL)*(INC_SPECIALS="Y"))))</f>
        <v/>
      </c>
      <c r="G150" s="68">
        <f>IF($C150="","",SUMPRODUCT(('Dvd Calendar'!$E$1534:$AR$1534&gt;=DATE(YEAR_Y-4,1,1))*('Dvd Calendar'!$E$1534:$AR$1534&lt;=DATE(YEAR_Y-4,12,31))*'Dvd Calendar'!$E$1537:$AR$1537*(('Dvd Calendar'!$E$1539:$AR$1539=TYPE1)*(TYPE1&lt;&gt;"")+('Dvd Calendar'!$E$1539:$AR$1539=TYPE2)*(TYPE2&lt;&gt;"")+('Dvd Calendar'!$E$1539:$AR$1539=TYPE3)*(TYPE3&lt;&gt;"")+('Dvd Calendar'!$E$1539:$AR$1539=TYPE4)*(TYPE4&lt;&gt;"")+('Dvd Calendar'!$E$1539:$AR$1539=SPECIAL_LBL)*(INC_SPECIALS="Y"))))</f>
        <v/>
      </c>
      <c r="H150" s="68">
        <f>IF($C150="","",SUMPRODUCT(('Dvd Calendar'!$E$1534:$AR$1534&gt;=DATE(YEAR_Y-3,1,1))*('Dvd Calendar'!$E$1534:$AR$1534&lt;=DATE(YEAR_Y-3,12,31))*'Dvd Calendar'!$E$1537:$AR$1537*(('Dvd Calendar'!$E$1539:$AR$1539=TYPE1)*(TYPE1&lt;&gt;"")+('Dvd Calendar'!$E$1539:$AR$1539=TYPE2)*(TYPE2&lt;&gt;"")+('Dvd Calendar'!$E$1539:$AR$1539=TYPE3)*(TYPE3&lt;&gt;"")+('Dvd Calendar'!$E$1539:$AR$1539=TYPE4)*(TYPE4&lt;&gt;"")+('Dvd Calendar'!$E$1539:$AR$1539=SPECIAL_LBL)*(INC_SPECIALS="Y"))))</f>
        <v/>
      </c>
      <c r="I150" s="68">
        <f>IF($C150="","",SUMPRODUCT(('Dvd Calendar'!$E$1534:$AR$1534&gt;=DATE(YEAR_Y-2,1,1))*('Dvd Calendar'!$E$1534:$AR$1534&lt;=DATE(YEAR_Y-2,12,31))*'Dvd Calendar'!$E$1537:$AR$1537*(('Dvd Calendar'!$E$1539:$AR$1539=TYPE1)*(TYPE1&lt;&gt;"")+('Dvd Calendar'!$E$1539:$AR$1539=TYPE2)*(TYPE2&lt;&gt;"")+('Dvd Calendar'!$E$1539:$AR$1539=TYPE3)*(TYPE3&lt;&gt;"")+('Dvd Calendar'!$E$1539:$AR$1539=TYPE4)*(TYPE4&lt;&gt;"")+('Dvd Calendar'!$E$1539:$AR$1539=SPECIAL_LBL)*(INC_SPECIALS="Y"))))</f>
        <v/>
      </c>
      <c r="J150" s="68">
        <f>IF($C150="","",SUMPRODUCT(('Dvd Calendar'!$E$1534:$AR$1534&gt;=DATE(YEAR_Y-1,1,1))*('Dvd Calendar'!$E$1534:$AR$1534&lt;=DATE(YEAR_Y-1,12,31))*'Dvd Calendar'!$E$1537:$AR$1537*(('Dvd Calendar'!$E$1539:$AR$1539=TYPE1)*(TYPE1&lt;&gt;"")+('Dvd Calendar'!$E$1539:$AR$1539=TYPE2)*(TYPE2&lt;&gt;"")+('Dvd Calendar'!$E$1539:$AR$1539=TYPE3)*(TYPE3&lt;&gt;"")+('Dvd Calendar'!$E$1539:$AR$1539=TYPE4)*(TYPE4&lt;&gt;"")+('Dvd Calendar'!$E$1539:$AR$1539=SPECIAL_LBL)*(INC_SPECIALS="Y"))))</f>
        <v/>
      </c>
      <c r="K150" s="69">
        <f>IF($C150="","",HSTECH!$J$45)</f>
        <v/>
      </c>
      <c r="L150" s="69">
        <f>IF($C150="","",HSTECH!$K$45)</f>
        <v/>
      </c>
      <c r="M150" s="44">
        <f>IF($C150="","",HSTECH!$J$45+HSTECH!$L$45)</f>
        <v/>
      </c>
      <c r="N150" s="70">
        <f>IF($C150="","",IF(PULL_FUND="N","",IFERROR(BDP($C150,BESTDPS_FIELD,FWD_OVERRIDE,TEXT(MOD(YEAR_Y,100),"00")&amp;"Y"),"")))</f>
        <v/>
      </c>
      <c r="O150" s="69">
        <f>IF($C150="","",AVERAGE(F150:J150))</f>
        <v/>
      </c>
      <c r="P150" s="71">
        <f>IF($C150="","",IF(PULL_FUND="N","",IF(COUNTIFS('Fund History'!$J$840:$J$844,"&gt;="&amp;DATE(YEAR_Y-5,1,1),'Fund History'!$J$840:$J$844,"&lt;="&amp;DATE(YEAR_Y-5,12,31))=0,"",IFERROR($F150*HSTECH!$G$45/SUMIFS('Fund History'!$K$840:$K$844,'Fund History'!$J$840:$J$844,"&gt;="&amp;DATE(YEAR_Y-5,1,1),'Fund History'!$J$840:$J$844,"&lt;="&amp;DATE(YEAR_Y-5,12,31)),""))))</f>
        <v/>
      </c>
      <c r="Q150" s="72">
        <f>IF($C150="","",IF(PULL_FUND="N","",IF(COUNTIFS('Fund History'!$J$840:$J$844,"&gt;="&amp;DATE(YEAR_Y-4,1,1),'Fund History'!$J$840:$J$844,"&lt;="&amp;DATE(YEAR_Y-4,12,31))=0,"",IFERROR($G150*HSTECH!$G$45/SUMIFS('Fund History'!$K$840:$K$844,'Fund History'!$J$840:$J$844,"&gt;="&amp;DATE(YEAR_Y-4,1,1),'Fund History'!$J$840:$J$844,"&lt;="&amp;DATE(YEAR_Y-4,12,31)),""))))</f>
        <v/>
      </c>
      <c r="R150" s="72">
        <f>IF($C150="","",IF(PULL_FUND="N","",IF(COUNTIFS('Fund History'!$J$840:$J$844,"&gt;="&amp;DATE(YEAR_Y-3,1,1),'Fund History'!$J$840:$J$844,"&lt;="&amp;DATE(YEAR_Y-3,12,31))=0,"",IFERROR($H150*HSTECH!$G$45/SUMIFS('Fund History'!$K$840:$K$844,'Fund History'!$J$840:$J$844,"&gt;="&amp;DATE(YEAR_Y-3,1,1),'Fund History'!$J$840:$J$844,"&lt;="&amp;DATE(YEAR_Y-3,12,31)),""))))</f>
        <v/>
      </c>
      <c r="S150" s="72">
        <f>IF($C150="","",IF(PULL_FUND="N","",IF(COUNTIFS('Fund History'!$J$840:$J$844,"&gt;="&amp;DATE(YEAR_Y-2,1,1),'Fund History'!$J$840:$J$844,"&lt;="&amp;DATE(YEAR_Y-2,12,31))=0,"",IFERROR($I150*HSTECH!$G$45/SUMIFS('Fund History'!$K$840:$K$844,'Fund History'!$J$840:$J$844,"&gt;="&amp;DATE(YEAR_Y-2,1,1),'Fund History'!$J$840:$J$844,"&lt;="&amp;DATE(YEAR_Y-2,12,31)),""))))</f>
        <v/>
      </c>
      <c r="T150" s="72">
        <f>IF($C150="","",IF(PULL_FUND="N","",IF(COUNTIFS('Fund History'!$J$840:$J$844,"&gt;="&amp;DATE(YEAR_Y-1,1,1),'Fund History'!$J$840:$J$844,"&lt;="&amp;DATE(YEAR_Y-1,12,31))=0,"",IFERROR($J150*HSTECH!$G$45/SUMIFS('Fund History'!$K$840:$K$844,'Fund History'!$J$840:$J$844,"&gt;="&amp;DATE(YEAR_Y-1,1,1),'Fund History'!$J$840:$J$844,"&lt;="&amp;DATE(YEAR_Y-1,12,31)),""))))</f>
        <v/>
      </c>
      <c r="U150" s="73">
        <f>IF($C150="","",IF(ISNUMBER(HSTECH!$I$45),HSTECH!$I$45/100,""))</f>
        <v/>
      </c>
      <c r="V150" s="74">
        <f>IF($C150="","",IF(ISNUMBER(HSTECH!$X$45),IFERROR($M150*HSTECH!$G$45/HSTECH!$X$45,""),""))</f>
        <v/>
      </c>
      <c r="W150" s="73">
        <f>IF($C150="","",IF(ISNUMBER($N150),IFERROR($N150*HSTECH!$G$45/HSTECH!$X$45,""),""))</f>
        <v/>
      </c>
      <c r="X150" s="75">
        <f>IF($C150="","",IF(PULL_FUND="N","",IFERROR(BDP($C150,EPS_FIELD,YR_OVERRIDE,TEXT(YEAR_Y-5,"0")),"")))</f>
        <v/>
      </c>
      <c r="Y150" s="76">
        <f>IF($C150="","",IF(PULL_FUND="N","",IFERROR(BDP($C150,EPS_FIELD,YR_OVERRIDE,TEXT(YEAR_Y-4,"0")),"")))</f>
        <v/>
      </c>
      <c r="Z150" s="76">
        <f>IF($C150="","",IF(PULL_FUND="N","",IFERROR(BDP($C150,EPS_FIELD,YR_OVERRIDE,TEXT(YEAR_Y-3,"0")),"")))</f>
        <v/>
      </c>
      <c r="AA150" s="76">
        <f>IF($C150="","",IF(PULL_FUND="N","",IFERROR(BDP($C150,EPS_FIELD,YR_OVERRIDE,TEXT(YEAR_Y-2,"0")),"")))</f>
        <v/>
      </c>
      <c r="AB150" s="76">
        <f>IF($C150="","",IF(PULL_FUND="N","",IFERROR(BDP($C150,EPS_FIELD,YR_OVERRIDE,TEXT(YEAR_Y-1,"0")),"")))</f>
        <v/>
      </c>
      <c r="AC150" s="50">
        <f>IF($C150="","",IFERROR(AVERAGE(X150:AB150),""))</f>
        <v/>
      </c>
      <c r="AD150" s="76">
        <f>IF($C150="","",IF(PULL_FUND="N","",IFERROR(BDP($C150,BESTEPS_FIELD,FWD_OVERRIDE,TEXT(MOD(YEAR_Y,100),"00")&amp;"Y"),"")))</f>
        <v/>
      </c>
      <c r="AE150" s="77">
        <f>IF($C150="","",IF(PULL_FUND="N","",IFERROR(BDP($C150,PAYOUT_FIELD,YR_OVERRIDE,TEXT(YEAR_Y-5,"0"))/100,"")))</f>
        <v/>
      </c>
      <c r="AF150" s="78">
        <f>IF($C150="","",IF(PULL_FUND="N","",IFERROR(BDP($C150,PAYOUT_FIELD,YR_OVERRIDE,TEXT(YEAR_Y-4,"0"))/100,"")))</f>
        <v/>
      </c>
      <c r="AG150" s="78">
        <f>IF($C150="","",IF(PULL_FUND="N","",IFERROR(BDP($C150,PAYOUT_FIELD,YR_OVERRIDE,TEXT(YEAR_Y-3,"0"))/100,"")))</f>
        <v/>
      </c>
      <c r="AH150" s="78">
        <f>IF($C150="","",IF(PULL_FUND="N","",IFERROR(BDP($C150,PAYOUT_FIELD,YR_OVERRIDE,TEXT(YEAR_Y-2,"0"))/100,"")))</f>
        <v/>
      </c>
      <c r="AI150" s="78">
        <f>IF($C150="","",IF(PULL_FUND="N","",IFERROR(BDP($C150,PAYOUT_FIELD,YR_OVERRIDE,TEXT(YEAR_Y-1,"0"))/100,"")))</f>
        <v/>
      </c>
      <c r="AJ150" s="79">
        <f>IF($C150="","",IFERROR(AVERAGE(AE150:AI150),""))</f>
        <v/>
      </c>
      <c r="AK150" s="80">
        <f>IF($C150="","",IF(ISNUMBER($AD150)*ISNUMBER($N150)*($AD150&lt;&gt;0)=0,"",$N150/$AD150))</f>
        <v/>
      </c>
      <c r="AL150" s="79">
        <f>IF($C150="","",IF(ISNUMBER($AD150)*($AD150&lt;&gt;0)=0,"",$M150/$AD150))</f>
        <v/>
      </c>
      <c r="AM150" s="37">
        <f>IF($C150="","",IF(ISNUMBER($AE150)*ISNUMBER($AI150)=0,"",IF($AI150&gt;$AE150+0.05,"rising",IF($AI150&lt;$AE150-0.05,"falling","stable"))))</f>
        <v/>
      </c>
      <c r="AN150" s="81">
        <f>IF($C150="","",IF(PULL_FUND="N","",IF(COUNTIFS('Fund History'!$G$840:$G$844,"&gt;="&amp;DATE(YEAR_Y-4,1,1),'Fund History'!$G$840:$G$844,"&lt;="&amp;DATE(YEAR_Y-4,12,31))=0,"",SUMIFS('Fund History'!$H$840:$H$844,'Fund History'!$G$840:$G$844,"&gt;="&amp;DATE(YEAR_Y-4,1,1),'Fund History'!$G$840:$G$844,"&lt;="&amp;DATE(YEAR_Y-4,12,31))/100)))</f>
        <v/>
      </c>
      <c r="AO150" s="82">
        <f>IF($C150="","",IF(PULL_FUND="N","",IF(COUNTIFS('Fund History'!$G$840:$G$844,"&gt;="&amp;DATE(YEAR_Y-3,1,1),'Fund History'!$G$840:$G$844,"&lt;="&amp;DATE(YEAR_Y-3,12,31))=0,"",SUMIFS('Fund History'!$H$840:$H$844,'Fund History'!$G$840:$G$844,"&gt;="&amp;DATE(YEAR_Y-3,1,1),'Fund History'!$G$840:$G$844,"&lt;="&amp;DATE(YEAR_Y-3,12,31))/100)))</f>
        <v/>
      </c>
      <c r="AP150" s="82">
        <f>IF($C150="","",IF(PULL_FUND="N","",IF(COUNTIFS('Fund History'!$G$840:$G$844,"&gt;="&amp;DATE(YEAR_Y-2,1,1),'Fund History'!$G$840:$G$844,"&lt;="&amp;DATE(YEAR_Y-2,12,31))=0,"",SUMIFS('Fund History'!$H$840:$H$844,'Fund History'!$G$840:$G$844,"&gt;="&amp;DATE(YEAR_Y-2,1,1),'Fund History'!$G$840:$G$844,"&lt;="&amp;DATE(YEAR_Y-2,12,31))/100)))</f>
        <v/>
      </c>
      <c r="AQ150" s="82">
        <f>IF($C150="","",IF(PULL_FUND="N","",IF(COUNTIFS('Fund History'!$G$840:$G$844,"&gt;="&amp;DATE(YEAR_Y-1,1,1),'Fund History'!$G$840:$G$844,"&lt;="&amp;DATE(YEAR_Y-1,12,31))=0,"",SUMIFS('Fund History'!$H$840:$H$844,'Fund History'!$G$840:$G$844,"&gt;="&amp;DATE(YEAR_Y-1,1,1),'Fund History'!$G$840:$G$844,"&lt;="&amp;DATE(YEAR_Y-1,12,31))/100)))</f>
        <v/>
      </c>
      <c r="AR150" s="83">
        <f>IF($C150="","",IF(N($AQ150)+N(HSTECH!$I$45)=0,"",N($AQ150)+N(HSTECH!$I$45)/100))</f>
        <v/>
      </c>
      <c r="AS150" s="75">
        <f>IF($C150="","",IF(PULL_FUND="N","",IF(COUNTIFS('Fund History'!$D$840:$D$844,"&gt;="&amp;DATE(YEAR_Y-2,1,1),'Fund History'!$D$840:$D$844,"&lt;="&amp;DATE(YEAR_Y-2,12,31))=0,"",SUMIFS('Fund History'!$E$840:$E$844,'Fund History'!$D$840:$D$844,"&gt;="&amp;DATE(YEAR_Y-2,1,1),'Fund History'!$D$840:$D$844,"&lt;="&amp;DATE(YEAR_Y-2,12,31)))))</f>
        <v/>
      </c>
      <c r="AT150" s="76">
        <f>IF($C150="","",IF(PULL_FUND="N","",IF(COUNTIFS('Fund History'!$D$840:$D$844,"&gt;="&amp;DATE(YEAR_Y-1,1,1),'Fund History'!$D$840:$D$844,"&lt;="&amp;DATE(YEAR_Y-1,12,31))=0,"",SUMIFS('Fund History'!$E$840:$E$844,'Fund History'!$D$840:$D$844,"&gt;="&amp;DATE(YEAR_Y-1,1,1),'Fund History'!$D$840:$D$844,"&lt;="&amp;DATE(YEAR_Y-1,12,31)))))</f>
        <v/>
      </c>
      <c r="AU150" s="76">
        <f>IF($C150="","",IF(PULL_FUND="N","",IFERROR(BDP($C150,NDEBITDA_FIELD),"")))</f>
        <v/>
      </c>
      <c r="AV150" s="84">
        <f>IF($C150="","",IF(PULL_FUND="N","",IFERROR(BDP($C150,EBINT_FIELD),"")))</f>
        <v/>
      </c>
      <c r="AW150" s="82">
        <f>IF($C150="","",IF(PULL_FUND="N","",IFERROR(BDP($C150,FCF_FIELD)/100,"")))</f>
        <v/>
      </c>
      <c r="AX150" s="50">
        <f>IF($C150="","",IF(N($U150)=0,"",IFERROR($AW150/$U150,"")))</f>
        <v/>
      </c>
      <c r="AY150" s="85">
        <f>IF($C150="","",TRIM(IF(ISNUMBER($AJ150)*(N($AJ150)&gt;$D$4)&gt;0,"payout high  ","")&amp;IF(ISNUMBER($AX150)*(N($AX150)&lt;$F$4)&gt;0,"FCF below dvd  ","")&amp;IF(ISNUMBER($AU150)*(N($AU150)&gt;$H$4)&gt;0,"leverage high","")))</f>
        <v/>
      </c>
      <c r="AZ150" s="86">
        <f>IF($C150="","",IF(HSTECH!$F$45="HKD","",HSTECH!$F$45))</f>
        <v/>
      </c>
    </row>
    <row r="151">
      <c r="B151" s="66" t="inlineStr">
        <is>
          <t>HSTECH</t>
        </is>
      </c>
      <c r="C151" s="8">
        <f>IF(HSTECH!$C$46="","",HSTECH!$C$46)</f>
        <v/>
      </c>
      <c r="D151" s="8">
        <f>IF($C151="","",HSTECH!$D$46)</f>
        <v/>
      </c>
      <c r="E151" s="8">
        <f>IF($C151="","",HSTECH!$E$46)</f>
        <v/>
      </c>
      <c r="F151" s="67">
        <f>IF($C151="","",SUMPRODUCT(('Dvd Calendar'!$E$1545:$AR$1545&gt;=DATE(YEAR_Y-5,1,1))*('Dvd Calendar'!$E$1545:$AR$1545&lt;=DATE(YEAR_Y-5,12,31))*'Dvd Calendar'!$E$1548:$AR$1548*(('Dvd Calendar'!$E$1550:$AR$1550=TYPE1)*(TYPE1&lt;&gt;"")+('Dvd Calendar'!$E$1550:$AR$1550=TYPE2)*(TYPE2&lt;&gt;"")+('Dvd Calendar'!$E$1550:$AR$1550=TYPE3)*(TYPE3&lt;&gt;"")+('Dvd Calendar'!$E$1550:$AR$1550=TYPE4)*(TYPE4&lt;&gt;"")+('Dvd Calendar'!$E$1550:$AR$1550=SPECIAL_LBL)*(INC_SPECIALS="Y"))))</f>
        <v/>
      </c>
      <c r="G151" s="68">
        <f>IF($C151="","",SUMPRODUCT(('Dvd Calendar'!$E$1545:$AR$1545&gt;=DATE(YEAR_Y-4,1,1))*('Dvd Calendar'!$E$1545:$AR$1545&lt;=DATE(YEAR_Y-4,12,31))*'Dvd Calendar'!$E$1548:$AR$1548*(('Dvd Calendar'!$E$1550:$AR$1550=TYPE1)*(TYPE1&lt;&gt;"")+('Dvd Calendar'!$E$1550:$AR$1550=TYPE2)*(TYPE2&lt;&gt;"")+('Dvd Calendar'!$E$1550:$AR$1550=TYPE3)*(TYPE3&lt;&gt;"")+('Dvd Calendar'!$E$1550:$AR$1550=TYPE4)*(TYPE4&lt;&gt;"")+('Dvd Calendar'!$E$1550:$AR$1550=SPECIAL_LBL)*(INC_SPECIALS="Y"))))</f>
        <v/>
      </c>
      <c r="H151" s="68">
        <f>IF($C151="","",SUMPRODUCT(('Dvd Calendar'!$E$1545:$AR$1545&gt;=DATE(YEAR_Y-3,1,1))*('Dvd Calendar'!$E$1545:$AR$1545&lt;=DATE(YEAR_Y-3,12,31))*'Dvd Calendar'!$E$1548:$AR$1548*(('Dvd Calendar'!$E$1550:$AR$1550=TYPE1)*(TYPE1&lt;&gt;"")+('Dvd Calendar'!$E$1550:$AR$1550=TYPE2)*(TYPE2&lt;&gt;"")+('Dvd Calendar'!$E$1550:$AR$1550=TYPE3)*(TYPE3&lt;&gt;"")+('Dvd Calendar'!$E$1550:$AR$1550=TYPE4)*(TYPE4&lt;&gt;"")+('Dvd Calendar'!$E$1550:$AR$1550=SPECIAL_LBL)*(INC_SPECIALS="Y"))))</f>
        <v/>
      </c>
      <c r="I151" s="68">
        <f>IF($C151="","",SUMPRODUCT(('Dvd Calendar'!$E$1545:$AR$1545&gt;=DATE(YEAR_Y-2,1,1))*('Dvd Calendar'!$E$1545:$AR$1545&lt;=DATE(YEAR_Y-2,12,31))*'Dvd Calendar'!$E$1548:$AR$1548*(('Dvd Calendar'!$E$1550:$AR$1550=TYPE1)*(TYPE1&lt;&gt;"")+('Dvd Calendar'!$E$1550:$AR$1550=TYPE2)*(TYPE2&lt;&gt;"")+('Dvd Calendar'!$E$1550:$AR$1550=TYPE3)*(TYPE3&lt;&gt;"")+('Dvd Calendar'!$E$1550:$AR$1550=TYPE4)*(TYPE4&lt;&gt;"")+('Dvd Calendar'!$E$1550:$AR$1550=SPECIAL_LBL)*(INC_SPECIALS="Y"))))</f>
        <v/>
      </c>
      <c r="J151" s="68">
        <f>IF($C151="","",SUMPRODUCT(('Dvd Calendar'!$E$1545:$AR$1545&gt;=DATE(YEAR_Y-1,1,1))*('Dvd Calendar'!$E$1545:$AR$1545&lt;=DATE(YEAR_Y-1,12,31))*'Dvd Calendar'!$E$1548:$AR$1548*(('Dvd Calendar'!$E$1550:$AR$1550=TYPE1)*(TYPE1&lt;&gt;"")+('Dvd Calendar'!$E$1550:$AR$1550=TYPE2)*(TYPE2&lt;&gt;"")+('Dvd Calendar'!$E$1550:$AR$1550=TYPE3)*(TYPE3&lt;&gt;"")+('Dvd Calendar'!$E$1550:$AR$1550=TYPE4)*(TYPE4&lt;&gt;"")+('Dvd Calendar'!$E$1550:$AR$1550=SPECIAL_LBL)*(INC_SPECIALS="Y"))))</f>
        <v/>
      </c>
      <c r="K151" s="69">
        <f>IF($C151="","",HSTECH!$J$46)</f>
        <v/>
      </c>
      <c r="L151" s="69">
        <f>IF($C151="","",HSTECH!$K$46)</f>
        <v/>
      </c>
      <c r="M151" s="44">
        <f>IF($C151="","",HSTECH!$J$46+HSTECH!$L$46)</f>
        <v/>
      </c>
      <c r="N151" s="70">
        <f>IF($C151="","",IF(PULL_FUND="N","",IFERROR(BDP($C151,BESTDPS_FIELD,FWD_OVERRIDE,TEXT(MOD(YEAR_Y,100),"00")&amp;"Y"),"")))</f>
        <v/>
      </c>
      <c r="O151" s="69">
        <f>IF($C151="","",AVERAGE(F151:J151))</f>
        <v/>
      </c>
      <c r="P151" s="71">
        <f>IF($C151="","",IF(PULL_FUND="N","",IF(COUNTIFS('Fund History'!$J$846:$J$850,"&gt;="&amp;DATE(YEAR_Y-5,1,1),'Fund History'!$J$846:$J$850,"&lt;="&amp;DATE(YEAR_Y-5,12,31))=0,"",IFERROR($F151*HSTECH!$G$46/SUMIFS('Fund History'!$K$846:$K$850,'Fund History'!$J$846:$J$850,"&gt;="&amp;DATE(YEAR_Y-5,1,1),'Fund History'!$J$846:$J$850,"&lt;="&amp;DATE(YEAR_Y-5,12,31)),""))))</f>
        <v/>
      </c>
      <c r="Q151" s="72">
        <f>IF($C151="","",IF(PULL_FUND="N","",IF(COUNTIFS('Fund History'!$J$846:$J$850,"&gt;="&amp;DATE(YEAR_Y-4,1,1),'Fund History'!$J$846:$J$850,"&lt;="&amp;DATE(YEAR_Y-4,12,31))=0,"",IFERROR($G151*HSTECH!$G$46/SUMIFS('Fund History'!$K$846:$K$850,'Fund History'!$J$846:$J$850,"&gt;="&amp;DATE(YEAR_Y-4,1,1),'Fund History'!$J$846:$J$850,"&lt;="&amp;DATE(YEAR_Y-4,12,31)),""))))</f>
        <v/>
      </c>
      <c r="R151" s="72">
        <f>IF($C151="","",IF(PULL_FUND="N","",IF(COUNTIFS('Fund History'!$J$846:$J$850,"&gt;="&amp;DATE(YEAR_Y-3,1,1),'Fund History'!$J$846:$J$850,"&lt;="&amp;DATE(YEAR_Y-3,12,31))=0,"",IFERROR($H151*HSTECH!$G$46/SUMIFS('Fund History'!$K$846:$K$850,'Fund History'!$J$846:$J$850,"&gt;="&amp;DATE(YEAR_Y-3,1,1),'Fund History'!$J$846:$J$850,"&lt;="&amp;DATE(YEAR_Y-3,12,31)),""))))</f>
        <v/>
      </c>
      <c r="S151" s="72">
        <f>IF($C151="","",IF(PULL_FUND="N","",IF(COUNTIFS('Fund History'!$J$846:$J$850,"&gt;="&amp;DATE(YEAR_Y-2,1,1),'Fund History'!$J$846:$J$850,"&lt;="&amp;DATE(YEAR_Y-2,12,31))=0,"",IFERROR($I151*HSTECH!$G$46/SUMIFS('Fund History'!$K$846:$K$850,'Fund History'!$J$846:$J$850,"&gt;="&amp;DATE(YEAR_Y-2,1,1),'Fund History'!$J$846:$J$850,"&lt;="&amp;DATE(YEAR_Y-2,12,31)),""))))</f>
        <v/>
      </c>
      <c r="T151" s="72">
        <f>IF($C151="","",IF(PULL_FUND="N","",IF(COUNTIFS('Fund History'!$J$846:$J$850,"&gt;="&amp;DATE(YEAR_Y-1,1,1),'Fund History'!$J$846:$J$850,"&lt;="&amp;DATE(YEAR_Y-1,12,31))=0,"",IFERROR($J151*HSTECH!$G$46/SUMIFS('Fund History'!$K$846:$K$850,'Fund History'!$J$846:$J$850,"&gt;="&amp;DATE(YEAR_Y-1,1,1),'Fund History'!$J$846:$J$850,"&lt;="&amp;DATE(YEAR_Y-1,12,31)),""))))</f>
        <v/>
      </c>
      <c r="U151" s="73">
        <f>IF($C151="","",IF(ISNUMBER(HSTECH!$I$46),HSTECH!$I$46/100,""))</f>
        <v/>
      </c>
      <c r="V151" s="74">
        <f>IF($C151="","",IF(ISNUMBER(HSTECH!$X$46),IFERROR($M151*HSTECH!$G$46/HSTECH!$X$46,""),""))</f>
        <v/>
      </c>
      <c r="W151" s="73">
        <f>IF($C151="","",IF(ISNUMBER($N151),IFERROR($N151*HSTECH!$G$46/HSTECH!$X$46,""),""))</f>
        <v/>
      </c>
      <c r="X151" s="75">
        <f>IF($C151="","",IF(PULL_FUND="N","",IFERROR(BDP($C151,EPS_FIELD,YR_OVERRIDE,TEXT(YEAR_Y-5,"0")),"")))</f>
        <v/>
      </c>
      <c r="Y151" s="76">
        <f>IF($C151="","",IF(PULL_FUND="N","",IFERROR(BDP($C151,EPS_FIELD,YR_OVERRIDE,TEXT(YEAR_Y-4,"0")),"")))</f>
        <v/>
      </c>
      <c r="Z151" s="76">
        <f>IF($C151="","",IF(PULL_FUND="N","",IFERROR(BDP($C151,EPS_FIELD,YR_OVERRIDE,TEXT(YEAR_Y-3,"0")),"")))</f>
        <v/>
      </c>
      <c r="AA151" s="76">
        <f>IF($C151="","",IF(PULL_FUND="N","",IFERROR(BDP($C151,EPS_FIELD,YR_OVERRIDE,TEXT(YEAR_Y-2,"0")),"")))</f>
        <v/>
      </c>
      <c r="AB151" s="76">
        <f>IF($C151="","",IF(PULL_FUND="N","",IFERROR(BDP($C151,EPS_FIELD,YR_OVERRIDE,TEXT(YEAR_Y-1,"0")),"")))</f>
        <v/>
      </c>
      <c r="AC151" s="50">
        <f>IF($C151="","",IFERROR(AVERAGE(X151:AB151),""))</f>
        <v/>
      </c>
      <c r="AD151" s="76">
        <f>IF($C151="","",IF(PULL_FUND="N","",IFERROR(BDP($C151,BESTEPS_FIELD,FWD_OVERRIDE,TEXT(MOD(YEAR_Y,100),"00")&amp;"Y"),"")))</f>
        <v/>
      </c>
      <c r="AE151" s="77">
        <f>IF($C151="","",IF(PULL_FUND="N","",IFERROR(BDP($C151,PAYOUT_FIELD,YR_OVERRIDE,TEXT(YEAR_Y-5,"0"))/100,"")))</f>
        <v/>
      </c>
      <c r="AF151" s="78">
        <f>IF($C151="","",IF(PULL_FUND="N","",IFERROR(BDP($C151,PAYOUT_FIELD,YR_OVERRIDE,TEXT(YEAR_Y-4,"0"))/100,"")))</f>
        <v/>
      </c>
      <c r="AG151" s="78">
        <f>IF($C151="","",IF(PULL_FUND="N","",IFERROR(BDP($C151,PAYOUT_FIELD,YR_OVERRIDE,TEXT(YEAR_Y-3,"0"))/100,"")))</f>
        <v/>
      </c>
      <c r="AH151" s="78">
        <f>IF($C151="","",IF(PULL_FUND="N","",IFERROR(BDP($C151,PAYOUT_FIELD,YR_OVERRIDE,TEXT(YEAR_Y-2,"0"))/100,"")))</f>
        <v/>
      </c>
      <c r="AI151" s="78">
        <f>IF($C151="","",IF(PULL_FUND="N","",IFERROR(BDP($C151,PAYOUT_FIELD,YR_OVERRIDE,TEXT(YEAR_Y-1,"0"))/100,"")))</f>
        <v/>
      </c>
      <c r="AJ151" s="79">
        <f>IF($C151="","",IFERROR(AVERAGE(AE151:AI151),""))</f>
        <v/>
      </c>
      <c r="AK151" s="80">
        <f>IF($C151="","",IF(ISNUMBER($AD151)*ISNUMBER($N151)*($AD151&lt;&gt;0)=0,"",$N151/$AD151))</f>
        <v/>
      </c>
      <c r="AL151" s="79">
        <f>IF($C151="","",IF(ISNUMBER($AD151)*($AD151&lt;&gt;0)=0,"",$M151/$AD151))</f>
        <v/>
      </c>
      <c r="AM151" s="37">
        <f>IF($C151="","",IF(ISNUMBER($AE151)*ISNUMBER($AI151)=0,"",IF($AI151&gt;$AE151+0.05,"rising",IF($AI151&lt;$AE151-0.05,"falling","stable"))))</f>
        <v/>
      </c>
      <c r="AN151" s="81">
        <f>IF($C151="","",IF(PULL_FUND="N","",IF(COUNTIFS('Fund History'!$G$846:$G$850,"&gt;="&amp;DATE(YEAR_Y-4,1,1),'Fund History'!$G$846:$G$850,"&lt;="&amp;DATE(YEAR_Y-4,12,31))=0,"",SUMIFS('Fund History'!$H$846:$H$850,'Fund History'!$G$846:$G$850,"&gt;="&amp;DATE(YEAR_Y-4,1,1),'Fund History'!$G$846:$G$850,"&lt;="&amp;DATE(YEAR_Y-4,12,31))/100)))</f>
        <v/>
      </c>
      <c r="AO151" s="82">
        <f>IF($C151="","",IF(PULL_FUND="N","",IF(COUNTIFS('Fund History'!$G$846:$G$850,"&gt;="&amp;DATE(YEAR_Y-3,1,1),'Fund History'!$G$846:$G$850,"&lt;="&amp;DATE(YEAR_Y-3,12,31))=0,"",SUMIFS('Fund History'!$H$846:$H$850,'Fund History'!$G$846:$G$850,"&gt;="&amp;DATE(YEAR_Y-3,1,1),'Fund History'!$G$846:$G$850,"&lt;="&amp;DATE(YEAR_Y-3,12,31))/100)))</f>
        <v/>
      </c>
      <c r="AP151" s="82">
        <f>IF($C151="","",IF(PULL_FUND="N","",IF(COUNTIFS('Fund History'!$G$846:$G$850,"&gt;="&amp;DATE(YEAR_Y-2,1,1),'Fund History'!$G$846:$G$850,"&lt;="&amp;DATE(YEAR_Y-2,12,31))=0,"",SUMIFS('Fund History'!$H$846:$H$850,'Fund History'!$G$846:$G$850,"&gt;="&amp;DATE(YEAR_Y-2,1,1),'Fund History'!$G$846:$G$850,"&lt;="&amp;DATE(YEAR_Y-2,12,31))/100)))</f>
        <v/>
      </c>
      <c r="AQ151" s="82">
        <f>IF($C151="","",IF(PULL_FUND="N","",IF(COUNTIFS('Fund History'!$G$846:$G$850,"&gt;="&amp;DATE(YEAR_Y-1,1,1),'Fund History'!$G$846:$G$850,"&lt;="&amp;DATE(YEAR_Y-1,12,31))=0,"",SUMIFS('Fund History'!$H$846:$H$850,'Fund History'!$G$846:$G$850,"&gt;="&amp;DATE(YEAR_Y-1,1,1),'Fund History'!$G$846:$G$850,"&lt;="&amp;DATE(YEAR_Y-1,12,31))/100)))</f>
        <v/>
      </c>
      <c r="AR151" s="83">
        <f>IF($C151="","",IF(N($AQ151)+N(HSTECH!$I$46)=0,"",N($AQ151)+N(HSTECH!$I$46)/100))</f>
        <v/>
      </c>
      <c r="AS151" s="75">
        <f>IF($C151="","",IF(PULL_FUND="N","",IF(COUNTIFS('Fund History'!$D$846:$D$850,"&gt;="&amp;DATE(YEAR_Y-2,1,1),'Fund History'!$D$846:$D$850,"&lt;="&amp;DATE(YEAR_Y-2,12,31))=0,"",SUMIFS('Fund History'!$E$846:$E$850,'Fund History'!$D$846:$D$850,"&gt;="&amp;DATE(YEAR_Y-2,1,1),'Fund History'!$D$846:$D$850,"&lt;="&amp;DATE(YEAR_Y-2,12,31)))))</f>
        <v/>
      </c>
      <c r="AT151" s="76">
        <f>IF($C151="","",IF(PULL_FUND="N","",IF(COUNTIFS('Fund History'!$D$846:$D$850,"&gt;="&amp;DATE(YEAR_Y-1,1,1),'Fund History'!$D$846:$D$850,"&lt;="&amp;DATE(YEAR_Y-1,12,31))=0,"",SUMIFS('Fund History'!$E$846:$E$850,'Fund History'!$D$846:$D$850,"&gt;="&amp;DATE(YEAR_Y-1,1,1),'Fund History'!$D$846:$D$850,"&lt;="&amp;DATE(YEAR_Y-1,12,31)))))</f>
        <v/>
      </c>
      <c r="AU151" s="76">
        <f>IF($C151="","",IF(PULL_FUND="N","",IFERROR(BDP($C151,NDEBITDA_FIELD),"")))</f>
        <v/>
      </c>
      <c r="AV151" s="84">
        <f>IF($C151="","",IF(PULL_FUND="N","",IFERROR(BDP($C151,EBINT_FIELD),"")))</f>
        <v/>
      </c>
      <c r="AW151" s="82">
        <f>IF($C151="","",IF(PULL_FUND="N","",IFERROR(BDP($C151,FCF_FIELD)/100,"")))</f>
        <v/>
      </c>
      <c r="AX151" s="50">
        <f>IF($C151="","",IF(N($U151)=0,"",IFERROR($AW151/$U151,"")))</f>
        <v/>
      </c>
      <c r="AY151" s="85">
        <f>IF($C151="","",TRIM(IF(ISNUMBER($AJ151)*(N($AJ151)&gt;$D$4)&gt;0,"payout high  ","")&amp;IF(ISNUMBER($AX151)*(N($AX151)&lt;$F$4)&gt;0,"FCF below dvd  ","")&amp;IF(ISNUMBER($AU151)*(N($AU151)&gt;$H$4)&gt;0,"leverage high","")))</f>
        <v/>
      </c>
      <c r="AZ151" s="86">
        <f>IF($C151="","",IF(HSTECH!$F$46="HKD","",HSTECH!$F$46))</f>
        <v/>
      </c>
    </row>
    <row r="152">
      <c r="B152" s="66" t="inlineStr">
        <is>
          <t>HSCEI</t>
        </is>
      </c>
      <c r="C152" s="8">
        <f>IF(HSCEI!$C$7="","",HSCEI!$C$7)</f>
        <v/>
      </c>
      <c r="D152" s="8">
        <f>IF($C152="","",HSCEI!$D$7)</f>
        <v/>
      </c>
      <c r="E152" s="8">
        <f>IF($C152="","",HSCEI!$E$7)</f>
        <v/>
      </c>
      <c r="F152" s="67">
        <f>IF($C152="","",SUMPRODUCT(('Dvd Calendar'!$E$1561:$AR$1561&gt;=DATE(YEAR_Y-5,1,1))*('Dvd Calendar'!$E$1561:$AR$1561&lt;=DATE(YEAR_Y-5,12,31))*'Dvd Calendar'!$E$1564:$AR$1564*(('Dvd Calendar'!$E$1566:$AR$1566=TYPE1)*(TYPE1&lt;&gt;"")+('Dvd Calendar'!$E$1566:$AR$1566=TYPE2)*(TYPE2&lt;&gt;"")+('Dvd Calendar'!$E$1566:$AR$1566=TYPE3)*(TYPE3&lt;&gt;"")+('Dvd Calendar'!$E$1566:$AR$1566=TYPE4)*(TYPE4&lt;&gt;"")+('Dvd Calendar'!$E$1566:$AR$1566=SPECIAL_LBL)*(INC_SPECIALS="Y"))))</f>
        <v/>
      </c>
      <c r="G152" s="68">
        <f>IF($C152="","",SUMPRODUCT(('Dvd Calendar'!$E$1561:$AR$1561&gt;=DATE(YEAR_Y-4,1,1))*('Dvd Calendar'!$E$1561:$AR$1561&lt;=DATE(YEAR_Y-4,12,31))*'Dvd Calendar'!$E$1564:$AR$1564*(('Dvd Calendar'!$E$1566:$AR$1566=TYPE1)*(TYPE1&lt;&gt;"")+('Dvd Calendar'!$E$1566:$AR$1566=TYPE2)*(TYPE2&lt;&gt;"")+('Dvd Calendar'!$E$1566:$AR$1566=TYPE3)*(TYPE3&lt;&gt;"")+('Dvd Calendar'!$E$1566:$AR$1566=TYPE4)*(TYPE4&lt;&gt;"")+('Dvd Calendar'!$E$1566:$AR$1566=SPECIAL_LBL)*(INC_SPECIALS="Y"))))</f>
        <v/>
      </c>
      <c r="H152" s="68">
        <f>IF($C152="","",SUMPRODUCT(('Dvd Calendar'!$E$1561:$AR$1561&gt;=DATE(YEAR_Y-3,1,1))*('Dvd Calendar'!$E$1561:$AR$1561&lt;=DATE(YEAR_Y-3,12,31))*'Dvd Calendar'!$E$1564:$AR$1564*(('Dvd Calendar'!$E$1566:$AR$1566=TYPE1)*(TYPE1&lt;&gt;"")+('Dvd Calendar'!$E$1566:$AR$1566=TYPE2)*(TYPE2&lt;&gt;"")+('Dvd Calendar'!$E$1566:$AR$1566=TYPE3)*(TYPE3&lt;&gt;"")+('Dvd Calendar'!$E$1566:$AR$1566=TYPE4)*(TYPE4&lt;&gt;"")+('Dvd Calendar'!$E$1566:$AR$1566=SPECIAL_LBL)*(INC_SPECIALS="Y"))))</f>
        <v/>
      </c>
      <c r="I152" s="68">
        <f>IF($C152="","",SUMPRODUCT(('Dvd Calendar'!$E$1561:$AR$1561&gt;=DATE(YEAR_Y-2,1,1))*('Dvd Calendar'!$E$1561:$AR$1561&lt;=DATE(YEAR_Y-2,12,31))*'Dvd Calendar'!$E$1564:$AR$1564*(('Dvd Calendar'!$E$1566:$AR$1566=TYPE1)*(TYPE1&lt;&gt;"")+('Dvd Calendar'!$E$1566:$AR$1566=TYPE2)*(TYPE2&lt;&gt;"")+('Dvd Calendar'!$E$1566:$AR$1566=TYPE3)*(TYPE3&lt;&gt;"")+('Dvd Calendar'!$E$1566:$AR$1566=TYPE4)*(TYPE4&lt;&gt;"")+('Dvd Calendar'!$E$1566:$AR$1566=SPECIAL_LBL)*(INC_SPECIALS="Y"))))</f>
        <v/>
      </c>
      <c r="J152" s="68">
        <f>IF($C152="","",SUMPRODUCT(('Dvd Calendar'!$E$1561:$AR$1561&gt;=DATE(YEAR_Y-1,1,1))*('Dvd Calendar'!$E$1561:$AR$1561&lt;=DATE(YEAR_Y-1,12,31))*'Dvd Calendar'!$E$1564:$AR$1564*(('Dvd Calendar'!$E$1566:$AR$1566=TYPE1)*(TYPE1&lt;&gt;"")+('Dvd Calendar'!$E$1566:$AR$1566=TYPE2)*(TYPE2&lt;&gt;"")+('Dvd Calendar'!$E$1566:$AR$1566=TYPE3)*(TYPE3&lt;&gt;"")+('Dvd Calendar'!$E$1566:$AR$1566=TYPE4)*(TYPE4&lt;&gt;"")+('Dvd Calendar'!$E$1566:$AR$1566=SPECIAL_LBL)*(INC_SPECIALS="Y"))))</f>
        <v/>
      </c>
      <c r="K152" s="69">
        <f>IF($C152="","",HSCEI!$J$7)</f>
        <v/>
      </c>
      <c r="L152" s="69">
        <f>IF($C152="","",HSCEI!$K$7)</f>
        <v/>
      </c>
      <c r="M152" s="44">
        <f>IF($C152="","",HSCEI!$J$7+HSCEI!$L$7)</f>
        <v/>
      </c>
      <c r="N152" s="70">
        <f>IF($C152="","",IF(PULL_FUND="N","",IFERROR(BDP($C152,BESTDPS_FIELD,FWD_OVERRIDE,TEXT(MOD(YEAR_Y,100),"00")&amp;"Y"),"")))</f>
        <v/>
      </c>
      <c r="O152" s="69">
        <f>IF($C152="","",AVERAGE(F152:J152))</f>
        <v/>
      </c>
      <c r="P152" s="71">
        <f>IF($C152="","",IF(PULL_FUND="N","",IF(COUNTIFS('Fund History'!$J$856:$J$860,"&gt;="&amp;DATE(YEAR_Y-5,1,1),'Fund History'!$J$856:$J$860,"&lt;="&amp;DATE(YEAR_Y-5,12,31))=0,"",IFERROR($F152*HSCEI!$G$7/SUMIFS('Fund History'!$K$856:$K$860,'Fund History'!$J$856:$J$860,"&gt;="&amp;DATE(YEAR_Y-5,1,1),'Fund History'!$J$856:$J$860,"&lt;="&amp;DATE(YEAR_Y-5,12,31)),""))))</f>
        <v/>
      </c>
      <c r="Q152" s="72">
        <f>IF($C152="","",IF(PULL_FUND="N","",IF(COUNTIFS('Fund History'!$J$856:$J$860,"&gt;="&amp;DATE(YEAR_Y-4,1,1),'Fund History'!$J$856:$J$860,"&lt;="&amp;DATE(YEAR_Y-4,12,31))=0,"",IFERROR($G152*HSCEI!$G$7/SUMIFS('Fund History'!$K$856:$K$860,'Fund History'!$J$856:$J$860,"&gt;="&amp;DATE(YEAR_Y-4,1,1),'Fund History'!$J$856:$J$860,"&lt;="&amp;DATE(YEAR_Y-4,12,31)),""))))</f>
        <v/>
      </c>
      <c r="R152" s="72">
        <f>IF($C152="","",IF(PULL_FUND="N","",IF(COUNTIFS('Fund History'!$J$856:$J$860,"&gt;="&amp;DATE(YEAR_Y-3,1,1),'Fund History'!$J$856:$J$860,"&lt;="&amp;DATE(YEAR_Y-3,12,31))=0,"",IFERROR($H152*HSCEI!$G$7/SUMIFS('Fund History'!$K$856:$K$860,'Fund History'!$J$856:$J$860,"&gt;="&amp;DATE(YEAR_Y-3,1,1),'Fund History'!$J$856:$J$860,"&lt;="&amp;DATE(YEAR_Y-3,12,31)),""))))</f>
        <v/>
      </c>
      <c r="S152" s="72">
        <f>IF($C152="","",IF(PULL_FUND="N","",IF(COUNTIFS('Fund History'!$J$856:$J$860,"&gt;="&amp;DATE(YEAR_Y-2,1,1),'Fund History'!$J$856:$J$860,"&lt;="&amp;DATE(YEAR_Y-2,12,31))=0,"",IFERROR($I152*HSCEI!$G$7/SUMIFS('Fund History'!$K$856:$K$860,'Fund History'!$J$856:$J$860,"&gt;="&amp;DATE(YEAR_Y-2,1,1),'Fund History'!$J$856:$J$860,"&lt;="&amp;DATE(YEAR_Y-2,12,31)),""))))</f>
        <v/>
      </c>
      <c r="T152" s="72">
        <f>IF($C152="","",IF(PULL_FUND="N","",IF(COUNTIFS('Fund History'!$J$856:$J$860,"&gt;="&amp;DATE(YEAR_Y-1,1,1),'Fund History'!$J$856:$J$860,"&lt;="&amp;DATE(YEAR_Y-1,12,31))=0,"",IFERROR($J152*HSCEI!$G$7/SUMIFS('Fund History'!$K$856:$K$860,'Fund History'!$J$856:$J$860,"&gt;="&amp;DATE(YEAR_Y-1,1,1),'Fund History'!$J$856:$J$860,"&lt;="&amp;DATE(YEAR_Y-1,12,31)),""))))</f>
        <v/>
      </c>
      <c r="U152" s="73">
        <f>IF($C152="","",IF(ISNUMBER(HSCEI!$I$7),HSCEI!$I$7/100,""))</f>
        <v/>
      </c>
      <c r="V152" s="74">
        <f>IF($C152="","",IF(ISNUMBER(HSCEI!$X$7),IFERROR($M152*HSCEI!$G$7/HSCEI!$X$7,""),""))</f>
        <v/>
      </c>
      <c r="W152" s="73">
        <f>IF($C152="","",IF(ISNUMBER($N152),IFERROR($N152*HSCEI!$G$7/HSCEI!$X$7,""),""))</f>
        <v/>
      </c>
      <c r="X152" s="75">
        <f>IF($C152="","",IF(PULL_FUND="N","",IFERROR(BDP($C152,EPS_FIELD,YR_OVERRIDE,TEXT(YEAR_Y-5,"0")),"")))</f>
        <v/>
      </c>
      <c r="Y152" s="76">
        <f>IF($C152="","",IF(PULL_FUND="N","",IFERROR(BDP($C152,EPS_FIELD,YR_OVERRIDE,TEXT(YEAR_Y-4,"0")),"")))</f>
        <v/>
      </c>
      <c r="Z152" s="76">
        <f>IF($C152="","",IF(PULL_FUND="N","",IFERROR(BDP($C152,EPS_FIELD,YR_OVERRIDE,TEXT(YEAR_Y-3,"0")),"")))</f>
        <v/>
      </c>
      <c r="AA152" s="76">
        <f>IF($C152="","",IF(PULL_FUND="N","",IFERROR(BDP($C152,EPS_FIELD,YR_OVERRIDE,TEXT(YEAR_Y-2,"0")),"")))</f>
        <v/>
      </c>
      <c r="AB152" s="76">
        <f>IF($C152="","",IF(PULL_FUND="N","",IFERROR(BDP($C152,EPS_FIELD,YR_OVERRIDE,TEXT(YEAR_Y-1,"0")),"")))</f>
        <v/>
      </c>
      <c r="AC152" s="50">
        <f>IF($C152="","",IFERROR(AVERAGE(X152:AB152),""))</f>
        <v/>
      </c>
      <c r="AD152" s="76">
        <f>IF($C152="","",IF(PULL_FUND="N","",IFERROR(BDP($C152,BESTEPS_FIELD,FWD_OVERRIDE,TEXT(MOD(YEAR_Y,100),"00")&amp;"Y"),"")))</f>
        <v/>
      </c>
      <c r="AE152" s="77">
        <f>IF($C152="","",IF(PULL_FUND="N","",IFERROR(BDP($C152,PAYOUT_FIELD,YR_OVERRIDE,TEXT(YEAR_Y-5,"0"))/100,"")))</f>
        <v/>
      </c>
      <c r="AF152" s="78">
        <f>IF($C152="","",IF(PULL_FUND="N","",IFERROR(BDP($C152,PAYOUT_FIELD,YR_OVERRIDE,TEXT(YEAR_Y-4,"0"))/100,"")))</f>
        <v/>
      </c>
      <c r="AG152" s="78">
        <f>IF($C152="","",IF(PULL_FUND="N","",IFERROR(BDP($C152,PAYOUT_FIELD,YR_OVERRIDE,TEXT(YEAR_Y-3,"0"))/100,"")))</f>
        <v/>
      </c>
      <c r="AH152" s="78">
        <f>IF($C152="","",IF(PULL_FUND="N","",IFERROR(BDP($C152,PAYOUT_FIELD,YR_OVERRIDE,TEXT(YEAR_Y-2,"0"))/100,"")))</f>
        <v/>
      </c>
      <c r="AI152" s="78">
        <f>IF($C152="","",IF(PULL_FUND="N","",IFERROR(BDP($C152,PAYOUT_FIELD,YR_OVERRIDE,TEXT(YEAR_Y-1,"0"))/100,"")))</f>
        <v/>
      </c>
      <c r="AJ152" s="79">
        <f>IF($C152="","",IFERROR(AVERAGE(AE152:AI152),""))</f>
        <v/>
      </c>
      <c r="AK152" s="80">
        <f>IF($C152="","",IF(ISNUMBER($AD152)*ISNUMBER($N152)*($AD152&lt;&gt;0)=0,"",$N152/$AD152))</f>
        <v/>
      </c>
      <c r="AL152" s="79">
        <f>IF($C152="","",IF(ISNUMBER($AD152)*($AD152&lt;&gt;0)=0,"",$M152/$AD152))</f>
        <v/>
      </c>
      <c r="AM152" s="37">
        <f>IF($C152="","",IF(ISNUMBER($AE152)*ISNUMBER($AI152)=0,"",IF($AI152&gt;$AE152+0.05,"rising",IF($AI152&lt;$AE152-0.05,"falling","stable"))))</f>
        <v/>
      </c>
      <c r="AN152" s="81">
        <f>IF($C152="","",IF(PULL_FUND="N","",IF(COUNTIFS('Fund History'!$G$856:$G$860,"&gt;="&amp;DATE(YEAR_Y-4,1,1),'Fund History'!$G$856:$G$860,"&lt;="&amp;DATE(YEAR_Y-4,12,31))=0,"",SUMIFS('Fund History'!$H$856:$H$860,'Fund History'!$G$856:$G$860,"&gt;="&amp;DATE(YEAR_Y-4,1,1),'Fund History'!$G$856:$G$860,"&lt;="&amp;DATE(YEAR_Y-4,12,31))/100)))</f>
        <v/>
      </c>
      <c r="AO152" s="82">
        <f>IF($C152="","",IF(PULL_FUND="N","",IF(COUNTIFS('Fund History'!$G$856:$G$860,"&gt;="&amp;DATE(YEAR_Y-3,1,1),'Fund History'!$G$856:$G$860,"&lt;="&amp;DATE(YEAR_Y-3,12,31))=0,"",SUMIFS('Fund History'!$H$856:$H$860,'Fund History'!$G$856:$G$860,"&gt;="&amp;DATE(YEAR_Y-3,1,1),'Fund History'!$G$856:$G$860,"&lt;="&amp;DATE(YEAR_Y-3,12,31))/100)))</f>
        <v/>
      </c>
      <c r="AP152" s="82">
        <f>IF($C152="","",IF(PULL_FUND="N","",IF(COUNTIFS('Fund History'!$G$856:$G$860,"&gt;="&amp;DATE(YEAR_Y-2,1,1),'Fund History'!$G$856:$G$860,"&lt;="&amp;DATE(YEAR_Y-2,12,31))=0,"",SUMIFS('Fund History'!$H$856:$H$860,'Fund History'!$G$856:$G$860,"&gt;="&amp;DATE(YEAR_Y-2,1,1),'Fund History'!$G$856:$G$860,"&lt;="&amp;DATE(YEAR_Y-2,12,31))/100)))</f>
        <v/>
      </c>
      <c r="AQ152" s="82">
        <f>IF($C152="","",IF(PULL_FUND="N","",IF(COUNTIFS('Fund History'!$G$856:$G$860,"&gt;="&amp;DATE(YEAR_Y-1,1,1),'Fund History'!$G$856:$G$860,"&lt;="&amp;DATE(YEAR_Y-1,12,31))=0,"",SUMIFS('Fund History'!$H$856:$H$860,'Fund History'!$G$856:$G$860,"&gt;="&amp;DATE(YEAR_Y-1,1,1),'Fund History'!$G$856:$G$860,"&lt;="&amp;DATE(YEAR_Y-1,12,31))/100)))</f>
        <v/>
      </c>
      <c r="AR152" s="83">
        <f>IF($C152="","",IF(N($AQ152)+N(HSCEI!$I$7)=0,"",N($AQ152)+N(HSCEI!$I$7)/100))</f>
        <v/>
      </c>
      <c r="AS152" s="75">
        <f>IF($C152="","",IF(PULL_FUND="N","",IF(COUNTIFS('Fund History'!$D$856:$D$860,"&gt;="&amp;DATE(YEAR_Y-2,1,1),'Fund History'!$D$856:$D$860,"&lt;="&amp;DATE(YEAR_Y-2,12,31))=0,"",SUMIFS('Fund History'!$E$856:$E$860,'Fund History'!$D$856:$D$860,"&gt;="&amp;DATE(YEAR_Y-2,1,1),'Fund History'!$D$856:$D$860,"&lt;="&amp;DATE(YEAR_Y-2,12,31)))))</f>
        <v/>
      </c>
      <c r="AT152" s="76">
        <f>IF($C152="","",IF(PULL_FUND="N","",IF(COUNTIFS('Fund History'!$D$856:$D$860,"&gt;="&amp;DATE(YEAR_Y-1,1,1),'Fund History'!$D$856:$D$860,"&lt;="&amp;DATE(YEAR_Y-1,12,31))=0,"",SUMIFS('Fund History'!$E$856:$E$860,'Fund History'!$D$856:$D$860,"&gt;="&amp;DATE(YEAR_Y-1,1,1),'Fund History'!$D$856:$D$860,"&lt;="&amp;DATE(YEAR_Y-1,12,31)))))</f>
        <v/>
      </c>
      <c r="AU152" s="76">
        <f>IF($C152="","",IF(PULL_FUND="N","",IFERROR(BDP($C152,NDEBITDA_FIELD),"")))</f>
        <v/>
      </c>
      <c r="AV152" s="84">
        <f>IF($C152="","",IF(PULL_FUND="N","",IFERROR(BDP($C152,EBINT_FIELD),"")))</f>
        <v/>
      </c>
      <c r="AW152" s="82">
        <f>IF($C152="","",IF(PULL_FUND="N","",IFERROR(BDP($C152,FCF_FIELD)/100,"")))</f>
        <v/>
      </c>
      <c r="AX152" s="50">
        <f>IF($C152="","",IF(N($U152)=0,"",IFERROR($AW152/$U152,"")))</f>
        <v/>
      </c>
      <c r="AY152" s="85">
        <f>IF($C152="","",TRIM(IF(ISNUMBER($AJ152)*(N($AJ152)&gt;$D$4)&gt;0,"payout high  ","")&amp;IF(ISNUMBER($AX152)*(N($AX152)&lt;$F$4)&gt;0,"FCF below dvd  ","")&amp;IF(ISNUMBER($AU152)*(N($AU152)&gt;$H$4)&gt;0,"leverage high","")))</f>
        <v/>
      </c>
      <c r="AZ152" s="86">
        <f>IF($C152="","",IF(HSCEI!$F$7="HKD","",HSCEI!$F$7))</f>
        <v/>
      </c>
    </row>
    <row r="153">
      <c r="B153" s="66" t="inlineStr">
        <is>
          <t>HSCEI</t>
        </is>
      </c>
      <c r="C153" s="8">
        <f>IF(HSCEI!$C$8="","",HSCEI!$C$8)</f>
        <v/>
      </c>
      <c r="D153" s="8">
        <f>IF($C153="","",HSCEI!$D$8)</f>
        <v/>
      </c>
      <c r="E153" s="8">
        <f>IF($C153="","",HSCEI!$E$8)</f>
        <v/>
      </c>
      <c r="F153" s="67">
        <f>IF($C153="","",SUMPRODUCT(('Dvd Calendar'!$E$1572:$AR$1572&gt;=DATE(YEAR_Y-5,1,1))*('Dvd Calendar'!$E$1572:$AR$1572&lt;=DATE(YEAR_Y-5,12,31))*'Dvd Calendar'!$E$1575:$AR$1575*(('Dvd Calendar'!$E$1577:$AR$1577=TYPE1)*(TYPE1&lt;&gt;"")+('Dvd Calendar'!$E$1577:$AR$1577=TYPE2)*(TYPE2&lt;&gt;"")+('Dvd Calendar'!$E$1577:$AR$1577=TYPE3)*(TYPE3&lt;&gt;"")+('Dvd Calendar'!$E$1577:$AR$1577=TYPE4)*(TYPE4&lt;&gt;"")+('Dvd Calendar'!$E$1577:$AR$1577=SPECIAL_LBL)*(INC_SPECIALS="Y"))))</f>
        <v/>
      </c>
      <c r="G153" s="68">
        <f>IF($C153="","",SUMPRODUCT(('Dvd Calendar'!$E$1572:$AR$1572&gt;=DATE(YEAR_Y-4,1,1))*('Dvd Calendar'!$E$1572:$AR$1572&lt;=DATE(YEAR_Y-4,12,31))*'Dvd Calendar'!$E$1575:$AR$1575*(('Dvd Calendar'!$E$1577:$AR$1577=TYPE1)*(TYPE1&lt;&gt;"")+('Dvd Calendar'!$E$1577:$AR$1577=TYPE2)*(TYPE2&lt;&gt;"")+('Dvd Calendar'!$E$1577:$AR$1577=TYPE3)*(TYPE3&lt;&gt;"")+('Dvd Calendar'!$E$1577:$AR$1577=TYPE4)*(TYPE4&lt;&gt;"")+('Dvd Calendar'!$E$1577:$AR$1577=SPECIAL_LBL)*(INC_SPECIALS="Y"))))</f>
        <v/>
      </c>
      <c r="H153" s="68">
        <f>IF($C153="","",SUMPRODUCT(('Dvd Calendar'!$E$1572:$AR$1572&gt;=DATE(YEAR_Y-3,1,1))*('Dvd Calendar'!$E$1572:$AR$1572&lt;=DATE(YEAR_Y-3,12,31))*'Dvd Calendar'!$E$1575:$AR$1575*(('Dvd Calendar'!$E$1577:$AR$1577=TYPE1)*(TYPE1&lt;&gt;"")+('Dvd Calendar'!$E$1577:$AR$1577=TYPE2)*(TYPE2&lt;&gt;"")+('Dvd Calendar'!$E$1577:$AR$1577=TYPE3)*(TYPE3&lt;&gt;"")+('Dvd Calendar'!$E$1577:$AR$1577=TYPE4)*(TYPE4&lt;&gt;"")+('Dvd Calendar'!$E$1577:$AR$1577=SPECIAL_LBL)*(INC_SPECIALS="Y"))))</f>
        <v/>
      </c>
      <c r="I153" s="68">
        <f>IF($C153="","",SUMPRODUCT(('Dvd Calendar'!$E$1572:$AR$1572&gt;=DATE(YEAR_Y-2,1,1))*('Dvd Calendar'!$E$1572:$AR$1572&lt;=DATE(YEAR_Y-2,12,31))*'Dvd Calendar'!$E$1575:$AR$1575*(('Dvd Calendar'!$E$1577:$AR$1577=TYPE1)*(TYPE1&lt;&gt;"")+('Dvd Calendar'!$E$1577:$AR$1577=TYPE2)*(TYPE2&lt;&gt;"")+('Dvd Calendar'!$E$1577:$AR$1577=TYPE3)*(TYPE3&lt;&gt;"")+('Dvd Calendar'!$E$1577:$AR$1577=TYPE4)*(TYPE4&lt;&gt;"")+('Dvd Calendar'!$E$1577:$AR$1577=SPECIAL_LBL)*(INC_SPECIALS="Y"))))</f>
        <v/>
      </c>
      <c r="J153" s="68">
        <f>IF($C153="","",SUMPRODUCT(('Dvd Calendar'!$E$1572:$AR$1572&gt;=DATE(YEAR_Y-1,1,1))*('Dvd Calendar'!$E$1572:$AR$1572&lt;=DATE(YEAR_Y-1,12,31))*'Dvd Calendar'!$E$1575:$AR$1575*(('Dvd Calendar'!$E$1577:$AR$1577=TYPE1)*(TYPE1&lt;&gt;"")+('Dvd Calendar'!$E$1577:$AR$1577=TYPE2)*(TYPE2&lt;&gt;"")+('Dvd Calendar'!$E$1577:$AR$1577=TYPE3)*(TYPE3&lt;&gt;"")+('Dvd Calendar'!$E$1577:$AR$1577=TYPE4)*(TYPE4&lt;&gt;"")+('Dvd Calendar'!$E$1577:$AR$1577=SPECIAL_LBL)*(INC_SPECIALS="Y"))))</f>
        <v/>
      </c>
      <c r="K153" s="69">
        <f>IF($C153="","",HSCEI!$J$8)</f>
        <v/>
      </c>
      <c r="L153" s="69">
        <f>IF($C153="","",HSCEI!$K$8)</f>
        <v/>
      </c>
      <c r="M153" s="44">
        <f>IF($C153="","",HSCEI!$J$8+HSCEI!$L$8)</f>
        <v/>
      </c>
      <c r="N153" s="70">
        <f>IF($C153="","",IF(PULL_FUND="N","",IFERROR(BDP($C153,BESTDPS_FIELD,FWD_OVERRIDE,TEXT(MOD(YEAR_Y,100),"00")&amp;"Y"),"")))</f>
        <v/>
      </c>
      <c r="O153" s="69">
        <f>IF($C153="","",AVERAGE(F153:J153))</f>
        <v/>
      </c>
      <c r="P153" s="71">
        <f>IF($C153="","",IF(PULL_FUND="N","",IF(COUNTIFS('Fund History'!$J$862:$J$866,"&gt;="&amp;DATE(YEAR_Y-5,1,1),'Fund History'!$J$862:$J$866,"&lt;="&amp;DATE(YEAR_Y-5,12,31))=0,"",IFERROR($F153*HSCEI!$G$8/SUMIFS('Fund History'!$K$862:$K$866,'Fund History'!$J$862:$J$866,"&gt;="&amp;DATE(YEAR_Y-5,1,1),'Fund History'!$J$862:$J$866,"&lt;="&amp;DATE(YEAR_Y-5,12,31)),""))))</f>
        <v/>
      </c>
      <c r="Q153" s="72">
        <f>IF($C153="","",IF(PULL_FUND="N","",IF(COUNTIFS('Fund History'!$J$862:$J$866,"&gt;="&amp;DATE(YEAR_Y-4,1,1),'Fund History'!$J$862:$J$866,"&lt;="&amp;DATE(YEAR_Y-4,12,31))=0,"",IFERROR($G153*HSCEI!$G$8/SUMIFS('Fund History'!$K$862:$K$866,'Fund History'!$J$862:$J$866,"&gt;="&amp;DATE(YEAR_Y-4,1,1),'Fund History'!$J$862:$J$866,"&lt;="&amp;DATE(YEAR_Y-4,12,31)),""))))</f>
        <v/>
      </c>
      <c r="R153" s="72">
        <f>IF($C153="","",IF(PULL_FUND="N","",IF(COUNTIFS('Fund History'!$J$862:$J$866,"&gt;="&amp;DATE(YEAR_Y-3,1,1),'Fund History'!$J$862:$J$866,"&lt;="&amp;DATE(YEAR_Y-3,12,31))=0,"",IFERROR($H153*HSCEI!$G$8/SUMIFS('Fund History'!$K$862:$K$866,'Fund History'!$J$862:$J$866,"&gt;="&amp;DATE(YEAR_Y-3,1,1),'Fund History'!$J$862:$J$866,"&lt;="&amp;DATE(YEAR_Y-3,12,31)),""))))</f>
        <v/>
      </c>
      <c r="S153" s="72">
        <f>IF($C153="","",IF(PULL_FUND="N","",IF(COUNTIFS('Fund History'!$J$862:$J$866,"&gt;="&amp;DATE(YEAR_Y-2,1,1),'Fund History'!$J$862:$J$866,"&lt;="&amp;DATE(YEAR_Y-2,12,31))=0,"",IFERROR($I153*HSCEI!$G$8/SUMIFS('Fund History'!$K$862:$K$866,'Fund History'!$J$862:$J$866,"&gt;="&amp;DATE(YEAR_Y-2,1,1),'Fund History'!$J$862:$J$866,"&lt;="&amp;DATE(YEAR_Y-2,12,31)),""))))</f>
        <v/>
      </c>
      <c r="T153" s="72">
        <f>IF($C153="","",IF(PULL_FUND="N","",IF(COUNTIFS('Fund History'!$J$862:$J$866,"&gt;="&amp;DATE(YEAR_Y-1,1,1),'Fund History'!$J$862:$J$866,"&lt;="&amp;DATE(YEAR_Y-1,12,31))=0,"",IFERROR($J153*HSCEI!$G$8/SUMIFS('Fund History'!$K$862:$K$866,'Fund History'!$J$862:$J$866,"&gt;="&amp;DATE(YEAR_Y-1,1,1),'Fund History'!$J$862:$J$866,"&lt;="&amp;DATE(YEAR_Y-1,12,31)),""))))</f>
        <v/>
      </c>
      <c r="U153" s="73">
        <f>IF($C153="","",IF(ISNUMBER(HSCEI!$I$8),HSCEI!$I$8/100,""))</f>
        <v/>
      </c>
      <c r="V153" s="74">
        <f>IF($C153="","",IF(ISNUMBER(HSCEI!$X$8),IFERROR($M153*HSCEI!$G$8/HSCEI!$X$8,""),""))</f>
        <v/>
      </c>
      <c r="W153" s="73">
        <f>IF($C153="","",IF(ISNUMBER($N153),IFERROR($N153*HSCEI!$G$8/HSCEI!$X$8,""),""))</f>
        <v/>
      </c>
      <c r="X153" s="75">
        <f>IF($C153="","",IF(PULL_FUND="N","",IFERROR(BDP($C153,EPS_FIELD,YR_OVERRIDE,TEXT(YEAR_Y-5,"0")),"")))</f>
        <v/>
      </c>
      <c r="Y153" s="76">
        <f>IF($C153="","",IF(PULL_FUND="N","",IFERROR(BDP($C153,EPS_FIELD,YR_OVERRIDE,TEXT(YEAR_Y-4,"0")),"")))</f>
        <v/>
      </c>
      <c r="Z153" s="76">
        <f>IF($C153="","",IF(PULL_FUND="N","",IFERROR(BDP($C153,EPS_FIELD,YR_OVERRIDE,TEXT(YEAR_Y-3,"0")),"")))</f>
        <v/>
      </c>
      <c r="AA153" s="76">
        <f>IF($C153="","",IF(PULL_FUND="N","",IFERROR(BDP($C153,EPS_FIELD,YR_OVERRIDE,TEXT(YEAR_Y-2,"0")),"")))</f>
        <v/>
      </c>
      <c r="AB153" s="76">
        <f>IF($C153="","",IF(PULL_FUND="N","",IFERROR(BDP($C153,EPS_FIELD,YR_OVERRIDE,TEXT(YEAR_Y-1,"0")),"")))</f>
        <v/>
      </c>
      <c r="AC153" s="50">
        <f>IF($C153="","",IFERROR(AVERAGE(X153:AB153),""))</f>
        <v/>
      </c>
      <c r="AD153" s="76">
        <f>IF($C153="","",IF(PULL_FUND="N","",IFERROR(BDP($C153,BESTEPS_FIELD,FWD_OVERRIDE,TEXT(MOD(YEAR_Y,100),"00")&amp;"Y"),"")))</f>
        <v/>
      </c>
      <c r="AE153" s="77">
        <f>IF($C153="","",IF(PULL_FUND="N","",IFERROR(BDP($C153,PAYOUT_FIELD,YR_OVERRIDE,TEXT(YEAR_Y-5,"0"))/100,"")))</f>
        <v/>
      </c>
      <c r="AF153" s="78">
        <f>IF($C153="","",IF(PULL_FUND="N","",IFERROR(BDP($C153,PAYOUT_FIELD,YR_OVERRIDE,TEXT(YEAR_Y-4,"0"))/100,"")))</f>
        <v/>
      </c>
      <c r="AG153" s="78">
        <f>IF($C153="","",IF(PULL_FUND="N","",IFERROR(BDP($C153,PAYOUT_FIELD,YR_OVERRIDE,TEXT(YEAR_Y-3,"0"))/100,"")))</f>
        <v/>
      </c>
      <c r="AH153" s="78">
        <f>IF($C153="","",IF(PULL_FUND="N","",IFERROR(BDP($C153,PAYOUT_FIELD,YR_OVERRIDE,TEXT(YEAR_Y-2,"0"))/100,"")))</f>
        <v/>
      </c>
      <c r="AI153" s="78">
        <f>IF($C153="","",IF(PULL_FUND="N","",IFERROR(BDP($C153,PAYOUT_FIELD,YR_OVERRIDE,TEXT(YEAR_Y-1,"0"))/100,"")))</f>
        <v/>
      </c>
      <c r="AJ153" s="79">
        <f>IF($C153="","",IFERROR(AVERAGE(AE153:AI153),""))</f>
        <v/>
      </c>
      <c r="AK153" s="80">
        <f>IF($C153="","",IF(ISNUMBER($AD153)*ISNUMBER($N153)*($AD153&lt;&gt;0)=0,"",$N153/$AD153))</f>
        <v/>
      </c>
      <c r="AL153" s="79">
        <f>IF($C153="","",IF(ISNUMBER($AD153)*($AD153&lt;&gt;0)=0,"",$M153/$AD153))</f>
        <v/>
      </c>
      <c r="AM153" s="37">
        <f>IF($C153="","",IF(ISNUMBER($AE153)*ISNUMBER($AI153)=0,"",IF($AI153&gt;$AE153+0.05,"rising",IF($AI153&lt;$AE153-0.05,"falling","stable"))))</f>
        <v/>
      </c>
      <c r="AN153" s="81">
        <f>IF($C153="","",IF(PULL_FUND="N","",IF(COUNTIFS('Fund History'!$G$862:$G$866,"&gt;="&amp;DATE(YEAR_Y-4,1,1),'Fund History'!$G$862:$G$866,"&lt;="&amp;DATE(YEAR_Y-4,12,31))=0,"",SUMIFS('Fund History'!$H$862:$H$866,'Fund History'!$G$862:$G$866,"&gt;="&amp;DATE(YEAR_Y-4,1,1),'Fund History'!$G$862:$G$866,"&lt;="&amp;DATE(YEAR_Y-4,12,31))/100)))</f>
        <v/>
      </c>
      <c r="AO153" s="82">
        <f>IF($C153="","",IF(PULL_FUND="N","",IF(COUNTIFS('Fund History'!$G$862:$G$866,"&gt;="&amp;DATE(YEAR_Y-3,1,1),'Fund History'!$G$862:$G$866,"&lt;="&amp;DATE(YEAR_Y-3,12,31))=0,"",SUMIFS('Fund History'!$H$862:$H$866,'Fund History'!$G$862:$G$866,"&gt;="&amp;DATE(YEAR_Y-3,1,1),'Fund History'!$G$862:$G$866,"&lt;="&amp;DATE(YEAR_Y-3,12,31))/100)))</f>
        <v/>
      </c>
      <c r="AP153" s="82">
        <f>IF($C153="","",IF(PULL_FUND="N","",IF(COUNTIFS('Fund History'!$G$862:$G$866,"&gt;="&amp;DATE(YEAR_Y-2,1,1),'Fund History'!$G$862:$G$866,"&lt;="&amp;DATE(YEAR_Y-2,12,31))=0,"",SUMIFS('Fund History'!$H$862:$H$866,'Fund History'!$G$862:$G$866,"&gt;="&amp;DATE(YEAR_Y-2,1,1),'Fund History'!$G$862:$G$866,"&lt;="&amp;DATE(YEAR_Y-2,12,31))/100)))</f>
        <v/>
      </c>
      <c r="AQ153" s="82">
        <f>IF($C153="","",IF(PULL_FUND="N","",IF(COUNTIFS('Fund History'!$G$862:$G$866,"&gt;="&amp;DATE(YEAR_Y-1,1,1),'Fund History'!$G$862:$G$866,"&lt;="&amp;DATE(YEAR_Y-1,12,31))=0,"",SUMIFS('Fund History'!$H$862:$H$866,'Fund History'!$G$862:$G$866,"&gt;="&amp;DATE(YEAR_Y-1,1,1),'Fund History'!$G$862:$G$866,"&lt;="&amp;DATE(YEAR_Y-1,12,31))/100)))</f>
        <v/>
      </c>
      <c r="AR153" s="83">
        <f>IF($C153="","",IF(N($AQ153)+N(HSCEI!$I$8)=0,"",N($AQ153)+N(HSCEI!$I$8)/100))</f>
        <v/>
      </c>
      <c r="AS153" s="75">
        <f>IF($C153="","",IF(PULL_FUND="N","",IF(COUNTIFS('Fund History'!$D$862:$D$866,"&gt;="&amp;DATE(YEAR_Y-2,1,1),'Fund History'!$D$862:$D$866,"&lt;="&amp;DATE(YEAR_Y-2,12,31))=0,"",SUMIFS('Fund History'!$E$862:$E$866,'Fund History'!$D$862:$D$866,"&gt;="&amp;DATE(YEAR_Y-2,1,1),'Fund History'!$D$862:$D$866,"&lt;="&amp;DATE(YEAR_Y-2,12,31)))))</f>
        <v/>
      </c>
      <c r="AT153" s="76">
        <f>IF($C153="","",IF(PULL_FUND="N","",IF(COUNTIFS('Fund History'!$D$862:$D$866,"&gt;="&amp;DATE(YEAR_Y-1,1,1),'Fund History'!$D$862:$D$866,"&lt;="&amp;DATE(YEAR_Y-1,12,31))=0,"",SUMIFS('Fund History'!$E$862:$E$866,'Fund History'!$D$862:$D$866,"&gt;="&amp;DATE(YEAR_Y-1,1,1),'Fund History'!$D$862:$D$866,"&lt;="&amp;DATE(YEAR_Y-1,12,31)))))</f>
        <v/>
      </c>
      <c r="AU153" s="76">
        <f>IF($C153="","",IF(PULL_FUND="N","",IFERROR(BDP($C153,NDEBITDA_FIELD),"")))</f>
        <v/>
      </c>
      <c r="AV153" s="84">
        <f>IF($C153="","",IF(PULL_FUND="N","",IFERROR(BDP($C153,EBINT_FIELD),"")))</f>
        <v/>
      </c>
      <c r="AW153" s="82">
        <f>IF($C153="","",IF(PULL_FUND="N","",IFERROR(BDP($C153,FCF_FIELD)/100,"")))</f>
        <v/>
      </c>
      <c r="AX153" s="50">
        <f>IF($C153="","",IF(N($U153)=0,"",IFERROR($AW153/$U153,"")))</f>
        <v/>
      </c>
      <c r="AY153" s="85">
        <f>IF($C153="","",TRIM(IF(ISNUMBER($AJ153)*(N($AJ153)&gt;$D$4)&gt;0,"payout high  ","")&amp;IF(ISNUMBER($AX153)*(N($AX153)&lt;$F$4)&gt;0,"FCF below dvd  ","")&amp;IF(ISNUMBER($AU153)*(N($AU153)&gt;$H$4)&gt;0,"leverage high","")))</f>
        <v/>
      </c>
      <c r="AZ153" s="86">
        <f>IF($C153="","",IF(HSCEI!$F$8="HKD","",HSCEI!$F$8))</f>
        <v/>
      </c>
    </row>
    <row r="154">
      <c r="B154" s="66" t="inlineStr">
        <is>
          <t>HSCEI</t>
        </is>
      </c>
      <c r="C154" s="8">
        <f>IF(HSCEI!$C$9="","",HSCEI!$C$9)</f>
        <v/>
      </c>
      <c r="D154" s="8">
        <f>IF($C154="","",HSCEI!$D$9)</f>
        <v/>
      </c>
      <c r="E154" s="8">
        <f>IF($C154="","",HSCEI!$E$9)</f>
        <v/>
      </c>
      <c r="F154" s="67">
        <f>IF($C154="","",SUMPRODUCT(('Dvd Calendar'!$E$1583:$AR$1583&gt;=DATE(YEAR_Y-5,1,1))*('Dvd Calendar'!$E$1583:$AR$1583&lt;=DATE(YEAR_Y-5,12,31))*'Dvd Calendar'!$E$1586:$AR$1586*(('Dvd Calendar'!$E$1588:$AR$1588=TYPE1)*(TYPE1&lt;&gt;"")+('Dvd Calendar'!$E$1588:$AR$1588=TYPE2)*(TYPE2&lt;&gt;"")+('Dvd Calendar'!$E$1588:$AR$1588=TYPE3)*(TYPE3&lt;&gt;"")+('Dvd Calendar'!$E$1588:$AR$1588=TYPE4)*(TYPE4&lt;&gt;"")+('Dvd Calendar'!$E$1588:$AR$1588=SPECIAL_LBL)*(INC_SPECIALS="Y"))))</f>
        <v/>
      </c>
      <c r="G154" s="68">
        <f>IF($C154="","",SUMPRODUCT(('Dvd Calendar'!$E$1583:$AR$1583&gt;=DATE(YEAR_Y-4,1,1))*('Dvd Calendar'!$E$1583:$AR$1583&lt;=DATE(YEAR_Y-4,12,31))*'Dvd Calendar'!$E$1586:$AR$1586*(('Dvd Calendar'!$E$1588:$AR$1588=TYPE1)*(TYPE1&lt;&gt;"")+('Dvd Calendar'!$E$1588:$AR$1588=TYPE2)*(TYPE2&lt;&gt;"")+('Dvd Calendar'!$E$1588:$AR$1588=TYPE3)*(TYPE3&lt;&gt;"")+('Dvd Calendar'!$E$1588:$AR$1588=TYPE4)*(TYPE4&lt;&gt;"")+('Dvd Calendar'!$E$1588:$AR$1588=SPECIAL_LBL)*(INC_SPECIALS="Y"))))</f>
        <v/>
      </c>
      <c r="H154" s="68">
        <f>IF($C154="","",SUMPRODUCT(('Dvd Calendar'!$E$1583:$AR$1583&gt;=DATE(YEAR_Y-3,1,1))*('Dvd Calendar'!$E$1583:$AR$1583&lt;=DATE(YEAR_Y-3,12,31))*'Dvd Calendar'!$E$1586:$AR$1586*(('Dvd Calendar'!$E$1588:$AR$1588=TYPE1)*(TYPE1&lt;&gt;"")+('Dvd Calendar'!$E$1588:$AR$1588=TYPE2)*(TYPE2&lt;&gt;"")+('Dvd Calendar'!$E$1588:$AR$1588=TYPE3)*(TYPE3&lt;&gt;"")+('Dvd Calendar'!$E$1588:$AR$1588=TYPE4)*(TYPE4&lt;&gt;"")+('Dvd Calendar'!$E$1588:$AR$1588=SPECIAL_LBL)*(INC_SPECIALS="Y"))))</f>
        <v/>
      </c>
      <c r="I154" s="68">
        <f>IF($C154="","",SUMPRODUCT(('Dvd Calendar'!$E$1583:$AR$1583&gt;=DATE(YEAR_Y-2,1,1))*('Dvd Calendar'!$E$1583:$AR$1583&lt;=DATE(YEAR_Y-2,12,31))*'Dvd Calendar'!$E$1586:$AR$1586*(('Dvd Calendar'!$E$1588:$AR$1588=TYPE1)*(TYPE1&lt;&gt;"")+('Dvd Calendar'!$E$1588:$AR$1588=TYPE2)*(TYPE2&lt;&gt;"")+('Dvd Calendar'!$E$1588:$AR$1588=TYPE3)*(TYPE3&lt;&gt;"")+('Dvd Calendar'!$E$1588:$AR$1588=TYPE4)*(TYPE4&lt;&gt;"")+('Dvd Calendar'!$E$1588:$AR$1588=SPECIAL_LBL)*(INC_SPECIALS="Y"))))</f>
        <v/>
      </c>
      <c r="J154" s="68">
        <f>IF($C154="","",SUMPRODUCT(('Dvd Calendar'!$E$1583:$AR$1583&gt;=DATE(YEAR_Y-1,1,1))*('Dvd Calendar'!$E$1583:$AR$1583&lt;=DATE(YEAR_Y-1,12,31))*'Dvd Calendar'!$E$1586:$AR$1586*(('Dvd Calendar'!$E$1588:$AR$1588=TYPE1)*(TYPE1&lt;&gt;"")+('Dvd Calendar'!$E$1588:$AR$1588=TYPE2)*(TYPE2&lt;&gt;"")+('Dvd Calendar'!$E$1588:$AR$1588=TYPE3)*(TYPE3&lt;&gt;"")+('Dvd Calendar'!$E$1588:$AR$1588=TYPE4)*(TYPE4&lt;&gt;"")+('Dvd Calendar'!$E$1588:$AR$1588=SPECIAL_LBL)*(INC_SPECIALS="Y"))))</f>
        <v/>
      </c>
      <c r="K154" s="69">
        <f>IF($C154="","",HSCEI!$J$9)</f>
        <v/>
      </c>
      <c r="L154" s="69">
        <f>IF($C154="","",HSCEI!$K$9)</f>
        <v/>
      </c>
      <c r="M154" s="44">
        <f>IF($C154="","",HSCEI!$J$9+HSCEI!$L$9)</f>
        <v/>
      </c>
      <c r="N154" s="70">
        <f>IF($C154="","",IF(PULL_FUND="N","",IFERROR(BDP($C154,BESTDPS_FIELD,FWD_OVERRIDE,TEXT(MOD(YEAR_Y,100),"00")&amp;"Y"),"")))</f>
        <v/>
      </c>
      <c r="O154" s="69">
        <f>IF($C154="","",AVERAGE(F154:J154))</f>
        <v/>
      </c>
      <c r="P154" s="71">
        <f>IF($C154="","",IF(PULL_FUND="N","",IF(COUNTIFS('Fund History'!$J$868:$J$872,"&gt;="&amp;DATE(YEAR_Y-5,1,1),'Fund History'!$J$868:$J$872,"&lt;="&amp;DATE(YEAR_Y-5,12,31))=0,"",IFERROR($F154*HSCEI!$G$9/SUMIFS('Fund History'!$K$868:$K$872,'Fund History'!$J$868:$J$872,"&gt;="&amp;DATE(YEAR_Y-5,1,1),'Fund History'!$J$868:$J$872,"&lt;="&amp;DATE(YEAR_Y-5,12,31)),""))))</f>
        <v/>
      </c>
      <c r="Q154" s="72">
        <f>IF($C154="","",IF(PULL_FUND="N","",IF(COUNTIFS('Fund History'!$J$868:$J$872,"&gt;="&amp;DATE(YEAR_Y-4,1,1),'Fund History'!$J$868:$J$872,"&lt;="&amp;DATE(YEAR_Y-4,12,31))=0,"",IFERROR($G154*HSCEI!$G$9/SUMIFS('Fund History'!$K$868:$K$872,'Fund History'!$J$868:$J$872,"&gt;="&amp;DATE(YEAR_Y-4,1,1),'Fund History'!$J$868:$J$872,"&lt;="&amp;DATE(YEAR_Y-4,12,31)),""))))</f>
        <v/>
      </c>
      <c r="R154" s="72">
        <f>IF($C154="","",IF(PULL_FUND="N","",IF(COUNTIFS('Fund History'!$J$868:$J$872,"&gt;="&amp;DATE(YEAR_Y-3,1,1),'Fund History'!$J$868:$J$872,"&lt;="&amp;DATE(YEAR_Y-3,12,31))=0,"",IFERROR($H154*HSCEI!$G$9/SUMIFS('Fund History'!$K$868:$K$872,'Fund History'!$J$868:$J$872,"&gt;="&amp;DATE(YEAR_Y-3,1,1),'Fund History'!$J$868:$J$872,"&lt;="&amp;DATE(YEAR_Y-3,12,31)),""))))</f>
        <v/>
      </c>
      <c r="S154" s="72">
        <f>IF($C154="","",IF(PULL_FUND="N","",IF(COUNTIFS('Fund History'!$J$868:$J$872,"&gt;="&amp;DATE(YEAR_Y-2,1,1),'Fund History'!$J$868:$J$872,"&lt;="&amp;DATE(YEAR_Y-2,12,31))=0,"",IFERROR($I154*HSCEI!$G$9/SUMIFS('Fund History'!$K$868:$K$872,'Fund History'!$J$868:$J$872,"&gt;="&amp;DATE(YEAR_Y-2,1,1),'Fund History'!$J$868:$J$872,"&lt;="&amp;DATE(YEAR_Y-2,12,31)),""))))</f>
        <v/>
      </c>
      <c r="T154" s="72">
        <f>IF($C154="","",IF(PULL_FUND="N","",IF(COUNTIFS('Fund History'!$J$868:$J$872,"&gt;="&amp;DATE(YEAR_Y-1,1,1),'Fund History'!$J$868:$J$872,"&lt;="&amp;DATE(YEAR_Y-1,12,31))=0,"",IFERROR($J154*HSCEI!$G$9/SUMIFS('Fund History'!$K$868:$K$872,'Fund History'!$J$868:$J$872,"&gt;="&amp;DATE(YEAR_Y-1,1,1),'Fund History'!$J$868:$J$872,"&lt;="&amp;DATE(YEAR_Y-1,12,31)),""))))</f>
        <v/>
      </c>
      <c r="U154" s="73">
        <f>IF($C154="","",IF(ISNUMBER(HSCEI!$I$9),HSCEI!$I$9/100,""))</f>
        <v/>
      </c>
      <c r="V154" s="74">
        <f>IF($C154="","",IF(ISNUMBER(HSCEI!$X$9),IFERROR($M154*HSCEI!$G$9/HSCEI!$X$9,""),""))</f>
        <v/>
      </c>
      <c r="W154" s="73">
        <f>IF($C154="","",IF(ISNUMBER($N154),IFERROR($N154*HSCEI!$G$9/HSCEI!$X$9,""),""))</f>
        <v/>
      </c>
      <c r="X154" s="75">
        <f>IF($C154="","",IF(PULL_FUND="N","",IFERROR(BDP($C154,EPS_FIELD,YR_OVERRIDE,TEXT(YEAR_Y-5,"0")),"")))</f>
        <v/>
      </c>
      <c r="Y154" s="76">
        <f>IF($C154="","",IF(PULL_FUND="N","",IFERROR(BDP($C154,EPS_FIELD,YR_OVERRIDE,TEXT(YEAR_Y-4,"0")),"")))</f>
        <v/>
      </c>
      <c r="Z154" s="76">
        <f>IF($C154="","",IF(PULL_FUND="N","",IFERROR(BDP($C154,EPS_FIELD,YR_OVERRIDE,TEXT(YEAR_Y-3,"0")),"")))</f>
        <v/>
      </c>
      <c r="AA154" s="76">
        <f>IF($C154="","",IF(PULL_FUND="N","",IFERROR(BDP($C154,EPS_FIELD,YR_OVERRIDE,TEXT(YEAR_Y-2,"0")),"")))</f>
        <v/>
      </c>
      <c r="AB154" s="76">
        <f>IF($C154="","",IF(PULL_FUND="N","",IFERROR(BDP($C154,EPS_FIELD,YR_OVERRIDE,TEXT(YEAR_Y-1,"0")),"")))</f>
        <v/>
      </c>
      <c r="AC154" s="50">
        <f>IF($C154="","",IFERROR(AVERAGE(X154:AB154),""))</f>
        <v/>
      </c>
      <c r="AD154" s="76">
        <f>IF($C154="","",IF(PULL_FUND="N","",IFERROR(BDP($C154,BESTEPS_FIELD,FWD_OVERRIDE,TEXT(MOD(YEAR_Y,100),"00")&amp;"Y"),"")))</f>
        <v/>
      </c>
      <c r="AE154" s="77">
        <f>IF($C154="","",IF(PULL_FUND="N","",IFERROR(BDP($C154,PAYOUT_FIELD,YR_OVERRIDE,TEXT(YEAR_Y-5,"0"))/100,"")))</f>
        <v/>
      </c>
      <c r="AF154" s="78">
        <f>IF($C154="","",IF(PULL_FUND="N","",IFERROR(BDP($C154,PAYOUT_FIELD,YR_OVERRIDE,TEXT(YEAR_Y-4,"0"))/100,"")))</f>
        <v/>
      </c>
      <c r="AG154" s="78">
        <f>IF($C154="","",IF(PULL_FUND="N","",IFERROR(BDP($C154,PAYOUT_FIELD,YR_OVERRIDE,TEXT(YEAR_Y-3,"0"))/100,"")))</f>
        <v/>
      </c>
      <c r="AH154" s="78">
        <f>IF($C154="","",IF(PULL_FUND="N","",IFERROR(BDP($C154,PAYOUT_FIELD,YR_OVERRIDE,TEXT(YEAR_Y-2,"0"))/100,"")))</f>
        <v/>
      </c>
      <c r="AI154" s="78">
        <f>IF($C154="","",IF(PULL_FUND="N","",IFERROR(BDP($C154,PAYOUT_FIELD,YR_OVERRIDE,TEXT(YEAR_Y-1,"0"))/100,"")))</f>
        <v/>
      </c>
      <c r="AJ154" s="79">
        <f>IF($C154="","",IFERROR(AVERAGE(AE154:AI154),""))</f>
        <v/>
      </c>
      <c r="AK154" s="80">
        <f>IF($C154="","",IF(ISNUMBER($AD154)*ISNUMBER($N154)*($AD154&lt;&gt;0)=0,"",$N154/$AD154))</f>
        <v/>
      </c>
      <c r="AL154" s="79">
        <f>IF($C154="","",IF(ISNUMBER($AD154)*($AD154&lt;&gt;0)=0,"",$M154/$AD154))</f>
        <v/>
      </c>
      <c r="AM154" s="37">
        <f>IF($C154="","",IF(ISNUMBER($AE154)*ISNUMBER($AI154)=0,"",IF($AI154&gt;$AE154+0.05,"rising",IF($AI154&lt;$AE154-0.05,"falling","stable"))))</f>
        <v/>
      </c>
      <c r="AN154" s="81">
        <f>IF($C154="","",IF(PULL_FUND="N","",IF(COUNTIFS('Fund History'!$G$868:$G$872,"&gt;="&amp;DATE(YEAR_Y-4,1,1),'Fund History'!$G$868:$G$872,"&lt;="&amp;DATE(YEAR_Y-4,12,31))=0,"",SUMIFS('Fund History'!$H$868:$H$872,'Fund History'!$G$868:$G$872,"&gt;="&amp;DATE(YEAR_Y-4,1,1),'Fund History'!$G$868:$G$872,"&lt;="&amp;DATE(YEAR_Y-4,12,31))/100)))</f>
        <v/>
      </c>
      <c r="AO154" s="82">
        <f>IF($C154="","",IF(PULL_FUND="N","",IF(COUNTIFS('Fund History'!$G$868:$G$872,"&gt;="&amp;DATE(YEAR_Y-3,1,1),'Fund History'!$G$868:$G$872,"&lt;="&amp;DATE(YEAR_Y-3,12,31))=0,"",SUMIFS('Fund History'!$H$868:$H$872,'Fund History'!$G$868:$G$872,"&gt;="&amp;DATE(YEAR_Y-3,1,1),'Fund History'!$G$868:$G$872,"&lt;="&amp;DATE(YEAR_Y-3,12,31))/100)))</f>
        <v/>
      </c>
      <c r="AP154" s="82">
        <f>IF($C154="","",IF(PULL_FUND="N","",IF(COUNTIFS('Fund History'!$G$868:$G$872,"&gt;="&amp;DATE(YEAR_Y-2,1,1),'Fund History'!$G$868:$G$872,"&lt;="&amp;DATE(YEAR_Y-2,12,31))=0,"",SUMIFS('Fund History'!$H$868:$H$872,'Fund History'!$G$868:$G$872,"&gt;="&amp;DATE(YEAR_Y-2,1,1),'Fund History'!$G$868:$G$872,"&lt;="&amp;DATE(YEAR_Y-2,12,31))/100)))</f>
        <v/>
      </c>
      <c r="AQ154" s="82">
        <f>IF($C154="","",IF(PULL_FUND="N","",IF(COUNTIFS('Fund History'!$G$868:$G$872,"&gt;="&amp;DATE(YEAR_Y-1,1,1),'Fund History'!$G$868:$G$872,"&lt;="&amp;DATE(YEAR_Y-1,12,31))=0,"",SUMIFS('Fund History'!$H$868:$H$872,'Fund History'!$G$868:$G$872,"&gt;="&amp;DATE(YEAR_Y-1,1,1),'Fund History'!$G$868:$G$872,"&lt;="&amp;DATE(YEAR_Y-1,12,31))/100)))</f>
        <v/>
      </c>
      <c r="AR154" s="83">
        <f>IF($C154="","",IF(N($AQ154)+N(HSCEI!$I$9)=0,"",N($AQ154)+N(HSCEI!$I$9)/100))</f>
        <v/>
      </c>
      <c r="AS154" s="75">
        <f>IF($C154="","",IF(PULL_FUND="N","",IF(COUNTIFS('Fund History'!$D$868:$D$872,"&gt;="&amp;DATE(YEAR_Y-2,1,1),'Fund History'!$D$868:$D$872,"&lt;="&amp;DATE(YEAR_Y-2,12,31))=0,"",SUMIFS('Fund History'!$E$868:$E$872,'Fund History'!$D$868:$D$872,"&gt;="&amp;DATE(YEAR_Y-2,1,1),'Fund History'!$D$868:$D$872,"&lt;="&amp;DATE(YEAR_Y-2,12,31)))))</f>
        <v/>
      </c>
      <c r="AT154" s="76">
        <f>IF($C154="","",IF(PULL_FUND="N","",IF(COUNTIFS('Fund History'!$D$868:$D$872,"&gt;="&amp;DATE(YEAR_Y-1,1,1),'Fund History'!$D$868:$D$872,"&lt;="&amp;DATE(YEAR_Y-1,12,31))=0,"",SUMIFS('Fund History'!$E$868:$E$872,'Fund History'!$D$868:$D$872,"&gt;="&amp;DATE(YEAR_Y-1,1,1),'Fund History'!$D$868:$D$872,"&lt;="&amp;DATE(YEAR_Y-1,12,31)))))</f>
        <v/>
      </c>
      <c r="AU154" s="76">
        <f>IF($C154="","",IF(PULL_FUND="N","",IFERROR(BDP($C154,NDEBITDA_FIELD),"")))</f>
        <v/>
      </c>
      <c r="AV154" s="84">
        <f>IF($C154="","",IF(PULL_FUND="N","",IFERROR(BDP($C154,EBINT_FIELD),"")))</f>
        <v/>
      </c>
      <c r="AW154" s="82">
        <f>IF($C154="","",IF(PULL_FUND="N","",IFERROR(BDP($C154,FCF_FIELD)/100,"")))</f>
        <v/>
      </c>
      <c r="AX154" s="50">
        <f>IF($C154="","",IF(N($U154)=0,"",IFERROR($AW154/$U154,"")))</f>
        <v/>
      </c>
      <c r="AY154" s="85">
        <f>IF($C154="","",TRIM(IF(ISNUMBER($AJ154)*(N($AJ154)&gt;$D$4)&gt;0,"payout high  ","")&amp;IF(ISNUMBER($AX154)*(N($AX154)&lt;$F$4)&gt;0,"FCF below dvd  ","")&amp;IF(ISNUMBER($AU154)*(N($AU154)&gt;$H$4)&gt;0,"leverage high","")))</f>
        <v/>
      </c>
      <c r="AZ154" s="86">
        <f>IF($C154="","",IF(HSCEI!$F$9="HKD","",HSCEI!$F$9))</f>
        <v/>
      </c>
    </row>
    <row r="155">
      <c r="B155" s="66" t="inlineStr">
        <is>
          <t>HSCEI</t>
        </is>
      </c>
      <c r="C155" s="8">
        <f>IF(HSCEI!$C$10="","",HSCEI!$C$10)</f>
        <v/>
      </c>
      <c r="D155" s="8">
        <f>IF($C155="","",HSCEI!$D$10)</f>
        <v/>
      </c>
      <c r="E155" s="8">
        <f>IF($C155="","",HSCEI!$E$10)</f>
        <v/>
      </c>
      <c r="F155" s="67">
        <f>IF($C155="","",SUMPRODUCT(('Dvd Calendar'!$E$1594:$AR$1594&gt;=DATE(YEAR_Y-5,1,1))*('Dvd Calendar'!$E$1594:$AR$1594&lt;=DATE(YEAR_Y-5,12,31))*'Dvd Calendar'!$E$1597:$AR$1597*(('Dvd Calendar'!$E$1599:$AR$1599=TYPE1)*(TYPE1&lt;&gt;"")+('Dvd Calendar'!$E$1599:$AR$1599=TYPE2)*(TYPE2&lt;&gt;"")+('Dvd Calendar'!$E$1599:$AR$1599=TYPE3)*(TYPE3&lt;&gt;"")+('Dvd Calendar'!$E$1599:$AR$1599=TYPE4)*(TYPE4&lt;&gt;"")+('Dvd Calendar'!$E$1599:$AR$1599=SPECIAL_LBL)*(INC_SPECIALS="Y"))))</f>
        <v/>
      </c>
      <c r="G155" s="68">
        <f>IF($C155="","",SUMPRODUCT(('Dvd Calendar'!$E$1594:$AR$1594&gt;=DATE(YEAR_Y-4,1,1))*('Dvd Calendar'!$E$1594:$AR$1594&lt;=DATE(YEAR_Y-4,12,31))*'Dvd Calendar'!$E$1597:$AR$1597*(('Dvd Calendar'!$E$1599:$AR$1599=TYPE1)*(TYPE1&lt;&gt;"")+('Dvd Calendar'!$E$1599:$AR$1599=TYPE2)*(TYPE2&lt;&gt;"")+('Dvd Calendar'!$E$1599:$AR$1599=TYPE3)*(TYPE3&lt;&gt;"")+('Dvd Calendar'!$E$1599:$AR$1599=TYPE4)*(TYPE4&lt;&gt;"")+('Dvd Calendar'!$E$1599:$AR$1599=SPECIAL_LBL)*(INC_SPECIALS="Y"))))</f>
        <v/>
      </c>
      <c r="H155" s="68">
        <f>IF($C155="","",SUMPRODUCT(('Dvd Calendar'!$E$1594:$AR$1594&gt;=DATE(YEAR_Y-3,1,1))*('Dvd Calendar'!$E$1594:$AR$1594&lt;=DATE(YEAR_Y-3,12,31))*'Dvd Calendar'!$E$1597:$AR$1597*(('Dvd Calendar'!$E$1599:$AR$1599=TYPE1)*(TYPE1&lt;&gt;"")+('Dvd Calendar'!$E$1599:$AR$1599=TYPE2)*(TYPE2&lt;&gt;"")+('Dvd Calendar'!$E$1599:$AR$1599=TYPE3)*(TYPE3&lt;&gt;"")+('Dvd Calendar'!$E$1599:$AR$1599=TYPE4)*(TYPE4&lt;&gt;"")+('Dvd Calendar'!$E$1599:$AR$1599=SPECIAL_LBL)*(INC_SPECIALS="Y"))))</f>
        <v/>
      </c>
      <c r="I155" s="68">
        <f>IF($C155="","",SUMPRODUCT(('Dvd Calendar'!$E$1594:$AR$1594&gt;=DATE(YEAR_Y-2,1,1))*('Dvd Calendar'!$E$1594:$AR$1594&lt;=DATE(YEAR_Y-2,12,31))*'Dvd Calendar'!$E$1597:$AR$1597*(('Dvd Calendar'!$E$1599:$AR$1599=TYPE1)*(TYPE1&lt;&gt;"")+('Dvd Calendar'!$E$1599:$AR$1599=TYPE2)*(TYPE2&lt;&gt;"")+('Dvd Calendar'!$E$1599:$AR$1599=TYPE3)*(TYPE3&lt;&gt;"")+('Dvd Calendar'!$E$1599:$AR$1599=TYPE4)*(TYPE4&lt;&gt;"")+('Dvd Calendar'!$E$1599:$AR$1599=SPECIAL_LBL)*(INC_SPECIALS="Y"))))</f>
        <v/>
      </c>
      <c r="J155" s="68">
        <f>IF($C155="","",SUMPRODUCT(('Dvd Calendar'!$E$1594:$AR$1594&gt;=DATE(YEAR_Y-1,1,1))*('Dvd Calendar'!$E$1594:$AR$1594&lt;=DATE(YEAR_Y-1,12,31))*'Dvd Calendar'!$E$1597:$AR$1597*(('Dvd Calendar'!$E$1599:$AR$1599=TYPE1)*(TYPE1&lt;&gt;"")+('Dvd Calendar'!$E$1599:$AR$1599=TYPE2)*(TYPE2&lt;&gt;"")+('Dvd Calendar'!$E$1599:$AR$1599=TYPE3)*(TYPE3&lt;&gt;"")+('Dvd Calendar'!$E$1599:$AR$1599=TYPE4)*(TYPE4&lt;&gt;"")+('Dvd Calendar'!$E$1599:$AR$1599=SPECIAL_LBL)*(INC_SPECIALS="Y"))))</f>
        <v/>
      </c>
      <c r="K155" s="69">
        <f>IF($C155="","",HSCEI!$J$10)</f>
        <v/>
      </c>
      <c r="L155" s="69">
        <f>IF($C155="","",HSCEI!$K$10)</f>
        <v/>
      </c>
      <c r="M155" s="44">
        <f>IF($C155="","",HSCEI!$J$10+HSCEI!$L$10)</f>
        <v/>
      </c>
      <c r="N155" s="70">
        <f>IF($C155="","",IF(PULL_FUND="N","",IFERROR(BDP($C155,BESTDPS_FIELD,FWD_OVERRIDE,TEXT(MOD(YEAR_Y,100),"00")&amp;"Y"),"")))</f>
        <v/>
      </c>
      <c r="O155" s="69">
        <f>IF($C155="","",AVERAGE(F155:J155))</f>
        <v/>
      </c>
      <c r="P155" s="71">
        <f>IF($C155="","",IF(PULL_FUND="N","",IF(COUNTIFS('Fund History'!$J$874:$J$878,"&gt;="&amp;DATE(YEAR_Y-5,1,1),'Fund History'!$J$874:$J$878,"&lt;="&amp;DATE(YEAR_Y-5,12,31))=0,"",IFERROR($F155*HSCEI!$G$10/SUMIFS('Fund History'!$K$874:$K$878,'Fund History'!$J$874:$J$878,"&gt;="&amp;DATE(YEAR_Y-5,1,1),'Fund History'!$J$874:$J$878,"&lt;="&amp;DATE(YEAR_Y-5,12,31)),""))))</f>
        <v/>
      </c>
      <c r="Q155" s="72">
        <f>IF($C155="","",IF(PULL_FUND="N","",IF(COUNTIFS('Fund History'!$J$874:$J$878,"&gt;="&amp;DATE(YEAR_Y-4,1,1),'Fund History'!$J$874:$J$878,"&lt;="&amp;DATE(YEAR_Y-4,12,31))=0,"",IFERROR($G155*HSCEI!$G$10/SUMIFS('Fund History'!$K$874:$K$878,'Fund History'!$J$874:$J$878,"&gt;="&amp;DATE(YEAR_Y-4,1,1),'Fund History'!$J$874:$J$878,"&lt;="&amp;DATE(YEAR_Y-4,12,31)),""))))</f>
        <v/>
      </c>
      <c r="R155" s="72">
        <f>IF($C155="","",IF(PULL_FUND="N","",IF(COUNTIFS('Fund History'!$J$874:$J$878,"&gt;="&amp;DATE(YEAR_Y-3,1,1),'Fund History'!$J$874:$J$878,"&lt;="&amp;DATE(YEAR_Y-3,12,31))=0,"",IFERROR($H155*HSCEI!$G$10/SUMIFS('Fund History'!$K$874:$K$878,'Fund History'!$J$874:$J$878,"&gt;="&amp;DATE(YEAR_Y-3,1,1),'Fund History'!$J$874:$J$878,"&lt;="&amp;DATE(YEAR_Y-3,12,31)),""))))</f>
        <v/>
      </c>
      <c r="S155" s="72">
        <f>IF($C155="","",IF(PULL_FUND="N","",IF(COUNTIFS('Fund History'!$J$874:$J$878,"&gt;="&amp;DATE(YEAR_Y-2,1,1),'Fund History'!$J$874:$J$878,"&lt;="&amp;DATE(YEAR_Y-2,12,31))=0,"",IFERROR($I155*HSCEI!$G$10/SUMIFS('Fund History'!$K$874:$K$878,'Fund History'!$J$874:$J$878,"&gt;="&amp;DATE(YEAR_Y-2,1,1),'Fund History'!$J$874:$J$878,"&lt;="&amp;DATE(YEAR_Y-2,12,31)),""))))</f>
        <v/>
      </c>
      <c r="T155" s="72">
        <f>IF($C155="","",IF(PULL_FUND="N","",IF(COUNTIFS('Fund History'!$J$874:$J$878,"&gt;="&amp;DATE(YEAR_Y-1,1,1),'Fund History'!$J$874:$J$878,"&lt;="&amp;DATE(YEAR_Y-1,12,31))=0,"",IFERROR($J155*HSCEI!$G$10/SUMIFS('Fund History'!$K$874:$K$878,'Fund History'!$J$874:$J$878,"&gt;="&amp;DATE(YEAR_Y-1,1,1),'Fund History'!$J$874:$J$878,"&lt;="&amp;DATE(YEAR_Y-1,12,31)),""))))</f>
        <v/>
      </c>
      <c r="U155" s="73">
        <f>IF($C155="","",IF(ISNUMBER(HSCEI!$I$10),HSCEI!$I$10/100,""))</f>
        <v/>
      </c>
      <c r="V155" s="74">
        <f>IF($C155="","",IF(ISNUMBER(HSCEI!$X$10),IFERROR($M155*HSCEI!$G$10/HSCEI!$X$10,""),""))</f>
        <v/>
      </c>
      <c r="W155" s="73">
        <f>IF($C155="","",IF(ISNUMBER($N155),IFERROR($N155*HSCEI!$G$10/HSCEI!$X$10,""),""))</f>
        <v/>
      </c>
      <c r="X155" s="75">
        <f>IF($C155="","",IF(PULL_FUND="N","",IFERROR(BDP($C155,EPS_FIELD,YR_OVERRIDE,TEXT(YEAR_Y-5,"0")),"")))</f>
        <v/>
      </c>
      <c r="Y155" s="76">
        <f>IF($C155="","",IF(PULL_FUND="N","",IFERROR(BDP($C155,EPS_FIELD,YR_OVERRIDE,TEXT(YEAR_Y-4,"0")),"")))</f>
        <v/>
      </c>
      <c r="Z155" s="76">
        <f>IF($C155="","",IF(PULL_FUND="N","",IFERROR(BDP($C155,EPS_FIELD,YR_OVERRIDE,TEXT(YEAR_Y-3,"0")),"")))</f>
        <v/>
      </c>
      <c r="AA155" s="76">
        <f>IF($C155="","",IF(PULL_FUND="N","",IFERROR(BDP($C155,EPS_FIELD,YR_OVERRIDE,TEXT(YEAR_Y-2,"0")),"")))</f>
        <v/>
      </c>
      <c r="AB155" s="76">
        <f>IF($C155="","",IF(PULL_FUND="N","",IFERROR(BDP($C155,EPS_FIELD,YR_OVERRIDE,TEXT(YEAR_Y-1,"0")),"")))</f>
        <v/>
      </c>
      <c r="AC155" s="50">
        <f>IF($C155="","",IFERROR(AVERAGE(X155:AB155),""))</f>
        <v/>
      </c>
      <c r="AD155" s="76">
        <f>IF($C155="","",IF(PULL_FUND="N","",IFERROR(BDP($C155,BESTEPS_FIELD,FWD_OVERRIDE,TEXT(MOD(YEAR_Y,100),"00")&amp;"Y"),"")))</f>
        <v/>
      </c>
      <c r="AE155" s="77">
        <f>IF($C155="","",IF(PULL_FUND="N","",IFERROR(BDP($C155,PAYOUT_FIELD,YR_OVERRIDE,TEXT(YEAR_Y-5,"0"))/100,"")))</f>
        <v/>
      </c>
      <c r="AF155" s="78">
        <f>IF($C155="","",IF(PULL_FUND="N","",IFERROR(BDP($C155,PAYOUT_FIELD,YR_OVERRIDE,TEXT(YEAR_Y-4,"0"))/100,"")))</f>
        <v/>
      </c>
      <c r="AG155" s="78">
        <f>IF($C155="","",IF(PULL_FUND="N","",IFERROR(BDP($C155,PAYOUT_FIELD,YR_OVERRIDE,TEXT(YEAR_Y-3,"0"))/100,"")))</f>
        <v/>
      </c>
      <c r="AH155" s="78">
        <f>IF($C155="","",IF(PULL_FUND="N","",IFERROR(BDP($C155,PAYOUT_FIELD,YR_OVERRIDE,TEXT(YEAR_Y-2,"0"))/100,"")))</f>
        <v/>
      </c>
      <c r="AI155" s="78">
        <f>IF($C155="","",IF(PULL_FUND="N","",IFERROR(BDP($C155,PAYOUT_FIELD,YR_OVERRIDE,TEXT(YEAR_Y-1,"0"))/100,"")))</f>
        <v/>
      </c>
      <c r="AJ155" s="79">
        <f>IF($C155="","",IFERROR(AVERAGE(AE155:AI155),""))</f>
        <v/>
      </c>
      <c r="AK155" s="80">
        <f>IF($C155="","",IF(ISNUMBER($AD155)*ISNUMBER($N155)*($AD155&lt;&gt;0)=0,"",$N155/$AD155))</f>
        <v/>
      </c>
      <c r="AL155" s="79">
        <f>IF($C155="","",IF(ISNUMBER($AD155)*($AD155&lt;&gt;0)=0,"",$M155/$AD155))</f>
        <v/>
      </c>
      <c r="AM155" s="37">
        <f>IF($C155="","",IF(ISNUMBER($AE155)*ISNUMBER($AI155)=0,"",IF($AI155&gt;$AE155+0.05,"rising",IF($AI155&lt;$AE155-0.05,"falling","stable"))))</f>
        <v/>
      </c>
      <c r="AN155" s="81">
        <f>IF($C155="","",IF(PULL_FUND="N","",IF(COUNTIFS('Fund History'!$G$874:$G$878,"&gt;="&amp;DATE(YEAR_Y-4,1,1),'Fund History'!$G$874:$G$878,"&lt;="&amp;DATE(YEAR_Y-4,12,31))=0,"",SUMIFS('Fund History'!$H$874:$H$878,'Fund History'!$G$874:$G$878,"&gt;="&amp;DATE(YEAR_Y-4,1,1),'Fund History'!$G$874:$G$878,"&lt;="&amp;DATE(YEAR_Y-4,12,31))/100)))</f>
        <v/>
      </c>
      <c r="AO155" s="82">
        <f>IF($C155="","",IF(PULL_FUND="N","",IF(COUNTIFS('Fund History'!$G$874:$G$878,"&gt;="&amp;DATE(YEAR_Y-3,1,1),'Fund History'!$G$874:$G$878,"&lt;="&amp;DATE(YEAR_Y-3,12,31))=0,"",SUMIFS('Fund History'!$H$874:$H$878,'Fund History'!$G$874:$G$878,"&gt;="&amp;DATE(YEAR_Y-3,1,1),'Fund History'!$G$874:$G$878,"&lt;="&amp;DATE(YEAR_Y-3,12,31))/100)))</f>
        <v/>
      </c>
      <c r="AP155" s="82">
        <f>IF($C155="","",IF(PULL_FUND="N","",IF(COUNTIFS('Fund History'!$G$874:$G$878,"&gt;="&amp;DATE(YEAR_Y-2,1,1),'Fund History'!$G$874:$G$878,"&lt;="&amp;DATE(YEAR_Y-2,12,31))=0,"",SUMIFS('Fund History'!$H$874:$H$878,'Fund History'!$G$874:$G$878,"&gt;="&amp;DATE(YEAR_Y-2,1,1),'Fund History'!$G$874:$G$878,"&lt;="&amp;DATE(YEAR_Y-2,12,31))/100)))</f>
        <v/>
      </c>
      <c r="AQ155" s="82">
        <f>IF($C155="","",IF(PULL_FUND="N","",IF(COUNTIFS('Fund History'!$G$874:$G$878,"&gt;="&amp;DATE(YEAR_Y-1,1,1),'Fund History'!$G$874:$G$878,"&lt;="&amp;DATE(YEAR_Y-1,12,31))=0,"",SUMIFS('Fund History'!$H$874:$H$878,'Fund History'!$G$874:$G$878,"&gt;="&amp;DATE(YEAR_Y-1,1,1),'Fund History'!$G$874:$G$878,"&lt;="&amp;DATE(YEAR_Y-1,12,31))/100)))</f>
        <v/>
      </c>
      <c r="AR155" s="83">
        <f>IF($C155="","",IF(N($AQ155)+N(HSCEI!$I$10)=0,"",N($AQ155)+N(HSCEI!$I$10)/100))</f>
        <v/>
      </c>
      <c r="AS155" s="75">
        <f>IF($C155="","",IF(PULL_FUND="N","",IF(COUNTIFS('Fund History'!$D$874:$D$878,"&gt;="&amp;DATE(YEAR_Y-2,1,1),'Fund History'!$D$874:$D$878,"&lt;="&amp;DATE(YEAR_Y-2,12,31))=0,"",SUMIFS('Fund History'!$E$874:$E$878,'Fund History'!$D$874:$D$878,"&gt;="&amp;DATE(YEAR_Y-2,1,1),'Fund History'!$D$874:$D$878,"&lt;="&amp;DATE(YEAR_Y-2,12,31)))))</f>
        <v/>
      </c>
      <c r="AT155" s="76">
        <f>IF($C155="","",IF(PULL_FUND="N","",IF(COUNTIFS('Fund History'!$D$874:$D$878,"&gt;="&amp;DATE(YEAR_Y-1,1,1),'Fund History'!$D$874:$D$878,"&lt;="&amp;DATE(YEAR_Y-1,12,31))=0,"",SUMIFS('Fund History'!$E$874:$E$878,'Fund History'!$D$874:$D$878,"&gt;="&amp;DATE(YEAR_Y-1,1,1),'Fund History'!$D$874:$D$878,"&lt;="&amp;DATE(YEAR_Y-1,12,31)))))</f>
        <v/>
      </c>
      <c r="AU155" s="76">
        <f>IF($C155="","",IF(PULL_FUND="N","",IFERROR(BDP($C155,NDEBITDA_FIELD),"")))</f>
        <v/>
      </c>
      <c r="AV155" s="84">
        <f>IF($C155="","",IF(PULL_FUND="N","",IFERROR(BDP($C155,EBINT_FIELD),"")))</f>
        <v/>
      </c>
      <c r="AW155" s="82">
        <f>IF($C155="","",IF(PULL_FUND="N","",IFERROR(BDP($C155,FCF_FIELD)/100,"")))</f>
        <v/>
      </c>
      <c r="AX155" s="50">
        <f>IF($C155="","",IF(N($U155)=0,"",IFERROR($AW155/$U155,"")))</f>
        <v/>
      </c>
      <c r="AY155" s="85">
        <f>IF($C155="","",TRIM(IF(ISNUMBER($AJ155)*(N($AJ155)&gt;$D$4)&gt;0,"payout high  ","")&amp;IF(ISNUMBER($AX155)*(N($AX155)&lt;$F$4)&gt;0,"FCF below dvd  ","")&amp;IF(ISNUMBER($AU155)*(N($AU155)&gt;$H$4)&gt;0,"leverage high","")))</f>
        <v/>
      </c>
      <c r="AZ155" s="86">
        <f>IF($C155="","",IF(HSCEI!$F$10="HKD","",HSCEI!$F$10))</f>
        <v/>
      </c>
    </row>
    <row r="156">
      <c r="B156" s="66" t="inlineStr">
        <is>
          <t>HSCEI</t>
        </is>
      </c>
      <c r="C156" s="8">
        <f>IF(HSCEI!$C$11="","",HSCEI!$C$11)</f>
        <v/>
      </c>
      <c r="D156" s="8">
        <f>IF($C156="","",HSCEI!$D$11)</f>
        <v/>
      </c>
      <c r="E156" s="8">
        <f>IF($C156="","",HSCEI!$E$11)</f>
        <v/>
      </c>
      <c r="F156" s="67">
        <f>IF($C156="","",SUMPRODUCT(('Dvd Calendar'!$E$1605:$AR$1605&gt;=DATE(YEAR_Y-5,1,1))*('Dvd Calendar'!$E$1605:$AR$1605&lt;=DATE(YEAR_Y-5,12,31))*'Dvd Calendar'!$E$1608:$AR$1608*(('Dvd Calendar'!$E$1610:$AR$1610=TYPE1)*(TYPE1&lt;&gt;"")+('Dvd Calendar'!$E$1610:$AR$1610=TYPE2)*(TYPE2&lt;&gt;"")+('Dvd Calendar'!$E$1610:$AR$1610=TYPE3)*(TYPE3&lt;&gt;"")+('Dvd Calendar'!$E$1610:$AR$1610=TYPE4)*(TYPE4&lt;&gt;"")+('Dvd Calendar'!$E$1610:$AR$1610=SPECIAL_LBL)*(INC_SPECIALS="Y"))))</f>
        <v/>
      </c>
      <c r="G156" s="68">
        <f>IF($C156="","",SUMPRODUCT(('Dvd Calendar'!$E$1605:$AR$1605&gt;=DATE(YEAR_Y-4,1,1))*('Dvd Calendar'!$E$1605:$AR$1605&lt;=DATE(YEAR_Y-4,12,31))*'Dvd Calendar'!$E$1608:$AR$1608*(('Dvd Calendar'!$E$1610:$AR$1610=TYPE1)*(TYPE1&lt;&gt;"")+('Dvd Calendar'!$E$1610:$AR$1610=TYPE2)*(TYPE2&lt;&gt;"")+('Dvd Calendar'!$E$1610:$AR$1610=TYPE3)*(TYPE3&lt;&gt;"")+('Dvd Calendar'!$E$1610:$AR$1610=TYPE4)*(TYPE4&lt;&gt;"")+('Dvd Calendar'!$E$1610:$AR$1610=SPECIAL_LBL)*(INC_SPECIALS="Y"))))</f>
        <v/>
      </c>
      <c r="H156" s="68">
        <f>IF($C156="","",SUMPRODUCT(('Dvd Calendar'!$E$1605:$AR$1605&gt;=DATE(YEAR_Y-3,1,1))*('Dvd Calendar'!$E$1605:$AR$1605&lt;=DATE(YEAR_Y-3,12,31))*'Dvd Calendar'!$E$1608:$AR$1608*(('Dvd Calendar'!$E$1610:$AR$1610=TYPE1)*(TYPE1&lt;&gt;"")+('Dvd Calendar'!$E$1610:$AR$1610=TYPE2)*(TYPE2&lt;&gt;"")+('Dvd Calendar'!$E$1610:$AR$1610=TYPE3)*(TYPE3&lt;&gt;"")+('Dvd Calendar'!$E$1610:$AR$1610=TYPE4)*(TYPE4&lt;&gt;"")+('Dvd Calendar'!$E$1610:$AR$1610=SPECIAL_LBL)*(INC_SPECIALS="Y"))))</f>
        <v/>
      </c>
      <c r="I156" s="68">
        <f>IF($C156="","",SUMPRODUCT(('Dvd Calendar'!$E$1605:$AR$1605&gt;=DATE(YEAR_Y-2,1,1))*('Dvd Calendar'!$E$1605:$AR$1605&lt;=DATE(YEAR_Y-2,12,31))*'Dvd Calendar'!$E$1608:$AR$1608*(('Dvd Calendar'!$E$1610:$AR$1610=TYPE1)*(TYPE1&lt;&gt;"")+('Dvd Calendar'!$E$1610:$AR$1610=TYPE2)*(TYPE2&lt;&gt;"")+('Dvd Calendar'!$E$1610:$AR$1610=TYPE3)*(TYPE3&lt;&gt;"")+('Dvd Calendar'!$E$1610:$AR$1610=TYPE4)*(TYPE4&lt;&gt;"")+('Dvd Calendar'!$E$1610:$AR$1610=SPECIAL_LBL)*(INC_SPECIALS="Y"))))</f>
        <v/>
      </c>
      <c r="J156" s="68">
        <f>IF($C156="","",SUMPRODUCT(('Dvd Calendar'!$E$1605:$AR$1605&gt;=DATE(YEAR_Y-1,1,1))*('Dvd Calendar'!$E$1605:$AR$1605&lt;=DATE(YEAR_Y-1,12,31))*'Dvd Calendar'!$E$1608:$AR$1608*(('Dvd Calendar'!$E$1610:$AR$1610=TYPE1)*(TYPE1&lt;&gt;"")+('Dvd Calendar'!$E$1610:$AR$1610=TYPE2)*(TYPE2&lt;&gt;"")+('Dvd Calendar'!$E$1610:$AR$1610=TYPE3)*(TYPE3&lt;&gt;"")+('Dvd Calendar'!$E$1610:$AR$1610=TYPE4)*(TYPE4&lt;&gt;"")+('Dvd Calendar'!$E$1610:$AR$1610=SPECIAL_LBL)*(INC_SPECIALS="Y"))))</f>
        <v/>
      </c>
      <c r="K156" s="69">
        <f>IF($C156="","",HSCEI!$J$11)</f>
        <v/>
      </c>
      <c r="L156" s="69">
        <f>IF($C156="","",HSCEI!$K$11)</f>
        <v/>
      </c>
      <c r="M156" s="44">
        <f>IF($C156="","",HSCEI!$J$11+HSCEI!$L$11)</f>
        <v/>
      </c>
      <c r="N156" s="70">
        <f>IF($C156="","",IF(PULL_FUND="N","",IFERROR(BDP($C156,BESTDPS_FIELD,FWD_OVERRIDE,TEXT(MOD(YEAR_Y,100),"00")&amp;"Y"),"")))</f>
        <v/>
      </c>
      <c r="O156" s="69">
        <f>IF($C156="","",AVERAGE(F156:J156))</f>
        <v/>
      </c>
      <c r="P156" s="71">
        <f>IF($C156="","",IF(PULL_FUND="N","",IF(COUNTIFS('Fund History'!$J$880:$J$884,"&gt;="&amp;DATE(YEAR_Y-5,1,1),'Fund History'!$J$880:$J$884,"&lt;="&amp;DATE(YEAR_Y-5,12,31))=0,"",IFERROR($F156*HSCEI!$G$11/SUMIFS('Fund History'!$K$880:$K$884,'Fund History'!$J$880:$J$884,"&gt;="&amp;DATE(YEAR_Y-5,1,1),'Fund History'!$J$880:$J$884,"&lt;="&amp;DATE(YEAR_Y-5,12,31)),""))))</f>
        <v/>
      </c>
      <c r="Q156" s="72">
        <f>IF($C156="","",IF(PULL_FUND="N","",IF(COUNTIFS('Fund History'!$J$880:$J$884,"&gt;="&amp;DATE(YEAR_Y-4,1,1),'Fund History'!$J$880:$J$884,"&lt;="&amp;DATE(YEAR_Y-4,12,31))=0,"",IFERROR($G156*HSCEI!$G$11/SUMIFS('Fund History'!$K$880:$K$884,'Fund History'!$J$880:$J$884,"&gt;="&amp;DATE(YEAR_Y-4,1,1),'Fund History'!$J$880:$J$884,"&lt;="&amp;DATE(YEAR_Y-4,12,31)),""))))</f>
        <v/>
      </c>
      <c r="R156" s="72">
        <f>IF($C156="","",IF(PULL_FUND="N","",IF(COUNTIFS('Fund History'!$J$880:$J$884,"&gt;="&amp;DATE(YEAR_Y-3,1,1),'Fund History'!$J$880:$J$884,"&lt;="&amp;DATE(YEAR_Y-3,12,31))=0,"",IFERROR($H156*HSCEI!$G$11/SUMIFS('Fund History'!$K$880:$K$884,'Fund History'!$J$880:$J$884,"&gt;="&amp;DATE(YEAR_Y-3,1,1),'Fund History'!$J$880:$J$884,"&lt;="&amp;DATE(YEAR_Y-3,12,31)),""))))</f>
        <v/>
      </c>
      <c r="S156" s="72">
        <f>IF($C156="","",IF(PULL_FUND="N","",IF(COUNTIFS('Fund History'!$J$880:$J$884,"&gt;="&amp;DATE(YEAR_Y-2,1,1),'Fund History'!$J$880:$J$884,"&lt;="&amp;DATE(YEAR_Y-2,12,31))=0,"",IFERROR($I156*HSCEI!$G$11/SUMIFS('Fund History'!$K$880:$K$884,'Fund History'!$J$880:$J$884,"&gt;="&amp;DATE(YEAR_Y-2,1,1),'Fund History'!$J$880:$J$884,"&lt;="&amp;DATE(YEAR_Y-2,12,31)),""))))</f>
        <v/>
      </c>
      <c r="T156" s="72">
        <f>IF($C156="","",IF(PULL_FUND="N","",IF(COUNTIFS('Fund History'!$J$880:$J$884,"&gt;="&amp;DATE(YEAR_Y-1,1,1),'Fund History'!$J$880:$J$884,"&lt;="&amp;DATE(YEAR_Y-1,12,31))=0,"",IFERROR($J156*HSCEI!$G$11/SUMIFS('Fund History'!$K$880:$K$884,'Fund History'!$J$880:$J$884,"&gt;="&amp;DATE(YEAR_Y-1,1,1),'Fund History'!$J$880:$J$884,"&lt;="&amp;DATE(YEAR_Y-1,12,31)),""))))</f>
        <v/>
      </c>
      <c r="U156" s="73">
        <f>IF($C156="","",IF(ISNUMBER(HSCEI!$I$11),HSCEI!$I$11/100,""))</f>
        <v/>
      </c>
      <c r="V156" s="74">
        <f>IF($C156="","",IF(ISNUMBER(HSCEI!$X$11),IFERROR($M156*HSCEI!$G$11/HSCEI!$X$11,""),""))</f>
        <v/>
      </c>
      <c r="W156" s="73">
        <f>IF($C156="","",IF(ISNUMBER($N156),IFERROR($N156*HSCEI!$G$11/HSCEI!$X$11,""),""))</f>
        <v/>
      </c>
      <c r="X156" s="75">
        <f>IF($C156="","",IF(PULL_FUND="N","",IFERROR(BDP($C156,EPS_FIELD,YR_OVERRIDE,TEXT(YEAR_Y-5,"0")),"")))</f>
        <v/>
      </c>
      <c r="Y156" s="76">
        <f>IF($C156="","",IF(PULL_FUND="N","",IFERROR(BDP($C156,EPS_FIELD,YR_OVERRIDE,TEXT(YEAR_Y-4,"0")),"")))</f>
        <v/>
      </c>
      <c r="Z156" s="76">
        <f>IF($C156="","",IF(PULL_FUND="N","",IFERROR(BDP($C156,EPS_FIELD,YR_OVERRIDE,TEXT(YEAR_Y-3,"0")),"")))</f>
        <v/>
      </c>
      <c r="AA156" s="76">
        <f>IF($C156="","",IF(PULL_FUND="N","",IFERROR(BDP($C156,EPS_FIELD,YR_OVERRIDE,TEXT(YEAR_Y-2,"0")),"")))</f>
        <v/>
      </c>
      <c r="AB156" s="76">
        <f>IF($C156="","",IF(PULL_FUND="N","",IFERROR(BDP($C156,EPS_FIELD,YR_OVERRIDE,TEXT(YEAR_Y-1,"0")),"")))</f>
        <v/>
      </c>
      <c r="AC156" s="50">
        <f>IF($C156="","",IFERROR(AVERAGE(X156:AB156),""))</f>
        <v/>
      </c>
      <c r="AD156" s="76">
        <f>IF($C156="","",IF(PULL_FUND="N","",IFERROR(BDP($C156,BESTEPS_FIELD,FWD_OVERRIDE,TEXT(MOD(YEAR_Y,100),"00")&amp;"Y"),"")))</f>
        <v/>
      </c>
      <c r="AE156" s="77">
        <f>IF($C156="","",IF(PULL_FUND="N","",IFERROR(BDP($C156,PAYOUT_FIELD,YR_OVERRIDE,TEXT(YEAR_Y-5,"0"))/100,"")))</f>
        <v/>
      </c>
      <c r="AF156" s="78">
        <f>IF($C156="","",IF(PULL_FUND="N","",IFERROR(BDP($C156,PAYOUT_FIELD,YR_OVERRIDE,TEXT(YEAR_Y-4,"0"))/100,"")))</f>
        <v/>
      </c>
      <c r="AG156" s="78">
        <f>IF($C156="","",IF(PULL_FUND="N","",IFERROR(BDP($C156,PAYOUT_FIELD,YR_OVERRIDE,TEXT(YEAR_Y-3,"0"))/100,"")))</f>
        <v/>
      </c>
      <c r="AH156" s="78">
        <f>IF($C156="","",IF(PULL_FUND="N","",IFERROR(BDP($C156,PAYOUT_FIELD,YR_OVERRIDE,TEXT(YEAR_Y-2,"0"))/100,"")))</f>
        <v/>
      </c>
      <c r="AI156" s="78">
        <f>IF($C156="","",IF(PULL_FUND="N","",IFERROR(BDP($C156,PAYOUT_FIELD,YR_OVERRIDE,TEXT(YEAR_Y-1,"0"))/100,"")))</f>
        <v/>
      </c>
      <c r="AJ156" s="79">
        <f>IF($C156="","",IFERROR(AVERAGE(AE156:AI156),""))</f>
        <v/>
      </c>
      <c r="AK156" s="80">
        <f>IF($C156="","",IF(ISNUMBER($AD156)*ISNUMBER($N156)*($AD156&lt;&gt;0)=0,"",$N156/$AD156))</f>
        <v/>
      </c>
      <c r="AL156" s="79">
        <f>IF($C156="","",IF(ISNUMBER($AD156)*($AD156&lt;&gt;0)=0,"",$M156/$AD156))</f>
        <v/>
      </c>
      <c r="AM156" s="37">
        <f>IF($C156="","",IF(ISNUMBER($AE156)*ISNUMBER($AI156)=0,"",IF($AI156&gt;$AE156+0.05,"rising",IF($AI156&lt;$AE156-0.05,"falling","stable"))))</f>
        <v/>
      </c>
      <c r="AN156" s="81">
        <f>IF($C156="","",IF(PULL_FUND="N","",IF(COUNTIFS('Fund History'!$G$880:$G$884,"&gt;="&amp;DATE(YEAR_Y-4,1,1),'Fund History'!$G$880:$G$884,"&lt;="&amp;DATE(YEAR_Y-4,12,31))=0,"",SUMIFS('Fund History'!$H$880:$H$884,'Fund History'!$G$880:$G$884,"&gt;="&amp;DATE(YEAR_Y-4,1,1),'Fund History'!$G$880:$G$884,"&lt;="&amp;DATE(YEAR_Y-4,12,31))/100)))</f>
        <v/>
      </c>
      <c r="AO156" s="82">
        <f>IF($C156="","",IF(PULL_FUND="N","",IF(COUNTIFS('Fund History'!$G$880:$G$884,"&gt;="&amp;DATE(YEAR_Y-3,1,1),'Fund History'!$G$880:$G$884,"&lt;="&amp;DATE(YEAR_Y-3,12,31))=0,"",SUMIFS('Fund History'!$H$880:$H$884,'Fund History'!$G$880:$G$884,"&gt;="&amp;DATE(YEAR_Y-3,1,1),'Fund History'!$G$880:$G$884,"&lt;="&amp;DATE(YEAR_Y-3,12,31))/100)))</f>
        <v/>
      </c>
      <c r="AP156" s="82">
        <f>IF($C156="","",IF(PULL_FUND="N","",IF(COUNTIFS('Fund History'!$G$880:$G$884,"&gt;="&amp;DATE(YEAR_Y-2,1,1),'Fund History'!$G$880:$G$884,"&lt;="&amp;DATE(YEAR_Y-2,12,31))=0,"",SUMIFS('Fund History'!$H$880:$H$884,'Fund History'!$G$880:$G$884,"&gt;="&amp;DATE(YEAR_Y-2,1,1),'Fund History'!$G$880:$G$884,"&lt;="&amp;DATE(YEAR_Y-2,12,31))/100)))</f>
        <v/>
      </c>
      <c r="AQ156" s="82">
        <f>IF($C156="","",IF(PULL_FUND="N","",IF(COUNTIFS('Fund History'!$G$880:$G$884,"&gt;="&amp;DATE(YEAR_Y-1,1,1),'Fund History'!$G$880:$G$884,"&lt;="&amp;DATE(YEAR_Y-1,12,31))=0,"",SUMIFS('Fund History'!$H$880:$H$884,'Fund History'!$G$880:$G$884,"&gt;="&amp;DATE(YEAR_Y-1,1,1),'Fund History'!$G$880:$G$884,"&lt;="&amp;DATE(YEAR_Y-1,12,31))/100)))</f>
        <v/>
      </c>
      <c r="AR156" s="83">
        <f>IF($C156="","",IF(N($AQ156)+N(HSCEI!$I$11)=0,"",N($AQ156)+N(HSCEI!$I$11)/100))</f>
        <v/>
      </c>
      <c r="AS156" s="75">
        <f>IF($C156="","",IF(PULL_FUND="N","",IF(COUNTIFS('Fund History'!$D$880:$D$884,"&gt;="&amp;DATE(YEAR_Y-2,1,1),'Fund History'!$D$880:$D$884,"&lt;="&amp;DATE(YEAR_Y-2,12,31))=0,"",SUMIFS('Fund History'!$E$880:$E$884,'Fund History'!$D$880:$D$884,"&gt;="&amp;DATE(YEAR_Y-2,1,1),'Fund History'!$D$880:$D$884,"&lt;="&amp;DATE(YEAR_Y-2,12,31)))))</f>
        <v/>
      </c>
      <c r="AT156" s="76">
        <f>IF($C156="","",IF(PULL_FUND="N","",IF(COUNTIFS('Fund History'!$D$880:$D$884,"&gt;="&amp;DATE(YEAR_Y-1,1,1),'Fund History'!$D$880:$D$884,"&lt;="&amp;DATE(YEAR_Y-1,12,31))=0,"",SUMIFS('Fund History'!$E$880:$E$884,'Fund History'!$D$880:$D$884,"&gt;="&amp;DATE(YEAR_Y-1,1,1),'Fund History'!$D$880:$D$884,"&lt;="&amp;DATE(YEAR_Y-1,12,31)))))</f>
        <v/>
      </c>
      <c r="AU156" s="76">
        <f>IF($C156="","",IF(PULL_FUND="N","",IFERROR(BDP($C156,NDEBITDA_FIELD),"")))</f>
        <v/>
      </c>
      <c r="AV156" s="84">
        <f>IF($C156="","",IF(PULL_FUND="N","",IFERROR(BDP($C156,EBINT_FIELD),"")))</f>
        <v/>
      </c>
      <c r="AW156" s="82">
        <f>IF($C156="","",IF(PULL_FUND="N","",IFERROR(BDP($C156,FCF_FIELD)/100,"")))</f>
        <v/>
      </c>
      <c r="AX156" s="50">
        <f>IF($C156="","",IF(N($U156)=0,"",IFERROR($AW156/$U156,"")))</f>
        <v/>
      </c>
      <c r="AY156" s="85">
        <f>IF($C156="","",TRIM(IF(ISNUMBER($AJ156)*(N($AJ156)&gt;$D$4)&gt;0,"payout high  ","")&amp;IF(ISNUMBER($AX156)*(N($AX156)&lt;$F$4)&gt;0,"FCF below dvd  ","")&amp;IF(ISNUMBER($AU156)*(N($AU156)&gt;$H$4)&gt;0,"leverage high","")))</f>
        <v/>
      </c>
      <c r="AZ156" s="86">
        <f>IF($C156="","",IF(HSCEI!$F$11="HKD","",HSCEI!$F$11))</f>
        <v/>
      </c>
    </row>
    <row r="157">
      <c r="B157" s="66" t="inlineStr">
        <is>
          <t>HSCEI</t>
        </is>
      </c>
      <c r="C157" s="8">
        <f>IF(HSCEI!$C$12="","",HSCEI!$C$12)</f>
        <v/>
      </c>
      <c r="D157" s="8">
        <f>IF($C157="","",HSCEI!$D$12)</f>
        <v/>
      </c>
      <c r="E157" s="8">
        <f>IF($C157="","",HSCEI!$E$12)</f>
        <v/>
      </c>
      <c r="F157" s="67">
        <f>IF($C157="","",SUMPRODUCT(('Dvd Calendar'!$E$1616:$AR$1616&gt;=DATE(YEAR_Y-5,1,1))*('Dvd Calendar'!$E$1616:$AR$1616&lt;=DATE(YEAR_Y-5,12,31))*'Dvd Calendar'!$E$1619:$AR$1619*(('Dvd Calendar'!$E$1621:$AR$1621=TYPE1)*(TYPE1&lt;&gt;"")+('Dvd Calendar'!$E$1621:$AR$1621=TYPE2)*(TYPE2&lt;&gt;"")+('Dvd Calendar'!$E$1621:$AR$1621=TYPE3)*(TYPE3&lt;&gt;"")+('Dvd Calendar'!$E$1621:$AR$1621=TYPE4)*(TYPE4&lt;&gt;"")+('Dvd Calendar'!$E$1621:$AR$1621=SPECIAL_LBL)*(INC_SPECIALS="Y"))))</f>
        <v/>
      </c>
      <c r="G157" s="68">
        <f>IF($C157="","",SUMPRODUCT(('Dvd Calendar'!$E$1616:$AR$1616&gt;=DATE(YEAR_Y-4,1,1))*('Dvd Calendar'!$E$1616:$AR$1616&lt;=DATE(YEAR_Y-4,12,31))*'Dvd Calendar'!$E$1619:$AR$1619*(('Dvd Calendar'!$E$1621:$AR$1621=TYPE1)*(TYPE1&lt;&gt;"")+('Dvd Calendar'!$E$1621:$AR$1621=TYPE2)*(TYPE2&lt;&gt;"")+('Dvd Calendar'!$E$1621:$AR$1621=TYPE3)*(TYPE3&lt;&gt;"")+('Dvd Calendar'!$E$1621:$AR$1621=TYPE4)*(TYPE4&lt;&gt;"")+('Dvd Calendar'!$E$1621:$AR$1621=SPECIAL_LBL)*(INC_SPECIALS="Y"))))</f>
        <v/>
      </c>
      <c r="H157" s="68">
        <f>IF($C157="","",SUMPRODUCT(('Dvd Calendar'!$E$1616:$AR$1616&gt;=DATE(YEAR_Y-3,1,1))*('Dvd Calendar'!$E$1616:$AR$1616&lt;=DATE(YEAR_Y-3,12,31))*'Dvd Calendar'!$E$1619:$AR$1619*(('Dvd Calendar'!$E$1621:$AR$1621=TYPE1)*(TYPE1&lt;&gt;"")+('Dvd Calendar'!$E$1621:$AR$1621=TYPE2)*(TYPE2&lt;&gt;"")+('Dvd Calendar'!$E$1621:$AR$1621=TYPE3)*(TYPE3&lt;&gt;"")+('Dvd Calendar'!$E$1621:$AR$1621=TYPE4)*(TYPE4&lt;&gt;"")+('Dvd Calendar'!$E$1621:$AR$1621=SPECIAL_LBL)*(INC_SPECIALS="Y"))))</f>
        <v/>
      </c>
      <c r="I157" s="68">
        <f>IF($C157="","",SUMPRODUCT(('Dvd Calendar'!$E$1616:$AR$1616&gt;=DATE(YEAR_Y-2,1,1))*('Dvd Calendar'!$E$1616:$AR$1616&lt;=DATE(YEAR_Y-2,12,31))*'Dvd Calendar'!$E$1619:$AR$1619*(('Dvd Calendar'!$E$1621:$AR$1621=TYPE1)*(TYPE1&lt;&gt;"")+('Dvd Calendar'!$E$1621:$AR$1621=TYPE2)*(TYPE2&lt;&gt;"")+('Dvd Calendar'!$E$1621:$AR$1621=TYPE3)*(TYPE3&lt;&gt;"")+('Dvd Calendar'!$E$1621:$AR$1621=TYPE4)*(TYPE4&lt;&gt;"")+('Dvd Calendar'!$E$1621:$AR$1621=SPECIAL_LBL)*(INC_SPECIALS="Y"))))</f>
        <v/>
      </c>
      <c r="J157" s="68">
        <f>IF($C157="","",SUMPRODUCT(('Dvd Calendar'!$E$1616:$AR$1616&gt;=DATE(YEAR_Y-1,1,1))*('Dvd Calendar'!$E$1616:$AR$1616&lt;=DATE(YEAR_Y-1,12,31))*'Dvd Calendar'!$E$1619:$AR$1619*(('Dvd Calendar'!$E$1621:$AR$1621=TYPE1)*(TYPE1&lt;&gt;"")+('Dvd Calendar'!$E$1621:$AR$1621=TYPE2)*(TYPE2&lt;&gt;"")+('Dvd Calendar'!$E$1621:$AR$1621=TYPE3)*(TYPE3&lt;&gt;"")+('Dvd Calendar'!$E$1621:$AR$1621=TYPE4)*(TYPE4&lt;&gt;"")+('Dvd Calendar'!$E$1621:$AR$1621=SPECIAL_LBL)*(INC_SPECIALS="Y"))))</f>
        <v/>
      </c>
      <c r="K157" s="69">
        <f>IF($C157="","",HSCEI!$J$12)</f>
        <v/>
      </c>
      <c r="L157" s="69">
        <f>IF($C157="","",HSCEI!$K$12)</f>
        <v/>
      </c>
      <c r="M157" s="44">
        <f>IF($C157="","",HSCEI!$J$12+HSCEI!$L$12)</f>
        <v/>
      </c>
      <c r="N157" s="70">
        <f>IF($C157="","",IF(PULL_FUND="N","",IFERROR(BDP($C157,BESTDPS_FIELD,FWD_OVERRIDE,TEXT(MOD(YEAR_Y,100),"00")&amp;"Y"),"")))</f>
        <v/>
      </c>
      <c r="O157" s="69">
        <f>IF($C157="","",AVERAGE(F157:J157))</f>
        <v/>
      </c>
      <c r="P157" s="71">
        <f>IF($C157="","",IF(PULL_FUND="N","",IF(COUNTIFS('Fund History'!$J$886:$J$890,"&gt;="&amp;DATE(YEAR_Y-5,1,1),'Fund History'!$J$886:$J$890,"&lt;="&amp;DATE(YEAR_Y-5,12,31))=0,"",IFERROR($F157*HSCEI!$G$12/SUMIFS('Fund History'!$K$886:$K$890,'Fund History'!$J$886:$J$890,"&gt;="&amp;DATE(YEAR_Y-5,1,1),'Fund History'!$J$886:$J$890,"&lt;="&amp;DATE(YEAR_Y-5,12,31)),""))))</f>
        <v/>
      </c>
      <c r="Q157" s="72">
        <f>IF($C157="","",IF(PULL_FUND="N","",IF(COUNTIFS('Fund History'!$J$886:$J$890,"&gt;="&amp;DATE(YEAR_Y-4,1,1),'Fund History'!$J$886:$J$890,"&lt;="&amp;DATE(YEAR_Y-4,12,31))=0,"",IFERROR($G157*HSCEI!$G$12/SUMIFS('Fund History'!$K$886:$K$890,'Fund History'!$J$886:$J$890,"&gt;="&amp;DATE(YEAR_Y-4,1,1),'Fund History'!$J$886:$J$890,"&lt;="&amp;DATE(YEAR_Y-4,12,31)),""))))</f>
        <v/>
      </c>
      <c r="R157" s="72">
        <f>IF($C157="","",IF(PULL_FUND="N","",IF(COUNTIFS('Fund History'!$J$886:$J$890,"&gt;="&amp;DATE(YEAR_Y-3,1,1),'Fund History'!$J$886:$J$890,"&lt;="&amp;DATE(YEAR_Y-3,12,31))=0,"",IFERROR($H157*HSCEI!$G$12/SUMIFS('Fund History'!$K$886:$K$890,'Fund History'!$J$886:$J$890,"&gt;="&amp;DATE(YEAR_Y-3,1,1),'Fund History'!$J$886:$J$890,"&lt;="&amp;DATE(YEAR_Y-3,12,31)),""))))</f>
        <v/>
      </c>
      <c r="S157" s="72">
        <f>IF($C157="","",IF(PULL_FUND="N","",IF(COUNTIFS('Fund History'!$J$886:$J$890,"&gt;="&amp;DATE(YEAR_Y-2,1,1),'Fund History'!$J$886:$J$890,"&lt;="&amp;DATE(YEAR_Y-2,12,31))=0,"",IFERROR($I157*HSCEI!$G$12/SUMIFS('Fund History'!$K$886:$K$890,'Fund History'!$J$886:$J$890,"&gt;="&amp;DATE(YEAR_Y-2,1,1),'Fund History'!$J$886:$J$890,"&lt;="&amp;DATE(YEAR_Y-2,12,31)),""))))</f>
        <v/>
      </c>
      <c r="T157" s="72">
        <f>IF($C157="","",IF(PULL_FUND="N","",IF(COUNTIFS('Fund History'!$J$886:$J$890,"&gt;="&amp;DATE(YEAR_Y-1,1,1),'Fund History'!$J$886:$J$890,"&lt;="&amp;DATE(YEAR_Y-1,12,31))=0,"",IFERROR($J157*HSCEI!$G$12/SUMIFS('Fund History'!$K$886:$K$890,'Fund History'!$J$886:$J$890,"&gt;="&amp;DATE(YEAR_Y-1,1,1),'Fund History'!$J$886:$J$890,"&lt;="&amp;DATE(YEAR_Y-1,12,31)),""))))</f>
        <v/>
      </c>
      <c r="U157" s="73">
        <f>IF($C157="","",IF(ISNUMBER(HSCEI!$I$12),HSCEI!$I$12/100,""))</f>
        <v/>
      </c>
      <c r="V157" s="74">
        <f>IF($C157="","",IF(ISNUMBER(HSCEI!$X$12),IFERROR($M157*HSCEI!$G$12/HSCEI!$X$12,""),""))</f>
        <v/>
      </c>
      <c r="W157" s="73">
        <f>IF($C157="","",IF(ISNUMBER($N157),IFERROR($N157*HSCEI!$G$12/HSCEI!$X$12,""),""))</f>
        <v/>
      </c>
      <c r="X157" s="75">
        <f>IF($C157="","",IF(PULL_FUND="N","",IFERROR(BDP($C157,EPS_FIELD,YR_OVERRIDE,TEXT(YEAR_Y-5,"0")),"")))</f>
        <v/>
      </c>
      <c r="Y157" s="76">
        <f>IF($C157="","",IF(PULL_FUND="N","",IFERROR(BDP($C157,EPS_FIELD,YR_OVERRIDE,TEXT(YEAR_Y-4,"0")),"")))</f>
        <v/>
      </c>
      <c r="Z157" s="76">
        <f>IF($C157="","",IF(PULL_FUND="N","",IFERROR(BDP($C157,EPS_FIELD,YR_OVERRIDE,TEXT(YEAR_Y-3,"0")),"")))</f>
        <v/>
      </c>
      <c r="AA157" s="76">
        <f>IF($C157="","",IF(PULL_FUND="N","",IFERROR(BDP($C157,EPS_FIELD,YR_OVERRIDE,TEXT(YEAR_Y-2,"0")),"")))</f>
        <v/>
      </c>
      <c r="AB157" s="76">
        <f>IF($C157="","",IF(PULL_FUND="N","",IFERROR(BDP($C157,EPS_FIELD,YR_OVERRIDE,TEXT(YEAR_Y-1,"0")),"")))</f>
        <v/>
      </c>
      <c r="AC157" s="50">
        <f>IF($C157="","",IFERROR(AVERAGE(X157:AB157),""))</f>
        <v/>
      </c>
      <c r="AD157" s="76">
        <f>IF($C157="","",IF(PULL_FUND="N","",IFERROR(BDP($C157,BESTEPS_FIELD,FWD_OVERRIDE,TEXT(MOD(YEAR_Y,100),"00")&amp;"Y"),"")))</f>
        <v/>
      </c>
      <c r="AE157" s="77">
        <f>IF($C157="","",IF(PULL_FUND="N","",IFERROR(BDP($C157,PAYOUT_FIELD,YR_OVERRIDE,TEXT(YEAR_Y-5,"0"))/100,"")))</f>
        <v/>
      </c>
      <c r="AF157" s="78">
        <f>IF($C157="","",IF(PULL_FUND="N","",IFERROR(BDP($C157,PAYOUT_FIELD,YR_OVERRIDE,TEXT(YEAR_Y-4,"0"))/100,"")))</f>
        <v/>
      </c>
      <c r="AG157" s="78">
        <f>IF($C157="","",IF(PULL_FUND="N","",IFERROR(BDP($C157,PAYOUT_FIELD,YR_OVERRIDE,TEXT(YEAR_Y-3,"0"))/100,"")))</f>
        <v/>
      </c>
      <c r="AH157" s="78">
        <f>IF($C157="","",IF(PULL_FUND="N","",IFERROR(BDP($C157,PAYOUT_FIELD,YR_OVERRIDE,TEXT(YEAR_Y-2,"0"))/100,"")))</f>
        <v/>
      </c>
      <c r="AI157" s="78">
        <f>IF($C157="","",IF(PULL_FUND="N","",IFERROR(BDP($C157,PAYOUT_FIELD,YR_OVERRIDE,TEXT(YEAR_Y-1,"0"))/100,"")))</f>
        <v/>
      </c>
      <c r="AJ157" s="79">
        <f>IF($C157="","",IFERROR(AVERAGE(AE157:AI157),""))</f>
        <v/>
      </c>
      <c r="AK157" s="80">
        <f>IF($C157="","",IF(ISNUMBER($AD157)*ISNUMBER($N157)*($AD157&lt;&gt;0)=0,"",$N157/$AD157))</f>
        <v/>
      </c>
      <c r="AL157" s="79">
        <f>IF($C157="","",IF(ISNUMBER($AD157)*($AD157&lt;&gt;0)=0,"",$M157/$AD157))</f>
        <v/>
      </c>
      <c r="AM157" s="37">
        <f>IF($C157="","",IF(ISNUMBER($AE157)*ISNUMBER($AI157)=0,"",IF($AI157&gt;$AE157+0.05,"rising",IF($AI157&lt;$AE157-0.05,"falling","stable"))))</f>
        <v/>
      </c>
      <c r="AN157" s="81">
        <f>IF($C157="","",IF(PULL_FUND="N","",IF(COUNTIFS('Fund History'!$G$886:$G$890,"&gt;="&amp;DATE(YEAR_Y-4,1,1),'Fund History'!$G$886:$G$890,"&lt;="&amp;DATE(YEAR_Y-4,12,31))=0,"",SUMIFS('Fund History'!$H$886:$H$890,'Fund History'!$G$886:$G$890,"&gt;="&amp;DATE(YEAR_Y-4,1,1),'Fund History'!$G$886:$G$890,"&lt;="&amp;DATE(YEAR_Y-4,12,31))/100)))</f>
        <v/>
      </c>
      <c r="AO157" s="82">
        <f>IF($C157="","",IF(PULL_FUND="N","",IF(COUNTIFS('Fund History'!$G$886:$G$890,"&gt;="&amp;DATE(YEAR_Y-3,1,1),'Fund History'!$G$886:$G$890,"&lt;="&amp;DATE(YEAR_Y-3,12,31))=0,"",SUMIFS('Fund History'!$H$886:$H$890,'Fund History'!$G$886:$G$890,"&gt;="&amp;DATE(YEAR_Y-3,1,1),'Fund History'!$G$886:$G$890,"&lt;="&amp;DATE(YEAR_Y-3,12,31))/100)))</f>
        <v/>
      </c>
      <c r="AP157" s="82">
        <f>IF($C157="","",IF(PULL_FUND="N","",IF(COUNTIFS('Fund History'!$G$886:$G$890,"&gt;="&amp;DATE(YEAR_Y-2,1,1),'Fund History'!$G$886:$G$890,"&lt;="&amp;DATE(YEAR_Y-2,12,31))=0,"",SUMIFS('Fund History'!$H$886:$H$890,'Fund History'!$G$886:$G$890,"&gt;="&amp;DATE(YEAR_Y-2,1,1),'Fund History'!$G$886:$G$890,"&lt;="&amp;DATE(YEAR_Y-2,12,31))/100)))</f>
        <v/>
      </c>
      <c r="AQ157" s="82">
        <f>IF($C157="","",IF(PULL_FUND="N","",IF(COUNTIFS('Fund History'!$G$886:$G$890,"&gt;="&amp;DATE(YEAR_Y-1,1,1),'Fund History'!$G$886:$G$890,"&lt;="&amp;DATE(YEAR_Y-1,12,31))=0,"",SUMIFS('Fund History'!$H$886:$H$890,'Fund History'!$G$886:$G$890,"&gt;="&amp;DATE(YEAR_Y-1,1,1),'Fund History'!$G$886:$G$890,"&lt;="&amp;DATE(YEAR_Y-1,12,31))/100)))</f>
        <v/>
      </c>
      <c r="AR157" s="83">
        <f>IF($C157="","",IF(N($AQ157)+N(HSCEI!$I$12)=0,"",N($AQ157)+N(HSCEI!$I$12)/100))</f>
        <v/>
      </c>
      <c r="AS157" s="75">
        <f>IF($C157="","",IF(PULL_FUND="N","",IF(COUNTIFS('Fund History'!$D$886:$D$890,"&gt;="&amp;DATE(YEAR_Y-2,1,1),'Fund History'!$D$886:$D$890,"&lt;="&amp;DATE(YEAR_Y-2,12,31))=0,"",SUMIFS('Fund History'!$E$886:$E$890,'Fund History'!$D$886:$D$890,"&gt;="&amp;DATE(YEAR_Y-2,1,1),'Fund History'!$D$886:$D$890,"&lt;="&amp;DATE(YEAR_Y-2,12,31)))))</f>
        <v/>
      </c>
      <c r="AT157" s="76">
        <f>IF($C157="","",IF(PULL_FUND="N","",IF(COUNTIFS('Fund History'!$D$886:$D$890,"&gt;="&amp;DATE(YEAR_Y-1,1,1),'Fund History'!$D$886:$D$890,"&lt;="&amp;DATE(YEAR_Y-1,12,31))=0,"",SUMIFS('Fund History'!$E$886:$E$890,'Fund History'!$D$886:$D$890,"&gt;="&amp;DATE(YEAR_Y-1,1,1),'Fund History'!$D$886:$D$890,"&lt;="&amp;DATE(YEAR_Y-1,12,31)))))</f>
        <v/>
      </c>
      <c r="AU157" s="76">
        <f>IF($C157="","",IF(PULL_FUND="N","",IFERROR(BDP($C157,NDEBITDA_FIELD),"")))</f>
        <v/>
      </c>
      <c r="AV157" s="84">
        <f>IF($C157="","",IF(PULL_FUND="N","",IFERROR(BDP($C157,EBINT_FIELD),"")))</f>
        <v/>
      </c>
      <c r="AW157" s="82">
        <f>IF($C157="","",IF(PULL_FUND="N","",IFERROR(BDP($C157,FCF_FIELD)/100,"")))</f>
        <v/>
      </c>
      <c r="AX157" s="50">
        <f>IF($C157="","",IF(N($U157)=0,"",IFERROR($AW157/$U157,"")))</f>
        <v/>
      </c>
      <c r="AY157" s="85">
        <f>IF($C157="","",TRIM(IF(ISNUMBER($AJ157)*(N($AJ157)&gt;$D$4)&gt;0,"payout high  ","")&amp;IF(ISNUMBER($AX157)*(N($AX157)&lt;$F$4)&gt;0,"FCF below dvd  ","")&amp;IF(ISNUMBER($AU157)*(N($AU157)&gt;$H$4)&gt;0,"leverage high","")))</f>
        <v/>
      </c>
      <c r="AZ157" s="86">
        <f>IF($C157="","",IF(HSCEI!$F$12="HKD","",HSCEI!$F$12))</f>
        <v/>
      </c>
    </row>
    <row r="158">
      <c r="B158" s="66" t="inlineStr">
        <is>
          <t>HSCEI</t>
        </is>
      </c>
      <c r="C158" s="8">
        <f>IF(HSCEI!$C$13="","",HSCEI!$C$13)</f>
        <v/>
      </c>
      <c r="D158" s="8">
        <f>IF($C158="","",HSCEI!$D$13)</f>
        <v/>
      </c>
      <c r="E158" s="8">
        <f>IF($C158="","",HSCEI!$E$13)</f>
        <v/>
      </c>
      <c r="F158" s="67">
        <f>IF($C158="","",SUMPRODUCT(('Dvd Calendar'!$E$1627:$AR$1627&gt;=DATE(YEAR_Y-5,1,1))*('Dvd Calendar'!$E$1627:$AR$1627&lt;=DATE(YEAR_Y-5,12,31))*'Dvd Calendar'!$E$1630:$AR$1630*(('Dvd Calendar'!$E$1632:$AR$1632=TYPE1)*(TYPE1&lt;&gt;"")+('Dvd Calendar'!$E$1632:$AR$1632=TYPE2)*(TYPE2&lt;&gt;"")+('Dvd Calendar'!$E$1632:$AR$1632=TYPE3)*(TYPE3&lt;&gt;"")+('Dvd Calendar'!$E$1632:$AR$1632=TYPE4)*(TYPE4&lt;&gt;"")+('Dvd Calendar'!$E$1632:$AR$1632=SPECIAL_LBL)*(INC_SPECIALS="Y"))))</f>
        <v/>
      </c>
      <c r="G158" s="68">
        <f>IF($C158="","",SUMPRODUCT(('Dvd Calendar'!$E$1627:$AR$1627&gt;=DATE(YEAR_Y-4,1,1))*('Dvd Calendar'!$E$1627:$AR$1627&lt;=DATE(YEAR_Y-4,12,31))*'Dvd Calendar'!$E$1630:$AR$1630*(('Dvd Calendar'!$E$1632:$AR$1632=TYPE1)*(TYPE1&lt;&gt;"")+('Dvd Calendar'!$E$1632:$AR$1632=TYPE2)*(TYPE2&lt;&gt;"")+('Dvd Calendar'!$E$1632:$AR$1632=TYPE3)*(TYPE3&lt;&gt;"")+('Dvd Calendar'!$E$1632:$AR$1632=TYPE4)*(TYPE4&lt;&gt;"")+('Dvd Calendar'!$E$1632:$AR$1632=SPECIAL_LBL)*(INC_SPECIALS="Y"))))</f>
        <v/>
      </c>
      <c r="H158" s="68">
        <f>IF($C158="","",SUMPRODUCT(('Dvd Calendar'!$E$1627:$AR$1627&gt;=DATE(YEAR_Y-3,1,1))*('Dvd Calendar'!$E$1627:$AR$1627&lt;=DATE(YEAR_Y-3,12,31))*'Dvd Calendar'!$E$1630:$AR$1630*(('Dvd Calendar'!$E$1632:$AR$1632=TYPE1)*(TYPE1&lt;&gt;"")+('Dvd Calendar'!$E$1632:$AR$1632=TYPE2)*(TYPE2&lt;&gt;"")+('Dvd Calendar'!$E$1632:$AR$1632=TYPE3)*(TYPE3&lt;&gt;"")+('Dvd Calendar'!$E$1632:$AR$1632=TYPE4)*(TYPE4&lt;&gt;"")+('Dvd Calendar'!$E$1632:$AR$1632=SPECIAL_LBL)*(INC_SPECIALS="Y"))))</f>
        <v/>
      </c>
      <c r="I158" s="68">
        <f>IF($C158="","",SUMPRODUCT(('Dvd Calendar'!$E$1627:$AR$1627&gt;=DATE(YEAR_Y-2,1,1))*('Dvd Calendar'!$E$1627:$AR$1627&lt;=DATE(YEAR_Y-2,12,31))*'Dvd Calendar'!$E$1630:$AR$1630*(('Dvd Calendar'!$E$1632:$AR$1632=TYPE1)*(TYPE1&lt;&gt;"")+('Dvd Calendar'!$E$1632:$AR$1632=TYPE2)*(TYPE2&lt;&gt;"")+('Dvd Calendar'!$E$1632:$AR$1632=TYPE3)*(TYPE3&lt;&gt;"")+('Dvd Calendar'!$E$1632:$AR$1632=TYPE4)*(TYPE4&lt;&gt;"")+('Dvd Calendar'!$E$1632:$AR$1632=SPECIAL_LBL)*(INC_SPECIALS="Y"))))</f>
        <v/>
      </c>
      <c r="J158" s="68">
        <f>IF($C158="","",SUMPRODUCT(('Dvd Calendar'!$E$1627:$AR$1627&gt;=DATE(YEAR_Y-1,1,1))*('Dvd Calendar'!$E$1627:$AR$1627&lt;=DATE(YEAR_Y-1,12,31))*'Dvd Calendar'!$E$1630:$AR$1630*(('Dvd Calendar'!$E$1632:$AR$1632=TYPE1)*(TYPE1&lt;&gt;"")+('Dvd Calendar'!$E$1632:$AR$1632=TYPE2)*(TYPE2&lt;&gt;"")+('Dvd Calendar'!$E$1632:$AR$1632=TYPE3)*(TYPE3&lt;&gt;"")+('Dvd Calendar'!$E$1632:$AR$1632=TYPE4)*(TYPE4&lt;&gt;"")+('Dvd Calendar'!$E$1632:$AR$1632=SPECIAL_LBL)*(INC_SPECIALS="Y"))))</f>
        <v/>
      </c>
      <c r="K158" s="69">
        <f>IF($C158="","",HSCEI!$J$13)</f>
        <v/>
      </c>
      <c r="L158" s="69">
        <f>IF($C158="","",HSCEI!$K$13)</f>
        <v/>
      </c>
      <c r="M158" s="44">
        <f>IF($C158="","",HSCEI!$J$13+HSCEI!$L$13)</f>
        <v/>
      </c>
      <c r="N158" s="70">
        <f>IF($C158="","",IF(PULL_FUND="N","",IFERROR(BDP($C158,BESTDPS_FIELD,FWD_OVERRIDE,TEXT(MOD(YEAR_Y,100),"00")&amp;"Y"),"")))</f>
        <v/>
      </c>
      <c r="O158" s="69">
        <f>IF($C158="","",AVERAGE(F158:J158))</f>
        <v/>
      </c>
      <c r="P158" s="71">
        <f>IF($C158="","",IF(PULL_FUND="N","",IF(COUNTIFS('Fund History'!$J$892:$J$896,"&gt;="&amp;DATE(YEAR_Y-5,1,1),'Fund History'!$J$892:$J$896,"&lt;="&amp;DATE(YEAR_Y-5,12,31))=0,"",IFERROR($F158*HSCEI!$G$13/SUMIFS('Fund History'!$K$892:$K$896,'Fund History'!$J$892:$J$896,"&gt;="&amp;DATE(YEAR_Y-5,1,1),'Fund History'!$J$892:$J$896,"&lt;="&amp;DATE(YEAR_Y-5,12,31)),""))))</f>
        <v/>
      </c>
      <c r="Q158" s="72">
        <f>IF($C158="","",IF(PULL_FUND="N","",IF(COUNTIFS('Fund History'!$J$892:$J$896,"&gt;="&amp;DATE(YEAR_Y-4,1,1),'Fund History'!$J$892:$J$896,"&lt;="&amp;DATE(YEAR_Y-4,12,31))=0,"",IFERROR($G158*HSCEI!$G$13/SUMIFS('Fund History'!$K$892:$K$896,'Fund History'!$J$892:$J$896,"&gt;="&amp;DATE(YEAR_Y-4,1,1),'Fund History'!$J$892:$J$896,"&lt;="&amp;DATE(YEAR_Y-4,12,31)),""))))</f>
        <v/>
      </c>
      <c r="R158" s="72">
        <f>IF($C158="","",IF(PULL_FUND="N","",IF(COUNTIFS('Fund History'!$J$892:$J$896,"&gt;="&amp;DATE(YEAR_Y-3,1,1),'Fund History'!$J$892:$J$896,"&lt;="&amp;DATE(YEAR_Y-3,12,31))=0,"",IFERROR($H158*HSCEI!$G$13/SUMIFS('Fund History'!$K$892:$K$896,'Fund History'!$J$892:$J$896,"&gt;="&amp;DATE(YEAR_Y-3,1,1),'Fund History'!$J$892:$J$896,"&lt;="&amp;DATE(YEAR_Y-3,12,31)),""))))</f>
        <v/>
      </c>
      <c r="S158" s="72">
        <f>IF($C158="","",IF(PULL_FUND="N","",IF(COUNTIFS('Fund History'!$J$892:$J$896,"&gt;="&amp;DATE(YEAR_Y-2,1,1),'Fund History'!$J$892:$J$896,"&lt;="&amp;DATE(YEAR_Y-2,12,31))=0,"",IFERROR($I158*HSCEI!$G$13/SUMIFS('Fund History'!$K$892:$K$896,'Fund History'!$J$892:$J$896,"&gt;="&amp;DATE(YEAR_Y-2,1,1),'Fund History'!$J$892:$J$896,"&lt;="&amp;DATE(YEAR_Y-2,12,31)),""))))</f>
        <v/>
      </c>
      <c r="T158" s="72">
        <f>IF($C158="","",IF(PULL_FUND="N","",IF(COUNTIFS('Fund History'!$J$892:$J$896,"&gt;="&amp;DATE(YEAR_Y-1,1,1),'Fund History'!$J$892:$J$896,"&lt;="&amp;DATE(YEAR_Y-1,12,31))=0,"",IFERROR($J158*HSCEI!$G$13/SUMIFS('Fund History'!$K$892:$K$896,'Fund History'!$J$892:$J$896,"&gt;="&amp;DATE(YEAR_Y-1,1,1),'Fund History'!$J$892:$J$896,"&lt;="&amp;DATE(YEAR_Y-1,12,31)),""))))</f>
        <v/>
      </c>
      <c r="U158" s="73">
        <f>IF($C158="","",IF(ISNUMBER(HSCEI!$I$13),HSCEI!$I$13/100,""))</f>
        <v/>
      </c>
      <c r="V158" s="74">
        <f>IF($C158="","",IF(ISNUMBER(HSCEI!$X$13),IFERROR($M158*HSCEI!$G$13/HSCEI!$X$13,""),""))</f>
        <v/>
      </c>
      <c r="W158" s="73">
        <f>IF($C158="","",IF(ISNUMBER($N158),IFERROR($N158*HSCEI!$G$13/HSCEI!$X$13,""),""))</f>
        <v/>
      </c>
      <c r="X158" s="75">
        <f>IF($C158="","",IF(PULL_FUND="N","",IFERROR(BDP($C158,EPS_FIELD,YR_OVERRIDE,TEXT(YEAR_Y-5,"0")),"")))</f>
        <v/>
      </c>
      <c r="Y158" s="76">
        <f>IF($C158="","",IF(PULL_FUND="N","",IFERROR(BDP($C158,EPS_FIELD,YR_OVERRIDE,TEXT(YEAR_Y-4,"0")),"")))</f>
        <v/>
      </c>
      <c r="Z158" s="76">
        <f>IF($C158="","",IF(PULL_FUND="N","",IFERROR(BDP($C158,EPS_FIELD,YR_OVERRIDE,TEXT(YEAR_Y-3,"0")),"")))</f>
        <v/>
      </c>
      <c r="AA158" s="76">
        <f>IF($C158="","",IF(PULL_FUND="N","",IFERROR(BDP($C158,EPS_FIELD,YR_OVERRIDE,TEXT(YEAR_Y-2,"0")),"")))</f>
        <v/>
      </c>
      <c r="AB158" s="76">
        <f>IF($C158="","",IF(PULL_FUND="N","",IFERROR(BDP($C158,EPS_FIELD,YR_OVERRIDE,TEXT(YEAR_Y-1,"0")),"")))</f>
        <v/>
      </c>
      <c r="AC158" s="50">
        <f>IF($C158="","",IFERROR(AVERAGE(X158:AB158),""))</f>
        <v/>
      </c>
      <c r="AD158" s="76">
        <f>IF($C158="","",IF(PULL_FUND="N","",IFERROR(BDP($C158,BESTEPS_FIELD,FWD_OVERRIDE,TEXT(MOD(YEAR_Y,100),"00")&amp;"Y"),"")))</f>
        <v/>
      </c>
      <c r="AE158" s="77">
        <f>IF($C158="","",IF(PULL_FUND="N","",IFERROR(BDP($C158,PAYOUT_FIELD,YR_OVERRIDE,TEXT(YEAR_Y-5,"0"))/100,"")))</f>
        <v/>
      </c>
      <c r="AF158" s="78">
        <f>IF($C158="","",IF(PULL_FUND="N","",IFERROR(BDP($C158,PAYOUT_FIELD,YR_OVERRIDE,TEXT(YEAR_Y-4,"0"))/100,"")))</f>
        <v/>
      </c>
      <c r="AG158" s="78">
        <f>IF($C158="","",IF(PULL_FUND="N","",IFERROR(BDP($C158,PAYOUT_FIELD,YR_OVERRIDE,TEXT(YEAR_Y-3,"0"))/100,"")))</f>
        <v/>
      </c>
      <c r="AH158" s="78">
        <f>IF($C158="","",IF(PULL_FUND="N","",IFERROR(BDP($C158,PAYOUT_FIELD,YR_OVERRIDE,TEXT(YEAR_Y-2,"0"))/100,"")))</f>
        <v/>
      </c>
      <c r="AI158" s="78">
        <f>IF($C158="","",IF(PULL_FUND="N","",IFERROR(BDP($C158,PAYOUT_FIELD,YR_OVERRIDE,TEXT(YEAR_Y-1,"0"))/100,"")))</f>
        <v/>
      </c>
      <c r="AJ158" s="79">
        <f>IF($C158="","",IFERROR(AVERAGE(AE158:AI158),""))</f>
        <v/>
      </c>
      <c r="AK158" s="80">
        <f>IF($C158="","",IF(ISNUMBER($AD158)*ISNUMBER($N158)*($AD158&lt;&gt;0)=0,"",$N158/$AD158))</f>
        <v/>
      </c>
      <c r="AL158" s="79">
        <f>IF($C158="","",IF(ISNUMBER($AD158)*($AD158&lt;&gt;0)=0,"",$M158/$AD158))</f>
        <v/>
      </c>
      <c r="AM158" s="37">
        <f>IF($C158="","",IF(ISNUMBER($AE158)*ISNUMBER($AI158)=0,"",IF($AI158&gt;$AE158+0.05,"rising",IF($AI158&lt;$AE158-0.05,"falling","stable"))))</f>
        <v/>
      </c>
      <c r="AN158" s="81">
        <f>IF($C158="","",IF(PULL_FUND="N","",IF(COUNTIFS('Fund History'!$G$892:$G$896,"&gt;="&amp;DATE(YEAR_Y-4,1,1),'Fund History'!$G$892:$G$896,"&lt;="&amp;DATE(YEAR_Y-4,12,31))=0,"",SUMIFS('Fund History'!$H$892:$H$896,'Fund History'!$G$892:$G$896,"&gt;="&amp;DATE(YEAR_Y-4,1,1),'Fund History'!$G$892:$G$896,"&lt;="&amp;DATE(YEAR_Y-4,12,31))/100)))</f>
        <v/>
      </c>
      <c r="AO158" s="82">
        <f>IF($C158="","",IF(PULL_FUND="N","",IF(COUNTIFS('Fund History'!$G$892:$G$896,"&gt;="&amp;DATE(YEAR_Y-3,1,1),'Fund History'!$G$892:$G$896,"&lt;="&amp;DATE(YEAR_Y-3,12,31))=0,"",SUMIFS('Fund History'!$H$892:$H$896,'Fund History'!$G$892:$G$896,"&gt;="&amp;DATE(YEAR_Y-3,1,1),'Fund History'!$G$892:$G$896,"&lt;="&amp;DATE(YEAR_Y-3,12,31))/100)))</f>
        <v/>
      </c>
      <c r="AP158" s="82">
        <f>IF($C158="","",IF(PULL_FUND="N","",IF(COUNTIFS('Fund History'!$G$892:$G$896,"&gt;="&amp;DATE(YEAR_Y-2,1,1),'Fund History'!$G$892:$G$896,"&lt;="&amp;DATE(YEAR_Y-2,12,31))=0,"",SUMIFS('Fund History'!$H$892:$H$896,'Fund History'!$G$892:$G$896,"&gt;="&amp;DATE(YEAR_Y-2,1,1),'Fund History'!$G$892:$G$896,"&lt;="&amp;DATE(YEAR_Y-2,12,31))/100)))</f>
        <v/>
      </c>
      <c r="AQ158" s="82">
        <f>IF($C158="","",IF(PULL_FUND="N","",IF(COUNTIFS('Fund History'!$G$892:$G$896,"&gt;="&amp;DATE(YEAR_Y-1,1,1),'Fund History'!$G$892:$G$896,"&lt;="&amp;DATE(YEAR_Y-1,12,31))=0,"",SUMIFS('Fund History'!$H$892:$H$896,'Fund History'!$G$892:$G$896,"&gt;="&amp;DATE(YEAR_Y-1,1,1),'Fund History'!$G$892:$G$896,"&lt;="&amp;DATE(YEAR_Y-1,12,31))/100)))</f>
        <v/>
      </c>
      <c r="AR158" s="83">
        <f>IF($C158="","",IF(N($AQ158)+N(HSCEI!$I$13)=0,"",N($AQ158)+N(HSCEI!$I$13)/100))</f>
        <v/>
      </c>
      <c r="AS158" s="75">
        <f>IF($C158="","",IF(PULL_FUND="N","",IF(COUNTIFS('Fund History'!$D$892:$D$896,"&gt;="&amp;DATE(YEAR_Y-2,1,1),'Fund History'!$D$892:$D$896,"&lt;="&amp;DATE(YEAR_Y-2,12,31))=0,"",SUMIFS('Fund History'!$E$892:$E$896,'Fund History'!$D$892:$D$896,"&gt;="&amp;DATE(YEAR_Y-2,1,1),'Fund History'!$D$892:$D$896,"&lt;="&amp;DATE(YEAR_Y-2,12,31)))))</f>
        <v/>
      </c>
      <c r="AT158" s="76">
        <f>IF($C158="","",IF(PULL_FUND="N","",IF(COUNTIFS('Fund History'!$D$892:$D$896,"&gt;="&amp;DATE(YEAR_Y-1,1,1),'Fund History'!$D$892:$D$896,"&lt;="&amp;DATE(YEAR_Y-1,12,31))=0,"",SUMIFS('Fund History'!$E$892:$E$896,'Fund History'!$D$892:$D$896,"&gt;="&amp;DATE(YEAR_Y-1,1,1),'Fund History'!$D$892:$D$896,"&lt;="&amp;DATE(YEAR_Y-1,12,31)))))</f>
        <v/>
      </c>
      <c r="AU158" s="76">
        <f>IF($C158="","",IF(PULL_FUND="N","",IFERROR(BDP($C158,NDEBITDA_FIELD),"")))</f>
        <v/>
      </c>
      <c r="AV158" s="84">
        <f>IF($C158="","",IF(PULL_FUND="N","",IFERROR(BDP($C158,EBINT_FIELD),"")))</f>
        <v/>
      </c>
      <c r="AW158" s="82">
        <f>IF($C158="","",IF(PULL_FUND="N","",IFERROR(BDP($C158,FCF_FIELD)/100,"")))</f>
        <v/>
      </c>
      <c r="AX158" s="50">
        <f>IF($C158="","",IF(N($U158)=0,"",IFERROR($AW158/$U158,"")))</f>
        <v/>
      </c>
      <c r="AY158" s="85">
        <f>IF($C158="","",TRIM(IF(ISNUMBER($AJ158)*(N($AJ158)&gt;$D$4)&gt;0,"payout high  ","")&amp;IF(ISNUMBER($AX158)*(N($AX158)&lt;$F$4)&gt;0,"FCF below dvd  ","")&amp;IF(ISNUMBER($AU158)*(N($AU158)&gt;$H$4)&gt;0,"leverage high","")))</f>
        <v/>
      </c>
      <c r="AZ158" s="86">
        <f>IF($C158="","",IF(HSCEI!$F$13="HKD","",HSCEI!$F$13))</f>
        <v/>
      </c>
    </row>
    <row r="159">
      <c r="B159" s="66" t="inlineStr">
        <is>
          <t>HSCEI</t>
        </is>
      </c>
      <c r="C159" s="8">
        <f>IF(HSCEI!$C$14="","",HSCEI!$C$14)</f>
        <v/>
      </c>
      <c r="D159" s="8">
        <f>IF($C159="","",HSCEI!$D$14)</f>
        <v/>
      </c>
      <c r="E159" s="8">
        <f>IF($C159="","",HSCEI!$E$14)</f>
        <v/>
      </c>
      <c r="F159" s="67">
        <f>IF($C159="","",SUMPRODUCT(('Dvd Calendar'!$E$1638:$AR$1638&gt;=DATE(YEAR_Y-5,1,1))*('Dvd Calendar'!$E$1638:$AR$1638&lt;=DATE(YEAR_Y-5,12,31))*'Dvd Calendar'!$E$1641:$AR$1641*(('Dvd Calendar'!$E$1643:$AR$1643=TYPE1)*(TYPE1&lt;&gt;"")+('Dvd Calendar'!$E$1643:$AR$1643=TYPE2)*(TYPE2&lt;&gt;"")+('Dvd Calendar'!$E$1643:$AR$1643=TYPE3)*(TYPE3&lt;&gt;"")+('Dvd Calendar'!$E$1643:$AR$1643=TYPE4)*(TYPE4&lt;&gt;"")+('Dvd Calendar'!$E$1643:$AR$1643=SPECIAL_LBL)*(INC_SPECIALS="Y"))))</f>
        <v/>
      </c>
      <c r="G159" s="68">
        <f>IF($C159="","",SUMPRODUCT(('Dvd Calendar'!$E$1638:$AR$1638&gt;=DATE(YEAR_Y-4,1,1))*('Dvd Calendar'!$E$1638:$AR$1638&lt;=DATE(YEAR_Y-4,12,31))*'Dvd Calendar'!$E$1641:$AR$1641*(('Dvd Calendar'!$E$1643:$AR$1643=TYPE1)*(TYPE1&lt;&gt;"")+('Dvd Calendar'!$E$1643:$AR$1643=TYPE2)*(TYPE2&lt;&gt;"")+('Dvd Calendar'!$E$1643:$AR$1643=TYPE3)*(TYPE3&lt;&gt;"")+('Dvd Calendar'!$E$1643:$AR$1643=TYPE4)*(TYPE4&lt;&gt;"")+('Dvd Calendar'!$E$1643:$AR$1643=SPECIAL_LBL)*(INC_SPECIALS="Y"))))</f>
        <v/>
      </c>
      <c r="H159" s="68">
        <f>IF($C159="","",SUMPRODUCT(('Dvd Calendar'!$E$1638:$AR$1638&gt;=DATE(YEAR_Y-3,1,1))*('Dvd Calendar'!$E$1638:$AR$1638&lt;=DATE(YEAR_Y-3,12,31))*'Dvd Calendar'!$E$1641:$AR$1641*(('Dvd Calendar'!$E$1643:$AR$1643=TYPE1)*(TYPE1&lt;&gt;"")+('Dvd Calendar'!$E$1643:$AR$1643=TYPE2)*(TYPE2&lt;&gt;"")+('Dvd Calendar'!$E$1643:$AR$1643=TYPE3)*(TYPE3&lt;&gt;"")+('Dvd Calendar'!$E$1643:$AR$1643=TYPE4)*(TYPE4&lt;&gt;"")+('Dvd Calendar'!$E$1643:$AR$1643=SPECIAL_LBL)*(INC_SPECIALS="Y"))))</f>
        <v/>
      </c>
      <c r="I159" s="68">
        <f>IF($C159="","",SUMPRODUCT(('Dvd Calendar'!$E$1638:$AR$1638&gt;=DATE(YEAR_Y-2,1,1))*('Dvd Calendar'!$E$1638:$AR$1638&lt;=DATE(YEAR_Y-2,12,31))*'Dvd Calendar'!$E$1641:$AR$1641*(('Dvd Calendar'!$E$1643:$AR$1643=TYPE1)*(TYPE1&lt;&gt;"")+('Dvd Calendar'!$E$1643:$AR$1643=TYPE2)*(TYPE2&lt;&gt;"")+('Dvd Calendar'!$E$1643:$AR$1643=TYPE3)*(TYPE3&lt;&gt;"")+('Dvd Calendar'!$E$1643:$AR$1643=TYPE4)*(TYPE4&lt;&gt;"")+('Dvd Calendar'!$E$1643:$AR$1643=SPECIAL_LBL)*(INC_SPECIALS="Y"))))</f>
        <v/>
      </c>
      <c r="J159" s="68">
        <f>IF($C159="","",SUMPRODUCT(('Dvd Calendar'!$E$1638:$AR$1638&gt;=DATE(YEAR_Y-1,1,1))*('Dvd Calendar'!$E$1638:$AR$1638&lt;=DATE(YEAR_Y-1,12,31))*'Dvd Calendar'!$E$1641:$AR$1641*(('Dvd Calendar'!$E$1643:$AR$1643=TYPE1)*(TYPE1&lt;&gt;"")+('Dvd Calendar'!$E$1643:$AR$1643=TYPE2)*(TYPE2&lt;&gt;"")+('Dvd Calendar'!$E$1643:$AR$1643=TYPE3)*(TYPE3&lt;&gt;"")+('Dvd Calendar'!$E$1643:$AR$1643=TYPE4)*(TYPE4&lt;&gt;"")+('Dvd Calendar'!$E$1643:$AR$1643=SPECIAL_LBL)*(INC_SPECIALS="Y"))))</f>
        <v/>
      </c>
      <c r="K159" s="69">
        <f>IF($C159="","",HSCEI!$J$14)</f>
        <v/>
      </c>
      <c r="L159" s="69">
        <f>IF($C159="","",HSCEI!$K$14)</f>
        <v/>
      </c>
      <c r="M159" s="44">
        <f>IF($C159="","",HSCEI!$J$14+HSCEI!$L$14)</f>
        <v/>
      </c>
      <c r="N159" s="70">
        <f>IF($C159="","",IF(PULL_FUND="N","",IFERROR(BDP($C159,BESTDPS_FIELD,FWD_OVERRIDE,TEXT(MOD(YEAR_Y,100),"00")&amp;"Y"),"")))</f>
        <v/>
      </c>
      <c r="O159" s="69">
        <f>IF($C159="","",AVERAGE(F159:J159))</f>
        <v/>
      </c>
      <c r="P159" s="71">
        <f>IF($C159="","",IF(PULL_FUND="N","",IF(COUNTIFS('Fund History'!$J$898:$J$902,"&gt;="&amp;DATE(YEAR_Y-5,1,1),'Fund History'!$J$898:$J$902,"&lt;="&amp;DATE(YEAR_Y-5,12,31))=0,"",IFERROR($F159*HSCEI!$G$14/SUMIFS('Fund History'!$K$898:$K$902,'Fund History'!$J$898:$J$902,"&gt;="&amp;DATE(YEAR_Y-5,1,1),'Fund History'!$J$898:$J$902,"&lt;="&amp;DATE(YEAR_Y-5,12,31)),""))))</f>
        <v/>
      </c>
      <c r="Q159" s="72">
        <f>IF($C159="","",IF(PULL_FUND="N","",IF(COUNTIFS('Fund History'!$J$898:$J$902,"&gt;="&amp;DATE(YEAR_Y-4,1,1),'Fund History'!$J$898:$J$902,"&lt;="&amp;DATE(YEAR_Y-4,12,31))=0,"",IFERROR($G159*HSCEI!$G$14/SUMIFS('Fund History'!$K$898:$K$902,'Fund History'!$J$898:$J$902,"&gt;="&amp;DATE(YEAR_Y-4,1,1),'Fund History'!$J$898:$J$902,"&lt;="&amp;DATE(YEAR_Y-4,12,31)),""))))</f>
        <v/>
      </c>
      <c r="R159" s="72">
        <f>IF($C159="","",IF(PULL_FUND="N","",IF(COUNTIFS('Fund History'!$J$898:$J$902,"&gt;="&amp;DATE(YEAR_Y-3,1,1),'Fund History'!$J$898:$J$902,"&lt;="&amp;DATE(YEAR_Y-3,12,31))=0,"",IFERROR($H159*HSCEI!$G$14/SUMIFS('Fund History'!$K$898:$K$902,'Fund History'!$J$898:$J$902,"&gt;="&amp;DATE(YEAR_Y-3,1,1),'Fund History'!$J$898:$J$902,"&lt;="&amp;DATE(YEAR_Y-3,12,31)),""))))</f>
        <v/>
      </c>
      <c r="S159" s="72">
        <f>IF($C159="","",IF(PULL_FUND="N","",IF(COUNTIFS('Fund History'!$J$898:$J$902,"&gt;="&amp;DATE(YEAR_Y-2,1,1),'Fund History'!$J$898:$J$902,"&lt;="&amp;DATE(YEAR_Y-2,12,31))=0,"",IFERROR($I159*HSCEI!$G$14/SUMIFS('Fund History'!$K$898:$K$902,'Fund History'!$J$898:$J$902,"&gt;="&amp;DATE(YEAR_Y-2,1,1),'Fund History'!$J$898:$J$902,"&lt;="&amp;DATE(YEAR_Y-2,12,31)),""))))</f>
        <v/>
      </c>
      <c r="T159" s="72">
        <f>IF($C159="","",IF(PULL_FUND="N","",IF(COUNTIFS('Fund History'!$J$898:$J$902,"&gt;="&amp;DATE(YEAR_Y-1,1,1),'Fund History'!$J$898:$J$902,"&lt;="&amp;DATE(YEAR_Y-1,12,31))=0,"",IFERROR($J159*HSCEI!$G$14/SUMIFS('Fund History'!$K$898:$K$902,'Fund History'!$J$898:$J$902,"&gt;="&amp;DATE(YEAR_Y-1,1,1),'Fund History'!$J$898:$J$902,"&lt;="&amp;DATE(YEAR_Y-1,12,31)),""))))</f>
        <v/>
      </c>
      <c r="U159" s="73">
        <f>IF($C159="","",IF(ISNUMBER(HSCEI!$I$14),HSCEI!$I$14/100,""))</f>
        <v/>
      </c>
      <c r="V159" s="74">
        <f>IF($C159="","",IF(ISNUMBER(HSCEI!$X$14),IFERROR($M159*HSCEI!$G$14/HSCEI!$X$14,""),""))</f>
        <v/>
      </c>
      <c r="W159" s="73">
        <f>IF($C159="","",IF(ISNUMBER($N159),IFERROR($N159*HSCEI!$G$14/HSCEI!$X$14,""),""))</f>
        <v/>
      </c>
      <c r="X159" s="75">
        <f>IF($C159="","",IF(PULL_FUND="N","",IFERROR(BDP($C159,EPS_FIELD,YR_OVERRIDE,TEXT(YEAR_Y-5,"0")),"")))</f>
        <v/>
      </c>
      <c r="Y159" s="76">
        <f>IF($C159="","",IF(PULL_FUND="N","",IFERROR(BDP($C159,EPS_FIELD,YR_OVERRIDE,TEXT(YEAR_Y-4,"0")),"")))</f>
        <v/>
      </c>
      <c r="Z159" s="76">
        <f>IF($C159="","",IF(PULL_FUND="N","",IFERROR(BDP($C159,EPS_FIELD,YR_OVERRIDE,TEXT(YEAR_Y-3,"0")),"")))</f>
        <v/>
      </c>
      <c r="AA159" s="76">
        <f>IF($C159="","",IF(PULL_FUND="N","",IFERROR(BDP($C159,EPS_FIELD,YR_OVERRIDE,TEXT(YEAR_Y-2,"0")),"")))</f>
        <v/>
      </c>
      <c r="AB159" s="76">
        <f>IF($C159="","",IF(PULL_FUND="N","",IFERROR(BDP($C159,EPS_FIELD,YR_OVERRIDE,TEXT(YEAR_Y-1,"0")),"")))</f>
        <v/>
      </c>
      <c r="AC159" s="50">
        <f>IF($C159="","",IFERROR(AVERAGE(X159:AB159),""))</f>
        <v/>
      </c>
      <c r="AD159" s="76">
        <f>IF($C159="","",IF(PULL_FUND="N","",IFERROR(BDP($C159,BESTEPS_FIELD,FWD_OVERRIDE,TEXT(MOD(YEAR_Y,100),"00")&amp;"Y"),"")))</f>
        <v/>
      </c>
      <c r="AE159" s="77">
        <f>IF($C159="","",IF(PULL_FUND="N","",IFERROR(BDP($C159,PAYOUT_FIELD,YR_OVERRIDE,TEXT(YEAR_Y-5,"0"))/100,"")))</f>
        <v/>
      </c>
      <c r="AF159" s="78">
        <f>IF($C159="","",IF(PULL_FUND="N","",IFERROR(BDP($C159,PAYOUT_FIELD,YR_OVERRIDE,TEXT(YEAR_Y-4,"0"))/100,"")))</f>
        <v/>
      </c>
      <c r="AG159" s="78">
        <f>IF($C159="","",IF(PULL_FUND="N","",IFERROR(BDP($C159,PAYOUT_FIELD,YR_OVERRIDE,TEXT(YEAR_Y-3,"0"))/100,"")))</f>
        <v/>
      </c>
      <c r="AH159" s="78">
        <f>IF($C159="","",IF(PULL_FUND="N","",IFERROR(BDP($C159,PAYOUT_FIELD,YR_OVERRIDE,TEXT(YEAR_Y-2,"0"))/100,"")))</f>
        <v/>
      </c>
      <c r="AI159" s="78">
        <f>IF($C159="","",IF(PULL_FUND="N","",IFERROR(BDP($C159,PAYOUT_FIELD,YR_OVERRIDE,TEXT(YEAR_Y-1,"0"))/100,"")))</f>
        <v/>
      </c>
      <c r="AJ159" s="79">
        <f>IF($C159="","",IFERROR(AVERAGE(AE159:AI159),""))</f>
        <v/>
      </c>
      <c r="AK159" s="80">
        <f>IF($C159="","",IF(ISNUMBER($AD159)*ISNUMBER($N159)*($AD159&lt;&gt;0)=0,"",$N159/$AD159))</f>
        <v/>
      </c>
      <c r="AL159" s="79">
        <f>IF($C159="","",IF(ISNUMBER($AD159)*($AD159&lt;&gt;0)=0,"",$M159/$AD159))</f>
        <v/>
      </c>
      <c r="AM159" s="37">
        <f>IF($C159="","",IF(ISNUMBER($AE159)*ISNUMBER($AI159)=0,"",IF($AI159&gt;$AE159+0.05,"rising",IF($AI159&lt;$AE159-0.05,"falling","stable"))))</f>
        <v/>
      </c>
      <c r="AN159" s="81">
        <f>IF($C159="","",IF(PULL_FUND="N","",IF(COUNTIFS('Fund History'!$G$898:$G$902,"&gt;="&amp;DATE(YEAR_Y-4,1,1),'Fund History'!$G$898:$G$902,"&lt;="&amp;DATE(YEAR_Y-4,12,31))=0,"",SUMIFS('Fund History'!$H$898:$H$902,'Fund History'!$G$898:$G$902,"&gt;="&amp;DATE(YEAR_Y-4,1,1),'Fund History'!$G$898:$G$902,"&lt;="&amp;DATE(YEAR_Y-4,12,31))/100)))</f>
        <v/>
      </c>
      <c r="AO159" s="82">
        <f>IF($C159="","",IF(PULL_FUND="N","",IF(COUNTIFS('Fund History'!$G$898:$G$902,"&gt;="&amp;DATE(YEAR_Y-3,1,1),'Fund History'!$G$898:$G$902,"&lt;="&amp;DATE(YEAR_Y-3,12,31))=0,"",SUMIFS('Fund History'!$H$898:$H$902,'Fund History'!$G$898:$G$902,"&gt;="&amp;DATE(YEAR_Y-3,1,1),'Fund History'!$G$898:$G$902,"&lt;="&amp;DATE(YEAR_Y-3,12,31))/100)))</f>
        <v/>
      </c>
      <c r="AP159" s="82">
        <f>IF($C159="","",IF(PULL_FUND="N","",IF(COUNTIFS('Fund History'!$G$898:$G$902,"&gt;="&amp;DATE(YEAR_Y-2,1,1),'Fund History'!$G$898:$G$902,"&lt;="&amp;DATE(YEAR_Y-2,12,31))=0,"",SUMIFS('Fund History'!$H$898:$H$902,'Fund History'!$G$898:$G$902,"&gt;="&amp;DATE(YEAR_Y-2,1,1),'Fund History'!$G$898:$G$902,"&lt;="&amp;DATE(YEAR_Y-2,12,31))/100)))</f>
        <v/>
      </c>
      <c r="AQ159" s="82">
        <f>IF($C159="","",IF(PULL_FUND="N","",IF(COUNTIFS('Fund History'!$G$898:$G$902,"&gt;="&amp;DATE(YEAR_Y-1,1,1),'Fund History'!$G$898:$G$902,"&lt;="&amp;DATE(YEAR_Y-1,12,31))=0,"",SUMIFS('Fund History'!$H$898:$H$902,'Fund History'!$G$898:$G$902,"&gt;="&amp;DATE(YEAR_Y-1,1,1),'Fund History'!$G$898:$G$902,"&lt;="&amp;DATE(YEAR_Y-1,12,31))/100)))</f>
        <v/>
      </c>
      <c r="AR159" s="83">
        <f>IF($C159="","",IF(N($AQ159)+N(HSCEI!$I$14)=0,"",N($AQ159)+N(HSCEI!$I$14)/100))</f>
        <v/>
      </c>
      <c r="AS159" s="75">
        <f>IF($C159="","",IF(PULL_FUND="N","",IF(COUNTIFS('Fund History'!$D$898:$D$902,"&gt;="&amp;DATE(YEAR_Y-2,1,1),'Fund History'!$D$898:$D$902,"&lt;="&amp;DATE(YEAR_Y-2,12,31))=0,"",SUMIFS('Fund History'!$E$898:$E$902,'Fund History'!$D$898:$D$902,"&gt;="&amp;DATE(YEAR_Y-2,1,1),'Fund History'!$D$898:$D$902,"&lt;="&amp;DATE(YEAR_Y-2,12,31)))))</f>
        <v/>
      </c>
      <c r="AT159" s="76">
        <f>IF($C159="","",IF(PULL_FUND="N","",IF(COUNTIFS('Fund History'!$D$898:$D$902,"&gt;="&amp;DATE(YEAR_Y-1,1,1),'Fund History'!$D$898:$D$902,"&lt;="&amp;DATE(YEAR_Y-1,12,31))=0,"",SUMIFS('Fund History'!$E$898:$E$902,'Fund History'!$D$898:$D$902,"&gt;="&amp;DATE(YEAR_Y-1,1,1),'Fund History'!$D$898:$D$902,"&lt;="&amp;DATE(YEAR_Y-1,12,31)))))</f>
        <v/>
      </c>
      <c r="AU159" s="76">
        <f>IF($C159="","",IF(PULL_FUND="N","",IFERROR(BDP($C159,NDEBITDA_FIELD),"")))</f>
        <v/>
      </c>
      <c r="AV159" s="84">
        <f>IF($C159="","",IF(PULL_FUND="N","",IFERROR(BDP($C159,EBINT_FIELD),"")))</f>
        <v/>
      </c>
      <c r="AW159" s="82">
        <f>IF($C159="","",IF(PULL_FUND="N","",IFERROR(BDP($C159,FCF_FIELD)/100,"")))</f>
        <v/>
      </c>
      <c r="AX159" s="50">
        <f>IF($C159="","",IF(N($U159)=0,"",IFERROR($AW159/$U159,"")))</f>
        <v/>
      </c>
      <c r="AY159" s="85">
        <f>IF($C159="","",TRIM(IF(ISNUMBER($AJ159)*(N($AJ159)&gt;$D$4)&gt;0,"payout high  ","")&amp;IF(ISNUMBER($AX159)*(N($AX159)&lt;$F$4)&gt;0,"FCF below dvd  ","")&amp;IF(ISNUMBER($AU159)*(N($AU159)&gt;$H$4)&gt;0,"leverage high","")))</f>
        <v/>
      </c>
      <c r="AZ159" s="86">
        <f>IF($C159="","",IF(HSCEI!$F$14="HKD","",HSCEI!$F$14))</f>
        <v/>
      </c>
    </row>
    <row r="160">
      <c r="B160" s="66" t="inlineStr">
        <is>
          <t>HSCEI</t>
        </is>
      </c>
      <c r="C160" s="8">
        <f>IF(HSCEI!$C$15="","",HSCEI!$C$15)</f>
        <v/>
      </c>
      <c r="D160" s="8">
        <f>IF($C160="","",HSCEI!$D$15)</f>
        <v/>
      </c>
      <c r="E160" s="8">
        <f>IF($C160="","",HSCEI!$E$15)</f>
        <v/>
      </c>
      <c r="F160" s="67">
        <f>IF($C160="","",SUMPRODUCT(('Dvd Calendar'!$E$1649:$AR$1649&gt;=DATE(YEAR_Y-5,1,1))*('Dvd Calendar'!$E$1649:$AR$1649&lt;=DATE(YEAR_Y-5,12,31))*'Dvd Calendar'!$E$1652:$AR$1652*(('Dvd Calendar'!$E$1654:$AR$1654=TYPE1)*(TYPE1&lt;&gt;"")+('Dvd Calendar'!$E$1654:$AR$1654=TYPE2)*(TYPE2&lt;&gt;"")+('Dvd Calendar'!$E$1654:$AR$1654=TYPE3)*(TYPE3&lt;&gt;"")+('Dvd Calendar'!$E$1654:$AR$1654=TYPE4)*(TYPE4&lt;&gt;"")+('Dvd Calendar'!$E$1654:$AR$1654=SPECIAL_LBL)*(INC_SPECIALS="Y"))))</f>
        <v/>
      </c>
      <c r="G160" s="68">
        <f>IF($C160="","",SUMPRODUCT(('Dvd Calendar'!$E$1649:$AR$1649&gt;=DATE(YEAR_Y-4,1,1))*('Dvd Calendar'!$E$1649:$AR$1649&lt;=DATE(YEAR_Y-4,12,31))*'Dvd Calendar'!$E$1652:$AR$1652*(('Dvd Calendar'!$E$1654:$AR$1654=TYPE1)*(TYPE1&lt;&gt;"")+('Dvd Calendar'!$E$1654:$AR$1654=TYPE2)*(TYPE2&lt;&gt;"")+('Dvd Calendar'!$E$1654:$AR$1654=TYPE3)*(TYPE3&lt;&gt;"")+('Dvd Calendar'!$E$1654:$AR$1654=TYPE4)*(TYPE4&lt;&gt;"")+('Dvd Calendar'!$E$1654:$AR$1654=SPECIAL_LBL)*(INC_SPECIALS="Y"))))</f>
        <v/>
      </c>
      <c r="H160" s="68">
        <f>IF($C160="","",SUMPRODUCT(('Dvd Calendar'!$E$1649:$AR$1649&gt;=DATE(YEAR_Y-3,1,1))*('Dvd Calendar'!$E$1649:$AR$1649&lt;=DATE(YEAR_Y-3,12,31))*'Dvd Calendar'!$E$1652:$AR$1652*(('Dvd Calendar'!$E$1654:$AR$1654=TYPE1)*(TYPE1&lt;&gt;"")+('Dvd Calendar'!$E$1654:$AR$1654=TYPE2)*(TYPE2&lt;&gt;"")+('Dvd Calendar'!$E$1654:$AR$1654=TYPE3)*(TYPE3&lt;&gt;"")+('Dvd Calendar'!$E$1654:$AR$1654=TYPE4)*(TYPE4&lt;&gt;"")+('Dvd Calendar'!$E$1654:$AR$1654=SPECIAL_LBL)*(INC_SPECIALS="Y"))))</f>
        <v/>
      </c>
      <c r="I160" s="68">
        <f>IF($C160="","",SUMPRODUCT(('Dvd Calendar'!$E$1649:$AR$1649&gt;=DATE(YEAR_Y-2,1,1))*('Dvd Calendar'!$E$1649:$AR$1649&lt;=DATE(YEAR_Y-2,12,31))*'Dvd Calendar'!$E$1652:$AR$1652*(('Dvd Calendar'!$E$1654:$AR$1654=TYPE1)*(TYPE1&lt;&gt;"")+('Dvd Calendar'!$E$1654:$AR$1654=TYPE2)*(TYPE2&lt;&gt;"")+('Dvd Calendar'!$E$1654:$AR$1654=TYPE3)*(TYPE3&lt;&gt;"")+('Dvd Calendar'!$E$1654:$AR$1654=TYPE4)*(TYPE4&lt;&gt;"")+('Dvd Calendar'!$E$1654:$AR$1654=SPECIAL_LBL)*(INC_SPECIALS="Y"))))</f>
        <v/>
      </c>
      <c r="J160" s="68">
        <f>IF($C160="","",SUMPRODUCT(('Dvd Calendar'!$E$1649:$AR$1649&gt;=DATE(YEAR_Y-1,1,1))*('Dvd Calendar'!$E$1649:$AR$1649&lt;=DATE(YEAR_Y-1,12,31))*'Dvd Calendar'!$E$1652:$AR$1652*(('Dvd Calendar'!$E$1654:$AR$1654=TYPE1)*(TYPE1&lt;&gt;"")+('Dvd Calendar'!$E$1654:$AR$1654=TYPE2)*(TYPE2&lt;&gt;"")+('Dvd Calendar'!$E$1654:$AR$1654=TYPE3)*(TYPE3&lt;&gt;"")+('Dvd Calendar'!$E$1654:$AR$1654=TYPE4)*(TYPE4&lt;&gt;"")+('Dvd Calendar'!$E$1654:$AR$1654=SPECIAL_LBL)*(INC_SPECIALS="Y"))))</f>
        <v/>
      </c>
      <c r="K160" s="69">
        <f>IF($C160="","",HSCEI!$J$15)</f>
        <v/>
      </c>
      <c r="L160" s="69">
        <f>IF($C160="","",HSCEI!$K$15)</f>
        <v/>
      </c>
      <c r="M160" s="44">
        <f>IF($C160="","",HSCEI!$J$15+HSCEI!$L$15)</f>
        <v/>
      </c>
      <c r="N160" s="70">
        <f>IF($C160="","",IF(PULL_FUND="N","",IFERROR(BDP($C160,BESTDPS_FIELD,FWD_OVERRIDE,TEXT(MOD(YEAR_Y,100),"00")&amp;"Y"),"")))</f>
        <v/>
      </c>
      <c r="O160" s="69">
        <f>IF($C160="","",AVERAGE(F160:J160))</f>
        <v/>
      </c>
      <c r="P160" s="71">
        <f>IF($C160="","",IF(PULL_FUND="N","",IF(COUNTIFS('Fund History'!$J$904:$J$908,"&gt;="&amp;DATE(YEAR_Y-5,1,1),'Fund History'!$J$904:$J$908,"&lt;="&amp;DATE(YEAR_Y-5,12,31))=0,"",IFERROR($F160*HSCEI!$G$15/SUMIFS('Fund History'!$K$904:$K$908,'Fund History'!$J$904:$J$908,"&gt;="&amp;DATE(YEAR_Y-5,1,1),'Fund History'!$J$904:$J$908,"&lt;="&amp;DATE(YEAR_Y-5,12,31)),""))))</f>
        <v/>
      </c>
      <c r="Q160" s="72">
        <f>IF($C160="","",IF(PULL_FUND="N","",IF(COUNTIFS('Fund History'!$J$904:$J$908,"&gt;="&amp;DATE(YEAR_Y-4,1,1),'Fund History'!$J$904:$J$908,"&lt;="&amp;DATE(YEAR_Y-4,12,31))=0,"",IFERROR($G160*HSCEI!$G$15/SUMIFS('Fund History'!$K$904:$K$908,'Fund History'!$J$904:$J$908,"&gt;="&amp;DATE(YEAR_Y-4,1,1),'Fund History'!$J$904:$J$908,"&lt;="&amp;DATE(YEAR_Y-4,12,31)),""))))</f>
        <v/>
      </c>
      <c r="R160" s="72">
        <f>IF($C160="","",IF(PULL_FUND="N","",IF(COUNTIFS('Fund History'!$J$904:$J$908,"&gt;="&amp;DATE(YEAR_Y-3,1,1),'Fund History'!$J$904:$J$908,"&lt;="&amp;DATE(YEAR_Y-3,12,31))=0,"",IFERROR($H160*HSCEI!$G$15/SUMIFS('Fund History'!$K$904:$K$908,'Fund History'!$J$904:$J$908,"&gt;="&amp;DATE(YEAR_Y-3,1,1),'Fund History'!$J$904:$J$908,"&lt;="&amp;DATE(YEAR_Y-3,12,31)),""))))</f>
        <v/>
      </c>
      <c r="S160" s="72">
        <f>IF($C160="","",IF(PULL_FUND="N","",IF(COUNTIFS('Fund History'!$J$904:$J$908,"&gt;="&amp;DATE(YEAR_Y-2,1,1),'Fund History'!$J$904:$J$908,"&lt;="&amp;DATE(YEAR_Y-2,12,31))=0,"",IFERROR($I160*HSCEI!$G$15/SUMIFS('Fund History'!$K$904:$K$908,'Fund History'!$J$904:$J$908,"&gt;="&amp;DATE(YEAR_Y-2,1,1),'Fund History'!$J$904:$J$908,"&lt;="&amp;DATE(YEAR_Y-2,12,31)),""))))</f>
        <v/>
      </c>
      <c r="T160" s="72">
        <f>IF($C160="","",IF(PULL_FUND="N","",IF(COUNTIFS('Fund History'!$J$904:$J$908,"&gt;="&amp;DATE(YEAR_Y-1,1,1),'Fund History'!$J$904:$J$908,"&lt;="&amp;DATE(YEAR_Y-1,12,31))=0,"",IFERROR($J160*HSCEI!$G$15/SUMIFS('Fund History'!$K$904:$K$908,'Fund History'!$J$904:$J$908,"&gt;="&amp;DATE(YEAR_Y-1,1,1),'Fund History'!$J$904:$J$908,"&lt;="&amp;DATE(YEAR_Y-1,12,31)),""))))</f>
        <v/>
      </c>
      <c r="U160" s="73">
        <f>IF($C160="","",IF(ISNUMBER(HSCEI!$I$15),HSCEI!$I$15/100,""))</f>
        <v/>
      </c>
      <c r="V160" s="74">
        <f>IF($C160="","",IF(ISNUMBER(HSCEI!$X$15),IFERROR($M160*HSCEI!$G$15/HSCEI!$X$15,""),""))</f>
        <v/>
      </c>
      <c r="W160" s="73">
        <f>IF($C160="","",IF(ISNUMBER($N160),IFERROR($N160*HSCEI!$G$15/HSCEI!$X$15,""),""))</f>
        <v/>
      </c>
      <c r="X160" s="75">
        <f>IF($C160="","",IF(PULL_FUND="N","",IFERROR(BDP($C160,EPS_FIELD,YR_OVERRIDE,TEXT(YEAR_Y-5,"0")),"")))</f>
        <v/>
      </c>
      <c r="Y160" s="76">
        <f>IF($C160="","",IF(PULL_FUND="N","",IFERROR(BDP($C160,EPS_FIELD,YR_OVERRIDE,TEXT(YEAR_Y-4,"0")),"")))</f>
        <v/>
      </c>
      <c r="Z160" s="76">
        <f>IF($C160="","",IF(PULL_FUND="N","",IFERROR(BDP($C160,EPS_FIELD,YR_OVERRIDE,TEXT(YEAR_Y-3,"0")),"")))</f>
        <v/>
      </c>
      <c r="AA160" s="76">
        <f>IF($C160="","",IF(PULL_FUND="N","",IFERROR(BDP($C160,EPS_FIELD,YR_OVERRIDE,TEXT(YEAR_Y-2,"0")),"")))</f>
        <v/>
      </c>
      <c r="AB160" s="76">
        <f>IF($C160="","",IF(PULL_FUND="N","",IFERROR(BDP($C160,EPS_FIELD,YR_OVERRIDE,TEXT(YEAR_Y-1,"0")),"")))</f>
        <v/>
      </c>
      <c r="AC160" s="50">
        <f>IF($C160="","",IFERROR(AVERAGE(X160:AB160),""))</f>
        <v/>
      </c>
      <c r="AD160" s="76">
        <f>IF($C160="","",IF(PULL_FUND="N","",IFERROR(BDP($C160,BESTEPS_FIELD,FWD_OVERRIDE,TEXT(MOD(YEAR_Y,100),"00")&amp;"Y"),"")))</f>
        <v/>
      </c>
      <c r="AE160" s="77">
        <f>IF($C160="","",IF(PULL_FUND="N","",IFERROR(BDP($C160,PAYOUT_FIELD,YR_OVERRIDE,TEXT(YEAR_Y-5,"0"))/100,"")))</f>
        <v/>
      </c>
      <c r="AF160" s="78">
        <f>IF($C160="","",IF(PULL_FUND="N","",IFERROR(BDP($C160,PAYOUT_FIELD,YR_OVERRIDE,TEXT(YEAR_Y-4,"0"))/100,"")))</f>
        <v/>
      </c>
      <c r="AG160" s="78">
        <f>IF($C160="","",IF(PULL_FUND="N","",IFERROR(BDP($C160,PAYOUT_FIELD,YR_OVERRIDE,TEXT(YEAR_Y-3,"0"))/100,"")))</f>
        <v/>
      </c>
      <c r="AH160" s="78">
        <f>IF($C160="","",IF(PULL_FUND="N","",IFERROR(BDP($C160,PAYOUT_FIELD,YR_OVERRIDE,TEXT(YEAR_Y-2,"0"))/100,"")))</f>
        <v/>
      </c>
      <c r="AI160" s="78">
        <f>IF($C160="","",IF(PULL_FUND="N","",IFERROR(BDP($C160,PAYOUT_FIELD,YR_OVERRIDE,TEXT(YEAR_Y-1,"0"))/100,"")))</f>
        <v/>
      </c>
      <c r="AJ160" s="79">
        <f>IF($C160="","",IFERROR(AVERAGE(AE160:AI160),""))</f>
        <v/>
      </c>
      <c r="AK160" s="80">
        <f>IF($C160="","",IF(ISNUMBER($AD160)*ISNUMBER($N160)*($AD160&lt;&gt;0)=0,"",$N160/$AD160))</f>
        <v/>
      </c>
      <c r="AL160" s="79">
        <f>IF($C160="","",IF(ISNUMBER($AD160)*($AD160&lt;&gt;0)=0,"",$M160/$AD160))</f>
        <v/>
      </c>
      <c r="AM160" s="37">
        <f>IF($C160="","",IF(ISNUMBER($AE160)*ISNUMBER($AI160)=0,"",IF($AI160&gt;$AE160+0.05,"rising",IF($AI160&lt;$AE160-0.05,"falling","stable"))))</f>
        <v/>
      </c>
      <c r="AN160" s="81">
        <f>IF($C160="","",IF(PULL_FUND="N","",IF(COUNTIFS('Fund History'!$G$904:$G$908,"&gt;="&amp;DATE(YEAR_Y-4,1,1),'Fund History'!$G$904:$G$908,"&lt;="&amp;DATE(YEAR_Y-4,12,31))=0,"",SUMIFS('Fund History'!$H$904:$H$908,'Fund History'!$G$904:$G$908,"&gt;="&amp;DATE(YEAR_Y-4,1,1),'Fund History'!$G$904:$G$908,"&lt;="&amp;DATE(YEAR_Y-4,12,31))/100)))</f>
        <v/>
      </c>
      <c r="AO160" s="82">
        <f>IF($C160="","",IF(PULL_FUND="N","",IF(COUNTIFS('Fund History'!$G$904:$G$908,"&gt;="&amp;DATE(YEAR_Y-3,1,1),'Fund History'!$G$904:$G$908,"&lt;="&amp;DATE(YEAR_Y-3,12,31))=0,"",SUMIFS('Fund History'!$H$904:$H$908,'Fund History'!$G$904:$G$908,"&gt;="&amp;DATE(YEAR_Y-3,1,1),'Fund History'!$G$904:$G$908,"&lt;="&amp;DATE(YEAR_Y-3,12,31))/100)))</f>
        <v/>
      </c>
      <c r="AP160" s="82">
        <f>IF($C160="","",IF(PULL_FUND="N","",IF(COUNTIFS('Fund History'!$G$904:$G$908,"&gt;="&amp;DATE(YEAR_Y-2,1,1),'Fund History'!$G$904:$G$908,"&lt;="&amp;DATE(YEAR_Y-2,12,31))=0,"",SUMIFS('Fund History'!$H$904:$H$908,'Fund History'!$G$904:$G$908,"&gt;="&amp;DATE(YEAR_Y-2,1,1),'Fund History'!$G$904:$G$908,"&lt;="&amp;DATE(YEAR_Y-2,12,31))/100)))</f>
        <v/>
      </c>
      <c r="AQ160" s="82">
        <f>IF($C160="","",IF(PULL_FUND="N","",IF(COUNTIFS('Fund History'!$G$904:$G$908,"&gt;="&amp;DATE(YEAR_Y-1,1,1),'Fund History'!$G$904:$G$908,"&lt;="&amp;DATE(YEAR_Y-1,12,31))=0,"",SUMIFS('Fund History'!$H$904:$H$908,'Fund History'!$G$904:$G$908,"&gt;="&amp;DATE(YEAR_Y-1,1,1),'Fund History'!$G$904:$G$908,"&lt;="&amp;DATE(YEAR_Y-1,12,31))/100)))</f>
        <v/>
      </c>
      <c r="AR160" s="83">
        <f>IF($C160="","",IF(N($AQ160)+N(HSCEI!$I$15)=0,"",N($AQ160)+N(HSCEI!$I$15)/100))</f>
        <v/>
      </c>
      <c r="AS160" s="75">
        <f>IF($C160="","",IF(PULL_FUND="N","",IF(COUNTIFS('Fund History'!$D$904:$D$908,"&gt;="&amp;DATE(YEAR_Y-2,1,1),'Fund History'!$D$904:$D$908,"&lt;="&amp;DATE(YEAR_Y-2,12,31))=0,"",SUMIFS('Fund History'!$E$904:$E$908,'Fund History'!$D$904:$D$908,"&gt;="&amp;DATE(YEAR_Y-2,1,1),'Fund History'!$D$904:$D$908,"&lt;="&amp;DATE(YEAR_Y-2,12,31)))))</f>
        <v/>
      </c>
      <c r="AT160" s="76">
        <f>IF($C160="","",IF(PULL_FUND="N","",IF(COUNTIFS('Fund History'!$D$904:$D$908,"&gt;="&amp;DATE(YEAR_Y-1,1,1),'Fund History'!$D$904:$D$908,"&lt;="&amp;DATE(YEAR_Y-1,12,31))=0,"",SUMIFS('Fund History'!$E$904:$E$908,'Fund History'!$D$904:$D$908,"&gt;="&amp;DATE(YEAR_Y-1,1,1),'Fund History'!$D$904:$D$908,"&lt;="&amp;DATE(YEAR_Y-1,12,31)))))</f>
        <v/>
      </c>
      <c r="AU160" s="76">
        <f>IF($C160="","",IF(PULL_FUND="N","",IFERROR(BDP($C160,NDEBITDA_FIELD),"")))</f>
        <v/>
      </c>
      <c r="AV160" s="84">
        <f>IF($C160="","",IF(PULL_FUND="N","",IFERROR(BDP($C160,EBINT_FIELD),"")))</f>
        <v/>
      </c>
      <c r="AW160" s="82">
        <f>IF($C160="","",IF(PULL_FUND="N","",IFERROR(BDP($C160,FCF_FIELD)/100,"")))</f>
        <v/>
      </c>
      <c r="AX160" s="50">
        <f>IF($C160="","",IF(N($U160)=0,"",IFERROR($AW160/$U160,"")))</f>
        <v/>
      </c>
      <c r="AY160" s="85">
        <f>IF($C160="","",TRIM(IF(ISNUMBER($AJ160)*(N($AJ160)&gt;$D$4)&gt;0,"payout high  ","")&amp;IF(ISNUMBER($AX160)*(N($AX160)&lt;$F$4)&gt;0,"FCF below dvd  ","")&amp;IF(ISNUMBER($AU160)*(N($AU160)&gt;$H$4)&gt;0,"leverage high","")))</f>
        <v/>
      </c>
      <c r="AZ160" s="86">
        <f>IF($C160="","",IF(HSCEI!$F$15="HKD","",HSCEI!$F$15))</f>
        <v/>
      </c>
    </row>
    <row r="161">
      <c r="B161" s="66" t="inlineStr">
        <is>
          <t>HSCEI</t>
        </is>
      </c>
      <c r="C161" s="8">
        <f>IF(HSCEI!$C$16="","",HSCEI!$C$16)</f>
        <v/>
      </c>
      <c r="D161" s="8">
        <f>IF($C161="","",HSCEI!$D$16)</f>
        <v/>
      </c>
      <c r="E161" s="8">
        <f>IF($C161="","",HSCEI!$E$16)</f>
        <v/>
      </c>
      <c r="F161" s="67">
        <f>IF($C161="","",SUMPRODUCT(('Dvd Calendar'!$E$1660:$AR$1660&gt;=DATE(YEAR_Y-5,1,1))*('Dvd Calendar'!$E$1660:$AR$1660&lt;=DATE(YEAR_Y-5,12,31))*'Dvd Calendar'!$E$1663:$AR$1663*(('Dvd Calendar'!$E$1665:$AR$1665=TYPE1)*(TYPE1&lt;&gt;"")+('Dvd Calendar'!$E$1665:$AR$1665=TYPE2)*(TYPE2&lt;&gt;"")+('Dvd Calendar'!$E$1665:$AR$1665=TYPE3)*(TYPE3&lt;&gt;"")+('Dvd Calendar'!$E$1665:$AR$1665=TYPE4)*(TYPE4&lt;&gt;"")+('Dvd Calendar'!$E$1665:$AR$1665=SPECIAL_LBL)*(INC_SPECIALS="Y"))))</f>
        <v/>
      </c>
      <c r="G161" s="68">
        <f>IF($C161="","",SUMPRODUCT(('Dvd Calendar'!$E$1660:$AR$1660&gt;=DATE(YEAR_Y-4,1,1))*('Dvd Calendar'!$E$1660:$AR$1660&lt;=DATE(YEAR_Y-4,12,31))*'Dvd Calendar'!$E$1663:$AR$1663*(('Dvd Calendar'!$E$1665:$AR$1665=TYPE1)*(TYPE1&lt;&gt;"")+('Dvd Calendar'!$E$1665:$AR$1665=TYPE2)*(TYPE2&lt;&gt;"")+('Dvd Calendar'!$E$1665:$AR$1665=TYPE3)*(TYPE3&lt;&gt;"")+('Dvd Calendar'!$E$1665:$AR$1665=TYPE4)*(TYPE4&lt;&gt;"")+('Dvd Calendar'!$E$1665:$AR$1665=SPECIAL_LBL)*(INC_SPECIALS="Y"))))</f>
        <v/>
      </c>
      <c r="H161" s="68">
        <f>IF($C161="","",SUMPRODUCT(('Dvd Calendar'!$E$1660:$AR$1660&gt;=DATE(YEAR_Y-3,1,1))*('Dvd Calendar'!$E$1660:$AR$1660&lt;=DATE(YEAR_Y-3,12,31))*'Dvd Calendar'!$E$1663:$AR$1663*(('Dvd Calendar'!$E$1665:$AR$1665=TYPE1)*(TYPE1&lt;&gt;"")+('Dvd Calendar'!$E$1665:$AR$1665=TYPE2)*(TYPE2&lt;&gt;"")+('Dvd Calendar'!$E$1665:$AR$1665=TYPE3)*(TYPE3&lt;&gt;"")+('Dvd Calendar'!$E$1665:$AR$1665=TYPE4)*(TYPE4&lt;&gt;"")+('Dvd Calendar'!$E$1665:$AR$1665=SPECIAL_LBL)*(INC_SPECIALS="Y"))))</f>
        <v/>
      </c>
      <c r="I161" s="68">
        <f>IF($C161="","",SUMPRODUCT(('Dvd Calendar'!$E$1660:$AR$1660&gt;=DATE(YEAR_Y-2,1,1))*('Dvd Calendar'!$E$1660:$AR$1660&lt;=DATE(YEAR_Y-2,12,31))*'Dvd Calendar'!$E$1663:$AR$1663*(('Dvd Calendar'!$E$1665:$AR$1665=TYPE1)*(TYPE1&lt;&gt;"")+('Dvd Calendar'!$E$1665:$AR$1665=TYPE2)*(TYPE2&lt;&gt;"")+('Dvd Calendar'!$E$1665:$AR$1665=TYPE3)*(TYPE3&lt;&gt;"")+('Dvd Calendar'!$E$1665:$AR$1665=TYPE4)*(TYPE4&lt;&gt;"")+('Dvd Calendar'!$E$1665:$AR$1665=SPECIAL_LBL)*(INC_SPECIALS="Y"))))</f>
        <v/>
      </c>
      <c r="J161" s="68">
        <f>IF($C161="","",SUMPRODUCT(('Dvd Calendar'!$E$1660:$AR$1660&gt;=DATE(YEAR_Y-1,1,1))*('Dvd Calendar'!$E$1660:$AR$1660&lt;=DATE(YEAR_Y-1,12,31))*'Dvd Calendar'!$E$1663:$AR$1663*(('Dvd Calendar'!$E$1665:$AR$1665=TYPE1)*(TYPE1&lt;&gt;"")+('Dvd Calendar'!$E$1665:$AR$1665=TYPE2)*(TYPE2&lt;&gt;"")+('Dvd Calendar'!$E$1665:$AR$1665=TYPE3)*(TYPE3&lt;&gt;"")+('Dvd Calendar'!$E$1665:$AR$1665=TYPE4)*(TYPE4&lt;&gt;"")+('Dvd Calendar'!$E$1665:$AR$1665=SPECIAL_LBL)*(INC_SPECIALS="Y"))))</f>
        <v/>
      </c>
      <c r="K161" s="69">
        <f>IF($C161="","",HSCEI!$J$16)</f>
        <v/>
      </c>
      <c r="L161" s="69">
        <f>IF($C161="","",HSCEI!$K$16)</f>
        <v/>
      </c>
      <c r="M161" s="44">
        <f>IF($C161="","",HSCEI!$J$16+HSCEI!$L$16)</f>
        <v/>
      </c>
      <c r="N161" s="70">
        <f>IF($C161="","",IF(PULL_FUND="N","",IFERROR(BDP($C161,BESTDPS_FIELD,FWD_OVERRIDE,TEXT(MOD(YEAR_Y,100),"00")&amp;"Y"),"")))</f>
        <v/>
      </c>
      <c r="O161" s="69">
        <f>IF($C161="","",AVERAGE(F161:J161))</f>
        <v/>
      </c>
      <c r="P161" s="71">
        <f>IF($C161="","",IF(PULL_FUND="N","",IF(COUNTIFS('Fund History'!$J$910:$J$914,"&gt;="&amp;DATE(YEAR_Y-5,1,1),'Fund History'!$J$910:$J$914,"&lt;="&amp;DATE(YEAR_Y-5,12,31))=0,"",IFERROR($F161*HSCEI!$G$16/SUMIFS('Fund History'!$K$910:$K$914,'Fund History'!$J$910:$J$914,"&gt;="&amp;DATE(YEAR_Y-5,1,1),'Fund History'!$J$910:$J$914,"&lt;="&amp;DATE(YEAR_Y-5,12,31)),""))))</f>
        <v/>
      </c>
      <c r="Q161" s="72">
        <f>IF($C161="","",IF(PULL_FUND="N","",IF(COUNTIFS('Fund History'!$J$910:$J$914,"&gt;="&amp;DATE(YEAR_Y-4,1,1),'Fund History'!$J$910:$J$914,"&lt;="&amp;DATE(YEAR_Y-4,12,31))=0,"",IFERROR($G161*HSCEI!$G$16/SUMIFS('Fund History'!$K$910:$K$914,'Fund History'!$J$910:$J$914,"&gt;="&amp;DATE(YEAR_Y-4,1,1),'Fund History'!$J$910:$J$914,"&lt;="&amp;DATE(YEAR_Y-4,12,31)),""))))</f>
        <v/>
      </c>
      <c r="R161" s="72">
        <f>IF($C161="","",IF(PULL_FUND="N","",IF(COUNTIFS('Fund History'!$J$910:$J$914,"&gt;="&amp;DATE(YEAR_Y-3,1,1),'Fund History'!$J$910:$J$914,"&lt;="&amp;DATE(YEAR_Y-3,12,31))=0,"",IFERROR($H161*HSCEI!$G$16/SUMIFS('Fund History'!$K$910:$K$914,'Fund History'!$J$910:$J$914,"&gt;="&amp;DATE(YEAR_Y-3,1,1),'Fund History'!$J$910:$J$914,"&lt;="&amp;DATE(YEAR_Y-3,12,31)),""))))</f>
        <v/>
      </c>
      <c r="S161" s="72">
        <f>IF($C161="","",IF(PULL_FUND="N","",IF(COUNTIFS('Fund History'!$J$910:$J$914,"&gt;="&amp;DATE(YEAR_Y-2,1,1),'Fund History'!$J$910:$J$914,"&lt;="&amp;DATE(YEAR_Y-2,12,31))=0,"",IFERROR($I161*HSCEI!$G$16/SUMIFS('Fund History'!$K$910:$K$914,'Fund History'!$J$910:$J$914,"&gt;="&amp;DATE(YEAR_Y-2,1,1),'Fund History'!$J$910:$J$914,"&lt;="&amp;DATE(YEAR_Y-2,12,31)),""))))</f>
        <v/>
      </c>
      <c r="T161" s="72">
        <f>IF($C161="","",IF(PULL_FUND="N","",IF(COUNTIFS('Fund History'!$J$910:$J$914,"&gt;="&amp;DATE(YEAR_Y-1,1,1),'Fund History'!$J$910:$J$914,"&lt;="&amp;DATE(YEAR_Y-1,12,31))=0,"",IFERROR($J161*HSCEI!$G$16/SUMIFS('Fund History'!$K$910:$K$914,'Fund History'!$J$910:$J$914,"&gt;="&amp;DATE(YEAR_Y-1,1,1),'Fund History'!$J$910:$J$914,"&lt;="&amp;DATE(YEAR_Y-1,12,31)),""))))</f>
        <v/>
      </c>
      <c r="U161" s="73">
        <f>IF($C161="","",IF(ISNUMBER(HSCEI!$I$16),HSCEI!$I$16/100,""))</f>
        <v/>
      </c>
      <c r="V161" s="74">
        <f>IF($C161="","",IF(ISNUMBER(HSCEI!$X$16),IFERROR($M161*HSCEI!$G$16/HSCEI!$X$16,""),""))</f>
        <v/>
      </c>
      <c r="W161" s="73">
        <f>IF($C161="","",IF(ISNUMBER($N161),IFERROR($N161*HSCEI!$G$16/HSCEI!$X$16,""),""))</f>
        <v/>
      </c>
      <c r="X161" s="75">
        <f>IF($C161="","",IF(PULL_FUND="N","",IFERROR(BDP($C161,EPS_FIELD,YR_OVERRIDE,TEXT(YEAR_Y-5,"0")),"")))</f>
        <v/>
      </c>
      <c r="Y161" s="76">
        <f>IF($C161="","",IF(PULL_FUND="N","",IFERROR(BDP($C161,EPS_FIELD,YR_OVERRIDE,TEXT(YEAR_Y-4,"0")),"")))</f>
        <v/>
      </c>
      <c r="Z161" s="76">
        <f>IF($C161="","",IF(PULL_FUND="N","",IFERROR(BDP($C161,EPS_FIELD,YR_OVERRIDE,TEXT(YEAR_Y-3,"0")),"")))</f>
        <v/>
      </c>
      <c r="AA161" s="76">
        <f>IF($C161="","",IF(PULL_FUND="N","",IFERROR(BDP($C161,EPS_FIELD,YR_OVERRIDE,TEXT(YEAR_Y-2,"0")),"")))</f>
        <v/>
      </c>
      <c r="AB161" s="76">
        <f>IF($C161="","",IF(PULL_FUND="N","",IFERROR(BDP($C161,EPS_FIELD,YR_OVERRIDE,TEXT(YEAR_Y-1,"0")),"")))</f>
        <v/>
      </c>
      <c r="AC161" s="50">
        <f>IF($C161="","",IFERROR(AVERAGE(X161:AB161),""))</f>
        <v/>
      </c>
      <c r="AD161" s="76">
        <f>IF($C161="","",IF(PULL_FUND="N","",IFERROR(BDP($C161,BESTEPS_FIELD,FWD_OVERRIDE,TEXT(MOD(YEAR_Y,100),"00")&amp;"Y"),"")))</f>
        <v/>
      </c>
      <c r="AE161" s="77">
        <f>IF($C161="","",IF(PULL_FUND="N","",IFERROR(BDP($C161,PAYOUT_FIELD,YR_OVERRIDE,TEXT(YEAR_Y-5,"0"))/100,"")))</f>
        <v/>
      </c>
      <c r="AF161" s="78">
        <f>IF($C161="","",IF(PULL_FUND="N","",IFERROR(BDP($C161,PAYOUT_FIELD,YR_OVERRIDE,TEXT(YEAR_Y-4,"0"))/100,"")))</f>
        <v/>
      </c>
      <c r="AG161" s="78">
        <f>IF($C161="","",IF(PULL_FUND="N","",IFERROR(BDP($C161,PAYOUT_FIELD,YR_OVERRIDE,TEXT(YEAR_Y-3,"0"))/100,"")))</f>
        <v/>
      </c>
      <c r="AH161" s="78">
        <f>IF($C161="","",IF(PULL_FUND="N","",IFERROR(BDP($C161,PAYOUT_FIELD,YR_OVERRIDE,TEXT(YEAR_Y-2,"0"))/100,"")))</f>
        <v/>
      </c>
      <c r="AI161" s="78">
        <f>IF($C161="","",IF(PULL_FUND="N","",IFERROR(BDP($C161,PAYOUT_FIELD,YR_OVERRIDE,TEXT(YEAR_Y-1,"0"))/100,"")))</f>
        <v/>
      </c>
      <c r="AJ161" s="79">
        <f>IF($C161="","",IFERROR(AVERAGE(AE161:AI161),""))</f>
        <v/>
      </c>
      <c r="AK161" s="80">
        <f>IF($C161="","",IF(ISNUMBER($AD161)*ISNUMBER($N161)*($AD161&lt;&gt;0)=0,"",$N161/$AD161))</f>
        <v/>
      </c>
      <c r="AL161" s="79">
        <f>IF($C161="","",IF(ISNUMBER($AD161)*($AD161&lt;&gt;0)=0,"",$M161/$AD161))</f>
        <v/>
      </c>
      <c r="AM161" s="37">
        <f>IF($C161="","",IF(ISNUMBER($AE161)*ISNUMBER($AI161)=0,"",IF($AI161&gt;$AE161+0.05,"rising",IF($AI161&lt;$AE161-0.05,"falling","stable"))))</f>
        <v/>
      </c>
      <c r="AN161" s="81">
        <f>IF($C161="","",IF(PULL_FUND="N","",IF(COUNTIFS('Fund History'!$G$910:$G$914,"&gt;="&amp;DATE(YEAR_Y-4,1,1),'Fund History'!$G$910:$G$914,"&lt;="&amp;DATE(YEAR_Y-4,12,31))=0,"",SUMIFS('Fund History'!$H$910:$H$914,'Fund History'!$G$910:$G$914,"&gt;="&amp;DATE(YEAR_Y-4,1,1),'Fund History'!$G$910:$G$914,"&lt;="&amp;DATE(YEAR_Y-4,12,31))/100)))</f>
        <v/>
      </c>
      <c r="AO161" s="82">
        <f>IF($C161="","",IF(PULL_FUND="N","",IF(COUNTIFS('Fund History'!$G$910:$G$914,"&gt;="&amp;DATE(YEAR_Y-3,1,1),'Fund History'!$G$910:$G$914,"&lt;="&amp;DATE(YEAR_Y-3,12,31))=0,"",SUMIFS('Fund History'!$H$910:$H$914,'Fund History'!$G$910:$G$914,"&gt;="&amp;DATE(YEAR_Y-3,1,1),'Fund History'!$G$910:$G$914,"&lt;="&amp;DATE(YEAR_Y-3,12,31))/100)))</f>
        <v/>
      </c>
      <c r="AP161" s="82">
        <f>IF($C161="","",IF(PULL_FUND="N","",IF(COUNTIFS('Fund History'!$G$910:$G$914,"&gt;="&amp;DATE(YEAR_Y-2,1,1),'Fund History'!$G$910:$G$914,"&lt;="&amp;DATE(YEAR_Y-2,12,31))=0,"",SUMIFS('Fund History'!$H$910:$H$914,'Fund History'!$G$910:$G$914,"&gt;="&amp;DATE(YEAR_Y-2,1,1),'Fund History'!$G$910:$G$914,"&lt;="&amp;DATE(YEAR_Y-2,12,31))/100)))</f>
        <v/>
      </c>
      <c r="AQ161" s="82">
        <f>IF($C161="","",IF(PULL_FUND="N","",IF(COUNTIFS('Fund History'!$G$910:$G$914,"&gt;="&amp;DATE(YEAR_Y-1,1,1),'Fund History'!$G$910:$G$914,"&lt;="&amp;DATE(YEAR_Y-1,12,31))=0,"",SUMIFS('Fund History'!$H$910:$H$914,'Fund History'!$G$910:$G$914,"&gt;="&amp;DATE(YEAR_Y-1,1,1),'Fund History'!$G$910:$G$914,"&lt;="&amp;DATE(YEAR_Y-1,12,31))/100)))</f>
        <v/>
      </c>
      <c r="AR161" s="83">
        <f>IF($C161="","",IF(N($AQ161)+N(HSCEI!$I$16)=0,"",N($AQ161)+N(HSCEI!$I$16)/100))</f>
        <v/>
      </c>
      <c r="AS161" s="75">
        <f>IF($C161="","",IF(PULL_FUND="N","",IF(COUNTIFS('Fund History'!$D$910:$D$914,"&gt;="&amp;DATE(YEAR_Y-2,1,1),'Fund History'!$D$910:$D$914,"&lt;="&amp;DATE(YEAR_Y-2,12,31))=0,"",SUMIFS('Fund History'!$E$910:$E$914,'Fund History'!$D$910:$D$914,"&gt;="&amp;DATE(YEAR_Y-2,1,1),'Fund History'!$D$910:$D$914,"&lt;="&amp;DATE(YEAR_Y-2,12,31)))))</f>
        <v/>
      </c>
      <c r="AT161" s="76">
        <f>IF($C161="","",IF(PULL_FUND="N","",IF(COUNTIFS('Fund History'!$D$910:$D$914,"&gt;="&amp;DATE(YEAR_Y-1,1,1),'Fund History'!$D$910:$D$914,"&lt;="&amp;DATE(YEAR_Y-1,12,31))=0,"",SUMIFS('Fund History'!$E$910:$E$914,'Fund History'!$D$910:$D$914,"&gt;="&amp;DATE(YEAR_Y-1,1,1),'Fund History'!$D$910:$D$914,"&lt;="&amp;DATE(YEAR_Y-1,12,31)))))</f>
        <v/>
      </c>
      <c r="AU161" s="76">
        <f>IF($C161="","",IF(PULL_FUND="N","",IFERROR(BDP($C161,NDEBITDA_FIELD),"")))</f>
        <v/>
      </c>
      <c r="AV161" s="84">
        <f>IF($C161="","",IF(PULL_FUND="N","",IFERROR(BDP($C161,EBINT_FIELD),"")))</f>
        <v/>
      </c>
      <c r="AW161" s="82">
        <f>IF($C161="","",IF(PULL_FUND="N","",IFERROR(BDP($C161,FCF_FIELD)/100,"")))</f>
        <v/>
      </c>
      <c r="AX161" s="50">
        <f>IF($C161="","",IF(N($U161)=0,"",IFERROR($AW161/$U161,"")))</f>
        <v/>
      </c>
      <c r="AY161" s="85">
        <f>IF($C161="","",TRIM(IF(ISNUMBER($AJ161)*(N($AJ161)&gt;$D$4)&gt;0,"payout high  ","")&amp;IF(ISNUMBER($AX161)*(N($AX161)&lt;$F$4)&gt;0,"FCF below dvd  ","")&amp;IF(ISNUMBER($AU161)*(N($AU161)&gt;$H$4)&gt;0,"leverage high","")))</f>
        <v/>
      </c>
      <c r="AZ161" s="86">
        <f>IF($C161="","",IF(HSCEI!$F$16="HKD","",HSCEI!$F$16))</f>
        <v/>
      </c>
    </row>
    <row r="162">
      <c r="B162" s="66" t="inlineStr">
        <is>
          <t>HSCEI</t>
        </is>
      </c>
      <c r="C162" s="8">
        <f>IF(HSCEI!$C$17="","",HSCEI!$C$17)</f>
        <v/>
      </c>
      <c r="D162" s="8">
        <f>IF($C162="","",HSCEI!$D$17)</f>
        <v/>
      </c>
      <c r="E162" s="8">
        <f>IF($C162="","",HSCEI!$E$17)</f>
        <v/>
      </c>
      <c r="F162" s="67">
        <f>IF($C162="","",SUMPRODUCT(('Dvd Calendar'!$E$1671:$AR$1671&gt;=DATE(YEAR_Y-5,1,1))*('Dvd Calendar'!$E$1671:$AR$1671&lt;=DATE(YEAR_Y-5,12,31))*'Dvd Calendar'!$E$1674:$AR$1674*(('Dvd Calendar'!$E$1676:$AR$1676=TYPE1)*(TYPE1&lt;&gt;"")+('Dvd Calendar'!$E$1676:$AR$1676=TYPE2)*(TYPE2&lt;&gt;"")+('Dvd Calendar'!$E$1676:$AR$1676=TYPE3)*(TYPE3&lt;&gt;"")+('Dvd Calendar'!$E$1676:$AR$1676=TYPE4)*(TYPE4&lt;&gt;"")+('Dvd Calendar'!$E$1676:$AR$1676=SPECIAL_LBL)*(INC_SPECIALS="Y"))))</f>
        <v/>
      </c>
      <c r="G162" s="68">
        <f>IF($C162="","",SUMPRODUCT(('Dvd Calendar'!$E$1671:$AR$1671&gt;=DATE(YEAR_Y-4,1,1))*('Dvd Calendar'!$E$1671:$AR$1671&lt;=DATE(YEAR_Y-4,12,31))*'Dvd Calendar'!$E$1674:$AR$1674*(('Dvd Calendar'!$E$1676:$AR$1676=TYPE1)*(TYPE1&lt;&gt;"")+('Dvd Calendar'!$E$1676:$AR$1676=TYPE2)*(TYPE2&lt;&gt;"")+('Dvd Calendar'!$E$1676:$AR$1676=TYPE3)*(TYPE3&lt;&gt;"")+('Dvd Calendar'!$E$1676:$AR$1676=TYPE4)*(TYPE4&lt;&gt;"")+('Dvd Calendar'!$E$1676:$AR$1676=SPECIAL_LBL)*(INC_SPECIALS="Y"))))</f>
        <v/>
      </c>
      <c r="H162" s="68">
        <f>IF($C162="","",SUMPRODUCT(('Dvd Calendar'!$E$1671:$AR$1671&gt;=DATE(YEAR_Y-3,1,1))*('Dvd Calendar'!$E$1671:$AR$1671&lt;=DATE(YEAR_Y-3,12,31))*'Dvd Calendar'!$E$1674:$AR$1674*(('Dvd Calendar'!$E$1676:$AR$1676=TYPE1)*(TYPE1&lt;&gt;"")+('Dvd Calendar'!$E$1676:$AR$1676=TYPE2)*(TYPE2&lt;&gt;"")+('Dvd Calendar'!$E$1676:$AR$1676=TYPE3)*(TYPE3&lt;&gt;"")+('Dvd Calendar'!$E$1676:$AR$1676=TYPE4)*(TYPE4&lt;&gt;"")+('Dvd Calendar'!$E$1676:$AR$1676=SPECIAL_LBL)*(INC_SPECIALS="Y"))))</f>
        <v/>
      </c>
      <c r="I162" s="68">
        <f>IF($C162="","",SUMPRODUCT(('Dvd Calendar'!$E$1671:$AR$1671&gt;=DATE(YEAR_Y-2,1,1))*('Dvd Calendar'!$E$1671:$AR$1671&lt;=DATE(YEAR_Y-2,12,31))*'Dvd Calendar'!$E$1674:$AR$1674*(('Dvd Calendar'!$E$1676:$AR$1676=TYPE1)*(TYPE1&lt;&gt;"")+('Dvd Calendar'!$E$1676:$AR$1676=TYPE2)*(TYPE2&lt;&gt;"")+('Dvd Calendar'!$E$1676:$AR$1676=TYPE3)*(TYPE3&lt;&gt;"")+('Dvd Calendar'!$E$1676:$AR$1676=TYPE4)*(TYPE4&lt;&gt;"")+('Dvd Calendar'!$E$1676:$AR$1676=SPECIAL_LBL)*(INC_SPECIALS="Y"))))</f>
        <v/>
      </c>
      <c r="J162" s="68">
        <f>IF($C162="","",SUMPRODUCT(('Dvd Calendar'!$E$1671:$AR$1671&gt;=DATE(YEAR_Y-1,1,1))*('Dvd Calendar'!$E$1671:$AR$1671&lt;=DATE(YEAR_Y-1,12,31))*'Dvd Calendar'!$E$1674:$AR$1674*(('Dvd Calendar'!$E$1676:$AR$1676=TYPE1)*(TYPE1&lt;&gt;"")+('Dvd Calendar'!$E$1676:$AR$1676=TYPE2)*(TYPE2&lt;&gt;"")+('Dvd Calendar'!$E$1676:$AR$1676=TYPE3)*(TYPE3&lt;&gt;"")+('Dvd Calendar'!$E$1676:$AR$1676=TYPE4)*(TYPE4&lt;&gt;"")+('Dvd Calendar'!$E$1676:$AR$1676=SPECIAL_LBL)*(INC_SPECIALS="Y"))))</f>
        <v/>
      </c>
      <c r="K162" s="69">
        <f>IF($C162="","",HSCEI!$J$17)</f>
        <v/>
      </c>
      <c r="L162" s="69">
        <f>IF($C162="","",HSCEI!$K$17)</f>
        <v/>
      </c>
      <c r="M162" s="44">
        <f>IF($C162="","",HSCEI!$J$17+HSCEI!$L$17)</f>
        <v/>
      </c>
      <c r="N162" s="70">
        <f>IF($C162="","",IF(PULL_FUND="N","",IFERROR(BDP($C162,BESTDPS_FIELD,FWD_OVERRIDE,TEXT(MOD(YEAR_Y,100),"00")&amp;"Y"),"")))</f>
        <v/>
      </c>
      <c r="O162" s="69">
        <f>IF($C162="","",AVERAGE(F162:J162))</f>
        <v/>
      </c>
      <c r="P162" s="71">
        <f>IF($C162="","",IF(PULL_FUND="N","",IF(COUNTIFS('Fund History'!$J$916:$J$920,"&gt;="&amp;DATE(YEAR_Y-5,1,1),'Fund History'!$J$916:$J$920,"&lt;="&amp;DATE(YEAR_Y-5,12,31))=0,"",IFERROR($F162*HSCEI!$G$17/SUMIFS('Fund History'!$K$916:$K$920,'Fund History'!$J$916:$J$920,"&gt;="&amp;DATE(YEAR_Y-5,1,1),'Fund History'!$J$916:$J$920,"&lt;="&amp;DATE(YEAR_Y-5,12,31)),""))))</f>
        <v/>
      </c>
      <c r="Q162" s="72">
        <f>IF($C162="","",IF(PULL_FUND="N","",IF(COUNTIFS('Fund History'!$J$916:$J$920,"&gt;="&amp;DATE(YEAR_Y-4,1,1),'Fund History'!$J$916:$J$920,"&lt;="&amp;DATE(YEAR_Y-4,12,31))=0,"",IFERROR($G162*HSCEI!$G$17/SUMIFS('Fund History'!$K$916:$K$920,'Fund History'!$J$916:$J$920,"&gt;="&amp;DATE(YEAR_Y-4,1,1),'Fund History'!$J$916:$J$920,"&lt;="&amp;DATE(YEAR_Y-4,12,31)),""))))</f>
        <v/>
      </c>
      <c r="R162" s="72">
        <f>IF($C162="","",IF(PULL_FUND="N","",IF(COUNTIFS('Fund History'!$J$916:$J$920,"&gt;="&amp;DATE(YEAR_Y-3,1,1),'Fund History'!$J$916:$J$920,"&lt;="&amp;DATE(YEAR_Y-3,12,31))=0,"",IFERROR($H162*HSCEI!$G$17/SUMIFS('Fund History'!$K$916:$K$920,'Fund History'!$J$916:$J$920,"&gt;="&amp;DATE(YEAR_Y-3,1,1),'Fund History'!$J$916:$J$920,"&lt;="&amp;DATE(YEAR_Y-3,12,31)),""))))</f>
        <v/>
      </c>
      <c r="S162" s="72">
        <f>IF($C162="","",IF(PULL_FUND="N","",IF(COUNTIFS('Fund History'!$J$916:$J$920,"&gt;="&amp;DATE(YEAR_Y-2,1,1),'Fund History'!$J$916:$J$920,"&lt;="&amp;DATE(YEAR_Y-2,12,31))=0,"",IFERROR($I162*HSCEI!$G$17/SUMIFS('Fund History'!$K$916:$K$920,'Fund History'!$J$916:$J$920,"&gt;="&amp;DATE(YEAR_Y-2,1,1),'Fund History'!$J$916:$J$920,"&lt;="&amp;DATE(YEAR_Y-2,12,31)),""))))</f>
        <v/>
      </c>
      <c r="T162" s="72">
        <f>IF($C162="","",IF(PULL_FUND="N","",IF(COUNTIFS('Fund History'!$J$916:$J$920,"&gt;="&amp;DATE(YEAR_Y-1,1,1),'Fund History'!$J$916:$J$920,"&lt;="&amp;DATE(YEAR_Y-1,12,31))=0,"",IFERROR($J162*HSCEI!$G$17/SUMIFS('Fund History'!$K$916:$K$920,'Fund History'!$J$916:$J$920,"&gt;="&amp;DATE(YEAR_Y-1,1,1),'Fund History'!$J$916:$J$920,"&lt;="&amp;DATE(YEAR_Y-1,12,31)),""))))</f>
        <v/>
      </c>
      <c r="U162" s="73">
        <f>IF($C162="","",IF(ISNUMBER(HSCEI!$I$17),HSCEI!$I$17/100,""))</f>
        <v/>
      </c>
      <c r="V162" s="74">
        <f>IF($C162="","",IF(ISNUMBER(HSCEI!$X$17),IFERROR($M162*HSCEI!$G$17/HSCEI!$X$17,""),""))</f>
        <v/>
      </c>
      <c r="W162" s="73">
        <f>IF($C162="","",IF(ISNUMBER($N162),IFERROR($N162*HSCEI!$G$17/HSCEI!$X$17,""),""))</f>
        <v/>
      </c>
      <c r="X162" s="75">
        <f>IF($C162="","",IF(PULL_FUND="N","",IFERROR(BDP($C162,EPS_FIELD,YR_OVERRIDE,TEXT(YEAR_Y-5,"0")),"")))</f>
        <v/>
      </c>
      <c r="Y162" s="76">
        <f>IF($C162="","",IF(PULL_FUND="N","",IFERROR(BDP($C162,EPS_FIELD,YR_OVERRIDE,TEXT(YEAR_Y-4,"0")),"")))</f>
        <v/>
      </c>
      <c r="Z162" s="76">
        <f>IF($C162="","",IF(PULL_FUND="N","",IFERROR(BDP($C162,EPS_FIELD,YR_OVERRIDE,TEXT(YEAR_Y-3,"0")),"")))</f>
        <v/>
      </c>
      <c r="AA162" s="76">
        <f>IF($C162="","",IF(PULL_FUND="N","",IFERROR(BDP($C162,EPS_FIELD,YR_OVERRIDE,TEXT(YEAR_Y-2,"0")),"")))</f>
        <v/>
      </c>
      <c r="AB162" s="76">
        <f>IF($C162="","",IF(PULL_FUND="N","",IFERROR(BDP($C162,EPS_FIELD,YR_OVERRIDE,TEXT(YEAR_Y-1,"0")),"")))</f>
        <v/>
      </c>
      <c r="AC162" s="50">
        <f>IF($C162="","",IFERROR(AVERAGE(X162:AB162),""))</f>
        <v/>
      </c>
      <c r="AD162" s="76">
        <f>IF($C162="","",IF(PULL_FUND="N","",IFERROR(BDP($C162,BESTEPS_FIELD,FWD_OVERRIDE,TEXT(MOD(YEAR_Y,100),"00")&amp;"Y"),"")))</f>
        <v/>
      </c>
      <c r="AE162" s="77">
        <f>IF($C162="","",IF(PULL_FUND="N","",IFERROR(BDP($C162,PAYOUT_FIELD,YR_OVERRIDE,TEXT(YEAR_Y-5,"0"))/100,"")))</f>
        <v/>
      </c>
      <c r="AF162" s="78">
        <f>IF($C162="","",IF(PULL_FUND="N","",IFERROR(BDP($C162,PAYOUT_FIELD,YR_OVERRIDE,TEXT(YEAR_Y-4,"0"))/100,"")))</f>
        <v/>
      </c>
      <c r="AG162" s="78">
        <f>IF($C162="","",IF(PULL_FUND="N","",IFERROR(BDP($C162,PAYOUT_FIELD,YR_OVERRIDE,TEXT(YEAR_Y-3,"0"))/100,"")))</f>
        <v/>
      </c>
      <c r="AH162" s="78">
        <f>IF($C162="","",IF(PULL_FUND="N","",IFERROR(BDP($C162,PAYOUT_FIELD,YR_OVERRIDE,TEXT(YEAR_Y-2,"0"))/100,"")))</f>
        <v/>
      </c>
      <c r="AI162" s="78">
        <f>IF($C162="","",IF(PULL_FUND="N","",IFERROR(BDP($C162,PAYOUT_FIELD,YR_OVERRIDE,TEXT(YEAR_Y-1,"0"))/100,"")))</f>
        <v/>
      </c>
      <c r="AJ162" s="79">
        <f>IF($C162="","",IFERROR(AVERAGE(AE162:AI162),""))</f>
        <v/>
      </c>
      <c r="AK162" s="80">
        <f>IF($C162="","",IF(ISNUMBER($AD162)*ISNUMBER($N162)*($AD162&lt;&gt;0)=0,"",$N162/$AD162))</f>
        <v/>
      </c>
      <c r="AL162" s="79">
        <f>IF($C162="","",IF(ISNUMBER($AD162)*($AD162&lt;&gt;0)=0,"",$M162/$AD162))</f>
        <v/>
      </c>
      <c r="AM162" s="37">
        <f>IF($C162="","",IF(ISNUMBER($AE162)*ISNUMBER($AI162)=0,"",IF($AI162&gt;$AE162+0.05,"rising",IF($AI162&lt;$AE162-0.05,"falling","stable"))))</f>
        <v/>
      </c>
      <c r="AN162" s="81">
        <f>IF($C162="","",IF(PULL_FUND="N","",IF(COUNTIFS('Fund History'!$G$916:$G$920,"&gt;="&amp;DATE(YEAR_Y-4,1,1),'Fund History'!$G$916:$G$920,"&lt;="&amp;DATE(YEAR_Y-4,12,31))=0,"",SUMIFS('Fund History'!$H$916:$H$920,'Fund History'!$G$916:$G$920,"&gt;="&amp;DATE(YEAR_Y-4,1,1),'Fund History'!$G$916:$G$920,"&lt;="&amp;DATE(YEAR_Y-4,12,31))/100)))</f>
        <v/>
      </c>
      <c r="AO162" s="82">
        <f>IF($C162="","",IF(PULL_FUND="N","",IF(COUNTIFS('Fund History'!$G$916:$G$920,"&gt;="&amp;DATE(YEAR_Y-3,1,1),'Fund History'!$G$916:$G$920,"&lt;="&amp;DATE(YEAR_Y-3,12,31))=0,"",SUMIFS('Fund History'!$H$916:$H$920,'Fund History'!$G$916:$G$920,"&gt;="&amp;DATE(YEAR_Y-3,1,1),'Fund History'!$G$916:$G$920,"&lt;="&amp;DATE(YEAR_Y-3,12,31))/100)))</f>
        <v/>
      </c>
      <c r="AP162" s="82">
        <f>IF($C162="","",IF(PULL_FUND="N","",IF(COUNTIFS('Fund History'!$G$916:$G$920,"&gt;="&amp;DATE(YEAR_Y-2,1,1),'Fund History'!$G$916:$G$920,"&lt;="&amp;DATE(YEAR_Y-2,12,31))=0,"",SUMIFS('Fund History'!$H$916:$H$920,'Fund History'!$G$916:$G$920,"&gt;="&amp;DATE(YEAR_Y-2,1,1),'Fund History'!$G$916:$G$920,"&lt;="&amp;DATE(YEAR_Y-2,12,31))/100)))</f>
        <v/>
      </c>
      <c r="AQ162" s="82">
        <f>IF($C162="","",IF(PULL_FUND="N","",IF(COUNTIFS('Fund History'!$G$916:$G$920,"&gt;="&amp;DATE(YEAR_Y-1,1,1),'Fund History'!$G$916:$G$920,"&lt;="&amp;DATE(YEAR_Y-1,12,31))=0,"",SUMIFS('Fund History'!$H$916:$H$920,'Fund History'!$G$916:$G$920,"&gt;="&amp;DATE(YEAR_Y-1,1,1),'Fund History'!$G$916:$G$920,"&lt;="&amp;DATE(YEAR_Y-1,12,31))/100)))</f>
        <v/>
      </c>
      <c r="AR162" s="83">
        <f>IF($C162="","",IF(N($AQ162)+N(HSCEI!$I$17)=0,"",N($AQ162)+N(HSCEI!$I$17)/100))</f>
        <v/>
      </c>
      <c r="AS162" s="75">
        <f>IF($C162="","",IF(PULL_FUND="N","",IF(COUNTIFS('Fund History'!$D$916:$D$920,"&gt;="&amp;DATE(YEAR_Y-2,1,1),'Fund History'!$D$916:$D$920,"&lt;="&amp;DATE(YEAR_Y-2,12,31))=0,"",SUMIFS('Fund History'!$E$916:$E$920,'Fund History'!$D$916:$D$920,"&gt;="&amp;DATE(YEAR_Y-2,1,1),'Fund History'!$D$916:$D$920,"&lt;="&amp;DATE(YEAR_Y-2,12,31)))))</f>
        <v/>
      </c>
      <c r="AT162" s="76">
        <f>IF($C162="","",IF(PULL_FUND="N","",IF(COUNTIFS('Fund History'!$D$916:$D$920,"&gt;="&amp;DATE(YEAR_Y-1,1,1),'Fund History'!$D$916:$D$920,"&lt;="&amp;DATE(YEAR_Y-1,12,31))=0,"",SUMIFS('Fund History'!$E$916:$E$920,'Fund History'!$D$916:$D$920,"&gt;="&amp;DATE(YEAR_Y-1,1,1),'Fund History'!$D$916:$D$920,"&lt;="&amp;DATE(YEAR_Y-1,12,31)))))</f>
        <v/>
      </c>
      <c r="AU162" s="76">
        <f>IF($C162="","",IF(PULL_FUND="N","",IFERROR(BDP($C162,NDEBITDA_FIELD),"")))</f>
        <v/>
      </c>
      <c r="AV162" s="84">
        <f>IF($C162="","",IF(PULL_FUND="N","",IFERROR(BDP($C162,EBINT_FIELD),"")))</f>
        <v/>
      </c>
      <c r="AW162" s="82">
        <f>IF($C162="","",IF(PULL_FUND="N","",IFERROR(BDP($C162,FCF_FIELD)/100,"")))</f>
        <v/>
      </c>
      <c r="AX162" s="50">
        <f>IF($C162="","",IF(N($U162)=0,"",IFERROR($AW162/$U162,"")))</f>
        <v/>
      </c>
      <c r="AY162" s="85">
        <f>IF($C162="","",TRIM(IF(ISNUMBER($AJ162)*(N($AJ162)&gt;$D$4)&gt;0,"payout high  ","")&amp;IF(ISNUMBER($AX162)*(N($AX162)&lt;$F$4)&gt;0,"FCF below dvd  ","")&amp;IF(ISNUMBER($AU162)*(N($AU162)&gt;$H$4)&gt;0,"leverage high","")))</f>
        <v/>
      </c>
      <c r="AZ162" s="86">
        <f>IF($C162="","",IF(HSCEI!$F$17="HKD","",HSCEI!$F$17))</f>
        <v/>
      </c>
    </row>
    <row r="163">
      <c r="B163" s="66" t="inlineStr">
        <is>
          <t>HSCEI</t>
        </is>
      </c>
      <c r="C163" s="8">
        <f>IF(HSCEI!$C$18="","",HSCEI!$C$18)</f>
        <v/>
      </c>
      <c r="D163" s="8">
        <f>IF($C163="","",HSCEI!$D$18)</f>
        <v/>
      </c>
      <c r="E163" s="8">
        <f>IF($C163="","",HSCEI!$E$18)</f>
        <v/>
      </c>
      <c r="F163" s="67">
        <f>IF($C163="","",SUMPRODUCT(('Dvd Calendar'!$E$1682:$AR$1682&gt;=DATE(YEAR_Y-5,1,1))*('Dvd Calendar'!$E$1682:$AR$1682&lt;=DATE(YEAR_Y-5,12,31))*'Dvd Calendar'!$E$1685:$AR$1685*(('Dvd Calendar'!$E$1687:$AR$1687=TYPE1)*(TYPE1&lt;&gt;"")+('Dvd Calendar'!$E$1687:$AR$1687=TYPE2)*(TYPE2&lt;&gt;"")+('Dvd Calendar'!$E$1687:$AR$1687=TYPE3)*(TYPE3&lt;&gt;"")+('Dvd Calendar'!$E$1687:$AR$1687=TYPE4)*(TYPE4&lt;&gt;"")+('Dvd Calendar'!$E$1687:$AR$1687=SPECIAL_LBL)*(INC_SPECIALS="Y"))))</f>
        <v/>
      </c>
      <c r="G163" s="68">
        <f>IF($C163="","",SUMPRODUCT(('Dvd Calendar'!$E$1682:$AR$1682&gt;=DATE(YEAR_Y-4,1,1))*('Dvd Calendar'!$E$1682:$AR$1682&lt;=DATE(YEAR_Y-4,12,31))*'Dvd Calendar'!$E$1685:$AR$1685*(('Dvd Calendar'!$E$1687:$AR$1687=TYPE1)*(TYPE1&lt;&gt;"")+('Dvd Calendar'!$E$1687:$AR$1687=TYPE2)*(TYPE2&lt;&gt;"")+('Dvd Calendar'!$E$1687:$AR$1687=TYPE3)*(TYPE3&lt;&gt;"")+('Dvd Calendar'!$E$1687:$AR$1687=TYPE4)*(TYPE4&lt;&gt;"")+('Dvd Calendar'!$E$1687:$AR$1687=SPECIAL_LBL)*(INC_SPECIALS="Y"))))</f>
        <v/>
      </c>
      <c r="H163" s="68">
        <f>IF($C163="","",SUMPRODUCT(('Dvd Calendar'!$E$1682:$AR$1682&gt;=DATE(YEAR_Y-3,1,1))*('Dvd Calendar'!$E$1682:$AR$1682&lt;=DATE(YEAR_Y-3,12,31))*'Dvd Calendar'!$E$1685:$AR$1685*(('Dvd Calendar'!$E$1687:$AR$1687=TYPE1)*(TYPE1&lt;&gt;"")+('Dvd Calendar'!$E$1687:$AR$1687=TYPE2)*(TYPE2&lt;&gt;"")+('Dvd Calendar'!$E$1687:$AR$1687=TYPE3)*(TYPE3&lt;&gt;"")+('Dvd Calendar'!$E$1687:$AR$1687=TYPE4)*(TYPE4&lt;&gt;"")+('Dvd Calendar'!$E$1687:$AR$1687=SPECIAL_LBL)*(INC_SPECIALS="Y"))))</f>
        <v/>
      </c>
      <c r="I163" s="68">
        <f>IF($C163="","",SUMPRODUCT(('Dvd Calendar'!$E$1682:$AR$1682&gt;=DATE(YEAR_Y-2,1,1))*('Dvd Calendar'!$E$1682:$AR$1682&lt;=DATE(YEAR_Y-2,12,31))*'Dvd Calendar'!$E$1685:$AR$1685*(('Dvd Calendar'!$E$1687:$AR$1687=TYPE1)*(TYPE1&lt;&gt;"")+('Dvd Calendar'!$E$1687:$AR$1687=TYPE2)*(TYPE2&lt;&gt;"")+('Dvd Calendar'!$E$1687:$AR$1687=TYPE3)*(TYPE3&lt;&gt;"")+('Dvd Calendar'!$E$1687:$AR$1687=TYPE4)*(TYPE4&lt;&gt;"")+('Dvd Calendar'!$E$1687:$AR$1687=SPECIAL_LBL)*(INC_SPECIALS="Y"))))</f>
        <v/>
      </c>
      <c r="J163" s="68">
        <f>IF($C163="","",SUMPRODUCT(('Dvd Calendar'!$E$1682:$AR$1682&gt;=DATE(YEAR_Y-1,1,1))*('Dvd Calendar'!$E$1682:$AR$1682&lt;=DATE(YEAR_Y-1,12,31))*'Dvd Calendar'!$E$1685:$AR$1685*(('Dvd Calendar'!$E$1687:$AR$1687=TYPE1)*(TYPE1&lt;&gt;"")+('Dvd Calendar'!$E$1687:$AR$1687=TYPE2)*(TYPE2&lt;&gt;"")+('Dvd Calendar'!$E$1687:$AR$1687=TYPE3)*(TYPE3&lt;&gt;"")+('Dvd Calendar'!$E$1687:$AR$1687=TYPE4)*(TYPE4&lt;&gt;"")+('Dvd Calendar'!$E$1687:$AR$1687=SPECIAL_LBL)*(INC_SPECIALS="Y"))))</f>
        <v/>
      </c>
      <c r="K163" s="69">
        <f>IF($C163="","",HSCEI!$J$18)</f>
        <v/>
      </c>
      <c r="L163" s="69">
        <f>IF($C163="","",HSCEI!$K$18)</f>
        <v/>
      </c>
      <c r="M163" s="44">
        <f>IF($C163="","",HSCEI!$J$18+HSCEI!$L$18)</f>
        <v/>
      </c>
      <c r="N163" s="70">
        <f>IF($C163="","",IF(PULL_FUND="N","",IFERROR(BDP($C163,BESTDPS_FIELD,FWD_OVERRIDE,TEXT(MOD(YEAR_Y,100),"00")&amp;"Y"),"")))</f>
        <v/>
      </c>
      <c r="O163" s="69">
        <f>IF($C163="","",AVERAGE(F163:J163))</f>
        <v/>
      </c>
      <c r="P163" s="71">
        <f>IF($C163="","",IF(PULL_FUND="N","",IF(COUNTIFS('Fund History'!$J$922:$J$926,"&gt;="&amp;DATE(YEAR_Y-5,1,1),'Fund History'!$J$922:$J$926,"&lt;="&amp;DATE(YEAR_Y-5,12,31))=0,"",IFERROR($F163*HSCEI!$G$18/SUMIFS('Fund History'!$K$922:$K$926,'Fund History'!$J$922:$J$926,"&gt;="&amp;DATE(YEAR_Y-5,1,1),'Fund History'!$J$922:$J$926,"&lt;="&amp;DATE(YEAR_Y-5,12,31)),""))))</f>
        <v/>
      </c>
      <c r="Q163" s="72">
        <f>IF($C163="","",IF(PULL_FUND="N","",IF(COUNTIFS('Fund History'!$J$922:$J$926,"&gt;="&amp;DATE(YEAR_Y-4,1,1),'Fund History'!$J$922:$J$926,"&lt;="&amp;DATE(YEAR_Y-4,12,31))=0,"",IFERROR($G163*HSCEI!$G$18/SUMIFS('Fund History'!$K$922:$K$926,'Fund History'!$J$922:$J$926,"&gt;="&amp;DATE(YEAR_Y-4,1,1),'Fund History'!$J$922:$J$926,"&lt;="&amp;DATE(YEAR_Y-4,12,31)),""))))</f>
        <v/>
      </c>
      <c r="R163" s="72">
        <f>IF($C163="","",IF(PULL_FUND="N","",IF(COUNTIFS('Fund History'!$J$922:$J$926,"&gt;="&amp;DATE(YEAR_Y-3,1,1),'Fund History'!$J$922:$J$926,"&lt;="&amp;DATE(YEAR_Y-3,12,31))=0,"",IFERROR($H163*HSCEI!$G$18/SUMIFS('Fund History'!$K$922:$K$926,'Fund History'!$J$922:$J$926,"&gt;="&amp;DATE(YEAR_Y-3,1,1),'Fund History'!$J$922:$J$926,"&lt;="&amp;DATE(YEAR_Y-3,12,31)),""))))</f>
        <v/>
      </c>
      <c r="S163" s="72">
        <f>IF($C163="","",IF(PULL_FUND="N","",IF(COUNTIFS('Fund History'!$J$922:$J$926,"&gt;="&amp;DATE(YEAR_Y-2,1,1),'Fund History'!$J$922:$J$926,"&lt;="&amp;DATE(YEAR_Y-2,12,31))=0,"",IFERROR($I163*HSCEI!$G$18/SUMIFS('Fund History'!$K$922:$K$926,'Fund History'!$J$922:$J$926,"&gt;="&amp;DATE(YEAR_Y-2,1,1),'Fund History'!$J$922:$J$926,"&lt;="&amp;DATE(YEAR_Y-2,12,31)),""))))</f>
        <v/>
      </c>
      <c r="T163" s="72">
        <f>IF($C163="","",IF(PULL_FUND="N","",IF(COUNTIFS('Fund History'!$J$922:$J$926,"&gt;="&amp;DATE(YEAR_Y-1,1,1),'Fund History'!$J$922:$J$926,"&lt;="&amp;DATE(YEAR_Y-1,12,31))=0,"",IFERROR($J163*HSCEI!$G$18/SUMIFS('Fund History'!$K$922:$K$926,'Fund History'!$J$922:$J$926,"&gt;="&amp;DATE(YEAR_Y-1,1,1),'Fund History'!$J$922:$J$926,"&lt;="&amp;DATE(YEAR_Y-1,12,31)),""))))</f>
        <v/>
      </c>
      <c r="U163" s="73">
        <f>IF($C163="","",IF(ISNUMBER(HSCEI!$I$18),HSCEI!$I$18/100,""))</f>
        <v/>
      </c>
      <c r="V163" s="74">
        <f>IF($C163="","",IF(ISNUMBER(HSCEI!$X$18),IFERROR($M163*HSCEI!$G$18/HSCEI!$X$18,""),""))</f>
        <v/>
      </c>
      <c r="W163" s="73">
        <f>IF($C163="","",IF(ISNUMBER($N163),IFERROR($N163*HSCEI!$G$18/HSCEI!$X$18,""),""))</f>
        <v/>
      </c>
      <c r="X163" s="75">
        <f>IF($C163="","",IF(PULL_FUND="N","",IFERROR(BDP($C163,EPS_FIELD,YR_OVERRIDE,TEXT(YEAR_Y-5,"0")),"")))</f>
        <v/>
      </c>
      <c r="Y163" s="76">
        <f>IF($C163="","",IF(PULL_FUND="N","",IFERROR(BDP($C163,EPS_FIELD,YR_OVERRIDE,TEXT(YEAR_Y-4,"0")),"")))</f>
        <v/>
      </c>
      <c r="Z163" s="76">
        <f>IF($C163="","",IF(PULL_FUND="N","",IFERROR(BDP($C163,EPS_FIELD,YR_OVERRIDE,TEXT(YEAR_Y-3,"0")),"")))</f>
        <v/>
      </c>
      <c r="AA163" s="76">
        <f>IF($C163="","",IF(PULL_FUND="N","",IFERROR(BDP($C163,EPS_FIELD,YR_OVERRIDE,TEXT(YEAR_Y-2,"0")),"")))</f>
        <v/>
      </c>
      <c r="AB163" s="76">
        <f>IF($C163="","",IF(PULL_FUND="N","",IFERROR(BDP($C163,EPS_FIELD,YR_OVERRIDE,TEXT(YEAR_Y-1,"0")),"")))</f>
        <v/>
      </c>
      <c r="AC163" s="50">
        <f>IF($C163="","",IFERROR(AVERAGE(X163:AB163),""))</f>
        <v/>
      </c>
      <c r="AD163" s="76">
        <f>IF($C163="","",IF(PULL_FUND="N","",IFERROR(BDP($C163,BESTEPS_FIELD,FWD_OVERRIDE,TEXT(MOD(YEAR_Y,100),"00")&amp;"Y"),"")))</f>
        <v/>
      </c>
      <c r="AE163" s="77">
        <f>IF($C163="","",IF(PULL_FUND="N","",IFERROR(BDP($C163,PAYOUT_FIELD,YR_OVERRIDE,TEXT(YEAR_Y-5,"0"))/100,"")))</f>
        <v/>
      </c>
      <c r="AF163" s="78">
        <f>IF($C163="","",IF(PULL_FUND="N","",IFERROR(BDP($C163,PAYOUT_FIELD,YR_OVERRIDE,TEXT(YEAR_Y-4,"0"))/100,"")))</f>
        <v/>
      </c>
      <c r="AG163" s="78">
        <f>IF($C163="","",IF(PULL_FUND="N","",IFERROR(BDP($C163,PAYOUT_FIELD,YR_OVERRIDE,TEXT(YEAR_Y-3,"0"))/100,"")))</f>
        <v/>
      </c>
      <c r="AH163" s="78">
        <f>IF($C163="","",IF(PULL_FUND="N","",IFERROR(BDP($C163,PAYOUT_FIELD,YR_OVERRIDE,TEXT(YEAR_Y-2,"0"))/100,"")))</f>
        <v/>
      </c>
      <c r="AI163" s="78">
        <f>IF($C163="","",IF(PULL_FUND="N","",IFERROR(BDP($C163,PAYOUT_FIELD,YR_OVERRIDE,TEXT(YEAR_Y-1,"0"))/100,"")))</f>
        <v/>
      </c>
      <c r="AJ163" s="79">
        <f>IF($C163="","",IFERROR(AVERAGE(AE163:AI163),""))</f>
        <v/>
      </c>
      <c r="AK163" s="80">
        <f>IF($C163="","",IF(ISNUMBER($AD163)*ISNUMBER($N163)*($AD163&lt;&gt;0)=0,"",$N163/$AD163))</f>
        <v/>
      </c>
      <c r="AL163" s="79">
        <f>IF($C163="","",IF(ISNUMBER($AD163)*($AD163&lt;&gt;0)=0,"",$M163/$AD163))</f>
        <v/>
      </c>
      <c r="AM163" s="37">
        <f>IF($C163="","",IF(ISNUMBER($AE163)*ISNUMBER($AI163)=0,"",IF($AI163&gt;$AE163+0.05,"rising",IF($AI163&lt;$AE163-0.05,"falling","stable"))))</f>
        <v/>
      </c>
      <c r="AN163" s="81">
        <f>IF($C163="","",IF(PULL_FUND="N","",IF(COUNTIFS('Fund History'!$G$922:$G$926,"&gt;="&amp;DATE(YEAR_Y-4,1,1),'Fund History'!$G$922:$G$926,"&lt;="&amp;DATE(YEAR_Y-4,12,31))=0,"",SUMIFS('Fund History'!$H$922:$H$926,'Fund History'!$G$922:$G$926,"&gt;="&amp;DATE(YEAR_Y-4,1,1),'Fund History'!$G$922:$G$926,"&lt;="&amp;DATE(YEAR_Y-4,12,31))/100)))</f>
        <v/>
      </c>
      <c r="AO163" s="82">
        <f>IF($C163="","",IF(PULL_FUND="N","",IF(COUNTIFS('Fund History'!$G$922:$G$926,"&gt;="&amp;DATE(YEAR_Y-3,1,1),'Fund History'!$G$922:$G$926,"&lt;="&amp;DATE(YEAR_Y-3,12,31))=0,"",SUMIFS('Fund History'!$H$922:$H$926,'Fund History'!$G$922:$G$926,"&gt;="&amp;DATE(YEAR_Y-3,1,1),'Fund History'!$G$922:$G$926,"&lt;="&amp;DATE(YEAR_Y-3,12,31))/100)))</f>
        <v/>
      </c>
      <c r="AP163" s="82">
        <f>IF($C163="","",IF(PULL_FUND="N","",IF(COUNTIFS('Fund History'!$G$922:$G$926,"&gt;="&amp;DATE(YEAR_Y-2,1,1),'Fund History'!$G$922:$G$926,"&lt;="&amp;DATE(YEAR_Y-2,12,31))=0,"",SUMIFS('Fund History'!$H$922:$H$926,'Fund History'!$G$922:$G$926,"&gt;="&amp;DATE(YEAR_Y-2,1,1),'Fund History'!$G$922:$G$926,"&lt;="&amp;DATE(YEAR_Y-2,12,31))/100)))</f>
        <v/>
      </c>
      <c r="AQ163" s="82">
        <f>IF($C163="","",IF(PULL_FUND="N","",IF(COUNTIFS('Fund History'!$G$922:$G$926,"&gt;="&amp;DATE(YEAR_Y-1,1,1),'Fund History'!$G$922:$G$926,"&lt;="&amp;DATE(YEAR_Y-1,12,31))=0,"",SUMIFS('Fund History'!$H$922:$H$926,'Fund History'!$G$922:$G$926,"&gt;="&amp;DATE(YEAR_Y-1,1,1),'Fund History'!$G$922:$G$926,"&lt;="&amp;DATE(YEAR_Y-1,12,31))/100)))</f>
        <v/>
      </c>
      <c r="AR163" s="83">
        <f>IF($C163="","",IF(N($AQ163)+N(HSCEI!$I$18)=0,"",N($AQ163)+N(HSCEI!$I$18)/100))</f>
        <v/>
      </c>
      <c r="AS163" s="75">
        <f>IF($C163="","",IF(PULL_FUND="N","",IF(COUNTIFS('Fund History'!$D$922:$D$926,"&gt;="&amp;DATE(YEAR_Y-2,1,1),'Fund History'!$D$922:$D$926,"&lt;="&amp;DATE(YEAR_Y-2,12,31))=0,"",SUMIFS('Fund History'!$E$922:$E$926,'Fund History'!$D$922:$D$926,"&gt;="&amp;DATE(YEAR_Y-2,1,1),'Fund History'!$D$922:$D$926,"&lt;="&amp;DATE(YEAR_Y-2,12,31)))))</f>
        <v/>
      </c>
      <c r="AT163" s="76">
        <f>IF($C163="","",IF(PULL_FUND="N","",IF(COUNTIFS('Fund History'!$D$922:$D$926,"&gt;="&amp;DATE(YEAR_Y-1,1,1),'Fund History'!$D$922:$D$926,"&lt;="&amp;DATE(YEAR_Y-1,12,31))=0,"",SUMIFS('Fund History'!$E$922:$E$926,'Fund History'!$D$922:$D$926,"&gt;="&amp;DATE(YEAR_Y-1,1,1),'Fund History'!$D$922:$D$926,"&lt;="&amp;DATE(YEAR_Y-1,12,31)))))</f>
        <v/>
      </c>
      <c r="AU163" s="76">
        <f>IF($C163="","",IF(PULL_FUND="N","",IFERROR(BDP($C163,NDEBITDA_FIELD),"")))</f>
        <v/>
      </c>
      <c r="AV163" s="84">
        <f>IF($C163="","",IF(PULL_FUND="N","",IFERROR(BDP($C163,EBINT_FIELD),"")))</f>
        <v/>
      </c>
      <c r="AW163" s="82">
        <f>IF($C163="","",IF(PULL_FUND="N","",IFERROR(BDP($C163,FCF_FIELD)/100,"")))</f>
        <v/>
      </c>
      <c r="AX163" s="50">
        <f>IF($C163="","",IF(N($U163)=0,"",IFERROR($AW163/$U163,"")))</f>
        <v/>
      </c>
      <c r="AY163" s="85">
        <f>IF($C163="","",TRIM(IF(ISNUMBER($AJ163)*(N($AJ163)&gt;$D$4)&gt;0,"payout high  ","")&amp;IF(ISNUMBER($AX163)*(N($AX163)&lt;$F$4)&gt;0,"FCF below dvd  ","")&amp;IF(ISNUMBER($AU163)*(N($AU163)&gt;$H$4)&gt;0,"leverage high","")))</f>
        <v/>
      </c>
      <c r="AZ163" s="86">
        <f>IF($C163="","",IF(HSCEI!$F$18="HKD","",HSCEI!$F$18))</f>
        <v/>
      </c>
    </row>
    <row r="164">
      <c r="B164" s="66" t="inlineStr">
        <is>
          <t>HSCEI</t>
        </is>
      </c>
      <c r="C164" s="8">
        <f>IF(HSCEI!$C$19="","",HSCEI!$C$19)</f>
        <v/>
      </c>
      <c r="D164" s="8">
        <f>IF($C164="","",HSCEI!$D$19)</f>
        <v/>
      </c>
      <c r="E164" s="8">
        <f>IF($C164="","",HSCEI!$E$19)</f>
        <v/>
      </c>
      <c r="F164" s="67">
        <f>IF($C164="","",SUMPRODUCT(('Dvd Calendar'!$E$1693:$AR$1693&gt;=DATE(YEAR_Y-5,1,1))*('Dvd Calendar'!$E$1693:$AR$1693&lt;=DATE(YEAR_Y-5,12,31))*'Dvd Calendar'!$E$1696:$AR$1696*(('Dvd Calendar'!$E$1698:$AR$1698=TYPE1)*(TYPE1&lt;&gt;"")+('Dvd Calendar'!$E$1698:$AR$1698=TYPE2)*(TYPE2&lt;&gt;"")+('Dvd Calendar'!$E$1698:$AR$1698=TYPE3)*(TYPE3&lt;&gt;"")+('Dvd Calendar'!$E$1698:$AR$1698=TYPE4)*(TYPE4&lt;&gt;"")+('Dvd Calendar'!$E$1698:$AR$1698=SPECIAL_LBL)*(INC_SPECIALS="Y"))))</f>
        <v/>
      </c>
      <c r="G164" s="68">
        <f>IF($C164="","",SUMPRODUCT(('Dvd Calendar'!$E$1693:$AR$1693&gt;=DATE(YEAR_Y-4,1,1))*('Dvd Calendar'!$E$1693:$AR$1693&lt;=DATE(YEAR_Y-4,12,31))*'Dvd Calendar'!$E$1696:$AR$1696*(('Dvd Calendar'!$E$1698:$AR$1698=TYPE1)*(TYPE1&lt;&gt;"")+('Dvd Calendar'!$E$1698:$AR$1698=TYPE2)*(TYPE2&lt;&gt;"")+('Dvd Calendar'!$E$1698:$AR$1698=TYPE3)*(TYPE3&lt;&gt;"")+('Dvd Calendar'!$E$1698:$AR$1698=TYPE4)*(TYPE4&lt;&gt;"")+('Dvd Calendar'!$E$1698:$AR$1698=SPECIAL_LBL)*(INC_SPECIALS="Y"))))</f>
        <v/>
      </c>
      <c r="H164" s="68">
        <f>IF($C164="","",SUMPRODUCT(('Dvd Calendar'!$E$1693:$AR$1693&gt;=DATE(YEAR_Y-3,1,1))*('Dvd Calendar'!$E$1693:$AR$1693&lt;=DATE(YEAR_Y-3,12,31))*'Dvd Calendar'!$E$1696:$AR$1696*(('Dvd Calendar'!$E$1698:$AR$1698=TYPE1)*(TYPE1&lt;&gt;"")+('Dvd Calendar'!$E$1698:$AR$1698=TYPE2)*(TYPE2&lt;&gt;"")+('Dvd Calendar'!$E$1698:$AR$1698=TYPE3)*(TYPE3&lt;&gt;"")+('Dvd Calendar'!$E$1698:$AR$1698=TYPE4)*(TYPE4&lt;&gt;"")+('Dvd Calendar'!$E$1698:$AR$1698=SPECIAL_LBL)*(INC_SPECIALS="Y"))))</f>
        <v/>
      </c>
      <c r="I164" s="68">
        <f>IF($C164="","",SUMPRODUCT(('Dvd Calendar'!$E$1693:$AR$1693&gt;=DATE(YEAR_Y-2,1,1))*('Dvd Calendar'!$E$1693:$AR$1693&lt;=DATE(YEAR_Y-2,12,31))*'Dvd Calendar'!$E$1696:$AR$1696*(('Dvd Calendar'!$E$1698:$AR$1698=TYPE1)*(TYPE1&lt;&gt;"")+('Dvd Calendar'!$E$1698:$AR$1698=TYPE2)*(TYPE2&lt;&gt;"")+('Dvd Calendar'!$E$1698:$AR$1698=TYPE3)*(TYPE3&lt;&gt;"")+('Dvd Calendar'!$E$1698:$AR$1698=TYPE4)*(TYPE4&lt;&gt;"")+('Dvd Calendar'!$E$1698:$AR$1698=SPECIAL_LBL)*(INC_SPECIALS="Y"))))</f>
        <v/>
      </c>
      <c r="J164" s="68">
        <f>IF($C164="","",SUMPRODUCT(('Dvd Calendar'!$E$1693:$AR$1693&gt;=DATE(YEAR_Y-1,1,1))*('Dvd Calendar'!$E$1693:$AR$1693&lt;=DATE(YEAR_Y-1,12,31))*'Dvd Calendar'!$E$1696:$AR$1696*(('Dvd Calendar'!$E$1698:$AR$1698=TYPE1)*(TYPE1&lt;&gt;"")+('Dvd Calendar'!$E$1698:$AR$1698=TYPE2)*(TYPE2&lt;&gt;"")+('Dvd Calendar'!$E$1698:$AR$1698=TYPE3)*(TYPE3&lt;&gt;"")+('Dvd Calendar'!$E$1698:$AR$1698=TYPE4)*(TYPE4&lt;&gt;"")+('Dvd Calendar'!$E$1698:$AR$1698=SPECIAL_LBL)*(INC_SPECIALS="Y"))))</f>
        <v/>
      </c>
      <c r="K164" s="69">
        <f>IF($C164="","",HSCEI!$J$19)</f>
        <v/>
      </c>
      <c r="L164" s="69">
        <f>IF($C164="","",HSCEI!$K$19)</f>
        <v/>
      </c>
      <c r="M164" s="44">
        <f>IF($C164="","",HSCEI!$J$19+HSCEI!$L$19)</f>
        <v/>
      </c>
      <c r="N164" s="70">
        <f>IF($C164="","",IF(PULL_FUND="N","",IFERROR(BDP($C164,BESTDPS_FIELD,FWD_OVERRIDE,TEXT(MOD(YEAR_Y,100),"00")&amp;"Y"),"")))</f>
        <v/>
      </c>
      <c r="O164" s="69">
        <f>IF($C164="","",AVERAGE(F164:J164))</f>
        <v/>
      </c>
      <c r="P164" s="71">
        <f>IF($C164="","",IF(PULL_FUND="N","",IF(COUNTIFS('Fund History'!$J$928:$J$932,"&gt;="&amp;DATE(YEAR_Y-5,1,1),'Fund History'!$J$928:$J$932,"&lt;="&amp;DATE(YEAR_Y-5,12,31))=0,"",IFERROR($F164*HSCEI!$G$19/SUMIFS('Fund History'!$K$928:$K$932,'Fund History'!$J$928:$J$932,"&gt;="&amp;DATE(YEAR_Y-5,1,1),'Fund History'!$J$928:$J$932,"&lt;="&amp;DATE(YEAR_Y-5,12,31)),""))))</f>
        <v/>
      </c>
      <c r="Q164" s="72">
        <f>IF($C164="","",IF(PULL_FUND="N","",IF(COUNTIFS('Fund History'!$J$928:$J$932,"&gt;="&amp;DATE(YEAR_Y-4,1,1),'Fund History'!$J$928:$J$932,"&lt;="&amp;DATE(YEAR_Y-4,12,31))=0,"",IFERROR($G164*HSCEI!$G$19/SUMIFS('Fund History'!$K$928:$K$932,'Fund History'!$J$928:$J$932,"&gt;="&amp;DATE(YEAR_Y-4,1,1),'Fund History'!$J$928:$J$932,"&lt;="&amp;DATE(YEAR_Y-4,12,31)),""))))</f>
        <v/>
      </c>
      <c r="R164" s="72">
        <f>IF($C164="","",IF(PULL_FUND="N","",IF(COUNTIFS('Fund History'!$J$928:$J$932,"&gt;="&amp;DATE(YEAR_Y-3,1,1),'Fund History'!$J$928:$J$932,"&lt;="&amp;DATE(YEAR_Y-3,12,31))=0,"",IFERROR($H164*HSCEI!$G$19/SUMIFS('Fund History'!$K$928:$K$932,'Fund History'!$J$928:$J$932,"&gt;="&amp;DATE(YEAR_Y-3,1,1),'Fund History'!$J$928:$J$932,"&lt;="&amp;DATE(YEAR_Y-3,12,31)),""))))</f>
        <v/>
      </c>
      <c r="S164" s="72">
        <f>IF($C164="","",IF(PULL_FUND="N","",IF(COUNTIFS('Fund History'!$J$928:$J$932,"&gt;="&amp;DATE(YEAR_Y-2,1,1),'Fund History'!$J$928:$J$932,"&lt;="&amp;DATE(YEAR_Y-2,12,31))=0,"",IFERROR($I164*HSCEI!$G$19/SUMIFS('Fund History'!$K$928:$K$932,'Fund History'!$J$928:$J$932,"&gt;="&amp;DATE(YEAR_Y-2,1,1),'Fund History'!$J$928:$J$932,"&lt;="&amp;DATE(YEAR_Y-2,12,31)),""))))</f>
        <v/>
      </c>
      <c r="T164" s="72">
        <f>IF($C164="","",IF(PULL_FUND="N","",IF(COUNTIFS('Fund History'!$J$928:$J$932,"&gt;="&amp;DATE(YEAR_Y-1,1,1),'Fund History'!$J$928:$J$932,"&lt;="&amp;DATE(YEAR_Y-1,12,31))=0,"",IFERROR($J164*HSCEI!$G$19/SUMIFS('Fund History'!$K$928:$K$932,'Fund History'!$J$928:$J$932,"&gt;="&amp;DATE(YEAR_Y-1,1,1),'Fund History'!$J$928:$J$932,"&lt;="&amp;DATE(YEAR_Y-1,12,31)),""))))</f>
        <v/>
      </c>
      <c r="U164" s="73">
        <f>IF($C164="","",IF(ISNUMBER(HSCEI!$I$19),HSCEI!$I$19/100,""))</f>
        <v/>
      </c>
      <c r="V164" s="74">
        <f>IF($C164="","",IF(ISNUMBER(HSCEI!$X$19),IFERROR($M164*HSCEI!$G$19/HSCEI!$X$19,""),""))</f>
        <v/>
      </c>
      <c r="W164" s="73">
        <f>IF($C164="","",IF(ISNUMBER($N164),IFERROR($N164*HSCEI!$G$19/HSCEI!$X$19,""),""))</f>
        <v/>
      </c>
      <c r="X164" s="75">
        <f>IF($C164="","",IF(PULL_FUND="N","",IFERROR(BDP($C164,EPS_FIELD,YR_OVERRIDE,TEXT(YEAR_Y-5,"0")),"")))</f>
        <v/>
      </c>
      <c r="Y164" s="76">
        <f>IF($C164="","",IF(PULL_FUND="N","",IFERROR(BDP($C164,EPS_FIELD,YR_OVERRIDE,TEXT(YEAR_Y-4,"0")),"")))</f>
        <v/>
      </c>
      <c r="Z164" s="76">
        <f>IF($C164="","",IF(PULL_FUND="N","",IFERROR(BDP($C164,EPS_FIELD,YR_OVERRIDE,TEXT(YEAR_Y-3,"0")),"")))</f>
        <v/>
      </c>
      <c r="AA164" s="76">
        <f>IF($C164="","",IF(PULL_FUND="N","",IFERROR(BDP($C164,EPS_FIELD,YR_OVERRIDE,TEXT(YEAR_Y-2,"0")),"")))</f>
        <v/>
      </c>
      <c r="AB164" s="76">
        <f>IF($C164="","",IF(PULL_FUND="N","",IFERROR(BDP($C164,EPS_FIELD,YR_OVERRIDE,TEXT(YEAR_Y-1,"0")),"")))</f>
        <v/>
      </c>
      <c r="AC164" s="50">
        <f>IF($C164="","",IFERROR(AVERAGE(X164:AB164),""))</f>
        <v/>
      </c>
      <c r="AD164" s="76">
        <f>IF($C164="","",IF(PULL_FUND="N","",IFERROR(BDP($C164,BESTEPS_FIELD,FWD_OVERRIDE,TEXT(MOD(YEAR_Y,100),"00")&amp;"Y"),"")))</f>
        <v/>
      </c>
      <c r="AE164" s="77">
        <f>IF($C164="","",IF(PULL_FUND="N","",IFERROR(BDP($C164,PAYOUT_FIELD,YR_OVERRIDE,TEXT(YEAR_Y-5,"0"))/100,"")))</f>
        <v/>
      </c>
      <c r="AF164" s="78">
        <f>IF($C164="","",IF(PULL_FUND="N","",IFERROR(BDP($C164,PAYOUT_FIELD,YR_OVERRIDE,TEXT(YEAR_Y-4,"0"))/100,"")))</f>
        <v/>
      </c>
      <c r="AG164" s="78">
        <f>IF($C164="","",IF(PULL_FUND="N","",IFERROR(BDP($C164,PAYOUT_FIELD,YR_OVERRIDE,TEXT(YEAR_Y-3,"0"))/100,"")))</f>
        <v/>
      </c>
      <c r="AH164" s="78">
        <f>IF($C164="","",IF(PULL_FUND="N","",IFERROR(BDP($C164,PAYOUT_FIELD,YR_OVERRIDE,TEXT(YEAR_Y-2,"0"))/100,"")))</f>
        <v/>
      </c>
      <c r="AI164" s="78">
        <f>IF($C164="","",IF(PULL_FUND="N","",IFERROR(BDP($C164,PAYOUT_FIELD,YR_OVERRIDE,TEXT(YEAR_Y-1,"0"))/100,"")))</f>
        <v/>
      </c>
      <c r="AJ164" s="79">
        <f>IF($C164="","",IFERROR(AVERAGE(AE164:AI164),""))</f>
        <v/>
      </c>
      <c r="AK164" s="80">
        <f>IF($C164="","",IF(ISNUMBER($AD164)*ISNUMBER($N164)*($AD164&lt;&gt;0)=0,"",$N164/$AD164))</f>
        <v/>
      </c>
      <c r="AL164" s="79">
        <f>IF($C164="","",IF(ISNUMBER($AD164)*($AD164&lt;&gt;0)=0,"",$M164/$AD164))</f>
        <v/>
      </c>
      <c r="AM164" s="37">
        <f>IF($C164="","",IF(ISNUMBER($AE164)*ISNUMBER($AI164)=0,"",IF($AI164&gt;$AE164+0.05,"rising",IF($AI164&lt;$AE164-0.05,"falling","stable"))))</f>
        <v/>
      </c>
      <c r="AN164" s="81">
        <f>IF($C164="","",IF(PULL_FUND="N","",IF(COUNTIFS('Fund History'!$G$928:$G$932,"&gt;="&amp;DATE(YEAR_Y-4,1,1),'Fund History'!$G$928:$G$932,"&lt;="&amp;DATE(YEAR_Y-4,12,31))=0,"",SUMIFS('Fund History'!$H$928:$H$932,'Fund History'!$G$928:$G$932,"&gt;="&amp;DATE(YEAR_Y-4,1,1),'Fund History'!$G$928:$G$932,"&lt;="&amp;DATE(YEAR_Y-4,12,31))/100)))</f>
        <v/>
      </c>
      <c r="AO164" s="82">
        <f>IF($C164="","",IF(PULL_FUND="N","",IF(COUNTIFS('Fund History'!$G$928:$G$932,"&gt;="&amp;DATE(YEAR_Y-3,1,1),'Fund History'!$G$928:$G$932,"&lt;="&amp;DATE(YEAR_Y-3,12,31))=0,"",SUMIFS('Fund History'!$H$928:$H$932,'Fund History'!$G$928:$G$932,"&gt;="&amp;DATE(YEAR_Y-3,1,1),'Fund History'!$G$928:$G$932,"&lt;="&amp;DATE(YEAR_Y-3,12,31))/100)))</f>
        <v/>
      </c>
      <c r="AP164" s="82">
        <f>IF($C164="","",IF(PULL_FUND="N","",IF(COUNTIFS('Fund History'!$G$928:$G$932,"&gt;="&amp;DATE(YEAR_Y-2,1,1),'Fund History'!$G$928:$G$932,"&lt;="&amp;DATE(YEAR_Y-2,12,31))=0,"",SUMIFS('Fund History'!$H$928:$H$932,'Fund History'!$G$928:$G$932,"&gt;="&amp;DATE(YEAR_Y-2,1,1),'Fund History'!$G$928:$G$932,"&lt;="&amp;DATE(YEAR_Y-2,12,31))/100)))</f>
        <v/>
      </c>
      <c r="AQ164" s="82">
        <f>IF($C164="","",IF(PULL_FUND="N","",IF(COUNTIFS('Fund History'!$G$928:$G$932,"&gt;="&amp;DATE(YEAR_Y-1,1,1),'Fund History'!$G$928:$G$932,"&lt;="&amp;DATE(YEAR_Y-1,12,31))=0,"",SUMIFS('Fund History'!$H$928:$H$932,'Fund History'!$G$928:$G$932,"&gt;="&amp;DATE(YEAR_Y-1,1,1),'Fund History'!$G$928:$G$932,"&lt;="&amp;DATE(YEAR_Y-1,12,31))/100)))</f>
        <v/>
      </c>
      <c r="AR164" s="83">
        <f>IF($C164="","",IF(N($AQ164)+N(HSCEI!$I$19)=0,"",N($AQ164)+N(HSCEI!$I$19)/100))</f>
        <v/>
      </c>
      <c r="AS164" s="75">
        <f>IF($C164="","",IF(PULL_FUND="N","",IF(COUNTIFS('Fund History'!$D$928:$D$932,"&gt;="&amp;DATE(YEAR_Y-2,1,1),'Fund History'!$D$928:$D$932,"&lt;="&amp;DATE(YEAR_Y-2,12,31))=0,"",SUMIFS('Fund History'!$E$928:$E$932,'Fund History'!$D$928:$D$932,"&gt;="&amp;DATE(YEAR_Y-2,1,1),'Fund History'!$D$928:$D$932,"&lt;="&amp;DATE(YEAR_Y-2,12,31)))))</f>
        <v/>
      </c>
      <c r="AT164" s="76">
        <f>IF($C164="","",IF(PULL_FUND="N","",IF(COUNTIFS('Fund History'!$D$928:$D$932,"&gt;="&amp;DATE(YEAR_Y-1,1,1),'Fund History'!$D$928:$D$932,"&lt;="&amp;DATE(YEAR_Y-1,12,31))=0,"",SUMIFS('Fund History'!$E$928:$E$932,'Fund History'!$D$928:$D$932,"&gt;="&amp;DATE(YEAR_Y-1,1,1),'Fund History'!$D$928:$D$932,"&lt;="&amp;DATE(YEAR_Y-1,12,31)))))</f>
        <v/>
      </c>
      <c r="AU164" s="76">
        <f>IF($C164="","",IF(PULL_FUND="N","",IFERROR(BDP($C164,NDEBITDA_FIELD),"")))</f>
        <v/>
      </c>
      <c r="AV164" s="84">
        <f>IF($C164="","",IF(PULL_FUND="N","",IFERROR(BDP($C164,EBINT_FIELD),"")))</f>
        <v/>
      </c>
      <c r="AW164" s="82">
        <f>IF($C164="","",IF(PULL_FUND="N","",IFERROR(BDP($C164,FCF_FIELD)/100,"")))</f>
        <v/>
      </c>
      <c r="AX164" s="50">
        <f>IF($C164="","",IF(N($U164)=0,"",IFERROR($AW164/$U164,"")))</f>
        <v/>
      </c>
      <c r="AY164" s="85">
        <f>IF($C164="","",TRIM(IF(ISNUMBER($AJ164)*(N($AJ164)&gt;$D$4)&gt;0,"payout high  ","")&amp;IF(ISNUMBER($AX164)*(N($AX164)&lt;$F$4)&gt;0,"FCF below dvd  ","")&amp;IF(ISNUMBER($AU164)*(N($AU164)&gt;$H$4)&gt;0,"leverage high","")))</f>
        <v/>
      </c>
      <c r="AZ164" s="86">
        <f>IF($C164="","",IF(HSCEI!$F$19="HKD","",HSCEI!$F$19))</f>
        <v/>
      </c>
    </row>
    <row r="165">
      <c r="B165" s="66" t="inlineStr">
        <is>
          <t>HSCEI</t>
        </is>
      </c>
      <c r="C165" s="8">
        <f>IF(HSCEI!$C$20="","",HSCEI!$C$20)</f>
        <v/>
      </c>
      <c r="D165" s="8">
        <f>IF($C165="","",HSCEI!$D$20)</f>
        <v/>
      </c>
      <c r="E165" s="8">
        <f>IF($C165="","",HSCEI!$E$20)</f>
        <v/>
      </c>
      <c r="F165" s="67">
        <f>IF($C165="","",SUMPRODUCT(('Dvd Calendar'!$E$1704:$AR$1704&gt;=DATE(YEAR_Y-5,1,1))*('Dvd Calendar'!$E$1704:$AR$1704&lt;=DATE(YEAR_Y-5,12,31))*'Dvd Calendar'!$E$1707:$AR$1707*(('Dvd Calendar'!$E$1709:$AR$1709=TYPE1)*(TYPE1&lt;&gt;"")+('Dvd Calendar'!$E$1709:$AR$1709=TYPE2)*(TYPE2&lt;&gt;"")+('Dvd Calendar'!$E$1709:$AR$1709=TYPE3)*(TYPE3&lt;&gt;"")+('Dvd Calendar'!$E$1709:$AR$1709=TYPE4)*(TYPE4&lt;&gt;"")+('Dvd Calendar'!$E$1709:$AR$1709=SPECIAL_LBL)*(INC_SPECIALS="Y"))))</f>
        <v/>
      </c>
      <c r="G165" s="68">
        <f>IF($C165="","",SUMPRODUCT(('Dvd Calendar'!$E$1704:$AR$1704&gt;=DATE(YEAR_Y-4,1,1))*('Dvd Calendar'!$E$1704:$AR$1704&lt;=DATE(YEAR_Y-4,12,31))*'Dvd Calendar'!$E$1707:$AR$1707*(('Dvd Calendar'!$E$1709:$AR$1709=TYPE1)*(TYPE1&lt;&gt;"")+('Dvd Calendar'!$E$1709:$AR$1709=TYPE2)*(TYPE2&lt;&gt;"")+('Dvd Calendar'!$E$1709:$AR$1709=TYPE3)*(TYPE3&lt;&gt;"")+('Dvd Calendar'!$E$1709:$AR$1709=TYPE4)*(TYPE4&lt;&gt;"")+('Dvd Calendar'!$E$1709:$AR$1709=SPECIAL_LBL)*(INC_SPECIALS="Y"))))</f>
        <v/>
      </c>
      <c r="H165" s="68">
        <f>IF($C165="","",SUMPRODUCT(('Dvd Calendar'!$E$1704:$AR$1704&gt;=DATE(YEAR_Y-3,1,1))*('Dvd Calendar'!$E$1704:$AR$1704&lt;=DATE(YEAR_Y-3,12,31))*'Dvd Calendar'!$E$1707:$AR$1707*(('Dvd Calendar'!$E$1709:$AR$1709=TYPE1)*(TYPE1&lt;&gt;"")+('Dvd Calendar'!$E$1709:$AR$1709=TYPE2)*(TYPE2&lt;&gt;"")+('Dvd Calendar'!$E$1709:$AR$1709=TYPE3)*(TYPE3&lt;&gt;"")+('Dvd Calendar'!$E$1709:$AR$1709=TYPE4)*(TYPE4&lt;&gt;"")+('Dvd Calendar'!$E$1709:$AR$1709=SPECIAL_LBL)*(INC_SPECIALS="Y"))))</f>
        <v/>
      </c>
      <c r="I165" s="68">
        <f>IF($C165="","",SUMPRODUCT(('Dvd Calendar'!$E$1704:$AR$1704&gt;=DATE(YEAR_Y-2,1,1))*('Dvd Calendar'!$E$1704:$AR$1704&lt;=DATE(YEAR_Y-2,12,31))*'Dvd Calendar'!$E$1707:$AR$1707*(('Dvd Calendar'!$E$1709:$AR$1709=TYPE1)*(TYPE1&lt;&gt;"")+('Dvd Calendar'!$E$1709:$AR$1709=TYPE2)*(TYPE2&lt;&gt;"")+('Dvd Calendar'!$E$1709:$AR$1709=TYPE3)*(TYPE3&lt;&gt;"")+('Dvd Calendar'!$E$1709:$AR$1709=TYPE4)*(TYPE4&lt;&gt;"")+('Dvd Calendar'!$E$1709:$AR$1709=SPECIAL_LBL)*(INC_SPECIALS="Y"))))</f>
        <v/>
      </c>
      <c r="J165" s="68">
        <f>IF($C165="","",SUMPRODUCT(('Dvd Calendar'!$E$1704:$AR$1704&gt;=DATE(YEAR_Y-1,1,1))*('Dvd Calendar'!$E$1704:$AR$1704&lt;=DATE(YEAR_Y-1,12,31))*'Dvd Calendar'!$E$1707:$AR$1707*(('Dvd Calendar'!$E$1709:$AR$1709=TYPE1)*(TYPE1&lt;&gt;"")+('Dvd Calendar'!$E$1709:$AR$1709=TYPE2)*(TYPE2&lt;&gt;"")+('Dvd Calendar'!$E$1709:$AR$1709=TYPE3)*(TYPE3&lt;&gt;"")+('Dvd Calendar'!$E$1709:$AR$1709=TYPE4)*(TYPE4&lt;&gt;"")+('Dvd Calendar'!$E$1709:$AR$1709=SPECIAL_LBL)*(INC_SPECIALS="Y"))))</f>
        <v/>
      </c>
      <c r="K165" s="69">
        <f>IF($C165="","",HSCEI!$J$20)</f>
        <v/>
      </c>
      <c r="L165" s="69">
        <f>IF($C165="","",HSCEI!$K$20)</f>
        <v/>
      </c>
      <c r="M165" s="44">
        <f>IF($C165="","",HSCEI!$J$20+HSCEI!$L$20)</f>
        <v/>
      </c>
      <c r="N165" s="70">
        <f>IF($C165="","",IF(PULL_FUND="N","",IFERROR(BDP($C165,BESTDPS_FIELD,FWD_OVERRIDE,TEXT(MOD(YEAR_Y,100),"00")&amp;"Y"),"")))</f>
        <v/>
      </c>
      <c r="O165" s="69">
        <f>IF($C165="","",AVERAGE(F165:J165))</f>
        <v/>
      </c>
      <c r="P165" s="71">
        <f>IF($C165="","",IF(PULL_FUND="N","",IF(COUNTIFS('Fund History'!$J$934:$J$938,"&gt;="&amp;DATE(YEAR_Y-5,1,1),'Fund History'!$J$934:$J$938,"&lt;="&amp;DATE(YEAR_Y-5,12,31))=0,"",IFERROR($F165*HSCEI!$G$20/SUMIFS('Fund History'!$K$934:$K$938,'Fund History'!$J$934:$J$938,"&gt;="&amp;DATE(YEAR_Y-5,1,1),'Fund History'!$J$934:$J$938,"&lt;="&amp;DATE(YEAR_Y-5,12,31)),""))))</f>
        <v/>
      </c>
      <c r="Q165" s="72">
        <f>IF($C165="","",IF(PULL_FUND="N","",IF(COUNTIFS('Fund History'!$J$934:$J$938,"&gt;="&amp;DATE(YEAR_Y-4,1,1),'Fund History'!$J$934:$J$938,"&lt;="&amp;DATE(YEAR_Y-4,12,31))=0,"",IFERROR($G165*HSCEI!$G$20/SUMIFS('Fund History'!$K$934:$K$938,'Fund History'!$J$934:$J$938,"&gt;="&amp;DATE(YEAR_Y-4,1,1),'Fund History'!$J$934:$J$938,"&lt;="&amp;DATE(YEAR_Y-4,12,31)),""))))</f>
        <v/>
      </c>
      <c r="R165" s="72">
        <f>IF($C165="","",IF(PULL_FUND="N","",IF(COUNTIFS('Fund History'!$J$934:$J$938,"&gt;="&amp;DATE(YEAR_Y-3,1,1),'Fund History'!$J$934:$J$938,"&lt;="&amp;DATE(YEAR_Y-3,12,31))=0,"",IFERROR($H165*HSCEI!$G$20/SUMIFS('Fund History'!$K$934:$K$938,'Fund History'!$J$934:$J$938,"&gt;="&amp;DATE(YEAR_Y-3,1,1),'Fund History'!$J$934:$J$938,"&lt;="&amp;DATE(YEAR_Y-3,12,31)),""))))</f>
        <v/>
      </c>
      <c r="S165" s="72">
        <f>IF($C165="","",IF(PULL_FUND="N","",IF(COUNTIFS('Fund History'!$J$934:$J$938,"&gt;="&amp;DATE(YEAR_Y-2,1,1),'Fund History'!$J$934:$J$938,"&lt;="&amp;DATE(YEAR_Y-2,12,31))=0,"",IFERROR($I165*HSCEI!$G$20/SUMIFS('Fund History'!$K$934:$K$938,'Fund History'!$J$934:$J$938,"&gt;="&amp;DATE(YEAR_Y-2,1,1),'Fund History'!$J$934:$J$938,"&lt;="&amp;DATE(YEAR_Y-2,12,31)),""))))</f>
        <v/>
      </c>
      <c r="T165" s="72">
        <f>IF($C165="","",IF(PULL_FUND="N","",IF(COUNTIFS('Fund History'!$J$934:$J$938,"&gt;="&amp;DATE(YEAR_Y-1,1,1),'Fund History'!$J$934:$J$938,"&lt;="&amp;DATE(YEAR_Y-1,12,31))=0,"",IFERROR($J165*HSCEI!$G$20/SUMIFS('Fund History'!$K$934:$K$938,'Fund History'!$J$934:$J$938,"&gt;="&amp;DATE(YEAR_Y-1,1,1),'Fund History'!$J$934:$J$938,"&lt;="&amp;DATE(YEAR_Y-1,12,31)),""))))</f>
        <v/>
      </c>
      <c r="U165" s="73">
        <f>IF($C165="","",IF(ISNUMBER(HSCEI!$I$20),HSCEI!$I$20/100,""))</f>
        <v/>
      </c>
      <c r="V165" s="74">
        <f>IF($C165="","",IF(ISNUMBER(HSCEI!$X$20),IFERROR($M165*HSCEI!$G$20/HSCEI!$X$20,""),""))</f>
        <v/>
      </c>
      <c r="W165" s="73">
        <f>IF($C165="","",IF(ISNUMBER($N165),IFERROR($N165*HSCEI!$G$20/HSCEI!$X$20,""),""))</f>
        <v/>
      </c>
      <c r="X165" s="75">
        <f>IF($C165="","",IF(PULL_FUND="N","",IFERROR(BDP($C165,EPS_FIELD,YR_OVERRIDE,TEXT(YEAR_Y-5,"0")),"")))</f>
        <v/>
      </c>
      <c r="Y165" s="76">
        <f>IF($C165="","",IF(PULL_FUND="N","",IFERROR(BDP($C165,EPS_FIELD,YR_OVERRIDE,TEXT(YEAR_Y-4,"0")),"")))</f>
        <v/>
      </c>
      <c r="Z165" s="76">
        <f>IF($C165="","",IF(PULL_FUND="N","",IFERROR(BDP($C165,EPS_FIELD,YR_OVERRIDE,TEXT(YEAR_Y-3,"0")),"")))</f>
        <v/>
      </c>
      <c r="AA165" s="76">
        <f>IF($C165="","",IF(PULL_FUND="N","",IFERROR(BDP($C165,EPS_FIELD,YR_OVERRIDE,TEXT(YEAR_Y-2,"0")),"")))</f>
        <v/>
      </c>
      <c r="AB165" s="76">
        <f>IF($C165="","",IF(PULL_FUND="N","",IFERROR(BDP($C165,EPS_FIELD,YR_OVERRIDE,TEXT(YEAR_Y-1,"0")),"")))</f>
        <v/>
      </c>
      <c r="AC165" s="50">
        <f>IF($C165="","",IFERROR(AVERAGE(X165:AB165),""))</f>
        <v/>
      </c>
      <c r="AD165" s="76">
        <f>IF($C165="","",IF(PULL_FUND="N","",IFERROR(BDP($C165,BESTEPS_FIELD,FWD_OVERRIDE,TEXT(MOD(YEAR_Y,100),"00")&amp;"Y"),"")))</f>
        <v/>
      </c>
      <c r="AE165" s="77">
        <f>IF($C165="","",IF(PULL_FUND="N","",IFERROR(BDP($C165,PAYOUT_FIELD,YR_OVERRIDE,TEXT(YEAR_Y-5,"0"))/100,"")))</f>
        <v/>
      </c>
      <c r="AF165" s="78">
        <f>IF($C165="","",IF(PULL_FUND="N","",IFERROR(BDP($C165,PAYOUT_FIELD,YR_OVERRIDE,TEXT(YEAR_Y-4,"0"))/100,"")))</f>
        <v/>
      </c>
      <c r="AG165" s="78">
        <f>IF($C165="","",IF(PULL_FUND="N","",IFERROR(BDP($C165,PAYOUT_FIELD,YR_OVERRIDE,TEXT(YEAR_Y-3,"0"))/100,"")))</f>
        <v/>
      </c>
      <c r="AH165" s="78">
        <f>IF($C165="","",IF(PULL_FUND="N","",IFERROR(BDP($C165,PAYOUT_FIELD,YR_OVERRIDE,TEXT(YEAR_Y-2,"0"))/100,"")))</f>
        <v/>
      </c>
      <c r="AI165" s="78">
        <f>IF($C165="","",IF(PULL_FUND="N","",IFERROR(BDP($C165,PAYOUT_FIELD,YR_OVERRIDE,TEXT(YEAR_Y-1,"0"))/100,"")))</f>
        <v/>
      </c>
      <c r="AJ165" s="79">
        <f>IF($C165="","",IFERROR(AVERAGE(AE165:AI165),""))</f>
        <v/>
      </c>
      <c r="AK165" s="80">
        <f>IF($C165="","",IF(ISNUMBER($AD165)*ISNUMBER($N165)*($AD165&lt;&gt;0)=0,"",$N165/$AD165))</f>
        <v/>
      </c>
      <c r="AL165" s="79">
        <f>IF($C165="","",IF(ISNUMBER($AD165)*($AD165&lt;&gt;0)=0,"",$M165/$AD165))</f>
        <v/>
      </c>
      <c r="AM165" s="37">
        <f>IF($C165="","",IF(ISNUMBER($AE165)*ISNUMBER($AI165)=0,"",IF($AI165&gt;$AE165+0.05,"rising",IF($AI165&lt;$AE165-0.05,"falling","stable"))))</f>
        <v/>
      </c>
      <c r="AN165" s="81">
        <f>IF($C165="","",IF(PULL_FUND="N","",IF(COUNTIFS('Fund History'!$G$934:$G$938,"&gt;="&amp;DATE(YEAR_Y-4,1,1),'Fund History'!$G$934:$G$938,"&lt;="&amp;DATE(YEAR_Y-4,12,31))=0,"",SUMIFS('Fund History'!$H$934:$H$938,'Fund History'!$G$934:$G$938,"&gt;="&amp;DATE(YEAR_Y-4,1,1),'Fund History'!$G$934:$G$938,"&lt;="&amp;DATE(YEAR_Y-4,12,31))/100)))</f>
        <v/>
      </c>
      <c r="AO165" s="82">
        <f>IF($C165="","",IF(PULL_FUND="N","",IF(COUNTIFS('Fund History'!$G$934:$G$938,"&gt;="&amp;DATE(YEAR_Y-3,1,1),'Fund History'!$G$934:$G$938,"&lt;="&amp;DATE(YEAR_Y-3,12,31))=0,"",SUMIFS('Fund History'!$H$934:$H$938,'Fund History'!$G$934:$G$938,"&gt;="&amp;DATE(YEAR_Y-3,1,1),'Fund History'!$G$934:$G$938,"&lt;="&amp;DATE(YEAR_Y-3,12,31))/100)))</f>
        <v/>
      </c>
      <c r="AP165" s="82">
        <f>IF($C165="","",IF(PULL_FUND="N","",IF(COUNTIFS('Fund History'!$G$934:$G$938,"&gt;="&amp;DATE(YEAR_Y-2,1,1),'Fund History'!$G$934:$G$938,"&lt;="&amp;DATE(YEAR_Y-2,12,31))=0,"",SUMIFS('Fund History'!$H$934:$H$938,'Fund History'!$G$934:$G$938,"&gt;="&amp;DATE(YEAR_Y-2,1,1),'Fund History'!$G$934:$G$938,"&lt;="&amp;DATE(YEAR_Y-2,12,31))/100)))</f>
        <v/>
      </c>
      <c r="AQ165" s="82">
        <f>IF($C165="","",IF(PULL_FUND="N","",IF(COUNTIFS('Fund History'!$G$934:$G$938,"&gt;="&amp;DATE(YEAR_Y-1,1,1),'Fund History'!$G$934:$G$938,"&lt;="&amp;DATE(YEAR_Y-1,12,31))=0,"",SUMIFS('Fund History'!$H$934:$H$938,'Fund History'!$G$934:$G$938,"&gt;="&amp;DATE(YEAR_Y-1,1,1),'Fund History'!$G$934:$G$938,"&lt;="&amp;DATE(YEAR_Y-1,12,31))/100)))</f>
        <v/>
      </c>
      <c r="AR165" s="83">
        <f>IF($C165="","",IF(N($AQ165)+N(HSCEI!$I$20)=0,"",N($AQ165)+N(HSCEI!$I$20)/100))</f>
        <v/>
      </c>
      <c r="AS165" s="75">
        <f>IF($C165="","",IF(PULL_FUND="N","",IF(COUNTIFS('Fund History'!$D$934:$D$938,"&gt;="&amp;DATE(YEAR_Y-2,1,1),'Fund History'!$D$934:$D$938,"&lt;="&amp;DATE(YEAR_Y-2,12,31))=0,"",SUMIFS('Fund History'!$E$934:$E$938,'Fund History'!$D$934:$D$938,"&gt;="&amp;DATE(YEAR_Y-2,1,1),'Fund History'!$D$934:$D$938,"&lt;="&amp;DATE(YEAR_Y-2,12,31)))))</f>
        <v/>
      </c>
      <c r="AT165" s="76">
        <f>IF($C165="","",IF(PULL_FUND="N","",IF(COUNTIFS('Fund History'!$D$934:$D$938,"&gt;="&amp;DATE(YEAR_Y-1,1,1),'Fund History'!$D$934:$D$938,"&lt;="&amp;DATE(YEAR_Y-1,12,31))=0,"",SUMIFS('Fund History'!$E$934:$E$938,'Fund History'!$D$934:$D$938,"&gt;="&amp;DATE(YEAR_Y-1,1,1),'Fund History'!$D$934:$D$938,"&lt;="&amp;DATE(YEAR_Y-1,12,31)))))</f>
        <v/>
      </c>
      <c r="AU165" s="76">
        <f>IF($C165="","",IF(PULL_FUND="N","",IFERROR(BDP($C165,NDEBITDA_FIELD),"")))</f>
        <v/>
      </c>
      <c r="AV165" s="84">
        <f>IF($C165="","",IF(PULL_FUND="N","",IFERROR(BDP($C165,EBINT_FIELD),"")))</f>
        <v/>
      </c>
      <c r="AW165" s="82">
        <f>IF($C165="","",IF(PULL_FUND="N","",IFERROR(BDP($C165,FCF_FIELD)/100,"")))</f>
        <v/>
      </c>
      <c r="AX165" s="50">
        <f>IF($C165="","",IF(N($U165)=0,"",IFERROR($AW165/$U165,"")))</f>
        <v/>
      </c>
      <c r="AY165" s="85">
        <f>IF($C165="","",TRIM(IF(ISNUMBER($AJ165)*(N($AJ165)&gt;$D$4)&gt;0,"payout high  ","")&amp;IF(ISNUMBER($AX165)*(N($AX165)&lt;$F$4)&gt;0,"FCF below dvd  ","")&amp;IF(ISNUMBER($AU165)*(N($AU165)&gt;$H$4)&gt;0,"leverage high","")))</f>
        <v/>
      </c>
      <c r="AZ165" s="86">
        <f>IF($C165="","",IF(HSCEI!$F$20="HKD","",HSCEI!$F$20))</f>
        <v/>
      </c>
    </row>
    <row r="166">
      <c r="B166" s="66" t="inlineStr">
        <is>
          <t>HSCEI</t>
        </is>
      </c>
      <c r="C166" s="8">
        <f>IF(HSCEI!$C$21="","",HSCEI!$C$21)</f>
        <v/>
      </c>
      <c r="D166" s="8">
        <f>IF($C166="","",HSCEI!$D$21)</f>
        <v/>
      </c>
      <c r="E166" s="8">
        <f>IF($C166="","",HSCEI!$E$21)</f>
        <v/>
      </c>
      <c r="F166" s="67">
        <f>IF($C166="","",SUMPRODUCT(('Dvd Calendar'!$E$1715:$AR$1715&gt;=DATE(YEAR_Y-5,1,1))*('Dvd Calendar'!$E$1715:$AR$1715&lt;=DATE(YEAR_Y-5,12,31))*'Dvd Calendar'!$E$1718:$AR$1718*(('Dvd Calendar'!$E$1720:$AR$1720=TYPE1)*(TYPE1&lt;&gt;"")+('Dvd Calendar'!$E$1720:$AR$1720=TYPE2)*(TYPE2&lt;&gt;"")+('Dvd Calendar'!$E$1720:$AR$1720=TYPE3)*(TYPE3&lt;&gt;"")+('Dvd Calendar'!$E$1720:$AR$1720=TYPE4)*(TYPE4&lt;&gt;"")+('Dvd Calendar'!$E$1720:$AR$1720=SPECIAL_LBL)*(INC_SPECIALS="Y"))))</f>
        <v/>
      </c>
      <c r="G166" s="68">
        <f>IF($C166="","",SUMPRODUCT(('Dvd Calendar'!$E$1715:$AR$1715&gt;=DATE(YEAR_Y-4,1,1))*('Dvd Calendar'!$E$1715:$AR$1715&lt;=DATE(YEAR_Y-4,12,31))*'Dvd Calendar'!$E$1718:$AR$1718*(('Dvd Calendar'!$E$1720:$AR$1720=TYPE1)*(TYPE1&lt;&gt;"")+('Dvd Calendar'!$E$1720:$AR$1720=TYPE2)*(TYPE2&lt;&gt;"")+('Dvd Calendar'!$E$1720:$AR$1720=TYPE3)*(TYPE3&lt;&gt;"")+('Dvd Calendar'!$E$1720:$AR$1720=TYPE4)*(TYPE4&lt;&gt;"")+('Dvd Calendar'!$E$1720:$AR$1720=SPECIAL_LBL)*(INC_SPECIALS="Y"))))</f>
        <v/>
      </c>
      <c r="H166" s="68">
        <f>IF($C166="","",SUMPRODUCT(('Dvd Calendar'!$E$1715:$AR$1715&gt;=DATE(YEAR_Y-3,1,1))*('Dvd Calendar'!$E$1715:$AR$1715&lt;=DATE(YEAR_Y-3,12,31))*'Dvd Calendar'!$E$1718:$AR$1718*(('Dvd Calendar'!$E$1720:$AR$1720=TYPE1)*(TYPE1&lt;&gt;"")+('Dvd Calendar'!$E$1720:$AR$1720=TYPE2)*(TYPE2&lt;&gt;"")+('Dvd Calendar'!$E$1720:$AR$1720=TYPE3)*(TYPE3&lt;&gt;"")+('Dvd Calendar'!$E$1720:$AR$1720=TYPE4)*(TYPE4&lt;&gt;"")+('Dvd Calendar'!$E$1720:$AR$1720=SPECIAL_LBL)*(INC_SPECIALS="Y"))))</f>
        <v/>
      </c>
      <c r="I166" s="68">
        <f>IF($C166="","",SUMPRODUCT(('Dvd Calendar'!$E$1715:$AR$1715&gt;=DATE(YEAR_Y-2,1,1))*('Dvd Calendar'!$E$1715:$AR$1715&lt;=DATE(YEAR_Y-2,12,31))*'Dvd Calendar'!$E$1718:$AR$1718*(('Dvd Calendar'!$E$1720:$AR$1720=TYPE1)*(TYPE1&lt;&gt;"")+('Dvd Calendar'!$E$1720:$AR$1720=TYPE2)*(TYPE2&lt;&gt;"")+('Dvd Calendar'!$E$1720:$AR$1720=TYPE3)*(TYPE3&lt;&gt;"")+('Dvd Calendar'!$E$1720:$AR$1720=TYPE4)*(TYPE4&lt;&gt;"")+('Dvd Calendar'!$E$1720:$AR$1720=SPECIAL_LBL)*(INC_SPECIALS="Y"))))</f>
        <v/>
      </c>
      <c r="J166" s="68">
        <f>IF($C166="","",SUMPRODUCT(('Dvd Calendar'!$E$1715:$AR$1715&gt;=DATE(YEAR_Y-1,1,1))*('Dvd Calendar'!$E$1715:$AR$1715&lt;=DATE(YEAR_Y-1,12,31))*'Dvd Calendar'!$E$1718:$AR$1718*(('Dvd Calendar'!$E$1720:$AR$1720=TYPE1)*(TYPE1&lt;&gt;"")+('Dvd Calendar'!$E$1720:$AR$1720=TYPE2)*(TYPE2&lt;&gt;"")+('Dvd Calendar'!$E$1720:$AR$1720=TYPE3)*(TYPE3&lt;&gt;"")+('Dvd Calendar'!$E$1720:$AR$1720=TYPE4)*(TYPE4&lt;&gt;"")+('Dvd Calendar'!$E$1720:$AR$1720=SPECIAL_LBL)*(INC_SPECIALS="Y"))))</f>
        <v/>
      </c>
      <c r="K166" s="69">
        <f>IF($C166="","",HSCEI!$J$21)</f>
        <v/>
      </c>
      <c r="L166" s="69">
        <f>IF($C166="","",HSCEI!$K$21)</f>
        <v/>
      </c>
      <c r="M166" s="44">
        <f>IF($C166="","",HSCEI!$J$21+HSCEI!$L$21)</f>
        <v/>
      </c>
      <c r="N166" s="70">
        <f>IF($C166="","",IF(PULL_FUND="N","",IFERROR(BDP($C166,BESTDPS_FIELD,FWD_OVERRIDE,TEXT(MOD(YEAR_Y,100),"00")&amp;"Y"),"")))</f>
        <v/>
      </c>
      <c r="O166" s="69">
        <f>IF($C166="","",AVERAGE(F166:J166))</f>
        <v/>
      </c>
      <c r="P166" s="71">
        <f>IF($C166="","",IF(PULL_FUND="N","",IF(COUNTIFS('Fund History'!$J$940:$J$944,"&gt;="&amp;DATE(YEAR_Y-5,1,1),'Fund History'!$J$940:$J$944,"&lt;="&amp;DATE(YEAR_Y-5,12,31))=0,"",IFERROR($F166*HSCEI!$G$21/SUMIFS('Fund History'!$K$940:$K$944,'Fund History'!$J$940:$J$944,"&gt;="&amp;DATE(YEAR_Y-5,1,1),'Fund History'!$J$940:$J$944,"&lt;="&amp;DATE(YEAR_Y-5,12,31)),""))))</f>
        <v/>
      </c>
      <c r="Q166" s="72">
        <f>IF($C166="","",IF(PULL_FUND="N","",IF(COUNTIFS('Fund History'!$J$940:$J$944,"&gt;="&amp;DATE(YEAR_Y-4,1,1),'Fund History'!$J$940:$J$944,"&lt;="&amp;DATE(YEAR_Y-4,12,31))=0,"",IFERROR($G166*HSCEI!$G$21/SUMIFS('Fund History'!$K$940:$K$944,'Fund History'!$J$940:$J$944,"&gt;="&amp;DATE(YEAR_Y-4,1,1),'Fund History'!$J$940:$J$944,"&lt;="&amp;DATE(YEAR_Y-4,12,31)),""))))</f>
        <v/>
      </c>
      <c r="R166" s="72">
        <f>IF($C166="","",IF(PULL_FUND="N","",IF(COUNTIFS('Fund History'!$J$940:$J$944,"&gt;="&amp;DATE(YEAR_Y-3,1,1),'Fund History'!$J$940:$J$944,"&lt;="&amp;DATE(YEAR_Y-3,12,31))=0,"",IFERROR($H166*HSCEI!$G$21/SUMIFS('Fund History'!$K$940:$K$944,'Fund History'!$J$940:$J$944,"&gt;="&amp;DATE(YEAR_Y-3,1,1),'Fund History'!$J$940:$J$944,"&lt;="&amp;DATE(YEAR_Y-3,12,31)),""))))</f>
        <v/>
      </c>
      <c r="S166" s="72">
        <f>IF($C166="","",IF(PULL_FUND="N","",IF(COUNTIFS('Fund History'!$J$940:$J$944,"&gt;="&amp;DATE(YEAR_Y-2,1,1),'Fund History'!$J$940:$J$944,"&lt;="&amp;DATE(YEAR_Y-2,12,31))=0,"",IFERROR($I166*HSCEI!$G$21/SUMIFS('Fund History'!$K$940:$K$944,'Fund History'!$J$940:$J$944,"&gt;="&amp;DATE(YEAR_Y-2,1,1),'Fund History'!$J$940:$J$944,"&lt;="&amp;DATE(YEAR_Y-2,12,31)),""))))</f>
        <v/>
      </c>
      <c r="T166" s="72">
        <f>IF($C166="","",IF(PULL_FUND="N","",IF(COUNTIFS('Fund History'!$J$940:$J$944,"&gt;="&amp;DATE(YEAR_Y-1,1,1),'Fund History'!$J$940:$J$944,"&lt;="&amp;DATE(YEAR_Y-1,12,31))=0,"",IFERROR($J166*HSCEI!$G$21/SUMIFS('Fund History'!$K$940:$K$944,'Fund History'!$J$940:$J$944,"&gt;="&amp;DATE(YEAR_Y-1,1,1),'Fund History'!$J$940:$J$944,"&lt;="&amp;DATE(YEAR_Y-1,12,31)),""))))</f>
        <v/>
      </c>
      <c r="U166" s="73">
        <f>IF($C166="","",IF(ISNUMBER(HSCEI!$I$21),HSCEI!$I$21/100,""))</f>
        <v/>
      </c>
      <c r="V166" s="74">
        <f>IF($C166="","",IF(ISNUMBER(HSCEI!$X$21),IFERROR($M166*HSCEI!$G$21/HSCEI!$X$21,""),""))</f>
        <v/>
      </c>
      <c r="W166" s="73">
        <f>IF($C166="","",IF(ISNUMBER($N166),IFERROR($N166*HSCEI!$G$21/HSCEI!$X$21,""),""))</f>
        <v/>
      </c>
      <c r="X166" s="75">
        <f>IF($C166="","",IF(PULL_FUND="N","",IFERROR(BDP($C166,EPS_FIELD,YR_OVERRIDE,TEXT(YEAR_Y-5,"0")),"")))</f>
        <v/>
      </c>
      <c r="Y166" s="76">
        <f>IF($C166="","",IF(PULL_FUND="N","",IFERROR(BDP($C166,EPS_FIELD,YR_OVERRIDE,TEXT(YEAR_Y-4,"0")),"")))</f>
        <v/>
      </c>
      <c r="Z166" s="76">
        <f>IF($C166="","",IF(PULL_FUND="N","",IFERROR(BDP($C166,EPS_FIELD,YR_OVERRIDE,TEXT(YEAR_Y-3,"0")),"")))</f>
        <v/>
      </c>
      <c r="AA166" s="76">
        <f>IF($C166="","",IF(PULL_FUND="N","",IFERROR(BDP($C166,EPS_FIELD,YR_OVERRIDE,TEXT(YEAR_Y-2,"0")),"")))</f>
        <v/>
      </c>
      <c r="AB166" s="76">
        <f>IF($C166="","",IF(PULL_FUND="N","",IFERROR(BDP($C166,EPS_FIELD,YR_OVERRIDE,TEXT(YEAR_Y-1,"0")),"")))</f>
        <v/>
      </c>
      <c r="AC166" s="50">
        <f>IF($C166="","",IFERROR(AVERAGE(X166:AB166),""))</f>
        <v/>
      </c>
      <c r="AD166" s="76">
        <f>IF($C166="","",IF(PULL_FUND="N","",IFERROR(BDP($C166,BESTEPS_FIELD,FWD_OVERRIDE,TEXT(MOD(YEAR_Y,100),"00")&amp;"Y"),"")))</f>
        <v/>
      </c>
      <c r="AE166" s="77">
        <f>IF($C166="","",IF(PULL_FUND="N","",IFERROR(BDP($C166,PAYOUT_FIELD,YR_OVERRIDE,TEXT(YEAR_Y-5,"0"))/100,"")))</f>
        <v/>
      </c>
      <c r="AF166" s="78">
        <f>IF($C166="","",IF(PULL_FUND="N","",IFERROR(BDP($C166,PAYOUT_FIELD,YR_OVERRIDE,TEXT(YEAR_Y-4,"0"))/100,"")))</f>
        <v/>
      </c>
      <c r="AG166" s="78">
        <f>IF($C166="","",IF(PULL_FUND="N","",IFERROR(BDP($C166,PAYOUT_FIELD,YR_OVERRIDE,TEXT(YEAR_Y-3,"0"))/100,"")))</f>
        <v/>
      </c>
      <c r="AH166" s="78">
        <f>IF($C166="","",IF(PULL_FUND="N","",IFERROR(BDP($C166,PAYOUT_FIELD,YR_OVERRIDE,TEXT(YEAR_Y-2,"0"))/100,"")))</f>
        <v/>
      </c>
      <c r="AI166" s="78">
        <f>IF($C166="","",IF(PULL_FUND="N","",IFERROR(BDP($C166,PAYOUT_FIELD,YR_OVERRIDE,TEXT(YEAR_Y-1,"0"))/100,"")))</f>
        <v/>
      </c>
      <c r="AJ166" s="79">
        <f>IF($C166="","",IFERROR(AVERAGE(AE166:AI166),""))</f>
        <v/>
      </c>
      <c r="AK166" s="80">
        <f>IF($C166="","",IF(ISNUMBER($AD166)*ISNUMBER($N166)*($AD166&lt;&gt;0)=0,"",$N166/$AD166))</f>
        <v/>
      </c>
      <c r="AL166" s="79">
        <f>IF($C166="","",IF(ISNUMBER($AD166)*($AD166&lt;&gt;0)=0,"",$M166/$AD166))</f>
        <v/>
      </c>
      <c r="AM166" s="37">
        <f>IF($C166="","",IF(ISNUMBER($AE166)*ISNUMBER($AI166)=0,"",IF($AI166&gt;$AE166+0.05,"rising",IF($AI166&lt;$AE166-0.05,"falling","stable"))))</f>
        <v/>
      </c>
      <c r="AN166" s="81">
        <f>IF($C166="","",IF(PULL_FUND="N","",IF(COUNTIFS('Fund History'!$G$940:$G$944,"&gt;="&amp;DATE(YEAR_Y-4,1,1),'Fund History'!$G$940:$G$944,"&lt;="&amp;DATE(YEAR_Y-4,12,31))=0,"",SUMIFS('Fund History'!$H$940:$H$944,'Fund History'!$G$940:$G$944,"&gt;="&amp;DATE(YEAR_Y-4,1,1),'Fund History'!$G$940:$G$944,"&lt;="&amp;DATE(YEAR_Y-4,12,31))/100)))</f>
        <v/>
      </c>
      <c r="AO166" s="82">
        <f>IF($C166="","",IF(PULL_FUND="N","",IF(COUNTIFS('Fund History'!$G$940:$G$944,"&gt;="&amp;DATE(YEAR_Y-3,1,1),'Fund History'!$G$940:$G$944,"&lt;="&amp;DATE(YEAR_Y-3,12,31))=0,"",SUMIFS('Fund History'!$H$940:$H$944,'Fund History'!$G$940:$G$944,"&gt;="&amp;DATE(YEAR_Y-3,1,1),'Fund History'!$G$940:$G$944,"&lt;="&amp;DATE(YEAR_Y-3,12,31))/100)))</f>
        <v/>
      </c>
      <c r="AP166" s="82">
        <f>IF($C166="","",IF(PULL_FUND="N","",IF(COUNTIFS('Fund History'!$G$940:$G$944,"&gt;="&amp;DATE(YEAR_Y-2,1,1),'Fund History'!$G$940:$G$944,"&lt;="&amp;DATE(YEAR_Y-2,12,31))=0,"",SUMIFS('Fund History'!$H$940:$H$944,'Fund History'!$G$940:$G$944,"&gt;="&amp;DATE(YEAR_Y-2,1,1),'Fund History'!$G$940:$G$944,"&lt;="&amp;DATE(YEAR_Y-2,12,31))/100)))</f>
        <v/>
      </c>
      <c r="AQ166" s="82">
        <f>IF($C166="","",IF(PULL_FUND="N","",IF(COUNTIFS('Fund History'!$G$940:$G$944,"&gt;="&amp;DATE(YEAR_Y-1,1,1),'Fund History'!$G$940:$G$944,"&lt;="&amp;DATE(YEAR_Y-1,12,31))=0,"",SUMIFS('Fund History'!$H$940:$H$944,'Fund History'!$G$940:$G$944,"&gt;="&amp;DATE(YEAR_Y-1,1,1),'Fund History'!$G$940:$G$944,"&lt;="&amp;DATE(YEAR_Y-1,12,31))/100)))</f>
        <v/>
      </c>
      <c r="AR166" s="83">
        <f>IF($C166="","",IF(N($AQ166)+N(HSCEI!$I$21)=0,"",N($AQ166)+N(HSCEI!$I$21)/100))</f>
        <v/>
      </c>
      <c r="AS166" s="75">
        <f>IF($C166="","",IF(PULL_FUND="N","",IF(COUNTIFS('Fund History'!$D$940:$D$944,"&gt;="&amp;DATE(YEAR_Y-2,1,1),'Fund History'!$D$940:$D$944,"&lt;="&amp;DATE(YEAR_Y-2,12,31))=0,"",SUMIFS('Fund History'!$E$940:$E$944,'Fund History'!$D$940:$D$944,"&gt;="&amp;DATE(YEAR_Y-2,1,1),'Fund History'!$D$940:$D$944,"&lt;="&amp;DATE(YEAR_Y-2,12,31)))))</f>
        <v/>
      </c>
      <c r="AT166" s="76">
        <f>IF($C166="","",IF(PULL_FUND="N","",IF(COUNTIFS('Fund History'!$D$940:$D$944,"&gt;="&amp;DATE(YEAR_Y-1,1,1),'Fund History'!$D$940:$D$944,"&lt;="&amp;DATE(YEAR_Y-1,12,31))=0,"",SUMIFS('Fund History'!$E$940:$E$944,'Fund History'!$D$940:$D$944,"&gt;="&amp;DATE(YEAR_Y-1,1,1),'Fund History'!$D$940:$D$944,"&lt;="&amp;DATE(YEAR_Y-1,12,31)))))</f>
        <v/>
      </c>
      <c r="AU166" s="76">
        <f>IF($C166="","",IF(PULL_FUND="N","",IFERROR(BDP($C166,NDEBITDA_FIELD),"")))</f>
        <v/>
      </c>
      <c r="AV166" s="84">
        <f>IF($C166="","",IF(PULL_FUND="N","",IFERROR(BDP($C166,EBINT_FIELD),"")))</f>
        <v/>
      </c>
      <c r="AW166" s="82">
        <f>IF($C166="","",IF(PULL_FUND="N","",IFERROR(BDP($C166,FCF_FIELD)/100,"")))</f>
        <v/>
      </c>
      <c r="AX166" s="50">
        <f>IF($C166="","",IF(N($U166)=0,"",IFERROR($AW166/$U166,"")))</f>
        <v/>
      </c>
      <c r="AY166" s="85">
        <f>IF($C166="","",TRIM(IF(ISNUMBER($AJ166)*(N($AJ166)&gt;$D$4)&gt;0,"payout high  ","")&amp;IF(ISNUMBER($AX166)*(N($AX166)&lt;$F$4)&gt;0,"FCF below dvd  ","")&amp;IF(ISNUMBER($AU166)*(N($AU166)&gt;$H$4)&gt;0,"leverage high","")))</f>
        <v/>
      </c>
      <c r="AZ166" s="86">
        <f>IF($C166="","",IF(HSCEI!$F$21="HKD","",HSCEI!$F$21))</f>
        <v/>
      </c>
    </row>
    <row r="167">
      <c r="B167" s="66" t="inlineStr">
        <is>
          <t>HSCEI</t>
        </is>
      </c>
      <c r="C167" s="8">
        <f>IF(HSCEI!$C$22="","",HSCEI!$C$22)</f>
        <v/>
      </c>
      <c r="D167" s="8">
        <f>IF($C167="","",HSCEI!$D$22)</f>
        <v/>
      </c>
      <c r="E167" s="8">
        <f>IF($C167="","",HSCEI!$E$22)</f>
        <v/>
      </c>
      <c r="F167" s="67">
        <f>IF($C167="","",SUMPRODUCT(('Dvd Calendar'!$E$1726:$AR$1726&gt;=DATE(YEAR_Y-5,1,1))*('Dvd Calendar'!$E$1726:$AR$1726&lt;=DATE(YEAR_Y-5,12,31))*'Dvd Calendar'!$E$1729:$AR$1729*(('Dvd Calendar'!$E$1731:$AR$1731=TYPE1)*(TYPE1&lt;&gt;"")+('Dvd Calendar'!$E$1731:$AR$1731=TYPE2)*(TYPE2&lt;&gt;"")+('Dvd Calendar'!$E$1731:$AR$1731=TYPE3)*(TYPE3&lt;&gt;"")+('Dvd Calendar'!$E$1731:$AR$1731=TYPE4)*(TYPE4&lt;&gt;"")+('Dvd Calendar'!$E$1731:$AR$1731=SPECIAL_LBL)*(INC_SPECIALS="Y"))))</f>
        <v/>
      </c>
      <c r="G167" s="68">
        <f>IF($C167="","",SUMPRODUCT(('Dvd Calendar'!$E$1726:$AR$1726&gt;=DATE(YEAR_Y-4,1,1))*('Dvd Calendar'!$E$1726:$AR$1726&lt;=DATE(YEAR_Y-4,12,31))*'Dvd Calendar'!$E$1729:$AR$1729*(('Dvd Calendar'!$E$1731:$AR$1731=TYPE1)*(TYPE1&lt;&gt;"")+('Dvd Calendar'!$E$1731:$AR$1731=TYPE2)*(TYPE2&lt;&gt;"")+('Dvd Calendar'!$E$1731:$AR$1731=TYPE3)*(TYPE3&lt;&gt;"")+('Dvd Calendar'!$E$1731:$AR$1731=TYPE4)*(TYPE4&lt;&gt;"")+('Dvd Calendar'!$E$1731:$AR$1731=SPECIAL_LBL)*(INC_SPECIALS="Y"))))</f>
        <v/>
      </c>
      <c r="H167" s="68">
        <f>IF($C167="","",SUMPRODUCT(('Dvd Calendar'!$E$1726:$AR$1726&gt;=DATE(YEAR_Y-3,1,1))*('Dvd Calendar'!$E$1726:$AR$1726&lt;=DATE(YEAR_Y-3,12,31))*'Dvd Calendar'!$E$1729:$AR$1729*(('Dvd Calendar'!$E$1731:$AR$1731=TYPE1)*(TYPE1&lt;&gt;"")+('Dvd Calendar'!$E$1731:$AR$1731=TYPE2)*(TYPE2&lt;&gt;"")+('Dvd Calendar'!$E$1731:$AR$1731=TYPE3)*(TYPE3&lt;&gt;"")+('Dvd Calendar'!$E$1731:$AR$1731=TYPE4)*(TYPE4&lt;&gt;"")+('Dvd Calendar'!$E$1731:$AR$1731=SPECIAL_LBL)*(INC_SPECIALS="Y"))))</f>
        <v/>
      </c>
      <c r="I167" s="68">
        <f>IF($C167="","",SUMPRODUCT(('Dvd Calendar'!$E$1726:$AR$1726&gt;=DATE(YEAR_Y-2,1,1))*('Dvd Calendar'!$E$1726:$AR$1726&lt;=DATE(YEAR_Y-2,12,31))*'Dvd Calendar'!$E$1729:$AR$1729*(('Dvd Calendar'!$E$1731:$AR$1731=TYPE1)*(TYPE1&lt;&gt;"")+('Dvd Calendar'!$E$1731:$AR$1731=TYPE2)*(TYPE2&lt;&gt;"")+('Dvd Calendar'!$E$1731:$AR$1731=TYPE3)*(TYPE3&lt;&gt;"")+('Dvd Calendar'!$E$1731:$AR$1731=TYPE4)*(TYPE4&lt;&gt;"")+('Dvd Calendar'!$E$1731:$AR$1731=SPECIAL_LBL)*(INC_SPECIALS="Y"))))</f>
        <v/>
      </c>
      <c r="J167" s="68">
        <f>IF($C167="","",SUMPRODUCT(('Dvd Calendar'!$E$1726:$AR$1726&gt;=DATE(YEAR_Y-1,1,1))*('Dvd Calendar'!$E$1726:$AR$1726&lt;=DATE(YEAR_Y-1,12,31))*'Dvd Calendar'!$E$1729:$AR$1729*(('Dvd Calendar'!$E$1731:$AR$1731=TYPE1)*(TYPE1&lt;&gt;"")+('Dvd Calendar'!$E$1731:$AR$1731=TYPE2)*(TYPE2&lt;&gt;"")+('Dvd Calendar'!$E$1731:$AR$1731=TYPE3)*(TYPE3&lt;&gt;"")+('Dvd Calendar'!$E$1731:$AR$1731=TYPE4)*(TYPE4&lt;&gt;"")+('Dvd Calendar'!$E$1731:$AR$1731=SPECIAL_LBL)*(INC_SPECIALS="Y"))))</f>
        <v/>
      </c>
      <c r="K167" s="69">
        <f>IF($C167="","",HSCEI!$J$22)</f>
        <v/>
      </c>
      <c r="L167" s="69">
        <f>IF($C167="","",HSCEI!$K$22)</f>
        <v/>
      </c>
      <c r="M167" s="44">
        <f>IF($C167="","",HSCEI!$J$22+HSCEI!$L$22)</f>
        <v/>
      </c>
      <c r="N167" s="70">
        <f>IF($C167="","",IF(PULL_FUND="N","",IFERROR(BDP($C167,BESTDPS_FIELD,FWD_OVERRIDE,TEXT(MOD(YEAR_Y,100),"00")&amp;"Y"),"")))</f>
        <v/>
      </c>
      <c r="O167" s="69">
        <f>IF($C167="","",AVERAGE(F167:J167))</f>
        <v/>
      </c>
      <c r="P167" s="71">
        <f>IF($C167="","",IF(PULL_FUND="N","",IF(COUNTIFS('Fund History'!$J$946:$J$950,"&gt;="&amp;DATE(YEAR_Y-5,1,1),'Fund History'!$J$946:$J$950,"&lt;="&amp;DATE(YEAR_Y-5,12,31))=0,"",IFERROR($F167*HSCEI!$G$22/SUMIFS('Fund History'!$K$946:$K$950,'Fund History'!$J$946:$J$950,"&gt;="&amp;DATE(YEAR_Y-5,1,1),'Fund History'!$J$946:$J$950,"&lt;="&amp;DATE(YEAR_Y-5,12,31)),""))))</f>
        <v/>
      </c>
      <c r="Q167" s="72">
        <f>IF($C167="","",IF(PULL_FUND="N","",IF(COUNTIFS('Fund History'!$J$946:$J$950,"&gt;="&amp;DATE(YEAR_Y-4,1,1),'Fund History'!$J$946:$J$950,"&lt;="&amp;DATE(YEAR_Y-4,12,31))=0,"",IFERROR($G167*HSCEI!$G$22/SUMIFS('Fund History'!$K$946:$K$950,'Fund History'!$J$946:$J$950,"&gt;="&amp;DATE(YEAR_Y-4,1,1),'Fund History'!$J$946:$J$950,"&lt;="&amp;DATE(YEAR_Y-4,12,31)),""))))</f>
        <v/>
      </c>
      <c r="R167" s="72">
        <f>IF($C167="","",IF(PULL_FUND="N","",IF(COUNTIFS('Fund History'!$J$946:$J$950,"&gt;="&amp;DATE(YEAR_Y-3,1,1),'Fund History'!$J$946:$J$950,"&lt;="&amp;DATE(YEAR_Y-3,12,31))=0,"",IFERROR($H167*HSCEI!$G$22/SUMIFS('Fund History'!$K$946:$K$950,'Fund History'!$J$946:$J$950,"&gt;="&amp;DATE(YEAR_Y-3,1,1),'Fund History'!$J$946:$J$950,"&lt;="&amp;DATE(YEAR_Y-3,12,31)),""))))</f>
        <v/>
      </c>
      <c r="S167" s="72">
        <f>IF($C167="","",IF(PULL_FUND="N","",IF(COUNTIFS('Fund History'!$J$946:$J$950,"&gt;="&amp;DATE(YEAR_Y-2,1,1),'Fund History'!$J$946:$J$950,"&lt;="&amp;DATE(YEAR_Y-2,12,31))=0,"",IFERROR($I167*HSCEI!$G$22/SUMIFS('Fund History'!$K$946:$K$950,'Fund History'!$J$946:$J$950,"&gt;="&amp;DATE(YEAR_Y-2,1,1),'Fund History'!$J$946:$J$950,"&lt;="&amp;DATE(YEAR_Y-2,12,31)),""))))</f>
        <v/>
      </c>
      <c r="T167" s="72">
        <f>IF($C167="","",IF(PULL_FUND="N","",IF(COUNTIFS('Fund History'!$J$946:$J$950,"&gt;="&amp;DATE(YEAR_Y-1,1,1),'Fund History'!$J$946:$J$950,"&lt;="&amp;DATE(YEAR_Y-1,12,31))=0,"",IFERROR($J167*HSCEI!$G$22/SUMIFS('Fund History'!$K$946:$K$950,'Fund History'!$J$946:$J$950,"&gt;="&amp;DATE(YEAR_Y-1,1,1),'Fund History'!$J$946:$J$950,"&lt;="&amp;DATE(YEAR_Y-1,12,31)),""))))</f>
        <v/>
      </c>
      <c r="U167" s="73">
        <f>IF($C167="","",IF(ISNUMBER(HSCEI!$I$22),HSCEI!$I$22/100,""))</f>
        <v/>
      </c>
      <c r="V167" s="74">
        <f>IF($C167="","",IF(ISNUMBER(HSCEI!$X$22),IFERROR($M167*HSCEI!$G$22/HSCEI!$X$22,""),""))</f>
        <v/>
      </c>
      <c r="W167" s="73">
        <f>IF($C167="","",IF(ISNUMBER($N167),IFERROR($N167*HSCEI!$G$22/HSCEI!$X$22,""),""))</f>
        <v/>
      </c>
      <c r="X167" s="75">
        <f>IF($C167="","",IF(PULL_FUND="N","",IFERROR(BDP($C167,EPS_FIELD,YR_OVERRIDE,TEXT(YEAR_Y-5,"0")),"")))</f>
        <v/>
      </c>
      <c r="Y167" s="76">
        <f>IF($C167="","",IF(PULL_FUND="N","",IFERROR(BDP($C167,EPS_FIELD,YR_OVERRIDE,TEXT(YEAR_Y-4,"0")),"")))</f>
        <v/>
      </c>
      <c r="Z167" s="76">
        <f>IF($C167="","",IF(PULL_FUND="N","",IFERROR(BDP($C167,EPS_FIELD,YR_OVERRIDE,TEXT(YEAR_Y-3,"0")),"")))</f>
        <v/>
      </c>
      <c r="AA167" s="76">
        <f>IF($C167="","",IF(PULL_FUND="N","",IFERROR(BDP($C167,EPS_FIELD,YR_OVERRIDE,TEXT(YEAR_Y-2,"0")),"")))</f>
        <v/>
      </c>
      <c r="AB167" s="76">
        <f>IF($C167="","",IF(PULL_FUND="N","",IFERROR(BDP($C167,EPS_FIELD,YR_OVERRIDE,TEXT(YEAR_Y-1,"0")),"")))</f>
        <v/>
      </c>
      <c r="AC167" s="50">
        <f>IF($C167="","",IFERROR(AVERAGE(X167:AB167),""))</f>
        <v/>
      </c>
      <c r="AD167" s="76">
        <f>IF($C167="","",IF(PULL_FUND="N","",IFERROR(BDP($C167,BESTEPS_FIELD,FWD_OVERRIDE,TEXT(MOD(YEAR_Y,100),"00")&amp;"Y"),"")))</f>
        <v/>
      </c>
      <c r="AE167" s="77">
        <f>IF($C167="","",IF(PULL_FUND="N","",IFERROR(BDP($C167,PAYOUT_FIELD,YR_OVERRIDE,TEXT(YEAR_Y-5,"0"))/100,"")))</f>
        <v/>
      </c>
      <c r="AF167" s="78">
        <f>IF($C167="","",IF(PULL_FUND="N","",IFERROR(BDP($C167,PAYOUT_FIELD,YR_OVERRIDE,TEXT(YEAR_Y-4,"0"))/100,"")))</f>
        <v/>
      </c>
      <c r="AG167" s="78">
        <f>IF($C167="","",IF(PULL_FUND="N","",IFERROR(BDP($C167,PAYOUT_FIELD,YR_OVERRIDE,TEXT(YEAR_Y-3,"0"))/100,"")))</f>
        <v/>
      </c>
      <c r="AH167" s="78">
        <f>IF($C167="","",IF(PULL_FUND="N","",IFERROR(BDP($C167,PAYOUT_FIELD,YR_OVERRIDE,TEXT(YEAR_Y-2,"0"))/100,"")))</f>
        <v/>
      </c>
      <c r="AI167" s="78">
        <f>IF($C167="","",IF(PULL_FUND="N","",IFERROR(BDP($C167,PAYOUT_FIELD,YR_OVERRIDE,TEXT(YEAR_Y-1,"0"))/100,"")))</f>
        <v/>
      </c>
      <c r="AJ167" s="79">
        <f>IF($C167="","",IFERROR(AVERAGE(AE167:AI167),""))</f>
        <v/>
      </c>
      <c r="AK167" s="80">
        <f>IF($C167="","",IF(ISNUMBER($AD167)*ISNUMBER($N167)*($AD167&lt;&gt;0)=0,"",$N167/$AD167))</f>
        <v/>
      </c>
      <c r="AL167" s="79">
        <f>IF($C167="","",IF(ISNUMBER($AD167)*($AD167&lt;&gt;0)=0,"",$M167/$AD167))</f>
        <v/>
      </c>
      <c r="AM167" s="37">
        <f>IF($C167="","",IF(ISNUMBER($AE167)*ISNUMBER($AI167)=0,"",IF($AI167&gt;$AE167+0.05,"rising",IF($AI167&lt;$AE167-0.05,"falling","stable"))))</f>
        <v/>
      </c>
      <c r="AN167" s="81">
        <f>IF($C167="","",IF(PULL_FUND="N","",IF(COUNTIFS('Fund History'!$G$946:$G$950,"&gt;="&amp;DATE(YEAR_Y-4,1,1),'Fund History'!$G$946:$G$950,"&lt;="&amp;DATE(YEAR_Y-4,12,31))=0,"",SUMIFS('Fund History'!$H$946:$H$950,'Fund History'!$G$946:$G$950,"&gt;="&amp;DATE(YEAR_Y-4,1,1),'Fund History'!$G$946:$G$950,"&lt;="&amp;DATE(YEAR_Y-4,12,31))/100)))</f>
        <v/>
      </c>
      <c r="AO167" s="82">
        <f>IF($C167="","",IF(PULL_FUND="N","",IF(COUNTIFS('Fund History'!$G$946:$G$950,"&gt;="&amp;DATE(YEAR_Y-3,1,1),'Fund History'!$G$946:$G$950,"&lt;="&amp;DATE(YEAR_Y-3,12,31))=0,"",SUMIFS('Fund History'!$H$946:$H$950,'Fund History'!$G$946:$G$950,"&gt;="&amp;DATE(YEAR_Y-3,1,1),'Fund History'!$G$946:$G$950,"&lt;="&amp;DATE(YEAR_Y-3,12,31))/100)))</f>
        <v/>
      </c>
      <c r="AP167" s="82">
        <f>IF($C167="","",IF(PULL_FUND="N","",IF(COUNTIFS('Fund History'!$G$946:$G$950,"&gt;="&amp;DATE(YEAR_Y-2,1,1),'Fund History'!$G$946:$G$950,"&lt;="&amp;DATE(YEAR_Y-2,12,31))=0,"",SUMIFS('Fund History'!$H$946:$H$950,'Fund History'!$G$946:$G$950,"&gt;="&amp;DATE(YEAR_Y-2,1,1),'Fund History'!$G$946:$G$950,"&lt;="&amp;DATE(YEAR_Y-2,12,31))/100)))</f>
        <v/>
      </c>
      <c r="AQ167" s="82">
        <f>IF($C167="","",IF(PULL_FUND="N","",IF(COUNTIFS('Fund History'!$G$946:$G$950,"&gt;="&amp;DATE(YEAR_Y-1,1,1),'Fund History'!$G$946:$G$950,"&lt;="&amp;DATE(YEAR_Y-1,12,31))=0,"",SUMIFS('Fund History'!$H$946:$H$950,'Fund History'!$G$946:$G$950,"&gt;="&amp;DATE(YEAR_Y-1,1,1),'Fund History'!$G$946:$G$950,"&lt;="&amp;DATE(YEAR_Y-1,12,31))/100)))</f>
        <v/>
      </c>
      <c r="AR167" s="83">
        <f>IF($C167="","",IF(N($AQ167)+N(HSCEI!$I$22)=0,"",N($AQ167)+N(HSCEI!$I$22)/100))</f>
        <v/>
      </c>
      <c r="AS167" s="75">
        <f>IF($C167="","",IF(PULL_FUND="N","",IF(COUNTIFS('Fund History'!$D$946:$D$950,"&gt;="&amp;DATE(YEAR_Y-2,1,1),'Fund History'!$D$946:$D$950,"&lt;="&amp;DATE(YEAR_Y-2,12,31))=0,"",SUMIFS('Fund History'!$E$946:$E$950,'Fund History'!$D$946:$D$950,"&gt;="&amp;DATE(YEAR_Y-2,1,1),'Fund History'!$D$946:$D$950,"&lt;="&amp;DATE(YEAR_Y-2,12,31)))))</f>
        <v/>
      </c>
      <c r="AT167" s="76">
        <f>IF($C167="","",IF(PULL_FUND="N","",IF(COUNTIFS('Fund History'!$D$946:$D$950,"&gt;="&amp;DATE(YEAR_Y-1,1,1),'Fund History'!$D$946:$D$950,"&lt;="&amp;DATE(YEAR_Y-1,12,31))=0,"",SUMIFS('Fund History'!$E$946:$E$950,'Fund History'!$D$946:$D$950,"&gt;="&amp;DATE(YEAR_Y-1,1,1),'Fund History'!$D$946:$D$950,"&lt;="&amp;DATE(YEAR_Y-1,12,31)))))</f>
        <v/>
      </c>
      <c r="AU167" s="76">
        <f>IF($C167="","",IF(PULL_FUND="N","",IFERROR(BDP($C167,NDEBITDA_FIELD),"")))</f>
        <v/>
      </c>
      <c r="AV167" s="84">
        <f>IF($C167="","",IF(PULL_FUND="N","",IFERROR(BDP($C167,EBINT_FIELD),"")))</f>
        <v/>
      </c>
      <c r="AW167" s="82">
        <f>IF($C167="","",IF(PULL_FUND="N","",IFERROR(BDP($C167,FCF_FIELD)/100,"")))</f>
        <v/>
      </c>
      <c r="AX167" s="50">
        <f>IF($C167="","",IF(N($U167)=0,"",IFERROR($AW167/$U167,"")))</f>
        <v/>
      </c>
      <c r="AY167" s="85">
        <f>IF($C167="","",TRIM(IF(ISNUMBER($AJ167)*(N($AJ167)&gt;$D$4)&gt;0,"payout high  ","")&amp;IF(ISNUMBER($AX167)*(N($AX167)&lt;$F$4)&gt;0,"FCF below dvd  ","")&amp;IF(ISNUMBER($AU167)*(N($AU167)&gt;$H$4)&gt;0,"leverage high","")))</f>
        <v/>
      </c>
      <c r="AZ167" s="86">
        <f>IF($C167="","",IF(HSCEI!$F$22="HKD","",HSCEI!$F$22))</f>
        <v/>
      </c>
    </row>
    <row r="168">
      <c r="B168" s="66" t="inlineStr">
        <is>
          <t>HSCEI</t>
        </is>
      </c>
      <c r="C168" s="8">
        <f>IF(HSCEI!$C$23="","",HSCEI!$C$23)</f>
        <v/>
      </c>
      <c r="D168" s="8">
        <f>IF($C168="","",HSCEI!$D$23)</f>
        <v/>
      </c>
      <c r="E168" s="8">
        <f>IF($C168="","",HSCEI!$E$23)</f>
        <v/>
      </c>
      <c r="F168" s="67">
        <f>IF($C168="","",SUMPRODUCT(('Dvd Calendar'!$E$1737:$AR$1737&gt;=DATE(YEAR_Y-5,1,1))*('Dvd Calendar'!$E$1737:$AR$1737&lt;=DATE(YEAR_Y-5,12,31))*'Dvd Calendar'!$E$1740:$AR$1740*(('Dvd Calendar'!$E$1742:$AR$1742=TYPE1)*(TYPE1&lt;&gt;"")+('Dvd Calendar'!$E$1742:$AR$1742=TYPE2)*(TYPE2&lt;&gt;"")+('Dvd Calendar'!$E$1742:$AR$1742=TYPE3)*(TYPE3&lt;&gt;"")+('Dvd Calendar'!$E$1742:$AR$1742=TYPE4)*(TYPE4&lt;&gt;"")+('Dvd Calendar'!$E$1742:$AR$1742=SPECIAL_LBL)*(INC_SPECIALS="Y"))))</f>
        <v/>
      </c>
      <c r="G168" s="68">
        <f>IF($C168="","",SUMPRODUCT(('Dvd Calendar'!$E$1737:$AR$1737&gt;=DATE(YEAR_Y-4,1,1))*('Dvd Calendar'!$E$1737:$AR$1737&lt;=DATE(YEAR_Y-4,12,31))*'Dvd Calendar'!$E$1740:$AR$1740*(('Dvd Calendar'!$E$1742:$AR$1742=TYPE1)*(TYPE1&lt;&gt;"")+('Dvd Calendar'!$E$1742:$AR$1742=TYPE2)*(TYPE2&lt;&gt;"")+('Dvd Calendar'!$E$1742:$AR$1742=TYPE3)*(TYPE3&lt;&gt;"")+('Dvd Calendar'!$E$1742:$AR$1742=TYPE4)*(TYPE4&lt;&gt;"")+('Dvd Calendar'!$E$1742:$AR$1742=SPECIAL_LBL)*(INC_SPECIALS="Y"))))</f>
        <v/>
      </c>
      <c r="H168" s="68">
        <f>IF($C168="","",SUMPRODUCT(('Dvd Calendar'!$E$1737:$AR$1737&gt;=DATE(YEAR_Y-3,1,1))*('Dvd Calendar'!$E$1737:$AR$1737&lt;=DATE(YEAR_Y-3,12,31))*'Dvd Calendar'!$E$1740:$AR$1740*(('Dvd Calendar'!$E$1742:$AR$1742=TYPE1)*(TYPE1&lt;&gt;"")+('Dvd Calendar'!$E$1742:$AR$1742=TYPE2)*(TYPE2&lt;&gt;"")+('Dvd Calendar'!$E$1742:$AR$1742=TYPE3)*(TYPE3&lt;&gt;"")+('Dvd Calendar'!$E$1742:$AR$1742=TYPE4)*(TYPE4&lt;&gt;"")+('Dvd Calendar'!$E$1742:$AR$1742=SPECIAL_LBL)*(INC_SPECIALS="Y"))))</f>
        <v/>
      </c>
      <c r="I168" s="68">
        <f>IF($C168="","",SUMPRODUCT(('Dvd Calendar'!$E$1737:$AR$1737&gt;=DATE(YEAR_Y-2,1,1))*('Dvd Calendar'!$E$1737:$AR$1737&lt;=DATE(YEAR_Y-2,12,31))*'Dvd Calendar'!$E$1740:$AR$1740*(('Dvd Calendar'!$E$1742:$AR$1742=TYPE1)*(TYPE1&lt;&gt;"")+('Dvd Calendar'!$E$1742:$AR$1742=TYPE2)*(TYPE2&lt;&gt;"")+('Dvd Calendar'!$E$1742:$AR$1742=TYPE3)*(TYPE3&lt;&gt;"")+('Dvd Calendar'!$E$1742:$AR$1742=TYPE4)*(TYPE4&lt;&gt;"")+('Dvd Calendar'!$E$1742:$AR$1742=SPECIAL_LBL)*(INC_SPECIALS="Y"))))</f>
        <v/>
      </c>
      <c r="J168" s="68">
        <f>IF($C168="","",SUMPRODUCT(('Dvd Calendar'!$E$1737:$AR$1737&gt;=DATE(YEAR_Y-1,1,1))*('Dvd Calendar'!$E$1737:$AR$1737&lt;=DATE(YEAR_Y-1,12,31))*'Dvd Calendar'!$E$1740:$AR$1740*(('Dvd Calendar'!$E$1742:$AR$1742=TYPE1)*(TYPE1&lt;&gt;"")+('Dvd Calendar'!$E$1742:$AR$1742=TYPE2)*(TYPE2&lt;&gt;"")+('Dvd Calendar'!$E$1742:$AR$1742=TYPE3)*(TYPE3&lt;&gt;"")+('Dvd Calendar'!$E$1742:$AR$1742=TYPE4)*(TYPE4&lt;&gt;"")+('Dvd Calendar'!$E$1742:$AR$1742=SPECIAL_LBL)*(INC_SPECIALS="Y"))))</f>
        <v/>
      </c>
      <c r="K168" s="69">
        <f>IF($C168="","",HSCEI!$J$23)</f>
        <v/>
      </c>
      <c r="L168" s="69">
        <f>IF($C168="","",HSCEI!$K$23)</f>
        <v/>
      </c>
      <c r="M168" s="44">
        <f>IF($C168="","",HSCEI!$J$23+HSCEI!$L$23)</f>
        <v/>
      </c>
      <c r="N168" s="70">
        <f>IF($C168="","",IF(PULL_FUND="N","",IFERROR(BDP($C168,BESTDPS_FIELD,FWD_OVERRIDE,TEXT(MOD(YEAR_Y,100),"00")&amp;"Y"),"")))</f>
        <v/>
      </c>
      <c r="O168" s="69">
        <f>IF($C168="","",AVERAGE(F168:J168))</f>
        <v/>
      </c>
      <c r="P168" s="71">
        <f>IF($C168="","",IF(PULL_FUND="N","",IF(COUNTIFS('Fund History'!$J$952:$J$956,"&gt;="&amp;DATE(YEAR_Y-5,1,1),'Fund History'!$J$952:$J$956,"&lt;="&amp;DATE(YEAR_Y-5,12,31))=0,"",IFERROR($F168*HSCEI!$G$23/SUMIFS('Fund History'!$K$952:$K$956,'Fund History'!$J$952:$J$956,"&gt;="&amp;DATE(YEAR_Y-5,1,1),'Fund History'!$J$952:$J$956,"&lt;="&amp;DATE(YEAR_Y-5,12,31)),""))))</f>
        <v/>
      </c>
      <c r="Q168" s="72">
        <f>IF($C168="","",IF(PULL_FUND="N","",IF(COUNTIFS('Fund History'!$J$952:$J$956,"&gt;="&amp;DATE(YEAR_Y-4,1,1),'Fund History'!$J$952:$J$956,"&lt;="&amp;DATE(YEAR_Y-4,12,31))=0,"",IFERROR($G168*HSCEI!$G$23/SUMIFS('Fund History'!$K$952:$K$956,'Fund History'!$J$952:$J$956,"&gt;="&amp;DATE(YEAR_Y-4,1,1),'Fund History'!$J$952:$J$956,"&lt;="&amp;DATE(YEAR_Y-4,12,31)),""))))</f>
        <v/>
      </c>
      <c r="R168" s="72">
        <f>IF($C168="","",IF(PULL_FUND="N","",IF(COUNTIFS('Fund History'!$J$952:$J$956,"&gt;="&amp;DATE(YEAR_Y-3,1,1),'Fund History'!$J$952:$J$956,"&lt;="&amp;DATE(YEAR_Y-3,12,31))=0,"",IFERROR($H168*HSCEI!$G$23/SUMIFS('Fund History'!$K$952:$K$956,'Fund History'!$J$952:$J$956,"&gt;="&amp;DATE(YEAR_Y-3,1,1),'Fund History'!$J$952:$J$956,"&lt;="&amp;DATE(YEAR_Y-3,12,31)),""))))</f>
        <v/>
      </c>
      <c r="S168" s="72">
        <f>IF($C168="","",IF(PULL_FUND="N","",IF(COUNTIFS('Fund History'!$J$952:$J$956,"&gt;="&amp;DATE(YEAR_Y-2,1,1),'Fund History'!$J$952:$J$956,"&lt;="&amp;DATE(YEAR_Y-2,12,31))=0,"",IFERROR($I168*HSCEI!$G$23/SUMIFS('Fund History'!$K$952:$K$956,'Fund History'!$J$952:$J$956,"&gt;="&amp;DATE(YEAR_Y-2,1,1),'Fund History'!$J$952:$J$956,"&lt;="&amp;DATE(YEAR_Y-2,12,31)),""))))</f>
        <v/>
      </c>
      <c r="T168" s="72">
        <f>IF($C168="","",IF(PULL_FUND="N","",IF(COUNTIFS('Fund History'!$J$952:$J$956,"&gt;="&amp;DATE(YEAR_Y-1,1,1),'Fund History'!$J$952:$J$956,"&lt;="&amp;DATE(YEAR_Y-1,12,31))=0,"",IFERROR($J168*HSCEI!$G$23/SUMIFS('Fund History'!$K$952:$K$956,'Fund History'!$J$952:$J$956,"&gt;="&amp;DATE(YEAR_Y-1,1,1),'Fund History'!$J$952:$J$956,"&lt;="&amp;DATE(YEAR_Y-1,12,31)),""))))</f>
        <v/>
      </c>
      <c r="U168" s="73">
        <f>IF($C168="","",IF(ISNUMBER(HSCEI!$I$23),HSCEI!$I$23/100,""))</f>
        <v/>
      </c>
      <c r="V168" s="74">
        <f>IF($C168="","",IF(ISNUMBER(HSCEI!$X$23),IFERROR($M168*HSCEI!$G$23/HSCEI!$X$23,""),""))</f>
        <v/>
      </c>
      <c r="W168" s="73">
        <f>IF($C168="","",IF(ISNUMBER($N168),IFERROR($N168*HSCEI!$G$23/HSCEI!$X$23,""),""))</f>
        <v/>
      </c>
      <c r="X168" s="75">
        <f>IF($C168="","",IF(PULL_FUND="N","",IFERROR(BDP($C168,EPS_FIELD,YR_OVERRIDE,TEXT(YEAR_Y-5,"0")),"")))</f>
        <v/>
      </c>
      <c r="Y168" s="76">
        <f>IF($C168="","",IF(PULL_FUND="N","",IFERROR(BDP($C168,EPS_FIELD,YR_OVERRIDE,TEXT(YEAR_Y-4,"0")),"")))</f>
        <v/>
      </c>
      <c r="Z168" s="76">
        <f>IF($C168="","",IF(PULL_FUND="N","",IFERROR(BDP($C168,EPS_FIELD,YR_OVERRIDE,TEXT(YEAR_Y-3,"0")),"")))</f>
        <v/>
      </c>
      <c r="AA168" s="76">
        <f>IF($C168="","",IF(PULL_FUND="N","",IFERROR(BDP($C168,EPS_FIELD,YR_OVERRIDE,TEXT(YEAR_Y-2,"0")),"")))</f>
        <v/>
      </c>
      <c r="AB168" s="76">
        <f>IF($C168="","",IF(PULL_FUND="N","",IFERROR(BDP($C168,EPS_FIELD,YR_OVERRIDE,TEXT(YEAR_Y-1,"0")),"")))</f>
        <v/>
      </c>
      <c r="AC168" s="50">
        <f>IF($C168="","",IFERROR(AVERAGE(X168:AB168),""))</f>
        <v/>
      </c>
      <c r="AD168" s="76">
        <f>IF($C168="","",IF(PULL_FUND="N","",IFERROR(BDP($C168,BESTEPS_FIELD,FWD_OVERRIDE,TEXT(MOD(YEAR_Y,100),"00")&amp;"Y"),"")))</f>
        <v/>
      </c>
      <c r="AE168" s="77">
        <f>IF($C168="","",IF(PULL_FUND="N","",IFERROR(BDP($C168,PAYOUT_FIELD,YR_OVERRIDE,TEXT(YEAR_Y-5,"0"))/100,"")))</f>
        <v/>
      </c>
      <c r="AF168" s="78">
        <f>IF($C168="","",IF(PULL_FUND="N","",IFERROR(BDP($C168,PAYOUT_FIELD,YR_OVERRIDE,TEXT(YEAR_Y-4,"0"))/100,"")))</f>
        <v/>
      </c>
      <c r="AG168" s="78">
        <f>IF($C168="","",IF(PULL_FUND="N","",IFERROR(BDP($C168,PAYOUT_FIELD,YR_OVERRIDE,TEXT(YEAR_Y-3,"0"))/100,"")))</f>
        <v/>
      </c>
      <c r="AH168" s="78">
        <f>IF($C168="","",IF(PULL_FUND="N","",IFERROR(BDP($C168,PAYOUT_FIELD,YR_OVERRIDE,TEXT(YEAR_Y-2,"0"))/100,"")))</f>
        <v/>
      </c>
      <c r="AI168" s="78">
        <f>IF($C168="","",IF(PULL_FUND="N","",IFERROR(BDP($C168,PAYOUT_FIELD,YR_OVERRIDE,TEXT(YEAR_Y-1,"0"))/100,"")))</f>
        <v/>
      </c>
      <c r="AJ168" s="79">
        <f>IF($C168="","",IFERROR(AVERAGE(AE168:AI168),""))</f>
        <v/>
      </c>
      <c r="AK168" s="80">
        <f>IF($C168="","",IF(ISNUMBER($AD168)*ISNUMBER($N168)*($AD168&lt;&gt;0)=0,"",$N168/$AD168))</f>
        <v/>
      </c>
      <c r="AL168" s="79">
        <f>IF($C168="","",IF(ISNUMBER($AD168)*($AD168&lt;&gt;0)=0,"",$M168/$AD168))</f>
        <v/>
      </c>
      <c r="AM168" s="37">
        <f>IF($C168="","",IF(ISNUMBER($AE168)*ISNUMBER($AI168)=0,"",IF($AI168&gt;$AE168+0.05,"rising",IF($AI168&lt;$AE168-0.05,"falling","stable"))))</f>
        <v/>
      </c>
      <c r="AN168" s="81">
        <f>IF($C168="","",IF(PULL_FUND="N","",IF(COUNTIFS('Fund History'!$G$952:$G$956,"&gt;="&amp;DATE(YEAR_Y-4,1,1),'Fund History'!$G$952:$G$956,"&lt;="&amp;DATE(YEAR_Y-4,12,31))=0,"",SUMIFS('Fund History'!$H$952:$H$956,'Fund History'!$G$952:$G$956,"&gt;="&amp;DATE(YEAR_Y-4,1,1),'Fund History'!$G$952:$G$956,"&lt;="&amp;DATE(YEAR_Y-4,12,31))/100)))</f>
        <v/>
      </c>
      <c r="AO168" s="82">
        <f>IF($C168="","",IF(PULL_FUND="N","",IF(COUNTIFS('Fund History'!$G$952:$G$956,"&gt;="&amp;DATE(YEAR_Y-3,1,1),'Fund History'!$G$952:$G$956,"&lt;="&amp;DATE(YEAR_Y-3,12,31))=0,"",SUMIFS('Fund History'!$H$952:$H$956,'Fund History'!$G$952:$G$956,"&gt;="&amp;DATE(YEAR_Y-3,1,1),'Fund History'!$G$952:$G$956,"&lt;="&amp;DATE(YEAR_Y-3,12,31))/100)))</f>
        <v/>
      </c>
      <c r="AP168" s="82">
        <f>IF($C168="","",IF(PULL_FUND="N","",IF(COUNTIFS('Fund History'!$G$952:$G$956,"&gt;="&amp;DATE(YEAR_Y-2,1,1),'Fund History'!$G$952:$G$956,"&lt;="&amp;DATE(YEAR_Y-2,12,31))=0,"",SUMIFS('Fund History'!$H$952:$H$956,'Fund History'!$G$952:$G$956,"&gt;="&amp;DATE(YEAR_Y-2,1,1),'Fund History'!$G$952:$G$956,"&lt;="&amp;DATE(YEAR_Y-2,12,31))/100)))</f>
        <v/>
      </c>
      <c r="AQ168" s="82">
        <f>IF($C168="","",IF(PULL_FUND="N","",IF(COUNTIFS('Fund History'!$G$952:$G$956,"&gt;="&amp;DATE(YEAR_Y-1,1,1),'Fund History'!$G$952:$G$956,"&lt;="&amp;DATE(YEAR_Y-1,12,31))=0,"",SUMIFS('Fund History'!$H$952:$H$956,'Fund History'!$G$952:$G$956,"&gt;="&amp;DATE(YEAR_Y-1,1,1),'Fund History'!$G$952:$G$956,"&lt;="&amp;DATE(YEAR_Y-1,12,31))/100)))</f>
        <v/>
      </c>
      <c r="AR168" s="83">
        <f>IF($C168="","",IF(N($AQ168)+N(HSCEI!$I$23)=0,"",N($AQ168)+N(HSCEI!$I$23)/100))</f>
        <v/>
      </c>
      <c r="AS168" s="75">
        <f>IF($C168="","",IF(PULL_FUND="N","",IF(COUNTIFS('Fund History'!$D$952:$D$956,"&gt;="&amp;DATE(YEAR_Y-2,1,1),'Fund History'!$D$952:$D$956,"&lt;="&amp;DATE(YEAR_Y-2,12,31))=0,"",SUMIFS('Fund History'!$E$952:$E$956,'Fund History'!$D$952:$D$956,"&gt;="&amp;DATE(YEAR_Y-2,1,1),'Fund History'!$D$952:$D$956,"&lt;="&amp;DATE(YEAR_Y-2,12,31)))))</f>
        <v/>
      </c>
      <c r="AT168" s="76">
        <f>IF($C168="","",IF(PULL_FUND="N","",IF(COUNTIFS('Fund History'!$D$952:$D$956,"&gt;="&amp;DATE(YEAR_Y-1,1,1),'Fund History'!$D$952:$D$956,"&lt;="&amp;DATE(YEAR_Y-1,12,31))=0,"",SUMIFS('Fund History'!$E$952:$E$956,'Fund History'!$D$952:$D$956,"&gt;="&amp;DATE(YEAR_Y-1,1,1),'Fund History'!$D$952:$D$956,"&lt;="&amp;DATE(YEAR_Y-1,12,31)))))</f>
        <v/>
      </c>
      <c r="AU168" s="76">
        <f>IF($C168="","",IF(PULL_FUND="N","",IFERROR(BDP($C168,NDEBITDA_FIELD),"")))</f>
        <v/>
      </c>
      <c r="AV168" s="84">
        <f>IF($C168="","",IF(PULL_FUND="N","",IFERROR(BDP($C168,EBINT_FIELD),"")))</f>
        <v/>
      </c>
      <c r="AW168" s="82">
        <f>IF($C168="","",IF(PULL_FUND="N","",IFERROR(BDP($C168,FCF_FIELD)/100,"")))</f>
        <v/>
      </c>
      <c r="AX168" s="50">
        <f>IF($C168="","",IF(N($U168)=0,"",IFERROR($AW168/$U168,"")))</f>
        <v/>
      </c>
      <c r="AY168" s="85">
        <f>IF($C168="","",TRIM(IF(ISNUMBER($AJ168)*(N($AJ168)&gt;$D$4)&gt;0,"payout high  ","")&amp;IF(ISNUMBER($AX168)*(N($AX168)&lt;$F$4)&gt;0,"FCF below dvd  ","")&amp;IF(ISNUMBER($AU168)*(N($AU168)&gt;$H$4)&gt;0,"leverage high","")))</f>
        <v/>
      </c>
      <c r="AZ168" s="86">
        <f>IF($C168="","",IF(HSCEI!$F$23="HKD","",HSCEI!$F$23))</f>
        <v/>
      </c>
    </row>
    <row r="169">
      <c r="B169" s="66" t="inlineStr">
        <is>
          <t>HSCEI</t>
        </is>
      </c>
      <c r="C169" s="8">
        <f>IF(HSCEI!$C$24="","",HSCEI!$C$24)</f>
        <v/>
      </c>
      <c r="D169" s="8">
        <f>IF($C169="","",HSCEI!$D$24)</f>
        <v/>
      </c>
      <c r="E169" s="8">
        <f>IF($C169="","",HSCEI!$E$24)</f>
        <v/>
      </c>
      <c r="F169" s="67">
        <f>IF($C169="","",SUMPRODUCT(('Dvd Calendar'!$E$1748:$AR$1748&gt;=DATE(YEAR_Y-5,1,1))*('Dvd Calendar'!$E$1748:$AR$1748&lt;=DATE(YEAR_Y-5,12,31))*'Dvd Calendar'!$E$1751:$AR$1751*(('Dvd Calendar'!$E$1753:$AR$1753=TYPE1)*(TYPE1&lt;&gt;"")+('Dvd Calendar'!$E$1753:$AR$1753=TYPE2)*(TYPE2&lt;&gt;"")+('Dvd Calendar'!$E$1753:$AR$1753=TYPE3)*(TYPE3&lt;&gt;"")+('Dvd Calendar'!$E$1753:$AR$1753=TYPE4)*(TYPE4&lt;&gt;"")+('Dvd Calendar'!$E$1753:$AR$1753=SPECIAL_LBL)*(INC_SPECIALS="Y"))))</f>
        <v/>
      </c>
      <c r="G169" s="68">
        <f>IF($C169="","",SUMPRODUCT(('Dvd Calendar'!$E$1748:$AR$1748&gt;=DATE(YEAR_Y-4,1,1))*('Dvd Calendar'!$E$1748:$AR$1748&lt;=DATE(YEAR_Y-4,12,31))*'Dvd Calendar'!$E$1751:$AR$1751*(('Dvd Calendar'!$E$1753:$AR$1753=TYPE1)*(TYPE1&lt;&gt;"")+('Dvd Calendar'!$E$1753:$AR$1753=TYPE2)*(TYPE2&lt;&gt;"")+('Dvd Calendar'!$E$1753:$AR$1753=TYPE3)*(TYPE3&lt;&gt;"")+('Dvd Calendar'!$E$1753:$AR$1753=TYPE4)*(TYPE4&lt;&gt;"")+('Dvd Calendar'!$E$1753:$AR$1753=SPECIAL_LBL)*(INC_SPECIALS="Y"))))</f>
        <v/>
      </c>
      <c r="H169" s="68">
        <f>IF($C169="","",SUMPRODUCT(('Dvd Calendar'!$E$1748:$AR$1748&gt;=DATE(YEAR_Y-3,1,1))*('Dvd Calendar'!$E$1748:$AR$1748&lt;=DATE(YEAR_Y-3,12,31))*'Dvd Calendar'!$E$1751:$AR$1751*(('Dvd Calendar'!$E$1753:$AR$1753=TYPE1)*(TYPE1&lt;&gt;"")+('Dvd Calendar'!$E$1753:$AR$1753=TYPE2)*(TYPE2&lt;&gt;"")+('Dvd Calendar'!$E$1753:$AR$1753=TYPE3)*(TYPE3&lt;&gt;"")+('Dvd Calendar'!$E$1753:$AR$1753=TYPE4)*(TYPE4&lt;&gt;"")+('Dvd Calendar'!$E$1753:$AR$1753=SPECIAL_LBL)*(INC_SPECIALS="Y"))))</f>
        <v/>
      </c>
      <c r="I169" s="68">
        <f>IF($C169="","",SUMPRODUCT(('Dvd Calendar'!$E$1748:$AR$1748&gt;=DATE(YEAR_Y-2,1,1))*('Dvd Calendar'!$E$1748:$AR$1748&lt;=DATE(YEAR_Y-2,12,31))*'Dvd Calendar'!$E$1751:$AR$1751*(('Dvd Calendar'!$E$1753:$AR$1753=TYPE1)*(TYPE1&lt;&gt;"")+('Dvd Calendar'!$E$1753:$AR$1753=TYPE2)*(TYPE2&lt;&gt;"")+('Dvd Calendar'!$E$1753:$AR$1753=TYPE3)*(TYPE3&lt;&gt;"")+('Dvd Calendar'!$E$1753:$AR$1753=TYPE4)*(TYPE4&lt;&gt;"")+('Dvd Calendar'!$E$1753:$AR$1753=SPECIAL_LBL)*(INC_SPECIALS="Y"))))</f>
        <v/>
      </c>
      <c r="J169" s="68">
        <f>IF($C169="","",SUMPRODUCT(('Dvd Calendar'!$E$1748:$AR$1748&gt;=DATE(YEAR_Y-1,1,1))*('Dvd Calendar'!$E$1748:$AR$1748&lt;=DATE(YEAR_Y-1,12,31))*'Dvd Calendar'!$E$1751:$AR$1751*(('Dvd Calendar'!$E$1753:$AR$1753=TYPE1)*(TYPE1&lt;&gt;"")+('Dvd Calendar'!$E$1753:$AR$1753=TYPE2)*(TYPE2&lt;&gt;"")+('Dvd Calendar'!$E$1753:$AR$1753=TYPE3)*(TYPE3&lt;&gt;"")+('Dvd Calendar'!$E$1753:$AR$1753=TYPE4)*(TYPE4&lt;&gt;"")+('Dvd Calendar'!$E$1753:$AR$1753=SPECIAL_LBL)*(INC_SPECIALS="Y"))))</f>
        <v/>
      </c>
      <c r="K169" s="69">
        <f>IF($C169="","",HSCEI!$J$24)</f>
        <v/>
      </c>
      <c r="L169" s="69">
        <f>IF($C169="","",HSCEI!$K$24)</f>
        <v/>
      </c>
      <c r="M169" s="44">
        <f>IF($C169="","",HSCEI!$J$24+HSCEI!$L$24)</f>
        <v/>
      </c>
      <c r="N169" s="70">
        <f>IF($C169="","",IF(PULL_FUND="N","",IFERROR(BDP($C169,BESTDPS_FIELD,FWD_OVERRIDE,TEXT(MOD(YEAR_Y,100),"00")&amp;"Y"),"")))</f>
        <v/>
      </c>
      <c r="O169" s="69">
        <f>IF($C169="","",AVERAGE(F169:J169))</f>
        <v/>
      </c>
      <c r="P169" s="71">
        <f>IF($C169="","",IF(PULL_FUND="N","",IF(COUNTIFS('Fund History'!$J$958:$J$962,"&gt;="&amp;DATE(YEAR_Y-5,1,1),'Fund History'!$J$958:$J$962,"&lt;="&amp;DATE(YEAR_Y-5,12,31))=0,"",IFERROR($F169*HSCEI!$G$24/SUMIFS('Fund History'!$K$958:$K$962,'Fund History'!$J$958:$J$962,"&gt;="&amp;DATE(YEAR_Y-5,1,1),'Fund History'!$J$958:$J$962,"&lt;="&amp;DATE(YEAR_Y-5,12,31)),""))))</f>
        <v/>
      </c>
      <c r="Q169" s="72">
        <f>IF($C169="","",IF(PULL_FUND="N","",IF(COUNTIFS('Fund History'!$J$958:$J$962,"&gt;="&amp;DATE(YEAR_Y-4,1,1),'Fund History'!$J$958:$J$962,"&lt;="&amp;DATE(YEAR_Y-4,12,31))=0,"",IFERROR($G169*HSCEI!$G$24/SUMIFS('Fund History'!$K$958:$K$962,'Fund History'!$J$958:$J$962,"&gt;="&amp;DATE(YEAR_Y-4,1,1),'Fund History'!$J$958:$J$962,"&lt;="&amp;DATE(YEAR_Y-4,12,31)),""))))</f>
        <v/>
      </c>
      <c r="R169" s="72">
        <f>IF($C169="","",IF(PULL_FUND="N","",IF(COUNTIFS('Fund History'!$J$958:$J$962,"&gt;="&amp;DATE(YEAR_Y-3,1,1),'Fund History'!$J$958:$J$962,"&lt;="&amp;DATE(YEAR_Y-3,12,31))=0,"",IFERROR($H169*HSCEI!$G$24/SUMIFS('Fund History'!$K$958:$K$962,'Fund History'!$J$958:$J$962,"&gt;="&amp;DATE(YEAR_Y-3,1,1),'Fund History'!$J$958:$J$962,"&lt;="&amp;DATE(YEAR_Y-3,12,31)),""))))</f>
        <v/>
      </c>
      <c r="S169" s="72">
        <f>IF($C169="","",IF(PULL_FUND="N","",IF(COUNTIFS('Fund History'!$J$958:$J$962,"&gt;="&amp;DATE(YEAR_Y-2,1,1),'Fund History'!$J$958:$J$962,"&lt;="&amp;DATE(YEAR_Y-2,12,31))=0,"",IFERROR($I169*HSCEI!$G$24/SUMIFS('Fund History'!$K$958:$K$962,'Fund History'!$J$958:$J$962,"&gt;="&amp;DATE(YEAR_Y-2,1,1),'Fund History'!$J$958:$J$962,"&lt;="&amp;DATE(YEAR_Y-2,12,31)),""))))</f>
        <v/>
      </c>
      <c r="T169" s="72">
        <f>IF($C169="","",IF(PULL_FUND="N","",IF(COUNTIFS('Fund History'!$J$958:$J$962,"&gt;="&amp;DATE(YEAR_Y-1,1,1),'Fund History'!$J$958:$J$962,"&lt;="&amp;DATE(YEAR_Y-1,12,31))=0,"",IFERROR($J169*HSCEI!$G$24/SUMIFS('Fund History'!$K$958:$K$962,'Fund History'!$J$958:$J$962,"&gt;="&amp;DATE(YEAR_Y-1,1,1),'Fund History'!$J$958:$J$962,"&lt;="&amp;DATE(YEAR_Y-1,12,31)),""))))</f>
        <v/>
      </c>
      <c r="U169" s="73">
        <f>IF($C169="","",IF(ISNUMBER(HSCEI!$I$24),HSCEI!$I$24/100,""))</f>
        <v/>
      </c>
      <c r="V169" s="74">
        <f>IF($C169="","",IF(ISNUMBER(HSCEI!$X$24),IFERROR($M169*HSCEI!$G$24/HSCEI!$X$24,""),""))</f>
        <v/>
      </c>
      <c r="W169" s="73">
        <f>IF($C169="","",IF(ISNUMBER($N169),IFERROR($N169*HSCEI!$G$24/HSCEI!$X$24,""),""))</f>
        <v/>
      </c>
      <c r="X169" s="75">
        <f>IF($C169="","",IF(PULL_FUND="N","",IFERROR(BDP($C169,EPS_FIELD,YR_OVERRIDE,TEXT(YEAR_Y-5,"0")),"")))</f>
        <v/>
      </c>
      <c r="Y169" s="76">
        <f>IF($C169="","",IF(PULL_FUND="N","",IFERROR(BDP($C169,EPS_FIELD,YR_OVERRIDE,TEXT(YEAR_Y-4,"0")),"")))</f>
        <v/>
      </c>
      <c r="Z169" s="76">
        <f>IF($C169="","",IF(PULL_FUND="N","",IFERROR(BDP($C169,EPS_FIELD,YR_OVERRIDE,TEXT(YEAR_Y-3,"0")),"")))</f>
        <v/>
      </c>
      <c r="AA169" s="76">
        <f>IF($C169="","",IF(PULL_FUND="N","",IFERROR(BDP($C169,EPS_FIELD,YR_OVERRIDE,TEXT(YEAR_Y-2,"0")),"")))</f>
        <v/>
      </c>
      <c r="AB169" s="76">
        <f>IF($C169="","",IF(PULL_FUND="N","",IFERROR(BDP($C169,EPS_FIELD,YR_OVERRIDE,TEXT(YEAR_Y-1,"0")),"")))</f>
        <v/>
      </c>
      <c r="AC169" s="50">
        <f>IF($C169="","",IFERROR(AVERAGE(X169:AB169),""))</f>
        <v/>
      </c>
      <c r="AD169" s="76">
        <f>IF($C169="","",IF(PULL_FUND="N","",IFERROR(BDP($C169,BESTEPS_FIELD,FWD_OVERRIDE,TEXT(MOD(YEAR_Y,100),"00")&amp;"Y"),"")))</f>
        <v/>
      </c>
      <c r="AE169" s="77">
        <f>IF($C169="","",IF(PULL_FUND="N","",IFERROR(BDP($C169,PAYOUT_FIELD,YR_OVERRIDE,TEXT(YEAR_Y-5,"0"))/100,"")))</f>
        <v/>
      </c>
      <c r="AF169" s="78">
        <f>IF($C169="","",IF(PULL_FUND="N","",IFERROR(BDP($C169,PAYOUT_FIELD,YR_OVERRIDE,TEXT(YEAR_Y-4,"0"))/100,"")))</f>
        <v/>
      </c>
      <c r="AG169" s="78">
        <f>IF($C169="","",IF(PULL_FUND="N","",IFERROR(BDP($C169,PAYOUT_FIELD,YR_OVERRIDE,TEXT(YEAR_Y-3,"0"))/100,"")))</f>
        <v/>
      </c>
      <c r="AH169" s="78">
        <f>IF($C169="","",IF(PULL_FUND="N","",IFERROR(BDP($C169,PAYOUT_FIELD,YR_OVERRIDE,TEXT(YEAR_Y-2,"0"))/100,"")))</f>
        <v/>
      </c>
      <c r="AI169" s="78">
        <f>IF($C169="","",IF(PULL_FUND="N","",IFERROR(BDP($C169,PAYOUT_FIELD,YR_OVERRIDE,TEXT(YEAR_Y-1,"0"))/100,"")))</f>
        <v/>
      </c>
      <c r="AJ169" s="79">
        <f>IF($C169="","",IFERROR(AVERAGE(AE169:AI169),""))</f>
        <v/>
      </c>
      <c r="AK169" s="80">
        <f>IF($C169="","",IF(ISNUMBER($AD169)*ISNUMBER($N169)*($AD169&lt;&gt;0)=0,"",$N169/$AD169))</f>
        <v/>
      </c>
      <c r="AL169" s="79">
        <f>IF($C169="","",IF(ISNUMBER($AD169)*($AD169&lt;&gt;0)=0,"",$M169/$AD169))</f>
        <v/>
      </c>
      <c r="AM169" s="37">
        <f>IF($C169="","",IF(ISNUMBER($AE169)*ISNUMBER($AI169)=0,"",IF($AI169&gt;$AE169+0.05,"rising",IF($AI169&lt;$AE169-0.05,"falling","stable"))))</f>
        <v/>
      </c>
      <c r="AN169" s="81">
        <f>IF($C169="","",IF(PULL_FUND="N","",IF(COUNTIFS('Fund History'!$G$958:$G$962,"&gt;="&amp;DATE(YEAR_Y-4,1,1),'Fund History'!$G$958:$G$962,"&lt;="&amp;DATE(YEAR_Y-4,12,31))=0,"",SUMIFS('Fund History'!$H$958:$H$962,'Fund History'!$G$958:$G$962,"&gt;="&amp;DATE(YEAR_Y-4,1,1),'Fund History'!$G$958:$G$962,"&lt;="&amp;DATE(YEAR_Y-4,12,31))/100)))</f>
        <v/>
      </c>
      <c r="AO169" s="82">
        <f>IF($C169="","",IF(PULL_FUND="N","",IF(COUNTIFS('Fund History'!$G$958:$G$962,"&gt;="&amp;DATE(YEAR_Y-3,1,1),'Fund History'!$G$958:$G$962,"&lt;="&amp;DATE(YEAR_Y-3,12,31))=0,"",SUMIFS('Fund History'!$H$958:$H$962,'Fund History'!$G$958:$G$962,"&gt;="&amp;DATE(YEAR_Y-3,1,1),'Fund History'!$G$958:$G$962,"&lt;="&amp;DATE(YEAR_Y-3,12,31))/100)))</f>
        <v/>
      </c>
      <c r="AP169" s="82">
        <f>IF($C169="","",IF(PULL_FUND="N","",IF(COUNTIFS('Fund History'!$G$958:$G$962,"&gt;="&amp;DATE(YEAR_Y-2,1,1),'Fund History'!$G$958:$G$962,"&lt;="&amp;DATE(YEAR_Y-2,12,31))=0,"",SUMIFS('Fund History'!$H$958:$H$962,'Fund History'!$G$958:$G$962,"&gt;="&amp;DATE(YEAR_Y-2,1,1),'Fund History'!$G$958:$G$962,"&lt;="&amp;DATE(YEAR_Y-2,12,31))/100)))</f>
        <v/>
      </c>
      <c r="AQ169" s="82">
        <f>IF($C169="","",IF(PULL_FUND="N","",IF(COUNTIFS('Fund History'!$G$958:$G$962,"&gt;="&amp;DATE(YEAR_Y-1,1,1),'Fund History'!$G$958:$G$962,"&lt;="&amp;DATE(YEAR_Y-1,12,31))=0,"",SUMIFS('Fund History'!$H$958:$H$962,'Fund History'!$G$958:$G$962,"&gt;="&amp;DATE(YEAR_Y-1,1,1),'Fund History'!$G$958:$G$962,"&lt;="&amp;DATE(YEAR_Y-1,12,31))/100)))</f>
        <v/>
      </c>
      <c r="AR169" s="83">
        <f>IF($C169="","",IF(N($AQ169)+N(HSCEI!$I$24)=0,"",N($AQ169)+N(HSCEI!$I$24)/100))</f>
        <v/>
      </c>
      <c r="AS169" s="75">
        <f>IF($C169="","",IF(PULL_FUND="N","",IF(COUNTIFS('Fund History'!$D$958:$D$962,"&gt;="&amp;DATE(YEAR_Y-2,1,1),'Fund History'!$D$958:$D$962,"&lt;="&amp;DATE(YEAR_Y-2,12,31))=0,"",SUMIFS('Fund History'!$E$958:$E$962,'Fund History'!$D$958:$D$962,"&gt;="&amp;DATE(YEAR_Y-2,1,1),'Fund History'!$D$958:$D$962,"&lt;="&amp;DATE(YEAR_Y-2,12,31)))))</f>
        <v/>
      </c>
      <c r="AT169" s="76">
        <f>IF($C169="","",IF(PULL_FUND="N","",IF(COUNTIFS('Fund History'!$D$958:$D$962,"&gt;="&amp;DATE(YEAR_Y-1,1,1),'Fund History'!$D$958:$D$962,"&lt;="&amp;DATE(YEAR_Y-1,12,31))=0,"",SUMIFS('Fund History'!$E$958:$E$962,'Fund History'!$D$958:$D$962,"&gt;="&amp;DATE(YEAR_Y-1,1,1),'Fund History'!$D$958:$D$962,"&lt;="&amp;DATE(YEAR_Y-1,12,31)))))</f>
        <v/>
      </c>
      <c r="AU169" s="76">
        <f>IF($C169="","",IF(PULL_FUND="N","",IFERROR(BDP($C169,NDEBITDA_FIELD),"")))</f>
        <v/>
      </c>
      <c r="AV169" s="84">
        <f>IF($C169="","",IF(PULL_FUND="N","",IFERROR(BDP($C169,EBINT_FIELD),"")))</f>
        <v/>
      </c>
      <c r="AW169" s="82">
        <f>IF($C169="","",IF(PULL_FUND="N","",IFERROR(BDP($C169,FCF_FIELD)/100,"")))</f>
        <v/>
      </c>
      <c r="AX169" s="50">
        <f>IF($C169="","",IF(N($U169)=0,"",IFERROR($AW169/$U169,"")))</f>
        <v/>
      </c>
      <c r="AY169" s="85">
        <f>IF($C169="","",TRIM(IF(ISNUMBER($AJ169)*(N($AJ169)&gt;$D$4)&gt;0,"payout high  ","")&amp;IF(ISNUMBER($AX169)*(N($AX169)&lt;$F$4)&gt;0,"FCF below dvd  ","")&amp;IF(ISNUMBER($AU169)*(N($AU169)&gt;$H$4)&gt;0,"leverage high","")))</f>
        <v/>
      </c>
      <c r="AZ169" s="86">
        <f>IF($C169="","",IF(HSCEI!$F$24="HKD","",HSCEI!$F$24))</f>
        <v/>
      </c>
    </row>
    <row r="170">
      <c r="B170" s="66" t="inlineStr">
        <is>
          <t>HSCEI</t>
        </is>
      </c>
      <c r="C170" s="8">
        <f>IF(HSCEI!$C$25="","",HSCEI!$C$25)</f>
        <v/>
      </c>
      <c r="D170" s="8">
        <f>IF($C170="","",HSCEI!$D$25)</f>
        <v/>
      </c>
      <c r="E170" s="8">
        <f>IF($C170="","",HSCEI!$E$25)</f>
        <v/>
      </c>
      <c r="F170" s="67">
        <f>IF($C170="","",SUMPRODUCT(('Dvd Calendar'!$E$1759:$AR$1759&gt;=DATE(YEAR_Y-5,1,1))*('Dvd Calendar'!$E$1759:$AR$1759&lt;=DATE(YEAR_Y-5,12,31))*'Dvd Calendar'!$E$1762:$AR$1762*(('Dvd Calendar'!$E$1764:$AR$1764=TYPE1)*(TYPE1&lt;&gt;"")+('Dvd Calendar'!$E$1764:$AR$1764=TYPE2)*(TYPE2&lt;&gt;"")+('Dvd Calendar'!$E$1764:$AR$1764=TYPE3)*(TYPE3&lt;&gt;"")+('Dvd Calendar'!$E$1764:$AR$1764=TYPE4)*(TYPE4&lt;&gt;"")+('Dvd Calendar'!$E$1764:$AR$1764=SPECIAL_LBL)*(INC_SPECIALS="Y"))))</f>
        <v/>
      </c>
      <c r="G170" s="68">
        <f>IF($C170="","",SUMPRODUCT(('Dvd Calendar'!$E$1759:$AR$1759&gt;=DATE(YEAR_Y-4,1,1))*('Dvd Calendar'!$E$1759:$AR$1759&lt;=DATE(YEAR_Y-4,12,31))*'Dvd Calendar'!$E$1762:$AR$1762*(('Dvd Calendar'!$E$1764:$AR$1764=TYPE1)*(TYPE1&lt;&gt;"")+('Dvd Calendar'!$E$1764:$AR$1764=TYPE2)*(TYPE2&lt;&gt;"")+('Dvd Calendar'!$E$1764:$AR$1764=TYPE3)*(TYPE3&lt;&gt;"")+('Dvd Calendar'!$E$1764:$AR$1764=TYPE4)*(TYPE4&lt;&gt;"")+('Dvd Calendar'!$E$1764:$AR$1764=SPECIAL_LBL)*(INC_SPECIALS="Y"))))</f>
        <v/>
      </c>
      <c r="H170" s="68">
        <f>IF($C170="","",SUMPRODUCT(('Dvd Calendar'!$E$1759:$AR$1759&gt;=DATE(YEAR_Y-3,1,1))*('Dvd Calendar'!$E$1759:$AR$1759&lt;=DATE(YEAR_Y-3,12,31))*'Dvd Calendar'!$E$1762:$AR$1762*(('Dvd Calendar'!$E$1764:$AR$1764=TYPE1)*(TYPE1&lt;&gt;"")+('Dvd Calendar'!$E$1764:$AR$1764=TYPE2)*(TYPE2&lt;&gt;"")+('Dvd Calendar'!$E$1764:$AR$1764=TYPE3)*(TYPE3&lt;&gt;"")+('Dvd Calendar'!$E$1764:$AR$1764=TYPE4)*(TYPE4&lt;&gt;"")+('Dvd Calendar'!$E$1764:$AR$1764=SPECIAL_LBL)*(INC_SPECIALS="Y"))))</f>
        <v/>
      </c>
      <c r="I170" s="68">
        <f>IF($C170="","",SUMPRODUCT(('Dvd Calendar'!$E$1759:$AR$1759&gt;=DATE(YEAR_Y-2,1,1))*('Dvd Calendar'!$E$1759:$AR$1759&lt;=DATE(YEAR_Y-2,12,31))*'Dvd Calendar'!$E$1762:$AR$1762*(('Dvd Calendar'!$E$1764:$AR$1764=TYPE1)*(TYPE1&lt;&gt;"")+('Dvd Calendar'!$E$1764:$AR$1764=TYPE2)*(TYPE2&lt;&gt;"")+('Dvd Calendar'!$E$1764:$AR$1764=TYPE3)*(TYPE3&lt;&gt;"")+('Dvd Calendar'!$E$1764:$AR$1764=TYPE4)*(TYPE4&lt;&gt;"")+('Dvd Calendar'!$E$1764:$AR$1764=SPECIAL_LBL)*(INC_SPECIALS="Y"))))</f>
        <v/>
      </c>
      <c r="J170" s="68">
        <f>IF($C170="","",SUMPRODUCT(('Dvd Calendar'!$E$1759:$AR$1759&gt;=DATE(YEAR_Y-1,1,1))*('Dvd Calendar'!$E$1759:$AR$1759&lt;=DATE(YEAR_Y-1,12,31))*'Dvd Calendar'!$E$1762:$AR$1762*(('Dvd Calendar'!$E$1764:$AR$1764=TYPE1)*(TYPE1&lt;&gt;"")+('Dvd Calendar'!$E$1764:$AR$1764=TYPE2)*(TYPE2&lt;&gt;"")+('Dvd Calendar'!$E$1764:$AR$1764=TYPE3)*(TYPE3&lt;&gt;"")+('Dvd Calendar'!$E$1764:$AR$1764=TYPE4)*(TYPE4&lt;&gt;"")+('Dvd Calendar'!$E$1764:$AR$1764=SPECIAL_LBL)*(INC_SPECIALS="Y"))))</f>
        <v/>
      </c>
      <c r="K170" s="69">
        <f>IF($C170="","",HSCEI!$J$25)</f>
        <v/>
      </c>
      <c r="L170" s="69">
        <f>IF($C170="","",HSCEI!$K$25)</f>
        <v/>
      </c>
      <c r="M170" s="44">
        <f>IF($C170="","",HSCEI!$J$25+HSCEI!$L$25)</f>
        <v/>
      </c>
      <c r="N170" s="70">
        <f>IF($C170="","",IF(PULL_FUND="N","",IFERROR(BDP($C170,BESTDPS_FIELD,FWD_OVERRIDE,TEXT(MOD(YEAR_Y,100),"00")&amp;"Y"),"")))</f>
        <v/>
      </c>
      <c r="O170" s="69">
        <f>IF($C170="","",AVERAGE(F170:J170))</f>
        <v/>
      </c>
      <c r="P170" s="71">
        <f>IF($C170="","",IF(PULL_FUND="N","",IF(COUNTIFS('Fund History'!$J$964:$J$968,"&gt;="&amp;DATE(YEAR_Y-5,1,1),'Fund History'!$J$964:$J$968,"&lt;="&amp;DATE(YEAR_Y-5,12,31))=0,"",IFERROR($F170*HSCEI!$G$25/SUMIFS('Fund History'!$K$964:$K$968,'Fund History'!$J$964:$J$968,"&gt;="&amp;DATE(YEAR_Y-5,1,1),'Fund History'!$J$964:$J$968,"&lt;="&amp;DATE(YEAR_Y-5,12,31)),""))))</f>
        <v/>
      </c>
      <c r="Q170" s="72">
        <f>IF($C170="","",IF(PULL_FUND="N","",IF(COUNTIFS('Fund History'!$J$964:$J$968,"&gt;="&amp;DATE(YEAR_Y-4,1,1),'Fund History'!$J$964:$J$968,"&lt;="&amp;DATE(YEAR_Y-4,12,31))=0,"",IFERROR($G170*HSCEI!$G$25/SUMIFS('Fund History'!$K$964:$K$968,'Fund History'!$J$964:$J$968,"&gt;="&amp;DATE(YEAR_Y-4,1,1),'Fund History'!$J$964:$J$968,"&lt;="&amp;DATE(YEAR_Y-4,12,31)),""))))</f>
        <v/>
      </c>
      <c r="R170" s="72">
        <f>IF($C170="","",IF(PULL_FUND="N","",IF(COUNTIFS('Fund History'!$J$964:$J$968,"&gt;="&amp;DATE(YEAR_Y-3,1,1),'Fund History'!$J$964:$J$968,"&lt;="&amp;DATE(YEAR_Y-3,12,31))=0,"",IFERROR($H170*HSCEI!$G$25/SUMIFS('Fund History'!$K$964:$K$968,'Fund History'!$J$964:$J$968,"&gt;="&amp;DATE(YEAR_Y-3,1,1),'Fund History'!$J$964:$J$968,"&lt;="&amp;DATE(YEAR_Y-3,12,31)),""))))</f>
        <v/>
      </c>
      <c r="S170" s="72">
        <f>IF($C170="","",IF(PULL_FUND="N","",IF(COUNTIFS('Fund History'!$J$964:$J$968,"&gt;="&amp;DATE(YEAR_Y-2,1,1),'Fund History'!$J$964:$J$968,"&lt;="&amp;DATE(YEAR_Y-2,12,31))=0,"",IFERROR($I170*HSCEI!$G$25/SUMIFS('Fund History'!$K$964:$K$968,'Fund History'!$J$964:$J$968,"&gt;="&amp;DATE(YEAR_Y-2,1,1),'Fund History'!$J$964:$J$968,"&lt;="&amp;DATE(YEAR_Y-2,12,31)),""))))</f>
        <v/>
      </c>
      <c r="T170" s="72">
        <f>IF($C170="","",IF(PULL_FUND="N","",IF(COUNTIFS('Fund History'!$J$964:$J$968,"&gt;="&amp;DATE(YEAR_Y-1,1,1),'Fund History'!$J$964:$J$968,"&lt;="&amp;DATE(YEAR_Y-1,12,31))=0,"",IFERROR($J170*HSCEI!$G$25/SUMIFS('Fund History'!$K$964:$K$968,'Fund History'!$J$964:$J$968,"&gt;="&amp;DATE(YEAR_Y-1,1,1),'Fund History'!$J$964:$J$968,"&lt;="&amp;DATE(YEAR_Y-1,12,31)),""))))</f>
        <v/>
      </c>
      <c r="U170" s="73">
        <f>IF($C170="","",IF(ISNUMBER(HSCEI!$I$25),HSCEI!$I$25/100,""))</f>
        <v/>
      </c>
      <c r="V170" s="74">
        <f>IF($C170="","",IF(ISNUMBER(HSCEI!$X$25),IFERROR($M170*HSCEI!$G$25/HSCEI!$X$25,""),""))</f>
        <v/>
      </c>
      <c r="W170" s="73">
        <f>IF($C170="","",IF(ISNUMBER($N170),IFERROR($N170*HSCEI!$G$25/HSCEI!$X$25,""),""))</f>
        <v/>
      </c>
      <c r="X170" s="75">
        <f>IF($C170="","",IF(PULL_FUND="N","",IFERROR(BDP($C170,EPS_FIELD,YR_OVERRIDE,TEXT(YEAR_Y-5,"0")),"")))</f>
        <v/>
      </c>
      <c r="Y170" s="76">
        <f>IF($C170="","",IF(PULL_FUND="N","",IFERROR(BDP($C170,EPS_FIELD,YR_OVERRIDE,TEXT(YEAR_Y-4,"0")),"")))</f>
        <v/>
      </c>
      <c r="Z170" s="76">
        <f>IF($C170="","",IF(PULL_FUND="N","",IFERROR(BDP($C170,EPS_FIELD,YR_OVERRIDE,TEXT(YEAR_Y-3,"0")),"")))</f>
        <v/>
      </c>
      <c r="AA170" s="76">
        <f>IF($C170="","",IF(PULL_FUND="N","",IFERROR(BDP($C170,EPS_FIELD,YR_OVERRIDE,TEXT(YEAR_Y-2,"0")),"")))</f>
        <v/>
      </c>
      <c r="AB170" s="76">
        <f>IF($C170="","",IF(PULL_FUND="N","",IFERROR(BDP($C170,EPS_FIELD,YR_OVERRIDE,TEXT(YEAR_Y-1,"0")),"")))</f>
        <v/>
      </c>
      <c r="AC170" s="50">
        <f>IF($C170="","",IFERROR(AVERAGE(X170:AB170),""))</f>
        <v/>
      </c>
      <c r="AD170" s="76">
        <f>IF($C170="","",IF(PULL_FUND="N","",IFERROR(BDP($C170,BESTEPS_FIELD,FWD_OVERRIDE,TEXT(MOD(YEAR_Y,100),"00")&amp;"Y"),"")))</f>
        <v/>
      </c>
      <c r="AE170" s="77">
        <f>IF($C170="","",IF(PULL_FUND="N","",IFERROR(BDP($C170,PAYOUT_FIELD,YR_OVERRIDE,TEXT(YEAR_Y-5,"0"))/100,"")))</f>
        <v/>
      </c>
      <c r="AF170" s="78">
        <f>IF($C170="","",IF(PULL_FUND="N","",IFERROR(BDP($C170,PAYOUT_FIELD,YR_OVERRIDE,TEXT(YEAR_Y-4,"0"))/100,"")))</f>
        <v/>
      </c>
      <c r="AG170" s="78">
        <f>IF($C170="","",IF(PULL_FUND="N","",IFERROR(BDP($C170,PAYOUT_FIELD,YR_OVERRIDE,TEXT(YEAR_Y-3,"0"))/100,"")))</f>
        <v/>
      </c>
      <c r="AH170" s="78">
        <f>IF($C170="","",IF(PULL_FUND="N","",IFERROR(BDP($C170,PAYOUT_FIELD,YR_OVERRIDE,TEXT(YEAR_Y-2,"0"))/100,"")))</f>
        <v/>
      </c>
      <c r="AI170" s="78">
        <f>IF($C170="","",IF(PULL_FUND="N","",IFERROR(BDP($C170,PAYOUT_FIELD,YR_OVERRIDE,TEXT(YEAR_Y-1,"0"))/100,"")))</f>
        <v/>
      </c>
      <c r="AJ170" s="79">
        <f>IF($C170="","",IFERROR(AVERAGE(AE170:AI170),""))</f>
        <v/>
      </c>
      <c r="AK170" s="80">
        <f>IF($C170="","",IF(ISNUMBER($AD170)*ISNUMBER($N170)*($AD170&lt;&gt;0)=0,"",$N170/$AD170))</f>
        <v/>
      </c>
      <c r="AL170" s="79">
        <f>IF($C170="","",IF(ISNUMBER($AD170)*($AD170&lt;&gt;0)=0,"",$M170/$AD170))</f>
        <v/>
      </c>
      <c r="AM170" s="37">
        <f>IF($C170="","",IF(ISNUMBER($AE170)*ISNUMBER($AI170)=0,"",IF($AI170&gt;$AE170+0.05,"rising",IF($AI170&lt;$AE170-0.05,"falling","stable"))))</f>
        <v/>
      </c>
      <c r="AN170" s="81">
        <f>IF($C170="","",IF(PULL_FUND="N","",IF(COUNTIFS('Fund History'!$G$964:$G$968,"&gt;="&amp;DATE(YEAR_Y-4,1,1),'Fund History'!$G$964:$G$968,"&lt;="&amp;DATE(YEAR_Y-4,12,31))=0,"",SUMIFS('Fund History'!$H$964:$H$968,'Fund History'!$G$964:$G$968,"&gt;="&amp;DATE(YEAR_Y-4,1,1),'Fund History'!$G$964:$G$968,"&lt;="&amp;DATE(YEAR_Y-4,12,31))/100)))</f>
        <v/>
      </c>
      <c r="AO170" s="82">
        <f>IF($C170="","",IF(PULL_FUND="N","",IF(COUNTIFS('Fund History'!$G$964:$G$968,"&gt;="&amp;DATE(YEAR_Y-3,1,1),'Fund History'!$G$964:$G$968,"&lt;="&amp;DATE(YEAR_Y-3,12,31))=0,"",SUMIFS('Fund History'!$H$964:$H$968,'Fund History'!$G$964:$G$968,"&gt;="&amp;DATE(YEAR_Y-3,1,1),'Fund History'!$G$964:$G$968,"&lt;="&amp;DATE(YEAR_Y-3,12,31))/100)))</f>
        <v/>
      </c>
      <c r="AP170" s="82">
        <f>IF($C170="","",IF(PULL_FUND="N","",IF(COUNTIFS('Fund History'!$G$964:$G$968,"&gt;="&amp;DATE(YEAR_Y-2,1,1),'Fund History'!$G$964:$G$968,"&lt;="&amp;DATE(YEAR_Y-2,12,31))=0,"",SUMIFS('Fund History'!$H$964:$H$968,'Fund History'!$G$964:$G$968,"&gt;="&amp;DATE(YEAR_Y-2,1,1),'Fund History'!$G$964:$G$968,"&lt;="&amp;DATE(YEAR_Y-2,12,31))/100)))</f>
        <v/>
      </c>
      <c r="AQ170" s="82">
        <f>IF($C170="","",IF(PULL_FUND="N","",IF(COUNTIFS('Fund History'!$G$964:$G$968,"&gt;="&amp;DATE(YEAR_Y-1,1,1),'Fund History'!$G$964:$G$968,"&lt;="&amp;DATE(YEAR_Y-1,12,31))=0,"",SUMIFS('Fund History'!$H$964:$H$968,'Fund History'!$G$964:$G$968,"&gt;="&amp;DATE(YEAR_Y-1,1,1),'Fund History'!$G$964:$G$968,"&lt;="&amp;DATE(YEAR_Y-1,12,31))/100)))</f>
        <v/>
      </c>
      <c r="AR170" s="83">
        <f>IF($C170="","",IF(N($AQ170)+N(HSCEI!$I$25)=0,"",N($AQ170)+N(HSCEI!$I$25)/100))</f>
        <v/>
      </c>
      <c r="AS170" s="75">
        <f>IF($C170="","",IF(PULL_FUND="N","",IF(COUNTIFS('Fund History'!$D$964:$D$968,"&gt;="&amp;DATE(YEAR_Y-2,1,1),'Fund History'!$D$964:$D$968,"&lt;="&amp;DATE(YEAR_Y-2,12,31))=0,"",SUMIFS('Fund History'!$E$964:$E$968,'Fund History'!$D$964:$D$968,"&gt;="&amp;DATE(YEAR_Y-2,1,1),'Fund History'!$D$964:$D$968,"&lt;="&amp;DATE(YEAR_Y-2,12,31)))))</f>
        <v/>
      </c>
      <c r="AT170" s="76">
        <f>IF($C170="","",IF(PULL_FUND="N","",IF(COUNTIFS('Fund History'!$D$964:$D$968,"&gt;="&amp;DATE(YEAR_Y-1,1,1),'Fund History'!$D$964:$D$968,"&lt;="&amp;DATE(YEAR_Y-1,12,31))=0,"",SUMIFS('Fund History'!$E$964:$E$968,'Fund History'!$D$964:$D$968,"&gt;="&amp;DATE(YEAR_Y-1,1,1),'Fund History'!$D$964:$D$968,"&lt;="&amp;DATE(YEAR_Y-1,12,31)))))</f>
        <v/>
      </c>
      <c r="AU170" s="76">
        <f>IF($C170="","",IF(PULL_FUND="N","",IFERROR(BDP($C170,NDEBITDA_FIELD),"")))</f>
        <v/>
      </c>
      <c r="AV170" s="84">
        <f>IF($C170="","",IF(PULL_FUND="N","",IFERROR(BDP($C170,EBINT_FIELD),"")))</f>
        <v/>
      </c>
      <c r="AW170" s="82">
        <f>IF($C170="","",IF(PULL_FUND="N","",IFERROR(BDP($C170,FCF_FIELD)/100,"")))</f>
        <v/>
      </c>
      <c r="AX170" s="50">
        <f>IF($C170="","",IF(N($U170)=0,"",IFERROR($AW170/$U170,"")))</f>
        <v/>
      </c>
      <c r="AY170" s="85">
        <f>IF($C170="","",TRIM(IF(ISNUMBER($AJ170)*(N($AJ170)&gt;$D$4)&gt;0,"payout high  ","")&amp;IF(ISNUMBER($AX170)*(N($AX170)&lt;$F$4)&gt;0,"FCF below dvd  ","")&amp;IF(ISNUMBER($AU170)*(N($AU170)&gt;$H$4)&gt;0,"leverage high","")))</f>
        <v/>
      </c>
      <c r="AZ170" s="86">
        <f>IF($C170="","",IF(HSCEI!$F$25="HKD","",HSCEI!$F$25))</f>
        <v/>
      </c>
    </row>
    <row r="171">
      <c r="B171" s="66" t="inlineStr">
        <is>
          <t>HSCEI</t>
        </is>
      </c>
      <c r="C171" s="8">
        <f>IF(HSCEI!$C$26="","",HSCEI!$C$26)</f>
        <v/>
      </c>
      <c r="D171" s="8">
        <f>IF($C171="","",HSCEI!$D$26)</f>
        <v/>
      </c>
      <c r="E171" s="8">
        <f>IF($C171="","",HSCEI!$E$26)</f>
        <v/>
      </c>
      <c r="F171" s="67">
        <f>IF($C171="","",SUMPRODUCT(('Dvd Calendar'!$E$1770:$AR$1770&gt;=DATE(YEAR_Y-5,1,1))*('Dvd Calendar'!$E$1770:$AR$1770&lt;=DATE(YEAR_Y-5,12,31))*'Dvd Calendar'!$E$1773:$AR$1773*(('Dvd Calendar'!$E$1775:$AR$1775=TYPE1)*(TYPE1&lt;&gt;"")+('Dvd Calendar'!$E$1775:$AR$1775=TYPE2)*(TYPE2&lt;&gt;"")+('Dvd Calendar'!$E$1775:$AR$1775=TYPE3)*(TYPE3&lt;&gt;"")+('Dvd Calendar'!$E$1775:$AR$1775=TYPE4)*(TYPE4&lt;&gt;"")+('Dvd Calendar'!$E$1775:$AR$1775=SPECIAL_LBL)*(INC_SPECIALS="Y"))))</f>
        <v/>
      </c>
      <c r="G171" s="68">
        <f>IF($C171="","",SUMPRODUCT(('Dvd Calendar'!$E$1770:$AR$1770&gt;=DATE(YEAR_Y-4,1,1))*('Dvd Calendar'!$E$1770:$AR$1770&lt;=DATE(YEAR_Y-4,12,31))*'Dvd Calendar'!$E$1773:$AR$1773*(('Dvd Calendar'!$E$1775:$AR$1775=TYPE1)*(TYPE1&lt;&gt;"")+('Dvd Calendar'!$E$1775:$AR$1775=TYPE2)*(TYPE2&lt;&gt;"")+('Dvd Calendar'!$E$1775:$AR$1775=TYPE3)*(TYPE3&lt;&gt;"")+('Dvd Calendar'!$E$1775:$AR$1775=TYPE4)*(TYPE4&lt;&gt;"")+('Dvd Calendar'!$E$1775:$AR$1775=SPECIAL_LBL)*(INC_SPECIALS="Y"))))</f>
        <v/>
      </c>
      <c r="H171" s="68">
        <f>IF($C171="","",SUMPRODUCT(('Dvd Calendar'!$E$1770:$AR$1770&gt;=DATE(YEAR_Y-3,1,1))*('Dvd Calendar'!$E$1770:$AR$1770&lt;=DATE(YEAR_Y-3,12,31))*'Dvd Calendar'!$E$1773:$AR$1773*(('Dvd Calendar'!$E$1775:$AR$1775=TYPE1)*(TYPE1&lt;&gt;"")+('Dvd Calendar'!$E$1775:$AR$1775=TYPE2)*(TYPE2&lt;&gt;"")+('Dvd Calendar'!$E$1775:$AR$1775=TYPE3)*(TYPE3&lt;&gt;"")+('Dvd Calendar'!$E$1775:$AR$1775=TYPE4)*(TYPE4&lt;&gt;"")+('Dvd Calendar'!$E$1775:$AR$1775=SPECIAL_LBL)*(INC_SPECIALS="Y"))))</f>
        <v/>
      </c>
      <c r="I171" s="68">
        <f>IF($C171="","",SUMPRODUCT(('Dvd Calendar'!$E$1770:$AR$1770&gt;=DATE(YEAR_Y-2,1,1))*('Dvd Calendar'!$E$1770:$AR$1770&lt;=DATE(YEAR_Y-2,12,31))*'Dvd Calendar'!$E$1773:$AR$1773*(('Dvd Calendar'!$E$1775:$AR$1775=TYPE1)*(TYPE1&lt;&gt;"")+('Dvd Calendar'!$E$1775:$AR$1775=TYPE2)*(TYPE2&lt;&gt;"")+('Dvd Calendar'!$E$1775:$AR$1775=TYPE3)*(TYPE3&lt;&gt;"")+('Dvd Calendar'!$E$1775:$AR$1775=TYPE4)*(TYPE4&lt;&gt;"")+('Dvd Calendar'!$E$1775:$AR$1775=SPECIAL_LBL)*(INC_SPECIALS="Y"))))</f>
        <v/>
      </c>
      <c r="J171" s="68">
        <f>IF($C171="","",SUMPRODUCT(('Dvd Calendar'!$E$1770:$AR$1770&gt;=DATE(YEAR_Y-1,1,1))*('Dvd Calendar'!$E$1770:$AR$1770&lt;=DATE(YEAR_Y-1,12,31))*'Dvd Calendar'!$E$1773:$AR$1773*(('Dvd Calendar'!$E$1775:$AR$1775=TYPE1)*(TYPE1&lt;&gt;"")+('Dvd Calendar'!$E$1775:$AR$1775=TYPE2)*(TYPE2&lt;&gt;"")+('Dvd Calendar'!$E$1775:$AR$1775=TYPE3)*(TYPE3&lt;&gt;"")+('Dvd Calendar'!$E$1775:$AR$1775=TYPE4)*(TYPE4&lt;&gt;"")+('Dvd Calendar'!$E$1775:$AR$1775=SPECIAL_LBL)*(INC_SPECIALS="Y"))))</f>
        <v/>
      </c>
      <c r="K171" s="69">
        <f>IF($C171="","",HSCEI!$J$26)</f>
        <v/>
      </c>
      <c r="L171" s="69">
        <f>IF($C171="","",HSCEI!$K$26)</f>
        <v/>
      </c>
      <c r="M171" s="44">
        <f>IF($C171="","",HSCEI!$J$26+HSCEI!$L$26)</f>
        <v/>
      </c>
      <c r="N171" s="70">
        <f>IF($C171="","",IF(PULL_FUND="N","",IFERROR(BDP($C171,BESTDPS_FIELD,FWD_OVERRIDE,TEXT(MOD(YEAR_Y,100),"00")&amp;"Y"),"")))</f>
        <v/>
      </c>
      <c r="O171" s="69">
        <f>IF($C171="","",AVERAGE(F171:J171))</f>
        <v/>
      </c>
      <c r="P171" s="71">
        <f>IF($C171="","",IF(PULL_FUND="N","",IF(COUNTIFS('Fund History'!$J$970:$J$974,"&gt;="&amp;DATE(YEAR_Y-5,1,1),'Fund History'!$J$970:$J$974,"&lt;="&amp;DATE(YEAR_Y-5,12,31))=0,"",IFERROR($F171*HSCEI!$G$26/SUMIFS('Fund History'!$K$970:$K$974,'Fund History'!$J$970:$J$974,"&gt;="&amp;DATE(YEAR_Y-5,1,1),'Fund History'!$J$970:$J$974,"&lt;="&amp;DATE(YEAR_Y-5,12,31)),""))))</f>
        <v/>
      </c>
      <c r="Q171" s="72">
        <f>IF($C171="","",IF(PULL_FUND="N","",IF(COUNTIFS('Fund History'!$J$970:$J$974,"&gt;="&amp;DATE(YEAR_Y-4,1,1),'Fund History'!$J$970:$J$974,"&lt;="&amp;DATE(YEAR_Y-4,12,31))=0,"",IFERROR($G171*HSCEI!$G$26/SUMIFS('Fund History'!$K$970:$K$974,'Fund History'!$J$970:$J$974,"&gt;="&amp;DATE(YEAR_Y-4,1,1),'Fund History'!$J$970:$J$974,"&lt;="&amp;DATE(YEAR_Y-4,12,31)),""))))</f>
        <v/>
      </c>
      <c r="R171" s="72">
        <f>IF($C171="","",IF(PULL_FUND="N","",IF(COUNTIFS('Fund History'!$J$970:$J$974,"&gt;="&amp;DATE(YEAR_Y-3,1,1),'Fund History'!$J$970:$J$974,"&lt;="&amp;DATE(YEAR_Y-3,12,31))=0,"",IFERROR($H171*HSCEI!$G$26/SUMIFS('Fund History'!$K$970:$K$974,'Fund History'!$J$970:$J$974,"&gt;="&amp;DATE(YEAR_Y-3,1,1),'Fund History'!$J$970:$J$974,"&lt;="&amp;DATE(YEAR_Y-3,12,31)),""))))</f>
        <v/>
      </c>
      <c r="S171" s="72">
        <f>IF($C171="","",IF(PULL_FUND="N","",IF(COUNTIFS('Fund History'!$J$970:$J$974,"&gt;="&amp;DATE(YEAR_Y-2,1,1),'Fund History'!$J$970:$J$974,"&lt;="&amp;DATE(YEAR_Y-2,12,31))=0,"",IFERROR($I171*HSCEI!$G$26/SUMIFS('Fund History'!$K$970:$K$974,'Fund History'!$J$970:$J$974,"&gt;="&amp;DATE(YEAR_Y-2,1,1),'Fund History'!$J$970:$J$974,"&lt;="&amp;DATE(YEAR_Y-2,12,31)),""))))</f>
        <v/>
      </c>
      <c r="T171" s="72">
        <f>IF($C171="","",IF(PULL_FUND="N","",IF(COUNTIFS('Fund History'!$J$970:$J$974,"&gt;="&amp;DATE(YEAR_Y-1,1,1),'Fund History'!$J$970:$J$974,"&lt;="&amp;DATE(YEAR_Y-1,12,31))=0,"",IFERROR($J171*HSCEI!$G$26/SUMIFS('Fund History'!$K$970:$K$974,'Fund History'!$J$970:$J$974,"&gt;="&amp;DATE(YEAR_Y-1,1,1),'Fund History'!$J$970:$J$974,"&lt;="&amp;DATE(YEAR_Y-1,12,31)),""))))</f>
        <v/>
      </c>
      <c r="U171" s="73">
        <f>IF($C171="","",IF(ISNUMBER(HSCEI!$I$26),HSCEI!$I$26/100,""))</f>
        <v/>
      </c>
      <c r="V171" s="74">
        <f>IF($C171="","",IF(ISNUMBER(HSCEI!$X$26),IFERROR($M171*HSCEI!$G$26/HSCEI!$X$26,""),""))</f>
        <v/>
      </c>
      <c r="W171" s="73">
        <f>IF($C171="","",IF(ISNUMBER($N171),IFERROR($N171*HSCEI!$G$26/HSCEI!$X$26,""),""))</f>
        <v/>
      </c>
      <c r="X171" s="75">
        <f>IF($C171="","",IF(PULL_FUND="N","",IFERROR(BDP($C171,EPS_FIELD,YR_OVERRIDE,TEXT(YEAR_Y-5,"0")),"")))</f>
        <v/>
      </c>
      <c r="Y171" s="76">
        <f>IF($C171="","",IF(PULL_FUND="N","",IFERROR(BDP($C171,EPS_FIELD,YR_OVERRIDE,TEXT(YEAR_Y-4,"0")),"")))</f>
        <v/>
      </c>
      <c r="Z171" s="76">
        <f>IF($C171="","",IF(PULL_FUND="N","",IFERROR(BDP($C171,EPS_FIELD,YR_OVERRIDE,TEXT(YEAR_Y-3,"0")),"")))</f>
        <v/>
      </c>
      <c r="AA171" s="76">
        <f>IF($C171="","",IF(PULL_FUND="N","",IFERROR(BDP($C171,EPS_FIELD,YR_OVERRIDE,TEXT(YEAR_Y-2,"0")),"")))</f>
        <v/>
      </c>
      <c r="AB171" s="76">
        <f>IF($C171="","",IF(PULL_FUND="N","",IFERROR(BDP($C171,EPS_FIELD,YR_OVERRIDE,TEXT(YEAR_Y-1,"0")),"")))</f>
        <v/>
      </c>
      <c r="AC171" s="50">
        <f>IF($C171="","",IFERROR(AVERAGE(X171:AB171),""))</f>
        <v/>
      </c>
      <c r="AD171" s="76">
        <f>IF($C171="","",IF(PULL_FUND="N","",IFERROR(BDP($C171,BESTEPS_FIELD,FWD_OVERRIDE,TEXT(MOD(YEAR_Y,100),"00")&amp;"Y"),"")))</f>
        <v/>
      </c>
      <c r="AE171" s="77">
        <f>IF($C171="","",IF(PULL_FUND="N","",IFERROR(BDP($C171,PAYOUT_FIELD,YR_OVERRIDE,TEXT(YEAR_Y-5,"0"))/100,"")))</f>
        <v/>
      </c>
      <c r="AF171" s="78">
        <f>IF($C171="","",IF(PULL_FUND="N","",IFERROR(BDP($C171,PAYOUT_FIELD,YR_OVERRIDE,TEXT(YEAR_Y-4,"0"))/100,"")))</f>
        <v/>
      </c>
      <c r="AG171" s="78">
        <f>IF($C171="","",IF(PULL_FUND="N","",IFERROR(BDP($C171,PAYOUT_FIELD,YR_OVERRIDE,TEXT(YEAR_Y-3,"0"))/100,"")))</f>
        <v/>
      </c>
      <c r="AH171" s="78">
        <f>IF($C171="","",IF(PULL_FUND="N","",IFERROR(BDP($C171,PAYOUT_FIELD,YR_OVERRIDE,TEXT(YEAR_Y-2,"0"))/100,"")))</f>
        <v/>
      </c>
      <c r="AI171" s="78">
        <f>IF($C171="","",IF(PULL_FUND="N","",IFERROR(BDP($C171,PAYOUT_FIELD,YR_OVERRIDE,TEXT(YEAR_Y-1,"0"))/100,"")))</f>
        <v/>
      </c>
      <c r="AJ171" s="79">
        <f>IF($C171="","",IFERROR(AVERAGE(AE171:AI171),""))</f>
        <v/>
      </c>
      <c r="AK171" s="80">
        <f>IF($C171="","",IF(ISNUMBER($AD171)*ISNUMBER($N171)*($AD171&lt;&gt;0)=0,"",$N171/$AD171))</f>
        <v/>
      </c>
      <c r="AL171" s="79">
        <f>IF($C171="","",IF(ISNUMBER($AD171)*($AD171&lt;&gt;0)=0,"",$M171/$AD171))</f>
        <v/>
      </c>
      <c r="AM171" s="37">
        <f>IF($C171="","",IF(ISNUMBER($AE171)*ISNUMBER($AI171)=0,"",IF($AI171&gt;$AE171+0.05,"rising",IF($AI171&lt;$AE171-0.05,"falling","stable"))))</f>
        <v/>
      </c>
      <c r="AN171" s="81">
        <f>IF($C171="","",IF(PULL_FUND="N","",IF(COUNTIFS('Fund History'!$G$970:$G$974,"&gt;="&amp;DATE(YEAR_Y-4,1,1),'Fund History'!$G$970:$G$974,"&lt;="&amp;DATE(YEAR_Y-4,12,31))=0,"",SUMIFS('Fund History'!$H$970:$H$974,'Fund History'!$G$970:$G$974,"&gt;="&amp;DATE(YEAR_Y-4,1,1),'Fund History'!$G$970:$G$974,"&lt;="&amp;DATE(YEAR_Y-4,12,31))/100)))</f>
        <v/>
      </c>
      <c r="AO171" s="82">
        <f>IF($C171="","",IF(PULL_FUND="N","",IF(COUNTIFS('Fund History'!$G$970:$G$974,"&gt;="&amp;DATE(YEAR_Y-3,1,1),'Fund History'!$G$970:$G$974,"&lt;="&amp;DATE(YEAR_Y-3,12,31))=0,"",SUMIFS('Fund History'!$H$970:$H$974,'Fund History'!$G$970:$G$974,"&gt;="&amp;DATE(YEAR_Y-3,1,1),'Fund History'!$G$970:$G$974,"&lt;="&amp;DATE(YEAR_Y-3,12,31))/100)))</f>
        <v/>
      </c>
      <c r="AP171" s="82">
        <f>IF($C171="","",IF(PULL_FUND="N","",IF(COUNTIFS('Fund History'!$G$970:$G$974,"&gt;="&amp;DATE(YEAR_Y-2,1,1),'Fund History'!$G$970:$G$974,"&lt;="&amp;DATE(YEAR_Y-2,12,31))=0,"",SUMIFS('Fund History'!$H$970:$H$974,'Fund History'!$G$970:$G$974,"&gt;="&amp;DATE(YEAR_Y-2,1,1),'Fund History'!$G$970:$G$974,"&lt;="&amp;DATE(YEAR_Y-2,12,31))/100)))</f>
        <v/>
      </c>
      <c r="AQ171" s="82">
        <f>IF($C171="","",IF(PULL_FUND="N","",IF(COUNTIFS('Fund History'!$G$970:$G$974,"&gt;="&amp;DATE(YEAR_Y-1,1,1),'Fund History'!$G$970:$G$974,"&lt;="&amp;DATE(YEAR_Y-1,12,31))=0,"",SUMIFS('Fund History'!$H$970:$H$974,'Fund History'!$G$970:$G$974,"&gt;="&amp;DATE(YEAR_Y-1,1,1),'Fund History'!$G$970:$G$974,"&lt;="&amp;DATE(YEAR_Y-1,12,31))/100)))</f>
        <v/>
      </c>
      <c r="AR171" s="83">
        <f>IF($C171="","",IF(N($AQ171)+N(HSCEI!$I$26)=0,"",N($AQ171)+N(HSCEI!$I$26)/100))</f>
        <v/>
      </c>
      <c r="AS171" s="75">
        <f>IF($C171="","",IF(PULL_FUND="N","",IF(COUNTIFS('Fund History'!$D$970:$D$974,"&gt;="&amp;DATE(YEAR_Y-2,1,1),'Fund History'!$D$970:$D$974,"&lt;="&amp;DATE(YEAR_Y-2,12,31))=0,"",SUMIFS('Fund History'!$E$970:$E$974,'Fund History'!$D$970:$D$974,"&gt;="&amp;DATE(YEAR_Y-2,1,1),'Fund History'!$D$970:$D$974,"&lt;="&amp;DATE(YEAR_Y-2,12,31)))))</f>
        <v/>
      </c>
      <c r="AT171" s="76">
        <f>IF($C171="","",IF(PULL_FUND="N","",IF(COUNTIFS('Fund History'!$D$970:$D$974,"&gt;="&amp;DATE(YEAR_Y-1,1,1),'Fund History'!$D$970:$D$974,"&lt;="&amp;DATE(YEAR_Y-1,12,31))=0,"",SUMIFS('Fund History'!$E$970:$E$974,'Fund History'!$D$970:$D$974,"&gt;="&amp;DATE(YEAR_Y-1,1,1),'Fund History'!$D$970:$D$974,"&lt;="&amp;DATE(YEAR_Y-1,12,31)))))</f>
        <v/>
      </c>
      <c r="AU171" s="76">
        <f>IF($C171="","",IF(PULL_FUND="N","",IFERROR(BDP($C171,NDEBITDA_FIELD),"")))</f>
        <v/>
      </c>
      <c r="AV171" s="84">
        <f>IF($C171="","",IF(PULL_FUND="N","",IFERROR(BDP($C171,EBINT_FIELD),"")))</f>
        <v/>
      </c>
      <c r="AW171" s="82">
        <f>IF($C171="","",IF(PULL_FUND="N","",IFERROR(BDP($C171,FCF_FIELD)/100,"")))</f>
        <v/>
      </c>
      <c r="AX171" s="50">
        <f>IF($C171="","",IF(N($U171)=0,"",IFERROR($AW171/$U171,"")))</f>
        <v/>
      </c>
      <c r="AY171" s="85">
        <f>IF($C171="","",TRIM(IF(ISNUMBER($AJ171)*(N($AJ171)&gt;$D$4)&gt;0,"payout high  ","")&amp;IF(ISNUMBER($AX171)*(N($AX171)&lt;$F$4)&gt;0,"FCF below dvd  ","")&amp;IF(ISNUMBER($AU171)*(N($AU171)&gt;$H$4)&gt;0,"leverage high","")))</f>
        <v/>
      </c>
      <c r="AZ171" s="86">
        <f>IF($C171="","",IF(HSCEI!$F$26="HKD","",HSCEI!$F$26))</f>
        <v/>
      </c>
    </row>
    <row r="172">
      <c r="B172" s="66" t="inlineStr">
        <is>
          <t>HSCEI</t>
        </is>
      </c>
      <c r="C172" s="8">
        <f>IF(HSCEI!$C$27="","",HSCEI!$C$27)</f>
        <v/>
      </c>
      <c r="D172" s="8">
        <f>IF($C172="","",HSCEI!$D$27)</f>
        <v/>
      </c>
      <c r="E172" s="8">
        <f>IF($C172="","",HSCEI!$E$27)</f>
        <v/>
      </c>
      <c r="F172" s="67">
        <f>IF($C172="","",SUMPRODUCT(('Dvd Calendar'!$E$1781:$AR$1781&gt;=DATE(YEAR_Y-5,1,1))*('Dvd Calendar'!$E$1781:$AR$1781&lt;=DATE(YEAR_Y-5,12,31))*'Dvd Calendar'!$E$1784:$AR$1784*(('Dvd Calendar'!$E$1786:$AR$1786=TYPE1)*(TYPE1&lt;&gt;"")+('Dvd Calendar'!$E$1786:$AR$1786=TYPE2)*(TYPE2&lt;&gt;"")+('Dvd Calendar'!$E$1786:$AR$1786=TYPE3)*(TYPE3&lt;&gt;"")+('Dvd Calendar'!$E$1786:$AR$1786=TYPE4)*(TYPE4&lt;&gt;"")+('Dvd Calendar'!$E$1786:$AR$1786=SPECIAL_LBL)*(INC_SPECIALS="Y"))))</f>
        <v/>
      </c>
      <c r="G172" s="68">
        <f>IF($C172="","",SUMPRODUCT(('Dvd Calendar'!$E$1781:$AR$1781&gt;=DATE(YEAR_Y-4,1,1))*('Dvd Calendar'!$E$1781:$AR$1781&lt;=DATE(YEAR_Y-4,12,31))*'Dvd Calendar'!$E$1784:$AR$1784*(('Dvd Calendar'!$E$1786:$AR$1786=TYPE1)*(TYPE1&lt;&gt;"")+('Dvd Calendar'!$E$1786:$AR$1786=TYPE2)*(TYPE2&lt;&gt;"")+('Dvd Calendar'!$E$1786:$AR$1786=TYPE3)*(TYPE3&lt;&gt;"")+('Dvd Calendar'!$E$1786:$AR$1786=TYPE4)*(TYPE4&lt;&gt;"")+('Dvd Calendar'!$E$1786:$AR$1786=SPECIAL_LBL)*(INC_SPECIALS="Y"))))</f>
        <v/>
      </c>
      <c r="H172" s="68">
        <f>IF($C172="","",SUMPRODUCT(('Dvd Calendar'!$E$1781:$AR$1781&gt;=DATE(YEAR_Y-3,1,1))*('Dvd Calendar'!$E$1781:$AR$1781&lt;=DATE(YEAR_Y-3,12,31))*'Dvd Calendar'!$E$1784:$AR$1784*(('Dvd Calendar'!$E$1786:$AR$1786=TYPE1)*(TYPE1&lt;&gt;"")+('Dvd Calendar'!$E$1786:$AR$1786=TYPE2)*(TYPE2&lt;&gt;"")+('Dvd Calendar'!$E$1786:$AR$1786=TYPE3)*(TYPE3&lt;&gt;"")+('Dvd Calendar'!$E$1786:$AR$1786=TYPE4)*(TYPE4&lt;&gt;"")+('Dvd Calendar'!$E$1786:$AR$1786=SPECIAL_LBL)*(INC_SPECIALS="Y"))))</f>
        <v/>
      </c>
      <c r="I172" s="68">
        <f>IF($C172="","",SUMPRODUCT(('Dvd Calendar'!$E$1781:$AR$1781&gt;=DATE(YEAR_Y-2,1,1))*('Dvd Calendar'!$E$1781:$AR$1781&lt;=DATE(YEAR_Y-2,12,31))*'Dvd Calendar'!$E$1784:$AR$1784*(('Dvd Calendar'!$E$1786:$AR$1786=TYPE1)*(TYPE1&lt;&gt;"")+('Dvd Calendar'!$E$1786:$AR$1786=TYPE2)*(TYPE2&lt;&gt;"")+('Dvd Calendar'!$E$1786:$AR$1786=TYPE3)*(TYPE3&lt;&gt;"")+('Dvd Calendar'!$E$1786:$AR$1786=TYPE4)*(TYPE4&lt;&gt;"")+('Dvd Calendar'!$E$1786:$AR$1786=SPECIAL_LBL)*(INC_SPECIALS="Y"))))</f>
        <v/>
      </c>
      <c r="J172" s="68">
        <f>IF($C172="","",SUMPRODUCT(('Dvd Calendar'!$E$1781:$AR$1781&gt;=DATE(YEAR_Y-1,1,1))*('Dvd Calendar'!$E$1781:$AR$1781&lt;=DATE(YEAR_Y-1,12,31))*'Dvd Calendar'!$E$1784:$AR$1784*(('Dvd Calendar'!$E$1786:$AR$1786=TYPE1)*(TYPE1&lt;&gt;"")+('Dvd Calendar'!$E$1786:$AR$1786=TYPE2)*(TYPE2&lt;&gt;"")+('Dvd Calendar'!$E$1786:$AR$1786=TYPE3)*(TYPE3&lt;&gt;"")+('Dvd Calendar'!$E$1786:$AR$1786=TYPE4)*(TYPE4&lt;&gt;"")+('Dvd Calendar'!$E$1786:$AR$1786=SPECIAL_LBL)*(INC_SPECIALS="Y"))))</f>
        <v/>
      </c>
      <c r="K172" s="69">
        <f>IF($C172="","",HSCEI!$J$27)</f>
        <v/>
      </c>
      <c r="L172" s="69">
        <f>IF($C172="","",HSCEI!$K$27)</f>
        <v/>
      </c>
      <c r="M172" s="44">
        <f>IF($C172="","",HSCEI!$J$27+HSCEI!$L$27)</f>
        <v/>
      </c>
      <c r="N172" s="70">
        <f>IF($C172="","",IF(PULL_FUND="N","",IFERROR(BDP($C172,BESTDPS_FIELD,FWD_OVERRIDE,TEXT(MOD(YEAR_Y,100),"00")&amp;"Y"),"")))</f>
        <v/>
      </c>
      <c r="O172" s="69">
        <f>IF($C172="","",AVERAGE(F172:J172))</f>
        <v/>
      </c>
      <c r="P172" s="71">
        <f>IF($C172="","",IF(PULL_FUND="N","",IF(COUNTIFS('Fund History'!$J$976:$J$980,"&gt;="&amp;DATE(YEAR_Y-5,1,1),'Fund History'!$J$976:$J$980,"&lt;="&amp;DATE(YEAR_Y-5,12,31))=0,"",IFERROR($F172*HSCEI!$G$27/SUMIFS('Fund History'!$K$976:$K$980,'Fund History'!$J$976:$J$980,"&gt;="&amp;DATE(YEAR_Y-5,1,1),'Fund History'!$J$976:$J$980,"&lt;="&amp;DATE(YEAR_Y-5,12,31)),""))))</f>
        <v/>
      </c>
      <c r="Q172" s="72">
        <f>IF($C172="","",IF(PULL_FUND="N","",IF(COUNTIFS('Fund History'!$J$976:$J$980,"&gt;="&amp;DATE(YEAR_Y-4,1,1),'Fund History'!$J$976:$J$980,"&lt;="&amp;DATE(YEAR_Y-4,12,31))=0,"",IFERROR($G172*HSCEI!$G$27/SUMIFS('Fund History'!$K$976:$K$980,'Fund History'!$J$976:$J$980,"&gt;="&amp;DATE(YEAR_Y-4,1,1),'Fund History'!$J$976:$J$980,"&lt;="&amp;DATE(YEAR_Y-4,12,31)),""))))</f>
        <v/>
      </c>
      <c r="R172" s="72">
        <f>IF($C172="","",IF(PULL_FUND="N","",IF(COUNTIFS('Fund History'!$J$976:$J$980,"&gt;="&amp;DATE(YEAR_Y-3,1,1),'Fund History'!$J$976:$J$980,"&lt;="&amp;DATE(YEAR_Y-3,12,31))=0,"",IFERROR($H172*HSCEI!$G$27/SUMIFS('Fund History'!$K$976:$K$980,'Fund History'!$J$976:$J$980,"&gt;="&amp;DATE(YEAR_Y-3,1,1),'Fund History'!$J$976:$J$980,"&lt;="&amp;DATE(YEAR_Y-3,12,31)),""))))</f>
        <v/>
      </c>
      <c r="S172" s="72">
        <f>IF($C172="","",IF(PULL_FUND="N","",IF(COUNTIFS('Fund History'!$J$976:$J$980,"&gt;="&amp;DATE(YEAR_Y-2,1,1),'Fund History'!$J$976:$J$980,"&lt;="&amp;DATE(YEAR_Y-2,12,31))=0,"",IFERROR($I172*HSCEI!$G$27/SUMIFS('Fund History'!$K$976:$K$980,'Fund History'!$J$976:$J$980,"&gt;="&amp;DATE(YEAR_Y-2,1,1),'Fund History'!$J$976:$J$980,"&lt;="&amp;DATE(YEAR_Y-2,12,31)),""))))</f>
        <v/>
      </c>
      <c r="T172" s="72">
        <f>IF($C172="","",IF(PULL_FUND="N","",IF(COUNTIFS('Fund History'!$J$976:$J$980,"&gt;="&amp;DATE(YEAR_Y-1,1,1),'Fund History'!$J$976:$J$980,"&lt;="&amp;DATE(YEAR_Y-1,12,31))=0,"",IFERROR($J172*HSCEI!$G$27/SUMIFS('Fund History'!$K$976:$K$980,'Fund History'!$J$976:$J$980,"&gt;="&amp;DATE(YEAR_Y-1,1,1),'Fund History'!$J$976:$J$980,"&lt;="&amp;DATE(YEAR_Y-1,12,31)),""))))</f>
        <v/>
      </c>
      <c r="U172" s="73">
        <f>IF($C172="","",IF(ISNUMBER(HSCEI!$I$27),HSCEI!$I$27/100,""))</f>
        <v/>
      </c>
      <c r="V172" s="74">
        <f>IF($C172="","",IF(ISNUMBER(HSCEI!$X$27),IFERROR($M172*HSCEI!$G$27/HSCEI!$X$27,""),""))</f>
        <v/>
      </c>
      <c r="W172" s="73">
        <f>IF($C172="","",IF(ISNUMBER($N172),IFERROR($N172*HSCEI!$G$27/HSCEI!$X$27,""),""))</f>
        <v/>
      </c>
      <c r="X172" s="75">
        <f>IF($C172="","",IF(PULL_FUND="N","",IFERROR(BDP($C172,EPS_FIELD,YR_OVERRIDE,TEXT(YEAR_Y-5,"0")),"")))</f>
        <v/>
      </c>
      <c r="Y172" s="76">
        <f>IF($C172="","",IF(PULL_FUND="N","",IFERROR(BDP($C172,EPS_FIELD,YR_OVERRIDE,TEXT(YEAR_Y-4,"0")),"")))</f>
        <v/>
      </c>
      <c r="Z172" s="76">
        <f>IF($C172="","",IF(PULL_FUND="N","",IFERROR(BDP($C172,EPS_FIELD,YR_OVERRIDE,TEXT(YEAR_Y-3,"0")),"")))</f>
        <v/>
      </c>
      <c r="AA172" s="76">
        <f>IF($C172="","",IF(PULL_FUND="N","",IFERROR(BDP($C172,EPS_FIELD,YR_OVERRIDE,TEXT(YEAR_Y-2,"0")),"")))</f>
        <v/>
      </c>
      <c r="AB172" s="76">
        <f>IF($C172="","",IF(PULL_FUND="N","",IFERROR(BDP($C172,EPS_FIELD,YR_OVERRIDE,TEXT(YEAR_Y-1,"0")),"")))</f>
        <v/>
      </c>
      <c r="AC172" s="50">
        <f>IF($C172="","",IFERROR(AVERAGE(X172:AB172),""))</f>
        <v/>
      </c>
      <c r="AD172" s="76">
        <f>IF($C172="","",IF(PULL_FUND="N","",IFERROR(BDP($C172,BESTEPS_FIELD,FWD_OVERRIDE,TEXT(MOD(YEAR_Y,100),"00")&amp;"Y"),"")))</f>
        <v/>
      </c>
      <c r="AE172" s="77">
        <f>IF($C172="","",IF(PULL_FUND="N","",IFERROR(BDP($C172,PAYOUT_FIELD,YR_OVERRIDE,TEXT(YEAR_Y-5,"0"))/100,"")))</f>
        <v/>
      </c>
      <c r="AF172" s="78">
        <f>IF($C172="","",IF(PULL_FUND="N","",IFERROR(BDP($C172,PAYOUT_FIELD,YR_OVERRIDE,TEXT(YEAR_Y-4,"0"))/100,"")))</f>
        <v/>
      </c>
      <c r="AG172" s="78">
        <f>IF($C172="","",IF(PULL_FUND="N","",IFERROR(BDP($C172,PAYOUT_FIELD,YR_OVERRIDE,TEXT(YEAR_Y-3,"0"))/100,"")))</f>
        <v/>
      </c>
      <c r="AH172" s="78">
        <f>IF($C172="","",IF(PULL_FUND="N","",IFERROR(BDP($C172,PAYOUT_FIELD,YR_OVERRIDE,TEXT(YEAR_Y-2,"0"))/100,"")))</f>
        <v/>
      </c>
      <c r="AI172" s="78">
        <f>IF($C172="","",IF(PULL_FUND="N","",IFERROR(BDP($C172,PAYOUT_FIELD,YR_OVERRIDE,TEXT(YEAR_Y-1,"0"))/100,"")))</f>
        <v/>
      </c>
      <c r="AJ172" s="79">
        <f>IF($C172="","",IFERROR(AVERAGE(AE172:AI172),""))</f>
        <v/>
      </c>
      <c r="AK172" s="80">
        <f>IF($C172="","",IF(ISNUMBER($AD172)*ISNUMBER($N172)*($AD172&lt;&gt;0)=0,"",$N172/$AD172))</f>
        <v/>
      </c>
      <c r="AL172" s="79">
        <f>IF($C172="","",IF(ISNUMBER($AD172)*($AD172&lt;&gt;0)=0,"",$M172/$AD172))</f>
        <v/>
      </c>
      <c r="AM172" s="37">
        <f>IF($C172="","",IF(ISNUMBER($AE172)*ISNUMBER($AI172)=0,"",IF($AI172&gt;$AE172+0.05,"rising",IF($AI172&lt;$AE172-0.05,"falling","stable"))))</f>
        <v/>
      </c>
      <c r="AN172" s="81">
        <f>IF($C172="","",IF(PULL_FUND="N","",IF(COUNTIFS('Fund History'!$G$976:$G$980,"&gt;="&amp;DATE(YEAR_Y-4,1,1),'Fund History'!$G$976:$G$980,"&lt;="&amp;DATE(YEAR_Y-4,12,31))=0,"",SUMIFS('Fund History'!$H$976:$H$980,'Fund History'!$G$976:$G$980,"&gt;="&amp;DATE(YEAR_Y-4,1,1),'Fund History'!$G$976:$G$980,"&lt;="&amp;DATE(YEAR_Y-4,12,31))/100)))</f>
        <v/>
      </c>
      <c r="AO172" s="82">
        <f>IF($C172="","",IF(PULL_FUND="N","",IF(COUNTIFS('Fund History'!$G$976:$G$980,"&gt;="&amp;DATE(YEAR_Y-3,1,1),'Fund History'!$G$976:$G$980,"&lt;="&amp;DATE(YEAR_Y-3,12,31))=0,"",SUMIFS('Fund History'!$H$976:$H$980,'Fund History'!$G$976:$G$980,"&gt;="&amp;DATE(YEAR_Y-3,1,1),'Fund History'!$G$976:$G$980,"&lt;="&amp;DATE(YEAR_Y-3,12,31))/100)))</f>
        <v/>
      </c>
      <c r="AP172" s="82">
        <f>IF($C172="","",IF(PULL_FUND="N","",IF(COUNTIFS('Fund History'!$G$976:$G$980,"&gt;="&amp;DATE(YEAR_Y-2,1,1),'Fund History'!$G$976:$G$980,"&lt;="&amp;DATE(YEAR_Y-2,12,31))=0,"",SUMIFS('Fund History'!$H$976:$H$980,'Fund History'!$G$976:$G$980,"&gt;="&amp;DATE(YEAR_Y-2,1,1),'Fund History'!$G$976:$G$980,"&lt;="&amp;DATE(YEAR_Y-2,12,31))/100)))</f>
        <v/>
      </c>
      <c r="AQ172" s="82">
        <f>IF($C172="","",IF(PULL_FUND="N","",IF(COUNTIFS('Fund History'!$G$976:$G$980,"&gt;="&amp;DATE(YEAR_Y-1,1,1),'Fund History'!$G$976:$G$980,"&lt;="&amp;DATE(YEAR_Y-1,12,31))=0,"",SUMIFS('Fund History'!$H$976:$H$980,'Fund History'!$G$976:$G$980,"&gt;="&amp;DATE(YEAR_Y-1,1,1),'Fund History'!$G$976:$G$980,"&lt;="&amp;DATE(YEAR_Y-1,12,31))/100)))</f>
        <v/>
      </c>
      <c r="AR172" s="83">
        <f>IF($C172="","",IF(N($AQ172)+N(HSCEI!$I$27)=0,"",N($AQ172)+N(HSCEI!$I$27)/100))</f>
        <v/>
      </c>
      <c r="AS172" s="75">
        <f>IF($C172="","",IF(PULL_FUND="N","",IF(COUNTIFS('Fund History'!$D$976:$D$980,"&gt;="&amp;DATE(YEAR_Y-2,1,1),'Fund History'!$D$976:$D$980,"&lt;="&amp;DATE(YEAR_Y-2,12,31))=0,"",SUMIFS('Fund History'!$E$976:$E$980,'Fund History'!$D$976:$D$980,"&gt;="&amp;DATE(YEAR_Y-2,1,1),'Fund History'!$D$976:$D$980,"&lt;="&amp;DATE(YEAR_Y-2,12,31)))))</f>
        <v/>
      </c>
      <c r="AT172" s="76">
        <f>IF($C172="","",IF(PULL_FUND="N","",IF(COUNTIFS('Fund History'!$D$976:$D$980,"&gt;="&amp;DATE(YEAR_Y-1,1,1),'Fund History'!$D$976:$D$980,"&lt;="&amp;DATE(YEAR_Y-1,12,31))=0,"",SUMIFS('Fund History'!$E$976:$E$980,'Fund History'!$D$976:$D$980,"&gt;="&amp;DATE(YEAR_Y-1,1,1),'Fund History'!$D$976:$D$980,"&lt;="&amp;DATE(YEAR_Y-1,12,31)))))</f>
        <v/>
      </c>
      <c r="AU172" s="76">
        <f>IF($C172="","",IF(PULL_FUND="N","",IFERROR(BDP($C172,NDEBITDA_FIELD),"")))</f>
        <v/>
      </c>
      <c r="AV172" s="84">
        <f>IF($C172="","",IF(PULL_FUND="N","",IFERROR(BDP($C172,EBINT_FIELD),"")))</f>
        <v/>
      </c>
      <c r="AW172" s="82">
        <f>IF($C172="","",IF(PULL_FUND="N","",IFERROR(BDP($C172,FCF_FIELD)/100,"")))</f>
        <v/>
      </c>
      <c r="AX172" s="50">
        <f>IF($C172="","",IF(N($U172)=0,"",IFERROR($AW172/$U172,"")))</f>
        <v/>
      </c>
      <c r="AY172" s="85">
        <f>IF($C172="","",TRIM(IF(ISNUMBER($AJ172)*(N($AJ172)&gt;$D$4)&gt;0,"payout high  ","")&amp;IF(ISNUMBER($AX172)*(N($AX172)&lt;$F$4)&gt;0,"FCF below dvd  ","")&amp;IF(ISNUMBER($AU172)*(N($AU172)&gt;$H$4)&gt;0,"leverage high","")))</f>
        <v/>
      </c>
      <c r="AZ172" s="86">
        <f>IF($C172="","",IF(HSCEI!$F$27="HKD","",HSCEI!$F$27))</f>
        <v/>
      </c>
    </row>
    <row r="173">
      <c r="B173" s="66" t="inlineStr">
        <is>
          <t>HSCEI</t>
        </is>
      </c>
      <c r="C173" s="8">
        <f>IF(HSCEI!$C$28="","",HSCEI!$C$28)</f>
        <v/>
      </c>
      <c r="D173" s="8">
        <f>IF($C173="","",HSCEI!$D$28)</f>
        <v/>
      </c>
      <c r="E173" s="8">
        <f>IF($C173="","",HSCEI!$E$28)</f>
        <v/>
      </c>
      <c r="F173" s="67">
        <f>IF($C173="","",SUMPRODUCT(('Dvd Calendar'!$E$1792:$AR$1792&gt;=DATE(YEAR_Y-5,1,1))*('Dvd Calendar'!$E$1792:$AR$1792&lt;=DATE(YEAR_Y-5,12,31))*'Dvd Calendar'!$E$1795:$AR$1795*(('Dvd Calendar'!$E$1797:$AR$1797=TYPE1)*(TYPE1&lt;&gt;"")+('Dvd Calendar'!$E$1797:$AR$1797=TYPE2)*(TYPE2&lt;&gt;"")+('Dvd Calendar'!$E$1797:$AR$1797=TYPE3)*(TYPE3&lt;&gt;"")+('Dvd Calendar'!$E$1797:$AR$1797=TYPE4)*(TYPE4&lt;&gt;"")+('Dvd Calendar'!$E$1797:$AR$1797=SPECIAL_LBL)*(INC_SPECIALS="Y"))))</f>
        <v/>
      </c>
      <c r="G173" s="68">
        <f>IF($C173="","",SUMPRODUCT(('Dvd Calendar'!$E$1792:$AR$1792&gt;=DATE(YEAR_Y-4,1,1))*('Dvd Calendar'!$E$1792:$AR$1792&lt;=DATE(YEAR_Y-4,12,31))*'Dvd Calendar'!$E$1795:$AR$1795*(('Dvd Calendar'!$E$1797:$AR$1797=TYPE1)*(TYPE1&lt;&gt;"")+('Dvd Calendar'!$E$1797:$AR$1797=TYPE2)*(TYPE2&lt;&gt;"")+('Dvd Calendar'!$E$1797:$AR$1797=TYPE3)*(TYPE3&lt;&gt;"")+('Dvd Calendar'!$E$1797:$AR$1797=TYPE4)*(TYPE4&lt;&gt;"")+('Dvd Calendar'!$E$1797:$AR$1797=SPECIAL_LBL)*(INC_SPECIALS="Y"))))</f>
        <v/>
      </c>
      <c r="H173" s="68">
        <f>IF($C173="","",SUMPRODUCT(('Dvd Calendar'!$E$1792:$AR$1792&gt;=DATE(YEAR_Y-3,1,1))*('Dvd Calendar'!$E$1792:$AR$1792&lt;=DATE(YEAR_Y-3,12,31))*'Dvd Calendar'!$E$1795:$AR$1795*(('Dvd Calendar'!$E$1797:$AR$1797=TYPE1)*(TYPE1&lt;&gt;"")+('Dvd Calendar'!$E$1797:$AR$1797=TYPE2)*(TYPE2&lt;&gt;"")+('Dvd Calendar'!$E$1797:$AR$1797=TYPE3)*(TYPE3&lt;&gt;"")+('Dvd Calendar'!$E$1797:$AR$1797=TYPE4)*(TYPE4&lt;&gt;"")+('Dvd Calendar'!$E$1797:$AR$1797=SPECIAL_LBL)*(INC_SPECIALS="Y"))))</f>
        <v/>
      </c>
      <c r="I173" s="68">
        <f>IF($C173="","",SUMPRODUCT(('Dvd Calendar'!$E$1792:$AR$1792&gt;=DATE(YEAR_Y-2,1,1))*('Dvd Calendar'!$E$1792:$AR$1792&lt;=DATE(YEAR_Y-2,12,31))*'Dvd Calendar'!$E$1795:$AR$1795*(('Dvd Calendar'!$E$1797:$AR$1797=TYPE1)*(TYPE1&lt;&gt;"")+('Dvd Calendar'!$E$1797:$AR$1797=TYPE2)*(TYPE2&lt;&gt;"")+('Dvd Calendar'!$E$1797:$AR$1797=TYPE3)*(TYPE3&lt;&gt;"")+('Dvd Calendar'!$E$1797:$AR$1797=TYPE4)*(TYPE4&lt;&gt;"")+('Dvd Calendar'!$E$1797:$AR$1797=SPECIAL_LBL)*(INC_SPECIALS="Y"))))</f>
        <v/>
      </c>
      <c r="J173" s="68">
        <f>IF($C173="","",SUMPRODUCT(('Dvd Calendar'!$E$1792:$AR$1792&gt;=DATE(YEAR_Y-1,1,1))*('Dvd Calendar'!$E$1792:$AR$1792&lt;=DATE(YEAR_Y-1,12,31))*'Dvd Calendar'!$E$1795:$AR$1795*(('Dvd Calendar'!$E$1797:$AR$1797=TYPE1)*(TYPE1&lt;&gt;"")+('Dvd Calendar'!$E$1797:$AR$1797=TYPE2)*(TYPE2&lt;&gt;"")+('Dvd Calendar'!$E$1797:$AR$1797=TYPE3)*(TYPE3&lt;&gt;"")+('Dvd Calendar'!$E$1797:$AR$1797=TYPE4)*(TYPE4&lt;&gt;"")+('Dvd Calendar'!$E$1797:$AR$1797=SPECIAL_LBL)*(INC_SPECIALS="Y"))))</f>
        <v/>
      </c>
      <c r="K173" s="69">
        <f>IF($C173="","",HSCEI!$J$28)</f>
        <v/>
      </c>
      <c r="L173" s="69">
        <f>IF($C173="","",HSCEI!$K$28)</f>
        <v/>
      </c>
      <c r="M173" s="44">
        <f>IF($C173="","",HSCEI!$J$28+HSCEI!$L$28)</f>
        <v/>
      </c>
      <c r="N173" s="70">
        <f>IF($C173="","",IF(PULL_FUND="N","",IFERROR(BDP($C173,BESTDPS_FIELD,FWD_OVERRIDE,TEXT(MOD(YEAR_Y,100),"00")&amp;"Y"),"")))</f>
        <v/>
      </c>
      <c r="O173" s="69">
        <f>IF($C173="","",AVERAGE(F173:J173))</f>
        <v/>
      </c>
      <c r="P173" s="71">
        <f>IF($C173="","",IF(PULL_FUND="N","",IF(COUNTIFS('Fund History'!$J$982:$J$986,"&gt;="&amp;DATE(YEAR_Y-5,1,1),'Fund History'!$J$982:$J$986,"&lt;="&amp;DATE(YEAR_Y-5,12,31))=0,"",IFERROR($F173*HSCEI!$G$28/SUMIFS('Fund History'!$K$982:$K$986,'Fund History'!$J$982:$J$986,"&gt;="&amp;DATE(YEAR_Y-5,1,1),'Fund History'!$J$982:$J$986,"&lt;="&amp;DATE(YEAR_Y-5,12,31)),""))))</f>
        <v/>
      </c>
      <c r="Q173" s="72">
        <f>IF($C173="","",IF(PULL_FUND="N","",IF(COUNTIFS('Fund History'!$J$982:$J$986,"&gt;="&amp;DATE(YEAR_Y-4,1,1),'Fund History'!$J$982:$J$986,"&lt;="&amp;DATE(YEAR_Y-4,12,31))=0,"",IFERROR($G173*HSCEI!$G$28/SUMIFS('Fund History'!$K$982:$K$986,'Fund History'!$J$982:$J$986,"&gt;="&amp;DATE(YEAR_Y-4,1,1),'Fund History'!$J$982:$J$986,"&lt;="&amp;DATE(YEAR_Y-4,12,31)),""))))</f>
        <v/>
      </c>
      <c r="R173" s="72">
        <f>IF($C173="","",IF(PULL_FUND="N","",IF(COUNTIFS('Fund History'!$J$982:$J$986,"&gt;="&amp;DATE(YEAR_Y-3,1,1),'Fund History'!$J$982:$J$986,"&lt;="&amp;DATE(YEAR_Y-3,12,31))=0,"",IFERROR($H173*HSCEI!$G$28/SUMIFS('Fund History'!$K$982:$K$986,'Fund History'!$J$982:$J$986,"&gt;="&amp;DATE(YEAR_Y-3,1,1),'Fund History'!$J$982:$J$986,"&lt;="&amp;DATE(YEAR_Y-3,12,31)),""))))</f>
        <v/>
      </c>
      <c r="S173" s="72">
        <f>IF($C173="","",IF(PULL_FUND="N","",IF(COUNTIFS('Fund History'!$J$982:$J$986,"&gt;="&amp;DATE(YEAR_Y-2,1,1),'Fund History'!$J$982:$J$986,"&lt;="&amp;DATE(YEAR_Y-2,12,31))=0,"",IFERROR($I173*HSCEI!$G$28/SUMIFS('Fund History'!$K$982:$K$986,'Fund History'!$J$982:$J$986,"&gt;="&amp;DATE(YEAR_Y-2,1,1),'Fund History'!$J$982:$J$986,"&lt;="&amp;DATE(YEAR_Y-2,12,31)),""))))</f>
        <v/>
      </c>
      <c r="T173" s="72">
        <f>IF($C173="","",IF(PULL_FUND="N","",IF(COUNTIFS('Fund History'!$J$982:$J$986,"&gt;="&amp;DATE(YEAR_Y-1,1,1),'Fund History'!$J$982:$J$986,"&lt;="&amp;DATE(YEAR_Y-1,12,31))=0,"",IFERROR($J173*HSCEI!$G$28/SUMIFS('Fund History'!$K$982:$K$986,'Fund History'!$J$982:$J$986,"&gt;="&amp;DATE(YEAR_Y-1,1,1),'Fund History'!$J$982:$J$986,"&lt;="&amp;DATE(YEAR_Y-1,12,31)),""))))</f>
        <v/>
      </c>
      <c r="U173" s="73">
        <f>IF($C173="","",IF(ISNUMBER(HSCEI!$I$28),HSCEI!$I$28/100,""))</f>
        <v/>
      </c>
      <c r="V173" s="74">
        <f>IF($C173="","",IF(ISNUMBER(HSCEI!$X$28),IFERROR($M173*HSCEI!$G$28/HSCEI!$X$28,""),""))</f>
        <v/>
      </c>
      <c r="W173" s="73">
        <f>IF($C173="","",IF(ISNUMBER($N173),IFERROR($N173*HSCEI!$G$28/HSCEI!$X$28,""),""))</f>
        <v/>
      </c>
      <c r="X173" s="75">
        <f>IF($C173="","",IF(PULL_FUND="N","",IFERROR(BDP($C173,EPS_FIELD,YR_OVERRIDE,TEXT(YEAR_Y-5,"0")),"")))</f>
        <v/>
      </c>
      <c r="Y173" s="76">
        <f>IF($C173="","",IF(PULL_FUND="N","",IFERROR(BDP($C173,EPS_FIELD,YR_OVERRIDE,TEXT(YEAR_Y-4,"0")),"")))</f>
        <v/>
      </c>
      <c r="Z173" s="76">
        <f>IF($C173="","",IF(PULL_FUND="N","",IFERROR(BDP($C173,EPS_FIELD,YR_OVERRIDE,TEXT(YEAR_Y-3,"0")),"")))</f>
        <v/>
      </c>
      <c r="AA173" s="76">
        <f>IF($C173="","",IF(PULL_FUND="N","",IFERROR(BDP($C173,EPS_FIELD,YR_OVERRIDE,TEXT(YEAR_Y-2,"0")),"")))</f>
        <v/>
      </c>
      <c r="AB173" s="76">
        <f>IF($C173="","",IF(PULL_FUND="N","",IFERROR(BDP($C173,EPS_FIELD,YR_OVERRIDE,TEXT(YEAR_Y-1,"0")),"")))</f>
        <v/>
      </c>
      <c r="AC173" s="50">
        <f>IF($C173="","",IFERROR(AVERAGE(X173:AB173),""))</f>
        <v/>
      </c>
      <c r="AD173" s="76">
        <f>IF($C173="","",IF(PULL_FUND="N","",IFERROR(BDP($C173,BESTEPS_FIELD,FWD_OVERRIDE,TEXT(MOD(YEAR_Y,100),"00")&amp;"Y"),"")))</f>
        <v/>
      </c>
      <c r="AE173" s="77">
        <f>IF($C173="","",IF(PULL_FUND="N","",IFERROR(BDP($C173,PAYOUT_FIELD,YR_OVERRIDE,TEXT(YEAR_Y-5,"0"))/100,"")))</f>
        <v/>
      </c>
      <c r="AF173" s="78">
        <f>IF($C173="","",IF(PULL_FUND="N","",IFERROR(BDP($C173,PAYOUT_FIELD,YR_OVERRIDE,TEXT(YEAR_Y-4,"0"))/100,"")))</f>
        <v/>
      </c>
      <c r="AG173" s="78">
        <f>IF($C173="","",IF(PULL_FUND="N","",IFERROR(BDP($C173,PAYOUT_FIELD,YR_OVERRIDE,TEXT(YEAR_Y-3,"0"))/100,"")))</f>
        <v/>
      </c>
      <c r="AH173" s="78">
        <f>IF($C173="","",IF(PULL_FUND="N","",IFERROR(BDP($C173,PAYOUT_FIELD,YR_OVERRIDE,TEXT(YEAR_Y-2,"0"))/100,"")))</f>
        <v/>
      </c>
      <c r="AI173" s="78">
        <f>IF($C173="","",IF(PULL_FUND="N","",IFERROR(BDP($C173,PAYOUT_FIELD,YR_OVERRIDE,TEXT(YEAR_Y-1,"0"))/100,"")))</f>
        <v/>
      </c>
      <c r="AJ173" s="79">
        <f>IF($C173="","",IFERROR(AVERAGE(AE173:AI173),""))</f>
        <v/>
      </c>
      <c r="AK173" s="80">
        <f>IF($C173="","",IF(ISNUMBER($AD173)*ISNUMBER($N173)*($AD173&lt;&gt;0)=0,"",$N173/$AD173))</f>
        <v/>
      </c>
      <c r="AL173" s="79">
        <f>IF($C173="","",IF(ISNUMBER($AD173)*($AD173&lt;&gt;0)=0,"",$M173/$AD173))</f>
        <v/>
      </c>
      <c r="AM173" s="37">
        <f>IF($C173="","",IF(ISNUMBER($AE173)*ISNUMBER($AI173)=0,"",IF($AI173&gt;$AE173+0.05,"rising",IF($AI173&lt;$AE173-0.05,"falling","stable"))))</f>
        <v/>
      </c>
      <c r="AN173" s="81">
        <f>IF($C173="","",IF(PULL_FUND="N","",IF(COUNTIFS('Fund History'!$G$982:$G$986,"&gt;="&amp;DATE(YEAR_Y-4,1,1),'Fund History'!$G$982:$G$986,"&lt;="&amp;DATE(YEAR_Y-4,12,31))=0,"",SUMIFS('Fund History'!$H$982:$H$986,'Fund History'!$G$982:$G$986,"&gt;="&amp;DATE(YEAR_Y-4,1,1),'Fund History'!$G$982:$G$986,"&lt;="&amp;DATE(YEAR_Y-4,12,31))/100)))</f>
        <v/>
      </c>
      <c r="AO173" s="82">
        <f>IF($C173="","",IF(PULL_FUND="N","",IF(COUNTIFS('Fund History'!$G$982:$G$986,"&gt;="&amp;DATE(YEAR_Y-3,1,1),'Fund History'!$G$982:$G$986,"&lt;="&amp;DATE(YEAR_Y-3,12,31))=0,"",SUMIFS('Fund History'!$H$982:$H$986,'Fund History'!$G$982:$G$986,"&gt;="&amp;DATE(YEAR_Y-3,1,1),'Fund History'!$G$982:$G$986,"&lt;="&amp;DATE(YEAR_Y-3,12,31))/100)))</f>
        <v/>
      </c>
      <c r="AP173" s="82">
        <f>IF($C173="","",IF(PULL_FUND="N","",IF(COUNTIFS('Fund History'!$G$982:$G$986,"&gt;="&amp;DATE(YEAR_Y-2,1,1),'Fund History'!$G$982:$G$986,"&lt;="&amp;DATE(YEAR_Y-2,12,31))=0,"",SUMIFS('Fund History'!$H$982:$H$986,'Fund History'!$G$982:$G$986,"&gt;="&amp;DATE(YEAR_Y-2,1,1),'Fund History'!$G$982:$G$986,"&lt;="&amp;DATE(YEAR_Y-2,12,31))/100)))</f>
        <v/>
      </c>
      <c r="AQ173" s="82">
        <f>IF($C173="","",IF(PULL_FUND="N","",IF(COUNTIFS('Fund History'!$G$982:$G$986,"&gt;="&amp;DATE(YEAR_Y-1,1,1),'Fund History'!$G$982:$G$986,"&lt;="&amp;DATE(YEAR_Y-1,12,31))=0,"",SUMIFS('Fund History'!$H$982:$H$986,'Fund History'!$G$982:$G$986,"&gt;="&amp;DATE(YEAR_Y-1,1,1),'Fund History'!$G$982:$G$986,"&lt;="&amp;DATE(YEAR_Y-1,12,31))/100)))</f>
        <v/>
      </c>
      <c r="AR173" s="83">
        <f>IF($C173="","",IF(N($AQ173)+N(HSCEI!$I$28)=0,"",N($AQ173)+N(HSCEI!$I$28)/100))</f>
        <v/>
      </c>
      <c r="AS173" s="75">
        <f>IF($C173="","",IF(PULL_FUND="N","",IF(COUNTIFS('Fund History'!$D$982:$D$986,"&gt;="&amp;DATE(YEAR_Y-2,1,1),'Fund History'!$D$982:$D$986,"&lt;="&amp;DATE(YEAR_Y-2,12,31))=0,"",SUMIFS('Fund History'!$E$982:$E$986,'Fund History'!$D$982:$D$986,"&gt;="&amp;DATE(YEAR_Y-2,1,1),'Fund History'!$D$982:$D$986,"&lt;="&amp;DATE(YEAR_Y-2,12,31)))))</f>
        <v/>
      </c>
      <c r="AT173" s="76">
        <f>IF($C173="","",IF(PULL_FUND="N","",IF(COUNTIFS('Fund History'!$D$982:$D$986,"&gt;="&amp;DATE(YEAR_Y-1,1,1),'Fund History'!$D$982:$D$986,"&lt;="&amp;DATE(YEAR_Y-1,12,31))=0,"",SUMIFS('Fund History'!$E$982:$E$986,'Fund History'!$D$982:$D$986,"&gt;="&amp;DATE(YEAR_Y-1,1,1),'Fund History'!$D$982:$D$986,"&lt;="&amp;DATE(YEAR_Y-1,12,31)))))</f>
        <v/>
      </c>
      <c r="AU173" s="76">
        <f>IF($C173="","",IF(PULL_FUND="N","",IFERROR(BDP($C173,NDEBITDA_FIELD),"")))</f>
        <v/>
      </c>
      <c r="AV173" s="84">
        <f>IF($C173="","",IF(PULL_FUND="N","",IFERROR(BDP($C173,EBINT_FIELD),"")))</f>
        <v/>
      </c>
      <c r="AW173" s="82">
        <f>IF($C173="","",IF(PULL_FUND="N","",IFERROR(BDP($C173,FCF_FIELD)/100,"")))</f>
        <v/>
      </c>
      <c r="AX173" s="50">
        <f>IF($C173="","",IF(N($U173)=0,"",IFERROR($AW173/$U173,"")))</f>
        <v/>
      </c>
      <c r="AY173" s="85">
        <f>IF($C173="","",TRIM(IF(ISNUMBER($AJ173)*(N($AJ173)&gt;$D$4)&gt;0,"payout high  ","")&amp;IF(ISNUMBER($AX173)*(N($AX173)&lt;$F$4)&gt;0,"FCF below dvd  ","")&amp;IF(ISNUMBER($AU173)*(N($AU173)&gt;$H$4)&gt;0,"leverage high","")))</f>
        <v/>
      </c>
      <c r="AZ173" s="86">
        <f>IF($C173="","",IF(HSCEI!$F$28="HKD","",HSCEI!$F$28))</f>
        <v/>
      </c>
    </row>
    <row r="174">
      <c r="B174" s="66" t="inlineStr">
        <is>
          <t>HSCEI</t>
        </is>
      </c>
      <c r="C174" s="8">
        <f>IF(HSCEI!$C$29="","",HSCEI!$C$29)</f>
        <v/>
      </c>
      <c r="D174" s="8">
        <f>IF($C174="","",HSCEI!$D$29)</f>
        <v/>
      </c>
      <c r="E174" s="8">
        <f>IF($C174="","",HSCEI!$E$29)</f>
        <v/>
      </c>
      <c r="F174" s="67">
        <f>IF($C174="","",SUMPRODUCT(('Dvd Calendar'!$E$1803:$AR$1803&gt;=DATE(YEAR_Y-5,1,1))*('Dvd Calendar'!$E$1803:$AR$1803&lt;=DATE(YEAR_Y-5,12,31))*'Dvd Calendar'!$E$1806:$AR$1806*(('Dvd Calendar'!$E$1808:$AR$1808=TYPE1)*(TYPE1&lt;&gt;"")+('Dvd Calendar'!$E$1808:$AR$1808=TYPE2)*(TYPE2&lt;&gt;"")+('Dvd Calendar'!$E$1808:$AR$1808=TYPE3)*(TYPE3&lt;&gt;"")+('Dvd Calendar'!$E$1808:$AR$1808=TYPE4)*(TYPE4&lt;&gt;"")+('Dvd Calendar'!$E$1808:$AR$1808=SPECIAL_LBL)*(INC_SPECIALS="Y"))))</f>
        <v/>
      </c>
      <c r="G174" s="68">
        <f>IF($C174="","",SUMPRODUCT(('Dvd Calendar'!$E$1803:$AR$1803&gt;=DATE(YEAR_Y-4,1,1))*('Dvd Calendar'!$E$1803:$AR$1803&lt;=DATE(YEAR_Y-4,12,31))*'Dvd Calendar'!$E$1806:$AR$1806*(('Dvd Calendar'!$E$1808:$AR$1808=TYPE1)*(TYPE1&lt;&gt;"")+('Dvd Calendar'!$E$1808:$AR$1808=TYPE2)*(TYPE2&lt;&gt;"")+('Dvd Calendar'!$E$1808:$AR$1808=TYPE3)*(TYPE3&lt;&gt;"")+('Dvd Calendar'!$E$1808:$AR$1808=TYPE4)*(TYPE4&lt;&gt;"")+('Dvd Calendar'!$E$1808:$AR$1808=SPECIAL_LBL)*(INC_SPECIALS="Y"))))</f>
        <v/>
      </c>
      <c r="H174" s="68">
        <f>IF($C174="","",SUMPRODUCT(('Dvd Calendar'!$E$1803:$AR$1803&gt;=DATE(YEAR_Y-3,1,1))*('Dvd Calendar'!$E$1803:$AR$1803&lt;=DATE(YEAR_Y-3,12,31))*'Dvd Calendar'!$E$1806:$AR$1806*(('Dvd Calendar'!$E$1808:$AR$1808=TYPE1)*(TYPE1&lt;&gt;"")+('Dvd Calendar'!$E$1808:$AR$1808=TYPE2)*(TYPE2&lt;&gt;"")+('Dvd Calendar'!$E$1808:$AR$1808=TYPE3)*(TYPE3&lt;&gt;"")+('Dvd Calendar'!$E$1808:$AR$1808=TYPE4)*(TYPE4&lt;&gt;"")+('Dvd Calendar'!$E$1808:$AR$1808=SPECIAL_LBL)*(INC_SPECIALS="Y"))))</f>
        <v/>
      </c>
      <c r="I174" s="68">
        <f>IF($C174="","",SUMPRODUCT(('Dvd Calendar'!$E$1803:$AR$1803&gt;=DATE(YEAR_Y-2,1,1))*('Dvd Calendar'!$E$1803:$AR$1803&lt;=DATE(YEAR_Y-2,12,31))*'Dvd Calendar'!$E$1806:$AR$1806*(('Dvd Calendar'!$E$1808:$AR$1808=TYPE1)*(TYPE1&lt;&gt;"")+('Dvd Calendar'!$E$1808:$AR$1808=TYPE2)*(TYPE2&lt;&gt;"")+('Dvd Calendar'!$E$1808:$AR$1808=TYPE3)*(TYPE3&lt;&gt;"")+('Dvd Calendar'!$E$1808:$AR$1808=TYPE4)*(TYPE4&lt;&gt;"")+('Dvd Calendar'!$E$1808:$AR$1808=SPECIAL_LBL)*(INC_SPECIALS="Y"))))</f>
        <v/>
      </c>
      <c r="J174" s="68">
        <f>IF($C174="","",SUMPRODUCT(('Dvd Calendar'!$E$1803:$AR$1803&gt;=DATE(YEAR_Y-1,1,1))*('Dvd Calendar'!$E$1803:$AR$1803&lt;=DATE(YEAR_Y-1,12,31))*'Dvd Calendar'!$E$1806:$AR$1806*(('Dvd Calendar'!$E$1808:$AR$1808=TYPE1)*(TYPE1&lt;&gt;"")+('Dvd Calendar'!$E$1808:$AR$1808=TYPE2)*(TYPE2&lt;&gt;"")+('Dvd Calendar'!$E$1808:$AR$1808=TYPE3)*(TYPE3&lt;&gt;"")+('Dvd Calendar'!$E$1808:$AR$1808=TYPE4)*(TYPE4&lt;&gt;"")+('Dvd Calendar'!$E$1808:$AR$1808=SPECIAL_LBL)*(INC_SPECIALS="Y"))))</f>
        <v/>
      </c>
      <c r="K174" s="69">
        <f>IF($C174="","",HSCEI!$J$29)</f>
        <v/>
      </c>
      <c r="L174" s="69">
        <f>IF($C174="","",HSCEI!$K$29)</f>
        <v/>
      </c>
      <c r="M174" s="44">
        <f>IF($C174="","",HSCEI!$J$29+HSCEI!$L$29)</f>
        <v/>
      </c>
      <c r="N174" s="70">
        <f>IF($C174="","",IF(PULL_FUND="N","",IFERROR(BDP($C174,BESTDPS_FIELD,FWD_OVERRIDE,TEXT(MOD(YEAR_Y,100),"00")&amp;"Y"),"")))</f>
        <v/>
      </c>
      <c r="O174" s="69">
        <f>IF($C174="","",AVERAGE(F174:J174))</f>
        <v/>
      </c>
      <c r="P174" s="71">
        <f>IF($C174="","",IF(PULL_FUND="N","",IF(COUNTIFS('Fund History'!$J$988:$J$992,"&gt;="&amp;DATE(YEAR_Y-5,1,1),'Fund History'!$J$988:$J$992,"&lt;="&amp;DATE(YEAR_Y-5,12,31))=0,"",IFERROR($F174*HSCEI!$G$29/SUMIFS('Fund History'!$K$988:$K$992,'Fund History'!$J$988:$J$992,"&gt;="&amp;DATE(YEAR_Y-5,1,1),'Fund History'!$J$988:$J$992,"&lt;="&amp;DATE(YEAR_Y-5,12,31)),""))))</f>
        <v/>
      </c>
      <c r="Q174" s="72">
        <f>IF($C174="","",IF(PULL_FUND="N","",IF(COUNTIFS('Fund History'!$J$988:$J$992,"&gt;="&amp;DATE(YEAR_Y-4,1,1),'Fund History'!$J$988:$J$992,"&lt;="&amp;DATE(YEAR_Y-4,12,31))=0,"",IFERROR($G174*HSCEI!$G$29/SUMIFS('Fund History'!$K$988:$K$992,'Fund History'!$J$988:$J$992,"&gt;="&amp;DATE(YEAR_Y-4,1,1),'Fund History'!$J$988:$J$992,"&lt;="&amp;DATE(YEAR_Y-4,12,31)),""))))</f>
        <v/>
      </c>
      <c r="R174" s="72">
        <f>IF($C174="","",IF(PULL_FUND="N","",IF(COUNTIFS('Fund History'!$J$988:$J$992,"&gt;="&amp;DATE(YEAR_Y-3,1,1),'Fund History'!$J$988:$J$992,"&lt;="&amp;DATE(YEAR_Y-3,12,31))=0,"",IFERROR($H174*HSCEI!$G$29/SUMIFS('Fund History'!$K$988:$K$992,'Fund History'!$J$988:$J$992,"&gt;="&amp;DATE(YEAR_Y-3,1,1),'Fund History'!$J$988:$J$992,"&lt;="&amp;DATE(YEAR_Y-3,12,31)),""))))</f>
        <v/>
      </c>
      <c r="S174" s="72">
        <f>IF($C174="","",IF(PULL_FUND="N","",IF(COUNTIFS('Fund History'!$J$988:$J$992,"&gt;="&amp;DATE(YEAR_Y-2,1,1),'Fund History'!$J$988:$J$992,"&lt;="&amp;DATE(YEAR_Y-2,12,31))=0,"",IFERROR($I174*HSCEI!$G$29/SUMIFS('Fund History'!$K$988:$K$992,'Fund History'!$J$988:$J$992,"&gt;="&amp;DATE(YEAR_Y-2,1,1),'Fund History'!$J$988:$J$992,"&lt;="&amp;DATE(YEAR_Y-2,12,31)),""))))</f>
        <v/>
      </c>
      <c r="T174" s="72">
        <f>IF($C174="","",IF(PULL_FUND="N","",IF(COUNTIFS('Fund History'!$J$988:$J$992,"&gt;="&amp;DATE(YEAR_Y-1,1,1),'Fund History'!$J$988:$J$992,"&lt;="&amp;DATE(YEAR_Y-1,12,31))=0,"",IFERROR($J174*HSCEI!$G$29/SUMIFS('Fund History'!$K$988:$K$992,'Fund History'!$J$988:$J$992,"&gt;="&amp;DATE(YEAR_Y-1,1,1),'Fund History'!$J$988:$J$992,"&lt;="&amp;DATE(YEAR_Y-1,12,31)),""))))</f>
        <v/>
      </c>
      <c r="U174" s="73">
        <f>IF($C174="","",IF(ISNUMBER(HSCEI!$I$29),HSCEI!$I$29/100,""))</f>
        <v/>
      </c>
      <c r="V174" s="74">
        <f>IF($C174="","",IF(ISNUMBER(HSCEI!$X$29),IFERROR($M174*HSCEI!$G$29/HSCEI!$X$29,""),""))</f>
        <v/>
      </c>
      <c r="W174" s="73">
        <f>IF($C174="","",IF(ISNUMBER($N174),IFERROR($N174*HSCEI!$G$29/HSCEI!$X$29,""),""))</f>
        <v/>
      </c>
      <c r="X174" s="75">
        <f>IF($C174="","",IF(PULL_FUND="N","",IFERROR(BDP($C174,EPS_FIELD,YR_OVERRIDE,TEXT(YEAR_Y-5,"0")),"")))</f>
        <v/>
      </c>
      <c r="Y174" s="76">
        <f>IF($C174="","",IF(PULL_FUND="N","",IFERROR(BDP($C174,EPS_FIELD,YR_OVERRIDE,TEXT(YEAR_Y-4,"0")),"")))</f>
        <v/>
      </c>
      <c r="Z174" s="76">
        <f>IF($C174="","",IF(PULL_FUND="N","",IFERROR(BDP($C174,EPS_FIELD,YR_OVERRIDE,TEXT(YEAR_Y-3,"0")),"")))</f>
        <v/>
      </c>
      <c r="AA174" s="76">
        <f>IF($C174="","",IF(PULL_FUND="N","",IFERROR(BDP($C174,EPS_FIELD,YR_OVERRIDE,TEXT(YEAR_Y-2,"0")),"")))</f>
        <v/>
      </c>
      <c r="AB174" s="76">
        <f>IF($C174="","",IF(PULL_FUND="N","",IFERROR(BDP($C174,EPS_FIELD,YR_OVERRIDE,TEXT(YEAR_Y-1,"0")),"")))</f>
        <v/>
      </c>
      <c r="AC174" s="50">
        <f>IF($C174="","",IFERROR(AVERAGE(X174:AB174),""))</f>
        <v/>
      </c>
      <c r="AD174" s="76">
        <f>IF($C174="","",IF(PULL_FUND="N","",IFERROR(BDP($C174,BESTEPS_FIELD,FWD_OVERRIDE,TEXT(MOD(YEAR_Y,100),"00")&amp;"Y"),"")))</f>
        <v/>
      </c>
      <c r="AE174" s="77">
        <f>IF($C174="","",IF(PULL_FUND="N","",IFERROR(BDP($C174,PAYOUT_FIELD,YR_OVERRIDE,TEXT(YEAR_Y-5,"0"))/100,"")))</f>
        <v/>
      </c>
      <c r="AF174" s="78">
        <f>IF($C174="","",IF(PULL_FUND="N","",IFERROR(BDP($C174,PAYOUT_FIELD,YR_OVERRIDE,TEXT(YEAR_Y-4,"0"))/100,"")))</f>
        <v/>
      </c>
      <c r="AG174" s="78">
        <f>IF($C174="","",IF(PULL_FUND="N","",IFERROR(BDP($C174,PAYOUT_FIELD,YR_OVERRIDE,TEXT(YEAR_Y-3,"0"))/100,"")))</f>
        <v/>
      </c>
      <c r="AH174" s="78">
        <f>IF($C174="","",IF(PULL_FUND="N","",IFERROR(BDP($C174,PAYOUT_FIELD,YR_OVERRIDE,TEXT(YEAR_Y-2,"0"))/100,"")))</f>
        <v/>
      </c>
      <c r="AI174" s="78">
        <f>IF($C174="","",IF(PULL_FUND="N","",IFERROR(BDP($C174,PAYOUT_FIELD,YR_OVERRIDE,TEXT(YEAR_Y-1,"0"))/100,"")))</f>
        <v/>
      </c>
      <c r="AJ174" s="79">
        <f>IF($C174="","",IFERROR(AVERAGE(AE174:AI174),""))</f>
        <v/>
      </c>
      <c r="AK174" s="80">
        <f>IF($C174="","",IF(ISNUMBER($AD174)*ISNUMBER($N174)*($AD174&lt;&gt;0)=0,"",$N174/$AD174))</f>
        <v/>
      </c>
      <c r="AL174" s="79">
        <f>IF($C174="","",IF(ISNUMBER($AD174)*($AD174&lt;&gt;0)=0,"",$M174/$AD174))</f>
        <v/>
      </c>
      <c r="AM174" s="37">
        <f>IF($C174="","",IF(ISNUMBER($AE174)*ISNUMBER($AI174)=0,"",IF($AI174&gt;$AE174+0.05,"rising",IF($AI174&lt;$AE174-0.05,"falling","stable"))))</f>
        <v/>
      </c>
      <c r="AN174" s="81">
        <f>IF($C174="","",IF(PULL_FUND="N","",IF(COUNTIFS('Fund History'!$G$988:$G$992,"&gt;="&amp;DATE(YEAR_Y-4,1,1),'Fund History'!$G$988:$G$992,"&lt;="&amp;DATE(YEAR_Y-4,12,31))=0,"",SUMIFS('Fund History'!$H$988:$H$992,'Fund History'!$G$988:$G$992,"&gt;="&amp;DATE(YEAR_Y-4,1,1),'Fund History'!$G$988:$G$992,"&lt;="&amp;DATE(YEAR_Y-4,12,31))/100)))</f>
        <v/>
      </c>
      <c r="AO174" s="82">
        <f>IF($C174="","",IF(PULL_FUND="N","",IF(COUNTIFS('Fund History'!$G$988:$G$992,"&gt;="&amp;DATE(YEAR_Y-3,1,1),'Fund History'!$G$988:$G$992,"&lt;="&amp;DATE(YEAR_Y-3,12,31))=0,"",SUMIFS('Fund History'!$H$988:$H$992,'Fund History'!$G$988:$G$992,"&gt;="&amp;DATE(YEAR_Y-3,1,1),'Fund History'!$G$988:$G$992,"&lt;="&amp;DATE(YEAR_Y-3,12,31))/100)))</f>
        <v/>
      </c>
      <c r="AP174" s="82">
        <f>IF($C174="","",IF(PULL_FUND="N","",IF(COUNTIFS('Fund History'!$G$988:$G$992,"&gt;="&amp;DATE(YEAR_Y-2,1,1),'Fund History'!$G$988:$G$992,"&lt;="&amp;DATE(YEAR_Y-2,12,31))=0,"",SUMIFS('Fund History'!$H$988:$H$992,'Fund History'!$G$988:$G$992,"&gt;="&amp;DATE(YEAR_Y-2,1,1),'Fund History'!$G$988:$G$992,"&lt;="&amp;DATE(YEAR_Y-2,12,31))/100)))</f>
        <v/>
      </c>
      <c r="AQ174" s="82">
        <f>IF($C174="","",IF(PULL_FUND="N","",IF(COUNTIFS('Fund History'!$G$988:$G$992,"&gt;="&amp;DATE(YEAR_Y-1,1,1),'Fund History'!$G$988:$G$992,"&lt;="&amp;DATE(YEAR_Y-1,12,31))=0,"",SUMIFS('Fund History'!$H$988:$H$992,'Fund History'!$G$988:$G$992,"&gt;="&amp;DATE(YEAR_Y-1,1,1),'Fund History'!$G$988:$G$992,"&lt;="&amp;DATE(YEAR_Y-1,12,31))/100)))</f>
        <v/>
      </c>
      <c r="AR174" s="83">
        <f>IF($C174="","",IF(N($AQ174)+N(HSCEI!$I$29)=0,"",N($AQ174)+N(HSCEI!$I$29)/100))</f>
        <v/>
      </c>
      <c r="AS174" s="75">
        <f>IF($C174="","",IF(PULL_FUND="N","",IF(COUNTIFS('Fund History'!$D$988:$D$992,"&gt;="&amp;DATE(YEAR_Y-2,1,1),'Fund History'!$D$988:$D$992,"&lt;="&amp;DATE(YEAR_Y-2,12,31))=0,"",SUMIFS('Fund History'!$E$988:$E$992,'Fund History'!$D$988:$D$992,"&gt;="&amp;DATE(YEAR_Y-2,1,1),'Fund History'!$D$988:$D$992,"&lt;="&amp;DATE(YEAR_Y-2,12,31)))))</f>
        <v/>
      </c>
      <c r="AT174" s="76">
        <f>IF($C174="","",IF(PULL_FUND="N","",IF(COUNTIFS('Fund History'!$D$988:$D$992,"&gt;="&amp;DATE(YEAR_Y-1,1,1),'Fund History'!$D$988:$D$992,"&lt;="&amp;DATE(YEAR_Y-1,12,31))=0,"",SUMIFS('Fund History'!$E$988:$E$992,'Fund History'!$D$988:$D$992,"&gt;="&amp;DATE(YEAR_Y-1,1,1),'Fund History'!$D$988:$D$992,"&lt;="&amp;DATE(YEAR_Y-1,12,31)))))</f>
        <v/>
      </c>
      <c r="AU174" s="76">
        <f>IF($C174="","",IF(PULL_FUND="N","",IFERROR(BDP($C174,NDEBITDA_FIELD),"")))</f>
        <v/>
      </c>
      <c r="AV174" s="84">
        <f>IF($C174="","",IF(PULL_FUND="N","",IFERROR(BDP($C174,EBINT_FIELD),"")))</f>
        <v/>
      </c>
      <c r="AW174" s="82">
        <f>IF($C174="","",IF(PULL_FUND="N","",IFERROR(BDP($C174,FCF_FIELD)/100,"")))</f>
        <v/>
      </c>
      <c r="AX174" s="50">
        <f>IF($C174="","",IF(N($U174)=0,"",IFERROR($AW174/$U174,"")))</f>
        <v/>
      </c>
      <c r="AY174" s="85">
        <f>IF($C174="","",TRIM(IF(ISNUMBER($AJ174)*(N($AJ174)&gt;$D$4)&gt;0,"payout high  ","")&amp;IF(ISNUMBER($AX174)*(N($AX174)&lt;$F$4)&gt;0,"FCF below dvd  ","")&amp;IF(ISNUMBER($AU174)*(N($AU174)&gt;$H$4)&gt;0,"leverage high","")))</f>
        <v/>
      </c>
      <c r="AZ174" s="86">
        <f>IF($C174="","",IF(HSCEI!$F$29="HKD","",HSCEI!$F$29))</f>
        <v/>
      </c>
    </row>
    <row r="175">
      <c r="B175" s="66" t="inlineStr">
        <is>
          <t>HSCEI</t>
        </is>
      </c>
      <c r="C175" s="8">
        <f>IF(HSCEI!$C$30="","",HSCEI!$C$30)</f>
        <v/>
      </c>
      <c r="D175" s="8">
        <f>IF($C175="","",HSCEI!$D$30)</f>
        <v/>
      </c>
      <c r="E175" s="8">
        <f>IF($C175="","",HSCEI!$E$30)</f>
        <v/>
      </c>
      <c r="F175" s="67">
        <f>IF($C175="","",SUMPRODUCT(('Dvd Calendar'!$E$1814:$AR$1814&gt;=DATE(YEAR_Y-5,1,1))*('Dvd Calendar'!$E$1814:$AR$1814&lt;=DATE(YEAR_Y-5,12,31))*'Dvd Calendar'!$E$1817:$AR$1817*(('Dvd Calendar'!$E$1819:$AR$1819=TYPE1)*(TYPE1&lt;&gt;"")+('Dvd Calendar'!$E$1819:$AR$1819=TYPE2)*(TYPE2&lt;&gt;"")+('Dvd Calendar'!$E$1819:$AR$1819=TYPE3)*(TYPE3&lt;&gt;"")+('Dvd Calendar'!$E$1819:$AR$1819=TYPE4)*(TYPE4&lt;&gt;"")+('Dvd Calendar'!$E$1819:$AR$1819=SPECIAL_LBL)*(INC_SPECIALS="Y"))))</f>
        <v/>
      </c>
      <c r="G175" s="68">
        <f>IF($C175="","",SUMPRODUCT(('Dvd Calendar'!$E$1814:$AR$1814&gt;=DATE(YEAR_Y-4,1,1))*('Dvd Calendar'!$E$1814:$AR$1814&lt;=DATE(YEAR_Y-4,12,31))*'Dvd Calendar'!$E$1817:$AR$1817*(('Dvd Calendar'!$E$1819:$AR$1819=TYPE1)*(TYPE1&lt;&gt;"")+('Dvd Calendar'!$E$1819:$AR$1819=TYPE2)*(TYPE2&lt;&gt;"")+('Dvd Calendar'!$E$1819:$AR$1819=TYPE3)*(TYPE3&lt;&gt;"")+('Dvd Calendar'!$E$1819:$AR$1819=TYPE4)*(TYPE4&lt;&gt;"")+('Dvd Calendar'!$E$1819:$AR$1819=SPECIAL_LBL)*(INC_SPECIALS="Y"))))</f>
        <v/>
      </c>
      <c r="H175" s="68">
        <f>IF($C175="","",SUMPRODUCT(('Dvd Calendar'!$E$1814:$AR$1814&gt;=DATE(YEAR_Y-3,1,1))*('Dvd Calendar'!$E$1814:$AR$1814&lt;=DATE(YEAR_Y-3,12,31))*'Dvd Calendar'!$E$1817:$AR$1817*(('Dvd Calendar'!$E$1819:$AR$1819=TYPE1)*(TYPE1&lt;&gt;"")+('Dvd Calendar'!$E$1819:$AR$1819=TYPE2)*(TYPE2&lt;&gt;"")+('Dvd Calendar'!$E$1819:$AR$1819=TYPE3)*(TYPE3&lt;&gt;"")+('Dvd Calendar'!$E$1819:$AR$1819=TYPE4)*(TYPE4&lt;&gt;"")+('Dvd Calendar'!$E$1819:$AR$1819=SPECIAL_LBL)*(INC_SPECIALS="Y"))))</f>
        <v/>
      </c>
      <c r="I175" s="68">
        <f>IF($C175="","",SUMPRODUCT(('Dvd Calendar'!$E$1814:$AR$1814&gt;=DATE(YEAR_Y-2,1,1))*('Dvd Calendar'!$E$1814:$AR$1814&lt;=DATE(YEAR_Y-2,12,31))*'Dvd Calendar'!$E$1817:$AR$1817*(('Dvd Calendar'!$E$1819:$AR$1819=TYPE1)*(TYPE1&lt;&gt;"")+('Dvd Calendar'!$E$1819:$AR$1819=TYPE2)*(TYPE2&lt;&gt;"")+('Dvd Calendar'!$E$1819:$AR$1819=TYPE3)*(TYPE3&lt;&gt;"")+('Dvd Calendar'!$E$1819:$AR$1819=TYPE4)*(TYPE4&lt;&gt;"")+('Dvd Calendar'!$E$1819:$AR$1819=SPECIAL_LBL)*(INC_SPECIALS="Y"))))</f>
        <v/>
      </c>
      <c r="J175" s="68">
        <f>IF($C175="","",SUMPRODUCT(('Dvd Calendar'!$E$1814:$AR$1814&gt;=DATE(YEAR_Y-1,1,1))*('Dvd Calendar'!$E$1814:$AR$1814&lt;=DATE(YEAR_Y-1,12,31))*'Dvd Calendar'!$E$1817:$AR$1817*(('Dvd Calendar'!$E$1819:$AR$1819=TYPE1)*(TYPE1&lt;&gt;"")+('Dvd Calendar'!$E$1819:$AR$1819=TYPE2)*(TYPE2&lt;&gt;"")+('Dvd Calendar'!$E$1819:$AR$1819=TYPE3)*(TYPE3&lt;&gt;"")+('Dvd Calendar'!$E$1819:$AR$1819=TYPE4)*(TYPE4&lt;&gt;"")+('Dvd Calendar'!$E$1819:$AR$1819=SPECIAL_LBL)*(INC_SPECIALS="Y"))))</f>
        <v/>
      </c>
      <c r="K175" s="69">
        <f>IF($C175="","",HSCEI!$J$30)</f>
        <v/>
      </c>
      <c r="L175" s="69">
        <f>IF($C175="","",HSCEI!$K$30)</f>
        <v/>
      </c>
      <c r="M175" s="44">
        <f>IF($C175="","",HSCEI!$J$30+HSCEI!$L$30)</f>
        <v/>
      </c>
      <c r="N175" s="70">
        <f>IF($C175="","",IF(PULL_FUND="N","",IFERROR(BDP($C175,BESTDPS_FIELD,FWD_OVERRIDE,TEXT(MOD(YEAR_Y,100),"00")&amp;"Y"),"")))</f>
        <v/>
      </c>
      <c r="O175" s="69">
        <f>IF($C175="","",AVERAGE(F175:J175))</f>
        <v/>
      </c>
      <c r="P175" s="71">
        <f>IF($C175="","",IF(PULL_FUND="N","",IF(COUNTIFS('Fund History'!$J$994:$J$998,"&gt;="&amp;DATE(YEAR_Y-5,1,1),'Fund History'!$J$994:$J$998,"&lt;="&amp;DATE(YEAR_Y-5,12,31))=0,"",IFERROR($F175*HSCEI!$G$30/SUMIFS('Fund History'!$K$994:$K$998,'Fund History'!$J$994:$J$998,"&gt;="&amp;DATE(YEAR_Y-5,1,1),'Fund History'!$J$994:$J$998,"&lt;="&amp;DATE(YEAR_Y-5,12,31)),""))))</f>
        <v/>
      </c>
      <c r="Q175" s="72">
        <f>IF($C175="","",IF(PULL_FUND="N","",IF(COUNTIFS('Fund History'!$J$994:$J$998,"&gt;="&amp;DATE(YEAR_Y-4,1,1),'Fund History'!$J$994:$J$998,"&lt;="&amp;DATE(YEAR_Y-4,12,31))=0,"",IFERROR($G175*HSCEI!$G$30/SUMIFS('Fund History'!$K$994:$K$998,'Fund History'!$J$994:$J$998,"&gt;="&amp;DATE(YEAR_Y-4,1,1),'Fund History'!$J$994:$J$998,"&lt;="&amp;DATE(YEAR_Y-4,12,31)),""))))</f>
        <v/>
      </c>
      <c r="R175" s="72">
        <f>IF($C175="","",IF(PULL_FUND="N","",IF(COUNTIFS('Fund History'!$J$994:$J$998,"&gt;="&amp;DATE(YEAR_Y-3,1,1),'Fund History'!$J$994:$J$998,"&lt;="&amp;DATE(YEAR_Y-3,12,31))=0,"",IFERROR($H175*HSCEI!$G$30/SUMIFS('Fund History'!$K$994:$K$998,'Fund History'!$J$994:$J$998,"&gt;="&amp;DATE(YEAR_Y-3,1,1),'Fund History'!$J$994:$J$998,"&lt;="&amp;DATE(YEAR_Y-3,12,31)),""))))</f>
        <v/>
      </c>
      <c r="S175" s="72">
        <f>IF($C175="","",IF(PULL_FUND="N","",IF(COUNTIFS('Fund History'!$J$994:$J$998,"&gt;="&amp;DATE(YEAR_Y-2,1,1),'Fund History'!$J$994:$J$998,"&lt;="&amp;DATE(YEAR_Y-2,12,31))=0,"",IFERROR($I175*HSCEI!$G$30/SUMIFS('Fund History'!$K$994:$K$998,'Fund History'!$J$994:$J$998,"&gt;="&amp;DATE(YEAR_Y-2,1,1),'Fund History'!$J$994:$J$998,"&lt;="&amp;DATE(YEAR_Y-2,12,31)),""))))</f>
        <v/>
      </c>
      <c r="T175" s="72">
        <f>IF($C175="","",IF(PULL_FUND="N","",IF(COUNTIFS('Fund History'!$J$994:$J$998,"&gt;="&amp;DATE(YEAR_Y-1,1,1),'Fund History'!$J$994:$J$998,"&lt;="&amp;DATE(YEAR_Y-1,12,31))=0,"",IFERROR($J175*HSCEI!$G$30/SUMIFS('Fund History'!$K$994:$K$998,'Fund History'!$J$994:$J$998,"&gt;="&amp;DATE(YEAR_Y-1,1,1),'Fund History'!$J$994:$J$998,"&lt;="&amp;DATE(YEAR_Y-1,12,31)),""))))</f>
        <v/>
      </c>
      <c r="U175" s="73">
        <f>IF($C175="","",IF(ISNUMBER(HSCEI!$I$30),HSCEI!$I$30/100,""))</f>
        <v/>
      </c>
      <c r="V175" s="74">
        <f>IF($C175="","",IF(ISNUMBER(HSCEI!$X$30),IFERROR($M175*HSCEI!$G$30/HSCEI!$X$30,""),""))</f>
        <v/>
      </c>
      <c r="W175" s="73">
        <f>IF($C175="","",IF(ISNUMBER($N175),IFERROR($N175*HSCEI!$G$30/HSCEI!$X$30,""),""))</f>
        <v/>
      </c>
      <c r="X175" s="75">
        <f>IF($C175="","",IF(PULL_FUND="N","",IFERROR(BDP($C175,EPS_FIELD,YR_OVERRIDE,TEXT(YEAR_Y-5,"0")),"")))</f>
        <v/>
      </c>
      <c r="Y175" s="76">
        <f>IF($C175="","",IF(PULL_FUND="N","",IFERROR(BDP($C175,EPS_FIELD,YR_OVERRIDE,TEXT(YEAR_Y-4,"0")),"")))</f>
        <v/>
      </c>
      <c r="Z175" s="76">
        <f>IF($C175="","",IF(PULL_FUND="N","",IFERROR(BDP($C175,EPS_FIELD,YR_OVERRIDE,TEXT(YEAR_Y-3,"0")),"")))</f>
        <v/>
      </c>
      <c r="AA175" s="76">
        <f>IF($C175="","",IF(PULL_FUND="N","",IFERROR(BDP($C175,EPS_FIELD,YR_OVERRIDE,TEXT(YEAR_Y-2,"0")),"")))</f>
        <v/>
      </c>
      <c r="AB175" s="76">
        <f>IF($C175="","",IF(PULL_FUND="N","",IFERROR(BDP($C175,EPS_FIELD,YR_OVERRIDE,TEXT(YEAR_Y-1,"0")),"")))</f>
        <v/>
      </c>
      <c r="AC175" s="50">
        <f>IF($C175="","",IFERROR(AVERAGE(X175:AB175),""))</f>
        <v/>
      </c>
      <c r="AD175" s="76">
        <f>IF($C175="","",IF(PULL_FUND="N","",IFERROR(BDP($C175,BESTEPS_FIELD,FWD_OVERRIDE,TEXT(MOD(YEAR_Y,100),"00")&amp;"Y"),"")))</f>
        <v/>
      </c>
      <c r="AE175" s="77">
        <f>IF($C175="","",IF(PULL_FUND="N","",IFERROR(BDP($C175,PAYOUT_FIELD,YR_OVERRIDE,TEXT(YEAR_Y-5,"0"))/100,"")))</f>
        <v/>
      </c>
      <c r="AF175" s="78">
        <f>IF($C175="","",IF(PULL_FUND="N","",IFERROR(BDP($C175,PAYOUT_FIELD,YR_OVERRIDE,TEXT(YEAR_Y-4,"0"))/100,"")))</f>
        <v/>
      </c>
      <c r="AG175" s="78">
        <f>IF($C175="","",IF(PULL_FUND="N","",IFERROR(BDP($C175,PAYOUT_FIELD,YR_OVERRIDE,TEXT(YEAR_Y-3,"0"))/100,"")))</f>
        <v/>
      </c>
      <c r="AH175" s="78">
        <f>IF($C175="","",IF(PULL_FUND="N","",IFERROR(BDP($C175,PAYOUT_FIELD,YR_OVERRIDE,TEXT(YEAR_Y-2,"0"))/100,"")))</f>
        <v/>
      </c>
      <c r="AI175" s="78">
        <f>IF($C175="","",IF(PULL_FUND="N","",IFERROR(BDP($C175,PAYOUT_FIELD,YR_OVERRIDE,TEXT(YEAR_Y-1,"0"))/100,"")))</f>
        <v/>
      </c>
      <c r="AJ175" s="79">
        <f>IF($C175="","",IFERROR(AVERAGE(AE175:AI175),""))</f>
        <v/>
      </c>
      <c r="AK175" s="80">
        <f>IF($C175="","",IF(ISNUMBER($AD175)*ISNUMBER($N175)*($AD175&lt;&gt;0)=0,"",$N175/$AD175))</f>
        <v/>
      </c>
      <c r="AL175" s="79">
        <f>IF($C175="","",IF(ISNUMBER($AD175)*($AD175&lt;&gt;0)=0,"",$M175/$AD175))</f>
        <v/>
      </c>
      <c r="AM175" s="37">
        <f>IF($C175="","",IF(ISNUMBER($AE175)*ISNUMBER($AI175)=0,"",IF($AI175&gt;$AE175+0.05,"rising",IF($AI175&lt;$AE175-0.05,"falling","stable"))))</f>
        <v/>
      </c>
      <c r="AN175" s="81">
        <f>IF($C175="","",IF(PULL_FUND="N","",IF(COUNTIFS('Fund History'!$G$994:$G$998,"&gt;="&amp;DATE(YEAR_Y-4,1,1),'Fund History'!$G$994:$G$998,"&lt;="&amp;DATE(YEAR_Y-4,12,31))=0,"",SUMIFS('Fund History'!$H$994:$H$998,'Fund History'!$G$994:$G$998,"&gt;="&amp;DATE(YEAR_Y-4,1,1),'Fund History'!$G$994:$G$998,"&lt;="&amp;DATE(YEAR_Y-4,12,31))/100)))</f>
        <v/>
      </c>
      <c r="AO175" s="82">
        <f>IF($C175="","",IF(PULL_FUND="N","",IF(COUNTIFS('Fund History'!$G$994:$G$998,"&gt;="&amp;DATE(YEAR_Y-3,1,1),'Fund History'!$G$994:$G$998,"&lt;="&amp;DATE(YEAR_Y-3,12,31))=0,"",SUMIFS('Fund History'!$H$994:$H$998,'Fund History'!$G$994:$G$998,"&gt;="&amp;DATE(YEAR_Y-3,1,1),'Fund History'!$G$994:$G$998,"&lt;="&amp;DATE(YEAR_Y-3,12,31))/100)))</f>
        <v/>
      </c>
      <c r="AP175" s="82">
        <f>IF($C175="","",IF(PULL_FUND="N","",IF(COUNTIFS('Fund History'!$G$994:$G$998,"&gt;="&amp;DATE(YEAR_Y-2,1,1),'Fund History'!$G$994:$G$998,"&lt;="&amp;DATE(YEAR_Y-2,12,31))=0,"",SUMIFS('Fund History'!$H$994:$H$998,'Fund History'!$G$994:$G$998,"&gt;="&amp;DATE(YEAR_Y-2,1,1),'Fund History'!$G$994:$G$998,"&lt;="&amp;DATE(YEAR_Y-2,12,31))/100)))</f>
        <v/>
      </c>
      <c r="AQ175" s="82">
        <f>IF($C175="","",IF(PULL_FUND="N","",IF(COUNTIFS('Fund History'!$G$994:$G$998,"&gt;="&amp;DATE(YEAR_Y-1,1,1),'Fund History'!$G$994:$G$998,"&lt;="&amp;DATE(YEAR_Y-1,12,31))=0,"",SUMIFS('Fund History'!$H$994:$H$998,'Fund History'!$G$994:$G$998,"&gt;="&amp;DATE(YEAR_Y-1,1,1),'Fund History'!$G$994:$G$998,"&lt;="&amp;DATE(YEAR_Y-1,12,31))/100)))</f>
        <v/>
      </c>
      <c r="AR175" s="83">
        <f>IF($C175="","",IF(N($AQ175)+N(HSCEI!$I$30)=0,"",N($AQ175)+N(HSCEI!$I$30)/100))</f>
        <v/>
      </c>
      <c r="AS175" s="75">
        <f>IF($C175="","",IF(PULL_FUND="N","",IF(COUNTIFS('Fund History'!$D$994:$D$998,"&gt;="&amp;DATE(YEAR_Y-2,1,1),'Fund History'!$D$994:$D$998,"&lt;="&amp;DATE(YEAR_Y-2,12,31))=0,"",SUMIFS('Fund History'!$E$994:$E$998,'Fund History'!$D$994:$D$998,"&gt;="&amp;DATE(YEAR_Y-2,1,1),'Fund History'!$D$994:$D$998,"&lt;="&amp;DATE(YEAR_Y-2,12,31)))))</f>
        <v/>
      </c>
      <c r="AT175" s="76">
        <f>IF($C175="","",IF(PULL_FUND="N","",IF(COUNTIFS('Fund History'!$D$994:$D$998,"&gt;="&amp;DATE(YEAR_Y-1,1,1),'Fund History'!$D$994:$D$998,"&lt;="&amp;DATE(YEAR_Y-1,12,31))=0,"",SUMIFS('Fund History'!$E$994:$E$998,'Fund History'!$D$994:$D$998,"&gt;="&amp;DATE(YEAR_Y-1,1,1),'Fund History'!$D$994:$D$998,"&lt;="&amp;DATE(YEAR_Y-1,12,31)))))</f>
        <v/>
      </c>
      <c r="AU175" s="76">
        <f>IF($C175="","",IF(PULL_FUND="N","",IFERROR(BDP($C175,NDEBITDA_FIELD),"")))</f>
        <v/>
      </c>
      <c r="AV175" s="84">
        <f>IF($C175="","",IF(PULL_FUND="N","",IFERROR(BDP($C175,EBINT_FIELD),"")))</f>
        <v/>
      </c>
      <c r="AW175" s="82">
        <f>IF($C175="","",IF(PULL_FUND="N","",IFERROR(BDP($C175,FCF_FIELD)/100,"")))</f>
        <v/>
      </c>
      <c r="AX175" s="50">
        <f>IF($C175="","",IF(N($U175)=0,"",IFERROR($AW175/$U175,"")))</f>
        <v/>
      </c>
      <c r="AY175" s="85">
        <f>IF($C175="","",TRIM(IF(ISNUMBER($AJ175)*(N($AJ175)&gt;$D$4)&gt;0,"payout high  ","")&amp;IF(ISNUMBER($AX175)*(N($AX175)&lt;$F$4)&gt;0,"FCF below dvd  ","")&amp;IF(ISNUMBER($AU175)*(N($AU175)&gt;$H$4)&gt;0,"leverage high","")))</f>
        <v/>
      </c>
      <c r="AZ175" s="86">
        <f>IF($C175="","",IF(HSCEI!$F$30="HKD","",HSCEI!$F$30))</f>
        <v/>
      </c>
    </row>
    <row r="176">
      <c r="B176" s="66" t="inlineStr">
        <is>
          <t>HSCEI</t>
        </is>
      </c>
      <c r="C176" s="8">
        <f>IF(HSCEI!$C$31="","",HSCEI!$C$31)</f>
        <v/>
      </c>
      <c r="D176" s="8">
        <f>IF($C176="","",HSCEI!$D$31)</f>
        <v/>
      </c>
      <c r="E176" s="8">
        <f>IF($C176="","",HSCEI!$E$31)</f>
        <v/>
      </c>
      <c r="F176" s="67">
        <f>IF($C176="","",SUMPRODUCT(('Dvd Calendar'!$E$1825:$AR$1825&gt;=DATE(YEAR_Y-5,1,1))*('Dvd Calendar'!$E$1825:$AR$1825&lt;=DATE(YEAR_Y-5,12,31))*'Dvd Calendar'!$E$1828:$AR$1828*(('Dvd Calendar'!$E$1830:$AR$1830=TYPE1)*(TYPE1&lt;&gt;"")+('Dvd Calendar'!$E$1830:$AR$1830=TYPE2)*(TYPE2&lt;&gt;"")+('Dvd Calendar'!$E$1830:$AR$1830=TYPE3)*(TYPE3&lt;&gt;"")+('Dvd Calendar'!$E$1830:$AR$1830=TYPE4)*(TYPE4&lt;&gt;"")+('Dvd Calendar'!$E$1830:$AR$1830=SPECIAL_LBL)*(INC_SPECIALS="Y"))))</f>
        <v/>
      </c>
      <c r="G176" s="68">
        <f>IF($C176="","",SUMPRODUCT(('Dvd Calendar'!$E$1825:$AR$1825&gt;=DATE(YEAR_Y-4,1,1))*('Dvd Calendar'!$E$1825:$AR$1825&lt;=DATE(YEAR_Y-4,12,31))*'Dvd Calendar'!$E$1828:$AR$1828*(('Dvd Calendar'!$E$1830:$AR$1830=TYPE1)*(TYPE1&lt;&gt;"")+('Dvd Calendar'!$E$1830:$AR$1830=TYPE2)*(TYPE2&lt;&gt;"")+('Dvd Calendar'!$E$1830:$AR$1830=TYPE3)*(TYPE3&lt;&gt;"")+('Dvd Calendar'!$E$1830:$AR$1830=TYPE4)*(TYPE4&lt;&gt;"")+('Dvd Calendar'!$E$1830:$AR$1830=SPECIAL_LBL)*(INC_SPECIALS="Y"))))</f>
        <v/>
      </c>
      <c r="H176" s="68">
        <f>IF($C176="","",SUMPRODUCT(('Dvd Calendar'!$E$1825:$AR$1825&gt;=DATE(YEAR_Y-3,1,1))*('Dvd Calendar'!$E$1825:$AR$1825&lt;=DATE(YEAR_Y-3,12,31))*'Dvd Calendar'!$E$1828:$AR$1828*(('Dvd Calendar'!$E$1830:$AR$1830=TYPE1)*(TYPE1&lt;&gt;"")+('Dvd Calendar'!$E$1830:$AR$1830=TYPE2)*(TYPE2&lt;&gt;"")+('Dvd Calendar'!$E$1830:$AR$1830=TYPE3)*(TYPE3&lt;&gt;"")+('Dvd Calendar'!$E$1830:$AR$1830=TYPE4)*(TYPE4&lt;&gt;"")+('Dvd Calendar'!$E$1830:$AR$1830=SPECIAL_LBL)*(INC_SPECIALS="Y"))))</f>
        <v/>
      </c>
      <c r="I176" s="68">
        <f>IF($C176="","",SUMPRODUCT(('Dvd Calendar'!$E$1825:$AR$1825&gt;=DATE(YEAR_Y-2,1,1))*('Dvd Calendar'!$E$1825:$AR$1825&lt;=DATE(YEAR_Y-2,12,31))*'Dvd Calendar'!$E$1828:$AR$1828*(('Dvd Calendar'!$E$1830:$AR$1830=TYPE1)*(TYPE1&lt;&gt;"")+('Dvd Calendar'!$E$1830:$AR$1830=TYPE2)*(TYPE2&lt;&gt;"")+('Dvd Calendar'!$E$1830:$AR$1830=TYPE3)*(TYPE3&lt;&gt;"")+('Dvd Calendar'!$E$1830:$AR$1830=TYPE4)*(TYPE4&lt;&gt;"")+('Dvd Calendar'!$E$1830:$AR$1830=SPECIAL_LBL)*(INC_SPECIALS="Y"))))</f>
        <v/>
      </c>
      <c r="J176" s="68">
        <f>IF($C176="","",SUMPRODUCT(('Dvd Calendar'!$E$1825:$AR$1825&gt;=DATE(YEAR_Y-1,1,1))*('Dvd Calendar'!$E$1825:$AR$1825&lt;=DATE(YEAR_Y-1,12,31))*'Dvd Calendar'!$E$1828:$AR$1828*(('Dvd Calendar'!$E$1830:$AR$1830=TYPE1)*(TYPE1&lt;&gt;"")+('Dvd Calendar'!$E$1830:$AR$1830=TYPE2)*(TYPE2&lt;&gt;"")+('Dvd Calendar'!$E$1830:$AR$1830=TYPE3)*(TYPE3&lt;&gt;"")+('Dvd Calendar'!$E$1830:$AR$1830=TYPE4)*(TYPE4&lt;&gt;"")+('Dvd Calendar'!$E$1830:$AR$1830=SPECIAL_LBL)*(INC_SPECIALS="Y"))))</f>
        <v/>
      </c>
      <c r="K176" s="69">
        <f>IF($C176="","",HSCEI!$J$31)</f>
        <v/>
      </c>
      <c r="L176" s="69">
        <f>IF($C176="","",HSCEI!$K$31)</f>
        <v/>
      </c>
      <c r="M176" s="44">
        <f>IF($C176="","",HSCEI!$J$31+HSCEI!$L$31)</f>
        <v/>
      </c>
      <c r="N176" s="70">
        <f>IF($C176="","",IF(PULL_FUND="N","",IFERROR(BDP($C176,BESTDPS_FIELD,FWD_OVERRIDE,TEXT(MOD(YEAR_Y,100),"00")&amp;"Y"),"")))</f>
        <v/>
      </c>
      <c r="O176" s="69">
        <f>IF($C176="","",AVERAGE(F176:J176))</f>
        <v/>
      </c>
      <c r="P176" s="71">
        <f>IF($C176="","",IF(PULL_FUND="N","",IF(COUNTIFS('Fund History'!$J$1000:$J$1004,"&gt;="&amp;DATE(YEAR_Y-5,1,1),'Fund History'!$J$1000:$J$1004,"&lt;="&amp;DATE(YEAR_Y-5,12,31))=0,"",IFERROR($F176*HSCEI!$G$31/SUMIFS('Fund History'!$K$1000:$K$1004,'Fund History'!$J$1000:$J$1004,"&gt;="&amp;DATE(YEAR_Y-5,1,1),'Fund History'!$J$1000:$J$1004,"&lt;="&amp;DATE(YEAR_Y-5,12,31)),""))))</f>
        <v/>
      </c>
      <c r="Q176" s="72">
        <f>IF($C176="","",IF(PULL_FUND="N","",IF(COUNTIFS('Fund History'!$J$1000:$J$1004,"&gt;="&amp;DATE(YEAR_Y-4,1,1),'Fund History'!$J$1000:$J$1004,"&lt;="&amp;DATE(YEAR_Y-4,12,31))=0,"",IFERROR($G176*HSCEI!$G$31/SUMIFS('Fund History'!$K$1000:$K$1004,'Fund History'!$J$1000:$J$1004,"&gt;="&amp;DATE(YEAR_Y-4,1,1),'Fund History'!$J$1000:$J$1004,"&lt;="&amp;DATE(YEAR_Y-4,12,31)),""))))</f>
        <v/>
      </c>
      <c r="R176" s="72">
        <f>IF($C176="","",IF(PULL_FUND="N","",IF(COUNTIFS('Fund History'!$J$1000:$J$1004,"&gt;="&amp;DATE(YEAR_Y-3,1,1),'Fund History'!$J$1000:$J$1004,"&lt;="&amp;DATE(YEAR_Y-3,12,31))=0,"",IFERROR($H176*HSCEI!$G$31/SUMIFS('Fund History'!$K$1000:$K$1004,'Fund History'!$J$1000:$J$1004,"&gt;="&amp;DATE(YEAR_Y-3,1,1),'Fund History'!$J$1000:$J$1004,"&lt;="&amp;DATE(YEAR_Y-3,12,31)),""))))</f>
        <v/>
      </c>
      <c r="S176" s="72">
        <f>IF($C176="","",IF(PULL_FUND="N","",IF(COUNTIFS('Fund History'!$J$1000:$J$1004,"&gt;="&amp;DATE(YEAR_Y-2,1,1),'Fund History'!$J$1000:$J$1004,"&lt;="&amp;DATE(YEAR_Y-2,12,31))=0,"",IFERROR($I176*HSCEI!$G$31/SUMIFS('Fund History'!$K$1000:$K$1004,'Fund History'!$J$1000:$J$1004,"&gt;="&amp;DATE(YEAR_Y-2,1,1),'Fund History'!$J$1000:$J$1004,"&lt;="&amp;DATE(YEAR_Y-2,12,31)),""))))</f>
        <v/>
      </c>
      <c r="T176" s="72">
        <f>IF($C176="","",IF(PULL_FUND="N","",IF(COUNTIFS('Fund History'!$J$1000:$J$1004,"&gt;="&amp;DATE(YEAR_Y-1,1,1),'Fund History'!$J$1000:$J$1004,"&lt;="&amp;DATE(YEAR_Y-1,12,31))=0,"",IFERROR($J176*HSCEI!$G$31/SUMIFS('Fund History'!$K$1000:$K$1004,'Fund History'!$J$1000:$J$1004,"&gt;="&amp;DATE(YEAR_Y-1,1,1),'Fund History'!$J$1000:$J$1004,"&lt;="&amp;DATE(YEAR_Y-1,12,31)),""))))</f>
        <v/>
      </c>
      <c r="U176" s="73">
        <f>IF($C176="","",IF(ISNUMBER(HSCEI!$I$31),HSCEI!$I$31/100,""))</f>
        <v/>
      </c>
      <c r="V176" s="74">
        <f>IF($C176="","",IF(ISNUMBER(HSCEI!$X$31),IFERROR($M176*HSCEI!$G$31/HSCEI!$X$31,""),""))</f>
        <v/>
      </c>
      <c r="W176" s="73">
        <f>IF($C176="","",IF(ISNUMBER($N176),IFERROR($N176*HSCEI!$G$31/HSCEI!$X$31,""),""))</f>
        <v/>
      </c>
      <c r="X176" s="75">
        <f>IF($C176="","",IF(PULL_FUND="N","",IFERROR(BDP($C176,EPS_FIELD,YR_OVERRIDE,TEXT(YEAR_Y-5,"0")),"")))</f>
        <v/>
      </c>
      <c r="Y176" s="76">
        <f>IF($C176="","",IF(PULL_FUND="N","",IFERROR(BDP($C176,EPS_FIELD,YR_OVERRIDE,TEXT(YEAR_Y-4,"0")),"")))</f>
        <v/>
      </c>
      <c r="Z176" s="76">
        <f>IF($C176="","",IF(PULL_FUND="N","",IFERROR(BDP($C176,EPS_FIELD,YR_OVERRIDE,TEXT(YEAR_Y-3,"0")),"")))</f>
        <v/>
      </c>
      <c r="AA176" s="76">
        <f>IF($C176="","",IF(PULL_FUND="N","",IFERROR(BDP($C176,EPS_FIELD,YR_OVERRIDE,TEXT(YEAR_Y-2,"0")),"")))</f>
        <v/>
      </c>
      <c r="AB176" s="76">
        <f>IF($C176="","",IF(PULL_FUND="N","",IFERROR(BDP($C176,EPS_FIELD,YR_OVERRIDE,TEXT(YEAR_Y-1,"0")),"")))</f>
        <v/>
      </c>
      <c r="AC176" s="50">
        <f>IF($C176="","",IFERROR(AVERAGE(X176:AB176),""))</f>
        <v/>
      </c>
      <c r="AD176" s="76">
        <f>IF($C176="","",IF(PULL_FUND="N","",IFERROR(BDP($C176,BESTEPS_FIELD,FWD_OVERRIDE,TEXT(MOD(YEAR_Y,100),"00")&amp;"Y"),"")))</f>
        <v/>
      </c>
      <c r="AE176" s="77">
        <f>IF($C176="","",IF(PULL_FUND="N","",IFERROR(BDP($C176,PAYOUT_FIELD,YR_OVERRIDE,TEXT(YEAR_Y-5,"0"))/100,"")))</f>
        <v/>
      </c>
      <c r="AF176" s="78">
        <f>IF($C176="","",IF(PULL_FUND="N","",IFERROR(BDP($C176,PAYOUT_FIELD,YR_OVERRIDE,TEXT(YEAR_Y-4,"0"))/100,"")))</f>
        <v/>
      </c>
      <c r="AG176" s="78">
        <f>IF($C176="","",IF(PULL_FUND="N","",IFERROR(BDP($C176,PAYOUT_FIELD,YR_OVERRIDE,TEXT(YEAR_Y-3,"0"))/100,"")))</f>
        <v/>
      </c>
      <c r="AH176" s="78">
        <f>IF($C176="","",IF(PULL_FUND="N","",IFERROR(BDP($C176,PAYOUT_FIELD,YR_OVERRIDE,TEXT(YEAR_Y-2,"0"))/100,"")))</f>
        <v/>
      </c>
      <c r="AI176" s="78">
        <f>IF($C176="","",IF(PULL_FUND="N","",IFERROR(BDP($C176,PAYOUT_FIELD,YR_OVERRIDE,TEXT(YEAR_Y-1,"0"))/100,"")))</f>
        <v/>
      </c>
      <c r="AJ176" s="79">
        <f>IF($C176="","",IFERROR(AVERAGE(AE176:AI176),""))</f>
        <v/>
      </c>
      <c r="AK176" s="80">
        <f>IF($C176="","",IF(ISNUMBER($AD176)*ISNUMBER($N176)*($AD176&lt;&gt;0)=0,"",$N176/$AD176))</f>
        <v/>
      </c>
      <c r="AL176" s="79">
        <f>IF($C176="","",IF(ISNUMBER($AD176)*($AD176&lt;&gt;0)=0,"",$M176/$AD176))</f>
        <v/>
      </c>
      <c r="AM176" s="37">
        <f>IF($C176="","",IF(ISNUMBER($AE176)*ISNUMBER($AI176)=0,"",IF($AI176&gt;$AE176+0.05,"rising",IF($AI176&lt;$AE176-0.05,"falling","stable"))))</f>
        <v/>
      </c>
      <c r="AN176" s="81">
        <f>IF($C176="","",IF(PULL_FUND="N","",IF(COUNTIFS('Fund History'!$G$1000:$G$1004,"&gt;="&amp;DATE(YEAR_Y-4,1,1),'Fund History'!$G$1000:$G$1004,"&lt;="&amp;DATE(YEAR_Y-4,12,31))=0,"",SUMIFS('Fund History'!$H$1000:$H$1004,'Fund History'!$G$1000:$G$1004,"&gt;="&amp;DATE(YEAR_Y-4,1,1),'Fund History'!$G$1000:$G$1004,"&lt;="&amp;DATE(YEAR_Y-4,12,31))/100)))</f>
        <v/>
      </c>
      <c r="AO176" s="82">
        <f>IF($C176="","",IF(PULL_FUND="N","",IF(COUNTIFS('Fund History'!$G$1000:$G$1004,"&gt;="&amp;DATE(YEAR_Y-3,1,1),'Fund History'!$G$1000:$G$1004,"&lt;="&amp;DATE(YEAR_Y-3,12,31))=0,"",SUMIFS('Fund History'!$H$1000:$H$1004,'Fund History'!$G$1000:$G$1004,"&gt;="&amp;DATE(YEAR_Y-3,1,1),'Fund History'!$G$1000:$G$1004,"&lt;="&amp;DATE(YEAR_Y-3,12,31))/100)))</f>
        <v/>
      </c>
      <c r="AP176" s="82">
        <f>IF($C176="","",IF(PULL_FUND="N","",IF(COUNTIFS('Fund History'!$G$1000:$G$1004,"&gt;="&amp;DATE(YEAR_Y-2,1,1),'Fund History'!$G$1000:$G$1004,"&lt;="&amp;DATE(YEAR_Y-2,12,31))=0,"",SUMIFS('Fund History'!$H$1000:$H$1004,'Fund History'!$G$1000:$G$1004,"&gt;="&amp;DATE(YEAR_Y-2,1,1),'Fund History'!$G$1000:$G$1004,"&lt;="&amp;DATE(YEAR_Y-2,12,31))/100)))</f>
        <v/>
      </c>
      <c r="AQ176" s="82">
        <f>IF($C176="","",IF(PULL_FUND="N","",IF(COUNTIFS('Fund History'!$G$1000:$G$1004,"&gt;="&amp;DATE(YEAR_Y-1,1,1),'Fund History'!$G$1000:$G$1004,"&lt;="&amp;DATE(YEAR_Y-1,12,31))=0,"",SUMIFS('Fund History'!$H$1000:$H$1004,'Fund History'!$G$1000:$G$1004,"&gt;="&amp;DATE(YEAR_Y-1,1,1),'Fund History'!$G$1000:$G$1004,"&lt;="&amp;DATE(YEAR_Y-1,12,31))/100)))</f>
        <v/>
      </c>
      <c r="AR176" s="83">
        <f>IF($C176="","",IF(N($AQ176)+N(HSCEI!$I$31)=0,"",N($AQ176)+N(HSCEI!$I$31)/100))</f>
        <v/>
      </c>
      <c r="AS176" s="75">
        <f>IF($C176="","",IF(PULL_FUND="N","",IF(COUNTIFS('Fund History'!$D$1000:$D$1004,"&gt;="&amp;DATE(YEAR_Y-2,1,1),'Fund History'!$D$1000:$D$1004,"&lt;="&amp;DATE(YEAR_Y-2,12,31))=0,"",SUMIFS('Fund History'!$E$1000:$E$1004,'Fund History'!$D$1000:$D$1004,"&gt;="&amp;DATE(YEAR_Y-2,1,1),'Fund History'!$D$1000:$D$1004,"&lt;="&amp;DATE(YEAR_Y-2,12,31)))))</f>
        <v/>
      </c>
      <c r="AT176" s="76">
        <f>IF($C176="","",IF(PULL_FUND="N","",IF(COUNTIFS('Fund History'!$D$1000:$D$1004,"&gt;="&amp;DATE(YEAR_Y-1,1,1),'Fund History'!$D$1000:$D$1004,"&lt;="&amp;DATE(YEAR_Y-1,12,31))=0,"",SUMIFS('Fund History'!$E$1000:$E$1004,'Fund History'!$D$1000:$D$1004,"&gt;="&amp;DATE(YEAR_Y-1,1,1),'Fund History'!$D$1000:$D$1004,"&lt;="&amp;DATE(YEAR_Y-1,12,31)))))</f>
        <v/>
      </c>
      <c r="AU176" s="76">
        <f>IF($C176="","",IF(PULL_FUND="N","",IFERROR(BDP($C176,NDEBITDA_FIELD),"")))</f>
        <v/>
      </c>
      <c r="AV176" s="84">
        <f>IF($C176="","",IF(PULL_FUND="N","",IFERROR(BDP($C176,EBINT_FIELD),"")))</f>
        <v/>
      </c>
      <c r="AW176" s="82">
        <f>IF($C176="","",IF(PULL_FUND="N","",IFERROR(BDP($C176,FCF_FIELD)/100,"")))</f>
        <v/>
      </c>
      <c r="AX176" s="50">
        <f>IF($C176="","",IF(N($U176)=0,"",IFERROR($AW176/$U176,"")))</f>
        <v/>
      </c>
      <c r="AY176" s="85">
        <f>IF($C176="","",TRIM(IF(ISNUMBER($AJ176)*(N($AJ176)&gt;$D$4)&gt;0,"payout high  ","")&amp;IF(ISNUMBER($AX176)*(N($AX176)&lt;$F$4)&gt;0,"FCF below dvd  ","")&amp;IF(ISNUMBER($AU176)*(N($AU176)&gt;$H$4)&gt;0,"leverage high","")))</f>
        <v/>
      </c>
      <c r="AZ176" s="86">
        <f>IF($C176="","",IF(HSCEI!$F$31="HKD","",HSCEI!$F$31))</f>
        <v/>
      </c>
    </row>
    <row r="177">
      <c r="B177" s="66" t="inlineStr">
        <is>
          <t>HSCEI</t>
        </is>
      </c>
      <c r="C177" s="8">
        <f>IF(HSCEI!$C$32="","",HSCEI!$C$32)</f>
        <v/>
      </c>
      <c r="D177" s="8">
        <f>IF($C177="","",HSCEI!$D$32)</f>
        <v/>
      </c>
      <c r="E177" s="8">
        <f>IF($C177="","",HSCEI!$E$32)</f>
        <v/>
      </c>
      <c r="F177" s="67">
        <f>IF($C177="","",SUMPRODUCT(('Dvd Calendar'!$E$1836:$AR$1836&gt;=DATE(YEAR_Y-5,1,1))*('Dvd Calendar'!$E$1836:$AR$1836&lt;=DATE(YEAR_Y-5,12,31))*'Dvd Calendar'!$E$1839:$AR$1839*(('Dvd Calendar'!$E$1841:$AR$1841=TYPE1)*(TYPE1&lt;&gt;"")+('Dvd Calendar'!$E$1841:$AR$1841=TYPE2)*(TYPE2&lt;&gt;"")+('Dvd Calendar'!$E$1841:$AR$1841=TYPE3)*(TYPE3&lt;&gt;"")+('Dvd Calendar'!$E$1841:$AR$1841=TYPE4)*(TYPE4&lt;&gt;"")+('Dvd Calendar'!$E$1841:$AR$1841=SPECIAL_LBL)*(INC_SPECIALS="Y"))))</f>
        <v/>
      </c>
      <c r="G177" s="68">
        <f>IF($C177="","",SUMPRODUCT(('Dvd Calendar'!$E$1836:$AR$1836&gt;=DATE(YEAR_Y-4,1,1))*('Dvd Calendar'!$E$1836:$AR$1836&lt;=DATE(YEAR_Y-4,12,31))*'Dvd Calendar'!$E$1839:$AR$1839*(('Dvd Calendar'!$E$1841:$AR$1841=TYPE1)*(TYPE1&lt;&gt;"")+('Dvd Calendar'!$E$1841:$AR$1841=TYPE2)*(TYPE2&lt;&gt;"")+('Dvd Calendar'!$E$1841:$AR$1841=TYPE3)*(TYPE3&lt;&gt;"")+('Dvd Calendar'!$E$1841:$AR$1841=TYPE4)*(TYPE4&lt;&gt;"")+('Dvd Calendar'!$E$1841:$AR$1841=SPECIAL_LBL)*(INC_SPECIALS="Y"))))</f>
        <v/>
      </c>
      <c r="H177" s="68">
        <f>IF($C177="","",SUMPRODUCT(('Dvd Calendar'!$E$1836:$AR$1836&gt;=DATE(YEAR_Y-3,1,1))*('Dvd Calendar'!$E$1836:$AR$1836&lt;=DATE(YEAR_Y-3,12,31))*'Dvd Calendar'!$E$1839:$AR$1839*(('Dvd Calendar'!$E$1841:$AR$1841=TYPE1)*(TYPE1&lt;&gt;"")+('Dvd Calendar'!$E$1841:$AR$1841=TYPE2)*(TYPE2&lt;&gt;"")+('Dvd Calendar'!$E$1841:$AR$1841=TYPE3)*(TYPE3&lt;&gt;"")+('Dvd Calendar'!$E$1841:$AR$1841=TYPE4)*(TYPE4&lt;&gt;"")+('Dvd Calendar'!$E$1841:$AR$1841=SPECIAL_LBL)*(INC_SPECIALS="Y"))))</f>
        <v/>
      </c>
      <c r="I177" s="68">
        <f>IF($C177="","",SUMPRODUCT(('Dvd Calendar'!$E$1836:$AR$1836&gt;=DATE(YEAR_Y-2,1,1))*('Dvd Calendar'!$E$1836:$AR$1836&lt;=DATE(YEAR_Y-2,12,31))*'Dvd Calendar'!$E$1839:$AR$1839*(('Dvd Calendar'!$E$1841:$AR$1841=TYPE1)*(TYPE1&lt;&gt;"")+('Dvd Calendar'!$E$1841:$AR$1841=TYPE2)*(TYPE2&lt;&gt;"")+('Dvd Calendar'!$E$1841:$AR$1841=TYPE3)*(TYPE3&lt;&gt;"")+('Dvd Calendar'!$E$1841:$AR$1841=TYPE4)*(TYPE4&lt;&gt;"")+('Dvd Calendar'!$E$1841:$AR$1841=SPECIAL_LBL)*(INC_SPECIALS="Y"))))</f>
        <v/>
      </c>
      <c r="J177" s="68">
        <f>IF($C177="","",SUMPRODUCT(('Dvd Calendar'!$E$1836:$AR$1836&gt;=DATE(YEAR_Y-1,1,1))*('Dvd Calendar'!$E$1836:$AR$1836&lt;=DATE(YEAR_Y-1,12,31))*'Dvd Calendar'!$E$1839:$AR$1839*(('Dvd Calendar'!$E$1841:$AR$1841=TYPE1)*(TYPE1&lt;&gt;"")+('Dvd Calendar'!$E$1841:$AR$1841=TYPE2)*(TYPE2&lt;&gt;"")+('Dvd Calendar'!$E$1841:$AR$1841=TYPE3)*(TYPE3&lt;&gt;"")+('Dvd Calendar'!$E$1841:$AR$1841=TYPE4)*(TYPE4&lt;&gt;"")+('Dvd Calendar'!$E$1841:$AR$1841=SPECIAL_LBL)*(INC_SPECIALS="Y"))))</f>
        <v/>
      </c>
      <c r="K177" s="69">
        <f>IF($C177="","",HSCEI!$J$32)</f>
        <v/>
      </c>
      <c r="L177" s="69">
        <f>IF($C177="","",HSCEI!$K$32)</f>
        <v/>
      </c>
      <c r="M177" s="44">
        <f>IF($C177="","",HSCEI!$J$32+HSCEI!$L$32)</f>
        <v/>
      </c>
      <c r="N177" s="70">
        <f>IF($C177="","",IF(PULL_FUND="N","",IFERROR(BDP($C177,BESTDPS_FIELD,FWD_OVERRIDE,TEXT(MOD(YEAR_Y,100),"00")&amp;"Y"),"")))</f>
        <v/>
      </c>
      <c r="O177" s="69">
        <f>IF($C177="","",AVERAGE(F177:J177))</f>
        <v/>
      </c>
      <c r="P177" s="71">
        <f>IF($C177="","",IF(PULL_FUND="N","",IF(COUNTIFS('Fund History'!$J$1006:$J$1010,"&gt;="&amp;DATE(YEAR_Y-5,1,1),'Fund History'!$J$1006:$J$1010,"&lt;="&amp;DATE(YEAR_Y-5,12,31))=0,"",IFERROR($F177*HSCEI!$G$32/SUMIFS('Fund History'!$K$1006:$K$1010,'Fund History'!$J$1006:$J$1010,"&gt;="&amp;DATE(YEAR_Y-5,1,1),'Fund History'!$J$1006:$J$1010,"&lt;="&amp;DATE(YEAR_Y-5,12,31)),""))))</f>
        <v/>
      </c>
      <c r="Q177" s="72">
        <f>IF($C177="","",IF(PULL_FUND="N","",IF(COUNTIFS('Fund History'!$J$1006:$J$1010,"&gt;="&amp;DATE(YEAR_Y-4,1,1),'Fund History'!$J$1006:$J$1010,"&lt;="&amp;DATE(YEAR_Y-4,12,31))=0,"",IFERROR($G177*HSCEI!$G$32/SUMIFS('Fund History'!$K$1006:$K$1010,'Fund History'!$J$1006:$J$1010,"&gt;="&amp;DATE(YEAR_Y-4,1,1),'Fund History'!$J$1006:$J$1010,"&lt;="&amp;DATE(YEAR_Y-4,12,31)),""))))</f>
        <v/>
      </c>
      <c r="R177" s="72">
        <f>IF($C177="","",IF(PULL_FUND="N","",IF(COUNTIFS('Fund History'!$J$1006:$J$1010,"&gt;="&amp;DATE(YEAR_Y-3,1,1),'Fund History'!$J$1006:$J$1010,"&lt;="&amp;DATE(YEAR_Y-3,12,31))=0,"",IFERROR($H177*HSCEI!$G$32/SUMIFS('Fund History'!$K$1006:$K$1010,'Fund History'!$J$1006:$J$1010,"&gt;="&amp;DATE(YEAR_Y-3,1,1),'Fund History'!$J$1006:$J$1010,"&lt;="&amp;DATE(YEAR_Y-3,12,31)),""))))</f>
        <v/>
      </c>
      <c r="S177" s="72">
        <f>IF($C177="","",IF(PULL_FUND="N","",IF(COUNTIFS('Fund History'!$J$1006:$J$1010,"&gt;="&amp;DATE(YEAR_Y-2,1,1),'Fund History'!$J$1006:$J$1010,"&lt;="&amp;DATE(YEAR_Y-2,12,31))=0,"",IFERROR($I177*HSCEI!$G$32/SUMIFS('Fund History'!$K$1006:$K$1010,'Fund History'!$J$1006:$J$1010,"&gt;="&amp;DATE(YEAR_Y-2,1,1),'Fund History'!$J$1006:$J$1010,"&lt;="&amp;DATE(YEAR_Y-2,12,31)),""))))</f>
        <v/>
      </c>
      <c r="T177" s="72">
        <f>IF($C177="","",IF(PULL_FUND="N","",IF(COUNTIFS('Fund History'!$J$1006:$J$1010,"&gt;="&amp;DATE(YEAR_Y-1,1,1),'Fund History'!$J$1006:$J$1010,"&lt;="&amp;DATE(YEAR_Y-1,12,31))=0,"",IFERROR($J177*HSCEI!$G$32/SUMIFS('Fund History'!$K$1006:$K$1010,'Fund History'!$J$1006:$J$1010,"&gt;="&amp;DATE(YEAR_Y-1,1,1),'Fund History'!$J$1006:$J$1010,"&lt;="&amp;DATE(YEAR_Y-1,12,31)),""))))</f>
        <v/>
      </c>
      <c r="U177" s="73">
        <f>IF($C177="","",IF(ISNUMBER(HSCEI!$I$32),HSCEI!$I$32/100,""))</f>
        <v/>
      </c>
      <c r="V177" s="74">
        <f>IF($C177="","",IF(ISNUMBER(HSCEI!$X$32),IFERROR($M177*HSCEI!$G$32/HSCEI!$X$32,""),""))</f>
        <v/>
      </c>
      <c r="W177" s="73">
        <f>IF($C177="","",IF(ISNUMBER($N177),IFERROR($N177*HSCEI!$G$32/HSCEI!$X$32,""),""))</f>
        <v/>
      </c>
      <c r="X177" s="75">
        <f>IF($C177="","",IF(PULL_FUND="N","",IFERROR(BDP($C177,EPS_FIELD,YR_OVERRIDE,TEXT(YEAR_Y-5,"0")),"")))</f>
        <v/>
      </c>
      <c r="Y177" s="76">
        <f>IF($C177="","",IF(PULL_FUND="N","",IFERROR(BDP($C177,EPS_FIELD,YR_OVERRIDE,TEXT(YEAR_Y-4,"0")),"")))</f>
        <v/>
      </c>
      <c r="Z177" s="76">
        <f>IF($C177="","",IF(PULL_FUND="N","",IFERROR(BDP($C177,EPS_FIELD,YR_OVERRIDE,TEXT(YEAR_Y-3,"0")),"")))</f>
        <v/>
      </c>
      <c r="AA177" s="76">
        <f>IF($C177="","",IF(PULL_FUND="N","",IFERROR(BDP($C177,EPS_FIELD,YR_OVERRIDE,TEXT(YEAR_Y-2,"0")),"")))</f>
        <v/>
      </c>
      <c r="AB177" s="76">
        <f>IF($C177="","",IF(PULL_FUND="N","",IFERROR(BDP($C177,EPS_FIELD,YR_OVERRIDE,TEXT(YEAR_Y-1,"0")),"")))</f>
        <v/>
      </c>
      <c r="AC177" s="50">
        <f>IF($C177="","",IFERROR(AVERAGE(X177:AB177),""))</f>
        <v/>
      </c>
      <c r="AD177" s="76">
        <f>IF($C177="","",IF(PULL_FUND="N","",IFERROR(BDP($C177,BESTEPS_FIELD,FWD_OVERRIDE,TEXT(MOD(YEAR_Y,100),"00")&amp;"Y"),"")))</f>
        <v/>
      </c>
      <c r="AE177" s="77">
        <f>IF($C177="","",IF(PULL_FUND="N","",IFERROR(BDP($C177,PAYOUT_FIELD,YR_OVERRIDE,TEXT(YEAR_Y-5,"0"))/100,"")))</f>
        <v/>
      </c>
      <c r="AF177" s="78">
        <f>IF($C177="","",IF(PULL_FUND="N","",IFERROR(BDP($C177,PAYOUT_FIELD,YR_OVERRIDE,TEXT(YEAR_Y-4,"0"))/100,"")))</f>
        <v/>
      </c>
      <c r="AG177" s="78">
        <f>IF($C177="","",IF(PULL_FUND="N","",IFERROR(BDP($C177,PAYOUT_FIELD,YR_OVERRIDE,TEXT(YEAR_Y-3,"0"))/100,"")))</f>
        <v/>
      </c>
      <c r="AH177" s="78">
        <f>IF($C177="","",IF(PULL_FUND="N","",IFERROR(BDP($C177,PAYOUT_FIELD,YR_OVERRIDE,TEXT(YEAR_Y-2,"0"))/100,"")))</f>
        <v/>
      </c>
      <c r="AI177" s="78">
        <f>IF($C177="","",IF(PULL_FUND="N","",IFERROR(BDP($C177,PAYOUT_FIELD,YR_OVERRIDE,TEXT(YEAR_Y-1,"0"))/100,"")))</f>
        <v/>
      </c>
      <c r="AJ177" s="79">
        <f>IF($C177="","",IFERROR(AVERAGE(AE177:AI177),""))</f>
        <v/>
      </c>
      <c r="AK177" s="80">
        <f>IF($C177="","",IF(ISNUMBER($AD177)*ISNUMBER($N177)*($AD177&lt;&gt;0)=0,"",$N177/$AD177))</f>
        <v/>
      </c>
      <c r="AL177" s="79">
        <f>IF($C177="","",IF(ISNUMBER($AD177)*($AD177&lt;&gt;0)=0,"",$M177/$AD177))</f>
        <v/>
      </c>
      <c r="AM177" s="37">
        <f>IF($C177="","",IF(ISNUMBER($AE177)*ISNUMBER($AI177)=0,"",IF($AI177&gt;$AE177+0.05,"rising",IF($AI177&lt;$AE177-0.05,"falling","stable"))))</f>
        <v/>
      </c>
      <c r="AN177" s="81">
        <f>IF($C177="","",IF(PULL_FUND="N","",IF(COUNTIFS('Fund History'!$G$1006:$G$1010,"&gt;="&amp;DATE(YEAR_Y-4,1,1),'Fund History'!$G$1006:$G$1010,"&lt;="&amp;DATE(YEAR_Y-4,12,31))=0,"",SUMIFS('Fund History'!$H$1006:$H$1010,'Fund History'!$G$1006:$G$1010,"&gt;="&amp;DATE(YEAR_Y-4,1,1),'Fund History'!$G$1006:$G$1010,"&lt;="&amp;DATE(YEAR_Y-4,12,31))/100)))</f>
        <v/>
      </c>
      <c r="AO177" s="82">
        <f>IF($C177="","",IF(PULL_FUND="N","",IF(COUNTIFS('Fund History'!$G$1006:$G$1010,"&gt;="&amp;DATE(YEAR_Y-3,1,1),'Fund History'!$G$1006:$G$1010,"&lt;="&amp;DATE(YEAR_Y-3,12,31))=0,"",SUMIFS('Fund History'!$H$1006:$H$1010,'Fund History'!$G$1006:$G$1010,"&gt;="&amp;DATE(YEAR_Y-3,1,1),'Fund History'!$G$1006:$G$1010,"&lt;="&amp;DATE(YEAR_Y-3,12,31))/100)))</f>
        <v/>
      </c>
      <c r="AP177" s="82">
        <f>IF($C177="","",IF(PULL_FUND="N","",IF(COUNTIFS('Fund History'!$G$1006:$G$1010,"&gt;="&amp;DATE(YEAR_Y-2,1,1),'Fund History'!$G$1006:$G$1010,"&lt;="&amp;DATE(YEAR_Y-2,12,31))=0,"",SUMIFS('Fund History'!$H$1006:$H$1010,'Fund History'!$G$1006:$G$1010,"&gt;="&amp;DATE(YEAR_Y-2,1,1),'Fund History'!$G$1006:$G$1010,"&lt;="&amp;DATE(YEAR_Y-2,12,31))/100)))</f>
        <v/>
      </c>
      <c r="AQ177" s="82">
        <f>IF($C177="","",IF(PULL_FUND="N","",IF(COUNTIFS('Fund History'!$G$1006:$G$1010,"&gt;="&amp;DATE(YEAR_Y-1,1,1),'Fund History'!$G$1006:$G$1010,"&lt;="&amp;DATE(YEAR_Y-1,12,31))=0,"",SUMIFS('Fund History'!$H$1006:$H$1010,'Fund History'!$G$1006:$G$1010,"&gt;="&amp;DATE(YEAR_Y-1,1,1),'Fund History'!$G$1006:$G$1010,"&lt;="&amp;DATE(YEAR_Y-1,12,31))/100)))</f>
        <v/>
      </c>
      <c r="AR177" s="83">
        <f>IF($C177="","",IF(N($AQ177)+N(HSCEI!$I$32)=0,"",N($AQ177)+N(HSCEI!$I$32)/100))</f>
        <v/>
      </c>
      <c r="AS177" s="75">
        <f>IF($C177="","",IF(PULL_FUND="N","",IF(COUNTIFS('Fund History'!$D$1006:$D$1010,"&gt;="&amp;DATE(YEAR_Y-2,1,1),'Fund History'!$D$1006:$D$1010,"&lt;="&amp;DATE(YEAR_Y-2,12,31))=0,"",SUMIFS('Fund History'!$E$1006:$E$1010,'Fund History'!$D$1006:$D$1010,"&gt;="&amp;DATE(YEAR_Y-2,1,1),'Fund History'!$D$1006:$D$1010,"&lt;="&amp;DATE(YEAR_Y-2,12,31)))))</f>
        <v/>
      </c>
      <c r="AT177" s="76">
        <f>IF($C177="","",IF(PULL_FUND="N","",IF(COUNTIFS('Fund History'!$D$1006:$D$1010,"&gt;="&amp;DATE(YEAR_Y-1,1,1),'Fund History'!$D$1006:$D$1010,"&lt;="&amp;DATE(YEAR_Y-1,12,31))=0,"",SUMIFS('Fund History'!$E$1006:$E$1010,'Fund History'!$D$1006:$D$1010,"&gt;="&amp;DATE(YEAR_Y-1,1,1),'Fund History'!$D$1006:$D$1010,"&lt;="&amp;DATE(YEAR_Y-1,12,31)))))</f>
        <v/>
      </c>
      <c r="AU177" s="76">
        <f>IF($C177="","",IF(PULL_FUND="N","",IFERROR(BDP($C177,NDEBITDA_FIELD),"")))</f>
        <v/>
      </c>
      <c r="AV177" s="84">
        <f>IF($C177="","",IF(PULL_FUND="N","",IFERROR(BDP($C177,EBINT_FIELD),"")))</f>
        <v/>
      </c>
      <c r="AW177" s="82">
        <f>IF($C177="","",IF(PULL_FUND="N","",IFERROR(BDP($C177,FCF_FIELD)/100,"")))</f>
        <v/>
      </c>
      <c r="AX177" s="50">
        <f>IF($C177="","",IF(N($U177)=0,"",IFERROR($AW177/$U177,"")))</f>
        <v/>
      </c>
      <c r="AY177" s="85">
        <f>IF($C177="","",TRIM(IF(ISNUMBER($AJ177)*(N($AJ177)&gt;$D$4)&gt;0,"payout high  ","")&amp;IF(ISNUMBER($AX177)*(N($AX177)&lt;$F$4)&gt;0,"FCF below dvd  ","")&amp;IF(ISNUMBER($AU177)*(N($AU177)&gt;$H$4)&gt;0,"leverage high","")))</f>
        <v/>
      </c>
      <c r="AZ177" s="86">
        <f>IF($C177="","",IF(HSCEI!$F$32="HKD","",HSCEI!$F$32))</f>
        <v/>
      </c>
    </row>
    <row r="178">
      <c r="B178" s="66" t="inlineStr">
        <is>
          <t>HSCEI</t>
        </is>
      </c>
      <c r="C178" s="8">
        <f>IF(HSCEI!$C$33="","",HSCEI!$C$33)</f>
        <v/>
      </c>
      <c r="D178" s="8">
        <f>IF($C178="","",HSCEI!$D$33)</f>
        <v/>
      </c>
      <c r="E178" s="8">
        <f>IF($C178="","",HSCEI!$E$33)</f>
        <v/>
      </c>
      <c r="F178" s="67">
        <f>IF($C178="","",SUMPRODUCT(('Dvd Calendar'!$E$1847:$AR$1847&gt;=DATE(YEAR_Y-5,1,1))*('Dvd Calendar'!$E$1847:$AR$1847&lt;=DATE(YEAR_Y-5,12,31))*'Dvd Calendar'!$E$1850:$AR$1850*(('Dvd Calendar'!$E$1852:$AR$1852=TYPE1)*(TYPE1&lt;&gt;"")+('Dvd Calendar'!$E$1852:$AR$1852=TYPE2)*(TYPE2&lt;&gt;"")+('Dvd Calendar'!$E$1852:$AR$1852=TYPE3)*(TYPE3&lt;&gt;"")+('Dvd Calendar'!$E$1852:$AR$1852=TYPE4)*(TYPE4&lt;&gt;"")+('Dvd Calendar'!$E$1852:$AR$1852=SPECIAL_LBL)*(INC_SPECIALS="Y"))))</f>
        <v/>
      </c>
      <c r="G178" s="68">
        <f>IF($C178="","",SUMPRODUCT(('Dvd Calendar'!$E$1847:$AR$1847&gt;=DATE(YEAR_Y-4,1,1))*('Dvd Calendar'!$E$1847:$AR$1847&lt;=DATE(YEAR_Y-4,12,31))*'Dvd Calendar'!$E$1850:$AR$1850*(('Dvd Calendar'!$E$1852:$AR$1852=TYPE1)*(TYPE1&lt;&gt;"")+('Dvd Calendar'!$E$1852:$AR$1852=TYPE2)*(TYPE2&lt;&gt;"")+('Dvd Calendar'!$E$1852:$AR$1852=TYPE3)*(TYPE3&lt;&gt;"")+('Dvd Calendar'!$E$1852:$AR$1852=TYPE4)*(TYPE4&lt;&gt;"")+('Dvd Calendar'!$E$1852:$AR$1852=SPECIAL_LBL)*(INC_SPECIALS="Y"))))</f>
        <v/>
      </c>
      <c r="H178" s="68">
        <f>IF($C178="","",SUMPRODUCT(('Dvd Calendar'!$E$1847:$AR$1847&gt;=DATE(YEAR_Y-3,1,1))*('Dvd Calendar'!$E$1847:$AR$1847&lt;=DATE(YEAR_Y-3,12,31))*'Dvd Calendar'!$E$1850:$AR$1850*(('Dvd Calendar'!$E$1852:$AR$1852=TYPE1)*(TYPE1&lt;&gt;"")+('Dvd Calendar'!$E$1852:$AR$1852=TYPE2)*(TYPE2&lt;&gt;"")+('Dvd Calendar'!$E$1852:$AR$1852=TYPE3)*(TYPE3&lt;&gt;"")+('Dvd Calendar'!$E$1852:$AR$1852=TYPE4)*(TYPE4&lt;&gt;"")+('Dvd Calendar'!$E$1852:$AR$1852=SPECIAL_LBL)*(INC_SPECIALS="Y"))))</f>
        <v/>
      </c>
      <c r="I178" s="68">
        <f>IF($C178="","",SUMPRODUCT(('Dvd Calendar'!$E$1847:$AR$1847&gt;=DATE(YEAR_Y-2,1,1))*('Dvd Calendar'!$E$1847:$AR$1847&lt;=DATE(YEAR_Y-2,12,31))*'Dvd Calendar'!$E$1850:$AR$1850*(('Dvd Calendar'!$E$1852:$AR$1852=TYPE1)*(TYPE1&lt;&gt;"")+('Dvd Calendar'!$E$1852:$AR$1852=TYPE2)*(TYPE2&lt;&gt;"")+('Dvd Calendar'!$E$1852:$AR$1852=TYPE3)*(TYPE3&lt;&gt;"")+('Dvd Calendar'!$E$1852:$AR$1852=TYPE4)*(TYPE4&lt;&gt;"")+('Dvd Calendar'!$E$1852:$AR$1852=SPECIAL_LBL)*(INC_SPECIALS="Y"))))</f>
        <v/>
      </c>
      <c r="J178" s="68">
        <f>IF($C178="","",SUMPRODUCT(('Dvd Calendar'!$E$1847:$AR$1847&gt;=DATE(YEAR_Y-1,1,1))*('Dvd Calendar'!$E$1847:$AR$1847&lt;=DATE(YEAR_Y-1,12,31))*'Dvd Calendar'!$E$1850:$AR$1850*(('Dvd Calendar'!$E$1852:$AR$1852=TYPE1)*(TYPE1&lt;&gt;"")+('Dvd Calendar'!$E$1852:$AR$1852=TYPE2)*(TYPE2&lt;&gt;"")+('Dvd Calendar'!$E$1852:$AR$1852=TYPE3)*(TYPE3&lt;&gt;"")+('Dvd Calendar'!$E$1852:$AR$1852=TYPE4)*(TYPE4&lt;&gt;"")+('Dvd Calendar'!$E$1852:$AR$1852=SPECIAL_LBL)*(INC_SPECIALS="Y"))))</f>
        <v/>
      </c>
      <c r="K178" s="69">
        <f>IF($C178="","",HSCEI!$J$33)</f>
        <v/>
      </c>
      <c r="L178" s="69">
        <f>IF($C178="","",HSCEI!$K$33)</f>
        <v/>
      </c>
      <c r="M178" s="44">
        <f>IF($C178="","",HSCEI!$J$33+HSCEI!$L$33)</f>
        <v/>
      </c>
      <c r="N178" s="70">
        <f>IF($C178="","",IF(PULL_FUND="N","",IFERROR(BDP($C178,BESTDPS_FIELD,FWD_OVERRIDE,TEXT(MOD(YEAR_Y,100),"00")&amp;"Y"),"")))</f>
        <v/>
      </c>
      <c r="O178" s="69">
        <f>IF($C178="","",AVERAGE(F178:J178))</f>
        <v/>
      </c>
      <c r="P178" s="71">
        <f>IF($C178="","",IF(PULL_FUND="N","",IF(COUNTIFS('Fund History'!$J$1012:$J$1016,"&gt;="&amp;DATE(YEAR_Y-5,1,1),'Fund History'!$J$1012:$J$1016,"&lt;="&amp;DATE(YEAR_Y-5,12,31))=0,"",IFERROR($F178*HSCEI!$G$33/SUMIFS('Fund History'!$K$1012:$K$1016,'Fund History'!$J$1012:$J$1016,"&gt;="&amp;DATE(YEAR_Y-5,1,1),'Fund History'!$J$1012:$J$1016,"&lt;="&amp;DATE(YEAR_Y-5,12,31)),""))))</f>
        <v/>
      </c>
      <c r="Q178" s="72">
        <f>IF($C178="","",IF(PULL_FUND="N","",IF(COUNTIFS('Fund History'!$J$1012:$J$1016,"&gt;="&amp;DATE(YEAR_Y-4,1,1),'Fund History'!$J$1012:$J$1016,"&lt;="&amp;DATE(YEAR_Y-4,12,31))=0,"",IFERROR($G178*HSCEI!$G$33/SUMIFS('Fund History'!$K$1012:$K$1016,'Fund History'!$J$1012:$J$1016,"&gt;="&amp;DATE(YEAR_Y-4,1,1),'Fund History'!$J$1012:$J$1016,"&lt;="&amp;DATE(YEAR_Y-4,12,31)),""))))</f>
        <v/>
      </c>
      <c r="R178" s="72">
        <f>IF($C178="","",IF(PULL_FUND="N","",IF(COUNTIFS('Fund History'!$J$1012:$J$1016,"&gt;="&amp;DATE(YEAR_Y-3,1,1),'Fund History'!$J$1012:$J$1016,"&lt;="&amp;DATE(YEAR_Y-3,12,31))=0,"",IFERROR($H178*HSCEI!$G$33/SUMIFS('Fund History'!$K$1012:$K$1016,'Fund History'!$J$1012:$J$1016,"&gt;="&amp;DATE(YEAR_Y-3,1,1),'Fund History'!$J$1012:$J$1016,"&lt;="&amp;DATE(YEAR_Y-3,12,31)),""))))</f>
        <v/>
      </c>
      <c r="S178" s="72">
        <f>IF($C178="","",IF(PULL_FUND="N","",IF(COUNTIFS('Fund History'!$J$1012:$J$1016,"&gt;="&amp;DATE(YEAR_Y-2,1,1),'Fund History'!$J$1012:$J$1016,"&lt;="&amp;DATE(YEAR_Y-2,12,31))=0,"",IFERROR($I178*HSCEI!$G$33/SUMIFS('Fund History'!$K$1012:$K$1016,'Fund History'!$J$1012:$J$1016,"&gt;="&amp;DATE(YEAR_Y-2,1,1),'Fund History'!$J$1012:$J$1016,"&lt;="&amp;DATE(YEAR_Y-2,12,31)),""))))</f>
        <v/>
      </c>
      <c r="T178" s="72">
        <f>IF($C178="","",IF(PULL_FUND="N","",IF(COUNTIFS('Fund History'!$J$1012:$J$1016,"&gt;="&amp;DATE(YEAR_Y-1,1,1),'Fund History'!$J$1012:$J$1016,"&lt;="&amp;DATE(YEAR_Y-1,12,31))=0,"",IFERROR($J178*HSCEI!$G$33/SUMIFS('Fund History'!$K$1012:$K$1016,'Fund History'!$J$1012:$J$1016,"&gt;="&amp;DATE(YEAR_Y-1,1,1),'Fund History'!$J$1012:$J$1016,"&lt;="&amp;DATE(YEAR_Y-1,12,31)),""))))</f>
        <v/>
      </c>
      <c r="U178" s="73">
        <f>IF($C178="","",IF(ISNUMBER(HSCEI!$I$33),HSCEI!$I$33/100,""))</f>
        <v/>
      </c>
      <c r="V178" s="74">
        <f>IF($C178="","",IF(ISNUMBER(HSCEI!$X$33),IFERROR($M178*HSCEI!$G$33/HSCEI!$X$33,""),""))</f>
        <v/>
      </c>
      <c r="W178" s="73">
        <f>IF($C178="","",IF(ISNUMBER($N178),IFERROR($N178*HSCEI!$G$33/HSCEI!$X$33,""),""))</f>
        <v/>
      </c>
      <c r="X178" s="75">
        <f>IF($C178="","",IF(PULL_FUND="N","",IFERROR(BDP($C178,EPS_FIELD,YR_OVERRIDE,TEXT(YEAR_Y-5,"0")),"")))</f>
        <v/>
      </c>
      <c r="Y178" s="76">
        <f>IF($C178="","",IF(PULL_FUND="N","",IFERROR(BDP($C178,EPS_FIELD,YR_OVERRIDE,TEXT(YEAR_Y-4,"0")),"")))</f>
        <v/>
      </c>
      <c r="Z178" s="76">
        <f>IF($C178="","",IF(PULL_FUND="N","",IFERROR(BDP($C178,EPS_FIELD,YR_OVERRIDE,TEXT(YEAR_Y-3,"0")),"")))</f>
        <v/>
      </c>
      <c r="AA178" s="76">
        <f>IF($C178="","",IF(PULL_FUND="N","",IFERROR(BDP($C178,EPS_FIELD,YR_OVERRIDE,TEXT(YEAR_Y-2,"0")),"")))</f>
        <v/>
      </c>
      <c r="AB178" s="76">
        <f>IF($C178="","",IF(PULL_FUND="N","",IFERROR(BDP($C178,EPS_FIELD,YR_OVERRIDE,TEXT(YEAR_Y-1,"0")),"")))</f>
        <v/>
      </c>
      <c r="AC178" s="50">
        <f>IF($C178="","",IFERROR(AVERAGE(X178:AB178),""))</f>
        <v/>
      </c>
      <c r="AD178" s="76">
        <f>IF($C178="","",IF(PULL_FUND="N","",IFERROR(BDP($C178,BESTEPS_FIELD,FWD_OVERRIDE,TEXT(MOD(YEAR_Y,100),"00")&amp;"Y"),"")))</f>
        <v/>
      </c>
      <c r="AE178" s="77">
        <f>IF($C178="","",IF(PULL_FUND="N","",IFERROR(BDP($C178,PAYOUT_FIELD,YR_OVERRIDE,TEXT(YEAR_Y-5,"0"))/100,"")))</f>
        <v/>
      </c>
      <c r="AF178" s="78">
        <f>IF($C178="","",IF(PULL_FUND="N","",IFERROR(BDP($C178,PAYOUT_FIELD,YR_OVERRIDE,TEXT(YEAR_Y-4,"0"))/100,"")))</f>
        <v/>
      </c>
      <c r="AG178" s="78">
        <f>IF($C178="","",IF(PULL_FUND="N","",IFERROR(BDP($C178,PAYOUT_FIELD,YR_OVERRIDE,TEXT(YEAR_Y-3,"0"))/100,"")))</f>
        <v/>
      </c>
      <c r="AH178" s="78">
        <f>IF($C178="","",IF(PULL_FUND="N","",IFERROR(BDP($C178,PAYOUT_FIELD,YR_OVERRIDE,TEXT(YEAR_Y-2,"0"))/100,"")))</f>
        <v/>
      </c>
      <c r="AI178" s="78">
        <f>IF($C178="","",IF(PULL_FUND="N","",IFERROR(BDP($C178,PAYOUT_FIELD,YR_OVERRIDE,TEXT(YEAR_Y-1,"0"))/100,"")))</f>
        <v/>
      </c>
      <c r="AJ178" s="79">
        <f>IF($C178="","",IFERROR(AVERAGE(AE178:AI178),""))</f>
        <v/>
      </c>
      <c r="AK178" s="80">
        <f>IF($C178="","",IF(ISNUMBER($AD178)*ISNUMBER($N178)*($AD178&lt;&gt;0)=0,"",$N178/$AD178))</f>
        <v/>
      </c>
      <c r="AL178" s="79">
        <f>IF($C178="","",IF(ISNUMBER($AD178)*($AD178&lt;&gt;0)=0,"",$M178/$AD178))</f>
        <v/>
      </c>
      <c r="AM178" s="37">
        <f>IF($C178="","",IF(ISNUMBER($AE178)*ISNUMBER($AI178)=0,"",IF($AI178&gt;$AE178+0.05,"rising",IF($AI178&lt;$AE178-0.05,"falling","stable"))))</f>
        <v/>
      </c>
      <c r="AN178" s="81">
        <f>IF($C178="","",IF(PULL_FUND="N","",IF(COUNTIFS('Fund History'!$G$1012:$G$1016,"&gt;="&amp;DATE(YEAR_Y-4,1,1),'Fund History'!$G$1012:$G$1016,"&lt;="&amp;DATE(YEAR_Y-4,12,31))=0,"",SUMIFS('Fund History'!$H$1012:$H$1016,'Fund History'!$G$1012:$G$1016,"&gt;="&amp;DATE(YEAR_Y-4,1,1),'Fund History'!$G$1012:$G$1016,"&lt;="&amp;DATE(YEAR_Y-4,12,31))/100)))</f>
        <v/>
      </c>
      <c r="AO178" s="82">
        <f>IF($C178="","",IF(PULL_FUND="N","",IF(COUNTIFS('Fund History'!$G$1012:$G$1016,"&gt;="&amp;DATE(YEAR_Y-3,1,1),'Fund History'!$G$1012:$G$1016,"&lt;="&amp;DATE(YEAR_Y-3,12,31))=0,"",SUMIFS('Fund History'!$H$1012:$H$1016,'Fund History'!$G$1012:$G$1016,"&gt;="&amp;DATE(YEAR_Y-3,1,1),'Fund History'!$G$1012:$G$1016,"&lt;="&amp;DATE(YEAR_Y-3,12,31))/100)))</f>
        <v/>
      </c>
      <c r="AP178" s="82">
        <f>IF($C178="","",IF(PULL_FUND="N","",IF(COUNTIFS('Fund History'!$G$1012:$G$1016,"&gt;="&amp;DATE(YEAR_Y-2,1,1),'Fund History'!$G$1012:$G$1016,"&lt;="&amp;DATE(YEAR_Y-2,12,31))=0,"",SUMIFS('Fund History'!$H$1012:$H$1016,'Fund History'!$G$1012:$G$1016,"&gt;="&amp;DATE(YEAR_Y-2,1,1),'Fund History'!$G$1012:$G$1016,"&lt;="&amp;DATE(YEAR_Y-2,12,31))/100)))</f>
        <v/>
      </c>
      <c r="AQ178" s="82">
        <f>IF($C178="","",IF(PULL_FUND="N","",IF(COUNTIFS('Fund History'!$G$1012:$G$1016,"&gt;="&amp;DATE(YEAR_Y-1,1,1),'Fund History'!$G$1012:$G$1016,"&lt;="&amp;DATE(YEAR_Y-1,12,31))=0,"",SUMIFS('Fund History'!$H$1012:$H$1016,'Fund History'!$G$1012:$G$1016,"&gt;="&amp;DATE(YEAR_Y-1,1,1),'Fund History'!$G$1012:$G$1016,"&lt;="&amp;DATE(YEAR_Y-1,12,31))/100)))</f>
        <v/>
      </c>
      <c r="AR178" s="83">
        <f>IF($C178="","",IF(N($AQ178)+N(HSCEI!$I$33)=0,"",N($AQ178)+N(HSCEI!$I$33)/100))</f>
        <v/>
      </c>
      <c r="AS178" s="75">
        <f>IF($C178="","",IF(PULL_FUND="N","",IF(COUNTIFS('Fund History'!$D$1012:$D$1016,"&gt;="&amp;DATE(YEAR_Y-2,1,1),'Fund History'!$D$1012:$D$1016,"&lt;="&amp;DATE(YEAR_Y-2,12,31))=0,"",SUMIFS('Fund History'!$E$1012:$E$1016,'Fund History'!$D$1012:$D$1016,"&gt;="&amp;DATE(YEAR_Y-2,1,1),'Fund History'!$D$1012:$D$1016,"&lt;="&amp;DATE(YEAR_Y-2,12,31)))))</f>
        <v/>
      </c>
      <c r="AT178" s="76">
        <f>IF($C178="","",IF(PULL_FUND="N","",IF(COUNTIFS('Fund History'!$D$1012:$D$1016,"&gt;="&amp;DATE(YEAR_Y-1,1,1),'Fund History'!$D$1012:$D$1016,"&lt;="&amp;DATE(YEAR_Y-1,12,31))=0,"",SUMIFS('Fund History'!$E$1012:$E$1016,'Fund History'!$D$1012:$D$1016,"&gt;="&amp;DATE(YEAR_Y-1,1,1),'Fund History'!$D$1012:$D$1016,"&lt;="&amp;DATE(YEAR_Y-1,12,31)))))</f>
        <v/>
      </c>
      <c r="AU178" s="76">
        <f>IF($C178="","",IF(PULL_FUND="N","",IFERROR(BDP($C178,NDEBITDA_FIELD),"")))</f>
        <v/>
      </c>
      <c r="AV178" s="84">
        <f>IF($C178="","",IF(PULL_FUND="N","",IFERROR(BDP($C178,EBINT_FIELD),"")))</f>
        <v/>
      </c>
      <c r="AW178" s="82">
        <f>IF($C178="","",IF(PULL_FUND="N","",IFERROR(BDP($C178,FCF_FIELD)/100,"")))</f>
        <v/>
      </c>
      <c r="AX178" s="50">
        <f>IF($C178="","",IF(N($U178)=0,"",IFERROR($AW178/$U178,"")))</f>
        <v/>
      </c>
      <c r="AY178" s="85">
        <f>IF($C178="","",TRIM(IF(ISNUMBER($AJ178)*(N($AJ178)&gt;$D$4)&gt;0,"payout high  ","")&amp;IF(ISNUMBER($AX178)*(N($AX178)&lt;$F$4)&gt;0,"FCF below dvd  ","")&amp;IF(ISNUMBER($AU178)*(N($AU178)&gt;$H$4)&gt;0,"leverage high","")))</f>
        <v/>
      </c>
      <c r="AZ178" s="86">
        <f>IF($C178="","",IF(HSCEI!$F$33="HKD","",HSCEI!$F$33))</f>
        <v/>
      </c>
    </row>
    <row r="179">
      <c r="B179" s="66" t="inlineStr">
        <is>
          <t>HSCEI</t>
        </is>
      </c>
      <c r="C179" s="8">
        <f>IF(HSCEI!$C$34="","",HSCEI!$C$34)</f>
        <v/>
      </c>
      <c r="D179" s="8">
        <f>IF($C179="","",HSCEI!$D$34)</f>
        <v/>
      </c>
      <c r="E179" s="8">
        <f>IF($C179="","",HSCEI!$E$34)</f>
        <v/>
      </c>
      <c r="F179" s="67">
        <f>IF($C179="","",SUMPRODUCT(('Dvd Calendar'!$E$1858:$AR$1858&gt;=DATE(YEAR_Y-5,1,1))*('Dvd Calendar'!$E$1858:$AR$1858&lt;=DATE(YEAR_Y-5,12,31))*'Dvd Calendar'!$E$1861:$AR$1861*(('Dvd Calendar'!$E$1863:$AR$1863=TYPE1)*(TYPE1&lt;&gt;"")+('Dvd Calendar'!$E$1863:$AR$1863=TYPE2)*(TYPE2&lt;&gt;"")+('Dvd Calendar'!$E$1863:$AR$1863=TYPE3)*(TYPE3&lt;&gt;"")+('Dvd Calendar'!$E$1863:$AR$1863=TYPE4)*(TYPE4&lt;&gt;"")+('Dvd Calendar'!$E$1863:$AR$1863=SPECIAL_LBL)*(INC_SPECIALS="Y"))))</f>
        <v/>
      </c>
      <c r="G179" s="68">
        <f>IF($C179="","",SUMPRODUCT(('Dvd Calendar'!$E$1858:$AR$1858&gt;=DATE(YEAR_Y-4,1,1))*('Dvd Calendar'!$E$1858:$AR$1858&lt;=DATE(YEAR_Y-4,12,31))*'Dvd Calendar'!$E$1861:$AR$1861*(('Dvd Calendar'!$E$1863:$AR$1863=TYPE1)*(TYPE1&lt;&gt;"")+('Dvd Calendar'!$E$1863:$AR$1863=TYPE2)*(TYPE2&lt;&gt;"")+('Dvd Calendar'!$E$1863:$AR$1863=TYPE3)*(TYPE3&lt;&gt;"")+('Dvd Calendar'!$E$1863:$AR$1863=TYPE4)*(TYPE4&lt;&gt;"")+('Dvd Calendar'!$E$1863:$AR$1863=SPECIAL_LBL)*(INC_SPECIALS="Y"))))</f>
        <v/>
      </c>
      <c r="H179" s="68">
        <f>IF($C179="","",SUMPRODUCT(('Dvd Calendar'!$E$1858:$AR$1858&gt;=DATE(YEAR_Y-3,1,1))*('Dvd Calendar'!$E$1858:$AR$1858&lt;=DATE(YEAR_Y-3,12,31))*'Dvd Calendar'!$E$1861:$AR$1861*(('Dvd Calendar'!$E$1863:$AR$1863=TYPE1)*(TYPE1&lt;&gt;"")+('Dvd Calendar'!$E$1863:$AR$1863=TYPE2)*(TYPE2&lt;&gt;"")+('Dvd Calendar'!$E$1863:$AR$1863=TYPE3)*(TYPE3&lt;&gt;"")+('Dvd Calendar'!$E$1863:$AR$1863=TYPE4)*(TYPE4&lt;&gt;"")+('Dvd Calendar'!$E$1863:$AR$1863=SPECIAL_LBL)*(INC_SPECIALS="Y"))))</f>
        <v/>
      </c>
      <c r="I179" s="68">
        <f>IF($C179="","",SUMPRODUCT(('Dvd Calendar'!$E$1858:$AR$1858&gt;=DATE(YEAR_Y-2,1,1))*('Dvd Calendar'!$E$1858:$AR$1858&lt;=DATE(YEAR_Y-2,12,31))*'Dvd Calendar'!$E$1861:$AR$1861*(('Dvd Calendar'!$E$1863:$AR$1863=TYPE1)*(TYPE1&lt;&gt;"")+('Dvd Calendar'!$E$1863:$AR$1863=TYPE2)*(TYPE2&lt;&gt;"")+('Dvd Calendar'!$E$1863:$AR$1863=TYPE3)*(TYPE3&lt;&gt;"")+('Dvd Calendar'!$E$1863:$AR$1863=TYPE4)*(TYPE4&lt;&gt;"")+('Dvd Calendar'!$E$1863:$AR$1863=SPECIAL_LBL)*(INC_SPECIALS="Y"))))</f>
        <v/>
      </c>
      <c r="J179" s="68">
        <f>IF($C179="","",SUMPRODUCT(('Dvd Calendar'!$E$1858:$AR$1858&gt;=DATE(YEAR_Y-1,1,1))*('Dvd Calendar'!$E$1858:$AR$1858&lt;=DATE(YEAR_Y-1,12,31))*'Dvd Calendar'!$E$1861:$AR$1861*(('Dvd Calendar'!$E$1863:$AR$1863=TYPE1)*(TYPE1&lt;&gt;"")+('Dvd Calendar'!$E$1863:$AR$1863=TYPE2)*(TYPE2&lt;&gt;"")+('Dvd Calendar'!$E$1863:$AR$1863=TYPE3)*(TYPE3&lt;&gt;"")+('Dvd Calendar'!$E$1863:$AR$1863=TYPE4)*(TYPE4&lt;&gt;"")+('Dvd Calendar'!$E$1863:$AR$1863=SPECIAL_LBL)*(INC_SPECIALS="Y"))))</f>
        <v/>
      </c>
      <c r="K179" s="69">
        <f>IF($C179="","",HSCEI!$J$34)</f>
        <v/>
      </c>
      <c r="L179" s="69">
        <f>IF($C179="","",HSCEI!$K$34)</f>
        <v/>
      </c>
      <c r="M179" s="44">
        <f>IF($C179="","",HSCEI!$J$34+HSCEI!$L$34)</f>
        <v/>
      </c>
      <c r="N179" s="70">
        <f>IF($C179="","",IF(PULL_FUND="N","",IFERROR(BDP($C179,BESTDPS_FIELD,FWD_OVERRIDE,TEXT(MOD(YEAR_Y,100),"00")&amp;"Y"),"")))</f>
        <v/>
      </c>
      <c r="O179" s="69">
        <f>IF($C179="","",AVERAGE(F179:J179))</f>
        <v/>
      </c>
      <c r="P179" s="71">
        <f>IF($C179="","",IF(PULL_FUND="N","",IF(COUNTIFS('Fund History'!$J$1018:$J$1022,"&gt;="&amp;DATE(YEAR_Y-5,1,1),'Fund History'!$J$1018:$J$1022,"&lt;="&amp;DATE(YEAR_Y-5,12,31))=0,"",IFERROR($F179*HSCEI!$G$34/SUMIFS('Fund History'!$K$1018:$K$1022,'Fund History'!$J$1018:$J$1022,"&gt;="&amp;DATE(YEAR_Y-5,1,1),'Fund History'!$J$1018:$J$1022,"&lt;="&amp;DATE(YEAR_Y-5,12,31)),""))))</f>
        <v/>
      </c>
      <c r="Q179" s="72">
        <f>IF($C179="","",IF(PULL_FUND="N","",IF(COUNTIFS('Fund History'!$J$1018:$J$1022,"&gt;="&amp;DATE(YEAR_Y-4,1,1),'Fund History'!$J$1018:$J$1022,"&lt;="&amp;DATE(YEAR_Y-4,12,31))=0,"",IFERROR($G179*HSCEI!$G$34/SUMIFS('Fund History'!$K$1018:$K$1022,'Fund History'!$J$1018:$J$1022,"&gt;="&amp;DATE(YEAR_Y-4,1,1),'Fund History'!$J$1018:$J$1022,"&lt;="&amp;DATE(YEAR_Y-4,12,31)),""))))</f>
        <v/>
      </c>
      <c r="R179" s="72">
        <f>IF($C179="","",IF(PULL_FUND="N","",IF(COUNTIFS('Fund History'!$J$1018:$J$1022,"&gt;="&amp;DATE(YEAR_Y-3,1,1),'Fund History'!$J$1018:$J$1022,"&lt;="&amp;DATE(YEAR_Y-3,12,31))=0,"",IFERROR($H179*HSCEI!$G$34/SUMIFS('Fund History'!$K$1018:$K$1022,'Fund History'!$J$1018:$J$1022,"&gt;="&amp;DATE(YEAR_Y-3,1,1),'Fund History'!$J$1018:$J$1022,"&lt;="&amp;DATE(YEAR_Y-3,12,31)),""))))</f>
        <v/>
      </c>
      <c r="S179" s="72">
        <f>IF($C179="","",IF(PULL_FUND="N","",IF(COUNTIFS('Fund History'!$J$1018:$J$1022,"&gt;="&amp;DATE(YEAR_Y-2,1,1),'Fund History'!$J$1018:$J$1022,"&lt;="&amp;DATE(YEAR_Y-2,12,31))=0,"",IFERROR($I179*HSCEI!$G$34/SUMIFS('Fund History'!$K$1018:$K$1022,'Fund History'!$J$1018:$J$1022,"&gt;="&amp;DATE(YEAR_Y-2,1,1),'Fund History'!$J$1018:$J$1022,"&lt;="&amp;DATE(YEAR_Y-2,12,31)),""))))</f>
        <v/>
      </c>
      <c r="T179" s="72">
        <f>IF($C179="","",IF(PULL_FUND="N","",IF(COUNTIFS('Fund History'!$J$1018:$J$1022,"&gt;="&amp;DATE(YEAR_Y-1,1,1),'Fund History'!$J$1018:$J$1022,"&lt;="&amp;DATE(YEAR_Y-1,12,31))=0,"",IFERROR($J179*HSCEI!$G$34/SUMIFS('Fund History'!$K$1018:$K$1022,'Fund History'!$J$1018:$J$1022,"&gt;="&amp;DATE(YEAR_Y-1,1,1),'Fund History'!$J$1018:$J$1022,"&lt;="&amp;DATE(YEAR_Y-1,12,31)),""))))</f>
        <v/>
      </c>
      <c r="U179" s="73">
        <f>IF($C179="","",IF(ISNUMBER(HSCEI!$I$34),HSCEI!$I$34/100,""))</f>
        <v/>
      </c>
      <c r="V179" s="74">
        <f>IF($C179="","",IF(ISNUMBER(HSCEI!$X$34),IFERROR($M179*HSCEI!$G$34/HSCEI!$X$34,""),""))</f>
        <v/>
      </c>
      <c r="W179" s="73">
        <f>IF($C179="","",IF(ISNUMBER($N179),IFERROR($N179*HSCEI!$G$34/HSCEI!$X$34,""),""))</f>
        <v/>
      </c>
      <c r="X179" s="75">
        <f>IF($C179="","",IF(PULL_FUND="N","",IFERROR(BDP($C179,EPS_FIELD,YR_OVERRIDE,TEXT(YEAR_Y-5,"0")),"")))</f>
        <v/>
      </c>
      <c r="Y179" s="76">
        <f>IF($C179="","",IF(PULL_FUND="N","",IFERROR(BDP($C179,EPS_FIELD,YR_OVERRIDE,TEXT(YEAR_Y-4,"0")),"")))</f>
        <v/>
      </c>
      <c r="Z179" s="76">
        <f>IF($C179="","",IF(PULL_FUND="N","",IFERROR(BDP($C179,EPS_FIELD,YR_OVERRIDE,TEXT(YEAR_Y-3,"0")),"")))</f>
        <v/>
      </c>
      <c r="AA179" s="76">
        <f>IF($C179="","",IF(PULL_FUND="N","",IFERROR(BDP($C179,EPS_FIELD,YR_OVERRIDE,TEXT(YEAR_Y-2,"0")),"")))</f>
        <v/>
      </c>
      <c r="AB179" s="76">
        <f>IF($C179="","",IF(PULL_FUND="N","",IFERROR(BDP($C179,EPS_FIELD,YR_OVERRIDE,TEXT(YEAR_Y-1,"0")),"")))</f>
        <v/>
      </c>
      <c r="AC179" s="50">
        <f>IF($C179="","",IFERROR(AVERAGE(X179:AB179),""))</f>
        <v/>
      </c>
      <c r="AD179" s="76">
        <f>IF($C179="","",IF(PULL_FUND="N","",IFERROR(BDP($C179,BESTEPS_FIELD,FWD_OVERRIDE,TEXT(MOD(YEAR_Y,100),"00")&amp;"Y"),"")))</f>
        <v/>
      </c>
      <c r="AE179" s="77">
        <f>IF($C179="","",IF(PULL_FUND="N","",IFERROR(BDP($C179,PAYOUT_FIELD,YR_OVERRIDE,TEXT(YEAR_Y-5,"0"))/100,"")))</f>
        <v/>
      </c>
      <c r="AF179" s="78">
        <f>IF($C179="","",IF(PULL_FUND="N","",IFERROR(BDP($C179,PAYOUT_FIELD,YR_OVERRIDE,TEXT(YEAR_Y-4,"0"))/100,"")))</f>
        <v/>
      </c>
      <c r="AG179" s="78">
        <f>IF($C179="","",IF(PULL_FUND="N","",IFERROR(BDP($C179,PAYOUT_FIELD,YR_OVERRIDE,TEXT(YEAR_Y-3,"0"))/100,"")))</f>
        <v/>
      </c>
      <c r="AH179" s="78">
        <f>IF($C179="","",IF(PULL_FUND="N","",IFERROR(BDP($C179,PAYOUT_FIELD,YR_OVERRIDE,TEXT(YEAR_Y-2,"0"))/100,"")))</f>
        <v/>
      </c>
      <c r="AI179" s="78">
        <f>IF($C179="","",IF(PULL_FUND="N","",IFERROR(BDP($C179,PAYOUT_FIELD,YR_OVERRIDE,TEXT(YEAR_Y-1,"0"))/100,"")))</f>
        <v/>
      </c>
      <c r="AJ179" s="79">
        <f>IF($C179="","",IFERROR(AVERAGE(AE179:AI179),""))</f>
        <v/>
      </c>
      <c r="AK179" s="80">
        <f>IF($C179="","",IF(ISNUMBER($AD179)*ISNUMBER($N179)*($AD179&lt;&gt;0)=0,"",$N179/$AD179))</f>
        <v/>
      </c>
      <c r="AL179" s="79">
        <f>IF($C179="","",IF(ISNUMBER($AD179)*($AD179&lt;&gt;0)=0,"",$M179/$AD179))</f>
        <v/>
      </c>
      <c r="AM179" s="37">
        <f>IF($C179="","",IF(ISNUMBER($AE179)*ISNUMBER($AI179)=0,"",IF($AI179&gt;$AE179+0.05,"rising",IF($AI179&lt;$AE179-0.05,"falling","stable"))))</f>
        <v/>
      </c>
      <c r="AN179" s="81">
        <f>IF($C179="","",IF(PULL_FUND="N","",IF(COUNTIFS('Fund History'!$G$1018:$G$1022,"&gt;="&amp;DATE(YEAR_Y-4,1,1),'Fund History'!$G$1018:$G$1022,"&lt;="&amp;DATE(YEAR_Y-4,12,31))=0,"",SUMIFS('Fund History'!$H$1018:$H$1022,'Fund History'!$G$1018:$G$1022,"&gt;="&amp;DATE(YEAR_Y-4,1,1),'Fund History'!$G$1018:$G$1022,"&lt;="&amp;DATE(YEAR_Y-4,12,31))/100)))</f>
        <v/>
      </c>
      <c r="AO179" s="82">
        <f>IF($C179="","",IF(PULL_FUND="N","",IF(COUNTIFS('Fund History'!$G$1018:$G$1022,"&gt;="&amp;DATE(YEAR_Y-3,1,1),'Fund History'!$G$1018:$G$1022,"&lt;="&amp;DATE(YEAR_Y-3,12,31))=0,"",SUMIFS('Fund History'!$H$1018:$H$1022,'Fund History'!$G$1018:$G$1022,"&gt;="&amp;DATE(YEAR_Y-3,1,1),'Fund History'!$G$1018:$G$1022,"&lt;="&amp;DATE(YEAR_Y-3,12,31))/100)))</f>
        <v/>
      </c>
      <c r="AP179" s="82">
        <f>IF($C179="","",IF(PULL_FUND="N","",IF(COUNTIFS('Fund History'!$G$1018:$G$1022,"&gt;="&amp;DATE(YEAR_Y-2,1,1),'Fund History'!$G$1018:$G$1022,"&lt;="&amp;DATE(YEAR_Y-2,12,31))=0,"",SUMIFS('Fund History'!$H$1018:$H$1022,'Fund History'!$G$1018:$G$1022,"&gt;="&amp;DATE(YEAR_Y-2,1,1),'Fund History'!$G$1018:$G$1022,"&lt;="&amp;DATE(YEAR_Y-2,12,31))/100)))</f>
        <v/>
      </c>
      <c r="AQ179" s="82">
        <f>IF($C179="","",IF(PULL_FUND="N","",IF(COUNTIFS('Fund History'!$G$1018:$G$1022,"&gt;="&amp;DATE(YEAR_Y-1,1,1),'Fund History'!$G$1018:$G$1022,"&lt;="&amp;DATE(YEAR_Y-1,12,31))=0,"",SUMIFS('Fund History'!$H$1018:$H$1022,'Fund History'!$G$1018:$G$1022,"&gt;="&amp;DATE(YEAR_Y-1,1,1),'Fund History'!$G$1018:$G$1022,"&lt;="&amp;DATE(YEAR_Y-1,12,31))/100)))</f>
        <v/>
      </c>
      <c r="AR179" s="83">
        <f>IF($C179="","",IF(N($AQ179)+N(HSCEI!$I$34)=0,"",N($AQ179)+N(HSCEI!$I$34)/100))</f>
        <v/>
      </c>
      <c r="AS179" s="75">
        <f>IF($C179="","",IF(PULL_FUND="N","",IF(COUNTIFS('Fund History'!$D$1018:$D$1022,"&gt;="&amp;DATE(YEAR_Y-2,1,1),'Fund History'!$D$1018:$D$1022,"&lt;="&amp;DATE(YEAR_Y-2,12,31))=0,"",SUMIFS('Fund History'!$E$1018:$E$1022,'Fund History'!$D$1018:$D$1022,"&gt;="&amp;DATE(YEAR_Y-2,1,1),'Fund History'!$D$1018:$D$1022,"&lt;="&amp;DATE(YEAR_Y-2,12,31)))))</f>
        <v/>
      </c>
      <c r="AT179" s="76">
        <f>IF($C179="","",IF(PULL_FUND="N","",IF(COUNTIFS('Fund History'!$D$1018:$D$1022,"&gt;="&amp;DATE(YEAR_Y-1,1,1),'Fund History'!$D$1018:$D$1022,"&lt;="&amp;DATE(YEAR_Y-1,12,31))=0,"",SUMIFS('Fund History'!$E$1018:$E$1022,'Fund History'!$D$1018:$D$1022,"&gt;="&amp;DATE(YEAR_Y-1,1,1),'Fund History'!$D$1018:$D$1022,"&lt;="&amp;DATE(YEAR_Y-1,12,31)))))</f>
        <v/>
      </c>
      <c r="AU179" s="76">
        <f>IF($C179="","",IF(PULL_FUND="N","",IFERROR(BDP($C179,NDEBITDA_FIELD),"")))</f>
        <v/>
      </c>
      <c r="AV179" s="84">
        <f>IF($C179="","",IF(PULL_FUND="N","",IFERROR(BDP($C179,EBINT_FIELD),"")))</f>
        <v/>
      </c>
      <c r="AW179" s="82">
        <f>IF($C179="","",IF(PULL_FUND="N","",IFERROR(BDP($C179,FCF_FIELD)/100,"")))</f>
        <v/>
      </c>
      <c r="AX179" s="50">
        <f>IF($C179="","",IF(N($U179)=0,"",IFERROR($AW179/$U179,"")))</f>
        <v/>
      </c>
      <c r="AY179" s="85">
        <f>IF($C179="","",TRIM(IF(ISNUMBER($AJ179)*(N($AJ179)&gt;$D$4)&gt;0,"payout high  ","")&amp;IF(ISNUMBER($AX179)*(N($AX179)&lt;$F$4)&gt;0,"FCF below dvd  ","")&amp;IF(ISNUMBER($AU179)*(N($AU179)&gt;$H$4)&gt;0,"leverage high","")))</f>
        <v/>
      </c>
      <c r="AZ179" s="86">
        <f>IF($C179="","",IF(HSCEI!$F$34="HKD","",HSCEI!$F$34))</f>
        <v/>
      </c>
    </row>
    <row r="180">
      <c r="B180" s="66" t="inlineStr">
        <is>
          <t>HSCEI</t>
        </is>
      </c>
      <c r="C180" s="8">
        <f>IF(HSCEI!$C$35="","",HSCEI!$C$35)</f>
        <v/>
      </c>
      <c r="D180" s="8">
        <f>IF($C180="","",HSCEI!$D$35)</f>
        <v/>
      </c>
      <c r="E180" s="8">
        <f>IF($C180="","",HSCEI!$E$35)</f>
        <v/>
      </c>
      <c r="F180" s="67">
        <f>IF($C180="","",SUMPRODUCT(('Dvd Calendar'!$E$1869:$AR$1869&gt;=DATE(YEAR_Y-5,1,1))*('Dvd Calendar'!$E$1869:$AR$1869&lt;=DATE(YEAR_Y-5,12,31))*'Dvd Calendar'!$E$1872:$AR$1872*(('Dvd Calendar'!$E$1874:$AR$1874=TYPE1)*(TYPE1&lt;&gt;"")+('Dvd Calendar'!$E$1874:$AR$1874=TYPE2)*(TYPE2&lt;&gt;"")+('Dvd Calendar'!$E$1874:$AR$1874=TYPE3)*(TYPE3&lt;&gt;"")+('Dvd Calendar'!$E$1874:$AR$1874=TYPE4)*(TYPE4&lt;&gt;"")+('Dvd Calendar'!$E$1874:$AR$1874=SPECIAL_LBL)*(INC_SPECIALS="Y"))))</f>
        <v/>
      </c>
      <c r="G180" s="68">
        <f>IF($C180="","",SUMPRODUCT(('Dvd Calendar'!$E$1869:$AR$1869&gt;=DATE(YEAR_Y-4,1,1))*('Dvd Calendar'!$E$1869:$AR$1869&lt;=DATE(YEAR_Y-4,12,31))*'Dvd Calendar'!$E$1872:$AR$1872*(('Dvd Calendar'!$E$1874:$AR$1874=TYPE1)*(TYPE1&lt;&gt;"")+('Dvd Calendar'!$E$1874:$AR$1874=TYPE2)*(TYPE2&lt;&gt;"")+('Dvd Calendar'!$E$1874:$AR$1874=TYPE3)*(TYPE3&lt;&gt;"")+('Dvd Calendar'!$E$1874:$AR$1874=TYPE4)*(TYPE4&lt;&gt;"")+('Dvd Calendar'!$E$1874:$AR$1874=SPECIAL_LBL)*(INC_SPECIALS="Y"))))</f>
        <v/>
      </c>
      <c r="H180" s="68">
        <f>IF($C180="","",SUMPRODUCT(('Dvd Calendar'!$E$1869:$AR$1869&gt;=DATE(YEAR_Y-3,1,1))*('Dvd Calendar'!$E$1869:$AR$1869&lt;=DATE(YEAR_Y-3,12,31))*'Dvd Calendar'!$E$1872:$AR$1872*(('Dvd Calendar'!$E$1874:$AR$1874=TYPE1)*(TYPE1&lt;&gt;"")+('Dvd Calendar'!$E$1874:$AR$1874=TYPE2)*(TYPE2&lt;&gt;"")+('Dvd Calendar'!$E$1874:$AR$1874=TYPE3)*(TYPE3&lt;&gt;"")+('Dvd Calendar'!$E$1874:$AR$1874=TYPE4)*(TYPE4&lt;&gt;"")+('Dvd Calendar'!$E$1874:$AR$1874=SPECIAL_LBL)*(INC_SPECIALS="Y"))))</f>
        <v/>
      </c>
      <c r="I180" s="68">
        <f>IF($C180="","",SUMPRODUCT(('Dvd Calendar'!$E$1869:$AR$1869&gt;=DATE(YEAR_Y-2,1,1))*('Dvd Calendar'!$E$1869:$AR$1869&lt;=DATE(YEAR_Y-2,12,31))*'Dvd Calendar'!$E$1872:$AR$1872*(('Dvd Calendar'!$E$1874:$AR$1874=TYPE1)*(TYPE1&lt;&gt;"")+('Dvd Calendar'!$E$1874:$AR$1874=TYPE2)*(TYPE2&lt;&gt;"")+('Dvd Calendar'!$E$1874:$AR$1874=TYPE3)*(TYPE3&lt;&gt;"")+('Dvd Calendar'!$E$1874:$AR$1874=TYPE4)*(TYPE4&lt;&gt;"")+('Dvd Calendar'!$E$1874:$AR$1874=SPECIAL_LBL)*(INC_SPECIALS="Y"))))</f>
        <v/>
      </c>
      <c r="J180" s="68">
        <f>IF($C180="","",SUMPRODUCT(('Dvd Calendar'!$E$1869:$AR$1869&gt;=DATE(YEAR_Y-1,1,1))*('Dvd Calendar'!$E$1869:$AR$1869&lt;=DATE(YEAR_Y-1,12,31))*'Dvd Calendar'!$E$1872:$AR$1872*(('Dvd Calendar'!$E$1874:$AR$1874=TYPE1)*(TYPE1&lt;&gt;"")+('Dvd Calendar'!$E$1874:$AR$1874=TYPE2)*(TYPE2&lt;&gt;"")+('Dvd Calendar'!$E$1874:$AR$1874=TYPE3)*(TYPE3&lt;&gt;"")+('Dvd Calendar'!$E$1874:$AR$1874=TYPE4)*(TYPE4&lt;&gt;"")+('Dvd Calendar'!$E$1874:$AR$1874=SPECIAL_LBL)*(INC_SPECIALS="Y"))))</f>
        <v/>
      </c>
      <c r="K180" s="69">
        <f>IF($C180="","",HSCEI!$J$35)</f>
        <v/>
      </c>
      <c r="L180" s="69">
        <f>IF($C180="","",HSCEI!$K$35)</f>
        <v/>
      </c>
      <c r="M180" s="44">
        <f>IF($C180="","",HSCEI!$J$35+HSCEI!$L$35)</f>
        <v/>
      </c>
      <c r="N180" s="70">
        <f>IF($C180="","",IF(PULL_FUND="N","",IFERROR(BDP($C180,BESTDPS_FIELD,FWD_OVERRIDE,TEXT(MOD(YEAR_Y,100),"00")&amp;"Y"),"")))</f>
        <v/>
      </c>
      <c r="O180" s="69">
        <f>IF($C180="","",AVERAGE(F180:J180))</f>
        <v/>
      </c>
      <c r="P180" s="71">
        <f>IF($C180="","",IF(PULL_FUND="N","",IF(COUNTIFS('Fund History'!$J$1024:$J$1028,"&gt;="&amp;DATE(YEAR_Y-5,1,1),'Fund History'!$J$1024:$J$1028,"&lt;="&amp;DATE(YEAR_Y-5,12,31))=0,"",IFERROR($F180*HSCEI!$G$35/SUMIFS('Fund History'!$K$1024:$K$1028,'Fund History'!$J$1024:$J$1028,"&gt;="&amp;DATE(YEAR_Y-5,1,1),'Fund History'!$J$1024:$J$1028,"&lt;="&amp;DATE(YEAR_Y-5,12,31)),""))))</f>
        <v/>
      </c>
      <c r="Q180" s="72">
        <f>IF($C180="","",IF(PULL_FUND="N","",IF(COUNTIFS('Fund History'!$J$1024:$J$1028,"&gt;="&amp;DATE(YEAR_Y-4,1,1),'Fund History'!$J$1024:$J$1028,"&lt;="&amp;DATE(YEAR_Y-4,12,31))=0,"",IFERROR($G180*HSCEI!$G$35/SUMIFS('Fund History'!$K$1024:$K$1028,'Fund History'!$J$1024:$J$1028,"&gt;="&amp;DATE(YEAR_Y-4,1,1),'Fund History'!$J$1024:$J$1028,"&lt;="&amp;DATE(YEAR_Y-4,12,31)),""))))</f>
        <v/>
      </c>
      <c r="R180" s="72">
        <f>IF($C180="","",IF(PULL_FUND="N","",IF(COUNTIFS('Fund History'!$J$1024:$J$1028,"&gt;="&amp;DATE(YEAR_Y-3,1,1),'Fund History'!$J$1024:$J$1028,"&lt;="&amp;DATE(YEAR_Y-3,12,31))=0,"",IFERROR($H180*HSCEI!$G$35/SUMIFS('Fund History'!$K$1024:$K$1028,'Fund History'!$J$1024:$J$1028,"&gt;="&amp;DATE(YEAR_Y-3,1,1),'Fund History'!$J$1024:$J$1028,"&lt;="&amp;DATE(YEAR_Y-3,12,31)),""))))</f>
        <v/>
      </c>
      <c r="S180" s="72">
        <f>IF($C180="","",IF(PULL_FUND="N","",IF(COUNTIFS('Fund History'!$J$1024:$J$1028,"&gt;="&amp;DATE(YEAR_Y-2,1,1),'Fund History'!$J$1024:$J$1028,"&lt;="&amp;DATE(YEAR_Y-2,12,31))=0,"",IFERROR($I180*HSCEI!$G$35/SUMIFS('Fund History'!$K$1024:$K$1028,'Fund History'!$J$1024:$J$1028,"&gt;="&amp;DATE(YEAR_Y-2,1,1),'Fund History'!$J$1024:$J$1028,"&lt;="&amp;DATE(YEAR_Y-2,12,31)),""))))</f>
        <v/>
      </c>
      <c r="T180" s="72">
        <f>IF($C180="","",IF(PULL_FUND="N","",IF(COUNTIFS('Fund History'!$J$1024:$J$1028,"&gt;="&amp;DATE(YEAR_Y-1,1,1),'Fund History'!$J$1024:$J$1028,"&lt;="&amp;DATE(YEAR_Y-1,12,31))=0,"",IFERROR($J180*HSCEI!$G$35/SUMIFS('Fund History'!$K$1024:$K$1028,'Fund History'!$J$1024:$J$1028,"&gt;="&amp;DATE(YEAR_Y-1,1,1),'Fund History'!$J$1024:$J$1028,"&lt;="&amp;DATE(YEAR_Y-1,12,31)),""))))</f>
        <v/>
      </c>
      <c r="U180" s="73">
        <f>IF($C180="","",IF(ISNUMBER(HSCEI!$I$35),HSCEI!$I$35/100,""))</f>
        <v/>
      </c>
      <c r="V180" s="74">
        <f>IF($C180="","",IF(ISNUMBER(HSCEI!$X$35),IFERROR($M180*HSCEI!$G$35/HSCEI!$X$35,""),""))</f>
        <v/>
      </c>
      <c r="W180" s="73">
        <f>IF($C180="","",IF(ISNUMBER($N180),IFERROR($N180*HSCEI!$G$35/HSCEI!$X$35,""),""))</f>
        <v/>
      </c>
      <c r="X180" s="75">
        <f>IF($C180="","",IF(PULL_FUND="N","",IFERROR(BDP($C180,EPS_FIELD,YR_OVERRIDE,TEXT(YEAR_Y-5,"0")),"")))</f>
        <v/>
      </c>
      <c r="Y180" s="76">
        <f>IF($C180="","",IF(PULL_FUND="N","",IFERROR(BDP($C180,EPS_FIELD,YR_OVERRIDE,TEXT(YEAR_Y-4,"0")),"")))</f>
        <v/>
      </c>
      <c r="Z180" s="76">
        <f>IF($C180="","",IF(PULL_FUND="N","",IFERROR(BDP($C180,EPS_FIELD,YR_OVERRIDE,TEXT(YEAR_Y-3,"0")),"")))</f>
        <v/>
      </c>
      <c r="AA180" s="76">
        <f>IF($C180="","",IF(PULL_FUND="N","",IFERROR(BDP($C180,EPS_FIELD,YR_OVERRIDE,TEXT(YEAR_Y-2,"0")),"")))</f>
        <v/>
      </c>
      <c r="AB180" s="76">
        <f>IF($C180="","",IF(PULL_FUND="N","",IFERROR(BDP($C180,EPS_FIELD,YR_OVERRIDE,TEXT(YEAR_Y-1,"0")),"")))</f>
        <v/>
      </c>
      <c r="AC180" s="50">
        <f>IF($C180="","",IFERROR(AVERAGE(X180:AB180),""))</f>
        <v/>
      </c>
      <c r="AD180" s="76">
        <f>IF($C180="","",IF(PULL_FUND="N","",IFERROR(BDP($C180,BESTEPS_FIELD,FWD_OVERRIDE,TEXT(MOD(YEAR_Y,100),"00")&amp;"Y"),"")))</f>
        <v/>
      </c>
      <c r="AE180" s="77">
        <f>IF($C180="","",IF(PULL_FUND="N","",IFERROR(BDP($C180,PAYOUT_FIELD,YR_OVERRIDE,TEXT(YEAR_Y-5,"0"))/100,"")))</f>
        <v/>
      </c>
      <c r="AF180" s="78">
        <f>IF($C180="","",IF(PULL_FUND="N","",IFERROR(BDP($C180,PAYOUT_FIELD,YR_OVERRIDE,TEXT(YEAR_Y-4,"0"))/100,"")))</f>
        <v/>
      </c>
      <c r="AG180" s="78">
        <f>IF($C180="","",IF(PULL_FUND="N","",IFERROR(BDP($C180,PAYOUT_FIELD,YR_OVERRIDE,TEXT(YEAR_Y-3,"0"))/100,"")))</f>
        <v/>
      </c>
      <c r="AH180" s="78">
        <f>IF($C180="","",IF(PULL_FUND="N","",IFERROR(BDP($C180,PAYOUT_FIELD,YR_OVERRIDE,TEXT(YEAR_Y-2,"0"))/100,"")))</f>
        <v/>
      </c>
      <c r="AI180" s="78">
        <f>IF($C180="","",IF(PULL_FUND="N","",IFERROR(BDP($C180,PAYOUT_FIELD,YR_OVERRIDE,TEXT(YEAR_Y-1,"0"))/100,"")))</f>
        <v/>
      </c>
      <c r="AJ180" s="79">
        <f>IF($C180="","",IFERROR(AVERAGE(AE180:AI180),""))</f>
        <v/>
      </c>
      <c r="AK180" s="80">
        <f>IF($C180="","",IF(ISNUMBER($AD180)*ISNUMBER($N180)*($AD180&lt;&gt;0)=0,"",$N180/$AD180))</f>
        <v/>
      </c>
      <c r="AL180" s="79">
        <f>IF($C180="","",IF(ISNUMBER($AD180)*($AD180&lt;&gt;0)=0,"",$M180/$AD180))</f>
        <v/>
      </c>
      <c r="AM180" s="37">
        <f>IF($C180="","",IF(ISNUMBER($AE180)*ISNUMBER($AI180)=0,"",IF($AI180&gt;$AE180+0.05,"rising",IF($AI180&lt;$AE180-0.05,"falling","stable"))))</f>
        <v/>
      </c>
      <c r="AN180" s="81">
        <f>IF($C180="","",IF(PULL_FUND="N","",IF(COUNTIFS('Fund History'!$G$1024:$G$1028,"&gt;="&amp;DATE(YEAR_Y-4,1,1),'Fund History'!$G$1024:$G$1028,"&lt;="&amp;DATE(YEAR_Y-4,12,31))=0,"",SUMIFS('Fund History'!$H$1024:$H$1028,'Fund History'!$G$1024:$G$1028,"&gt;="&amp;DATE(YEAR_Y-4,1,1),'Fund History'!$G$1024:$G$1028,"&lt;="&amp;DATE(YEAR_Y-4,12,31))/100)))</f>
        <v/>
      </c>
      <c r="AO180" s="82">
        <f>IF($C180="","",IF(PULL_FUND="N","",IF(COUNTIFS('Fund History'!$G$1024:$G$1028,"&gt;="&amp;DATE(YEAR_Y-3,1,1),'Fund History'!$G$1024:$G$1028,"&lt;="&amp;DATE(YEAR_Y-3,12,31))=0,"",SUMIFS('Fund History'!$H$1024:$H$1028,'Fund History'!$G$1024:$G$1028,"&gt;="&amp;DATE(YEAR_Y-3,1,1),'Fund History'!$G$1024:$G$1028,"&lt;="&amp;DATE(YEAR_Y-3,12,31))/100)))</f>
        <v/>
      </c>
      <c r="AP180" s="82">
        <f>IF($C180="","",IF(PULL_FUND="N","",IF(COUNTIFS('Fund History'!$G$1024:$G$1028,"&gt;="&amp;DATE(YEAR_Y-2,1,1),'Fund History'!$G$1024:$G$1028,"&lt;="&amp;DATE(YEAR_Y-2,12,31))=0,"",SUMIFS('Fund History'!$H$1024:$H$1028,'Fund History'!$G$1024:$G$1028,"&gt;="&amp;DATE(YEAR_Y-2,1,1),'Fund History'!$G$1024:$G$1028,"&lt;="&amp;DATE(YEAR_Y-2,12,31))/100)))</f>
        <v/>
      </c>
      <c r="AQ180" s="82">
        <f>IF($C180="","",IF(PULL_FUND="N","",IF(COUNTIFS('Fund History'!$G$1024:$G$1028,"&gt;="&amp;DATE(YEAR_Y-1,1,1),'Fund History'!$G$1024:$G$1028,"&lt;="&amp;DATE(YEAR_Y-1,12,31))=0,"",SUMIFS('Fund History'!$H$1024:$H$1028,'Fund History'!$G$1024:$G$1028,"&gt;="&amp;DATE(YEAR_Y-1,1,1),'Fund History'!$G$1024:$G$1028,"&lt;="&amp;DATE(YEAR_Y-1,12,31))/100)))</f>
        <v/>
      </c>
      <c r="AR180" s="83">
        <f>IF($C180="","",IF(N($AQ180)+N(HSCEI!$I$35)=0,"",N($AQ180)+N(HSCEI!$I$35)/100))</f>
        <v/>
      </c>
      <c r="AS180" s="75">
        <f>IF($C180="","",IF(PULL_FUND="N","",IF(COUNTIFS('Fund History'!$D$1024:$D$1028,"&gt;="&amp;DATE(YEAR_Y-2,1,1),'Fund History'!$D$1024:$D$1028,"&lt;="&amp;DATE(YEAR_Y-2,12,31))=0,"",SUMIFS('Fund History'!$E$1024:$E$1028,'Fund History'!$D$1024:$D$1028,"&gt;="&amp;DATE(YEAR_Y-2,1,1),'Fund History'!$D$1024:$D$1028,"&lt;="&amp;DATE(YEAR_Y-2,12,31)))))</f>
        <v/>
      </c>
      <c r="AT180" s="76">
        <f>IF($C180="","",IF(PULL_FUND="N","",IF(COUNTIFS('Fund History'!$D$1024:$D$1028,"&gt;="&amp;DATE(YEAR_Y-1,1,1),'Fund History'!$D$1024:$D$1028,"&lt;="&amp;DATE(YEAR_Y-1,12,31))=0,"",SUMIFS('Fund History'!$E$1024:$E$1028,'Fund History'!$D$1024:$D$1028,"&gt;="&amp;DATE(YEAR_Y-1,1,1),'Fund History'!$D$1024:$D$1028,"&lt;="&amp;DATE(YEAR_Y-1,12,31)))))</f>
        <v/>
      </c>
      <c r="AU180" s="76">
        <f>IF($C180="","",IF(PULL_FUND="N","",IFERROR(BDP($C180,NDEBITDA_FIELD),"")))</f>
        <v/>
      </c>
      <c r="AV180" s="84">
        <f>IF($C180="","",IF(PULL_FUND="N","",IFERROR(BDP($C180,EBINT_FIELD),"")))</f>
        <v/>
      </c>
      <c r="AW180" s="82">
        <f>IF($C180="","",IF(PULL_FUND="N","",IFERROR(BDP($C180,FCF_FIELD)/100,"")))</f>
        <v/>
      </c>
      <c r="AX180" s="50">
        <f>IF($C180="","",IF(N($U180)=0,"",IFERROR($AW180/$U180,"")))</f>
        <v/>
      </c>
      <c r="AY180" s="85">
        <f>IF($C180="","",TRIM(IF(ISNUMBER($AJ180)*(N($AJ180)&gt;$D$4)&gt;0,"payout high  ","")&amp;IF(ISNUMBER($AX180)*(N($AX180)&lt;$F$4)&gt;0,"FCF below dvd  ","")&amp;IF(ISNUMBER($AU180)*(N($AU180)&gt;$H$4)&gt;0,"leverage high","")))</f>
        <v/>
      </c>
      <c r="AZ180" s="86">
        <f>IF($C180="","",IF(HSCEI!$F$35="HKD","",HSCEI!$F$35))</f>
        <v/>
      </c>
    </row>
    <row r="181">
      <c r="B181" s="66" t="inlineStr">
        <is>
          <t>HSCEI</t>
        </is>
      </c>
      <c r="C181" s="8">
        <f>IF(HSCEI!$C$36="","",HSCEI!$C$36)</f>
        <v/>
      </c>
      <c r="D181" s="8">
        <f>IF($C181="","",HSCEI!$D$36)</f>
        <v/>
      </c>
      <c r="E181" s="8">
        <f>IF($C181="","",HSCEI!$E$36)</f>
        <v/>
      </c>
      <c r="F181" s="67">
        <f>IF($C181="","",SUMPRODUCT(('Dvd Calendar'!$E$1880:$AR$1880&gt;=DATE(YEAR_Y-5,1,1))*('Dvd Calendar'!$E$1880:$AR$1880&lt;=DATE(YEAR_Y-5,12,31))*'Dvd Calendar'!$E$1883:$AR$1883*(('Dvd Calendar'!$E$1885:$AR$1885=TYPE1)*(TYPE1&lt;&gt;"")+('Dvd Calendar'!$E$1885:$AR$1885=TYPE2)*(TYPE2&lt;&gt;"")+('Dvd Calendar'!$E$1885:$AR$1885=TYPE3)*(TYPE3&lt;&gt;"")+('Dvd Calendar'!$E$1885:$AR$1885=TYPE4)*(TYPE4&lt;&gt;"")+('Dvd Calendar'!$E$1885:$AR$1885=SPECIAL_LBL)*(INC_SPECIALS="Y"))))</f>
        <v/>
      </c>
      <c r="G181" s="68">
        <f>IF($C181="","",SUMPRODUCT(('Dvd Calendar'!$E$1880:$AR$1880&gt;=DATE(YEAR_Y-4,1,1))*('Dvd Calendar'!$E$1880:$AR$1880&lt;=DATE(YEAR_Y-4,12,31))*'Dvd Calendar'!$E$1883:$AR$1883*(('Dvd Calendar'!$E$1885:$AR$1885=TYPE1)*(TYPE1&lt;&gt;"")+('Dvd Calendar'!$E$1885:$AR$1885=TYPE2)*(TYPE2&lt;&gt;"")+('Dvd Calendar'!$E$1885:$AR$1885=TYPE3)*(TYPE3&lt;&gt;"")+('Dvd Calendar'!$E$1885:$AR$1885=TYPE4)*(TYPE4&lt;&gt;"")+('Dvd Calendar'!$E$1885:$AR$1885=SPECIAL_LBL)*(INC_SPECIALS="Y"))))</f>
        <v/>
      </c>
      <c r="H181" s="68">
        <f>IF($C181="","",SUMPRODUCT(('Dvd Calendar'!$E$1880:$AR$1880&gt;=DATE(YEAR_Y-3,1,1))*('Dvd Calendar'!$E$1880:$AR$1880&lt;=DATE(YEAR_Y-3,12,31))*'Dvd Calendar'!$E$1883:$AR$1883*(('Dvd Calendar'!$E$1885:$AR$1885=TYPE1)*(TYPE1&lt;&gt;"")+('Dvd Calendar'!$E$1885:$AR$1885=TYPE2)*(TYPE2&lt;&gt;"")+('Dvd Calendar'!$E$1885:$AR$1885=TYPE3)*(TYPE3&lt;&gt;"")+('Dvd Calendar'!$E$1885:$AR$1885=TYPE4)*(TYPE4&lt;&gt;"")+('Dvd Calendar'!$E$1885:$AR$1885=SPECIAL_LBL)*(INC_SPECIALS="Y"))))</f>
        <v/>
      </c>
      <c r="I181" s="68">
        <f>IF($C181="","",SUMPRODUCT(('Dvd Calendar'!$E$1880:$AR$1880&gt;=DATE(YEAR_Y-2,1,1))*('Dvd Calendar'!$E$1880:$AR$1880&lt;=DATE(YEAR_Y-2,12,31))*'Dvd Calendar'!$E$1883:$AR$1883*(('Dvd Calendar'!$E$1885:$AR$1885=TYPE1)*(TYPE1&lt;&gt;"")+('Dvd Calendar'!$E$1885:$AR$1885=TYPE2)*(TYPE2&lt;&gt;"")+('Dvd Calendar'!$E$1885:$AR$1885=TYPE3)*(TYPE3&lt;&gt;"")+('Dvd Calendar'!$E$1885:$AR$1885=TYPE4)*(TYPE4&lt;&gt;"")+('Dvd Calendar'!$E$1885:$AR$1885=SPECIAL_LBL)*(INC_SPECIALS="Y"))))</f>
        <v/>
      </c>
      <c r="J181" s="68">
        <f>IF($C181="","",SUMPRODUCT(('Dvd Calendar'!$E$1880:$AR$1880&gt;=DATE(YEAR_Y-1,1,1))*('Dvd Calendar'!$E$1880:$AR$1880&lt;=DATE(YEAR_Y-1,12,31))*'Dvd Calendar'!$E$1883:$AR$1883*(('Dvd Calendar'!$E$1885:$AR$1885=TYPE1)*(TYPE1&lt;&gt;"")+('Dvd Calendar'!$E$1885:$AR$1885=TYPE2)*(TYPE2&lt;&gt;"")+('Dvd Calendar'!$E$1885:$AR$1885=TYPE3)*(TYPE3&lt;&gt;"")+('Dvd Calendar'!$E$1885:$AR$1885=TYPE4)*(TYPE4&lt;&gt;"")+('Dvd Calendar'!$E$1885:$AR$1885=SPECIAL_LBL)*(INC_SPECIALS="Y"))))</f>
        <v/>
      </c>
      <c r="K181" s="69">
        <f>IF($C181="","",HSCEI!$J$36)</f>
        <v/>
      </c>
      <c r="L181" s="69">
        <f>IF($C181="","",HSCEI!$K$36)</f>
        <v/>
      </c>
      <c r="M181" s="44">
        <f>IF($C181="","",HSCEI!$J$36+HSCEI!$L$36)</f>
        <v/>
      </c>
      <c r="N181" s="70">
        <f>IF($C181="","",IF(PULL_FUND="N","",IFERROR(BDP($C181,BESTDPS_FIELD,FWD_OVERRIDE,TEXT(MOD(YEAR_Y,100),"00")&amp;"Y"),"")))</f>
        <v/>
      </c>
      <c r="O181" s="69">
        <f>IF($C181="","",AVERAGE(F181:J181))</f>
        <v/>
      </c>
      <c r="P181" s="71">
        <f>IF($C181="","",IF(PULL_FUND="N","",IF(COUNTIFS('Fund History'!$J$1030:$J$1034,"&gt;="&amp;DATE(YEAR_Y-5,1,1),'Fund History'!$J$1030:$J$1034,"&lt;="&amp;DATE(YEAR_Y-5,12,31))=0,"",IFERROR($F181*HSCEI!$G$36/SUMIFS('Fund History'!$K$1030:$K$1034,'Fund History'!$J$1030:$J$1034,"&gt;="&amp;DATE(YEAR_Y-5,1,1),'Fund History'!$J$1030:$J$1034,"&lt;="&amp;DATE(YEAR_Y-5,12,31)),""))))</f>
        <v/>
      </c>
      <c r="Q181" s="72">
        <f>IF($C181="","",IF(PULL_FUND="N","",IF(COUNTIFS('Fund History'!$J$1030:$J$1034,"&gt;="&amp;DATE(YEAR_Y-4,1,1),'Fund History'!$J$1030:$J$1034,"&lt;="&amp;DATE(YEAR_Y-4,12,31))=0,"",IFERROR($G181*HSCEI!$G$36/SUMIFS('Fund History'!$K$1030:$K$1034,'Fund History'!$J$1030:$J$1034,"&gt;="&amp;DATE(YEAR_Y-4,1,1),'Fund History'!$J$1030:$J$1034,"&lt;="&amp;DATE(YEAR_Y-4,12,31)),""))))</f>
        <v/>
      </c>
      <c r="R181" s="72">
        <f>IF($C181="","",IF(PULL_FUND="N","",IF(COUNTIFS('Fund History'!$J$1030:$J$1034,"&gt;="&amp;DATE(YEAR_Y-3,1,1),'Fund History'!$J$1030:$J$1034,"&lt;="&amp;DATE(YEAR_Y-3,12,31))=0,"",IFERROR($H181*HSCEI!$G$36/SUMIFS('Fund History'!$K$1030:$K$1034,'Fund History'!$J$1030:$J$1034,"&gt;="&amp;DATE(YEAR_Y-3,1,1),'Fund History'!$J$1030:$J$1034,"&lt;="&amp;DATE(YEAR_Y-3,12,31)),""))))</f>
        <v/>
      </c>
      <c r="S181" s="72">
        <f>IF($C181="","",IF(PULL_FUND="N","",IF(COUNTIFS('Fund History'!$J$1030:$J$1034,"&gt;="&amp;DATE(YEAR_Y-2,1,1),'Fund History'!$J$1030:$J$1034,"&lt;="&amp;DATE(YEAR_Y-2,12,31))=0,"",IFERROR($I181*HSCEI!$G$36/SUMIFS('Fund History'!$K$1030:$K$1034,'Fund History'!$J$1030:$J$1034,"&gt;="&amp;DATE(YEAR_Y-2,1,1),'Fund History'!$J$1030:$J$1034,"&lt;="&amp;DATE(YEAR_Y-2,12,31)),""))))</f>
        <v/>
      </c>
      <c r="T181" s="72">
        <f>IF($C181="","",IF(PULL_FUND="N","",IF(COUNTIFS('Fund History'!$J$1030:$J$1034,"&gt;="&amp;DATE(YEAR_Y-1,1,1),'Fund History'!$J$1030:$J$1034,"&lt;="&amp;DATE(YEAR_Y-1,12,31))=0,"",IFERROR($J181*HSCEI!$G$36/SUMIFS('Fund History'!$K$1030:$K$1034,'Fund History'!$J$1030:$J$1034,"&gt;="&amp;DATE(YEAR_Y-1,1,1),'Fund History'!$J$1030:$J$1034,"&lt;="&amp;DATE(YEAR_Y-1,12,31)),""))))</f>
        <v/>
      </c>
      <c r="U181" s="73">
        <f>IF($C181="","",IF(ISNUMBER(HSCEI!$I$36),HSCEI!$I$36/100,""))</f>
        <v/>
      </c>
      <c r="V181" s="74">
        <f>IF($C181="","",IF(ISNUMBER(HSCEI!$X$36),IFERROR($M181*HSCEI!$G$36/HSCEI!$X$36,""),""))</f>
        <v/>
      </c>
      <c r="W181" s="73">
        <f>IF($C181="","",IF(ISNUMBER($N181),IFERROR($N181*HSCEI!$G$36/HSCEI!$X$36,""),""))</f>
        <v/>
      </c>
      <c r="X181" s="75">
        <f>IF($C181="","",IF(PULL_FUND="N","",IFERROR(BDP($C181,EPS_FIELD,YR_OVERRIDE,TEXT(YEAR_Y-5,"0")),"")))</f>
        <v/>
      </c>
      <c r="Y181" s="76">
        <f>IF($C181="","",IF(PULL_FUND="N","",IFERROR(BDP($C181,EPS_FIELD,YR_OVERRIDE,TEXT(YEAR_Y-4,"0")),"")))</f>
        <v/>
      </c>
      <c r="Z181" s="76">
        <f>IF($C181="","",IF(PULL_FUND="N","",IFERROR(BDP($C181,EPS_FIELD,YR_OVERRIDE,TEXT(YEAR_Y-3,"0")),"")))</f>
        <v/>
      </c>
      <c r="AA181" s="76">
        <f>IF($C181="","",IF(PULL_FUND="N","",IFERROR(BDP($C181,EPS_FIELD,YR_OVERRIDE,TEXT(YEAR_Y-2,"0")),"")))</f>
        <v/>
      </c>
      <c r="AB181" s="76">
        <f>IF($C181="","",IF(PULL_FUND="N","",IFERROR(BDP($C181,EPS_FIELD,YR_OVERRIDE,TEXT(YEAR_Y-1,"0")),"")))</f>
        <v/>
      </c>
      <c r="AC181" s="50">
        <f>IF($C181="","",IFERROR(AVERAGE(X181:AB181),""))</f>
        <v/>
      </c>
      <c r="AD181" s="76">
        <f>IF($C181="","",IF(PULL_FUND="N","",IFERROR(BDP($C181,BESTEPS_FIELD,FWD_OVERRIDE,TEXT(MOD(YEAR_Y,100),"00")&amp;"Y"),"")))</f>
        <v/>
      </c>
      <c r="AE181" s="77">
        <f>IF($C181="","",IF(PULL_FUND="N","",IFERROR(BDP($C181,PAYOUT_FIELD,YR_OVERRIDE,TEXT(YEAR_Y-5,"0"))/100,"")))</f>
        <v/>
      </c>
      <c r="AF181" s="78">
        <f>IF($C181="","",IF(PULL_FUND="N","",IFERROR(BDP($C181,PAYOUT_FIELD,YR_OVERRIDE,TEXT(YEAR_Y-4,"0"))/100,"")))</f>
        <v/>
      </c>
      <c r="AG181" s="78">
        <f>IF($C181="","",IF(PULL_FUND="N","",IFERROR(BDP($C181,PAYOUT_FIELD,YR_OVERRIDE,TEXT(YEAR_Y-3,"0"))/100,"")))</f>
        <v/>
      </c>
      <c r="AH181" s="78">
        <f>IF($C181="","",IF(PULL_FUND="N","",IFERROR(BDP($C181,PAYOUT_FIELD,YR_OVERRIDE,TEXT(YEAR_Y-2,"0"))/100,"")))</f>
        <v/>
      </c>
      <c r="AI181" s="78">
        <f>IF($C181="","",IF(PULL_FUND="N","",IFERROR(BDP($C181,PAYOUT_FIELD,YR_OVERRIDE,TEXT(YEAR_Y-1,"0"))/100,"")))</f>
        <v/>
      </c>
      <c r="AJ181" s="79">
        <f>IF($C181="","",IFERROR(AVERAGE(AE181:AI181),""))</f>
        <v/>
      </c>
      <c r="AK181" s="80">
        <f>IF($C181="","",IF(ISNUMBER($AD181)*ISNUMBER($N181)*($AD181&lt;&gt;0)=0,"",$N181/$AD181))</f>
        <v/>
      </c>
      <c r="AL181" s="79">
        <f>IF($C181="","",IF(ISNUMBER($AD181)*($AD181&lt;&gt;0)=0,"",$M181/$AD181))</f>
        <v/>
      </c>
      <c r="AM181" s="37">
        <f>IF($C181="","",IF(ISNUMBER($AE181)*ISNUMBER($AI181)=0,"",IF($AI181&gt;$AE181+0.05,"rising",IF($AI181&lt;$AE181-0.05,"falling","stable"))))</f>
        <v/>
      </c>
      <c r="AN181" s="81">
        <f>IF($C181="","",IF(PULL_FUND="N","",IF(COUNTIFS('Fund History'!$G$1030:$G$1034,"&gt;="&amp;DATE(YEAR_Y-4,1,1),'Fund History'!$G$1030:$G$1034,"&lt;="&amp;DATE(YEAR_Y-4,12,31))=0,"",SUMIFS('Fund History'!$H$1030:$H$1034,'Fund History'!$G$1030:$G$1034,"&gt;="&amp;DATE(YEAR_Y-4,1,1),'Fund History'!$G$1030:$G$1034,"&lt;="&amp;DATE(YEAR_Y-4,12,31))/100)))</f>
        <v/>
      </c>
      <c r="AO181" s="82">
        <f>IF($C181="","",IF(PULL_FUND="N","",IF(COUNTIFS('Fund History'!$G$1030:$G$1034,"&gt;="&amp;DATE(YEAR_Y-3,1,1),'Fund History'!$G$1030:$G$1034,"&lt;="&amp;DATE(YEAR_Y-3,12,31))=0,"",SUMIFS('Fund History'!$H$1030:$H$1034,'Fund History'!$G$1030:$G$1034,"&gt;="&amp;DATE(YEAR_Y-3,1,1),'Fund History'!$G$1030:$G$1034,"&lt;="&amp;DATE(YEAR_Y-3,12,31))/100)))</f>
        <v/>
      </c>
      <c r="AP181" s="82">
        <f>IF($C181="","",IF(PULL_FUND="N","",IF(COUNTIFS('Fund History'!$G$1030:$G$1034,"&gt;="&amp;DATE(YEAR_Y-2,1,1),'Fund History'!$G$1030:$G$1034,"&lt;="&amp;DATE(YEAR_Y-2,12,31))=0,"",SUMIFS('Fund History'!$H$1030:$H$1034,'Fund History'!$G$1030:$G$1034,"&gt;="&amp;DATE(YEAR_Y-2,1,1),'Fund History'!$G$1030:$G$1034,"&lt;="&amp;DATE(YEAR_Y-2,12,31))/100)))</f>
        <v/>
      </c>
      <c r="AQ181" s="82">
        <f>IF($C181="","",IF(PULL_FUND="N","",IF(COUNTIFS('Fund History'!$G$1030:$G$1034,"&gt;="&amp;DATE(YEAR_Y-1,1,1),'Fund History'!$G$1030:$G$1034,"&lt;="&amp;DATE(YEAR_Y-1,12,31))=0,"",SUMIFS('Fund History'!$H$1030:$H$1034,'Fund History'!$G$1030:$G$1034,"&gt;="&amp;DATE(YEAR_Y-1,1,1),'Fund History'!$G$1030:$G$1034,"&lt;="&amp;DATE(YEAR_Y-1,12,31))/100)))</f>
        <v/>
      </c>
      <c r="AR181" s="83">
        <f>IF($C181="","",IF(N($AQ181)+N(HSCEI!$I$36)=0,"",N($AQ181)+N(HSCEI!$I$36)/100))</f>
        <v/>
      </c>
      <c r="AS181" s="75">
        <f>IF($C181="","",IF(PULL_FUND="N","",IF(COUNTIFS('Fund History'!$D$1030:$D$1034,"&gt;="&amp;DATE(YEAR_Y-2,1,1),'Fund History'!$D$1030:$D$1034,"&lt;="&amp;DATE(YEAR_Y-2,12,31))=0,"",SUMIFS('Fund History'!$E$1030:$E$1034,'Fund History'!$D$1030:$D$1034,"&gt;="&amp;DATE(YEAR_Y-2,1,1),'Fund History'!$D$1030:$D$1034,"&lt;="&amp;DATE(YEAR_Y-2,12,31)))))</f>
        <v/>
      </c>
      <c r="AT181" s="76">
        <f>IF($C181="","",IF(PULL_FUND="N","",IF(COUNTIFS('Fund History'!$D$1030:$D$1034,"&gt;="&amp;DATE(YEAR_Y-1,1,1),'Fund History'!$D$1030:$D$1034,"&lt;="&amp;DATE(YEAR_Y-1,12,31))=0,"",SUMIFS('Fund History'!$E$1030:$E$1034,'Fund History'!$D$1030:$D$1034,"&gt;="&amp;DATE(YEAR_Y-1,1,1),'Fund History'!$D$1030:$D$1034,"&lt;="&amp;DATE(YEAR_Y-1,12,31)))))</f>
        <v/>
      </c>
      <c r="AU181" s="76">
        <f>IF($C181="","",IF(PULL_FUND="N","",IFERROR(BDP($C181,NDEBITDA_FIELD),"")))</f>
        <v/>
      </c>
      <c r="AV181" s="84">
        <f>IF($C181="","",IF(PULL_FUND="N","",IFERROR(BDP($C181,EBINT_FIELD),"")))</f>
        <v/>
      </c>
      <c r="AW181" s="82">
        <f>IF($C181="","",IF(PULL_FUND="N","",IFERROR(BDP($C181,FCF_FIELD)/100,"")))</f>
        <v/>
      </c>
      <c r="AX181" s="50">
        <f>IF($C181="","",IF(N($U181)=0,"",IFERROR($AW181/$U181,"")))</f>
        <v/>
      </c>
      <c r="AY181" s="85">
        <f>IF($C181="","",TRIM(IF(ISNUMBER($AJ181)*(N($AJ181)&gt;$D$4)&gt;0,"payout high  ","")&amp;IF(ISNUMBER($AX181)*(N($AX181)&lt;$F$4)&gt;0,"FCF below dvd  ","")&amp;IF(ISNUMBER($AU181)*(N($AU181)&gt;$H$4)&gt;0,"leverage high","")))</f>
        <v/>
      </c>
      <c r="AZ181" s="86">
        <f>IF($C181="","",IF(HSCEI!$F$36="HKD","",HSCEI!$F$36))</f>
        <v/>
      </c>
    </row>
    <row r="182">
      <c r="B182" s="66" t="inlineStr">
        <is>
          <t>HSCEI</t>
        </is>
      </c>
      <c r="C182" s="8">
        <f>IF(HSCEI!$C$37="","",HSCEI!$C$37)</f>
        <v/>
      </c>
      <c r="D182" s="8">
        <f>IF($C182="","",HSCEI!$D$37)</f>
        <v/>
      </c>
      <c r="E182" s="8">
        <f>IF($C182="","",HSCEI!$E$37)</f>
        <v/>
      </c>
      <c r="F182" s="67">
        <f>IF($C182="","",SUMPRODUCT(('Dvd Calendar'!$E$1891:$AR$1891&gt;=DATE(YEAR_Y-5,1,1))*('Dvd Calendar'!$E$1891:$AR$1891&lt;=DATE(YEAR_Y-5,12,31))*'Dvd Calendar'!$E$1894:$AR$1894*(('Dvd Calendar'!$E$1896:$AR$1896=TYPE1)*(TYPE1&lt;&gt;"")+('Dvd Calendar'!$E$1896:$AR$1896=TYPE2)*(TYPE2&lt;&gt;"")+('Dvd Calendar'!$E$1896:$AR$1896=TYPE3)*(TYPE3&lt;&gt;"")+('Dvd Calendar'!$E$1896:$AR$1896=TYPE4)*(TYPE4&lt;&gt;"")+('Dvd Calendar'!$E$1896:$AR$1896=SPECIAL_LBL)*(INC_SPECIALS="Y"))))</f>
        <v/>
      </c>
      <c r="G182" s="68">
        <f>IF($C182="","",SUMPRODUCT(('Dvd Calendar'!$E$1891:$AR$1891&gt;=DATE(YEAR_Y-4,1,1))*('Dvd Calendar'!$E$1891:$AR$1891&lt;=DATE(YEAR_Y-4,12,31))*'Dvd Calendar'!$E$1894:$AR$1894*(('Dvd Calendar'!$E$1896:$AR$1896=TYPE1)*(TYPE1&lt;&gt;"")+('Dvd Calendar'!$E$1896:$AR$1896=TYPE2)*(TYPE2&lt;&gt;"")+('Dvd Calendar'!$E$1896:$AR$1896=TYPE3)*(TYPE3&lt;&gt;"")+('Dvd Calendar'!$E$1896:$AR$1896=TYPE4)*(TYPE4&lt;&gt;"")+('Dvd Calendar'!$E$1896:$AR$1896=SPECIAL_LBL)*(INC_SPECIALS="Y"))))</f>
        <v/>
      </c>
      <c r="H182" s="68">
        <f>IF($C182="","",SUMPRODUCT(('Dvd Calendar'!$E$1891:$AR$1891&gt;=DATE(YEAR_Y-3,1,1))*('Dvd Calendar'!$E$1891:$AR$1891&lt;=DATE(YEAR_Y-3,12,31))*'Dvd Calendar'!$E$1894:$AR$1894*(('Dvd Calendar'!$E$1896:$AR$1896=TYPE1)*(TYPE1&lt;&gt;"")+('Dvd Calendar'!$E$1896:$AR$1896=TYPE2)*(TYPE2&lt;&gt;"")+('Dvd Calendar'!$E$1896:$AR$1896=TYPE3)*(TYPE3&lt;&gt;"")+('Dvd Calendar'!$E$1896:$AR$1896=TYPE4)*(TYPE4&lt;&gt;"")+('Dvd Calendar'!$E$1896:$AR$1896=SPECIAL_LBL)*(INC_SPECIALS="Y"))))</f>
        <v/>
      </c>
      <c r="I182" s="68">
        <f>IF($C182="","",SUMPRODUCT(('Dvd Calendar'!$E$1891:$AR$1891&gt;=DATE(YEAR_Y-2,1,1))*('Dvd Calendar'!$E$1891:$AR$1891&lt;=DATE(YEAR_Y-2,12,31))*'Dvd Calendar'!$E$1894:$AR$1894*(('Dvd Calendar'!$E$1896:$AR$1896=TYPE1)*(TYPE1&lt;&gt;"")+('Dvd Calendar'!$E$1896:$AR$1896=TYPE2)*(TYPE2&lt;&gt;"")+('Dvd Calendar'!$E$1896:$AR$1896=TYPE3)*(TYPE3&lt;&gt;"")+('Dvd Calendar'!$E$1896:$AR$1896=TYPE4)*(TYPE4&lt;&gt;"")+('Dvd Calendar'!$E$1896:$AR$1896=SPECIAL_LBL)*(INC_SPECIALS="Y"))))</f>
        <v/>
      </c>
      <c r="J182" s="68">
        <f>IF($C182="","",SUMPRODUCT(('Dvd Calendar'!$E$1891:$AR$1891&gt;=DATE(YEAR_Y-1,1,1))*('Dvd Calendar'!$E$1891:$AR$1891&lt;=DATE(YEAR_Y-1,12,31))*'Dvd Calendar'!$E$1894:$AR$1894*(('Dvd Calendar'!$E$1896:$AR$1896=TYPE1)*(TYPE1&lt;&gt;"")+('Dvd Calendar'!$E$1896:$AR$1896=TYPE2)*(TYPE2&lt;&gt;"")+('Dvd Calendar'!$E$1896:$AR$1896=TYPE3)*(TYPE3&lt;&gt;"")+('Dvd Calendar'!$E$1896:$AR$1896=TYPE4)*(TYPE4&lt;&gt;"")+('Dvd Calendar'!$E$1896:$AR$1896=SPECIAL_LBL)*(INC_SPECIALS="Y"))))</f>
        <v/>
      </c>
      <c r="K182" s="69">
        <f>IF($C182="","",HSCEI!$J$37)</f>
        <v/>
      </c>
      <c r="L182" s="69">
        <f>IF($C182="","",HSCEI!$K$37)</f>
        <v/>
      </c>
      <c r="M182" s="44">
        <f>IF($C182="","",HSCEI!$J$37+HSCEI!$L$37)</f>
        <v/>
      </c>
      <c r="N182" s="70">
        <f>IF($C182="","",IF(PULL_FUND="N","",IFERROR(BDP($C182,BESTDPS_FIELD,FWD_OVERRIDE,TEXT(MOD(YEAR_Y,100),"00")&amp;"Y"),"")))</f>
        <v/>
      </c>
      <c r="O182" s="69">
        <f>IF($C182="","",AVERAGE(F182:J182))</f>
        <v/>
      </c>
      <c r="P182" s="71">
        <f>IF($C182="","",IF(PULL_FUND="N","",IF(COUNTIFS('Fund History'!$J$1036:$J$1040,"&gt;="&amp;DATE(YEAR_Y-5,1,1),'Fund History'!$J$1036:$J$1040,"&lt;="&amp;DATE(YEAR_Y-5,12,31))=0,"",IFERROR($F182*HSCEI!$G$37/SUMIFS('Fund History'!$K$1036:$K$1040,'Fund History'!$J$1036:$J$1040,"&gt;="&amp;DATE(YEAR_Y-5,1,1),'Fund History'!$J$1036:$J$1040,"&lt;="&amp;DATE(YEAR_Y-5,12,31)),""))))</f>
        <v/>
      </c>
      <c r="Q182" s="72">
        <f>IF($C182="","",IF(PULL_FUND="N","",IF(COUNTIFS('Fund History'!$J$1036:$J$1040,"&gt;="&amp;DATE(YEAR_Y-4,1,1),'Fund History'!$J$1036:$J$1040,"&lt;="&amp;DATE(YEAR_Y-4,12,31))=0,"",IFERROR($G182*HSCEI!$G$37/SUMIFS('Fund History'!$K$1036:$K$1040,'Fund History'!$J$1036:$J$1040,"&gt;="&amp;DATE(YEAR_Y-4,1,1),'Fund History'!$J$1036:$J$1040,"&lt;="&amp;DATE(YEAR_Y-4,12,31)),""))))</f>
        <v/>
      </c>
      <c r="R182" s="72">
        <f>IF($C182="","",IF(PULL_FUND="N","",IF(COUNTIFS('Fund History'!$J$1036:$J$1040,"&gt;="&amp;DATE(YEAR_Y-3,1,1),'Fund History'!$J$1036:$J$1040,"&lt;="&amp;DATE(YEAR_Y-3,12,31))=0,"",IFERROR($H182*HSCEI!$G$37/SUMIFS('Fund History'!$K$1036:$K$1040,'Fund History'!$J$1036:$J$1040,"&gt;="&amp;DATE(YEAR_Y-3,1,1),'Fund History'!$J$1036:$J$1040,"&lt;="&amp;DATE(YEAR_Y-3,12,31)),""))))</f>
        <v/>
      </c>
      <c r="S182" s="72">
        <f>IF($C182="","",IF(PULL_FUND="N","",IF(COUNTIFS('Fund History'!$J$1036:$J$1040,"&gt;="&amp;DATE(YEAR_Y-2,1,1),'Fund History'!$J$1036:$J$1040,"&lt;="&amp;DATE(YEAR_Y-2,12,31))=0,"",IFERROR($I182*HSCEI!$G$37/SUMIFS('Fund History'!$K$1036:$K$1040,'Fund History'!$J$1036:$J$1040,"&gt;="&amp;DATE(YEAR_Y-2,1,1),'Fund History'!$J$1036:$J$1040,"&lt;="&amp;DATE(YEAR_Y-2,12,31)),""))))</f>
        <v/>
      </c>
      <c r="T182" s="72">
        <f>IF($C182="","",IF(PULL_FUND="N","",IF(COUNTIFS('Fund History'!$J$1036:$J$1040,"&gt;="&amp;DATE(YEAR_Y-1,1,1),'Fund History'!$J$1036:$J$1040,"&lt;="&amp;DATE(YEAR_Y-1,12,31))=0,"",IFERROR($J182*HSCEI!$G$37/SUMIFS('Fund History'!$K$1036:$K$1040,'Fund History'!$J$1036:$J$1040,"&gt;="&amp;DATE(YEAR_Y-1,1,1),'Fund History'!$J$1036:$J$1040,"&lt;="&amp;DATE(YEAR_Y-1,12,31)),""))))</f>
        <v/>
      </c>
      <c r="U182" s="73">
        <f>IF($C182="","",IF(ISNUMBER(HSCEI!$I$37),HSCEI!$I$37/100,""))</f>
        <v/>
      </c>
      <c r="V182" s="74">
        <f>IF($C182="","",IF(ISNUMBER(HSCEI!$X$37),IFERROR($M182*HSCEI!$G$37/HSCEI!$X$37,""),""))</f>
        <v/>
      </c>
      <c r="W182" s="73">
        <f>IF($C182="","",IF(ISNUMBER($N182),IFERROR($N182*HSCEI!$G$37/HSCEI!$X$37,""),""))</f>
        <v/>
      </c>
      <c r="X182" s="75">
        <f>IF($C182="","",IF(PULL_FUND="N","",IFERROR(BDP($C182,EPS_FIELD,YR_OVERRIDE,TEXT(YEAR_Y-5,"0")),"")))</f>
        <v/>
      </c>
      <c r="Y182" s="76">
        <f>IF($C182="","",IF(PULL_FUND="N","",IFERROR(BDP($C182,EPS_FIELD,YR_OVERRIDE,TEXT(YEAR_Y-4,"0")),"")))</f>
        <v/>
      </c>
      <c r="Z182" s="76">
        <f>IF($C182="","",IF(PULL_FUND="N","",IFERROR(BDP($C182,EPS_FIELD,YR_OVERRIDE,TEXT(YEAR_Y-3,"0")),"")))</f>
        <v/>
      </c>
      <c r="AA182" s="76">
        <f>IF($C182="","",IF(PULL_FUND="N","",IFERROR(BDP($C182,EPS_FIELD,YR_OVERRIDE,TEXT(YEAR_Y-2,"0")),"")))</f>
        <v/>
      </c>
      <c r="AB182" s="76">
        <f>IF($C182="","",IF(PULL_FUND="N","",IFERROR(BDP($C182,EPS_FIELD,YR_OVERRIDE,TEXT(YEAR_Y-1,"0")),"")))</f>
        <v/>
      </c>
      <c r="AC182" s="50">
        <f>IF($C182="","",IFERROR(AVERAGE(X182:AB182),""))</f>
        <v/>
      </c>
      <c r="AD182" s="76">
        <f>IF($C182="","",IF(PULL_FUND="N","",IFERROR(BDP($C182,BESTEPS_FIELD,FWD_OVERRIDE,TEXT(MOD(YEAR_Y,100),"00")&amp;"Y"),"")))</f>
        <v/>
      </c>
      <c r="AE182" s="77">
        <f>IF($C182="","",IF(PULL_FUND="N","",IFERROR(BDP($C182,PAYOUT_FIELD,YR_OVERRIDE,TEXT(YEAR_Y-5,"0"))/100,"")))</f>
        <v/>
      </c>
      <c r="AF182" s="78">
        <f>IF($C182="","",IF(PULL_FUND="N","",IFERROR(BDP($C182,PAYOUT_FIELD,YR_OVERRIDE,TEXT(YEAR_Y-4,"0"))/100,"")))</f>
        <v/>
      </c>
      <c r="AG182" s="78">
        <f>IF($C182="","",IF(PULL_FUND="N","",IFERROR(BDP($C182,PAYOUT_FIELD,YR_OVERRIDE,TEXT(YEAR_Y-3,"0"))/100,"")))</f>
        <v/>
      </c>
      <c r="AH182" s="78">
        <f>IF($C182="","",IF(PULL_FUND="N","",IFERROR(BDP($C182,PAYOUT_FIELD,YR_OVERRIDE,TEXT(YEAR_Y-2,"0"))/100,"")))</f>
        <v/>
      </c>
      <c r="AI182" s="78">
        <f>IF($C182="","",IF(PULL_FUND="N","",IFERROR(BDP($C182,PAYOUT_FIELD,YR_OVERRIDE,TEXT(YEAR_Y-1,"0"))/100,"")))</f>
        <v/>
      </c>
      <c r="AJ182" s="79">
        <f>IF($C182="","",IFERROR(AVERAGE(AE182:AI182),""))</f>
        <v/>
      </c>
      <c r="AK182" s="80">
        <f>IF($C182="","",IF(ISNUMBER($AD182)*ISNUMBER($N182)*($AD182&lt;&gt;0)=0,"",$N182/$AD182))</f>
        <v/>
      </c>
      <c r="AL182" s="79">
        <f>IF($C182="","",IF(ISNUMBER($AD182)*($AD182&lt;&gt;0)=0,"",$M182/$AD182))</f>
        <v/>
      </c>
      <c r="AM182" s="37">
        <f>IF($C182="","",IF(ISNUMBER($AE182)*ISNUMBER($AI182)=0,"",IF($AI182&gt;$AE182+0.05,"rising",IF($AI182&lt;$AE182-0.05,"falling","stable"))))</f>
        <v/>
      </c>
      <c r="AN182" s="81">
        <f>IF($C182="","",IF(PULL_FUND="N","",IF(COUNTIFS('Fund History'!$G$1036:$G$1040,"&gt;="&amp;DATE(YEAR_Y-4,1,1),'Fund History'!$G$1036:$G$1040,"&lt;="&amp;DATE(YEAR_Y-4,12,31))=0,"",SUMIFS('Fund History'!$H$1036:$H$1040,'Fund History'!$G$1036:$G$1040,"&gt;="&amp;DATE(YEAR_Y-4,1,1),'Fund History'!$G$1036:$G$1040,"&lt;="&amp;DATE(YEAR_Y-4,12,31))/100)))</f>
        <v/>
      </c>
      <c r="AO182" s="82">
        <f>IF($C182="","",IF(PULL_FUND="N","",IF(COUNTIFS('Fund History'!$G$1036:$G$1040,"&gt;="&amp;DATE(YEAR_Y-3,1,1),'Fund History'!$G$1036:$G$1040,"&lt;="&amp;DATE(YEAR_Y-3,12,31))=0,"",SUMIFS('Fund History'!$H$1036:$H$1040,'Fund History'!$G$1036:$G$1040,"&gt;="&amp;DATE(YEAR_Y-3,1,1),'Fund History'!$G$1036:$G$1040,"&lt;="&amp;DATE(YEAR_Y-3,12,31))/100)))</f>
        <v/>
      </c>
      <c r="AP182" s="82">
        <f>IF($C182="","",IF(PULL_FUND="N","",IF(COUNTIFS('Fund History'!$G$1036:$G$1040,"&gt;="&amp;DATE(YEAR_Y-2,1,1),'Fund History'!$G$1036:$G$1040,"&lt;="&amp;DATE(YEAR_Y-2,12,31))=0,"",SUMIFS('Fund History'!$H$1036:$H$1040,'Fund History'!$G$1036:$G$1040,"&gt;="&amp;DATE(YEAR_Y-2,1,1),'Fund History'!$G$1036:$G$1040,"&lt;="&amp;DATE(YEAR_Y-2,12,31))/100)))</f>
        <v/>
      </c>
      <c r="AQ182" s="82">
        <f>IF($C182="","",IF(PULL_FUND="N","",IF(COUNTIFS('Fund History'!$G$1036:$G$1040,"&gt;="&amp;DATE(YEAR_Y-1,1,1),'Fund History'!$G$1036:$G$1040,"&lt;="&amp;DATE(YEAR_Y-1,12,31))=0,"",SUMIFS('Fund History'!$H$1036:$H$1040,'Fund History'!$G$1036:$G$1040,"&gt;="&amp;DATE(YEAR_Y-1,1,1),'Fund History'!$G$1036:$G$1040,"&lt;="&amp;DATE(YEAR_Y-1,12,31))/100)))</f>
        <v/>
      </c>
      <c r="AR182" s="83">
        <f>IF($C182="","",IF(N($AQ182)+N(HSCEI!$I$37)=0,"",N($AQ182)+N(HSCEI!$I$37)/100))</f>
        <v/>
      </c>
      <c r="AS182" s="75">
        <f>IF($C182="","",IF(PULL_FUND="N","",IF(COUNTIFS('Fund History'!$D$1036:$D$1040,"&gt;="&amp;DATE(YEAR_Y-2,1,1),'Fund History'!$D$1036:$D$1040,"&lt;="&amp;DATE(YEAR_Y-2,12,31))=0,"",SUMIFS('Fund History'!$E$1036:$E$1040,'Fund History'!$D$1036:$D$1040,"&gt;="&amp;DATE(YEAR_Y-2,1,1),'Fund History'!$D$1036:$D$1040,"&lt;="&amp;DATE(YEAR_Y-2,12,31)))))</f>
        <v/>
      </c>
      <c r="AT182" s="76">
        <f>IF($C182="","",IF(PULL_FUND="N","",IF(COUNTIFS('Fund History'!$D$1036:$D$1040,"&gt;="&amp;DATE(YEAR_Y-1,1,1),'Fund History'!$D$1036:$D$1040,"&lt;="&amp;DATE(YEAR_Y-1,12,31))=0,"",SUMIFS('Fund History'!$E$1036:$E$1040,'Fund History'!$D$1036:$D$1040,"&gt;="&amp;DATE(YEAR_Y-1,1,1),'Fund History'!$D$1036:$D$1040,"&lt;="&amp;DATE(YEAR_Y-1,12,31)))))</f>
        <v/>
      </c>
      <c r="AU182" s="76">
        <f>IF($C182="","",IF(PULL_FUND="N","",IFERROR(BDP($C182,NDEBITDA_FIELD),"")))</f>
        <v/>
      </c>
      <c r="AV182" s="84">
        <f>IF($C182="","",IF(PULL_FUND="N","",IFERROR(BDP($C182,EBINT_FIELD),"")))</f>
        <v/>
      </c>
      <c r="AW182" s="82">
        <f>IF($C182="","",IF(PULL_FUND="N","",IFERROR(BDP($C182,FCF_FIELD)/100,"")))</f>
        <v/>
      </c>
      <c r="AX182" s="50">
        <f>IF($C182="","",IF(N($U182)=0,"",IFERROR($AW182/$U182,"")))</f>
        <v/>
      </c>
      <c r="AY182" s="85">
        <f>IF($C182="","",TRIM(IF(ISNUMBER($AJ182)*(N($AJ182)&gt;$D$4)&gt;0,"payout high  ","")&amp;IF(ISNUMBER($AX182)*(N($AX182)&lt;$F$4)&gt;0,"FCF below dvd  ","")&amp;IF(ISNUMBER($AU182)*(N($AU182)&gt;$H$4)&gt;0,"leverage high","")))</f>
        <v/>
      </c>
      <c r="AZ182" s="86">
        <f>IF($C182="","",IF(HSCEI!$F$37="HKD","",HSCEI!$F$37))</f>
        <v/>
      </c>
    </row>
    <row r="183">
      <c r="B183" s="66" t="inlineStr">
        <is>
          <t>HSCEI</t>
        </is>
      </c>
      <c r="C183" s="8">
        <f>IF(HSCEI!$C$38="","",HSCEI!$C$38)</f>
        <v/>
      </c>
      <c r="D183" s="8">
        <f>IF($C183="","",HSCEI!$D$38)</f>
        <v/>
      </c>
      <c r="E183" s="8">
        <f>IF($C183="","",HSCEI!$E$38)</f>
        <v/>
      </c>
      <c r="F183" s="67">
        <f>IF($C183="","",SUMPRODUCT(('Dvd Calendar'!$E$1902:$AR$1902&gt;=DATE(YEAR_Y-5,1,1))*('Dvd Calendar'!$E$1902:$AR$1902&lt;=DATE(YEAR_Y-5,12,31))*'Dvd Calendar'!$E$1905:$AR$1905*(('Dvd Calendar'!$E$1907:$AR$1907=TYPE1)*(TYPE1&lt;&gt;"")+('Dvd Calendar'!$E$1907:$AR$1907=TYPE2)*(TYPE2&lt;&gt;"")+('Dvd Calendar'!$E$1907:$AR$1907=TYPE3)*(TYPE3&lt;&gt;"")+('Dvd Calendar'!$E$1907:$AR$1907=TYPE4)*(TYPE4&lt;&gt;"")+('Dvd Calendar'!$E$1907:$AR$1907=SPECIAL_LBL)*(INC_SPECIALS="Y"))))</f>
        <v/>
      </c>
      <c r="G183" s="68">
        <f>IF($C183="","",SUMPRODUCT(('Dvd Calendar'!$E$1902:$AR$1902&gt;=DATE(YEAR_Y-4,1,1))*('Dvd Calendar'!$E$1902:$AR$1902&lt;=DATE(YEAR_Y-4,12,31))*'Dvd Calendar'!$E$1905:$AR$1905*(('Dvd Calendar'!$E$1907:$AR$1907=TYPE1)*(TYPE1&lt;&gt;"")+('Dvd Calendar'!$E$1907:$AR$1907=TYPE2)*(TYPE2&lt;&gt;"")+('Dvd Calendar'!$E$1907:$AR$1907=TYPE3)*(TYPE3&lt;&gt;"")+('Dvd Calendar'!$E$1907:$AR$1907=TYPE4)*(TYPE4&lt;&gt;"")+('Dvd Calendar'!$E$1907:$AR$1907=SPECIAL_LBL)*(INC_SPECIALS="Y"))))</f>
        <v/>
      </c>
      <c r="H183" s="68">
        <f>IF($C183="","",SUMPRODUCT(('Dvd Calendar'!$E$1902:$AR$1902&gt;=DATE(YEAR_Y-3,1,1))*('Dvd Calendar'!$E$1902:$AR$1902&lt;=DATE(YEAR_Y-3,12,31))*'Dvd Calendar'!$E$1905:$AR$1905*(('Dvd Calendar'!$E$1907:$AR$1907=TYPE1)*(TYPE1&lt;&gt;"")+('Dvd Calendar'!$E$1907:$AR$1907=TYPE2)*(TYPE2&lt;&gt;"")+('Dvd Calendar'!$E$1907:$AR$1907=TYPE3)*(TYPE3&lt;&gt;"")+('Dvd Calendar'!$E$1907:$AR$1907=TYPE4)*(TYPE4&lt;&gt;"")+('Dvd Calendar'!$E$1907:$AR$1907=SPECIAL_LBL)*(INC_SPECIALS="Y"))))</f>
        <v/>
      </c>
      <c r="I183" s="68">
        <f>IF($C183="","",SUMPRODUCT(('Dvd Calendar'!$E$1902:$AR$1902&gt;=DATE(YEAR_Y-2,1,1))*('Dvd Calendar'!$E$1902:$AR$1902&lt;=DATE(YEAR_Y-2,12,31))*'Dvd Calendar'!$E$1905:$AR$1905*(('Dvd Calendar'!$E$1907:$AR$1907=TYPE1)*(TYPE1&lt;&gt;"")+('Dvd Calendar'!$E$1907:$AR$1907=TYPE2)*(TYPE2&lt;&gt;"")+('Dvd Calendar'!$E$1907:$AR$1907=TYPE3)*(TYPE3&lt;&gt;"")+('Dvd Calendar'!$E$1907:$AR$1907=TYPE4)*(TYPE4&lt;&gt;"")+('Dvd Calendar'!$E$1907:$AR$1907=SPECIAL_LBL)*(INC_SPECIALS="Y"))))</f>
        <v/>
      </c>
      <c r="J183" s="68">
        <f>IF($C183="","",SUMPRODUCT(('Dvd Calendar'!$E$1902:$AR$1902&gt;=DATE(YEAR_Y-1,1,1))*('Dvd Calendar'!$E$1902:$AR$1902&lt;=DATE(YEAR_Y-1,12,31))*'Dvd Calendar'!$E$1905:$AR$1905*(('Dvd Calendar'!$E$1907:$AR$1907=TYPE1)*(TYPE1&lt;&gt;"")+('Dvd Calendar'!$E$1907:$AR$1907=TYPE2)*(TYPE2&lt;&gt;"")+('Dvd Calendar'!$E$1907:$AR$1907=TYPE3)*(TYPE3&lt;&gt;"")+('Dvd Calendar'!$E$1907:$AR$1907=TYPE4)*(TYPE4&lt;&gt;"")+('Dvd Calendar'!$E$1907:$AR$1907=SPECIAL_LBL)*(INC_SPECIALS="Y"))))</f>
        <v/>
      </c>
      <c r="K183" s="69">
        <f>IF($C183="","",HSCEI!$J$38)</f>
        <v/>
      </c>
      <c r="L183" s="69">
        <f>IF($C183="","",HSCEI!$K$38)</f>
        <v/>
      </c>
      <c r="M183" s="44">
        <f>IF($C183="","",HSCEI!$J$38+HSCEI!$L$38)</f>
        <v/>
      </c>
      <c r="N183" s="70">
        <f>IF($C183="","",IF(PULL_FUND="N","",IFERROR(BDP($C183,BESTDPS_FIELD,FWD_OVERRIDE,TEXT(MOD(YEAR_Y,100),"00")&amp;"Y"),"")))</f>
        <v/>
      </c>
      <c r="O183" s="69">
        <f>IF($C183="","",AVERAGE(F183:J183))</f>
        <v/>
      </c>
      <c r="P183" s="71">
        <f>IF($C183="","",IF(PULL_FUND="N","",IF(COUNTIFS('Fund History'!$J$1042:$J$1046,"&gt;="&amp;DATE(YEAR_Y-5,1,1),'Fund History'!$J$1042:$J$1046,"&lt;="&amp;DATE(YEAR_Y-5,12,31))=0,"",IFERROR($F183*HSCEI!$G$38/SUMIFS('Fund History'!$K$1042:$K$1046,'Fund History'!$J$1042:$J$1046,"&gt;="&amp;DATE(YEAR_Y-5,1,1),'Fund History'!$J$1042:$J$1046,"&lt;="&amp;DATE(YEAR_Y-5,12,31)),""))))</f>
        <v/>
      </c>
      <c r="Q183" s="72">
        <f>IF($C183="","",IF(PULL_FUND="N","",IF(COUNTIFS('Fund History'!$J$1042:$J$1046,"&gt;="&amp;DATE(YEAR_Y-4,1,1),'Fund History'!$J$1042:$J$1046,"&lt;="&amp;DATE(YEAR_Y-4,12,31))=0,"",IFERROR($G183*HSCEI!$G$38/SUMIFS('Fund History'!$K$1042:$K$1046,'Fund History'!$J$1042:$J$1046,"&gt;="&amp;DATE(YEAR_Y-4,1,1),'Fund History'!$J$1042:$J$1046,"&lt;="&amp;DATE(YEAR_Y-4,12,31)),""))))</f>
        <v/>
      </c>
      <c r="R183" s="72">
        <f>IF($C183="","",IF(PULL_FUND="N","",IF(COUNTIFS('Fund History'!$J$1042:$J$1046,"&gt;="&amp;DATE(YEAR_Y-3,1,1),'Fund History'!$J$1042:$J$1046,"&lt;="&amp;DATE(YEAR_Y-3,12,31))=0,"",IFERROR($H183*HSCEI!$G$38/SUMIFS('Fund History'!$K$1042:$K$1046,'Fund History'!$J$1042:$J$1046,"&gt;="&amp;DATE(YEAR_Y-3,1,1),'Fund History'!$J$1042:$J$1046,"&lt;="&amp;DATE(YEAR_Y-3,12,31)),""))))</f>
        <v/>
      </c>
      <c r="S183" s="72">
        <f>IF($C183="","",IF(PULL_FUND="N","",IF(COUNTIFS('Fund History'!$J$1042:$J$1046,"&gt;="&amp;DATE(YEAR_Y-2,1,1),'Fund History'!$J$1042:$J$1046,"&lt;="&amp;DATE(YEAR_Y-2,12,31))=0,"",IFERROR($I183*HSCEI!$G$38/SUMIFS('Fund History'!$K$1042:$K$1046,'Fund History'!$J$1042:$J$1046,"&gt;="&amp;DATE(YEAR_Y-2,1,1),'Fund History'!$J$1042:$J$1046,"&lt;="&amp;DATE(YEAR_Y-2,12,31)),""))))</f>
        <v/>
      </c>
      <c r="T183" s="72">
        <f>IF($C183="","",IF(PULL_FUND="N","",IF(COUNTIFS('Fund History'!$J$1042:$J$1046,"&gt;="&amp;DATE(YEAR_Y-1,1,1),'Fund History'!$J$1042:$J$1046,"&lt;="&amp;DATE(YEAR_Y-1,12,31))=0,"",IFERROR($J183*HSCEI!$G$38/SUMIFS('Fund History'!$K$1042:$K$1046,'Fund History'!$J$1042:$J$1046,"&gt;="&amp;DATE(YEAR_Y-1,1,1),'Fund History'!$J$1042:$J$1046,"&lt;="&amp;DATE(YEAR_Y-1,12,31)),""))))</f>
        <v/>
      </c>
      <c r="U183" s="73">
        <f>IF($C183="","",IF(ISNUMBER(HSCEI!$I$38),HSCEI!$I$38/100,""))</f>
        <v/>
      </c>
      <c r="V183" s="74">
        <f>IF($C183="","",IF(ISNUMBER(HSCEI!$X$38),IFERROR($M183*HSCEI!$G$38/HSCEI!$X$38,""),""))</f>
        <v/>
      </c>
      <c r="W183" s="73">
        <f>IF($C183="","",IF(ISNUMBER($N183),IFERROR($N183*HSCEI!$G$38/HSCEI!$X$38,""),""))</f>
        <v/>
      </c>
      <c r="X183" s="75">
        <f>IF($C183="","",IF(PULL_FUND="N","",IFERROR(BDP($C183,EPS_FIELD,YR_OVERRIDE,TEXT(YEAR_Y-5,"0")),"")))</f>
        <v/>
      </c>
      <c r="Y183" s="76">
        <f>IF($C183="","",IF(PULL_FUND="N","",IFERROR(BDP($C183,EPS_FIELD,YR_OVERRIDE,TEXT(YEAR_Y-4,"0")),"")))</f>
        <v/>
      </c>
      <c r="Z183" s="76">
        <f>IF($C183="","",IF(PULL_FUND="N","",IFERROR(BDP($C183,EPS_FIELD,YR_OVERRIDE,TEXT(YEAR_Y-3,"0")),"")))</f>
        <v/>
      </c>
      <c r="AA183" s="76">
        <f>IF($C183="","",IF(PULL_FUND="N","",IFERROR(BDP($C183,EPS_FIELD,YR_OVERRIDE,TEXT(YEAR_Y-2,"0")),"")))</f>
        <v/>
      </c>
      <c r="AB183" s="76">
        <f>IF($C183="","",IF(PULL_FUND="N","",IFERROR(BDP($C183,EPS_FIELD,YR_OVERRIDE,TEXT(YEAR_Y-1,"0")),"")))</f>
        <v/>
      </c>
      <c r="AC183" s="50">
        <f>IF($C183="","",IFERROR(AVERAGE(X183:AB183),""))</f>
        <v/>
      </c>
      <c r="AD183" s="76">
        <f>IF($C183="","",IF(PULL_FUND="N","",IFERROR(BDP($C183,BESTEPS_FIELD,FWD_OVERRIDE,TEXT(MOD(YEAR_Y,100),"00")&amp;"Y"),"")))</f>
        <v/>
      </c>
      <c r="AE183" s="77">
        <f>IF($C183="","",IF(PULL_FUND="N","",IFERROR(BDP($C183,PAYOUT_FIELD,YR_OVERRIDE,TEXT(YEAR_Y-5,"0"))/100,"")))</f>
        <v/>
      </c>
      <c r="AF183" s="78">
        <f>IF($C183="","",IF(PULL_FUND="N","",IFERROR(BDP($C183,PAYOUT_FIELD,YR_OVERRIDE,TEXT(YEAR_Y-4,"0"))/100,"")))</f>
        <v/>
      </c>
      <c r="AG183" s="78">
        <f>IF($C183="","",IF(PULL_FUND="N","",IFERROR(BDP($C183,PAYOUT_FIELD,YR_OVERRIDE,TEXT(YEAR_Y-3,"0"))/100,"")))</f>
        <v/>
      </c>
      <c r="AH183" s="78">
        <f>IF($C183="","",IF(PULL_FUND="N","",IFERROR(BDP($C183,PAYOUT_FIELD,YR_OVERRIDE,TEXT(YEAR_Y-2,"0"))/100,"")))</f>
        <v/>
      </c>
      <c r="AI183" s="78">
        <f>IF($C183="","",IF(PULL_FUND="N","",IFERROR(BDP($C183,PAYOUT_FIELD,YR_OVERRIDE,TEXT(YEAR_Y-1,"0"))/100,"")))</f>
        <v/>
      </c>
      <c r="AJ183" s="79">
        <f>IF($C183="","",IFERROR(AVERAGE(AE183:AI183),""))</f>
        <v/>
      </c>
      <c r="AK183" s="80">
        <f>IF($C183="","",IF(ISNUMBER($AD183)*ISNUMBER($N183)*($AD183&lt;&gt;0)=0,"",$N183/$AD183))</f>
        <v/>
      </c>
      <c r="AL183" s="79">
        <f>IF($C183="","",IF(ISNUMBER($AD183)*($AD183&lt;&gt;0)=0,"",$M183/$AD183))</f>
        <v/>
      </c>
      <c r="AM183" s="37">
        <f>IF($C183="","",IF(ISNUMBER($AE183)*ISNUMBER($AI183)=0,"",IF($AI183&gt;$AE183+0.05,"rising",IF($AI183&lt;$AE183-0.05,"falling","stable"))))</f>
        <v/>
      </c>
      <c r="AN183" s="81">
        <f>IF($C183="","",IF(PULL_FUND="N","",IF(COUNTIFS('Fund History'!$G$1042:$G$1046,"&gt;="&amp;DATE(YEAR_Y-4,1,1),'Fund History'!$G$1042:$G$1046,"&lt;="&amp;DATE(YEAR_Y-4,12,31))=0,"",SUMIFS('Fund History'!$H$1042:$H$1046,'Fund History'!$G$1042:$G$1046,"&gt;="&amp;DATE(YEAR_Y-4,1,1),'Fund History'!$G$1042:$G$1046,"&lt;="&amp;DATE(YEAR_Y-4,12,31))/100)))</f>
        <v/>
      </c>
      <c r="AO183" s="82">
        <f>IF($C183="","",IF(PULL_FUND="N","",IF(COUNTIFS('Fund History'!$G$1042:$G$1046,"&gt;="&amp;DATE(YEAR_Y-3,1,1),'Fund History'!$G$1042:$G$1046,"&lt;="&amp;DATE(YEAR_Y-3,12,31))=0,"",SUMIFS('Fund History'!$H$1042:$H$1046,'Fund History'!$G$1042:$G$1046,"&gt;="&amp;DATE(YEAR_Y-3,1,1),'Fund History'!$G$1042:$G$1046,"&lt;="&amp;DATE(YEAR_Y-3,12,31))/100)))</f>
        <v/>
      </c>
      <c r="AP183" s="82">
        <f>IF($C183="","",IF(PULL_FUND="N","",IF(COUNTIFS('Fund History'!$G$1042:$G$1046,"&gt;="&amp;DATE(YEAR_Y-2,1,1),'Fund History'!$G$1042:$G$1046,"&lt;="&amp;DATE(YEAR_Y-2,12,31))=0,"",SUMIFS('Fund History'!$H$1042:$H$1046,'Fund History'!$G$1042:$G$1046,"&gt;="&amp;DATE(YEAR_Y-2,1,1),'Fund History'!$G$1042:$G$1046,"&lt;="&amp;DATE(YEAR_Y-2,12,31))/100)))</f>
        <v/>
      </c>
      <c r="AQ183" s="82">
        <f>IF($C183="","",IF(PULL_FUND="N","",IF(COUNTIFS('Fund History'!$G$1042:$G$1046,"&gt;="&amp;DATE(YEAR_Y-1,1,1),'Fund History'!$G$1042:$G$1046,"&lt;="&amp;DATE(YEAR_Y-1,12,31))=0,"",SUMIFS('Fund History'!$H$1042:$H$1046,'Fund History'!$G$1042:$G$1046,"&gt;="&amp;DATE(YEAR_Y-1,1,1),'Fund History'!$G$1042:$G$1046,"&lt;="&amp;DATE(YEAR_Y-1,12,31))/100)))</f>
        <v/>
      </c>
      <c r="AR183" s="83">
        <f>IF($C183="","",IF(N($AQ183)+N(HSCEI!$I$38)=0,"",N($AQ183)+N(HSCEI!$I$38)/100))</f>
        <v/>
      </c>
      <c r="AS183" s="75">
        <f>IF($C183="","",IF(PULL_FUND="N","",IF(COUNTIFS('Fund History'!$D$1042:$D$1046,"&gt;="&amp;DATE(YEAR_Y-2,1,1),'Fund History'!$D$1042:$D$1046,"&lt;="&amp;DATE(YEAR_Y-2,12,31))=0,"",SUMIFS('Fund History'!$E$1042:$E$1046,'Fund History'!$D$1042:$D$1046,"&gt;="&amp;DATE(YEAR_Y-2,1,1),'Fund History'!$D$1042:$D$1046,"&lt;="&amp;DATE(YEAR_Y-2,12,31)))))</f>
        <v/>
      </c>
      <c r="AT183" s="76">
        <f>IF($C183="","",IF(PULL_FUND="N","",IF(COUNTIFS('Fund History'!$D$1042:$D$1046,"&gt;="&amp;DATE(YEAR_Y-1,1,1),'Fund History'!$D$1042:$D$1046,"&lt;="&amp;DATE(YEAR_Y-1,12,31))=0,"",SUMIFS('Fund History'!$E$1042:$E$1046,'Fund History'!$D$1042:$D$1046,"&gt;="&amp;DATE(YEAR_Y-1,1,1),'Fund History'!$D$1042:$D$1046,"&lt;="&amp;DATE(YEAR_Y-1,12,31)))))</f>
        <v/>
      </c>
      <c r="AU183" s="76">
        <f>IF($C183="","",IF(PULL_FUND="N","",IFERROR(BDP($C183,NDEBITDA_FIELD),"")))</f>
        <v/>
      </c>
      <c r="AV183" s="84">
        <f>IF($C183="","",IF(PULL_FUND="N","",IFERROR(BDP($C183,EBINT_FIELD),"")))</f>
        <v/>
      </c>
      <c r="AW183" s="82">
        <f>IF($C183="","",IF(PULL_FUND="N","",IFERROR(BDP($C183,FCF_FIELD)/100,"")))</f>
        <v/>
      </c>
      <c r="AX183" s="50">
        <f>IF($C183="","",IF(N($U183)=0,"",IFERROR($AW183/$U183,"")))</f>
        <v/>
      </c>
      <c r="AY183" s="85">
        <f>IF($C183="","",TRIM(IF(ISNUMBER($AJ183)*(N($AJ183)&gt;$D$4)&gt;0,"payout high  ","")&amp;IF(ISNUMBER($AX183)*(N($AX183)&lt;$F$4)&gt;0,"FCF below dvd  ","")&amp;IF(ISNUMBER($AU183)*(N($AU183)&gt;$H$4)&gt;0,"leverage high","")))</f>
        <v/>
      </c>
      <c r="AZ183" s="86">
        <f>IF($C183="","",IF(HSCEI!$F$38="HKD","",HSCEI!$F$38))</f>
        <v/>
      </c>
    </row>
    <row r="184">
      <c r="B184" s="66" t="inlineStr">
        <is>
          <t>HSCEI</t>
        </is>
      </c>
      <c r="C184" s="8">
        <f>IF(HSCEI!$C$39="","",HSCEI!$C$39)</f>
        <v/>
      </c>
      <c r="D184" s="8">
        <f>IF($C184="","",HSCEI!$D$39)</f>
        <v/>
      </c>
      <c r="E184" s="8">
        <f>IF($C184="","",HSCEI!$E$39)</f>
        <v/>
      </c>
      <c r="F184" s="67">
        <f>IF($C184="","",SUMPRODUCT(('Dvd Calendar'!$E$1913:$AR$1913&gt;=DATE(YEAR_Y-5,1,1))*('Dvd Calendar'!$E$1913:$AR$1913&lt;=DATE(YEAR_Y-5,12,31))*'Dvd Calendar'!$E$1916:$AR$1916*(('Dvd Calendar'!$E$1918:$AR$1918=TYPE1)*(TYPE1&lt;&gt;"")+('Dvd Calendar'!$E$1918:$AR$1918=TYPE2)*(TYPE2&lt;&gt;"")+('Dvd Calendar'!$E$1918:$AR$1918=TYPE3)*(TYPE3&lt;&gt;"")+('Dvd Calendar'!$E$1918:$AR$1918=TYPE4)*(TYPE4&lt;&gt;"")+('Dvd Calendar'!$E$1918:$AR$1918=SPECIAL_LBL)*(INC_SPECIALS="Y"))))</f>
        <v/>
      </c>
      <c r="G184" s="68">
        <f>IF($C184="","",SUMPRODUCT(('Dvd Calendar'!$E$1913:$AR$1913&gt;=DATE(YEAR_Y-4,1,1))*('Dvd Calendar'!$E$1913:$AR$1913&lt;=DATE(YEAR_Y-4,12,31))*'Dvd Calendar'!$E$1916:$AR$1916*(('Dvd Calendar'!$E$1918:$AR$1918=TYPE1)*(TYPE1&lt;&gt;"")+('Dvd Calendar'!$E$1918:$AR$1918=TYPE2)*(TYPE2&lt;&gt;"")+('Dvd Calendar'!$E$1918:$AR$1918=TYPE3)*(TYPE3&lt;&gt;"")+('Dvd Calendar'!$E$1918:$AR$1918=TYPE4)*(TYPE4&lt;&gt;"")+('Dvd Calendar'!$E$1918:$AR$1918=SPECIAL_LBL)*(INC_SPECIALS="Y"))))</f>
        <v/>
      </c>
      <c r="H184" s="68">
        <f>IF($C184="","",SUMPRODUCT(('Dvd Calendar'!$E$1913:$AR$1913&gt;=DATE(YEAR_Y-3,1,1))*('Dvd Calendar'!$E$1913:$AR$1913&lt;=DATE(YEAR_Y-3,12,31))*'Dvd Calendar'!$E$1916:$AR$1916*(('Dvd Calendar'!$E$1918:$AR$1918=TYPE1)*(TYPE1&lt;&gt;"")+('Dvd Calendar'!$E$1918:$AR$1918=TYPE2)*(TYPE2&lt;&gt;"")+('Dvd Calendar'!$E$1918:$AR$1918=TYPE3)*(TYPE3&lt;&gt;"")+('Dvd Calendar'!$E$1918:$AR$1918=TYPE4)*(TYPE4&lt;&gt;"")+('Dvd Calendar'!$E$1918:$AR$1918=SPECIAL_LBL)*(INC_SPECIALS="Y"))))</f>
        <v/>
      </c>
      <c r="I184" s="68">
        <f>IF($C184="","",SUMPRODUCT(('Dvd Calendar'!$E$1913:$AR$1913&gt;=DATE(YEAR_Y-2,1,1))*('Dvd Calendar'!$E$1913:$AR$1913&lt;=DATE(YEAR_Y-2,12,31))*'Dvd Calendar'!$E$1916:$AR$1916*(('Dvd Calendar'!$E$1918:$AR$1918=TYPE1)*(TYPE1&lt;&gt;"")+('Dvd Calendar'!$E$1918:$AR$1918=TYPE2)*(TYPE2&lt;&gt;"")+('Dvd Calendar'!$E$1918:$AR$1918=TYPE3)*(TYPE3&lt;&gt;"")+('Dvd Calendar'!$E$1918:$AR$1918=TYPE4)*(TYPE4&lt;&gt;"")+('Dvd Calendar'!$E$1918:$AR$1918=SPECIAL_LBL)*(INC_SPECIALS="Y"))))</f>
        <v/>
      </c>
      <c r="J184" s="68">
        <f>IF($C184="","",SUMPRODUCT(('Dvd Calendar'!$E$1913:$AR$1913&gt;=DATE(YEAR_Y-1,1,1))*('Dvd Calendar'!$E$1913:$AR$1913&lt;=DATE(YEAR_Y-1,12,31))*'Dvd Calendar'!$E$1916:$AR$1916*(('Dvd Calendar'!$E$1918:$AR$1918=TYPE1)*(TYPE1&lt;&gt;"")+('Dvd Calendar'!$E$1918:$AR$1918=TYPE2)*(TYPE2&lt;&gt;"")+('Dvd Calendar'!$E$1918:$AR$1918=TYPE3)*(TYPE3&lt;&gt;"")+('Dvd Calendar'!$E$1918:$AR$1918=TYPE4)*(TYPE4&lt;&gt;"")+('Dvd Calendar'!$E$1918:$AR$1918=SPECIAL_LBL)*(INC_SPECIALS="Y"))))</f>
        <v/>
      </c>
      <c r="K184" s="69">
        <f>IF($C184="","",HSCEI!$J$39)</f>
        <v/>
      </c>
      <c r="L184" s="69">
        <f>IF($C184="","",HSCEI!$K$39)</f>
        <v/>
      </c>
      <c r="M184" s="44">
        <f>IF($C184="","",HSCEI!$J$39+HSCEI!$L$39)</f>
        <v/>
      </c>
      <c r="N184" s="70">
        <f>IF($C184="","",IF(PULL_FUND="N","",IFERROR(BDP($C184,BESTDPS_FIELD,FWD_OVERRIDE,TEXT(MOD(YEAR_Y,100),"00")&amp;"Y"),"")))</f>
        <v/>
      </c>
      <c r="O184" s="69">
        <f>IF($C184="","",AVERAGE(F184:J184))</f>
        <v/>
      </c>
      <c r="P184" s="71">
        <f>IF($C184="","",IF(PULL_FUND="N","",IF(COUNTIFS('Fund History'!$J$1048:$J$1052,"&gt;="&amp;DATE(YEAR_Y-5,1,1),'Fund History'!$J$1048:$J$1052,"&lt;="&amp;DATE(YEAR_Y-5,12,31))=0,"",IFERROR($F184*HSCEI!$G$39/SUMIFS('Fund History'!$K$1048:$K$1052,'Fund History'!$J$1048:$J$1052,"&gt;="&amp;DATE(YEAR_Y-5,1,1),'Fund History'!$J$1048:$J$1052,"&lt;="&amp;DATE(YEAR_Y-5,12,31)),""))))</f>
        <v/>
      </c>
      <c r="Q184" s="72">
        <f>IF($C184="","",IF(PULL_FUND="N","",IF(COUNTIFS('Fund History'!$J$1048:$J$1052,"&gt;="&amp;DATE(YEAR_Y-4,1,1),'Fund History'!$J$1048:$J$1052,"&lt;="&amp;DATE(YEAR_Y-4,12,31))=0,"",IFERROR($G184*HSCEI!$G$39/SUMIFS('Fund History'!$K$1048:$K$1052,'Fund History'!$J$1048:$J$1052,"&gt;="&amp;DATE(YEAR_Y-4,1,1),'Fund History'!$J$1048:$J$1052,"&lt;="&amp;DATE(YEAR_Y-4,12,31)),""))))</f>
        <v/>
      </c>
      <c r="R184" s="72">
        <f>IF($C184="","",IF(PULL_FUND="N","",IF(COUNTIFS('Fund History'!$J$1048:$J$1052,"&gt;="&amp;DATE(YEAR_Y-3,1,1),'Fund History'!$J$1048:$J$1052,"&lt;="&amp;DATE(YEAR_Y-3,12,31))=0,"",IFERROR($H184*HSCEI!$G$39/SUMIFS('Fund History'!$K$1048:$K$1052,'Fund History'!$J$1048:$J$1052,"&gt;="&amp;DATE(YEAR_Y-3,1,1),'Fund History'!$J$1048:$J$1052,"&lt;="&amp;DATE(YEAR_Y-3,12,31)),""))))</f>
        <v/>
      </c>
      <c r="S184" s="72">
        <f>IF($C184="","",IF(PULL_FUND="N","",IF(COUNTIFS('Fund History'!$J$1048:$J$1052,"&gt;="&amp;DATE(YEAR_Y-2,1,1),'Fund History'!$J$1048:$J$1052,"&lt;="&amp;DATE(YEAR_Y-2,12,31))=0,"",IFERROR($I184*HSCEI!$G$39/SUMIFS('Fund History'!$K$1048:$K$1052,'Fund History'!$J$1048:$J$1052,"&gt;="&amp;DATE(YEAR_Y-2,1,1),'Fund History'!$J$1048:$J$1052,"&lt;="&amp;DATE(YEAR_Y-2,12,31)),""))))</f>
        <v/>
      </c>
      <c r="T184" s="72">
        <f>IF($C184="","",IF(PULL_FUND="N","",IF(COUNTIFS('Fund History'!$J$1048:$J$1052,"&gt;="&amp;DATE(YEAR_Y-1,1,1),'Fund History'!$J$1048:$J$1052,"&lt;="&amp;DATE(YEAR_Y-1,12,31))=0,"",IFERROR($J184*HSCEI!$G$39/SUMIFS('Fund History'!$K$1048:$K$1052,'Fund History'!$J$1048:$J$1052,"&gt;="&amp;DATE(YEAR_Y-1,1,1),'Fund History'!$J$1048:$J$1052,"&lt;="&amp;DATE(YEAR_Y-1,12,31)),""))))</f>
        <v/>
      </c>
      <c r="U184" s="73">
        <f>IF($C184="","",IF(ISNUMBER(HSCEI!$I$39),HSCEI!$I$39/100,""))</f>
        <v/>
      </c>
      <c r="V184" s="74">
        <f>IF($C184="","",IF(ISNUMBER(HSCEI!$X$39),IFERROR($M184*HSCEI!$G$39/HSCEI!$X$39,""),""))</f>
        <v/>
      </c>
      <c r="W184" s="73">
        <f>IF($C184="","",IF(ISNUMBER($N184),IFERROR($N184*HSCEI!$G$39/HSCEI!$X$39,""),""))</f>
        <v/>
      </c>
      <c r="X184" s="75">
        <f>IF($C184="","",IF(PULL_FUND="N","",IFERROR(BDP($C184,EPS_FIELD,YR_OVERRIDE,TEXT(YEAR_Y-5,"0")),"")))</f>
        <v/>
      </c>
      <c r="Y184" s="76">
        <f>IF($C184="","",IF(PULL_FUND="N","",IFERROR(BDP($C184,EPS_FIELD,YR_OVERRIDE,TEXT(YEAR_Y-4,"0")),"")))</f>
        <v/>
      </c>
      <c r="Z184" s="76">
        <f>IF($C184="","",IF(PULL_FUND="N","",IFERROR(BDP($C184,EPS_FIELD,YR_OVERRIDE,TEXT(YEAR_Y-3,"0")),"")))</f>
        <v/>
      </c>
      <c r="AA184" s="76">
        <f>IF($C184="","",IF(PULL_FUND="N","",IFERROR(BDP($C184,EPS_FIELD,YR_OVERRIDE,TEXT(YEAR_Y-2,"0")),"")))</f>
        <v/>
      </c>
      <c r="AB184" s="76">
        <f>IF($C184="","",IF(PULL_FUND="N","",IFERROR(BDP($C184,EPS_FIELD,YR_OVERRIDE,TEXT(YEAR_Y-1,"0")),"")))</f>
        <v/>
      </c>
      <c r="AC184" s="50">
        <f>IF($C184="","",IFERROR(AVERAGE(X184:AB184),""))</f>
        <v/>
      </c>
      <c r="AD184" s="76">
        <f>IF($C184="","",IF(PULL_FUND="N","",IFERROR(BDP($C184,BESTEPS_FIELD,FWD_OVERRIDE,TEXT(MOD(YEAR_Y,100),"00")&amp;"Y"),"")))</f>
        <v/>
      </c>
      <c r="AE184" s="77">
        <f>IF($C184="","",IF(PULL_FUND="N","",IFERROR(BDP($C184,PAYOUT_FIELD,YR_OVERRIDE,TEXT(YEAR_Y-5,"0"))/100,"")))</f>
        <v/>
      </c>
      <c r="AF184" s="78">
        <f>IF($C184="","",IF(PULL_FUND="N","",IFERROR(BDP($C184,PAYOUT_FIELD,YR_OVERRIDE,TEXT(YEAR_Y-4,"0"))/100,"")))</f>
        <v/>
      </c>
      <c r="AG184" s="78">
        <f>IF($C184="","",IF(PULL_FUND="N","",IFERROR(BDP($C184,PAYOUT_FIELD,YR_OVERRIDE,TEXT(YEAR_Y-3,"0"))/100,"")))</f>
        <v/>
      </c>
      <c r="AH184" s="78">
        <f>IF($C184="","",IF(PULL_FUND="N","",IFERROR(BDP($C184,PAYOUT_FIELD,YR_OVERRIDE,TEXT(YEAR_Y-2,"0"))/100,"")))</f>
        <v/>
      </c>
      <c r="AI184" s="78">
        <f>IF($C184="","",IF(PULL_FUND="N","",IFERROR(BDP($C184,PAYOUT_FIELD,YR_OVERRIDE,TEXT(YEAR_Y-1,"0"))/100,"")))</f>
        <v/>
      </c>
      <c r="AJ184" s="79">
        <f>IF($C184="","",IFERROR(AVERAGE(AE184:AI184),""))</f>
        <v/>
      </c>
      <c r="AK184" s="80">
        <f>IF($C184="","",IF(ISNUMBER($AD184)*ISNUMBER($N184)*($AD184&lt;&gt;0)=0,"",$N184/$AD184))</f>
        <v/>
      </c>
      <c r="AL184" s="79">
        <f>IF($C184="","",IF(ISNUMBER($AD184)*($AD184&lt;&gt;0)=0,"",$M184/$AD184))</f>
        <v/>
      </c>
      <c r="AM184" s="37">
        <f>IF($C184="","",IF(ISNUMBER($AE184)*ISNUMBER($AI184)=0,"",IF($AI184&gt;$AE184+0.05,"rising",IF($AI184&lt;$AE184-0.05,"falling","stable"))))</f>
        <v/>
      </c>
      <c r="AN184" s="81">
        <f>IF($C184="","",IF(PULL_FUND="N","",IF(COUNTIFS('Fund History'!$G$1048:$G$1052,"&gt;="&amp;DATE(YEAR_Y-4,1,1),'Fund History'!$G$1048:$G$1052,"&lt;="&amp;DATE(YEAR_Y-4,12,31))=0,"",SUMIFS('Fund History'!$H$1048:$H$1052,'Fund History'!$G$1048:$G$1052,"&gt;="&amp;DATE(YEAR_Y-4,1,1),'Fund History'!$G$1048:$G$1052,"&lt;="&amp;DATE(YEAR_Y-4,12,31))/100)))</f>
        <v/>
      </c>
      <c r="AO184" s="82">
        <f>IF($C184="","",IF(PULL_FUND="N","",IF(COUNTIFS('Fund History'!$G$1048:$G$1052,"&gt;="&amp;DATE(YEAR_Y-3,1,1),'Fund History'!$G$1048:$G$1052,"&lt;="&amp;DATE(YEAR_Y-3,12,31))=0,"",SUMIFS('Fund History'!$H$1048:$H$1052,'Fund History'!$G$1048:$G$1052,"&gt;="&amp;DATE(YEAR_Y-3,1,1),'Fund History'!$G$1048:$G$1052,"&lt;="&amp;DATE(YEAR_Y-3,12,31))/100)))</f>
        <v/>
      </c>
      <c r="AP184" s="82">
        <f>IF($C184="","",IF(PULL_FUND="N","",IF(COUNTIFS('Fund History'!$G$1048:$G$1052,"&gt;="&amp;DATE(YEAR_Y-2,1,1),'Fund History'!$G$1048:$G$1052,"&lt;="&amp;DATE(YEAR_Y-2,12,31))=0,"",SUMIFS('Fund History'!$H$1048:$H$1052,'Fund History'!$G$1048:$G$1052,"&gt;="&amp;DATE(YEAR_Y-2,1,1),'Fund History'!$G$1048:$G$1052,"&lt;="&amp;DATE(YEAR_Y-2,12,31))/100)))</f>
        <v/>
      </c>
      <c r="AQ184" s="82">
        <f>IF($C184="","",IF(PULL_FUND="N","",IF(COUNTIFS('Fund History'!$G$1048:$G$1052,"&gt;="&amp;DATE(YEAR_Y-1,1,1),'Fund History'!$G$1048:$G$1052,"&lt;="&amp;DATE(YEAR_Y-1,12,31))=0,"",SUMIFS('Fund History'!$H$1048:$H$1052,'Fund History'!$G$1048:$G$1052,"&gt;="&amp;DATE(YEAR_Y-1,1,1),'Fund History'!$G$1048:$G$1052,"&lt;="&amp;DATE(YEAR_Y-1,12,31))/100)))</f>
        <v/>
      </c>
      <c r="AR184" s="83">
        <f>IF($C184="","",IF(N($AQ184)+N(HSCEI!$I$39)=0,"",N($AQ184)+N(HSCEI!$I$39)/100))</f>
        <v/>
      </c>
      <c r="AS184" s="75">
        <f>IF($C184="","",IF(PULL_FUND="N","",IF(COUNTIFS('Fund History'!$D$1048:$D$1052,"&gt;="&amp;DATE(YEAR_Y-2,1,1),'Fund History'!$D$1048:$D$1052,"&lt;="&amp;DATE(YEAR_Y-2,12,31))=0,"",SUMIFS('Fund History'!$E$1048:$E$1052,'Fund History'!$D$1048:$D$1052,"&gt;="&amp;DATE(YEAR_Y-2,1,1),'Fund History'!$D$1048:$D$1052,"&lt;="&amp;DATE(YEAR_Y-2,12,31)))))</f>
        <v/>
      </c>
      <c r="AT184" s="76">
        <f>IF($C184="","",IF(PULL_FUND="N","",IF(COUNTIFS('Fund History'!$D$1048:$D$1052,"&gt;="&amp;DATE(YEAR_Y-1,1,1),'Fund History'!$D$1048:$D$1052,"&lt;="&amp;DATE(YEAR_Y-1,12,31))=0,"",SUMIFS('Fund History'!$E$1048:$E$1052,'Fund History'!$D$1048:$D$1052,"&gt;="&amp;DATE(YEAR_Y-1,1,1),'Fund History'!$D$1048:$D$1052,"&lt;="&amp;DATE(YEAR_Y-1,12,31)))))</f>
        <v/>
      </c>
      <c r="AU184" s="76">
        <f>IF($C184="","",IF(PULL_FUND="N","",IFERROR(BDP($C184,NDEBITDA_FIELD),"")))</f>
        <v/>
      </c>
      <c r="AV184" s="84">
        <f>IF($C184="","",IF(PULL_FUND="N","",IFERROR(BDP($C184,EBINT_FIELD),"")))</f>
        <v/>
      </c>
      <c r="AW184" s="82">
        <f>IF($C184="","",IF(PULL_FUND="N","",IFERROR(BDP($C184,FCF_FIELD)/100,"")))</f>
        <v/>
      </c>
      <c r="AX184" s="50">
        <f>IF($C184="","",IF(N($U184)=0,"",IFERROR($AW184/$U184,"")))</f>
        <v/>
      </c>
      <c r="AY184" s="85">
        <f>IF($C184="","",TRIM(IF(ISNUMBER($AJ184)*(N($AJ184)&gt;$D$4)&gt;0,"payout high  ","")&amp;IF(ISNUMBER($AX184)*(N($AX184)&lt;$F$4)&gt;0,"FCF below dvd  ","")&amp;IF(ISNUMBER($AU184)*(N($AU184)&gt;$H$4)&gt;0,"leverage high","")))</f>
        <v/>
      </c>
      <c r="AZ184" s="86">
        <f>IF($C184="","",IF(HSCEI!$F$39="HKD","",HSCEI!$F$39))</f>
        <v/>
      </c>
    </row>
    <row r="185">
      <c r="B185" s="66" t="inlineStr">
        <is>
          <t>HSCEI</t>
        </is>
      </c>
      <c r="C185" s="8">
        <f>IF(HSCEI!$C$40="","",HSCEI!$C$40)</f>
        <v/>
      </c>
      <c r="D185" s="8">
        <f>IF($C185="","",HSCEI!$D$40)</f>
        <v/>
      </c>
      <c r="E185" s="8">
        <f>IF($C185="","",HSCEI!$E$40)</f>
        <v/>
      </c>
      <c r="F185" s="67">
        <f>IF($C185="","",SUMPRODUCT(('Dvd Calendar'!$E$1924:$AR$1924&gt;=DATE(YEAR_Y-5,1,1))*('Dvd Calendar'!$E$1924:$AR$1924&lt;=DATE(YEAR_Y-5,12,31))*'Dvd Calendar'!$E$1927:$AR$1927*(('Dvd Calendar'!$E$1929:$AR$1929=TYPE1)*(TYPE1&lt;&gt;"")+('Dvd Calendar'!$E$1929:$AR$1929=TYPE2)*(TYPE2&lt;&gt;"")+('Dvd Calendar'!$E$1929:$AR$1929=TYPE3)*(TYPE3&lt;&gt;"")+('Dvd Calendar'!$E$1929:$AR$1929=TYPE4)*(TYPE4&lt;&gt;"")+('Dvd Calendar'!$E$1929:$AR$1929=SPECIAL_LBL)*(INC_SPECIALS="Y"))))</f>
        <v/>
      </c>
      <c r="G185" s="68">
        <f>IF($C185="","",SUMPRODUCT(('Dvd Calendar'!$E$1924:$AR$1924&gt;=DATE(YEAR_Y-4,1,1))*('Dvd Calendar'!$E$1924:$AR$1924&lt;=DATE(YEAR_Y-4,12,31))*'Dvd Calendar'!$E$1927:$AR$1927*(('Dvd Calendar'!$E$1929:$AR$1929=TYPE1)*(TYPE1&lt;&gt;"")+('Dvd Calendar'!$E$1929:$AR$1929=TYPE2)*(TYPE2&lt;&gt;"")+('Dvd Calendar'!$E$1929:$AR$1929=TYPE3)*(TYPE3&lt;&gt;"")+('Dvd Calendar'!$E$1929:$AR$1929=TYPE4)*(TYPE4&lt;&gt;"")+('Dvd Calendar'!$E$1929:$AR$1929=SPECIAL_LBL)*(INC_SPECIALS="Y"))))</f>
        <v/>
      </c>
      <c r="H185" s="68">
        <f>IF($C185="","",SUMPRODUCT(('Dvd Calendar'!$E$1924:$AR$1924&gt;=DATE(YEAR_Y-3,1,1))*('Dvd Calendar'!$E$1924:$AR$1924&lt;=DATE(YEAR_Y-3,12,31))*'Dvd Calendar'!$E$1927:$AR$1927*(('Dvd Calendar'!$E$1929:$AR$1929=TYPE1)*(TYPE1&lt;&gt;"")+('Dvd Calendar'!$E$1929:$AR$1929=TYPE2)*(TYPE2&lt;&gt;"")+('Dvd Calendar'!$E$1929:$AR$1929=TYPE3)*(TYPE3&lt;&gt;"")+('Dvd Calendar'!$E$1929:$AR$1929=TYPE4)*(TYPE4&lt;&gt;"")+('Dvd Calendar'!$E$1929:$AR$1929=SPECIAL_LBL)*(INC_SPECIALS="Y"))))</f>
        <v/>
      </c>
      <c r="I185" s="68">
        <f>IF($C185="","",SUMPRODUCT(('Dvd Calendar'!$E$1924:$AR$1924&gt;=DATE(YEAR_Y-2,1,1))*('Dvd Calendar'!$E$1924:$AR$1924&lt;=DATE(YEAR_Y-2,12,31))*'Dvd Calendar'!$E$1927:$AR$1927*(('Dvd Calendar'!$E$1929:$AR$1929=TYPE1)*(TYPE1&lt;&gt;"")+('Dvd Calendar'!$E$1929:$AR$1929=TYPE2)*(TYPE2&lt;&gt;"")+('Dvd Calendar'!$E$1929:$AR$1929=TYPE3)*(TYPE3&lt;&gt;"")+('Dvd Calendar'!$E$1929:$AR$1929=TYPE4)*(TYPE4&lt;&gt;"")+('Dvd Calendar'!$E$1929:$AR$1929=SPECIAL_LBL)*(INC_SPECIALS="Y"))))</f>
        <v/>
      </c>
      <c r="J185" s="68">
        <f>IF($C185="","",SUMPRODUCT(('Dvd Calendar'!$E$1924:$AR$1924&gt;=DATE(YEAR_Y-1,1,1))*('Dvd Calendar'!$E$1924:$AR$1924&lt;=DATE(YEAR_Y-1,12,31))*'Dvd Calendar'!$E$1927:$AR$1927*(('Dvd Calendar'!$E$1929:$AR$1929=TYPE1)*(TYPE1&lt;&gt;"")+('Dvd Calendar'!$E$1929:$AR$1929=TYPE2)*(TYPE2&lt;&gt;"")+('Dvd Calendar'!$E$1929:$AR$1929=TYPE3)*(TYPE3&lt;&gt;"")+('Dvd Calendar'!$E$1929:$AR$1929=TYPE4)*(TYPE4&lt;&gt;"")+('Dvd Calendar'!$E$1929:$AR$1929=SPECIAL_LBL)*(INC_SPECIALS="Y"))))</f>
        <v/>
      </c>
      <c r="K185" s="69">
        <f>IF($C185="","",HSCEI!$J$40)</f>
        <v/>
      </c>
      <c r="L185" s="69">
        <f>IF($C185="","",HSCEI!$K$40)</f>
        <v/>
      </c>
      <c r="M185" s="44">
        <f>IF($C185="","",HSCEI!$J$40+HSCEI!$L$40)</f>
        <v/>
      </c>
      <c r="N185" s="70">
        <f>IF($C185="","",IF(PULL_FUND="N","",IFERROR(BDP($C185,BESTDPS_FIELD,FWD_OVERRIDE,TEXT(MOD(YEAR_Y,100),"00")&amp;"Y"),"")))</f>
        <v/>
      </c>
      <c r="O185" s="69">
        <f>IF($C185="","",AVERAGE(F185:J185))</f>
        <v/>
      </c>
      <c r="P185" s="71">
        <f>IF($C185="","",IF(PULL_FUND="N","",IF(COUNTIFS('Fund History'!$J$1054:$J$1058,"&gt;="&amp;DATE(YEAR_Y-5,1,1),'Fund History'!$J$1054:$J$1058,"&lt;="&amp;DATE(YEAR_Y-5,12,31))=0,"",IFERROR($F185*HSCEI!$G$40/SUMIFS('Fund History'!$K$1054:$K$1058,'Fund History'!$J$1054:$J$1058,"&gt;="&amp;DATE(YEAR_Y-5,1,1),'Fund History'!$J$1054:$J$1058,"&lt;="&amp;DATE(YEAR_Y-5,12,31)),""))))</f>
        <v/>
      </c>
      <c r="Q185" s="72">
        <f>IF($C185="","",IF(PULL_FUND="N","",IF(COUNTIFS('Fund History'!$J$1054:$J$1058,"&gt;="&amp;DATE(YEAR_Y-4,1,1),'Fund History'!$J$1054:$J$1058,"&lt;="&amp;DATE(YEAR_Y-4,12,31))=0,"",IFERROR($G185*HSCEI!$G$40/SUMIFS('Fund History'!$K$1054:$K$1058,'Fund History'!$J$1054:$J$1058,"&gt;="&amp;DATE(YEAR_Y-4,1,1),'Fund History'!$J$1054:$J$1058,"&lt;="&amp;DATE(YEAR_Y-4,12,31)),""))))</f>
        <v/>
      </c>
      <c r="R185" s="72">
        <f>IF($C185="","",IF(PULL_FUND="N","",IF(COUNTIFS('Fund History'!$J$1054:$J$1058,"&gt;="&amp;DATE(YEAR_Y-3,1,1),'Fund History'!$J$1054:$J$1058,"&lt;="&amp;DATE(YEAR_Y-3,12,31))=0,"",IFERROR($H185*HSCEI!$G$40/SUMIFS('Fund History'!$K$1054:$K$1058,'Fund History'!$J$1054:$J$1058,"&gt;="&amp;DATE(YEAR_Y-3,1,1),'Fund History'!$J$1054:$J$1058,"&lt;="&amp;DATE(YEAR_Y-3,12,31)),""))))</f>
        <v/>
      </c>
      <c r="S185" s="72">
        <f>IF($C185="","",IF(PULL_FUND="N","",IF(COUNTIFS('Fund History'!$J$1054:$J$1058,"&gt;="&amp;DATE(YEAR_Y-2,1,1),'Fund History'!$J$1054:$J$1058,"&lt;="&amp;DATE(YEAR_Y-2,12,31))=0,"",IFERROR($I185*HSCEI!$G$40/SUMIFS('Fund History'!$K$1054:$K$1058,'Fund History'!$J$1054:$J$1058,"&gt;="&amp;DATE(YEAR_Y-2,1,1),'Fund History'!$J$1054:$J$1058,"&lt;="&amp;DATE(YEAR_Y-2,12,31)),""))))</f>
        <v/>
      </c>
      <c r="T185" s="72">
        <f>IF($C185="","",IF(PULL_FUND="N","",IF(COUNTIFS('Fund History'!$J$1054:$J$1058,"&gt;="&amp;DATE(YEAR_Y-1,1,1),'Fund History'!$J$1054:$J$1058,"&lt;="&amp;DATE(YEAR_Y-1,12,31))=0,"",IFERROR($J185*HSCEI!$G$40/SUMIFS('Fund History'!$K$1054:$K$1058,'Fund History'!$J$1054:$J$1058,"&gt;="&amp;DATE(YEAR_Y-1,1,1),'Fund History'!$J$1054:$J$1058,"&lt;="&amp;DATE(YEAR_Y-1,12,31)),""))))</f>
        <v/>
      </c>
      <c r="U185" s="73">
        <f>IF($C185="","",IF(ISNUMBER(HSCEI!$I$40),HSCEI!$I$40/100,""))</f>
        <v/>
      </c>
      <c r="V185" s="74">
        <f>IF($C185="","",IF(ISNUMBER(HSCEI!$X$40),IFERROR($M185*HSCEI!$G$40/HSCEI!$X$40,""),""))</f>
        <v/>
      </c>
      <c r="W185" s="73">
        <f>IF($C185="","",IF(ISNUMBER($N185),IFERROR($N185*HSCEI!$G$40/HSCEI!$X$40,""),""))</f>
        <v/>
      </c>
      <c r="X185" s="75">
        <f>IF($C185="","",IF(PULL_FUND="N","",IFERROR(BDP($C185,EPS_FIELD,YR_OVERRIDE,TEXT(YEAR_Y-5,"0")),"")))</f>
        <v/>
      </c>
      <c r="Y185" s="76">
        <f>IF($C185="","",IF(PULL_FUND="N","",IFERROR(BDP($C185,EPS_FIELD,YR_OVERRIDE,TEXT(YEAR_Y-4,"0")),"")))</f>
        <v/>
      </c>
      <c r="Z185" s="76">
        <f>IF($C185="","",IF(PULL_FUND="N","",IFERROR(BDP($C185,EPS_FIELD,YR_OVERRIDE,TEXT(YEAR_Y-3,"0")),"")))</f>
        <v/>
      </c>
      <c r="AA185" s="76">
        <f>IF($C185="","",IF(PULL_FUND="N","",IFERROR(BDP($C185,EPS_FIELD,YR_OVERRIDE,TEXT(YEAR_Y-2,"0")),"")))</f>
        <v/>
      </c>
      <c r="AB185" s="76">
        <f>IF($C185="","",IF(PULL_FUND="N","",IFERROR(BDP($C185,EPS_FIELD,YR_OVERRIDE,TEXT(YEAR_Y-1,"0")),"")))</f>
        <v/>
      </c>
      <c r="AC185" s="50">
        <f>IF($C185="","",IFERROR(AVERAGE(X185:AB185),""))</f>
        <v/>
      </c>
      <c r="AD185" s="76">
        <f>IF($C185="","",IF(PULL_FUND="N","",IFERROR(BDP($C185,BESTEPS_FIELD,FWD_OVERRIDE,TEXT(MOD(YEAR_Y,100),"00")&amp;"Y"),"")))</f>
        <v/>
      </c>
      <c r="AE185" s="77">
        <f>IF($C185="","",IF(PULL_FUND="N","",IFERROR(BDP($C185,PAYOUT_FIELD,YR_OVERRIDE,TEXT(YEAR_Y-5,"0"))/100,"")))</f>
        <v/>
      </c>
      <c r="AF185" s="78">
        <f>IF($C185="","",IF(PULL_FUND="N","",IFERROR(BDP($C185,PAYOUT_FIELD,YR_OVERRIDE,TEXT(YEAR_Y-4,"0"))/100,"")))</f>
        <v/>
      </c>
      <c r="AG185" s="78">
        <f>IF($C185="","",IF(PULL_FUND="N","",IFERROR(BDP($C185,PAYOUT_FIELD,YR_OVERRIDE,TEXT(YEAR_Y-3,"0"))/100,"")))</f>
        <v/>
      </c>
      <c r="AH185" s="78">
        <f>IF($C185="","",IF(PULL_FUND="N","",IFERROR(BDP($C185,PAYOUT_FIELD,YR_OVERRIDE,TEXT(YEAR_Y-2,"0"))/100,"")))</f>
        <v/>
      </c>
      <c r="AI185" s="78">
        <f>IF($C185="","",IF(PULL_FUND="N","",IFERROR(BDP($C185,PAYOUT_FIELD,YR_OVERRIDE,TEXT(YEAR_Y-1,"0"))/100,"")))</f>
        <v/>
      </c>
      <c r="AJ185" s="79">
        <f>IF($C185="","",IFERROR(AVERAGE(AE185:AI185),""))</f>
        <v/>
      </c>
      <c r="AK185" s="80">
        <f>IF($C185="","",IF(ISNUMBER($AD185)*ISNUMBER($N185)*($AD185&lt;&gt;0)=0,"",$N185/$AD185))</f>
        <v/>
      </c>
      <c r="AL185" s="79">
        <f>IF($C185="","",IF(ISNUMBER($AD185)*($AD185&lt;&gt;0)=0,"",$M185/$AD185))</f>
        <v/>
      </c>
      <c r="AM185" s="37">
        <f>IF($C185="","",IF(ISNUMBER($AE185)*ISNUMBER($AI185)=0,"",IF($AI185&gt;$AE185+0.05,"rising",IF($AI185&lt;$AE185-0.05,"falling","stable"))))</f>
        <v/>
      </c>
      <c r="AN185" s="81">
        <f>IF($C185="","",IF(PULL_FUND="N","",IF(COUNTIFS('Fund History'!$G$1054:$G$1058,"&gt;="&amp;DATE(YEAR_Y-4,1,1),'Fund History'!$G$1054:$G$1058,"&lt;="&amp;DATE(YEAR_Y-4,12,31))=0,"",SUMIFS('Fund History'!$H$1054:$H$1058,'Fund History'!$G$1054:$G$1058,"&gt;="&amp;DATE(YEAR_Y-4,1,1),'Fund History'!$G$1054:$G$1058,"&lt;="&amp;DATE(YEAR_Y-4,12,31))/100)))</f>
        <v/>
      </c>
      <c r="AO185" s="82">
        <f>IF($C185="","",IF(PULL_FUND="N","",IF(COUNTIFS('Fund History'!$G$1054:$G$1058,"&gt;="&amp;DATE(YEAR_Y-3,1,1),'Fund History'!$G$1054:$G$1058,"&lt;="&amp;DATE(YEAR_Y-3,12,31))=0,"",SUMIFS('Fund History'!$H$1054:$H$1058,'Fund History'!$G$1054:$G$1058,"&gt;="&amp;DATE(YEAR_Y-3,1,1),'Fund History'!$G$1054:$G$1058,"&lt;="&amp;DATE(YEAR_Y-3,12,31))/100)))</f>
        <v/>
      </c>
      <c r="AP185" s="82">
        <f>IF($C185="","",IF(PULL_FUND="N","",IF(COUNTIFS('Fund History'!$G$1054:$G$1058,"&gt;="&amp;DATE(YEAR_Y-2,1,1),'Fund History'!$G$1054:$G$1058,"&lt;="&amp;DATE(YEAR_Y-2,12,31))=0,"",SUMIFS('Fund History'!$H$1054:$H$1058,'Fund History'!$G$1054:$G$1058,"&gt;="&amp;DATE(YEAR_Y-2,1,1),'Fund History'!$G$1054:$G$1058,"&lt;="&amp;DATE(YEAR_Y-2,12,31))/100)))</f>
        <v/>
      </c>
      <c r="AQ185" s="82">
        <f>IF($C185="","",IF(PULL_FUND="N","",IF(COUNTIFS('Fund History'!$G$1054:$G$1058,"&gt;="&amp;DATE(YEAR_Y-1,1,1),'Fund History'!$G$1054:$G$1058,"&lt;="&amp;DATE(YEAR_Y-1,12,31))=0,"",SUMIFS('Fund History'!$H$1054:$H$1058,'Fund History'!$G$1054:$G$1058,"&gt;="&amp;DATE(YEAR_Y-1,1,1),'Fund History'!$G$1054:$G$1058,"&lt;="&amp;DATE(YEAR_Y-1,12,31))/100)))</f>
        <v/>
      </c>
      <c r="AR185" s="83">
        <f>IF($C185="","",IF(N($AQ185)+N(HSCEI!$I$40)=0,"",N($AQ185)+N(HSCEI!$I$40)/100))</f>
        <v/>
      </c>
      <c r="AS185" s="75">
        <f>IF($C185="","",IF(PULL_FUND="N","",IF(COUNTIFS('Fund History'!$D$1054:$D$1058,"&gt;="&amp;DATE(YEAR_Y-2,1,1),'Fund History'!$D$1054:$D$1058,"&lt;="&amp;DATE(YEAR_Y-2,12,31))=0,"",SUMIFS('Fund History'!$E$1054:$E$1058,'Fund History'!$D$1054:$D$1058,"&gt;="&amp;DATE(YEAR_Y-2,1,1),'Fund History'!$D$1054:$D$1058,"&lt;="&amp;DATE(YEAR_Y-2,12,31)))))</f>
        <v/>
      </c>
      <c r="AT185" s="76">
        <f>IF($C185="","",IF(PULL_FUND="N","",IF(COUNTIFS('Fund History'!$D$1054:$D$1058,"&gt;="&amp;DATE(YEAR_Y-1,1,1),'Fund History'!$D$1054:$D$1058,"&lt;="&amp;DATE(YEAR_Y-1,12,31))=0,"",SUMIFS('Fund History'!$E$1054:$E$1058,'Fund History'!$D$1054:$D$1058,"&gt;="&amp;DATE(YEAR_Y-1,1,1),'Fund History'!$D$1054:$D$1058,"&lt;="&amp;DATE(YEAR_Y-1,12,31)))))</f>
        <v/>
      </c>
      <c r="AU185" s="76">
        <f>IF($C185="","",IF(PULL_FUND="N","",IFERROR(BDP($C185,NDEBITDA_FIELD),"")))</f>
        <v/>
      </c>
      <c r="AV185" s="84">
        <f>IF($C185="","",IF(PULL_FUND="N","",IFERROR(BDP($C185,EBINT_FIELD),"")))</f>
        <v/>
      </c>
      <c r="AW185" s="82">
        <f>IF($C185="","",IF(PULL_FUND="N","",IFERROR(BDP($C185,FCF_FIELD)/100,"")))</f>
        <v/>
      </c>
      <c r="AX185" s="50">
        <f>IF($C185="","",IF(N($U185)=0,"",IFERROR($AW185/$U185,"")))</f>
        <v/>
      </c>
      <c r="AY185" s="85">
        <f>IF($C185="","",TRIM(IF(ISNUMBER($AJ185)*(N($AJ185)&gt;$D$4)&gt;0,"payout high  ","")&amp;IF(ISNUMBER($AX185)*(N($AX185)&lt;$F$4)&gt;0,"FCF below dvd  ","")&amp;IF(ISNUMBER($AU185)*(N($AU185)&gt;$H$4)&gt;0,"leverage high","")))</f>
        <v/>
      </c>
      <c r="AZ185" s="86">
        <f>IF($C185="","",IF(HSCEI!$F$40="HKD","",HSCEI!$F$40))</f>
        <v/>
      </c>
    </row>
    <row r="186">
      <c r="B186" s="66" t="inlineStr">
        <is>
          <t>HSCEI</t>
        </is>
      </c>
      <c r="C186" s="8">
        <f>IF(HSCEI!$C$41="","",HSCEI!$C$41)</f>
        <v/>
      </c>
      <c r="D186" s="8">
        <f>IF($C186="","",HSCEI!$D$41)</f>
        <v/>
      </c>
      <c r="E186" s="8">
        <f>IF($C186="","",HSCEI!$E$41)</f>
        <v/>
      </c>
      <c r="F186" s="67">
        <f>IF($C186="","",SUMPRODUCT(('Dvd Calendar'!$E$1935:$AR$1935&gt;=DATE(YEAR_Y-5,1,1))*('Dvd Calendar'!$E$1935:$AR$1935&lt;=DATE(YEAR_Y-5,12,31))*'Dvd Calendar'!$E$1938:$AR$1938*(('Dvd Calendar'!$E$1940:$AR$1940=TYPE1)*(TYPE1&lt;&gt;"")+('Dvd Calendar'!$E$1940:$AR$1940=TYPE2)*(TYPE2&lt;&gt;"")+('Dvd Calendar'!$E$1940:$AR$1940=TYPE3)*(TYPE3&lt;&gt;"")+('Dvd Calendar'!$E$1940:$AR$1940=TYPE4)*(TYPE4&lt;&gt;"")+('Dvd Calendar'!$E$1940:$AR$1940=SPECIAL_LBL)*(INC_SPECIALS="Y"))))</f>
        <v/>
      </c>
      <c r="G186" s="68">
        <f>IF($C186="","",SUMPRODUCT(('Dvd Calendar'!$E$1935:$AR$1935&gt;=DATE(YEAR_Y-4,1,1))*('Dvd Calendar'!$E$1935:$AR$1935&lt;=DATE(YEAR_Y-4,12,31))*'Dvd Calendar'!$E$1938:$AR$1938*(('Dvd Calendar'!$E$1940:$AR$1940=TYPE1)*(TYPE1&lt;&gt;"")+('Dvd Calendar'!$E$1940:$AR$1940=TYPE2)*(TYPE2&lt;&gt;"")+('Dvd Calendar'!$E$1940:$AR$1940=TYPE3)*(TYPE3&lt;&gt;"")+('Dvd Calendar'!$E$1940:$AR$1940=TYPE4)*(TYPE4&lt;&gt;"")+('Dvd Calendar'!$E$1940:$AR$1940=SPECIAL_LBL)*(INC_SPECIALS="Y"))))</f>
        <v/>
      </c>
      <c r="H186" s="68">
        <f>IF($C186="","",SUMPRODUCT(('Dvd Calendar'!$E$1935:$AR$1935&gt;=DATE(YEAR_Y-3,1,1))*('Dvd Calendar'!$E$1935:$AR$1935&lt;=DATE(YEAR_Y-3,12,31))*'Dvd Calendar'!$E$1938:$AR$1938*(('Dvd Calendar'!$E$1940:$AR$1940=TYPE1)*(TYPE1&lt;&gt;"")+('Dvd Calendar'!$E$1940:$AR$1940=TYPE2)*(TYPE2&lt;&gt;"")+('Dvd Calendar'!$E$1940:$AR$1940=TYPE3)*(TYPE3&lt;&gt;"")+('Dvd Calendar'!$E$1940:$AR$1940=TYPE4)*(TYPE4&lt;&gt;"")+('Dvd Calendar'!$E$1940:$AR$1940=SPECIAL_LBL)*(INC_SPECIALS="Y"))))</f>
        <v/>
      </c>
      <c r="I186" s="68">
        <f>IF($C186="","",SUMPRODUCT(('Dvd Calendar'!$E$1935:$AR$1935&gt;=DATE(YEAR_Y-2,1,1))*('Dvd Calendar'!$E$1935:$AR$1935&lt;=DATE(YEAR_Y-2,12,31))*'Dvd Calendar'!$E$1938:$AR$1938*(('Dvd Calendar'!$E$1940:$AR$1940=TYPE1)*(TYPE1&lt;&gt;"")+('Dvd Calendar'!$E$1940:$AR$1940=TYPE2)*(TYPE2&lt;&gt;"")+('Dvd Calendar'!$E$1940:$AR$1940=TYPE3)*(TYPE3&lt;&gt;"")+('Dvd Calendar'!$E$1940:$AR$1940=TYPE4)*(TYPE4&lt;&gt;"")+('Dvd Calendar'!$E$1940:$AR$1940=SPECIAL_LBL)*(INC_SPECIALS="Y"))))</f>
        <v/>
      </c>
      <c r="J186" s="68">
        <f>IF($C186="","",SUMPRODUCT(('Dvd Calendar'!$E$1935:$AR$1935&gt;=DATE(YEAR_Y-1,1,1))*('Dvd Calendar'!$E$1935:$AR$1935&lt;=DATE(YEAR_Y-1,12,31))*'Dvd Calendar'!$E$1938:$AR$1938*(('Dvd Calendar'!$E$1940:$AR$1940=TYPE1)*(TYPE1&lt;&gt;"")+('Dvd Calendar'!$E$1940:$AR$1940=TYPE2)*(TYPE2&lt;&gt;"")+('Dvd Calendar'!$E$1940:$AR$1940=TYPE3)*(TYPE3&lt;&gt;"")+('Dvd Calendar'!$E$1940:$AR$1940=TYPE4)*(TYPE4&lt;&gt;"")+('Dvd Calendar'!$E$1940:$AR$1940=SPECIAL_LBL)*(INC_SPECIALS="Y"))))</f>
        <v/>
      </c>
      <c r="K186" s="69">
        <f>IF($C186="","",HSCEI!$J$41)</f>
        <v/>
      </c>
      <c r="L186" s="69">
        <f>IF($C186="","",HSCEI!$K$41)</f>
        <v/>
      </c>
      <c r="M186" s="44">
        <f>IF($C186="","",HSCEI!$J$41+HSCEI!$L$41)</f>
        <v/>
      </c>
      <c r="N186" s="70">
        <f>IF($C186="","",IF(PULL_FUND="N","",IFERROR(BDP($C186,BESTDPS_FIELD,FWD_OVERRIDE,TEXT(MOD(YEAR_Y,100),"00")&amp;"Y"),"")))</f>
        <v/>
      </c>
      <c r="O186" s="69">
        <f>IF($C186="","",AVERAGE(F186:J186))</f>
        <v/>
      </c>
      <c r="P186" s="71">
        <f>IF($C186="","",IF(PULL_FUND="N","",IF(COUNTIFS('Fund History'!$J$1060:$J$1064,"&gt;="&amp;DATE(YEAR_Y-5,1,1),'Fund History'!$J$1060:$J$1064,"&lt;="&amp;DATE(YEAR_Y-5,12,31))=0,"",IFERROR($F186*HSCEI!$G$41/SUMIFS('Fund History'!$K$1060:$K$1064,'Fund History'!$J$1060:$J$1064,"&gt;="&amp;DATE(YEAR_Y-5,1,1),'Fund History'!$J$1060:$J$1064,"&lt;="&amp;DATE(YEAR_Y-5,12,31)),""))))</f>
        <v/>
      </c>
      <c r="Q186" s="72">
        <f>IF($C186="","",IF(PULL_FUND="N","",IF(COUNTIFS('Fund History'!$J$1060:$J$1064,"&gt;="&amp;DATE(YEAR_Y-4,1,1),'Fund History'!$J$1060:$J$1064,"&lt;="&amp;DATE(YEAR_Y-4,12,31))=0,"",IFERROR($G186*HSCEI!$G$41/SUMIFS('Fund History'!$K$1060:$K$1064,'Fund History'!$J$1060:$J$1064,"&gt;="&amp;DATE(YEAR_Y-4,1,1),'Fund History'!$J$1060:$J$1064,"&lt;="&amp;DATE(YEAR_Y-4,12,31)),""))))</f>
        <v/>
      </c>
      <c r="R186" s="72">
        <f>IF($C186="","",IF(PULL_FUND="N","",IF(COUNTIFS('Fund History'!$J$1060:$J$1064,"&gt;="&amp;DATE(YEAR_Y-3,1,1),'Fund History'!$J$1060:$J$1064,"&lt;="&amp;DATE(YEAR_Y-3,12,31))=0,"",IFERROR($H186*HSCEI!$G$41/SUMIFS('Fund History'!$K$1060:$K$1064,'Fund History'!$J$1060:$J$1064,"&gt;="&amp;DATE(YEAR_Y-3,1,1),'Fund History'!$J$1060:$J$1064,"&lt;="&amp;DATE(YEAR_Y-3,12,31)),""))))</f>
        <v/>
      </c>
      <c r="S186" s="72">
        <f>IF($C186="","",IF(PULL_FUND="N","",IF(COUNTIFS('Fund History'!$J$1060:$J$1064,"&gt;="&amp;DATE(YEAR_Y-2,1,1),'Fund History'!$J$1060:$J$1064,"&lt;="&amp;DATE(YEAR_Y-2,12,31))=0,"",IFERROR($I186*HSCEI!$G$41/SUMIFS('Fund History'!$K$1060:$K$1064,'Fund History'!$J$1060:$J$1064,"&gt;="&amp;DATE(YEAR_Y-2,1,1),'Fund History'!$J$1060:$J$1064,"&lt;="&amp;DATE(YEAR_Y-2,12,31)),""))))</f>
        <v/>
      </c>
      <c r="T186" s="72">
        <f>IF($C186="","",IF(PULL_FUND="N","",IF(COUNTIFS('Fund History'!$J$1060:$J$1064,"&gt;="&amp;DATE(YEAR_Y-1,1,1),'Fund History'!$J$1060:$J$1064,"&lt;="&amp;DATE(YEAR_Y-1,12,31))=0,"",IFERROR($J186*HSCEI!$G$41/SUMIFS('Fund History'!$K$1060:$K$1064,'Fund History'!$J$1060:$J$1064,"&gt;="&amp;DATE(YEAR_Y-1,1,1),'Fund History'!$J$1060:$J$1064,"&lt;="&amp;DATE(YEAR_Y-1,12,31)),""))))</f>
        <v/>
      </c>
      <c r="U186" s="73">
        <f>IF($C186="","",IF(ISNUMBER(HSCEI!$I$41),HSCEI!$I$41/100,""))</f>
        <v/>
      </c>
      <c r="V186" s="74">
        <f>IF($C186="","",IF(ISNUMBER(HSCEI!$X$41),IFERROR($M186*HSCEI!$G$41/HSCEI!$X$41,""),""))</f>
        <v/>
      </c>
      <c r="W186" s="73">
        <f>IF($C186="","",IF(ISNUMBER($N186),IFERROR($N186*HSCEI!$G$41/HSCEI!$X$41,""),""))</f>
        <v/>
      </c>
      <c r="X186" s="75">
        <f>IF($C186="","",IF(PULL_FUND="N","",IFERROR(BDP($C186,EPS_FIELD,YR_OVERRIDE,TEXT(YEAR_Y-5,"0")),"")))</f>
        <v/>
      </c>
      <c r="Y186" s="76">
        <f>IF($C186="","",IF(PULL_FUND="N","",IFERROR(BDP($C186,EPS_FIELD,YR_OVERRIDE,TEXT(YEAR_Y-4,"0")),"")))</f>
        <v/>
      </c>
      <c r="Z186" s="76">
        <f>IF($C186="","",IF(PULL_FUND="N","",IFERROR(BDP($C186,EPS_FIELD,YR_OVERRIDE,TEXT(YEAR_Y-3,"0")),"")))</f>
        <v/>
      </c>
      <c r="AA186" s="76">
        <f>IF($C186="","",IF(PULL_FUND="N","",IFERROR(BDP($C186,EPS_FIELD,YR_OVERRIDE,TEXT(YEAR_Y-2,"0")),"")))</f>
        <v/>
      </c>
      <c r="AB186" s="76">
        <f>IF($C186="","",IF(PULL_FUND="N","",IFERROR(BDP($C186,EPS_FIELD,YR_OVERRIDE,TEXT(YEAR_Y-1,"0")),"")))</f>
        <v/>
      </c>
      <c r="AC186" s="50">
        <f>IF($C186="","",IFERROR(AVERAGE(X186:AB186),""))</f>
        <v/>
      </c>
      <c r="AD186" s="76">
        <f>IF($C186="","",IF(PULL_FUND="N","",IFERROR(BDP($C186,BESTEPS_FIELD,FWD_OVERRIDE,TEXT(MOD(YEAR_Y,100),"00")&amp;"Y"),"")))</f>
        <v/>
      </c>
      <c r="AE186" s="77">
        <f>IF($C186="","",IF(PULL_FUND="N","",IFERROR(BDP($C186,PAYOUT_FIELD,YR_OVERRIDE,TEXT(YEAR_Y-5,"0"))/100,"")))</f>
        <v/>
      </c>
      <c r="AF186" s="78">
        <f>IF($C186="","",IF(PULL_FUND="N","",IFERROR(BDP($C186,PAYOUT_FIELD,YR_OVERRIDE,TEXT(YEAR_Y-4,"0"))/100,"")))</f>
        <v/>
      </c>
      <c r="AG186" s="78">
        <f>IF($C186="","",IF(PULL_FUND="N","",IFERROR(BDP($C186,PAYOUT_FIELD,YR_OVERRIDE,TEXT(YEAR_Y-3,"0"))/100,"")))</f>
        <v/>
      </c>
      <c r="AH186" s="78">
        <f>IF($C186="","",IF(PULL_FUND="N","",IFERROR(BDP($C186,PAYOUT_FIELD,YR_OVERRIDE,TEXT(YEAR_Y-2,"0"))/100,"")))</f>
        <v/>
      </c>
      <c r="AI186" s="78">
        <f>IF($C186="","",IF(PULL_FUND="N","",IFERROR(BDP($C186,PAYOUT_FIELD,YR_OVERRIDE,TEXT(YEAR_Y-1,"0"))/100,"")))</f>
        <v/>
      </c>
      <c r="AJ186" s="79">
        <f>IF($C186="","",IFERROR(AVERAGE(AE186:AI186),""))</f>
        <v/>
      </c>
      <c r="AK186" s="80">
        <f>IF($C186="","",IF(ISNUMBER($AD186)*ISNUMBER($N186)*($AD186&lt;&gt;0)=0,"",$N186/$AD186))</f>
        <v/>
      </c>
      <c r="AL186" s="79">
        <f>IF($C186="","",IF(ISNUMBER($AD186)*($AD186&lt;&gt;0)=0,"",$M186/$AD186))</f>
        <v/>
      </c>
      <c r="AM186" s="37">
        <f>IF($C186="","",IF(ISNUMBER($AE186)*ISNUMBER($AI186)=0,"",IF($AI186&gt;$AE186+0.05,"rising",IF($AI186&lt;$AE186-0.05,"falling","stable"))))</f>
        <v/>
      </c>
      <c r="AN186" s="81">
        <f>IF($C186="","",IF(PULL_FUND="N","",IF(COUNTIFS('Fund History'!$G$1060:$G$1064,"&gt;="&amp;DATE(YEAR_Y-4,1,1),'Fund History'!$G$1060:$G$1064,"&lt;="&amp;DATE(YEAR_Y-4,12,31))=0,"",SUMIFS('Fund History'!$H$1060:$H$1064,'Fund History'!$G$1060:$G$1064,"&gt;="&amp;DATE(YEAR_Y-4,1,1),'Fund History'!$G$1060:$G$1064,"&lt;="&amp;DATE(YEAR_Y-4,12,31))/100)))</f>
        <v/>
      </c>
      <c r="AO186" s="82">
        <f>IF($C186="","",IF(PULL_FUND="N","",IF(COUNTIFS('Fund History'!$G$1060:$G$1064,"&gt;="&amp;DATE(YEAR_Y-3,1,1),'Fund History'!$G$1060:$G$1064,"&lt;="&amp;DATE(YEAR_Y-3,12,31))=0,"",SUMIFS('Fund History'!$H$1060:$H$1064,'Fund History'!$G$1060:$G$1064,"&gt;="&amp;DATE(YEAR_Y-3,1,1),'Fund History'!$G$1060:$G$1064,"&lt;="&amp;DATE(YEAR_Y-3,12,31))/100)))</f>
        <v/>
      </c>
      <c r="AP186" s="82">
        <f>IF($C186="","",IF(PULL_FUND="N","",IF(COUNTIFS('Fund History'!$G$1060:$G$1064,"&gt;="&amp;DATE(YEAR_Y-2,1,1),'Fund History'!$G$1060:$G$1064,"&lt;="&amp;DATE(YEAR_Y-2,12,31))=0,"",SUMIFS('Fund History'!$H$1060:$H$1064,'Fund History'!$G$1060:$G$1064,"&gt;="&amp;DATE(YEAR_Y-2,1,1),'Fund History'!$G$1060:$G$1064,"&lt;="&amp;DATE(YEAR_Y-2,12,31))/100)))</f>
        <v/>
      </c>
      <c r="AQ186" s="82">
        <f>IF($C186="","",IF(PULL_FUND="N","",IF(COUNTIFS('Fund History'!$G$1060:$G$1064,"&gt;="&amp;DATE(YEAR_Y-1,1,1),'Fund History'!$G$1060:$G$1064,"&lt;="&amp;DATE(YEAR_Y-1,12,31))=0,"",SUMIFS('Fund History'!$H$1060:$H$1064,'Fund History'!$G$1060:$G$1064,"&gt;="&amp;DATE(YEAR_Y-1,1,1),'Fund History'!$G$1060:$G$1064,"&lt;="&amp;DATE(YEAR_Y-1,12,31))/100)))</f>
        <v/>
      </c>
      <c r="AR186" s="83">
        <f>IF($C186="","",IF(N($AQ186)+N(HSCEI!$I$41)=0,"",N($AQ186)+N(HSCEI!$I$41)/100))</f>
        <v/>
      </c>
      <c r="AS186" s="75">
        <f>IF($C186="","",IF(PULL_FUND="N","",IF(COUNTIFS('Fund History'!$D$1060:$D$1064,"&gt;="&amp;DATE(YEAR_Y-2,1,1),'Fund History'!$D$1060:$D$1064,"&lt;="&amp;DATE(YEAR_Y-2,12,31))=0,"",SUMIFS('Fund History'!$E$1060:$E$1064,'Fund History'!$D$1060:$D$1064,"&gt;="&amp;DATE(YEAR_Y-2,1,1),'Fund History'!$D$1060:$D$1064,"&lt;="&amp;DATE(YEAR_Y-2,12,31)))))</f>
        <v/>
      </c>
      <c r="AT186" s="76">
        <f>IF($C186="","",IF(PULL_FUND="N","",IF(COUNTIFS('Fund History'!$D$1060:$D$1064,"&gt;="&amp;DATE(YEAR_Y-1,1,1),'Fund History'!$D$1060:$D$1064,"&lt;="&amp;DATE(YEAR_Y-1,12,31))=0,"",SUMIFS('Fund History'!$E$1060:$E$1064,'Fund History'!$D$1060:$D$1064,"&gt;="&amp;DATE(YEAR_Y-1,1,1),'Fund History'!$D$1060:$D$1064,"&lt;="&amp;DATE(YEAR_Y-1,12,31)))))</f>
        <v/>
      </c>
      <c r="AU186" s="76">
        <f>IF($C186="","",IF(PULL_FUND="N","",IFERROR(BDP($C186,NDEBITDA_FIELD),"")))</f>
        <v/>
      </c>
      <c r="AV186" s="84">
        <f>IF($C186="","",IF(PULL_FUND="N","",IFERROR(BDP($C186,EBINT_FIELD),"")))</f>
        <v/>
      </c>
      <c r="AW186" s="82">
        <f>IF($C186="","",IF(PULL_FUND="N","",IFERROR(BDP($C186,FCF_FIELD)/100,"")))</f>
        <v/>
      </c>
      <c r="AX186" s="50">
        <f>IF($C186="","",IF(N($U186)=0,"",IFERROR($AW186/$U186,"")))</f>
        <v/>
      </c>
      <c r="AY186" s="85">
        <f>IF($C186="","",TRIM(IF(ISNUMBER($AJ186)*(N($AJ186)&gt;$D$4)&gt;0,"payout high  ","")&amp;IF(ISNUMBER($AX186)*(N($AX186)&lt;$F$4)&gt;0,"FCF below dvd  ","")&amp;IF(ISNUMBER($AU186)*(N($AU186)&gt;$H$4)&gt;0,"leverage high","")))</f>
        <v/>
      </c>
      <c r="AZ186" s="86">
        <f>IF($C186="","",IF(HSCEI!$F$41="HKD","",HSCEI!$F$41))</f>
        <v/>
      </c>
    </row>
    <row r="187">
      <c r="B187" s="66" t="inlineStr">
        <is>
          <t>HSCEI</t>
        </is>
      </c>
      <c r="C187" s="8">
        <f>IF(HSCEI!$C$42="","",HSCEI!$C$42)</f>
        <v/>
      </c>
      <c r="D187" s="8">
        <f>IF($C187="","",HSCEI!$D$42)</f>
        <v/>
      </c>
      <c r="E187" s="8">
        <f>IF($C187="","",HSCEI!$E$42)</f>
        <v/>
      </c>
      <c r="F187" s="67">
        <f>IF($C187="","",SUMPRODUCT(('Dvd Calendar'!$E$1946:$AR$1946&gt;=DATE(YEAR_Y-5,1,1))*('Dvd Calendar'!$E$1946:$AR$1946&lt;=DATE(YEAR_Y-5,12,31))*'Dvd Calendar'!$E$1949:$AR$1949*(('Dvd Calendar'!$E$1951:$AR$1951=TYPE1)*(TYPE1&lt;&gt;"")+('Dvd Calendar'!$E$1951:$AR$1951=TYPE2)*(TYPE2&lt;&gt;"")+('Dvd Calendar'!$E$1951:$AR$1951=TYPE3)*(TYPE3&lt;&gt;"")+('Dvd Calendar'!$E$1951:$AR$1951=TYPE4)*(TYPE4&lt;&gt;"")+('Dvd Calendar'!$E$1951:$AR$1951=SPECIAL_LBL)*(INC_SPECIALS="Y"))))</f>
        <v/>
      </c>
      <c r="G187" s="68">
        <f>IF($C187="","",SUMPRODUCT(('Dvd Calendar'!$E$1946:$AR$1946&gt;=DATE(YEAR_Y-4,1,1))*('Dvd Calendar'!$E$1946:$AR$1946&lt;=DATE(YEAR_Y-4,12,31))*'Dvd Calendar'!$E$1949:$AR$1949*(('Dvd Calendar'!$E$1951:$AR$1951=TYPE1)*(TYPE1&lt;&gt;"")+('Dvd Calendar'!$E$1951:$AR$1951=TYPE2)*(TYPE2&lt;&gt;"")+('Dvd Calendar'!$E$1951:$AR$1951=TYPE3)*(TYPE3&lt;&gt;"")+('Dvd Calendar'!$E$1951:$AR$1951=TYPE4)*(TYPE4&lt;&gt;"")+('Dvd Calendar'!$E$1951:$AR$1951=SPECIAL_LBL)*(INC_SPECIALS="Y"))))</f>
        <v/>
      </c>
      <c r="H187" s="68">
        <f>IF($C187="","",SUMPRODUCT(('Dvd Calendar'!$E$1946:$AR$1946&gt;=DATE(YEAR_Y-3,1,1))*('Dvd Calendar'!$E$1946:$AR$1946&lt;=DATE(YEAR_Y-3,12,31))*'Dvd Calendar'!$E$1949:$AR$1949*(('Dvd Calendar'!$E$1951:$AR$1951=TYPE1)*(TYPE1&lt;&gt;"")+('Dvd Calendar'!$E$1951:$AR$1951=TYPE2)*(TYPE2&lt;&gt;"")+('Dvd Calendar'!$E$1951:$AR$1951=TYPE3)*(TYPE3&lt;&gt;"")+('Dvd Calendar'!$E$1951:$AR$1951=TYPE4)*(TYPE4&lt;&gt;"")+('Dvd Calendar'!$E$1951:$AR$1951=SPECIAL_LBL)*(INC_SPECIALS="Y"))))</f>
        <v/>
      </c>
      <c r="I187" s="68">
        <f>IF($C187="","",SUMPRODUCT(('Dvd Calendar'!$E$1946:$AR$1946&gt;=DATE(YEAR_Y-2,1,1))*('Dvd Calendar'!$E$1946:$AR$1946&lt;=DATE(YEAR_Y-2,12,31))*'Dvd Calendar'!$E$1949:$AR$1949*(('Dvd Calendar'!$E$1951:$AR$1951=TYPE1)*(TYPE1&lt;&gt;"")+('Dvd Calendar'!$E$1951:$AR$1951=TYPE2)*(TYPE2&lt;&gt;"")+('Dvd Calendar'!$E$1951:$AR$1951=TYPE3)*(TYPE3&lt;&gt;"")+('Dvd Calendar'!$E$1951:$AR$1951=TYPE4)*(TYPE4&lt;&gt;"")+('Dvd Calendar'!$E$1951:$AR$1951=SPECIAL_LBL)*(INC_SPECIALS="Y"))))</f>
        <v/>
      </c>
      <c r="J187" s="68">
        <f>IF($C187="","",SUMPRODUCT(('Dvd Calendar'!$E$1946:$AR$1946&gt;=DATE(YEAR_Y-1,1,1))*('Dvd Calendar'!$E$1946:$AR$1946&lt;=DATE(YEAR_Y-1,12,31))*'Dvd Calendar'!$E$1949:$AR$1949*(('Dvd Calendar'!$E$1951:$AR$1951=TYPE1)*(TYPE1&lt;&gt;"")+('Dvd Calendar'!$E$1951:$AR$1951=TYPE2)*(TYPE2&lt;&gt;"")+('Dvd Calendar'!$E$1951:$AR$1951=TYPE3)*(TYPE3&lt;&gt;"")+('Dvd Calendar'!$E$1951:$AR$1951=TYPE4)*(TYPE4&lt;&gt;"")+('Dvd Calendar'!$E$1951:$AR$1951=SPECIAL_LBL)*(INC_SPECIALS="Y"))))</f>
        <v/>
      </c>
      <c r="K187" s="69">
        <f>IF($C187="","",HSCEI!$J$42)</f>
        <v/>
      </c>
      <c r="L187" s="69">
        <f>IF($C187="","",HSCEI!$K$42)</f>
        <v/>
      </c>
      <c r="M187" s="44">
        <f>IF($C187="","",HSCEI!$J$42+HSCEI!$L$42)</f>
        <v/>
      </c>
      <c r="N187" s="70">
        <f>IF($C187="","",IF(PULL_FUND="N","",IFERROR(BDP($C187,BESTDPS_FIELD,FWD_OVERRIDE,TEXT(MOD(YEAR_Y,100),"00")&amp;"Y"),"")))</f>
        <v/>
      </c>
      <c r="O187" s="69">
        <f>IF($C187="","",AVERAGE(F187:J187))</f>
        <v/>
      </c>
      <c r="P187" s="71">
        <f>IF($C187="","",IF(PULL_FUND="N","",IF(COUNTIFS('Fund History'!$J$1066:$J$1070,"&gt;="&amp;DATE(YEAR_Y-5,1,1),'Fund History'!$J$1066:$J$1070,"&lt;="&amp;DATE(YEAR_Y-5,12,31))=0,"",IFERROR($F187*HSCEI!$G$42/SUMIFS('Fund History'!$K$1066:$K$1070,'Fund History'!$J$1066:$J$1070,"&gt;="&amp;DATE(YEAR_Y-5,1,1),'Fund History'!$J$1066:$J$1070,"&lt;="&amp;DATE(YEAR_Y-5,12,31)),""))))</f>
        <v/>
      </c>
      <c r="Q187" s="72">
        <f>IF($C187="","",IF(PULL_FUND="N","",IF(COUNTIFS('Fund History'!$J$1066:$J$1070,"&gt;="&amp;DATE(YEAR_Y-4,1,1),'Fund History'!$J$1066:$J$1070,"&lt;="&amp;DATE(YEAR_Y-4,12,31))=0,"",IFERROR($G187*HSCEI!$G$42/SUMIFS('Fund History'!$K$1066:$K$1070,'Fund History'!$J$1066:$J$1070,"&gt;="&amp;DATE(YEAR_Y-4,1,1),'Fund History'!$J$1066:$J$1070,"&lt;="&amp;DATE(YEAR_Y-4,12,31)),""))))</f>
        <v/>
      </c>
      <c r="R187" s="72">
        <f>IF($C187="","",IF(PULL_FUND="N","",IF(COUNTIFS('Fund History'!$J$1066:$J$1070,"&gt;="&amp;DATE(YEAR_Y-3,1,1),'Fund History'!$J$1066:$J$1070,"&lt;="&amp;DATE(YEAR_Y-3,12,31))=0,"",IFERROR($H187*HSCEI!$G$42/SUMIFS('Fund History'!$K$1066:$K$1070,'Fund History'!$J$1066:$J$1070,"&gt;="&amp;DATE(YEAR_Y-3,1,1),'Fund History'!$J$1066:$J$1070,"&lt;="&amp;DATE(YEAR_Y-3,12,31)),""))))</f>
        <v/>
      </c>
      <c r="S187" s="72">
        <f>IF($C187="","",IF(PULL_FUND="N","",IF(COUNTIFS('Fund History'!$J$1066:$J$1070,"&gt;="&amp;DATE(YEAR_Y-2,1,1),'Fund History'!$J$1066:$J$1070,"&lt;="&amp;DATE(YEAR_Y-2,12,31))=0,"",IFERROR($I187*HSCEI!$G$42/SUMIFS('Fund History'!$K$1066:$K$1070,'Fund History'!$J$1066:$J$1070,"&gt;="&amp;DATE(YEAR_Y-2,1,1),'Fund History'!$J$1066:$J$1070,"&lt;="&amp;DATE(YEAR_Y-2,12,31)),""))))</f>
        <v/>
      </c>
      <c r="T187" s="72">
        <f>IF($C187="","",IF(PULL_FUND="N","",IF(COUNTIFS('Fund History'!$J$1066:$J$1070,"&gt;="&amp;DATE(YEAR_Y-1,1,1),'Fund History'!$J$1066:$J$1070,"&lt;="&amp;DATE(YEAR_Y-1,12,31))=0,"",IFERROR($J187*HSCEI!$G$42/SUMIFS('Fund History'!$K$1066:$K$1070,'Fund History'!$J$1066:$J$1070,"&gt;="&amp;DATE(YEAR_Y-1,1,1),'Fund History'!$J$1066:$J$1070,"&lt;="&amp;DATE(YEAR_Y-1,12,31)),""))))</f>
        <v/>
      </c>
      <c r="U187" s="73">
        <f>IF($C187="","",IF(ISNUMBER(HSCEI!$I$42),HSCEI!$I$42/100,""))</f>
        <v/>
      </c>
      <c r="V187" s="74">
        <f>IF($C187="","",IF(ISNUMBER(HSCEI!$X$42),IFERROR($M187*HSCEI!$G$42/HSCEI!$X$42,""),""))</f>
        <v/>
      </c>
      <c r="W187" s="73">
        <f>IF($C187="","",IF(ISNUMBER($N187),IFERROR($N187*HSCEI!$G$42/HSCEI!$X$42,""),""))</f>
        <v/>
      </c>
      <c r="X187" s="75">
        <f>IF($C187="","",IF(PULL_FUND="N","",IFERROR(BDP($C187,EPS_FIELD,YR_OVERRIDE,TEXT(YEAR_Y-5,"0")),"")))</f>
        <v/>
      </c>
      <c r="Y187" s="76">
        <f>IF($C187="","",IF(PULL_FUND="N","",IFERROR(BDP($C187,EPS_FIELD,YR_OVERRIDE,TEXT(YEAR_Y-4,"0")),"")))</f>
        <v/>
      </c>
      <c r="Z187" s="76">
        <f>IF($C187="","",IF(PULL_FUND="N","",IFERROR(BDP($C187,EPS_FIELD,YR_OVERRIDE,TEXT(YEAR_Y-3,"0")),"")))</f>
        <v/>
      </c>
      <c r="AA187" s="76">
        <f>IF($C187="","",IF(PULL_FUND="N","",IFERROR(BDP($C187,EPS_FIELD,YR_OVERRIDE,TEXT(YEAR_Y-2,"0")),"")))</f>
        <v/>
      </c>
      <c r="AB187" s="76">
        <f>IF($C187="","",IF(PULL_FUND="N","",IFERROR(BDP($C187,EPS_FIELD,YR_OVERRIDE,TEXT(YEAR_Y-1,"0")),"")))</f>
        <v/>
      </c>
      <c r="AC187" s="50">
        <f>IF($C187="","",IFERROR(AVERAGE(X187:AB187),""))</f>
        <v/>
      </c>
      <c r="AD187" s="76">
        <f>IF($C187="","",IF(PULL_FUND="N","",IFERROR(BDP($C187,BESTEPS_FIELD,FWD_OVERRIDE,TEXT(MOD(YEAR_Y,100),"00")&amp;"Y"),"")))</f>
        <v/>
      </c>
      <c r="AE187" s="77">
        <f>IF($C187="","",IF(PULL_FUND="N","",IFERROR(BDP($C187,PAYOUT_FIELD,YR_OVERRIDE,TEXT(YEAR_Y-5,"0"))/100,"")))</f>
        <v/>
      </c>
      <c r="AF187" s="78">
        <f>IF($C187="","",IF(PULL_FUND="N","",IFERROR(BDP($C187,PAYOUT_FIELD,YR_OVERRIDE,TEXT(YEAR_Y-4,"0"))/100,"")))</f>
        <v/>
      </c>
      <c r="AG187" s="78">
        <f>IF($C187="","",IF(PULL_FUND="N","",IFERROR(BDP($C187,PAYOUT_FIELD,YR_OVERRIDE,TEXT(YEAR_Y-3,"0"))/100,"")))</f>
        <v/>
      </c>
      <c r="AH187" s="78">
        <f>IF($C187="","",IF(PULL_FUND="N","",IFERROR(BDP($C187,PAYOUT_FIELD,YR_OVERRIDE,TEXT(YEAR_Y-2,"0"))/100,"")))</f>
        <v/>
      </c>
      <c r="AI187" s="78">
        <f>IF($C187="","",IF(PULL_FUND="N","",IFERROR(BDP($C187,PAYOUT_FIELD,YR_OVERRIDE,TEXT(YEAR_Y-1,"0"))/100,"")))</f>
        <v/>
      </c>
      <c r="AJ187" s="79">
        <f>IF($C187="","",IFERROR(AVERAGE(AE187:AI187),""))</f>
        <v/>
      </c>
      <c r="AK187" s="80">
        <f>IF($C187="","",IF(ISNUMBER($AD187)*ISNUMBER($N187)*($AD187&lt;&gt;0)=0,"",$N187/$AD187))</f>
        <v/>
      </c>
      <c r="AL187" s="79">
        <f>IF($C187="","",IF(ISNUMBER($AD187)*($AD187&lt;&gt;0)=0,"",$M187/$AD187))</f>
        <v/>
      </c>
      <c r="AM187" s="37">
        <f>IF($C187="","",IF(ISNUMBER($AE187)*ISNUMBER($AI187)=0,"",IF($AI187&gt;$AE187+0.05,"rising",IF($AI187&lt;$AE187-0.05,"falling","stable"))))</f>
        <v/>
      </c>
      <c r="AN187" s="81">
        <f>IF($C187="","",IF(PULL_FUND="N","",IF(COUNTIFS('Fund History'!$G$1066:$G$1070,"&gt;="&amp;DATE(YEAR_Y-4,1,1),'Fund History'!$G$1066:$G$1070,"&lt;="&amp;DATE(YEAR_Y-4,12,31))=0,"",SUMIFS('Fund History'!$H$1066:$H$1070,'Fund History'!$G$1066:$G$1070,"&gt;="&amp;DATE(YEAR_Y-4,1,1),'Fund History'!$G$1066:$G$1070,"&lt;="&amp;DATE(YEAR_Y-4,12,31))/100)))</f>
        <v/>
      </c>
      <c r="AO187" s="82">
        <f>IF($C187="","",IF(PULL_FUND="N","",IF(COUNTIFS('Fund History'!$G$1066:$G$1070,"&gt;="&amp;DATE(YEAR_Y-3,1,1),'Fund History'!$G$1066:$G$1070,"&lt;="&amp;DATE(YEAR_Y-3,12,31))=0,"",SUMIFS('Fund History'!$H$1066:$H$1070,'Fund History'!$G$1066:$G$1070,"&gt;="&amp;DATE(YEAR_Y-3,1,1),'Fund History'!$G$1066:$G$1070,"&lt;="&amp;DATE(YEAR_Y-3,12,31))/100)))</f>
        <v/>
      </c>
      <c r="AP187" s="82">
        <f>IF($C187="","",IF(PULL_FUND="N","",IF(COUNTIFS('Fund History'!$G$1066:$G$1070,"&gt;="&amp;DATE(YEAR_Y-2,1,1),'Fund History'!$G$1066:$G$1070,"&lt;="&amp;DATE(YEAR_Y-2,12,31))=0,"",SUMIFS('Fund History'!$H$1066:$H$1070,'Fund History'!$G$1066:$G$1070,"&gt;="&amp;DATE(YEAR_Y-2,1,1),'Fund History'!$G$1066:$G$1070,"&lt;="&amp;DATE(YEAR_Y-2,12,31))/100)))</f>
        <v/>
      </c>
      <c r="AQ187" s="82">
        <f>IF($C187="","",IF(PULL_FUND="N","",IF(COUNTIFS('Fund History'!$G$1066:$G$1070,"&gt;="&amp;DATE(YEAR_Y-1,1,1),'Fund History'!$G$1066:$G$1070,"&lt;="&amp;DATE(YEAR_Y-1,12,31))=0,"",SUMIFS('Fund History'!$H$1066:$H$1070,'Fund History'!$G$1066:$G$1070,"&gt;="&amp;DATE(YEAR_Y-1,1,1),'Fund History'!$G$1066:$G$1070,"&lt;="&amp;DATE(YEAR_Y-1,12,31))/100)))</f>
        <v/>
      </c>
      <c r="AR187" s="83">
        <f>IF($C187="","",IF(N($AQ187)+N(HSCEI!$I$42)=0,"",N($AQ187)+N(HSCEI!$I$42)/100))</f>
        <v/>
      </c>
      <c r="AS187" s="75">
        <f>IF($C187="","",IF(PULL_FUND="N","",IF(COUNTIFS('Fund History'!$D$1066:$D$1070,"&gt;="&amp;DATE(YEAR_Y-2,1,1),'Fund History'!$D$1066:$D$1070,"&lt;="&amp;DATE(YEAR_Y-2,12,31))=0,"",SUMIFS('Fund History'!$E$1066:$E$1070,'Fund History'!$D$1066:$D$1070,"&gt;="&amp;DATE(YEAR_Y-2,1,1),'Fund History'!$D$1066:$D$1070,"&lt;="&amp;DATE(YEAR_Y-2,12,31)))))</f>
        <v/>
      </c>
      <c r="AT187" s="76">
        <f>IF($C187="","",IF(PULL_FUND="N","",IF(COUNTIFS('Fund History'!$D$1066:$D$1070,"&gt;="&amp;DATE(YEAR_Y-1,1,1),'Fund History'!$D$1066:$D$1070,"&lt;="&amp;DATE(YEAR_Y-1,12,31))=0,"",SUMIFS('Fund History'!$E$1066:$E$1070,'Fund History'!$D$1066:$D$1070,"&gt;="&amp;DATE(YEAR_Y-1,1,1),'Fund History'!$D$1066:$D$1070,"&lt;="&amp;DATE(YEAR_Y-1,12,31)))))</f>
        <v/>
      </c>
      <c r="AU187" s="76">
        <f>IF($C187="","",IF(PULL_FUND="N","",IFERROR(BDP($C187,NDEBITDA_FIELD),"")))</f>
        <v/>
      </c>
      <c r="AV187" s="84">
        <f>IF($C187="","",IF(PULL_FUND="N","",IFERROR(BDP($C187,EBINT_FIELD),"")))</f>
        <v/>
      </c>
      <c r="AW187" s="82">
        <f>IF($C187="","",IF(PULL_FUND="N","",IFERROR(BDP($C187,FCF_FIELD)/100,"")))</f>
        <v/>
      </c>
      <c r="AX187" s="50">
        <f>IF($C187="","",IF(N($U187)=0,"",IFERROR($AW187/$U187,"")))</f>
        <v/>
      </c>
      <c r="AY187" s="85">
        <f>IF($C187="","",TRIM(IF(ISNUMBER($AJ187)*(N($AJ187)&gt;$D$4)&gt;0,"payout high  ","")&amp;IF(ISNUMBER($AX187)*(N($AX187)&lt;$F$4)&gt;0,"FCF below dvd  ","")&amp;IF(ISNUMBER($AU187)*(N($AU187)&gt;$H$4)&gt;0,"leverage high","")))</f>
        <v/>
      </c>
      <c r="AZ187" s="86">
        <f>IF($C187="","",IF(HSCEI!$F$42="HKD","",HSCEI!$F$42))</f>
        <v/>
      </c>
    </row>
    <row r="188">
      <c r="B188" s="66" t="inlineStr">
        <is>
          <t>HSCEI</t>
        </is>
      </c>
      <c r="C188" s="8">
        <f>IF(HSCEI!$C$43="","",HSCEI!$C$43)</f>
        <v/>
      </c>
      <c r="D188" s="8">
        <f>IF($C188="","",HSCEI!$D$43)</f>
        <v/>
      </c>
      <c r="E188" s="8">
        <f>IF($C188="","",HSCEI!$E$43)</f>
        <v/>
      </c>
      <c r="F188" s="67">
        <f>IF($C188="","",SUMPRODUCT(('Dvd Calendar'!$E$1957:$AR$1957&gt;=DATE(YEAR_Y-5,1,1))*('Dvd Calendar'!$E$1957:$AR$1957&lt;=DATE(YEAR_Y-5,12,31))*'Dvd Calendar'!$E$1960:$AR$1960*(('Dvd Calendar'!$E$1962:$AR$1962=TYPE1)*(TYPE1&lt;&gt;"")+('Dvd Calendar'!$E$1962:$AR$1962=TYPE2)*(TYPE2&lt;&gt;"")+('Dvd Calendar'!$E$1962:$AR$1962=TYPE3)*(TYPE3&lt;&gt;"")+('Dvd Calendar'!$E$1962:$AR$1962=TYPE4)*(TYPE4&lt;&gt;"")+('Dvd Calendar'!$E$1962:$AR$1962=SPECIAL_LBL)*(INC_SPECIALS="Y"))))</f>
        <v/>
      </c>
      <c r="G188" s="68">
        <f>IF($C188="","",SUMPRODUCT(('Dvd Calendar'!$E$1957:$AR$1957&gt;=DATE(YEAR_Y-4,1,1))*('Dvd Calendar'!$E$1957:$AR$1957&lt;=DATE(YEAR_Y-4,12,31))*'Dvd Calendar'!$E$1960:$AR$1960*(('Dvd Calendar'!$E$1962:$AR$1962=TYPE1)*(TYPE1&lt;&gt;"")+('Dvd Calendar'!$E$1962:$AR$1962=TYPE2)*(TYPE2&lt;&gt;"")+('Dvd Calendar'!$E$1962:$AR$1962=TYPE3)*(TYPE3&lt;&gt;"")+('Dvd Calendar'!$E$1962:$AR$1962=TYPE4)*(TYPE4&lt;&gt;"")+('Dvd Calendar'!$E$1962:$AR$1962=SPECIAL_LBL)*(INC_SPECIALS="Y"))))</f>
        <v/>
      </c>
      <c r="H188" s="68">
        <f>IF($C188="","",SUMPRODUCT(('Dvd Calendar'!$E$1957:$AR$1957&gt;=DATE(YEAR_Y-3,1,1))*('Dvd Calendar'!$E$1957:$AR$1957&lt;=DATE(YEAR_Y-3,12,31))*'Dvd Calendar'!$E$1960:$AR$1960*(('Dvd Calendar'!$E$1962:$AR$1962=TYPE1)*(TYPE1&lt;&gt;"")+('Dvd Calendar'!$E$1962:$AR$1962=TYPE2)*(TYPE2&lt;&gt;"")+('Dvd Calendar'!$E$1962:$AR$1962=TYPE3)*(TYPE3&lt;&gt;"")+('Dvd Calendar'!$E$1962:$AR$1962=TYPE4)*(TYPE4&lt;&gt;"")+('Dvd Calendar'!$E$1962:$AR$1962=SPECIAL_LBL)*(INC_SPECIALS="Y"))))</f>
        <v/>
      </c>
      <c r="I188" s="68">
        <f>IF($C188="","",SUMPRODUCT(('Dvd Calendar'!$E$1957:$AR$1957&gt;=DATE(YEAR_Y-2,1,1))*('Dvd Calendar'!$E$1957:$AR$1957&lt;=DATE(YEAR_Y-2,12,31))*'Dvd Calendar'!$E$1960:$AR$1960*(('Dvd Calendar'!$E$1962:$AR$1962=TYPE1)*(TYPE1&lt;&gt;"")+('Dvd Calendar'!$E$1962:$AR$1962=TYPE2)*(TYPE2&lt;&gt;"")+('Dvd Calendar'!$E$1962:$AR$1962=TYPE3)*(TYPE3&lt;&gt;"")+('Dvd Calendar'!$E$1962:$AR$1962=TYPE4)*(TYPE4&lt;&gt;"")+('Dvd Calendar'!$E$1962:$AR$1962=SPECIAL_LBL)*(INC_SPECIALS="Y"))))</f>
        <v/>
      </c>
      <c r="J188" s="68">
        <f>IF($C188="","",SUMPRODUCT(('Dvd Calendar'!$E$1957:$AR$1957&gt;=DATE(YEAR_Y-1,1,1))*('Dvd Calendar'!$E$1957:$AR$1957&lt;=DATE(YEAR_Y-1,12,31))*'Dvd Calendar'!$E$1960:$AR$1960*(('Dvd Calendar'!$E$1962:$AR$1962=TYPE1)*(TYPE1&lt;&gt;"")+('Dvd Calendar'!$E$1962:$AR$1962=TYPE2)*(TYPE2&lt;&gt;"")+('Dvd Calendar'!$E$1962:$AR$1962=TYPE3)*(TYPE3&lt;&gt;"")+('Dvd Calendar'!$E$1962:$AR$1962=TYPE4)*(TYPE4&lt;&gt;"")+('Dvd Calendar'!$E$1962:$AR$1962=SPECIAL_LBL)*(INC_SPECIALS="Y"))))</f>
        <v/>
      </c>
      <c r="K188" s="69">
        <f>IF($C188="","",HSCEI!$J$43)</f>
        <v/>
      </c>
      <c r="L188" s="69">
        <f>IF($C188="","",HSCEI!$K$43)</f>
        <v/>
      </c>
      <c r="M188" s="44">
        <f>IF($C188="","",HSCEI!$J$43+HSCEI!$L$43)</f>
        <v/>
      </c>
      <c r="N188" s="70">
        <f>IF($C188="","",IF(PULL_FUND="N","",IFERROR(BDP($C188,BESTDPS_FIELD,FWD_OVERRIDE,TEXT(MOD(YEAR_Y,100),"00")&amp;"Y"),"")))</f>
        <v/>
      </c>
      <c r="O188" s="69">
        <f>IF($C188="","",AVERAGE(F188:J188))</f>
        <v/>
      </c>
      <c r="P188" s="71">
        <f>IF($C188="","",IF(PULL_FUND="N","",IF(COUNTIFS('Fund History'!$J$1072:$J$1076,"&gt;="&amp;DATE(YEAR_Y-5,1,1),'Fund History'!$J$1072:$J$1076,"&lt;="&amp;DATE(YEAR_Y-5,12,31))=0,"",IFERROR($F188*HSCEI!$G$43/SUMIFS('Fund History'!$K$1072:$K$1076,'Fund History'!$J$1072:$J$1076,"&gt;="&amp;DATE(YEAR_Y-5,1,1),'Fund History'!$J$1072:$J$1076,"&lt;="&amp;DATE(YEAR_Y-5,12,31)),""))))</f>
        <v/>
      </c>
      <c r="Q188" s="72">
        <f>IF($C188="","",IF(PULL_FUND="N","",IF(COUNTIFS('Fund History'!$J$1072:$J$1076,"&gt;="&amp;DATE(YEAR_Y-4,1,1),'Fund History'!$J$1072:$J$1076,"&lt;="&amp;DATE(YEAR_Y-4,12,31))=0,"",IFERROR($G188*HSCEI!$G$43/SUMIFS('Fund History'!$K$1072:$K$1076,'Fund History'!$J$1072:$J$1076,"&gt;="&amp;DATE(YEAR_Y-4,1,1),'Fund History'!$J$1072:$J$1076,"&lt;="&amp;DATE(YEAR_Y-4,12,31)),""))))</f>
        <v/>
      </c>
      <c r="R188" s="72">
        <f>IF($C188="","",IF(PULL_FUND="N","",IF(COUNTIFS('Fund History'!$J$1072:$J$1076,"&gt;="&amp;DATE(YEAR_Y-3,1,1),'Fund History'!$J$1072:$J$1076,"&lt;="&amp;DATE(YEAR_Y-3,12,31))=0,"",IFERROR($H188*HSCEI!$G$43/SUMIFS('Fund History'!$K$1072:$K$1076,'Fund History'!$J$1072:$J$1076,"&gt;="&amp;DATE(YEAR_Y-3,1,1),'Fund History'!$J$1072:$J$1076,"&lt;="&amp;DATE(YEAR_Y-3,12,31)),""))))</f>
        <v/>
      </c>
      <c r="S188" s="72">
        <f>IF($C188="","",IF(PULL_FUND="N","",IF(COUNTIFS('Fund History'!$J$1072:$J$1076,"&gt;="&amp;DATE(YEAR_Y-2,1,1),'Fund History'!$J$1072:$J$1076,"&lt;="&amp;DATE(YEAR_Y-2,12,31))=0,"",IFERROR($I188*HSCEI!$G$43/SUMIFS('Fund History'!$K$1072:$K$1076,'Fund History'!$J$1072:$J$1076,"&gt;="&amp;DATE(YEAR_Y-2,1,1),'Fund History'!$J$1072:$J$1076,"&lt;="&amp;DATE(YEAR_Y-2,12,31)),""))))</f>
        <v/>
      </c>
      <c r="T188" s="72">
        <f>IF($C188="","",IF(PULL_FUND="N","",IF(COUNTIFS('Fund History'!$J$1072:$J$1076,"&gt;="&amp;DATE(YEAR_Y-1,1,1),'Fund History'!$J$1072:$J$1076,"&lt;="&amp;DATE(YEAR_Y-1,12,31))=0,"",IFERROR($J188*HSCEI!$G$43/SUMIFS('Fund History'!$K$1072:$K$1076,'Fund History'!$J$1072:$J$1076,"&gt;="&amp;DATE(YEAR_Y-1,1,1),'Fund History'!$J$1072:$J$1076,"&lt;="&amp;DATE(YEAR_Y-1,12,31)),""))))</f>
        <v/>
      </c>
      <c r="U188" s="73">
        <f>IF($C188="","",IF(ISNUMBER(HSCEI!$I$43),HSCEI!$I$43/100,""))</f>
        <v/>
      </c>
      <c r="V188" s="74">
        <f>IF($C188="","",IF(ISNUMBER(HSCEI!$X$43),IFERROR($M188*HSCEI!$G$43/HSCEI!$X$43,""),""))</f>
        <v/>
      </c>
      <c r="W188" s="73">
        <f>IF($C188="","",IF(ISNUMBER($N188),IFERROR($N188*HSCEI!$G$43/HSCEI!$X$43,""),""))</f>
        <v/>
      </c>
      <c r="X188" s="75">
        <f>IF($C188="","",IF(PULL_FUND="N","",IFERROR(BDP($C188,EPS_FIELD,YR_OVERRIDE,TEXT(YEAR_Y-5,"0")),"")))</f>
        <v/>
      </c>
      <c r="Y188" s="76">
        <f>IF($C188="","",IF(PULL_FUND="N","",IFERROR(BDP($C188,EPS_FIELD,YR_OVERRIDE,TEXT(YEAR_Y-4,"0")),"")))</f>
        <v/>
      </c>
      <c r="Z188" s="76">
        <f>IF($C188="","",IF(PULL_FUND="N","",IFERROR(BDP($C188,EPS_FIELD,YR_OVERRIDE,TEXT(YEAR_Y-3,"0")),"")))</f>
        <v/>
      </c>
      <c r="AA188" s="76">
        <f>IF($C188="","",IF(PULL_FUND="N","",IFERROR(BDP($C188,EPS_FIELD,YR_OVERRIDE,TEXT(YEAR_Y-2,"0")),"")))</f>
        <v/>
      </c>
      <c r="AB188" s="76">
        <f>IF($C188="","",IF(PULL_FUND="N","",IFERROR(BDP($C188,EPS_FIELD,YR_OVERRIDE,TEXT(YEAR_Y-1,"0")),"")))</f>
        <v/>
      </c>
      <c r="AC188" s="50">
        <f>IF($C188="","",IFERROR(AVERAGE(X188:AB188),""))</f>
        <v/>
      </c>
      <c r="AD188" s="76">
        <f>IF($C188="","",IF(PULL_FUND="N","",IFERROR(BDP($C188,BESTEPS_FIELD,FWD_OVERRIDE,TEXT(MOD(YEAR_Y,100),"00")&amp;"Y"),"")))</f>
        <v/>
      </c>
      <c r="AE188" s="77">
        <f>IF($C188="","",IF(PULL_FUND="N","",IFERROR(BDP($C188,PAYOUT_FIELD,YR_OVERRIDE,TEXT(YEAR_Y-5,"0"))/100,"")))</f>
        <v/>
      </c>
      <c r="AF188" s="78">
        <f>IF($C188="","",IF(PULL_FUND="N","",IFERROR(BDP($C188,PAYOUT_FIELD,YR_OVERRIDE,TEXT(YEAR_Y-4,"0"))/100,"")))</f>
        <v/>
      </c>
      <c r="AG188" s="78">
        <f>IF($C188="","",IF(PULL_FUND="N","",IFERROR(BDP($C188,PAYOUT_FIELD,YR_OVERRIDE,TEXT(YEAR_Y-3,"0"))/100,"")))</f>
        <v/>
      </c>
      <c r="AH188" s="78">
        <f>IF($C188="","",IF(PULL_FUND="N","",IFERROR(BDP($C188,PAYOUT_FIELD,YR_OVERRIDE,TEXT(YEAR_Y-2,"0"))/100,"")))</f>
        <v/>
      </c>
      <c r="AI188" s="78">
        <f>IF($C188="","",IF(PULL_FUND="N","",IFERROR(BDP($C188,PAYOUT_FIELD,YR_OVERRIDE,TEXT(YEAR_Y-1,"0"))/100,"")))</f>
        <v/>
      </c>
      <c r="AJ188" s="79">
        <f>IF($C188="","",IFERROR(AVERAGE(AE188:AI188),""))</f>
        <v/>
      </c>
      <c r="AK188" s="80">
        <f>IF($C188="","",IF(ISNUMBER($AD188)*ISNUMBER($N188)*($AD188&lt;&gt;0)=0,"",$N188/$AD188))</f>
        <v/>
      </c>
      <c r="AL188" s="79">
        <f>IF($C188="","",IF(ISNUMBER($AD188)*($AD188&lt;&gt;0)=0,"",$M188/$AD188))</f>
        <v/>
      </c>
      <c r="AM188" s="37">
        <f>IF($C188="","",IF(ISNUMBER($AE188)*ISNUMBER($AI188)=0,"",IF($AI188&gt;$AE188+0.05,"rising",IF($AI188&lt;$AE188-0.05,"falling","stable"))))</f>
        <v/>
      </c>
      <c r="AN188" s="81">
        <f>IF($C188="","",IF(PULL_FUND="N","",IF(COUNTIFS('Fund History'!$G$1072:$G$1076,"&gt;="&amp;DATE(YEAR_Y-4,1,1),'Fund History'!$G$1072:$G$1076,"&lt;="&amp;DATE(YEAR_Y-4,12,31))=0,"",SUMIFS('Fund History'!$H$1072:$H$1076,'Fund History'!$G$1072:$G$1076,"&gt;="&amp;DATE(YEAR_Y-4,1,1),'Fund History'!$G$1072:$G$1076,"&lt;="&amp;DATE(YEAR_Y-4,12,31))/100)))</f>
        <v/>
      </c>
      <c r="AO188" s="82">
        <f>IF($C188="","",IF(PULL_FUND="N","",IF(COUNTIFS('Fund History'!$G$1072:$G$1076,"&gt;="&amp;DATE(YEAR_Y-3,1,1),'Fund History'!$G$1072:$G$1076,"&lt;="&amp;DATE(YEAR_Y-3,12,31))=0,"",SUMIFS('Fund History'!$H$1072:$H$1076,'Fund History'!$G$1072:$G$1076,"&gt;="&amp;DATE(YEAR_Y-3,1,1),'Fund History'!$G$1072:$G$1076,"&lt;="&amp;DATE(YEAR_Y-3,12,31))/100)))</f>
        <v/>
      </c>
      <c r="AP188" s="82">
        <f>IF($C188="","",IF(PULL_FUND="N","",IF(COUNTIFS('Fund History'!$G$1072:$G$1076,"&gt;="&amp;DATE(YEAR_Y-2,1,1),'Fund History'!$G$1072:$G$1076,"&lt;="&amp;DATE(YEAR_Y-2,12,31))=0,"",SUMIFS('Fund History'!$H$1072:$H$1076,'Fund History'!$G$1072:$G$1076,"&gt;="&amp;DATE(YEAR_Y-2,1,1),'Fund History'!$G$1072:$G$1076,"&lt;="&amp;DATE(YEAR_Y-2,12,31))/100)))</f>
        <v/>
      </c>
      <c r="AQ188" s="82">
        <f>IF($C188="","",IF(PULL_FUND="N","",IF(COUNTIFS('Fund History'!$G$1072:$G$1076,"&gt;="&amp;DATE(YEAR_Y-1,1,1),'Fund History'!$G$1072:$G$1076,"&lt;="&amp;DATE(YEAR_Y-1,12,31))=0,"",SUMIFS('Fund History'!$H$1072:$H$1076,'Fund History'!$G$1072:$G$1076,"&gt;="&amp;DATE(YEAR_Y-1,1,1),'Fund History'!$G$1072:$G$1076,"&lt;="&amp;DATE(YEAR_Y-1,12,31))/100)))</f>
        <v/>
      </c>
      <c r="AR188" s="83">
        <f>IF($C188="","",IF(N($AQ188)+N(HSCEI!$I$43)=0,"",N($AQ188)+N(HSCEI!$I$43)/100))</f>
        <v/>
      </c>
      <c r="AS188" s="75">
        <f>IF($C188="","",IF(PULL_FUND="N","",IF(COUNTIFS('Fund History'!$D$1072:$D$1076,"&gt;="&amp;DATE(YEAR_Y-2,1,1),'Fund History'!$D$1072:$D$1076,"&lt;="&amp;DATE(YEAR_Y-2,12,31))=0,"",SUMIFS('Fund History'!$E$1072:$E$1076,'Fund History'!$D$1072:$D$1076,"&gt;="&amp;DATE(YEAR_Y-2,1,1),'Fund History'!$D$1072:$D$1076,"&lt;="&amp;DATE(YEAR_Y-2,12,31)))))</f>
        <v/>
      </c>
      <c r="AT188" s="76">
        <f>IF($C188="","",IF(PULL_FUND="N","",IF(COUNTIFS('Fund History'!$D$1072:$D$1076,"&gt;="&amp;DATE(YEAR_Y-1,1,1),'Fund History'!$D$1072:$D$1076,"&lt;="&amp;DATE(YEAR_Y-1,12,31))=0,"",SUMIFS('Fund History'!$E$1072:$E$1076,'Fund History'!$D$1072:$D$1076,"&gt;="&amp;DATE(YEAR_Y-1,1,1),'Fund History'!$D$1072:$D$1076,"&lt;="&amp;DATE(YEAR_Y-1,12,31)))))</f>
        <v/>
      </c>
      <c r="AU188" s="76">
        <f>IF($C188="","",IF(PULL_FUND="N","",IFERROR(BDP($C188,NDEBITDA_FIELD),"")))</f>
        <v/>
      </c>
      <c r="AV188" s="84">
        <f>IF($C188="","",IF(PULL_FUND="N","",IFERROR(BDP($C188,EBINT_FIELD),"")))</f>
        <v/>
      </c>
      <c r="AW188" s="82">
        <f>IF($C188="","",IF(PULL_FUND="N","",IFERROR(BDP($C188,FCF_FIELD)/100,"")))</f>
        <v/>
      </c>
      <c r="AX188" s="50">
        <f>IF($C188="","",IF(N($U188)=0,"",IFERROR($AW188/$U188,"")))</f>
        <v/>
      </c>
      <c r="AY188" s="85">
        <f>IF($C188="","",TRIM(IF(ISNUMBER($AJ188)*(N($AJ188)&gt;$D$4)&gt;0,"payout high  ","")&amp;IF(ISNUMBER($AX188)*(N($AX188)&lt;$F$4)&gt;0,"FCF below dvd  ","")&amp;IF(ISNUMBER($AU188)*(N($AU188)&gt;$H$4)&gt;0,"leverage high","")))</f>
        <v/>
      </c>
      <c r="AZ188" s="86">
        <f>IF($C188="","",IF(HSCEI!$F$43="HKD","",HSCEI!$F$43))</f>
        <v/>
      </c>
    </row>
    <row r="189">
      <c r="B189" s="66" t="inlineStr">
        <is>
          <t>HSCEI</t>
        </is>
      </c>
      <c r="C189" s="8">
        <f>IF(HSCEI!$C$44="","",HSCEI!$C$44)</f>
        <v/>
      </c>
      <c r="D189" s="8">
        <f>IF($C189="","",HSCEI!$D$44)</f>
        <v/>
      </c>
      <c r="E189" s="8">
        <f>IF($C189="","",HSCEI!$E$44)</f>
        <v/>
      </c>
      <c r="F189" s="67">
        <f>IF($C189="","",SUMPRODUCT(('Dvd Calendar'!$E$1968:$AR$1968&gt;=DATE(YEAR_Y-5,1,1))*('Dvd Calendar'!$E$1968:$AR$1968&lt;=DATE(YEAR_Y-5,12,31))*'Dvd Calendar'!$E$1971:$AR$1971*(('Dvd Calendar'!$E$1973:$AR$1973=TYPE1)*(TYPE1&lt;&gt;"")+('Dvd Calendar'!$E$1973:$AR$1973=TYPE2)*(TYPE2&lt;&gt;"")+('Dvd Calendar'!$E$1973:$AR$1973=TYPE3)*(TYPE3&lt;&gt;"")+('Dvd Calendar'!$E$1973:$AR$1973=TYPE4)*(TYPE4&lt;&gt;"")+('Dvd Calendar'!$E$1973:$AR$1973=SPECIAL_LBL)*(INC_SPECIALS="Y"))))</f>
        <v/>
      </c>
      <c r="G189" s="68">
        <f>IF($C189="","",SUMPRODUCT(('Dvd Calendar'!$E$1968:$AR$1968&gt;=DATE(YEAR_Y-4,1,1))*('Dvd Calendar'!$E$1968:$AR$1968&lt;=DATE(YEAR_Y-4,12,31))*'Dvd Calendar'!$E$1971:$AR$1971*(('Dvd Calendar'!$E$1973:$AR$1973=TYPE1)*(TYPE1&lt;&gt;"")+('Dvd Calendar'!$E$1973:$AR$1973=TYPE2)*(TYPE2&lt;&gt;"")+('Dvd Calendar'!$E$1973:$AR$1973=TYPE3)*(TYPE3&lt;&gt;"")+('Dvd Calendar'!$E$1973:$AR$1973=TYPE4)*(TYPE4&lt;&gt;"")+('Dvd Calendar'!$E$1973:$AR$1973=SPECIAL_LBL)*(INC_SPECIALS="Y"))))</f>
        <v/>
      </c>
      <c r="H189" s="68">
        <f>IF($C189="","",SUMPRODUCT(('Dvd Calendar'!$E$1968:$AR$1968&gt;=DATE(YEAR_Y-3,1,1))*('Dvd Calendar'!$E$1968:$AR$1968&lt;=DATE(YEAR_Y-3,12,31))*'Dvd Calendar'!$E$1971:$AR$1971*(('Dvd Calendar'!$E$1973:$AR$1973=TYPE1)*(TYPE1&lt;&gt;"")+('Dvd Calendar'!$E$1973:$AR$1973=TYPE2)*(TYPE2&lt;&gt;"")+('Dvd Calendar'!$E$1973:$AR$1973=TYPE3)*(TYPE3&lt;&gt;"")+('Dvd Calendar'!$E$1973:$AR$1973=TYPE4)*(TYPE4&lt;&gt;"")+('Dvd Calendar'!$E$1973:$AR$1973=SPECIAL_LBL)*(INC_SPECIALS="Y"))))</f>
        <v/>
      </c>
      <c r="I189" s="68">
        <f>IF($C189="","",SUMPRODUCT(('Dvd Calendar'!$E$1968:$AR$1968&gt;=DATE(YEAR_Y-2,1,1))*('Dvd Calendar'!$E$1968:$AR$1968&lt;=DATE(YEAR_Y-2,12,31))*'Dvd Calendar'!$E$1971:$AR$1971*(('Dvd Calendar'!$E$1973:$AR$1973=TYPE1)*(TYPE1&lt;&gt;"")+('Dvd Calendar'!$E$1973:$AR$1973=TYPE2)*(TYPE2&lt;&gt;"")+('Dvd Calendar'!$E$1973:$AR$1973=TYPE3)*(TYPE3&lt;&gt;"")+('Dvd Calendar'!$E$1973:$AR$1973=TYPE4)*(TYPE4&lt;&gt;"")+('Dvd Calendar'!$E$1973:$AR$1973=SPECIAL_LBL)*(INC_SPECIALS="Y"))))</f>
        <v/>
      </c>
      <c r="J189" s="68">
        <f>IF($C189="","",SUMPRODUCT(('Dvd Calendar'!$E$1968:$AR$1968&gt;=DATE(YEAR_Y-1,1,1))*('Dvd Calendar'!$E$1968:$AR$1968&lt;=DATE(YEAR_Y-1,12,31))*'Dvd Calendar'!$E$1971:$AR$1971*(('Dvd Calendar'!$E$1973:$AR$1973=TYPE1)*(TYPE1&lt;&gt;"")+('Dvd Calendar'!$E$1973:$AR$1973=TYPE2)*(TYPE2&lt;&gt;"")+('Dvd Calendar'!$E$1973:$AR$1973=TYPE3)*(TYPE3&lt;&gt;"")+('Dvd Calendar'!$E$1973:$AR$1973=TYPE4)*(TYPE4&lt;&gt;"")+('Dvd Calendar'!$E$1973:$AR$1973=SPECIAL_LBL)*(INC_SPECIALS="Y"))))</f>
        <v/>
      </c>
      <c r="K189" s="69">
        <f>IF($C189="","",HSCEI!$J$44)</f>
        <v/>
      </c>
      <c r="L189" s="69">
        <f>IF($C189="","",HSCEI!$K$44)</f>
        <v/>
      </c>
      <c r="M189" s="44">
        <f>IF($C189="","",HSCEI!$J$44+HSCEI!$L$44)</f>
        <v/>
      </c>
      <c r="N189" s="70">
        <f>IF($C189="","",IF(PULL_FUND="N","",IFERROR(BDP($C189,BESTDPS_FIELD,FWD_OVERRIDE,TEXT(MOD(YEAR_Y,100),"00")&amp;"Y"),"")))</f>
        <v/>
      </c>
      <c r="O189" s="69">
        <f>IF($C189="","",AVERAGE(F189:J189))</f>
        <v/>
      </c>
      <c r="P189" s="71">
        <f>IF($C189="","",IF(PULL_FUND="N","",IF(COUNTIFS('Fund History'!$J$1078:$J$1082,"&gt;="&amp;DATE(YEAR_Y-5,1,1),'Fund History'!$J$1078:$J$1082,"&lt;="&amp;DATE(YEAR_Y-5,12,31))=0,"",IFERROR($F189*HSCEI!$G$44/SUMIFS('Fund History'!$K$1078:$K$1082,'Fund History'!$J$1078:$J$1082,"&gt;="&amp;DATE(YEAR_Y-5,1,1),'Fund History'!$J$1078:$J$1082,"&lt;="&amp;DATE(YEAR_Y-5,12,31)),""))))</f>
        <v/>
      </c>
      <c r="Q189" s="72">
        <f>IF($C189="","",IF(PULL_FUND="N","",IF(COUNTIFS('Fund History'!$J$1078:$J$1082,"&gt;="&amp;DATE(YEAR_Y-4,1,1),'Fund History'!$J$1078:$J$1082,"&lt;="&amp;DATE(YEAR_Y-4,12,31))=0,"",IFERROR($G189*HSCEI!$G$44/SUMIFS('Fund History'!$K$1078:$K$1082,'Fund History'!$J$1078:$J$1082,"&gt;="&amp;DATE(YEAR_Y-4,1,1),'Fund History'!$J$1078:$J$1082,"&lt;="&amp;DATE(YEAR_Y-4,12,31)),""))))</f>
        <v/>
      </c>
      <c r="R189" s="72">
        <f>IF($C189="","",IF(PULL_FUND="N","",IF(COUNTIFS('Fund History'!$J$1078:$J$1082,"&gt;="&amp;DATE(YEAR_Y-3,1,1),'Fund History'!$J$1078:$J$1082,"&lt;="&amp;DATE(YEAR_Y-3,12,31))=0,"",IFERROR($H189*HSCEI!$G$44/SUMIFS('Fund History'!$K$1078:$K$1082,'Fund History'!$J$1078:$J$1082,"&gt;="&amp;DATE(YEAR_Y-3,1,1),'Fund History'!$J$1078:$J$1082,"&lt;="&amp;DATE(YEAR_Y-3,12,31)),""))))</f>
        <v/>
      </c>
      <c r="S189" s="72">
        <f>IF($C189="","",IF(PULL_FUND="N","",IF(COUNTIFS('Fund History'!$J$1078:$J$1082,"&gt;="&amp;DATE(YEAR_Y-2,1,1),'Fund History'!$J$1078:$J$1082,"&lt;="&amp;DATE(YEAR_Y-2,12,31))=0,"",IFERROR($I189*HSCEI!$G$44/SUMIFS('Fund History'!$K$1078:$K$1082,'Fund History'!$J$1078:$J$1082,"&gt;="&amp;DATE(YEAR_Y-2,1,1),'Fund History'!$J$1078:$J$1082,"&lt;="&amp;DATE(YEAR_Y-2,12,31)),""))))</f>
        <v/>
      </c>
      <c r="T189" s="72">
        <f>IF($C189="","",IF(PULL_FUND="N","",IF(COUNTIFS('Fund History'!$J$1078:$J$1082,"&gt;="&amp;DATE(YEAR_Y-1,1,1),'Fund History'!$J$1078:$J$1082,"&lt;="&amp;DATE(YEAR_Y-1,12,31))=0,"",IFERROR($J189*HSCEI!$G$44/SUMIFS('Fund History'!$K$1078:$K$1082,'Fund History'!$J$1078:$J$1082,"&gt;="&amp;DATE(YEAR_Y-1,1,1),'Fund History'!$J$1078:$J$1082,"&lt;="&amp;DATE(YEAR_Y-1,12,31)),""))))</f>
        <v/>
      </c>
      <c r="U189" s="73">
        <f>IF($C189="","",IF(ISNUMBER(HSCEI!$I$44),HSCEI!$I$44/100,""))</f>
        <v/>
      </c>
      <c r="V189" s="74">
        <f>IF($C189="","",IF(ISNUMBER(HSCEI!$X$44),IFERROR($M189*HSCEI!$G$44/HSCEI!$X$44,""),""))</f>
        <v/>
      </c>
      <c r="W189" s="73">
        <f>IF($C189="","",IF(ISNUMBER($N189),IFERROR($N189*HSCEI!$G$44/HSCEI!$X$44,""),""))</f>
        <v/>
      </c>
      <c r="X189" s="75">
        <f>IF($C189="","",IF(PULL_FUND="N","",IFERROR(BDP($C189,EPS_FIELD,YR_OVERRIDE,TEXT(YEAR_Y-5,"0")),"")))</f>
        <v/>
      </c>
      <c r="Y189" s="76">
        <f>IF($C189="","",IF(PULL_FUND="N","",IFERROR(BDP($C189,EPS_FIELD,YR_OVERRIDE,TEXT(YEAR_Y-4,"0")),"")))</f>
        <v/>
      </c>
      <c r="Z189" s="76">
        <f>IF($C189="","",IF(PULL_FUND="N","",IFERROR(BDP($C189,EPS_FIELD,YR_OVERRIDE,TEXT(YEAR_Y-3,"0")),"")))</f>
        <v/>
      </c>
      <c r="AA189" s="76">
        <f>IF($C189="","",IF(PULL_FUND="N","",IFERROR(BDP($C189,EPS_FIELD,YR_OVERRIDE,TEXT(YEAR_Y-2,"0")),"")))</f>
        <v/>
      </c>
      <c r="AB189" s="76">
        <f>IF($C189="","",IF(PULL_FUND="N","",IFERROR(BDP($C189,EPS_FIELD,YR_OVERRIDE,TEXT(YEAR_Y-1,"0")),"")))</f>
        <v/>
      </c>
      <c r="AC189" s="50">
        <f>IF($C189="","",IFERROR(AVERAGE(X189:AB189),""))</f>
        <v/>
      </c>
      <c r="AD189" s="76">
        <f>IF($C189="","",IF(PULL_FUND="N","",IFERROR(BDP($C189,BESTEPS_FIELD,FWD_OVERRIDE,TEXT(MOD(YEAR_Y,100),"00")&amp;"Y"),"")))</f>
        <v/>
      </c>
      <c r="AE189" s="77">
        <f>IF($C189="","",IF(PULL_FUND="N","",IFERROR(BDP($C189,PAYOUT_FIELD,YR_OVERRIDE,TEXT(YEAR_Y-5,"0"))/100,"")))</f>
        <v/>
      </c>
      <c r="AF189" s="78">
        <f>IF($C189="","",IF(PULL_FUND="N","",IFERROR(BDP($C189,PAYOUT_FIELD,YR_OVERRIDE,TEXT(YEAR_Y-4,"0"))/100,"")))</f>
        <v/>
      </c>
      <c r="AG189" s="78">
        <f>IF($C189="","",IF(PULL_FUND="N","",IFERROR(BDP($C189,PAYOUT_FIELD,YR_OVERRIDE,TEXT(YEAR_Y-3,"0"))/100,"")))</f>
        <v/>
      </c>
      <c r="AH189" s="78">
        <f>IF($C189="","",IF(PULL_FUND="N","",IFERROR(BDP($C189,PAYOUT_FIELD,YR_OVERRIDE,TEXT(YEAR_Y-2,"0"))/100,"")))</f>
        <v/>
      </c>
      <c r="AI189" s="78">
        <f>IF($C189="","",IF(PULL_FUND="N","",IFERROR(BDP($C189,PAYOUT_FIELD,YR_OVERRIDE,TEXT(YEAR_Y-1,"0"))/100,"")))</f>
        <v/>
      </c>
      <c r="AJ189" s="79">
        <f>IF($C189="","",IFERROR(AVERAGE(AE189:AI189),""))</f>
        <v/>
      </c>
      <c r="AK189" s="80">
        <f>IF($C189="","",IF(ISNUMBER($AD189)*ISNUMBER($N189)*($AD189&lt;&gt;0)=0,"",$N189/$AD189))</f>
        <v/>
      </c>
      <c r="AL189" s="79">
        <f>IF($C189="","",IF(ISNUMBER($AD189)*($AD189&lt;&gt;0)=0,"",$M189/$AD189))</f>
        <v/>
      </c>
      <c r="AM189" s="37">
        <f>IF($C189="","",IF(ISNUMBER($AE189)*ISNUMBER($AI189)=0,"",IF($AI189&gt;$AE189+0.05,"rising",IF($AI189&lt;$AE189-0.05,"falling","stable"))))</f>
        <v/>
      </c>
      <c r="AN189" s="81">
        <f>IF($C189="","",IF(PULL_FUND="N","",IF(COUNTIFS('Fund History'!$G$1078:$G$1082,"&gt;="&amp;DATE(YEAR_Y-4,1,1),'Fund History'!$G$1078:$G$1082,"&lt;="&amp;DATE(YEAR_Y-4,12,31))=0,"",SUMIFS('Fund History'!$H$1078:$H$1082,'Fund History'!$G$1078:$G$1082,"&gt;="&amp;DATE(YEAR_Y-4,1,1),'Fund History'!$G$1078:$G$1082,"&lt;="&amp;DATE(YEAR_Y-4,12,31))/100)))</f>
        <v/>
      </c>
      <c r="AO189" s="82">
        <f>IF($C189="","",IF(PULL_FUND="N","",IF(COUNTIFS('Fund History'!$G$1078:$G$1082,"&gt;="&amp;DATE(YEAR_Y-3,1,1),'Fund History'!$G$1078:$G$1082,"&lt;="&amp;DATE(YEAR_Y-3,12,31))=0,"",SUMIFS('Fund History'!$H$1078:$H$1082,'Fund History'!$G$1078:$G$1082,"&gt;="&amp;DATE(YEAR_Y-3,1,1),'Fund History'!$G$1078:$G$1082,"&lt;="&amp;DATE(YEAR_Y-3,12,31))/100)))</f>
        <v/>
      </c>
      <c r="AP189" s="82">
        <f>IF($C189="","",IF(PULL_FUND="N","",IF(COUNTIFS('Fund History'!$G$1078:$G$1082,"&gt;="&amp;DATE(YEAR_Y-2,1,1),'Fund History'!$G$1078:$G$1082,"&lt;="&amp;DATE(YEAR_Y-2,12,31))=0,"",SUMIFS('Fund History'!$H$1078:$H$1082,'Fund History'!$G$1078:$G$1082,"&gt;="&amp;DATE(YEAR_Y-2,1,1),'Fund History'!$G$1078:$G$1082,"&lt;="&amp;DATE(YEAR_Y-2,12,31))/100)))</f>
        <v/>
      </c>
      <c r="AQ189" s="82">
        <f>IF($C189="","",IF(PULL_FUND="N","",IF(COUNTIFS('Fund History'!$G$1078:$G$1082,"&gt;="&amp;DATE(YEAR_Y-1,1,1),'Fund History'!$G$1078:$G$1082,"&lt;="&amp;DATE(YEAR_Y-1,12,31))=0,"",SUMIFS('Fund History'!$H$1078:$H$1082,'Fund History'!$G$1078:$G$1082,"&gt;="&amp;DATE(YEAR_Y-1,1,1),'Fund History'!$G$1078:$G$1082,"&lt;="&amp;DATE(YEAR_Y-1,12,31))/100)))</f>
        <v/>
      </c>
      <c r="AR189" s="83">
        <f>IF($C189="","",IF(N($AQ189)+N(HSCEI!$I$44)=0,"",N($AQ189)+N(HSCEI!$I$44)/100))</f>
        <v/>
      </c>
      <c r="AS189" s="75">
        <f>IF($C189="","",IF(PULL_FUND="N","",IF(COUNTIFS('Fund History'!$D$1078:$D$1082,"&gt;="&amp;DATE(YEAR_Y-2,1,1),'Fund History'!$D$1078:$D$1082,"&lt;="&amp;DATE(YEAR_Y-2,12,31))=0,"",SUMIFS('Fund History'!$E$1078:$E$1082,'Fund History'!$D$1078:$D$1082,"&gt;="&amp;DATE(YEAR_Y-2,1,1),'Fund History'!$D$1078:$D$1082,"&lt;="&amp;DATE(YEAR_Y-2,12,31)))))</f>
        <v/>
      </c>
      <c r="AT189" s="76">
        <f>IF($C189="","",IF(PULL_FUND="N","",IF(COUNTIFS('Fund History'!$D$1078:$D$1082,"&gt;="&amp;DATE(YEAR_Y-1,1,1),'Fund History'!$D$1078:$D$1082,"&lt;="&amp;DATE(YEAR_Y-1,12,31))=0,"",SUMIFS('Fund History'!$E$1078:$E$1082,'Fund History'!$D$1078:$D$1082,"&gt;="&amp;DATE(YEAR_Y-1,1,1),'Fund History'!$D$1078:$D$1082,"&lt;="&amp;DATE(YEAR_Y-1,12,31)))))</f>
        <v/>
      </c>
      <c r="AU189" s="76">
        <f>IF($C189="","",IF(PULL_FUND="N","",IFERROR(BDP($C189,NDEBITDA_FIELD),"")))</f>
        <v/>
      </c>
      <c r="AV189" s="84">
        <f>IF($C189="","",IF(PULL_FUND="N","",IFERROR(BDP($C189,EBINT_FIELD),"")))</f>
        <v/>
      </c>
      <c r="AW189" s="82">
        <f>IF($C189="","",IF(PULL_FUND="N","",IFERROR(BDP($C189,FCF_FIELD)/100,"")))</f>
        <v/>
      </c>
      <c r="AX189" s="50">
        <f>IF($C189="","",IF(N($U189)=0,"",IFERROR($AW189/$U189,"")))</f>
        <v/>
      </c>
      <c r="AY189" s="85">
        <f>IF($C189="","",TRIM(IF(ISNUMBER($AJ189)*(N($AJ189)&gt;$D$4)&gt;0,"payout high  ","")&amp;IF(ISNUMBER($AX189)*(N($AX189)&lt;$F$4)&gt;0,"FCF below dvd  ","")&amp;IF(ISNUMBER($AU189)*(N($AU189)&gt;$H$4)&gt;0,"leverage high","")))</f>
        <v/>
      </c>
      <c r="AZ189" s="86">
        <f>IF($C189="","",IF(HSCEI!$F$44="HKD","",HSCEI!$F$44))</f>
        <v/>
      </c>
    </row>
    <row r="190">
      <c r="B190" s="66" t="inlineStr">
        <is>
          <t>HSCEI</t>
        </is>
      </c>
      <c r="C190" s="8">
        <f>IF(HSCEI!$C$45="","",HSCEI!$C$45)</f>
        <v/>
      </c>
      <c r="D190" s="8">
        <f>IF($C190="","",HSCEI!$D$45)</f>
        <v/>
      </c>
      <c r="E190" s="8">
        <f>IF($C190="","",HSCEI!$E$45)</f>
        <v/>
      </c>
      <c r="F190" s="67">
        <f>IF($C190="","",SUMPRODUCT(('Dvd Calendar'!$E$1979:$AR$1979&gt;=DATE(YEAR_Y-5,1,1))*('Dvd Calendar'!$E$1979:$AR$1979&lt;=DATE(YEAR_Y-5,12,31))*'Dvd Calendar'!$E$1982:$AR$1982*(('Dvd Calendar'!$E$1984:$AR$1984=TYPE1)*(TYPE1&lt;&gt;"")+('Dvd Calendar'!$E$1984:$AR$1984=TYPE2)*(TYPE2&lt;&gt;"")+('Dvd Calendar'!$E$1984:$AR$1984=TYPE3)*(TYPE3&lt;&gt;"")+('Dvd Calendar'!$E$1984:$AR$1984=TYPE4)*(TYPE4&lt;&gt;"")+('Dvd Calendar'!$E$1984:$AR$1984=SPECIAL_LBL)*(INC_SPECIALS="Y"))))</f>
        <v/>
      </c>
      <c r="G190" s="68">
        <f>IF($C190="","",SUMPRODUCT(('Dvd Calendar'!$E$1979:$AR$1979&gt;=DATE(YEAR_Y-4,1,1))*('Dvd Calendar'!$E$1979:$AR$1979&lt;=DATE(YEAR_Y-4,12,31))*'Dvd Calendar'!$E$1982:$AR$1982*(('Dvd Calendar'!$E$1984:$AR$1984=TYPE1)*(TYPE1&lt;&gt;"")+('Dvd Calendar'!$E$1984:$AR$1984=TYPE2)*(TYPE2&lt;&gt;"")+('Dvd Calendar'!$E$1984:$AR$1984=TYPE3)*(TYPE3&lt;&gt;"")+('Dvd Calendar'!$E$1984:$AR$1984=TYPE4)*(TYPE4&lt;&gt;"")+('Dvd Calendar'!$E$1984:$AR$1984=SPECIAL_LBL)*(INC_SPECIALS="Y"))))</f>
        <v/>
      </c>
      <c r="H190" s="68">
        <f>IF($C190="","",SUMPRODUCT(('Dvd Calendar'!$E$1979:$AR$1979&gt;=DATE(YEAR_Y-3,1,1))*('Dvd Calendar'!$E$1979:$AR$1979&lt;=DATE(YEAR_Y-3,12,31))*'Dvd Calendar'!$E$1982:$AR$1982*(('Dvd Calendar'!$E$1984:$AR$1984=TYPE1)*(TYPE1&lt;&gt;"")+('Dvd Calendar'!$E$1984:$AR$1984=TYPE2)*(TYPE2&lt;&gt;"")+('Dvd Calendar'!$E$1984:$AR$1984=TYPE3)*(TYPE3&lt;&gt;"")+('Dvd Calendar'!$E$1984:$AR$1984=TYPE4)*(TYPE4&lt;&gt;"")+('Dvd Calendar'!$E$1984:$AR$1984=SPECIAL_LBL)*(INC_SPECIALS="Y"))))</f>
        <v/>
      </c>
      <c r="I190" s="68">
        <f>IF($C190="","",SUMPRODUCT(('Dvd Calendar'!$E$1979:$AR$1979&gt;=DATE(YEAR_Y-2,1,1))*('Dvd Calendar'!$E$1979:$AR$1979&lt;=DATE(YEAR_Y-2,12,31))*'Dvd Calendar'!$E$1982:$AR$1982*(('Dvd Calendar'!$E$1984:$AR$1984=TYPE1)*(TYPE1&lt;&gt;"")+('Dvd Calendar'!$E$1984:$AR$1984=TYPE2)*(TYPE2&lt;&gt;"")+('Dvd Calendar'!$E$1984:$AR$1984=TYPE3)*(TYPE3&lt;&gt;"")+('Dvd Calendar'!$E$1984:$AR$1984=TYPE4)*(TYPE4&lt;&gt;"")+('Dvd Calendar'!$E$1984:$AR$1984=SPECIAL_LBL)*(INC_SPECIALS="Y"))))</f>
        <v/>
      </c>
      <c r="J190" s="68">
        <f>IF($C190="","",SUMPRODUCT(('Dvd Calendar'!$E$1979:$AR$1979&gt;=DATE(YEAR_Y-1,1,1))*('Dvd Calendar'!$E$1979:$AR$1979&lt;=DATE(YEAR_Y-1,12,31))*'Dvd Calendar'!$E$1982:$AR$1982*(('Dvd Calendar'!$E$1984:$AR$1984=TYPE1)*(TYPE1&lt;&gt;"")+('Dvd Calendar'!$E$1984:$AR$1984=TYPE2)*(TYPE2&lt;&gt;"")+('Dvd Calendar'!$E$1984:$AR$1984=TYPE3)*(TYPE3&lt;&gt;"")+('Dvd Calendar'!$E$1984:$AR$1984=TYPE4)*(TYPE4&lt;&gt;"")+('Dvd Calendar'!$E$1984:$AR$1984=SPECIAL_LBL)*(INC_SPECIALS="Y"))))</f>
        <v/>
      </c>
      <c r="K190" s="69">
        <f>IF($C190="","",HSCEI!$J$45)</f>
        <v/>
      </c>
      <c r="L190" s="69">
        <f>IF($C190="","",HSCEI!$K$45)</f>
        <v/>
      </c>
      <c r="M190" s="44">
        <f>IF($C190="","",HSCEI!$J$45+HSCEI!$L$45)</f>
        <v/>
      </c>
      <c r="N190" s="70">
        <f>IF($C190="","",IF(PULL_FUND="N","",IFERROR(BDP($C190,BESTDPS_FIELD,FWD_OVERRIDE,TEXT(MOD(YEAR_Y,100),"00")&amp;"Y"),"")))</f>
        <v/>
      </c>
      <c r="O190" s="69">
        <f>IF($C190="","",AVERAGE(F190:J190))</f>
        <v/>
      </c>
      <c r="P190" s="71">
        <f>IF($C190="","",IF(PULL_FUND="N","",IF(COUNTIFS('Fund History'!$J$1084:$J$1088,"&gt;="&amp;DATE(YEAR_Y-5,1,1),'Fund History'!$J$1084:$J$1088,"&lt;="&amp;DATE(YEAR_Y-5,12,31))=0,"",IFERROR($F190*HSCEI!$G$45/SUMIFS('Fund History'!$K$1084:$K$1088,'Fund History'!$J$1084:$J$1088,"&gt;="&amp;DATE(YEAR_Y-5,1,1),'Fund History'!$J$1084:$J$1088,"&lt;="&amp;DATE(YEAR_Y-5,12,31)),""))))</f>
        <v/>
      </c>
      <c r="Q190" s="72">
        <f>IF($C190="","",IF(PULL_FUND="N","",IF(COUNTIFS('Fund History'!$J$1084:$J$1088,"&gt;="&amp;DATE(YEAR_Y-4,1,1),'Fund History'!$J$1084:$J$1088,"&lt;="&amp;DATE(YEAR_Y-4,12,31))=0,"",IFERROR($G190*HSCEI!$G$45/SUMIFS('Fund History'!$K$1084:$K$1088,'Fund History'!$J$1084:$J$1088,"&gt;="&amp;DATE(YEAR_Y-4,1,1),'Fund History'!$J$1084:$J$1088,"&lt;="&amp;DATE(YEAR_Y-4,12,31)),""))))</f>
        <v/>
      </c>
      <c r="R190" s="72">
        <f>IF($C190="","",IF(PULL_FUND="N","",IF(COUNTIFS('Fund History'!$J$1084:$J$1088,"&gt;="&amp;DATE(YEAR_Y-3,1,1),'Fund History'!$J$1084:$J$1088,"&lt;="&amp;DATE(YEAR_Y-3,12,31))=0,"",IFERROR($H190*HSCEI!$G$45/SUMIFS('Fund History'!$K$1084:$K$1088,'Fund History'!$J$1084:$J$1088,"&gt;="&amp;DATE(YEAR_Y-3,1,1),'Fund History'!$J$1084:$J$1088,"&lt;="&amp;DATE(YEAR_Y-3,12,31)),""))))</f>
        <v/>
      </c>
      <c r="S190" s="72">
        <f>IF($C190="","",IF(PULL_FUND="N","",IF(COUNTIFS('Fund History'!$J$1084:$J$1088,"&gt;="&amp;DATE(YEAR_Y-2,1,1),'Fund History'!$J$1084:$J$1088,"&lt;="&amp;DATE(YEAR_Y-2,12,31))=0,"",IFERROR($I190*HSCEI!$G$45/SUMIFS('Fund History'!$K$1084:$K$1088,'Fund History'!$J$1084:$J$1088,"&gt;="&amp;DATE(YEAR_Y-2,1,1),'Fund History'!$J$1084:$J$1088,"&lt;="&amp;DATE(YEAR_Y-2,12,31)),""))))</f>
        <v/>
      </c>
      <c r="T190" s="72">
        <f>IF($C190="","",IF(PULL_FUND="N","",IF(COUNTIFS('Fund History'!$J$1084:$J$1088,"&gt;="&amp;DATE(YEAR_Y-1,1,1),'Fund History'!$J$1084:$J$1088,"&lt;="&amp;DATE(YEAR_Y-1,12,31))=0,"",IFERROR($J190*HSCEI!$G$45/SUMIFS('Fund History'!$K$1084:$K$1088,'Fund History'!$J$1084:$J$1088,"&gt;="&amp;DATE(YEAR_Y-1,1,1),'Fund History'!$J$1084:$J$1088,"&lt;="&amp;DATE(YEAR_Y-1,12,31)),""))))</f>
        <v/>
      </c>
      <c r="U190" s="73">
        <f>IF($C190="","",IF(ISNUMBER(HSCEI!$I$45),HSCEI!$I$45/100,""))</f>
        <v/>
      </c>
      <c r="V190" s="74">
        <f>IF($C190="","",IF(ISNUMBER(HSCEI!$X$45),IFERROR($M190*HSCEI!$G$45/HSCEI!$X$45,""),""))</f>
        <v/>
      </c>
      <c r="W190" s="73">
        <f>IF($C190="","",IF(ISNUMBER($N190),IFERROR($N190*HSCEI!$G$45/HSCEI!$X$45,""),""))</f>
        <v/>
      </c>
      <c r="X190" s="75">
        <f>IF($C190="","",IF(PULL_FUND="N","",IFERROR(BDP($C190,EPS_FIELD,YR_OVERRIDE,TEXT(YEAR_Y-5,"0")),"")))</f>
        <v/>
      </c>
      <c r="Y190" s="76">
        <f>IF($C190="","",IF(PULL_FUND="N","",IFERROR(BDP($C190,EPS_FIELD,YR_OVERRIDE,TEXT(YEAR_Y-4,"0")),"")))</f>
        <v/>
      </c>
      <c r="Z190" s="76">
        <f>IF($C190="","",IF(PULL_FUND="N","",IFERROR(BDP($C190,EPS_FIELD,YR_OVERRIDE,TEXT(YEAR_Y-3,"0")),"")))</f>
        <v/>
      </c>
      <c r="AA190" s="76">
        <f>IF($C190="","",IF(PULL_FUND="N","",IFERROR(BDP($C190,EPS_FIELD,YR_OVERRIDE,TEXT(YEAR_Y-2,"0")),"")))</f>
        <v/>
      </c>
      <c r="AB190" s="76">
        <f>IF($C190="","",IF(PULL_FUND="N","",IFERROR(BDP($C190,EPS_FIELD,YR_OVERRIDE,TEXT(YEAR_Y-1,"0")),"")))</f>
        <v/>
      </c>
      <c r="AC190" s="50">
        <f>IF($C190="","",IFERROR(AVERAGE(X190:AB190),""))</f>
        <v/>
      </c>
      <c r="AD190" s="76">
        <f>IF($C190="","",IF(PULL_FUND="N","",IFERROR(BDP($C190,BESTEPS_FIELD,FWD_OVERRIDE,TEXT(MOD(YEAR_Y,100),"00")&amp;"Y"),"")))</f>
        <v/>
      </c>
      <c r="AE190" s="77">
        <f>IF($C190="","",IF(PULL_FUND="N","",IFERROR(BDP($C190,PAYOUT_FIELD,YR_OVERRIDE,TEXT(YEAR_Y-5,"0"))/100,"")))</f>
        <v/>
      </c>
      <c r="AF190" s="78">
        <f>IF($C190="","",IF(PULL_FUND="N","",IFERROR(BDP($C190,PAYOUT_FIELD,YR_OVERRIDE,TEXT(YEAR_Y-4,"0"))/100,"")))</f>
        <v/>
      </c>
      <c r="AG190" s="78">
        <f>IF($C190="","",IF(PULL_FUND="N","",IFERROR(BDP($C190,PAYOUT_FIELD,YR_OVERRIDE,TEXT(YEAR_Y-3,"0"))/100,"")))</f>
        <v/>
      </c>
      <c r="AH190" s="78">
        <f>IF($C190="","",IF(PULL_FUND="N","",IFERROR(BDP($C190,PAYOUT_FIELD,YR_OVERRIDE,TEXT(YEAR_Y-2,"0"))/100,"")))</f>
        <v/>
      </c>
      <c r="AI190" s="78">
        <f>IF($C190="","",IF(PULL_FUND="N","",IFERROR(BDP($C190,PAYOUT_FIELD,YR_OVERRIDE,TEXT(YEAR_Y-1,"0"))/100,"")))</f>
        <v/>
      </c>
      <c r="AJ190" s="79">
        <f>IF($C190="","",IFERROR(AVERAGE(AE190:AI190),""))</f>
        <v/>
      </c>
      <c r="AK190" s="80">
        <f>IF($C190="","",IF(ISNUMBER($AD190)*ISNUMBER($N190)*($AD190&lt;&gt;0)=0,"",$N190/$AD190))</f>
        <v/>
      </c>
      <c r="AL190" s="79">
        <f>IF($C190="","",IF(ISNUMBER($AD190)*($AD190&lt;&gt;0)=0,"",$M190/$AD190))</f>
        <v/>
      </c>
      <c r="AM190" s="37">
        <f>IF($C190="","",IF(ISNUMBER($AE190)*ISNUMBER($AI190)=0,"",IF($AI190&gt;$AE190+0.05,"rising",IF($AI190&lt;$AE190-0.05,"falling","stable"))))</f>
        <v/>
      </c>
      <c r="AN190" s="81">
        <f>IF($C190="","",IF(PULL_FUND="N","",IF(COUNTIFS('Fund History'!$G$1084:$G$1088,"&gt;="&amp;DATE(YEAR_Y-4,1,1),'Fund History'!$G$1084:$G$1088,"&lt;="&amp;DATE(YEAR_Y-4,12,31))=0,"",SUMIFS('Fund History'!$H$1084:$H$1088,'Fund History'!$G$1084:$G$1088,"&gt;="&amp;DATE(YEAR_Y-4,1,1),'Fund History'!$G$1084:$G$1088,"&lt;="&amp;DATE(YEAR_Y-4,12,31))/100)))</f>
        <v/>
      </c>
      <c r="AO190" s="82">
        <f>IF($C190="","",IF(PULL_FUND="N","",IF(COUNTIFS('Fund History'!$G$1084:$G$1088,"&gt;="&amp;DATE(YEAR_Y-3,1,1),'Fund History'!$G$1084:$G$1088,"&lt;="&amp;DATE(YEAR_Y-3,12,31))=0,"",SUMIFS('Fund History'!$H$1084:$H$1088,'Fund History'!$G$1084:$G$1088,"&gt;="&amp;DATE(YEAR_Y-3,1,1),'Fund History'!$G$1084:$G$1088,"&lt;="&amp;DATE(YEAR_Y-3,12,31))/100)))</f>
        <v/>
      </c>
      <c r="AP190" s="82">
        <f>IF($C190="","",IF(PULL_FUND="N","",IF(COUNTIFS('Fund History'!$G$1084:$G$1088,"&gt;="&amp;DATE(YEAR_Y-2,1,1),'Fund History'!$G$1084:$G$1088,"&lt;="&amp;DATE(YEAR_Y-2,12,31))=0,"",SUMIFS('Fund History'!$H$1084:$H$1088,'Fund History'!$G$1084:$G$1088,"&gt;="&amp;DATE(YEAR_Y-2,1,1),'Fund History'!$G$1084:$G$1088,"&lt;="&amp;DATE(YEAR_Y-2,12,31))/100)))</f>
        <v/>
      </c>
      <c r="AQ190" s="82">
        <f>IF($C190="","",IF(PULL_FUND="N","",IF(COUNTIFS('Fund History'!$G$1084:$G$1088,"&gt;="&amp;DATE(YEAR_Y-1,1,1),'Fund History'!$G$1084:$G$1088,"&lt;="&amp;DATE(YEAR_Y-1,12,31))=0,"",SUMIFS('Fund History'!$H$1084:$H$1088,'Fund History'!$G$1084:$G$1088,"&gt;="&amp;DATE(YEAR_Y-1,1,1),'Fund History'!$G$1084:$G$1088,"&lt;="&amp;DATE(YEAR_Y-1,12,31))/100)))</f>
        <v/>
      </c>
      <c r="AR190" s="83">
        <f>IF($C190="","",IF(N($AQ190)+N(HSCEI!$I$45)=0,"",N($AQ190)+N(HSCEI!$I$45)/100))</f>
        <v/>
      </c>
      <c r="AS190" s="75">
        <f>IF($C190="","",IF(PULL_FUND="N","",IF(COUNTIFS('Fund History'!$D$1084:$D$1088,"&gt;="&amp;DATE(YEAR_Y-2,1,1),'Fund History'!$D$1084:$D$1088,"&lt;="&amp;DATE(YEAR_Y-2,12,31))=0,"",SUMIFS('Fund History'!$E$1084:$E$1088,'Fund History'!$D$1084:$D$1088,"&gt;="&amp;DATE(YEAR_Y-2,1,1),'Fund History'!$D$1084:$D$1088,"&lt;="&amp;DATE(YEAR_Y-2,12,31)))))</f>
        <v/>
      </c>
      <c r="AT190" s="76">
        <f>IF($C190="","",IF(PULL_FUND="N","",IF(COUNTIFS('Fund History'!$D$1084:$D$1088,"&gt;="&amp;DATE(YEAR_Y-1,1,1),'Fund History'!$D$1084:$D$1088,"&lt;="&amp;DATE(YEAR_Y-1,12,31))=0,"",SUMIFS('Fund History'!$E$1084:$E$1088,'Fund History'!$D$1084:$D$1088,"&gt;="&amp;DATE(YEAR_Y-1,1,1),'Fund History'!$D$1084:$D$1088,"&lt;="&amp;DATE(YEAR_Y-1,12,31)))))</f>
        <v/>
      </c>
      <c r="AU190" s="76">
        <f>IF($C190="","",IF(PULL_FUND="N","",IFERROR(BDP($C190,NDEBITDA_FIELD),"")))</f>
        <v/>
      </c>
      <c r="AV190" s="84">
        <f>IF($C190="","",IF(PULL_FUND="N","",IFERROR(BDP($C190,EBINT_FIELD),"")))</f>
        <v/>
      </c>
      <c r="AW190" s="82">
        <f>IF($C190="","",IF(PULL_FUND="N","",IFERROR(BDP($C190,FCF_FIELD)/100,"")))</f>
        <v/>
      </c>
      <c r="AX190" s="50">
        <f>IF($C190="","",IF(N($U190)=0,"",IFERROR($AW190/$U190,"")))</f>
        <v/>
      </c>
      <c r="AY190" s="85">
        <f>IF($C190="","",TRIM(IF(ISNUMBER($AJ190)*(N($AJ190)&gt;$D$4)&gt;0,"payout high  ","")&amp;IF(ISNUMBER($AX190)*(N($AX190)&lt;$F$4)&gt;0,"FCF below dvd  ","")&amp;IF(ISNUMBER($AU190)*(N($AU190)&gt;$H$4)&gt;0,"leverage high","")))</f>
        <v/>
      </c>
      <c r="AZ190" s="86">
        <f>IF($C190="","",IF(HSCEI!$F$45="HKD","",HSCEI!$F$45))</f>
        <v/>
      </c>
    </row>
    <row r="191">
      <c r="B191" s="66" t="inlineStr">
        <is>
          <t>HSCEI</t>
        </is>
      </c>
      <c r="C191" s="8">
        <f>IF(HSCEI!$C$46="","",HSCEI!$C$46)</f>
        <v/>
      </c>
      <c r="D191" s="8">
        <f>IF($C191="","",HSCEI!$D$46)</f>
        <v/>
      </c>
      <c r="E191" s="8">
        <f>IF($C191="","",HSCEI!$E$46)</f>
        <v/>
      </c>
      <c r="F191" s="67">
        <f>IF($C191="","",SUMPRODUCT(('Dvd Calendar'!$E$1990:$AR$1990&gt;=DATE(YEAR_Y-5,1,1))*('Dvd Calendar'!$E$1990:$AR$1990&lt;=DATE(YEAR_Y-5,12,31))*'Dvd Calendar'!$E$1993:$AR$1993*(('Dvd Calendar'!$E$1995:$AR$1995=TYPE1)*(TYPE1&lt;&gt;"")+('Dvd Calendar'!$E$1995:$AR$1995=TYPE2)*(TYPE2&lt;&gt;"")+('Dvd Calendar'!$E$1995:$AR$1995=TYPE3)*(TYPE3&lt;&gt;"")+('Dvd Calendar'!$E$1995:$AR$1995=TYPE4)*(TYPE4&lt;&gt;"")+('Dvd Calendar'!$E$1995:$AR$1995=SPECIAL_LBL)*(INC_SPECIALS="Y"))))</f>
        <v/>
      </c>
      <c r="G191" s="68">
        <f>IF($C191="","",SUMPRODUCT(('Dvd Calendar'!$E$1990:$AR$1990&gt;=DATE(YEAR_Y-4,1,1))*('Dvd Calendar'!$E$1990:$AR$1990&lt;=DATE(YEAR_Y-4,12,31))*'Dvd Calendar'!$E$1993:$AR$1993*(('Dvd Calendar'!$E$1995:$AR$1995=TYPE1)*(TYPE1&lt;&gt;"")+('Dvd Calendar'!$E$1995:$AR$1995=TYPE2)*(TYPE2&lt;&gt;"")+('Dvd Calendar'!$E$1995:$AR$1995=TYPE3)*(TYPE3&lt;&gt;"")+('Dvd Calendar'!$E$1995:$AR$1995=TYPE4)*(TYPE4&lt;&gt;"")+('Dvd Calendar'!$E$1995:$AR$1995=SPECIAL_LBL)*(INC_SPECIALS="Y"))))</f>
        <v/>
      </c>
      <c r="H191" s="68">
        <f>IF($C191="","",SUMPRODUCT(('Dvd Calendar'!$E$1990:$AR$1990&gt;=DATE(YEAR_Y-3,1,1))*('Dvd Calendar'!$E$1990:$AR$1990&lt;=DATE(YEAR_Y-3,12,31))*'Dvd Calendar'!$E$1993:$AR$1993*(('Dvd Calendar'!$E$1995:$AR$1995=TYPE1)*(TYPE1&lt;&gt;"")+('Dvd Calendar'!$E$1995:$AR$1995=TYPE2)*(TYPE2&lt;&gt;"")+('Dvd Calendar'!$E$1995:$AR$1995=TYPE3)*(TYPE3&lt;&gt;"")+('Dvd Calendar'!$E$1995:$AR$1995=TYPE4)*(TYPE4&lt;&gt;"")+('Dvd Calendar'!$E$1995:$AR$1995=SPECIAL_LBL)*(INC_SPECIALS="Y"))))</f>
        <v/>
      </c>
      <c r="I191" s="68">
        <f>IF($C191="","",SUMPRODUCT(('Dvd Calendar'!$E$1990:$AR$1990&gt;=DATE(YEAR_Y-2,1,1))*('Dvd Calendar'!$E$1990:$AR$1990&lt;=DATE(YEAR_Y-2,12,31))*'Dvd Calendar'!$E$1993:$AR$1993*(('Dvd Calendar'!$E$1995:$AR$1995=TYPE1)*(TYPE1&lt;&gt;"")+('Dvd Calendar'!$E$1995:$AR$1995=TYPE2)*(TYPE2&lt;&gt;"")+('Dvd Calendar'!$E$1995:$AR$1995=TYPE3)*(TYPE3&lt;&gt;"")+('Dvd Calendar'!$E$1995:$AR$1995=TYPE4)*(TYPE4&lt;&gt;"")+('Dvd Calendar'!$E$1995:$AR$1995=SPECIAL_LBL)*(INC_SPECIALS="Y"))))</f>
        <v/>
      </c>
      <c r="J191" s="68">
        <f>IF($C191="","",SUMPRODUCT(('Dvd Calendar'!$E$1990:$AR$1990&gt;=DATE(YEAR_Y-1,1,1))*('Dvd Calendar'!$E$1990:$AR$1990&lt;=DATE(YEAR_Y-1,12,31))*'Dvd Calendar'!$E$1993:$AR$1993*(('Dvd Calendar'!$E$1995:$AR$1995=TYPE1)*(TYPE1&lt;&gt;"")+('Dvd Calendar'!$E$1995:$AR$1995=TYPE2)*(TYPE2&lt;&gt;"")+('Dvd Calendar'!$E$1995:$AR$1995=TYPE3)*(TYPE3&lt;&gt;"")+('Dvd Calendar'!$E$1995:$AR$1995=TYPE4)*(TYPE4&lt;&gt;"")+('Dvd Calendar'!$E$1995:$AR$1995=SPECIAL_LBL)*(INC_SPECIALS="Y"))))</f>
        <v/>
      </c>
      <c r="K191" s="69">
        <f>IF($C191="","",HSCEI!$J$46)</f>
        <v/>
      </c>
      <c r="L191" s="69">
        <f>IF($C191="","",HSCEI!$K$46)</f>
        <v/>
      </c>
      <c r="M191" s="44">
        <f>IF($C191="","",HSCEI!$J$46+HSCEI!$L$46)</f>
        <v/>
      </c>
      <c r="N191" s="70">
        <f>IF($C191="","",IF(PULL_FUND="N","",IFERROR(BDP($C191,BESTDPS_FIELD,FWD_OVERRIDE,TEXT(MOD(YEAR_Y,100),"00")&amp;"Y"),"")))</f>
        <v/>
      </c>
      <c r="O191" s="69">
        <f>IF($C191="","",AVERAGE(F191:J191))</f>
        <v/>
      </c>
      <c r="P191" s="71">
        <f>IF($C191="","",IF(PULL_FUND="N","",IF(COUNTIFS('Fund History'!$J$1090:$J$1094,"&gt;="&amp;DATE(YEAR_Y-5,1,1),'Fund History'!$J$1090:$J$1094,"&lt;="&amp;DATE(YEAR_Y-5,12,31))=0,"",IFERROR($F191*HSCEI!$G$46/SUMIFS('Fund History'!$K$1090:$K$1094,'Fund History'!$J$1090:$J$1094,"&gt;="&amp;DATE(YEAR_Y-5,1,1),'Fund History'!$J$1090:$J$1094,"&lt;="&amp;DATE(YEAR_Y-5,12,31)),""))))</f>
        <v/>
      </c>
      <c r="Q191" s="72">
        <f>IF($C191="","",IF(PULL_FUND="N","",IF(COUNTIFS('Fund History'!$J$1090:$J$1094,"&gt;="&amp;DATE(YEAR_Y-4,1,1),'Fund History'!$J$1090:$J$1094,"&lt;="&amp;DATE(YEAR_Y-4,12,31))=0,"",IFERROR($G191*HSCEI!$G$46/SUMIFS('Fund History'!$K$1090:$K$1094,'Fund History'!$J$1090:$J$1094,"&gt;="&amp;DATE(YEAR_Y-4,1,1),'Fund History'!$J$1090:$J$1094,"&lt;="&amp;DATE(YEAR_Y-4,12,31)),""))))</f>
        <v/>
      </c>
      <c r="R191" s="72">
        <f>IF($C191="","",IF(PULL_FUND="N","",IF(COUNTIFS('Fund History'!$J$1090:$J$1094,"&gt;="&amp;DATE(YEAR_Y-3,1,1),'Fund History'!$J$1090:$J$1094,"&lt;="&amp;DATE(YEAR_Y-3,12,31))=0,"",IFERROR($H191*HSCEI!$G$46/SUMIFS('Fund History'!$K$1090:$K$1094,'Fund History'!$J$1090:$J$1094,"&gt;="&amp;DATE(YEAR_Y-3,1,1),'Fund History'!$J$1090:$J$1094,"&lt;="&amp;DATE(YEAR_Y-3,12,31)),""))))</f>
        <v/>
      </c>
      <c r="S191" s="72">
        <f>IF($C191="","",IF(PULL_FUND="N","",IF(COUNTIFS('Fund History'!$J$1090:$J$1094,"&gt;="&amp;DATE(YEAR_Y-2,1,1),'Fund History'!$J$1090:$J$1094,"&lt;="&amp;DATE(YEAR_Y-2,12,31))=0,"",IFERROR($I191*HSCEI!$G$46/SUMIFS('Fund History'!$K$1090:$K$1094,'Fund History'!$J$1090:$J$1094,"&gt;="&amp;DATE(YEAR_Y-2,1,1),'Fund History'!$J$1090:$J$1094,"&lt;="&amp;DATE(YEAR_Y-2,12,31)),""))))</f>
        <v/>
      </c>
      <c r="T191" s="72">
        <f>IF($C191="","",IF(PULL_FUND="N","",IF(COUNTIFS('Fund History'!$J$1090:$J$1094,"&gt;="&amp;DATE(YEAR_Y-1,1,1),'Fund History'!$J$1090:$J$1094,"&lt;="&amp;DATE(YEAR_Y-1,12,31))=0,"",IFERROR($J191*HSCEI!$G$46/SUMIFS('Fund History'!$K$1090:$K$1094,'Fund History'!$J$1090:$J$1094,"&gt;="&amp;DATE(YEAR_Y-1,1,1),'Fund History'!$J$1090:$J$1094,"&lt;="&amp;DATE(YEAR_Y-1,12,31)),""))))</f>
        <v/>
      </c>
      <c r="U191" s="73">
        <f>IF($C191="","",IF(ISNUMBER(HSCEI!$I$46),HSCEI!$I$46/100,""))</f>
        <v/>
      </c>
      <c r="V191" s="74">
        <f>IF($C191="","",IF(ISNUMBER(HSCEI!$X$46),IFERROR($M191*HSCEI!$G$46/HSCEI!$X$46,""),""))</f>
        <v/>
      </c>
      <c r="W191" s="73">
        <f>IF($C191="","",IF(ISNUMBER($N191),IFERROR($N191*HSCEI!$G$46/HSCEI!$X$46,""),""))</f>
        <v/>
      </c>
      <c r="X191" s="75">
        <f>IF($C191="","",IF(PULL_FUND="N","",IFERROR(BDP($C191,EPS_FIELD,YR_OVERRIDE,TEXT(YEAR_Y-5,"0")),"")))</f>
        <v/>
      </c>
      <c r="Y191" s="76">
        <f>IF($C191="","",IF(PULL_FUND="N","",IFERROR(BDP($C191,EPS_FIELD,YR_OVERRIDE,TEXT(YEAR_Y-4,"0")),"")))</f>
        <v/>
      </c>
      <c r="Z191" s="76">
        <f>IF($C191="","",IF(PULL_FUND="N","",IFERROR(BDP($C191,EPS_FIELD,YR_OVERRIDE,TEXT(YEAR_Y-3,"0")),"")))</f>
        <v/>
      </c>
      <c r="AA191" s="76">
        <f>IF($C191="","",IF(PULL_FUND="N","",IFERROR(BDP($C191,EPS_FIELD,YR_OVERRIDE,TEXT(YEAR_Y-2,"0")),"")))</f>
        <v/>
      </c>
      <c r="AB191" s="76">
        <f>IF($C191="","",IF(PULL_FUND="N","",IFERROR(BDP($C191,EPS_FIELD,YR_OVERRIDE,TEXT(YEAR_Y-1,"0")),"")))</f>
        <v/>
      </c>
      <c r="AC191" s="50">
        <f>IF($C191="","",IFERROR(AVERAGE(X191:AB191),""))</f>
        <v/>
      </c>
      <c r="AD191" s="76">
        <f>IF($C191="","",IF(PULL_FUND="N","",IFERROR(BDP($C191,BESTEPS_FIELD,FWD_OVERRIDE,TEXT(MOD(YEAR_Y,100),"00")&amp;"Y"),"")))</f>
        <v/>
      </c>
      <c r="AE191" s="77">
        <f>IF($C191="","",IF(PULL_FUND="N","",IFERROR(BDP($C191,PAYOUT_FIELD,YR_OVERRIDE,TEXT(YEAR_Y-5,"0"))/100,"")))</f>
        <v/>
      </c>
      <c r="AF191" s="78">
        <f>IF($C191="","",IF(PULL_FUND="N","",IFERROR(BDP($C191,PAYOUT_FIELD,YR_OVERRIDE,TEXT(YEAR_Y-4,"0"))/100,"")))</f>
        <v/>
      </c>
      <c r="AG191" s="78">
        <f>IF($C191="","",IF(PULL_FUND="N","",IFERROR(BDP($C191,PAYOUT_FIELD,YR_OVERRIDE,TEXT(YEAR_Y-3,"0"))/100,"")))</f>
        <v/>
      </c>
      <c r="AH191" s="78">
        <f>IF($C191="","",IF(PULL_FUND="N","",IFERROR(BDP($C191,PAYOUT_FIELD,YR_OVERRIDE,TEXT(YEAR_Y-2,"0"))/100,"")))</f>
        <v/>
      </c>
      <c r="AI191" s="78">
        <f>IF($C191="","",IF(PULL_FUND="N","",IFERROR(BDP($C191,PAYOUT_FIELD,YR_OVERRIDE,TEXT(YEAR_Y-1,"0"))/100,"")))</f>
        <v/>
      </c>
      <c r="AJ191" s="79">
        <f>IF($C191="","",IFERROR(AVERAGE(AE191:AI191),""))</f>
        <v/>
      </c>
      <c r="AK191" s="80">
        <f>IF($C191="","",IF(ISNUMBER($AD191)*ISNUMBER($N191)*($AD191&lt;&gt;0)=0,"",$N191/$AD191))</f>
        <v/>
      </c>
      <c r="AL191" s="79">
        <f>IF($C191="","",IF(ISNUMBER($AD191)*($AD191&lt;&gt;0)=0,"",$M191/$AD191))</f>
        <v/>
      </c>
      <c r="AM191" s="37">
        <f>IF($C191="","",IF(ISNUMBER($AE191)*ISNUMBER($AI191)=0,"",IF($AI191&gt;$AE191+0.05,"rising",IF($AI191&lt;$AE191-0.05,"falling","stable"))))</f>
        <v/>
      </c>
      <c r="AN191" s="81">
        <f>IF($C191="","",IF(PULL_FUND="N","",IF(COUNTIFS('Fund History'!$G$1090:$G$1094,"&gt;="&amp;DATE(YEAR_Y-4,1,1),'Fund History'!$G$1090:$G$1094,"&lt;="&amp;DATE(YEAR_Y-4,12,31))=0,"",SUMIFS('Fund History'!$H$1090:$H$1094,'Fund History'!$G$1090:$G$1094,"&gt;="&amp;DATE(YEAR_Y-4,1,1),'Fund History'!$G$1090:$G$1094,"&lt;="&amp;DATE(YEAR_Y-4,12,31))/100)))</f>
        <v/>
      </c>
      <c r="AO191" s="82">
        <f>IF($C191="","",IF(PULL_FUND="N","",IF(COUNTIFS('Fund History'!$G$1090:$G$1094,"&gt;="&amp;DATE(YEAR_Y-3,1,1),'Fund History'!$G$1090:$G$1094,"&lt;="&amp;DATE(YEAR_Y-3,12,31))=0,"",SUMIFS('Fund History'!$H$1090:$H$1094,'Fund History'!$G$1090:$G$1094,"&gt;="&amp;DATE(YEAR_Y-3,1,1),'Fund History'!$G$1090:$G$1094,"&lt;="&amp;DATE(YEAR_Y-3,12,31))/100)))</f>
        <v/>
      </c>
      <c r="AP191" s="82">
        <f>IF($C191="","",IF(PULL_FUND="N","",IF(COUNTIFS('Fund History'!$G$1090:$G$1094,"&gt;="&amp;DATE(YEAR_Y-2,1,1),'Fund History'!$G$1090:$G$1094,"&lt;="&amp;DATE(YEAR_Y-2,12,31))=0,"",SUMIFS('Fund History'!$H$1090:$H$1094,'Fund History'!$G$1090:$G$1094,"&gt;="&amp;DATE(YEAR_Y-2,1,1),'Fund History'!$G$1090:$G$1094,"&lt;="&amp;DATE(YEAR_Y-2,12,31))/100)))</f>
        <v/>
      </c>
      <c r="AQ191" s="82">
        <f>IF($C191="","",IF(PULL_FUND="N","",IF(COUNTIFS('Fund History'!$G$1090:$G$1094,"&gt;="&amp;DATE(YEAR_Y-1,1,1),'Fund History'!$G$1090:$G$1094,"&lt;="&amp;DATE(YEAR_Y-1,12,31))=0,"",SUMIFS('Fund History'!$H$1090:$H$1094,'Fund History'!$G$1090:$G$1094,"&gt;="&amp;DATE(YEAR_Y-1,1,1),'Fund History'!$G$1090:$G$1094,"&lt;="&amp;DATE(YEAR_Y-1,12,31))/100)))</f>
        <v/>
      </c>
      <c r="AR191" s="83">
        <f>IF($C191="","",IF(N($AQ191)+N(HSCEI!$I$46)=0,"",N($AQ191)+N(HSCEI!$I$46)/100))</f>
        <v/>
      </c>
      <c r="AS191" s="75">
        <f>IF($C191="","",IF(PULL_FUND="N","",IF(COUNTIFS('Fund History'!$D$1090:$D$1094,"&gt;="&amp;DATE(YEAR_Y-2,1,1),'Fund History'!$D$1090:$D$1094,"&lt;="&amp;DATE(YEAR_Y-2,12,31))=0,"",SUMIFS('Fund History'!$E$1090:$E$1094,'Fund History'!$D$1090:$D$1094,"&gt;="&amp;DATE(YEAR_Y-2,1,1),'Fund History'!$D$1090:$D$1094,"&lt;="&amp;DATE(YEAR_Y-2,12,31)))))</f>
        <v/>
      </c>
      <c r="AT191" s="76">
        <f>IF($C191="","",IF(PULL_FUND="N","",IF(COUNTIFS('Fund History'!$D$1090:$D$1094,"&gt;="&amp;DATE(YEAR_Y-1,1,1),'Fund History'!$D$1090:$D$1094,"&lt;="&amp;DATE(YEAR_Y-1,12,31))=0,"",SUMIFS('Fund History'!$E$1090:$E$1094,'Fund History'!$D$1090:$D$1094,"&gt;="&amp;DATE(YEAR_Y-1,1,1),'Fund History'!$D$1090:$D$1094,"&lt;="&amp;DATE(YEAR_Y-1,12,31)))))</f>
        <v/>
      </c>
      <c r="AU191" s="76">
        <f>IF($C191="","",IF(PULL_FUND="N","",IFERROR(BDP($C191,NDEBITDA_FIELD),"")))</f>
        <v/>
      </c>
      <c r="AV191" s="84">
        <f>IF($C191="","",IF(PULL_FUND="N","",IFERROR(BDP($C191,EBINT_FIELD),"")))</f>
        <v/>
      </c>
      <c r="AW191" s="82">
        <f>IF($C191="","",IF(PULL_FUND="N","",IFERROR(BDP($C191,FCF_FIELD)/100,"")))</f>
        <v/>
      </c>
      <c r="AX191" s="50">
        <f>IF($C191="","",IF(N($U191)=0,"",IFERROR($AW191/$U191,"")))</f>
        <v/>
      </c>
      <c r="AY191" s="85">
        <f>IF($C191="","",TRIM(IF(ISNUMBER($AJ191)*(N($AJ191)&gt;$D$4)&gt;0,"payout high  ","")&amp;IF(ISNUMBER($AX191)*(N($AX191)&lt;$F$4)&gt;0,"FCF below dvd  ","")&amp;IF(ISNUMBER($AU191)*(N($AU191)&gt;$H$4)&gt;0,"leverage high","")))</f>
        <v/>
      </c>
      <c r="AZ191" s="86">
        <f>IF($C191="","",IF(HSCEI!$F$46="HKD","",HSCEI!$F$46))</f>
        <v/>
      </c>
    </row>
    <row r="192">
      <c r="B192" s="66" t="inlineStr">
        <is>
          <t>HSCEI</t>
        </is>
      </c>
      <c r="C192" s="8">
        <f>IF(HSCEI!$C$47="","",HSCEI!$C$47)</f>
        <v/>
      </c>
      <c r="D192" s="8">
        <f>IF($C192="","",HSCEI!$D$47)</f>
        <v/>
      </c>
      <c r="E192" s="8">
        <f>IF($C192="","",HSCEI!$E$47)</f>
        <v/>
      </c>
      <c r="F192" s="67">
        <f>IF($C192="","",SUMPRODUCT(('Dvd Calendar'!$E$2001:$AR$2001&gt;=DATE(YEAR_Y-5,1,1))*('Dvd Calendar'!$E$2001:$AR$2001&lt;=DATE(YEAR_Y-5,12,31))*'Dvd Calendar'!$E$2004:$AR$2004*(('Dvd Calendar'!$E$2006:$AR$2006=TYPE1)*(TYPE1&lt;&gt;"")+('Dvd Calendar'!$E$2006:$AR$2006=TYPE2)*(TYPE2&lt;&gt;"")+('Dvd Calendar'!$E$2006:$AR$2006=TYPE3)*(TYPE3&lt;&gt;"")+('Dvd Calendar'!$E$2006:$AR$2006=TYPE4)*(TYPE4&lt;&gt;"")+('Dvd Calendar'!$E$2006:$AR$2006=SPECIAL_LBL)*(INC_SPECIALS="Y"))))</f>
        <v/>
      </c>
      <c r="G192" s="68">
        <f>IF($C192="","",SUMPRODUCT(('Dvd Calendar'!$E$2001:$AR$2001&gt;=DATE(YEAR_Y-4,1,1))*('Dvd Calendar'!$E$2001:$AR$2001&lt;=DATE(YEAR_Y-4,12,31))*'Dvd Calendar'!$E$2004:$AR$2004*(('Dvd Calendar'!$E$2006:$AR$2006=TYPE1)*(TYPE1&lt;&gt;"")+('Dvd Calendar'!$E$2006:$AR$2006=TYPE2)*(TYPE2&lt;&gt;"")+('Dvd Calendar'!$E$2006:$AR$2006=TYPE3)*(TYPE3&lt;&gt;"")+('Dvd Calendar'!$E$2006:$AR$2006=TYPE4)*(TYPE4&lt;&gt;"")+('Dvd Calendar'!$E$2006:$AR$2006=SPECIAL_LBL)*(INC_SPECIALS="Y"))))</f>
        <v/>
      </c>
      <c r="H192" s="68">
        <f>IF($C192="","",SUMPRODUCT(('Dvd Calendar'!$E$2001:$AR$2001&gt;=DATE(YEAR_Y-3,1,1))*('Dvd Calendar'!$E$2001:$AR$2001&lt;=DATE(YEAR_Y-3,12,31))*'Dvd Calendar'!$E$2004:$AR$2004*(('Dvd Calendar'!$E$2006:$AR$2006=TYPE1)*(TYPE1&lt;&gt;"")+('Dvd Calendar'!$E$2006:$AR$2006=TYPE2)*(TYPE2&lt;&gt;"")+('Dvd Calendar'!$E$2006:$AR$2006=TYPE3)*(TYPE3&lt;&gt;"")+('Dvd Calendar'!$E$2006:$AR$2006=TYPE4)*(TYPE4&lt;&gt;"")+('Dvd Calendar'!$E$2006:$AR$2006=SPECIAL_LBL)*(INC_SPECIALS="Y"))))</f>
        <v/>
      </c>
      <c r="I192" s="68">
        <f>IF($C192="","",SUMPRODUCT(('Dvd Calendar'!$E$2001:$AR$2001&gt;=DATE(YEAR_Y-2,1,1))*('Dvd Calendar'!$E$2001:$AR$2001&lt;=DATE(YEAR_Y-2,12,31))*'Dvd Calendar'!$E$2004:$AR$2004*(('Dvd Calendar'!$E$2006:$AR$2006=TYPE1)*(TYPE1&lt;&gt;"")+('Dvd Calendar'!$E$2006:$AR$2006=TYPE2)*(TYPE2&lt;&gt;"")+('Dvd Calendar'!$E$2006:$AR$2006=TYPE3)*(TYPE3&lt;&gt;"")+('Dvd Calendar'!$E$2006:$AR$2006=TYPE4)*(TYPE4&lt;&gt;"")+('Dvd Calendar'!$E$2006:$AR$2006=SPECIAL_LBL)*(INC_SPECIALS="Y"))))</f>
        <v/>
      </c>
      <c r="J192" s="68">
        <f>IF($C192="","",SUMPRODUCT(('Dvd Calendar'!$E$2001:$AR$2001&gt;=DATE(YEAR_Y-1,1,1))*('Dvd Calendar'!$E$2001:$AR$2001&lt;=DATE(YEAR_Y-1,12,31))*'Dvd Calendar'!$E$2004:$AR$2004*(('Dvd Calendar'!$E$2006:$AR$2006=TYPE1)*(TYPE1&lt;&gt;"")+('Dvd Calendar'!$E$2006:$AR$2006=TYPE2)*(TYPE2&lt;&gt;"")+('Dvd Calendar'!$E$2006:$AR$2006=TYPE3)*(TYPE3&lt;&gt;"")+('Dvd Calendar'!$E$2006:$AR$2006=TYPE4)*(TYPE4&lt;&gt;"")+('Dvd Calendar'!$E$2006:$AR$2006=SPECIAL_LBL)*(INC_SPECIALS="Y"))))</f>
        <v/>
      </c>
      <c r="K192" s="69">
        <f>IF($C192="","",HSCEI!$J$47)</f>
        <v/>
      </c>
      <c r="L192" s="69">
        <f>IF($C192="","",HSCEI!$K$47)</f>
        <v/>
      </c>
      <c r="M192" s="44">
        <f>IF($C192="","",HSCEI!$J$47+HSCEI!$L$47)</f>
        <v/>
      </c>
      <c r="N192" s="70">
        <f>IF($C192="","",IF(PULL_FUND="N","",IFERROR(BDP($C192,BESTDPS_FIELD,FWD_OVERRIDE,TEXT(MOD(YEAR_Y,100),"00")&amp;"Y"),"")))</f>
        <v/>
      </c>
      <c r="O192" s="69">
        <f>IF($C192="","",AVERAGE(F192:J192))</f>
        <v/>
      </c>
      <c r="P192" s="71">
        <f>IF($C192="","",IF(PULL_FUND="N","",IF(COUNTIFS('Fund History'!$J$1096:$J$1100,"&gt;="&amp;DATE(YEAR_Y-5,1,1),'Fund History'!$J$1096:$J$1100,"&lt;="&amp;DATE(YEAR_Y-5,12,31))=0,"",IFERROR($F192*HSCEI!$G$47/SUMIFS('Fund History'!$K$1096:$K$1100,'Fund History'!$J$1096:$J$1100,"&gt;="&amp;DATE(YEAR_Y-5,1,1),'Fund History'!$J$1096:$J$1100,"&lt;="&amp;DATE(YEAR_Y-5,12,31)),""))))</f>
        <v/>
      </c>
      <c r="Q192" s="72">
        <f>IF($C192="","",IF(PULL_FUND="N","",IF(COUNTIFS('Fund History'!$J$1096:$J$1100,"&gt;="&amp;DATE(YEAR_Y-4,1,1),'Fund History'!$J$1096:$J$1100,"&lt;="&amp;DATE(YEAR_Y-4,12,31))=0,"",IFERROR($G192*HSCEI!$G$47/SUMIFS('Fund History'!$K$1096:$K$1100,'Fund History'!$J$1096:$J$1100,"&gt;="&amp;DATE(YEAR_Y-4,1,1),'Fund History'!$J$1096:$J$1100,"&lt;="&amp;DATE(YEAR_Y-4,12,31)),""))))</f>
        <v/>
      </c>
      <c r="R192" s="72">
        <f>IF($C192="","",IF(PULL_FUND="N","",IF(COUNTIFS('Fund History'!$J$1096:$J$1100,"&gt;="&amp;DATE(YEAR_Y-3,1,1),'Fund History'!$J$1096:$J$1100,"&lt;="&amp;DATE(YEAR_Y-3,12,31))=0,"",IFERROR($H192*HSCEI!$G$47/SUMIFS('Fund History'!$K$1096:$K$1100,'Fund History'!$J$1096:$J$1100,"&gt;="&amp;DATE(YEAR_Y-3,1,1),'Fund History'!$J$1096:$J$1100,"&lt;="&amp;DATE(YEAR_Y-3,12,31)),""))))</f>
        <v/>
      </c>
      <c r="S192" s="72">
        <f>IF($C192="","",IF(PULL_FUND="N","",IF(COUNTIFS('Fund History'!$J$1096:$J$1100,"&gt;="&amp;DATE(YEAR_Y-2,1,1),'Fund History'!$J$1096:$J$1100,"&lt;="&amp;DATE(YEAR_Y-2,12,31))=0,"",IFERROR($I192*HSCEI!$G$47/SUMIFS('Fund History'!$K$1096:$K$1100,'Fund History'!$J$1096:$J$1100,"&gt;="&amp;DATE(YEAR_Y-2,1,1),'Fund History'!$J$1096:$J$1100,"&lt;="&amp;DATE(YEAR_Y-2,12,31)),""))))</f>
        <v/>
      </c>
      <c r="T192" s="72">
        <f>IF($C192="","",IF(PULL_FUND="N","",IF(COUNTIFS('Fund History'!$J$1096:$J$1100,"&gt;="&amp;DATE(YEAR_Y-1,1,1),'Fund History'!$J$1096:$J$1100,"&lt;="&amp;DATE(YEAR_Y-1,12,31))=0,"",IFERROR($J192*HSCEI!$G$47/SUMIFS('Fund History'!$K$1096:$K$1100,'Fund History'!$J$1096:$J$1100,"&gt;="&amp;DATE(YEAR_Y-1,1,1),'Fund History'!$J$1096:$J$1100,"&lt;="&amp;DATE(YEAR_Y-1,12,31)),""))))</f>
        <v/>
      </c>
      <c r="U192" s="73">
        <f>IF($C192="","",IF(ISNUMBER(HSCEI!$I$47),HSCEI!$I$47/100,""))</f>
        <v/>
      </c>
      <c r="V192" s="74">
        <f>IF($C192="","",IF(ISNUMBER(HSCEI!$X$47),IFERROR($M192*HSCEI!$G$47/HSCEI!$X$47,""),""))</f>
        <v/>
      </c>
      <c r="W192" s="73">
        <f>IF($C192="","",IF(ISNUMBER($N192),IFERROR($N192*HSCEI!$G$47/HSCEI!$X$47,""),""))</f>
        <v/>
      </c>
      <c r="X192" s="75">
        <f>IF($C192="","",IF(PULL_FUND="N","",IFERROR(BDP($C192,EPS_FIELD,YR_OVERRIDE,TEXT(YEAR_Y-5,"0")),"")))</f>
        <v/>
      </c>
      <c r="Y192" s="76">
        <f>IF($C192="","",IF(PULL_FUND="N","",IFERROR(BDP($C192,EPS_FIELD,YR_OVERRIDE,TEXT(YEAR_Y-4,"0")),"")))</f>
        <v/>
      </c>
      <c r="Z192" s="76">
        <f>IF($C192="","",IF(PULL_FUND="N","",IFERROR(BDP($C192,EPS_FIELD,YR_OVERRIDE,TEXT(YEAR_Y-3,"0")),"")))</f>
        <v/>
      </c>
      <c r="AA192" s="76">
        <f>IF($C192="","",IF(PULL_FUND="N","",IFERROR(BDP($C192,EPS_FIELD,YR_OVERRIDE,TEXT(YEAR_Y-2,"0")),"")))</f>
        <v/>
      </c>
      <c r="AB192" s="76">
        <f>IF($C192="","",IF(PULL_FUND="N","",IFERROR(BDP($C192,EPS_FIELD,YR_OVERRIDE,TEXT(YEAR_Y-1,"0")),"")))</f>
        <v/>
      </c>
      <c r="AC192" s="50">
        <f>IF($C192="","",IFERROR(AVERAGE(X192:AB192),""))</f>
        <v/>
      </c>
      <c r="AD192" s="76">
        <f>IF($C192="","",IF(PULL_FUND="N","",IFERROR(BDP($C192,BESTEPS_FIELD,FWD_OVERRIDE,TEXT(MOD(YEAR_Y,100),"00")&amp;"Y"),"")))</f>
        <v/>
      </c>
      <c r="AE192" s="77">
        <f>IF($C192="","",IF(PULL_FUND="N","",IFERROR(BDP($C192,PAYOUT_FIELD,YR_OVERRIDE,TEXT(YEAR_Y-5,"0"))/100,"")))</f>
        <v/>
      </c>
      <c r="AF192" s="78">
        <f>IF($C192="","",IF(PULL_FUND="N","",IFERROR(BDP($C192,PAYOUT_FIELD,YR_OVERRIDE,TEXT(YEAR_Y-4,"0"))/100,"")))</f>
        <v/>
      </c>
      <c r="AG192" s="78">
        <f>IF($C192="","",IF(PULL_FUND="N","",IFERROR(BDP($C192,PAYOUT_FIELD,YR_OVERRIDE,TEXT(YEAR_Y-3,"0"))/100,"")))</f>
        <v/>
      </c>
      <c r="AH192" s="78">
        <f>IF($C192="","",IF(PULL_FUND="N","",IFERROR(BDP($C192,PAYOUT_FIELD,YR_OVERRIDE,TEXT(YEAR_Y-2,"0"))/100,"")))</f>
        <v/>
      </c>
      <c r="AI192" s="78">
        <f>IF($C192="","",IF(PULL_FUND="N","",IFERROR(BDP($C192,PAYOUT_FIELD,YR_OVERRIDE,TEXT(YEAR_Y-1,"0"))/100,"")))</f>
        <v/>
      </c>
      <c r="AJ192" s="79">
        <f>IF($C192="","",IFERROR(AVERAGE(AE192:AI192),""))</f>
        <v/>
      </c>
      <c r="AK192" s="80">
        <f>IF($C192="","",IF(ISNUMBER($AD192)*ISNUMBER($N192)*($AD192&lt;&gt;0)=0,"",$N192/$AD192))</f>
        <v/>
      </c>
      <c r="AL192" s="79">
        <f>IF($C192="","",IF(ISNUMBER($AD192)*($AD192&lt;&gt;0)=0,"",$M192/$AD192))</f>
        <v/>
      </c>
      <c r="AM192" s="37">
        <f>IF($C192="","",IF(ISNUMBER($AE192)*ISNUMBER($AI192)=0,"",IF($AI192&gt;$AE192+0.05,"rising",IF($AI192&lt;$AE192-0.05,"falling","stable"))))</f>
        <v/>
      </c>
      <c r="AN192" s="81">
        <f>IF($C192="","",IF(PULL_FUND="N","",IF(COUNTIFS('Fund History'!$G$1096:$G$1100,"&gt;="&amp;DATE(YEAR_Y-4,1,1),'Fund History'!$G$1096:$G$1100,"&lt;="&amp;DATE(YEAR_Y-4,12,31))=0,"",SUMIFS('Fund History'!$H$1096:$H$1100,'Fund History'!$G$1096:$G$1100,"&gt;="&amp;DATE(YEAR_Y-4,1,1),'Fund History'!$G$1096:$G$1100,"&lt;="&amp;DATE(YEAR_Y-4,12,31))/100)))</f>
        <v/>
      </c>
      <c r="AO192" s="82">
        <f>IF($C192="","",IF(PULL_FUND="N","",IF(COUNTIFS('Fund History'!$G$1096:$G$1100,"&gt;="&amp;DATE(YEAR_Y-3,1,1),'Fund History'!$G$1096:$G$1100,"&lt;="&amp;DATE(YEAR_Y-3,12,31))=0,"",SUMIFS('Fund History'!$H$1096:$H$1100,'Fund History'!$G$1096:$G$1100,"&gt;="&amp;DATE(YEAR_Y-3,1,1),'Fund History'!$G$1096:$G$1100,"&lt;="&amp;DATE(YEAR_Y-3,12,31))/100)))</f>
        <v/>
      </c>
      <c r="AP192" s="82">
        <f>IF($C192="","",IF(PULL_FUND="N","",IF(COUNTIFS('Fund History'!$G$1096:$G$1100,"&gt;="&amp;DATE(YEAR_Y-2,1,1),'Fund History'!$G$1096:$G$1100,"&lt;="&amp;DATE(YEAR_Y-2,12,31))=0,"",SUMIFS('Fund History'!$H$1096:$H$1100,'Fund History'!$G$1096:$G$1100,"&gt;="&amp;DATE(YEAR_Y-2,1,1),'Fund History'!$G$1096:$G$1100,"&lt;="&amp;DATE(YEAR_Y-2,12,31))/100)))</f>
        <v/>
      </c>
      <c r="AQ192" s="82">
        <f>IF($C192="","",IF(PULL_FUND="N","",IF(COUNTIFS('Fund History'!$G$1096:$G$1100,"&gt;="&amp;DATE(YEAR_Y-1,1,1),'Fund History'!$G$1096:$G$1100,"&lt;="&amp;DATE(YEAR_Y-1,12,31))=0,"",SUMIFS('Fund History'!$H$1096:$H$1100,'Fund History'!$G$1096:$G$1100,"&gt;="&amp;DATE(YEAR_Y-1,1,1),'Fund History'!$G$1096:$G$1100,"&lt;="&amp;DATE(YEAR_Y-1,12,31))/100)))</f>
        <v/>
      </c>
      <c r="AR192" s="83">
        <f>IF($C192="","",IF(N($AQ192)+N(HSCEI!$I$47)=0,"",N($AQ192)+N(HSCEI!$I$47)/100))</f>
        <v/>
      </c>
      <c r="AS192" s="75">
        <f>IF($C192="","",IF(PULL_FUND="N","",IF(COUNTIFS('Fund History'!$D$1096:$D$1100,"&gt;="&amp;DATE(YEAR_Y-2,1,1),'Fund History'!$D$1096:$D$1100,"&lt;="&amp;DATE(YEAR_Y-2,12,31))=0,"",SUMIFS('Fund History'!$E$1096:$E$1100,'Fund History'!$D$1096:$D$1100,"&gt;="&amp;DATE(YEAR_Y-2,1,1),'Fund History'!$D$1096:$D$1100,"&lt;="&amp;DATE(YEAR_Y-2,12,31)))))</f>
        <v/>
      </c>
      <c r="AT192" s="76">
        <f>IF($C192="","",IF(PULL_FUND="N","",IF(COUNTIFS('Fund History'!$D$1096:$D$1100,"&gt;="&amp;DATE(YEAR_Y-1,1,1),'Fund History'!$D$1096:$D$1100,"&lt;="&amp;DATE(YEAR_Y-1,12,31))=0,"",SUMIFS('Fund History'!$E$1096:$E$1100,'Fund History'!$D$1096:$D$1100,"&gt;="&amp;DATE(YEAR_Y-1,1,1),'Fund History'!$D$1096:$D$1100,"&lt;="&amp;DATE(YEAR_Y-1,12,31)))))</f>
        <v/>
      </c>
      <c r="AU192" s="76">
        <f>IF($C192="","",IF(PULL_FUND="N","",IFERROR(BDP($C192,NDEBITDA_FIELD),"")))</f>
        <v/>
      </c>
      <c r="AV192" s="84">
        <f>IF($C192="","",IF(PULL_FUND="N","",IFERROR(BDP($C192,EBINT_FIELD),"")))</f>
        <v/>
      </c>
      <c r="AW192" s="82">
        <f>IF($C192="","",IF(PULL_FUND="N","",IFERROR(BDP($C192,FCF_FIELD)/100,"")))</f>
        <v/>
      </c>
      <c r="AX192" s="50">
        <f>IF($C192="","",IF(N($U192)=0,"",IFERROR($AW192/$U192,"")))</f>
        <v/>
      </c>
      <c r="AY192" s="85">
        <f>IF($C192="","",TRIM(IF(ISNUMBER($AJ192)*(N($AJ192)&gt;$D$4)&gt;0,"payout high  ","")&amp;IF(ISNUMBER($AX192)*(N($AX192)&lt;$F$4)&gt;0,"FCF below dvd  ","")&amp;IF(ISNUMBER($AU192)*(N($AU192)&gt;$H$4)&gt;0,"leverage high","")))</f>
        <v/>
      </c>
      <c r="AZ192" s="86">
        <f>IF($C192="","",IF(HSCEI!$F$47="HKD","",HSCEI!$F$47))</f>
        <v/>
      </c>
    </row>
    <row r="193">
      <c r="B193" s="66" t="inlineStr">
        <is>
          <t>HSCEI</t>
        </is>
      </c>
      <c r="C193" s="8">
        <f>IF(HSCEI!$C$48="","",HSCEI!$C$48)</f>
        <v/>
      </c>
      <c r="D193" s="8">
        <f>IF($C193="","",HSCEI!$D$48)</f>
        <v/>
      </c>
      <c r="E193" s="8">
        <f>IF($C193="","",HSCEI!$E$48)</f>
        <v/>
      </c>
      <c r="F193" s="67">
        <f>IF($C193="","",SUMPRODUCT(('Dvd Calendar'!$E$2012:$AR$2012&gt;=DATE(YEAR_Y-5,1,1))*('Dvd Calendar'!$E$2012:$AR$2012&lt;=DATE(YEAR_Y-5,12,31))*'Dvd Calendar'!$E$2015:$AR$2015*(('Dvd Calendar'!$E$2017:$AR$2017=TYPE1)*(TYPE1&lt;&gt;"")+('Dvd Calendar'!$E$2017:$AR$2017=TYPE2)*(TYPE2&lt;&gt;"")+('Dvd Calendar'!$E$2017:$AR$2017=TYPE3)*(TYPE3&lt;&gt;"")+('Dvd Calendar'!$E$2017:$AR$2017=TYPE4)*(TYPE4&lt;&gt;"")+('Dvd Calendar'!$E$2017:$AR$2017=SPECIAL_LBL)*(INC_SPECIALS="Y"))))</f>
        <v/>
      </c>
      <c r="G193" s="68">
        <f>IF($C193="","",SUMPRODUCT(('Dvd Calendar'!$E$2012:$AR$2012&gt;=DATE(YEAR_Y-4,1,1))*('Dvd Calendar'!$E$2012:$AR$2012&lt;=DATE(YEAR_Y-4,12,31))*'Dvd Calendar'!$E$2015:$AR$2015*(('Dvd Calendar'!$E$2017:$AR$2017=TYPE1)*(TYPE1&lt;&gt;"")+('Dvd Calendar'!$E$2017:$AR$2017=TYPE2)*(TYPE2&lt;&gt;"")+('Dvd Calendar'!$E$2017:$AR$2017=TYPE3)*(TYPE3&lt;&gt;"")+('Dvd Calendar'!$E$2017:$AR$2017=TYPE4)*(TYPE4&lt;&gt;"")+('Dvd Calendar'!$E$2017:$AR$2017=SPECIAL_LBL)*(INC_SPECIALS="Y"))))</f>
        <v/>
      </c>
      <c r="H193" s="68">
        <f>IF($C193="","",SUMPRODUCT(('Dvd Calendar'!$E$2012:$AR$2012&gt;=DATE(YEAR_Y-3,1,1))*('Dvd Calendar'!$E$2012:$AR$2012&lt;=DATE(YEAR_Y-3,12,31))*'Dvd Calendar'!$E$2015:$AR$2015*(('Dvd Calendar'!$E$2017:$AR$2017=TYPE1)*(TYPE1&lt;&gt;"")+('Dvd Calendar'!$E$2017:$AR$2017=TYPE2)*(TYPE2&lt;&gt;"")+('Dvd Calendar'!$E$2017:$AR$2017=TYPE3)*(TYPE3&lt;&gt;"")+('Dvd Calendar'!$E$2017:$AR$2017=TYPE4)*(TYPE4&lt;&gt;"")+('Dvd Calendar'!$E$2017:$AR$2017=SPECIAL_LBL)*(INC_SPECIALS="Y"))))</f>
        <v/>
      </c>
      <c r="I193" s="68">
        <f>IF($C193="","",SUMPRODUCT(('Dvd Calendar'!$E$2012:$AR$2012&gt;=DATE(YEAR_Y-2,1,1))*('Dvd Calendar'!$E$2012:$AR$2012&lt;=DATE(YEAR_Y-2,12,31))*'Dvd Calendar'!$E$2015:$AR$2015*(('Dvd Calendar'!$E$2017:$AR$2017=TYPE1)*(TYPE1&lt;&gt;"")+('Dvd Calendar'!$E$2017:$AR$2017=TYPE2)*(TYPE2&lt;&gt;"")+('Dvd Calendar'!$E$2017:$AR$2017=TYPE3)*(TYPE3&lt;&gt;"")+('Dvd Calendar'!$E$2017:$AR$2017=TYPE4)*(TYPE4&lt;&gt;"")+('Dvd Calendar'!$E$2017:$AR$2017=SPECIAL_LBL)*(INC_SPECIALS="Y"))))</f>
        <v/>
      </c>
      <c r="J193" s="68">
        <f>IF($C193="","",SUMPRODUCT(('Dvd Calendar'!$E$2012:$AR$2012&gt;=DATE(YEAR_Y-1,1,1))*('Dvd Calendar'!$E$2012:$AR$2012&lt;=DATE(YEAR_Y-1,12,31))*'Dvd Calendar'!$E$2015:$AR$2015*(('Dvd Calendar'!$E$2017:$AR$2017=TYPE1)*(TYPE1&lt;&gt;"")+('Dvd Calendar'!$E$2017:$AR$2017=TYPE2)*(TYPE2&lt;&gt;"")+('Dvd Calendar'!$E$2017:$AR$2017=TYPE3)*(TYPE3&lt;&gt;"")+('Dvd Calendar'!$E$2017:$AR$2017=TYPE4)*(TYPE4&lt;&gt;"")+('Dvd Calendar'!$E$2017:$AR$2017=SPECIAL_LBL)*(INC_SPECIALS="Y"))))</f>
        <v/>
      </c>
      <c r="K193" s="69">
        <f>IF($C193="","",HSCEI!$J$48)</f>
        <v/>
      </c>
      <c r="L193" s="69">
        <f>IF($C193="","",HSCEI!$K$48)</f>
        <v/>
      </c>
      <c r="M193" s="44">
        <f>IF($C193="","",HSCEI!$J$48+HSCEI!$L$48)</f>
        <v/>
      </c>
      <c r="N193" s="70">
        <f>IF($C193="","",IF(PULL_FUND="N","",IFERROR(BDP($C193,BESTDPS_FIELD,FWD_OVERRIDE,TEXT(MOD(YEAR_Y,100),"00")&amp;"Y"),"")))</f>
        <v/>
      </c>
      <c r="O193" s="69">
        <f>IF($C193="","",AVERAGE(F193:J193))</f>
        <v/>
      </c>
      <c r="P193" s="71">
        <f>IF($C193="","",IF(PULL_FUND="N","",IF(COUNTIFS('Fund History'!$J$1102:$J$1106,"&gt;="&amp;DATE(YEAR_Y-5,1,1),'Fund History'!$J$1102:$J$1106,"&lt;="&amp;DATE(YEAR_Y-5,12,31))=0,"",IFERROR($F193*HSCEI!$G$48/SUMIFS('Fund History'!$K$1102:$K$1106,'Fund History'!$J$1102:$J$1106,"&gt;="&amp;DATE(YEAR_Y-5,1,1),'Fund History'!$J$1102:$J$1106,"&lt;="&amp;DATE(YEAR_Y-5,12,31)),""))))</f>
        <v/>
      </c>
      <c r="Q193" s="72">
        <f>IF($C193="","",IF(PULL_FUND="N","",IF(COUNTIFS('Fund History'!$J$1102:$J$1106,"&gt;="&amp;DATE(YEAR_Y-4,1,1),'Fund History'!$J$1102:$J$1106,"&lt;="&amp;DATE(YEAR_Y-4,12,31))=0,"",IFERROR($G193*HSCEI!$G$48/SUMIFS('Fund History'!$K$1102:$K$1106,'Fund History'!$J$1102:$J$1106,"&gt;="&amp;DATE(YEAR_Y-4,1,1),'Fund History'!$J$1102:$J$1106,"&lt;="&amp;DATE(YEAR_Y-4,12,31)),""))))</f>
        <v/>
      </c>
      <c r="R193" s="72">
        <f>IF($C193="","",IF(PULL_FUND="N","",IF(COUNTIFS('Fund History'!$J$1102:$J$1106,"&gt;="&amp;DATE(YEAR_Y-3,1,1),'Fund History'!$J$1102:$J$1106,"&lt;="&amp;DATE(YEAR_Y-3,12,31))=0,"",IFERROR($H193*HSCEI!$G$48/SUMIFS('Fund History'!$K$1102:$K$1106,'Fund History'!$J$1102:$J$1106,"&gt;="&amp;DATE(YEAR_Y-3,1,1),'Fund History'!$J$1102:$J$1106,"&lt;="&amp;DATE(YEAR_Y-3,12,31)),""))))</f>
        <v/>
      </c>
      <c r="S193" s="72">
        <f>IF($C193="","",IF(PULL_FUND="N","",IF(COUNTIFS('Fund History'!$J$1102:$J$1106,"&gt;="&amp;DATE(YEAR_Y-2,1,1),'Fund History'!$J$1102:$J$1106,"&lt;="&amp;DATE(YEAR_Y-2,12,31))=0,"",IFERROR($I193*HSCEI!$G$48/SUMIFS('Fund History'!$K$1102:$K$1106,'Fund History'!$J$1102:$J$1106,"&gt;="&amp;DATE(YEAR_Y-2,1,1),'Fund History'!$J$1102:$J$1106,"&lt;="&amp;DATE(YEAR_Y-2,12,31)),""))))</f>
        <v/>
      </c>
      <c r="T193" s="72">
        <f>IF($C193="","",IF(PULL_FUND="N","",IF(COUNTIFS('Fund History'!$J$1102:$J$1106,"&gt;="&amp;DATE(YEAR_Y-1,1,1),'Fund History'!$J$1102:$J$1106,"&lt;="&amp;DATE(YEAR_Y-1,12,31))=0,"",IFERROR($J193*HSCEI!$G$48/SUMIFS('Fund History'!$K$1102:$K$1106,'Fund History'!$J$1102:$J$1106,"&gt;="&amp;DATE(YEAR_Y-1,1,1),'Fund History'!$J$1102:$J$1106,"&lt;="&amp;DATE(YEAR_Y-1,12,31)),""))))</f>
        <v/>
      </c>
      <c r="U193" s="73">
        <f>IF($C193="","",IF(ISNUMBER(HSCEI!$I$48),HSCEI!$I$48/100,""))</f>
        <v/>
      </c>
      <c r="V193" s="74">
        <f>IF($C193="","",IF(ISNUMBER(HSCEI!$X$48),IFERROR($M193*HSCEI!$G$48/HSCEI!$X$48,""),""))</f>
        <v/>
      </c>
      <c r="W193" s="73">
        <f>IF($C193="","",IF(ISNUMBER($N193),IFERROR($N193*HSCEI!$G$48/HSCEI!$X$48,""),""))</f>
        <v/>
      </c>
      <c r="X193" s="75">
        <f>IF($C193="","",IF(PULL_FUND="N","",IFERROR(BDP($C193,EPS_FIELD,YR_OVERRIDE,TEXT(YEAR_Y-5,"0")),"")))</f>
        <v/>
      </c>
      <c r="Y193" s="76">
        <f>IF($C193="","",IF(PULL_FUND="N","",IFERROR(BDP($C193,EPS_FIELD,YR_OVERRIDE,TEXT(YEAR_Y-4,"0")),"")))</f>
        <v/>
      </c>
      <c r="Z193" s="76">
        <f>IF($C193="","",IF(PULL_FUND="N","",IFERROR(BDP($C193,EPS_FIELD,YR_OVERRIDE,TEXT(YEAR_Y-3,"0")),"")))</f>
        <v/>
      </c>
      <c r="AA193" s="76">
        <f>IF($C193="","",IF(PULL_FUND="N","",IFERROR(BDP($C193,EPS_FIELD,YR_OVERRIDE,TEXT(YEAR_Y-2,"0")),"")))</f>
        <v/>
      </c>
      <c r="AB193" s="76">
        <f>IF($C193="","",IF(PULL_FUND="N","",IFERROR(BDP($C193,EPS_FIELD,YR_OVERRIDE,TEXT(YEAR_Y-1,"0")),"")))</f>
        <v/>
      </c>
      <c r="AC193" s="50">
        <f>IF($C193="","",IFERROR(AVERAGE(X193:AB193),""))</f>
        <v/>
      </c>
      <c r="AD193" s="76">
        <f>IF($C193="","",IF(PULL_FUND="N","",IFERROR(BDP($C193,BESTEPS_FIELD,FWD_OVERRIDE,TEXT(MOD(YEAR_Y,100),"00")&amp;"Y"),"")))</f>
        <v/>
      </c>
      <c r="AE193" s="77">
        <f>IF($C193="","",IF(PULL_FUND="N","",IFERROR(BDP($C193,PAYOUT_FIELD,YR_OVERRIDE,TEXT(YEAR_Y-5,"0"))/100,"")))</f>
        <v/>
      </c>
      <c r="AF193" s="78">
        <f>IF($C193="","",IF(PULL_FUND="N","",IFERROR(BDP($C193,PAYOUT_FIELD,YR_OVERRIDE,TEXT(YEAR_Y-4,"0"))/100,"")))</f>
        <v/>
      </c>
      <c r="AG193" s="78">
        <f>IF($C193="","",IF(PULL_FUND="N","",IFERROR(BDP($C193,PAYOUT_FIELD,YR_OVERRIDE,TEXT(YEAR_Y-3,"0"))/100,"")))</f>
        <v/>
      </c>
      <c r="AH193" s="78">
        <f>IF($C193="","",IF(PULL_FUND="N","",IFERROR(BDP($C193,PAYOUT_FIELD,YR_OVERRIDE,TEXT(YEAR_Y-2,"0"))/100,"")))</f>
        <v/>
      </c>
      <c r="AI193" s="78">
        <f>IF($C193="","",IF(PULL_FUND="N","",IFERROR(BDP($C193,PAYOUT_FIELD,YR_OVERRIDE,TEXT(YEAR_Y-1,"0"))/100,"")))</f>
        <v/>
      </c>
      <c r="AJ193" s="79">
        <f>IF($C193="","",IFERROR(AVERAGE(AE193:AI193),""))</f>
        <v/>
      </c>
      <c r="AK193" s="80">
        <f>IF($C193="","",IF(ISNUMBER($AD193)*ISNUMBER($N193)*($AD193&lt;&gt;0)=0,"",$N193/$AD193))</f>
        <v/>
      </c>
      <c r="AL193" s="79">
        <f>IF($C193="","",IF(ISNUMBER($AD193)*($AD193&lt;&gt;0)=0,"",$M193/$AD193))</f>
        <v/>
      </c>
      <c r="AM193" s="37">
        <f>IF($C193="","",IF(ISNUMBER($AE193)*ISNUMBER($AI193)=0,"",IF($AI193&gt;$AE193+0.05,"rising",IF($AI193&lt;$AE193-0.05,"falling","stable"))))</f>
        <v/>
      </c>
      <c r="AN193" s="81">
        <f>IF($C193="","",IF(PULL_FUND="N","",IF(COUNTIFS('Fund History'!$G$1102:$G$1106,"&gt;="&amp;DATE(YEAR_Y-4,1,1),'Fund History'!$G$1102:$G$1106,"&lt;="&amp;DATE(YEAR_Y-4,12,31))=0,"",SUMIFS('Fund History'!$H$1102:$H$1106,'Fund History'!$G$1102:$G$1106,"&gt;="&amp;DATE(YEAR_Y-4,1,1),'Fund History'!$G$1102:$G$1106,"&lt;="&amp;DATE(YEAR_Y-4,12,31))/100)))</f>
        <v/>
      </c>
      <c r="AO193" s="82">
        <f>IF($C193="","",IF(PULL_FUND="N","",IF(COUNTIFS('Fund History'!$G$1102:$G$1106,"&gt;="&amp;DATE(YEAR_Y-3,1,1),'Fund History'!$G$1102:$G$1106,"&lt;="&amp;DATE(YEAR_Y-3,12,31))=0,"",SUMIFS('Fund History'!$H$1102:$H$1106,'Fund History'!$G$1102:$G$1106,"&gt;="&amp;DATE(YEAR_Y-3,1,1),'Fund History'!$G$1102:$G$1106,"&lt;="&amp;DATE(YEAR_Y-3,12,31))/100)))</f>
        <v/>
      </c>
      <c r="AP193" s="82">
        <f>IF($C193="","",IF(PULL_FUND="N","",IF(COUNTIFS('Fund History'!$G$1102:$G$1106,"&gt;="&amp;DATE(YEAR_Y-2,1,1),'Fund History'!$G$1102:$G$1106,"&lt;="&amp;DATE(YEAR_Y-2,12,31))=0,"",SUMIFS('Fund History'!$H$1102:$H$1106,'Fund History'!$G$1102:$G$1106,"&gt;="&amp;DATE(YEAR_Y-2,1,1),'Fund History'!$G$1102:$G$1106,"&lt;="&amp;DATE(YEAR_Y-2,12,31))/100)))</f>
        <v/>
      </c>
      <c r="AQ193" s="82">
        <f>IF($C193="","",IF(PULL_FUND="N","",IF(COUNTIFS('Fund History'!$G$1102:$G$1106,"&gt;="&amp;DATE(YEAR_Y-1,1,1),'Fund History'!$G$1102:$G$1106,"&lt;="&amp;DATE(YEAR_Y-1,12,31))=0,"",SUMIFS('Fund History'!$H$1102:$H$1106,'Fund History'!$G$1102:$G$1106,"&gt;="&amp;DATE(YEAR_Y-1,1,1),'Fund History'!$G$1102:$G$1106,"&lt;="&amp;DATE(YEAR_Y-1,12,31))/100)))</f>
        <v/>
      </c>
      <c r="AR193" s="83">
        <f>IF($C193="","",IF(N($AQ193)+N(HSCEI!$I$48)=0,"",N($AQ193)+N(HSCEI!$I$48)/100))</f>
        <v/>
      </c>
      <c r="AS193" s="75">
        <f>IF($C193="","",IF(PULL_FUND="N","",IF(COUNTIFS('Fund History'!$D$1102:$D$1106,"&gt;="&amp;DATE(YEAR_Y-2,1,1),'Fund History'!$D$1102:$D$1106,"&lt;="&amp;DATE(YEAR_Y-2,12,31))=0,"",SUMIFS('Fund History'!$E$1102:$E$1106,'Fund History'!$D$1102:$D$1106,"&gt;="&amp;DATE(YEAR_Y-2,1,1),'Fund History'!$D$1102:$D$1106,"&lt;="&amp;DATE(YEAR_Y-2,12,31)))))</f>
        <v/>
      </c>
      <c r="AT193" s="76">
        <f>IF($C193="","",IF(PULL_FUND="N","",IF(COUNTIFS('Fund History'!$D$1102:$D$1106,"&gt;="&amp;DATE(YEAR_Y-1,1,1),'Fund History'!$D$1102:$D$1106,"&lt;="&amp;DATE(YEAR_Y-1,12,31))=0,"",SUMIFS('Fund History'!$E$1102:$E$1106,'Fund History'!$D$1102:$D$1106,"&gt;="&amp;DATE(YEAR_Y-1,1,1),'Fund History'!$D$1102:$D$1106,"&lt;="&amp;DATE(YEAR_Y-1,12,31)))))</f>
        <v/>
      </c>
      <c r="AU193" s="76">
        <f>IF($C193="","",IF(PULL_FUND="N","",IFERROR(BDP($C193,NDEBITDA_FIELD),"")))</f>
        <v/>
      </c>
      <c r="AV193" s="84">
        <f>IF($C193="","",IF(PULL_FUND="N","",IFERROR(BDP($C193,EBINT_FIELD),"")))</f>
        <v/>
      </c>
      <c r="AW193" s="82">
        <f>IF($C193="","",IF(PULL_FUND="N","",IFERROR(BDP($C193,FCF_FIELD)/100,"")))</f>
        <v/>
      </c>
      <c r="AX193" s="50">
        <f>IF($C193="","",IF(N($U193)=0,"",IFERROR($AW193/$U193,"")))</f>
        <v/>
      </c>
      <c r="AY193" s="85">
        <f>IF($C193="","",TRIM(IF(ISNUMBER($AJ193)*(N($AJ193)&gt;$D$4)&gt;0,"payout high  ","")&amp;IF(ISNUMBER($AX193)*(N($AX193)&lt;$F$4)&gt;0,"FCF below dvd  ","")&amp;IF(ISNUMBER($AU193)*(N($AU193)&gt;$H$4)&gt;0,"leverage high","")))</f>
        <v/>
      </c>
      <c r="AZ193" s="86">
        <f>IF($C193="","",IF(HSCEI!$F$48="HKD","",HSCEI!$F$48))</f>
        <v/>
      </c>
    </row>
    <row r="194">
      <c r="B194" s="66" t="inlineStr">
        <is>
          <t>HSCEI</t>
        </is>
      </c>
      <c r="C194" s="8">
        <f>IF(HSCEI!$C$49="","",HSCEI!$C$49)</f>
        <v/>
      </c>
      <c r="D194" s="8">
        <f>IF($C194="","",HSCEI!$D$49)</f>
        <v/>
      </c>
      <c r="E194" s="8">
        <f>IF($C194="","",HSCEI!$E$49)</f>
        <v/>
      </c>
      <c r="F194" s="67">
        <f>IF($C194="","",SUMPRODUCT(('Dvd Calendar'!$E$2023:$AR$2023&gt;=DATE(YEAR_Y-5,1,1))*('Dvd Calendar'!$E$2023:$AR$2023&lt;=DATE(YEAR_Y-5,12,31))*'Dvd Calendar'!$E$2026:$AR$2026*(('Dvd Calendar'!$E$2028:$AR$2028=TYPE1)*(TYPE1&lt;&gt;"")+('Dvd Calendar'!$E$2028:$AR$2028=TYPE2)*(TYPE2&lt;&gt;"")+('Dvd Calendar'!$E$2028:$AR$2028=TYPE3)*(TYPE3&lt;&gt;"")+('Dvd Calendar'!$E$2028:$AR$2028=TYPE4)*(TYPE4&lt;&gt;"")+('Dvd Calendar'!$E$2028:$AR$2028=SPECIAL_LBL)*(INC_SPECIALS="Y"))))</f>
        <v/>
      </c>
      <c r="G194" s="68">
        <f>IF($C194="","",SUMPRODUCT(('Dvd Calendar'!$E$2023:$AR$2023&gt;=DATE(YEAR_Y-4,1,1))*('Dvd Calendar'!$E$2023:$AR$2023&lt;=DATE(YEAR_Y-4,12,31))*'Dvd Calendar'!$E$2026:$AR$2026*(('Dvd Calendar'!$E$2028:$AR$2028=TYPE1)*(TYPE1&lt;&gt;"")+('Dvd Calendar'!$E$2028:$AR$2028=TYPE2)*(TYPE2&lt;&gt;"")+('Dvd Calendar'!$E$2028:$AR$2028=TYPE3)*(TYPE3&lt;&gt;"")+('Dvd Calendar'!$E$2028:$AR$2028=TYPE4)*(TYPE4&lt;&gt;"")+('Dvd Calendar'!$E$2028:$AR$2028=SPECIAL_LBL)*(INC_SPECIALS="Y"))))</f>
        <v/>
      </c>
      <c r="H194" s="68">
        <f>IF($C194="","",SUMPRODUCT(('Dvd Calendar'!$E$2023:$AR$2023&gt;=DATE(YEAR_Y-3,1,1))*('Dvd Calendar'!$E$2023:$AR$2023&lt;=DATE(YEAR_Y-3,12,31))*'Dvd Calendar'!$E$2026:$AR$2026*(('Dvd Calendar'!$E$2028:$AR$2028=TYPE1)*(TYPE1&lt;&gt;"")+('Dvd Calendar'!$E$2028:$AR$2028=TYPE2)*(TYPE2&lt;&gt;"")+('Dvd Calendar'!$E$2028:$AR$2028=TYPE3)*(TYPE3&lt;&gt;"")+('Dvd Calendar'!$E$2028:$AR$2028=TYPE4)*(TYPE4&lt;&gt;"")+('Dvd Calendar'!$E$2028:$AR$2028=SPECIAL_LBL)*(INC_SPECIALS="Y"))))</f>
        <v/>
      </c>
      <c r="I194" s="68">
        <f>IF($C194="","",SUMPRODUCT(('Dvd Calendar'!$E$2023:$AR$2023&gt;=DATE(YEAR_Y-2,1,1))*('Dvd Calendar'!$E$2023:$AR$2023&lt;=DATE(YEAR_Y-2,12,31))*'Dvd Calendar'!$E$2026:$AR$2026*(('Dvd Calendar'!$E$2028:$AR$2028=TYPE1)*(TYPE1&lt;&gt;"")+('Dvd Calendar'!$E$2028:$AR$2028=TYPE2)*(TYPE2&lt;&gt;"")+('Dvd Calendar'!$E$2028:$AR$2028=TYPE3)*(TYPE3&lt;&gt;"")+('Dvd Calendar'!$E$2028:$AR$2028=TYPE4)*(TYPE4&lt;&gt;"")+('Dvd Calendar'!$E$2028:$AR$2028=SPECIAL_LBL)*(INC_SPECIALS="Y"))))</f>
        <v/>
      </c>
      <c r="J194" s="68">
        <f>IF($C194="","",SUMPRODUCT(('Dvd Calendar'!$E$2023:$AR$2023&gt;=DATE(YEAR_Y-1,1,1))*('Dvd Calendar'!$E$2023:$AR$2023&lt;=DATE(YEAR_Y-1,12,31))*'Dvd Calendar'!$E$2026:$AR$2026*(('Dvd Calendar'!$E$2028:$AR$2028=TYPE1)*(TYPE1&lt;&gt;"")+('Dvd Calendar'!$E$2028:$AR$2028=TYPE2)*(TYPE2&lt;&gt;"")+('Dvd Calendar'!$E$2028:$AR$2028=TYPE3)*(TYPE3&lt;&gt;"")+('Dvd Calendar'!$E$2028:$AR$2028=TYPE4)*(TYPE4&lt;&gt;"")+('Dvd Calendar'!$E$2028:$AR$2028=SPECIAL_LBL)*(INC_SPECIALS="Y"))))</f>
        <v/>
      </c>
      <c r="K194" s="69">
        <f>IF($C194="","",HSCEI!$J$49)</f>
        <v/>
      </c>
      <c r="L194" s="69">
        <f>IF($C194="","",HSCEI!$K$49)</f>
        <v/>
      </c>
      <c r="M194" s="44">
        <f>IF($C194="","",HSCEI!$J$49+HSCEI!$L$49)</f>
        <v/>
      </c>
      <c r="N194" s="70">
        <f>IF($C194="","",IF(PULL_FUND="N","",IFERROR(BDP($C194,BESTDPS_FIELD,FWD_OVERRIDE,TEXT(MOD(YEAR_Y,100),"00")&amp;"Y"),"")))</f>
        <v/>
      </c>
      <c r="O194" s="69">
        <f>IF($C194="","",AVERAGE(F194:J194))</f>
        <v/>
      </c>
      <c r="P194" s="71">
        <f>IF($C194="","",IF(PULL_FUND="N","",IF(COUNTIFS('Fund History'!$J$1108:$J$1112,"&gt;="&amp;DATE(YEAR_Y-5,1,1),'Fund History'!$J$1108:$J$1112,"&lt;="&amp;DATE(YEAR_Y-5,12,31))=0,"",IFERROR($F194*HSCEI!$G$49/SUMIFS('Fund History'!$K$1108:$K$1112,'Fund History'!$J$1108:$J$1112,"&gt;="&amp;DATE(YEAR_Y-5,1,1),'Fund History'!$J$1108:$J$1112,"&lt;="&amp;DATE(YEAR_Y-5,12,31)),""))))</f>
        <v/>
      </c>
      <c r="Q194" s="72">
        <f>IF($C194="","",IF(PULL_FUND="N","",IF(COUNTIFS('Fund History'!$J$1108:$J$1112,"&gt;="&amp;DATE(YEAR_Y-4,1,1),'Fund History'!$J$1108:$J$1112,"&lt;="&amp;DATE(YEAR_Y-4,12,31))=0,"",IFERROR($G194*HSCEI!$G$49/SUMIFS('Fund History'!$K$1108:$K$1112,'Fund History'!$J$1108:$J$1112,"&gt;="&amp;DATE(YEAR_Y-4,1,1),'Fund History'!$J$1108:$J$1112,"&lt;="&amp;DATE(YEAR_Y-4,12,31)),""))))</f>
        <v/>
      </c>
      <c r="R194" s="72">
        <f>IF($C194="","",IF(PULL_FUND="N","",IF(COUNTIFS('Fund History'!$J$1108:$J$1112,"&gt;="&amp;DATE(YEAR_Y-3,1,1),'Fund History'!$J$1108:$J$1112,"&lt;="&amp;DATE(YEAR_Y-3,12,31))=0,"",IFERROR($H194*HSCEI!$G$49/SUMIFS('Fund History'!$K$1108:$K$1112,'Fund History'!$J$1108:$J$1112,"&gt;="&amp;DATE(YEAR_Y-3,1,1),'Fund History'!$J$1108:$J$1112,"&lt;="&amp;DATE(YEAR_Y-3,12,31)),""))))</f>
        <v/>
      </c>
      <c r="S194" s="72">
        <f>IF($C194="","",IF(PULL_FUND="N","",IF(COUNTIFS('Fund History'!$J$1108:$J$1112,"&gt;="&amp;DATE(YEAR_Y-2,1,1),'Fund History'!$J$1108:$J$1112,"&lt;="&amp;DATE(YEAR_Y-2,12,31))=0,"",IFERROR($I194*HSCEI!$G$49/SUMIFS('Fund History'!$K$1108:$K$1112,'Fund History'!$J$1108:$J$1112,"&gt;="&amp;DATE(YEAR_Y-2,1,1),'Fund History'!$J$1108:$J$1112,"&lt;="&amp;DATE(YEAR_Y-2,12,31)),""))))</f>
        <v/>
      </c>
      <c r="T194" s="72">
        <f>IF($C194="","",IF(PULL_FUND="N","",IF(COUNTIFS('Fund History'!$J$1108:$J$1112,"&gt;="&amp;DATE(YEAR_Y-1,1,1),'Fund History'!$J$1108:$J$1112,"&lt;="&amp;DATE(YEAR_Y-1,12,31))=0,"",IFERROR($J194*HSCEI!$G$49/SUMIFS('Fund History'!$K$1108:$K$1112,'Fund History'!$J$1108:$J$1112,"&gt;="&amp;DATE(YEAR_Y-1,1,1),'Fund History'!$J$1108:$J$1112,"&lt;="&amp;DATE(YEAR_Y-1,12,31)),""))))</f>
        <v/>
      </c>
      <c r="U194" s="73">
        <f>IF($C194="","",IF(ISNUMBER(HSCEI!$I$49),HSCEI!$I$49/100,""))</f>
        <v/>
      </c>
      <c r="V194" s="74">
        <f>IF($C194="","",IF(ISNUMBER(HSCEI!$X$49),IFERROR($M194*HSCEI!$G$49/HSCEI!$X$49,""),""))</f>
        <v/>
      </c>
      <c r="W194" s="73">
        <f>IF($C194="","",IF(ISNUMBER($N194),IFERROR($N194*HSCEI!$G$49/HSCEI!$X$49,""),""))</f>
        <v/>
      </c>
      <c r="X194" s="75">
        <f>IF($C194="","",IF(PULL_FUND="N","",IFERROR(BDP($C194,EPS_FIELD,YR_OVERRIDE,TEXT(YEAR_Y-5,"0")),"")))</f>
        <v/>
      </c>
      <c r="Y194" s="76">
        <f>IF($C194="","",IF(PULL_FUND="N","",IFERROR(BDP($C194,EPS_FIELD,YR_OVERRIDE,TEXT(YEAR_Y-4,"0")),"")))</f>
        <v/>
      </c>
      <c r="Z194" s="76">
        <f>IF($C194="","",IF(PULL_FUND="N","",IFERROR(BDP($C194,EPS_FIELD,YR_OVERRIDE,TEXT(YEAR_Y-3,"0")),"")))</f>
        <v/>
      </c>
      <c r="AA194" s="76">
        <f>IF($C194="","",IF(PULL_FUND="N","",IFERROR(BDP($C194,EPS_FIELD,YR_OVERRIDE,TEXT(YEAR_Y-2,"0")),"")))</f>
        <v/>
      </c>
      <c r="AB194" s="76">
        <f>IF($C194="","",IF(PULL_FUND="N","",IFERROR(BDP($C194,EPS_FIELD,YR_OVERRIDE,TEXT(YEAR_Y-1,"0")),"")))</f>
        <v/>
      </c>
      <c r="AC194" s="50">
        <f>IF($C194="","",IFERROR(AVERAGE(X194:AB194),""))</f>
        <v/>
      </c>
      <c r="AD194" s="76">
        <f>IF($C194="","",IF(PULL_FUND="N","",IFERROR(BDP($C194,BESTEPS_FIELD,FWD_OVERRIDE,TEXT(MOD(YEAR_Y,100),"00")&amp;"Y"),"")))</f>
        <v/>
      </c>
      <c r="AE194" s="77">
        <f>IF($C194="","",IF(PULL_FUND="N","",IFERROR(BDP($C194,PAYOUT_FIELD,YR_OVERRIDE,TEXT(YEAR_Y-5,"0"))/100,"")))</f>
        <v/>
      </c>
      <c r="AF194" s="78">
        <f>IF($C194="","",IF(PULL_FUND="N","",IFERROR(BDP($C194,PAYOUT_FIELD,YR_OVERRIDE,TEXT(YEAR_Y-4,"0"))/100,"")))</f>
        <v/>
      </c>
      <c r="AG194" s="78">
        <f>IF($C194="","",IF(PULL_FUND="N","",IFERROR(BDP($C194,PAYOUT_FIELD,YR_OVERRIDE,TEXT(YEAR_Y-3,"0"))/100,"")))</f>
        <v/>
      </c>
      <c r="AH194" s="78">
        <f>IF($C194="","",IF(PULL_FUND="N","",IFERROR(BDP($C194,PAYOUT_FIELD,YR_OVERRIDE,TEXT(YEAR_Y-2,"0"))/100,"")))</f>
        <v/>
      </c>
      <c r="AI194" s="78">
        <f>IF($C194="","",IF(PULL_FUND="N","",IFERROR(BDP($C194,PAYOUT_FIELD,YR_OVERRIDE,TEXT(YEAR_Y-1,"0"))/100,"")))</f>
        <v/>
      </c>
      <c r="AJ194" s="79">
        <f>IF($C194="","",IFERROR(AVERAGE(AE194:AI194),""))</f>
        <v/>
      </c>
      <c r="AK194" s="80">
        <f>IF($C194="","",IF(ISNUMBER($AD194)*ISNUMBER($N194)*($AD194&lt;&gt;0)=0,"",$N194/$AD194))</f>
        <v/>
      </c>
      <c r="AL194" s="79">
        <f>IF($C194="","",IF(ISNUMBER($AD194)*($AD194&lt;&gt;0)=0,"",$M194/$AD194))</f>
        <v/>
      </c>
      <c r="AM194" s="37">
        <f>IF($C194="","",IF(ISNUMBER($AE194)*ISNUMBER($AI194)=0,"",IF($AI194&gt;$AE194+0.05,"rising",IF($AI194&lt;$AE194-0.05,"falling","stable"))))</f>
        <v/>
      </c>
      <c r="AN194" s="81">
        <f>IF($C194="","",IF(PULL_FUND="N","",IF(COUNTIFS('Fund History'!$G$1108:$G$1112,"&gt;="&amp;DATE(YEAR_Y-4,1,1),'Fund History'!$G$1108:$G$1112,"&lt;="&amp;DATE(YEAR_Y-4,12,31))=0,"",SUMIFS('Fund History'!$H$1108:$H$1112,'Fund History'!$G$1108:$G$1112,"&gt;="&amp;DATE(YEAR_Y-4,1,1),'Fund History'!$G$1108:$G$1112,"&lt;="&amp;DATE(YEAR_Y-4,12,31))/100)))</f>
        <v/>
      </c>
      <c r="AO194" s="82">
        <f>IF($C194="","",IF(PULL_FUND="N","",IF(COUNTIFS('Fund History'!$G$1108:$G$1112,"&gt;="&amp;DATE(YEAR_Y-3,1,1),'Fund History'!$G$1108:$G$1112,"&lt;="&amp;DATE(YEAR_Y-3,12,31))=0,"",SUMIFS('Fund History'!$H$1108:$H$1112,'Fund History'!$G$1108:$G$1112,"&gt;="&amp;DATE(YEAR_Y-3,1,1),'Fund History'!$G$1108:$G$1112,"&lt;="&amp;DATE(YEAR_Y-3,12,31))/100)))</f>
        <v/>
      </c>
      <c r="AP194" s="82">
        <f>IF($C194="","",IF(PULL_FUND="N","",IF(COUNTIFS('Fund History'!$G$1108:$G$1112,"&gt;="&amp;DATE(YEAR_Y-2,1,1),'Fund History'!$G$1108:$G$1112,"&lt;="&amp;DATE(YEAR_Y-2,12,31))=0,"",SUMIFS('Fund History'!$H$1108:$H$1112,'Fund History'!$G$1108:$G$1112,"&gt;="&amp;DATE(YEAR_Y-2,1,1),'Fund History'!$G$1108:$G$1112,"&lt;="&amp;DATE(YEAR_Y-2,12,31))/100)))</f>
        <v/>
      </c>
      <c r="AQ194" s="82">
        <f>IF($C194="","",IF(PULL_FUND="N","",IF(COUNTIFS('Fund History'!$G$1108:$G$1112,"&gt;="&amp;DATE(YEAR_Y-1,1,1),'Fund History'!$G$1108:$G$1112,"&lt;="&amp;DATE(YEAR_Y-1,12,31))=0,"",SUMIFS('Fund History'!$H$1108:$H$1112,'Fund History'!$G$1108:$G$1112,"&gt;="&amp;DATE(YEAR_Y-1,1,1),'Fund History'!$G$1108:$G$1112,"&lt;="&amp;DATE(YEAR_Y-1,12,31))/100)))</f>
        <v/>
      </c>
      <c r="AR194" s="83">
        <f>IF($C194="","",IF(N($AQ194)+N(HSCEI!$I$49)=0,"",N($AQ194)+N(HSCEI!$I$49)/100))</f>
        <v/>
      </c>
      <c r="AS194" s="75">
        <f>IF($C194="","",IF(PULL_FUND="N","",IF(COUNTIFS('Fund History'!$D$1108:$D$1112,"&gt;="&amp;DATE(YEAR_Y-2,1,1),'Fund History'!$D$1108:$D$1112,"&lt;="&amp;DATE(YEAR_Y-2,12,31))=0,"",SUMIFS('Fund History'!$E$1108:$E$1112,'Fund History'!$D$1108:$D$1112,"&gt;="&amp;DATE(YEAR_Y-2,1,1),'Fund History'!$D$1108:$D$1112,"&lt;="&amp;DATE(YEAR_Y-2,12,31)))))</f>
        <v/>
      </c>
      <c r="AT194" s="76">
        <f>IF($C194="","",IF(PULL_FUND="N","",IF(COUNTIFS('Fund History'!$D$1108:$D$1112,"&gt;="&amp;DATE(YEAR_Y-1,1,1),'Fund History'!$D$1108:$D$1112,"&lt;="&amp;DATE(YEAR_Y-1,12,31))=0,"",SUMIFS('Fund History'!$E$1108:$E$1112,'Fund History'!$D$1108:$D$1112,"&gt;="&amp;DATE(YEAR_Y-1,1,1),'Fund History'!$D$1108:$D$1112,"&lt;="&amp;DATE(YEAR_Y-1,12,31)))))</f>
        <v/>
      </c>
      <c r="AU194" s="76">
        <f>IF($C194="","",IF(PULL_FUND="N","",IFERROR(BDP($C194,NDEBITDA_FIELD),"")))</f>
        <v/>
      </c>
      <c r="AV194" s="84">
        <f>IF($C194="","",IF(PULL_FUND="N","",IFERROR(BDP($C194,EBINT_FIELD),"")))</f>
        <v/>
      </c>
      <c r="AW194" s="82">
        <f>IF($C194="","",IF(PULL_FUND="N","",IFERROR(BDP($C194,FCF_FIELD)/100,"")))</f>
        <v/>
      </c>
      <c r="AX194" s="50">
        <f>IF($C194="","",IF(N($U194)=0,"",IFERROR($AW194/$U194,"")))</f>
        <v/>
      </c>
      <c r="AY194" s="85">
        <f>IF($C194="","",TRIM(IF(ISNUMBER($AJ194)*(N($AJ194)&gt;$D$4)&gt;0,"payout high  ","")&amp;IF(ISNUMBER($AX194)*(N($AX194)&lt;$F$4)&gt;0,"FCF below dvd  ","")&amp;IF(ISNUMBER($AU194)*(N($AU194)&gt;$H$4)&gt;0,"leverage high","")))</f>
        <v/>
      </c>
      <c r="AZ194" s="86">
        <f>IF($C194="","",IF(HSCEI!$F$49="HKD","",HSCEI!$F$49))</f>
        <v/>
      </c>
    </row>
    <row r="195">
      <c r="B195" s="66" t="inlineStr">
        <is>
          <t>HSCEI</t>
        </is>
      </c>
      <c r="C195" s="8">
        <f>IF(HSCEI!$C$50="","",HSCEI!$C$50)</f>
        <v/>
      </c>
      <c r="D195" s="8">
        <f>IF($C195="","",HSCEI!$D$50)</f>
        <v/>
      </c>
      <c r="E195" s="8">
        <f>IF($C195="","",HSCEI!$E$50)</f>
        <v/>
      </c>
      <c r="F195" s="67">
        <f>IF($C195="","",SUMPRODUCT(('Dvd Calendar'!$E$2034:$AR$2034&gt;=DATE(YEAR_Y-5,1,1))*('Dvd Calendar'!$E$2034:$AR$2034&lt;=DATE(YEAR_Y-5,12,31))*'Dvd Calendar'!$E$2037:$AR$2037*(('Dvd Calendar'!$E$2039:$AR$2039=TYPE1)*(TYPE1&lt;&gt;"")+('Dvd Calendar'!$E$2039:$AR$2039=TYPE2)*(TYPE2&lt;&gt;"")+('Dvd Calendar'!$E$2039:$AR$2039=TYPE3)*(TYPE3&lt;&gt;"")+('Dvd Calendar'!$E$2039:$AR$2039=TYPE4)*(TYPE4&lt;&gt;"")+('Dvd Calendar'!$E$2039:$AR$2039=SPECIAL_LBL)*(INC_SPECIALS="Y"))))</f>
        <v/>
      </c>
      <c r="G195" s="68">
        <f>IF($C195="","",SUMPRODUCT(('Dvd Calendar'!$E$2034:$AR$2034&gt;=DATE(YEAR_Y-4,1,1))*('Dvd Calendar'!$E$2034:$AR$2034&lt;=DATE(YEAR_Y-4,12,31))*'Dvd Calendar'!$E$2037:$AR$2037*(('Dvd Calendar'!$E$2039:$AR$2039=TYPE1)*(TYPE1&lt;&gt;"")+('Dvd Calendar'!$E$2039:$AR$2039=TYPE2)*(TYPE2&lt;&gt;"")+('Dvd Calendar'!$E$2039:$AR$2039=TYPE3)*(TYPE3&lt;&gt;"")+('Dvd Calendar'!$E$2039:$AR$2039=TYPE4)*(TYPE4&lt;&gt;"")+('Dvd Calendar'!$E$2039:$AR$2039=SPECIAL_LBL)*(INC_SPECIALS="Y"))))</f>
        <v/>
      </c>
      <c r="H195" s="68">
        <f>IF($C195="","",SUMPRODUCT(('Dvd Calendar'!$E$2034:$AR$2034&gt;=DATE(YEAR_Y-3,1,1))*('Dvd Calendar'!$E$2034:$AR$2034&lt;=DATE(YEAR_Y-3,12,31))*'Dvd Calendar'!$E$2037:$AR$2037*(('Dvd Calendar'!$E$2039:$AR$2039=TYPE1)*(TYPE1&lt;&gt;"")+('Dvd Calendar'!$E$2039:$AR$2039=TYPE2)*(TYPE2&lt;&gt;"")+('Dvd Calendar'!$E$2039:$AR$2039=TYPE3)*(TYPE3&lt;&gt;"")+('Dvd Calendar'!$E$2039:$AR$2039=TYPE4)*(TYPE4&lt;&gt;"")+('Dvd Calendar'!$E$2039:$AR$2039=SPECIAL_LBL)*(INC_SPECIALS="Y"))))</f>
        <v/>
      </c>
      <c r="I195" s="68">
        <f>IF($C195="","",SUMPRODUCT(('Dvd Calendar'!$E$2034:$AR$2034&gt;=DATE(YEAR_Y-2,1,1))*('Dvd Calendar'!$E$2034:$AR$2034&lt;=DATE(YEAR_Y-2,12,31))*'Dvd Calendar'!$E$2037:$AR$2037*(('Dvd Calendar'!$E$2039:$AR$2039=TYPE1)*(TYPE1&lt;&gt;"")+('Dvd Calendar'!$E$2039:$AR$2039=TYPE2)*(TYPE2&lt;&gt;"")+('Dvd Calendar'!$E$2039:$AR$2039=TYPE3)*(TYPE3&lt;&gt;"")+('Dvd Calendar'!$E$2039:$AR$2039=TYPE4)*(TYPE4&lt;&gt;"")+('Dvd Calendar'!$E$2039:$AR$2039=SPECIAL_LBL)*(INC_SPECIALS="Y"))))</f>
        <v/>
      </c>
      <c r="J195" s="68">
        <f>IF($C195="","",SUMPRODUCT(('Dvd Calendar'!$E$2034:$AR$2034&gt;=DATE(YEAR_Y-1,1,1))*('Dvd Calendar'!$E$2034:$AR$2034&lt;=DATE(YEAR_Y-1,12,31))*'Dvd Calendar'!$E$2037:$AR$2037*(('Dvd Calendar'!$E$2039:$AR$2039=TYPE1)*(TYPE1&lt;&gt;"")+('Dvd Calendar'!$E$2039:$AR$2039=TYPE2)*(TYPE2&lt;&gt;"")+('Dvd Calendar'!$E$2039:$AR$2039=TYPE3)*(TYPE3&lt;&gt;"")+('Dvd Calendar'!$E$2039:$AR$2039=TYPE4)*(TYPE4&lt;&gt;"")+('Dvd Calendar'!$E$2039:$AR$2039=SPECIAL_LBL)*(INC_SPECIALS="Y"))))</f>
        <v/>
      </c>
      <c r="K195" s="69">
        <f>IF($C195="","",HSCEI!$J$50)</f>
        <v/>
      </c>
      <c r="L195" s="69">
        <f>IF($C195="","",HSCEI!$K$50)</f>
        <v/>
      </c>
      <c r="M195" s="44">
        <f>IF($C195="","",HSCEI!$J$50+HSCEI!$L$50)</f>
        <v/>
      </c>
      <c r="N195" s="70">
        <f>IF($C195="","",IF(PULL_FUND="N","",IFERROR(BDP($C195,BESTDPS_FIELD,FWD_OVERRIDE,TEXT(MOD(YEAR_Y,100),"00")&amp;"Y"),"")))</f>
        <v/>
      </c>
      <c r="O195" s="69">
        <f>IF($C195="","",AVERAGE(F195:J195))</f>
        <v/>
      </c>
      <c r="P195" s="71">
        <f>IF($C195="","",IF(PULL_FUND="N","",IF(COUNTIFS('Fund History'!$J$1114:$J$1118,"&gt;="&amp;DATE(YEAR_Y-5,1,1),'Fund History'!$J$1114:$J$1118,"&lt;="&amp;DATE(YEAR_Y-5,12,31))=0,"",IFERROR($F195*HSCEI!$G$50/SUMIFS('Fund History'!$K$1114:$K$1118,'Fund History'!$J$1114:$J$1118,"&gt;="&amp;DATE(YEAR_Y-5,1,1),'Fund History'!$J$1114:$J$1118,"&lt;="&amp;DATE(YEAR_Y-5,12,31)),""))))</f>
        <v/>
      </c>
      <c r="Q195" s="72">
        <f>IF($C195="","",IF(PULL_FUND="N","",IF(COUNTIFS('Fund History'!$J$1114:$J$1118,"&gt;="&amp;DATE(YEAR_Y-4,1,1),'Fund History'!$J$1114:$J$1118,"&lt;="&amp;DATE(YEAR_Y-4,12,31))=0,"",IFERROR($G195*HSCEI!$G$50/SUMIFS('Fund History'!$K$1114:$K$1118,'Fund History'!$J$1114:$J$1118,"&gt;="&amp;DATE(YEAR_Y-4,1,1),'Fund History'!$J$1114:$J$1118,"&lt;="&amp;DATE(YEAR_Y-4,12,31)),""))))</f>
        <v/>
      </c>
      <c r="R195" s="72">
        <f>IF($C195="","",IF(PULL_FUND="N","",IF(COUNTIFS('Fund History'!$J$1114:$J$1118,"&gt;="&amp;DATE(YEAR_Y-3,1,1),'Fund History'!$J$1114:$J$1118,"&lt;="&amp;DATE(YEAR_Y-3,12,31))=0,"",IFERROR($H195*HSCEI!$G$50/SUMIFS('Fund History'!$K$1114:$K$1118,'Fund History'!$J$1114:$J$1118,"&gt;="&amp;DATE(YEAR_Y-3,1,1),'Fund History'!$J$1114:$J$1118,"&lt;="&amp;DATE(YEAR_Y-3,12,31)),""))))</f>
        <v/>
      </c>
      <c r="S195" s="72">
        <f>IF($C195="","",IF(PULL_FUND="N","",IF(COUNTIFS('Fund History'!$J$1114:$J$1118,"&gt;="&amp;DATE(YEAR_Y-2,1,1),'Fund History'!$J$1114:$J$1118,"&lt;="&amp;DATE(YEAR_Y-2,12,31))=0,"",IFERROR($I195*HSCEI!$G$50/SUMIFS('Fund History'!$K$1114:$K$1118,'Fund History'!$J$1114:$J$1118,"&gt;="&amp;DATE(YEAR_Y-2,1,1),'Fund History'!$J$1114:$J$1118,"&lt;="&amp;DATE(YEAR_Y-2,12,31)),""))))</f>
        <v/>
      </c>
      <c r="T195" s="72">
        <f>IF($C195="","",IF(PULL_FUND="N","",IF(COUNTIFS('Fund History'!$J$1114:$J$1118,"&gt;="&amp;DATE(YEAR_Y-1,1,1),'Fund History'!$J$1114:$J$1118,"&lt;="&amp;DATE(YEAR_Y-1,12,31))=0,"",IFERROR($J195*HSCEI!$G$50/SUMIFS('Fund History'!$K$1114:$K$1118,'Fund History'!$J$1114:$J$1118,"&gt;="&amp;DATE(YEAR_Y-1,1,1),'Fund History'!$J$1114:$J$1118,"&lt;="&amp;DATE(YEAR_Y-1,12,31)),""))))</f>
        <v/>
      </c>
      <c r="U195" s="73">
        <f>IF($C195="","",IF(ISNUMBER(HSCEI!$I$50),HSCEI!$I$50/100,""))</f>
        <v/>
      </c>
      <c r="V195" s="74">
        <f>IF($C195="","",IF(ISNUMBER(HSCEI!$X$50),IFERROR($M195*HSCEI!$G$50/HSCEI!$X$50,""),""))</f>
        <v/>
      </c>
      <c r="W195" s="73">
        <f>IF($C195="","",IF(ISNUMBER($N195),IFERROR($N195*HSCEI!$G$50/HSCEI!$X$50,""),""))</f>
        <v/>
      </c>
      <c r="X195" s="75">
        <f>IF($C195="","",IF(PULL_FUND="N","",IFERROR(BDP($C195,EPS_FIELD,YR_OVERRIDE,TEXT(YEAR_Y-5,"0")),"")))</f>
        <v/>
      </c>
      <c r="Y195" s="76">
        <f>IF($C195="","",IF(PULL_FUND="N","",IFERROR(BDP($C195,EPS_FIELD,YR_OVERRIDE,TEXT(YEAR_Y-4,"0")),"")))</f>
        <v/>
      </c>
      <c r="Z195" s="76">
        <f>IF($C195="","",IF(PULL_FUND="N","",IFERROR(BDP($C195,EPS_FIELD,YR_OVERRIDE,TEXT(YEAR_Y-3,"0")),"")))</f>
        <v/>
      </c>
      <c r="AA195" s="76">
        <f>IF($C195="","",IF(PULL_FUND="N","",IFERROR(BDP($C195,EPS_FIELD,YR_OVERRIDE,TEXT(YEAR_Y-2,"0")),"")))</f>
        <v/>
      </c>
      <c r="AB195" s="76">
        <f>IF($C195="","",IF(PULL_FUND="N","",IFERROR(BDP($C195,EPS_FIELD,YR_OVERRIDE,TEXT(YEAR_Y-1,"0")),"")))</f>
        <v/>
      </c>
      <c r="AC195" s="50">
        <f>IF($C195="","",IFERROR(AVERAGE(X195:AB195),""))</f>
        <v/>
      </c>
      <c r="AD195" s="76">
        <f>IF($C195="","",IF(PULL_FUND="N","",IFERROR(BDP($C195,BESTEPS_FIELD,FWD_OVERRIDE,TEXT(MOD(YEAR_Y,100),"00")&amp;"Y"),"")))</f>
        <v/>
      </c>
      <c r="AE195" s="77">
        <f>IF($C195="","",IF(PULL_FUND="N","",IFERROR(BDP($C195,PAYOUT_FIELD,YR_OVERRIDE,TEXT(YEAR_Y-5,"0"))/100,"")))</f>
        <v/>
      </c>
      <c r="AF195" s="78">
        <f>IF($C195="","",IF(PULL_FUND="N","",IFERROR(BDP($C195,PAYOUT_FIELD,YR_OVERRIDE,TEXT(YEAR_Y-4,"0"))/100,"")))</f>
        <v/>
      </c>
      <c r="AG195" s="78">
        <f>IF($C195="","",IF(PULL_FUND="N","",IFERROR(BDP($C195,PAYOUT_FIELD,YR_OVERRIDE,TEXT(YEAR_Y-3,"0"))/100,"")))</f>
        <v/>
      </c>
      <c r="AH195" s="78">
        <f>IF($C195="","",IF(PULL_FUND="N","",IFERROR(BDP($C195,PAYOUT_FIELD,YR_OVERRIDE,TEXT(YEAR_Y-2,"0"))/100,"")))</f>
        <v/>
      </c>
      <c r="AI195" s="78">
        <f>IF($C195="","",IF(PULL_FUND="N","",IFERROR(BDP($C195,PAYOUT_FIELD,YR_OVERRIDE,TEXT(YEAR_Y-1,"0"))/100,"")))</f>
        <v/>
      </c>
      <c r="AJ195" s="79">
        <f>IF($C195="","",IFERROR(AVERAGE(AE195:AI195),""))</f>
        <v/>
      </c>
      <c r="AK195" s="80">
        <f>IF($C195="","",IF(ISNUMBER($AD195)*ISNUMBER($N195)*($AD195&lt;&gt;0)=0,"",$N195/$AD195))</f>
        <v/>
      </c>
      <c r="AL195" s="79">
        <f>IF($C195="","",IF(ISNUMBER($AD195)*($AD195&lt;&gt;0)=0,"",$M195/$AD195))</f>
        <v/>
      </c>
      <c r="AM195" s="37">
        <f>IF($C195="","",IF(ISNUMBER($AE195)*ISNUMBER($AI195)=0,"",IF($AI195&gt;$AE195+0.05,"rising",IF($AI195&lt;$AE195-0.05,"falling","stable"))))</f>
        <v/>
      </c>
      <c r="AN195" s="81">
        <f>IF($C195="","",IF(PULL_FUND="N","",IF(COUNTIFS('Fund History'!$G$1114:$G$1118,"&gt;="&amp;DATE(YEAR_Y-4,1,1),'Fund History'!$G$1114:$G$1118,"&lt;="&amp;DATE(YEAR_Y-4,12,31))=0,"",SUMIFS('Fund History'!$H$1114:$H$1118,'Fund History'!$G$1114:$G$1118,"&gt;="&amp;DATE(YEAR_Y-4,1,1),'Fund History'!$G$1114:$G$1118,"&lt;="&amp;DATE(YEAR_Y-4,12,31))/100)))</f>
        <v/>
      </c>
      <c r="AO195" s="82">
        <f>IF($C195="","",IF(PULL_FUND="N","",IF(COUNTIFS('Fund History'!$G$1114:$G$1118,"&gt;="&amp;DATE(YEAR_Y-3,1,1),'Fund History'!$G$1114:$G$1118,"&lt;="&amp;DATE(YEAR_Y-3,12,31))=0,"",SUMIFS('Fund History'!$H$1114:$H$1118,'Fund History'!$G$1114:$G$1118,"&gt;="&amp;DATE(YEAR_Y-3,1,1),'Fund History'!$G$1114:$G$1118,"&lt;="&amp;DATE(YEAR_Y-3,12,31))/100)))</f>
        <v/>
      </c>
      <c r="AP195" s="82">
        <f>IF($C195="","",IF(PULL_FUND="N","",IF(COUNTIFS('Fund History'!$G$1114:$G$1118,"&gt;="&amp;DATE(YEAR_Y-2,1,1),'Fund History'!$G$1114:$G$1118,"&lt;="&amp;DATE(YEAR_Y-2,12,31))=0,"",SUMIFS('Fund History'!$H$1114:$H$1118,'Fund History'!$G$1114:$G$1118,"&gt;="&amp;DATE(YEAR_Y-2,1,1),'Fund History'!$G$1114:$G$1118,"&lt;="&amp;DATE(YEAR_Y-2,12,31))/100)))</f>
        <v/>
      </c>
      <c r="AQ195" s="82">
        <f>IF($C195="","",IF(PULL_FUND="N","",IF(COUNTIFS('Fund History'!$G$1114:$G$1118,"&gt;="&amp;DATE(YEAR_Y-1,1,1),'Fund History'!$G$1114:$G$1118,"&lt;="&amp;DATE(YEAR_Y-1,12,31))=0,"",SUMIFS('Fund History'!$H$1114:$H$1118,'Fund History'!$G$1114:$G$1118,"&gt;="&amp;DATE(YEAR_Y-1,1,1),'Fund History'!$G$1114:$G$1118,"&lt;="&amp;DATE(YEAR_Y-1,12,31))/100)))</f>
        <v/>
      </c>
      <c r="AR195" s="83">
        <f>IF($C195="","",IF(N($AQ195)+N(HSCEI!$I$50)=0,"",N($AQ195)+N(HSCEI!$I$50)/100))</f>
        <v/>
      </c>
      <c r="AS195" s="75">
        <f>IF($C195="","",IF(PULL_FUND="N","",IF(COUNTIFS('Fund History'!$D$1114:$D$1118,"&gt;="&amp;DATE(YEAR_Y-2,1,1),'Fund History'!$D$1114:$D$1118,"&lt;="&amp;DATE(YEAR_Y-2,12,31))=0,"",SUMIFS('Fund History'!$E$1114:$E$1118,'Fund History'!$D$1114:$D$1118,"&gt;="&amp;DATE(YEAR_Y-2,1,1),'Fund History'!$D$1114:$D$1118,"&lt;="&amp;DATE(YEAR_Y-2,12,31)))))</f>
        <v/>
      </c>
      <c r="AT195" s="76">
        <f>IF($C195="","",IF(PULL_FUND="N","",IF(COUNTIFS('Fund History'!$D$1114:$D$1118,"&gt;="&amp;DATE(YEAR_Y-1,1,1),'Fund History'!$D$1114:$D$1118,"&lt;="&amp;DATE(YEAR_Y-1,12,31))=0,"",SUMIFS('Fund History'!$E$1114:$E$1118,'Fund History'!$D$1114:$D$1118,"&gt;="&amp;DATE(YEAR_Y-1,1,1),'Fund History'!$D$1114:$D$1118,"&lt;="&amp;DATE(YEAR_Y-1,12,31)))))</f>
        <v/>
      </c>
      <c r="AU195" s="76">
        <f>IF($C195="","",IF(PULL_FUND="N","",IFERROR(BDP($C195,NDEBITDA_FIELD),"")))</f>
        <v/>
      </c>
      <c r="AV195" s="84">
        <f>IF($C195="","",IF(PULL_FUND="N","",IFERROR(BDP($C195,EBINT_FIELD),"")))</f>
        <v/>
      </c>
      <c r="AW195" s="82">
        <f>IF($C195="","",IF(PULL_FUND="N","",IFERROR(BDP($C195,FCF_FIELD)/100,"")))</f>
        <v/>
      </c>
      <c r="AX195" s="50">
        <f>IF($C195="","",IF(N($U195)=0,"",IFERROR($AW195/$U195,"")))</f>
        <v/>
      </c>
      <c r="AY195" s="85">
        <f>IF($C195="","",TRIM(IF(ISNUMBER($AJ195)*(N($AJ195)&gt;$D$4)&gt;0,"payout high  ","")&amp;IF(ISNUMBER($AX195)*(N($AX195)&lt;$F$4)&gt;0,"FCF below dvd  ","")&amp;IF(ISNUMBER($AU195)*(N($AU195)&gt;$H$4)&gt;0,"leverage high","")))</f>
        <v/>
      </c>
      <c r="AZ195" s="86">
        <f>IF($C195="","",IF(HSCEI!$F$50="HKD","",HSCEI!$F$50))</f>
        <v/>
      </c>
    </row>
    <row r="196">
      <c r="B196" s="66" t="inlineStr">
        <is>
          <t>HSCEI</t>
        </is>
      </c>
      <c r="C196" s="8">
        <f>IF(HSCEI!$C$51="","",HSCEI!$C$51)</f>
        <v/>
      </c>
      <c r="D196" s="8">
        <f>IF($C196="","",HSCEI!$D$51)</f>
        <v/>
      </c>
      <c r="E196" s="8">
        <f>IF($C196="","",HSCEI!$E$51)</f>
        <v/>
      </c>
      <c r="F196" s="67">
        <f>IF($C196="","",SUMPRODUCT(('Dvd Calendar'!$E$2045:$AR$2045&gt;=DATE(YEAR_Y-5,1,1))*('Dvd Calendar'!$E$2045:$AR$2045&lt;=DATE(YEAR_Y-5,12,31))*'Dvd Calendar'!$E$2048:$AR$2048*(('Dvd Calendar'!$E$2050:$AR$2050=TYPE1)*(TYPE1&lt;&gt;"")+('Dvd Calendar'!$E$2050:$AR$2050=TYPE2)*(TYPE2&lt;&gt;"")+('Dvd Calendar'!$E$2050:$AR$2050=TYPE3)*(TYPE3&lt;&gt;"")+('Dvd Calendar'!$E$2050:$AR$2050=TYPE4)*(TYPE4&lt;&gt;"")+('Dvd Calendar'!$E$2050:$AR$2050=SPECIAL_LBL)*(INC_SPECIALS="Y"))))</f>
        <v/>
      </c>
      <c r="G196" s="68">
        <f>IF($C196="","",SUMPRODUCT(('Dvd Calendar'!$E$2045:$AR$2045&gt;=DATE(YEAR_Y-4,1,1))*('Dvd Calendar'!$E$2045:$AR$2045&lt;=DATE(YEAR_Y-4,12,31))*'Dvd Calendar'!$E$2048:$AR$2048*(('Dvd Calendar'!$E$2050:$AR$2050=TYPE1)*(TYPE1&lt;&gt;"")+('Dvd Calendar'!$E$2050:$AR$2050=TYPE2)*(TYPE2&lt;&gt;"")+('Dvd Calendar'!$E$2050:$AR$2050=TYPE3)*(TYPE3&lt;&gt;"")+('Dvd Calendar'!$E$2050:$AR$2050=TYPE4)*(TYPE4&lt;&gt;"")+('Dvd Calendar'!$E$2050:$AR$2050=SPECIAL_LBL)*(INC_SPECIALS="Y"))))</f>
        <v/>
      </c>
      <c r="H196" s="68">
        <f>IF($C196="","",SUMPRODUCT(('Dvd Calendar'!$E$2045:$AR$2045&gt;=DATE(YEAR_Y-3,1,1))*('Dvd Calendar'!$E$2045:$AR$2045&lt;=DATE(YEAR_Y-3,12,31))*'Dvd Calendar'!$E$2048:$AR$2048*(('Dvd Calendar'!$E$2050:$AR$2050=TYPE1)*(TYPE1&lt;&gt;"")+('Dvd Calendar'!$E$2050:$AR$2050=TYPE2)*(TYPE2&lt;&gt;"")+('Dvd Calendar'!$E$2050:$AR$2050=TYPE3)*(TYPE3&lt;&gt;"")+('Dvd Calendar'!$E$2050:$AR$2050=TYPE4)*(TYPE4&lt;&gt;"")+('Dvd Calendar'!$E$2050:$AR$2050=SPECIAL_LBL)*(INC_SPECIALS="Y"))))</f>
        <v/>
      </c>
      <c r="I196" s="68">
        <f>IF($C196="","",SUMPRODUCT(('Dvd Calendar'!$E$2045:$AR$2045&gt;=DATE(YEAR_Y-2,1,1))*('Dvd Calendar'!$E$2045:$AR$2045&lt;=DATE(YEAR_Y-2,12,31))*'Dvd Calendar'!$E$2048:$AR$2048*(('Dvd Calendar'!$E$2050:$AR$2050=TYPE1)*(TYPE1&lt;&gt;"")+('Dvd Calendar'!$E$2050:$AR$2050=TYPE2)*(TYPE2&lt;&gt;"")+('Dvd Calendar'!$E$2050:$AR$2050=TYPE3)*(TYPE3&lt;&gt;"")+('Dvd Calendar'!$E$2050:$AR$2050=TYPE4)*(TYPE4&lt;&gt;"")+('Dvd Calendar'!$E$2050:$AR$2050=SPECIAL_LBL)*(INC_SPECIALS="Y"))))</f>
        <v/>
      </c>
      <c r="J196" s="68">
        <f>IF($C196="","",SUMPRODUCT(('Dvd Calendar'!$E$2045:$AR$2045&gt;=DATE(YEAR_Y-1,1,1))*('Dvd Calendar'!$E$2045:$AR$2045&lt;=DATE(YEAR_Y-1,12,31))*'Dvd Calendar'!$E$2048:$AR$2048*(('Dvd Calendar'!$E$2050:$AR$2050=TYPE1)*(TYPE1&lt;&gt;"")+('Dvd Calendar'!$E$2050:$AR$2050=TYPE2)*(TYPE2&lt;&gt;"")+('Dvd Calendar'!$E$2050:$AR$2050=TYPE3)*(TYPE3&lt;&gt;"")+('Dvd Calendar'!$E$2050:$AR$2050=TYPE4)*(TYPE4&lt;&gt;"")+('Dvd Calendar'!$E$2050:$AR$2050=SPECIAL_LBL)*(INC_SPECIALS="Y"))))</f>
        <v/>
      </c>
      <c r="K196" s="69">
        <f>IF($C196="","",HSCEI!$J$51)</f>
        <v/>
      </c>
      <c r="L196" s="69">
        <f>IF($C196="","",HSCEI!$K$51)</f>
        <v/>
      </c>
      <c r="M196" s="44">
        <f>IF($C196="","",HSCEI!$J$51+HSCEI!$L$51)</f>
        <v/>
      </c>
      <c r="N196" s="70">
        <f>IF($C196="","",IF(PULL_FUND="N","",IFERROR(BDP($C196,BESTDPS_FIELD,FWD_OVERRIDE,TEXT(MOD(YEAR_Y,100),"00")&amp;"Y"),"")))</f>
        <v/>
      </c>
      <c r="O196" s="69">
        <f>IF($C196="","",AVERAGE(F196:J196))</f>
        <v/>
      </c>
      <c r="P196" s="71">
        <f>IF($C196="","",IF(PULL_FUND="N","",IF(COUNTIFS('Fund History'!$J$1120:$J$1124,"&gt;="&amp;DATE(YEAR_Y-5,1,1),'Fund History'!$J$1120:$J$1124,"&lt;="&amp;DATE(YEAR_Y-5,12,31))=0,"",IFERROR($F196*HSCEI!$G$51/SUMIFS('Fund History'!$K$1120:$K$1124,'Fund History'!$J$1120:$J$1124,"&gt;="&amp;DATE(YEAR_Y-5,1,1),'Fund History'!$J$1120:$J$1124,"&lt;="&amp;DATE(YEAR_Y-5,12,31)),""))))</f>
        <v/>
      </c>
      <c r="Q196" s="72">
        <f>IF($C196="","",IF(PULL_FUND="N","",IF(COUNTIFS('Fund History'!$J$1120:$J$1124,"&gt;="&amp;DATE(YEAR_Y-4,1,1),'Fund History'!$J$1120:$J$1124,"&lt;="&amp;DATE(YEAR_Y-4,12,31))=0,"",IFERROR($G196*HSCEI!$G$51/SUMIFS('Fund History'!$K$1120:$K$1124,'Fund History'!$J$1120:$J$1124,"&gt;="&amp;DATE(YEAR_Y-4,1,1),'Fund History'!$J$1120:$J$1124,"&lt;="&amp;DATE(YEAR_Y-4,12,31)),""))))</f>
        <v/>
      </c>
      <c r="R196" s="72">
        <f>IF($C196="","",IF(PULL_FUND="N","",IF(COUNTIFS('Fund History'!$J$1120:$J$1124,"&gt;="&amp;DATE(YEAR_Y-3,1,1),'Fund History'!$J$1120:$J$1124,"&lt;="&amp;DATE(YEAR_Y-3,12,31))=0,"",IFERROR($H196*HSCEI!$G$51/SUMIFS('Fund History'!$K$1120:$K$1124,'Fund History'!$J$1120:$J$1124,"&gt;="&amp;DATE(YEAR_Y-3,1,1),'Fund History'!$J$1120:$J$1124,"&lt;="&amp;DATE(YEAR_Y-3,12,31)),""))))</f>
        <v/>
      </c>
      <c r="S196" s="72">
        <f>IF($C196="","",IF(PULL_FUND="N","",IF(COUNTIFS('Fund History'!$J$1120:$J$1124,"&gt;="&amp;DATE(YEAR_Y-2,1,1),'Fund History'!$J$1120:$J$1124,"&lt;="&amp;DATE(YEAR_Y-2,12,31))=0,"",IFERROR($I196*HSCEI!$G$51/SUMIFS('Fund History'!$K$1120:$K$1124,'Fund History'!$J$1120:$J$1124,"&gt;="&amp;DATE(YEAR_Y-2,1,1),'Fund History'!$J$1120:$J$1124,"&lt;="&amp;DATE(YEAR_Y-2,12,31)),""))))</f>
        <v/>
      </c>
      <c r="T196" s="72">
        <f>IF($C196="","",IF(PULL_FUND="N","",IF(COUNTIFS('Fund History'!$J$1120:$J$1124,"&gt;="&amp;DATE(YEAR_Y-1,1,1),'Fund History'!$J$1120:$J$1124,"&lt;="&amp;DATE(YEAR_Y-1,12,31))=0,"",IFERROR($J196*HSCEI!$G$51/SUMIFS('Fund History'!$K$1120:$K$1124,'Fund History'!$J$1120:$J$1124,"&gt;="&amp;DATE(YEAR_Y-1,1,1),'Fund History'!$J$1120:$J$1124,"&lt;="&amp;DATE(YEAR_Y-1,12,31)),""))))</f>
        <v/>
      </c>
      <c r="U196" s="73">
        <f>IF($C196="","",IF(ISNUMBER(HSCEI!$I$51),HSCEI!$I$51/100,""))</f>
        <v/>
      </c>
      <c r="V196" s="74">
        <f>IF($C196="","",IF(ISNUMBER(HSCEI!$X$51),IFERROR($M196*HSCEI!$G$51/HSCEI!$X$51,""),""))</f>
        <v/>
      </c>
      <c r="W196" s="73">
        <f>IF($C196="","",IF(ISNUMBER($N196),IFERROR($N196*HSCEI!$G$51/HSCEI!$X$51,""),""))</f>
        <v/>
      </c>
      <c r="X196" s="75">
        <f>IF($C196="","",IF(PULL_FUND="N","",IFERROR(BDP($C196,EPS_FIELD,YR_OVERRIDE,TEXT(YEAR_Y-5,"0")),"")))</f>
        <v/>
      </c>
      <c r="Y196" s="76">
        <f>IF($C196="","",IF(PULL_FUND="N","",IFERROR(BDP($C196,EPS_FIELD,YR_OVERRIDE,TEXT(YEAR_Y-4,"0")),"")))</f>
        <v/>
      </c>
      <c r="Z196" s="76">
        <f>IF($C196="","",IF(PULL_FUND="N","",IFERROR(BDP($C196,EPS_FIELD,YR_OVERRIDE,TEXT(YEAR_Y-3,"0")),"")))</f>
        <v/>
      </c>
      <c r="AA196" s="76">
        <f>IF($C196="","",IF(PULL_FUND="N","",IFERROR(BDP($C196,EPS_FIELD,YR_OVERRIDE,TEXT(YEAR_Y-2,"0")),"")))</f>
        <v/>
      </c>
      <c r="AB196" s="76">
        <f>IF($C196="","",IF(PULL_FUND="N","",IFERROR(BDP($C196,EPS_FIELD,YR_OVERRIDE,TEXT(YEAR_Y-1,"0")),"")))</f>
        <v/>
      </c>
      <c r="AC196" s="50">
        <f>IF($C196="","",IFERROR(AVERAGE(X196:AB196),""))</f>
        <v/>
      </c>
      <c r="AD196" s="76">
        <f>IF($C196="","",IF(PULL_FUND="N","",IFERROR(BDP($C196,BESTEPS_FIELD,FWD_OVERRIDE,TEXT(MOD(YEAR_Y,100),"00")&amp;"Y"),"")))</f>
        <v/>
      </c>
      <c r="AE196" s="77">
        <f>IF($C196="","",IF(PULL_FUND="N","",IFERROR(BDP($C196,PAYOUT_FIELD,YR_OVERRIDE,TEXT(YEAR_Y-5,"0"))/100,"")))</f>
        <v/>
      </c>
      <c r="AF196" s="78">
        <f>IF($C196="","",IF(PULL_FUND="N","",IFERROR(BDP($C196,PAYOUT_FIELD,YR_OVERRIDE,TEXT(YEAR_Y-4,"0"))/100,"")))</f>
        <v/>
      </c>
      <c r="AG196" s="78">
        <f>IF($C196="","",IF(PULL_FUND="N","",IFERROR(BDP($C196,PAYOUT_FIELD,YR_OVERRIDE,TEXT(YEAR_Y-3,"0"))/100,"")))</f>
        <v/>
      </c>
      <c r="AH196" s="78">
        <f>IF($C196="","",IF(PULL_FUND="N","",IFERROR(BDP($C196,PAYOUT_FIELD,YR_OVERRIDE,TEXT(YEAR_Y-2,"0"))/100,"")))</f>
        <v/>
      </c>
      <c r="AI196" s="78">
        <f>IF($C196="","",IF(PULL_FUND="N","",IFERROR(BDP($C196,PAYOUT_FIELD,YR_OVERRIDE,TEXT(YEAR_Y-1,"0"))/100,"")))</f>
        <v/>
      </c>
      <c r="AJ196" s="79">
        <f>IF($C196="","",IFERROR(AVERAGE(AE196:AI196),""))</f>
        <v/>
      </c>
      <c r="AK196" s="80">
        <f>IF($C196="","",IF(ISNUMBER($AD196)*ISNUMBER($N196)*($AD196&lt;&gt;0)=0,"",$N196/$AD196))</f>
        <v/>
      </c>
      <c r="AL196" s="79">
        <f>IF($C196="","",IF(ISNUMBER($AD196)*($AD196&lt;&gt;0)=0,"",$M196/$AD196))</f>
        <v/>
      </c>
      <c r="AM196" s="37">
        <f>IF($C196="","",IF(ISNUMBER($AE196)*ISNUMBER($AI196)=0,"",IF($AI196&gt;$AE196+0.05,"rising",IF($AI196&lt;$AE196-0.05,"falling","stable"))))</f>
        <v/>
      </c>
      <c r="AN196" s="81">
        <f>IF($C196="","",IF(PULL_FUND="N","",IF(COUNTIFS('Fund History'!$G$1120:$G$1124,"&gt;="&amp;DATE(YEAR_Y-4,1,1),'Fund History'!$G$1120:$G$1124,"&lt;="&amp;DATE(YEAR_Y-4,12,31))=0,"",SUMIFS('Fund History'!$H$1120:$H$1124,'Fund History'!$G$1120:$G$1124,"&gt;="&amp;DATE(YEAR_Y-4,1,1),'Fund History'!$G$1120:$G$1124,"&lt;="&amp;DATE(YEAR_Y-4,12,31))/100)))</f>
        <v/>
      </c>
      <c r="AO196" s="82">
        <f>IF($C196="","",IF(PULL_FUND="N","",IF(COUNTIFS('Fund History'!$G$1120:$G$1124,"&gt;="&amp;DATE(YEAR_Y-3,1,1),'Fund History'!$G$1120:$G$1124,"&lt;="&amp;DATE(YEAR_Y-3,12,31))=0,"",SUMIFS('Fund History'!$H$1120:$H$1124,'Fund History'!$G$1120:$G$1124,"&gt;="&amp;DATE(YEAR_Y-3,1,1),'Fund History'!$G$1120:$G$1124,"&lt;="&amp;DATE(YEAR_Y-3,12,31))/100)))</f>
        <v/>
      </c>
      <c r="AP196" s="82">
        <f>IF($C196="","",IF(PULL_FUND="N","",IF(COUNTIFS('Fund History'!$G$1120:$G$1124,"&gt;="&amp;DATE(YEAR_Y-2,1,1),'Fund History'!$G$1120:$G$1124,"&lt;="&amp;DATE(YEAR_Y-2,12,31))=0,"",SUMIFS('Fund History'!$H$1120:$H$1124,'Fund History'!$G$1120:$G$1124,"&gt;="&amp;DATE(YEAR_Y-2,1,1),'Fund History'!$G$1120:$G$1124,"&lt;="&amp;DATE(YEAR_Y-2,12,31))/100)))</f>
        <v/>
      </c>
      <c r="AQ196" s="82">
        <f>IF($C196="","",IF(PULL_FUND="N","",IF(COUNTIFS('Fund History'!$G$1120:$G$1124,"&gt;="&amp;DATE(YEAR_Y-1,1,1),'Fund History'!$G$1120:$G$1124,"&lt;="&amp;DATE(YEAR_Y-1,12,31))=0,"",SUMIFS('Fund History'!$H$1120:$H$1124,'Fund History'!$G$1120:$G$1124,"&gt;="&amp;DATE(YEAR_Y-1,1,1),'Fund History'!$G$1120:$G$1124,"&lt;="&amp;DATE(YEAR_Y-1,12,31))/100)))</f>
        <v/>
      </c>
      <c r="AR196" s="83">
        <f>IF($C196="","",IF(N($AQ196)+N(HSCEI!$I$51)=0,"",N($AQ196)+N(HSCEI!$I$51)/100))</f>
        <v/>
      </c>
      <c r="AS196" s="75">
        <f>IF($C196="","",IF(PULL_FUND="N","",IF(COUNTIFS('Fund History'!$D$1120:$D$1124,"&gt;="&amp;DATE(YEAR_Y-2,1,1),'Fund History'!$D$1120:$D$1124,"&lt;="&amp;DATE(YEAR_Y-2,12,31))=0,"",SUMIFS('Fund History'!$E$1120:$E$1124,'Fund History'!$D$1120:$D$1124,"&gt;="&amp;DATE(YEAR_Y-2,1,1),'Fund History'!$D$1120:$D$1124,"&lt;="&amp;DATE(YEAR_Y-2,12,31)))))</f>
        <v/>
      </c>
      <c r="AT196" s="76">
        <f>IF($C196="","",IF(PULL_FUND="N","",IF(COUNTIFS('Fund History'!$D$1120:$D$1124,"&gt;="&amp;DATE(YEAR_Y-1,1,1),'Fund History'!$D$1120:$D$1124,"&lt;="&amp;DATE(YEAR_Y-1,12,31))=0,"",SUMIFS('Fund History'!$E$1120:$E$1124,'Fund History'!$D$1120:$D$1124,"&gt;="&amp;DATE(YEAR_Y-1,1,1),'Fund History'!$D$1120:$D$1124,"&lt;="&amp;DATE(YEAR_Y-1,12,31)))))</f>
        <v/>
      </c>
      <c r="AU196" s="76">
        <f>IF($C196="","",IF(PULL_FUND="N","",IFERROR(BDP($C196,NDEBITDA_FIELD),"")))</f>
        <v/>
      </c>
      <c r="AV196" s="84">
        <f>IF($C196="","",IF(PULL_FUND="N","",IFERROR(BDP($C196,EBINT_FIELD),"")))</f>
        <v/>
      </c>
      <c r="AW196" s="82">
        <f>IF($C196="","",IF(PULL_FUND="N","",IFERROR(BDP($C196,FCF_FIELD)/100,"")))</f>
        <v/>
      </c>
      <c r="AX196" s="50">
        <f>IF($C196="","",IF(N($U196)=0,"",IFERROR($AW196/$U196,"")))</f>
        <v/>
      </c>
      <c r="AY196" s="85">
        <f>IF($C196="","",TRIM(IF(ISNUMBER($AJ196)*(N($AJ196)&gt;$D$4)&gt;0,"payout high  ","")&amp;IF(ISNUMBER($AX196)*(N($AX196)&lt;$F$4)&gt;0,"FCF below dvd  ","")&amp;IF(ISNUMBER($AU196)*(N($AU196)&gt;$H$4)&gt;0,"leverage high","")))</f>
        <v/>
      </c>
      <c r="AZ196" s="86">
        <f>IF($C196="","",IF(HSCEI!$F$51="HKD","",HSCEI!$F$51))</f>
        <v/>
      </c>
    </row>
    <row r="197">
      <c r="B197" s="66" t="inlineStr">
        <is>
          <t>HSCEI</t>
        </is>
      </c>
      <c r="C197" s="8">
        <f>IF(HSCEI!$C$52="","",HSCEI!$C$52)</f>
        <v/>
      </c>
      <c r="D197" s="8">
        <f>IF($C197="","",HSCEI!$D$52)</f>
        <v/>
      </c>
      <c r="E197" s="8">
        <f>IF($C197="","",HSCEI!$E$52)</f>
        <v/>
      </c>
      <c r="F197" s="67">
        <f>IF($C197="","",SUMPRODUCT(('Dvd Calendar'!$E$2056:$AR$2056&gt;=DATE(YEAR_Y-5,1,1))*('Dvd Calendar'!$E$2056:$AR$2056&lt;=DATE(YEAR_Y-5,12,31))*'Dvd Calendar'!$E$2059:$AR$2059*(('Dvd Calendar'!$E$2061:$AR$2061=TYPE1)*(TYPE1&lt;&gt;"")+('Dvd Calendar'!$E$2061:$AR$2061=TYPE2)*(TYPE2&lt;&gt;"")+('Dvd Calendar'!$E$2061:$AR$2061=TYPE3)*(TYPE3&lt;&gt;"")+('Dvd Calendar'!$E$2061:$AR$2061=TYPE4)*(TYPE4&lt;&gt;"")+('Dvd Calendar'!$E$2061:$AR$2061=SPECIAL_LBL)*(INC_SPECIALS="Y"))))</f>
        <v/>
      </c>
      <c r="G197" s="68">
        <f>IF($C197="","",SUMPRODUCT(('Dvd Calendar'!$E$2056:$AR$2056&gt;=DATE(YEAR_Y-4,1,1))*('Dvd Calendar'!$E$2056:$AR$2056&lt;=DATE(YEAR_Y-4,12,31))*'Dvd Calendar'!$E$2059:$AR$2059*(('Dvd Calendar'!$E$2061:$AR$2061=TYPE1)*(TYPE1&lt;&gt;"")+('Dvd Calendar'!$E$2061:$AR$2061=TYPE2)*(TYPE2&lt;&gt;"")+('Dvd Calendar'!$E$2061:$AR$2061=TYPE3)*(TYPE3&lt;&gt;"")+('Dvd Calendar'!$E$2061:$AR$2061=TYPE4)*(TYPE4&lt;&gt;"")+('Dvd Calendar'!$E$2061:$AR$2061=SPECIAL_LBL)*(INC_SPECIALS="Y"))))</f>
        <v/>
      </c>
      <c r="H197" s="68">
        <f>IF($C197="","",SUMPRODUCT(('Dvd Calendar'!$E$2056:$AR$2056&gt;=DATE(YEAR_Y-3,1,1))*('Dvd Calendar'!$E$2056:$AR$2056&lt;=DATE(YEAR_Y-3,12,31))*'Dvd Calendar'!$E$2059:$AR$2059*(('Dvd Calendar'!$E$2061:$AR$2061=TYPE1)*(TYPE1&lt;&gt;"")+('Dvd Calendar'!$E$2061:$AR$2061=TYPE2)*(TYPE2&lt;&gt;"")+('Dvd Calendar'!$E$2061:$AR$2061=TYPE3)*(TYPE3&lt;&gt;"")+('Dvd Calendar'!$E$2061:$AR$2061=TYPE4)*(TYPE4&lt;&gt;"")+('Dvd Calendar'!$E$2061:$AR$2061=SPECIAL_LBL)*(INC_SPECIALS="Y"))))</f>
        <v/>
      </c>
      <c r="I197" s="68">
        <f>IF($C197="","",SUMPRODUCT(('Dvd Calendar'!$E$2056:$AR$2056&gt;=DATE(YEAR_Y-2,1,1))*('Dvd Calendar'!$E$2056:$AR$2056&lt;=DATE(YEAR_Y-2,12,31))*'Dvd Calendar'!$E$2059:$AR$2059*(('Dvd Calendar'!$E$2061:$AR$2061=TYPE1)*(TYPE1&lt;&gt;"")+('Dvd Calendar'!$E$2061:$AR$2061=TYPE2)*(TYPE2&lt;&gt;"")+('Dvd Calendar'!$E$2061:$AR$2061=TYPE3)*(TYPE3&lt;&gt;"")+('Dvd Calendar'!$E$2061:$AR$2061=TYPE4)*(TYPE4&lt;&gt;"")+('Dvd Calendar'!$E$2061:$AR$2061=SPECIAL_LBL)*(INC_SPECIALS="Y"))))</f>
        <v/>
      </c>
      <c r="J197" s="68">
        <f>IF($C197="","",SUMPRODUCT(('Dvd Calendar'!$E$2056:$AR$2056&gt;=DATE(YEAR_Y-1,1,1))*('Dvd Calendar'!$E$2056:$AR$2056&lt;=DATE(YEAR_Y-1,12,31))*'Dvd Calendar'!$E$2059:$AR$2059*(('Dvd Calendar'!$E$2061:$AR$2061=TYPE1)*(TYPE1&lt;&gt;"")+('Dvd Calendar'!$E$2061:$AR$2061=TYPE2)*(TYPE2&lt;&gt;"")+('Dvd Calendar'!$E$2061:$AR$2061=TYPE3)*(TYPE3&lt;&gt;"")+('Dvd Calendar'!$E$2061:$AR$2061=TYPE4)*(TYPE4&lt;&gt;"")+('Dvd Calendar'!$E$2061:$AR$2061=SPECIAL_LBL)*(INC_SPECIALS="Y"))))</f>
        <v/>
      </c>
      <c r="K197" s="69">
        <f>IF($C197="","",HSCEI!$J$52)</f>
        <v/>
      </c>
      <c r="L197" s="69">
        <f>IF($C197="","",HSCEI!$K$52)</f>
        <v/>
      </c>
      <c r="M197" s="44">
        <f>IF($C197="","",HSCEI!$J$52+HSCEI!$L$52)</f>
        <v/>
      </c>
      <c r="N197" s="70">
        <f>IF($C197="","",IF(PULL_FUND="N","",IFERROR(BDP($C197,BESTDPS_FIELD,FWD_OVERRIDE,TEXT(MOD(YEAR_Y,100),"00")&amp;"Y"),"")))</f>
        <v/>
      </c>
      <c r="O197" s="69">
        <f>IF($C197="","",AVERAGE(F197:J197))</f>
        <v/>
      </c>
      <c r="P197" s="71">
        <f>IF($C197="","",IF(PULL_FUND="N","",IF(COUNTIFS('Fund History'!$J$1126:$J$1130,"&gt;="&amp;DATE(YEAR_Y-5,1,1),'Fund History'!$J$1126:$J$1130,"&lt;="&amp;DATE(YEAR_Y-5,12,31))=0,"",IFERROR($F197*HSCEI!$G$52/SUMIFS('Fund History'!$K$1126:$K$1130,'Fund History'!$J$1126:$J$1130,"&gt;="&amp;DATE(YEAR_Y-5,1,1),'Fund History'!$J$1126:$J$1130,"&lt;="&amp;DATE(YEAR_Y-5,12,31)),""))))</f>
        <v/>
      </c>
      <c r="Q197" s="72">
        <f>IF($C197="","",IF(PULL_FUND="N","",IF(COUNTIFS('Fund History'!$J$1126:$J$1130,"&gt;="&amp;DATE(YEAR_Y-4,1,1),'Fund History'!$J$1126:$J$1130,"&lt;="&amp;DATE(YEAR_Y-4,12,31))=0,"",IFERROR($G197*HSCEI!$G$52/SUMIFS('Fund History'!$K$1126:$K$1130,'Fund History'!$J$1126:$J$1130,"&gt;="&amp;DATE(YEAR_Y-4,1,1),'Fund History'!$J$1126:$J$1130,"&lt;="&amp;DATE(YEAR_Y-4,12,31)),""))))</f>
        <v/>
      </c>
      <c r="R197" s="72">
        <f>IF($C197="","",IF(PULL_FUND="N","",IF(COUNTIFS('Fund History'!$J$1126:$J$1130,"&gt;="&amp;DATE(YEAR_Y-3,1,1),'Fund History'!$J$1126:$J$1130,"&lt;="&amp;DATE(YEAR_Y-3,12,31))=0,"",IFERROR($H197*HSCEI!$G$52/SUMIFS('Fund History'!$K$1126:$K$1130,'Fund History'!$J$1126:$J$1130,"&gt;="&amp;DATE(YEAR_Y-3,1,1),'Fund History'!$J$1126:$J$1130,"&lt;="&amp;DATE(YEAR_Y-3,12,31)),""))))</f>
        <v/>
      </c>
      <c r="S197" s="72">
        <f>IF($C197="","",IF(PULL_FUND="N","",IF(COUNTIFS('Fund History'!$J$1126:$J$1130,"&gt;="&amp;DATE(YEAR_Y-2,1,1),'Fund History'!$J$1126:$J$1130,"&lt;="&amp;DATE(YEAR_Y-2,12,31))=0,"",IFERROR($I197*HSCEI!$G$52/SUMIFS('Fund History'!$K$1126:$K$1130,'Fund History'!$J$1126:$J$1130,"&gt;="&amp;DATE(YEAR_Y-2,1,1),'Fund History'!$J$1126:$J$1130,"&lt;="&amp;DATE(YEAR_Y-2,12,31)),""))))</f>
        <v/>
      </c>
      <c r="T197" s="72">
        <f>IF($C197="","",IF(PULL_FUND="N","",IF(COUNTIFS('Fund History'!$J$1126:$J$1130,"&gt;="&amp;DATE(YEAR_Y-1,1,1),'Fund History'!$J$1126:$J$1130,"&lt;="&amp;DATE(YEAR_Y-1,12,31))=0,"",IFERROR($J197*HSCEI!$G$52/SUMIFS('Fund History'!$K$1126:$K$1130,'Fund History'!$J$1126:$J$1130,"&gt;="&amp;DATE(YEAR_Y-1,1,1),'Fund History'!$J$1126:$J$1130,"&lt;="&amp;DATE(YEAR_Y-1,12,31)),""))))</f>
        <v/>
      </c>
      <c r="U197" s="73">
        <f>IF($C197="","",IF(ISNUMBER(HSCEI!$I$52),HSCEI!$I$52/100,""))</f>
        <v/>
      </c>
      <c r="V197" s="74">
        <f>IF($C197="","",IF(ISNUMBER(HSCEI!$X$52),IFERROR($M197*HSCEI!$G$52/HSCEI!$X$52,""),""))</f>
        <v/>
      </c>
      <c r="W197" s="73">
        <f>IF($C197="","",IF(ISNUMBER($N197),IFERROR($N197*HSCEI!$G$52/HSCEI!$X$52,""),""))</f>
        <v/>
      </c>
      <c r="X197" s="75">
        <f>IF($C197="","",IF(PULL_FUND="N","",IFERROR(BDP($C197,EPS_FIELD,YR_OVERRIDE,TEXT(YEAR_Y-5,"0")),"")))</f>
        <v/>
      </c>
      <c r="Y197" s="76">
        <f>IF($C197="","",IF(PULL_FUND="N","",IFERROR(BDP($C197,EPS_FIELD,YR_OVERRIDE,TEXT(YEAR_Y-4,"0")),"")))</f>
        <v/>
      </c>
      <c r="Z197" s="76">
        <f>IF($C197="","",IF(PULL_FUND="N","",IFERROR(BDP($C197,EPS_FIELD,YR_OVERRIDE,TEXT(YEAR_Y-3,"0")),"")))</f>
        <v/>
      </c>
      <c r="AA197" s="76">
        <f>IF($C197="","",IF(PULL_FUND="N","",IFERROR(BDP($C197,EPS_FIELD,YR_OVERRIDE,TEXT(YEAR_Y-2,"0")),"")))</f>
        <v/>
      </c>
      <c r="AB197" s="76">
        <f>IF($C197="","",IF(PULL_FUND="N","",IFERROR(BDP($C197,EPS_FIELD,YR_OVERRIDE,TEXT(YEAR_Y-1,"0")),"")))</f>
        <v/>
      </c>
      <c r="AC197" s="50">
        <f>IF($C197="","",IFERROR(AVERAGE(X197:AB197),""))</f>
        <v/>
      </c>
      <c r="AD197" s="76">
        <f>IF($C197="","",IF(PULL_FUND="N","",IFERROR(BDP($C197,BESTEPS_FIELD,FWD_OVERRIDE,TEXT(MOD(YEAR_Y,100),"00")&amp;"Y"),"")))</f>
        <v/>
      </c>
      <c r="AE197" s="77">
        <f>IF($C197="","",IF(PULL_FUND="N","",IFERROR(BDP($C197,PAYOUT_FIELD,YR_OVERRIDE,TEXT(YEAR_Y-5,"0"))/100,"")))</f>
        <v/>
      </c>
      <c r="AF197" s="78">
        <f>IF($C197="","",IF(PULL_FUND="N","",IFERROR(BDP($C197,PAYOUT_FIELD,YR_OVERRIDE,TEXT(YEAR_Y-4,"0"))/100,"")))</f>
        <v/>
      </c>
      <c r="AG197" s="78">
        <f>IF($C197="","",IF(PULL_FUND="N","",IFERROR(BDP($C197,PAYOUT_FIELD,YR_OVERRIDE,TEXT(YEAR_Y-3,"0"))/100,"")))</f>
        <v/>
      </c>
      <c r="AH197" s="78">
        <f>IF($C197="","",IF(PULL_FUND="N","",IFERROR(BDP($C197,PAYOUT_FIELD,YR_OVERRIDE,TEXT(YEAR_Y-2,"0"))/100,"")))</f>
        <v/>
      </c>
      <c r="AI197" s="78">
        <f>IF($C197="","",IF(PULL_FUND="N","",IFERROR(BDP($C197,PAYOUT_FIELD,YR_OVERRIDE,TEXT(YEAR_Y-1,"0"))/100,"")))</f>
        <v/>
      </c>
      <c r="AJ197" s="79">
        <f>IF($C197="","",IFERROR(AVERAGE(AE197:AI197),""))</f>
        <v/>
      </c>
      <c r="AK197" s="80">
        <f>IF($C197="","",IF(ISNUMBER($AD197)*ISNUMBER($N197)*($AD197&lt;&gt;0)=0,"",$N197/$AD197))</f>
        <v/>
      </c>
      <c r="AL197" s="79">
        <f>IF($C197="","",IF(ISNUMBER($AD197)*($AD197&lt;&gt;0)=0,"",$M197/$AD197))</f>
        <v/>
      </c>
      <c r="AM197" s="37">
        <f>IF($C197="","",IF(ISNUMBER($AE197)*ISNUMBER($AI197)=0,"",IF($AI197&gt;$AE197+0.05,"rising",IF($AI197&lt;$AE197-0.05,"falling","stable"))))</f>
        <v/>
      </c>
      <c r="AN197" s="81">
        <f>IF($C197="","",IF(PULL_FUND="N","",IF(COUNTIFS('Fund History'!$G$1126:$G$1130,"&gt;="&amp;DATE(YEAR_Y-4,1,1),'Fund History'!$G$1126:$G$1130,"&lt;="&amp;DATE(YEAR_Y-4,12,31))=0,"",SUMIFS('Fund History'!$H$1126:$H$1130,'Fund History'!$G$1126:$G$1130,"&gt;="&amp;DATE(YEAR_Y-4,1,1),'Fund History'!$G$1126:$G$1130,"&lt;="&amp;DATE(YEAR_Y-4,12,31))/100)))</f>
        <v/>
      </c>
      <c r="AO197" s="82">
        <f>IF($C197="","",IF(PULL_FUND="N","",IF(COUNTIFS('Fund History'!$G$1126:$G$1130,"&gt;="&amp;DATE(YEAR_Y-3,1,1),'Fund History'!$G$1126:$G$1130,"&lt;="&amp;DATE(YEAR_Y-3,12,31))=0,"",SUMIFS('Fund History'!$H$1126:$H$1130,'Fund History'!$G$1126:$G$1130,"&gt;="&amp;DATE(YEAR_Y-3,1,1),'Fund History'!$G$1126:$G$1130,"&lt;="&amp;DATE(YEAR_Y-3,12,31))/100)))</f>
        <v/>
      </c>
      <c r="AP197" s="82">
        <f>IF($C197="","",IF(PULL_FUND="N","",IF(COUNTIFS('Fund History'!$G$1126:$G$1130,"&gt;="&amp;DATE(YEAR_Y-2,1,1),'Fund History'!$G$1126:$G$1130,"&lt;="&amp;DATE(YEAR_Y-2,12,31))=0,"",SUMIFS('Fund History'!$H$1126:$H$1130,'Fund History'!$G$1126:$G$1130,"&gt;="&amp;DATE(YEAR_Y-2,1,1),'Fund History'!$G$1126:$G$1130,"&lt;="&amp;DATE(YEAR_Y-2,12,31))/100)))</f>
        <v/>
      </c>
      <c r="AQ197" s="82">
        <f>IF($C197="","",IF(PULL_FUND="N","",IF(COUNTIFS('Fund History'!$G$1126:$G$1130,"&gt;="&amp;DATE(YEAR_Y-1,1,1),'Fund History'!$G$1126:$G$1130,"&lt;="&amp;DATE(YEAR_Y-1,12,31))=0,"",SUMIFS('Fund History'!$H$1126:$H$1130,'Fund History'!$G$1126:$G$1130,"&gt;="&amp;DATE(YEAR_Y-1,1,1),'Fund History'!$G$1126:$G$1130,"&lt;="&amp;DATE(YEAR_Y-1,12,31))/100)))</f>
        <v/>
      </c>
      <c r="AR197" s="83">
        <f>IF($C197="","",IF(N($AQ197)+N(HSCEI!$I$52)=0,"",N($AQ197)+N(HSCEI!$I$52)/100))</f>
        <v/>
      </c>
      <c r="AS197" s="75">
        <f>IF($C197="","",IF(PULL_FUND="N","",IF(COUNTIFS('Fund History'!$D$1126:$D$1130,"&gt;="&amp;DATE(YEAR_Y-2,1,1),'Fund History'!$D$1126:$D$1130,"&lt;="&amp;DATE(YEAR_Y-2,12,31))=0,"",SUMIFS('Fund History'!$E$1126:$E$1130,'Fund History'!$D$1126:$D$1130,"&gt;="&amp;DATE(YEAR_Y-2,1,1),'Fund History'!$D$1126:$D$1130,"&lt;="&amp;DATE(YEAR_Y-2,12,31)))))</f>
        <v/>
      </c>
      <c r="AT197" s="76">
        <f>IF($C197="","",IF(PULL_FUND="N","",IF(COUNTIFS('Fund History'!$D$1126:$D$1130,"&gt;="&amp;DATE(YEAR_Y-1,1,1),'Fund History'!$D$1126:$D$1130,"&lt;="&amp;DATE(YEAR_Y-1,12,31))=0,"",SUMIFS('Fund History'!$E$1126:$E$1130,'Fund History'!$D$1126:$D$1130,"&gt;="&amp;DATE(YEAR_Y-1,1,1),'Fund History'!$D$1126:$D$1130,"&lt;="&amp;DATE(YEAR_Y-1,12,31)))))</f>
        <v/>
      </c>
      <c r="AU197" s="76">
        <f>IF($C197="","",IF(PULL_FUND="N","",IFERROR(BDP($C197,NDEBITDA_FIELD),"")))</f>
        <v/>
      </c>
      <c r="AV197" s="84">
        <f>IF($C197="","",IF(PULL_FUND="N","",IFERROR(BDP($C197,EBINT_FIELD),"")))</f>
        <v/>
      </c>
      <c r="AW197" s="82">
        <f>IF($C197="","",IF(PULL_FUND="N","",IFERROR(BDP($C197,FCF_FIELD)/100,"")))</f>
        <v/>
      </c>
      <c r="AX197" s="50">
        <f>IF($C197="","",IF(N($U197)=0,"",IFERROR($AW197/$U197,"")))</f>
        <v/>
      </c>
      <c r="AY197" s="85">
        <f>IF($C197="","",TRIM(IF(ISNUMBER($AJ197)*(N($AJ197)&gt;$D$4)&gt;0,"payout high  ","")&amp;IF(ISNUMBER($AX197)*(N($AX197)&lt;$F$4)&gt;0,"FCF below dvd  ","")&amp;IF(ISNUMBER($AU197)*(N($AU197)&gt;$H$4)&gt;0,"leverage high","")))</f>
        <v/>
      </c>
      <c r="AZ197" s="86">
        <f>IF($C197="","",IF(HSCEI!$F$52="HKD","",HSCEI!$F$52))</f>
        <v/>
      </c>
    </row>
    <row r="198">
      <c r="B198" s="66" t="inlineStr">
        <is>
          <t>HSCEI</t>
        </is>
      </c>
      <c r="C198" s="8">
        <f>IF(HSCEI!$C$53="","",HSCEI!$C$53)</f>
        <v/>
      </c>
      <c r="D198" s="8">
        <f>IF($C198="","",HSCEI!$D$53)</f>
        <v/>
      </c>
      <c r="E198" s="8">
        <f>IF($C198="","",HSCEI!$E$53)</f>
        <v/>
      </c>
      <c r="F198" s="67">
        <f>IF($C198="","",SUMPRODUCT(('Dvd Calendar'!$E$2067:$AR$2067&gt;=DATE(YEAR_Y-5,1,1))*('Dvd Calendar'!$E$2067:$AR$2067&lt;=DATE(YEAR_Y-5,12,31))*'Dvd Calendar'!$E$2070:$AR$2070*(('Dvd Calendar'!$E$2072:$AR$2072=TYPE1)*(TYPE1&lt;&gt;"")+('Dvd Calendar'!$E$2072:$AR$2072=TYPE2)*(TYPE2&lt;&gt;"")+('Dvd Calendar'!$E$2072:$AR$2072=TYPE3)*(TYPE3&lt;&gt;"")+('Dvd Calendar'!$E$2072:$AR$2072=TYPE4)*(TYPE4&lt;&gt;"")+('Dvd Calendar'!$E$2072:$AR$2072=SPECIAL_LBL)*(INC_SPECIALS="Y"))))</f>
        <v/>
      </c>
      <c r="G198" s="68">
        <f>IF($C198="","",SUMPRODUCT(('Dvd Calendar'!$E$2067:$AR$2067&gt;=DATE(YEAR_Y-4,1,1))*('Dvd Calendar'!$E$2067:$AR$2067&lt;=DATE(YEAR_Y-4,12,31))*'Dvd Calendar'!$E$2070:$AR$2070*(('Dvd Calendar'!$E$2072:$AR$2072=TYPE1)*(TYPE1&lt;&gt;"")+('Dvd Calendar'!$E$2072:$AR$2072=TYPE2)*(TYPE2&lt;&gt;"")+('Dvd Calendar'!$E$2072:$AR$2072=TYPE3)*(TYPE3&lt;&gt;"")+('Dvd Calendar'!$E$2072:$AR$2072=TYPE4)*(TYPE4&lt;&gt;"")+('Dvd Calendar'!$E$2072:$AR$2072=SPECIAL_LBL)*(INC_SPECIALS="Y"))))</f>
        <v/>
      </c>
      <c r="H198" s="68">
        <f>IF($C198="","",SUMPRODUCT(('Dvd Calendar'!$E$2067:$AR$2067&gt;=DATE(YEAR_Y-3,1,1))*('Dvd Calendar'!$E$2067:$AR$2067&lt;=DATE(YEAR_Y-3,12,31))*'Dvd Calendar'!$E$2070:$AR$2070*(('Dvd Calendar'!$E$2072:$AR$2072=TYPE1)*(TYPE1&lt;&gt;"")+('Dvd Calendar'!$E$2072:$AR$2072=TYPE2)*(TYPE2&lt;&gt;"")+('Dvd Calendar'!$E$2072:$AR$2072=TYPE3)*(TYPE3&lt;&gt;"")+('Dvd Calendar'!$E$2072:$AR$2072=TYPE4)*(TYPE4&lt;&gt;"")+('Dvd Calendar'!$E$2072:$AR$2072=SPECIAL_LBL)*(INC_SPECIALS="Y"))))</f>
        <v/>
      </c>
      <c r="I198" s="68">
        <f>IF($C198="","",SUMPRODUCT(('Dvd Calendar'!$E$2067:$AR$2067&gt;=DATE(YEAR_Y-2,1,1))*('Dvd Calendar'!$E$2067:$AR$2067&lt;=DATE(YEAR_Y-2,12,31))*'Dvd Calendar'!$E$2070:$AR$2070*(('Dvd Calendar'!$E$2072:$AR$2072=TYPE1)*(TYPE1&lt;&gt;"")+('Dvd Calendar'!$E$2072:$AR$2072=TYPE2)*(TYPE2&lt;&gt;"")+('Dvd Calendar'!$E$2072:$AR$2072=TYPE3)*(TYPE3&lt;&gt;"")+('Dvd Calendar'!$E$2072:$AR$2072=TYPE4)*(TYPE4&lt;&gt;"")+('Dvd Calendar'!$E$2072:$AR$2072=SPECIAL_LBL)*(INC_SPECIALS="Y"))))</f>
        <v/>
      </c>
      <c r="J198" s="68">
        <f>IF($C198="","",SUMPRODUCT(('Dvd Calendar'!$E$2067:$AR$2067&gt;=DATE(YEAR_Y-1,1,1))*('Dvd Calendar'!$E$2067:$AR$2067&lt;=DATE(YEAR_Y-1,12,31))*'Dvd Calendar'!$E$2070:$AR$2070*(('Dvd Calendar'!$E$2072:$AR$2072=TYPE1)*(TYPE1&lt;&gt;"")+('Dvd Calendar'!$E$2072:$AR$2072=TYPE2)*(TYPE2&lt;&gt;"")+('Dvd Calendar'!$E$2072:$AR$2072=TYPE3)*(TYPE3&lt;&gt;"")+('Dvd Calendar'!$E$2072:$AR$2072=TYPE4)*(TYPE4&lt;&gt;"")+('Dvd Calendar'!$E$2072:$AR$2072=SPECIAL_LBL)*(INC_SPECIALS="Y"))))</f>
        <v/>
      </c>
      <c r="K198" s="69">
        <f>IF($C198="","",HSCEI!$J$53)</f>
        <v/>
      </c>
      <c r="L198" s="69">
        <f>IF($C198="","",HSCEI!$K$53)</f>
        <v/>
      </c>
      <c r="M198" s="44">
        <f>IF($C198="","",HSCEI!$J$53+HSCEI!$L$53)</f>
        <v/>
      </c>
      <c r="N198" s="70">
        <f>IF($C198="","",IF(PULL_FUND="N","",IFERROR(BDP($C198,BESTDPS_FIELD,FWD_OVERRIDE,TEXT(MOD(YEAR_Y,100),"00")&amp;"Y"),"")))</f>
        <v/>
      </c>
      <c r="O198" s="69">
        <f>IF($C198="","",AVERAGE(F198:J198))</f>
        <v/>
      </c>
      <c r="P198" s="71">
        <f>IF($C198="","",IF(PULL_FUND="N","",IF(COUNTIFS('Fund History'!$J$1132:$J$1136,"&gt;="&amp;DATE(YEAR_Y-5,1,1),'Fund History'!$J$1132:$J$1136,"&lt;="&amp;DATE(YEAR_Y-5,12,31))=0,"",IFERROR($F198*HSCEI!$G$53/SUMIFS('Fund History'!$K$1132:$K$1136,'Fund History'!$J$1132:$J$1136,"&gt;="&amp;DATE(YEAR_Y-5,1,1),'Fund History'!$J$1132:$J$1136,"&lt;="&amp;DATE(YEAR_Y-5,12,31)),""))))</f>
        <v/>
      </c>
      <c r="Q198" s="72">
        <f>IF($C198="","",IF(PULL_FUND="N","",IF(COUNTIFS('Fund History'!$J$1132:$J$1136,"&gt;="&amp;DATE(YEAR_Y-4,1,1),'Fund History'!$J$1132:$J$1136,"&lt;="&amp;DATE(YEAR_Y-4,12,31))=0,"",IFERROR($G198*HSCEI!$G$53/SUMIFS('Fund History'!$K$1132:$K$1136,'Fund History'!$J$1132:$J$1136,"&gt;="&amp;DATE(YEAR_Y-4,1,1),'Fund History'!$J$1132:$J$1136,"&lt;="&amp;DATE(YEAR_Y-4,12,31)),""))))</f>
        <v/>
      </c>
      <c r="R198" s="72">
        <f>IF($C198="","",IF(PULL_FUND="N","",IF(COUNTIFS('Fund History'!$J$1132:$J$1136,"&gt;="&amp;DATE(YEAR_Y-3,1,1),'Fund History'!$J$1132:$J$1136,"&lt;="&amp;DATE(YEAR_Y-3,12,31))=0,"",IFERROR($H198*HSCEI!$G$53/SUMIFS('Fund History'!$K$1132:$K$1136,'Fund History'!$J$1132:$J$1136,"&gt;="&amp;DATE(YEAR_Y-3,1,1),'Fund History'!$J$1132:$J$1136,"&lt;="&amp;DATE(YEAR_Y-3,12,31)),""))))</f>
        <v/>
      </c>
      <c r="S198" s="72">
        <f>IF($C198="","",IF(PULL_FUND="N","",IF(COUNTIFS('Fund History'!$J$1132:$J$1136,"&gt;="&amp;DATE(YEAR_Y-2,1,1),'Fund History'!$J$1132:$J$1136,"&lt;="&amp;DATE(YEAR_Y-2,12,31))=0,"",IFERROR($I198*HSCEI!$G$53/SUMIFS('Fund History'!$K$1132:$K$1136,'Fund History'!$J$1132:$J$1136,"&gt;="&amp;DATE(YEAR_Y-2,1,1),'Fund History'!$J$1132:$J$1136,"&lt;="&amp;DATE(YEAR_Y-2,12,31)),""))))</f>
        <v/>
      </c>
      <c r="T198" s="72">
        <f>IF($C198="","",IF(PULL_FUND="N","",IF(COUNTIFS('Fund History'!$J$1132:$J$1136,"&gt;="&amp;DATE(YEAR_Y-1,1,1),'Fund History'!$J$1132:$J$1136,"&lt;="&amp;DATE(YEAR_Y-1,12,31))=0,"",IFERROR($J198*HSCEI!$G$53/SUMIFS('Fund History'!$K$1132:$K$1136,'Fund History'!$J$1132:$J$1136,"&gt;="&amp;DATE(YEAR_Y-1,1,1),'Fund History'!$J$1132:$J$1136,"&lt;="&amp;DATE(YEAR_Y-1,12,31)),""))))</f>
        <v/>
      </c>
      <c r="U198" s="73">
        <f>IF($C198="","",IF(ISNUMBER(HSCEI!$I$53),HSCEI!$I$53/100,""))</f>
        <v/>
      </c>
      <c r="V198" s="74">
        <f>IF($C198="","",IF(ISNUMBER(HSCEI!$X$53),IFERROR($M198*HSCEI!$G$53/HSCEI!$X$53,""),""))</f>
        <v/>
      </c>
      <c r="W198" s="73">
        <f>IF($C198="","",IF(ISNUMBER($N198),IFERROR($N198*HSCEI!$G$53/HSCEI!$X$53,""),""))</f>
        <v/>
      </c>
      <c r="X198" s="75">
        <f>IF($C198="","",IF(PULL_FUND="N","",IFERROR(BDP($C198,EPS_FIELD,YR_OVERRIDE,TEXT(YEAR_Y-5,"0")),"")))</f>
        <v/>
      </c>
      <c r="Y198" s="76">
        <f>IF($C198="","",IF(PULL_FUND="N","",IFERROR(BDP($C198,EPS_FIELD,YR_OVERRIDE,TEXT(YEAR_Y-4,"0")),"")))</f>
        <v/>
      </c>
      <c r="Z198" s="76">
        <f>IF($C198="","",IF(PULL_FUND="N","",IFERROR(BDP($C198,EPS_FIELD,YR_OVERRIDE,TEXT(YEAR_Y-3,"0")),"")))</f>
        <v/>
      </c>
      <c r="AA198" s="76">
        <f>IF($C198="","",IF(PULL_FUND="N","",IFERROR(BDP($C198,EPS_FIELD,YR_OVERRIDE,TEXT(YEAR_Y-2,"0")),"")))</f>
        <v/>
      </c>
      <c r="AB198" s="76">
        <f>IF($C198="","",IF(PULL_FUND="N","",IFERROR(BDP($C198,EPS_FIELD,YR_OVERRIDE,TEXT(YEAR_Y-1,"0")),"")))</f>
        <v/>
      </c>
      <c r="AC198" s="50">
        <f>IF($C198="","",IFERROR(AVERAGE(X198:AB198),""))</f>
        <v/>
      </c>
      <c r="AD198" s="76">
        <f>IF($C198="","",IF(PULL_FUND="N","",IFERROR(BDP($C198,BESTEPS_FIELD,FWD_OVERRIDE,TEXT(MOD(YEAR_Y,100),"00")&amp;"Y"),"")))</f>
        <v/>
      </c>
      <c r="AE198" s="77">
        <f>IF($C198="","",IF(PULL_FUND="N","",IFERROR(BDP($C198,PAYOUT_FIELD,YR_OVERRIDE,TEXT(YEAR_Y-5,"0"))/100,"")))</f>
        <v/>
      </c>
      <c r="AF198" s="78">
        <f>IF($C198="","",IF(PULL_FUND="N","",IFERROR(BDP($C198,PAYOUT_FIELD,YR_OVERRIDE,TEXT(YEAR_Y-4,"0"))/100,"")))</f>
        <v/>
      </c>
      <c r="AG198" s="78">
        <f>IF($C198="","",IF(PULL_FUND="N","",IFERROR(BDP($C198,PAYOUT_FIELD,YR_OVERRIDE,TEXT(YEAR_Y-3,"0"))/100,"")))</f>
        <v/>
      </c>
      <c r="AH198" s="78">
        <f>IF($C198="","",IF(PULL_FUND="N","",IFERROR(BDP($C198,PAYOUT_FIELD,YR_OVERRIDE,TEXT(YEAR_Y-2,"0"))/100,"")))</f>
        <v/>
      </c>
      <c r="AI198" s="78">
        <f>IF($C198="","",IF(PULL_FUND="N","",IFERROR(BDP($C198,PAYOUT_FIELD,YR_OVERRIDE,TEXT(YEAR_Y-1,"0"))/100,"")))</f>
        <v/>
      </c>
      <c r="AJ198" s="79">
        <f>IF($C198="","",IFERROR(AVERAGE(AE198:AI198),""))</f>
        <v/>
      </c>
      <c r="AK198" s="80">
        <f>IF($C198="","",IF(ISNUMBER($AD198)*ISNUMBER($N198)*($AD198&lt;&gt;0)=0,"",$N198/$AD198))</f>
        <v/>
      </c>
      <c r="AL198" s="79">
        <f>IF($C198="","",IF(ISNUMBER($AD198)*($AD198&lt;&gt;0)=0,"",$M198/$AD198))</f>
        <v/>
      </c>
      <c r="AM198" s="37">
        <f>IF($C198="","",IF(ISNUMBER($AE198)*ISNUMBER($AI198)=0,"",IF($AI198&gt;$AE198+0.05,"rising",IF($AI198&lt;$AE198-0.05,"falling","stable"))))</f>
        <v/>
      </c>
      <c r="AN198" s="81">
        <f>IF($C198="","",IF(PULL_FUND="N","",IF(COUNTIFS('Fund History'!$G$1132:$G$1136,"&gt;="&amp;DATE(YEAR_Y-4,1,1),'Fund History'!$G$1132:$G$1136,"&lt;="&amp;DATE(YEAR_Y-4,12,31))=0,"",SUMIFS('Fund History'!$H$1132:$H$1136,'Fund History'!$G$1132:$G$1136,"&gt;="&amp;DATE(YEAR_Y-4,1,1),'Fund History'!$G$1132:$G$1136,"&lt;="&amp;DATE(YEAR_Y-4,12,31))/100)))</f>
        <v/>
      </c>
      <c r="AO198" s="82">
        <f>IF($C198="","",IF(PULL_FUND="N","",IF(COUNTIFS('Fund History'!$G$1132:$G$1136,"&gt;="&amp;DATE(YEAR_Y-3,1,1),'Fund History'!$G$1132:$G$1136,"&lt;="&amp;DATE(YEAR_Y-3,12,31))=0,"",SUMIFS('Fund History'!$H$1132:$H$1136,'Fund History'!$G$1132:$G$1136,"&gt;="&amp;DATE(YEAR_Y-3,1,1),'Fund History'!$G$1132:$G$1136,"&lt;="&amp;DATE(YEAR_Y-3,12,31))/100)))</f>
        <v/>
      </c>
      <c r="AP198" s="82">
        <f>IF($C198="","",IF(PULL_FUND="N","",IF(COUNTIFS('Fund History'!$G$1132:$G$1136,"&gt;="&amp;DATE(YEAR_Y-2,1,1),'Fund History'!$G$1132:$G$1136,"&lt;="&amp;DATE(YEAR_Y-2,12,31))=0,"",SUMIFS('Fund History'!$H$1132:$H$1136,'Fund History'!$G$1132:$G$1136,"&gt;="&amp;DATE(YEAR_Y-2,1,1),'Fund History'!$G$1132:$G$1136,"&lt;="&amp;DATE(YEAR_Y-2,12,31))/100)))</f>
        <v/>
      </c>
      <c r="AQ198" s="82">
        <f>IF($C198="","",IF(PULL_FUND="N","",IF(COUNTIFS('Fund History'!$G$1132:$G$1136,"&gt;="&amp;DATE(YEAR_Y-1,1,1),'Fund History'!$G$1132:$G$1136,"&lt;="&amp;DATE(YEAR_Y-1,12,31))=0,"",SUMIFS('Fund History'!$H$1132:$H$1136,'Fund History'!$G$1132:$G$1136,"&gt;="&amp;DATE(YEAR_Y-1,1,1),'Fund History'!$G$1132:$G$1136,"&lt;="&amp;DATE(YEAR_Y-1,12,31))/100)))</f>
        <v/>
      </c>
      <c r="AR198" s="83">
        <f>IF($C198="","",IF(N($AQ198)+N(HSCEI!$I$53)=0,"",N($AQ198)+N(HSCEI!$I$53)/100))</f>
        <v/>
      </c>
      <c r="AS198" s="75">
        <f>IF($C198="","",IF(PULL_FUND="N","",IF(COUNTIFS('Fund History'!$D$1132:$D$1136,"&gt;="&amp;DATE(YEAR_Y-2,1,1),'Fund History'!$D$1132:$D$1136,"&lt;="&amp;DATE(YEAR_Y-2,12,31))=0,"",SUMIFS('Fund History'!$E$1132:$E$1136,'Fund History'!$D$1132:$D$1136,"&gt;="&amp;DATE(YEAR_Y-2,1,1),'Fund History'!$D$1132:$D$1136,"&lt;="&amp;DATE(YEAR_Y-2,12,31)))))</f>
        <v/>
      </c>
      <c r="AT198" s="76">
        <f>IF($C198="","",IF(PULL_FUND="N","",IF(COUNTIFS('Fund History'!$D$1132:$D$1136,"&gt;="&amp;DATE(YEAR_Y-1,1,1),'Fund History'!$D$1132:$D$1136,"&lt;="&amp;DATE(YEAR_Y-1,12,31))=0,"",SUMIFS('Fund History'!$E$1132:$E$1136,'Fund History'!$D$1132:$D$1136,"&gt;="&amp;DATE(YEAR_Y-1,1,1),'Fund History'!$D$1132:$D$1136,"&lt;="&amp;DATE(YEAR_Y-1,12,31)))))</f>
        <v/>
      </c>
      <c r="AU198" s="76">
        <f>IF($C198="","",IF(PULL_FUND="N","",IFERROR(BDP($C198,NDEBITDA_FIELD),"")))</f>
        <v/>
      </c>
      <c r="AV198" s="84">
        <f>IF($C198="","",IF(PULL_FUND="N","",IFERROR(BDP($C198,EBINT_FIELD),"")))</f>
        <v/>
      </c>
      <c r="AW198" s="82">
        <f>IF($C198="","",IF(PULL_FUND="N","",IFERROR(BDP($C198,FCF_FIELD)/100,"")))</f>
        <v/>
      </c>
      <c r="AX198" s="50">
        <f>IF($C198="","",IF(N($U198)=0,"",IFERROR($AW198/$U198,"")))</f>
        <v/>
      </c>
      <c r="AY198" s="85">
        <f>IF($C198="","",TRIM(IF(ISNUMBER($AJ198)*(N($AJ198)&gt;$D$4)&gt;0,"payout high  ","")&amp;IF(ISNUMBER($AX198)*(N($AX198)&lt;$F$4)&gt;0,"FCF below dvd  ","")&amp;IF(ISNUMBER($AU198)*(N($AU198)&gt;$H$4)&gt;0,"leverage high","")))</f>
        <v/>
      </c>
      <c r="AZ198" s="86">
        <f>IF($C198="","",IF(HSCEI!$F$53="HKD","",HSCEI!$F$53))</f>
        <v/>
      </c>
    </row>
    <row r="199">
      <c r="B199" s="66" t="inlineStr">
        <is>
          <t>HSCEI</t>
        </is>
      </c>
      <c r="C199" s="8">
        <f>IF(HSCEI!$C$54="","",HSCEI!$C$54)</f>
        <v/>
      </c>
      <c r="D199" s="8">
        <f>IF($C199="","",HSCEI!$D$54)</f>
        <v/>
      </c>
      <c r="E199" s="8">
        <f>IF($C199="","",HSCEI!$E$54)</f>
        <v/>
      </c>
      <c r="F199" s="67">
        <f>IF($C199="","",SUMPRODUCT(('Dvd Calendar'!$E$2078:$AR$2078&gt;=DATE(YEAR_Y-5,1,1))*('Dvd Calendar'!$E$2078:$AR$2078&lt;=DATE(YEAR_Y-5,12,31))*'Dvd Calendar'!$E$2081:$AR$2081*(('Dvd Calendar'!$E$2083:$AR$2083=TYPE1)*(TYPE1&lt;&gt;"")+('Dvd Calendar'!$E$2083:$AR$2083=TYPE2)*(TYPE2&lt;&gt;"")+('Dvd Calendar'!$E$2083:$AR$2083=TYPE3)*(TYPE3&lt;&gt;"")+('Dvd Calendar'!$E$2083:$AR$2083=TYPE4)*(TYPE4&lt;&gt;"")+('Dvd Calendar'!$E$2083:$AR$2083=SPECIAL_LBL)*(INC_SPECIALS="Y"))))</f>
        <v/>
      </c>
      <c r="G199" s="68">
        <f>IF($C199="","",SUMPRODUCT(('Dvd Calendar'!$E$2078:$AR$2078&gt;=DATE(YEAR_Y-4,1,1))*('Dvd Calendar'!$E$2078:$AR$2078&lt;=DATE(YEAR_Y-4,12,31))*'Dvd Calendar'!$E$2081:$AR$2081*(('Dvd Calendar'!$E$2083:$AR$2083=TYPE1)*(TYPE1&lt;&gt;"")+('Dvd Calendar'!$E$2083:$AR$2083=TYPE2)*(TYPE2&lt;&gt;"")+('Dvd Calendar'!$E$2083:$AR$2083=TYPE3)*(TYPE3&lt;&gt;"")+('Dvd Calendar'!$E$2083:$AR$2083=TYPE4)*(TYPE4&lt;&gt;"")+('Dvd Calendar'!$E$2083:$AR$2083=SPECIAL_LBL)*(INC_SPECIALS="Y"))))</f>
        <v/>
      </c>
      <c r="H199" s="68">
        <f>IF($C199="","",SUMPRODUCT(('Dvd Calendar'!$E$2078:$AR$2078&gt;=DATE(YEAR_Y-3,1,1))*('Dvd Calendar'!$E$2078:$AR$2078&lt;=DATE(YEAR_Y-3,12,31))*'Dvd Calendar'!$E$2081:$AR$2081*(('Dvd Calendar'!$E$2083:$AR$2083=TYPE1)*(TYPE1&lt;&gt;"")+('Dvd Calendar'!$E$2083:$AR$2083=TYPE2)*(TYPE2&lt;&gt;"")+('Dvd Calendar'!$E$2083:$AR$2083=TYPE3)*(TYPE3&lt;&gt;"")+('Dvd Calendar'!$E$2083:$AR$2083=TYPE4)*(TYPE4&lt;&gt;"")+('Dvd Calendar'!$E$2083:$AR$2083=SPECIAL_LBL)*(INC_SPECIALS="Y"))))</f>
        <v/>
      </c>
      <c r="I199" s="68">
        <f>IF($C199="","",SUMPRODUCT(('Dvd Calendar'!$E$2078:$AR$2078&gt;=DATE(YEAR_Y-2,1,1))*('Dvd Calendar'!$E$2078:$AR$2078&lt;=DATE(YEAR_Y-2,12,31))*'Dvd Calendar'!$E$2081:$AR$2081*(('Dvd Calendar'!$E$2083:$AR$2083=TYPE1)*(TYPE1&lt;&gt;"")+('Dvd Calendar'!$E$2083:$AR$2083=TYPE2)*(TYPE2&lt;&gt;"")+('Dvd Calendar'!$E$2083:$AR$2083=TYPE3)*(TYPE3&lt;&gt;"")+('Dvd Calendar'!$E$2083:$AR$2083=TYPE4)*(TYPE4&lt;&gt;"")+('Dvd Calendar'!$E$2083:$AR$2083=SPECIAL_LBL)*(INC_SPECIALS="Y"))))</f>
        <v/>
      </c>
      <c r="J199" s="68">
        <f>IF($C199="","",SUMPRODUCT(('Dvd Calendar'!$E$2078:$AR$2078&gt;=DATE(YEAR_Y-1,1,1))*('Dvd Calendar'!$E$2078:$AR$2078&lt;=DATE(YEAR_Y-1,12,31))*'Dvd Calendar'!$E$2081:$AR$2081*(('Dvd Calendar'!$E$2083:$AR$2083=TYPE1)*(TYPE1&lt;&gt;"")+('Dvd Calendar'!$E$2083:$AR$2083=TYPE2)*(TYPE2&lt;&gt;"")+('Dvd Calendar'!$E$2083:$AR$2083=TYPE3)*(TYPE3&lt;&gt;"")+('Dvd Calendar'!$E$2083:$AR$2083=TYPE4)*(TYPE4&lt;&gt;"")+('Dvd Calendar'!$E$2083:$AR$2083=SPECIAL_LBL)*(INC_SPECIALS="Y"))))</f>
        <v/>
      </c>
      <c r="K199" s="69">
        <f>IF($C199="","",HSCEI!$J$54)</f>
        <v/>
      </c>
      <c r="L199" s="69">
        <f>IF($C199="","",HSCEI!$K$54)</f>
        <v/>
      </c>
      <c r="M199" s="44">
        <f>IF($C199="","",HSCEI!$J$54+HSCEI!$L$54)</f>
        <v/>
      </c>
      <c r="N199" s="70">
        <f>IF($C199="","",IF(PULL_FUND="N","",IFERROR(BDP($C199,BESTDPS_FIELD,FWD_OVERRIDE,TEXT(MOD(YEAR_Y,100),"00")&amp;"Y"),"")))</f>
        <v/>
      </c>
      <c r="O199" s="69">
        <f>IF($C199="","",AVERAGE(F199:J199))</f>
        <v/>
      </c>
      <c r="P199" s="71">
        <f>IF($C199="","",IF(PULL_FUND="N","",IF(COUNTIFS('Fund History'!$J$1138:$J$1142,"&gt;="&amp;DATE(YEAR_Y-5,1,1),'Fund History'!$J$1138:$J$1142,"&lt;="&amp;DATE(YEAR_Y-5,12,31))=0,"",IFERROR($F199*HSCEI!$G$54/SUMIFS('Fund History'!$K$1138:$K$1142,'Fund History'!$J$1138:$J$1142,"&gt;="&amp;DATE(YEAR_Y-5,1,1),'Fund History'!$J$1138:$J$1142,"&lt;="&amp;DATE(YEAR_Y-5,12,31)),""))))</f>
        <v/>
      </c>
      <c r="Q199" s="72">
        <f>IF($C199="","",IF(PULL_FUND="N","",IF(COUNTIFS('Fund History'!$J$1138:$J$1142,"&gt;="&amp;DATE(YEAR_Y-4,1,1),'Fund History'!$J$1138:$J$1142,"&lt;="&amp;DATE(YEAR_Y-4,12,31))=0,"",IFERROR($G199*HSCEI!$G$54/SUMIFS('Fund History'!$K$1138:$K$1142,'Fund History'!$J$1138:$J$1142,"&gt;="&amp;DATE(YEAR_Y-4,1,1),'Fund History'!$J$1138:$J$1142,"&lt;="&amp;DATE(YEAR_Y-4,12,31)),""))))</f>
        <v/>
      </c>
      <c r="R199" s="72">
        <f>IF($C199="","",IF(PULL_FUND="N","",IF(COUNTIFS('Fund History'!$J$1138:$J$1142,"&gt;="&amp;DATE(YEAR_Y-3,1,1),'Fund History'!$J$1138:$J$1142,"&lt;="&amp;DATE(YEAR_Y-3,12,31))=0,"",IFERROR($H199*HSCEI!$G$54/SUMIFS('Fund History'!$K$1138:$K$1142,'Fund History'!$J$1138:$J$1142,"&gt;="&amp;DATE(YEAR_Y-3,1,1),'Fund History'!$J$1138:$J$1142,"&lt;="&amp;DATE(YEAR_Y-3,12,31)),""))))</f>
        <v/>
      </c>
      <c r="S199" s="72">
        <f>IF($C199="","",IF(PULL_FUND="N","",IF(COUNTIFS('Fund History'!$J$1138:$J$1142,"&gt;="&amp;DATE(YEAR_Y-2,1,1),'Fund History'!$J$1138:$J$1142,"&lt;="&amp;DATE(YEAR_Y-2,12,31))=0,"",IFERROR($I199*HSCEI!$G$54/SUMIFS('Fund History'!$K$1138:$K$1142,'Fund History'!$J$1138:$J$1142,"&gt;="&amp;DATE(YEAR_Y-2,1,1),'Fund History'!$J$1138:$J$1142,"&lt;="&amp;DATE(YEAR_Y-2,12,31)),""))))</f>
        <v/>
      </c>
      <c r="T199" s="72">
        <f>IF($C199="","",IF(PULL_FUND="N","",IF(COUNTIFS('Fund History'!$J$1138:$J$1142,"&gt;="&amp;DATE(YEAR_Y-1,1,1),'Fund History'!$J$1138:$J$1142,"&lt;="&amp;DATE(YEAR_Y-1,12,31))=0,"",IFERROR($J199*HSCEI!$G$54/SUMIFS('Fund History'!$K$1138:$K$1142,'Fund History'!$J$1138:$J$1142,"&gt;="&amp;DATE(YEAR_Y-1,1,1),'Fund History'!$J$1138:$J$1142,"&lt;="&amp;DATE(YEAR_Y-1,12,31)),""))))</f>
        <v/>
      </c>
      <c r="U199" s="73">
        <f>IF($C199="","",IF(ISNUMBER(HSCEI!$I$54),HSCEI!$I$54/100,""))</f>
        <v/>
      </c>
      <c r="V199" s="74">
        <f>IF($C199="","",IF(ISNUMBER(HSCEI!$X$54),IFERROR($M199*HSCEI!$G$54/HSCEI!$X$54,""),""))</f>
        <v/>
      </c>
      <c r="W199" s="73">
        <f>IF($C199="","",IF(ISNUMBER($N199),IFERROR($N199*HSCEI!$G$54/HSCEI!$X$54,""),""))</f>
        <v/>
      </c>
      <c r="X199" s="75">
        <f>IF($C199="","",IF(PULL_FUND="N","",IFERROR(BDP($C199,EPS_FIELD,YR_OVERRIDE,TEXT(YEAR_Y-5,"0")),"")))</f>
        <v/>
      </c>
      <c r="Y199" s="76">
        <f>IF($C199="","",IF(PULL_FUND="N","",IFERROR(BDP($C199,EPS_FIELD,YR_OVERRIDE,TEXT(YEAR_Y-4,"0")),"")))</f>
        <v/>
      </c>
      <c r="Z199" s="76">
        <f>IF($C199="","",IF(PULL_FUND="N","",IFERROR(BDP($C199,EPS_FIELD,YR_OVERRIDE,TEXT(YEAR_Y-3,"0")),"")))</f>
        <v/>
      </c>
      <c r="AA199" s="76">
        <f>IF($C199="","",IF(PULL_FUND="N","",IFERROR(BDP($C199,EPS_FIELD,YR_OVERRIDE,TEXT(YEAR_Y-2,"0")),"")))</f>
        <v/>
      </c>
      <c r="AB199" s="76">
        <f>IF($C199="","",IF(PULL_FUND="N","",IFERROR(BDP($C199,EPS_FIELD,YR_OVERRIDE,TEXT(YEAR_Y-1,"0")),"")))</f>
        <v/>
      </c>
      <c r="AC199" s="50">
        <f>IF($C199="","",IFERROR(AVERAGE(X199:AB199),""))</f>
        <v/>
      </c>
      <c r="AD199" s="76">
        <f>IF($C199="","",IF(PULL_FUND="N","",IFERROR(BDP($C199,BESTEPS_FIELD,FWD_OVERRIDE,TEXT(MOD(YEAR_Y,100),"00")&amp;"Y"),"")))</f>
        <v/>
      </c>
      <c r="AE199" s="77">
        <f>IF($C199="","",IF(PULL_FUND="N","",IFERROR(BDP($C199,PAYOUT_FIELD,YR_OVERRIDE,TEXT(YEAR_Y-5,"0"))/100,"")))</f>
        <v/>
      </c>
      <c r="AF199" s="78">
        <f>IF($C199="","",IF(PULL_FUND="N","",IFERROR(BDP($C199,PAYOUT_FIELD,YR_OVERRIDE,TEXT(YEAR_Y-4,"0"))/100,"")))</f>
        <v/>
      </c>
      <c r="AG199" s="78">
        <f>IF($C199="","",IF(PULL_FUND="N","",IFERROR(BDP($C199,PAYOUT_FIELD,YR_OVERRIDE,TEXT(YEAR_Y-3,"0"))/100,"")))</f>
        <v/>
      </c>
      <c r="AH199" s="78">
        <f>IF($C199="","",IF(PULL_FUND="N","",IFERROR(BDP($C199,PAYOUT_FIELD,YR_OVERRIDE,TEXT(YEAR_Y-2,"0"))/100,"")))</f>
        <v/>
      </c>
      <c r="AI199" s="78">
        <f>IF($C199="","",IF(PULL_FUND="N","",IFERROR(BDP($C199,PAYOUT_FIELD,YR_OVERRIDE,TEXT(YEAR_Y-1,"0"))/100,"")))</f>
        <v/>
      </c>
      <c r="AJ199" s="79">
        <f>IF($C199="","",IFERROR(AVERAGE(AE199:AI199),""))</f>
        <v/>
      </c>
      <c r="AK199" s="80">
        <f>IF($C199="","",IF(ISNUMBER($AD199)*ISNUMBER($N199)*($AD199&lt;&gt;0)=0,"",$N199/$AD199))</f>
        <v/>
      </c>
      <c r="AL199" s="79">
        <f>IF($C199="","",IF(ISNUMBER($AD199)*($AD199&lt;&gt;0)=0,"",$M199/$AD199))</f>
        <v/>
      </c>
      <c r="AM199" s="37">
        <f>IF($C199="","",IF(ISNUMBER($AE199)*ISNUMBER($AI199)=0,"",IF($AI199&gt;$AE199+0.05,"rising",IF($AI199&lt;$AE199-0.05,"falling","stable"))))</f>
        <v/>
      </c>
      <c r="AN199" s="81">
        <f>IF($C199="","",IF(PULL_FUND="N","",IF(COUNTIFS('Fund History'!$G$1138:$G$1142,"&gt;="&amp;DATE(YEAR_Y-4,1,1),'Fund History'!$G$1138:$G$1142,"&lt;="&amp;DATE(YEAR_Y-4,12,31))=0,"",SUMIFS('Fund History'!$H$1138:$H$1142,'Fund History'!$G$1138:$G$1142,"&gt;="&amp;DATE(YEAR_Y-4,1,1),'Fund History'!$G$1138:$G$1142,"&lt;="&amp;DATE(YEAR_Y-4,12,31))/100)))</f>
        <v/>
      </c>
      <c r="AO199" s="82">
        <f>IF($C199="","",IF(PULL_FUND="N","",IF(COUNTIFS('Fund History'!$G$1138:$G$1142,"&gt;="&amp;DATE(YEAR_Y-3,1,1),'Fund History'!$G$1138:$G$1142,"&lt;="&amp;DATE(YEAR_Y-3,12,31))=0,"",SUMIFS('Fund History'!$H$1138:$H$1142,'Fund History'!$G$1138:$G$1142,"&gt;="&amp;DATE(YEAR_Y-3,1,1),'Fund History'!$G$1138:$G$1142,"&lt;="&amp;DATE(YEAR_Y-3,12,31))/100)))</f>
        <v/>
      </c>
      <c r="AP199" s="82">
        <f>IF($C199="","",IF(PULL_FUND="N","",IF(COUNTIFS('Fund History'!$G$1138:$G$1142,"&gt;="&amp;DATE(YEAR_Y-2,1,1),'Fund History'!$G$1138:$G$1142,"&lt;="&amp;DATE(YEAR_Y-2,12,31))=0,"",SUMIFS('Fund History'!$H$1138:$H$1142,'Fund History'!$G$1138:$G$1142,"&gt;="&amp;DATE(YEAR_Y-2,1,1),'Fund History'!$G$1138:$G$1142,"&lt;="&amp;DATE(YEAR_Y-2,12,31))/100)))</f>
        <v/>
      </c>
      <c r="AQ199" s="82">
        <f>IF($C199="","",IF(PULL_FUND="N","",IF(COUNTIFS('Fund History'!$G$1138:$G$1142,"&gt;="&amp;DATE(YEAR_Y-1,1,1),'Fund History'!$G$1138:$G$1142,"&lt;="&amp;DATE(YEAR_Y-1,12,31))=0,"",SUMIFS('Fund History'!$H$1138:$H$1142,'Fund History'!$G$1138:$G$1142,"&gt;="&amp;DATE(YEAR_Y-1,1,1),'Fund History'!$G$1138:$G$1142,"&lt;="&amp;DATE(YEAR_Y-1,12,31))/100)))</f>
        <v/>
      </c>
      <c r="AR199" s="83">
        <f>IF($C199="","",IF(N($AQ199)+N(HSCEI!$I$54)=0,"",N($AQ199)+N(HSCEI!$I$54)/100))</f>
        <v/>
      </c>
      <c r="AS199" s="75">
        <f>IF($C199="","",IF(PULL_FUND="N","",IF(COUNTIFS('Fund History'!$D$1138:$D$1142,"&gt;="&amp;DATE(YEAR_Y-2,1,1),'Fund History'!$D$1138:$D$1142,"&lt;="&amp;DATE(YEAR_Y-2,12,31))=0,"",SUMIFS('Fund History'!$E$1138:$E$1142,'Fund History'!$D$1138:$D$1142,"&gt;="&amp;DATE(YEAR_Y-2,1,1),'Fund History'!$D$1138:$D$1142,"&lt;="&amp;DATE(YEAR_Y-2,12,31)))))</f>
        <v/>
      </c>
      <c r="AT199" s="76">
        <f>IF($C199="","",IF(PULL_FUND="N","",IF(COUNTIFS('Fund History'!$D$1138:$D$1142,"&gt;="&amp;DATE(YEAR_Y-1,1,1),'Fund History'!$D$1138:$D$1142,"&lt;="&amp;DATE(YEAR_Y-1,12,31))=0,"",SUMIFS('Fund History'!$E$1138:$E$1142,'Fund History'!$D$1138:$D$1142,"&gt;="&amp;DATE(YEAR_Y-1,1,1),'Fund History'!$D$1138:$D$1142,"&lt;="&amp;DATE(YEAR_Y-1,12,31)))))</f>
        <v/>
      </c>
      <c r="AU199" s="76">
        <f>IF($C199="","",IF(PULL_FUND="N","",IFERROR(BDP($C199,NDEBITDA_FIELD),"")))</f>
        <v/>
      </c>
      <c r="AV199" s="84">
        <f>IF($C199="","",IF(PULL_FUND="N","",IFERROR(BDP($C199,EBINT_FIELD),"")))</f>
        <v/>
      </c>
      <c r="AW199" s="82">
        <f>IF($C199="","",IF(PULL_FUND="N","",IFERROR(BDP($C199,FCF_FIELD)/100,"")))</f>
        <v/>
      </c>
      <c r="AX199" s="50">
        <f>IF($C199="","",IF(N($U199)=0,"",IFERROR($AW199/$U199,"")))</f>
        <v/>
      </c>
      <c r="AY199" s="85">
        <f>IF($C199="","",TRIM(IF(ISNUMBER($AJ199)*(N($AJ199)&gt;$D$4)&gt;0,"payout high  ","")&amp;IF(ISNUMBER($AX199)*(N($AX199)&lt;$F$4)&gt;0,"FCF below dvd  ","")&amp;IF(ISNUMBER($AU199)*(N($AU199)&gt;$H$4)&gt;0,"leverage high","")))</f>
        <v/>
      </c>
      <c r="AZ199" s="86">
        <f>IF($C199="","",IF(HSCEI!$F$54="HKD","",HSCEI!$F$54))</f>
        <v/>
      </c>
    </row>
    <row r="200">
      <c r="B200" s="66" t="inlineStr">
        <is>
          <t>HSCEI</t>
        </is>
      </c>
      <c r="C200" s="8">
        <f>IF(HSCEI!$C$55="","",HSCEI!$C$55)</f>
        <v/>
      </c>
      <c r="D200" s="8">
        <f>IF($C200="","",HSCEI!$D$55)</f>
        <v/>
      </c>
      <c r="E200" s="8">
        <f>IF($C200="","",HSCEI!$E$55)</f>
        <v/>
      </c>
      <c r="F200" s="67">
        <f>IF($C200="","",SUMPRODUCT(('Dvd Calendar'!$E$2089:$AR$2089&gt;=DATE(YEAR_Y-5,1,1))*('Dvd Calendar'!$E$2089:$AR$2089&lt;=DATE(YEAR_Y-5,12,31))*'Dvd Calendar'!$E$2092:$AR$2092*(('Dvd Calendar'!$E$2094:$AR$2094=TYPE1)*(TYPE1&lt;&gt;"")+('Dvd Calendar'!$E$2094:$AR$2094=TYPE2)*(TYPE2&lt;&gt;"")+('Dvd Calendar'!$E$2094:$AR$2094=TYPE3)*(TYPE3&lt;&gt;"")+('Dvd Calendar'!$E$2094:$AR$2094=TYPE4)*(TYPE4&lt;&gt;"")+('Dvd Calendar'!$E$2094:$AR$2094=SPECIAL_LBL)*(INC_SPECIALS="Y"))))</f>
        <v/>
      </c>
      <c r="G200" s="68">
        <f>IF($C200="","",SUMPRODUCT(('Dvd Calendar'!$E$2089:$AR$2089&gt;=DATE(YEAR_Y-4,1,1))*('Dvd Calendar'!$E$2089:$AR$2089&lt;=DATE(YEAR_Y-4,12,31))*'Dvd Calendar'!$E$2092:$AR$2092*(('Dvd Calendar'!$E$2094:$AR$2094=TYPE1)*(TYPE1&lt;&gt;"")+('Dvd Calendar'!$E$2094:$AR$2094=TYPE2)*(TYPE2&lt;&gt;"")+('Dvd Calendar'!$E$2094:$AR$2094=TYPE3)*(TYPE3&lt;&gt;"")+('Dvd Calendar'!$E$2094:$AR$2094=TYPE4)*(TYPE4&lt;&gt;"")+('Dvd Calendar'!$E$2094:$AR$2094=SPECIAL_LBL)*(INC_SPECIALS="Y"))))</f>
        <v/>
      </c>
      <c r="H200" s="68">
        <f>IF($C200="","",SUMPRODUCT(('Dvd Calendar'!$E$2089:$AR$2089&gt;=DATE(YEAR_Y-3,1,1))*('Dvd Calendar'!$E$2089:$AR$2089&lt;=DATE(YEAR_Y-3,12,31))*'Dvd Calendar'!$E$2092:$AR$2092*(('Dvd Calendar'!$E$2094:$AR$2094=TYPE1)*(TYPE1&lt;&gt;"")+('Dvd Calendar'!$E$2094:$AR$2094=TYPE2)*(TYPE2&lt;&gt;"")+('Dvd Calendar'!$E$2094:$AR$2094=TYPE3)*(TYPE3&lt;&gt;"")+('Dvd Calendar'!$E$2094:$AR$2094=TYPE4)*(TYPE4&lt;&gt;"")+('Dvd Calendar'!$E$2094:$AR$2094=SPECIAL_LBL)*(INC_SPECIALS="Y"))))</f>
        <v/>
      </c>
      <c r="I200" s="68">
        <f>IF($C200="","",SUMPRODUCT(('Dvd Calendar'!$E$2089:$AR$2089&gt;=DATE(YEAR_Y-2,1,1))*('Dvd Calendar'!$E$2089:$AR$2089&lt;=DATE(YEAR_Y-2,12,31))*'Dvd Calendar'!$E$2092:$AR$2092*(('Dvd Calendar'!$E$2094:$AR$2094=TYPE1)*(TYPE1&lt;&gt;"")+('Dvd Calendar'!$E$2094:$AR$2094=TYPE2)*(TYPE2&lt;&gt;"")+('Dvd Calendar'!$E$2094:$AR$2094=TYPE3)*(TYPE3&lt;&gt;"")+('Dvd Calendar'!$E$2094:$AR$2094=TYPE4)*(TYPE4&lt;&gt;"")+('Dvd Calendar'!$E$2094:$AR$2094=SPECIAL_LBL)*(INC_SPECIALS="Y"))))</f>
        <v/>
      </c>
      <c r="J200" s="68">
        <f>IF($C200="","",SUMPRODUCT(('Dvd Calendar'!$E$2089:$AR$2089&gt;=DATE(YEAR_Y-1,1,1))*('Dvd Calendar'!$E$2089:$AR$2089&lt;=DATE(YEAR_Y-1,12,31))*'Dvd Calendar'!$E$2092:$AR$2092*(('Dvd Calendar'!$E$2094:$AR$2094=TYPE1)*(TYPE1&lt;&gt;"")+('Dvd Calendar'!$E$2094:$AR$2094=TYPE2)*(TYPE2&lt;&gt;"")+('Dvd Calendar'!$E$2094:$AR$2094=TYPE3)*(TYPE3&lt;&gt;"")+('Dvd Calendar'!$E$2094:$AR$2094=TYPE4)*(TYPE4&lt;&gt;"")+('Dvd Calendar'!$E$2094:$AR$2094=SPECIAL_LBL)*(INC_SPECIALS="Y"))))</f>
        <v/>
      </c>
      <c r="K200" s="69">
        <f>IF($C200="","",HSCEI!$J$55)</f>
        <v/>
      </c>
      <c r="L200" s="69">
        <f>IF($C200="","",HSCEI!$K$55)</f>
        <v/>
      </c>
      <c r="M200" s="44">
        <f>IF($C200="","",HSCEI!$J$55+HSCEI!$L$55)</f>
        <v/>
      </c>
      <c r="N200" s="70">
        <f>IF($C200="","",IF(PULL_FUND="N","",IFERROR(BDP($C200,BESTDPS_FIELD,FWD_OVERRIDE,TEXT(MOD(YEAR_Y,100),"00")&amp;"Y"),"")))</f>
        <v/>
      </c>
      <c r="O200" s="69">
        <f>IF($C200="","",AVERAGE(F200:J200))</f>
        <v/>
      </c>
      <c r="P200" s="71">
        <f>IF($C200="","",IF(PULL_FUND="N","",IF(COUNTIFS('Fund History'!$J$1144:$J$1148,"&gt;="&amp;DATE(YEAR_Y-5,1,1),'Fund History'!$J$1144:$J$1148,"&lt;="&amp;DATE(YEAR_Y-5,12,31))=0,"",IFERROR($F200*HSCEI!$G$55/SUMIFS('Fund History'!$K$1144:$K$1148,'Fund History'!$J$1144:$J$1148,"&gt;="&amp;DATE(YEAR_Y-5,1,1),'Fund History'!$J$1144:$J$1148,"&lt;="&amp;DATE(YEAR_Y-5,12,31)),""))))</f>
        <v/>
      </c>
      <c r="Q200" s="72">
        <f>IF($C200="","",IF(PULL_FUND="N","",IF(COUNTIFS('Fund History'!$J$1144:$J$1148,"&gt;="&amp;DATE(YEAR_Y-4,1,1),'Fund History'!$J$1144:$J$1148,"&lt;="&amp;DATE(YEAR_Y-4,12,31))=0,"",IFERROR($G200*HSCEI!$G$55/SUMIFS('Fund History'!$K$1144:$K$1148,'Fund History'!$J$1144:$J$1148,"&gt;="&amp;DATE(YEAR_Y-4,1,1),'Fund History'!$J$1144:$J$1148,"&lt;="&amp;DATE(YEAR_Y-4,12,31)),""))))</f>
        <v/>
      </c>
      <c r="R200" s="72">
        <f>IF($C200="","",IF(PULL_FUND="N","",IF(COUNTIFS('Fund History'!$J$1144:$J$1148,"&gt;="&amp;DATE(YEAR_Y-3,1,1),'Fund History'!$J$1144:$J$1148,"&lt;="&amp;DATE(YEAR_Y-3,12,31))=0,"",IFERROR($H200*HSCEI!$G$55/SUMIFS('Fund History'!$K$1144:$K$1148,'Fund History'!$J$1144:$J$1148,"&gt;="&amp;DATE(YEAR_Y-3,1,1),'Fund History'!$J$1144:$J$1148,"&lt;="&amp;DATE(YEAR_Y-3,12,31)),""))))</f>
        <v/>
      </c>
      <c r="S200" s="72">
        <f>IF($C200="","",IF(PULL_FUND="N","",IF(COUNTIFS('Fund History'!$J$1144:$J$1148,"&gt;="&amp;DATE(YEAR_Y-2,1,1),'Fund History'!$J$1144:$J$1148,"&lt;="&amp;DATE(YEAR_Y-2,12,31))=0,"",IFERROR($I200*HSCEI!$G$55/SUMIFS('Fund History'!$K$1144:$K$1148,'Fund History'!$J$1144:$J$1148,"&gt;="&amp;DATE(YEAR_Y-2,1,1),'Fund History'!$J$1144:$J$1148,"&lt;="&amp;DATE(YEAR_Y-2,12,31)),""))))</f>
        <v/>
      </c>
      <c r="T200" s="72">
        <f>IF($C200="","",IF(PULL_FUND="N","",IF(COUNTIFS('Fund History'!$J$1144:$J$1148,"&gt;="&amp;DATE(YEAR_Y-1,1,1),'Fund History'!$J$1144:$J$1148,"&lt;="&amp;DATE(YEAR_Y-1,12,31))=0,"",IFERROR($J200*HSCEI!$G$55/SUMIFS('Fund History'!$K$1144:$K$1148,'Fund History'!$J$1144:$J$1148,"&gt;="&amp;DATE(YEAR_Y-1,1,1),'Fund History'!$J$1144:$J$1148,"&lt;="&amp;DATE(YEAR_Y-1,12,31)),""))))</f>
        <v/>
      </c>
      <c r="U200" s="73">
        <f>IF($C200="","",IF(ISNUMBER(HSCEI!$I$55),HSCEI!$I$55/100,""))</f>
        <v/>
      </c>
      <c r="V200" s="74">
        <f>IF($C200="","",IF(ISNUMBER(HSCEI!$X$55),IFERROR($M200*HSCEI!$G$55/HSCEI!$X$55,""),""))</f>
        <v/>
      </c>
      <c r="W200" s="73">
        <f>IF($C200="","",IF(ISNUMBER($N200),IFERROR($N200*HSCEI!$G$55/HSCEI!$X$55,""),""))</f>
        <v/>
      </c>
      <c r="X200" s="75">
        <f>IF($C200="","",IF(PULL_FUND="N","",IFERROR(BDP($C200,EPS_FIELD,YR_OVERRIDE,TEXT(YEAR_Y-5,"0")),"")))</f>
        <v/>
      </c>
      <c r="Y200" s="76">
        <f>IF($C200="","",IF(PULL_FUND="N","",IFERROR(BDP($C200,EPS_FIELD,YR_OVERRIDE,TEXT(YEAR_Y-4,"0")),"")))</f>
        <v/>
      </c>
      <c r="Z200" s="76">
        <f>IF($C200="","",IF(PULL_FUND="N","",IFERROR(BDP($C200,EPS_FIELD,YR_OVERRIDE,TEXT(YEAR_Y-3,"0")),"")))</f>
        <v/>
      </c>
      <c r="AA200" s="76">
        <f>IF($C200="","",IF(PULL_FUND="N","",IFERROR(BDP($C200,EPS_FIELD,YR_OVERRIDE,TEXT(YEAR_Y-2,"0")),"")))</f>
        <v/>
      </c>
      <c r="AB200" s="76">
        <f>IF($C200="","",IF(PULL_FUND="N","",IFERROR(BDP($C200,EPS_FIELD,YR_OVERRIDE,TEXT(YEAR_Y-1,"0")),"")))</f>
        <v/>
      </c>
      <c r="AC200" s="50">
        <f>IF($C200="","",IFERROR(AVERAGE(X200:AB200),""))</f>
        <v/>
      </c>
      <c r="AD200" s="76">
        <f>IF($C200="","",IF(PULL_FUND="N","",IFERROR(BDP($C200,BESTEPS_FIELD,FWD_OVERRIDE,TEXT(MOD(YEAR_Y,100),"00")&amp;"Y"),"")))</f>
        <v/>
      </c>
      <c r="AE200" s="77">
        <f>IF($C200="","",IF(PULL_FUND="N","",IFERROR(BDP($C200,PAYOUT_FIELD,YR_OVERRIDE,TEXT(YEAR_Y-5,"0"))/100,"")))</f>
        <v/>
      </c>
      <c r="AF200" s="78">
        <f>IF($C200="","",IF(PULL_FUND="N","",IFERROR(BDP($C200,PAYOUT_FIELD,YR_OVERRIDE,TEXT(YEAR_Y-4,"0"))/100,"")))</f>
        <v/>
      </c>
      <c r="AG200" s="78">
        <f>IF($C200="","",IF(PULL_FUND="N","",IFERROR(BDP($C200,PAYOUT_FIELD,YR_OVERRIDE,TEXT(YEAR_Y-3,"0"))/100,"")))</f>
        <v/>
      </c>
      <c r="AH200" s="78">
        <f>IF($C200="","",IF(PULL_FUND="N","",IFERROR(BDP($C200,PAYOUT_FIELD,YR_OVERRIDE,TEXT(YEAR_Y-2,"0"))/100,"")))</f>
        <v/>
      </c>
      <c r="AI200" s="78">
        <f>IF($C200="","",IF(PULL_FUND="N","",IFERROR(BDP($C200,PAYOUT_FIELD,YR_OVERRIDE,TEXT(YEAR_Y-1,"0"))/100,"")))</f>
        <v/>
      </c>
      <c r="AJ200" s="79">
        <f>IF($C200="","",IFERROR(AVERAGE(AE200:AI200),""))</f>
        <v/>
      </c>
      <c r="AK200" s="80">
        <f>IF($C200="","",IF(ISNUMBER($AD200)*ISNUMBER($N200)*($AD200&lt;&gt;0)=0,"",$N200/$AD200))</f>
        <v/>
      </c>
      <c r="AL200" s="79">
        <f>IF($C200="","",IF(ISNUMBER($AD200)*($AD200&lt;&gt;0)=0,"",$M200/$AD200))</f>
        <v/>
      </c>
      <c r="AM200" s="37">
        <f>IF($C200="","",IF(ISNUMBER($AE200)*ISNUMBER($AI200)=0,"",IF($AI200&gt;$AE200+0.05,"rising",IF($AI200&lt;$AE200-0.05,"falling","stable"))))</f>
        <v/>
      </c>
      <c r="AN200" s="81">
        <f>IF($C200="","",IF(PULL_FUND="N","",IF(COUNTIFS('Fund History'!$G$1144:$G$1148,"&gt;="&amp;DATE(YEAR_Y-4,1,1),'Fund History'!$G$1144:$G$1148,"&lt;="&amp;DATE(YEAR_Y-4,12,31))=0,"",SUMIFS('Fund History'!$H$1144:$H$1148,'Fund History'!$G$1144:$G$1148,"&gt;="&amp;DATE(YEAR_Y-4,1,1),'Fund History'!$G$1144:$G$1148,"&lt;="&amp;DATE(YEAR_Y-4,12,31))/100)))</f>
        <v/>
      </c>
      <c r="AO200" s="82">
        <f>IF($C200="","",IF(PULL_FUND="N","",IF(COUNTIFS('Fund History'!$G$1144:$G$1148,"&gt;="&amp;DATE(YEAR_Y-3,1,1),'Fund History'!$G$1144:$G$1148,"&lt;="&amp;DATE(YEAR_Y-3,12,31))=0,"",SUMIFS('Fund History'!$H$1144:$H$1148,'Fund History'!$G$1144:$G$1148,"&gt;="&amp;DATE(YEAR_Y-3,1,1),'Fund History'!$G$1144:$G$1148,"&lt;="&amp;DATE(YEAR_Y-3,12,31))/100)))</f>
        <v/>
      </c>
      <c r="AP200" s="82">
        <f>IF($C200="","",IF(PULL_FUND="N","",IF(COUNTIFS('Fund History'!$G$1144:$G$1148,"&gt;="&amp;DATE(YEAR_Y-2,1,1),'Fund History'!$G$1144:$G$1148,"&lt;="&amp;DATE(YEAR_Y-2,12,31))=0,"",SUMIFS('Fund History'!$H$1144:$H$1148,'Fund History'!$G$1144:$G$1148,"&gt;="&amp;DATE(YEAR_Y-2,1,1),'Fund History'!$G$1144:$G$1148,"&lt;="&amp;DATE(YEAR_Y-2,12,31))/100)))</f>
        <v/>
      </c>
      <c r="AQ200" s="82">
        <f>IF($C200="","",IF(PULL_FUND="N","",IF(COUNTIFS('Fund History'!$G$1144:$G$1148,"&gt;="&amp;DATE(YEAR_Y-1,1,1),'Fund History'!$G$1144:$G$1148,"&lt;="&amp;DATE(YEAR_Y-1,12,31))=0,"",SUMIFS('Fund History'!$H$1144:$H$1148,'Fund History'!$G$1144:$G$1148,"&gt;="&amp;DATE(YEAR_Y-1,1,1),'Fund History'!$G$1144:$G$1148,"&lt;="&amp;DATE(YEAR_Y-1,12,31))/100)))</f>
        <v/>
      </c>
      <c r="AR200" s="83">
        <f>IF($C200="","",IF(N($AQ200)+N(HSCEI!$I$55)=0,"",N($AQ200)+N(HSCEI!$I$55)/100))</f>
        <v/>
      </c>
      <c r="AS200" s="75">
        <f>IF($C200="","",IF(PULL_FUND="N","",IF(COUNTIFS('Fund History'!$D$1144:$D$1148,"&gt;="&amp;DATE(YEAR_Y-2,1,1),'Fund History'!$D$1144:$D$1148,"&lt;="&amp;DATE(YEAR_Y-2,12,31))=0,"",SUMIFS('Fund History'!$E$1144:$E$1148,'Fund History'!$D$1144:$D$1148,"&gt;="&amp;DATE(YEAR_Y-2,1,1),'Fund History'!$D$1144:$D$1148,"&lt;="&amp;DATE(YEAR_Y-2,12,31)))))</f>
        <v/>
      </c>
      <c r="AT200" s="76">
        <f>IF($C200="","",IF(PULL_FUND="N","",IF(COUNTIFS('Fund History'!$D$1144:$D$1148,"&gt;="&amp;DATE(YEAR_Y-1,1,1),'Fund History'!$D$1144:$D$1148,"&lt;="&amp;DATE(YEAR_Y-1,12,31))=0,"",SUMIFS('Fund History'!$E$1144:$E$1148,'Fund History'!$D$1144:$D$1148,"&gt;="&amp;DATE(YEAR_Y-1,1,1),'Fund History'!$D$1144:$D$1148,"&lt;="&amp;DATE(YEAR_Y-1,12,31)))))</f>
        <v/>
      </c>
      <c r="AU200" s="76">
        <f>IF($C200="","",IF(PULL_FUND="N","",IFERROR(BDP($C200,NDEBITDA_FIELD),"")))</f>
        <v/>
      </c>
      <c r="AV200" s="84">
        <f>IF($C200="","",IF(PULL_FUND="N","",IFERROR(BDP($C200,EBINT_FIELD),"")))</f>
        <v/>
      </c>
      <c r="AW200" s="82">
        <f>IF($C200="","",IF(PULL_FUND="N","",IFERROR(BDP($C200,FCF_FIELD)/100,"")))</f>
        <v/>
      </c>
      <c r="AX200" s="50">
        <f>IF($C200="","",IF(N($U200)=0,"",IFERROR($AW200/$U200,"")))</f>
        <v/>
      </c>
      <c r="AY200" s="85">
        <f>IF($C200="","",TRIM(IF(ISNUMBER($AJ200)*(N($AJ200)&gt;$D$4)&gt;0,"payout high  ","")&amp;IF(ISNUMBER($AX200)*(N($AX200)&lt;$F$4)&gt;0,"FCF below dvd  ","")&amp;IF(ISNUMBER($AU200)*(N($AU200)&gt;$H$4)&gt;0,"leverage high","")))</f>
        <v/>
      </c>
      <c r="AZ200" s="86">
        <f>IF($C200="","",IF(HSCEI!$F$55="HKD","",HSCEI!$F$55))</f>
        <v/>
      </c>
    </row>
    <row r="201">
      <c r="B201" s="66" t="inlineStr">
        <is>
          <t>HSCEI</t>
        </is>
      </c>
      <c r="C201" s="8">
        <f>IF(HSCEI!$C$56="","",HSCEI!$C$56)</f>
        <v/>
      </c>
      <c r="D201" s="8">
        <f>IF($C201="","",HSCEI!$D$56)</f>
        <v/>
      </c>
      <c r="E201" s="8">
        <f>IF($C201="","",HSCEI!$E$56)</f>
        <v/>
      </c>
      <c r="F201" s="67">
        <f>IF($C201="","",SUMPRODUCT(('Dvd Calendar'!$E$2100:$AR$2100&gt;=DATE(YEAR_Y-5,1,1))*('Dvd Calendar'!$E$2100:$AR$2100&lt;=DATE(YEAR_Y-5,12,31))*'Dvd Calendar'!$E$2103:$AR$2103*(('Dvd Calendar'!$E$2105:$AR$2105=TYPE1)*(TYPE1&lt;&gt;"")+('Dvd Calendar'!$E$2105:$AR$2105=TYPE2)*(TYPE2&lt;&gt;"")+('Dvd Calendar'!$E$2105:$AR$2105=TYPE3)*(TYPE3&lt;&gt;"")+('Dvd Calendar'!$E$2105:$AR$2105=TYPE4)*(TYPE4&lt;&gt;"")+('Dvd Calendar'!$E$2105:$AR$2105=SPECIAL_LBL)*(INC_SPECIALS="Y"))))</f>
        <v/>
      </c>
      <c r="G201" s="68">
        <f>IF($C201="","",SUMPRODUCT(('Dvd Calendar'!$E$2100:$AR$2100&gt;=DATE(YEAR_Y-4,1,1))*('Dvd Calendar'!$E$2100:$AR$2100&lt;=DATE(YEAR_Y-4,12,31))*'Dvd Calendar'!$E$2103:$AR$2103*(('Dvd Calendar'!$E$2105:$AR$2105=TYPE1)*(TYPE1&lt;&gt;"")+('Dvd Calendar'!$E$2105:$AR$2105=TYPE2)*(TYPE2&lt;&gt;"")+('Dvd Calendar'!$E$2105:$AR$2105=TYPE3)*(TYPE3&lt;&gt;"")+('Dvd Calendar'!$E$2105:$AR$2105=TYPE4)*(TYPE4&lt;&gt;"")+('Dvd Calendar'!$E$2105:$AR$2105=SPECIAL_LBL)*(INC_SPECIALS="Y"))))</f>
        <v/>
      </c>
      <c r="H201" s="68">
        <f>IF($C201="","",SUMPRODUCT(('Dvd Calendar'!$E$2100:$AR$2100&gt;=DATE(YEAR_Y-3,1,1))*('Dvd Calendar'!$E$2100:$AR$2100&lt;=DATE(YEAR_Y-3,12,31))*'Dvd Calendar'!$E$2103:$AR$2103*(('Dvd Calendar'!$E$2105:$AR$2105=TYPE1)*(TYPE1&lt;&gt;"")+('Dvd Calendar'!$E$2105:$AR$2105=TYPE2)*(TYPE2&lt;&gt;"")+('Dvd Calendar'!$E$2105:$AR$2105=TYPE3)*(TYPE3&lt;&gt;"")+('Dvd Calendar'!$E$2105:$AR$2105=TYPE4)*(TYPE4&lt;&gt;"")+('Dvd Calendar'!$E$2105:$AR$2105=SPECIAL_LBL)*(INC_SPECIALS="Y"))))</f>
        <v/>
      </c>
      <c r="I201" s="68">
        <f>IF($C201="","",SUMPRODUCT(('Dvd Calendar'!$E$2100:$AR$2100&gt;=DATE(YEAR_Y-2,1,1))*('Dvd Calendar'!$E$2100:$AR$2100&lt;=DATE(YEAR_Y-2,12,31))*'Dvd Calendar'!$E$2103:$AR$2103*(('Dvd Calendar'!$E$2105:$AR$2105=TYPE1)*(TYPE1&lt;&gt;"")+('Dvd Calendar'!$E$2105:$AR$2105=TYPE2)*(TYPE2&lt;&gt;"")+('Dvd Calendar'!$E$2105:$AR$2105=TYPE3)*(TYPE3&lt;&gt;"")+('Dvd Calendar'!$E$2105:$AR$2105=TYPE4)*(TYPE4&lt;&gt;"")+('Dvd Calendar'!$E$2105:$AR$2105=SPECIAL_LBL)*(INC_SPECIALS="Y"))))</f>
        <v/>
      </c>
      <c r="J201" s="68">
        <f>IF($C201="","",SUMPRODUCT(('Dvd Calendar'!$E$2100:$AR$2100&gt;=DATE(YEAR_Y-1,1,1))*('Dvd Calendar'!$E$2100:$AR$2100&lt;=DATE(YEAR_Y-1,12,31))*'Dvd Calendar'!$E$2103:$AR$2103*(('Dvd Calendar'!$E$2105:$AR$2105=TYPE1)*(TYPE1&lt;&gt;"")+('Dvd Calendar'!$E$2105:$AR$2105=TYPE2)*(TYPE2&lt;&gt;"")+('Dvd Calendar'!$E$2105:$AR$2105=TYPE3)*(TYPE3&lt;&gt;"")+('Dvd Calendar'!$E$2105:$AR$2105=TYPE4)*(TYPE4&lt;&gt;"")+('Dvd Calendar'!$E$2105:$AR$2105=SPECIAL_LBL)*(INC_SPECIALS="Y"))))</f>
        <v/>
      </c>
      <c r="K201" s="69">
        <f>IF($C201="","",HSCEI!$J$56)</f>
        <v/>
      </c>
      <c r="L201" s="69">
        <f>IF($C201="","",HSCEI!$K$56)</f>
        <v/>
      </c>
      <c r="M201" s="44">
        <f>IF($C201="","",HSCEI!$J$56+HSCEI!$L$56)</f>
        <v/>
      </c>
      <c r="N201" s="70">
        <f>IF($C201="","",IF(PULL_FUND="N","",IFERROR(BDP($C201,BESTDPS_FIELD,FWD_OVERRIDE,TEXT(MOD(YEAR_Y,100),"00")&amp;"Y"),"")))</f>
        <v/>
      </c>
      <c r="O201" s="69">
        <f>IF($C201="","",AVERAGE(F201:J201))</f>
        <v/>
      </c>
      <c r="P201" s="71">
        <f>IF($C201="","",IF(PULL_FUND="N","",IF(COUNTIFS('Fund History'!$J$1150:$J$1154,"&gt;="&amp;DATE(YEAR_Y-5,1,1),'Fund History'!$J$1150:$J$1154,"&lt;="&amp;DATE(YEAR_Y-5,12,31))=0,"",IFERROR($F201*HSCEI!$G$56/SUMIFS('Fund History'!$K$1150:$K$1154,'Fund History'!$J$1150:$J$1154,"&gt;="&amp;DATE(YEAR_Y-5,1,1),'Fund History'!$J$1150:$J$1154,"&lt;="&amp;DATE(YEAR_Y-5,12,31)),""))))</f>
        <v/>
      </c>
      <c r="Q201" s="72">
        <f>IF($C201="","",IF(PULL_FUND="N","",IF(COUNTIFS('Fund History'!$J$1150:$J$1154,"&gt;="&amp;DATE(YEAR_Y-4,1,1),'Fund History'!$J$1150:$J$1154,"&lt;="&amp;DATE(YEAR_Y-4,12,31))=0,"",IFERROR($G201*HSCEI!$G$56/SUMIFS('Fund History'!$K$1150:$K$1154,'Fund History'!$J$1150:$J$1154,"&gt;="&amp;DATE(YEAR_Y-4,1,1),'Fund History'!$J$1150:$J$1154,"&lt;="&amp;DATE(YEAR_Y-4,12,31)),""))))</f>
        <v/>
      </c>
      <c r="R201" s="72">
        <f>IF($C201="","",IF(PULL_FUND="N","",IF(COUNTIFS('Fund History'!$J$1150:$J$1154,"&gt;="&amp;DATE(YEAR_Y-3,1,1),'Fund History'!$J$1150:$J$1154,"&lt;="&amp;DATE(YEAR_Y-3,12,31))=0,"",IFERROR($H201*HSCEI!$G$56/SUMIFS('Fund History'!$K$1150:$K$1154,'Fund History'!$J$1150:$J$1154,"&gt;="&amp;DATE(YEAR_Y-3,1,1),'Fund History'!$J$1150:$J$1154,"&lt;="&amp;DATE(YEAR_Y-3,12,31)),""))))</f>
        <v/>
      </c>
      <c r="S201" s="72">
        <f>IF($C201="","",IF(PULL_FUND="N","",IF(COUNTIFS('Fund History'!$J$1150:$J$1154,"&gt;="&amp;DATE(YEAR_Y-2,1,1),'Fund History'!$J$1150:$J$1154,"&lt;="&amp;DATE(YEAR_Y-2,12,31))=0,"",IFERROR($I201*HSCEI!$G$56/SUMIFS('Fund History'!$K$1150:$K$1154,'Fund History'!$J$1150:$J$1154,"&gt;="&amp;DATE(YEAR_Y-2,1,1),'Fund History'!$J$1150:$J$1154,"&lt;="&amp;DATE(YEAR_Y-2,12,31)),""))))</f>
        <v/>
      </c>
      <c r="T201" s="72">
        <f>IF($C201="","",IF(PULL_FUND="N","",IF(COUNTIFS('Fund History'!$J$1150:$J$1154,"&gt;="&amp;DATE(YEAR_Y-1,1,1),'Fund History'!$J$1150:$J$1154,"&lt;="&amp;DATE(YEAR_Y-1,12,31))=0,"",IFERROR($J201*HSCEI!$G$56/SUMIFS('Fund History'!$K$1150:$K$1154,'Fund History'!$J$1150:$J$1154,"&gt;="&amp;DATE(YEAR_Y-1,1,1),'Fund History'!$J$1150:$J$1154,"&lt;="&amp;DATE(YEAR_Y-1,12,31)),""))))</f>
        <v/>
      </c>
      <c r="U201" s="73">
        <f>IF($C201="","",IF(ISNUMBER(HSCEI!$I$56),HSCEI!$I$56/100,""))</f>
        <v/>
      </c>
      <c r="V201" s="74">
        <f>IF($C201="","",IF(ISNUMBER(HSCEI!$X$56),IFERROR($M201*HSCEI!$G$56/HSCEI!$X$56,""),""))</f>
        <v/>
      </c>
      <c r="W201" s="73">
        <f>IF($C201="","",IF(ISNUMBER($N201),IFERROR($N201*HSCEI!$G$56/HSCEI!$X$56,""),""))</f>
        <v/>
      </c>
      <c r="X201" s="75">
        <f>IF($C201="","",IF(PULL_FUND="N","",IFERROR(BDP($C201,EPS_FIELD,YR_OVERRIDE,TEXT(YEAR_Y-5,"0")),"")))</f>
        <v/>
      </c>
      <c r="Y201" s="76">
        <f>IF($C201="","",IF(PULL_FUND="N","",IFERROR(BDP($C201,EPS_FIELD,YR_OVERRIDE,TEXT(YEAR_Y-4,"0")),"")))</f>
        <v/>
      </c>
      <c r="Z201" s="76">
        <f>IF($C201="","",IF(PULL_FUND="N","",IFERROR(BDP($C201,EPS_FIELD,YR_OVERRIDE,TEXT(YEAR_Y-3,"0")),"")))</f>
        <v/>
      </c>
      <c r="AA201" s="76">
        <f>IF($C201="","",IF(PULL_FUND="N","",IFERROR(BDP($C201,EPS_FIELD,YR_OVERRIDE,TEXT(YEAR_Y-2,"0")),"")))</f>
        <v/>
      </c>
      <c r="AB201" s="76">
        <f>IF($C201="","",IF(PULL_FUND="N","",IFERROR(BDP($C201,EPS_FIELD,YR_OVERRIDE,TEXT(YEAR_Y-1,"0")),"")))</f>
        <v/>
      </c>
      <c r="AC201" s="50">
        <f>IF($C201="","",IFERROR(AVERAGE(X201:AB201),""))</f>
        <v/>
      </c>
      <c r="AD201" s="76">
        <f>IF($C201="","",IF(PULL_FUND="N","",IFERROR(BDP($C201,BESTEPS_FIELD,FWD_OVERRIDE,TEXT(MOD(YEAR_Y,100),"00")&amp;"Y"),"")))</f>
        <v/>
      </c>
      <c r="AE201" s="77">
        <f>IF($C201="","",IF(PULL_FUND="N","",IFERROR(BDP($C201,PAYOUT_FIELD,YR_OVERRIDE,TEXT(YEAR_Y-5,"0"))/100,"")))</f>
        <v/>
      </c>
      <c r="AF201" s="78">
        <f>IF($C201="","",IF(PULL_FUND="N","",IFERROR(BDP($C201,PAYOUT_FIELD,YR_OVERRIDE,TEXT(YEAR_Y-4,"0"))/100,"")))</f>
        <v/>
      </c>
      <c r="AG201" s="78">
        <f>IF($C201="","",IF(PULL_FUND="N","",IFERROR(BDP($C201,PAYOUT_FIELD,YR_OVERRIDE,TEXT(YEAR_Y-3,"0"))/100,"")))</f>
        <v/>
      </c>
      <c r="AH201" s="78">
        <f>IF($C201="","",IF(PULL_FUND="N","",IFERROR(BDP($C201,PAYOUT_FIELD,YR_OVERRIDE,TEXT(YEAR_Y-2,"0"))/100,"")))</f>
        <v/>
      </c>
      <c r="AI201" s="78">
        <f>IF($C201="","",IF(PULL_FUND="N","",IFERROR(BDP($C201,PAYOUT_FIELD,YR_OVERRIDE,TEXT(YEAR_Y-1,"0"))/100,"")))</f>
        <v/>
      </c>
      <c r="AJ201" s="79">
        <f>IF($C201="","",IFERROR(AVERAGE(AE201:AI201),""))</f>
        <v/>
      </c>
      <c r="AK201" s="80">
        <f>IF($C201="","",IF(ISNUMBER($AD201)*ISNUMBER($N201)*($AD201&lt;&gt;0)=0,"",$N201/$AD201))</f>
        <v/>
      </c>
      <c r="AL201" s="79">
        <f>IF($C201="","",IF(ISNUMBER($AD201)*($AD201&lt;&gt;0)=0,"",$M201/$AD201))</f>
        <v/>
      </c>
      <c r="AM201" s="37">
        <f>IF($C201="","",IF(ISNUMBER($AE201)*ISNUMBER($AI201)=0,"",IF($AI201&gt;$AE201+0.05,"rising",IF($AI201&lt;$AE201-0.05,"falling","stable"))))</f>
        <v/>
      </c>
      <c r="AN201" s="81">
        <f>IF($C201="","",IF(PULL_FUND="N","",IF(COUNTIFS('Fund History'!$G$1150:$G$1154,"&gt;="&amp;DATE(YEAR_Y-4,1,1),'Fund History'!$G$1150:$G$1154,"&lt;="&amp;DATE(YEAR_Y-4,12,31))=0,"",SUMIFS('Fund History'!$H$1150:$H$1154,'Fund History'!$G$1150:$G$1154,"&gt;="&amp;DATE(YEAR_Y-4,1,1),'Fund History'!$G$1150:$G$1154,"&lt;="&amp;DATE(YEAR_Y-4,12,31))/100)))</f>
        <v/>
      </c>
      <c r="AO201" s="82">
        <f>IF($C201="","",IF(PULL_FUND="N","",IF(COUNTIFS('Fund History'!$G$1150:$G$1154,"&gt;="&amp;DATE(YEAR_Y-3,1,1),'Fund History'!$G$1150:$G$1154,"&lt;="&amp;DATE(YEAR_Y-3,12,31))=0,"",SUMIFS('Fund History'!$H$1150:$H$1154,'Fund History'!$G$1150:$G$1154,"&gt;="&amp;DATE(YEAR_Y-3,1,1),'Fund History'!$G$1150:$G$1154,"&lt;="&amp;DATE(YEAR_Y-3,12,31))/100)))</f>
        <v/>
      </c>
      <c r="AP201" s="82">
        <f>IF($C201="","",IF(PULL_FUND="N","",IF(COUNTIFS('Fund History'!$G$1150:$G$1154,"&gt;="&amp;DATE(YEAR_Y-2,1,1),'Fund History'!$G$1150:$G$1154,"&lt;="&amp;DATE(YEAR_Y-2,12,31))=0,"",SUMIFS('Fund History'!$H$1150:$H$1154,'Fund History'!$G$1150:$G$1154,"&gt;="&amp;DATE(YEAR_Y-2,1,1),'Fund History'!$G$1150:$G$1154,"&lt;="&amp;DATE(YEAR_Y-2,12,31))/100)))</f>
        <v/>
      </c>
      <c r="AQ201" s="82">
        <f>IF($C201="","",IF(PULL_FUND="N","",IF(COUNTIFS('Fund History'!$G$1150:$G$1154,"&gt;="&amp;DATE(YEAR_Y-1,1,1),'Fund History'!$G$1150:$G$1154,"&lt;="&amp;DATE(YEAR_Y-1,12,31))=0,"",SUMIFS('Fund History'!$H$1150:$H$1154,'Fund History'!$G$1150:$G$1154,"&gt;="&amp;DATE(YEAR_Y-1,1,1),'Fund History'!$G$1150:$G$1154,"&lt;="&amp;DATE(YEAR_Y-1,12,31))/100)))</f>
        <v/>
      </c>
      <c r="AR201" s="83">
        <f>IF($C201="","",IF(N($AQ201)+N(HSCEI!$I$56)=0,"",N($AQ201)+N(HSCEI!$I$56)/100))</f>
        <v/>
      </c>
      <c r="AS201" s="75">
        <f>IF($C201="","",IF(PULL_FUND="N","",IF(COUNTIFS('Fund History'!$D$1150:$D$1154,"&gt;="&amp;DATE(YEAR_Y-2,1,1),'Fund History'!$D$1150:$D$1154,"&lt;="&amp;DATE(YEAR_Y-2,12,31))=0,"",SUMIFS('Fund History'!$E$1150:$E$1154,'Fund History'!$D$1150:$D$1154,"&gt;="&amp;DATE(YEAR_Y-2,1,1),'Fund History'!$D$1150:$D$1154,"&lt;="&amp;DATE(YEAR_Y-2,12,31)))))</f>
        <v/>
      </c>
      <c r="AT201" s="76">
        <f>IF($C201="","",IF(PULL_FUND="N","",IF(COUNTIFS('Fund History'!$D$1150:$D$1154,"&gt;="&amp;DATE(YEAR_Y-1,1,1),'Fund History'!$D$1150:$D$1154,"&lt;="&amp;DATE(YEAR_Y-1,12,31))=0,"",SUMIFS('Fund History'!$E$1150:$E$1154,'Fund History'!$D$1150:$D$1154,"&gt;="&amp;DATE(YEAR_Y-1,1,1),'Fund History'!$D$1150:$D$1154,"&lt;="&amp;DATE(YEAR_Y-1,12,31)))))</f>
        <v/>
      </c>
      <c r="AU201" s="76">
        <f>IF($C201="","",IF(PULL_FUND="N","",IFERROR(BDP($C201,NDEBITDA_FIELD),"")))</f>
        <v/>
      </c>
      <c r="AV201" s="84">
        <f>IF($C201="","",IF(PULL_FUND="N","",IFERROR(BDP($C201,EBINT_FIELD),"")))</f>
        <v/>
      </c>
      <c r="AW201" s="82">
        <f>IF($C201="","",IF(PULL_FUND="N","",IFERROR(BDP($C201,FCF_FIELD)/100,"")))</f>
        <v/>
      </c>
      <c r="AX201" s="50">
        <f>IF($C201="","",IF(N($U201)=0,"",IFERROR($AW201/$U201,"")))</f>
        <v/>
      </c>
      <c r="AY201" s="85">
        <f>IF($C201="","",TRIM(IF(ISNUMBER($AJ201)*(N($AJ201)&gt;$D$4)&gt;0,"payout high  ","")&amp;IF(ISNUMBER($AX201)*(N($AX201)&lt;$F$4)&gt;0,"FCF below dvd  ","")&amp;IF(ISNUMBER($AU201)*(N($AU201)&gt;$H$4)&gt;0,"leverage high","")))</f>
        <v/>
      </c>
      <c r="AZ201" s="86">
        <f>IF($C201="","",IF(HSCEI!$F$56="HKD","",HSCEI!$F$56))</f>
        <v/>
      </c>
    </row>
    <row r="202">
      <c r="B202" s="66" t="inlineStr">
        <is>
          <t>HSCEI</t>
        </is>
      </c>
      <c r="C202" s="8">
        <f>IF(HSCEI!$C$57="","",HSCEI!$C$57)</f>
        <v/>
      </c>
      <c r="D202" s="8">
        <f>IF($C202="","",HSCEI!$D$57)</f>
        <v/>
      </c>
      <c r="E202" s="8">
        <f>IF($C202="","",HSCEI!$E$57)</f>
        <v/>
      </c>
      <c r="F202" s="67">
        <f>IF($C202="","",SUMPRODUCT(('Dvd Calendar'!$E$2111:$AR$2111&gt;=DATE(YEAR_Y-5,1,1))*('Dvd Calendar'!$E$2111:$AR$2111&lt;=DATE(YEAR_Y-5,12,31))*'Dvd Calendar'!$E$2114:$AR$2114*(('Dvd Calendar'!$E$2116:$AR$2116=TYPE1)*(TYPE1&lt;&gt;"")+('Dvd Calendar'!$E$2116:$AR$2116=TYPE2)*(TYPE2&lt;&gt;"")+('Dvd Calendar'!$E$2116:$AR$2116=TYPE3)*(TYPE3&lt;&gt;"")+('Dvd Calendar'!$E$2116:$AR$2116=TYPE4)*(TYPE4&lt;&gt;"")+('Dvd Calendar'!$E$2116:$AR$2116=SPECIAL_LBL)*(INC_SPECIALS="Y"))))</f>
        <v/>
      </c>
      <c r="G202" s="68">
        <f>IF($C202="","",SUMPRODUCT(('Dvd Calendar'!$E$2111:$AR$2111&gt;=DATE(YEAR_Y-4,1,1))*('Dvd Calendar'!$E$2111:$AR$2111&lt;=DATE(YEAR_Y-4,12,31))*'Dvd Calendar'!$E$2114:$AR$2114*(('Dvd Calendar'!$E$2116:$AR$2116=TYPE1)*(TYPE1&lt;&gt;"")+('Dvd Calendar'!$E$2116:$AR$2116=TYPE2)*(TYPE2&lt;&gt;"")+('Dvd Calendar'!$E$2116:$AR$2116=TYPE3)*(TYPE3&lt;&gt;"")+('Dvd Calendar'!$E$2116:$AR$2116=TYPE4)*(TYPE4&lt;&gt;"")+('Dvd Calendar'!$E$2116:$AR$2116=SPECIAL_LBL)*(INC_SPECIALS="Y"))))</f>
        <v/>
      </c>
      <c r="H202" s="68">
        <f>IF($C202="","",SUMPRODUCT(('Dvd Calendar'!$E$2111:$AR$2111&gt;=DATE(YEAR_Y-3,1,1))*('Dvd Calendar'!$E$2111:$AR$2111&lt;=DATE(YEAR_Y-3,12,31))*'Dvd Calendar'!$E$2114:$AR$2114*(('Dvd Calendar'!$E$2116:$AR$2116=TYPE1)*(TYPE1&lt;&gt;"")+('Dvd Calendar'!$E$2116:$AR$2116=TYPE2)*(TYPE2&lt;&gt;"")+('Dvd Calendar'!$E$2116:$AR$2116=TYPE3)*(TYPE3&lt;&gt;"")+('Dvd Calendar'!$E$2116:$AR$2116=TYPE4)*(TYPE4&lt;&gt;"")+('Dvd Calendar'!$E$2116:$AR$2116=SPECIAL_LBL)*(INC_SPECIALS="Y"))))</f>
        <v/>
      </c>
      <c r="I202" s="68">
        <f>IF($C202="","",SUMPRODUCT(('Dvd Calendar'!$E$2111:$AR$2111&gt;=DATE(YEAR_Y-2,1,1))*('Dvd Calendar'!$E$2111:$AR$2111&lt;=DATE(YEAR_Y-2,12,31))*'Dvd Calendar'!$E$2114:$AR$2114*(('Dvd Calendar'!$E$2116:$AR$2116=TYPE1)*(TYPE1&lt;&gt;"")+('Dvd Calendar'!$E$2116:$AR$2116=TYPE2)*(TYPE2&lt;&gt;"")+('Dvd Calendar'!$E$2116:$AR$2116=TYPE3)*(TYPE3&lt;&gt;"")+('Dvd Calendar'!$E$2116:$AR$2116=TYPE4)*(TYPE4&lt;&gt;"")+('Dvd Calendar'!$E$2116:$AR$2116=SPECIAL_LBL)*(INC_SPECIALS="Y"))))</f>
        <v/>
      </c>
      <c r="J202" s="68">
        <f>IF($C202="","",SUMPRODUCT(('Dvd Calendar'!$E$2111:$AR$2111&gt;=DATE(YEAR_Y-1,1,1))*('Dvd Calendar'!$E$2111:$AR$2111&lt;=DATE(YEAR_Y-1,12,31))*'Dvd Calendar'!$E$2114:$AR$2114*(('Dvd Calendar'!$E$2116:$AR$2116=TYPE1)*(TYPE1&lt;&gt;"")+('Dvd Calendar'!$E$2116:$AR$2116=TYPE2)*(TYPE2&lt;&gt;"")+('Dvd Calendar'!$E$2116:$AR$2116=TYPE3)*(TYPE3&lt;&gt;"")+('Dvd Calendar'!$E$2116:$AR$2116=TYPE4)*(TYPE4&lt;&gt;"")+('Dvd Calendar'!$E$2116:$AR$2116=SPECIAL_LBL)*(INC_SPECIALS="Y"))))</f>
        <v/>
      </c>
      <c r="K202" s="69">
        <f>IF($C202="","",HSCEI!$J$57)</f>
        <v/>
      </c>
      <c r="L202" s="69">
        <f>IF($C202="","",HSCEI!$K$57)</f>
        <v/>
      </c>
      <c r="M202" s="44">
        <f>IF($C202="","",HSCEI!$J$57+HSCEI!$L$57)</f>
        <v/>
      </c>
      <c r="N202" s="70">
        <f>IF($C202="","",IF(PULL_FUND="N","",IFERROR(BDP($C202,BESTDPS_FIELD,FWD_OVERRIDE,TEXT(MOD(YEAR_Y,100),"00")&amp;"Y"),"")))</f>
        <v/>
      </c>
      <c r="O202" s="69">
        <f>IF($C202="","",AVERAGE(F202:J202))</f>
        <v/>
      </c>
      <c r="P202" s="71">
        <f>IF($C202="","",IF(PULL_FUND="N","",IF(COUNTIFS('Fund History'!$J$1156:$J$1160,"&gt;="&amp;DATE(YEAR_Y-5,1,1),'Fund History'!$J$1156:$J$1160,"&lt;="&amp;DATE(YEAR_Y-5,12,31))=0,"",IFERROR($F202*HSCEI!$G$57/SUMIFS('Fund History'!$K$1156:$K$1160,'Fund History'!$J$1156:$J$1160,"&gt;="&amp;DATE(YEAR_Y-5,1,1),'Fund History'!$J$1156:$J$1160,"&lt;="&amp;DATE(YEAR_Y-5,12,31)),""))))</f>
        <v/>
      </c>
      <c r="Q202" s="72">
        <f>IF($C202="","",IF(PULL_FUND="N","",IF(COUNTIFS('Fund History'!$J$1156:$J$1160,"&gt;="&amp;DATE(YEAR_Y-4,1,1),'Fund History'!$J$1156:$J$1160,"&lt;="&amp;DATE(YEAR_Y-4,12,31))=0,"",IFERROR($G202*HSCEI!$G$57/SUMIFS('Fund History'!$K$1156:$K$1160,'Fund History'!$J$1156:$J$1160,"&gt;="&amp;DATE(YEAR_Y-4,1,1),'Fund History'!$J$1156:$J$1160,"&lt;="&amp;DATE(YEAR_Y-4,12,31)),""))))</f>
        <v/>
      </c>
      <c r="R202" s="72">
        <f>IF($C202="","",IF(PULL_FUND="N","",IF(COUNTIFS('Fund History'!$J$1156:$J$1160,"&gt;="&amp;DATE(YEAR_Y-3,1,1),'Fund History'!$J$1156:$J$1160,"&lt;="&amp;DATE(YEAR_Y-3,12,31))=0,"",IFERROR($H202*HSCEI!$G$57/SUMIFS('Fund History'!$K$1156:$K$1160,'Fund History'!$J$1156:$J$1160,"&gt;="&amp;DATE(YEAR_Y-3,1,1),'Fund History'!$J$1156:$J$1160,"&lt;="&amp;DATE(YEAR_Y-3,12,31)),""))))</f>
        <v/>
      </c>
      <c r="S202" s="72">
        <f>IF($C202="","",IF(PULL_FUND="N","",IF(COUNTIFS('Fund History'!$J$1156:$J$1160,"&gt;="&amp;DATE(YEAR_Y-2,1,1),'Fund History'!$J$1156:$J$1160,"&lt;="&amp;DATE(YEAR_Y-2,12,31))=0,"",IFERROR($I202*HSCEI!$G$57/SUMIFS('Fund History'!$K$1156:$K$1160,'Fund History'!$J$1156:$J$1160,"&gt;="&amp;DATE(YEAR_Y-2,1,1),'Fund History'!$J$1156:$J$1160,"&lt;="&amp;DATE(YEAR_Y-2,12,31)),""))))</f>
        <v/>
      </c>
      <c r="T202" s="72">
        <f>IF($C202="","",IF(PULL_FUND="N","",IF(COUNTIFS('Fund History'!$J$1156:$J$1160,"&gt;="&amp;DATE(YEAR_Y-1,1,1),'Fund History'!$J$1156:$J$1160,"&lt;="&amp;DATE(YEAR_Y-1,12,31))=0,"",IFERROR($J202*HSCEI!$G$57/SUMIFS('Fund History'!$K$1156:$K$1160,'Fund History'!$J$1156:$J$1160,"&gt;="&amp;DATE(YEAR_Y-1,1,1),'Fund History'!$J$1156:$J$1160,"&lt;="&amp;DATE(YEAR_Y-1,12,31)),""))))</f>
        <v/>
      </c>
      <c r="U202" s="73">
        <f>IF($C202="","",IF(ISNUMBER(HSCEI!$I$57),HSCEI!$I$57/100,""))</f>
        <v/>
      </c>
      <c r="V202" s="74">
        <f>IF($C202="","",IF(ISNUMBER(HSCEI!$X$57),IFERROR($M202*HSCEI!$G$57/HSCEI!$X$57,""),""))</f>
        <v/>
      </c>
      <c r="W202" s="73">
        <f>IF($C202="","",IF(ISNUMBER($N202),IFERROR($N202*HSCEI!$G$57/HSCEI!$X$57,""),""))</f>
        <v/>
      </c>
      <c r="X202" s="75">
        <f>IF($C202="","",IF(PULL_FUND="N","",IFERROR(BDP($C202,EPS_FIELD,YR_OVERRIDE,TEXT(YEAR_Y-5,"0")),"")))</f>
        <v/>
      </c>
      <c r="Y202" s="76">
        <f>IF($C202="","",IF(PULL_FUND="N","",IFERROR(BDP($C202,EPS_FIELD,YR_OVERRIDE,TEXT(YEAR_Y-4,"0")),"")))</f>
        <v/>
      </c>
      <c r="Z202" s="76">
        <f>IF($C202="","",IF(PULL_FUND="N","",IFERROR(BDP($C202,EPS_FIELD,YR_OVERRIDE,TEXT(YEAR_Y-3,"0")),"")))</f>
        <v/>
      </c>
      <c r="AA202" s="76">
        <f>IF($C202="","",IF(PULL_FUND="N","",IFERROR(BDP($C202,EPS_FIELD,YR_OVERRIDE,TEXT(YEAR_Y-2,"0")),"")))</f>
        <v/>
      </c>
      <c r="AB202" s="76">
        <f>IF($C202="","",IF(PULL_FUND="N","",IFERROR(BDP($C202,EPS_FIELD,YR_OVERRIDE,TEXT(YEAR_Y-1,"0")),"")))</f>
        <v/>
      </c>
      <c r="AC202" s="50">
        <f>IF($C202="","",IFERROR(AVERAGE(X202:AB202),""))</f>
        <v/>
      </c>
      <c r="AD202" s="76">
        <f>IF($C202="","",IF(PULL_FUND="N","",IFERROR(BDP($C202,BESTEPS_FIELD,FWD_OVERRIDE,TEXT(MOD(YEAR_Y,100),"00")&amp;"Y"),"")))</f>
        <v/>
      </c>
      <c r="AE202" s="77">
        <f>IF($C202="","",IF(PULL_FUND="N","",IFERROR(BDP($C202,PAYOUT_FIELD,YR_OVERRIDE,TEXT(YEAR_Y-5,"0"))/100,"")))</f>
        <v/>
      </c>
      <c r="AF202" s="78">
        <f>IF($C202="","",IF(PULL_FUND="N","",IFERROR(BDP($C202,PAYOUT_FIELD,YR_OVERRIDE,TEXT(YEAR_Y-4,"0"))/100,"")))</f>
        <v/>
      </c>
      <c r="AG202" s="78">
        <f>IF($C202="","",IF(PULL_FUND="N","",IFERROR(BDP($C202,PAYOUT_FIELD,YR_OVERRIDE,TEXT(YEAR_Y-3,"0"))/100,"")))</f>
        <v/>
      </c>
      <c r="AH202" s="78">
        <f>IF($C202="","",IF(PULL_FUND="N","",IFERROR(BDP($C202,PAYOUT_FIELD,YR_OVERRIDE,TEXT(YEAR_Y-2,"0"))/100,"")))</f>
        <v/>
      </c>
      <c r="AI202" s="78">
        <f>IF($C202="","",IF(PULL_FUND="N","",IFERROR(BDP($C202,PAYOUT_FIELD,YR_OVERRIDE,TEXT(YEAR_Y-1,"0"))/100,"")))</f>
        <v/>
      </c>
      <c r="AJ202" s="79">
        <f>IF($C202="","",IFERROR(AVERAGE(AE202:AI202),""))</f>
        <v/>
      </c>
      <c r="AK202" s="80">
        <f>IF($C202="","",IF(ISNUMBER($AD202)*ISNUMBER($N202)*($AD202&lt;&gt;0)=0,"",$N202/$AD202))</f>
        <v/>
      </c>
      <c r="AL202" s="79">
        <f>IF($C202="","",IF(ISNUMBER($AD202)*($AD202&lt;&gt;0)=0,"",$M202/$AD202))</f>
        <v/>
      </c>
      <c r="AM202" s="37">
        <f>IF($C202="","",IF(ISNUMBER($AE202)*ISNUMBER($AI202)=0,"",IF($AI202&gt;$AE202+0.05,"rising",IF($AI202&lt;$AE202-0.05,"falling","stable"))))</f>
        <v/>
      </c>
      <c r="AN202" s="81">
        <f>IF($C202="","",IF(PULL_FUND="N","",IF(COUNTIFS('Fund History'!$G$1156:$G$1160,"&gt;="&amp;DATE(YEAR_Y-4,1,1),'Fund History'!$G$1156:$G$1160,"&lt;="&amp;DATE(YEAR_Y-4,12,31))=0,"",SUMIFS('Fund History'!$H$1156:$H$1160,'Fund History'!$G$1156:$G$1160,"&gt;="&amp;DATE(YEAR_Y-4,1,1),'Fund History'!$G$1156:$G$1160,"&lt;="&amp;DATE(YEAR_Y-4,12,31))/100)))</f>
        <v/>
      </c>
      <c r="AO202" s="82">
        <f>IF($C202="","",IF(PULL_FUND="N","",IF(COUNTIFS('Fund History'!$G$1156:$G$1160,"&gt;="&amp;DATE(YEAR_Y-3,1,1),'Fund History'!$G$1156:$G$1160,"&lt;="&amp;DATE(YEAR_Y-3,12,31))=0,"",SUMIFS('Fund History'!$H$1156:$H$1160,'Fund History'!$G$1156:$G$1160,"&gt;="&amp;DATE(YEAR_Y-3,1,1),'Fund History'!$G$1156:$G$1160,"&lt;="&amp;DATE(YEAR_Y-3,12,31))/100)))</f>
        <v/>
      </c>
      <c r="AP202" s="82">
        <f>IF($C202="","",IF(PULL_FUND="N","",IF(COUNTIFS('Fund History'!$G$1156:$G$1160,"&gt;="&amp;DATE(YEAR_Y-2,1,1),'Fund History'!$G$1156:$G$1160,"&lt;="&amp;DATE(YEAR_Y-2,12,31))=0,"",SUMIFS('Fund History'!$H$1156:$H$1160,'Fund History'!$G$1156:$G$1160,"&gt;="&amp;DATE(YEAR_Y-2,1,1),'Fund History'!$G$1156:$G$1160,"&lt;="&amp;DATE(YEAR_Y-2,12,31))/100)))</f>
        <v/>
      </c>
      <c r="AQ202" s="82">
        <f>IF($C202="","",IF(PULL_FUND="N","",IF(COUNTIFS('Fund History'!$G$1156:$G$1160,"&gt;="&amp;DATE(YEAR_Y-1,1,1),'Fund History'!$G$1156:$G$1160,"&lt;="&amp;DATE(YEAR_Y-1,12,31))=0,"",SUMIFS('Fund History'!$H$1156:$H$1160,'Fund History'!$G$1156:$G$1160,"&gt;="&amp;DATE(YEAR_Y-1,1,1),'Fund History'!$G$1156:$G$1160,"&lt;="&amp;DATE(YEAR_Y-1,12,31))/100)))</f>
        <v/>
      </c>
      <c r="AR202" s="83">
        <f>IF($C202="","",IF(N($AQ202)+N(HSCEI!$I$57)=0,"",N($AQ202)+N(HSCEI!$I$57)/100))</f>
        <v/>
      </c>
      <c r="AS202" s="75">
        <f>IF($C202="","",IF(PULL_FUND="N","",IF(COUNTIFS('Fund History'!$D$1156:$D$1160,"&gt;="&amp;DATE(YEAR_Y-2,1,1),'Fund History'!$D$1156:$D$1160,"&lt;="&amp;DATE(YEAR_Y-2,12,31))=0,"",SUMIFS('Fund History'!$E$1156:$E$1160,'Fund History'!$D$1156:$D$1160,"&gt;="&amp;DATE(YEAR_Y-2,1,1),'Fund History'!$D$1156:$D$1160,"&lt;="&amp;DATE(YEAR_Y-2,12,31)))))</f>
        <v/>
      </c>
      <c r="AT202" s="76">
        <f>IF($C202="","",IF(PULL_FUND="N","",IF(COUNTIFS('Fund History'!$D$1156:$D$1160,"&gt;="&amp;DATE(YEAR_Y-1,1,1),'Fund History'!$D$1156:$D$1160,"&lt;="&amp;DATE(YEAR_Y-1,12,31))=0,"",SUMIFS('Fund History'!$E$1156:$E$1160,'Fund History'!$D$1156:$D$1160,"&gt;="&amp;DATE(YEAR_Y-1,1,1),'Fund History'!$D$1156:$D$1160,"&lt;="&amp;DATE(YEAR_Y-1,12,31)))))</f>
        <v/>
      </c>
      <c r="AU202" s="76">
        <f>IF($C202="","",IF(PULL_FUND="N","",IFERROR(BDP($C202,NDEBITDA_FIELD),"")))</f>
        <v/>
      </c>
      <c r="AV202" s="84">
        <f>IF($C202="","",IF(PULL_FUND="N","",IFERROR(BDP($C202,EBINT_FIELD),"")))</f>
        <v/>
      </c>
      <c r="AW202" s="82">
        <f>IF($C202="","",IF(PULL_FUND="N","",IFERROR(BDP($C202,FCF_FIELD)/100,"")))</f>
        <v/>
      </c>
      <c r="AX202" s="50">
        <f>IF($C202="","",IF(N($U202)=0,"",IFERROR($AW202/$U202,"")))</f>
        <v/>
      </c>
      <c r="AY202" s="85">
        <f>IF($C202="","",TRIM(IF(ISNUMBER($AJ202)*(N($AJ202)&gt;$D$4)&gt;0,"payout high  ","")&amp;IF(ISNUMBER($AX202)*(N($AX202)&lt;$F$4)&gt;0,"FCF below dvd  ","")&amp;IF(ISNUMBER($AU202)*(N($AU202)&gt;$H$4)&gt;0,"leverage high","")))</f>
        <v/>
      </c>
      <c r="AZ202" s="86">
        <f>IF($C202="","",IF(HSCEI!$F$57="HKD","",HSCEI!$F$57))</f>
        <v/>
      </c>
    </row>
    <row r="203">
      <c r="B203" s="66" t="inlineStr">
        <is>
          <t>HSCEI</t>
        </is>
      </c>
      <c r="C203" s="8">
        <f>IF(HSCEI!$C$58="","",HSCEI!$C$58)</f>
        <v/>
      </c>
      <c r="D203" s="8">
        <f>IF($C203="","",HSCEI!$D$58)</f>
        <v/>
      </c>
      <c r="E203" s="8">
        <f>IF($C203="","",HSCEI!$E$58)</f>
        <v/>
      </c>
      <c r="F203" s="67">
        <f>IF($C203="","",SUMPRODUCT(('Dvd Calendar'!$E$2122:$AR$2122&gt;=DATE(YEAR_Y-5,1,1))*('Dvd Calendar'!$E$2122:$AR$2122&lt;=DATE(YEAR_Y-5,12,31))*'Dvd Calendar'!$E$2125:$AR$2125*(('Dvd Calendar'!$E$2127:$AR$2127=TYPE1)*(TYPE1&lt;&gt;"")+('Dvd Calendar'!$E$2127:$AR$2127=TYPE2)*(TYPE2&lt;&gt;"")+('Dvd Calendar'!$E$2127:$AR$2127=TYPE3)*(TYPE3&lt;&gt;"")+('Dvd Calendar'!$E$2127:$AR$2127=TYPE4)*(TYPE4&lt;&gt;"")+('Dvd Calendar'!$E$2127:$AR$2127=SPECIAL_LBL)*(INC_SPECIALS="Y"))))</f>
        <v/>
      </c>
      <c r="G203" s="68">
        <f>IF($C203="","",SUMPRODUCT(('Dvd Calendar'!$E$2122:$AR$2122&gt;=DATE(YEAR_Y-4,1,1))*('Dvd Calendar'!$E$2122:$AR$2122&lt;=DATE(YEAR_Y-4,12,31))*'Dvd Calendar'!$E$2125:$AR$2125*(('Dvd Calendar'!$E$2127:$AR$2127=TYPE1)*(TYPE1&lt;&gt;"")+('Dvd Calendar'!$E$2127:$AR$2127=TYPE2)*(TYPE2&lt;&gt;"")+('Dvd Calendar'!$E$2127:$AR$2127=TYPE3)*(TYPE3&lt;&gt;"")+('Dvd Calendar'!$E$2127:$AR$2127=TYPE4)*(TYPE4&lt;&gt;"")+('Dvd Calendar'!$E$2127:$AR$2127=SPECIAL_LBL)*(INC_SPECIALS="Y"))))</f>
        <v/>
      </c>
      <c r="H203" s="68">
        <f>IF($C203="","",SUMPRODUCT(('Dvd Calendar'!$E$2122:$AR$2122&gt;=DATE(YEAR_Y-3,1,1))*('Dvd Calendar'!$E$2122:$AR$2122&lt;=DATE(YEAR_Y-3,12,31))*'Dvd Calendar'!$E$2125:$AR$2125*(('Dvd Calendar'!$E$2127:$AR$2127=TYPE1)*(TYPE1&lt;&gt;"")+('Dvd Calendar'!$E$2127:$AR$2127=TYPE2)*(TYPE2&lt;&gt;"")+('Dvd Calendar'!$E$2127:$AR$2127=TYPE3)*(TYPE3&lt;&gt;"")+('Dvd Calendar'!$E$2127:$AR$2127=TYPE4)*(TYPE4&lt;&gt;"")+('Dvd Calendar'!$E$2127:$AR$2127=SPECIAL_LBL)*(INC_SPECIALS="Y"))))</f>
        <v/>
      </c>
      <c r="I203" s="68">
        <f>IF($C203="","",SUMPRODUCT(('Dvd Calendar'!$E$2122:$AR$2122&gt;=DATE(YEAR_Y-2,1,1))*('Dvd Calendar'!$E$2122:$AR$2122&lt;=DATE(YEAR_Y-2,12,31))*'Dvd Calendar'!$E$2125:$AR$2125*(('Dvd Calendar'!$E$2127:$AR$2127=TYPE1)*(TYPE1&lt;&gt;"")+('Dvd Calendar'!$E$2127:$AR$2127=TYPE2)*(TYPE2&lt;&gt;"")+('Dvd Calendar'!$E$2127:$AR$2127=TYPE3)*(TYPE3&lt;&gt;"")+('Dvd Calendar'!$E$2127:$AR$2127=TYPE4)*(TYPE4&lt;&gt;"")+('Dvd Calendar'!$E$2127:$AR$2127=SPECIAL_LBL)*(INC_SPECIALS="Y"))))</f>
        <v/>
      </c>
      <c r="J203" s="68">
        <f>IF($C203="","",SUMPRODUCT(('Dvd Calendar'!$E$2122:$AR$2122&gt;=DATE(YEAR_Y-1,1,1))*('Dvd Calendar'!$E$2122:$AR$2122&lt;=DATE(YEAR_Y-1,12,31))*'Dvd Calendar'!$E$2125:$AR$2125*(('Dvd Calendar'!$E$2127:$AR$2127=TYPE1)*(TYPE1&lt;&gt;"")+('Dvd Calendar'!$E$2127:$AR$2127=TYPE2)*(TYPE2&lt;&gt;"")+('Dvd Calendar'!$E$2127:$AR$2127=TYPE3)*(TYPE3&lt;&gt;"")+('Dvd Calendar'!$E$2127:$AR$2127=TYPE4)*(TYPE4&lt;&gt;"")+('Dvd Calendar'!$E$2127:$AR$2127=SPECIAL_LBL)*(INC_SPECIALS="Y"))))</f>
        <v/>
      </c>
      <c r="K203" s="69">
        <f>IF($C203="","",HSCEI!$J$58)</f>
        <v/>
      </c>
      <c r="L203" s="69">
        <f>IF($C203="","",HSCEI!$K$58)</f>
        <v/>
      </c>
      <c r="M203" s="44">
        <f>IF($C203="","",HSCEI!$J$58+HSCEI!$L$58)</f>
        <v/>
      </c>
      <c r="N203" s="70">
        <f>IF($C203="","",IF(PULL_FUND="N","",IFERROR(BDP($C203,BESTDPS_FIELD,FWD_OVERRIDE,TEXT(MOD(YEAR_Y,100),"00")&amp;"Y"),"")))</f>
        <v/>
      </c>
      <c r="O203" s="69">
        <f>IF($C203="","",AVERAGE(F203:J203))</f>
        <v/>
      </c>
      <c r="P203" s="71">
        <f>IF($C203="","",IF(PULL_FUND="N","",IF(COUNTIFS('Fund History'!$J$1162:$J$1166,"&gt;="&amp;DATE(YEAR_Y-5,1,1),'Fund History'!$J$1162:$J$1166,"&lt;="&amp;DATE(YEAR_Y-5,12,31))=0,"",IFERROR($F203*HSCEI!$G$58/SUMIFS('Fund History'!$K$1162:$K$1166,'Fund History'!$J$1162:$J$1166,"&gt;="&amp;DATE(YEAR_Y-5,1,1),'Fund History'!$J$1162:$J$1166,"&lt;="&amp;DATE(YEAR_Y-5,12,31)),""))))</f>
        <v/>
      </c>
      <c r="Q203" s="72">
        <f>IF($C203="","",IF(PULL_FUND="N","",IF(COUNTIFS('Fund History'!$J$1162:$J$1166,"&gt;="&amp;DATE(YEAR_Y-4,1,1),'Fund History'!$J$1162:$J$1166,"&lt;="&amp;DATE(YEAR_Y-4,12,31))=0,"",IFERROR($G203*HSCEI!$G$58/SUMIFS('Fund History'!$K$1162:$K$1166,'Fund History'!$J$1162:$J$1166,"&gt;="&amp;DATE(YEAR_Y-4,1,1),'Fund History'!$J$1162:$J$1166,"&lt;="&amp;DATE(YEAR_Y-4,12,31)),""))))</f>
        <v/>
      </c>
      <c r="R203" s="72">
        <f>IF($C203="","",IF(PULL_FUND="N","",IF(COUNTIFS('Fund History'!$J$1162:$J$1166,"&gt;="&amp;DATE(YEAR_Y-3,1,1),'Fund History'!$J$1162:$J$1166,"&lt;="&amp;DATE(YEAR_Y-3,12,31))=0,"",IFERROR($H203*HSCEI!$G$58/SUMIFS('Fund History'!$K$1162:$K$1166,'Fund History'!$J$1162:$J$1166,"&gt;="&amp;DATE(YEAR_Y-3,1,1),'Fund History'!$J$1162:$J$1166,"&lt;="&amp;DATE(YEAR_Y-3,12,31)),""))))</f>
        <v/>
      </c>
      <c r="S203" s="72">
        <f>IF($C203="","",IF(PULL_FUND="N","",IF(COUNTIFS('Fund History'!$J$1162:$J$1166,"&gt;="&amp;DATE(YEAR_Y-2,1,1),'Fund History'!$J$1162:$J$1166,"&lt;="&amp;DATE(YEAR_Y-2,12,31))=0,"",IFERROR($I203*HSCEI!$G$58/SUMIFS('Fund History'!$K$1162:$K$1166,'Fund History'!$J$1162:$J$1166,"&gt;="&amp;DATE(YEAR_Y-2,1,1),'Fund History'!$J$1162:$J$1166,"&lt;="&amp;DATE(YEAR_Y-2,12,31)),""))))</f>
        <v/>
      </c>
      <c r="T203" s="72">
        <f>IF($C203="","",IF(PULL_FUND="N","",IF(COUNTIFS('Fund History'!$J$1162:$J$1166,"&gt;="&amp;DATE(YEAR_Y-1,1,1),'Fund History'!$J$1162:$J$1166,"&lt;="&amp;DATE(YEAR_Y-1,12,31))=0,"",IFERROR($J203*HSCEI!$G$58/SUMIFS('Fund History'!$K$1162:$K$1166,'Fund History'!$J$1162:$J$1166,"&gt;="&amp;DATE(YEAR_Y-1,1,1),'Fund History'!$J$1162:$J$1166,"&lt;="&amp;DATE(YEAR_Y-1,12,31)),""))))</f>
        <v/>
      </c>
      <c r="U203" s="73">
        <f>IF($C203="","",IF(ISNUMBER(HSCEI!$I$58),HSCEI!$I$58/100,""))</f>
        <v/>
      </c>
      <c r="V203" s="74">
        <f>IF($C203="","",IF(ISNUMBER(HSCEI!$X$58),IFERROR($M203*HSCEI!$G$58/HSCEI!$X$58,""),""))</f>
        <v/>
      </c>
      <c r="W203" s="73">
        <f>IF($C203="","",IF(ISNUMBER($N203),IFERROR($N203*HSCEI!$G$58/HSCEI!$X$58,""),""))</f>
        <v/>
      </c>
      <c r="X203" s="75">
        <f>IF($C203="","",IF(PULL_FUND="N","",IFERROR(BDP($C203,EPS_FIELD,YR_OVERRIDE,TEXT(YEAR_Y-5,"0")),"")))</f>
        <v/>
      </c>
      <c r="Y203" s="76">
        <f>IF($C203="","",IF(PULL_FUND="N","",IFERROR(BDP($C203,EPS_FIELD,YR_OVERRIDE,TEXT(YEAR_Y-4,"0")),"")))</f>
        <v/>
      </c>
      <c r="Z203" s="76">
        <f>IF($C203="","",IF(PULL_FUND="N","",IFERROR(BDP($C203,EPS_FIELD,YR_OVERRIDE,TEXT(YEAR_Y-3,"0")),"")))</f>
        <v/>
      </c>
      <c r="AA203" s="76">
        <f>IF($C203="","",IF(PULL_FUND="N","",IFERROR(BDP($C203,EPS_FIELD,YR_OVERRIDE,TEXT(YEAR_Y-2,"0")),"")))</f>
        <v/>
      </c>
      <c r="AB203" s="76">
        <f>IF($C203="","",IF(PULL_FUND="N","",IFERROR(BDP($C203,EPS_FIELD,YR_OVERRIDE,TEXT(YEAR_Y-1,"0")),"")))</f>
        <v/>
      </c>
      <c r="AC203" s="50">
        <f>IF($C203="","",IFERROR(AVERAGE(X203:AB203),""))</f>
        <v/>
      </c>
      <c r="AD203" s="76">
        <f>IF($C203="","",IF(PULL_FUND="N","",IFERROR(BDP($C203,BESTEPS_FIELD,FWD_OVERRIDE,TEXT(MOD(YEAR_Y,100),"00")&amp;"Y"),"")))</f>
        <v/>
      </c>
      <c r="AE203" s="77">
        <f>IF($C203="","",IF(PULL_FUND="N","",IFERROR(BDP($C203,PAYOUT_FIELD,YR_OVERRIDE,TEXT(YEAR_Y-5,"0"))/100,"")))</f>
        <v/>
      </c>
      <c r="AF203" s="78">
        <f>IF($C203="","",IF(PULL_FUND="N","",IFERROR(BDP($C203,PAYOUT_FIELD,YR_OVERRIDE,TEXT(YEAR_Y-4,"0"))/100,"")))</f>
        <v/>
      </c>
      <c r="AG203" s="78">
        <f>IF($C203="","",IF(PULL_FUND="N","",IFERROR(BDP($C203,PAYOUT_FIELD,YR_OVERRIDE,TEXT(YEAR_Y-3,"0"))/100,"")))</f>
        <v/>
      </c>
      <c r="AH203" s="78">
        <f>IF($C203="","",IF(PULL_FUND="N","",IFERROR(BDP($C203,PAYOUT_FIELD,YR_OVERRIDE,TEXT(YEAR_Y-2,"0"))/100,"")))</f>
        <v/>
      </c>
      <c r="AI203" s="78">
        <f>IF($C203="","",IF(PULL_FUND="N","",IFERROR(BDP($C203,PAYOUT_FIELD,YR_OVERRIDE,TEXT(YEAR_Y-1,"0"))/100,"")))</f>
        <v/>
      </c>
      <c r="AJ203" s="79">
        <f>IF($C203="","",IFERROR(AVERAGE(AE203:AI203),""))</f>
        <v/>
      </c>
      <c r="AK203" s="80">
        <f>IF($C203="","",IF(ISNUMBER($AD203)*ISNUMBER($N203)*($AD203&lt;&gt;0)=0,"",$N203/$AD203))</f>
        <v/>
      </c>
      <c r="AL203" s="79">
        <f>IF($C203="","",IF(ISNUMBER($AD203)*($AD203&lt;&gt;0)=0,"",$M203/$AD203))</f>
        <v/>
      </c>
      <c r="AM203" s="37">
        <f>IF($C203="","",IF(ISNUMBER($AE203)*ISNUMBER($AI203)=0,"",IF($AI203&gt;$AE203+0.05,"rising",IF($AI203&lt;$AE203-0.05,"falling","stable"))))</f>
        <v/>
      </c>
      <c r="AN203" s="81">
        <f>IF($C203="","",IF(PULL_FUND="N","",IF(COUNTIFS('Fund History'!$G$1162:$G$1166,"&gt;="&amp;DATE(YEAR_Y-4,1,1),'Fund History'!$G$1162:$G$1166,"&lt;="&amp;DATE(YEAR_Y-4,12,31))=0,"",SUMIFS('Fund History'!$H$1162:$H$1166,'Fund History'!$G$1162:$G$1166,"&gt;="&amp;DATE(YEAR_Y-4,1,1),'Fund History'!$G$1162:$G$1166,"&lt;="&amp;DATE(YEAR_Y-4,12,31))/100)))</f>
        <v/>
      </c>
      <c r="AO203" s="82">
        <f>IF($C203="","",IF(PULL_FUND="N","",IF(COUNTIFS('Fund History'!$G$1162:$G$1166,"&gt;="&amp;DATE(YEAR_Y-3,1,1),'Fund History'!$G$1162:$G$1166,"&lt;="&amp;DATE(YEAR_Y-3,12,31))=0,"",SUMIFS('Fund History'!$H$1162:$H$1166,'Fund History'!$G$1162:$G$1166,"&gt;="&amp;DATE(YEAR_Y-3,1,1),'Fund History'!$G$1162:$G$1166,"&lt;="&amp;DATE(YEAR_Y-3,12,31))/100)))</f>
        <v/>
      </c>
      <c r="AP203" s="82">
        <f>IF($C203="","",IF(PULL_FUND="N","",IF(COUNTIFS('Fund History'!$G$1162:$G$1166,"&gt;="&amp;DATE(YEAR_Y-2,1,1),'Fund History'!$G$1162:$G$1166,"&lt;="&amp;DATE(YEAR_Y-2,12,31))=0,"",SUMIFS('Fund History'!$H$1162:$H$1166,'Fund History'!$G$1162:$G$1166,"&gt;="&amp;DATE(YEAR_Y-2,1,1),'Fund History'!$G$1162:$G$1166,"&lt;="&amp;DATE(YEAR_Y-2,12,31))/100)))</f>
        <v/>
      </c>
      <c r="AQ203" s="82">
        <f>IF($C203="","",IF(PULL_FUND="N","",IF(COUNTIFS('Fund History'!$G$1162:$G$1166,"&gt;="&amp;DATE(YEAR_Y-1,1,1),'Fund History'!$G$1162:$G$1166,"&lt;="&amp;DATE(YEAR_Y-1,12,31))=0,"",SUMIFS('Fund History'!$H$1162:$H$1166,'Fund History'!$G$1162:$G$1166,"&gt;="&amp;DATE(YEAR_Y-1,1,1),'Fund History'!$G$1162:$G$1166,"&lt;="&amp;DATE(YEAR_Y-1,12,31))/100)))</f>
        <v/>
      </c>
      <c r="AR203" s="83">
        <f>IF($C203="","",IF(N($AQ203)+N(HSCEI!$I$58)=0,"",N($AQ203)+N(HSCEI!$I$58)/100))</f>
        <v/>
      </c>
      <c r="AS203" s="75">
        <f>IF($C203="","",IF(PULL_FUND="N","",IF(COUNTIFS('Fund History'!$D$1162:$D$1166,"&gt;="&amp;DATE(YEAR_Y-2,1,1),'Fund History'!$D$1162:$D$1166,"&lt;="&amp;DATE(YEAR_Y-2,12,31))=0,"",SUMIFS('Fund History'!$E$1162:$E$1166,'Fund History'!$D$1162:$D$1166,"&gt;="&amp;DATE(YEAR_Y-2,1,1),'Fund History'!$D$1162:$D$1166,"&lt;="&amp;DATE(YEAR_Y-2,12,31)))))</f>
        <v/>
      </c>
      <c r="AT203" s="76">
        <f>IF($C203="","",IF(PULL_FUND="N","",IF(COUNTIFS('Fund History'!$D$1162:$D$1166,"&gt;="&amp;DATE(YEAR_Y-1,1,1),'Fund History'!$D$1162:$D$1166,"&lt;="&amp;DATE(YEAR_Y-1,12,31))=0,"",SUMIFS('Fund History'!$E$1162:$E$1166,'Fund History'!$D$1162:$D$1166,"&gt;="&amp;DATE(YEAR_Y-1,1,1),'Fund History'!$D$1162:$D$1166,"&lt;="&amp;DATE(YEAR_Y-1,12,31)))))</f>
        <v/>
      </c>
      <c r="AU203" s="76">
        <f>IF($C203="","",IF(PULL_FUND="N","",IFERROR(BDP($C203,NDEBITDA_FIELD),"")))</f>
        <v/>
      </c>
      <c r="AV203" s="84">
        <f>IF($C203="","",IF(PULL_FUND="N","",IFERROR(BDP($C203,EBINT_FIELD),"")))</f>
        <v/>
      </c>
      <c r="AW203" s="82">
        <f>IF($C203="","",IF(PULL_FUND="N","",IFERROR(BDP($C203,FCF_FIELD)/100,"")))</f>
        <v/>
      </c>
      <c r="AX203" s="50">
        <f>IF($C203="","",IF(N($U203)=0,"",IFERROR($AW203/$U203,"")))</f>
        <v/>
      </c>
      <c r="AY203" s="85">
        <f>IF($C203="","",TRIM(IF(ISNUMBER($AJ203)*(N($AJ203)&gt;$D$4)&gt;0,"payout high  ","")&amp;IF(ISNUMBER($AX203)*(N($AX203)&lt;$F$4)&gt;0,"FCF below dvd  ","")&amp;IF(ISNUMBER($AU203)*(N($AU203)&gt;$H$4)&gt;0,"leverage high","")))</f>
        <v/>
      </c>
      <c r="AZ203" s="86">
        <f>IF($C203="","",IF(HSCEI!$F$58="HKD","",HSCEI!$F$58))</f>
        <v/>
      </c>
    </row>
    <row r="204">
      <c r="B204" s="66" t="inlineStr">
        <is>
          <t>HSCEI</t>
        </is>
      </c>
      <c r="C204" s="8">
        <f>IF(HSCEI!$C$59="","",HSCEI!$C$59)</f>
        <v/>
      </c>
      <c r="D204" s="8">
        <f>IF($C204="","",HSCEI!$D$59)</f>
        <v/>
      </c>
      <c r="E204" s="8">
        <f>IF($C204="","",HSCEI!$E$59)</f>
        <v/>
      </c>
      <c r="F204" s="67">
        <f>IF($C204="","",SUMPRODUCT(('Dvd Calendar'!$E$2133:$AR$2133&gt;=DATE(YEAR_Y-5,1,1))*('Dvd Calendar'!$E$2133:$AR$2133&lt;=DATE(YEAR_Y-5,12,31))*'Dvd Calendar'!$E$2136:$AR$2136*(('Dvd Calendar'!$E$2138:$AR$2138=TYPE1)*(TYPE1&lt;&gt;"")+('Dvd Calendar'!$E$2138:$AR$2138=TYPE2)*(TYPE2&lt;&gt;"")+('Dvd Calendar'!$E$2138:$AR$2138=TYPE3)*(TYPE3&lt;&gt;"")+('Dvd Calendar'!$E$2138:$AR$2138=TYPE4)*(TYPE4&lt;&gt;"")+('Dvd Calendar'!$E$2138:$AR$2138=SPECIAL_LBL)*(INC_SPECIALS="Y"))))</f>
        <v/>
      </c>
      <c r="G204" s="68">
        <f>IF($C204="","",SUMPRODUCT(('Dvd Calendar'!$E$2133:$AR$2133&gt;=DATE(YEAR_Y-4,1,1))*('Dvd Calendar'!$E$2133:$AR$2133&lt;=DATE(YEAR_Y-4,12,31))*'Dvd Calendar'!$E$2136:$AR$2136*(('Dvd Calendar'!$E$2138:$AR$2138=TYPE1)*(TYPE1&lt;&gt;"")+('Dvd Calendar'!$E$2138:$AR$2138=TYPE2)*(TYPE2&lt;&gt;"")+('Dvd Calendar'!$E$2138:$AR$2138=TYPE3)*(TYPE3&lt;&gt;"")+('Dvd Calendar'!$E$2138:$AR$2138=TYPE4)*(TYPE4&lt;&gt;"")+('Dvd Calendar'!$E$2138:$AR$2138=SPECIAL_LBL)*(INC_SPECIALS="Y"))))</f>
        <v/>
      </c>
      <c r="H204" s="68">
        <f>IF($C204="","",SUMPRODUCT(('Dvd Calendar'!$E$2133:$AR$2133&gt;=DATE(YEAR_Y-3,1,1))*('Dvd Calendar'!$E$2133:$AR$2133&lt;=DATE(YEAR_Y-3,12,31))*'Dvd Calendar'!$E$2136:$AR$2136*(('Dvd Calendar'!$E$2138:$AR$2138=TYPE1)*(TYPE1&lt;&gt;"")+('Dvd Calendar'!$E$2138:$AR$2138=TYPE2)*(TYPE2&lt;&gt;"")+('Dvd Calendar'!$E$2138:$AR$2138=TYPE3)*(TYPE3&lt;&gt;"")+('Dvd Calendar'!$E$2138:$AR$2138=TYPE4)*(TYPE4&lt;&gt;"")+('Dvd Calendar'!$E$2138:$AR$2138=SPECIAL_LBL)*(INC_SPECIALS="Y"))))</f>
        <v/>
      </c>
      <c r="I204" s="68">
        <f>IF($C204="","",SUMPRODUCT(('Dvd Calendar'!$E$2133:$AR$2133&gt;=DATE(YEAR_Y-2,1,1))*('Dvd Calendar'!$E$2133:$AR$2133&lt;=DATE(YEAR_Y-2,12,31))*'Dvd Calendar'!$E$2136:$AR$2136*(('Dvd Calendar'!$E$2138:$AR$2138=TYPE1)*(TYPE1&lt;&gt;"")+('Dvd Calendar'!$E$2138:$AR$2138=TYPE2)*(TYPE2&lt;&gt;"")+('Dvd Calendar'!$E$2138:$AR$2138=TYPE3)*(TYPE3&lt;&gt;"")+('Dvd Calendar'!$E$2138:$AR$2138=TYPE4)*(TYPE4&lt;&gt;"")+('Dvd Calendar'!$E$2138:$AR$2138=SPECIAL_LBL)*(INC_SPECIALS="Y"))))</f>
        <v/>
      </c>
      <c r="J204" s="68">
        <f>IF($C204="","",SUMPRODUCT(('Dvd Calendar'!$E$2133:$AR$2133&gt;=DATE(YEAR_Y-1,1,1))*('Dvd Calendar'!$E$2133:$AR$2133&lt;=DATE(YEAR_Y-1,12,31))*'Dvd Calendar'!$E$2136:$AR$2136*(('Dvd Calendar'!$E$2138:$AR$2138=TYPE1)*(TYPE1&lt;&gt;"")+('Dvd Calendar'!$E$2138:$AR$2138=TYPE2)*(TYPE2&lt;&gt;"")+('Dvd Calendar'!$E$2138:$AR$2138=TYPE3)*(TYPE3&lt;&gt;"")+('Dvd Calendar'!$E$2138:$AR$2138=TYPE4)*(TYPE4&lt;&gt;"")+('Dvd Calendar'!$E$2138:$AR$2138=SPECIAL_LBL)*(INC_SPECIALS="Y"))))</f>
        <v/>
      </c>
      <c r="K204" s="69">
        <f>IF($C204="","",HSCEI!$J$59)</f>
        <v/>
      </c>
      <c r="L204" s="69">
        <f>IF($C204="","",HSCEI!$K$59)</f>
        <v/>
      </c>
      <c r="M204" s="44">
        <f>IF($C204="","",HSCEI!$J$59+HSCEI!$L$59)</f>
        <v/>
      </c>
      <c r="N204" s="70">
        <f>IF($C204="","",IF(PULL_FUND="N","",IFERROR(BDP($C204,BESTDPS_FIELD,FWD_OVERRIDE,TEXT(MOD(YEAR_Y,100),"00")&amp;"Y"),"")))</f>
        <v/>
      </c>
      <c r="O204" s="69">
        <f>IF($C204="","",AVERAGE(F204:J204))</f>
        <v/>
      </c>
      <c r="P204" s="71">
        <f>IF($C204="","",IF(PULL_FUND="N","",IF(COUNTIFS('Fund History'!$J$1168:$J$1172,"&gt;="&amp;DATE(YEAR_Y-5,1,1),'Fund History'!$J$1168:$J$1172,"&lt;="&amp;DATE(YEAR_Y-5,12,31))=0,"",IFERROR($F204*HSCEI!$G$59/SUMIFS('Fund History'!$K$1168:$K$1172,'Fund History'!$J$1168:$J$1172,"&gt;="&amp;DATE(YEAR_Y-5,1,1),'Fund History'!$J$1168:$J$1172,"&lt;="&amp;DATE(YEAR_Y-5,12,31)),""))))</f>
        <v/>
      </c>
      <c r="Q204" s="72">
        <f>IF($C204="","",IF(PULL_FUND="N","",IF(COUNTIFS('Fund History'!$J$1168:$J$1172,"&gt;="&amp;DATE(YEAR_Y-4,1,1),'Fund History'!$J$1168:$J$1172,"&lt;="&amp;DATE(YEAR_Y-4,12,31))=0,"",IFERROR($G204*HSCEI!$G$59/SUMIFS('Fund History'!$K$1168:$K$1172,'Fund History'!$J$1168:$J$1172,"&gt;="&amp;DATE(YEAR_Y-4,1,1),'Fund History'!$J$1168:$J$1172,"&lt;="&amp;DATE(YEAR_Y-4,12,31)),""))))</f>
        <v/>
      </c>
      <c r="R204" s="72">
        <f>IF($C204="","",IF(PULL_FUND="N","",IF(COUNTIFS('Fund History'!$J$1168:$J$1172,"&gt;="&amp;DATE(YEAR_Y-3,1,1),'Fund History'!$J$1168:$J$1172,"&lt;="&amp;DATE(YEAR_Y-3,12,31))=0,"",IFERROR($H204*HSCEI!$G$59/SUMIFS('Fund History'!$K$1168:$K$1172,'Fund History'!$J$1168:$J$1172,"&gt;="&amp;DATE(YEAR_Y-3,1,1),'Fund History'!$J$1168:$J$1172,"&lt;="&amp;DATE(YEAR_Y-3,12,31)),""))))</f>
        <v/>
      </c>
      <c r="S204" s="72">
        <f>IF($C204="","",IF(PULL_FUND="N","",IF(COUNTIFS('Fund History'!$J$1168:$J$1172,"&gt;="&amp;DATE(YEAR_Y-2,1,1),'Fund History'!$J$1168:$J$1172,"&lt;="&amp;DATE(YEAR_Y-2,12,31))=0,"",IFERROR($I204*HSCEI!$G$59/SUMIFS('Fund History'!$K$1168:$K$1172,'Fund History'!$J$1168:$J$1172,"&gt;="&amp;DATE(YEAR_Y-2,1,1),'Fund History'!$J$1168:$J$1172,"&lt;="&amp;DATE(YEAR_Y-2,12,31)),""))))</f>
        <v/>
      </c>
      <c r="T204" s="72">
        <f>IF($C204="","",IF(PULL_FUND="N","",IF(COUNTIFS('Fund History'!$J$1168:$J$1172,"&gt;="&amp;DATE(YEAR_Y-1,1,1),'Fund History'!$J$1168:$J$1172,"&lt;="&amp;DATE(YEAR_Y-1,12,31))=0,"",IFERROR($J204*HSCEI!$G$59/SUMIFS('Fund History'!$K$1168:$K$1172,'Fund History'!$J$1168:$J$1172,"&gt;="&amp;DATE(YEAR_Y-1,1,1),'Fund History'!$J$1168:$J$1172,"&lt;="&amp;DATE(YEAR_Y-1,12,31)),""))))</f>
        <v/>
      </c>
      <c r="U204" s="73">
        <f>IF($C204="","",IF(ISNUMBER(HSCEI!$I$59),HSCEI!$I$59/100,""))</f>
        <v/>
      </c>
      <c r="V204" s="74">
        <f>IF($C204="","",IF(ISNUMBER(HSCEI!$X$59),IFERROR($M204*HSCEI!$G$59/HSCEI!$X$59,""),""))</f>
        <v/>
      </c>
      <c r="W204" s="73">
        <f>IF($C204="","",IF(ISNUMBER($N204),IFERROR($N204*HSCEI!$G$59/HSCEI!$X$59,""),""))</f>
        <v/>
      </c>
      <c r="X204" s="75">
        <f>IF($C204="","",IF(PULL_FUND="N","",IFERROR(BDP($C204,EPS_FIELD,YR_OVERRIDE,TEXT(YEAR_Y-5,"0")),"")))</f>
        <v/>
      </c>
      <c r="Y204" s="76">
        <f>IF($C204="","",IF(PULL_FUND="N","",IFERROR(BDP($C204,EPS_FIELD,YR_OVERRIDE,TEXT(YEAR_Y-4,"0")),"")))</f>
        <v/>
      </c>
      <c r="Z204" s="76">
        <f>IF($C204="","",IF(PULL_FUND="N","",IFERROR(BDP($C204,EPS_FIELD,YR_OVERRIDE,TEXT(YEAR_Y-3,"0")),"")))</f>
        <v/>
      </c>
      <c r="AA204" s="76">
        <f>IF($C204="","",IF(PULL_FUND="N","",IFERROR(BDP($C204,EPS_FIELD,YR_OVERRIDE,TEXT(YEAR_Y-2,"0")),"")))</f>
        <v/>
      </c>
      <c r="AB204" s="76">
        <f>IF($C204="","",IF(PULL_FUND="N","",IFERROR(BDP($C204,EPS_FIELD,YR_OVERRIDE,TEXT(YEAR_Y-1,"0")),"")))</f>
        <v/>
      </c>
      <c r="AC204" s="50">
        <f>IF($C204="","",IFERROR(AVERAGE(X204:AB204),""))</f>
        <v/>
      </c>
      <c r="AD204" s="76">
        <f>IF($C204="","",IF(PULL_FUND="N","",IFERROR(BDP($C204,BESTEPS_FIELD,FWD_OVERRIDE,TEXT(MOD(YEAR_Y,100),"00")&amp;"Y"),"")))</f>
        <v/>
      </c>
      <c r="AE204" s="77">
        <f>IF($C204="","",IF(PULL_FUND="N","",IFERROR(BDP($C204,PAYOUT_FIELD,YR_OVERRIDE,TEXT(YEAR_Y-5,"0"))/100,"")))</f>
        <v/>
      </c>
      <c r="AF204" s="78">
        <f>IF($C204="","",IF(PULL_FUND="N","",IFERROR(BDP($C204,PAYOUT_FIELD,YR_OVERRIDE,TEXT(YEAR_Y-4,"0"))/100,"")))</f>
        <v/>
      </c>
      <c r="AG204" s="78">
        <f>IF($C204="","",IF(PULL_FUND="N","",IFERROR(BDP($C204,PAYOUT_FIELD,YR_OVERRIDE,TEXT(YEAR_Y-3,"0"))/100,"")))</f>
        <v/>
      </c>
      <c r="AH204" s="78">
        <f>IF($C204="","",IF(PULL_FUND="N","",IFERROR(BDP($C204,PAYOUT_FIELD,YR_OVERRIDE,TEXT(YEAR_Y-2,"0"))/100,"")))</f>
        <v/>
      </c>
      <c r="AI204" s="78">
        <f>IF($C204="","",IF(PULL_FUND="N","",IFERROR(BDP($C204,PAYOUT_FIELD,YR_OVERRIDE,TEXT(YEAR_Y-1,"0"))/100,"")))</f>
        <v/>
      </c>
      <c r="AJ204" s="79">
        <f>IF($C204="","",IFERROR(AVERAGE(AE204:AI204),""))</f>
        <v/>
      </c>
      <c r="AK204" s="80">
        <f>IF($C204="","",IF(ISNUMBER($AD204)*ISNUMBER($N204)*($AD204&lt;&gt;0)=0,"",$N204/$AD204))</f>
        <v/>
      </c>
      <c r="AL204" s="79">
        <f>IF($C204="","",IF(ISNUMBER($AD204)*($AD204&lt;&gt;0)=0,"",$M204/$AD204))</f>
        <v/>
      </c>
      <c r="AM204" s="37">
        <f>IF($C204="","",IF(ISNUMBER($AE204)*ISNUMBER($AI204)=0,"",IF($AI204&gt;$AE204+0.05,"rising",IF($AI204&lt;$AE204-0.05,"falling","stable"))))</f>
        <v/>
      </c>
      <c r="AN204" s="81">
        <f>IF($C204="","",IF(PULL_FUND="N","",IF(COUNTIFS('Fund History'!$G$1168:$G$1172,"&gt;="&amp;DATE(YEAR_Y-4,1,1),'Fund History'!$G$1168:$G$1172,"&lt;="&amp;DATE(YEAR_Y-4,12,31))=0,"",SUMIFS('Fund History'!$H$1168:$H$1172,'Fund History'!$G$1168:$G$1172,"&gt;="&amp;DATE(YEAR_Y-4,1,1),'Fund History'!$G$1168:$G$1172,"&lt;="&amp;DATE(YEAR_Y-4,12,31))/100)))</f>
        <v/>
      </c>
      <c r="AO204" s="82">
        <f>IF($C204="","",IF(PULL_FUND="N","",IF(COUNTIFS('Fund History'!$G$1168:$G$1172,"&gt;="&amp;DATE(YEAR_Y-3,1,1),'Fund History'!$G$1168:$G$1172,"&lt;="&amp;DATE(YEAR_Y-3,12,31))=0,"",SUMIFS('Fund History'!$H$1168:$H$1172,'Fund History'!$G$1168:$G$1172,"&gt;="&amp;DATE(YEAR_Y-3,1,1),'Fund History'!$G$1168:$G$1172,"&lt;="&amp;DATE(YEAR_Y-3,12,31))/100)))</f>
        <v/>
      </c>
      <c r="AP204" s="82">
        <f>IF($C204="","",IF(PULL_FUND="N","",IF(COUNTIFS('Fund History'!$G$1168:$G$1172,"&gt;="&amp;DATE(YEAR_Y-2,1,1),'Fund History'!$G$1168:$G$1172,"&lt;="&amp;DATE(YEAR_Y-2,12,31))=0,"",SUMIFS('Fund History'!$H$1168:$H$1172,'Fund History'!$G$1168:$G$1172,"&gt;="&amp;DATE(YEAR_Y-2,1,1),'Fund History'!$G$1168:$G$1172,"&lt;="&amp;DATE(YEAR_Y-2,12,31))/100)))</f>
        <v/>
      </c>
      <c r="AQ204" s="82">
        <f>IF($C204="","",IF(PULL_FUND="N","",IF(COUNTIFS('Fund History'!$G$1168:$G$1172,"&gt;="&amp;DATE(YEAR_Y-1,1,1),'Fund History'!$G$1168:$G$1172,"&lt;="&amp;DATE(YEAR_Y-1,12,31))=0,"",SUMIFS('Fund History'!$H$1168:$H$1172,'Fund History'!$G$1168:$G$1172,"&gt;="&amp;DATE(YEAR_Y-1,1,1),'Fund History'!$G$1168:$G$1172,"&lt;="&amp;DATE(YEAR_Y-1,12,31))/100)))</f>
        <v/>
      </c>
      <c r="AR204" s="83">
        <f>IF($C204="","",IF(N($AQ204)+N(HSCEI!$I$59)=0,"",N($AQ204)+N(HSCEI!$I$59)/100))</f>
        <v/>
      </c>
      <c r="AS204" s="75">
        <f>IF($C204="","",IF(PULL_FUND="N","",IF(COUNTIFS('Fund History'!$D$1168:$D$1172,"&gt;="&amp;DATE(YEAR_Y-2,1,1),'Fund History'!$D$1168:$D$1172,"&lt;="&amp;DATE(YEAR_Y-2,12,31))=0,"",SUMIFS('Fund History'!$E$1168:$E$1172,'Fund History'!$D$1168:$D$1172,"&gt;="&amp;DATE(YEAR_Y-2,1,1),'Fund History'!$D$1168:$D$1172,"&lt;="&amp;DATE(YEAR_Y-2,12,31)))))</f>
        <v/>
      </c>
      <c r="AT204" s="76">
        <f>IF($C204="","",IF(PULL_FUND="N","",IF(COUNTIFS('Fund History'!$D$1168:$D$1172,"&gt;="&amp;DATE(YEAR_Y-1,1,1),'Fund History'!$D$1168:$D$1172,"&lt;="&amp;DATE(YEAR_Y-1,12,31))=0,"",SUMIFS('Fund History'!$E$1168:$E$1172,'Fund History'!$D$1168:$D$1172,"&gt;="&amp;DATE(YEAR_Y-1,1,1),'Fund History'!$D$1168:$D$1172,"&lt;="&amp;DATE(YEAR_Y-1,12,31)))))</f>
        <v/>
      </c>
      <c r="AU204" s="76">
        <f>IF($C204="","",IF(PULL_FUND="N","",IFERROR(BDP($C204,NDEBITDA_FIELD),"")))</f>
        <v/>
      </c>
      <c r="AV204" s="84">
        <f>IF($C204="","",IF(PULL_FUND="N","",IFERROR(BDP($C204,EBINT_FIELD),"")))</f>
        <v/>
      </c>
      <c r="AW204" s="82">
        <f>IF($C204="","",IF(PULL_FUND="N","",IFERROR(BDP($C204,FCF_FIELD)/100,"")))</f>
        <v/>
      </c>
      <c r="AX204" s="50">
        <f>IF($C204="","",IF(N($U204)=0,"",IFERROR($AW204/$U204,"")))</f>
        <v/>
      </c>
      <c r="AY204" s="85">
        <f>IF($C204="","",TRIM(IF(ISNUMBER($AJ204)*(N($AJ204)&gt;$D$4)&gt;0,"payout high  ","")&amp;IF(ISNUMBER($AX204)*(N($AX204)&lt;$F$4)&gt;0,"FCF below dvd  ","")&amp;IF(ISNUMBER($AU204)*(N($AU204)&gt;$H$4)&gt;0,"leverage high","")))</f>
        <v/>
      </c>
      <c r="AZ204" s="86">
        <f>IF($C204="","",IF(HSCEI!$F$59="HKD","",HSCEI!$F$59))</f>
        <v/>
      </c>
    </row>
    <row r="205">
      <c r="B205" s="66" t="inlineStr">
        <is>
          <t>HSCEI</t>
        </is>
      </c>
      <c r="C205" s="8">
        <f>IF(HSCEI!$C$60="","",HSCEI!$C$60)</f>
        <v/>
      </c>
      <c r="D205" s="8">
        <f>IF($C205="","",HSCEI!$D$60)</f>
        <v/>
      </c>
      <c r="E205" s="8">
        <f>IF($C205="","",HSCEI!$E$60)</f>
        <v/>
      </c>
      <c r="F205" s="67">
        <f>IF($C205="","",SUMPRODUCT(('Dvd Calendar'!$E$2144:$AR$2144&gt;=DATE(YEAR_Y-5,1,1))*('Dvd Calendar'!$E$2144:$AR$2144&lt;=DATE(YEAR_Y-5,12,31))*'Dvd Calendar'!$E$2147:$AR$2147*(('Dvd Calendar'!$E$2149:$AR$2149=TYPE1)*(TYPE1&lt;&gt;"")+('Dvd Calendar'!$E$2149:$AR$2149=TYPE2)*(TYPE2&lt;&gt;"")+('Dvd Calendar'!$E$2149:$AR$2149=TYPE3)*(TYPE3&lt;&gt;"")+('Dvd Calendar'!$E$2149:$AR$2149=TYPE4)*(TYPE4&lt;&gt;"")+('Dvd Calendar'!$E$2149:$AR$2149=SPECIAL_LBL)*(INC_SPECIALS="Y"))))</f>
        <v/>
      </c>
      <c r="G205" s="68">
        <f>IF($C205="","",SUMPRODUCT(('Dvd Calendar'!$E$2144:$AR$2144&gt;=DATE(YEAR_Y-4,1,1))*('Dvd Calendar'!$E$2144:$AR$2144&lt;=DATE(YEAR_Y-4,12,31))*'Dvd Calendar'!$E$2147:$AR$2147*(('Dvd Calendar'!$E$2149:$AR$2149=TYPE1)*(TYPE1&lt;&gt;"")+('Dvd Calendar'!$E$2149:$AR$2149=TYPE2)*(TYPE2&lt;&gt;"")+('Dvd Calendar'!$E$2149:$AR$2149=TYPE3)*(TYPE3&lt;&gt;"")+('Dvd Calendar'!$E$2149:$AR$2149=TYPE4)*(TYPE4&lt;&gt;"")+('Dvd Calendar'!$E$2149:$AR$2149=SPECIAL_LBL)*(INC_SPECIALS="Y"))))</f>
        <v/>
      </c>
      <c r="H205" s="68">
        <f>IF($C205="","",SUMPRODUCT(('Dvd Calendar'!$E$2144:$AR$2144&gt;=DATE(YEAR_Y-3,1,1))*('Dvd Calendar'!$E$2144:$AR$2144&lt;=DATE(YEAR_Y-3,12,31))*'Dvd Calendar'!$E$2147:$AR$2147*(('Dvd Calendar'!$E$2149:$AR$2149=TYPE1)*(TYPE1&lt;&gt;"")+('Dvd Calendar'!$E$2149:$AR$2149=TYPE2)*(TYPE2&lt;&gt;"")+('Dvd Calendar'!$E$2149:$AR$2149=TYPE3)*(TYPE3&lt;&gt;"")+('Dvd Calendar'!$E$2149:$AR$2149=TYPE4)*(TYPE4&lt;&gt;"")+('Dvd Calendar'!$E$2149:$AR$2149=SPECIAL_LBL)*(INC_SPECIALS="Y"))))</f>
        <v/>
      </c>
      <c r="I205" s="68">
        <f>IF($C205="","",SUMPRODUCT(('Dvd Calendar'!$E$2144:$AR$2144&gt;=DATE(YEAR_Y-2,1,1))*('Dvd Calendar'!$E$2144:$AR$2144&lt;=DATE(YEAR_Y-2,12,31))*'Dvd Calendar'!$E$2147:$AR$2147*(('Dvd Calendar'!$E$2149:$AR$2149=TYPE1)*(TYPE1&lt;&gt;"")+('Dvd Calendar'!$E$2149:$AR$2149=TYPE2)*(TYPE2&lt;&gt;"")+('Dvd Calendar'!$E$2149:$AR$2149=TYPE3)*(TYPE3&lt;&gt;"")+('Dvd Calendar'!$E$2149:$AR$2149=TYPE4)*(TYPE4&lt;&gt;"")+('Dvd Calendar'!$E$2149:$AR$2149=SPECIAL_LBL)*(INC_SPECIALS="Y"))))</f>
        <v/>
      </c>
      <c r="J205" s="68">
        <f>IF($C205="","",SUMPRODUCT(('Dvd Calendar'!$E$2144:$AR$2144&gt;=DATE(YEAR_Y-1,1,1))*('Dvd Calendar'!$E$2144:$AR$2144&lt;=DATE(YEAR_Y-1,12,31))*'Dvd Calendar'!$E$2147:$AR$2147*(('Dvd Calendar'!$E$2149:$AR$2149=TYPE1)*(TYPE1&lt;&gt;"")+('Dvd Calendar'!$E$2149:$AR$2149=TYPE2)*(TYPE2&lt;&gt;"")+('Dvd Calendar'!$E$2149:$AR$2149=TYPE3)*(TYPE3&lt;&gt;"")+('Dvd Calendar'!$E$2149:$AR$2149=TYPE4)*(TYPE4&lt;&gt;"")+('Dvd Calendar'!$E$2149:$AR$2149=SPECIAL_LBL)*(INC_SPECIALS="Y"))))</f>
        <v/>
      </c>
      <c r="K205" s="69">
        <f>IF($C205="","",HSCEI!$J$60)</f>
        <v/>
      </c>
      <c r="L205" s="69">
        <f>IF($C205="","",HSCEI!$K$60)</f>
        <v/>
      </c>
      <c r="M205" s="44">
        <f>IF($C205="","",HSCEI!$J$60+HSCEI!$L$60)</f>
        <v/>
      </c>
      <c r="N205" s="70">
        <f>IF($C205="","",IF(PULL_FUND="N","",IFERROR(BDP($C205,BESTDPS_FIELD,FWD_OVERRIDE,TEXT(MOD(YEAR_Y,100),"00")&amp;"Y"),"")))</f>
        <v/>
      </c>
      <c r="O205" s="69">
        <f>IF($C205="","",AVERAGE(F205:J205))</f>
        <v/>
      </c>
      <c r="P205" s="71">
        <f>IF($C205="","",IF(PULL_FUND="N","",IF(COUNTIFS('Fund History'!$J$1174:$J$1178,"&gt;="&amp;DATE(YEAR_Y-5,1,1),'Fund History'!$J$1174:$J$1178,"&lt;="&amp;DATE(YEAR_Y-5,12,31))=0,"",IFERROR($F205*HSCEI!$G$60/SUMIFS('Fund History'!$K$1174:$K$1178,'Fund History'!$J$1174:$J$1178,"&gt;="&amp;DATE(YEAR_Y-5,1,1),'Fund History'!$J$1174:$J$1178,"&lt;="&amp;DATE(YEAR_Y-5,12,31)),""))))</f>
        <v/>
      </c>
      <c r="Q205" s="72">
        <f>IF($C205="","",IF(PULL_FUND="N","",IF(COUNTIFS('Fund History'!$J$1174:$J$1178,"&gt;="&amp;DATE(YEAR_Y-4,1,1),'Fund History'!$J$1174:$J$1178,"&lt;="&amp;DATE(YEAR_Y-4,12,31))=0,"",IFERROR($G205*HSCEI!$G$60/SUMIFS('Fund History'!$K$1174:$K$1178,'Fund History'!$J$1174:$J$1178,"&gt;="&amp;DATE(YEAR_Y-4,1,1),'Fund History'!$J$1174:$J$1178,"&lt;="&amp;DATE(YEAR_Y-4,12,31)),""))))</f>
        <v/>
      </c>
      <c r="R205" s="72">
        <f>IF($C205="","",IF(PULL_FUND="N","",IF(COUNTIFS('Fund History'!$J$1174:$J$1178,"&gt;="&amp;DATE(YEAR_Y-3,1,1),'Fund History'!$J$1174:$J$1178,"&lt;="&amp;DATE(YEAR_Y-3,12,31))=0,"",IFERROR($H205*HSCEI!$G$60/SUMIFS('Fund History'!$K$1174:$K$1178,'Fund History'!$J$1174:$J$1178,"&gt;="&amp;DATE(YEAR_Y-3,1,1),'Fund History'!$J$1174:$J$1178,"&lt;="&amp;DATE(YEAR_Y-3,12,31)),""))))</f>
        <v/>
      </c>
      <c r="S205" s="72">
        <f>IF($C205="","",IF(PULL_FUND="N","",IF(COUNTIFS('Fund History'!$J$1174:$J$1178,"&gt;="&amp;DATE(YEAR_Y-2,1,1),'Fund History'!$J$1174:$J$1178,"&lt;="&amp;DATE(YEAR_Y-2,12,31))=0,"",IFERROR($I205*HSCEI!$G$60/SUMIFS('Fund History'!$K$1174:$K$1178,'Fund History'!$J$1174:$J$1178,"&gt;="&amp;DATE(YEAR_Y-2,1,1),'Fund History'!$J$1174:$J$1178,"&lt;="&amp;DATE(YEAR_Y-2,12,31)),""))))</f>
        <v/>
      </c>
      <c r="T205" s="72">
        <f>IF($C205="","",IF(PULL_FUND="N","",IF(COUNTIFS('Fund History'!$J$1174:$J$1178,"&gt;="&amp;DATE(YEAR_Y-1,1,1),'Fund History'!$J$1174:$J$1178,"&lt;="&amp;DATE(YEAR_Y-1,12,31))=0,"",IFERROR($J205*HSCEI!$G$60/SUMIFS('Fund History'!$K$1174:$K$1178,'Fund History'!$J$1174:$J$1178,"&gt;="&amp;DATE(YEAR_Y-1,1,1),'Fund History'!$J$1174:$J$1178,"&lt;="&amp;DATE(YEAR_Y-1,12,31)),""))))</f>
        <v/>
      </c>
      <c r="U205" s="73">
        <f>IF($C205="","",IF(ISNUMBER(HSCEI!$I$60),HSCEI!$I$60/100,""))</f>
        <v/>
      </c>
      <c r="V205" s="74">
        <f>IF($C205="","",IF(ISNUMBER(HSCEI!$X$60),IFERROR($M205*HSCEI!$G$60/HSCEI!$X$60,""),""))</f>
        <v/>
      </c>
      <c r="W205" s="73">
        <f>IF($C205="","",IF(ISNUMBER($N205),IFERROR($N205*HSCEI!$G$60/HSCEI!$X$60,""),""))</f>
        <v/>
      </c>
      <c r="X205" s="75">
        <f>IF($C205="","",IF(PULL_FUND="N","",IFERROR(BDP($C205,EPS_FIELD,YR_OVERRIDE,TEXT(YEAR_Y-5,"0")),"")))</f>
        <v/>
      </c>
      <c r="Y205" s="76">
        <f>IF($C205="","",IF(PULL_FUND="N","",IFERROR(BDP($C205,EPS_FIELD,YR_OVERRIDE,TEXT(YEAR_Y-4,"0")),"")))</f>
        <v/>
      </c>
      <c r="Z205" s="76">
        <f>IF($C205="","",IF(PULL_FUND="N","",IFERROR(BDP($C205,EPS_FIELD,YR_OVERRIDE,TEXT(YEAR_Y-3,"0")),"")))</f>
        <v/>
      </c>
      <c r="AA205" s="76">
        <f>IF($C205="","",IF(PULL_FUND="N","",IFERROR(BDP($C205,EPS_FIELD,YR_OVERRIDE,TEXT(YEAR_Y-2,"0")),"")))</f>
        <v/>
      </c>
      <c r="AB205" s="76">
        <f>IF($C205="","",IF(PULL_FUND="N","",IFERROR(BDP($C205,EPS_FIELD,YR_OVERRIDE,TEXT(YEAR_Y-1,"0")),"")))</f>
        <v/>
      </c>
      <c r="AC205" s="50">
        <f>IF($C205="","",IFERROR(AVERAGE(X205:AB205),""))</f>
        <v/>
      </c>
      <c r="AD205" s="76">
        <f>IF($C205="","",IF(PULL_FUND="N","",IFERROR(BDP($C205,BESTEPS_FIELD,FWD_OVERRIDE,TEXT(MOD(YEAR_Y,100),"00")&amp;"Y"),"")))</f>
        <v/>
      </c>
      <c r="AE205" s="77">
        <f>IF($C205="","",IF(PULL_FUND="N","",IFERROR(BDP($C205,PAYOUT_FIELD,YR_OVERRIDE,TEXT(YEAR_Y-5,"0"))/100,"")))</f>
        <v/>
      </c>
      <c r="AF205" s="78">
        <f>IF($C205="","",IF(PULL_FUND="N","",IFERROR(BDP($C205,PAYOUT_FIELD,YR_OVERRIDE,TEXT(YEAR_Y-4,"0"))/100,"")))</f>
        <v/>
      </c>
      <c r="AG205" s="78">
        <f>IF($C205="","",IF(PULL_FUND="N","",IFERROR(BDP($C205,PAYOUT_FIELD,YR_OVERRIDE,TEXT(YEAR_Y-3,"0"))/100,"")))</f>
        <v/>
      </c>
      <c r="AH205" s="78">
        <f>IF($C205="","",IF(PULL_FUND="N","",IFERROR(BDP($C205,PAYOUT_FIELD,YR_OVERRIDE,TEXT(YEAR_Y-2,"0"))/100,"")))</f>
        <v/>
      </c>
      <c r="AI205" s="78">
        <f>IF($C205="","",IF(PULL_FUND="N","",IFERROR(BDP($C205,PAYOUT_FIELD,YR_OVERRIDE,TEXT(YEAR_Y-1,"0"))/100,"")))</f>
        <v/>
      </c>
      <c r="AJ205" s="79">
        <f>IF($C205="","",IFERROR(AVERAGE(AE205:AI205),""))</f>
        <v/>
      </c>
      <c r="AK205" s="80">
        <f>IF($C205="","",IF(ISNUMBER($AD205)*ISNUMBER($N205)*($AD205&lt;&gt;0)=0,"",$N205/$AD205))</f>
        <v/>
      </c>
      <c r="AL205" s="79">
        <f>IF($C205="","",IF(ISNUMBER($AD205)*($AD205&lt;&gt;0)=0,"",$M205/$AD205))</f>
        <v/>
      </c>
      <c r="AM205" s="37">
        <f>IF($C205="","",IF(ISNUMBER($AE205)*ISNUMBER($AI205)=0,"",IF($AI205&gt;$AE205+0.05,"rising",IF($AI205&lt;$AE205-0.05,"falling","stable"))))</f>
        <v/>
      </c>
      <c r="AN205" s="81">
        <f>IF($C205="","",IF(PULL_FUND="N","",IF(COUNTIFS('Fund History'!$G$1174:$G$1178,"&gt;="&amp;DATE(YEAR_Y-4,1,1),'Fund History'!$G$1174:$G$1178,"&lt;="&amp;DATE(YEAR_Y-4,12,31))=0,"",SUMIFS('Fund History'!$H$1174:$H$1178,'Fund History'!$G$1174:$G$1178,"&gt;="&amp;DATE(YEAR_Y-4,1,1),'Fund History'!$G$1174:$G$1178,"&lt;="&amp;DATE(YEAR_Y-4,12,31))/100)))</f>
        <v/>
      </c>
      <c r="AO205" s="82">
        <f>IF($C205="","",IF(PULL_FUND="N","",IF(COUNTIFS('Fund History'!$G$1174:$G$1178,"&gt;="&amp;DATE(YEAR_Y-3,1,1),'Fund History'!$G$1174:$G$1178,"&lt;="&amp;DATE(YEAR_Y-3,12,31))=0,"",SUMIFS('Fund History'!$H$1174:$H$1178,'Fund History'!$G$1174:$G$1178,"&gt;="&amp;DATE(YEAR_Y-3,1,1),'Fund History'!$G$1174:$G$1178,"&lt;="&amp;DATE(YEAR_Y-3,12,31))/100)))</f>
        <v/>
      </c>
      <c r="AP205" s="82">
        <f>IF($C205="","",IF(PULL_FUND="N","",IF(COUNTIFS('Fund History'!$G$1174:$G$1178,"&gt;="&amp;DATE(YEAR_Y-2,1,1),'Fund History'!$G$1174:$G$1178,"&lt;="&amp;DATE(YEAR_Y-2,12,31))=0,"",SUMIFS('Fund History'!$H$1174:$H$1178,'Fund History'!$G$1174:$G$1178,"&gt;="&amp;DATE(YEAR_Y-2,1,1),'Fund History'!$G$1174:$G$1178,"&lt;="&amp;DATE(YEAR_Y-2,12,31))/100)))</f>
        <v/>
      </c>
      <c r="AQ205" s="82">
        <f>IF($C205="","",IF(PULL_FUND="N","",IF(COUNTIFS('Fund History'!$G$1174:$G$1178,"&gt;="&amp;DATE(YEAR_Y-1,1,1),'Fund History'!$G$1174:$G$1178,"&lt;="&amp;DATE(YEAR_Y-1,12,31))=0,"",SUMIFS('Fund History'!$H$1174:$H$1178,'Fund History'!$G$1174:$G$1178,"&gt;="&amp;DATE(YEAR_Y-1,1,1),'Fund History'!$G$1174:$G$1178,"&lt;="&amp;DATE(YEAR_Y-1,12,31))/100)))</f>
        <v/>
      </c>
      <c r="AR205" s="83">
        <f>IF($C205="","",IF(N($AQ205)+N(HSCEI!$I$60)=0,"",N($AQ205)+N(HSCEI!$I$60)/100))</f>
        <v/>
      </c>
      <c r="AS205" s="75">
        <f>IF($C205="","",IF(PULL_FUND="N","",IF(COUNTIFS('Fund History'!$D$1174:$D$1178,"&gt;="&amp;DATE(YEAR_Y-2,1,1),'Fund History'!$D$1174:$D$1178,"&lt;="&amp;DATE(YEAR_Y-2,12,31))=0,"",SUMIFS('Fund History'!$E$1174:$E$1178,'Fund History'!$D$1174:$D$1178,"&gt;="&amp;DATE(YEAR_Y-2,1,1),'Fund History'!$D$1174:$D$1178,"&lt;="&amp;DATE(YEAR_Y-2,12,31)))))</f>
        <v/>
      </c>
      <c r="AT205" s="76">
        <f>IF($C205="","",IF(PULL_FUND="N","",IF(COUNTIFS('Fund History'!$D$1174:$D$1178,"&gt;="&amp;DATE(YEAR_Y-1,1,1),'Fund History'!$D$1174:$D$1178,"&lt;="&amp;DATE(YEAR_Y-1,12,31))=0,"",SUMIFS('Fund History'!$E$1174:$E$1178,'Fund History'!$D$1174:$D$1178,"&gt;="&amp;DATE(YEAR_Y-1,1,1),'Fund History'!$D$1174:$D$1178,"&lt;="&amp;DATE(YEAR_Y-1,12,31)))))</f>
        <v/>
      </c>
      <c r="AU205" s="76">
        <f>IF($C205="","",IF(PULL_FUND="N","",IFERROR(BDP($C205,NDEBITDA_FIELD),"")))</f>
        <v/>
      </c>
      <c r="AV205" s="84">
        <f>IF($C205="","",IF(PULL_FUND="N","",IFERROR(BDP($C205,EBINT_FIELD),"")))</f>
        <v/>
      </c>
      <c r="AW205" s="82">
        <f>IF($C205="","",IF(PULL_FUND="N","",IFERROR(BDP($C205,FCF_FIELD)/100,"")))</f>
        <v/>
      </c>
      <c r="AX205" s="50">
        <f>IF($C205="","",IF(N($U205)=0,"",IFERROR($AW205/$U205,"")))</f>
        <v/>
      </c>
      <c r="AY205" s="85">
        <f>IF($C205="","",TRIM(IF(ISNUMBER($AJ205)*(N($AJ205)&gt;$D$4)&gt;0,"payout high  ","")&amp;IF(ISNUMBER($AX205)*(N($AX205)&lt;$F$4)&gt;0,"FCF below dvd  ","")&amp;IF(ISNUMBER($AU205)*(N($AU205)&gt;$H$4)&gt;0,"leverage high","")))</f>
        <v/>
      </c>
      <c r="AZ205" s="86">
        <f>IF($C205="","",IF(HSCEI!$F$60="HKD","",HSCEI!$F$60))</f>
        <v/>
      </c>
    </row>
    <row r="206">
      <c r="B206" s="66" t="inlineStr">
        <is>
          <t>HSCEI</t>
        </is>
      </c>
      <c r="C206" s="8">
        <f>IF(HSCEI!$C$61="","",HSCEI!$C$61)</f>
        <v/>
      </c>
      <c r="D206" s="8">
        <f>IF($C206="","",HSCEI!$D$61)</f>
        <v/>
      </c>
      <c r="E206" s="8">
        <f>IF($C206="","",HSCEI!$E$61)</f>
        <v/>
      </c>
      <c r="F206" s="67">
        <f>IF($C206="","",SUMPRODUCT(('Dvd Calendar'!$E$2155:$AR$2155&gt;=DATE(YEAR_Y-5,1,1))*('Dvd Calendar'!$E$2155:$AR$2155&lt;=DATE(YEAR_Y-5,12,31))*'Dvd Calendar'!$E$2158:$AR$2158*(('Dvd Calendar'!$E$2160:$AR$2160=TYPE1)*(TYPE1&lt;&gt;"")+('Dvd Calendar'!$E$2160:$AR$2160=TYPE2)*(TYPE2&lt;&gt;"")+('Dvd Calendar'!$E$2160:$AR$2160=TYPE3)*(TYPE3&lt;&gt;"")+('Dvd Calendar'!$E$2160:$AR$2160=TYPE4)*(TYPE4&lt;&gt;"")+('Dvd Calendar'!$E$2160:$AR$2160=SPECIAL_LBL)*(INC_SPECIALS="Y"))))</f>
        <v/>
      </c>
      <c r="G206" s="68">
        <f>IF($C206="","",SUMPRODUCT(('Dvd Calendar'!$E$2155:$AR$2155&gt;=DATE(YEAR_Y-4,1,1))*('Dvd Calendar'!$E$2155:$AR$2155&lt;=DATE(YEAR_Y-4,12,31))*'Dvd Calendar'!$E$2158:$AR$2158*(('Dvd Calendar'!$E$2160:$AR$2160=TYPE1)*(TYPE1&lt;&gt;"")+('Dvd Calendar'!$E$2160:$AR$2160=TYPE2)*(TYPE2&lt;&gt;"")+('Dvd Calendar'!$E$2160:$AR$2160=TYPE3)*(TYPE3&lt;&gt;"")+('Dvd Calendar'!$E$2160:$AR$2160=TYPE4)*(TYPE4&lt;&gt;"")+('Dvd Calendar'!$E$2160:$AR$2160=SPECIAL_LBL)*(INC_SPECIALS="Y"))))</f>
        <v/>
      </c>
      <c r="H206" s="68">
        <f>IF($C206="","",SUMPRODUCT(('Dvd Calendar'!$E$2155:$AR$2155&gt;=DATE(YEAR_Y-3,1,1))*('Dvd Calendar'!$E$2155:$AR$2155&lt;=DATE(YEAR_Y-3,12,31))*'Dvd Calendar'!$E$2158:$AR$2158*(('Dvd Calendar'!$E$2160:$AR$2160=TYPE1)*(TYPE1&lt;&gt;"")+('Dvd Calendar'!$E$2160:$AR$2160=TYPE2)*(TYPE2&lt;&gt;"")+('Dvd Calendar'!$E$2160:$AR$2160=TYPE3)*(TYPE3&lt;&gt;"")+('Dvd Calendar'!$E$2160:$AR$2160=TYPE4)*(TYPE4&lt;&gt;"")+('Dvd Calendar'!$E$2160:$AR$2160=SPECIAL_LBL)*(INC_SPECIALS="Y"))))</f>
        <v/>
      </c>
      <c r="I206" s="68">
        <f>IF($C206="","",SUMPRODUCT(('Dvd Calendar'!$E$2155:$AR$2155&gt;=DATE(YEAR_Y-2,1,1))*('Dvd Calendar'!$E$2155:$AR$2155&lt;=DATE(YEAR_Y-2,12,31))*'Dvd Calendar'!$E$2158:$AR$2158*(('Dvd Calendar'!$E$2160:$AR$2160=TYPE1)*(TYPE1&lt;&gt;"")+('Dvd Calendar'!$E$2160:$AR$2160=TYPE2)*(TYPE2&lt;&gt;"")+('Dvd Calendar'!$E$2160:$AR$2160=TYPE3)*(TYPE3&lt;&gt;"")+('Dvd Calendar'!$E$2160:$AR$2160=TYPE4)*(TYPE4&lt;&gt;"")+('Dvd Calendar'!$E$2160:$AR$2160=SPECIAL_LBL)*(INC_SPECIALS="Y"))))</f>
        <v/>
      </c>
      <c r="J206" s="68">
        <f>IF($C206="","",SUMPRODUCT(('Dvd Calendar'!$E$2155:$AR$2155&gt;=DATE(YEAR_Y-1,1,1))*('Dvd Calendar'!$E$2155:$AR$2155&lt;=DATE(YEAR_Y-1,12,31))*'Dvd Calendar'!$E$2158:$AR$2158*(('Dvd Calendar'!$E$2160:$AR$2160=TYPE1)*(TYPE1&lt;&gt;"")+('Dvd Calendar'!$E$2160:$AR$2160=TYPE2)*(TYPE2&lt;&gt;"")+('Dvd Calendar'!$E$2160:$AR$2160=TYPE3)*(TYPE3&lt;&gt;"")+('Dvd Calendar'!$E$2160:$AR$2160=TYPE4)*(TYPE4&lt;&gt;"")+('Dvd Calendar'!$E$2160:$AR$2160=SPECIAL_LBL)*(INC_SPECIALS="Y"))))</f>
        <v/>
      </c>
      <c r="K206" s="69">
        <f>IF($C206="","",HSCEI!$J$61)</f>
        <v/>
      </c>
      <c r="L206" s="69">
        <f>IF($C206="","",HSCEI!$K$61)</f>
        <v/>
      </c>
      <c r="M206" s="44">
        <f>IF($C206="","",HSCEI!$J$61+HSCEI!$L$61)</f>
        <v/>
      </c>
      <c r="N206" s="70">
        <f>IF($C206="","",IF(PULL_FUND="N","",IFERROR(BDP($C206,BESTDPS_FIELD,FWD_OVERRIDE,TEXT(MOD(YEAR_Y,100),"00")&amp;"Y"),"")))</f>
        <v/>
      </c>
      <c r="O206" s="69">
        <f>IF($C206="","",AVERAGE(F206:J206))</f>
        <v/>
      </c>
      <c r="P206" s="71">
        <f>IF($C206="","",IF(PULL_FUND="N","",IF(COUNTIFS('Fund History'!$J$1180:$J$1184,"&gt;="&amp;DATE(YEAR_Y-5,1,1),'Fund History'!$J$1180:$J$1184,"&lt;="&amp;DATE(YEAR_Y-5,12,31))=0,"",IFERROR($F206*HSCEI!$G$61/SUMIFS('Fund History'!$K$1180:$K$1184,'Fund History'!$J$1180:$J$1184,"&gt;="&amp;DATE(YEAR_Y-5,1,1),'Fund History'!$J$1180:$J$1184,"&lt;="&amp;DATE(YEAR_Y-5,12,31)),""))))</f>
        <v/>
      </c>
      <c r="Q206" s="72">
        <f>IF($C206="","",IF(PULL_FUND="N","",IF(COUNTIFS('Fund History'!$J$1180:$J$1184,"&gt;="&amp;DATE(YEAR_Y-4,1,1),'Fund History'!$J$1180:$J$1184,"&lt;="&amp;DATE(YEAR_Y-4,12,31))=0,"",IFERROR($G206*HSCEI!$G$61/SUMIFS('Fund History'!$K$1180:$K$1184,'Fund History'!$J$1180:$J$1184,"&gt;="&amp;DATE(YEAR_Y-4,1,1),'Fund History'!$J$1180:$J$1184,"&lt;="&amp;DATE(YEAR_Y-4,12,31)),""))))</f>
        <v/>
      </c>
      <c r="R206" s="72">
        <f>IF($C206="","",IF(PULL_FUND="N","",IF(COUNTIFS('Fund History'!$J$1180:$J$1184,"&gt;="&amp;DATE(YEAR_Y-3,1,1),'Fund History'!$J$1180:$J$1184,"&lt;="&amp;DATE(YEAR_Y-3,12,31))=0,"",IFERROR($H206*HSCEI!$G$61/SUMIFS('Fund History'!$K$1180:$K$1184,'Fund History'!$J$1180:$J$1184,"&gt;="&amp;DATE(YEAR_Y-3,1,1),'Fund History'!$J$1180:$J$1184,"&lt;="&amp;DATE(YEAR_Y-3,12,31)),""))))</f>
        <v/>
      </c>
      <c r="S206" s="72">
        <f>IF($C206="","",IF(PULL_FUND="N","",IF(COUNTIFS('Fund History'!$J$1180:$J$1184,"&gt;="&amp;DATE(YEAR_Y-2,1,1),'Fund History'!$J$1180:$J$1184,"&lt;="&amp;DATE(YEAR_Y-2,12,31))=0,"",IFERROR($I206*HSCEI!$G$61/SUMIFS('Fund History'!$K$1180:$K$1184,'Fund History'!$J$1180:$J$1184,"&gt;="&amp;DATE(YEAR_Y-2,1,1),'Fund History'!$J$1180:$J$1184,"&lt;="&amp;DATE(YEAR_Y-2,12,31)),""))))</f>
        <v/>
      </c>
      <c r="T206" s="72">
        <f>IF($C206="","",IF(PULL_FUND="N","",IF(COUNTIFS('Fund History'!$J$1180:$J$1184,"&gt;="&amp;DATE(YEAR_Y-1,1,1),'Fund History'!$J$1180:$J$1184,"&lt;="&amp;DATE(YEAR_Y-1,12,31))=0,"",IFERROR($J206*HSCEI!$G$61/SUMIFS('Fund History'!$K$1180:$K$1184,'Fund History'!$J$1180:$J$1184,"&gt;="&amp;DATE(YEAR_Y-1,1,1),'Fund History'!$J$1180:$J$1184,"&lt;="&amp;DATE(YEAR_Y-1,12,31)),""))))</f>
        <v/>
      </c>
      <c r="U206" s="73">
        <f>IF($C206="","",IF(ISNUMBER(HSCEI!$I$61),HSCEI!$I$61/100,""))</f>
        <v/>
      </c>
      <c r="V206" s="74">
        <f>IF($C206="","",IF(ISNUMBER(HSCEI!$X$61),IFERROR($M206*HSCEI!$G$61/HSCEI!$X$61,""),""))</f>
        <v/>
      </c>
      <c r="W206" s="73">
        <f>IF($C206="","",IF(ISNUMBER($N206),IFERROR($N206*HSCEI!$G$61/HSCEI!$X$61,""),""))</f>
        <v/>
      </c>
      <c r="X206" s="75">
        <f>IF($C206="","",IF(PULL_FUND="N","",IFERROR(BDP($C206,EPS_FIELD,YR_OVERRIDE,TEXT(YEAR_Y-5,"0")),"")))</f>
        <v/>
      </c>
      <c r="Y206" s="76">
        <f>IF($C206="","",IF(PULL_FUND="N","",IFERROR(BDP($C206,EPS_FIELD,YR_OVERRIDE,TEXT(YEAR_Y-4,"0")),"")))</f>
        <v/>
      </c>
      <c r="Z206" s="76">
        <f>IF($C206="","",IF(PULL_FUND="N","",IFERROR(BDP($C206,EPS_FIELD,YR_OVERRIDE,TEXT(YEAR_Y-3,"0")),"")))</f>
        <v/>
      </c>
      <c r="AA206" s="76">
        <f>IF($C206="","",IF(PULL_FUND="N","",IFERROR(BDP($C206,EPS_FIELD,YR_OVERRIDE,TEXT(YEAR_Y-2,"0")),"")))</f>
        <v/>
      </c>
      <c r="AB206" s="76">
        <f>IF($C206="","",IF(PULL_FUND="N","",IFERROR(BDP($C206,EPS_FIELD,YR_OVERRIDE,TEXT(YEAR_Y-1,"0")),"")))</f>
        <v/>
      </c>
      <c r="AC206" s="50">
        <f>IF($C206="","",IFERROR(AVERAGE(X206:AB206),""))</f>
        <v/>
      </c>
      <c r="AD206" s="76">
        <f>IF($C206="","",IF(PULL_FUND="N","",IFERROR(BDP($C206,BESTEPS_FIELD,FWD_OVERRIDE,TEXT(MOD(YEAR_Y,100),"00")&amp;"Y"),"")))</f>
        <v/>
      </c>
      <c r="AE206" s="77">
        <f>IF($C206="","",IF(PULL_FUND="N","",IFERROR(BDP($C206,PAYOUT_FIELD,YR_OVERRIDE,TEXT(YEAR_Y-5,"0"))/100,"")))</f>
        <v/>
      </c>
      <c r="AF206" s="78">
        <f>IF($C206="","",IF(PULL_FUND="N","",IFERROR(BDP($C206,PAYOUT_FIELD,YR_OVERRIDE,TEXT(YEAR_Y-4,"0"))/100,"")))</f>
        <v/>
      </c>
      <c r="AG206" s="78">
        <f>IF($C206="","",IF(PULL_FUND="N","",IFERROR(BDP($C206,PAYOUT_FIELD,YR_OVERRIDE,TEXT(YEAR_Y-3,"0"))/100,"")))</f>
        <v/>
      </c>
      <c r="AH206" s="78">
        <f>IF($C206="","",IF(PULL_FUND="N","",IFERROR(BDP($C206,PAYOUT_FIELD,YR_OVERRIDE,TEXT(YEAR_Y-2,"0"))/100,"")))</f>
        <v/>
      </c>
      <c r="AI206" s="78">
        <f>IF($C206="","",IF(PULL_FUND="N","",IFERROR(BDP($C206,PAYOUT_FIELD,YR_OVERRIDE,TEXT(YEAR_Y-1,"0"))/100,"")))</f>
        <v/>
      </c>
      <c r="AJ206" s="79">
        <f>IF($C206="","",IFERROR(AVERAGE(AE206:AI206),""))</f>
        <v/>
      </c>
      <c r="AK206" s="80">
        <f>IF($C206="","",IF(ISNUMBER($AD206)*ISNUMBER($N206)*($AD206&lt;&gt;0)=0,"",$N206/$AD206))</f>
        <v/>
      </c>
      <c r="AL206" s="79">
        <f>IF($C206="","",IF(ISNUMBER($AD206)*($AD206&lt;&gt;0)=0,"",$M206/$AD206))</f>
        <v/>
      </c>
      <c r="AM206" s="37">
        <f>IF($C206="","",IF(ISNUMBER($AE206)*ISNUMBER($AI206)=0,"",IF($AI206&gt;$AE206+0.05,"rising",IF($AI206&lt;$AE206-0.05,"falling","stable"))))</f>
        <v/>
      </c>
      <c r="AN206" s="81">
        <f>IF($C206="","",IF(PULL_FUND="N","",IF(COUNTIFS('Fund History'!$G$1180:$G$1184,"&gt;="&amp;DATE(YEAR_Y-4,1,1),'Fund History'!$G$1180:$G$1184,"&lt;="&amp;DATE(YEAR_Y-4,12,31))=0,"",SUMIFS('Fund History'!$H$1180:$H$1184,'Fund History'!$G$1180:$G$1184,"&gt;="&amp;DATE(YEAR_Y-4,1,1),'Fund History'!$G$1180:$G$1184,"&lt;="&amp;DATE(YEAR_Y-4,12,31))/100)))</f>
        <v/>
      </c>
      <c r="AO206" s="82">
        <f>IF($C206="","",IF(PULL_FUND="N","",IF(COUNTIFS('Fund History'!$G$1180:$G$1184,"&gt;="&amp;DATE(YEAR_Y-3,1,1),'Fund History'!$G$1180:$G$1184,"&lt;="&amp;DATE(YEAR_Y-3,12,31))=0,"",SUMIFS('Fund History'!$H$1180:$H$1184,'Fund History'!$G$1180:$G$1184,"&gt;="&amp;DATE(YEAR_Y-3,1,1),'Fund History'!$G$1180:$G$1184,"&lt;="&amp;DATE(YEAR_Y-3,12,31))/100)))</f>
        <v/>
      </c>
      <c r="AP206" s="82">
        <f>IF($C206="","",IF(PULL_FUND="N","",IF(COUNTIFS('Fund History'!$G$1180:$G$1184,"&gt;="&amp;DATE(YEAR_Y-2,1,1),'Fund History'!$G$1180:$G$1184,"&lt;="&amp;DATE(YEAR_Y-2,12,31))=0,"",SUMIFS('Fund History'!$H$1180:$H$1184,'Fund History'!$G$1180:$G$1184,"&gt;="&amp;DATE(YEAR_Y-2,1,1),'Fund History'!$G$1180:$G$1184,"&lt;="&amp;DATE(YEAR_Y-2,12,31))/100)))</f>
        <v/>
      </c>
      <c r="AQ206" s="82">
        <f>IF($C206="","",IF(PULL_FUND="N","",IF(COUNTIFS('Fund History'!$G$1180:$G$1184,"&gt;="&amp;DATE(YEAR_Y-1,1,1),'Fund History'!$G$1180:$G$1184,"&lt;="&amp;DATE(YEAR_Y-1,12,31))=0,"",SUMIFS('Fund History'!$H$1180:$H$1184,'Fund History'!$G$1180:$G$1184,"&gt;="&amp;DATE(YEAR_Y-1,1,1),'Fund History'!$G$1180:$G$1184,"&lt;="&amp;DATE(YEAR_Y-1,12,31))/100)))</f>
        <v/>
      </c>
      <c r="AR206" s="83">
        <f>IF($C206="","",IF(N($AQ206)+N(HSCEI!$I$61)=0,"",N($AQ206)+N(HSCEI!$I$61)/100))</f>
        <v/>
      </c>
      <c r="AS206" s="75">
        <f>IF($C206="","",IF(PULL_FUND="N","",IF(COUNTIFS('Fund History'!$D$1180:$D$1184,"&gt;="&amp;DATE(YEAR_Y-2,1,1),'Fund History'!$D$1180:$D$1184,"&lt;="&amp;DATE(YEAR_Y-2,12,31))=0,"",SUMIFS('Fund History'!$E$1180:$E$1184,'Fund History'!$D$1180:$D$1184,"&gt;="&amp;DATE(YEAR_Y-2,1,1),'Fund History'!$D$1180:$D$1184,"&lt;="&amp;DATE(YEAR_Y-2,12,31)))))</f>
        <v/>
      </c>
      <c r="AT206" s="76">
        <f>IF($C206="","",IF(PULL_FUND="N","",IF(COUNTIFS('Fund History'!$D$1180:$D$1184,"&gt;="&amp;DATE(YEAR_Y-1,1,1),'Fund History'!$D$1180:$D$1184,"&lt;="&amp;DATE(YEAR_Y-1,12,31))=0,"",SUMIFS('Fund History'!$E$1180:$E$1184,'Fund History'!$D$1180:$D$1184,"&gt;="&amp;DATE(YEAR_Y-1,1,1),'Fund History'!$D$1180:$D$1184,"&lt;="&amp;DATE(YEAR_Y-1,12,31)))))</f>
        <v/>
      </c>
      <c r="AU206" s="76">
        <f>IF($C206="","",IF(PULL_FUND="N","",IFERROR(BDP($C206,NDEBITDA_FIELD),"")))</f>
        <v/>
      </c>
      <c r="AV206" s="84">
        <f>IF($C206="","",IF(PULL_FUND="N","",IFERROR(BDP($C206,EBINT_FIELD),"")))</f>
        <v/>
      </c>
      <c r="AW206" s="82">
        <f>IF($C206="","",IF(PULL_FUND="N","",IFERROR(BDP($C206,FCF_FIELD)/100,"")))</f>
        <v/>
      </c>
      <c r="AX206" s="50">
        <f>IF($C206="","",IF(N($U206)=0,"",IFERROR($AW206/$U206,"")))</f>
        <v/>
      </c>
      <c r="AY206" s="85">
        <f>IF($C206="","",TRIM(IF(ISNUMBER($AJ206)*(N($AJ206)&gt;$D$4)&gt;0,"payout high  ","")&amp;IF(ISNUMBER($AX206)*(N($AX206)&lt;$F$4)&gt;0,"FCF below dvd  ","")&amp;IF(ISNUMBER($AU206)*(N($AU206)&gt;$H$4)&gt;0,"leverage high","")))</f>
        <v/>
      </c>
      <c r="AZ206" s="86">
        <f>IF($C206="","",IF(HSCEI!$F$61="HKD","",HSCEI!$F$61))</f>
        <v/>
      </c>
    </row>
    <row r="207">
      <c r="B207" s="66" t="inlineStr">
        <is>
          <t>HSCEI</t>
        </is>
      </c>
      <c r="C207" s="8">
        <f>IF(HSCEI!$C$62="","",HSCEI!$C$62)</f>
        <v/>
      </c>
      <c r="D207" s="8">
        <f>IF($C207="","",HSCEI!$D$62)</f>
        <v/>
      </c>
      <c r="E207" s="8">
        <f>IF($C207="","",HSCEI!$E$62)</f>
        <v/>
      </c>
      <c r="F207" s="67">
        <f>IF($C207="","",SUMPRODUCT(('Dvd Calendar'!$E$2166:$AR$2166&gt;=DATE(YEAR_Y-5,1,1))*('Dvd Calendar'!$E$2166:$AR$2166&lt;=DATE(YEAR_Y-5,12,31))*'Dvd Calendar'!$E$2169:$AR$2169*(('Dvd Calendar'!$E$2171:$AR$2171=TYPE1)*(TYPE1&lt;&gt;"")+('Dvd Calendar'!$E$2171:$AR$2171=TYPE2)*(TYPE2&lt;&gt;"")+('Dvd Calendar'!$E$2171:$AR$2171=TYPE3)*(TYPE3&lt;&gt;"")+('Dvd Calendar'!$E$2171:$AR$2171=TYPE4)*(TYPE4&lt;&gt;"")+('Dvd Calendar'!$E$2171:$AR$2171=SPECIAL_LBL)*(INC_SPECIALS="Y"))))</f>
        <v/>
      </c>
      <c r="G207" s="68">
        <f>IF($C207="","",SUMPRODUCT(('Dvd Calendar'!$E$2166:$AR$2166&gt;=DATE(YEAR_Y-4,1,1))*('Dvd Calendar'!$E$2166:$AR$2166&lt;=DATE(YEAR_Y-4,12,31))*'Dvd Calendar'!$E$2169:$AR$2169*(('Dvd Calendar'!$E$2171:$AR$2171=TYPE1)*(TYPE1&lt;&gt;"")+('Dvd Calendar'!$E$2171:$AR$2171=TYPE2)*(TYPE2&lt;&gt;"")+('Dvd Calendar'!$E$2171:$AR$2171=TYPE3)*(TYPE3&lt;&gt;"")+('Dvd Calendar'!$E$2171:$AR$2171=TYPE4)*(TYPE4&lt;&gt;"")+('Dvd Calendar'!$E$2171:$AR$2171=SPECIAL_LBL)*(INC_SPECIALS="Y"))))</f>
        <v/>
      </c>
      <c r="H207" s="68">
        <f>IF($C207="","",SUMPRODUCT(('Dvd Calendar'!$E$2166:$AR$2166&gt;=DATE(YEAR_Y-3,1,1))*('Dvd Calendar'!$E$2166:$AR$2166&lt;=DATE(YEAR_Y-3,12,31))*'Dvd Calendar'!$E$2169:$AR$2169*(('Dvd Calendar'!$E$2171:$AR$2171=TYPE1)*(TYPE1&lt;&gt;"")+('Dvd Calendar'!$E$2171:$AR$2171=TYPE2)*(TYPE2&lt;&gt;"")+('Dvd Calendar'!$E$2171:$AR$2171=TYPE3)*(TYPE3&lt;&gt;"")+('Dvd Calendar'!$E$2171:$AR$2171=TYPE4)*(TYPE4&lt;&gt;"")+('Dvd Calendar'!$E$2171:$AR$2171=SPECIAL_LBL)*(INC_SPECIALS="Y"))))</f>
        <v/>
      </c>
      <c r="I207" s="68">
        <f>IF($C207="","",SUMPRODUCT(('Dvd Calendar'!$E$2166:$AR$2166&gt;=DATE(YEAR_Y-2,1,1))*('Dvd Calendar'!$E$2166:$AR$2166&lt;=DATE(YEAR_Y-2,12,31))*'Dvd Calendar'!$E$2169:$AR$2169*(('Dvd Calendar'!$E$2171:$AR$2171=TYPE1)*(TYPE1&lt;&gt;"")+('Dvd Calendar'!$E$2171:$AR$2171=TYPE2)*(TYPE2&lt;&gt;"")+('Dvd Calendar'!$E$2171:$AR$2171=TYPE3)*(TYPE3&lt;&gt;"")+('Dvd Calendar'!$E$2171:$AR$2171=TYPE4)*(TYPE4&lt;&gt;"")+('Dvd Calendar'!$E$2171:$AR$2171=SPECIAL_LBL)*(INC_SPECIALS="Y"))))</f>
        <v/>
      </c>
      <c r="J207" s="68">
        <f>IF($C207="","",SUMPRODUCT(('Dvd Calendar'!$E$2166:$AR$2166&gt;=DATE(YEAR_Y-1,1,1))*('Dvd Calendar'!$E$2166:$AR$2166&lt;=DATE(YEAR_Y-1,12,31))*'Dvd Calendar'!$E$2169:$AR$2169*(('Dvd Calendar'!$E$2171:$AR$2171=TYPE1)*(TYPE1&lt;&gt;"")+('Dvd Calendar'!$E$2171:$AR$2171=TYPE2)*(TYPE2&lt;&gt;"")+('Dvd Calendar'!$E$2171:$AR$2171=TYPE3)*(TYPE3&lt;&gt;"")+('Dvd Calendar'!$E$2171:$AR$2171=TYPE4)*(TYPE4&lt;&gt;"")+('Dvd Calendar'!$E$2171:$AR$2171=SPECIAL_LBL)*(INC_SPECIALS="Y"))))</f>
        <v/>
      </c>
      <c r="K207" s="69">
        <f>IF($C207="","",HSCEI!$J$62)</f>
        <v/>
      </c>
      <c r="L207" s="69">
        <f>IF($C207="","",HSCEI!$K$62)</f>
        <v/>
      </c>
      <c r="M207" s="44">
        <f>IF($C207="","",HSCEI!$J$62+HSCEI!$L$62)</f>
        <v/>
      </c>
      <c r="N207" s="70">
        <f>IF($C207="","",IF(PULL_FUND="N","",IFERROR(BDP($C207,BESTDPS_FIELD,FWD_OVERRIDE,TEXT(MOD(YEAR_Y,100),"00")&amp;"Y"),"")))</f>
        <v/>
      </c>
      <c r="O207" s="69">
        <f>IF($C207="","",AVERAGE(F207:J207))</f>
        <v/>
      </c>
      <c r="P207" s="71">
        <f>IF($C207="","",IF(PULL_FUND="N","",IF(COUNTIFS('Fund History'!$J$1186:$J$1190,"&gt;="&amp;DATE(YEAR_Y-5,1,1),'Fund History'!$J$1186:$J$1190,"&lt;="&amp;DATE(YEAR_Y-5,12,31))=0,"",IFERROR($F207*HSCEI!$G$62/SUMIFS('Fund History'!$K$1186:$K$1190,'Fund History'!$J$1186:$J$1190,"&gt;="&amp;DATE(YEAR_Y-5,1,1),'Fund History'!$J$1186:$J$1190,"&lt;="&amp;DATE(YEAR_Y-5,12,31)),""))))</f>
        <v/>
      </c>
      <c r="Q207" s="72">
        <f>IF($C207="","",IF(PULL_FUND="N","",IF(COUNTIFS('Fund History'!$J$1186:$J$1190,"&gt;="&amp;DATE(YEAR_Y-4,1,1),'Fund History'!$J$1186:$J$1190,"&lt;="&amp;DATE(YEAR_Y-4,12,31))=0,"",IFERROR($G207*HSCEI!$G$62/SUMIFS('Fund History'!$K$1186:$K$1190,'Fund History'!$J$1186:$J$1190,"&gt;="&amp;DATE(YEAR_Y-4,1,1),'Fund History'!$J$1186:$J$1190,"&lt;="&amp;DATE(YEAR_Y-4,12,31)),""))))</f>
        <v/>
      </c>
      <c r="R207" s="72">
        <f>IF($C207="","",IF(PULL_FUND="N","",IF(COUNTIFS('Fund History'!$J$1186:$J$1190,"&gt;="&amp;DATE(YEAR_Y-3,1,1),'Fund History'!$J$1186:$J$1190,"&lt;="&amp;DATE(YEAR_Y-3,12,31))=0,"",IFERROR($H207*HSCEI!$G$62/SUMIFS('Fund History'!$K$1186:$K$1190,'Fund History'!$J$1186:$J$1190,"&gt;="&amp;DATE(YEAR_Y-3,1,1),'Fund History'!$J$1186:$J$1190,"&lt;="&amp;DATE(YEAR_Y-3,12,31)),""))))</f>
        <v/>
      </c>
      <c r="S207" s="72">
        <f>IF($C207="","",IF(PULL_FUND="N","",IF(COUNTIFS('Fund History'!$J$1186:$J$1190,"&gt;="&amp;DATE(YEAR_Y-2,1,1),'Fund History'!$J$1186:$J$1190,"&lt;="&amp;DATE(YEAR_Y-2,12,31))=0,"",IFERROR($I207*HSCEI!$G$62/SUMIFS('Fund History'!$K$1186:$K$1190,'Fund History'!$J$1186:$J$1190,"&gt;="&amp;DATE(YEAR_Y-2,1,1),'Fund History'!$J$1186:$J$1190,"&lt;="&amp;DATE(YEAR_Y-2,12,31)),""))))</f>
        <v/>
      </c>
      <c r="T207" s="72">
        <f>IF($C207="","",IF(PULL_FUND="N","",IF(COUNTIFS('Fund History'!$J$1186:$J$1190,"&gt;="&amp;DATE(YEAR_Y-1,1,1),'Fund History'!$J$1186:$J$1190,"&lt;="&amp;DATE(YEAR_Y-1,12,31))=0,"",IFERROR($J207*HSCEI!$G$62/SUMIFS('Fund History'!$K$1186:$K$1190,'Fund History'!$J$1186:$J$1190,"&gt;="&amp;DATE(YEAR_Y-1,1,1),'Fund History'!$J$1186:$J$1190,"&lt;="&amp;DATE(YEAR_Y-1,12,31)),""))))</f>
        <v/>
      </c>
      <c r="U207" s="73">
        <f>IF($C207="","",IF(ISNUMBER(HSCEI!$I$62),HSCEI!$I$62/100,""))</f>
        <v/>
      </c>
      <c r="V207" s="74">
        <f>IF($C207="","",IF(ISNUMBER(HSCEI!$X$62),IFERROR($M207*HSCEI!$G$62/HSCEI!$X$62,""),""))</f>
        <v/>
      </c>
      <c r="W207" s="73">
        <f>IF($C207="","",IF(ISNUMBER($N207),IFERROR($N207*HSCEI!$G$62/HSCEI!$X$62,""),""))</f>
        <v/>
      </c>
      <c r="X207" s="75">
        <f>IF($C207="","",IF(PULL_FUND="N","",IFERROR(BDP($C207,EPS_FIELD,YR_OVERRIDE,TEXT(YEAR_Y-5,"0")),"")))</f>
        <v/>
      </c>
      <c r="Y207" s="76">
        <f>IF($C207="","",IF(PULL_FUND="N","",IFERROR(BDP($C207,EPS_FIELD,YR_OVERRIDE,TEXT(YEAR_Y-4,"0")),"")))</f>
        <v/>
      </c>
      <c r="Z207" s="76">
        <f>IF($C207="","",IF(PULL_FUND="N","",IFERROR(BDP($C207,EPS_FIELD,YR_OVERRIDE,TEXT(YEAR_Y-3,"0")),"")))</f>
        <v/>
      </c>
      <c r="AA207" s="76">
        <f>IF($C207="","",IF(PULL_FUND="N","",IFERROR(BDP($C207,EPS_FIELD,YR_OVERRIDE,TEXT(YEAR_Y-2,"0")),"")))</f>
        <v/>
      </c>
      <c r="AB207" s="76">
        <f>IF($C207="","",IF(PULL_FUND="N","",IFERROR(BDP($C207,EPS_FIELD,YR_OVERRIDE,TEXT(YEAR_Y-1,"0")),"")))</f>
        <v/>
      </c>
      <c r="AC207" s="50">
        <f>IF($C207="","",IFERROR(AVERAGE(X207:AB207),""))</f>
        <v/>
      </c>
      <c r="AD207" s="76">
        <f>IF($C207="","",IF(PULL_FUND="N","",IFERROR(BDP($C207,BESTEPS_FIELD,FWD_OVERRIDE,TEXT(MOD(YEAR_Y,100),"00")&amp;"Y"),"")))</f>
        <v/>
      </c>
      <c r="AE207" s="77">
        <f>IF($C207="","",IF(PULL_FUND="N","",IFERROR(BDP($C207,PAYOUT_FIELD,YR_OVERRIDE,TEXT(YEAR_Y-5,"0"))/100,"")))</f>
        <v/>
      </c>
      <c r="AF207" s="78">
        <f>IF($C207="","",IF(PULL_FUND="N","",IFERROR(BDP($C207,PAYOUT_FIELD,YR_OVERRIDE,TEXT(YEAR_Y-4,"0"))/100,"")))</f>
        <v/>
      </c>
      <c r="AG207" s="78">
        <f>IF($C207="","",IF(PULL_FUND="N","",IFERROR(BDP($C207,PAYOUT_FIELD,YR_OVERRIDE,TEXT(YEAR_Y-3,"0"))/100,"")))</f>
        <v/>
      </c>
      <c r="AH207" s="78">
        <f>IF($C207="","",IF(PULL_FUND="N","",IFERROR(BDP($C207,PAYOUT_FIELD,YR_OVERRIDE,TEXT(YEAR_Y-2,"0"))/100,"")))</f>
        <v/>
      </c>
      <c r="AI207" s="78">
        <f>IF($C207="","",IF(PULL_FUND="N","",IFERROR(BDP($C207,PAYOUT_FIELD,YR_OVERRIDE,TEXT(YEAR_Y-1,"0"))/100,"")))</f>
        <v/>
      </c>
      <c r="AJ207" s="79">
        <f>IF($C207="","",IFERROR(AVERAGE(AE207:AI207),""))</f>
        <v/>
      </c>
      <c r="AK207" s="80">
        <f>IF($C207="","",IF(ISNUMBER($AD207)*ISNUMBER($N207)*($AD207&lt;&gt;0)=0,"",$N207/$AD207))</f>
        <v/>
      </c>
      <c r="AL207" s="79">
        <f>IF($C207="","",IF(ISNUMBER($AD207)*($AD207&lt;&gt;0)=0,"",$M207/$AD207))</f>
        <v/>
      </c>
      <c r="AM207" s="37">
        <f>IF($C207="","",IF(ISNUMBER($AE207)*ISNUMBER($AI207)=0,"",IF($AI207&gt;$AE207+0.05,"rising",IF($AI207&lt;$AE207-0.05,"falling","stable"))))</f>
        <v/>
      </c>
      <c r="AN207" s="81">
        <f>IF($C207="","",IF(PULL_FUND="N","",IF(COUNTIFS('Fund History'!$G$1186:$G$1190,"&gt;="&amp;DATE(YEAR_Y-4,1,1),'Fund History'!$G$1186:$G$1190,"&lt;="&amp;DATE(YEAR_Y-4,12,31))=0,"",SUMIFS('Fund History'!$H$1186:$H$1190,'Fund History'!$G$1186:$G$1190,"&gt;="&amp;DATE(YEAR_Y-4,1,1),'Fund History'!$G$1186:$G$1190,"&lt;="&amp;DATE(YEAR_Y-4,12,31))/100)))</f>
        <v/>
      </c>
      <c r="AO207" s="82">
        <f>IF($C207="","",IF(PULL_FUND="N","",IF(COUNTIFS('Fund History'!$G$1186:$G$1190,"&gt;="&amp;DATE(YEAR_Y-3,1,1),'Fund History'!$G$1186:$G$1190,"&lt;="&amp;DATE(YEAR_Y-3,12,31))=0,"",SUMIFS('Fund History'!$H$1186:$H$1190,'Fund History'!$G$1186:$G$1190,"&gt;="&amp;DATE(YEAR_Y-3,1,1),'Fund History'!$G$1186:$G$1190,"&lt;="&amp;DATE(YEAR_Y-3,12,31))/100)))</f>
        <v/>
      </c>
      <c r="AP207" s="82">
        <f>IF($C207="","",IF(PULL_FUND="N","",IF(COUNTIFS('Fund History'!$G$1186:$G$1190,"&gt;="&amp;DATE(YEAR_Y-2,1,1),'Fund History'!$G$1186:$G$1190,"&lt;="&amp;DATE(YEAR_Y-2,12,31))=0,"",SUMIFS('Fund History'!$H$1186:$H$1190,'Fund History'!$G$1186:$G$1190,"&gt;="&amp;DATE(YEAR_Y-2,1,1),'Fund History'!$G$1186:$G$1190,"&lt;="&amp;DATE(YEAR_Y-2,12,31))/100)))</f>
        <v/>
      </c>
      <c r="AQ207" s="82">
        <f>IF($C207="","",IF(PULL_FUND="N","",IF(COUNTIFS('Fund History'!$G$1186:$G$1190,"&gt;="&amp;DATE(YEAR_Y-1,1,1),'Fund History'!$G$1186:$G$1190,"&lt;="&amp;DATE(YEAR_Y-1,12,31))=0,"",SUMIFS('Fund History'!$H$1186:$H$1190,'Fund History'!$G$1186:$G$1190,"&gt;="&amp;DATE(YEAR_Y-1,1,1),'Fund History'!$G$1186:$G$1190,"&lt;="&amp;DATE(YEAR_Y-1,12,31))/100)))</f>
        <v/>
      </c>
      <c r="AR207" s="83">
        <f>IF($C207="","",IF(N($AQ207)+N(HSCEI!$I$62)=0,"",N($AQ207)+N(HSCEI!$I$62)/100))</f>
        <v/>
      </c>
      <c r="AS207" s="75">
        <f>IF($C207="","",IF(PULL_FUND="N","",IF(COUNTIFS('Fund History'!$D$1186:$D$1190,"&gt;="&amp;DATE(YEAR_Y-2,1,1),'Fund History'!$D$1186:$D$1190,"&lt;="&amp;DATE(YEAR_Y-2,12,31))=0,"",SUMIFS('Fund History'!$E$1186:$E$1190,'Fund History'!$D$1186:$D$1190,"&gt;="&amp;DATE(YEAR_Y-2,1,1),'Fund History'!$D$1186:$D$1190,"&lt;="&amp;DATE(YEAR_Y-2,12,31)))))</f>
        <v/>
      </c>
      <c r="AT207" s="76">
        <f>IF($C207="","",IF(PULL_FUND="N","",IF(COUNTIFS('Fund History'!$D$1186:$D$1190,"&gt;="&amp;DATE(YEAR_Y-1,1,1),'Fund History'!$D$1186:$D$1190,"&lt;="&amp;DATE(YEAR_Y-1,12,31))=0,"",SUMIFS('Fund History'!$E$1186:$E$1190,'Fund History'!$D$1186:$D$1190,"&gt;="&amp;DATE(YEAR_Y-1,1,1),'Fund History'!$D$1186:$D$1190,"&lt;="&amp;DATE(YEAR_Y-1,12,31)))))</f>
        <v/>
      </c>
      <c r="AU207" s="76">
        <f>IF($C207="","",IF(PULL_FUND="N","",IFERROR(BDP($C207,NDEBITDA_FIELD),"")))</f>
        <v/>
      </c>
      <c r="AV207" s="84">
        <f>IF($C207="","",IF(PULL_FUND="N","",IFERROR(BDP($C207,EBINT_FIELD),"")))</f>
        <v/>
      </c>
      <c r="AW207" s="82">
        <f>IF($C207="","",IF(PULL_FUND="N","",IFERROR(BDP($C207,FCF_FIELD)/100,"")))</f>
        <v/>
      </c>
      <c r="AX207" s="50">
        <f>IF($C207="","",IF(N($U207)=0,"",IFERROR($AW207/$U207,"")))</f>
        <v/>
      </c>
      <c r="AY207" s="85">
        <f>IF($C207="","",TRIM(IF(ISNUMBER($AJ207)*(N($AJ207)&gt;$D$4)&gt;0,"payout high  ","")&amp;IF(ISNUMBER($AX207)*(N($AX207)&lt;$F$4)&gt;0,"FCF below dvd  ","")&amp;IF(ISNUMBER($AU207)*(N($AU207)&gt;$H$4)&gt;0,"leverage high","")))</f>
        <v/>
      </c>
      <c r="AZ207" s="86">
        <f>IF($C207="","",IF(HSCEI!$F$62="HKD","",HSCEI!$F$62))</f>
        <v/>
      </c>
    </row>
    <row r="208">
      <c r="B208" s="66" t="inlineStr">
        <is>
          <t>HSCEI</t>
        </is>
      </c>
      <c r="C208" s="8">
        <f>IF(HSCEI!$C$63="","",HSCEI!$C$63)</f>
        <v/>
      </c>
      <c r="D208" s="8">
        <f>IF($C208="","",HSCEI!$D$63)</f>
        <v/>
      </c>
      <c r="E208" s="8">
        <f>IF($C208="","",HSCEI!$E$63)</f>
        <v/>
      </c>
      <c r="F208" s="67">
        <f>IF($C208="","",SUMPRODUCT(('Dvd Calendar'!$E$2177:$AR$2177&gt;=DATE(YEAR_Y-5,1,1))*('Dvd Calendar'!$E$2177:$AR$2177&lt;=DATE(YEAR_Y-5,12,31))*'Dvd Calendar'!$E$2180:$AR$2180*(('Dvd Calendar'!$E$2182:$AR$2182=TYPE1)*(TYPE1&lt;&gt;"")+('Dvd Calendar'!$E$2182:$AR$2182=TYPE2)*(TYPE2&lt;&gt;"")+('Dvd Calendar'!$E$2182:$AR$2182=TYPE3)*(TYPE3&lt;&gt;"")+('Dvd Calendar'!$E$2182:$AR$2182=TYPE4)*(TYPE4&lt;&gt;"")+('Dvd Calendar'!$E$2182:$AR$2182=SPECIAL_LBL)*(INC_SPECIALS="Y"))))</f>
        <v/>
      </c>
      <c r="G208" s="68">
        <f>IF($C208="","",SUMPRODUCT(('Dvd Calendar'!$E$2177:$AR$2177&gt;=DATE(YEAR_Y-4,1,1))*('Dvd Calendar'!$E$2177:$AR$2177&lt;=DATE(YEAR_Y-4,12,31))*'Dvd Calendar'!$E$2180:$AR$2180*(('Dvd Calendar'!$E$2182:$AR$2182=TYPE1)*(TYPE1&lt;&gt;"")+('Dvd Calendar'!$E$2182:$AR$2182=TYPE2)*(TYPE2&lt;&gt;"")+('Dvd Calendar'!$E$2182:$AR$2182=TYPE3)*(TYPE3&lt;&gt;"")+('Dvd Calendar'!$E$2182:$AR$2182=TYPE4)*(TYPE4&lt;&gt;"")+('Dvd Calendar'!$E$2182:$AR$2182=SPECIAL_LBL)*(INC_SPECIALS="Y"))))</f>
        <v/>
      </c>
      <c r="H208" s="68">
        <f>IF($C208="","",SUMPRODUCT(('Dvd Calendar'!$E$2177:$AR$2177&gt;=DATE(YEAR_Y-3,1,1))*('Dvd Calendar'!$E$2177:$AR$2177&lt;=DATE(YEAR_Y-3,12,31))*'Dvd Calendar'!$E$2180:$AR$2180*(('Dvd Calendar'!$E$2182:$AR$2182=TYPE1)*(TYPE1&lt;&gt;"")+('Dvd Calendar'!$E$2182:$AR$2182=TYPE2)*(TYPE2&lt;&gt;"")+('Dvd Calendar'!$E$2182:$AR$2182=TYPE3)*(TYPE3&lt;&gt;"")+('Dvd Calendar'!$E$2182:$AR$2182=TYPE4)*(TYPE4&lt;&gt;"")+('Dvd Calendar'!$E$2182:$AR$2182=SPECIAL_LBL)*(INC_SPECIALS="Y"))))</f>
        <v/>
      </c>
      <c r="I208" s="68">
        <f>IF($C208="","",SUMPRODUCT(('Dvd Calendar'!$E$2177:$AR$2177&gt;=DATE(YEAR_Y-2,1,1))*('Dvd Calendar'!$E$2177:$AR$2177&lt;=DATE(YEAR_Y-2,12,31))*'Dvd Calendar'!$E$2180:$AR$2180*(('Dvd Calendar'!$E$2182:$AR$2182=TYPE1)*(TYPE1&lt;&gt;"")+('Dvd Calendar'!$E$2182:$AR$2182=TYPE2)*(TYPE2&lt;&gt;"")+('Dvd Calendar'!$E$2182:$AR$2182=TYPE3)*(TYPE3&lt;&gt;"")+('Dvd Calendar'!$E$2182:$AR$2182=TYPE4)*(TYPE4&lt;&gt;"")+('Dvd Calendar'!$E$2182:$AR$2182=SPECIAL_LBL)*(INC_SPECIALS="Y"))))</f>
        <v/>
      </c>
      <c r="J208" s="68">
        <f>IF($C208="","",SUMPRODUCT(('Dvd Calendar'!$E$2177:$AR$2177&gt;=DATE(YEAR_Y-1,1,1))*('Dvd Calendar'!$E$2177:$AR$2177&lt;=DATE(YEAR_Y-1,12,31))*'Dvd Calendar'!$E$2180:$AR$2180*(('Dvd Calendar'!$E$2182:$AR$2182=TYPE1)*(TYPE1&lt;&gt;"")+('Dvd Calendar'!$E$2182:$AR$2182=TYPE2)*(TYPE2&lt;&gt;"")+('Dvd Calendar'!$E$2182:$AR$2182=TYPE3)*(TYPE3&lt;&gt;"")+('Dvd Calendar'!$E$2182:$AR$2182=TYPE4)*(TYPE4&lt;&gt;"")+('Dvd Calendar'!$E$2182:$AR$2182=SPECIAL_LBL)*(INC_SPECIALS="Y"))))</f>
        <v/>
      </c>
      <c r="K208" s="69">
        <f>IF($C208="","",HSCEI!$J$63)</f>
        <v/>
      </c>
      <c r="L208" s="69">
        <f>IF($C208="","",HSCEI!$K$63)</f>
        <v/>
      </c>
      <c r="M208" s="44">
        <f>IF($C208="","",HSCEI!$J$63+HSCEI!$L$63)</f>
        <v/>
      </c>
      <c r="N208" s="70">
        <f>IF($C208="","",IF(PULL_FUND="N","",IFERROR(BDP($C208,BESTDPS_FIELD,FWD_OVERRIDE,TEXT(MOD(YEAR_Y,100),"00")&amp;"Y"),"")))</f>
        <v/>
      </c>
      <c r="O208" s="69">
        <f>IF($C208="","",AVERAGE(F208:J208))</f>
        <v/>
      </c>
      <c r="P208" s="71">
        <f>IF($C208="","",IF(PULL_FUND="N","",IF(COUNTIFS('Fund History'!$J$1192:$J$1196,"&gt;="&amp;DATE(YEAR_Y-5,1,1),'Fund History'!$J$1192:$J$1196,"&lt;="&amp;DATE(YEAR_Y-5,12,31))=0,"",IFERROR($F208*HSCEI!$G$63/SUMIFS('Fund History'!$K$1192:$K$1196,'Fund History'!$J$1192:$J$1196,"&gt;="&amp;DATE(YEAR_Y-5,1,1),'Fund History'!$J$1192:$J$1196,"&lt;="&amp;DATE(YEAR_Y-5,12,31)),""))))</f>
        <v/>
      </c>
      <c r="Q208" s="72">
        <f>IF($C208="","",IF(PULL_FUND="N","",IF(COUNTIFS('Fund History'!$J$1192:$J$1196,"&gt;="&amp;DATE(YEAR_Y-4,1,1),'Fund History'!$J$1192:$J$1196,"&lt;="&amp;DATE(YEAR_Y-4,12,31))=0,"",IFERROR($G208*HSCEI!$G$63/SUMIFS('Fund History'!$K$1192:$K$1196,'Fund History'!$J$1192:$J$1196,"&gt;="&amp;DATE(YEAR_Y-4,1,1),'Fund History'!$J$1192:$J$1196,"&lt;="&amp;DATE(YEAR_Y-4,12,31)),""))))</f>
        <v/>
      </c>
      <c r="R208" s="72">
        <f>IF($C208="","",IF(PULL_FUND="N","",IF(COUNTIFS('Fund History'!$J$1192:$J$1196,"&gt;="&amp;DATE(YEAR_Y-3,1,1),'Fund History'!$J$1192:$J$1196,"&lt;="&amp;DATE(YEAR_Y-3,12,31))=0,"",IFERROR($H208*HSCEI!$G$63/SUMIFS('Fund History'!$K$1192:$K$1196,'Fund History'!$J$1192:$J$1196,"&gt;="&amp;DATE(YEAR_Y-3,1,1),'Fund History'!$J$1192:$J$1196,"&lt;="&amp;DATE(YEAR_Y-3,12,31)),""))))</f>
        <v/>
      </c>
      <c r="S208" s="72">
        <f>IF($C208="","",IF(PULL_FUND="N","",IF(COUNTIFS('Fund History'!$J$1192:$J$1196,"&gt;="&amp;DATE(YEAR_Y-2,1,1),'Fund History'!$J$1192:$J$1196,"&lt;="&amp;DATE(YEAR_Y-2,12,31))=0,"",IFERROR($I208*HSCEI!$G$63/SUMIFS('Fund History'!$K$1192:$K$1196,'Fund History'!$J$1192:$J$1196,"&gt;="&amp;DATE(YEAR_Y-2,1,1),'Fund History'!$J$1192:$J$1196,"&lt;="&amp;DATE(YEAR_Y-2,12,31)),""))))</f>
        <v/>
      </c>
      <c r="T208" s="72">
        <f>IF($C208="","",IF(PULL_FUND="N","",IF(COUNTIFS('Fund History'!$J$1192:$J$1196,"&gt;="&amp;DATE(YEAR_Y-1,1,1),'Fund History'!$J$1192:$J$1196,"&lt;="&amp;DATE(YEAR_Y-1,12,31))=0,"",IFERROR($J208*HSCEI!$G$63/SUMIFS('Fund History'!$K$1192:$K$1196,'Fund History'!$J$1192:$J$1196,"&gt;="&amp;DATE(YEAR_Y-1,1,1),'Fund History'!$J$1192:$J$1196,"&lt;="&amp;DATE(YEAR_Y-1,12,31)),""))))</f>
        <v/>
      </c>
      <c r="U208" s="73">
        <f>IF($C208="","",IF(ISNUMBER(HSCEI!$I$63),HSCEI!$I$63/100,""))</f>
        <v/>
      </c>
      <c r="V208" s="74">
        <f>IF($C208="","",IF(ISNUMBER(HSCEI!$X$63),IFERROR($M208*HSCEI!$G$63/HSCEI!$X$63,""),""))</f>
        <v/>
      </c>
      <c r="W208" s="73">
        <f>IF($C208="","",IF(ISNUMBER($N208),IFERROR($N208*HSCEI!$G$63/HSCEI!$X$63,""),""))</f>
        <v/>
      </c>
      <c r="X208" s="75">
        <f>IF($C208="","",IF(PULL_FUND="N","",IFERROR(BDP($C208,EPS_FIELD,YR_OVERRIDE,TEXT(YEAR_Y-5,"0")),"")))</f>
        <v/>
      </c>
      <c r="Y208" s="76">
        <f>IF($C208="","",IF(PULL_FUND="N","",IFERROR(BDP($C208,EPS_FIELD,YR_OVERRIDE,TEXT(YEAR_Y-4,"0")),"")))</f>
        <v/>
      </c>
      <c r="Z208" s="76">
        <f>IF($C208="","",IF(PULL_FUND="N","",IFERROR(BDP($C208,EPS_FIELD,YR_OVERRIDE,TEXT(YEAR_Y-3,"0")),"")))</f>
        <v/>
      </c>
      <c r="AA208" s="76">
        <f>IF($C208="","",IF(PULL_FUND="N","",IFERROR(BDP($C208,EPS_FIELD,YR_OVERRIDE,TEXT(YEAR_Y-2,"0")),"")))</f>
        <v/>
      </c>
      <c r="AB208" s="76">
        <f>IF($C208="","",IF(PULL_FUND="N","",IFERROR(BDP($C208,EPS_FIELD,YR_OVERRIDE,TEXT(YEAR_Y-1,"0")),"")))</f>
        <v/>
      </c>
      <c r="AC208" s="50">
        <f>IF($C208="","",IFERROR(AVERAGE(X208:AB208),""))</f>
        <v/>
      </c>
      <c r="AD208" s="76">
        <f>IF($C208="","",IF(PULL_FUND="N","",IFERROR(BDP($C208,BESTEPS_FIELD,FWD_OVERRIDE,TEXT(MOD(YEAR_Y,100),"00")&amp;"Y"),"")))</f>
        <v/>
      </c>
      <c r="AE208" s="77">
        <f>IF($C208="","",IF(PULL_FUND="N","",IFERROR(BDP($C208,PAYOUT_FIELD,YR_OVERRIDE,TEXT(YEAR_Y-5,"0"))/100,"")))</f>
        <v/>
      </c>
      <c r="AF208" s="78">
        <f>IF($C208="","",IF(PULL_FUND="N","",IFERROR(BDP($C208,PAYOUT_FIELD,YR_OVERRIDE,TEXT(YEAR_Y-4,"0"))/100,"")))</f>
        <v/>
      </c>
      <c r="AG208" s="78">
        <f>IF($C208="","",IF(PULL_FUND="N","",IFERROR(BDP($C208,PAYOUT_FIELD,YR_OVERRIDE,TEXT(YEAR_Y-3,"0"))/100,"")))</f>
        <v/>
      </c>
      <c r="AH208" s="78">
        <f>IF($C208="","",IF(PULL_FUND="N","",IFERROR(BDP($C208,PAYOUT_FIELD,YR_OVERRIDE,TEXT(YEAR_Y-2,"0"))/100,"")))</f>
        <v/>
      </c>
      <c r="AI208" s="78">
        <f>IF($C208="","",IF(PULL_FUND="N","",IFERROR(BDP($C208,PAYOUT_FIELD,YR_OVERRIDE,TEXT(YEAR_Y-1,"0"))/100,"")))</f>
        <v/>
      </c>
      <c r="AJ208" s="79">
        <f>IF($C208="","",IFERROR(AVERAGE(AE208:AI208),""))</f>
        <v/>
      </c>
      <c r="AK208" s="80">
        <f>IF($C208="","",IF(ISNUMBER($AD208)*ISNUMBER($N208)*($AD208&lt;&gt;0)=0,"",$N208/$AD208))</f>
        <v/>
      </c>
      <c r="AL208" s="79">
        <f>IF($C208="","",IF(ISNUMBER($AD208)*($AD208&lt;&gt;0)=0,"",$M208/$AD208))</f>
        <v/>
      </c>
      <c r="AM208" s="37">
        <f>IF($C208="","",IF(ISNUMBER($AE208)*ISNUMBER($AI208)=0,"",IF($AI208&gt;$AE208+0.05,"rising",IF($AI208&lt;$AE208-0.05,"falling","stable"))))</f>
        <v/>
      </c>
      <c r="AN208" s="81">
        <f>IF($C208="","",IF(PULL_FUND="N","",IF(COUNTIFS('Fund History'!$G$1192:$G$1196,"&gt;="&amp;DATE(YEAR_Y-4,1,1),'Fund History'!$G$1192:$G$1196,"&lt;="&amp;DATE(YEAR_Y-4,12,31))=0,"",SUMIFS('Fund History'!$H$1192:$H$1196,'Fund History'!$G$1192:$G$1196,"&gt;="&amp;DATE(YEAR_Y-4,1,1),'Fund History'!$G$1192:$G$1196,"&lt;="&amp;DATE(YEAR_Y-4,12,31))/100)))</f>
        <v/>
      </c>
      <c r="AO208" s="82">
        <f>IF($C208="","",IF(PULL_FUND="N","",IF(COUNTIFS('Fund History'!$G$1192:$G$1196,"&gt;="&amp;DATE(YEAR_Y-3,1,1),'Fund History'!$G$1192:$G$1196,"&lt;="&amp;DATE(YEAR_Y-3,12,31))=0,"",SUMIFS('Fund History'!$H$1192:$H$1196,'Fund History'!$G$1192:$G$1196,"&gt;="&amp;DATE(YEAR_Y-3,1,1),'Fund History'!$G$1192:$G$1196,"&lt;="&amp;DATE(YEAR_Y-3,12,31))/100)))</f>
        <v/>
      </c>
      <c r="AP208" s="82">
        <f>IF($C208="","",IF(PULL_FUND="N","",IF(COUNTIFS('Fund History'!$G$1192:$G$1196,"&gt;="&amp;DATE(YEAR_Y-2,1,1),'Fund History'!$G$1192:$G$1196,"&lt;="&amp;DATE(YEAR_Y-2,12,31))=0,"",SUMIFS('Fund History'!$H$1192:$H$1196,'Fund History'!$G$1192:$G$1196,"&gt;="&amp;DATE(YEAR_Y-2,1,1),'Fund History'!$G$1192:$G$1196,"&lt;="&amp;DATE(YEAR_Y-2,12,31))/100)))</f>
        <v/>
      </c>
      <c r="AQ208" s="82">
        <f>IF($C208="","",IF(PULL_FUND="N","",IF(COUNTIFS('Fund History'!$G$1192:$G$1196,"&gt;="&amp;DATE(YEAR_Y-1,1,1),'Fund History'!$G$1192:$G$1196,"&lt;="&amp;DATE(YEAR_Y-1,12,31))=0,"",SUMIFS('Fund History'!$H$1192:$H$1196,'Fund History'!$G$1192:$G$1196,"&gt;="&amp;DATE(YEAR_Y-1,1,1),'Fund History'!$G$1192:$G$1196,"&lt;="&amp;DATE(YEAR_Y-1,12,31))/100)))</f>
        <v/>
      </c>
      <c r="AR208" s="83">
        <f>IF($C208="","",IF(N($AQ208)+N(HSCEI!$I$63)=0,"",N($AQ208)+N(HSCEI!$I$63)/100))</f>
        <v/>
      </c>
      <c r="AS208" s="75">
        <f>IF($C208="","",IF(PULL_FUND="N","",IF(COUNTIFS('Fund History'!$D$1192:$D$1196,"&gt;="&amp;DATE(YEAR_Y-2,1,1),'Fund History'!$D$1192:$D$1196,"&lt;="&amp;DATE(YEAR_Y-2,12,31))=0,"",SUMIFS('Fund History'!$E$1192:$E$1196,'Fund History'!$D$1192:$D$1196,"&gt;="&amp;DATE(YEAR_Y-2,1,1),'Fund History'!$D$1192:$D$1196,"&lt;="&amp;DATE(YEAR_Y-2,12,31)))))</f>
        <v/>
      </c>
      <c r="AT208" s="76">
        <f>IF($C208="","",IF(PULL_FUND="N","",IF(COUNTIFS('Fund History'!$D$1192:$D$1196,"&gt;="&amp;DATE(YEAR_Y-1,1,1),'Fund History'!$D$1192:$D$1196,"&lt;="&amp;DATE(YEAR_Y-1,12,31))=0,"",SUMIFS('Fund History'!$E$1192:$E$1196,'Fund History'!$D$1192:$D$1196,"&gt;="&amp;DATE(YEAR_Y-1,1,1),'Fund History'!$D$1192:$D$1196,"&lt;="&amp;DATE(YEAR_Y-1,12,31)))))</f>
        <v/>
      </c>
      <c r="AU208" s="76">
        <f>IF($C208="","",IF(PULL_FUND="N","",IFERROR(BDP($C208,NDEBITDA_FIELD),"")))</f>
        <v/>
      </c>
      <c r="AV208" s="84">
        <f>IF($C208="","",IF(PULL_FUND="N","",IFERROR(BDP($C208,EBINT_FIELD),"")))</f>
        <v/>
      </c>
      <c r="AW208" s="82">
        <f>IF($C208="","",IF(PULL_FUND="N","",IFERROR(BDP($C208,FCF_FIELD)/100,"")))</f>
        <v/>
      </c>
      <c r="AX208" s="50">
        <f>IF($C208="","",IF(N($U208)=0,"",IFERROR($AW208/$U208,"")))</f>
        <v/>
      </c>
      <c r="AY208" s="85">
        <f>IF($C208="","",TRIM(IF(ISNUMBER($AJ208)*(N($AJ208)&gt;$D$4)&gt;0,"payout high  ","")&amp;IF(ISNUMBER($AX208)*(N($AX208)&lt;$F$4)&gt;0,"FCF below dvd  ","")&amp;IF(ISNUMBER($AU208)*(N($AU208)&gt;$H$4)&gt;0,"leverage high","")))</f>
        <v/>
      </c>
      <c r="AZ208" s="86">
        <f>IF($C208="","",IF(HSCEI!$F$63="HKD","",HSCEI!$F$63))</f>
        <v/>
      </c>
    </row>
    <row r="209">
      <c r="B209" s="66" t="inlineStr">
        <is>
          <t>HSCEI</t>
        </is>
      </c>
      <c r="C209" s="8">
        <f>IF(HSCEI!$C$64="","",HSCEI!$C$64)</f>
        <v/>
      </c>
      <c r="D209" s="8">
        <f>IF($C209="","",HSCEI!$D$64)</f>
        <v/>
      </c>
      <c r="E209" s="8">
        <f>IF($C209="","",HSCEI!$E$64)</f>
        <v/>
      </c>
      <c r="F209" s="67">
        <f>IF($C209="","",SUMPRODUCT(('Dvd Calendar'!$E$2188:$AR$2188&gt;=DATE(YEAR_Y-5,1,1))*('Dvd Calendar'!$E$2188:$AR$2188&lt;=DATE(YEAR_Y-5,12,31))*'Dvd Calendar'!$E$2191:$AR$2191*(('Dvd Calendar'!$E$2193:$AR$2193=TYPE1)*(TYPE1&lt;&gt;"")+('Dvd Calendar'!$E$2193:$AR$2193=TYPE2)*(TYPE2&lt;&gt;"")+('Dvd Calendar'!$E$2193:$AR$2193=TYPE3)*(TYPE3&lt;&gt;"")+('Dvd Calendar'!$E$2193:$AR$2193=TYPE4)*(TYPE4&lt;&gt;"")+('Dvd Calendar'!$E$2193:$AR$2193=SPECIAL_LBL)*(INC_SPECIALS="Y"))))</f>
        <v/>
      </c>
      <c r="G209" s="68">
        <f>IF($C209="","",SUMPRODUCT(('Dvd Calendar'!$E$2188:$AR$2188&gt;=DATE(YEAR_Y-4,1,1))*('Dvd Calendar'!$E$2188:$AR$2188&lt;=DATE(YEAR_Y-4,12,31))*'Dvd Calendar'!$E$2191:$AR$2191*(('Dvd Calendar'!$E$2193:$AR$2193=TYPE1)*(TYPE1&lt;&gt;"")+('Dvd Calendar'!$E$2193:$AR$2193=TYPE2)*(TYPE2&lt;&gt;"")+('Dvd Calendar'!$E$2193:$AR$2193=TYPE3)*(TYPE3&lt;&gt;"")+('Dvd Calendar'!$E$2193:$AR$2193=TYPE4)*(TYPE4&lt;&gt;"")+('Dvd Calendar'!$E$2193:$AR$2193=SPECIAL_LBL)*(INC_SPECIALS="Y"))))</f>
        <v/>
      </c>
      <c r="H209" s="68">
        <f>IF($C209="","",SUMPRODUCT(('Dvd Calendar'!$E$2188:$AR$2188&gt;=DATE(YEAR_Y-3,1,1))*('Dvd Calendar'!$E$2188:$AR$2188&lt;=DATE(YEAR_Y-3,12,31))*'Dvd Calendar'!$E$2191:$AR$2191*(('Dvd Calendar'!$E$2193:$AR$2193=TYPE1)*(TYPE1&lt;&gt;"")+('Dvd Calendar'!$E$2193:$AR$2193=TYPE2)*(TYPE2&lt;&gt;"")+('Dvd Calendar'!$E$2193:$AR$2193=TYPE3)*(TYPE3&lt;&gt;"")+('Dvd Calendar'!$E$2193:$AR$2193=TYPE4)*(TYPE4&lt;&gt;"")+('Dvd Calendar'!$E$2193:$AR$2193=SPECIAL_LBL)*(INC_SPECIALS="Y"))))</f>
        <v/>
      </c>
      <c r="I209" s="68">
        <f>IF($C209="","",SUMPRODUCT(('Dvd Calendar'!$E$2188:$AR$2188&gt;=DATE(YEAR_Y-2,1,1))*('Dvd Calendar'!$E$2188:$AR$2188&lt;=DATE(YEAR_Y-2,12,31))*'Dvd Calendar'!$E$2191:$AR$2191*(('Dvd Calendar'!$E$2193:$AR$2193=TYPE1)*(TYPE1&lt;&gt;"")+('Dvd Calendar'!$E$2193:$AR$2193=TYPE2)*(TYPE2&lt;&gt;"")+('Dvd Calendar'!$E$2193:$AR$2193=TYPE3)*(TYPE3&lt;&gt;"")+('Dvd Calendar'!$E$2193:$AR$2193=TYPE4)*(TYPE4&lt;&gt;"")+('Dvd Calendar'!$E$2193:$AR$2193=SPECIAL_LBL)*(INC_SPECIALS="Y"))))</f>
        <v/>
      </c>
      <c r="J209" s="68">
        <f>IF($C209="","",SUMPRODUCT(('Dvd Calendar'!$E$2188:$AR$2188&gt;=DATE(YEAR_Y-1,1,1))*('Dvd Calendar'!$E$2188:$AR$2188&lt;=DATE(YEAR_Y-1,12,31))*'Dvd Calendar'!$E$2191:$AR$2191*(('Dvd Calendar'!$E$2193:$AR$2193=TYPE1)*(TYPE1&lt;&gt;"")+('Dvd Calendar'!$E$2193:$AR$2193=TYPE2)*(TYPE2&lt;&gt;"")+('Dvd Calendar'!$E$2193:$AR$2193=TYPE3)*(TYPE3&lt;&gt;"")+('Dvd Calendar'!$E$2193:$AR$2193=TYPE4)*(TYPE4&lt;&gt;"")+('Dvd Calendar'!$E$2193:$AR$2193=SPECIAL_LBL)*(INC_SPECIALS="Y"))))</f>
        <v/>
      </c>
      <c r="K209" s="69">
        <f>IF($C209="","",HSCEI!$J$64)</f>
        <v/>
      </c>
      <c r="L209" s="69">
        <f>IF($C209="","",HSCEI!$K$64)</f>
        <v/>
      </c>
      <c r="M209" s="44">
        <f>IF($C209="","",HSCEI!$J$64+HSCEI!$L$64)</f>
        <v/>
      </c>
      <c r="N209" s="70">
        <f>IF($C209="","",IF(PULL_FUND="N","",IFERROR(BDP($C209,BESTDPS_FIELD,FWD_OVERRIDE,TEXT(MOD(YEAR_Y,100),"00")&amp;"Y"),"")))</f>
        <v/>
      </c>
      <c r="O209" s="69">
        <f>IF($C209="","",AVERAGE(F209:J209))</f>
        <v/>
      </c>
      <c r="P209" s="71">
        <f>IF($C209="","",IF(PULL_FUND="N","",IF(COUNTIFS('Fund History'!$J$1198:$J$1202,"&gt;="&amp;DATE(YEAR_Y-5,1,1),'Fund History'!$J$1198:$J$1202,"&lt;="&amp;DATE(YEAR_Y-5,12,31))=0,"",IFERROR($F209*HSCEI!$G$64/SUMIFS('Fund History'!$K$1198:$K$1202,'Fund History'!$J$1198:$J$1202,"&gt;="&amp;DATE(YEAR_Y-5,1,1),'Fund History'!$J$1198:$J$1202,"&lt;="&amp;DATE(YEAR_Y-5,12,31)),""))))</f>
        <v/>
      </c>
      <c r="Q209" s="72">
        <f>IF($C209="","",IF(PULL_FUND="N","",IF(COUNTIFS('Fund History'!$J$1198:$J$1202,"&gt;="&amp;DATE(YEAR_Y-4,1,1),'Fund History'!$J$1198:$J$1202,"&lt;="&amp;DATE(YEAR_Y-4,12,31))=0,"",IFERROR($G209*HSCEI!$G$64/SUMIFS('Fund History'!$K$1198:$K$1202,'Fund History'!$J$1198:$J$1202,"&gt;="&amp;DATE(YEAR_Y-4,1,1),'Fund History'!$J$1198:$J$1202,"&lt;="&amp;DATE(YEAR_Y-4,12,31)),""))))</f>
        <v/>
      </c>
      <c r="R209" s="72">
        <f>IF($C209="","",IF(PULL_FUND="N","",IF(COUNTIFS('Fund History'!$J$1198:$J$1202,"&gt;="&amp;DATE(YEAR_Y-3,1,1),'Fund History'!$J$1198:$J$1202,"&lt;="&amp;DATE(YEAR_Y-3,12,31))=0,"",IFERROR($H209*HSCEI!$G$64/SUMIFS('Fund History'!$K$1198:$K$1202,'Fund History'!$J$1198:$J$1202,"&gt;="&amp;DATE(YEAR_Y-3,1,1),'Fund History'!$J$1198:$J$1202,"&lt;="&amp;DATE(YEAR_Y-3,12,31)),""))))</f>
        <v/>
      </c>
      <c r="S209" s="72">
        <f>IF($C209="","",IF(PULL_FUND="N","",IF(COUNTIFS('Fund History'!$J$1198:$J$1202,"&gt;="&amp;DATE(YEAR_Y-2,1,1),'Fund History'!$J$1198:$J$1202,"&lt;="&amp;DATE(YEAR_Y-2,12,31))=0,"",IFERROR($I209*HSCEI!$G$64/SUMIFS('Fund History'!$K$1198:$K$1202,'Fund History'!$J$1198:$J$1202,"&gt;="&amp;DATE(YEAR_Y-2,1,1),'Fund History'!$J$1198:$J$1202,"&lt;="&amp;DATE(YEAR_Y-2,12,31)),""))))</f>
        <v/>
      </c>
      <c r="T209" s="72">
        <f>IF($C209="","",IF(PULL_FUND="N","",IF(COUNTIFS('Fund History'!$J$1198:$J$1202,"&gt;="&amp;DATE(YEAR_Y-1,1,1),'Fund History'!$J$1198:$J$1202,"&lt;="&amp;DATE(YEAR_Y-1,12,31))=0,"",IFERROR($J209*HSCEI!$G$64/SUMIFS('Fund History'!$K$1198:$K$1202,'Fund History'!$J$1198:$J$1202,"&gt;="&amp;DATE(YEAR_Y-1,1,1),'Fund History'!$J$1198:$J$1202,"&lt;="&amp;DATE(YEAR_Y-1,12,31)),""))))</f>
        <v/>
      </c>
      <c r="U209" s="73">
        <f>IF($C209="","",IF(ISNUMBER(HSCEI!$I$64),HSCEI!$I$64/100,""))</f>
        <v/>
      </c>
      <c r="V209" s="74">
        <f>IF($C209="","",IF(ISNUMBER(HSCEI!$X$64),IFERROR($M209*HSCEI!$G$64/HSCEI!$X$64,""),""))</f>
        <v/>
      </c>
      <c r="W209" s="73">
        <f>IF($C209="","",IF(ISNUMBER($N209),IFERROR($N209*HSCEI!$G$64/HSCEI!$X$64,""),""))</f>
        <v/>
      </c>
      <c r="X209" s="75">
        <f>IF($C209="","",IF(PULL_FUND="N","",IFERROR(BDP($C209,EPS_FIELD,YR_OVERRIDE,TEXT(YEAR_Y-5,"0")),"")))</f>
        <v/>
      </c>
      <c r="Y209" s="76">
        <f>IF($C209="","",IF(PULL_FUND="N","",IFERROR(BDP($C209,EPS_FIELD,YR_OVERRIDE,TEXT(YEAR_Y-4,"0")),"")))</f>
        <v/>
      </c>
      <c r="Z209" s="76">
        <f>IF($C209="","",IF(PULL_FUND="N","",IFERROR(BDP($C209,EPS_FIELD,YR_OVERRIDE,TEXT(YEAR_Y-3,"0")),"")))</f>
        <v/>
      </c>
      <c r="AA209" s="76">
        <f>IF($C209="","",IF(PULL_FUND="N","",IFERROR(BDP($C209,EPS_FIELD,YR_OVERRIDE,TEXT(YEAR_Y-2,"0")),"")))</f>
        <v/>
      </c>
      <c r="AB209" s="76">
        <f>IF($C209="","",IF(PULL_FUND="N","",IFERROR(BDP($C209,EPS_FIELD,YR_OVERRIDE,TEXT(YEAR_Y-1,"0")),"")))</f>
        <v/>
      </c>
      <c r="AC209" s="50">
        <f>IF($C209="","",IFERROR(AVERAGE(X209:AB209),""))</f>
        <v/>
      </c>
      <c r="AD209" s="76">
        <f>IF($C209="","",IF(PULL_FUND="N","",IFERROR(BDP($C209,BESTEPS_FIELD,FWD_OVERRIDE,TEXT(MOD(YEAR_Y,100),"00")&amp;"Y"),"")))</f>
        <v/>
      </c>
      <c r="AE209" s="77">
        <f>IF($C209="","",IF(PULL_FUND="N","",IFERROR(BDP($C209,PAYOUT_FIELD,YR_OVERRIDE,TEXT(YEAR_Y-5,"0"))/100,"")))</f>
        <v/>
      </c>
      <c r="AF209" s="78">
        <f>IF($C209="","",IF(PULL_FUND="N","",IFERROR(BDP($C209,PAYOUT_FIELD,YR_OVERRIDE,TEXT(YEAR_Y-4,"0"))/100,"")))</f>
        <v/>
      </c>
      <c r="AG209" s="78">
        <f>IF($C209="","",IF(PULL_FUND="N","",IFERROR(BDP($C209,PAYOUT_FIELD,YR_OVERRIDE,TEXT(YEAR_Y-3,"0"))/100,"")))</f>
        <v/>
      </c>
      <c r="AH209" s="78">
        <f>IF($C209="","",IF(PULL_FUND="N","",IFERROR(BDP($C209,PAYOUT_FIELD,YR_OVERRIDE,TEXT(YEAR_Y-2,"0"))/100,"")))</f>
        <v/>
      </c>
      <c r="AI209" s="78">
        <f>IF($C209="","",IF(PULL_FUND="N","",IFERROR(BDP($C209,PAYOUT_FIELD,YR_OVERRIDE,TEXT(YEAR_Y-1,"0"))/100,"")))</f>
        <v/>
      </c>
      <c r="AJ209" s="79">
        <f>IF($C209="","",IFERROR(AVERAGE(AE209:AI209),""))</f>
        <v/>
      </c>
      <c r="AK209" s="80">
        <f>IF($C209="","",IF(ISNUMBER($AD209)*ISNUMBER($N209)*($AD209&lt;&gt;0)=0,"",$N209/$AD209))</f>
        <v/>
      </c>
      <c r="AL209" s="79">
        <f>IF($C209="","",IF(ISNUMBER($AD209)*($AD209&lt;&gt;0)=0,"",$M209/$AD209))</f>
        <v/>
      </c>
      <c r="AM209" s="37">
        <f>IF($C209="","",IF(ISNUMBER($AE209)*ISNUMBER($AI209)=0,"",IF($AI209&gt;$AE209+0.05,"rising",IF($AI209&lt;$AE209-0.05,"falling","stable"))))</f>
        <v/>
      </c>
      <c r="AN209" s="81">
        <f>IF($C209="","",IF(PULL_FUND="N","",IF(COUNTIFS('Fund History'!$G$1198:$G$1202,"&gt;="&amp;DATE(YEAR_Y-4,1,1),'Fund History'!$G$1198:$G$1202,"&lt;="&amp;DATE(YEAR_Y-4,12,31))=0,"",SUMIFS('Fund History'!$H$1198:$H$1202,'Fund History'!$G$1198:$G$1202,"&gt;="&amp;DATE(YEAR_Y-4,1,1),'Fund History'!$G$1198:$G$1202,"&lt;="&amp;DATE(YEAR_Y-4,12,31))/100)))</f>
        <v/>
      </c>
      <c r="AO209" s="82">
        <f>IF($C209="","",IF(PULL_FUND="N","",IF(COUNTIFS('Fund History'!$G$1198:$G$1202,"&gt;="&amp;DATE(YEAR_Y-3,1,1),'Fund History'!$G$1198:$G$1202,"&lt;="&amp;DATE(YEAR_Y-3,12,31))=0,"",SUMIFS('Fund History'!$H$1198:$H$1202,'Fund History'!$G$1198:$G$1202,"&gt;="&amp;DATE(YEAR_Y-3,1,1),'Fund History'!$G$1198:$G$1202,"&lt;="&amp;DATE(YEAR_Y-3,12,31))/100)))</f>
        <v/>
      </c>
      <c r="AP209" s="82">
        <f>IF($C209="","",IF(PULL_FUND="N","",IF(COUNTIFS('Fund History'!$G$1198:$G$1202,"&gt;="&amp;DATE(YEAR_Y-2,1,1),'Fund History'!$G$1198:$G$1202,"&lt;="&amp;DATE(YEAR_Y-2,12,31))=0,"",SUMIFS('Fund History'!$H$1198:$H$1202,'Fund History'!$G$1198:$G$1202,"&gt;="&amp;DATE(YEAR_Y-2,1,1),'Fund History'!$G$1198:$G$1202,"&lt;="&amp;DATE(YEAR_Y-2,12,31))/100)))</f>
        <v/>
      </c>
      <c r="AQ209" s="82">
        <f>IF($C209="","",IF(PULL_FUND="N","",IF(COUNTIFS('Fund History'!$G$1198:$G$1202,"&gt;="&amp;DATE(YEAR_Y-1,1,1),'Fund History'!$G$1198:$G$1202,"&lt;="&amp;DATE(YEAR_Y-1,12,31))=0,"",SUMIFS('Fund History'!$H$1198:$H$1202,'Fund History'!$G$1198:$G$1202,"&gt;="&amp;DATE(YEAR_Y-1,1,1),'Fund History'!$G$1198:$G$1202,"&lt;="&amp;DATE(YEAR_Y-1,12,31))/100)))</f>
        <v/>
      </c>
      <c r="AR209" s="83">
        <f>IF($C209="","",IF(N($AQ209)+N(HSCEI!$I$64)=0,"",N($AQ209)+N(HSCEI!$I$64)/100))</f>
        <v/>
      </c>
      <c r="AS209" s="75">
        <f>IF($C209="","",IF(PULL_FUND="N","",IF(COUNTIFS('Fund History'!$D$1198:$D$1202,"&gt;="&amp;DATE(YEAR_Y-2,1,1),'Fund History'!$D$1198:$D$1202,"&lt;="&amp;DATE(YEAR_Y-2,12,31))=0,"",SUMIFS('Fund History'!$E$1198:$E$1202,'Fund History'!$D$1198:$D$1202,"&gt;="&amp;DATE(YEAR_Y-2,1,1),'Fund History'!$D$1198:$D$1202,"&lt;="&amp;DATE(YEAR_Y-2,12,31)))))</f>
        <v/>
      </c>
      <c r="AT209" s="76">
        <f>IF($C209="","",IF(PULL_FUND="N","",IF(COUNTIFS('Fund History'!$D$1198:$D$1202,"&gt;="&amp;DATE(YEAR_Y-1,1,1),'Fund History'!$D$1198:$D$1202,"&lt;="&amp;DATE(YEAR_Y-1,12,31))=0,"",SUMIFS('Fund History'!$E$1198:$E$1202,'Fund History'!$D$1198:$D$1202,"&gt;="&amp;DATE(YEAR_Y-1,1,1),'Fund History'!$D$1198:$D$1202,"&lt;="&amp;DATE(YEAR_Y-1,12,31)))))</f>
        <v/>
      </c>
      <c r="AU209" s="76">
        <f>IF($C209="","",IF(PULL_FUND="N","",IFERROR(BDP($C209,NDEBITDA_FIELD),"")))</f>
        <v/>
      </c>
      <c r="AV209" s="84">
        <f>IF($C209="","",IF(PULL_FUND="N","",IFERROR(BDP($C209,EBINT_FIELD),"")))</f>
        <v/>
      </c>
      <c r="AW209" s="82">
        <f>IF($C209="","",IF(PULL_FUND="N","",IFERROR(BDP($C209,FCF_FIELD)/100,"")))</f>
        <v/>
      </c>
      <c r="AX209" s="50">
        <f>IF($C209="","",IF(N($U209)=0,"",IFERROR($AW209/$U209,"")))</f>
        <v/>
      </c>
      <c r="AY209" s="85">
        <f>IF($C209="","",TRIM(IF(ISNUMBER($AJ209)*(N($AJ209)&gt;$D$4)&gt;0,"payout high  ","")&amp;IF(ISNUMBER($AX209)*(N($AX209)&lt;$F$4)&gt;0,"FCF below dvd  ","")&amp;IF(ISNUMBER($AU209)*(N($AU209)&gt;$H$4)&gt;0,"leverage high","")))</f>
        <v/>
      </c>
      <c r="AZ209" s="86">
        <f>IF($C209="","",IF(HSCEI!$F$64="HKD","",HSCEI!$F$64))</f>
        <v/>
      </c>
    </row>
    <row r="210">
      <c r="B210" s="66" t="inlineStr">
        <is>
          <t>HSCEI</t>
        </is>
      </c>
      <c r="C210" s="8">
        <f>IF(HSCEI!$C$65="","",HSCEI!$C$65)</f>
        <v/>
      </c>
      <c r="D210" s="8">
        <f>IF($C210="","",HSCEI!$D$65)</f>
        <v/>
      </c>
      <c r="E210" s="8">
        <f>IF($C210="","",HSCEI!$E$65)</f>
        <v/>
      </c>
      <c r="F210" s="67">
        <f>IF($C210="","",SUMPRODUCT(('Dvd Calendar'!$E$2199:$AR$2199&gt;=DATE(YEAR_Y-5,1,1))*('Dvd Calendar'!$E$2199:$AR$2199&lt;=DATE(YEAR_Y-5,12,31))*'Dvd Calendar'!$E$2202:$AR$2202*(('Dvd Calendar'!$E$2204:$AR$2204=TYPE1)*(TYPE1&lt;&gt;"")+('Dvd Calendar'!$E$2204:$AR$2204=TYPE2)*(TYPE2&lt;&gt;"")+('Dvd Calendar'!$E$2204:$AR$2204=TYPE3)*(TYPE3&lt;&gt;"")+('Dvd Calendar'!$E$2204:$AR$2204=TYPE4)*(TYPE4&lt;&gt;"")+('Dvd Calendar'!$E$2204:$AR$2204=SPECIAL_LBL)*(INC_SPECIALS="Y"))))</f>
        <v/>
      </c>
      <c r="G210" s="68">
        <f>IF($C210="","",SUMPRODUCT(('Dvd Calendar'!$E$2199:$AR$2199&gt;=DATE(YEAR_Y-4,1,1))*('Dvd Calendar'!$E$2199:$AR$2199&lt;=DATE(YEAR_Y-4,12,31))*'Dvd Calendar'!$E$2202:$AR$2202*(('Dvd Calendar'!$E$2204:$AR$2204=TYPE1)*(TYPE1&lt;&gt;"")+('Dvd Calendar'!$E$2204:$AR$2204=TYPE2)*(TYPE2&lt;&gt;"")+('Dvd Calendar'!$E$2204:$AR$2204=TYPE3)*(TYPE3&lt;&gt;"")+('Dvd Calendar'!$E$2204:$AR$2204=TYPE4)*(TYPE4&lt;&gt;"")+('Dvd Calendar'!$E$2204:$AR$2204=SPECIAL_LBL)*(INC_SPECIALS="Y"))))</f>
        <v/>
      </c>
      <c r="H210" s="68">
        <f>IF($C210="","",SUMPRODUCT(('Dvd Calendar'!$E$2199:$AR$2199&gt;=DATE(YEAR_Y-3,1,1))*('Dvd Calendar'!$E$2199:$AR$2199&lt;=DATE(YEAR_Y-3,12,31))*'Dvd Calendar'!$E$2202:$AR$2202*(('Dvd Calendar'!$E$2204:$AR$2204=TYPE1)*(TYPE1&lt;&gt;"")+('Dvd Calendar'!$E$2204:$AR$2204=TYPE2)*(TYPE2&lt;&gt;"")+('Dvd Calendar'!$E$2204:$AR$2204=TYPE3)*(TYPE3&lt;&gt;"")+('Dvd Calendar'!$E$2204:$AR$2204=TYPE4)*(TYPE4&lt;&gt;"")+('Dvd Calendar'!$E$2204:$AR$2204=SPECIAL_LBL)*(INC_SPECIALS="Y"))))</f>
        <v/>
      </c>
      <c r="I210" s="68">
        <f>IF($C210="","",SUMPRODUCT(('Dvd Calendar'!$E$2199:$AR$2199&gt;=DATE(YEAR_Y-2,1,1))*('Dvd Calendar'!$E$2199:$AR$2199&lt;=DATE(YEAR_Y-2,12,31))*'Dvd Calendar'!$E$2202:$AR$2202*(('Dvd Calendar'!$E$2204:$AR$2204=TYPE1)*(TYPE1&lt;&gt;"")+('Dvd Calendar'!$E$2204:$AR$2204=TYPE2)*(TYPE2&lt;&gt;"")+('Dvd Calendar'!$E$2204:$AR$2204=TYPE3)*(TYPE3&lt;&gt;"")+('Dvd Calendar'!$E$2204:$AR$2204=TYPE4)*(TYPE4&lt;&gt;"")+('Dvd Calendar'!$E$2204:$AR$2204=SPECIAL_LBL)*(INC_SPECIALS="Y"))))</f>
        <v/>
      </c>
      <c r="J210" s="68">
        <f>IF($C210="","",SUMPRODUCT(('Dvd Calendar'!$E$2199:$AR$2199&gt;=DATE(YEAR_Y-1,1,1))*('Dvd Calendar'!$E$2199:$AR$2199&lt;=DATE(YEAR_Y-1,12,31))*'Dvd Calendar'!$E$2202:$AR$2202*(('Dvd Calendar'!$E$2204:$AR$2204=TYPE1)*(TYPE1&lt;&gt;"")+('Dvd Calendar'!$E$2204:$AR$2204=TYPE2)*(TYPE2&lt;&gt;"")+('Dvd Calendar'!$E$2204:$AR$2204=TYPE3)*(TYPE3&lt;&gt;"")+('Dvd Calendar'!$E$2204:$AR$2204=TYPE4)*(TYPE4&lt;&gt;"")+('Dvd Calendar'!$E$2204:$AR$2204=SPECIAL_LBL)*(INC_SPECIALS="Y"))))</f>
        <v/>
      </c>
      <c r="K210" s="69">
        <f>IF($C210="","",HSCEI!$J$65)</f>
        <v/>
      </c>
      <c r="L210" s="69">
        <f>IF($C210="","",HSCEI!$K$65)</f>
        <v/>
      </c>
      <c r="M210" s="44">
        <f>IF($C210="","",HSCEI!$J$65+HSCEI!$L$65)</f>
        <v/>
      </c>
      <c r="N210" s="70">
        <f>IF($C210="","",IF(PULL_FUND="N","",IFERROR(BDP($C210,BESTDPS_FIELD,FWD_OVERRIDE,TEXT(MOD(YEAR_Y,100),"00")&amp;"Y"),"")))</f>
        <v/>
      </c>
      <c r="O210" s="69">
        <f>IF($C210="","",AVERAGE(F210:J210))</f>
        <v/>
      </c>
      <c r="P210" s="71">
        <f>IF($C210="","",IF(PULL_FUND="N","",IF(COUNTIFS('Fund History'!$J$1204:$J$1208,"&gt;="&amp;DATE(YEAR_Y-5,1,1),'Fund History'!$J$1204:$J$1208,"&lt;="&amp;DATE(YEAR_Y-5,12,31))=0,"",IFERROR($F210*HSCEI!$G$65/SUMIFS('Fund History'!$K$1204:$K$1208,'Fund History'!$J$1204:$J$1208,"&gt;="&amp;DATE(YEAR_Y-5,1,1),'Fund History'!$J$1204:$J$1208,"&lt;="&amp;DATE(YEAR_Y-5,12,31)),""))))</f>
        <v/>
      </c>
      <c r="Q210" s="72">
        <f>IF($C210="","",IF(PULL_FUND="N","",IF(COUNTIFS('Fund History'!$J$1204:$J$1208,"&gt;="&amp;DATE(YEAR_Y-4,1,1),'Fund History'!$J$1204:$J$1208,"&lt;="&amp;DATE(YEAR_Y-4,12,31))=0,"",IFERROR($G210*HSCEI!$G$65/SUMIFS('Fund History'!$K$1204:$K$1208,'Fund History'!$J$1204:$J$1208,"&gt;="&amp;DATE(YEAR_Y-4,1,1),'Fund History'!$J$1204:$J$1208,"&lt;="&amp;DATE(YEAR_Y-4,12,31)),""))))</f>
        <v/>
      </c>
      <c r="R210" s="72">
        <f>IF($C210="","",IF(PULL_FUND="N","",IF(COUNTIFS('Fund History'!$J$1204:$J$1208,"&gt;="&amp;DATE(YEAR_Y-3,1,1),'Fund History'!$J$1204:$J$1208,"&lt;="&amp;DATE(YEAR_Y-3,12,31))=0,"",IFERROR($H210*HSCEI!$G$65/SUMIFS('Fund History'!$K$1204:$K$1208,'Fund History'!$J$1204:$J$1208,"&gt;="&amp;DATE(YEAR_Y-3,1,1),'Fund History'!$J$1204:$J$1208,"&lt;="&amp;DATE(YEAR_Y-3,12,31)),""))))</f>
        <v/>
      </c>
      <c r="S210" s="72">
        <f>IF($C210="","",IF(PULL_FUND="N","",IF(COUNTIFS('Fund History'!$J$1204:$J$1208,"&gt;="&amp;DATE(YEAR_Y-2,1,1),'Fund History'!$J$1204:$J$1208,"&lt;="&amp;DATE(YEAR_Y-2,12,31))=0,"",IFERROR($I210*HSCEI!$G$65/SUMIFS('Fund History'!$K$1204:$K$1208,'Fund History'!$J$1204:$J$1208,"&gt;="&amp;DATE(YEAR_Y-2,1,1),'Fund History'!$J$1204:$J$1208,"&lt;="&amp;DATE(YEAR_Y-2,12,31)),""))))</f>
        <v/>
      </c>
      <c r="T210" s="72">
        <f>IF($C210="","",IF(PULL_FUND="N","",IF(COUNTIFS('Fund History'!$J$1204:$J$1208,"&gt;="&amp;DATE(YEAR_Y-1,1,1),'Fund History'!$J$1204:$J$1208,"&lt;="&amp;DATE(YEAR_Y-1,12,31))=0,"",IFERROR($J210*HSCEI!$G$65/SUMIFS('Fund History'!$K$1204:$K$1208,'Fund History'!$J$1204:$J$1208,"&gt;="&amp;DATE(YEAR_Y-1,1,1),'Fund History'!$J$1204:$J$1208,"&lt;="&amp;DATE(YEAR_Y-1,12,31)),""))))</f>
        <v/>
      </c>
      <c r="U210" s="73">
        <f>IF($C210="","",IF(ISNUMBER(HSCEI!$I$65),HSCEI!$I$65/100,""))</f>
        <v/>
      </c>
      <c r="V210" s="74">
        <f>IF($C210="","",IF(ISNUMBER(HSCEI!$X$65),IFERROR($M210*HSCEI!$G$65/HSCEI!$X$65,""),""))</f>
        <v/>
      </c>
      <c r="W210" s="73">
        <f>IF($C210="","",IF(ISNUMBER($N210),IFERROR($N210*HSCEI!$G$65/HSCEI!$X$65,""),""))</f>
        <v/>
      </c>
      <c r="X210" s="75">
        <f>IF($C210="","",IF(PULL_FUND="N","",IFERROR(BDP($C210,EPS_FIELD,YR_OVERRIDE,TEXT(YEAR_Y-5,"0")),"")))</f>
        <v/>
      </c>
      <c r="Y210" s="76">
        <f>IF($C210="","",IF(PULL_FUND="N","",IFERROR(BDP($C210,EPS_FIELD,YR_OVERRIDE,TEXT(YEAR_Y-4,"0")),"")))</f>
        <v/>
      </c>
      <c r="Z210" s="76">
        <f>IF($C210="","",IF(PULL_FUND="N","",IFERROR(BDP($C210,EPS_FIELD,YR_OVERRIDE,TEXT(YEAR_Y-3,"0")),"")))</f>
        <v/>
      </c>
      <c r="AA210" s="76">
        <f>IF($C210="","",IF(PULL_FUND="N","",IFERROR(BDP($C210,EPS_FIELD,YR_OVERRIDE,TEXT(YEAR_Y-2,"0")),"")))</f>
        <v/>
      </c>
      <c r="AB210" s="76">
        <f>IF($C210="","",IF(PULL_FUND="N","",IFERROR(BDP($C210,EPS_FIELD,YR_OVERRIDE,TEXT(YEAR_Y-1,"0")),"")))</f>
        <v/>
      </c>
      <c r="AC210" s="50">
        <f>IF($C210="","",IFERROR(AVERAGE(X210:AB210),""))</f>
        <v/>
      </c>
      <c r="AD210" s="76">
        <f>IF($C210="","",IF(PULL_FUND="N","",IFERROR(BDP($C210,BESTEPS_FIELD,FWD_OVERRIDE,TEXT(MOD(YEAR_Y,100),"00")&amp;"Y"),"")))</f>
        <v/>
      </c>
      <c r="AE210" s="77">
        <f>IF($C210="","",IF(PULL_FUND="N","",IFERROR(BDP($C210,PAYOUT_FIELD,YR_OVERRIDE,TEXT(YEAR_Y-5,"0"))/100,"")))</f>
        <v/>
      </c>
      <c r="AF210" s="78">
        <f>IF($C210="","",IF(PULL_FUND="N","",IFERROR(BDP($C210,PAYOUT_FIELD,YR_OVERRIDE,TEXT(YEAR_Y-4,"0"))/100,"")))</f>
        <v/>
      </c>
      <c r="AG210" s="78">
        <f>IF($C210="","",IF(PULL_FUND="N","",IFERROR(BDP($C210,PAYOUT_FIELD,YR_OVERRIDE,TEXT(YEAR_Y-3,"0"))/100,"")))</f>
        <v/>
      </c>
      <c r="AH210" s="78">
        <f>IF($C210="","",IF(PULL_FUND="N","",IFERROR(BDP($C210,PAYOUT_FIELD,YR_OVERRIDE,TEXT(YEAR_Y-2,"0"))/100,"")))</f>
        <v/>
      </c>
      <c r="AI210" s="78">
        <f>IF($C210="","",IF(PULL_FUND="N","",IFERROR(BDP($C210,PAYOUT_FIELD,YR_OVERRIDE,TEXT(YEAR_Y-1,"0"))/100,"")))</f>
        <v/>
      </c>
      <c r="AJ210" s="79">
        <f>IF($C210="","",IFERROR(AVERAGE(AE210:AI210),""))</f>
        <v/>
      </c>
      <c r="AK210" s="80">
        <f>IF($C210="","",IF(ISNUMBER($AD210)*ISNUMBER($N210)*($AD210&lt;&gt;0)=0,"",$N210/$AD210))</f>
        <v/>
      </c>
      <c r="AL210" s="79">
        <f>IF($C210="","",IF(ISNUMBER($AD210)*($AD210&lt;&gt;0)=0,"",$M210/$AD210))</f>
        <v/>
      </c>
      <c r="AM210" s="37">
        <f>IF($C210="","",IF(ISNUMBER($AE210)*ISNUMBER($AI210)=0,"",IF($AI210&gt;$AE210+0.05,"rising",IF($AI210&lt;$AE210-0.05,"falling","stable"))))</f>
        <v/>
      </c>
      <c r="AN210" s="81">
        <f>IF($C210="","",IF(PULL_FUND="N","",IF(COUNTIFS('Fund History'!$G$1204:$G$1208,"&gt;="&amp;DATE(YEAR_Y-4,1,1),'Fund History'!$G$1204:$G$1208,"&lt;="&amp;DATE(YEAR_Y-4,12,31))=0,"",SUMIFS('Fund History'!$H$1204:$H$1208,'Fund History'!$G$1204:$G$1208,"&gt;="&amp;DATE(YEAR_Y-4,1,1),'Fund History'!$G$1204:$G$1208,"&lt;="&amp;DATE(YEAR_Y-4,12,31))/100)))</f>
        <v/>
      </c>
      <c r="AO210" s="82">
        <f>IF($C210="","",IF(PULL_FUND="N","",IF(COUNTIFS('Fund History'!$G$1204:$G$1208,"&gt;="&amp;DATE(YEAR_Y-3,1,1),'Fund History'!$G$1204:$G$1208,"&lt;="&amp;DATE(YEAR_Y-3,12,31))=0,"",SUMIFS('Fund History'!$H$1204:$H$1208,'Fund History'!$G$1204:$G$1208,"&gt;="&amp;DATE(YEAR_Y-3,1,1),'Fund History'!$G$1204:$G$1208,"&lt;="&amp;DATE(YEAR_Y-3,12,31))/100)))</f>
        <v/>
      </c>
      <c r="AP210" s="82">
        <f>IF($C210="","",IF(PULL_FUND="N","",IF(COUNTIFS('Fund History'!$G$1204:$G$1208,"&gt;="&amp;DATE(YEAR_Y-2,1,1),'Fund History'!$G$1204:$G$1208,"&lt;="&amp;DATE(YEAR_Y-2,12,31))=0,"",SUMIFS('Fund History'!$H$1204:$H$1208,'Fund History'!$G$1204:$G$1208,"&gt;="&amp;DATE(YEAR_Y-2,1,1),'Fund History'!$G$1204:$G$1208,"&lt;="&amp;DATE(YEAR_Y-2,12,31))/100)))</f>
        <v/>
      </c>
      <c r="AQ210" s="82">
        <f>IF($C210="","",IF(PULL_FUND="N","",IF(COUNTIFS('Fund History'!$G$1204:$G$1208,"&gt;="&amp;DATE(YEAR_Y-1,1,1),'Fund History'!$G$1204:$G$1208,"&lt;="&amp;DATE(YEAR_Y-1,12,31))=0,"",SUMIFS('Fund History'!$H$1204:$H$1208,'Fund History'!$G$1204:$G$1208,"&gt;="&amp;DATE(YEAR_Y-1,1,1),'Fund History'!$G$1204:$G$1208,"&lt;="&amp;DATE(YEAR_Y-1,12,31))/100)))</f>
        <v/>
      </c>
      <c r="AR210" s="83">
        <f>IF($C210="","",IF(N($AQ210)+N(HSCEI!$I$65)=0,"",N($AQ210)+N(HSCEI!$I$65)/100))</f>
        <v/>
      </c>
      <c r="AS210" s="75">
        <f>IF($C210="","",IF(PULL_FUND="N","",IF(COUNTIFS('Fund History'!$D$1204:$D$1208,"&gt;="&amp;DATE(YEAR_Y-2,1,1),'Fund History'!$D$1204:$D$1208,"&lt;="&amp;DATE(YEAR_Y-2,12,31))=0,"",SUMIFS('Fund History'!$E$1204:$E$1208,'Fund History'!$D$1204:$D$1208,"&gt;="&amp;DATE(YEAR_Y-2,1,1),'Fund History'!$D$1204:$D$1208,"&lt;="&amp;DATE(YEAR_Y-2,12,31)))))</f>
        <v/>
      </c>
      <c r="AT210" s="76">
        <f>IF($C210="","",IF(PULL_FUND="N","",IF(COUNTIFS('Fund History'!$D$1204:$D$1208,"&gt;="&amp;DATE(YEAR_Y-1,1,1),'Fund History'!$D$1204:$D$1208,"&lt;="&amp;DATE(YEAR_Y-1,12,31))=0,"",SUMIFS('Fund History'!$E$1204:$E$1208,'Fund History'!$D$1204:$D$1208,"&gt;="&amp;DATE(YEAR_Y-1,1,1),'Fund History'!$D$1204:$D$1208,"&lt;="&amp;DATE(YEAR_Y-1,12,31)))))</f>
        <v/>
      </c>
      <c r="AU210" s="76">
        <f>IF($C210="","",IF(PULL_FUND="N","",IFERROR(BDP($C210,NDEBITDA_FIELD),"")))</f>
        <v/>
      </c>
      <c r="AV210" s="84">
        <f>IF($C210="","",IF(PULL_FUND="N","",IFERROR(BDP($C210,EBINT_FIELD),"")))</f>
        <v/>
      </c>
      <c r="AW210" s="82">
        <f>IF($C210="","",IF(PULL_FUND="N","",IFERROR(BDP($C210,FCF_FIELD)/100,"")))</f>
        <v/>
      </c>
      <c r="AX210" s="50">
        <f>IF($C210="","",IF(N($U210)=0,"",IFERROR($AW210/$U210,"")))</f>
        <v/>
      </c>
      <c r="AY210" s="85">
        <f>IF($C210="","",TRIM(IF(ISNUMBER($AJ210)*(N($AJ210)&gt;$D$4)&gt;0,"payout high  ","")&amp;IF(ISNUMBER($AX210)*(N($AX210)&lt;$F$4)&gt;0,"FCF below dvd  ","")&amp;IF(ISNUMBER($AU210)*(N($AU210)&gt;$H$4)&gt;0,"leverage high","")))</f>
        <v/>
      </c>
      <c r="AZ210" s="86">
        <f>IF($C210="","",IF(HSCEI!$F$65="HKD","",HSCEI!$F$65))</f>
        <v/>
      </c>
    </row>
    <row r="211">
      <c r="B211" s="66" t="inlineStr">
        <is>
          <t>HSCEI</t>
        </is>
      </c>
      <c r="C211" s="8">
        <f>IF(HSCEI!$C$66="","",HSCEI!$C$66)</f>
        <v/>
      </c>
      <c r="D211" s="8">
        <f>IF($C211="","",HSCEI!$D$66)</f>
        <v/>
      </c>
      <c r="E211" s="8">
        <f>IF($C211="","",HSCEI!$E$66)</f>
        <v/>
      </c>
      <c r="F211" s="67">
        <f>IF($C211="","",SUMPRODUCT(('Dvd Calendar'!$E$2210:$AR$2210&gt;=DATE(YEAR_Y-5,1,1))*('Dvd Calendar'!$E$2210:$AR$2210&lt;=DATE(YEAR_Y-5,12,31))*'Dvd Calendar'!$E$2213:$AR$2213*(('Dvd Calendar'!$E$2215:$AR$2215=TYPE1)*(TYPE1&lt;&gt;"")+('Dvd Calendar'!$E$2215:$AR$2215=TYPE2)*(TYPE2&lt;&gt;"")+('Dvd Calendar'!$E$2215:$AR$2215=TYPE3)*(TYPE3&lt;&gt;"")+('Dvd Calendar'!$E$2215:$AR$2215=TYPE4)*(TYPE4&lt;&gt;"")+('Dvd Calendar'!$E$2215:$AR$2215=SPECIAL_LBL)*(INC_SPECIALS="Y"))))</f>
        <v/>
      </c>
      <c r="G211" s="68">
        <f>IF($C211="","",SUMPRODUCT(('Dvd Calendar'!$E$2210:$AR$2210&gt;=DATE(YEAR_Y-4,1,1))*('Dvd Calendar'!$E$2210:$AR$2210&lt;=DATE(YEAR_Y-4,12,31))*'Dvd Calendar'!$E$2213:$AR$2213*(('Dvd Calendar'!$E$2215:$AR$2215=TYPE1)*(TYPE1&lt;&gt;"")+('Dvd Calendar'!$E$2215:$AR$2215=TYPE2)*(TYPE2&lt;&gt;"")+('Dvd Calendar'!$E$2215:$AR$2215=TYPE3)*(TYPE3&lt;&gt;"")+('Dvd Calendar'!$E$2215:$AR$2215=TYPE4)*(TYPE4&lt;&gt;"")+('Dvd Calendar'!$E$2215:$AR$2215=SPECIAL_LBL)*(INC_SPECIALS="Y"))))</f>
        <v/>
      </c>
      <c r="H211" s="68">
        <f>IF($C211="","",SUMPRODUCT(('Dvd Calendar'!$E$2210:$AR$2210&gt;=DATE(YEAR_Y-3,1,1))*('Dvd Calendar'!$E$2210:$AR$2210&lt;=DATE(YEAR_Y-3,12,31))*'Dvd Calendar'!$E$2213:$AR$2213*(('Dvd Calendar'!$E$2215:$AR$2215=TYPE1)*(TYPE1&lt;&gt;"")+('Dvd Calendar'!$E$2215:$AR$2215=TYPE2)*(TYPE2&lt;&gt;"")+('Dvd Calendar'!$E$2215:$AR$2215=TYPE3)*(TYPE3&lt;&gt;"")+('Dvd Calendar'!$E$2215:$AR$2215=TYPE4)*(TYPE4&lt;&gt;"")+('Dvd Calendar'!$E$2215:$AR$2215=SPECIAL_LBL)*(INC_SPECIALS="Y"))))</f>
        <v/>
      </c>
      <c r="I211" s="68">
        <f>IF($C211="","",SUMPRODUCT(('Dvd Calendar'!$E$2210:$AR$2210&gt;=DATE(YEAR_Y-2,1,1))*('Dvd Calendar'!$E$2210:$AR$2210&lt;=DATE(YEAR_Y-2,12,31))*'Dvd Calendar'!$E$2213:$AR$2213*(('Dvd Calendar'!$E$2215:$AR$2215=TYPE1)*(TYPE1&lt;&gt;"")+('Dvd Calendar'!$E$2215:$AR$2215=TYPE2)*(TYPE2&lt;&gt;"")+('Dvd Calendar'!$E$2215:$AR$2215=TYPE3)*(TYPE3&lt;&gt;"")+('Dvd Calendar'!$E$2215:$AR$2215=TYPE4)*(TYPE4&lt;&gt;"")+('Dvd Calendar'!$E$2215:$AR$2215=SPECIAL_LBL)*(INC_SPECIALS="Y"))))</f>
        <v/>
      </c>
      <c r="J211" s="68">
        <f>IF($C211="","",SUMPRODUCT(('Dvd Calendar'!$E$2210:$AR$2210&gt;=DATE(YEAR_Y-1,1,1))*('Dvd Calendar'!$E$2210:$AR$2210&lt;=DATE(YEAR_Y-1,12,31))*'Dvd Calendar'!$E$2213:$AR$2213*(('Dvd Calendar'!$E$2215:$AR$2215=TYPE1)*(TYPE1&lt;&gt;"")+('Dvd Calendar'!$E$2215:$AR$2215=TYPE2)*(TYPE2&lt;&gt;"")+('Dvd Calendar'!$E$2215:$AR$2215=TYPE3)*(TYPE3&lt;&gt;"")+('Dvd Calendar'!$E$2215:$AR$2215=TYPE4)*(TYPE4&lt;&gt;"")+('Dvd Calendar'!$E$2215:$AR$2215=SPECIAL_LBL)*(INC_SPECIALS="Y"))))</f>
        <v/>
      </c>
      <c r="K211" s="69">
        <f>IF($C211="","",HSCEI!$J$66)</f>
        <v/>
      </c>
      <c r="L211" s="69">
        <f>IF($C211="","",HSCEI!$K$66)</f>
        <v/>
      </c>
      <c r="M211" s="44">
        <f>IF($C211="","",HSCEI!$J$66+HSCEI!$L$66)</f>
        <v/>
      </c>
      <c r="N211" s="70">
        <f>IF($C211="","",IF(PULL_FUND="N","",IFERROR(BDP($C211,BESTDPS_FIELD,FWD_OVERRIDE,TEXT(MOD(YEAR_Y,100),"00")&amp;"Y"),"")))</f>
        <v/>
      </c>
      <c r="O211" s="69">
        <f>IF($C211="","",AVERAGE(F211:J211))</f>
        <v/>
      </c>
      <c r="P211" s="71">
        <f>IF($C211="","",IF(PULL_FUND="N","",IF(COUNTIFS('Fund History'!$J$1210:$J$1214,"&gt;="&amp;DATE(YEAR_Y-5,1,1),'Fund History'!$J$1210:$J$1214,"&lt;="&amp;DATE(YEAR_Y-5,12,31))=0,"",IFERROR($F211*HSCEI!$G$66/SUMIFS('Fund History'!$K$1210:$K$1214,'Fund History'!$J$1210:$J$1214,"&gt;="&amp;DATE(YEAR_Y-5,1,1),'Fund History'!$J$1210:$J$1214,"&lt;="&amp;DATE(YEAR_Y-5,12,31)),""))))</f>
        <v/>
      </c>
      <c r="Q211" s="72">
        <f>IF($C211="","",IF(PULL_FUND="N","",IF(COUNTIFS('Fund History'!$J$1210:$J$1214,"&gt;="&amp;DATE(YEAR_Y-4,1,1),'Fund History'!$J$1210:$J$1214,"&lt;="&amp;DATE(YEAR_Y-4,12,31))=0,"",IFERROR($G211*HSCEI!$G$66/SUMIFS('Fund History'!$K$1210:$K$1214,'Fund History'!$J$1210:$J$1214,"&gt;="&amp;DATE(YEAR_Y-4,1,1),'Fund History'!$J$1210:$J$1214,"&lt;="&amp;DATE(YEAR_Y-4,12,31)),""))))</f>
        <v/>
      </c>
      <c r="R211" s="72">
        <f>IF($C211="","",IF(PULL_FUND="N","",IF(COUNTIFS('Fund History'!$J$1210:$J$1214,"&gt;="&amp;DATE(YEAR_Y-3,1,1),'Fund History'!$J$1210:$J$1214,"&lt;="&amp;DATE(YEAR_Y-3,12,31))=0,"",IFERROR($H211*HSCEI!$G$66/SUMIFS('Fund History'!$K$1210:$K$1214,'Fund History'!$J$1210:$J$1214,"&gt;="&amp;DATE(YEAR_Y-3,1,1),'Fund History'!$J$1210:$J$1214,"&lt;="&amp;DATE(YEAR_Y-3,12,31)),""))))</f>
        <v/>
      </c>
      <c r="S211" s="72">
        <f>IF($C211="","",IF(PULL_FUND="N","",IF(COUNTIFS('Fund History'!$J$1210:$J$1214,"&gt;="&amp;DATE(YEAR_Y-2,1,1),'Fund History'!$J$1210:$J$1214,"&lt;="&amp;DATE(YEAR_Y-2,12,31))=0,"",IFERROR($I211*HSCEI!$G$66/SUMIFS('Fund History'!$K$1210:$K$1214,'Fund History'!$J$1210:$J$1214,"&gt;="&amp;DATE(YEAR_Y-2,1,1),'Fund History'!$J$1210:$J$1214,"&lt;="&amp;DATE(YEAR_Y-2,12,31)),""))))</f>
        <v/>
      </c>
      <c r="T211" s="72">
        <f>IF($C211="","",IF(PULL_FUND="N","",IF(COUNTIFS('Fund History'!$J$1210:$J$1214,"&gt;="&amp;DATE(YEAR_Y-1,1,1),'Fund History'!$J$1210:$J$1214,"&lt;="&amp;DATE(YEAR_Y-1,12,31))=0,"",IFERROR($J211*HSCEI!$G$66/SUMIFS('Fund History'!$K$1210:$K$1214,'Fund History'!$J$1210:$J$1214,"&gt;="&amp;DATE(YEAR_Y-1,1,1),'Fund History'!$J$1210:$J$1214,"&lt;="&amp;DATE(YEAR_Y-1,12,31)),""))))</f>
        <v/>
      </c>
      <c r="U211" s="73">
        <f>IF($C211="","",IF(ISNUMBER(HSCEI!$I$66),HSCEI!$I$66/100,""))</f>
        <v/>
      </c>
      <c r="V211" s="74">
        <f>IF($C211="","",IF(ISNUMBER(HSCEI!$X$66),IFERROR($M211*HSCEI!$G$66/HSCEI!$X$66,""),""))</f>
        <v/>
      </c>
      <c r="W211" s="73">
        <f>IF($C211="","",IF(ISNUMBER($N211),IFERROR($N211*HSCEI!$G$66/HSCEI!$X$66,""),""))</f>
        <v/>
      </c>
      <c r="X211" s="75">
        <f>IF($C211="","",IF(PULL_FUND="N","",IFERROR(BDP($C211,EPS_FIELD,YR_OVERRIDE,TEXT(YEAR_Y-5,"0")),"")))</f>
        <v/>
      </c>
      <c r="Y211" s="76">
        <f>IF($C211="","",IF(PULL_FUND="N","",IFERROR(BDP($C211,EPS_FIELD,YR_OVERRIDE,TEXT(YEAR_Y-4,"0")),"")))</f>
        <v/>
      </c>
      <c r="Z211" s="76">
        <f>IF($C211="","",IF(PULL_FUND="N","",IFERROR(BDP($C211,EPS_FIELD,YR_OVERRIDE,TEXT(YEAR_Y-3,"0")),"")))</f>
        <v/>
      </c>
      <c r="AA211" s="76">
        <f>IF($C211="","",IF(PULL_FUND="N","",IFERROR(BDP($C211,EPS_FIELD,YR_OVERRIDE,TEXT(YEAR_Y-2,"0")),"")))</f>
        <v/>
      </c>
      <c r="AB211" s="76">
        <f>IF($C211="","",IF(PULL_FUND="N","",IFERROR(BDP($C211,EPS_FIELD,YR_OVERRIDE,TEXT(YEAR_Y-1,"0")),"")))</f>
        <v/>
      </c>
      <c r="AC211" s="50">
        <f>IF($C211="","",IFERROR(AVERAGE(X211:AB211),""))</f>
        <v/>
      </c>
      <c r="AD211" s="76">
        <f>IF($C211="","",IF(PULL_FUND="N","",IFERROR(BDP($C211,BESTEPS_FIELD,FWD_OVERRIDE,TEXT(MOD(YEAR_Y,100),"00")&amp;"Y"),"")))</f>
        <v/>
      </c>
      <c r="AE211" s="77">
        <f>IF($C211="","",IF(PULL_FUND="N","",IFERROR(BDP($C211,PAYOUT_FIELD,YR_OVERRIDE,TEXT(YEAR_Y-5,"0"))/100,"")))</f>
        <v/>
      </c>
      <c r="AF211" s="78">
        <f>IF($C211="","",IF(PULL_FUND="N","",IFERROR(BDP($C211,PAYOUT_FIELD,YR_OVERRIDE,TEXT(YEAR_Y-4,"0"))/100,"")))</f>
        <v/>
      </c>
      <c r="AG211" s="78">
        <f>IF($C211="","",IF(PULL_FUND="N","",IFERROR(BDP($C211,PAYOUT_FIELD,YR_OVERRIDE,TEXT(YEAR_Y-3,"0"))/100,"")))</f>
        <v/>
      </c>
      <c r="AH211" s="78">
        <f>IF($C211="","",IF(PULL_FUND="N","",IFERROR(BDP($C211,PAYOUT_FIELD,YR_OVERRIDE,TEXT(YEAR_Y-2,"0"))/100,"")))</f>
        <v/>
      </c>
      <c r="AI211" s="78">
        <f>IF($C211="","",IF(PULL_FUND="N","",IFERROR(BDP($C211,PAYOUT_FIELD,YR_OVERRIDE,TEXT(YEAR_Y-1,"0"))/100,"")))</f>
        <v/>
      </c>
      <c r="AJ211" s="79">
        <f>IF($C211="","",IFERROR(AVERAGE(AE211:AI211),""))</f>
        <v/>
      </c>
      <c r="AK211" s="80">
        <f>IF($C211="","",IF(ISNUMBER($AD211)*ISNUMBER($N211)*($AD211&lt;&gt;0)=0,"",$N211/$AD211))</f>
        <v/>
      </c>
      <c r="AL211" s="79">
        <f>IF($C211="","",IF(ISNUMBER($AD211)*($AD211&lt;&gt;0)=0,"",$M211/$AD211))</f>
        <v/>
      </c>
      <c r="AM211" s="37">
        <f>IF($C211="","",IF(ISNUMBER($AE211)*ISNUMBER($AI211)=0,"",IF($AI211&gt;$AE211+0.05,"rising",IF($AI211&lt;$AE211-0.05,"falling","stable"))))</f>
        <v/>
      </c>
      <c r="AN211" s="81">
        <f>IF($C211="","",IF(PULL_FUND="N","",IF(COUNTIFS('Fund History'!$G$1210:$G$1214,"&gt;="&amp;DATE(YEAR_Y-4,1,1),'Fund History'!$G$1210:$G$1214,"&lt;="&amp;DATE(YEAR_Y-4,12,31))=0,"",SUMIFS('Fund History'!$H$1210:$H$1214,'Fund History'!$G$1210:$G$1214,"&gt;="&amp;DATE(YEAR_Y-4,1,1),'Fund History'!$G$1210:$G$1214,"&lt;="&amp;DATE(YEAR_Y-4,12,31))/100)))</f>
        <v/>
      </c>
      <c r="AO211" s="82">
        <f>IF($C211="","",IF(PULL_FUND="N","",IF(COUNTIFS('Fund History'!$G$1210:$G$1214,"&gt;="&amp;DATE(YEAR_Y-3,1,1),'Fund History'!$G$1210:$G$1214,"&lt;="&amp;DATE(YEAR_Y-3,12,31))=0,"",SUMIFS('Fund History'!$H$1210:$H$1214,'Fund History'!$G$1210:$G$1214,"&gt;="&amp;DATE(YEAR_Y-3,1,1),'Fund History'!$G$1210:$G$1214,"&lt;="&amp;DATE(YEAR_Y-3,12,31))/100)))</f>
        <v/>
      </c>
      <c r="AP211" s="82">
        <f>IF($C211="","",IF(PULL_FUND="N","",IF(COUNTIFS('Fund History'!$G$1210:$G$1214,"&gt;="&amp;DATE(YEAR_Y-2,1,1),'Fund History'!$G$1210:$G$1214,"&lt;="&amp;DATE(YEAR_Y-2,12,31))=0,"",SUMIFS('Fund History'!$H$1210:$H$1214,'Fund History'!$G$1210:$G$1214,"&gt;="&amp;DATE(YEAR_Y-2,1,1),'Fund History'!$G$1210:$G$1214,"&lt;="&amp;DATE(YEAR_Y-2,12,31))/100)))</f>
        <v/>
      </c>
      <c r="AQ211" s="82">
        <f>IF($C211="","",IF(PULL_FUND="N","",IF(COUNTIFS('Fund History'!$G$1210:$G$1214,"&gt;="&amp;DATE(YEAR_Y-1,1,1),'Fund History'!$G$1210:$G$1214,"&lt;="&amp;DATE(YEAR_Y-1,12,31))=0,"",SUMIFS('Fund History'!$H$1210:$H$1214,'Fund History'!$G$1210:$G$1214,"&gt;="&amp;DATE(YEAR_Y-1,1,1),'Fund History'!$G$1210:$G$1214,"&lt;="&amp;DATE(YEAR_Y-1,12,31))/100)))</f>
        <v/>
      </c>
      <c r="AR211" s="83">
        <f>IF($C211="","",IF(N($AQ211)+N(HSCEI!$I$66)=0,"",N($AQ211)+N(HSCEI!$I$66)/100))</f>
        <v/>
      </c>
      <c r="AS211" s="75">
        <f>IF($C211="","",IF(PULL_FUND="N","",IF(COUNTIFS('Fund History'!$D$1210:$D$1214,"&gt;="&amp;DATE(YEAR_Y-2,1,1),'Fund History'!$D$1210:$D$1214,"&lt;="&amp;DATE(YEAR_Y-2,12,31))=0,"",SUMIFS('Fund History'!$E$1210:$E$1214,'Fund History'!$D$1210:$D$1214,"&gt;="&amp;DATE(YEAR_Y-2,1,1),'Fund History'!$D$1210:$D$1214,"&lt;="&amp;DATE(YEAR_Y-2,12,31)))))</f>
        <v/>
      </c>
      <c r="AT211" s="76">
        <f>IF($C211="","",IF(PULL_FUND="N","",IF(COUNTIFS('Fund History'!$D$1210:$D$1214,"&gt;="&amp;DATE(YEAR_Y-1,1,1),'Fund History'!$D$1210:$D$1214,"&lt;="&amp;DATE(YEAR_Y-1,12,31))=0,"",SUMIFS('Fund History'!$E$1210:$E$1214,'Fund History'!$D$1210:$D$1214,"&gt;="&amp;DATE(YEAR_Y-1,1,1),'Fund History'!$D$1210:$D$1214,"&lt;="&amp;DATE(YEAR_Y-1,12,31)))))</f>
        <v/>
      </c>
      <c r="AU211" s="76">
        <f>IF($C211="","",IF(PULL_FUND="N","",IFERROR(BDP($C211,NDEBITDA_FIELD),"")))</f>
        <v/>
      </c>
      <c r="AV211" s="84">
        <f>IF($C211="","",IF(PULL_FUND="N","",IFERROR(BDP($C211,EBINT_FIELD),"")))</f>
        <v/>
      </c>
      <c r="AW211" s="82">
        <f>IF($C211="","",IF(PULL_FUND="N","",IFERROR(BDP($C211,FCF_FIELD)/100,"")))</f>
        <v/>
      </c>
      <c r="AX211" s="50">
        <f>IF($C211="","",IF(N($U211)=0,"",IFERROR($AW211/$U211,"")))</f>
        <v/>
      </c>
      <c r="AY211" s="85">
        <f>IF($C211="","",TRIM(IF(ISNUMBER($AJ211)*(N($AJ211)&gt;$D$4)&gt;0,"payout high  ","")&amp;IF(ISNUMBER($AX211)*(N($AX211)&lt;$F$4)&gt;0,"FCF below dvd  ","")&amp;IF(ISNUMBER($AU211)*(N($AU211)&gt;$H$4)&gt;0,"leverage high","")))</f>
        <v/>
      </c>
      <c r="AZ211" s="86">
        <f>IF($C211="","",IF(HSCEI!$F$66="HKD","",HSCEI!$F$66))</f>
        <v/>
      </c>
    </row>
    <row r="213">
      <c r="B213" s="5" t="inlineStr">
        <is>
          <t>Filter, do not sort - rows are live formulas tied to their position.</t>
        </is>
      </c>
    </row>
    <row r="214">
      <c r="B214" s="6" t="inlineStr">
        <is>
          <t>SECTOR AVERAGES - Hang Seng Index (HSI)</t>
        </is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</row>
    <row r="215">
      <c r="B215" s="62" t="inlineStr">
        <is>
          <t>GICS Sector</t>
        </is>
      </c>
      <c r="C215" s="62" t="inlineStr">
        <is>
          <t>#</t>
        </is>
      </c>
      <c r="D215" s="62" t="inlineStr">
        <is>
          <t>Avg 5Y
DPS</t>
        </is>
      </c>
      <c r="E215" s="62" t="inlineStr">
        <is>
          <t>Avg 5Y
EPS</t>
        </is>
      </c>
      <c r="F215" s="62" t="inlineStr">
        <is>
          <t>Avg 5Y
payout</t>
        </is>
      </c>
      <c r="G215" s="62" t="inlineStr">
        <is>
          <t>Fwd
payout</t>
        </is>
      </c>
      <c r="H215" s="62" t="inlineStr">
        <is>
          <t>Dvd yld
12M</t>
        </is>
      </c>
      <c r="I215" s="62" t="inlineStr">
        <is>
          <t>Yld
Y-1</t>
        </is>
      </c>
      <c r="J215" s="62" t="inlineStr">
        <is>
          <t>Model
fwd yld</t>
        </is>
      </c>
      <c r="K215" s="62" t="inlineStr">
        <is>
          <t>Net debt
/EBITDA</t>
        </is>
      </c>
      <c r="L215" s="62" t="inlineStr">
        <is>
          <t>FCF
cover</t>
        </is>
      </c>
      <c r="M215" s="62" t="inlineStr">
        <is>
          <t>Year pts
(model)</t>
        </is>
      </c>
      <c r="N215" s="62" t="inlineStr">
        <is>
          <t>% of yr
dvds</t>
        </is>
      </c>
    </row>
    <row r="216">
      <c r="B216" s="4" t="inlineStr">
        <is>
          <t>Energy</t>
        </is>
      </c>
      <c r="C216" s="87">
        <f>COUNTIFS($B$12:$B$111,"HSI",$E$12:$E$111,$B216)</f>
        <v/>
      </c>
      <c r="D216" s="69">
        <f>IFERROR(AVERAGEIFS($O$12:$O$111,$B$12:$B$111,"HSI",$E$12:$E$111,$B216),"")</f>
        <v/>
      </c>
      <c r="E216" s="50">
        <f>IFERROR(AVERAGEIFS($AC$12:$AC$111,$B$12:$B$111,"HSI",$E$12:$E$111,$B216),"")</f>
        <v/>
      </c>
      <c r="F216" s="80">
        <f>IFERROR(AVERAGEIFS($AJ$12:$AJ$111,$B$12:$B$111,"HSI",$E$12:$E$111,$B216),"")</f>
        <v/>
      </c>
      <c r="G216" s="80">
        <f>IFERROR(AVERAGEIFS($AK$12:$AK$111,$B$12:$B$111,"HSI",$E$12:$E$111,$B216),"")</f>
        <v/>
      </c>
      <c r="H216" s="73">
        <f>IFERROR(AVERAGEIFS($U$12:$U$111,$B$12:$B$111,"HSI",$E$12:$E$111,$B216),"")</f>
        <v/>
      </c>
      <c r="I216" s="73">
        <f>IFERROR(AVERAGEIFS($T$12:$T$111,$B$12:$B$111,"HSI",$E$12:$E$111,$B216),"")</f>
        <v/>
      </c>
      <c r="J216" s="73">
        <f>IFERROR(AVERAGEIFS($V$12:$V$111,$B$12:$B$111,"HSI",$E$12:$E$111,$B216),"")</f>
        <v/>
      </c>
      <c r="K216" s="50">
        <f>IFERROR(AVERAGEIFS($AU$12:$AU$111,$B$12:$B$111,"HSI",$E$12:$E$111,$B216),"")</f>
        <v/>
      </c>
      <c r="L216" s="50">
        <f>IFERROR(AVERAGEIFS($AX$12:$AX$111,$B$12:$B$111,"HSI",$E$12:$E$111,$B216),"")</f>
        <v/>
      </c>
      <c r="M216" s="50">
        <f>IFERROR(SUMIF(HSI!$E$7:$E$106,$B216,HSI!$Q$7:$Q$106),"")</f>
        <v/>
      </c>
      <c r="N216" s="88">
        <f>IFERROR($M216/HSI!$Q$5,"")</f>
        <v/>
      </c>
    </row>
    <row r="217">
      <c r="B217" s="4" t="inlineStr">
        <is>
          <t>Materials</t>
        </is>
      </c>
      <c r="C217" s="87">
        <f>COUNTIFS($B$12:$B$111,"HSI",$E$12:$E$111,$B217)</f>
        <v/>
      </c>
      <c r="D217" s="69">
        <f>IFERROR(AVERAGEIFS($O$12:$O$111,$B$12:$B$111,"HSI",$E$12:$E$111,$B217),"")</f>
        <v/>
      </c>
      <c r="E217" s="50">
        <f>IFERROR(AVERAGEIFS($AC$12:$AC$111,$B$12:$B$111,"HSI",$E$12:$E$111,$B217),"")</f>
        <v/>
      </c>
      <c r="F217" s="80">
        <f>IFERROR(AVERAGEIFS($AJ$12:$AJ$111,$B$12:$B$111,"HSI",$E$12:$E$111,$B217),"")</f>
        <v/>
      </c>
      <c r="G217" s="80">
        <f>IFERROR(AVERAGEIFS($AK$12:$AK$111,$B$12:$B$111,"HSI",$E$12:$E$111,$B217),"")</f>
        <v/>
      </c>
      <c r="H217" s="73">
        <f>IFERROR(AVERAGEIFS($U$12:$U$111,$B$12:$B$111,"HSI",$E$12:$E$111,$B217),"")</f>
        <v/>
      </c>
      <c r="I217" s="73">
        <f>IFERROR(AVERAGEIFS($T$12:$T$111,$B$12:$B$111,"HSI",$E$12:$E$111,$B217),"")</f>
        <v/>
      </c>
      <c r="J217" s="73">
        <f>IFERROR(AVERAGEIFS($V$12:$V$111,$B$12:$B$111,"HSI",$E$12:$E$111,$B217),"")</f>
        <v/>
      </c>
      <c r="K217" s="50">
        <f>IFERROR(AVERAGEIFS($AU$12:$AU$111,$B$12:$B$111,"HSI",$E$12:$E$111,$B217),"")</f>
        <v/>
      </c>
      <c r="L217" s="50">
        <f>IFERROR(AVERAGEIFS($AX$12:$AX$111,$B$12:$B$111,"HSI",$E$12:$E$111,$B217),"")</f>
        <v/>
      </c>
      <c r="M217" s="50">
        <f>IFERROR(SUMIF(HSI!$E$7:$E$106,$B217,HSI!$Q$7:$Q$106),"")</f>
        <v/>
      </c>
      <c r="N217" s="88">
        <f>IFERROR($M217/HSI!$Q$5,"")</f>
        <v/>
      </c>
    </row>
    <row r="218">
      <c r="B218" s="4" t="inlineStr">
        <is>
          <t>Industrials</t>
        </is>
      </c>
      <c r="C218" s="87">
        <f>COUNTIFS($B$12:$B$111,"HSI",$E$12:$E$111,$B218)</f>
        <v/>
      </c>
      <c r="D218" s="69">
        <f>IFERROR(AVERAGEIFS($O$12:$O$111,$B$12:$B$111,"HSI",$E$12:$E$111,$B218),"")</f>
        <v/>
      </c>
      <c r="E218" s="50">
        <f>IFERROR(AVERAGEIFS($AC$12:$AC$111,$B$12:$B$111,"HSI",$E$12:$E$111,$B218),"")</f>
        <v/>
      </c>
      <c r="F218" s="80">
        <f>IFERROR(AVERAGEIFS($AJ$12:$AJ$111,$B$12:$B$111,"HSI",$E$12:$E$111,$B218),"")</f>
        <v/>
      </c>
      <c r="G218" s="80">
        <f>IFERROR(AVERAGEIFS($AK$12:$AK$111,$B$12:$B$111,"HSI",$E$12:$E$111,$B218),"")</f>
        <v/>
      </c>
      <c r="H218" s="73">
        <f>IFERROR(AVERAGEIFS($U$12:$U$111,$B$12:$B$111,"HSI",$E$12:$E$111,$B218),"")</f>
        <v/>
      </c>
      <c r="I218" s="73">
        <f>IFERROR(AVERAGEIFS($T$12:$T$111,$B$12:$B$111,"HSI",$E$12:$E$111,$B218),"")</f>
        <v/>
      </c>
      <c r="J218" s="73">
        <f>IFERROR(AVERAGEIFS($V$12:$V$111,$B$12:$B$111,"HSI",$E$12:$E$111,$B218),"")</f>
        <v/>
      </c>
      <c r="K218" s="50">
        <f>IFERROR(AVERAGEIFS($AU$12:$AU$111,$B$12:$B$111,"HSI",$E$12:$E$111,$B218),"")</f>
        <v/>
      </c>
      <c r="L218" s="50">
        <f>IFERROR(AVERAGEIFS($AX$12:$AX$111,$B$12:$B$111,"HSI",$E$12:$E$111,$B218),"")</f>
        <v/>
      </c>
      <c r="M218" s="50">
        <f>IFERROR(SUMIF(HSI!$E$7:$E$106,$B218,HSI!$Q$7:$Q$106),"")</f>
        <v/>
      </c>
      <c r="N218" s="88">
        <f>IFERROR($M218/HSI!$Q$5,"")</f>
        <v/>
      </c>
    </row>
    <row r="219">
      <c r="B219" s="4" t="inlineStr">
        <is>
          <t>Consumer Discretionary</t>
        </is>
      </c>
      <c r="C219" s="87">
        <f>COUNTIFS($B$12:$B$111,"HSI",$E$12:$E$111,$B219)</f>
        <v/>
      </c>
      <c r="D219" s="69">
        <f>IFERROR(AVERAGEIFS($O$12:$O$111,$B$12:$B$111,"HSI",$E$12:$E$111,$B219),"")</f>
        <v/>
      </c>
      <c r="E219" s="50">
        <f>IFERROR(AVERAGEIFS($AC$12:$AC$111,$B$12:$B$111,"HSI",$E$12:$E$111,$B219),"")</f>
        <v/>
      </c>
      <c r="F219" s="80">
        <f>IFERROR(AVERAGEIFS($AJ$12:$AJ$111,$B$12:$B$111,"HSI",$E$12:$E$111,$B219),"")</f>
        <v/>
      </c>
      <c r="G219" s="80">
        <f>IFERROR(AVERAGEIFS($AK$12:$AK$111,$B$12:$B$111,"HSI",$E$12:$E$111,$B219),"")</f>
        <v/>
      </c>
      <c r="H219" s="73">
        <f>IFERROR(AVERAGEIFS($U$12:$U$111,$B$12:$B$111,"HSI",$E$12:$E$111,$B219),"")</f>
        <v/>
      </c>
      <c r="I219" s="73">
        <f>IFERROR(AVERAGEIFS($T$12:$T$111,$B$12:$B$111,"HSI",$E$12:$E$111,$B219),"")</f>
        <v/>
      </c>
      <c r="J219" s="73">
        <f>IFERROR(AVERAGEIFS($V$12:$V$111,$B$12:$B$111,"HSI",$E$12:$E$111,$B219),"")</f>
        <v/>
      </c>
      <c r="K219" s="50">
        <f>IFERROR(AVERAGEIFS($AU$12:$AU$111,$B$12:$B$111,"HSI",$E$12:$E$111,$B219),"")</f>
        <v/>
      </c>
      <c r="L219" s="50">
        <f>IFERROR(AVERAGEIFS($AX$12:$AX$111,$B$12:$B$111,"HSI",$E$12:$E$111,$B219),"")</f>
        <v/>
      </c>
      <c r="M219" s="50">
        <f>IFERROR(SUMIF(HSI!$E$7:$E$106,$B219,HSI!$Q$7:$Q$106),"")</f>
        <v/>
      </c>
      <c r="N219" s="88">
        <f>IFERROR($M219/HSI!$Q$5,"")</f>
        <v/>
      </c>
    </row>
    <row r="220">
      <c r="B220" s="4" t="inlineStr">
        <is>
          <t>Consumer Staples</t>
        </is>
      </c>
      <c r="C220" s="87">
        <f>COUNTIFS($B$12:$B$111,"HSI",$E$12:$E$111,$B220)</f>
        <v/>
      </c>
      <c r="D220" s="69">
        <f>IFERROR(AVERAGEIFS($O$12:$O$111,$B$12:$B$111,"HSI",$E$12:$E$111,$B220),"")</f>
        <v/>
      </c>
      <c r="E220" s="50">
        <f>IFERROR(AVERAGEIFS($AC$12:$AC$111,$B$12:$B$111,"HSI",$E$12:$E$111,$B220),"")</f>
        <v/>
      </c>
      <c r="F220" s="80">
        <f>IFERROR(AVERAGEIFS($AJ$12:$AJ$111,$B$12:$B$111,"HSI",$E$12:$E$111,$B220),"")</f>
        <v/>
      </c>
      <c r="G220" s="80">
        <f>IFERROR(AVERAGEIFS($AK$12:$AK$111,$B$12:$B$111,"HSI",$E$12:$E$111,$B220),"")</f>
        <v/>
      </c>
      <c r="H220" s="73">
        <f>IFERROR(AVERAGEIFS($U$12:$U$111,$B$12:$B$111,"HSI",$E$12:$E$111,$B220),"")</f>
        <v/>
      </c>
      <c r="I220" s="73">
        <f>IFERROR(AVERAGEIFS($T$12:$T$111,$B$12:$B$111,"HSI",$E$12:$E$111,$B220),"")</f>
        <v/>
      </c>
      <c r="J220" s="73">
        <f>IFERROR(AVERAGEIFS($V$12:$V$111,$B$12:$B$111,"HSI",$E$12:$E$111,$B220),"")</f>
        <v/>
      </c>
      <c r="K220" s="50">
        <f>IFERROR(AVERAGEIFS($AU$12:$AU$111,$B$12:$B$111,"HSI",$E$12:$E$111,$B220),"")</f>
        <v/>
      </c>
      <c r="L220" s="50">
        <f>IFERROR(AVERAGEIFS($AX$12:$AX$111,$B$12:$B$111,"HSI",$E$12:$E$111,$B220),"")</f>
        <v/>
      </c>
      <c r="M220" s="50">
        <f>IFERROR(SUMIF(HSI!$E$7:$E$106,$B220,HSI!$Q$7:$Q$106),"")</f>
        <v/>
      </c>
      <c r="N220" s="88">
        <f>IFERROR($M220/HSI!$Q$5,"")</f>
        <v/>
      </c>
    </row>
    <row r="221">
      <c r="B221" s="4" t="inlineStr">
        <is>
          <t>Health Care</t>
        </is>
      </c>
      <c r="C221" s="87">
        <f>COUNTIFS($B$12:$B$111,"HSI",$E$12:$E$111,$B221)</f>
        <v/>
      </c>
      <c r="D221" s="69">
        <f>IFERROR(AVERAGEIFS($O$12:$O$111,$B$12:$B$111,"HSI",$E$12:$E$111,$B221),"")</f>
        <v/>
      </c>
      <c r="E221" s="50">
        <f>IFERROR(AVERAGEIFS($AC$12:$AC$111,$B$12:$B$111,"HSI",$E$12:$E$111,$B221),"")</f>
        <v/>
      </c>
      <c r="F221" s="80">
        <f>IFERROR(AVERAGEIFS($AJ$12:$AJ$111,$B$12:$B$111,"HSI",$E$12:$E$111,$B221),"")</f>
        <v/>
      </c>
      <c r="G221" s="80">
        <f>IFERROR(AVERAGEIFS($AK$12:$AK$111,$B$12:$B$111,"HSI",$E$12:$E$111,$B221),"")</f>
        <v/>
      </c>
      <c r="H221" s="73">
        <f>IFERROR(AVERAGEIFS($U$12:$U$111,$B$12:$B$111,"HSI",$E$12:$E$111,$B221),"")</f>
        <v/>
      </c>
      <c r="I221" s="73">
        <f>IFERROR(AVERAGEIFS($T$12:$T$111,$B$12:$B$111,"HSI",$E$12:$E$111,$B221),"")</f>
        <v/>
      </c>
      <c r="J221" s="73">
        <f>IFERROR(AVERAGEIFS($V$12:$V$111,$B$12:$B$111,"HSI",$E$12:$E$111,$B221),"")</f>
        <v/>
      </c>
      <c r="K221" s="50">
        <f>IFERROR(AVERAGEIFS($AU$12:$AU$111,$B$12:$B$111,"HSI",$E$12:$E$111,$B221),"")</f>
        <v/>
      </c>
      <c r="L221" s="50">
        <f>IFERROR(AVERAGEIFS($AX$12:$AX$111,$B$12:$B$111,"HSI",$E$12:$E$111,$B221),"")</f>
        <v/>
      </c>
      <c r="M221" s="50">
        <f>IFERROR(SUMIF(HSI!$E$7:$E$106,$B221,HSI!$Q$7:$Q$106),"")</f>
        <v/>
      </c>
      <c r="N221" s="88">
        <f>IFERROR($M221/HSI!$Q$5,"")</f>
        <v/>
      </c>
    </row>
    <row r="222">
      <c r="B222" s="4" t="inlineStr">
        <is>
          <t>Financials</t>
        </is>
      </c>
      <c r="C222" s="87">
        <f>COUNTIFS($B$12:$B$111,"HSI",$E$12:$E$111,$B222)</f>
        <v/>
      </c>
      <c r="D222" s="69">
        <f>IFERROR(AVERAGEIFS($O$12:$O$111,$B$12:$B$111,"HSI",$E$12:$E$111,$B222),"")</f>
        <v/>
      </c>
      <c r="E222" s="50">
        <f>IFERROR(AVERAGEIFS($AC$12:$AC$111,$B$12:$B$111,"HSI",$E$12:$E$111,$B222),"")</f>
        <v/>
      </c>
      <c r="F222" s="80">
        <f>IFERROR(AVERAGEIFS($AJ$12:$AJ$111,$B$12:$B$111,"HSI",$E$12:$E$111,$B222),"")</f>
        <v/>
      </c>
      <c r="G222" s="80">
        <f>IFERROR(AVERAGEIFS($AK$12:$AK$111,$B$12:$B$111,"HSI",$E$12:$E$111,$B222),"")</f>
        <v/>
      </c>
      <c r="H222" s="73">
        <f>IFERROR(AVERAGEIFS($U$12:$U$111,$B$12:$B$111,"HSI",$E$12:$E$111,$B222),"")</f>
        <v/>
      </c>
      <c r="I222" s="73">
        <f>IFERROR(AVERAGEIFS($T$12:$T$111,$B$12:$B$111,"HSI",$E$12:$E$111,$B222),"")</f>
        <v/>
      </c>
      <c r="J222" s="73">
        <f>IFERROR(AVERAGEIFS($V$12:$V$111,$B$12:$B$111,"HSI",$E$12:$E$111,$B222),"")</f>
        <v/>
      </c>
      <c r="K222" s="50">
        <f>IFERROR(AVERAGEIFS($AU$12:$AU$111,$B$12:$B$111,"HSI",$E$12:$E$111,$B222),"")</f>
        <v/>
      </c>
      <c r="L222" s="50">
        <f>IFERROR(AVERAGEIFS($AX$12:$AX$111,$B$12:$B$111,"HSI",$E$12:$E$111,$B222),"")</f>
        <v/>
      </c>
      <c r="M222" s="50">
        <f>IFERROR(SUMIF(HSI!$E$7:$E$106,$B222,HSI!$Q$7:$Q$106),"")</f>
        <v/>
      </c>
      <c r="N222" s="88">
        <f>IFERROR($M222/HSI!$Q$5,"")</f>
        <v/>
      </c>
    </row>
    <row r="223">
      <c r="B223" s="4" t="inlineStr">
        <is>
          <t>Information Technology</t>
        </is>
      </c>
      <c r="C223" s="87">
        <f>COUNTIFS($B$12:$B$111,"HSI",$E$12:$E$111,$B223)</f>
        <v/>
      </c>
      <c r="D223" s="69">
        <f>IFERROR(AVERAGEIFS($O$12:$O$111,$B$12:$B$111,"HSI",$E$12:$E$111,$B223),"")</f>
        <v/>
      </c>
      <c r="E223" s="50">
        <f>IFERROR(AVERAGEIFS($AC$12:$AC$111,$B$12:$B$111,"HSI",$E$12:$E$111,$B223),"")</f>
        <v/>
      </c>
      <c r="F223" s="80">
        <f>IFERROR(AVERAGEIFS($AJ$12:$AJ$111,$B$12:$B$111,"HSI",$E$12:$E$111,$B223),"")</f>
        <v/>
      </c>
      <c r="G223" s="80">
        <f>IFERROR(AVERAGEIFS($AK$12:$AK$111,$B$12:$B$111,"HSI",$E$12:$E$111,$B223),"")</f>
        <v/>
      </c>
      <c r="H223" s="73">
        <f>IFERROR(AVERAGEIFS($U$12:$U$111,$B$12:$B$111,"HSI",$E$12:$E$111,$B223),"")</f>
        <v/>
      </c>
      <c r="I223" s="73">
        <f>IFERROR(AVERAGEIFS($T$12:$T$111,$B$12:$B$111,"HSI",$E$12:$E$111,$B223),"")</f>
        <v/>
      </c>
      <c r="J223" s="73">
        <f>IFERROR(AVERAGEIFS($V$12:$V$111,$B$12:$B$111,"HSI",$E$12:$E$111,$B223),"")</f>
        <v/>
      </c>
      <c r="K223" s="50">
        <f>IFERROR(AVERAGEIFS($AU$12:$AU$111,$B$12:$B$111,"HSI",$E$12:$E$111,$B223),"")</f>
        <v/>
      </c>
      <c r="L223" s="50">
        <f>IFERROR(AVERAGEIFS($AX$12:$AX$111,$B$12:$B$111,"HSI",$E$12:$E$111,$B223),"")</f>
        <v/>
      </c>
      <c r="M223" s="50">
        <f>IFERROR(SUMIF(HSI!$E$7:$E$106,$B223,HSI!$Q$7:$Q$106),"")</f>
        <v/>
      </c>
      <c r="N223" s="88">
        <f>IFERROR($M223/HSI!$Q$5,"")</f>
        <v/>
      </c>
    </row>
    <row r="224">
      <c r="B224" s="4" t="inlineStr">
        <is>
          <t>Communication Services</t>
        </is>
      </c>
      <c r="C224" s="87">
        <f>COUNTIFS($B$12:$B$111,"HSI",$E$12:$E$111,$B224)</f>
        <v/>
      </c>
      <c r="D224" s="69">
        <f>IFERROR(AVERAGEIFS($O$12:$O$111,$B$12:$B$111,"HSI",$E$12:$E$111,$B224),"")</f>
        <v/>
      </c>
      <c r="E224" s="50">
        <f>IFERROR(AVERAGEIFS($AC$12:$AC$111,$B$12:$B$111,"HSI",$E$12:$E$111,$B224),"")</f>
        <v/>
      </c>
      <c r="F224" s="80">
        <f>IFERROR(AVERAGEIFS($AJ$12:$AJ$111,$B$12:$B$111,"HSI",$E$12:$E$111,$B224),"")</f>
        <v/>
      </c>
      <c r="G224" s="80">
        <f>IFERROR(AVERAGEIFS($AK$12:$AK$111,$B$12:$B$111,"HSI",$E$12:$E$111,$B224),"")</f>
        <v/>
      </c>
      <c r="H224" s="73">
        <f>IFERROR(AVERAGEIFS($U$12:$U$111,$B$12:$B$111,"HSI",$E$12:$E$111,$B224),"")</f>
        <v/>
      </c>
      <c r="I224" s="73">
        <f>IFERROR(AVERAGEIFS($T$12:$T$111,$B$12:$B$111,"HSI",$E$12:$E$111,$B224),"")</f>
        <v/>
      </c>
      <c r="J224" s="73">
        <f>IFERROR(AVERAGEIFS($V$12:$V$111,$B$12:$B$111,"HSI",$E$12:$E$111,$B224),"")</f>
        <v/>
      </c>
      <c r="K224" s="50">
        <f>IFERROR(AVERAGEIFS($AU$12:$AU$111,$B$12:$B$111,"HSI",$E$12:$E$111,$B224),"")</f>
        <v/>
      </c>
      <c r="L224" s="50">
        <f>IFERROR(AVERAGEIFS($AX$12:$AX$111,$B$12:$B$111,"HSI",$E$12:$E$111,$B224),"")</f>
        <v/>
      </c>
      <c r="M224" s="50">
        <f>IFERROR(SUMIF(HSI!$E$7:$E$106,$B224,HSI!$Q$7:$Q$106),"")</f>
        <v/>
      </c>
      <c r="N224" s="88">
        <f>IFERROR($M224/HSI!$Q$5,"")</f>
        <v/>
      </c>
    </row>
    <row r="225">
      <c r="B225" s="4" t="inlineStr">
        <is>
          <t>Utilities</t>
        </is>
      </c>
      <c r="C225" s="87">
        <f>COUNTIFS($B$12:$B$111,"HSI",$E$12:$E$111,$B225)</f>
        <v/>
      </c>
      <c r="D225" s="69">
        <f>IFERROR(AVERAGEIFS($O$12:$O$111,$B$12:$B$111,"HSI",$E$12:$E$111,$B225),"")</f>
        <v/>
      </c>
      <c r="E225" s="50">
        <f>IFERROR(AVERAGEIFS($AC$12:$AC$111,$B$12:$B$111,"HSI",$E$12:$E$111,$B225),"")</f>
        <v/>
      </c>
      <c r="F225" s="80">
        <f>IFERROR(AVERAGEIFS($AJ$12:$AJ$111,$B$12:$B$111,"HSI",$E$12:$E$111,$B225),"")</f>
        <v/>
      </c>
      <c r="G225" s="80">
        <f>IFERROR(AVERAGEIFS($AK$12:$AK$111,$B$12:$B$111,"HSI",$E$12:$E$111,$B225),"")</f>
        <v/>
      </c>
      <c r="H225" s="73">
        <f>IFERROR(AVERAGEIFS($U$12:$U$111,$B$12:$B$111,"HSI",$E$12:$E$111,$B225),"")</f>
        <v/>
      </c>
      <c r="I225" s="73">
        <f>IFERROR(AVERAGEIFS($T$12:$T$111,$B$12:$B$111,"HSI",$E$12:$E$111,$B225),"")</f>
        <v/>
      </c>
      <c r="J225" s="73">
        <f>IFERROR(AVERAGEIFS($V$12:$V$111,$B$12:$B$111,"HSI",$E$12:$E$111,$B225),"")</f>
        <v/>
      </c>
      <c r="K225" s="50">
        <f>IFERROR(AVERAGEIFS($AU$12:$AU$111,$B$12:$B$111,"HSI",$E$12:$E$111,$B225),"")</f>
        <v/>
      </c>
      <c r="L225" s="50">
        <f>IFERROR(AVERAGEIFS($AX$12:$AX$111,$B$12:$B$111,"HSI",$E$12:$E$111,$B225),"")</f>
        <v/>
      </c>
      <c r="M225" s="50">
        <f>IFERROR(SUMIF(HSI!$E$7:$E$106,$B225,HSI!$Q$7:$Q$106),"")</f>
        <v/>
      </c>
      <c r="N225" s="88">
        <f>IFERROR($M225/HSI!$Q$5,"")</f>
        <v/>
      </c>
    </row>
    <row r="226">
      <c r="B226" s="4" t="inlineStr">
        <is>
          <t>Real Estate</t>
        </is>
      </c>
      <c r="C226" s="87">
        <f>COUNTIFS($B$12:$B$111,"HSI",$E$12:$E$111,$B226)</f>
        <v/>
      </c>
      <c r="D226" s="69">
        <f>IFERROR(AVERAGEIFS($O$12:$O$111,$B$12:$B$111,"HSI",$E$12:$E$111,$B226),"")</f>
        <v/>
      </c>
      <c r="E226" s="50">
        <f>IFERROR(AVERAGEIFS($AC$12:$AC$111,$B$12:$B$111,"HSI",$E$12:$E$111,$B226),"")</f>
        <v/>
      </c>
      <c r="F226" s="80">
        <f>IFERROR(AVERAGEIFS($AJ$12:$AJ$111,$B$12:$B$111,"HSI",$E$12:$E$111,$B226),"")</f>
        <v/>
      </c>
      <c r="G226" s="80">
        <f>IFERROR(AVERAGEIFS($AK$12:$AK$111,$B$12:$B$111,"HSI",$E$12:$E$111,$B226),"")</f>
        <v/>
      </c>
      <c r="H226" s="73">
        <f>IFERROR(AVERAGEIFS($U$12:$U$111,$B$12:$B$111,"HSI",$E$12:$E$111,$B226),"")</f>
        <v/>
      </c>
      <c r="I226" s="73">
        <f>IFERROR(AVERAGEIFS($T$12:$T$111,$B$12:$B$111,"HSI",$E$12:$E$111,$B226),"")</f>
        <v/>
      </c>
      <c r="J226" s="73">
        <f>IFERROR(AVERAGEIFS($V$12:$V$111,$B$12:$B$111,"HSI",$E$12:$E$111,$B226),"")</f>
        <v/>
      </c>
      <c r="K226" s="50">
        <f>IFERROR(AVERAGEIFS($AU$12:$AU$111,$B$12:$B$111,"HSI",$E$12:$E$111,$B226),"")</f>
        <v/>
      </c>
      <c r="L226" s="50">
        <f>IFERROR(AVERAGEIFS($AX$12:$AX$111,$B$12:$B$111,"HSI",$E$12:$E$111,$B226),"")</f>
        <v/>
      </c>
      <c r="M226" s="50">
        <f>IFERROR(SUMIF(HSI!$E$7:$E$106,$B226,HSI!$Q$7:$Q$106),"")</f>
        <v/>
      </c>
      <c r="N226" s="88">
        <f>IFERROR($M226/HSI!$Q$5,"")</f>
        <v/>
      </c>
    </row>
    <row r="227">
      <c r="B227" s="3" t="inlineStr">
        <is>
          <t>TOTAL</t>
        </is>
      </c>
      <c r="C227" s="89">
        <f>SUM(C216:C226)</f>
        <v/>
      </c>
      <c r="M227" s="90">
        <f>IFERROR(SUM(M216:M226),"")</f>
        <v/>
      </c>
      <c r="N227" s="83">
        <f>IFERROR(SUM(N216:N226),"")</f>
        <v/>
      </c>
      <c r="O227" s="2">
        <f>IF(ABS(N($M227)-N(HSI!$Q$5))&lt;0.01,"sector split reconciles","CHECK - a GICS name does not match")</f>
        <v/>
      </c>
    </row>
    <row r="230">
      <c r="B230" s="6" t="inlineStr">
        <is>
          <t>SECTOR AVERAGES - Hang Seng TECH Index (HSTECH)</t>
        </is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</row>
    <row r="231">
      <c r="B231" s="62" t="inlineStr">
        <is>
          <t>GICS Sector</t>
        </is>
      </c>
      <c r="C231" s="62" t="inlineStr">
        <is>
          <t>#</t>
        </is>
      </c>
      <c r="D231" s="62" t="inlineStr">
        <is>
          <t>Avg 5Y
DPS</t>
        </is>
      </c>
      <c r="E231" s="62" t="inlineStr">
        <is>
          <t>Avg 5Y
EPS</t>
        </is>
      </c>
      <c r="F231" s="62" t="inlineStr">
        <is>
          <t>Avg 5Y
payout</t>
        </is>
      </c>
      <c r="G231" s="62" t="inlineStr">
        <is>
          <t>Fwd
payout</t>
        </is>
      </c>
      <c r="H231" s="62" t="inlineStr">
        <is>
          <t>Dvd yld
12M</t>
        </is>
      </c>
      <c r="I231" s="62" t="inlineStr">
        <is>
          <t>Yld
Y-1</t>
        </is>
      </c>
      <c r="J231" s="62" t="inlineStr">
        <is>
          <t>Model
fwd yld</t>
        </is>
      </c>
      <c r="K231" s="62" t="inlineStr">
        <is>
          <t>Net debt
/EBITDA</t>
        </is>
      </c>
      <c r="L231" s="62" t="inlineStr">
        <is>
          <t>FCF
cover</t>
        </is>
      </c>
      <c r="M231" s="62" t="inlineStr">
        <is>
          <t>Year pts
(model)</t>
        </is>
      </c>
      <c r="N231" s="62" t="inlineStr">
        <is>
          <t>% of yr
dvds</t>
        </is>
      </c>
    </row>
    <row r="232">
      <c r="B232" s="4" t="inlineStr">
        <is>
          <t>Energy</t>
        </is>
      </c>
      <c r="C232" s="87">
        <f>COUNTIFS($B$112:$B$151,"HSTECH",$E$112:$E$151,$B232)</f>
        <v/>
      </c>
      <c r="D232" s="69">
        <f>IFERROR(AVERAGEIFS($O$112:$O$151,$B$112:$B$151,"HSTECH",$E$112:$E$151,$B232),"")</f>
        <v/>
      </c>
      <c r="E232" s="50">
        <f>IFERROR(AVERAGEIFS($AC$112:$AC$151,$B$112:$B$151,"HSTECH",$E$112:$E$151,$B232),"")</f>
        <v/>
      </c>
      <c r="F232" s="80">
        <f>IFERROR(AVERAGEIFS($AJ$112:$AJ$151,$B$112:$B$151,"HSTECH",$E$112:$E$151,$B232),"")</f>
        <v/>
      </c>
      <c r="G232" s="80">
        <f>IFERROR(AVERAGEIFS($AK$112:$AK$151,$B$112:$B$151,"HSTECH",$E$112:$E$151,$B232),"")</f>
        <v/>
      </c>
      <c r="H232" s="73">
        <f>IFERROR(AVERAGEIFS($U$112:$U$151,$B$112:$B$151,"HSTECH",$E$112:$E$151,$B232),"")</f>
        <v/>
      </c>
      <c r="I232" s="73">
        <f>IFERROR(AVERAGEIFS($T$112:$T$151,$B$112:$B$151,"HSTECH",$E$112:$E$151,$B232),"")</f>
        <v/>
      </c>
      <c r="J232" s="73">
        <f>IFERROR(AVERAGEIFS($V$112:$V$151,$B$112:$B$151,"HSTECH",$E$112:$E$151,$B232),"")</f>
        <v/>
      </c>
      <c r="K232" s="50">
        <f>IFERROR(AVERAGEIFS($AU$112:$AU$151,$B$112:$B$151,"HSTECH",$E$112:$E$151,$B232),"")</f>
        <v/>
      </c>
      <c r="L232" s="50">
        <f>IFERROR(AVERAGEIFS($AX$112:$AX$151,$B$112:$B$151,"HSTECH",$E$112:$E$151,$B232),"")</f>
        <v/>
      </c>
      <c r="M232" s="50">
        <f>IFERROR(SUMIF(HSTECH!$E$7:$E$46,$B232,HSTECH!$Q$7:$Q$46),"")</f>
        <v/>
      </c>
      <c r="N232" s="88">
        <f>IFERROR($M232/HSTECH!$Q$5,"")</f>
        <v/>
      </c>
    </row>
    <row r="233">
      <c r="B233" s="4" t="inlineStr">
        <is>
          <t>Materials</t>
        </is>
      </c>
      <c r="C233" s="87">
        <f>COUNTIFS($B$112:$B$151,"HSTECH",$E$112:$E$151,$B233)</f>
        <v/>
      </c>
      <c r="D233" s="69">
        <f>IFERROR(AVERAGEIFS($O$112:$O$151,$B$112:$B$151,"HSTECH",$E$112:$E$151,$B233),"")</f>
        <v/>
      </c>
      <c r="E233" s="50">
        <f>IFERROR(AVERAGEIFS($AC$112:$AC$151,$B$112:$B$151,"HSTECH",$E$112:$E$151,$B233),"")</f>
        <v/>
      </c>
      <c r="F233" s="80">
        <f>IFERROR(AVERAGEIFS($AJ$112:$AJ$151,$B$112:$B$151,"HSTECH",$E$112:$E$151,$B233),"")</f>
        <v/>
      </c>
      <c r="G233" s="80">
        <f>IFERROR(AVERAGEIFS($AK$112:$AK$151,$B$112:$B$151,"HSTECH",$E$112:$E$151,$B233),"")</f>
        <v/>
      </c>
      <c r="H233" s="73">
        <f>IFERROR(AVERAGEIFS($U$112:$U$151,$B$112:$B$151,"HSTECH",$E$112:$E$151,$B233),"")</f>
        <v/>
      </c>
      <c r="I233" s="73">
        <f>IFERROR(AVERAGEIFS($T$112:$T$151,$B$112:$B$151,"HSTECH",$E$112:$E$151,$B233),"")</f>
        <v/>
      </c>
      <c r="J233" s="73">
        <f>IFERROR(AVERAGEIFS($V$112:$V$151,$B$112:$B$151,"HSTECH",$E$112:$E$151,$B233),"")</f>
        <v/>
      </c>
      <c r="K233" s="50">
        <f>IFERROR(AVERAGEIFS($AU$112:$AU$151,$B$112:$B$151,"HSTECH",$E$112:$E$151,$B233),"")</f>
        <v/>
      </c>
      <c r="L233" s="50">
        <f>IFERROR(AVERAGEIFS($AX$112:$AX$151,$B$112:$B$151,"HSTECH",$E$112:$E$151,$B233),"")</f>
        <v/>
      </c>
      <c r="M233" s="50">
        <f>IFERROR(SUMIF(HSTECH!$E$7:$E$46,$B233,HSTECH!$Q$7:$Q$46),"")</f>
        <v/>
      </c>
      <c r="N233" s="88">
        <f>IFERROR($M233/HSTECH!$Q$5,"")</f>
        <v/>
      </c>
    </row>
    <row r="234">
      <c r="B234" s="4" t="inlineStr">
        <is>
          <t>Industrials</t>
        </is>
      </c>
      <c r="C234" s="87">
        <f>COUNTIFS($B$112:$B$151,"HSTECH",$E$112:$E$151,$B234)</f>
        <v/>
      </c>
      <c r="D234" s="69">
        <f>IFERROR(AVERAGEIFS($O$112:$O$151,$B$112:$B$151,"HSTECH",$E$112:$E$151,$B234),"")</f>
        <v/>
      </c>
      <c r="E234" s="50">
        <f>IFERROR(AVERAGEIFS($AC$112:$AC$151,$B$112:$B$151,"HSTECH",$E$112:$E$151,$B234),"")</f>
        <v/>
      </c>
      <c r="F234" s="80">
        <f>IFERROR(AVERAGEIFS($AJ$112:$AJ$151,$B$112:$B$151,"HSTECH",$E$112:$E$151,$B234),"")</f>
        <v/>
      </c>
      <c r="G234" s="80">
        <f>IFERROR(AVERAGEIFS($AK$112:$AK$151,$B$112:$B$151,"HSTECH",$E$112:$E$151,$B234),"")</f>
        <v/>
      </c>
      <c r="H234" s="73">
        <f>IFERROR(AVERAGEIFS($U$112:$U$151,$B$112:$B$151,"HSTECH",$E$112:$E$151,$B234),"")</f>
        <v/>
      </c>
      <c r="I234" s="73">
        <f>IFERROR(AVERAGEIFS($T$112:$T$151,$B$112:$B$151,"HSTECH",$E$112:$E$151,$B234),"")</f>
        <v/>
      </c>
      <c r="J234" s="73">
        <f>IFERROR(AVERAGEIFS($V$112:$V$151,$B$112:$B$151,"HSTECH",$E$112:$E$151,$B234),"")</f>
        <v/>
      </c>
      <c r="K234" s="50">
        <f>IFERROR(AVERAGEIFS($AU$112:$AU$151,$B$112:$B$151,"HSTECH",$E$112:$E$151,$B234),"")</f>
        <v/>
      </c>
      <c r="L234" s="50">
        <f>IFERROR(AVERAGEIFS($AX$112:$AX$151,$B$112:$B$151,"HSTECH",$E$112:$E$151,$B234),"")</f>
        <v/>
      </c>
      <c r="M234" s="50">
        <f>IFERROR(SUMIF(HSTECH!$E$7:$E$46,$B234,HSTECH!$Q$7:$Q$46),"")</f>
        <v/>
      </c>
      <c r="N234" s="88">
        <f>IFERROR($M234/HSTECH!$Q$5,"")</f>
        <v/>
      </c>
    </row>
    <row r="235">
      <c r="B235" s="4" t="inlineStr">
        <is>
          <t>Consumer Discretionary</t>
        </is>
      </c>
      <c r="C235" s="87">
        <f>COUNTIFS($B$112:$B$151,"HSTECH",$E$112:$E$151,$B235)</f>
        <v/>
      </c>
      <c r="D235" s="69">
        <f>IFERROR(AVERAGEIFS($O$112:$O$151,$B$112:$B$151,"HSTECH",$E$112:$E$151,$B235),"")</f>
        <v/>
      </c>
      <c r="E235" s="50">
        <f>IFERROR(AVERAGEIFS($AC$112:$AC$151,$B$112:$B$151,"HSTECH",$E$112:$E$151,$B235),"")</f>
        <v/>
      </c>
      <c r="F235" s="80">
        <f>IFERROR(AVERAGEIFS($AJ$112:$AJ$151,$B$112:$B$151,"HSTECH",$E$112:$E$151,$B235),"")</f>
        <v/>
      </c>
      <c r="G235" s="80">
        <f>IFERROR(AVERAGEIFS($AK$112:$AK$151,$B$112:$B$151,"HSTECH",$E$112:$E$151,$B235),"")</f>
        <v/>
      </c>
      <c r="H235" s="73">
        <f>IFERROR(AVERAGEIFS($U$112:$U$151,$B$112:$B$151,"HSTECH",$E$112:$E$151,$B235),"")</f>
        <v/>
      </c>
      <c r="I235" s="73">
        <f>IFERROR(AVERAGEIFS($T$112:$T$151,$B$112:$B$151,"HSTECH",$E$112:$E$151,$B235),"")</f>
        <v/>
      </c>
      <c r="J235" s="73">
        <f>IFERROR(AVERAGEIFS($V$112:$V$151,$B$112:$B$151,"HSTECH",$E$112:$E$151,$B235),"")</f>
        <v/>
      </c>
      <c r="K235" s="50">
        <f>IFERROR(AVERAGEIFS($AU$112:$AU$151,$B$112:$B$151,"HSTECH",$E$112:$E$151,$B235),"")</f>
        <v/>
      </c>
      <c r="L235" s="50">
        <f>IFERROR(AVERAGEIFS($AX$112:$AX$151,$B$112:$B$151,"HSTECH",$E$112:$E$151,$B235),"")</f>
        <v/>
      </c>
      <c r="M235" s="50">
        <f>IFERROR(SUMIF(HSTECH!$E$7:$E$46,$B235,HSTECH!$Q$7:$Q$46),"")</f>
        <v/>
      </c>
      <c r="N235" s="88">
        <f>IFERROR($M235/HSTECH!$Q$5,"")</f>
        <v/>
      </c>
    </row>
    <row r="236">
      <c r="B236" s="4" t="inlineStr">
        <is>
          <t>Consumer Staples</t>
        </is>
      </c>
      <c r="C236" s="87">
        <f>COUNTIFS($B$112:$B$151,"HSTECH",$E$112:$E$151,$B236)</f>
        <v/>
      </c>
      <c r="D236" s="69">
        <f>IFERROR(AVERAGEIFS($O$112:$O$151,$B$112:$B$151,"HSTECH",$E$112:$E$151,$B236),"")</f>
        <v/>
      </c>
      <c r="E236" s="50">
        <f>IFERROR(AVERAGEIFS($AC$112:$AC$151,$B$112:$B$151,"HSTECH",$E$112:$E$151,$B236),"")</f>
        <v/>
      </c>
      <c r="F236" s="80">
        <f>IFERROR(AVERAGEIFS($AJ$112:$AJ$151,$B$112:$B$151,"HSTECH",$E$112:$E$151,$B236),"")</f>
        <v/>
      </c>
      <c r="G236" s="80">
        <f>IFERROR(AVERAGEIFS($AK$112:$AK$151,$B$112:$B$151,"HSTECH",$E$112:$E$151,$B236),"")</f>
        <v/>
      </c>
      <c r="H236" s="73">
        <f>IFERROR(AVERAGEIFS($U$112:$U$151,$B$112:$B$151,"HSTECH",$E$112:$E$151,$B236),"")</f>
        <v/>
      </c>
      <c r="I236" s="73">
        <f>IFERROR(AVERAGEIFS($T$112:$T$151,$B$112:$B$151,"HSTECH",$E$112:$E$151,$B236),"")</f>
        <v/>
      </c>
      <c r="J236" s="73">
        <f>IFERROR(AVERAGEIFS($V$112:$V$151,$B$112:$B$151,"HSTECH",$E$112:$E$151,$B236),"")</f>
        <v/>
      </c>
      <c r="K236" s="50">
        <f>IFERROR(AVERAGEIFS($AU$112:$AU$151,$B$112:$B$151,"HSTECH",$E$112:$E$151,$B236),"")</f>
        <v/>
      </c>
      <c r="L236" s="50">
        <f>IFERROR(AVERAGEIFS($AX$112:$AX$151,$B$112:$B$151,"HSTECH",$E$112:$E$151,$B236),"")</f>
        <v/>
      </c>
      <c r="M236" s="50">
        <f>IFERROR(SUMIF(HSTECH!$E$7:$E$46,$B236,HSTECH!$Q$7:$Q$46),"")</f>
        <v/>
      </c>
      <c r="N236" s="88">
        <f>IFERROR($M236/HSTECH!$Q$5,"")</f>
        <v/>
      </c>
    </row>
    <row r="237">
      <c r="B237" s="4" t="inlineStr">
        <is>
          <t>Health Care</t>
        </is>
      </c>
      <c r="C237" s="87">
        <f>COUNTIFS($B$112:$B$151,"HSTECH",$E$112:$E$151,$B237)</f>
        <v/>
      </c>
      <c r="D237" s="69">
        <f>IFERROR(AVERAGEIFS($O$112:$O$151,$B$112:$B$151,"HSTECH",$E$112:$E$151,$B237),"")</f>
        <v/>
      </c>
      <c r="E237" s="50">
        <f>IFERROR(AVERAGEIFS($AC$112:$AC$151,$B$112:$B$151,"HSTECH",$E$112:$E$151,$B237),"")</f>
        <v/>
      </c>
      <c r="F237" s="80">
        <f>IFERROR(AVERAGEIFS($AJ$112:$AJ$151,$B$112:$B$151,"HSTECH",$E$112:$E$151,$B237),"")</f>
        <v/>
      </c>
      <c r="G237" s="80">
        <f>IFERROR(AVERAGEIFS($AK$112:$AK$151,$B$112:$B$151,"HSTECH",$E$112:$E$151,$B237),"")</f>
        <v/>
      </c>
      <c r="H237" s="73">
        <f>IFERROR(AVERAGEIFS($U$112:$U$151,$B$112:$B$151,"HSTECH",$E$112:$E$151,$B237),"")</f>
        <v/>
      </c>
      <c r="I237" s="73">
        <f>IFERROR(AVERAGEIFS($T$112:$T$151,$B$112:$B$151,"HSTECH",$E$112:$E$151,$B237),"")</f>
        <v/>
      </c>
      <c r="J237" s="73">
        <f>IFERROR(AVERAGEIFS($V$112:$V$151,$B$112:$B$151,"HSTECH",$E$112:$E$151,$B237),"")</f>
        <v/>
      </c>
      <c r="K237" s="50">
        <f>IFERROR(AVERAGEIFS($AU$112:$AU$151,$B$112:$B$151,"HSTECH",$E$112:$E$151,$B237),"")</f>
        <v/>
      </c>
      <c r="L237" s="50">
        <f>IFERROR(AVERAGEIFS($AX$112:$AX$151,$B$112:$B$151,"HSTECH",$E$112:$E$151,$B237),"")</f>
        <v/>
      </c>
      <c r="M237" s="50">
        <f>IFERROR(SUMIF(HSTECH!$E$7:$E$46,$B237,HSTECH!$Q$7:$Q$46),"")</f>
        <v/>
      </c>
      <c r="N237" s="88">
        <f>IFERROR($M237/HSTECH!$Q$5,"")</f>
        <v/>
      </c>
    </row>
    <row r="238">
      <c r="B238" s="4" t="inlineStr">
        <is>
          <t>Financials</t>
        </is>
      </c>
      <c r="C238" s="87">
        <f>COUNTIFS($B$112:$B$151,"HSTECH",$E$112:$E$151,$B238)</f>
        <v/>
      </c>
      <c r="D238" s="69">
        <f>IFERROR(AVERAGEIFS($O$112:$O$151,$B$112:$B$151,"HSTECH",$E$112:$E$151,$B238),"")</f>
        <v/>
      </c>
      <c r="E238" s="50">
        <f>IFERROR(AVERAGEIFS($AC$112:$AC$151,$B$112:$B$151,"HSTECH",$E$112:$E$151,$B238),"")</f>
        <v/>
      </c>
      <c r="F238" s="80">
        <f>IFERROR(AVERAGEIFS($AJ$112:$AJ$151,$B$112:$B$151,"HSTECH",$E$112:$E$151,$B238),"")</f>
        <v/>
      </c>
      <c r="G238" s="80">
        <f>IFERROR(AVERAGEIFS($AK$112:$AK$151,$B$112:$B$151,"HSTECH",$E$112:$E$151,$B238),"")</f>
        <v/>
      </c>
      <c r="H238" s="73">
        <f>IFERROR(AVERAGEIFS($U$112:$U$151,$B$112:$B$151,"HSTECH",$E$112:$E$151,$B238),"")</f>
        <v/>
      </c>
      <c r="I238" s="73">
        <f>IFERROR(AVERAGEIFS($T$112:$T$151,$B$112:$B$151,"HSTECH",$E$112:$E$151,$B238),"")</f>
        <v/>
      </c>
      <c r="J238" s="73">
        <f>IFERROR(AVERAGEIFS($V$112:$V$151,$B$112:$B$151,"HSTECH",$E$112:$E$151,$B238),"")</f>
        <v/>
      </c>
      <c r="K238" s="50">
        <f>IFERROR(AVERAGEIFS($AU$112:$AU$151,$B$112:$B$151,"HSTECH",$E$112:$E$151,$B238),"")</f>
        <v/>
      </c>
      <c r="L238" s="50">
        <f>IFERROR(AVERAGEIFS($AX$112:$AX$151,$B$112:$B$151,"HSTECH",$E$112:$E$151,$B238),"")</f>
        <v/>
      </c>
      <c r="M238" s="50">
        <f>IFERROR(SUMIF(HSTECH!$E$7:$E$46,$B238,HSTECH!$Q$7:$Q$46),"")</f>
        <v/>
      </c>
      <c r="N238" s="88">
        <f>IFERROR($M238/HSTECH!$Q$5,"")</f>
        <v/>
      </c>
    </row>
    <row r="239">
      <c r="B239" s="4" t="inlineStr">
        <is>
          <t>Information Technology</t>
        </is>
      </c>
      <c r="C239" s="87">
        <f>COUNTIFS($B$112:$B$151,"HSTECH",$E$112:$E$151,$B239)</f>
        <v/>
      </c>
      <c r="D239" s="69">
        <f>IFERROR(AVERAGEIFS($O$112:$O$151,$B$112:$B$151,"HSTECH",$E$112:$E$151,$B239),"")</f>
        <v/>
      </c>
      <c r="E239" s="50">
        <f>IFERROR(AVERAGEIFS($AC$112:$AC$151,$B$112:$B$151,"HSTECH",$E$112:$E$151,$B239),"")</f>
        <v/>
      </c>
      <c r="F239" s="80">
        <f>IFERROR(AVERAGEIFS($AJ$112:$AJ$151,$B$112:$B$151,"HSTECH",$E$112:$E$151,$B239),"")</f>
        <v/>
      </c>
      <c r="G239" s="80">
        <f>IFERROR(AVERAGEIFS($AK$112:$AK$151,$B$112:$B$151,"HSTECH",$E$112:$E$151,$B239),"")</f>
        <v/>
      </c>
      <c r="H239" s="73">
        <f>IFERROR(AVERAGEIFS($U$112:$U$151,$B$112:$B$151,"HSTECH",$E$112:$E$151,$B239),"")</f>
        <v/>
      </c>
      <c r="I239" s="73">
        <f>IFERROR(AVERAGEIFS($T$112:$T$151,$B$112:$B$151,"HSTECH",$E$112:$E$151,$B239),"")</f>
        <v/>
      </c>
      <c r="J239" s="73">
        <f>IFERROR(AVERAGEIFS($V$112:$V$151,$B$112:$B$151,"HSTECH",$E$112:$E$151,$B239),"")</f>
        <v/>
      </c>
      <c r="K239" s="50">
        <f>IFERROR(AVERAGEIFS($AU$112:$AU$151,$B$112:$B$151,"HSTECH",$E$112:$E$151,$B239),"")</f>
        <v/>
      </c>
      <c r="L239" s="50">
        <f>IFERROR(AVERAGEIFS($AX$112:$AX$151,$B$112:$B$151,"HSTECH",$E$112:$E$151,$B239),"")</f>
        <v/>
      </c>
      <c r="M239" s="50">
        <f>IFERROR(SUMIF(HSTECH!$E$7:$E$46,$B239,HSTECH!$Q$7:$Q$46),"")</f>
        <v/>
      </c>
      <c r="N239" s="88">
        <f>IFERROR($M239/HSTECH!$Q$5,"")</f>
        <v/>
      </c>
    </row>
    <row r="240">
      <c r="B240" s="4" t="inlineStr">
        <is>
          <t>Communication Services</t>
        </is>
      </c>
      <c r="C240" s="87">
        <f>COUNTIFS($B$112:$B$151,"HSTECH",$E$112:$E$151,$B240)</f>
        <v/>
      </c>
      <c r="D240" s="69">
        <f>IFERROR(AVERAGEIFS($O$112:$O$151,$B$112:$B$151,"HSTECH",$E$112:$E$151,$B240),"")</f>
        <v/>
      </c>
      <c r="E240" s="50">
        <f>IFERROR(AVERAGEIFS($AC$112:$AC$151,$B$112:$B$151,"HSTECH",$E$112:$E$151,$B240),"")</f>
        <v/>
      </c>
      <c r="F240" s="80">
        <f>IFERROR(AVERAGEIFS($AJ$112:$AJ$151,$B$112:$B$151,"HSTECH",$E$112:$E$151,$B240),"")</f>
        <v/>
      </c>
      <c r="G240" s="80">
        <f>IFERROR(AVERAGEIFS($AK$112:$AK$151,$B$112:$B$151,"HSTECH",$E$112:$E$151,$B240),"")</f>
        <v/>
      </c>
      <c r="H240" s="73">
        <f>IFERROR(AVERAGEIFS($U$112:$U$151,$B$112:$B$151,"HSTECH",$E$112:$E$151,$B240),"")</f>
        <v/>
      </c>
      <c r="I240" s="73">
        <f>IFERROR(AVERAGEIFS($T$112:$T$151,$B$112:$B$151,"HSTECH",$E$112:$E$151,$B240),"")</f>
        <v/>
      </c>
      <c r="J240" s="73">
        <f>IFERROR(AVERAGEIFS($V$112:$V$151,$B$112:$B$151,"HSTECH",$E$112:$E$151,$B240),"")</f>
        <v/>
      </c>
      <c r="K240" s="50">
        <f>IFERROR(AVERAGEIFS($AU$112:$AU$151,$B$112:$B$151,"HSTECH",$E$112:$E$151,$B240),"")</f>
        <v/>
      </c>
      <c r="L240" s="50">
        <f>IFERROR(AVERAGEIFS($AX$112:$AX$151,$B$112:$B$151,"HSTECH",$E$112:$E$151,$B240),"")</f>
        <v/>
      </c>
      <c r="M240" s="50">
        <f>IFERROR(SUMIF(HSTECH!$E$7:$E$46,$B240,HSTECH!$Q$7:$Q$46),"")</f>
        <v/>
      </c>
      <c r="N240" s="88">
        <f>IFERROR($M240/HSTECH!$Q$5,"")</f>
        <v/>
      </c>
    </row>
    <row r="241">
      <c r="B241" s="4" t="inlineStr">
        <is>
          <t>Utilities</t>
        </is>
      </c>
      <c r="C241" s="87">
        <f>COUNTIFS($B$112:$B$151,"HSTECH",$E$112:$E$151,$B241)</f>
        <v/>
      </c>
      <c r="D241" s="69">
        <f>IFERROR(AVERAGEIFS($O$112:$O$151,$B$112:$B$151,"HSTECH",$E$112:$E$151,$B241),"")</f>
        <v/>
      </c>
      <c r="E241" s="50">
        <f>IFERROR(AVERAGEIFS($AC$112:$AC$151,$B$112:$B$151,"HSTECH",$E$112:$E$151,$B241),"")</f>
        <v/>
      </c>
      <c r="F241" s="80">
        <f>IFERROR(AVERAGEIFS($AJ$112:$AJ$151,$B$112:$B$151,"HSTECH",$E$112:$E$151,$B241),"")</f>
        <v/>
      </c>
      <c r="G241" s="80">
        <f>IFERROR(AVERAGEIFS($AK$112:$AK$151,$B$112:$B$151,"HSTECH",$E$112:$E$151,$B241),"")</f>
        <v/>
      </c>
      <c r="H241" s="73">
        <f>IFERROR(AVERAGEIFS($U$112:$U$151,$B$112:$B$151,"HSTECH",$E$112:$E$151,$B241),"")</f>
        <v/>
      </c>
      <c r="I241" s="73">
        <f>IFERROR(AVERAGEIFS($T$112:$T$151,$B$112:$B$151,"HSTECH",$E$112:$E$151,$B241),"")</f>
        <v/>
      </c>
      <c r="J241" s="73">
        <f>IFERROR(AVERAGEIFS($V$112:$V$151,$B$112:$B$151,"HSTECH",$E$112:$E$151,$B241),"")</f>
        <v/>
      </c>
      <c r="K241" s="50">
        <f>IFERROR(AVERAGEIFS($AU$112:$AU$151,$B$112:$B$151,"HSTECH",$E$112:$E$151,$B241),"")</f>
        <v/>
      </c>
      <c r="L241" s="50">
        <f>IFERROR(AVERAGEIFS($AX$112:$AX$151,$B$112:$B$151,"HSTECH",$E$112:$E$151,$B241),"")</f>
        <v/>
      </c>
      <c r="M241" s="50">
        <f>IFERROR(SUMIF(HSTECH!$E$7:$E$46,$B241,HSTECH!$Q$7:$Q$46),"")</f>
        <v/>
      </c>
      <c r="N241" s="88">
        <f>IFERROR($M241/HSTECH!$Q$5,"")</f>
        <v/>
      </c>
    </row>
    <row r="242">
      <c r="B242" s="4" t="inlineStr">
        <is>
          <t>Real Estate</t>
        </is>
      </c>
      <c r="C242" s="87">
        <f>COUNTIFS($B$112:$B$151,"HSTECH",$E$112:$E$151,$B242)</f>
        <v/>
      </c>
      <c r="D242" s="69">
        <f>IFERROR(AVERAGEIFS($O$112:$O$151,$B$112:$B$151,"HSTECH",$E$112:$E$151,$B242),"")</f>
        <v/>
      </c>
      <c r="E242" s="50">
        <f>IFERROR(AVERAGEIFS($AC$112:$AC$151,$B$112:$B$151,"HSTECH",$E$112:$E$151,$B242),"")</f>
        <v/>
      </c>
      <c r="F242" s="80">
        <f>IFERROR(AVERAGEIFS($AJ$112:$AJ$151,$B$112:$B$151,"HSTECH",$E$112:$E$151,$B242),"")</f>
        <v/>
      </c>
      <c r="G242" s="80">
        <f>IFERROR(AVERAGEIFS($AK$112:$AK$151,$B$112:$B$151,"HSTECH",$E$112:$E$151,$B242),"")</f>
        <v/>
      </c>
      <c r="H242" s="73">
        <f>IFERROR(AVERAGEIFS($U$112:$U$151,$B$112:$B$151,"HSTECH",$E$112:$E$151,$B242),"")</f>
        <v/>
      </c>
      <c r="I242" s="73">
        <f>IFERROR(AVERAGEIFS($T$112:$T$151,$B$112:$B$151,"HSTECH",$E$112:$E$151,$B242),"")</f>
        <v/>
      </c>
      <c r="J242" s="73">
        <f>IFERROR(AVERAGEIFS($V$112:$V$151,$B$112:$B$151,"HSTECH",$E$112:$E$151,$B242),"")</f>
        <v/>
      </c>
      <c r="K242" s="50">
        <f>IFERROR(AVERAGEIFS($AU$112:$AU$151,$B$112:$B$151,"HSTECH",$E$112:$E$151,$B242),"")</f>
        <v/>
      </c>
      <c r="L242" s="50">
        <f>IFERROR(AVERAGEIFS($AX$112:$AX$151,$B$112:$B$151,"HSTECH",$E$112:$E$151,$B242),"")</f>
        <v/>
      </c>
      <c r="M242" s="50">
        <f>IFERROR(SUMIF(HSTECH!$E$7:$E$46,$B242,HSTECH!$Q$7:$Q$46),"")</f>
        <v/>
      </c>
      <c r="N242" s="88">
        <f>IFERROR($M242/HSTECH!$Q$5,"")</f>
        <v/>
      </c>
    </row>
    <row r="243">
      <c r="B243" s="3" t="inlineStr">
        <is>
          <t>TOTAL</t>
        </is>
      </c>
      <c r="C243" s="89">
        <f>SUM(C232:C242)</f>
        <v/>
      </c>
      <c r="M243" s="90">
        <f>IFERROR(SUM(M232:M242),"")</f>
        <v/>
      </c>
      <c r="N243" s="83">
        <f>IFERROR(SUM(N232:N242),"")</f>
        <v/>
      </c>
      <c r="O243" s="2">
        <f>IF(ABS(N($M243)-N(HSTECH!$Q$5))&lt;0.01,"sector split reconciles","CHECK - a GICS name does not match")</f>
        <v/>
      </c>
    </row>
    <row r="246">
      <c r="B246" s="6" t="inlineStr">
        <is>
          <t>SECTOR AVERAGES - Hang Seng China Enterprises (HSCEI)</t>
        </is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</row>
    <row r="247">
      <c r="B247" s="62" t="inlineStr">
        <is>
          <t>GICS Sector</t>
        </is>
      </c>
      <c r="C247" s="62" t="inlineStr">
        <is>
          <t>#</t>
        </is>
      </c>
      <c r="D247" s="62" t="inlineStr">
        <is>
          <t>Avg 5Y
DPS</t>
        </is>
      </c>
      <c r="E247" s="62" t="inlineStr">
        <is>
          <t>Avg 5Y
EPS</t>
        </is>
      </c>
      <c r="F247" s="62" t="inlineStr">
        <is>
          <t>Avg 5Y
payout</t>
        </is>
      </c>
      <c r="G247" s="62" t="inlineStr">
        <is>
          <t>Fwd
payout</t>
        </is>
      </c>
      <c r="H247" s="62" t="inlineStr">
        <is>
          <t>Dvd yld
12M</t>
        </is>
      </c>
      <c r="I247" s="62" t="inlineStr">
        <is>
          <t>Yld
Y-1</t>
        </is>
      </c>
      <c r="J247" s="62" t="inlineStr">
        <is>
          <t>Model
fwd yld</t>
        </is>
      </c>
      <c r="K247" s="62" t="inlineStr">
        <is>
          <t>Net debt
/EBITDA</t>
        </is>
      </c>
      <c r="L247" s="62" t="inlineStr">
        <is>
          <t>FCF
cover</t>
        </is>
      </c>
      <c r="M247" s="62" t="inlineStr">
        <is>
          <t>Year pts
(model)</t>
        </is>
      </c>
      <c r="N247" s="62" t="inlineStr">
        <is>
          <t>% of yr
dvds</t>
        </is>
      </c>
    </row>
    <row r="248">
      <c r="B248" s="4" t="inlineStr">
        <is>
          <t>Energy</t>
        </is>
      </c>
      <c r="C248" s="87">
        <f>COUNTIFS($B$152:$B$211,"HSCEI",$E$152:$E$211,$B248)</f>
        <v/>
      </c>
      <c r="D248" s="69">
        <f>IFERROR(AVERAGEIFS($O$152:$O$211,$B$152:$B$211,"HSCEI",$E$152:$E$211,$B248),"")</f>
        <v/>
      </c>
      <c r="E248" s="50">
        <f>IFERROR(AVERAGEIFS($AC$152:$AC$211,$B$152:$B$211,"HSCEI",$E$152:$E$211,$B248),"")</f>
        <v/>
      </c>
      <c r="F248" s="80">
        <f>IFERROR(AVERAGEIFS($AJ$152:$AJ$211,$B$152:$B$211,"HSCEI",$E$152:$E$211,$B248),"")</f>
        <v/>
      </c>
      <c r="G248" s="80">
        <f>IFERROR(AVERAGEIFS($AK$152:$AK$211,$B$152:$B$211,"HSCEI",$E$152:$E$211,$B248),"")</f>
        <v/>
      </c>
      <c r="H248" s="73">
        <f>IFERROR(AVERAGEIFS($U$152:$U$211,$B$152:$B$211,"HSCEI",$E$152:$E$211,$B248),"")</f>
        <v/>
      </c>
      <c r="I248" s="73">
        <f>IFERROR(AVERAGEIFS($T$152:$T$211,$B$152:$B$211,"HSCEI",$E$152:$E$211,$B248),"")</f>
        <v/>
      </c>
      <c r="J248" s="73">
        <f>IFERROR(AVERAGEIFS($V$152:$V$211,$B$152:$B$211,"HSCEI",$E$152:$E$211,$B248),"")</f>
        <v/>
      </c>
      <c r="K248" s="50">
        <f>IFERROR(AVERAGEIFS($AU$152:$AU$211,$B$152:$B$211,"HSCEI",$E$152:$E$211,$B248),"")</f>
        <v/>
      </c>
      <c r="L248" s="50">
        <f>IFERROR(AVERAGEIFS($AX$152:$AX$211,$B$152:$B$211,"HSCEI",$E$152:$E$211,$B248),"")</f>
        <v/>
      </c>
      <c r="M248" s="50">
        <f>IFERROR(SUMIF(HSCEI!$E$7:$E$66,$B248,HSCEI!$Q$7:$Q$66),"")</f>
        <v/>
      </c>
      <c r="N248" s="88">
        <f>IFERROR($M248/HSCEI!$Q$5,"")</f>
        <v/>
      </c>
    </row>
    <row r="249">
      <c r="B249" s="4" t="inlineStr">
        <is>
          <t>Materials</t>
        </is>
      </c>
      <c r="C249" s="87">
        <f>COUNTIFS($B$152:$B$211,"HSCEI",$E$152:$E$211,$B249)</f>
        <v/>
      </c>
      <c r="D249" s="69">
        <f>IFERROR(AVERAGEIFS($O$152:$O$211,$B$152:$B$211,"HSCEI",$E$152:$E$211,$B249),"")</f>
        <v/>
      </c>
      <c r="E249" s="50">
        <f>IFERROR(AVERAGEIFS($AC$152:$AC$211,$B$152:$B$211,"HSCEI",$E$152:$E$211,$B249),"")</f>
        <v/>
      </c>
      <c r="F249" s="80">
        <f>IFERROR(AVERAGEIFS($AJ$152:$AJ$211,$B$152:$B$211,"HSCEI",$E$152:$E$211,$B249),"")</f>
        <v/>
      </c>
      <c r="G249" s="80">
        <f>IFERROR(AVERAGEIFS($AK$152:$AK$211,$B$152:$B$211,"HSCEI",$E$152:$E$211,$B249),"")</f>
        <v/>
      </c>
      <c r="H249" s="73">
        <f>IFERROR(AVERAGEIFS($U$152:$U$211,$B$152:$B$211,"HSCEI",$E$152:$E$211,$B249),"")</f>
        <v/>
      </c>
      <c r="I249" s="73">
        <f>IFERROR(AVERAGEIFS($T$152:$T$211,$B$152:$B$211,"HSCEI",$E$152:$E$211,$B249),"")</f>
        <v/>
      </c>
      <c r="J249" s="73">
        <f>IFERROR(AVERAGEIFS($V$152:$V$211,$B$152:$B$211,"HSCEI",$E$152:$E$211,$B249),"")</f>
        <v/>
      </c>
      <c r="K249" s="50">
        <f>IFERROR(AVERAGEIFS($AU$152:$AU$211,$B$152:$B$211,"HSCEI",$E$152:$E$211,$B249),"")</f>
        <v/>
      </c>
      <c r="L249" s="50">
        <f>IFERROR(AVERAGEIFS($AX$152:$AX$211,$B$152:$B$211,"HSCEI",$E$152:$E$211,$B249),"")</f>
        <v/>
      </c>
      <c r="M249" s="50">
        <f>IFERROR(SUMIF(HSCEI!$E$7:$E$66,$B249,HSCEI!$Q$7:$Q$66),"")</f>
        <v/>
      </c>
      <c r="N249" s="88">
        <f>IFERROR($M249/HSCEI!$Q$5,"")</f>
        <v/>
      </c>
    </row>
    <row r="250">
      <c r="B250" s="4" t="inlineStr">
        <is>
          <t>Industrials</t>
        </is>
      </c>
      <c r="C250" s="87">
        <f>COUNTIFS($B$152:$B$211,"HSCEI",$E$152:$E$211,$B250)</f>
        <v/>
      </c>
      <c r="D250" s="69">
        <f>IFERROR(AVERAGEIFS($O$152:$O$211,$B$152:$B$211,"HSCEI",$E$152:$E$211,$B250),"")</f>
        <v/>
      </c>
      <c r="E250" s="50">
        <f>IFERROR(AVERAGEIFS($AC$152:$AC$211,$B$152:$B$211,"HSCEI",$E$152:$E$211,$B250),"")</f>
        <v/>
      </c>
      <c r="F250" s="80">
        <f>IFERROR(AVERAGEIFS($AJ$152:$AJ$211,$B$152:$B$211,"HSCEI",$E$152:$E$211,$B250),"")</f>
        <v/>
      </c>
      <c r="G250" s="80">
        <f>IFERROR(AVERAGEIFS($AK$152:$AK$211,$B$152:$B$211,"HSCEI",$E$152:$E$211,$B250),"")</f>
        <v/>
      </c>
      <c r="H250" s="73">
        <f>IFERROR(AVERAGEIFS($U$152:$U$211,$B$152:$B$211,"HSCEI",$E$152:$E$211,$B250),"")</f>
        <v/>
      </c>
      <c r="I250" s="73">
        <f>IFERROR(AVERAGEIFS($T$152:$T$211,$B$152:$B$211,"HSCEI",$E$152:$E$211,$B250),"")</f>
        <v/>
      </c>
      <c r="J250" s="73">
        <f>IFERROR(AVERAGEIFS($V$152:$V$211,$B$152:$B$211,"HSCEI",$E$152:$E$211,$B250),"")</f>
        <v/>
      </c>
      <c r="K250" s="50">
        <f>IFERROR(AVERAGEIFS($AU$152:$AU$211,$B$152:$B$211,"HSCEI",$E$152:$E$211,$B250),"")</f>
        <v/>
      </c>
      <c r="L250" s="50">
        <f>IFERROR(AVERAGEIFS($AX$152:$AX$211,$B$152:$B$211,"HSCEI",$E$152:$E$211,$B250),"")</f>
        <v/>
      </c>
      <c r="M250" s="50">
        <f>IFERROR(SUMIF(HSCEI!$E$7:$E$66,$B250,HSCEI!$Q$7:$Q$66),"")</f>
        <v/>
      </c>
      <c r="N250" s="88">
        <f>IFERROR($M250/HSCEI!$Q$5,"")</f>
        <v/>
      </c>
    </row>
    <row r="251">
      <c r="B251" s="4" t="inlineStr">
        <is>
          <t>Consumer Discretionary</t>
        </is>
      </c>
      <c r="C251" s="87">
        <f>COUNTIFS($B$152:$B$211,"HSCEI",$E$152:$E$211,$B251)</f>
        <v/>
      </c>
      <c r="D251" s="69">
        <f>IFERROR(AVERAGEIFS($O$152:$O$211,$B$152:$B$211,"HSCEI",$E$152:$E$211,$B251),"")</f>
        <v/>
      </c>
      <c r="E251" s="50">
        <f>IFERROR(AVERAGEIFS($AC$152:$AC$211,$B$152:$B$211,"HSCEI",$E$152:$E$211,$B251),"")</f>
        <v/>
      </c>
      <c r="F251" s="80">
        <f>IFERROR(AVERAGEIFS($AJ$152:$AJ$211,$B$152:$B$211,"HSCEI",$E$152:$E$211,$B251),"")</f>
        <v/>
      </c>
      <c r="G251" s="80">
        <f>IFERROR(AVERAGEIFS($AK$152:$AK$211,$B$152:$B$211,"HSCEI",$E$152:$E$211,$B251),"")</f>
        <v/>
      </c>
      <c r="H251" s="73">
        <f>IFERROR(AVERAGEIFS($U$152:$U$211,$B$152:$B$211,"HSCEI",$E$152:$E$211,$B251),"")</f>
        <v/>
      </c>
      <c r="I251" s="73">
        <f>IFERROR(AVERAGEIFS($T$152:$T$211,$B$152:$B$211,"HSCEI",$E$152:$E$211,$B251),"")</f>
        <v/>
      </c>
      <c r="J251" s="73">
        <f>IFERROR(AVERAGEIFS($V$152:$V$211,$B$152:$B$211,"HSCEI",$E$152:$E$211,$B251),"")</f>
        <v/>
      </c>
      <c r="K251" s="50">
        <f>IFERROR(AVERAGEIFS($AU$152:$AU$211,$B$152:$B$211,"HSCEI",$E$152:$E$211,$B251),"")</f>
        <v/>
      </c>
      <c r="L251" s="50">
        <f>IFERROR(AVERAGEIFS($AX$152:$AX$211,$B$152:$B$211,"HSCEI",$E$152:$E$211,$B251),"")</f>
        <v/>
      </c>
      <c r="M251" s="50">
        <f>IFERROR(SUMIF(HSCEI!$E$7:$E$66,$B251,HSCEI!$Q$7:$Q$66),"")</f>
        <v/>
      </c>
      <c r="N251" s="88">
        <f>IFERROR($M251/HSCEI!$Q$5,"")</f>
        <v/>
      </c>
    </row>
    <row r="252">
      <c r="B252" s="4" t="inlineStr">
        <is>
          <t>Consumer Staples</t>
        </is>
      </c>
      <c r="C252" s="87">
        <f>COUNTIFS($B$152:$B$211,"HSCEI",$E$152:$E$211,$B252)</f>
        <v/>
      </c>
      <c r="D252" s="69">
        <f>IFERROR(AVERAGEIFS($O$152:$O$211,$B$152:$B$211,"HSCEI",$E$152:$E$211,$B252),"")</f>
        <v/>
      </c>
      <c r="E252" s="50">
        <f>IFERROR(AVERAGEIFS($AC$152:$AC$211,$B$152:$B$211,"HSCEI",$E$152:$E$211,$B252),"")</f>
        <v/>
      </c>
      <c r="F252" s="80">
        <f>IFERROR(AVERAGEIFS($AJ$152:$AJ$211,$B$152:$B$211,"HSCEI",$E$152:$E$211,$B252),"")</f>
        <v/>
      </c>
      <c r="G252" s="80">
        <f>IFERROR(AVERAGEIFS($AK$152:$AK$211,$B$152:$B$211,"HSCEI",$E$152:$E$211,$B252),"")</f>
        <v/>
      </c>
      <c r="H252" s="73">
        <f>IFERROR(AVERAGEIFS($U$152:$U$211,$B$152:$B$211,"HSCEI",$E$152:$E$211,$B252),"")</f>
        <v/>
      </c>
      <c r="I252" s="73">
        <f>IFERROR(AVERAGEIFS($T$152:$T$211,$B$152:$B$211,"HSCEI",$E$152:$E$211,$B252),"")</f>
        <v/>
      </c>
      <c r="J252" s="73">
        <f>IFERROR(AVERAGEIFS($V$152:$V$211,$B$152:$B$211,"HSCEI",$E$152:$E$211,$B252),"")</f>
        <v/>
      </c>
      <c r="K252" s="50">
        <f>IFERROR(AVERAGEIFS($AU$152:$AU$211,$B$152:$B$211,"HSCEI",$E$152:$E$211,$B252),"")</f>
        <v/>
      </c>
      <c r="L252" s="50">
        <f>IFERROR(AVERAGEIFS($AX$152:$AX$211,$B$152:$B$211,"HSCEI",$E$152:$E$211,$B252),"")</f>
        <v/>
      </c>
      <c r="M252" s="50">
        <f>IFERROR(SUMIF(HSCEI!$E$7:$E$66,$B252,HSCEI!$Q$7:$Q$66),"")</f>
        <v/>
      </c>
      <c r="N252" s="88">
        <f>IFERROR($M252/HSCEI!$Q$5,"")</f>
        <v/>
      </c>
    </row>
    <row r="253">
      <c r="B253" s="4" t="inlineStr">
        <is>
          <t>Health Care</t>
        </is>
      </c>
      <c r="C253" s="87">
        <f>COUNTIFS($B$152:$B$211,"HSCEI",$E$152:$E$211,$B253)</f>
        <v/>
      </c>
      <c r="D253" s="69">
        <f>IFERROR(AVERAGEIFS($O$152:$O$211,$B$152:$B$211,"HSCEI",$E$152:$E$211,$B253),"")</f>
        <v/>
      </c>
      <c r="E253" s="50">
        <f>IFERROR(AVERAGEIFS($AC$152:$AC$211,$B$152:$B$211,"HSCEI",$E$152:$E$211,$B253),"")</f>
        <v/>
      </c>
      <c r="F253" s="80">
        <f>IFERROR(AVERAGEIFS($AJ$152:$AJ$211,$B$152:$B$211,"HSCEI",$E$152:$E$211,$B253),"")</f>
        <v/>
      </c>
      <c r="G253" s="80">
        <f>IFERROR(AVERAGEIFS($AK$152:$AK$211,$B$152:$B$211,"HSCEI",$E$152:$E$211,$B253),"")</f>
        <v/>
      </c>
      <c r="H253" s="73">
        <f>IFERROR(AVERAGEIFS($U$152:$U$211,$B$152:$B$211,"HSCEI",$E$152:$E$211,$B253),"")</f>
        <v/>
      </c>
      <c r="I253" s="73">
        <f>IFERROR(AVERAGEIFS($T$152:$T$211,$B$152:$B$211,"HSCEI",$E$152:$E$211,$B253),"")</f>
        <v/>
      </c>
      <c r="J253" s="73">
        <f>IFERROR(AVERAGEIFS($V$152:$V$211,$B$152:$B$211,"HSCEI",$E$152:$E$211,$B253),"")</f>
        <v/>
      </c>
      <c r="K253" s="50">
        <f>IFERROR(AVERAGEIFS($AU$152:$AU$211,$B$152:$B$211,"HSCEI",$E$152:$E$211,$B253),"")</f>
        <v/>
      </c>
      <c r="L253" s="50">
        <f>IFERROR(AVERAGEIFS($AX$152:$AX$211,$B$152:$B$211,"HSCEI",$E$152:$E$211,$B253),"")</f>
        <v/>
      </c>
      <c r="M253" s="50">
        <f>IFERROR(SUMIF(HSCEI!$E$7:$E$66,$B253,HSCEI!$Q$7:$Q$66),"")</f>
        <v/>
      </c>
      <c r="N253" s="88">
        <f>IFERROR($M253/HSCEI!$Q$5,"")</f>
        <v/>
      </c>
    </row>
    <row r="254">
      <c r="B254" s="4" t="inlineStr">
        <is>
          <t>Financials</t>
        </is>
      </c>
      <c r="C254" s="87">
        <f>COUNTIFS($B$152:$B$211,"HSCEI",$E$152:$E$211,$B254)</f>
        <v/>
      </c>
      <c r="D254" s="69">
        <f>IFERROR(AVERAGEIFS($O$152:$O$211,$B$152:$B$211,"HSCEI",$E$152:$E$211,$B254),"")</f>
        <v/>
      </c>
      <c r="E254" s="50">
        <f>IFERROR(AVERAGEIFS($AC$152:$AC$211,$B$152:$B$211,"HSCEI",$E$152:$E$211,$B254),"")</f>
        <v/>
      </c>
      <c r="F254" s="80">
        <f>IFERROR(AVERAGEIFS($AJ$152:$AJ$211,$B$152:$B$211,"HSCEI",$E$152:$E$211,$B254),"")</f>
        <v/>
      </c>
      <c r="G254" s="80">
        <f>IFERROR(AVERAGEIFS($AK$152:$AK$211,$B$152:$B$211,"HSCEI",$E$152:$E$211,$B254),"")</f>
        <v/>
      </c>
      <c r="H254" s="73">
        <f>IFERROR(AVERAGEIFS($U$152:$U$211,$B$152:$B$211,"HSCEI",$E$152:$E$211,$B254),"")</f>
        <v/>
      </c>
      <c r="I254" s="73">
        <f>IFERROR(AVERAGEIFS($T$152:$T$211,$B$152:$B$211,"HSCEI",$E$152:$E$211,$B254),"")</f>
        <v/>
      </c>
      <c r="J254" s="73">
        <f>IFERROR(AVERAGEIFS($V$152:$V$211,$B$152:$B$211,"HSCEI",$E$152:$E$211,$B254),"")</f>
        <v/>
      </c>
      <c r="K254" s="50">
        <f>IFERROR(AVERAGEIFS($AU$152:$AU$211,$B$152:$B$211,"HSCEI",$E$152:$E$211,$B254),"")</f>
        <v/>
      </c>
      <c r="L254" s="50">
        <f>IFERROR(AVERAGEIFS($AX$152:$AX$211,$B$152:$B$211,"HSCEI",$E$152:$E$211,$B254),"")</f>
        <v/>
      </c>
      <c r="M254" s="50">
        <f>IFERROR(SUMIF(HSCEI!$E$7:$E$66,$B254,HSCEI!$Q$7:$Q$66),"")</f>
        <v/>
      </c>
      <c r="N254" s="88">
        <f>IFERROR($M254/HSCEI!$Q$5,"")</f>
        <v/>
      </c>
    </row>
    <row r="255">
      <c r="B255" s="4" t="inlineStr">
        <is>
          <t>Information Technology</t>
        </is>
      </c>
      <c r="C255" s="87">
        <f>COUNTIFS($B$152:$B$211,"HSCEI",$E$152:$E$211,$B255)</f>
        <v/>
      </c>
      <c r="D255" s="69">
        <f>IFERROR(AVERAGEIFS($O$152:$O$211,$B$152:$B$211,"HSCEI",$E$152:$E$211,$B255),"")</f>
        <v/>
      </c>
      <c r="E255" s="50">
        <f>IFERROR(AVERAGEIFS($AC$152:$AC$211,$B$152:$B$211,"HSCEI",$E$152:$E$211,$B255),"")</f>
        <v/>
      </c>
      <c r="F255" s="80">
        <f>IFERROR(AVERAGEIFS($AJ$152:$AJ$211,$B$152:$B$211,"HSCEI",$E$152:$E$211,$B255),"")</f>
        <v/>
      </c>
      <c r="G255" s="80">
        <f>IFERROR(AVERAGEIFS($AK$152:$AK$211,$B$152:$B$211,"HSCEI",$E$152:$E$211,$B255),"")</f>
        <v/>
      </c>
      <c r="H255" s="73">
        <f>IFERROR(AVERAGEIFS($U$152:$U$211,$B$152:$B$211,"HSCEI",$E$152:$E$211,$B255),"")</f>
        <v/>
      </c>
      <c r="I255" s="73">
        <f>IFERROR(AVERAGEIFS($T$152:$T$211,$B$152:$B$211,"HSCEI",$E$152:$E$211,$B255),"")</f>
        <v/>
      </c>
      <c r="J255" s="73">
        <f>IFERROR(AVERAGEIFS($V$152:$V$211,$B$152:$B$211,"HSCEI",$E$152:$E$211,$B255),"")</f>
        <v/>
      </c>
      <c r="K255" s="50">
        <f>IFERROR(AVERAGEIFS($AU$152:$AU$211,$B$152:$B$211,"HSCEI",$E$152:$E$211,$B255),"")</f>
        <v/>
      </c>
      <c r="L255" s="50">
        <f>IFERROR(AVERAGEIFS($AX$152:$AX$211,$B$152:$B$211,"HSCEI",$E$152:$E$211,$B255),"")</f>
        <v/>
      </c>
      <c r="M255" s="50">
        <f>IFERROR(SUMIF(HSCEI!$E$7:$E$66,$B255,HSCEI!$Q$7:$Q$66),"")</f>
        <v/>
      </c>
      <c r="N255" s="88">
        <f>IFERROR($M255/HSCEI!$Q$5,"")</f>
        <v/>
      </c>
    </row>
    <row r="256">
      <c r="B256" s="4" t="inlineStr">
        <is>
          <t>Communication Services</t>
        </is>
      </c>
      <c r="C256" s="87">
        <f>COUNTIFS($B$152:$B$211,"HSCEI",$E$152:$E$211,$B256)</f>
        <v/>
      </c>
      <c r="D256" s="69">
        <f>IFERROR(AVERAGEIFS($O$152:$O$211,$B$152:$B$211,"HSCEI",$E$152:$E$211,$B256),"")</f>
        <v/>
      </c>
      <c r="E256" s="50">
        <f>IFERROR(AVERAGEIFS($AC$152:$AC$211,$B$152:$B$211,"HSCEI",$E$152:$E$211,$B256),"")</f>
        <v/>
      </c>
      <c r="F256" s="80">
        <f>IFERROR(AVERAGEIFS($AJ$152:$AJ$211,$B$152:$B$211,"HSCEI",$E$152:$E$211,$B256),"")</f>
        <v/>
      </c>
      <c r="G256" s="80">
        <f>IFERROR(AVERAGEIFS($AK$152:$AK$211,$B$152:$B$211,"HSCEI",$E$152:$E$211,$B256),"")</f>
        <v/>
      </c>
      <c r="H256" s="73">
        <f>IFERROR(AVERAGEIFS($U$152:$U$211,$B$152:$B$211,"HSCEI",$E$152:$E$211,$B256),"")</f>
        <v/>
      </c>
      <c r="I256" s="73">
        <f>IFERROR(AVERAGEIFS($T$152:$T$211,$B$152:$B$211,"HSCEI",$E$152:$E$211,$B256),"")</f>
        <v/>
      </c>
      <c r="J256" s="73">
        <f>IFERROR(AVERAGEIFS($V$152:$V$211,$B$152:$B$211,"HSCEI",$E$152:$E$211,$B256),"")</f>
        <v/>
      </c>
      <c r="K256" s="50">
        <f>IFERROR(AVERAGEIFS($AU$152:$AU$211,$B$152:$B$211,"HSCEI",$E$152:$E$211,$B256),"")</f>
        <v/>
      </c>
      <c r="L256" s="50">
        <f>IFERROR(AVERAGEIFS($AX$152:$AX$211,$B$152:$B$211,"HSCEI",$E$152:$E$211,$B256),"")</f>
        <v/>
      </c>
      <c r="M256" s="50">
        <f>IFERROR(SUMIF(HSCEI!$E$7:$E$66,$B256,HSCEI!$Q$7:$Q$66),"")</f>
        <v/>
      </c>
      <c r="N256" s="88">
        <f>IFERROR($M256/HSCEI!$Q$5,"")</f>
        <v/>
      </c>
    </row>
    <row r="257">
      <c r="B257" s="4" t="inlineStr">
        <is>
          <t>Utilities</t>
        </is>
      </c>
      <c r="C257" s="87">
        <f>COUNTIFS($B$152:$B$211,"HSCEI",$E$152:$E$211,$B257)</f>
        <v/>
      </c>
      <c r="D257" s="69">
        <f>IFERROR(AVERAGEIFS($O$152:$O$211,$B$152:$B$211,"HSCEI",$E$152:$E$211,$B257),"")</f>
        <v/>
      </c>
      <c r="E257" s="50">
        <f>IFERROR(AVERAGEIFS($AC$152:$AC$211,$B$152:$B$211,"HSCEI",$E$152:$E$211,$B257),"")</f>
        <v/>
      </c>
      <c r="F257" s="80">
        <f>IFERROR(AVERAGEIFS($AJ$152:$AJ$211,$B$152:$B$211,"HSCEI",$E$152:$E$211,$B257),"")</f>
        <v/>
      </c>
      <c r="G257" s="80">
        <f>IFERROR(AVERAGEIFS($AK$152:$AK$211,$B$152:$B$211,"HSCEI",$E$152:$E$211,$B257),"")</f>
        <v/>
      </c>
      <c r="H257" s="73">
        <f>IFERROR(AVERAGEIFS($U$152:$U$211,$B$152:$B$211,"HSCEI",$E$152:$E$211,$B257),"")</f>
        <v/>
      </c>
      <c r="I257" s="73">
        <f>IFERROR(AVERAGEIFS($T$152:$T$211,$B$152:$B$211,"HSCEI",$E$152:$E$211,$B257),"")</f>
        <v/>
      </c>
      <c r="J257" s="73">
        <f>IFERROR(AVERAGEIFS($V$152:$V$211,$B$152:$B$211,"HSCEI",$E$152:$E$211,$B257),"")</f>
        <v/>
      </c>
      <c r="K257" s="50">
        <f>IFERROR(AVERAGEIFS($AU$152:$AU$211,$B$152:$B$211,"HSCEI",$E$152:$E$211,$B257),"")</f>
        <v/>
      </c>
      <c r="L257" s="50">
        <f>IFERROR(AVERAGEIFS($AX$152:$AX$211,$B$152:$B$211,"HSCEI",$E$152:$E$211,$B257),"")</f>
        <v/>
      </c>
      <c r="M257" s="50">
        <f>IFERROR(SUMIF(HSCEI!$E$7:$E$66,$B257,HSCEI!$Q$7:$Q$66),"")</f>
        <v/>
      </c>
      <c r="N257" s="88">
        <f>IFERROR($M257/HSCEI!$Q$5,"")</f>
        <v/>
      </c>
    </row>
    <row r="258">
      <c r="B258" s="4" t="inlineStr">
        <is>
          <t>Real Estate</t>
        </is>
      </c>
      <c r="C258" s="87">
        <f>COUNTIFS($B$152:$B$211,"HSCEI",$E$152:$E$211,$B258)</f>
        <v/>
      </c>
      <c r="D258" s="69">
        <f>IFERROR(AVERAGEIFS($O$152:$O$211,$B$152:$B$211,"HSCEI",$E$152:$E$211,$B258),"")</f>
        <v/>
      </c>
      <c r="E258" s="50">
        <f>IFERROR(AVERAGEIFS($AC$152:$AC$211,$B$152:$B$211,"HSCEI",$E$152:$E$211,$B258),"")</f>
        <v/>
      </c>
      <c r="F258" s="80">
        <f>IFERROR(AVERAGEIFS($AJ$152:$AJ$211,$B$152:$B$211,"HSCEI",$E$152:$E$211,$B258),"")</f>
        <v/>
      </c>
      <c r="G258" s="80">
        <f>IFERROR(AVERAGEIFS($AK$152:$AK$211,$B$152:$B$211,"HSCEI",$E$152:$E$211,$B258),"")</f>
        <v/>
      </c>
      <c r="H258" s="73">
        <f>IFERROR(AVERAGEIFS($U$152:$U$211,$B$152:$B$211,"HSCEI",$E$152:$E$211,$B258),"")</f>
        <v/>
      </c>
      <c r="I258" s="73">
        <f>IFERROR(AVERAGEIFS($T$152:$T$211,$B$152:$B$211,"HSCEI",$E$152:$E$211,$B258),"")</f>
        <v/>
      </c>
      <c r="J258" s="73">
        <f>IFERROR(AVERAGEIFS($V$152:$V$211,$B$152:$B$211,"HSCEI",$E$152:$E$211,$B258),"")</f>
        <v/>
      </c>
      <c r="K258" s="50">
        <f>IFERROR(AVERAGEIFS($AU$152:$AU$211,$B$152:$B$211,"HSCEI",$E$152:$E$211,$B258),"")</f>
        <v/>
      </c>
      <c r="L258" s="50">
        <f>IFERROR(AVERAGEIFS($AX$152:$AX$211,$B$152:$B$211,"HSCEI",$E$152:$E$211,$B258),"")</f>
        <v/>
      </c>
      <c r="M258" s="50">
        <f>IFERROR(SUMIF(HSCEI!$E$7:$E$66,$B258,HSCEI!$Q$7:$Q$66),"")</f>
        <v/>
      </c>
      <c r="N258" s="88">
        <f>IFERROR($M258/HSCEI!$Q$5,"")</f>
        <v/>
      </c>
    </row>
    <row r="259">
      <c r="B259" s="3" t="inlineStr">
        <is>
          <t>TOTAL</t>
        </is>
      </c>
      <c r="C259" s="89">
        <f>SUM(C248:C258)</f>
        <v/>
      </c>
      <c r="M259" s="90">
        <f>IFERROR(SUM(M248:M258),"")</f>
        <v/>
      </c>
      <c r="N259" s="83">
        <f>IFERROR(SUM(N248:N258),"")</f>
        <v/>
      </c>
      <c r="O259" s="2">
        <f>IF(ABS(N($M259)-N(HSCEI!$Q$5))&lt;0.01,"sector split reconciles","CHECK - a GICS name does not match")</f>
        <v/>
      </c>
    </row>
  </sheetData>
  <autoFilter ref="B11:AZ211"/>
  <mergeCells count="1">
    <mergeCell ref="C5:H5"/>
  </mergeCells>
  <conditionalFormatting sqref="AJ12:AJ2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12:AR2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2:AX2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xmlns:r="http://schemas.openxmlformats.org/officeDocument/2006/relationships" ref="C8" r:id="rId1"/>
    <hyperlink xmlns:r="http://schemas.openxmlformats.org/officeDocument/2006/relationships" ref="D8" r:id="rId2"/>
    <hyperlink xmlns:r="http://schemas.openxmlformats.org/officeDocument/2006/relationships" ref="E8" r:id="rId3"/>
    <hyperlink xmlns:r="http://schemas.openxmlformats.org/officeDocument/2006/relationships" ref="F8" r:id="rId4"/>
    <hyperlink xmlns:r="http://schemas.openxmlformats.org/officeDocument/2006/relationships" ref="G8" r:id="rId5"/>
    <hyperlink xmlns:r="http://schemas.openxmlformats.org/officeDocument/2006/relationships" ref="H8" r:id="rId6"/>
    <hyperlink xmlns:r="http://schemas.openxmlformats.org/officeDocument/2006/relationships" ref="I8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B1:L28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10" customWidth="1" min="4" max="4"/>
    <col width="10" customWidth="1" min="5" max="5"/>
    <col width="10" customWidth="1" min="6" max="6"/>
    <col width="30" customWidth="1" min="7" max="7"/>
    <col width="11" customWidth="1" min="8" max="8"/>
    <col width="22" customWidth="1" min="9" max="9"/>
    <col width="3" customWidth="1" min="10" max="10"/>
    <col width="8" customWidth="1" min="11" max="11"/>
    <col width="8" customWidth="1" min="12" max="12"/>
  </cols>
  <sheetData>
    <row r="1">
      <c r="B1" s="1" t="inlineStr">
        <is>
          <t>OVERRIDE - YOUR VIEW vs BLOOMBERG'S</t>
        </is>
      </c>
    </row>
    <row r="2">
      <c r="B2" s="2" t="inlineStr">
        <is>
          <t>Type a ticker and YOUR rest-of-year DPS (base / low / high, per share, declared ccy). Realized dividends are fact and are never overridable. OFF = pure Bloomberg.</t>
        </is>
      </c>
    </row>
    <row r="4">
      <c r="B4" s="3" t="inlineStr">
        <is>
          <t>Use overrides?</t>
        </is>
      </c>
      <c r="C4" s="91" t="inlineStr">
        <is>
          <t>OFF</t>
        </is>
      </c>
      <c r="D4" s="2" t="inlineStr">
        <is>
          <t>Rows set:</t>
        </is>
      </c>
      <c r="E4" s="47">
        <f>SUMPRODUCT(($B$12:$B$71&lt;&gt;"")*ISNUMBER($D$12:$D$71))</f>
        <v/>
      </c>
      <c r="F4" s="2" t="inlineStr">
        <is>
          <t>Impact (pts):</t>
        </is>
      </c>
      <c r="G4" s="2" t="inlineStr">
        <is>
          <t>HSI</t>
        </is>
      </c>
      <c r="H4" s="92">
        <f>IF($C$4="OFF","-",HSI!$Q$5-(HSI!$O$5+HSI!$W$5))</f>
        <v/>
      </c>
      <c r="I4" s="2" t="inlineStr">
        <is>
          <t>HSTECH</t>
        </is>
      </c>
      <c r="J4" s="92">
        <f>IF($C$4="OFF","-",HSTECH!$Q$5-(HSTECH!$O$5+HSTECH!$W$5))</f>
        <v/>
      </c>
      <c r="K4" s="2" t="inlineStr">
        <is>
          <t>HSCEI</t>
        </is>
      </c>
      <c r="L4" s="92">
        <f>IF($C$4="OFF","-",HSCEI!$Q$5-(HSCEI!$O$5+HSCEI!$W$5))</f>
        <v/>
      </c>
    </row>
    <row r="10">
      <c r="B10" s="6" t="inlineStr">
        <is>
          <t>YOUR INPUT LIST  (typed, ticker-keyed - one row per stock)</t>
        </is>
      </c>
      <c r="C10" s="7" t="n"/>
      <c r="D10" s="7" t="n"/>
      <c r="E10" s="7" t="n"/>
      <c r="F10" s="7" t="n"/>
      <c r="G10" s="7" t="n"/>
      <c r="H10" s="7" t="n"/>
      <c r="I10" s="7" t="n"/>
    </row>
    <row r="11">
      <c r="B11" s="23" t="inlineStr">
        <is>
          <t>Ticker
(e.g. 700 HK Equity)</t>
        </is>
      </c>
      <c r="C11" s="23" t="inlineStr">
        <is>
          <t>Name (auto)</t>
        </is>
      </c>
      <c r="D11" s="62" t="inlineStr">
        <is>
          <t>YOUR DPS
(base)</t>
        </is>
      </c>
      <c r="E11" s="62" t="inlineStr">
        <is>
          <t>LOW</t>
        </is>
      </c>
      <c r="F11" s="62" t="inlineStr">
        <is>
          <t>HIGH</t>
        </is>
      </c>
      <c r="G11" s="62" t="inlineStr">
        <is>
          <t>Why - note to self</t>
        </is>
      </c>
      <c r="H11" s="23" t="inlineStr">
        <is>
          <t>BBG still
to come</t>
        </is>
      </c>
      <c r="I11" s="23" t="inlineStr">
        <is>
          <t>Status</t>
        </is>
      </c>
    </row>
    <row r="12">
      <c r="B12" s="4" t="n"/>
      <c r="C12" s="22">
        <f>IF($B12="","",IFERROR(INDEX(HSI!$D$7:$D$106,MATCH($B12,HSI!$C$7:$C$106,0)),IFERROR(INDEX(HSTECH!$D$7:$D$46,MATCH($B12,HSTECH!$C$7:$C$46,0)),IFERROR(INDEX(HSCEI!$D$7:$D$66,MATCH($B12,HSCEI!$C$7:$C$66,0)),"?"))))</f>
        <v/>
      </c>
      <c r="D12" s="93" t="n"/>
      <c r="E12" s="93" t="n"/>
      <c r="F12" s="93" t="n"/>
      <c r="G12" s="4" t="n"/>
      <c r="H12" s="43">
        <f>IF($B12="","",IFERROR(INDEX(HSI!$K$7:$K$106,MATCH($B12,HSI!$C$7:$C$106,0)),IFERROR(INDEX(HSTECH!$K$7:$K$46,MATCH($B12,HSTECH!$C$7:$C$46,0)),IFERROR(INDEX(HSCEI!$K$7:$K$66,MATCH($B12,HSCEI!$C$7:$C$66,0)),"?"))))</f>
        <v/>
      </c>
      <c r="I12" s="94">
        <f>IF($B12="","",IF($C12="?","ticker? not in any index",IF(COUNTIF($B$12:$B$71,$B12)&gt;1,"DUP - rows add up",IF((ISNUMBER($E12)*ISNUMBER($D12)*($E12&gt;$D12)+ISNUMBER($F12)*ISNUMBER($D12)*($F12&lt;$D12)+ISNUMBER($E12)*ISNUMBER($F12)*($E12&gt;$F12))&gt;0,"low/high crossed",""))))</f>
        <v/>
      </c>
    </row>
    <row r="13">
      <c r="B13" s="4" t="n"/>
      <c r="C13" s="22">
        <f>IF($B13="","",IFERROR(INDEX(HSI!$D$7:$D$106,MATCH($B13,HSI!$C$7:$C$106,0)),IFERROR(INDEX(HSTECH!$D$7:$D$46,MATCH($B13,HSTECH!$C$7:$C$46,0)),IFERROR(INDEX(HSCEI!$D$7:$D$66,MATCH($B13,HSCEI!$C$7:$C$66,0)),"?"))))</f>
        <v/>
      </c>
      <c r="D13" s="93" t="n"/>
      <c r="E13" s="93" t="n"/>
      <c r="F13" s="93" t="n"/>
      <c r="G13" s="4" t="n"/>
      <c r="H13" s="43">
        <f>IF($B13="","",IFERROR(INDEX(HSI!$K$7:$K$106,MATCH($B13,HSI!$C$7:$C$106,0)),IFERROR(INDEX(HSTECH!$K$7:$K$46,MATCH($B13,HSTECH!$C$7:$C$46,0)),IFERROR(INDEX(HSCEI!$K$7:$K$66,MATCH($B13,HSCEI!$C$7:$C$66,0)),"?"))))</f>
        <v/>
      </c>
      <c r="I13" s="94">
        <f>IF($B13="","",IF($C13="?","ticker? not in any index",IF(COUNTIF($B$12:$B$71,$B13)&gt;1,"DUP - rows add up",IF((ISNUMBER($E13)*ISNUMBER($D13)*($E13&gt;$D13)+ISNUMBER($F13)*ISNUMBER($D13)*($F13&lt;$D13)+ISNUMBER($E13)*ISNUMBER($F13)*($E13&gt;$F13))&gt;0,"low/high crossed",""))))</f>
        <v/>
      </c>
    </row>
    <row r="14">
      <c r="B14" s="4" t="n"/>
      <c r="C14" s="22">
        <f>IF($B14="","",IFERROR(INDEX(HSI!$D$7:$D$106,MATCH($B14,HSI!$C$7:$C$106,0)),IFERROR(INDEX(HSTECH!$D$7:$D$46,MATCH($B14,HSTECH!$C$7:$C$46,0)),IFERROR(INDEX(HSCEI!$D$7:$D$66,MATCH($B14,HSCEI!$C$7:$C$66,0)),"?"))))</f>
        <v/>
      </c>
      <c r="D14" s="93" t="n"/>
      <c r="E14" s="93" t="n"/>
      <c r="F14" s="93" t="n"/>
      <c r="G14" s="4" t="n"/>
      <c r="H14" s="43">
        <f>IF($B14="","",IFERROR(INDEX(HSI!$K$7:$K$106,MATCH($B14,HSI!$C$7:$C$106,0)),IFERROR(INDEX(HSTECH!$K$7:$K$46,MATCH($B14,HSTECH!$C$7:$C$46,0)),IFERROR(INDEX(HSCEI!$K$7:$K$66,MATCH($B14,HSCEI!$C$7:$C$66,0)),"?"))))</f>
        <v/>
      </c>
      <c r="I14" s="94">
        <f>IF($B14="","",IF($C14="?","ticker? not in any index",IF(COUNTIF($B$12:$B$71,$B14)&gt;1,"DUP - rows add up",IF((ISNUMBER($E14)*ISNUMBER($D14)*($E14&gt;$D14)+ISNUMBER($F14)*ISNUMBER($D14)*($F14&lt;$D14)+ISNUMBER($E14)*ISNUMBER($F14)*($E14&gt;$F14))&gt;0,"low/high crossed",""))))</f>
        <v/>
      </c>
    </row>
    <row r="15">
      <c r="B15" s="4" t="n"/>
      <c r="C15" s="22">
        <f>IF($B15="","",IFERROR(INDEX(HSI!$D$7:$D$106,MATCH($B15,HSI!$C$7:$C$106,0)),IFERROR(INDEX(HSTECH!$D$7:$D$46,MATCH($B15,HSTECH!$C$7:$C$46,0)),IFERROR(INDEX(HSCEI!$D$7:$D$66,MATCH($B15,HSCEI!$C$7:$C$66,0)),"?"))))</f>
        <v/>
      </c>
      <c r="D15" s="93" t="n"/>
      <c r="E15" s="93" t="n"/>
      <c r="F15" s="93" t="n"/>
      <c r="G15" s="4" t="n"/>
      <c r="H15" s="43">
        <f>IF($B15="","",IFERROR(INDEX(HSI!$K$7:$K$106,MATCH($B15,HSI!$C$7:$C$106,0)),IFERROR(INDEX(HSTECH!$K$7:$K$46,MATCH($B15,HSTECH!$C$7:$C$46,0)),IFERROR(INDEX(HSCEI!$K$7:$K$66,MATCH($B15,HSCEI!$C$7:$C$66,0)),"?"))))</f>
        <v/>
      </c>
      <c r="I15" s="94">
        <f>IF($B15="","",IF($C15="?","ticker? not in any index",IF(COUNTIF($B$12:$B$71,$B15)&gt;1,"DUP - rows add up",IF((ISNUMBER($E15)*ISNUMBER($D15)*($E15&gt;$D15)+ISNUMBER($F15)*ISNUMBER($D15)*($F15&lt;$D15)+ISNUMBER($E15)*ISNUMBER($F15)*($E15&gt;$F15))&gt;0,"low/high crossed",""))))</f>
        <v/>
      </c>
    </row>
    <row r="16">
      <c r="B16" s="4" t="n"/>
      <c r="C16" s="22">
        <f>IF($B16="","",IFERROR(INDEX(HSI!$D$7:$D$106,MATCH($B16,HSI!$C$7:$C$106,0)),IFERROR(INDEX(HSTECH!$D$7:$D$46,MATCH($B16,HSTECH!$C$7:$C$46,0)),IFERROR(INDEX(HSCEI!$D$7:$D$66,MATCH($B16,HSCEI!$C$7:$C$66,0)),"?"))))</f>
        <v/>
      </c>
      <c r="D16" s="93" t="n"/>
      <c r="E16" s="93" t="n"/>
      <c r="F16" s="93" t="n"/>
      <c r="G16" s="4" t="n"/>
      <c r="H16" s="43">
        <f>IF($B16="","",IFERROR(INDEX(HSI!$K$7:$K$106,MATCH($B16,HSI!$C$7:$C$106,0)),IFERROR(INDEX(HSTECH!$K$7:$K$46,MATCH($B16,HSTECH!$C$7:$C$46,0)),IFERROR(INDEX(HSCEI!$K$7:$K$66,MATCH($B16,HSCEI!$C$7:$C$66,0)),"?"))))</f>
        <v/>
      </c>
      <c r="I16" s="94">
        <f>IF($B16="","",IF($C16="?","ticker? not in any index",IF(COUNTIF($B$12:$B$71,$B16)&gt;1,"DUP - rows add up",IF((ISNUMBER($E16)*ISNUMBER($D16)*($E16&gt;$D16)+ISNUMBER($F16)*ISNUMBER($D16)*($F16&lt;$D16)+ISNUMBER($E16)*ISNUMBER($F16)*($E16&gt;$F16))&gt;0,"low/high crossed",""))))</f>
        <v/>
      </c>
    </row>
    <row r="17">
      <c r="B17" s="4" t="n"/>
      <c r="C17" s="22">
        <f>IF($B17="","",IFERROR(INDEX(HSI!$D$7:$D$106,MATCH($B17,HSI!$C$7:$C$106,0)),IFERROR(INDEX(HSTECH!$D$7:$D$46,MATCH($B17,HSTECH!$C$7:$C$46,0)),IFERROR(INDEX(HSCEI!$D$7:$D$66,MATCH($B17,HSCEI!$C$7:$C$66,0)),"?"))))</f>
        <v/>
      </c>
      <c r="D17" s="93" t="n"/>
      <c r="E17" s="93" t="n"/>
      <c r="F17" s="93" t="n"/>
      <c r="G17" s="4" t="n"/>
      <c r="H17" s="43">
        <f>IF($B17="","",IFERROR(INDEX(HSI!$K$7:$K$106,MATCH($B17,HSI!$C$7:$C$106,0)),IFERROR(INDEX(HSTECH!$K$7:$K$46,MATCH($B17,HSTECH!$C$7:$C$46,0)),IFERROR(INDEX(HSCEI!$K$7:$K$66,MATCH($B17,HSCEI!$C$7:$C$66,0)),"?"))))</f>
        <v/>
      </c>
      <c r="I17" s="94">
        <f>IF($B17="","",IF($C17="?","ticker? not in any index",IF(COUNTIF($B$12:$B$71,$B17)&gt;1,"DUP - rows add up",IF((ISNUMBER($E17)*ISNUMBER($D17)*($E17&gt;$D17)+ISNUMBER($F17)*ISNUMBER($D17)*($F17&lt;$D17)+ISNUMBER($E17)*ISNUMBER($F17)*($E17&gt;$F17))&gt;0,"low/high crossed",""))))</f>
        <v/>
      </c>
    </row>
    <row r="18">
      <c r="B18" s="4" t="n"/>
      <c r="C18" s="22">
        <f>IF($B18="","",IFERROR(INDEX(HSI!$D$7:$D$106,MATCH($B18,HSI!$C$7:$C$106,0)),IFERROR(INDEX(HSTECH!$D$7:$D$46,MATCH($B18,HSTECH!$C$7:$C$46,0)),IFERROR(INDEX(HSCEI!$D$7:$D$66,MATCH($B18,HSCEI!$C$7:$C$66,0)),"?"))))</f>
        <v/>
      </c>
      <c r="D18" s="93" t="n"/>
      <c r="E18" s="93" t="n"/>
      <c r="F18" s="93" t="n"/>
      <c r="G18" s="4" t="n"/>
      <c r="H18" s="43">
        <f>IF($B18="","",IFERROR(INDEX(HSI!$K$7:$K$106,MATCH($B18,HSI!$C$7:$C$106,0)),IFERROR(INDEX(HSTECH!$K$7:$K$46,MATCH($B18,HSTECH!$C$7:$C$46,0)),IFERROR(INDEX(HSCEI!$K$7:$K$66,MATCH($B18,HSCEI!$C$7:$C$66,0)),"?"))))</f>
        <v/>
      </c>
      <c r="I18" s="94">
        <f>IF($B18="","",IF($C18="?","ticker? not in any index",IF(COUNTIF($B$12:$B$71,$B18)&gt;1,"DUP - rows add up",IF((ISNUMBER($E18)*ISNUMBER($D18)*($E18&gt;$D18)+ISNUMBER($F18)*ISNUMBER($D18)*($F18&lt;$D18)+ISNUMBER($E18)*ISNUMBER($F18)*($E18&gt;$F18))&gt;0,"low/high crossed",""))))</f>
        <v/>
      </c>
    </row>
    <row r="19">
      <c r="B19" s="4" t="n"/>
      <c r="C19" s="22">
        <f>IF($B19="","",IFERROR(INDEX(HSI!$D$7:$D$106,MATCH($B19,HSI!$C$7:$C$106,0)),IFERROR(INDEX(HSTECH!$D$7:$D$46,MATCH($B19,HSTECH!$C$7:$C$46,0)),IFERROR(INDEX(HSCEI!$D$7:$D$66,MATCH($B19,HSCEI!$C$7:$C$66,0)),"?"))))</f>
        <v/>
      </c>
      <c r="D19" s="93" t="n"/>
      <c r="E19" s="93" t="n"/>
      <c r="F19" s="93" t="n"/>
      <c r="G19" s="4" t="n"/>
      <c r="H19" s="43">
        <f>IF($B19="","",IFERROR(INDEX(HSI!$K$7:$K$106,MATCH($B19,HSI!$C$7:$C$106,0)),IFERROR(INDEX(HSTECH!$K$7:$K$46,MATCH($B19,HSTECH!$C$7:$C$46,0)),IFERROR(INDEX(HSCEI!$K$7:$K$66,MATCH($B19,HSCEI!$C$7:$C$66,0)),"?"))))</f>
        <v/>
      </c>
      <c r="I19" s="94">
        <f>IF($B19="","",IF($C19="?","ticker? not in any index",IF(COUNTIF($B$12:$B$71,$B19)&gt;1,"DUP - rows add up",IF((ISNUMBER($E19)*ISNUMBER($D19)*($E19&gt;$D19)+ISNUMBER($F19)*ISNUMBER($D19)*($F19&lt;$D19)+ISNUMBER($E19)*ISNUMBER($F19)*($E19&gt;$F19))&gt;0,"low/high crossed",""))))</f>
        <v/>
      </c>
    </row>
    <row r="20">
      <c r="B20" s="4" t="n"/>
      <c r="C20" s="22">
        <f>IF($B20="","",IFERROR(INDEX(HSI!$D$7:$D$106,MATCH($B20,HSI!$C$7:$C$106,0)),IFERROR(INDEX(HSTECH!$D$7:$D$46,MATCH($B20,HSTECH!$C$7:$C$46,0)),IFERROR(INDEX(HSCEI!$D$7:$D$66,MATCH($B20,HSCEI!$C$7:$C$66,0)),"?"))))</f>
        <v/>
      </c>
      <c r="D20" s="93" t="n"/>
      <c r="E20" s="93" t="n"/>
      <c r="F20" s="93" t="n"/>
      <c r="G20" s="4" t="n"/>
      <c r="H20" s="43">
        <f>IF($B20="","",IFERROR(INDEX(HSI!$K$7:$K$106,MATCH($B20,HSI!$C$7:$C$106,0)),IFERROR(INDEX(HSTECH!$K$7:$K$46,MATCH($B20,HSTECH!$C$7:$C$46,0)),IFERROR(INDEX(HSCEI!$K$7:$K$66,MATCH($B20,HSCEI!$C$7:$C$66,0)),"?"))))</f>
        <v/>
      </c>
      <c r="I20" s="94">
        <f>IF($B20="","",IF($C20="?","ticker? not in any index",IF(COUNTIF($B$12:$B$71,$B20)&gt;1,"DUP - rows add up",IF((ISNUMBER($E20)*ISNUMBER($D20)*($E20&gt;$D20)+ISNUMBER($F20)*ISNUMBER($D20)*($F20&lt;$D20)+ISNUMBER($E20)*ISNUMBER($F20)*($E20&gt;$F20))&gt;0,"low/high crossed",""))))</f>
        <v/>
      </c>
    </row>
    <row r="21">
      <c r="B21" s="4" t="n"/>
      <c r="C21" s="22">
        <f>IF($B21="","",IFERROR(INDEX(HSI!$D$7:$D$106,MATCH($B21,HSI!$C$7:$C$106,0)),IFERROR(INDEX(HSTECH!$D$7:$D$46,MATCH($B21,HSTECH!$C$7:$C$46,0)),IFERROR(INDEX(HSCEI!$D$7:$D$66,MATCH($B21,HSCEI!$C$7:$C$66,0)),"?"))))</f>
        <v/>
      </c>
      <c r="D21" s="93" t="n"/>
      <c r="E21" s="93" t="n"/>
      <c r="F21" s="93" t="n"/>
      <c r="G21" s="4" t="n"/>
      <c r="H21" s="43">
        <f>IF($B21="","",IFERROR(INDEX(HSI!$K$7:$K$106,MATCH($B21,HSI!$C$7:$C$106,0)),IFERROR(INDEX(HSTECH!$K$7:$K$46,MATCH($B21,HSTECH!$C$7:$C$46,0)),IFERROR(INDEX(HSCEI!$K$7:$K$66,MATCH($B21,HSCEI!$C$7:$C$66,0)),"?"))))</f>
        <v/>
      </c>
      <c r="I21" s="94">
        <f>IF($B21="","",IF($C21="?","ticker? not in any index",IF(COUNTIF($B$12:$B$71,$B21)&gt;1,"DUP - rows add up",IF((ISNUMBER($E21)*ISNUMBER($D21)*($E21&gt;$D21)+ISNUMBER($F21)*ISNUMBER($D21)*($F21&lt;$D21)+ISNUMBER($E21)*ISNUMBER($F21)*($E21&gt;$F21))&gt;0,"low/high crossed",""))))</f>
        <v/>
      </c>
    </row>
    <row r="22">
      <c r="B22" s="4" t="n"/>
      <c r="C22" s="22">
        <f>IF($B22="","",IFERROR(INDEX(HSI!$D$7:$D$106,MATCH($B22,HSI!$C$7:$C$106,0)),IFERROR(INDEX(HSTECH!$D$7:$D$46,MATCH($B22,HSTECH!$C$7:$C$46,0)),IFERROR(INDEX(HSCEI!$D$7:$D$66,MATCH($B22,HSCEI!$C$7:$C$66,0)),"?"))))</f>
        <v/>
      </c>
      <c r="D22" s="93" t="n"/>
      <c r="E22" s="93" t="n"/>
      <c r="F22" s="93" t="n"/>
      <c r="G22" s="4" t="n"/>
      <c r="H22" s="43">
        <f>IF($B22="","",IFERROR(INDEX(HSI!$K$7:$K$106,MATCH($B22,HSI!$C$7:$C$106,0)),IFERROR(INDEX(HSTECH!$K$7:$K$46,MATCH($B22,HSTECH!$C$7:$C$46,0)),IFERROR(INDEX(HSCEI!$K$7:$K$66,MATCH($B22,HSCEI!$C$7:$C$66,0)),"?"))))</f>
        <v/>
      </c>
      <c r="I22" s="94">
        <f>IF($B22="","",IF($C22="?","ticker? not in any index",IF(COUNTIF($B$12:$B$71,$B22)&gt;1,"DUP - rows add up",IF((ISNUMBER($E22)*ISNUMBER($D22)*($E22&gt;$D22)+ISNUMBER($F22)*ISNUMBER($D22)*($F22&lt;$D22)+ISNUMBER($E22)*ISNUMBER($F22)*($E22&gt;$F22))&gt;0,"low/high crossed",""))))</f>
        <v/>
      </c>
    </row>
    <row r="23">
      <c r="B23" s="4" t="n"/>
      <c r="C23" s="22">
        <f>IF($B23="","",IFERROR(INDEX(HSI!$D$7:$D$106,MATCH($B23,HSI!$C$7:$C$106,0)),IFERROR(INDEX(HSTECH!$D$7:$D$46,MATCH($B23,HSTECH!$C$7:$C$46,0)),IFERROR(INDEX(HSCEI!$D$7:$D$66,MATCH($B23,HSCEI!$C$7:$C$66,0)),"?"))))</f>
        <v/>
      </c>
      <c r="D23" s="93" t="n"/>
      <c r="E23" s="93" t="n"/>
      <c r="F23" s="93" t="n"/>
      <c r="G23" s="4" t="n"/>
      <c r="H23" s="43">
        <f>IF($B23="","",IFERROR(INDEX(HSI!$K$7:$K$106,MATCH($B23,HSI!$C$7:$C$106,0)),IFERROR(INDEX(HSTECH!$K$7:$K$46,MATCH($B23,HSTECH!$C$7:$C$46,0)),IFERROR(INDEX(HSCEI!$K$7:$K$66,MATCH($B23,HSCEI!$C$7:$C$66,0)),"?"))))</f>
        <v/>
      </c>
      <c r="I23" s="94">
        <f>IF($B23="","",IF($C23="?","ticker? not in any index",IF(COUNTIF($B$12:$B$71,$B23)&gt;1,"DUP - rows add up",IF((ISNUMBER($E23)*ISNUMBER($D23)*($E23&gt;$D23)+ISNUMBER($F23)*ISNUMBER($D23)*($F23&lt;$D23)+ISNUMBER($E23)*ISNUMBER($F23)*($E23&gt;$F23))&gt;0,"low/high crossed",""))))</f>
        <v/>
      </c>
    </row>
    <row r="24">
      <c r="B24" s="4" t="n"/>
      <c r="C24" s="22">
        <f>IF($B24="","",IFERROR(INDEX(HSI!$D$7:$D$106,MATCH($B24,HSI!$C$7:$C$106,0)),IFERROR(INDEX(HSTECH!$D$7:$D$46,MATCH($B24,HSTECH!$C$7:$C$46,0)),IFERROR(INDEX(HSCEI!$D$7:$D$66,MATCH($B24,HSCEI!$C$7:$C$66,0)),"?"))))</f>
        <v/>
      </c>
      <c r="D24" s="93" t="n"/>
      <c r="E24" s="93" t="n"/>
      <c r="F24" s="93" t="n"/>
      <c r="G24" s="4" t="n"/>
      <c r="H24" s="43">
        <f>IF($B24="","",IFERROR(INDEX(HSI!$K$7:$K$106,MATCH($B24,HSI!$C$7:$C$106,0)),IFERROR(INDEX(HSTECH!$K$7:$K$46,MATCH($B24,HSTECH!$C$7:$C$46,0)),IFERROR(INDEX(HSCEI!$K$7:$K$66,MATCH($B24,HSCEI!$C$7:$C$66,0)),"?"))))</f>
        <v/>
      </c>
      <c r="I24" s="94">
        <f>IF($B24="","",IF($C24="?","ticker? not in any index",IF(COUNTIF($B$12:$B$71,$B24)&gt;1,"DUP - rows add up",IF((ISNUMBER($E24)*ISNUMBER($D24)*($E24&gt;$D24)+ISNUMBER($F24)*ISNUMBER($D24)*($F24&lt;$D24)+ISNUMBER($E24)*ISNUMBER($F24)*($E24&gt;$F24))&gt;0,"low/high crossed",""))))</f>
        <v/>
      </c>
    </row>
    <row r="25">
      <c r="B25" s="4" t="n"/>
      <c r="C25" s="22">
        <f>IF($B25="","",IFERROR(INDEX(HSI!$D$7:$D$106,MATCH($B25,HSI!$C$7:$C$106,0)),IFERROR(INDEX(HSTECH!$D$7:$D$46,MATCH($B25,HSTECH!$C$7:$C$46,0)),IFERROR(INDEX(HSCEI!$D$7:$D$66,MATCH($B25,HSCEI!$C$7:$C$66,0)),"?"))))</f>
        <v/>
      </c>
      <c r="D25" s="93" t="n"/>
      <c r="E25" s="93" t="n"/>
      <c r="F25" s="93" t="n"/>
      <c r="G25" s="4" t="n"/>
      <c r="H25" s="43">
        <f>IF($B25="","",IFERROR(INDEX(HSI!$K$7:$K$106,MATCH($B25,HSI!$C$7:$C$106,0)),IFERROR(INDEX(HSTECH!$K$7:$K$46,MATCH($B25,HSTECH!$C$7:$C$46,0)),IFERROR(INDEX(HSCEI!$K$7:$K$66,MATCH($B25,HSCEI!$C$7:$C$66,0)),"?"))))</f>
        <v/>
      </c>
      <c r="I25" s="94">
        <f>IF($B25="","",IF($C25="?","ticker? not in any index",IF(COUNTIF($B$12:$B$71,$B25)&gt;1,"DUP - rows add up",IF((ISNUMBER($E25)*ISNUMBER($D25)*($E25&gt;$D25)+ISNUMBER($F25)*ISNUMBER($D25)*($F25&lt;$D25)+ISNUMBER($E25)*ISNUMBER($F25)*($E25&gt;$F25))&gt;0,"low/high crossed",""))))</f>
        <v/>
      </c>
    </row>
    <row r="26">
      <c r="B26" s="4" t="n"/>
      <c r="C26" s="22">
        <f>IF($B26="","",IFERROR(INDEX(HSI!$D$7:$D$106,MATCH($B26,HSI!$C$7:$C$106,0)),IFERROR(INDEX(HSTECH!$D$7:$D$46,MATCH($B26,HSTECH!$C$7:$C$46,0)),IFERROR(INDEX(HSCEI!$D$7:$D$66,MATCH($B26,HSCEI!$C$7:$C$66,0)),"?"))))</f>
        <v/>
      </c>
      <c r="D26" s="93" t="n"/>
      <c r="E26" s="93" t="n"/>
      <c r="F26" s="93" t="n"/>
      <c r="G26" s="4" t="n"/>
      <c r="H26" s="43">
        <f>IF($B26="","",IFERROR(INDEX(HSI!$K$7:$K$106,MATCH($B26,HSI!$C$7:$C$106,0)),IFERROR(INDEX(HSTECH!$K$7:$K$46,MATCH($B26,HSTECH!$C$7:$C$46,0)),IFERROR(INDEX(HSCEI!$K$7:$K$66,MATCH($B26,HSCEI!$C$7:$C$66,0)),"?"))))</f>
        <v/>
      </c>
      <c r="I26" s="94">
        <f>IF($B26="","",IF($C26="?","ticker? not in any index",IF(COUNTIF($B$12:$B$71,$B26)&gt;1,"DUP - rows add up",IF((ISNUMBER($E26)*ISNUMBER($D26)*($E26&gt;$D26)+ISNUMBER($F26)*ISNUMBER($D26)*($F26&lt;$D26)+ISNUMBER($E26)*ISNUMBER($F26)*($E26&gt;$F26))&gt;0,"low/high crossed",""))))</f>
        <v/>
      </c>
    </row>
    <row r="27">
      <c r="B27" s="4" t="n"/>
      <c r="C27" s="22">
        <f>IF($B27="","",IFERROR(INDEX(HSI!$D$7:$D$106,MATCH($B27,HSI!$C$7:$C$106,0)),IFERROR(INDEX(HSTECH!$D$7:$D$46,MATCH($B27,HSTECH!$C$7:$C$46,0)),IFERROR(INDEX(HSCEI!$D$7:$D$66,MATCH($B27,HSCEI!$C$7:$C$66,0)),"?"))))</f>
        <v/>
      </c>
      <c r="D27" s="93" t="n"/>
      <c r="E27" s="93" t="n"/>
      <c r="F27" s="93" t="n"/>
      <c r="G27" s="4" t="n"/>
      <c r="H27" s="43">
        <f>IF($B27="","",IFERROR(INDEX(HSI!$K$7:$K$106,MATCH($B27,HSI!$C$7:$C$106,0)),IFERROR(INDEX(HSTECH!$K$7:$K$46,MATCH($B27,HSTECH!$C$7:$C$46,0)),IFERROR(INDEX(HSCEI!$K$7:$K$66,MATCH($B27,HSCEI!$C$7:$C$66,0)),"?"))))</f>
        <v/>
      </c>
      <c r="I27" s="94">
        <f>IF($B27="","",IF($C27="?","ticker? not in any index",IF(COUNTIF($B$12:$B$71,$B27)&gt;1,"DUP - rows add up",IF((ISNUMBER($E27)*ISNUMBER($D27)*($E27&gt;$D27)+ISNUMBER($F27)*ISNUMBER($D27)*($F27&lt;$D27)+ISNUMBER($E27)*ISNUMBER($F27)*($E27&gt;$F27))&gt;0,"low/high crossed",""))))</f>
        <v/>
      </c>
    </row>
    <row r="28">
      <c r="B28" s="4" t="n"/>
      <c r="C28" s="22">
        <f>IF($B28="","",IFERROR(INDEX(HSI!$D$7:$D$106,MATCH($B28,HSI!$C$7:$C$106,0)),IFERROR(INDEX(HSTECH!$D$7:$D$46,MATCH($B28,HSTECH!$C$7:$C$46,0)),IFERROR(INDEX(HSCEI!$D$7:$D$66,MATCH($B28,HSCEI!$C$7:$C$66,0)),"?"))))</f>
        <v/>
      </c>
      <c r="D28" s="93" t="n"/>
      <c r="E28" s="93" t="n"/>
      <c r="F28" s="93" t="n"/>
      <c r="G28" s="4" t="n"/>
      <c r="H28" s="43">
        <f>IF($B28="","",IFERROR(INDEX(HSI!$K$7:$K$106,MATCH($B28,HSI!$C$7:$C$106,0)),IFERROR(INDEX(HSTECH!$K$7:$K$46,MATCH($B28,HSTECH!$C$7:$C$46,0)),IFERROR(INDEX(HSCEI!$K$7:$K$66,MATCH($B28,HSCEI!$C$7:$C$66,0)),"?"))))</f>
        <v/>
      </c>
      <c r="I28" s="94">
        <f>IF($B28="","",IF($C28="?","ticker? not in any index",IF(COUNTIF($B$12:$B$71,$B28)&gt;1,"DUP - rows add up",IF((ISNUMBER($E28)*ISNUMBER($D28)*($E28&gt;$D28)+ISNUMBER($F28)*ISNUMBER($D28)*($F28&lt;$D28)+ISNUMBER($E28)*ISNUMBER($F28)*($E28&gt;$F28))&gt;0,"low/high crossed",""))))</f>
        <v/>
      </c>
    </row>
    <row r="29">
      <c r="B29" s="4" t="n"/>
      <c r="C29" s="22">
        <f>IF($B29="","",IFERROR(INDEX(HSI!$D$7:$D$106,MATCH($B29,HSI!$C$7:$C$106,0)),IFERROR(INDEX(HSTECH!$D$7:$D$46,MATCH($B29,HSTECH!$C$7:$C$46,0)),IFERROR(INDEX(HSCEI!$D$7:$D$66,MATCH($B29,HSCEI!$C$7:$C$66,0)),"?"))))</f>
        <v/>
      </c>
      <c r="D29" s="93" t="n"/>
      <c r="E29" s="93" t="n"/>
      <c r="F29" s="93" t="n"/>
      <c r="G29" s="4" t="n"/>
      <c r="H29" s="43">
        <f>IF($B29="","",IFERROR(INDEX(HSI!$K$7:$K$106,MATCH($B29,HSI!$C$7:$C$106,0)),IFERROR(INDEX(HSTECH!$K$7:$K$46,MATCH($B29,HSTECH!$C$7:$C$46,0)),IFERROR(INDEX(HSCEI!$K$7:$K$66,MATCH($B29,HSCEI!$C$7:$C$66,0)),"?"))))</f>
        <v/>
      </c>
      <c r="I29" s="94">
        <f>IF($B29="","",IF($C29="?","ticker? not in any index",IF(COUNTIF($B$12:$B$71,$B29)&gt;1,"DUP - rows add up",IF((ISNUMBER($E29)*ISNUMBER($D29)*($E29&gt;$D29)+ISNUMBER($F29)*ISNUMBER($D29)*($F29&lt;$D29)+ISNUMBER($E29)*ISNUMBER($F29)*($E29&gt;$F29))&gt;0,"low/high crossed",""))))</f>
        <v/>
      </c>
    </row>
    <row r="30">
      <c r="B30" s="4" t="n"/>
      <c r="C30" s="22">
        <f>IF($B30="","",IFERROR(INDEX(HSI!$D$7:$D$106,MATCH($B30,HSI!$C$7:$C$106,0)),IFERROR(INDEX(HSTECH!$D$7:$D$46,MATCH($B30,HSTECH!$C$7:$C$46,0)),IFERROR(INDEX(HSCEI!$D$7:$D$66,MATCH($B30,HSCEI!$C$7:$C$66,0)),"?"))))</f>
        <v/>
      </c>
      <c r="D30" s="93" t="n"/>
      <c r="E30" s="93" t="n"/>
      <c r="F30" s="93" t="n"/>
      <c r="G30" s="4" t="n"/>
      <c r="H30" s="43">
        <f>IF($B30="","",IFERROR(INDEX(HSI!$K$7:$K$106,MATCH($B30,HSI!$C$7:$C$106,0)),IFERROR(INDEX(HSTECH!$K$7:$K$46,MATCH($B30,HSTECH!$C$7:$C$46,0)),IFERROR(INDEX(HSCEI!$K$7:$K$66,MATCH($B30,HSCEI!$C$7:$C$66,0)),"?"))))</f>
        <v/>
      </c>
      <c r="I30" s="94">
        <f>IF($B30="","",IF($C30="?","ticker? not in any index",IF(COUNTIF($B$12:$B$71,$B30)&gt;1,"DUP - rows add up",IF((ISNUMBER($E30)*ISNUMBER($D30)*($E30&gt;$D30)+ISNUMBER($F30)*ISNUMBER($D30)*($F30&lt;$D30)+ISNUMBER($E30)*ISNUMBER($F30)*($E30&gt;$F30))&gt;0,"low/high crossed",""))))</f>
        <v/>
      </c>
    </row>
    <row r="31">
      <c r="B31" s="4" t="n"/>
      <c r="C31" s="22">
        <f>IF($B31="","",IFERROR(INDEX(HSI!$D$7:$D$106,MATCH($B31,HSI!$C$7:$C$106,0)),IFERROR(INDEX(HSTECH!$D$7:$D$46,MATCH($B31,HSTECH!$C$7:$C$46,0)),IFERROR(INDEX(HSCEI!$D$7:$D$66,MATCH($B31,HSCEI!$C$7:$C$66,0)),"?"))))</f>
        <v/>
      </c>
      <c r="D31" s="93" t="n"/>
      <c r="E31" s="93" t="n"/>
      <c r="F31" s="93" t="n"/>
      <c r="G31" s="4" t="n"/>
      <c r="H31" s="43">
        <f>IF($B31="","",IFERROR(INDEX(HSI!$K$7:$K$106,MATCH($B31,HSI!$C$7:$C$106,0)),IFERROR(INDEX(HSTECH!$K$7:$K$46,MATCH($B31,HSTECH!$C$7:$C$46,0)),IFERROR(INDEX(HSCEI!$K$7:$K$66,MATCH($B31,HSCEI!$C$7:$C$66,0)),"?"))))</f>
        <v/>
      </c>
      <c r="I31" s="94">
        <f>IF($B31="","",IF($C31="?","ticker? not in any index",IF(COUNTIF($B$12:$B$71,$B31)&gt;1,"DUP - rows add up",IF((ISNUMBER($E31)*ISNUMBER($D31)*($E31&gt;$D31)+ISNUMBER($F31)*ISNUMBER($D31)*($F31&lt;$D31)+ISNUMBER($E31)*ISNUMBER($F31)*($E31&gt;$F31))&gt;0,"low/high crossed",""))))</f>
        <v/>
      </c>
    </row>
    <row r="32">
      <c r="B32" s="4" t="n"/>
      <c r="C32" s="22">
        <f>IF($B32="","",IFERROR(INDEX(HSI!$D$7:$D$106,MATCH($B32,HSI!$C$7:$C$106,0)),IFERROR(INDEX(HSTECH!$D$7:$D$46,MATCH($B32,HSTECH!$C$7:$C$46,0)),IFERROR(INDEX(HSCEI!$D$7:$D$66,MATCH($B32,HSCEI!$C$7:$C$66,0)),"?"))))</f>
        <v/>
      </c>
      <c r="D32" s="93" t="n"/>
      <c r="E32" s="93" t="n"/>
      <c r="F32" s="93" t="n"/>
      <c r="G32" s="4" t="n"/>
      <c r="H32" s="43">
        <f>IF($B32="","",IFERROR(INDEX(HSI!$K$7:$K$106,MATCH($B32,HSI!$C$7:$C$106,0)),IFERROR(INDEX(HSTECH!$K$7:$K$46,MATCH($B32,HSTECH!$C$7:$C$46,0)),IFERROR(INDEX(HSCEI!$K$7:$K$66,MATCH($B32,HSCEI!$C$7:$C$66,0)),"?"))))</f>
        <v/>
      </c>
      <c r="I32" s="94">
        <f>IF($B32="","",IF($C32="?","ticker? not in any index",IF(COUNTIF($B$12:$B$71,$B32)&gt;1,"DUP - rows add up",IF((ISNUMBER($E32)*ISNUMBER($D32)*($E32&gt;$D32)+ISNUMBER($F32)*ISNUMBER($D32)*($F32&lt;$D32)+ISNUMBER($E32)*ISNUMBER($F32)*($E32&gt;$F32))&gt;0,"low/high crossed",""))))</f>
        <v/>
      </c>
    </row>
    <row r="33">
      <c r="B33" s="4" t="n"/>
      <c r="C33" s="22">
        <f>IF($B33="","",IFERROR(INDEX(HSI!$D$7:$D$106,MATCH($B33,HSI!$C$7:$C$106,0)),IFERROR(INDEX(HSTECH!$D$7:$D$46,MATCH($B33,HSTECH!$C$7:$C$46,0)),IFERROR(INDEX(HSCEI!$D$7:$D$66,MATCH($B33,HSCEI!$C$7:$C$66,0)),"?"))))</f>
        <v/>
      </c>
      <c r="D33" s="93" t="n"/>
      <c r="E33" s="93" t="n"/>
      <c r="F33" s="93" t="n"/>
      <c r="G33" s="4" t="n"/>
      <c r="H33" s="43">
        <f>IF($B33="","",IFERROR(INDEX(HSI!$K$7:$K$106,MATCH($B33,HSI!$C$7:$C$106,0)),IFERROR(INDEX(HSTECH!$K$7:$K$46,MATCH($B33,HSTECH!$C$7:$C$46,0)),IFERROR(INDEX(HSCEI!$K$7:$K$66,MATCH($B33,HSCEI!$C$7:$C$66,0)),"?"))))</f>
        <v/>
      </c>
      <c r="I33" s="94">
        <f>IF($B33="","",IF($C33="?","ticker? not in any index",IF(COUNTIF($B$12:$B$71,$B33)&gt;1,"DUP - rows add up",IF((ISNUMBER($E33)*ISNUMBER($D33)*($E33&gt;$D33)+ISNUMBER($F33)*ISNUMBER($D33)*($F33&lt;$D33)+ISNUMBER($E33)*ISNUMBER($F33)*($E33&gt;$F33))&gt;0,"low/high crossed",""))))</f>
        <v/>
      </c>
    </row>
    <row r="34">
      <c r="B34" s="4" t="n"/>
      <c r="C34" s="22">
        <f>IF($B34="","",IFERROR(INDEX(HSI!$D$7:$D$106,MATCH($B34,HSI!$C$7:$C$106,0)),IFERROR(INDEX(HSTECH!$D$7:$D$46,MATCH($B34,HSTECH!$C$7:$C$46,0)),IFERROR(INDEX(HSCEI!$D$7:$D$66,MATCH($B34,HSCEI!$C$7:$C$66,0)),"?"))))</f>
        <v/>
      </c>
      <c r="D34" s="93" t="n"/>
      <c r="E34" s="93" t="n"/>
      <c r="F34" s="93" t="n"/>
      <c r="G34" s="4" t="n"/>
      <c r="H34" s="43">
        <f>IF($B34="","",IFERROR(INDEX(HSI!$K$7:$K$106,MATCH($B34,HSI!$C$7:$C$106,0)),IFERROR(INDEX(HSTECH!$K$7:$K$46,MATCH($B34,HSTECH!$C$7:$C$46,0)),IFERROR(INDEX(HSCEI!$K$7:$K$66,MATCH($B34,HSCEI!$C$7:$C$66,0)),"?"))))</f>
        <v/>
      </c>
      <c r="I34" s="94">
        <f>IF($B34="","",IF($C34="?","ticker? not in any index",IF(COUNTIF($B$12:$B$71,$B34)&gt;1,"DUP - rows add up",IF((ISNUMBER($E34)*ISNUMBER($D34)*($E34&gt;$D34)+ISNUMBER($F34)*ISNUMBER($D34)*($F34&lt;$D34)+ISNUMBER($E34)*ISNUMBER($F34)*($E34&gt;$F34))&gt;0,"low/high crossed",""))))</f>
        <v/>
      </c>
    </row>
    <row r="35">
      <c r="B35" s="4" t="n"/>
      <c r="C35" s="22">
        <f>IF($B35="","",IFERROR(INDEX(HSI!$D$7:$D$106,MATCH($B35,HSI!$C$7:$C$106,0)),IFERROR(INDEX(HSTECH!$D$7:$D$46,MATCH($B35,HSTECH!$C$7:$C$46,0)),IFERROR(INDEX(HSCEI!$D$7:$D$66,MATCH($B35,HSCEI!$C$7:$C$66,0)),"?"))))</f>
        <v/>
      </c>
      <c r="D35" s="93" t="n"/>
      <c r="E35" s="93" t="n"/>
      <c r="F35" s="93" t="n"/>
      <c r="G35" s="4" t="n"/>
      <c r="H35" s="43">
        <f>IF($B35="","",IFERROR(INDEX(HSI!$K$7:$K$106,MATCH($B35,HSI!$C$7:$C$106,0)),IFERROR(INDEX(HSTECH!$K$7:$K$46,MATCH($B35,HSTECH!$C$7:$C$46,0)),IFERROR(INDEX(HSCEI!$K$7:$K$66,MATCH($B35,HSCEI!$C$7:$C$66,0)),"?"))))</f>
        <v/>
      </c>
      <c r="I35" s="94">
        <f>IF($B35="","",IF($C35="?","ticker? not in any index",IF(COUNTIF($B$12:$B$71,$B35)&gt;1,"DUP - rows add up",IF((ISNUMBER($E35)*ISNUMBER($D35)*($E35&gt;$D35)+ISNUMBER($F35)*ISNUMBER($D35)*($F35&lt;$D35)+ISNUMBER($E35)*ISNUMBER($F35)*($E35&gt;$F35))&gt;0,"low/high crossed",""))))</f>
        <v/>
      </c>
    </row>
    <row r="36">
      <c r="B36" s="4" t="n"/>
      <c r="C36" s="22">
        <f>IF($B36="","",IFERROR(INDEX(HSI!$D$7:$D$106,MATCH($B36,HSI!$C$7:$C$106,0)),IFERROR(INDEX(HSTECH!$D$7:$D$46,MATCH($B36,HSTECH!$C$7:$C$46,0)),IFERROR(INDEX(HSCEI!$D$7:$D$66,MATCH($B36,HSCEI!$C$7:$C$66,0)),"?"))))</f>
        <v/>
      </c>
      <c r="D36" s="93" t="n"/>
      <c r="E36" s="93" t="n"/>
      <c r="F36" s="93" t="n"/>
      <c r="G36" s="4" t="n"/>
      <c r="H36" s="43">
        <f>IF($B36="","",IFERROR(INDEX(HSI!$K$7:$K$106,MATCH($B36,HSI!$C$7:$C$106,0)),IFERROR(INDEX(HSTECH!$K$7:$K$46,MATCH($B36,HSTECH!$C$7:$C$46,0)),IFERROR(INDEX(HSCEI!$K$7:$K$66,MATCH($B36,HSCEI!$C$7:$C$66,0)),"?"))))</f>
        <v/>
      </c>
      <c r="I36" s="94">
        <f>IF($B36="","",IF($C36="?","ticker? not in any index",IF(COUNTIF($B$12:$B$71,$B36)&gt;1,"DUP - rows add up",IF((ISNUMBER($E36)*ISNUMBER($D36)*($E36&gt;$D36)+ISNUMBER($F36)*ISNUMBER($D36)*($F36&lt;$D36)+ISNUMBER($E36)*ISNUMBER($F36)*($E36&gt;$F36))&gt;0,"low/high crossed",""))))</f>
        <v/>
      </c>
    </row>
    <row r="37">
      <c r="B37" s="4" t="n"/>
      <c r="C37" s="22">
        <f>IF($B37="","",IFERROR(INDEX(HSI!$D$7:$D$106,MATCH($B37,HSI!$C$7:$C$106,0)),IFERROR(INDEX(HSTECH!$D$7:$D$46,MATCH($B37,HSTECH!$C$7:$C$46,0)),IFERROR(INDEX(HSCEI!$D$7:$D$66,MATCH($B37,HSCEI!$C$7:$C$66,0)),"?"))))</f>
        <v/>
      </c>
      <c r="D37" s="93" t="n"/>
      <c r="E37" s="93" t="n"/>
      <c r="F37" s="93" t="n"/>
      <c r="G37" s="4" t="n"/>
      <c r="H37" s="43">
        <f>IF($B37="","",IFERROR(INDEX(HSI!$K$7:$K$106,MATCH($B37,HSI!$C$7:$C$106,0)),IFERROR(INDEX(HSTECH!$K$7:$K$46,MATCH($B37,HSTECH!$C$7:$C$46,0)),IFERROR(INDEX(HSCEI!$K$7:$K$66,MATCH($B37,HSCEI!$C$7:$C$66,0)),"?"))))</f>
        <v/>
      </c>
      <c r="I37" s="94">
        <f>IF($B37="","",IF($C37="?","ticker? not in any index",IF(COUNTIF($B$12:$B$71,$B37)&gt;1,"DUP - rows add up",IF((ISNUMBER($E37)*ISNUMBER($D37)*($E37&gt;$D37)+ISNUMBER($F37)*ISNUMBER($D37)*($F37&lt;$D37)+ISNUMBER($E37)*ISNUMBER($F37)*($E37&gt;$F37))&gt;0,"low/high crossed",""))))</f>
        <v/>
      </c>
    </row>
    <row r="38">
      <c r="B38" s="4" t="n"/>
      <c r="C38" s="22">
        <f>IF($B38="","",IFERROR(INDEX(HSI!$D$7:$D$106,MATCH($B38,HSI!$C$7:$C$106,0)),IFERROR(INDEX(HSTECH!$D$7:$D$46,MATCH($B38,HSTECH!$C$7:$C$46,0)),IFERROR(INDEX(HSCEI!$D$7:$D$66,MATCH($B38,HSCEI!$C$7:$C$66,0)),"?"))))</f>
        <v/>
      </c>
      <c r="D38" s="93" t="n"/>
      <c r="E38" s="93" t="n"/>
      <c r="F38" s="93" t="n"/>
      <c r="G38" s="4" t="n"/>
      <c r="H38" s="43">
        <f>IF($B38="","",IFERROR(INDEX(HSI!$K$7:$K$106,MATCH($B38,HSI!$C$7:$C$106,0)),IFERROR(INDEX(HSTECH!$K$7:$K$46,MATCH($B38,HSTECH!$C$7:$C$46,0)),IFERROR(INDEX(HSCEI!$K$7:$K$66,MATCH($B38,HSCEI!$C$7:$C$66,0)),"?"))))</f>
        <v/>
      </c>
      <c r="I38" s="94">
        <f>IF($B38="","",IF($C38="?","ticker? not in any index",IF(COUNTIF($B$12:$B$71,$B38)&gt;1,"DUP - rows add up",IF((ISNUMBER($E38)*ISNUMBER($D38)*($E38&gt;$D38)+ISNUMBER($F38)*ISNUMBER($D38)*($F38&lt;$D38)+ISNUMBER($E38)*ISNUMBER($F38)*($E38&gt;$F38))&gt;0,"low/high crossed",""))))</f>
        <v/>
      </c>
    </row>
    <row r="39">
      <c r="B39" s="4" t="n"/>
      <c r="C39" s="22">
        <f>IF($B39="","",IFERROR(INDEX(HSI!$D$7:$D$106,MATCH($B39,HSI!$C$7:$C$106,0)),IFERROR(INDEX(HSTECH!$D$7:$D$46,MATCH($B39,HSTECH!$C$7:$C$46,0)),IFERROR(INDEX(HSCEI!$D$7:$D$66,MATCH($B39,HSCEI!$C$7:$C$66,0)),"?"))))</f>
        <v/>
      </c>
      <c r="D39" s="93" t="n"/>
      <c r="E39" s="93" t="n"/>
      <c r="F39" s="93" t="n"/>
      <c r="G39" s="4" t="n"/>
      <c r="H39" s="43">
        <f>IF($B39="","",IFERROR(INDEX(HSI!$K$7:$K$106,MATCH($B39,HSI!$C$7:$C$106,0)),IFERROR(INDEX(HSTECH!$K$7:$K$46,MATCH($B39,HSTECH!$C$7:$C$46,0)),IFERROR(INDEX(HSCEI!$K$7:$K$66,MATCH($B39,HSCEI!$C$7:$C$66,0)),"?"))))</f>
        <v/>
      </c>
      <c r="I39" s="94">
        <f>IF($B39="","",IF($C39="?","ticker? not in any index",IF(COUNTIF($B$12:$B$71,$B39)&gt;1,"DUP - rows add up",IF((ISNUMBER($E39)*ISNUMBER($D39)*($E39&gt;$D39)+ISNUMBER($F39)*ISNUMBER($D39)*($F39&lt;$D39)+ISNUMBER($E39)*ISNUMBER($F39)*($E39&gt;$F39))&gt;0,"low/high crossed",""))))</f>
        <v/>
      </c>
    </row>
    <row r="40">
      <c r="B40" s="4" t="n"/>
      <c r="C40" s="22">
        <f>IF($B40="","",IFERROR(INDEX(HSI!$D$7:$D$106,MATCH($B40,HSI!$C$7:$C$106,0)),IFERROR(INDEX(HSTECH!$D$7:$D$46,MATCH($B40,HSTECH!$C$7:$C$46,0)),IFERROR(INDEX(HSCEI!$D$7:$D$66,MATCH($B40,HSCEI!$C$7:$C$66,0)),"?"))))</f>
        <v/>
      </c>
      <c r="D40" s="93" t="n"/>
      <c r="E40" s="93" t="n"/>
      <c r="F40" s="93" t="n"/>
      <c r="G40" s="4" t="n"/>
      <c r="H40" s="43">
        <f>IF($B40="","",IFERROR(INDEX(HSI!$K$7:$K$106,MATCH($B40,HSI!$C$7:$C$106,0)),IFERROR(INDEX(HSTECH!$K$7:$K$46,MATCH($B40,HSTECH!$C$7:$C$46,0)),IFERROR(INDEX(HSCEI!$K$7:$K$66,MATCH($B40,HSCEI!$C$7:$C$66,0)),"?"))))</f>
        <v/>
      </c>
      <c r="I40" s="94">
        <f>IF($B40="","",IF($C40="?","ticker? not in any index",IF(COUNTIF($B$12:$B$71,$B40)&gt;1,"DUP - rows add up",IF((ISNUMBER($E40)*ISNUMBER($D40)*($E40&gt;$D40)+ISNUMBER($F40)*ISNUMBER($D40)*($F40&lt;$D40)+ISNUMBER($E40)*ISNUMBER($F40)*($E40&gt;$F40))&gt;0,"low/high crossed",""))))</f>
        <v/>
      </c>
    </row>
    <row r="41">
      <c r="B41" s="4" t="n"/>
      <c r="C41" s="22">
        <f>IF($B41="","",IFERROR(INDEX(HSI!$D$7:$D$106,MATCH($B41,HSI!$C$7:$C$106,0)),IFERROR(INDEX(HSTECH!$D$7:$D$46,MATCH($B41,HSTECH!$C$7:$C$46,0)),IFERROR(INDEX(HSCEI!$D$7:$D$66,MATCH($B41,HSCEI!$C$7:$C$66,0)),"?"))))</f>
        <v/>
      </c>
      <c r="D41" s="93" t="n"/>
      <c r="E41" s="93" t="n"/>
      <c r="F41" s="93" t="n"/>
      <c r="G41" s="4" t="n"/>
      <c r="H41" s="43">
        <f>IF($B41="","",IFERROR(INDEX(HSI!$K$7:$K$106,MATCH($B41,HSI!$C$7:$C$106,0)),IFERROR(INDEX(HSTECH!$K$7:$K$46,MATCH($B41,HSTECH!$C$7:$C$46,0)),IFERROR(INDEX(HSCEI!$K$7:$K$66,MATCH($B41,HSCEI!$C$7:$C$66,0)),"?"))))</f>
        <v/>
      </c>
      <c r="I41" s="94">
        <f>IF($B41="","",IF($C41="?","ticker? not in any index",IF(COUNTIF($B$12:$B$71,$B41)&gt;1,"DUP - rows add up",IF((ISNUMBER($E41)*ISNUMBER($D41)*($E41&gt;$D41)+ISNUMBER($F41)*ISNUMBER($D41)*($F41&lt;$D41)+ISNUMBER($E41)*ISNUMBER($F41)*($E41&gt;$F41))&gt;0,"low/high crossed",""))))</f>
        <v/>
      </c>
    </row>
    <row r="42">
      <c r="B42" s="4" t="n"/>
      <c r="C42" s="22">
        <f>IF($B42="","",IFERROR(INDEX(HSI!$D$7:$D$106,MATCH($B42,HSI!$C$7:$C$106,0)),IFERROR(INDEX(HSTECH!$D$7:$D$46,MATCH($B42,HSTECH!$C$7:$C$46,0)),IFERROR(INDEX(HSCEI!$D$7:$D$66,MATCH($B42,HSCEI!$C$7:$C$66,0)),"?"))))</f>
        <v/>
      </c>
      <c r="D42" s="93" t="n"/>
      <c r="E42" s="93" t="n"/>
      <c r="F42" s="93" t="n"/>
      <c r="G42" s="4" t="n"/>
      <c r="H42" s="43">
        <f>IF($B42="","",IFERROR(INDEX(HSI!$K$7:$K$106,MATCH($B42,HSI!$C$7:$C$106,0)),IFERROR(INDEX(HSTECH!$K$7:$K$46,MATCH($B42,HSTECH!$C$7:$C$46,0)),IFERROR(INDEX(HSCEI!$K$7:$K$66,MATCH($B42,HSCEI!$C$7:$C$66,0)),"?"))))</f>
        <v/>
      </c>
      <c r="I42" s="94">
        <f>IF($B42="","",IF($C42="?","ticker? not in any index",IF(COUNTIF($B$12:$B$71,$B42)&gt;1,"DUP - rows add up",IF((ISNUMBER($E42)*ISNUMBER($D42)*($E42&gt;$D42)+ISNUMBER($F42)*ISNUMBER($D42)*($F42&lt;$D42)+ISNUMBER($E42)*ISNUMBER($F42)*($E42&gt;$F42))&gt;0,"low/high crossed",""))))</f>
        <v/>
      </c>
    </row>
    <row r="43">
      <c r="B43" s="4" t="n"/>
      <c r="C43" s="22">
        <f>IF($B43="","",IFERROR(INDEX(HSI!$D$7:$D$106,MATCH($B43,HSI!$C$7:$C$106,0)),IFERROR(INDEX(HSTECH!$D$7:$D$46,MATCH($B43,HSTECH!$C$7:$C$46,0)),IFERROR(INDEX(HSCEI!$D$7:$D$66,MATCH($B43,HSCEI!$C$7:$C$66,0)),"?"))))</f>
        <v/>
      </c>
      <c r="D43" s="93" t="n"/>
      <c r="E43" s="93" t="n"/>
      <c r="F43" s="93" t="n"/>
      <c r="G43" s="4" t="n"/>
      <c r="H43" s="43">
        <f>IF($B43="","",IFERROR(INDEX(HSI!$K$7:$K$106,MATCH($B43,HSI!$C$7:$C$106,0)),IFERROR(INDEX(HSTECH!$K$7:$K$46,MATCH($B43,HSTECH!$C$7:$C$46,0)),IFERROR(INDEX(HSCEI!$K$7:$K$66,MATCH($B43,HSCEI!$C$7:$C$66,0)),"?"))))</f>
        <v/>
      </c>
      <c r="I43" s="94">
        <f>IF($B43="","",IF($C43="?","ticker? not in any index",IF(COUNTIF($B$12:$B$71,$B43)&gt;1,"DUP - rows add up",IF((ISNUMBER($E43)*ISNUMBER($D43)*($E43&gt;$D43)+ISNUMBER($F43)*ISNUMBER($D43)*($F43&lt;$D43)+ISNUMBER($E43)*ISNUMBER($F43)*($E43&gt;$F43))&gt;0,"low/high crossed",""))))</f>
        <v/>
      </c>
    </row>
    <row r="44">
      <c r="B44" s="4" t="n"/>
      <c r="C44" s="22">
        <f>IF($B44="","",IFERROR(INDEX(HSI!$D$7:$D$106,MATCH($B44,HSI!$C$7:$C$106,0)),IFERROR(INDEX(HSTECH!$D$7:$D$46,MATCH($B44,HSTECH!$C$7:$C$46,0)),IFERROR(INDEX(HSCEI!$D$7:$D$66,MATCH($B44,HSCEI!$C$7:$C$66,0)),"?"))))</f>
        <v/>
      </c>
      <c r="D44" s="93" t="n"/>
      <c r="E44" s="93" t="n"/>
      <c r="F44" s="93" t="n"/>
      <c r="G44" s="4" t="n"/>
      <c r="H44" s="43">
        <f>IF($B44="","",IFERROR(INDEX(HSI!$K$7:$K$106,MATCH($B44,HSI!$C$7:$C$106,0)),IFERROR(INDEX(HSTECH!$K$7:$K$46,MATCH($B44,HSTECH!$C$7:$C$46,0)),IFERROR(INDEX(HSCEI!$K$7:$K$66,MATCH($B44,HSCEI!$C$7:$C$66,0)),"?"))))</f>
        <v/>
      </c>
      <c r="I44" s="94">
        <f>IF($B44="","",IF($C44="?","ticker? not in any index",IF(COUNTIF($B$12:$B$71,$B44)&gt;1,"DUP - rows add up",IF((ISNUMBER($E44)*ISNUMBER($D44)*($E44&gt;$D44)+ISNUMBER($F44)*ISNUMBER($D44)*($F44&lt;$D44)+ISNUMBER($E44)*ISNUMBER($F44)*($E44&gt;$F44))&gt;0,"low/high crossed",""))))</f>
        <v/>
      </c>
    </row>
    <row r="45">
      <c r="B45" s="4" t="n"/>
      <c r="C45" s="22">
        <f>IF($B45="","",IFERROR(INDEX(HSI!$D$7:$D$106,MATCH($B45,HSI!$C$7:$C$106,0)),IFERROR(INDEX(HSTECH!$D$7:$D$46,MATCH($B45,HSTECH!$C$7:$C$46,0)),IFERROR(INDEX(HSCEI!$D$7:$D$66,MATCH($B45,HSCEI!$C$7:$C$66,0)),"?"))))</f>
        <v/>
      </c>
      <c r="D45" s="93" t="n"/>
      <c r="E45" s="93" t="n"/>
      <c r="F45" s="93" t="n"/>
      <c r="G45" s="4" t="n"/>
      <c r="H45" s="43">
        <f>IF($B45="","",IFERROR(INDEX(HSI!$K$7:$K$106,MATCH($B45,HSI!$C$7:$C$106,0)),IFERROR(INDEX(HSTECH!$K$7:$K$46,MATCH($B45,HSTECH!$C$7:$C$46,0)),IFERROR(INDEX(HSCEI!$K$7:$K$66,MATCH($B45,HSCEI!$C$7:$C$66,0)),"?"))))</f>
        <v/>
      </c>
      <c r="I45" s="94">
        <f>IF($B45="","",IF($C45="?","ticker? not in any index",IF(COUNTIF($B$12:$B$71,$B45)&gt;1,"DUP - rows add up",IF((ISNUMBER($E45)*ISNUMBER($D45)*($E45&gt;$D45)+ISNUMBER($F45)*ISNUMBER($D45)*($F45&lt;$D45)+ISNUMBER($E45)*ISNUMBER($F45)*($E45&gt;$F45))&gt;0,"low/high crossed",""))))</f>
        <v/>
      </c>
    </row>
    <row r="46">
      <c r="B46" s="4" t="n"/>
      <c r="C46" s="22">
        <f>IF($B46="","",IFERROR(INDEX(HSI!$D$7:$D$106,MATCH($B46,HSI!$C$7:$C$106,0)),IFERROR(INDEX(HSTECH!$D$7:$D$46,MATCH($B46,HSTECH!$C$7:$C$46,0)),IFERROR(INDEX(HSCEI!$D$7:$D$66,MATCH($B46,HSCEI!$C$7:$C$66,0)),"?"))))</f>
        <v/>
      </c>
      <c r="D46" s="93" t="n"/>
      <c r="E46" s="93" t="n"/>
      <c r="F46" s="93" t="n"/>
      <c r="G46" s="4" t="n"/>
      <c r="H46" s="43">
        <f>IF($B46="","",IFERROR(INDEX(HSI!$K$7:$K$106,MATCH($B46,HSI!$C$7:$C$106,0)),IFERROR(INDEX(HSTECH!$K$7:$K$46,MATCH($B46,HSTECH!$C$7:$C$46,0)),IFERROR(INDEX(HSCEI!$K$7:$K$66,MATCH($B46,HSCEI!$C$7:$C$66,0)),"?"))))</f>
        <v/>
      </c>
      <c r="I46" s="94">
        <f>IF($B46="","",IF($C46="?","ticker? not in any index",IF(COUNTIF($B$12:$B$71,$B46)&gt;1,"DUP - rows add up",IF((ISNUMBER($E46)*ISNUMBER($D46)*($E46&gt;$D46)+ISNUMBER($F46)*ISNUMBER($D46)*($F46&lt;$D46)+ISNUMBER($E46)*ISNUMBER($F46)*($E46&gt;$F46))&gt;0,"low/high crossed",""))))</f>
        <v/>
      </c>
    </row>
    <row r="47">
      <c r="B47" s="4" t="n"/>
      <c r="C47" s="22">
        <f>IF($B47="","",IFERROR(INDEX(HSI!$D$7:$D$106,MATCH($B47,HSI!$C$7:$C$106,0)),IFERROR(INDEX(HSTECH!$D$7:$D$46,MATCH($B47,HSTECH!$C$7:$C$46,0)),IFERROR(INDEX(HSCEI!$D$7:$D$66,MATCH($B47,HSCEI!$C$7:$C$66,0)),"?"))))</f>
        <v/>
      </c>
      <c r="D47" s="93" t="n"/>
      <c r="E47" s="93" t="n"/>
      <c r="F47" s="93" t="n"/>
      <c r="G47" s="4" t="n"/>
      <c r="H47" s="43">
        <f>IF($B47="","",IFERROR(INDEX(HSI!$K$7:$K$106,MATCH($B47,HSI!$C$7:$C$106,0)),IFERROR(INDEX(HSTECH!$K$7:$K$46,MATCH($B47,HSTECH!$C$7:$C$46,0)),IFERROR(INDEX(HSCEI!$K$7:$K$66,MATCH($B47,HSCEI!$C$7:$C$66,0)),"?"))))</f>
        <v/>
      </c>
      <c r="I47" s="94">
        <f>IF($B47="","",IF($C47="?","ticker? not in any index",IF(COUNTIF($B$12:$B$71,$B47)&gt;1,"DUP - rows add up",IF((ISNUMBER($E47)*ISNUMBER($D47)*($E47&gt;$D47)+ISNUMBER($F47)*ISNUMBER($D47)*($F47&lt;$D47)+ISNUMBER($E47)*ISNUMBER($F47)*($E47&gt;$F47))&gt;0,"low/high crossed",""))))</f>
        <v/>
      </c>
    </row>
    <row r="48">
      <c r="B48" s="4" t="n"/>
      <c r="C48" s="22">
        <f>IF($B48="","",IFERROR(INDEX(HSI!$D$7:$D$106,MATCH($B48,HSI!$C$7:$C$106,0)),IFERROR(INDEX(HSTECH!$D$7:$D$46,MATCH($B48,HSTECH!$C$7:$C$46,0)),IFERROR(INDEX(HSCEI!$D$7:$D$66,MATCH($B48,HSCEI!$C$7:$C$66,0)),"?"))))</f>
        <v/>
      </c>
      <c r="D48" s="93" t="n"/>
      <c r="E48" s="93" t="n"/>
      <c r="F48" s="93" t="n"/>
      <c r="G48" s="4" t="n"/>
      <c r="H48" s="43">
        <f>IF($B48="","",IFERROR(INDEX(HSI!$K$7:$K$106,MATCH($B48,HSI!$C$7:$C$106,0)),IFERROR(INDEX(HSTECH!$K$7:$K$46,MATCH($B48,HSTECH!$C$7:$C$46,0)),IFERROR(INDEX(HSCEI!$K$7:$K$66,MATCH($B48,HSCEI!$C$7:$C$66,0)),"?"))))</f>
        <v/>
      </c>
      <c r="I48" s="94">
        <f>IF($B48="","",IF($C48="?","ticker? not in any index",IF(COUNTIF($B$12:$B$71,$B48)&gt;1,"DUP - rows add up",IF((ISNUMBER($E48)*ISNUMBER($D48)*($E48&gt;$D48)+ISNUMBER($F48)*ISNUMBER($D48)*($F48&lt;$D48)+ISNUMBER($E48)*ISNUMBER($F48)*($E48&gt;$F48))&gt;0,"low/high crossed",""))))</f>
        <v/>
      </c>
    </row>
    <row r="49">
      <c r="B49" s="4" t="n"/>
      <c r="C49" s="22">
        <f>IF($B49="","",IFERROR(INDEX(HSI!$D$7:$D$106,MATCH($B49,HSI!$C$7:$C$106,0)),IFERROR(INDEX(HSTECH!$D$7:$D$46,MATCH($B49,HSTECH!$C$7:$C$46,0)),IFERROR(INDEX(HSCEI!$D$7:$D$66,MATCH($B49,HSCEI!$C$7:$C$66,0)),"?"))))</f>
        <v/>
      </c>
      <c r="D49" s="93" t="n"/>
      <c r="E49" s="93" t="n"/>
      <c r="F49" s="93" t="n"/>
      <c r="G49" s="4" t="n"/>
      <c r="H49" s="43">
        <f>IF($B49="","",IFERROR(INDEX(HSI!$K$7:$K$106,MATCH($B49,HSI!$C$7:$C$106,0)),IFERROR(INDEX(HSTECH!$K$7:$K$46,MATCH($B49,HSTECH!$C$7:$C$46,0)),IFERROR(INDEX(HSCEI!$K$7:$K$66,MATCH($B49,HSCEI!$C$7:$C$66,0)),"?"))))</f>
        <v/>
      </c>
      <c r="I49" s="94">
        <f>IF($B49="","",IF($C49="?","ticker? not in any index",IF(COUNTIF($B$12:$B$71,$B49)&gt;1,"DUP - rows add up",IF((ISNUMBER($E49)*ISNUMBER($D49)*($E49&gt;$D49)+ISNUMBER($F49)*ISNUMBER($D49)*($F49&lt;$D49)+ISNUMBER($E49)*ISNUMBER($F49)*($E49&gt;$F49))&gt;0,"low/high crossed",""))))</f>
        <v/>
      </c>
    </row>
    <row r="50">
      <c r="B50" s="4" t="n"/>
      <c r="C50" s="22">
        <f>IF($B50="","",IFERROR(INDEX(HSI!$D$7:$D$106,MATCH($B50,HSI!$C$7:$C$106,0)),IFERROR(INDEX(HSTECH!$D$7:$D$46,MATCH($B50,HSTECH!$C$7:$C$46,0)),IFERROR(INDEX(HSCEI!$D$7:$D$66,MATCH($B50,HSCEI!$C$7:$C$66,0)),"?"))))</f>
        <v/>
      </c>
      <c r="D50" s="93" t="n"/>
      <c r="E50" s="93" t="n"/>
      <c r="F50" s="93" t="n"/>
      <c r="G50" s="4" t="n"/>
      <c r="H50" s="43">
        <f>IF($B50="","",IFERROR(INDEX(HSI!$K$7:$K$106,MATCH($B50,HSI!$C$7:$C$106,0)),IFERROR(INDEX(HSTECH!$K$7:$K$46,MATCH($B50,HSTECH!$C$7:$C$46,0)),IFERROR(INDEX(HSCEI!$K$7:$K$66,MATCH($B50,HSCEI!$C$7:$C$66,0)),"?"))))</f>
        <v/>
      </c>
      <c r="I50" s="94">
        <f>IF($B50="","",IF($C50="?","ticker? not in any index",IF(COUNTIF($B$12:$B$71,$B50)&gt;1,"DUP - rows add up",IF((ISNUMBER($E50)*ISNUMBER($D50)*($E50&gt;$D50)+ISNUMBER($F50)*ISNUMBER($D50)*($F50&lt;$D50)+ISNUMBER($E50)*ISNUMBER($F50)*($E50&gt;$F50))&gt;0,"low/high crossed",""))))</f>
        <v/>
      </c>
    </row>
    <row r="51">
      <c r="B51" s="4" t="n"/>
      <c r="C51" s="22">
        <f>IF($B51="","",IFERROR(INDEX(HSI!$D$7:$D$106,MATCH($B51,HSI!$C$7:$C$106,0)),IFERROR(INDEX(HSTECH!$D$7:$D$46,MATCH($B51,HSTECH!$C$7:$C$46,0)),IFERROR(INDEX(HSCEI!$D$7:$D$66,MATCH($B51,HSCEI!$C$7:$C$66,0)),"?"))))</f>
        <v/>
      </c>
      <c r="D51" s="93" t="n"/>
      <c r="E51" s="93" t="n"/>
      <c r="F51" s="93" t="n"/>
      <c r="G51" s="4" t="n"/>
      <c r="H51" s="43">
        <f>IF($B51="","",IFERROR(INDEX(HSI!$K$7:$K$106,MATCH($B51,HSI!$C$7:$C$106,0)),IFERROR(INDEX(HSTECH!$K$7:$K$46,MATCH($B51,HSTECH!$C$7:$C$46,0)),IFERROR(INDEX(HSCEI!$K$7:$K$66,MATCH($B51,HSCEI!$C$7:$C$66,0)),"?"))))</f>
        <v/>
      </c>
      <c r="I51" s="94">
        <f>IF($B51="","",IF($C51="?","ticker? not in any index",IF(COUNTIF($B$12:$B$71,$B51)&gt;1,"DUP - rows add up",IF((ISNUMBER($E51)*ISNUMBER($D51)*($E51&gt;$D51)+ISNUMBER($F51)*ISNUMBER($D51)*($F51&lt;$D51)+ISNUMBER($E51)*ISNUMBER($F51)*($E51&gt;$F51))&gt;0,"low/high crossed",""))))</f>
        <v/>
      </c>
    </row>
    <row r="52">
      <c r="B52" s="4" t="n"/>
      <c r="C52" s="22">
        <f>IF($B52="","",IFERROR(INDEX(HSI!$D$7:$D$106,MATCH($B52,HSI!$C$7:$C$106,0)),IFERROR(INDEX(HSTECH!$D$7:$D$46,MATCH($B52,HSTECH!$C$7:$C$46,0)),IFERROR(INDEX(HSCEI!$D$7:$D$66,MATCH($B52,HSCEI!$C$7:$C$66,0)),"?"))))</f>
        <v/>
      </c>
      <c r="D52" s="93" t="n"/>
      <c r="E52" s="93" t="n"/>
      <c r="F52" s="93" t="n"/>
      <c r="G52" s="4" t="n"/>
      <c r="H52" s="43">
        <f>IF($B52="","",IFERROR(INDEX(HSI!$K$7:$K$106,MATCH($B52,HSI!$C$7:$C$106,0)),IFERROR(INDEX(HSTECH!$K$7:$K$46,MATCH($B52,HSTECH!$C$7:$C$46,0)),IFERROR(INDEX(HSCEI!$K$7:$K$66,MATCH($B52,HSCEI!$C$7:$C$66,0)),"?"))))</f>
        <v/>
      </c>
      <c r="I52" s="94">
        <f>IF($B52="","",IF($C52="?","ticker? not in any index",IF(COUNTIF($B$12:$B$71,$B52)&gt;1,"DUP - rows add up",IF((ISNUMBER($E52)*ISNUMBER($D52)*($E52&gt;$D52)+ISNUMBER($F52)*ISNUMBER($D52)*($F52&lt;$D52)+ISNUMBER($E52)*ISNUMBER($F52)*($E52&gt;$F52))&gt;0,"low/high crossed",""))))</f>
        <v/>
      </c>
    </row>
    <row r="53">
      <c r="B53" s="4" t="n"/>
      <c r="C53" s="22">
        <f>IF($B53="","",IFERROR(INDEX(HSI!$D$7:$D$106,MATCH($B53,HSI!$C$7:$C$106,0)),IFERROR(INDEX(HSTECH!$D$7:$D$46,MATCH($B53,HSTECH!$C$7:$C$46,0)),IFERROR(INDEX(HSCEI!$D$7:$D$66,MATCH($B53,HSCEI!$C$7:$C$66,0)),"?"))))</f>
        <v/>
      </c>
      <c r="D53" s="93" t="n"/>
      <c r="E53" s="93" t="n"/>
      <c r="F53" s="93" t="n"/>
      <c r="G53" s="4" t="n"/>
      <c r="H53" s="43">
        <f>IF($B53="","",IFERROR(INDEX(HSI!$K$7:$K$106,MATCH($B53,HSI!$C$7:$C$106,0)),IFERROR(INDEX(HSTECH!$K$7:$K$46,MATCH($B53,HSTECH!$C$7:$C$46,0)),IFERROR(INDEX(HSCEI!$K$7:$K$66,MATCH($B53,HSCEI!$C$7:$C$66,0)),"?"))))</f>
        <v/>
      </c>
      <c r="I53" s="94">
        <f>IF($B53="","",IF($C53="?","ticker? not in any index",IF(COUNTIF($B$12:$B$71,$B53)&gt;1,"DUP - rows add up",IF((ISNUMBER($E53)*ISNUMBER($D53)*($E53&gt;$D53)+ISNUMBER($F53)*ISNUMBER($D53)*($F53&lt;$D53)+ISNUMBER($E53)*ISNUMBER($F53)*($E53&gt;$F53))&gt;0,"low/high crossed",""))))</f>
        <v/>
      </c>
    </row>
    <row r="54">
      <c r="B54" s="4" t="n"/>
      <c r="C54" s="22">
        <f>IF($B54="","",IFERROR(INDEX(HSI!$D$7:$D$106,MATCH($B54,HSI!$C$7:$C$106,0)),IFERROR(INDEX(HSTECH!$D$7:$D$46,MATCH($B54,HSTECH!$C$7:$C$46,0)),IFERROR(INDEX(HSCEI!$D$7:$D$66,MATCH($B54,HSCEI!$C$7:$C$66,0)),"?"))))</f>
        <v/>
      </c>
      <c r="D54" s="93" t="n"/>
      <c r="E54" s="93" t="n"/>
      <c r="F54" s="93" t="n"/>
      <c r="G54" s="4" t="n"/>
      <c r="H54" s="43">
        <f>IF($B54="","",IFERROR(INDEX(HSI!$K$7:$K$106,MATCH($B54,HSI!$C$7:$C$106,0)),IFERROR(INDEX(HSTECH!$K$7:$K$46,MATCH($B54,HSTECH!$C$7:$C$46,0)),IFERROR(INDEX(HSCEI!$K$7:$K$66,MATCH($B54,HSCEI!$C$7:$C$66,0)),"?"))))</f>
        <v/>
      </c>
      <c r="I54" s="94">
        <f>IF($B54="","",IF($C54="?","ticker? not in any index",IF(COUNTIF($B$12:$B$71,$B54)&gt;1,"DUP - rows add up",IF((ISNUMBER($E54)*ISNUMBER($D54)*($E54&gt;$D54)+ISNUMBER($F54)*ISNUMBER($D54)*($F54&lt;$D54)+ISNUMBER($E54)*ISNUMBER($F54)*($E54&gt;$F54))&gt;0,"low/high crossed",""))))</f>
        <v/>
      </c>
    </row>
    <row r="55">
      <c r="B55" s="4" t="n"/>
      <c r="C55" s="22">
        <f>IF($B55="","",IFERROR(INDEX(HSI!$D$7:$D$106,MATCH($B55,HSI!$C$7:$C$106,0)),IFERROR(INDEX(HSTECH!$D$7:$D$46,MATCH($B55,HSTECH!$C$7:$C$46,0)),IFERROR(INDEX(HSCEI!$D$7:$D$66,MATCH($B55,HSCEI!$C$7:$C$66,0)),"?"))))</f>
        <v/>
      </c>
      <c r="D55" s="93" t="n"/>
      <c r="E55" s="93" t="n"/>
      <c r="F55" s="93" t="n"/>
      <c r="G55" s="4" t="n"/>
      <c r="H55" s="43">
        <f>IF($B55="","",IFERROR(INDEX(HSI!$K$7:$K$106,MATCH($B55,HSI!$C$7:$C$106,0)),IFERROR(INDEX(HSTECH!$K$7:$K$46,MATCH($B55,HSTECH!$C$7:$C$46,0)),IFERROR(INDEX(HSCEI!$K$7:$K$66,MATCH($B55,HSCEI!$C$7:$C$66,0)),"?"))))</f>
        <v/>
      </c>
      <c r="I55" s="94">
        <f>IF($B55="","",IF($C55="?","ticker? not in any index",IF(COUNTIF($B$12:$B$71,$B55)&gt;1,"DUP - rows add up",IF((ISNUMBER($E55)*ISNUMBER($D55)*($E55&gt;$D55)+ISNUMBER($F55)*ISNUMBER($D55)*($F55&lt;$D55)+ISNUMBER($E55)*ISNUMBER($F55)*($E55&gt;$F55))&gt;0,"low/high crossed",""))))</f>
        <v/>
      </c>
    </row>
    <row r="56">
      <c r="B56" s="4" t="n"/>
      <c r="C56" s="22">
        <f>IF($B56="","",IFERROR(INDEX(HSI!$D$7:$D$106,MATCH($B56,HSI!$C$7:$C$106,0)),IFERROR(INDEX(HSTECH!$D$7:$D$46,MATCH($B56,HSTECH!$C$7:$C$46,0)),IFERROR(INDEX(HSCEI!$D$7:$D$66,MATCH($B56,HSCEI!$C$7:$C$66,0)),"?"))))</f>
        <v/>
      </c>
      <c r="D56" s="93" t="n"/>
      <c r="E56" s="93" t="n"/>
      <c r="F56" s="93" t="n"/>
      <c r="G56" s="4" t="n"/>
      <c r="H56" s="43">
        <f>IF($B56="","",IFERROR(INDEX(HSI!$K$7:$K$106,MATCH($B56,HSI!$C$7:$C$106,0)),IFERROR(INDEX(HSTECH!$K$7:$K$46,MATCH($B56,HSTECH!$C$7:$C$46,0)),IFERROR(INDEX(HSCEI!$K$7:$K$66,MATCH($B56,HSCEI!$C$7:$C$66,0)),"?"))))</f>
        <v/>
      </c>
      <c r="I56" s="94">
        <f>IF($B56="","",IF($C56="?","ticker? not in any index",IF(COUNTIF($B$12:$B$71,$B56)&gt;1,"DUP - rows add up",IF((ISNUMBER($E56)*ISNUMBER($D56)*($E56&gt;$D56)+ISNUMBER($F56)*ISNUMBER($D56)*($F56&lt;$D56)+ISNUMBER($E56)*ISNUMBER($F56)*($E56&gt;$F56))&gt;0,"low/high crossed",""))))</f>
        <v/>
      </c>
    </row>
    <row r="57">
      <c r="B57" s="4" t="n"/>
      <c r="C57" s="22">
        <f>IF($B57="","",IFERROR(INDEX(HSI!$D$7:$D$106,MATCH($B57,HSI!$C$7:$C$106,0)),IFERROR(INDEX(HSTECH!$D$7:$D$46,MATCH($B57,HSTECH!$C$7:$C$46,0)),IFERROR(INDEX(HSCEI!$D$7:$D$66,MATCH($B57,HSCEI!$C$7:$C$66,0)),"?"))))</f>
        <v/>
      </c>
      <c r="D57" s="93" t="n"/>
      <c r="E57" s="93" t="n"/>
      <c r="F57" s="93" t="n"/>
      <c r="G57" s="4" t="n"/>
      <c r="H57" s="43">
        <f>IF($B57="","",IFERROR(INDEX(HSI!$K$7:$K$106,MATCH($B57,HSI!$C$7:$C$106,0)),IFERROR(INDEX(HSTECH!$K$7:$K$46,MATCH($B57,HSTECH!$C$7:$C$46,0)),IFERROR(INDEX(HSCEI!$K$7:$K$66,MATCH($B57,HSCEI!$C$7:$C$66,0)),"?"))))</f>
        <v/>
      </c>
      <c r="I57" s="94">
        <f>IF($B57="","",IF($C57="?","ticker? not in any index",IF(COUNTIF($B$12:$B$71,$B57)&gt;1,"DUP - rows add up",IF((ISNUMBER($E57)*ISNUMBER($D57)*($E57&gt;$D57)+ISNUMBER($F57)*ISNUMBER($D57)*($F57&lt;$D57)+ISNUMBER($E57)*ISNUMBER($F57)*($E57&gt;$F57))&gt;0,"low/high crossed",""))))</f>
        <v/>
      </c>
    </row>
    <row r="58">
      <c r="B58" s="4" t="n"/>
      <c r="C58" s="22">
        <f>IF($B58="","",IFERROR(INDEX(HSI!$D$7:$D$106,MATCH($B58,HSI!$C$7:$C$106,0)),IFERROR(INDEX(HSTECH!$D$7:$D$46,MATCH($B58,HSTECH!$C$7:$C$46,0)),IFERROR(INDEX(HSCEI!$D$7:$D$66,MATCH($B58,HSCEI!$C$7:$C$66,0)),"?"))))</f>
        <v/>
      </c>
      <c r="D58" s="93" t="n"/>
      <c r="E58" s="93" t="n"/>
      <c r="F58" s="93" t="n"/>
      <c r="G58" s="4" t="n"/>
      <c r="H58" s="43">
        <f>IF($B58="","",IFERROR(INDEX(HSI!$K$7:$K$106,MATCH($B58,HSI!$C$7:$C$106,0)),IFERROR(INDEX(HSTECH!$K$7:$K$46,MATCH($B58,HSTECH!$C$7:$C$46,0)),IFERROR(INDEX(HSCEI!$K$7:$K$66,MATCH($B58,HSCEI!$C$7:$C$66,0)),"?"))))</f>
        <v/>
      </c>
      <c r="I58" s="94">
        <f>IF($B58="","",IF($C58="?","ticker? not in any index",IF(COUNTIF($B$12:$B$71,$B58)&gt;1,"DUP - rows add up",IF((ISNUMBER($E58)*ISNUMBER($D58)*($E58&gt;$D58)+ISNUMBER($F58)*ISNUMBER($D58)*($F58&lt;$D58)+ISNUMBER($E58)*ISNUMBER($F58)*($E58&gt;$F58))&gt;0,"low/high crossed",""))))</f>
        <v/>
      </c>
    </row>
    <row r="59">
      <c r="B59" s="4" t="n"/>
      <c r="C59" s="22">
        <f>IF($B59="","",IFERROR(INDEX(HSI!$D$7:$D$106,MATCH($B59,HSI!$C$7:$C$106,0)),IFERROR(INDEX(HSTECH!$D$7:$D$46,MATCH($B59,HSTECH!$C$7:$C$46,0)),IFERROR(INDEX(HSCEI!$D$7:$D$66,MATCH($B59,HSCEI!$C$7:$C$66,0)),"?"))))</f>
        <v/>
      </c>
      <c r="D59" s="93" t="n"/>
      <c r="E59" s="93" t="n"/>
      <c r="F59" s="93" t="n"/>
      <c r="G59" s="4" t="n"/>
      <c r="H59" s="43">
        <f>IF($B59="","",IFERROR(INDEX(HSI!$K$7:$K$106,MATCH($B59,HSI!$C$7:$C$106,0)),IFERROR(INDEX(HSTECH!$K$7:$K$46,MATCH($B59,HSTECH!$C$7:$C$46,0)),IFERROR(INDEX(HSCEI!$K$7:$K$66,MATCH($B59,HSCEI!$C$7:$C$66,0)),"?"))))</f>
        <v/>
      </c>
      <c r="I59" s="94">
        <f>IF($B59="","",IF($C59="?","ticker? not in any index",IF(COUNTIF($B$12:$B$71,$B59)&gt;1,"DUP - rows add up",IF((ISNUMBER($E59)*ISNUMBER($D59)*($E59&gt;$D59)+ISNUMBER($F59)*ISNUMBER($D59)*($F59&lt;$D59)+ISNUMBER($E59)*ISNUMBER($F59)*($E59&gt;$F59))&gt;0,"low/high crossed",""))))</f>
        <v/>
      </c>
    </row>
    <row r="60">
      <c r="B60" s="4" t="n"/>
      <c r="C60" s="22">
        <f>IF($B60="","",IFERROR(INDEX(HSI!$D$7:$D$106,MATCH($B60,HSI!$C$7:$C$106,0)),IFERROR(INDEX(HSTECH!$D$7:$D$46,MATCH($B60,HSTECH!$C$7:$C$46,0)),IFERROR(INDEX(HSCEI!$D$7:$D$66,MATCH($B60,HSCEI!$C$7:$C$66,0)),"?"))))</f>
        <v/>
      </c>
      <c r="D60" s="93" t="n"/>
      <c r="E60" s="93" t="n"/>
      <c r="F60" s="93" t="n"/>
      <c r="G60" s="4" t="n"/>
      <c r="H60" s="43">
        <f>IF($B60="","",IFERROR(INDEX(HSI!$K$7:$K$106,MATCH($B60,HSI!$C$7:$C$106,0)),IFERROR(INDEX(HSTECH!$K$7:$K$46,MATCH($B60,HSTECH!$C$7:$C$46,0)),IFERROR(INDEX(HSCEI!$K$7:$K$66,MATCH($B60,HSCEI!$C$7:$C$66,0)),"?"))))</f>
        <v/>
      </c>
      <c r="I60" s="94">
        <f>IF($B60="","",IF($C60="?","ticker? not in any index",IF(COUNTIF($B$12:$B$71,$B60)&gt;1,"DUP - rows add up",IF((ISNUMBER($E60)*ISNUMBER($D60)*($E60&gt;$D60)+ISNUMBER($F60)*ISNUMBER($D60)*($F60&lt;$D60)+ISNUMBER($E60)*ISNUMBER($F60)*($E60&gt;$F60))&gt;0,"low/high crossed",""))))</f>
        <v/>
      </c>
    </row>
    <row r="61">
      <c r="B61" s="4" t="n"/>
      <c r="C61" s="22">
        <f>IF($B61="","",IFERROR(INDEX(HSI!$D$7:$D$106,MATCH($B61,HSI!$C$7:$C$106,0)),IFERROR(INDEX(HSTECH!$D$7:$D$46,MATCH($B61,HSTECH!$C$7:$C$46,0)),IFERROR(INDEX(HSCEI!$D$7:$D$66,MATCH($B61,HSCEI!$C$7:$C$66,0)),"?"))))</f>
        <v/>
      </c>
      <c r="D61" s="93" t="n"/>
      <c r="E61" s="93" t="n"/>
      <c r="F61" s="93" t="n"/>
      <c r="G61" s="4" t="n"/>
      <c r="H61" s="43">
        <f>IF($B61="","",IFERROR(INDEX(HSI!$K$7:$K$106,MATCH($B61,HSI!$C$7:$C$106,0)),IFERROR(INDEX(HSTECH!$K$7:$K$46,MATCH($B61,HSTECH!$C$7:$C$46,0)),IFERROR(INDEX(HSCEI!$K$7:$K$66,MATCH($B61,HSCEI!$C$7:$C$66,0)),"?"))))</f>
        <v/>
      </c>
      <c r="I61" s="94">
        <f>IF($B61="","",IF($C61="?","ticker? not in any index",IF(COUNTIF($B$12:$B$71,$B61)&gt;1,"DUP - rows add up",IF((ISNUMBER($E61)*ISNUMBER($D61)*($E61&gt;$D61)+ISNUMBER($F61)*ISNUMBER($D61)*($F61&lt;$D61)+ISNUMBER($E61)*ISNUMBER($F61)*($E61&gt;$F61))&gt;0,"low/high crossed",""))))</f>
        <v/>
      </c>
    </row>
    <row r="62">
      <c r="B62" s="4" t="n"/>
      <c r="C62" s="22">
        <f>IF($B62="","",IFERROR(INDEX(HSI!$D$7:$D$106,MATCH($B62,HSI!$C$7:$C$106,0)),IFERROR(INDEX(HSTECH!$D$7:$D$46,MATCH($B62,HSTECH!$C$7:$C$46,0)),IFERROR(INDEX(HSCEI!$D$7:$D$66,MATCH($B62,HSCEI!$C$7:$C$66,0)),"?"))))</f>
        <v/>
      </c>
      <c r="D62" s="93" t="n"/>
      <c r="E62" s="93" t="n"/>
      <c r="F62" s="93" t="n"/>
      <c r="G62" s="4" t="n"/>
      <c r="H62" s="43">
        <f>IF($B62="","",IFERROR(INDEX(HSI!$K$7:$K$106,MATCH($B62,HSI!$C$7:$C$106,0)),IFERROR(INDEX(HSTECH!$K$7:$K$46,MATCH($B62,HSTECH!$C$7:$C$46,0)),IFERROR(INDEX(HSCEI!$K$7:$K$66,MATCH($B62,HSCEI!$C$7:$C$66,0)),"?"))))</f>
        <v/>
      </c>
      <c r="I62" s="94">
        <f>IF($B62="","",IF($C62="?","ticker? not in any index",IF(COUNTIF($B$12:$B$71,$B62)&gt;1,"DUP - rows add up",IF((ISNUMBER($E62)*ISNUMBER($D62)*($E62&gt;$D62)+ISNUMBER($F62)*ISNUMBER($D62)*($F62&lt;$D62)+ISNUMBER($E62)*ISNUMBER($F62)*($E62&gt;$F62))&gt;0,"low/high crossed",""))))</f>
        <v/>
      </c>
    </row>
    <row r="63">
      <c r="B63" s="4" t="n"/>
      <c r="C63" s="22">
        <f>IF($B63="","",IFERROR(INDEX(HSI!$D$7:$D$106,MATCH($B63,HSI!$C$7:$C$106,0)),IFERROR(INDEX(HSTECH!$D$7:$D$46,MATCH($B63,HSTECH!$C$7:$C$46,0)),IFERROR(INDEX(HSCEI!$D$7:$D$66,MATCH($B63,HSCEI!$C$7:$C$66,0)),"?"))))</f>
        <v/>
      </c>
      <c r="D63" s="93" t="n"/>
      <c r="E63" s="93" t="n"/>
      <c r="F63" s="93" t="n"/>
      <c r="G63" s="4" t="n"/>
      <c r="H63" s="43">
        <f>IF($B63="","",IFERROR(INDEX(HSI!$K$7:$K$106,MATCH($B63,HSI!$C$7:$C$106,0)),IFERROR(INDEX(HSTECH!$K$7:$K$46,MATCH($B63,HSTECH!$C$7:$C$46,0)),IFERROR(INDEX(HSCEI!$K$7:$K$66,MATCH($B63,HSCEI!$C$7:$C$66,0)),"?"))))</f>
        <v/>
      </c>
      <c r="I63" s="94">
        <f>IF($B63="","",IF($C63="?","ticker? not in any index",IF(COUNTIF($B$12:$B$71,$B63)&gt;1,"DUP - rows add up",IF((ISNUMBER($E63)*ISNUMBER($D63)*($E63&gt;$D63)+ISNUMBER($F63)*ISNUMBER($D63)*($F63&lt;$D63)+ISNUMBER($E63)*ISNUMBER($F63)*($E63&gt;$F63))&gt;0,"low/high crossed",""))))</f>
        <v/>
      </c>
    </row>
    <row r="64">
      <c r="B64" s="4" t="n"/>
      <c r="C64" s="22">
        <f>IF($B64="","",IFERROR(INDEX(HSI!$D$7:$D$106,MATCH($B64,HSI!$C$7:$C$106,0)),IFERROR(INDEX(HSTECH!$D$7:$D$46,MATCH($B64,HSTECH!$C$7:$C$46,0)),IFERROR(INDEX(HSCEI!$D$7:$D$66,MATCH($B64,HSCEI!$C$7:$C$66,0)),"?"))))</f>
        <v/>
      </c>
      <c r="D64" s="93" t="n"/>
      <c r="E64" s="93" t="n"/>
      <c r="F64" s="93" t="n"/>
      <c r="G64" s="4" t="n"/>
      <c r="H64" s="43">
        <f>IF($B64="","",IFERROR(INDEX(HSI!$K$7:$K$106,MATCH($B64,HSI!$C$7:$C$106,0)),IFERROR(INDEX(HSTECH!$K$7:$K$46,MATCH($B64,HSTECH!$C$7:$C$46,0)),IFERROR(INDEX(HSCEI!$K$7:$K$66,MATCH($B64,HSCEI!$C$7:$C$66,0)),"?"))))</f>
        <v/>
      </c>
      <c r="I64" s="94">
        <f>IF($B64="","",IF($C64="?","ticker? not in any index",IF(COUNTIF($B$12:$B$71,$B64)&gt;1,"DUP - rows add up",IF((ISNUMBER($E64)*ISNUMBER($D64)*($E64&gt;$D64)+ISNUMBER($F64)*ISNUMBER($D64)*($F64&lt;$D64)+ISNUMBER($E64)*ISNUMBER($F64)*($E64&gt;$F64))&gt;0,"low/high crossed",""))))</f>
        <v/>
      </c>
    </row>
    <row r="65">
      <c r="B65" s="4" t="n"/>
      <c r="C65" s="22">
        <f>IF($B65="","",IFERROR(INDEX(HSI!$D$7:$D$106,MATCH($B65,HSI!$C$7:$C$106,0)),IFERROR(INDEX(HSTECH!$D$7:$D$46,MATCH($B65,HSTECH!$C$7:$C$46,0)),IFERROR(INDEX(HSCEI!$D$7:$D$66,MATCH($B65,HSCEI!$C$7:$C$66,0)),"?"))))</f>
        <v/>
      </c>
      <c r="D65" s="93" t="n"/>
      <c r="E65" s="93" t="n"/>
      <c r="F65" s="93" t="n"/>
      <c r="G65" s="4" t="n"/>
      <c r="H65" s="43">
        <f>IF($B65="","",IFERROR(INDEX(HSI!$K$7:$K$106,MATCH($B65,HSI!$C$7:$C$106,0)),IFERROR(INDEX(HSTECH!$K$7:$K$46,MATCH($B65,HSTECH!$C$7:$C$46,0)),IFERROR(INDEX(HSCEI!$K$7:$K$66,MATCH($B65,HSCEI!$C$7:$C$66,0)),"?"))))</f>
        <v/>
      </c>
      <c r="I65" s="94">
        <f>IF($B65="","",IF($C65="?","ticker? not in any index",IF(COUNTIF($B$12:$B$71,$B65)&gt;1,"DUP - rows add up",IF((ISNUMBER($E65)*ISNUMBER($D65)*($E65&gt;$D65)+ISNUMBER($F65)*ISNUMBER($D65)*($F65&lt;$D65)+ISNUMBER($E65)*ISNUMBER($F65)*($E65&gt;$F65))&gt;0,"low/high crossed",""))))</f>
        <v/>
      </c>
    </row>
    <row r="66">
      <c r="B66" s="4" t="n"/>
      <c r="C66" s="22">
        <f>IF($B66="","",IFERROR(INDEX(HSI!$D$7:$D$106,MATCH($B66,HSI!$C$7:$C$106,0)),IFERROR(INDEX(HSTECH!$D$7:$D$46,MATCH($B66,HSTECH!$C$7:$C$46,0)),IFERROR(INDEX(HSCEI!$D$7:$D$66,MATCH($B66,HSCEI!$C$7:$C$66,0)),"?"))))</f>
        <v/>
      </c>
      <c r="D66" s="93" t="n"/>
      <c r="E66" s="93" t="n"/>
      <c r="F66" s="93" t="n"/>
      <c r="G66" s="4" t="n"/>
      <c r="H66" s="43">
        <f>IF($B66="","",IFERROR(INDEX(HSI!$K$7:$K$106,MATCH($B66,HSI!$C$7:$C$106,0)),IFERROR(INDEX(HSTECH!$K$7:$K$46,MATCH($B66,HSTECH!$C$7:$C$46,0)),IFERROR(INDEX(HSCEI!$K$7:$K$66,MATCH($B66,HSCEI!$C$7:$C$66,0)),"?"))))</f>
        <v/>
      </c>
      <c r="I66" s="94">
        <f>IF($B66="","",IF($C66="?","ticker? not in any index",IF(COUNTIF($B$12:$B$71,$B66)&gt;1,"DUP - rows add up",IF((ISNUMBER($E66)*ISNUMBER($D66)*($E66&gt;$D66)+ISNUMBER($F66)*ISNUMBER($D66)*($F66&lt;$D66)+ISNUMBER($E66)*ISNUMBER($F66)*($E66&gt;$F66))&gt;0,"low/high crossed",""))))</f>
        <v/>
      </c>
    </row>
    <row r="67">
      <c r="B67" s="4" t="n"/>
      <c r="C67" s="22">
        <f>IF($B67="","",IFERROR(INDEX(HSI!$D$7:$D$106,MATCH($B67,HSI!$C$7:$C$106,0)),IFERROR(INDEX(HSTECH!$D$7:$D$46,MATCH($B67,HSTECH!$C$7:$C$46,0)),IFERROR(INDEX(HSCEI!$D$7:$D$66,MATCH($B67,HSCEI!$C$7:$C$66,0)),"?"))))</f>
        <v/>
      </c>
      <c r="D67" s="93" t="n"/>
      <c r="E67" s="93" t="n"/>
      <c r="F67" s="93" t="n"/>
      <c r="G67" s="4" t="n"/>
      <c r="H67" s="43">
        <f>IF($B67="","",IFERROR(INDEX(HSI!$K$7:$K$106,MATCH($B67,HSI!$C$7:$C$106,0)),IFERROR(INDEX(HSTECH!$K$7:$K$46,MATCH($B67,HSTECH!$C$7:$C$46,0)),IFERROR(INDEX(HSCEI!$K$7:$K$66,MATCH($B67,HSCEI!$C$7:$C$66,0)),"?"))))</f>
        <v/>
      </c>
      <c r="I67" s="94">
        <f>IF($B67="","",IF($C67="?","ticker? not in any index",IF(COUNTIF($B$12:$B$71,$B67)&gt;1,"DUP - rows add up",IF((ISNUMBER($E67)*ISNUMBER($D67)*($E67&gt;$D67)+ISNUMBER($F67)*ISNUMBER($D67)*($F67&lt;$D67)+ISNUMBER($E67)*ISNUMBER($F67)*($E67&gt;$F67))&gt;0,"low/high crossed",""))))</f>
        <v/>
      </c>
    </row>
    <row r="68">
      <c r="B68" s="4" t="n"/>
      <c r="C68" s="22">
        <f>IF($B68="","",IFERROR(INDEX(HSI!$D$7:$D$106,MATCH($B68,HSI!$C$7:$C$106,0)),IFERROR(INDEX(HSTECH!$D$7:$D$46,MATCH($B68,HSTECH!$C$7:$C$46,0)),IFERROR(INDEX(HSCEI!$D$7:$D$66,MATCH($B68,HSCEI!$C$7:$C$66,0)),"?"))))</f>
        <v/>
      </c>
      <c r="D68" s="93" t="n"/>
      <c r="E68" s="93" t="n"/>
      <c r="F68" s="93" t="n"/>
      <c r="G68" s="4" t="n"/>
      <c r="H68" s="43">
        <f>IF($B68="","",IFERROR(INDEX(HSI!$K$7:$K$106,MATCH($B68,HSI!$C$7:$C$106,0)),IFERROR(INDEX(HSTECH!$K$7:$K$46,MATCH($B68,HSTECH!$C$7:$C$46,0)),IFERROR(INDEX(HSCEI!$K$7:$K$66,MATCH($B68,HSCEI!$C$7:$C$66,0)),"?"))))</f>
        <v/>
      </c>
      <c r="I68" s="94">
        <f>IF($B68="","",IF($C68="?","ticker? not in any index",IF(COUNTIF($B$12:$B$71,$B68)&gt;1,"DUP - rows add up",IF((ISNUMBER($E68)*ISNUMBER($D68)*($E68&gt;$D68)+ISNUMBER($F68)*ISNUMBER($D68)*($F68&lt;$D68)+ISNUMBER($E68)*ISNUMBER($F68)*($E68&gt;$F68))&gt;0,"low/high crossed",""))))</f>
        <v/>
      </c>
    </row>
    <row r="69">
      <c r="B69" s="4" t="n"/>
      <c r="C69" s="22">
        <f>IF($B69="","",IFERROR(INDEX(HSI!$D$7:$D$106,MATCH($B69,HSI!$C$7:$C$106,0)),IFERROR(INDEX(HSTECH!$D$7:$D$46,MATCH($B69,HSTECH!$C$7:$C$46,0)),IFERROR(INDEX(HSCEI!$D$7:$D$66,MATCH($B69,HSCEI!$C$7:$C$66,0)),"?"))))</f>
        <v/>
      </c>
      <c r="D69" s="93" t="n"/>
      <c r="E69" s="93" t="n"/>
      <c r="F69" s="93" t="n"/>
      <c r="G69" s="4" t="n"/>
      <c r="H69" s="43">
        <f>IF($B69="","",IFERROR(INDEX(HSI!$K$7:$K$106,MATCH($B69,HSI!$C$7:$C$106,0)),IFERROR(INDEX(HSTECH!$K$7:$K$46,MATCH($B69,HSTECH!$C$7:$C$46,0)),IFERROR(INDEX(HSCEI!$K$7:$K$66,MATCH($B69,HSCEI!$C$7:$C$66,0)),"?"))))</f>
        <v/>
      </c>
      <c r="I69" s="94">
        <f>IF($B69="","",IF($C69="?","ticker? not in any index",IF(COUNTIF($B$12:$B$71,$B69)&gt;1,"DUP - rows add up",IF((ISNUMBER($E69)*ISNUMBER($D69)*($E69&gt;$D69)+ISNUMBER($F69)*ISNUMBER($D69)*($F69&lt;$D69)+ISNUMBER($E69)*ISNUMBER($F69)*($E69&gt;$F69))&gt;0,"low/high crossed",""))))</f>
        <v/>
      </c>
    </row>
    <row r="70">
      <c r="B70" s="4" t="n"/>
      <c r="C70" s="22">
        <f>IF($B70="","",IFERROR(INDEX(HSI!$D$7:$D$106,MATCH($B70,HSI!$C$7:$C$106,0)),IFERROR(INDEX(HSTECH!$D$7:$D$46,MATCH($B70,HSTECH!$C$7:$C$46,0)),IFERROR(INDEX(HSCEI!$D$7:$D$66,MATCH($B70,HSCEI!$C$7:$C$66,0)),"?"))))</f>
        <v/>
      </c>
      <c r="D70" s="93" t="n"/>
      <c r="E70" s="93" t="n"/>
      <c r="F70" s="93" t="n"/>
      <c r="G70" s="4" t="n"/>
      <c r="H70" s="43">
        <f>IF($B70="","",IFERROR(INDEX(HSI!$K$7:$K$106,MATCH($B70,HSI!$C$7:$C$106,0)),IFERROR(INDEX(HSTECH!$K$7:$K$46,MATCH($B70,HSTECH!$C$7:$C$46,0)),IFERROR(INDEX(HSCEI!$K$7:$K$66,MATCH($B70,HSCEI!$C$7:$C$66,0)),"?"))))</f>
        <v/>
      </c>
      <c r="I70" s="94">
        <f>IF($B70="","",IF($C70="?","ticker? not in any index",IF(COUNTIF($B$12:$B$71,$B70)&gt;1,"DUP - rows add up",IF((ISNUMBER($E70)*ISNUMBER($D70)*($E70&gt;$D70)+ISNUMBER($F70)*ISNUMBER($D70)*($F70&lt;$D70)+ISNUMBER($E70)*ISNUMBER($F70)*($E70&gt;$F70))&gt;0,"low/high crossed",""))))</f>
        <v/>
      </c>
    </row>
    <row r="71">
      <c r="B71" s="4" t="n"/>
      <c r="C71" s="22">
        <f>IF($B71="","",IFERROR(INDEX(HSI!$D$7:$D$106,MATCH($B71,HSI!$C$7:$C$106,0)),IFERROR(INDEX(HSTECH!$D$7:$D$46,MATCH($B71,HSTECH!$C$7:$C$46,0)),IFERROR(INDEX(HSCEI!$D$7:$D$66,MATCH($B71,HSCEI!$C$7:$C$66,0)),"?"))))</f>
        <v/>
      </c>
      <c r="D71" s="93" t="n"/>
      <c r="E71" s="93" t="n"/>
      <c r="F71" s="93" t="n"/>
      <c r="G71" s="4" t="n"/>
      <c r="H71" s="43">
        <f>IF($B71="","",IFERROR(INDEX(HSI!$K$7:$K$106,MATCH($B71,HSI!$C$7:$C$106,0)),IFERROR(INDEX(HSTECH!$K$7:$K$46,MATCH($B71,HSTECH!$C$7:$C$46,0)),IFERROR(INDEX(HSCEI!$K$7:$K$66,MATCH($B71,HSCEI!$C$7:$C$66,0)),"?"))))</f>
        <v/>
      </c>
      <c r="I71" s="94">
        <f>IF($B71="","",IF($C71="?","ticker? not in any index",IF(COUNTIF($B$12:$B$71,$B71)&gt;1,"DUP - rows add up",IF((ISNUMBER($E71)*ISNUMBER($D71)*($E71&gt;$D71)+ISNUMBER($F71)*ISNUMBER($D71)*($F71&lt;$D71)+ISNUMBER($E71)*ISNUMBER($F71)*($E71&gt;$F71))&gt;0,"low/high crossed",""))))</f>
        <v/>
      </c>
    </row>
    <row r="74">
      <c r="B74" s="6" t="inlineStr">
        <is>
          <t>BY SECTOR - Hang Seng Index (HSI)   (read-only, sorted by sector at refresh)</t>
        </is>
      </c>
      <c r="C74" s="7" t="n"/>
      <c r="D74" s="7" t="n"/>
      <c r="E74" s="7" t="n"/>
      <c r="F74" s="7" t="n"/>
      <c r="G74" s="7" t="n"/>
      <c r="H74" s="7" t="n"/>
      <c r="I74" s="7" t="n"/>
    </row>
    <row r="75">
      <c r="B75" s="23" t="inlineStr">
        <is>
          <t>GICS Sector</t>
        </is>
      </c>
      <c r="C75" s="23" t="inlineStr">
        <is>
          <t>Name</t>
        </is>
      </c>
      <c r="D75" s="23" t="inlineStr">
        <is>
          <t>Ticker</t>
        </is>
      </c>
      <c r="E75" s="23" t="inlineStr">
        <is>
          <t>BBG rest
of yr</t>
        </is>
      </c>
      <c r="F75" s="23" t="inlineStr">
        <is>
          <t>YOUR base</t>
        </is>
      </c>
      <c r="G75" s="23" t="inlineStr">
        <is>
          <t>Effective</t>
        </is>
      </c>
      <c r="H75" s="23" t="inlineStr">
        <is>
          <t>Impact
(pts)</t>
        </is>
      </c>
      <c r="I75" s="23" t="inlineStr">
        <is>
          <t>Flag</t>
        </is>
      </c>
      <c r="K75" s="2" t="inlineStr">
        <is>
          <t>engine</t>
        </is>
      </c>
    </row>
    <row r="76">
      <c r="B76" s="22">
        <f>IF($L76="","",INDEX(HSI!$E$7:$E$106,($L76-INT($L76/1000)*1000)))</f>
        <v/>
      </c>
      <c r="C76" s="22">
        <f>IF($L76="","",INDEX(HSI!$D$7:$D$106,($L76-INT($L76/1000)*1000)))</f>
        <v/>
      </c>
      <c r="D76" s="22">
        <f>IF($L76="","",INDEX(HSI!$C$7:$C$106,($L76-INT($L76/1000)*1000)))</f>
        <v/>
      </c>
      <c r="E76" s="69">
        <f>IF($L76="","",INDEX(HSI!$K$7:$K$106,($L76-INT($L76/1000)*1000)))</f>
        <v/>
      </c>
      <c r="F76" s="43">
        <f>IF($L76="","",IF(COUNTIFS(OVR_TICKERS,$D76,OVR_BASE,"&gt;=0")=0,"",SUMIFS(OVR_BASE,OVR_TICKERS,$D76)))</f>
        <v/>
      </c>
      <c r="G76" s="69">
        <f>IF($L76="","",INDEX(HSI!$L$7:$L$106,($L76-INT($L76/1000)*1000)))</f>
        <v/>
      </c>
      <c r="H76" s="95">
        <f>IF($L76="","",IF($F76="","",IFERROR(($F76-$E76)*INDEX(HSI!$B$7:$B$106,($L76-INT($L76/1000)*1000))*INDEX(HSI!$G$7:$G$106,($L76-INT($L76/1000)*1000))/HSI!$B$3,"")))</f>
        <v/>
      </c>
      <c r="I76" s="46">
        <f>IF($L76="","",INDEX(HSI!$U$7:$U$106,($L76-INT($L76/1000)*1000)))</f>
        <v/>
      </c>
      <c r="K76" s="39">
        <f>IF(HSI!$C$7="","",IFERROR(MATCH(HSI!$E$7,Fundamentals!$B$216:$B$226,0),99)*1000+1)</f>
        <v/>
      </c>
      <c r="L76" s="39">
        <f>IFERROR(SMALL($K$76:$K$175,1),"")</f>
        <v/>
      </c>
    </row>
    <row r="77">
      <c r="B77" s="22">
        <f>IF($L77="","",INDEX(HSI!$E$7:$E$106,($L77-INT($L77/1000)*1000)))</f>
        <v/>
      </c>
      <c r="C77" s="22">
        <f>IF($L77="","",INDEX(HSI!$D$7:$D$106,($L77-INT($L77/1000)*1000)))</f>
        <v/>
      </c>
      <c r="D77" s="22">
        <f>IF($L77="","",INDEX(HSI!$C$7:$C$106,($L77-INT($L77/1000)*1000)))</f>
        <v/>
      </c>
      <c r="E77" s="69">
        <f>IF($L77="","",INDEX(HSI!$K$7:$K$106,($L77-INT($L77/1000)*1000)))</f>
        <v/>
      </c>
      <c r="F77" s="43">
        <f>IF($L77="","",IF(COUNTIFS(OVR_TICKERS,$D77,OVR_BASE,"&gt;=0")=0,"",SUMIFS(OVR_BASE,OVR_TICKERS,$D77)))</f>
        <v/>
      </c>
      <c r="G77" s="69">
        <f>IF($L77="","",INDEX(HSI!$L$7:$L$106,($L77-INT($L77/1000)*1000)))</f>
        <v/>
      </c>
      <c r="H77" s="95">
        <f>IF($L77="","",IF($F77="","",IFERROR(($F77-$E77)*INDEX(HSI!$B$7:$B$106,($L77-INT($L77/1000)*1000))*INDEX(HSI!$G$7:$G$106,($L77-INT($L77/1000)*1000))/HSI!$B$3,"")))</f>
        <v/>
      </c>
      <c r="I77" s="46">
        <f>IF($L77="","",INDEX(HSI!$U$7:$U$106,($L77-INT($L77/1000)*1000)))</f>
        <v/>
      </c>
      <c r="K77" s="39">
        <f>IF(HSI!$C$8="","",IFERROR(MATCH(HSI!$E$8,Fundamentals!$B$216:$B$226,0),99)*1000+2)</f>
        <v/>
      </c>
      <c r="L77" s="39">
        <f>IFERROR(SMALL($K$76:$K$175,2),"")</f>
        <v/>
      </c>
    </row>
    <row r="78">
      <c r="B78" s="22">
        <f>IF($L78="","",INDEX(HSI!$E$7:$E$106,($L78-INT($L78/1000)*1000)))</f>
        <v/>
      </c>
      <c r="C78" s="22">
        <f>IF($L78="","",INDEX(HSI!$D$7:$D$106,($L78-INT($L78/1000)*1000)))</f>
        <v/>
      </c>
      <c r="D78" s="22">
        <f>IF($L78="","",INDEX(HSI!$C$7:$C$106,($L78-INT($L78/1000)*1000)))</f>
        <v/>
      </c>
      <c r="E78" s="69">
        <f>IF($L78="","",INDEX(HSI!$K$7:$K$106,($L78-INT($L78/1000)*1000)))</f>
        <v/>
      </c>
      <c r="F78" s="43">
        <f>IF($L78="","",IF(COUNTIFS(OVR_TICKERS,$D78,OVR_BASE,"&gt;=0")=0,"",SUMIFS(OVR_BASE,OVR_TICKERS,$D78)))</f>
        <v/>
      </c>
      <c r="G78" s="69">
        <f>IF($L78="","",INDEX(HSI!$L$7:$L$106,($L78-INT($L78/1000)*1000)))</f>
        <v/>
      </c>
      <c r="H78" s="95">
        <f>IF($L78="","",IF($F78="","",IFERROR(($F78-$E78)*INDEX(HSI!$B$7:$B$106,($L78-INT($L78/1000)*1000))*INDEX(HSI!$G$7:$G$106,($L78-INT($L78/1000)*1000))/HSI!$B$3,"")))</f>
        <v/>
      </c>
      <c r="I78" s="46">
        <f>IF($L78="","",INDEX(HSI!$U$7:$U$106,($L78-INT($L78/1000)*1000)))</f>
        <v/>
      </c>
      <c r="K78" s="39">
        <f>IF(HSI!$C$9="","",IFERROR(MATCH(HSI!$E$9,Fundamentals!$B$216:$B$226,0),99)*1000+3)</f>
        <v/>
      </c>
      <c r="L78" s="39">
        <f>IFERROR(SMALL($K$76:$K$175,3),"")</f>
        <v/>
      </c>
    </row>
    <row r="79">
      <c r="B79" s="22">
        <f>IF($L79="","",INDEX(HSI!$E$7:$E$106,($L79-INT($L79/1000)*1000)))</f>
        <v/>
      </c>
      <c r="C79" s="22">
        <f>IF($L79="","",INDEX(HSI!$D$7:$D$106,($L79-INT($L79/1000)*1000)))</f>
        <v/>
      </c>
      <c r="D79" s="22">
        <f>IF($L79="","",INDEX(HSI!$C$7:$C$106,($L79-INT($L79/1000)*1000)))</f>
        <v/>
      </c>
      <c r="E79" s="69">
        <f>IF($L79="","",INDEX(HSI!$K$7:$K$106,($L79-INT($L79/1000)*1000)))</f>
        <v/>
      </c>
      <c r="F79" s="43">
        <f>IF($L79="","",IF(COUNTIFS(OVR_TICKERS,$D79,OVR_BASE,"&gt;=0")=0,"",SUMIFS(OVR_BASE,OVR_TICKERS,$D79)))</f>
        <v/>
      </c>
      <c r="G79" s="69">
        <f>IF($L79="","",INDEX(HSI!$L$7:$L$106,($L79-INT($L79/1000)*1000)))</f>
        <v/>
      </c>
      <c r="H79" s="95">
        <f>IF($L79="","",IF($F79="","",IFERROR(($F79-$E79)*INDEX(HSI!$B$7:$B$106,($L79-INT($L79/1000)*1000))*INDEX(HSI!$G$7:$G$106,($L79-INT($L79/1000)*1000))/HSI!$B$3,"")))</f>
        <v/>
      </c>
      <c r="I79" s="46">
        <f>IF($L79="","",INDEX(HSI!$U$7:$U$106,($L79-INT($L79/1000)*1000)))</f>
        <v/>
      </c>
      <c r="K79" s="39">
        <f>IF(HSI!$C$10="","",IFERROR(MATCH(HSI!$E$10,Fundamentals!$B$216:$B$226,0),99)*1000+4)</f>
        <v/>
      </c>
      <c r="L79" s="39">
        <f>IFERROR(SMALL($K$76:$K$175,4),"")</f>
        <v/>
      </c>
    </row>
    <row r="80">
      <c r="B80" s="22">
        <f>IF($L80="","",INDEX(HSI!$E$7:$E$106,($L80-INT($L80/1000)*1000)))</f>
        <v/>
      </c>
      <c r="C80" s="22">
        <f>IF($L80="","",INDEX(HSI!$D$7:$D$106,($L80-INT($L80/1000)*1000)))</f>
        <v/>
      </c>
      <c r="D80" s="22">
        <f>IF($L80="","",INDEX(HSI!$C$7:$C$106,($L80-INT($L80/1000)*1000)))</f>
        <v/>
      </c>
      <c r="E80" s="69">
        <f>IF($L80="","",INDEX(HSI!$K$7:$K$106,($L80-INT($L80/1000)*1000)))</f>
        <v/>
      </c>
      <c r="F80" s="43">
        <f>IF($L80="","",IF(COUNTIFS(OVR_TICKERS,$D80,OVR_BASE,"&gt;=0")=0,"",SUMIFS(OVR_BASE,OVR_TICKERS,$D80)))</f>
        <v/>
      </c>
      <c r="G80" s="69">
        <f>IF($L80="","",INDEX(HSI!$L$7:$L$106,($L80-INT($L80/1000)*1000)))</f>
        <v/>
      </c>
      <c r="H80" s="95">
        <f>IF($L80="","",IF($F80="","",IFERROR(($F80-$E80)*INDEX(HSI!$B$7:$B$106,($L80-INT($L80/1000)*1000))*INDEX(HSI!$G$7:$G$106,($L80-INT($L80/1000)*1000))/HSI!$B$3,"")))</f>
        <v/>
      </c>
      <c r="I80" s="46">
        <f>IF($L80="","",INDEX(HSI!$U$7:$U$106,($L80-INT($L80/1000)*1000)))</f>
        <v/>
      </c>
      <c r="K80" s="39">
        <f>IF(HSI!$C$11="","",IFERROR(MATCH(HSI!$E$11,Fundamentals!$B$216:$B$226,0),99)*1000+5)</f>
        <v/>
      </c>
      <c r="L80" s="39">
        <f>IFERROR(SMALL($K$76:$K$175,5),"")</f>
        <v/>
      </c>
    </row>
    <row r="81">
      <c r="B81" s="22">
        <f>IF($L81="","",INDEX(HSI!$E$7:$E$106,($L81-INT($L81/1000)*1000)))</f>
        <v/>
      </c>
      <c r="C81" s="22">
        <f>IF($L81="","",INDEX(HSI!$D$7:$D$106,($L81-INT($L81/1000)*1000)))</f>
        <v/>
      </c>
      <c r="D81" s="22">
        <f>IF($L81="","",INDEX(HSI!$C$7:$C$106,($L81-INT($L81/1000)*1000)))</f>
        <v/>
      </c>
      <c r="E81" s="69">
        <f>IF($L81="","",INDEX(HSI!$K$7:$K$106,($L81-INT($L81/1000)*1000)))</f>
        <v/>
      </c>
      <c r="F81" s="43">
        <f>IF($L81="","",IF(COUNTIFS(OVR_TICKERS,$D81,OVR_BASE,"&gt;=0")=0,"",SUMIFS(OVR_BASE,OVR_TICKERS,$D81)))</f>
        <v/>
      </c>
      <c r="G81" s="69">
        <f>IF($L81="","",INDEX(HSI!$L$7:$L$106,($L81-INT($L81/1000)*1000)))</f>
        <v/>
      </c>
      <c r="H81" s="95">
        <f>IF($L81="","",IF($F81="","",IFERROR(($F81-$E81)*INDEX(HSI!$B$7:$B$106,($L81-INT($L81/1000)*1000))*INDEX(HSI!$G$7:$G$106,($L81-INT($L81/1000)*1000))/HSI!$B$3,"")))</f>
        <v/>
      </c>
      <c r="I81" s="46">
        <f>IF($L81="","",INDEX(HSI!$U$7:$U$106,($L81-INT($L81/1000)*1000)))</f>
        <v/>
      </c>
      <c r="K81" s="39">
        <f>IF(HSI!$C$12="","",IFERROR(MATCH(HSI!$E$12,Fundamentals!$B$216:$B$226,0),99)*1000+6)</f>
        <v/>
      </c>
      <c r="L81" s="39">
        <f>IFERROR(SMALL($K$76:$K$175,6),"")</f>
        <v/>
      </c>
    </row>
    <row r="82">
      <c r="B82" s="22">
        <f>IF($L82="","",INDEX(HSI!$E$7:$E$106,($L82-INT($L82/1000)*1000)))</f>
        <v/>
      </c>
      <c r="C82" s="22">
        <f>IF($L82="","",INDEX(HSI!$D$7:$D$106,($L82-INT($L82/1000)*1000)))</f>
        <v/>
      </c>
      <c r="D82" s="22">
        <f>IF($L82="","",INDEX(HSI!$C$7:$C$106,($L82-INT($L82/1000)*1000)))</f>
        <v/>
      </c>
      <c r="E82" s="69">
        <f>IF($L82="","",INDEX(HSI!$K$7:$K$106,($L82-INT($L82/1000)*1000)))</f>
        <v/>
      </c>
      <c r="F82" s="43">
        <f>IF($L82="","",IF(COUNTIFS(OVR_TICKERS,$D82,OVR_BASE,"&gt;=0")=0,"",SUMIFS(OVR_BASE,OVR_TICKERS,$D82)))</f>
        <v/>
      </c>
      <c r="G82" s="69">
        <f>IF($L82="","",INDEX(HSI!$L$7:$L$106,($L82-INT($L82/1000)*1000)))</f>
        <v/>
      </c>
      <c r="H82" s="95">
        <f>IF($L82="","",IF($F82="","",IFERROR(($F82-$E82)*INDEX(HSI!$B$7:$B$106,($L82-INT($L82/1000)*1000))*INDEX(HSI!$G$7:$G$106,($L82-INT($L82/1000)*1000))/HSI!$B$3,"")))</f>
        <v/>
      </c>
      <c r="I82" s="46">
        <f>IF($L82="","",INDEX(HSI!$U$7:$U$106,($L82-INT($L82/1000)*1000)))</f>
        <v/>
      </c>
      <c r="K82" s="39">
        <f>IF(HSI!$C$13="","",IFERROR(MATCH(HSI!$E$13,Fundamentals!$B$216:$B$226,0),99)*1000+7)</f>
        <v/>
      </c>
      <c r="L82" s="39">
        <f>IFERROR(SMALL($K$76:$K$175,7),"")</f>
        <v/>
      </c>
    </row>
    <row r="83">
      <c r="B83" s="22">
        <f>IF($L83="","",INDEX(HSI!$E$7:$E$106,($L83-INT($L83/1000)*1000)))</f>
        <v/>
      </c>
      <c r="C83" s="22">
        <f>IF($L83="","",INDEX(HSI!$D$7:$D$106,($L83-INT($L83/1000)*1000)))</f>
        <v/>
      </c>
      <c r="D83" s="22">
        <f>IF($L83="","",INDEX(HSI!$C$7:$C$106,($L83-INT($L83/1000)*1000)))</f>
        <v/>
      </c>
      <c r="E83" s="69">
        <f>IF($L83="","",INDEX(HSI!$K$7:$K$106,($L83-INT($L83/1000)*1000)))</f>
        <v/>
      </c>
      <c r="F83" s="43">
        <f>IF($L83="","",IF(COUNTIFS(OVR_TICKERS,$D83,OVR_BASE,"&gt;=0")=0,"",SUMIFS(OVR_BASE,OVR_TICKERS,$D83)))</f>
        <v/>
      </c>
      <c r="G83" s="69">
        <f>IF($L83="","",INDEX(HSI!$L$7:$L$106,($L83-INT($L83/1000)*1000)))</f>
        <v/>
      </c>
      <c r="H83" s="95">
        <f>IF($L83="","",IF($F83="","",IFERROR(($F83-$E83)*INDEX(HSI!$B$7:$B$106,($L83-INT($L83/1000)*1000))*INDEX(HSI!$G$7:$G$106,($L83-INT($L83/1000)*1000))/HSI!$B$3,"")))</f>
        <v/>
      </c>
      <c r="I83" s="46">
        <f>IF($L83="","",INDEX(HSI!$U$7:$U$106,($L83-INT($L83/1000)*1000)))</f>
        <v/>
      </c>
      <c r="K83" s="39">
        <f>IF(HSI!$C$14="","",IFERROR(MATCH(HSI!$E$14,Fundamentals!$B$216:$B$226,0),99)*1000+8)</f>
        <v/>
      </c>
      <c r="L83" s="39">
        <f>IFERROR(SMALL($K$76:$K$175,8),"")</f>
        <v/>
      </c>
    </row>
    <row r="84">
      <c r="B84" s="22">
        <f>IF($L84="","",INDEX(HSI!$E$7:$E$106,($L84-INT($L84/1000)*1000)))</f>
        <v/>
      </c>
      <c r="C84" s="22">
        <f>IF($L84="","",INDEX(HSI!$D$7:$D$106,($L84-INT($L84/1000)*1000)))</f>
        <v/>
      </c>
      <c r="D84" s="22">
        <f>IF($L84="","",INDEX(HSI!$C$7:$C$106,($L84-INT($L84/1000)*1000)))</f>
        <v/>
      </c>
      <c r="E84" s="69">
        <f>IF($L84="","",INDEX(HSI!$K$7:$K$106,($L84-INT($L84/1000)*1000)))</f>
        <v/>
      </c>
      <c r="F84" s="43">
        <f>IF($L84="","",IF(COUNTIFS(OVR_TICKERS,$D84,OVR_BASE,"&gt;=0")=0,"",SUMIFS(OVR_BASE,OVR_TICKERS,$D84)))</f>
        <v/>
      </c>
      <c r="G84" s="69">
        <f>IF($L84="","",INDEX(HSI!$L$7:$L$106,($L84-INT($L84/1000)*1000)))</f>
        <v/>
      </c>
      <c r="H84" s="95">
        <f>IF($L84="","",IF($F84="","",IFERROR(($F84-$E84)*INDEX(HSI!$B$7:$B$106,($L84-INT($L84/1000)*1000))*INDEX(HSI!$G$7:$G$106,($L84-INT($L84/1000)*1000))/HSI!$B$3,"")))</f>
        <v/>
      </c>
      <c r="I84" s="46">
        <f>IF($L84="","",INDEX(HSI!$U$7:$U$106,($L84-INT($L84/1000)*1000)))</f>
        <v/>
      </c>
      <c r="K84" s="39">
        <f>IF(HSI!$C$15="","",IFERROR(MATCH(HSI!$E$15,Fundamentals!$B$216:$B$226,0),99)*1000+9)</f>
        <v/>
      </c>
      <c r="L84" s="39">
        <f>IFERROR(SMALL($K$76:$K$175,9),"")</f>
        <v/>
      </c>
    </row>
    <row r="85">
      <c r="B85" s="22">
        <f>IF($L85="","",INDEX(HSI!$E$7:$E$106,($L85-INT($L85/1000)*1000)))</f>
        <v/>
      </c>
      <c r="C85" s="22">
        <f>IF($L85="","",INDEX(HSI!$D$7:$D$106,($L85-INT($L85/1000)*1000)))</f>
        <v/>
      </c>
      <c r="D85" s="22">
        <f>IF($L85="","",INDEX(HSI!$C$7:$C$106,($L85-INT($L85/1000)*1000)))</f>
        <v/>
      </c>
      <c r="E85" s="69">
        <f>IF($L85="","",INDEX(HSI!$K$7:$K$106,($L85-INT($L85/1000)*1000)))</f>
        <v/>
      </c>
      <c r="F85" s="43">
        <f>IF($L85="","",IF(COUNTIFS(OVR_TICKERS,$D85,OVR_BASE,"&gt;=0")=0,"",SUMIFS(OVR_BASE,OVR_TICKERS,$D85)))</f>
        <v/>
      </c>
      <c r="G85" s="69">
        <f>IF($L85="","",INDEX(HSI!$L$7:$L$106,($L85-INT($L85/1000)*1000)))</f>
        <v/>
      </c>
      <c r="H85" s="95">
        <f>IF($L85="","",IF($F85="","",IFERROR(($F85-$E85)*INDEX(HSI!$B$7:$B$106,($L85-INT($L85/1000)*1000))*INDEX(HSI!$G$7:$G$106,($L85-INT($L85/1000)*1000))/HSI!$B$3,"")))</f>
        <v/>
      </c>
      <c r="I85" s="46">
        <f>IF($L85="","",INDEX(HSI!$U$7:$U$106,($L85-INT($L85/1000)*1000)))</f>
        <v/>
      </c>
      <c r="K85" s="39">
        <f>IF(HSI!$C$16="","",IFERROR(MATCH(HSI!$E$16,Fundamentals!$B$216:$B$226,0),99)*1000+10)</f>
        <v/>
      </c>
      <c r="L85" s="39">
        <f>IFERROR(SMALL($K$76:$K$175,10),"")</f>
        <v/>
      </c>
    </row>
    <row r="86">
      <c r="B86" s="22">
        <f>IF($L86="","",INDEX(HSI!$E$7:$E$106,($L86-INT($L86/1000)*1000)))</f>
        <v/>
      </c>
      <c r="C86" s="22">
        <f>IF($L86="","",INDEX(HSI!$D$7:$D$106,($L86-INT($L86/1000)*1000)))</f>
        <v/>
      </c>
      <c r="D86" s="22">
        <f>IF($L86="","",INDEX(HSI!$C$7:$C$106,($L86-INT($L86/1000)*1000)))</f>
        <v/>
      </c>
      <c r="E86" s="69">
        <f>IF($L86="","",INDEX(HSI!$K$7:$K$106,($L86-INT($L86/1000)*1000)))</f>
        <v/>
      </c>
      <c r="F86" s="43">
        <f>IF($L86="","",IF(COUNTIFS(OVR_TICKERS,$D86,OVR_BASE,"&gt;=0")=0,"",SUMIFS(OVR_BASE,OVR_TICKERS,$D86)))</f>
        <v/>
      </c>
      <c r="G86" s="69">
        <f>IF($L86="","",INDEX(HSI!$L$7:$L$106,($L86-INT($L86/1000)*1000)))</f>
        <v/>
      </c>
      <c r="H86" s="95">
        <f>IF($L86="","",IF($F86="","",IFERROR(($F86-$E86)*INDEX(HSI!$B$7:$B$106,($L86-INT($L86/1000)*1000))*INDEX(HSI!$G$7:$G$106,($L86-INT($L86/1000)*1000))/HSI!$B$3,"")))</f>
        <v/>
      </c>
      <c r="I86" s="46">
        <f>IF($L86="","",INDEX(HSI!$U$7:$U$106,($L86-INT($L86/1000)*1000)))</f>
        <v/>
      </c>
      <c r="K86" s="39">
        <f>IF(HSI!$C$17="","",IFERROR(MATCH(HSI!$E$17,Fundamentals!$B$216:$B$226,0),99)*1000+11)</f>
        <v/>
      </c>
      <c r="L86" s="39">
        <f>IFERROR(SMALL($K$76:$K$175,11),"")</f>
        <v/>
      </c>
    </row>
    <row r="87">
      <c r="B87" s="22">
        <f>IF($L87="","",INDEX(HSI!$E$7:$E$106,($L87-INT($L87/1000)*1000)))</f>
        <v/>
      </c>
      <c r="C87" s="22">
        <f>IF($L87="","",INDEX(HSI!$D$7:$D$106,($L87-INT($L87/1000)*1000)))</f>
        <v/>
      </c>
      <c r="D87" s="22">
        <f>IF($L87="","",INDEX(HSI!$C$7:$C$106,($L87-INT($L87/1000)*1000)))</f>
        <v/>
      </c>
      <c r="E87" s="69">
        <f>IF($L87="","",INDEX(HSI!$K$7:$K$106,($L87-INT($L87/1000)*1000)))</f>
        <v/>
      </c>
      <c r="F87" s="43">
        <f>IF($L87="","",IF(COUNTIFS(OVR_TICKERS,$D87,OVR_BASE,"&gt;=0")=0,"",SUMIFS(OVR_BASE,OVR_TICKERS,$D87)))</f>
        <v/>
      </c>
      <c r="G87" s="69">
        <f>IF($L87="","",INDEX(HSI!$L$7:$L$106,($L87-INT($L87/1000)*1000)))</f>
        <v/>
      </c>
      <c r="H87" s="95">
        <f>IF($L87="","",IF($F87="","",IFERROR(($F87-$E87)*INDEX(HSI!$B$7:$B$106,($L87-INT($L87/1000)*1000))*INDEX(HSI!$G$7:$G$106,($L87-INT($L87/1000)*1000))/HSI!$B$3,"")))</f>
        <v/>
      </c>
      <c r="I87" s="46">
        <f>IF($L87="","",INDEX(HSI!$U$7:$U$106,($L87-INT($L87/1000)*1000)))</f>
        <v/>
      </c>
      <c r="K87" s="39">
        <f>IF(HSI!$C$18="","",IFERROR(MATCH(HSI!$E$18,Fundamentals!$B$216:$B$226,0),99)*1000+12)</f>
        <v/>
      </c>
      <c r="L87" s="39">
        <f>IFERROR(SMALL($K$76:$K$175,12),"")</f>
        <v/>
      </c>
    </row>
    <row r="88">
      <c r="B88" s="22">
        <f>IF($L88="","",INDEX(HSI!$E$7:$E$106,($L88-INT($L88/1000)*1000)))</f>
        <v/>
      </c>
      <c r="C88" s="22">
        <f>IF($L88="","",INDEX(HSI!$D$7:$D$106,($L88-INT($L88/1000)*1000)))</f>
        <v/>
      </c>
      <c r="D88" s="22">
        <f>IF($L88="","",INDEX(HSI!$C$7:$C$106,($L88-INT($L88/1000)*1000)))</f>
        <v/>
      </c>
      <c r="E88" s="69">
        <f>IF($L88="","",INDEX(HSI!$K$7:$K$106,($L88-INT($L88/1000)*1000)))</f>
        <v/>
      </c>
      <c r="F88" s="43">
        <f>IF($L88="","",IF(COUNTIFS(OVR_TICKERS,$D88,OVR_BASE,"&gt;=0")=0,"",SUMIFS(OVR_BASE,OVR_TICKERS,$D88)))</f>
        <v/>
      </c>
      <c r="G88" s="69">
        <f>IF($L88="","",INDEX(HSI!$L$7:$L$106,($L88-INT($L88/1000)*1000)))</f>
        <v/>
      </c>
      <c r="H88" s="95">
        <f>IF($L88="","",IF($F88="","",IFERROR(($F88-$E88)*INDEX(HSI!$B$7:$B$106,($L88-INT($L88/1000)*1000))*INDEX(HSI!$G$7:$G$106,($L88-INT($L88/1000)*1000))/HSI!$B$3,"")))</f>
        <v/>
      </c>
      <c r="I88" s="46">
        <f>IF($L88="","",INDEX(HSI!$U$7:$U$106,($L88-INT($L88/1000)*1000)))</f>
        <v/>
      </c>
      <c r="K88" s="39">
        <f>IF(HSI!$C$19="","",IFERROR(MATCH(HSI!$E$19,Fundamentals!$B$216:$B$226,0),99)*1000+13)</f>
        <v/>
      </c>
      <c r="L88" s="39">
        <f>IFERROR(SMALL($K$76:$K$175,13),"")</f>
        <v/>
      </c>
    </row>
    <row r="89">
      <c r="B89" s="22">
        <f>IF($L89="","",INDEX(HSI!$E$7:$E$106,($L89-INT($L89/1000)*1000)))</f>
        <v/>
      </c>
      <c r="C89" s="22">
        <f>IF($L89="","",INDEX(HSI!$D$7:$D$106,($L89-INT($L89/1000)*1000)))</f>
        <v/>
      </c>
      <c r="D89" s="22">
        <f>IF($L89="","",INDEX(HSI!$C$7:$C$106,($L89-INT($L89/1000)*1000)))</f>
        <v/>
      </c>
      <c r="E89" s="69">
        <f>IF($L89="","",INDEX(HSI!$K$7:$K$106,($L89-INT($L89/1000)*1000)))</f>
        <v/>
      </c>
      <c r="F89" s="43">
        <f>IF($L89="","",IF(COUNTIFS(OVR_TICKERS,$D89,OVR_BASE,"&gt;=0")=0,"",SUMIFS(OVR_BASE,OVR_TICKERS,$D89)))</f>
        <v/>
      </c>
      <c r="G89" s="69">
        <f>IF($L89="","",INDEX(HSI!$L$7:$L$106,($L89-INT($L89/1000)*1000)))</f>
        <v/>
      </c>
      <c r="H89" s="95">
        <f>IF($L89="","",IF($F89="","",IFERROR(($F89-$E89)*INDEX(HSI!$B$7:$B$106,($L89-INT($L89/1000)*1000))*INDEX(HSI!$G$7:$G$106,($L89-INT($L89/1000)*1000))/HSI!$B$3,"")))</f>
        <v/>
      </c>
      <c r="I89" s="46">
        <f>IF($L89="","",INDEX(HSI!$U$7:$U$106,($L89-INT($L89/1000)*1000)))</f>
        <v/>
      </c>
      <c r="K89" s="39">
        <f>IF(HSI!$C$20="","",IFERROR(MATCH(HSI!$E$20,Fundamentals!$B$216:$B$226,0),99)*1000+14)</f>
        <v/>
      </c>
      <c r="L89" s="39">
        <f>IFERROR(SMALL($K$76:$K$175,14),"")</f>
        <v/>
      </c>
    </row>
    <row r="90">
      <c r="B90" s="22">
        <f>IF($L90="","",INDEX(HSI!$E$7:$E$106,($L90-INT($L90/1000)*1000)))</f>
        <v/>
      </c>
      <c r="C90" s="22">
        <f>IF($L90="","",INDEX(HSI!$D$7:$D$106,($L90-INT($L90/1000)*1000)))</f>
        <v/>
      </c>
      <c r="D90" s="22">
        <f>IF($L90="","",INDEX(HSI!$C$7:$C$106,($L90-INT($L90/1000)*1000)))</f>
        <v/>
      </c>
      <c r="E90" s="69">
        <f>IF($L90="","",INDEX(HSI!$K$7:$K$106,($L90-INT($L90/1000)*1000)))</f>
        <v/>
      </c>
      <c r="F90" s="43">
        <f>IF($L90="","",IF(COUNTIFS(OVR_TICKERS,$D90,OVR_BASE,"&gt;=0")=0,"",SUMIFS(OVR_BASE,OVR_TICKERS,$D90)))</f>
        <v/>
      </c>
      <c r="G90" s="69">
        <f>IF($L90="","",INDEX(HSI!$L$7:$L$106,($L90-INT($L90/1000)*1000)))</f>
        <v/>
      </c>
      <c r="H90" s="95">
        <f>IF($L90="","",IF($F90="","",IFERROR(($F90-$E90)*INDEX(HSI!$B$7:$B$106,($L90-INT($L90/1000)*1000))*INDEX(HSI!$G$7:$G$106,($L90-INT($L90/1000)*1000))/HSI!$B$3,"")))</f>
        <v/>
      </c>
      <c r="I90" s="46">
        <f>IF($L90="","",INDEX(HSI!$U$7:$U$106,($L90-INT($L90/1000)*1000)))</f>
        <v/>
      </c>
      <c r="K90" s="39">
        <f>IF(HSI!$C$21="","",IFERROR(MATCH(HSI!$E$21,Fundamentals!$B$216:$B$226,0),99)*1000+15)</f>
        <v/>
      </c>
      <c r="L90" s="39">
        <f>IFERROR(SMALL($K$76:$K$175,15),"")</f>
        <v/>
      </c>
    </row>
    <row r="91">
      <c r="B91" s="22">
        <f>IF($L91="","",INDEX(HSI!$E$7:$E$106,($L91-INT($L91/1000)*1000)))</f>
        <v/>
      </c>
      <c r="C91" s="22">
        <f>IF($L91="","",INDEX(HSI!$D$7:$D$106,($L91-INT($L91/1000)*1000)))</f>
        <v/>
      </c>
      <c r="D91" s="22">
        <f>IF($L91="","",INDEX(HSI!$C$7:$C$106,($L91-INT($L91/1000)*1000)))</f>
        <v/>
      </c>
      <c r="E91" s="69">
        <f>IF($L91="","",INDEX(HSI!$K$7:$K$106,($L91-INT($L91/1000)*1000)))</f>
        <v/>
      </c>
      <c r="F91" s="43">
        <f>IF($L91="","",IF(COUNTIFS(OVR_TICKERS,$D91,OVR_BASE,"&gt;=0")=0,"",SUMIFS(OVR_BASE,OVR_TICKERS,$D91)))</f>
        <v/>
      </c>
      <c r="G91" s="69">
        <f>IF($L91="","",INDEX(HSI!$L$7:$L$106,($L91-INT($L91/1000)*1000)))</f>
        <v/>
      </c>
      <c r="H91" s="95">
        <f>IF($L91="","",IF($F91="","",IFERROR(($F91-$E91)*INDEX(HSI!$B$7:$B$106,($L91-INT($L91/1000)*1000))*INDEX(HSI!$G$7:$G$106,($L91-INT($L91/1000)*1000))/HSI!$B$3,"")))</f>
        <v/>
      </c>
      <c r="I91" s="46">
        <f>IF($L91="","",INDEX(HSI!$U$7:$U$106,($L91-INT($L91/1000)*1000)))</f>
        <v/>
      </c>
      <c r="K91" s="39">
        <f>IF(HSI!$C$22="","",IFERROR(MATCH(HSI!$E$22,Fundamentals!$B$216:$B$226,0),99)*1000+16)</f>
        <v/>
      </c>
      <c r="L91" s="39">
        <f>IFERROR(SMALL($K$76:$K$175,16),"")</f>
        <v/>
      </c>
    </row>
    <row r="92">
      <c r="B92" s="22">
        <f>IF($L92="","",INDEX(HSI!$E$7:$E$106,($L92-INT($L92/1000)*1000)))</f>
        <v/>
      </c>
      <c r="C92" s="22">
        <f>IF($L92="","",INDEX(HSI!$D$7:$D$106,($L92-INT($L92/1000)*1000)))</f>
        <v/>
      </c>
      <c r="D92" s="22">
        <f>IF($L92="","",INDEX(HSI!$C$7:$C$106,($L92-INT($L92/1000)*1000)))</f>
        <v/>
      </c>
      <c r="E92" s="69">
        <f>IF($L92="","",INDEX(HSI!$K$7:$K$106,($L92-INT($L92/1000)*1000)))</f>
        <v/>
      </c>
      <c r="F92" s="43">
        <f>IF($L92="","",IF(COUNTIFS(OVR_TICKERS,$D92,OVR_BASE,"&gt;=0")=0,"",SUMIFS(OVR_BASE,OVR_TICKERS,$D92)))</f>
        <v/>
      </c>
      <c r="G92" s="69">
        <f>IF($L92="","",INDEX(HSI!$L$7:$L$106,($L92-INT($L92/1000)*1000)))</f>
        <v/>
      </c>
      <c r="H92" s="95">
        <f>IF($L92="","",IF($F92="","",IFERROR(($F92-$E92)*INDEX(HSI!$B$7:$B$106,($L92-INT($L92/1000)*1000))*INDEX(HSI!$G$7:$G$106,($L92-INT($L92/1000)*1000))/HSI!$B$3,"")))</f>
        <v/>
      </c>
      <c r="I92" s="46">
        <f>IF($L92="","",INDEX(HSI!$U$7:$U$106,($L92-INT($L92/1000)*1000)))</f>
        <v/>
      </c>
      <c r="K92" s="39">
        <f>IF(HSI!$C$23="","",IFERROR(MATCH(HSI!$E$23,Fundamentals!$B$216:$B$226,0),99)*1000+17)</f>
        <v/>
      </c>
      <c r="L92" s="39">
        <f>IFERROR(SMALL($K$76:$K$175,17),"")</f>
        <v/>
      </c>
    </row>
    <row r="93">
      <c r="B93" s="22">
        <f>IF($L93="","",INDEX(HSI!$E$7:$E$106,($L93-INT($L93/1000)*1000)))</f>
        <v/>
      </c>
      <c r="C93" s="22">
        <f>IF($L93="","",INDEX(HSI!$D$7:$D$106,($L93-INT($L93/1000)*1000)))</f>
        <v/>
      </c>
      <c r="D93" s="22">
        <f>IF($L93="","",INDEX(HSI!$C$7:$C$106,($L93-INT($L93/1000)*1000)))</f>
        <v/>
      </c>
      <c r="E93" s="69">
        <f>IF($L93="","",INDEX(HSI!$K$7:$K$106,($L93-INT($L93/1000)*1000)))</f>
        <v/>
      </c>
      <c r="F93" s="43">
        <f>IF($L93="","",IF(COUNTIFS(OVR_TICKERS,$D93,OVR_BASE,"&gt;=0")=0,"",SUMIFS(OVR_BASE,OVR_TICKERS,$D93)))</f>
        <v/>
      </c>
      <c r="G93" s="69">
        <f>IF($L93="","",INDEX(HSI!$L$7:$L$106,($L93-INT($L93/1000)*1000)))</f>
        <v/>
      </c>
      <c r="H93" s="95">
        <f>IF($L93="","",IF($F93="","",IFERROR(($F93-$E93)*INDEX(HSI!$B$7:$B$106,($L93-INT($L93/1000)*1000))*INDEX(HSI!$G$7:$G$106,($L93-INT($L93/1000)*1000))/HSI!$B$3,"")))</f>
        <v/>
      </c>
      <c r="I93" s="46">
        <f>IF($L93="","",INDEX(HSI!$U$7:$U$106,($L93-INT($L93/1000)*1000)))</f>
        <v/>
      </c>
      <c r="K93" s="39">
        <f>IF(HSI!$C$24="","",IFERROR(MATCH(HSI!$E$24,Fundamentals!$B$216:$B$226,0),99)*1000+18)</f>
        <v/>
      </c>
      <c r="L93" s="39">
        <f>IFERROR(SMALL($K$76:$K$175,18),"")</f>
        <v/>
      </c>
    </row>
    <row r="94">
      <c r="B94" s="22">
        <f>IF($L94="","",INDEX(HSI!$E$7:$E$106,($L94-INT($L94/1000)*1000)))</f>
        <v/>
      </c>
      <c r="C94" s="22">
        <f>IF($L94="","",INDEX(HSI!$D$7:$D$106,($L94-INT($L94/1000)*1000)))</f>
        <v/>
      </c>
      <c r="D94" s="22">
        <f>IF($L94="","",INDEX(HSI!$C$7:$C$106,($L94-INT($L94/1000)*1000)))</f>
        <v/>
      </c>
      <c r="E94" s="69">
        <f>IF($L94="","",INDEX(HSI!$K$7:$K$106,($L94-INT($L94/1000)*1000)))</f>
        <v/>
      </c>
      <c r="F94" s="43">
        <f>IF($L94="","",IF(COUNTIFS(OVR_TICKERS,$D94,OVR_BASE,"&gt;=0")=0,"",SUMIFS(OVR_BASE,OVR_TICKERS,$D94)))</f>
        <v/>
      </c>
      <c r="G94" s="69">
        <f>IF($L94="","",INDEX(HSI!$L$7:$L$106,($L94-INT($L94/1000)*1000)))</f>
        <v/>
      </c>
      <c r="H94" s="95">
        <f>IF($L94="","",IF($F94="","",IFERROR(($F94-$E94)*INDEX(HSI!$B$7:$B$106,($L94-INT($L94/1000)*1000))*INDEX(HSI!$G$7:$G$106,($L94-INT($L94/1000)*1000))/HSI!$B$3,"")))</f>
        <v/>
      </c>
      <c r="I94" s="46">
        <f>IF($L94="","",INDEX(HSI!$U$7:$U$106,($L94-INT($L94/1000)*1000)))</f>
        <v/>
      </c>
      <c r="K94" s="39">
        <f>IF(HSI!$C$25="","",IFERROR(MATCH(HSI!$E$25,Fundamentals!$B$216:$B$226,0),99)*1000+19)</f>
        <v/>
      </c>
      <c r="L94" s="39">
        <f>IFERROR(SMALL($K$76:$K$175,19),"")</f>
        <v/>
      </c>
    </row>
    <row r="95">
      <c r="B95" s="22">
        <f>IF($L95="","",INDEX(HSI!$E$7:$E$106,($L95-INT($L95/1000)*1000)))</f>
        <v/>
      </c>
      <c r="C95" s="22">
        <f>IF($L95="","",INDEX(HSI!$D$7:$D$106,($L95-INT($L95/1000)*1000)))</f>
        <v/>
      </c>
      <c r="D95" s="22">
        <f>IF($L95="","",INDEX(HSI!$C$7:$C$106,($L95-INT($L95/1000)*1000)))</f>
        <v/>
      </c>
      <c r="E95" s="69">
        <f>IF($L95="","",INDEX(HSI!$K$7:$K$106,($L95-INT($L95/1000)*1000)))</f>
        <v/>
      </c>
      <c r="F95" s="43">
        <f>IF($L95="","",IF(COUNTIFS(OVR_TICKERS,$D95,OVR_BASE,"&gt;=0")=0,"",SUMIFS(OVR_BASE,OVR_TICKERS,$D95)))</f>
        <v/>
      </c>
      <c r="G95" s="69">
        <f>IF($L95="","",INDEX(HSI!$L$7:$L$106,($L95-INT($L95/1000)*1000)))</f>
        <v/>
      </c>
      <c r="H95" s="95">
        <f>IF($L95="","",IF($F95="","",IFERROR(($F95-$E95)*INDEX(HSI!$B$7:$B$106,($L95-INT($L95/1000)*1000))*INDEX(HSI!$G$7:$G$106,($L95-INT($L95/1000)*1000))/HSI!$B$3,"")))</f>
        <v/>
      </c>
      <c r="I95" s="46">
        <f>IF($L95="","",INDEX(HSI!$U$7:$U$106,($L95-INT($L95/1000)*1000)))</f>
        <v/>
      </c>
      <c r="K95" s="39">
        <f>IF(HSI!$C$26="","",IFERROR(MATCH(HSI!$E$26,Fundamentals!$B$216:$B$226,0),99)*1000+20)</f>
        <v/>
      </c>
      <c r="L95" s="39">
        <f>IFERROR(SMALL($K$76:$K$175,20),"")</f>
        <v/>
      </c>
    </row>
    <row r="96">
      <c r="B96" s="22">
        <f>IF($L96="","",INDEX(HSI!$E$7:$E$106,($L96-INT($L96/1000)*1000)))</f>
        <v/>
      </c>
      <c r="C96" s="22">
        <f>IF($L96="","",INDEX(HSI!$D$7:$D$106,($L96-INT($L96/1000)*1000)))</f>
        <v/>
      </c>
      <c r="D96" s="22">
        <f>IF($L96="","",INDEX(HSI!$C$7:$C$106,($L96-INT($L96/1000)*1000)))</f>
        <v/>
      </c>
      <c r="E96" s="69">
        <f>IF($L96="","",INDEX(HSI!$K$7:$K$106,($L96-INT($L96/1000)*1000)))</f>
        <v/>
      </c>
      <c r="F96" s="43">
        <f>IF($L96="","",IF(COUNTIFS(OVR_TICKERS,$D96,OVR_BASE,"&gt;=0")=0,"",SUMIFS(OVR_BASE,OVR_TICKERS,$D96)))</f>
        <v/>
      </c>
      <c r="G96" s="69">
        <f>IF($L96="","",INDEX(HSI!$L$7:$L$106,($L96-INT($L96/1000)*1000)))</f>
        <v/>
      </c>
      <c r="H96" s="95">
        <f>IF($L96="","",IF($F96="","",IFERROR(($F96-$E96)*INDEX(HSI!$B$7:$B$106,($L96-INT($L96/1000)*1000))*INDEX(HSI!$G$7:$G$106,($L96-INT($L96/1000)*1000))/HSI!$B$3,"")))</f>
        <v/>
      </c>
      <c r="I96" s="46">
        <f>IF($L96="","",INDEX(HSI!$U$7:$U$106,($L96-INT($L96/1000)*1000)))</f>
        <v/>
      </c>
      <c r="K96" s="39">
        <f>IF(HSI!$C$27="","",IFERROR(MATCH(HSI!$E$27,Fundamentals!$B$216:$B$226,0),99)*1000+21)</f>
        <v/>
      </c>
      <c r="L96" s="39">
        <f>IFERROR(SMALL($K$76:$K$175,21),"")</f>
        <v/>
      </c>
    </row>
    <row r="97">
      <c r="B97" s="22">
        <f>IF($L97="","",INDEX(HSI!$E$7:$E$106,($L97-INT($L97/1000)*1000)))</f>
        <v/>
      </c>
      <c r="C97" s="22">
        <f>IF($L97="","",INDEX(HSI!$D$7:$D$106,($L97-INT($L97/1000)*1000)))</f>
        <v/>
      </c>
      <c r="D97" s="22">
        <f>IF($L97="","",INDEX(HSI!$C$7:$C$106,($L97-INT($L97/1000)*1000)))</f>
        <v/>
      </c>
      <c r="E97" s="69">
        <f>IF($L97="","",INDEX(HSI!$K$7:$K$106,($L97-INT($L97/1000)*1000)))</f>
        <v/>
      </c>
      <c r="F97" s="43">
        <f>IF($L97="","",IF(COUNTIFS(OVR_TICKERS,$D97,OVR_BASE,"&gt;=0")=0,"",SUMIFS(OVR_BASE,OVR_TICKERS,$D97)))</f>
        <v/>
      </c>
      <c r="G97" s="69">
        <f>IF($L97="","",INDEX(HSI!$L$7:$L$106,($L97-INT($L97/1000)*1000)))</f>
        <v/>
      </c>
      <c r="H97" s="95">
        <f>IF($L97="","",IF($F97="","",IFERROR(($F97-$E97)*INDEX(HSI!$B$7:$B$106,($L97-INT($L97/1000)*1000))*INDEX(HSI!$G$7:$G$106,($L97-INT($L97/1000)*1000))/HSI!$B$3,"")))</f>
        <v/>
      </c>
      <c r="I97" s="46">
        <f>IF($L97="","",INDEX(HSI!$U$7:$U$106,($L97-INT($L97/1000)*1000)))</f>
        <v/>
      </c>
      <c r="K97" s="39">
        <f>IF(HSI!$C$28="","",IFERROR(MATCH(HSI!$E$28,Fundamentals!$B$216:$B$226,0),99)*1000+22)</f>
        <v/>
      </c>
      <c r="L97" s="39">
        <f>IFERROR(SMALL($K$76:$K$175,22),"")</f>
        <v/>
      </c>
    </row>
    <row r="98">
      <c r="B98" s="22">
        <f>IF($L98="","",INDEX(HSI!$E$7:$E$106,($L98-INT($L98/1000)*1000)))</f>
        <v/>
      </c>
      <c r="C98" s="22">
        <f>IF($L98="","",INDEX(HSI!$D$7:$D$106,($L98-INT($L98/1000)*1000)))</f>
        <v/>
      </c>
      <c r="D98" s="22">
        <f>IF($L98="","",INDEX(HSI!$C$7:$C$106,($L98-INT($L98/1000)*1000)))</f>
        <v/>
      </c>
      <c r="E98" s="69">
        <f>IF($L98="","",INDEX(HSI!$K$7:$K$106,($L98-INT($L98/1000)*1000)))</f>
        <v/>
      </c>
      <c r="F98" s="43">
        <f>IF($L98="","",IF(COUNTIFS(OVR_TICKERS,$D98,OVR_BASE,"&gt;=0")=0,"",SUMIFS(OVR_BASE,OVR_TICKERS,$D98)))</f>
        <v/>
      </c>
      <c r="G98" s="69">
        <f>IF($L98="","",INDEX(HSI!$L$7:$L$106,($L98-INT($L98/1000)*1000)))</f>
        <v/>
      </c>
      <c r="H98" s="95">
        <f>IF($L98="","",IF($F98="","",IFERROR(($F98-$E98)*INDEX(HSI!$B$7:$B$106,($L98-INT($L98/1000)*1000))*INDEX(HSI!$G$7:$G$106,($L98-INT($L98/1000)*1000))/HSI!$B$3,"")))</f>
        <v/>
      </c>
      <c r="I98" s="46">
        <f>IF($L98="","",INDEX(HSI!$U$7:$U$106,($L98-INT($L98/1000)*1000)))</f>
        <v/>
      </c>
      <c r="K98" s="39">
        <f>IF(HSI!$C$29="","",IFERROR(MATCH(HSI!$E$29,Fundamentals!$B$216:$B$226,0),99)*1000+23)</f>
        <v/>
      </c>
      <c r="L98" s="39">
        <f>IFERROR(SMALL($K$76:$K$175,23),"")</f>
        <v/>
      </c>
    </row>
    <row r="99">
      <c r="B99" s="22">
        <f>IF($L99="","",INDEX(HSI!$E$7:$E$106,($L99-INT($L99/1000)*1000)))</f>
        <v/>
      </c>
      <c r="C99" s="22">
        <f>IF($L99="","",INDEX(HSI!$D$7:$D$106,($L99-INT($L99/1000)*1000)))</f>
        <v/>
      </c>
      <c r="D99" s="22">
        <f>IF($L99="","",INDEX(HSI!$C$7:$C$106,($L99-INT($L99/1000)*1000)))</f>
        <v/>
      </c>
      <c r="E99" s="69">
        <f>IF($L99="","",INDEX(HSI!$K$7:$K$106,($L99-INT($L99/1000)*1000)))</f>
        <v/>
      </c>
      <c r="F99" s="43">
        <f>IF($L99="","",IF(COUNTIFS(OVR_TICKERS,$D99,OVR_BASE,"&gt;=0")=0,"",SUMIFS(OVR_BASE,OVR_TICKERS,$D99)))</f>
        <v/>
      </c>
      <c r="G99" s="69">
        <f>IF($L99="","",INDEX(HSI!$L$7:$L$106,($L99-INT($L99/1000)*1000)))</f>
        <v/>
      </c>
      <c r="H99" s="95">
        <f>IF($L99="","",IF($F99="","",IFERROR(($F99-$E99)*INDEX(HSI!$B$7:$B$106,($L99-INT($L99/1000)*1000))*INDEX(HSI!$G$7:$G$106,($L99-INT($L99/1000)*1000))/HSI!$B$3,"")))</f>
        <v/>
      </c>
      <c r="I99" s="46">
        <f>IF($L99="","",INDEX(HSI!$U$7:$U$106,($L99-INT($L99/1000)*1000)))</f>
        <v/>
      </c>
      <c r="K99" s="39">
        <f>IF(HSI!$C$30="","",IFERROR(MATCH(HSI!$E$30,Fundamentals!$B$216:$B$226,0),99)*1000+24)</f>
        <v/>
      </c>
      <c r="L99" s="39">
        <f>IFERROR(SMALL($K$76:$K$175,24),"")</f>
        <v/>
      </c>
    </row>
    <row r="100">
      <c r="B100" s="22">
        <f>IF($L100="","",INDEX(HSI!$E$7:$E$106,($L100-INT($L100/1000)*1000)))</f>
        <v/>
      </c>
      <c r="C100" s="22">
        <f>IF($L100="","",INDEX(HSI!$D$7:$D$106,($L100-INT($L100/1000)*1000)))</f>
        <v/>
      </c>
      <c r="D100" s="22">
        <f>IF($L100="","",INDEX(HSI!$C$7:$C$106,($L100-INT($L100/1000)*1000)))</f>
        <v/>
      </c>
      <c r="E100" s="69">
        <f>IF($L100="","",INDEX(HSI!$K$7:$K$106,($L100-INT($L100/1000)*1000)))</f>
        <v/>
      </c>
      <c r="F100" s="43">
        <f>IF($L100="","",IF(COUNTIFS(OVR_TICKERS,$D100,OVR_BASE,"&gt;=0")=0,"",SUMIFS(OVR_BASE,OVR_TICKERS,$D100)))</f>
        <v/>
      </c>
      <c r="G100" s="69">
        <f>IF($L100="","",INDEX(HSI!$L$7:$L$106,($L100-INT($L100/1000)*1000)))</f>
        <v/>
      </c>
      <c r="H100" s="95">
        <f>IF($L100="","",IF($F100="","",IFERROR(($F100-$E100)*INDEX(HSI!$B$7:$B$106,($L100-INT($L100/1000)*1000))*INDEX(HSI!$G$7:$G$106,($L100-INT($L100/1000)*1000))/HSI!$B$3,"")))</f>
        <v/>
      </c>
      <c r="I100" s="46">
        <f>IF($L100="","",INDEX(HSI!$U$7:$U$106,($L100-INT($L100/1000)*1000)))</f>
        <v/>
      </c>
      <c r="K100" s="39">
        <f>IF(HSI!$C$31="","",IFERROR(MATCH(HSI!$E$31,Fundamentals!$B$216:$B$226,0),99)*1000+25)</f>
        <v/>
      </c>
      <c r="L100" s="39">
        <f>IFERROR(SMALL($K$76:$K$175,25),"")</f>
        <v/>
      </c>
    </row>
    <row r="101">
      <c r="B101" s="22">
        <f>IF($L101="","",INDEX(HSI!$E$7:$E$106,($L101-INT($L101/1000)*1000)))</f>
        <v/>
      </c>
      <c r="C101" s="22">
        <f>IF($L101="","",INDEX(HSI!$D$7:$D$106,($L101-INT($L101/1000)*1000)))</f>
        <v/>
      </c>
      <c r="D101" s="22">
        <f>IF($L101="","",INDEX(HSI!$C$7:$C$106,($L101-INT($L101/1000)*1000)))</f>
        <v/>
      </c>
      <c r="E101" s="69">
        <f>IF($L101="","",INDEX(HSI!$K$7:$K$106,($L101-INT($L101/1000)*1000)))</f>
        <v/>
      </c>
      <c r="F101" s="43">
        <f>IF($L101="","",IF(COUNTIFS(OVR_TICKERS,$D101,OVR_BASE,"&gt;=0")=0,"",SUMIFS(OVR_BASE,OVR_TICKERS,$D101)))</f>
        <v/>
      </c>
      <c r="G101" s="69">
        <f>IF($L101="","",INDEX(HSI!$L$7:$L$106,($L101-INT($L101/1000)*1000)))</f>
        <v/>
      </c>
      <c r="H101" s="95">
        <f>IF($L101="","",IF($F101="","",IFERROR(($F101-$E101)*INDEX(HSI!$B$7:$B$106,($L101-INT($L101/1000)*1000))*INDEX(HSI!$G$7:$G$106,($L101-INT($L101/1000)*1000))/HSI!$B$3,"")))</f>
        <v/>
      </c>
      <c r="I101" s="46">
        <f>IF($L101="","",INDEX(HSI!$U$7:$U$106,($L101-INT($L101/1000)*1000)))</f>
        <v/>
      </c>
      <c r="K101" s="39">
        <f>IF(HSI!$C$32="","",IFERROR(MATCH(HSI!$E$32,Fundamentals!$B$216:$B$226,0),99)*1000+26)</f>
        <v/>
      </c>
      <c r="L101" s="39">
        <f>IFERROR(SMALL($K$76:$K$175,26),"")</f>
        <v/>
      </c>
    </row>
    <row r="102">
      <c r="B102" s="22">
        <f>IF($L102="","",INDEX(HSI!$E$7:$E$106,($L102-INT($L102/1000)*1000)))</f>
        <v/>
      </c>
      <c r="C102" s="22">
        <f>IF($L102="","",INDEX(HSI!$D$7:$D$106,($L102-INT($L102/1000)*1000)))</f>
        <v/>
      </c>
      <c r="D102" s="22">
        <f>IF($L102="","",INDEX(HSI!$C$7:$C$106,($L102-INT($L102/1000)*1000)))</f>
        <v/>
      </c>
      <c r="E102" s="69">
        <f>IF($L102="","",INDEX(HSI!$K$7:$K$106,($L102-INT($L102/1000)*1000)))</f>
        <v/>
      </c>
      <c r="F102" s="43">
        <f>IF($L102="","",IF(COUNTIFS(OVR_TICKERS,$D102,OVR_BASE,"&gt;=0")=0,"",SUMIFS(OVR_BASE,OVR_TICKERS,$D102)))</f>
        <v/>
      </c>
      <c r="G102" s="69">
        <f>IF($L102="","",INDEX(HSI!$L$7:$L$106,($L102-INT($L102/1000)*1000)))</f>
        <v/>
      </c>
      <c r="H102" s="95">
        <f>IF($L102="","",IF($F102="","",IFERROR(($F102-$E102)*INDEX(HSI!$B$7:$B$106,($L102-INT($L102/1000)*1000))*INDEX(HSI!$G$7:$G$106,($L102-INT($L102/1000)*1000))/HSI!$B$3,"")))</f>
        <v/>
      </c>
      <c r="I102" s="46">
        <f>IF($L102="","",INDEX(HSI!$U$7:$U$106,($L102-INT($L102/1000)*1000)))</f>
        <v/>
      </c>
      <c r="K102" s="39">
        <f>IF(HSI!$C$33="","",IFERROR(MATCH(HSI!$E$33,Fundamentals!$B$216:$B$226,0),99)*1000+27)</f>
        <v/>
      </c>
      <c r="L102" s="39">
        <f>IFERROR(SMALL($K$76:$K$175,27),"")</f>
        <v/>
      </c>
    </row>
    <row r="103">
      <c r="B103" s="22">
        <f>IF($L103="","",INDEX(HSI!$E$7:$E$106,($L103-INT($L103/1000)*1000)))</f>
        <v/>
      </c>
      <c r="C103" s="22">
        <f>IF($L103="","",INDEX(HSI!$D$7:$D$106,($L103-INT($L103/1000)*1000)))</f>
        <v/>
      </c>
      <c r="D103" s="22">
        <f>IF($L103="","",INDEX(HSI!$C$7:$C$106,($L103-INT($L103/1000)*1000)))</f>
        <v/>
      </c>
      <c r="E103" s="69">
        <f>IF($L103="","",INDEX(HSI!$K$7:$K$106,($L103-INT($L103/1000)*1000)))</f>
        <v/>
      </c>
      <c r="F103" s="43">
        <f>IF($L103="","",IF(COUNTIFS(OVR_TICKERS,$D103,OVR_BASE,"&gt;=0")=0,"",SUMIFS(OVR_BASE,OVR_TICKERS,$D103)))</f>
        <v/>
      </c>
      <c r="G103" s="69">
        <f>IF($L103="","",INDEX(HSI!$L$7:$L$106,($L103-INT($L103/1000)*1000)))</f>
        <v/>
      </c>
      <c r="H103" s="95">
        <f>IF($L103="","",IF($F103="","",IFERROR(($F103-$E103)*INDEX(HSI!$B$7:$B$106,($L103-INT($L103/1000)*1000))*INDEX(HSI!$G$7:$G$106,($L103-INT($L103/1000)*1000))/HSI!$B$3,"")))</f>
        <v/>
      </c>
      <c r="I103" s="46">
        <f>IF($L103="","",INDEX(HSI!$U$7:$U$106,($L103-INT($L103/1000)*1000)))</f>
        <v/>
      </c>
      <c r="K103" s="39">
        <f>IF(HSI!$C$34="","",IFERROR(MATCH(HSI!$E$34,Fundamentals!$B$216:$B$226,0),99)*1000+28)</f>
        <v/>
      </c>
      <c r="L103" s="39">
        <f>IFERROR(SMALL($K$76:$K$175,28),"")</f>
        <v/>
      </c>
    </row>
    <row r="104">
      <c r="B104" s="22">
        <f>IF($L104="","",INDEX(HSI!$E$7:$E$106,($L104-INT($L104/1000)*1000)))</f>
        <v/>
      </c>
      <c r="C104" s="22">
        <f>IF($L104="","",INDEX(HSI!$D$7:$D$106,($L104-INT($L104/1000)*1000)))</f>
        <v/>
      </c>
      <c r="D104" s="22">
        <f>IF($L104="","",INDEX(HSI!$C$7:$C$106,($L104-INT($L104/1000)*1000)))</f>
        <v/>
      </c>
      <c r="E104" s="69">
        <f>IF($L104="","",INDEX(HSI!$K$7:$K$106,($L104-INT($L104/1000)*1000)))</f>
        <v/>
      </c>
      <c r="F104" s="43">
        <f>IF($L104="","",IF(COUNTIFS(OVR_TICKERS,$D104,OVR_BASE,"&gt;=0")=0,"",SUMIFS(OVR_BASE,OVR_TICKERS,$D104)))</f>
        <v/>
      </c>
      <c r="G104" s="69">
        <f>IF($L104="","",INDEX(HSI!$L$7:$L$106,($L104-INT($L104/1000)*1000)))</f>
        <v/>
      </c>
      <c r="H104" s="95">
        <f>IF($L104="","",IF($F104="","",IFERROR(($F104-$E104)*INDEX(HSI!$B$7:$B$106,($L104-INT($L104/1000)*1000))*INDEX(HSI!$G$7:$G$106,($L104-INT($L104/1000)*1000))/HSI!$B$3,"")))</f>
        <v/>
      </c>
      <c r="I104" s="46">
        <f>IF($L104="","",INDEX(HSI!$U$7:$U$106,($L104-INT($L104/1000)*1000)))</f>
        <v/>
      </c>
      <c r="K104" s="39">
        <f>IF(HSI!$C$35="","",IFERROR(MATCH(HSI!$E$35,Fundamentals!$B$216:$B$226,0),99)*1000+29)</f>
        <v/>
      </c>
      <c r="L104" s="39">
        <f>IFERROR(SMALL($K$76:$K$175,29),"")</f>
        <v/>
      </c>
    </row>
    <row r="105">
      <c r="B105" s="22">
        <f>IF($L105="","",INDEX(HSI!$E$7:$E$106,($L105-INT($L105/1000)*1000)))</f>
        <v/>
      </c>
      <c r="C105" s="22">
        <f>IF($L105="","",INDEX(HSI!$D$7:$D$106,($L105-INT($L105/1000)*1000)))</f>
        <v/>
      </c>
      <c r="D105" s="22">
        <f>IF($L105="","",INDEX(HSI!$C$7:$C$106,($L105-INT($L105/1000)*1000)))</f>
        <v/>
      </c>
      <c r="E105" s="69">
        <f>IF($L105="","",INDEX(HSI!$K$7:$K$106,($L105-INT($L105/1000)*1000)))</f>
        <v/>
      </c>
      <c r="F105" s="43">
        <f>IF($L105="","",IF(COUNTIFS(OVR_TICKERS,$D105,OVR_BASE,"&gt;=0")=0,"",SUMIFS(OVR_BASE,OVR_TICKERS,$D105)))</f>
        <v/>
      </c>
      <c r="G105" s="69">
        <f>IF($L105="","",INDEX(HSI!$L$7:$L$106,($L105-INT($L105/1000)*1000)))</f>
        <v/>
      </c>
      <c r="H105" s="95">
        <f>IF($L105="","",IF($F105="","",IFERROR(($F105-$E105)*INDEX(HSI!$B$7:$B$106,($L105-INT($L105/1000)*1000))*INDEX(HSI!$G$7:$G$106,($L105-INT($L105/1000)*1000))/HSI!$B$3,"")))</f>
        <v/>
      </c>
      <c r="I105" s="46">
        <f>IF($L105="","",INDEX(HSI!$U$7:$U$106,($L105-INT($L105/1000)*1000)))</f>
        <v/>
      </c>
      <c r="K105" s="39">
        <f>IF(HSI!$C$36="","",IFERROR(MATCH(HSI!$E$36,Fundamentals!$B$216:$B$226,0),99)*1000+30)</f>
        <v/>
      </c>
      <c r="L105" s="39">
        <f>IFERROR(SMALL($K$76:$K$175,30),"")</f>
        <v/>
      </c>
    </row>
    <row r="106">
      <c r="B106" s="22">
        <f>IF($L106="","",INDEX(HSI!$E$7:$E$106,($L106-INT($L106/1000)*1000)))</f>
        <v/>
      </c>
      <c r="C106" s="22">
        <f>IF($L106="","",INDEX(HSI!$D$7:$D$106,($L106-INT($L106/1000)*1000)))</f>
        <v/>
      </c>
      <c r="D106" s="22">
        <f>IF($L106="","",INDEX(HSI!$C$7:$C$106,($L106-INT($L106/1000)*1000)))</f>
        <v/>
      </c>
      <c r="E106" s="69">
        <f>IF($L106="","",INDEX(HSI!$K$7:$K$106,($L106-INT($L106/1000)*1000)))</f>
        <v/>
      </c>
      <c r="F106" s="43">
        <f>IF($L106="","",IF(COUNTIFS(OVR_TICKERS,$D106,OVR_BASE,"&gt;=0")=0,"",SUMIFS(OVR_BASE,OVR_TICKERS,$D106)))</f>
        <v/>
      </c>
      <c r="G106" s="69">
        <f>IF($L106="","",INDEX(HSI!$L$7:$L$106,($L106-INT($L106/1000)*1000)))</f>
        <v/>
      </c>
      <c r="H106" s="95">
        <f>IF($L106="","",IF($F106="","",IFERROR(($F106-$E106)*INDEX(HSI!$B$7:$B$106,($L106-INT($L106/1000)*1000))*INDEX(HSI!$G$7:$G$106,($L106-INT($L106/1000)*1000))/HSI!$B$3,"")))</f>
        <v/>
      </c>
      <c r="I106" s="46">
        <f>IF($L106="","",INDEX(HSI!$U$7:$U$106,($L106-INT($L106/1000)*1000)))</f>
        <v/>
      </c>
      <c r="K106" s="39">
        <f>IF(HSI!$C$37="","",IFERROR(MATCH(HSI!$E$37,Fundamentals!$B$216:$B$226,0),99)*1000+31)</f>
        <v/>
      </c>
      <c r="L106" s="39">
        <f>IFERROR(SMALL($K$76:$K$175,31),"")</f>
        <v/>
      </c>
    </row>
    <row r="107">
      <c r="B107" s="22">
        <f>IF($L107="","",INDEX(HSI!$E$7:$E$106,($L107-INT($L107/1000)*1000)))</f>
        <v/>
      </c>
      <c r="C107" s="22">
        <f>IF($L107="","",INDEX(HSI!$D$7:$D$106,($L107-INT($L107/1000)*1000)))</f>
        <v/>
      </c>
      <c r="D107" s="22">
        <f>IF($L107="","",INDEX(HSI!$C$7:$C$106,($L107-INT($L107/1000)*1000)))</f>
        <v/>
      </c>
      <c r="E107" s="69">
        <f>IF($L107="","",INDEX(HSI!$K$7:$K$106,($L107-INT($L107/1000)*1000)))</f>
        <v/>
      </c>
      <c r="F107" s="43">
        <f>IF($L107="","",IF(COUNTIFS(OVR_TICKERS,$D107,OVR_BASE,"&gt;=0")=0,"",SUMIFS(OVR_BASE,OVR_TICKERS,$D107)))</f>
        <v/>
      </c>
      <c r="G107" s="69">
        <f>IF($L107="","",INDEX(HSI!$L$7:$L$106,($L107-INT($L107/1000)*1000)))</f>
        <v/>
      </c>
      <c r="H107" s="95">
        <f>IF($L107="","",IF($F107="","",IFERROR(($F107-$E107)*INDEX(HSI!$B$7:$B$106,($L107-INT($L107/1000)*1000))*INDEX(HSI!$G$7:$G$106,($L107-INT($L107/1000)*1000))/HSI!$B$3,"")))</f>
        <v/>
      </c>
      <c r="I107" s="46">
        <f>IF($L107="","",INDEX(HSI!$U$7:$U$106,($L107-INT($L107/1000)*1000)))</f>
        <v/>
      </c>
      <c r="K107" s="39">
        <f>IF(HSI!$C$38="","",IFERROR(MATCH(HSI!$E$38,Fundamentals!$B$216:$B$226,0),99)*1000+32)</f>
        <v/>
      </c>
      <c r="L107" s="39">
        <f>IFERROR(SMALL($K$76:$K$175,32),"")</f>
        <v/>
      </c>
    </row>
    <row r="108">
      <c r="B108" s="22">
        <f>IF($L108="","",INDEX(HSI!$E$7:$E$106,($L108-INT($L108/1000)*1000)))</f>
        <v/>
      </c>
      <c r="C108" s="22">
        <f>IF($L108="","",INDEX(HSI!$D$7:$D$106,($L108-INT($L108/1000)*1000)))</f>
        <v/>
      </c>
      <c r="D108" s="22">
        <f>IF($L108="","",INDEX(HSI!$C$7:$C$106,($L108-INT($L108/1000)*1000)))</f>
        <v/>
      </c>
      <c r="E108" s="69">
        <f>IF($L108="","",INDEX(HSI!$K$7:$K$106,($L108-INT($L108/1000)*1000)))</f>
        <v/>
      </c>
      <c r="F108" s="43">
        <f>IF($L108="","",IF(COUNTIFS(OVR_TICKERS,$D108,OVR_BASE,"&gt;=0")=0,"",SUMIFS(OVR_BASE,OVR_TICKERS,$D108)))</f>
        <v/>
      </c>
      <c r="G108" s="69">
        <f>IF($L108="","",INDEX(HSI!$L$7:$L$106,($L108-INT($L108/1000)*1000)))</f>
        <v/>
      </c>
      <c r="H108" s="95">
        <f>IF($L108="","",IF($F108="","",IFERROR(($F108-$E108)*INDEX(HSI!$B$7:$B$106,($L108-INT($L108/1000)*1000))*INDEX(HSI!$G$7:$G$106,($L108-INT($L108/1000)*1000))/HSI!$B$3,"")))</f>
        <v/>
      </c>
      <c r="I108" s="46">
        <f>IF($L108="","",INDEX(HSI!$U$7:$U$106,($L108-INT($L108/1000)*1000)))</f>
        <v/>
      </c>
      <c r="K108" s="39">
        <f>IF(HSI!$C$39="","",IFERROR(MATCH(HSI!$E$39,Fundamentals!$B$216:$B$226,0),99)*1000+33)</f>
        <v/>
      </c>
      <c r="L108" s="39">
        <f>IFERROR(SMALL($K$76:$K$175,33),"")</f>
        <v/>
      </c>
    </row>
    <row r="109">
      <c r="B109" s="22">
        <f>IF($L109="","",INDEX(HSI!$E$7:$E$106,($L109-INT($L109/1000)*1000)))</f>
        <v/>
      </c>
      <c r="C109" s="22">
        <f>IF($L109="","",INDEX(HSI!$D$7:$D$106,($L109-INT($L109/1000)*1000)))</f>
        <v/>
      </c>
      <c r="D109" s="22">
        <f>IF($L109="","",INDEX(HSI!$C$7:$C$106,($L109-INT($L109/1000)*1000)))</f>
        <v/>
      </c>
      <c r="E109" s="69">
        <f>IF($L109="","",INDEX(HSI!$K$7:$K$106,($L109-INT($L109/1000)*1000)))</f>
        <v/>
      </c>
      <c r="F109" s="43">
        <f>IF($L109="","",IF(COUNTIFS(OVR_TICKERS,$D109,OVR_BASE,"&gt;=0")=0,"",SUMIFS(OVR_BASE,OVR_TICKERS,$D109)))</f>
        <v/>
      </c>
      <c r="G109" s="69">
        <f>IF($L109="","",INDEX(HSI!$L$7:$L$106,($L109-INT($L109/1000)*1000)))</f>
        <v/>
      </c>
      <c r="H109" s="95">
        <f>IF($L109="","",IF($F109="","",IFERROR(($F109-$E109)*INDEX(HSI!$B$7:$B$106,($L109-INT($L109/1000)*1000))*INDEX(HSI!$G$7:$G$106,($L109-INT($L109/1000)*1000))/HSI!$B$3,"")))</f>
        <v/>
      </c>
      <c r="I109" s="46">
        <f>IF($L109="","",INDEX(HSI!$U$7:$U$106,($L109-INT($L109/1000)*1000)))</f>
        <v/>
      </c>
      <c r="K109" s="39">
        <f>IF(HSI!$C$40="","",IFERROR(MATCH(HSI!$E$40,Fundamentals!$B$216:$B$226,0),99)*1000+34)</f>
        <v/>
      </c>
      <c r="L109" s="39">
        <f>IFERROR(SMALL($K$76:$K$175,34),"")</f>
        <v/>
      </c>
    </row>
    <row r="110">
      <c r="B110" s="22">
        <f>IF($L110="","",INDEX(HSI!$E$7:$E$106,($L110-INT($L110/1000)*1000)))</f>
        <v/>
      </c>
      <c r="C110" s="22">
        <f>IF($L110="","",INDEX(HSI!$D$7:$D$106,($L110-INT($L110/1000)*1000)))</f>
        <v/>
      </c>
      <c r="D110" s="22">
        <f>IF($L110="","",INDEX(HSI!$C$7:$C$106,($L110-INT($L110/1000)*1000)))</f>
        <v/>
      </c>
      <c r="E110" s="69">
        <f>IF($L110="","",INDEX(HSI!$K$7:$K$106,($L110-INT($L110/1000)*1000)))</f>
        <v/>
      </c>
      <c r="F110" s="43">
        <f>IF($L110="","",IF(COUNTIFS(OVR_TICKERS,$D110,OVR_BASE,"&gt;=0")=0,"",SUMIFS(OVR_BASE,OVR_TICKERS,$D110)))</f>
        <v/>
      </c>
      <c r="G110" s="69">
        <f>IF($L110="","",INDEX(HSI!$L$7:$L$106,($L110-INT($L110/1000)*1000)))</f>
        <v/>
      </c>
      <c r="H110" s="95">
        <f>IF($L110="","",IF($F110="","",IFERROR(($F110-$E110)*INDEX(HSI!$B$7:$B$106,($L110-INT($L110/1000)*1000))*INDEX(HSI!$G$7:$G$106,($L110-INT($L110/1000)*1000))/HSI!$B$3,"")))</f>
        <v/>
      </c>
      <c r="I110" s="46">
        <f>IF($L110="","",INDEX(HSI!$U$7:$U$106,($L110-INT($L110/1000)*1000)))</f>
        <v/>
      </c>
      <c r="K110" s="39">
        <f>IF(HSI!$C$41="","",IFERROR(MATCH(HSI!$E$41,Fundamentals!$B$216:$B$226,0),99)*1000+35)</f>
        <v/>
      </c>
      <c r="L110" s="39">
        <f>IFERROR(SMALL($K$76:$K$175,35),"")</f>
        <v/>
      </c>
    </row>
    <row r="111">
      <c r="B111" s="22">
        <f>IF($L111="","",INDEX(HSI!$E$7:$E$106,($L111-INT($L111/1000)*1000)))</f>
        <v/>
      </c>
      <c r="C111" s="22">
        <f>IF($L111="","",INDEX(HSI!$D$7:$D$106,($L111-INT($L111/1000)*1000)))</f>
        <v/>
      </c>
      <c r="D111" s="22">
        <f>IF($L111="","",INDEX(HSI!$C$7:$C$106,($L111-INT($L111/1000)*1000)))</f>
        <v/>
      </c>
      <c r="E111" s="69">
        <f>IF($L111="","",INDEX(HSI!$K$7:$K$106,($L111-INT($L111/1000)*1000)))</f>
        <v/>
      </c>
      <c r="F111" s="43">
        <f>IF($L111="","",IF(COUNTIFS(OVR_TICKERS,$D111,OVR_BASE,"&gt;=0")=0,"",SUMIFS(OVR_BASE,OVR_TICKERS,$D111)))</f>
        <v/>
      </c>
      <c r="G111" s="69">
        <f>IF($L111="","",INDEX(HSI!$L$7:$L$106,($L111-INT($L111/1000)*1000)))</f>
        <v/>
      </c>
      <c r="H111" s="95">
        <f>IF($L111="","",IF($F111="","",IFERROR(($F111-$E111)*INDEX(HSI!$B$7:$B$106,($L111-INT($L111/1000)*1000))*INDEX(HSI!$G$7:$G$106,($L111-INT($L111/1000)*1000))/HSI!$B$3,"")))</f>
        <v/>
      </c>
      <c r="I111" s="46">
        <f>IF($L111="","",INDEX(HSI!$U$7:$U$106,($L111-INT($L111/1000)*1000)))</f>
        <v/>
      </c>
      <c r="K111" s="39">
        <f>IF(HSI!$C$42="","",IFERROR(MATCH(HSI!$E$42,Fundamentals!$B$216:$B$226,0),99)*1000+36)</f>
        <v/>
      </c>
      <c r="L111" s="39">
        <f>IFERROR(SMALL($K$76:$K$175,36),"")</f>
        <v/>
      </c>
    </row>
    <row r="112">
      <c r="B112" s="22">
        <f>IF($L112="","",INDEX(HSI!$E$7:$E$106,($L112-INT($L112/1000)*1000)))</f>
        <v/>
      </c>
      <c r="C112" s="22">
        <f>IF($L112="","",INDEX(HSI!$D$7:$D$106,($L112-INT($L112/1000)*1000)))</f>
        <v/>
      </c>
      <c r="D112" s="22">
        <f>IF($L112="","",INDEX(HSI!$C$7:$C$106,($L112-INT($L112/1000)*1000)))</f>
        <v/>
      </c>
      <c r="E112" s="69">
        <f>IF($L112="","",INDEX(HSI!$K$7:$K$106,($L112-INT($L112/1000)*1000)))</f>
        <v/>
      </c>
      <c r="F112" s="43">
        <f>IF($L112="","",IF(COUNTIFS(OVR_TICKERS,$D112,OVR_BASE,"&gt;=0")=0,"",SUMIFS(OVR_BASE,OVR_TICKERS,$D112)))</f>
        <v/>
      </c>
      <c r="G112" s="69">
        <f>IF($L112="","",INDEX(HSI!$L$7:$L$106,($L112-INT($L112/1000)*1000)))</f>
        <v/>
      </c>
      <c r="H112" s="95">
        <f>IF($L112="","",IF($F112="","",IFERROR(($F112-$E112)*INDEX(HSI!$B$7:$B$106,($L112-INT($L112/1000)*1000))*INDEX(HSI!$G$7:$G$106,($L112-INT($L112/1000)*1000))/HSI!$B$3,"")))</f>
        <v/>
      </c>
      <c r="I112" s="46">
        <f>IF($L112="","",INDEX(HSI!$U$7:$U$106,($L112-INT($L112/1000)*1000)))</f>
        <v/>
      </c>
      <c r="K112" s="39">
        <f>IF(HSI!$C$43="","",IFERROR(MATCH(HSI!$E$43,Fundamentals!$B$216:$B$226,0),99)*1000+37)</f>
        <v/>
      </c>
      <c r="L112" s="39">
        <f>IFERROR(SMALL($K$76:$K$175,37),"")</f>
        <v/>
      </c>
    </row>
    <row r="113">
      <c r="B113" s="22">
        <f>IF($L113="","",INDEX(HSI!$E$7:$E$106,($L113-INT($L113/1000)*1000)))</f>
        <v/>
      </c>
      <c r="C113" s="22">
        <f>IF($L113="","",INDEX(HSI!$D$7:$D$106,($L113-INT($L113/1000)*1000)))</f>
        <v/>
      </c>
      <c r="D113" s="22">
        <f>IF($L113="","",INDEX(HSI!$C$7:$C$106,($L113-INT($L113/1000)*1000)))</f>
        <v/>
      </c>
      <c r="E113" s="69">
        <f>IF($L113="","",INDEX(HSI!$K$7:$K$106,($L113-INT($L113/1000)*1000)))</f>
        <v/>
      </c>
      <c r="F113" s="43">
        <f>IF($L113="","",IF(COUNTIFS(OVR_TICKERS,$D113,OVR_BASE,"&gt;=0")=0,"",SUMIFS(OVR_BASE,OVR_TICKERS,$D113)))</f>
        <v/>
      </c>
      <c r="G113" s="69">
        <f>IF($L113="","",INDEX(HSI!$L$7:$L$106,($L113-INT($L113/1000)*1000)))</f>
        <v/>
      </c>
      <c r="H113" s="95">
        <f>IF($L113="","",IF($F113="","",IFERROR(($F113-$E113)*INDEX(HSI!$B$7:$B$106,($L113-INT($L113/1000)*1000))*INDEX(HSI!$G$7:$G$106,($L113-INT($L113/1000)*1000))/HSI!$B$3,"")))</f>
        <v/>
      </c>
      <c r="I113" s="46">
        <f>IF($L113="","",INDEX(HSI!$U$7:$U$106,($L113-INT($L113/1000)*1000)))</f>
        <v/>
      </c>
      <c r="K113" s="39">
        <f>IF(HSI!$C$44="","",IFERROR(MATCH(HSI!$E$44,Fundamentals!$B$216:$B$226,0),99)*1000+38)</f>
        <v/>
      </c>
      <c r="L113" s="39">
        <f>IFERROR(SMALL($K$76:$K$175,38),"")</f>
        <v/>
      </c>
    </row>
    <row r="114">
      <c r="B114" s="22">
        <f>IF($L114="","",INDEX(HSI!$E$7:$E$106,($L114-INT($L114/1000)*1000)))</f>
        <v/>
      </c>
      <c r="C114" s="22">
        <f>IF($L114="","",INDEX(HSI!$D$7:$D$106,($L114-INT($L114/1000)*1000)))</f>
        <v/>
      </c>
      <c r="D114" s="22">
        <f>IF($L114="","",INDEX(HSI!$C$7:$C$106,($L114-INT($L114/1000)*1000)))</f>
        <v/>
      </c>
      <c r="E114" s="69">
        <f>IF($L114="","",INDEX(HSI!$K$7:$K$106,($L114-INT($L114/1000)*1000)))</f>
        <v/>
      </c>
      <c r="F114" s="43">
        <f>IF($L114="","",IF(COUNTIFS(OVR_TICKERS,$D114,OVR_BASE,"&gt;=0")=0,"",SUMIFS(OVR_BASE,OVR_TICKERS,$D114)))</f>
        <v/>
      </c>
      <c r="G114" s="69">
        <f>IF($L114="","",INDEX(HSI!$L$7:$L$106,($L114-INT($L114/1000)*1000)))</f>
        <v/>
      </c>
      <c r="H114" s="95">
        <f>IF($L114="","",IF($F114="","",IFERROR(($F114-$E114)*INDEX(HSI!$B$7:$B$106,($L114-INT($L114/1000)*1000))*INDEX(HSI!$G$7:$G$106,($L114-INT($L114/1000)*1000))/HSI!$B$3,"")))</f>
        <v/>
      </c>
      <c r="I114" s="46">
        <f>IF($L114="","",INDEX(HSI!$U$7:$U$106,($L114-INT($L114/1000)*1000)))</f>
        <v/>
      </c>
      <c r="K114" s="39">
        <f>IF(HSI!$C$45="","",IFERROR(MATCH(HSI!$E$45,Fundamentals!$B$216:$B$226,0),99)*1000+39)</f>
        <v/>
      </c>
      <c r="L114" s="39">
        <f>IFERROR(SMALL($K$76:$K$175,39),"")</f>
        <v/>
      </c>
    </row>
    <row r="115">
      <c r="B115" s="22">
        <f>IF($L115="","",INDEX(HSI!$E$7:$E$106,($L115-INT($L115/1000)*1000)))</f>
        <v/>
      </c>
      <c r="C115" s="22">
        <f>IF($L115="","",INDEX(HSI!$D$7:$D$106,($L115-INT($L115/1000)*1000)))</f>
        <v/>
      </c>
      <c r="D115" s="22">
        <f>IF($L115="","",INDEX(HSI!$C$7:$C$106,($L115-INT($L115/1000)*1000)))</f>
        <v/>
      </c>
      <c r="E115" s="69">
        <f>IF($L115="","",INDEX(HSI!$K$7:$K$106,($L115-INT($L115/1000)*1000)))</f>
        <v/>
      </c>
      <c r="F115" s="43">
        <f>IF($L115="","",IF(COUNTIFS(OVR_TICKERS,$D115,OVR_BASE,"&gt;=0")=0,"",SUMIFS(OVR_BASE,OVR_TICKERS,$D115)))</f>
        <v/>
      </c>
      <c r="G115" s="69">
        <f>IF($L115="","",INDEX(HSI!$L$7:$L$106,($L115-INT($L115/1000)*1000)))</f>
        <v/>
      </c>
      <c r="H115" s="95">
        <f>IF($L115="","",IF($F115="","",IFERROR(($F115-$E115)*INDEX(HSI!$B$7:$B$106,($L115-INT($L115/1000)*1000))*INDEX(HSI!$G$7:$G$106,($L115-INT($L115/1000)*1000))/HSI!$B$3,"")))</f>
        <v/>
      </c>
      <c r="I115" s="46">
        <f>IF($L115="","",INDEX(HSI!$U$7:$U$106,($L115-INT($L115/1000)*1000)))</f>
        <v/>
      </c>
      <c r="K115" s="39">
        <f>IF(HSI!$C$46="","",IFERROR(MATCH(HSI!$E$46,Fundamentals!$B$216:$B$226,0),99)*1000+40)</f>
        <v/>
      </c>
      <c r="L115" s="39">
        <f>IFERROR(SMALL($K$76:$K$175,40),"")</f>
        <v/>
      </c>
    </row>
    <row r="116">
      <c r="B116" s="22">
        <f>IF($L116="","",INDEX(HSI!$E$7:$E$106,($L116-INT($L116/1000)*1000)))</f>
        <v/>
      </c>
      <c r="C116" s="22">
        <f>IF($L116="","",INDEX(HSI!$D$7:$D$106,($L116-INT($L116/1000)*1000)))</f>
        <v/>
      </c>
      <c r="D116" s="22">
        <f>IF($L116="","",INDEX(HSI!$C$7:$C$106,($L116-INT($L116/1000)*1000)))</f>
        <v/>
      </c>
      <c r="E116" s="69">
        <f>IF($L116="","",INDEX(HSI!$K$7:$K$106,($L116-INT($L116/1000)*1000)))</f>
        <v/>
      </c>
      <c r="F116" s="43">
        <f>IF($L116="","",IF(COUNTIFS(OVR_TICKERS,$D116,OVR_BASE,"&gt;=0")=0,"",SUMIFS(OVR_BASE,OVR_TICKERS,$D116)))</f>
        <v/>
      </c>
      <c r="G116" s="69">
        <f>IF($L116="","",INDEX(HSI!$L$7:$L$106,($L116-INT($L116/1000)*1000)))</f>
        <v/>
      </c>
      <c r="H116" s="95">
        <f>IF($L116="","",IF($F116="","",IFERROR(($F116-$E116)*INDEX(HSI!$B$7:$B$106,($L116-INT($L116/1000)*1000))*INDEX(HSI!$G$7:$G$106,($L116-INT($L116/1000)*1000))/HSI!$B$3,"")))</f>
        <v/>
      </c>
      <c r="I116" s="46">
        <f>IF($L116="","",INDEX(HSI!$U$7:$U$106,($L116-INT($L116/1000)*1000)))</f>
        <v/>
      </c>
      <c r="K116" s="39">
        <f>IF(HSI!$C$47="","",IFERROR(MATCH(HSI!$E$47,Fundamentals!$B$216:$B$226,0),99)*1000+41)</f>
        <v/>
      </c>
      <c r="L116" s="39">
        <f>IFERROR(SMALL($K$76:$K$175,41),"")</f>
        <v/>
      </c>
    </row>
    <row r="117">
      <c r="B117" s="22">
        <f>IF($L117="","",INDEX(HSI!$E$7:$E$106,($L117-INT($L117/1000)*1000)))</f>
        <v/>
      </c>
      <c r="C117" s="22">
        <f>IF($L117="","",INDEX(HSI!$D$7:$D$106,($L117-INT($L117/1000)*1000)))</f>
        <v/>
      </c>
      <c r="D117" s="22">
        <f>IF($L117="","",INDEX(HSI!$C$7:$C$106,($L117-INT($L117/1000)*1000)))</f>
        <v/>
      </c>
      <c r="E117" s="69">
        <f>IF($L117="","",INDEX(HSI!$K$7:$K$106,($L117-INT($L117/1000)*1000)))</f>
        <v/>
      </c>
      <c r="F117" s="43">
        <f>IF($L117="","",IF(COUNTIFS(OVR_TICKERS,$D117,OVR_BASE,"&gt;=0")=0,"",SUMIFS(OVR_BASE,OVR_TICKERS,$D117)))</f>
        <v/>
      </c>
      <c r="G117" s="69">
        <f>IF($L117="","",INDEX(HSI!$L$7:$L$106,($L117-INT($L117/1000)*1000)))</f>
        <v/>
      </c>
      <c r="H117" s="95">
        <f>IF($L117="","",IF($F117="","",IFERROR(($F117-$E117)*INDEX(HSI!$B$7:$B$106,($L117-INT($L117/1000)*1000))*INDEX(HSI!$G$7:$G$106,($L117-INT($L117/1000)*1000))/HSI!$B$3,"")))</f>
        <v/>
      </c>
      <c r="I117" s="46">
        <f>IF($L117="","",INDEX(HSI!$U$7:$U$106,($L117-INT($L117/1000)*1000)))</f>
        <v/>
      </c>
      <c r="K117" s="39">
        <f>IF(HSI!$C$48="","",IFERROR(MATCH(HSI!$E$48,Fundamentals!$B$216:$B$226,0),99)*1000+42)</f>
        <v/>
      </c>
      <c r="L117" s="39">
        <f>IFERROR(SMALL($K$76:$K$175,42),"")</f>
        <v/>
      </c>
    </row>
    <row r="118">
      <c r="B118" s="22">
        <f>IF($L118="","",INDEX(HSI!$E$7:$E$106,($L118-INT($L118/1000)*1000)))</f>
        <v/>
      </c>
      <c r="C118" s="22">
        <f>IF($L118="","",INDEX(HSI!$D$7:$D$106,($L118-INT($L118/1000)*1000)))</f>
        <v/>
      </c>
      <c r="D118" s="22">
        <f>IF($L118="","",INDEX(HSI!$C$7:$C$106,($L118-INT($L118/1000)*1000)))</f>
        <v/>
      </c>
      <c r="E118" s="69">
        <f>IF($L118="","",INDEX(HSI!$K$7:$K$106,($L118-INT($L118/1000)*1000)))</f>
        <v/>
      </c>
      <c r="F118" s="43">
        <f>IF($L118="","",IF(COUNTIFS(OVR_TICKERS,$D118,OVR_BASE,"&gt;=0")=0,"",SUMIFS(OVR_BASE,OVR_TICKERS,$D118)))</f>
        <v/>
      </c>
      <c r="G118" s="69">
        <f>IF($L118="","",INDEX(HSI!$L$7:$L$106,($L118-INT($L118/1000)*1000)))</f>
        <v/>
      </c>
      <c r="H118" s="95">
        <f>IF($L118="","",IF($F118="","",IFERROR(($F118-$E118)*INDEX(HSI!$B$7:$B$106,($L118-INT($L118/1000)*1000))*INDEX(HSI!$G$7:$G$106,($L118-INT($L118/1000)*1000))/HSI!$B$3,"")))</f>
        <v/>
      </c>
      <c r="I118" s="46">
        <f>IF($L118="","",INDEX(HSI!$U$7:$U$106,($L118-INT($L118/1000)*1000)))</f>
        <v/>
      </c>
      <c r="K118" s="39">
        <f>IF(HSI!$C$49="","",IFERROR(MATCH(HSI!$E$49,Fundamentals!$B$216:$B$226,0),99)*1000+43)</f>
        <v/>
      </c>
      <c r="L118" s="39">
        <f>IFERROR(SMALL($K$76:$K$175,43),"")</f>
        <v/>
      </c>
    </row>
    <row r="119">
      <c r="B119" s="22">
        <f>IF($L119="","",INDEX(HSI!$E$7:$E$106,($L119-INT($L119/1000)*1000)))</f>
        <v/>
      </c>
      <c r="C119" s="22">
        <f>IF($L119="","",INDEX(HSI!$D$7:$D$106,($L119-INT($L119/1000)*1000)))</f>
        <v/>
      </c>
      <c r="D119" s="22">
        <f>IF($L119="","",INDEX(HSI!$C$7:$C$106,($L119-INT($L119/1000)*1000)))</f>
        <v/>
      </c>
      <c r="E119" s="69">
        <f>IF($L119="","",INDEX(HSI!$K$7:$K$106,($L119-INT($L119/1000)*1000)))</f>
        <v/>
      </c>
      <c r="F119" s="43">
        <f>IF($L119="","",IF(COUNTIFS(OVR_TICKERS,$D119,OVR_BASE,"&gt;=0")=0,"",SUMIFS(OVR_BASE,OVR_TICKERS,$D119)))</f>
        <v/>
      </c>
      <c r="G119" s="69">
        <f>IF($L119="","",INDEX(HSI!$L$7:$L$106,($L119-INT($L119/1000)*1000)))</f>
        <v/>
      </c>
      <c r="H119" s="95">
        <f>IF($L119="","",IF($F119="","",IFERROR(($F119-$E119)*INDEX(HSI!$B$7:$B$106,($L119-INT($L119/1000)*1000))*INDEX(HSI!$G$7:$G$106,($L119-INT($L119/1000)*1000))/HSI!$B$3,"")))</f>
        <v/>
      </c>
      <c r="I119" s="46">
        <f>IF($L119="","",INDEX(HSI!$U$7:$U$106,($L119-INT($L119/1000)*1000)))</f>
        <v/>
      </c>
      <c r="K119" s="39">
        <f>IF(HSI!$C$50="","",IFERROR(MATCH(HSI!$E$50,Fundamentals!$B$216:$B$226,0),99)*1000+44)</f>
        <v/>
      </c>
      <c r="L119" s="39">
        <f>IFERROR(SMALL($K$76:$K$175,44),"")</f>
        <v/>
      </c>
    </row>
    <row r="120">
      <c r="B120" s="22">
        <f>IF($L120="","",INDEX(HSI!$E$7:$E$106,($L120-INT($L120/1000)*1000)))</f>
        <v/>
      </c>
      <c r="C120" s="22">
        <f>IF($L120="","",INDEX(HSI!$D$7:$D$106,($L120-INT($L120/1000)*1000)))</f>
        <v/>
      </c>
      <c r="D120" s="22">
        <f>IF($L120="","",INDEX(HSI!$C$7:$C$106,($L120-INT($L120/1000)*1000)))</f>
        <v/>
      </c>
      <c r="E120" s="69">
        <f>IF($L120="","",INDEX(HSI!$K$7:$K$106,($L120-INT($L120/1000)*1000)))</f>
        <v/>
      </c>
      <c r="F120" s="43">
        <f>IF($L120="","",IF(COUNTIFS(OVR_TICKERS,$D120,OVR_BASE,"&gt;=0")=0,"",SUMIFS(OVR_BASE,OVR_TICKERS,$D120)))</f>
        <v/>
      </c>
      <c r="G120" s="69">
        <f>IF($L120="","",INDEX(HSI!$L$7:$L$106,($L120-INT($L120/1000)*1000)))</f>
        <v/>
      </c>
      <c r="H120" s="95">
        <f>IF($L120="","",IF($F120="","",IFERROR(($F120-$E120)*INDEX(HSI!$B$7:$B$106,($L120-INT($L120/1000)*1000))*INDEX(HSI!$G$7:$G$106,($L120-INT($L120/1000)*1000))/HSI!$B$3,"")))</f>
        <v/>
      </c>
      <c r="I120" s="46">
        <f>IF($L120="","",INDEX(HSI!$U$7:$U$106,($L120-INT($L120/1000)*1000)))</f>
        <v/>
      </c>
      <c r="K120" s="39">
        <f>IF(HSI!$C$51="","",IFERROR(MATCH(HSI!$E$51,Fundamentals!$B$216:$B$226,0),99)*1000+45)</f>
        <v/>
      </c>
      <c r="L120" s="39">
        <f>IFERROR(SMALL($K$76:$K$175,45),"")</f>
        <v/>
      </c>
    </row>
    <row r="121">
      <c r="B121" s="22">
        <f>IF($L121="","",INDEX(HSI!$E$7:$E$106,($L121-INT($L121/1000)*1000)))</f>
        <v/>
      </c>
      <c r="C121" s="22">
        <f>IF($L121="","",INDEX(HSI!$D$7:$D$106,($L121-INT($L121/1000)*1000)))</f>
        <v/>
      </c>
      <c r="D121" s="22">
        <f>IF($L121="","",INDEX(HSI!$C$7:$C$106,($L121-INT($L121/1000)*1000)))</f>
        <v/>
      </c>
      <c r="E121" s="69">
        <f>IF($L121="","",INDEX(HSI!$K$7:$K$106,($L121-INT($L121/1000)*1000)))</f>
        <v/>
      </c>
      <c r="F121" s="43">
        <f>IF($L121="","",IF(COUNTIFS(OVR_TICKERS,$D121,OVR_BASE,"&gt;=0")=0,"",SUMIFS(OVR_BASE,OVR_TICKERS,$D121)))</f>
        <v/>
      </c>
      <c r="G121" s="69">
        <f>IF($L121="","",INDEX(HSI!$L$7:$L$106,($L121-INT($L121/1000)*1000)))</f>
        <v/>
      </c>
      <c r="H121" s="95">
        <f>IF($L121="","",IF($F121="","",IFERROR(($F121-$E121)*INDEX(HSI!$B$7:$B$106,($L121-INT($L121/1000)*1000))*INDEX(HSI!$G$7:$G$106,($L121-INT($L121/1000)*1000))/HSI!$B$3,"")))</f>
        <v/>
      </c>
      <c r="I121" s="46">
        <f>IF($L121="","",INDEX(HSI!$U$7:$U$106,($L121-INT($L121/1000)*1000)))</f>
        <v/>
      </c>
      <c r="K121" s="39">
        <f>IF(HSI!$C$52="","",IFERROR(MATCH(HSI!$E$52,Fundamentals!$B$216:$B$226,0),99)*1000+46)</f>
        <v/>
      </c>
      <c r="L121" s="39">
        <f>IFERROR(SMALL($K$76:$K$175,46),"")</f>
        <v/>
      </c>
    </row>
    <row r="122">
      <c r="B122" s="22">
        <f>IF($L122="","",INDEX(HSI!$E$7:$E$106,($L122-INT($L122/1000)*1000)))</f>
        <v/>
      </c>
      <c r="C122" s="22">
        <f>IF($L122="","",INDEX(HSI!$D$7:$D$106,($L122-INT($L122/1000)*1000)))</f>
        <v/>
      </c>
      <c r="D122" s="22">
        <f>IF($L122="","",INDEX(HSI!$C$7:$C$106,($L122-INT($L122/1000)*1000)))</f>
        <v/>
      </c>
      <c r="E122" s="69">
        <f>IF($L122="","",INDEX(HSI!$K$7:$K$106,($L122-INT($L122/1000)*1000)))</f>
        <v/>
      </c>
      <c r="F122" s="43">
        <f>IF($L122="","",IF(COUNTIFS(OVR_TICKERS,$D122,OVR_BASE,"&gt;=0")=0,"",SUMIFS(OVR_BASE,OVR_TICKERS,$D122)))</f>
        <v/>
      </c>
      <c r="G122" s="69">
        <f>IF($L122="","",INDEX(HSI!$L$7:$L$106,($L122-INT($L122/1000)*1000)))</f>
        <v/>
      </c>
      <c r="H122" s="95">
        <f>IF($L122="","",IF($F122="","",IFERROR(($F122-$E122)*INDEX(HSI!$B$7:$B$106,($L122-INT($L122/1000)*1000))*INDEX(HSI!$G$7:$G$106,($L122-INT($L122/1000)*1000))/HSI!$B$3,"")))</f>
        <v/>
      </c>
      <c r="I122" s="46">
        <f>IF($L122="","",INDEX(HSI!$U$7:$U$106,($L122-INT($L122/1000)*1000)))</f>
        <v/>
      </c>
      <c r="K122" s="39">
        <f>IF(HSI!$C$53="","",IFERROR(MATCH(HSI!$E$53,Fundamentals!$B$216:$B$226,0),99)*1000+47)</f>
        <v/>
      </c>
      <c r="L122" s="39">
        <f>IFERROR(SMALL($K$76:$K$175,47),"")</f>
        <v/>
      </c>
    </row>
    <row r="123">
      <c r="B123" s="22">
        <f>IF($L123="","",INDEX(HSI!$E$7:$E$106,($L123-INT($L123/1000)*1000)))</f>
        <v/>
      </c>
      <c r="C123" s="22">
        <f>IF($L123="","",INDEX(HSI!$D$7:$D$106,($L123-INT($L123/1000)*1000)))</f>
        <v/>
      </c>
      <c r="D123" s="22">
        <f>IF($L123="","",INDEX(HSI!$C$7:$C$106,($L123-INT($L123/1000)*1000)))</f>
        <v/>
      </c>
      <c r="E123" s="69">
        <f>IF($L123="","",INDEX(HSI!$K$7:$K$106,($L123-INT($L123/1000)*1000)))</f>
        <v/>
      </c>
      <c r="F123" s="43">
        <f>IF($L123="","",IF(COUNTIFS(OVR_TICKERS,$D123,OVR_BASE,"&gt;=0")=0,"",SUMIFS(OVR_BASE,OVR_TICKERS,$D123)))</f>
        <v/>
      </c>
      <c r="G123" s="69">
        <f>IF($L123="","",INDEX(HSI!$L$7:$L$106,($L123-INT($L123/1000)*1000)))</f>
        <v/>
      </c>
      <c r="H123" s="95">
        <f>IF($L123="","",IF($F123="","",IFERROR(($F123-$E123)*INDEX(HSI!$B$7:$B$106,($L123-INT($L123/1000)*1000))*INDEX(HSI!$G$7:$G$106,($L123-INT($L123/1000)*1000))/HSI!$B$3,"")))</f>
        <v/>
      </c>
      <c r="I123" s="46">
        <f>IF($L123="","",INDEX(HSI!$U$7:$U$106,($L123-INT($L123/1000)*1000)))</f>
        <v/>
      </c>
      <c r="K123" s="39">
        <f>IF(HSI!$C$54="","",IFERROR(MATCH(HSI!$E$54,Fundamentals!$B$216:$B$226,0),99)*1000+48)</f>
        <v/>
      </c>
      <c r="L123" s="39">
        <f>IFERROR(SMALL($K$76:$K$175,48),"")</f>
        <v/>
      </c>
    </row>
    <row r="124">
      <c r="B124" s="22">
        <f>IF($L124="","",INDEX(HSI!$E$7:$E$106,($L124-INT($L124/1000)*1000)))</f>
        <v/>
      </c>
      <c r="C124" s="22">
        <f>IF($L124="","",INDEX(HSI!$D$7:$D$106,($L124-INT($L124/1000)*1000)))</f>
        <v/>
      </c>
      <c r="D124" s="22">
        <f>IF($L124="","",INDEX(HSI!$C$7:$C$106,($L124-INT($L124/1000)*1000)))</f>
        <v/>
      </c>
      <c r="E124" s="69">
        <f>IF($L124="","",INDEX(HSI!$K$7:$K$106,($L124-INT($L124/1000)*1000)))</f>
        <v/>
      </c>
      <c r="F124" s="43">
        <f>IF($L124="","",IF(COUNTIFS(OVR_TICKERS,$D124,OVR_BASE,"&gt;=0")=0,"",SUMIFS(OVR_BASE,OVR_TICKERS,$D124)))</f>
        <v/>
      </c>
      <c r="G124" s="69">
        <f>IF($L124="","",INDEX(HSI!$L$7:$L$106,($L124-INT($L124/1000)*1000)))</f>
        <v/>
      </c>
      <c r="H124" s="95">
        <f>IF($L124="","",IF($F124="","",IFERROR(($F124-$E124)*INDEX(HSI!$B$7:$B$106,($L124-INT($L124/1000)*1000))*INDEX(HSI!$G$7:$G$106,($L124-INT($L124/1000)*1000))/HSI!$B$3,"")))</f>
        <v/>
      </c>
      <c r="I124" s="46">
        <f>IF($L124="","",INDEX(HSI!$U$7:$U$106,($L124-INT($L124/1000)*1000)))</f>
        <v/>
      </c>
      <c r="K124" s="39">
        <f>IF(HSI!$C$55="","",IFERROR(MATCH(HSI!$E$55,Fundamentals!$B$216:$B$226,0),99)*1000+49)</f>
        <v/>
      </c>
      <c r="L124" s="39">
        <f>IFERROR(SMALL($K$76:$K$175,49),"")</f>
        <v/>
      </c>
    </row>
    <row r="125">
      <c r="B125" s="22">
        <f>IF($L125="","",INDEX(HSI!$E$7:$E$106,($L125-INT($L125/1000)*1000)))</f>
        <v/>
      </c>
      <c r="C125" s="22">
        <f>IF($L125="","",INDEX(HSI!$D$7:$D$106,($L125-INT($L125/1000)*1000)))</f>
        <v/>
      </c>
      <c r="D125" s="22">
        <f>IF($L125="","",INDEX(HSI!$C$7:$C$106,($L125-INT($L125/1000)*1000)))</f>
        <v/>
      </c>
      <c r="E125" s="69">
        <f>IF($L125="","",INDEX(HSI!$K$7:$K$106,($L125-INT($L125/1000)*1000)))</f>
        <v/>
      </c>
      <c r="F125" s="43">
        <f>IF($L125="","",IF(COUNTIFS(OVR_TICKERS,$D125,OVR_BASE,"&gt;=0")=0,"",SUMIFS(OVR_BASE,OVR_TICKERS,$D125)))</f>
        <v/>
      </c>
      <c r="G125" s="69">
        <f>IF($L125="","",INDEX(HSI!$L$7:$L$106,($L125-INT($L125/1000)*1000)))</f>
        <v/>
      </c>
      <c r="H125" s="95">
        <f>IF($L125="","",IF($F125="","",IFERROR(($F125-$E125)*INDEX(HSI!$B$7:$B$106,($L125-INT($L125/1000)*1000))*INDEX(HSI!$G$7:$G$106,($L125-INT($L125/1000)*1000))/HSI!$B$3,"")))</f>
        <v/>
      </c>
      <c r="I125" s="46">
        <f>IF($L125="","",INDEX(HSI!$U$7:$U$106,($L125-INT($L125/1000)*1000)))</f>
        <v/>
      </c>
      <c r="K125" s="39">
        <f>IF(HSI!$C$56="","",IFERROR(MATCH(HSI!$E$56,Fundamentals!$B$216:$B$226,0),99)*1000+50)</f>
        <v/>
      </c>
      <c r="L125" s="39">
        <f>IFERROR(SMALL($K$76:$K$175,50),"")</f>
        <v/>
      </c>
    </row>
    <row r="126">
      <c r="B126" s="22">
        <f>IF($L126="","",INDEX(HSI!$E$7:$E$106,($L126-INT($L126/1000)*1000)))</f>
        <v/>
      </c>
      <c r="C126" s="22">
        <f>IF($L126="","",INDEX(HSI!$D$7:$D$106,($L126-INT($L126/1000)*1000)))</f>
        <v/>
      </c>
      <c r="D126" s="22">
        <f>IF($L126="","",INDEX(HSI!$C$7:$C$106,($L126-INT($L126/1000)*1000)))</f>
        <v/>
      </c>
      <c r="E126" s="69">
        <f>IF($L126="","",INDEX(HSI!$K$7:$K$106,($L126-INT($L126/1000)*1000)))</f>
        <v/>
      </c>
      <c r="F126" s="43">
        <f>IF($L126="","",IF(COUNTIFS(OVR_TICKERS,$D126,OVR_BASE,"&gt;=0")=0,"",SUMIFS(OVR_BASE,OVR_TICKERS,$D126)))</f>
        <v/>
      </c>
      <c r="G126" s="69">
        <f>IF($L126="","",INDEX(HSI!$L$7:$L$106,($L126-INT($L126/1000)*1000)))</f>
        <v/>
      </c>
      <c r="H126" s="95">
        <f>IF($L126="","",IF($F126="","",IFERROR(($F126-$E126)*INDEX(HSI!$B$7:$B$106,($L126-INT($L126/1000)*1000))*INDEX(HSI!$G$7:$G$106,($L126-INT($L126/1000)*1000))/HSI!$B$3,"")))</f>
        <v/>
      </c>
      <c r="I126" s="46">
        <f>IF($L126="","",INDEX(HSI!$U$7:$U$106,($L126-INT($L126/1000)*1000)))</f>
        <v/>
      </c>
      <c r="K126" s="39">
        <f>IF(HSI!$C$57="","",IFERROR(MATCH(HSI!$E$57,Fundamentals!$B$216:$B$226,0),99)*1000+51)</f>
        <v/>
      </c>
      <c r="L126" s="39">
        <f>IFERROR(SMALL($K$76:$K$175,51),"")</f>
        <v/>
      </c>
    </row>
    <row r="127">
      <c r="B127" s="22">
        <f>IF($L127="","",INDEX(HSI!$E$7:$E$106,($L127-INT($L127/1000)*1000)))</f>
        <v/>
      </c>
      <c r="C127" s="22">
        <f>IF($L127="","",INDEX(HSI!$D$7:$D$106,($L127-INT($L127/1000)*1000)))</f>
        <v/>
      </c>
      <c r="D127" s="22">
        <f>IF($L127="","",INDEX(HSI!$C$7:$C$106,($L127-INT($L127/1000)*1000)))</f>
        <v/>
      </c>
      <c r="E127" s="69">
        <f>IF($L127="","",INDEX(HSI!$K$7:$K$106,($L127-INT($L127/1000)*1000)))</f>
        <v/>
      </c>
      <c r="F127" s="43">
        <f>IF($L127="","",IF(COUNTIFS(OVR_TICKERS,$D127,OVR_BASE,"&gt;=0")=0,"",SUMIFS(OVR_BASE,OVR_TICKERS,$D127)))</f>
        <v/>
      </c>
      <c r="G127" s="69">
        <f>IF($L127="","",INDEX(HSI!$L$7:$L$106,($L127-INT($L127/1000)*1000)))</f>
        <v/>
      </c>
      <c r="H127" s="95">
        <f>IF($L127="","",IF($F127="","",IFERROR(($F127-$E127)*INDEX(HSI!$B$7:$B$106,($L127-INT($L127/1000)*1000))*INDEX(HSI!$G$7:$G$106,($L127-INT($L127/1000)*1000))/HSI!$B$3,"")))</f>
        <v/>
      </c>
      <c r="I127" s="46">
        <f>IF($L127="","",INDEX(HSI!$U$7:$U$106,($L127-INT($L127/1000)*1000)))</f>
        <v/>
      </c>
      <c r="K127" s="39">
        <f>IF(HSI!$C$58="","",IFERROR(MATCH(HSI!$E$58,Fundamentals!$B$216:$B$226,0),99)*1000+52)</f>
        <v/>
      </c>
      <c r="L127" s="39">
        <f>IFERROR(SMALL($K$76:$K$175,52),"")</f>
        <v/>
      </c>
    </row>
    <row r="128">
      <c r="B128" s="22">
        <f>IF($L128="","",INDEX(HSI!$E$7:$E$106,($L128-INT($L128/1000)*1000)))</f>
        <v/>
      </c>
      <c r="C128" s="22">
        <f>IF($L128="","",INDEX(HSI!$D$7:$D$106,($L128-INT($L128/1000)*1000)))</f>
        <v/>
      </c>
      <c r="D128" s="22">
        <f>IF($L128="","",INDEX(HSI!$C$7:$C$106,($L128-INT($L128/1000)*1000)))</f>
        <v/>
      </c>
      <c r="E128" s="69">
        <f>IF($L128="","",INDEX(HSI!$K$7:$K$106,($L128-INT($L128/1000)*1000)))</f>
        <v/>
      </c>
      <c r="F128" s="43">
        <f>IF($L128="","",IF(COUNTIFS(OVR_TICKERS,$D128,OVR_BASE,"&gt;=0")=0,"",SUMIFS(OVR_BASE,OVR_TICKERS,$D128)))</f>
        <v/>
      </c>
      <c r="G128" s="69">
        <f>IF($L128="","",INDEX(HSI!$L$7:$L$106,($L128-INT($L128/1000)*1000)))</f>
        <v/>
      </c>
      <c r="H128" s="95">
        <f>IF($L128="","",IF($F128="","",IFERROR(($F128-$E128)*INDEX(HSI!$B$7:$B$106,($L128-INT($L128/1000)*1000))*INDEX(HSI!$G$7:$G$106,($L128-INT($L128/1000)*1000))/HSI!$B$3,"")))</f>
        <v/>
      </c>
      <c r="I128" s="46">
        <f>IF($L128="","",INDEX(HSI!$U$7:$U$106,($L128-INT($L128/1000)*1000)))</f>
        <v/>
      </c>
      <c r="K128" s="39">
        <f>IF(HSI!$C$59="","",IFERROR(MATCH(HSI!$E$59,Fundamentals!$B$216:$B$226,0),99)*1000+53)</f>
        <v/>
      </c>
      <c r="L128" s="39">
        <f>IFERROR(SMALL($K$76:$K$175,53),"")</f>
        <v/>
      </c>
    </row>
    <row r="129">
      <c r="B129" s="22">
        <f>IF($L129="","",INDEX(HSI!$E$7:$E$106,($L129-INT($L129/1000)*1000)))</f>
        <v/>
      </c>
      <c r="C129" s="22">
        <f>IF($L129="","",INDEX(HSI!$D$7:$D$106,($L129-INT($L129/1000)*1000)))</f>
        <v/>
      </c>
      <c r="D129" s="22">
        <f>IF($L129="","",INDEX(HSI!$C$7:$C$106,($L129-INT($L129/1000)*1000)))</f>
        <v/>
      </c>
      <c r="E129" s="69">
        <f>IF($L129="","",INDEX(HSI!$K$7:$K$106,($L129-INT($L129/1000)*1000)))</f>
        <v/>
      </c>
      <c r="F129" s="43">
        <f>IF($L129="","",IF(COUNTIFS(OVR_TICKERS,$D129,OVR_BASE,"&gt;=0")=0,"",SUMIFS(OVR_BASE,OVR_TICKERS,$D129)))</f>
        <v/>
      </c>
      <c r="G129" s="69">
        <f>IF($L129="","",INDEX(HSI!$L$7:$L$106,($L129-INT($L129/1000)*1000)))</f>
        <v/>
      </c>
      <c r="H129" s="95">
        <f>IF($L129="","",IF($F129="","",IFERROR(($F129-$E129)*INDEX(HSI!$B$7:$B$106,($L129-INT($L129/1000)*1000))*INDEX(HSI!$G$7:$G$106,($L129-INT($L129/1000)*1000))/HSI!$B$3,"")))</f>
        <v/>
      </c>
      <c r="I129" s="46">
        <f>IF($L129="","",INDEX(HSI!$U$7:$U$106,($L129-INT($L129/1000)*1000)))</f>
        <v/>
      </c>
      <c r="K129" s="39">
        <f>IF(HSI!$C$60="","",IFERROR(MATCH(HSI!$E$60,Fundamentals!$B$216:$B$226,0),99)*1000+54)</f>
        <v/>
      </c>
      <c r="L129" s="39">
        <f>IFERROR(SMALL($K$76:$K$175,54),"")</f>
        <v/>
      </c>
    </row>
    <row r="130">
      <c r="B130" s="22">
        <f>IF($L130="","",INDEX(HSI!$E$7:$E$106,($L130-INT($L130/1000)*1000)))</f>
        <v/>
      </c>
      <c r="C130" s="22">
        <f>IF($L130="","",INDEX(HSI!$D$7:$D$106,($L130-INT($L130/1000)*1000)))</f>
        <v/>
      </c>
      <c r="D130" s="22">
        <f>IF($L130="","",INDEX(HSI!$C$7:$C$106,($L130-INT($L130/1000)*1000)))</f>
        <v/>
      </c>
      <c r="E130" s="69">
        <f>IF($L130="","",INDEX(HSI!$K$7:$K$106,($L130-INT($L130/1000)*1000)))</f>
        <v/>
      </c>
      <c r="F130" s="43">
        <f>IF($L130="","",IF(COUNTIFS(OVR_TICKERS,$D130,OVR_BASE,"&gt;=0")=0,"",SUMIFS(OVR_BASE,OVR_TICKERS,$D130)))</f>
        <v/>
      </c>
      <c r="G130" s="69">
        <f>IF($L130="","",INDEX(HSI!$L$7:$L$106,($L130-INT($L130/1000)*1000)))</f>
        <v/>
      </c>
      <c r="H130" s="95">
        <f>IF($L130="","",IF($F130="","",IFERROR(($F130-$E130)*INDEX(HSI!$B$7:$B$106,($L130-INT($L130/1000)*1000))*INDEX(HSI!$G$7:$G$106,($L130-INT($L130/1000)*1000))/HSI!$B$3,"")))</f>
        <v/>
      </c>
      <c r="I130" s="46">
        <f>IF($L130="","",INDEX(HSI!$U$7:$U$106,($L130-INT($L130/1000)*1000)))</f>
        <v/>
      </c>
      <c r="K130" s="39">
        <f>IF(HSI!$C$61="","",IFERROR(MATCH(HSI!$E$61,Fundamentals!$B$216:$B$226,0),99)*1000+55)</f>
        <v/>
      </c>
      <c r="L130" s="39">
        <f>IFERROR(SMALL($K$76:$K$175,55),"")</f>
        <v/>
      </c>
    </row>
    <row r="131">
      <c r="B131" s="22">
        <f>IF($L131="","",INDEX(HSI!$E$7:$E$106,($L131-INT($L131/1000)*1000)))</f>
        <v/>
      </c>
      <c r="C131" s="22">
        <f>IF($L131="","",INDEX(HSI!$D$7:$D$106,($L131-INT($L131/1000)*1000)))</f>
        <v/>
      </c>
      <c r="D131" s="22">
        <f>IF($L131="","",INDEX(HSI!$C$7:$C$106,($L131-INT($L131/1000)*1000)))</f>
        <v/>
      </c>
      <c r="E131" s="69">
        <f>IF($L131="","",INDEX(HSI!$K$7:$K$106,($L131-INT($L131/1000)*1000)))</f>
        <v/>
      </c>
      <c r="F131" s="43">
        <f>IF($L131="","",IF(COUNTIFS(OVR_TICKERS,$D131,OVR_BASE,"&gt;=0")=0,"",SUMIFS(OVR_BASE,OVR_TICKERS,$D131)))</f>
        <v/>
      </c>
      <c r="G131" s="69">
        <f>IF($L131="","",INDEX(HSI!$L$7:$L$106,($L131-INT($L131/1000)*1000)))</f>
        <v/>
      </c>
      <c r="H131" s="95">
        <f>IF($L131="","",IF($F131="","",IFERROR(($F131-$E131)*INDEX(HSI!$B$7:$B$106,($L131-INT($L131/1000)*1000))*INDEX(HSI!$G$7:$G$106,($L131-INT($L131/1000)*1000))/HSI!$B$3,"")))</f>
        <v/>
      </c>
      <c r="I131" s="46">
        <f>IF($L131="","",INDEX(HSI!$U$7:$U$106,($L131-INT($L131/1000)*1000)))</f>
        <v/>
      </c>
      <c r="K131" s="39">
        <f>IF(HSI!$C$62="","",IFERROR(MATCH(HSI!$E$62,Fundamentals!$B$216:$B$226,0),99)*1000+56)</f>
        <v/>
      </c>
      <c r="L131" s="39">
        <f>IFERROR(SMALL($K$76:$K$175,56),"")</f>
        <v/>
      </c>
    </row>
    <row r="132">
      <c r="B132" s="22">
        <f>IF($L132="","",INDEX(HSI!$E$7:$E$106,($L132-INT($L132/1000)*1000)))</f>
        <v/>
      </c>
      <c r="C132" s="22">
        <f>IF($L132="","",INDEX(HSI!$D$7:$D$106,($L132-INT($L132/1000)*1000)))</f>
        <v/>
      </c>
      <c r="D132" s="22">
        <f>IF($L132="","",INDEX(HSI!$C$7:$C$106,($L132-INT($L132/1000)*1000)))</f>
        <v/>
      </c>
      <c r="E132" s="69">
        <f>IF($L132="","",INDEX(HSI!$K$7:$K$106,($L132-INT($L132/1000)*1000)))</f>
        <v/>
      </c>
      <c r="F132" s="43">
        <f>IF($L132="","",IF(COUNTIFS(OVR_TICKERS,$D132,OVR_BASE,"&gt;=0")=0,"",SUMIFS(OVR_BASE,OVR_TICKERS,$D132)))</f>
        <v/>
      </c>
      <c r="G132" s="69">
        <f>IF($L132="","",INDEX(HSI!$L$7:$L$106,($L132-INT($L132/1000)*1000)))</f>
        <v/>
      </c>
      <c r="H132" s="95">
        <f>IF($L132="","",IF($F132="","",IFERROR(($F132-$E132)*INDEX(HSI!$B$7:$B$106,($L132-INT($L132/1000)*1000))*INDEX(HSI!$G$7:$G$106,($L132-INT($L132/1000)*1000))/HSI!$B$3,"")))</f>
        <v/>
      </c>
      <c r="I132" s="46">
        <f>IF($L132="","",INDEX(HSI!$U$7:$U$106,($L132-INT($L132/1000)*1000)))</f>
        <v/>
      </c>
      <c r="K132" s="39">
        <f>IF(HSI!$C$63="","",IFERROR(MATCH(HSI!$E$63,Fundamentals!$B$216:$B$226,0),99)*1000+57)</f>
        <v/>
      </c>
      <c r="L132" s="39">
        <f>IFERROR(SMALL($K$76:$K$175,57),"")</f>
        <v/>
      </c>
    </row>
    <row r="133">
      <c r="B133" s="22">
        <f>IF($L133="","",INDEX(HSI!$E$7:$E$106,($L133-INT($L133/1000)*1000)))</f>
        <v/>
      </c>
      <c r="C133" s="22">
        <f>IF($L133="","",INDEX(HSI!$D$7:$D$106,($L133-INT($L133/1000)*1000)))</f>
        <v/>
      </c>
      <c r="D133" s="22">
        <f>IF($L133="","",INDEX(HSI!$C$7:$C$106,($L133-INT($L133/1000)*1000)))</f>
        <v/>
      </c>
      <c r="E133" s="69">
        <f>IF($L133="","",INDEX(HSI!$K$7:$K$106,($L133-INT($L133/1000)*1000)))</f>
        <v/>
      </c>
      <c r="F133" s="43">
        <f>IF($L133="","",IF(COUNTIFS(OVR_TICKERS,$D133,OVR_BASE,"&gt;=0")=0,"",SUMIFS(OVR_BASE,OVR_TICKERS,$D133)))</f>
        <v/>
      </c>
      <c r="G133" s="69">
        <f>IF($L133="","",INDEX(HSI!$L$7:$L$106,($L133-INT($L133/1000)*1000)))</f>
        <v/>
      </c>
      <c r="H133" s="95">
        <f>IF($L133="","",IF($F133="","",IFERROR(($F133-$E133)*INDEX(HSI!$B$7:$B$106,($L133-INT($L133/1000)*1000))*INDEX(HSI!$G$7:$G$106,($L133-INT($L133/1000)*1000))/HSI!$B$3,"")))</f>
        <v/>
      </c>
      <c r="I133" s="46">
        <f>IF($L133="","",INDEX(HSI!$U$7:$U$106,($L133-INT($L133/1000)*1000)))</f>
        <v/>
      </c>
      <c r="K133" s="39">
        <f>IF(HSI!$C$64="","",IFERROR(MATCH(HSI!$E$64,Fundamentals!$B$216:$B$226,0),99)*1000+58)</f>
        <v/>
      </c>
      <c r="L133" s="39">
        <f>IFERROR(SMALL($K$76:$K$175,58),"")</f>
        <v/>
      </c>
    </row>
    <row r="134">
      <c r="B134" s="22">
        <f>IF($L134="","",INDEX(HSI!$E$7:$E$106,($L134-INT($L134/1000)*1000)))</f>
        <v/>
      </c>
      <c r="C134" s="22">
        <f>IF($L134="","",INDEX(HSI!$D$7:$D$106,($L134-INT($L134/1000)*1000)))</f>
        <v/>
      </c>
      <c r="D134" s="22">
        <f>IF($L134="","",INDEX(HSI!$C$7:$C$106,($L134-INT($L134/1000)*1000)))</f>
        <v/>
      </c>
      <c r="E134" s="69">
        <f>IF($L134="","",INDEX(HSI!$K$7:$K$106,($L134-INT($L134/1000)*1000)))</f>
        <v/>
      </c>
      <c r="F134" s="43">
        <f>IF($L134="","",IF(COUNTIFS(OVR_TICKERS,$D134,OVR_BASE,"&gt;=0")=0,"",SUMIFS(OVR_BASE,OVR_TICKERS,$D134)))</f>
        <v/>
      </c>
      <c r="G134" s="69">
        <f>IF($L134="","",INDEX(HSI!$L$7:$L$106,($L134-INT($L134/1000)*1000)))</f>
        <v/>
      </c>
      <c r="H134" s="95">
        <f>IF($L134="","",IF($F134="","",IFERROR(($F134-$E134)*INDEX(HSI!$B$7:$B$106,($L134-INT($L134/1000)*1000))*INDEX(HSI!$G$7:$G$106,($L134-INT($L134/1000)*1000))/HSI!$B$3,"")))</f>
        <v/>
      </c>
      <c r="I134" s="46">
        <f>IF($L134="","",INDEX(HSI!$U$7:$U$106,($L134-INT($L134/1000)*1000)))</f>
        <v/>
      </c>
      <c r="K134" s="39">
        <f>IF(HSI!$C$65="","",IFERROR(MATCH(HSI!$E$65,Fundamentals!$B$216:$B$226,0),99)*1000+59)</f>
        <v/>
      </c>
      <c r="L134" s="39">
        <f>IFERROR(SMALL($K$76:$K$175,59),"")</f>
        <v/>
      </c>
    </row>
    <row r="135">
      <c r="B135" s="22">
        <f>IF($L135="","",INDEX(HSI!$E$7:$E$106,($L135-INT($L135/1000)*1000)))</f>
        <v/>
      </c>
      <c r="C135" s="22">
        <f>IF($L135="","",INDEX(HSI!$D$7:$D$106,($L135-INT($L135/1000)*1000)))</f>
        <v/>
      </c>
      <c r="D135" s="22">
        <f>IF($L135="","",INDEX(HSI!$C$7:$C$106,($L135-INT($L135/1000)*1000)))</f>
        <v/>
      </c>
      <c r="E135" s="69">
        <f>IF($L135="","",INDEX(HSI!$K$7:$K$106,($L135-INT($L135/1000)*1000)))</f>
        <v/>
      </c>
      <c r="F135" s="43">
        <f>IF($L135="","",IF(COUNTIFS(OVR_TICKERS,$D135,OVR_BASE,"&gt;=0")=0,"",SUMIFS(OVR_BASE,OVR_TICKERS,$D135)))</f>
        <v/>
      </c>
      <c r="G135" s="69">
        <f>IF($L135="","",INDEX(HSI!$L$7:$L$106,($L135-INT($L135/1000)*1000)))</f>
        <v/>
      </c>
      <c r="H135" s="95">
        <f>IF($L135="","",IF($F135="","",IFERROR(($F135-$E135)*INDEX(HSI!$B$7:$B$106,($L135-INT($L135/1000)*1000))*INDEX(HSI!$G$7:$G$106,($L135-INT($L135/1000)*1000))/HSI!$B$3,"")))</f>
        <v/>
      </c>
      <c r="I135" s="46">
        <f>IF($L135="","",INDEX(HSI!$U$7:$U$106,($L135-INT($L135/1000)*1000)))</f>
        <v/>
      </c>
      <c r="K135" s="39">
        <f>IF(HSI!$C$66="","",IFERROR(MATCH(HSI!$E$66,Fundamentals!$B$216:$B$226,0),99)*1000+60)</f>
        <v/>
      </c>
      <c r="L135" s="39">
        <f>IFERROR(SMALL($K$76:$K$175,60),"")</f>
        <v/>
      </c>
    </row>
    <row r="136">
      <c r="B136" s="22">
        <f>IF($L136="","",INDEX(HSI!$E$7:$E$106,($L136-INT($L136/1000)*1000)))</f>
        <v/>
      </c>
      <c r="C136" s="22">
        <f>IF($L136="","",INDEX(HSI!$D$7:$D$106,($L136-INT($L136/1000)*1000)))</f>
        <v/>
      </c>
      <c r="D136" s="22">
        <f>IF($L136="","",INDEX(HSI!$C$7:$C$106,($L136-INT($L136/1000)*1000)))</f>
        <v/>
      </c>
      <c r="E136" s="69">
        <f>IF($L136="","",INDEX(HSI!$K$7:$K$106,($L136-INT($L136/1000)*1000)))</f>
        <v/>
      </c>
      <c r="F136" s="43">
        <f>IF($L136="","",IF(COUNTIFS(OVR_TICKERS,$D136,OVR_BASE,"&gt;=0")=0,"",SUMIFS(OVR_BASE,OVR_TICKERS,$D136)))</f>
        <v/>
      </c>
      <c r="G136" s="69">
        <f>IF($L136="","",INDEX(HSI!$L$7:$L$106,($L136-INT($L136/1000)*1000)))</f>
        <v/>
      </c>
      <c r="H136" s="95">
        <f>IF($L136="","",IF($F136="","",IFERROR(($F136-$E136)*INDEX(HSI!$B$7:$B$106,($L136-INT($L136/1000)*1000))*INDEX(HSI!$G$7:$G$106,($L136-INT($L136/1000)*1000))/HSI!$B$3,"")))</f>
        <v/>
      </c>
      <c r="I136" s="46">
        <f>IF($L136="","",INDEX(HSI!$U$7:$U$106,($L136-INT($L136/1000)*1000)))</f>
        <v/>
      </c>
      <c r="K136" s="39">
        <f>IF(HSI!$C$67="","",IFERROR(MATCH(HSI!$E$67,Fundamentals!$B$216:$B$226,0),99)*1000+61)</f>
        <v/>
      </c>
      <c r="L136" s="39">
        <f>IFERROR(SMALL($K$76:$K$175,61),"")</f>
        <v/>
      </c>
    </row>
    <row r="137">
      <c r="B137" s="22">
        <f>IF($L137="","",INDEX(HSI!$E$7:$E$106,($L137-INT($L137/1000)*1000)))</f>
        <v/>
      </c>
      <c r="C137" s="22">
        <f>IF($L137="","",INDEX(HSI!$D$7:$D$106,($L137-INT($L137/1000)*1000)))</f>
        <v/>
      </c>
      <c r="D137" s="22">
        <f>IF($L137="","",INDEX(HSI!$C$7:$C$106,($L137-INT($L137/1000)*1000)))</f>
        <v/>
      </c>
      <c r="E137" s="69">
        <f>IF($L137="","",INDEX(HSI!$K$7:$K$106,($L137-INT($L137/1000)*1000)))</f>
        <v/>
      </c>
      <c r="F137" s="43">
        <f>IF($L137="","",IF(COUNTIFS(OVR_TICKERS,$D137,OVR_BASE,"&gt;=0")=0,"",SUMIFS(OVR_BASE,OVR_TICKERS,$D137)))</f>
        <v/>
      </c>
      <c r="G137" s="69">
        <f>IF($L137="","",INDEX(HSI!$L$7:$L$106,($L137-INT($L137/1000)*1000)))</f>
        <v/>
      </c>
      <c r="H137" s="95">
        <f>IF($L137="","",IF($F137="","",IFERROR(($F137-$E137)*INDEX(HSI!$B$7:$B$106,($L137-INT($L137/1000)*1000))*INDEX(HSI!$G$7:$G$106,($L137-INT($L137/1000)*1000))/HSI!$B$3,"")))</f>
        <v/>
      </c>
      <c r="I137" s="46">
        <f>IF($L137="","",INDEX(HSI!$U$7:$U$106,($L137-INT($L137/1000)*1000)))</f>
        <v/>
      </c>
      <c r="K137" s="39">
        <f>IF(HSI!$C$68="","",IFERROR(MATCH(HSI!$E$68,Fundamentals!$B$216:$B$226,0),99)*1000+62)</f>
        <v/>
      </c>
      <c r="L137" s="39">
        <f>IFERROR(SMALL($K$76:$K$175,62),"")</f>
        <v/>
      </c>
    </row>
    <row r="138">
      <c r="B138" s="22">
        <f>IF($L138="","",INDEX(HSI!$E$7:$E$106,($L138-INT($L138/1000)*1000)))</f>
        <v/>
      </c>
      <c r="C138" s="22">
        <f>IF($L138="","",INDEX(HSI!$D$7:$D$106,($L138-INT($L138/1000)*1000)))</f>
        <v/>
      </c>
      <c r="D138" s="22">
        <f>IF($L138="","",INDEX(HSI!$C$7:$C$106,($L138-INT($L138/1000)*1000)))</f>
        <v/>
      </c>
      <c r="E138" s="69">
        <f>IF($L138="","",INDEX(HSI!$K$7:$K$106,($L138-INT($L138/1000)*1000)))</f>
        <v/>
      </c>
      <c r="F138" s="43">
        <f>IF($L138="","",IF(COUNTIFS(OVR_TICKERS,$D138,OVR_BASE,"&gt;=0")=0,"",SUMIFS(OVR_BASE,OVR_TICKERS,$D138)))</f>
        <v/>
      </c>
      <c r="G138" s="69">
        <f>IF($L138="","",INDEX(HSI!$L$7:$L$106,($L138-INT($L138/1000)*1000)))</f>
        <v/>
      </c>
      <c r="H138" s="95">
        <f>IF($L138="","",IF($F138="","",IFERROR(($F138-$E138)*INDEX(HSI!$B$7:$B$106,($L138-INT($L138/1000)*1000))*INDEX(HSI!$G$7:$G$106,($L138-INT($L138/1000)*1000))/HSI!$B$3,"")))</f>
        <v/>
      </c>
      <c r="I138" s="46">
        <f>IF($L138="","",INDEX(HSI!$U$7:$U$106,($L138-INT($L138/1000)*1000)))</f>
        <v/>
      </c>
      <c r="K138" s="39">
        <f>IF(HSI!$C$69="","",IFERROR(MATCH(HSI!$E$69,Fundamentals!$B$216:$B$226,0),99)*1000+63)</f>
        <v/>
      </c>
      <c r="L138" s="39">
        <f>IFERROR(SMALL($K$76:$K$175,63),"")</f>
        <v/>
      </c>
    </row>
    <row r="139">
      <c r="B139" s="22">
        <f>IF($L139="","",INDEX(HSI!$E$7:$E$106,($L139-INT($L139/1000)*1000)))</f>
        <v/>
      </c>
      <c r="C139" s="22">
        <f>IF($L139="","",INDEX(HSI!$D$7:$D$106,($L139-INT($L139/1000)*1000)))</f>
        <v/>
      </c>
      <c r="D139" s="22">
        <f>IF($L139="","",INDEX(HSI!$C$7:$C$106,($L139-INT($L139/1000)*1000)))</f>
        <v/>
      </c>
      <c r="E139" s="69">
        <f>IF($L139="","",INDEX(HSI!$K$7:$K$106,($L139-INT($L139/1000)*1000)))</f>
        <v/>
      </c>
      <c r="F139" s="43">
        <f>IF($L139="","",IF(COUNTIFS(OVR_TICKERS,$D139,OVR_BASE,"&gt;=0")=0,"",SUMIFS(OVR_BASE,OVR_TICKERS,$D139)))</f>
        <v/>
      </c>
      <c r="G139" s="69">
        <f>IF($L139="","",INDEX(HSI!$L$7:$L$106,($L139-INT($L139/1000)*1000)))</f>
        <v/>
      </c>
      <c r="H139" s="95">
        <f>IF($L139="","",IF($F139="","",IFERROR(($F139-$E139)*INDEX(HSI!$B$7:$B$106,($L139-INT($L139/1000)*1000))*INDEX(HSI!$G$7:$G$106,($L139-INT($L139/1000)*1000))/HSI!$B$3,"")))</f>
        <v/>
      </c>
      <c r="I139" s="46">
        <f>IF($L139="","",INDEX(HSI!$U$7:$U$106,($L139-INT($L139/1000)*1000)))</f>
        <v/>
      </c>
      <c r="K139" s="39">
        <f>IF(HSI!$C$70="","",IFERROR(MATCH(HSI!$E$70,Fundamentals!$B$216:$B$226,0),99)*1000+64)</f>
        <v/>
      </c>
      <c r="L139" s="39">
        <f>IFERROR(SMALL($K$76:$K$175,64),"")</f>
        <v/>
      </c>
    </row>
    <row r="140">
      <c r="B140" s="22">
        <f>IF($L140="","",INDEX(HSI!$E$7:$E$106,($L140-INT($L140/1000)*1000)))</f>
        <v/>
      </c>
      <c r="C140" s="22">
        <f>IF($L140="","",INDEX(HSI!$D$7:$D$106,($L140-INT($L140/1000)*1000)))</f>
        <v/>
      </c>
      <c r="D140" s="22">
        <f>IF($L140="","",INDEX(HSI!$C$7:$C$106,($L140-INT($L140/1000)*1000)))</f>
        <v/>
      </c>
      <c r="E140" s="69">
        <f>IF($L140="","",INDEX(HSI!$K$7:$K$106,($L140-INT($L140/1000)*1000)))</f>
        <v/>
      </c>
      <c r="F140" s="43">
        <f>IF($L140="","",IF(COUNTIFS(OVR_TICKERS,$D140,OVR_BASE,"&gt;=0")=0,"",SUMIFS(OVR_BASE,OVR_TICKERS,$D140)))</f>
        <v/>
      </c>
      <c r="G140" s="69">
        <f>IF($L140="","",INDEX(HSI!$L$7:$L$106,($L140-INT($L140/1000)*1000)))</f>
        <v/>
      </c>
      <c r="H140" s="95">
        <f>IF($L140="","",IF($F140="","",IFERROR(($F140-$E140)*INDEX(HSI!$B$7:$B$106,($L140-INT($L140/1000)*1000))*INDEX(HSI!$G$7:$G$106,($L140-INT($L140/1000)*1000))/HSI!$B$3,"")))</f>
        <v/>
      </c>
      <c r="I140" s="46">
        <f>IF($L140="","",INDEX(HSI!$U$7:$U$106,($L140-INT($L140/1000)*1000)))</f>
        <v/>
      </c>
      <c r="K140" s="39">
        <f>IF(HSI!$C$71="","",IFERROR(MATCH(HSI!$E$71,Fundamentals!$B$216:$B$226,0),99)*1000+65)</f>
        <v/>
      </c>
      <c r="L140" s="39">
        <f>IFERROR(SMALL($K$76:$K$175,65),"")</f>
        <v/>
      </c>
    </row>
    <row r="141">
      <c r="B141" s="22">
        <f>IF($L141="","",INDEX(HSI!$E$7:$E$106,($L141-INT($L141/1000)*1000)))</f>
        <v/>
      </c>
      <c r="C141" s="22">
        <f>IF($L141="","",INDEX(HSI!$D$7:$D$106,($L141-INT($L141/1000)*1000)))</f>
        <v/>
      </c>
      <c r="D141" s="22">
        <f>IF($L141="","",INDEX(HSI!$C$7:$C$106,($L141-INT($L141/1000)*1000)))</f>
        <v/>
      </c>
      <c r="E141" s="69">
        <f>IF($L141="","",INDEX(HSI!$K$7:$K$106,($L141-INT($L141/1000)*1000)))</f>
        <v/>
      </c>
      <c r="F141" s="43">
        <f>IF($L141="","",IF(COUNTIFS(OVR_TICKERS,$D141,OVR_BASE,"&gt;=0")=0,"",SUMIFS(OVR_BASE,OVR_TICKERS,$D141)))</f>
        <v/>
      </c>
      <c r="G141" s="69">
        <f>IF($L141="","",INDEX(HSI!$L$7:$L$106,($L141-INT($L141/1000)*1000)))</f>
        <v/>
      </c>
      <c r="H141" s="95">
        <f>IF($L141="","",IF($F141="","",IFERROR(($F141-$E141)*INDEX(HSI!$B$7:$B$106,($L141-INT($L141/1000)*1000))*INDEX(HSI!$G$7:$G$106,($L141-INT($L141/1000)*1000))/HSI!$B$3,"")))</f>
        <v/>
      </c>
      <c r="I141" s="46">
        <f>IF($L141="","",INDEX(HSI!$U$7:$U$106,($L141-INT($L141/1000)*1000)))</f>
        <v/>
      </c>
      <c r="K141" s="39">
        <f>IF(HSI!$C$72="","",IFERROR(MATCH(HSI!$E$72,Fundamentals!$B$216:$B$226,0),99)*1000+66)</f>
        <v/>
      </c>
      <c r="L141" s="39">
        <f>IFERROR(SMALL($K$76:$K$175,66),"")</f>
        <v/>
      </c>
    </row>
    <row r="142">
      <c r="B142" s="22">
        <f>IF($L142="","",INDEX(HSI!$E$7:$E$106,($L142-INT($L142/1000)*1000)))</f>
        <v/>
      </c>
      <c r="C142" s="22">
        <f>IF($L142="","",INDEX(HSI!$D$7:$D$106,($L142-INT($L142/1000)*1000)))</f>
        <v/>
      </c>
      <c r="D142" s="22">
        <f>IF($L142="","",INDEX(HSI!$C$7:$C$106,($L142-INT($L142/1000)*1000)))</f>
        <v/>
      </c>
      <c r="E142" s="69">
        <f>IF($L142="","",INDEX(HSI!$K$7:$K$106,($L142-INT($L142/1000)*1000)))</f>
        <v/>
      </c>
      <c r="F142" s="43">
        <f>IF($L142="","",IF(COUNTIFS(OVR_TICKERS,$D142,OVR_BASE,"&gt;=0")=0,"",SUMIFS(OVR_BASE,OVR_TICKERS,$D142)))</f>
        <v/>
      </c>
      <c r="G142" s="69">
        <f>IF($L142="","",INDEX(HSI!$L$7:$L$106,($L142-INT($L142/1000)*1000)))</f>
        <v/>
      </c>
      <c r="H142" s="95">
        <f>IF($L142="","",IF($F142="","",IFERROR(($F142-$E142)*INDEX(HSI!$B$7:$B$106,($L142-INT($L142/1000)*1000))*INDEX(HSI!$G$7:$G$106,($L142-INT($L142/1000)*1000))/HSI!$B$3,"")))</f>
        <v/>
      </c>
      <c r="I142" s="46">
        <f>IF($L142="","",INDEX(HSI!$U$7:$U$106,($L142-INT($L142/1000)*1000)))</f>
        <v/>
      </c>
      <c r="K142" s="39">
        <f>IF(HSI!$C$73="","",IFERROR(MATCH(HSI!$E$73,Fundamentals!$B$216:$B$226,0),99)*1000+67)</f>
        <v/>
      </c>
      <c r="L142" s="39">
        <f>IFERROR(SMALL($K$76:$K$175,67),"")</f>
        <v/>
      </c>
    </row>
    <row r="143">
      <c r="B143" s="22">
        <f>IF($L143="","",INDEX(HSI!$E$7:$E$106,($L143-INT($L143/1000)*1000)))</f>
        <v/>
      </c>
      <c r="C143" s="22">
        <f>IF($L143="","",INDEX(HSI!$D$7:$D$106,($L143-INT($L143/1000)*1000)))</f>
        <v/>
      </c>
      <c r="D143" s="22">
        <f>IF($L143="","",INDEX(HSI!$C$7:$C$106,($L143-INT($L143/1000)*1000)))</f>
        <v/>
      </c>
      <c r="E143" s="69">
        <f>IF($L143="","",INDEX(HSI!$K$7:$K$106,($L143-INT($L143/1000)*1000)))</f>
        <v/>
      </c>
      <c r="F143" s="43">
        <f>IF($L143="","",IF(COUNTIFS(OVR_TICKERS,$D143,OVR_BASE,"&gt;=0")=0,"",SUMIFS(OVR_BASE,OVR_TICKERS,$D143)))</f>
        <v/>
      </c>
      <c r="G143" s="69">
        <f>IF($L143="","",INDEX(HSI!$L$7:$L$106,($L143-INT($L143/1000)*1000)))</f>
        <v/>
      </c>
      <c r="H143" s="95">
        <f>IF($L143="","",IF($F143="","",IFERROR(($F143-$E143)*INDEX(HSI!$B$7:$B$106,($L143-INT($L143/1000)*1000))*INDEX(HSI!$G$7:$G$106,($L143-INT($L143/1000)*1000))/HSI!$B$3,"")))</f>
        <v/>
      </c>
      <c r="I143" s="46">
        <f>IF($L143="","",INDEX(HSI!$U$7:$U$106,($L143-INT($L143/1000)*1000)))</f>
        <v/>
      </c>
      <c r="K143" s="39">
        <f>IF(HSI!$C$74="","",IFERROR(MATCH(HSI!$E$74,Fundamentals!$B$216:$B$226,0),99)*1000+68)</f>
        <v/>
      </c>
      <c r="L143" s="39">
        <f>IFERROR(SMALL($K$76:$K$175,68),"")</f>
        <v/>
      </c>
    </row>
    <row r="144">
      <c r="B144" s="22">
        <f>IF($L144="","",INDEX(HSI!$E$7:$E$106,($L144-INT($L144/1000)*1000)))</f>
        <v/>
      </c>
      <c r="C144" s="22">
        <f>IF($L144="","",INDEX(HSI!$D$7:$D$106,($L144-INT($L144/1000)*1000)))</f>
        <v/>
      </c>
      <c r="D144" s="22">
        <f>IF($L144="","",INDEX(HSI!$C$7:$C$106,($L144-INT($L144/1000)*1000)))</f>
        <v/>
      </c>
      <c r="E144" s="69">
        <f>IF($L144="","",INDEX(HSI!$K$7:$K$106,($L144-INT($L144/1000)*1000)))</f>
        <v/>
      </c>
      <c r="F144" s="43">
        <f>IF($L144="","",IF(COUNTIFS(OVR_TICKERS,$D144,OVR_BASE,"&gt;=0")=0,"",SUMIFS(OVR_BASE,OVR_TICKERS,$D144)))</f>
        <v/>
      </c>
      <c r="G144" s="69">
        <f>IF($L144="","",INDEX(HSI!$L$7:$L$106,($L144-INT($L144/1000)*1000)))</f>
        <v/>
      </c>
      <c r="H144" s="95">
        <f>IF($L144="","",IF($F144="","",IFERROR(($F144-$E144)*INDEX(HSI!$B$7:$B$106,($L144-INT($L144/1000)*1000))*INDEX(HSI!$G$7:$G$106,($L144-INT($L144/1000)*1000))/HSI!$B$3,"")))</f>
        <v/>
      </c>
      <c r="I144" s="46">
        <f>IF($L144="","",INDEX(HSI!$U$7:$U$106,($L144-INT($L144/1000)*1000)))</f>
        <v/>
      </c>
      <c r="K144" s="39">
        <f>IF(HSI!$C$75="","",IFERROR(MATCH(HSI!$E$75,Fundamentals!$B$216:$B$226,0),99)*1000+69)</f>
        <v/>
      </c>
      <c r="L144" s="39">
        <f>IFERROR(SMALL($K$76:$K$175,69),"")</f>
        <v/>
      </c>
    </row>
    <row r="145">
      <c r="B145" s="22">
        <f>IF($L145="","",INDEX(HSI!$E$7:$E$106,($L145-INT($L145/1000)*1000)))</f>
        <v/>
      </c>
      <c r="C145" s="22">
        <f>IF($L145="","",INDEX(HSI!$D$7:$D$106,($L145-INT($L145/1000)*1000)))</f>
        <v/>
      </c>
      <c r="D145" s="22">
        <f>IF($L145="","",INDEX(HSI!$C$7:$C$106,($L145-INT($L145/1000)*1000)))</f>
        <v/>
      </c>
      <c r="E145" s="69">
        <f>IF($L145="","",INDEX(HSI!$K$7:$K$106,($L145-INT($L145/1000)*1000)))</f>
        <v/>
      </c>
      <c r="F145" s="43">
        <f>IF($L145="","",IF(COUNTIFS(OVR_TICKERS,$D145,OVR_BASE,"&gt;=0")=0,"",SUMIFS(OVR_BASE,OVR_TICKERS,$D145)))</f>
        <v/>
      </c>
      <c r="G145" s="69">
        <f>IF($L145="","",INDEX(HSI!$L$7:$L$106,($L145-INT($L145/1000)*1000)))</f>
        <v/>
      </c>
      <c r="H145" s="95">
        <f>IF($L145="","",IF($F145="","",IFERROR(($F145-$E145)*INDEX(HSI!$B$7:$B$106,($L145-INT($L145/1000)*1000))*INDEX(HSI!$G$7:$G$106,($L145-INT($L145/1000)*1000))/HSI!$B$3,"")))</f>
        <v/>
      </c>
      <c r="I145" s="46">
        <f>IF($L145="","",INDEX(HSI!$U$7:$U$106,($L145-INT($L145/1000)*1000)))</f>
        <v/>
      </c>
      <c r="K145" s="39">
        <f>IF(HSI!$C$76="","",IFERROR(MATCH(HSI!$E$76,Fundamentals!$B$216:$B$226,0),99)*1000+70)</f>
        <v/>
      </c>
      <c r="L145" s="39">
        <f>IFERROR(SMALL($K$76:$K$175,70),"")</f>
        <v/>
      </c>
    </row>
    <row r="146">
      <c r="B146" s="22">
        <f>IF($L146="","",INDEX(HSI!$E$7:$E$106,($L146-INT($L146/1000)*1000)))</f>
        <v/>
      </c>
      <c r="C146" s="22">
        <f>IF($L146="","",INDEX(HSI!$D$7:$D$106,($L146-INT($L146/1000)*1000)))</f>
        <v/>
      </c>
      <c r="D146" s="22">
        <f>IF($L146="","",INDEX(HSI!$C$7:$C$106,($L146-INT($L146/1000)*1000)))</f>
        <v/>
      </c>
      <c r="E146" s="69">
        <f>IF($L146="","",INDEX(HSI!$K$7:$K$106,($L146-INT($L146/1000)*1000)))</f>
        <v/>
      </c>
      <c r="F146" s="43">
        <f>IF($L146="","",IF(COUNTIFS(OVR_TICKERS,$D146,OVR_BASE,"&gt;=0")=0,"",SUMIFS(OVR_BASE,OVR_TICKERS,$D146)))</f>
        <v/>
      </c>
      <c r="G146" s="69">
        <f>IF($L146="","",INDEX(HSI!$L$7:$L$106,($L146-INT($L146/1000)*1000)))</f>
        <v/>
      </c>
      <c r="H146" s="95">
        <f>IF($L146="","",IF($F146="","",IFERROR(($F146-$E146)*INDEX(HSI!$B$7:$B$106,($L146-INT($L146/1000)*1000))*INDEX(HSI!$G$7:$G$106,($L146-INT($L146/1000)*1000))/HSI!$B$3,"")))</f>
        <v/>
      </c>
      <c r="I146" s="46">
        <f>IF($L146="","",INDEX(HSI!$U$7:$U$106,($L146-INT($L146/1000)*1000)))</f>
        <v/>
      </c>
      <c r="K146" s="39">
        <f>IF(HSI!$C$77="","",IFERROR(MATCH(HSI!$E$77,Fundamentals!$B$216:$B$226,0),99)*1000+71)</f>
        <v/>
      </c>
      <c r="L146" s="39">
        <f>IFERROR(SMALL($K$76:$K$175,71),"")</f>
        <v/>
      </c>
    </row>
    <row r="147">
      <c r="B147" s="22">
        <f>IF($L147="","",INDEX(HSI!$E$7:$E$106,($L147-INT($L147/1000)*1000)))</f>
        <v/>
      </c>
      <c r="C147" s="22">
        <f>IF($L147="","",INDEX(HSI!$D$7:$D$106,($L147-INT($L147/1000)*1000)))</f>
        <v/>
      </c>
      <c r="D147" s="22">
        <f>IF($L147="","",INDEX(HSI!$C$7:$C$106,($L147-INT($L147/1000)*1000)))</f>
        <v/>
      </c>
      <c r="E147" s="69">
        <f>IF($L147="","",INDEX(HSI!$K$7:$K$106,($L147-INT($L147/1000)*1000)))</f>
        <v/>
      </c>
      <c r="F147" s="43">
        <f>IF($L147="","",IF(COUNTIFS(OVR_TICKERS,$D147,OVR_BASE,"&gt;=0")=0,"",SUMIFS(OVR_BASE,OVR_TICKERS,$D147)))</f>
        <v/>
      </c>
      <c r="G147" s="69">
        <f>IF($L147="","",INDEX(HSI!$L$7:$L$106,($L147-INT($L147/1000)*1000)))</f>
        <v/>
      </c>
      <c r="H147" s="95">
        <f>IF($L147="","",IF($F147="","",IFERROR(($F147-$E147)*INDEX(HSI!$B$7:$B$106,($L147-INT($L147/1000)*1000))*INDEX(HSI!$G$7:$G$106,($L147-INT($L147/1000)*1000))/HSI!$B$3,"")))</f>
        <v/>
      </c>
      <c r="I147" s="46">
        <f>IF($L147="","",INDEX(HSI!$U$7:$U$106,($L147-INT($L147/1000)*1000)))</f>
        <v/>
      </c>
      <c r="K147" s="39">
        <f>IF(HSI!$C$78="","",IFERROR(MATCH(HSI!$E$78,Fundamentals!$B$216:$B$226,0),99)*1000+72)</f>
        <v/>
      </c>
      <c r="L147" s="39">
        <f>IFERROR(SMALL($K$76:$K$175,72),"")</f>
        <v/>
      </c>
    </row>
    <row r="148">
      <c r="B148" s="22">
        <f>IF($L148="","",INDEX(HSI!$E$7:$E$106,($L148-INT($L148/1000)*1000)))</f>
        <v/>
      </c>
      <c r="C148" s="22">
        <f>IF($L148="","",INDEX(HSI!$D$7:$D$106,($L148-INT($L148/1000)*1000)))</f>
        <v/>
      </c>
      <c r="D148" s="22">
        <f>IF($L148="","",INDEX(HSI!$C$7:$C$106,($L148-INT($L148/1000)*1000)))</f>
        <v/>
      </c>
      <c r="E148" s="69">
        <f>IF($L148="","",INDEX(HSI!$K$7:$K$106,($L148-INT($L148/1000)*1000)))</f>
        <v/>
      </c>
      <c r="F148" s="43">
        <f>IF($L148="","",IF(COUNTIFS(OVR_TICKERS,$D148,OVR_BASE,"&gt;=0")=0,"",SUMIFS(OVR_BASE,OVR_TICKERS,$D148)))</f>
        <v/>
      </c>
      <c r="G148" s="69">
        <f>IF($L148="","",INDEX(HSI!$L$7:$L$106,($L148-INT($L148/1000)*1000)))</f>
        <v/>
      </c>
      <c r="H148" s="95">
        <f>IF($L148="","",IF($F148="","",IFERROR(($F148-$E148)*INDEX(HSI!$B$7:$B$106,($L148-INT($L148/1000)*1000))*INDEX(HSI!$G$7:$G$106,($L148-INT($L148/1000)*1000))/HSI!$B$3,"")))</f>
        <v/>
      </c>
      <c r="I148" s="46">
        <f>IF($L148="","",INDEX(HSI!$U$7:$U$106,($L148-INT($L148/1000)*1000)))</f>
        <v/>
      </c>
      <c r="K148" s="39">
        <f>IF(HSI!$C$79="","",IFERROR(MATCH(HSI!$E$79,Fundamentals!$B$216:$B$226,0),99)*1000+73)</f>
        <v/>
      </c>
      <c r="L148" s="39">
        <f>IFERROR(SMALL($K$76:$K$175,73),"")</f>
        <v/>
      </c>
    </row>
    <row r="149">
      <c r="B149" s="22">
        <f>IF($L149="","",INDEX(HSI!$E$7:$E$106,($L149-INT($L149/1000)*1000)))</f>
        <v/>
      </c>
      <c r="C149" s="22">
        <f>IF($L149="","",INDEX(HSI!$D$7:$D$106,($L149-INT($L149/1000)*1000)))</f>
        <v/>
      </c>
      <c r="D149" s="22">
        <f>IF($L149="","",INDEX(HSI!$C$7:$C$106,($L149-INT($L149/1000)*1000)))</f>
        <v/>
      </c>
      <c r="E149" s="69">
        <f>IF($L149="","",INDEX(HSI!$K$7:$K$106,($L149-INT($L149/1000)*1000)))</f>
        <v/>
      </c>
      <c r="F149" s="43">
        <f>IF($L149="","",IF(COUNTIFS(OVR_TICKERS,$D149,OVR_BASE,"&gt;=0")=0,"",SUMIFS(OVR_BASE,OVR_TICKERS,$D149)))</f>
        <v/>
      </c>
      <c r="G149" s="69">
        <f>IF($L149="","",INDEX(HSI!$L$7:$L$106,($L149-INT($L149/1000)*1000)))</f>
        <v/>
      </c>
      <c r="H149" s="95">
        <f>IF($L149="","",IF($F149="","",IFERROR(($F149-$E149)*INDEX(HSI!$B$7:$B$106,($L149-INT($L149/1000)*1000))*INDEX(HSI!$G$7:$G$106,($L149-INT($L149/1000)*1000))/HSI!$B$3,"")))</f>
        <v/>
      </c>
      <c r="I149" s="46">
        <f>IF($L149="","",INDEX(HSI!$U$7:$U$106,($L149-INT($L149/1000)*1000)))</f>
        <v/>
      </c>
      <c r="K149" s="39">
        <f>IF(HSI!$C$80="","",IFERROR(MATCH(HSI!$E$80,Fundamentals!$B$216:$B$226,0),99)*1000+74)</f>
        <v/>
      </c>
      <c r="L149" s="39">
        <f>IFERROR(SMALL($K$76:$K$175,74),"")</f>
        <v/>
      </c>
    </row>
    <row r="150">
      <c r="B150" s="22">
        <f>IF($L150="","",INDEX(HSI!$E$7:$E$106,($L150-INT($L150/1000)*1000)))</f>
        <v/>
      </c>
      <c r="C150" s="22">
        <f>IF($L150="","",INDEX(HSI!$D$7:$D$106,($L150-INT($L150/1000)*1000)))</f>
        <v/>
      </c>
      <c r="D150" s="22">
        <f>IF($L150="","",INDEX(HSI!$C$7:$C$106,($L150-INT($L150/1000)*1000)))</f>
        <v/>
      </c>
      <c r="E150" s="69">
        <f>IF($L150="","",INDEX(HSI!$K$7:$K$106,($L150-INT($L150/1000)*1000)))</f>
        <v/>
      </c>
      <c r="F150" s="43">
        <f>IF($L150="","",IF(COUNTIFS(OVR_TICKERS,$D150,OVR_BASE,"&gt;=0")=0,"",SUMIFS(OVR_BASE,OVR_TICKERS,$D150)))</f>
        <v/>
      </c>
      <c r="G150" s="69">
        <f>IF($L150="","",INDEX(HSI!$L$7:$L$106,($L150-INT($L150/1000)*1000)))</f>
        <v/>
      </c>
      <c r="H150" s="95">
        <f>IF($L150="","",IF($F150="","",IFERROR(($F150-$E150)*INDEX(HSI!$B$7:$B$106,($L150-INT($L150/1000)*1000))*INDEX(HSI!$G$7:$G$106,($L150-INT($L150/1000)*1000))/HSI!$B$3,"")))</f>
        <v/>
      </c>
      <c r="I150" s="46">
        <f>IF($L150="","",INDEX(HSI!$U$7:$U$106,($L150-INT($L150/1000)*1000)))</f>
        <v/>
      </c>
      <c r="K150" s="39">
        <f>IF(HSI!$C$81="","",IFERROR(MATCH(HSI!$E$81,Fundamentals!$B$216:$B$226,0),99)*1000+75)</f>
        <v/>
      </c>
      <c r="L150" s="39">
        <f>IFERROR(SMALL($K$76:$K$175,75),"")</f>
        <v/>
      </c>
    </row>
    <row r="151">
      <c r="B151" s="22">
        <f>IF($L151="","",INDEX(HSI!$E$7:$E$106,($L151-INT($L151/1000)*1000)))</f>
        <v/>
      </c>
      <c r="C151" s="22">
        <f>IF($L151="","",INDEX(HSI!$D$7:$D$106,($L151-INT($L151/1000)*1000)))</f>
        <v/>
      </c>
      <c r="D151" s="22">
        <f>IF($L151="","",INDEX(HSI!$C$7:$C$106,($L151-INT($L151/1000)*1000)))</f>
        <v/>
      </c>
      <c r="E151" s="69">
        <f>IF($L151="","",INDEX(HSI!$K$7:$K$106,($L151-INT($L151/1000)*1000)))</f>
        <v/>
      </c>
      <c r="F151" s="43">
        <f>IF($L151="","",IF(COUNTIFS(OVR_TICKERS,$D151,OVR_BASE,"&gt;=0")=0,"",SUMIFS(OVR_BASE,OVR_TICKERS,$D151)))</f>
        <v/>
      </c>
      <c r="G151" s="69">
        <f>IF($L151="","",INDEX(HSI!$L$7:$L$106,($L151-INT($L151/1000)*1000)))</f>
        <v/>
      </c>
      <c r="H151" s="95">
        <f>IF($L151="","",IF($F151="","",IFERROR(($F151-$E151)*INDEX(HSI!$B$7:$B$106,($L151-INT($L151/1000)*1000))*INDEX(HSI!$G$7:$G$106,($L151-INT($L151/1000)*1000))/HSI!$B$3,"")))</f>
        <v/>
      </c>
      <c r="I151" s="46">
        <f>IF($L151="","",INDEX(HSI!$U$7:$U$106,($L151-INT($L151/1000)*1000)))</f>
        <v/>
      </c>
      <c r="K151" s="39">
        <f>IF(HSI!$C$82="","",IFERROR(MATCH(HSI!$E$82,Fundamentals!$B$216:$B$226,0),99)*1000+76)</f>
        <v/>
      </c>
      <c r="L151" s="39">
        <f>IFERROR(SMALL($K$76:$K$175,76),"")</f>
        <v/>
      </c>
    </row>
    <row r="152">
      <c r="B152" s="22">
        <f>IF($L152="","",INDEX(HSI!$E$7:$E$106,($L152-INT($L152/1000)*1000)))</f>
        <v/>
      </c>
      <c r="C152" s="22">
        <f>IF($L152="","",INDEX(HSI!$D$7:$D$106,($L152-INT($L152/1000)*1000)))</f>
        <v/>
      </c>
      <c r="D152" s="22">
        <f>IF($L152="","",INDEX(HSI!$C$7:$C$106,($L152-INT($L152/1000)*1000)))</f>
        <v/>
      </c>
      <c r="E152" s="69">
        <f>IF($L152="","",INDEX(HSI!$K$7:$K$106,($L152-INT($L152/1000)*1000)))</f>
        <v/>
      </c>
      <c r="F152" s="43">
        <f>IF($L152="","",IF(COUNTIFS(OVR_TICKERS,$D152,OVR_BASE,"&gt;=0")=0,"",SUMIFS(OVR_BASE,OVR_TICKERS,$D152)))</f>
        <v/>
      </c>
      <c r="G152" s="69">
        <f>IF($L152="","",INDEX(HSI!$L$7:$L$106,($L152-INT($L152/1000)*1000)))</f>
        <v/>
      </c>
      <c r="H152" s="95">
        <f>IF($L152="","",IF($F152="","",IFERROR(($F152-$E152)*INDEX(HSI!$B$7:$B$106,($L152-INT($L152/1000)*1000))*INDEX(HSI!$G$7:$G$106,($L152-INT($L152/1000)*1000))/HSI!$B$3,"")))</f>
        <v/>
      </c>
      <c r="I152" s="46">
        <f>IF($L152="","",INDEX(HSI!$U$7:$U$106,($L152-INT($L152/1000)*1000)))</f>
        <v/>
      </c>
      <c r="K152" s="39">
        <f>IF(HSI!$C$83="","",IFERROR(MATCH(HSI!$E$83,Fundamentals!$B$216:$B$226,0),99)*1000+77)</f>
        <v/>
      </c>
      <c r="L152" s="39">
        <f>IFERROR(SMALL($K$76:$K$175,77),"")</f>
        <v/>
      </c>
    </row>
    <row r="153">
      <c r="B153" s="22">
        <f>IF($L153="","",INDEX(HSI!$E$7:$E$106,($L153-INT($L153/1000)*1000)))</f>
        <v/>
      </c>
      <c r="C153" s="22">
        <f>IF($L153="","",INDEX(HSI!$D$7:$D$106,($L153-INT($L153/1000)*1000)))</f>
        <v/>
      </c>
      <c r="D153" s="22">
        <f>IF($L153="","",INDEX(HSI!$C$7:$C$106,($L153-INT($L153/1000)*1000)))</f>
        <v/>
      </c>
      <c r="E153" s="69">
        <f>IF($L153="","",INDEX(HSI!$K$7:$K$106,($L153-INT($L153/1000)*1000)))</f>
        <v/>
      </c>
      <c r="F153" s="43">
        <f>IF($L153="","",IF(COUNTIFS(OVR_TICKERS,$D153,OVR_BASE,"&gt;=0")=0,"",SUMIFS(OVR_BASE,OVR_TICKERS,$D153)))</f>
        <v/>
      </c>
      <c r="G153" s="69">
        <f>IF($L153="","",INDEX(HSI!$L$7:$L$106,($L153-INT($L153/1000)*1000)))</f>
        <v/>
      </c>
      <c r="H153" s="95">
        <f>IF($L153="","",IF($F153="","",IFERROR(($F153-$E153)*INDEX(HSI!$B$7:$B$106,($L153-INT($L153/1000)*1000))*INDEX(HSI!$G$7:$G$106,($L153-INT($L153/1000)*1000))/HSI!$B$3,"")))</f>
        <v/>
      </c>
      <c r="I153" s="46">
        <f>IF($L153="","",INDEX(HSI!$U$7:$U$106,($L153-INT($L153/1000)*1000)))</f>
        <v/>
      </c>
      <c r="K153" s="39">
        <f>IF(HSI!$C$84="","",IFERROR(MATCH(HSI!$E$84,Fundamentals!$B$216:$B$226,0),99)*1000+78)</f>
        <v/>
      </c>
      <c r="L153" s="39">
        <f>IFERROR(SMALL($K$76:$K$175,78),"")</f>
        <v/>
      </c>
    </row>
    <row r="154">
      <c r="B154" s="22">
        <f>IF($L154="","",INDEX(HSI!$E$7:$E$106,($L154-INT($L154/1000)*1000)))</f>
        <v/>
      </c>
      <c r="C154" s="22">
        <f>IF($L154="","",INDEX(HSI!$D$7:$D$106,($L154-INT($L154/1000)*1000)))</f>
        <v/>
      </c>
      <c r="D154" s="22">
        <f>IF($L154="","",INDEX(HSI!$C$7:$C$106,($L154-INT($L154/1000)*1000)))</f>
        <v/>
      </c>
      <c r="E154" s="69">
        <f>IF($L154="","",INDEX(HSI!$K$7:$K$106,($L154-INT($L154/1000)*1000)))</f>
        <v/>
      </c>
      <c r="F154" s="43">
        <f>IF($L154="","",IF(COUNTIFS(OVR_TICKERS,$D154,OVR_BASE,"&gt;=0")=0,"",SUMIFS(OVR_BASE,OVR_TICKERS,$D154)))</f>
        <v/>
      </c>
      <c r="G154" s="69">
        <f>IF($L154="","",INDEX(HSI!$L$7:$L$106,($L154-INT($L154/1000)*1000)))</f>
        <v/>
      </c>
      <c r="H154" s="95">
        <f>IF($L154="","",IF($F154="","",IFERROR(($F154-$E154)*INDEX(HSI!$B$7:$B$106,($L154-INT($L154/1000)*1000))*INDEX(HSI!$G$7:$G$106,($L154-INT($L154/1000)*1000))/HSI!$B$3,"")))</f>
        <v/>
      </c>
      <c r="I154" s="46">
        <f>IF($L154="","",INDEX(HSI!$U$7:$U$106,($L154-INT($L154/1000)*1000)))</f>
        <v/>
      </c>
      <c r="K154" s="39">
        <f>IF(HSI!$C$85="","",IFERROR(MATCH(HSI!$E$85,Fundamentals!$B$216:$B$226,0),99)*1000+79)</f>
        <v/>
      </c>
      <c r="L154" s="39">
        <f>IFERROR(SMALL($K$76:$K$175,79),"")</f>
        <v/>
      </c>
    </row>
    <row r="155">
      <c r="B155" s="22">
        <f>IF($L155="","",INDEX(HSI!$E$7:$E$106,($L155-INT($L155/1000)*1000)))</f>
        <v/>
      </c>
      <c r="C155" s="22">
        <f>IF($L155="","",INDEX(HSI!$D$7:$D$106,($L155-INT($L155/1000)*1000)))</f>
        <v/>
      </c>
      <c r="D155" s="22">
        <f>IF($L155="","",INDEX(HSI!$C$7:$C$106,($L155-INT($L155/1000)*1000)))</f>
        <v/>
      </c>
      <c r="E155" s="69">
        <f>IF($L155="","",INDEX(HSI!$K$7:$K$106,($L155-INT($L155/1000)*1000)))</f>
        <v/>
      </c>
      <c r="F155" s="43">
        <f>IF($L155="","",IF(COUNTIFS(OVR_TICKERS,$D155,OVR_BASE,"&gt;=0")=0,"",SUMIFS(OVR_BASE,OVR_TICKERS,$D155)))</f>
        <v/>
      </c>
      <c r="G155" s="69">
        <f>IF($L155="","",INDEX(HSI!$L$7:$L$106,($L155-INT($L155/1000)*1000)))</f>
        <v/>
      </c>
      <c r="H155" s="95">
        <f>IF($L155="","",IF($F155="","",IFERROR(($F155-$E155)*INDEX(HSI!$B$7:$B$106,($L155-INT($L155/1000)*1000))*INDEX(HSI!$G$7:$G$106,($L155-INT($L155/1000)*1000))/HSI!$B$3,"")))</f>
        <v/>
      </c>
      <c r="I155" s="46">
        <f>IF($L155="","",INDEX(HSI!$U$7:$U$106,($L155-INT($L155/1000)*1000)))</f>
        <v/>
      </c>
      <c r="K155" s="39">
        <f>IF(HSI!$C$86="","",IFERROR(MATCH(HSI!$E$86,Fundamentals!$B$216:$B$226,0),99)*1000+80)</f>
        <v/>
      </c>
      <c r="L155" s="39">
        <f>IFERROR(SMALL($K$76:$K$175,80),"")</f>
        <v/>
      </c>
    </row>
    <row r="156">
      <c r="B156" s="22">
        <f>IF($L156="","",INDEX(HSI!$E$7:$E$106,($L156-INT($L156/1000)*1000)))</f>
        <v/>
      </c>
      <c r="C156" s="22">
        <f>IF($L156="","",INDEX(HSI!$D$7:$D$106,($L156-INT($L156/1000)*1000)))</f>
        <v/>
      </c>
      <c r="D156" s="22">
        <f>IF($L156="","",INDEX(HSI!$C$7:$C$106,($L156-INT($L156/1000)*1000)))</f>
        <v/>
      </c>
      <c r="E156" s="69">
        <f>IF($L156="","",INDEX(HSI!$K$7:$K$106,($L156-INT($L156/1000)*1000)))</f>
        <v/>
      </c>
      <c r="F156" s="43">
        <f>IF($L156="","",IF(COUNTIFS(OVR_TICKERS,$D156,OVR_BASE,"&gt;=0")=0,"",SUMIFS(OVR_BASE,OVR_TICKERS,$D156)))</f>
        <v/>
      </c>
      <c r="G156" s="69">
        <f>IF($L156="","",INDEX(HSI!$L$7:$L$106,($L156-INT($L156/1000)*1000)))</f>
        <v/>
      </c>
      <c r="H156" s="95">
        <f>IF($L156="","",IF($F156="","",IFERROR(($F156-$E156)*INDEX(HSI!$B$7:$B$106,($L156-INT($L156/1000)*1000))*INDEX(HSI!$G$7:$G$106,($L156-INT($L156/1000)*1000))/HSI!$B$3,"")))</f>
        <v/>
      </c>
      <c r="I156" s="46">
        <f>IF($L156="","",INDEX(HSI!$U$7:$U$106,($L156-INT($L156/1000)*1000)))</f>
        <v/>
      </c>
      <c r="K156" s="39">
        <f>IF(HSI!$C$87="","",IFERROR(MATCH(HSI!$E$87,Fundamentals!$B$216:$B$226,0),99)*1000+81)</f>
        <v/>
      </c>
      <c r="L156" s="39">
        <f>IFERROR(SMALL($K$76:$K$175,81),"")</f>
        <v/>
      </c>
    </row>
    <row r="157">
      <c r="B157" s="22">
        <f>IF($L157="","",INDEX(HSI!$E$7:$E$106,($L157-INT($L157/1000)*1000)))</f>
        <v/>
      </c>
      <c r="C157" s="22">
        <f>IF($L157="","",INDEX(HSI!$D$7:$D$106,($L157-INT($L157/1000)*1000)))</f>
        <v/>
      </c>
      <c r="D157" s="22">
        <f>IF($L157="","",INDEX(HSI!$C$7:$C$106,($L157-INT($L157/1000)*1000)))</f>
        <v/>
      </c>
      <c r="E157" s="69">
        <f>IF($L157="","",INDEX(HSI!$K$7:$K$106,($L157-INT($L157/1000)*1000)))</f>
        <v/>
      </c>
      <c r="F157" s="43">
        <f>IF($L157="","",IF(COUNTIFS(OVR_TICKERS,$D157,OVR_BASE,"&gt;=0")=0,"",SUMIFS(OVR_BASE,OVR_TICKERS,$D157)))</f>
        <v/>
      </c>
      <c r="G157" s="69">
        <f>IF($L157="","",INDEX(HSI!$L$7:$L$106,($L157-INT($L157/1000)*1000)))</f>
        <v/>
      </c>
      <c r="H157" s="95">
        <f>IF($L157="","",IF($F157="","",IFERROR(($F157-$E157)*INDEX(HSI!$B$7:$B$106,($L157-INT($L157/1000)*1000))*INDEX(HSI!$G$7:$G$106,($L157-INT($L157/1000)*1000))/HSI!$B$3,"")))</f>
        <v/>
      </c>
      <c r="I157" s="46">
        <f>IF($L157="","",INDEX(HSI!$U$7:$U$106,($L157-INT($L157/1000)*1000)))</f>
        <v/>
      </c>
      <c r="K157" s="39">
        <f>IF(HSI!$C$88="","",IFERROR(MATCH(HSI!$E$88,Fundamentals!$B$216:$B$226,0),99)*1000+82)</f>
        <v/>
      </c>
      <c r="L157" s="39">
        <f>IFERROR(SMALL($K$76:$K$175,82),"")</f>
        <v/>
      </c>
    </row>
    <row r="158">
      <c r="B158" s="22">
        <f>IF($L158="","",INDEX(HSI!$E$7:$E$106,($L158-INT($L158/1000)*1000)))</f>
        <v/>
      </c>
      <c r="C158" s="22">
        <f>IF($L158="","",INDEX(HSI!$D$7:$D$106,($L158-INT($L158/1000)*1000)))</f>
        <v/>
      </c>
      <c r="D158" s="22">
        <f>IF($L158="","",INDEX(HSI!$C$7:$C$106,($L158-INT($L158/1000)*1000)))</f>
        <v/>
      </c>
      <c r="E158" s="69">
        <f>IF($L158="","",INDEX(HSI!$K$7:$K$106,($L158-INT($L158/1000)*1000)))</f>
        <v/>
      </c>
      <c r="F158" s="43">
        <f>IF($L158="","",IF(COUNTIFS(OVR_TICKERS,$D158,OVR_BASE,"&gt;=0")=0,"",SUMIFS(OVR_BASE,OVR_TICKERS,$D158)))</f>
        <v/>
      </c>
      <c r="G158" s="69">
        <f>IF($L158="","",INDEX(HSI!$L$7:$L$106,($L158-INT($L158/1000)*1000)))</f>
        <v/>
      </c>
      <c r="H158" s="95">
        <f>IF($L158="","",IF($F158="","",IFERROR(($F158-$E158)*INDEX(HSI!$B$7:$B$106,($L158-INT($L158/1000)*1000))*INDEX(HSI!$G$7:$G$106,($L158-INT($L158/1000)*1000))/HSI!$B$3,"")))</f>
        <v/>
      </c>
      <c r="I158" s="46">
        <f>IF($L158="","",INDEX(HSI!$U$7:$U$106,($L158-INT($L158/1000)*1000)))</f>
        <v/>
      </c>
      <c r="K158" s="39">
        <f>IF(HSI!$C$89="","",IFERROR(MATCH(HSI!$E$89,Fundamentals!$B$216:$B$226,0),99)*1000+83)</f>
        <v/>
      </c>
      <c r="L158" s="39">
        <f>IFERROR(SMALL($K$76:$K$175,83),"")</f>
        <v/>
      </c>
    </row>
    <row r="159">
      <c r="B159" s="22">
        <f>IF($L159="","",INDEX(HSI!$E$7:$E$106,($L159-INT($L159/1000)*1000)))</f>
        <v/>
      </c>
      <c r="C159" s="22">
        <f>IF($L159="","",INDEX(HSI!$D$7:$D$106,($L159-INT($L159/1000)*1000)))</f>
        <v/>
      </c>
      <c r="D159" s="22">
        <f>IF($L159="","",INDEX(HSI!$C$7:$C$106,($L159-INT($L159/1000)*1000)))</f>
        <v/>
      </c>
      <c r="E159" s="69">
        <f>IF($L159="","",INDEX(HSI!$K$7:$K$106,($L159-INT($L159/1000)*1000)))</f>
        <v/>
      </c>
      <c r="F159" s="43">
        <f>IF($L159="","",IF(COUNTIFS(OVR_TICKERS,$D159,OVR_BASE,"&gt;=0")=0,"",SUMIFS(OVR_BASE,OVR_TICKERS,$D159)))</f>
        <v/>
      </c>
      <c r="G159" s="69">
        <f>IF($L159="","",INDEX(HSI!$L$7:$L$106,($L159-INT($L159/1000)*1000)))</f>
        <v/>
      </c>
      <c r="H159" s="95">
        <f>IF($L159="","",IF($F159="","",IFERROR(($F159-$E159)*INDEX(HSI!$B$7:$B$106,($L159-INT($L159/1000)*1000))*INDEX(HSI!$G$7:$G$106,($L159-INT($L159/1000)*1000))/HSI!$B$3,"")))</f>
        <v/>
      </c>
      <c r="I159" s="46">
        <f>IF($L159="","",INDEX(HSI!$U$7:$U$106,($L159-INT($L159/1000)*1000)))</f>
        <v/>
      </c>
      <c r="K159" s="39">
        <f>IF(HSI!$C$90="","",IFERROR(MATCH(HSI!$E$90,Fundamentals!$B$216:$B$226,0),99)*1000+84)</f>
        <v/>
      </c>
      <c r="L159" s="39">
        <f>IFERROR(SMALL($K$76:$K$175,84),"")</f>
        <v/>
      </c>
    </row>
    <row r="160">
      <c r="B160" s="22">
        <f>IF($L160="","",INDEX(HSI!$E$7:$E$106,($L160-INT($L160/1000)*1000)))</f>
        <v/>
      </c>
      <c r="C160" s="22">
        <f>IF($L160="","",INDEX(HSI!$D$7:$D$106,($L160-INT($L160/1000)*1000)))</f>
        <v/>
      </c>
      <c r="D160" s="22">
        <f>IF($L160="","",INDEX(HSI!$C$7:$C$106,($L160-INT($L160/1000)*1000)))</f>
        <v/>
      </c>
      <c r="E160" s="69">
        <f>IF($L160="","",INDEX(HSI!$K$7:$K$106,($L160-INT($L160/1000)*1000)))</f>
        <v/>
      </c>
      <c r="F160" s="43">
        <f>IF($L160="","",IF(COUNTIFS(OVR_TICKERS,$D160,OVR_BASE,"&gt;=0")=0,"",SUMIFS(OVR_BASE,OVR_TICKERS,$D160)))</f>
        <v/>
      </c>
      <c r="G160" s="69">
        <f>IF($L160="","",INDEX(HSI!$L$7:$L$106,($L160-INT($L160/1000)*1000)))</f>
        <v/>
      </c>
      <c r="H160" s="95">
        <f>IF($L160="","",IF($F160="","",IFERROR(($F160-$E160)*INDEX(HSI!$B$7:$B$106,($L160-INT($L160/1000)*1000))*INDEX(HSI!$G$7:$G$106,($L160-INT($L160/1000)*1000))/HSI!$B$3,"")))</f>
        <v/>
      </c>
      <c r="I160" s="46">
        <f>IF($L160="","",INDEX(HSI!$U$7:$U$106,($L160-INT($L160/1000)*1000)))</f>
        <v/>
      </c>
      <c r="K160" s="39">
        <f>IF(HSI!$C$91="","",IFERROR(MATCH(HSI!$E$91,Fundamentals!$B$216:$B$226,0),99)*1000+85)</f>
        <v/>
      </c>
      <c r="L160" s="39">
        <f>IFERROR(SMALL($K$76:$K$175,85),"")</f>
        <v/>
      </c>
    </row>
    <row r="161">
      <c r="B161" s="22">
        <f>IF($L161="","",INDEX(HSI!$E$7:$E$106,($L161-INT($L161/1000)*1000)))</f>
        <v/>
      </c>
      <c r="C161" s="22">
        <f>IF($L161="","",INDEX(HSI!$D$7:$D$106,($L161-INT($L161/1000)*1000)))</f>
        <v/>
      </c>
      <c r="D161" s="22">
        <f>IF($L161="","",INDEX(HSI!$C$7:$C$106,($L161-INT($L161/1000)*1000)))</f>
        <v/>
      </c>
      <c r="E161" s="69">
        <f>IF($L161="","",INDEX(HSI!$K$7:$K$106,($L161-INT($L161/1000)*1000)))</f>
        <v/>
      </c>
      <c r="F161" s="43">
        <f>IF($L161="","",IF(COUNTIFS(OVR_TICKERS,$D161,OVR_BASE,"&gt;=0")=0,"",SUMIFS(OVR_BASE,OVR_TICKERS,$D161)))</f>
        <v/>
      </c>
      <c r="G161" s="69">
        <f>IF($L161="","",INDEX(HSI!$L$7:$L$106,($L161-INT($L161/1000)*1000)))</f>
        <v/>
      </c>
      <c r="H161" s="95">
        <f>IF($L161="","",IF($F161="","",IFERROR(($F161-$E161)*INDEX(HSI!$B$7:$B$106,($L161-INT($L161/1000)*1000))*INDEX(HSI!$G$7:$G$106,($L161-INT($L161/1000)*1000))/HSI!$B$3,"")))</f>
        <v/>
      </c>
      <c r="I161" s="46">
        <f>IF($L161="","",INDEX(HSI!$U$7:$U$106,($L161-INT($L161/1000)*1000)))</f>
        <v/>
      </c>
      <c r="K161" s="39">
        <f>IF(HSI!$C$92="","",IFERROR(MATCH(HSI!$E$92,Fundamentals!$B$216:$B$226,0),99)*1000+86)</f>
        <v/>
      </c>
      <c r="L161" s="39">
        <f>IFERROR(SMALL($K$76:$K$175,86),"")</f>
        <v/>
      </c>
    </row>
    <row r="162">
      <c r="B162" s="22">
        <f>IF($L162="","",INDEX(HSI!$E$7:$E$106,($L162-INT($L162/1000)*1000)))</f>
        <v/>
      </c>
      <c r="C162" s="22">
        <f>IF($L162="","",INDEX(HSI!$D$7:$D$106,($L162-INT($L162/1000)*1000)))</f>
        <v/>
      </c>
      <c r="D162" s="22">
        <f>IF($L162="","",INDEX(HSI!$C$7:$C$106,($L162-INT($L162/1000)*1000)))</f>
        <v/>
      </c>
      <c r="E162" s="69">
        <f>IF($L162="","",INDEX(HSI!$K$7:$K$106,($L162-INT($L162/1000)*1000)))</f>
        <v/>
      </c>
      <c r="F162" s="43">
        <f>IF($L162="","",IF(COUNTIFS(OVR_TICKERS,$D162,OVR_BASE,"&gt;=0")=0,"",SUMIFS(OVR_BASE,OVR_TICKERS,$D162)))</f>
        <v/>
      </c>
      <c r="G162" s="69">
        <f>IF($L162="","",INDEX(HSI!$L$7:$L$106,($L162-INT($L162/1000)*1000)))</f>
        <v/>
      </c>
      <c r="H162" s="95">
        <f>IF($L162="","",IF($F162="","",IFERROR(($F162-$E162)*INDEX(HSI!$B$7:$B$106,($L162-INT($L162/1000)*1000))*INDEX(HSI!$G$7:$G$106,($L162-INT($L162/1000)*1000))/HSI!$B$3,"")))</f>
        <v/>
      </c>
      <c r="I162" s="46">
        <f>IF($L162="","",INDEX(HSI!$U$7:$U$106,($L162-INT($L162/1000)*1000)))</f>
        <v/>
      </c>
      <c r="K162" s="39">
        <f>IF(HSI!$C$93="","",IFERROR(MATCH(HSI!$E$93,Fundamentals!$B$216:$B$226,0),99)*1000+87)</f>
        <v/>
      </c>
      <c r="L162" s="39">
        <f>IFERROR(SMALL($K$76:$K$175,87),"")</f>
        <v/>
      </c>
    </row>
    <row r="163">
      <c r="B163" s="22">
        <f>IF($L163="","",INDEX(HSI!$E$7:$E$106,($L163-INT($L163/1000)*1000)))</f>
        <v/>
      </c>
      <c r="C163" s="22">
        <f>IF($L163="","",INDEX(HSI!$D$7:$D$106,($L163-INT($L163/1000)*1000)))</f>
        <v/>
      </c>
      <c r="D163" s="22">
        <f>IF($L163="","",INDEX(HSI!$C$7:$C$106,($L163-INT($L163/1000)*1000)))</f>
        <v/>
      </c>
      <c r="E163" s="69">
        <f>IF($L163="","",INDEX(HSI!$K$7:$K$106,($L163-INT($L163/1000)*1000)))</f>
        <v/>
      </c>
      <c r="F163" s="43">
        <f>IF($L163="","",IF(COUNTIFS(OVR_TICKERS,$D163,OVR_BASE,"&gt;=0")=0,"",SUMIFS(OVR_BASE,OVR_TICKERS,$D163)))</f>
        <v/>
      </c>
      <c r="G163" s="69">
        <f>IF($L163="","",INDEX(HSI!$L$7:$L$106,($L163-INT($L163/1000)*1000)))</f>
        <v/>
      </c>
      <c r="H163" s="95">
        <f>IF($L163="","",IF($F163="","",IFERROR(($F163-$E163)*INDEX(HSI!$B$7:$B$106,($L163-INT($L163/1000)*1000))*INDEX(HSI!$G$7:$G$106,($L163-INT($L163/1000)*1000))/HSI!$B$3,"")))</f>
        <v/>
      </c>
      <c r="I163" s="46">
        <f>IF($L163="","",INDEX(HSI!$U$7:$U$106,($L163-INT($L163/1000)*1000)))</f>
        <v/>
      </c>
      <c r="K163" s="39">
        <f>IF(HSI!$C$94="","",IFERROR(MATCH(HSI!$E$94,Fundamentals!$B$216:$B$226,0),99)*1000+88)</f>
        <v/>
      </c>
      <c r="L163" s="39">
        <f>IFERROR(SMALL($K$76:$K$175,88),"")</f>
        <v/>
      </c>
    </row>
    <row r="164">
      <c r="B164" s="22">
        <f>IF($L164="","",INDEX(HSI!$E$7:$E$106,($L164-INT($L164/1000)*1000)))</f>
        <v/>
      </c>
      <c r="C164" s="22">
        <f>IF($L164="","",INDEX(HSI!$D$7:$D$106,($L164-INT($L164/1000)*1000)))</f>
        <v/>
      </c>
      <c r="D164" s="22">
        <f>IF($L164="","",INDEX(HSI!$C$7:$C$106,($L164-INT($L164/1000)*1000)))</f>
        <v/>
      </c>
      <c r="E164" s="69">
        <f>IF($L164="","",INDEX(HSI!$K$7:$K$106,($L164-INT($L164/1000)*1000)))</f>
        <v/>
      </c>
      <c r="F164" s="43">
        <f>IF($L164="","",IF(COUNTIFS(OVR_TICKERS,$D164,OVR_BASE,"&gt;=0")=0,"",SUMIFS(OVR_BASE,OVR_TICKERS,$D164)))</f>
        <v/>
      </c>
      <c r="G164" s="69">
        <f>IF($L164="","",INDEX(HSI!$L$7:$L$106,($L164-INT($L164/1000)*1000)))</f>
        <v/>
      </c>
      <c r="H164" s="95">
        <f>IF($L164="","",IF($F164="","",IFERROR(($F164-$E164)*INDEX(HSI!$B$7:$B$106,($L164-INT($L164/1000)*1000))*INDEX(HSI!$G$7:$G$106,($L164-INT($L164/1000)*1000))/HSI!$B$3,"")))</f>
        <v/>
      </c>
      <c r="I164" s="46">
        <f>IF($L164="","",INDEX(HSI!$U$7:$U$106,($L164-INT($L164/1000)*1000)))</f>
        <v/>
      </c>
      <c r="K164" s="39">
        <f>IF(HSI!$C$95="","",IFERROR(MATCH(HSI!$E$95,Fundamentals!$B$216:$B$226,0),99)*1000+89)</f>
        <v/>
      </c>
      <c r="L164" s="39">
        <f>IFERROR(SMALL($K$76:$K$175,89),"")</f>
        <v/>
      </c>
    </row>
    <row r="165">
      <c r="B165" s="22">
        <f>IF($L165="","",INDEX(HSI!$E$7:$E$106,($L165-INT($L165/1000)*1000)))</f>
        <v/>
      </c>
      <c r="C165" s="22">
        <f>IF($L165="","",INDEX(HSI!$D$7:$D$106,($L165-INT($L165/1000)*1000)))</f>
        <v/>
      </c>
      <c r="D165" s="22">
        <f>IF($L165="","",INDEX(HSI!$C$7:$C$106,($L165-INT($L165/1000)*1000)))</f>
        <v/>
      </c>
      <c r="E165" s="69">
        <f>IF($L165="","",INDEX(HSI!$K$7:$K$106,($L165-INT($L165/1000)*1000)))</f>
        <v/>
      </c>
      <c r="F165" s="43">
        <f>IF($L165="","",IF(COUNTIFS(OVR_TICKERS,$D165,OVR_BASE,"&gt;=0")=0,"",SUMIFS(OVR_BASE,OVR_TICKERS,$D165)))</f>
        <v/>
      </c>
      <c r="G165" s="69">
        <f>IF($L165="","",INDEX(HSI!$L$7:$L$106,($L165-INT($L165/1000)*1000)))</f>
        <v/>
      </c>
      <c r="H165" s="95">
        <f>IF($L165="","",IF($F165="","",IFERROR(($F165-$E165)*INDEX(HSI!$B$7:$B$106,($L165-INT($L165/1000)*1000))*INDEX(HSI!$G$7:$G$106,($L165-INT($L165/1000)*1000))/HSI!$B$3,"")))</f>
        <v/>
      </c>
      <c r="I165" s="46">
        <f>IF($L165="","",INDEX(HSI!$U$7:$U$106,($L165-INT($L165/1000)*1000)))</f>
        <v/>
      </c>
      <c r="K165" s="39">
        <f>IF(HSI!$C$96="","",IFERROR(MATCH(HSI!$E$96,Fundamentals!$B$216:$B$226,0),99)*1000+90)</f>
        <v/>
      </c>
      <c r="L165" s="39">
        <f>IFERROR(SMALL($K$76:$K$175,90),"")</f>
        <v/>
      </c>
    </row>
    <row r="166">
      <c r="B166" s="22">
        <f>IF($L166="","",INDEX(HSI!$E$7:$E$106,($L166-INT($L166/1000)*1000)))</f>
        <v/>
      </c>
      <c r="C166" s="22">
        <f>IF($L166="","",INDEX(HSI!$D$7:$D$106,($L166-INT($L166/1000)*1000)))</f>
        <v/>
      </c>
      <c r="D166" s="22">
        <f>IF($L166="","",INDEX(HSI!$C$7:$C$106,($L166-INT($L166/1000)*1000)))</f>
        <v/>
      </c>
      <c r="E166" s="69">
        <f>IF($L166="","",INDEX(HSI!$K$7:$K$106,($L166-INT($L166/1000)*1000)))</f>
        <v/>
      </c>
      <c r="F166" s="43">
        <f>IF($L166="","",IF(COUNTIFS(OVR_TICKERS,$D166,OVR_BASE,"&gt;=0")=0,"",SUMIFS(OVR_BASE,OVR_TICKERS,$D166)))</f>
        <v/>
      </c>
      <c r="G166" s="69">
        <f>IF($L166="","",INDEX(HSI!$L$7:$L$106,($L166-INT($L166/1000)*1000)))</f>
        <v/>
      </c>
      <c r="H166" s="95">
        <f>IF($L166="","",IF($F166="","",IFERROR(($F166-$E166)*INDEX(HSI!$B$7:$B$106,($L166-INT($L166/1000)*1000))*INDEX(HSI!$G$7:$G$106,($L166-INT($L166/1000)*1000))/HSI!$B$3,"")))</f>
        <v/>
      </c>
      <c r="I166" s="46">
        <f>IF($L166="","",INDEX(HSI!$U$7:$U$106,($L166-INT($L166/1000)*1000)))</f>
        <v/>
      </c>
      <c r="K166" s="39">
        <f>IF(HSI!$C$97="","",IFERROR(MATCH(HSI!$E$97,Fundamentals!$B$216:$B$226,0),99)*1000+91)</f>
        <v/>
      </c>
      <c r="L166" s="39">
        <f>IFERROR(SMALL($K$76:$K$175,91),"")</f>
        <v/>
      </c>
    </row>
    <row r="167">
      <c r="B167" s="22">
        <f>IF($L167="","",INDEX(HSI!$E$7:$E$106,($L167-INT($L167/1000)*1000)))</f>
        <v/>
      </c>
      <c r="C167" s="22">
        <f>IF($L167="","",INDEX(HSI!$D$7:$D$106,($L167-INT($L167/1000)*1000)))</f>
        <v/>
      </c>
      <c r="D167" s="22">
        <f>IF($L167="","",INDEX(HSI!$C$7:$C$106,($L167-INT($L167/1000)*1000)))</f>
        <v/>
      </c>
      <c r="E167" s="69">
        <f>IF($L167="","",INDEX(HSI!$K$7:$K$106,($L167-INT($L167/1000)*1000)))</f>
        <v/>
      </c>
      <c r="F167" s="43">
        <f>IF($L167="","",IF(COUNTIFS(OVR_TICKERS,$D167,OVR_BASE,"&gt;=0")=0,"",SUMIFS(OVR_BASE,OVR_TICKERS,$D167)))</f>
        <v/>
      </c>
      <c r="G167" s="69">
        <f>IF($L167="","",INDEX(HSI!$L$7:$L$106,($L167-INT($L167/1000)*1000)))</f>
        <v/>
      </c>
      <c r="H167" s="95">
        <f>IF($L167="","",IF($F167="","",IFERROR(($F167-$E167)*INDEX(HSI!$B$7:$B$106,($L167-INT($L167/1000)*1000))*INDEX(HSI!$G$7:$G$106,($L167-INT($L167/1000)*1000))/HSI!$B$3,"")))</f>
        <v/>
      </c>
      <c r="I167" s="46">
        <f>IF($L167="","",INDEX(HSI!$U$7:$U$106,($L167-INT($L167/1000)*1000)))</f>
        <v/>
      </c>
      <c r="K167" s="39">
        <f>IF(HSI!$C$98="","",IFERROR(MATCH(HSI!$E$98,Fundamentals!$B$216:$B$226,0),99)*1000+92)</f>
        <v/>
      </c>
      <c r="L167" s="39">
        <f>IFERROR(SMALL($K$76:$K$175,92),"")</f>
        <v/>
      </c>
    </row>
    <row r="168">
      <c r="B168" s="22">
        <f>IF($L168="","",INDEX(HSI!$E$7:$E$106,($L168-INT($L168/1000)*1000)))</f>
        <v/>
      </c>
      <c r="C168" s="22">
        <f>IF($L168="","",INDEX(HSI!$D$7:$D$106,($L168-INT($L168/1000)*1000)))</f>
        <v/>
      </c>
      <c r="D168" s="22">
        <f>IF($L168="","",INDEX(HSI!$C$7:$C$106,($L168-INT($L168/1000)*1000)))</f>
        <v/>
      </c>
      <c r="E168" s="69">
        <f>IF($L168="","",INDEX(HSI!$K$7:$K$106,($L168-INT($L168/1000)*1000)))</f>
        <v/>
      </c>
      <c r="F168" s="43">
        <f>IF($L168="","",IF(COUNTIFS(OVR_TICKERS,$D168,OVR_BASE,"&gt;=0")=0,"",SUMIFS(OVR_BASE,OVR_TICKERS,$D168)))</f>
        <v/>
      </c>
      <c r="G168" s="69">
        <f>IF($L168="","",INDEX(HSI!$L$7:$L$106,($L168-INT($L168/1000)*1000)))</f>
        <v/>
      </c>
      <c r="H168" s="95">
        <f>IF($L168="","",IF($F168="","",IFERROR(($F168-$E168)*INDEX(HSI!$B$7:$B$106,($L168-INT($L168/1000)*1000))*INDEX(HSI!$G$7:$G$106,($L168-INT($L168/1000)*1000))/HSI!$B$3,"")))</f>
        <v/>
      </c>
      <c r="I168" s="46">
        <f>IF($L168="","",INDEX(HSI!$U$7:$U$106,($L168-INT($L168/1000)*1000)))</f>
        <v/>
      </c>
      <c r="K168" s="39">
        <f>IF(HSI!$C$99="","",IFERROR(MATCH(HSI!$E$99,Fundamentals!$B$216:$B$226,0),99)*1000+93)</f>
        <v/>
      </c>
      <c r="L168" s="39">
        <f>IFERROR(SMALL($K$76:$K$175,93),"")</f>
        <v/>
      </c>
    </row>
    <row r="169">
      <c r="B169" s="22">
        <f>IF($L169="","",INDEX(HSI!$E$7:$E$106,($L169-INT($L169/1000)*1000)))</f>
        <v/>
      </c>
      <c r="C169" s="22">
        <f>IF($L169="","",INDEX(HSI!$D$7:$D$106,($L169-INT($L169/1000)*1000)))</f>
        <v/>
      </c>
      <c r="D169" s="22">
        <f>IF($L169="","",INDEX(HSI!$C$7:$C$106,($L169-INT($L169/1000)*1000)))</f>
        <v/>
      </c>
      <c r="E169" s="69">
        <f>IF($L169="","",INDEX(HSI!$K$7:$K$106,($L169-INT($L169/1000)*1000)))</f>
        <v/>
      </c>
      <c r="F169" s="43">
        <f>IF($L169="","",IF(COUNTIFS(OVR_TICKERS,$D169,OVR_BASE,"&gt;=0")=0,"",SUMIFS(OVR_BASE,OVR_TICKERS,$D169)))</f>
        <v/>
      </c>
      <c r="G169" s="69">
        <f>IF($L169="","",INDEX(HSI!$L$7:$L$106,($L169-INT($L169/1000)*1000)))</f>
        <v/>
      </c>
      <c r="H169" s="95">
        <f>IF($L169="","",IF($F169="","",IFERROR(($F169-$E169)*INDEX(HSI!$B$7:$B$106,($L169-INT($L169/1000)*1000))*INDEX(HSI!$G$7:$G$106,($L169-INT($L169/1000)*1000))/HSI!$B$3,"")))</f>
        <v/>
      </c>
      <c r="I169" s="46">
        <f>IF($L169="","",INDEX(HSI!$U$7:$U$106,($L169-INT($L169/1000)*1000)))</f>
        <v/>
      </c>
      <c r="K169" s="39">
        <f>IF(HSI!$C$100="","",IFERROR(MATCH(HSI!$E$100,Fundamentals!$B$216:$B$226,0),99)*1000+94)</f>
        <v/>
      </c>
      <c r="L169" s="39">
        <f>IFERROR(SMALL($K$76:$K$175,94),"")</f>
        <v/>
      </c>
    </row>
    <row r="170">
      <c r="B170" s="22">
        <f>IF($L170="","",INDEX(HSI!$E$7:$E$106,($L170-INT($L170/1000)*1000)))</f>
        <v/>
      </c>
      <c r="C170" s="22">
        <f>IF($L170="","",INDEX(HSI!$D$7:$D$106,($L170-INT($L170/1000)*1000)))</f>
        <v/>
      </c>
      <c r="D170" s="22">
        <f>IF($L170="","",INDEX(HSI!$C$7:$C$106,($L170-INT($L170/1000)*1000)))</f>
        <v/>
      </c>
      <c r="E170" s="69">
        <f>IF($L170="","",INDEX(HSI!$K$7:$K$106,($L170-INT($L170/1000)*1000)))</f>
        <v/>
      </c>
      <c r="F170" s="43">
        <f>IF($L170="","",IF(COUNTIFS(OVR_TICKERS,$D170,OVR_BASE,"&gt;=0")=0,"",SUMIFS(OVR_BASE,OVR_TICKERS,$D170)))</f>
        <v/>
      </c>
      <c r="G170" s="69">
        <f>IF($L170="","",INDEX(HSI!$L$7:$L$106,($L170-INT($L170/1000)*1000)))</f>
        <v/>
      </c>
      <c r="H170" s="95">
        <f>IF($L170="","",IF($F170="","",IFERROR(($F170-$E170)*INDEX(HSI!$B$7:$B$106,($L170-INT($L170/1000)*1000))*INDEX(HSI!$G$7:$G$106,($L170-INT($L170/1000)*1000))/HSI!$B$3,"")))</f>
        <v/>
      </c>
      <c r="I170" s="46">
        <f>IF($L170="","",INDEX(HSI!$U$7:$U$106,($L170-INT($L170/1000)*1000)))</f>
        <v/>
      </c>
      <c r="K170" s="39">
        <f>IF(HSI!$C$101="","",IFERROR(MATCH(HSI!$E$101,Fundamentals!$B$216:$B$226,0),99)*1000+95)</f>
        <v/>
      </c>
      <c r="L170" s="39">
        <f>IFERROR(SMALL($K$76:$K$175,95),"")</f>
        <v/>
      </c>
    </row>
    <row r="171">
      <c r="B171" s="22">
        <f>IF($L171="","",INDEX(HSI!$E$7:$E$106,($L171-INT($L171/1000)*1000)))</f>
        <v/>
      </c>
      <c r="C171" s="22">
        <f>IF($L171="","",INDEX(HSI!$D$7:$D$106,($L171-INT($L171/1000)*1000)))</f>
        <v/>
      </c>
      <c r="D171" s="22">
        <f>IF($L171="","",INDEX(HSI!$C$7:$C$106,($L171-INT($L171/1000)*1000)))</f>
        <v/>
      </c>
      <c r="E171" s="69">
        <f>IF($L171="","",INDEX(HSI!$K$7:$K$106,($L171-INT($L171/1000)*1000)))</f>
        <v/>
      </c>
      <c r="F171" s="43">
        <f>IF($L171="","",IF(COUNTIFS(OVR_TICKERS,$D171,OVR_BASE,"&gt;=0")=0,"",SUMIFS(OVR_BASE,OVR_TICKERS,$D171)))</f>
        <v/>
      </c>
      <c r="G171" s="69">
        <f>IF($L171="","",INDEX(HSI!$L$7:$L$106,($L171-INT($L171/1000)*1000)))</f>
        <v/>
      </c>
      <c r="H171" s="95">
        <f>IF($L171="","",IF($F171="","",IFERROR(($F171-$E171)*INDEX(HSI!$B$7:$B$106,($L171-INT($L171/1000)*1000))*INDEX(HSI!$G$7:$G$106,($L171-INT($L171/1000)*1000))/HSI!$B$3,"")))</f>
        <v/>
      </c>
      <c r="I171" s="46">
        <f>IF($L171="","",INDEX(HSI!$U$7:$U$106,($L171-INT($L171/1000)*1000)))</f>
        <v/>
      </c>
      <c r="K171" s="39">
        <f>IF(HSI!$C$102="","",IFERROR(MATCH(HSI!$E$102,Fundamentals!$B$216:$B$226,0),99)*1000+96)</f>
        <v/>
      </c>
      <c r="L171" s="39">
        <f>IFERROR(SMALL($K$76:$K$175,96),"")</f>
        <v/>
      </c>
    </row>
    <row r="172">
      <c r="B172" s="22">
        <f>IF($L172="","",INDEX(HSI!$E$7:$E$106,($L172-INT($L172/1000)*1000)))</f>
        <v/>
      </c>
      <c r="C172" s="22">
        <f>IF($L172="","",INDEX(HSI!$D$7:$D$106,($L172-INT($L172/1000)*1000)))</f>
        <v/>
      </c>
      <c r="D172" s="22">
        <f>IF($L172="","",INDEX(HSI!$C$7:$C$106,($L172-INT($L172/1000)*1000)))</f>
        <v/>
      </c>
      <c r="E172" s="69">
        <f>IF($L172="","",INDEX(HSI!$K$7:$K$106,($L172-INT($L172/1000)*1000)))</f>
        <v/>
      </c>
      <c r="F172" s="43">
        <f>IF($L172="","",IF(COUNTIFS(OVR_TICKERS,$D172,OVR_BASE,"&gt;=0")=0,"",SUMIFS(OVR_BASE,OVR_TICKERS,$D172)))</f>
        <v/>
      </c>
      <c r="G172" s="69">
        <f>IF($L172="","",INDEX(HSI!$L$7:$L$106,($L172-INT($L172/1000)*1000)))</f>
        <v/>
      </c>
      <c r="H172" s="95">
        <f>IF($L172="","",IF($F172="","",IFERROR(($F172-$E172)*INDEX(HSI!$B$7:$B$106,($L172-INT($L172/1000)*1000))*INDEX(HSI!$G$7:$G$106,($L172-INT($L172/1000)*1000))/HSI!$B$3,"")))</f>
        <v/>
      </c>
      <c r="I172" s="46">
        <f>IF($L172="","",INDEX(HSI!$U$7:$U$106,($L172-INT($L172/1000)*1000)))</f>
        <v/>
      </c>
      <c r="K172" s="39">
        <f>IF(HSI!$C$103="","",IFERROR(MATCH(HSI!$E$103,Fundamentals!$B$216:$B$226,0),99)*1000+97)</f>
        <v/>
      </c>
      <c r="L172" s="39">
        <f>IFERROR(SMALL($K$76:$K$175,97),"")</f>
        <v/>
      </c>
    </row>
    <row r="173">
      <c r="B173" s="22">
        <f>IF($L173="","",INDEX(HSI!$E$7:$E$106,($L173-INT($L173/1000)*1000)))</f>
        <v/>
      </c>
      <c r="C173" s="22">
        <f>IF($L173="","",INDEX(HSI!$D$7:$D$106,($L173-INT($L173/1000)*1000)))</f>
        <v/>
      </c>
      <c r="D173" s="22">
        <f>IF($L173="","",INDEX(HSI!$C$7:$C$106,($L173-INT($L173/1000)*1000)))</f>
        <v/>
      </c>
      <c r="E173" s="69">
        <f>IF($L173="","",INDEX(HSI!$K$7:$K$106,($L173-INT($L173/1000)*1000)))</f>
        <v/>
      </c>
      <c r="F173" s="43">
        <f>IF($L173="","",IF(COUNTIFS(OVR_TICKERS,$D173,OVR_BASE,"&gt;=0")=0,"",SUMIFS(OVR_BASE,OVR_TICKERS,$D173)))</f>
        <v/>
      </c>
      <c r="G173" s="69">
        <f>IF($L173="","",INDEX(HSI!$L$7:$L$106,($L173-INT($L173/1000)*1000)))</f>
        <v/>
      </c>
      <c r="H173" s="95">
        <f>IF($L173="","",IF($F173="","",IFERROR(($F173-$E173)*INDEX(HSI!$B$7:$B$106,($L173-INT($L173/1000)*1000))*INDEX(HSI!$G$7:$G$106,($L173-INT($L173/1000)*1000))/HSI!$B$3,"")))</f>
        <v/>
      </c>
      <c r="I173" s="46">
        <f>IF($L173="","",INDEX(HSI!$U$7:$U$106,($L173-INT($L173/1000)*1000)))</f>
        <v/>
      </c>
      <c r="K173" s="39">
        <f>IF(HSI!$C$104="","",IFERROR(MATCH(HSI!$E$104,Fundamentals!$B$216:$B$226,0),99)*1000+98)</f>
        <v/>
      </c>
      <c r="L173" s="39">
        <f>IFERROR(SMALL($K$76:$K$175,98),"")</f>
        <v/>
      </c>
    </row>
    <row r="174">
      <c r="B174" s="22">
        <f>IF($L174="","",INDEX(HSI!$E$7:$E$106,($L174-INT($L174/1000)*1000)))</f>
        <v/>
      </c>
      <c r="C174" s="22">
        <f>IF($L174="","",INDEX(HSI!$D$7:$D$106,($L174-INT($L174/1000)*1000)))</f>
        <v/>
      </c>
      <c r="D174" s="22">
        <f>IF($L174="","",INDEX(HSI!$C$7:$C$106,($L174-INT($L174/1000)*1000)))</f>
        <v/>
      </c>
      <c r="E174" s="69">
        <f>IF($L174="","",INDEX(HSI!$K$7:$K$106,($L174-INT($L174/1000)*1000)))</f>
        <v/>
      </c>
      <c r="F174" s="43">
        <f>IF($L174="","",IF(COUNTIFS(OVR_TICKERS,$D174,OVR_BASE,"&gt;=0")=0,"",SUMIFS(OVR_BASE,OVR_TICKERS,$D174)))</f>
        <v/>
      </c>
      <c r="G174" s="69">
        <f>IF($L174="","",INDEX(HSI!$L$7:$L$106,($L174-INT($L174/1000)*1000)))</f>
        <v/>
      </c>
      <c r="H174" s="95">
        <f>IF($L174="","",IF($F174="","",IFERROR(($F174-$E174)*INDEX(HSI!$B$7:$B$106,($L174-INT($L174/1000)*1000))*INDEX(HSI!$G$7:$G$106,($L174-INT($L174/1000)*1000))/HSI!$B$3,"")))</f>
        <v/>
      </c>
      <c r="I174" s="46">
        <f>IF($L174="","",INDEX(HSI!$U$7:$U$106,($L174-INT($L174/1000)*1000)))</f>
        <v/>
      </c>
      <c r="K174" s="39">
        <f>IF(HSI!$C$105="","",IFERROR(MATCH(HSI!$E$105,Fundamentals!$B$216:$B$226,0),99)*1000+99)</f>
        <v/>
      </c>
      <c r="L174" s="39">
        <f>IFERROR(SMALL($K$76:$K$175,99),"")</f>
        <v/>
      </c>
    </row>
    <row r="175">
      <c r="B175" s="22">
        <f>IF($L175="","",INDEX(HSI!$E$7:$E$106,($L175-INT($L175/1000)*1000)))</f>
        <v/>
      </c>
      <c r="C175" s="22">
        <f>IF($L175="","",INDEX(HSI!$D$7:$D$106,($L175-INT($L175/1000)*1000)))</f>
        <v/>
      </c>
      <c r="D175" s="22">
        <f>IF($L175="","",INDEX(HSI!$C$7:$C$106,($L175-INT($L175/1000)*1000)))</f>
        <v/>
      </c>
      <c r="E175" s="69">
        <f>IF($L175="","",INDEX(HSI!$K$7:$K$106,($L175-INT($L175/1000)*1000)))</f>
        <v/>
      </c>
      <c r="F175" s="43">
        <f>IF($L175="","",IF(COUNTIFS(OVR_TICKERS,$D175,OVR_BASE,"&gt;=0")=0,"",SUMIFS(OVR_BASE,OVR_TICKERS,$D175)))</f>
        <v/>
      </c>
      <c r="G175" s="69">
        <f>IF($L175="","",INDEX(HSI!$L$7:$L$106,($L175-INT($L175/1000)*1000)))</f>
        <v/>
      </c>
      <c r="H175" s="95">
        <f>IF($L175="","",IF($F175="","",IFERROR(($F175-$E175)*INDEX(HSI!$B$7:$B$106,($L175-INT($L175/1000)*1000))*INDEX(HSI!$G$7:$G$106,($L175-INT($L175/1000)*1000))/HSI!$B$3,"")))</f>
        <v/>
      </c>
      <c r="I175" s="46">
        <f>IF($L175="","",INDEX(HSI!$U$7:$U$106,($L175-INT($L175/1000)*1000)))</f>
        <v/>
      </c>
      <c r="K175" s="39">
        <f>IF(HSI!$C$106="","",IFERROR(MATCH(HSI!$E$106,Fundamentals!$B$216:$B$226,0),99)*1000+100)</f>
        <v/>
      </c>
      <c r="L175" s="39">
        <f>IFERROR(SMALL($K$76:$K$175,100),"")</f>
        <v/>
      </c>
    </row>
    <row r="178">
      <c r="B178" s="6" t="inlineStr">
        <is>
          <t>BY SECTOR - Hang Seng TECH Index (HSTECH)   (read-only, sorted by sector at refresh)</t>
        </is>
      </c>
      <c r="C178" s="7" t="n"/>
      <c r="D178" s="7" t="n"/>
      <c r="E178" s="7" t="n"/>
      <c r="F178" s="7" t="n"/>
      <c r="G178" s="7" t="n"/>
      <c r="H178" s="7" t="n"/>
      <c r="I178" s="7" t="n"/>
    </row>
    <row r="179">
      <c r="B179" s="23" t="inlineStr">
        <is>
          <t>GICS Sector</t>
        </is>
      </c>
      <c r="C179" s="23" t="inlineStr">
        <is>
          <t>Name</t>
        </is>
      </c>
      <c r="D179" s="23" t="inlineStr">
        <is>
          <t>Ticker</t>
        </is>
      </c>
      <c r="E179" s="23" t="inlineStr">
        <is>
          <t>BBG rest
of yr</t>
        </is>
      </c>
      <c r="F179" s="23" t="inlineStr">
        <is>
          <t>YOUR base</t>
        </is>
      </c>
      <c r="G179" s="23" t="inlineStr">
        <is>
          <t>Effective</t>
        </is>
      </c>
      <c r="H179" s="23" t="inlineStr">
        <is>
          <t>Impact
(pts)</t>
        </is>
      </c>
      <c r="I179" s="23" t="inlineStr">
        <is>
          <t>Flag</t>
        </is>
      </c>
      <c r="K179" s="2" t="inlineStr">
        <is>
          <t>engine</t>
        </is>
      </c>
    </row>
    <row r="180">
      <c r="B180" s="22">
        <f>IF($L180="","",INDEX(HSTECH!$E$7:$E$46,($L180-INT($L180/1000)*1000)))</f>
        <v/>
      </c>
      <c r="C180" s="22">
        <f>IF($L180="","",INDEX(HSTECH!$D$7:$D$46,($L180-INT($L180/1000)*1000)))</f>
        <v/>
      </c>
      <c r="D180" s="22">
        <f>IF($L180="","",INDEX(HSTECH!$C$7:$C$46,($L180-INT($L180/1000)*1000)))</f>
        <v/>
      </c>
      <c r="E180" s="69">
        <f>IF($L180="","",INDEX(HSTECH!$K$7:$K$46,($L180-INT($L180/1000)*1000)))</f>
        <v/>
      </c>
      <c r="F180" s="43">
        <f>IF($L180="","",IF(COUNTIFS(OVR_TICKERS,$D180,OVR_BASE,"&gt;=0")=0,"",SUMIFS(OVR_BASE,OVR_TICKERS,$D180)))</f>
        <v/>
      </c>
      <c r="G180" s="69">
        <f>IF($L180="","",INDEX(HSTECH!$L$7:$L$46,($L180-INT($L180/1000)*1000)))</f>
        <v/>
      </c>
      <c r="H180" s="95">
        <f>IF($L180="","",IF($F180="","",IFERROR(($F180-$E180)*INDEX(HSTECH!$B$7:$B$46,($L180-INT($L180/1000)*1000))*INDEX(HSTECH!$G$7:$G$46,($L180-INT($L180/1000)*1000))/HSTECH!$B$3,"")))</f>
        <v/>
      </c>
      <c r="I180" s="46">
        <f>IF($L180="","",INDEX(HSTECH!$U$7:$U$46,($L180-INT($L180/1000)*1000)))</f>
        <v/>
      </c>
      <c r="K180" s="39">
        <f>IF(HSTECH!$C$7="","",IFERROR(MATCH(HSTECH!$E$7,Fundamentals!$B$216:$B$226,0),99)*1000+1)</f>
        <v/>
      </c>
      <c r="L180" s="39">
        <f>IFERROR(SMALL($K$180:$K$219,1),"")</f>
        <v/>
      </c>
    </row>
    <row r="181">
      <c r="B181" s="22">
        <f>IF($L181="","",INDEX(HSTECH!$E$7:$E$46,($L181-INT($L181/1000)*1000)))</f>
        <v/>
      </c>
      <c r="C181" s="22">
        <f>IF($L181="","",INDEX(HSTECH!$D$7:$D$46,($L181-INT($L181/1000)*1000)))</f>
        <v/>
      </c>
      <c r="D181" s="22">
        <f>IF($L181="","",INDEX(HSTECH!$C$7:$C$46,($L181-INT($L181/1000)*1000)))</f>
        <v/>
      </c>
      <c r="E181" s="69">
        <f>IF($L181="","",INDEX(HSTECH!$K$7:$K$46,($L181-INT($L181/1000)*1000)))</f>
        <v/>
      </c>
      <c r="F181" s="43">
        <f>IF($L181="","",IF(COUNTIFS(OVR_TICKERS,$D181,OVR_BASE,"&gt;=0")=0,"",SUMIFS(OVR_BASE,OVR_TICKERS,$D181)))</f>
        <v/>
      </c>
      <c r="G181" s="69">
        <f>IF($L181="","",INDEX(HSTECH!$L$7:$L$46,($L181-INT($L181/1000)*1000)))</f>
        <v/>
      </c>
      <c r="H181" s="95">
        <f>IF($L181="","",IF($F181="","",IFERROR(($F181-$E181)*INDEX(HSTECH!$B$7:$B$46,($L181-INT($L181/1000)*1000))*INDEX(HSTECH!$G$7:$G$46,($L181-INT($L181/1000)*1000))/HSTECH!$B$3,"")))</f>
        <v/>
      </c>
      <c r="I181" s="46">
        <f>IF($L181="","",INDEX(HSTECH!$U$7:$U$46,($L181-INT($L181/1000)*1000)))</f>
        <v/>
      </c>
      <c r="K181" s="39">
        <f>IF(HSTECH!$C$8="","",IFERROR(MATCH(HSTECH!$E$8,Fundamentals!$B$216:$B$226,0),99)*1000+2)</f>
        <v/>
      </c>
      <c r="L181" s="39">
        <f>IFERROR(SMALL($K$180:$K$219,2),"")</f>
        <v/>
      </c>
    </row>
    <row r="182">
      <c r="B182" s="22">
        <f>IF($L182="","",INDEX(HSTECH!$E$7:$E$46,($L182-INT($L182/1000)*1000)))</f>
        <v/>
      </c>
      <c r="C182" s="22">
        <f>IF($L182="","",INDEX(HSTECH!$D$7:$D$46,($L182-INT($L182/1000)*1000)))</f>
        <v/>
      </c>
      <c r="D182" s="22">
        <f>IF($L182="","",INDEX(HSTECH!$C$7:$C$46,($L182-INT($L182/1000)*1000)))</f>
        <v/>
      </c>
      <c r="E182" s="69">
        <f>IF($L182="","",INDEX(HSTECH!$K$7:$K$46,($L182-INT($L182/1000)*1000)))</f>
        <v/>
      </c>
      <c r="F182" s="43">
        <f>IF($L182="","",IF(COUNTIFS(OVR_TICKERS,$D182,OVR_BASE,"&gt;=0")=0,"",SUMIFS(OVR_BASE,OVR_TICKERS,$D182)))</f>
        <v/>
      </c>
      <c r="G182" s="69">
        <f>IF($L182="","",INDEX(HSTECH!$L$7:$L$46,($L182-INT($L182/1000)*1000)))</f>
        <v/>
      </c>
      <c r="H182" s="95">
        <f>IF($L182="","",IF($F182="","",IFERROR(($F182-$E182)*INDEX(HSTECH!$B$7:$B$46,($L182-INT($L182/1000)*1000))*INDEX(HSTECH!$G$7:$G$46,($L182-INT($L182/1000)*1000))/HSTECH!$B$3,"")))</f>
        <v/>
      </c>
      <c r="I182" s="46">
        <f>IF($L182="","",INDEX(HSTECH!$U$7:$U$46,($L182-INT($L182/1000)*1000)))</f>
        <v/>
      </c>
      <c r="K182" s="39">
        <f>IF(HSTECH!$C$9="","",IFERROR(MATCH(HSTECH!$E$9,Fundamentals!$B$216:$B$226,0),99)*1000+3)</f>
        <v/>
      </c>
      <c r="L182" s="39">
        <f>IFERROR(SMALL($K$180:$K$219,3),"")</f>
        <v/>
      </c>
    </row>
    <row r="183">
      <c r="B183" s="22">
        <f>IF($L183="","",INDEX(HSTECH!$E$7:$E$46,($L183-INT($L183/1000)*1000)))</f>
        <v/>
      </c>
      <c r="C183" s="22">
        <f>IF($L183="","",INDEX(HSTECH!$D$7:$D$46,($L183-INT($L183/1000)*1000)))</f>
        <v/>
      </c>
      <c r="D183" s="22">
        <f>IF($L183="","",INDEX(HSTECH!$C$7:$C$46,($L183-INT($L183/1000)*1000)))</f>
        <v/>
      </c>
      <c r="E183" s="69">
        <f>IF($L183="","",INDEX(HSTECH!$K$7:$K$46,($L183-INT($L183/1000)*1000)))</f>
        <v/>
      </c>
      <c r="F183" s="43">
        <f>IF($L183="","",IF(COUNTIFS(OVR_TICKERS,$D183,OVR_BASE,"&gt;=0")=0,"",SUMIFS(OVR_BASE,OVR_TICKERS,$D183)))</f>
        <v/>
      </c>
      <c r="G183" s="69">
        <f>IF($L183="","",INDEX(HSTECH!$L$7:$L$46,($L183-INT($L183/1000)*1000)))</f>
        <v/>
      </c>
      <c r="H183" s="95">
        <f>IF($L183="","",IF($F183="","",IFERROR(($F183-$E183)*INDEX(HSTECH!$B$7:$B$46,($L183-INT($L183/1000)*1000))*INDEX(HSTECH!$G$7:$G$46,($L183-INT($L183/1000)*1000))/HSTECH!$B$3,"")))</f>
        <v/>
      </c>
      <c r="I183" s="46">
        <f>IF($L183="","",INDEX(HSTECH!$U$7:$U$46,($L183-INT($L183/1000)*1000)))</f>
        <v/>
      </c>
      <c r="K183" s="39">
        <f>IF(HSTECH!$C$10="","",IFERROR(MATCH(HSTECH!$E$10,Fundamentals!$B$216:$B$226,0),99)*1000+4)</f>
        <v/>
      </c>
      <c r="L183" s="39">
        <f>IFERROR(SMALL($K$180:$K$219,4),"")</f>
        <v/>
      </c>
    </row>
    <row r="184">
      <c r="B184" s="22">
        <f>IF($L184="","",INDEX(HSTECH!$E$7:$E$46,($L184-INT($L184/1000)*1000)))</f>
        <v/>
      </c>
      <c r="C184" s="22">
        <f>IF($L184="","",INDEX(HSTECH!$D$7:$D$46,($L184-INT($L184/1000)*1000)))</f>
        <v/>
      </c>
      <c r="D184" s="22">
        <f>IF($L184="","",INDEX(HSTECH!$C$7:$C$46,($L184-INT($L184/1000)*1000)))</f>
        <v/>
      </c>
      <c r="E184" s="69">
        <f>IF($L184="","",INDEX(HSTECH!$K$7:$K$46,($L184-INT($L184/1000)*1000)))</f>
        <v/>
      </c>
      <c r="F184" s="43">
        <f>IF($L184="","",IF(COUNTIFS(OVR_TICKERS,$D184,OVR_BASE,"&gt;=0")=0,"",SUMIFS(OVR_BASE,OVR_TICKERS,$D184)))</f>
        <v/>
      </c>
      <c r="G184" s="69">
        <f>IF($L184="","",INDEX(HSTECH!$L$7:$L$46,($L184-INT($L184/1000)*1000)))</f>
        <v/>
      </c>
      <c r="H184" s="95">
        <f>IF($L184="","",IF($F184="","",IFERROR(($F184-$E184)*INDEX(HSTECH!$B$7:$B$46,($L184-INT($L184/1000)*1000))*INDEX(HSTECH!$G$7:$G$46,($L184-INT($L184/1000)*1000))/HSTECH!$B$3,"")))</f>
        <v/>
      </c>
      <c r="I184" s="46">
        <f>IF($L184="","",INDEX(HSTECH!$U$7:$U$46,($L184-INT($L184/1000)*1000)))</f>
        <v/>
      </c>
      <c r="K184" s="39">
        <f>IF(HSTECH!$C$11="","",IFERROR(MATCH(HSTECH!$E$11,Fundamentals!$B$216:$B$226,0),99)*1000+5)</f>
        <v/>
      </c>
      <c r="L184" s="39">
        <f>IFERROR(SMALL($K$180:$K$219,5),"")</f>
        <v/>
      </c>
    </row>
    <row r="185">
      <c r="B185" s="22">
        <f>IF($L185="","",INDEX(HSTECH!$E$7:$E$46,($L185-INT($L185/1000)*1000)))</f>
        <v/>
      </c>
      <c r="C185" s="22">
        <f>IF($L185="","",INDEX(HSTECH!$D$7:$D$46,($L185-INT($L185/1000)*1000)))</f>
        <v/>
      </c>
      <c r="D185" s="22">
        <f>IF($L185="","",INDEX(HSTECH!$C$7:$C$46,($L185-INT($L185/1000)*1000)))</f>
        <v/>
      </c>
      <c r="E185" s="69">
        <f>IF($L185="","",INDEX(HSTECH!$K$7:$K$46,($L185-INT($L185/1000)*1000)))</f>
        <v/>
      </c>
      <c r="F185" s="43">
        <f>IF($L185="","",IF(COUNTIFS(OVR_TICKERS,$D185,OVR_BASE,"&gt;=0")=0,"",SUMIFS(OVR_BASE,OVR_TICKERS,$D185)))</f>
        <v/>
      </c>
      <c r="G185" s="69">
        <f>IF($L185="","",INDEX(HSTECH!$L$7:$L$46,($L185-INT($L185/1000)*1000)))</f>
        <v/>
      </c>
      <c r="H185" s="95">
        <f>IF($L185="","",IF($F185="","",IFERROR(($F185-$E185)*INDEX(HSTECH!$B$7:$B$46,($L185-INT($L185/1000)*1000))*INDEX(HSTECH!$G$7:$G$46,($L185-INT($L185/1000)*1000))/HSTECH!$B$3,"")))</f>
        <v/>
      </c>
      <c r="I185" s="46">
        <f>IF($L185="","",INDEX(HSTECH!$U$7:$U$46,($L185-INT($L185/1000)*1000)))</f>
        <v/>
      </c>
      <c r="K185" s="39">
        <f>IF(HSTECH!$C$12="","",IFERROR(MATCH(HSTECH!$E$12,Fundamentals!$B$216:$B$226,0),99)*1000+6)</f>
        <v/>
      </c>
      <c r="L185" s="39">
        <f>IFERROR(SMALL($K$180:$K$219,6),"")</f>
        <v/>
      </c>
    </row>
    <row r="186">
      <c r="B186" s="22">
        <f>IF($L186="","",INDEX(HSTECH!$E$7:$E$46,($L186-INT($L186/1000)*1000)))</f>
        <v/>
      </c>
      <c r="C186" s="22">
        <f>IF($L186="","",INDEX(HSTECH!$D$7:$D$46,($L186-INT($L186/1000)*1000)))</f>
        <v/>
      </c>
      <c r="D186" s="22">
        <f>IF($L186="","",INDEX(HSTECH!$C$7:$C$46,($L186-INT($L186/1000)*1000)))</f>
        <v/>
      </c>
      <c r="E186" s="69">
        <f>IF($L186="","",INDEX(HSTECH!$K$7:$K$46,($L186-INT($L186/1000)*1000)))</f>
        <v/>
      </c>
      <c r="F186" s="43">
        <f>IF($L186="","",IF(COUNTIFS(OVR_TICKERS,$D186,OVR_BASE,"&gt;=0")=0,"",SUMIFS(OVR_BASE,OVR_TICKERS,$D186)))</f>
        <v/>
      </c>
      <c r="G186" s="69">
        <f>IF($L186="","",INDEX(HSTECH!$L$7:$L$46,($L186-INT($L186/1000)*1000)))</f>
        <v/>
      </c>
      <c r="H186" s="95">
        <f>IF($L186="","",IF($F186="","",IFERROR(($F186-$E186)*INDEX(HSTECH!$B$7:$B$46,($L186-INT($L186/1000)*1000))*INDEX(HSTECH!$G$7:$G$46,($L186-INT($L186/1000)*1000))/HSTECH!$B$3,"")))</f>
        <v/>
      </c>
      <c r="I186" s="46">
        <f>IF($L186="","",INDEX(HSTECH!$U$7:$U$46,($L186-INT($L186/1000)*1000)))</f>
        <v/>
      </c>
      <c r="K186" s="39">
        <f>IF(HSTECH!$C$13="","",IFERROR(MATCH(HSTECH!$E$13,Fundamentals!$B$216:$B$226,0),99)*1000+7)</f>
        <v/>
      </c>
      <c r="L186" s="39">
        <f>IFERROR(SMALL($K$180:$K$219,7),"")</f>
        <v/>
      </c>
    </row>
    <row r="187">
      <c r="B187" s="22">
        <f>IF($L187="","",INDEX(HSTECH!$E$7:$E$46,($L187-INT($L187/1000)*1000)))</f>
        <v/>
      </c>
      <c r="C187" s="22">
        <f>IF($L187="","",INDEX(HSTECH!$D$7:$D$46,($L187-INT($L187/1000)*1000)))</f>
        <v/>
      </c>
      <c r="D187" s="22">
        <f>IF($L187="","",INDEX(HSTECH!$C$7:$C$46,($L187-INT($L187/1000)*1000)))</f>
        <v/>
      </c>
      <c r="E187" s="69">
        <f>IF($L187="","",INDEX(HSTECH!$K$7:$K$46,($L187-INT($L187/1000)*1000)))</f>
        <v/>
      </c>
      <c r="F187" s="43">
        <f>IF($L187="","",IF(COUNTIFS(OVR_TICKERS,$D187,OVR_BASE,"&gt;=0")=0,"",SUMIFS(OVR_BASE,OVR_TICKERS,$D187)))</f>
        <v/>
      </c>
      <c r="G187" s="69">
        <f>IF($L187="","",INDEX(HSTECH!$L$7:$L$46,($L187-INT($L187/1000)*1000)))</f>
        <v/>
      </c>
      <c r="H187" s="95">
        <f>IF($L187="","",IF($F187="","",IFERROR(($F187-$E187)*INDEX(HSTECH!$B$7:$B$46,($L187-INT($L187/1000)*1000))*INDEX(HSTECH!$G$7:$G$46,($L187-INT($L187/1000)*1000))/HSTECH!$B$3,"")))</f>
        <v/>
      </c>
      <c r="I187" s="46">
        <f>IF($L187="","",INDEX(HSTECH!$U$7:$U$46,($L187-INT($L187/1000)*1000)))</f>
        <v/>
      </c>
      <c r="K187" s="39">
        <f>IF(HSTECH!$C$14="","",IFERROR(MATCH(HSTECH!$E$14,Fundamentals!$B$216:$B$226,0),99)*1000+8)</f>
        <v/>
      </c>
      <c r="L187" s="39">
        <f>IFERROR(SMALL($K$180:$K$219,8),"")</f>
        <v/>
      </c>
    </row>
    <row r="188">
      <c r="B188" s="22">
        <f>IF($L188="","",INDEX(HSTECH!$E$7:$E$46,($L188-INT($L188/1000)*1000)))</f>
        <v/>
      </c>
      <c r="C188" s="22">
        <f>IF($L188="","",INDEX(HSTECH!$D$7:$D$46,($L188-INT($L188/1000)*1000)))</f>
        <v/>
      </c>
      <c r="D188" s="22">
        <f>IF($L188="","",INDEX(HSTECH!$C$7:$C$46,($L188-INT($L188/1000)*1000)))</f>
        <v/>
      </c>
      <c r="E188" s="69">
        <f>IF($L188="","",INDEX(HSTECH!$K$7:$K$46,($L188-INT($L188/1000)*1000)))</f>
        <v/>
      </c>
      <c r="F188" s="43">
        <f>IF($L188="","",IF(COUNTIFS(OVR_TICKERS,$D188,OVR_BASE,"&gt;=0")=0,"",SUMIFS(OVR_BASE,OVR_TICKERS,$D188)))</f>
        <v/>
      </c>
      <c r="G188" s="69">
        <f>IF($L188="","",INDEX(HSTECH!$L$7:$L$46,($L188-INT($L188/1000)*1000)))</f>
        <v/>
      </c>
      <c r="H188" s="95">
        <f>IF($L188="","",IF($F188="","",IFERROR(($F188-$E188)*INDEX(HSTECH!$B$7:$B$46,($L188-INT($L188/1000)*1000))*INDEX(HSTECH!$G$7:$G$46,($L188-INT($L188/1000)*1000))/HSTECH!$B$3,"")))</f>
        <v/>
      </c>
      <c r="I188" s="46">
        <f>IF($L188="","",INDEX(HSTECH!$U$7:$U$46,($L188-INT($L188/1000)*1000)))</f>
        <v/>
      </c>
      <c r="K188" s="39">
        <f>IF(HSTECH!$C$15="","",IFERROR(MATCH(HSTECH!$E$15,Fundamentals!$B$216:$B$226,0),99)*1000+9)</f>
        <v/>
      </c>
      <c r="L188" s="39">
        <f>IFERROR(SMALL($K$180:$K$219,9),"")</f>
        <v/>
      </c>
    </row>
    <row r="189">
      <c r="B189" s="22">
        <f>IF($L189="","",INDEX(HSTECH!$E$7:$E$46,($L189-INT($L189/1000)*1000)))</f>
        <v/>
      </c>
      <c r="C189" s="22">
        <f>IF($L189="","",INDEX(HSTECH!$D$7:$D$46,($L189-INT($L189/1000)*1000)))</f>
        <v/>
      </c>
      <c r="D189" s="22">
        <f>IF($L189="","",INDEX(HSTECH!$C$7:$C$46,($L189-INT($L189/1000)*1000)))</f>
        <v/>
      </c>
      <c r="E189" s="69">
        <f>IF($L189="","",INDEX(HSTECH!$K$7:$K$46,($L189-INT($L189/1000)*1000)))</f>
        <v/>
      </c>
      <c r="F189" s="43">
        <f>IF($L189="","",IF(COUNTIFS(OVR_TICKERS,$D189,OVR_BASE,"&gt;=0")=0,"",SUMIFS(OVR_BASE,OVR_TICKERS,$D189)))</f>
        <v/>
      </c>
      <c r="G189" s="69">
        <f>IF($L189="","",INDEX(HSTECH!$L$7:$L$46,($L189-INT($L189/1000)*1000)))</f>
        <v/>
      </c>
      <c r="H189" s="95">
        <f>IF($L189="","",IF($F189="","",IFERROR(($F189-$E189)*INDEX(HSTECH!$B$7:$B$46,($L189-INT($L189/1000)*1000))*INDEX(HSTECH!$G$7:$G$46,($L189-INT($L189/1000)*1000))/HSTECH!$B$3,"")))</f>
        <v/>
      </c>
      <c r="I189" s="46">
        <f>IF($L189="","",INDEX(HSTECH!$U$7:$U$46,($L189-INT($L189/1000)*1000)))</f>
        <v/>
      </c>
      <c r="K189" s="39">
        <f>IF(HSTECH!$C$16="","",IFERROR(MATCH(HSTECH!$E$16,Fundamentals!$B$216:$B$226,0),99)*1000+10)</f>
        <v/>
      </c>
      <c r="L189" s="39">
        <f>IFERROR(SMALL($K$180:$K$219,10),"")</f>
        <v/>
      </c>
    </row>
    <row r="190">
      <c r="B190" s="22">
        <f>IF($L190="","",INDEX(HSTECH!$E$7:$E$46,($L190-INT($L190/1000)*1000)))</f>
        <v/>
      </c>
      <c r="C190" s="22">
        <f>IF($L190="","",INDEX(HSTECH!$D$7:$D$46,($L190-INT($L190/1000)*1000)))</f>
        <v/>
      </c>
      <c r="D190" s="22">
        <f>IF($L190="","",INDEX(HSTECH!$C$7:$C$46,($L190-INT($L190/1000)*1000)))</f>
        <v/>
      </c>
      <c r="E190" s="69">
        <f>IF($L190="","",INDEX(HSTECH!$K$7:$K$46,($L190-INT($L190/1000)*1000)))</f>
        <v/>
      </c>
      <c r="F190" s="43">
        <f>IF($L190="","",IF(COUNTIFS(OVR_TICKERS,$D190,OVR_BASE,"&gt;=0")=0,"",SUMIFS(OVR_BASE,OVR_TICKERS,$D190)))</f>
        <v/>
      </c>
      <c r="G190" s="69">
        <f>IF($L190="","",INDEX(HSTECH!$L$7:$L$46,($L190-INT($L190/1000)*1000)))</f>
        <v/>
      </c>
      <c r="H190" s="95">
        <f>IF($L190="","",IF($F190="","",IFERROR(($F190-$E190)*INDEX(HSTECH!$B$7:$B$46,($L190-INT($L190/1000)*1000))*INDEX(HSTECH!$G$7:$G$46,($L190-INT($L190/1000)*1000))/HSTECH!$B$3,"")))</f>
        <v/>
      </c>
      <c r="I190" s="46">
        <f>IF($L190="","",INDEX(HSTECH!$U$7:$U$46,($L190-INT($L190/1000)*1000)))</f>
        <v/>
      </c>
      <c r="K190" s="39">
        <f>IF(HSTECH!$C$17="","",IFERROR(MATCH(HSTECH!$E$17,Fundamentals!$B$216:$B$226,0),99)*1000+11)</f>
        <v/>
      </c>
      <c r="L190" s="39">
        <f>IFERROR(SMALL($K$180:$K$219,11),"")</f>
        <v/>
      </c>
    </row>
    <row r="191">
      <c r="B191" s="22">
        <f>IF($L191="","",INDEX(HSTECH!$E$7:$E$46,($L191-INT($L191/1000)*1000)))</f>
        <v/>
      </c>
      <c r="C191" s="22">
        <f>IF($L191="","",INDEX(HSTECH!$D$7:$D$46,($L191-INT($L191/1000)*1000)))</f>
        <v/>
      </c>
      <c r="D191" s="22">
        <f>IF($L191="","",INDEX(HSTECH!$C$7:$C$46,($L191-INT($L191/1000)*1000)))</f>
        <v/>
      </c>
      <c r="E191" s="69">
        <f>IF($L191="","",INDEX(HSTECH!$K$7:$K$46,($L191-INT($L191/1000)*1000)))</f>
        <v/>
      </c>
      <c r="F191" s="43">
        <f>IF($L191="","",IF(COUNTIFS(OVR_TICKERS,$D191,OVR_BASE,"&gt;=0")=0,"",SUMIFS(OVR_BASE,OVR_TICKERS,$D191)))</f>
        <v/>
      </c>
      <c r="G191" s="69">
        <f>IF($L191="","",INDEX(HSTECH!$L$7:$L$46,($L191-INT($L191/1000)*1000)))</f>
        <v/>
      </c>
      <c r="H191" s="95">
        <f>IF($L191="","",IF($F191="","",IFERROR(($F191-$E191)*INDEX(HSTECH!$B$7:$B$46,($L191-INT($L191/1000)*1000))*INDEX(HSTECH!$G$7:$G$46,($L191-INT($L191/1000)*1000))/HSTECH!$B$3,"")))</f>
        <v/>
      </c>
      <c r="I191" s="46">
        <f>IF($L191="","",INDEX(HSTECH!$U$7:$U$46,($L191-INT($L191/1000)*1000)))</f>
        <v/>
      </c>
      <c r="K191" s="39">
        <f>IF(HSTECH!$C$18="","",IFERROR(MATCH(HSTECH!$E$18,Fundamentals!$B$216:$B$226,0),99)*1000+12)</f>
        <v/>
      </c>
      <c r="L191" s="39">
        <f>IFERROR(SMALL($K$180:$K$219,12),"")</f>
        <v/>
      </c>
    </row>
    <row r="192">
      <c r="B192" s="22">
        <f>IF($L192="","",INDEX(HSTECH!$E$7:$E$46,($L192-INT($L192/1000)*1000)))</f>
        <v/>
      </c>
      <c r="C192" s="22">
        <f>IF($L192="","",INDEX(HSTECH!$D$7:$D$46,($L192-INT($L192/1000)*1000)))</f>
        <v/>
      </c>
      <c r="D192" s="22">
        <f>IF($L192="","",INDEX(HSTECH!$C$7:$C$46,($L192-INT($L192/1000)*1000)))</f>
        <v/>
      </c>
      <c r="E192" s="69">
        <f>IF($L192="","",INDEX(HSTECH!$K$7:$K$46,($L192-INT($L192/1000)*1000)))</f>
        <v/>
      </c>
      <c r="F192" s="43">
        <f>IF($L192="","",IF(COUNTIFS(OVR_TICKERS,$D192,OVR_BASE,"&gt;=0")=0,"",SUMIFS(OVR_BASE,OVR_TICKERS,$D192)))</f>
        <v/>
      </c>
      <c r="G192" s="69">
        <f>IF($L192="","",INDEX(HSTECH!$L$7:$L$46,($L192-INT($L192/1000)*1000)))</f>
        <v/>
      </c>
      <c r="H192" s="95">
        <f>IF($L192="","",IF($F192="","",IFERROR(($F192-$E192)*INDEX(HSTECH!$B$7:$B$46,($L192-INT($L192/1000)*1000))*INDEX(HSTECH!$G$7:$G$46,($L192-INT($L192/1000)*1000))/HSTECH!$B$3,"")))</f>
        <v/>
      </c>
      <c r="I192" s="46">
        <f>IF($L192="","",INDEX(HSTECH!$U$7:$U$46,($L192-INT($L192/1000)*1000)))</f>
        <v/>
      </c>
      <c r="K192" s="39">
        <f>IF(HSTECH!$C$19="","",IFERROR(MATCH(HSTECH!$E$19,Fundamentals!$B$216:$B$226,0),99)*1000+13)</f>
        <v/>
      </c>
      <c r="L192" s="39">
        <f>IFERROR(SMALL($K$180:$K$219,13),"")</f>
        <v/>
      </c>
    </row>
    <row r="193">
      <c r="B193" s="22">
        <f>IF($L193="","",INDEX(HSTECH!$E$7:$E$46,($L193-INT($L193/1000)*1000)))</f>
        <v/>
      </c>
      <c r="C193" s="22">
        <f>IF($L193="","",INDEX(HSTECH!$D$7:$D$46,($L193-INT($L193/1000)*1000)))</f>
        <v/>
      </c>
      <c r="D193" s="22">
        <f>IF($L193="","",INDEX(HSTECH!$C$7:$C$46,($L193-INT($L193/1000)*1000)))</f>
        <v/>
      </c>
      <c r="E193" s="69">
        <f>IF($L193="","",INDEX(HSTECH!$K$7:$K$46,($L193-INT($L193/1000)*1000)))</f>
        <v/>
      </c>
      <c r="F193" s="43">
        <f>IF($L193="","",IF(COUNTIFS(OVR_TICKERS,$D193,OVR_BASE,"&gt;=0")=0,"",SUMIFS(OVR_BASE,OVR_TICKERS,$D193)))</f>
        <v/>
      </c>
      <c r="G193" s="69">
        <f>IF($L193="","",INDEX(HSTECH!$L$7:$L$46,($L193-INT($L193/1000)*1000)))</f>
        <v/>
      </c>
      <c r="H193" s="95">
        <f>IF($L193="","",IF($F193="","",IFERROR(($F193-$E193)*INDEX(HSTECH!$B$7:$B$46,($L193-INT($L193/1000)*1000))*INDEX(HSTECH!$G$7:$G$46,($L193-INT($L193/1000)*1000))/HSTECH!$B$3,"")))</f>
        <v/>
      </c>
      <c r="I193" s="46">
        <f>IF($L193="","",INDEX(HSTECH!$U$7:$U$46,($L193-INT($L193/1000)*1000)))</f>
        <v/>
      </c>
      <c r="K193" s="39">
        <f>IF(HSTECH!$C$20="","",IFERROR(MATCH(HSTECH!$E$20,Fundamentals!$B$216:$B$226,0),99)*1000+14)</f>
        <v/>
      </c>
      <c r="L193" s="39">
        <f>IFERROR(SMALL($K$180:$K$219,14),"")</f>
        <v/>
      </c>
    </row>
    <row r="194">
      <c r="B194" s="22">
        <f>IF($L194="","",INDEX(HSTECH!$E$7:$E$46,($L194-INT($L194/1000)*1000)))</f>
        <v/>
      </c>
      <c r="C194" s="22">
        <f>IF($L194="","",INDEX(HSTECH!$D$7:$D$46,($L194-INT($L194/1000)*1000)))</f>
        <v/>
      </c>
      <c r="D194" s="22">
        <f>IF($L194="","",INDEX(HSTECH!$C$7:$C$46,($L194-INT($L194/1000)*1000)))</f>
        <v/>
      </c>
      <c r="E194" s="69">
        <f>IF($L194="","",INDEX(HSTECH!$K$7:$K$46,($L194-INT($L194/1000)*1000)))</f>
        <v/>
      </c>
      <c r="F194" s="43">
        <f>IF($L194="","",IF(COUNTIFS(OVR_TICKERS,$D194,OVR_BASE,"&gt;=0")=0,"",SUMIFS(OVR_BASE,OVR_TICKERS,$D194)))</f>
        <v/>
      </c>
      <c r="G194" s="69">
        <f>IF($L194="","",INDEX(HSTECH!$L$7:$L$46,($L194-INT($L194/1000)*1000)))</f>
        <v/>
      </c>
      <c r="H194" s="95">
        <f>IF($L194="","",IF($F194="","",IFERROR(($F194-$E194)*INDEX(HSTECH!$B$7:$B$46,($L194-INT($L194/1000)*1000))*INDEX(HSTECH!$G$7:$G$46,($L194-INT($L194/1000)*1000))/HSTECH!$B$3,"")))</f>
        <v/>
      </c>
      <c r="I194" s="46">
        <f>IF($L194="","",INDEX(HSTECH!$U$7:$U$46,($L194-INT($L194/1000)*1000)))</f>
        <v/>
      </c>
      <c r="K194" s="39">
        <f>IF(HSTECH!$C$21="","",IFERROR(MATCH(HSTECH!$E$21,Fundamentals!$B$216:$B$226,0),99)*1000+15)</f>
        <v/>
      </c>
      <c r="L194" s="39">
        <f>IFERROR(SMALL($K$180:$K$219,15),"")</f>
        <v/>
      </c>
    </row>
    <row r="195">
      <c r="B195" s="22">
        <f>IF($L195="","",INDEX(HSTECH!$E$7:$E$46,($L195-INT($L195/1000)*1000)))</f>
        <v/>
      </c>
      <c r="C195" s="22">
        <f>IF($L195="","",INDEX(HSTECH!$D$7:$D$46,($L195-INT($L195/1000)*1000)))</f>
        <v/>
      </c>
      <c r="D195" s="22">
        <f>IF($L195="","",INDEX(HSTECH!$C$7:$C$46,($L195-INT($L195/1000)*1000)))</f>
        <v/>
      </c>
      <c r="E195" s="69">
        <f>IF($L195="","",INDEX(HSTECH!$K$7:$K$46,($L195-INT($L195/1000)*1000)))</f>
        <v/>
      </c>
      <c r="F195" s="43">
        <f>IF($L195="","",IF(COUNTIFS(OVR_TICKERS,$D195,OVR_BASE,"&gt;=0")=0,"",SUMIFS(OVR_BASE,OVR_TICKERS,$D195)))</f>
        <v/>
      </c>
      <c r="G195" s="69">
        <f>IF($L195="","",INDEX(HSTECH!$L$7:$L$46,($L195-INT($L195/1000)*1000)))</f>
        <v/>
      </c>
      <c r="H195" s="95">
        <f>IF($L195="","",IF($F195="","",IFERROR(($F195-$E195)*INDEX(HSTECH!$B$7:$B$46,($L195-INT($L195/1000)*1000))*INDEX(HSTECH!$G$7:$G$46,($L195-INT($L195/1000)*1000))/HSTECH!$B$3,"")))</f>
        <v/>
      </c>
      <c r="I195" s="46">
        <f>IF($L195="","",INDEX(HSTECH!$U$7:$U$46,($L195-INT($L195/1000)*1000)))</f>
        <v/>
      </c>
      <c r="K195" s="39">
        <f>IF(HSTECH!$C$22="","",IFERROR(MATCH(HSTECH!$E$22,Fundamentals!$B$216:$B$226,0),99)*1000+16)</f>
        <v/>
      </c>
      <c r="L195" s="39">
        <f>IFERROR(SMALL($K$180:$K$219,16),"")</f>
        <v/>
      </c>
    </row>
    <row r="196">
      <c r="B196" s="22">
        <f>IF($L196="","",INDEX(HSTECH!$E$7:$E$46,($L196-INT($L196/1000)*1000)))</f>
        <v/>
      </c>
      <c r="C196" s="22">
        <f>IF($L196="","",INDEX(HSTECH!$D$7:$D$46,($L196-INT($L196/1000)*1000)))</f>
        <v/>
      </c>
      <c r="D196" s="22">
        <f>IF($L196="","",INDEX(HSTECH!$C$7:$C$46,($L196-INT($L196/1000)*1000)))</f>
        <v/>
      </c>
      <c r="E196" s="69">
        <f>IF($L196="","",INDEX(HSTECH!$K$7:$K$46,($L196-INT($L196/1000)*1000)))</f>
        <v/>
      </c>
      <c r="F196" s="43">
        <f>IF($L196="","",IF(COUNTIFS(OVR_TICKERS,$D196,OVR_BASE,"&gt;=0")=0,"",SUMIFS(OVR_BASE,OVR_TICKERS,$D196)))</f>
        <v/>
      </c>
      <c r="G196" s="69">
        <f>IF($L196="","",INDEX(HSTECH!$L$7:$L$46,($L196-INT($L196/1000)*1000)))</f>
        <v/>
      </c>
      <c r="H196" s="95">
        <f>IF($L196="","",IF($F196="","",IFERROR(($F196-$E196)*INDEX(HSTECH!$B$7:$B$46,($L196-INT($L196/1000)*1000))*INDEX(HSTECH!$G$7:$G$46,($L196-INT($L196/1000)*1000))/HSTECH!$B$3,"")))</f>
        <v/>
      </c>
      <c r="I196" s="46">
        <f>IF($L196="","",INDEX(HSTECH!$U$7:$U$46,($L196-INT($L196/1000)*1000)))</f>
        <v/>
      </c>
      <c r="K196" s="39">
        <f>IF(HSTECH!$C$23="","",IFERROR(MATCH(HSTECH!$E$23,Fundamentals!$B$216:$B$226,0),99)*1000+17)</f>
        <v/>
      </c>
      <c r="L196" s="39">
        <f>IFERROR(SMALL($K$180:$K$219,17),"")</f>
        <v/>
      </c>
    </row>
    <row r="197">
      <c r="B197" s="22">
        <f>IF($L197="","",INDEX(HSTECH!$E$7:$E$46,($L197-INT($L197/1000)*1000)))</f>
        <v/>
      </c>
      <c r="C197" s="22">
        <f>IF($L197="","",INDEX(HSTECH!$D$7:$D$46,($L197-INT($L197/1000)*1000)))</f>
        <v/>
      </c>
      <c r="D197" s="22">
        <f>IF($L197="","",INDEX(HSTECH!$C$7:$C$46,($L197-INT($L197/1000)*1000)))</f>
        <v/>
      </c>
      <c r="E197" s="69">
        <f>IF($L197="","",INDEX(HSTECH!$K$7:$K$46,($L197-INT($L197/1000)*1000)))</f>
        <v/>
      </c>
      <c r="F197" s="43">
        <f>IF($L197="","",IF(COUNTIFS(OVR_TICKERS,$D197,OVR_BASE,"&gt;=0")=0,"",SUMIFS(OVR_BASE,OVR_TICKERS,$D197)))</f>
        <v/>
      </c>
      <c r="G197" s="69">
        <f>IF($L197="","",INDEX(HSTECH!$L$7:$L$46,($L197-INT($L197/1000)*1000)))</f>
        <v/>
      </c>
      <c r="H197" s="95">
        <f>IF($L197="","",IF($F197="","",IFERROR(($F197-$E197)*INDEX(HSTECH!$B$7:$B$46,($L197-INT($L197/1000)*1000))*INDEX(HSTECH!$G$7:$G$46,($L197-INT($L197/1000)*1000))/HSTECH!$B$3,"")))</f>
        <v/>
      </c>
      <c r="I197" s="46">
        <f>IF($L197="","",INDEX(HSTECH!$U$7:$U$46,($L197-INT($L197/1000)*1000)))</f>
        <v/>
      </c>
      <c r="K197" s="39">
        <f>IF(HSTECH!$C$24="","",IFERROR(MATCH(HSTECH!$E$24,Fundamentals!$B$216:$B$226,0),99)*1000+18)</f>
        <v/>
      </c>
      <c r="L197" s="39">
        <f>IFERROR(SMALL($K$180:$K$219,18),"")</f>
        <v/>
      </c>
    </row>
    <row r="198">
      <c r="B198" s="22">
        <f>IF($L198="","",INDEX(HSTECH!$E$7:$E$46,($L198-INT($L198/1000)*1000)))</f>
        <v/>
      </c>
      <c r="C198" s="22">
        <f>IF($L198="","",INDEX(HSTECH!$D$7:$D$46,($L198-INT($L198/1000)*1000)))</f>
        <v/>
      </c>
      <c r="D198" s="22">
        <f>IF($L198="","",INDEX(HSTECH!$C$7:$C$46,($L198-INT($L198/1000)*1000)))</f>
        <v/>
      </c>
      <c r="E198" s="69">
        <f>IF($L198="","",INDEX(HSTECH!$K$7:$K$46,($L198-INT($L198/1000)*1000)))</f>
        <v/>
      </c>
      <c r="F198" s="43">
        <f>IF($L198="","",IF(COUNTIFS(OVR_TICKERS,$D198,OVR_BASE,"&gt;=0")=0,"",SUMIFS(OVR_BASE,OVR_TICKERS,$D198)))</f>
        <v/>
      </c>
      <c r="G198" s="69">
        <f>IF($L198="","",INDEX(HSTECH!$L$7:$L$46,($L198-INT($L198/1000)*1000)))</f>
        <v/>
      </c>
      <c r="H198" s="95">
        <f>IF($L198="","",IF($F198="","",IFERROR(($F198-$E198)*INDEX(HSTECH!$B$7:$B$46,($L198-INT($L198/1000)*1000))*INDEX(HSTECH!$G$7:$G$46,($L198-INT($L198/1000)*1000))/HSTECH!$B$3,"")))</f>
        <v/>
      </c>
      <c r="I198" s="46">
        <f>IF($L198="","",INDEX(HSTECH!$U$7:$U$46,($L198-INT($L198/1000)*1000)))</f>
        <v/>
      </c>
      <c r="K198" s="39">
        <f>IF(HSTECH!$C$25="","",IFERROR(MATCH(HSTECH!$E$25,Fundamentals!$B$216:$B$226,0),99)*1000+19)</f>
        <v/>
      </c>
      <c r="L198" s="39">
        <f>IFERROR(SMALL($K$180:$K$219,19),"")</f>
        <v/>
      </c>
    </row>
    <row r="199">
      <c r="B199" s="22">
        <f>IF($L199="","",INDEX(HSTECH!$E$7:$E$46,($L199-INT($L199/1000)*1000)))</f>
        <v/>
      </c>
      <c r="C199" s="22">
        <f>IF($L199="","",INDEX(HSTECH!$D$7:$D$46,($L199-INT($L199/1000)*1000)))</f>
        <v/>
      </c>
      <c r="D199" s="22">
        <f>IF($L199="","",INDEX(HSTECH!$C$7:$C$46,($L199-INT($L199/1000)*1000)))</f>
        <v/>
      </c>
      <c r="E199" s="69">
        <f>IF($L199="","",INDEX(HSTECH!$K$7:$K$46,($L199-INT($L199/1000)*1000)))</f>
        <v/>
      </c>
      <c r="F199" s="43">
        <f>IF($L199="","",IF(COUNTIFS(OVR_TICKERS,$D199,OVR_BASE,"&gt;=0")=0,"",SUMIFS(OVR_BASE,OVR_TICKERS,$D199)))</f>
        <v/>
      </c>
      <c r="G199" s="69">
        <f>IF($L199="","",INDEX(HSTECH!$L$7:$L$46,($L199-INT($L199/1000)*1000)))</f>
        <v/>
      </c>
      <c r="H199" s="95">
        <f>IF($L199="","",IF($F199="","",IFERROR(($F199-$E199)*INDEX(HSTECH!$B$7:$B$46,($L199-INT($L199/1000)*1000))*INDEX(HSTECH!$G$7:$G$46,($L199-INT($L199/1000)*1000))/HSTECH!$B$3,"")))</f>
        <v/>
      </c>
      <c r="I199" s="46">
        <f>IF($L199="","",INDEX(HSTECH!$U$7:$U$46,($L199-INT($L199/1000)*1000)))</f>
        <v/>
      </c>
      <c r="K199" s="39">
        <f>IF(HSTECH!$C$26="","",IFERROR(MATCH(HSTECH!$E$26,Fundamentals!$B$216:$B$226,0),99)*1000+20)</f>
        <v/>
      </c>
      <c r="L199" s="39">
        <f>IFERROR(SMALL($K$180:$K$219,20),"")</f>
        <v/>
      </c>
    </row>
    <row r="200">
      <c r="B200" s="22">
        <f>IF($L200="","",INDEX(HSTECH!$E$7:$E$46,($L200-INT($L200/1000)*1000)))</f>
        <v/>
      </c>
      <c r="C200" s="22">
        <f>IF($L200="","",INDEX(HSTECH!$D$7:$D$46,($L200-INT($L200/1000)*1000)))</f>
        <v/>
      </c>
      <c r="D200" s="22">
        <f>IF($L200="","",INDEX(HSTECH!$C$7:$C$46,($L200-INT($L200/1000)*1000)))</f>
        <v/>
      </c>
      <c r="E200" s="69">
        <f>IF($L200="","",INDEX(HSTECH!$K$7:$K$46,($L200-INT($L200/1000)*1000)))</f>
        <v/>
      </c>
      <c r="F200" s="43">
        <f>IF($L200="","",IF(COUNTIFS(OVR_TICKERS,$D200,OVR_BASE,"&gt;=0")=0,"",SUMIFS(OVR_BASE,OVR_TICKERS,$D200)))</f>
        <v/>
      </c>
      <c r="G200" s="69">
        <f>IF($L200="","",INDEX(HSTECH!$L$7:$L$46,($L200-INT($L200/1000)*1000)))</f>
        <v/>
      </c>
      <c r="H200" s="95">
        <f>IF($L200="","",IF($F200="","",IFERROR(($F200-$E200)*INDEX(HSTECH!$B$7:$B$46,($L200-INT($L200/1000)*1000))*INDEX(HSTECH!$G$7:$G$46,($L200-INT($L200/1000)*1000))/HSTECH!$B$3,"")))</f>
        <v/>
      </c>
      <c r="I200" s="46">
        <f>IF($L200="","",INDEX(HSTECH!$U$7:$U$46,($L200-INT($L200/1000)*1000)))</f>
        <v/>
      </c>
      <c r="K200" s="39">
        <f>IF(HSTECH!$C$27="","",IFERROR(MATCH(HSTECH!$E$27,Fundamentals!$B$216:$B$226,0),99)*1000+21)</f>
        <v/>
      </c>
      <c r="L200" s="39">
        <f>IFERROR(SMALL($K$180:$K$219,21),"")</f>
        <v/>
      </c>
    </row>
    <row r="201">
      <c r="B201" s="22">
        <f>IF($L201="","",INDEX(HSTECH!$E$7:$E$46,($L201-INT($L201/1000)*1000)))</f>
        <v/>
      </c>
      <c r="C201" s="22">
        <f>IF($L201="","",INDEX(HSTECH!$D$7:$D$46,($L201-INT($L201/1000)*1000)))</f>
        <v/>
      </c>
      <c r="D201" s="22">
        <f>IF($L201="","",INDEX(HSTECH!$C$7:$C$46,($L201-INT($L201/1000)*1000)))</f>
        <v/>
      </c>
      <c r="E201" s="69">
        <f>IF($L201="","",INDEX(HSTECH!$K$7:$K$46,($L201-INT($L201/1000)*1000)))</f>
        <v/>
      </c>
      <c r="F201" s="43">
        <f>IF($L201="","",IF(COUNTIFS(OVR_TICKERS,$D201,OVR_BASE,"&gt;=0")=0,"",SUMIFS(OVR_BASE,OVR_TICKERS,$D201)))</f>
        <v/>
      </c>
      <c r="G201" s="69">
        <f>IF($L201="","",INDEX(HSTECH!$L$7:$L$46,($L201-INT($L201/1000)*1000)))</f>
        <v/>
      </c>
      <c r="H201" s="95">
        <f>IF($L201="","",IF($F201="","",IFERROR(($F201-$E201)*INDEX(HSTECH!$B$7:$B$46,($L201-INT($L201/1000)*1000))*INDEX(HSTECH!$G$7:$G$46,($L201-INT($L201/1000)*1000))/HSTECH!$B$3,"")))</f>
        <v/>
      </c>
      <c r="I201" s="46">
        <f>IF($L201="","",INDEX(HSTECH!$U$7:$U$46,($L201-INT($L201/1000)*1000)))</f>
        <v/>
      </c>
      <c r="K201" s="39">
        <f>IF(HSTECH!$C$28="","",IFERROR(MATCH(HSTECH!$E$28,Fundamentals!$B$216:$B$226,0),99)*1000+22)</f>
        <v/>
      </c>
      <c r="L201" s="39">
        <f>IFERROR(SMALL($K$180:$K$219,22),"")</f>
        <v/>
      </c>
    </row>
    <row r="202">
      <c r="B202" s="22">
        <f>IF($L202="","",INDEX(HSTECH!$E$7:$E$46,($L202-INT($L202/1000)*1000)))</f>
        <v/>
      </c>
      <c r="C202" s="22">
        <f>IF($L202="","",INDEX(HSTECH!$D$7:$D$46,($L202-INT($L202/1000)*1000)))</f>
        <v/>
      </c>
      <c r="D202" s="22">
        <f>IF($L202="","",INDEX(HSTECH!$C$7:$C$46,($L202-INT($L202/1000)*1000)))</f>
        <v/>
      </c>
      <c r="E202" s="69">
        <f>IF($L202="","",INDEX(HSTECH!$K$7:$K$46,($L202-INT($L202/1000)*1000)))</f>
        <v/>
      </c>
      <c r="F202" s="43">
        <f>IF($L202="","",IF(COUNTIFS(OVR_TICKERS,$D202,OVR_BASE,"&gt;=0")=0,"",SUMIFS(OVR_BASE,OVR_TICKERS,$D202)))</f>
        <v/>
      </c>
      <c r="G202" s="69">
        <f>IF($L202="","",INDEX(HSTECH!$L$7:$L$46,($L202-INT($L202/1000)*1000)))</f>
        <v/>
      </c>
      <c r="H202" s="95">
        <f>IF($L202="","",IF($F202="","",IFERROR(($F202-$E202)*INDEX(HSTECH!$B$7:$B$46,($L202-INT($L202/1000)*1000))*INDEX(HSTECH!$G$7:$G$46,($L202-INT($L202/1000)*1000))/HSTECH!$B$3,"")))</f>
        <v/>
      </c>
      <c r="I202" s="46">
        <f>IF($L202="","",INDEX(HSTECH!$U$7:$U$46,($L202-INT($L202/1000)*1000)))</f>
        <v/>
      </c>
      <c r="K202" s="39">
        <f>IF(HSTECH!$C$29="","",IFERROR(MATCH(HSTECH!$E$29,Fundamentals!$B$216:$B$226,0),99)*1000+23)</f>
        <v/>
      </c>
      <c r="L202" s="39">
        <f>IFERROR(SMALL($K$180:$K$219,23),"")</f>
        <v/>
      </c>
    </row>
    <row r="203">
      <c r="B203" s="22">
        <f>IF($L203="","",INDEX(HSTECH!$E$7:$E$46,($L203-INT($L203/1000)*1000)))</f>
        <v/>
      </c>
      <c r="C203" s="22">
        <f>IF($L203="","",INDEX(HSTECH!$D$7:$D$46,($L203-INT($L203/1000)*1000)))</f>
        <v/>
      </c>
      <c r="D203" s="22">
        <f>IF($L203="","",INDEX(HSTECH!$C$7:$C$46,($L203-INT($L203/1000)*1000)))</f>
        <v/>
      </c>
      <c r="E203" s="69">
        <f>IF($L203="","",INDEX(HSTECH!$K$7:$K$46,($L203-INT($L203/1000)*1000)))</f>
        <v/>
      </c>
      <c r="F203" s="43">
        <f>IF($L203="","",IF(COUNTIFS(OVR_TICKERS,$D203,OVR_BASE,"&gt;=0")=0,"",SUMIFS(OVR_BASE,OVR_TICKERS,$D203)))</f>
        <v/>
      </c>
      <c r="G203" s="69">
        <f>IF($L203="","",INDEX(HSTECH!$L$7:$L$46,($L203-INT($L203/1000)*1000)))</f>
        <v/>
      </c>
      <c r="H203" s="95">
        <f>IF($L203="","",IF($F203="","",IFERROR(($F203-$E203)*INDEX(HSTECH!$B$7:$B$46,($L203-INT($L203/1000)*1000))*INDEX(HSTECH!$G$7:$G$46,($L203-INT($L203/1000)*1000))/HSTECH!$B$3,"")))</f>
        <v/>
      </c>
      <c r="I203" s="46">
        <f>IF($L203="","",INDEX(HSTECH!$U$7:$U$46,($L203-INT($L203/1000)*1000)))</f>
        <v/>
      </c>
      <c r="K203" s="39">
        <f>IF(HSTECH!$C$30="","",IFERROR(MATCH(HSTECH!$E$30,Fundamentals!$B$216:$B$226,0),99)*1000+24)</f>
        <v/>
      </c>
      <c r="L203" s="39">
        <f>IFERROR(SMALL($K$180:$K$219,24),"")</f>
        <v/>
      </c>
    </row>
    <row r="204">
      <c r="B204" s="22">
        <f>IF($L204="","",INDEX(HSTECH!$E$7:$E$46,($L204-INT($L204/1000)*1000)))</f>
        <v/>
      </c>
      <c r="C204" s="22">
        <f>IF($L204="","",INDEX(HSTECH!$D$7:$D$46,($L204-INT($L204/1000)*1000)))</f>
        <v/>
      </c>
      <c r="D204" s="22">
        <f>IF($L204="","",INDEX(HSTECH!$C$7:$C$46,($L204-INT($L204/1000)*1000)))</f>
        <v/>
      </c>
      <c r="E204" s="69">
        <f>IF($L204="","",INDEX(HSTECH!$K$7:$K$46,($L204-INT($L204/1000)*1000)))</f>
        <v/>
      </c>
      <c r="F204" s="43">
        <f>IF($L204="","",IF(COUNTIFS(OVR_TICKERS,$D204,OVR_BASE,"&gt;=0")=0,"",SUMIFS(OVR_BASE,OVR_TICKERS,$D204)))</f>
        <v/>
      </c>
      <c r="G204" s="69">
        <f>IF($L204="","",INDEX(HSTECH!$L$7:$L$46,($L204-INT($L204/1000)*1000)))</f>
        <v/>
      </c>
      <c r="H204" s="95">
        <f>IF($L204="","",IF($F204="","",IFERROR(($F204-$E204)*INDEX(HSTECH!$B$7:$B$46,($L204-INT($L204/1000)*1000))*INDEX(HSTECH!$G$7:$G$46,($L204-INT($L204/1000)*1000))/HSTECH!$B$3,"")))</f>
        <v/>
      </c>
      <c r="I204" s="46">
        <f>IF($L204="","",INDEX(HSTECH!$U$7:$U$46,($L204-INT($L204/1000)*1000)))</f>
        <v/>
      </c>
      <c r="K204" s="39">
        <f>IF(HSTECH!$C$31="","",IFERROR(MATCH(HSTECH!$E$31,Fundamentals!$B$216:$B$226,0),99)*1000+25)</f>
        <v/>
      </c>
      <c r="L204" s="39">
        <f>IFERROR(SMALL($K$180:$K$219,25),"")</f>
        <v/>
      </c>
    </row>
    <row r="205">
      <c r="B205" s="22">
        <f>IF($L205="","",INDEX(HSTECH!$E$7:$E$46,($L205-INT($L205/1000)*1000)))</f>
        <v/>
      </c>
      <c r="C205" s="22">
        <f>IF($L205="","",INDEX(HSTECH!$D$7:$D$46,($L205-INT($L205/1000)*1000)))</f>
        <v/>
      </c>
      <c r="D205" s="22">
        <f>IF($L205="","",INDEX(HSTECH!$C$7:$C$46,($L205-INT($L205/1000)*1000)))</f>
        <v/>
      </c>
      <c r="E205" s="69">
        <f>IF($L205="","",INDEX(HSTECH!$K$7:$K$46,($L205-INT($L205/1000)*1000)))</f>
        <v/>
      </c>
      <c r="F205" s="43">
        <f>IF($L205="","",IF(COUNTIFS(OVR_TICKERS,$D205,OVR_BASE,"&gt;=0")=0,"",SUMIFS(OVR_BASE,OVR_TICKERS,$D205)))</f>
        <v/>
      </c>
      <c r="G205" s="69">
        <f>IF($L205="","",INDEX(HSTECH!$L$7:$L$46,($L205-INT($L205/1000)*1000)))</f>
        <v/>
      </c>
      <c r="H205" s="95">
        <f>IF($L205="","",IF($F205="","",IFERROR(($F205-$E205)*INDEX(HSTECH!$B$7:$B$46,($L205-INT($L205/1000)*1000))*INDEX(HSTECH!$G$7:$G$46,($L205-INT($L205/1000)*1000))/HSTECH!$B$3,"")))</f>
        <v/>
      </c>
      <c r="I205" s="46">
        <f>IF($L205="","",INDEX(HSTECH!$U$7:$U$46,($L205-INT($L205/1000)*1000)))</f>
        <v/>
      </c>
      <c r="K205" s="39">
        <f>IF(HSTECH!$C$32="","",IFERROR(MATCH(HSTECH!$E$32,Fundamentals!$B$216:$B$226,0),99)*1000+26)</f>
        <v/>
      </c>
      <c r="L205" s="39">
        <f>IFERROR(SMALL($K$180:$K$219,26),"")</f>
        <v/>
      </c>
    </row>
    <row r="206">
      <c r="B206" s="22">
        <f>IF($L206="","",INDEX(HSTECH!$E$7:$E$46,($L206-INT($L206/1000)*1000)))</f>
        <v/>
      </c>
      <c r="C206" s="22">
        <f>IF($L206="","",INDEX(HSTECH!$D$7:$D$46,($L206-INT($L206/1000)*1000)))</f>
        <v/>
      </c>
      <c r="D206" s="22">
        <f>IF($L206="","",INDEX(HSTECH!$C$7:$C$46,($L206-INT($L206/1000)*1000)))</f>
        <v/>
      </c>
      <c r="E206" s="69">
        <f>IF($L206="","",INDEX(HSTECH!$K$7:$K$46,($L206-INT($L206/1000)*1000)))</f>
        <v/>
      </c>
      <c r="F206" s="43">
        <f>IF($L206="","",IF(COUNTIFS(OVR_TICKERS,$D206,OVR_BASE,"&gt;=0")=0,"",SUMIFS(OVR_BASE,OVR_TICKERS,$D206)))</f>
        <v/>
      </c>
      <c r="G206" s="69">
        <f>IF($L206="","",INDEX(HSTECH!$L$7:$L$46,($L206-INT($L206/1000)*1000)))</f>
        <v/>
      </c>
      <c r="H206" s="95">
        <f>IF($L206="","",IF($F206="","",IFERROR(($F206-$E206)*INDEX(HSTECH!$B$7:$B$46,($L206-INT($L206/1000)*1000))*INDEX(HSTECH!$G$7:$G$46,($L206-INT($L206/1000)*1000))/HSTECH!$B$3,"")))</f>
        <v/>
      </c>
      <c r="I206" s="46">
        <f>IF($L206="","",INDEX(HSTECH!$U$7:$U$46,($L206-INT($L206/1000)*1000)))</f>
        <v/>
      </c>
      <c r="K206" s="39">
        <f>IF(HSTECH!$C$33="","",IFERROR(MATCH(HSTECH!$E$33,Fundamentals!$B$216:$B$226,0),99)*1000+27)</f>
        <v/>
      </c>
      <c r="L206" s="39">
        <f>IFERROR(SMALL($K$180:$K$219,27),"")</f>
        <v/>
      </c>
    </row>
    <row r="207">
      <c r="B207" s="22">
        <f>IF($L207="","",INDEX(HSTECH!$E$7:$E$46,($L207-INT($L207/1000)*1000)))</f>
        <v/>
      </c>
      <c r="C207" s="22">
        <f>IF($L207="","",INDEX(HSTECH!$D$7:$D$46,($L207-INT($L207/1000)*1000)))</f>
        <v/>
      </c>
      <c r="D207" s="22">
        <f>IF($L207="","",INDEX(HSTECH!$C$7:$C$46,($L207-INT($L207/1000)*1000)))</f>
        <v/>
      </c>
      <c r="E207" s="69">
        <f>IF($L207="","",INDEX(HSTECH!$K$7:$K$46,($L207-INT($L207/1000)*1000)))</f>
        <v/>
      </c>
      <c r="F207" s="43">
        <f>IF($L207="","",IF(COUNTIFS(OVR_TICKERS,$D207,OVR_BASE,"&gt;=0")=0,"",SUMIFS(OVR_BASE,OVR_TICKERS,$D207)))</f>
        <v/>
      </c>
      <c r="G207" s="69">
        <f>IF($L207="","",INDEX(HSTECH!$L$7:$L$46,($L207-INT($L207/1000)*1000)))</f>
        <v/>
      </c>
      <c r="H207" s="95">
        <f>IF($L207="","",IF($F207="","",IFERROR(($F207-$E207)*INDEX(HSTECH!$B$7:$B$46,($L207-INT($L207/1000)*1000))*INDEX(HSTECH!$G$7:$G$46,($L207-INT($L207/1000)*1000))/HSTECH!$B$3,"")))</f>
        <v/>
      </c>
      <c r="I207" s="46">
        <f>IF($L207="","",INDEX(HSTECH!$U$7:$U$46,($L207-INT($L207/1000)*1000)))</f>
        <v/>
      </c>
      <c r="K207" s="39">
        <f>IF(HSTECH!$C$34="","",IFERROR(MATCH(HSTECH!$E$34,Fundamentals!$B$216:$B$226,0),99)*1000+28)</f>
        <v/>
      </c>
      <c r="L207" s="39">
        <f>IFERROR(SMALL($K$180:$K$219,28),"")</f>
        <v/>
      </c>
    </row>
    <row r="208">
      <c r="B208" s="22">
        <f>IF($L208="","",INDEX(HSTECH!$E$7:$E$46,($L208-INT($L208/1000)*1000)))</f>
        <v/>
      </c>
      <c r="C208" s="22">
        <f>IF($L208="","",INDEX(HSTECH!$D$7:$D$46,($L208-INT($L208/1000)*1000)))</f>
        <v/>
      </c>
      <c r="D208" s="22">
        <f>IF($L208="","",INDEX(HSTECH!$C$7:$C$46,($L208-INT($L208/1000)*1000)))</f>
        <v/>
      </c>
      <c r="E208" s="69">
        <f>IF($L208="","",INDEX(HSTECH!$K$7:$K$46,($L208-INT($L208/1000)*1000)))</f>
        <v/>
      </c>
      <c r="F208" s="43">
        <f>IF($L208="","",IF(COUNTIFS(OVR_TICKERS,$D208,OVR_BASE,"&gt;=0")=0,"",SUMIFS(OVR_BASE,OVR_TICKERS,$D208)))</f>
        <v/>
      </c>
      <c r="G208" s="69">
        <f>IF($L208="","",INDEX(HSTECH!$L$7:$L$46,($L208-INT($L208/1000)*1000)))</f>
        <v/>
      </c>
      <c r="H208" s="95">
        <f>IF($L208="","",IF($F208="","",IFERROR(($F208-$E208)*INDEX(HSTECH!$B$7:$B$46,($L208-INT($L208/1000)*1000))*INDEX(HSTECH!$G$7:$G$46,($L208-INT($L208/1000)*1000))/HSTECH!$B$3,"")))</f>
        <v/>
      </c>
      <c r="I208" s="46">
        <f>IF($L208="","",INDEX(HSTECH!$U$7:$U$46,($L208-INT($L208/1000)*1000)))</f>
        <v/>
      </c>
      <c r="K208" s="39">
        <f>IF(HSTECH!$C$35="","",IFERROR(MATCH(HSTECH!$E$35,Fundamentals!$B$216:$B$226,0),99)*1000+29)</f>
        <v/>
      </c>
      <c r="L208" s="39">
        <f>IFERROR(SMALL($K$180:$K$219,29),"")</f>
        <v/>
      </c>
    </row>
    <row r="209">
      <c r="B209" s="22">
        <f>IF($L209="","",INDEX(HSTECH!$E$7:$E$46,($L209-INT($L209/1000)*1000)))</f>
        <v/>
      </c>
      <c r="C209" s="22">
        <f>IF($L209="","",INDEX(HSTECH!$D$7:$D$46,($L209-INT($L209/1000)*1000)))</f>
        <v/>
      </c>
      <c r="D209" s="22">
        <f>IF($L209="","",INDEX(HSTECH!$C$7:$C$46,($L209-INT($L209/1000)*1000)))</f>
        <v/>
      </c>
      <c r="E209" s="69">
        <f>IF($L209="","",INDEX(HSTECH!$K$7:$K$46,($L209-INT($L209/1000)*1000)))</f>
        <v/>
      </c>
      <c r="F209" s="43">
        <f>IF($L209="","",IF(COUNTIFS(OVR_TICKERS,$D209,OVR_BASE,"&gt;=0")=0,"",SUMIFS(OVR_BASE,OVR_TICKERS,$D209)))</f>
        <v/>
      </c>
      <c r="G209" s="69">
        <f>IF($L209="","",INDEX(HSTECH!$L$7:$L$46,($L209-INT($L209/1000)*1000)))</f>
        <v/>
      </c>
      <c r="H209" s="95">
        <f>IF($L209="","",IF($F209="","",IFERROR(($F209-$E209)*INDEX(HSTECH!$B$7:$B$46,($L209-INT($L209/1000)*1000))*INDEX(HSTECH!$G$7:$G$46,($L209-INT($L209/1000)*1000))/HSTECH!$B$3,"")))</f>
        <v/>
      </c>
      <c r="I209" s="46">
        <f>IF($L209="","",INDEX(HSTECH!$U$7:$U$46,($L209-INT($L209/1000)*1000)))</f>
        <v/>
      </c>
      <c r="K209" s="39">
        <f>IF(HSTECH!$C$36="","",IFERROR(MATCH(HSTECH!$E$36,Fundamentals!$B$216:$B$226,0),99)*1000+30)</f>
        <v/>
      </c>
      <c r="L209" s="39">
        <f>IFERROR(SMALL($K$180:$K$219,30),"")</f>
        <v/>
      </c>
    </row>
    <row r="210">
      <c r="B210" s="22">
        <f>IF($L210="","",INDEX(HSTECH!$E$7:$E$46,($L210-INT($L210/1000)*1000)))</f>
        <v/>
      </c>
      <c r="C210" s="22">
        <f>IF($L210="","",INDEX(HSTECH!$D$7:$D$46,($L210-INT($L210/1000)*1000)))</f>
        <v/>
      </c>
      <c r="D210" s="22">
        <f>IF($L210="","",INDEX(HSTECH!$C$7:$C$46,($L210-INT($L210/1000)*1000)))</f>
        <v/>
      </c>
      <c r="E210" s="69">
        <f>IF($L210="","",INDEX(HSTECH!$K$7:$K$46,($L210-INT($L210/1000)*1000)))</f>
        <v/>
      </c>
      <c r="F210" s="43">
        <f>IF($L210="","",IF(COUNTIFS(OVR_TICKERS,$D210,OVR_BASE,"&gt;=0")=0,"",SUMIFS(OVR_BASE,OVR_TICKERS,$D210)))</f>
        <v/>
      </c>
      <c r="G210" s="69">
        <f>IF($L210="","",INDEX(HSTECH!$L$7:$L$46,($L210-INT($L210/1000)*1000)))</f>
        <v/>
      </c>
      <c r="H210" s="95">
        <f>IF($L210="","",IF($F210="","",IFERROR(($F210-$E210)*INDEX(HSTECH!$B$7:$B$46,($L210-INT($L210/1000)*1000))*INDEX(HSTECH!$G$7:$G$46,($L210-INT($L210/1000)*1000))/HSTECH!$B$3,"")))</f>
        <v/>
      </c>
      <c r="I210" s="46">
        <f>IF($L210="","",INDEX(HSTECH!$U$7:$U$46,($L210-INT($L210/1000)*1000)))</f>
        <v/>
      </c>
      <c r="K210" s="39">
        <f>IF(HSTECH!$C$37="","",IFERROR(MATCH(HSTECH!$E$37,Fundamentals!$B$216:$B$226,0),99)*1000+31)</f>
        <v/>
      </c>
      <c r="L210" s="39">
        <f>IFERROR(SMALL($K$180:$K$219,31),"")</f>
        <v/>
      </c>
    </row>
    <row r="211">
      <c r="B211" s="22">
        <f>IF($L211="","",INDEX(HSTECH!$E$7:$E$46,($L211-INT($L211/1000)*1000)))</f>
        <v/>
      </c>
      <c r="C211" s="22">
        <f>IF($L211="","",INDEX(HSTECH!$D$7:$D$46,($L211-INT($L211/1000)*1000)))</f>
        <v/>
      </c>
      <c r="D211" s="22">
        <f>IF($L211="","",INDEX(HSTECH!$C$7:$C$46,($L211-INT($L211/1000)*1000)))</f>
        <v/>
      </c>
      <c r="E211" s="69">
        <f>IF($L211="","",INDEX(HSTECH!$K$7:$K$46,($L211-INT($L211/1000)*1000)))</f>
        <v/>
      </c>
      <c r="F211" s="43">
        <f>IF($L211="","",IF(COUNTIFS(OVR_TICKERS,$D211,OVR_BASE,"&gt;=0")=0,"",SUMIFS(OVR_BASE,OVR_TICKERS,$D211)))</f>
        <v/>
      </c>
      <c r="G211" s="69">
        <f>IF($L211="","",INDEX(HSTECH!$L$7:$L$46,($L211-INT($L211/1000)*1000)))</f>
        <v/>
      </c>
      <c r="H211" s="95">
        <f>IF($L211="","",IF($F211="","",IFERROR(($F211-$E211)*INDEX(HSTECH!$B$7:$B$46,($L211-INT($L211/1000)*1000))*INDEX(HSTECH!$G$7:$G$46,($L211-INT($L211/1000)*1000))/HSTECH!$B$3,"")))</f>
        <v/>
      </c>
      <c r="I211" s="46">
        <f>IF($L211="","",INDEX(HSTECH!$U$7:$U$46,($L211-INT($L211/1000)*1000)))</f>
        <v/>
      </c>
      <c r="K211" s="39">
        <f>IF(HSTECH!$C$38="","",IFERROR(MATCH(HSTECH!$E$38,Fundamentals!$B$216:$B$226,0),99)*1000+32)</f>
        <v/>
      </c>
      <c r="L211" s="39">
        <f>IFERROR(SMALL($K$180:$K$219,32),"")</f>
        <v/>
      </c>
    </row>
    <row r="212">
      <c r="B212" s="22">
        <f>IF($L212="","",INDEX(HSTECH!$E$7:$E$46,($L212-INT($L212/1000)*1000)))</f>
        <v/>
      </c>
      <c r="C212" s="22">
        <f>IF($L212="","",INDEX(HSTECH!$D$7:$D$46,($L212-INT($L212/1000)*1000)))</f>
        <v/>
      </c>
      <c r="D212" s="22">
        <f>IF($L212="","",INDEX(HSTECH!$C$7:$C$46,($L212-INT($L212/1000)*1000)))</f>
        <v/>
      </c>
      <c r="E212" s="69">
        <f>IF($L212="","",INDEX(HSTECH!$K$7:$K$46,($L212-INT($L212/1000)*1000)))</f>
        <v/>
      </c>
      <c r="F212" s="43">
        <f>IF($L212="","",IF(COUNTIFS(OVR_TICKERS,$D212,OVR_BASE,"&gt;=0")=0,"",SUMIFS(OVR_BASE,OVR_TICKERS,$D212)))</f>
        <v/>
      </c>
      <c r="G212" s="69">
        <f>IF($L212="","",INDEX(HSTECH!$L$7:$L$46,($L212-INT($L212/1000)*1000)))</f>
        <v/>
      </c>
      <c r="H212" s="95">
        <f>IF($L212="","",IF($F212="","",IFERROR(($F212-$E212)*INDEX(HSTECH!$B$7:$B$46,($L212-INT($L212/1000)*1000))*INDEX(HSTECH!$G$7:$G$46,($L212-INT($L212/1000)*1000))/HSTECH!$B$3,"")))</f>
        <v/>
      </c>
      <c r="I212" s="46">
        <f>IF($L212="","",INDEX(HSTECH!$U$7:$U$46,($L212-INT($L212/1000)*1000)))</f>
        <v/>
      </c>
      <c r="K212" s="39">
        <f>IF(HSTECH!$C$39="","",IFERROR(MATCH(HSTECH!$E$39,Fundamentals!$B$216:$B$226,0),99)*1000+33)</f>
        <v/>
      </c>
      <c r="L212" s="39">
        <f>IFERROR(SMALL($K$180:$K$219,33),"")</f>
        <v/>
      </c>
    </row>
    <row r="213">
      <c r="B213" s="22">
        <f>IF($L213="","",INDEX(HSTECH!$E$7:$E$46,($L213-INT($L213/1000)*1000)))</f>
        <v/>
      </c>
      <c r="C213" s="22">
        <f>IF($L213="","",INDEX(HSTECH!$D$7:$D$46,($L213-INT($L213/1000)*1000)))</f>
        <v/>
      </c>
      <c r="D213" s="22">
        <f>IF($L213="","",INDEX(HSTECH!$C$7:$C$46,($L213-INT($L213/1000)*1000)))</f>
        <v/>
      </c>
      <c r="E213" s="69">
        <f>IF($L213="","",INDEX(HSTECH!$K$7:$K$46,($L213-INT($L213/1000)*1000)))</f>
        <v/>
      </c>
      <c r="F213" s="43">
        <f>IF($L213="","",IF(COUNTIFS(OVR_TICKERS,$D213,OVR_BASE,"&gt;=0")=0,"",SUMIFS(OVR_BASE,OVR_TICKERS,$D213)))</f>
        <v/>
      </c>
      <c r="G213" s="69">
        <f>IF($L213="","",INDEX(HSTECH!$L$7:$L$46,($L213-INT($L213/1000)*1000)))</f>
        <v/>
      </c>
      <c r="H213" s="95">
        <f>IF($L213="","",IF($F213="","",IFERROR(($F213-$E213)*INDEX(HSTECH!$B$7:$B$46,($L213-INT($L213/1000)*1000))*INDEX(HSTECH!$G$7:$G$46,($L213-INT($L213/1000)*1000))/HSTECH!$B$3,"")))</f>
        <v/>
      </c>
      <c r="I213" s="46">
        <f>IF($L213="","",INDEX(HSTECH!$U$7:$U$46,($L213-INT($L213/1000)*1000)))</f>
        <v/>
      </c>
      <c r="K213" s="39">
        <f>IF(HSTECH!$C$40="","",IFERROR(MATCH(HSTECH!$E$40,Fundamentals!$B$216:$B$226,0),99)*1000+34)</f>
        <v/>
      </c>
      <c r="L213" s="39">
        <f>IFERROR(SMALL($K$180:$K$219,34),"")</f>
        <v/>
      </c>
    </row>
    <row r="214">
      <c r="B214" s="22">
        <f>IF($L214="","",INDEX(HSTECH!$E$7:$E$46,($L214-INT($L214/1000)*1000)))</f>
        <v/>
      </c>
      <c r="C214" s="22">
        <f>IF($L214="","",INDEX(HSTECH!$D$7:$D$46,($L214-INT($L214/1000)*1000)))</f>
        <v/>
      </c>
      <c r="D214" s="22">
        <f>IF($L214="","",INDEX(HSTECH!$C$7:$C$46,($L214-INT($L214/1000)*1000)))</f>
        <v/>
      </c>
      <c r="E214" s="69">
        <f>IF($L214="","",INDEX(HSTECH!$K$7:$K$46,($L214-INT($L214/1000)*1000)))</f>
        <v/>
      </c>
      <c r="F214" s="43">
        <f>IF($L214="","",IF(COUNTIFS(OVR_TICKERS,$D214,OVR_BASE,"&gt;=0")=0,"",SUMIFS(OVR_BASE,OVR_TICKERS,$D214)))</f>
        <v/>
      </c>
      <c r="G214" s="69">
        <f>IF($L214="","",INDEX(HSTECH!$L$7:$L$46,($L214-INT($L214/1000)*1000)))</f>
        <v/>
      </c>
      <c r="H214" s="95">
        <f>IF($L214="","",IF($F214="","",IFERROR(($F214-$E214)*INDEX(HSTECH!$B$7:$B$46,($L214-INT($L214/1000)*1000))*INDEX(HSTECH!$G$7:$G$46,($L214-INT($L214/1000)*1000))/HSTECH!$B$3,"")))</f>
        <v/>
      </c>
      <c r="I214" s="46">
        <f>IF($L214="","",INDEX(HSTECH!$U$7:$U$46,($L214-INT($L214/1000)*1000)))</f>
        <v/>
      </c>
      <c r="K214" s="39">
        <f>IF(HSTECH!$C$41="","",IFERROR(MATCH(HSTECH!$E$41,Fundamentals!$B$216:$B$226,0),99)*1000+35)</f>
        <v/>
      </c>
      <c r="L214" s="39">
        <f>IFERROR(SMALL($K$180:$K$219,35),"")</f>
        <v/>
      </c>
    </row>
    <row r="215">
      <c r="B215" s="22">
        <f>IF($L215="","",INDEX(HSTECH!$E$7:$E$46,($L215-INT($L215/1000)*1000)))</f>
        <v/>
      </c>
      <c r="C215" s="22">
        <f>IF($L215="","",INDEX(HSTECH!$D$7:$D$46,($L215-INT($L215/1000)*1000)))</f>
        <v/>
      </c>
      <c r="D215" s="22">
        <f>IF($L215="","",INDEX(HSTECH!$C$7:$C$46,($L215-INT($L215/1000)*1000)))</f>
        <v/>
      </c>
      <c r="E215" s="69">
        <f>IF($L215="","",INDEX(HSTECH!$K$7:$K$46,($L215-INT($L215/1000)*1000)))</f>
        <v/>
      </c>
      <c r="F215" s="43">
        <f>IF($L215="","",IF(COUNTIFS(OVR_TICKERS,$D215,OVR_BASE,"&gt;=0")=0,"",SUMIFS(OVR_BASE,OVR_TICKERS,$D215)))</f>
        <v/>
      </c>
      <c r="G215" s="69">
        <f>IF($L215="","",INDEX(HSTECH!$L$7:$L$46,($L215-INT($L215/1000)*1000)))</f>
        <v/>
      </c>
      <c r="H215" s="95">
        <f>IF($L215="","",IF($F215="","",IFERROR(($F215-$E215)*INDEX(HSTECH!$B$7:$B$46,($L215-INT($L215/1000)*1000))*INDEX(HSTECH!$G$7:$G$46,($L215-INT($L215/1000)*1000))/HSTECH!$B$3,"")))</f>
        <v/>
      </c>
      <c r="I215" s="46">
        <f>IF($L215="","",INDEX(HSTECH!$U$7:$U$46,($L215-INT($L215/1000)*1000)))</f>
        <v/>
      </c>
      <c r="K215" s="39">
        <f>IF(HSTECH!$C$42="","",IFERROR(MATCH(HSTECH!$E$42,Fundamentals!$B$216:$B$226,0),99)*1000+36)</f>
        <v/>
      </c>
      <c r="L215" s="39">
        <f>IFERROR(SMALL($K$180:$K$219,36),"")</f>
        <v/>
      </c>
    </row>
    <row r="216">
      <c r="B216" s="22">
        <f>IF($L216="","",INDEX(HSTECH!$E$7:$E$46,($L216-INT($L216/1000)*1000)))</f>
        <v/>
      </c>
      <c r="C216" s="22">
        <f>IF($L216="","",INDEX(HSTECH!$D$7:$D$46,($L216-INT($L216/1000)*1000)))</f>
        <v/>
      </c>
      <c r="D216" s="22">
        <f>IF($L216="","",INDEX(HSTECH!$C$7:$C$46,($L216-INT($L216/1000)*1000)))</f>
        <v/>
      </c>
      <c r="E216" s="69">
        <f>IF($L216="","",INDEX(HSTECH!$K$7:$K$46,($L216-INT($L216/1000)*1000)))</f>
        <v/>
      </c>
      <c r="F216" s="43">
        <f>IF($L216="","",IF(COUNTIFS(OVR_TICKERS,$D216,OVR_BASE,"&gt;=0")=0,"",SUMIFS(OVR_BASE,OVR_TICKERS,$D216)))</f>
        <v/>
      </c>
      <c r="G216" s="69">
        <f>IF($L216="","",INDEX(HSTECH!$L$7:$L$46,($L216-INT($L216/1000)*1000)))</f>
        <v/>
      </c>
      <c r="H216" s="95">
        <f>IF($L216="","",IF($F216="","",IFERROR(($F216-$E216)*INDEX(HSTECH!$B$7:$B$46,($L216-INT($L216/1000)*1000))*INDEX(HSTECH!$G$7:$G$46,($L216-INT($L216/1000)*1000))/HSTECH!$B$3,"")))</f>
        <v/>
      </c>
      <c r="I216" s="46">
        <f>IF($L216="","",INDEX(HSTECH!$U$7:$U$46,($L216-INT($L216/1000)*1000)))</f>
        <v/>
      </c>
      <c r="K216" s="39">
        <f>IF(HSTECH!$C$43="","",IFERROR(MATCH(HSTECH!$E$43,Fundamentals!$B$216:$B$226,0),99)*1000+37)</f>
        <v/>
      </c>
      <c r="L216" s="39">
        <f>IFERROR(SMALL($K$180:$K$219,37),"")</f>
        <v/>
      </c>
    </row>
    <row r="217">
      <c r="B217" s="22">
        <f>IF($L217="","",INDEX(HSTECH!$E$7:$E$46,($L217-INT($L217/1000)*1000)))</f>
        <v/>
      </c>
      <c r="C217" s="22">
        <f>IF($L217="","",INDEX(HSTECH!$D$7:$D$46,($L217-INT($L217/1000)*1000)))</f>
        <v/>
      </c>
      <c r="D217" s="22">
        <f>IF($L217="","",INDEX(HSTECH!$C$7:$C$46,($L217-INT($L217/1000)*1000)))</f>
        <v/>
      </c>
      <c r="E217" s="69">
        <f>IF($L217="","",INDEX(HSTECH!$K$7:$K$46,($L217-INT($L217/1000)*1000)))</f>
        <v/>
      </c>
      <c r="F217" s="43">
        <f>IF($L217="","",IF(COUNTIFS(OVR_TICKERS,$D217,OVR_BASE,"&gt;=0")=0,"",SUMIFS(OVR_BASE,OVR_TICKERS,$D217)))</f>
        <v/>
      </c>
      <c r="G217" s="69">
        <f>IF($L217="","",INDEX(HSTECH!$L$7:$L$46,($L217-INT($L217/1000)*1000)))</f>
        <v/>
      </c>
      <c r="H217" s="95">
        <f>IF($L217="","",IF($F217="","",IFERROR(($F217-$E217)*INDEX(HSTECH!$B$7:$B$46,($L217-INT($L217/1000)*1000))*INDEX(HSTECH!$G$7:$G$46,($L217-INT($L217/1000)*1000))/HSTECH!$B$3,"")))</f>
        <v/>
      </c>
      <c r="I217" s="46">
        <f>IF($L217="","",INDEX(HSTECH!$U$7:$U$46,($L217-INT($L217/1000)*1000)))</f>
        <v/>
      </c>
      <c r="K217" s="39">
        <f>IF(HSTECH!$C$44="","",IFERROR(MATCH(HSTECH!$E$44,Fundamentals!$B$216:$B$226,0),99)*1000+38)</f>
        <v/>
      </c>
      <c r="L217" s="39">
        <f>IFERROR(SMALL($K$180:$K$219,38),"")</f>
        <v/>
      </c>
    </row>
    <row r="218">
      <c r="B218" s="22">
        <f>IF($L218="","",INDEX(HSTECH!$E$7:$E$46,($L218-INT($L218/1000)*1000)))</f>
        <v/>
      </c>
      <c r="C218" s="22">
        <f>IF($L218="","",INDEX(HSTECH!$D$7:$D$46,($L218-INT($L218/1000)*1000)))</f>
        <v/>
      </c>
      <c r="D218" s="22">
        <f>IF($L218="","",INDEX(HSTECH!$C$7:$C$46,($L218-INT($L218/1000)*1000)))</f>
        <v/>
      </c>
      <c r="E218" s="69">
        <f>IF($L218="","",INDEX(HSTECH!$K$7:$K$46,($L218-INT($L218/1000)*1000)))</f>
        <v/>
      </c>
      <c r="F218" s="43">
        <f>IF($L218="","",IF(COUNTIFS(OVR_TICKERS,$D218,OVR_BASE,"&gt;=0")=0,"",SUMIFS(OVR_BASE,OVR_TICKERS,$D218)))</f>
        <v/>
      </c>
      <c r="G218" s="69">
        <f>IF($L218="","",INDEX(HSTECH!$L$7:$L$46,($L218-INT($L218/1000)*1000)))</f>
        <v/>
      </c>
      <c r="H218" s="95">
        <f>IF($L218="","",IF($F218="","",IFERROR(($F218-$E218)*INDEX(HSTECH!$B$7:$B$46,($L218-INT($L218/1000)*1000))*INDEX(HSTECH!$G$7:$G$46,($L218-INT($L218/1000)*1000))/HSTECH!$B$3,"")))</f>
        <v/>
      </c>
      <c r="I218" s="46">
        <f>IF($L218="","",INDEX(HSTECH!$U$7:$U$46,($L218-INT($L218/1000)*1000)))</f>
        <v/>
      </c>
      <c r="K218" s="39">
        <f>IF(HSTECH!$C$45="","",IFERROR(MATCH(HSTECH!$E$45,Fundamentals!$B$216:$B$226,0),99)*1000+39)</f>
        <v/>
      </c>
      <c r="L218" s="39">
        <f>IFERROR(SMALL($K$180:$K$219,39),"")</f>
        <v/>
      </c>
    </row>
    <row r="219">
      <c r="B219" s="22">
        <f>IF($L219="","",INDEX(HSTECH!$E$7:$E$46,($L219-INT($L219/1000)*1000)))</f>
        <v/>
      </c>
      <c r="C219" s="22">
        <f>IF($L219="","",INDEX(HSTECH!$D$7:$D$46,($L219-INT($L219/1000)*1000)))</f>
        <v/>
      </c>
      <c r="D219" s="22">
        <f>IF($L219="","",INDEX(HSTECH!$C$7:$C$46,($L219-INT($L219/1000)*1000)))</f>
        <v/>
      </c>
      <c r="E219" s="69">
        <f>IF($L219="","",INDEX(HSTECH!$K$7:$K$46,($L219-INT($L219/1000)*1000)))</f>
        <v/>
      </c>
      <c r="F219" s="43">
        <f>IF($L219="","",IF(COUNTIFS(OVR_TICKERS,$D219,OVR_BASE,"&gt;=0")=0,"",SUMIFS(OVR_BASE,OVR_TICKERS,$D219)))</f>
        <v/>
      </c>
      <c r="G219" s="69">
        <f>IF($L219="","",INDEX(HSTECH!$L$7:$L$46,($L219-INT($L219/1000)*1000)))</f>
        <v/>
      </c>
      <c r="H219" s="95">
        <f>IF($L219="","",IF($F219="","",IFERROR(($F219-$E219)*INDEX(HSTECH!$B$7:$B$46,($L219-INT($L219/1000)*1000))*INDEX(HSTECH!$G$7:$G$46,($L219-INT($L219/1000)*1000))/HSTECH!$B$3,"")))</f>
        <v/>
      </c>
      <c r="I219" s="46">
        <f>IF($L219="","",INDEX(HSTECH!$U$7:$U$46,($L219-INT($L219/1000)*1000)))</f>
        <v/>
      </c>
      <c r="K219" s="39">
        <f>IF(HSTECH!$C$46="","",IFERROR(MATCH(HSTECH!$E$46,Fundamentals!$B$216:$B$226,0),99)*1000+40)</f>
        <v/>
      </c>
      <c r="L219" s="39">
        <f>IFERROR(SMALL($K$180:$K$219,40),"")</f>
        <v/>
      </c>
    </row>
    <row r="222">
      <c r="B222" s="6" t="inlineStr">
        <is>
          <t>BY SECTOR - Hang Seng China Enterprises (HSCEI)   (read-only, sorted by sector at refresh)</t>
        </is>
      </c>
      <c r="C222" s="7" t="n"/>
      <c r="D222" s="7" t="n"/>
      <c r="E222" s="7" t="n"/>
      <c r="F222" s="7" t="n"/>
      <c r="G222" s="7" t="n"/>
      <c r="H222" s="7" t="n"/>
      <c r="I222" s="7" t="n"/>
    </row>
    <row r="223">
      <c r="B223" s="23" t="inlineStr">
        <is>
          <t>GICS Sector</t>
        </is>
      </c>
      <c r="C223" s="23" t="inlineStr">
        <is>
          <t>Name</t>
        </is>
      </c>
      <c r="D223" s="23" t="inlineStr">
        <is>
          <t>Ticker</t>
        </is>
      </c>
      <c r="E223" s="23" t="inlineStr">
        <is>
          <t>BBG rest
of yr</t>
        </is>
      </c>
      <c r="F223" s="23" t="inlineStr">
        <is>
          <t>YOUR base</t>
        </is>
      </c>
      <c r="G223" s="23" t="inlineStr">
        <is>
          <t>Effective</t>
        </is>
      </c>
      <c r="H223" s="23" t="inlineStr">
        <is>
          <t>Impact
(pts)</t>
        </is>
      </c>
      <c r="I223" s="23" t="inlineStr">
        <is>
          <t>Flag</t>
        </is>
      </c>
      <c r="K223" s="2" t="inlineStr">
        <is>
          <t>engine</t>
        </is>
      </c>
    </row>
    <row r="224">
      <c r="B224" s="22">
        <f>IF($L224="","",INDEX(HSCEI!$E$7:$E$66,($L224-INT($L224/1000)*1000)))</f>
        <v/>
      </c>
      <c r="C224" s="22">
        <f>IF($L224="","",INDEX(HSCEI!$D$7:$D$66,($L224-INT($L224/1000)*1000)))</f>
        <v/>
      </c>
      <c r="D224" s="22">
        <f>IF($L224="","",INDEX(HSCEI!$C$7:$C$66,($L224-INT($L224/1000)*1000)))</f>
        <v/>
      </c>
      <c r="E224" s="69">
        <f>IF($L224="","",INDEX(HSCEI!$K$7:$K$66,($L224-INT($L224/1000)*1000)))</f>
        <v/>
      </c>
      <c r="F224" s="43">
        <f>IF($L224="","",IF(COUNTIFS(OVR_TICKERS,$D224,OVR_BASE,"&gt;=0")=0,"",SUMIFS(OVR_BASE,OVR_TICKERS,$D224)))</f>
        <v/>
      </c>
      <c r="G224" s="69">
        <f>IF($L224="","",INDEX(HSCEI!$L$7:$L$66,($L224-INT($L224/1000)*1000)))</f>
        <v/>
      </c>
      <c r="H224" s="95">
        <f>IF($L224="","",IF($F224="","",IFERROR(($F224-$E224)*INDEX(HSCEI!$B$7:$B$66,($L224-INT($L224/1000)*1000))*INDEX(HSCEI!$G$7:$G$66,($L224-INT($L224/1000)*1000))/HSCEI!$B$3,"")))</f>
        <v/>
      </c>
      <c r="I224" s="46">
        <f>IF($L224="","",INDEX(HSCEI!$U$7:$U$66,($L224-INT($L224/1000)*1000)))</f>
        <v/>
      </c>
      <c r="K224" s="39">
        <f>IF(HSCEI!$C$7="","",IFERROR(MATCH(HSCEI!$E$7,Fundamentals!$B$216:$B$226,0),99)*1000+1)</f>
        <v/>
      </c>
      <c r="L224" s="39">
        <f>IFERROR(SMALL($K$224:$K$283,1),"")</f>
        <v/>
      </c>
    </row>
    <row r="225">
      <c r="B225" s="22">
        <f>IF($L225="","",INDEX(HSCEI!$E$7:$E$66,($L225-INT($L225/1000)*1000)))</f>
        <v/>
      </c>
      <c r="C225" s="22">
        <f>IF($L225="","",INDEX(HSCEI!$D$7:$D$66,($L225-INT($L225/1000)*1000)))</f>
        <v/>
      </c>
      <c r="D225" s="22">
        <f>IF($L225="","",INDEX(HSCEI!$C$7:$C$66,($L225-INT($L225/1000)*1000)))</f>
        <v/>
      </c>
      <c r="E225" s="69">
        <f>IF($L225="","",INDEX(HSCEI!$K$7:$K$66,($L225-INT($L225/1000)*1000)))</f>
        <v/>
      </c>
      <c r="F225" s="43">
        <f>IF($L225="","",IF(COUNTIFS(OVR_TICKERS,$D225,OVR_BASE,"&gt;=0")=0,"",SUMIFS(OVR_BASE,OVR_TICKERS,$D225)))</f>
        <v/>
      </c>
      <c r="G225" s="69">
        <f>IF($L225="","",INDEX(HSCEI!$L$7:$L$66,($L225-INT($L225/1000)*1000)))</f>
        <v/>
      </c>
      <c r="H225" s="95">
        <f>IF($L225="","",IF($F225="","",IFERROR(($F225-$E225)*INDEX(HSCEI!$B$7:$B$66,($L225-INT($L225/1000)*1000))*INDEX(HSCEI!$G$7:$G$66,($L225-INT($L225/1000)*1000))/HSCEI!$B$3,"")))</f>
        <v/>
      </c>
      <c r="I225" s="46">
        <f>IF($L225="","",INDEX(HSCEI!$U$7:$U$66,($L225-INT($L225/1000)*1000)))</f>
        <v/>
      </c>
      <c r="K225" s="39">
        <f>IF(HSCEI!$C$8="","",IFERROR(MATCH(HSCEI!$E$8,Fundamentals!$B$216:$B$226,0),99)*1000+2)</f>
        <v/>
      </c>
      <c r="L225" s="39">
        <f>IFERROR(SMALL($K$224:$K$283,2),"")</f>
        <v/>
      </c>
    </row>
    <row r="226">
      <c r="B226" s="22">
        <f>IF($L226="","",INDEX(HSCEI!$E$7:$E$66,($L226-INT($L226/1000)*1000)))</f>
        <v/>
      </c>
      <c r="C226" s="22">
        <f>IF($L226="","",INDEX(HSCEI!$D$7:$D$66,($L226-INT($L226/1000)*1000)))</f>
        <v/>
      </c>
      <c r="D226" s="22">
        <f>IF($L226="","",INDEX(HSCEI!$C$7:$C$66,($L226-INT($L226/1000)*1000)))</f>
        <v/>
      </c>
      <c r="E226" s="69">
        <f>IF($L226="","",INDEX(HSCEI!$K$7:$K$66,($L226-INT($L226/1000)*1000)))</f>
        <v/>
      </c>
      <c r="F226" s="43">
        <f>IF($L226="","",IF(COUNTIFS(OVR_TICKERS,$D226,OVR_BASE,"&gt;=0")=0,"",SUMIFS(OVR_BASE,OVR_TICKERS,$D226)))</f>
        <v/>
      </c>
      <c r="G226" s="69">
        <f>IF($L226="","",INDEX(HSCEI!$L$7:$L$66,($L226-INT($L226/1000)*1000)))</f>
        <v/>
      </c>
      <c r="H226" s="95">
        <f>IF($L226="","",IF($F226="","",IFERROR(($F226-$E226)*INDEX(HSCEI!$B$7:$B$66,($L226-INT($L226/1000)*1000))*INDEX(HSCEI!$G$7:$G$66,($L226-INT($L226/1000)*1000))/HSCEI!$B$3,"")))</f>
        <v/>
      </c>
      <c r="I226" s="46">
        <f>IF($L226="","",INDEX(HSCEI!$U$7:$U$66,($L226-INT($L226/1000)*1000)))</f>
        <v/>
      </c>
      <c r="K226" s="39">
        <f>IF(HSCEI!$C$9="","",IFERROR(MATCH(HSCEI!$E$9,Fundamentals!$B$216:$B$226,0),99)*1000+3)</f>
        <v/>
      </c>
      <c r="L226" s="39">
        <f>IFERROR(SMALL($K$224:$K$283,3),"")</f>
        <v/>
      </c>
    </row>
    <row r="227">
      <c r="B227" s="22">
        <f>IF($L227="","",INDEX(HSCEI!$E$7:$E$66,($L227-INT($L227/1000)*1000)))</f>
        <v/>
      </c>
      <c r="C227" s="22">
        <f>IF($L227="","",INDEX(HSCEI!$D$7:$D$66,($L227-INT($L227/1000)*1000)))</f>
        <v/>
      </c>
      <c r="D227" s="22">
        <f>IF($L227="","",INDEX(HSCEI!$C$7:$C$66,($L227-INT($L227/1000)*1000)))</f>
        <v/>
      </c>
      <c r="E227" s="69">
        <f>IF($L227="","",INDEX(HSCEI!$K$7:$K$66,($L227-INT($L227/1000)*1000)))</f>
        <v/>
      </c>
      <c r="F227" s="43">
        <f>IF($L227="","",IF(COUNTIFS(OVR_TICKERS,$D227,OVR_BASE,"&gt;=0")=0,"",SUMIFS(OVR_BASE,OVR_TICKERS,$D227)))</f>
        <v/>
      </c>
      <c r="G227" s="69">
        <f>IF($L227="","",INDEX(HSCEI!$L$7:$L$66,($L227-INT($L227/1000)*1000)))</f>
        <v/>
      </c>
      <c r="H227" s="95">
        <f>IF($L227="","",IF($F227="","",IFERROR(($F227-$E227)*INDEX(HSCEI!$B$7:$B$66,($L227-INT($L227/1000)*1000))*INDEX(HSCEI!$G$7:$G$66,($L227-INT($L227/1000)*1000))/HSCEI!$B$3,"")))</f>
        <v/>
      </c>
      <c r="I227" s="46">
        <f>IF($L227="","",INDEX(HSCEI!$U$7:$U$66,($L227-INT($L227/1000)*1000)))</f>
        <v/>
      </c>
      <c r="K227" s="39">
        <f>IF(HSCEI!$C$10="","",IFERROR(MATCH(HSCEI!$E$10,Fundamentals!$B$216:$B$226,0),99)*1000+4)</f>
        <v/>
      </c>
      <c r="L227" s="39">
        <f>IFERROR(SMALL($K$224:$K$283,4),"")</f>
        <v/>
      </c>
    </row>
    <row r="228">
      <c r="B228" s="22">
        <f>IF($L228="","",INDEX(HSCEI!$E$7:$E$66,($L228-INT($L228/1000)*1000)))</f>
        <v/>
      </c>
      <c r="C228" s="22">
        <f>IF($L228="","",INDEX(HSCEI!$D$7:$D$66,($L228-INT($L228/1000)*1000)))</f>
        <v/>
      </c>
      <c r="D228" s="22">
        <f>IF($L228="","",INDEX(HSCEI!$C$7:$C$66,($L228-INT($L228/1000)*1000)))</f>
        <v/>
      </c>
      <c r="E228" s="69">
        <f>IF($L228="","",INDEX(HSCEI!$K$7:$K$66,($L228-INT($L228/1000)*1000)))</f>
        <v/>
      </c>
      <c r="F228" s="43">
        <f>IF($L228="","",IF(COUNTIFS(OVR_TICKERS,$D228,OVR_BASE,"&gt;=0")=0,"",SUMIFS(OVR_BASE,OVR_TICKERS,$D228)))</f>
        <v/>
      </c>
      <c r="G228" s="69">
        <f>IF($L228="","",INDEX(HSCEI!$L$7:$L$66,($L228-INT($L228/1000)*1000)))</f>
        <v/>
      </c>
      <c r="H228" s="95">
        <f>IF($L228="","",IF($F228="","",IFERROR(($F228-$E228)*INDEX(HSCEI!$B$7:$B$66,($L228-INT($L228/1000)*1000))*INDEX(HSCEI!$G$7:$G$66,($L228-INT($L228/1000)*1000))/HSCEI!$B$3,"")))</f>
        <v/>
      </c>
      <c r="I228" s="46">
        <f>IF($L228="","",INDEX(HSCEI!$U$7:$U$66,($L228-INT($L228/1000)*1000)))</f>
        <v/>
      </c>
      <c r="K228" s="39">
        <f>IF(HSCEI!$C$11="","",IFERROR(MATCH(HSCEI!$E$11,Fundamentals!$B$216:$B$226,0),99)*1000+5)</f>
        <v/>
      </c>
      <c r="L228" s="39">
        <f>IFERROR(SMALL($K$224:$K$283,5),"")</f>
        <v/>
      </c>
    </row>
    <row r="229">
      <c r="B229" s="22">
        <f>IF($L229="","",INDEX(HSCEI!$E$7:$E$66,($L229-INT($L229/1000)*1000)))</f>
        <v/>
      </c>
      <c r="C229" s="22">
        <f>IF($L229="","",INDEX(HSCEI!$D$7:$D$66,($L229-INT($L229/1000)*1000)))</f>
        <v/>
      </c>
      <c r="D229" s="22">
        <f>IF($L229="","",INDEX(HSCEI!$C$7:$C$66,($L229-INT($L229/1000)*1000)))</f>
        <v/>
      </c>
      <c r="E229" s="69">
        <f>IF($L229="","",INDEX(HSCEI!$K$7:$K$66,($L229-INT($L229/1000)*1000)))</f>
        <v/>
      </c>
      <c r="F229" s="43">
        <f>IF($L229="","",IF(COUNTIFS(OVR_TICKERS,$D229,OVR_BASE,"&gt;=0")=0,"",SUMIFS(OVR_BASE,OVR_TICKERS,$D229)))</f>
        <v/>
      </c>
      <c r="G229" s="69">
        <f>IF($L229="","",INDEX(HSCEI!$L$7:$L$66,($L229-INT($L229/1000)*1000)))</f>
        <v/>
      </c>
      <c r="H229" s="95">
        <f>IF($L229="","",IF($F229="","",IFERROR(($F229-$E229)*INDEX(HSCEI!$B$7:$B$66,($L229-INT($L229/1000)*1000))*INDEX(HSCEI!$G$7:$G$66,($L229-INT($L229/1000)*1000))/HSCEI!$B$3,"")))</f>
        <v/>
      </c>
      <c r="I229" s="46">
        <f>IF($L229="","",INDEX(HSCEI!$U$7:$U$66,($L229-INT($L229/1000)*1000)))</f>
        <v/>
      </c>
      <c r="K229" s="39">
        <f>IF(HSCEI!$C$12="","",IFERROR(MATCH(HSCEI!$E$12,Fundamentals!$B$216:$B$226,0),99)*1000+6)</f>
        <v/>
      </c>
      <c r="L229" s="39">
        <f>IFERROR(SMALL($K$224:$K$283,6),"")</f>
        <v/>
      </c>
    </row>
    <row r="230">
      <c r="B230" s="22">
        <f>IF($L230="","",INDEX(HSCEI!$E$7:$E$66,($L230-INT($L230/1000)*1000)))</f>
        <v/>
      </c>
      <c r="C230" s="22">
        <f>IF($L230="","",INDEX(HSCEI!$D$7:$D$66,($L230-INT($L230/1000)*1000)))</f>
        <v/>
      </c>
      <c r="D230" s="22">
        <f>IF($L230="","",INDEX(HSCEI!$C$7:$C$66,($L230-INT($L230/1000)*1000)))</f>
        <v/>
      </c>
      <c r="E230" s="69">
        <f>IF($L230="","",INDEX(HSCEI!$K$7:$K$66,($L230-INT($L230/1000)*1000)))</f>
        <v/>
      </c>
      <c r="F230" s="43">
        <f>IF($L230="","",IF(COUNTIFS(OVR_TICKERS,$D230,OVR_BASE,"&gt;=0")=0,"",SUMIFS(OVR_BASE,OVR_TICKERS,$D230)))</f>
        <v/>
      </c>
      <c r="G230" s="69">
        <f>IF($L230="","",INDEX(HSCEI!$L$7:$L$66,($L230-INT($L230/1000)*1000)))</f>
        <v/>
      </c>
      <c r="H230" s="95">
        <f>IF($L230="","",IF($F230="","",IFERROR(($F230-$E230)*INDEX(HSCEI!$B$7:$B$66,($L230-INT($L230/1000)*1000))*INDEX(HSCEI!$G$7:$G$66,($L230-INT($L230/1000)*1000))/HSCEI!$B$3,"")))</f>
        <v/>
      </c>
      <c r="I230" s="46">
        <f>IF($L230="","",INDEX(HSCEI!$U$7:$U$66,($L230-INT($L230/1000)*1000)))</f>
        <v/>
      </c>
      <c r="K230" s="39">
        <f>IF(HSCEI!$C$13="","",IFERROR(MATCH(HSCEI!$E$13,Fundamentals!$B$216:$B$226,0),99)*1000+7)</f>
        <v/>
      </c>
      <c r="L230" s="39">
        <f>IFERROR(SMALL($K$224:$K$283,7),"")</f>
        <v/>
      </c>
    </row>
    <row r="231">
      <c r="B231" s="22">
        <f>IF($L231="","",INDEX(HSCEI!$E$7:$E$66,($L231-INT($L231/1000)*1000)))</f>
        <v/>
      </c>
      <c r="C231" s="22">
        <f>IF($L231="","",INDEX(HSCEI!$D$7:$D$66,($L231-INT($L231/1000)*1000)))</f>
        <v/>
      </c>
      <c r="D231" s="22">
        <f>IF($L231="","",INDEX(HSCEI!$C$7:$C$66,($L231-INT($L231/1000)*1000)))</f>
        <v/>
      </c>
      <c r="E231" s="69">
        <f>IF($L231="","",INDEX(HSCEI!$K$7:$K$66,($L231-INT($L231/1000)*1000)))</f>
        <v/>
      </c>
      <c r="F231" s="43">
        <f>IF($L231="","",IF(COUNTIFS(OVR_TICKERS,$D231,OVR_BASE,"&gt;=0")=0,"",SUMIFS(OVR_BASE,OVR_TICKERS,$D231)))</f>
        <v/>
      </c>
      <c r="G231" s="69">
        <f>IF($L231="","",INDEX(HSCEI!$L$7:$L$66,($L231-INT($L231/1000)*1000)))</f>
        <v/>
      </c>
      <c r="H231" s="95">
        <f>IF($L231="","",IF($F231="","",IFERROR(($F231-$E231)*INDEX(HSCEI!$B$7:$B$66,($L231-INT($L231/1000)*1000))*INDEX(HSCEI!$G$7:$G$66,($L231-INT($L231/1000)*1000))/HSCEI!$B$3,"")))</f>
        <v/>
      </c>
      <c r="I231" s="46">
        <f>IF($L231="","",INDEX(HSCEI!$U$7:$U$66,($L231-INT($L231/1000)*1000)))</f>
        <v/>
      </c>
      <c r="K231" s="39">
        <f>IF(HSCEI!$C$14="","",IFERROR(MATCH(HSCEI!$E$14,Fundamentals!$B$216:$B$226,0),99)*1000+8)</f>
        <v/>
      </c>
      <c r="L231" s="39">
        <f>IFERROR(SMALL($K$224:$K$283,8),"")</f>
        <v/>
      </c>
    </row>
    <row r="232">
      <c r="B232" s="22">
        <f>IF($L232="","",INDEX(HSCEI!$E$7:$E$66,($L232-INT($L232/1000)*1000)))</f>
        <v/>
      </c>
      <c r="C232" s="22">
        <f>IF($L232="","",INDEX(HSCEI!$D$7:$D$66,($L232-INT($L232/1000)*1000)))</f>
        <v/>
      </c>
      <c r="D232" s="22">
        <f>IF($L232="","",INDEX(HSCEI!$C$7:$C$66,($L232-INT($L232/1000)*1000)))</f>
        <v/>
      </c>
      <c r="E232" s="69">
        <f>IF($L232="","",INDEX(HSCEI!$K$7:$K$66,($L232-INT($L232/1000)*1000)))</f>
        <v/>
      </c>
      <c r="F232" s="43">
        <f>IF($L232="","",IF(COUNTIFS(OVR_TICKERS,$D232,OVR_BASE,"&gt;=0")=0,"",SUMIFS(OVR_BASE,OVR_TICKERS,$D232)))</f>
        <v/>
      </c>
      <c r="G232" s="69">
        <f>IF($L232="","",INDEX(HSCEI!$L$7:$L$66,($L232-INT($L232/1000)*1000)))</f>
        <v/>
      </c>
      <c r="H232" s="95">
        <f>IF($L232="","",IF($F232="","",IFERROR(($F232-$E232)*INDEX(HSCEI!$B$7:$B$66,($L232-INT($L232/1000)*1000))*INDEX(HSCEI!$G$7:$G$66,($L232-INT($L232/1000)*1000))/HSCEI!$B$3,"")))</f>
        <v/>
      </c>
      <c r="I232" s="46">
        <f>IF($L232="","",INDEX(HSCEI!$U$7:$U$66,($L232-INT($L232/1000)*1000)))</f>
        <v/>
      </c>
      <c r="K232" s="39">
        <f>IF(HSCEI!$C$15="","",IFERROR(MATCH(HSCEI!$E$15,Fundamentals!$B$216:$B$226,0),99)*1000+9)</f>
        <v/>
      </c>
      <c r="L232" s="39">
        <f>IFERROR(SMALL($K$224:$K$283,9),"")</f>
        <v/>
      </c>
    </row>
    <row r="233">
      <c r="B233" s="22">
        <f>IF($L233="","",INDEX(HSCEI!$E$7:$E$66,($L233-INT($L233/1000)*1000)))</f>
        <v/>
      </c>
      <c r="C233" s="22">
        <f>IF($L233="","",INDEX(HSCEI!$D$7:$D$66,($L233-INT($L233/1000)*1000)))</f>
        <v/>
      </c>
      <c r="D233" s="22">
        <f>IF($L233="","",INDEX(HSCEI!$C$7:$C$66,($L233-INT($L233/1000)*1000)))</f>
        <v/>
      </c>
      <c r="E233" s="69">
        <f>IF($L233="","",INDEX(HSCEI!$K$7:$K$66,($L233-INT($L233/1000)*1000)))</f>
        <v/>
      </c>
      <c r="F233" s="43">
        <f>IF($L233="","",IF(COUNTIFS(OVR_TICKERS,$D233,OVR_BASE,"&gt;=0")=0,"",SUMIFS(OVR_BASE,OVR_TICKERS,$D233)))</f>
        <v/>
      </c>
      <c r="G233" s="69">
        <f>IF($L233="","",INDEX(HSCEI!$L$7:$L$66,($L233-INT($L233/1000)*1000)))</f>
        <v/>
      </c>
      <c r="H233" s="95">
        <f>IF($L233="","",IF($F233="","",IFERROR(($F233-$E233)*INDEX(HSCEI!$B$7:$B$66,($L233-INT($L233/1000)*1000))*INDEX(HSCEI!$G$7:$G$66,($L233-INT($L233/1000)*1000))/HSCEI!$B$3,"")))</f>
        <v/>
      </c>
      <c r="I233" s="46">
        <f>IF($L233="","",INDEX(HSCEI!$U$7:$U$66,($L233-INT($L233/1000)*1000)))</f>
        <v/>
      </c>
      <c r="K233" s="39">
        <f>IF(HSCEI!$C$16="","",IFERROR(MATCH(HSCEI!$E$16,Fundamentals!$B$216:$B$226,0),99)*1000+10)</f>
        <v/>
      </c>
      <c r="L233" s="39">
        <f>IFERROR(SMALL($K$224:$K$283,10),"")</f>
        <v/>
      </c>
    </row>
    <row r="234">
      <c r="B234" s="22">
        <f>IF($L234="","",INDEX(HSCEI!$E$7:$E$66,($L234-INT($L234/1000)*1000)))</f>
        <v/>
      </c>
      <c r="C234" s="22">
        <f>IF($L234="","",INDEX(HSCEI!$D$7:$D$66,($L234-INT($L234/1000)*1000)))</f>
        <v/>
      </c>
      <c r="D234" s="22">
        <f>IF($L234="","",INDEX(HSCEI!$C$7:$C$66,($L234-INT($L234/1000)*1000)))</f>
        <v/>
      </c>
      <c r="E234" s="69">
        <f>IF($L234="","",INDEX(HSCEI!$K$7:$K$66,($L234-INT($L234/1000)*1000)))</f>
        <v/>
      </c>
      <c r="F234" s="43">
        <f>IF($L234="","",IF(COUNTIFS(OVR_TICKERS,$D234,OVR_BASE,"&gt;=0")=0,"",SUMIFS(OVR_BASE,OVR_TICKERS,$D234)))</f>
        <v/>
      </c>
      <c r="G234" s="69">
        <f>IF($L234="","",INDEX(HSCEI!$L$7:$L$66,($L234-INT($L234/1000)*1000)))</f>
        <v/>
      </c>
      <c r="H234" s="95">
        <f>IF($L234="","",IF($F234="","",IFERROR(($F234-$E234)*INDEX(HSCEI!$B$7:$B$66,($L234-INT($L234/1000)*1000))*INDEX(HSCEI!$G$7:$G$66,($L234-INT($L234/1000)*1000))/HSCEI!$B$3,"")))</f>
        <v/>
      </c>
      <c r="I234" s="46">
        <f>IF($L234="","",INDEX(HSCEI!$U$7:$U$66,($L234-INT($L234/1000)*1000)))</f>
        <v/>
      </c>
      <c r="K234" s="39">
        <f>IF(HSCEI!$C$17="","",IFERROR(MATCH(HSCEI!$E$17,Fundamentals!$B$216:$B$226,0),99)*1000+11)</f>
        <v/>
      </c>
      <c r="L234" s="39">
        <f>IFERROR(SMALL($K$224:$K$283,11),"")</f>
        <v/>
      </c>
    </row>
    <row r="235">
      <c r="B235" s="22">
        <f>IF($L235="","",INDEX(HSCEI!$E$7:$E$66,($L235-INT($L235/1000)*1000)))</f>
        <v/>
      </c>
      <c r="C235" s="22">
        <f>IF($L235="","",INDEX(HSCEI!$D$7:$D$66,($L235-INT($L235/1000)*1000)))</f>
        <v/>
      </c>
      <c r="D235" s="22">
        <f>IF($L235="","",INDEX(HSCEI!$C$7:$C$66,($L235-INT($L235/1000)*1000)))</f>
        <v/>
      </c>
      <c r="E235" s="69">
        <f>IF($L235="","",INDEX(HSCEI!$K$7:$K$66,($L235-INT($L235/1000)*1000)))</f>
        <v/>
      </c>
      <c r="F235" s="43">
        <f>IF($L235="","",IF(COUNTIFS(OVR_TICKERS,$D235,OVR_BASE,"&gt;=0")=0,"",SUMIFS(OVR_BASE,OVR_TICKERS,$D235)))</f>
        <v/>
      </c>
      <c r="G235" s="69">
        <f>IF($L235="","",INDEX(HSCEI!$L$7:$L$66,($L235-INT($L235/1000)*1000)))</f>
        <v/>
      </c>
      <c r="H235" s="95">
        <f>IF($L235="","",IF($F235="","",IFERROR(($F235-$E235)*INDEX(HSCEI!$B$7:$B$66,($L235-INT($L235/1000)*1000))*INDEX(HSCEI!$G$7:$G$66,($L235-INT($L235/1000)*1000))/HSCEI!$B$3,"")))</f>
        <v/>
      </c>
      <c r="I235" s="46">
        <f>IF($L235="","",INDEX(HSCEI!$U$7:$U$66,($L235-INT($L235/1000)*1000)))</f>
        <v/>
      </c>
      <c r="K235" s="39">
        <f>IF(HSCEI!$C$18="","",IFERROR(MATCH(HSCEI!$E$18,Fundamentals!$B$216:$B$226,0),99)*1000+12)</f>
        <v/>
      </c>
      <c r="L235" s="39">
        <f>IFERROR(SMALL($K$224:$K$283,12),"")</f>
        <v/>
      </c>
    </row>
    <row r="236">
      <c r="B236" s="22">
        <f>IF($L236="","",INDEX(HSCEI!$E$7:$E$66,($L236-INT($L236/1000)*1000)))</f>
        <v/>
      </c>
      <c r="C236" s="22">
        <f>IF($L236="","",INDEX(HSCEI!$D$7:$D$66,($L236-INT($L236/1000)*1000)))</f>
        <v/>
      </c>
      <c r="D236" s="22">
        <f>IF($L236="","",INDEX(HSCEI!$C$7:$C$66,($L236-INT($L236/1000)*1000)))</f>
        <v/>
      </c>
      <c r="E236" s="69">
        <f>IF($L236="","",INDEX(HSCEI!$K$7:$K$66,($L236-INT($L236/1000)*1000)))</f>
        <v/>
      </c>
      <c r="F236" s="43">
        <f>IF($L236="","",IF(COUNTIFS(OVR_TICKERS,$D236,OVR_BASE,"&gt;=0")=0,"",SUMIFS(OVR_BASE,OVR_TICKERS,$D236)))</f>
        <v/>
      </c>
      <c r="G236" s="69">
        <f>IF($L236="","",INDEX(HSCEI!$L$7:$L$66,($L236-INT($L236/1000)*1000)))</f>
        <v/>
      </c>
      <c r="H236" s="95">
        <f>IF($L236="","",IF($F236="","",IFERROR(($F236-$E236)*INDEX(HSCEI!$B$7:$B$66,($L236-INT($L236/1000)*1000))*INDEX(HSCEI!$G$7:$G$66,($L236-INT($L236/1000)*1000))/HSCEI!$B$3,"")))</f>
        <v/>
      </c>
      <c r="I236" s="46">
        <f>IF($L236="","",INDEX(HSCEI!$U$7:$U$66,($L236-INT($L236/1000)*1000)))</f>
        <v/>
      </c>
      <c r="K236" s="39">
        <f>IF(HSCEI!$C$19="","",IFERROR(MATCH(HSCEI!$E$19,Fundamentals!$B$216:$B$226,0),99)*1000+13)</f>
        <v/>
      </c>
      <c r="L236" s="39">
        <f>IFERROR(SMALL($K$224:$K$283,13),"")</f>
        <v/>
      </c>
    </row>
    <row r="237">
      <c r="B237" s="22">
        <f>IF($L237="","",INDEX(HSCEI!$E$7:$E$66,($L237-INT($L237/1000)*1000)))</f>
        <v/>
      </c>
      <c r="C237" s="22">
        <f>IF($L237="","",INDEX(HSCEI!$D$7:$D$66,($L237-INT($L237/1000)*1000)))</f>
        <v/>
      </c>
      <c r="D237" s="22">
        <f>IF($L237="","",INDEX(HSCEI!$C$7:$C$66,($L237-INT($L237/1000)*1000)))</f>
        <v/>
      </c>
      <c r="E237" s="69">
        <f>IF($L237="","",INDEX(HSCEI!$K$7:$K$66,($L237-INT($L237/1000)*1000)))</f>
        <v/>
      </c>
      <c r="F237" s="43">
        <f>IF($L237="","",IF(COUNTIFS(OVR_TICKERS,$D237,OVR_BASE,"&gt;=0")=0,"",SUMIFS(OVR_BASE,OVR_TICKERS,$D237)))</f>
        <v/>
      </c>
      <c r="G237" s="69">
        <f>IF($L237="","",INDEX(HSCEI!$L$7:$L$66,($L237-INT($L237/1000)*1000)))</f>
        <v/>
      </c>
      <c r="H237" s="95">
        <f>IF($L237="","",IF($F237="","",IFERROR(($F237-$E237)*INDEX(HSCEI!$B$7:$B$66,($L237-INT($L237/1000)*1000))*INDEX(HSCEI!$G$7:$G$66,($L237-INT($L237/1000)*1000))/HSCEI!$B$3,"")))</f>
        <v/>
      </c>
      <c r="I237" s="46">
        <f>IF($L237="","",INDEX(HSCEI!$U$7:$U$66,($L237-INT($L237/1000)*1000)))</f>
        <v/>
      </c>
      <c r="K237" s="39">
        <f>IF(HSCEI!$C$20="","",IFERROR(MATCH(HSCEI!$E$20,Fundamentals!$B$216:$B$226,0),99)*1000+14)</f>
        <v/>
      </c>
      <c r="L237" s="39">
        <f>IFERROR(SMALL($K$224:$K$283,14),"")</f>
        <v/>
      </c>
    </row>
    <row r="238">
      <c r="B238" s="22">
        <f>IF($L238="","",INDEX(HSCEI!$E$7:$E$66,($L238-INT($L238/1000)*1000)))</f>
        <v/>
      </c>
      <c r="C238" s="22">
        <f>IF($L238="","",INDEX(HSCEI!$D$7:$D$66,($L238-INT($L238/1000)*1000)))</f>
        <v/>
      </c>
      <c r="D238" s="22">
        <f>IF($L238="","",INDEX(HSCEI!$C$7:$C$66,($L238-INT($L238/1000)*1000)))</f>
        <v/>
      </c>
      <c r="E238" s="69">
        <f>IF($L238="","",INDEX(HSCEI!$K$7:$K$66,($L238-INT($L238/1000)*1000)))</f>
        <v/>
      </c>
      <c r="F238" s="43">
        <f>IF($L238="","",IF(COUNTIFS(OVR_TICKERS,$D238,OVR_BASE,"&gt;=0")=0,"",SUMIFS(OVR_BASE,OVR_TICKERS,$D238)))</f>
        <v/>
      </c>
      <c r="G238" s="69">
        <f>IF($L238="","",INDEX(HSCEI!$L$7:$L$66,($L238-INT($L238/1000)*1000)))</f>
        <v/>
      </c>
      <c r="H238" s="95">
        <f>IF($L238="","",IF($F238="","",IFERROR(($F238-$E238)*INDEX(HSCEI!$B$7:$B$66,($L238-INT($L238/1000)*1000))*INDEX(HSCEI!$G$7:$G$66,($L238-INT($L238/1000)*1000))/HSCEI!$B$3,"")))</f>
        <v/>
      </c>
      <c r="I238" s="46">
        <f>IF($L238="","",INDEX(HSCEI!$U$7:$U$66,($L238-INT($L238/1000)*1000)))</f>
        <v/>
      </c>
      <c r="K238" s="39">
        <f>IF(HSCEI!$C$21="","",IFERROR(MATCH(HSCEI!$E$21,Fundamentals!$B$216:$B$226,0),99)*1000+15)</f>
        <v/>
      </c>
      <c r="L238" s="39">
        <f>IFERROR(SMALL($K$224:$K$283,15),"")</f>
        <v/>
      </c>
    </row>
    <row r="239">
      <c r="B239" s="22">
        <f>IF($L239="","",INDEX(HSCEI!$E$7:$E$66,($L239-INT($L239/1000)*1000)))</f>
        <v/>
      </c>
      <c r="C239" s="22">
        <f>IF($L239="","",INDEX(HSCEI!$D$7:$D$66,($L239-INT($L239/1000)*1000)))</f>
        <v/>
      </c>
      <c r="D239" s="22">
        <f>IF($L239="","",INDEX(HSCEI!$C$7:$C$66,($L239-INT($L239/1000)*1000)))</f>
        <v/>
      </c>
      <c r="E239" s="69">
        <f>IF($L239="","",INDEX(HSCEI!$K$7:$K$66,($L239-INT($L239/1000)*1000)))</f>
        <v/>
      </c>
      <c r="F239" s="43">
        <f>IF($L239="","",IF(COUNTIFS(OVR_TICKERS,$D239,OVR_BASE,"&gt;=0")=0,"",SUMIFS(OVR_BASE,OVR_TICKERS,$D239)))</f>
        <v/>
      </c>
      <c r="G239" s="69">
        <f>IF($L239="","",INDEX(HSCEI!$L$7:$L$66,($L239-INT($L239/1000)*1000)))</f>
        <v/>
      </c>
      <c r="H239" s="95">
        <f>IF($L239="","",IF($F239="","",IFERROR(($F239-$E239)*INDEX(HSCEI!$B$7:$B$66,($L239-INT($L239/1000)*1000))*INDEX(HSCEI!$G$7:$G$66,($L239-INT($L239/1000)*1000))/HSCEI!$B$3,"")))</f>
        <v/>
      </c>
      <c r="I239" s="46">
        <f>IF($L239="","",INDEX(HSCEI!$U$7:$U$66,($L239-INT($L239/1000)*1000)))</f>
        <v/>
      </c>
      <c r="K239" s="39">
        <f>IF(HSCEI!$C$22="","",IFERROR(MATCH(HSCEI!$E$22,Fundamentals!$B$216:$B$226,0),99)*1000+16)</f>
        <v/>
      </c>
      <c r="L239" s="39">
        <f>IFERROR(SMALL($K$224:$K$283,16),"")</f>
        <v/>
      </c>
    </row>
    <row r="240">
      <c r="B240" s="22">
        <f>IF($L240="","",INDEX(HSCEI!$E$7:$E$66,($L240-INT($L240/1000)*1000)))</f>
        <v/>
      </c>
      <c r="C240" s="22">
        <f>IF($L240="","",INDEX(HSCEI!$D$7:$D$66,($L240-INT($L240/1000)*1000)))</f>
        <v/>
      </c>
      <c r="D240" s="22">
        <f>IF($L240="","",INDEX(HSCEI!$C$7:$C$66,($L240-INT($L240/1000)*1000)))</f>
        <v/>
      </c>
      <c r="E240" s="69">
        <f>IF($L240="","",INDEX(HSCEI!$K$7:$K$66,($L240-INT($L240/1000)*1000)))</f>
        <v/>
      </c>
      <c r="F240" s="43">
        <f>IF($L240="","",IF(COUNTIFS(OVR_TICKERS,$D240,OVR_BASE,"&gt;=0")=0,"",SUMIFS(OVR_BASE,OVR_TICKERS,$D240)))</f>
        <v/>
      </c>
      <c r="G240" s="69">
        <f>IF($L240="","",INDEX(HSCEI!$L$7:$L$66,($L240-INT($L240/1000)*1000)))</f>
        <v/>
      </c>
      <c r="H240" s="95">
        <f>IF($L240="","",IF($F240="","",IFERROR(($F240-$E240)*INDEX(HSCEI!$B$7:$B$66,($L240-INT($L240/1000)*1000))*INDEX(HSCEI!$G$7:$G$66,($L240-INT($L240/1000)*1000))/HSCEI!$B$3,"")))</f>
        <v/>
      </c>
      <c r="I240" s="46">
        <f>IF($L240="","",INDEX(HSCEI!$U$7:$U$66,($L240-INT($L240/1000)*1000)))</f>
        <v/>
      </c>
      <c r="K240" s="39">
        <f>IF(HSCEI!$C$23="","",IFERROR(MATCH(HSCEI!$E$23,Fundamentals!$B$216:$B$226,0),99)*1000+17)</f>
        <v/>
      </c>
      <c r="L240" s="39">
        <f>IFERROR(SMALL($K$224:$K$283,17),"")</f>
        <v/>
      </c>
    </row>
    <row r="241">
      <c r="B241" s="22">
        <f>IF($L241="","",INDEX(HSCEI!$E$7:$E$66,($L241-INT($L241/1000)*1000)))</f>
        <v/>
      </c>
      <c r="C241" s="22">
        <f>IF($L241="","",INDEX(HSCEI!$D$7:$D$66,($L241-INT($L241/1000)*1000)))</f>
        <v/>
      </c>
      <c r="D241" s="22">
        <f>IF($L241="","",INDEX(HSCEI!$C$7:$C$66,($L241-INT($L241/1000)*1000)))</f>
        <v/>
      </c>
      <c r="E241" s="69">
        <f>IF($L241="","",INDEX(HSCEI!$K$7:$K$66,($L241-INT($L241/1000)*1000)))</f>
        <v/>
      </c>
      <c r="F241" s="43">
        <f>IF($L241="","",IF(COUNTIFS(OVR_TICKERS,$D241,OVR_BASE,"&gt;=0")=0,"",SUMIFS(OVR_BASE,OVR_TICKERS,$D241)))</f>
        <v/>
      </c>
      <c r="G241" s="69">
        <f>IF($L241="","",INDEX(HSCEI!$L$7:$L$66,($L241-INT($L241/1000)*1000)))</f>
        <v/>
      </c>
      <c r="H241" s="95">
        <f>IF($L241="","",IF($F241="","",IFERROR(($F241-$E241)*INDEX(HSCEI!$B$7:$B$66,($L241-INT($L241/1000)*1000))*INDEX(HSCEI!$G$7:$G$66,($L241-INT($L241/1000)*1000))/HSCEI!$B$3,"")))</f>
        <v/>
      </c>
      <c r="I241" s="46">
        <f>IF($L241="","",INDEX(HSCEI!$U$7:$U$66,($L241-INT($L241/1000)*1000)))</f>
        <v/>
      </c>
      <c r="K241" s="39">
        <f>IF(HSCEI!$C$24="","",IFERROR(MATCH(HSCEI!$E$24,Fundamentals!$B$216:$B$226,0),99)*1000+18)</f>
        <v/>
      </c>
      <c r="L241" s="39">
        <f>IFERROR(SMALL($K$224:$K$283,18),"")</f>
        <v/>
      </c>
    </row>
    <row r="242">
      <c r="B242" s="22">
        <f>IF($L242="","",INDEX(HSCEI!$E$7:$E$66,($L242-INT($L242/1000)*1000)))</f>
        <v/>
      </c>
      <c r="C242" s="22">
        <f>IF($L242="","",INDEX(HSCEI!$D$7:$D$66,($L242-INT($L242/1000)*1000)))</f>
        <v/>
      </c>
      <c r="D242" s="22">
        <f>IF($L242="","",INDEX(HSCEI!$C$7:$C$66,($L242-INT($L242/1000)*1000)))</f>
        <v/>
      </c>
      <c r="E242" s="69">
        <f>IF($L242="","",INDEX(HSCEI!$K$7:$K$66,($L242-INT($L242/1000)*1000)))</f>
        <v/>
      </c>
      <c r="F242" s="43">
        <f>IF($L242="","",IF(COUNTIFS(OVR_TICKERS,$D242,OVR_BASE,"&gt;=0")=0,"",SUMIFS(OVR_BASE,OVR_TICKERS,$D242)))</f>
        <v/>
      </c>
      <c r="G242" s="69">
        <f>IF($L242="","",INDEX(HSCEI!$L$7:$L$66,($L242-INT($L242/1000)*1000)))</f>
        <v/>
      </c>
      <c r="H242" s="95">
        <f>IF($L242="","",IF($F242="","",IFERROR(($F242-$E242)*INDEX(HSCEI!$B$7:$B$66,($L242-INT($L242/1000)*1000))*INDEX(HSCEI!$G$7:$G$66,($L242-INT($L242/1000)*1000))/HSCEI!$B$3,"")))</f>
        <v/>
      </c>
      <c r="I242" s="46">
        <f>IF($L242="","",INDEX(HSCEI!$U$7:$U$66,($L242-INT($L242/1000)*1000)))</f>
        <v/>
      </c>
      <c r="K242" s="39">
        <f>IF(HSCEI!$C$25="","",IFERROR(MATCH(HSCEI!$E$25,Fundamentals!$B$216:$B$226,0),99)*1000+19)</f>
        <v/>
      </c>
      <c r="L242" s="39">
        <f>IFERROR(SMALL($K$224:$K$283,19),"")</f>
        <v/>
      </c>
    </row>
    <row r="243">
      <c r="B243" s="22">
        <f>IF($L243="","",INDEX(HSCEI!$E$7:$E$66,($L243-INT($L243/1000)*1000)))</f>
        <v/>
      </c>
      <c r="C243" s="22">
        <f>IF($L243="","",INDEX(HSCEI!$D$7:$D$66,($L243-INT($L243/1000)*1000)))</f>
        <v/>
      </c>
      <c r="D243" s="22">
        <f>IF($L243="","",INDEX(HSCEI!$C$7:$C$66,($L243-INT($L243/1000)*1000)))</f>
        <v/>
      </c>
      <c r="E243" s="69">
        <f>IF($L243="","",INDEX(HSCEI!$K$7:$K$66,($L243-INT($L243/1000)*1000)))</f>
        <v/>
      </c>
      <c r="F243" s="43">
        <f>IF($L243="","",IF(COUNTIFS(OVR_TICKERS,$D243,OVR_BASE,"&gt;=0")=0,"",SUMIFS(OVR_BASE,OVR_TICKERS,$D243)))</f>
        <v/>
      </c>
      <c r="G243" s="69">
        <f>IF($L243="","",INDEX(HSCEI!$L$7:$L$66,($L243-INT($L243/1000)*1000)))</f>
        <v/>
      </c>
      <c r="H243" s="95">
        <f>IF($L243="","",IF($F243="","",IFERROR(($F243-$E243)*INDEX(HSCEI!$B$7:$B$66,($L243-INT($L243/1000)*1000))*INDEX(HSCEI!$G$7:$G$66,($L243-INT($L243/1000)*1000))/HSCEI!$B$3,"")))</f>
        <v/>
      </c>
      <c r="I243" s="46">
        <f>IF($L243="","",INDEX(HSCEI!$U$7:$U$66,($L243-INT($L243/1000)*1000)))</f>
        <v/>
      </c>
      <c r="K243" s="39">
        <f>IF(HSCEI!$C$26="","",IFERROR(MATCH(HSCEI!$E$26,Fundamentals!$B$216:$B$226,0),99)*1000+20)</f>
        <v/>
      </c>
      <c r="L243" s="39">
        <f>IFERROR(SMALL($K$224:$K$283,20),"")</f>
        <v/>
      </c>
    </row>
    <row r="244">
      <c r="B244" s="22">
        <f>IF($L244="","",INDEX(HSCEI!$E$7:$E$66,($L244-INT($L244/1000)*1000)))</f>
        <v/>
      </c>
      <c r="C244" s="22">
        <f>IF($L244="","",INDEX(HSCEI!$D$7:$D$66,($L244-INT($L244/1000)*1000)))</f>
        <v/>
      </c>
      <c r="D244" s="22">
        <f>IF($L244="","",INDEX(HSCEI!$C$7:$C$66,($L244-INT($L244/1000)*1000)))</f>
        <v/>
      </c>
      <c r="E244" s="69">
        <f>IF($L244="","",INDEX(HSCEI!$K$7:$K$66,($L244-INT($L244/1000)*1000)))</f>
        <v/>
      </c>
      <c r="F244" s="43">
        <f>IF($L244="","",IF(COUNTIFS(OVR_TICKERS,$D244,OVR_BASE,"&gt;=0")=0,"",SUMIFS(OVR_BASE,OVR_TICKERS,$D244)))</f>
        <v/>
      </c>
      <c r="G244" s="69">
        <f>IF($L244="","",INDEX(HSCEI!$L$7:$L$66,($L244-INT($L244/1000)*1000)))</f>
        <v/>
      </c>
      <c r="H244" s="95">
        <f>IF($L244="","",IF($F244="","",IFERROR(($F244-$E244)*INDEX(HSCEI!$B$7:$B$66,($L244-INT($L244/1000)*1000))*INDEX(HSCEI!$G$7:$G$66,($L244-INT($L244/1000)*1000))/HSCEI!$B$3,"")))</f>
        <v/>
      </c>
      <c r="I244" s="46">
        <f>IF($L244="","",INDEX(HSCEI!$U$7:$U$66,($L244-INT($L244/1000)*1000)))</f>
        <v/>
      </c>
      <c r="K244" s="39">
        <f>IF(HSCEI!$C$27="","",IFERROR(MATCH(HSCEI!$E$27,Fundamentals!$B$216:$B$226,0),99)*1000+21)</f>
        <v/>
      </c>
      <c r="L244" s="39">
        <f>IFERROR(SMALL($K$224:$K$283,21),"")</f>
        <v/>
      </c>
    </row>
    <row r="245">
      <c r="B245" s="22">
        <f>IF($L245="","",INDEX(HSCEI!$E$7:$E$66,($L245-INT($L245/1000)*1000)))</f>
        <v/>
      </c>
      <c r="C245" s="22">
        <f>IF($L245="","",INDEX(HSCEI!$D$7:$D$66,($L245-INT($L245/1000)*1000)))</f>
        <v/>
      </c>
      <c r="D245" s="22">
        <f>IF($L245="","",INDEX(HSCEI!$C$7:$C$66,($L245-INT($L245/1000)*1000)))</f>
        <v/>
      </c>
      <c r="E245" s="69">
        <f>IF($L245="","",INDEX(HSCEI!$K$7:$K$66,($L245-INT($L245/1000)*1000)))</f>
        <v/>
      </c>
      <c r="F245" s="43">
        <f>IF($L245="","",IF(COUNTIFS(OVR_TICKERS,$D245,OVR_BASE,"&gt;=0")=0,"",SUMIFS(OVR_BASE,OVR_TICKERS,$D245)))</f>
        <v/>
      </c>
      <c r="G245" s="69">
        <f>IF($L245="","",INDEX(HSCEI!$L$7:$L$66,($L245-INT($L245/1000)*1000)))</f>
        <v/>
      </c>
      <c r="H245" s="95">
        <f>IF($L245="","",IF($F245="","",IFERROR(($F245-$E245)*INDEX(HSCEI!$B$7:$B$66,($L245-INT($L245/1000)*1000))*INDEX(HSCEI!$G$7:$G$66,($L245-INT($L245/1000)*1000))/HSCEI!$B$3,"")))</f>
        <v/>
      </c>
      <c r="I245" s="46">
        <f>IF($L245="","",INDEX(HSCEI!$U$7:$U$66,($L245-INT($L245/1000)*1000)))</f>
        <v/>
      </c>
      <c r="K245" s="39">
        <f>IF(HSCEI!$C$28="","",IFERROR(MATCH(HSCEI!$E$28,Fundamentals!$B$216:$B$226,0),99)*1000+22)</f>
        <v/>
      </c>
      <c r="L245" s="39">
        <f>IFERROR(SMALL($K$224:$K$283,22),"")</f>
        <v/>
      </c>
    </row>
    <row r="246">
      <c r="B246" s="22">
        <f>IF($L246="","",INDEX(HSCEI!$E$7:$E$66,($L246-INT($L246/1000)*1000)))</f>
        <v/>
      </c>
      <c r="C246" s="22">
        <f>IF($L246="","",INDEX(HSCEI!$D$7:$D$66,($L246-INT($L246/1000)*1000)))</f>
        <v/>
      </c>
      <c r="D246" s="22">
        <f>IF($L246="","",INDEX(HSCEI!$C$7:$C$66,($L246-INT($L246/1000)*1000)))</f>
        <v/>
      </c>
      <c r="E246" s="69">
        <f>IF($L246="","",INDEX(HSCEI!$K$7:$K$66,($L246-INT($L246/1000)*1000)))</f>
        <v/>
      </c>
      <c r="F246" s="43">
        <f>IF($L246="","",IF(COUNTIFS(OVR_TICKERS,$D246,OVR_BASE,"&gt;=0")=0,"",SUMIFS(OVR_BASE,OVR_TICKERS,$D246)))</f>
        <v/>
      </c>
      <c r="G246" s="69">
        <f>IF($L246="","",INDEX(HSCEI!$L$7:$L$66,($L246-INT($L246/1000)*1000)))</f>
        <v/>
      </c>
      <c r="H246" s="95">
        <f>IF($L246="","",IF($F246="","",IFERROR(($F246-$E246)*INDEX(HSCEI!$B$7:$B$66,($L246-INT($L246/1000)*1000))*INDEX(HSCEI!$G$7:$G$66,($L246-INT($L246/1000)*1000))/HSCEI!$B$3,"")))</f>
        <v/>
      </c>
      <c r="I246" s="46">
        <f>IF($L246="","",INDEX(HSCEI!$U$7:$U$66,($L246-INT($L246/1000)*1000)))</f>
        <v/>
      </c>
      <c r="K246" s="39">
        <f>IF(HSCEI!$C$29="","",IFERROR(MATCH(HSCEI!$E$29,Fundamentals!$B$216:$B$226,0),99)*1000+23)</f>
        <v/>
      </c>
      <c r="L246" s="39">
        <f>IFERROR(SMALL($K$224:$K$283,23),"")</f>
        <v/>
      </c>
    </row>
    <row r="247">
      <c r="B247" s="22">
        <f>IF($L247="","",INDEX(HSCEI!$E$7:$E$66,($L247-INT($L247/1000)*1000)))</f>
        <v/>
      </c>
      <c r="C247" s="22">
        <f>IF($L247="","",INDEX(HSCEI!$D$7:$D$66,($L247-INT($L247/1000)*1000)))</f>
        <v/>
      </c>
      <c r="D247" s="22">
        <f>IF($L247="","",INDEX(HSCEI!$C$7:$C$66,($L247-INT($L247/1000)*1000)))</f>
        <v/>
      </c>
      <c r="E247" s="69">
        <f>IF($L247="","",INDEX(HSCEI!$K$7:$K$66,($L247-INT($L247/1000)*1000)))</f>
        <v/>
      </c>
      <c r="F247" s="43">
        <f>IF($L247="","",IF(COUNTIFS(OVR_TICKERS,$D247,OVR_BASE,"&gt;=0")=0,"",SUMIFS(OVR_BASE,OVR_TICKERS,$D247)))</f>
        <v/>
      </c>
      <c r="G247" s="69">
        <f>IF($L247="","",INDEX(HSCEI!$L$7:$L$66,($L247-INT($L247/1000)*1000)))</f>
        <v/>
      </c>
      <c r="H247" s="95">
        <f>IF($L247="","",IF($F247="","",IFERROR(($F247-$E247)*INDEX(HSCEI!$B$7:$B$66,($L247-INT($L247/1000)*1000))*INDEX(HSCEI!$G$7:$G$66,($L247-INT($L247/1000)*1000))/HSCEI!$B$3,"")))</f>
        <v/>
      </c>
      <c r="I247" s="46">
        <f>IF($L247="","",INDEX(HSCEI!$U$7:$U$66,($L247-INT($L247/1000)*1000)))</f>
        <v/>
      </c>
      <c r="K247" s="39">
        <f>IF(HSCEI!$C$30="","",IFERROR(MATCH(HSCEI!$E$30,Fundamentals!$B$216:$B$226,0),99)*1000+24)</f>
        <v/>
      </c>
      <c r="L247" s="39">
        <f>IFERROR(SMALL($K$224:$K$283,24),"")</f>
        <v/>
      </c>
    </row>
    <row r="248">
      <c r="B248" s="22">
        <f>IF($L248="","",INDEX(HSCEI!$E$7:$E$66,($L248-INT($L248/1000)*1000)))</f>
        <v/>
      </c>
      <c r="C248" s="22">
        <f>IF($L248="","",INDEX(HSCEI!$D$7:$D$66,($L248-INT($L248/1000)*1000)))</f>
        <v/>
      </c>
      <c r="D248" s="22">
        <f>IF($L248="","",INDEX(HSCEI!$C$7:$C$66,($L248-INT($L248/1000)*1000)))</f>
        <v/>
      </c>
      <c r="E248" s="69">
        <f>IF($L248="","",INDEX(HSCEI!$K$7:$K$66,($L248-INT($L248/1000)*1000)))</f>
        <v/>
      </c>
      <c r="F248" s="43">
        <f>IF($L248="","",IF(COUNTIFS(OVR_TICKERS,$D248,OVR_BASE,"&gt;=0")=0,"",SUMIFS(OVR_BASE,OVR_TICKERS,$D248)))</f>
        <v/>
      </c>
      <c r="G248" s="69">
        <f>IF($L248="","",INDEX(HSCEI!$L$7:$L$66,($L248-INT($L248/1000)*1000)))</f>
        <v/>
      </c>
      <c r="H248" s="95">
        <f>IF($L248="","",IF($F248="","",IFERROR(($F248-$E248)*INDEX(HSCEI!$B$7:$B$66,($L248-INT($L248/1000)*1000))*INDEX(HSCEI!$G$7:$G$66,($L248-INT($L248/1000)*1000))/HSCEI!$B$3,"")))</f>
        <v/>
      </c>
      <c r="I248" s="46">
        <f>IF($L248="","",INDEX(HSCEI!$U$7:$U$66,($L248-INT($L248/1000)*1000)))</f>
        <v/>
      </c>
      <c r="K248" s="39">
        <f>IF(HSCEI!$C$31="","",IFERROR(MATCH(HSCEI!$E$31,Fundamentals!$B$216:$B$226,0),99)*1000+25)</f>
        <v/>
      </c>
      <c r="L248" s="39">
        <f>IFERROR(SMALL($K$224:$K$283,25),"")</f>
        <v/>
      </c>
    </row>
    <row r="249">
      <c r="B249" s="22">
        <f>IF($L249="","",INDEX(HSCEI!$E$7:$E$66,($L249-INT($L249/1000)*1000)))</f>
        <v/>
      </c>
      <c r="C249" s="22">
        <f>IF($L249="","",INDEX(HSCEI!$D$7:$D$66,($L249-INT($L249/1000)*1000)))</f>
        <v/>
      </c>
      <c r="D249" s="22">
        <f>IF($L249="","",INDEX(HSCEI!$C$7:$C$66,($L249-INT($L249/1000)*1000)))</f>
        <v/>
      </c>
      <c r="E249" s="69">
        <f>IF($L249="","",INDEX(HSCEI!$K$7:$K$66,($L249-INT($L249/1000)*1000)))</f>
        <v/>
      </c>
      <c r="F249" s="43">
        <f>IF($L249="","",IF(COUNTIFS(OVR_TICKERS,$D249,OVR_BASE,"&gt;=0")=0,"",SUMIFS(OVR_BASE,OVR_TICKERS,$D249)))</f>
        <v/>
      </c>
      <c r="G249" s="69">
        <f>IF($L249="","",INDEX(HSCEI!$L$7:$L$66,($L249-INT($L249/1000)*1000)))</f>
        <v/>
      </c>
      <c r="H249" s="95">
        <f>IF($L249="","",IF($F249="","",IFERROR(($F249-$E249)*INDEX(HSCEI!$B$7:$B$66,($L249-INT($L249/1000)*1000))*INDEX(HSCEI!$G$7:$G$66,($L249-INT($L249/1000)*1000))/HSCEI!$B$3,"")))</f>
        <v/>
      </c>
      <c r="I249" s="46">
        <f>IF($L249="","",INDEX(HSCEI!$U$7:$U$66,($L249-INT($L249/1000)*1000)))</f>
        <v/>
      </c>
      <c r="K249" s="39">
        <f>IF(HSCEI!$C$32="","",IFERROR(MATCH(HSCEI!$E$32,Fundamentals!$B$216:$B$226,0),99)*1000+26)</f>
        <v/>
      </c>
      <c r="L249" s="39">
        <f>IFERROR(SMALL($K$224:$K$283,26),"")</f>
        <v/>
      </c>
    </row>
    <row r="250">
      <c r="B250" s="22">
        <f>IF($L250="","",INDEX(HSCEI!$E$7:$E$66,($L250-INT($L250/1000)*1000)))</f>
        <v/>
      </c>
      <c r="C250" s="22">
        <f>IF($L250="","",INDEX(HSCEI!$D$7:$D$66,($L250-INT($L250/1000)*1000)))</f>
        <v/>
      </c>
      <c r="D250" s="22">
        <f>IF($L250="","",INDEX(HSCEI!$C$7:$C$66,($L250-INT($L250/1000)*1000)))</f>
        <v/>
      </c>
      <c r="E250" s="69">
        <f>IF($L250="","",INDEX(HSCEI!$K$7:$K$66,($L250-INT($L250/1000)*1000)))</f>
        <v/>
      </c>
      <c r="F250" s="43">
        <f>IF($L250="","",IF(COUNTIFS(OVR_TICKERS,$D250,OVR_BASE,"&gt;=0")=0,"",SUMIFS(OVR_BASE,OVR_TICKERS,$D250)))</f>
        <v/>
      </c>
      <c r="G250" s="69">
        <f>IF($L250="","",INDEX(HSCEI!$L$7:$L$66,($L250-INT($L250/1000)*1000)))</f>
        <v/>
      </c>
      <c r="H250" s="95">
        <f>IF($L250="","",IF($F250="","",IFERROR(($F250-$E250)*INDEX(HSCEI!$B$7:$B$66,($L250-INT($L250/1000)*1000))*INDEX(HSCEI!$G$7:$G$66,($L250-INT($L250/1000)*1000))/HSCEI!$B$3,"")))</f>
        <v/>
      </c>
      <c r="I250" s="46">
        <f>IF($L250="","",INDEX(HSCEI!$U$7:$U$66,($L250-INT($L250/1000)*1000)))</f>
        <v/>
      </c>
      <c r="K250" s="39">
        <f>IF(HSCEI!$C$33="","",IFERROR(MATCH(HSCEI!$E$33,Fundamentals!$B$216:$B$226,0),99)*1000+27)</f>
        <v/>
      </c>
      <c r="L250" s="39">
        <f>IFERROR(SMALL($K$224:$K$283,27),"")</f>
        <v/>
      </c>
    </row>
    <row r="251">
      <c r="B251" s="22">
        <f>IF($L251="","",INDEX(HSCEI!$E$7:$E$66,($L251-INT($L251/1000)*1000)))</f>
        <v/>
      </c>
      <c r="C251" s="22">
        <f>IF($L251="","",INDEX(HSCEI!$D$7:$D$66,($L251-INT($L251/1000)*1000)))</f>
        <v/>
      </c>
      <c r="D251" s="22">
        <f>IF($L251="","",INDEX(HSCEI!$C$7:$C$66,($L251-INT($L251/1000)*1000)))</f>
        <v/>
      </c>
      <c r="E251" s="69">
        <f>IF($L251="","",INDEX(HSCEI!$K$7:$K$66,($L251-INT($L251/1000)*1000)))</f>
        <v/>
      </c>
      <c r="F251" s="43">
        <f>IF($L251="","",IF(COUNTIFS(OVR_TICKERS,$D251,OVR_BASE,"&gt;=0")=0,"",SUMIFS(OVR_BASE,OVR_TICKERS,$D251)))</f>
        <v/>
      </c>
      <c r="G251" s="69">
        <f>IF($L251="","",INDEX(HSCEI!$L$7:$L$66,($L251-INT($L251/1000)*1000)))</f>
        <v/>
      </c>
      <c r="H251" s="95">
        <f>IF($L251="","",IF($F251="","",IFERROR(($F251-$E251)*INDEX(HSCEI!$B$7:$B$66,($L251-INT($L251/1000)*1000))*INDEX(HSCEI!$G$7:$G$66,($L251-INT($L251/1000)*1000))/HSCEI!$B$3,"")))</f>
        <v/>
      </c>
      <c r="I251" s="46">
        <f>IF($L251="","",INDEX(HSCEI!$U$7:$U$66,($L251-INT($L251/1000)*1000)))</f>
        <v/>
      </c>
      <c r="K251" s="39">
        <f>IF(HSCEI!$C$34="","",IFERROR(MATCH(HSCEI!$E$34,Fundamentals!$B$216:$B$226,0),99)*1000+28)</f>
        <v/>
      </c>
      <c r="L251" s="39">
        <f>IFERROR(SMALL($K$224:$K$283,28),"")</f>
        <v/>
      </c>
    </row>
    <row r="252">
      <c r="B252" s="22">
        <f>IF($L252="","",INDEX(HSCEI!$E$7:$E$66,($L252-INT($L252/1000)*1000)))</f>
        <v/>
      </c>
      <c r="C252" s="22">
        <f>IF($L252="","",INDEX(HSCEI!$D$7:$D$66,($L252-INT($L252/1000)*1000)))</f>
        <v/>
      </c>
      <c r="D252" s="22">
        <f>IF($L252="","",INDEX(HSCEI!$C$7:$C$66,($L252-INT($L252/1000)*1000)))</f>
        <v/>
      </c>
      <c r="E252" s="69">
        <f>IF($L252="","",INDEX(HSCEI!$K$7:$K$66,($L252-INT($L252/1000)*1000)))</f>
        <v/>
      </c>
      <c r="F252" s="43">
        <f>IF($L252="","",IF(COUNTIFS(OVR_TICKERS,$D252,OVR_BASE,"&gt;=0")=0,"",SUMIFS(OVR_BASE,OVR_TICKERS,$D252)))</f>
        <v/>
      </c>
      <c r="G252" s="69">
        <f>IF($L252="","",INDEX(HSCEI!$L$7:$L$66,($L252-INT($L252/1000)*1000)))</f>
        <v/>
      </c>
      <c r="H252" s="95">
        <f>IF($L252="","",IF($F252="","",IFERROR(($F252-$E252)*INDEX(HSCEI!$B$7:$B$66,($L252-INT($L252/1000)*1000))*INDEX(HSCEI!$G$7:$G$66,($L252-INT($L252/1000)*1000))/HSCEI!$B$3,"")))</f>
        <v/>
      </c>
      <c r="I252" s="46">
        <f>IF($L252="","",INDEX(HSCEI!$U$7:$U$66,($L252-INT($L252/1000)*1000)))</f>
        <v/>
      </c>
      <c r="K252" s="39">
        <f>IF(HSCEI!$C$35="","",IFERROR(MATCH(HSCEI!$E$35,Fundamentals!$B$216:$B$226,0),99)*1000+29)</f>
        <v/>
      </c>
      <c r="L252" s="39">
        <f>IFERROR(SMALL($K$224:$K$283,29),"")</f>
        <v/>
      </c>
    </row>
    <row r="253">
      <c r="B253" s="22">
        <f>IF($L253="","",INDEX(HSCEI!$E$7:$E$66,($L253-INT($L253/1000)*1000)))</f>
        <v/>
      </c>
      <c r="C253" s="22">
        <f>IF($L253="","",INDEX(HSCEI!$D$7:$D$66,($L253-INT($L253/1000)*1000)))</f>
        <v/>
      </c>
      <c r="D253" s="22">
        <f>IF($L253="","",INDEX(HSCEI!$C$7:$C$66,($L253-INT($L253/1000)*1000)))</f>
        <v/>
      </c>
      <c r="E253" s="69">
        <f>IF($L253="","",INDEX(HSCEI!$K$7:$K$66,($L253-INT($L253/1000)*1000)))</f>
        <v/>
      </c>
      <c r="F253" s="43">
        <f>IF($L253="","",IF(COUNTIFS(OVR_TICKERS,$D253,OVR_BASE,"&gt;=0")=0,"",SUMIFS(OVR_BASE,OVR_TICKERS,$D253)))</f>
        <v/>
      </c>
      <c r="G253" s="69">
        <f>IF($L253="","",INDEX(HSCEI!$L$7:$L$66,($L253-INT($L253/1000)*1000)))</f>
        <v/>
      </c>
      <c r="H253" s="95">
        <f>IF($L253="","",IF($F253="","",IFERROR(($F253-$E253)*INDEX(HSCEI!$B$7:$B$66,($L253-INT($L253/1000)*1000))*INDEX(HSCEI!$G$7:$G$66,($L253-INT($L253/1000)*1000))/HSCEI!$B$3,"")))</f>
        <v/>
      </c>
      <c r="I253" s="46">
        <f>IF($L253="","",INDEX(HSCEI!$U$7:$U$66,($L253-INT($L253/1000)*1000)))</f>
        <v/>
      </c>
      <c r="K253" s="39">
        <f>IF(HSCEI!$C$36="","",IFERROR(MATCH(HSCEI!$E$36,Fundamentals!$B$216:$B$226,0),99)*1000+30)</f>
        <v/>
      </c>
      <c r="L253" s="39">
        <f>IFERROR(SMALL($K$224:$K$283,30),"")</f>
        <v/>
      </c>
    </row>
    <row r="254">
      <c r="B254" s="22">
        <f>IF($L254="","",INDEX(HSCEI!$E$7:$E$66,($L254-INT($L254/1000)*1000)))</f>
        <v/>
      </c>
      <c r="C254" s="22">
        <f>IF($L254="","",INDEX(HSCEI!$D$7:$D$66,($L254-INT($L254/1000)*1000)))</f>
        <v/>
      </c>
      <c r="D254" s="22">
        <f>IF($L254="","",INDEX(HSCEI!$C$7:$C$66,($L254-INT($L254/1000)*1000)))</f>
        <v/>
      </c>
      <c r="E254" s="69">
        <f>IF($L254="","",INDEX(HSCEI!$K$7:$K$66,($L254-INT($L254/1000)*1000)))</f>
        <v/>
      </c>
      <c r="F254" s="43">
        <f>IF($L254="","",IF(COUNTIFS(OVR_TICKERS,$D254,OVR_BASE,"&gt;=0")=0,"",SUMIFS(OVR_BASE,OVR_TICKERS,$D254)))</f>
        <v/>
      </c>
      <c r="G254" s="69">
        <f>IF($L254="","",INDEX(HSCEI!$L$7:$L$66,($L254-INT($L254/1000)*1000)))</f>
        <v/>
      </c>
      <c r="H254" s="95">
        <f>IF($L254="","",IF($F254="","",IFERROR(($F254-$E254)*INDEX(HSCEI!$B$7:$B$66,($L254-INT($L254/1000)*1000))*INDEX(HSCEI!$G$7:$G$66,($L254-INT($L254/1000)*1000))/HSCEI!$B$3,"")))</f>
        <v/>
      </c>
      <c r="I254" s="46">
        <f>IF($L254="","",INDEX(HSCEI!$U$7:$U$66,($L254-INT($L254/1000)*1000)))</f>
        <v/>
      </c>
      <c r="K254" s="39">
        <f>IF(HSCEI!$C$37="","",IFERROR(MATCH(HSCEI!$E$37,Fundamentals!$B$216:$B$226,0),99)*1000+31)</f>
        <v/>
      </c>
      <c r="L254" s="39">
        <f>IFERROR(SMALL($K$224:$K$283,31),"")</f>
        <v/>
      </c>
    </row>
    <row r="255">
      <c r="B255" s="22">
        <f>IF($L255="","",INDEX(HSCEI!$E$7:$E$66,($L255-INT($L255/1000)*1000)))</f>
        <v/>
      </c>
      <c r="C255" s="22">
        <f>IF($L255="","",INDEX(HSCEI!$D$7:$D$66,($L255-INT($L255/1000)*1000)))</f>
        <v/>
      </c>
      <c r="D255" s="22">
        <f>IF($L255="","",INDEX(HSCEI!$C$7:$C$66,($L255-INT($L255/1000)*1000)))</f>
        <v/>
      </c>
      <c r="E255" s="69">
        <f>IF($L255="","",INDEX(HSCEI!$K$7:$K$66,($L255-INT($L255/1000)*1000)))</f>
        <v/>
      </c>
      <c r="F255" s="43">
        <f>IF($L255="","",IF(COUNTIFS(OVR_TICKERS,$D255,OVR_BASE,"&gt;=0")=0,"",SUMIFS(OVR_BASE,OVR_TICKERS,$D255)))</f>
        <v/>
      </c>
      <c r="G255" s="69">
        <f>IF($L255="","",INDEX(HSCEI!$L$7:$L$66,($L255-INT($L255/1000)*1000)))</f>
        <v/>
      </c>
      <c r="H255" s="95">
        <f>IF($L255="","",IF($F255="","",IFERROR(($F255-$E255)*INDEX(HSCEI!$B$7:$B$66,($L255-INT($L255/1000)*1000))*INDEX(HSCEI!$G$7:$G$66,($L255-INT($L255/1000)*1000))/HSCEI!$B$3,"")))</f>
        <v/>
      </c>
      <c r="I255" s="46">
        <f>IF($L255="","",INDEX(HSCEI!$U$7:$U$66,($L255-INT($L255/1000)*1000)))</f>
        <v/>
      </c>
      <c r="K255" s="39">
        <f>IF(HSCEI!$C$38="","",IFERROR(MATCH(HSCEI!$E$38,Fundamentals!$B$216:$B$226,0),99)*1000+32)</f>
        <v/>
      </c>
      <c r="L255" s="39">
        <f>IFERROR(SMALL($K$224:$K$283,32),"")</f>
        <v/>
      </c>
    </row>
    <row r="256">
      <c r="B256" s="22">
        <f>IF($L256="","",INDEX(HSCEI!$E$7:$E$66,($L256-INT($L256/1000)*1000)))</f>
        <v/>
      </c>
      <c r="C256" s="22">
        <f>IF($L256="","",INDEX(HSCEI!$D$7:$D$66,($L256-INT($L256/1000)*1000)))</f>
        <v/>
      </c>
      <c r="D256" s="22">
        <f>IF($L256="","",INDEX(HSCEI!$C$7:$C$66,($L256-INT($L256/1000)*1000)))</f>
        <v/>
      </c>
      <c r="E256" s="69">
        <f>IF($L256="","",INDEX(HSCEI!$K$7:$K$66,($L256-INT($L256/1000)*1000)))</f>
        <v/>
      </c>
      <c r="F256" s="43">
        <f>IF($L256="","",IF(COUNTIFS(OVR_TICKERS,$D256,OVR_BASE,"&gt;=0")=0,"",SUMIFS(OVR_BASE,OVR_TICKERS,$D256)))</f>
        <v/>
      </c>
      <c r="G256" s="69">
        <f>IF($L256="","",INDEX(HSCEI!$L$7:$L$66,($L256-INT($L256/1000)*1000)))</f>
        <v/>
      </c>
      <c r="H256" s="95">
        <f>IF($L256="","",IF($F256="","",IFERROR(($F256-$E256)*INDEX(HSCEI!$B$7:$B$66,($L256-INT($L256/1000)*1000))*INDEX(HSCEI!$G$7:$G$66,($L256-INT($L256/1000)*1000))/HSCEI!$B$3,"")))</f>
        <v/>
      </c>
      <c r="I256" s="46">
        <f>IF($L256="","",INDEX(HSCEI!$U$7:$U$66,($L256-INT($L256/1000)*1000)))</f>
        <v/>
      </c>
      <c r="K256" s="39">
        <f>IF(HSCEI!$C$39="","",IFERROR(MATCH(HSCEI!$E$39,Fundamentals!$B$216:$B$226,0),99)*1000+33)</f>
        <v/>
      </c>
      <c r="L256" s="39">
        <f>IFERROR(SMALL($K$224:$K$283,33),"")</f>
        <v/>
      </c>
    </row>
    <row r="257">
      <c r="B257" s="22">
        <f>IF($L257="","",INDEX(HSCEI!$E$7:$E$66,($L257-INT($L257/1000)*1000)))</f>
        <v/>
      </c>
      <c r="C257" s="22">
        <f>IF($L257="","",INDEX(HSCEI!$D$7:$D$66,($L257-INT($L257/1000)*1000)))</f>
        <v/>
      </c>
      <c r="D257" s="22">
        <f>IF($L257="","",INDEX(HSCEI!$C$7:$C$66,($L257-INT($L257/1000)*1000)))</f>
        <v/>
      </c>
      <c r="E257" s="69">
        <f>IF($L257="","",INDEX(HSCEI!$K$7:$K$66,($L257-INT($L257/1000)*1000)))</f>
        <v/>
      </c>
      <c r="F257" s="43">
        <f>IF($L257="","",IF(COUNTIFS(OVR_TICKERS,$D257,OVR_BASE,"&gt;=0")=0,"",SUMIFS(OVR_BASE,OVR_TICKERS,$D257)))</f>
        <v/>
      </c>
      <c r="G257" s="69">
        <f>IF($L257="","",INDEX(HSCEI!$L$7:$L$66,($L257-INT($L257/1000)*1000)))</f>
        <v/>
      </c>
      <c r="H257" s="95">
        <f>IF($L257="","",IF($F257="","",IFERROR(($F257-$E257)*INDEX(HSCEI!$B$7:$B$66,($L257-INT($L257/1000)*1000))*INDEX(HSCEI!$G$7:$G$66,($L257-INT($L257/1000)*1000))/HSCEI!$B$3,"")))</f>
        <v/>
      </c>
      <c r="I257" s="46">
        <f>IF($L257="","",INDEX(HSCEI!$U$7:$U$66,($L257-INT($L257/1000)*1000)))</f>
        <v/>
      </c>
      <c r="K257" s="39">
        <f>IF(HSCEI!$C$40="","",IFERROR(MATCH(HSCEI!$E$40,Fundamentals!$B$216:$B$226,0),99)*1000+34)</f>
        <v/>
      </c>
      <c r="L257" s="39">
        <f>IFERROR(SMALL($K$224:$K$283,34),"")</f>
        <v/>
      </c>
    </row>
    <row r="258">
      <c r="B258" s="22">
        <f>IF($L258="","",INDEX(HSCEI!$E$7:$E$66,($L258-INT($L258/1000)*1000)))</f>
        <v/>
      </c>
      <c r="C258" s="22">
        <f>IF($L258="","",INDEX(HSCEI!$D$7:$D$66,($L258-INT($L258/1000)*1000)))</f>
        <v/>
      </c>
      <c r="D258" s="22">
        <f>IF($L258="","",INDEX(HSCEI!$C$7:$C$66,($L258-INT($L258/1000)*1000)))</f>
        <v/>
      </c>
      <c r="E258" s="69">
        <f>IF($L258="","",INDEX(HSCEI!$K$7:$K$66,($L258-INT($L258/1000)*1000)))</f>
        <v/>
      </c>
      <c r="F258" s="43">
        <f>IF($L258="","",IF(COUNTIFS(OVR_TICKERS,$D258,OVR_BASE,"&gt;=0")=0,"",SUMIFS(OVR_BASE,OVR_TICKERS,$D258)))</f>
        <v/>
      </c>
      <c r="G258" s="69">
        <f>IF($L258="","",INDEX(HSCEI!$L$7:$L$66,($L258-INT($L258/1000)*1000)))</f>
        <v/>
      </c>
      <c r="H258" s="95">
        <f>IF($L258="","",IF($F258="","",IFERROR(($F258-$E258)*INDEX(HSCEI!$B$7:$B$66,($L258-INT($L258/1000)*1000))*INDEX(HSCEI!$G$7:$G$66,($L258-INT($L258/1000)*1000))/HSCEI!$B$3,"")))</f>
        <v/>
      </c>
      <c r="I258" s="46">
        <f>IF($L258="","",INDEX(HSCEI!$U$7:$U$66,($L258-INT($L258/1000)*1000)))</f>
        <v/>
      </c>
      <c r="K258" s="39">
        <f>IF(HSCEI!$C$41="","",IFERROR(MATCH(HSCEI!$E$41,Fundamentals!$B$216:$B$226,0),99)*1000+35)</f>
        <v/>
      </c>
      <c r="L258" s="39">
        <f>IFERROR(SMALL($K$224:$K$283,35),"")</f>
        <v/>
      </c>
    </row>
    <row r="259">
      <c r="B259" s="22">
        <f>IF($L259="","",INDEX(HSCEI!$E$7:$E$66,($L259-INT($L259/1000)*1000)))</f>
        <v/>
      </c>
      <c r="C259" s="22">
        <f>IF($L259="","",INDEX(HSCEI!$D$7:$D$66,($L259-INT($L259/1000)*1000)))</f>
        <v/>
      </c>
      <c r="D259" s="22">
        <f>IF($L259="","",INDEX(HSCEI!$C$7:$C$66,($L259-INT($L259/1000)*1000)))</f>
        <v/>
      </c>
      <c r="E259" s="69">
        <f>IF($L259="","",INDEX(HSCEI!$K$7:$K$66,($L259-INT($L259/1000)*1000)))</f>
        <v/>
      </c>
      <c r="F259" s="43">
        <f>IF($L259="","",IF(COUNTIFS(OVR_TICKERS,$D259,OVR_BASE,"&gt;=0")=0,"",SUMIFS(OVR_BASE,OVR_TICKERS,$D259)))</f>
        <v/>
      </c>
      <c r="G259" s="69">
        <f>IF($L259="","",INDEX(HSCEI!$L$7:$L$66,($L259-INT($L259/1000)*1000)))</f>
        <v/>
      </c>
      <c r="H259" s="95">
        <f>IF($L259="","",IF($F259="","",IFERROR(($F259-$E259)*INDEX(HSCEI!$B$7:$B$66,($L259-INT($L259/1000)*1000))*INDEX(HSCEI!$G$7:$G$66,($L259-INT($L259/1000)*1000))/HSCEI!$B$3,"")))</f>
        <v/>
      </c>
      <c r="I259" s="46">
        <f>IF($L259="","",INDEX(HSCEI!$U$7:$U$66,($L259-INT($L259/1000)*1000)))</f>
        <v/>
      </c>
      <c r="K259" s="39">
        <f>IF(HSCEI!$C$42="","",IFERROR(MATCH(HSCEI!$E$42,Fundamentals!$B$216:$B$226,0),99)*1000+36)</f>
        <v/>
      </c>
      <c r="L259" s="39">
        <f>IFERROR(SMALL($K$224:$K$283,36),"")</f>
        <v/>
      </c>
    </row>
    <row r="260">
      <c r="B260" s="22">
        <f>IF($L260="","",INDEX(HSCEI!$E$7:$E$66,($L260-INT($L260/1000)*1000)))</f>
        <v/>
      </c>
      <c r="C260" s="22">
        <f>IF($L260="","",INDEX(HSCEI!$D$7:$D$66,($L260-INT($L260/1000)*1000)))</f>
        <v/>
      </c>
      <c r="D260" s="22">
        <f>IF($L260="","",INDEX(HSCEI!$C$7:$C$66,($L260-INT($L260/1000)*1000)))</f>
        <v/>
      </c>
      <c r="E260" s="69">
        <f>IF($L260="","",INDEX(HSCEI!$K$7:$K$66,($L260-INT($L260/1000)*1000)))</f>
        <v/>
      </c>
      <c r="F260" s="43">
        <f>IF($L260="","",IF(COUNTIFS(OVR_TICKERS,$D260,OVR_BASE,"&gt;=0")=0,"",SUMIFS(OVR_BASE,OVR_TICKERS,$D260)))</f>
        <v/>
      </c>
      <c r="G260" s="69">
        <f>IF($L260="","",INDEX(HSCEI!$L$7:$L$66,($L260-INT($L260/1000)*1000)))</f>
        <v/>
      </c>
      <c r="H260" s="95">
        <f>IF($L260="","",IF($F260="","",IFERROR(($F260-$E260)*INDEX(HSCEI!$B$7:$B$66,($L260-INT($L260/1000)*1000))*INDEX(HSCEI!$G$7:$G$66,($L260-INT($L260/1000)*1000))/HSCEI!$B$3,"")))</f>
        <v/>
      </c>
      <c r="I260" s="46">
        <f>IF($L260="","",INDEX(HSCEI!$U$7:$U$66,($L260-INT($L260/1000)*1000)))</f>
        <v/>
      </c>
      <c r="K260" s="39">
        <f>IF(HSCEI!$C$43="","",IFERROR(MATCH(HSCEI!$E$43,Fundamentals!$B$216:$B$226,0),99)*1000+37)</f>
        <v/>
      </c>
      <c r="L260" s="39">
        <f>IFERROR(SMALL($K$224:$K$283,37),"")</f>
        <v/>
      </c>
    </row>
    <row r="261">
      <c r="B261" s="22">
        <f>IF($L261="","",INDEX(HSCEI!$E$7:$E$66,($L261-INT($L261/1000)*1000)))</f>
        <v/>
      </c>
      <c r="C261" s="22">
        <f>IF($L261="","",INDEX(HSCEI!$D$7:$D$66,($L261-INT($L261/1000)*1000)))</f>
        <v/>
      </c>
      <c r="D261" s="22">
        <f>IF($L261="","",INDEX(HSCEI!$C$7:$C$66,($L261-INT($L261/1000)*1000)))</f>
        <v/>
      </c>
      <c r="E261" s="69">
        <f>IF($L261="","",INDEX(HSCEI!$K$7:$K$66,($L261-INT($L261/1000)*1000)))</f>
        <v/>
      </c>
      <c r="F261" s="43">
        <f>IF($L261="","",IF(COUNTIFS(OVR_TICKERS,$D261,OVR_BASE,"&gt;=0")=0,"",SUMIFS(OVR_BASE,OVR_TICKERS,$D261)))</f>
        <v/>
      </c>
      <c r="G261" s="69">
        <f>IF($L261="","",INDEX(HSCEI!$L$7:$L$66,($L261-INT($L261/1000)*1000)))</f>
        <v/>
      </c>
      <c r="H261" s="95">
        <f>IF($L261="","",IF($F261="","",IFERROR(($F261-$E261)*INDEX(HSCEI!$B$7:$B$66,($L261-INT($L261/1000)*1000))*INDEX(HSCEI!$G$7:$G$66,($L261-INT($L261/1000)*1000))/HSCEI!$B$3,"")))</f>
        <v/>
      </c>
      <c r="I261" s="46">
        <f>IF($L261="","",INDEX(HSCEI!$U$7:$U$66,($L261-INT($L261/1000)*1000)))</f>
        <v/>
      </c>
      <c r="K261" s="39">
        <f>IF(HSCEI!$C$44="","",IFERROR(MATCH(HSCEI!$E$44,Fundamentals!$B$216:$B$226,0),99)*1000+38)</f>
        <v/>
      </c>
      <c r="L261" s="39">
        <f>IFERROR(SMALL($K$224:$K$283,38),"")</f>
        <v/>
      </c>
    </row>
    <row r="262">
      <c r="B262" s="22">
        <f>IF($L262="","",INDEX(HSCEI!$E$7:$E$66,($L262-INT($L262/1000)*1000)))</f>
        <v/>
      </c>
      <c r="C262" s="22">
        <f>IF($L262="","",INDEX(HSCEI!$D$7:$D$66,($L262-INT($L262/1000)*1000)))</f>
        <v/>
      </c>
      <c r="D262" s="22">
        <f>IF($L262="","",INDEX(HSCEI!$C$7:$C$66,($L262-INT($L262/1000)*1000)))</f>
        <v/>
      </c>
      <c r="E262" s="69">
        <f>IF($L262="","",INDEX(HSCEI!$K$7:$K$66,($L262-INT($L262/1000)*1000)))</f>
        <v/>
      </c>
      <c r="F262" s="43">
        <f>IF($L262="","",IF(COUNTIFS(OVR_TICKERS,$D262,OVR_BASE,"&gt;=0")=0,"",SUMIFS(OVR_BASE,OVR_TICKERS,$D262)))</f>
        <v/>
      </c>
      <c r="G262" s="69">
        <f>IF($L262="","",INDEX(HSCEI!$L$7:$L$66,($L262-INT($L262/1000)*1000)))</f>
        <v/>
      </c>
      <c r="H262" s="95">
        <f>IF($L262="","",IF($F262="","",IFERROR(($F262-$E262)*INDEX(HSCEI!$B$7:$B$66,($L262-INT($L262/1000)*1000))*INDEX(HSCEI!$G$7:$G$66,($L262-INT($L262/1000)*1000))/HSCEI!$B$3,"")))</f>
        <v/>
      </c>
      <c r="I262" s="46">
        <f>IF($L262="","",INDEX(HSCEI!$U$7:$U$66,($L262-INT($L262/1000)*1000)))</f>
        <v/>
      </c>
      <c r="K262" s="39">
        <f>IF(HSCEI!$C$45="","",IFERROR(MATCH(HSCEI!$E$45,Fundamentals!$B$216:$B$226,0),99)*1000+39)</f>
        <v/>
      </c>
      <c r="L262" s="39">
        <f>IFERROR(SMALL($K$224:$K$283,39),"")</f>
        <v/>
      </c>
    </row>
    <row r="263">
      <c r="B263" s="22">
        <f>IF($L263="","",INDEX(HSCEI!$E$7:$E$66,($L263-INT($L263/1000)*1000)))</f>
        <v/>
      </c>
      <c r="C263" s="22">
        <f>IF($L263="","",INDEX(HSCEI!$D$7:$D$66,($L263-INT($L263/1000)*1000)))</f>
        <v/>
      </c>
      <c r="D263" s="22">
        <f>IF($L263="","",INDEX(HSCEI!$C$7:$C$66,($L263-INT($L263/1000)*1000)))</f>
        <v/>
      </c>
      <c r="E263" s="69">
        <f>IF($L263="","",INDEX(HSCEI!$K$7:$K$66,($L263-INT($L263/1000)*1000)))</f>
        <v/>
      </c>
      <c r="F263" s="43">
        <f>IF($L263="","",IF(COUNTIFS(OVR_TICKERS,$D263,OVR_BASE,"&gt;=0")=0,"",SUMIFS(OVR_BASE,OVR_TICKERS,$D263)))</f>
        <v/>
      </c>
      <c r="G263" s="69">
        <f>IF($L263="","",INDEX(HSCEI!$L$7:$L$66,($L263-INT($L263/1000)*1000)))</f>
        <v/>
      </c>
      <c r="H263" s="95">
        <f>IF($L263="","",IF($F263="","",IFERROR(($F263-$E263)*INDEX(HSCEI!$B$7:$B$66,($L263-INT($L263/1000)*1000))*INDEX(HSCEI!$G$7:$G$66,($L263-INT($L263/1000)*1000))/HSCEI!$B$3,"")))</f>
        <v/>
      </c>
      <c r="I263" s="46">
        <f>IF($L263="","",INDEX(HSCEI!$U$7:$U$66,($L263-INT($L263/1000)*1000)))</f>
        <v/>
      </c>
      <c r="K263" s="39">
        <f>IF(HSCEI!$C$46="","",IFERROR(MATCH(HSCEI!$E$46,Fundamentals!$B$216:$B$226,0),99)*1000+40)</f>
        <v/>
      </c>
      <c r="L263" s="39">
        <f>IFERROR(SMALL($K$224:$K$283,40),"")</f>
        <v/>
      </c>
    </row>
    <row r="264">
      <c r="B264" s="22">
        <f>IF($L264="","",INDEX(HSCEI!$E$7:$E$66,($L264-INT($L264/1000)*1000)))</f>
        <v/>
      </c>
      <c r="C264" s="22">
        <f>IF($L264="","",INDEX(HSCEI!$D$7:$D$66,($L264-INT($L264/1000)*1000)))</f>
        <v/>
      </c>
      <c r="D264" s="22">
        <f>IF($L264="","",INDEX(HSCEI!$C$7:$C$66,($L264-INT($L264/1000)*1000)))</f>
        <v/>
      </c>
      <c r="E264" s="69">
        <f>IF($L264="","",INDEX(HSCEI!$K$7:$K$66,($L264-INT($L264/1000)*1000)))</f>
        <v/>
      </c>
      <c r="F264" s="43">
        <f>IF($L264="","",IF(COUNTIFS(OVR_TICKERS,$D264,OVR_BASE,"&gt;=0")=0,"",SUMIFS(OVR_BASE,OVR_TICKERS,$D264)))</f>
        <v/>
      </c>
      <c r="G264" s="69">
        <f>IF($L264="","",INDEX(HSCEI!$L$7:$L$66,($L264-INT($L264/1000)*1000)))</f>
        <v/>
      </c>
      <c r="H264" s="95">
        <f>IF($L264="","",IF($F264="","",IFERROR(($F264-$E264)*INDEX(HSCEI!$B$7:$B$66,($L264-INT($L264/1000)*1000))*INDEX(HSCEI!$G$7:$G$66,($L264-INT($L264/1000)*1000))/HSCEI!$B$3,"")))</f>
        <v/>
      </c>
      <c r="I264" s="46">
        <f>IF($L264="","",INDEX(HSCEI!$U$7:$U$66,($L264-INT($L264/1000)*1000)))</f>
        <v/>
      </c>
      <c r="K264" s="39">
        <f>IF(HSCEI!$C$47="","",IFERROR(MATCH(HSCEI!$E$47,Fundamentals!$B$216:$B$226,0),99)*1000+41)</f>
        <v/>
      </c>
      <c r="L264" s="39">
        <f>IFERROR(SMALL($K$224:$K$283,41),"")</f>
        <v/>
      </c>
    </row>
    <row r="265">
      <c r="B265" s="22">
        <f>IF($L265="","",INDEX(HSCEI!$E$7:$E$66,($L265-INT($L265/1000)*1000)))</f>
        <v/>
      </c>
      <c r="C265" s="22">
        <f>IF($L265="","",INDEX(HSCEI!$D$7:$D$66,($L265-INT($L265/1000)*1000)))</f>
        <v/>
      </c>
      <c r="D265" s="22">
        <f>IF($L265="","",INDEX(HSCEI!$C$7:$C$66,($L265-INT($L265/1000)*1000)))</f>
        <v/>
      </c>
      <c r="E265" s="69">
        <f>IF($L265="","",INDEX(HSCEI!$K$7:$K$66,($L265-INT($L265/1000)*1000)))</f>
        <v/>
      </c>
      <c r="F265" s="43">
        <f>IF($L265="","",IF(COUNTIFS(OVR_TICKERS,$D265,OVR_BASE,"&gt;=0")=0,"",SUMIFS(OVR_BASE,OVR_TICKERS,$D265)))</f>
        <v/>
      </c>
      <c r="G265" s="69">
        <f>IF($L265="","",INDEX(HSCEI!$L$7:$L$66,($L265-INT($L265/1000)*1000)))</f>
        <v/>
      </c>
      <c r="H265" s="95">
        <f>IF($L265="","",IF($F265="","",IFERROR(($F265-$E265)*INDEX(HSCEI!$B$7:$B$66,($L265-INT($L265/1000)*1000))*INDEX(HSCEI!$G$7:$G$66,($L265-INT($L265/1000)*1000))/HSCEI!$B$3,"")))</f>
        <v/>
      </c>
      <c r="I265" s="46">
        <f>IF($L265="","",INDEX(HSCEI!$U$7:$U$66,($L265-INT($L265/1000)*1000)))</f>
        <v/>
      </c>
      <c r="K265" s="39">
        <f>IF(HSCEI!$C$48="","",IFERROR(MATCH(HSCEI!$E$48,Fundamentals!$B$216:$B$226,0),99)*1000+42)</f>
        <v/>
      </c>
      <c r="L265" s="39">
        <f>IFERROR(SMALL($K$224:$K$283,42),"")</f>
        <v/>
      </c>
    </row>
    <row r="266">
      <c r="B266" s="22">
        <f>IF($L266="","",INDEX(HSCEI!$E$7:$E$66,($L266-INT($L266/1000)*1000)))</f>
        <v/>
      </c>
      <c r="C266" s="22">
        <f>IF($L266="","",INDEX(HSCEI!$D$7:$D$66,($L266-INT($L266/1000)*1000)))</f>
        <v/>
      </c>
      <c r="D266" s="22">
        <f>IF($L266="","",INDEX(HSCEI!$C$7:$C$66,($L266-INT($L266/1000)*1000)))</f>
        <v/>
      </c>
      <c r="E266" s="69">
        <f>IF($L266="","",INDEX(HSCEI!$K$7:$K$66,($L266-INT($L266/1000)*1000)))</f>
        <v/>
      </c>
      <c r="F266" s="43">
        <f>IF($L266="","",IF(COUNTIFS(OVR_TICKERS,$D266,OVR_BASE,"&gt;=0")=0,"",SUMIFS(OVR_BASE,OVR_TICKERS,$D266)))</f>
        <v/>
      </c>
      <c r="G266" s="69">
        <f>IF($L266="","",INDEX(HSCEI!$L$7:$L$66,($L266-INT($L266/1000)*1000)))</f>
        <v/>
      </c>
      <c r="H266" s="95">
        <f>IF($L266="","",IF($F266="","",IFERROR(($F266-$E266)*INDEX(HSCEI!$B$7:$B$66,($L266-INT($L266/1000)*1000))*INDEX(HSCEI!$G$7:$G$66,($L266-INT($L266/1000)*1000))/HSCEI!$B$3,"")))</f>
        <v/>
      </c>
      <c r="I266" s="46">
        <f>IF($L266="","",INDEX(HSCEI!$U$7:$U$66,($L266-INT($L266/1000)*1000)))</f>
        <v/>
      </c>
      <c r="K266" s="39">
        <f>IF(HSCEI!$C$49="","",IFERROR(MATCH(HSCEI!$E$49,Fundamentals!$B$216:$B$226,0),99)*1000+43)</f>
        <v/>
      </c>
      <c r="L266" s="39">
        <f>IFERROR(SMALL($K$224:$K$283,43),"")</f>
        <v/>
      </c>
    </row>
    <row r="267">
      <c r="B267" s="22">
        <f>IF($L267="","",INDEX(HSCEI!$E$7:$E$66,($L267-INT($L267/1000)*1000)))</f>
        <v/>
      </c>
      <c r="C267" s="22">
        <f>IF($L267="","",INDEX(HSCEI!$D$7:$D$66,($L267-INT($L267/1000)*1000)))</f>
        <v/>
      </c>
      <c r="D267" s="22">
        <f>IF($L267="","",INDEX(HSCEI!$C$7:$C$66,($L267-INT($L267/1000)*1000)))</f>
        <v/>
      </c>
      <c r="E267" s="69">
        <f>IF($L267="","",INDEX(HSCEI!$K$7:$K$66,($L267-INT($L267/1000)*1000)))</f>
        <v/>
      </c>
      <c r="F267" s="43">
        <f>IF($L267="","",IF(COUNTIFS(OVR_TICKERS,$D267,OVR_BASE,"&gt;=0")=0,"",SUMIFS(OVR_BASE,OVR_TICKERS,$D267)))</f>
        <v/>
      </c>
      <c r="G267" s="69">
        <f>IF($L267="","",INDEX(HSCEI!$L$7:$L$66,($L267-INT($L267/1000)*1000)))</f>
        <v/>
      </c>
      <c r="H267" s="95">
        <f>IF($L267="","",IF($F267="","",IFERROR(($F267-$E267)*INDEX(HSCEI!$B$7:$B$66,($L267-INT($L267/1000)*1000))*INDEX(HSCEI!$G$7:$G$66,($L267-INT($L267/1000)*1000))/HSCEI!$B$3,"")))</f>
        <v/>
      </c>
      <c r="I267" s="46">
        <f>IF($L267="","",INDEX(HSCEI!$U$7:$U$66,($L267-INT($L267/1000)*1000)))</f>
        <v/>
      </c>
      <c r="K267" s="39">
        <f>IF(HSCEI!$C$50="","",IFERROR(MATCH(HSCEI!$E$50,Fundamentals!$B$216:$B$226,0),99)*1000+44)</f>
        <v/>
      </c>
      <c r="L267" s="39">
        <f>IFERROR(SMALL($K$224:$K$283,44),"")</f>
        <v/>
      </c>
    </row>
    <row r="268">
      <c r="B268" s="22">
        <f>IF($L268="","",INDEX(HSCEI!$E$7:$E$66,($L268-INT($L268/1000)*1000)))</f>
        <v/>
      </c>
      <c r="C268" s="22">
        <f>IF($L268="","",INDEX(HSCEI!$D$7:$D$66,($L268-INT($L268/1000)*1000)))</f>
        <v/>
      </c>
      <c r="D268" s="22">
        <f>IF($L268="","",INDEX(HSCEI!$C$7:$C$66,($L268-INT($L268/1000)*1000)))</f>
        <v/>
      </c>
      <c r="E268" s="69">
        <f>IF($L268="","",INDEX(HSCEI!$K$7:$K$66,($L268-INT($L268/1000)*1000)))</f>
        <v/>
      </c>
      <c r="F268" s="43">
        <f>IF($L268="","",IF(COUNTIFS(OVR_TICKERS,$D268,OVR_BASE,"&gt;=0")=0,"",SUMIFS(OVR_BASE,OVR_TICKERS,$D268)))</f>
        <v/>
      </c>
      <c r="G268" s="69">
        <f>IF($L268="","",INDEX(HSCEI!$L$7:$L$66,($L268-INT($L268/1000)*1000)))</f>
        <v/>
      </c>
      <c r="H268" s="95">
        <f>IF($L268="","",IF($F268="","",IFERROR(($F268-$E268)*INDEX(HSCEI!$B$7:$B$66,($L268-INT($L268/1000)*1000))*INDEX(HSCEI!$G$7:$G$66,($L268-INT($L268/1000)*1000))/HSCEI!$B$3,"")))</f>
        <v/>
      </c>
      <c r="I268" s="46">
        <f>IF($L268="","",INDEX(HSCEI!$U$7:$U$66,($L268-INT($L268/1000)*1000)))</f>
        <v/>
      </c>
      <c r="K268" s="39">
        <f>IF(HSCEI!$C$51="","",IFERROR(MATCH(HSCEI!$E$51,Fundamentals!$B$216:$B$226,0),99)*1000+45)</f>
        <v/>
      </c>
      <c r="L268" s="39">
        <f>IFERROR(SMALL($K$224:$K$283,45),"")</f>
        <v/>
      </c>
    </row>
    <row r="269">
      <c r="B269" s="22">
        <f>IF($L269="","",INDEX(HSCEI!$E$7:$E$66,($L269-INT($L269/1000)*1000)))</f>
        <v/>
      </c>
      <c r="C269" s="22">
        <f>IF($L269="","",INDEX(HSCEI!$D$7:$D$66,($L269-INT($L269/1000)*1000)))</f>
        <v/>
      </c>
      <c r="D269" s="22">
        <f>IF($L269="","",INDEX(HSCEI!$C$7:$C$66,($L269-INT($L269/1000)*1000)))</f>
        <v/>
      </c>
      <c r="E269" s="69">
        <f>IF($L269="","",INDEX(HSCEI!$K$7:$K$66,($L269-INT($L269/1000)*1000)))</f>
        <v/>
      </c>
      <c r="F269" s="43">
        <f>IF($L269="","",IF(COUNTIFS(OVR_TICKERS,$D269,OVR_BASE,"&gt;=0")=0,"",SUMIFS(OVR_BASE,OVR_TICKERS,$D269)))</f>
        <v/>
      </c>
      <c r="G269" s="69">
        <f>IF($L269="","",INDEX(HSCEI!$L$7:$L$66,($L269-INT($L269/1000)*1000)))</f>
        <v/>
      </c>
      <c r="H269" s="95">
        <f>IF($L269="","",IF($F269="","",IFERROR(($F269-$E269)*INDEX(HSCEI!$B$7:$B$66,($L269-INT($L269/1000)*1000))*INDEX(HSCEI!$G$7:$G$66,($L269-INT($L269/1000)*1000))/HSCEI!$B$3,"")))</f>
        <v/>
      </c>
      <c r="I269" s="46">
        <f>IF($L269="","",INDEX(HSCEI!$U$7:$U$66,($L269-INT($L269/1000)*1000)))</f>
        <v/>
      </c>
      <c r="K269" s="39">
        <f>IF(HSCEI!$C$52="","",IFERROR(MATCH(HSCEI!$E$52,Fundamentals!$B$216:$B$226,0),99)*1000+46)</f>
        <v/>
      </c>
      <c r="L269" s="39">
        <f>IFERROR(SMALL($K$224:$K$283,46),"")</f>
        <v/>
      </c>
    </row>
    <row r="270">
      <c r="B270" s="22">
        <f>IF($L270="","",INDEX(HSCEI!$E$7:$E$66,($L270-INT($L270/1000)*1000)))</f>
        <v/>
      </c>
      <c r="C270" s="22">
        <f>IF($L270="","",INDEX(HSCEI!$D$7:$D$66,($L270-INT($L270/1000)*1000)))</f>
        <v/>
      </c>
      <c r="D270" s="22">
        <f>IF($L270="","",INDEX(HSCEI!$C$7:$C$66,($L270-INT($L270/1000)*1000)))</f>
        <v/>
      </c>
      <c r="E270" s="69">
        <f>IF($L270="","",INDEX(HSCEI!$K$7:$K$66,($L270-INT($L270/1000)*1000)))</f>
        <v/>
      </c>
      <c r="F270" s="43">
        <f>IF($L270="","",IF(COUNTIFS(OVR_TICKERS,$D270,OVR_BASE,"&gt;=0")=0,"",SUMIFS(OVR_BASE,OVR_TICKERS,$D270)))</f>
        <v/>
      </c>
      <c r="G270" s="69">
        <f>IF($L270="","",INDEX(HSCEI!$L$7:$L$66,($L270-INT($L270/1000)*1000)))</f>
        <v/>
      </c>
      <c r="H270" s="95">
        <f>IF($L270="","",IF($F270="","",IFERROR(($F270-$E270)*INDEX(HSCEI!$B$7:$B$66,($L270-INT($L270/1000)*1000))*INDEX(HSCEI!$G$7:$G$66,($L270-INT($L270/1000)*1000))/HSCEI!$B$3,"")))</f>
        <v/>
      </c>
      <c r="I270" s="46">
        <f>IF($L270="","",INDEX(HSCEI!$U$7:$U$66,($L270-INT($L270/1000)*1000)))</f>
        <v/>
      </c>
      <c r="K270" s="39">
        <f>IF(HSCEI!$C$53="","",IFERROR(MATCH(HSCEI!$E$53,Fundamentals!$B$216:$B$226,0),99)*1000+47)</f>
        <v/>
      </c>
      <c r="L270" s="39">
        <f>IFERROR(SMALL($K$224:$K$283,47),"")</f>
        <v/>
      </c>
    </row>
    <row r="271">
      <c r="B271" s="22">
        <f>IF($L271="","",INDEX(HSCEI!$E$7:$E$66,($L271-INT($L271/1000)*1000)))</f>
        <v/>
      </c>
      <c r="C271" s="22">
        <f>IF($L271="","",INDEX(HSCEI!$D$7:$D$66,($L271-INT($L271/1000)*1000)))</f>
        <v/>
      </c>
      <c r="D271" s="22">
        <f>IF($L271="","",INDEX(HSCEI!$C$7:$C$66,($L271-INT($L271/1000)*1000)))</f>
        <v/>
      </c>
      <c r="E271" s="69">
        <f>IF($L271="","",INDEX(HSCEI!$K$7:$K$66,($L271-INT($L271/1000)*1000)))</f>
        <v/>
      </c>
      <c r="F271" s="43">
        <f>IF($L271="","",IF(COUNTIFS(OVR_TICKERS,$D271,OVR_BASE,"&gt;=0")=0,"",SUMIFS(OVR_BASE,OVR_TICKERS,$D271)))</f>
        <v/>
      </c>
      <c r="G271" s="69">
        <f>IF($L271="","",INDEX(HSCEI!$L$7:$L$66,($L271-INT($L271/1000)*1000)))</f>
        <v/>
      </c>
      <c r="H271" s="95">
        <f>IF($L271="","",IF($F271="","",IFERROR(($F271-$E271)*INDEX(HSCEI!$B$7:$B$66,($L271-INT($L271/1000)*1000))*INDEX(HSCEI!$G$7:$G$66,($L271-INT($L271/1000)*1000))/HSCEI!$B$3,"")))</f>
        <v/>
      </c>
      <c r="I271" s="46">
        <f>IF($L271="","",INDEX(HSCEI!$U$7:$U$66,($L271-INT($L271/1000)*1000)))</f>
        <v/>
      </c>
      <c r="K271" s="39">
        <f>IF(HSCEI!$C$54="","",IFERROR(MATCH(HSCEI!$E$54,Fundamentals!$B$216:$B$226,0),99)*1000+48)</f>
        <v/>
      </c>
      <c r="L271" s="39">
        <f>IFERROR(SMALL($K$224:$K$283,48),"")</f>
        <v/>
      </c>
    </row>
    <row r="272">
      <c r="B272" s="22">
        <f>IF($L272="","",INDEX(HSCEI!$E$7:$E$66,($L272-INT($L272/1000)*1000)))</f>
        <v/>
      </c>
      <c r="C272" s="22">
        <f>IF($L272="","",INDEX(HSCEI!$D$7:$D$66,($L272-INT($L272/1000)*1000)))</f>
        <v/>
      </c>
      <c r="D272" s="22">
        <f>IF($L272="","",INDEX(HSCEI!$C$7:$C$66,($L272-INT($L272/1000)*1000)))</f>
        <v/>
      </c>
      <c r="E272" s="69">
        <f>IF($L272="","",INDEX(HSCEI!$K$7:$K$66,($L272-INT($L272/1000)*1000)))</f>
        <v/>
      </c>
      <c r="F272" s="43">
        <f>IF($L272="","",IF(COUNTIFS(OVR_TICKERS,$D272,OVR_BASE,"&gt;=0")=0,"",SUMIFS(OVR_BASE,OVR_TICKERS,$D272)))</f>
        <v/>
      </c>
      <c r="G272" s="69">
        <f>IF($L272="","",INDEX(HSCEI!$L$7:$L$66,($L272-INT($L272/1000)*1000)))</f>
        <v/>
      </c>
      <c r="H272" s="95">
        <f>IF($L272="","",IF($F272="","",IFERROR(($F272-$E272)*INDEX(HSCEI!$B$7:$B$66,($L272-INT($L272/1000)*1000))*INDEX(HSCEI!$G$7:$G$66,($L272-INT($L272/1000)*1000))/HSCEI!$B$3,"")))</f>
        <v/>
      </c>
      <c r="I272" s="46">
        <f>IF($L272="","",INDEX(HSCEI!$U$7:$U$66,($L272-INT($L272/1000)*1000)))</f>
        <v/>
      </c>
      <c r="K272" s="39">
        <f>IF(HSCEI!$C$55="","",IFERROR(MATCH(HSCEI!$E$55,Fundamentals!$B$216:$B$226,0),99)*1000+49)</f>
        <v/>
      </c>
      <c r="L272" s="39">
        <f>IFERROR(SMALL($K$224:$K$283,49),"")</f>
        <v/>
      </c>
    </row>
    <row r="273">
      <c r="B273" s="22">
        <f>IF($L273="","",INDEX(HSCEI!$E$7:$E$66,($L273-INT($L273/1000)*1000)))</f>
        <v/>
      </c>
      <c r="C273" s="22">
        <f>IF($L273="","",INDEX(HSCEI!$D$7:$D$66,($L273-INT($L273/1000)*1000)))</f>
        <v/>
      </c>
      <c r="D273" s="22">
        <f>IF($L273="","",INDEX(HSCEI!$C$7:$C$66,($L273-INT($L273/1000)*1000)))</f>
        <v/>
      </c>
      <c r="E273" s="69">
        <f>IF($L273="","",INDEX(HSCEI!$K$7:$K$66,($L273-INT($L273/1000)*1000)))</f>
        <v/>
      </c>
      <c r="F273" s="43">
        <f>IF($L273="","",IF(COUNTIFS(OVR_TICKERS,$D273,OVR_BASE,"&gt;=0")=0,"",SUMIFS(OVR_BASE,OVR_TICKERS,$D273)))</f>
        <v/>
      </c>
      <c r="G273" s="69">
        <f>IF($L273="","",INDEX(HSCEI!$L$7:$L$66,($L273-INT($L273/1000)*1000)))</f>
        <v/>
      </c>
      <c r="H273" s="95">
        <f>IF($L273="","",IF($F273="","",IFERROR(($F273-$E273)*INDEX(HSCEI!$B$7:$B$66,($L273-INT($L273/1000)*1000))*INDEX(HSCEI!$G$7:$G$66,($L273-INT($L273/1000)*1000))/HSCEI!$B$3,"")))</f>
        <v/>
      </c>
      <c r="I273" s="46">
        <f>IF($L273="","",INDEX(HSCEI!$U$7:$U$66,($L273-INT($L273/1000)*1000)))</f>
        <v/>
      </c>
      <c r="K273" s="39">
        <f>IF(HSCEI!$C$56="","",IFERROR(MATCH(HSCEI!$E$56,Fundamentals!$B$216:$B$226,0),99)*1000+50)</f>
        <v/>
      </c>
      <c r="L273" s="39">
        <f>IFERROR(SMALL($K$224:$K$283,50),"")</f>
        <v/>
      </c>
    </row>
    <row r="274">
      <c r="B274" s="22">
        <f>IF($L274="","",INDEX(HSCEI!$E$7:$E$66,($L274-INT($L274/1000)*1000)))</f>
        <v/>
      </c>
      <c r="C274" s="22">
        <f>IF($L274="","",INDEX(HSCEI!$D$7:$D$66,($L274-INT($L274/1000)*1000)))</f>
        <v/>
      </c>
      <c r="D274" s="22">
        <f>IF($L274="","",INDEX(HSCEI!$C$7:$C$66,($L274-INT($L274/1000)*1000)))</f>
        <v/>
      </c>
      <c r="E274" s="69">
        <f>IF($L274="","",INDEX(HSCEI!$K$7:$K$66,($L274-INT($L274/1000)*1000)))</f>
        <v/>
      </c>
      <c r="F274" s="43">
        <f>IF($L274="","",IF(COUNTIFS(OVR_TICKERS,$D274,OVR_BASE,"&gt;=0")=0,"",SUMIFS(OVR_BASE,OVR_TICKERS,$D274)))</f>
        <v/>
      </c>
      <c r="G274" s="69">
        <f>IF($L274="","",INDEX(HSCEI!$L$7:$L$66,($L274-INT($L274/1000)*1000)))</f>
        <v/>
      </c>
      <c r="H274" s="95">
        <f>IF($L274="","",IF($F274="","",IFERROR(($F274-$E274)*INDEX(HSCEI!$B$7:$B$66,($L274-INT($L274/1000)*1000))*INDEX(HSCEI!$G$7:$G$66,($L274-INT($L274/1000)*1000))/HSCEI!$B$3,"")))</f>
        <v/>
      </c>
      <c r="I274" s="46">
        <f>IF($L274="","",INDEX(HSCEI!$U$7:$U$66,($L274-INT($L274/1000)*1000)))</f>
        <v/>
      </c>
      <c r="K274" s="39">
        <f>IF(HSCEI!$C$57="","",IFERROR(MATCH(HSCEI!$E$57,Fundamentals!$B$216:$B$226,0),99)*1000+51)</f>
        <v/>
      </c>
      <c r="L274" s="39">
        <f>IFERROR(SMALL($K$224:$K$283,51),"")</f>
        <v/>
      </c>
    </row>
    <row r="275">
      <c r="B275" s="22">
        <f>IF($L275="","",INDEX(HSCEI!$E$7:$E$66,($L275-INT($L275/1000)*1000)))</f>
        <v/>
      </c>
      <c r="C275" s="22">
        <f>IF($L275="","",INDEX(HSCEI!$D$7:$D$66,($L275-INT($L275/1000)*1000)))</f>
        <v/>
      </c>
      <c r="D275" s="22">
        <f>IF($L275="","",INDEX(HSCEI!$C$7:$C$66,($L275-INT($L275/1000)*1000)))</f>
        <v/>
      </c>
      <c r="E275" s="69">
        <f>IF($L275="","",INDEX(HSCEI!$K$7:$K$66,($L275-INT($L275/1000)*1000)))</f>
        <v/>
      </c>
      <c r="F275" s="43">
        <f>IF($L275="","",IF(COUNTIFS(OVR_TICKERS,$D275,OVR_BASE,"&gt;=0")=0,"",SUMIFS(OVR_BASE,OVR_TICKERS,$D275)))</f>
        <v/>
      </c>
      <c r="G275" s="69">
        <f>IF($L275="","",INDEX(HSCEI!$L$7:$L$66,($L275-INT($L275/1000)*1000)))</f>
        <v/>
      </c>
      <c r="H275" s="95">
        <f>IF($L275="","",IF($F275="","",IFERROR(($F275-$E275)*INDEX(HSCEI!$B$7:$B$66,($L275-INT($L275/1000)*1000))*INDEX(HSCEI!$G$7:$G$66,($L275-INT($L275/1000)*1000))/HSCEI!$B$3,"")))</f>
        <v/>
      </c>
      <c r="I275" s="46">
        <f>IF($L275="","",INDEX(HSCEI!$U$7:$U$66,($L275-INT($L275/1000)*1000)))</f>
        <v/>
      </c>
      <c r="K275" s="39">
        <f>IF(HSCEI!$C$58="","",IFERROR(MATCH(HSCEI!$E$58,Fundamentals!$B$216:$B$226,0),99)*1000+52)</f>
        <v/>
      </c>
      <c r="L275" s="39">
        <f>IFERROR(SMALL($K$224:$K$283,52),"")</f>
        <v/>
      </c>
    </row>
    <row r="276">
      <c r="B276" s="22">
        <f>IF($L276="","",INDEX(HSCEI!$E$7:$E$66,($L276-INT($L276/1000)*1000)))</f>
        <v/>
      </c>
      <c r="C276" s="22">
        <f>IF($L276="","",INDEX(HSCEI!$D$7:$D$66,($L276-INT($L276/1000)*1000)))</f>
        <v/>
      </c>
      <c r="D276" s="22">
        <f>IF($L276="","",INDEX(HSCEI!$C$7:$C$66,($L276-INT($L276/1000)*1000)))</f>
        <v/>
      </c>
      <c r="E276" s="69">
        <f>IF($L276="","",INDEX(HSCEI!$K$7:$K$66,($L276-INT($L276/1000)*1000)))</f>
        <v/>
      </c>
      <c r="F276" s="43">
        <f>IF($L276="","",IF(COUNTIFS(OVR_TICKERS,$D276,OVR_BASE,"&gt;=0")=0,"",SUMIFS(OVR_BASE,OVR_TICKERS,$D276)))</f>
        <v/>
      </c>
      <c r="G276" s="69">
        <f>IF($L276="","",INDEX(HSCEI!$L$7:$L$66,($L276-INT($L276/1000)*1000)))</f>
        <v/>
      </c>
      <c r="H276" s="95">
        <f>IF($L276="","",IF($F276="","",IFERROR(($F276-$E276)*INDEX(HSCEI!$B$7:$B$66,($L276-INT($L276/1000)*1000))*INDEX(HSCEI!$G$7:$G$66,($L276-INT($L276/1000)*1000))/HSCEI!$B$3,"")))</f>
        <v/>
      </c>
      <c r="I276" s="46">
        <f>IF($L276="","",INDEX(HSCEI!$U$7:$U$66,($L276-INT($L276/1000)*1000)))</f>
        <v/>
      </c>
      <c r="K276" s="39">
        <f>IF(HSCEI!$C$59="","",IFERROR(MATCH(HSCEI!$E$59,Fundamentals!$B$216:$B$226,0),99)*1000+53)</f>
        <v/>
      </c>
      <c r="L276" s="39">
        <f>IFERROR(SMALL($K$224:$K$283,53),"")</f>
        <v/>
      </c>
    </row>
    <row r="277">
      <c r="B277" s="22">
        <f>IF($L277="","",INDEX(HSCEI!$E$7:$E$66,($L277-INT($L277/1000)*1000)))</f>
        <v/>
      </c>
      <c r="C277" s="22">
        <f>IF($L277="","",INDEX(HSCEI!$D$7:$D$66,($L277-INT($L277/1000)*1000)))</f>
        <v/>
      </c>
      <c r="D277" s="22">
        <f>IF($L277="","",INDEX(HSCEI!$C$7:$C$66,($L277-INT($L277/1000)*1000)))</f>
        <v/>
      </c>
      <c r="E277" s="69">
        <f>IF($L277="","",INDEX(HSCEI!$K$7:$K$66,($L277-INT($L277/1000)*1000)))</f>
        <v/>
      </c>
      <c r="F277" s="43">
        <f>IF($L277="","",IF(COUNTIFS(OVR_TICKERS,$D277,OVR_BASE,"&gt;=0")=0,"",SUMIFS(OVR_BASE,OVR_TICKERS,$D277)))</f>
        <v/>
      </c>
      <c r="G277" s="69">
        <f>IF($L277="","",INDEX(HSCEI!$L$7:$L$66,($L277-INT($L277/1000)*1000)))</f>
        <v/>
      </c>
      <c r="H277" s="95">
        <f>IF($L277="","",IF($F277="","",IFERROR(($F277-$E277)*INDEX(HSCEI!$B$7:$B$66,($L277-INT($L277/1000)*1000))*INDEX(HSCEI!$G$7:$G$66,($L277-INT($L277/1000)*1000))/HSCEI!$B$3,"")))</f>
        <v/>
      </c>
      <c r="I277" s="46">
        <f>IF($L277="","",INDEX(HSCEI!$U$7:$U$66,($L277-INT($L277/1000)*1000)))</f>
        <v/>
      </c>
      <c r="K277" s="39">
        <f>IF(HSCEI!$C$60="","",IFERROR(MATCH(HSCEI!$E$60,Fundamentals!$B$216:$B$226,0),99)*1000+54)</f>
        <v/>
      </c>
      <c r="L277" s="39">
        <f>IFERROR(SMALL($K$224:$K$283,54),"")</f>
        <v/>
      </c>
    </row>
    <row r="278">
      <c r="B278" s="22">
        <f>IF($L278="","",INDEX(HSCEI!$E$7:$E$66,($L278-INT($L278/1000)*1000)))</f>
        <v/>
      </c>
      <c r="C278" s="22">
        <f>IF($L278="","",INDEX(HSCEI!$D$7:$D$66,($L278-INT($L278/1000)*1000)))</f>
        <v/>
      </c>
      <c r="D278" s="22">
        <f>IF($L278="","",INDEX(HSCEI!$C$7:$C$66,($L278-INT($L278/1000)*1000)))</f>
        <v/>
      </c>
      <c r="E278" s="69">
        <f>IF($L278="","",INDEX(HSCEI!$K$7:$K$66,($L278-INT($L278/1000)*1000)))</f>
        <v/>
      </c>
      <c r="F278" s="43">
        <f>IF($L278="","",IF(COUNTIFS(OVR_TICKERS,$D278,OVR_BASE,"&gt;=0")=0,"",SUMIFS(OVR_BASE,OVR_TICKERS,$D278)))</f>
        <v/>
      </c>
      <c r="G278" s="69">
        <f>IF($L278="","",INDEX(HSCEI!$L$7:$L$66,($L278-INT($L278/1000)*1000)))</f>
        <v/>
      </c>
      <c r="H278" s="95">
        <f>IF($L278="","",IF($F278="","",IFERROR(($F278-$E278)*INDEX(HSCEI!$B$7:$B$66,($L278-INT($L278/1000)*1000))*INDEX(HSCEI!$G$7:$G$66,($L278-INT($L278/1000)*1000))/HSCEI!$B$3,"")))</f>
        <v/>
      </c>
      <c r="I278" s="46">
        <f>IF($L278="","",INDEX(HSCEI!$U$7:$U$66,($L278-INT($L278/1000)*1000)))</f>
        <v/>
      </c>
      <c r="K278" s="39">
        <f>IF(HSCEI!$C$61="","",IFERROR(MATCH(HSCEI!$E$61,Fundamentals!$B$216:$B$226,0),99)*1000+55)</f>
        <v/>
      </c>
      <c r="L278" s="39">
        <f>IFERROR(SMALL($K$224:$K$283,55),"")</f>
        <v/>
      </c>
    </row>
    <row r="279">
      <c r="B279" s="22">
        <f>IF($L279="","",INDEX(HSCEI!$E$7:$E$66,($L279-INT($L279/1000)*1000)))</f>
        <v/>
      </c>
      <c r="C279" s="22">
        <f>IF($L279="","",INDEX(HSCEI!$D$7:$D$66,($L279-INT($L279/1000)*1000)))</f>
        <v/>
      </c>
      <c r="D279" s="22">
        <f>IF($L279="","",INDEX(HSCEI!$C$7:$C$66,($L279-INT($L279/1000)*1000)))</f>
        <v/>
      </c>
      <c r="E279" s="69">
        <f>IF($L279="","",INDEX(HSCEI!$K$7:$K$66,($L279-INT($L279/1000)*1000)))</f>
        <v/>
      </c>
      <c r="F279" s="43">
        <f>IF($L279="","",IF(COUNTIFS(OVR_TICKERS,$D279,OVR_BASE,"&gt;=0")=0,"",SUMIFS(OVR_BASE,OVR_TICKERS,$D279)))</f>
        <v/>
      </c>
      <c r="G279" s="69">
        <f>IF($L279="","",INDEX(HSCEI!$L$7:$L$66,($L279-INT($L279/1000)*1000)))</f>
        <v/>
      </c>
      <c r="H279" s="95">
        <f>IF($L279="","",IF($F279="","",IFERROR(($F279-$E279)*INDEX(HSCEI!$B$7:$B$66,($L279-INT($L279/1000)*1000))*INDEX(HSCEI!$G$7:$G$66,($L279-INT($L279/1000)*1000))/HSCEI!$B$3,"")))</f>
        <v/>
      </c>
      <c r="I279" s="46">
        <f>IF($L279="","",INDEX(HSCEI!$U$7:$U$66,($L279-INT($L279/1000)*1000)))</f>
        <v/>
      </c>
      <c r="K279" s="39">
        <f>IF(HSCEI!$C$62="","",IFERROR(MATCH(HSCEI!$E$62,Fundamentals!$B$216:$B$226,0),99)*1000+56)</f>
        <v/>
      </c>
      <c r="L279" s="39">
        <f>IFERROR(SMALL($K$224:$K$283,56),"")</f>
        <v/>
      </c>
    </row>
    <row r="280">
      <c r="B280" s="22">
        <f>IF($L280="","",INDEX(HSCEI!$E$7:$E$66,($L280-INT($L280/1000)*1000)))</f>
        <v/>
      </c>
      <c r="C280" s="22">
        <f>IF($L280="","",INDEX(HSCEI!$D$7:$D$66,($L280-INT($L280/1000)*1000)))</f>
        <v/>
      </c>
      <c r="D280" s="22">
        <f>IF($L280="","",INDEX(HSCEI!$C$7:$C$66,($L280-INT($L280/1000)*1000)))</f>
        <v/>
      </c>
      <c r="E280" s="69">
        <f>IF($L280="","",INDEX(HSCEI!$K$7:$K$66,($L280-INT($L280/1000)*1000)))</f>
        <v/>
      </c>
      <c r="F280" s="43">
        <f>IF($L280="","",IF(COUNTIFS(OVR_TICKERS,$D280,OVR_BASE,"&gt;=0")=0,"",SUMIFS(OVR_BASE,OVR_TICKERS,$D280)))</f>
        <v/>
      </c>
      <c r="G280" s="69">
        <f>IF($L280="","",INDEX(HSCEI!$L$7:$L$66,($L280-INT($L280/1000)*1000)))</f>
        <v/>
      </c>
      <c r="H280" s="95">
        <f>IF($L280="","",IF($F280="","",IFERROR(($F280-$E280)*INDEX(HSCEI!$B$7:$B$66,($L280-INT($L280/1000)*1000))*INDEX(HSCEI!$G$7:$G$66,($L280-INT($L280/1000)*1000))/HSCEI!$B$3,"")))</f>
        <v/>
      </c>
      <c r="I280" s="46">
        <f>IF($L280="","",INDEX(HSCEI!$U$7:$U$66,($L280-INT($L280/1000)*1000)))</f>
        <v/>
      </c>
      <c r="K280" s="39">
        <f>IF(HSCEI!$C$63="","",IFERROR(MATCH(HSCEI!$E$63,Fundamentals!$B$216:$B$226,0),99)*1000+57)</f>
        <v/>
      </c>
      <c r="L280" s="39">
        <f>IFERROR(SMALL($K$224:$K$283,57),"")</f>
        <v/>
      </c>
    </row>
    <row r="281">
      <c r="B281" s="22">
        <f>IF($L281="","",INDEX(HSCEI!$E$7:$E$66,($L281-INT($L281/1000)*1000)))</f>
        <v/>
      </c>
      <c r="C281" s="22">
        <f>IF($L281="","",INDEX(HSCEI!$D$7:$D$66,($L281-INT($L281/1000)*1000)))</f>
        <v/>
      </c>
      <c r="D281" s="22">
        <f>IF($L281="","",INDEX(HSCEI!$C$7:$C$66,($L281-INT($L281/1000)*1000)))</f>
        <v/>
      </c>
      <c r="E281" s="69">
        <f>IF($L281="","",INDEX(HSCEI!$K$7:$K$66,($L281-INT($L281/1000)*1000)))</f>
        <v/>
      </c>
      <c r="F281" s="43">
        <f>IF($L281="","",IF(COUNTIFS(OVR_TICKERS,$D281,OVR_BASE,"&gt;=0")=0,"",SUMIFS(OVR_BASE,OVR_TICKERS,$D281)))</f>
        <v/>
      </c>
      <c r="G281" s="69">
        <f>IF($L281="","",INDEX(HSCEI!$L$7:$L$66,($L281-INT($L281/1000)*1000)))</f>
        <v/>
      </c>
      <c r="H281" s="95">
        <f>IF($L281="","",IF($F281="","",IFERROR(($F281-$E281)*INDEX(HSCEI!$B$7:$B$66,($L281-INT($L281/1000)*1000))*INDEX(HSCEI!$G$7:$G$66,($L281-INT($L281/1000)*1000))/HSCEI!$B$3,"")))</f>
        <v/>
      </c>
      <c r="I281" s="46">
        <f>IF($L281="","",INDEX(HSCEI!$U$7:$U$66,($L281-INT($L281/1000)*1000)))</f>
        <v/>
      </c>
      <c r="K281" s="39">
        <f>IF(HSCEI!$C$64="","",IFERROR(MATCH(HSCEI!$E$64,Fundamentals!$B$216:$B$226,0),99)*1000+58)</f>
        <v/>
      </c>
      <c r="L281" s="39">
        <f>IFERROR(SMALL($K$224:$K$283,58),"")</f>
        <v/>
      </c>
    </row>
    <row r="282">
      <c r="B282" s="22">
        <f>IF($L282="","",INDEX(HSCEI!$E$7:$E$66,($L282-INT($L282/1000)*1000)))</f>
        <v/>
      </c>
      <c r="C282" s="22">
        <f>IF($L282="","",INDEX(HSCEI!$D$7:$D$66,($L282-INT($L282/1000)*1000)))</f>
        <v/>
      </c>
      <c r="D282" s="22">
        <f>IF($L282="","",INDEX(HSCEI!$C$7:$C$66,($L282-INT($L282/1000)*1000)))</f>
        <v/>
      </c>
      <c r="E282" s="69">
        <f>IF($L282="","",INDEX(HSCEI!$K$7:$K$66,($L282-INT($L282/1000)*1000)))</f>
        <v/>
      </c>
      <c r="F282" s="43">
        <f>IF($L282="","",IF(COUNTIFS(OVR_TICKERS,$D282,OVR_BASE,"&gt;=0")=0,"",SUMIFS(OVR_BASE,OVR_TICKERS,$D282)))</f>
        <v/>
      </c>
      <c r="G282" s="69">
        <f>IF($L282="","",INDEX(HSCEI!$L$7:$L$66,($L282-INT($L282/1000)*1000)))</f>
        <v/>
      </c>
      <c r="H282" s="95">
        <f>IF($L282="","",IF($F282="","",IFERROR(($F282-$E282)*INDEX(HSCEI!$B$7:$B$66,($L282-INT($L282/1000)*1000))*INDEX(HSCEI!$G$7:$G$66,($L282-INT($L282/1000)*1000))/HSCEI!$B$3,"")))</f>
        <v/>
      </c>
      <c r="I282" s="46">
        <f>IF($L282="","",INDEX(HSCEI!$U$7:$U$66,($L282-INT($L282/1000)*1000)))</f>
        <v/>
      </c>
      <c r="K282" s="39">
        <f>IF(HSCEI!$C$65="","",IFERROR(MATCH(HSCEI!$E$65,Fundamentals!$B$216:$B$226,0),99)*1000+59)</f>
        <v/>
      </c>
      <c r="L282" s="39">
        <f>IFERROR(SMALL($K$224:$K$283,59),"")</f>
        <v/>
      </c>
    </row>
    <row r="283">
      <c r="B283" s="22">
        <f>IF($L283="","",INDEX(HSCEI!$E$7:$E$66,($L283-INT($L283/1000)*1000)))</f>
        <v/>
      </c>
      <c r="C283" s="22">
        <f>IF($L283="","",INDEX(HSCEI!$D$7:$D$66,($L283-INT($L283/1000)*1000)))</f>
        <v/>
      </c>
      <c r="D283" s="22">
        <f>IF($L283="","",INDEX(HSCEI!$C$7:$C$66,($L283-INT($L283/1000)*1000)))</f>
        <v/>
      </c>
      <c r="E283" s="69">
        <f>IF($L283="","",INDEX(HSCEI!$K$7:$K$66,($L283-INT($L283/1000)*1000)))</f>
        <v/>
      </c>
      <c r="F283" s="43">
        <f>IF($L283="","",IF(COUNTIFS(OVR_TICKERS,$D283,OVR_BASE,"&gt;=0")=0,"",SUMIFS(OVR_BASE,OVR_TICKERS,$D283)))</f>
        <v/>
      </c>
      <c r="G283" s="69">
        <f>IF($L283="","",INDEX(HSCEI!$L$7:$L$66,($L283-INT($L283/1000)*1000)))</f>
        <v/>
      </c>
      <c r="H283" s="95">
        <f>IF($L283="","",IF($F283="","",IFERROR(($F283-$E283)*INDEX(HSCEI!$B$7:$B$66,($L283-INT($L283/1000)*1000))*INDEX(HSCEI!$G$7:$G$66,($L283-INT($L283/1000)*1000))/HSCEI!$B$3,"")))</f>
        <v/>
      </c>
      <c r="I283" s="46">
        <f>IF($L283="","",INDEX(HSCEI!$U$7:$U$66,($L283-INT($L283/1000)*1000)))</f>
        <v/>
      </c>
      <c r="K283" s="39">
        <f>IF(HSCEI!$C$66="","",IFERROR(MATCH(HSCEI!$E$66,Fundamentals!$B$216:$B$226,0),99)*1000+60)</f>
        <v/>
      </c>
      <c r="L283" s="39">
        <f>IFERROR(SMALL($K$224:$K$283,60),"")</f>
        <v/>
      </c>
    </row>
  </sheetData>
  <conditionalFormatting sqref="D12:F71">
    <cfRule type="expression" priority="1" dxfId="0">
      <formula>AND($C$4="ON",ISNUMBER($D12))</formula>
    </cfRule>
  </conditionalFormatting>
  <conditionalFormatting sqref="B76:I175">
    <cfRule type="expression" priority="2" dxfId="1">
      <formula>AND($B76&lt;&gt;"",$B76&lt;&gt;$B75)</formula>
    </cfRule>
  </conditionalFormatting>
  <conditionalFormatting sqref="F76:F175">
    <cfRule type="expression" priority="3" dxfId="0">
      <formula>AND($C$4="ON",ISNUMBER($F76))</formula>
    </cfRule>
  </conditionalFormatting>
  <conditionalFormatting sqref="B180:I219">
    <cfRule type="expression" priority="4" dxfId="1">
      <formula>AND($B180&lt;&gt;"",$B180&lt;&gt;$B179)</formula>
    </cfRule>
  </conditionalFormatting>
  <conditionalFormatting sqref="F180:F219">
    <cfRule type="expression" priority="5" dxfId="0">
      <formula>AND($C$4="ON",ISNUMBER($F180))</formula>
    </cfRule>
  </conditionalFormatting>
  <conditionalFormatting sqref="B224:I283">
    <cfRule type="expression" priority="6" dxfId="1">
      <formula>AND($B224&lt;&gt;"",$B224&lt;&gt;$B223)</formula>
    </cfRule>
  </conditionalFormatting>
  <conditionalFormatting sqref="F224:F283">
    <cfRule type="expression" priority="7" dxfId="0">
      <formula>AND($C$4="ON",ISNUMBER($F224))</formula>
    </cfRule>
  </conditionalFormatting>
  <dataValidations count="2">
    <dataValidation sqref="C4" showDropDown="0" showInputMessage="0" showErrorMessage="0" allowBlank="0" type="list">
      <formula1>"ON,OFF"</formula1>
    </dataValidation>
    <dataValidation sqref="D12:F7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AADB"/>
    <outlinePr summaryBelow="1" summaryRight="1"/>
    <pageSetUpPr/>
  </sheetPr>
  <dimension ref="A1:Z10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6" customWidth="1" min="4" max="4"/>
    <col width="21" customWidth="1" min="5" max="5"/>
    <col width="6" customWidth="1" min="6" max="6"/>
    <col width="8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21" customWidth="1" min="21" max="21"/>
    <col width="9" customWidth="1" min="22" max="22"/>
    <col width="9" customWidth="1" min="23" max="23"/>
    <col width="10" customWidth="1" min="24" max="24"/>
    <col width="10" customWidth="1" min="25" max="25"/>
    <col width="9" customWidth="1" min="26" max="26"/>
  </cols>
  <sheetData>
    <row r="1">
      <c r="A1" s="1" t="inlineStr">
        <is>
          <t>Hang Seng Index (HSI)  -  MEMBERS, YOUR BASKET, AND THE YEAR MODEL</t>
        </is>
      </c>
    </row>
    <row r="2">
      <c r="A2" s="3" t="inlineStr">
        <is>
          <t>Index ticker</t>
        </is>
      </c>
      <c r="B2" s="4" t="inlineStr">
        <is>
          <t>HSI Index</t>
        </is>
      </c>
      <c r="G2" s="2" t="inlineStr">
        <is>
          <t>Members</t>
        </is>
      </c>
      <c r="H2" s="40">
        <f>SUMPRODUCT(($A$7:$A$106&lt;&gt;"")*1)</f>
        <v/>
      </c>
      <c r="K2" s="2" t="inlineStr">
        <is>
          <t>Qty pasted</t>
        </is>
      </c>
      <c r="L2" s="40">
        <f>COUNT($B$7:$B$106)</f>
        <v/>
      </c>
      <c r="O2" s="2" t="inlineStr">
        <is>
          <t>No qty</t>
        </is>
      </c>
      <c r="P2" s="40">
        <f>SUMPRODUCT(($A$7:$A$106&lt;&gt;"")*($B$7:$B$106=""))</f>
        <v/>
      </c>
      <c r="S2" s="2" t="inlineStr">
        <is>
          <t>Amount TBA</t>
        </is>
      </c>
      <c r="T2" s="40">
        <f>COUNTIF($U$7:$U$106,"TBA amount - override me")</f>
        <v/>
      </c>
    </row>
    <row r="3">
      <c r="A3" s="3" t="inlineStr">
        <is>
          <t>Index divisor</t>
        </is>
      </c>
      <c r="B3" s="29" t="n"/>
      <c r="C3" s="2" t="inlineStr">
        <is>
          <t>Paste the official divisor here and the basket quantities in column B, in CONSISTENT units - the SCALE FACTOR row on Summary flags a mismatch instantly. A refresh can reshuffle members; pasted quantities do NOT follow them.</t>
        </is>
      </c>
    </row>
    <row r="4">
      <c r="A4" s="6" t="inlineStr">
        <is>
          <t>MEMBER &amp; REFERENCE DATA (Bloomberg)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57" t="inlineStr">
        <is>
          <t>DIVIDEND PER SHARE - declared currency</t>
        </is>
      </c>
      <c r="K4" s="58" t="n"/>
      <c r="L4" s="58" t="n"/>
      <c r="M4" s="58" t="n"/>
      <c r="N4" s="58" t="n"/>
      <c r="O4" s="57" t="inlineStr">
        <is>
          <t>INDEX POINTS</t>
        </is>
      </c>
      <c r="P4" s="58" t="n"/>
      <c r="Q4" s="58" t="n"/>
      <c r="R4" s="58" t="n"/>
      <c r="S4" s="58" t="n"/>
      <c r="T4" s="58" t="n"/>
      <c r="U4" s="6" t="inlineStr">
        <is>
          <t>FLAG / REFERENCE</t>
        </is>
      </c>
      <c r="V4" s="7" t="n"/>
      <c r="W4" s="7" t="n"/>
      <c r="X4" s="59" t="inlineStr">
        <is>
          <t>UNITS CHECK (price x qty must rebuild the index)</t>
        </is>
      </c>
      <c r="Y4" s="60" t="n"/>
      <c r="Z4" s="60" t="n"/>
    </row>
    <row r="5">
      <c r="N5" s="3" t="inlineStr">
        <is>
          <t>TOTAL -&gt;</t>
        </is>
      </c>
      <c r="O5" s="30">
        <f>IFERROR(SUM(O7:O106),"")</f>
        <v/>
      </c>
      <c r="P5" s="30">
        <f>IFERROR(SUM(P7:P106),"")</f>
        <v/>
      </c>
      <c r="Q5" s="49">
        <f>IFERROR(SUM(Q7:Q106),"")</f>
        <v/>
      </c>
      <c r="R5" s="30">
        <f>IFERROR(SUM(R7:R106),"")</f>
        <v/>
      </c>
      <c r="S5" s="30">
        <f>IFERROR(SUM(S7:S106),"")</f>
        <v/>
      </c>
      <c r="V5" s="30">
        <f>IFERROR(SUM(V7:V106),"")</f>
        <v/>
      </c>
      <c r="W5" s="30">
        <f>IFERROR(SUM(W7:W106),"")</f>
        <v/>
      </c>
      <c r="Y5" s="49">
        <f>IFERROR(SUM(Y7:Y106),"")</f>
        <v/>
      </c>
      <c r="Z5" s="96">
        <f>IFERROR(SUM(Z7:Z106),"")</f>
        <v/>
      </c>
    </row>
    <row r="6">
      <c r="A6" s="23" t="inlineStr">
        <is>
          <t>Member</t>
        </is>
      </c>
      <c r="B6" s="23" t="inlineStr">
        <is>
          <t>Basket
Qty</t>
        </is>
      </c>
      <c r="C6" s="23" t="inlineStr">
        <is>
          <t>Bloomberg Ticker</t>
        </is>
      </c>
      <c r="D6" s="23" t="inlineStr">
        <is>
          <t>Name</t>
        </is>
      </c>
      <c r="E6" s="23" t="inlineStr">
        <is>
          <t>GICS Sector</t>
        </is>
      </c>
      <c r="F6" s="23" t="inlineStr">
        <is>
          <t>Dvd
CCY</t>
        </is>
      </c>
      <c r="G6" s="23" t="inlineStr">
        <is>
          <t>FX -&gt;
HKD</t>
        </is>
      </c>
      <c r="H6" s="23" t="inlineStr">
        <is>
          <t>DPS 12M
(ref)</t>
        </is>
      </c>
      <c r="I6" s="23" t="inlineStr">
        <is>
          <t>Yld 12M
(ref)</t>
        </is>
      </c>
      <c r="J6" s="23" t="inlineStr">
        <is>
          <t>Realized
DPS</t>
        </is>
      </c>
      <c r="K6" s="23" t="inlineStr">
        <is>
          <t>To come
DPS (BBG)</t>
        </is>
      </c>
      <c r="L6" s="23" t="inlineStr">
        <is>
          <t>To come
DPS (eff)</t>
        </is>
      </c>
      <c r="M6" s="23" t="inlineStr">
        <is>
          <t>LOW
DPS</t>
        </is>
      </c>
      <c r="N6" s="23" t="inlineStr">
        <is>
          <t>HIGH
DPS</t>
        </is>
      </c>
      <c r="O6" s="62" t="inlineStr">
        <is>
          <t>Realized
(pts)</t>
        </is>
      </c>
      <c r="P6" s="62" t="inlineStr">
        <is>
          <t>To come
(pts)</t>
        </is>
      </c>
      <c r="Q6" s="62" t="inlineStr">
        <is>
          <t>YEAR
TOTAL (pts)</t>
        </is>
      </c>
      <c r="R6" s="62" t="inlineStr">
        <is>
          <t>LOW
(pts)</t>
        </is>
      </c>
      <c r="S6" s="62" t="inlineStr">
        <is>
          <t>HIGH
(pts)</t>
        </is>
      </c>
      <c r="T6" s="62" t="inlineStr">
        <is>
          <t>% of yr
dvds</t>
        </is>
      </c>
      <c r="U6" s="23" t="inlineStr">
        <is>
          <t>Flag</t>
        </is>
      </c>
      <c r="V6" s="23" t="inlineStr">
        <is>
          <t>12M pts
(ref)</t>
        </is>
      </c>
      <c r="W6" s="23" t="inlineStr">
        <is>
          <t>To come
pts (BBG)</t>
        </is>
      </c>
      <c r="X6" s="65" t="inlineStr">
        <is>
          <t>Price
(PX_LAST)</t>
        </is>
      </c>
      <c r="Y6" s="65" t="inlineStr">
        <is>
          <t>Value
(index pts)</t>
        </is>
      </c>
      <c r="Z6" s="65" t="inlineStr">
        <is>
          <t>Index
weight</t>
        </is>
      </c>
    </row>
    <row r="7">
      <c r="A7" s="8">
        <f>BDS($B$2,"INDX_MEMBERS")</f>
        <v/>
      </c>
      <c r="B7" s="97" t="n"/>
      <c r="C7" s="8">
        <f>IF($A7="","",$A7&amp;" Equity")</f>
        <v/>
      </c>
      <c r="D7" s="8">
        <f>IF($C7="","",BDP($C7,"NAME"))</f>
        <v/>
      </c>
      <c r="E7" s="8">
        <f>IF($C7="","",BDP($C7,"GICS_SECTOR_NAME"))</f>
        <v/>
      </c>
      <c r="F7" s="37">
        <f>IF($C7="","",BDP($C7,FLD_CCY))</f>
        <v/>
      </c>
      <c r="G7" s="12">
        <f>IFERROR(IF(LEN($F7)&lt;&gt;3,1,IF($F7="HKD",1,BDP(IF($F7="CNY",RMB_CROSS,$F7)&amp;"HKD Curncy","PX_LAST"))),1)</f>
        <v/>
      </c>
      <c r="H7" s="69">
        <f>IF($C7="","",BDP($C7,FLD_DPS12M))</f>
        <v/>
      </c>
      <c r="I7" s="50">
        <f>IF($C7="","",BDP($C7,FLD_YLD12M))</f>
        <v/>
      </c>
      <c r="J7" s="52">
        <f>IF($B7="",0,SUMPRODUCT(('Dvd Calendar'!$E$11:$AR$11&gt;=DATE(YEAR_Y,1,1))*('Dvd Calendar'!$E$11:$AR$11&lt;=REALIZED_TO)*'Dvd Calendar'!$E$14:$AR$14*(('Dvd Calendar'!$E$16:$AR$16=TYPE1)*(TYPE1&lt;&gt;"")+('Dvd Calendar'!$E$16:$AR$16=TYPE2)*(TYPE2&lt;&gt;"")+('Dvd Calendar'!$E$16:$AR$16=TYPE3)*(TYPE3&lt;&gt;"")+('Dvd Calendar'!$E$16:$AR$16=TYPE4)*(TYPE4&lt;&gt;"")+('Dvd Calendar'!$E$16:$AR$16=SPECIAL_LBL)*(INC_SPECIALS="Y"))))</f>
        <v/>
      </c>
      <c r="K7" s="52">
        <f>IF($B7="",0,SUMIFS('Dvd Calendar'!$E$19:$AR$19,'Dvd Calendar'!$E$18:$AR$18,"&gt;"&amp;PROJ_FROM,'Dvd Calendar'!$E$18:$AR$18,"&lt;="&amp;DATE(YEAR_Y,12,31))+SUMPRODUCT(('Dvd Calendar'!$E$11:$AR$11&gt;PROJ_FROM)*('Dvd Calendar'!$E$11:$AR$11&lt;=DATE(YEAR_Y,12,31))*'Dvd Calendar'!$E$14:$AR$14*(('Dvd Calendar'!$E$16:$AR$16=TYPE1)*(TYPE1&lt;&gt;"")+('Dvd Calendar'!$E$16:$AR$16=TYPE2)*(TYPE2&lt;&gt;"")+('Dvd Calendar'!$E$16:$AR$16=TYPE3)*(TYPE3&lt;&gt;"")+('Dvd Calendar'!$E$16:$AR$16=TYPE4)*(TYPE4&lt;&gt;"")+('Dvd Calendar'!$E$16:$AR$16=SPECIAL_LBL)*(INC_SPECIALS="Y"))*(COUNTIF('Dvd Calendar'!$E$18:$AR$18,'Dvd Calendar'!$E$11:$AR$11)=0)))</f>
        <v/>
      </c>
      <c r="L7" s="52">
        <f>IF($B7="",0,IF((OV_SWITCH="ON")*(COUNTIFS(OVR_TICKERS,$C7,OVR_BASE,"&gt;=0")&gt;0)&gt;0,SUMIFS(OVR_BASE,OVR_TICKERS,$C7),$K7))</f>
        <v/>
      </c>
      <c r="M7" s="52">
        <f>IF($B7="",0,IF((OV_SWITCH="ON")*(COUNTIFS(OVR_TICKERS,$C7,OVR_LOW,"&gt;=0")&gt;0)&gt;0,SUMIFS(OVR_LOW,OVR_TICKERS,$C7),$L7))</f>
        <v/>
      </c>
      <c r="N7" s="52">
        <f>IF($B7="",0,IF((OV_SWITCH="ON")*(COUNTIFS(OVR_TICKERS,$C7,OVR_HIGH,"&gt;=0")&gt;0)&gt;0,SUMIFS(OVR_HIGH,OVR_TICKERS,$C7),$L7))</f>
        <v/>
      </c>
      <c r="O7" s="69">
        <f>IF($B7="","",IFERROR($B7*$G7*$J7/$B$3,""))</f>
        <v/>
      </c>
      <c r="P7" s="69">
        <f>IF($B7="","",IFERROR($B7*$G7*$L7/$B$3,""))</f>
        <v/>
      </c>
      <c r="Q7" s="44">
        <f>IF($B7="","",IFERROR($O7+$P7,""))</f>
        <v/>
      </c>
      <c r="R7" s="69">
        <f>IF($B7="","",IFERROR($O7+$B7*$G7*$M7/$B$3,""))</f>
        <v/>
      </c>
      <c r="S7" s="69">
        <f>IF($B7="","",IFERROR($O7+$B7*$G7*$N7/$B$3,""))</f>
        <v/>
      </c>
      <c r="T7" s="88">
        <f>IF($B7="","",IFERROR($Q7/$Q$5,""))</f>
        <v/>
      </c>
      <c r="U7" s="2">
        <f>IF($B7="","",IF(COUNTIFS('Dvd Calendar'!$E$17:$AR$17,"&gt;0",'Dvd Calendar'!$E$17:$AR$17,"&lt;="&amp;VAL_DATE,'Dvd Calendar'!$E$18:$AR$18,"&gt;"&amp;PROJ_FROM,'Dvd Calendar'!$E$18:$AR$18,"&lt;="&amp;DATE(YEAR_Y,12,31))-COUNTIFS('Dvd Calendar'!$E$17:$AR$17,"&gt;0",'Dvd Calendar'!$E$17:$AR$17,"&lt;="&amp;VAL_DATE,'Dvd Calendar'!$E$18:$AR$18,"&gt;"&amp;PROJ_FROM,'Dvd Calendar'!$E$18:$AR$18,"&lt;="&amp;DATE(YEAR_Y,12,31),'Dvd Calendar'!$E$19:$AR$19,"&gt;=0")&gt;0,"TBA amount - override me",IF((OV_SWITCH="ON")*(COUNTIFS(OVR_TICKERS,$C7,OVR_BASE,"&gt;=0")&gt;0)&gt;0,"overridden",IF($J7+$K7=0,"no dividend in year Y",""))))</f>
        <v/>
      </c>
      <c r="V7" s="69">
        <f>IF($B7="","",IFERROR(IF(ISNUMBER($H7),$B7*$G7*$H7/$B$3,0),""))</f>
        <v/>
      </c>
      <c r="W7" s="69">
        <f>IF($B7="","",IFERROR($B7*$G7*$K7/$B$3,""))</f>
        <v/>
      </c>
      <c r="X7" s="98">
        <f>IF($C7="","",BDP($C7,"PX_LAST"))</f>
        <v/>
      </c>
      <c r="Y7" s="69">
        <f>IF($B7="","",IFERROR($B7*$X7/$B$3,""))</f>
        <v/>
      </c>
      <c r="Z7" s="73">
        <f>IF($B7="","",IFERROR($Y7/$Y$5,""))</f>
        <v/>
      </c>
    </row>
    <row r="8">
      <c r="B8" s="97" t="n"/>
      <c r="C8" s="8">
        <f>IF($A8="","",$A8&amp;" Equity")</f>
        <v/>
      </c>
      <c r="D8" s="8">
        <f>IF($C8="","",BDP($C8,"NAME"))</f>
        <v/>
      </c>
      <c r="E8" s="8">
        <f>IF($C8="","",BDP($C8,"GICS_SECTOR_NAME"))</f>
        <v/>
      </c>
      <c r="F8" s="37">
        <f>IF($C8="","",BDP($C8,FLD_CCY))</f>
        <v/>
      </c>
      <c r="G8" s="12">
        <f>IFERROR(IF(LEN($F8)&lt;&gt;3,1,IF($F8="HKD",1,BDP(IF($F8="CNY",RMB_CROSS,$F8)&amp;"HKD Curncy","PX_LAST"))),1)</f>
        <v/>
      </c>
      <c r="H8" s="69">
        <f>IF($C8="","",BDP($C8,FLD_DPS12M))</f>
        <v/>
      </c>
      <c r="I8" s="50">
        <f>IF($C8="","",BDP($C8,FLD_YLD12M))</f>
        <v/>
      </c>
      <c r="J8" s="52">
        <f>IF($B8="",0,SUMPRODUCT(('Dvd Calendar'!$E$22:$AR$22&gt;=DATE(YEAR_Y,1,1))*('Dvd Calendar'!$E$22:$AR$22&lt;=REALIZED_TO)*'Dvd Calendar'!$E$25:$AR$25*(('Dvd Calendar'!$E$27:$AR$27=TYPE1)*(TYPE1&lt;&gt;"")+('Dvd Calendar'!$E$27:$AR$27=TYPE2)*(TYPE2&lt;&gt;"")+('Dvd Calendar'!$E$27:$AR$27=TYPE3)*(TYPE3&lt;&gt;"")+('Dvd Calendar'!$E$27:$AR$27=TYPE4)*(TYPE4&lt;&gt;"")+('Dvd Calendar'!$E$27:$AR$27=SPECIAL_LBL)*(INC_SPECIALS="Y"))))</f>
        <v/>
      </c>
      <c r="K8" s="52">
        <f>IF($B8="",0,SUMIFS('Dvd Calendar'!$E$30:$AR$30,'Dvd Calendar'!$E$29:$AR$29,"&gt;"&amp;PROJ_FROM,'Dvd Calendar'!$E$29:$AR$29,"&lt;="&amp;DATE(YEAR_Y,12,31))+SUMPRODUCT(('Dvd Calendar'!$E$22:$AR$22&gt;PROJ_FROM)*('Dvd Calendar'!$E$22:$AR$22&lt;=DATE(YEAR_Y,12,31))*'Dvd Calendar'!$E$25:$AR$25*(('Dvd Calendar'!$E$27:$AR$27=TYPE1)*(TYPE1&lt;&gt;"")+('Dvd Calendar'!$E$27:$AR$27=TYPE2)*(TYPE2&lt;&gt;"")+('Dvd Calendar'!$E$27:$AR$27=TYPE3)*(TYPE3&lt;&gt;"")+('Dvd Calendar'!$E$27:$AR$27=TYPE4)*(TYPE4&lt;&gt;"")+('Dvd Calendar'!$E$27:$AR$27=SPECIAL_LBL)*(INC_SPECIALS="Y"))*(COUNTIF('Dvd Calendar'!$E$29:$AR$29,'Dvd Calendar'!$E$22:$AR$22)=0)))</f>
        <v/>
      </c>
      <c r="L8" s="52">
        <f>IF($B8="",0,IF((OV_SWITCH="ON")*(COUNTIFS(OVR_TICKERS,$C8,OVR_BASE,"&gt;=0")&gt;0)&gt;0,SUMIFS(OVR_BASE,OVR_TICKERS,$C8),$K8))</f>
        <v/>
      </c>
      <c r="M8" s="52">
        <f>IF($B8="",0,IF((OV_SWITCH="ON")*(COUNTIFS(OVR_TICKERS,$C8,OVR_LOW,"&gt;=0")&gt;0)&gt;0,SUMIFS(OVR_LOW,OVR_TICKERS,$C8),$L8))</f>
        <v/>
      </c>
      <c r="N8" s="52">
        <f>IF($B8="",0,IF((OV_SWITCH="ON")*(COUNTIFS(OVR_TICKERS,$C8,OVR_HIGH,"&gt;=0")&gt;0)&gt;0,SUMIFS(OVR_HIGH,OVR_TICKERS,$C8),$L8))</f>
        <v/>
      </c>
      <c r="O8" s="69">
        <f>IF($B8="","",IFERROR($B8*$G8*$J8/$B$3,""))</f>
        <v/>
      </c>
      <c r="P8" s="69">
        <f>IF($B8="","",IFERROR($B8*$G8*$L8/$B$3,""))</f>
        <v/>
      </c>
      <c r="Q8" s="44">
        <f>IF($B8="","",IFERROR($O8+$P8,""))</f>
        <v/>
      </c>
      <c r="R8" s="69">
        <f>IF($B8="","",IFERROR($O8+$B8*$G8*$M8/$B$3,""))</f>
        <v/>
      </c>
      <c r="S8" s="69">
        <f>IF($B8="","",IFERROR($O8+$B8*$G8*$N8/$B$3,""))</f>
        <v/>
      </c>
      <c r="T8" s="88">
        <f>IF($B8="","",IFERROR($Q8/$Q$5,""))</f>
        <v/>
      </c>
      <c r="U8" s="2">
        <f>IF($B8="","",IF(COUNTIFS('Dvd Calendar'!$E$28:$AR$28,"&gt;0",'Dvd Calendar'!$E$28:$AR$28,"&lt;="&amp;VAL_DATE,'Dvd Calendar'!$E$29:$AR$29,"&gt;"&amp;PROJ_FROM,'Dvd Calendar'!$E$29:$AR$29,"&lt;="&amp;DATE(YEAR_Y,12,31))-COUNTIFS('Dvd Calendar'!$E$28:$AR$28,"&gt;0",'Dvd Calendar'!$E$28:$AR$28,"&lt;="&amp;VAL_DATE,'Dvd Calendar'!$E$29:$AR$29,"&gt;"&amp;PROJ_FROM,'Dvd Calendar'!$E$29:$AR$29,"&lt;="&amp;DATE(YEAR_Y,12,31),'Dvd Calendar'!$E$30:$AR$30,"&gt;=0")&gt;0,"TBA amount - override me",IF((OV_SWITCH="ON")*(COUNTIFS(OVR_TICKERS,$C8,OVR_BASE,"&gt;=0")&gt;0)&gt;0,"overridden",IF($J8+$K8=0,"no dividend in year Y",""))))</f>
        <v/>
      </c>
      <c r="V8" s="69">
        <f>IF($B8="","",IFERROR(IF(ISNUMBER($H8),$B8*$G8*$H8/$B$3,0),""))</f>
        <v/>
      </c>
      <c r="W8" s="69">
        <f>IF($B8="","",IFERROR($B8*$G8*$K8/$B$3,""))</f>
        <v/>
      </c>
      <c r="X8" s="98">
        <f>IF($C8="","",BDP($C8,"PX_LAST"))</f>
        <v/>
      </c>
      <c r="Y8" s="69">
        <f>IF($B8="","",IFERROR($B8*$X8/$B$3,""))</f>
        <v/>
      </c>
      <c r="Z8" s="73">
        <f>IF($B8="","",IFERROR($Y8/$Y$5,""))</f>
        <v/>
      </c>
    </row>
    <row r="9">
      <c r="B9" s="97" t="n"/>
      <c r="C9" s="8">
        <f>IF($A9="","",$A9&amp;" Equity")</f>
        <v/>
      </c>
      <c r="D9" s="8">
        <f>IF($C9="","",BDP($C9,"NAME"))</f>
        <v/>
      </c>
      <c r="E9" s="8">
        <f>IF($C9="","",BDP($C9,"GICS_SECTOR_NAME"))</f>
        <v/>
      </c>
      <c r="F9" s="37">
        <f>IF($C9="","",BDP($C9,FLD_CCY))</f>
        <v/>
      </c>
      <c r="G9" s="12">
        <f>IFERROR(IF(LEN($F9)&lt;&gt;3,1,IF($F9="HKD",1,BDP(IF($F9="CNY",RMB_CROSS,$F9)&amp;"HKD Curncy","PX_LAST"))),1)</f>
        <v/>
      </c>
      <c r="H9" s="69">
        <f>IF($C9="","",BDP($C9,FLD_DPS12M))</f>
        <v/>
      </c>
      <c r="I9" s="50">
        <f>IF($C9="","",BDP($C9,FLD_YLD12M))</f>
        <v/>
      </c>
      <c r="J9" s="52">
        <f>IF($B9="",0,SUMPRODUCT(('Dvd Calendar'!$E$33:$AR$33&gt;=DATE(YEAR_Y,1,1))*('Dvd Calendar'!$E$33:$AR$33&lt;=REALIZED_TO)*'Dvd Calendar'!$E$36:$AR$36*(('Dvd Calendar'!$E$38:$AR$38=TYPE1)*(TYPE1&lt;&gt;"")+('Dvd Calendar'!$E$38:$AR$38=TYPE2)*(TYPE2&lt;&gt;"")+('Dvd Calendar'!$E$38:$AR$38=TYPE3)*(TYPE3&lt;&gt;"")+('Dvd Calendar'!$E$38:$AR$38=TYPE4)*(TYPE4&lt;&gt;"")+('Dvd Calendar'!$E$38:$AR$38=SPECIAL_LBL)*(INC_SPECIALS="Y"))))</f>
        <v/>
      </c>
      <c r="K9" s="52">
        <f>IF($B9="",0,SUMIFS('Dvd Calendar'!$E$41:$AR$41,'Dvd Calendar'!$E$40:$AR$40,"&gt;"&amp;PROJ_FROM,'Dvd Calendar'!$E$40:$AR$40,"&lt;="&amp;DATE(YEAR_Y,12,31))+SUMPRODUCT(('Dvd Calendar'!$E$33:$AR$33&gt;PROJ_FROM)*('Dvd Calendar'!$E$33:$AR$33&lt;=DATE(YEAR_Y,12,31))*'Dvd Calendar'!$E$36:$AR$36*(('Dvd Calendar'!$E$38:$AR$38=TYPE1)*(TYPE1&lt;&gt;"")+('Dvd Calendar'!$E$38:$AR$38=TYPE2)*(TYPE2&lt;&gt;"")+('Dvd Calendar'!$E$38:$AR$38=TYPE3)*(TYPE3&lt;&gt;"")+('Dvd Calendar'!$E$38:$AR$38=TYPE4)*(TYPE4&lt;&gt;"")+('Dvd Calendar'!$E$38:$AR$38=SPECIAL_LBL)*(INC_SPECIALS="Y"))*(COUNTIF('Dvd Calendar'!$E$40:$AR$40,'Dvd Calendar'!$E$33:$AR$33)=0)))</f>
        <v/>
      </c>
      <c r="L9" s="52">
        <f>IF($B9="",0,IF((OV_SWITCH="ON")*(COUNTIFS(OVR_TICKERS,$C9,OVR_BASE,"&gt;=0")&gt;0)&gt;0,SUMIFS(OVR_BASE,OVR_TICKERS,$C9),$K9))</f>
        <v/>
      </c>
      <c r="M9" s="52">
        <f>IF($B9="",0,IF((OV_SWITCH="ON")*(COUNTIFS(OVR_TICKERS,$C9,OVR_LOW,"&gt;=0")&gt;0)&gt;0,SUMIFS(OVR_LOW,OVR_TICKERS,$C9),$L9))</f>
        <v/>
      </c>
      <c r="N9" s="52">
        <f>IF($B9="",0,IF((OV_SWITCH="ON")*(COUNTIFS(OVR_TICKERS,$C9,OVR_HIGH,"&gt;=0")&gt;0)&gt;0,SUMIFS(OVR_HIGH,OVR_TICKERS,$C9),$L9))</f>
        <v/>
      </c>
      <c r="O9" s="69">
        <f>IF($B9="","",IFERROR($B9*$G9*$J9/$B$3,""))</f>
        <v/>
      </c>
      <c r="P9" s="69">
        <f>IF($B9="","",IFERROR($B9*$G9*$L9/$B$3,""))</f>
        <v/>
      </c>
      <c r="Q9" s="44">
        <f>IF($B9="","",IFERROR($O9+$P9,""))</f>
        <v/>
      </c>
      <c r="R9" s="69">
        <f>IF($B9="","",IFERROR($O9+$B9*$G9*$M9/$B$3,""))</f>
        <v/>
      </c>
      <c r="S9" s="69">
        <f>IF($B9="","",IFERROR($O9+$B9*$G9*$N9/$B$3,""))</f>
        <v/>
      </c>
      <c r="T9" s="88">
        <f>IF($B9="","",IFERROR($Q9/$Q$5,""))</f>
        <v/>
      </c>
      <c r="U9" s="2">
        <f>IF($B9="","",IF(COUNTIFS('Dvd Calendar'!$E$39:$AR$39,"&gt;0",'Dvd Calendar'!$E$39:$AR$39,"&lt;="&amp;VAL_DATE,'Dvd Calendar'!$E$40:$AR$40,"&gt;"&amp;PROJ_FROM,'Dvd Calendar'!$E$40:$AR$40,"&lt;="&amp;DATE(YEAR_Y,12,31))-COUNTIFS('Dvd Calendar'!$E$39:$AR$39,"&gt;0",'Dvd Calendar'!$E$39:$AR$39,"&lt;="&amp;VAL_DATE,'Dvd Calendar'!$E$40:$AR$40,"&gt;"&amp;PROJ_FROM,'Dvd Calendar'!$E$40:$AR$40,"&lt;="&amp;DATE(YEAR_Y,12,31),'Dvd Calendar'!$E$41:$AR$41,"&gt;=0")&gt;0,"TBA amount - override me",IF((OV_SWITCH="ON")*(COUNTIFS(OVR_TICKERS,$C9,OVR_BASE,"&gt;=0")&gt;0)&gt;0,"overridden",IF($J9+$K9=0,"no dividend in year Y",""))))</f>
        <v/>
      </c>
      <c r="V9" s="69">
        <f>IF($B9="","",IFERROR(IF(ISNUMBER($H9),$B9*$G9*$H9/$B$3,0),""))</f>
        <v/>
      </c>
      <c r="W9" s="69">
        <f>IF($B9="","",IFERROR($B9*$G9*$K9/$B$3,""))</f>
        <v/>
      </c>
      <c r="X9" s="98">
        <f>IF($C9="","",BDP($C9,"PX_LAST"))</f>
        <v/>
      </c>
      <c r="Y9" s="69">
        <f>IF($B9="","",IFERROR($B9*$X9/$B$3,""))</f>
        <v/>
      </c>
      <c r="Z9" s="73">
        <f>IF($B9="","",IFERROR($Y9/$Y$5,""))</f>
        <v/>
      </c>
    </row>
    <row r="10">
      <c r="B10" s="97" t="n"/>
      <c r="C10" s="8">
        <f>IF($A10="","",$A10&amp;" Equity")</f>
        <v/>
      </c>
      <c r="D10" s="8">
        <f>IF($C10="","",BDP($C10,"NAME"))</f>
        <v/>
      </c>
      <c r="E10" s="8">
        <f>IF($C10="","",BDP($C10,"GICS_SECTOR_NAME"))</f>
        <v/>
      </c>
      <c r="F10" s="37">
        <f>IF($C10="","",BDP($C10,FLD_CCY))</f>
        <v/>
      </c>
      <c r="G10" s="12">
        <f>IFERROR(IF(LEN($F10)&lt;&gt;3,1,IF($F10="HKD",1,BDP(IF($F10="CNY",RMB_CROSS,$F10)&amp;"HKD Curncy","PX_LAST"))),1)</f>
        <v/>
      </c>
      <c r="H10" s="69">
        <f>IF($C10="","",BDP($C10,FLD_DPS12M))</f>
        <v/>
      </c>
      <c r="I10" s="50">
        <f>IF($C10="","",BDP($C10,FLD_YLD12M))</f>
        <v/>
      </c>
      <c r="J10" s="52">
        <f>IF($B10="",0,SUMPRODUCT(('Dvd Calendar'!$E$44:$AR$44&gt;=DATE(YEAR_Y,1,1))*('Dvd Calendar'!$E$44:$AR$44&lt;=REALIZED_TO)*'Dvd Calendar'!$E$47:$AR$47*(('Dvd Calendar'!$E$49:$AR$49=TYPE1)*(TYPE1&lt;&gt;"")+('Dvd Calendar'!$E$49:$AR$49=TYPE2)*(TYPE2&lt;&gt;"")+('Dvd Calendar'!$E$49:$AR$49=TYPE3)*(TYPE3&lt;&gt;"")+('Dvd Calendar'!$E$49:$AR$49=TYPE4)*(TYPE4&lt;&gt;"")+('Dvd Calendar'!$E$49:$AR$49=SPECIAL_LBL)*(INC_SPECIALS="Y"))))</f>
        <v/>
      </c>
      <c r="K10" s="52">
        <f>IF($B10="",0,SUMIFS('Dvd Calendar'!$E$52:$AR$52,'Dvd Calendar'!$E$51:$AR$51,"&gt;"&amp;PROJ_FROM,'Dvd Calendar'!$E$51:$AR$51,"&lt;="&amp;DATE(YEAR_Y,12,31))+SUMPRODUCT(('Dvd Calendar'!$E$44:$AR$44&gt;PROJ_FROM)*('Dvd Calendar'!$E$44:$AR$44&lt;=DATE(YEAR_Y,12,31))*'Dvd Calendar'!$E$47:$AR$47*(('Dvd Calendar'!$E$49:$AR$49=TYPE1)*(TYPE1&lt;&gt;"")+('Dvd Calendar'!$E$49:$AR$49=TYPE2)*(TYPE2&lt;&gt;"")+('Dvd Calendar'!$E$49:$AR$49=TYPE3)*(TYPE3&lt;&gt;"")+('Dvd Calendar'!$E$49:$AR$49=TYPE4)*(TYPE4&lt;&gt;"")+('Dvd Calendar'!$E$49:$AR$49=SPECIAL_LBL)*(INC_SPECIALS="Y"))*(COUNTIF('Dvd Calendar'!$E$51:$AR$51,'Dvd Calendar'!$E$44:$AR$44)=0)))</f>
        <v/>
      </c>
      <c r="L10" s="52">
        <f>IF($B10="",0,IF((OV_SWITCH="ON")*(COUNTIFS(OVR_TICKERS,$C10,OVR_BASE,"&gt;=0")&gt;0)&gt;0,SUMIFS(OVR_BASE,OVR_TICKERS,$C10),$K10))</f>
        <v/>
      </c>
      <c r="M10" s="52">
        <f>IF($B10="",0,IF((OV_SWITCH="ON")*(COUNTIFS(OVR_TICKERS,$C10,OVR_LOW,"&gt;=0")&gt;0)&gt;0,SUMIFS(OVR_LOW,OVR_TICKERS,$C10),$L10))</f>
        <v/>
      </c>
      <c r="N10" s="52">
        <f>IF($B10="",0,IF((OV_SWITCH="ON")*(COUNTIFS(OVR_TICKERS,$C10,OVR_HIGH,"&gt;=0")&gt;0)&gt;0,SUMIFS(OVR_HIGH,OVR_TICKERS,$C10),$L10))</f>
        <v/>
      </c>
      <c r="O10" s="69">
        <f>IF($B10="","",IFERROR($B10*$G10*$J10/$B$3,""))</f>
        <v/>
      </c>
      <c r="P10" s="69">
        <f>IF($B10="","",IFERROR($B10*$G10*$L10/$B$3,""))</f>
        <v/>
      </c>
      <c r="Q10" s="44">
        <f>IF($B10="","",IFERROR($O10+$P10,""))</f>
        <v/>
      </c>
      <c r="R10" s="69">
        <f>IF($B10="","",IFERROR($O10+$B10*$G10*$M10/$B$3,""))</f>
        <v/>
      </c>
      <c r="S10" s="69">
        <f>IF($B10="","",IFERROR($O10+$B10*$G10*$N10/$B$3,""))</f>
        <v/>
      </c>
      <c r="T10" s="88">
        <f>IF($B10="","",IFERROR($Q10/$Q$5,""))</f>
        <v/>
      </c>
      <c r="U10" s="2">
        <f>IF($B10="","",IF(COUNTIFS('Dvd Calendar'!$E$50:$AR$50,"&gt;0",'Dvd Calendar'!$E$50:$AR$50,"&lt;="&amp;VAL_DATE,'Dvd Calendar'!$E$51:$AR$51,"&gt;"&amp;PROJ_FROM,'Dvd Calendar'!$E$51:$AR$51,"&lt;="&amp;DATE(YEAR_Y,12,31))-COUNTIFS('Dvd Calendar'!$E$50:$AR$50,"&gt;0",'Dvd Calendar'!$E$50:$AR$50,"&lt;="&amp;VAL_DATE,'Dvd Calendar'!$E$51:$AR$51,"&gt;"&amp;PROJ_FROM,'Dvd Calendar'!$E$51:$AR$51,"&lt;="&amp;DATE(YEAR_Y,12,31),'Dvd Calendar'!$E$52:$AR$52,"&gt;=0")&gt;0,"TBA amount - override me",IF((OV_SWITCH="ON")*(COUNTIFS(OVR_TICKERS,$C10,OVR_BASE,"&gt;=0")&gt;0)&gt;0,"overridden",IF($J10+$K10=0,"no dividend in year Y",""))))</f>
        <v/>
      </c>
      <c r="V10" s="69">
        <f>IF($B10="","",IFERROR(IF(ISNUMBER($H10),$B10*$G10*$H10/$B$3,0),""))</f>
        <v/>
      </c>
      <c r="W10" s="69">
        <f>IF($B10="","",IFERROR($B10*$G10*$K10/$B$3,""))</f>
        <v/>
      </c>
      <c r="X10" s="98">
        <f>IF($C10="","",BDP($C10,"PX_LAST"))</f>
        <v/>
      </c>
      <c r="Y10" s="69">
        <f>IF($B10="","",IFERROR($B10*$X10/$B$3,""))</f>
        <v/>
      </c>
      <c r="Z10" s="73">
        <f>IF($B10="","",IFERROR($Y10/$Y$5,""))</f>
        <v/>
      </c>
    </row>
    <row r="11">
      <c r="B11" s="97" t="n"/>
      <c r="C11" s="8">
        <f>IF($A11="","",$A11&amp;" Equity")</f>
        <v/>
      </c>
      <c r="D11" s="8">
        <f>IF($C11="","",BDP($C11,"NAME"))</f>
        <v/>
      </c>
      <c r="E11" s="8">
        <f>IF($C11="","",BDP($C11,"GICS_SECTOR_NAME"))</f>
        <v/>
      </c>
      <c r="F11" s="37">
        <f>IF($C11="","",BDP($C11,FLD_CCY))</f>
        <v/>
      </c>
      <c r="G11" s="12">
        <f>IFERROR(IF(LEN($F11)&lt;&gt;3,1,IF($F11="HKD",1,BDP(IF($F11="CNY",RMB_CROSS,$F11)&amp;"HKD Curncy","PX_LAST"))),1)</f>
        <v/>
      </c>
      <c r="H11" s="69">
        <f>IF($C11="","",BDP($C11,FLD_DPS12M))</f>
        <v/>
      </c>
      <c r="I11" s="50">
        <f>IF($C11="","",BDP($C11,FLD_YLD12M))</f>
        <v/>
      </c>
      <c r="J11" s="52">
        <f>IF($B11="",0,SUMPRODUCT(('Dvd Calendar'!$E$55:$AR$55&gt;=DATE(YEAR_Y,1,1))*('Dvd Calendar'!$E$55:$AR$55&lt;=REALIZED_TO)*'Dvd Calendar'!$E$58:$AR$58*(('Dvd Calendar'!$E$60:$AR$60=TYPE1)*(TYPE1&lt;&gt;"")+('Dvd Calendar'!$E$60:$AR$60=TYPE2)*(TYPE2&lt;&gt;"")+('Dvd Calendar'!$E$60:$AR$60=TYPE3)*(TYPE3&lt;&gt;"")+('Dvd Calendar'!$E$60:$AR$60=TYPE4)*(TYPE4&lt;&gt;"")+('Dvd Calendar'!$E$60:$AR$60=SPECIAL_LBL)*(INC_SPECIALS="Y"))))</f>
        <v/>
      </c>
      <c r="K11" s="52">
        <f>IF($B11="",0,SUMIFS('Dvd Calendar'!$E$63:$AR$63,'Dvd Calendar'!$E$62:$AR$62,"&gt;"&amp;PROJ_FROM,'Dvd Calendar'!$E$62:$AR$62,"&lt;="&amp;DATE(YEAR_Y,12,31))+SUMPRODUCT(('Dvd Calendar'!$E$55:$AR$55&gt;PROJ_FROM)*('Dvd Calendar'!$E$55:$AR$55&lt;=DATE(YEAR_Y,12,31))*'Dvd Calendar'!$E$58:$AR$58*(('Dvd Calendar'!$E$60:$AR$60=TYPE1)*(TYPE1&lt;&gt;"")+('Dvd Calendar'!$E$60:$AR$60=TYPE2)*(TYPE2&lt;&gt;"")+('Dvd Calendar'!$E$60:$AR$60=TYPE3)*(TYPE3&lt;&gt;"")+('Dvd Calendar'!$E$60:$AR$60=TYPE4)*(TYPE4&lt;&gt;"")+('Dvd Calendar'!$E$60:$AR$60=SPECIAL_LBL)*(INC_SPECIALS="Y"))*(COUNTIF('Dvd Calendar'!$E$62:$AR$62,'Dvd Calendar'!$E$55:$AR$55)=0)))</f>
        <v/>
      </c>
      <c r="L11" s="52">
        <f>IF($B11="",0,IF((OV_SWITCH="ON")*(COUNTIFS(OVR_TICKERS,$C11,OVR_BASE,"&gt;=0")&gt;0)&gt;0,SUMIFS(OVR_BASE,OVR_TICKERS,$C11),$K11))</f>
        <v/>
      </c>
      <c r="M11" s="52">
        <f>IF($B11="",0,IF((OV_SWITCH="ON")*(COUNTIFS(OVR_TICKERS,$C11,OVR_LOW,"&gt;=0")&gt;0)&gt;0,SUMIFS(OVR_LOW,OVR_TICKERS,$C11),$L11))</f>
        <v/>
      </c>
      <c r="N11" s="52">
        <f>IF($B11="",0,IF((OV_SWITCH="ON")*(COUNTIFS(OVR_TICKERS,$C11,OVR_HIGH,"&gt;=0")&gt;0)&gt;0,SUMIFS(OVR_HIGH,OVR_TICKERS,$C11),$L11))</f>
        <v/>
      </c>
      <c r="O11" s="69">
        <f>IF($B11="","",IFERROR($B11*$G11*$J11/$B$3,""))</f>
        <v/>
      </c>
      <c r="P11" s="69">
        <f>IF($B11="","",IFERROR($B11*$G11*$L11/$B$3,""))</f>
        <v/>
      </c>
      <c r="Q11" s="44">
        <f>IF($B11="","",IFERROR($O11+$P11,""))</f>
        <v/>
      </c>
      <c r="R11" s="69">
        <f>IF($B11="","",IFERROR($O11+$B11*$G11*$M11/$B$3,""))</f>
        <v/>
      </c>
      <c r="S11" s="69">
        <f>IF($B11="","",IFERROR($O11+$B11*$G11*$N11/$B$3,""))</f>
        <v/>
      </c>
      <c r="T11" s="88">
        <f>IF($B11="","",IFERROR($Q11/$Q$5,""))</f>
        <v/>
      </c>
      <c r="U11" s="2">
        <f>IF($B11="","",IF(COUNTIFS('Dvd Calendar'!$E$61:$AR$61,"&gt;0",'Dvd Calendar'!$E$61:$AR$61,"&lt;="&amp;VAL_DATE,'Dvd Calendar'!$E$62:$AR$62,"&gt;"&amp;PROJ_FROM,'Dvd Calendar'!$E$62:$AR$62,"&lt;="&amp;DATE(YEAR_Y,12,31))-COUNTIFS('Dvd Calendar'!$E$61:$AR$61,"&gt;0",'Dvd Calendar'!$E$61:$AR$61,"&lt;="&amp;VAL_DATE,'Dvd Calendar'!$E$62:$AR$62,"&gt;"&amp;PROJ_FROM,'Dvd Calendar'!$E$62:$AR$62,"&lt;="&amp;DATE(YEAR_Y,12,31),'Dvd Calendar'!$E$63:$AR$63,"&gt;=0")&gt;0,"TBA amount - override me",IF((OV_SWITCH="ON")*(COUNTIFS(OVR_TICKERS,$C11,OVR_BASE,"&gt;=0")&gt;0)&gt;0,"overridden",IF($J11+$K11=0,"no dividend in year Y",""))))</f>
        <v/>
      </c>
      <c r="V11" s="69">
        <f>IF($B11="","",IFERROR(IF(ISNUMBER($H11),$B11*$G11*$H11/$B$3,0),""))</f>
        <v/>
      </c>
      <c r="W11" s="69">
        <f>IF($B11="","",IFERROR($B11*$G11*$K11/$B$3,""))</f>
        <v/>
      </c>
      <c r="X11" s="98">
        <f>IF($C11="","",BDP($C11,"PX_LAST"))</f>
        <v/>
      </c>
      <c r="Y11" s="69">
        <f>IF($B11="","",IFERROR($B11*$X11/$B$3,""))</f>
        <v/>
      </c>
      <c r="Z11" s="73">
        <f>IF($B11="","",IFERROR($Y11/$Y$5,""))</f>
        <v/>
      </c>
    </row>
    <row r="12">
      <c r="B12" s="97" t="n"/>
      <c r="C12" s="8">
        <f>IF($A12="","",$A12&amp;" Equity")</f>
        <v/>
      </c>
      <c r="D12" s="8">
        <f>IF($C12="","",BDP($C12,"NAME"))</f>
        <v/>
      </c>
      <c r="E12" s="8">
        <f>IF($C12="","",BDP($C12,"GICS_SECTOR_NAME"))</f>
        <v/>
      </c>
      <c r="F12" s="37">
        <f>IF($C12="","",BDP($C12,FLD_CCY))</f>
        <v/>
      </c>
      <c r="G12" s="12">
        <f>IFERROR(IF(LEN($F12)&lt;&gt;3,1,IF($F12="HKD",1,BDP(IF($F12="CNY",RMB_CROSS,$F12)&amp;"HKD Curncy","PX_LAST"))),1)</f>
        <v/>
      </c>
      <c r="H12" s="69">
        <f>IF($C12="","",BDP($C12,FLD_DPS12M))</f>
        <v/>
      </c>
      <c r="I12" s="50">
        <f>IF($C12="","",BDP($C12,FLD_YLD12M))</f>
        <v/>
      </c>
      <c r="J12" s="52">
        <f>IF($B12="",0,SUMPRODUCT(('Dvd Calendar'!$E$66:$AR$66&gt;=DATE(YEAR_Y,1,1))*('Dvd Calendar'!$E$66:$AR$66&lt;=REALIZED_TO)*'Dvd Calendar'!$E$69:$AR$69*(('Dvd Calendar'!$E$71:$AR$71=TYPE1)*(TYPE1&lt;&gt;"")+('Dvd Calendar'!$E$71:$AR$71=TYPE2)*(TYPE2&lt;&gt;"")+('Dvd Calendar'!$E$71:$AR$71=TYPE3)*(TYPE3&lt;&gt;"")+('Dvd Calendar'!$E$71:$AR$71=TYPE4)*(TYPE4&lt;&gt;"")+('Dvd Calendar'!$E$71:$AR$71=SPECIAL_LBL)*(INC_SPECIALS="Y"))))</f>
        <v/>
      </c>
      <c r="K12" s="52">
        <f>IF($B12="",0,SUMIFS('Dvd Calendar'!$E$74:$AR$74,'Dvd Calendar'!$E$73:$AR$73,"&gt;"&amp;PROJ_FROM,'Dvd Calendar'!$E$73:$AR$73,"&lt;="&amp;DATE(YEAR_Y,12,31))+SUMPRODUCT(('Dvd Calendar'!$E$66:$AR$66&gt;PROJ_FROM)*('Dvd Calendar'!$E$66:$AR$66&lt;=DATE(YEAR_Y,12,31))*'Dvd Calendar'!$E$69:$AR$69*(('Dvd Calendar'!$E$71:$AR$71=TYPE1)*(TYPE1&lt;&gt;"")+('Dvd Calendar'!$E$71:$AR$71=TYPE2)*(TYPE2&lt;&gt;"")+('Dvd Calendar'!$E$71:$AR$71=TYPE3)*(TYPE3&lt;&gt;"")+('Dvd Calendar'!$E$71:$AR$71=TYPE4)*(TYPE4&lt;&gt;"")+('Dvd Calendar'!$E$71:$AR$71=SPECIAL_LBL)*(INC_SPECIALS="Y"))*(COUNTIF('Dvd Calendar'!$E$73:$AR$73,'Dvd Calendar'!$E$66:$AR$66)=0)))</f>
        <v/>
      </c>
      <c r="L12" s="52">
        <f>IF($B12="",0,IF((OV_SWITCH="ON")*(COUNTIFS(OVR_TICKERS,$C12,OVR_BASE,"&gt;=0")&gt;0)&gt;0,SUMIFS(OVR_BASE,OVR_TICKERS,$C12),$K12))</f>
        <v/>
      </c>
      <c r="M12" s="52">
        <f>IF($B12="",0,IF((OV_SWITCH="ON")*(COUNTIFS(OVR_TICKERS,$C12,OVR_LOW,"&gt;=0")&gt;0)&gt;0,SUMIFS(OVR_LOW,OVR_TICKERS,$C12),$L12))</f>
        <v/>
      </c>
      <c r="N12" s="52">
        <f>IF($B12="",0,IF((OV_SWITCH="ON")*(COUNTIFS(OVR_TICKERS,$C12,OVR_HIGH,"&gt;=0")&gt;0)&gt;0,SUMIFS(OVR_HIGH,OVR_TICKERS,$C12),$L12))</f>
        <v/>
      </c>
      <c r="O12" s="69">
        <f>IF($B12="","",IFERROR($B12*$G12*$J12/$B$3,""))</f>
        <v/>
      </c>
      <c r="P12" s="69">
        <f>IF($B12="","",IFERROR($B12*$G12*$L12/$B$3,""))</f>
        <v/>
      </c>
      <c r="Q12" s="44">
        <f>IF($B12="","",IFERROR($O12+$P12,""))</f>
        <v/>
      </c>
      <c r="R12" s="69">
        <f>IF($B12="","",IFERROR($O12+$B12*$G12*$M12/$B$3,""))</f>
        <v/>
      </c>
      <c r="S12" s="69">
        <f>IF($B12="","",IFERROR($O12+$B12*$G12*$N12/$B$3,""))</f>
        <v/>
      </c>
      <c r="T12" s="88">
        <f>IF($B12="","",IFERROR($Q12/$Q$5,""))</f>
        <v/>
      </c>
      <c r="U12" s="2">
        <f>IF($B12="","",IF(COUNTIFS('Dvd Calendar'!$E$72:$AR$72,"&gt;0",'Dvd Calendar'!$E$72:$AR$72,"&lt;="&amp;VAL_DATE,'Dvd Calendar'!$E$73:$AR$73,"&gt;"&amp;PROJ_FROM,'Dvd Calendar'!$E$73:$AR$73,"&lt;="&amp;DATE(YEAR_Y,12,31))-COUNTIFS('Dvd Calendar'!$E$72:$AR$72,"&gt;0",'Dvd Calendar'!$E$72:$AR$72,"&lt;="&amp;VAL_DATE,'Dvd Calendar'!$E$73:$AR$73,"&gt;"&amp;PROJ_FROM,'Dvd Calendar'!$E$73:$AR$73,"&lt;="&amp;DATE(YEAR_Y,12,31),'Dvd Calendar'!$E$74:$AR$74,"&gt;=0")&gt;0,"TBA amount - override me",IF((OV_SWITCH="ON")*(COUNTIFS(OVR_TICKERS,$C12,OVR_BASE,"&gt;=0")&gt;0)&gt;0,"overridden",IF($J12+$K12=0,"no dividend in year Y",""))))</f>
        <v/>
      </c>
      <c r="V12" s="69">
        <f>IF($B12="","",IFERROR(IF(ISNUMBER($H12),$B12*$G12*$H12/$B$3,0),""))</f>
        <v/>
      </c>
      <c r="W12" s="69">
        <f>IF($B12="","",IFERROR($B12*$G12*$K12/$B$3,""))</f>
        <v/>
      </c>
      <c r="X12" s="98">
        <f>IF($C12="","",BDP($C12,"PX_LAST"))</f>
        <v/>
      </c>
      <c r="Y12" s="69">
        <f>IF($B12="","",IFERROR($B12*$X12/$B$3,""))</f>
        <v/>
      </c>
      <c r="Z12" s="73">
        <f>IF($B12="","",IFERROR($Y12/$Y$5,""))</f>
        <v/>
      </c>
    </row>
    <row r="13">
      <c r="B13" s="97" t="n"/>
      <c r="C13" s="8">
        <f>IF($A13="","",$A13&amp;" Equity")</f>
        <v/>
      </c>
      <c r="D13" s="8">
        <f>IF($C13="","",BDP($C13,"NAME"))</f>
        <v/>
      </c>
      <c r="E13" s="8">
        <f>IF($C13="","",BDP($C13,"GICS_SECTOR_NAME"))</f>
        <v/>
      </c>
      <c r="F13" s="37">
        <f>IF($C13="","",BDP($C13,FLD_CCY))</f>
        <v/>
      </c>
      <c r="G13" s="12">
        <f>IFERROR(IF(LEN($F13)&lt;&gt;3,1,IF($F13="HKD",1,BDP(IF($F13="CNY",RMB_CROSS,$F13)&amp;"HKD Curncy","PX_LAST"))),1)</f>
        <v/>
      </c>
      <c r="H13" s="69">
        <f>IF($C13="","",BDP($C13,FLD_DPS12M))</f>
        <v/>
      </c>
      <c r="I13" s="50">
        <f>IF($C13="","",BDP($C13,FLD_YLD12M))</f>
        <v/>
      </c>
      <c r="J13" s="52">
        <f>IF($B13="",0,SUMPRODUCT(('Dvd Calendar'!$E$77:$AR$77&gt;=DATE(YEAR_Y,1,1))*('Dvd Calendar'!$E$77:$AR$77&lt;=REALIZED_TO)*'Dvd Calendar'!$E$80:$AR$80*(('Dvd Calendar'!$E$82:$AR$82=TYPE1)*(TYPE1&lt;&gt;"")+('Dvd Calendar'!$E$82:$AR$82=TYPE2)*(TYPE2&lt;&gt;"")+('Dvd Calendar'!$E$82:$AR$82=TYPE3)*(TYPE3&lt;&gt;"")+('Dvd Calendar'!$E$82:$AR$82=TYPE4)*(TYPE4&lt;&gt;"")+('Dvd Calendar'!$E$82:$AR$82=SPECIAL_LBL)*(INC_SPECIALS="Y"))))</f>
        <v/>
      </c>
      <c r="K13" s="52">
        <f>IF($B13="",0,SUMIFS('Dvd Calendar'!$E$85:$AR$85,'Dvd Calendar'!$E$84:$AR$84,"&gt;"&amp;PROJ_FROM,'Dvd Calendar'!$E$84:$AR$84,"&lt;="&amp;DATE(YEAR_Y,12,31))+SUMPRODUCT(('Dvd Calendar'!$E$77:$AR$77&gt;PROJ_FROM)*('Dvd Calendar'!$E$77:$AR$77&lt;=DATE(YEAR_Y,12,31))*'Dvd Calendar'!$E$80:$AR$80*(('Dvd Calendar'!$E$82:$AR$82=TYPE1)*(TYPE1&lt;&gt;"")+('Dvd Calendar'!$E$82:$AR$82=TYPE2)*(TYPE2&lt;&gt;"")+('Dvd Calendar'!$E$82:$AR$82=TYPE3)*(TYPE3&lt;&gt;"")+('Dvd Calendar'!$E$82:$AR$82=TYPE4)*(TYPE4&lt;&gt;"")+('Dvd Calendar'!$E$82:$AR$82=SPECIAL_LBL)*(INC_SPECIALS="Y"))*(COUNTIF('Dvd Calendar'!$E$84:$AR$84,'Dvd Calendar'!$E$77:$AR$77)=0)))</f>
        <v/>
      </c>
      <c r="L13" s="52">
        <f>IF($B13="",0,IF((OV_SWITCH="ON")*(COUNTIFS(OVR_TICKERS,$C13,OVR_BASE,"&gt;=0")&gt;0)&gt;0,SUMIFS(OVR_BASE,OVR_TICKERS,$C13),$K13))</f>
        <v/>
      </c>
      <c r="M13" s="52">
        <f>IF($B13="",0,IF((OV_SWITCH="ON")*(COUNTIFS(OVR_TICKERS,$C13,OVR_LOW,"&gt;=0")&gt;0)&gt;0,SUMIFS(OVR_LOW,OVR_TICKERS,$C13),$L13))</f>
        <v/>
      </c>
      <c r="N13" s="52">
        <f>IF($B13="",0,IF((OV_SWITCH="ON")*(COUNTIFS(OVR_TICKERS,$C13,OVR_HIGH,"&gt;=0")&gt;0)&gt;0,SUMIFS(OVR_HIGH,OVR_TICKERS,$C13),$L13))</f>
        <v/>
      </c>
      <c r="O13" s="69">
        <f>IF($B13="","",IFERROR($B13*$G13*$J13/$B$3,""))</f>
        <v/>
      </c>
      <c r="P13" s="69">
        <f>IF($B13="","",IFERROR($B13*$G13*$L13/$B$3,""))</f>
        <v/>
      </c>
      <c r="Q13" s="44">
        <f>IF($B13="","",IFERROR($O13+$P13,""))</f>
        <v/>
      </c>
      <c r="R13" s="69">
        <f>IF($B13="","",IFERROR($O13+$B13*$G13*$M13/$B$3,""))</f>
        <v/>
      </c>
      <c r="S13" s="69">
        <f>IF($B13="","",IFERROR($O13+$B13*$G13*$N13/$B$3,""))</f>
        <v/>
      </c>
      <c r="T13" s="88">
        <f>IF($B13="","",IFERROR($Q13/$Q$5,""))</f>
        <v/>
      </c>
      <c r="U13" s="2">
        <f>IF($B13="","",IF(COUNTIFS('Dvd Calendar'!$E$83:$AR$83,"&gt;0",'Dvd Calendar'!$E$83:$AR$83,"&lt;="&amp;VAL_DATE,'Dvd Calendar'!$E$84:$AR$84,"&gt;"&amp;PROJ_FROM,'Dvd Calendar'!$E$84:$AR$84,"&lt;="&amp;DATE(YEAR_Y,12,31))-COUNTIFS('Dvd Calendar'!$E$83:$AR$83,"&gt;0",'Dvd Calendar'!$E$83:$AR$83,"&lt;="&amp;VAL_DATE,'Dvd Calendar'!$E$84:$AR$84,"&gt;"&amp;PROJ_FROM,'Dvd Calendar'!$E$84:$AR$84,"&lt;="&amp;DATE(YEAR_Y,12,31),'Dvd Calendar'!$E$85:$AR$85,"&gt;=0")&gt;0,"TBA amount - override me",IF((OV_SWITCH="ON")*(COUNTIFS(OVR_TICKERS,$C13,OVR_BASE,"&gt;=0")&gt;0)&gt;0,"overridden",IF($J13+$K13=0,"no dividend in year Y",""))))</f>
        <v/>
      </c>
      <c r="V13" s="69">
        <f>IF($B13="","",IFERROR(IF(ISNUMBER($H13),$B13*$G13*$H13/$B$3,0),""))</f>
        <v/>
      </c>
      <c r="W13" s="69">
        <f>IF($B13="","",IFERROR($B13*$G13*$K13/$B$3,""))</f>
        <v/>
      </c>
      <c r="X13" s="98">
        <f>IF($C13="","",BDP($C13,"PX_LAST"))</f>
        <v/>
      </c>
      <c r="Y13" s="69">
        <f>IF($B13="","",IFERROR($B13*$X13/$B$3,""))</f>
        <v/>
      </c>
      <c r="Z13" s="73">
        <f>IF($B13="","",IFERROR($Y13/$Y$5,""))</f>
        <v/>
      </c>
    </row>
    <row r="14">
      <c r="B14" s="97" t="n"/>
      <c r="C14" s="8">
        <f>IF($A14="","",$A14&amp;" Equity")</f>
        <v/>
      </c>
      <c r="D14" s="8">
        <f>IF($C14="","",BDP($C14,"NAME"))</f>
        <v/>
      </c>
      <c r="E14" s="8">
        <f>IF($C14="","",BDP($C14,"GICS_SECTOR_NAME"))</f>
        <v/>
      </c>
      <c r="F14" s="37">
        <f>IF($C14="","",BDP($C14,FLD_CCY))</f>
        <v/>
      </c>
      <c r="G14" s="12">
        <f>IFERROR(IF(LEN($F14)&lt;&gt;3,1,IF($F14="HKD",1,BDP(IF($F14="CNY",RMB_CROSS,$F14)&amp;"HKD Curncy","PX_LAST"))),1)</f>
        <v/>
      </c>
      <c r="H14" s="69">
        <f>IF($C14="","",BDP($C14,FLD_DPS12M))</f>
        <v/>
      </c>
      <c r="I14" s="50">
        <f>IF($C14="","",BDP($C14,FLD_YLD12M))</f>
        <v/>
      </c>
      <c r="J14" s="52">
        <f>IF($B14="",0,SUMPRODUCT(('Dvd Calendar'!$E$88:$AR$88&gt;=DATE(YEAR_Y,1,1))*('Dvd Calendar'!$E$88:$AR$88&lt;=REALIZED_TO)*'Dvd Calendar'!$E$91:$AR$91*(('Dvd Calendar'!$E$93:$AR$93=TYPE1)*(TYPE1&lt;&gt;"")+('Dvd Calendar'!$E$93:$AR$93=TYPE2)*(TYPE2&lt;&gt;"")+('Dvd Calendar'!$E$93:$AR$93=TYPE3)*(TYPE3&lt;&gt;"")+('Dvd Calendar'!$E$93:$AR$93=TYPE4)*(TYPE4&lt;&gt;"")+('Dvd Calendar'!$E$93:$AR$93=SPECIAL_LBL)*(INC_SPECIALS="Y"))))</f>
        <v/>
      </c>
      <c r="K14" s="52">
        <f>IF($B14="",0,SUMIFS('Dvd Calendar'!$E$96:$AR$96,'Dvd Calendar'!$E$95:$AR$95,"&gt;"&amp;PROJ_FROM,'Dvd Calendar'!$E$95:$AR$95,"&lt;="&amp;DATE(YEAR_Y,12,31))+SUMPRODUCT(('Dvd Calendar'!$E$88:$AR$88&gt;PROJ_FROM)*('Dvd Calendar'!$E$88:$AR$88&lt;=DATE(YEAR_Y,12,31))*'Dvd Calendar'!$E$91:$AR$91*(('Dvd Calendar'!$E$93:$AR$93=TYPE1)*(TYPE1&lt;&gt;"")+('Dvd Calendar'!$E$93:$AR$93=TYPE2)*(TYPE2&lt;&gt;"")+('Dvd Calendar'!$E$93:$AR$93=TYPE3)*(TYPE3&lt;&gt;"")+('Dvd Calendar'!$E$93:$AR$93=TYPE4)*(TYPE4&lt;&gt;"")+('Dvd Calendar'!$E$93:$AR$93=SPECIAL_LBL)*(INC_SPECIALS="Y"))*(COUNTIF('Dvd Calendar'!$E$95:$AR$95,'Dvd Calendar'!$E$88:$AR$88)=0)))</f>
        <v/>
      </c>
      <c r="L14" s="52">
        <f>IF($B14="",0,IF((OV_SWITCH="ON")*(COUNTIFS(OVR_TICKERS,$C14,OVR_BASE,"&gt;=0")&gt;0)&gt;0,SUMIFS(OVR_BASE,OVR_TICKERS,$C14),$K14))</f>
        <v/>
      </c>
      <c r="M14" s="52">
        <f>IF($B14="",0,IF((OV_SWITCH="ON")*(COUNTIFS(OVR_TICKERS,$C14,OVR_LOW,"&gt;=0")&gt;0)&gt;0,SUMIFS(OVR_LOW,OVR_TICKERS,$C14),$L14))</f>
        <v/>
      </c>
      <c r="N14" s="52">
        <f>IF($B14="",0,IF((OV_SWITCH="ON")*(COUNTIFS(OVR_TICKERS,$C14,OVR_HIGH,"&gt;=0")&gt;0)&gt;0,SUMIFS(OVR_HIGH,OVR_TICKERS,$C14),$L14))</f>
        <v/>
      </c>
      <c r="O14" s="69">
        <f>IF($B14="","",IFERROR($B14*$G14*$J14/$B$3,""))</f>
        <v/>
      </c>
      <c r="P14" s="69">
        <f>IF($B14="","",IFERROR($B14*$G14*$L14/$B$3,""))</f>
        <v/>
      </c>
      <c r="Q14" s="44">
        <f>IF($B14="","",IFERROR($O14+$P14,""))</f>
        <v/>
      </c>
      <c r="R14" s="69">
        <f>IF($B14="","",IFERROR($O14+$B14*$G14*$M14/$B$3,""))</f>
        <v/>
      </c>
      <c r="S14" s="69">
        <f>IF($B14="","",IFERROR($O14+$B14*$G14*$N14/$B$3,""))</f>
        <v/>
      </c>
      <c r="T14" s="88">
        <f>IF($B14="","",IFERROR($Q14/$Q$5,""))</f>
        <v/>
      </c>
      <c r="U14" s="2">
        <f>IF($B14="","",IF(COUNTIFS('Dvd Calendar'!$E$94:$AR$94,"&gt;0",'Dvd Calendar'!$E$94:$AR$94,"&lt;="&amp;VAL_DATE,'Dvd Calendar'!$E$95:$AR$95,"&gt;"&amp;PROJ_FROM,'Dvd Calendar'!$E$95:$AR$95,"&lt;="&amp;DATE(YEAR_Y,12,31))-COUNTIFS('Dvd Calendar'!$E$94:$AR$94,"&gt;0",'Dvd Calendar'!$E$94:$AR$94,"&lt;="&amp;VAL_DATE,'Dvd Calendar'!$E$95:$AR$95,"&gt;"&amp;PROJ_FROM,'Dvd Calendar'!$E$95:$AR$95,"&lt;="&amp;DATE(YEAR_Y,12,31),'Dvd Calendar'!$E$96:$AR$96,"&gt;=0")&gt;0,"TBA amount - override me",IF((OV_SWITCH="ON")*(COUNTIFS(OVR_TICKERS,$C14,OVR_BASE,"&gt;=0")&gt;0)&gt;0,"overridden",IF($J14+$K14=0,"no dividend in year Y",""))))</f>
        <v/>
      </c>
      <c r="V14" s="69">
        <f>IF($B14="","",IFERROR(IF(ISNUMBER($H14),$B14*$G14*$H14/$B$3,0),""))</f>
        <v/>
      </c>
      <c r="W14" s="69">
        <f>IF($B14="","",IFERROR($B14*$G14*$K14/$B$3,""))</f>
        <v/>
      </c>
      <c r="X14" s="98">
        <f>IF($C14="","",BDP($C14,"PX_LAST"))</f>
        <v/>
      </c>
      <c r="Y14" s="69">
        <f>IF($B14="","",IFERROR($B14*$X14/$B$3,""))</f>
        <v/>
      </c>
      <c r="Z14" s="73">
        <f>IF($B14="","",IFERROR($Y14/$Y$5,""))</f>
        <v/>
      </c>
    </row>
    <row r="15">
      <c r="B15" s="97" t="n"/>
      <c r="C15" s="8">
        <f>IF($A15="","",$A15&amp;" Equity")</f>
        <v/>
      </c>
      <c r="D15" s="8">
        <f>IF($C15="","",BDP($C15,"NAME"))</f>
        <v/>
      </c>
      <c r="E15" s="8">
        <f>IF($C15="","",BDP($C15,"GICS_SECTOR_NAME"))</f>
        <v/>
      </c>
      <c r="F15" s="37">
        <f>IF($C15="","",BDP($C15,FLD_CCY))</f>
        <v/>
      </c>
      <c r="G15" s="12">
        <f>IFERROR(IF(LEN($F15)&lt;&gt;3,1,IF($F15="HKD",1,BDP(IF($F15="CNY",RMB_CROSS,$F15)&amp;"HKD Curncy","PX_LAST"))),1)</f>
        <v/>
      </c>
      <c r="H15" s="69">
        <f>IF($C15="","",BDP($C15,FLD_DPS12M))</f>
        <v/>
      </c>
      <c r="I15" s="50">
        <f>IF($C15="","",BDP($C15,FLD_YLD12M))</f>
        <v/>
      </c>
      <c r="J15" s="52">
        <f>IF($B15="",0,SUMPRODUCT(('Dvd Calendar'!$E$99:$AR$99&gt;=DATE(YEAR_Y,1,1))*('Dvd Calendar'!$E$99:$AR$99&lt;=REALIZED_TO)*'Dvd Calendar'!$E$102:$AR$102*(('Dvd Calendar'!$E$104:$AR$104=TYPE1)*(TYPE1&lt;&gt;"")+('Dvd Calendar'!$E$104:$AR$104=TYPE2)*(TYPE2&lt;&gt;"")+('Dvd Calendar'!$E$104:$AR$104=TYPE3)*(TYPE3&lt;&gt;"")+('Dvd Calendar'!$E$104:$AR$104=TYPE4)*(TYPE4&lt;&gt;"")+('Dvd Calendar'!$E$104:$AR$104=SPECIAL_LBL)*(INC_SPECIALS="Y"))))</f>
        <v/>
      </c>
      <c r="K15" s="52">
        <f>IF($B15="",0,SUMIFS('Dvd Calendar'!$E$107:$AR$107,'Dvd Calendar'!$E$106:$AR$106,"&gt;"&amp;PROJ_FROM,'Dvd Calendar'!$E$106:$AR$106,"&lt;="&amp;DATE(YEAR_Y,12,31))+SUMPRODUCT(('Dvd Calendar'!$E$99:$AR$99&gt;PROJ_FROM)*('Dvd Calendar'!$E$99:$AR$99&lt;=DATE(YEAR_Y,12,31))*'Dvd Calendar'!$E$102:$AR$102*(('Dvd Calendar'!$E$104:$AR$104=TYPE1)*(TYPE1&lt;&gt;"")+('Dvd Calendar'!$E$104:$AR$104=TYPE2)*(TYPE2&lt;&gt;"")+('Dvd Calendar'!$E$104:$AR$104=TYPE3)*(TYPE3&lt;&gt;"")+('Dvd Calendar'!$E$104:$AR$104=TYPE4)*(TYPE4&lt;&gt;"")+('Dvd Calendar'!$E$104:$AR$104=SPECIAL_LBL)*(INC_SPECIALS="Y"))*(COUNTIF('Dvd Calendar'!$E$106:$AR$106,'Dvd Calendar'!$E$99:$AR$99)=0)))</f>
        <v/>
      </c>
      <c r="L15" s="52">
        <f>IF($B15="",0,IF((OV_SWITCH="ON")*(COUNTIFS(OVR_TICKERS,$C15,OVR_BASE,"&gt;=0")&gt;0)&gt;0,SUMIFS(OVR_BASE,OVR_TICKERS,$C15),$K15))</f>
        <v/>
      </c>
      <c r="M15" s="52">
        <f>IF($B15="",0,IF((OV_SWITCH="ON")*(COUNTIFS(OVR_TICKERS,$C15,OVR_LOW,"&gt;=0")&gt;0)&gt;0,SUMIFS(OVR_LOW,OVR_TICKERS,$C15),$L15))</f>
        <v/>
      </c>
      <c r="N15" s="52">
        <f>IF($B15="",0,IF((OV_SWITCH="ON")*(COUNTIFS(OVR_TICKERS,$C15,OVR_HIGH,"&gt;=0")&gt;0)&gt;0,SUMIFS(OVR_HIGH,OVR_TICKERS,$C15),$L15))</f>
        <v/>
      </c>
      <c r="O15" s="69">
        <f>IF($B15="","",IFERROR($B15*$G15*$J15/$B$3,""))</f>
        <v/>
      </c>
      <c r="P15" s="69">
        <f>IF($B15="","",IFERROR($B15*$G15*$L15/$B$3,""))</f>
        <v/>
      </c>
      <c r="Q15" s="44">
        <f>IF($B15="","",IFERROR($O15+$P15,""))</f>
        <v/>
      </c>
      <c r="R15" s="69">
        <f>IF($B15="","",IFERROR($O15+$B15*$G15*$M15/$B$3,""))</f>
        <v/>
      </c>
      <c r="S15" s="69">
        <f>IF($B15="","",IFERROR($O15+$B15*$G15*$N15/$B$3,""))</f>
        <v/>
      </c>
      <c r="T15" s="88">
        <f>IF($B15="","",IFERROR($Q15/$Q$5,""))</f>
        <v/>
      </c>
      <c r="U15" s="2">
        <f>IF($B15="","",IF(COUNTIFS('Dvd Calendar'!$E$105:$AR$105,"&gt;0",'Dvd Calendar'!$E$105:$AR$105,"&lt;="&amp;VAL_DATE,'Dvd Calendar'!$E$106:$AR$106,"&gt;"&amp;PROJ_FROM,'Dvd Calendar'!$E$106:$AR$106,"&lt;="&amp;DATE(YEAR_Y,12,31))-COUNTIFS('Dvd Calendar'!$E$105:$AR$105,"&gt;0",'Dvd Calendar'!$E$105:$AR$105,"&lt;="&amp;VAL_DATE,'Dvd Calendar'!$E$106:$AR$106,"&gt;"&amp;PROJ_FROM,'Dvd Calendar'!$E$106:$AR$106,"&lt;="&amp;DATE(YEAR_Y,12,31),'Dvd Calendar'!$E$107:$AR$107,"&gt;=0")&gt;0,"TBA amount - override me",IF((OV_SWITCH="ON")*(COUNTIFS(OVR_TICKERS,$C15,OVR_BASE,"&gt;=0")&gt;0)&gt;0,"overridden",IF($J15+$K15=0,"no dividend in year Y",""))))</f>
        <v/>
      </c>
      <c r="V15" s="69">
        <f>IF($B15="","",IFERROR(IF(ISNUMBER($H15),$B15*$G15*$H15/$B$3,0),""))</f>
        <v/>
      </c>
      <c r="W15" s="69">
        <f>IF($B15="","",IFERROR($B15*$G15*$K15/$B$3,""))</f>
        <v/>
      </c>
      <c r="X15" s="98">
        <f>IF($C15="","",BDP($C15,"PX_LAST"))</f>
        <v/>
      </c>
      <c r="Y15" s="69">
        <f>IF($B15="","",IFERROR($B15*$X15/$B$3,""))</f>
        <v/>
      </c>
      <c r="Z15" s="73">
        <f>IF($B15="","",IFERROR($Y15/$Y$5,""))</f>
        <v/>
      </c>
    </row>
    <row r="16">
      <c r="B16" s="97" t="n"/>
      <c r="C16" s="8">
        <f>IF($A16="","",$A16&amp;" Equity")</f>
        <v/>
      </c>
      <c r="D16" s="8">
        <f>IF($C16="","",BDP($C16,"NAME"))</f>
        <v/>
      </c>
      <c r="E16" s="8">
        <f>IF($C16="","",BDP($C16,"GICS_SECTOR_NAME"))</f>
        <v/>
      </c>
      <c r="F16" s="37">
        <f>IF($C16="","",BDP($C16,FLD_CCY))</f>
        <v/>
      </c>
      <c r="G16" s="12">
        <f>IFERROR(IF(LEN($F16)&lt;&gt;3,1,IF($F16="HKD",1,BDP(IF($F16="CNY",RMB_CROSS,$F16)&amp;"HKD Curncy","PX_LAST"))),1)</f>
        <v/>
      </c>
      <c r="H16" s="69">
        <f>IF($C16="","",BDP($C16,FLD_DPS12M))</f>
        <v/>
      </c>
      <c r="I16" s="50">
        <f>IF($C16="","",BDP($C16,FLD_YLD12M))</f>
        <v/>
      </c>
      <c r="J16" s="52">
        <f>IF($B16="",0,SUMPRODUCT(('Dvd Calendar'!$E$110:$AR$110&gt;=DATE(YEAR_Y,1,1))*('Dvd Calendar'!$E$110:$AR$110&lt;=REALIZED_TO)*'Dvd Calendar'!$E$113:$AR$113*(('Dvd Calendar'!$E$115:$AR$115=TYPE1)*(TYPE1&lt;&gt;"")+('Dvd Calendar'!$E$115:$AR$115=TYPE2)*(TYPE2&lt;&gt;"")+('Dvd Calendar'!$E$115:$AR$115=TYPE3)*(TYPE3&lt;&gt;"")+('Dvd Calendar'!$E$115:$AR$115=TYPE4)*(TYPE4&lt;&gt;"")+('Dvd Calendar'!$E$115:$AR$115=SPECIAL_LBL)*(INC_SPECIALS="Y"))))</f>
        <v/>
      </c>
      <c r="K16" s="52">
        <f>IF($B16="",0,SUMIFS('Dvd Calendar'!$E$118:$AR$118,'Dvd Calendar'!$E$117:$AR$117,"&gt;"&amp;PROJ_FROM,'Dvd Calendar'!$E$117:$AR$117,"&lt;="&amp;DATE(YEAR_Y,12,31))+SUMPRODUCT(('Dvd Calendar'!$E$110:$AR$110&gt;PROJ_FROM)*('Dvd Calendar'!$E$110:$AR$110&lt;=DATE(YEAR_Y,12,31))*'Dvd Calendar'!$E$113:$AR$113*(('Dvd Calendar'!$E$115:$AR$115=TYPE1)*(TYPE1&lt;&gt;"")+('Dvd Calendar'!$E$115:$AR$115=TYPE2)*(TYPE2&lt;&gt;"")+('Dvd Calendar'!$E$115:$AR$115=TYPE3)*(TYPE3&lt;&gt;"")+('Dvd Calendar'!$E$115:$AR$115=TYPE4)*(TYPE4&lt;&gt;"")+('Dvd Calendar'!$E$115:$AR$115=SPECIAL_LBL)*(INC_SPECIALS="Y"))*(COUNTIF('Dvd Calendar'!$E$117:$AR$117,'Dvd Calendar'!$E$110:$AR$110)=0)))</f>
        <v/>
      </c>
      <c r="L16" s="52">
        <f>IF($B16="",0,IF((OV_SWITCH="ON")*(COUNTIFS(OVR_TICKERS,$C16,OVR_BASE,"&gt;=0")&gt;0)&gt;0,SUMIFS(OVR_BASE,OVR_TICKERS,$C16),$K16))</f>
        <v/>
      </c>
      <c r="M16" s="52">
        <f>IF($B16="",0,IF((OV_SWITCH="ON")*(COUNTIFS(OVR_TICKERS,$C16,OVR_LOW,"&gt;=0")&gt;0)&gt;0,SUMIFS(OVR_LOW,OVR_TICKERS,$C16),$L16))</f>
        <v/>
      </c>
      <c r="N16" s="52">
        <f>IF($B16="",0,IF((OV_SWITCH="ON")*(COUNTIFS(OVR_TICKERS,$C16,OVR_HIGH,"&gt;=0")&gt;0)&gt;0,SUMIFS(OVR_HIGH,OVR_TICKERS,$C16),$L16))</f>
        <v/>
      </c>
      <c r="O16" s="69">
        <f>IF($B16="","",IFERROR($B16*$G16*$J16/$B$3,""))</f>
        <v/>
      </c>
      <c r="P16" s="69">
        <f>IF($B16="","",IFERROR($B16*$G16*$L16/$B$3,""))</f>
        <v/>
      </c>
      <c r="Q16" s="44">
        <f>IF($B16="","",IFERROR($O16+$P16,""))</f>
        <v/>
      </c>
      <c r="R16" s="69">
        <f>IF($B16="","",IFERROR($O16+$B16*$G16*$M16/$B$3,""))</f>
        <v/>
      </c>
      <c r="S16" s="69">
        <f>IF($B16="","",IFERROR($O16+$B16*$G16*$N16/$B$3,""))</f>
        <v/>
      </c>
      <c r="T16" s="88">
        <f>IF($B16="","",IFERROR($Q16/$Q$5,""))</f>
        <v/>
      </c>
      <c r="U16" s="2">
        <f>IF($B16="","",IF(COUNTIFS('Dvd Calendar'!$E$116:$AR$116,"&gt;0",'Dvd Calendar'!$E$116:$AR$116,"&lt;="&amp;VAL_DATE,'Dvd Calendar'!$E$117:$AR$117,"&gt;"&amp;PROJ_FROM,'Dvd Calendar'!$E$117:$AR$117,"&lt;="&amp;DATE(YEAR_Y,12,31))-COUNTIFS('Dvd Calendar'!$E$116:$AR$116,"&gt;0",'Dvd Calendar'!$E$116:$AR$116,"&lt;="&amp;VAL_DATE,'Dvd Calendar'!$E$117:$AR$117,"&gt;"&amp;PROJ_FROM,'Dvd Calendar'!$E$117:$AR$117,"&lt;="&amp;DATE(YEAR_Y,12,31),'Dvd Calendar'!$E$118:$AR$118,"&gt;=0")&gt;0,"TBA amount - override me",IF((OV_SWITCH="ON")*(COUNTIFS(OVR_TICKERS,$C16,OVR_BASE,"&gt;=0")&gt;0)&gt;0,"overridden",IF($J16+$K16=0,"no dividend in year Y",""))))</f>
        <v/>
      </c>
      <c r="V16" s="69">
        <f>IF($B16="","",IFERROR(IF(ISNUMBER($H16),$B16*$G16*$H16/$B$3,0),""))</f>
        <v/>
      </c>
      <c r="W16" s="69">
        <f>IF($B16="","",IFERROR($B16*$G16*$K16/$B$3,""))</f>
        <v/>
      </c>
      <c r="X16" s="98">
        <f>IF($C16="","",BDP($C16,"PX_LAST"))</f>
        <v/>
      </c>
      <c r="Y16" s="69">
        <f>IF($B16="","",IFERROR($B16*$X16/$B$3,""))</f>
        <v/>
      </c>
      <c r="Z16" s="73">
        <f>IF($B16="","",IFERROR($Y16/$Y$5,""))</f>
        <v/>
      </c>
    </row>
    <row r="17">
      <c r="B17" s="97" t="n"/>
      <c r="C17" s="8">
        <f>IF($A17="","",$A17&amp;" Equity")</f>
        <v/>
      </c>
      <c r="D17" s="8">
        <f>IF($C17="","",BDP($C17,"NAME"))</f>
        <v/>
      </c>
      <c r="E17" s="8">
        <f>IF($C17="","",BDP($C17,"GICS_SECTOR_NAME"))</f>
        <v/>
      </c>
      <c r="F17" s="37">
        <f>IF($C17="","",BDP($C17,FLD_CCY))</f>
        <v/>
      </c>
      <c r="G17" s="12">
        <f>IFERROR(IF(LEN($F17)&lt;&gt;3,1,IF($F17="HKD",1,BDP(IF($F17="CNY",RMB_CROSS,$F17)&amp;"HKD Curncy","PX_LAST"))),1)</f>
        <v/>
      </c>
      <c r="H17" s="69">
        <f>IF($C17="","",BDP($C17,FLD_DPS12M))</f>
        <v/>
      </c>
      <c r="I17" s="50">
        <f>IF($C17="","",BDP($C17,FLD_YLD12M))</f>
        <v/>
      </c>
      <c r="J17" s="52">
        <f>IF($B17="",0,SUMPRODUCT(('Dvd Calendar'!$E$121:$AR$121&gt;=DATE(YEAR_Y,1,1))*('Dvd Calendar'!$E$121:$AR$121&lt;=REALIZED_TO)*'Dvd Calendar'!$E$124:$AR$124*(('Dvd Calendar'!$E$126:$AR$126=TYPE1)*(TYPE1&lt;&gt;"")+('Dvd Calendar'!$E$126:$AR$126=TYPE2)*(TYPE2&lt;&gt;"")+('Dvd Calendar'!$E$126:$AR$126=TYPE3)*(TYPE3&lt;&gt;"")+('Dvd Calendar'!$E$126:$AR$126=TYPE4)*(TYPE4&lt;&gt;"")+('Dvd Calendar'!$E$126:$AR$126=SPECIAL_LBL)*(INC_SPECIALS="Y"))))</f>
        <v/>
      </c>
      <c r="K17" s="52">
        <f>IF($B17="",0,SUMIFS('Dvd Calendar'!$E$129:$AR$129,'Dvd Calendar'!$E$128:$AR$128,"&gt;"&amp;PROJ_FROM,'Dvd Calendar'!$E$128:$AR$128,"&lt;="&amp;DATE(YEAR_Y,12,31))+SUMPRODUCT(('Dvd Calendar'!$E$121:$AR$121&gt;PROJ_FROM)*('Dvd Calendar'!$E$121:$AR$121&lt;=DATE(YEAR_Y,12,31))*'Dvd Calendar'!$E$124:$AR$124*(('Dvd Calendar'!$E$126:$AR$126=TYPE1)*(TYPE1&lt;&gt;"")+('Dvd Calendar'!$E$126:$AR$126=TYPE2)*(TYPE2&lt;&gt;"")+('Dvd Calendar'!$E$126:$AR$126=TYPE3)*(TYPE3&lt;&gt;"")+('Dvd Calendar'!$E$126:$AR$126=TYPE4)*(TYPE4&lt;&gt;"")+('Dvd Calendar'!$E$126:$AR$126=SPECIAL_LBL)*(INC_SPECIALS="Y"))*(COUNTIF('Dvd Calendar'!$E$128:$AR$128,'Dvd Calendar'!$E$121:$AR$121)=0)))</f>
        <v/>
      </c>
      <c r="L17" s="52">
        <f>IF($B17="",0,IF((OV_SWITCH="ON")*(COUNTIFS(OVR_TICKERS,$C17,OVR_BASE,"&gt;=0")&gt;0)&gt;0,SUMIFS(OVR_BASE,OVR_TICKERS,$C17),$K17))</f>
        <v/>
      </c>
      <c r="M17" s="52">
        <f>IF($B17="",0,IF((OV_SWITCH="ON")*(COUNTIFS(OVR_TICKERS,$C17,OVR_LOW,"&gt;=0")&gt;0)&gt;0,SUMIFS(OVR_LOW,OVR_TICKERS,$C17),$L17))</f>
        <v/>
      </c>
      <c r="N17" s="52">
        <f>IF($B17="",0,IF((OV_SWITCH="ON")*(COUNTIFS(OVR_TICKERS,$C17,OVR_HIGH,"&gt;=0")&gt;0)&gt;0,SUMIFS(OVR_HIGH,OVR_TICKERS,$C17),$L17))</f>
        <v/>
      </c>
      <c r="O17" s="69">
        <f>IF($B17="","",IFERROR($B17*$G17*$J17/$B$3,""))</f>
        <v/>
      </c>
      <c r="P17" s="69">
        <f>IF($B17="","",IFERROR($B17*$G17*$L17/$B$3,""))</f>
        <v/>
      </c>
      <c r="Q17" s="44">
        <f>IF($B17="","",IFERROR($O17+$P17,""))</f>
        <v/>
      </c>
      <c r="R17" s="69">
        <f>IF($B17="","",IFERROR($O17+$B17*$G17*$M17/$B$3,""))</f>
        <v/>
      </c>
      <c r="S17" s="69">
        <f>IF($B17="","",IFERROR($O17+$B17*$G17*$N17/$B$3,""))</f>
        <v/>
      </c>
      <c r="T17" s="88">
        <f>IF($B17="","",IFERROR($Q17/$Q$5,""))</f>
        <v/>
      </c>
      <c r="U17" s="2">
        <f>IF($B17="","",IF(COUNTIFS('Dvd Calendar'!$E$127:$AR$127,"&gt;0",'Dvd Calendar'!$E$127:$AR$127,"&lt;="&amp;VAL_DATE,'Dvd Calendar'!$E$128:$AR$128,"&gt;"&amp;PROJ_FROM,'Dvd Calendar'!$E$128:$AR$128,"&lt;="&amp;DATE(YEAR_Y,12,31))-COUNTIFS('Dvd Calendar'!$E$127:$AR$127,"&gt;0",'Dvd Calendar'!$E$127:$AR$127,"&lt;="&amp;VAL_DATE,'Dvd Calendar'!$E$128:$AR$128,"&gt;"&amp;PROJ_FROM,'Dvd Calendar'!$E$128:$AR$128,"&lt;="&amp;DATE(YEAR_Y,12,31),'Dvd Calendar'!$E$129:$AR$129,"&gt;=0")&gt;0,"TBA amount - override me",IF((OV_SWITCH="ON")*(COUNTIFS(OVR_TICKERS,$C17,OVR_BASE,"&gt;=0")&gt;0)&gt;0,"overridden",IF($J17+$K17=0,"no dividend in year Y",""))))</f>
        <v/>
      </c>
      <c r="V17" s="69">
        <f>IF($B17="","",IFERROR(IF(ISNUMBER($H17),$B17*$G17*$H17/$B$3,0),""))</f>
        <v/>
      </c>
      <c r="W17" s="69">
        <f>IF($B17="","",IFERROR($B17*$G17*$K17/$B$3,""))</f>
        <v/>
      </c>
      <c r="X17" s="98">
        <f>IF($C17="","",BDP($C17,"PX_LAST"))</f>
        <v/>
      </c>
      <c r="Y17" s="69">
        <f>IF($B17="","",IFERROR($B17*$X17/$B$3,""))</f>
        <v/>
      </c>
      <c r="Z17" s="73">
        <f>IF($B17="","",IFERROR($Y17/$Y$5,""))</f>
        <v/>
      </c>
    </row>
    <row r="18">
      <c r="B18" s="97" t="n"/>
      <c r="C18" s="8">
        <f>IF($A18="","",$A18&amp;" Equity")</f>
        <v/>
      </c>
      <c r="D18" s="8">
        <f>IF($C18="","",BDP($C18,"NAME"))</f>
        <v/>
      </c>
      <c r="E18" s="8">
        <f>IF($C18="","",BDP($C18,"GICS_SECTOR_NAME"))</f>
        <v/>
      </c>
      <c r="F18" s="37">
        <f>IF($C18="","",BDP($C18,FLD_CCY))</f>
        <v/>
      </c>
      <c r="G18" s="12">
        <f>IFERROR(IF(LEN($F18)&lt;&gt;3,1,IF($F18="HKD",1,BDP(IF($F18="CNY",RMB_CROSS,$F18)&amp;"HKD Curncy","PX_LAST"))),1)</f>
        <v/>
      </c>
      <c r="H18" s="69">
        <f>IF($C18="","",BDP($C18,FLD_DPS12M))</f>
        <v/>
      </c>
      <c r="I18" s="50">
        <f>IF($C18="","",BDP($C18,FLD_YLD12M))</f>
        <v/>
      </c>
      <c r="J18" s="52">
        <f>IF($B18="",0,SUMPRODUCT(('Dvd Calendar'!$E$132:$AR$132&gt;=DATE(YEAR_Y,1,1))*('Dvd Calendar'!$E$132:$AR$132&lt;=REALIZED_TO)*'Dvd Calendar'!$E$135:$AR$135*(('Dvd Calendar'!$E$137:$AR$137=TYPE1)*(TYPE1&lt;&gt;"")+('Dvd Calendar'!$E$137:$AR$137=TYPE2)*(TYPE2&lt;&gt;"")+('Dvd Calendar'!$E$137:$AR$137=TYPE3)*(TYPE3&lt;&gt;"")+('Dvd Calendar'!$E$137:$AR$137=TYPE4)*(TYPE4&lt;&gt;"")+('Dvd Calendar'!$E$137:$AR$137=SPECIAL_LBL)*(INC_SPECIALS="Y"))))</f>
        <v/>
      </c>
      <c r="K18" s="52">
        <f>IF($B18="",0,SUMIFS('Dvd Calendar'!$E$140:$AR$140,'Dvd Calendar'!$E$139:$AR$139,"&gt;"&amp;PROJ_FROM,'Dvd Calendar'!$E$139:$AR$139,"&lt;="&amp;DATE(YEAR_Y,12,31))+SUMPRODUCT(('Dvd Calendar'!$E$132:$AR$132&gt;PROJ_FROM)*('Dvd Calendar'!$E$132:$AR$132&lt;=DATE(YEAR_Y,12,31))*'Dvd Calendar'!$E$135:$AR$135*(('Dvd Calendar'!$E$137:$AR$137=TYPE1)*(TYPE1&lt;&gt;"")+('Dvd Calendar'!$E$137:$AR$137=TYPE2)*(TYPE2&lt;&gt;"")+('Dvd Calendar'!$E$137:$AR$137=TYPE3)*(TYPE3&lt;&gt;"")+('Dvd Calendar'!$E$137:$AR$137=TYPE4)*(TYPE4&lt;&gt;"")+('Dvd Calendar'!$E$137:$AR$137=SPECIAL_LBL)*(INC_SPECIALS="Y"))*(COUNTIF('Dvd Calendar'!$E$139:$AR$139,'Dvd Calendar'!$E$132:$AR$132)=0)))</f>
        <v/>
      </c>
      <c r="L18" s="52">
        <f>IF($B18="",0,IF((OV_SWITCH="ON")*(COUNTIFS(OVR_TICKERS,$C18,OVR_BASE,"&gt;=0")&gt;0)&gt;0,SUMIFS(OVR_BASE,OVR_TICKERS,$C18),$K18))</f>
        <v/>
      </c>
      <c r="M18" s="52">
        <f>IF($B18="",0,IF((OV_SWITCH="ON")*(COUNTIFS(OVR_TICKERS,$C18,OVR_LOW,"&gt;=0")&gt;0)&gt;0,SUMIFS(OVR_LOW,OVR_TICKERS,$C18),$L18))</f>
        <v/>
      </c>
      <c r="N18" s="52">
        <f>IF($B18="",0,IF((OV_SWITCH="ON")*(COUNTIFS(OVR_TICKERS,$C18,OVR_HIGH,"&gt;=0")&gt;0)&gt;0,SUMIFS(OVR_HIGH,OVR_TICKERS,$C18),$L18))</f>
        <v/>
      </c>
      <c r="O18" s="69">
        <f>IF($B18="","",IFERROR($B18*$G18*$J18/$B$3,""))</f>
        <v/>
      </c>
      <c r="P18" s="69">
        <f>IF($B18="","",IFERROR($B18*$G18*$L18/$B$3,""))</f>
        <v/>
      </c>
      <c r="Q18" s="44">
        <f>IF($B18="","",IFERROR($O18+$P18,""))</f>
        <v/>
      </c>
      <c r="R18" s="69">
        <f>IF($B18="","",IFERROR($O18+$B18*$G18*$M18/$B$3,""))</f>
        <v/>
      </c>
      <c r="S18" s="69">
        <f>IF($B18="","",IFERROR($O18+$B18*$G18*$N18/$B$3,""))</f>
        <v/>
      </c>
      <c r="T18" s="88">
        <f>IF($B18="","",IFERROR($Q18/$Q$5,""))</f>
        <v/>
      </c>
      <c r="U18" s="2">
        <f>IF($B18="","",IF(COUNTIFS('Dvd Calendar'!$E$138:$AR$138,"&gt;0",'Dvd Calendar'!$E$138:$AR$138,"&lt;="&amp;VAL_DATE,'Dvd Calendar'!$E$139:$AR$139,"&gt;"&amp;PROJ_FROM,'Dvd Calendar'!$E$139:$AR$139,"&lt;="&amp;DATE(YEAR_Y,12,31))-COUNTIFS('Dvd Calendar'!$E$138:$AR$138,"&gt;0",'Dvd Calendar'!$E$138:$AR$138,"&lt;="&amp;VAL_DATE,'Dvd Calendar'!$E$139:$AR$139,"&gt;"&amp;PROJ_FROM,'Dvd Calendar'!$E$139:$AR$139,"&lt;="&amp;DATE(YEAR_Y,12,31),'Dvd Calendar'!$E$140:$AR$140,"&gt;=0")&gt;0,"TBA amount - override me",IF((OV_SWITCH="ON")*(COUNTIFS(OVR_TICKERS,$C18,OVR_BASE,"&gt;=0")&gt;0)&gt;0,"overridden",IF($J18+$K18=0,"no dividend in year Y",""))))</f>
        <v/>
      </c>
      <c r="V18" s="69">
        <f>IF($B18="","",IFERROR(IF(ISNUMBER($H18),$B18*$G18*$H18/$B$3,0),""))</f>
        <v/>
      </c>
      <c r="W18" s="69">
        <f>IF($B18="","",IFERROR($B18*$G18*$K18/$B$3,""))</f>
        <v/>
      </c>
      <c r="X18" s="98">
        <f>IF($C18="","",BDP($C18,"PX_LAST"))</f>
        <v/>
      </c>
      <c r="Y18" s="69">
        <f>IF($B18="","",IFERROR($B18*$X18/$B$3,""))</f>
        <v/>
      </c>
      <c r="Z18" s="73">
        <f>IF($B18="","",IFERROR($Y18/$Y$5,""))</f>
        <v/>
      </c>
    </row>
    <row r="19">
      <c r="B19" s="97" t="n"/>
      <c r="C19" s="8">
        <f>IF($A19="","",$A19&amp;" Equity")</f>
        <v/>
      </c>
      <c r="D19" s="8">
        <f>IF($C19="","",BDP($C19,"NAME"))</f>
        <v/>
      </c>
      <c r="E19" s="8">
        <f>IF($C19="","",BDP($C19,"GICS_SECTOR_NAME"))</f>
        <v/>
      </c>
      <c r="F19" s="37">
        <f>IF($C19="","",BDP($C19,FLD_CCY))</f>
        <v/>
      </c>
      <c r="G19" s="12">
        <f>IFERROR(IF(LEN($F19)&lt;&gt;3,1,IF($F19="HKD",1,BDP(IF($F19="CNY",RMB_CROSS,$F19)&amp;"HKD Curncy","PX_LAST"))),1)</f>
        <v/>
      </c>
      <c r="H19" s="69">
        <f>IF($C19="","",BDP($C19,FLD_DPS12M))</f>
        <v/>
      </c>
      <c r="I19" s="50">
        <f>IF($C19="","",BDP($C19,FLD_YLD12M))</f>
        <v/>
      </c>
      <c r="J19" s="52">
        <f>IF($B19="",0,SUMPRODUCT(('Dvd Calendar'!$E$143:$AR$143&gt;=DATE(YEAR_Y,1,1))*('Dvd Calendar'!$E$143:$AR$143&lt;=REALIZED_TO)*'Dvd Calendar'!$E$146:$AR$146*(('Dvd Calendar'!$E$148:$AR$148=TYPE1)*(TYPE1&lt;&gt;"")+('Dvd Calendar'!$E$148:$AR$148=TYPE2)*(TYPE2&lt;&gt;"")+('Dvd Calendar'!$E$148:$AR$148=TYPE3)*(TYPE3&lt;&gt;"")+('Dvd Calendar'!$E$148:$AR$148=TYPE4)*(TYPE4&lt;&gt;"")+('Dvd Calendar'!$E$148:$AR$148=SPECIAL_LBL)*(INC_SPECIALS="Y"))))</f>
        <v/>
      </c>
      <c r="K19" s="52">
        <f>IF($B19="",0,SUMIFS('Dvd Calendar'!$E$151:$AR$151,'Dvd Calendar'!$E$150:$AR$150,"&gt;"&amp;PROJ_FROM,'Dvd Calendar'!$E$150:$AR$150,"&lt;="&amp;DATE(YEAR_Y,12,31))+SUMPRODUCT(('Dvd Calendar'!$E$143:$AR$143&gt;PROJ_FROM)*('Dvd Calendar'!$E$143:$AR$143&lt;=DATE(YEAR_Y,12,31))*'Dvd Calendar'!$E$146:$AR$146*(('Dvd Calendar'!$E$148:$AR$148=TYPE1)*(TYPE1&lt;&gt;"")+('Dvd Calendar'!$E$148:$AR$148=TYPE2)*(TYPE2&lt;&gt;"")+('Dvd Calendar'!$E$148:$AR$148=TYPE3)*(TYPE3&lt;&gt;"")+('Dvd Calendar'!$E$148:$AR$148=TYPE4)*(TYPE4&lt;&gt;"")+('Dvd Calendar'!$E$148:$AR$148=SPECIAL_LBL)*(INC_SPECIALS="Y"))*(COUNTIF('Dvd Calendar'!$E$150:$AR$150,'Dvd Calendar'!$E$143:$AR$143)=0)))</f>
        <v/>
      </c>
      <c r="L19" s="52">
        <f>IF($B19="",0,IF((OV_SWITCH="ON")*(COUNTIFS(OVR_TICKERS,$C19,OVR_BASE,"&gt;=0")&gt;0)&gt;0,SUMIFS(OVR_BASE,OVR_TICKERS,$C19),$K19))</f>
        <v/>
      </c>
      <c r="M19" s="52">
        <f>IF($B19="",0,IF((OV_SWITCH="ON")*(COUNTIFS(OVR_TICKERS,$C19,OVR_LOW,"&gt;=0")&gt;0)&gt;0,SUMIFS(OVR_LOW,OVR_TICKERS,$C19),$L19))</f>
        <v/>
      </c>
      <c r="N19" s="52">
        <f>IF($B19="",0,IF((OV_SWITCH="ON")*(COUNTIFS(OVR_TICKERS,$C19,OVR_HIGH,"&gt;=0")&gt;0)&gt;0,SUMIFS(OVR_HIGH,OVR_TICKERS,$C19),$L19))</f>
        <v/>
      </c>
      <c r="O19" s="69">
        <f>IF($B19="","",IFERROR($B19*$G19*$J19/$B$3,""))</f>
        <v/>
      </c>
      <c r="P19" s="69">
        <f>IF($B19="","",IFERROR($B19*$G19*$L19/$B$3,""))</f>
        <v/>
      </c>
      <c r="Q19" s="44">
        <f>IF($B19="","",IFERROR($O19+$P19,""))</f>
        <v/>
      </c>
      <c r="R19" s="69">
        <f>IF($B19="","",IFERROR($O19+$B19*$G19*$M19/$B$3,""))</f>
        <v/>
      </c>
      <c r="S19" s="69">
        <f>IF($B19="","",IFERROR($O19+$B19*$G19*$N19/$B$3,""))</f>
        <v/>
      </c>
      <c r="T19" s="88">
        <f>IF($B19="","",IFERROR($Q19/$Q$5,""))</f>
        <v/>
      </c>
      <c r="U19" s="2">
        <f>IF($B19="","",IF(COUNTIFS('Dvd Calendar'!$E$149:$AR$149,"&gt;0",'Dvd Calendar'!$E$149:$AR$149,"&lt;="&amp;VAL_DATE,'Dvd Calendar'!$E$150:$AR$150,"&gt;"&amp;PROJ_FROM,'Dvd Calendar'!$E$150:$AR$150,"&lt;="&amp;DATE(YEAR_Y,12,31))-COUNTIFS('Dvd Calendar'!$E$149:$AR$149,"&gt;0",'Dvd Calendar'!$E$149:$AR$149,"&lt;="&amp;VAL_DATE,'Dvd Calendar'!$E$150:$AR$150,"&gt;"&amp;PROJ_FROM,'Dvd Calendar'!$E$150:$AR$150,"&lt;="&amp;DATE(YEAR_Y,12,31),'Dvd Calendar'!$E$151:$AR$151,"&gt;=0")&gt;0,"TBA amount - override me",IF((OV_SWITCH="ON")*(COUNTIFS(OVR_TICKERS,$C19,OVR_BASE,"&gt;=0")&gt;0)&gt;0,"overridden",IF($J19+$K19=0,"no dividend in year Y",""))))</f>
        <v/>
      </c>
      <c r="V19" s="69">
        <f>IF($B19="","",IFERROR(IF(ISNUMBER($H19),$B19*$G19*$H19/$B$3,0),""))</f>
        <v/>
      </c>
      <c r="W19" s="69">
        <f>IF($B19="","",IFERROR($B19*$G19*$K19/$B$3,""))</f>
        <v/>
      </c>
      <c r="X19" s="98">
        <f>IF($C19="","",BDP($C19,"PX_LAST"))</f>
        <v/>
      </c>
      <c r="Y19" s="69">
        <f>IF($B19="","",IFERROR($B19*$X19/$B$3,""))</f>
        <v/>
      </c>
      <c r="Z19" s="73">
        <f>IF($B19="","",IFERROR($Y19/$Y$5,""))</f>
        <v/>
      </c>
    </row>
    <row r="20">
      <c r="B20" s="97" t="n"/>
      <c r="C20" s="8">
        <f>IF($A20="","",$A20&amp;" Equity")</f>
        <v/>
      </c>
      <c r="D20" s="8">
        <f>IF($C20="","",BDP($C20,"NAME"))</f>
        <v/>
      </c>
      <c r="E20" s="8">
        <f>IF($C20="","",BDP($C20,"GICS_SECTOR_NAME"))</f>
        <v/>
      </c>
      <c r="F20" s="37">
        <f>IF($C20="","",BDP($C20,FLD_CCY))</f>
        <v/>
      </c>
      <c r="G20" s="12">
        <f>IFERROR(IF(LEN($F20)&lt;&gt;3,1,IF($F20="HKD",1,BDP(IF($F20="CNY",RMB_CROSS,$F20)&amp;"HKD Curncy","PX_LAST"))),1)</f>
        <v/>
      </c>
      <c r="H20" s="69">
        <f>IF($C20="","",BDP($C20,FLD_DPS12M))</f>
        <v/>
      </c>
      <c r="I20" s="50">
        <f>IF($C20="","",BDP($C20,FLD_YLD12M))</f>
        <v/>
      </c>
      <c r="J20" s="52">
        <f>IF($B20="",0,SUMPRODUCT(('Dvd Calendar'!$E$154:$AR$154&gt;=DATE(YEAR_Y,1,1))*('Dvd Calendar'!$E$154:$AR$154&lt;=REALIZED_TO)*'Dvd Calendar'!$E$157:$AR$157*(('Dvd Calendar'!$E$159:$AR$159=TYPE1)*(TYPE1&lt;&gt;"")+('Dvd Calendar'!$E$159:$AR$159=TYPE2)*(TYPE2&lt;&gt;"")+('Dvd Calendar'!$E$159:$AR$159=TYPE3)*(TYPE3&lt;&gt;"")+('Dvd Calendar'!$E$159:$AR$159=TYPE4)*(TYPE4&lt;&gt;"")+('Dvd Calendar'!$E$159:$AR$159=SPECIAL_LBL)*(INC_SPECIALS="Y"))))</f>
        <v/>
      </c>
      <c r="K20" s="52">
        <f>IF($B20="",0,SUMIFS('Dvd Calendar'!$E$162:$AR$162,'Dvd Calendar'!$E$161:$AR$161,"&gt;"&amp;PROJ_FROM,'Dvd Calendar'!$E$161:$AR$161,"&lt;="&amp;DATE(YEAR_Y,12,31))+SUMPRODUCT(('Dvd Calendar'!$E$154:$AR$154&gt;PROJ_FROM)*('Dvd Calendar'!$E$154:$AR$154&lt;=DATE(YEAR_Y,12,31))*'Dvd Calendar'!$E$157:$AR$157*(('Dvd Calendar'!$E$159:$AR$159=TYPE1)*(TYPE1&lt;&gt;"")+('Dvd Calendar'!$E$159:$AR$159=TYPE2)*(TYPE2&lt;&gt;"")+('Dvd Calendar'!$E$159:$AR$159=TYPE3)*(TYPE3&lt;&gt;"")+('Dvd Calendar'!$E$159:$AR$159=TYPE4)*(TYPE4&lt;&gt;"")+('Dvd Calendar'!$E$159:$AR$159=SPECIAL_LBL)*(INC_SPECIALS="Y"))*(COUNTIF('Dvd Calendar'!$E$161:$AR$161,'Dvd Calendar'!$E$154:$AR$154)=0)))</f>
        <v/>
      </c>
      <c r="L20" s="52">
        <f>IF($B20="",0,IF((OV_SWITCH="ON")*(COUNTIFS(OVR_TICKERS,$C20,OVR_BASE,"&gt;=0")&gt;0)&gt;0,SUMIFS(OVR_BASE,OVR_TICKERS,$C20),$K20))</f>
        <v/>
      </c>
      <c r="M20" s="52">
        <f>IF($B20="",0,IF((OV_SWITCH="ON")*(COUNTIFS(OVR_TICKERS,$C20,OVR_LOW,"&gt;=0")&gt;0)&gt;0,SUMIFS(OVR_LOW,OVR_TICKERS,$C20),$L20))</f>
        <v/>
      </c>
      <c r="N20" s="52">
        <f>IF($B20="",0,IF((OV_SWITCH="ON")*(COUNTIFS(OVR_TICKERS,$C20,OVR_HIGH,"&gt;=0")&gt;0)&gt;0,SUMIFS(OVR_HIGH,OVR_TICKERS,$C20),$L20))</f>
        <v/>
      </c>
      <c r="O20" s="69">
        <f>IF($B20="","",IFERROR($B20*$G20*$J20/$B$3,""))</f>
        <v/>
      </c>
      <c r="P20" s="69">
        <f>IF($B20="","",IFERROR($B20*$G20*$L20/$B$3,""))</f>
        <v/>
      </c>
      <c r="Q20" s="44">
        <f>IF($B20="","",IFERROR($O20+$P20,""))</f>
        <v/>
      </c>
      <c r="R20" s="69">
        <f>IF($B20="","",IFERROR($O20+$B20*$G20*$M20/$B$3,""))</f>
        <v/>
      </c>
      <c r="S20" s="69">
        <f>IF($B20="","",IFERROR($O20+$B20*$G20*$N20/$B$3,""))</f>
        <v/>
      </c>
      <c r="T20" s="88">
        <f>IF($B20="","",IFERROR($Q20/$Q$5,""))</f>
        <v/>
      </c>
      <c r="U20" s="2">
        <f>IF($B20="","",IF(COUNTIFS('Dvd Calendar'!$E$160:$AR$160,"&gt;0",'Dvd Calendar'!$E$160:$AR$160,"&lt;="&amp;VAL_DATE,'Dvd Calendar'!$E$161:$AR$161,"&gt;"&amp;PROJ_FROM,'Dvd Calendar'!$E$161:$AR$161,"&lt;="&amp;DATE(YEAR_Y,12,31))-COUNTIFS('Dvd Calendar'!$E$160:$AR$160,"&gt;0",'Dvd Calendar'!$E$160:$AR$160,"&lt;="&amp;VAL_DATE,'Dvd Calendar'!$E$161:$AR$161,"&gt;"&amp;PROJ_FROM,'Dvd Calendar'!$E$161:$AR$161,"&lt;="&amp;DATE(YEAR_Y,12,31),'Dvd Calendar'!$E$162:$AR$162,"&gt;=0")&gt;0,"TBA amount - override me",IF((OV_SWITCH="ON")*(COUNTIFS(OVR_TICKERS,$C20,OVR_BASE,"&gt;=0")&gt;0)&gt;0,"overridden",IF($J20+$K20=0,"no dividend in year Y",""))))</f>
        <v/>
      </c>
      <c r="V20" s="69">
        <f>IF($B20="","",IFERROR(IF(ISNUMBER($H20),$B20*$G20*$H20/$B$3,0),""))</f>
        <v/>
      </c>
      <c r="W20" s="69">
        <f>IF($B20="","",IFERROR($B20*$G20*$K20/$B$3,""))</f>
        <v/>
      </c>
      <c r="X20" s="98">
        <f>IF($C20="","",BDP($C20,"PX_LAST"))</f>
        <v/>
      </c>
      <c r="Y20" s="69">
        <f>IF($B20="","",IFERROR($B20*$X20/$B$3,""))</f>
        <v/>
      </c>
      <c r="Z20" s="73">
        <f>IF($B20="","",IFERROR($Y20/$Y$5,""))</f>
        <v/>
      </c>
    </row>
    <row r="21">
      <c r="B21" s="97" t="n"/>
      <c r="C21" s="8">
        <f>IF($A21="","",$A21&amp;" Equity")</f>
        <v/>
      </c>
      <c r="D21" s="8">
        <f>IF($C21="","",BDP($C21,"NAME"))</f>
        <v/>
      </c>
      <c r="E21" s="8">
        <f>IF($C21="","",BDP($C21,"GICS_SECTOR_NAME"))</f>
        <v/>
      </c>
      <c r="F21" s="37">
        <f>IF($C21="","",BDP($C21,FLD_CCY))</f>
        <v/>
      </c>
      <c r="G21" s="12">
        <f>IFERROR(IF(LEN($F21)&lt;&gt;3,1,IF($F21="HKD",1,BDP(IF($F21="CNY",RMB_CROSS,$F21)&amp;"HKD Curncy","PX_LAST"))),1)</f>
        <v/>
      </c>
      <c r="H21" s="69">
        <f>IF($C21="","",BDP($C21,FLD_DPS12M))</f>
        <v/>
      </c>
      <c r="I21" s="50">
        <f>IF($C21="","",BDP($C21,FLD_YLD12M))</f>
        <v/>
      </c>
      <c r="J21" s="52">
        <f>IF($B21="",0,SUMPRODUCT(('Dvd Calendar'!$E$165:$AR$165&gt;=DATE(YEAR_Y,1,1))*('Dvd Calendar'!$E$165:$AR$165&lt;=REALIZED_TO)*'Dvd Calendar'!$E$168:$AR$168*(('Dvd Calendar'!$E$170:$AR$170=TYPE1)*(TYPE1&lt;&gt;"")+('Dvd Calendar'!$E$170:$AR$170=TYPE2)*(TYPE2&lt;&gt;"")+('Dvd Calendar'!$E$170:$AR$170=TYPE3)*(TYPE3&lt;&gt;"")+('Dvd Calendar'!$E$170:$AR$170=TYPE4)*(TYPE4&lt;&gt;"")+('Dvd Calendar'!$E$170:$AR$170=SPECIAL_LBL)*(INC_SPECIALS="Y"))))</f>
        <v/>
      </c>
      <c r="K21" s="52">
        <f>IF($B21="",0,SUMIFS('Dvd Calendar'!$E$173:$AR$173,'Dvd Calendar'!$E$172:$AR$172,"&gt;"&amp;PROJ_FROM,'Dvd Calendar'!$E$172:$AR$172,"&lt;="&amp;DATE(YEAR_Y,12,31))+SUMPRODUCT(('Dvd Calendar'!$E$165:$AR$165&gt;PROJ_FROM)*('Dvd Calendar'!$E$165:$AR$165&lt;=DATE(YEAR_Y,12,31))*'Dvd Calendar'!$E$168:$AR$168*(('Dvd Calendar'!$E$170:$AR$170=TYPE1)*(TYPE1&lt;&gt;"")+('Dvd Calendar'!$E$170:$AR$170=TYPE2)*(TYPE2&lt;&gt;"")+('Dvd Calendar'!$E$170:$AR$170=TYPE3)*(TYPE3&lt;&gt;"")+('Dvd Calendar'!$E$170:$AR$170=TYPE4)*(TYPE4&lt;&gt;"")+('Dvd Calendar'!$E$170:$AR$170=SPECIAL_LBL)*(INC_SPECIALS="Y"))*(COUNTIF('Dvd Calendar'!$E$172:$AR$172,'Dvd Calendar'!$E$165:$AR$165)=0)))</f>
        <v/>
      </c>
      <c r="L21" s="52">
        <f>IF($B21="",0,IF((OV_SWITCH="ON")*(COUNTIFS(OVR_TICKERS,$C21,OVR_BASE,"&gt;=0")&gt;0)&gt;0,SUMIFS(OVR_BASE,OVR_TICKERS,$C21),$K21))</f>
        <v/>
      </c>
      <c r="M21" s="52">
        <f>IF($B21="",0,IF((OV_SWITCH="ON")*(COUNTIFS(OVR_TICKERS,$C21,OVR_LOW,"&gt;=0")&gt;0)&gt;0,SUMIFS(OVR_LOW,OVR_TICKERS,$C21),$L21))</f>
        <v/>
      </c>
      <c r="N21" s="52">
        <f>IF($B21="",0,IF((OV_SWITCH="ON")*(COUNTIFS(OVR_TICKERS,$C21,OVR_HIGH,"&gt;=0")&gt;0)&gt;0,SUMIFS(OVR_HIGH,OVR_TICKERS,$C21),$L21))</f>
        <v/>
      </c>
      <c r="O21" s="69">
        <f>IF($B21="","",IFERROR($B21*$G21*$J21/$B$3,""))</f>
        <v/>
      </c>
      <c r="P21" s="69">
        <f>IF($B21="","",IFERROR($B21*$G21*$L21/$B$3,""))</f>
        <v/>
      </c>
      <c r="Q21" s="44">
        <f>IF($B21="","",IFERROR($O21+$P21,""))</f>
        <v/>
      </c>
      <c r="R21" s="69">
        <f>IF($B21="","",IFERROR($O21+$B21*$G21*$M21/$B$3,""))</f>
        <v/>
      </c>
      <c r="S21" s="69">
        <f>IF($B21="","",IFERROR($O21+$B21*$G21*$N21/$B$3,""))</f>
        <v/>
      </c>
      <c r="T21" s="88">
        <f>IF($B21="","",IFERROR($Q21/$Q$5,""))</f>
        <v/>
      </c>
      <c r="U21" s="2">
        <f>IF($B21="","",IF(COUNTIFS('Dvd Calendar'!$E$171:$AR$171,"&gt;0",'Dvd Calendar'!$E$171:$AR$171,"&lt;="&amp;VAL_DATE,'Dvd Calendar'!$E$172:$AR$172,"&gt;"&amp;PROJ_FROM,'Dvd Calendar'!$E$172:$AR$172,"&lt;="&amp;DATE(YEAR_Y,12,31))-COUNTIFS('Dvd Calendar'!$E$171:$AR$171,"&gt;0",'Dvd Calendar'!$E$171:$AR$171,"&lt;="&amp;VAL_DATE,'Dvd Calendar'!$E$172:$AR$172,"&gt;"&amp;PROJ_FROM,'Dvd Calendar'!$E$172:$AR$172,"&lt;="&amp;DATE(YEAR_Y,12,31),'Dvd Calendar'!$E$173:$AR$173,"&gt;=0")&gt;0,"TBA amount - override me",IF((OV_SWITCH="ON")*(COUNTIFS(OVR_TICKERS,$C21,OVR_BASE,"&gt;=0")&gt;0)&gt;0,"overridden",IF($J21+$K21=0,"no dividend in year Y",""))))</f>
        <v/>
      </c>
      <c r="V21" s="69">
        <f>IF($B21="","",IFERROR(IF(ISNUMBER($H21),$B21*$G21*$H21/$B$3,0),""))</f>
        <v/>
      </c>
      <c r="W21" s="69">
        <f>IF($B21="","",IFERROR($B21*$G21*$K21/$B$3,""))</f>
        <v/>
      </c>
      <c r="X21" s="98">
        <f>IF($C21="","",BDP($C21,"PX_LAST"))</f>
        <v/>
      </c>
      <c r="Y21" s="69">
        <f>IF($B21="","",IFERROR($B21*$X21/$B$3,""))</f>
        <v/>
      </c>
      <c r="Z21" s="73">
        <f>IF($B21="","",IFERROR($Y21/$Y$5,""))</f>
        <v/>
      </c>
    </row>
    <row r="22">
      <c r="B22" s="97" t="n"/>
      <c r="C22" s="8">
        <f>IF($A22="","",$A22&amp;" Equity")</f>
        <v/>
      </c>
      <c r="D22" s="8">
        <f>IF($C22="","",BDP($C22,"NAME"))</f>
        <v/>
      </c>
      <c r="E22" s="8">
        <f>IF($C22="","",BDP($C22,"GICS_SECTOR_NAME"))</f>
        <v/>
      </c>
      <c r="F22" s="37">
        <f>IF($C22="","",BDP($C22,FLD_CCY))</f>
        <v/>
      </c>
      <c r="G22" s="12">
        <f>IFERROR(IF(LEN($F22)&lt;&gt;3,1,IF($F22="HKD",1,BDP(IF($F22="CNY",RMB_CROSS,$F22)&amp;"HKD Curncy","PX_LAST"))),1)</f>
        <v/>
      </c>
      <c r="H22" s="69">
        <f>IF($C22="","",BDP($C22,FLD_DPS12M))</f>
        <v/>
      </c>
      <c r="I22" s="50">
        <f>IF($C22="","",BDP($C22,FLD_YLD12M))</f>
        <v/>
      </c>
      <c r="J22" s="52">
        <f>IF($B22="",0,SUMPRODUCT(('Dvd Calendar'!$E$176:$AR$176&gt;=DATE(YEAR_Y,1,1))*('Dvd Calendar'!$E$176:$AR$176&lt;=REALIZED_TO)*'Dvd Calendar'!$E$179:$AR$179*(('Dvd Calendar'!$E$181:$AR$181=TYPE1)*(TYPE1&lt;&gt;"")+('Dvd Calendar'!$E$181:$AR$181=TYPE2)*(TYPE2&lt;&gt;"")+('Dvd Calendar'!$E$181:$AR$181=TYPE3)*(TYPE3&lt;&gt;"")+('Dvd Calendar'!$E$181:$AR$181=TYPE4)*(TYPE4&lt;&gt;"")+('Dvd Calendar'!$E$181:$AR$181=SPECIAL_LBL)*(INC_SPECIALS="Y"))))</f>
        <v/>
      </c>
      <c r="K22" s="52">
        <f>IF($B22="",0,SUMIFS('Dvd Calendar'!$E$184:$AR$184,'Dvd Calendar'!$E$183:$AR$183,"&gt;"&amp;PROJ_FROM,'Dvd Calendar'!$E$183:$AR$183,"&lt;="&amp;DATE(YEAR_Y,12,31))+SUMPRODUCT(('Dvd Calendar'!$E$176:$AR$176&gt;PROJ_FROM)*('Dvd Calendar'!$E$176:$AR$176&lt;=DATE(YEAR_Y,12,31))*'Dvd Calendar'!$E$179:$AR$179*(('Dvd Calendar'!$E$181:$AR$181=TYPE1)*(TYPE1&lt;&gt;"")+('Dvd Calendar'!$E$181:$AR$181=TYPE2)*(TYPE2&lt;&gt;"")+('Dvd Calendar'!$E$181:$AR$181=TYPE3)*(TYPE3&lt;&gt;"")+('Dvd Calendar'!$E$181:$AR$181=TYPE4)*(TYPE4&lt;&gt;"")+('Dvd Calendar'!$E$181:$AR$181=SPECIAL_LBL)*(INC_SPECIALS="Y"))*(COUNTIF('Dvd Calendar'!$E$183:$AR$183,'Dvd Calendar'!$E$176:$AR$176)=0)))</f>
        <v/>
      </c>
      <c r="L22" s="52">
        <f>IF($B22="",0,IF((OV_SWITCH="ON")*(COUNTIFS(OVR_TICKERS,$C22,OVR_BASE,"&gt;=0")&gt;0)&gt;0,SUMIFS(OVR_BASE,OVR_TICKERS,$C22),$K22))</f>
        <v/>
      </c>
      <c r="M22" s="52">
        <f>IF($B22="",0,IF((OV_SWITCH="ON")*(COUNTIFS(OVR_TICKERS,$C22,OVR_LOW,"&gt;=0")&gt;0)&gt;0,SUMIFS(OVR_LOW,OVR_TICKERS,$C22),$L22))</f>
        <v/>
      </c>
      <c r="N22" s="52">
        <f>IF($B22="",0,IF((OV_SWITCH="ON")*(COUNTIFS(OVR_TICKERS,$C22,OVR_HIGH,"&gt;=0")&gt;0)&gt;0,SUMIFS(OVR_HIGH,OVR_TICKERS,$C22),$L22))</f>
        <v/>
      </c>
      <c r="O22" s="69">
        <f>IF($B22="","",IFERROR($B22*$G22*$J22/$B$3,""))</f>
        <v/>
      </c>
      <c r="P22" s="69">
        <f>IF($B22="","",IFERROR($B22*$G22*$L22/$B$3,""))</f>
        <v/>
      </c>
      <c r="Q22" s="44">
        <f>IF($B22="","",IFERROR($O22+$P22,""))</f>
        <v/>
      </c>
      <c r="R22" s="69">
        <f>IF($B22="","",IFERROR($O22+$B22*$G22*$M22/$B$3,""))</f>
        <v/>
      </c>
      <c r="S22" s="69">
        <f>IF($B22="","",IFERROR($O22+$B22*$G22*$N22/$B$3,""))</f>
        <v/>
      </c>
      <c r="T22" s="88">
        <f>IF($B22="","",IFERROR($Q22/$Q$5,""))</f>
        <v/>
      </c>
      <c r="U22" s="2">
        <f>IF($B22="","",IF(COUNTIFS('Dvd Calendar'!$E$182:$AR$182,"&gt;0",'Dvd Calendar'!$E$182:$AR$182,"&lt;="&amp;VAL_DATE,'Dvd Calendar'!$E$183:$AR$183,"&gt;"&amp;PROJ_FROM,'Dvd Calendar'!$E$183:$AR$183,"&lt;="&amp;DATE(YEAR_Y,12,31))-COUNTIFS('Dvd Calendar'!$E$182:$AR$182,"&gt;0",'Dvd Calendar'!$E$182:$AR$182,"&lt;="&amp;VAL_DATE,'Dvd Calendar'!$E$183:$AR$183,"&gt;"&amp;PROJ_FROM,'Dvd Calendar'!$E$183:$AR$183,"&lt;="&amp;DATE(YEAR_Y,12,31),'Dvd Calendar'!$E$184:$AR$184,"&gt;=0")&gt;0,"TBA amount - override me",IF((OV_SWITCH="ON")*(COUNTIFS(OVR_TICKERS,$C22,OVR_BASE,"&gt;=0")&gt;0)&gt;0,"overridden",IF($J22+$K22=0,"no dividend in year Y",""))))</f>
        <v/>
      </c>
      <c r="V22" s="69">
        <f>IF($B22="","",IFERROR(IF(ISNUMBER($H22),$B22*$G22*$H22/$B$3,0),""))</f>
        <v/>
      </c>
      <c r="W22" s="69">
        <f>IF($B22="","",IFERROR($B22*$G22*$K22/$B$3,""))</f>
        <v/>
      </c>
      <c r="X22" s="98">
        <f>IF($C22="","",BDP($C22,"PX_LAST"))</f>
        <v/>
      </c>
      <c r="Y22" s="69">
        <f>IF($B22="","",IFERROR($B22*$X22/$B$3,""))</f>
        <v/>
      </c>
      <c r="Z22" s="73">
        <f>IF($B22="","",IFERROR($Y22/$Y$5,""))</f>
        <v/>
      </c>
    </row>
    <row r="23">
      <c r="B23" s="97" t="n"/>
      <c r="C23" s="8">
        <f>IF($A23="","",$A23&amp;" Equity")</f>
        <v/>
      </c>
      <c r="D23" s="8">
        <f>IF($C23="","",BDP($C23,"NAME"))</f>
        <v/>
      </c>
      <c r="E23" s="8">
        <f>IF($C23="","",BDP($C23,"GICS_SECTOR_NAME"))</f>
        <v/>
      </c>
      <c r="F23" s="37">
        <f>IF($C23="","",BDP($C23,FLD_CCY))</f>
        <v/>
      </c>
      <c r="G23" s="12">
        <f>IFERROR(IF(LEN($F23)&lt;&gt;3,1,IF($F23="HKD",1,BDP(IF($F23="CNY",RMB_CROSS,$F23)&amp;"HKD Curncy","PX_LAST"))),1)</f>
        <v/>
      </c>
      <c r="H23" s="69">
        <f>IF($C23="","",BDP($C23,FLD_DPS12M))</f>
        <v/>
      </c>
      <c r="I23" s="50">
        <f>IF($C23="","",BDP($C23,FLD_YLD12M))</f>
        <v/>
      </c>
      <c r="J23" s="52">
        <f>IF($B23="",0,SUMPRODUCT(('Dvd Calendar'!$E$187:$AR$187&gt;=DATE(YEAR_Y,1,1))*('Dvd Calendar'!$E$187:$AR$187&lt;=REALIZED_TO)*'Dvd Calendar'!$E$190:$AR$190*(('Dvd Calendar'!$E$192:$AR$192=TYPE1)*(TYPE1&lt;&gt;"")+('Dvd Calendar'!$E$192:$AR$192=TYPE2)*(TYPE2&lt;&gt;"")+('Dvd Calendar'!$E$192:$AR$192=TYPE3)*(TYPE3&lt;&gt;"")+('Dvd Calendar'!$E$192:$AR$192=TYPE4)*(TYPE4&lt;&gt;"")+('Dvd Calendar'!$E$192:$AR$192=SPECIAL_LBL)*(INC_SPECIALS="Y"))))</f>
        <v/>
      </c>
      <c r="K23" s="52">
        <f>IF($B23="",0,SUMIFS('Dvd Calendar'!$E$195:$AR$195,'Dvd Calendar'!$E$194:$AR$194,"&gt;"&amp;PROJ_FROM,'Dvd Calendar'!$E$194:$AR$194,"&lt;="&amp;DATE(YEAR_Y,12,31))+SUMPRODUCT(('Dvd Calendar'!$E$187:$AR$187&gt;PROJ_FROM)*('Dvd Calendar'!$E$187:$AR$187&lt;=DATE(YEAR_Y,12,31))*'Dvd Calendar'!$E$190:$AR$190*(('Dvd Calendar'!$E$192:$AR$192=TYPE1)*(TYPE1&lt;&gt;"")+('Dvd Calendar'!$E$192:$AR$192=TYPE2)*(TYPE2&lt;&gt;"")+('Dvd Calendar'!$E$192:$AR$192=TYPE3)*(TYPE3&lt;&gt;"")+('Dvd Calendar'!$E$192:$AR$192=TYPE4)*(TYPE4&lt;&gt;"")+('Dvd Calendar'!$E$192:$AR$192=SPECIAL_LBL)*(INC_SPECIALS="Y"))*(COUNTIF('Dvd Calendar'!$E$194:$AR$194,'Dvd Calendar'!$E$187:$AR$187)=0)))</f>
        <v/>
      </c>
      <c r="L23" s="52">
        <f>IF($B23="",0,IF((OV_SWITCH="ON")*(COUNTIFS(OVR_TICKERS,$C23,OVR_BASE,"&gt;=0")&gt;0)&gt;0,SUMIFS(OVR_BASE,OVR_TICKERS,$C23),$K23))</f>
        <v/>
      </c>
      <c r="M23" s="52">
        <f>IF($B23="",0,IF((OV_SWITCH="ON")*(COUNTIFS(OVR_TICKERS,$C23,OVR_LOW,"&gt;=0")&gt;0)&gt;0,SUMIFS(OVR_LOW,OVR_TICKERS,$C23),$L23))</f>
        <v/>
      </c>
      <c r="N23" s="52">
        <f>IF($B23="",0,IF((OV_SWITCH="ON")*(COUNTIFS(OVR_TICKERS,$C23,OVR_HIGH,"&gt;=0")&gt;0)&gt;0,SUMIFS(OVR_HIGH,OVR_TICKERS,$C23),$L23))</f>
        <v/>
      </c>
      <c r="O23" s="69">
        <f>IF($B23="","",IFERROR($B23*$G23*$J23/$B$3,""))</f>
        <v/>
      </c>
      <c r="P23" s="69">
        <f>IF($B23="","",IFERROR($B23*$G23*$L23/$B$3,""))</f>
        <v/>
      </c>
      <c r="Q23" s="44">
        <f>IF($B23="","",IFERROR($O23+$P23,""))</f>
        <v/>
      </c>
      <c r="R23" s="69">
        <f>IF($B23="","",IFERROR($O23+$B23*$G23*$M23/$B$3,""))</f>
        <v/>
      </c>
      <c r="S23" s="69">
        <f>IF($B23="","",IFERROR($O23+$B23*$G23*$N23/$B$3,""))</f>
        <v/>
      </c>
      <c r="T23" s="88">
        <f>IF($B23="","",IFERROR($Q23/$Q$5,""))</f>
        <v/>
      </c>
      <c r="U23" s="2">
        <f>IF($B23="","",IF(COUNTIFS('Dvd Calendar'!$E$193:$AR$193,"&gt;0",'Dvd Calendar'!$E$193:$AR$193,"&lt;="&amp;VAL_DATE,'Dvd Calendar'!$E$194:$AR$194,"&gt;"&amp;PROJ_FROM,'Dvd Calendar'!$E$194:$AR$194,"&lt;="&amp;DATE(YEAR_Y,12,31))-COUNTIFS('Dvd Calendar'!$E$193:$AR$193,"&gt;0",'Dvd Calendar'!$E$193:$AR$193,"&lt;="&amp;VAL_DATE,'Dvd Calendar'!$E$194:$AR$194,"&gt;"&amp;PROJ_FROM,'Dvd Calendar'!$E$194:$AR$194,"&lt;="&amp;DATE(YEAR_Y,12,31),'Dvd Calendar'!$E$195:$AR$195,"&gt;=0")&gt;0,"TBA amount - override me",IF((OV_SWITCH="ON")*(COUNTIFS(OVR_TICKERS,$C23,OVR_BASE,"&gt;=0")&gt;0)&gt;0,"overridden",IF($J23+$K23=0,"no dividend in year Y",""))))</f>
        <v/>
      </c>
      <c r="V23" s="69">
        <f>IF($B23="","",IFERROR(IF(ISNUMBER($H23),$B23*$G23*$H23/$B$3,0),""))</f>
        <v/>
      </c>
      <c r="W23" s="69">
        <f>IF($B23="","",IFERROR($B23*$G23*$K23/$B$3,""))</f>
        <v/>
      </c>
      <c r="X23" s="98">
        <f>IF($C23="","",BDP($C23,"PX_LAST"))</f>
        <v/>
      </c>
      <c r="Y23" s="69">
        <f>IF($B23="","",IFERROR($B23*$X23/$B$3,""))</f>
        <v/>
      </c>
      <c r="Z23" s="73">
        <f>IF($B23="","",IFERROR($Y23/$Y$5,""))</f>
        <v/>
      </c>
    </row>
    <row r="24">
      <c r="B24" s="97" t="n"/>
      <c r="C24" s="8">
        <f>IF($A24="","",$A24&amp;" Equity")</f>
        <v/>
      </c>
      <c r="D24" s="8">
        <f>IF($C24="","",BDP($C24,"NAME"))</f>
        <v/>
      </c>
      <c r="E24" s="8">
        <f>IF($C24="","",BDP($C24,"GICS_SECTOR_NAME"))</f>
        <v/>
      </c>
      <c r="F24" s="37">
        <f>IF($C24="","",BDP($C24,FLD_CCY))</f>
        <v/>
      </c>
      <c r="G24" s="12">
        <f>IFERROR(IF(LEN($F24)&lt;&gt;3,1,IF($F24="HKD",1,BDP(IF($F24="CNY",RMB_CROSS,$F24)&amp;"HKD Curncy","PX_LAST"))),1)</f>
        <v/>
      </c>
      <c r="H24" s="69">
        <f>IF($C24="","",BDP($C24,FLD_DPS12M))</f>
        <v/>
      </c>
      <c r="I24" s="50">
        <f>IF($C24="","",BDP($C24,FLD_YLD12M))</f>
        <v/>
      </c>
      <c r="J24" s="52">
        <f>IF($B24="",0,SUMPRODUCT(('Dvd Calendar'!$E$198:$AR$198&gt;=DATE(YEAR_Y,1,1))*('Dvd Calendar'!$E$198:$AR$198&lt;=REALIZED_TO)*'Dvd Calendar'!$E$201:$AR$201*(('Dvd Calendar'!$E$203:$AR$203=TYPE1)*(TYPE1&lt;&gt;"")+('Dvd Calendar'!$E$203:$AR$203=TYPE2)*(TYPE2&lt;&gt;"")+('Dvd Calendar'!$E$203:$AR$203=TYPE3)*(TYPE3&lt;&gt;"")+('Dvd Calendar'!$E$203:$AR$203=TYPE4)*(TYPE4&lt;&gt;"")+('Dvd Calendar'!$E$203:$AR$203=SPECIAL_LBL)*(INC_SPECIALS="Y"))))</f>
        <v/>
      </c>
      <c r="K24" s="52">
        <f>IF($B24="",0,SUMIFS('Dvd Calendar'!$E$206:$AR$206,'Dvd Calendar'!$E$205:$AR$205,"&gt;"&amp;PROJ_FROM,'Dvd Calendar'!$E$205:$AR$205,"&lt;="&amp;DATE(YEAR_Y,12,31))+SUMPRODUCT(('Dvd Calendar'!$E$198:$AR$198&gt;PROJ_FROM)*('Dvd Calendar'!$E$198:$AR$198&lt;=DATE(YEAR_Y,12,31))*'Dvd Calendar'!$E$201:$AR$201*(('Dvd Calendar'!$E$203:$AR$203=TYPE1)*(TYPE1&lt;&gt;"")+('Dvd Calendar'!$E$203:$AR$203=TYPE2)*(TYPE2&lt;&gt;"")+('Dvd Calendar'!$E$203:$AR$203=TYPE3)*(TYPE3&lt;&gt;"")+('Dvd Calendar'!$E$203:$AR$203=TYPE4)*(TYPE4&lt;&gt;"")+('Dvd Calendar'!$E$203:$AR$203=SPECIAL_LBL)*(INC_SPECIALS="Y"))*(COUNTIF('Dvd Calendar'!$E$205:$AR$205,'Dvd Calendar'!$E$198:$AR$198)=0)))</f>
        <v/>
      </c>
      <c r="L24" s="52">
        <f>IF($B24="",0,IF((OV_SWITCH="ON")*(COUNTIFS(OVR_TICKERS,$C24,OVR_BASE,"&gt;=0")&gt;0)&gt;0,SUMIFS(OVR_BASE,OVR_TICKERS,$C24),$K24))</f>
        <v/>
      </c>
      <c r="M24" s="52">
        <f>IF($B24="",0,IF((OV_SWITCH="ON")*(COUNTIFS(OVR_TICKERS,$C24,OVR_LOW,"&gt;=0")&gt;0)&gt;0,SUMIFS(OVR_LOW,OVR_TICKERS,$C24),$L24))</f>
        <v/>
      </c>
      <c r="N24" s="52">
        <f>IF($B24="",0,IF((OV_SWITCH="ON")*(COUNTIFS(OVR_TICKERS,$C24,OVR_HIGH,"&gt;=0")&gt;0)&gt;0,SUMIFS(OVR_HIGH,OVR_TICKERS,$C24),$L24))</f>
        <v/>
      </c>
      <c r="O24" s="69">
        <f>IF($B24="","",IFERROR($B24*$G24*$J24/$B$3,""))</f>
        <v/>
      </c>
      <c r="P24" s="69">
        <f>IF($B24="","",IFERROR($B24*$G24*$L24/$B$3,""))</f>
        <v/>
      </c>
      <c r="Q24" s="44">
        <f>IF($B24="","",IFERROR($O24+$P24,""))</f>
        <v/>
      </c>
      <c r="R24" s="69">
        <f>IF($B24="","",IFERROR($O24+$B24*$G24*$M24/$B$3,""))</f>
        <v/>
      </c>
      <c r="S24" s="69">
        <f>IF($B24="","",IFERROR($O24+$B24*$G24*$N24/$B$3,""))</f>
        <v/>
      </c>
      <c r="T24" s="88">
        <f>IF($B24="","",IFERROR($Q24/$Q$5,""))</f>
        <v/>
      </c>
      <c r="U24" s="2">
        <f>IF($B24="","",IF(COUNTIFS('Dvd Calendar'!$E$204:$AR$204,"&gt;0",'Dvd Calendar'!$E$204:$AR$204,"&lt;="&amp;VAL_DATE,'Dvd Calendar'!$E$205:$AR$205,"&gt;"&amp;PROJ_FROM,'Dvd Calendar'!$E$205:$AR$205,"&lt;="&amp;DATE(YEAR_Y,12,31))-COUNTIFS('Dvd Calendar'!$E$204:$AR$204,"&gt;0",'Dvd Calendar'!$E$204:$AR$204,"&lt;="&amp;VAL_DATE,'Dvd Calendar'!$E$205:$AR$205,"&gt;"&amp;PROJ_FROM,'Dvd Calendar'!$E$205:$AR$205,"&lt;="&amp;DATE(YEAR_Y,12,31),'Dvd Calendar'!$E$206:$AR$206,"&gt;=0")&gt;0,"TBA amount - override me",IF((OV_SWITCH="ON")*(COUNTIFS(OVR_TICKERS,$C24,OVR_BASE,"&gt;=0")&gt;0)&gt;0,"overridden",IF($J24+$K24=0,"no dividend in year Y",""))))</f>
        <v/>
      </c>
      <c r="V24" s="69">
        <f>IF($B24="","",IFERROR(IF(ISNUMBER($H24),$B24*$G24*$H24/$B$3,0),""))</f>
        <v/>
      </c>
      <c r="W24" s="69">
        <f>IF($B24="","",IFERROR($B24*$G24*$K24/$B$3,""))</f>
        <v/>
      </c>
      <c r="X24" s="98">
        <f>IF($C24="","",BDP($C24,"PX_LAST"))</f>
        <v/>
      </c>
      <c r="Y24" s="69">
        <f>IF($B24="","",IFERROR($B24*$X24/$B$3,""))</f>
        <v/>
      </c>
      <c r="Z24" s="73">
        <f>IF($B24="","",IFERROR($Y24/$Y$5,""))</f>
        <v/>
      </c>
    </row>
    <row r="25">
      <c r="B25" s="97" t="n"/>
      <c r="C25" s="8">
        <f>IF($A25="","",$A25&amp;" Equity")</f>
        <v/>
      </c>
      <c r="D25" s="8">
        <f>IF($C25="","",BDP($C25,"NAME"))</f>
        <v/>
      </c>
      <c r="E25" s="8">
        <f>IF($C25="","",BDP($C25,"GICS_SECTOR_NAME"))</f>
        <v/>
      </c>
      <c r="F25" s="37">
        <f>IF($C25="","",BDP($C25,FLD_CCY))</f>
        <v/>
      </c>
      <c r="G25" s="12">
        <f>IFERROR(IF(LEN($F25)&lt;&gt;3,1,IF($F25="HKD",1,BDP(IF($F25="CNY",RMB_CROSS,$F25)&amp;"HKD Curncy","PX_LAST"))),1)</f>
        <v/>
      </c>
      <c r="H25" s="69">
        <f>IF($C25="","",BDP($C25,FLD_DPS12M))</f>
        <v/>
      </c>
      <c r="I25" s="50">
        <f>IF($C25="","",BDP($C25,FLD_YLD12M))</f>
        <v/>
      </c>
      <c r="J25" s="52">
        <f>IF($B25="",0,SUMPRODUCT(('Dvd Calendar'!$E$209:$AR$209&gt;=DATE(YEAR_Y,1,1))*('Dvd Calendar'!$E$209:$AR$209&lt;=REALIZED_TO)*'Dvd Calendar'!$E$212:$AR$212*(('Dvd Calendar'!$E$214:$AR$214=TYPE1)*(TYPE1&lt;&gt;"")+('Dvd Calendar'!$E$214:$AR$214=TYPE2)*(TYPE2&lt;&gt;"")+('Dvd Calendar'!$E$214:$AR$214=TYPE3)*(TYPE3&lt;&gt;"")+('Dvd Calendar'!$E$214:$AR$214=TYPE4)*(TYPE4&lt;&gt;"")+('Dvd Calendar'!$E$214:$AR$214=SPECIAL_LBL)*(INC_SPECIALS="Y"))))</f>
        <v/>
      </c>
      <c r="K25" s="52">
        <f>IF($B25="",0,SUMIFS('Dvd Calendar'!$E$217:$AR$217,'Dvd Calendar'!$E$216:$AR$216,"&gt;"&amp;PROJ_FROM,'Dvd Calendar'!$E$216:$AR$216,"&lt;="&amp;DATE(YEAR_Y,12,31))+SUMPRODUCT(('Dvd Calendar'!$E$209:$AR$209&gt;PROJ_FROM)*('Dvd Calendar'!$E$209:$AR$209&lt;=DATE(YEAR_Y,12,31))*'Dvd Calendar'!$E$212:$AR$212*(('Dvd Calendar'!$E$214:$AR$214=TYPE1)*(TYPE1&lt;&gt;"")+('Dvd Calendar'!$E$214:$AR$214=TYPE2)*(TYPE2&lt;&gt;"")+('Dvd Calendar'!$E$214:$AR$214=TYPE3)*(TYPE3&lt;&gt;"")+('Dvd Calendar'!$E$214:$AR$214=TYPE4)*(TYPE4&lt;&gt;"")+('Dvd Calendar'!$E$214:$AR$214=SPECIAL_LBL)*(INC_SPECIALS="Y"))*(COUNTIF('Dvd Calendar'!$E$216:$AR$216,'Dvd Calendar'!$E$209:$AR$209)=0)))</f>
        <v/>
      </c>
      <c r="L25" s="52">
        <f>IF($B25="",0,IF((OV_SWITCH="ON")*(COUNTIFS(OVR_TICKERS,$C25,OVR_BASE,"&gt;=0")&gt;0)&gt;0,SUMIFS(OVR_BASE,OVR_TICKERS,$C25),$K25))</f>
        <v/>
      </c>
      <c r="M25" s="52">
        <f>IF($B25="",0,IF((OV_SWITCH="ON")*(COUNTIFS(OVR_TICKERS,$C25,OVR_LOW,"&gt;=0")&gt;0)&gt;0,SUMIFS(OVR_LOW,OVR_TICKERS,$C25),$L25))</f>
        <v/>
      </c>
      <c r="N25" s="52">
        <f>IF($B25="",0,IF((OV_SWITCH="ON")*(COUNTIFS(OVR_TICKERS,$C25,OVR_HIGH,"&gt;=0")&gt;0)&gt;0,SUMIFS(OVR_HIGH,OVR_TICKERS,$C25),$L25))</f>
        <v/>
      </c>
      <c r="O25" s="69">
        <f>IF($B25="","",IFERROR($B25*$G25*$J25/$B$3,""))</f>
        <v/>
      </c>
      <c r="P25" s="69">
        <f>IF($B25="","",IFERROR($B25*$G25*$L25/$B$3,""))</f>
        <v/>
      </c>
      <c r="Q25" s="44">
        <f>IF($B25="","",IFERROR($O25+$P25,""))</f>
        <v/>
      </c>
      <c r="R25" s="69">
        <f>IF($B25="","",IFERROR($O25+$B25*$G25*$M25/$B$3,""))</f>
        <v/>
      </c>
      <c r="S25" s="69">
        <f>IF($B25="","",IFERROR($O25+$B25*$G25*$N25/$B$3,""))</f>
        <v/>
      </c>
      <c r="T25" s="88">
        <f>IF($B25="","",IFERROR($Q25/$Q$5,""))</f>
        <v/>
      </c>
      <c r="U25" s="2">
        <f>IF($B25="","",IF(COUNTIFS('Dvd Calendar'!$E$215:$AR$215,"&gt;0",'Dvd Calendar'!$E$215:$AR$215,"&lt;="&amp;VAL_DATE,'Dvd Calendar'!$E$216:$AR$216,"&gt;"&amp;PROJ_FROM,'Dvd Calendar'!$E$216:$AR$216,"&lt;="&amp;DATE(YEAR_Y,12,31))-COUNTIFS('Dvd Calendar'!$E$215:$AR$215,"&gt;0",'Dvd Calendar'!$E$215:$AR$215,"&lt;="&amp;VAL_DATE,'Dvd Calendar'!$E$216:$AR$216,"&gt;"&amp;PROJ_FROM,'Dvd Calendar'!$E$216:$AR$216,"&lt;="&amp;DATE(YEAR_Y,12,31),'Dvd Calendar'!$E$217:$AR$217,"&gt;=0")&gt;0,"TBA amount - override me",IF((OV_SWITCH="ON")*(COUNTIFS(OVR_TICKERS,$C25,OVR_BASE,"&gt;=0")&gt;0)&gt;0,"overridden",IF($J25+$K25=0,"no dividend in year Y",""))))</f>
        <v/>
      </c>
      <c r="V25" s="69">
        <f>IF($B25="","",IFERROR(IF(ISNUMBER($H25),$B25*$G25*$H25/$B$3,0),""))</f>
        <v/>
      </c>
      <c r="W25" s="69">
        <f>IF($B25="","",IFERROR($B25*$G25*$K25/$B$3,""))</f>
        <v/>
      </c>
      <c r="X25" s="98">
        <f>IF($C25="","",BDP($C25,"PX_LAST"))</f>
        <v/>
      </c>
      <c r="Y25" s="69">
        <f>IF($B25="","",IFERROR($B25*$X25/$B$3,""))</f>
        <v/>
      </c>
      <c r="Z25" s="73">
        <f>IF($B25="","",IFERROR($Y25/$Y$5,""))</f>
        <v/>
      </c>
    </row>
    <row r="26">
      <c r="B26" s="97" t="n"/>
      <c r="C26" s="8">
        <f>IF($A26="","",$A26&amp;" Equity")</f>
        <v/>
      </c>
      <c r="D26" s="8">
        <f>IF($C26="","",BDP($C26,"NAME"))</f>
        <v/>
      </c>
      <c r="E26" s="8">
        <f>IF($C26="","",BDP($C26,"GICS_SECTOR_NAME"))</f>
        <v/>
      </c>
      <c r="F26" s="37">
        <f>IF($C26="","",BDP($C26,FLD_CCY))</f>
        <v/>
      </c>
      <c r="G26" s="12">
        <f>IFERROR(IF(LEN($F26)&lt;&gt;3,1,IF($F26="HKD",1,BDP(IF($F26="CNY",RMB_CROSS,$F26)&amp;"HKD Curncy","PX_LAST"))),1)</f>
        <v/>
      </c>
      <c r="H26" s="69">
        <f>IF($C26="","",BDP($C26,FLD_DPS12M))</f>
        <v/>
      </c>
      <c r="I26" s="50">
        <f>IF($C26="","",BDP($C26,FLD_YLD12M))</f>
        <v/>
      </c>
      <c r="J26" s="52">
        <f>IF($B26="",0,SUMPRODUCT(('Dvd Calendar'!$E$220:$AR$220&gt;=DATE(YEAR_Y,1,1))*('Dvd Calendar'!$E$220:$AR$220&lt;=REALIZED_TO)*'Dvd Calendar'!$E$223:$AR$223*(('Dvd Calendar'!$E$225:$AR$225=TYPE1)*(TYPE1&lt;&gt;"")+('Dvd Calendar'!$E$225:$AR$225=TYPE2)*(TYPE2&lt;&gt;"")+('Dvd Calendar'!$E$225:$AR$225=TYPE3)*(TYPE3&lt;&gt;"")+('Dvd Calendar'!$E$225:$AR$225=TYPE4)*(TYPE4&lt;&gt;"")+('Dvd Calendar'!$E$225:$AR$225=SPECIAL_LBL)*(INC_SPECIALS="Y"))))</f>
        <v/>
      </c>
      <c r="K26" s="52">
        <f>IF($B26="",0,SUMIFS('Dvd Calendar'!$E$228:$AR$228,'Dvd Calendar'!$E$227:$AR$227,"&gt;"&amp;PROJ_FROM,'Dvd Calendar'!$E$227:$AR$227,"&lt;="&amp;DATE(YEAR_Y,12,31))+SUMPRODUCT(('Dvd Calendar'!$E$220:$AR$220&gt;PROJ_FROM)*('Dvd Calendar'!$E$220:$AR$220&lt;=DATE(YEAR_Y,12,31))*'Dvd Calendar'!$E$223:$AR$223*(('Dvd Calendar'!$E$225:$AR$225=TYPE1)*(TYPE1&lt;&gt;"")+('Dvd Calendar'!$E$225:$AR$225=TYPE2)*(TYPE2&lt;&gt;"")+('Dvd Calendar'!$E$225:$AR$225=TYPE3)*(TYPE3&lt;&gt;"")+('Dvd Calendar'!$E$225:$AR$225=TYPE4)*(TYPE4&lt;&gt;"")+('Dvd Calendar'!$E$225:$AR$225=SPECIAL_LBL)*(INC_SPECIALS="Y"))*(COUNTIF('Dvd Calendar'!$E$227:$AR$227,'Dvd Calendar'!$E$220:$AR$220)=0)))</f>
        <v/>
      </c>
      <c r="L26" s="52">
        <f>IF($B26="",0,IF((OV_SWITCH="ON")*(COUNTIFS(OVR_TICKERS,$C26,OVR_BASE,"&gt;=0")&gt;0)&gt;0,SUMIFS(OVR_BASE,OVR_TICKERS,$C26),$K26))</f>
        <v/>
      </c>
      <c r="M26" s="52">
        <f>IF($B26="",0,IF((OV_SWITCH="ON")*(COUNTIFS(OVR_TICKERS,$C26,OVR_LOW,"&gt;=0")&gt;0)&gt;0,SUMIFS(OVR_LOW,OVR_TICKERS,$C26),$L26))</f>
        <v/>
      </c>
      <c r="N26" s="52">
        <f>IF($B26="",0,IF((OV_SWITCH="ON")*(COUNTIFS(OVR_TICKERS,$C26,OVR_HIGH,"&gt;=0")&gt;0)&gt;0,SUMIFS(OVR_HIGH,OVR_TICKERS,$C26),$L26))</f>
        <v/>
      </c>
      <c r="O26" s="69">
        <f>IF($B26="","",IFERROR($B26*$G26*$J26/$B$3,""))</f>
        <v/>
      </c>
      <c r="P26" s="69">
        <f>IF($B26="","",IFERROR($B26*$G26*$L26/$B$3,""))</f>
        <v/>
      </c>
      <c r="Q26" s="44">
        <f>IF($B26="","",IFERROR($O26+$P26,""))</f>
        <v/>
      </c>
      <c r="R26" s="69">
        <f>IF($B26="","",IFERROR($O26+$B26*$G26*$M26/$B$3,""))</f>
        <v/>
      </c>
      <c r="S26" s="69">
        <f>IF($B26="","",IFERROR($O26+$B26*$G26*$N26/$B$3,""))</f>
        <v/>
      </c>
      <c r="T26" s="88">
        <f>IF($B26="","",IFERROR($Q26/$Q$5,""))</f>
        <v/>
      </c>
      <c r="U26" s="2">
        <f>IF($B26="","",IF(COUNTIFS('Dvd Calendar'!$E$226:$AR$226,"&gt;0",'Dvd Calendar'!$E$226:$AR$226,"&lt;="&amp;VAL_DATE,'Dvd Calendar'!$E$227:$AR$227,"&gt;"&amp;PROJ_FROM,'Dvd Calendar'!$E$227:$AR$227,"&lt;="&amp;DATE(YEAR_Y,12,31))-COUNTIFS('Dvd Calendar'!$E$226:$AR$226,"&gt;0",'Dvd Calendar'!$E$226:$AR$226,"&lt;="&amp;VAL_DATE,'Dvd Calendar'!$E$227:$AR$227,"&gt;"&amp;PROJ_FROM,'Dvd Calendar'!$E$227:$AR$227,"&lt;="&amp;DATE(YEAR_Y,12,31),'Dvd Calendar'!$E$228:$AR$228,"&gt;=0")&gt;0,"TBA amount - override me",IF((OV_SWITCH="ON")*(COUNTIFS(OVR_TICKERS,$C26,OVR_BASE,"&gt;=0")&gt;0)&gt;0,"overridden",IF($J26+$K26=0,"no dividend in year Y",""))))</f>
        <v/>
      </c>
      <c r="V26" s="69">
        <f>IF($B26="","",IFERROR(IF(ISNUMBER($H26),$B26*$G26*$H26/$B$3,0),""))</f>
        <v/>
      </c>
      <c r="W26" s="69">
        <f>IF($B26="","",IFERROR($B26*$G26*$K26/$B$3,""))</f>
        <v/>
      </c>
      <c r="X26" s="98">
        <f>IF($C26="","",BDP($C26,"PX_LAST"))</f>
        <v/>
      </c>
      <c r="Y26" s="69">
        <f>IF($B26="","",IFERROR($B26*$X26/$B$3,""))</f>
        <v/>
      </c>
      <c r="Z26" s="73">
        <f>IF($B26="","",IFERROR($Y26/$Y$5,""))</f>
        <v/>
      </c>
    </row>
    <row r="27">
      <c r="B27" s="97" t="n"/>
      <c r="C27" s="8">
        <f>IF($A27="","",$A27&amp;" Equity")</f>
        <v/>
      </c>
      <c r="D27" s="8">
        <f>IF($C27="","",BDP($C27,"NAME"))</f>
        <v/>
      </c>
      <c r="E27" s="8">
        <f>IF($C27="","",BDP($C27,"GICS_SECTOR_NAME"))</f>
        <v/>
      </c>
      <c r="F27" s="37">
        <f>IF($C27="","",BDP($C27,FLD_CCY))</f>
        <v/>
      </c>
      <c r="G27" s="12">
        <f>IFERROR(IF(LEN($F27)&lt;&gt;3,1,IF($F27="HKD",1,BDP(IF($F27="CNY",RMB_CROSS,$F27)&amp;"HKD Curncy","PX_LAST"))),1)</f>
        <v/>
      </c>
      <c r="H27" s="69">
        <f>IF($C27="","",BDP($C27,FLD_DPS12M))</f>
        <v/>
      </c>
      <c r="I27" s="50">
        <f>IF($C27="","",BDP($C27,FLD_YLD12M))</f>
        <v/>
      </c>
      <c r="J27" s="52">
        <f>IF($B27="",0,SUMPRODUCT(('Dvd Calendar'!$E$231:$AR$231&gt;=DATE(YEAR_Y,1,1))*('Dvd Calendar'!$E$231:$AR$231&lt;=REALIZED_TO)*'Dvd Calendar'!$E$234:$AR$234*(('Dvd Calendar'!$E$236:$AR$236=TYPE1)*(TYPE1&lt;&gt;"")+('Dvd Calendar'!$E$236:$AR$236=TYPE2)*(TYPE2&lt;&gt;"")+('Dvd Calendar'!$E$236:$AR$236=TYPE3)*(TYPE3&lt;&gt;"")+('Dvd Calendar'!$E$236:$AR$236=TYPE4)*(TYPE4&lt;&gt;"")+('Dvd Calendar'!$E$236:$AR$236=SPECIAL_LBL)*(INC_SPECIALS="Y"))))</f>
        <v/>
      </c>
      <c r="K27" s="52">
        <f>IF($B27="",0,SUMIFS('Dvd Calendar'!$E$239:$AR$239,'Dvd Calendar'!$E$238:$AR$238,"&gt;"&amp;PROJ_FROM,'Dvd Calendar'!$E$238:$AR$238,"&lt;="&amp;DATE(YEAR_Y,12,31))+SUMPRODUCT(('Dvd Calendar'!$E$231:$AR$231&gt;PROJ_FROM)*('Dvd Calendar'!$E$231:$AR$231&lt;=DATE(YEAR_Y,12,31))*'Dvd Calendar'!$E$234:$AR$234*(('Dvd Calendar'!$E$236:$AR$236=TYPE1)*(TYPE1&lt;&gt;"")+('Dvd Calendar'!$E$236:$AR$236=TYPE2)*(TYPE2&lt;&gt;"")+('Dvd Calendar'!$E$236:$AR$236=TYPE3)*(TYPE3&lt;&gt;"")+('Dvd Calendar'!$E$236:$AR$236=TYPE4)*(TYPE4&lt;&gt;"")+('Dvd Calendar'!$E$236:$AR$236=SPECIAL_LBL)*(INC_SPECIALS="Y"))*(COUNTIF('Dvd Calendar'!$E$238:$AR$238,'Dvd Calendar'!$E$231:$AR$231)=0)))</f>
        <v/>
      </c>
      <c r="L27" s="52">
        <f>IF($B27="",0,IF((OV_SWITCH="ON")*(COUNTIFS(OVR_TICKERS,$C27,OVR_BASE,"&gt;=0")&gt;0)&gt;0,SUMIFS(OVR_BASE,OVR_TICKERS,$C27),$K27))</f>
        <v/>
      </c>
      <c r="M27" s="52">
        <f>IF($B27="",0,IF((OV_SWITCH="ON")*(COUNTIFS(OVR_TICKERS,$C27,OVR_LOW,"&gt;=0")&gt;0)&gt;0,SUMIFS(OVR_LOW,OVR_TICKERS,$C27),$L27))</f>
        <v/>
      </c>
      <c r="N27" s="52">
        <f>IF($B27="",0,IF((OV_SWITCH="ON")*(COUNTIFS(OVR_TICKERS,$C27,OVR_HIGH,"&gt;=0")&gt;0)&gt;0,SUMIFS(OVR_HIGH,OVR_TICKERS,$C27),$L27))</f>
        <v/>
      </c>
      <c r="O27" s="69">
        <f>IF($B27="","",IFERROR($B27*$G27*$J27/$B$3,""))</f>
        <v/>
      </c>
      <c r="P27" s="69">
        <f>IF($B27="","",IFERROR($B27*$G27*$L27/$B$3,""))</f>
        <v/>
      </c>
      <c r="Q27" s="44">
        <f>IF($B27="","",IFERROR($O27+$P27,""))</f>
        <v/>
      </c>
      <c r="R27" s="69">
        <f>IF($B27="","",IFERROR($O27+$B27*$G27*$M27/$B$3,""))</f>
        <v/>
      </c>
      <c r="S27" s="69">
        <f>IF($B27="","",IFERROR($O27+$B27*$G27*$N27/$B$3,""))</f>
        <v/>
      </c>
      <c r="T27" s="88">
        <f>IF($B27="","",IFERROR($Q27/$Q$5,""))</f>
        <v/>
      </c>
      <c r="U27" s="2">
        <f>IF($B27="","",IF(COUNTIFS('Dvd Calendar'!$E$237:$AR$237,"&gt;0",'Dvd Calendar'!$E$237:$AR$237,"&lt;="&amp;VAL_DATE,'Dvd Calendar'!$E$238:$AR$238,"&gt;"&amp;PROJ_FROM,'Dvd Calendar'!$E$238:$AR$238,"&lt;="&amp;DATE(YEAR_Y,12,31))-COUNTIFS('Dvd Calendar'!$E$237:$AR$237,"&gt;0",'Dvd Calendar'!$E$237:$AR$237,"&lt;="&amp;VAL_DATE,'Dvd Calendar'!$E$238:$AR$238,"&gt;"&amp;PROJ_FROM,'Dvd Calendar'!$E$238:$AR$238,"&lt;="&amp;DATE(YEAR_Y,12,31),'Dvd Calendar'!$E$239:$AR$239,"&gt;=0")&gt;0,"TBA amount - override me",IF((OV_SWITCH="ON")*(COUNTIFS(OVR_TICKERS,$C27,OVR_BASE,"&gt;=0")&gt;0)&gt;0,"overridden",IF($J27+$K27=0,"no dividend in year Y",""))))</f>
        <v/>
      </c>
      <c r="V27" s="69">
        <f>IF($B27="","",IFERROR(IF(ISNUMBER($H27),$B27*$G27*$H27/$B$3,0),""))</f>
        <v/>
      </c>
      <c r="W27" s="69">
        <f>IF($B27="","",IFERROR($B27*$G27*$K27/$B$3,""))</f>
        <v/>
      </c>
      <c r="X27" s="98">
        <f>IF($C27="","",BDP($C27,"PX_LAST"))</f>
        <v/>
      </c>
      <c r="Y27" s="69">
        <f>IF($B27="","",IFERROR($B27*$X27/$B$3,""))</f>
        <v/>
      </c>
      <c r="Z27" s="73">
        <f>IF($B27="","",IFERROR($Y27/$Y$5,""))</f>
        <v/>
      </c>
    </row>
    <row r="28">
      <c r="B28" s="97" t="n"/>
      <c r="C28" s="8">
        <f>IF($A28="","",$A28&amp;" Equity")</f>
        <v/>
      </c>
      <c r="D28" s="8">
        <f>IF($C28="","",BDP($C28,"NAME"))</f>
        <v/>
      </c>
      <c r="E28" s="8">
        <f>IF($C28="","",BDP($C28,"GICS_SECTOR_NAME"))</f>
        <v/>
      </c>
      <c r="F28" s="37">
        <f>IF($C28="","",BDP($C28,FLD_CCY))</f>
        <v/>
      </c>
      <c r="G28" s="12">
        <f>IFERROR(IF(LEN($F28)&lt;&gt;3,1,IF($F28="HKD",1,BDP(IF($F28="CNY",RMB_CROSS,$F28)&amp;"HKD Curncy","PX_LAST"))),1)</f>
        <v/>
      </c>
      <c r="H28" s="69">
        <f>IF($C28="","",BDP($C28,FLD_DPS12M))</f>
        <v/>
      </c>
      <c r="I28" s="50">
        <f>IF($C28="","",BDP($C28,FLD_YLD12M))</f>
        <v/>
      </c>
      <c r="J28" s="52">
        <f>IF($B28="",0,SUMPRODUCT(('Dvd Calendar'!$E$242:$AR$242&gt;=DATE(YEAR_Y,1,1))*('Dvd Calendar'!$E$242:$AR$242&lt;=REALIZED_TO)*'Dvd Calendar'!$E$245:$AR$245*(('Dvd Calendar'!$E$247:$AR$247=TYPE1)*(TYPE1&lt;&gt;"")+('Dvd Calendar'!$E$247:$AR$247=TYPE2)*(TYPE2&lt;&gt;"")+('Dvd Calendar'!$E$247:$AR$247=TYPE3)*(TYPE3&lt;&gt;"")+('Dvd Calendar'!$E$247:$AR$247=TYPE4)*(TYPE4&lt;&gt;"")+('Dvd Calendar'!$E$247:$AR$247=SPECIAL_LBL)*(INC_SPECIALS="Y"))))</f>
        <v/>
      </c>
      <c r="K28" s="52">
        <f>IF($B28="",0,SUMIFS('Dvd Calendar'!$E$250:$AR$250,'Dvd Calendar'!$E$249:$AR$249,"&gt;"&amp;PROJ_FROM,'Dvd Calendar'!$E$249:$AR$249,"&lt;="&amp;DATE(YEAR_Y,12,31))+SUMPRODUCT(('Dvd Calendar'!$E$242:$AR$242&gt;PROJ_FROM)*('Dvd Calendar'!$E$242:$AR$242&lt;=DATE(YEAR_Y,12,31))*'Dvd Calendar'!$E$245:$AR$245*(('Dvd Calendar'!$E$247:$AR$247=TYPE1)*(TYPE1&lt;&gt;"")+('Dvd Calendar'!$E$247:$AR$247=TYPE2)*(TYPE2&lt;&gt;"")+('Dvd Calendar'!$E$247:$AR$247=TYPE3)*(TYPE3&lt;&gt;"")+('Dvd Calendar'!$E$247:$AR$247=TYPE4)*(TYPE4&lt;&gt;"")+('Dvd Calendar'!$E$247:$AR$247=SPECIAL_LBL)*(INC_SPECIALS="Y"))*(COUNTIF('Dvd Calendar'!$E$249:$AR$249,'Dvd Calendar'!$E$242:$AR$242)=0)))</f>
        <v/>
      </c>
      <c r="L28" s="52">
        <f>IF($B28="",0,IF((OV_SWITCH="ON")*(COUNTIFS(OVR_TICKERS,$C28,OVR_BASE,"&gt;=0")&gt;0)&gt;0,SUMIFS(OVR_BASE,OVR_TICKERS,$C28),$K28))</f>
        <v/>
      </c>
      <c r="M28" s="52">
        <f>IF($B28="",0,IF((OV_SWITCH="ON")*(COUNTIFS(OVR_TICKERS,$C28,OVR_LOW,"&gt;=0")&gt;0)&gt;0,SUMIFS(OVR_LOW,OVR_TICKERS,$C28),$L28))</f>
        <v/>
      </c>
      <c r="N28" s="52">
        <f>IF($B28="",0,IF((OV_SWITCH="ON")*(COUNTIFS(OVR_TICKERS,$C28,OVR_HIGH,"&gt;=0")&gt;0)&gt;0,SUMIFS(OVR_HIGH,OVR_TICKERS,$C28),$L28))</f>
        <v/>
      </c>
      <c r="O28" s="69">
        <f>IF($B28="","",IFERROR($B28*$G28*$J28/$B$3,""))</f>
        <v/>
      </c>
      <c r="P28" s="69">
        <f>IF($B28="","",IFERROR($B28*$G28*$L28/$B$3,""))</f>
        <v/>
      </c>
      <c r="Q28" s="44">
        <f>IF($B28="","",IFERROR($O28+$P28,""))</f>
        <v/>
      </c>
      <c r="R28" s="69">
        <f>IF($B28="","",IFERROR($O28+$B28*$G28*$M28/$B$3,""))</f>
        <v/>
      </c>
      <c r="S28" s="69">
        <f>IF($B28="","",IFERROR($O28+$B28*$G28*$N28/$B$3,""))</f>
        <v/>
      </c>
      <c r="T28" s="88">
        <f>IF($B28="","",IFERROR($Q28/$Q$5,""))</f>
        <v/>
      </c>
      <c r="U28" s="2">
        <f>IF($B28="","",IF(COUNTIFS('Dvd Calendar'!$E$248:$AR$248,"&gt;0",'Dvd Calendar'!$E$248:$AR$248,"&lt;="&amp;VAL_DATE,'Dvd Calendar'!$E$249:$AR$249,"&gt;"&amp;PROJ_FROM,'Dvd Calendar'!$E$249:$AR$249,"&lt;="&amp;DATE(YEAR_Y,12,31))-COUNTIFS('Dvd Calendar'!$E$248:$AR$248,"&gt;0",'Dvd Calendar'!$E$248:$AR$248,"&lt;="&amp;VAL_DATE,'Dvd Calendar'!$E$249:$AR$249,"&gt;"&amp;PROJ_FROM,'Dvd Calendar'!$E$249:$AR$249,"&lt;="&amp;DATE(YEAR_Y,12,31),'Dvd Calendar'!$E$250:$AR$250,"&gt;=0")&gt;0,"TBA amount - override me",IF((OV_SWITCH="ON")*(COUNTIFS(OVR_TICKERS,$C28,OVR_BASE,"&gt;=0")&gt;0)&gt;0,"overridden",IF($J28+$K28=0,"no dividend in year Y",""))))</f>
        <v/>
      </c>
      <c r="V28" s="69">
        <f>IF($B28="","",IFERROR(IF(ISNUMBER($H28),$B28*$G28*$H28/$B$3,0),""))</f>
        <v/>
      </c>
      <c r="W28" s="69">
        <f>IF($B28="","",IFERROR($B28*$G28*$K28/$B$3,""))</f>
        <v/>
      </c>
      <c r="X28" s="98">
        <f>IF($C28="","",BDP($C28,"PX_LAST"))</f>
        <v/>
      </c>
      <c r="Y28" s="69">
        <f>IF($B28="","",IFERROR($B28*$X28/$B$3,""))</f>
        <v/>
      </c>
      <c r="Z28" s="73">
        <f>IF($B28="","",IFERROR($Y28/$Y$5,""))</f>
        <v/>
      </c>
    </row>
    <row r="29">
      <c r="B29" s="97" t="n"/>
      <c r="C29" s="8">
        <f>IF($A29="","",$A29&amp;" Equity")</f>
        <v/>
      </c>
      <c r="D29" s="8">
        <f>IF($C29="","",BDP($C29,"NAME"))</f>
        <v/>
      </c>
      <c r="E29" s="8">
        <f>IF($C29="","",BDP($C29,"GICS_SECTOR_NAME"))</f>
        <v/>
      </c>
      <c r="F29" s="37">
        <f>IF($C29="","",BDP($C29,FLD_CCY))</f>
        <v/>
      </c>
      <c r="G29" s="12">
        <f>IFERROR(IF(LEN($F29)&lt;&gt;3,1,IF($F29="HKD",1,BDP(IF($F29="CNY",RMB_CROSS,$F29)&amp;"HKD Curncy","PX_LAST"))),1)</f>
        <v/>
      </c>
      <c r="H29" s="69">
        <f>IF($C29="","",BDP($C29,FLD_DPS12M))</f>
        <v/>
      </c>
      <c r="I29" s="50">
        <f>IF($C29="","",BDP($C29,FLD_YLD12M))</f>
        <v/>
      </c>
      <c r="J29" s="52">
        <f>IF($B29="",0,SUMPRODUCT(('Dvd Calendar'!$E$253:$AR$253&gt;=DATE(YEAR_Y,1,1))*('Dvd Calendar'!$E$253:$AR$253&lt;=REALIZED_TO)*'Dvd Calendar'!$E$256:$AR$256*(('Dvd Calendar'!$E$258:$AR$258=TYPE1)*(TYPE1&lt;&gt;"")+('Dvd Calendar'!$E$258:$AR$258=TYPE2)*(TYPE2&lt;&gt;"")+('Dvd Calendar'!$E$258:$AR$258=TYPE3)*(TYPE3&lt;&gt;"")+('Dvd Calendar'!$E$258:$AR$258=TYPE4)*(TYPE4&lt;&gt;"")+('Dvd Calendar'!$E$258:$AR$258=SPECIAL_LBL)*(INC_SPECIALS="Y"))))</f>
        <v/>
      </c>
      <c r="K29" s="52">
        <f>IF($B29="",0,SUMIFS('Dvd Calendar'!$E$261:$AR$261,'Dvd Calendar'!$E$260:$AR$260,"&gt;"&amp;PROJ_FROM,'Dvd Calendar'!$E$260:$AR$260,"&lt;="&amp;DATE(YEAR_Y,12,31))+SUMPRODUCT(('Dvd Calendar'!$E$253:$AR$253&gt;PROJ_FROM)*('Dvd Calendar'!$E$253:$AR$253&lt;=DATE(YEAR_Y,12,31))*'Dvd Calendar'!$E$256:$AR$256*(('Dvd Calendar'!$E$258:$AR$258=TYPE1)*(TYPE1&lt;&gt;"")+('Dvd Calendar'!$E$258:$AR$258=TYPE2)*(TYPE2&lt;&gt;"")+('Dvd Calendar'!$E$258:$AR$258=TYPE3)*(TYPE3&lt;&gt;"")+('Dvd Calendar'!$E$258:$AR$258=TYPE4)*(TYPE4&lt;&gt;"")+('Dvd Calendar'!$E$258:$AR$258=SPECIAL_LBL)*(INC_SPECIALS="Y"))*(COUNTIF('Dvd Calendar'!$E$260:$AR$260,'Dvd Calendar'!$E$253:$AR$253)=0)))</f>
        <v/>
      </c>
      <c r="L29" s="52">
        <f>IF($B29="",0,IF((OV_SWITCH="ON")*(COUNTIFS(OVR_TICKERS,$C29,OVR_BASE,"&gt;=0")&gt;0)&gt;0,SUMIFS(OVR_BASE,OVR_TICKERS,$C29),$K29))</f>
        <v/>
      </c>
      <c r="M29" s="52">
        <f>IF($B29="",0,IF((OV_SWITCH="ON")*(COUNTIFS(OVR_TICKERS,$C29,OVR_LOW,"&gt;=0")&gt;0)&gt;0,SUMIFS(OVR_LOW,OVR_TICKERS,$C29),$L29))</f>
        <v/>
      </c>
      <c r="N29" s="52">
        <f>IF($B29="",0,IF((OV_SWITCH="ON")*(COUNTIFS(OVR_TICKERS,$C29,OVR_HIGH,"&gt;=0")&gt;0)&gt;0,SUMIFS(OVR_HIGH,OVR_TICKERS,$C29),$L29))</f>
        <v/>
      </c>
      <c r="O29" s="69">
        <f>IF($B29="","",IFERROR($B29*$G29*$J29/$B$3,""))</f>
        <v/>
      </c>
      <c r="P29" s="69">
        <f>IF($B29="","",IFERROR($B29*$G29*$L29/$B$3,""))</f>
        <v/>
      </c>
      <c r="Q29" s="44">
        <f>IF($B29="","",IFERROR($O29+$P29,""))</f>
        <v/>
      </c>
      <c r="R29" s="69">
        <f>IF($B29="","",IFERROR($O29+$B29*$G29*$M29/$B$3,""))</f>
        <v/>
      </c>
      <c r="S29" s="69">
        <f>IF($B29="","",IFERROR($O29+$B29*$G29*$N29/$B$3,""))</f>
        <v/>
      </c>
      <c r="T29" s="88">
        <f>IF($B29="","",IFERROR($Q29/$Q$5,""))</f>
        <v/>
      </c>
      <c r="U29" s="2">
        <f>IF($B29="","",IF(COUNTIFS('Dvd Calendar'!$E$259:$AR$259,"&gt;0",'Dvd Calendar'!$E$259:$AR$259,"&lt;="&amp;VAL_DATE,'Dvd Calendar'!$E$260:$AR$260,"&gt;"&amp;PROJ_FROM,'Dvd Calendar'!$E$260:$AR$260,"&lt;="&amp;DATE(YEAR_Y,12,31))-COUNTIFS('Dvd Calendar'!$E$259:$AR$259,"&gt;0",'Dvd Calendar'!$E$259:$AR$259,"&lt;="&amp;VAL_DATE,'Dvd Calendar'!$E$260:$AR$260,"&gt;"&amp;PROJ_FROM,'Dvd Calendar'!$E$260:$AR$260,"&lt;="&amp;DATE(YEAR_Y,12,31),'Dvd Calendar'!$E$261:$AR$261,"&gt;=0")&gt;0,"TBA amount - override me",IF((OV_SWITCH="ON")*(COUNTIFS(OVR_TICKERS,$C29,OVR_BASE,"&gt;=0")&gt;0)&gt;0,"overridden",IF($J29+$K29=0,"no dividend in year Y",""))))</f>
        <v/>
      </c>
      <c r="V29" s="69">
        <f>IF($B29="","",IFERROR(IF(ISNUMBER($H29),$B29*$G29*$H29/$B$3,0),""))</f>
        <v/>
      </c>
      <c r="W29" s="69">
        <f>IF($B29="","",IFERROR($B29*$G29*$K29/$B$3,""))</f>
        <v/>
      </c>
      <c r="X29" s="98">
        <f>IF($C29="","",BDP($C29,"PX_LAST"))</f>
        <v/>
      </c>
      <c r="Y29" s="69">
        <f>IF($B29="","",IFERROR($B29*$X29/$B$3,""))</f>
        <v/>
      </c>
      <c r="Z29" s="73">
        <f>IF($B29="","",IFERROR($Y29/$Y$5,""))</f>
        <v/>
      </c>
    </row>
    <row r="30">
      <c r="B30" s="97" t="n"/>
      <c r="C30" s="8">
        <f>IF($A30="","",$A30&amp;" Equity")</f>
        <v/>
      </c>
      <c r="D30" s="8">
        <f>IF($C30="","",BDP($C30,"NAME"))</f>
        <v/>
      </c>
      <c r="E30" s="8">
        <f>IF($C30="","",BDP($C30,"GICS_SECTOR_NAME"))</f>
        <v/>
      </c>
      <c r="F30" s="37">
        <f>IF($C30="","",BDP($C30,FLD_CCY))</f>
        <v/>
      </c>
      <c r="G30" s="12">
        <f>IFERROR(IF(LEN($F30)&lt;&gt;3,1,IF($F30="HKD",1,BDP(IF($F30="CNY",RMB_CROSS,$F30)&amp;"HKD Curncy","PX_LAST"))),1)</f>
        <v/>
      </c>
      <c r="H30" s="69">
        <f>IF($C30="","",BDP($C30,FLD_DPS12M))</f>
        <v/>
      </c>
      <c r="I30" s="50">
        <f>IF($C30="","",BDP($C30,FLD_YLD12M))</f>
        <v/>
      </c>
      <c r="J30" s="52">
        <f>IF($B30="",0,SUMPRODUCT(('Dvd Calendar'!$E$264:$AR$264&gt;=DATE(YEAR_Y,1,1))*('Dvd Calendar'!$E$264:$AR$264&lt;=REALIZED_TO)*'Dvd Calendar'!$E$267:$AR$267*(('Dvd Calendar'!$E$269:$AR$269=TYPE1)*(TYPE1&lt;&gt;"")+('Dvd Calendar'!$E$269:$AR$269=TYPE2)*(TYPE2&lt;&gt;"")+('Dvd Calendar'!$E$269:$AR$269=TYPE3)*(TYPE3&lt;&gt;"")+('Dvd Calendar'!$E$269:$AR$269=TYPE4)*(TYPE4&lt;&gt;"")+('Dvd Calendar'!$E$269:$AR$269=SPECIAL_LBL)*(INC_SPECIALS="Y"))))</f>
        <v/>
      </c>
      <c r="K30" s="52">
        <f>IF($B30="",0,SUMIFS('Dvd Calendar'!$E$272:$AR$272,'Dvd Calendar'!$E$271:$AR$271,"&gt;"&amp;PROJ_FROM,'Dvd Calendar'!$E$271:$AR$271,"&lt;="&amp;DATE(YEAR_Y,12,31))+SUMPRODUCT(('Dvd Calendar'!$E$264:$AR$264&gt;PROJ_FROM)*('Dvd Calendar'!$E$264:$AR$264&lt;=DATE(YEAR_Y,12,31))*'Dvd Calendar'!$E$267:$AR$267*(('Dvd Calendar'!$E$269:$AR$269=TYPE1)*(TYPE1&lt;&gt;"")+('Dvd Calendar'!$E$269:$AR$269=TYPE2)*(TYPE2&lt;&gt;"")+('Dvd Calendar'!$E$269:$AR$269=TYPE3)*(TYPE3&lt;&gt;"")+('Dvd Calendar'!$E$269:$AR$269=TYPE4)*(TYPE4&lt;&gt;"")+('Dvd Calendar'!$E$269:$AR$269=SPECIAL_LBL)*(INC_SPECIALS="Y"))*(COUNTIF('Dvd Calendar'!$E$271:$AR$271,'Dvd Calendar'!$E$264:$AR$264)=0)))</f>
        <v/>
      </c>
      <c r="L30" s="52">
        <f>IF($B30="",0,IF((OV_SWITCH="ON")*(COUNTIFS(OVR_TICKERS,$C30,OVR_BASE,"&gt;=0")&gt;0)&gt;0,SUMIFS(OVR_BASE,OVR_TICKERS,$C30),$K30))</f>
        <v/>
      </c>
      <c r="M30" s="52">
        <f>IF($B30="",0,IF((OV_SWITCH="ON")*(COUNTIFS(OVR_TICKERS,$C30,OVR_LOW,"&gt;=0")&gt;0)&gt;0,SUMIFS(OVR_LOW,OVR_TICKERS,$C30),$L30))</f>
        <v/>
      </c>
      <c r="N30" s="52">
        <f>IF($B30="",0,IF((OV_SWITCH="ON")*(COUNTIFS(OVR_TICKERS,$C30,OVR_HIGH,"&gt;=0")&gt;0)&gt;0,SUMIFS(OVR_HIGH,OVR_TICKERS,$C30),$L30))</f>
        <v/>
      </c>
      <c r="O30" s="69">
        <f>IF($B30="","",IFERROR($B30*$G30*$J30/$B$3,""))</f>
        <v/>
      </c>
      <c r="P30" s="69">
        <f>IF($B30="","",IFERROR($B30*$G30*$L30/$B$3,""))</f>
        <v/>
      </c>
      <c r="Q30" s="44">
        <f>IF($B30="","",IFERROR($O30+$P30,""))</f>
        <v/>
      </c>
      <c r="R30" s="69">
        <f>IF($B30="","",IFERROR($O30+$B30*$G30*$M30/$B$3,""))</f>
        <v/>
      </c>
      <c r="S30" s="69">
        <f>IF($B30="","",IFERROR($O30+$B30*$G30*$N30/$B$3,""))</f>
        <v/>
      </c>
      <c r="T30" s="88">
        <f>IF($B30="","",IFERROR($Q30/$Q$5,""))</f>
        <v/>
      </c>
      <c r="U30" s="2">
        <f>IF($B30="","",IF(COUNTIFS('Dvd Calendar'!$E$270:$AR$270,"&gt;0",'Dvd Calendar'!$E$270:$AR$270,"&lt;="&amp;VAL_DATE,'Dvd Calendar'!$E$271:$AR$271,"&gt;"&amp;PROJ_FROM,'Dvd Calendar'!$E$271:$AR$271,"&lt;="&amp;DATE(YEAR_Y,12,31))-COUNTIFS('Dvd Calendar'!$E$270:$AR$270,"&gt;0",'Dvd Calendar'!$E$270:$AR$270,"&lt;="&amp;VAL_DATE,'Dvd Calendar'!$E$271:$AR$271,"&gt;"&amp;PROJ_FROM,'Dvd Calendar'!$E$271:$AR$271,"&lt;="&amp;DATE(YEAR_Y,12,31),'Dvd Calendar'!$E$272:$AR$272,"&gt;=0")&gt;0,"TBA amount - override me",IF((OV_SWITCH="ON")*(COUNTIFS(OVR_TICKERS,$C30,OVR_BASE,"&gt;=0")&gt;0)&gt;0,"overridden",IF($J30+$K30=0,"no dividend in year Y",""))))</f>
        <v/>
      </c>
      <c r="V30" s="69">
        <f>IF($B30="","",IFERROR(IF(ISNUMBER($H30),$B30*$G30*$H30/$B$3,0),""))</f>
        <v/>
      </c>
      <c r="W30" s="69">
        <f>IF($B30="","",IFERROR($B30*$G30*$K30/$B$3,""))</f>
        <v/>
      </c>
      <c r="X30" s="98">
        <f>IF($C30="","",BDP($C30,"PX_LAST"))</f>
        <v/>
      </c>
      <c r="Y30" s="69">
        <f>IF($B30="","",IFERROR($B30*$X30/$B$3,""))</f>
        <v/>
      </c>
      <c r="Z30" s="73">
        <f>IF($B30="","",IFERROR($Y30/$Y$5,""))</f>
        <v/>
      </c>
    </row>
    <row r="31">
      <c r="B31" s="97" t="n"/>
      <c r="C31" s="8">
        <f>IF($A31="","",$A31&amp;" Equity")</f>
        <v/>
      </c>
      <c r="D31" s="8">
        <f>IF($C31="","",BDP($C31,"NAME"))</f>
        <v/>
      </c>
      <c r="E31" s="8">
        <f>IF($C31="","",BDP($C31,"GICS_SECTOR_NAME"))</f>
        <v/>
      </c>
      <c r="F31" s="37">
        <f>IF($C31="","",BDP($C31,FLD_CCY))</f>
        <v/>
      </c>
      <c r="G31" s="12">
        <f>IFERROR(IF(LEN($F31)&lt;&gt;3,1,IF($F31="HKD",1,BDP(IF($F31="CNY",RMB_CROSS,$F31)&amp;"HKD Curncy","PX_LAST"))),1)</f>
        <v/>
      </c>
      <c r="H31" s="69">
        <f>IF($C31="","",BDP($C31,FLD_DPS12M))</f>
        <v/>
      </c>
      <c r="I31" s="50">
        <f>IF($C31="","",BDP($C31,FLD_YLD12M))</f>
        <v/>
      </c>
      <c r="J31" s="52">
        <f>IF($B31="",0,SUMPRODUCT(('Dvd Calendar'!$E$275:$AR$275&gt;=DATE(YEAR_Y,1,1))*('Dvd Calendar'!$E$275:$AR$275&lt;=REALIZED_TO)*'Dvd Calendar'!$E$278:$AR$278*(('Dvd Calendar'!$E$280:$AR$280=TYPE1)*(TYPE1&lt;&gt;"")+('Dvd Calendar'!$E$280:$AR$280=TYPE2)*(TYPE2&lt;&gt;"")+('Dvd Calendar'!$E$280:$AR$280=TYPE3)*(TYPE3&lt;&gt;"")+('Dvd Calendar'!$E$280:$AR$280=TYPE4)*(TYPE4&lt;&gt;"")+('Dvd Calendar'!$E$280:$AR$280=SPECIAL_LBL)*(INC_SPECIALS="Y"))))</f>
        <v/>
      </c>
      <c r="K31" s="52">
        <f>IF($B31="",0,SUMIFS('Dvd Calendar'!$E$283:$AR$283,'Dvd Calendar'!$E$282:$AR$282,"&gt;"&amp;PROJ_FROM,'Dvd Calendar'!$E$282:$AR$282,"&lt;="&amp;DATE(YEAR_Y,12,31))+SUMPRODUCT(('Dvd Calendar'!$E$275:$AR$275&gt;PROJ_FROM)*('Dvd Calendar'!$E$275:$AR$275&lt;=DATE(YEAR_Y,12,31))*'Dvd Calendar'!$E$278:$AR$278*(('Dvd Calendar'!$E$280:$AR$280=TYPE1)*(TYPE1&lt;&gt;"")+('Dvd Calendar'!$E$280:$AR$280=TYPE2)*(TYPE2&lt;&gt;"")+('Dvd Calendar'!$E$280:$AR$280=TYPE3)*(TYPE3&lt;&gt;"")+('Dvd Calendar'!$E$280:$AR$280=TYPE4)*(TYPE4&lt;&gt;"")+('Dvd Calendar'!$E$280:$AR$280=SPECIAL_LBL)*(INC_SPECIALS="Y"))*(COUNTIF('Dvd Calendar'!$E$282:$AR$282,'Dvd Calendar'!$E$275:$AR$275)=0)))</f>
        <v/>
      </c>
      <c r="L31" s="52">
        <f>IF($B31="",0,IF((OV_SWITCH="ON")*(COUNTIFS(OVR_TICKERS,$C31,OVR_BASE,"&gt;=0")&gt;0)&gt;0,SUMIFS(OVR_BASE,OVR_TICKERS,$C31),$K31))</f>
        <v/>
      </c>
      <c r="M31" s="52">
        <f>IF($B31="",0,IF((OV_SWITCH="ON")*(COUNTIFS(OVR_TICKERS,$C31,OVR_LOW,"&gt;=0")&gt;0)&gt;0,SUMIFS(OVR_LOW,OVR_TICKERS,$C31),$L31))</f>
        <v/>
      </c>
      <c r="N31" s="52">
        <f>IF($B31="",0,IF((OV_SWITCH="ON")*(COUNTIFS(OVR_TICKERS,$C31,OVR_HIGH,"&gt;=0")&gt;0)&gt;0,SUMIFS(OVR_HIGH,OVR_TICKERS,$C31),$L31))</f>
        <v/>
      </c>
      <c r="O31" s="69">
        <f>IF($B31="","",IFERROR($B31*$G31*$J31/$B$3,""))</f>
        <v/>
      </c>
      <c r="P31" s="69">
        <f>IF($B31="","",IFERROR($B31*$G31*$L31/$B$3,""))</f>
        <v/>
      </c>
      <c r="Q31" s="44">
        <f>IF($B31="","",IFERROR($O31+$P31,""))</f>
        <v/>
      </c>
      <c r="R31" s="69">
        <f>IF($B31="","",IFERROR($O31+$B31*$G31*$M31/$B$3,""))</f>
        <v/>
      </c>
      <c r="S31" s="69">
        <f>IF($B31="","",IFERROR($O31+$B31*$G31*$N31/$B$3,""))</f>
        <v/>
      </c>
      <c r="T31" s="88">
        <f>IF($B31="","",IFERROR($Q31/$Q$5,""))</f>
        <v/>
      </c>
      <c r="U31" s="2">
        <f>IF($B31="","",IF(COUNTIFS('Dvd Calendar'!$E$281:$AR$281,"&gt;0",'Dvd Calendar'!$E$281:$AR$281,"&lt;="&amp;VAL_DATE,'Dvd Calendar'!$E$282:$AR$282,"&gt;"&amp;PROJ_FROM,'Dvd Calendar'!$E$282:$AR$282,"&lt;="&amp;DATE(YEAR_Y,12,31))-COUNTIFS('Dvd Calendar'!$E$281:$AR$281,"&gt;0",'Dvd Calendar'!$E$281:$AR$281,"&lt;="&amp;VAL_DATE,'Dvd Calendar'!$E$282:$AR$282,"&gt;"&amp;PROJ_FROM,'Dvd Calendar'!$E$282:$AR$282,"&lt;="&amp;DATE(YEAR_Y,12,31),'Dvd Calendar'!$E$283:$AR$283,"&gt;=0")&gt;0,"TBA amount - override me",IF((OV_SWITCH="ON")*(COUNTIFS(OVR_TICKERS,$C31,OVR_BASE,"&gt;=0")&gt;0)&gt;0,"overridden",IF($J31+$K31=0,"no dividend in year Y",""))))</f>
        <v/>
      </c>
      <c r="V31" s="69">
        <f>IF($B31="","",IFERROR(IF(ISNUMBER($H31),$B31*$G31*$H31/$B$3,0),""))</f>
        <v/>
      </c>
      <c r="W31" s="69">
        <f>IF($B31="","",IFERROR($B31*$G31*$K31/$B$3,""))</f>
        <v/>
      </c>
      <c r="X31" s="98">
        <f>IF($C31="","",BDP($C31,"PX_LAST"))</f>
        <v/>
      </c>
      <c r="Y31" s="69">
        <f>IF($B31="","",IFERROR($B31*$X31/$B$3,""))</f>
        <v/>
      </c>
      <c r="Z31" s="73">
        <f>IF($B31="","",IFERROR($Y31/$Y$5,""))</f>
        <v/>
      </c>
    </row>
    <row r="32">
      <c r="B32" s="97" t="n"/>
      <c r="C32" s="8">
        <f>IF($A32="","",$A32&amp;" Equity")</f>
        <v/>
      </c>
      <c r="D32" s="8">
        <f>IF($C32="","",BDP($C32,"NAME"))</f>
        <v/>
      </c>
      <c r="E32" s="8">
        <f>IF($C32="","",BDP($C32,"GICS_SECTOR_NAME"))</f>
        <v/>
      </c>
      <c r="F32" s="37">
        <f>IF($C32="","",BDP($C32,FLD_CCY))</f>
        <v/>
      </c>
      <c r="G32" s="12">
        <f>IFERROR(IF(LEN($F32)&lt;&gt;3,1,IF($F32="HKD",1,BDP(IF($F32="CNY",RMB_CROSS,$F32)&amp;"HKD Curncy","PX_LAST"))),1)</f>
        <v/>
      </c>
      <c r="H32" s="69">
        <f>IF($C32="","",BDP($C32,FLD_DPS12M))</f>
        <v/>
      </c>
      <c r="I32" s="50">
        <f>IF($C32="","",BDP($C32,FLD_YLD12M))</f>
        <v/>
      </c>
      <c r="J32" s="52">
        <f>IF($B32="",0,SUMPRODUCT(('Dvd Calendar'!$E$286:$AR$286&gt;=DATE(YEAR_Y,1,1))*('Dvd Calendar'!$E$286:$AR$286&lt;=REALIZED_TO)*'Dvd Calendar'!$E$289:$AR$289*(('Dvd Calendar'!$E$291:$AR$291=TYPE1)*(TYPE1&lt;&gt;"")+('Dvd Calendar'!$E$291:$AR$291=TYPE2)*(TYPE2&lt;&gt;"")+('Dvd Calendar'!$E$291:$AR$291=TYPE3)*(TYPE3&lt;&gt;"")+('Dvd Calendar'!$E$291:$AR$291=TYPE4)*(TYPE4&lt;&gt;"")+('Dvd Calendar'!$E$291:$AR$291=SPECIAL_LBL)*(INC_SPECIALS="Y"))))</f>
        <v/>
      </c>
      <c r="K32" s="52">
        <f>IF($B32="",0,SUMIFS('Dvd Calendar'!$E$294:$AR$294,'Dvd Calendar'!$E$293:$AR$293,"&gt;"&amp;PROJ_FROM,'Dvd Calendar'!$E$293:$AR$293,"&lt;="&amp;DATE(YEAR_Y,12,31))+SUMPRODUCT(('Dvd Calendar'!$E$286:$AR$286&gt;PROJ_FROM)*('Dvd Calendar'!$E$286:$AR$286&lt;=DATE(YEAR_Y,12,31))*'Dvd Calendar'!$E$289:$AR$289*(('Dvd Calendar'!$E$291:$AR$291=TYPE1)*(TYPE1&lt;&gt;"")+('Dvd Calendar'!$E$291:$AR$291=TYPE2)*(TYPE2&lt;&gt;"")+('Dvd Calendar'!$E$291:$AR$291=TYPE3)*(TYPE3&lt;&gt;"")+('Dvd Calendar'!$E$291:$AR$291=TYPE4)*(TYPE4&lt;&gt;"")+('Dvd Calendar'!$E$291:$AR$291=SPECIAL_LBL)*(INC_SPECIALS="Y"))*(COUNTIF('Dvd Calendar'!$E$293:$AR$293,'Dvd Calendar'!$E$286:$AR$286)=0)))</f>
        <v/>
      </c>
      <c r="L32" s="52">
        <f>IF($B32="",0,IF((OV_SWITCH="ON")*(COUNTIFS(OVR_TICKERS,$C32,OVR_BASE,"&gt;=0")&gt;0)&gt;0,SUMIFS(OVR_BASE,OVR_TICKERS,$C32),$K32))</f>
        <v/>
      </c>
      <c r="M32" s="52">
        <f>IF($B32="",0,IF((OV_SWITCH="ON")*(COUNTIFS(OVR_TICKERS,$C32,OVR_LOW,"&gt;=0")&gt;0)&gt;0,SUMIFS(OVR_LOW,OVR_TICKERS,$C32),$L32))</f>
        <v/>
      </c>
      <c r="N32" s="52">
        <f>IF($B32="",0,IF((OV_SWITCH="ON")*(COUNTIFS(OVR_TICKERS,$C32,OVR_HIGH,"&gt;=0")&gt;0)&gt;0,SUMIFS(OVR_HIGH,OVR_TICKERS,$C32),$L32))</f>
        <v/>
      </c>
      <c r="O32" s="69">
        <f>IF($B32="","",IFERROR($B32*$G32*$J32/$B$3,""))</f>
        <v/>
      </c>
      <c r="P32" s="69">
        <f>IF($B32="","",IFERROR($B32*$G32*$L32/$B$3,""))</f>
        <v/>
      </c>
      <c r="Q32" s="44">
        <f>IF($B32="","",IFERROR($O32+$P32,""))</f>
        <v/>
      </c>
      <c r="R32" s="69">
        <f>IF($B32="","",IFERROR($O32+$B32*$G32*$M32/$B$3,""))</f>
        <v/>
      </c>
      <c r="S32" s="69">
        <f>IF($B32="","",IFERROR($O32+$B32*$G32*$N32/$B$3,""))</f>
        <v/>
      </c>
      <c r="T32" s="88">
        <f>IF($B32="","",IFERROR($Q32/$Q$5,""))</f>
        <v/>
      </c>
      <c r="U32" s="2">
        <f>IF($B32="","",IF(COUNTIFS('Dvd Calendar'!$E$292:$AR$292,"&gt;0",'Dvd Calendar'!$E$292:$AR$292,"&lt;="&amp;VAL_DATE,'Dvd Calendar'!$E$293:$AR$293,"&gt;"&amp;PROJ_FROM,'Dvd Calendar'!$E$293:$AR$293,"&lt;="&amp;DATE(YEAR_Y,12,31))-COUNTIFS('Dvd Calendar'!$E$292:$AR$292,"&gt;0",'Dvd Calendar'!$E$292:$AR$292,"&lt;="&amp;VAL_DATE,'Dvd Calendar'!$E$293:$AR$293,"&gt;"&amp;PROJ_FROM,'Dvd Calendar'!$E$293:$AR$293,"&lt;="&amp;DATE(YEAR_Y,12,31),'Dvd Calendar'!$E$294:$AR$294,"&gt;=0")&gt;0,"TBA amount - override me",IF((OV_SWITCH="ON")*(COUNTIFS(OVR_TICKERS,$C32,OVR_BASE,"&gt;=0")&gt;0)&gt;0,"overridden",IF($J32+$K32=0,"no dividend in year Y",""))))</f>
        <v/>
      </c>
      <c r="V32" s="69">
        <f>IF($B32="","",IFERROR(IF(ISNUMBER($H32),$B32*$G32*$H32/$B$3,0),""))</f>
        <v/>
      </c>
      <c r="W32" s="69">
        <f>IF($B32="","",IFERROR($B32*$G32*$K32/$B$3,""))</f>
        <v/>
      </c>
      <c r="X32" s="98">
        <f>IF($C32="","",BDP($C32,"PX_LAST"))</f>
        <v/>
      </c>
      <c r="Y32" s="69">
        <f>IF($B32="","",IFERROR($B32*$X32/$B$3,""))</f>
        <v/>
      </c>
      <c r="Z32" s="73">
        <f>IF($B32="","",IFERROR($Y32/$Y$5,""))</f>
        <v/>
      </c>
    </row>
    <row r="33">
      <c r="B33" s="97" t="n"/>
      <c r="C33" s="8">
        <f>IF($A33="","",$A33&amp;" Equity")</f>
        <v/>
      </c>
      <c r="D33" s="8">
        <f>IF($C33="","",BDP($C33,"NAME"))</f>
        <v/>
      </c>
      <c r="E33" s="8">
        <f>IF($C33="","",BDP($C33,"GICS_SECTOR_NAME"))</f>
        <v/>
      </c>
      <c r="F33" s="37">
        <f>IF($C33="","",BDP($C33,FLD_CCY))</f>
        <v/>
      </c>
      <c r="G33" s="12">
        <f>IFERROR(IF(LEN($F33)&lt;&gt;3,1,IF($F33="HKD",1,BDP(IF($F33="CNY",RMB_CROSS,$F33)&amp;"HKD Curncy","PX_LAST"))),1)</f>
        <v/>
      </c>
      <c r="H33" s="69">
        <f>IF($C33="","",BDP($C33,FLD_DPS12M))</f>
        <v/>
      </c>
      <c r="I33" s="50">
        <f>IF($C33="","",BDP($C33,FLD_YLD12M))</f>
        <v/>
      </c>
      <c r="J33" s="52">
        <f>IF($B33="",0,SUMPRODUCT(('Dvd Calendar'!$E$297:$AR$297&gt;=DATE(YEAR_Y,1,1))*('Dvd Calendar'!$E$297:$AR$297&lt;=REALIZED_TO)*'Dvd Calendar'!$E$300:$AR$300*(('Dvd Calendar'!$E$302:$AR$302=TYPE1)*(TYPE1&lt;&gt;"")+('Dvd Calendar'!$E$302:$AR$302=TYPE2)*(TYPE2&lt;&gt;"")+('Dvd Calendar'!$E$302:$AR$302=TYPE3)*(TYPE3&lt;&gt;"")+('Dvd Calendar'!$E$302:$AR$302=TYPE4)*(TYPE4&lt;&gt;"")+('Dvd Calendar'!$E$302:$AR$302=SPECIAL_LBL)*(INC_SPECIALS="Y"))))</f>
        <v/>
      </c>
      <c r="K33" s="52">
        <f>IF($B33="",0,SUMIFS('Dvd Calendar'!$E$305:$AR$305,'Dvd Calendar'!$E$304:$AR$304,"&gt;"&amp;PROJ_FROM,'Dvd Calendar'!$E$304:$AR$304,"&lt;="&amp;DATE(YEAR_Y,12,31))+SUMPRODUCT(('Dvd Calendar'!$E$297:$AR$297&gt;PROJ_FROM)*('Dvd Calendar'!$E$297:$AR$297&lt;=DATE(YEAR_Y,12,31))*'Dvd Calendar'!$E$300:$AR$300*(('Dvd Calendar'!$E$302:$AR$302=TYPE1)*(TYPE1&lt;&gt;"")+('Dvd Calendar'!$E$302:$AR$302=TYPE2)*(TYPE2&lt;&gt;"")+('Dvd Calendar'!$E$302:$AR$302=TYPE3)*(TYPE3&lt;&gt;"")+('Dvd Calendar'!$E$302:$AR$302=TYPE4)*(TYPE4&lt;&gt;"")+('Dvd Calendar'!$E$302:$AR$302=SPECIAL_LBL)*(INC_SPECIALS="Y"))*(COUNTIF('Dvd Calendar'!$E$304:$AR$304,'Dvd Calendar'!$E$297:$AR$297)=0)))</f>
        <v/>
      </c>
      <c r="L33" s="52">
        <f>IF($B33="",0,IF((OV_SWITCH="ON")*(COUNTIFS(OVR_TICKERS,$C33,OVR_BASE,"&gt;=0")&gt;0)&gt;0,SUMIFS(OVR_BASE,OVR_TICKERS,$C33),$K33))</f>
        <v/>
      </c>
      <c r="M33" s="52">
        <f>IF($B33="",0,IF((OV_SWITCH="ON")*(COUNTIFS(OVR_TICKERS,$C33,OVR_LOW,"&gt;=0")&gt;0)&gt;0,SUMIFS(OVR_LOW,OVR_TICKERS,$C33),$L33))</f>
        <v/>
      </c>
      <c r="N33" s="52">
        <f>IF($B33="",0,IF((OV_SWITCH="ON")*(COUNTIFS(OVR_TICKERS,$C33,OVR_HIGH,"&gt;=0")&gt;0)&gt;0,SUMIFS(OVR_HIGH,OVR_TICKERS,$C33),$L33))</f>
        <v/>
      </c>
      <c r="O33" s="69">
        <f>IF($B33="","",IFERROR($B33*$G33*$J33/$B$3,""))</f>
        <v/>
      </c>
      <c r="P33" s="69">
        <f>IF($B33="","",IFERROR($B33*$G33*$L33/$B$3,""))</f>
        <v/>
      </c>
      <c r="Q33" s="44">
        <f>IF($B33="","",IFERROR($O33+$P33,""))</f>
        <v/>
      </c>
      <c r="R33" s="69">
        <f>IF($B33="","",IFERROR($O33+$B33*$G33*$M33/$B$3,""))</f>
        <v/>
      </c>
      <c r="S33" s="69">
        <f>IF($B33="","",IFERROR($O33+$B33*$G33*$N33/$B$3,""))</f>
        <v/>
      </c>
      <c r="T33" s="88">
        <f>IF($B33="","",IFERROR($Q33/$Q$5,""))</f>
        <v/>
      </c>
      <c r="U33" s="2">
        <f>IF($B33="","",IF(COUNTIFS('Dvd Calendar'!$E$303:$AR$303,"&gt;0",'Dvd Calendar'!$E$303:$AR$303,"&lt;="&amp;VAL_DATE,'Dvd Calendar'!$E$304:$AR$304,"&gt;"&amp;PROJ_FROM,'Dvd Calendar'!$E$304:$AR$304,"&lt;="&amp;DATE(YEAR_Y,12,31))-COUNTIFS('Dvd Calendar'!$E$303:$AR$303,"&gt;0",'Dvd Calendar'!$E$303:$AR$303,"&lt;="&amp;VAL_DATE,'Dvd Calendar'!$E$304:$AR$304,"&gt;"&amp;PROJ_FROM,'Dvd Calendar'!$E$304:$AR$304,"&lt;="&amp;DATE(YEAR_Y,12,31),'Dvd Calendar'!$E$305:$AR$305,"&gt;=0")&gt;0,"TBA amount - override me",IF((OV_SWITCH="ON")*(COUNTIFS(OVR_TICKERS,$C33,OVR_BASE,"&gt;=0")&gt;0)&gt;0,"overridden",IF($J33+$K33=0,"no dividend in year Y",""))))</f>
        <v/>
      </c>
      <c r="V33" s="69">
        <f>IF($B33="","",IFERROR(IF(ISNUMBER($H33),$B33*$G33*$H33/$B$3,0),""))</f>
        <v/>
      </c>
      <c r="W33" s="69">
        <f>IF($B33="","",IFERROR($B33*$G33*$K33/$B$3,""))</f>
        <v/>
      </c>
      <c r="X33" s="98">
        <f>IF($C33="","",BDP($C33,"PX_LAST"))</f>
        <v/>
      </c>
      <c r="Y33" s="69">
        <f>IF($B33="","",IFERROR($B33*$X33/$B$3,""))</f>
        <v/>
      </c>
      <c r="Z33" s="73">
        <f>IF($B33="","",IFERROR($Y33/$Y$5,""))</f>
        <v/>
      </c>
    </row>
    <row r="34">
      <c r="B34" s="97" t="n"/>
      <c r="C34" s="8">
        <f>IF($A34="","",$A34&amp;" Equity")</f>
        <v/>
      </c>
      <c r="D34" s="8">
        <f>IF($C34="","",BDP($C34,"NAME"))</f>
        <v/>
      </c>
      <c r="E34" s="8">
        <f>IF($C34="","",BDP($C34,"GICS_SECTOR_NAME"))</f>
        <v/>
      </c>
      <c r="F34" s="37">
        <f>IF($C34="","",BDP($C34,FLD_CCY))</f>
        <v/>
      </c>
      <c r="G34" s="12">
        <f>IFERROR(IF(LEN($F34)&lt;&gt;3,1,IF($F34="HKD",1,BDP(IF($F34="CNY",RMB_CROSS,$F34)&amp;"HKD Curncy","PX_LAST"))),1)</f>
        <v/>
      </c>
      <c r="H34" s="69">
        <f>IF($C34="","",BDP($C34,FLD_DPS12M))</f>
        <v/>
      </c>
      <c r="I34" s="50">
        <f>IF($C34="","",BDP($C34,FLD_YLD12M))</f>
        <v/>
      </c>
      <c r="J34" s="52">
        <f>IF($B34="",0,SUMPRODUCT(('Dvd Calendar'!$E$308:$AR$308&gt;=DATE(YEAR_Y,1,1))*('Dvd Calendar'!$E$308:$AR$308&lt;=REALIZED_TO)*'Dvd Calendar'!$E$311:$AR$311*(('Dvd Calendar'!$E$313:$AR$313=TYPE1)*(TYPE1&lt;&gt;"")+('Dvd Calendar'!$E$313:$AR$313=TYPE2)*(TYPE2&lt;&gt;"")+('Dvd Calendar'!$E$313:$AR$313=TYPE3)*(TYPE3&lt;&gt;"")+('Dvd Calendar'!$E$313:$AR$313=TYPE4)*(TYPE4&lt;&gt;"")+('Dvd Calendar'!$E$313:$AR$313=SPECIAL_LBL)*(INC_SPECIALS="Y"))))</f>
        <v/>
      </c>
      <c r="K34" s="52">
        <f>IF($B34="",0,SUMIFS('Dvd Calendar'!$E$316:$AR$316,'Dvd Calendar'!$E$315:$AR$315,"&gt;"&amp;PROJ_FROM,'Dvd Calendar'!$E$315:$AR$315,"&lt;="&amp;DATE(YEAR_Y,12,31))+SUMPRODUCT(('Dvd Calendar'!$E$308:$AR$308&gt;PROJ_FROM)*('Dvd Calendar'!$E$308:$AR$308&lt;=DATE(YEAR_Y,12,31))*'Dvd Calendar'!$E$311:$AR$311*(('Dvd Calendar'!$E$313:$AR$313=TYPE1)*(TYPE1&lt;&gt;"")+('Dvd Calendar'!$E$313:$AR$313=TYPE2)*(TYPE2&lt;&gt;"")+('Dvd Calendar'!$E$313:$AR$313=TYPE3)*(TYPE3&lt;&gt;"")+('Dvd Calendar'!$E$313:$AR$313=TYPE4)*(TYPE4&lt;&gt;"")+('Dvd Calendar'!$E$313:$AR$313=SPECIAL_LBL)*(INC_SPECIALS="Y"))*(COUNTIF('Dvd Calendar'!$E$315:$AR$315,'Dvd Calendar'!$E$308:$AR$308)=0)))</f>
        <v/>
      </c>
      <c r="L34" s="52">
        <f>IF($B34="",0,IF((OV_SWITCH="ON")*(COUNTIFS(OVR_TICKERS,$C34,OVR_BASE,"&gt;=0")&gt;0)&gt;0,SUMIFS(OVR_BASE,OVR_TICKERS,$C34),$K34))</f>
        <v/>
      </c>
      <c r="M34" s="52">
        <f>IF($B34="",0,IF((OV_SWITCH="ON")*(COUNTIFS(OVR_TICKERS,$C34,OVR_LOW,"&gt;=0")&gt;0)&gt;0,SUMIFS(OVR_LOW,OVR_TICKERS,$C34),$L34))</f>
        <v/>
      </c>
      <c r="N34" s="52">
        <f>IF($B34="",0,IF((OV_SWITCH="ON")*(COUNTIFS(OVR_TICKERS,$C34,OVR_HIGH,"&gt;=0")&gt;0)&gt;0,SUMIFS(OVR_HIGH,OVR_TICKERS,$C34),$L34))</f>
        <v/>
      </c>
      <c r="O34" s="69">
        <f>IF($B34="","",IFERROR($B34*$G34*$J34/$B$3,""))</f>
        <v/>
      </c>
      <c r="P34" s="69">
        <f>IF($B34="","",IFERROR($B34*$G34*$L34/$B$3,""))</f>
        <v/>
      </c>
      <c r="Q34" s="44">
        <f>IF($B34="","",IFERROR($O34+$P34,""))</f>
        <v/>
      </c>
      <c r="R34" s="69">
        <f>IF($B34="","",IFERROR($O34+$B34*$G34*$M34/$B$3,""))</f>
        <v/>
      </c>
      <c r="S34" s="69">
        <f>IF($B34="","",IFERROR($O34+$B34*$G34*$N34/$B$3,""))</f>
        <v/>
      </c>
      <c r="T34" s="88">
        <f>IF($B34="","",IFERROR($Q34/$Q$5,""))</f>
        <v/>
      </c>
      <c r="U34" s="2">
        <f>IF($B34="","",IF(COUNTIFS('Dvd Calendar'!$E$314:$AR$314,"&gt;0",'Dvd Calendar'!$E$314:$AR$314,"&lt;="&amp;VAL_DATE,'Dvd Calendar'!$E$315:$AR$315,"&gt;"&amp;PROJ_FROM,'Dvd Calendar'!$E$315:$AR$315,"&lt;="&amp;DATE(YEAR_Y,12,31))-COUNTIFS('Dvd Calendar'!$E$314:$AR$314,"&gt;0",'Dvd Calendar'!$E$314:$AR$314,"&lt;="&amp;VAL_DATE,'Dvd Calendar'!$E$315:$AR$315,"&gt;"&amp;PROJ_FROM,'Dvd Calendar'!$E$315:$AR$315,"&lt;="&amp;DATE(YEAR_Y,12,31),'Dvd Calendar'!$E$316:$AR$316,"&gt;=0")&gt;0,"TBA amount - override me",IF((OV_SWITCH="ON")*(COUNTIFS(OVR_TICKERS,$C34,OVR_BASE,"&gt;=0")&gt;0)&gt;0,"overridden",IF($J34+$K34=0,"no dividend in year Y",""))))</f>
        <v/>
      </c>
      <c r="V34" s="69">
        <f>IF($B34="","",IFERROR(IF(ISNUMBER($H34),$B34*$G34*$H34/$B$3,0),""))</f>
        <v/>
      </c>
      <c r="W34" s="69">
        <f>IF($B34="","",IFERROR($B34*$G34*$K34/$B$3,""))</f>
        <v/>
      </c>
      <c r="X34" s="98">
        <f>IF($C34="","",BDP($C34,"PX_LAST"))</f>
        <v/>
      </c>
      <c r="Y34" s="69">
        <f>IF($B34="","",IFERROR($B34*$X34/$B$3,""))</f>
        <v/>
      </c>
      <c r="Z34" s="73">
        <f>IF($B34="","",IFERROR($Y34/$Y$5,""))</f>
        <v/>
      </c>
    </row>
    <row r="35">
      <c r="B35" s="97" t="n"/>
      <c r="C35" s="8">
        <f>IF($A35="","",$A35&amp;" Equity")</f>
        <v/>
      </c>
      <c r="D35" s="8">
        <f>IF($C35="","",BDP($C35,"NAME"))</f>
        <v/>
      </c>
      <c r="E35" s="8">
        <f>IF($C35="","",BDP($C35,"GICS_SECTOR_NAME"))</f>
        <v/>
      </c>
      <c r="F35" s="37">
        <f>IF($C35="","",BDP($C35,FLD_CCY))</f>
        <v/>
      </c>
      <c r="G35" s="12">
        <f>IFERROR(IF(LEN($F35)&lt;&gt;3,1,IF($F35="HKD",1,BDP(IF($F35="CNY",RMB_CROSS,$F35)&amp;"HKD Curncy","PX_LAST"))),1)</f>
        <v/>
      </c>
      <c r="H35" s="69">
        <f>IF($C35="","",BDP($C35,FLD_DPS12M))</f>
        <v/>
      </c>
      <c r="I35" s="50">
        <f>IF($C35="","",BDP($C35,FLD_YLD12M))</f>
        <v/>
      </c>
      <c r="J35" s="52">
        <f>IF($B35="",0,SUMPRODUCT(('Dvd Calendar'!$E$319:$AR$319&gt;=DATE(YEAR_Y,1,1))*('Dvd Calendar'!$E$319:$AR$319&lt;=REALIZED_TO)*'Dvd Calendar'!$E$322:$AR$322*(('Dvd Calendar'!$E$324:$AR$324=TYPE1)*(TYPE1&lt;&gt;"")+('Dvd Calendar'!$E$324:$AR$324=TYPE2)*(TYPE2&lt;&gt;"")+('Dvd Calendar'!$E$324:$AR$324=TYPE3)*(TYPE3&lt;&gt;"")+('Dvd Calendar'!$E$324:$AR$324=TYPE4)*(TYPE4&lt;&gt;"")+('Dvd Calendar'!$E$324:$AR$324=SPECIAL_LBL)*(INC_SPECIALS="Y"))))</f>
        <v/>
      </c>
      <c r="K35" s="52">
        <f>IF($B35="",0,SUMIFS('Dvd Calendar'!$E$327:$AR$327,'Dvd Calendar'!$E$326:$AR$326,"&gt;"&amp;PROJ_FROM,'Dvd Calendar'!$E$326:$AR$326,"&lt;="&amp;DATE(YEAR_Y,12,31))+SUMPRODUCT(('Dvd Calendar'!$E$319:$AR$319&gt;PROJ_FROM)*('Dvd Calendar'!$E$319:$AR$319&lt;=DATE(YEAR_Y,12,31))*'Dvd Calendar'!$E$322:$AR$322*(('Dvd Calendar'!$E$324:$AR$324=TYPE1)*(TYPE1&lt;&gt;"")+('Dvd Calendar'!$E$324:$AR$324=TYPE2)*(TYPE2&lt;&gt;"")+('Dvd Calendar'!$E$324:$AR$324=TYPE3)*(TYPE3&lt;&gt;"")+('Dvd Calendar'!$E$324:$AR$324=TYPE4)*(TYPE4&lt;&gt;"")+('Dvd Calendar'!$E$324:$AR$324=SPECIAL_LBL)*(INC_SPECIALS="Y"))*(COUNTIF('Dvd Calendar'!$E$326:$AR$326,'Dvd Calendar'!$E$319:$AR$319)=0)))</f>
        <v/>
      </c>
      <c r="L35" s="52">
        <f>IF($B35="",0,IF((OV_SWITCH="ON")*(COUNTIFS(OVR_TICKERS,$C35,OVR_BASE,"&gt;=0")&gt;0)&gt;0,SUMIFS(OVR_BASE,OVR_TICKERS,$C35),$K35))</f>
        <v/>
      </c>
      <c r="M35" s="52">
        <f>IF($B35="",0,IF((OV_SWITCH="ON")*(COUNTIFS(OVR_TICKERS,$C35,OVR_LOW,"&gt;=0")&gt;0)&gt;0,SUMIFS(OVR_LOW,OVR_TICKERS,$C35),$L35))</f>
        <v/>
      </c>
      <c r="N35" s="52">
        <f>IF($B35="",0,IF((OV_SWITCH="ON")*(COUNTIFS(OVR_TICKERS,$C35,OVR_HIGH,"&gt;=0")&gt;0)&gt;0,SUMIFS(OVR_HIGH,OVR_TICKERS,$C35),$L35))</f>
        <v/>
      </c>
      <c r="O35" s="69">
        <f>IF($B35="","",IFERROR($B35*$G35*$J35/$B$3,""))</f>
        <v/>
      </c>
      <c r="P35" s="69">
        <f>IF($B35="","",IFERROR($B35*$G35*$L35/$B$3,""))</f>
        <v/>
      </c>
      <c r="Q35" s="44">
        <f>IF($B35="","",IFERROR($O35+$P35,""))</f>
        <v/>
      </c>
      <c r="R35" s="69">
        <f>IF($B35="","",IFERROR($O35+$B35*$G35*$M35/$B$3,""))</f>
        <v/>
      </c>
      <c r="S35" s="69">
        <f>IF($B35="","",IFERROR($O35+$B35*$G35*$N35/$B$3,""))</f>
        <v/>
      </c>
      <c r="T35" s="88">
        <f>IF($B35="","",IFERROR($Q35/$Q$5,""))</f>
        <v/>
      </c>
      <c r="U35" s="2">
        <f>IF($B35="","",IF(COUNTIFS('Dvd Calendar'!$E$325:$AR$325,"&gt;0",'Dvd Calendar'!$E$325:$AR$325,"&lt;="&amp;VAL_DATE,'Dvd Calendar'!$E$326:$AR$326,"&gt;"&amp;PROJ_FROM,'Dvd Calendar'!$E$326:$AR$326,"&lt;="&amp;DATE(YEAR_Y,12,31))-COUNTIFS('Dvd Calendar'!$E$325:$AR$325,"&gt;0",'Dvd Calendar'!$E$325:$AR$325,"&lt;="&amp;VAL_DATE,'Dvd Calendar'!$E$326:$AR$326,"&gt;"&amp;PROJ_FROM,'Dvd Calendar'!$E$326:$AR$326,"&lt;="&amp;DATE(YEAR_Y,12,31),'Dvd Calendar'!$E$327:$AR$327,"&gt;=0")&gt;0,"TBA amount - override me",IF((OV_SWITCH="ON")*(COUNTIFS(OVR_TICKERS,$C35,OVR_BASE,"&gt;=0")&gt;0)&gt;0,"overridden",IF($J35+$K35=0,"no dividend in year Y",""))))</f>
        <v/>
      </c>
      <c r="V35" s="69">
        <f>IF($B35="","",IFERROR(IF(ISNUMBER($H35),$B35*$G35*$H35/$B$3,0),""))</f>
        <v/>
      </c>
      <c r="W35" s="69">
        <f>IF($B35="","",IFERROR($B35*$G35*$K35/$B$3,""))</f>
        <v/>
      </c>
      <c r="X35" s="98">
        <f>IF($C35="","",BDP($C35,"PX_LAST"))</f>
        <v/>
      </c>
      <c r="Y35" s="69">
        <f>IF($B35="","",IFERROR($B35*$X35/$B$3,""))</f>
        <v/>
      </c>
      <c r="Z35" s="73">
        <f>IF($B35="","",IFERROR($Y35/$Y$5,""))</f>
        <v/>
      </c>
    </row>
    <row r="36">
      <c r="B36" s="97" t="n"/>
      <c r="C36" s="8">
        <f>IF($A36="","",$A36&amp;" Equity")</f>
        <v/>
      </c>
      <c r="D36" s="8">
        <f>IF($C36="","",BDP($C36,"NAME"))</f>
        <v/>
      </c>
      <c r="E36" s="8">
        <f>IF($C36="","",BDP($C36,"GICS_SECTOR_NAME"))</f>
        <v/>
      </c>
      <c r="F36" s="37">
        <f>IF($C36="","",BDP($C36,FLD_CCY))</f>
        <v/>
      </c>
      <c r="G36" s="12">
        <f>IFERROR(IF(LEN($F36)&lt;&gt;3,1,IF($F36="HKD",1,BDP(IF($F36="CNY",RMB_CROSS,$F36)&amp;"HKD Curncy","PX_LAST"))),1)</f>
        <v/>
      </c>
      <c r="H36" s="69">
        <f>IF($C36="","",BDP($C36,FLD_DPS12M))</f>
        <v/>
      </c>
      <c r="I36" s="50">
        <f>IF($C36="","",BDP($C36,FLD_YLD12M))</f>
        <v/>
      </c>
      <c r="J36" s="52">
        <f>IF($B36="",0,SUMPRODUCT(('Dvd Calendar'!$E$330:$AR$330&gt;=DATE(YEAR_Y,1,1))*('Dvd Calendar'!$E$330:$AR$330&lt;=REALIZED_TO)*'Dvd Calendar'!$E$333:$AR$333*(('Dvd Calendar'!$E$335:$AR$335=TYPE1)*(TYPE1&lt;&gt;"")+('Dvd Calendar'!$E$335:$AR$335=TYPE2)*(TYPE2&lt;&gt;"")+('Dvd Calendar'!$E$335:$AR$335=TYPE3)*(TYPE3&lt;&gt;"")+('Dvd Calendar'!$E$335:$AR$335=TYPE4)*(TYPE4&lt;&gt;"")+('Dvd Calendar'!$E$335:$AR$335=SPECIAL_LBL)*(INC_SPECIALS="Y"))))</f>
        <v/>
      </c>
      <c r="K36" s="52">
        <f>IF($B36="",0,SUMIFS('Dvd Calendar'!$E$338:$AR$338,'Dvd Calendar'!$E$337:$AR$337,"&gt;"&amp;PROJ_FROM,'Dvd Calendar'!$E$337:$AR$337,"&lt;="&amp;DATE(YEAR_Y,12,31))+SUMPRODUCT(('Dvd Calendar'!$E$330:$AR$330&gt;PROJ_FROM)*('Dvd Calendar'!$E$330:$AR$330&lt;=DATE(YEAR_Y,12,31))*'Dvd Calendar'!$E$333:$AR$333*(('Dvd Calendar'!$E$335:$AR$335=TYPE1)*(TYPE1&lt;&gt;"")+('Dvd Calendar'!$E$335:$AR$335=TYPE2)*(TYPE2&lt;&gt;"")+('Dvd Calendar'!$E$335:$AR$335=TYPE3)*(TYPE3&lt;&gt;"")+('Dvd Calendar'!$E$335:$AR$335=TYPE4)*(TYPE4&lt;&gt;"")+('Dvd Calendar'!$E$335:$AR$335=SPECIAL_LBL)*(INC_SPECIALS="Y"))*(COUNTIF('Dvd Calendar'!$E$337:$AR$337,'Dvd Calendar'!$E$330:$AR$330)=0)))</f>
        <v/>
      </c>
      <c r="L36" s="52">
        <f>IF($B36="",0,IF((OV_SWITCH="ON")*(COUNTIFS(OVR_TICKERS,$C36,OVR_BASE,"&gt;=0")&gt;0)&gt;0,SUMIFS(OVR_BASE,OVR_TICKERS,$C36),$K36))</f>
        <v/>
      </c>
      <c r="M36" s="52">
        <f>IF($B36="",0,IF((OV_SWITCH="ON")*(COUNTIFS(OVR_TICKERS,$C36,OVR_LOW,"&gt;=0")&gt;0)&gt;0,SUMIFS(OVR_LOW,OVR_TICKERS,$C36),$L36))</f>
        <v/>
      </c>
      <c r="N36" s="52">
        <f>IF($B36="",0,IF((OV_SWITCH="ON")*(COUNTIFS(OVR_TICKERS,$C36,OVR_HIGH,"&gt;=0")&gt;0)&gt;0,SUMIFS(OVR_HIGH,OVR_TICKERS,$C36),$L36))</f>
        <v/>
      </c>
      <c r="O36" s="69">
        <f>IF($B36="","",IFERROR($B36*$G36*$J36/$B$3,""))</f>
        <v/>
      </c>
      <c r="P36" s="69">
        <f>IF($B36="","",IFERROR($B36*$G36*$L36/$B$3,""))</f>
        <v/>
      </c>
      <c r="Q36" s="44">
        <f>IF($B36="","",IFERROR($O36+$P36,""))</f>
        <v/>
      </c>
      <c r="R36" s="69">
        <f>IF($B36="","",IFERROR($O36+$B36*$G36*$M36/$B$3,""))</f>
        <v/>
      </c>
      <c r="S36" s="69">
        <f>IF($B36="","",IFERROR($O36+$B36*$G36*$N36/$B$3,""))</f>
        <v/>
      </c>
      <c r="T36" s="88">
        <f>IF($B36="","",IFERROR($Q36/$Q$5,""))</f>
        <v/>
      </c>
      <c r="U36" s="2">
        <f>IF($B36="","",IF(COUNTIFS('Dvd Calendar'!$E$336:$AR$336,"&gt;0",'Dvd Calendar'!$E$336:$AR$336,"&lt;="&amp;VAL_DATE,'Dvd Calendar'!$E$337:$AR$337,"&gt;"&amp;PROJ_FROM,'Dvd Calendar'!$E$337:$AR$337,"&lt;="&amp;DATE(YEAR_Y,12,31))-COUNTIFS('Dvd Calendar'!$E$336:$AR$336,"&gt;0",'Dvd Calendar'!$E$336:$AR$336,"&lt;="&amp;VAL_DATE,'Dvd Calendar'!$E$337:$AR$337,"&gt;"&amp;PROJ_FROM,'Dvd Calendar'!$E$337:$AR$337,"&lt;="&amp;DATE(YEAR_Y,12,31),'Dvd Calendar'!$E$338:$AR$338,"&gt;=0")&gt;0,"TBA amount - override me",IF((OV_SWITCH="ON")*(COUNTIFS(OVR_TICKERS,$C36,OVR_BASE,"&gt;=0")&gt;0)&gt;0,"overridden",IF($J36+$K36=0,"no dividend in year Y",""))))</f>
        <v/>
      </c>
      <c r="V36" s="69">
        <f>IF($B36="","",IFERROR(IF(ISNUMBER($H36),$B36*$G36*$H36/$B$3,0),""))</f>
        <v/>
      </c>
      <c r="W36" s="69">
        <f>IF($B36="","",IFERROR($B36*$G36*$K36/$B$3,""))</f>
        <v/>
      </c>
      <c r="X36" s="98">
        <f>IF($C36="","",BDP($C36,"PX_LAST"))</f>
        <v/>
      </c>
      <c r="Y36" s="69">
        <f>IF($B36="","",IFERROR($B36*$X36/$B$3,""))</f>
        <v/>
      </c>
      <c r="Z36" s="73">
        <f>IF($B36="","",IFERROR($Y36/$Y$5,""))</f>
        <v/>
      </c>
    </row>
    <row r="37">
      <c r="B37" s="97" t="n"/>
      <c r="C37" s="8">
        <f>IF($A37="","",$A37&amp;" Equity")</f>
        <v/>
      </c>
      <c r="D37" s="8">
        <f>IF($C37="","",BDP($C37,"NAME"))</f>
        <v/>
      </c>
      <c r="E37" s="8">
        <f>IF($C37="","",BDP($C37,"GICS_SECTOR_NAME"))</f>
        <v/>
      </c>
      <c r="F37" s="37">
        <f>IF($C37="","",BDP($C37,FLD_CCY))</f>
        <v/>
      </c>
      <c r="G37" s="12">
        <f>IFERROR(IF(LEN($F37)&lt;&gt;3,1,IF($F37="HKD",1,BDP(IF($F37="CNY",RMB_CROSS,$F37)&amp;"HKD Curncy","PX_LAST"))),1)</f>
        <v/>
      </c>
      <c r="H37" s="69">
        <f>IF($C37="","",BDP($C37,FLD_DPS12M))</f>
        <v/>
      </c>
      <c r="I37" s="50">
        <f>IF($C37="","",BDP($C37,FLD_YLD12M))</f>
        <v/>
      </c>
      <c r="J37" s="52">
        <f>IF($B37="",0,SUMPRODUCT(('Dvd Calendar'!$E$341:$AR$341&gt;=DATE(YEAR_Y,1,1))*('Dvd Calendar'!$E$341:$AR$341&lt;=REALIZED_TO)*'Dvd Calendar'!$E$344:$AR$344*(('Dvd Calendar'!$E$346:$AR$346=TYPE1)*(TYPE1&lt;&gt;"")+('Dvd Calendar'!$E$346:$AR$346=TYPE2)*(TYPE2&lt;&gt;"")+('Dvd Calendar'!$E$346:$AR$346=TYPE3)*(TYPE3&lt;&gt;"")+('Dvd Calendar'!$E$346:$AR$346=TYPE4)*(TYPE4&lt;&gt;"")+('Dvd Calendar'!$E$346:$AR$346=SPECIAL_LBL)*(INC_SPECIALS="Y"))))</f>
        <v/>
      </c>
      <c r="K37" s="52">
        <f>IF($B37="",0,SUMIFS('Dvd Calendar'!$E$349:$AR$349,'Dvd Calendar'!$E$348:$AR$348,"&gt;"&amp;PROJ_FROM,'Dvd Calendar'!$E$348:$AR$348,"&lt;="&amp;DATE(YEAR_Y,12,31))+SUMPRODUCT(('Dvd Calendar'!$E$341:$AR$341&gt;PROJ_FROM)*('Dvd Calendar'!$E$341:$AR$341&lt;=DATE(YEAR_Y,12,31))*'Dvd Calendar'!$E$344:$AR$344*(('Dvd Calendar'!$E$346:$AR$346=TYPE1)*(TYPE1&lt;&gt;"")+('Dvd Calendar'!$E$346:$AR$346=TYPE2)*(TYPE2&lt;&gt;"")+('Dvd Calendar'!$E$346:$AR$346=TYPE3)*(TYPE3&lt;&gt;"")+('Dvd Calendar'!$E$346:$AR$346=TYPE4)*(TYPE4&lt;&gt;"")+('Dvd Calendar'!$E$346:$AR$346=SPECIAL_LBL)*(INC_SPECIALS="Y"))*(COUNTIF('Dvd Calendar'!$E$348:$AR$348,'Dvd Calendar'!$E$341:$AR$341)=0)))</f>
        <v/>
      </c>
      <c r="L37" s="52">
        <f>IF($B37="",0,IF((OV_SWITCH="ON")*(COUNTIFS(OVR_TICKERS,$C37,OVR_BASE,"&gt;=0")&gt;0)&gt;0,SUMIFS(OVR_BASE,OVR_TICKERS,$C37),$K37))</f>
        <v/>
      </c>
      <c r="M37" s="52">
        <f>IF($B37="",0,IF((OV_SWITCH="ON")*(COUNTIFS(OVR_TICKERS,$C37,OVR_LOW,"&gt;=0")&gt;0)&gt;0,SUMIFS(OVR_LOW,OVR_TICKERS,$C37),$L37))</f>
        <v/>
      </c>
      <c r="N37" s="52">
        <f>IF($B37="",0,IF((OV_SWITCH="ON")*(COUNTIFS(OVR_TICKERS,$C37,OVR_HIGH,"&gt;=0")&gt;0)&gt;0,SUMIFS(OVR_HIGH,OVR_TICKERS,$C37),$L37))</f>
        <v/>
      </c>
      <c r="O37" s="69">
        <f>IF($B37="","",IFERROR($B37*$G37*$J37/$B$3,""))</f>
        <v/>
      </c>
      <c r="P37" s="69">
        <f>IF($B37="","",IFERROR($B37*$G37*$L37/$B$3,""))</f>
        <v/>
      </c>
      <c r="Q37" s="44">
        <f>IF($B37="","",IFERROR($O37+$P37,""))</f>
        <v/>
      </c>
      <c r="R37" s="69">
        <f>IF($B37="","",IFERROR($O37+$B37*$G37*$M37/$B$3,""))</f>
        <v/>
      </c>
      <c r="S37" s="69">
        <f>IF($B37="","",IFERROR($O37+$B37*$G37*$N37/$B$3,""))</f>
        <v/>
      </c>
      <c r="T37" s="88">
        <f>IF($B37="","",IFERROR($Q37/$Q$5,""))</f>
        <v/>
      </c>
      <c r="U37" s="2">
        <f>IF($B37="","",IF(COUNTIFS('Dvd Calendar'!$E$347:$AR$347,"&gt;0",'Dvd Calendar'!$E$347:$AR$347,"&lt;="&amp;VAL_DATE,'Dvd Calendar'!$E$348:$AR$348,"&gt;"&amp;PROJ_FROM,'Dvd Calendar'!$E$348:$AR$348,"&lt;="&amp;DATE(YEAR_Y,12,31))-COUNTIFS('Dvd Calendar'!$E$347:$AR$347,"&gt;0",'Dvd Calendar'!$E$347:$AR$347,"&lt;="&amp;VAL_DATE,'Dvd Calendar'!$E$348:$AR$348,"&gt;"&amp;PROJ_FROM,'Dvd Calendar'!$E$348:$AR$348,"&lt;="&amp;DATE(YEAR_Y,12,31),'Dvd Calendar'!$E$349:$AR$349,"&gt;=0")&gt;0,"TBA amount - override me",IF((OV_SWITCH="ON")*(COUNTIFS(OVR_TICKERS,$C37,OVR_BASE,"&gt;=0")&gt;0)&gt;0,"overridden",IF($J37+$K37=0,"no dividend in year Y",""))))</f>
        <v/>
      </c>
      <c r="V37" s="69">
        <f>IF($B37="","",IFERROR(IF(ISNUMBER($H37),$B37*$G37*$H37/$B$3,0),""))</f>
        <v/>
      </c>
      <c r="W37" s="69">
        <f>IF($B37="","",IFERROR($B37*$G37*$K37/$B$3,""))</f>
        <v/>
      </c>
      <c r="X37" s="98">
        <f>IF($C37="","",BDP($C37,"PX_LAST"))</f>
        <v/>
      </c>
      <c r="Y37" s="69">
        <f>IF($B37="","",IFERROR($B37*$X37/$B$3,""))</f>
        <v/>
      </c>
      <c r="Z37" s="73">
        <f>IF($B37="","",IFERROR($Y37/$Y$5,""))</f>
        <v/>
      </c>
    </row>
    <row r="38">
      <c r="B38" s="97" t="n"/>
      <c r="C38" s="8">
        <f>IF($A38="","",$A38&amp;" Equity")</f>
        <v/>
      </c>
      <c r="D38" s="8">
        <f>IF($C38="","",BDP($C38,"NAME"))</f>
        <v/>
      </c>
      <c r="E38" s="8">
        <f>IF($C38="","",BDP($C38,"GICS_SECTOR_NAME"))</f>
        <v/>
      </c>
      <c r="F38" s="37">
        <f>IF($C38="","",BDP($C38,FLD_CCY))</f>
        <v/>
      </c>
      <c r="G38" s="12">
        <f>IFERROR(IF(LEN($F38)&lt;&gt;3,1,IF($F38="HKD",1,BDP(IF($F38="CNY",RMB_CROSS,$F38)&amp;"HKD Curncy","PX_LAST"))),1)</f>
        <v/>
      </c>
      <c r="H38" s="69">
        <f>IF($C38="","",BDP($C38,FLD_DPS12M))</f>
        <v/>
      </c>
      <c r="I38" s="50">
        <f>IF($C38="","",BDP($C38,FLD_YLD12M))</f>
        <v/>
      </c>
      <c r="J38" s="52">
        <f>IF($B38="",0,SUMPRODUCT(('Dvd Calendar'!$E$352:$AR$352&gt;=DATE(YEAR_Y,1,1))*('Dvd Calendar'!$E$352:$AR$352&lt;=REALIZED_TO)*'Dvd Calendar'!$E$355:$AR$355*(('Dvd Calendar'!$E$357:$AR$357=TYPE1)*(TYPE1&lt;&gt;"")+('Dvd Calendar'!$E$357:$AR$357=TYPE2)*(TYPE2&lt;&gt;"")+('Dvd Calendar'!$E$357:$AR$357=TYPE3)*(TYPE3&lt;&gt;"")+('Dvd Calendar'!$E$357:$AR$357=TYPE4)*(TYPE4&lt;&gt;"")+('Dvd Calendar'!$E$357:$AR$357=SPECIAL_LBL)*(INC_SPECIALS="Y"))))</f>
        <v/>
      </c>
      <c r="K38" s="52">
        <f>IF($B38="",0,SUMIFS('Dvd Calendar'!$E$360:$AR$360,'Dvd Calendar'!$E$359:$AR$359,"&gt;"&amp;PROJ_FROM,'Dvd Calendar'!$E$359:$AR$359,"&lt;="&amp;DATE(YEAR_Y,12,31))+SUMPRODUCT(('Dvd Calendar'!$E$352:$AR$352&gt;PROJ_FROM)*('Dvd Calendar'!$E$352:$AR$352&lt;=DATE(YEAR_Y,12,31))*'Dvd Calendar'!$E$355:$AR$355*(('Dvd Calendar'!$E$357:$AR$357=TYPE1)*(TYPE1&lt;&gt;"")+('Dvd Calendar'!$E$357:$AR$357=TYPE2)*(TYPE2&lt;&gt;"")+('Dvd Calendar'!$E$357:$AR$357=TYPE3)*(TYPE3&lt;&gt;"")+('Dvd Calendar'!$E$357:$AR$357=TYPE4)*(TYPE4&lt;&gt;"")+('Dvd Calendar'!$E$357:$AR$357=SPECIAL_LBL)*(INC_SPECIALS="Y"))*(COUNTIF('Dvd Calendar'!$E$359:$AR$359,'Dvd Calendar'!$E$352:$AR$352)=0)))</f>
        <v/>
      </c>
      <c r="L38" s="52">
        <f>IF($B38="",0,IF((OV_SWITCH="ON")*(COUNTIFS(OVR_TICKERS,$C38,OVR_BASE,"&gt;=0")&gt;0)&gt;0,SUMIFS(OVR_BASE,OVR_TICKERS,$C38),$K38))</f>
        <v/>
      </c>
      <c r="M38" s="52">
        <f>IF($B38="",0,IF((OV_SWITCH="ON")*(COUNTIFS(OVR_TICKERS,$C38,OVR_LOW,"&gt;=0")&gt;0)&gt;0,SUMIFS(OVR_LOW,OVR_TICKERS,$C38),$L38))</f>
        <v/>
      </c>
      <c r="N38" s="52">
        <f>IF($B38="",0,IF((OV_SWITCH="ON")*(COUNTIFS(OVR_TICKERS,$C38,OVR_HIGH,"&gt;=0")&gt;0)&gt;0,SUMIFS(OVR_HIGH,OVR_TICKERS,$C38),$L38))</f>
        <v/>
      </c>
      <c r="O38" s="69">
        <f>IF($B38="","",IFERROR($B38*$G38*$J38/$B$3,""))</f>
        <v/>
      </c>
      <c r="P38" s="69">
        <f>IF($B38="","",IFERROR($B38*$G38*$L38/$B$3,""))</f>
        <v/>
      </c>
      <c r="Q38" s="44">
        <f>IF($B38="","",IFERROR($O38+$P38,""))</f>
        <v/>
      </c>
      <c r="R38" s="69">
        <f>IF($B38="","",IFERROR($O38+$B38*$G38*$M38/$B$3,""))</f>
        <v/>
      </c>
      <c r="S38" s="69">
        <f>IF($B38="","",IFERROR($O38+$B38*$G38*$N38/$B$3,""))</f>
        <v/>
      </c>
      <c r="T38" s="88">
        <f>IF($B38="","",IFERROR($Q38/$Q$5,""))</f>
        <v/>
      </c>
      <c r="U38" s="2">
        <f>IF($B38="","",IF(COUNTIFS('Dvd Calendar'!$E$358:$AR$358,"&gt;0",'Dvd Calendar'!$E$358:$AR$358,"&lt;="&amp;VAL_DATE,'Dvd Calendar'!$E$359:$AR$359,"&gt;"&amp;PROJ_FROM,'Dvd Calendar'!$E$359:$AR$359,"&lt;="&amp;DATE(YEAR_Y,12,31))-COUNTIFS('Dvd Calendar'!$E$358:$AR$358,"&gt;0",'Dvd Calendar'!$E$358:$AR$358,"&lt;="&amp;VAL_DATE,'Dvd Calendar'!$E$359:$AR$359,"&gt;"&amp;PROJ_FROM,'Dvd Calendar'!$E$359:$AR$359,"&lt;="&amp;DATE(YEAR_Y,12,31),'Dvd Calendar'!$E$360:$AR$360,"&gt;=0")&gt;0,"TBA amount - override me",IF((OV_SWITCH="ON")*(COUNTIFS(OVR_TICKERS,$C38,OVR_BASE,"&gt;=0")&gt;0)&gt;0,"overridden",IF($J38+$K38=0,"no dividend in year Y",""))))</f>
        <v/>
      </c>
      <c r="V38" s="69">
        <f>IF($B38="","",IFERROR(IF(ISNUMBER($H38),$B38*$G38*$H38/$B$3,0),""))</f>
        <v/>
      </c>
      <c r="W38" s="69">
        <f>IF($B38="","",IFERROR($B38*$G38*$K38/$B$3,""))</f>
        <v/>
      </c>
      <c r="X38" s="98">
        <f>IF($C38="","",BDP($C38,"PX_LAST"))</f>
        <v/>
      </c>
      <c r="Y38" s="69">
        <f>IF($B38="","",IFERROR($B38*$X38/$B$3,""))</f>
        <v/>
      </c>
      <c r="Z38" s="73">
        <f>IF($B38="","",IFERROR($Y38/$Y$5,""))</f>
        <v/>
      </c>
    </row>
    <row r="39">
      <c r="B39" s="97" t="n"/>
      <c r="C39" s="8">
        <f>IF($A39="","",$A39&amp;" Equity")</f>
        <v/>
      </c>
      <c r="D39" s="8">
        <f>IF($C39="","",BDP($C39,"NAME"))</f>
        <v/>
      </c>
      <c r="E39" s="8">
        <f>IF($C39="","",BDP($C39,"GICS_SECTOR_NAME"))</f>
        <v/>
      </c>
      <c r="F39" s="37">
        <f>IF($C39="","",BDP($C39,FLD_CCY))</f>
        <v/>
      </c>
      <c r="G39" s="12">
        <f>IFERROR(IF(LEN($F39)&lt;&gt;3,1,IF($F39="HKD",1,BDP(IF($F39="CNY",RMB_CROSS,$F39)&amp;"HKD Curncy","PX_LAST"))),1)</f>
        <v/>
      </c>
      <c r="H39" s="69">
        <f>IF($C39="","",BDP($C39,FLD_DPS12M))</f>
        <v/>
      </c>
      <c r="I39" s="50">
        <f>IF($C39="","",BDP($C39,FLD_YLD12M))</f>
        <v/>
      </c>
      <c r="J39" s="52">
        <f>IF($B39="",0,SUMPRODUCT(('Dvd Calendar'!$E$363:$AR$363&gt;=DATE(YEAR_Y,1,1))*('Dvd Calendar'!$E$363:$AR$363&lt;=REALIZED_TO)*'Dvd Calendar'!$E$366:$AR$366*(('Dvd Calendar'!$E$368:$AR$368=TYPE1)*(TYPE1&lt;&gt;"")+('Dvd Calendar'!$E$368:$AR$368=TYPE2)*(TYPE2&lt;&gt;"")+('Dvd Calendar'!$E$368:$AR$368=TYPE3)*(TYPE3&lt;&gt;"")+('Dvd Calendar'!$E$368:$AR$368=TYPE4)*(TYPE4&lt;&gt;"")+('Dvd Calendar'!$E$368:$AR$368=SPECIAL_LBL)*(INC_SPECIALS="Y"))))</f>
        <v/>
      </c>
      <c r="K39" s="52">
        <f>IF($B39="",0,SUMIFS('Dvd Calendar'!$E$371:$AR$371,'Dvd Calendar'!$E$370:$AR$370,"&gt;"&amp;PROJ_FROM,'Dvd Calendar'!$E$370:$AR$370,"&lt;="&amp;DATE(YEAR_Y,12,31))+SUMPRODUCT(('Dvd Calendar'!$E$363:$AR$363&gt;PROJ_FROM)*('Dvd Calendar'!$E$363:$AR$363&lt;=DATE(YEAR_Y,12,31))*'Dvd Calendar'!$E$366:$AR$366*(('Dvd Calendar'!$E$368:$AR$368=TYPE1)*(TYPE1&lt;&gt;"")+('Dvd Calendar'!$E$368:$AR$368=TYPE2)*(TYPE2&lt;&gt;"")+('Dvd Calendar'!$E$368:$AR$368=TYPE3)*(TYPE3&lt;&gt;"")+('Dvd Calendar'!$E$368:$AR$368=TYPE4)*(TYPE4&lt;&gt;"")+('Dvd Calendar'!$E$368:$AR$368=SPECIAL_LBL)*(INC_SPECIALS="Y"))*(COUNTIF('Dvd Calendar'!$E$370:$AR$370,'Dvd Calendar'!$E$363:$AR$363)=0)))</f>
        <v/>
      </c>
      <c r="L39" s="52">
        <f>IF($B39="",0,IF((OV_SWITCH="ON")*(COUNTIFS(OVR_TICKERS,$C39,OVR_BASE,"&gt;=0")&gt;0)&gt;0,SUMIFS(OVR_BASE,OVR_TICKERS,$C39),$K39))</f>
        <v/>
      </c>
      <c r="M39" s="52">
        <f>IF($B39="",0,IF((OV_SWITCH="ON")*(COUNTIFS(OVR_TICKERS,$C39,OVR_LOW,"&gt;=0")&gt;0)&gt;0,SUMIFS(OVR_LOW,OVR_TICKERS,$C39),$L39))</f>
        <v/>
      </c>
      <c r="N39" s="52">
        <f>IF($B39="",0,IF((OV_SWITCH="ON")*(COUNTIFS(OVR_TICKERS,$C39,OVR_HIGH,"&gt;=0")&gt;0)&gt;0,SUMIFS(OVR_HIGH,OVR_TICKERS,$C39),$L39))</f>
        <v/>
      </c>
      <c r="O39" s="69">
        <f>IF($B39="","",IFERROR($B39*$G39*$J39/$B$3,""))</f>
        <v/>
      </c>
      <c r="P39" s="69">
        <f>IF($B39="","",IFERROR($B39*$G39*$L39/$B$3,""))</f>
        <v/>
      </c>
      <c r="Q39" s="44">
        <f>IF($B39="","",IFERROR($O39+$P39,""))</f>
        <v/>
      </c>
      <c r="R39" s="69">
        <f>IF($B39="","",IFERROR($O39+$B39*$G39*$M39/$B$3,""))</f>
        <v/>
      </c>
      <c r="S39" s="69">
        <f>IF($B39="","",IFERROR($O39+$B39*$G39*$N39/$B$3,""))</f>
        <v/>
      </c>
      <c r="T39" s="88">
        <f>IF($B39="","",IFERROR($Q39/$Q$5,""))</f>
        <v/>
      </c>
      <c r="U39" s="2">
        <f>IF($B39="","",IF(COUNTIFS('Dvd Calendar'!$E$369:$AR$369,"&gt;0",'Dvd Calendar'!$E$369:$AR$369,"&lt;="&amp;VAL_DATE,'Dvd Calendar'!$E$370:$AR$370,"&gt;"&amp;PROJ_FROM,'Dvd Calendar'!$E$370:$AR$370,"&lt;="&amp;DATE(YEAR_Y,12,31))-COUNTIFS('Dvd Calendar'!$E$369:$AR$369,"&gt;0",'Dvd Calendar'!$E$369:$AR$369,"&lt;="&amp;VAL_DATE,'Dvd Calendar'!$E$370:$AR$370,"&gt;"&amp;PROJ_FROM,'Dvd Calendar'!$E$370:$AR$370,"&lt;="&amp;DATE(YEAR_Y,12,31),'Dvd Calendar'!$E$371:$AR$371,"&gt;=0")&gt;0,"TBA amount - override me",IF((OV_SWITCH="ON")*(COUNTIFS(OVR_TICKERS,$C39,OVR_BASE,"&gt;=0")&gt;0)&gt;0,"overridden",IF($J39+$K39=0,"no dividend in year Y",""))))</f>
        <v/>
      </c>
      <c r="V39" s="69">
        <f>IF($B39="","",IFERROR(IF(ISNUMBER($H39),$B39*$G39*$H39/$B$3,0),""))</f>
        <v/>
      </c>
      <c r="W39" s="69">
        <f>IF($B39="","",IFERROR($B39*$G39*$K39/$B$3,""))</f>
        <v/>
      </c>
      <c r="X39" s="98">
        <f>IF($C39="","",BDP($C39,"PX_LAST"))</f>
        <v/>
      </c>
      <c r="Y39" s="69">
        <f>IF($B39="","",IFERROR($B39*$X39/$B$3,""))</f>
        <v/>
      </c>
      <c r="Z39" s="73">
        <f>IF($B39="","",IFERROR($Y39/$Y$5,""))</f>
        <v/>
      </c>
    </row>
    <row r="40">
      <c r="B40" s="97" t="n"/>
      <c r="C40" s="8">
        <f>IF($A40="","",$A40&amp;" Equity")</f>
        <v/>
      </c>
      <c r="D40" s="8">
        <f>IF($C40="","",BDP($C40,"NAME"))</f>
        <v/>
      </c>
      <c r="E40" s="8">
        <f>IF($C40="","",BDP($C40,"GICS_SECTOR_NAME"))</f>
        <v/>
      </c>
      <c r="F40" s="37">
        <f>IF($C40="","",BDP($C40,FLD_CCY))</f>
        <v/>
      </c>
      <c r="G40" s="12">
        <f>IFERROR(IF(LEN($F40)&lt;&gt;3,1,IF($F40="HKD",1,BDP(IF($F40="CNY",RMB_CROSS,$F40)&amp;"HKD Curncy","PX_LAST"))),1)</f>
        <v/>
      </c>
      <c r="H40" s="69">
        <f>IF($C40="","",BDP($C40,FLD_DPS12M))</f>
        <v/>
      </c>
      <c r="I40" s="50">
        <f>IF($C40="","",BDP($C40,FLD_YLD12M))</f>
        <v/>
      </c>
      <c r="J40" s="52">
        <f>IF($B40="",0,SUMPRODUCT(('Dvd Calendar'!$E$374:$AR$374&gt;=DATE(YEAR_Y,1,1))*('Dvd Calendar'!$E$374:$AR$374&lt;=REALIZED_TO)*'Dvd Calendar'!$E$377:$AR$377*(('Dvd Calendar'!$E$379:$AR$379=TYPE1)*(TYPE1&lt;&gt;"")+('Dvd Calendar'!$E$379:$AR$379=TYPE2)*(TYPE2&lt;&gt;"")+('Dvd Calendar'!$E$379:$AR$379=TYPE3)*(TYPE3&lt;&gt;"")+('Dvd Calendar'!$E$379:$AR$379=TYPE4)*(TYPE4&lt;&gt;"")+('Dvd Calendar'!$E$379:$AR$379=SPECIAL_LBL)*(INC_SPECIALS="Y"))))</f>
        <v/>
      </c>
      <c r="K40" s="52">
        <f>IF($B40="",0,SUMIFS('Dvd Calendar'!$E$382:$AR$382,'Dvd Calendar'!$E$381:$AR$381,"&gt;"&amp;PROJ_FROM,'Dvd Calendar'!$E$381:$AR$381,"&lt;="&amp;DATE(YEAR_Y,12,31))+SUMPRODUCT(('Dvd Calendar'!$E$374:$AR$374&gt;PROJ_FROM)*('Dvd Calendar'!$E$374:$AR$374&lt;=DATE(YEAR_Y,12,31))*'Dvd Calendar'!$E$377:$AR$377*(('Dvd Calendar'!$E$379:$AR$379=TYPE1)*(TYPE1&lt;&gt;"")+('Dvd Calendar'!$E$379:$AR$379=TYPE2)*(TYPE2&lt;&gt;"")+('Dvd Calendar'!$E$379:$AR$379=TYPE3)*(TYPE3&lt;&gt;"")+('Dvd Calendar'!$E$379:$AR$379=TYPE4)*(TYPE4&lt;&gt;"")+('Dvd Calendar'!$E$379:$AR$379=SPECIAL_LBL)*(INC_SPECIALS="Y"))*(COUNTIF('Dvd Calendar'!$E$381:$AR$381,'Dvd Calendar'!$E$374:$AR$374)=0)))</f>
        <v/>
      </c>
      <c r="L40" s="52">
        <f>IF($B40="",0,IF((OV_SWITCH="ON")*(COUNTIFS(OVR_TICKERS,$C40,OVR_BASE,"&gt;=0")&gt;0)&gt;0,SUMIFS(OVR_BASE,OVR_TICKERS,$C40),$K40))</f>
        <v/>
      </c>
      <c r="M40" s="52">
        <f>IF($B40="",0,IF((OV_SWITCH="ON")*(COUNTIFS(OVR_TICKERS,$C40,OVR_LOW,"&gt;=0")&gt;0)&gt;0,SUMIFS(OVR_LOW,OVR_TICKERS,$C40),$L40))</f>
        <v/>
      </c>
      <c r="N40" s="52">
        <f>IF($B40="",0,IF((OV_SWITCH="ON")*(COUNTIFS(OVR_TICKERS,$C40,OVR_HIGH,"&gt;=0")&gt;0)&gt;0,SUMIFS(OVR_HIGH,OVR_TICKERS,$C40),$L40))</f>
        <v/>
      </c>
      <c r="O40" s="69">
        <f>IF($B40="","",IFERROR($B40*$G40*$J40/$B$3,""))</f>
        <v/>
      </c>
      <c r="P40" s="69">
        <f>IF($B40="","",IFERROR($B40*$G40*$L40/$B$3,""))</f>
        <v/>
      </c>
      <c r="Q40" s="44">
        <f>IF($B40="","",IFERROR($O40+$P40,""))</f>
        <v/>
      </c>
      <c r="R40" s="69">
        <f>IF($B40="","",IFERROR($O40+$B40*$G40*$M40/$B$3,""))</f>
        <v/>
      </c>
      <c r="S40" s="69">
        <f>IF($B40="","",IFERROR($O40+$B40*$G40*$N40/$B$3,""))</f>
        <v/>
      </c>
      <c r="T40" s="88">
        <f>IF($B40="","",IFERROR($Q40/$Q$5,""))</f>
        <v/>
      </c>
      <c r="U40" s="2">
        <f>IF($B40="","",IF(COUNTIFS('Dvd Calendar'!$E$380:$AR$380,"&gt;0",'Dvd Calendar'!$E$380:$AR$380,"&lt;="&amp;VAL_DATE,'Dvd Calendar'!$E$381:$AR$381,"&gt;"&amp;PROJ_FROM,'Dvd Calendar'!$E$381:$AR$381,"&lt;="&amp;DATE(YEAR_Y,12,31))-COUNTIFS('Dvd Calendar'!$E$380:$AR$380,"&gt;0",'Dvd Calendar'!$E$380:$AR$380,"&lt;="&amp;VAL_DATE,'Dvd Calendar'!$E$381:$AR$381,"&gt;"&amp;PROJ_FROM,'Dvd Calendar'!$E$381:$AR$381,"&lt;="&amp;DATE(YEAR_Y,12,31),'Dvd Calendar'!$E$382:$AR$382,"&gt;=0")&gt;0,"TBA amount - override me",IF((OV_SWITCH="ON")*(COUNTIFS(OVR_TICKERS,$C40,OVR_BASE,"&gt;=0")&gt;0)&gt;0,"overridden",IF($J40+$K40=0,"no dividend in year Y",""))))</f>
        <v/>
      </c>
      <c r="V40" s="69">
        <f>IF($B40="","",IFERROR(IF(ISNUMBER($H40),$B40*$G40*$H40/$B$3,0),""))</f>
        <v/>
      </c>
      <c r="W40" s="69">
        <f>IF($B40="","",IFERROR($B40*$G40*$K40/$B$3,""))</f>
        <v/>
      </c>
      <c r="X40" s="98">
        <f>IF($C40="","",BDP($C40,"PX_LAST"))</f>
        <v/>
      </c>
      <c r="Y40" s="69">
        <f>IF($B40="","",IFERROR($B40*$X40/$B$3,""))</f>
        <v/>
      </c>
      <c r="Z40" s="73">
        <f>IF($B40="","",IFERROR($Y40/$Y$5,""))</f>
        <v/>
      </c>
    </row>
    <row r="41">
      <c r="B41" s="97" t="n"/>
      <c r="C41" s="8">
        <f>IF($A41="","",$A41&amp;" Equity")</f>
        <v/>
      </c>
      <c r="D41" s="8">
        <f>IF($C41="","",BDP($C41,"NAME"))</f>
        <v/>
      </c>
      <c r="E41" s="8">
        <f>IF($C41="","",BDP($C41,"GICS_SECTOR_NAME"))</f>
        <v/>
      </c>
      <c r="F41" s="37">
        <f>IF($C41="","",BDP($C41,FLD_CCY))</f>
        <v/>
      </c>
      <c r="G41" s="12">
        <f>IFERROR(IF(LEN($F41)&lt;&gt;3,1,IF($F41="HKD",1,BDP(IF($F41="CNY",RMB_CROSS,$F41)&amp;"HKD Curncy","PX_LAST"))),1)</f>
        <v/>
      </c>
      <c r="H41" s="69">
        <f>IF($C41="","",BDP($C41,FLD_DPS12M))</f>
        <v/>
      </c>
      <c r="I41" s="50">
        <f>IF($C41="","",BDP($C41,FLD_YLD12M))</f>
        <v/>
      </c>
      <c r="J41" s="52">
        <f>IF($B41="",0,SUMPRODUCT(('Dvd Calendar'!$E$385:$AR$385&gt;=DATE(YEAR_Y,1,1))*('Dvd Calendar'!$E$385:$AR$385&lt;=REALIZED_TO)*'Dvd Calendar'!$E$388:$AR$388*(('Dvd Calendar'!$E$390:$AR$390=TYPE1)*(TYPE1&lt;&gt;"")+('Dvd Calendar'!$E$390:$AR$390=TYPE2)*(TYPE2&lt;&gt;"")+('Dvd Calendar'!$E$390:$AR$390=TYPE3)*(TYPE3&lt;&gt;"")+('Dvd Calendar'!$E$390:$AR$390=TYPE4)*(TYPE4&lt;&gt;"")+('Dvd Calendar'!$E$390:$AR$390=SPECIAL_LBL)*(INC_SPECIALS="Y"))))</f>
        <v/>
      </c>
      <c r="K41" s="52">
        <f>IF($B41="",0,SUMIFS('Dvd Calendar'!$E$393:$AR$393,'Dvd Calendar'!$E$392:$AR$392,"&gt;"&amp;PROJ_FROM,'Dvd Calendar'!$E$392:$AR$392,"&lt;="&amp;DATE(YEAR_Y,12,31))+SUMPRODUCT(('Dvd Calendar'!$E$385:$AR$385&gt;PROJ_FROM)*('Dvd Calendar'!$E$385:$AR$385&lt;=DATE(YEAR_Y,12,31))*'Dvd Calendar'!$E$388:$AR$388*(('Dvd Calendar'!$E$390:$AR$390=TYPE1)*(TYPE1&lt;&gt;"")+('Dvd Calendar'!$E$390:$AR$390=TYPE2)*(TYPE2&lt;&gt;"")+('Dvd Calendar'!$E$390:$AR$390=TYPE3)*(TYPE3&lt;&gt;"")+('Dvd Calendar'!$E$390:$AR$390=TYPE4)*(TYPE4&lt;&gt;"")+('Dvd Calendar'!$E$390:$AR$390=SPECIAL_LBL)*(INC_SPECIALS="Y"))*(COUNTIF('Dvd Calendar'!$E$392:$AR$392,'Dvd Calendar'!$E$385:$AR$385)=0)))</f>
        <v/>
      </c>
      <c r="L41" s="52">
        <f>IF($B41="",0,IF((OV_SWITCH="ON")*(COUNTIFS(OVR_TICKERS,$C41,OVR_BASE,"&gt;=0")&gt;0)&gt;0,SUMIFS(OVR_BASE,OVR_TICKERS,$C41),$K41))</f>
        <v/>
      </c>
      <c r="M41" s="52">
        <f>IF($B41="",0,IF((OV_SWITCH="ON")*(COUNTIFS(OVR_TICKERS,$C41,OVR_LOW,"&gt;=0")&gt;0)&gt;0,SUMIFS(OVR_LOW,OVR_TICKERS,$C41),$L41))</f>
        <v/>
      </c>
      <c r="N41" s="52">
        <f>IF($B41="",0,IF((OV_SWITCH="ON")*(COUNTIFS(OVR_TICKERS,$C41,OVR_HIGH,"&gt;=0")&gt;0)&gt;0,SUMIFS(OVR_HIGH,OVR_TICKERS,$C41),$L41))</f>
        <v/>
      </c>
      <c r="O41" s="69">
        <f>IF($B41="","",IFERROR($B41*$G41*$J41/$B$3,""))</f>
        <v/>
      </c>
      <c r="P41" s="69">
        <f>IF($B41="","",IFERROR($B41*$G41*$L41/$B$3,""))</f>
        <v/>
      </c>
      <c r="Q41" s="44">
        <f>IF($B41="","",IFERROR($O41+$P41,""))</f>
        <v/>
      </c>
      <c r="R41" s="69">
        <f>IF($B41="","",IFERROR($O41+$B41*$G41*$M41/$B$3,""))</f>
        <v/>
      </c>
      <c r="S41" s="69">
        <f>IF($B41="","",IFERROR($O41+$B41*$G41*$N41/$B$3,""))</f>
        <v/>
      </c>
      <c r="T41" s="88">
        <f>IF($B41="","",IFERROR($Q41/$Q$5,""))</f>
        <v/>
      </c>
      <c r="U41" s="2">
        <f>IF($B41="","",IF(COUNTIFS('Dvd Calendar'!$E$391:$AR$391,"&gt;0",'Dvd Calendar'!$E$391:$AR$391,"&lt;="&amp;VAL_DATE,'Dvd Calendar'!$E$392:$AR$392,"&gt;"&amp;PROJ_FROM,'Dvd Calendar'!$E$392:$AR$392,"&lt;="&amp;DATE(YEAR_Y,12,31))-COUNTIFS('Dvd Calendar'!$E$391:$AR$391,"&gt;0",'Dvd Calendar'!$E$391:$AR$391,"&lt;="&amp;VAL_DATE,'Dvd Calendar'!$E$392:$AR$392,"&gt;"&amp;PROJ_FROM,'Dvd Calendar'!$E$392:$AR$392,"&lt;="&amp;DATE(YEAR_Y,12,31),'Dvd Calendar'!$E$393:$AR$393,"&gt;=0")&gt;0,"TBA amount - override me",IF((OV_SWITCH="ON")*(COUNTIFS(OVR_TICKERS,$C41,OVR_BASE,"&gt;=0")&gt;0)&gt;0,"overridden",IF($J41+$K41=0,"no dividend in year Y",""))))</f>
        <v/>
      </c>
      <c r="V41" s="69">
        <f>IF($B41="","",IFERROR(IF(ISNUMBER($H41),$B41*$G41*$H41/$B$3,0),""))</f>
        <v/>
      </c>
      <c r="W41" s="69">
        <f>IF($B41="","",IFERROR($B41*$G41*$K41/$B$3,""))</f>
        <v/>
      </c>
      <c r="X41" s="98">
        <f>IF($C41="","",BDP($C41,"PX_LAST"))</f>
        <v/>
      </c>
      <c r="Y41" s="69">
        <f>IF($B41="","",IFERROR($B41*$X41/$B$3,""))</f>
        <v/>
      </c>
      <c r="Z41" s="73">
        <f>IF($B41="","",IFERROR($Y41/$Y$5,""))</f>
        <v/>
      </c>
    </row>
    <row r="42">
      <c r="B42" s="97" t="n"/>
      <c r="C42" s="8">
        <f>IF($A42="","",$A42&amp;" Equity")</f>
        <v/>
      </c>
      <c r="D42" s="8">
        <f>IF($C42="","",BDP($C42,"NAME"))</f>
        <v/>
      </c>
      <c r="E42" s="8">
        <f>IF($C42="","",BDP($C42,"GICS_SECTOR_NAME"))</f>
        <v/>
      </c>
      <c r="F42" s="37">
        <f>IF($C42="","",BDP($C42,FLD_CCY))</f>
        <v/>
      </c>
      <c r="G42" s="12">
        <f>IFERROR(IF(LEN($F42)&lt;&gt;3,1,IF($F42="HKD",1,BDP(IF($F42="CNY",RMB_CROSS,$F42)&amp;"HKD Curncy","PX_LAST"))),1)</f>
        <v/>
      </c>
      <c r="H42" s="69">
        <f>IF($C42="","",BDP($C42,FLD_DPS12M))</f>
        <v/>
      </c>
      <c r="I42" s="50">
        <f>IF($C42="","",BDP($C42,FLD_YLD12M))</f>
        <v/>
      </c>
      <c r="J42" s="52">
        <f>IF($B42="",0,SUMPRODUCT(('Dvd Calendar'!$E$396:$AR$396&gt;=DATE(YEAR_Y,1,1))*('Dvd Calendar'!$E$396:$AR$396&lt;=REALIZED_TO)*'Dvd Calendar'!$E$399:$AR$399*(('Dvd Calendar'!$E$401:$AR$401=TYPE1)*(TYPE1&lt;&gt;"")+('Dvd Calendar'!$E$401:$AR$401=TYPE2)*(TYPE2&lt;&gt;"")+('Dvd Calendar'!$E$401:$AR$401=TYPE3)*(TYPE3&lt;&gt;"")+('Dvd Calendar'!$E$401:$AR$401=TYPE4)*(TYPE4&lt;&gt;"")+('Dvd Calendar'!$E$401:$AR$401=SPECIAL_LBL)*(INC_SPECIALS="Y"))))</f>
        <v/>
      </c>
      <c r="K42" s="52">
        <f>IF($B42="",0,SUMIFS('Dvd Calendar'!$E$404:$AR$404,'Dvd Calendar'!$E$403:$AR$403,"&gt;"&amp;PROJ_FROM,'Dvd Calendar'!$E$403:$AR$403,"&lt;="&amp;DATE(YEAR_Y,12,31))+SUMPRODUCT(('Dvd Calendar'!$E$396:$AR$396&gt;PROJ_FROM)*('Dvd Calendar'!$E$396:$AR$396&lt;=DATE(YEAR_Y,12,31))*'Dvd Calendar'!$E$399:$AR$399*(('Dvd Calendar'!$E$401:$AR$401=TYPE1)*(TYPE1&lt;&gt;"")+('Dvd Calendar'!$E$401:$AR$401=TYPE2)*(TYPE2&lt;&gt;"")+('Dvd Calendar'!$E$401:$AR$401=TYPE3)*(TYPE3&lt;&gt;"")+('Dvd Calendar'!$E$401:$AR$401=TYPE4)*(TYPE4&lt;&gt;"")+('Dvd Calendar'!$E$401:$AR$401=SPECIAL_LBL)*(INC_SPECIALS="Y"))*(COUNTIF('Dvd Calendar'!$E$403:$AR$403,'Dvd Calendar'!$E$396:$AR$396)=0)))</f>
        <v/>
      </c>
      <c r="L42" s="52">
        <f>IF($B42="",0,IF((OV_SWITCH="ON")*(COUNTIFS(OVR_TICKERS,$C42,OVR_BASE,"&gt;=0")&gt;0)&gt;0,SUMIFS(OVR_BASE,OVR_TICKERS,$C42),$K42))</f>
        <v/>
      </c>
      <c r="M42" s="52">
        <f>IF($B42="",0,IF((OV_SWITCH="ON")*(COUNTIFS(OVR_TICKERS,$C42,OVR_LOW,"&gt;=0")&gt;0)&gt;0,SUMIFS(OVR_LOW,OVR_TICKERS,$C42),$L42))</f>
        <v/>
      </c>
      <c r="N42" s="52">
        <f>IF($B42="",0,IF((OV_SWITCH="ON")*(COUNTIFS(OVR_TICKERS,$C42,OVR_HIGH,"&gt;=0")&gt;0)&gt;0,SUMIFS(OVR_HIGH,OVR_TICKERS,$C42),$L42))</f>
        <v/>
      </c>
      <c r="O42" s="69">
        <f>IF($B42="","",IFERROR($B42*$G42*$J42/$B$3,""))</f>
        <v/>
      </c>
      <c r="P42" s="69">
        <f>IF($B42="","",IFERROR($B42*$G42*$L42/$B$3,""))</f>
        <v/>
      </c>
      <c r="Q42" s="44">
        <f>IF($B42="","",IFERROR($O42+$P42,""))</f>
        <v/>
      </c>
      <c r="R42" s="69">
        <f>IF($B42="","",IFERROR($O42+$B42*$G42*$M42/$B$3,""))</f>
        <v/>
      </c>
      <c r="S42" s="69">
        <f>IF($B42="","",IFERROR($O42+$B42*$G42*$N42/$B$3,""))</f>
        <v/>
      </c>
      <c r="T42" s="88">
        <f>IF($B42="","",IFERROR($Q42/$Q$5,""))</f>
        <v/>
      </c>
      <c r="U42" s="2">
        <f>IF($B42="","",IF(COUNTIFS('Dvd Calendar'!$E$402:$AR$402,"&gt;0",'Dvd Calendar'!$E$402:$AR$402,"&lt;="&amp;VAL_DATE,'Dvd Calendar'!$E$403:$AR$403,"&gt;"&amp;PROJ_FROM,'Dvd Calendar'!$E$403:$AR$403,"&lt;="&amp;DATE(YEAR_Y,12,31))-COUNTIFS('Dvd Calendar'!$E$402:$AR$402,"&gt;0",'Dvd Calendar'!$E$402:$AR$402,"&lt;="&amp;VAL_DATE,'Dvd Calendar'!$E$403:$AR$403,"&gt;"&amp;PROJ_FROM,'Dvd Calendar'!$E$403:$AR$403,"&lt;="&amp;DATE(YEAR_Y,12,31),'Dvd Calendar'!$E$404:$AR$404,"&gt;=0")&gt;0,"TBA amount - override me",IF((OV_SWITCH="ON")*(COUNTIFS(OVR_TICKERS,$C42,OVR_BASE,"&gt;=0")&gt;0)&gt;0,"overridden",IF($J42+$K42=0,"no dividend in year Y",""))))</f>
        <v/>
      </c>
      <c r="V42" s="69">
        <f>IF($B42="","",IFERROR(IF(ISNUMBER($H42),$B42*$G42*$H42/$B$3,0),""))</f>
        <v/>
      </c>
      <c r="W42" s="69">
        <f>IF($B42="","",IFERROR($B42*$G42*$K42/$B$3,""))</f>
        <v/>
      </c>
      <c r="X42" s="98">
        <f>IF($C42="","",BDP($C42,"PX_LAST"))</f>
        <v/>
      </c>
      <c r="Y42" s="69">
        <f>IF($B42="","",IFERROR($B42*$X42/$B$3,""))</f>
        <v/>
      </c>
      <c r="Z42" s="73">
        <f>IF($B42="","",IFERROR($Y42/$Y$5,""))</f>
        <v/>
      </c>
    </row>
    <row r="43">
      <c r="B43" s="97" t="n"/>
      <c r="C43" s="8">
        <f>IF($A43="","",$A43&amp;" Equity")</f>
        <v/>
      </c>
      <c r="D43" s="8">
        <f>IF($C43="","",BDP($C43,"NAME"))</f>
        <v/>
      </c>
      <c r="E43" s="8">
        <f>IF($C43="","",BDP($C43,"GICS_SECTOR_NAME"))</f>
        <v/>
      </c>
      <c r="F43" s="37">
        <f>IF($C43="","",BDP($C43,FLD_CCY))</f>
        <v/>
      </c>
      <c r="G43" s="12">
        <f>IFERROR(IF(LEN($F43)&lt;&gt;3,1,IF($F43="HKD",1,BDP(IF($F43="CNY",RMB_CROSS,$F43)&amp;"HKD Curncy","PX_LAST"))),1)</f>
        <v/>
      </c>
      <c r="H43" s="69">
        <f>IF($C43="","",BDP($C43,FLD_DPS12M))</f>
        <v/>
      </c>
      <c r="I43" s="50">
        <f>IF($C43="","",BDP($C43,FLD_YLD12M))</f>
        <v/>
      </c>
      <c r="J43" s="52">
        <f>IF($B43="",0,SUMPRODUCT(('Dvd Calendar'!$E$407:$AR$407&gt;=DATE(YEAR_Y,1,1))*('Dvd Calendar'!$E$407:$AR$407&lt;=REALIZED_TO)*'Dvd Calendar'!$E$410:$AR$410*(('Dvd Calendar'!$E$412:$AR$412=TYPE1)*(TYPE1&lt;&gt;"")+('Dvd Calendar'!$E$412:$AR$412=TYPE2)*(TYPE2&lt;&gt;"")+('Dvd Calendar'!$E$412:$AR$412=TYPE3)*(TYPE3&lt;&gt;"")+('Dvd Calendar'!$E$412:$AR$412=TYPE4)*(TYPE4&lt;&gt;"")+('Dvd Calendar'!$E$412:$AR$412=SPECIAL_LBL)*(INC_SPECIALS="Y"))))</f>
        <v/>
      </c>
      <c r="K43" s="52">
        <f>IF($B43="",0,SUMIFS('Dvd Calendar'!$E$415:$AR$415,'Dvd Calendar'!$E$414:$AR$414,"&gt;"&amp;PROJ_FROM,'Dvd Calendar'!$E$414:$AR$414,"&lt;="&amp;DATE(YEAR_Y,12,31))+SUMPRODUCT(('Dvd Calendar'!$E$407:$AR$407&gt;PROJ_FROM)*('Dvd Calendar'!$E$407:$AR$407&lt;=DATE(YEAR_Y,12,31))*'Dvd Calendar'!$E$410:$AR$410*(('Dvd Calendar'!$E$412:$AR$412=TYPE1)*(TYPE1&lt;&gt;"")+('Dvd Calendar'!$E$412:$AR$412=TYPE2)*(TYPE2&lt;&gt;"")+('Dvd Calendar'!$E$412:$AR$412=TYPE3)*(TYPE3&lt;&gt;"")+('Dvd Calendar'!$E$412:$AR$412=TYPE4)*(TYPE4&lt;&gt;"")+('Dvd Calendar'!$E$412:$AR$412=SPECIAL_LBL)*(INC_SPECIALS="Y"))*(COUNTIF('Dvd Calendar'!$E$414:$AR$414,'Dvd Calendar'!$E$407:$AR$407)=0)))</f>
        <v/>
      </c>
      <c r="L43" s="52">
        <f>IF($B43="",0,IF((OV_SWITCH="ON")*(COUNTIFS(OVR_TICKERS,$C43,OVR_BASE,"&gt;=0")&gt;0)&gt;0,SUMIFS(OVR_BASE,OVR_TICKERS,$C43),$K43))</f>
        <v/>
      </c>
      <c r="M43" s="52">
        <f>IF($B43="",0,IF((OV_SWITCH="ON")*(COUNTIFS(OVR_TICKERS,$C43,OVR_LOW,"&gt;=0")&gt;0)&gt;0,SUMIFS(OVR_LOW,OVR_TICKERS,$C43),$L43))</f>
        <v/>
      </c>
      <c r="N43" s="52">
        <f>IF($B43="",0,IF((OV_SWITCH="ON")*(COUNTIFS(OVR_TICKERS,$C43,OVR_HIGH,"&gt;=0")&gt;0)&gt;0,SUMIFS(OVR_HIGH,OVR_TICKERS,$C43),$L43))</f>
        <v/>
      </c>
      <c r="O43" s="69">
        <f>IF($B43="","",IFERROR($B43*$G43*$J43/$B$3,""))</f>
        <v/>
      </c>
      <c r="P43" s="69">
        <f>IF($B43="","",IFERROR($B43*$G43*$L43/$B$3,""))</f>
        <v/>
      </c>
      <c r="Q43" s="44">
        <f>IF($B43="","",IFERROR($O43+$P43,""))</f>
        <v/>
      </c>
      <c r="R43" s="69">
        <f>IF($B43="","",IFERROR($O43+$B43*$G43*$M43/$B$3,""))</f>
        <v/>
      </c>
      <c r="S43" s="69">
        <f>IF($B43="","",IFERROR($O43+$B43*$G43*$N43/$B$3,""))</f>
        <v/>
      </c>
      <c r="T43" s="88">
        <f>IF($B43="","",IFERROR($Q43/$Q$5,""))</f>
        <v/>
      </c>
      <c r="U43" s="2">
        <f>IF($B43="","",IF(COUNTIFS('Dvd Calendar'!$E$413:$AR$413,"&gt;0",'Dvd Calendar'!$E$413:$AR$413,"&lt;="&amp;VAL_DATE,'Dvd Calendar'!$E$414:$AR$414,"&gt;"&amp;PROJ_FROM,'Dvd Calendar'!$E$414:$AR$414,"&lt;="&amp;DATE(YEAR_Y,12,31))-COUNTIFS('Dvd Calendar'!$E$413:$AR$413,"&gt;0",'Dvd Calendar'!$E$413:$AR$413,"&lt;="&amp;VAL_DATE,'Dvd Calendar'!$E$414:$AR$414,"&gt;"&amp;PROJ_FROM,'Dvd Calendar'!$E$414:$AR$414,"&lt;="&amp;DATE(YEAR_Y,12,31),'Dvd Calendar'!$E$415:$AR$415,"&gt;=0")&gt;0,"TBA amount - override me",IF((OV_SWITCH="ON")*(COUNTIFS(OVR_TICKERS,$C43,OVR_BASE,"&gt;=0")&gt;0)&gt;0,"overridden",IF($J43+$K43=0,"no dividend in year Y",""))))</f>
        <v/>
      </c>
      <c r="V43" s="69">
        <f>IF($B43="","",IFERROR(IF(ISNUMBER($H43),$B43*$G43*$H43/$B$3,0),""))</f>
        <v/>
      </c>
      <c r="W43" s="69">
        <f>IF($B43="","",IFERROR($B43*$G43*$K43/$B$3,""))</f>
        <v/>
      </c>
      <c r="X43" s="98">
        <f>IF($C43="","",BDP($C43,"PX_LAST"))</f>
        <v/>
      </c>
      <c r="Y43" s="69">
        <f>IF($B43="","",IFERROR($B43*$X43/$B$3,""))</f>
        <v/>
      </c>
      <c r="Z43" s="73">
        <f>IF($B43="","",IFERROR($Y43/$Y$5,""))</f>
        <v/>
      </c>
    </row>
    <row r="44">
      <c r="B44" s="97" t="n"/>
      <c r="C44" s="8">
        <f>IF($A44="","",$A44&amp;" Equity")</f>
        <v/>
      </c>
      <c r="D44" s="8">
        <f>IF($C44="","",BDP($C44,"NAME"))</f>
        <v/>
      </c>
      <c r="E44" s="8">
        <f>IF($C44="","",BDP($C44,"GICS_SECTOR_NAME"))</f>
        <v/>
      </c>
      <c r="F44" s="37">
        <f>IF($C44="","",BDP($C44,FLD_CCY))</f>
        <v/>
      </c>
      <c r="G44" s="12">
        <f>IFERROR(IF(LEN($F44)&lt;&gt;3,1,IF($F44="HKD",1,BDP(IF($F44="CNY",RMB_CROSS,$F44)&amp;"HKD Curncy","PX_LAST"))),1)</f>
        <v/>
      </c>
      <c r="H44" s="69">
        <f>IF($C44="","",BDP($C44,FLD_DPS12M))</f>
        <v/>
      </c>
      <c r="I44" s="50">
        <f>IF($C44="","",BDP($C44,FLD_YLD12M))</f>
        <v/>
      </c>
      <c r="J44" s="52">
        <f>IF($B44="",0,SUMPRODUCT(('Dvd Calendar'!$E$418:$AR$418&gt;=DATE(YEAR_Y,1,1))*('Dvd Calendar'!$E$418:$AR$418&lt;=REALIZED_TO)*'Dvd Calendar'!$E$421:$AR$421*(('Dvd Calendar'!$E$423:$AR$423=TYPE1)*(TYPE1&lt;&gt;"")+('Dvd Calendar'!$E$423:$AR$423=TYPE2)*(TYPE2&lt;&gt;"")+('Dvd Calendar'!$E$423:$AR$423=TYPE3)*(TYPE3&lt;&gt;"")+('Dvd Calendar'!$E$423:$AR$423=TYPE4)*(TYPE4&lt;&gt;"")+('Dvd Calendar'!$E$423:$AR$423=SPECIAL_LBL)*(INC_SPECIALS="Y"))))</f>
        <v/>
      </c>
      <c r="K44" s="52">
        <f>IF($B44="",0,SUMIFS('Dvd Calendar'!$E$426:$AR$426,'Dvd Calendar'!$E$425:$AR$425,"&gt;"&amp;PROJ_FROM,'Dvd Calendar'!$E$425:$AR$425,"&lt;="&amp;DATE(YEAR_Y,12,31))+SUMPRODUCT(('Dvd Calendar'!$E$418:$AR$418&gt;PROJ_FROM)*('Dvd Calendar'!$E$418:$AR$418&lt;=DATE(YEAR_Y,12,31))*'Dvd Calendar'!$E$421:$AR$421*(('Dvd Calendar'!$E$423:$AR$423=TYPE1)*(TYPE1&lt;&gt;"")+('Dvd Calendar'!$E$423:$AR$423=TYPE2)*(TYPE2&lt;&gt;"")+('Dvd Calendar'!$E$423:$AR$423=TYPE3)*(TYPE3&lt;&gt;"")+('Dvd Calendar'!$E$423:$AR$423=TYPE4)*(TYPE4&lt;&gt;"")+('Dvd Calendar'!$E$423:$AR$423=SPECIAL_LBL)*(INC_SPECIALS="Y"))*(COUNTIF('Dvd Calendar'!$E$425:$AR$425,'Dvd Calendar'!$E$418:$AR$418)=0)))</f>
        <v/>
      </c>
      <c r="L44" s="52">
        <f>IF($B44="",0,IF((OV_SWITCH="ON")*(COUNTIFS(OVR_TICKERS,$C44,OVR_BASE,"&gt;=0")&gt;0)&gt;0,SUMIFS(OVR_BASE,OVR_TICKERS,$C44),$K44))</f>
        <v/>
      </c>
      <c r="M44" s="52">
        <f>IF($B44="",0,IF((OV_SWITCH="ON")*(COUNTIFS(OVR_TICKERS,$C44,OVR_LOW,"&gt;=0")&gt;0)&gt;0,SUMIFS(OVR_LOW,OVR_TICKERS,$C44),$L44))</f>
        <v/>
      </c>
      <c r="N44" s="52">
        <f>IF($B44="",0,IF((OV_SWITCH="ON")*(COUNTIFS(OVR_TICKERS,$C44,OVR_HIGH,"&gt;=0")&gt;0)&gt;0,SUMIFS(OVR_HIGH,OVR_TICKERS,$C44),$L44))</f>
        <v/>
      </c>
      <c r="O44" s="69">
        <f>IF($B44="","",IFERROR($B44*$G44*$J44/$B$3,""))</f>
        <v/>
      </c>
      <c r="P44" s="69">
        <f>IF($B44="","",IFERROR($B44*$G44*$L44/$B$3,""))</f>
        <v/>
      </c>
      <c r="Q44" s="44">
        <f>IF($B44="","",IFERROR($O44+$P44,""))</f>
        <v/>
      </c>
      <c r="R44" s="69">
        <f>IF($B44="","",IFERROR($O44+$B44*$G44*$M44/$B$3,""))</f>
        <v/>
      </c>
      <c r="S44" s="69">
        <f>IF($B44="","",IFERROR($O44+$B44*$G44*$N44/$B$3,""))</f>
        <v/>
      </c>
      <c r="T44" s="88">
        <f>IF($B44="","",IFERROR($Q44/$Q$5,""))</f>
        <v/>
      </c>
      <c r="U44" s="2">
        <f>IF($B44="","",IF(COUNTIFS('Dvd Calendar'!$E$424:$AR$424,"&gt;0",'Dvd Calendar'!$E$424:$AR$424,"&lt;="&amp;VAL_DATE,'Dvd Calendar'!$E$425:$AR$425,"&gt;"&amp;PROJ_FROM,'Dvd Calendar'!$E$425:$AR$425,"&lt;="&amp;DATE(YEAR_Y,12,31))-COUNTIFS('Dvd Calendar'!$E$424:$AR$424,"&gt;0",'Dvd Calendar'!$E$424:$AR$424,"&lt;="&amp;VAL_DATE,'Dvd Calendar'!$E$425:$AR$425,"&gt;"&amp;PROJ_FROM,'Dvd Calendar'!$E$425:$AR$425,"&lt;="&amp;DATE(YEAR_Y,12,31),'Dvd Calendar'!$E$426:$AR$426,"&gt;=0")&gt;0,"TBA amount - override me",IF((OV_SWITCH="ON")*(COUNTIFS(OVR_TICKERS,$C44,OVR_BASE,"&gt;=0")&gt;0)&gt;0,"overridden",IF($J44+$K44=0,"no dividend in year Y",""))))</f>
        <v/>
      </c>
      <c r="V44" s="69">
        <f>IF($B44="","",IFERROR(IF(ISNUMBER($H44),$B44*$G44*$H44/$B$3,0),""))</f>
        <v/>
      </c>
      <c r="W44" s="69">
        <f>IF($B44="","",IFERROR($B44*$G44*$K44/$B$3,""))</f>
        <v/>
      </c>
      <c r="X44" s="98">
        <f>IF($C44="","",BDP($C44,"PX_LAST"))</f>
        <v/>
      </c>
      <c r="Y44" s="69">
        <f>IF($B44="","",IFERROR($B44*$X44/$B$3,""))</f>
        <v/>
      </c>
      <c r="Z44" s="73">
        <f>IF($B44="","",IFERROR($Y44/$Y$5,""))</f>
        <v/>
      </c>
    </row>
    <row r="45">
      <c r="B45" s="97" t="n"/>
      <c r="C45" s="8">
        <f>IF($A45="","",$A45&amp;" Equity")</f>
        <v/>
      </c>
      <c r="D45" s="8">
        <f>IF($C45="","",BDP($C45,"NAME"))</f>
        <v/>
      </c>
      <c r="E45" s="8">
        <f>IF($C45="","",BDP($C45,"GICS_SECTOR_NAME"))</f>
        <v/>
      </c>
      <c r="F45" s="37">
        <f>IF($C45="","",BDP($C45,FLD_CCY))</f>
        <v/>
      </c>
      <c r="G45" s="12">
        <f>IFERROR(IF(LEN($F45)&lt;&gt;3,1,IF($F45="HKD",1,BDP(IF($F45="CNY",RMB_CROSS,$F45)&amp;"HKD Curncy","PX_LAST"))),1)</f>
        <v/>
      </c>
      <c r="H45" s="69">
        <f>IF($C45="","",BDP($C45,FLD_DPS12M))</f>
        <v/>
      </c>
      <c r="I45" s="50">
        <f>IF($C45="","",BDP($C45,FLD_YLD12M))</f>
        <v/>
      </c>
      <c r="J45" s="52">
        <f>IF($B45="",0,SUMPRODUCT(('Dvd Calendar'!$E$429:$AR$429&gt;=DATE(YEAR_Y,1,1))*('Dvd Calendar'!$E$429:$AR$429&lt;=REALIZED_TO)*'Dvd Calendar'!$E$432:$AR$432*(('Dvd Calendar'!$E$434:$AR$434=TYPE1)*(TYPE1&lt;&gt;"")+('Dvd Calendar'!$E$434:$AR$434=TYPE2)*(TYPE2&lt;&gt;"")+('Dvd Calendar'!$E$434:$AR$434=TYPE3)*(TYPE3&lt;&gt;"")+('Dvd Calendar'!$E$434:$AR$434=TYPE4)*(TYPE4&lt;&gt;"")+('Dvd Calendar'!$E$434:$AR$434=SPECIAL_LBL)*(INC_SPECIALS="Y"))))</f>
        <v/>
      </c>
      <c r="K45" s="52">
        <f>IF($B45="",0,SUMIFS('Dvd Calendar'!$E$437:$AR$437,'Dvd Calendar'!$E$436:$AR$436,"&gt;"&amp;PROJ_FROM,'Dvd Calendar'!$E$436:$AR$436,"&lt;="&amp;DATE(YEAR_Y,12,31))+SUMPRODUCT(('Dvd Calendar'!$E$429:$AR$429&gt;PROJ_FROM)*('Dvd Calendar'!$E$429:$AR$429&lt;=DATE(YEAR_Y,12,31))*'Dvd Calendar'!$E$432:$AR$432*(('Dvd Calendar'!$E$434:$AR$434=TYPE1)*(TYPE1&lt;&gt;"")+('Dvd Calendar'!$E$434:$AR$434=TYPE2)*(TYPE2&lt;&gt;"")+('Dvd Calendar'!$E$434:$AR$434=TYPE3)*(TYPE3&lt;&gt;"")+('Dvd Calendar'!$E$434:$AR$434=TYPE4)*(TYPE4&lt;&gt;"")+('Dvd Calendar'!$E$434:$AR$434=SPECIAL_LBL)*(INC_SPECIALS="Y"))*(COUNTIF('Dvd Calendar'!$E$436:$AR$436,'Dvd Calendar'!$E$429:$AR$429)=0)))</f>
        <v/>
      </c>
      <c r="L45" s="52">
        <f>IF($B45="",0,IF((OV_SWITCH="ON")*(COUNTIFS(OVR_TICKERS,$C45,OVR_BASE,"&gt;=0")&gt;0)&gt;0,SUMIFS(OVR_BASE,OVR_TICKERS,$C45),$K45))</f>
        <v/>
      </c>
      <c r="M45" s="52">
        <f>IF($B45="",0,IF((OV_SWITCH="ON")*(COUNTIFS(OVR_TICKERS,$C45,OVR_LOW,"&gt;=0")&gt;0)&gt;0,SUMIFS(OVR_LOW,OVR_TICKERS,$C45),$L45))</f>
        <v/>
      </c>
      <c r="N45" s="52">
        <f>IF($B45="",0,IF((OV_SWITCH="ON")*(COUNTIFS(OVR_TICKERS,$C45,OVR_HIGH,"&gt;=0")&gt;0)&gt;0,SUMIFS(OVR_HIGH,OVR_TICKERS,$C45),$L45))</f>
        <v/>
      </c>
      <c r="O45" s="69">
        <f>IF($B45="","",IFERROR($B45*$G45*$J45/$B$3,""))</f>
        <v/>
      </c>
      <c r="P45" s="69">
        <f>IF($B45="","",IFERROR($B45*$G45*$L45/$B$3,""))</f>
        <v/>
      </c>
      <c r="Q45" s="44">
        <f>IF($B45="","",IFERROR($O45+$P45,""))</f>
        <v/>
      </c>
      <c r="R45" s="69">
        <f>IF($B45="","",IFERROR($O45+$B45*$G45*$M45/$B$3,""))</f>
        <v/>
      </c>
      <c r="S45" s="69">
        <f>IF($B45="","",IFERROR($O45+$B45*$G45*$N45/$B$3,""))</f>
        <v/>
      </c>
      <c r="T45" s="88">
        <f>IF($B45="","",IFERROR($Q45/$Q$5,""))</f>
        <v/>
      </c>
      <c r="U45" s="2">
        <f>IF($B45="","",IF(COUNTIFS('Dvd Calendar'!$E$435:$AR$435,"&gt;0",'Dvd Calendar'!$E$435:$AR$435,"&lt;="&amp;VAL_DATE,'Dvd Calendar'!$E$436:$AR$436,"&gt;"&amp;PROJ_FROM,'Dvd Calendar'!$E$436:$AR$436,"&lt;="&amp;DATE(YEAR_Y,12,31))-COUNTIFS('Dvd Calendar'!$E$435:$AR$435,"&gt;0",'Dvd Calendar'!$E$435:$AR$435,"&lt;="&amp;VAL_DATE,'Dvd Calendar'!$E$436:$AR$436,"&gt;"&amp;PROJ_FROM,'Dvd Calendar'!$E$436:$AR$436,"&lt;="&amp;DATE(YEAR_Y,12,31),'Dvd Calendar'!$E$437:$AR$437,"&gt;=0")&gt;0,"TBA amount - override me",IF((OV_SWITCH="ON")*(COUNTIFS(OVR_TICKERS,$C45,OVR_BASE,"&gt;=0")&gt;0)&gt;0,"overridden",IF($J45+$K45=0,"no dividend in year Y",""))))</f>
        <v/>
      </c>
      <c r="V45" s="69">
        <f>IF($B45="","",IFERROR(IF(ISNUMBER($H45),$B45*$G45*$H45/$B$3,0),""))</f>
        <v/>
      </c>
      <c r="W45" s="69">
        <f>IF($B45="","",IFERROR($B45*$G45*$K45/$B$3,""))</f>
        <v/>
      </c>
      <c r="X45" s="98">
        <f>IF($C45="","",BDP($C45,"PX_LAST"))</f>
        <v/>
      </c>
      <c r="Y45" s="69">
        <f>IF($B45="","",IFERROR($B45*$X45/$B$3,""))</f>
        <v/>
      </c>
      <c r="Z45" s="73">
        <f>IF($B45="","",IFERROR($Y45/$Y$5,""))</f>
        <v/>
      </c>
    </row>
    <row r="46">
      <c r="B46" s="97" t="n"/>
      <c r="C46" s="8">
        <f>IF($A46="","",$A46&amp;" Equity")</f>
        <v/>
      </c>
      <c r="D46" s="8">
        <f>IF($C46="","",BDP($C46,"NAME"))</f>
        <v/>
      </c>
      <c r="E46" s="8">
        <f>IF($C46="","",BDP($C46,"GICS_SECTOR_NAME"))</f>
        <v/>
      </c>
      <c r="F46" s="37">
        <f>IF($C46="","",BDP($C46,FLD_CCY))</f>
        <v/>
      </c>
      <c r="G46" s="12">
        <f>IFERROR(IF(LEN($F46)&lt;&gt;3,1,IF($F46="HKD",1,BDP(IF($F46="CNY",RMB_CROSS,$F46)&amp;"HKD Curncy","PX_LAST"))),1)</f>
        <v/>
      </c>
      <c r="H46" s="69">
        <f>IF($C46="","",BDP($C46,FLD_DPS12M))</f>
        <v/>
      </c>
      <c r="I46" s="50">
        <f>IF($C46="","",BDP($C46,FLD_YLD12M))</f>
        <v/>
      </c>
      <c r="J46" s="52">
        <f>IF($B46="",0,SUMPRODUCT(('Dvd Calendar'!$E$440:$AR$440&gt;=DATE(YEAR_Y,1,1))*('Dvd Calendar'!$E$440:$AR$440&lt;=REALIZED_TO)*'Dvd Calendar'!$E$443:$AR$443*(('Dvd Calendar'!$E$445:$AR$445=TYPE1)*(TYPE1&lt;&gt;"")+('Dvd Calendar'!$E$445:$AR$445=TYPE2)*(TYPE2&lt;&gt;"")+('Dvd Calendar'!$E$445:$AR$445=TYPE3)*(TYPE3&lt;&gt;"")+('Dvd Calendar'!$E$445:$AR$445=TYPE4)*(TYPE4&lt;&gt;"")+('Dvd Calendar'!$E$445:$AR$445=SPECIAL_LBL)*(INC_SPECIALS="Y"))))</f>
        <v/>
      </c>
      <c r="K46" s="52">
        <f>IF($B46="",0,SUMIFS('Dvd Calendar'!$E$448:$AR$448,'Dvd Calendar'!$E$447:$AR$447,"&gt;"&amp;PROJ_FROM,'Dvd Calendar'!$E$447:$AR$447,"&lt;="&amp;DATE(YEAR_Y,12,31))+SUMPRODUCT(('Dvd Calendar'!$E$440:$AR$440&gt;PROJ_FROM)*('Dvd Calendar'!$E$440:$AR$440&lt;=DATE(YEAR_Y,12,31))*'Dvd Calendar'!$E$443:$AR$443*(('Dvd Calendar'!$E$445:$AR$445=TYPE1)*(TYPE1&lt;&gt;"")+('Dvd Calendar'!$E$445:$AR$445=TYPE2)*(TYPE2&lt;&gt;"")+('Dvd Calendar'!$E$445:$AR$445=TYPE3)*(TYPE3&lt;&gt;"")+('Dvd Calendar'!$E$445:$AR$445=TYPE4)*(TYPE4&lt;&gt;"")+('Dvd Calendar'!$E$445:$AR$445=SPECIAL_LBL)*(INC_SPECIALS="Y"))*(COUNTIF('Dvd Calendar'!$E$447:$AR$447,'Dvd Calendar'!$E$440:$AR$440)=0)))</f>
        <v/>
      </c>
      <c r="L46" s="52">
        <f>IF($B46="",0,IF((OV_SWITCH="ON")*(COUNTIFS(OVR_TICKERS,$C46,OVR_BASE,"&gt;=0")&gt;0)&gt;0,SUMIFS(OVR_BASE,OVR_TICKERS,$C46),$K46))</f>
        <v/>
      </c>
      <c r="M46" s="52">
        <f>IF($B46="",0,IF((OV_SWITCH="ON")*(COUNTIFS(OVR_TICKERS,$C46,OVR_LOW,"&gt;=0")&gt;0)&gt;0,SUMIFS(OVR_LOW,OVR_TICKERS,$C46),$L46))</f>
        <v/>
      </c>
      <c r="N46" s="52">
        <f>IF($B46="",0,IF((OV_SWITCH="ON")*(COUNTIFS(OVR_TICKERS,$C46,OVR_HIGH,"&gt;=0")&gt;0)&gt;0,SUMIFS(OVR_HIGH,OVR_TICKERS,$C46),$L46))</f>
        <v/>
      </c>
      <c r="O46" s="69">
        <f>IF($B46="","",IFERROR($B46*$G46*$J46/$B$3,""))</f>
        <v/>
      </c>
      <c r="P46" s="69">
        <f>IF($B46="","",IFERROR($B46*$G46*$L46/$B$3,""))</f>
        <v/>
      </c>
      <c r="Q46" s="44">
        <f>IF($B46="","",IFERROR($O46+$P46,""))</f>
        <v/>
      </c>
      <c r="R46" s="69">
        <f>IF($B46="","",IFERROR($O46+$B46*$G46*$M46/$B$3,""))</f>
        <v/>
      </c>
      <c r="S46" s="69">
        <f>IF($B46="","",IFERROR($O46+$B46*$G46*$N46/$B$3,""))</f>
        <v/>
      </c>
      <c r="T46" s="88">
        <f>IF($B46="","",IFERROR($Q46/$Q$5,""))</f>
        <v/>
      </c>
      <c r="U46" s="2">
        <f>IF($B46="","",IF(COUNTIFS('Dvd Calendar'!$E$446:$AR$446,"&gt;0",'Dvd Calendar'!$E$446:$AR$446,"&lt;="&amp;VAL_DATE,'Dvd Calendar'!$E$447:$AR$447,"&gt;"&amp;PROJ_FROM,'Dvd Calendar'!$E$447:$AR$447,"&lt;="&amp;DATE(YEAR_Y,12,31))-COUNTIFS('Dvd Calendar'!$E$446:$AR$446,"&gt;0",'Dvd Calendar'!$E$446:$AR$446,"&lt;="&amp;VAL_DATE,'Dvd Calendar'!$E$447:$AR$447,"&gt;"&amp;PROJ_FROM,'Dvd Calendar'!$E$447:$AR$447,"&lt;="&amp;DATE(YEAR_Y,12,31),'Dvd Calendar'!$E$448:$AR$448,"&gt;=0")&gt;0,"TBA amount - override me",IF((OV_SWITCH="ON")*(COUNTIFS(OVR_TICKERS,$C46,OVR_BASE,"&gt;=0")&gt;0)&gt;0,"overridden",IF($J46+$K46=0,"no dividend in year Y",""))))</f>
        <v/>
      </c>
      <c r="V46" s="69">
        <f>IF($B46="","",IFERROR(IF(ISNUMBER($H46),$B46*$G46*$H46/$B$3,0),""))</f>
        <v/>
      </c>
      <c r="W46" s="69">
        <f>IF($B46="","",IFERROR($B46*$G46*$K46/$B$3,""))</f>
        <v/>
      </c>
      <c r="X46" s="98">
        <f>IF($C46="","",BDP($C46,"PX_LAST"))</f>
        <v/>
      </c>
      <c r="Y46" s="69">
        <f>IF($B46="","",IFERROR($B46*$X46/$B$3,""))</f>
        <v/>
      </c>
      <c r="Z46" s="73">
        <f>IF($B46="","",IFERROR($Y46/$Y$5,""))</f>
        <v/>
      </c>
    </row>
    <row r="47">
      <c r="B47" s="97" t="n"/>
      <c r="C47" s="8">
        <f>IF($A47="","",$A47&amp;" Equity")</f>
        <v/>
      </c>
      <c r="D47" s="8">
        <f>IF($C47="","",BDP($C47,"NAME"))</f>
        <v/>
      </c>
      <c r="E47" s="8">
        <f>IF($C47="","",BDP($C47,"GICS_SECTOR_NAME"))</f>
        <v/>
      </c>
      <c r="F47" s="37">
        <f>IF($C47="","",BDP($C47,FLD_CCY))</f>
        <v/>
      </c>
      <c r="G47" s="12">
        <f>IFERROR(IF(LEN($F47)&lt;&gt;3,1,IF($F47="HKD",1,BDP(IF($F47="CNY",RMB_CROSS,$F47)&amp;"HKD Curncy","PX_LAST"))),1)</f>
        <v/>
      </c>
      <c r="H47" s="69">
        <f>IF($C47="","",BDP($C47,FLD_DPS12M))</f>
        <v/>
      </c>
      <c r="I47" s="50">
        <f>IF($C47="","",BDP($C47,FLD_YLD12M))</f>
        <v/>
      </c>
      <c r="J47" s="52">
        <f>IF($B47="",0,SUMPRODUCT(('Dvd Calendar'!$E$451:$AR$451&gt;=DATE(YEAR_Y,1,1))*('Dvd Calendar'!$E$451:$AR$451&lt;=REALIZED_TO)*'Dvd Calendar'!$E$454:$AR$454*(('Dvd Calendar'!$E$456:$AR$456=TYPE1)*(TYPE1&lt;&gt;"")+('Dvd Calendar'!$E$456:$AR$456=TYPE2)*(TYPE2&lt;&gt;"")+('Dvd Calendar'!$E$456:$AR$456=TYPE3)*(TYPE3&lt;&gt;"")+('Dvd Calendar'!$E$456:$AR$456=TYPE4)*(TYPE4&lt;&gt;"")+('Dvd Calendar'!$E$456:$AR$456=SPECIAL_LBL)*(INC_SPECIALS="Y"))))</f>
        <v/>
      </c>
      <c r="K47" s="52">
        <f>IF($B47="",0,SUMIFS('Dvd Calendar'!$E$459:$AR$459,'Dvd Calendar'!$E$458:$AR$458,"&gt;"&amp;PROJ_FROM,'Dvd Calendar'!$E$458:$AR$458,"&lt;="&amp;DATE(YEAR_Y,12,31))+SUMPRODUCT(('Dvd Calendar'!$E$451:$AR$451&gt;PROJ_FROM)*('Dvd Calendar'!$E$451:$AR$451&lt;=DATE(YEAR_Y,12,31))*'Dvd Calendar'!$E$454:$AR$454*(('Dvd Calendar'!$E$456:$AR$456=TYPE1)*(TYPE1&lt;&gt;"")+('Dvd Calendar'!$E$456:$AR$456=TYPE2)*(TYPE2&lt;&gt;"")+('Dvd Calendar'!$E$456:$AR$456=TYPE3)*(TYPE3&lt;&gt;"")+('Dvd Calendar'!$E$456:$AR$456=TYPE4)*(TYPE4&lt;&gt;"")+('Dvd Calendar'!$E$456:$AR$456=SPECIAL_LBL)*(INC_SPECIALS="Y"))*(COUNTIF('Dvd Calendar'!$E$458:$AR$458,'Dvd Calendar'!$E$451:$AR$451)=0)))</f>
        <v/>
      </c>
      <c r="L47" s="52">
        <f>IF($B47="",0,IF((OV_SWITCH="ON")*(COUNTIFS(OVR_TICKERS,$C47,OVR_BASE,"&gt;=0")&gt;0)&gt;0,SUMIFS(OVR_BASE,OVR_TICKERS,$C47),$K47))</f>
        <v/>
      </c>
      <c r="M47" s="52">
        <f>IF($B47="",0,IF((OV_SWITCH="ON")*(COUNTIFS(OVR_TICKERS,$C47,OVR_LOW,"&gt;=0")&gt;0)&gt;0,SUMIFS(OVR_LOW,OVR_TICKERS,$C47),$L47))</f>
        <v/>
      </c>
      <c r="N47" s="52">
        <f>IF($B47="",0,IF((OV_SWITCH="ON")*(COUNTIFS(OVR_TICKERS,$C47,OVR_HIGH,"&gt;=0")&gt;0)&gt;0,SUMIFS(OVR_HIGH,OVR_TICKERS,$C47),$L47))</f>
        <v/>
      </c>
      <c r="O47" s="69">
        <f>IF($B47="","",IFERROR($B47*$G47*$J47/$B$3,""))</f>
        <v/>
      </c>
      <c r="P47" s="69">
        <f>IF($B47="","",IFERROR($B47*$G47*$L47/$B$3,""))</f>
        <v/>
      </c>
      <c r="Q47" s="44">
        <f>IF($B47="","",IFERROR($O47+$P47,""))</f>
        <v/>
      </c>
      <c r="R47" s="69">
        <f>IF($B47="","",IFERROR($O47+$B47*$G47*$M47/$B$3,""))</f>
        <v/>
      </c>
      <c r="S47" s="69">
        <f>IF($B47="","",IFERROR($O47+$B47*$G47*$N47/$B$3,""))</f>
        <v/>
      </c>
      <c r="T47" s="88">
        <f>IF($B47="","",IFERROR($Q47/$Q$5,""))</f>
        <v/>
      </c>
      <c r="U47" s="2">
        <f>IF($B47="","",IF(COUNTIFS('Dvd Calendar'!$E$457:$AR$457,"&gt;0",'Dvd Calendar'!$E$457:$AR$457,"&lt;="&amp;VAL_DATE,'Dvd Calendar'!$E$458:$AR$458,"&gt;"&amp;PROJ_FROM,'Dvd Calendar'!$E$458:$AR$458,"&lt;="&amp;DATE(YEAR_Y,12,31))-COUNTIFS('Dvd Calendar'!$E$457:$AR$457,"&gt;0",'Dvd Calendar'!$E$457:$AR$457,"&lt;="&amp;VAL_DATE,'Dvd Calendar'!$E$458:$AR$458,"&gt;"&amp;PROJ_FROM,'Dvd Calendar'!$E$458:$AR$458,"&lt;="&amp;DATE(YEAR_Y,12,31),'Dvd Calendar'!$E$459:$AR$459,"&gt;=0")&gt;0,"TBA amount - override me",IF((OV_SWITCH="ON")*(COUNTIFS(OVR_TICKERS,$C47,OVR_BASE,"&gt;=0")&gt;0)&gt;0,"overridden",IF($J47+$K47=0,"no dividend in year Y",""))))</f>
        <v/>
      </c>
      <c r="V47" s="69">
        <f>IF($B47="","",IFERROR(IF(ISNUMBER($H47),$B47*$G47*$H47/$B$3,0),""))</f>
        <v/>
      </c>
      <c r="W47" s="69">
        <f>IF($B47="","",IFERROR($B47*$G47*$K47/$B$3,""))</f>
        <v/>
      </c>
      <c r="X47" s="98">
        <f>IF($C47="","",BDP($C47,"PX_LAST"))</f>
        <v/>
      </c>
      <c r="Y47" s="69">
        <f>IF($B47="","",IFERROR($B47*$X47/$B$3,""))</f>
        <v/>
      </c>
      <c r="Z47" s="73">
        <f>IF($B47="","",IFERROR($Y47/$Y$5,""))</f>
        <v/>
      </c>
    </row>
    <row r="48">
      <c r="B48" s="97" t="n"/>
      <c r="C48" s="8">
        <f>IF($A48="","",$A48&amp;" Equity")</f>
        <v/>
      </c>
      <c r="D48" s="8">
        <f>IF($C48="","",BDP($C48,"NAME"))</f>
        <v/>
      </c>
      <c r="E48" s="8">
        <f>IF($C48="","",BDP($C48,"GICS_SECTOR_NAME"))</f>
        <v/>
      </c>
      <c r="F48" s="37">
        <f>IF($C48="","",BDP($C48,FLD_CCY))</f>
        <v/>
      </c>
      <c r="G48" s="12">
        <f>IFERROR(IF(LEN($F48)&lt;&gt;3,1,IF($F48="HKD",1,BDP(IF($F48="CNY",RMB_CROSS,$F48)&amp;"HKD Curncy","PX_LAST"))),1)</f>
        <v/>
      </c>
      <c r="H48" s="69">
        <f>IF($C48="","",BDP($C48,FLD_DPS12M))</f>
        <v/>
      </c>
      <c r="I48" s="50">
        <f>IF($C48="","",BDP($C48,FLD_YLD12M))</f>
        <v/>
      </c>
      <c r="J48" s="52">
        <f>IF($B48="",0,SUMPRODUCT(('Dvd Calendar'!$E$462:$AR$462&gt;=DATE(YEAR_Y,1,1))*('Dvd Calendar'!$E$462:$AR$462&lt;=REALIZED_TO)*'Dvd Calendar'!$E$465:$AR$465*(('Dvd Calendar'!$E$467:$AR$467=TYPE1)*(TYPE1&lt;&gt;"")+('Dvd Calendar'!$E$467:$AR$467=TYPE2)*(TYPE2&lt;&gt;"")+('Dvd Calendar'!$E$467:$AR$467=TYPE3)*(TYPE3&lt;&gt;"")+('Dvd Calendar'!$E$467:$AR$467=TYPE4)*(TYPE4&lt;&gt;"")+('Dvd Calendar'!$E$467:$AR$467=SPECIAL_LBL)*(INC_SPECIALS="Y"))))</f>
        <v/>
      </c>
      <c r="K48" s="52">
        <f>IF($B48="",0,SUMIFS('Dvd Calendar'!$E$470:$AR$470,'Dvd Calendar'!$E$469:$AR$469,"&gt;"&amp;PROJ_FROM,'Dvd Calendar'!$E$469:$AR$469,"&lt;="&amp;DATE(YEAR_Y,12,31))+SUMPRODUCT(('Dvd Calendar'!$E$462:$AR$462&gt;PROJ_FROM)*('Dvd Calendar'!$E$462:$AR$462&lt;=DATE(YEAR_Y,12,31))*'Dvd Calendar'!$E$465:$AR$465*(('Dvd Calendar'!$E$467:$AR$467=TYPE1)*(TYPE1&lt;&gt;"")+('Dvd Calendar'!$E$467:$AR$467=TYPE2)*(TYPE2&lt;&gt;"")+('Dvd Calendar'!$E$467:$AR$467=TYPE3)*(TYPE3&lt;&gt;"")+('Dvd Calendar'!$E$467:$AR$467=TYPE4)*(TYPE4&lt;&gt;"")+('Dvd Calendar'!$E$467:$AR$467=SPECIAL_LBL)*(INC_SPECIALS="Y"))*(COUNTIF('Dvd Calendar'!$E$469:$AR$469,'Dvd Calendar'!$E$462:$AR$462)=0)))</f>
        <v/>
      </c>
      <c r="L48" s="52">
        <f>IF($B48="",0,IF((OV_SWITCH="ON")*(COUNTIFS(OVR_TICKERS,$C48,OVR_BASE,"&gt;=0")&gt;0)&gt;0,SUMIFS(OVR_BASE,OVR_TICKERS,$C48),$K48))</f>
        <v/>
      </c>
      <c r="M48" s="52">
        <f>IF($B48="",0,IF((OV_SWITCH="ON")*(COUNTIFS(OVR_TICKERS,$C48,OVR_LOW,"&gt;=0")&gt;0)&gt;0,SUMIFS(OVR_LOW,OVR_TICKERS,$C48),$L48))</f>
        <v/>
      </c>
      <c r="N48" s="52">
        <f>IF($B48="",0,IF((OV_SWITCH="ON")*(COUNTIFS(OVR_TICKERS,$C48,OVR_HIGH,"&gt;=0")&gt;0)&gt;0,SUMIFS(OVR_HIGH,OVR_TICKERS,$C48),$L48))</f>
        <v/>
      </c>
      <c r="O48" s="69">
        <f>IF($B48="","",IFERROR($B48*$G48*$J48/$B$3,""))</f>
        <v/>
      </c>
      <c r="P48" s="69">
        <f>IF($B48="","",IFERROR($B48*$G48*$L48/$B$3,""))</f>
        <v/>
      </c>
      <c r="Q48" s="44">
        <f>IF($B48="","",IFERROR($O48+$P48,""))</f>
        <v/>
      </c>
      <c r="R48" s="69">
        <f>IF($B48="","",IFERROR($O48+$B48*$G48*$M48/$B$3,""))</f>
        <v/>
      </c>
      <c r="S48" s="69">
        <f>IF($B48="","",IFERROR($O48+$B48*$G48*$N48/$B$3,""))</f>
        <v/>
      </c>
      <c r="T48" s="88">
        <f>IF($B48="","",IFERROR($Q48/$Q$5,""))</f>
        <v/>
      </c>
      <c r="U48" s="2">
        <f>IF($B48="","",IF(COUNTIFS('Dvd Calendar'!$E$468:$AR$468,"&gt;0",'Dvd Calendar'!$E$468:$AR$468,"&lt;="&amp;VAL_DATE,'Dvd Calendar'!$E$469:$AR$469,"&gt;"&amp;PROJ_FROM,'Dvd Calendar'!$E$469:$AR$469,"&lt;="&amp;DATE(YEAR_Y,12,31))-COUNTIFS('Dvd Calendar'!$E$468:$AR$468,"&gt;0",'Dvd Calendar'!$E$468:$AR$468,"&lt;="&amp;VAL_DATE,'Dvd Calendar'!$E$469:$AR$469,"&gt;"&amp;PROJ_FROM,'Dvd Calendar'!$E$469:$AR$469,"&lt;="&amp;DATE(YEAR_Y,12,31),'Dvd Calendar'!$E$470:$AR$470,"&gt;=0")&gt;0,"TBA amount - override me",IF((OV_SWITCH="ON")*(COUNTIFS(OVR_TICKERS,$C48,OVR_BASE,"&gt;=0")&gt;0)&gt;0,"overridden",IF($J48+$K48=0,"no dividend in year Y",""))))</f>
        <v/>
      </c>
      <c r="V48" s="69">
        <f>IF($B48="","",IFERROR(IF(ISNUMBER($H48),$B48*$G48*$H48/$B$3,0),""))</f>
        <v/>
      </c>
      <c r="W48" s="69">
        <f>IF($B48="","",IFERROR($B48*$G48*$K48/$B$3,""))</f>
        <v/>
      </c>
      <c r="X48" s="98">
        <f>IF($C48="","",BDP($C48,"PX_LAST"))</f>
        <v/>
      </c>
      <c r="Y48" s="69">
        <f>IF($B48="","",IFERROR($B48*$X48/$B$3,""))</f>
        <v/>
      </c>
      <c r="Z48" s="73">
        <f>IF($B48="","",IFERROR($Y48/$Y$5,""))</f>
        <v/>
      </c>
    </row>
    <row r="49">
      <c r="B49" s="97" t="n"/>
      <c r="C49" s="8">
        <f>IF($A49="","",$A49&amp;" Equity")</f>
        <v/>
      </c>
      <c r="D49" s="8">
        <f>IF($C49="","",BDP($C49,"NAME"))</f>
        <v/>
      </c>
      <c r="E49" s="8">
        <f>IF($C49="","",BDP($C49,"GICS_SECTOR_NAME"))</f>
        <v/>
      </c>
      <c r="F49" s="37">
        <f>IF($C49="","",BDP($C49,FLD_CCY))</f>
        <v/>
      </c>
      <c r="G49" s="12">
        <f>IFERROR(IF(LEN($F49)&lt;&gt;3,1,IF($F49="HKD",1,BDP(IF($F49="CNY",RMB_CROSS,$F49)&amp;"HKD Curncy","PX_LAST"))),1)</f>
        <v/>
      </c>
      <c r="H49" s="69">
        <f>IF($C49="","",BDP($C49,FLD_DPS12M))</f>
        <v/>
      </c>
      <c r="I49" s="50">
        <f>IF($C49="","",BDP($C49,FLD_YLD12M))</f>
        <v/>
      </c>
      <c r="J49" s="52">
        <f>IF($B49="",0,SUMPRODUCT(('Dvd Calendar'!$E$473:$AR$473&gt;=DATE(YEAR_Y,1,1))*('Dvd Calendar'!$E$473:$AR$473&lt;=REALIZED_TO)*'Dvd Calendar'!$E$476:$AR$476*(('Dvd Calendar'!$E$478:$AR$478=TYPE1)*(TYPE1&lt;&gt;"")+('Dvd Calendar'!$E$478:$AR$478=TYPE2)*(TYPE2&lt;&gt;"")+('Dvd Calendar'!$E$478:$AR$478=TYPE3)*(TYPE3&lt;&gt;"")+('Dvd Calendar'!$E$478:$AR$478=TYPE4)*(TYPE4&lt;&gt;"")+('Dvd Calendar'!$E$478:$AR$478=SPECIAL_LBL)*(INC_SPECIALS="Y"))))</f>
        <v/>
      </c>
      <c r="K49" s="52">
        <f>IF($B49="",0,SUMIFS('Dvd Calendar'!$E$481:$AR$481,'Dvd Calendar'!$E$480:$AR$480,"&gt;"&amp;PROJ_FROM,'Dvd Calendar'!$E$480:$AR$480,"&lt;="&amp;DATE(YEAR_Y,12,31))+SUMPRODUCT(('Dvd Calendar'!$E$473:$AR$473&gt;PROJ_FROM)*('Dvd Calendar'!$E$473:$AR$473&lt;=DATE(YEAR_Y,12,31))*'Dvd Calendar'!$E$476:$AR$476*(('Dvd Calendar'!$E$478:$AR$478=TYPE1)*(TYPE1&lt;&gt;"")+('Dvd Calendar'!$E$478:$AR$478=TYPE2)*(TYPE2&lt;&gt;"")+('Dvd Calendar'!$E$478:$AR$478=TYPE3)*(TYPE3&lt;&gt;"")+('Dvd Calendar'!$E$478:$AR$478=TYPE4)*(TYPE4&lt;&gt;"")+('Dvd Calendar'!$E$478:$AR$478=SPECIAL_LBL)*(INC_SPECIALS="Y"))*(COUNTIF('Dvd Calendar'!$E$480:$AR$480,'Dvd Calendar'!$E$473:$AR$473)=0)))</f>
        <v/>
      </c>
      <c r="L49" s="52">
        <f>IF($B49="",0,IF((OV_SWITCH="ON")*(COUNTIFS(OVR_TICKERS,$C49,OVR_BASE,"&gt;=0")&gt;0)&gt;0,SUMIFS(OVR_BASE,OVR_TICKERS,$C49),$K49))</f>
        <v/>
      </c>
      <c r="M49" s="52">
        <f>IF($B49="",0,IF((OV_SWITCH="ON")*(COUNTIFS(OVR_TICKERS,$C49,OVR_LOW,"&gt;=0")&gt;0)&gt;0,SUMIFS(OVR_LOW,OVR_TICKERS,$C49),$L49))</f>
        <v/>
      </c>
      <c r="N49" s="52">
        <f>IF($B49="",0,IF((OV_SWITCH="ON")*(COUNTIFS(OVR_TICKERS,$C49,OVR_HIGH,"&gt;=0")&gt;0)&gt;0,SUMIFS(OVR_HIGH,OVR_TICKERS,$C49),$L49))</f>
        <v/>
      </c>
      <c r="O49" s="69">
        <f>IF($B49="","",IFERROR($B49*$G49*$J49/$B$3,""))</f>
        <v/>
      </c>
      <c r="P49" s="69">
        <f>IF($B49="","",IFERROR($B49*$G49*$L49/$B$3,""))</f>
        <v/>
      </c>
      <c r="Q49" s="44">
        <f>IF($B49="","",IFERROR($O49+$P49,""))</f>
        <v/>
      </c>
      <c r="R49" s="69">
        <f>IF($B49="","",IFERROR($O49+$B49*$G49*$M49/$B$3,""))</f>
        <v/>
      </c>
      <c r="S49" s="69">
        <f>IF($B49="","",IFERROR($O49+$B49*$G49*$N49/$B$3,""))</f>
        <v/>
      </c>
      <c r="T49" s="88">
        <f>IF($B49="","",IFERROR($Q49/$Q$5,""))</f>
        <v/>
      </c>
      <c r="U49" s="2">
        <f>IF($B49="","",IF(COUNTIFS('Dvd Calendar'!$E$479:$AR$479,"&gt;0",'Dvd Calendar'!$E$479:$AR$479,"&lt;="&amp;VAL_DATE,'Dvd Calendar'!$E$480:$AR$480,"&gt;"&amp;PROJ_FROM,'Dvd Calendar'!$E$480:$AR$480,"&lt;="&amp;DATE(YEAR_Y,12,31))-COUNTIFS('Dvd Calendar'!$E$479:$AR$479,"&gt;0",'Dvd Calendar'!$E$479:$AR$479,"&lt;="&amp;VAL_DATE,'Dvd Calendar'!$E$480:$AR$480,"&gt;"&amp;PROJ_FROM,'Dvd Calendar'!$E$480:$AR$480,"&lt;="&amp;DATE(YEAR_Y,12,31),'Dvd Calendar'!$E$481:$AR$481,"&gt;=0")&gt;0,"TBA amount - override me",IF((OV_SWITCH="ON")*(COUNTIFS(OVR_TICKERS,$C49,OVR_BASE,"&gt;=0")&gt;0)&gt;0,"overridden",IF($J49+$K49=0,"no dividend in year Y",""))))</f>
        <v/>
      </c>
      <c r="V49" s="69">
        <f>IF($B49="","",IFERROR(IF(ISNUMBER($H49),$B49*$G49*$H49/$B$3,0),""))</f>
        <v/>
      </c>
      <c r="W49" s="69">
        <f>IF($B49="","",IFERROR($B49*$G49*$K49/$B$3,""))</f>
        <v/>
      </c>
      <c r="X49" s="98">
        <f>IF($C49="","",BDP($C49,"PX_LAST"))</f>
        <v/>
      </c>
      <c r="Y49" s="69">
        <f>IF($B49="","",IFERROR($B49*$X49/$B$3,""))</f>
        <v/>
      </c>
      <c r="Z49" s="73">
        <f>IF($B49="","",IFERROR($Y49/$Y$5,""))</f>
        <v/>
      </c>
    </row>
    <row r="50">
      <c r="B50" s="97" t="n"/>
      <c r="C50" s="8">
        <f>IF($A50="","",$A50&amp;" Equity")</f>
        <v/>
      </c>
      <c r="D50" s="8">
        <f>IF($C50="","",BDP($C50,"NAME"))</f>
        <v/>
      </c>
      <c r="E50" s="8">
        <f>IF($C50="","",BDP($C50,"GICS_SECTOR_NAME"))</f>
        <v/>
      </c>
      <c r="F50" s="37">
        <f>IF($C50="","",BDP($C50,FLD_CCY))</f>
        <v/>
      </c>
      <c r="G50" s="12">
        <f>IFERROR(IF(LEN($F50)&lt;&gt;3,1,IF($F50="HKD",1,BDP(IF($F50="CNY",RMB_CROSS,$F50)&amp;"HKD Curncy","PX_LAST"))),1)</f>
        <v/>
      </c>
      <c r="H50" s="69">
        <f>IF($C50="","",BDP($C50,FLD_DPS12M))</f>
        <v/>
      </c>
      <c r="I50" s="50">
        <f>IF($C50="","",BDP($C50,FLD_YLD12M))</f>
        <v/>
      </c>
      <c r="J50" s="52">
        <f>IF($B50="",0,SUMPRODUCT(('Dvd Calendar'!$E$484:$AR$484&gt;=DATE(YEAR_Y,1,1))*('Dvd Calendar'!$E$484:$AR$484&lt;=REALIZED_TO)*'Dvd Calendar'!$E$487:$AR$487*(('Dvd Calendar'!$E$489:$AR$489=TYPE1)*(TYPE1&lt;&gt;"")+('Dvd Calendar'!$E$489:$AR$489=TYPE2)*(TYPE2&lt;&gt;"")+('Dvd Calendar'!$E$489:$AR$489=TYPE3)*(TYPE3&lt;&gt;"")+('Dvd Calendar'!$E$489:$AR$489=TYPE4)*(TYPE4&lt;&gt;"")+('Dvd Calendar'!$E$489:$AR$489=SPECIAL_LBL)*(INC_SPECIALS="Y"))))</f>
        <v/>
      </c>
      <c r="K50" s="52">
        <f>IF($B50="",0,SUMIFS('Dvd Calendar'!$E$492:$AR$492,'Dvd Calendar'!$E$491:$AR$491,"&gt;"&amp;PROJ_FROM,'Dvd Calendar'!$E$491:$AR$491,"&lt;="&amp;DATE(YEAR_Y,12,31))+SUMPRODUCT(('Dvd Calendar'!$E$484:$AR$484&gt;PROJ_FROM)*('Dvd Calendar'!$E$484:$AR$484&lt;=DATE(YEAR_Y,12,31))*'Dvd Calendar'!$E$487:$AR$487*(('Dvd Calendar'!$E$489:$AR$489=TYPE1)*(TYPE1&lt;&gt;"")+('Dvd Calendar'!$E$489:$AR$489=TYPE2)*(TYPE2&lt;&gt;"")+('Dvd Calendar'!$E$489:$AR$489=TYPE3)*(TYPE3&lt;&gt;"")+('Dvd Calendar'!$E$489:$AR$489=TYPE4)*(TYPE4&lt;&gt;"")+('Dvd Calendar'!$E$489:$AR$489=SPECIAL_LBL)*(INC_SPECIALS="Y"))*(COUNTIF('Dvd Calendar'!$E$491:$AR$491,'Dvd Calendar'!$E$484:$AR$484)=0)))</f>
        <v/>
      </c>
      <c r="L50" s="52">
        <f>IF($B50="",0,IF((OV_SWITCH="ON")*(COUNTIFS(OVR_TICKERS,$C50,OVR_BASE,"&gt;=0")&gt;0)&gt;0,SUMIFS(OVR_BASE,OVR_TICKERS,$C50),$K50))</f>
        <v/>
      </c>
      <c r="M50" s="52">
        <f>IF($B50="",0,IF((OV_SWITCH="ON")*(COUNTIFS(OVR_TICKERS,$C50,OVR_LOW,"&gt;=0")&gt;0)&gt;0,SUMIFS(OVR_LOW,OVR_TICKERS,$C50),$L50))</f>
        <v/>
      </c>
      <c r="N50" s="52">
        <f>IF($B50="",0,IF((OV_SWITCH="ON")*(COUNTIFS(OVR_TICKERS,$C50,OVR_HIGH,"&gt;=0")&gt;0)&gt;0,SUMIFS(OVR_HIGH,OVR_TICKERS,$C50),$L50))</f>
        <v/>
      </c>
      <c r="O50" s="69">
        <f>IF($B50="","",IFERROR($B50*$G50*$J50/$B$3,""))</f>
        <v/>
      </c>
      <c r="P50" s="69">
        <f>IF($B50="","",IFERROR($B50*$G50*$L50/$B$3,""))</f>
        <v/>
      </c>
      <c r="Q50" s="44">
        <f>IF($B50="","",IFERROR($O50+$P50,""))</f>
        <v/>
      </c>
      <c r="R50" s="69">
        <f>IF($B50="","",IFERROR($O50+$B50*$G50*$M50/$B$3,""))</f>
        <v/>
      </c>
      <c r="S50" s="69">
        <f>IF($B50="","",IFERROR($O50+$B50*$G50*$N50/$B$3,""))</f>
        <v/>
      </c>
      <c r="T50" s="88">
        <f>IF($B50="","",IFERROR($Q50/$Q$5,""))</f>
        <v/>
      </c>
      <c r="U50" s="2">
        <f>IF($B50="","",IF(COUNTIFS('Dvd Calendar'!$E$490:$AR$490,"&gt;0",'Dvd Calendar'!$E$490:$AR$490,"&lt;="&amp;VAL_DATE,'Dvd Calendar'!$E$491:$AR$491,"&gt;"&amp;PROJ_FROM,'Dvd Calendar'!$E$491:$AR$491,"&lt;="&amp;DATE(YEAR_Y,12,31))-COUNTIFS('Dvd Calendar'!$E$490:$AR$490,"&gt;0",'Dvd Calendar'!$E$490:$AR$490,"&lt;="&amp;VAL_DATE,'Dvd Calendar'!$E$491:$AR$491,"&gt;"&amp;PROJ_FROM,'Dvd Calendar'!$E$491:$AR$491,"&lt;="&amp;DATE(YEAR_Y,12,31),'Dvd Calendar'!$E$492:$AR$492,"&gt;=0")&gt;0,"TBA amount - override me",IF((OV_SWITCH="ON")*(COUNTIFS(OVR_TICKERS,$C50,OVR_BASE,"&gt;=0")&gt;0)&gt;0,"overridden",IF($J50+$K50=0,"no dividend in year Y",""))))</f>
        <v/>
      </c>
      <c r="V50" s="69">
        <f>IF($B50="","",IFERROR(IF(ISNUMBER($H50),$B50*$G50*$H50/$B$3,0),""))</f>
        <v/>
      </c>
      <c r="W50" s="69">
        <f>IF($B50="","",IFERROR($B50*$G50*$K50/$B$3,""))</f>
        <v/>
      </c>
      <c r="X50" s="98">
        <f>IF($C50="","",BDP($C50,"PX_LAST"))</f>
        <v/>
      </c>
      <c r="Y50" s="69">
        <f>IF($B50="","",IFERROR($B50*$X50/$B$3,""))</f>
        <v/>
      </c>
      <c r="Z50" s="73">
        <f>IF($B50="","",IFERROR($Y50/$Y$5,""))</f>
        <v/>
      </c>
    </row>
    <row r="51">
      <c r="B51" s="97" t="n"/>
      <c r="C51" s="8">
        <f>IF($A51="","",$A51&amp;" Equity")</f>
        <v/>
      </c>
      <c r="D51" s="8">
        <f>IF($C51="","",BDP($C51,"NAME"))</f>
        <v/>
      </c>
      <c r="E51" s="8">
        <f>IF($C51="","",BDP($C51,"GICS_SECTOR_NAME"))</f>
        <v/>
      </c>
      <c r="F51" s="37">
        <f>IF($C51="","",BDP($C51,FLD_CCY))</f>
        <v/>
      </c>
      <c r="G51" s="12">
        <f>IFERROR(IF(LEN($F51)&lt;&gt;3,1,IF($F51="HKD",1,BDP(IF($F51="CNY",RMB_CROSS,$F51)&amp;"HKD Curncy","PX_LAST"))),1)</f>
        <v/>
      </c>
      <c r="H51" s="69">
        <f>IF($C51="","",BDP($C51,FLD_DPS12M))</f>
        <v/>
      </c>
      <c r="I51" s="50">
        <f>IF($C51="","",BDP($C51,FLD_YLD12M))</f>
        <v/>
      </c>
      <c r="J51" s="52">
        <f>IF($B51="",0,SUMPRODUCT(('Dvd Calendar'!$E$495:$AR$495&gt;=DATE(YEAR_Y,1,1))*('Dvd Calendar'!$E$495:$AR$495&lt;=REALIZED_TO)*'Dvd Calendar'!$E$498:$AR$498*(('Dvd Calendar'!$E$500:$AR$500=TYPE1)*(TYPE1&lt;&gt;"")+('Dvd Calendar'!$E$500:$AR$500=TYPE2)*(TYPE2&lt;&gt;"")+('Dvd Calendar'!$E$500:$AR$500=TYPE3)*(TYPE3&lt;&gt;"")+('Dvd Calendar'!$E$500:$AR$500=TYPE4)*(TYPE4&lt;&gt;"")+('Dvd Calendar'!$E$500:$AR$500=SPECIAL_LBL)*(INC_SPECIALS="Y"))))</f>
        <v/>
      </c>
      <c r="K51" s="52">
        <f>IF($B51="",0,SUMIFS('Dvd Calendar'!$E$503:$AR$503,'Dvd Calendar'!$E$502:$AR$502,"&gt;"&amp;PROJ_FROM,'Dvd Calendar'!$E$502:$AR$502,"&lt;="&amp;DATE(YEAR_Y,12,31))+SUMPRODUCT(('Dvd Calendar'!$E$495:$AR$495&gt;PROJ_FROM)*('Dvd Calendar'!$E$495:$AR$495&lt;=DATE(YEAR_Y,12,31))*'Dvd Calendar'!$E$498:$AR$498*(('Dvd Calendar'!$E$500:$AR$500=TYPE1)*(TYPE1&lt;&gt;"")+('Dvd Calendar'!$E$500:$AR$500=TYPE2)*(TYPE2&lt;&gt;"")+('Dvd Calendar'!$E$500:$AR$500=TYPE3)*(TYPE3&lt;&gt;"")+('Dvd Calendar'!$E$500:$AR$500=TYPE4)*(TYPE4&lt;&gt;"")+('Dvd Calendar'!$E$500:$AR$500=SPECIAL_LBL)*(INC_SPECIALS="Y"))*(COUNTIF('Dvd Calendar'!$E$502:$AR$502,'Dvd Calendar'!$E$495:$AR$495)=0)))</f>
        <v/>
      </c>
      <c r="L51" s="52">
        <f>IF($B51="",0,IF((OV_SWITCH="ON")*(COUNTIFS(OVR_TICKERS,$C51,OVR_BASE,"&gt;=0")&gt;0)&gt;0,SUMIFS(OVR_BASE,OVR_TICKERS,$C51),$K51))</f>
        <v/>
      </c>
      <c r="M51" s="52">
        <f>IF($B51="",0,IF((OV_SWITCH="ON")*(COUNTIFS(OVR_TICKERS,$C51,OVR_LOW,"&gt;=0")&gt;0)&gt;0,SUMIFS(OVR_LOW,OVR_TICKERS,$C51),$L51))</f>
        <v/>
      </c>
      <c r="N51" s="52">
        <f>IF($B51="",0,IF((OV_SWITCH="ON")*(COUNTIFS(OVR_TICKERS,$C51,OVR_HIGH,"&gt;=0")&gt;0)&gt;0,SUMIFS(OVR_HIGH,OVR_TICKERS,$C51),$L51))</f>
        <v/>
      </c>
      <c r="O51" s="69">
        <f>IF($B51="","",IFERROR($B51*$G51*$J51/$B$3,""))</f>
        <v/>
      </c>
      <c r="P51" s="69">
        <f>IF($B51="","",IFERROR($B51*$G51*$L51/$B$3,""))</f>
        <v/>
      </c>
      <c r="Q51" s="44">
        <f>IF($B51="","",IFERROR($O51+$P51,""))</f>
        <v/>
      </c>
      <c r="R51" s="69">
        <f>IF($B51="","",IFERROR($O51+$B51*$G51*$M51/$B$3,""))</f>
        <v/>
      </c>
      <c r="S51" s="69">
        <f>IF($B51="","",IFERROR($O51+$B51*$G51*$N51/$B$3,""))</f>
        <v/>
      </c>
      <c r="T51" s="88">
        <f>IF($B51="","",IFERROR($Q51/$Q$5,""))</f>
        <v/>
      </c>
      <c r="U51" s="2">
        <f>IF($B51="","",IF(COUNTIFS('Dvd Calendar'!$E$501:$AR$501,"&gt;0",'Dvd Calendar'!$E$501:$AR$501,"&lt;="&amp;VAL_DATE,'Dvd Calendar'!$E$502:$AR$502,"&gt;"&amp;PROJ_FROM,'Dvd Calendar'!$E$502:$AR$502,"&lt;="&amp;DATE(YEAR_Y,12,31))-COUNTIFS('Dvd Calendar'!$E$501:$AR$501,"&gt;0",'Dvd Calendar'!$E$501:$AR$501,"&lt;="&amp;VAL_DATE,'Dvd Calendar'!$E$502:$AR$502,"&gt;"&amp;PROJ_FROM,'Dvd Calendar'!$E$502:$AR$502,"&lt;="&amp;DATE(YEAR_Y,12,31),'Dvd Calendar'!$E$503:$AR$503,"&gt;=0")&gt;0,"TBA amount - override me",IF((OV_SWITCH="ON")*(COUNTIFS(OVR_TICKERS,$C51,OVR_BASE,"&gt;=0")&gt;0)&gt;0,"overridden",IF($J51+$K51=0,"no dividend in year Y",""))))</f>
        <v/>
      </c>
      <c r="V51" s="69">
        <f>IF($B51="","",IFERROR(IF(ISNUMBER($H51),$B51*$G51*$H51/$B$3,0),""))</f>
        <v/>
      </c>
      <c r="W51" s="69">
        <f>IF($B51="","",IFERROR($B51*$G51*$K51/$B$3,""))</f>
        <v/>
      </c>
      <c r="X51" s="98">
        <f>IF($C51="","",BDP($C51,"PX_LAST"))</f>
        <v/>
      </c>
      <c r="Y51" s="69">
        <f>IF($B51="","",IFERROR($B51*$X51/$B$3,""))</f>
        <v/>
      </c>
      <c r="Z51" s="73">
        <f>IF($B51="","",IFERROR($Y51/$Y$5,""))</f>
        <v/>
      </c>
    </row>
    <row r="52">
      <c r="B52" s="97" t="n"/>
      <c r="C52" s="8">
        <f>IF($A52="","",$A52&amp;" Equity")</f>
        <v/>
      </c>
      <c r="D52" s="8">
        <f>IF($C52="","",BDP($C52,"NAME"))</f>
        <v/>
      </c>
      <c r="E52" s="8">
        <f>IF($C52="","",BDP($C52,"GICS_SECTOR_NAME"))</f>
        <v/>
      </c>
      <c r="F52" s="37">
        <f>IF($C52="","",BDP($C52,FLD_CCY))</f>
        <v/>
      </c>
      <c r="G52" s="12">
        <f>IFERROR(IF(LEN($F52)&lt;&gt;3,1,IF($F52="HKD",1,BDP(IF($F52="CNY",RMB_CROSS,$F52)&amp;"HKD Curncy","PX_LAST"))),1)</f>
        <v/>
      </c>
      <c r="H52" s="69">
        <f>IF($C52="","",BDP($C52,FLD_DPS12M))</f>
        <v/>
      </c>
      <c r="I52" s="50">
        <f>IF($C52="","",BDP($C52,FLD_YLD12M))</f>
        <v/>
      </c>
      <c r="J52" s="52">
        <f>IF($B52="",0,SUMPRODUCT(('Dvd Calendar'!$E$506:$AR$506&gt;=DATE(YEAR_Y,1,1))*('Dvd Calendar'!$E$506:$AR$506&lt;=REALIZED_TO)*'Dvd Calendar'!$E$509:$AR$509*(('Dvd Calendar'!$E$511:$AR$511=TYPE1)*(TYPE1&lt;&gt;"")+('Dvd Calendar'!$E$511:$AR$511=TYPE2)*(TYPE2&lt;&gt;"")+('Dvd Calendar'!$E$511:$AR$511=TYPE3)*(TYPE3&lt;&gt;"")+('Dvd Calendar'!$E$511:$AR$511=TYPE4)*(TYPE4&lt;&gt;"")+('Dvd Calendar'!$E$511:$AR$511=SPECIAL_LBL)*(INC_SPECIALS="Y"))))</f>
        <v/>
      </c>
      <c r="K52" s="52">
        <f>IF($B52="",0,SUMIFS('Dvd Calendar'!$E$514:$AR$514,'Dvd Calendar'!$E$513:$AR$513,"&gt;"&amp;PROJ_FROM,'Dvd Calendar'!$E$513:$AR$513,"&lt;="&amp;DATE(YEAR_Y,12,31))+SUMPRODUCT(('Dvd Calendar'!$E$506:$AR$506&gt;PROJ_FROM)*('Dvd Calendar'!$E$506:$AR$506&lt;=DATE(YEAR_Y,12,31))*'Dvd Calendar'!$E$509:$AR$509*(('Dvd Calendar'!$E$511:$AR$511=TYPE1)*(TYPE1&lt;&gt;"")+('Dvd Calendar'!$E$511:$AR$511=TYPE2)*(TYPE2&lt;&gt;"")+('Dvd Calendar'!$E$511:$AR$511=TYPE3)*(TYPE3&lt;&gt;"")+('Dvd Calendar'!$E$511:$AR$511=TYPE4)*(TYPE4&lt;&gt;"")+('Dvd Calendar'!$E$511:$AR$511=SPECIAL_LBL)*(INC_SPECIALS="Y"))*(COUNTIF('Dvd Calendar'!$E$513:$AR$513,'Dvd Calendar'!$E$506:$AR$506)=0)))</f>
        <v/>
      </c>
      <c r="L52" s="52">
        <f>IF($B52="",0,IF((OV_SWITCH="ON")*(COUNTIFS(OVR_TICKERS,$C52,OVR_BASE,"&gt;=0")&gt;0)&gt;0,SUMIFS(OVR_BASE,OVR_TICKERS,$C52),$K52))</f>
        <v/>
      </c>
      <c r="M52" s="52">
        <f>IF($B52="",0,IF((OV_SWITCH="ON")*(COUNTIFS(OVR_TICKERS,$C52,OVR_LOW,"&gt;=0")&gt;0)&gt;0,SUMIFS(OVR_LOW,OVR_TICKERS,$C52),$L52))</f>
        <v/>
      </c>
      <c r="N52" s="52">
        <f>IF($B52="",0,IF((OV_SWITCH="ON")*(COUNTIFS(OVR_TICKERS,$C52,OVR_HIGH,"&gt;=0")&gt;0)&gt;0,SUMIFS(OVR_HIGH,OVR_TICKERS,$C52),$L52))</f>
        <v/>
      </c>
      <c r="O52" s="69">
        <f>IF($B52="","",IFERROR($B52*$G52*$J52/$B$3,""))</f>
        <v/>
      </c>
      <c r="P52" s="69">
        <f>IF($B52="","",IFERROR($B52*$G52*$L52/$B$3,""))</f>
        <v/>
      </c>
      <c r="Q52" s="44">
        <f>IF($B52="","",IFERROR($O52+$P52,""))</f>
        <v/>
      </c>
      <c r="R52" s="69">
        <f>IF($B52="","",IFERROR($O52+$B52*$G52*$M52/$B$3,""))</f>
        <v/>
      </c>
      <c r="S52" s="69">
        <f>IF($B52="","",IFERROR($O52+$B52*$G52*$N52/$B$3,""))</f>
        <v/>
      </c>
      <c r="T52" s="88">
        <f>IF($B52="","",IFERROR($Q52/$Q$5,""))</f>
        <v/>
      </c>
      <c r="U52" s="2">
        <f>IF($B52="","",IF(COUNTIFS('Dvd Calendar'!$E$512:$AR$512,"&gt;0",'Dvd Calendar'!$E$512:$AR$512,"&lt;="&amp;VAL_DATE,'Dvd Calendar'!$E$513:$AR$513,"&gt;"&amp;PROJ_FROM,'Dvd Calendar'!$E$513:$AR$513,"&lt;="&amp;DATE(YEAR_Y,12,31))-COUNTIFS('Dvd Calendar'!$E$512:$AR$512,"&gt;0",'Dvd Calendar'!$E$512:$AR$512,"&lt;="&amp;VAL_DATE,'Dvd Calendar'!$E$513:$AR$513,"&gt;"&amp;PROJ_FROM,'Dvd Calendar'!$E$513:$AR$513,"&lt;="&amp;DATE(YEAR_Y,12,31),'Dvd Calendar'!$E$514:$AR$514,"&gt;=0")&gt;0,"TBA amount - override me",IF((OV_SWITCH="ON")*(COUNTIFS(OVR_TICKERS,$C52,OVR_BASE,"&gt;=0")&gt;0)&gt;0,"overridden",IF($J52+$K52=0,"no dividend in year Y",""))))</f>
        <v/>
      </c>
      <c r="V52" s="69">
        <f>IF($B52="","",IFERROR(IF(ISNUMBER($H52),$B52*$G52*$H52/$B$3,0),""))</f>
        <v/>
      </c>
      <c r="W52" s="69">
        <f>IF($B52="","",IFERROR($B52*$G52*$K52/$B$3,""))</f>
        <v/>
      </c>
      <c r="X52" s="98">
        <f>IF($C52="","",BDP($C52,"PX_LAST"))</f>
        <v/>
      </c>
      <c r="Y52" s="69">
        <f>IF($B52="","",IFERROR($B52*$X52/$B$3,""))</f>
        <v/>
      </c>
      <c r="Z52" s="73">
        <f>IF($B52="","",IFERROR($Y52/$Y$5,""))</f>
        <v/>
      </c>
    </row>
    <row r="53">
      <c r="B53" s="97" t="n"/>
      <c r="C53" s="8">
        <f>IF($A53="","",$A53&amp;" Equity")</f>
        <v/>
      </c>
      <c r="D53" s="8">
        <f>IF($C53="","",BDP($C53,"NAME"))</f>
        <v/>
      </c>
      <c r="E53" s="8">
        <f>IF($C53="","",BDP($C53,"GICS_SECTOR_NAME"))</f>
        <v/>
      </c>
      <c r="F53" s="37">
        <f>IF($C53="","",BDP($C53,FLD_CCY))</f>
        <v/>
      </c>
      <c r="G53" s="12">
        <f>IFERROR(IF(LEN($F53)&lt;&gt;3,1,IF($F53="HKD",1,BDP(IF($F53="CNY",RMB_CROSS,$F53)&amp;"HKD Curncy","PX_LAST"))),1)</f>
        <v/>
      </c>
      <c r="H53" s="69">
        <f>IF($C53="","",BDP($C53,FLD_DPS12M))</f>
        <v/>
      </c>
      <c r="I53" s="50">
        <f>IF($C53="","",BDP($C53,FLD_YLD12M))</f>
        <v/>
      </c>
      <c r="J53" s="52">
        <f>IF($B53="",0,SUMPRODUCT(('Dvd Calendar'!$E$517:$AR$517&gt;=DATE(YEAR_Y,1,1))*('Dvd Calendar'!$E$517:$AR$517&lt;=REALIZED_TO)*'Dvd Calendar'!$E$520:$AR$520*(('Dvd Calendar'!$E$522:$AR$522=TYPE1)*(TYPE1&lt;&gt;"")+('Dvd Calendar'!$E$522:$AR$522=TYPE2)*(TYPE2&lt;&gt;"")+('Dvd Calendar'!$E$522:$AR$522=TYPE3)*(TYPE3&lt;&gt;"")+('Dvd Calendar'!$E$522:$AR$522=TYPE4)*(TYPE4&lt;&gt;"")+('Dvd Calendar'!$E$522:$AR$522=SPECIAL_LBL)*(INC_SPECIALS="Y"))))</f>
        <v/>
      </c>
      <c r="K53" s="52">
        <f>IF($B53="",0,SUMIFS('Dvd Calendar'!$E$525:$AR$525,'Dvd Calendar'!$E$524:$AR$524,"&gt;"&amp;PROJ_FROM,'Dvd Calendar'!$E$524:$AR$524,"&lt;="&amp;DATE(YEAR_Y,12,31))+SUMPRODUCT(('Dvd Calendar'!$E$517:$AR$517&gt;PROJ_FROM)*('Dvd Calendar'!$E$517:$AR$517&lt;=DATE(YEAR_Y,12,31))*'Dvd Calendar'!$E$520:$AR$520*(('Dvd Calendar'!$E$522:$AR$522=TYPE1)*(TYPE1&lt;&gt;"")+('Dvd Calendar'!$E$522:$AR$522=TYPE2)*(TYPE2&lt;&gt;"")+('Dvd Calendar'!$E$522:$AR$522=TYPE3)*(TYPE3&lt;&gt;"")+('Dvd Calendar'!$E$522:$AR$522=TYPE4)*(TYPE4&lt;&gt;"")+('Dvd Calendar'!$E$522:$AR$522=SPECIAL_LBL)*(INC_SPECIALS="Y"))*(COUNTIF('Dvd Calendar'!$E$524:$AR$524,'Dvd Calendar'!$E$517:$AR$517)=0)))</f>
        <v/>
      </c>
      <c r="L53" s="52">
        <f>IF($B53="",0,IF((OV_SWITCH="ON")*(COUNTIFS(OVR_TICKERS,$C53,OVR_BASE,"&gt;=0")&gt;0)&gt;0,SUMIFS(OVR_BASE,OVR_TICKERS,$C53),$K53))</f>
        <v/>
      </c>
      <c r="M53" s="52">
        <f>IF($B53="",0,IF((OV_SWITCH="ON")*(COUNTIFS(OVR_TICKERS,$C53,OVR_LOW,"&gt;=0")&gt;0)&gt;0,SUMIFS(OVR_LOW,OVR_TICKERS,$C53),$L53))</f>
        <v/>
      </c>
      <c r="N53" s="52">
        <f>IF($B53="",0,IF((OV_SWITCH="ON")*(COUNTIFS(OVR_TICKERS,$C53,OVR_HIGH,"&gt;=0")&gt;0)&gt;0,SUMIFS(OVR_HIGH,OVR_TICKERS,$C53),$L53))</f>
        <v/>
      </c>
      <c r="O53" s="69">
        <f>IF($B53="","",IFERROR($B53*$G53*$J53/$B$3,""))</f>
        <v/>
      </c>
      <c r="P53" s="69">
        <f>IF($B53="","",IFERROR($B53*$G53*$L53/$B$3,""))</f>
        <v/>
      </c>
      <c r="Q53" s="44">
        <f>IF($B53="","",IFERROR($O53+$P53,""))</f>
        <v/>
      </c>
      <c r="R53" s="69">
        <f>IF($B53="","",IFERROR($O53+$B53*$G53*$M53/$B$3,""))</f>
        <v/>
      </c>
      <c r="S53" s="69">
        <f>IF($B53="","",IFERROR($O53+$B53*$G53*$N53/$B$3,""))</f>
        <v/>
      </c>
      <c r="T53" s="88">
        <f>IF($B53="","",IFERROR($Q53/$Q$5,""))</f>
        <v/>
      </c>
      <c r="U53" s="2">
        <f>IF($B53="","",IF(COUNTIFS('Dvd Calendar'!$E$523:$AR$523,"&gt;0",'Dvd Calendar'!$E$523:$AR$523,"&lt;="&amp;VAL_DATE,'Dvd Calendar'!$E$524:$AR$524,"&gt;"&amp;PROJ_FROM,'Dvd Calendar'!$E$524:$AR$524,"&lt;="&amp;DATE(YEAR_Y,12,31))-COUNTIFS('Dvd Calendar'!$E$523:$AR$523,"&gt;0",'Dvd Calendar'!$E$523:$AR$523,"&lt;="&amp;VAL_DATE,'Dvd Calendar'!$E$524:$AR$524,"&gt;"&amp;PROJ_FROM,'Dvd Calendar'!$E$524:$AR$524,"&lt;="&amp;DATE(YEAR_Y,12,31),'Dvd Calendar'!$E$525:$AR$525,"&gt;=0")&gt;0,"TBA amount - override me",IF((OV_SWITCH="ON")*(COUNTIFS(OVR_TICKERS,$C53,OVR_BASE,"&gt;=0")&gt;0)&gt;0,"overridden",IF($J53+$K53=0,"no dividend in year Y",""))))</f>
        <v/>
      </c>
      <c r="V53" s="69">
        <f>IF($B53="","",IFERROR(IF(ISNUMBER($H53),$B53*$G53*$H53/$B$3,0),""))</f>
        <v/>
      </c>
      <c r="W53" s="69">
        <f>IF($B53="","",IFERROR($B53*$G53*$K53/$B$3,""))</f>
        <v/>
      </c>
      <c r="X53" s="98">
        <f>IF($C53="","",BDP($C53,"PX_LAST"))</f>
        <v/>
      </c>
      <c r="Y53" s="69">
        <f>IF($B53="","",IFERROR($B53*$X53/$B$3,""))</f>
        <v/>
      </c>
      <c r="Z53" s="73">
        <f>IF($B53="","",IFERROR($Y53/$Y$5,""))</f>
        <v/>
      </c>
    </row>
    <row r="54">
      <c r="B54" s="97" t="n"/>
      <c r="C54" s="8">
        <f>IF($A54="","",$A54&amp;" Equity")</f>
        <v/>
      </c>
      <c r="D54" s="8">
        <f>IF($C54="","",BDP($C54,"NAME"))</f>
        <v/>
      </c>
      <c r="E54" s="8">
        <f>IF($C54="","",BDP($C54,"GICS_SECTOR_NAME"))</f>
        <v/>
      </c>
      <c r="F54" s="37">
        <f>IF($C54="","",BDP($C54,FLD_CCY))</f>
        <v/>
      </c>
      <c r="G54" s="12">
        <f>IFERROR(IF(LEN($F54)&lt;&gt;3,1,IF($F54="HKD",1,BDP(IF($F54="CNY",RMB_CROSS,$F54)&amp;"HKD Curncy","PX_LAST"))),1)</f>
        <v/>
      </c>
      <c r="H54" s="69">
        <f>IF($C54="","",BDP($C54,FLD_DPS12M))</f>
        <v/>
      </c>
      <c r="I54" s="50">
        <f>IF($C54="","",BDP($C54,FLD_YLD12M))</f>
        <v/>
      </c>
      <c r="J54" s="52">
        <f>IF($B54="",0,SUMPRODUCT(('Dvd Calendar'!$E$528:$AR$528&gt;=DATE(YEAR_Y,1,1))*('Dvd Calendar'!$E$528:$AR$528&lt;=REALIZED_TO)*'Dvd Calendar'!$E$531:$AR$531*(('Dvd Calendar'!$E$533:$AR$533=TYPE1)*(TYPE1&lt;&gt;"")+('Dvd Calendar'!$E$533:$AR$533=TYPE2)*(TYPE2&lt;&gt;"")+('Dvd Calendar'!$E$533:$AR$533=TYPE3)*(TYPE3&lt;&gt;"")+('Dvd Calendar'!$E$533:$AR$533=TYPE4)*(TYPE4&lt;&gt;"")+('Dvd Calendar'!$E$533:$AR$533=SPECIAL_LBL)*(INC_SPECIALS="Y"))))</f>
        <v/>
      </c>
      <c r="K54" s="52">
        <f>IF($B54="",0,SUMIFS('Dvd Calendar'!$E$536:$AR$536,'Dvd Calendar'!$E$535:$AR$535,"&gt;"&amp;PROJ_FROM,'Dvd Calendar'!$E$535:$AR$535,"&lt;="&amp;DATE(YEAR_Y,12,31))+SUMPRODUCT(('Dvd Calendar'!$E$528:$AR$528&gt;PROJ_FROM)*('Dvd Calendar'!$E$528:$AR$528&lt;=DATE(YEAR_Y,12,31))*'Dvd Calendar'!$E$531:$AR$531*(('Dvd Calendar'!$E$533:$AR$533=TYPE1)*(TYPE1&lt;&gt;"")+('Dvd Calendar'!$E$533:$AR$533=TYPE2)*(TYPE2&lt;&gt;"")+('Dvd Calendar'!$E$533:$AR$533=TYPE3)*(TYPE3&lt;&gt;"")+('Dvd Calendar'!$E$533:$AR$533=TYPE4)*(TYPE4&lt;&gt;"")+('Dvd Calendar'!$E$533:$AR$533=SPECIAL_LBL)*(INC_SPECIALS="Y"))*(COUNTIF('Dvd Calendar'!$E$535:$AR$535,'Dvd Calendar'!$E$528:$AR$528)=0)))</f>
        <v/>
      </c>
      <c r="L54" s="52">
        <f>IF($B54="",0,IF((OV_SWITCH="ON")*(COUNTIFS(OVR_TICKERS,$C54,OVR_BASE,"&gt;=0")&gt;0)&gt;0,SUMIFS(OVR_BASE,OVR_TICKERS,$C54),$K54))</f>
        <v/>
      </c>
      <c r="M54" s="52">
        <f>IF($B54="",0,IF((OV_SWITCH="ON")*(COUNTIFS(OVR_TICKERS,$C54,OVR_LOW,"&gt;=0")&gt;0)&gt;0,SUMIFS(OVR_LOW,OVR_TICKERS,$C54),$L54))</f>
        <v/>
      </c>
      <c r="N54" s="52">
        <f>IF($B54="",0,IF((OV_SWITCH="ON")*(COUNTIFS(OVR_TICKERS,$C54,OVR_HIGH,"&gt;=0")&gt;0)&gt;0,SUMIFS(OVR_HIGH,OVR_TICKERS,$C54),$L54))</f>
        <v/>
      </c>
      <c r="O54" s="69">
        <f>IF($B54="","",IFERROR($B54*$G54*$J54/$B$3,""))</f>
        <v/>
      </c>
      <c r="P54" s="69">
        <f>IF($B54="","",IFERROR($B54*$G54*$L54/$B$3,""))</f>
        <v/>
      </c>
      <c r="Q54" s="44">
        <f>IF($B54="","",IFERROR($O54+$P54,""))</f>
        <v/>
      </c>
      <c r="R54" s="69">
        <f>IF($B54="","",IFERROR($O54+$B54*$G54*$M54/$B$3,""))</f>
        <v/>
      </c>
      <c r="S54" s="69">
        <f>IF($B54="","",IFERROR($O54+$B54*$G54*$N54/$B$3,""))</f>
        <v/>
      </c>
      <c r="T54" s="88">
        <f>IF($B54="","",IFERROR($Q54/$Q$5,""))</f>
        <v/>
      </c>
      <c r="U54" s="2">
        <f>IF($B54="","",IF(COUNTIFS('Dvd Calendar'!$E$534:$AR$534,"&gt;0",'Dvd Calendar'!$E$534:$AR$534,"&lt;="&amp;VAL_DATE,'Dvd Calendar'!$E$535:$AR$535,"&gt;"&amp;PROJ_FROM,'Dvd Calendar'!$E$535:$AR$535,"&lt;="&amp;DATE(YEAR_Y,12,31))-COUNTIFS('Dvd Calendar'!$E$534:$AR$534,"&gt;0",'Dvd Calendar'!$E$534:$AR$534,"&lt;="&amp;VAL_DATE,'Dvd Calendar'!$E$535:$AR$535,"&gt;"&amp;PROJ_FROM,'Dvd Calendar'!$E$535:$AR$535,"&lt;="&amp;DATE(YEAR_Y,12,31),'Dvd Calendar'!$E$536:$AR$536,"&gt;=0")&gt;0,"TBA amount - override me",IF((OV_SWITCH="ON")*(COUNTIFS(OVR_TICKERS,$C54,OVR_BASE,"&gt;=0")&gt;0)&gt;0,"overridden",IF($J54+$K54=0,"no dividend in year Y",""))))</f>
        <v/>
      </c>
      <c r="V54" s="69">
        <f>IF($B54="","",IFERROR(IF(ISNUMBER($H54),$B54*$G54*$H54/$B$3,0),""))</f>
        <v/>
      </c>
      <c r="W54" s="69">
        <f>IF($B54="","",IFERROR($B54*$G54*$K54/$B$3,""))</f>
        <v/>
      </c>
      <c r="X54" s="98">
        <f>IF($C54="","",BDP($C54,"PX_LAST"))</f>
        <v/>
      </c>
      <c r="Y54" s="69">
        <f>IF($B54="","",IFERROR($B54*$X54/$B$3,""))</f>
        <v/>
      </c>
      <c r="Z54" s="73">
        <f>IF($B54="","",IFERROR($Y54/$Y$5,""))</f>
        <v/>
      </c>
    </row>
    <row r="55">
      <c r="B55" s="97" t="n"/>
      <c r="C55" s="8">
        <f>IF($A55="","",$A55&amp;" Equity")</f>
        <v/>
      </c>
      <c r="D55" s="8">
        <f>IF($C55="","",BDP($C55,"NAME"))</f>
        <v/>
      </c>
      <c r="E55" s="8">
        <f>IF($C55="","",BDP($C55,"GICS_SECTOR_NAME"))</f>
        <v/>
      </c>
      <c r="F55" s="37">
        <f>IF($C55="","",BDP($C55,FLD_CCY))</f>
        <v/>
      </c>
      <c r="G55" s="12">
        <f>IFERROR(IF(LEN($F55)&lt;&gt;3,1,IF($F55="HKD",1,BDP(IF($F55="CNY",RMB_CROSS,$F55)&amp;"HKD Curncy","PX_LAST"))),1)</f>
        <v/>
      </c>
      <c r="H55" s="69">
        <f>IF($C55="","",BDP($C55,FLD_DPS12M))</f>
        <v/>
      </c>
      <c r="I55" s="50">
        <f>IF($C55="","",BDP($C55,FLD_YLD12M))</f>
        <v/>
      </c>
      <c r="J55" s="52">
        <f>IF($B55="",0,SUMPRODUCT(('Dvd Calendar'!$E$539:$AR$539&gt;=DATE(YEAR_Y,1,1))*('Dvd Calendar'!$E$539:$AR$539&lt;=REALIZED_TO)*'Dvd Calendar'!$E$542:$AR$542*(('Dvd Calendar'!$E$544:$AR$544=TYPE1)*(TYPE1&lt;&gt;"")+('Dvd Calendar'!$E$544:$AR$544=TYPE2)*(TYPE2&lt;&gt;"")+('Dvd Calendar'!$E$544:$AR$544=TYPE3)*(TYPE3&lt;&gt;"")+('Dvd Calendar'!$E$544:$AR$544=TYPE4)*(TYPE4&lt;&gt;"")+('Dvd Calendar'!$E$544:$AR$544=SPECIAL_LBL)*(INC_SPECIALS="Y"))))</f>
        <v/>
      </c>
      <c r="K55" s="52">
        <f>IF($B55="",0,SUMIFS('Dvd Calendar'!$E$547:$AR$547,'Dvd Calendar'!$E$546:$AR$546,"&gt;"&amp;PROJ_FROM,'Dvd Calendar'!$E$546:$AR$546,"&lt;="&amp;DATE(YEAR_Y,12,31))+SUMPRODUCT(('Dvd Calendar'!$E$539:$AR$539&gt;PROJ_FROM)*('Dvd Calendar'!$E$539:$AR$539&lt;=DATE(YEAR_Y,12,31))*'Dvd Calendar'!$E$542:$AR$542*(('Dvd Calendar'!$E$544:$AR$544=TYPE1)*(TYPE1&lt;&gt;"")+('Dvd Calendar'!$E$544:$AR$544=TYPE2)*(TYPE2&lt;&gt;"")+('Dvd Calendar'!$E$544:$AR$544=TYPE3)*(TYPE3&lt;&gt;"")+('Dvd Calendar'!$E$544:$AR$544=TYPE4)*(TYPE4&lt;&gt;"")+('Dvd Calendar'!$E$544:$AR$544=SPECIAL_LBL)*(INC_SPECIALS="Y"))*(COUNTIF('Dvd Calendar'!$E$546:$AR$546,'Dvd Calendar'!$E$539:$AR$539)=0)))</f>
        <v/>
      </c>
      <c r="L55" s="52">
        <f>IF($B55="",0,IF((OV_SWITCH="ON")*(COUNTIFS(OVR_TICKERS,$C55,OVR_BASE,"&gt;=0")&gt;0)&gt;0,SUMIFS(OVR_BASE,OVR_TICKERS,$C55),$K55))</f>
        <v/>
      </c>
      <c r="M55" s="52">
        <f>IF($B55="",0,IF((OV_SWITCH="ON")*(COUNTIFS(OVR_TICKERS,$C55,OVR_LOW,"&gt;=0")&gt;0)&gt;0,SUMIFS(OVR_LOW,OVR_TICKERS,$C55),$L55))</f>
        <v/>
      </c>
      <c r="N55" s="52">
        <f>IF($B55="",0,IF((OV_SWITCH="ON")*(COUNTIFS(OVR_TICKERS,$C55,OVR_HIGH,"&gt;=0")&gt;0)&gt;0,SUMIFS(OVR_HIGH,OVR_TICKERS,$C55),$L55))</f>
        <v/>
      </c>
      <c r="O55" s="69">
        <f>IF($B55="","",IFERROR($B55*$G55*$J55/$B$3,""))</f>
        <v/>
      </c>
      <c r="P55" s="69">
        <f>IF($B55="","",IFERROR($B55*$G55*$L55/$B$3,""))</f>
        <v/>
      </c>
      <c r="Q55" s="44">
        <f>IF($B55="","",IFERROR($O55+$P55,""))</f>
        <v/>
      </c>
      <c r="R55" s="69">
        <f>IF($B55="","",IFERROR($O55+$B55*$G55*$M55/$B$3,""))</f>
        <v/>
      </c>
      <c r="S55" s="69">
        <f>IF($B55="","",IFERROR($O55+$B55*$G55*$N55/$B$3,""))</f>
        <v/>
      </c>
      <c r="T55" s="88">
        <f>IF($B55="","",IFERROR($Q55/$Q$5,""))</f>
        <v/>
      </c>
      <c r="U55" s="2">
        <f>IF($B55="","",IF(COUNTIFS('Dvd Calendar'!$E$545:$AR$545,"&gt;0",'Dvd Calendar'!$E$545:$AR$545,"&lt;="&amp;VAL_DATE,'Dvd Calendar'!$E$546:$AR$546,"&gt;"&amp;PROJ_FROM,'Dvd Calendar'!$E$546:$AR$546,"&lt;="&amp;DATE(YEAR_Y,12,31))-COUNTIFS('Dvd Calendar'!$E$545:$AR$545,"&gt;0",'Dvd Calendar'!$E$545:$AR$545,"&lt;="&amp;VAL_DATE,'Dvd Calendar'!$E$546:$AR$546,"&gt;"&amp;PROJ_FROM,'Dvd Calendar'!$E$546:$AR$546,"&lt;="&amp;DATE(YEAR_Y,12,31),'Dvd Calendar'!$E$547:$AR$547,"&gt;=0")&gt;0,"TBA amount - override me",IF((OV_SWITCH="ON")*(COUNTIFS(OVR_TICKERS,$C55,OVR_BASE,"&gt;=0")&gt;0)&gt;0,"overridden",IF($J55+$K55=0,"no dividend in year Y",""))))</f>
        <v/>
      </c>
      <c r="V55" s="69">
        <f>IF($B55="","",IFERROR(IF(ISNUMBER($H55),$B55*$G55*$H55/$B$3,0),""))</f>
        <v/>
      </c>
      <c r="W55" s="69">
        <f>IF($B55="","",IFERROR($B55*$G55*$K55/$B$3,""))</f>
        <v/>
      </c>
      <c r="X55" s="98">
        <f>IF($C55="","",BDP($C55,"PX_LAST"))</f>
        <v/>
      </c>
      <c r="Y55" s="69">
        <f>IF($B55="","",IFERROR($B55*$X55/$B$3,""))</f>
        <v/>
      </c>
      <c r="Z55" s="73">
        <f>IF($B55="","",IFERROR($Y55/$Y$5,""))</f>
        <v/>
      </c>
    </row>
    <row r="56">
      <c r="B56" s="97" t="n"/>
      <c r="C56" s="8">
        <f>IF($A56="","",$A56&amp;" Equity")</f>
        <v/>
      </c>
      <c r="D56" s="8">
        <f>IF($C56="","",BDP($C56,"NAME"))</f>
        <v/>
      </c>
      <c r="E56" s="8">
        <f>IF($C56="","",BDP($C56,"GICS_SECTOR_NAME"))</f>
        <v/>
      </c>
      <c r="F56" s="37">
        <f>IF($C56="","",BDP($C56,FLD_CCY))</f>
        <v/>
      </c>
      <c r="G56" s="12">
        <f>IFERROR(IF(LEN($F56)&lt;&gt;3,1,IF($F56="HKD",1,BDP(IF($F56="CNY",RMB_CROSS,$F56)&amp;"HKD Curncy","PX_LAST"))),1)</f>
        <v/>
      </c>
      <c r="H56" s="69">
        <f>IF($C56="","",BDP($C56,FLD_DPS12M))</f>
        <v/>
      </c>
      <c r="I56" s="50">
        <f>IF($C56="","",BDP($C56,FLD_YLD12M))</f>
        <v/>
      </c>
      <c r="J56" s="52">
        <f>IF($B56="",0,SUMPRODUCT(('Dvd Calendar'!$E$550:$AR$550&gt;=DATE(YEAR_Y,1,1))*('Dvd Calendar'!$E$550:$AR$550&lt;=REALIZED_TO)*'Dvd Calendar'!$E$553:$AR$553*(('Dvd Calendar'!$E$555:$AR$555=TYPE1)*(TYPE1&lt;&gt;"")+('Dvd Calendar'!$E$555:$AR$555=TYPE2)*(TYPE2&lt;&gt;"")+('Dvd Calendar'!$E$555:$AR$555=TYPE3)*(TYPE3&lt;&gt;"")+('Dvd Calendar'!$E$555:$AR$555=TYPE4)*(TYPE4&lt;&gt;"")+('Dvd Calendar'!$E$555:$AR$555=SPECIAL_LBL)*(INC_SPECIALS="Y"))))</f>
        <v/>
      </c>
      <c r="K56" s="52">
        <f>IF($B56="",0,SUMIFS('Dvd Calendar'!$E$558:$AR$558,'Dvd Calendar'!$E$557:$AR$557,"&gt;"&amp;PROJ_FROM,'Dvd Calendar'!$E$557:$AR$557,"&lt;="&amp;DATE(YEAR_Y,12,31))+SUMPRODUCT(('Dvd Calendar'!$E$550:$AR$550&gt;PROJ_FROM)*('Dvd Calendar'!$E$550:$AR$550&lt;=DATE(YEAR_Y,12,31))*'Dvd Calendar'!$E$553:$AR$553*(('Dvd Calendar'!$E$555:$AR$555=TYPE1)*(TYPE1&lt;&gt;"")+('Dvd Calendar'!$E$555:$AR$555=TYPE2)*(TYPE2&lt;&gt;"")+('Dvd Calendar'!$E$555:$AR$555=TYPE3)*(TYPE3&lt;&gt;"")+('Dvd Calendar'!$E$555:$AR$555=TYPE4)*(TYPE4&lt;&gt;"")+('Dvd Calendar'!$E$555:$AR$555=SPECIAL_LBL)*(INC_SPECIALS="Y"))*(COUNTIF('Dvd Calendar'!$E$557:$AR$557,'Dvd Calendar'!$E$550:$AR$550)=0)))</f>
        <v/>
      </c>
      <c r="L56" s="52">
        <f>IF($B56="",0,IF((OV_SWITCH="ON")*(COUNTIFS(OVR_TICKERS,$C56,OVR_BASE,"&gt;=0")&gt;0)&gt;0,SUMIFS(OVR_BASE,OVR_TICKERS,$C56),$K56))</f>
        <v/>
      </c>
      <c r="M56" s="52">
        <f>IF($B56="",0,IF((OV_SWITCH="ON")*(COUNTIFS(OVR_TICKERS,$C56,OVR_LOW,"&gt;=0")&gt;0)&gt;0,SUMIFS(OVR_LOW,OVR_TICKERS,$C56),$L56))</f>
        <v/>
      </c>
      <c r="N56" s="52">
        <f>IF($B56="",0,IF((OV_SWITCH="ON")*(COUNTIFS(OVR_TICKERS,$C56,OVR_HIGH,"&gt;=0")&gt;0)&gt;0,SUMIFS(OVR_HIGH,OVR_TICKERS,$C56),$L56))</f>
        <v/>
      </c>
      <c r="O56" s="69">
        <f>IF($B56="","",IFERROR($B56*$G56*$J56/$B$3,""))</f>
        <v/>
      </c>
      <c r="P56" s="69">
        <f>IF($B56="","",IFERROR($B56*$G56*$L56/$B$3,""))</f>
        <v/>
      </c>
      <c r="Q56" s="44">
        <f>IF($B56="","",IFERROR($O56+$P56,""))</f>
        <v/>
      </c>
      <c r="R56" s="69">
        <f>IF($B56="","",IFERROR($O56+$B56*$G56*$M56/$B$3,""))</f>
        <v/>
      </c>
      <c r="S56" s="69">
        <f>IF($B56="","",IFERROR($O56+$B56*$G56*$N56/$B$3,""))</f>
        <v/>
      </c>
      <c r="T56" s="88">
        <f>IF($B56="","",IFERROR($Q56/$Q$5,""))</f>
        <v/>
      </c>
      <c r="U56" s="2">
        <f>IF($B56="","",IF(COUNTIFS('Dvd Calendar'!$E$556:$AR$556,"&gt;0",'Dvd Calendar'!$E$556:$AR$556,"&lt;="&amp;VAL_DATE,'Dvd Calendar'!$E$557:$AR$557,"&gt;"&amp;PROJ_FROM,'Dvd Calendar'!$E$557:$AR$557,"&lt;="&amp;DATE(YEAR_Y,12,31))-COUNTIFS('Dvd Calendar'!$E$556:$AR$556,"&gt;0",'Dvd Calendar'!$E$556:$AR$556,"&lt;="&amp;VAL_DATE,'Dvd Calendar'!$E$557:$AR$557,"&gt;"&amp;PROJ_FROM,'Dvd Calendar'!$E$557:$AR$557,"&lt;="&amp;DATE(YEAR_Y,12,31),'Dvd Calendar'!$E$558:$AR$558,"&gt;=0")&gt;0,"TBA amount - override me",IF((OV_SWITCH="ON")*(COUNTIFS(OVR_TICKERS,$C56,OVR_BASE,"&gt;=0")&gt;0)&gt;0,"overridden",IF($J56+$K56=0,"no dividend in year Y",""))))</f>
        <v/>
      </c>
      <c r="V56" s="69">
        <f>IF($B56="","",IFERROR(IF(ISNUMBER($H56),$B56*$G56*$H56/$B$3,0),""))</f>
        <v/>
      </c>
      <c r="W56" s="69">
        <f>IF($B56="","",IFERROR($B56*$G56*$K56/$B$3,""))</f>
        <v/>
      </c>
      <c r="X56" s="98">
        <f>IF($C56="","",BDP($C56,"PX_LAST"))</f>
        <v/>
      </c>
      <c r="Y56" s="69">
        <f>IF($B56="","",IFERROR($B56*$X56/$B$3,""))</f>
        <v/>
      </c>
      <c r="Z56" s="73">
        <f>IF($B56="","",IFERROR($Y56/$Y$5,""))</f>
        <v/>
      </c>
    </row>
    <row r="57">
      <c r="B57" s="97" t="n"/>
      <c r="C57" s="8">
        <f>IF($A57="","",$A57&amp;" Equity")</f>
        <v/>
      </c>
      <c r="D57" s="8">
        <f>IF($C57="","",BDP($C57,"NAME"))</f>
        <v/>
      </c>
      <c r="E57" s="8">
        <f>IF($C57="","",BDP($C57,"GICS_SECTOR_NAME"))</f>
        <v/>
      </c>
      <c r="F57" s="37">
        <f>IF($C57="","",BDP($C57,FLD_CCY))</f>
        <v/>
      </c>
      <c r="G57" s="12">
        <f>IFERROR(IF(LEN($F57)&lt;&gt;3,1,IF($F57="HKD",1,BDP(IF($F57="CNY",RMB_CROSS,$F57)&amp;"HKD Curncy","PX_LAST"))),1)</f>
        <v/>
      </c>
      <c r="H57" s="69">
        <f>IF($C57="","",BDP($C57,FLD_DPS12M))</f>
        <v/>
      </c>
      <c r="I57" s="50">
        <f>IF($C57="","",BDP($C57,FLD_YLD12M))</f>
        <v/>
      </c>
      <c r="J57" s="52">
        <f>IF($B57="",0,SUMPRODUCT(('Dvd Calendar'!$E$561:$AR$561&gt;=DATE(YEAR_Y,1,1))*('Dvd Calendar'!$E$561:$AR$561&lt;=REALIZED_TO)*'Dvd Calendar'!$E$564:$AR$564*(('Dvd Calendar'!$E$566:$AR$566=TYPE1)*(TYPE1&lt;&gt;"")+('Dvd Calendar'!$E$566:$AR$566=TYPE2)*(TYPE2&lt;&gt;"")+('Dvd Calendar'!$E$566:$AR$566=TYPE3)*(TYPE3&lt;&gt;"")+('Dvd Calendar'!$E$566:$AR$566=TYPE4)*(TYPE4&lt;&gt;"")+('Dvd Calendar'!$E$566:$AR$566=SPECIAL_LBL)*(INC_SPECIALS="Y"))))</f>
        <v/>
      </c>
      <c r="K57" s="52">
        <f>IF($B57="",0,SUMIFS('Dvd Calendar'!$E$569:$AR$569,'Dvd Calendar'!$E$568:$AR$568,"&gt;"&amp;PROJ_FROM,'Dvd Calendar'!$E$568:$AR$568,"&lt;="&amp;DATE(YEAR_Y,12,31))+SUMPRODUCT(('Dvd Calendar'!$E$561:$AR$561&gt;PROJ_FROM)*('Dvd Calendar'!$E$561:$AR$561&lt;=DATE(YEAR_Y,12,31))*'Dvd Calendar'!$E$564:$AR$564*(('Dvd Calendar'!$E$566:$AR$566=TYPE1)*(TYPE1&lt;&gt;"")+('Dvd Calendar'!$E$566:$AR$566=TYPE2)*(TYPE2&lt;&gt;"")+('Dvd Calendar'!$E$566:$AR$566=TYPE3)*(TYPE3&lt;&gt;"")+('Dvd Calendar'!$E$566:$AR$566=TYPE4)*(TYPE4&lt;&gt;"")+('Dvd Calendar'!$E$566:$AR$566=SPECIAL_LBL)*(INC_SPECIALS="Y"))*(COUNTIF('Dvd Calendar'!$E$568:$AR$568,'Dvd Calendar'!$E$561:$AR$561)=0)))</f>
        <v/>
      </c>
      <c r="L57" s="52">
        <f>IF($B57="",0,IF((OV_SWITCH="ON")*(COUNTIFS(OVR_TICKERS,$C57,OVR_BASE,"&gt;=0")&gt;0)&gt;0,SUMIFS(OVR_BASE,OVR_TICKERS,$C57),$K57))</f>
        <v/>
      </c>
      <c r="M57" s="52">
        <f>IF($B57="",0,IF((OV_SWITCH="ON")*(COUNTIFS(OVR_TICKERS,$C57,OVR_LOW,"&gt;=0")&gt;0)&gt;0,SUMIFS(OVR_LOW,OVR_TICKERS,$C57),$L57))</f>
        <v/>
      </c>
      <c r="N57" s="52">
        <f>IF($B57="",0,IF((OV_SWITCH="ON")*(COUNTIFS(OVR_TICKERS,$C57,OVR_HIGH,"&gt;=0")&gt;0)&gt;0,SUMIFS(OVR_HIGH,OVR_TICKERS,$C57),$L57))</f>
        <v/>
      </c>
      <c r="O57" s="69">
        <f>IF($B57="","",IFERROR($B57*$G57*$J57/$B$3,""))</f>
        <v/>
      </c>
      <c r="P57" s="69">
        <f>IF($B57="","",IFERROR($B57*$G57*$L57/$B$3,""))</f>
        <v/>
      </c>
      <c r="Q57" s="44">
        <f>IF($B57="","",IFERROR($O57+$P57,""))</f>
        <v/>
      </c>
      <c r="R57" s="69">
        <f>IF($B57="","",IFERROR($O57+$B57*$G57*$M57/$B$3,""))</f>
        <v/>
      </c>
      <c r="S57" s="69">
        <f>IF($B57="","",IFERROR($O57+$B57*$G57*$N57/$B$3,""))</f>
        <v/>
      </c>
      <c r="T57" s="88">
        <f>IF($B57="","",IFERROR($Q57/$Q$5,""))</f>
        <v/>
      </c>
      <c r="U57" s="2">
        <f>IF($B57="","",IF(COUNTIFS('Dvd Calendar'!$E$567:$AR$567,"&gt;0",'Dvd Calendar'!$E$567:$AR$567,"&lt;="&amp;VAL_DATE,'Dvd Calendar'!$E$568:$AR$568,"&gt;"&amp;PROJ_FROM,'Dvd Calendar'!$E$568:$AR$568,"&lt;="&amp;DATE(YEAR_Y,12,31))-COUNTIFS('Dvd Calendar'!$E$567:$AR$567,"&gt;0",'Dvd Calendar'!$E$567:$AR$567,"&lt;="&amp;VAL_DATE,'Dvd Calendar'!$E$568:$AR$568,"&gt;"&amp;PROJ_FROM,'Dvd Calendar'!$E$568:$AR$568,"&lt;="&amp;DATE(YEAR_Y,12,31),'Dvd Calendar'!$E$569:$AR$569,"&gt;=0")&gt;0,"TBA amount - override me",IF((OV_SWITCH="ON")*(COUNTIFS(OVR_TICKERS,$C57,OVR_BASE,"&gt;=0")&gt;0)&gt;0,"overridden",IF($J57+$K57=0,"no dividend in year Y",""))))</f>
        <v/>
      </c>
      <c r="V57" s="69">
        <f>IF($B57="","",IFERROR(IF(ISNUMBER($H57),$B57*$G57*$H57/$B$3,0),""))</f>
        <v/>
      </c>
      <c r="W57" s="69">
        <f>IF($B57="","",IFERROR($B57*$G57*$K57/$B$3,""))</f>
        <v/>
      </c>
      <c r="X57" s="98">
        <f>IF($C57="","",BDP($C57,"PX_LAST"))</f>
        <v/>
      </c>
      <c r="Y57" s="69">
        <f>IF($B57="","",IFERROR($B57*$X57/$B$3,""))</f>
        <v/>
      </c>
      <c r="Z57" s="73">
        <f>IF($B57="","",IFERROR($Y57/$Y$5,""))</f>
        <v/>
      </c>
    </row>
    <row r="58">
      <c r="B58" s="97" t="n"/>
      <c r="C58" s="8">
        <f>IF($A58="","",$A58&amp;" Equity")</f>
        <v/>
      </c>
      <c r="D58" s="8">
        <f>IF($C58="","",BDP($C58,"NAME"))</f>
        <v/>
      </c>
      <c r="E58" s="8">
        <f>IF($C58="","",BDP($C58,"GICS_SECTOR_NAME"))</f>
        <v/>
      </c>
      <c r="F58" s="37">
        <f>IF($C58="","",BDP($C58,FLD_CCY))</f>
        <v/>
      </c>
      <c r="G58" s="12">
        <f>IFERROR(IF(LEN($F58)&lt;&gt;3,1,IF($F58="HKD",1,BDP(IF($F58="CNY",RMB_CROSS,$F58)&amp;"HKD Curncy","PX_LAST"))),1)</f>
        <v/>
      </c>
      <c r="H58" s="69">
        <f>IF($C58="","",BDP($C58,FLD_DPS12M))</f>
        <v/>
      </c>
      <c r="I58" s="50">
        <f>IF($C58="","",BDP($C58,FLD_YLD12M))</f>
        <v/>
      </c>
      <c r="J58" s="52">
        <f>IF($B58="",0,SUMPRODUCT(('Dvd Calendar'!$E$572:$AR$572&gt;=DATE(YEAR_Y,1,1))*('Dvd Calendar'!$E$572:$AR$572&lt;=REALIZED_TO)*'Dvd Calendar'!$E$575:$AR$575*(('Dvd Calendar'!$E$577:$AR$577=TYPE1)*(TYPE1&lt;&gt;"")+('Dvd Calendar'!$E$577:$AR$577=TYPE2)*(TYPE2&lt;&gt;"")+('Dvd Calendar'!$E$577:$AR$577=TYPE3)*(TYPE3&lt;&gt;"")+('Dvd Calendar'!$E$577:$AR$577=TYPE4)*(TYPE4&lt;&gt;"")+('Dvd Calendar'!$E$577:$AR$577=SPECIAL_LBL)*(INC_SPECIALS="Y"))))</f>
        <v/>
      </c>
      <c r="K58" s="52">
        <f>IF($B58="",0,SUMIFS('Dvd Calendar'!$E$580:$AR$580,'Dvd Calendar'!$E$579:$AR$579,"&gt;"&amp;PROJ_FROM,'Dvd Calendar'!$E$579:$AR$579,"&lt;="&amp;DATE(YEAR_Y,12,31))+SUMPRODUCT(('Dvd Calendar'!$E$572:$AR$572&gt;PROJ_FROM)*('Dvd Calendar'!$E$572:$AR$572&lt;=DATE(YEAR_Y,12,31))*'Dvd Calendar'!$E$575:$AR$575*(('Dvd Calendar'!$E$577:$AR$577=TYPE1)*(TYPE1&lt;&gt;"")+('Dvd Calendar'!$E$577:$AR$577=TYPE2)*(TYPE2&lt;&gt;"")+('Dvd Calendar'!$E$577:$AR$577=TYPE3)*(TYPE3&lt;&gt;"")+('Dvd Calendar'!$E$577:$AR$577=TYPE4)*(TYPE4&lt;&gt;"")+('Dvd Calendar'!$E$577:$AR$577=SPECIAL_LBL)*(INC_SPECIALS="Y"))*(COUNTIF('Dvd Calendar'!$E$579:$AR$579,'Dvd Calendar'!$E$572:$AR$572)=0)))</f>
        <v/>
      </c>
      <c r="L58" s="52">
        <f>IF($B58="",0,IF((OV_SWITCH="ON")*(COUNTIFS(OVR_TICKERS,$C58,OVR_BASE,"&gt;=0")&gt;0)&gt;0,SUMIFS(OVR_BASE,OVR_TICKERS,$C58),$K58))</f>
        <v/>
      </c>
      <c r="M58" s="52">
        <f>IF($B58="",0,IF((OV_SWITCH="ON")*(COUNTIFS(OVR_TICKERS,$C58,OVR_LOW,"&gt;=0")&gt;0)&gt;0,SUMIFS(OVR_LOW,OVR_TICKERS,$C58),$L58))</f>
        <v/>
      </c>
      <c r="N58" s="52">
        <f>IF($B58="",0,IF((OV_SWITCH="ON")*(COUNTIFS(OVR_TICKERS,$C58,OVR_HIGH,"&gt;=0")&gt;0)&gt;0,SUMIFS(OVR_HIGH,OVR_TICKERS,$C58),$L58))</f>
        <v/>
      </c>
      <c r="O58" s="69">
        <f>IF($B58="","",IFERROR($B58*$G58*$J58/$B$3,""))</f>
        <v/>
      </c>
      <c r="P58" s="69">
        <f>IF($B58="","",IFERROR($B58*$G58*$L58/$B$3,""))</f>
        <v/>
      </c>
      <c r="Q58" s="44">
        <f>IF($B58="","",IFERROR($O58+$P58,""))</f>
        <v/>
      </c>
      <c r="R58" s="69">
        <f>IF($B58="","",IFERROR($O58+$B58*$G58*$M58/$B$3,""))</f>
        <v/>
      </c>
      <c r="S58" s="69">
        <f>IF($B58="","",IFERROR($O58+$B58*$G58*$N58/$B$3,""))</f>
        <v/>
      </c>
      <c r="T58" s="88">
        <f>IF($B58="","",IFERROR($Q58/$Q$5,""))</f>
        <v/>
      </c>
      <c r="U58" s="2">
        <f>IF($B58="","",IF(COUNTIFS('Dvd Calendar'!$E$578:$AR$578,"&gt;0",'Dvd Calendar'!$E$578:$AR$578,"&lt;="&amp;VAL_DATE,'Dvd Calendar'!$E$579:$AR$579,"&gt;"&amp;PROJ_FROM,'Dvd Calendar'!$E$579:$AR$579,"&lt;="&amp;DATE(YEAR_Y,12,31))-COUNTIFS('Dvd Calendar'!$E$578:$AR$578,"&gt;0",'Dvd Calendar'!$E$578:$AR$578,"&lt;="&amp;VAL_DATE,'Dvd Calendar'!$E$579:$AR$579,"&gt;"&amp;PROJ_FROM,'Dvd Calendar'!$E$579:$AR$579,"&lt;="&amp;DATE(YEAR_Y,12,31),'Dvd Calendar'!$E$580:$AR$580,"&gt;=0")&gt;0,"TBA amount - override me",IF((OV_SWITCH="ON")*(COUNTIFS(OVR_TICKERS,$C58,OVR_BASE,"&gt;=0")&gt;0)&gt;0,"overridden",IF($J58+$K58=0,"no dividend in year Y",""))))</f>
        <v/>
      </c>
      <c r="V58" s="69">
        <f>IF($B58="","",IFERROR(IF(ISNUMBER($H58),$B58*$G58*$H58/$B$3,0),""))</f>
        <v/>
      </c>
      <c r="W58" s="69">
        <f>IF($B58="","",IFERROR($B58*$G58*$K58/$B$3,""))</f>
        <v/>
      </c>
      <c r="X58" s="98">
        <f>IF($C58="","",BDP($C58,"PX_LAST"))</f>
        <v/>
      </c>
      <c r="Y58" s="69">
        <f>IF($B58="","",IFERROR($B58*$X58/$B$3,""))</f>
        <v/>
      </c>
      <c r="Z58" s="73">
        <f>IF($B58="","",IFERROR($Y58/$Y$5,""))</f>
        <v/>
      </c>
    </row>
    <row r="59">
      <c r="B59" s="97" t="n"/>
      <c r="C59" s="8">
        <f>IF($A59="","",$A59&amp;" Equity")</f>
        <v/>
      </c>
      <c r="D59" s="8">
        <f>IF($C59="","",BDP($C59,"NAME"))</f>
        <v/>
      </c>
      <c r="E59" s="8">
        <f>IF($C59="","",BDP($C59,"GICS_SECTOR_NAME"))</f>
        <v/>
      </c>
      <c r="F59" s="37">
        <f>IF($C59="","",BDP($C59,FLD_CCY))</f>
        <v/>
      </c>
      <c r="G59" s="12">
        <f>IFERROR(IF(LEN($F59)&lt;&gt;3,1,IF($F59="HKD",1,BDP(IF($F59="CNY",RMB_CROSS,$F59)&amp;"HKD Curncy","PX_LAST"))),1)</f>
        <v/>
      </c>
      <c r="H59" s="69">
        <f>IF($C59="","",BDP($C59,FLD_DPS12M))</f>
        <v/>
      </c>
      <c r="I59" s="50">
        <f>IF($C59="","",BDP($C59,FLD_YLD12M))</f>
        <v/>
      </c>
      <c r="J59" s="52">
        <f>IF($B59="",0,SUMPRODUCT(('Dvd Calendar'!$E$583:$AR$583&gt;=DATE(YEAR_Y,1,1))*('Dvd Calendar'!$E$583:$AR$583&lt;=REALIZED_TO)*'Dvd Calendar'!$E$586:$AR$586*(('Dvd Calendar'!$E$588:$AR$588=TYPE1)*(TYPE1&lt;&gt;"")+('Dvd Calendar'!$E$588:$AR$588=TYPE2)*(TYPE2&lt;&gt;"")+('Dvd Calendar'!$E$588:$AR$588=TYPE3)*(TYPE3&lt;&gt;"")+('Dvd Calendar'!$E$588:$AR$588=TYPE4)*(TYPE4&lt;&gt;"")+('Dvd Calendar'!$E$588:$AR$588=SPECIAL_LBL)*(INC_SPECIALS="Y"))))</f>
        <v/>
      </c>
      <c r="K59" s="52">
        <f>IF($B59="",0,SUMIFS('Dvd Calendar'!$E$591:$AR$591,'Dvd Calendar'!$E$590:$AR$590,"&gt;"&amp;PROJ_FROM,'Dvd Calendar'!$E$590:$AR$590,"&lt;="&amp;DATE(YEAR_Y,12,31))+SUMPRODUCT(('Dvd Calendar'!$E$583:$AR$583&gt;PROJ_FROM)*('Dvd Calendar'!$E$583:$AR$583&lt;=DATE(YEAR_Y,12,31))*'Dvd Calendar'!$E$586:$AR$586*(('Dvd Calendar'!$E$588:$AR$588=TYPE1)*(TYPE1&lt;&gt;"")+('Dvd Calendar'!$E$588:$AR$588=TYPE2)*(TYPE2&lt;&gt;"")+('Dvd Calendar'!$E$588:$AR$588=TYPE3)*(TYPE3&lt;&gt;"")+('Dvd Calendar'!$E$588:$AR$588=TYPE4)*(TYPE4&lt;&gt;"")+('Dvd Calendar'!$E$588:$AR$588=SPECIAL_LBL)*(INC_SPECIALS="Y"))*(COUNTIF('Dvd Calendar'!$E$590:$AR$590,'Dvd Calendar'!$E$583:$AR$583)=0)))</f>
        <v/>
      </c>
      <c r="L59" s="52">
        <f>IF($B59="",0,IF((OV_SWITCH="ON")*(COUNTIFS(OVR_TICKERS,$C59,OVR_BASE,"&gt;=0")&gt;0)&gt;0,SUMIFS(OVR_BASE,OVR_TICKERS,$C59),$K59))</f>
        <v/>
      </c>
      <c r="M59" s="52">
        <f>IF($B59="",0,IF((OV_SWITCH="ON")*(COUNTIFS(OVR_TICKERS,$C59,OVR_LOW,"&gt;=0")&gt;0)&gt;0,SUMIFS(OVR_LOW,OVR_TICKERS,$C59),$L59))</f>
        <v/>
      </c>
      <c r="N59" s="52">
        <f>IF($B59="",0,IF((OV_SWITCH="ON")*(COUNTIFS(OVR_TICKERS,$C59,OVR_HIGH,"&gt;=0")&gt;0)&gt;0,SUMIFS(OVR_HIGH,OVR_TICKERS,$C59),$L59))</f>
        <v/>
      </c>
      <c r="O59" s="69">
        <f>IF($B59="","",IFERROR($B59*$G59*$J59/$B$3,""))</f>
        <v/>
      </c>
      <c r="P59" s="69">
        <f>IF($B59="","",IFERROR($B59*$G59*$L59/$B$3,""))</f>
        <v/>
      </c>
      <c r="Q59" s="44">
        <f>IF($B59="","",IFERROR($O59+$P59,""))</f>
        <v/>
      </c>
      <c r="R59" s="69">
        <f>IF($B59="","",IFERROR($O59+$B59*$G59*$M59/$B$3,""))</f>
        <v/>
      </c>
      <c r="S59" s="69">
        <f>IF($B59="","",IFERROR($O59+$B59*$G59*$N59/$B$3,""))</f>
        <v/>
      </c>
      <c r="T59" s="88">
        <f>IF($B59="","",IFERROR($Q59/$Q$5,""))</f>
        <v/>
      </c>
      <c r="U59" s="2">
        <f>IF($B59="","",IF(COUNTIFS('Dvd Calendar'!$E$589:$AR$589,"&gt;0",'Dvd Calendar'!$E$589:$AR$589,"&lt;="&amp;VAL_DATE,'Dvd Calendar'!$E$590:$AR$590,"&gt;"&amp;PROJ_FROM,'Dvd Calendar'!$E$590:$AR$590,"&lt;="&amp;DATE(YEAR_Y,12,31))-COUNTIFS('Dvd Calendar'!$E$589:$AR$589,"&gt;0",'Dvd Calendar'!$E$589:$AR$589,"&lt;="&amp;VAL_DATE,'Dvd Calendar'!$E$590:$AR$590,"&gt;"&amp;PROJ_FROM,'Dvd Calendar'!$E$590:$AR$590,"&lt;="&amp;DATE(YEAR_Y,12,31),'Dvd Calendar'!$E$591:$AR$591,"&gt;=0")&gt;0,"TBA amount - override me",IF((OV_SWITCH="ON")*(COUNTIFS(OVR_TICKERS,$C59,OVR_BASE,"&gt;=0")&gt;0)&gt;0,"overridden",IF($J59+$K59=0,"no dividend in year Y",""))))</f>
        <v/>
      </c>
      <c r="V59" s="69">
        <f>IF($B59="","",IFERROR(IF(ISNUMBER($H59),$B59*$G59*$H59/$B$3,0),""))</f>
        <v/>
      </c>
      <c r="W59" s="69">
        <f>IF($B59="","",IFERROR($B59*$G59*$K59/$B$3,""))</f>
        <v/>
      </c>
      <c r="X59" s="98">
        <f>IF($C59="","",BDP($C59,"PX_LAST"))</f>
        <v/>
      </c>
      <c r="Y59" s="69">
        <f>IF($B59="","",IFERROR($B59*$X59/$B$3,""))</f>
        <v/>
      </c>
      <c r="Z59" s="73">
        <f>IF($B59="","",IFERROR($Y59/$Y$5,""))</f>
        <v/>
      </c>
    </row>
    <row r="60">
      <c r="B60" s="97" t="n"/>
      <c r="C60" s="8">
        <f>IF($A60="","",$A60&amp;" Equity")</f>
        <v/>
      </c>
      <c r="D60" s="8">
        <f>IF($C60="","",BDP($C60,"NAME"))</f>
        <v/>
      </c>
      <c r="E60" s="8">
        <f>IF($C60="","",BDP($C60,"GICS_SECTOR_NAME"))</f>
        <v/>
      </c>
      <c r="F60" s="37">
        <f>IF($C60="","",BDP($C60,FLD_CCY))</f>
        <v/>
      </c>
      <c r="G60" s="12">
        <f>IFERROR(IF(LEN($F60)&lt;&gt;3,1,IF($F60="HKD",1,BDP(IF($F60="CNY",RMB_CROSS,$F60)&amp;"HKD Curncy","PX_LAST"))),1)</f>
        <v/>
      </c>
      <c r="H60" s="69">
        <f>IF($C60="","",BDP($C60,FLD_DPS12M))</f>
        <v/>
      </c>
      <c r="I60" s="50">
        <f>IF($C60="","",BDP($C60,FLD_YLD12M))</f>
        <v/>
      </c>
      <c r="J60" s="52">
        <f>IF($B60="",0,SUMPRODUCT(('Dvd Calendar'!$E$594:$AR$594&gt;=DATE(YEAR_Y,1,1))*('Dvd Calendar'!$E$594:$AR$594&lt;=REALIZED_TO)*'Dvd Calendar'!$E$597:$AR$597*(('Dvd Calendar'!$E$599:$AR$599=TYPE1)*(TYPE1&lt;&gt;"")+('Dvd Calendar'!$E$599:$AR$599=TYPE2)*(TYPE2&lt;&gt;"")+('Dvd Calendar'!$E$599:$AR$599=TYPE3)*(TYPE3&lt;&gt;"")+('Dvd Calendar'!$E$599:$AR$599=TYPE4)*(TYPE4&lt;&gt;"")+('Dvd Calendar'!$E$599:$AR$599=SPECIAL_LBL)*(INC_SPECIALS="Y"))))</f>
        <v/>
      </c>
      <c r="K60" s="52">
        <f>IF($B60="",0,SUMIFS('Dvd Calendar'!$E$602:$AR$602,'Dvd Calendar'!$E$601:$AR$601,"&gt;"&amp;PROJ_FROM,'Dvd Calendar'!$E$601:$AR$601,"&lt;="&amp;DATE(YEAR_Y,12,31))+SUMPRODUCT(('Dvd Calendar'!$E$594:$AR$594&gt;PROJ_FROM)*('Dvd Calendar'!$E$594:$AR$594&lt;=DATE(YEAR_Y,12,31))*'Dvd Calendar'!$E$597:$AR$597*(('Dvd Calendar'!$E$599:$AR$599=TYPE1)*(TYPE1&lt;&gt;"")+('Dvd Calendar'!$E$599:$AR$599=TYPE2)*(TYPE2&lt;&gt;"")+('Dvd Calendar'!$E$599:$AR$599=TYPE3)*(TYPE3&lt;&gt;"")+('Dvd Calendar'!$E$599:$AR$599=TYPE4)*(TYPE4&lt;&gt;"")+('Dvd Calendar'!$E$599:$AR$599=SPECIAL_LBL)*(INC_SPECIALS="Y"))*(COUNTIF('Dvd Calendar'!$E$601:$AR$601,'Dvd Calendar'!$E$594:$AR$594)=0)))</f>
        <v/>
      </c>
      <c r="L60" s="52">
        <f>IF($B60="",0,IF((OV_SWITCH="ON")*(COUNTIFS(OVR_TICKERS,$C60,OVR_BASE,"&gt;=0")&gt;0)&gt;0,SUMIFS(OVR_BASE,OVR_TICKERS,$C60),$K60))</f>
        <v/>
      </c>
      <c r="M60" s="52">
        <f>IF($B60="",0,IF((OV_SWITCH="ON")*(COUNTIFS(OVR_TICKERS,$C60,OVR_LOW,"&gt;=0")&gt;0)&gt;0,SUMIFS(OVR_LOW,OVR_TICKERS,$C60),$L60))</f>
        <v/>
      </c>
      <c r="N60" s="52">
        <f>IF($B60="",0,IF((OV_SWITCH="ON")*(COUNTIFS(OVR_TICKERS,$C60,OVR_HIGH,"&gt;=0")&gt;0)&gt;0,SUMIFS(OVR_HIGH,OVR_TICKERS,$C60),$L60))</f>
        <v/>
      </c>
      <c r="O60" s="69">
        <f>IF($B60="","",IFERROR($B60*$G60*$J60/$B$3,""))</f>
        <v/>
      </c>
      <c r="P60" s="69">
        <f>IF($B60="","",IFERROR($B60*$G60*$L60/$B$3,""))</f>
        <v/>
      </c>
      <c r="Q60" s="44">
        <f>IF($B60="","",IFERROR($O60+$P60,""))</f>
        <v/>
      </c>
      <c r="R60" s="69">
        <f>IF($B60="","",IFERROR($O60+$B60*$G60*$M60/$B$3,""))</f>
        <v/>
      </c>
      <c r="S60" s="69">
        <f>IF($B60="","",IFERROR($O60+$B60*$G60*$N60/$B$3,""))</f>
        <v/>
      </c>
      <c r="T60" s="88">
        <f>IF($B60="","",IFERROR($Q60/$Q$5,""))</f>
        <v/>
      </c>
      <c r="U60" s="2">
        <f>IF($B60="","",IF(COUNTIFS('Dvd Calendar'!$E$600:$AR$600,"&gt;0",'Dvd Calendar'!$E$600:$AR$600,"&lt;="&amp;VAL_DATE,'Dvd Calendar'!$E$601:$AR$601,"&gt;"&amp;PROJ_FROM,'Dvd Calendar'!$E$601:$AR$601,"&lt;="&amp;DATE(YEAR_Y,12,31))-COUNTIFS('Dvd Calendar'!$E$600:$AR$600,"&gt;0",'Dvd Calendar'!$E$600:$AR$600,"&lt;="&amp;VAL_DATE,'Dvd Calendar'!$E$601:$AR$601,"&gt;"&amp;PROJ_FROM,'Dvd Calendar'!$E$601:$AR$601,"&lt;="&amp;DATE(YEAR_Y,12,31),'Dvd Calendar'!$E$602:$AR$602,"&gt;=0")&gt;0,"TBA amount - override me",IF((OV_SWITCH="ON")*(COUNTIFS(OVR_TICKERS,$C60,OVR_BASE,"&gt;=0")&gt;0)&gt;0,"overridden",IF($J60+$K60=0,"no dividend in year Y",""))))</f>
        <v/>
      </c>
      <c r="V60" s="69">
        <f>IF($B60="","",IFERROR(IF(ISNUMBER($H60),$B60*$G60*$H60/$B$3,0),""))</f>
        <v/>
      </c>
      <c r="W60" s="69">
        <f>IF($B60="","",IFERROR($B60*$G60*$K60/$B$3,""))</f>
        <v/>
      </c>
      <c r="X60" s="98">
        <f>IF($C60="","",BDP($C60,"PX_LAST"))</f>
        <v/>
      </c>
      <c r="Y60" s="69">
        <f>IF($B60="","",IFERROR($B60*$X60/$B$3,""))</f>
        <v/>
      </c>
      <c r="Z60" s="73">
        <f>IF($B60="","",IFERROR($Y60/$Y$5,""))</f>
        <v/>
      </c>
    </row>
    <row r="61">
      <c r="B61" s="97" t="n"/>
      <c r="C61" s="8">
        <f>IF($A61="","",$A61&amp;" Equity")</f>
        <v/>
      </c>
      <c r="D61" s="8">
        <f>IF($C61="","",BDP($C61,"NAME"))</f>
        <v/>
      </c>
      <c r="E61" s="8">
        <f>IF($C61="","",BDP($C61,"GICS_SECTOR_NAME"))</f>
        <v/>
      </c>
      <c r="F61" s="37">
        <f>IF($C61="","",BDP($C61,FLD_CCY))</f>
        <v/>
      </c>
      <c r="G61" s="12">
        <f>IFERROR(IF(LEN($F61)&lt;&gt;3,1,IF($F61="HKD",1,BDP(IF($F61="CNY",RMB_CROSS,$F61)&amp;"HKD Curncy","PX_LAST"))),1)</f>
        <v/>
      </c>
      <c r="H61" s="69">
        <f>IF($C61="","",BDP($C61,FLD_DPS12M))</f>
        <v/>
      </c>
      <c r="I61" s="50">
        <f>IF($C61="","",BDP($C61,FLD_YLD12M))</f>
        <v/>
      </c>
      <c r="J61" s="52">
        <f>IF($B61="",0,SUMPRODUCT(('Dvd Calendar'!$E$605:$AR$605&gt;=DATE(YEAR_Y,1,1))*('Dvd Calendar'!$E$605:$AR$605&lt;=REALIZED_TO)*'Dvd Calendar'!$E$608:$AR$608*(('Dvd Calendar'!$E$610:$AR$610=TYPE1)*(TYPE1&lt;&gt;"")+('Dvd Calendar'!$E$610:$AR$610=TYPE2)*(TYPE2&lt;&gt;"")+('Dvd Calendar'!$E$610:$AR$610=TYPE3)*(TYPE3&lt;&gt;"")+('Dvd Calendar'!$E$610:$AR$610=TYPE4)*(TYPE4&lt;&gt;"")+('Dvd Calendar'!$E$610:$AR$610=SPECIAL_LBL)*(INC_SPECIALS="Y"))))</f>
        <v/>
      </c>
      <c r="K61" s="52">
        <f>IF($B61="",0,SUMIFS('Dvd Calendar'!$E$613:$AR$613,'Dvd Calendar'!$E$612:$AR$612,"&gt;"&amp;PROJ_FROM,'Dvd Calendar'!$E$612:$AR$612,"&lt;="&amp;DATE(YEAR_Y,12,31))+SUMPRODUCT(('Dvd Calendar'!$E$605:$AR$605&gt;PROJ_FROM)*('Dvd Calendar'!$E$605:$AR$605&lt;=DATE(YEAR_Y,12,31))*'Dvd Calendar'!$E$608:$AR$608*(('Dvd Calendar'!$E$610:$AR$610=TYPE1)*(TYPE1&lt;&gt;"")+('Dvd Calendar'!$E$610:$AR$610=TYPE2)*(TYPE2&lt;&gt;"")+('Dvd Calendar'!$E$610:$AR$610=TYPE3)*(TYPE3&lt;&gt;"")+('Dvd Calendar'!$E$610:$AR$610=TYPE4)*(TYPE4&lt;&gt;"")+('Dvd Calendar'!$E$610:$AR$610=SPECIAL_LBL)*(INC_SPECIALS="Y"))*(COUNTIF('Dvd Calendar'!$E$612:$AR$612,'Dvd Calendar'!$E$605:$AR$605)=0)))</f>
        <v/>
      </c>
      <c r="L61" s="52">
        <f>IF($B61="",0,IF((OV_SWITCH="ON")*(COUNTIFS(OVR_TICKERS,$C61,OVR_BASE,"&gt;=0")&gt;0)&gt;0,SUMIFS(OVR_BASE,OVR_TICKERS,$C61),$K61))</f>
        <v/>
      </c>
      <c r="M61" s="52">
        <f>IF($B61="",0,IF((OV_SWITCH="ON")*(COUNTIFS(OVR_TICKERS,$C61,OVR_LOW,"&gt;=0")&gt;0)&gt;0,SUMIFS(OVR_LOW,OVR_TICKERS,$C61),$L61))</f>
        <v/>
      </c>
      <c r="N61" s="52">
        <f>IF($B61="",0,IF((OV_SWITCH="ON")*(COUNTIFS(OVR_TICKERS,$C61,OVR_HIGH,"&gt;=0")&gt;0)&gt;0,SUMIFS(OVR_HIGH,OVR_TICKERS,$C61),$L61))</f>
        <v/>
      </c>
      <c r="O61" s="69">
        <f>IF($B61="","",IFERROR($B61*$G61*$J61/$B$3,""))</f>
        <v/>
      </c>
      <c r="P61" s="69">
        <f>IF($B61="","",IFERROR($B61*$G61*$L61/$B$3,""))</f>
        <v/>
      </c>
      <c r="Q61" s="44">
        <f>IF($B61="","",IFERROR($O61+$P61,""))</f>
        <v/>
      </c>
      <c r="R61" s="69">
        <f>IF($B61="","",IFERROR($O61+$B61*$G61*$M61/$B$3,""))</f>
        <v/>
      </c>
      <c r="S61" s="69">
        <f>IF($B61="","",IFERROR($O61+$B61*$G61*$N61/$B$3,""))</f>
        <v/>
      </c>
      <c r="T61" s="88">
        <f>IF($B61="","",IFERROR($Q61/$Q$5,""))</f>
        <v/>
      </c>
      <c r="U61" s="2">
        <f>IF($B61="","",IF(COUNTIFS('Dvd Calendar'!$E$611:$AR$611,"&gt;0",'Dvd Calendar'!$E$611:$AR$611,"&lt;="&amp;VAL_DATE,'Dvd Calendar'!$E$612:$AR$612,"&gt;"&amp;PROJ_FROM,'Dvd Calendar'!$E$612:$AR$612,"&lt;="&amp;DATE(YEAR_Y,12,31))-COUNTIFS('Dvd Calendar'!$E$611:$AR$611,"&gt;0",'Dvd Calendar'!$E$611:$AR$611,"&lt;="&amp;VAL_DATE,'Dvd Calendar'!$E$612:$AR$612,"&gt;"&amp;PROJ_FROM,'Dvd Calendar'!$E$612:$AR$612,"&lt;="&amp;DATE(YEAR_Y,12,31),'Dvd Calendar'!$E$613:$AR$613,"&gt;=0")&gt;0,"TBA amount - override me",IF((OV_SWITCH="ON")*(COUNTIFS(OVR_TICKERS,$C61,OVR_BASE,"&gt;=0")&gt;0)&gt;0,"overridden",IF($J61+$K61=0,"no dividend in year Y",""))))</f>
        <v/>
      </c>
      <c r="V61" s="69">
        <f>IF($B61="","",IFERROR(IF(ISNUMBER($H61),$B61*$G61*$H61/$B$3,0),""))</f>
        <v/>
      </c>
      <c r="W61" s="69">
        <f>IF($B61="","",IFERROR($B61*$G61*$K61/$B$3,""))</f>
        <v/>
      </c>
      <c r="X61" s="98">
        <f>IF($C61="","",BDP($C61,"PX_LAST"))</f>
        <v/>
      </c>
      <c r="Y61" s="69">
        <f>IF($B61="","",IFERROR($B61*$X61/$B$3,""))</f>
        <v/>
      </c>
      <c r="Z61" s="73">
        <f>IF($B61="","",IFERROR($Y61/$Y$5,""))</f>
        <v/>
      </c>
    </row>
    <row r="62">
      <c r="B62" s="97" t="n"/>
      <c r="C62" s="8">
        <f>IF($A62="","",$A62&amp;" Equity")</f>
        <v/>
      </c>
      <c r="D62" s="8">
        <f>IF($C62="","",BDP($C62,"NAME"))</f>
        <v/>
      </c>
      <c r="E62" s="8">
        <f>IF($C62="","",BDP($C62,"GICS_SECTOR_NAME"))</f>
        <v/>
      </c>
      <c r="F62" s="37">
        <f>IF($C62="","",BDP($C62,FLD_CCY))</f>
        <v/>
      </c>
      <c r="G62" s="12">
        <f>IFERROR(IF(LEN($F62)&lt;&gt;3,1,IF($F62="HKD",1,BDP(IF($F62="CNY",RMB_CROSS,$F62)&amp;"HKD Curncy","PX_LAST"))),1)</f>
        <v/>
      </c>
      <c r="H62" s="69">
        <f>IF($C62="","",BDP($C62,FLD_DPS12M))</f>
        <v/>
      </c>
      <c r="I62" s="50">
        <f>IF($C62="","",BDP($C62,FLD_YLD12M))</f>
        <v/>
      </c>
      <c r="J62" s="52">
        <f>IF($B62="",0,SUMPRODUCT(('Dvd Calendar'!$E$616:$AR$616&gt;=DATE(YEAR_Y,1,1))*('Dvd Calendar'!$E$616:$AR$616&lt;=REALIZED_TO)*'Dvd Calendar'!$E$619:$AR$619*(('Dvd Calendar'!$E$621:$AR$621=TYPE1)*(TYPE1&lt;&gt;"")+('Dvd Calendar'!$E$621:$AR$621=TYPE2)*(TYPE2&lt;&gt;"")+('Dvd Calendar'!$E$621:$AR$621=TYPE3)*(TYPE3&lt;&gt;"")+('Dvd Calendar'!$E$621:$AR$621=TYPE4)*(TYPE4&lt;&gt;"")+('Dvd Calendar'!$E$621:$AR$621=SPECIAL_LBL)*(INC_SPECIALS="Y"))))</f>
        <v/>
      </c>
      <c r="K62" s="52">
        <f>IF($B62="",0,SUMIFS('Dvd Calendar'!$E$624:$AR$624,'Dvd Calendar'!$E$623:$AR$623,"&gt;"&amp;PROJ_FROM,'Dvd Calendar'!$E$623:$AR$623,"&lt;="&amp;DATE(YEAR_Y,12,31))+SUMPRODUCT(('Dvd Calendar'!$E$616:$AR$616&gt;PROJ_FROM)*('Dvd Calendar'!$E$616:$AR$616&lt;=DATE(YEAR_Y,12,31))*'Dvd Calendar'!$E$619:$AR$619*(('Dvd Calendar'!$E$621:$AR$621=TYPE1)*(TYPE1&lt;&gt;"")+('Dvd Calendar'!$E$621:$AR$621=TYPE2)*(TYPE2&lt;&gt;"")+('Dvd Calendar'!$E$621:$AR$621=TYPE3)*(TYPE3&lt;&gt;"")+('Dvd Calendar'!$E$621:$AR$621=TYPE4)*(TYPE4&lt;&gt;"")+('Dvd Calendar'!$E$621:$AR$621=SPECIAL_LBL)*(INC_SPECIALS="Y"))*(COUNTIF('Dvd Calendar'!$E$623:$AR$623,'Dvd Calendar'!$E$616:$AR$616)=0)))</f>
        <v/>
      </c>
      <c r="L62" s="52">
        <f>IF($B62="",0,IF((OV_SWITCH="ON")*(COUNTIFS(OVR_TICKERS,$C62,OVR_BASE,"&gt;=0")&gt;0)&gt;0,SUMIFS(OVR_BASE,OVR_TICKERS,$C62),$K62))</f>
        <v/>
      </c>
      <c r="M62" s="52">
        <f>IF($B62="",0,IF((OV_SWITCH="ON")*(COUNTIFS(OVR_TICKERS,$C62,OVR_LOW,"&gt;=0")&gt;0)&gt;0,SUMIFS(OVR_LOW,OVR_TICKERS,$C62),$L62))</f>
        <v/>
      </c>
      <c r="N62" s="52">
        <f>IF($B62="",0,IF((OV_SWITCH="ON")*(COUNTIFS(OVR_TICKERS,$C62,OVR_HIGH,"&gt;=0")&gt;0)&gt;0,SUMIFS(OVR_HIGH,OVR_TICKERS,$C62),$L62))</f>
        <v/>
      </c>
      <c r="O62" s="69">
        <f>IF($B62="","",IFERROR($B62*$G62*$J62/$B$3,""))</f>
        <v/>
      </c>
      <c r="P62" s="69">
        <f>IF($B62="","",IFERROR($B62*$G62*$L62/$B$3,""))</f>
        <v/>
      </c>
      <c r="Q62" s="44">
        <f>IF($B62="","",IFERROR($O62+$P62,""))</f>
        <v/>
      </c>
      <c r="R62" s="69">
        <f>IF($B62="","",IFERROR($O62+$B62*$G62*$M62/$B$3,""))</f>
        <v/>
      </c>
      <c r="S62" s="69">
        <f>IF($B62="","",IFERROR($O62+$B62*$G62*$N62/$B$3,""))</f>
        <v/>
      </c>
      <c r="T62" s="88">
        <f>IF($B62="","",IFERROR($Q62/$Q$5,""))</f>
        <v/>
      </c>
      <c r="U62" s="2">
        <f>IF($B62="","",IF(COUNTIFS('Dvd Calendar'!$E$622:$AR$622,"&gt;0",'Dvd Calendar'!$E$622:$AR$622,"&lt;="&amp;VAL_DATE,'Dvd Calendar'!$E$623:$AR$623,"&gt;"&amp;PROJ_FROM,'Dvd Calendar'!$E$623:$AR$623,"&lt;="&amp;DATE(YEAR_Y,12,31))-COUNTIFS('Dvd Calendar'!$E$622:$AR$622,"&gt;0",'Dvd Calendar'!$E$622:$AR$622,"&lt;="&amp;VAL_DATE,'Dvd Calendar'!$E$623:$AR$623,"&gt;"&amp;PROJ_FROM,'Dvd Calendar'!$E$623:$AR$623,"&lt;="&amp;DATE(YEAR_Y,12,31),'Dvd Calendar'!$E$624:$AR$624,"&gt;=0")&gt;0,"TBA amount - override me",IF((OV_SWITCH="ON")*(COUNTIFS(OVR_TICKERS,$C62,OVR_BASE,"&gt;=0")&gt;0)&gt;0,"overridden",IF($J62+$K62=0,"no dividend in year Y",""))))</f>
        <v/>
      </c>
      <c r="V62" s="69">
        <f>IF($B62="","",IFERROR(IF(ISNUMBER($H62),$B62*$G62*$H62/$B$3,0),""))</f>
        <v/>
      </c>
      <c r="W62" s="69">
        <f>IF($B62="","",IFERROR($B62*$G62*$K62/$B$3,""))</f>
        <v/>
      </c>
      <c r="X62" s="98">
        <f>IF($C62="","",BDP($C62,"PX_LAST"))</f>
        <v/>
      </c>
      <c r="Y62" s="69">
        <f>IF($B62="","",IFERROR($B62*$X62/$B$3,""))</f>
        <v/>
      </c>
      <c r="Z62" s="73">
        <f>IF($B62="","",IFERROR($Y62/$Y$5,""))</f>
        <v/>
      </c>
    </row>
    <row r="63">
      <c r="B63" s="97" t="n"/>
      <c r="C63" s="8">
        <f>IF($A63="","",$A63&amp;" Equity")</f>
        <v/>
      </c>
      <c r="D63" s="8">
        <f>IF($C63="","",BDP($C63,"NAME"))</f>
        <v/>
      </c>
      <c r="E63" s="8">
        <f>IF($C63="","",BDP($C63,"GICS_SECTOR_NAME"))</f>
        <v/>
      </c>
      <c r="F63" s="37">
        <f>IF($C63="","",BDP($C63,FLD_CCY))</f>
        <v/>
      </c>
      <c r="G63" s="12">
        <f>IFERROR(IF(LEN($F63)&lt;&gt;3,1,IF($F63="HKD",1,BDP(IF($F63="CNY",RMB_CROSS,$F63)&amp;"HKD Curncy","PX_LAST"))),1)</f>
        <v/>
      </c>
      <c r="H63" s="69">
        <f>IF($C63="","",BDP($C63,FLD_DPS12M))</f>
        <v/>
      </c>
      <c r="I63" s="50">
        <f>IF($C63="","",BDP($C63,FLD_YLD12M))</f>
        <v/>
      </c>
      <c r="J63" s="52">
        <f>IF($B63="",0,SUMPRODUCT(('Dvd Calendar'!$E$627:$AR$627&gt;=DATE(YEAR_Y,1,1))*('Dvd Calendar'!$E$627:$AR$627&lt;=REALIZED_TO)*'Dvd Calendar'!$E$630:$AR$630*(('Dvd Calendar'!$E$632:$AR$632=TYPE1)*(TYPE1&lt;&gt;"")+('Dvd Calendar'!$E$632:$AR$632=TYPE2)*(TYPE2&lt;&gt;"")+('Dvd Calendar'!$E$632:$AR$632=TYPE3)*(TYPE3&lt;&gt;"")+('Dvd Calendar'!$E$632:$AR$632=TYPE4)*(TYPE4&lt;&gt;"")+('Dvd Calendar'!$E$632:$AR$632=SPECIAL_LBL)*(INC_SPECIALS="Y"))))</f>
        <v/>
      </c>
      <c r="K63" s="52">
        <f>IF($B63="",0,SUMIFS('Dvd Calendar'!$E$635:$AR$635,'Dvd Calendar'!$E$634:$AR$634,"&gt;"&amp;PROJ_FROM,'Dvd Calendar'!$E$634:$AR$634,"&lt;="&amp;DATE(YEAR_Y,12,31))+SUMPRODUCT(('Dvd Calendar'!$E$627:$AR$627&gt;PROJ_FROM)*('Dvd Calendar'!$E$627:$AR$627&lt;=DATE(YEAR_Y,12,31))*'Dvd Calendar'!$E$630:$AR$630*(('Dvd Calendar'!$E$632:$AR$632=TYPE1)*(TYPE1&lt;&gt;"")+('Dvd Calendar'!$E$632:$AR$632=TYPE2)*(TYPE2&lt;&gt;"")+('Dvd Calendar'!$E$632:$AR$632=TYPE3)*(TYPE3&lt;&gt;"")+('Dvd Calendar'!$E$632:$AR$632=TYPE4)*(TYPE4&lt;&gt;"")+('Dvd Calendar'!$E$632:$AR$632=SPECIAL_LBL)*(INC_SPECIALS="Y"))*(COUNTIF('Dvd Calendar'!$E$634:$AR$634,'Dvd Calendar'!$E$627:$AR$627)=0)))</f>
        <v/>
      </c>
      <c r="L63" s="52">
        <f>IF($B63="",0,IF((OV_SWITCH="ON")*(COUNTIFS(OVR_TICKERS,$C63,OVR_BASE,"&gt;=0")&gt;0)&gt;0,SUMIFS(OVR_BASE,OVR_TICKERS,$C63),$K63))</f>
        <v/>
      </c>
      <c r="M63" s="52">
        <f>IF($B63="",0,IF((OV_SWITCH="ON")*(COUNTIFS(OVR_TICKERS,$C63,OVR_LOW,"&gt;=0")&gt;0)&gt;0,SUMIFS(OVR_LOW,OVR_TICKERS,$C63),$L63))</f>
        <v/>
      </c>
      <c r="N63" s="52">
        <f>IF($B63="",0,IF((OV_SWITCH="ON")*(COUNTIFS(OVR_TICKERS,$C63,OVR_HIGH,"&gt;=0")&gt;0)&gt;0,SUMIFS(OVR_HIGH,OVR_TICKERS,$C63),$L63))</f>
        <v/>
      </c>
      <c r="O63" s="69">
        <f>IF($B63="","",IFERROR($B63*$G63*$J63/$B$3,""))</f>
        <v/>
      </c>
      <c r="P63" s="69">
        <f>IF($B63="","",IFERROR($B63*$G63*$L63/$B$3,""))</f>
        <v/>
      </c>
      <c r="Q63" s="44">
        <f>IF($B63="","",IFERROR($O63+$P63,""))</f>
        <v/>
      </c>
      <c r="R63" s="69">
        <f>IF($B63="","",IFERROR($O63+$B63*$G63*$M63/$B$3,""))</f>
        <v/>
      </c>
      <c r="S63" s="69">
        <f>IF($B63="","",IFERROR($O63+$B63*$G63*$N63/$B$3,""))</f>
        <v/>
      </c>
      <c r="T63" s="88">
        <f>IF($B63="","",IFERROR($Q63/$Q$5,""))</f>
        <v/>
      </c>
      <c r="U63" s="2">
        <f>IF($B63="","",IF(COUNTIFS('Dvd Calendar'!$E$633:$AR$633,"&gt;0",'Dvd Calendar'!$E$633:$AR$633,"&lt;="&amp;VAL_DATE,'Dvd Calendar'!$E$634:$AR$634,"&gt;"&amp;PROJ_FROM,'Dvd Calendar'!$E$634:$AR$634,"&lt;="&amp;DATE(YEAR_Y,12,31))-COUNTIFS('Dvd Calendar'!$E$633:$AR$633,"&gt;0",'Dvd Calendar'!$E$633:$AR$633,"&lt;="&amp;VAL_DATE,'Dvd Calendar'!$E$634:$AR$634,"&gt;"&amp;PROJ_FROM,'Dvd Calendar'!$E$634:$AR$634,"&lt;="&amp;DATE(YEAR_Y,12,31),'Dvd Calendar'!$E$635:$AR$635,"&gt;=0")&gt;0,"TBA amount - override me",IF((OV_SWITCH="ON")*(COUNTIFS(OVR_TICKERS,$C63,OVR_BASE,"&gt;=0")&gt;0)&gt;0,"overridden",IF($J63+$K63=0,"no dividend in year Y",""))))</f>
        <v/>
      </c>
      <c r="V63" s="69">
        <f>IF($B63="","",IFERROR(IF(ISNUMBER($H63),$B63*$G63*$H63/$B$3,0),""))</f>
        <v/>
      </c>
      <c r="W63" s="69">
        <f>IF($B63="","",IFERROR($B63*$G63*$K63/$B$3,""))</f>
        <v/>
      </c>
      <c r="X63" s="98">
        <f>IF($C63="","",BDP($C63,"PX_LAST"))</f>
        <v/>
      </c>
      <c r="Y63" s="69">
        <f>IF($B63="","",IFERROR($B63*$X63/$B$3,""))</f>
        <v/>
      </c>
      <c r="Z63" s="73">
        <f>IF($B63="","",IFERROR($Y63/$Y$5,""))</f>
        <v/>
      </c>
    </row>
    <row r="64">
      <c r="B64" s="97" t="n"/>
      <c r="C64" s="8">
        <f>IF($A64="","",$A64&amp;" Equity")</f>
        <v/>
      </c>
      <c r="D64" s="8">
        <f>IF($C64="","",BDP($C64,"NAME"))</f>
        <v/>
      </c>
      <c r="E64" s="8">
        <f>IF($C64="","",BDP($C64,"GICS_SECTOR_NAME"))</f>
        <v/>
      </c>
      <c r="F64" s="37">
        <f>IF($C64="","",BDP($C64,FLD_CCY))</f>
        <v/>
      </c>
      <c r="G64" s="12">
        <f>IFERROR(IF(LEN($F64)&lt;&gt;3,1,IF($F64="HKD",1,BDP(IF($F64="CNY",RMB_CROSS,$F64)&amp;"HKD Curncy","PX_LAST"))),1)</f>
        <v/>
      </c>
      <c r="H64" s="69">
        <f>IF($C64="","",BDP($C64,FLD_DPS12M))</f>
        <v/>
      </c>
      <c r="I64" s="50">
        <f>IF($C64="","",BDP($C64,FLD_YLD12M))</f>
        <v/>
      </c>
      <c r="J64" s="52">
        <f>IF($B64="",0,SUMPRODUCT(('Dvd Calendar'!$E$638:$AR$638&gt;=DATE(YEAR_Y,1,1))*('Dvd Calendar'!$E$638:$AR$638&lt;=REALIZED_TO)*'Dvd Calendar'!$E$641:$AR$641*(('Dvd Calendar'!$E$643:$AR$643=TYPE1)*(TYPE1&lt;&gt;"")+('Dvd Calendar'!$E$643:$AR$643=TYPE2)*(TYPE2&lt;&gt;"")+('Dvd Calendar'!$E$643:$AR$643=TYPE3)*(TYPE3&lt;&gt;"")+('Dvd Calendar'!$E$643:$AR$643=TYPE4)*(TYPE4&lt;&gt;"")+('Dvd Calendar'!$E$643:$AR$643=SPECIAL_LBL)*(INC_SPECIALS="Y"))))</f>
        <v/>
      </c>
      <c r="K64" s="52">
        <f>IF($B64="",0,SUMIFS('Dvd Calendar'!$E$646:$AR$646,'Dvd Calendar'!$E$645:$AR$645,"&gt;"&amp;PROJ_FROM,'Dvd Calendar'!$E$645:$AR$645,"&lt;="&amp;DATE(YEAR_Y,12,31))+SUMPRODUCT(('Dvd Calendar'!$E$638:$AR$638&gt;PROJ_FROM)*('Dvd Calendar'!$E$638:$AR$638&lt;=DATE(YEAR_Y,12,31))*'Dvd Calendar'!$E$641:$AR$641*(('Dvd Calendar'!$E$643:$AR$643=TYPE1)*(TYPE1&lt;&gt;"")+('Dvd Calendar'!$E$643:$AR$643=TYPE2)*(TYPE2&lt;&gt;"")+('Dvd Calendar'!$E$643:$AR$643=TYPE3)*(TYPE3&lt;&gt;"")+('Dvd Calendar'!$E$643:$AR$643=TYPE4)*(TYPE4&lt;&gt;"")+('Dvd Calendar'!$E$643:$AR$643=SPECIAL_LBL)*(INC_SPECIALS="Y"))*(COUNTIF('Dvd Calendar'!$E$645:$AR$645,'Dvd Calendar'!$E$638:$AR$638)=0)))</f>
        <v/>
      </c>
      <c r="L64" s="52">
        <f>IF($B64="",0,IF((OV_SWITCH="ON")*(COUNTIFS(OVR_TICKERS,$C64,OVR_BASE,"&gt;=0")&gt;0)&gt;0,SUMIFS(OVR_BASE,OVR_TICKERS,$C64),$K64))</f>
        <v/>
      </c>
      <c r="M64" s="52">
        <f>IF($B64="",0,IF((OV_SWITCH="ON")*(COUNTIFS(OVR_TICKERS,$C64,OVR_LOW,"&gt;=0")&gt;0)&gt;0,SUMIFS(OVR_LOW,OVR_TICKERS,$C64),$L64))</f>
        <v/>
      </c>
      <c r="N64" s="52">
        <f>IF($B64="",0,IF((OV_SWITCH="ON")*(COUNTIFS(OVR_TICKERS,$C64,OVR_HIGH,"&gt;=0")&gt;0)&gt;0,SUMIFS(OVR_HIGH,OVR_TICKERS,$C64),$L64))</f>
        <v/>
      </c>
      <c r="O64" s="69">
        <f>IF($B64="","",IFERROR($B64*$G64*$J64/$B$3,""))</f>
        <v/>
      </c>
      <c r="P64" s="69">
        <f>IF($B64="","",IFERROR($B64*$G64*$L64/$B$3,""))</f>
        <v/>
      </c>
      <c r="Q64" s="44">
        <f>IF($B64="","",IFERROR($O64+$P64,""))</f>
        <v/>
      </c>
      <c r="R64" s="69">
        <f>IF($B64="","",IFERROR($O64+$B64*$G64*$M64/$B$3,""))</f>
        <v/>
      </c>
      <c r="S64" s="69">
        <f>IF($B64="","",IFERROR($O64+$B64*$G64*$N64/$B$3,""))</f>
        <v/>
      </c>
      <c r="T64" s="88">
        <f>IF($B64="","",IFERROR($Q64/$Q$5,""))</f>
        <v/>
      </c>
      <c r="U64" s="2">
        <f>IF($B64="","",IF(COUNTIFS('Dvd Calendar'!$E$644:$AR$644,"&gt;0",'Dvd Calendar'!$E$644:$AR$644,"&lt;="&amp;VAL_DATE,'Dvd Calendar'!$E$645:$AR$645,"&gt;"&amp;PROJ_FROM,'Dvd Calendar'!$E$645:$AR$645,"&lt;="&amp;DATE(YEAR_Y,12,31))-COUNTIFS('Dvd Calendar'!$E$644:$AR$644,"&gt;0",'Dvd Calendar'!$E$644:$AR$644,"&lt;="&amp;VAL_DATE,'Dvd Calendar'!$E$645:$AR$645,"&gt;"&amp;PROJ_FROM,'Dvd Calendar'!$E$645:$AR$645,"&lt;="&amp;DATE(YEAR_Y,12,31),'Dvd Calendar'!$E$646:$AR$646,"&gt;=0")&gt;0,"TBA amount - override me",IF((OV_SWITCH="ON")*(COUNTIFS(OVR_TICKERS,$C64,OVR_BASE,"&gt;=0")&gt;0)&gt;0,"overridden",IF($J64+$K64=0,"no dividend in year Y",""))))</f>
        <v/>
      </c>
      <c r="V64" s="69">
        <f>IF($B64="","",IFERROR(IF(ISNUMBER($H64),$B64*$G64*$H64/$B$3,0),""))</f>
        <v/>
      </c>
      <c r="W64" s="69">
        <f>IF($B64="","",IFERROR($B64*$G64*$K64/$B$3,""))</f>
        <v/>
      </c>
      <c r="X64" s="98">
        <f>IF($C64="","",BDP($C64,"PX_LAST"))</f>
        <v/>
      </c>
      <c r="Y64" s="69">
        <f>IF($B64="","",IFERROR($B64*$X64/$B$3,""))</f>
        <v/>
      </c>
      <c r="Z64" s="73">
        <f>IF($B64="","",IFERROR($Y64/$Y$5,""))</f>
        <v/>
      </c>
    </row>
    <row r="65">
      <c r="B65" s="97" t="n"/>
      <c r="C65" s="8">
        <f>IF($A65="","",$A65&amp;" Equity")</f>
        <v/>
      </c>
      <c r="D65" s="8">
        <f>IF($C65="","",BDP($C65,"NAME"))</f>
        <v/>
      </c>
      <c r="E65" s="8">
        <f>IF($C65="","",BDP($C65,"GICS_SECTOR_NAME"))</f>
        <v/>
      </c>
      <c r="F65" s="37">
        <f>IF($C65="","",BDP($C65,FLD_CCY))</f>
        <v/>
      </c>
      <c r="G65" s="12">
        <f>IFERROR(IF(LEN($F65)&lt;&gt;3,1,IF($F65="HKD",1,BDP(IF($F65="CNY",RMB_CROSS,$F65)&amp;"HKD Curncy","PX_LAST"))),1)</f>
        <v/>
      </c>
      <c r="H65" s="69">
        <f>IF($C65="","",BDP($C65,FLD_DPS12M))</f>
        <v/>
      </c>
      <c r="I65" s="50">
        <f>IF($C65="","",BDP($C65,FLD_YLD12M))</f>
        <v/>
      </c>
      <c r="J65" s="52">
        <f>IF($B65="",0,SUMPRODUCT(('Dvd Calendar'!$E$649:$AR$649&gt;=DATE(YEAR_Y,1,1))*('Dvd Calendar'!$E$649:$AR$649&lt;=REALIZED_TO)*'Dvd Calendar'!$E$652:$AR$652*(('Dvd Calendar'!$E$654:$AR$654=TYPE1)*(TYPE1&lt;&gt;"")+('Dvd Calendar'!$E$654:$AR$654=TYPE2)*(TYPE2&lt;&gt;"")+('Dvd Calendar'!$E$654:$AR$654=TYPE3)*(TYPE3&lt;&gt;"")+('Dvd Calendar'!$E$654:$AR$654=TYPE4)*(TYPE4&lt;&gt;"")+('Dvd Calendar'!$E$654:$AR$654=SPECIAL_LBL)*(INC_SPECIALS="Y"))))</f>
        <v/>
      </c>
      <c r="K65" s="52">
        <f>IF($B65="",0,SUMIFS('Dvd Calendar'!$E$657:$AR$657,'Dvd Calendar'!$E$656:$AR$656,"&gt;"&amp;PROJ_FROM,'Dvd Calendar'!$E$656:$AR$656,"&lt;="&amp;DATE(YEAR_Y,12,31))+SUMPRODUCT(('Dvd Calendar'!$E$649:$AR$649&gt;PROJ_FROM)*('Dvd Calendar'!$E$649:$AR$649&lt;=DATE(YEAR_Y,12,31))*'Dvd Calendar'!$E$652:$AR$652*(('Dvd Calendar'!$E$654:$AR$654=TYPE1)*(TYPE1&lt;&gt;"")+('Dvd Calendar'!$E$654:$AR$654=TYPE2)*(TYPE2&lt;&gt;"")+('Dvd Calendar'!$E$654:$AR$654=TYPE3)*(TYPE3&lt;&gt;"")+('Dvd Calendar'!$E$654:$AR$654=TYPE4)*(TYPE4&lt;&gt;"")+('Dvd Calendar'!$E$654:$AR$654=SPECIAL_LBL)*(INC_SPECIALS="Y"))*(COUNTIF('Dvd Calendar'!$E$656:$AR$656,'Dvd Calendar'!$E$649:$AR$649)=0)))</f>
        <v/>
      </c>
      <c r="L65" s="52">
        <f>IF($B65="",0,IF((OV_SWITCH="ON")*(COUNTIFS(OVR_TICKERS,$C65,OVR_BASE,"&gt;=0")&gt;0)&gt;0,SUMIFS(OVR_BASE,OVR_TICKERS,$C65),$K65))</f>
        <v/>
      </c>
      <c r="M65" s="52">
        <f>IF($B65="",0,IF((OV_SWITCH="ON")*(COUNTIFS(OVR_TICKERS,$C65,OVR_LOW,"&gt;=0")&gt;0)&gt;0,SUMIFS(OVR_LOW,OVR_TICKERS,$C65),$L65))</f>
        <v/>
      </c>
      <c r="N65" s="52">
        <f>IF($B65="",0,IF((OV_SWITCH="ON")*(COUNTIFS(OVR_TICKERS,$C65,OVR_HIGH,"&gt;=0")&gt;0)&gt;0,SUMIFS(OVR_HIGH,OVR_TICKERS,$C65),$L65))</f>
        <v/>
      </c>
      <c r="O65" s="69">
        <f>IF($B65="","",IFERROR($B65*$G65*$J65/$B$3,""))</f>
        <v/>
      </c>
      <c r="P65" s="69">
        <f>IF($B65="","",IFERROR($B65*$G65*$L65/$B$3,""))</f>
        <v/>
      </c>
      <c r="Q65" s="44">
        <f>IF($B65="","",IFERROR($O65+$P65,""))</f>
        <v/>
      </c>
      <c r="R65" s="69">
        <f>IF($B65="","",IFERROR($O65+$B65*$G65*$M65/$B$3,""))</f>
        <v/>
      </c>
      <c r="S65" s="69">
        <f>IF($B65="","",IFERROR($O65+$B65*$G65*$N65/$B$3,""))</f>
        <v/>
      </c>
      <c r="T65" s="88">
        <f>IF($B65="","",IFERROR($Q65/$Q$5,""))</f>
        <v/>
      </c>
      <c r="U65" s="2">
        <f>IF($B65="","",IF(COUNTIFS('Dvd Calendar'!$E$655:$AR$655,"&gt;0",'Dvd Calendar'!$E$655:$AR$655,"&lt;="&amp;VAL_DATE,'Dvd Calendar'!$E$656:$AR$656,"&gt;"&amp;PROJ_FROM,'Dvd Calendar'!$E$656:$AR$656,"&lt;="&amp;DATE(YEAR_Y,12,31))-COUNTIFS('Dvd Calendar'!$E$655:$AR$655,"&gt;0",'Dvd Calendar'!$E$655:$AR$655,"&lt;="&amp;VAL_DATE,'Dvd Calendar'!$E$656:$AR$656,"&gt;"&amp;PROJ_FROM,'Dvd Calendar'!$E$656:$AR$656,"&lt;="&amp;DATE(YEAR_Y,12,31),'Dvd Calendar'!$E$657:$AR$657,"&gt;=0")&gt;0,"TBA amount - override me",IF((OV_SWITCH="ON")*(COUNTIFS(OVR_TICKERS,$C65,OVR_BASE,"&gt;=0")&gt;0)&gt;0,"overridden",IF($J65+$K65=0,"no dividend in year Y",""))))</f>
        <v/>
      </c>
      <c r="V65" s="69">
        <f>IF($B65="","",IFERROR(IF(ISNUMBER($H65),$B65*$G65*$H65/$B$3,0),""))</f>
        <v/>
      </c>
      <c r="W65" s="69">
        <f>IF($B65="","",IFERROR($B65*$G65*$K65/$B$3,""))</f>
        <v/>
      </c>
      <c r="X65" s="98">
        <f>IF($C65="","",BDP($C65,"PX_LAST"))</f>
        <v/>
      </c>
      <c r="Y65" s="69">
        <f>IF($B65="","",IFERROR($B65*$X65/$B$3,""))</f>
        <v/>
      </c>
      <c r="Z65" s="73">
        <f>IF($B65="","",IFERROR($Y65/$Y$5,""))</f>
        <v/>
      </c>
    </row>
    <row r="66">
      <c r="B66" s="97" t="n"/>
      <c r="C66" s="8">
        <f>IF($A66="","",$A66&amp;" Equity")</f>
        <v/>
      </c>
      <c r="D66" s="8">
        <f>IF($C66="","",BDP($C66,"NAME"))</f>
        <v/>
      </c>
      <c r="E66" s="8">
        <f>IF($C66="","",BDP($C66,"GICS_SECTOR_NAME"))</f>
        <v/>
      </c>
      <c r="F66" s="37">
        <f>IF($C66="","",BDP($C66,FLD_CCY))</f>
        <v/>
      </c>
      <c r="G66" s="12">
        <f>IFERROR(IF(LEN($F66)&lt;&gt;3,1,IF($F66="HKD",1,BDP(IF($F66="CNY",RMB_CROSS,$F66)&amp;"HKD Curncy","PX_LAST"))),1)</f>
        <v/>
      </c>
      <c r="H66" s="69">
        <f>IF($C66="","",BDP($C66,FLD_DPS12M))</f>
        <v/>
      </c>
      <c r="I66" s="50">
        <f>IF($C66="","",BDP($C66,FLD_YLD12M))</f>
        <v/>
      </c>
      <c r="J66" s="52">
        <f>IF($B66="",0,SUMPRODUCT(('Dvd Calendar'!$E$660:$AR$660&gt;=DATE(YEAR_Y,1,1))*('Dvd Calendar'!$E$660:$AR$660&lt;=REALIZED_TO)*'Dvd Calendar'!$E$663:$AR$663*(('Dvd Calendar'!$E$665:$AR$665=TYPE1)*(TYPE1&lt;&gt;"")+('Dvd Calendar'!$E$665:$AR$665=TYPE2)*(TYPE2&lt;&gt;"")+('Dvd Calendar'!$E$665:$AR$665=TYPE3)*(TYPE3&lt;&gt;"")+('Dvd Calendar'!$E$665:$AR$665=TYPE4)*(TYPE4&lt;&gt;"")+('Dvd Calendar'!$E$665:$AR$665=SPECIAL_LBL)*(INC_SPECIALS="Y"))))</f>
        <v/>
      </c>
      <c r="K66" s="52">
        <f>IF($B66="",0,SUMIFS('Dvd Calendar'!$E$668:$AR$668,'Dvd Calendar'!$E$667:$AR$667,"&gt;"&amp;PROJ_FROM,'Dvd Calendar'!$E$667:$AR$667,"&lt;="&amp;DATE(YEAR_Y,12,31))+SUMPRODUCT(('Dvd Calendar'!$E$660:$AR$660&gt;PROJ_FROM)*('Dvd Calendar'!$E$660:$AR$660&lt;=DATE(YEAR_Y,12,31))*'Dvd Calendar'!$E$663:$AR$663*(('Dvd Calendar'!$E$665:$AR$665=TYPE1)*(TYPE1&lt;&gt;"")+('Dvd Calendar'!$E$665:$AR$665=TYPE2)*(TYPE2&lt;&gt;"")+('Dvd Calendar'!$E$665:$AR$665=TYPE3)*(TYPE3&lt;&gt;"")+('Dvd Calendar'!$E$665:$AR$665=TYPE4)*(TYPE4&lt;&gt;"")+('Dvd Calendar'!$E$665:$AR$665=SPECIAL_LBL)*(INC_SPECIALS="Y"))*(COUNTIF('Dvd Calendar'!$E$667:$AR$667,'Dvd Calendar'!$E$660:$AR$660)=0)))</f>
        <v/>
      </c>
      <c r="L66" s="52">
        <f>IF($B66="",0,IF((OV_SWITCH="ON")*(COUNTIFS(OVR_TICKERS,$C66,OVR_BASE,"&gt;=0")&gt;0)&gt;0,SUMIFS(OVR_BASE,OVR_TICKERS,$C66),$K66))</f>
        <v/>
      </c>
      <c r="M66" s="52">
        <f>IF($B66="",0,IF((OV_SWITCH="ON")*(COUNTIFS(OVR_TICKERS,$C66,OVR_LOW,"&gt;=0")&gt;0)&gt;0,SUMIFS(OVR_LOW,OVR_TICKERS,$C66),$L66))</f>
        <v/>
      </c>
      <c r="N66" s="52">
        <f>IF($B66="",0,IF((OV_SWITCH="ON")*(COUNTIFS(OVR_TICKERS,$C66,OVR_HIGH,"&gt;=0")&gt;0)&gt;0,SUMIFS(OVR_HIGH,OVR_TICKERS,$C66),$L66))</f>
        <v/>
      </c>
      <c r="O66" s="69">
        <f>IF($B66="","",IFERROR($B66*$G66*$J66/$B$3,""))</f>
        <v/>
      </c>
      <c r="P66" s="69">
        <f>IF($B66="","",IFERROR($B66*$G66*$L66/$B$3,""))</f>
        <v/>
      </c>
      <c r="Q66" s="44">
        <f>IF($B66="","",IFERROR($O66+$P66,""))</f>
        <v/>
      </c>
      <c r="R66" s="69">
        <f>IF($B66="","",IFERROR($O66+$B66*$G66*$M66/$B$3,""))</f>
        <v/>
      </c>
      <c r="S66" s="69">
        <f>IF($B66="","",IFERROR($O66+$B66*$G66*$N66/$B$3,""))</f>
        <v/>
      </c>
      <c r="T66" s="88">
        <f>IF($B66="","",IFERROR($Q66/$Q$5,""))</f>
        <v/>
      </c>
      <c r="U66" s="2">
        <f>IF($B66="","",IF(COUNTIFS('Dvd Calendar'!$E$666:$AR$666,"&gt;0",'Dvd Calendar'!$E$666:$AR$666,"&lt;="&amp;VAL_DATE,'Dvd Calendar'!$E$667:$AR$667,"&gt;"&amp;PROJ_FROM,'Dvd Calendar'!$E$667:$AR$667,"&lt;="&amp;DATE(YEAR_Y,12,31))-COUNTIFS('Dvd Calendar'!$E$666:$AR$666,"&gt;0",'Dvd Calendar'!$E$666:$AR$666,"&lt;="&amp;VAL_DATE,'Dvd Calendar'!$E$667:$AR$667,"&gt;"&amp;PROJ_FROM,'Dvd Calendar'!$E$667:$AR$667,"&lt;="&amp;DATE(YEAR_Y,12,31),'Dvd Calendar'!$E$668:$AR$668,"&gt;=0")&gt;0,"TBA amount - override me",IF((OV_SWITCH="ON")*(COUNTIFS(OVR_TICKERS,$C66,OVR_BASE,"&gt;=0")&gt;0)&gt;0,"overridden",IF($J66+$K66=0,"no dividend in year Y",""))))</f>
        <v/>
      </c>
      <c r="V66" s="69">
        <f>IF($B66="","",IFERROR(IF(ISNUMBER($H66),$B66*$G66*$H66/$B$3,0),""))</f>
        <v/>
      </c>
      <c r="W66" s="69">
        <f>IF($B66="","",IFERROR($B66*$G66*$K66/$B$3,""))</f>
        <v/>
      </c>
      <c r="X66" s="98">
        <f>IF($C66="","",BDP($C66,"PX_LAST"))</f>
        <v/>
      </c>
      <c r="Y66" s="69">
        <f>IF($B66="","",IFERROR($B66*$X66/$B$3,""))</f>
        <v/>
      </c>
      <c r="Z66" s="73">
        <f>IF($B66="","",IFERROR($Y66/$Y$5,""))</f>
        <v/>
      </c>
    </row>
    <row r="67">
      <c r="B67" s="97" t="n"/>
      <c r="C67" s="8">
        <f>IF($A67="","",$A67&amp;" Equity")</f>
        <v/>
      </c>
      <c r="D67" s="8">
        <f>IF($C67="","",BDP($C67,"NAME"))</f>
        <v/>
      </c>
      <c r="E67" s="8">
        <f>IF($C67="","",BDP($C67,"GICS_SECTOR_NAME"))</f>
        <v/>
      </c>
      <c r="F67" s="37">
        <f>IF($C67="","",BDP($C67,FLD_CCY))</f>
        <v/>
      </c>
      <c r="G67" s="12">
        <f>IFERROR(IF(LEN($F67)&lt;&gt;3,1,IF($F67="HKD",1,BDP(IF($F67="CNY",RMB_CROSS,$F67)&amp;"HKD Curncy","PX_LAST"))),1)</f>
        <v/>
      </c>
      <c r="H67" s="69">
        <f>IF($C67="","",BDP($C67,FLD_DPS12M))</f>
        <v/>
      </c>
      <c r="I67" s="50">
        <f>IF($C67="","",BDP($C67,FLD_YLD12M))</f>
        <v/>
      </c>
      <c r="J67" s="52">
        <f>IF($B67="",0,SUMPRODUCT(('Dvd Calendar'!$E$671:$AR$671&gt;=DATE(YEAR_Y,1,1))*('Dvd Calendar'!$E$671:$AR$671&lt;=REALIZED_TO)*'Dvd Calendar'!$E$674:$AR$674*(('Dvd Calendar'!$E$676:$AR$676=TYPE1)*(TYPE1&lt;&gt;"")+('Dvd Calendar'!$E$676:$AR$676=TYPE2)*(TYPE2&lt;&gt;"")+('Dvd Calendar'!$E$676:$AR$676=TYPE3)*(TYPE3&lt;&gt;"")+('Dvd Calendar'!$E$676:$AR$676=TYPE4)*(TYPE4&lt;&gt;"")+('Dvd Calendar'!$E$676:$AR$676=SPECIAL_LBL)*(INC_SPECIALS="Y"))))</f>
        <v/>
      </c>
      <c r="K67" s="52">
        <f>IF($B67="",0,SUMIFS('Dvd Calendar'!$E$679:$AR$679,'Dvd Calendar'!$E$678:$AR$678,"&gt;"&amp;PROJ_FROM,'Dvd Calendar'!$E$678:$AR$678,"&lt;="&amp;DATE(YEAR_Y,12,31))+SUMPRODUCT(('Dvd Calendar'!$E$671:$AR$671&gt;PROJ_FROM)*('Dvd Calendar'!$E$671:$AR$671&lt;=DATE(YEAR_Y,12,31))*'Dvd Calendar'!$E$674:$AR$674*(('Dvd Calendar'!$E$676:$AR$676=TYPE1)*(TYPE1&lt;&gt;"")+('Dvd Calendar'!$E$676:$AR$676=TYPE2)*(TYPE2&lt;&gt;"")+('Dvd Calendar'!$E$676:$AR$676=TYPE3)*(TYPE3&lt;&gt;"")+('Dvd Calendar'!$E$676:$AR$676=TYPE4)*(TYPE4&lt;&gt;"")+('Dvd Calendar'!$E$676:$AR$676=SPECIAL_LBL)*(INC_SPECIALS="Y"))*(COUNTIF('Dvd Calendar'!$E$678:$AR$678,'Dvd Calendar'!$E$671:$AR$671)=0)))</f>
        <v/>
      </c>
      <c r="L67" s="52">
        <f>IF($B67="",0,IF((OV_SWITCH="ON")*(COUNTIFS(OVR_TICKERS,$C67,OVR_BASE,"&gt;=0")&gt;0)&gt;0,SUMIFS(OVR_BASE,OVR_TICKERS,$C67),$K67))</f>
        <v/>
      </c>
      <c r="M67" s="52">
        <f>IF($B67="",0,IF((OV_SWITCH="ON")*(COUNTIFS(OVR_TICKERS,$C67,OVR_LOW,"&gt;=0")&gt;0)&gt;0,SUMIFS(OVR_LOW,OVR_TICKERS,$C67),$L67))</f>
        <v/>
      </c>
      <c r="N67" s="52">
        <f>IF($B67="",0,IF((OV_SWITCH="ON")*(COUNTIFS(OVR_TICKERS,$C67,OVR_HIGH,"&gt;=0")&gt;0)&gt;0,SUMIFS(OVR_HIGH,OVR_TICKERS,$C67),$L67))</f>
        <v/>
      </c>
      <c r="O67" s="69">
        <f>IF($B67="","",IFERROR($B67*$G67*$J67/$B$3,""))</f>
        <v/>
      </c>
      <c r="P67" s="69">
        <f>IF($B67="","",IFERROR($B67*$G67*$L67/$B$3,""))</f>
        <v/>
      </c>
      <c r="Q67" s="44">
        <f>IF($B67="","",IFERROR($O67+$P67,""))</f>
        <v/>
      </c>
      <c r="R67" s="69">
        <f>IF($B67="","",IFERROR($O67+$B67*$G67*$M67/$B$3,""))</f>
        <v/>
      </c>
      <c r="S67" s="69">
        <f>IF($B67="","",IFERROR($O67+$B67*$G67*$N67/$B$3,""))</f>
        <v/>
      </c>
      <c r="T67" s="88">
        <f>IF($B67="","",IFERROR($Q67/$Q$5,""))</f>
        <v/>
      </c>
      <c r="U67" s="2">
        <f>IF($B67="","",IF(COUNTIFS('Dvd Calendar'!$E$677:$AR$677,"&gt;0",'Dvd Calendar'!$E$677:$AR$677,"&lt;="&amp;VAL_DATE,'Dvd Calendar'!$E$678:$AR$678,"&gt;"&amp;PROJ_FROM,'Dvd Calendar'!$E$678:$AR$678,"&lt;="&amp;DATE(YEAR_Y,12,31))-COUNTIFS('Dvd Calendar'!$E$677:$AR$677,"&gt;0",'Dvd Calendar'!$E$677:$AR$677,"&lt;="&amp;VAL_DATE,'Dvd Calendar'!$E$678:$AR$678,"&gt;"&amp;PROJ_FROM,'Dvd Calendar'!$E$678:$AR$678,"&lt;="&amp;DATE(YEAR_Y,12,31),'Dvd Calendar'!$E$679:$AR$679,"&gt;=0")&gt;0,"TBA amount - override me",IF((OV_SWITCH="ON")*(COUNTIFS(OVR_TICKERS,$C67,OVR_BASE,"&gt;=0")&gt;0)&gt;0,"overridden",IF($J67+$K67=0,"no dividend in year Y",""))))</f>
        <v/>
      </c>
      <c r="V67" s="69">
        <f>IF($B67="","",IFERROR(IF(ISNUMBER($H67),$B67*$G67*$H67/$B$3,0),""))</f>
        <v/>
      </c>
      <c r="W67" s="69">
        <f>IF($B67="","",IFERROR($B67*$G67*$K67/$B$3,""))</f>
        <v/>
      </c>
      <c r="X67" s="98">
        <f>IF($C67="","",BDP($C67,"PX_LAST"))</f>
        <v/>
      </c>
      <c r="Y67" s="69">
        <f>IF($B67="","",IFERROR($B67*$X67/$B$3,""))</f>
        <v/>
      </c>
      <c r="Z67" s="73">
        <f>IF($B67="","",IFERROR($Y67/$Y$5,""))</f>
        <v/>
      </c>
    </row>
    <row r="68">
      <c r="B68" s="97" t="n"/>
      <c r="C68" s="8">
        <f>IF($A68="","",$A68&amp;" Equity")</f>
        <v/>
      </c>
      <c r="D68" s="8">
        <f>IF($C68="","",BDP($C68,"NAME"))</f>
        <v/>
      </c>
      <c r="E68" s="8">
        <f>IF($C68="","",BDP($C68,"GICS_SECTOR_NAME"))</f>
        <v/>
      </c>
      <c r="F68" s="37">
        <f>IF($C68="","",BDP($C68,FLD_CCY))</f>
        <v/>
      </c>
      <c r="G68" s="12">
        <f>IFERROR(IF(LEN($F68)&lt;&gt;3,1,IF($F68="HKD",1,BDP(IF($F68="CNY",RMB_CROSS,$F68)&amp;"HKD Curncy","PX_LAST"))),1)</f>
        <v/>
      </c>
      <c r="H68" s="69">
        <f>IF($C68="","",BDP($C68,FLD_DPS12M))</f>
        <v/>
      </c>
      <c r="I68" s="50">
        <f>IF($C68="","",BDP($C68,FLD_YLD12M))</f>
        <v/>
      </c>
      <c r="J68" s="52">
        <f>IF($B68="",0,SUMPRODUCT(('Dvd Calendar'!$E$682:$AR$682&gt;=DATE(YEAR_Y,1,1))*('Dvd Calendar'!$E$682:$AR$682&lt;=REALIZED_TO)*'Dvd Calendar'!$E$685:$AR$685*(('Dvd Calendar'!$E$687:$AR$687=TYPE1)*(TYPE1&lt;&gt;"")+('Dvd Calendar'!$E$687:$AR$687=TYPE2)*(TYPE2&lt;&gt;"")+('Dvd Calendar'!$E$687:$AR$687=TYPE3)*(TYPE3&lt;&gt;"")+('Dvd Calendar'!$E$687:$AR$687=TYPE4)*(TYPE4&lt;&gt;"")+('Dvd Calendar'!$E$687:$AR$687=SPECIAL_LBL)*(INC_SPECIALS="Y"))))</f>
        <v/>
      </c>
      <c r="K68" s="52">
        <f>IF($B68="",0,SUMIFS('Dvd Calendar'!$E$690:$AR$690,'Dvd Calendar'!$E$689:$AR$689,"&gt;"&amp;PROJ_FROM,'Dvd Calendar'!$E$689:$AR$689,"&lt;="&amp;DATE(YEAR_Y,12,31))+SUMPRODUCT(('Dvd Calendar'!$E$682:$AR$682&gt;PROJ_FROM)*('Dvd Calendar'!$E$682:$AR$682&lt;=DATE(YEAR_Y,12,31))*'Dvd Calendar'!$E$685:$AR$685*(('Dvd Calendar'!$E$687:$AR$687=TYPE1)*(TYPE1&lt;&gt;"")+('Dvd Calendar'!$E$687:$AR$687=TYPE2)*(TYPE2&lt;&gt;"")+('Dvd Calendar'!$E$687:$AR$687=TYPE3)*(TYPE3&lt;&gt;"")+('Dvd Calendar'!$E$687:$AR$687=TYPE4)*(TYPE4&lt;&gt;"")+('Dvd Calendar'!$E$687:$AR$687=SPECIAL_LBL)*(INC_SPECIALS="Y"))*(COUNTIF('Dvd Calendar'!$E$689:$AR$689,'Dvd Calendar'!$E$682:$AR$682)=0)))</f>
        <v/>
      </c>
      <c r="L68" s="52">
        <f>IF($B68="",0,IF((OV_SWITCH="ON")*(COUNTIFS(OVR_TICKERS,$C68,OVR_BASE,"&gt;=0")&gt;0)&gt;0,SUMIFS(OVR_BASE,OVR_TICKERS,$C68),$K68))</f>
        <v/>
      </c>
      <c r="M68" s="52">
        <f>IF($B68="",0,IF((OV_SWITCH="ON")*(COUNTIFS(OVR_TICKERS,$C68,OVR_LOW,"&gt;=0")&gt;0)&gt;0,SUMIFS(OVR_LOW,OVR_TICKERS,$C68),$L68))</f>
        <v/>
      </c>
      <c r="N68" s="52">
        <f>IF($B68="",0,IF((OV_SWITCH="ON")*(COUNTIFS(OVR_TICKERS,$C68,OVR_HIGH,"&gt;=0")&gt;0)&gt;0,SUMIFS(OVR_HIGH,OVR_TICKERS,$C68),$L68))</f>
        <v/>
      </c>
      <c r="O68" s="69">
        <f>IF($B68="","",IFERROR($B68*$G68*$J68/$B$3,""))</f>
        <v/>
      </c>
      <c r="P68" s="69">
        <f>IF($B68="","",IFERROR($B68*$G68*$L68/$B$3,""))</f>
        <v/>
      </c>
      <c r="Q68" s="44">
        <f>IF($B68="","",IFERROR($O68+$P68,""))</f>
        <v/>
      </c>
      <c r="R68" s="69">
        <f>IF($B68="","",IFERROR($O68+$B68*$G68*$M68/$B$3,""))</f>
        <v/>
      </c>
      <c r="S68" s="69">
        <f>IF($B68="","",IFERROR($O68+$B68*$G68*$N68/$B$3,""))</f>
        <v/>
      </c>
      <c r="T68" s="88">
        <f>IF($B68="","",IFERROR($Q68/$Q$5,""))</f>
        <v/>
      </c>
      <c r="U68" s="2">
        <f>IF($B68="","",IF(COUNTIFS('Dvd Calendar'!$E$688:$AR$688,"&gt;0",'Dvd Calendar'!$E$688:$AR$688,"&lt;="&amp;VAL_DATE,'Dvd Calendar'!$E$689:$AR$689,"&gt;"&amp;PROJ_FROM,'Dvd Calendar'!$E$689:$AR$689,"&lt;="&amp;DATE(YEAR_Y,12,31))-COUNTIFS('Dvd Calendar'!$E$688:$AR$688,"&gt;0",'Dvd Calendar'!$E$688:$AR$688,"&lt;="&amp;VAL_DATE,'Dvd Calendar'!$E$689:$AR$689,"&gt;"&amp;PROJ_FROM,'Dvd Calendar'!$E$689:$AR$689,"&lt;="&amp;DATE(YEAR_Y,12,31),'Dvd Calendar'!$E$690:$AR$690,"&gt;=0")&gt;0,"TBA amount - override me",IF((OV_SWITCH="ON")*(COUNTIFS(OVR_TICKERS,$C68,OVR_BASE,"&gt;=0")&gt;0)&gt;0,"overridden",IF($J68+$K68=0,"no dividend in year Y",""))))</f>
        <v/>
      </c>
      <c r="V68" s="69">
        <f>IF($B68="","",IFERROR(IF(ISNUMBER($H68),$B68*$G68*$H68/$B$3,0),""))</f>
        <v/>
      </c>
      <c r="W68" s="69">
        <f>IF($B68="","",IFERROR($B68*$G68*$K68/$B$3,""))</f>
        <v/>
      </c>
      <c r="X68" s="98">
        <f>IF($C68="","",BDP($C68,"PX_LAST"))</f>
        <v/>
      </c>
      <c r="Y68" s="69">
        <f>IF($B68="","",IFERROR($B68*$X68/$B$3,""))</f>
        <v/>
      </c>
      <c r="Z68" s="73">
        <f>IF($B68="","",IFERROR($Y68/$Y$5,""))</f>
        <v/>
      </c>
    </row>
    <row r="69">
      <c r="B69" s="97" t="n"/>
      <c r="C69" s="8">
        <f>IF($A69="","",$A69&amp;" Equity")</f>
        <v/>
      </c>
      <c r="D69" s="8">
        <f>IF($C69="","",BDP($C69,"NAME"))</f>
        <v/>
      </c>
      <c r="E69" s="8">
        <f>IF($C69="","",BDP($C69,"GICS_SECTOR_NAME"))</f>
        <v/>
      </c>
      <c r="F69" s="37">
        <f>IF($C69="","",BDP($C69,FLD_CCY))</f>
        <v/>
      </c>
      <c r="G69" s="12">
        <f>IFERROR(IF(LEN($F69)&lt;&gt;3,1,IF($F69="HKD",1,BDP(IF($F69="CNY",RMB_CROSS,$F69)&amp;"HKD Curncy","PX_LAST"))),1)</f>
        <v/>
      </c>
      <c r="H69" s="69">
        <f>IF($C69="","",BDP($C69,FLD_DPS12M))</f>
        <v/>
      </c>
      <c r="I69" s="50">
        <f>IF($C69="","",BDP($C69,FLD_YLD12M))</f>
        <v/>
      </c>
      <c r="J69" s="52">
        <f>IF($B69="",0,SUMPRODUCT(('Dvd Calendar'!$E$693:$AR$693&gt;=DATE(YEAR_Y,1,1))*('Dvd Calendar'!$E$693:$AR$693&lt;=REALIZED_TO)*'Dvd Calendar'!$E$696:$AR$696*(('Dvd Calendar'!$E$698:$AR$698=TYPE1)*(TYPE1&lt;&gt;"")+('Dvd Calendar'!$E$698:$AR$698=TYPE2)*(TYPE2&lt;&gt;"")+('Dvd Calendar'!$E$698:$AR$698=TYPE3)*(TYPE3&lt;&gt;"")+('Dvd Calendar'!$E$698:$AR$698=TYPE4)*(TYPE4&lt;&gt;"")+('Dvd Calendar'!$E$698:$AR$698=SPECIAL_LBL)*(INC_SPECIALS="Y"))))</f>
        <v/>
      </c>
      <c r="K69" s="52">
        <f>IF($B69="",0,SUMIFS('Dvd Calendar'!$E$701:$AR$701,'Dvd Calendar'!$E$700:$AR$700,"&gt;"&amp;PROJ_FROM,'Dvd Calendar'!$E$700:$AR$700,"&lt;="&amp;DATE(YEAR_Y,12,31))+SUMPRODUCT(('Dvd Calendar'!$E$693:$AR$693&gt;PROJ_FROM)*('Dvd Calendar'!$E$693:$AR$693&lt;=DATE(YEAR_Y,12,31))*'Dvd Calendar'!$E$696:$AR$696*(('Dvd Calendar'!$E$698:$AR$698=TYPE1)*(TYPE1&lt;&gt;"")+('Dvd Calendar'!$E$698:$AR$698=TYPE2)*(TYPE2&lt;&gt;"")+('Dvd Calendar'!$E$698:$AR$698=TYPE3)*(TYPE3&lt;&gt;"")+('Dvd Calendar'!$E$698:$AR$698=TYPE4)*(TYPE4&lt;&gt;"")+('Dvd Calendar'!$E$698:$AR$698=SPECIAL_LBL)*(INC_SPECIALS="Y"))*(COUNTIF('Dvd Calendar'!$E$700:$AR$700,'Dvd Calendar'!$E$693:$AR$693)=0)))</f>
        <v/>
      </c>
      <c r="L69" s="52">
        <f>IF($B69="",0,IF((OV_SWITCH="ON")*(COUNTIFS(OVR_TICKERS,$C69,OVR_BASE,"&gt;=0")&gt;0)&gt;0,SUMIFS(OVR_BASE,OVR_TICKERS,$C69),$K69))</f>
        <v/>
      </c>
      <c r="M69" s="52">
        <f>IF($B69="",0,IF((OV_SWITCH="ON")*(COUNTIFS(OVR_TICKERS,$C69,OVR_LOW,"&gt;=0")&gt;0)&gt;0,SUMIFS(OVR_LOW,OVR_TICKERS,$C69),$L69))</f>
        <v/>
      </c>
      <c r="N69" s="52">
        <f>IF($B69="",0,IF((OV_SWITCH="ON")*(COUNTIFS(OVR_TICKERS,$C69,OVR_HIGH,"&gt;=0")&gt;0)&gt;0,SUMIFS(OVR_HIGH,OVR_TICKERS,$C69),$L69))</f>
        <v/>
      </c>
      <c r="O69" s="69">
        <f>IF($B69="","",IFERROR($B69*$G69*$J69/$B$3,""))</f>
        <v/>
      </c>
      <c r="P69" s="69">
        <f>IF($B69="","",IFERROR($B69*$G69*$L69/$B$3,""))</f>
        <v/>
      </c>
      <c r="Q69" s="44">
        <f>IF($B69="","",IFERROR($O69+$P69,""))</f>
        <v/>
      </c>
      <c r="R69" s="69">
        <f>IF($B69="","",IFERROR($O69+$B69*$G69*$M69/$B$3,""))</f>
        <v/>
      </c>
      <c r="S69" s="69">
        <f>IF($B69="","",IFERROR($O69+$B69*$G69*$N69/$B$3,""))</f>
        <v/>
      </c>
      <c r="T69" s="88">
        <f>IF($B69="","",IFERROR($Q69/$Q$5,""))</f>
        <v/>
      </c>
      <c r="U69" s="2">
        <f>IF($B69="","",IF(COUNTIFS('Dvd Calendar'!$E$699:$AR$699,"&gt;0",'Dvd Calendar'!$E$699:$AR$699,"&lt;="&amp;VAL_DATE,'Dvd Calendar'!$E$700:$AR$700,"&gt;"&amp;PROJ_FROM,'Dvd Calendar'!$E$700:$AR$700,"&lt;="&amp;DATE(YEAR_Y,12,31))-COUNTIFS('Dvd Calendar'!$E$699:$AR$699,"&gt;0",'Dvd Calendar'!$E$699:$AR$699,"&lt;="&amp;VAL_DATE,'Dvd Calendar'!$E$700:$AR$700,"&gt;"&amp;PROJ_FROM,'Dvd Calendar'!$E$700:$AR$700,"&lt;="&amp;DATE(YEAR_Y,12,31),'Dvd Calendar'!$E$701:$AR$701,"&gt;=0")&gt;0,"TBA amount - override me",IF((OV_SWITCH="ON")*(COUNTIFS(OVR_TICKERS,$C69,OVR_BASE,"&gt;=0")&gt;0)&gt;0,"overridden",IF($J69+$K69=0,"no dividend in year Y",""))))</f>
        <v/>
      </c>
      <c r="V69" s="69">
        <f>IF($B69="","",IFERROR(IF(ISNUMBER($H69),$B69*$G69*$H69/$B$3,0),""))</f>
        <v/>
      </c>
      <c r="W69" s="69">
        <f>IF($B69="","",IFERROR($B69*$G69*$K69/$B$3,""))</f>
        <v/>
      </c>
      <c r="X69" s="98">
        <f>IF($C69="","",BDP($C69,"PX_LAST"))</f>
        <v/>
      </c>
      <c r="Y69" s="69">
        <f>IF($B69="","",IFERROR($B69*$X69/$B$3,""))</f>
        <v/>
      </c>
      <c r="Z69" s="73">
        <f>IF($B69="","",IFERROR($Y69/$Y$5,""))</f>
        <v/>
      </c>
    </row>
    <row r="70">
      <c r="B70" s="97" t="n"/>
      <c r="C70" s="8">
        <f>IF($A70="","",$A70&amp;" Equity")</f>
        <v/>
      </c>
      <c r="D70" s="8">
        <f>IF($C70="","",BDP($C70,"NAME"))</f>
        <v/>
      </c>
      <c r="E70" s="8">
        <f>IF($C70="","",BDP($C70,"GICS_SECTOR_NAME"))</f>
        <v/>
      </c>
      <c r="F70" s="37">
        <f>IF($C70="","",BDP($C70,FLD_CCY))</f>
        <v/>
      </c>
      <c r="G70" s="12">
        <f>IFERROR(IF(LEN($F70)&lt;&gt;3,1,IF($F70="HKD",1,BDP(IF($F70="CNY",RMB_CROSS,$F70)&amp;"HKD Curncy","PX_LAST"))),1)</f>
        <v/>
      </c>
      <c r="H70" s="69">
        <f>IF($C70="","",BDP($C70,FLD_DPS12M))</f>
        <v/>
      </c>
      <c r="I70" s="50">
        <f>IF($C70="","",BDP($C70,FLD_YLD12M))</f>
        <v/>
      </c>
      <c r="J70" s="52">
        <f>IF($B70="",0,SUMPRODUCT(('Dvd Calendar'!$E$704:$AR$704&gt;=DATE(YEAR_Y,1,1))*('Dvd Calendar'!$E$704:$AR$704&lt;=REALIZED_TO)*'Dvd Calendar'!$E$707:$AR$707*(('Dvd Calendar'!$E$709:$AR$709=TYPE1)*(TYPE1&lt;&gt;"")+('Dvd Calendar'!$E$709:$AR$709=TYPE2)*(TYPE2&lt;&gt;"")+('Dvd Calendar'!$E$709:$AR$709=TYPE3)*(TYPE3&lt;&gt;"")+('Dvd Calendar'!$E$709:$AR$709=TYPE4)*(TYPE4&lt;&gt;"")+('Dvd Calendar'!$E$709:$AR$709=SPECIAL_LBL)*(INC_SPECIALS="Y"))))</f>
        <v/>
      </c>
      <c r="K70" s="52">
        <f>IF($B70="",0,SUMIFS('Dvd Calendar'!$E$712:$AR$712,'Dvd Calendar'!$E$711:$AR$711,"&gt;"&amp;PROJ_FROM,'Dvd Calendar'!$E$711:$AR$711,"&lt;="&amp;DATE(YEAR_Y,12,31))+SUMPRODUCT(('Dvd Calendar'!$E$704:$AR$704&gt;PROJ_FROM)*('Dvd Calendar'!$E$704:$AR$704&lt;=DATE(YEAR_Y,12,31))*'Dvd Calendar'!$E$707:$AR$707*(('Dvd Calendar'!$E$709:$AR$709=TYPE1)*(TYPE1&lt;&gt;"")+('Dvd Calendar'!$E$709:$AR$709=TYPE2)*(TYPE2&lt;&gt;"")+('Dvd Calendar'!$E$709:$AR$709=TYPE3)*(TYPE3&lt;&gt;"")+('Dvd Calendar'!$E$709:$AR$709=TYPE4)*(TYPE4&lt;&gt;"")+('Dvd Calendar'!$E$709:$AR$709=SPECIAL_LBL)*(INC_SPECIALS="Y"))*(COUNTIF('Dvd Calendar'!$E$711:$AR$711,'Dvd Calendar'!$E$704:$AR$704)=0)))</f>
        <v/>
      </c>
      <c r="L70" s="52">
        <f>IF($B70="",0,IF((OV_SWITCH="ON")*(COUNTIFS(OVR_TICKERS,$C70,OVR_BASE,"&gt;=0")&gt;0)&gt;0,SUMIFS(OVR_BASE,OVR_TICKERS,$C70),$K70))</f>
        <v/>
      </c>
      <c r="M70" s="52">
        <f>IF($B70="",0,IF((OV_SWITCH="ON")*(COUNTIFS(OVR_TICKERS,$C70,OVR_LOW,"&gt;=0")&gt;0)&gt;0,SUMIFS(OVR_LOW,OVR_TICKERS,$C70),$L70))</f>
        <v/>
      </c>
      <c r="N70" s="52">
        <f>IF($B70="",0,IF((OV_SWITCH="ON")*(COUNTIFS(OVR_TICKERS,$C70,OVR_HIGH,"&gt;=0")&gt;0)&gt;0,SUMIFS(OVR_HIGH,OVR_TICKERS,$C70),$L70))</f>
        <v/>
      </c>
      <c r="O70" s="69">
        <f>IF($B70="","",IFERROR($B70*$G70*$J70/$B$3,""))</f>
        <v/>
      </c>
      <c r="P70" s="69">
        <f>IF($B70="","",IFERROR($B70*$G70*$L70/$B$3,""))</f>
        <v/>
      </c>
      <c r="Q70" s="44">
        <f>IF($B70="","",IFERROR($O70+$P70,""))</f>
        <v/>
      </c>
      <c r="R70" s="69">
        <f>IF($B70="","",IFERROR($O70+$B70*$G70*$M70/$B$3,""))</f>
        <v/>
      </c>
      <c r="S70" s="69">
        <f>IF($B70="","",IFERROR($O70+$B70*$G70*$N70/$B$3,""))</f>
        <v/>
      </c>
      <c r="T70" s="88">
        <f>IF($B70="","",IFERROR($Q70/$Q$5,""))</f>
        <v/>
      </c>
      <c r="U70" s="2">
        <f>IF($B70="","",IF(COUNTIFS('Dvd Calendar'!$E$710:$AR$710,"&gt;0",'Dvd Calendar'!$E$710:$AR$710,"&lt;="&amp;VAL_DATE,'Dvd Calendar'!$E$711:$AR$711,"&gt;"&amp;PROJ_FROM,'Dvd Calendar'!$E$711:$AR$711,"&lt;="&amp;DATE(YEAR_Y,12,31))-COUNTIFS('Dvd Calendar'!$E$710:$AR$710,"&gt;0",'Dvd Calendar'!$E$710:$AR$710,"&lt;="&amp;VAL_DATE,'Dvd Calendar'!$E$711:$AR$711,"&gt;"&amp;PROJ_FROM,'Dvd Calendar'!$E$711:$AR$711,"&lt;="&amp;DATE(YEAR_Y,12,31),'Dvd Calendar'!$E$712:$AR$712,"&gt;=0")&gt;0,"TBA amount - override me",IF((OV_SWITCH="ON")*(COUNTIFS(OVR_TICKERS,$C70,OVR_BASE,"&gt;=0")&gt;0)&gt;0,"overridden",IF($J70+$K70=0,"no dividend in year Y",""))))</f>
        <v/>
      </c>
      <c r="V70" s="69">
        <f>IF($B70="","",IFERROR(IF(ISNUMBER($H70),$B70*$G70*$H70/$B$3,0),""))</f>
        <v/>
      </c>
      <c r="W70" s="69">
        <f>IF($B70="","",IFERROR($B70*$G70*$K70/$B$3,""))</f>
        <v/>
      </c>
      <c r="X70" s="98">
        <f>IF($C70="","",BDP($C70,"PX_LAST"))</f>
        <v/>
      </c>
      <c r="Y70" s="69">
        <f>IF($B70="","",IFERROR($B70*$X70/$B$3,""))</f>
        <v/>
      </c>
      <c r="Z70" s="73">
        <f>IF($B70="","",IFERROR($Y70/$Y$5,""))</f>
        <v/>
      </c>
    </row>
    <row r="71">
      <c r="B71" s="97" t="n"/>
      <c r="C71" s="8">
        <f>IF($A71="","",$A71&amp;" Equity")</f>
        <v/>
      </c>
      <c r="D71" s="8">
        <f>IF($C71="","",BDP($C71,"NAME"))</f>
        <v/>
      </c>
      <c r="E71" s="8">
        <f>IF($C71="","",BDP($C71,"GICS_SECTOR_NAME"))</f>
        <v/>
      </c>
      <c r="F71" s="37">
        <f>IF($C71="","",BDP($C71,FLD_CCY))</f>
        <v/>
      </c>
      <c r="G71" s="12">
        <f>IFERROR(IF(LEN($F71)&lt;&gt;3,1,IF($F71="HKD",1,BDP(IF($F71="CNY",RMB_CROSS,$F71)&amp;"HKD Curncy","PX_LAST"))),1)</f>
        <v/>
      </c>
      <c r="H71" s="69">
        <f>IF($C71="","",BDP($C71,FLD_DPS12M))</f>
        <v/>
      </c>
      <c r="I71" s="50">
        <f>IF($C71="","",BDP($C71,FLD_YLD12M))</f>
        <v/>
      </c>
      <c r="J71" s="52">
        <f>IF($B71="",0,SUMPRODUCT(('Dvd Calendar'!$E$715:$AR$715&gt;=DATE(YEAR_Y,1,1))*('Dvd Calendar'!$E$715:$AR$715&lt;=REALIZED_TO)*'Dvd Calendar'!$E$718:$AR$718*(('Dvd Calendar'!$E$720:$AR$720=TYPE1)*(TYPE1&lt;&gt;"")+('Dvd Calendar'!$E$720:$AR$720=TYPE2)*(TYPE2&lt;&gt;"")+('Dvd Calendar'!$E$720:$AR$720=TYPE3)*(TYPE3&lt;&gt;"")+('Dvd Calendar'!$E$720:$AR$720=TYPE4)*(TYPE4&lt;&gt;"")+('Dvd Calendar'!$E$720:$AR$720=SPECIAL_LBL)*(INC_SPECIALS="Y"))))</f>
        <v/>
      </c>
      <c r="K71" s="52">
        <f>IF($B71="",0,SUMIFS('Dvd Calendar'!$E$723:$AR$723,'Dvd Calendar'!$E$722:$AR$722,"&gt;"&amp;PROJ_FROM,'Dvd Calendar'!$E$722:$AR$722,"&lt;="&amp;DATE(YEAR_Y,12,31))+SUMPRODUCT(('Dvd Calendar'!$E$715:$AR$715&gt;PROJ_FROM)*('Dvd Calendar'!$E$715:$AR$715&lt;=DATE(YEAR_Y,12,31))*'Dvd Calendar'!$E$718:$AR$718*(('Dvd Calendar'!$E$720:$AR$720=TYPE1)*(TYPE1&lt;&gt;"")+('Dvd Calendar'!$E$720:$AR$720=TYPE2)*(TYPE2&lt;&gt;"")+('Dvd Calendar'!$E$720:$AR$720=TYPE3)*(TYPE3&lt;&gt;"")+('Dvd Calendar'!$E$720:$AR$720=TYPE4)*(TYPE4&lt;&gt;"")+('Dvd Calendar'!$E$720:$AR$720=SPECIAL_LBL)*(INC_SPECIALS="Y"))*(COUNTIF('Dvd Calendar'!$E$722:$AR$722,'Dvd Calendar'!$E$715:$AR$715)=0)))</f>
        <v/>
      </c>
      <c r="L71" s="52">
        <f>IF($B71="",0,IF((OV_SWITCH="ON")*(COUNTIFS(OVR_TICKERS,$C71,OVR_BASE,"&gt;=0")&gt;0)&gt;0,SUMIFS(OVR_BASE,OVR_TICKERS,$C71),$K71))</f>
        <v/>
      </c>
      <c r="M71" s="52">
        <f>IF($B71="",0,IF((OV_SWITCH="ON")*(COUNTIFS(OVR_TICKERS,$C71,OVR_LOW,"&gt;=0")&gt;0)&gt;0,SUMIFS(OVR_LOW,OVR_TICKERS,$C71),$L71))</f>
        <v/>
      </c>
      <c r="N71" s="52">
        <f>IF($B71="",0,IF((OV_SWITCH="ON")*(COUNTIFS(OVR_TICKERS,$C71,OVR_HIGH,"&gt;=0")&gt;0)&gt;0,SUMIFS(OVR_HIGH,OVR_TICKERS,$C71),$L71))</f>
        <v/>
      </c>
      <c r="O71" s="69">
        <f>IF($B71="","",IFERROR($B71*$G71*$J71/$B$3,""))</f>
        <v/>
      </c>
      <c r="P71" s="69">
        <f>IF($B71="","",IFERROR($B71*$G71*$L71/$B$3,""))</f>
        <v/>
      </c>
      <c r="Q71" s="44">
        <f>IF($B71="","",IFERROR($O71+$P71,""))</f>
        <v/>
      </c>
      <c r="R71" s="69">
        <f>IF($B71="","",IFERROR($O71+$B71*$G71*$M71/$B$3,""))</f>
        <v/>
      </c>
      <c r="S71" s="69">
        <f>IF($B71="","",IFERROR($O71+$B71*$G71*$N71/$B$3,""))</f>
        <v/>
      </c>
      <c r="T71" s="88">
        <f>IF($B71="","",IFERROR($Q71/$Q$5,""))</f>
        <v/>
      </c>
      <c r="U71" s="2">
        <f>IF($B71="","",IF(COUNTIFS('Dvd Calendar'!$E$721:$AR$721,"&gt;0",'Dvd Calendar'!$E$721:$AR$721,"&lt;="&amp;VAL_DATE,'Dvd Calendar'!$E$722:$AR$722,"&gt;"&amp;PROJ_FROM,'Dvd Calendar'!$E$722:$AR$722,"&lt;="&amp;DATE(YEAR_Y,12,31))-COUNTIFS('Dvd Calendar'!$E$721:$AR$721,"&gt;0",'Dvd Calendar'!$E$721:$AR$721,"&lt;="&amp;VAL_DATE,'Dvd Calendar'!$E$722:$AR$722,"&gt;"&amp;PROJ_FROM,'Dvd Calendar'!$E$722:$AR$722,"&lt;="&amp;DATE(YEAR_Y,12,31),'Dvd Calendar'!$E$723:$AR$723,"&gt;=0")&gt;0,"TBA amount - override me",IF((OV_SWITCH="ON")*(COUNTIFS(OVR_TICKERS,$C71,OVR_BASE,"&gt;=0")&gt;0)&gt;0,"overridden",IF($J71+$K71=0,"no dividend in year Y",""))))</f>
        <v/>
      </c>
      <c r="V71" s="69">
        <f>IF($B71="","",IFERROR(IF(ISNUMBER($H71),$B71*$G71*$H71/$B$3,0),""))</f>
        <v/>
      </c>
      <c r="W71" s="69">
        <f>IF($B71="","",IFERROR($B71*$G71*$K71/$B$3,""))</f>
        <v/>
      </c>
      <c r="X71" s="98">
        <f>IF($C71="","",BDP($C71,"PX_LAST"))</f>
        <v/>
      </c>
      <c r="Y71" s="69">
        <f>IF($B71="","",IFERROR($B71*$X71/$B$3,""))</f>
        <v/>
      </c>
      <c r="Z71" s="73">
        <f>IF($B71="","",IFERROR($Y71/$Y$5,""))</f>
        <v/>
      </c>
    </row>
    <row r="72">
      <c r="B72" s="97" t="n"/>
      <c r="C72" s="8">
        <f>IF($A72="","",$A72&amp;" Equity")</f>
        <v/>
      </c>
      <c r="D72" s="8">
        <f>IF($C72="","",BDP($C72,"NAME"))</f>
        <v/>
      </c>
      <c r="E72" s="8">
        <f>IF($C72="","",BDP($C72,"GICS_SECTOR_NAME"))</f>
        <v/>
      </c>
      <c r="F72" s="37">
        <f>IF($C72="","",BDP($C72,FLD_CCY))</f>
        <v/>
      </c>
      <c r="G72" s="12">
        <f>IFERROR(IF(LEN($F72)&lt;&gt;3,1,IF($F72="HKD",1,BDP(IF($F72="CNY",RMB_CROSS,$F72)&amp;"HKD Curncy","PX_LAST"))),1)</f>
        <v/>
      </c>
      <c r="H72" s="69">
        <f>IF($C72="","",BDP($C72,FLD_DPS12M))</f>
        <v/>
      </c>
      <c r="I72" s="50">
        <f>IF($C72="","",BDP($C72,FLD_YLD12M))</f>
        <v/>
      </c>
      <c r="J72" s="52">
        <f>IF($B72="",0,SUMPRODUCT(('Dvd Calendar'!$E$726:$AR$726&gt;=DATE(YEAR_Y,1,1))*('Dvd Calendar'!$E$726:$AR$726&lt;=REALIZED_TO)*'Dvd Calendar'!$E$729:$AR$729*(('Dvd Calendar'!$E$731:$AR$731=TYPE1)*(TYPE1&lt;&gt;"")+('Dvd Calendar'!$E$731:$AR$731=TYPE2)*(TYPE2&lt;&gt;"")+('Dvd Calendar'!$E$731:$AR$731=TYPE3)*(TYPE3&lt;&gt;"")+('Dvd Calendar'!$E$731:$AR$731=TYPE4)*(TYPE4&lt;&gt;"")+('Dvd Calendar'!$E$731:$AR$731=SPECIAL_LBL)*(INC_SPECIALS="Y"))))</f>
        <v/>
      </c>
      <c r="K72" s="52">
        <f>IF($B72="",0,SUMIFS('Dvd Calendar'!$E$734:$AR$734,'Dvd Calendar'!$E$733:$AR$733,"&gt;"&amp;PROJ_FROM,'Dvd Calendar'!$E$733:$AR$733,"&lt;="&amp;DATE(YEAR_Y,12,31))+SUMPRODUCT(('Dvd Calendar'!$E$726:$AR$726&gt;PROJ_FROM)*('Dvd Calendar'!$E$726:$AR$726&lt;=DATE(YEAR_Y,12,31))*'Dvd Calendar'!$E$729:$AR$729*(('Dvd Calendar'!$E$731:$AR$731=TYPE1)*(TYPE1&lt;&gt;"")+('Dvd Calendar'!$E$731:$AR$731=TYPE2)*(TYPE2&lt;&gt;"")+('Dvd Calendar'!$E$731:$AR$731=TYPE3)*(TYPE3&lt;&gt;"")+('Dvd Calendar'!$E$731:$AR$731=TYPE4)*(TYPE4&lt;&gt;"")+('Dvd Calendar'!$E$731:$AR$731=SPECIAL_LBL)*(INC_SPECIALS="Y"))*(COUNTIF('Dvd Calendar'!$E$733:$AR$733,'Dvd Calendar'!$E$726:$AR$726)=0)))</f>
        <v/>
      </c>
      <c r="L72" s="52">
        <f>IF($B72="",0,IF((OV_SWITCH="ON")*(COUNTIFS(OVR_TICKERS,$C72,OVR_BASE,"&gt;=0")&gt;0)&gt;0,SUMIFS(OVR_BASE,OVR_TICKERS,$C72),$K72))</f>
        <v/>
      </c>
      <c r="M72" s="52">
        <f>IF($B72="",0,IF((OV_SWITCH="ON")*(COUNTIFS(OVR_TICKERS,$C72,OVR_LOW,"&gt;=0")&gt;0)&gt;0,SUMIFS(OVR_LOW,OVR_TICKERS,$C72),$L72))</f>
        <v/>
      </c>
      <c r="N72" s="52">
        <f>IF($B72="",0,IF((OV_SWITCH="ON")*(COUNTIFS(OVR_TICKERS,$C72,OVR_HIGH,"&gt;=0")&gt;0)&gt;0,SUMIFS(OVR_HIGH,OVR_TICKERS,$C72),$L72))</f>
        <v/>
      </c>
      <c r="O72" s="69">
        <f>IF($B72="","",IFERROR($B72*$G72*$J72/$B$3,""))</f>
        <v/>
      </c>
      <c r="P72" s="69">
        <f>IF($B72="","",IFERROR($B72*$G72*$L72/$B$3,""))</f>
        <v/>
      </c>
      <c r="Q72" s="44">
        <f>IF($B72="","",IFERROR($O72+$P72,""))</f>
        <v/>
      </c>
      <c r="R72" s="69">
        <f>IF($B72="","",IFERROR($O72+$B72*$G72*$M72/$B$3,""))</f>
        <v/>
      </c>
      <c r="S72" s="69">
        <f>IF($B72="","",IFERROR($O72+$B72*$G72*$N72/$B$3,""))</f>
        <v/>
      </c>
      <c r="T72" s="88">
        <f>IF($B72="","",IFERROR($Q72/$Q$5,""))</f>
        <v/>
      </c>
      <c r="U72" s="2">
        <f>IF($B72="","",IF(COUNTIFS('Dvd Calendar'!$E$732:$AR$732,"&gt;0",'Dvd Calendar'!$E$732:$AR$732,"&lt;="&amp;VAL_DATE,'Dvd Calendar'!$E$733:$AR$733,"&gt;"&amp;PROJ_FROM,'Dvd Calendar'!$E$733:$AR$733,"&lt;="&amp;DATE(YEAR_Y,12,31))-COUNTIFS('Dvd Calendar'!$E$732:$AR$732,"&gt;0",'Dvd Calendar'!$E$732:$AR$732,"&lt;="&amp;VAL_DATE,'Dvd Calendar'!$E$733:$AR$733,"&gt;"&amp;PROJ_FROM,'Dvd Calendar'!$E$733:$AR$733,"&lt;="&amp;DATE(YEAR_Y,12,31),'Dvd Calendar'!$E$734:$AR$734,"&gt;=0")&gt;0,"TBA amount - override me",IF((OV_SWITCH="ON")*(COUNTIFS(OVR_TICKERS,$C72,OVR_BASE,"&gt;=0")&gt;0)&gt;0,"overridden",IF($J72+$K72=0,"no dividend in year Y",""))))</f>
        <v/>
      </c>
      <c r="V72" s="69">
        <f>IF($B72="","",IFERROR(IF(ISNUMBER($H72),$B72*$G72*$H72/$B$3,0),""))</f>
        <v/>
      </c>
      <c r="W72" s="69">
        <f>IF($B72="","",IFERROR($B72*$G72*$K72/$B$3,""))</f>
        <v/>
      </c>
      <c r="X72" s="98">
        <f>IF($C72="","",BDP($C72,"PX_LAST"))</f>
        <v/>
      </c>
      <c r="Y72" s="69">
        <f>IF($B72="","",IFERROR($B72*$X72/$B$3,""))</f>
        <v/>
      </c>
      <c r="Z72" s="73">
        <f>IF($B72="","",IFERROR($Y72/$Y$5,""))</f>
        <v/>
      </c>
    </row>
    <row r="73">
      <c r="B73" s="97" t="n"/>
      <c r="C73" s="8">
        <f>IF($A73="","",$A73&amp;" Equity")</f>
        <v/>
      </c>
      <c r="D73" s="8">
        <f>IF($C73="","",BDP($C73,"NAME"))</f>
        <v/>
      </c>
      <c r="E73" s="8">
        <f>IF($C73="","",BDP($C73,"GICS_SECTOR_NAME"))</f>
        <v/>
      </c>
      <c r="F73" s="37">
        <f>IF($C73="","",BDP($C73,FLD_CCY))</f>
        <v/>
      </c>
      <c r="G73" s="12">
        <f>IFERROR(IF(LEN($F73)&lt;&gt;3,1,IF($F73="HKD",1,BDP(IF($F73="CNY",RMB_CROSS,$F73)&amp;"HKD Curncy","PX_LAST"))),1)</f>
        <v/>
      </c>
      <c r="H73" s="69">
        <f>IF($C73="","",BDP($C73,FLD_DPS12M))</f>
        <v/>
      </c>
      <c r="I73" s="50">
        <f>IF($C73="","",BDP($C73,FLD_YLD12M))</f>
        <v/>
      </c>
      <c r="J73" s="52">
        <f>IF($B73="",0,SUMPRODUCT(('Dvd Calendar'!$E$737:$AR$737&gt;=DATE(YEAR_Y,1,1))*('Dvd Calendar'!$E$737:$AR$737&lt;=REALIZED_TO)*'Dvd Calendar'!$E$740:$AR$740*(('Dvd Calendar'!$E$742:$AR$742=TYPE1)*(TYPE1&lt;&gt;"")+('Dvd Calendar'!$E$742:$AR$742=TYPE2)*(TYPE2&lt;&gt;"")+('Dvd Calendar'!$E$742:$AR$742=TYPE3)*(TYPE3&lt;&gt;"")+('Dvd Calendar'!$E$742:$AR$742=TYPE4)*(TYPE4&lt;&gt;"")+('Dvd Calendar'!$E$742:$AR$742=SPECIAL_LBL)*(INC_SPECIALS="Y"))))</f>
        <v/>
      </c>
      <c r="K73" s="52">
        <f>IF($B73="",0,SUMIFS('Dvd Calendar'!$E$745:$AR$745,'Dvd Calendar'!$E$744:$AR$744,"&gt;"&amp;PROJ_FROM,'Dvd Calendar'!$E$744:$AR$744,"&lt;="&amp;DATE(YEAR_Y,12,31))+SUMPRODUCT(('Dvd Calendar'!$E$737:$AR$737&gt;PROJ_FROM)*('Dvd Calendar'!$E$737:$AR$737&lt;=DATE(YEAR_Y,12,31))*'Dvd Calendar'!$E$740:$AR$740*(('Dvd Calendar'!$E$742:$AR$742=TYPE1)*(TYPE1&lt;&gt;"")+('Dvd Calendar'!$E$742:$AR$742=TYPE2)*(TYPE2&lt;&gt;"")+('Dvd Calendar'!$E$742:$AR$742=TYPE3)*(TYPE3&lt;&gt;"")+('Dvd Calendar'!$E$742:$AR$742=TYPE4)*(TYPE4&lt;&gt;"")+('Dvd Calendar'!$E$742:$AR$742=SPECIAL_LBL)*(INC_SPECIALS="Y"))*(COUNTIF('Dvd Calendar'!$E$744:$AR$744,'Dvd Calendar'!$E$737:$AR$737)=0)))</f>
        <v/>
      </c>
      <c r="L73" s="52">
        <f>IF($B73="",0,IF((OV_SWITCH="ON")*(COUNTIFS(OVR_TICKERS,$C73,OVR_BASE,"&gt;=0")&gt;0)&gt;0,SUMIFS(OVR_BASE,OVR_TICKERS,$C73),$K73))</f>
        <v/>
      </c>
      <c r="M73" s="52">
        <f>IF($B73="",0,IF((OV_SWITCH="ON")*(COUNTIFS(OVR_TICKERS,$C73,OVR_LOW,"&gt;=0")&gt;0)&gt;0,SUMIFS(OVR_LOW,OVR_TICKERS,$C73),$L73))</f>
        <v/>
      </c>
      <c r="N73" s="52">
        <f>IF($B73="",0,IF((OV_SWITCH="ON")*(COUNTIFS(OVR_TICKERS,$C73,OVR_HIGH,"&gt;=0")&gt;0)&gt;0,SUMIFS(OVR_HIGH,OVR_TICKERS,$C73),$L73))</f>
        <v/>
      </c>
      <c r="O73" s="69">
        <f>IF($B73="","",IFERROR($B73*$G73*$J73/$B$3,""))</f>
        <v/>
      </c>
      <c r="P73" s="69">
        <f>IF($B73="","",IFERROR($B73*$G73*$L73/$B$3,""))</f>
        <v/>
      </c>
      <c r="Q73" s="44">
        <f>IF($B73="","",IFERROR($O73+$P73,""))</f>
        <v/>
      </c>
      <c r="R73" s="69">
        <f>IF($B73="","",IFERROR($O73+$B73*$G73*$M73/$B$3,""))</f>
        <v/>
      </c>
      <c r="S73" s="69">
        <f>IF($B73="","",IFERROR($O73+$B73*$G73*$N73/$B$3,""))</f>
        <v/>
      </c>
      <c r="T73" s="88">
        <f>IF($B73="","",IFERROR($Q73/$Q$5,""))</f>
        <v/>
      </c>
      <c r="U73" s="2">
        <f>IF($B73="","",IF(COUNTIFS('Dvd Calendar'!$E$743:$AR$743,"&gt;0",'Dvd Calendar'!$E$743:$AR$743,"&lt;="&amp;VAL_DATE,'Dvd Calendar'!$E$744:$AR$744,"&gt;"&amp;PROJ_FROM,'Dvd Calendar'!$E$744:$AR$744,"&lt;="&amp;DATE(YEAR_Y,12,31))-COUNTIFS('Dvd Calendar'!$E$743:$AR$743,"&gt;0",'Dvd Calendar'!$E$743:$AR$743,"&lt;="&amp;VAL_DATE,'Dvd Calendar'!$E$744:$AR$744,"&gt;"&amp;PROJ_FROM,'Dvd Calendar'!$E$744:$AR$744,"&lt;="&amp;DATE(YEAR_Y,12,31),'Dvd Calendar'!$E$745:$AR$745,"&gt;=0")&gt;0,"TBA amount - override me",IF((OV_SWITCH="ON")*(COUNTIFS(OVR_TICKERS,$C73,OVR_BASE,"&gt;=0")&gt;0)&gt;0,"overridden",IF($J73+$K73=0,"no dividend in year Y",""))))</f>
        <v/>
      </c>
      <c r="V73" s="69">
        <f>IF($B73="","",IFERROR(IF(ISNUMBER($H73),$B73*$G73*$H73/$B$3,0),""))</f>
        <v/>
      </c>
      <c r="W73" s="69">
        <f>IF($B73="","",IFERROR($B73*$G73*$K73/$B$3,""))</f>
        <v/>
      </c>
      <c r="X73" s="98">
        <f>IF($C73="","",BDP($C73,"PX_LAST"))</f>
        <v/>
      </c>
      <c r="Y73" s="69">
        <f>IF($B73="","",IFERROR($B73*$X73/$B$3,""))</f>
        <v/>
      </c>
      <c r="Z73" s="73">
        <f>IF($B73="","",IFERROR($Y73/$Y$5,""))</f>
        <v/>
      </c>
    </row>
    <row r="74">
      <c r="B74" s="97" t="n"/>
      <c r="C74" s="8">
        <f>IF($A74="","",$A74&amp;" Equity")</f>
        <v/>
      </c>
      <c r="D74" s="8">
        <f>IF($C74="","",BDP($C74,"NAME"))</f>
        <v/>
      </c>
      <c r="E74" s="8">
        <f>IF($C74="","",BDP($C74,"GICS_SECTOR_NAME"))</f>
        <v/>
      </c>
      <c r="F74" s="37">
        <f>IF($C74="","",BDP($C74,FLD_CCY))</f>
        <v/>
      </c>
      <c r="G74" s="12">
        <f>IFERROR(IF(LEN($F74)&lt;&gt;3,1,IF($F74="HKD",1,BDP(IF($F74="CNY",RMB_CROSS,$F74)&amp;"HKD Curncy","PX_LAST"))),1)</f>
        <v/>
      </c>
      <c r="H74" s="69">
        <f>IF($C74="","",BDP($C74,FLD_DPS12M))</f>
        <v/>
      </c>
      <c r="I74" s="50">
        <f>IF($C74="","",BDP($C74,FLD_YLD12M))</f>
        <v/>
      </c>
      <c r="J74" s="52">
        <f>IF($B74="",0,SUMPRODUCT(('Dvd Calendar'!$E$748:$AR$748&gt;=DATE(YEAR_Y,1,1))*('Dvd Calendar'!$E$748:$AR$748&lt;=REALIZED_TO)*'Dvd Calendar'!$E$751:$AR$751*(('Dvd Calendar'!$E$753:$AR$753=TYPE1)*(TYPE1&lt;&gt;"")+('Dvd Calendar'!$E$753:$AR$753=TYPE2)*(TYPE2&lt;&gt;"")+('Dvd Calendar'!$E$753:$AR$753=TYPE3)*(TYPE3&lt;&gt;"")+('Dvd Calendar'!$E$753:$AR$753=TYPE4)*(TYPE4&lt;&gt;"")+('Dvd Calendar'!$E$753:$AR$753=SPECIAL_LBL)*(INC_SPECIALS="Y"))))</f>
        <v/>
      </c>
      <c r="K74" s="52">
        <f>IF($B74="",0,SUMIFS('Dvd Calendar'!$E$756:$AR$756,'Dvd Calendar'!$E$755:$AR$755,"&gt;"&amp;PROJ_FROM,'Dvd Calendar'!$E$755:$AR$755,"&lt;="&amp;DATE(YEAR_Y,12,31))+SUMPRODUCT(('Dvd Calendar'!$E$748:$AR$748&gt;PROJ_FROM)*('Dvd Calendar'!$E$748:$AR$748&lt;=DATE(YEAR_Y,12,31))*'Dvd Calendar'!$E$751:$AR$751*(('Dvd Calendar'!$E$753:$AR$753=TYPE1)*(TYPE1&lt;&gt;"")+('Dvd Calendar'!$E$753:$AR$753=TYPE2)*(TYPE2&lt;&gt;"")+('Dvd Calendar'!$E$753:$AR$753=TYPE3)*(TYPE3&lt;&gt;"")+('Dvd Calendar'!$E$753:$AR$753=TYPE4)*(TYPE4&lt;&gt;"")+('Dvd Calendar'!$E$753:$AR$753=SPECIAL_LBL)*(INC_SPECIALS="Y"))*(COUNTIF('Dvd Calendar'!$E$755:$AR$755,'Dvd Calendar'!$E$748:$AR$748)=0)))</f>
        <v/>
      </c>
      <c r="L74" s="52">
        <f>IF($B74="",0,IF((OV_SWITCH="ON")*(COUNTIFS(OVR_TICKERS,$C74,OVR_BASE,"&gt;=0")&gt;0)&gt;0,SUMIFS(OVR_BASE,OVR_TICKERS,$C74),$K74))</f>
        <v/>
      </c>
      <c r="M74" s="52">
        <f>IF($B74="",0,IF((OV_SWITCH="ON")*(COUNTIFS(OVR_TICKERS,$C74,OVR_LOW,"&gt;=0")&gt;0)&gt;0,SUMIFS(OVR_LOW,OVR_TICKERS,$C74),$L74))</f>
        <v/>
      </c>
      <c r="N74" s="52">
        <f>IF($B74="",0,IF((OV_SWITCH="ON")*(COUNTIFS(OVR_TICKERS,$C74,OVR_HIGH,"&gt;=0")&gt;0)&gt;0,SUMIFS(OVR_HIGH,OVR_TICKERS,$C74),$L74))</f>
        <v/>
      </c>
      <c r="O74" s="69">
        <f>IF($B74="","",IFERROR($B74*$G74*$J74/$B$3,""))</f>
        <v/>
      </c>
      <c r="P74" s="69">
        <f>IF($B74="","",IFERROR($B74*$G74*$L74/$B$3,""))</f>
        <v/>
      </c>
      <c r="Q74" s="44">
        <f>IF($B74="","",IFERROR($O74+$P74,""))</f>
        <v/>
      </c>
      <c r="R74" s="69">
        <f>IF($B74="","",IFERROR($O74+$B74*$G74*$M74/$B$3,""))</f>
        <v/>
      </c>
      <c r="S74" s="69">
        <f>IF($B74="","",IFERROR($O74+$B74*$G74*$N74/$B$3,""))</f>
        <v/>
      </c>
      <c r="T74" s="88">
        <f>IF($B74="","",IFERROR($Q74/$Q$5,""))</f>
        <v/>
      </c>
      <c r="U74" s="2">
        <f>IF($B74="","",IF(COUNTIFS('Dvd Calendar'!$E$754:$AR$754,"&gt;0",'Dvd Calendar'!$E$754:$AR$754,"&lt;="&amp;VAL_DATE,'Dvd Calendar'!$E$755:$AR$755,"&gt;"&amp;PROJ_FROM,'Dvd Calendar'!$E$755:$AR$755,"&lt;="&amp;DATE(YEAR_Y,12,31))-COUNTIFS('Dvd Calendar'!$E$754:$AR$754,"&gt;0",'Dvd Calendar'!$E$754:$AR$754,"&lt;="&amp;VAL_DATE,'Dvd Calendar'!$E$755:$AR$755,"&gt;"&amp;PROJ_FROM,'Dvd Calendar'!$E$755:$AR$755,"&lt;="&amp;DATE(YEAR_Y,12,31),'Dvd Calendar'!$E$756:$AR$756,"&gt;=0")&gt;0,"TBA amount - override me",IF((OV_SWITCH="ON")*(COUNTIFS(OVR_TICKERS,$C74,OVR_BASE,"&gt;=0")&gt;0)&gt;0,"overridden",IF($J74+$K74=0,"no dividend in year Y",""))))</f>
        <v/>
      </c>
      <c r="V74" s="69">
        <f>IF($B74="","",IFERROR(IF(ISNUMBER($H74),$B74*$G74*$H74/$B$3,0),""))</f>
        <v/>
      </c>
      <c r="W74" s="69">
        <f>IF($B74="","",IFERROR($B74*$G74*$K74/$B$3,""))</f>
        <v/>
      </c>
      <c r="X74" s="98">
        <f>IF($C74="","",BDP($C74,"PX_LAST"))</f>
        <v/>
      </c>
      <c r="Y74" s="69">
        <f>IF($B74="","",IFERROR($B74*$X74/$B$3,""))</f>
        <v/>
      </c>
      <c r="Z74" s="73">
        <f>IF($B74="","",IFERROR($Y74/$Y$5,""))</f>
        <v/>
      </c>
    </row>
    <row r="75">
      <c r="B75" s="97" t="n"/>
      <c r="C75" s="8">
        <f>IF($A75="","",$A75&amp;" Equity")</f>
        <v/>
      </c>
      <c r="D75" s="8">
        <f>IF($C75="","",BDP($C75,"NAME"))</f>
        <v/>
      </c>
      <c r="E75" s="8">
        <f>IF($C75="","",BDP($C75,"GICS_SECTOR_NAME"))</f>
        <v/>
      </c>
      <c r="F75" s="37">
        <f>IF($C75="","",BDP($C75,FLD_CCY))</f>
        <v/>
      </c>
      <c r="G75" s="12">
        <f>IFERROR(IF(LEN($F75)&lt;&gt;3,1,IF($F75="HKD",1,BDP(IF($F75="CNY",RMB_CROSS,$F75)&amp;"HKD Curncy","PX_LAST"))),1)</f>
        <v/>
      </c>
      <c r="H75" s="69">
        <f>IF($C75="","",BDP($C75,FLD_DPS12M))</f>
        <v/>
      </c>
      <c r="I75" s="50">
        <f>IF($C75="","",BDP($C75,FLD_YLD12M))</f>
        <v/>
      </c>
      <c r="J75" s="52">
        <f>IF($B75="",0,SUMPRODUCT(('Dvd Calendar'!$E$759:$AR$759&gt;=DATE(YEAR_Y,1,1))*('Dvd Calendar'!$E$759:$AR$759&lt;=REALIZED_TO)*'Dvd Calendar'!$E$762:$AR$762*(('Dvd Calendar'!$E$764:$AR$764=TYPE1)*(TYPE1&lt;&gt;"")+('Dvd Calendar'!$E$764:$AR$764=TYPE2)*(TYPE2&lt;&gt;"")+('Dvd Calendar'!$E$764:$AR$764=TYPE3)*(TYPE3&lt;&gt;"")+('Dvd Calendar'!$E$764:$AR$764=TYPE4)*(TYPE4&lt;&gt;"")+('Dvd Calendar'!$E$764:$AR$764=SPECIAL_LBL)*(INC_SPECIALS="Y"))))</f>
        <v/>
      </c>
      <c r="K75" s="52">
        <f>IF($B75="",0,SUMIFS('Dvd Calendar'!$E$767:$AR$767,'Dvd Calendar'!$E$766:$AR$766,"&gt;"&amp;PROJ_FROM,'Dvd Calendar'!$E$766:$AR$766,"&lt;="&amp;DATE(YEAR_Y,12,31))+SUMPRODUCT(('Dvd Calendar'!$E$759:$AR$759&gt;PROJ_FROM)*('Dvd Calendar'!$E$759:$AR$759&lt;=DATE(YEAR_Y,12,31))*'Dvd Calendar'!$E$762:$AR$762*(('Dvd Calendar'!$E$764:$AR$764=TYPE1)*(TYPE1&lt;&gt;"")+('Dvd Calendar'!$E$764:$AR$764=TYPE2)*(TYPE2&lt;&gt;"")+('Dvd Calendar'!$E$764:$AR$764=TYPE3)*(TYPE3&lt;&gt;"")+('Dvd Calendar'!$E$764:$AR$764=TYPE4)*(TYPE4&lt;&gt;"")+('Dvd Calendar'!$E$764:$AR$764=SPECIAL_LBL)*(INC_SPECIALS="Y"))*(COUNTIF('Dvd Calendar'!$E$766:$AR$766,'Dvd Calendar'!$E$759:$AR$759)=0)))</f>
        <v/>
      </c>
      <c r="L75" s="52">
        <f>IF($B75="",0,IF((OV_SWITCH="ON")*(COUNTIFS(OVR_TICKERS,$C75,OVR_BASE,"&gt;=0")&gt;0)&gt;0,SUMIFS(OVR_BASE,OVR_TICKERS,$C75),$K75))</f>
        <v/>
      </c>
      <c r="M75" s="52">
        <f>IF($B75="",0,IF((OV_SWITCH="ON")*(COUNTIFS(OVR_TICKERS,$C75,OVR_LOW,"&gt;=0")&gt;0)&gt;0,SUMIFS(OVR_LOW,OVR_TICKERS,$C75),$L75))</f>
        <v/>
      </c>
      <c r="N75" s="52">
        <f>IF($B75="",0,IF((OV_SWITCH="ON")*(COUNTIFS(OVR_TICKERS,$C75,OVR_HIGH,"&gt;=0")&gt;0)&gt;0,SUMIFS(OVR_HIGH,OVR_TICKERS,$C75),$L75))</f>
        <v/>
      </c>
      <c r="O75" s="69">
        <f>IF($B75="","",IFERROR($B75*$G75*$J75/$B$3,""))</f>
        <v/>
      </c>
      <c r="P75" s="69">
        <f>IF($B75="","",IFERROR($B75*$G75*$L75/$B$3,""))</f>
        <v/>
      </c>
      <c r="Q75" s="44">
        <f>IF($B75="","",IFERROR($O75+$P75,""))</f>
        <v/>
      </c>
      <c r="R75" s="69">
        <f>IF($B75="","",IFERROR($O75+$B75*$G75*$M75/$B$3,""))</f>
        <v/>
      </c>
      <c r="S75" s="69">
        <f>IF($B75="","",IFERROR($O75+$B75*$G75*$N75/$B$3,""))</f>
        <v/>
      </c>
      <c r="T75" s="88">
        <f>IF($B75="","",IFERROR($Q75/$Q$5,""))</f>
        <v/>
      </c>
      <c r="U75" s="2">
        <f>IF($B75="","",IF(COUNTIFS('Dvd Calendar'!$E$765:$AR$765,"&gt;0",'Dvd Calendar'!$E$765:$AR$765,"&lt;="&amp;VAL_DATE,'Dvd Calendar'!$E$766:$AR$766,"&gt;"&amp;PROJ_FROM,'Dvd Calendar'!$E$766:$AR$766,"&lt;="&amp;DATE(YEAR_Y,12,31))-COUNTIFS('Dvd Calendar'!$E$765:$AR$765,"&gt;0",'Dvd Calendar'!$E$765:$AR$765,"&lt;="&amp;VAL_DATE,'Dvd Calendar'!$E$766:$AR$766,"&gt;"&amp;PROJ_FROM,'Dvd Calendar'!$E$766:$AR$766,"&lt;="&amp;DATE(YEAR_Y,12,31),'Dvd Calendar'!$E$767:$AR$767,"&gt;=0")&gt;0,"TBA amount - override me",IF((OV_SWITCH="ON")*(COUNTIFS(OVR_TICKERS,$C75,OVR_BASE,"&gt;=0")&gt;0)&gt;0,"overridden",IF($J75+$K75=0,"no dividend in year Y",""))))</f>
        <v/>
      </c>
      <c r="V75" s="69">
        <f>IF($B75="","",IFERROR(IF(ISNUMBER($H75),$B75*$G75*$H75/$B$3,0),""))</f>
        <v/>
      </c>
      <c r="W75" s="69">
        <f>IF($B75="","",IFERROR($B75*$G75*$K75/$B$3,""))</f>
        <v/>
      </c>
      <c r="X75" s="98">
        <f>IF($C75="","",BDP($C75,"PX_LAST"))</f>
        <v/>
      </c>
      <c r="Y75" s="69">
        <f>IF($B75="","",IFERROR($B75*$X75/$B$3,""))</f>
        <v/>
      </c>
      <c r="Z75" s="73">
        <f>IF($B75="","",IFERROR($Y75/$Y$5,""))</f>
        <v/>
      </c>
    </row>
    <row r="76">
      <c r="B76" s="97" t="n"/>
      <c r="C76" s="8">
        <f>IF($A76="","",$A76&amp;" Equity")</f>
        <v/>
      </c>
      <c r="D76" s="8">
        <f>IF($C76="","",BDP($C76,"NAME"))</f>
        <v/>
      </c>
      <c r="E76" s="8">
        <f>IF($C76="","",BDP($C76,"GICS_SECTOR_NAME"))</f>
        <v/>
      </c>
      <c r="F76" s="37">
        <f>IF($C76="","",BDP($C76,FLD_CCY))</f>
        <v/>
      </c>
      <c r="G76" s="12">
        <f>IFERROR(IF(LEN($F76)&lt;&gt;3,1,IF($F76="HKD",1,BDP(IF($F76="CNY",RMB_CROSS,$F76)&amp;"HKD Curncy","PX_LAST"))),1)</f>
        <v/>
      </c>
      <c r="H76" s="69">
        <f>IF($C76="","",BDP($C76,FLD_DPS12M))</f>
        <v/>
      </c>
      <c r="I76" s="50">
        <f>IF($C76="","",BDP($C76,FLD_YLD12M))</f>
        <v/>
      </c>
      <c r="J76" s="52">
        <f>IF($B76="",0,SUMPRODUCT(('Dvd Calendar'!$E$770:$AR$770&gt;=DATE(YEAR_Y,1,1))*('Dvd Calendar'!$E$770:$AR$770&lt;=REALIZED_TO)*'Dvd Calendar'!$E$773:$AR$773*(('Dvd Calendar'!$E$775:$AR$775=TYPE1)*(TYPE1&lt;&gt;"")+('Dvd Calendar'!$E$775:$AR$775=TYPE2)*(TYPE2&lt;&gt;"")+('Dvd Calendar'!$E$775:$AR$775=TYPE3)*(TYPE3&lt;&gt;"")+('Dvd Calendar'!$E$775:$AR$775=TYPE4)*(TYPE4&lt;&gt;"")+('Dvd Calendar'!$E$775:$AR$775=SPECIAL_LBL)*(INC_SPECIALS="Y"))))</f>
        <v/>
      </c>
      <c r="K76" s="52">
        <f>IF($B76="",0,SUMIFS('Dvd Calendar'!$E$778:$AR$778,'Dvd Calendar'!$E$777:$AR$777,"&gt;"&amp;PROJ_FROM,'Dvd Calendar'!$E$777:$AR$777,"&lt;="&amp;DATE(YEAR_Y,12,31))+SUMPRODUCT(('Dvd Calendar'!$E$770:$AR$770&gt;PROJ_FROM)*('Dvd Calendar'!$E$770:$AR$770&lt;=DATE(YEAR_Y,12,31))*'Dvd Calendar'!$E$773:$AR$773*(('Dvd Calendar'!$E$775:$AR$775=TYPE1)*(TYPE1&lt;&gt;"")+('Dvd Calendar'!$E$775:$AR$775=TYPE2)*(TYPE2&lt;&gt;"")+('Dvd Calendar'!$E$775:$AR$775=TYPE3)*(TYPE3&lt;&gt;"")+('Dvd Calendar'!$E$775:$AR$775=TYPE4)*(TYPE4&lt;&gt;"")+('Dvd Calendar'!$E$775:$AR$775=SPECIAL_LBL)*(INC_SPECIALS="Y"))*(COUNTIF('Dvd Calendar'!$E$777:$AR$777,'Dvd Calendar'!$E$770:$AR$770)=0)))</f>
        <v/>
      </c>
      <c r="L76" s="52">
        <f>IF($B76="",0,IF((OV_SWITCH="ON")*(COUNTIFS(OVR_TICKERS,$C76,OVR_BASE,"&gt;=0")&gt;0)&gt;0,SUMIFS(OVR_BASE,OVR_TICKERS,$C76),$K76))</f>
        <v/>
      </c>
      <c r="M76" s="52">
        <f>IF($B76="",0,IF((OV_SWITCH="ON")*(COUNTIFS(OVR_TICKERS,$C76,OVR_LOW,"&gt;=0")&gt;0)&gt;0,SUMIFS(OVR_LOW,OVR_TICKERS,$C76),$L76))</f>
        <v/>
      </c>
      <c r="N76" s="52">
        <f>IF($B76="",0,IF((OV_SWITCH="ON")*(COUNTIFS(OVR_TICKERS,$C76,OVR_HIGH,"&gt;=0")&gt;0)&gt;0,SUMIFS(OVR_HIGH,OVR_TICKERS,$C76),$L76))</f>
        <v/>
      </c>
      <c r="O76" s="69">
        <f>IF($B76="","",IFERROR($B76*$G76*$J76/$B$3,""))</f>
        <v/>
      </c>
      <c r="P76" s="69">
        <f>IF($B76="","",IFERROR($B76*$G76*$L76/$B$3,""))</f>
        <v/>
      </c>
      <c r="Q76" s="44">
        <f>IF($B76="","",IFERROR($O76+$P76,""))</f>
        <v/>
      </c>
      <c r="R76" s="69">
        <f>IF($B76="","",IFERROR($O76+$B76*$G76*$M76/$B$3,""))</f>
        <v/>
      </c>
      <c r="S76" s="69">
        <f>IF($B76="","",IFERROR($O76+$B76*$G76*$N76/$B$3,""))</f>
        <v/>
      </c>
      <c r="T76" s="88">
        <f>IF($B76="","",IFERROR($Q76/$Q$5,""))</f>
        <v/>
      </c>
      <c r="U76" s="2">
        <f>IF($B76="","",IF(COUNTIFS('Dvd Calendar'!$E$776:$AR$776,"&gt;0",'Dvd Calendar'!$E$776:$AR$776,"&lt;="&amp;VAL_DATE,'Dvd Calendar'!$E$777:$AR$777,"&gt;"&amp;PROJ_FROM,'Dvd Calendar'!$E$777:$AR$777,"&lt;="&amp;DATE(YEAR_Y,12,31))-COUNTIFS('Dvd Calendar'!$E$776:$AR$776,"&gt;0",'Dvd Calendar'!$E$776:$AR$776,"&lt;="&amp;VAL_DATE,'Dvd Calendar'!$E$777:$AR$777,"&gt;"&amp;PROJ_FROM,'Dvd Calendar'!$E$777:$AR$777,"&lt;="&amp;DATE(YEAR_Y,12,31),'Dvd Calendar'!$E$778:$AR$778,"&gt;=0")&gt;0,"TBA amount - override me",IF((OV_SWITCH="ON")*(COUNTIFS(OVR_TICKERS,$C76,OVR_BASE,"&gt;=0")&gt;0)&gt;0,"overridden",IF($J76+$K76=0,"no dividend in year Y",""))))</f>
        <v/>
      </c>
      <c r="V76" s="69">
        <f>IF($B76="","",IFERROR(IF(ISNUMBER($H76),$B76*$G76*$H76/$B$3,0),""))</f>
        <v/>
      </c>
      <c r="W76" s="69">
        <f>IF($B76="","",IFERROR($B76*$G76*$K76/$B$3,""))</f>
        <v/>
      </c>
      <c r="X76" s="98">
        <f>IF($C76="","",BDP($C76,"PX_LAST"))</f>
        <v/>
      </c>
      <c r="Y76" s="69">
        <f>IF($B76="","",IFERROR($B76*$X76/$B$3,""))</f>
        <v/>
      </c>
      <c r="Z76" s="73">
        <f>IF($B76="","",IFERROR($Y76/$Y$5,""))</f>
        <v/>
      </c>
    </row>
    <row r="77">
      <c r="B77" s="97" t="n"/>
      <c r="C77" s="8">
        <f>IF($A77="","",$A77&amp;" Equity")</f>
        <v/>
      </c>
      <c r="D77" s="8">
        <f>IF($C77="","",BDP($C77,"NAME"))</f>
        <v/>
      </c>
      <c r="E77" s="8">
        <f>IF($C77="","",BDP($C77,"GICS_SECTOR_NAME"))</f>
        <v/>
      </c>
      <c r="F77" s="37">
        <f>IF($C77="","",BDP($C77,FLD_CCY))</f>
        <v/>
      </c>
      <c r="G77" s="12">
        <f>IFERROR(IF(LEN($F77)&lt;&gt;3,1,IF($F77="HKD",1,BDP(IF($F77="CNY",RMB_CROSS,$F77)&amp;"HKD Curncy","PX_LAST"))),1)</f>
        <v/>
      </c>
      <c r="H77" s="69">
        <f>IF($C77="","",BDP($C77,FLD_DPS12M))</f>
        <v/>
      </c>
      <c r="I77" s="50">
        <f>IF($C77="","",BDP($C77,FLD_YLD12M))</f>
        <v/>
      </c>
      <c r="J77" s="52">
        <f>IF($B77="",0,SUMPRODUCT(('Dvd Calendar'!$E$781:$AR$781&gt;=DATE(YEAR_Y,1,1))*('Dvd Calendar'!$E$781:$AR$781&lt;=REALIZED_TO)*'Dvd Calendar'!$E$784:$AR$784*(('Dvd Calendar'!$E$786:$AR$786=TYPE1)*(TYPE1&lt;&gt;"")+('Dvd Calendar'!$E$786:$AR$786=TYPE2)*(TYPE2&lt;&gt;"")+('Dvd Calendar'!$E$786:$AR$786=TYPE3)*(TYPE3&lt;&gt;"")+('Dvd Calendar'!$E$786:$AR$786=TYPE4)*(TYPE4&lt;&gt;"")+('Dvd Calendar'!$E$786:$AR$786=SPECIAL_LBL)*(INC_SPECIALS="Y"))))</f>
        <v/>
      </c>
      <c r="K77" s="52">
        <f>IF($B77="",0,SUMIFS('Dvd Calendar'!$E$789:$AR$789,'Dvd Calendar'!$E$788:$AR$788,"&gt;"&amp;PROJ_FROM,'Dvd Calendar'!$E$788:$AR$788,"&lt;="&amp;DATE(YEAR_Y,12,31))+SUMPRODUCT(('Dvd Calendar'!$E$781:$AR$781&gt;PROJ_FROM)*('Dvd Calendar'!$E$781:$AR$781&lt;=DATE(YEAR_Y,12,31))*'Dvd Calendar'!$E$784:$AR$784*(('Dvd Calendar'!$E$786:$AR$786=TYPE1)*(TYPE1&lt;&gt;"")+('Dvd Calendar'!$E$786:$AR$786=TYPE2)*(TYPE2&lt;&gt;"")+('Dvd Calendar'!$E$786:$AR$786=TYPE3)*(TYPE3&lt;&gt;"")+('Dvd Calendar'!$E$786:$AR$786=TYPE4)*(TYPE4&lt;&gt;"")+('Dvd Calendar'!$E$786:$AR$786=SPECIAL_LBL)*(INC_SPECIALS="Y"))*(COUNTIF('Dvd Calendar'!$E$788:$AR$788,'Dvd Calendar'!$E$781:$AR$781)=0)))</f>
        <v/>
      </c>
      <c r="L77" s="52">
        <f>IF($B77="",0,IF((OV_SWITCH="ON")*(COUNTIFS(OVR_TICKERS,$C77,OVR_BASE,"&gt;=0")&gt;0)&gt;0,SUMIFS(OVR_BASE,OVR_TICKERS,$C77),$K77))</f>
        <v/>
      </c>
      <c r="M77" s="52">
        <f>IF($B77="",0,IF((OV_SWITCH="ON")*(COUNTIFS(OVR_TICKERS,$C77,OVR_LOW,"&gt;=0")&gt;0)&gt;0,SUMIFS(OVR_LOW,OVR_TICKERS,$C77),$L77))</f>
        <v/>
      </c>
      <c r="N77" s="52">
        <f>IF($B77="",0,IF((OV_SWITCH="ON")*(COUNTIFS(OVR_TICKERS,$C77,OVR_HIGH,"&gt;=0")&gt;0)&gt;0,SUMIFS(OVR_HIGH,OVR_TICKERS,$C77),$L77))</f>
        <v/>
      </c>
      <c r="O77" s="69">
        <f>IF($B77="","",IFERROR($B77*$G77*$J77/$B$3,""))</f>
        <v/>
      </c>
      <c r="P77" s="69">
        <f>IF($B77="","",IFERROR($B77*$G77*$L77/$B$3,""))</f>
        <v/>
      </c>
      <c r="Q77" s="44">
        <f>IF($B77="","",IFERROR($O77+$P77,""))</f>
        <v/>
      </c>
      <c r="R77" s="69">
        <f>IF($B77="","",IFERROR($O77+$B77*$G77*$M77/$B$3,""))</f>
        <v/>
      </c>
      <c r="S77" s="69">
        <f>IF($B77="","",IFERROR($O77+$B77*$G77*$N77/$B$3,""))</f>
        <v/>
      </c>
      <c r="T77" s="88">
        <f>IF($B77="","",IFERROR($Q77/$Q$5,""))</f>
        <v/>
      </c>
      <c r="U77" s="2">
        <f>IF($B77="","",IF(COUNTIFS('Dvd Calendar'!$E$787:$AR$787,"&gt;0",'Dvd Calendar'!$E$787:$AR$787,"&lt;="&amp;VAL_DATE,'Dvd Calendar'!$E$788:$AR$788,"&gt;"&amp;PROJ_FROM,'Dvd Calendar'!$E$788:$AR$788,"&lt;="&amp;DATE(YEAR_Y,12,31))-COUNTIFS('Dvd Calendar'!$E$787:$AR$787,"&gt;0",'Dvd Calendar'!$E$787:$AR$787,"&lt;="&amp;VAL_DATE,'Dvd Calendar'!$E$788:$AR$788,"&gt;"&amp;PROJ_FROM,'Dvd Calendar'!$E$788:$AR$788,"&lt;="&amp;DATE(YEAR_Y,12,31),'Dvd Calendar'!$E$789:$AR$789,"&gt;=0")&gt;0,"TBA amount - override me",IF((OV_SWITCH="ON")*(COUNTIFS(OVR_TICKERS,$C77,OVR_BASE,"&gt;=0")&gt;0)&gt;0,"overridden",IF($J77+$K77=0,"no dividend in year Y",""))))</f>
        <v/>
      </c>
      <c r="V77" s="69">
        <f>IF($B77="","",IFERROR(IF(ISNUMBER($H77),$B77*$G77*$H77/$B$3,0),""))</f>
        <v/>
      </c>
      <c r="W77" s="69">
        <f>IF($B77="","",IFERROR($B77*$G77*$K77/$B$3,""))</f>
        <v/>
      </c>
      <c r="X77" s="98">
        <f>IF($C77="","",BDP($C77,"PX_LAST"))</f>
        <v/>
      </c>
      <c r="Y77" s="69">
        <f>IF($B77="","",IFERROR($B77*$X77/$B$3,""))</f>
        <v/>
      </c>
      <c r="Z77" s="73">
        <f>IF($B77="","",IFERROR($Y77/$Y$5,""))</f>
        <v/>
      </c>
    </row>
    <row r="78">
      <c r="B78" s="97" t="n"/>
      <c r="C78" s="8">
        <f>IF($A78="","",$A78&amp;" Equity")</f>
        <v/>
      </c>
      <c r="D78" s="8">
        <f>IF($C78="","",BDP($C78,"NAME"))</f>
        <v/>
      </c>
      <c r="E78" s="8">
        <f>IF($C78="","",BDP($C78,"GICS_SECTOR_NAME"))</f>
        <v/>
      </c>
      <c r="F78" s="37">
        <f>IF($C78="","",BDP($C78,FLD_CCY))</f>
        <v/>
      </c>
      <c r="G78" s="12">
        <f>IFERROR(IF(LEN($F78)&lt;&gt;3,1,IF($F78="HKD",1,BDP(IF($F78="CNY",RMB_CROSS,$F78)&amp;"HKD Curncy","PX_LAST"))),1)</f>
        <v/>
      </c>
      <c r="H78" s="69">
        <f>IF($C78="","",BDP($C78,FLD_DPS12M))</f>
        <v/>
      </c>
      <c r="I78" s="50">
        <f>IF($C78="","",BDP($C78,FLD_YLD12M))</f>
        <v/>
      </c>
      <c r="J78" s="52">
        <f>IF($B78="",0,SUMPRODUCT(('Dvd Calendar'!$E$792:$AR$792&gt;=DATE(YEAR_Y,1,1))*('Dvd Calendar'!$E$792:$AR$792&lt;=REALIZED_TO)*'Dvd Calendar'!$E$795:$AR$795*(('Dvd Calendar'!$E$797:$AR$797=TYPE1)*(TYPE1&lt;&gt;"")+('Dvd Calendar'!$E$797:$AR$797=TYPE2)*(TYPE2&lt;&gt;"")+('Dvd Calendar'!$E$797:$AR$797=TYPE3)*(TYPE3&lt;&gt;"")+('Dvd Calendar'!$E$797:$AR$797=TYPE4)*(TYPE4&lt;&gt;"")+('Dvd Calendar'!$E$797:$AR$797=SPECIAL_LBL)*(INC_SPECIALS="Y"))))</f>
        <v/>
      </c>
      <c r="K78" s="52">
        <f>IF($B78="",0,SUMIFS('Dvd Calendar'!$E$800:$AR$800,'Dvd Calendar'!$E$799:$AR$799,"&gt;"&amp;PROJ_FROM,'Dvd Calendar'!$E$799:$AR$799,"&lt;="&amp;DATE(YEAR_Y,12,31))+SUMPRODUCT(('Dvd Calendar'!$E$792:$AR$792&gt;PROJ_FROM)*('Dvd Calendar'!$E$792:$AR$792&lt;=DATE(YEAR_Y,12,31))*'Dvd Calendar'!$E$795:$AR$795*(('Dvd Calendar'!$E$797:$AR$797=TYPE1)*(TYPE1&lt;&gt;"")+('Dvd Calendar'!$E$797:$AR$797=TYPE2)*(TYPE2&lt;&gt;"")+('Dvd Calendar'!$E$797:$AR$797=TYPE3)*(TYPE3&lt;&gt;"")+('Dvd Calendar'!$E$797:$AR$797=TYPE4)*(TYPE4&lt;&gt;"")+('Dvd Calendar'!$E$797:$AR$797=SPECIAL_LBL)*(INC_SPECIALS="Y"))*(COUNTIF('Dvd Calendar'!$E$799:$AR$799,'Dvd Calendar'!$E$792:$AR$792)=0)))</f>
        <v/>
      </c>
      <c r="L78" s="52">
        <f>IF($B78="",0,IF((OV_SWITCH="ON")*(COUNTIFS(OVR_TICKERS,$C78,OVR_BASE,"&gt;=0")&gt;0)&gt;0,SUMIFS(OVR_BASE,OVR_TICKERS,$C78),$K78))</f>
        <v/>
      </c>
      <c r="M78" s="52">
        <f>IF($B78="",0,IF((OV_SWITCH="ON")*(COUNTIFS(OVR_TICKERS,$C78,OVR_LOW,"&gt;=0")&gt;0)&gt;0,SUMIFS(OVR_LOW,OVR_TICKERS,$C78),$L78))</f>
        <v/>
      </c>
      <c r="N78" s="52">
        <f>IF($B78="",0,IF((OV_SWITCH="ON")*(COUNTIFS(OVR_TICKERS,$C78,OVR_HIGH,"&gt;=0")&gt;0)&gt;0,SUMIFS(OVR_HIGH,OVR_TICKERS,$C78),$L78))</f>
        <v/>
      </c>
      <c r="O78" s="69">
        <f>IF($B78="","",IFERROR($B78*$G78*$J78/$B$3,""))</f>
        <v/>
      </c>
      <c r="P78" s="69">
        <f>IF($B78="","",IFERROR($B78*$G78*$L78/$B$3,""))</f>
        <v/>
      </c>
      <c r="Q78" s="44">
        <f>IF($B78="","",IFERROR($O78+$P78,""))</f>
        <v/>
      </c>
      <c r="R78" s="69">
        <f>IF($B78="","",IFERROR($O78+$B78*$G78*$M78/$B$3,""))</f>
        <v/>
      </c>
      <c r="S78" s="69">
        <f>IF($B78="","",IFERROR($O78+$B78*$G78*$N78/$B$3,""))</f>
        <v/>
      </c>
      <c r="T78" s="88">
        <f>IF($B78="","",IFERROR($Q78/$Q$5,""))</f>
        <v/>
      </c>
      <c r="U78" s="2">
        <f>IF($B78="","",IF(COUNTIFS('Dvd Calendar'!$E$798:$AR$798,"&gt;0",'Dvd Calendar'!$E$798:$AR$798,"&lt;="&amp;VAL_DATE,'Dvd Calendar'!$E$799:$AR$799,"&gt;"&amp;PROJ_FROM,'Dvd Calendar'!$E$799:$AR$799,"&lt;="&amp;DATE(YEAR_Y,12,31))-COUNTIFS('Dvd Calendar'!$E$798:$AR$798,"&gt;0",'Dvd Calendar'!$E$798:$AR$798,"&lt;="&amp;VAL_DATE,'Dvd Calendar'!$E$799:$AR$799,"&gt;"&amp;PROJ_FROM,'Dvd Calendar'!$E$799:$AR$799,"&lt;="&amp;DATE(YEAR_Y,12,31),'Dvd Calendar'!$E$800:$AR$800,"&gt;=0")&gt;0,"TBA amount - override me",IF((OV_SWITCH="ON")*(COUNTIFS(OVR_TICKERS,$C78,OVR_BASE,"&gt;=0")&gt;0)&gt;0,"overridden",IF($J78+$K78=0,"no dividend in year Y",""))))</f>
        <v/>
      </c>
      <c r="V78" s="69">
        <f>IF($B78="","",IFERROR(IF(ISNUMBER($H78),$B78*$G78*$H78/$B$3,0),""))</f>
        <v/>
      </c>
      <c r="W78" s="69">
        <f>IF($B78="","",IFERROR($B78*$G78*$K78/$B$3,""))</f>
        <v/>
      </c>
      <c r="X78" s="98">
        <f>IF($C78="","",BDP($C78,"PX_LAST"))</f>
        <v/>
      </c>
      <c r="Y78" s="69">
        <f>IF($B78="","",IFERROR($B78*$X78/$B$3,""))</f>
        <v/>
      </c>
      <c r="Z78" s="73">
        <f>IF($B78="","",IFERROR($Y78/$Y$5,""))</f>
        <v/>
      </c>
    </row>
    <row r="79">
      <c r="B79" s="97" t="n"/>
      <c r="C79" s="8">
        <f>IF($A79="","",$A79&amp;" Equity")</f>
        <v/>
      </c>
      <c r="D79" s="8">
        <f>IF($C79="","",BDP($C79,"NAME"))</f>
        <v/>
      </c>
      <c r="E79" s="8">
        <f>IF($C79="","",BDP($C79,"GICS_SECTOR_NAME"))</f>
        <v/>
      </c>
      <c r="F79" s="37">
        <f>IF($C79="","",BDP($C79,FLD_CCY))</f>
        <v/>
      </c>
      <c r="G79" s="12">
        <f>IFERROR(IF(LEN($F79)&lt;&gt;3,1,IF($F79="HKD",1,BDP(IF($F79="CNY",RMB_CROSS,$F79)&amp;"HKD Curncy","PX_LAST"))),1)</f>
        <v/>
      </c>
      <c r="H79" s="69">
        <f>IF($C79="","",BDP($C79,FLD_DPS12M))</f>
        <v/>
      </c>
      <c r="I79" s="50">
        <f>IF($C79="","",BDP($C79,FLD_YLD12M))</f>
        <v/>
      </c>
      <c r="J79" s="52">
        <f>IF($B79="",0,SUMPRODUCT(('Dvd Calendar'!$E$803:$AR$803&gt;=DATE(YEAR_Y,1,1))*('Dvd Calendar'!$E$803:$AR$803&lt;=REALIZED_TO)*'Dvd Calendar'!$E$806:$AR$806*(('Dvd Calendar'!$E$808:$AR$808=TYPE1)*(TYPE1&lt;&gt;"")+('Dvd Calendar'!$E$808:$AR$808=TYPE2)*(TYPE2&lt;&gt;"")+('Dvd Calendar'!$E$808:$AR$808=TYPE3)*(TYPE3&lt;&gt;"")+('Dvd Calendar'!$E$808:$AR$808=TYPE4)*(TYPE4&lt;&gt;"")+('Dvd Calendar'!$E$808:$AR$808=SPECIAL_LBL)*(INC_SPECIALS="Y"))))</f>
        <v/>
      </c>
      <c r="K79" s="52">
        <f>IF($B79="",0,SUMIFS('Dvd Calendar'!$E$811:$AR$811,'Dvd Calendar'!$E$810:$AR$810,"&gt;"&amp;PROJ_FROM,'Dvd Calendar'!$E$810:$AR$810,"&lt;="&amp;DATE(YEAR_Y,12,31))+SUMPRODUCT(('Dvd Calendar'!$E$803:$AR$803&gt;PROJ_FROM)*('Dvd Calendar'!$E$803:$AR$803&lt;=DATE(YEAR_Y,12,31))*'Dvd Calendar'!$E$806:$AR$806*(('Dvd Calendar'!$E$808:$AR$808=TYPE1)*(TYPE1&lt;&gt;"")+('Dvd Calendar'!$E$808:$AR$808=TYPE2)*(TYPE2&lt;&gt;"")+('Dvd Calendar'!$E$808:$AR$808=TYPE3)*(TYPE3&lt;&gt;"")+('Dvd Calendar'!$E$808:$AR$808=TYPE4)*(TYPE4&lt;&gt;"")+('Dvd Calendar'!$E$808:$AR$808=SPECIAL_LBL)*(INC_SPECIALS="Y"))*(COUNTIF('Dvd Calendar'!$E$810:$AR$810,'Dvd Calendar'!$E$803:$AR$803)=0)))</f>
        <v/>
      </c>
      <c r="L79" s="52">
        <f>IF($B79="",0,IF((OV_SWITCH="ON")*(COUNTIFS(OVR_TICKERS,$C79,OVR_BASE,"&gt;=0")&gt;0)&gt;0,SUMIFS(OVR_BASE,OVR_TICKERS,$C79),$K79))</f>
        <v/>
      </c>
      <c r="M79" s="52">
        <f>IF($B79="",0,IF((OV_SWITCH="ON")*(COUNTIFS(OVR_TICKERS,$C79,OVR_LOW,"&gt;=0")&gt;0)&gt;0,SUMIFS(OVR_LOW,OVR_TICKERS,$C79),$L79))</f>
        <v/>
      </c>
      <c r="N79" s="52">
        <f>IF($B79="",0,IF((OV_SWITCH="ON")*(COUNTIFS(OVR_TICKERS,$C79,OVR_HIGH,"&gt;=0")&gt;0)&gt;0,SUMIFS(OVR_HIGH,OVR_TICKERS,$C79),$L79))</f>
        <v/>
      </c>
      <c r="O79" s="69">
        <f>IF($B79="","",IFERROR($B79*$G79*$J79/$B$3,""))</f>
        <v/>
      </c>
      <c r="P79" s="69">
        <f>IF($B79="","",IFERROR($B79*$G79*$L79/$B$3,""))</f>
        <v/>
      </c>
      <c r="Q79" s="44">
        <f>IF($B79="","",IFERROR($O79+$P79,""))</f>
        <v/>
      </c>
      <c r="R79" s="69">
        <f>IF($B79="","",IFERROR($O79+$B79*$G79*$M79/$B$3,""))</f>
        <v/>
      </c>
      <c r="S79" s="69">
        <f>IF($B79="","",IFERROR($O79+$B79*$G79*$N79/$B$3,""))</f>
        <v/>
      </c>
      <c r="T79" s="88">
        <f>IF($B79="","",IFERROR($Q79/$Q$5,""))</f>
        <v/>
      </c>
      <c r="U79" s="2">
        <f>IF($B79="","",IF(COUNTIFS('Dvd Calendar'!$E$809:$AR$809,"&gt;0",'Dvd Calendar'!$E$809:$AR$809,"&lt;="&amp;VAL_DATE,'Dvd Calendar'!$E$810:$AR$810,"&gt;"&amp;PROJ_FROM,'Dvd Calendar'!$E$810:$AR$810,"&lt;="&amp;DATE(YEAR_Y,12,31))-COUNTIFS('Dvd Calendar'!$E$809:$AR$809,"&gt;0",'Dvd Calendar'!$E$809:$AR$809,"&lt;="&amp;VAL_DATE,'Dvd Calendar'!$E$810:$AR$810,"&gt;"&amp;PROJ_FROM,'Dvd Calendar'!$E$810:$AR$810,"&lt;="&amp;DATE(YEAR_Y,12,31),'Dvd Calendar'!$E$811:$AR$811,"&gt;=0")&gt;0,"TBA amount - override me",IF((OV_SWITCH="ON")*(COUNTIFS(OVR_TICKERS,$C79,OVR_BASE,"&gt;=0")&gt;0)&gt;0,"overridden",IF($J79+$K79=0,"no dividend in year Y",""))))</f>
        <v/>
      </c>
      <c r="V79" s="69">
        <f>IF($B79="","",IFERROR(IF(ISNUMBER($H79),$B79*$G79*$H79/$B$3,0),""))</f>
        <v/>
      </c>
      <c r="W79" s="69">
        <f>IF($B79="","",IFERROR($B79*$G79*$K79/$B$3,""))</f>
        <v/>
      </c>
      <c r="X79" s="98">
        <f>IF($C79="","",BDP($C79,"PX_LAST"))</f>
        <v/>
      </c>
      <c r="Y79" s="69">
        <f>IF($B79="","",IFERROR($B79*$X79/$B$3,""))</f>
        <v/>
      </c>
      <c r="Z79" s="73">
        <f>IF($B79="","",IFERROR($Y79/$Y$5,""))</f>
        <v/>
      </c>
    </row>
    <row r="80">
      <c r="B80" s="97" t="n"/>
      <c r="C80" s="8">
        <f>IF($A80="","",$A80&amp;" Equity")</f>
        <v/>
      </c>
      <c r="D80" s="8">
        <f>IF($C80="","",BDP($C80,"NAME"))</f>
        <v/>
      </c>
      <c r="E80" s="8">
        <f>IF($C80="","",BDP($C80,"GICS_SECTOR_NAME"))</f>
        <v/>
      </c>
      <c r="F80" s="37">
        <f>IF($C80="","",BDP($C80,FLD_CCY))</f>
        <v/>
      </c>
      <c r="G80" s="12">
        <f>IFERROR(IF(LEN($F80)&lt;&gt;3,1,IF($F80="HKD",1,BDP(IF($F80="CNY",RMB_CROSS,$F80)&amp;"HKD Curncy","PX_LAST"))),1)</f>
        <v/>
      </c>
      <c r="H80" s="69">
        <f>IF($C80="","",BDP($C80,FLD_DPS12M))</f>
        <v/>
      </c>
      <c r="I80" s="50">
        <f>IF($C80="","",BDP($C80,FLD_YLD12M))</f>
        <v/>
      </c>
      <c r="J80" s="52">
        <f>IF($B80="",0,SUMPRODUCT(('Dvd Calendar'!$E$814:$AR$814&gt;=DATE(YEAR_Y,1,1))*('Dvd Calendar'!$E$814:$AR$814&lt;=REALIZED_TO)*'Dvd Calendar'!$E$817:$AR$817*(('Dvd Calendar'!$E$819:$AR$819=TYPE1)*(TYPE1&lt;&gt;"")+('Dvd Calendar'!$E$819:$AR$819=TYPE2)*(TYPE2&lt;&gt;"")+('Dvd Calendar'!$E$819:$AR$819=TYPE3)*(TYPE3&lt;&gt;"")+('Dvd Calendar'!$E$819:$AR$819=TYPE4)*(TYPE4&lt;&gt;"")+('Dvd Calendar'!$E$819:$AR$819=SPECIAL_LBL)*(INC_SPECIALS="Y"))))</f>
        <v/>
      </c>
      <c r="K80" s="52">
        <f>IF($B80="",0,SUMIFS('Dvd Calendar'!$E$822:$AR$822,'Dvd Calendar'!$E$821:$AR$821,"&gt;"&amp;PROJ_FROM,'Dvd Calendar'!$E$821:$AR$821,"&lt;="&amp;DATE(YEAR_Y,12,31))+SUMPRODUCT(('Dvd Calendar'!$E$814:$AR$814&gt;PROJ_FROM)*('Dvd Calendar'!$E$814:$AR$814&lt;=DATE(YEAR_Y,12,31))*'Dvd Calendar'!$E$817:$AR$817*(('Dvd Calendar'!$E$819:$AR$819=TYPE1)*(TYPE1&lt;&gt;"")+('Dvd Calendar'!$E$819:$AR$819=TYPE2)*(TYPE2&lt;&gt;"")+('Dvd Calendar'!$E$819:$AR$819=TYPE3)*(TYPE3&lt;&gt;"")+('Dvd Calendar'!$E$819:$AR$819=TYPE4)*(TYPE4&lt;&gt;"")+('Dvd Calendar'!$E$819:$AR$819=SPECIAL_LBL)*(INC_SPECIALS="Y"))*(COUNTIF('Dvd Calendar'!$E$821:$AR$821,'Dvd Calendar'!$E$814:$AR$814)=0)))</f>
        <v/>
      </c>
      <c r="L80" s="52">
        <f>IF($B80="",0,IF((OV_SWITCH="ON")*(COUNTIFS(OVR_TICKERS,$C80,OVR_BASE,"&gt;=0")&gt;0)&gt;0,SUMIFS(OVR_BASE,OVR_TICKERS,$C80),$K80))</f>
        <v/>
      </c>
      <c r="M80" s="52">
        <f>IF($B80="",0,IF((OV_SWITCH="ON")*(COUNTIFS(OVR_TICKERS,$C80,OVR_LOW,"&gt;=0")&gt;0)&gt;0,SUMIFS(OVR_LOW,OVR_TICKERS,$C80),$L80))</f>
        <v/>
      </c>
      <c r="N80" s="52">
        <f>IF($B80="",0,IF((OV_SWITCH="ON")*(COUNTIFS(OVR_TICKERS,$C80,OVR_HIGH,"&gt;=0")&gt;0)&gt;0,SUMIFS(OVR_HIGH,OVR_TICKERS,$C80),$L80))</f>
        <v/>
      </c>
      <c r="O80" s="69">
        <f>IF($B80="","",IFERROR($B80*$G80*$J80/$B$3,""))</f>
        <v/>
      </c>
      <c r="P80" s="69">
        <f>IF($B80="","",IFERROR($B80*$G80*$L80/$B$3,""))</f>
        <v/>
      </c>
      <c r="Q80" s="44">
        <f>IF($B80="","",IFERROR($O80+$P80,""))</f>
        <v/>
      </c>
      <c r="R80" s="69">
        <f>IF($B80="","",IFERROR($O80+$B80*$G80*$M80/$B$3,""))</f>
        <v/>
      </c>
      <c r="S80" s="69">
        <f>IF($B80="","",IFERROR($O80+$B80*$G80*$N80/$B$3,""))</f>
        <v/>
      </c>
      <c r="T80" s="88">
        <f>IF($B80="","",IFERROR($Q80/$Q$5,""))</f>
        <v/>
      </c>
      <c r="U80" s="2">
        <f>IF($B80="","",IF(COUNTIFS('Dvd Calendar'!$E$820:$AR$820,"&gt;0",'Dvd Calendar'!$E$820:$AR$820,"&lt;="&amp;VAL_DATE,'Dvd Calendar'!$E$821:$AR$821,"&gt;"&amp;PROJ_FROM,'Dvd Calendar'!$E$821:$AR$821,"&lt;="&amp;DATE(YEAR_Y,12,31))-COUNTIFS('Dvd Calendar'!$E$820:$AR$820,"&gt;0",'Dvd Calendar'!$E$820:$AR$820,"&lt;="&amp;VAL_DATE,'Dvd Calendar'!$E$821:$AR$821,"&gt;"&amp;PROJ_FROM,'Dvd Calendar'!$E$821:$AR$821,"&lt;="&amp;DATE(YEAR_Y,12,31),'Dvd Calendar'!$E$822:$AR$822,"&gt;=0")&gt;0,"TBA amount - override me",IF((OV_SWITCH="ON")*(COUNTIFS(OVR_TICKERS,$C80,OVR_BASE,"&gt;=0")&gt;0)&gt;0,"overridden",IF($J80+$K80=0,"no dividend in year Y",""))))</f>
        <v/>
      </c>
      <c r="V80" s="69">
        <f>IF($B80="","",IFERROR(IF(ISNUMBER($H80),$B80*$G80*$H80/$B$3,0),""))</f>
        <v/>
      </c>
      <c r="W80" s="69">
        <f>IF($B80="","",IFERROR($B80*$G80*$K80/$B$3,""))</f>
        <v/>
      </c>
      <c r="X80" s="98">
        <f>IF($C80="","",BDP($C80,"PX_LAST"))</f>
        <v/>
      </c>
      <c r="Y80" s="69">
        <f>IF($B80="","",IFERROR($B80*$X80/$B$3,""))</f>
        <v/>
      </c>
      <c r="Z80" s="73">
        <f>IF($B80="","",IFERROR($Y80/$Y$5,""))</f>
        <v/>
      </c>
    </row>
    <row r="81">
      <c r="B81" s="97" t="n"/>
      <c r="C81" s="8">
        <f>IF($A81="","",$A81&amp;" Equity")</f>
        <v/>
      </c>
      <c r="D81" s="8">
        <f>IF($C81="","",BDP($C81,"NAME"))</f>
        <v/>
      </c>
      <c r="E81" s="8">
        <f>IF($C81="","",BDP($C81,"GICS_SECTOR_NAME"))</f>
        <v/>
      </c>
      <c r="F81" s="37">
        <f>IF($C81="","",BDP($C81,FLD_CCY))</f>
        <v/>
      </c>
      <c r="G81" s="12">
        <f>IFERROR(IF(LEN($F81)&lt;&gt;3,1,IF($F81="HKD",1,BDP(IF($F81="CNY",RMB_CROSS,$F81)&amp;"HKD Curncy","PX_LAST"))),1)</f>
        <v/>
      </c>
      <c r="H81" s="69">
        <f>IF($C81="","",BDP($C81,FLD_DPS12M))</f>
        <v/>
      </c>
      <c r="I81" s="50">
        <f>IF($C81="","",BDP($C81,FLD_YLD12M))</f>
        <v/>
      </c>
      <c r="J81" s="52">
        <f>IF($B81="",0,SUMPRODUCT(('Dvd Calendar'!$E$825:$AR$825&gt;=DATE(YEAR_Y,1,1))*('Dvd Calendar'!$E$825:$AR$825&lt;=REALIZED_TO)*'Dvd Calendar'!$E$828:$AR$828*(('Dvd Calendar'!$E$830:$AR$830=TYPE1)*(TYPE1&lt;&gt;"")+('Dvd Calendar'!$E$830:$AR$830=TYPE2)*(TYPE2&lt;&gt;"")+('Dvd Calendar'!$E$830:$AR$830=TYPE3)*(TYPE3&lt;&gt;"")+('Dvd Calendar'!$E$830:$AR$830=TYPE4)*(TYPE4&lt;&gt;"")+('Dvd Calendar'!$E$830:$AR$830=SPECIAL_LBL)*(INC_SPECIALS="Y"))))</f>
        <v/>
      </c>
      <c r="K81" s="52">
        <f>IF($B81="",0,SUMIFS('Dvd Calendar'!$E$833:$AR$833,'Dvd Calendar'!$E$832:$AR$832,"&gt;"&amp;PROJ_FROM,'Dvd Calendar'!$E$832:$AR$832,"&lt;="&amp;DATE(YEAR_Y,12,31))+SUMPRODUCT(('Dvd Calendar'!$E$825:$AR$825&gt;PROJ_FROM)*('Dvd Calendar'!$E$825:$AR$825&lt;=DATE(YEAR_Y,12,31))*'Dvd Calendar'!$E$828:$AR$828*(('Dvd Calendar'!$E$830:$AR$830=TYPE1)*(TYPE1&lt;&gt;"")+('Dvd Calendar'!$E$830:$AR$830=TYPE2)*(TYPE2&lt;&gt;"")+('Dvd Calendar'!$E$830:$AR$830=TYPE3)*(TYPE3&lt;&gt;"")+('Dvd Calendar'!$E$830:$AR$830=TYPE4)*(TYPE4&lt;&gt;"")+('Dvd Calendar'!$E$830:$AR$830=SPECIAL_LBL)*(INC_SPECIALS="Y"))*(COUNTIF('Dvd Calendar'!$E$832:$AR$832,'Dvd Calendar'!$E$825:$AR$825)=0)))</f>
        <v/>
      </c>
      <c r="L81" s="52">
        <f>IF($B81="",0,IF((OV_SWITCH="ON")*(COUNTIFS(OVR_TICKERS,$C81,OVR_BASE,"&gt;=0")&gt;0)&gt;0,SUMIFS(OVR_BASE,OVR_TICKERS,$C81),$K81))</f>
        <v/>
      </c>
      <c r="M81" s="52">
        <f>IF($B81="",0,IF((OV_SWITCH="ON")*(COUNTIFS(OVR_TICKERS,$C81,OVR_LOW,"&gt;=0")&gt;0)&gt;0,SUMIFS(OVR_LOW,OVR_TICKERS,$C81),$L81))</f>
        <v/>
      </c>
      <c r="N81" s="52">
        <f>IF($B81="",0,IF((OV_SWITCH="ON")*(COUNTIFS(OVR_TICKERS,$C81,OVR_HIGH,"&gt;=0")&gt;0)&gt;0,SUMIFS(OVR_HIGH,OVR_TICKERS,$C81),$L81))</f>
        <v/>
      </c>
      <c r="O81" s="69">
        <f>IF($B81="","",IFERROR($B81*$G81*$J81/$B$3,""))</f>
        <v/>
      </c>
      <c r="P81" s="69">
        <f>IF($B81="","",IFERROR($B81*$G81*$L81/$B$3,""))</f>
        <v/>
      </c>
      <c r="Q81" s="44">
        <f>IF($B81="","",IFERROR($O81+$P81,""))</f>
        <v/>
      </c>
      <c r="R81" s="69">
        <f>IF($B81="","",IFERROR($O81+$B81*$G81*$M81/$B$3,""))</f>
        <v/>
      </c>
      <c r="S81" s="69">
        <f>IF($B81="","",IFERROR($O81+$B81*$G81*$N81/$B$3,""))</f>
        <v/>
      </c>
      <c r="T81" s="88">
        <f>IF($B81="","",IFERROR($Q81/$Q$5,""))</f>
        <v/>
      </c>
      <c r="U81" s="2">
        <f>IF($B81="","",IF(COUNTIFS('Dvd Calendar'!$E$831:$AR$831,"&gt;0",'Dvd Calendar'!$E$831:$AR$831,"&lt;="&amp;VAL_DATE,'Dvd Calendar'!$E$832:$AR$832,"&gt;"&amp;PROJ_FROM,'Dvd Calendar'!$E$832:$AR$832,"&lt;="&amp;DATE(YEAR_Y,12,31))-COUNTIFS('Dvd Calendar'!$E$831:$AR$831,"&gt;0",'Dvd Calendar'!$E$831:$AR$831,"&lt;="&amp;VAL_DATE,'Dvd Calendar'!$E$832:$AR$832,"&gt;"&amp;PROJ_FROM,'Dvd Calendar'!$E$832:$AR$832,"&lt;="&amp;DATE(YEAR_Y,12,31),'Dvd Calendar'!$E$833:$AR$833,"&gt;=0")&gt;0,"TBA amount - override me",IF((OV_SWITCH="ON")*(COUNTIFS(OVR_TICKERS,$C81,OVR_BASE,"&gt;=0")&gt;0)&gt;0,"overridden",IF($J81+$K81=0,"no dividend in year Y",""))))</f>
        <v/>
      </c>
      <c r="V81" s="69">
        <f>IF($B81="","",IFERROR(IF(ISNUMBER($H81),$B81*$G81*$H81/$B$3,0),""))</f>
        <v/>
      </c>
      <c r="W81" s="69">
        <f>IF($B81="","",IFERROR($B81*$G81*$K81/$B$3,""))</f>
        <v/>
      </c>
      <c r="X81" s="98">
        <f>IF($C81="","",BDP($C81,"PX_LAST"))</f>
        <v/>
      </c>
      <c r="Y81" s="69">
        <f>IF($B81="","",IFERROR($B81*$X81/$B$3,""))</f>
        <v/>
      </c>
      <c r="Z81" s="73">
        <f>IF($B81="","",IFERROR($Y81/$Y$5,""))</f>
        <v/>
      </c>
    </row>
    <row r="82">
      <c r="B82" s="97" t="n"/>
      <c r="C82" s="8">
        <f>IF($A82="","",$A82&amp;" Equity")</f>
        <v/>
      </c>
      <c r="D82" s="8">
        <f>IF($C82="","",BDP($C82,"NAME"))</f>
        <v/>
      </c>
      <c r="E82" s="8">
        <f>IF($C82="","",BDP($C82,"GICS_SECTOR_NAME"))</f>
        <v/>
      </c>
      <c r="F82" s="37">
        <f>IF($C82="","",BDP($C82,FLD_CCY))</f>
        <v/>
      </c>
      <c r="G82" s="12">
        <f>IFERROR(IF(LEN($F82)&lt;&gt;3,1,IF($F82="HKD",1,BDP(IF($F82="CNY",RMB_CROSS,$F82)&amp;"HKD Curncy","PX_LAST"))),1)</f>
        <v/>
      </c>
      <c r="H82" s="69">
        <f>IF($C82="","",BDP($C82,FLD_DPS12M))</f>
        <v/>
      </c>
      <c r="I82" s="50">
        <f>IF($C82="","",BDP($C82,FLD_YLD12M))</f>
        <v/>
      </c>
      <c r="J82" s="52">
        <f>IF($B82="",0,SUMPRODUCT(('Dvd Calendar'!$E$836:$AR$836&gt;=DATE(YEAR_Y,1,1))*('Dvd Calendar'!$E$836:$AR$836&lt;=REALIZED_TO)*'Dvd Calendar'!$E$839:$AR$839*(('Dvd Calendar'!$E$841:$AR$841=TYPE1)*(TYPE1&lt;&gt;"")+('Dvd Calendar'!$E$841:$AR$841=TYPE2)*(TYPE2&lt;&gt;"")+('Dvd Calendar'!$E$841:$AR$841=TYPE3)*(TYPE3&lt;&gt;"")+('Dvd Calendar'!$E$841:$AR$841=TYPE4)*(TYPE4&lt;&gt;"")+('Dvd Calendar'!$E$841:$AR$841=SPECIAL_LBL)*(INC_SPECIALS="Y"))))</f>
        <v/>
      </c>
      <c r="K82" s="52">
        <f>IF($B82="",0,SUMIFS('Dvd Calendar'!$E$844:$AR$844,'Dvd Calendar'!$E$843:$AR$843,"&gt;"&amp;PROJ_FROM,'Dvd Calendar'!$E$843:$AR$843,"&lt;="&amp;DATE(YEAR_Y,12,31))+SUMPRODUCT(('Dvd Calendar'!$E$836:$AR$836&gt;PROJ_FROM)*('Dvd Calendar'!$E$836:$AR$836&lt;=DATE(YEAR_Y,12,31))*'Dvd Calendar'!$E$839:$AR$839*(('Dvd Calendar'!$E$841:$AR$841=TYPE1)*(TYPE1&lt;&gt;"")+('Dvd Calendar'!$E$841:$AR$841=TYPE2)*(TYPE2&lt;&gt;"")+('Dvd Calendar'!$E$841:$AR$841=TYPE3)*(TYPE3&lt;&gt;"")+('Dvd Calendar'!$E$841:$AR$841=TYPE4)*(TYPE4&lt;&gt;"")+('Dvd Calendar'!$E$841:$AR$841=SPECIAL_LBL)*(INC_SPECIALS="Y"))*(COUNTIF('Dvd Calendar'!$E$843:$AR$843,'Dvd Calendar'!$E$836:$AR$836)=0)))</f>
        <v/>
      </c>
      <c r="L82" s="52">
        <f>IF($B82="",0,IF((OV_SWITCH="ON")*(COUNTIFS(OVR_TICKERS,$C82,OVR_BASE,"&gt;=0")&gt;0)&gt;0,SUMIFS(OVR_BASE,OVR_TICKERS,$C82),$K82))</f>
        <v/>
      </c>
      <c r="M82" s="52">
        <f>IF($B82="",0,IF((OV_SWITCH="ON")*(COUNTIFS(OVR_TICKERS,$C82,OVR_LOW,"&gt;=0")&gt;0)&gt;0,SUMIFS(OVR_LOW,OVR_TICKERS,$C82),$L82))</f>
        <v/>
      </c>
      <c r="N82" s="52">
        <f>IF($B82="",0,IF((OV_SWITCH="ON")*(COUNTIFS(OVR_TICKERS,$C82,OVR_HIGH,"&gt;=0")&gt;0)&gt;0,SUMIFS(OVR_HIGH,OVR_TICKERS,$C82),$L82))</f>
        <v/>
      </c>
      <c r="O82" s="69">
        <f>IF($B82="","",IFERROR($B82*$G82*$J82/$B$3,""))</f>
        <v/>
      </c>
      <c r="P82" s="69">
        <f>IF($B82="","",IFERROR($B82*$G82*$L82/$B$3,""))</f>
        <v/>
      </c>
      <c r="Q82" s="44">
        <f>IF($B82="","",IFERROR($O82+$P82,""))</f>
        <v/>
      </c>
      <c r="R82" s="69">
        <f>IF($B82="","",IFERROR($O82+$B82*$G82*$M82/$B$3,""))</f>
        <v/>
      </c>
      <c r="S82" s="69">
        <f>IF($B82="","",IFERROR($O82+$B82*$G82*$N82/$B$3,""))</f>
        <v/>
      </c>
      <c r="T82" s="88">
        <f>IF($B82="","",IFERROR($Q82/$Q$5,""))</f>
        <v/>
      </c>
      <c r="U82" s="2">
        <f>IF($B82="","",IF(COUNTIFS('Dvd Calendar'!$E$842:$AR$842,"&gt;0",'Dvd Calendar'!$E$842:$AR$842,"&lt;="&amp;VAL_DATE,'Dvd Calendar'!$E$843:$AR$843,"&gt;"&amp;PROJ_FROM,'Dvd Calendar'!$E$843:$AR$843,"&lt;="&amp;DATE(YEAR_Y,12,31))-COUNTIFS('Dvd Calendar'!$E$842:$AR$842,"&gt;0",'Dvd Calendar'!$E$842:$AR$842,"&lt;="&amp;VAL_DATE,'Dvd Calendar'!$E$843:$AR$843,"&gt;"&amp;PROJ_FROM,'Dvd Calendar'!$E$843:$AR$843,"&lt;="&amp;DATE(YEAR_Y,12,31),'Dvd Calendar'!$E$844:$AR$844,"&gt;=0")&gt;0,"TBA amount - override me",IF((OV_SWITCH="ON")*(COUNTIFS(OVR_TICKERS,$C82,OVR_BASE,"&gt;=0")&gt;0)&gt;0,"overridden",IF($J82+$K82=0,"no dividend in year Y",""))))</f>
        <v/>
      </c>
      <c r="V82" s="69">
        <f>IF($B82="","",IFERROR(IF(ISNUMBER($H82),$B82*$G82*$H82/$B$3,0),""))</f>
        <v/>
      </c>
      <c r="W82" s="69">
        <f>IF($B82="","",IFERROR($B82*$G82*$K82/$B$3,""))</f>
        <v/>
      </c>
      <c r="X82" s="98">
        <f>IF($C82="","",BDP($C82,"PX_LAST"))</f>
        <v/>
      </c>
      <c r="Y82" s="69">
        <f>IF($B82="","",IFERROR($B82*$X82/$B$3,""))</f>
        <v/>
      </c>
      <c r="Z82" s="73">
        <f>IF($B82="","",IFERROR($Y82/$Y$5,""))</f>
        <v/>
      </c>
    </row>
    <row r="83">
      <c r="B83" s="97" t="n"/>
      <c r="C83" s="8">
        <f>IF($A83="","",$A83&amp;" Equity")</f>
        <v/>
      </c>
      <c r="D83" s="8">
        <f>IF($C83="","",BDP($C83,"NAME"))</f>
        <v/>
      </c>
      <c r="E83" s="8">
        <f>IF($C83="","",BDP($C83,"GICS_SECTOR_NAME"))</f>
        <v/>
      </c>
      <c r="F83" s="37">
        <f>IF($C83="","",BDP($C83,FLD_CCY))</f>
        <v/>
      </c>
      <c r="G83" s="12">
        <f>IFERROR(IF(LEN($F83)&lt;&gt;3,1,IF($F83="HKD",1,BDP(IF($F83="CNY",RMB_CROSS,$F83)&amp;"HKD Curncy","PX_LAST"))),1)</f>
        <v/>
      </c>
      <c r="H83" s="69">
        <f>IF($C83="","",BDP($C83,FLD_DPS12M))</f>
        <v/>
      </c>
      <c r="I83" s="50">
        <f>IF($C83="","",BDP($C83,FLD_YLD12M))</f>
        <v/>
      </c>
      <c r="J83" s="52">
        <f>IF($B83="",0,SUMPRODUCT(('Dvd Calendar'!$E$847:$AR$847&gt;=DATE(YEAR_Y,1,1))*('Dvd Calendar'!$E$847:$AR$847&lt;=REALIZED_TO)*'Dvd Calendar'!$E$850:$AR$850*(('Dvd Calendar'!$E$852:$AR$852=TYPE1)*(TYPE1&lt;&gt;"")+('Dvd Calendar'!$E$852:$AR$852=TYPE2)*(TYPE2&lt;&gt;"")+('Dvd Calendar'!$E$852:$AR$852=TYPE3)*(TYPE3&lt;&gt;"")+('Dvd Calendar'!$E$852:$AR$852=TYPE4)*(TYPE4&lt;&gt;"")+('Dvd Calendar'!$E$852:$AR$852=SPECIAL_LBL)*(INC_SPECIALS="Y"))))</f>
        <v/>
      </c>
      <c r="K83" s="52">
        <f>IF($B83="",0,SUMIFS('Dvd Calendar'!$E$855:$AR$855,'Dvd Calendar'!$E$854:$AR$854,"&gt;"&amp;PROJ_FROM,'Dvd Calendar'!$E$854:$AR$854,"&lt;="&amp;DATE(YEAR_Y,12,31))+SUMPRODUCT(('Dvd Calendar'!$E$847:$AR$847&gt;PROJ_FROM)*('Dvd Calendar'!$E$847:$AR$847&lt;=DATE(YEAR_Y,12,31))*'Dvd Calendar'!$E$850:$AR$850*(('Dvd Calendar'!$E$852:$AR$852=TYPE1)*(TYPE1&lt;&gt;"")+('Dvd Calendar'!$E$852:$AR$852=TYPE2)*(TYPE2&lt;&gt;"")+('Dvd Calendar'!$E$852:$AR$852=TYPE3)*(TYPE3&lt;&gt;"")+('Dvd Calendar'!$E$852:$AR$852=TYPE4)*(TYPE4&lt;&gt;"")+('Dvd Calendar'!$E$852:$AR$852=SPECIAL_LBL)*(INC_SPECIALS="Y"))*(COUNTIF('Dvd Calendar'!$E$854:$AR$854,'Dvd Calendar'!$E$847:$AR$847)=0)))</f>
        <v/>
      </c>
      <c r="L83" s="52">
        <f>IF($B83="",0,IF((OV_SWITCH="ON")*(COUNTIFS(OVR_TICKERS,$C83,OVR_BASE,"&gt;=0")&gt;0)&gt;0,SUMIFS(OVR_BASE,OVR_TICKERS,$C83),$K83))</f>
        <v/>
      </c>
      <c r="M83" s="52">
        <f>IF($B83="",0,IF((OV_SWITCH="ON")*(COUNTIFS(OVR_TICKERS,$C83,OVR_LOW,"&gt;=0")&gt;0)&gt;0,SUMIFS(OVR_LOW,OVR_TICKERS,$C83),$L83))</f>
        <v/>
      </c>
      <c r="N83" s="52">
        <f>IF($B83="",0,IF((OV_SWITCH="ON")*(COUNTIFS(OVR_TICKERS,$C83,OVR_HIGH,"&gt;=0")&gt;0)&gt;0,SUMIFS(OVR_HIGH,OVR_TICKERS,$C83),$L83))</f>
        <v/>
      </c>
      <c r="O83" s="69">
        <f>IF($B83="","",IFERROR($B83*$G83*$J83/$B$3,""))</f>
        <v/>
      </c>
      <c r="P83" s="69">
        <f>IF($B83="","",IFERROR($B83*$G83*$L83/$B$3,""))</f>
        <v/>
      </c>
      <c r="Q83" s="44">
        <f>IF($B83="","",IFERROR($O83+$P83,""))</f>
        <v/>
      </c>
      <c r="R83" s="69">
        <f>IF($B83="","",IFERROR($O83+$B83*$G83*$M83/$B$3,""))</f>
        <v/>
      </c>
      <c r="S83" s="69">
        <f>IF($B83="","",IFERROR($O83+$B83*$G83*$N83/$B$3,""))</f>
        <v/>
      </c>
      <c r="T83" s="88">
        <f>IF($B83="","",IFERROR($Q83/$Q$5,""))</f>
        <v/>
      </c>
      <c r="U83" s="2">
        <f>IF($B83="","",IF(COUNTIFS('Dvd Calendar'!$E$853:$AR$853,"&gt;0",'Dvd Calendar'!$E$853:$AR$853,"&lt;="&amp;VAL_DATE,'Dvd Calendar'!$E$854:$AR$854,"&gt;"&amp;PROJ_FROM,'Dvd Calendar'!$E$854:$AR$854,"&lt;="&amp;DATE(YEAR_Y,12,31))-COUNTIFS('Dvd Calendar'!$E$853:$AR$853,"&gt;0",'Dvd Calendar'!$E$853:$AR$853,"&lt;="&amp;VAL_DATE,'Dvd Calendar'!$E$854:$AR$854,"&gt;"&amp;PROJ_FROM,'Dvd Calendar'!$E$854:$AR$854,"&lt;="&amp;DATE(YEAR_Y,12,31),'Dvd Calendar'!$E$855:$AR$855,"&gt;=0")&gt;0,"TBA amount - override me",IF((OV_SWITCH="ON")*(COUNTIFS(OVR_TICKERS,$C83,OVR_BASE,"&gt;=0")&gt;0)&gt;0,"overridden",IF($J83+$K83=0,"no dividend in year Y",""))))</f>
        <v/>
      </c>
      <c r="V83" s="69">
        <f>IF($B83="","",IFERROR(IF(ISNUMBER($H83),$B83*$G83*$H83/$B$3,0),""))</f>
        <v/>
      </c>
      <c r="W83" s="69">
        <f>IF($B83="","",IFERROR($B83*$G83*$K83/$B$3,""))</f>
        <v/>
      </c>
      <c r="X83" s="98">
        <f>IF($C83="","",BDP($C83,"PX_LAST"))</f>
        <v/>
      </c>
      <c r="Y83" s="69">
        <f>IF($B83="","",IFERROR($B83*$X83/$B$3,""))</f>
        <v/>
      </c>
      <c r="Z83" s="73">
        <f>IF($B83="","",IFERROR($Y83/$Y$5,""))</f>
        <v/>
      </c>
    </row>
    <row r="84">
      <c r="B84" s="97" t="n"/>
      <c r="C84" s="8">
        <f>IF($A84="","",$A84&amp;" Equity")</f>
        <v/>
      </c>
      <c r="D84" s="8">
        <f>IF($C84="","",BDP($C84,"NAME"))</f>
        <v/>
      </c>
      <c r="E84" s="8">
        <f>IF($C84="","",BDP($C84,"GICS_SECTOR_NAME"))</f>
        <v/>
      </c>
      <c r="F84" s="37">
        <f>IF($C84="","",BDP($C84,FLD_CCY))</f>
        <v/>
      </c>
      <c r="G84" s="12">
        <f>IFERROR(IF(LEN($F84)&lt;&gt;3,1,IF($F84="HKD",1,BDP(IF($F84="CNY",RMB_CROSS,$F84)&amp;"HKD Curncy","PX_LAST"))),1)</f>
        <v/>
      </c>
      <c r="H84" s="69">
        <f>IF($C84="","",BDP($C84,FLD_DPS12M))</f>
        <v/>
      </c>
      <c r="I84" s="50">
        <f>IF($C84="","",BDP($C84,FLD_YLD12M))</f>
        <v/>
      </c>
      <c r="J84" s="52">
        <f>IF($B84="",0,SUMPRODUCT(('Dvd Calendar'!$E$858:$AR$858&gt;=DATE(YEAR_Y,1,1))*('Dvd Calendar'!$E$858:$AR$858&lt;=REALIZED_TO)*'Dvd Calendar'!$E$861:$AR$861*(('Dvd Calendar'!$E$863:$AR$863=TYPE1)*(TYPE1&lt;&gt;"")+('Dvd Calendar'!$E$863:$AR$863=TYPE2)*(TYPE2&lt;&gt;"")+('Dvd Calendar'!$E$863:$AR$863=TYPE3)*(TYPE3&lt;&gt;"")+('Dvd Calendar'!$E$863:$AR$863=TYPE4)*(TYPE4&lt;&gt;"")+('Dvd Calendar'!$E$863:$AR$863=SPECIAL_LBL)*(INC_SPECIALS="Y"))))</f>
        <v/>
      </c>
      <c r="K84" s="52">
        <f>IF($B84="",0,SUMIFS('Dvd Calendar'!$E$866:$AR$866,'Dvd Calendar'!$E$865:$AR$865,"&gt;"&amp;PROJ_FROM,'Dvd Calendar'!$E$865:$AR$865,"&lt;="&amp;DATE(YEAR_Y,12,31))+SUMPRODUCT(('Dvd Calendar'!$E$858:$AR$858&gt;PROJ_FROM)*('Dvd Calendar'!$E$858:$AR$858&lt;=DATE(YEAR_Y,12,31))*'Dvd Calendar'!$E$861:$AR$861*(('Dvd Calendar'!$E$863:$AR$863=TYPE1)*(TYPE1&lt;&gt;"")+('Dvd Calendar'!$E$863:$AR$863=TYPE2)*(TYPE2&lt;&gt;"")+('Dvd Calendar'!$E$863:$AR$863=TYPE3)*(TYPE3&lt;&gt;"")+('Dvd Calendar'!$E$863:$AR$863=TYPE4)*(TYPE4&lt;&gt;"")+('Dvd Calendar'!$E$863:$AR$863=SPECIAL_LBL)*(INC_SPECIALS="Y"))*(COUNTIF('Dvd Calendar'!$E$865:$AR$865,'Dvd Calendar'!$E$858:$AR$858)=0)))</f>
        <v/>
      </c>
      <c r="L84" s="52">
        <f>IF($B84="",0,IF((OV_SWITCH="ON")*(COUNTIFS(OVR_TICKERS,$C84,OVR_BASE,"&gt;=0")&gt;0)&gt;0,SUMIFS(OVR_BASE,OVR_TICKERS,$C84),$K84))</f>
        <v/>
      </c>
      <c r="M84" s="52">
        <f>IF($B84="",0,IF((OV_SWITCH="ON")*(COUNTIFS(OVR_TICKERS,$C84,OVR_LOW,"&gt;=0")&gt;0)&gt;0,SUMIFS(OVR_LOW,OVR_TICKERS,$C84),$L84))</f>
        <v/>
      </c>
      <c r="N84" s="52">
        <f>IF($B84="",0,IF((OV_SWITCH="ON")*(COUNTIFS(OVR_TICKERS,$C84,OVR_HIGH,"&gt;=0")&gt;0)&gt;0,SUMIFS(OVR_HIGH,OVR_TICKERS,$C84),$L84))</f>
        <v/>
      </c>
      <c r="O84" s="69">
        <f>IF($B84="","",IFERROR($B84*$G84*$J84/$B$3,""))</f>
        <v/>
      </c>
      <c r="P84" s="69">
        <f>IF($B84="","",IFERROR($B84*$G84*$L84/$B$3,""))</f>
        <v/>
      </c>
      <c r="Q84" s="44">
        <f>IF($B84="","",IFERROR($O84+$P84,""))</f>
        <v/>
      </c>
      <c r="R84" s="69">
        <f>IF($B84="","",IFERROR($O84+$B84*$G84*$M84/$B$3,""))</f>
        <v/>
      </c>
      <c r="S84" s="69">
        <f>IF($B84="","",IFERROR($O84+$B84*$G84*$N84/$B$3,""))</f>
        <v/>
      </c>
      <c r="T84" s="88">
        <f>IF($B84="","",IFERROR($Q84/$Q$5,""))</f>
        <v/>
      </c>
      <c r="U84" s="2">
        <f>IF($B84="","",IF(COUNTIFS('Dvd Calendar'!$E$864:$AR$864,"&gt;0",'Dvd Calendar'!$E$864:$AR$864,"&lt;="&amp;VAL_DATE,'Dvd Calendar'!$E$865:$AR$865,"&gt;"&amp;PROJ_FROM,'Dvd Calendar'!$E$865:$AR$865,"&lt;="&amp;DATE(YEAR_Y,12,31))-COUNTIFS('Dvd Calendar'!$E$864:$AR$864,"&gt;0",'Dvd Calendar'!$E$864:$AR$864,"&lt;="&amp;VAL_DATE,'Dvd Calendar'!$E$865:$AR$865,"&gt;"&amp;PROJ_FROM,'Dvd Calendar'!$E$865:$AR$865,"&lt;="&amp;DATE(YEAR_Y,12,31),'Dvd Calendar'!$E$866:$AR$866,"&gt;=0")&gt;0,"TBA amount - override me",IF((OV_SWITCH="ON")*(COUNTIFS(OVR_TICKERS,$C84,OVR_BASE,"&gt;=0")&gt;0)&gt;0,"overridden",IF($J84+$K84=0,"no dividend in year Y",""))))</f>
        <v/>
      </c>
      <c r="V84" s="69">
        <f>IF($B84="","",IFERROR(IF(ISNUMBER($H84),$B84*$G84*$H84/$B$3,0),""))</f>
        <v/>
      </c>
      <c r="W84" s="69">
        <f>IF($B84="","",IFERROR($B84*$G84*$K84/$B$3,""))</f>
        <v/>
      </c>
      <c r="X84" s="98">
        <f>IF($C84="","",BDP($C84,"PX_LAST"))</f>
        <v/>
      </c>
      <c r="Y84" s="69">
        <f>IF($B84="","",IFERROR($B84*$X84/$B$3,""))</f>
        <v/>
      </c>
      <c r="Z84" s="73">
        <f>IF($B84="","",IFERROR($Y84/$Y$5,""))</f>
        <v/>
      </c>
    </row>
    <row r="85">
      <c r="B85" s="97" t="n"/>
      <c r="C85" s="8">
        <f>IF($A85="","",$A85&amp;" Equity")</f>
        <v/>
      </c>
      <c r="D85" s="8">
        <f>IF($C85="","",BDP($C85,"NAME"))</f>
        <v/>
      </c>
      <c r="E85" s="8">
        <f>IF($C85="","",BDP($C85,"GICS_SECTOR_NAME"))</f>
        <v/>
      </c>
      <c r="F85" s="37">
        <f>IF($C85="","",BDP($C85,FLD_CCY))</f>
        <v/>
      </c>
      <c r="G85" s="12">
        <f>IFERROR(IF(LEN($F85)&lt;&gt;3,1,IF($F85="HKD",1,BDP(IF($F85="CNY",RMB_CROSS,$F85)&amp;"HKD Curncy","PX_LAST"))),1)</f>
        <v/>
      </c>
      <c r="H85" s="69">
        <f>IF($C85="","",BDP($C85,FLD_DPS12M))</f>
        <v/>
      </c>
      <c r="I85" s="50">
        <f>IF($C85="","",BDP($C85,FLD_YLD12M))</f>
        <v/>
      </c>
      <c r="J85" s="52">
        <f>IF($B85="",0,SUMPRODUCT(('Dvd Calendar'!$E$869:$AR$869&gt;=DATE(YEAR_Y,1,1))*('Dvd Calendar'!$E$869:$AR$869&lt;=REALIZED_TO)*'Dvd Calendar'!$E$872:$AR$872*(('Dvd Calendar'!$E$874:$AR$874=TYPE1)*(TYPE1&lt;&gt;"")+('Dvd Calendar'!$E$874:$AR$874=TYPE2)*(TYPE2&lt;&gt;"")+('Dvd Calendar'!$E$874:$AR$874=TYPE3)*(TYPE3&lt;&gt;"")+('Dvd Calendar'!$E$874:$AR$874=TYPE4)*(TYPE4&lt;&gt;"")+('Dvd Calendar'!$E$874:$AR$874=SPECIAL_LBL)*(INC_SPECIALS="Y"))))</f>
        <v/>
      </c>
      <c r="K85" s="52">
        <f>IF($B85="",0,SUMIFS('Dvd Calendar'!$E$877:$AR$877,'Dvd Calendar'!$E$876:$AR$876,"&gt;"&amp;PROJ_FROM,'Dvd Calendar'!$E$876:$AR$876,"&lt;="&amp;DATE(YEAR_Y,12,31))+SUMPRODUCT(('Dvd Calendar'!$E$869:$AR$869&gt;PROJ_FROM)*('Dvd Calendar'!$E$869:$AR$869&lt;=DATE(YEAR_Y,12,31))*'Dvd Calendar'!$E$872:$AR$872*(('Dvd Calendar'!$E$874:$AR$874=TYPE1)*(TYPE1&lt;&gt;"")+('Dvd Calendar'!$E$874:$AR$874=TYPE2)*(TYPE2&lt;&gt;"")+('Dvd Calendar'!$E$874:$AR$874=TYPE3)*(TYPE3&lt;&gt;"")+('Dvd Calendar'!$E$874:$AR$874=TYPE4)*(TYPE4&lt;&gt;"")+('Dvd Calendar'!$E$874:$AR$874=SPECIAL_LBL)*(INC_SPECIALS="Y"))*(COUNTIF('Dvd Calendar'!$E$876:$AR$876,'Dvd Calendar'!$E$869:$AR$869)=0)))</f>
        <v/>
      </c>
      <c r="L85" s="52">
        <f>IF($B85="",0,IF((OV_SWITCH="ON")*(COUNTIFS(OVR_TICKERS,$C85,OVR_BASE,"&gt;=0")&gt;0)&gt;0,SUMIFS(OVR_BASE,OVR_TICKERS,$C85),$K85))</f>
        <v/>
      </c>
      <c r="M85" s="52">
        <f>IF($B85="",0,IF((OV_SWITCH="ON")*(COUNTIFS(OVR_TICKERS,$C85,OVR_LOW,"&gt;=0")&gt;0)&gt;0,SUMIFS(OVR_LOW,OVR_TICKERS,$C85),$L85))</f>
        <v/>
      </c>
      <c r="N85" s="52">
        <f>IF($B85="",0,IF((OV_SWITCH="ON")*(COUNTIFS(OVR_TICKERS,$C85,OVR_HIGH,"&gt;=0")&gt;0)&gt;0,SUMIFS(OVR_HIGH,OVR_TICKERS,$C85),$L85))</f>
        <v/>
      </c>
      <c r="O85" s="69">
        <f>IF($B85="","",IFERROR($B85*$G85*$J85/$B$3,""))</f>
        <v/>
      </c>
      <c r="P85" s="69">
        <f>IF($B85="","",IFERROR($B85*$G85*$L85/$B$3,""))</f>
        <v/>
      </c>
      <c r="Q85" s="44">
        <f>IF($B85="","",IFERROR($O85+$P85,""))</f>
        <v/>
      </c>
      <c r="R85" s="69">
        <f>IF($B85="","",IFERROR($O85+$B85*$G85*$M85/$B$3,""))</f>
        <v/>
      </c>
      <c r="S85" s="69">
        <f>IF($B85="","",IFERROR($O85+$B85*$G85*$N85/$B$3,""))</f>
        <v/>
      </c>
      <c r="T85" s="88">
        <f>IF($B85="","",IFERROR($Q85/$Q$5,""))</f>
        <v/>
      </c>
      <c r="U85" s="2">
        <f>IF($B85="","",IF(COUNTIFS('Dvd Calendar'!$E$875:$AR$875,"&gt;0",'Dvd Calendar'!$E$875:$AR$875,"&lt;="&amp;VAL_DATE,'Dvd Calendar'!$E$876:$AR$876,"&gt;"&amp;PROJ_FROM,'Dvd Calendar'!$E$876:$AR$876,"&lt;="&amp;DATE(YEAR_Y,12,31))-COUNTIFS('Dvd Calendar'!$E$875:$AR$875,"&gt;0",'Dvd Calendar'!$E$875:$AR$875,"&lt;="&amp;VAL_DATE,'Dvd Calendar'!$E$876:$AR$876,"&gt;"&amp;PROJ_FROM,'Dvd Calendar'!$E$876:$AR$876,"&lt;="&amp;DATE(YEAR_Y,12,31),'Dvd Calendar'!$E$877:$AR$877,"&gt;=0")&gt;0,"TBA amount - override me",IF((OV_SWITCH="ON")*(COUNTIFS(OVR_TICKERS,$C85,OVR_BASE,"&gt;=0")&gt;0)&gt;0,"overridden",IF($J85+$K85=0,"no dividend in year Y",""))))</f>
        <v/>
      </c>
      <c r="V85" s="69">
        <f>IF($B85="","",IFERROR(IF(ISNUMBER($H85),$B85*$G85*$H85/$B$3,0),""))</f>
        <v/>
      </c>
      <c r="W85" s="69">
        <f>IF($B85="","",IFERROR($B85*$G85*$K85/$B$3,""))</f>
        <v/>
      </c>
      <c r="X85" s="98">
        <f>IF($C85="","",BDP($C85,"PX_LAST"))</f>
        <v/>
      </c>
      <c r="Y85" s="69">
        <f>IF($B85="","",IFERROR($B85*$X85/$B$3,""))</f>
        <v/>
      </c>
      <c r="Z85" s="73">
        <f>IF($B85="","",IFERROR($Y85/$Y$5,""))</f>
        <v/>
      </c>
    </row>
    <row r="86">
      <c r="B86" s="97" t="n"/>
      <c r="C86" s="8">
        <f>IF($A86="","",$A86&amp;" Equity")</f>
        <v/>
      </c>
      <c r="D86" s="8">
        <f>IF($C86="","",BDP($C86,"NAME"))</f>
        <v/>
      </c>
      <c r="E86" s="8">
        <f>IF($C86="","",BDP($C86,"GICS_SECTOR_NAME"))</f>
        <v/>
      </c>
      <c r="F86" s="37">
        <f>IF($C86="","",BDP($C86,FLD_CCY))</f>
        <v/>
      </c>
      <c r="G86" s="12">
        <f>IFERROR(IF(LEN($F86)&lt;&gt;3,1,IF($F86="HKD",1,BDP(IF($F86="CNY",RMB_CROSS,$F86)&amp;"HKD Curncy","PX_LAST"))),1)</f>
        <v/>
      </c>
      <c r="H86" s="69">
        <f>IF($C86="","",BDP($C86,FLD_DPS12M))</f>
        <v/>
      </c>
      <c r="I86" s="50">
        <f>IF($C86="","",BDP($C86,FLD_YLD12M))</f>
        <v/>
      </c>
      <c r="J86" s="52">
        <f>IF($B86="",0,SUMPRODUCT(('Dvd Calendar'!$E$880:$AR$880&gt;=DATE(YEAR_Y,1,1))*('Dvd Calendar'!$E$880:$AR$880&lt;=REALIZED_TO)*'Dvd Calendar'!$E$883:$AR$883*(('Dvd Calendar'!$E$885:$AR$885=TYPE1)*(TYPE1&lt;&gt;"")+('Dvd Calendar'!$E$885:$AR$885=TYPE2)*(TYPE2&lt;&gt;"")+('Dvd Calendar'!$E$885:$AR$885=TYPE3)*(TYPE3&lt;&gt;"")+('Dvd Calendar'!$E$885:$AR$885=TYPE4)*(TYPE4&lt;&gt;"")+('Dvd Calendar'!$E$885:$AR$885=SPECIAL_LBL)*(INC_SPECIALS="Y"))))</f>
        <v/>
      </c>
      <c r="K86" s="52">
        <f>IF($B86="",0,SUMIFS('Dvd Calendar'!$E$888:$AR$888,'Dvd Calendar'!$E$887:$AR$887,"&gt;"&amp;PROJ_FROM,'Dvd Calendar'!$E$887:$AR$887,"&lt;="&amp;DATE(YEAR_Y,12,31))+SUMPRODUCT(('Dvd Calendar'!$E$880:$AR$880&gt;PROJ_FROM)*('Dvd Calendar'!$E$880:$AR$880&lt;=DATE(YEAR_Y,12,31))*'Dvd Calendar'!$E$883:$AR$883*(('Dvd Calendar'!$E$885:$AR$885=TYPE1)*(TYPE1&lt;&gt;"")+('Dvd Calendar'!$E$885:$AR$885=TYPE2)*(TYPE2&lt;&gt;"")+('Dvd Calendar'!$E$885:$AR$885=TYPE3)*(TYPE3&lt;&gt;"")+('Dvd Calendar'!$E$885:$AR$885=TYPE4)*(TYPE4&lt;&gt;"")+('Dvd Calendar'!$E$885:$AR$885=SPECIAL_LBL)*(INC_SPECIALS="Y"))*(COUNTIF('Dvd Calendar'!$E$887:$AR$887,'Dvd Calendar'!$E$880:$AR$880)=0)))</f>
        <v/>
      </c>
      <c r="L86" s="52">
        <f>IF($B86="",0,IF((OV_SWITCH="ON")*(COUNTIFS(OVR_TICKERS,$C86,OVR_BASE,"&gt;=0")&gt;0)&gt;0,SUMIFS(OVR_BASE,OVR_TICKERS,$C86),$K86))</f>
        <v/>
      </c>
      <c r="M86" s="52">
        <f>IF($B86="",0,IF((OV_SWITCH="ON")*(COUNTIFS(OVR_TICKERS,$C86,OVR_LOW,"&gt;=0")&gt;0)&gt;0,SUMIFS(OVR_LOW,OVR_TICKERS,$C86),$L86))</f>
        <v/>
      </c>
      <c r="N86" s="52">
        <f>IF($B86="",0,IF((OV_SWITCH="ON")*(COUNTIFS(OVR_TICKERS,$C86,OVR_HIGH,"&gt;=0")&gt;0)&gt;0,SUMIFS(OVR_HIGH,OVR_TICKERS,$C86),$L86))</f>
        <v/>
      </c>
      <c r="O86" s="69">
        <f>IF($B86="","",IFERROR($B86*$G86*$J86/$B$3,""))</f>
        <v/>
      </c>
      <c r="P86" s="69">
        <f>IF($B86="","",IFERROR($B86*$G86*$L86/$B$3,""))</f>
        <v/>
      </c>
      <c r="Q86" s="44">
        <f>IF($B86="","",IFERROR($O86+$P86,""))</f>
        <v/>
      </c>
      <c r="R86" s="69">
        <f>IF($B86="","",IFERROR($O86+$B86*$G86*$M86/$B$3,""))</f>
        <v/>
      </c>
      <c r="S86" s="69">
        <f>IF($B86="","",IFERROR($O86+$B86*$G86*$N86/$B$3,""))</f>
        <v/>
      </c>
      <c r="T86" s="88">
        <f>IF($B86="","",IFERROR($Q86/$Q$5,""))</f>
        <v/>
      </c>
      <c r="U86" s="2">
        <f>IF($B86="","",IF(COUNTIFS('Dvd Calendar'!$E$886:$AR$886,"&gt;0",'Dvd Calendar'!$E$886:$AR$886,"&lt;="&amp;VAL_DATE,'Dvd Calendar'!$E$887:$AR$887,"&gt;"&amp;PROJ_FROM,'Dvd Calendar'!$E$887:$AR$887,"&lt;="&amp;DATE(YEAR_Y,12,31))-COUNTIFS('Dvd Calendar'!$E$886:$AR$886,"&gt;0",'Dvd Calendar'!$E$886:$AR$886,"&lt;="&amp;VAL_DATE,'Dvd Calendar'!$E$887:$AR$887,"&gt;"&amp;PROJ_FROM,'Dvd Calendar'!$E$887:$AR$887,"&lt;="&amp;DATE(YEAR_Y,12,31),'Dvd Calendar'!$E$888:$AR$888,"&gt;=0")&gt;0,"TBA amount - override me",IF((OV_SWITCH="ON")*(COUNTIFS(OVR_TICKERS,$C86,OVR_BASE,"&gt;=0")&gt;0)&gt;0,"overridden",IF($J86+$K86=0,"no dividend in year Y",""))))</f>
        <v/>
      </c>
      <c r="V86" s="69">
        <f>IF($B86="","",IFERROR(IF(ISNUMBER($H86),$B86*$G86*$H86/$B$3,0),""))</f>
        <v/>
      </c>
      <c r="W86" s="69">
        <f>IF($B86="","",IFERROR($B86*$G86*$K86/$B$3,""))</f>
        <v/>
      </c>
      <c r="X86" s="98">
        <f>IF($C86="","",BDP($C86,"PX_LAST"))</f>
        <v/>
      </c>
      <c r="Y86" s="69">
        <f>IF($B86="","",IFERROR($B86*$X86/$B$3,""))</f>
        <v/>
      </c>
      <c r="Z86" s="73">
        <f>IF($B86="","",IFERROR($Y86/$Y$5,""))</f>
        <v/>
      </c>
    </row>
    <row r="87">
      <c r="B87" s="97" t="n"/>
      <c r="C87" s="8">
        <f>IF($A87="","",$A87&amp;" Equity")</f>
        <v/>
      </c>
      <c r="D87" s="8">
        <f>IF($C87="","",BDP($C87,"NAME"))</f>
        <v/>
      </c>
      <c r="E87" s="8">
        <f>IF($C87="","",BDP($C87,"GICS_SECTOR_NAME"))</f>
        <v/>
      </c>
      <c r="F87" s="37">
        <f>IF($C87="","",BDP($C87,FLD_CCY))</f>
        <v/>
      </c>
      <c r="G87" s="12">
        <f>IFERROR(IF(LEN($F87)&lt;&gt;3,1,IF($F87="HKD",1,BDP(IF($F87="CNY",RMB_CROSS,$F87)&amp;"HKD Curncy","PX_LAST"))),1)</f>
        <v/>
      </c>
      <c r="H87" s="69">
        <f>IF($C87="","",BDP($C87,FLD_DPS12M))</f>
        <v/>
      </c>
      <c r="I87" s="50">
        <f>IF($C87="","",BDP($C87,FLD_YLD12M))</f>
        <v/>
      </c>
      <c r="J87" s="52">
        <f>IF($B87="",0,SUMPRODUCT(('Dvd Calendar'!$E$891:$AR$891&gt;=DATE(YEAR_Y,1,1))*('Dvd Calendar'!$E$891:$AR$891&lt;=REALIZED_TO)*'Dvd Calendar'!$E$894:$AR$894*(('Dvd Calendar'!$E$896:$AR$896=TYPE1)*(TYPE1&lt;&gt;"")+('Dvd Calendar'!$E$896:$AR$896=TYPE2)*(TYPE2&lt;&gt;"")+('Dvd Calendar'!$E$896:$AR$896=TYPE3)*(TYPE3&lt;&gt;"")+('Dvd Calendar'!$E$896:$AR$896=TYPE4)*(TYPE4&lt;&gt;"")+('Dvd Calendar'!$E$896:$AR$896=SPECIAL_LBL)*(INC_SPECIALS="Y"))))</f>
        <v/>
      </c>
      <c r="K87" s="52">
        <f>IF($B87="",0,SUMIFS('Dvd Calendar'!$E$899:$AR$899,'Dvd Calendar'!$E$898:$AR$898,"&gt;"&amp;PROJ_FROM,'Dvd Calendar'!$E$898:$AR$898,"&lt;="&amp;DATE(YEAR_Y,12,31))+SUMPRODUCT(('Dvd Calendar'!$E$891:$AR$891&gt;PROJ_FROM)*('Dvd Calendar'!$E$891:$AR$891&lt;=DATE(YEAR_Y,12,31))*'Dvd Calendar'!$E$894:$AR$894*(('Dvd Calendar'!$E$896:$AR$896=TYPE1)*(TYPE1&lt;&gt;"")+('Dvd Calendar'!$E$896:$AR$896=TYPE2)*(TYPE2&lt;&gt;"")+('Dvd Calendar'!$E$896:$AR$896=TYPE3)*(TYPE3&lt;&gt;"")+('Dvd Calendar'!$E$896:$AR$896=TYPE4)*(TYPE4&lt;&gt;"")+('Dvd Calendar'!$E$896:$AR$896=SPECIAL_LBL)*(INC_SPECIALS="Y"))*(COUNTIF('Dvd Calendar'!$E$898:$AR$898,'Dvd Calendar'!$E$891:$AR$891)=0)))</f>
        <v/>
      </c>
      <c r="L87" s="52">
        <f>IF($B87="",0,IF((OV_SWITCH="ON")*(COUNTIFS(OVR_TICKERS,$C87,OVR_BASE,"&gt;=0")&gt;0)&gt;0,SUMIFS(OVR_BASE,OVR_TICKERS,$C87),$K87))</f>
        <v/>
      </c>
      <c r="M87" s="52">
        <f>IF($B87="",0,IF((OV_SWITCH="ON")*(COUNTIFS(OVR_TICKERS,$C87,OVR_LOW,"&gt;=0")&gt;0)&gt;0,SUMIFS(OVR_LOW,OVR_TICKERS,$C87),$L87))</f>
        <v/>
      </c>
      <c r="N87" s="52">
        <f>IF($B87="",0,IF((OV_SWITCH="ON")*(COUNTIFS(OVR_TICKERS,$C87,OVR_HIGH,"&gt;=0")&gt;0)&gt;0,SUMIFS(OVR_HIGH,OVR_TICKERS,$C87),$L87))</f>
        <v/>
      </c>
      <c r="O87" s="69">
        <f>IF($B87="","",IFERROR($B87*$G87*$J87/$B$3,""))</f>
        <v/>
      </c>
      <c r="P87" s="69">
        <f>IF($B87="","",IFERROR($B87*$G87*$L87/$B$3,""))</f>
        <v/>
      </c>
      <c r="Q87" s="44">
        <f>IF($B87="","",IFERROR($O87+$P87,""))</f>
        <v/>
      </c>
      <c r="R87" s="69">
        <f>IF($B87="","",IFERROR($O87+$B87*$G87*$M87/$B$3,""))</f>
        <v/>
      </c>
      <c r="S87" s="69">
        <f>IF($B87="","",IFERROR($O87+$B87*$G87*$N87/$B$3,""))</f>
        <v/>
      </c>
      <c r="T87" s="88">
        <f>IF($B87="","",IFERROR($Q87/$Q$5,""))</f>
        <v/>
      </c>
      <c r="U87" s="2">
        <f>IF($B87="","",IF(COUNTIFS('Dvd Calendar'!$E$897:$AR$897,"&gt;0",'Dvd Calendar'!$E$897:$AR$897,"&lt;="&amp;VAL_DATE,'Dvd Calendar'!$E$898:$AR$898,"&gt;"&amp;PROJ_FROM,'Dvd Calendar'!$E$898:$AR$898,"&lt;="&amp;DATE(YEAR_Y,12,31))-COUNTIFS('Dvd Calendar'!$E$897:$AR$897,"&gt;0",'Dvd Calendar'!$E$897:$AR$897,"&lt;="&amp;VAL_DATE,'Dvd Calendar'!$E$898:$AR$898,"&gt;"&amp;PROJ_FROM,'Dvd Calendar'!$E$898:$AR$898,"&lt;="&amp;DATE(YEAR_Y,12,31),'Dvd Calendar'!$E$899:$AR$899,"&gt;=0")&gt;0,"TBA amount - override me",IF((OV_SWITCH="ON")*(COUNTIFS(OVR_TICKERS,$C87,OVR_BASE,"&gt;=0")&gt;0)&gt;0,"overridden",IF($J87+$K87=0,"no dividend in year Y",""))))</f>
        <v/>
      </c>
      <c r="V87" s="69">
        <f>IF($B87="","",IFERROR(IF(ISNUMBER($H87),$B87*$G87*$H87/$B$3,0),""))</f>
        <v/>
      </c>
      <c r="W87" s="69">
        <f>IF($B87="","",IFERROR($B87*$G87*$K87/$B$3,""))</f>
        <v/>
      </c>
      <c r="X87" s="98">
        <f>IF($C87="","",BDP($C87,"PX_LAST"))</f>
        <v/>
      </c>
      <c r="Y87" s="69">
        <f>IF($B87="","",IFERROR($B87*$X87/$B$3,""))</f>
        <v/>
      </c>
      <c r="Z87" s="73">
        <f>IF($B87="","",IFERROR($Y87/$Y$5,""))</f>
        <v/>
      </c>
    </row>
    <row r="88">
      <c r="B88" s="97" t="n"/>
      <c r="C88" s="8">
        <f>IF($A88="","",$A88&amp;" Equity")</f>
        <v/>
      </c>
      <c r="D88" s="8">
        <f>IF($C88="","",BDP($C88,"NAME"))</f>
        <v/>
      </c>
      <c r="E88" s="8">
        <f>IF($C88="","",BDP($C88,"GICS_SECTOR_NAME"))</f>
        <v/>
      </c>
      <c r="F88" s="37">
        <f>IF($C88="","",BDP($C88,FLD_CCY))</f>
        <v/>
      </c>
      <c r="G88" s="12">
        <f>IFERROR(IF(LEN($F88)&lt;&gt;3,1,IF($F88="HKD",1,BDP(IF($F88="CNY",RMB_CROSS,$F88)&amp;"HKD Curncy","PX_LAST"))),1)</f>
        <v/>
      </c>
      <c r="H88" s="69">
        <f>IF($C88="","",BDP($C88,FLD_DPS12M))</f>
        <v/>
      </c>
      <c r="I88" s="50">
        <f>IF($C88="","",BDP($C88,FLD_YLD12M))</f>
        <v/>
      </c>
      <c r="J88" s="52">
        <f>IF($B88="",0,SUMPRODUCT(('Dvd Calendar'!$E$902:$AR$902&gt;=DATE(YEAR_Y,1,1))*('Dvd Calendar'!$E$902:$AR$902&lt;=REALIZED_TO)*'Dvd Calendar'!$E$905:$AR$905*(('Dvd Calendar'!$E$907:$AR$907=TYPE1)*(TYPE1&lt;&gt;"")+('Dvd Calendar'!$E$907:$AR$907=TYPE2)*(TYPE2&lt;&gt;"")+('Dvd Calendar'!$E$907:$AR$907=TYPE3)*(TYPE3&lt;&gt;"")+('Dvd Calendar'!$E$907:$AR$907=TYPE4)*(TYPE4&lt;&gt;"")+('Dvd Calendar'!$E$907:$AR$907=SPECIAL_LBL)*(INC_SPECIALS="Y"))))</f>
        <v/>
      </c>
      <c r="K88" s="52">
        <f>IF($B88="",0,SUMIFS('Dvd Calendar'!$E$910:$AR$910,'Dvd Calendar'!$E$909:$AR$909,"&gt;"&amp;PROJ_FROM,'Dvd Calendar'!$E$909:$AR$909,"&lt;="&amp;DATE(YEAR_Y,12,31))+SUMPRODUCT(('Dvd Calendar'!$E$902:$AR$902&gt;PROJ_FROM)*('Dvd Calendar'!$E$902:$AR$902&lt;=DATE(YEAR_Y,12,31))*'Dvd Calendar'!$E$905:$AR$905*(('Dvd Calendar'!$E$907:$AR$907=TYPE1)*(TYPE1&lt;&gt;"")+('Dvd Calendar'!$E$907:$AR$907=TYPE2)*(TYPE2&lt;&gt;"")+('Dvd Calendar'!$E$907:$AR$907=TYPE3)*(TYPE3&lt;&gt;"")+('Dvd Calendar'!$E$907:$AR$907=TYPE4)*(TYPE4&lt;&gt;"")+('Dvd Calendar'!$E$907:$AR$907=SPECIAL_LBL)*(INC_SPECIALS="Y"))*(COUNTIF('Dvd Calendar'!$E$909:$AR$909,'Dvd Calendar'!$E$902:$AR$902)=0)))</f>
        <v/>
      </c>
      <c r="L88" s="52">
        <f>IF($B88="",0,IF((OV_SWITCH="ON")*(COUNTIFS(OVR_TICKERS,$C88,OVR_BASE,"&gt;=0")&gt;0)&gt;0,SUMIFS(OVR_BASE,OVR_TICKERS,$C88),$K88))</f>
        <v/>
      </c>
      <c r="M88" s="52">
        <f>IF($B88="",0,IF((OV_SWITCH="ON")*(COUNTIFS(OVR_TICKERS,$C88,OVR_LOW,"&gt;=0")&gt;0)&gt;0,SUMIFS(OVR_LOW,OVR_TICKERS,$C88),$L88))</f>
        <v/>
      </c>
      <c r="N88" s="52">
        <f>IF($B88="",0,IF((OV_SWITCH="ON")*(COUNTIFS(OVR_TICKERS,$C88,OVR_HIGH,"&gt;=0")&gt;0)&gt;0,SUMIFS(OVR_HIGH,OVR_TICKERS,$C88),$L88))</f>
        <v/>
      </c>
      <c r="O88" s="69">
        <f>IF($B88="","",IFERROR($B88*$G88*$J88/$B$3,""))</f>
        <v/>
      </c>
      <c r="P88" s="69">
        <f>IF($B88="","",IFERROR($B88*$G88*$L88/$B$3,""))</f>
        <v/>
      </c>
      <c r="Q88" s="44">
        <f>IF($B88="","",IFERROR($O88+$P88,""))</f>
        <v/>
      </c>
      <c r="R88" s="69">
        <f>IF($B88="","",IFERROR($O88+$B88*$G88*$M88/$B$3,""))</f>
        <v/>
      </c>
      <c r="S88" s="69">
        <f>IF($B88="","",IFERROR($O88+$B88*$G88*$N88/$B$3,""))</f>
        <v/>
      </c>
      <c r="T88" s="88">
        <f>IF($B88="","",IFERROR($Q88/$Q$5,""))</f>
        <v/>
      </c>
      <c r="U88" s="2">
        <f>IF($B88="","",IF(COUNTIFS('Dvd Calendar'!$E$908:$AR$908,"&gt;0",'Dvd Calendar'!$E$908:$AR$908,"&lt;="&amp;VAL_DATE,'Dvd Calendar'!$E$909:$AR$909,"&gt;"&amp;PROJ_FROM,'Dvd Calendar'!$E$909:$AR$909,"&lt;="&amp;DATE(YEAR_Y,12,31))-COUNTIFS('Dvd Calendar'!$E$908:$AR$908,"&gt;0",'Dvd Calendar'!$E$908:$AR$908,"&lt;="&amp;VAL_DATE,'Dvd Calendar'!$E$909:$AR$909,"&gt;"&amp;PROJ_FROM,'Dvd Calendar'!$E$909:$AR$909,"&lt;="&amp;DATE(YEAR_Y,12,31),'Dvd Calendar'!$E$910:$AR$910,"&gt;=0")&gt;0,"TBA amount - override me",IF((OV_SWITCH="ON")*(COUNTIFS(OVR_TICKERS,$C88,OVR_BASE,"&gt;=0")&gt;0)&gt;0,"overridden",IF($J88+$K88=0,"no dividend in year Y",""))))</f>
        <v/>
      </c>
      <c r="V88" s="69">
        <f>IF($B88="","",IFERROR(IF(ISNUMBER($H88),$B88*$G88*$H88/$B$3,0),""))</f>
        <v/>
      </c>
      <c r="W88" s="69">
        <f>IF($B88="","",IFERROR($B88*$G88*$K88/$B$3,""))</f>
        <v/>
      </c>
      <c r="X88" s="98">
        <f>IF($C88="","",BDP($C88,"PX_LAST"))</f>
        <v/>
      </c>
      <c r="Y88" s="69">
        <f>IF($B88="","",IFERROR($B88*$X88/$B$3,""))</f>
        <v/>
      </c>
      <c r="Z88" s="73">
        <f>IF($B88="","",IFERROR($Y88/$Y$5,""))</f>
        <v/>
      </c>
    </row>
    <row r="89">
      <c r="B89" s="97" t="n"/>
      <c r="C89" s="8">
        <f>IF($A89="","",$A89&amp;" Equity")</f>
        <v/>
      </c>
      <c r="D89" s="8">
        <f>IF($C89="","",BDP($C89,"NAME"))</f>
        <v/>
      </c>
      <c r="E89" s="8">
        <f>IF($C89="","",BDP($C89,"GICS_SECTOR_NAME"))</f>
        <v/>
      </c>
      <c r="F89" s="37">
        <f>IF($C89="","",BDP($C89,FLD_CCY))</f>
        <v/>
      </c>
      <c r="G89" s="12">
        <f>IFERROR(IF(LEN($F89)&lt;&gt;3,1,IF($F89="HKD",1,BDP(IF($F89="CNY",RMB_CROSS,$F89)&amp;"HKD Curncy","PX_LAST"))),1)</f>
        <v/>
      </c>
      <c r="H89" s="69">
        <f>IF($C89="","",BDP($C89,FLD_DPS12M))</f>
        <v/>
      </c>
      <c r="I89" s="50">
        <f>IF($C89="","",BDP($C89,FLD_YLD12M))</f>
        <v/>
      </c>
      <c r="J89" s="52">
        <f>IF($B89="",0,SUMPRODUCT(('Dvd Calendar'!$E$913:$AR$913&gt;=DATE(YEAR_Y,1,1))*('Dvd Calendar'!$E$913:$AR$913&lt;=REALIZED_TO)*'Dvd Calendar'!$E$916:$AR$916*(('Dvd Calendar'!$E$918:$AR$918=TYPE1)*(TYPE1&lt;&gt;"")+('Dvd Calendar'!$E$918:$AR$918=TYPE2)*(TYPE2&lt;&gt;"")+('Dvd Calendar'!$E$918:$AR$918=TYPE3)*(TYPE3&lt;&gt;"")+('Dvd Calendar'!$E$918:$AR$918=TYPE4)*(TYPE4&lt;&gt;"")+('Dvd Calendar'!$E$918:$AR$918=SPECIAL_LBL)*(INC_SPECIALS="Y"))))</f>
        <v/>
      </c>
      <c r="K89" s="52">
        <f>IF($B89="",0,SUMIFS('Dvd Calendar'!$E$921:$AR$921,'Dvd Calendar'!$E$920:$AR$920,"&gt;"&amp;PROJ_FROM,'Dvd Calendar'!$E$920:$AR$920,"&lt;="&amp;DATE(YEAR_Y,12,31))+SUMPRODUCT(('Dvd Calendar'!$E$913:$AR$913&gt;PROJ_FROM)*('Dvd Calendar'!$E$913:$AR$913&lt;=DATE(YEAR_Y,12,31))*'Dvd Calendar'!$E$916:$AR$916*(('Dvd Calendar'!$E$918:$AR$918=TYPE1)*(TYPE1&lt;&gt;"")+('Dvd Calendar'!$E$918:$AR$918=TYPE2)*(TYPE2&lt;&gt;"")+('Dvd Calendar'!$E$918:$AR$918=TYPE3)*(TYPE3&lt;&gt;"")+('Dvd Calendar'!$E$918:$AR$918=TYPE4)*(TYPE4&lt;&gt;"")+('Dvd Calendar'!$E$918:$AR$918=SPECIAL_LBL)*(INC_SPECIALS="Y"))*(COUNTIF('Dvd Calendar'!$E$920:$AR$920,'Dvd Calendar'!$E$913:$AR$913)=0)))</f>
        <v/>
      </c>
      <c r="L89" s="52">
        <f>IF($B89="",0,IF((OV_SWITCH="ON")*(COUNTIFS(OVR_TICKERS,$C89,OVR_BASE,"&gt;=0")&gt;0)&gt;0,SUMIFS(OVR_BASE,OVR_TICKERS,$C89),$K89))</f>
        <v/>
      </c>
      <c r="M89" s="52">
        <f>IF($B89="",0,IF((OV_SWITCH="ON")*(COUNTIFS(OVR_TICKERS,$C89,OVR_LOW,"&gt;=0")&gt;0)&gt;0,SUMIFS(OVR_LOW,OVR_TICKERS,$C89),$L89))</f>
        <v/>
      </c>
      <c r="N89" s="52">
        <f>IF($B89="",0,IF((OV_SWITCH="ON")*(COUNTIFS(OVR_TICKERS,$C89,OVR_HIGH,"&gt;=0")&gt;0)&gt;0,SUMIFS(OVR_HIGH,OVR_TICKERS,$C89),$L89))</f>
        <v/>
      </c>
      <c r="O89" s="69">
        <f>IF($B89="","",IFERROR($B89*$G89*$J89/$B$3,""))</f>
        <v/>
      </c>
      <c r="P89" s="69">
        <f>IF($B89="","",IFERROR($B89*$G89*$L89/$B$3,""))</f>
        <v/>
      </c>
      <c r="Q89" s="44">
        <f>IF($B89="","",IFERROR($O89+$P89,""))</f>
        <v/>
      </c>
      <c r="R89" s="69">
        <f>IF($B89="","",IFERROR($O89+$B89*$G89*$M89/$B$3,""))</f>
        <v/>
      </c>
      <c r="S89" s="69">
        <f>IF($B89="","",IFERROR($O89+$B89*$G89*$N89/$B$3,""))</f>
        <v/>
      </c>
      <c r="T89" s="88">
        <f>IF($B89="","",IFERROR($Q89/$Q$5,""))</f>
        <v/>
      </c>
      <c r="U89" s="2">
        <f>IF($B89="","",IF(COUNTIFS('Dvd Calendar'!$E$919:$AR$919,"&gt;0",'Dvd Calendar'!$E$919:$AR$919,"&lt;="&amp;VAL_DATE,'Dvd Calendar'!$E$920:$AR$920,"&gt;"&amp;PROJ_FROM,'Dvd Calendar'!$E$920:$AR$920,"&lt;="&amp;DATE(YEAR_Y,12,31))-COUNTIFS('Dvd Calendar'!$E$919:$AR$919,"&gt;0",'Dvd Calendar'!$E$919:$AR$919,"&lt;="&amp;VAL_DATE,'Dvd Calendar'!$E$920:$AR$920,"&gt;"&amp;PROJ_FROM,'Dvd Calendar'!$E$920:$AR$920,"&lt;="&amp;DATE(YEAR_Y,12,31),'Dvd Calendar'!$E$921:$AR$921,"&gt;=0")&gt;0,"TBA amount - override me",IF((OV_SWITCH="ON")*(COUNTIFS(OVR_TICKERS,$C89,OVR_BASE,"&gt;=0")&gt;0)&gt;0,"overridden",IF($J89+$K89=0,"no dividend in year Y",""))))</f>
        <v/>
      </c>
      <c r="V89" s="69">
        <f>IF($B89="","",IFERROR(IF(ISNUMBER($H89),$B89*$G89*$H89/$B$3,0),""))</f>
        <v/>
      </c>
      <c r="W89" s="69">
        <f>IF($B89="","",IFERROR($B89*$G89*$K89/$B$3,""))</f>
        <v/>
      </c>
      <c r="X89" s="98">
        <f>IF($C89="","",BDP($C89,"PX_LAST"))</f>
        <v/>
      </c>
      <c r="Y89" s="69">
        <f>IF($B89="","",IFERROR($B89*$X89/$B$3,""))</f>
        <v/>
      </c>
      <c r="Z89" s="73">
        <f>IF($B89="","",IFERROR($Y89/$Y$5,""))</f>
        <v/>
      </c>
    </row>
    <row r="90">
      <c r="B90" s="97" t="n"/>
      <c r="C90" s="8">
        <f>IF($A90="","",$A90&amp;" Equity")</f>
        <v/>
      </c>
      <c r="D90" s="8">
        <f>IF($C90="","",BDP($C90,"NAME"))</f>
        <v/>
      </c>
      <c r="E90" s="8">
        <f>IF($C90="","",BDP($C90,"GICS_SECTOR_NAME"))</f>
        <v/>
      </c>
      <c r="F90" s="37">
        <f>IF($C90="","",BDP($C90,FLD_CCY))</f>
        <v/>
      </c>
      <c r="G90" s="12">
        <f>IFERROR(IF(LEN($F90)&lt;&gt;3,1,IF($F90="HKD",1,BDP(IF($F90="CNY",RMB_CROSS,$F90)&amp;"HKD Curncy","PX_LAST"))),1)</f>
        <v/>
      </c>
      <c r="H90" s="69">
        <f>IF($C90="","",BDP($C90,FLD_DPS12M))</f>
        <v/>
      </c>
      <c r="I90" s="50">
        <f>IF($C90="","",BDP($C90,FLD_YLD12M))</f>
        <v/>
      </c>
      <c r="J90" s="52">
        <f>IF($B90="",0,SUMPRODUCT(('Dvd Calendar'!$E$924:$AR$924&gt;=DATE(YEAR_Y,1,1))*('Dvd Calendar'!$E$924:$AR$924&lt;=REALIZED_TO)*'Dvd Calendar'!$E$927:$AR$927*(('Dvd Calendar'!$E$929:$AR$929=TYPE1)*(TYPE1&lt;&gt;"")+('Dvd Calendar'!$E$929:$AR$929=TYPE2)*(TYPE2&lt;&gt;"")+('Dvd Calendar'!$E$929:$AR$929=TYPE3)*(TYPE3&lt;&gt;"")+('Dvd Calendar'!$E$929:$AR$929=TYPE4)*(TYPE4&lt;&gt;"")+('Dvd Calendar'!$E$929:$AR$929=SPECIAL_LBL)*(INC_SPECIALS="Y"))))</f>
        <v/>
      </c>
      <c r="K90" s="52">
        <f>IF($B90="",0,SUMIFS('Dvd Calendar'!$E$932:$AR$932,'Dvd Calendar'!$E$931:$AR$931,"&gt;"&amp;PROJ_FROM,'Dvd Calendar'!$E$931:$AR$931,"&lt;="&amp;DATE(YEAR_Y,12,31))+SUMPRODUCT(('Dvd Calendar'!$E$924:$AR$924&gt;PROJ_FROM)*('Dvd Calendar'!$E$924:$AR$924&lt;=DATE(YEAR_Y,12,31))*'Dvd Calendar'!$E$927:$AR$927*(('Dvd Calendar'!$E$929:$AR$929=TYPE1)*(TYPE1&lt;&gt;"")+('Dvd Calendar'!$E$929:$AR$929=TYPE2)*(TYPE2&lt;&gt;"")+('Dvd Calendar'!$E$929:$AR$929=TYPE3)*(TYPE3&lt;&gt;"")+('Dvd Calendar'!$E$929:$AR$929=TYPE4)*(TYPE4&lt;&gt;"")+('Dvd Calendar'!$E$929:$AR$929=SPECIAL_LBL)*(INC_SPECIALS="Y"))*(COUNTIF('Dvd Calendar'!$E$931:$AR$931,'Dvd Calendar'!$E$924:$AR$924)=0)))</f>
        <v/>
      </c>
      <c r="L90" s="52">
        <f>IF($B90="",0,IF((OV_SWITCH="ON")*(COUNTIFS(OVR_TICKERS,$C90,OVR_BASE,"&gt;=0")&gt;0)&gt;0,SUMIFS(OVR_BASE,OVR_TICKERS,$C90),$K90))</f>
        <v/>
      </c>
      <c r="M90" s="52">
        <f>IF($B90="",0,IF((OV_SWITCH="ON")*(COUNTIFS(OVR_TICKERS,$C90,OVR_LOW,"&gt;=0")&gt;0)&gt;0,SUMIFS(OVR_LOW,OVR_TICKERS,$C90),$L90))</f>
        <v/>
      </c>
      <c r="N90" s="52">
        <f>IF($B90="",0,IF((OV_SWITCH="ON")*(COUNTIFS(OVR_TICKERS,$C90,OVR_HIGH,"&gt;=0")&gt;0)&gt;0,SUMIFS(OVR_HIGH,OVR_TICKERS,$C90),$L90))</f>
        <v/>
      </c>
      <c r="O90" s="69">
        <f>IF($B90="","",IFERROR($B90*$G90*$J90/$B$3,""))</f>
        <v/>
      </c>
      <c r="P90" s="69">
        <f>IF($B90="","",IFERROR($B90*$G90*$L90/$B$3,""))</f>
        <v/>
      </c>
      <c r="Q90" s="44">
        <f>IF($B90="","",IFERROR($O90+$P90,""))</f>
        <v/>
      </c>
      <c r="R90" s="69">
        <f>IF($B90="","",IFERROR($O90+$B90*$G90*$M90/$B$3,""))</f>
        <v/>
      </c>
      <c r="S90" s="69">
        <f>IF($B90="","",IFERROR($O90+$B90*$G90*$N90/$B$3,""))</f>
        <v/>
      </c>
      <c r="T90" s="88">
        <f>IF($B90="","",IFERROR($Q90/$Q$5,""))</f>
        <v/>
      </c>
      <c r="U90" s="2">
        <f>IF($B90="","",IF(COUNTIFS('Dvd Calendar'!$E$930:$AR$930,"&gt;0",'Dvd Calendar'!$E$930:$AR$930,"&lt;="&amp;VAL_DATE,'Dvd Calendar'!$E$931:$AR$931,"&gt;"&amp;PROJ_FROM,'Dvd Calendar'!$E$931:$AR$931,"&lt;="&amp;DATE(YEAR_Y,12,31))-COUNTIFS('Dvd Calendar'!$E$930:$AR$930,"&gt;0",'Dvd Calendar'!$E$930:$AR$930,"&lt;="&amp;VAL_DATE,'Dvd Calendar'!$E$931:$AR$931,"&gt;"&amp;PROJ_FROM,'Dvd Calendar'!$E$931:$AR$931,"&lt;="&amp;DATE(YEAR_Y,12,31),'Dvd Calendar'!$E$932:$AR$932,"&gt;=0")&gt;0,"TBA amount - override me",IF((OV_SWITCH="ON")*(COUNTIFS(OVR_TICKERS,$C90,OVR_BASE,"&gt;=0")&gt;0)&gt;0,"overridden",IF($J90+$K90=0,"no dividend in year Y",""))))</f>
        <v/>
      </c>
      <c r="V90" s="69">
        <f>IF($B90="","",IFERROR(IF(ISNUMBER($H90),$B90*$G90*$H90/$B$3,0),""))</f>
        <v/>
      </c>
      <c r="W90" s="69">
        <f>IF($B90="","",IFERROR($B90*$G90*$K90/$B$3,""))</f>
        <v/>
      </c>
      <c r="X90" s="98">
        <f>IF($C90="","",BDP($C90,"PX_LAST"))</f>
        <v/>
      </c>
      <c r="Y90" s="69">
        <f>IF($B90="","",IFERROR($B90*$X90/$B$3,""))</f>
        <v/>
      </c>
      <c r="Z90" s="73">
        <f>IF($B90="","",IFERROR($Y90/$Y$5,""))</f>
        <v/>
      </c>
    </row>
    <row r="91">
      <c r="B91" s="97" t="n"/>
      <c r="C91" s="8">
        <f>IF($A91="","",$A91&amp;" Equity")</f>
        <v/>
      </c>
      <c r="D91" s="8">
        <f>IF($C91="","",BDP($C91,"NAME"))</f>
        <v/>
      </c>
      <c r="E91" s="8">
        <f>IF($C91="","",BDP($C91,"GICS_SECTOR_NAME"))</f>
        <v/>
      </c>
      <c r="F91" s="37">
        <f>IF($C91="","",BDP($C91,FLD_CCY))</f>
        <v/>
      </c>
      <c r="G91" s="12">
        <f>IFERROR(IF(LEN($F91)&lt;&gt;3,1,IF($F91="HKD",1,BDP(IF($F91="CNY",RMB_CROSS,$F91)&amp;"HKD Curncy","PX_LAST"))),1)</f>
        <v/>
      </c>
      <c r="H91" s="69">
        <f>IF($C91="","",BDP($C91,FLD_DPS12M))</f>
        <v/>
      </c>
      <c r="I91" s="50">
        <f>IF($C91="","",BDP($C91,FLD_YLD12M))</f>
        <v/>
      </c>
      <c r="J91" s="52">
        <f>IF($B91="",0,SUMPRODUCT(('Dvd Calendar'!$E$935:$AR$935&gt;=DATE(YEAR_Y,1,1))*('Dvd Calendar'!$E$935:$AR$935&lt;=REALIZED_TO)*'Dvd Calendar'!$E$938:$AR$938*(('Dvd Calendar'!$E$940:$AR$940=TYPE1)*(TYPE1&lt;&gt;"")+('Dvd Calendar'!$E$940:$AR$940=TYPE2)*(TYPE2&lt;&gt;"")+('Dvd Calendar'!$E$940:$AR$940=TYPE3)*(TYPE3&lt;&gt;"")+('Dvd Calendar'!$E$940:$AR$940=TYPE4)*(TYPE4&lt;&gt;"")+('Dvd Calendar'!$E$940:$AR$940=SPECIAL_LBL)*(INC_SPECIALS="Y"))))</f>
        <v/>
      </c>
      <c r="K91" s="52">
        <f>IF($B91="",0,SUMIFS('Dvd Calendar'!$E$943:$AR$943,'Dvd Calendar'!$E$942:$AR$942,"&gt;"&amp;PROJ_FROM,'Dvd Calendar'!$E$942:$AR$942,"&lt;="&amp;DATE(YEAR_Y,12,31))+SUMPRODUCT(('Dvd Calendar'!$E$935:$AR$935&gt;PROJ_FROM)*('Dvd Calendar'!$E$935:$AR$935&lt;=DATE(YEAR_Y,12,31))*'Dvd Calendar'!$E$938:$AR$938*(('Dvd Calendar'!$E$940:$AR$940=TYPE1)*(TYPE1&lt;&gt;"")+('Dvd Calendar'!$E$940:$AR$940=TYPE2)*(TYPE2&lt;&gt;"")+('Dvd Calendar'!$E$940:$AR$940=TYPE3)*(TYPE3&lt;&gt;"")+('Dvd Calendar'!$E$940:$AR$940=TYPE4)*(TYPE4&lt;&gt;"")+('Dvd Calendar'!$E$940:$AR$940=SPECIAL_LBL)*(INC_SPECIALS="Y"))*(COUNTIF('Dvd Calendar'!$E$942:$AR$942,'Dvd Calendar'!$E$935:$AR$935)=0)))</f>
        <v/>
      </c>
      <c r="L91" s="52">
        <f>IF($B91="",0,IF((OV_SWITCH="ON")*(COUNTIFS(OVR_TICKERS,$C91,OVR_BASE,"&gt;=0")&gt;0)&gt;0,SUMIFS(OVR_BASE,OVR_TICKERS,$C91),$K91))</f>
        <v/>
      </c>
      <c r="M91" s="52">
        <f>IF($B91="",0,IF((OV_SWITCH="ON")*(COUNTIFS(OVR_TICKERS,$C91,OVR_LOW,"&gt;=0")&gt;0)&gt;0,SUMIFS(OVR_LOW,OVR_TICKERS,$C91),$L91))</f>
        <v/>
      </c>
      <c r="N91" s="52">
        <f>IF($B91="",0,IF((OV_SWITCH="ON")*(COUNTIFS(OVR_TICKERS,$C91,OVR_HIGH,"&gt;=0")&gt;0)&gt;0,SUMIFS(OVR_HIGH,OVR_TICKERS,$C91),$L91))</f>
        <v/>
      </c>
      <c r="O91" s="69">
        <f>IF($B91="","",IFERROR($B91*$G91*$J91/$B$3,""))</f>
        <v/>
      </c>
      <c r="P91" s="69">
        <f>IF($B91="","",IFERROR($B91*$G91*$L91/$B$3,""))</f>
        <v/>
      </c>
      <c r="Q91" s="44">
        <f>IF($B91="","",IFERROR($O91+$P91,""))</f>
        <v/>
      </c>
      <c r="R91" s="69">
        <f>IF($B91="","",IFERROR($O91+$B91*$G91*$M91/$B$3,""))</f>
        <v/>
      </c>
      <c r="S91" s="69">
        <f>IF($B91="","",IFERROR($O91+$B91*$G91*$N91/$B$3,""))</f>
        <v/>
      </c>
      <c r="T91" s="88">
        <f>IF($B91="","",IFERROR($Q91/$Q$5,""))</f>
        <v/>
      </c>
      <c r="U91" s="2">
        <f>IF($B91="","",IF(COUNTIFS('Dvd Calendar'!$E$941:$AR$941,"&gt;0",'Dvd Calendar'!$E$941:$AR$941,"&lt;="&amp;VAL_DATE,'Dvd Calendar'!$E$942:$AR$942,"&gt;"&amp;PROJ_FROM,'Dvd Calendar'!$E$942:$AR$942,"&lt;="&amp;DATE(YEAR_Y,12,31))-COUNTIFS('Dvd Calendar'!$E$941:$AR$941,"&gt;0",'Dvd Calendar'!$E$941:$AR$941,"&lt;="&amp;VAL_DATE,'Dvd Calendar'!$E$942:$AR$942,"&gt;"&amp;PROJ_FROM,'Dvd Calendar'!$E$942:$AR$942,"&lt;="&amp;DATE(YEAR_Y,12,31),'Dvd Calendar'!$E$943:$AR$943,"&gt;=0")&gt;0,"TBA amount - override me",IF((OV_SWITCH="ON")*(COUNTIFS(OVR_TICKERS,$C91,OVR_BASE,"&gt;=0")&gt;0)&gt;0,"overridden",IF($J91+$K91=0,"no dividend in year Y",""))))</f>
        <v/>
      </c>
      <c r="V91" s="69">
        <f>IF($B91="","",IFERROR(IF(ISNUMBER($H91),$B91*$G91*$H91/$B$3,0),""))</f>
        <v/>
      </c>
      <c r="W91" s="69">
        <f>IF($B91="","",IFERROR($B91*$G91*$K91/$B$3,""))</f>
        <v/>
      </c>
      <c r="X91" s="98">
        <f>IF($C91="","",BDP($C91,"PX_LAST"))</f>
        <v/>
      </c>
      <c r="Y91" s="69">
        <f>IF($B91="","",IFERROR($B91*$X91/$B$3,""))</f>
        <v/>
      </c>
      <c r="Z91" s="73">
        <f>IF($B91="","",IFERROR($Y91/$Y$5,""))</f>
        <v/>
      </c>
    </row>
    <row r="92">
      <c r="B92" s="97" t="n"/>
      <c r="C92" s="8">
        <f>IF($A92="","",$A92&amp;" Equity")</f>
        <v/>
      </c>
      <c r="D92" s="8">
        <f>IF($C92="","",BDP($C92,"NAME"))</f>
        <v/>
      </c>
      <c r="E92" s="8">
        <f>IF($C92="","",BDP($C92,"GICS_SECTOR_NAME"))</f>
        <v/>
      </c>
      <c r="F92" s="37">
        <f>IF($C92="","",BDP($C92,FLD_CCY))</f>
        <v/>
      </c>
      <c r="G92" s="12">
        <f>IFERROR(IF(LEN($F92)&lt;&gt;3,1,IF($F92="HKD",1,BDP(IF($F92="CNY",RMB_CROSS,$F92)&amp;"HKD Curncy","PX_LAST"))),1)</f>
        <v/>
      </c>
      <c r="H92" s="69">
        <f>IF($C92="","",BDP($C92,FLD_DPS12M))</f>
        <v/>
      </c>
      <c r="I92" s="50">
        <f>IF($C92="","",BDP($C92,FLD_YLD12M))</f>
        <v/>
      </c>
      <c r="J92" s="52">
        <f>IF($B92="",0,SUMPRODUCT(('Dvd Calendar'!$E$946:$AR$946&gt;=DATE(YEAR_Y,1,1))*('Dvd Calendar'!$E$946:$AR$946&lt;=REALIZED_TO)*'Dvd Calendar'!$E$949:$AR$949*(('Dvd Calendar'!$E$951:$AR$951=TYPE1)*(TYPE1&lt;&gt;"")+('Dvd Calendar'!$E$951:$AR$951=TYPE2)*(TYPE2&lt;&gt;"")+('Dvd Calendar'!$E$951:$AR$951=TYPE3)*(TYPE3&lt;&gt;"")+('Dvd Calendar'!$E$951:$AR$951=TYPE4)*(TYPE4&lt;&gt;"")+('Dvd Calendar'!$E$951:$AR$951=SPECIAL_LBL)*(INC_SPECIALS="Y"))))</f>
        <v/>
      </c>
      <c r="K92" s="52">
        <f>IF($B92="",0,SUMIFS('Dvd Calendar'!$E$954:$AR$954,'Dvd Calendar'!$E$953:$AR$953,"&gt;"&amp;PROJ_FROM,'Dvd Calendar'!$E$953:$AR$953,"&lt;="&amp;DATE(YEAR_Y,12,31))+SUMPRODUCT(('Dvd Calendar'!$E$946:$AR$946&gt;PROJ_FROM)*('Dvd Calendar'!$E$946:$AR$946&lt;=DATE(YEAR_Y,12,31))*'Dvd Calendar'!$E$949:$AR$949*(('Dvd Calendar'!$E$951:$AR$951=TYPE1)*(TYPE1&lt;&gt;"")+('Dvd Calendar'!$E$951:$AR$951=TYPE2)*(TYPE2&lt;&gt;"")+('Dvd Calendar'!$E$951:$AR$951=TYPE3)*(TYPE3&lt;&gt;"")+('Dvd Calendar'!$E$951:$AR$951=TYPE4)*(TYPE4&lt;&gt;"")+('Dvd Calendar'!$E$951:$AR$951=SPECIAL_LBL)*(INC_SPECIALS="Y"))*(COUNTIF('Dvd Calendar'!$E$953:$AR$953,'Dvd Calendar'!$E$946:$AR$946)=0)))</f>
        <v/>
      </c>
      <c r="L92" s="52">
        <f>IF($B92="",0,IF((OV_SWITCH="ON")*(COUNTIFS(OVR_TICKERS,$C92,OVR_BASE,"&gt;=0")&gt;0)&gt;0,SUMIFS(OVR_BASE,OVR_TICKERS,$C92),$K92))</f>
        <v/>
      </c>
      <c r="M92" s="52">
        <f>IF($B92="",0,IF((OV_SWITCH="ON")*(COUNTIFS(OVR_TICKERS,$C92,OVR_LOW,"&gt;=0")&gt;0)&gt;0,SUMIFS(OVR_LOW,OVR_TICKERS,$C92),$L92))</f>
        <v/>
      </c>
      <c r="N92" s="52">
        <f>IF($B92="",0,IF((OV_SWITCH="ON")*(COUNTIFS(OVR_TICKERS,$C92,OVR_HIGH,"&gt;=0")&gt;0)&gt;0,SUMIFS(OVR_HIGH,OVR_TICKERS,$C92),$L92))</f>
        <v/>
      </c>
      <c r="O92" s="69">
        <f>IF($B92="","",IFERROR($B92*$G92*$J92/$B$3,""))</f>
        <v/>
      </c>
      <c r="P92" s="69">
        <f>IF($B92="","",IFERROR($B92*$G92*$L92/$B$3,""))</f>
        <v/>
      </c>
      <c r="Q92" s="44">
        <f>IF($B92="","",IFERROR($O92+$P92,""))</f>
        <v/>
      </c>
      <c r="R92" s="69">
        <f>IF($B92="","",IFERROR($O92+$B92*$G92*$M92/$B$3,""))</f>
        <v/>
      </c>
      <c r="S92" s="69">
        <f>IF($B92="","",IFERROR($O92+$B92*$G92*$N92/$B$3,""))</f>
        <v/>
      </c>
      <c r="T92" s="88">
        <f>IF($B92="","",IFERROR($Q92/$Q$5,""))</f>
        <v/>
      </c>
      <c r="U92" s="2">
        <f>IF($B92="","",IF(COUNTIFS('Dvd Calendar'!$E$952:$AR$952,"&gt;0",'Dvd Calendar'!$E$952:$AR$952,"&lt;="&amp;VAL_DATE,'Dvd Calendar'!$E$953:$AR$953,"&gt;"&amp;PROJ_FROM,'Dvd Calendar'!$E$953:$AR$953,"&lt;="&amp;DATE(YEAR_Y,12,31))-COUNTIFS('Dvd Calendar'!$E$952:$AR$952,"&gt;0",'Dvd Calendar'!$E$952:$AR$952,"&lt;="&amp;VAL_DATE,'Dvd Calendar'!$E$953:$AR$953,"&gt;"&amp;PROJ_FROM,'Dvd Calendar'!$E$953:$AR$953,"&lt;="&amp;DATE(YEAR_Y,12,31),'Dvd Calendar'!$E$954:$AR$954,"&gt;=0")&gt;0,"TBA amount - override me",IF((OV_SWITCH="ON")*(COUNTIFS(OVR_TICKERS,$C92,OVR_BASE,"&gt;=0")&gt;0)&gt;0,"overridden",IF($J92+$K92=0,"no dividend in year Y",""))))</f>
        <v/>
      </c>
      <c r="V92" s="69">
        <f>IF($B92="","",IFERROR(IF(ISNUMBER($H92),$B92*$G92*$H92/$B$3,0),""))</f>
        <v/>
      </c>
      <c r="W92" s="69">
        <f>IF($B92="","",IFERROR($B92*$G92*$K92/$B$3,""))</f>
        <v/>
      </c>
      <c r="X92" s="98">
        <f>IF($C92="","",BDP($C92,"PX_LAST"))</f>
        <v/>
      </c>
      <c r="Y92" s="69">
        <f>IF($B92="","",IFERROR($B92*$X92/$B$3,""))</f>
        <v/>
      </c>
      <c r="Z92" s="73">
        <f>IF($B92="","",IFERROR($Y92/$Y$5,""))</f>
        <v/>
      </c>
    </row>
    <row r="93">
      <c r="B93" s="97" t="n"/>
      <c r="C93" s="8">
        <f>IF($A93="","",$A93&amp;" Equity")</f>
        <v/>
      </c>
      <c r="D93" s="8">
        <f>IF($C93="","",BDP($C93,"NAME"))</f>
        <v/>
      </c>
      <c r="E93" s="8">
        <f>IF($C93="","",BDP($C93,"GICS_SECTOR_NAME"))</f>
        <v/>
      </c>
      <c r="F93" s="37">
        <f>IF($C93="","",BDP($C93,FLD_CCY))</f>
        <v/>
      </c>
      <c r="G93" s="12">
        <f>IFERROR(IF(LEN($F93)&lt;&gt;3,1,IF($F93="HKD",1,BDP(IF($F93="CNY",RMB_CROSS,$F93)&amp;"HKD Curncy","PX_LAST"))),1)</f>
        <v/>
      </c>
      <c r="H93" s="69">
        <f>IF($C93="","",BDP($C93,FLD_DPS12M))</f>
        <v/>
      </c>
      <c r="I93" s="50">
        <f>IF($C93="","",BDP($C93,FLD_YLD12M))</f>
        <v/>
      </c>
      <c r="J93" s="52">
        <f>IF($B93="",0,SUMPRODUCT(('Dvd Calendar'!$E$957:$AR$957&gt;=DATE(YEAR_Y,1,1))*('Dvd Calendar'!$E$957:$AR$957&lt;=REALIZED_TO)*'Dvd Calendar'!$E$960:$AR$960*(('Dvd Calendar'!$E$962:$AR$962=TYPE1)*(TYPE1&lt;&gt;"")+('Dvd Calendar'!$E$962:$AR$962=TYPE2)*(TYPE2&lt;&gt;"")+('Dvd Calendar'!$E$962:$AR$962=TYPE3)*(TYPE3&lt;&gt;"")+('Dvd Calendar'!$E$962:$AR$962=TYPE4)*(TYPE4&lt;&gt;"")+('Dvd Calendar'!$E$962:$AR$962=SPECIAL_LBL)*(INC_SPECIALS="Y"))))</f>
        <v/>
      </c>
      <c r="K93" s="52">
        <f>IF($B93="",0,SUMIFS('Dvd Calendar'!$E$965:$AR$965,'Dvd Calendar'!$E$964:$AR$964,"&gt;"&amp;PROJ_FROM,'Dvd Calendar'!$E$964:$AR$964,"&lt;="&amp;DATE(YEAR_Y,12,31))+SUMPRODUCT(('Dvd Calendar'!$E$957:$AR$957&gt;PROJ_FROM)*('Dvd Calendar'!$E$957:$AR$957&lt;=DATE(YEAR_Y,12,31))*'Dvd Calendar'!$E$960:$AR$960*(('Dvd Calendar'!$E$962:$AR$962=TYPE1)*(TYPE1&lt;&gt;"")+('Dvd Calendar'!$E$962:$AR$962=TYPE2)*(TYPE2&lt;&gt;"")+('Dvd Calendar'!$E$962:$AR$962=TYPE3)*(TYPE3&lt;&gt;"")+('Dvd Calendar'!$E$962:$AR$962=TYPE4)*(TYPE4&lt;&gt;"")+('Dvd Calendar'!$E$962:$AR$962=SPECIAL_LBL)*(INC_SPECIALS="Y"))*(COUNTIF('Dvd Calendar'!$E$964:$AR$964,'Dvd Calendar'!$E$957:$AR$957)=0)))</f>
        <v/>
      </c>
      <c r="L93" s="52">
        <f>IF($B93="",0,IF((OV_SWITCH="ON")*(COUNTIFS(OVR_TICKERS,$C93,OVR_BASE,"&gt;=0")&gt;0)&gt;0,SUMIFS(OVR_BASE,OVR_TICKERS,$C93),$K93))</f>
        <v/>
      </c>
      <c r="M93" s="52">
        <f>IF($B93="",0,IF((OV_SWITCH="ON")*(COUNTIFS(OVR_TICKERS,$C93,OVR_LOW,"&gt;=0")&gt;0)&gt;0,SUMIFS(OVR_LOW,OVR_TICKERS,$C93),$L93))</f>
        <v/>
      </c>
      <c r="N93" s="52">
        <f>IF($B93="",0,IF((OV_SWITCH="ON")*(COUNTIFS(OVR_TICKERS,$C93,OVR_HIGH,"&gt;=0")&gt;0)&gt;0,SUMIFS(OVR_HIGH,OVR_TICKERS,$C93),$L93))</f>
        <v/>
      </c>
      <c r="O93" s="69">
        <f>IF($B93="","",IFERROR($B93*$G93*$J93/$B$3,""))</f>
        <v/>
      </c>
      <c r="P93" s="69">
        <f>IF($B93="","",IFERROR($B93*$G93*$L93/$B$3,""))</f>
        <v/>
      </c>
      <c r="Q93" s="44">
        <f>IF($B93="","",IFERROR($O93+$P93,""))</f>
        <v/>
      </c>
      <c r="R93" s="69">
        <f>IF($B93="","",IFERROR($O93+$B93*$G93*$M93/$B$3,""))</f>
        <v/>
      </c>
      <c r="S93" s="69">
        <f>IF($B93="","",IFERROR($O93+$B93*$G93*$N93/$B$3,""))</f>
        <v/>
      </c>
      <c r="T93" s="88">
        <f>IF($B93="","",IFERROR($Q93/$Q$5,""))</f>
        <v/>
      </c>
      <c r="U93" s="2">
        <f>IF($B93="","",IF(COUNTIFS('Dvd Calendar'!$E$963:$AR$963,"&gt;0",'Dvd Calendar'!$E$963:$AR$963,"&lt;="&amp;VAL_DATE,'Dvd Calendar'!$E$964:$AR$964,"&gt;"&amp;PROJ_FROM,'Dvd Calendar'!$E$964:$AR$964,"&lt;="&amp;DATE(YEAR_Y,12,31))-COUNTIFS('Dvd Calendar'!$E$963:$AR$963,"&gt;0",'Dvd Calendar'!$E$963:$AR$963,"&lt;="&amp;VAL_DATE,'Dvd Calendar'!$E$964:$AR$964,"&gt;"&amp;PROJ_FROM,'Dvd Calendar'!$E$964:$AR$964,"&lt;="&amp;DATE(YEAR_Y,12,31),'Dvd Calendar'!$E$965:$AR$965,"&gt;=0")&gt;0,"TBA amount - override me",IF((OV_SWITCH="ON")*(COUNTIFS(OVR_TICKERS,$C93,OVR_BASE,"&gt;=0")&gt;0)&gt;0,"overridden",IF($J93+$K93=0,"no dividend in year Y",""))))</f>
        <v/>
      </c>
      <c r="V93" s="69">
        <f>IF($B93="","",IFERROR(IF(ISNUMBER($H93),$B93*$G93*$H93/$B$3,0),""))</f>
        <v/>
      </c>
      <c r="W93" s="69">
        <f>IF($B93="","",IFERROR($B93*$G93*$K93/$B$3,""))</f>
        <v/>
      </c>
      <c r="X93" s="98">
        <f>IF($C93="","",BDP($C93,"PX_LAST"))</f>
        <v/>
      </c>
      <c r="Y93" s="69">
        <f>IF($B93="","",IFERROR($B93*$X93/$B$3,""))</f>
        <v/>
      </c>
      <c r="Z93" s="73">
        <f>IF($B93="","",IFERROR($Y93/$Y$5,""))</f>
        <v/>
      </c>
    </row>
    <row r="94">
      <c r="B94" s="97" t="n"/>
      <c r="C94" s="8">
        <f>IF($A94="","",$A94&amp;" Equity")</f>
        <v/>
      </c>
      <c r="D94" s="8">
        <f>IF($C94="","",BDP($C94,"NAME"))</f>
        <v/>
      </c>
      <c r="E94" s="8">
        <f>IF($C94="","",BDP($C94,"GICS_SECTOR_NAME"))</f>
        <v/>
      </c>
      <c r="F94" s="37">
        <f>IF($C94="","",BDP($C94,FLD_CCY))</f>
        <v/>
      </c>
      <c r="G94" s="12">
        <f>IFERROR(IF(LEN($F94)&lt;&gt;3,1,IF($F94="HKD",1,BDP(IF($F94="CNY",RMB_CROSS,$F94)&amp;"HKD Curncy","PX_LAST"))),1)</f>
        <v/>
      </c>
      <c r="H94" s="69">
        <f>IF($C94="","",BDP($C94,FLD_DPS12M))</f>
        <v/>
      </c>
      <c r="I94" s="50">
        <f>IF($C94="","",BDP($C94,FLD_YLD12M))</f>
        <v/>
      </c>
      <c r="J94" s="52">
        <f>IF($B94="",0,SUMPRODUCT(('Dvd Calendar'!$E$968:$AR$968&gt;=DATE(YEAR_Y,1,1))*('Dvd Calendar'!$E$968:$AR$968&lt;=REALIZED_TO)*'Dvd Calendar'!$E$971:$AR$971*(('Dvd Calendar'!$E$973:$AR$973=TYPE1)*(TYPE1&lt;&gt;"")+('Dvd Calendar'!$E$973:$AR$973=TYPE2)*(TYPE2&lt;&gt;"")+('Dvd Calendar'!$E$973:$AR$973=TYPE3)*(TYPE3&lt;&gt;"")+('Dvd Calendar'!$E$973:$AR$973=TYPE4)*(TYPE4&lt;&gt;"")+('Dvd Calendar'!$E$973:$AR$973=SPECIAL_LBL)*(INC_SPECIALS="Y"))))</f>
        <v/>
      </c>
      <c r="K94" s="52">
        <f>IF($B94="",0,SUMIFS('Dvd Calendar'!$E$976:$AR$976,'Dvd Calendar'!$E$975:$AR$975,"&gt;"&amp;PROJ_FROM,'Dvd Calendar'!$E$975:$AR$975,"&lt;="&amp;DATE(YEAR_Y,12,31))+SUMPRODUCT(('Dvd Calendar'!$E$968:$AR$968&gt;PROJ_FROM)*('Dvd Calendar'!$E$968:$AR$968&lt;=DATE(YEAR_Y,12,31))*'Dvd Calendar'!$E$971:$AR$971*(('Dvd Calendar'!$E$973:$AR$973=TYPE1)*(TYPE1&lt;&gt;"")+('Dvd Calendar'!$E$973:$AR$973=TYPE2)*(TYPE2&lt;&gt;"")+('Dvd Calendar'!$E$973:$AR$973=TYPE3)*(TYPE3&lt;&gt;"")+('Dvd Calendar'!$E$973:$AR$973=TYPE4)*(TYPE4&lt;&gt;"")+('Dvd Calendar'!$E$973:$AR$973=SPECIAL_LBL)*(INC_SPECIALS="Y"))*(COUNTIF('Dvd Calendar'!$E$975:$AR$975,'Dvd Calendar'!$E$968:$AR$968)=0)))</f>
        <v/>
      </c>
      <c r="L94" s="52">
        <f>IF($B94="",0,IF((OV_SWITCH="ON")*(COUNTIFS(OVR_TICKERS,$C94,OVR_BASE,"&gt;=0")&gt;0)&gt;0,SUMIFS(OVR_BASE,OVR_TICKERS,$C94),$K94))</f>
        <v/>
      </c>
      <c r="M94" s="52">
        <f>IF($B94="",0,IF((OV_SWITCH="ON")*(COUNTIFS(OVR_TICKERS,$C94,OVR_LOW,"&gt;=0")&gt;0)&gt;0,SUMIFS(OVR_LOW,OVR_TICKERS,$C94),$L94))</f>
        <v/>
      </c>
      <c r="N94" s="52">
        <f>IF($B94="",0,IF((OV_SWITCH="ON")*(COUNTIFS(OVR_TICKERS,$C94,OVR_HIGH,"&gt;=0")&gt;0)&gt;0,SUMIFS(OVR_HIGH,OVR_TICKERS,$C94),$L94))</f>
        <v/>
      </c>
      <c r="O94" s="69">
        <f>IF($B94="","",IFERROR($B94*$G94*$J94/$B$3,""))</f>
        <v/>
      </c>
      <c r="P94" s="69">
        <f>IF($B94="","",IFERROR($B94*$G94*$L94/$B$3,""))</f>
        <v/>
      </c>
      <c r="Q94" s="44">
        <f>IF($B94="","",IFERROR($O94+$P94,""))</f>
        <v/>
      </c>
      <c r="R94" s="69">
        <f>IF($B94="","",IFERROR($O94+$B94*$G94*$M94/$B$3,""))</f>
        <v/>
      </c>
      <c r="S94" s="69">
        <f>IF($B94="","",IFERROR($O94+$B94*$G94*$N94/$B$3,""))</f>
        <v/>
      </c>
      <c r="T94" s="88">
        <f>IF($B94="","",IFERROR($Q94/$Q$5,""))</f>
        <v/>
      </c>
      <c r="U94" s="2">
        <f>IF($B94="","",IF(COUNTIFS('Dvd Calendar'!$E$974:$AR$974,"&gt;0",'Dvd Calendar'!$E$974:$AR$974,"&lt;="&amp;VAL_DATE,'Dvd Calendar'!$E$975:$AR$975,"&gt;"&amp;PROJ_FROM,'Dvd Calendar'!$E$975:$AR$975,"&lt;="&amp;DATE(YEAR_Y,12,31))-COUNTIFS('Dvd Calendar'!$E$974:$AR$974,"&gt;0",'Dvd Calendar'!$E$974:$AR$974,"&lt;="&amp;VAL_DATE,'Dvd Calendar'!$E$975:$AR$975,"&gt;"&amp;PROJ_FROM,'Dvd Calendar'!$E$975:$AR$975,"&lt;="&amp;DATE(YEAR_Y,12,31),'Dvd Calendar'!$E$976:$AR$976,"&gt;=0")&gt;0,"TBA amount - override me",IF((OV_SWITCH="ON")*(COUNTIFS(OVR_TICKERS,$C94,OVR_BASE,"&gt;=0")&gt;0)&gt;0,"overridden",IF($J94+$K94=0,"no dividend in year Y",""))))</f>
        <v/>
      </c>
      <c r="V94" s="69">
        <f>IF($B94="","",IFERROR(IF(ISNUMBER($H94),$B94*$G94*$H94/$B$3,0),""))</f>
        <v/>
      </c>
      <c r="W94" s="69">
        <f>IF($B94="","",IFERROR($B94*$G94*$K94/$B$3,""))</f>
        <v/>
      </c>
      <c r="X94" s="98">
        <f>IF($C94="","",BDP($C94,"PX_LAST"))</f>
        <v/>
      </c>
      <c r="Y94" s="69">
        <f>IF($B94="","",IFERROR($B94*$X94/$B$3,""))</f>
        <v/>
      </c>
      <c r="Z94" s="73">
        <f>IF($B94="","",IFERROR($Y94/$Y$5,""))</f>
        <v/>
      </c>
    </row>
    <row r="95">
      <c r="B95" s="97" t="n"/>
      <c r="C95" s="8">
        <f>IF($A95="","",$A95&amp;" Equity")</f>
        <v/>
      </c>
      <c r="D95" s="8">
        <f>IF($C95="","",BDP($C95,"NAME"))</f>
        <v/>
      </c>
      <c r="E95" s="8">
        <f>IF($C95="","",BDP($C95,"GICS_SECTOR_NAME"))</f>
        <v/>
      </c>
      <c r="F95" s="37">
        <f>IF($C95="","",BDP($C95,FLD_CCY))</f>
        <v/>
      </c>
      <c r="G95" s="12">
        <f>IFERROR(IF(LEN($F95)&lt;&gt;3,1,IF($F95="HKD",1,BDP(IF($F95="CNY",RMB_CROSS,$F95)&amp;"HKD Curncy","PX_LAST"))),1)</f>
        <v/>
      </c>
      <c r="H95" s="69">
        <f>IF($C95="","",BDP($C95,FLD_DPS12M))</f>
        <v/>
      </c>
      <c r="I95" s="50">
        <f>IF($C95="","",BDP($C95,FLD_YLD12M))</f>
        <v/>
      </c>
      <c r="J95" s="52">
        <f>IF($B95="",0,SUMPRODUCT(('Dvd Calendar'!$E$979:$AR$979&gt;=DATE(YEAR_Y,1,1))*('Dvd Calendar'!$E$979:$AR$979&lt;=REALIZED_TO)*'Dvd Calendar'!$E$982:$AR$982*(('Dvd Calendar'!$E$984:$AR$984=TYPE1)*(TYPE1&lt;&gt;"")+('Dvd Calendar'!$E$984:$AR$984=TYPE2)*(TYPE2&lt;&gt;"")+('Dvd Calendar'!$E$984:$AR$984=TYPE3)*(TYPE3&lt;&gt;"")+('Dvd Calendar'!$E$984:$AR$984=TYPE4)*(TYPE4&lt;&gt;"")+('Dvd Calendar'!$E$984:$AR$984=SPECIAL_LBL)*(INC_SPECIALS="Y"))))</f>
        <v/>
      </c>
      <c r="K95" s="52">
        <f>IF($B95="",0,SUMIFS('Dvd Calendar'!$E$987:$AR$987,'Dvd Calendar'!$E$986:$AR$986,"&gt;"&amp;PROJ_FROM,'Dvd Calendar'!$E$986:$AR$986,"&lt;="&amp;DATE(YEAR_Y,12,31))+SUMPRODUCT(('Dvd Calendar'!$E$979:$AR$979&gt;PROJ_FROM)*('Dvd Calendar'!$E$979:$AR$979&lt;=DATE(YEAR_Y,12,31))*'Dvd Calendar'!$E$982:$AR$982*(('Dvd Calendar'!$E$984:$AR$984=TYPE1)*(TYPE1&lt;&gt;"")+('Dvd Calendar'!$E$984:$AR$984=TYPE2)*(TYPE2&lt;&gt;"")+('Dvd Calendar'!$E$984:$AR$984=TYPE3)*(TYPE3&lt;&gt;"")+('Dvd Calendar'!$E$984:$AR$984=TYPE4)*(TYPE4&lt;&gt;"")+('Dvd Calendar'!$E$984:$AR$984=SPECIAL_LBL)*(INC_SPECIALS="Y"))*(COUNTIF('Dvd Calendar'!$E$986:$AR$986,'Dvd Calendar'!$E$979:$AR$979)=0)))</f>
        <v/>
      </c>
      <c r="L95" s="52">
        <f>IF($B95="",0,IF((OV_SWITCH="ON")*(COUNTIFS(OVR_TICKERS,$C95,OVR_BASE,"&gt;=0")&gt;0)&gt;0,SUMIFS(OVR_BASE,OVR_TICKERS,$C95),$K95))</f>
        <v/>
      </c>
      <c r="M95" s="52">
        <f>IF($B95="",0,IF((OV_SWITCH="ON")*(COUNTIFS(OVR_TICKERS,$C95,OVR_LOW,"&gt;=0")&gt;0)&gt;0,SUMIFS(OVR_LOW,OVR_TICKERS,$C95),$L95))</f>
        <v/>
      </c>
      <c r="N95" s="52">
        <f>IF($B95="",0,IF((OV_SWITCH="ON")*(COUNTIFS(OVR_TICKERS,$C95,OVR_HIGH,"&gt;=0")&gt;0)&gt;0,SUMIFS(OVR_HIGH,OVR_TICKERS,$C95),$L95))</f>
        <v/>
      </c>
      <c r="O95" s="69">
        <f>IF($B95="","",IFERROR($B95*$G95*$J95/$B$3,""))</f>
        <v/>
      </c>
      <c r="P95" s="69">
        <f>IF($B95="","",IFERROR($B95*$G95*$L95/$B$3,""))</f>
        <v/>
      </c>
      <c r="Q95" s="44">
        <f>IF($B95="","",IFERROR($O95+$P95,""))</f>
        <v/>
      </c>
      <c r="R95" s="69">
        <f>IF($B95="","",IFERROR($O95+$B95*$G95*$M95/$B$3,""))</f>
        <v/>
      </c>
      <c r="S95" s="69">
        <f>IF($B95="","",IFERROR($O95+$B95*$G95*$N95/$B$3,""))</f>
        <v/>
      </c>
      <c r="T95" s="88">
        <f>IF($B95="","",IFERROR($Q95/$Q$5,""))</f>
        <v/>
      </c>
      <c r="U95" s="2">
        <f>IF($B95="","",IF(COUNTIFS('Dvd Calendar'!$E$985:$AR$985,"&gt;0",'Dvd Calendar'!$E$985:$AR$985,"&lt;="&amp;VAL_DATE,'Dvd Calendar'!$E$986:$AR$986,"&gt;"&amp;PROJ_FROM,'Dvd Calendar'!$E$986:$AR$986,"&lt;="&amp;DATE(YEAR_Y,12,31))-COUNTIFS('Dvd Calendar'!$E$985:$AR$985,"&gt;0",'Dvd Calendar'!$E$985:$AR$985,"&lt;="&amp;VAL_DATE,'Dvd Calendar'!$E$986:$AR$986,"&gt;"&amp;PROJ_FROM,'Dvd Calendar'!$E$986:$AR$986,"&lt;="&amp;DATE(YEAR_Y,12,31),'Dvd Calendar'!$E$987:$AR$987,"&gt;=0")&gt;0,"TBA amount - override me",IF((OV_SWITCH="ON")*(COUNTIFS(OVR_TICKERS,$C95,OVR_BASE,"&gt;=0")&gt;0)&gt;0,"overridden",IF($J95+$K95=0,"no dividend in year Y",""))))</f>
        <v/>
      </c>
      <c r="V95" s="69">
        <f>IF($B95="","",IFERROR(IF(ISNUMBER($H95),$B95*$G95*$H95/$B$3,0),""))</f>
        <v/>
      </c>
      <c r="W95" s="69">
        <f>IF($B95="","",IFERROR($B95*$G95*$K95/$B$3,""))</f>
        <v/>
      </c>
      <c r="X95" s="98">
        <f>IF($C95="","",BDP($C95,"PX_LAST"))</f>
        <v/>
      </c>
      <c r="Y95" s="69">
        <f>IF($B95="","",IFERROR($B95*$X95/$B$3,""))</f>
        <v/>
      </c>
      <c r="Z95" s="73">
        <f>IF($B95="","",IFERROR($Y95/$Y$5,""))</f>
        <v/>
      </c>
    </row>
    <row r="96">
      <c r="B96" s="97" t="n"/>
      <c r="C96" s="8">
        <f>IF($A96="","",$A96&amp;" Equity")</f>
        <v/>
      </c>
      <c r="D96" s="8">
        <f>IF($C96="","",BDP($C96,"NAME"))</f>
        <v/>
      </c>
      <c r="E96" s="8">
        <f>IF($C96="","",BDP($C96,"GICS_SECTOR_NAME"))</f>
        <v/>
      </c>
      <c r="F96" s="37">
        <f>IF($C96="","",BDP($C96,FLD_CCY))</f>
        <v/>
      </c>
      <c r="G96" s="12">
        <f>IFERROR(IF(LEN($F96)&lt;&gt;3,1,IF($F96="HKD",1,BDP(IF($F96="CNY",RMB_CROSS,$F96)&amp;"HKD Curncy","PX_LAST"))),1)</f>
        <v/>
      </c>
      <c r="H96" s="69">
        <f>IF($C96="","",BDP($C96,FLD_DPS12M))</f>
        <v/>
      </c>
      <c r="I96" s="50">
        <f>IF($C96="","",BDP($C96,FLD_YLD12M))</f>
        <v/>
      </c>
      <c r="J96" s="52">
        <f>IF($B96="",0,SUMPRODUCT(('Dvd Calendar'!$E$990:$AR$990&gt;=DATE(YEAR_Y,1,1))*('Dvd Calendar'!$E$990:$AR$990&lt;=REALIZED_TO)*'Dvd Calendar'!$E$993:$AR$993*(('Dvd Calendar'!$E$995:$AR$995=TYPE1)*(TYPE1&lt;&gt;"")+('Dvd Calendar'!$E$995:$AR$995=TYPE2)*(TYPE2&lt;&gt;"")+('Dvd Calendar'!$E$995:$AR$995=TYPE3)*(TYPE3&lt;&gt;"")+('Dvd Calendar'!$E$995:$AR$995=TYPE4)*(TYPE4&lt;&gt;"")+('Dvd Calendar'!$E$995:$AR$995=SPECIAL_LBL)*(INC_SPECIALS="Y"))))</f>
        <v/>
      </c>
      <c r="K96" s="52">
        <f>IF($B96="",0,SUMIFS('Dvd Calendar'!$E$998:$AR$998,'Dvd Calendar'!$E$997:$AR$997,"&gt;"&amp;PROJ_FROM,'Dvd Calendar'!$E$997:$AR$997,"&lt;="&amp;DATE(YEAR_Y,12,31))+SUMPRODUCT(('Dvd Calendar'!$E$990:$AR$990&gt;PROJ_FROM)*('Dvd Calendar'!$E$990:$AR$990&lt;=DATE(YEAR_Y,12,31))*'Dvd Calendar'!$E$993:$AR$993*(('Dvd Calendar'!$E$995:$AR$995=TYPE1)*(TYPE1&lt;&gt;"")+('Dvd Calendar'!$E$995:$AR$995=TYPE2)*(TYPE2&lt;&gt;"")+('Dvd Calendar'!$E$995:$AR$995=TYPE3)*(TYPE3&lt;&gt;"")+('Dvd Calendar'!$E$995:$AR$995=TYPE4)*(TYPE4&lt;&gt;"")+('Dvd Calendar'!$E$995:$AR$995=SPECIAL_LBL)*(INC_SPECIALS="Y"))*(COUNTIF('Dvd Calendar'!$E$997:$AR$997,'Dvd Calendar'!$E$990:$AR$990)=0)))</f>
        <v/>
      </c>
      <c r="L96" s="52">
        <f>IF($B96="",0,IF((OV_SWITCH="ON")*(COUNTIFS(OVR_TICKERS,$C96,OVR_BASE,"&gt;=0")&gt;0)&gt;0,SUMIFS(OVR_BASE,OVR_TICKERS,$C96),$K96))</f>
        <v/>
      </c>
      <c r="M96" s="52">
        <f>IF($B96="",0,IF((OV_SWITCH="ON")*(COUNTIFS(OVR_TICKERS,$C96,OVR_LOW,"&gt;=0")&gt;0)&gt;0,SUMIFS(OVR_LOW,OVR_TICKERS,$C96),$L96))</f>
        <v/>
      </c>
      <c r="N96" s="52">
        <f>IF($B96="",0,IF((OV_SWITCH="ON")*(COUNTIFS(OVR_TICKERS,$C96,OVR_HIGH,"&gt;=0")&gt;0)&gt;0,SUMIFS(OVR_HIGH,OVR_TICKERS,$C96),$L96))</f>
        <v/>
      </c>
      <c r="O96" s="69">
        <f>IF($B96="","",IFERROR($B96*$G96*$J96/$B$3,""))</f>
        <v/>
      </c>
      <c r="P96" s="69">
        <f>IF($B96="","",IFERROR($B96*$G96*$L96/$B$3,""))</f>
        <v/>
      </c>
      <c r="Q96" s="44">
        <f>IF($B96="","",IFERROR($O96+$P96,""))</f>
        <v/>
      </c>
      <c r="R96" s="69">
        <f>IF($B96="","",IFERROR($O96+$B96*$G96*$M96/$B$3,""))</f>
        <v/>
      </c>
      <c r="S96" s="69">
        <f>IF($B96="","",IFERROR($O96+$B96*$G96*$N96/$B$3,""))</f>
        <v/>
      </c>
      <c r="T96" s="88">
        <f>IF($B96="","",IFERROR($Q96/$Q$5,""))</f>
        <v/>
      </c>
      <c r="U96" s="2">
        <f>IF($B96="","",IF(COUNTIFS('Dvd Calendar'!$E$996:$AR$996,"&gt;0",'Dvd Calendar'!$E$996:$AR$996,"&lt;="&amp;VAL_DATE,'Dvd Calendar'!$E$997:$AR$997,"&gt;"&amp;PROJ_FROM,'Dvd Calendar'!$E$997:$AR$997,"&lt;="&amp;DATE(YEAR_Y,12,31))-COUNTIFS('Dvd Calendar'!$E$996:$AR$996,"&gt;0",'Dvd Calendar'!$E$996:$AR$996,"&lt;="&amp;VAL_DATE,'Dvd Calendar'!$E$997:$AR$997,"&gt;"&amp;PROJ_FROM,'Dvd Calendar'!$E$997:$AR$997,"&lt;="&amp;DATE(YEAR_Y,12,31),'Dvd Calendar'!$E$998:$AR$998,"&gt;=0")&gt;0,"TBA amount - override me",IF((OV_SWITCH="ON")*(COUNTIFS(OVR_TICKERS,$C96,OVR_BASE,"&gt;=0")&gt;0)&gt;0,"overridden",IF($J96+$K96=0,"no dividend in year Y",""))))</f>
        <v/>
      </c>
      <c r="V96" s="69">
        <f>IF($B96="","",IFERROR(IF(ISNUMBER($H96),$B96*$G96*$H96/$B$3,0),""))</f>
        <v/>
      </c>
      <c r="W96" s="69">
        <f>IF($B96="","",IFERROR($B96*$G96*$K96/$B$3,""))</f>
        <v/>
      </c>
      <c r="X96" s="98">
        <f>IF($C96="","",BDP($C96,"PX_LAST"))</f>
        <v/>
      </c>
      <c r="Y96" s="69">
        <f>IF($B96="","",IFERROR($B96*$X96/$B$3,""))</f>
        <v/>
      </c>
      <c r="Z96" s="73">
        <f>IF($B96="","",IFERROR($Y96/$Y$5,""))</f>
        <v/>
      </c>
    </row>
    <row r="97">
      <c r="B97" s="97" t="n"/>
      <c r="C97" s="8">
        <f>IF($A97="","",$A97&amp;" Equity")</f>
        <v/>
      </c>
      <c r="D97" s="8">
        <f>IF($C97="","",BDP($C97,"NAME"))</f>
        <v/>
      </c>
      <c r="E97" s="8">
        <f>IF($C97="","",BDP($C97,"GICS_SECTOR_NAME"))</f>
        <v/>
      </c>
      <c r="F97" s="37">
        <f>IF($C97="","",BDP($C97,FLD_CCY))</f>
        <v/>
      </c>
      <c r="G97" s="12">
        <f>IFERROR(IF(LEN($F97)&lt;&gt;3,1,IF($F97="HKD",1,BDP(IF($F97="CNY",RMB_CROSS,$F97)&amp;"HKD Curncy","PX_LAST"))),1)</f>
        <v/>
      </c>
      <c r="H97" s="69">
        <f>IF($C97="","",BDP($C97,FLD_DPS12M))</f>
        <v/>
      </c>
      <c r="I97" s="50">
        <f>IF($C97="","",BDP($C97,FLD_YLD12M))</f>
        <v/>
      </c>
      <c r="J97" s="52">
        <f>IF($B97="",0,SUMPRODUCT(('Dvd Calendar'!$E$1001:$AR$1001&gt;=DATE(YEAR_Y,1,1))*('Dvd Calendar'!$E$1001:$AR$1001&lt;=REALIZED_TO)*'Dvd Calendar'!$E$1004:$AR$1004*(('Dvd Calendar'!$E$1006:$AR$1006=TYPE1)*(TYPE1&lt;&gt;"")+('Dvd Calendar'!$E$1006:$AR$1006=TYPE2)*(TYPE2&lt;&gt;"")+('Dvd Calendar'!$E$1006:$AR$1006=TYPE3)*(TYPE3&lt;&gt;"")+('Dvd Calendar'!$E$1006:$AR$1006=TYPE4)*(TYPE4&lt;&gt;"")+('Dvd Calendar'!$E$1006:$AR$1006=SPECIAL_LBL)*(INC_SPECIALS="Y"))))</f>
        <v/>
      </c>
      <c r="K97" s="52">
        <f>IF($B97="",0,SUMIFS('Dvd Calendar'!$E$1009:$AR$1009,'Dvd Calendar'!$E$1008:$AR$1008,"&gt;"&amp;PROJ_FROM,'Dvd Calendar'!$E$1008:$AR$1008,"&lt;="&amp;DATE(YEAR_Y,12,31))+SUMPRODUCT(('Dvd Calendar'!$E$1001:$AR$1001&gt;PROJ_FROM)*('Dvd Calendar'!$E$1001:$AR$1001&lt;=DATE(YEAR_Y,12,31))*'Dvd Calendar'!$E$1004:$AR$1004*(('Dvd Calendar'!$E$1006:$AR$1006=TYPE1)*(TYPE1&lt;&gt;"")+('Dvd Calendar'!$E$1006:$AR$1006=TYPE2)*(TYPE2&lt;&gt;"")+('Dvd Calendar'!$E$1006:$AR$1006=TYPE3)*(TYPE3&lt;&gt;"")+('Dvd Calendar'!$E$1006:$AR$1006=TYPE4)*(TYPE4&lt;&gt;"")+('Dvd Calendar'!$E$1006:$AR$1006=SPECIAL_LBL)*(INC_SPECIALS="Y"))*(COUNTIF('Dvd Calendar'!$E$1008:$AR$1008,'Dvd Calendar'!$E$1001:$AR$1001)=0)))</f>
        <v/>
      </c>
      <c r="L97" s="52">
        <f>IF($B97="",0,IF((OV_SWITCH="ON")*(COUNTIFS(OVR_TICKERS,$C97,OVR_BASE,"&gt;=0")&gt;0)&gt;0,SUMIFS(OVR_BASE,OVR_TICKERS,$C97),$K97))</f>
        <v/>
      </c>
      <c r="M97" s="52">
        <f>IF($B97="",0,IF((OV_SWITCH="ON")*(COUNTIFS(OVR_TICKERS,$C97,OVR_LOW,"&gt;=0")&gt;0)&gt;0,SUMIFS(OVR_LOW,OVR_TICKERS,$C97),$L97))</f>
        <v/>
      </c>
      <c r="N97" s="52">
        <f>IF($B97="",0,IF((OV_SWITCH="ON")*(COUNTIFS(OVR_TICKERS,$C97,OVR_HIGH,"&gt;=0")&gt;0)&gt;0,SUMIFS(OVR_HIGH,OVR_TICKERS,$C97),$L97))</f>
        <v/>
      </c>
      <c r="O97" s="69">
        <f>IF($B97="","",IFERROR($B97*$G97*$J97/$B$3,""))</f>
        <v/>
      </c>
      <c r="P97" s="69">
        <f>IF($B97="","",IFERROR($B97*$G97*$L97/$B$3,""))</f>
        <v/>
      </c>
      <c r="Q97" s="44">
        <f>IF($B97="","",IFERROR($O97+$P97,""))</f>
        <v/>
      </c>
      <c r="R97" s="69">
        <f>IF($B97="","",IFERROR($O97+$B97*$G97*$M97/$B$3,""))</f>
        <v/>
      </c>
      <c r="S97" s="69">
        <f>IF($B97="","",IFERROR($O97+$B97*$G97*$N97/$B$3,""))</f>
        <v/>
      </c>
      <c r="T97" s="88">
        <f>IF($B97="","",IFERROR($Q97/$Q$5,""))</f>
        <v/>
      </c>
      <c r="U97" s="2">
        <f>IF($B97="","",IF(COUNTIFS('Dvd Calendar'!$E$1007:$AR$1007,"&gt;0",'Dvd Calendar'!$E$1007:$AR$1007,"&lt;="&amp;VAL_DATE,'Dvd Calendar'!$E$1008:$AR$1008,"&gt;"&amp;PROJ_FROM,'Dvd Calendar'!$E$1008:$AR$1008,"&lt;="&amp;DATE(YEAR_Y,12,31))-COUNTIFS('Dvd Calendar'!$E$1007:$AR$1007,"&gt;0",'Dvd Calendar'!$E$1007:$AR$1007,"&lt;="&amp;VAL_DATE,'Dvd Calendar'!$E$1008:$AR$1008,"&gt;"&amp;PROJ_FROM,'Dvd Calendar'!$E$1008:$AR$1008,"&lt;="&amp;DATE(YEAR_Y,12,31),'Dvd Calendar'!$E$1009:$AR$1009,"&gt;=0")&gt;0,"TBA amount - override me",IF((OV_SWITCH="ON")*(COUNTIFS(OVR_TICKERS,$C97,OVR_BASE,"&gt;=0")&gt;0)&gt;0,"overridden",IF($J97+$K97=0,"no dividend in year Y",""))))</f>
        <v/>
      </c>
      <c r="V97" s="69">
        <f>IF($B97="","",IFERROR(IF(ISNUMBER($H97),$B97*$G97*$H97/$B$3,0),""))</f>
        <v/>
      </c>
      <c r="W97" s="69">
        <f>IF($B97="","",IFERROR($B97*$G97*$K97/$B$3,""))</f>
        <v/>
      </c>
      <c r="X97" s="98">
        <f>IF($C97="","",BDP($C97,"PX_LAST"))</f>
        <v/>
      </c>
      <c r="Y97" s="69">
        <f>IF($B97="","",IFERROR($B97*$X97/$B$3,""))</f>
        <v/>
      </c>
      <c r="Z97" s="73">
        <f>IF($B97="","",IFERROR($Y97/$Y$5,""))</f>
        <v/>
      </c>
    </row>
    <row r="98">
      <c r="B98" s="97" t="n"/>
      <c r="C98" s="8">
        <f>IF($A98="","",$A98&amp;" Equity")</f>
        <v/>
      </c>
      <c r="D98" s="8">
        <f>IF($C98="","",BDP($C98,"NAME"))</f>
        <v/>
      </c>
      <c r="E98" s="8">
        <f>IF($C98="","",BDP($C98,"GICS_SECTOR_NAME"))</f>
        <v/>
      </c>
      <c r="F98" s="37">
        <f>IF($C98="","",BDP($C98,FLD_CCY))</f>
        <v/>
      </c>
      <c r="G98" s="12">
        <f>IFERROR(IF(LEN($F98)&lt;&gt;3,1,IF($F98="HKD",1,BDP(IF($F98="CNY",RMB_CROSS,$F98)&amp;"HKD Curncy","PX_LAST"))),1)</f>
        <v/>
      </c>
      <c r="H98" s="69">
        <f>IF($C98="","",BDP($C98,FLD_DPS12M))</f>
        <v/>
      </c>
      <c r="I98" s="50">
        <f>IF($C98="","",BDP($C98,FLD_YLD12M))</f>
        <v/>
      </c>
      <c r="J98" s="52">
        <f>IF($B98="",0,SUMPRODUCT(('Dvd Calendar'!$E$1012:$AR$1012&gt;=DATE(YEAR_Y,1,1))*('Dvd Calendar'!$E$1012:$AR$1012&lt;=REALIZED_TO)*'Dvd Calendar'!$E$1015:$AR$1015*(('Dvd Calendar'!$E$1017:$AR$1017=TYPE1)*(TYPE1&lt;&gt;"")+('Dvd Calendar'!$E$1017:$AR$1017=TYPE2)*(TYPE2&lt;&gt;"")+('Dvd Calendar'!$E$1017:$AR$1017=TYPE3)*(TYPE3&lt;&gt;"")+('Dvd Calendar'!$E$1017:$AR$1017=TYPE4)*(TYPE4&lt;&gt;"")+('Dvd Calendar'!$E$1017:$AR$1017=SPECIAL_LBL)*(INC_SPECIALS="Y"))))</f>
        <v/>
      </c>
      <c r="K98" s="52">
        <f>IF($B98="",0,SUMIFS('Dvd Calendar'!$E$1020:$AR$1020,'Dvd Calendar'!$E$1019:$AR$1019,"&gt;"&amp;PROJ_FROM,'Dvd Calendar'!$E$1019:$AR$1019,"&lt;="&amp;DATE(YEAR_Y,12,31))+SUMPRODUCT(('Dvd Calendar'!$E$1012:$AR$1012&gt;PROJ_FROM)*('Dvd Calendar'!$E$1012:$AR$1012&lt;=DATE(YEAR_Y,12,31))*'Dvd Calendar'!$E$1015:$AR$1015*(('Dvd Calendar'!$E$1017:$AR$1017=TYPE1)*(TYPE1&lt;&gt;"")+('Dvd Calendar'!$E$1017:$AR$1017=TYPE2)*(TYPE2&lt;&gt;"")+('Dvd Calendar'!$E$1017:$AR$1017=TYPE3)*(TYPE3&lt;&gt;"")+('Dvd Calendar'!$E$1017:$AR$1017=TYPE4)*(TYPE4&lt;&gt;"")+('Dvd Calendar'!$E$1017:$AR$1017=SPECIAL_LBL)*(INC_SPECIALS="Y"))*(COUNTIF('Dvd Calendar'!$E$1019:$AR$1019,'Dvd Calendar'!$E$1012:$AR$1012)=0)))</f>
        <v/>
      </c>
      <c r="L98" s="52">
        <f>IF($B98="",0,IF((OV_SWITCH="ON")*(COUNTIFS(OVR_TICKERS,$C98,OVR_BASE,"&gt;=0")&gt;0)&gt;0,SUMIFS(OVR_BASE,OVR_TICKERS,$C98),$K98))</f>
        <v/>
      </c>
      <c r="M98" s="52">
        <f>IF($B98="",0,IF((OV_SWITCH="ON")*(COUNTIFS(OVR_TICKERS,$C98,OVR_LOW,"&gt;=0")&gt;0)&gt;0,SUMIFS(OVR_LOW,OVR_TICKERS,$C98),$L98))</f>
        <v/>
      </c>
      <c r="N98" s="52">
        <f>IF($B98="",0,IF((OV_SWITCH="ON")*(COUNTIFS(OVR_TICKERS,$C98,OVR_HIGH,"&gt;=0")&gt;0)&gt;0,SUMIFS(OVR_HIGH,OVR_TICKERS,$C98),$L98))</f>
        <v/>
      </c>
      <c r="O98" s="69">
        <f>IF($B98="","",IFERROR($B98*$G98*$J98/$B$3,""))</f>
        <v/>
      </c>
      <c r="P98" s="69">
        <f>IF($B98="","",IFERROR($B98*$G98*$L98/$B$3,""))</f>
        <v/>
      </c>
      <c r="Q98" s="44">
        <f>IF($B98="","",IFERROR($O98+$P98,""))</f>
        <v/>
      </c>
      <c r="R98" s="69">
        <f>IF($B98="","",IFERROR($O98+$B98*$G98*$M98/$B$3,""))</f>
        <v/>
      </c>
      <c r="S98" s="69">
        <f>IF($B98="","",IFERROR($O98+$B98*$G98*$N98/$B$3,""))</f>
        <v/>
      </c>
      <c r="T98" s="88">
        <f>IF($B98="","",IFERROR($Q98/$Q$5,""))</f>
        <v/>
      </c>
      <c r="U98" s="2">
        <f>IF($B98="","",IF(COUNTIFS('Dvd Calendar'!$E$1018:$AR$1018,"&gt;0",'Dvd Calendar'!$E$1018:$AR$1018,"&lt;="&amp;VAL_DATE,'Dvd Calendar'!$E$1019:$AR$1019,"&gt;"&amp;PROJ_FROM,'Dvd Calendar'!$E$1019:$AR$1019,"&lt;="&amp;DATE(YEAR_Y,12,31))-COUNTIFS('Dvd Calendar'!$E$1018:$AR$1018,"&gt;0",'Dvd Calendar'!$E$1018:$AR$1018,"&lt;="&amp;VAL_DATE,'Dvd Calendar'!$E$1019:$AR$1019,"&gt;"&amp;PROJ_FROM,'Dvd Calendar'!$E$1019:$AR$1019,"&lt;="&amp;DATE(YEAR_Y,12,31),'Dvd Calendar'!$E$1020:$AR$1020,"&gt;=0")&gt;0,"TBA amount - override me",IF((OV_SWITCH="ON")*(COUNTIFS(OVR_TICKERS,$C98,OVR_BASE,"&gt;=0")&gt;0)&gt;0,"overridden",IF($J98+$K98=0,"no dividend in year Y",""))))</f>
        <v/>
      </c>
      <c r="V98" s="69">
        <f>IF($B98="","",IFERROR(IF(ISNUMBER($H98),$B98*$G98*$H98/$B$3,0),""))</f>
        <v/>
      </c>
      <c r="W98" s="69">
        <f>IF($B98="","",IFERROR($B98*$G98*$K98/$B$3,""))</f>
        <v/>
      </c>
      <c r="X98" s="98">
        <f>IF($C98="","",BDP($C98,"PX_LAST"))</f>
        <v/>
      </c>
      <c r="Y98" s="69">
        <f>IF($B98="","",IFERROR($B98*$X98/$B$3,""))</f>
        <v/>
      </c>
      <c r="Z98" s="73">
        <f>IF($B98="","",IFERROR($Y98/$Y$5,""))</f>
        <v/>
      </c>
    </row>
    <row r="99">
      <c r="B99" s="97" t="n"/>
      <c r="C99" s="8">
        <f>IF($A99="","",$A99&amp;" Equity")</f>
        <v/>
      </c>
      <c r="D99" s="8">
        <f>IF($C99="","",BDP($C99,"NAME"))</f>
        <v/>
      </c>
      <c r="E99" s="8">
        <f>IF($C99="","",BDP($C99,"GICS_SECTOR_NAME"))</f>
        <v/>
      </c>
      <c r="F99" s="37">
        <f>IF($C99="","",BDP($C99,FLD_CCY))</f>
        <v/>
      </c>
      <c r="G99" s="12">
        <f>IFERROR(IF(LEN($F99)&lt;&gt;3,1,IF($F99="HKD",1,BDP(IF($F99="CNY",RMB_CROSS,$F99)&amp;"HKD Curncy","PX_LAST"))),1)</f>
        <v/>
      </c>
      <c r="H99" s="69">
        <f>IF($C99="","",BDP($C99,FLD_DPS12M))</f>
        <v/>
      </c>
      <c r="I99" s="50">
        <f>IF($C99="","",BDP($C99,FLD_YLD12M))</f>
        <v/>
      </c>
      <c r="J99" s="52">
        <f>IF($B99="",0,SUMPRODUCT(('Dvd Calendar'!$E$1023:$AR$1023&gt;=DATE(YEAR_Y,1,1))*('Dvd Calendar'!$E$1023:$AR$1023&lt;=REALIZED_TO)*'Dvd Calendar'!$E$1026:$AR$1026*(('Dvd Calendar'!$E$1028:$AR$1028=TYPE1)*(TYPE1&lt;&gt;"")+('Dvd Calendar'!$E$1028:$AR$1028=TYPE2)*(TYPE2&lt;&gt;"")+('Dvd Calendar'!$E$1028:$AR$1028=TYPE3)*(TYPE3&lt;&gt;"")+('Dvd Calendar'!$E$1028:$AR$1028=TYPE4)*(TYPE4&lt;&gt;"")+('Dvd Calendar'!$E$1028:$AR$1028=SPECIAL_LBL)*(INC_SPECIALS="Y"))))</f>
        <v/>
      </c>
      <c r="K99" s="52">
        <f>IF($B99="",0,SUMIFS('Dvd Calendar'!$E$1031:$AR$1031,'Dvd Calendar'!$E$1030:$AR$1030,"&gt;"&amp;PROJ_FROM,'Dvd Calendar'!$E$1030:$AR$1030,"&lt;="&amp;DATE(YEAR_Y,12,31))+SUMPRODUCT(('Dvd Calendar'!$E$1023:$AR$1023&gt;PROJ_FROM)*('Dvd Calendar'!$E$1023:$AR$1023&lt;=DATE(YEAR_Y,12,31))*'Dvd Calendar'!$E$1026:$AR$1026*(('Dvd Calendar'!$E$1028:$AR$1028=TYPE1)*(TYPE1&lt;&gt;"")+('Dvd Calendar'!$E$1028:$AR$1028=TYPE2)*(TYPE2&lt;&gt;"")+('Dvd Calendar'!$E$1028:$AR$1028=TYPE3)*(TYPE3&lt;&gt;"")+('Dvd Calendar'!$E$1028:$AR$1028=TYPE4)*(TYPE4&lt;&gt;"")+('Dvd Calendar'!$E$1028:$AR$1028=SPECIAL_LBL)*(INC_SPECIALS="Y"))*(COUNTIF('Dvd Calendar'!$E$1030:$AR$1030,'Dvd Calendar'!$E$1023:$AR$1023)=0)))</f>
        <v/>
      </c>
      <c r="L99" s="52">
        <f>IF($B99="",0,IF((OV_SWITCH="ON")*(COUNTIFS(OVR_TICKERS,$C99,OVR_BASE,"&gt;=0")&gt;0)&gt;0,SUMIFS(OVR_BASE,OVR_TICKERS,$C99),$K99))</f>
        <v/>
      </c>
      <c r="M99" s="52">
        <f>IF($B99="",0,IF((OV_SWITCH="ON")*(COUNTIFS(OVR_TICKERS,$C99,OVR_LOW,"&gt;=0")&gt;0)&gt;0,SUMIFS(OVR_LOW,OVR_TICKERS,$C99),$L99))</f>
        <v/>
      </c>
      <c r="N99" s="52">
        <f>IF($B99="",0,IF((OV_SWITCH="ON")*(COUNTIFS(OVR_TICKERS,$C99,OVR_HIGH,"&gt;=0")&gt;0)&gt;0,SUMIFS(OVR_HIGH,OVR_TICKERS,$C99),$L99))</f>
        <v/>
      </c>
      <c r="O99" s="69">
        <f>IF($B99="","",IFERROR($B99*$G99*$J99/$B$3,""))</f>
        <v/>
      </c>
      <c r="P99" s="69">
        <f>IF($B99="","",IFERROR($B99*$G99*$L99/$B$3,""))</f>
        <v/>
      </c>
      <c r="Q99" s="44">
        <f>IF($B99="","",IFERROR($O99+$P99,""))</f>
        <v/>
      </c>
      <c r="R99" s="69">
        <f>IF($B99="","",IFERROR($O99+$B99*$G99*$M99/$B$3,""))</f>
        <v/>
      </c>
      <c r="S99" s="69">
        <f>IF($B99="","",IFERROR($O99+$B99*$G99*$N99/$B$3,""))</f>
        <v/>
      </c>
      <c r="T99" s="88">
        <f>IF($B99="","",IFERROR($Q99/$Q$5,""))</f>
        <v/>
      </c>
      <c r="U99" s="2">
        <f>IF($B99="","",IF(COUNTIFS('Dvd Calendar'!$E$1029:$AR$1029,"&gt;0",'Dvd Calendar'!$E$1029:$AR$1029,"&lt;="&amp;VAL_DATE,'Dvd Calendar'!$E$1030:$AR$1030,"&gt;"&amp;PROJ_FROM,'Dvd Calendar'!$E$1030:$AR$1030,"&lt;="&amp;DATE(YEAR_Y,12,31))-COUNTIFS('Dvd Calendar'!$E$1029:$AR$1029,"&gt;0",'Dvd Calendar'!$E$1029:$AR$1029,"&lt;="&amp;VAL_DATE,'Dvd Calendar'!$E$1030:$AR$1030,"&gt;"&amp;PROJ_FROM,'Dvd Calendar'!$E$1030:$AR$1030,"&lt;="&amp;DATE(YEAR_Y,12,31),'Dvd Calendar'!$E$1031:$AR$1031,"&gt;=0")&gt;0,"TBA amount - override me",IF((OV_SWITCH="ON")*(COUNTIFS(OVR_TICKERS,$C99,OVR_BASE,"&gt;=0")&gt;0)&gt;0,"overridden",IF($J99+$K99=0,"no dividend in year Y",""))))</f>
        <v/>
      </c>
      <c r="V99" s="69">
        <f>IF($B99="","",IFERROR(IF(ISNUMBER($H99),$B99*$G99*$H99/$B$3,0),""))</f>
        <v/>
      </c>
      <c r="W99" s="69">
        <f>IF($B99="","",IFERROR($B99*$G99*$K99/$B$3,""))</f>
        <v/>
      </c>
      <c r="X99" s="98">
        <f>IF($C99="","",BDP($C99,"PX_LAST"))</f>
        <v/>
      </c>
      <c r="Y99" s="69">
        <f>IF($B99="","",IFERROR($B99*$X99/$B$3,""))</f>
        <v/>
      </c>
      <c r="Z99" s="73">
        <f>IF($B99="","",IFERROR($Y99/$Y$5,""))</f>
        <v/>
      </c>
    </row>
    <row r="100">
      <c r="B100" s="97" t="n"/>
      <c r="C100" s="8">
        <f>IF($A100="","",$A100&amp;" Equity")</f>
        <v/>
      </c>
      <c r="D100" s="8">
        <f>IF($C100="","",BDP($C100,"NAME"))</f>
        <v/>
      </c>
      <c r="E100" s="8">
        <f>IF($C100="","",BDP($C100,"GICS_SECTOR_NAME"))</f>
        <v/>
      </c>
      <c r="F100" s="37">
        <f>IF($C100="","",BDP($C100,FLD_CCY))</f>
        <v/>
      </c>
      <c r="G100" s="12">
        <f>IFERROR(IF(LEN($F100)&lt;&gt;3,1,IF($F100="HKD",1,BDP(IF($F100="CNY",RMB_CROSS,$F100)&amp;"HKD Curncy","PX_LAST"))),1)</f>
        <v/>
      </c>
      <c r="H100" s="69">
        <f>IF($C100="","",BDP($C100,FLD_DPS12M))</f>
        <v/>
      </c>
      <c r="I100" s="50">
        <f>IF($C100="","",BDP($C100,FLD_YLD12M))</f>
        <v/>
      </c>
      <c r="J100" s="52">
        <f>IF($B100="",0,SUMPRODUCT(('Dvd Calendar'!$E$1034:$AR$1034&gt;=DATE(YEAR_Y,1,1))*('Dvd Calendar'!$E$1034:$AR$1034&lt;=REALIZED_TO)*'Dvd Calendar'!$E$1037:$AR$1037*(('Dvd Calendar'!$E$1039:$AR$1039=TYPE1)*(TYPE1&lt;&gt;"")+('Dvd Calendar'!$E$1039:$AR$1039=TYPE2)*(TYPE2&lt;&gt;"")+('Dvd Calendar'!$E$1039:$AR$1039=TYPE3)*(TYPE3&lt;&gt;"")+('Dvd Calendar'!$E$1039:$AR$1039=TYPE4)*(TYPE4&lt;&gt;"")+('Dvd Calendar'!$E$1039:$AR$1039=SPECIAL_LBL)*(INC_SPECIALS="Y"))))</f>
        <v/>
      </c>
      <c r="K100" s="52">
        <f>IF($B100="",0,SUMIFS('Dvd Calendar'!$E$1042:$AR$1042,'Dvd Calendar'!$E$1041:$AR$1041,"&gt;"&amp;PROJ_FROM,'Dvd Calendar'!$E$1041:$AR$1041,"&lt;="&amp;DATE(YEAR_Y,12,31))+SUMPRODUCT(('Dvd Calendar'!$E$1034:$AR$1034&gt;PROJ_FROM)*('Dvd Calendar'!$E$1034:$AR$1034&lt;=DATE(YEAR_Y,12,31))*'Dvd Calendar'!$E$1037:$AR$1037*(('Dvd Calendar'!$E$1039:$AR$1039=TYPE1)*(TYPE1&lt;&gt;"")+('Dvd Calendar'!$E$1039:$AR$1039=TYPE2)*(TYPE2&lt;&gt;"")+('Dvd Calendar'!$E$1039:$AR$1039=TYPE3)*(TYPE3&lt;&gt;"")+('Dvd Calendar'!$E$1039:$AR$1039=TYPE4)*(TYPE4&lt;&gt;"")+('Dvd Calendar'!$E$1039:$AR$1039=SPECIAL_LBL)*(INC_SPECIALS="Y"))*(COUNTIF('Dvd Calendar'!$E$1041:$AR$1041,'Dvd Calendar'!$E$1034:$AR$1034)=0)))</f>
        <v/>
      </c>
      <c r="L100" s="52">
        <f>IF($B100="",0,IF((OV_SWITCH="ON")*(COUNTIFS(OVR_TICKERS,$C100,OVR_BASE,"&gt;=0")&gt;0)&gt;0,SUMIFS(OVR_BASE,OVR_TICKERS,$C100),$K100))</f>
        <v/>
      </c>
      <c r="M100" s="52">
        <f>IF($B100="",0,IF((OV_SWITCH="ON")*(COUNTIFS(OVR_TICKERS,$C100,OVR_LOW,"&gt;=0")&gt;0)&gt;0,SUMIFS(OVR_LOW,OVR_TICKERS,$C100),$L100))</f>
        <v/>
      </c>
      <c r="N100" s="52">
        <f>IF($B100="",0,IF((OV_SWITCH="ON")*(COUNTIFS(OVR_TICKERS,$C100,OVR_HIGH,"&gt;=0")&gt;0)&gt;0,SUMIFS(OVR_HIGH,OVR_TICKERS,$C100),$L100))</f>
        <v/>
      </c>
      <c r="O100" s="69">
        <f>IF($B100="","",IFERROR($B100*$G100*$J100/$B$3,""))</f>
        <v/>
      </c>
      <c r="P100" s="69">
        <f>IF($B100="","",IFERROR($B100*$G100*$L100/$B$3,""))</f>
        <v/>
      </c>
      <c r="Q100" s="44">
        <f>IF($B100="","",IFERROR($O100+$P100,""))</f>
        <v/>
      </c>
      <c r="R100" s="69">
        <f>IF($B100="","",IFERROR($O100+$B100*$G100*$M100/$B$3,""))</f>
        <v/>
      </c>
      <c r="S100" s="69">
        <f>IF($B100="","",IFERROR($O100+$B100*$G100*$N100/$B$3,""))</f>
        <v/>
      </c>
      <c r="T100" s="88">
        <f>IF($B100="","",IFERROR($Q100/$Q$5,""))</f>
        <v/>
      </c>
      <c r="U100" s="2">
        <f>IF($B100="","",IF(COUNTIFS('Dvd Calendar'!$E$1040:$AR$1040,"&gt;0",'Dvd Calendar'!$E$1040:$AR$1040,"&lt;="&amp;VAL_DATE,'Dvd Calendar'!$E$1041:$AR$1041,"&gt;"&amp;PROJ_FROM,'Dvd Calendar'!$E$1041:$AR$1041,"&lt;="&amp;DATE(YEAR_Y,12,31))-COUNTIFS('Dvd Calendar'!$E$1040:$AR$1040,"&gt;0",'Dvd Calendar'!$E$1040:$AR$1040,"&lt;="&amp;VAL_DATE,'Dvd Calendar'!$E$1041:$AR$1041,"&gt;"&amp;PROJ_FROM,'Dvd Calendar'!$E$1041:$AR$1041,"&lt;="&amp;DATE(YEAR_Y,12,31),'Dvd Calendar'!$E$1042:$AR$1042,"&gt;=0")&gt;0,"TBA amount - override me",IF((OV_SWITCH="ON")*(COUNTIFS(OVR_TICKERS,$C100,OVR_BASE,"&gt;=0")&gt;0)&gt;0,"overridden",IF($J100+$K100=0,"no dividend in year Y",""))))</f>
        <v/>
      </c>
      <c r="V100" s="69">
        <f>IF($B100="","",IFERROR(IF(ISNUMBER($H100),$B100*$G100*$H100/$B$3,0),""))</f>
        <v/>
      </c>
      <c r="W100" s="69">
        <f>IF($B100="","",IFERROR($B100*$G100*$K100/$B$3,""))</f>
        <v/>
      </c>
      <c r="X100" s="98">
        <f>IF($C100="","",BDP($C100,"PX_LAST"))</f>
        <v/>
      </c>
      <c r="Y100" s="69">
        <f>IF($B100="","",IFERROR($B100*$X100/$B$3,""))</f>
        <v/>
      </c>
      <c r="Z100" s="73">
        <f>IF($B100="","",IFERROR($Y100/$Y$5,""))</f>
        <v/>
      </c>
    </row>
    <row r="101">
      <c r="B101" s="97" t="n"/>
      <c r="C101" s="8">
        <f>IF($A101="","",$A101&amp;" Equity")</f>
        <v/>
      </c>
      <c r="D101" s="8">
        <f>IF($C101="","",BDP($C101,"NAME"))</f>
        <v/>
      </c>
      <c r="E101" s="8">
        <f>IF($C101="","",BDP($C101,"GICS_SECTOR_NAME"))</f>
        <v/>
      </c>
      <c r="F101" s="37">
        <f>IF($C101="","",BDP($C101,FLD_CCY))</f>
        <v/>
      </c>
      <c r="G101" s="12">
        <f>IFERROR(IF(LEN($F101)&lt;&gt;3,1,IF($F101="HKD",1,BDP(IF($F101="CNY",RMB_CROSS,$F101)&amp;"HKD Curncy","PX_LAST"))),1)</f>
        <v/>
      </c>
      <c r="H101" s="69">
        <f>IF($C101="","",BDP($C101,FLD_DPS12M))</f>
        <v/>
      </c>
      <c r="I101" s="50">
        <f>IF($C101="","",BDP($C101,FLD_YLD12M))</f>
        <v/>
      </c>
      <c r="J101" s="52">
        <f>IF($B101="",0,SUMPRODUCT(('Dvd Calendar'!$E$1045:$AR$1045&gt;=DATE(YEAR_Y,1,1))*('Dvd Calendar'!$E$1045:$AR$1045&lt;=REALIZED_TO)*'Dvd Calendar'!$E$1048:$AR$1048*(('Dvd Calendar'!$E$1050:$AR$1050=TYPE1)*(TYPE1&lt;&gt;"")+('Dvd Calendar'!$E$1050:$AR$1050=TYPE2)*(TYPE2&lt;&gt;"")+('Dvd Calendar'!$E$1050:$AR$1050=TYPE3)*(TYPE3&lt;&gt;"")+('Dvd Calendar'!$E$1050:$AR$1050=TYPE4)*(TYPE4&lt;&gt;"")+('Dvd Calendar'!$E$1050:$AR$1050=SPECIAL_LBL)*(INC_SPECIALS="Y"))))</f>
        <v/>
      </c>
      <c r="K101" s="52">
        <f>IF($B101="",0,SUMIFS('Dvd Calendar'!$E$1053:$AR$1053,'Dvd Calendar'!$E$1052:$AR$1052,"&gt;"&amp;PROJ_FROM,'Dvd Calendar'!$E$1052:$AR$1052,"&lt;="&amp;DATE(YEAR_Y,12,31))+SUMPRODUCT(('Dvd Calendar'!$E$1045:$AR$1045&gt;PROJ_FROM)*('Dvd Calendar'!$E$1045:$AR$1045&lt;=DATE(YEAR_Y,12,31))*'Dvd Calendar'!$E$1048:$AR$1048*(('Dvd Calendar'!$E$1050:$AR$1050=TYPE1)*(TYPE1&lt;&gt;"")+('Dvd Calendar'!$E$1050:$AR$1050=TYPE2)*(TYPE2&lt;&gt;"")+('Dvd Calendar'!$E$1050:$AR$1050=TYPE3)*(TYPE3&lt;&gt;"")+('Dvd Calendar'!$E$1050:$AR$1050=TYPE4)*(TYPE4&lt;&gt;"")+('Dvd Calendar'!$E$1050:$AR$1050=SPECIAL_LBL)*(INC_SPECIALS="Y"))*(COUNTIF('Dvd Calendar'!$E$1052:$AR$1052,'Dvd Calendar'!$E$1045:$AR$1045)=0)))</f>
        <v/>
      </c>
      <c r="L101" s="52">
        <f>IF($B101="",0,IF((OV_SWITCH="ON")*(COUNTIFS(OVR_TICKERS,$C101,OVR_BASE,"&gt;=0")&gt;0)&gt;0,SUMIFS(OVR_BASE,OVR_TICKERS,$C101),$K101))</f>
        <v/>
      </c>
      <c r="M101" s="52">
        <f>IF($B101="",0,IF((OV_SWITCH="ON")*(COUNTIFS(OVR_TICKERS,$C101,OVR_LOW,"&gt;=0")&gt;0)&gt;0,SUMIFS(OVR_LOW,OVR_TICKERS,$C101),$L101))</f>
        <v/>
      </c>
      <c r="N101" s="52">
        <f>IF($B101="",0,IF((OV_SWITCH="ON")*(COUNTIFS(OVR_TICKERS,$C101,OVR_HIGH,"&gt;=0")&gt;0)&gt;0,SUMIFS(OVR_HIGH,OVR_TICKERS,$C101),$L101))</f>
        <v/>
      </c>
      <c r="O101" s="69">
        <f>IF($B101="","",IFERROR($B101*$G101*$J101/$B$3,""))</f>
        <v/>
      </c>
      <c r="P101" s="69">
        <f>IF($B101="","",IFERROR($B101*$G101*$L101/$B$3,""))</f>
        <v/>
      </c>
      <c r="Q101" s="44">
        <f>IF($B101="","",IFERROR($O101+$P101,""))</f>
        <v/>
      </c>
      <c r="R101" s="69">
        <f>IF($B101="","",IFERROR($O101+$B101*$G101*$M101/$B$3,""))</f>
        <v/>
      </c>
      <c r="S101" s="69">
        <f>IF($B101="","",IFERROR($O101+$B101*$G101*$N101/$B$3,""))</f>
        <v/>
      </c>
      <c r="T101" s="88">
        <f>IF($B101="","",IFERROR($Q101/$Q$5,""))</f>
        <v/>
      </c>
      <c r="U101" s="2">
        <f>IF($B101="","",IF(COUNTIFS('Dvd Calendar'!$E$1051:$AR$1051,"&gt;0",'Dvd Calendar'!$E$1051:$AR$1051,"&lt;="&amp;VAL_DATE,'Dvd Calendar'!$E$1052:$AR$1052,"&gt;"&amp;PROJ_FROM,'Dvd Calendar'!$E$1052:$AR$1052,"&lt;="&amp;DATE(YEAR_Y,12,31))-COUNTIFS('Dvd Calendar'!$E$1051:$AR$1051,"&gt;0",'Dvd Calendar'!$E$1051:$AR$1051,"&lt;="&amp;VAL_DATE,'Dvd Calendar'!$E$1052:$AR$1052,"&gt;"&amp;PROJ_FROM,'Dvd Calendar'!$E$1052:$AR$1052,"&lt;="&amp;DATE(YEAR_Y,12,31),'Dvd Calendar'!$E$1053:$AR$1053,"&gt;=0")&gt;0,"TBA amount - override me",IF((OV_SWITCH="ON")*(COUNTIFS(OVR_TICKERS,$C101,OVR_BASE,"&gt;=0")&gt;0)&gt;0,"overridden",IF($J101+$K101=0,"no dividend in year Y",""))))</f>
        <v/>
      </c>
      <c r="V101" s="69">
        <f>IF($B101="","",IFERROR(IF(ISNUMBER($H101),$B101*$G101*$H101/$B$3,0),""))</f>
        <v/>
      </c>
      <c r="W101" s="69">
        <f>IF($B101="","",IFERROR($B101*$G101*$K101/$B$3,""))</f>
        <v/>
      </c>
      <c r="X101" s="98">
        <f>IF($C101="","",BDP($C101,"PX_LAST"))</f>
        <v/>
      </c>
      <c r="Y101" s="69">
        <f>IF($B101="","",IFERROR($B101*$X101/$B$3,""))</f>
        <v/>
      </c>
      <c r="Z101" s="73">
        <f>IF($B101="","",IFERROR($Y101/$Y$5,""))</f>
        <v/>
      </c>
    </row>
    <row r="102">
      <c r="B102" s="97" t="n"/>
      <c r="C102" s="8">
        <f>IF($A102="","",$A102&amp;" Equity")</f>
        <v/>
      </c>
      <c r="D102" s="8">
        <f>IF($C102="","",BDP($C102,"NAME"))</f>
        <v/>
      </c>
      <c r="E102" s="8">
        <f>IF($C102="","",BDP($C102,"GICS_SECTOR_NAME"))</f>
        <v/>
      </c>
      <c r="F102" s="37">
        <f>IF($C102="","",BDP($C102,FLD_CCY))</f>
        <v/>
      </c>
      <c r="G102" s="12">
        <f>IFERROR(IF(LEN($F102)&lt;&gt;3,1,IF($F102="HKD",1,BDP(IF($F102="CNY",RMB_CROSS,$F102)&amp;"HKD Curncy","PX_LAST"))),1)</f>
        <v/>
      </c>
      <c r="H102" s="69">
        <f>IF($C102="","",BDP($C102,FLD_DPS12M))</f>
        <v/>
      </c>
      <c r="I102" s="50">
        <f>IF($C102="","",BDP($C102,FLD_YLD12M))</f>
        <v/>
      </c>
      <c r="J102" s="52">
        <f>IF($B102="",0,SUMPRODUCT(('Dvd Calendar'!$E$1056:$AR$1056&gt;=DATE(YEAR_Y,1,1))*('Dvd Calendar'!$E$1056:$AR$1056&lt;=REALIZED_TO)*'Dvd Calendar'!$E$1059:$AR$1059*(('Dvd Calendar'!$E$1061:$AR$1061=TYPE1)*(TYPE1&lt;&gt;"")+('Dvd Calendar'!$E$1061:$AR$1061=TYPE2)*(TYPE2&lt;&gt;"")+('Dvd Calendar'!$E$1061:$AR$1061=TYPE3)*(TYPE3&lt;&gt;"")+('Dvd Calendar'!$E$1061:$AR$1061=TYPE4)*(TYPE4&lt;&gt;"")+('Dvd Calendar'!$E$1061:$AR$1061=SPECIAL_LBL)*(INC_SPECIALS="Y"))))</f>
        <v/>
      </c>
      <c r="K102" s="52">
        <f>IF($B102="",0,SUMIFS('Dvd Calendar'!$E$1064:$AR$1064,'Dvd Calendar'!$E$1063:$AR$1063,"&gt;"&amp;PROJ_FROM,'Dvd Calendar'!$E$1063:$AR$1063,"&lt;="&amp;DATE(YEAR_Y,12,31))+SUMPRODUCT(('Dvd Calendar'!$E$1056:$AR$1056&gt;PROJ_FROM)*('Dvd Calendar'!$E$1056:$AR$1056&lt;=DATE(YEAR_Y,12,31))*'Dvd Calendar'!$E$1059:$AR$1059*(('Dvd Calendar'!$E$1061:$AR$1061=TYPE1)*(TYPE1&lt;&gt;"")+('Dvd Calendar'!$E$1061:$AR$1061=TYPE2)*(TYPE2&lt;&gt;"")+('Dvd Calendar'!$E$1061:$AR$1061=TYPE3)*(TYPE3&lt;&gt;"")+('Dvd Calendar'!$E$1061:$AR$1061=TYPE4)*(TYPE4&lt;&gt;"")+('Dvd Calendar'!$E$1061:$AR$1061=SPECIAL_LBL)*(INC_SPECIALS="Y"))*(COUNTIF('Dvd Calendar'!$E$1063:$AR$1063,'Dvd Calendar'!$E$1056:$AR$1056)=0)))</f>
        <v/>
      </c>
      <c r="L102" s="52">
        <f>IF($B102="",0,IF((OV_SWITCH="ON")*(COUNTIFS(OVR_TICKERS,$C102,OVR_BASE,"&gt;=0")&gt;0)&gt;0,SUMIFS(OVR_BASE,OVR_TICKERS,$C102),$K102))</f>
        <v/>
      </c>
      <c r="M102" s="52">
        <f>IF($B102="",0,IF((OV_SWITCH="ON")*(COUNTIFS(OVR_TICKERS,$C102,OVR_LOW,"&gt;=0")&gt;0)&gt;0,SUMIFS(OVR_LOW,OVR_TICKERS,$C102),$L102))</f>
        <v/>
      </c>
      <c r="N102" s="52">
        <f>IF($B102="",0,IF((OV_SWITCH="ON")*(COUNTIFS(OVR_TICKERS,$C102,OVR_HIGH,"&gt;=0")&gt;0)&gt;0,SUMIFS(OVR_HIGH,OVR_TICKERS,$C102),$L102))</f>
        <v/>
      </c>
      <c r="O102" s="69">
        <f>IF($B102="","",IFERROR($B102*$G102*$J102/$B$3,""))</f>
        <v/>
      </c>
      <c r="P102" s="69">
        <f>IF($B102="","",IFERROR($B102*$G102*$L102/$B$3,""))</f>
        <v/>
      </c>
      <c r="Q102" s="44">
        <f>IF($B102="","",IFERROR($O102+$P102,""))</f>
        <v/>
      </c>
      <c r="R102" s="69">
        <f>IF($B102="","",IFERROR($O102+$B102*$G102*$M102/$B$3,""))</f>
        <v/>
      </c>
      <c r="S102" s="69">
        <f>IF($B102="","",IFERROR($O102+$B102*$G102*$N102/$B$3,""))</f>
        <v/>
      </c>
      <c r="T102" s="88">
        <f>IF($B102="","",IFERROR($Q102/$Q$5,""))</f>
        <v/>
      </c>
      <c r="U102" s="2">
        <f>IF($B102="","",IF(COUNTIFS('Dvd Calendar'!$E$1062:$AR$1062,"&gt;0",'Dvd Calendar'!$E$1062:$AR$1062,"&lt;="&amp;VAL_DATE,'Dvd Calendar'!$E$1063:$AR$1063,"&gt;"&amp;PROJ_FROM,'Dvd Calendar'!$E$1063:$AR$1063,"&lt;="&amp;DATE(YEAR_Y,12,31))-COUNTIFS('Dvd Calendar'!$E$1062:$AR$1062,"&gt;0",'Dvd Calendar'!$E$1062:$AR$1062,"&lt;="&amp;VAL_DATE,'Dvd Calendar'!$E$1063:$AR$1063,"&gt;"&amp;PROJ_FROM,'Dvd Calendar'!$E$1063:$AR$1063,"&lt;="&amp;DATE(YEAR_Y,12,31),'Dvd Calendar'!$E$1064:$AR$1064,"&gt;=0")&gt;0,"TBA amount - override me",IF((OV_SWITCH="ON")*(COUNTIFS(OVR_TICKERS,$C102,OVR_BASE,"&gt;=0")&gt;0)&gt;0,"overridden",IF($J102+$K102=0,"no dividend in year Y",""))))</f>
        <v/>
      </c>
      <c r="V102" s="69">
        <f>IF($B102="","",IFERROR(IF(ISNUMBER($H102),$B102*$G102*$H102/$B$3,0),""))</f>
        <v/>
      </c>
      <c r="W102" s="69">
        <f>IF($B102="","",IFERROR($B102*$G102*$K102/$B$3,""))</f>
        <v/>
      </c>
      <c r="X102" s="98">
        <f>IF($C102="","",BDP($C102,"PX_LAST"))</f>
        <v/>
      </c>
      <c r="Y102" s="69">
        <f>IF($B102="","",IFERROR($B102*$X102/$B$3,""))</f>
        <v/>
      </c>
      <c r="Z102" s="73">
        <f>IF($B102="","",IFERROR($Y102/$Y$5,""))</f>
        <v/>
      </c>
    </row>
    <row r="103">
      <c r="B103" s="97" t="n"/>
      <c r="C103" s="8">
        <f>IF($A103="","",$A103&amp;" Equity")</f>
        <v/>
      </c>
      <c r="D103" s="8">
        <f>IF($C103="","",BDP($C103,"NAME"))</f>
        <v/>
      </c>
      <c r="E103" s="8">
        <f>IF($C103="","",BDP($C103,"GICS_SECTOR_NAME"))</f>
        <v/>
      </c>
      <c r="F103" s="37">
        <f>IF($C103="","",BDP($C103,FLD_CCY))</f>
        <v/>
      </c>
      <c r="G103" s="12">
        <f>IFERROR(IF(LEN($F103)&lt;&gt;3,1,IF($F103="HKD",1,BDP(IF($F103="CNY",RMB_CROSS,$F103)&amp;"HKD Curncy","PX_LAST"))),1)</f>
        <v/>
      </c>
      <c r="H103" s="69">
        <f>IF($C103="","",BDP($C103,FLD_DPS12M))</f>
        <v/>
      </c>
      <c r="I103" s="50">
        <f>IF($C103="","",BDP($C103,FLD_YLD12M))</f>
        <v/>
      </c>
      <c r="J103" s="52">
        <f>IF($B103="",0,SUMPRODUCT(('Dvd Calendar'!$E$1067:$AR$1067&gt;=DATE(YEAR_Y,1,1))*('Dvd Calendar'!$E$1067:$AR$1067&lt;=REALIZED_TO)*'Dvd Calendar'!$E$1070:$AR$1070*(('Dvd Calendar'!$E$1072:$AR$1072=TYPE1)*(TYPE1&lt;&gt;"")+('Dvd Calendar'!$E$1072:$AR$1072=TYPE2)*(TYPE2&lt;&gt;"")+('Dvd Calendar'!$E$1072:$AR$1072=TYPE3)*(TYPE3&lt;&gt;"")+('Dvd Calendar'!$E$1072:$AR$1072=TYPE4)*(TYPE4&lt;&gt;"")+('Dvd Calendar'!$E$1072:$AR$1072=SPECIAL_LBL)*(INC_SPECIALS="Y"))))</f>
        <v/>
      </c>
      <c r="K103" s="52">
        <f>IF($B103="",0,SUMIFS('Dvd Calendar'!$E$1075:$AR$1075,'Dvd Calendar'!$E$1074:$AR$1074,"&gt;"&amp;PROJ_FROM,'Dvd Calendar'!$E$1074:$AR$1074,"&lt;="&amp;DATE(YEAR_Y,12,31))+SUMPRODUCT(('Dvd Calendar'!$E$1067:$AR$1067&gt;PROJ_FROM)*('Dvd Calendar'!$E$1067:$AR$1067&lt;=DATE(YEAR_Y,12,31))*'Dvd Calendar'!$E$1070:$AR$1070*(('Dvd Calendar'!$E$1072:$AR$1072=TYPE1)*(TYPE1&lt;&gt;"")+('Dvd Calendar'!$E$1072:$AR$1072=TYPE2)*(TYPE2&lt;&gt;"")+('Dvd Calendar'!$E$1072:$AR$1072=TYPE3)*(TYPE3&lt;&gt;"")+('Dvd Calendar'!$E$1072:$AR$1072=TYPE4)*(TYPE4&lt;&gt;"")+('Dvd Calendar'!$E$1072:$AR$1072=SPECIAL_LBL)*(INC_SPECIALS="Y"))*(COUNTIF('Dvd Calendar'!$E$1074:$AR$1074,'Dvd Calendar'!$E$1067:$AR$1067)=0)))</f>
        <v/>
      </c>
      <c r="L103" s="52">
        <f>IF($B103="",0,IF((OV_SWITCH="ON")*(COUNTIFS(OVR_TICKERS,$C103,OVR_BASE,"&gt;=0")&gt;0)&gt;0,SUMIFS(OVR_BASE,OVR_TICKERS,$C103),$K103))</f>
        <v/>
      </c>
      <c r="M103" s="52">
        <f>IF($B103="",0,IF((OV_SWITCH="ON")*(COUNTIFS(OVR_TICKERS,$C103,OVR_LOW,"&gt;=0")&gt;0)&gt;0,SUMIFS(OVR_LOW,OVR_TICKERS,$C103),$L103))</f>
        <v/>
      </c>
      <c r="N103" s="52">
        <f>IF($B103="",0,IF((OV_SWITCH="ON")*(COUNTIFS(OVR_TICKERS,$C103,OVR_HIGH,"&gt;=0")&gt;0)&gt;0,SUMIFS(OVR_HIGH,OVR_TICKERS,$C103),$L103))</f>
        <v/>
      </c>
      <c r="O103" s="69">
        <f>IF($B103="","",IFERROR($B103*$G103*$J103/$B$3,""))</f>
        <v/>
      </c>
      <c r="P103" s="69">
        <f>IF($B103="","",IFERROR($B103*$G103*$L103/$B$3,""))</f>
        <v/>
      </c>
      <c r="Q103" s="44">
        <f>IF($B103="","",IFERROR($O103+$P103,""))</f>
        <v/>
      </c>
      <c r="R103" s="69">
        <f>IF($B103="","",IFERROR($O103+$B103*$G103*$M103/$B$3,""))</f>
        <v/>
      </c>
      <c r="S103" s="69">
        <f>IF($B103="","",IFERROR($O103+$B103*$G103*$N103/$B$3,""))</f>
        <v/>
      </c>
      <c r="T103" s="88">
        <f>IF($B103="","",IFERROR($Q103/$Q$5,""))</f>
        <v/>
      </c>
      <c r="U103" s="2">
        <f>IF($B103="","",IF(COUNTIFS('Dvd Calendar'!$E$1073:$AR$1073,"&gt;0",'Dvd Calendar'!$E$1073:$AR$1073,"&lt;="&amp;VAL_DATE,'Dvd Calendar'!$E$1074:$AR$1074,"&gt;"&amp;PROJ_FROM,'Dvd Calendar'!$E$1074:$AR$1074,"&lt;="&amp;DATE(YEAR_Y,12,31))-COUNTIFS('Dvd Calendar'!$E$1073:$AR$1073,"&gt;0",'Dvd Calendar'!$E$1073:$AR$1073,"&lt;="&amp;VAL_DATE,'Dvd Calendar'!$E$1074:$AR$1074,"&gt;"&amp;PROJ_FROM,'Dvd Calendar'!$E$1074:$AR$1074,"&lt;="&amp;DATE(YEAR_Y,12,31),'Dvd Calendar'!$E$1075:$AR$1075,"&gt;=0")&gt;0,"TBA amount - override me",IF((OV_SWITCH="ON")*(COUNTIFS(OVR_TICKERS,$C103,OVR_BASE,"&gt;=0")&gt;0)&gt;0,"overridden",IF($J103+$K103=0,"no dividend in year Y",""))))</f>
        <v/>
      </c>
      <c r="V103" s="69">
        <f>IF($B103="","",IFERROR(IF(ISNUMBER($H103),$B103*$G103*$H103/$B$3,0),""))</f>
        <v/>
      </c>
      <c r="W103" s="69">
        <f>IF($B103="","",IFERROR($B103*$G103*$K103/$B$3,""))</f>
        <v/>
      </c>
      <c r="X103" s="98">
        <f>IF($C103="","",BDP($C103,"PX_LAST"))</f>
        <v/>
      </c>
      <c r="Y103" s="69">
        <f>IF($B103="","",IFERROR($B103*$X103/$B$3,""))</f>
        <v/>
      </c>
      <c r="Z103" s="73">
        <f>IF($B103="","",IFERROR($Y103/$Y$5,""))</f>
        <v/>
      </c>
    </row>
    <row r="104">
      <c r="B104" s="97" t="n"/>
      <c r="C104" s="8">
        <f>IF($A104="","",$A104&amp;" Equity")</f>
        <v/>
      </c>
      <c r="D104" s="8">
        <f>IF($C104="","",BDP($C104,"NAME"))</f>
        <v/>
      </c>
      <c r="E104" s="8">
        <f>IF($C104="","",BDP($C104,"GICS_SECTOR_NAME"))</f>
        <v/>
      </c>
      <c r="F104" s="37">
        <f>IF($C104="","",BDP($C104,FLD_CCY))</f>
        <v/>
      </c>
      <c r="G104" s="12">
        <f>IFERROR(IF(LEN($F104)&lt;&gt;3,1,IF($F104="HKD",1,BDP(IF($F104="CNY",RMB_CROSS,$F104)&amp;"HKD Curncy","PX_LAST"))),1)</f>
        <v/>
      </c>
      <c r="H104" s="69">
        <f>IF($C104="","",BDP($C104,FLD_DPS12M))</f>
        <v/>
      </c>
      <c r="I104" s="50">
        <f>IF($C104="","",BDP($C104,FLD_YLD12M))</f>
        <v/>
      </c>
      <c r="J104" s="52">
        <f>IF($B104="",0,SUMPRODUCT(('Dvd Calendar'!$E$1078:$AR$1078&gt;=DATE(YEAR_Y,1,1))*('Dvd Calendar'!$E$1078:$AR$1078&lt;=REALIZED_TO)*'Dvd Calendar'!$E$1081:$AR$1081*(('Dvd Calendar'!$E$1083:$AR$1083=TYPE1)*(TYPE1&lt;&gt;"")+('Dvd Calendar'!$E$1083:$AR$1083=TYPE2)*(TYPE2&lt;&gt;"")+('Dvd Calendar'!$E$1083:$AR$1083=TYPE3)*(TYPE3&lt;&gt;"")+('Dvd Calendar'!$E$1083:$AR$1083=TYPE4)*(TYPE4&lt;&gt;"")+('Dvd Calendar'!$E$1083:$AR$1083=SPECIAL_LBL)*(INC_SPECIALS="Y"))))</f>
        <v/>
      </c>
      <c r="K104" s="52">
        <f>IF($B104="",0,SUMIFS('Dvd Calendar'!$E$1086:$AR$1086,'Dvd Calendar'!$E$1085:$AR$1085,"&gt;"&amp;PROJ_FROM,'Dvd Calendar'!$E$1085:$AR$1085,"&lt;="&amp;DATE(YEAR_Y,12,31))+SUMPRODUCT(('Dvd Calendar'!$E$1078:$AR$1078&gt;PROJ_FROM)*('Dvd Calendar'!$E$1078:$AR$1078&lt;=DATE(YEAR_Y,12,31))*'Dvd Calendar'!$E$1081:$AR$1081*(('Dvd Calendar'!$E$1083:$AR$1083=TYPE1)*(TYPE1&lt;&gt;"")+('Dvd Calendar'!$E$1083:$AR$1083=TYPE2)*(TYPE2&lt;&gt;"")+('Dvd Calendar'!$E$1083:$AR$1083=TYPE3)*(TYPE3&lt;&gt;"")+('Dvd Calendar'!$E$1083:$AR$1083=TYPE4)*(TYPE4&lt;&gt;"")+('Dvd Calendar'!$E$1083:$AR$1083=SPECIAL_LBL)*(INC_SPECIALS="Y"))*(COUNTIF('Dvd Calendar'!$E$1085:$AR$1085,'Dvd Calendar'!$E$1078:$AR$1078)=0)))</f>
        <v/>
      </c>
      <c r="L104" s="52">
        <f>IF($B104="",0,IF((OV_SWITCH="ON")*(COUNTIFS(OVR_TICKERS,$C104,OVR_BASE,"&gt;=0")&gt;0)&gt;0,SUMIFS(OVR_BASE,OVR_TICKERS,$C104),$K104))</f>
        <v/>
      </c>
      <c r="M104" s="52">
        <f>IF($B104="",0,IF((OV_SWITCH="ON")*(COUNTIFS(OVR_TICKERS,$C104,OVR_LOW,"&gt;=0")&gt;0)&gt;0,SUMIFS(OVR_LOW,OVR_TICKERS,$C104),$L104))</f>
        <v/>
      </c>
      <c r="N104" s="52">
        <f>IF($B104="",0,IF((OV_SWITCH="ON")*(COUNTIFS(OVR_TICKERS,$C104,OVR_HIGH,"&gt;=0")&gt;0)&gt;0,SUMIFS(OVR_HIGH,OVR_TICKERS,$C104),$L104))</f>
        <v/>
      </c>
      <c r="O104" s="69">
        <f>IF($B104="","",IFERROR($B104*$G104*$J104/$B$3,""))</f>
        <v/>
      </c>
      <c r="P104" s="69">
        <f>IF($B104="","",IFERROR($B104*$G104*$L104/$B$3,""))</f>
        <v/>
      </c>
      <c r="Q104" s="44">
        <f>IF($B104="","",IFERROR($O104+$P104,""))</f>
        <v/>
      </c>
      <c r="R104" s="69">
        <f>IF($B104="","",IFERROR($O104+$B104*$G104*$M104/$B$3,""))</f>
        <v/>
      </c>
      <c r="S104" s="69">
        <f>IF($B104="","",IFERROR($O104+$B104*$G104*$N104/$B$3,""))</f>
        <v/>
      </c>
      <c r="T104" s="88">
        <f>IF($B104="","",IFERROR($Q104/$Q$5,""))</f>
        <v/>
      </c>
      <c r="U104" s="2">
        <f>IF($B104="","",IF(COUNTIFS('Dvd Calendar'!$E$1084:$AR$1084,"&gt;0",'Dvd Calendar'!$E$1084:$AR$1084,"&lt;="&amp;VAL_DATE,'Dvd Calendar'!$E$1085:$AR$1085,"&gt;"&amp;PROJ_FROM,'Dvd Calendar'!$E$1085:$AR$1085,"&lt;="&amp;DATE(YEAR_Y,12,31))-COUNTIFS('Dvd Calendar'!$E$1084:$AR$1084,"&gt;0",'Dvd Calendar'!$E$1084:$AR$1084,"&lt;="&amp;VAL_DATE,'Dvd Calendar'!$E$1085:$AR$1085,"&gt;"&amp;PROJ_FROM,'Dvd Calendar'!$E$1085:$AR$1085,"&lt;="&amp;DATE(YEAR_Y,12,31),'Dvd Calendar'!$E$1086:$AR$1086,"&gt;=0")&gt;0,"TBA amount - override me",IF((OV_SWITCH="ON")*(COUNTIFS(OVR_TICKERS,$C104,OVR_BASE,"&gt;=0")&gt;0)&gt;0,"overridden",IF($J104+$K104=0,"no dividend in year Y",""))))</f>
        <v/>
      </c>
      <c r="V104" s="69">
        <f>IF($B104="","",IFERROR(IF(ISNUMBER($H104),$B104*$G104*$H104/$B$3,0),""))</f>
        <v/>
      </c>
      <c r="W104" s="69">
        <f>IF($B104="","",IFERROR($B104*$G104*$K104/$B$3,""))</f>
        <v/>
      </c>
      <c r="X104" s="98">
        <f>IF($C104="","",BDP($C104,"PX_LAST"))</f>
        <v/>
      </c>
      <c r="Y104" s="69">
        <f>IF($B104="","",IFERROR($B104*$X104/$B$3,""))</f>
        <v/>
      </c>
      <c r="Z104" s="73">
        <f>IF($B104="","",IFERROR($Y104/$Y$5,""))</f>
        <v/>
      </c>
    </row>
    <row r="105">
      <c r="B105" s="97" t="n"/>
      <c r="C105" s="8">
        <f>IF($A105="","",$A105&amp;" Equity")</f>
        <v/>
      </c>
      <c r="D105" s="8">
        <f>IF($C105="","",BDP($C105,"NAME"))</f>
        <v/>
      </c>
      <c r="E105" s="8">
        <f>IF($C105="","",BDP($C105,"GICS_SECTOR_NAME"))</f>
        <v/>
      </c>
      <c r="F105" s="37">
        <f>IF($C105="","",BDP($C105,FLD_CCY))</f>
        <v/>
      </c>
      <c r="G105" s="12">
        <f>IFERROR(IF(LEN($F105)&lt;&gt;3,1,IF($F105="HKD",1,BDP(IF($F105="CNY",RMB_CROSS,$F105)&amp;"HKD Curncy","PX_LAST"))),1)</f>
        <v/>
      </c>
      <c r="H105" s="69">
        <f>IF($C105="","",BDP($C105,FLD_DPS12M))</f>
        <v/>
      </c>
      <c r="I105" s="50">
        <f>IF($C105="","",BDP($C105,FLD_YLD12M))</f>
        <v/>
      </c>
      <c r="J105" s="52">
        <f>IF($B105="",0,SUMPRODUCT(('Dvd Calendar'!$E$1089:$AR$1089&gt;=DATE(YEAR_Y,1,1))*('Dvd Calendar'!$E$1089:$AR$1089&lt;=REALIZED_TO)*'Dvd Calendar'!$E$1092:$AR$1092*(('Dvd Calendar'!$E$1094:$AR$1094=TYPE1)*(TYPE1&lt;&gt;"")+('Dvd Calendar'!$E$1094:$AR$1094=TYPE2)*(TYPE2&lt;&gt;"")+('Dvd Calendar'!$E$1094:$AR$1094=TYPE3)*(TYPE3&lt;&gt;"")+('Dvd Calendar'!$E$1094:$AR$1094=TYPE4)*(TYPE4&lt;&gt;"")+('Dvd Calendar'!$E$1094:$AR$1094=SPECIAL_LBL)*(INC_SPECIALS="Y"))))</f>
        <v/>
      </c>
      <c r="K105" s="52">
        <f>IF($B105="",0,SUMIFS('Dvd Calendar'!$E$1097:$AR$1097,'Dvd Calendar'!$E$1096:$AR$1096,"&gt;"&amp;PROJ_FROM,'Dvd Calendar'!$E$1096:$AR$1096,"&lt;="&amp;DATE(YEAR_Y,12,31))+SUMPRODUCT(('Dvd Calendar'!$E$1089:$AR$1089&gt;PROJ_FROM)*('Dvd Calendar'!$E$1089:$AR$1089&lt;=DATE(YEAR_Y,12,31))*'Dvd Calendar'!$E$1092:$AR$1092*(('Dvd Calendar'!$E$1094:$AR$1094=TYPE1)*(TYPE1&lt;&gt;"")+('Dvd Calendar'!$E$1094:$AR$1094=TYPE2)*(TYPE2&lt;&gt;"")+('Dvd Calendar'!$E$1094:$AR$1094=TYPE3)*(TYPE3&lt;&gt;"")+('Dvd Calendar'!$E$1094:$AR$1094=TYPE4)*(TYPE4&lt;&gt;"")+('Dvd Calendar'!$E$1094:$AR$1094=SPECIAL_LBL)*(INC_SPECIALS="Y"))*(COUNTIF('Dvd Calendar'!$E$1096:$AR$1096,'Dvd Calendar'!$E$1089:$AR$1089)=0)))</f>
        <v/>
      </c>
      <c r="L105" s="52">
        <f>IF($B105="",0,IF((OV_SWITCH="ON")*(COUNTIFS(OVR_TICKERS,$C105,OVR_BASE,"&gt;=0")&gt;0)&gt;0,SUMIFS(OVR_BASE,OVR_TICKERS,$C105),$K105))</f>
        <v/>
      </c>
      <c r="M105" s="52">
        <f>IF($B105="",0,IF((OV_SWITCH="ON")*(COUNTIFS(OVR_TICKERS,$C105,OVR_LOW,"&gt;=0")&gt;0)&gt;0,SUMIFS(OVR_LOW,OVR_TICKERS,$C105),$L105))</f>
        <v/>
      </c>
      <c r="N105" s="52">
        <f>IF($B105="",0,IF((OV_SWITCH="ON")*(COUNTIFS(OVR_TICKERS,$C105,OVR_HIGH,"&gt;=0")&gt;0)&gt;0,SUMIFS(OVR_HIGH,OVR_TICKERS,$C105),$L105))</f>
        <v/>
      </c>
      <c r="O105" s="69">
        <f>IF($B105="","",IFERROR($B105*$G105*$J105/$B$3,""))</f>
        <v/>
      </c>
      <c r="P105" s="69">
        <f>IF($B105="","",IFERROR($B105*$G105*$L105/$B$3,""))</f>
        <v/>
      </c>
      <c r="Q105" s="44">
        <f>IF($B105="","",IFERROR($O105+$P105,""))</f>
        <v/>
      </c>
      <c r="R105" s="69">
        <f>IF($B105="","",IFERROR($O105+$B105*$G105*$M105/$B$3,""))</f>
        <v/>
      </c>
      <c r="S105" s="69">
        <f>IF($B105="","",IFERROR($O105+$B105*$G105*$N105/$B$3,""))</f>
        <v/>
      </c>
      <c r="T105" s="88">
        <f>IF($B105="","",IFERROR($Q105/$Q$5,""))</f>
        <v/>
      </c>
      <c r="U105" s="2">
        <f>IF($B105="","",IF(COUNTIFS('Dvd Calendar'!$E$1095:$AR$1095,"&gt;0",'Dvd Calendar'!$E$1095:$AR$1095,"&lt;="&amp;VAL_DATE,'Dvd Calendar'!$E$1096:$AR$1096,"&gt;"&amp;PROJ_FROM,'Dvd Calendar'!$E$1096:$AR$1096,"&lt;="&amp;DATE(YEAR_Y,12,31))-COUNTIFS('Dvd Calendar'!$E$1095:$AR$1095,"&gt;0",'Dvd Calendar'!$E$1095:$AR$1095,"&lt;="&amp;VAL_DATE,'Dvd Calendar'!$E$1096:$AR$1096,"&gt;"&amp;PROJ_FROM,'Dvd Calendar'!$E$1096:$AR$1096,"&lt;="&amp;DATE(YEAR_Y,12,31),'Dvd Calendar'!$E$1097:$AR$1097,"&gt;=0")&gt;0,"TBA amount - override me",IF((OV_SWITCH="ON")*(COUNTIFS(OVR_TICKERS,$C105,OVR_BASE,"&gt;=0")&gt;0)&gt;0,"overridden",IF($J105+$K105=0,"no dividend in year Y",""))))</f>
        <v/>
      </c>
      <c r="V105" s="69">
        <f>IF($B105="","",IFERROR(IF(ISNUMBER($H105),$B105*$G105*$H105/$B$3,0),""))</f>
        <v/>
      </c>
      <c r="W105" s="69">
        <f>IF($B105="","",IFERROR($B105*$G105*$K105/$B$3,""))</f>
        <v/>
      </c>
      <c r="X105" s="98">
        <f>IF($C105="","",BDP($C105,"PX_LAST"))</f>
        <v/>
      </c>
      <c r="Y105" s="69">
        <f>IF($B105="","",IFERROR($B105*$X105/$B$3,""))</f>
        <v/>
      </c>
      <c r="Z105" s="73">
        <f>IF($B105="","",IFERROR($Y105/$Y$5,""))</f>
        <v/>
      </c>
    </row>
    <row r="106">
      <c r="B106" s="97" t="n"/>
      <c r="C106" s="8">
        <f>IF($A106="","",$A106&amp;" Equity")</f>
        <v/>
      </c>
      <c r="D106" s="8">
        <f>IF($C106="","",BDP($C106,"NAME"))</f>
        <v/>
      </c>
      <c r="E106" s="8">
        <f>IF($C106="","",BDP($C106,"GICS_SECTOR_NAME"))</f>
        <v/>
      </c>
      <c r="F106" s="37">
        <f>IF($C106="","",BDP($C106,FLD_CCY))</f>
        <v/>
      </c>
      <c r="G106" s="12">
        <f>IFERROR(IF(LEN($F106)&lt;&gt;3,1,IF($F106="HKD",1,BDP(IF($F106="CNY",RMB_CROSS,$F106)&amp;"HKD Curncy","PX_LAST"))),1)</f>
        <v/>
      </c>
      <c r="H106" s="69">
        <f>IF($C106="","",BDP($C106,FLD_DPS12M))</f>
        <v/>
      </c>
      <c r="I106" s="50">
        <f>IF($C106="","",BDP($C106,FLD_YLD12M))</f>
        <v/>
      </c>
      <c r="J106" s="52">
        <f>IF($B106="",0,SUMPRODUCT(('Dvd Calendar'!$E$1100:$AR$1100&gt;=DATE(YEAR_Y,1,1))*('Dvd Calendar'!$E$1100:$AR$1100&lt;=REALIZED_TO)*'Dvd Calendar'!$E$1103:$AR$1103*(('Dvd Calendar'!$E$1105:$AR$1105=TYPE1)*(TYPE1&lt;&gt;"")+('Dvd Calendar'!$E$1105:$AR$1105=TYPE2)*(TYPE2&lt;&gt;"")+('Dvd Calendar'!$E$1105:$AR$1105=TYPE3)*(TYPE3&lt;&gt;"")+('Dvd Calendar'!$E$1105:$AR$1105=TYPE4)*(TYPE4&lt;&gt;"")+('Dvd Calendar'!$E$1105:$AR$1105=SPECIAL_LBL)*(INC_SPECIALS="Y"))))</f>
        <v/>
      </c>
      <c r="K106" s="52">
        <f>IF($B106="",0,SUMIFS('Dvd Calendar'!$E$1108:$AR$1108,'Dvd Calendar'!$E$1107:$AR$1107,"&gt;"&amp;PROJ_FROM,'Dvd Calendar'!$E$1107:$AR$1107,"&lt;="&amp;DATE(YEAR_Y,12,31))+SUMPRODUCT(('Dvd Calendar'!$E$1100:$AR$1100&gt;PROJ_FROM)*('Dvd Calendar'!$E$1100:$AR$1100&lt;=DATE(YEAR_Y,12,31))*'Dvd Calendar'!$E$1103:$AR$1103*(('Dvd Calendar'!$E$1105:$AR$1105=TYPE1)*(TYPE1&lt;&gt;"")+('Dvd Calendar'!$E$1105:$AR$1105=TYPE2)*(TYPE2&lt;&gt;"")+('Dvd Calendar'!$E$1105:$AR$1105=TYPE3)*(TYPE3&lt;&gt;"")+('Dvd Calendar'!$E$1105:$AR$1105=TYPE4)*(TYPE4&lt;&gt;"")+('Dvd Calendar'!$E$1105:$AR$1105=SPECIAL_LBL)*(INC_SPECIALS="Y"))*(COUNTIF('Dvd Calendar'!$E$1107:$AR$1107,'Dvd Calendar'!$E$1100:$AR$1100)=0)))</f>
        <v/>
      </c>
      <c r="L106" s="52">
        <f>IF($B106="",0,IF((OV_SWITCH="ON")*(COUNTIFS(OVR_TICKERS,$C106,OVR_BASE,"&gt;=0")&gt;0)&gt;0,SUMIFS(OVR_BASE,OVR_TICKERS,$C106),$K106))</f>
        <v/>
      </c>
      <c r="M106" s="52">
        <f>IF($B106="",0,IF((OV_SWITCH="ON")*(COUNTIFS(OVR_TICKERS,$C106,OVR_LOW,"&gt;=0")&gt;0)&gt;0,SUMIFS(OVR_LOW,OVR_TICKERS,$C106),$L106))</f>
        <v/>
      </c>
      <c r="N106" s="52">
        <f>IF($B106="",0,IF((OV_SWITCH="ON")*(COUNTIFS(OVR_TICKERS,$C106,OVR_HIGH,"&gt;=0")&gt;0)&gt;0,SUMIFS(OVR_HIGH,OVR_TICKERS,$C106),$L106))</f>
        <v/>
      </c>
      <c r="O106" s="69">
        <f>IF($B106="","",IFERROR($B106*$G106*$J106/$B$3,""))</f>
        <v/>
      </c>
      <c r="P106" s="69">
        <f>IF($B106="","",IFERROR($B106*$G106*$L106/$B$3,""))</f>
        <v/>
      </c>
      <c r="Q106" s="44">
        <f>IF($B106="","",IFERROR($O106+$P106,""))</f>
        <v/>
      </c>
      <c r="R106" s="69">
        <f>IF($B106="","",IFERROR($O106+$B106*$G106*$M106/$B$3,""))</f>
        <v/>
      </c>
      <c r="S106" s="69">
        <f>IF($B106="","",IFERROR($O106+$B106*$G106*$N106/$B$3,""))</f>
        <v/>
      </c>
      <c r="T106" s="88">
        <f>IF($B106="","",IFERROR($Q106/$Q$5,""))</f>
        <v/>
      </c>
      <c r="U106" s="2">
        <f>IF($B106="","",IF(COUNTIFS('Dvd Calendar'!$E$1106:$AR$1106,"&gt;0",'Dvd Calendar'!$E$1106:$AR$1106,"&lt;="&amp;VAL_DATE,'Dvd Calendar'!$E$1107:$AR$1107,"&gt;"&amp;PROJ_FROM,'Dvd Calendar'!$E$1107:$AR$1107,"&lt;="&amp;DATE(YEAR_Y,12,31))-COUNTIFS('Dvd Calendar'!$E$1106:$AR$1106,"&gt;0",'Dvd Calendar'!$E$1106:$AR$1106,"&lt;="&amp;VAL_DATE,'Dvd Calendar'!$E$1107:$AR$1107,"&gt;"&amp;PROJ_FROM,'Dvd Calendar'!$E$1107:$AR$1107,"&lt;="&amp;DATE(YEAR_Y,12,31),'Dvd Calendar'!$E$1108:$AR$1108,"&gt;=0")&gt;0,"TBA amount - override me",IF((OV_SWITCH="ON")*(COUNTIFS(OVR_TICKERS,$C106,OVR_BASE,"&gt;=0")&gt;0)&gt;0,"overridden",IF($J106+$K106=0,"no dividend in year Y",""))))</f>
        <v/>
      </c>
      <c r="V106" s="69">
        <f>IF($B106="","",IFERROR(IF(ISNUMBER($H106),$B106*$G106*$H106/$B$3,0),""))</f>
        <v/>
      </c>
      <c r="W106" s="69">
        <f>IF($B106="","",IFERROR($B106*$G106*$K106/$B$3,""))</f>
        <v/>
      </c>
      <c r="X106" s="98">
        <f>IF($C106="","",BDP($C106,"PX_LAST"))</f>
        <v/>
      </c>
      <c r="Y106" s="69">
        <f>IF($B106="","",IFERROR($B106*$X106/$B$3,""))</f>
        <v/>
      </c>
      <c r="Z106" s="73">
        <f>IF($B106="","",IFERROR($Y106/$Y$5,""))</f>
        <v/>
      </c>
    </row>
  </sheetData>
  <autoFilter ref="A6:Z106"/>
  <conditionalFormatting sqref="U7:U106">
    <cfRule type="expression" priority="1" dxfId="0">
      <formula>ISNUMBER(SEARCH("TBA",$U7))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AADB"/>
    <outlinePr summaryBelow="1" summaryRight="1"/>
    <pageSetUpPr/>
  </sheetPr>
  <dimension ref="A1:Z4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6" customWidth="1" min="4" max="4"/>
    <col width="21" customWidth="1" min="5" max="5"/>
    <col width="6" customWidth="1" min="6" max="6"/>
    <col width="8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21" customWidth="1" min="21" max="21"/>
    <col width="9" customWidth="1" min="22" max="22"/>
    <col width="9" customWidth="1" min="23" max="23"/>
    <col width="10" customWidth="1" min="24" max="24"/>
    <col width="10" customWidth="1" min="25" max="25"/>
    <col width="9" customWidth="1" min="26" max="26"/>
  </cols>
  <sheetData>
    <row r="1">
      <c r="A1" s="1" t="inlineStr">
        <is>
          <t>Hang Seng TECH Index (HSTECH)  -  MEMBERS, YOUR BASKET, AND THE YEAR MODEL</t>
        </is>
      </c>
    </row>
    <row r="2">
      <c r="A2" s="3" t="inlineStr">
        <is>
          <t>Index ticker</t>
        </is>
      </c>
      <c r="B2" s="4" t="inlineStr">
        <is>
          <t>HSTECH Index</t>
        </is>
      </c>
      <c r="G2" s="2" t="inlineStr">
        <is>
          <t>Members</t>
        </is>
      </c>
      <c r="H2" s="40">
        <f>SUMPRODUCT(($A$7:$A$46&lt;&gt;"")*1)</f>
        <v/>
      </c>
      <c r="K2" s="2" t="inlineStr">
        <is>
          <t>Qty pasted</t>
        </is>
      </c>
      <c r="L2" s="40">
        <f>COUNT($B$7:$B$46)</f>
        <v/>
      </c>
      <c r="O2" s="2" t="inlineStr">
        <is>
          <t>No qty</t>
        </is>
      </c>
      <c r="P2" s="40">
        <f>SUMPRODUCT(($A$7:$A$46&lt;&gt;"")*($B$7:$B$46=""))</f>
        <v/>
      </c>
      <c r="S2" s="2" t="inlineStr">
        <is>
          <t>Amount TBA</t>
        </is>
      </c>
      <c r="T2" s="40">
        <f>COUNTIF($U$7:$U$46,"TBA amount - override me")</f>
        <v/>
      </c>
    </row>
    <row r="3">
      <c r="A3" s="3" t="inlineStr">
        <is>
          <t>Index divisor</t>
        </is>
      </c>
      <c r="B3" s="29" t="n"/>
      <c r="C3" s="2" t="inlineStr">
        <is>
          <t>Paste the official divisor here and the basket quantities in column B, in CONSISTENT units - the SCALE FACTOR row on Summary flags a mismatch instantly. A refresh can reshuffle members; pasted quantities do NOT follow them.</t>
        </is>
      </c>
    </row>
    <row r="4">
      <c r="A4" s="6" t="inlineStr">
        <is>
          <t>MEMBER &amp; REFERENCE DATA (Bloomberg)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57" t="inlineStr">
        <is>
          <t>DIVIDEND PER SHARE - declared currency</t>
        </is>
      </c>
      <c r="K4" s="58" t="n"/>
      <c r="L4" s="58" t="n"/>
      <c r="M4" s="58" t="n"/>
      <c r="N4" s="58" t="n"/>
      <c r="O4" s="57" t="inlineStr">
        <is>
          <t>INDEX POINTS</t>
        </is>
      </c>
      <c r="P4" s="58" t="n"/>
      <c r="Q4" s="58" t="n"/>
      <c r="R4" s="58" t="n"/>
      <c r="S4" s="58" t="n"/>
      <c r="T4" s="58" t="n"/>
      <c r="U4" s="6" t="inlineStr">
        <is>
          <t>FLAG / REFERENCE</t>
        </is>
      </c>
      <c r="V4" s="7" t="n"/>
      <c r="W4" s="7" t="n"/>
      <c r="X4" s="59" t="inlineStr">
        <is>
          <t>UNITS CHECK (price x qty must rebuild the index)</t>
        </is>
      </c>
      <c r="Y4" s="60" t="n"/>
      <c r="Z4" s="60" t="n"/>
    </row>
    <row r="5">
      <c r="N5" s="3" t="inlineStr">
        <is>
          <t>TOTAL -&gt;</t>
        </is>
      </c>
      <c r="O5" s="30">
        <f>IFERROR(SUM(O7:O46),"")</f>
        <v/>
      </c>
      <c r="P5" s="30">
        <f>IFERROR(SUM(P7:P46),"")</f>
        <v/>
      </c>
      <c r="Q5" s="49">
        <f>IFERROR(SUM(Q7:Q46),"")</f>
        <v/>
      </c>
      <c r="R5" s="30">
        <f>IFERROR(SUM(R7:R46),"")</f>
        <v/>
      </c>
      <c r="S5" s="30">
        <f>IFERROR(SUM(S7:S46),"")</f>
        <v/>
      </c>
      <c r="V5" s="30">
        <f>IFERROR(SUM(V7:V46),"")</f>
        <v/>
      </c>
      <c r="W5" s="30">
        <f>IFERROR(SUM(W7:W46),"")</f>
        <v/>
      </c>
      <c r="Y5" s="49">
        <f>IFERROR(SUM(Y7:Y46),"")</f>
        <v/>
      </c>
      <c r="Z5" s="96">
        <f>IFERROR(SUM(Z7:Z46),"")</f>
        <v/>
      </c>
    </row>
    <row r="6">
      <c r="A6" s="23" t="inlineStr">
        <is>
          <t>Member</t>
        </is>
      </c>
      <c r="B6" s="23" t="inlineStr">
        <is>
          <t>Basket
Qty</t>
        </is>
      </c>
      <c r="C6" s="23" t="inlineStr">
        <is>
          <t>Bloomberg Ticker</t>
        </is>
      </c>
      <c r="D6" s="23" t="inlineStr">
        <is>
          <t>Name</t>
        </is>
      </c>
      <c r="E6" s="23" t="inlineStr">
        <is>
          <t>GICS Sector</t>
        </is>
      </c>
      <c r="F6" s="23" t="inlineStr">
        <is>
          <t>Dvd
CCY</t>
        </is>
      </c>
      <c r="G6" s="23" t="inlineStr">
        <is>
          <t>FX -&gt;
HKD</t>
        </is>
      </c>
      <c r="H6" s="23" t="inlineStr">
        <is>
          <t>DPS 12M
(ref)</t>
        </is>
      </c>
      <c r="I6" s="23" t="inlineStr">
        <is>
          <t>Yld 12M
(ref)</t>
        </is>
      </c>
      <c r="J6" s="23" t="inlineStr">
        <is>
          <t>Realized
DPS</t>
        </is>
      </c>
      <c r="K6" s="23" t="inlineStr">
        <is>
          <t>To come
DPS (BBG)</t>
        </is>
      </c>
      <c r="L6" s="23" t="inlineStr">
        <is>
          <t>To come
DPS (eff)</t>
        </is>
      </c>
      <c r="M6" s="23" t="inlineStr">
        <is>
          <t>LOW
DPS</t>
        </is>
      </c>
      <c r="N6" s="23" t="inlineStr">
        <is>
          <t>HIGH
DPS</t>
        </is>
      </c>
      <c r="O6" s="62" t="inlineStr">
        <is>
          <t>Realized
(pts)</t>
        </is>
      </c>
      <c r="P6" s="62" t="inlineStr">
        <is>
          <t>To come
(pts)</t>
        </is>
      </c>
      <c r="Q6" s="62" t="inlineStr">
        <is>
          <t>YEAR
TOTAL (pts)</t>
        </is>
      </c>
      <c r="R6" s="62" t="inlineStr">
        <is>
          <t>LOW
(pts)</t>
        </is>
      </c>
      <c r="S6" s="62" t="inlineStr">
        <is>
          <t>HIGH
(pts)</t>
        </is>
      </c>
      <c r="T6" s="62" t="inlineStr">
        <is>
          <t>% of yr
dvds</t>
        </is>
      </c>
      <c r="U6" s="23" t="inlineStr">
        <is>
          <t>Flag</t>
        </is>
      </c>
      <c r="V6" s="23" t="inlineStr">
        <is>
          <t>12M pts
(ref)</t>
        </is>
      </c>
      <c r="W6" s="23" t="inlineStr">
        <is>
          <t>To come
pts (BBG)</t>
        </is>
      </c>
      <c r="X6" s="65" t="inlineStr">
        <is>
          <t>Price
(PX_LAST)</t>
        </is>
      </c>
      <c r="Y6" s="65" t="inlineStr">
        <is>
          <t>Value
(index pts)</t>
        </is>
      </c>
      <c r="Z6" s="65" t="inlineStr">
        <is>
          <t>Index
weight</t>
        </is>
      </c>
    </row>
    <row r="7">
      <c r="A7" s="8">
        <f>BDS($B$2,"INDX_MEMBERS")</f>
        <v/>
      </c>
      <c r="B7" s="97" t="n"/>
      <c r="C7" s="8">
        <f>IF($A7="","",$A7&amp;" Equity")</f>
        <v/>
      </c>
      <c r="D7" s="8">
        <f>IF($C7="","",BDP($C7,"NAME"))</f>
        <v/>
      </c>
      <c r="E7" s="8">
        <f>IF($C7="","",BDP($C7,"GICS_SECTOR_NAME"))</f>
        <v/>
      </c>
      <c r="F7" s="37">
        <f>IF($C7="","",BDP($C7,FLD_CCY))</f>
        <v/>
      </c>
      <c r="G7" s="12">
        <f>IFERROR(IF(LEN($F7)&lt;&gt;3,1,IF($F7="HKD",1,BDP(IF($F7="CNY",RMB_CROSS,$F7)&amp;"HKD Curncy","PX_LAST"))),1)</f>
        <v/>
      </c>
      <c r="H7" s="69">
        <f>IF($C7="","",BDP($C7,FLD_DPS12M))</f>
        <v/>
      </c>
      <c r="I7" s="50">
        <f>IF($C7="","",BDP($C7,FLD_YLD12M))</f>
        <v/>
      </c>
      <c r="J7" s="52">
        <f>IF($B7="",0,SUMPRODUCT(('Dvd Calendar'!$E$1116:$AR$1116&gt;=DATE(YEAR_Y,1,1))*('Dvd Calendar'!$E$1116:$AR$1116&lt;=REALIZED_TO)*'Dvd Calendar'!$E$1119:$AR$1119*(('Dvd Calendar'!$E$1121:$AR$1121=TYPE1)*(TYPE1&lt;&gt;"")+('Dvd Calendar'!$E$1121:$AR$1121=TYPE2)*(TYPE2&lt;&gt;"")+('Dvd Calendar'!$E$1121:$AR$1121=TYPE3)*(TYPE3&lt;&gt;"")+('Dvd Calendar'!$E$1121:$AR$1121=TYPE4)*(TYPE4&lt;&gt;"")+('Dvd Calendar'!$E$1121:$AR$1121=SPECIAL_LBL)*(INC_SPECIALS="Y"))))</f>
        <v/>
      </c>
      <c r="K7" s="52">
        <f>IF($B7="",0,SUMIFS('Dvd Calendar'!$E$1124:$AR$1124,'Dvd Calendar'!$E$1123:$AR$1123,"&gt;"&amp;PROJ_FROM,'Dvd Calendar'!$E$1123:$AR$1123,"&lt;="&amp;DATE(YEAR_Y,12,31))+SUMPRODUCT(('Dvd Calendar'!$E$1116:$AR$1116&gt;PROJ_FROM)*('Dvd Calendar'!$E$1116:$AR$1116&lt;=DATE(YEAR_Y,12,31))*'Dvd Calendar'!$E$1119:$AR$1119*(('Dvd Calendar'!$E$1121:$AR$1121=TYPE1)*(TYPE1&lt;&gt;"")+('Dvd Calendar'!$E$1121:$AR$1121=TYPE2)*(TYPE2&lt;&gt;"")+('Dvd Calendar'!$E$1121:$AR$1121=TYPE3)*(TYPE3&lt;&gt;"")+('Dvd Calendar'!$E$1121:$AR$1121=TYPE4)*(TYPE4&lt;&gt;"")+('Dvd Calendar'!$E$1121:$AR$1121=SPECIAL_LBL)*(INC_SPECIALS="Y"))*(COUNTIF('Dvd Calendar'!$E$1123:$AR$1123,'Dvd Calendar'!$E$1116:$AR$1116)=0)))</f>
        <v/>
      </c>
      <c r="L7" s="52">
        <f>IF($B7="",0,IF((OV_SWITCH="ON")*(COUNTIFS(OVR_TICKERS,$C7,OVR_BASE,"&gt;=0")&gt;0)&gt;0,SUMIFS(OVR_BASE,OVR_TICKERS,$C7),$K7))</f>
        <v/>
      </c>
      <c r="M7" s="52">
        <f>IF($B7="",0,IF((OV_SWITCH="ON")*(COUNTIFS(OVR_TICKERS,$C7,OVR_LOW,"&gt;=0")&gt;0)&gt;0,SUMIFS(OVR_LOW,OVR_TICKERS,$C7),$L7))</f>
        <v/>
      </c>
      <c r="N7" s="52">
        <f>IF($B7="",0,IF((OV_SWITCH="ON")*(COUNTIFS(OVR_TICKERS,$C7,OVR_HIGH,"&gt;=0")&gt;0)&gt;0,SUMIFS(OVR_HIGH,OVR_TICKERS,$C7),$L7))</f>
        <v/>
      </c>
      <c r="O7" s="69">
        <f>IF($B7="","",IFERROR($B7*$G7*$J7/$B$3,""))</f>
        <v/>
      </c>
      <c r="P7" s="69">
        <f>IF($B7="","",IFERROR($B7*$G7*$L7/$B$3,""))</f>
        <v/>
      </c>
      <c r="Q7" s="44">
        <f>IF($B7="","",IFERROR($O7+$P7,""))</f>
        <v/>
      </c>
      <c r="R7" s="69">
        <f>IF($B7="","",IFERROR($O7+$B7*$G7*$M7/$B$3,""))</f>
        <v/>
      </c>
      <c r="S7" s="69">
        <f>IF($B7="","",IFERROR($O7+$B7*$G7*$N7/$B$3,""))</f>
        <v/>
      </c>
      <c r="T7" s="88">
        <f>IF($B7="","",IFERROR($Q7/$Q$5,""))</f>
        <v/>
      </c>
      <c r="U7" s="2">
        <f>IF($B7="","",IF(COUNTIFS('Dvd Calendar'!$E$1122:$AR$1122,"&gt;0",'Dvd Calendar'!$E$1122:$AR$1122,"&lt;="&amp;VAL_DATE,'Dvd Calendar'!$E$1123:$AR$1123,"&gt;"&amp;PROJ_FROM,'Dvd Calendar'!$E$1123:$AR$1123,"&lt;="&amp;DATE(YEAR_Y,12,31))-COUNTIFS('Dvd Calendar'!$E$1122:$AR$1122,"&gt;0",'Dvd Calendar'!$E$1122:$AR$1122,"&lt;="&amp;VAL_DATE,'Dvd Calendar'!$E$1123:$AR$1123,"&gt;"&amp;PROJ_FROM,'Dvd Calendar'!$E$1123:$AR$1123,"&lt;="&amp;DATE(YEAR_Y,12,31),'Dvd Calendar'!$E$1124:$AR$1124,"&gt;=0")&gt;0,"TBA amount - override me",IF((OV_SWITCH="ON")*(COUNTIFS(OVR_TICKERS,$C7,OVR_BASE,"&gt;=0")&gt;0)&gt;0,"overridden",IF($J7+$K7=0,"no dividend in year Y",""))))</f>
        <v/>
      </c>
      <c r="V7" s="69">
        <f>IF($B7="","",IFERROR(IF(ISNUMBER($H7),$B7*$G7*$H7/$B$3,0),""))</f>
        <v/>
      </c>
      <c r="W7" s="69">
        <f>IF($B7="","",IFERROR($B7*$G7*$K7/$B$3,""))</f>
        <v/>
      </c>
      <c r="X7" s="98">
        <f>IF($C7="","",BDP($C7,"PX_LAST"))</f>
        <v/>
      </c>
      <c r="Y7" s="69">
        <f>IF($B7="","",IFERROR($B7*$X7/$B$3,""))</f>
        <v/>
      </c>
      <c r="Z7" s="73">
        <f>IF($B7="","",IFERROR($Y7/$Y$5,""))</f>
        <v/>
      </c>
    </row>
    <row r="8">
      <c r="B8" s="97" t="n"/>
      <c r="C8" s="8">
        <f>IF($A8="","",$A8&amp;" Equity")</f>
        <v/>
      </c>
      <c r="D8" s="8">
        <f>IF($C8="","",BDP($C8,"NAME"))</f>
        <v/>
      </c>
      <c r="E8" s="8">
        <f>IF($C8="","",BDP($C8,"GICS_SECTOR_NAME"))</f>
        <v/>
      </c>
      <c r="F8" s="37">
        <f>IF($C8="","",BDP($C8,FLD_CCY))</f>
        <v/>
      </c>
      <c r="G8" s="12">
        <f>IFERROR(IF(LEN($F8)&lt;&gt;3,1,IF($F8="HKD",1,BDP(IF($F8="CNY",RMB_CROSS,$F8)&amp;"HKD Curncy","PX_LAST"))),1)</f>
        <v/>
      </c>
      <c r="H8" s="69">
        <f>IF($C8="","",BDP($C8,FLD_DPS12M))</f>
        <v/>
      </c>
      <c r="I8" s="50">
        <f>IF($C8="","",BDP($C8,FLD_YLD12M))</f>
        <v/>
      </c>
      <c r="J8" s="52">
        <f>IF($B8="",0,SUMPRODUCT(('Dvd Calendar'!$E$1127:$AR$1127&gt;=DATE(YEAR_Y,1,1))*('Dvd Calendar'!$E$1127:$AR$1127&lt;=REALIZED_TO)*'Dvd Calendar'!$E$1130:$AR$1130*(('Dvd Calendar'!$E$1132:$AR$1132=TYPE1)*(TYPE1&lt;&gt;"")+('Dvd Calendar'!$E$1132:$AR$1132=TYPE2)*(TYPE2&lt;&gt;"")+('Dvd Calendar'!$E$1132:$AR$1132=TYPE3)*(TYPE3&lt;&gt;"")+('Dvd Calendar'!$E$1132:$AR$1132=TYPE4)*(TYPE4&lt;&gt;"")+('Dvd Calendar'!$E$1132:$AR$1132=SPECIAL_LBL)*(INC_SPECIALS="Y"))))</f>
        <v/>
      </c>
      <c r="K8" s="52">
        <f>IF($B8="",0,SUMIFS('Dvd Calendar'!$E$1135:$AR$1135,'Dvd Calendar'!$E$1134:$AR$1134,"&gt;"&amp;PROJ_FROM,'Dvd Calendar'!$E$1134:$AR$1134,"&lt;="&amp;DATE(YEAR_Y,12,31))+SUMPRODUCT(('Dvd Calendar'!$E$1127:$AR$1127&gt;PROJ_FROM)*('Dvd Calendar'!$E$1127:$AR$1127&lt;=DATE(YEAR_Y,12,31))*'Dvd Calendar'!$E$1130:$AR$1130*(('Dvd Calendar'!$E$1132:$AR$1132=TYPE1)*(TYPE1&lt;&gt;"")+('Dvd Calendar'!$E$1132:$AR$1132=TYPE2)*(TYPE2&lt;&gt;"")+('Dvd Calendar'!$E$1132:$AR$1132=TYPE3)*(TYPE3&lt;&gt;"")+('Dvd Calendar'!$E$1132:$AR$1132=TYPE4)*(TYPE4&lt;&gt;"")+('Dvd Calendar'!$E$1132:$AR$1132=SPECIAL_LBL)*(INC_SPECIALS="Y"))*(COUNTIF('Dvd Calendar'!$E$1134:$AR$1134,'Dvd Calendar'!$E$1127:$AR$1127)=0)))</f>
        <v/>
      </c>
      <c r="L8" s="52">
        <f>IF($B8="",0,IF((OV_SWITCH="ON")*(COUNTIFS(OVR_TICKERS,$C8,OVR_BASE,"&gt;=0")&gt;0)&gt;0,SUMIFS(OVR_BASE,OVR_TICKERS,$C8),$K8))</f>
        <v/>
      </c>
      <c r="M8" s="52">
        <f>IF($B8="",0,IF((OV_SWITCH="ON")*(COUNTIFS(OVR_TICKERS,$C8,OVR_LOW,"&gt;=0")&gt;0)&gt;0,SUMIFS(OVR_LOW,OVR_TICKERS,$C8),$L8))</f>
        <v/>
      </c>
      <c r="N8" s="52">
        <f>IF($B8="",0,IF((OV_SWITCH="ON")*(COUNTIFS(OVR_TICKERS,$C8,OVR_HIGH,"&gt;=0")&gt;0)&gt;0,SUMIFS(OVR_HIGH,OVR_TICKERS,$C8),$L8))</f>
        <v/>
      </c>
      <c r="O8" s="69">
        <f>IF($B8="","",IFERROR($B8*$G8*$J8/$B$3,""))</f>
        <v/>
      </c>
      <c r="P8" s="69">
        <f>IF($B8="","",IFERROR($B8*$G8*$L8/$B$3,""))</f>
        <v/>
      </c>
      <c r="Q8" s="44">
        <f>IF($B8="","",IFERROR($O8+$P8,""))</f>
        <v/>
      </c>
      <c r="R8" s="69">
        <f>IF($B8="","",IFERROR($O8+$B8*$G8*$M8/$B$3,""))</f>
        <v/>
      </c>
      <c r="S8" s="69">
        <f>IF($B8="","",IFERROR($O8+$B8*$G8*$N8/$B$3,""))</f>
        <v/>
      </c>
      <c r="T8" s="88">
        <f>IF($B8="","",IFERROR($Q8/$Q$5,""))</f>
        <v/>
      </c>
      <c r="U8" s="2">
        <f>IF($B8="","",IF(COUNTIFS('Dvd Calendar'!$E$1133:$AR$1133,"&gt;0",'Dvd Calendar'!$E$1133:$AR$1133,"&lt;="&amp;VAL_DATE,'Dvd Calendar'!$E$1134:$AR$1134,"&gt;"&amp;PROJ_FROM,'Dvd Calendar'!$E$1134:$AR$1134,"&lt;="&amp;DATE(YEAR_Y,12,31))-COUNTIFS('Dvd Calendar'!$E$1133:$AR$1133,"&gt;0",'Dvd Calendar'!$E$1133:$AR$1133,"&lt;="&amp;VAL_DATE,'Dvd Calendar'!$E$1134:$AR$1134,"&gt;"&amp;PROJ_FROM,'Dvd Calendar'!$E$1134:$AR$1134,"&lt;="&amp;DATE(YEAR_Y,12,31),'Dvd Calendar'!$E$1135:$AR$1135,"&gt;=0")&gt;0,"TBA amount - override me",IF((OV_SWITCH="ON")*(COUNTIFS(OVR_TICKERS,$C8,OVR_BASE,"&gt;=0")&gt;0)&gt;0,"overridden",IF($J8+$K8=0,"no dividend in year Y",""))))</f>
        <v/>
      </c>
      <c r="V8" s="69">
        <f>IF($B8="","",IFERROR(IF(ISNUMBER($H8),$B8*$G8*$H8/$B$3,0),""))</f>
        <v/>
      </c>
      <c r="W8" s="69">
        <f>IF($B8="","",IFERROR($B8*$G8*$K8/$B$3,""))</f>
        <v/>
      </c>
      <c r="X8" s="98">
        <f>IF($C8="","",BDP($C8,"PX_LAST"))</f>
        <v/>
      </c>
      <c r="Y8" s="69">
        <f>IF($B8="","",IFERROR($B8*$X8/$B$3,""))</f>
        <v/>
      </c>
      <c r="Z8" s="73">
        <f>IF($B8="","",IFERROR($Y8/$Y$5,""))</f>
        <v/>
      </c>
    </row>
    <row r="9">
      <c r="B9" s="97" t="n"/>
      <c r="C9" s="8">
        <f>IF($A9="","",$A9&amp;" Equity")</f>
        <v/>
      </c>
      <c r="D9" s="8">
        <f>IF($C9="","",BDP($C9,"NAME"))</f>
        <v/>
      </c>
      <c r="E9" s="8">
        <f>IF($C9="","",BDP($C9,"GICS_SECTOR_NAME"))</f>
        <v/>
      </c>
      <c r="F9" s="37">
        <f>IF($C9="","",BDP($C9,FLD_CCY))</f>
        <v/>
      </c>
      <c r="G9" s="12">
        <f>IFERROR(IF(LEN($F9)&lt;&gt;3,1,IF($F9="HKD",1,BDP(IF($F9="CNY",RMB_CROSS,$F9)&amp;"HKD Curncy","PX_LAST"))),1)</f>
        <v/>
      </c>
      <c r="H9" s="69">
        <f>IF($C9="","",BDP($C9,FLD_DPS12M))</f>
        <v/>
      </c>
      <c r="I9" s="50">
        <f>IF($C9="","",BDP($C9,FLD_YLD12M))</f>
        <v/>
      </c>
      <c r="J9" s="52">
        <f>IF($B9="",0,SUMPRODUCT(('Dvd Calendar'!$E$1138:$AR$1138&gt;=DATE(YEAR_Y,1,1))*('Dvd Calendar'!$E$1138:$AR$1138&lt;=REALIZED_TO)*'Dvd Calendar'!$E$1141:$AR$1141*(('Dvd Calendar'!$E$1143:$AR$1143=TYPE1)*(TYPE1&lt;&gt;"")+('Dvd Calendar'!$E$1143:$AR$1143=TYPE2)*(TYPE2&lt;&gt;"")+('Dvd Calendar'!$E$1143:$AR$1143=TYPE3)*(TYPE3&lt;&gt;"")+('Dvd Calendar'!$E$1143:$AR$1143=TYPE4)*(TYPE4&lt;&gt;"")+('Dvd Calendar'!$E$1143:$AR$1143=SPECIAL_LBL)*(INC_SPECIALS="Y"))))</f>
        <v/>
      </c>
      <c r="K9" s="52">
        <f>IF($B9="",0,SUMIFS('Dvd Calendar'!$E$1146:$AR$1146,'Dvd Calendar'!$E$1145:$AR$1145,"&gt;"&amp;PROJ_FROM,'Dvd Calendar'!$E$1145:$AR$1145,"&lt;="&amp;DATE(YEAR_Y,12,31))+SUMPRODUCT(('Dvd Calendar'!$E$1138:$AR$1138&gt;PROJ_FROM)*('Dvd Calendar'!$E$1138:$AR$1138&lt;=DATE(YEAR_Y,12,31))*'Dvd Calendar'!$E$1141:$AR$1141*(('Dvd Calendar'!$E$1143:$AR$1143=TYPE1)*(TYPE1&lt;&gt;"")+('Dvd Calendar'!$E$1143:$AR$1143=TYPE2)*(TYPE2&lt;&gt;"")+('Dvd Calendar'!$E$1143:$AR$1143=TYPE3)*(TYPE3&lt;&gt;"")+('Dvd Calendar'!$E$1143:$AR$1143=TYPE4)*(TYPE4&lt;&gt;"")+('Dvd Calendar'!$E$1143:$AR$1143=SPECIAL_LBL)*(INC_SPECIALS="Y"))*(COUNTIF('Dvd Calendar'!$E$1145:$AR$1145,'Dvd Calendar'!$E$1138:$AR$1138)=0)))</f>
        <v/>
      </c>
      <c r="L9" s="52">
        <f>IF($B9="",0,IF((OV_SWITCH="ON")*(COUNTIFS(OVR_TICKERS,$C9,OVR_BASE,"&gt;=0")&gt;0)&gt;0,SUMIFS(OVR_BASE,OVR_TICKERS,$C9),$K9))</f>
        <v/>
      </c>
      <c r="M9" s="52">
        <f>IF($B9="",0,IF((OV_SWITCH="ON")*(COUNTIFS(OVR_TICKERS,$C9,OVR_LOW,"&gt;=0")&gt;0)&gt;0,SUMIFS(OVR_LOW,OVR_TICKERS,$C9),$L9))</f>
        <v/>
      </c>
      <c r="N9" s="52">
        <f>IF($B9="",0,IF((OV_SWITCH="ON")*(COUNTIFS(OVR_TICKERS,$C9,OVR_HIGH,"&gt;=0")&gt;0)&gt;0,SUMIFS(OVR_HIGH,OVR_TICKERS,$C9),$L9))</f>
        <v/>
      </c>
      <c r="O9" s="69">
        <f>IF($B9="","",IFERROR($B9*$G9*$J9/$B$3,""))</f>
        <v/>
      </c>
      <c r="P9" s="69">
        <f>IF($B9="","",IFERROR($B9*$G9*$L9/$B$3,""))</f>
        <v/>
      </c>
      <c r="Q9" s="44">
        <f>IF($B9="","",IFERROR($O9+$P9,""))</f>
        <v/>
      </c>
      <c r="R9" s="69">
        <f>IF($B9="","",IFERROR($O9+$B9*$G9*$M9/$B$3,""))</f>
        <v/>
      </c>
      <c r="S9" s="69">
        <f>IF($B9="","",IFERROR($O9+$B9*$G9*$N9/$B$3,""))</f>
        <v/>
      </c>
      <c r="T9" s="88">
        <f>IF($B9="","",IFERROR($Q9/$Q$5,""))</f>
        <v/>
      </c>
      <c r="U9" s="2">
        <f>IF($B9="","",IF(COUNTIFS('Dvd Calendar'!$E$1144:$AR$1144,"&gt;0",'Dvd Calendar'!$E$1144:$AR$1144,"&lt;="&amp;VAL_DATE,'Dvd Calendar'!$E$1145:$AR$1145,"&gt;"&amp;PROJ_FROM,'Dvd Calendar'!$E$1145:$AR$1145,"&lt;="&amp;DATE(YEAR_Y,12,31))-COUNTIFS('Dvd Calendar'!$E$1144:$AR$1144,"&gt;0",'Dvd Calendar'!$E$1144:$AR$1144,"&lt;="&amp;VAL_DATE,'Dvd Calendar'!$E$1145:$AR$1145,"&gt;"&amp;PROJ_FROM,'Dvd Calendar'!$E$1145:$AR$1145,"&lt;="&amp;DATE(YEAR_Y,12,31),'Dvd Calendar'!$E$1146:$AR$1146,"&gt;=0")&gt;0,"TBA amount - override me",IF((OV_SWITCH="ON")*(COUNTIFS(OVR_TICKERS,$C9,OVR_BASE,"&gt;=0")&gt;0)&gt;0,"overridden",IF($J9+$K9=0,"no dividend in year Y",""))))</f>
        <v/>
      </c>
      <c r="V9" s="69">
        <f>IF($B9="","",IFERROR(IF(ISNUMBER($H9),$B9*$G9*$H9/$B$3,0),""))</f>
        <v/>
      </c>
      <c r="W9" s="69">
        <f>IF($B9="","",IFERROR($B9*$G9*$K9/$B$3,""))</f>
        <v/>
      </c>
      <c r="X9" s="98">
        <f>IF($C9="","",BDP($C9,"PX_LAST"))</f>
        <v/>
      </c>
      <c r="Y9" s="69">
        <f>IF($B9="","",IFERROR($B9*$X9/$B$3,""))</f>
        <v/>
      </c>
      <c r="Z9" s="73">
        <f>IF($B9="","",IFERROR($Y9/$Y$5,""))</f>
        <v/>
      </c>
    </row>
    <row r="10">
      <c r="B10" s="97" t="n"/>
      <c r="C10" s="8">
        <f>IF($A10="","",$A10&amp;" Equity")</f>
        <v/>
      </c>
      <c r="D10" s="8">
        <f>IF($C10="","",BDP($C10,"NAME"))</f>
        <v/>
      </c>
      <c r="E10" s="8">
        <f>IF($C10="","",BDP($C10,"GICS_SECTOR_NAME"))</f>
        <v/>
      </c>
      <c r="F10" s="37">
        <f>IF($C10="","",BDP($C10,FLD_CCY))</f>
        <v/>
      </c>
      <c r="G10" s="12">
        <f>IFERROR(IF(LEN($F10)&lt;&gt;3,1,IF($F10="HKD",1,BDP(IF($F10="CNY",RMB_CROSS,$F10)&amp;"HKD Curncy","PX_LAST"))),1)</f>
        <v/>
      </c>
      <c r="H10" s="69">
        <f>IF($C10="","",BDP($C10,FLD_DPS12M))</f>
        <v/>
      </c>
      <c r="I10" s="50">
        <f>IF($C10="","",BDP($C10,FLD_YLD12M))</f>
        <v/>
      </c>
      <c r="J10" s="52">
        <f>IF($B10="",0,SUMPRODUCT(('Dvd Calendar'!$E$1149:$AR$1149&gt;=DATE(YEAR_Y,1,1))*('Dvd Calendar'!$E$1149:$AR$1149&lt;=REALIZED_TO)*'Dvd Calendar'!$E$1152:$AR$1152*(('Dvd Calendar'!$E$1154:$AR$1154=TYPE1)*(TYPE1&lt;&gt;"")+('Dvd Calendar'!$E$1154:$AR$1154=TYPE2)*(TYPE2&lt;&gt;"")+('Dvd Calendar'!$E$1154:$AR$1154=TYPE3)*(TYPE3&lt;&gt;"")+('Dvd Calendar'!$E$1154:$AR$1154=TYPE4)*(TYPE4&lt;&gt;"")+('Dvd Calendar'!$E$1154:$AR$1154=SPECIAL_LBL)*(INC_SPECIALS="Y"))))</f>
        <v/>
      </c>
      <c r="K10" s="52">
        <f>IF($B10="",0,SUMIFS('Dvd Calendar'!$E$1157:$AR$1157,'Dvd Calendar'!$E$1156:$AR$1156,"&gt;"&amp;PROJ_FROM,'Dvd Calendar'!$E$1156:$AR$1156,"&lt;="&amp;DATE(YEAR_Y,12,31))+SUMPRODUCT(('Dvd Calendar'!$E$1149:$AR$1149&gt;PROJ_FROM)*('Dvd Calendar'!$E$1149:$AR$1149&lt;=DATE(YEAR_Y,12,31))*'Dvd Calendar'!$E$1152:$AR$1152*(('Dvd Calendar'!$E$1154:$AR$1154=TYPE1)*(TYPE1&lt;&gt;"")+('Dvd Calendar'!$E$1154:$AR$1154=TYPE2)*(TYPE2&lt;&gt;"")+('Dvd Calendar'!$E$1154:$AR$1154=TYPE3)*(TYPE3&lt;&gt;"")+('Dvd Calendar'!$E$1154:$AR$1154=TYPE4)*(TYPE4&lt;&gt;"")+('Dvd Calendar'!$E$1154:$AR$1154=SPECIAL_LBL)*(INC_SPECIALS="Y"))*(COUNTIF('Dvd Calendar'!$E$1156:$AR$1156,'Dvd Calendar'!$E$1149:$AR$1149)=0)))</f>
        <v/>
      </c>
      <c r="L10" s="52">
        <f>IF($B10="",0,IF((OV_SWITCH="ON")*(COUNTIFS(OVR_TICKERS,$C10,OVR_BASE,"&gt;=0")&gt;0)&gt;0,SUMIFS(OVR_BASE,OVR_TICKERS,$C10),$K10))</f>
        <v/>
      </c>
      <c r="M10" s="52">
        <f>IF($B10="",0,IF((OV_SWITCH="ON")*(COUNTIFS(OVR_TICKERS,$C10,OVR_LOW,"&gt;=0")&gt;0)&gt;0,SUMIFS(OVR_LOW,OVR_TICKERS,$C10),$L10))</f>
        <v/>
      </c>
      <c r="N10" s="52">
        <f>IF($B10="",0,IF((OV_SWITCH="ON")*(COUNTIFS(OVR_TICKERS,$C10,OVR_HIGH,"&gt;=0")&gt;0)&gt;0,SUMIFS(OVR_HIGH,OVR_TICKERS,$C10),$L10))</f>
        <v/>
      </c>
      <c r="O10" s="69">
        <f>IF($B10="","",IFERROR($B10*$G10*$J10/$B$3,""))</f>
        <v/>
      </c>
      <c r="P10" s="69">
        <f>IF($B10="","",IFERROR($B10*$G10*$L10/$B$3,""))</f>
        <v/>
      </c>
      <c r="Q10" s="44">
        <f>IF($B10="","",IFERROR($O10+$P10,""))</f>
        <v/>
      </c>
      <c r="R10" s="69">
        <f>IF($B10="","",IFERROR($O10+$B10*$G10*$M10/$B$3,""))</f>
        <v/>
      </c>
      <c r="S10" s="69">
        <f>IF($B10="","",IFERROR($O10+$B10*$G10*$N10/$B$3,""))</f>
        <v/>
      </c>
      <c r="T10" s="88">
        <f>IF($B10="","",IFERROR($Q10/$Q$5,""))</f>
        <v/>
      </c>
      <c r="U10" s="2">
        <f>IF($B10="","",IF(COUNTIFS('Dvd Calendar'!$E$1155:$AR$1155,"&gt;0",'Dvd Calendar'!$E$1155:$AR$1155,"&lt;="&amp;VAL_DATE,'Dvd Calendar'!$E$1156:$AR$1156,"&gt;"&amp;PROJ_FROM,'Dvd Calendar'!$E$1156:$AR$1156,"&lt;="&amp;DATE(YEAR_Y,12,31))-COUNTIFS('Dvd Calendar'!$E$1155:$AR$1155,"&gt;0",'Dvd Calendar'!$E$1155:$AR$1155,"&lt;="&amp;VAL_DATE,'Dvd Calendar'!$E$1156:$AR$1156,"&gt;"&amp;PROJ_FROM,'Dvd Calendar'!$E$1156:$AR$1156,"&lt;="&amp;DATE(YEAR_Y,12,31),'Dvd Calendar'!$E$1157:$AR$1157,"&gt;=0")&gt;0,"TBA amount - override me",IF((OV_SWITCH="ON")*(COUNTIFS(OVR_TICKERS,$C10,OVR_BASE,"&gt;=0")&gt;0)&gt;0,"overridden",IF($J10+$K10=0,"no dividend in year Y",""))))</f>
        <v/>
      </c>
      <c r="V10" s="69">
        <f>IF($B10="","",IFERROR(IF(ISNUMBER($H10),$B10*$G10*$H10/$B$3,0),""))</f>
        <v/>
      </c>
      <c r="W10" s="69">
        <f>IF($B10="","",IFERROR($B10*$G10*$K10/$B$3,""))</f>
        <v/>
      </c>
      <c r="X10" s="98">
        <f>IF($C10="","",BDP($C10,"PX_LAST"))</f>
        <v/>
      </c>
      <c r="Y10" s="69">
        <f>IF($B10="","",IFERROR($B10*$X10/$B$3,""))</f>
        <v/>
      </c>
      <c r="Z10" s="73">
        <f>IF($B10="","",IFERROR($Y10/$Y$5,""))</f>
        <v/>
      </c>
    </row>
    <row r="11">
      <c r="B11" s="97" t="n"/>
      <c r="C11" s="8">
        <f>IF($A11="","",$A11&amp;" Equity")</f>
        <v/>
      </c>
      <c r="D11" s="8">
        <f>IF($C11="","",BDP($C11,"NAME"))</f>
        <v/>
      </c>
      <c r="E11" s="8">
        <f>IF($C11="","",BDP($C11,"GICS_SECTOR_NAME"))</f>
        <v/>
      </c>
      <c r="F11" s="37">
        <f>IF($C11="","",BDP($C11,FLD_CCY))</f>
        <v/>
      </c>
      <c r="G11" s="12">
        <f>IFERROR(IF(LEN($F11)&lt;&gt;3,1,IF($F11="HKD",1,BDP(IF($F11="CNY",RMB_CROSS,$F11)&amp;"HKD Curncy","PX_LAST"))),1)</f>
        <v/>
      </c>
      <c r="H11" s="69">
        <f>IF($C11="","",BDP($C11,FLD_DPS12M))</f>
        <v/>
      </c>
      <c r="I11" s="50">
        <f>IF($C11="","",BDP($C11,FLD_YLD12M))</f>
        <v/>
      </c>
      <c r="J11" s="52">
        <f>IF($B11="",0,SUMPRODUCT(('Dvd Calendar'!$E$1160:$AR$1160&gt;=DATE(YEAR_Y,1,1))*('Dvd Calendar'!$E$1160:$AR$1160&lt;=REALIZED_TO)*'Dvd Calendar'!$E$1163:$AR$1163*(('Dvd Calendar'!$E$1165:$AR$1165=TYPE1)*(TYPE1&lt;&gt;"")+('Dvd Calendar'!$E$1165:$AR$1165=TYPE2)*(TYPE2&lt;&gt;"")+('Dvd Calendar'!$E$1165:$AR$1165=TYPE3)*(TYPE3&lt;&gt;"")+('Dvd Calendar'!$E$1165:$AR$1165=TYPE4)*(TYPE4&lt;&gt;"")+('Dvd Calendar'!$E$1165:$AR$1165=SPECIAL_LBL)*(INC_SPECIALS="Y"))))</f>
        <v/>
      </c>
      <c r="K11" s="52">
        <f>IF($B11="",0,SUMIFS('Dvd Calendar'!$E$1168:$AR$1168,'Dvd Calendar'!$E$1167:$AR$1167,"&gt;"&amp;PROJ_FROM,'Dvd Calendar'!$E$1167:$AR$1167,"&lt;="&amp;DATE(YEAR_Y,12,31))+SUMPRODUCT(('Dvd Calendar'!$E$1160:$AR$1160&gt;PROJ_FROM)*('Dvd Calendar'!$E$1160:$AR$1160&lt;=DATE(YEAR_Y,12,31))*'Dvd Calendar'!$E$1163:$AR$1163*(('Dvd Calendar'!$E$1165:$AR$1165=TYPE1)*(TYPE1&lt;&gt;"")+('Dvd Calendar'!$E$1165:$AR$1165=TYPE2)*(TYPE2&lt;&gt;"")+('Dvd Calendar'!$E$1165:$AR$1165=TYPE3)*(TYPE3&lt;&gt;"")+('Dvd Calendar'!$E$1165:$AR$1165=TYPE4)*(TYPE4&lt;&gt;"")+('Dvd Calendar'!$E$1165:$AR$1165=SPECIAL_LBL)*(INC_SPECIALS="Y"))*(COUNTIF('Dvd Calendar'!$E$1167:$AR$1167,'Dvd Calendar'!$E$1160:$AR$1160)=0)))</f>
        <v/>
      </c>
      <c r="L11" s="52">
        <f>IF($B11="",0,IF((OV_SWITCH="ON")*(COUNTIFS(OVR_TICKERS,$C11,OVR_BASE,"&gt;=0")&gt;0)&gt;0,SUMIFS(OVR_BASE,OVR_TICKERS,$C11),$K11))</f>
        <v/>
      </c>
      <c r="M11" s="52">
        <f>IF($B11="",0,IF((OV_SWITCH="ON")*(COUNTIFS(OVR_TICKERS,$C11,OVR_LOW,"&gt;=0")&gt;0)&gt;0,SUMIFS(OVR_LOW,OVR_TICKERS,$C11),$L11))</f>
        <v/>
      </c>
      <c r="N11" s="52">
        <f>IF($B11="",0,IF((OV_SWITCH="ON")*(COUNTIFS(OVR_TICKERS,$C11,OVR_HIGH,"&gt;=0")&gt;0)&gt;0,SUMIFS(OVR_HIGH,OVR_TICKERS,$C11),$L11))</f>
        <v/>
      </c>
      <c r="O11" s="69">
        <f>IF($B11="","",IFERROR($B11*$G11*$J11/$B$3,""))</f>
        <v/>
      </c>
      <c r="P11" s="69">
        <f>IF($B11="","",IFERROR($B11*$G11*$L11/$B$3,""))</f>
        <v/>
      </c>
      <c r="Q11" s="44">
        <f>IF($B11="","",IFERROR($O11+$P11,""))</f>
        <v/>
      </c>
      <c r="R11" s="69">
        <f>IF($B11="","",IFERROR($O11+$B11*$G11*$M11/$B$3,""))</f>
        <v/>
      </c>
      <c r="S11" s="69">
        <f>IF($B11="","",IFERROR($O11+$B11*$G11*$N11/$B$3,""))</f>
        <v/>
      </c>
      <c r="T11" s="88">
        <f>IF($B11="","",IFERROR($Q11/$Q$5,""))</f>
        <v/>
      </c>
      <c r="U11" s="2">
        <f>IF($B11="","",IF(COUNTIFS('Dvd Calendar'!$E$1166:$AR$1166,"&gt;0",'Dvd Calendar'!$E$1166:$AR$1166,"&lt;="&amp;VAL_DATE,'Dvd Calendar'!$E$1167:$AR$1167,"&gt;"&amp;PROJ_FROM,'Dvd Calendar'!$E$1167:$AR$1167,"&lt;="&amp;DATE(YEAR_Y,12,31))-COUNTIFS('Dvd Calendar'!$E$1166:$AR$1166,"&gt;0",'Dvd Calendar'!$E$1166:$AR$1166,"&lt;="&amp;VAL_DATE,'Dvd Calendar'!$E$1167:$AR$1167,"&gt;"&amp;PROJ_FROM,'Dvd Calendar'!$E$1167:$AR$1167,"&lt;="&amp;DATE(YEAR_Y,12,31),'Dvd Calendar'!$E$1168:$AR$1168,"&gt;=0")&gt;0,"TBA amount - override me",IF((OV_SWITCH="ON")*(COUNTIFS(OVR_TICKERS,$C11,OVR_BASE,"&gt;=0")&gt;0)&gt;0,"overridden",IF($J11+$K11=0,"no dividend in year Y",""))))</f>
        <v/>
      </c>
      <c r="V11" s="69">
        <f>IF($B11="","",IFERROR(IF(ISNUMBER($H11),$B11*$G11*$H11/$B$3,0),""))</f>
        <v/>
      </c>
      <c r="W11" s="69">
        <f>IF($B11="","",IFERROR($B11*$G11*$K11/$B$3,""))</f>
        <v/>
      </c>
      <c r="X11" s="98">
        <f>IF($C11="","",BDP($C11,"PX_LAST"))</f>
        <v/>
      </c>
      <c r="Y11" s="69">
        <f>IF($B11="","",IFERROR($B11*$X11/$B$3,""))</f>
        <v/>
      </c>
      <c r="Z11" s="73">
        <f>IF($B11="","",IFERROR($Y11/$Y$5,""))</f>
        <v/>
      </c>
    </row>
    <row r="12">
      <c r="B12" s="97" t="n"/>
      <c r="C12" s="8">
        <f>IF($A12="","",$A12&amp;" Equity")</f>
        <v/>
      </c>
      <c r="D12" s="8">
        <f>IF($C12="","",BDP($C12,"NAME"))</f>
        <v/>
      </c>
      <c r="E12" s="8">
        <f>IF($C12="","",BDP($C12,"GICS_SECTOR_NAME"))</f>
        <v/>
      </c>
      <c r="F12" s="37">
        <f>IF($C12="","",BDP($C12,FLD_CCY))</f>
        <v/>
      </c>
      <c r="G12" s="12">
        <f>IFERROR(IF(LEN($F12)&lt;&gt;3,1,IF($F12="HKD",1,BDP(IF($F12="CNY",RMB_CROSS,$F12)&amp;"HKD Curncy","PX_LAST"))),1)</f>
        <v/>
      </c>
      <c r="H12" s="69">
        <f>IF($C12="","",BDP($C12,FLD_DPS12M))</f>
        <v/>
      </c>
      <c r="I12" s="50">
        <f>IF($C12="","",BDP($C12,FLD_YLD12M))</f>
        <v/>
      </c>
      <c r="J12" s="52">
        <f>IF($B12="",0,SUMPRODUCT(('Dvd Calendar'!$E$1171:$AR$1171&gt;=DATE(YEAR_Y,1,1))*('Dvd Calendar'!$E$1171:$AR$1171&lt;=REALIZED_TO)*'Dvd Calendar'!$E$1174:$AR$1174*(('Dvd Calendar'!$E$1176:$AR$1176=TYPE1)*(TYPE1&lt;&gt;"")+('Dvd Calendar'!$E$1176:$AR$1176=TYPE2)*(TYPE2&lt;&gt;"")+('Dvd Calendar'!$E$1176:$AR$1176=TYPE3)*(TYPE3&lt;&gt;"")+('Dvd Calendar'!$E$1176:$AR$1176=TYPE4)*(TYPE4&lt;&gt;"")+('Dvd Calendar'!$E$1176:$AR$1176=SPECIAL_LBL)*(INC_SPECIALS="Y"))))</f>
        <v/>
      </c>
      <c r="K12" s="52">
        <f>IF($B12="",0,SUMIFS('Dvd Calendar'!$E$1179:$AR$1179,'Dvd Calendar'!$E$1178:$AR$1178,"&gt;"&amp;PROJ_FROM,'Dvd Calendar'!$E$1178:$AR$1178,"&lt;="&amp;DATE(YEAR_Y,12,31))+SUMPRODUCT(('Dvd Calendar'!$E$1171:$AR$1171&gt;PROJ_FROM)*('Dvd Calendar'!$E$1171:$AR$1171&lt;=DATE(YEAR_Y,12,31))*'Dvd Calendar'!$E$1174:$AR$1174*(('Dvd Calendar'!$E$1176:$AR$1176=TYPE1)*(TYPE1&lt;&gt;"")+('Dvd Calendar'!$E$1176:$AR$1176=TYPE2)*(TYPE2&lt;&gt;"")+('Dvd Calendar'!$E$1176:$AR$1176=TYPE3)*(TYPE3&lt;&gt;"")+('Dvd Calendar'!$E$1176:$AR$1176=TYPE4)*(TYPE4&lt;&gt;"")+('Dvd Calendar'!$E$1176:$AR$1176=SPECIAL_LBL)*(INC_SPECIALS="Y"))*(COUNTIF('Dvd Calendar'!$E$1178:$AR$1178,'Dvd Calendar'!$E$1171:$AR$1171)=0)))</f>
        <v/>
      </c>
      <c r="L12" s="52">
        <f>IF($B12="",0,IF((OV_SWITCH="ON")*(COUNTIFS(OVR_TICKERS,$C12,OVR_BASE,"&gt;=0")&gt;0)&gt;0,SUMIFS(OVR_BASE,OVR_TICKERS,$C12),$K12))</f>
        <v/>
      </c>
      <c r="M12" s="52">
        <f>IF($B12="",0,IF((OV_SWITCH="ON")*(COUNTIFS(OVR_TICKERS,$C12,OVR_LOW,"&gt;=0")&gt;0)&gt;0,SUMIFS(OVR_LOW,OVR_TICKERS,$C12),$L12))</f>
        <v/>
      </c>
      <c r="N12" s="52">
        <f>IF($B12="",0,IF((OV_SWITCH="ON")*(COUNTIFS(OVR_TICKERS,$C12,OVR_HIGH,"&gt;=0")&gt;0)&gt;0,SUMIFS(OVR_HIGH,OVR_TICKERS,$C12),$L12))</f>
        <v/>
      </c>
      <c r="O12" s="69">
        <f>IF($B12="","",IFERROR($B12*$G12*$J12/$B$3,""))</f>
        <v/>
      </c>
      <c r="P12" s="69">
        <f>IF($B12="","",IFERROR($B12*$G12*$L12/$B$3,""))</f>
        <v/>
      </c>
      <c r="Q12" s="44">
        <f>IF($B12="","",IFERROR($O12+$P12,""))</f>
        <v/>
      </c>
      <c r="R12" s="69">
        <f>IF($B12="","",IFERROR($O12+$B12*$G12*$M12/$B$3,""))</f>
        <v/>
      </c>
      <c r="S12" s="69">
        <f>IF($B12="","",IFERROR($O12+$B12*$G12*$N12/$B$3,""))</f>
        <v/>
      </c>
      <c r="T12" s="88">
        <f>IF($B12="","",IFERROR($Q12/$Q$5,""))</f>
        <v/>
      </c>
      <c r="U12" s="2">
        <f>IF($B12="","",IF(COUNTIFS('Dvd Calendar'!$E$1177:$AR$1177,"&gt;0",'Dvd Calendar'!$E$1177:$AR$1177,"&lt;="&amp;VAL_DATE,'Dvd Calendar'!$E$1178:$AR$1178,"&gt;"&amp;PROJ_FROM,'Dvd Calendar'!$E$1178:$AR$1178,"&lt;="&amp;DATE(YEAR_Y,12,31))-COUNTIFS('Dvd Calendar'!$E$1177:$AR$1177,"&gt;0",'Dvd Calendar'!$E$1177:$AR$1177,"&lt;="&amp;VAL_DATE,'Dvd Calendar'!$E$1178:$AR$1178,"&gt;"&amp;PROJ_FROM,'Dvd Calendar'!$E$1178:$AR$1178,"&lt;="&amp;DATE(YEAR_Y,12,31),'Dvd Calendar'!$E$1179:$AR$1179,"&gt;=0")&gt;0,"TBA amount - override me",IF((OV_SWITCH="ON")*(COUNTIFS(OVR_TICKERS,$C12,OVR_BASE,"&gt;=0")&gt;0)&gt;0,"overridden",IF($J12+$K12=0,"no dividend in year Y",""))))</f>
        <v/>
      </c>
      <c r="V12" s="69">
        <f>IF($B12="","",IFERROR(IF(ISNUMBER($H12),$B12*$G12*$H12/$B$3,0),""))</f>
        <v/>
      </c>
      <c r="W12" s="69">
        <f>IF($B12="","",IFERROR($B12*$G12*$K12/$B$3,""))</f>
        <v/>
      </c>
      <c r="X12" s="98">
        <f>IF($C12="","",BDP($C12,"PX_LAST"))</f>
        <v/>
      </c>
      <c r="Y12" s="69">
        <f>IF($B12="","",IFERROR($B12*$X12/$B$3,""))</f>
        <v/>
      </c>
      <c r="Z12" s="73">
        <f>IF($B12="","",IFERROR($Y12/$Y$5,""))</f>
        <v/>
      </c>
    </row>
    <row r="13">
      <c r="B13" s="97" t="n"/>
      <c r="C13" s="8">
        <f>IF($A13="","",$A13&amp;" Equity")</f>
        <v/>
      </c>
      <c r="D13" s="8">
        <f>IF($C13="","",BDP($C13,"NAME"))</f>
        <v/>
      </c>
      <c r="E13" s="8">
        <f>IF($C13="","",BDP($C13,"GICS_SECTOR_NAME"))</f>
        <v/>
      </c>
      <c r="F13" s="37">
        <f>IF($C13="","",BDP($C13,FLD_CCY))</f>
        <v/>
      </c>
      <c r="G13" s="12">
        <f>IFERROR(IF(LEN($F13)&lt;&gt;3,1,IF($F13="HKD",1,BDP(IF($F13="CNY",RMB_CROSS,$F13)&amp;"HKD Curncy","PX_LAST"))),1)</f>
        <v/>
      </c>
      <c r="H13" s="69">
        <f>IF($C13="","",BDP($C13,FLD_DPS12M))</f>
        <v/>
      </c>
      <c r="I13" s="50">
        <f>IF($C13="","",BDP($C13,FLD_YLD12M))</f>
        <v/>
      </c>
      <c r="J13" s="52">
        <f>IF($B13="",0,SUMPRODUCT(('Dvd Calendar'!$E$1182:$AR$1182&gt;=DATE(YEAR_Y,1,1))*('Dvd Calendar'!$E$1182:$AR$1182&lt;=REALIZED_TO)*'Dvd Calendar'!$E$1185:$AR$1185*(('Dvd Calendar'!$E$1187:$AR$1187=TYPE1)*(TYPE1&lt;&gt;"")+('Dvd Calendar'!$E$1187:$AR$1187=TYPE2)*(TYPE2&lt;&gt;"")+('Dvd Calendar'!$E$1187:$AR$1187=TYPE3)*(TYPE3&lt;&gt;"")+('Dvd Calendar'!$E$1187:$AR$1187=TYPE4)*(TYPE4&lt;&gt;"")+('Dvd Calendar'!$E$1187:$AR$1187=SPECIAL_LBL)*(INC_SPECIALS="Y"))))</f>
        <v/>
      </c>
      <c r="K13" s="52">
        <f>IF($B13="",0,SUMIFS('Dvd Calendar'!$E$1190:$AR$1190,'Dvd Calendar'!$E$1189:$AR$1189,"&gt;"&amp;PROJ_FROM,'Dvd Calendar'!$E$1189:$AR$1189,"&lt;="&amp;DATE(YEAR_Y,12,31))+SUMPRODUCT(('Dvd Calendar'!$E$1182:$AR$1182&gt;PROJ_FROM)*('Dvd Calendar'!$E$1182:$AR$1182&lt;=DATE(YEAR_Y,12,31))*'Dvd Calendar'!$E$1185:$AR$1185*(('Dvd Calendar'!$E$1187:$AR$1187=TYPE1)*(TYPE1&lt;&gt;"")+('Dvd Calendar'!$E$1187:$AR$1187=TYPE2)*(TYPE2&lt;&gt;"")+('Dvd Calendar'!$E$1187:$AR$1187=TYPE3)*(TYPE3&lt;&gt;"")+('Dvd Calendar'!$E$1187:$AR$1187=TYPE4)*(TYPE4&lt;&gt;"")+('Dvd Calendar'!$E$1187:$AR$1187=SPECIAL_LBL)*(INC_SPECIALS="Y"))*(COUNTIF('Dvd Calendar'!$E$1189:$AR$1189,'Dvd Calendar'!$E$1182:$AR$1182)=0)))</f>
        <v/>
      </c>
      <c r="L13" s="52">
        <f>IF($B13="",0,IF((OV_SWITCH="ON")*(COUNTIFS(OVR_TICKERS,$C13,OVR_BASE,"&gt;=0")&gt;0)&gt;0,SUMIFS(OVR_BASE,OVR_TICKERS,$C13),$K13))</f>
        <v/>
      </c>
      <c r="M13" s="52">
        <f>IF($B13="",0,IF((OV_SWITCH="ON")*(COUNTIFS(OVR_TICKERS,$C13,OVR_LOW,"&gt;=0")&gt;0)&gt;0,SUMIFS(OVR_LOW,OVR_TICKERS,$C13),$L13))</f>
        <v/>
      </c>
      <c r="N13" s="52">
        <f>IF($B13="",0,IF((OV_SWITCH="ON")*(COUNTIFS(OVR_TICKERS,$C13,OVR_HIGH,"&gt;=0")&gt;0)&gt;0,SUMIFS(OVR_HIGH,OVR_TICKERS,$C13),$L13))</f>
        <v/>
      </c>
      <c r="O13" s="69">
        <f>IF($B13="","",IFERROR($B13*$G13*$J13/$B$3,""))</f>
        <v/>
      </c>
      <c r="P13" s="69">
        <f>IF($B13="","",IFERROR($B13*$G13*$L13/$B$3,""))</f>
        <v/>
      </c>
      <c r="Q13" s="44">
        <f>IF($B13="","",IFERROR($O13+$P13,""))</f>
        <v/>
      </c>
      <c r="R13" s="69">
        <f>IF($B13="","",IFERROR($O13+$B13*$G13*$M13/$B$3,""))</f>
        <v/>
      </c>
      <c r="S13" s="69">
        <f>IF($B13="","",IFERROR($O13+$B13*$G13*$N13/$B$3,""))</f>
        <v/>
      </c>
      <c r="T13" s="88">
        <f>IF($B13="","",IFERROR($Q13/$Q$5,""))</f>
        <v/>
      </c>
      <c r="U13" s="2">
        <f>IF($B13="","",IF(COUNTIFS('Dvd Calendar'!$E$1188:$AR$1188,"&gt;0",'Dvd Calendar'!$E$1188:$AR$1188,"&lt;="&amp;VAL_DATE,'Dvd Calendar'!$E$1189:$AR$1189,"&gt;"&amp;PROJ_FROM,'Dvd Calendar'!$E$1189:$AR$1189,"&lt;="&amp;DATE(YEAR_Y,12,31))-COUNTIFS('Dvd Calendar'!$E$1188:$AR$1188,"&gt;0",'Dvd Calendar'!$E$1188:$AR$1188,"&lt;="&amp;VAL_DATE,'Dvd Calendar'!$E$1189:$AR$1189,"&gt;"&amp;PROJ_FROM,'Dvd Calendar'!$E$1189:$AR$1189,"&lt;="&amp;DATE(YEAR_Y,12,31),'Dvd Calendar'!$E$1190:$AR$1190,"&gt;=0")&gt;0,"TBA amount - override me",IF((OV_SWITCH="ON")*(COUNTIFS(OVR_TICKERS,$C13,OVR_BASE,"&gt;=0")&gt;0)&gt;0,"overridden",IF($J13+$K13=0,"no dividend in year Y",""))))</f>
        <v/>
      </c>
      <c r="V13" s="69">
        <f>IF($B13="","",IFERROR(IF(ISNUMBER($H13),$B13*$G13*$H13/$B$3,0),""))</f>
        <v/>
      </c>
      <c r="W13" s="69">
        <f>IF($B13="","",IFERROR($B13*$G13*$K13/$B$3,""))</f>
        <v/>
      </c>
      <c r="X13" s="98">
        <f>IF($C13="","",BDP($C13,"PX_LAST"))</f>
        <v/>
      </c>
      <c r="Y13" s="69">
        <f>IF($B13="","",IFERROR($B13*$X13/$B$3,""))</f>
        <v/>
      </c>
      <c r="Z13" s="73">
        <f>IF($B13="","",IFERROR($Y13/$Y$5,""))</f>
        <v/>
      </c>
    </row>
    <row r="14">
      <c r="B14" s="97" t="n"/>
      <c r="C14" s="8">
        <f>IF($A14="","",$A14&amp;" Equity")</f>
        <v/>
      </c>
      <c r="D14" s="8">
        <f>IF($C14="","",BDP($C14,"NAME"))</f>
        <v/>
      </c>
      <c r="E14" s="8">
        <f>IF($C14="","",BDP($C14,"GICS_SECTOR_NAME"))</f>
        <v/>
      </c>
      <c r="F14" s="37">
        <f>IF($C14="","",BDP($C14,FLD_CCY))</f>
        <v/>
      </c>
      <c r="G14" s="12">
        <f>IFERROR(IF(LEN($F14)&lt;&gt;3,1,IF($F14="HKD",1,BDP(IF($F14="CNY",RMB_CROSS,$F14)&amp;"HKD Curncy","PX_LAST"))),1)</f>
        <v/>
      </c>
      <c r="H14" s="69">
        <f>IF($C14="","",BDP($C14,FLD_DPS12M))</f>
        <v/>
      </c>
      <c r="I14" s="50">
        <f>IF($C14="","",BDP($C14,FLD_YLD12M))</f>
        <v/>
      </c>
      <c r="J14" s="52">
        <f>IF($B14="",0,SUMPRODUCT(('Dvd Calendar'!$E$1193:$AR$1193&gt;=DATE(YEAR_Y,1,1))*('Dvd Calendar'!$E$1193:$AR$1193&lt;=REALIZED_TO)*'Dvd Calendar'!$E$1196:$AR$1196*(('Dvd Calendar'!$E$1198:$AR$1198=TYPE1)*(TYPE1&lt;&gt;"")+('Dvd Calendar'!$E$1198:$AR$1198=TYPE2)*(TYPE2&lt;&gt;"")+('Dvd Calendar'!$E$1198:$AR$1198=TYPE3)*(TYPE3&lt;&gt;"")+('Dvd Calendar'!$E$1198:$AR$1198=TYPE4)*(TYPE4&lt;&gt;"")+('Dvd Calendar'!$E$1198:$AR$1198=SPECIAL_LBL)*(INC_SPECIALS="Y"))))</f>
        <v/>
      </c>
      <c r="K14" s="52">
        <f>IF($B14="",0,SUMIFS('Dvd Calendar'!$E$1201:$AR$1201,'Dvd Calendar'!$E$1200:$AR$1200,"&gt;"&amp;PROJ_FROM,'Dvd Calendar'!$E$1200:$AR$1200,"&lt;="&amp;DATE(YEAR_Y,12,31))+SUMPRODUCT(('Dvd Calendar'!$E$1193:$AR$1193&gt;PROJ_FROM)*('Dvd Calendar'!$E$1193:$AR$1193&lt;=DATE(YEAR_Y,12,31))*'Dvd Calendar'!$E$1196:$AR$1196*(('Dvd Calendar'!$E$1198:$AR$1198=TYPE1)*(TYPE1&lt;&gt;"")+('Dvd Calendar'!$E$1198:$AR$1198=TYPE2)*(TYPE2&lt;&gt;"")+('Dvd Calendar'!$E$1198:$AR$1198=TYPE3)*(TYPE3&lt;&gt;"")+('Dvd Calendar'!$E$1198:$AR$1198=TYPE4)*(TYPE4&lt;&gt;"")+('Dvd Calendar'!$E$1198:$AR$1198=SPECIAL_LBL)*(INC_SPECIALS="Y"))*(COUNTIF('Dvd Calendar'!$E$1200:$AR$1200,'Dvd Calendar'!$E$1193:$AR$1193)=0)))</f>
        <v/>
      </c>
      <c r="L14" s="52">
        <f>IF($B14="",0,IF((OV_SWITCH="ON")*(COUNTIFS(OVR_TICKERS,$C14,OVR_BASE,"&gt;=0")&gt;0)&gt;0,SUMIFS(OVR_BASE,OVR_TICKERS,$C14),$K14))</f>
        <v/>
      </c>
      <c r="M14" s="52">
        <f>IF($B14="",0,IF((OV_SWITCH="ON")*(COUNTIFS(OVR_TICKERS,$C14,OVR_LOW,"&gt;=0")&gt;0)&gt;0,SUMIFS(OVR_LOW,OVR_TICKERS,$C14),$L14))</f>
        <v/>
      </c>
      <c r="N14" s="52">
        <f>IF($B14="",0,IF((OV_SWITCH="ON")*(COUNTIFS(OVR_TICKERS,$C14,OVR_HIGH,"&gt;=0")&gt;0)&gt;0,SUMIFS(OVR_HIGH,OVR_TICKERS,$C14),$L14))</f>
        <v/>
      </c>
      <c r="O14" s="69">
        <f>IF($B14="","",IFERROR($B14*$G14*$J14/$B$3,""))</f>
        <v/>
      </c>
      <c r="P14" s="69">
        <f>IF($B14="","",IFERROR($B14*$G14*$L14/$B$3,""))</f>
        <v/>
      </c>
      <c r="Q14" s="44">
        <f>IF($B14="","",IFERROR($O14+$P14,""))</f>
        <v/>
      </c>
      <c r="R14" s="69">
        <f>IF($B14="","",IFERROR($O14+$B14*$G14*$M14/$B$3,""))</f>
        <v/>
      </c>
      <c r="S14" s="69">
        <f>IF($B14="","",IFERROR($O14+$B14*$G14*$N14/$B$3,""))</f>
        <v/>
      </c>
      <c r="T14" s="88">
        <f>IF($B14="","",IFERROR($Q14/$Q$5,""))</f>
        <v/>
      </c>
      <c r="U14" s="2">
        <f>IF($B14="","",IF(COUNTIFS('Dvd Calendar'!$E$1199:$AR$1199,"&gt;0",'Dvd Calendar'!$E$1199:$AR$1199,"&lt;="&amp;VAL_DATE,'Dvd Calendar'!$E$1200:$AR$1200,"&gt;"&amp;PROJ_FROM,'Dvd Calendar'!$E$1200:$AR$1200,"&lt;="&amp;DATE(YEAR_Y,12,31))-COUNTIFS('Dvd Calendar'!$E$1199:$AR$1199,"&gt;0",'Dvd Calendar'!$E$1199:$AR$1199,"&lt;="&amp;VAL_DATE,'Dvd Calendar'!$E$1200:$AR$1200,"&gt;"&amp;PROJ_FROM,'Dvd Calendar'!$E$1200:$AR$1200,"&lt;="&amp;DATE(YEAR_Y,12,31),'Dvd Calendar'!$E$1201:$AR$1201,"&gt;=0")&gt;0,"TBA amount - override me",IF((OV_SWITCH="ON")*(COUNTIFS(OVR_TICKERS,$C14,OVR_BASE,"&gt;=0")&gt;0)&gt;0,"overridden",IF($J14+$K14=0,"no dividend in year Y",""))))</f>
        <v/>
      </c>
      <c r="V14" s="69">
        <f>IF($B14="","",IFERROR(IF(ISNUMBER($H14),$B14*$G14*$H14/$B$3,0),""))</f>
        <v/>
      </c>
      <c r="W14" s="69">
        <f>IF($B14="","",IFERROR($B14*$G14*$K14/$B$3,""))</f>
        <v/>
      </c>
      <c r="X14" s="98">
        <f>IF($C14="","",BDP($C14,"PX_LAST"))</f>
        <v/>
      </c>
      <c r="Y14" s="69">
        <f>IF($B14="","",IFERROR($B14*$X14/$B$3,""))</f>
        <v/>
      </c>
      <c r="Z14" s="73">
        <f>IF($B14="","",IFERROR($Y14/$Y$5,""))</f>
        <v/>
      </c>
    </row>
    <row r="15">
      <c r="B15" s="97" t="n"/>
      <c r="C15" s="8">
        <f>IF($A15="","",$A15&amp;" Equity")</f>
        <v/>
      </c>
      <c r="D15" s="8">
        <f>IF($C15="","",BDP($C15,"NAME"))</f>
        <v/>
      </c>
      <c r="E15" s="8">
        <f>IF($C15="","",BDP($C15,"GICS_SECTOR_NAME"))</f>
        <v/>
      </c>
      <c r="F15" s="37">
        <f>IF($C15="","",BDP($C15,FLD_CCY))</f>
        <v/>
      </c>
      <c r="G15" s="12">
        <f>IFERROR(IF(LEN($F15)&lt;&gt;3,1,IF($F15="HKD",1,BDP(IF($F15="CNY",RMB_CROSS,$F15)&amp;"HKD Curncy","PX_LAST"))),1)</f>
        <v/>
      </c>
      <c r="H15" s="69">
        <f>IF($C15="","",BDP($C15,FLD_DPS12M))</f>
        <v/>
      </c>
      <c r="I15" s="50">
        <f>IF($C15="","",BDP($C15,FLD_YLD12M))</f>
        <v/>
      </c>
      <c r="J15" s="52">
        <f>IF($B15="",0,SUMPRODUCT(('Dvd Calendar'!$E$1204:$AR$1204&gt;=DATE(YEAR_Y,1,1))*('Dvd Calendar'!$E$1204:$AR$1204&lt;=REALIZED_TO)*'Dvd Calendar'!$E$1207:$AR$1207*(('Dvd Calendar'!$E$1209:$AR$1209=TYPE1)*(TYPE1&lt;&gt;"")+('Dvd Calendar'!$E$1209:$AR$1209=TYPE2)*(TYPE2&lt;&gt;"")+('Dvd Calendar'!$E$1209:$AR$1209=TYPE3)*(TYPE3&lt;&gt;"")+('Dvd Calendar'!$E$1209:$AR$1209=TYPE4)*(TYPE4&lt;&gt;"")+('Dvd Calendar'!$E$1209:$AR$1209=SPECIAL_LBL)*(INC_SPECIALS="Y"))))</f>
        <v/>
      </c>
      <c r="K15" s="52">
        <f>IF($B15="",0,SUMIFS('Dvd Calendar'!$E$1212:$AR$1212,'Dvd Calendar'!$E$1211:$AR$1211,"&gt;"&amp;PROJ_FROM,'Dvd Calendar'!$E$1211:$AR$1211,"&lt;="&amp;DATE(YEAR_Y,12,31))+SUMPRODUCT(('Dvd Calendar'!$E$1204:$AR$1204&gt;PROJ_FROM)*('Dvd Calendar'!$E$1204:$AR$1204&lt;=DATE(YEAR_Y,12,31))*'Dvd Calendar'!$E$1207:$AR$1207*(('Dvd Calendar'!$E$1209:$AR$1209=TYPE1)*(TYPE1&lt;&gt;"")+('Dvd Calendar'!$E$1209:$AR$1209=TYPE2)*(TYPE2&lt;&gt;"")+('Dvd Calendar'!$E$1209:$AR$1209=TYPE3)*(TYPE3&lt;&gt;"")+('Dvd Calendar'!$E$1209:$AR$1209=TYPE4)*(TYPE4&lt;&gt;"")+('Dvd Calendar'!$E$1209:$AR$1209=SPECIAL_LBL)*(INC_SPECIALS="Y"))*(COUNTIF('Dvd Calendar'!$E$1211:$AR$1211,'Dvd Calendar'!$E$1204:$AR$1204)=0)))</f>
        <v/>
      </c>
      <c r="L15" s="52">
        <f>IF($B15="",0,IF((OV_SWITCH="ON")*(COUNTIFS(OVR_TICKERS,$C15,OVR_BASE,"&gt;=0")&gt;0)&gt;0,SUMIFS(OVR_BASE,OVR_TICKERS,$C15),$K15))</f>
        <v/>
      </c>
      <c r="M15" s="52">
        <f>IF($B15="",0,IF((OV_SWITCH="ON")*(COUNTIFS(OVR_TICKERS,$C15,OVR_LOW,"&gt;=0")&gt;0)&gt;0,SUMIFS(OVR_LOW,OVR_TICKERS,$C15),$L15))</f>
        <v/>
      </c>
      <c r="N15" s="52">
        <f>IF($B15="",0,IF((OV_SWITCH="ON")*(COUNTIFS(OVR_TICKERS,$C15,OVR_HIGH,"&gt;=0")&gt;0)&gt;0,SUMIFS(OVR_HIGH,OVR_TICKERS,$C15),$L15))</f>
        <v/>
      </c>
      <c r="O15" s="69">
        <f>IF($B15="","",IFERROR($B15*$G15*$J15/$B$3,""))</f>
        <v/>
      </c>
      <c r="P15" s="69">
        <f>IF($B15="","",IFERROR($B15*$G15*$L15/$B$3,""))</f>
        <v/>
      </c>
      <c r="Q15" s="44">
        <f>IF($B15="","",IFERROR($O15+$P15,""))</f>
        <v/>
      </c>
      <c r="R15" s="69">
        <f>IF($B15="","",IFERROR($O15+$B15*$G15*$M15/$B$3,""))</f>
        <v/>
      </c>
      <c r="S15" s="69">
        <f>IF($B15="","",IFERROR($O15+$B15*$G15*$N15/$B$3,""))</f>
        <v/>
      </c>
      <c r="T15" s="88">
        <f>IF($B15="","",IFERROR($Q15/$Q$5,""))</f>
        <v/>
      </c>
      <c r="U15" s="2">
        <f>IF($B15="","",IF(COUNTIFS('Dvd Calendar'!$E$1210:$AR$1210,"&gt;0",'Dvd Calendar'!$E$1210:$AR$1210,"&lt;="&amp;VAL_DATE,'Dvd Calendar'!$E$1211:$AR$1211,"&gt;"&amp;PROJ_FROM,'Dvd Calendar'!$E$1211:$AR$1211,"&lt;="&amp;DATE(YEAR_Y,12,31))-COUNTIFS('Dvd Calendar'!$E$1210:$AR$1210,"&gt;0",'Dvd Calendar'!$E$1210:$AR$1210,"&lt;="&amp;VAL_DATE,'Dvd Calendar'!$E$1211:$AR$1211,"&gt;"&amp;PROJ_FROM,'Dvd Calendar'!$E$1211:$AR$1211,"&lt;="&amp;DATE(YEAR_Y,12,31),'Dvd Calendar'!$E$1212:$AR$1212,"&gt;=0")&gt;0,"TBA amount - override me",IF((OV_SWITCH="ON")*(COUNTIFS(OVR_TICKERS,$C15,OVR_BASE,"&gt;=0")&gt;0)&gt;0,"overridden",IF($J15+$K15=0,"no dividend in year Y",""))))</f>
        <v/>
      </c>
      <c r="V15" s="69">
        <f>IF($B15="","",IFERROR(IF(ISNUMBER($H15),$B15*$G15*$H15/$B$3,0),""))</f>
        <v/>
      </c>
      <c r="W15" s="69">
        <f>IF($B15="","",IFERROR($B15*$G15*$K15/$B$3,""))</f>
        <v/>
      </c>
      <c r="X15" s="98">
        <f>IF($C15="","",BDP($C15,"PX_LAST"))</f>
        <v/>
      </c>
      <c r="Y15" s="69">
        <f>IF($B15="","",IFERROR($B15*$X15/$B$3,""))</f>
        <v/>
      </c>
      <c r="Z15" s="73">
        <f>IF($B15="","",IFERROR($Y15/$Y$5,""))</f>
        <v/>
      </c>
    </row>
    <row r="16">
      <c r="B16" s="97" t="n"/>
      <c r="C16" s="8">
        <f>IF($A16="","",$A16&amp;" Equity")</f>
        <v/>
      </c>
      <c r="D16" s="8">
        <f>IF($C16="","",BDP($C16,"NAME"))</f>
        <v/>
      </c>
      <c r="E16" s="8">
        <f>IF($C16="","",BDP($C16,"GICS_SECTOR_NAME"))</f>
        <v/>
      </c>
      <c r="F16" s="37">
        <f>IF($C16="","",BDP($C16,FLD_CCY))</f>
        <v/>
      </c>
      <c r="G16" s="12">
        <f>IFERROR(IF(LEN($F16)&lt;&gt;3,1,IF($F16="HKD",1,BDP(IF($F16="CNY",RMB_CROSS,$F16)&amp;"HKD Curncy","PX_LAST"))),1)</f>
        <v/>
      </c>
      <c r="H16" s="69">
        <f>IF($C16="","",BDP($C16,FLD_DPS12M))</f>
        <v/>
      </c>
      <c r="I16" s="50">
        <f>IF($C16="","",BDP($C16,FLD_YLD12M))</f>
        <v/>
      </c>
      <c r="J16" s="52">
        <f>IF($B16="",0,SUMPRODUCT(('Dvd Calendar'!$E$1215:$AR$1215&gt;=DATE(YEAR_Y,1,1))*('Dvd Calendar'!$E$1215:$AR$1215&lt;=REALIZED_TO)*'Dvd Calendar'!$E$1218:$AR$1218*(('Dvd Calendar'!$E$1220:$AR$1220=TYPE1)*(TYPE1&lt;&gt;"")+('Dvd Calendar'!$E$1220:$AR$1220=TYPE2)*(TYPE2&lt;&gt;"")+('Dvd Calendar'!$E$1220:$AR$1220=TYPE3)*(TYPE3&lt;&gt;"")+('Dvd Calendar'!$E$1220:$AR$1220=TYPE4)*(TYPE4&lt;&gt;"")+('Dvd Calendar'!$E$1220:$AR$1220=SPECIAL_LBL)*(INC_SPECIALS="Y"))))</f>
        <v/>
      </c>
      <c r="K16" s="52">
        <f>IF($B16="",0,SUMIFS('Dvd Calendar'!$E$1223:$AR$1223,'Dvd Calendar'!$E$1222:$AR$1222,"&gt;"&amp;PROJ_FROM,'Dvd Calendar'!$E$1222:$AR$1222,"&lt;="&amp;DATE(YEAR_Y,12,31))+SUMPRODUCT(('Dvd Calendar'!$E$1215:$AR$1215&gt;PROJ_FROM)*('Dvd Calendar'!$E$1215:$AR$1215&lt;=DATE(YEAR_Y,12,31))*'Dvd Calendar'!$E$1218:$AR$1218*(('Dvd Calendar'!$E$1220:$AR$1220=TYPE1)*(TYPE1&lt;&gt;"")+('Dvd Calendar'!$E$1220:$AR$1220=TYPE2)*(TYPE2&lt;&gt;"")+('Dvd Calendar'!$E$1220:$AR$1220=TYPE3)*(TYPE3&lt;&gt;"")+('Dvd Calendar'!$E$1220:$AR$1220=TYPE4)*(TYPE4&lt;&gt;"")+('Dvd Calendar'!$E$1220:$AR$1220=SPECIAL_LBL)*(INC_SPECIALS="Y"))*(COUNTIF('Dvd Calendar'!$E$1222:$AR$1222,'Dvd Calendar'!$E$1215:$AR$1215)=0)))</f>
        <v/>
      </c>
      <c r="L16" s="52">
        <f>IF($B16="",0,IF((OV_SWITCH="ON")*(COUNTIFS(OVR_TICKERS,$C16,OVR_BASE,"&gt;=0")&gt;0)&gt;0,SUMIFS(OVR_BASE,OVR_TICKERS,$C16),$K16))</f>
        <v/>
      </c>
      <c r="M16" s="52">
        <f>IF($B16="",0,IF((OV_SWITCH="ON")*(COUNTIFS(OVR_TICKERS,$C16,OVR_LOW,"&gt;=0")&gt;0)&gt;0,SUMIFS(OVR_LOW,OVR_TICKERS,$C16),$L16))</f>
        <v/>
      </c>
      <c r="N16" s="52">
        <f>IF($B16="",0,IF((OV_SWITCH="ON")*(COUNTIFS(OVR_TICKERS,$C16,OVR_HIGH,"&gt;=0")&gt;0)&gt;0,SUMIFS(OVR_HIGH,OVR_TICKERS,$C16),$L16))</f>
        <v/>
      </c>
      <c r="O16" s="69">
        <f>IF($B16="","",IFERROR($B16*$G16*$J16/$B$3,""))</f>
        <v/>
      </c>
      <c r="P16" s="69">
        <f>IF($B16="","",IFERROR($B16*$G16*$L16/$B$3,""))</f>
        <v/>
      </c>
      <c r="Q16" s="44">
        <f>IF($B16="","",IFERROR($O16+$P16,""))</f>
        <v/>
      </c>
      <c r="R16" s="69">
        <f>IF($B16="","",IFERROR($O16+$B16*$G16*$M16/$B$3,""))</f>
        <v/>
      </c>
      <c r="S16" s="69">
        <f>IF($B16="","",IFERROR($O16+$B16*$G16*$N16/$B$3,""))</f>
        <v/>
      </c>
      <c r="T16" s="88">
        <f>IF($B16="","",IFERROR($Q16/$Q$5,""))</f>
        <v/>
      </c>
      <c r="U16" s="2">
        <f>IF($B16="","",IF(COUNTIFS('Dvd Calendar'!$E$1221:$AR$1221,"&gt;0",'Dvd Calendar'!$E$1221:$AR$1221,"&lt;="&amp;VAL_DATE,'Dvd Calendar'!$E$1222:$AR$1222,"&gt;"&amp;PROJ_FROM,'Dvd Calendar'!$E$1222:$AR$1222,"&lt;="&amp;DATE(YEAR_Y,12,31))-COUNTIFS('Dvd Calendar'!$E$1221:$AR$1221,"&gt;0",'Dvd Calendar'!$E$1221:$AR$1221,"&lt;="&amp;VAL_DATE,'Dvd Calendar'!$E$1222:$AR$1222,"&gt;"&amp;PROJ_FROM,'Dvd Calendar'!$E$1222:$AR$1222,"&lt;="&amp;DATE(YEAR_Y,12,31),'Dvd Calendar'!$E$1223:$AR$1223,"&gt;=0")&gt;0,"TBA amount - override me",IF((OV_SWITCH="ON")*(COUNTIFS(OVR_TICKERS,$C16,OVR_BASE,"&gt;=0")&gt;0)&gt;0,"overridden",IF($J16+$K16=0,"no dividend in year Y",""))))</f>
        <v/>
      </c>
      <c r="V16" s="69">
        <f>IF($B16="","",IFERROR(IF(ISNUMBER($H16),$B16*$G16*$H16/$B$3,0),""))</f>
        <v/>
      </c>
      <c r="W16" s="69">
        <f>IF($B16="","",IFERROR($B16*$G16*$K16/$B$3,""))</f>
        <v/>
      </c>
      <c r="X16" s="98">
        <f>IF($C16="","",BDP($C16,"PX_LAST"))</f>
        <v/>
      </c>
      <c r="Y16" s="69">
        <f>IF($B16="","",IFERROR($B16*$X16/$B$3,""))</f>
        <v/>
      </c>
      <c r="Z16" s="73">
        <f>IF($B16="","",IFERROR($Y16/$Y$5,""))</f>
        <v/>
      </c>
    </row>
    <row r="17">
      <c r="B17" s="97" t="n"/>
      <c r="C17" s="8">
        <f>IF($A17="","",$A17&amp;" Equity")</f>
        <v/>
      </c>
      <c r="D17" s="8">
        <f>IF($C17="","",BDP($C17,"NAME"))</f>
        <v/>
      </c>
      <c r="E17" s="8">
        <f>IF($C17="","",BDP($C17,"GICS_SECTOR_NAME"))</f>
        <v/>
      </c>
      <c r="F17" s="37">
        <f>IF($C17="","",BDP($C17,FLD_CCY))</f>
        <v/>
      </c>
      <c r="G17" s="12">
        <f>IFERROR(IF(LEN($F17)&lt;&gt;3,1,IF($F17="HKD",1,BDP(IF($F17="CNY",RMB_CROSS,$F17)&amp;"HKD Curncy","PX_LAST"))),1)</f>
        <v/>
      </c>
      <c r="H17" s="69">
        <f>IF($C17="","",BDP($C17,FLD_DPS12M))</f>
        <v/>
      </c>
      <c r="I17" s="50">
        <f>IF($C17="","",BDP($C17,FLD_YLD12M))</f>
        <v/>
      </c>
      <c r="J17" s="52">
        <f>IF($B17="",0,SUMPRODUCT(('Dvd Calendar'!$E$1226:$AR$1226&gt;=DATE(YEAR_Y,1,1))*('Dvd Calendar'!$E$1226:$AR$1226&lt;=REALIZED_TO)*'Dvd Calendar'!$E$1229:$AR$1229*(('Dvd Calendar'!$E$1231:$AR$1231=TYPE1)*(TYPE1&lt;&gt;"")+('Dvd Calendar'!$E$1231:$AR$1231=TYPE2)*(TYPE2&lt;&gt;"")+('Dvd Calendar'!$E$1231:$AR$1231=TYPE3)*(TYPE3&lt;&gt;"")+('Dvd Calendar'!$E$1231:$AR$1231=TYPE4)*(TYPE4&lt;&gt;"")+('Dvd Calendar'!$E$1231:$AR$1231=SPECIAL_LBL)*(INC_SPECIALS="Y"))))</f>
        <v/>
      </c>
      <c r="K17" s="52">
        <f>IF($B17="",0,SUMIFS('Dvd Calendar'!$E$1234:$AR$1234,'Dvd Calendar'!$E$1233:$AR$1233,"&gt;"&amp;PROJ_FROM,'Dvd Calendar'!$E$1233:$AR$1233,"&lt;="&amp;DATE(YEAR_Y,12,31))+SUMPRODUCT(('Dvd Calendar'!$E$1226:$AR$1226&gt;PROJ_FROM)*('Dvd Calendar'!$E$1226:$AR$1226&lt;=DATE(YEAR_Y,12,31))*'Dvd Calendar'!$E$1229:$AR$1229*(('Dvd Calendar'!$E$1231:$AR$1231=TYPE1)*(TYPE1&lt;&gt;"")+('Dvd Calendar'!$E$1231:$AR$1231=TYPE2)*(TYPE2&lt;&gt;"")+('Dvd Calendar'!$E$1231:$AR$1231=TYPE3)*(TYPE3&lt;&gt;"")+('Dvd Calendar'!$E$1231:$AR$1231=TYPE4)*(TYPE4&lt;&gt;"")+('Dvd Calendar'!$E$1231:$AR$1231=SPECIAL_LBL)*(INC_SPECIALS="Y"))*(COUNTIF('Dvd Calendar'!$E$1233:$AR$1233,'Dvd Calendar'!$E$1226:$AR$1226)=0)))</f>
        <v/>
      </c>
      <c r="L17" s="52">
        <f>IF($B17="",0,IF((OV_SWITCH="ON")*(COUNTIFS(OVR_TICKERS,$C17,OVR_BASE,"&gt;=0")&gt;0)&gt;0,SUMIFS(OVR_BASE,OVR_TICKERS,$C17),$K17))</f>
        <v/>
      </c>
      <c r="M17" s="52">
        <f>IF($B17="",0,IF((OV_SWITCH="ON")*(COUNTIFS(OVR_TICKERS,$C17,OVR_LOW,"&gt;=0")&gt;0)&gt;0,SUMIFS(OVR_LOW,OVR_TICKERS,$C17),$L17))</f>
        <v/>
      </c>
      <c r="N17" s="52">
        <f>IF($B17="",0,IF((OV_SWITCH="ON")*(COUNTIFS(OVR_TICKERS,$C17,OVR_HIGH,"&gt;=0")&gt;0)&gt;0,SUMIFS(OVR_HIGH,OVR_TICKERS,$C17),$L17))</f>
        <v/>
      </c>
      <c r="O17" s="69">
        <f>IF($B17="","",IFERROR($B17*$G17*$J17/$B$3,""))</f>
        <v/>
      </c>
      <c r="P17" s="69">
        <f>IF($B17="","",IFERROR($B17*$G17*$L17/$B$3,""))</f>
        <v/>
      </c>
      <c r="Q17" s="44">
        <f>IF($B17="","",IFERROR($O17+$P17,""))</f>
        <v/>
      </c>
      <c r="R17" s="69">
        <f>IF($B17="","",IFERROR($O17+$B17*$G17*$M17/$B$3,""))</f>
        <v/>
      </c>
      <c r="S17" s="69">
        <f>IF($B17="","",IFERROR($O17+$B17*$G17*$N17/$B$3,""))</f>
        <v/>
      </c>
      <c r="T17" s="88">
        <f>IF($B17="","",IFERROR($Q17/$Q$5,""))</f>
        <v/>
      </c>
      <c r="U17" s="2">
        <f>IF($B17="","",IF(COUNTIFS('Dvd Calendar'!$E$1232:$AR$1232,"&gt;0",'Dvd Calendar'!$E$1232:$AR$1232,"&lt;="&amp;VAL_DATE,'Dvd Calendar'!$E$1233:$AR$1233,"&gt;"&amp;PROJ_FROM,'Dvd Calendar'!$E$1233:$AR$1233,"&lt;="&amp;DATE(YEAR_Y,12,31))-COUNTIFS('Dvd Calendar'!$E$1232:$AR$1232,"&gt;0",'Dvd Calendar'!$E$1232:$AR$1232,"&lt;="&amp;VAL_DATE,'Dvd Calendar'!$E$1233:$AR$1233,"&gt;"&amp;PROJ_FROM,'Dvd Calendar'!$E$1233:$AR$1233,"&lt;="&amp;DATE(YEAR_Y,12,31),'Dvd Calendar'!$E$1234:$AR$1234,"&gt;=0")&gt;0,"TBA amount - override me",IF((OV_SWITCH="ON")*(COUNTIFS(OVR_TICKERS,$C17,OVR_BASE,"&gt;=0")&gt;0)&gt;0,"overridden",IF($J17+$K17=0,"no dividend in year Y",""))))</f>
        <v/>
      </c>
      <c r="V17" s="69">
        <f>IF($B17="","",IFERROR(IF(ISNUMBER($H17),$B17*$G17*$H17/$B$3,0),""))</f>
        <v/>
      </c>
      <c r="W17" s="69">
        <f>IF($B17="","",IFERROR($B17*$G17*$K17/$B$3,""))</f>
        <v/>
      </c>
      <c r="X17" s="98">
        <f>IF($C17="","",BDP($C17,"PX_LAST"))</f>
        <v/>
      </c>
      <c r="Y17" s="69">
        <f>IF($B17="","",IFERROR($B17*$X17/$B$3,""))</f>
        <v/>
      </c>
      <c r="Z17" s="73">
        <f>IF($B17="","",IFERROR($Y17/$Y$5,""))</f>
        <v/>
      </c>
    </row>
    <row r="18">
      <c r="B18" s="97" t="n"/>
      <c r="C18" s="8">
        <f>IF($A18="","",$A18&amp;" Equity")</f>
        <v/>
      </c>
      <c r="D18" s="8">
        <f>IF($C18="","",BDP($C18,"NAME"))</f>
        <v/>
      </c>
      <c r="E18" s="8">
        <f>IF($C18="","",BDP($C18,"GICS_SECTOR_NAME"))</f>
        <v/>
      </c>
      <c r="F18" s="37">
        <f>IF($C18="","",BDP($C18,FLD_CCY))</f>
        <v/>
      </c>
      <c r="G18" s="12">
        <f>IFERROR(IF(LEN($F18)&lt;&gt;3,1,IF($F18="HKD",1,BDP(IF($F18="CNY",RMB_CROSS,$F18)&amp;"HKD Curncy","PX_LAST"))),1)</f>
        <v/>
      </c>
      <c r="H18" s="69">
        <f>IF($C18="","",BDP($C18,FLD_DPS12M))</f>
        <v/>
      </c>
      <c r="I18" s="50">
        <f>IF($C18="","",BDP($C18,FLD_YLD12M))</f>
        <v/>
      </c>
      <c r="J18" s="52">
        <f>IF($B18="",0,SUMPRODUCT(('Dvd Calendar'!$E$1237:$AR$1237&gt;=DATE(YEAR_Y,1,1))*('Dvd Calendar'!$E$1237:$AR$1237&lt;=REALIZED_TO)*'Dvd Calendar'!$E$1240:$AR$1240*(('Dvd Calendar'!$E$1242:$AR$1242=TYPE1)*(TYPE1&lt;&gt;"")+('Dvd Calendar'!$E$1242:$AR$1242=TYPE2)*(TYPE2&lt;&gt;"")+('Dvd Calendar'!$E$1242:$AR$1242=TYPE3)*(TYPE3&lt;&gt;"")+('Dvd Calendar'!$E$1242:$AR$1242=TYPE4)*(TYPE4&lt;&gt;"")+('Dvd Calendar'!$E$1242:$AR$1242=SPECIAL_LBL)*(INC_SPECIALS="Y"))))</f>
        <v/>
      </c>
      <c r="K18" s="52">
        <f>IF($B18="",0,SUMIFS('Dvd Calendar'!$E$1245:$AR$1245,'Dvd Calendar'!$E$1244:$AR$1244,"&gt;"&amp;PROJ_FROM,'Dvd Calendar'!$E$1244:$AR$1244,"&lt;="&amp;DATE(YEAR_Y,12,31))+SUMPRODUCT(('Dvd Calendar'!$E$1237:$AR$1237&gt;PROJ_FROM)*('Dvd Calendar'!$E$1237:$AR$1237&lt;=DATE(YEAR_Y,12,31))*'Dvd Calendar'!$E$1240:$AR$1240*(('Dvd Calendar'!$E$1242:$AR$1242=TYPE1)*(TYPE1&lt;&gt;"")+('Dvd Calendar'!$E$1242:$AR$1242=TYPE2)*(TYPE2&lt;&gt;"")+('Dvd Calendar'!$E$1242:$AR$1242=TYPE3)*(TYPE3&lt;&gt;"")+('Dvd Calendar'!$E$1242:$AR$1242=TYPE4)*(TYPE4&lt;&gt;"")+('Dvd Calendar'!$E$1242:$AR$1242=SPECIAL_LBL)*(INC_SPECIALS="Y"))*(COUNTIF('Dvd Calendar'!$E$1244:$AR$1244,'Dvd Calendar'!$E$1237:$AR$1237)=0)))</f>
        <v/>
      </c>
      <c r="L18" s="52">
        <f>IF($B18="",0,IF((OV_SWITCH="ON")*(COUNTIFS(OVR_TICKERS,$C18,OVR_BASE,"&gt;=0")&gt;0)&gt;0,SUMIFS(OVR_BASE,OVR_TICKERS,$C18),$K18))</f>
        <v/>
      </c>
      <c r="M18" s="52">
        <f>IF($B18="",0,IF((OV_SWITCH="ON")*(COUNTIFS(OVR_TICKERS,$C18,OVR_LOW,"&gt;=0")&gt;0)&gt;0,SUMIFS(OVR_LOW,OVR_TICKERS,$C18),$L18))</f>
        <v/>
      </c>
      <c r="N18" s="52">
        <f>IF($B18="",0,IF((OV_SWITCH="ON")*(COUNTIFS(OVR_TICKERS,$C18,OVR_HIGH,"&gt;=0")&gt;0)&gt;0,SUMIFS(OVR_HIGH,OVR_TICKERS,$C18),$L18))</f>
        <v/>
      </c>
      <c r="O18" s="69">
        <f>IF($B18="","",IFERROR($B18*$G18*$J18/$B$3,""))</f>
        <v/>
      </c>
      <c r="P18" s="69">
        <f>IF($B18="","",IFERROR($B18*$G18*$L18/$B$3,""))</f>
        <v/>
      </c>
      <c r="Q18" s="44">
        <f>IF($B18="","",IFERROR($O18+$P18,""))</f>
        <v/>
      </c>
      <c r="R18" s="69">
        <f>IF($B18="","",IFERROR($O18+$B18*$G18*$M18/$B$3,""))</f>
        <v/>
      </c>
      <c r="S18" s="69">
        <f>IF($B18="","",IFERROR($O18+$B18*$G18*$N18/$B$3,""))</f>
        <v/>
      </c>
      <c r="T18" s="88">
        <f>IF($B18="","",IFERROR($Q18/$Q$5,""))</f>
        <v/>
      </c>
      <c r="U18" s="2">
        <f>IF($B18="","",IF(COUNTIFS('Dvd Calendar'!$E$1243:$AR$1243,"&gt;0",'Dvd Calendar'!$E$1243:$AR$1243,"&lt;="&amp;VAL_DATE,'Dvd Calendar'!$E$1244:$AR$1244,"&gt;"&amp;PROJ_FROM,'Dvd Calendar'!$E$1244:$AR$1244,"&lt;="&amp;DATE(YEAR_Y,12,31))-COUNTIFS('Dvd Calendar'!$E$1243:$AR$1243,"&gt;0",'Dvd Calendar'!$E$1243:$AR$1243,"&lt;="&amp;VAL_DATE,'Dvd Calendar'!$E$1244:$AR$1244,"&gt;"&amp;PROJ_FROM,'Dvd Calendar'!$E$1244:$AR$1244,"&lt;="&amp;DATE(YEAR_Y,12,31),'Dvd Calendar'!$E$1245:$AR$1245,"&gt;=0")&gt;0,"TBA amount - override me",IF((OV_SWITCH="ON")*(COUNTIFS(OVR_TICKERS,$C18,OVR_BASE,"&gt;=0")&gt;0)&gt;0,"overridden",IF($J18+$K18=0,"no dividend in year Y",""))))</f>
        <v/>
      </c>
      <c r="V18" s="69">
        <f>IF($B18="","",IFERROR(IF(ISNUMBER($H18),$B18*$G18*$H18/$B$3,0),""))</f>
        <v/>
      </c>
      <c r="W18" s="69">
        <f>IF($B18="","",IFERROR($B18*$G18*$K18/$B$3,""))</f>
        <v/>
      </c>
      <c r="X18" s="98">
        <f>IF($C18="","",BDP($C18,"PX_LAST"))</f>
        <v/>
      </c>
      <c r="Y18" s="69">
        <f>IF($B18="","",IFERROR($B18*$X18/$B$3,""))</f>
        <v/>
      </c>
      <c r="Z18" s="73">
        <f>IF($B18="","",IFERROR($Y18/$Y$5,""))</f>
        <v/>
      </c>
    </row>
    <row r="19">
      <c r="B19" s="97" t="n"/>
      <c r="C19" s="8">
        <f>IF($A19="","",$A19&amp;" Equity")</f>
        <v/>
      </c>
      <c r="D19" s="8">
        <f>IF($C19="","",BDP($C19,"NAME"))</f>
        <v/>
      </c>
      <c r="E19" s="8">
        <f>IF($C19="","",BDP($C19,"GICS_SECTOR_NAME"))</f>
        <v/>
      </c>
      <c r="F19" s="37">
        <f>IF($C19="","",BDP($C19,FLD_CCY))</f>
        <v/>
      </c>
      <c r="G19" s="12">
        <f>IFERROR(IF(LEN($F19)&lt;&gt;3,1,IF($F19="HKD",1,BDP(IF($F19="CNY",RMB_CROSS,$F19)&amp;"HKD Curncy","PX_LAST"))),1)</f>
        <v/>
      </c>
      <c r="H19" s="69">
        <f>IF($C19="","",BDP($C19,FLD_DPS12M))</f>
        <v/>
      </c>
      <c r="I19" s="50">
        <f>IF($C19="","",BDP($C19,FLD_YLD12M))</f>
        <v/>
      </c>
      <c r="J19" s="52">
        <f>IF($B19="",0,SUMPRODUCT(('Dvd Calendar'!$E$1248:$AR$1248&gt;=DATE(YEAR_Y,1,1))*('Dvd Calendar'!$E$1248:$AR$1248&lt;=REALIZED_TO)*'Dvd Calendar'!$E$1251:$AR$1251*(('Dvd Calendar'!$E$1253:$AR$1253=TYPE1)*(TYPE1&lt;&gt;"")+('Dvd Calendar'!$E$1253:$AR$1253=TYPE2)*(TYPE2&lt;&gt;"")+('Dvd Calendar'!$E$1253:$AR$1253=TYPE3)*(TYPE3&lt;&gt;"")+('Dvd Calendar'!$E$1253:$AR$1253=TYPE4)*(TYPE4&lt;&gt;"")+('Dvd Calendar'!$E$1253:$AR$1253=SPECIAL_LBL)*(INC_SPECIALS="Y"))))</f>
        <v/>
      </c>
      <c r="K19" s="52">
        <f>IF($B19="",0,SUMIFS('Dvd Calendar'!$E$1256:$AR$1256,'Dvd Calendar'!$E$1255:$AR$1255,"&gt;"&amp;PROJ_FROM,'Dvd Calendar'!$E$1255:$AR$1255,"&lt;="&amp;DATE(YEAR_Y,12,31))+SUMPRODUCT(('Dvd Calendar'!$E$1248:$AR$1248&gt;PROJ_FROM)*('Dvd Calendar'!$E$1248:$AR$1248&lt;=DATE(YEAR_Y,12,31))*'Dvd Calendar'!$E$1251:$AR$1251*(('Dvd Calendar'!$E$1253:$AR$1253=TYPE1)*(TYPE1&lt;&gt;"")+('Dvd Calendar'!$E$1253:$AR$1253=TYPE2)*(TYPE2&lt;&gt;"")+('Dvd Calendar'!$E$1253:$AR$1253=TYPE3)*(TYPE3&lt;&gt;"")+('Dvd Calendar'!$E$1253:$AR$1253=TYPE4)*(TYPE4&lt;&gt;"")+('Dvd Calendar'!$E$1253:$AR$1253=SPECIAL_LBL)*(INC_SPECIALS="Y"))*(COUNTIF('Dvd Calendar'!$E$1255:$AR$1255,'Dvd Calendar'!$E$1248:$AR$1248)=0)))</f>
        <v/>
      </c>
      <c r="L19" s="52">
        <f>IF($B19="",0,IF((OV_SWITCH="ON")*(COUNTIFS(OVR_TICKERS,$C19,OVR_BASE,"&gt;=0")&gt;0)&gt;0,SUMIFS(OVR_BASE,OVR_TICKERS,$C19),$K19))</f>
        <v/>
      </c>
      <c r="M19" s="52">
        <f>IF($B19="",0,IF((OV_SWITCH="ON")*(COUNTIFS(OVR_TICKERS,$C19,OVR_LOW,"&gt;=0")&gt;0)&gt;0,SUMIFS(OVR_LOW,OVR_TICKERS,$C19),$L19))</f>
        <v/>
      </c>
      <c r="N19" s="52">
        <f>IF($B19="",0,IF((OV_SWITCH="ON")*(COUNTIFS(OVR_TICKERS,$C19,OVR_HIGH,"&gt;=0")&gt;0)&gt;0,SUMIFS(OVR_HIGH,OVR_TICKERS,$C19),$L19))</f>
        <v/>
      </c>
      <c r="O19" s="69">
        <f>IF($B19="","",IFERROR($B19*$G19*$J19/$B$3,""))</f>
        <v/>
      </c>
      <c r="P19" s="69">
        <f>IF($B19="","",IFERROR($B19*$G19*$L19/$B$3,""))</f>
        <v/>
      </c>
      <c r="Q19" s="44">
        <f>IF($B19="","",IFERROR($O19+$P19,""))</f>
        <v/>
      </c>
      <c r="R19" s="69">
        <f>IF($B19="","",IFERROR($O19+$B19*$G19*$M19/$B$3,""))</f>
        <v/>
      </c>
      <c r="S19" s="69">
        <f>IF($B19="","",IFERROR($O19+$B19*$G19*$N19/$B$3,""))</f>
        <v/>
      </c>
      <c r="T19" s="88">
        <f>IF($B19="","",IFERROR($Q19/$Q$5,""))</f>
        <v/>
      </c>
      <c r="U19" s="2">
        <f>IF($B19="","",IF(COUNTIFS('Dvd Calendar'!$E$1254:$AR$1254,"&gt;0",'Dvd Calendar'!$E$1254:$AR$1254,"&lt;="&amp;VAL_DATE,'Dvd Calendar'!$E$1255:$AR$1255,"&gt;"&amp;PROJ_FROM,'Dvd Calendar'!$E$1255:$AR$1255,"&lt;="&amp;DATE(YEAR_Y,12,31))-COUNTIFS('Dvd Calendar'!$E$1254:$AR$1254,"&gt;0",'Dvd Calendar'!$E$1254:$AR$1254,"&lt;="&amp;VAL_DATE,'Dvd Calendar'!$E$1255:$AR$1255,"&gt;"&amp;PROJ_FROM,'Dvd Calendar'!$E$1255:$AR$1255,"&lt;="&amp;DATE(YEAR_Y,12,31),'Dvd Calendar'!$E$1256:$AR$1256,"&gt;=0")&gt;0,"TBA amount - override me",IF((OV_SWITCH="ON")*(COUNTIFS(OVR_TICKERS,$C19,OVR_BASE,"&gt;=0")&gt;0)&gt;0,"overridden",IF($J19+$K19=0,"no dividend in year Y",""))))</f>
        <v/>
      </c>
      <c r="V19" s="69">
        <f>IF($B19="","",IFERROR(IF(ISNUMBER($H19),$B19*$G19*$H19/$B$3,0),""))</f>
        <v/>
      </c>
      <c r="W19" s="69">
        <f>IF($B19="","",IFERROR($B19*$G19*$K19/$B$3,""))</f>
        <v/>
      </c>
      <c r="X19" s="98">
        <f>IF($C19="","",BDP($C19,"PX_LAST"))</f>
        <v/>
      </c>
      <c r="Y19" s="69">
        <f>IF($B19="","",IFERROR($B19*$X19/$B$3,""))</f>
        <v/>
      </c>
      <c r="Z19" s="73">
        <f>IF($B19="","",IFERROR($Y19/$Y$5,""))</f>
        <v/>
      </c>
    </row>
    <row r="20">
      <c r="B20" s="97" t="n"/>
      <c r="C20" s="8">
        <f>IF($A20="","",$A20&amp;" Equity")</f>
        <v/>
      </c>
      <c r="D20" s="8">
        <f>IF($C20="","",BDP($C20,"NAME"))</f>
        <v/>
      </c>
      <c r="E20" s="8">
        <f>IF($C20="","",BDP($C20,"GICS_SECTOR_NAME"))</f>
        <v/>
      </c>
      <c r="F20" s="37">
        <f>IF($C20="","",BDP($C20,FLD_CCY))</f>
        <v/>
      </c>
      <c r="G20" s="12">
        <f>IFERROR(IF(LEN($F20)&lt;&gt;3,1,IF($F20="HKD",1,BDP(IF($F20="CNY",RMB_CROSS,$F20)&amp;"HKD Curncy","PX_LAST"))),1)</f>
        <v/>
      </c>
      <c r="H20" s="69">
        <f>IF($C20="","",BDP($C20,FLD_DPS12M))</f>
        <v/>
      </c>
      <c r="I20" s="50">
        <f>IF($C20="","",BDP($C20,FLD_YLD12M))</f>
        <v/>
      </c>
      <c r="J20" s="52">
        <f>IF($B20="",0,SUMPRODUCT(('Dvd Calendar'!$E$1259:$AR$1259&gt;=DATE(YEAR_Y,1,1))*('Dvd Calendar'!$E$1259:$AR$1259&lt;=REALIZED_TO)*'Dvd Calendar'!$E$1262:$AR$1262*(('Dvd Calendar'!$E$1264:$AR$1264=TYPE1)*(TYPE1&lt;&gt;"")+('Dvd Calendar'!$E$1264:$AR$1264=TYPE2)*(TYPE2&lt;&gt;"")+('Dvd Calendar'!$E$1264:$AR$1264=TYPE3)*(TYPE3&lt;&gt;"")+('Dvd Calendar'!$E$1264:$AR$1264=TYPE4)*(TYPE4&lt;&gt;"")+('Dvd Calendar'!$E$1264:$AR$1264=SPECIAL_LBL)*(INC_SPECIALS="Y"))))</f>
        <v/>
      </c>
      <c r="K20" s="52">
        <f>IF($B20="",0,SUMIFS('Dvd Calendar'!$E$1267:$AR$1267,'Dvd Calendar'!$E$1266:$AR$1266,"&gt;"&amp;PROJ_FROM,'Dvd Calendar'!$E$1266:$AR$1266,"&lt;="&amp;DATE(YEAR_Y,12,31))+SUMPRODUCT(('Dvd Calendar'!$E$1259:$AR$1259&gt;PROJ_FROM)*('Dvd Calendar'!$E$1259:$AR$1259&lt;=DATE(YEAR_Y,12,31))*'Dvd Calendar'!$E$1262:$AR$1262*(('Dvd Calendar'!$E$1264:$AR$1264=TYPE1)*(TYPE1&lt;&gt;"")+('Dvd Calendar'!$E$1264:$AR$1264=TYPE2)*(TYPE2&lt;&gt;"")+('Dvd Calendar'!$E$1264:$AR$1264=TYPE3)*(TYPE3&lt;&gt;"")+('Dvd Calendar'!$E$1264:$AR$1264=TYPE4)*(TYPE4&lt;&gt;"")+('Dvd Calendar'!$E$1264:$AR$1264=SPECIAL_LBL)*(INC_SPECIALS="Y"))*(COUNTIF('Dvd Calendar'!$E$1266:$AR$1266,'Dvd Calendar'!$E$1259:$AR$1259)=0)))</f>
        <v/>
      </c>
      <c r="L20" s="52">
        <f>IF($B20="",0,IF((OV_SWITCH="ON")*(COUNTIFS(OVR_TICKERS,$C20,OVR_BASE,"&gt;=0")&gt;0)&gt;0,SUMIFS(OVR_BASE,OVR_TICKERS,$C20),$K20))</f>
        <v/>
      </c>
      <c r="M20" s="52">
        <f>IF($B20="",0,IF((OV_SWITCH="ON")*(COUNTIFS(OVR_TICKERS,$C20,OVR_LOW,"&gt;=0")&gt;0)&gt;0,SUMIFS(OVR_LOW,OVR_TICKERS,$C20),$L20))</f>
        <v/>
      </c>
      <c r="N20" s="52">
        <f>IF($B20="",0,IF((OV_SWITCH="ON")*(COUNTIFS(OVR_TICKERS,$C20,OVR_HIGH,"&gt;=0")&gt;0)&gt;0,SUMIFS(OVR_HIGH,OVR_TICKERS,$C20),$L20))</f>
        <v/>
      </c>
      <c r="O20" s="69">
        <f>IF($B20="","",IFERROR($B20*$G20*$J20/$B$3,""))</f>
        <v/>
      </c>
      <c r="P20" s="69">
        <f>IF($B20="","",IFERROR($B20*$G20*$L20/$B$3,""))</f>
        <v/>
      </c>
      <c r="Q20" s="44">
        <f>IF($B20="","",IFERROR($O20+$P20,""))</f>
        <v/>
      </c>
      <c r="R20" s="69">
        <f>IF($B20="","",IFERROR($O20+$B20*$G20*$M20/$B$3,""))</f>
        <v/>
      </c>
      <c r="S20" s="69">
        <f>IF($B20="","",IFERROR($O20+$B20*$G20*$N20/$B$3,""))</f>
        <v/>
      </c>
      <c r="T20" s="88">
        <f>IF($B20="","",IFERROR($Q20/$Q$5,""))</f>
        <v/>
      </c>
      <c r="U20" s="2">
        <f>IF($B20="","",IF(COUNTIFS('Dvd Calendar'!$E$1265:$AR$1265,"&gt;0",'Dvd Calendar'!$E$1265:$AR$1265,"&lt;="&amp;VAL_DATE,'Dvd Calendar'!$E$1266:$AR$1266,"&gt;"&amp;PROJ_FROM,'Dvd Calendar'!$E$1266:$AR$1266,"&lt;="&amp;DATE(YEAR_Y,12,31))-COUNTIFS('Dvd Calendar'!$E$1265:$AR$1265,"&gt;0",'Dvd Calendar'!$E$1265:$AR$1265,"&lt;="&amp;VAL_DATE,'Dvd Calendar'!$E$1266:$AR$1266,"&gt;"&amp;PROJ_FROM,'Dvd Calendar'!$E$1266:$AR$1266,"&lt;="&amp;DATE(YEAR_Y,12,31),'Dvd Calendar'!$E$1267:$AR$1267,"&gt;=0")&gt;0,"TBA amount - override me",IF((OV_SWITCH="ON")*(COUNTIFS(OVR_TICKERS,$C20,OVR_BASE,"&gt;=0")&gt;0)&gt;0,"overridden",IF($J20+$K20=0,"no dividend in year Y",""))))</f>
        <v/>
      </c>
      <c r="V20" s="69">
        <f>IF($B20="","",IFERROR(IF(ISNUMBER($H20),$B20*$G20*$H20/$B$3,0),""))</f>
        <v/>
      </c>
      <c r="W20" s="69">
        <f>IF($B20="","",IFERROR($B20*$G20*$K20/$B$3,""))</f>
        <v/>
      </c>
      <c r="X20" s="98">
        <f>IF($C20="","",BDP($C20,"PX_LAST"))</f>
        <v/>
      </c>
      <c r="Y20" s="69">
        <f>IF($B20="","",IFERROR($B20*$X20/$B$3,""))</f>
        <v/>
      </c>
      <c r="Z20" s="73">
        <f>IF($B20="","",IFERROR($Y20/$Y$5,""))</f>
        <v/>
      </c>
    </row>
    <row r="21">
      <c r="B21" s="97" t="n"/>
      <c r="C21" s="8">
        <f>IF($A21="","",$A21&amp;" Equity")</f>
        <v/>
      </c>
      <c r="D21" s="8">
        <f>IF($C21="","",BDP($C21,"NAME"))</f>
        <v/>
      </c>
      <c r="E21" s="8">
        <f>IF($C21="","",BDP($C21,"GICS_SECTOR_NAME"))</f>
        <v/>
      </c>
      <c r="F21" s="37">
        <f>IF($C21="","",BDP($C21,FLD_CCY))</f>
        <v/>
      </c>
      <c r="G21" s="12">
        <f>IFERROR(IF(LEN($F21)&lt;&gt;3,1,IF($F21="HKD",1,BDP(IF($F21="CNY",RMB_CROSS,$F21)&amp;"HKD Curncy","PX_LAST"))),1)</f>
        <v/>
      </c>
      <c r="H21" s="69">
        <f>IF($C21="","",BDP($C21,FLD_DPS12M))</f>
        <v/>
      </c>
      <c r="I21" s="50">
        <f>IF($C21="","",BDP($C21,FLD_YLD12M))</f>
        <v/>
      </c>
      <c r="J21" s="52">
        <f>IF($B21="",0,SUMPRODUCT(('Dvd Calendar'!$E$1270:$AR$1270&gt;=DATE(YEAR_Y,1,1))*('Dvd Calendar'!$E$1270:$AR$1270&lt;=REALIZED_TO)*'Dvd Calendar'!$E$1273:$AR$1273*(('Dvd Calendar'!$E$1275:$AR$1275=TYPE1)*(TYPE1&lt;&gt;"")+('Dvd Calendar'!$E$1275:$AR$1275=TYPE2)*(TYPE2&lt;&gt;"")+('Dvd Calendar'!$E$1275:$AR$1275=TYPE3)*(TYPE3&lt;&gt;"")+('Dvd Calendar'!$E$1275:$AR$1275=TYPE4)*(TYPE4&lt;&gt;"")+('Dvd Calendar'!$E$1275:$AR$1275=SPECIAL_LBL)*(INC_SPECIALS="Y"))))</f>
        <v/>
      </c>
      <c r="K21" s="52">
        <f>IF($B21="",0,SUMIFS('Dvd Calendar'!$E$1278:$AR$1278,'Dvd Calendar'!$E$1277:$AR$1277,"&gt;"&amp;PROJ_FROM,'Dvd Calendar'!$E$1277:$AR$1277,"&lt;="&amp;DATE(YEAR_Y,12,31))+SUMPRODUCT(('Dvd Calendar'!$E$1270:$AR$1270&gt;PROJ_FROM)*('Dvd Calendar'!$E$1270:$AR$1270&lt;=DATE(YEAR_Y,12,31))*'Dvd Calendar'!$E$1273:$AR$1273*(('Dvd Calendar'!$E$1275:$AR$1275=TYPE1)*(TYPE1&lt;&gt;"")+('Dvd Calendar'!$E$1275:$AR$1275=TYPE2)*(TYPE2&lt;&gt;"")+('Dvd Calendar'!$E$1275:$AR$1275=TYPE3)*(TYPE3&lt;&gt;"")+('Dvd Calendar'!$E$1275:$AR$1275=TYPE4)*(TYPE4&lt;&gt;"")+('Dvd Calendar'!$E$1275:$AR$1275=SPECIAL_LBL)*(INC_SPECIALS="Y"))*(COUNTIF('Dvd Calendar'!$E$1277:$AR$1277,'Dvd Calendar'!$E$1270:$AR$1270)=0)))</f>
        <v/>
      </c>
      <c r="L21" s="52">
        <f>IF($B21="",0,IF((OV_SWITCH="ON")*(COUNTIFS(OVR_TICKERS,$C21,OVR_BASE,"&gt;=0")&gt;0)&gt;0,SUMIFS(OVR_BASE,OVR_TICKERS,$C21),$K21))</f>
        <v/>
      </c>
      <c r="M21" s="52">
        <f>IF($B21="",0,IF((OV_SWITCH="ON")*(COUNTIFS(OVR_TICKERS,$C21,OVR_LOW,"&gt;=0")&gt;0)&gt;0,SUMIFS(OVR_LOW,OVR_TICKERS,$C21),$L21))</f>
        <v/>
      </c>
      <c r="N21" s="52">
        <f>IF($B21="",0,IF((OV_SWITCH="ON")*(COUNTIFS(OVR_TICKERS,$C21,OVR_HIGH,"&gt;=0")&gt;0)&gt;0,SUMIFS(OVR_HIGH,OVR_TICKERS,$C21),$L21))</f>
        <v/>
      </c>
      <c r="O21" s="69">
        <f>IF($B21="","",IFERROR($B21*$G21*$J21/$B$3,""))</f>
        <v/>
      </c>
      <c r="P21" s="69">
        <f>IF($B21="","",IFERROR($B21*$G21*$L21/$B$3,""))</f>
        <v/>
      </c>
      <c r="Q21" s="44">
        <f>IF($B21="","",IFERROR($O21+$P21,""))</f>
        <v/>
      </c>
      <c r="R21" s="69">
        <f>IF($B21="","",IFERROR($O21+$B21*$G21*$M21/$B$3,""))</f>
        <v/>
      </c>
      <c r="S21" s="69">
        <f>IF($B21="","",IFERROR($O21+$B21*$G21*$N21/$B$3,""))</f>
        <v/>
      </c>
      <c r="T21" s="88">
        <f>IF($B21="","",IFERROR($Q21/$Q$5,""))</f>
        <v/>
      </c>
      <c r="U21" s="2">
        <f>IF($B21="","",IF(COUNTIFS('Dvd Calendar'!$E$1276:$AR$1276,"&gt;0",'Dvd Calendar'!$E$1276:$AR$1276,"&lt;="&amp;VAL_DATE,'Dvd Calendar'!$E$1277:$AR$1277,"&gt;"&amp;PROJ_FROM,'Dvd Calendar'!$E$1277:$AR$1277,"&lt;="&amp;DATE(YEAR_Y,12,31))-COUNTIFS('Dvd Calendar'!$E$1276:$AR$1276,"&gt;0",'Dvd Calendar'!$E$1276:$AR$1276,"&lt;="&amp;VAL_DATE,'Dvd Calendar'!$E$1277:$AR$1277,"&gt;"&amp;PROJ_FROM,'Dvd Calendar'!$E$1277:$AR$1277,"&lt;="&amp;DATE(YEAR_Y,12,31),'Dvd Calendar'!$E$1278:$AR$1278,"&gt;=0")&gt;0,"TBA amount - override me",IF((OV_SWITCH="ON")*(COUNTIFS(OVR_TICKERS,$C21,OVR_BASE,"&gt;=0")&gt;0)&gt;0,"overridden",IF($J21+$K21=0,"no dividend in year Y",""))))</f>
        <v/>
      </c>
      <c r="V21" s="69">
        <f>IF($B21="","",IFERROR(IF(ISNUMBER($H21),$B21*$G21*$H21/$B$3,0),""))</f>
        <v/>
      </c>
      <c r="W21" s="69">
        <f>IF($B21="","",IFERROR($B21*$G21*$K21/$B$3,""))</f>
        <v/>
      </c>
      <c r="X21" s="98">
        <f>IF($C21="","",BDP($C21,"PX_LAST"))</f>
        <v/>
      </c>
      <c r="Y21" s="69">
        <f>IF($B21="","",IFERROR($B21*$X21/$B$3,""))</f>
        <v/>
      </c>
      <c r="Z21" s="73">
        <f>IF($B21="","",IFERROR($Y21/$Y$5,""))</f>
        <v/>
      </c>
    </row>
    <row r="22">
      <c r="B22" s="97" t="n"/>
      <c r="C22" s="8">
        <f>IF($A22="","",$A22&amp;" Equity")</f>
        <v/>
      </c>
      <c r="D22" s="8">
        <f>IF($C22="","",BDP($C22,"NAME"))</f>
        <v/>
      </c>
      <c r="E22" s="8">
        <f>IF($C22="","",BDP($C22,"GICS_SECTOR_NAME"))</f>
        <v/>
      </c>
      <c r="F22" s="37">
        <f>IF($C22="","",BDP($C22,FLD_CCY))</f>
        <v/>
      </c>
      <c r="G22" s="12">
        <f>IFERROR(IF(LEN($F22)&lt;&gt;3,1,IF($F22="HKD",1,BDP(IF($F22="CNY",RMB_CROSS,$F22)&amp;"HKD Curncy","PX_LAST"))),1)</f>
        <v/>
      </c>
      <c r="H22" s="69">
        <f>IF($C22="","",BDP($C22,FLD_DPS12M))</f>
        <v/>
      </c>
      <c r="I22" s="50">
        <f>IF($C22="","",BDP($C22,FLD_YLD12M))</f>
        <v/>
      </c>
      <c r="J22" s="52">
        <f>IF($B22="",0,SUMPRODUCT(('Dvd Calendar'!$E$1281:$AR$1281&gt;=DATE(YEAR_Y,1,1))*('Dvd Calendar'!$E$1281:$AR$1281&lt;=REALIZED_TO)*'Dvd Calendar'!$E$1284:$AR$1284*(('Dvd Calendar'!$E$1286:$AR$1286=TYPE1)*(TYPE1&lt;&gt;"")+('Dvd Calendar'!$E$1286:$AR$1286=TYPE2)*(TYPE2&lt;&gt;"")+('Dvd Calendar'!$E$1286:$AR$1286=TYPE3)*(TYPE3&lt;&gt;"")+('Dvd Calendar'!$E$1286:$AR$1286=TYPE4)*(TYPE4&lt;&gt;"")+('Dvd Calendar'!$E$1286:$AR$1286=SPECIAL_LBL)*(INC_SPECIALS="Y"))))</f>
        <v/>
      </c>
      <c r="K22" s="52">
        <f>IF($B22="",0,SUMIFS('Dvd Calendar'!$E$1289:$AR$1289,'Dvd Calendar'!$E$1288:$AR$1288,"&gt;"&amp;PROJ_FROM,'Dvd Calendar'!$E$1288:$AR$1288,"&lt;="&amp;DATE(YEAR_Y,12,31))+SUMPRODUCT(('Dvd Calendar'!$E$1281:$AR$1281&gt;PROJ_FROM)*('Dvd Calendar'!$E$1281:$AR$1281&lt;=DATE(YEAR_Y,12,31))*'Dvd Calendar'!$E$1284:$AR$1284*(('Dvd Calendar'!$E$1286:$AR$1286=TYPE1)*(TYPE1&lt;&gt;"")+('Dvd Calendar'!$E$1286:$AR$1286=TYPE2)*(TYPE2&lt;&gt;"")+('Dvd Calendar'!$E$1286:$AR$1286=TYPE3)*(TYPE3&lt;&gt;"")+('Dvd Calendar'!$E$1286:$AR$1286=TYPE4)*(TYPE4&lt;&gt;"")+('Dvd Calendar'!$E$1286:$AR$1286=SPECIAL_LBL)*(INC_SPECIALS="Y"))*(COUNTIF('Dvd Calendar'!$E$1288:$AR$1288,'Dvd Calendar'!$E$1281:$AR$1281)=0)))</f>
        <v/>
      </c>
      <c r="L22" s="52">
        <f>IF($B22="",0,IF((OV_SWITCH="ON")*(COUNTIFS(OVR_TICKERS,$C22,OVR_BASE,"&gt;=0")&gt;0)&gt;0,SUMIFS(OVR_BASE,OVR_TICKERS,$C22),$K22))</f>
        <v/>
      </c>
      <c r="M22" s="52">
        <f>IF($B22="",0,IF((OV_SWITCH="ON")*(COUNTIFS(OVR_TICKERS,$C22,OVR_LOW,"&gt;=0")&gt;0)&gt;0,SUMIFS(OVR_LOW,OVR_TICKERS,$C22),$L22))</f>
        <v/>
      </c>
      <c r="N22" s="52">
        <f>IF($B22="",0,IF((OV_SWITCH="ON")*(COUNTIFS(OVR_TICKERS,$C22,OVR_HIGH,"&gt;=0")&gt;0)&gt;0,SUMIFS(OVR_HIGH,OVR_TICKERS,$C22),$L22))</f>
        <v/>
      </c>
      <c r="O22" s="69">
        <f>IF($B22="","",IFERROR($B22*$G22*$J22/$B$3,""))</f>
        <v/>
      </c>
      <c r="P22" s="69">
        <f>IF($B22="","",IFERROR($B22*$G22*$L22/$B$3,""))</f>
        <v/>
      </c>
      <c r="Q22" s="44">
        <f>IF($B22="","",IFERROR($O22+$P22,""))</f>
        <v/>
      </c>
      <c r="R22" s="69">
        <f>IF($B22="","",IFERROR($O22+$B22*$G22*$M22/$B$3,""))</f>
        <v/>
      </c>
      <c r="S22" s="69">
        <f>IF($B22="","",IFERROR($O22+$B22*$G22*$N22/$B$3,""))</f>
        <v/>
      </c>
      <c r="T22" s="88">
        <f>IF($B22="","",IFERROR($Q22/$Q$5,""))</f>
        <v/>
      </c>
      <c r="U22" s="2">
        <f>IF($B22="","",IF(COUNTIFS('Dvd Calendar'!$E$1287:$AR$1287,"&gt;0",'Dvd Calendar'!$E$1287:$AR$1287,"&lt;="&amp;VAL_DATE,'Dvd Calendar'!$E$1288:$AR$1288,"&gt;"&amp;PROJ_FROM,'Dvd Calendar'!$E$1288:$AR$1288,"&lt;="&amp;DATE(YEAR_Y,12,31))-COUNTIFS('Dvd Calendar'!$E$1287:$AR$1287,"&gt;0",'Dvd Calendar'!$E$1287:$AR$1287,"&lt;="&amp;VAL_DATE,'Dvd Calendar'!$E$1288:$AR$1288,"&gt;"&amp;PROJ_FROM,'Dvd Calendar'!$E$1288:$AR$1288,"&lt;="&amp;DATE(YEAR_Y,12,31),'Dvd Calendar'!$E$1289:$AR$1289,"&gt;=0")&gt;0,"TBA amount - override me",IF((OV_SWITCH="ON")*(COUNTIFS(OVR_TICKERS,$C22,OVR_BASE,"&gt;=0")&gt;0)&gt;0,"overridden",IF($J22+$K22=0,"no dividend in year Y",""))))</f>
        <v/>
      </c>
      <c r="V22" s="69">
        <f>IF($B22="","",IFERROR(IF(ISNUMBER($H22),$B22*$G22*$H22/$B$3,0),""))</f>
        <v/>
      </c>
      <c r="W22" s="69">
        <f>IF($B22="","",IFERROR($B22*$G22*$K22/$B$3,""))</f>
        <v/>
      </c>
      <c r="X22" s="98">
        <f>IF($C22="","",BDP($C22,"PX_LAST"))</f>
        <v/>
      </c>
      <c r="Y22" s="69">
        <f>IF($B22="","",IFERROR($B22*$X22/$B$3,""))</f>
        <v/>
      </c>
      <c r="Z22" s="73">
        <f>IF($B22="","",IFERROR($Y22/$Y$5,""))</f>
        <v/>
      </c>
    </row>
    <row r="23">
      <c r="B23" s="97" t="n"/>
      <c r="C23" s="8">
        <f>IF($A23="","",$A23&amp;" Equity")</f>
        <v/>
      </c>
      <c r="D23" s="8">
        <f>IF($C23="","",BDP($C23,"NAME"))</f>
        <v/>
      </c>
      <c r="E23" s="8">
        <f>IF($C23="","",BDP($C23,"GICS_SECTOR_NAME"))</f>
        <v/>
      </c>
      <c r="F23" s="37">
        <f>IF($C23="","",BDP($C23,FLD_CCY))</f>
        <v/>
      </c>
      <c r="G23" s="12">
        <f>IFERROR(IF(LEN($F23)&lt;&gt;3,1,IF($F23="HKD",1,BDP(IF($F23="CNY",RMB_CROSS,$F23)&amp;"HKD Curncy","PX_LAST"))),1)</f>
        <v/>
      </c>
      <c r="H23" s="69">
        <f>IF($C23="","",BDP($C23,FLD_DPS12M))</f>
        <v/>
      </c>
      <c r="I23" s="50">
        <f>IF($C23="","",BDP($C23,FLD_YLD12M))</f>
        <v/>
      </c>
      <c r="J23" s="52">
        <f>IF($B23="",0,SUMPRODUCT(('Dvd Calendar'!$E$1292:$AR$1292&gt;=DATE(YEAR_Y,1,1))*('Dvd Calendar'!$E$1292:$AR$1292&lt;=REALIZED_TO)*'Dvd Calendar'!$E$1295:$AR$1295*(('Dvd Calendar'!$E$1297:$AR$1297=TYPE1)*(TYPE1&lt;&gt;"")+('Dvd Calendar'!$E$1297:$AR$1297=TYPE2)*(TYPE2&lt;&gt;"")+('Dvd Calendar'!$E$1297:$AR$1297=TYPE3)*(TYPE3&lt;&gt;"")+('Dvd Calendar'!$E$1297:$AR$1297=TYPE4)*(TYPE4&lt;&gt;"")+('Dvd Calendar'!$E$1297:$AR$1297=SPECIAL_LBL)*(INC_SPECIALS="Y"))))</f>
        <v/>
      </c>
      <c r="K23" s="52">
        <f>IF($B23="",0,SUMIFS('Dvd Calendar'!$E$1300:$AR$1300,'Dvd Calendar'!$E$1299:$AR$1299,"&gt;"&amp;PROJ_FROM,'Dvd Calendar'!$E$1299:$AR$1299,"&lt;="&amp;DATE(YEAR_Y,12,31))+SUMPRODUCT(('Dvd Calendar'!$E$1292:$AR$1292&gt;PROJ_FROM)*('Dvd Calendar'!$E$1292:$AR$1292&lt;=DATE(YEAR_Y,12,31))*'Dvd Calendar'!$E$1295:$AR$1295*(('Dvd Calendar'!$E$1297:$AR$1297=TYPE1)*(TYPE1&lt;&gt;"")+('Dvd Calendar'!$E$1297:$AR$1297=TYPE2)*(TYPE2&lt;&gt;"")+('Dvd Calendar'!$E$1297:$AR$1297=TYPE3)*(TYPE3&lt;&gt;"")+('Dvd Calendar'!$E$1297:$AR$1297=TYPE4)*(TYPE4&lt;&gt;"")+('Dvd Calendar'!$E$1297:$AR$1297=SPECIAL_LBL)*(INC_SPECIALS="Y"))*(COUNTIF('Dvd Calendar'!$E$1299:$AR$1299,'Dvd Calendar'!$E$1292:$AR$1292)=0)))</f>
        <v/>
      </c>
      <c r="L23" s="52">
        <f>IF($B23="",0,IF((OV_SWITCH="ON")*(COUNTIFS(OVR_TICKERS,$C23,OVR_BASE,"&gt;=0")&gt;0)&gt;0,SUMIFS(OVR_BASE,OVR_TICKERS,$C23),$K23))</f>
        <v/>
      </c>
      <c r="M23" s="52">
        <f>IF($B23="",0,IF((OV_SWITCH="ON")*(COUNTIFS(OVR_TICKERS,$C23,OVR_LOW,"&gt;=0")&gt;0)&gt;0,SUMIFS(OVR_LOW,OVR_TICKERS,$C23),$L23))</f>
        <v/>
      </c>
      <c r="N23" s="52">
        <f>IF($B23="",0,IF((OV_SWITCH="ON")*(COUNTIFS(OVR_TICKERS,$C23,OVR_HIGH,"&gt;=0")&gt;0)&gt;0,SUMIFS(OVR_HIGH,OVR_TICKERS,$C23),$L23))</f>
        <v/>
      </c>
      <c r="O23" s="69">
        <f>IF($B23="","",IFERROR($B23*$G23*$J23/$B$3,""))</f>
        <v/>
      </c>
      <c r="P23" s="69">
        <f>IF($B23="","",IFERROR($B23*$G23*$L23/$B$3,""))</f>
        <v/>
      </c>
      <c r="Q23" s="44">
        <f>IF($B23="","",IFERROR($O23+$P23,""))</f>
        <v/>
      </c>
      <c r="R23" s="69">
        <f>IF($B23="","",IFERROR($O23+$B23*$G23*$M23/$B$3,""))</f>
        <v/>
      </c>
      <c r="S23" s="69">
        <f>IF($B23="","",IFERROR($O23+$B23*$G23*$N23/$B$3,""))</f>
        <v/>
      </c>
      <c r="T23" s="88">
        <f>IF($B23="","",IFERROR($Q23/$Q$5,""))</f>
        <v/>
      </c>
      <c r="U23" s="2">
        <f>IF($B23="","",IF(COUNTIFS('Dvd Calendar'!$E$1298:$AR$1298,"&gt;0",'Dvd Calendar'!$E$1298:$AR$1298,"&lt;="&amp;VAL_DATE,'Dvd Calendar'!$E$1299:$AR$1299,"&gt;"&amp;PROJ_FROM,'Dvd Calendar'!$E$1299:$AR$1299,"&lt;="&amp;DATE(YEAR_Y,12,31))-COUNTIFS('Dvd Calendar'!$E$1298:$AR$1298,"&gt;0",'Dvd Calendar'!$E$1298:$AR$1298,"&lt;="&amp;VAL_DATE,'Dvd Calendar'!$E$1299:$AR$1299,"&gt;"&amp;PROJ_FROM,'Dvd Calendar'!$E$1299:$AR$1299,"&lt;="&amp;DATE(YEAR_Y,12,31),'Dvd Calendar'!$E$1300:$AR$1300,"&gt;=0")&gt;0,"TBA amount - override me",IF((OV_SWITCH="ON")*(COUNTIFS(OVR_TICKERS,$C23,OVR_BASE,"&gt;=0")&gt;0)&gt;0,"overridden",IF($J23+$K23=0,"no dividend in year Y",""))))</f>
        <v/>
      </c>
      <c r="V23" s="69">
        <f>IF($B23="","",IFERROR(IF(ISNUMBER($H23),$B23*$G23*$H23/$B$3,0),""))</f>
        <v/>
      </c>
      <c r="W23" s="69">
        <f>IF($B23="","",IFERROR($B23*$G23*$K23/$B$3,""))</f>
        <v/>
      </c>
      <c r="X23" s="98">
        <f>IF($C23="","",BDP($C23,"PX_LAST"))</f>
        <v/>
      </c>
      <c r="Y23" s="69">
        <f>IF($B23="","",IFERROR($B23*$X23/$B$3,""))</f>
        <v/>
      </c>
      <c r="Z23" s="73">
        <f>IF($B23="","",IFERROR($Y23/$Y$5,""))</f>
        <v/>
      </c>
    </row>
    <row r="24">
      <c r="B24" s="97" t="n"/>
      <c r="C24" s="8">
        <f>IF($A24="","",$A24&amp;" Equity")</f>
        <v/>
      </c>
      <c r="D24" s="8">
        <f>IF($C24="","",BDP($C24,"NAME"))</f>
        <v/>
      </c>
      <c r="E24" s="8">
        <f>IF($C24="","",BDP($C24,"GICS_SECTOR_NAME"))</f>
        <v/>
      </c>
      <c r="F24" s="37">
        <f>IF($C24="","",BDP($C24,FLD_CCY))</f>
        <v/>
      </c>
      <c r="G24" s="12">
        <f>IFERROR(IF(LEN($F24)&lt;&gt;3,1,IF($F24="HKD",1,BDP(IF($F24="CNY",RMB_CROSS,$F24)&amp;"HKD Curncy","PX_LAST"))),1)</f>
        <v/>
      </c>
      <c r="H24" s="69">
        <f>IF($C24="","",BDP($C24,FLD_DPS12M))</f>
        <v/>
      </c>
      <c r="I24" s="50">
        <f>IF($C24="","",BDP($C24,FLD_YLD12M))</f>
        <v/>
      </c>
      <c r="J24" s="52">
        <f>IF($B24="",0,SUMPRODUCT(('Dvd Calendar'!$E$1303:$AR$1303&gt;=DATE(YEAR_Y,1,1))*('Dvd Calendar'!$E$1303:$AR$1303&lt;=REALIZED_TO)*'Dvd Calendar'!$E$1306:$AR$1306*(('Dvd Calendar'!$E$1308:$AR$1308=TYPE1)*(TYPE1&lt;&gt;"")+('Dvd Calendar'!$E$1308:$AR$1308=TYPE2)*(TYPE2&lt;&gt;"")+('Dvd Calendar'!$E$1308:$AR$1308=TYPE3)*(TYPE3&lt;&gt;"")+('Dvd Calendar'!$E$1308:$AR$1308=TYPE4)*(TYPE4&lt;&gt;"")+('Dvd Calendar'!$E$1308:$AR$1308=SPECIAL_LBL)*(INC_SPECIALS="Y"))))</f>
        <v/>
      </c>
      <c r="K24" s="52">
        <f>IF($B24="",0,SUMIFS('Dvd Calendar'!$E$1311:$AR$1311,'Dvd Calendar'!$E$1310:$AR$1310,"&gt;"&amp;PROJ_FROM,'Dvd Calendar'!$E$1310:$AR$1310,"&lt;="&amp;DATE(YEAR_Y,12,31))+SUMPRODUCT(('Dvd Calendar'!$E$1303:$AR$1303&gt;PROJ_FROM)*('Dvd Calendar'!$E$1303:$AR$1303&lt;=DATE(YEAR_Y,12,31))*'Dvd Calendar'!$E$1306:$AR$1306*(('Dvd Calendar'!$E$1308:$AR$1308=TYPE1)*(TYPE1&lt;&gt;"")+('Dvd Calendar'!$E$1308:$AR$1308=TYPE2)*(TYPE2&lt;&gt;"")+('Dvd Calendar'!$E$1308:$AR$1308=TYPE3)*(TYPE3&lt;&gt;"")+('Dvd Calendar'!$E$1308:$AR$1308=TYPE4)*(TYPE4&lt;&gt;"")+('Dvd Calendar'!$E$1308:$AR$1308=SPECIAL_LBL)*(INC_SPECIALS="Y"))*(COUNTIF('Dvd Calendar'!$E$1310:$AR$1310,'Dvd Calendar'!$E$1303:$AR$1303)=0)))</f>
        <v/>
      </c>
      <c r="L24" s="52">
        <f>IF($B24="",0,IF((OV_SWITCH="ON")*(COUNTIFS(OVR_TICKERS,$C24,OVR_BASE,"&gt;=0")&gt;0)&gt;0,SUMIFS(OVR_BASE,OVR_TICKERS,$C24),$K24))</f>
        <v/>
      </c>
      <c r="M24" s="52">
        <f>IF($B24="",0,IF((OV_SWITCH="ON")*(COUNTIFS(OVR_TICKERS,$C24,OVR_LOW,"&gt;=0")&gt;0)&gt;0,SUMIFS(OVR_LOW,OVR_TICKERS,$C24),$L24))</f>
        <v/>
      </c>
      <c r="N24" s="52">
        <f>IF($B24="",0,IF((OV_SWITCH="ON")*(COUNTIFS(OVR_TICKERS,$C24,OVR_HIGH,"&gt;=0")&gt;0)&gt;0,SUMIFS(OVR_HIGH,OVR_TICKERS,$C24),$L24))</f>
        <v/>
      </c>
      <c r="O24" s="69">
        <f>IF($B24="","",IFERROR($B24*$G24*$J24/$B$3,""))</f>
        <v/>
      </c>
      <c r="P24" s="69">
        <f>IF($B24="","",IFERROR($B24*$G24*$L24/$B$3,""))</f>
        <v/>
      </c>
      <c r="Q24" s="44">
        <f>IF($B24="","",IFERROR($O24+$P24,""))</f>
        <v/>
      </c>
      <c r="R24" s="69">
        <f>IF($B24="","",IFERROR($O24+$B24*$G24*$M24/$B$3,""))</f>
        <v/>
      </c>
      <c r="S24" s="69">
        <f>IF($B24="","",IFERROR($O24+$B24*$G24*$N24/$B$3,""))</f>
        <v/>
      </c>
      <c r="T24" s="88">
        <f>IF($B24="","",IFERROR($Q24/$Q$5,""))</f>
        <v/>
      </c>
      <c r="U24" s="2">
        <f>IF($B24="","",IF(COUNTIFS('Dvd Calendar'!$E$1309:$AR$1309,"&gt;0",'Dvd Calendar'!$E$1309:$AR$1309,"&lt;="&amp;VAL_DATE,'Dvd Calendar'!$E$1310:$AR$1310,"&gt;"&amp;PROJ_FROM,'Dvd Calendar'!$E$1310:$AR$1310,"&lt;="&amp;DATE(YEAR_Y,12,31))-COUNTIFS('Dvd Calendar'!$E$1309:$AR$1309,"&gt;0",'Dvd Calendar'!$E$1309:$AR$1309,"&lt;="&amp;VAL_DATE,'Dvd Calendar'!$E$1310:$AR$1310,"&gt;"&amp;PROJ_FROM,'Dvd Calendar'!$E$1310:$AR$1310,"&lt;="&amp;DATE(YEAR_Y,12,31),'Dvd Calendar'!$E$1311:$AR$1311,"&gt;=0")&gt;0,"TBA amount - override me",IF((OV_SWITCH="ON")*(COUNTIFS(OVR_TICKERS,$C24,OVR_BASE,"&gt;=0")&gt;0)&gt;0,"overridden",IF($J24+$K24=0,"no dividend in year Y",""))))</f>
        <v/>
      </c>
      <c r="V24" s="69">
        <f>IF($B24="","",IFERROR(IF(ISNUMBER($H24),$B24*$G24*$H24/$B$3,0),""))</f>
        <v/>
      </c>
      <c r="W24" s="69">
        <f>IF($B24="","",IFERROR($B24*$G24*$K24/$B$3,""))</f>
        <v/>
      </c>
      <c r="X24" s="98">
        <f>IF($C24="","",BDP($C24,"PX_LAST"))</f>
        <v/>
      </c>
      <c r="Y24" s="69">
        <f>IF($B24="","",IFERROR($B24*$X24/$B$3,""))</f>
        <v/>
      </c>
      <c r="Z24" s="73">
        <f>IF($B24="","",IFERROR($Y24/$Y$5,""))</f>
        <v/>
      </c>
    </row>
    <row r="25">
      <c r="B25" s="97" t="n"/>
      <c r="C25" s="8">
        <f>IF($A25="","",$A25&amp;" Equity")</f>
        <v/>
      </c>
      <c r="D25" s="8">
        <f>IF($C25="","",BDP($C25,"NAME"))</f>
        <v/>
      </c>
      <c r="E25" s="8">
        <f>IF($C25="","",BDP($C25,"GICS_SECTOR_NAME"))</f>
        <v/>
      </c>
      <c r="F25" s="37">
        <f>IF($C25="","",BDP($C25,FLD_CCY))</f>
        <v/>
      </c>
      <c r="G25" s="12">
        <f>IFERROR(IF(LEN($F25)&lt;&gt;3,1,IF($F25="HKD",1,BDP(IF($F25="CNY",RMB_CROSS,$F25)&amp;"HKD Curncy","PX_LAST"))),1)</f>
        <v/>
      </c>
      <c r="H25" s="69">
        <f>IF($C25="","",BDP($C25,FLD_DPS12M))</f>
        <v/>
      </c>
      <c r="I25" s="50">
        <f>IF($C25="","",BDP($C25,FLD_YLD12M))</f>
        <v/>
      </c>
      <c r="J25" s="52">
        <f>IF($B25="",0,SUMPRODUCT(('Dvd Calendar'!$E$1314:$AR$1314&gt;=DATE(YEAR_Y,1,1))*('Dvd Calendar'!$E$1314:$AR$1314&lt;=REALIZED_TO)*'Dvd Calendar'!$E$1317:$AR$1317*(('Dvd Calendar'!$E$1319:$AR$1319=TYPE1)*(TYPE1&lt;&gt;"")+('Dvd Calendar'!$E$1319:$AR$1319=TYPE2)*(TYPE2&lt;&gt;"")+('Dvd Calendar'!$E$1319:$AR$1319=TYPE3)*(TYPE3&lt;&gt;"")+('Dvd Calendar'!$E$1319:$AR$1319=TYPE4)*(TYPE4&lt;&gt;"")+('Dvd Calendar'!$E$1319:$AR$1319=SPECIAL_LBL)*(INC_SPECIALS="Y"))))</f>
        <v/>
      </c>
      <c r="K25" s="52">
        <f>IF($B25="",0,SUMIFS('Dvd Calendar'!$E$1322:$AR$1322,'Dvd Calendar'!$E$1321:$AR$1321,"&gt;"&amp;PROJ_FROM,'Dvd Calendar'!$E$1321:$AR$1321,"&lt;="&amp;DATE(YEAR_Y,12,31))+SUMPRODUCT(('Dvd Calendar'!$E$1314:$AR$1314&gt;PROJ_FROM)*('Dvd Calendar'!$E$1314:$AR$1314&lt;=DATE(YEAR_Y,12,31))*'Dvd Calendar'!$E$1317:$AR$1317*(('Dvd Calendar'!$E$1319:$AR$1319=TYPE1)*(TYPE1&lt;&gt;"")+('Dvd Calendar'!$E$1319:$AR$1319=TYPE2)*(TYPE2&lt;&gt;"")+('Dvd Calendar'!$E$1319:$AR$1319=TYPE3)*(TYPE3&lt;&gt;"")+('Dvd Calendar'!$E$1319:$AR$1319=TYPE4)*(TYPE4&lt;&gt;"")+('Dvd Calendar'!$E$1319:$AR$1319=SPECIAL_LBL)*(INC_SPECIALS="Y"))*(COUNTIF('Dvd Calendar'!$E$1321:$AR$1321,'Dvd Calendar'!$E$1314:$AR$1314)=0)))</f>
        <v/>
      </c>
      <c r="L25" s="52">
        <f>IF($B25="",0,IF((OV_SWITCH="ON")*(COUNTIFS(OVR_TICKERS,$C25,OVR_BASE,"&gt;=0")&gt;0)&gt;0,SUMIFS(OVR_BASE,OVR_TICKERS,$C25),$K25))</f>
        <v/>
      </c>
      <c r="M25" s="52">
        <f>IF($B25="",0,IF((OV_SWITCH="ON")*(COUNTIFS(OVR_TICKERS,$C25,OVR_LOW,"&gt;=0")&gt;0)&gt;0,SUMIFS(OVR_LOW,OVR_TICKERS,$C25),$L25))</f>
        <v/>
      </c>
      <c r="N25" s="52">
        <f>IF($B25="",0,IF((OV_SWITCH="ON")*(COUNTIFS(OVR_TICKERS,$C25,OVR_HIGH,"&gt;=0")&gt;0)&gt;0,SUMIFS(OVR_HIGH,OVR_TICKERS,$C25),$L25))</f>
        <v/>
      </c>
      <c r="O25" s="69">
        <f>IF($B25="","",IFERROR($B25*$G25*$J25/$B$3,""))</f>
        <v/>
      </c>
      <c r="P25" s="69">
        <f>IF($B25="","",IFERROR($B25*$G25*$L25/$B$3,""))</f>
        <v/>
      </c>
      <c r="Q25" s="44">
        <f>IF($B25="","",IFERROR($O25+$P25,""))</f>
        <v/>
      </c>
      <c r="R25" s="69">
        <f>IF($B25="","",IFERROR($O25+$B25*$G25*$M25/$B$3,""))</f>
        <v/>
      </c>
      <c r="S25" s="69">
        <f>IF($B25="","",IFERROR($O25+$B25*$G25*$N25/$B$3,""))</f>
        <v/>
      </c>
      <c r="T25" s="88">
        <f>IF($B25="","",IFERROR($Q25/$Q$5,""))</f>
        <v/>
      </c>
      <c r="U25" s="2">
        <f>IF($B25="","",IF(COUNTIFS('Dvd Calendar'!$E$1320:$AR$1320,"&gt;0",'Dvd Calendar'!$E$1320:$AR$1320,"&lt;="&amp;VAL_DATE,'Dvd Calendar'!$E$1321:$AR$1321,"&gt;"&amp;PROJ_FROM,'Dvd Calendar'!$E$1321:$AR$1321,"&lt;="&amp;DATE(YEAR_Y,12,31))-COUNTIFS('Dvd Calendar'!$E$1320:$AR$1320,"&gt;0",'Dvd Calendar'!$E$1320:$AR$1320,"&lt;="&amp;VAL_DATE,'Dvd Calendar'!$E$1321:$AR$1321,"&gt;"&amp;PROJ_FROM,'Dvd Calendar'!$E$1321:$AR$1321,"&lt;="&amp;DATE(YEAR_Y,12,31),'Dvd Calendar'!$E$1322:$AR$1322,"&gt;=0")&gt;0,"TBA amount - override me",IF((OV_SWITCH="ON")*(COUNTIFS(OVR_TICKERS,$C25,OVR_BASE,"&gt;=0")&gt;0)&gt;0,"overridden",IF($J25+$K25=0,"no dividend in year Y",""))))</f>
        <v/>
      </c>
      <c r="V25" s="69">
        <f>IF($B25="","",IFERROR(IF(ISNUMBER($H25),$B25*$G25*$H25/$B$3,0),""))</f>
        <v/>
      </c>
      <c r="W25" s="69">
        <f>IF($B25="","",IFERROR($B25*$G25*$K25/$B$3,""))</f>
        <v/>
      </c>
      <c r="X25" s="98">
        <f>IF($C25="","",BDP($C25,"PX_LAST"))</f>
        <v/>
      </c>
      <c r="Y25" s="69">
        <f>IF($B25="","",IFERROR($B25*$X25/$B$3,""))</f>
        <v/>
      </c>
      <c r="Z25" s="73">
        <f>IF($B25="","",IFERROR($Y25/$Y$5,""))</f>
        <v/>
      </c>
    </row>
    <row r="26">
      <c r="B26" s="97" t="n"/>
      <c r="C26" s="8">
        <f>IF($A26="","",$A26&amp;" Equity")</f>
        <v/>
      </c>
      <c r="D26" s="8">
        <f>IF($C26="","",BDP($C26,"NAME"))</f>
        <v/>
      </c>
      <c r="E26" s="8">
        <f>IF($C26="","",BDP($C26,"GICS_SECTOR_NAME"))</f>
        <v/>
      </c>
      <c r="F26" s="37">
        <f>IF($C26="","",BDP($C26,FLD_CCY))</f>
        <v/>
      </c>
      <c r="G26" s="12">
        <f>IFERROR(IF(LEN($F26)&lt;&gt;3,1,IF($F26="HKD",1,BDP(IF($F26="CNY",RMB_CROSS,$F26)&amp;"HKD Curncy","PX_LAST"))),1)</f>
        <v/>
      </c>
      <c r="H26" s="69">
        <f>IF($C26="","",BDP($C26,FLD_DPS12M))</f>
        <v/>
      </c>
      <c r="I26" s="50">
        <f>IF($C26="","",BDP($C26,FLD_YLD12M))</f>
        <v/>
      </c>
      <c r="J26" s="52">
        <f>IF($B26="",0,SUMPRODUCT(('Dvd Calendar'!$E$1325:$AR$1325&gt;=DATE(YEAR_Y,1,1))*('Dvd Calendar'!$E$1325:$AR$1325&lt;=REALIZED_TO)*'Dvd Calendar'!$E$1328:$AR$1328*(('Dvd Calendar'!$E$1330:$AR$1330=TYPE1)*(TYPE1&lt;&gt;"")+('Dvd Calendar'!$E$1330:$AR$1330=TYPE2)*(TYPE2&lt;&gt;"")+('Dvd Calendar'!$E$1330:$AR$1330=TYPE3)*(TYPE3&lt;&gt;"")+('Dvd Calendar'!$E$1330:$AR$1330=TYPE4)*(TYPE4&lt;&gt;"")+('Dvd Calendar'!$E$1330:$AR$1330=SPECIAL_LBL)*(INC_SPECIALS="Y"))))</f>
        <v/>
      </c>
      <c r="K26" s="52">
        <f>IF($B26="",0,SUMIFS('Dvd Calendar'!$E$1333:$AR$1333,'Dvd Calendar'!$E$1332:$AR$1332,"&gt;"&amp;PROJ_FROM,'Dvd Calendar'!$E$1332:$AR$1332,"&lt;="&amp;DATE(YEAR_Y,12,31))+SUMPRODUCT(('Dvd Calendar'!$E$1325:$AR$1325&gt;PROJ_FROM)*('Dvd Calendar'!$E$1325:$AR$1325&lt;=DATE(YEAR_Y,12,31))*'Dvd Calendar'!$E$1328:$AR$1328*(('Dvd Calendar'!$E$1330:$AR$1330=TYPE1)*(TYPE1&lt;&gt;"")+('Dvd Calendar'!$E$1330:$AR$1330=TYPE2)*(TYPE2&lt;&gt;"")+('Dvd Calendar'!$E$1330:$AR$1330=TYPE3)*(TYPE3&lt;&gt;"")+('Dvd Calendar'!$E$1330:$AR$1330=TYPE4)*(TYPE4&lt;&gt;"")+('Dvd Calendar'!$E$1330:$AR$1330=SPECIAL_LBL)*(INC_SPECIALS="Y"))*(COUNTIF('Dvd Calendar'!$E$1332:$AR$1332,'Dvd Calendar'!$E$1325:$AR$1325)=0)))</f>
        <v/>
      </c>
      <c r="L26" s="52">
        <f>IF($B26="",0,IF((OV_SWITCH="ON")*(COUNTIFS(OVR_TICKERS,$C26,OVR_BASE,"&gt;=0")&gt;0)&gt;0,SUMIFS(OVR_BASE,OVR_TICKERS,$C26),$K26))</f>
        <v/>
      </c>
      <c r="M26" s="52">
        <f>IF($B26="",0,IF((OV_SWITCH="ON")*(COUNTIFS(OVR_TICKERS,$C26,OVR_LOW,"&gt;=0")&gt;0)&gt;0,SUMIFS(OVR_LOW,OVR_TICKERS,$C26),$L26))</f>
        <v/>
      </c>
      <c r="N26" s="52">
        <f>IF($B26="",0,IF((OV_SWITCH="ON")*(COUNTIFS(OVR_TICKERS,$C26,OVR_HIGH,"&gt;=0")&gt;0)&gt;0,SUMIFS(OVR_HIGH,OVR_TICKERS,$C26),$L26))</f>
        <v/>
      </c>
      <c r="O26" s="69">
        <f>IF($B26="","",IFERROR($B26*$G26*$J26/$B$3,""))</f>
        <v/>
      </c>
      <c r="P26" s="69">
        <f>IF($B26="","",IFERROR($B26*$G26*$L26/$B$3,""))</f>
        <v/>
      </c>
      <c r="Q26" s="44">
        <f>IF($B26="","",IFERROR($O26+$P26,""))</f>
        <v/>
      </c>
      <c r="R26" s="69">
        <f>IF($B26="","",IFERROR($O26+$B26*$G26*$M26/$B$3,""))</f>
        <v/>
      </c>
      <c r="S26" s="69">
        <f>IF($B26="","",IFERROR($O26+$B26*$G26*$N26/$B$3,""))</f>
        <v/>
      </c>
      <c r="T26" s="88">
        <f>IF($B26="","",IFERROR($Q26/$Q$5,""))</f>
        <v/>
      </c>
      <c r="U26" s="2">
        <f>IF($B26="","",IF(COUNTIFS('Dvd Calendar'!$E$1331:$AR$1331,"&gt;0",'Dvd Calendar'!$E$1331:$AR$1331,"&lt;="&amp;VAL_DATE,'Dvd Calendar'!$E$1332:$AR$1332,"&gt;"&amp;PROJ_FROM,'Dvd Calendar'!$E$1332:$AR$1332,"&lt;="&amp;DATE(YEAR_Y,12,31))-COUNTIFS('Dvd Calendar'!$E$1331:$AR$1331,"&gt;0",'Dvd Calendar'!$E$1331:$AR$1331,"&lt;="&amp;VAL_DATE,'Dvd Calendar'!$E$1332:$AR$1332,"&gt;"&amp;PROJ_FROM,'Dvd Calendar'!$E$1332:$AR$1332,"&lt;="&amp;DATE(YEAR_Y,12,31),'Dvd Calendar'!$E$1333:$AR$1333,"&gt;=0")&gt;0,"TBA amount - override me",IF((OV_SWITCH="ON")*(COUNTIFS(OVR_TICKERS,$C26,OVR_BASE,"&gt;=0")&gt;0)&gt;0,"overridden",IF($J26+$K26=0,"no dividend in year Y",""))))</f>
        <v/>
      </c>
      <c r="V26" s="69">
        <f>IF($B26="","",IFERROR(IF(ISNUMBER($H26),$B26*$G26*$H26/$B$3,0),""))</f>
        <v/>
      </c>
      <c r="W26" s="69">
        <f>IF($B26="","",IFERROR($B26*$G26*$K26/$B$3,""))</f>
        <v/>
      </c>
      <c r="X26" s="98">
        <f>IF($C26="","",BDP($C26,"PX_LAST"))</f>
        <v/>
      </c>
      <c r="Y26" s="69">
        <f>IF($B26="","",IFERROR($B26*$X26/$B$3,""))</f>
        <v/>
      </c>
      <c r="Z26" s="73">
        <f>IF($B26="","",IFERROR($Y26/$Y$5,""))</f>
        <v/>
      </c>
    </row>
    <row r="27">
      <c r="B27" s="97" t="n"/>
      <c r="C27" s="8">
        <f>IF($A27="","",$A27&amp;" Equity")</f>
        <v/>
      </c>
      <c r="D27" s="8">
        <f>IF($C27="","",BDP($C27,"NAME"))</f>
        <v/>
      </c>
      <c r="E27" s="8">
        <f>IF($C27="","",BDP($C27,"GICS_SECTOR_NAME"))</f>
        <v/>
      </c>
      <c r="F27" s="37">
        <f>IF($C27="","",BDP($C27,FLD_CCY))</f>
        <v/>
      </c>
      <c r="G27" s="12">
        <f>IFERROR(IF(LEN($F27)&lt;&gt;3,1,IF($F27="HKD",1,BDP(IF($F27="CNY",RMB_CROSS,$F27)&amp;"HKD Curncy","PX_LAST"))),1)</f>
        <v/>
      </c>
      <c r="H27" s="69">
        <f>IF($C27="","",BDP($C27,FLD_DPS12M))</f>
        <v/>
      </c>
      <c r="I27" s="50">
        <f>IF($C27="","",BDP($C27,FLD_YLD12M))</f>
        <v/>
      </c>
      <c r="J27" s="52">
        <f>IF($B27="",0,SUMPRODUCT(('Dvd Calendar'!$E$1336:$AR$1336&gt;=DATE(YEAR_Y,1,1))*('Dvd Calendar'!$E$1336:$AR$1336&lt;=REALIZED_TO)*'Dvd Calendar'!$E$1339:$AR$1339*(('Dvd Calendar'!$E$1341:$AR$1341=TYPE1)*(TYPE1&lt;&gt;"")+('Dvd Calendar'!$E$1341:$AR$1341=TYPE2)*(TYPE2&lt;&gt;"")+('Dvd Calendar'!$E$1341:$AR$1341=TYPE3)*(TYPE3&lt;&gt;"")+('Dvd Calendar'!$E$1341:$AR$1341=TYPE4)*(TYPE4&lt;&gt;"")+('Dvd Calendar'!$E$1341:$AR$1341=SPECIAL_LBL)*(INC_SPECIALS="Y"))))</f>
        <v/>
      </c>
      <c r="K27" s="52">
        <f>IF($B27="",0,SUMIFS('Dvd Calendar'!$E$1344:$AR$1344,'Dvd Calendar'!$E$1343:$AR$1343,"&gt;"&amp;PROJ_FROM,'Dvd Calendar'!$E$1343:$AR$1343,"&lt;="&amp;DATE(YEAR_Y,12,31))+SUMPRODUCT(('Dvd Calendar'!$E$1336:$AR$1336&gt;PROJ_FROM)*('Dvd Calendar'!$E$1336:$AR$1336&lt;=DATE(YEAR_Y,12,31))*'Dvd Calendar'!$E$1339:$AR$1339*(('Dvd Calendar'!$E$1341:$AR$1341=TYPE1)*(TYPE1&lt;&gt;"")+('Dvd Calendar'!$E$1341:$AR$1341=TYPE2)*(TYPE2&lt;&gt;"")+('Dvd Calendar'!$E$1341:$AR$1341=TYPE3)*(TYPE3&lt;&gt;"")+('Dvd Calendar'!$E$1341:$AR$1341=TYPE4)*(TYPE4&lt;&gt;"")+('Dvd Calendar'!$E$1341:$AR$1341=SPECIAL_LBL)*(INC_SPECIALS="Y"))*(COUNTIF('Dvd Calendar'!$E$1343:$AR$1343,'Dvd Calendar'!$E$1336:$AR$1336)=0)))</f>
        <v/>
      </c>
      <c r="L27" s="52">
        <f>IF($B27="",0,IF((OV_SWITCH="ON")*(COUNTIFS(OVR_TICKERS,$C27,OVR_BASE,"&gt;=0")&gt;0)&gt;0,SUMIFS(OVR_BASE,OVR_TICKERS,$C27),$K27))</f>
        <v/>
      </c>
      <c r="M27" s="52">
        <f>IF($B27="",0,IF((OV_SWITCH="ON")*(COUNTIFS(OVR_TICKERS,$C27,OVR_LOW,"&gt;=0")&gt;0)&gt;0,SUMIFS(OVR_LOW,OVR_TICKERS,$C27),$L27))</f>
        <v/>
      </c>
      <c r="N27" s="52">
        <f>IF($B27="",0,IF((OV_SWITCH="ON")*(COUNTIFS(OVR_TICKERS,$C27,OVR_HIGH,"&gt;=0")&gt;0)&gt;0,SUMIFS(OVR_HIGH,OVR_TICKERS,$C27),$L27))</f>
        <v/>
      </c>
      <c r="O27" s="69">
        <f>IF($B27="","",IFERROR($B27*$G27*$J27/$B$3,""))</f>
        <v/>
      </c>
      <c r="P27" s="69">
        <f>IF($B27="","",IFERROR($B27*$G27*$L27/$B$3,""))</f>
        <v/>
      </c>
      <c r="Q27" s="44">
        <f>IF($B27="","",IFERROR($O27+$P27,""))</f>
        <v/>
      </c>
      <c r="R27" s="69">
        <f>IF($B27="","",IFERROR($O27+$B27*$G27*$M27/$B$3,""))</f>
        <v/>
      </c>
      <c r="S27" s="69">
        <f>IF($B27="","",IFERROR($O27+$B27*$G27*$N27/$B$3,""))</f>
        <v/>
      </c>
      <c r="T27" s="88">
        <f>IF($B27="","",IFERROR($Q27/$Q$5,""))</f>
        <v/>
      </c>
      <c r="U27" s="2">
        <f>IF($B27="","",IF(COUNTIFS('Dvd Calendar'!$E$1342:$AR$1342,"&gt;0",'Dvd Calendar'!$E$1342:$AR$1342,"&lt;="&amp;VAL_DATE,'Dvd Calendar'!$E$1343:$AR$1343,"&gt;"&amp;PROJ_FROM,'Dvd Calendar'!$E$1343:$AR$1343,"&lt;="&amp;DATE(YEAR_Y,12,31))-COUNTIFS('Dvd Calendar'!$E$1342:$AR$1342,"&gt;0",'Dvd Calendar'!$E$1342:$AR$1342,"&lt;="&amp;VAL_DATE,'Dvd Calendar'!$E$1343:$AR$1343,"&gt;"&amp;PROJ_FROM,'Dvd Calendar'!$E$1343:$AR$1343,"&lt;="&amp;DATE(YEAR_Y,12,31),'Dvd Calendar'!$E$1344:$AR$1344,"&gt;=0")&gt;0,"TBA amount - override me",IF((OV_SWITCH="ON")*(COUNTIFS(OVR_TICKERS,$C27,OVR_BASE,"&gt;=0")&gt;0)&gt;0,"overridden",IF($J27+$K27=0,"no dividend in year Y",""))))</f>
        <v/>
      </c>
      <c r="V27" s="69">
        <f>IF($B27="","",IFERROR(IF(ISNUMBER($H27),$B27*$G27*$H27/$B$3,0),""))</f>
        <v/>
      </c>
      <c r="W27" s="69">
        <f>IF($B27="","",IFERROR($B27*$G27*$K27/$B$3,""))</f>
        <v/>
      </c>
      <c r="X27" s="98">
        <f>IF($C27="","",BDP($C27,"PX_LAST"))</f>
        <v/>
      </c>
      <c r="Y27" s="69">
        <f>IF($B27="","",IFERROR($B27*$X27/$B$3,""))</f>
        <v/>
      </c>
      <c r="Z27" s="73">
        <f>IF($B27="","",IFERROR($Y27/$Y$5,""))</f>
        <v/>
      </c>
    </row>
    <row r="28">
      <c r="B28" s="97" t="n"/>
      <c r="C28" s="8">
        <f>IF($A28="","",$A28&amp;" Equity")</f>
        <v/>
      </c>
      <c r="D28" s="8">
        <f>IF($C28="","",BDP($C28,"NAME"))</f>
        <v/>
      </c>
      <c r="E28" s="8">
        <f>IF($C28="","",BDP($C28,"GICS_SECTOR_NAME"))</f>
        <v/>
      </c>
      <c r="F28" s="37">
        <f>IF($C28="","",BDP($C28,FLD_CCY))</f>
        <v/>
      </c>
      <c r="G28" s="12">
        <f>IFERROR(IF(LEN($F28)&lt;&gt;3,1,IF($F28="HKD",1,BDP(IF($F28="CNY",RMB_CROSS,$F28)&amp;"HKD Curncy","PX_LAST"))),1)</f>
        <v/>
      </c>
      <c r="H28" s="69">
        <f>IF($C28="","",BDP($C28,FLD_DPS12M))</f>
        <v/>
      </c>
      <c r="I28" s="50">
        <f>IF($C28="","",BDP($C28,FLD_YLD12M))</f>
        <v/>
      </c>
      <c r="J28" s="52">
        <f>IF($B28="",0,SUMPRODUCT(('Dvd Calendar'!$E$1347:$AR$1347&gt;=DATE(YEAR_Y,1,1))*('Dvd Calendar'!$E$1347:$AR$1347&lt;=REALIZED_TO)*'Dvd Calendar'!$E$1350:$AR$1350*(('Dvd Calendar'!$E$1352:$AR$1352=TYPE1)*(TYPE1&lt;&gt;"")+('Dvd Calendar'!$E$1352:$AR$1352=TYPE2)*(TYPE2&lt;&gt;"")+('Dvd Calendar'!$E$1352:$AR$1352=TYPE3)*(TYPE3&lt;&gt;"")+('Dvd Calendar'!$E$1352:$AR$1352=TYPE4)*(TYPE4&lt;&gt;"")+('Dvd Calendar'!$E$1352:$AR$1352=SPECIAL_LBL)*(INC_SPECIALS="Y"))))</f>
        <v/>
      </c>
      <c r="K28" s="52">
        <f>IF($B28="",0,SUMIFS('Dvd Calendar'!$E$1355:$AR$1355,'Dvd Calendar'!$E$1354:$AR$1354,"&gt;"&amp;PROJ_FROM,'Dvd Calendar'!$E$1354:$AR$1354,"&lt;="&amp;DATE(YEAR_Y,12,31))+SUMPRODUCT(('Dvd Calendar'!$E$1347:$AR$1347&gt;PROJ_FROM)*('Dvd Calendar'!$E$1347:$AR$1347&lt;=DATE(YEAR_Y,12,31))*'Dvd Calendar'!$E$1350:$AR$1350*(('Dvd Calendar'!$E$1352:$AR$1352=TYPE1)*(TYPE1&lt;&gt;"")+('Dvd Calendar'!$E$1352:$AR$1352=TYPE2)*(TYPE2&lt;&gt;"")+('Dvd Calendar'!$E$1352:$AR$1352=TYPE3)*(TYPE3&lt;&gt;"")+('Dvd Calendar'!$E$1352:$AR$1352=TYPE4)*(TYPE4&lt;&gt;"")+('Dvd Calendar'!$E$1352:$AR$1352=SPECIAL_LBL)*(INC_SPECIALS="Y"))*(COUNTIF('Dvd Calendar'!$E$1354:$AR$1354,'Dvd Calendar'!$E$1347:$AR$1347)=0)))</f>
        <v/>
      </c>
      <c r="L28" s="52">
        <f>IF($B28="",0,IF((OV_SWITCH="ON")*(COUNTIFS(OVR_TICKERS,$C28,OVR_BASE,"&gt;=0")&gt;0)&gt;0,SUMIFS(OVR_BASE,OVR_TICKERS,$C28),$K28))</f>
        <v/>
      </c>
      <c r="M28" s="52">
        <f>IF($B28="",0,IF((OV_SWITCH="ON")*(COUNTIFS(OVR_TICKERS,$C28,OVR_LOW,"&gt;=0")&gt;0)&gt;0,SUMIFS(OVR_LOW,OVR_TICKERS,$C28),$L28))</f>
        <v/>
      </c>
      <c r="N28" s="52">
        <f>IF($B28="",0,IF((OV_SWITCH="ON")*(COUNTIFS(OVR_TICKERS,$C28,OVR_HIGH,"&gt;=0")&gt;0)&gt;0,SUMIFS(OVR_HIGH,OVR_TICKERS,$C28),$L28))</f>
        <v/>
      </c>
      <c r="O28" s="69">
        <f>IF($B28="","",IFERROR($B28*$G28*$J28/$B$3,""))</f>
        <v/>
      </c>
      <c r="P28" s="69">
        <f>IF($B28="","",IFERROR($B28*$G28*$L28/$B$3,""))</f>
        <v/>
      </c>
      <c r="Q28" s="44">
        <f>IF($B28="","",IFERROR($O28+$P28,""))</f>
        <v/>
      </c>
      <c r="R28" s="69">
        <f>IF($B28="","",IFERROR($O28+$B28*$G28*$M28/$B$3,""))</f>
        <v/>
      </c>
      <c r="S28" s="69">
        <f>IF($B28="","",IFERROR($O28+$B28*$G28*$N28/$B$3,""))</f>
        <v/>
      </c>
      <c r="T28" s="88">
        <f>IF($B28="","",IFERROR($Q28/$Q$5,""))</f>
        <v/>
      </c>
      <c r="U28" s="2">
        <f>IF($B28="","",IF(COUNTIFS('Dvd Calendar'!$E$1353:$AR$1353,"&gt;0",'Dvd Calendar'!$E$1353:$AR$1353,"&lt;="&amp;VAL_DATE,'Dvd Calendar'!$E$1354:$AR$1354,"&gt;"&amp;PROJ_FROM,'Dvd Calendar'!$E$1354:$AR$1354,"&lt;="&amp;DATE(YEAR_Y,12,31))-COUNTIFS('Dvd Calendar'!$E$1353:$AR$1353,"&gt;0",'Dvd Calendar'!$E$1353:$AR$1353,"&lt;="&amp;VAL_DATE,'Dvd Calendar'!$E$1354:$AR$1354,"&gt;"&amp;PROJ_FROM,'Dvd Calendar'!$E$1354:$AR$1354,"&lt;="&amp;DATE(YEAR_Y,12,31),'Dvd Calendar'!$E$1355:$AR$1355,"&gt;=0")&gt;0,"TBA amount - override me",IF((OV_SWITCH="ON")*(COUNTIFS(OVR_TICKERS,$C28,OVR_BASE,"&gt;=0")&gt;0)&gt;0,"overridden",IF($J28+$K28=0,"no dividend in year Y",""))))</f>
        <v/>
      </c>
      <c r="V28" s="69">
        <f>IF($B28="","",IFERROR(IF(ISNUMBER($H28),$B28*$G28*$H28/$B$3,0),""))</f>
        <v/>
      </c>
      <c r="W28" s="69">
        <f>IF($B28="","",IFERROR($B28*$G28*$K28/$B$3,""))</f>
        <v/>
      </c>
      <c r="X28" s="98">
        <f>IF($C28="","",BDP($C28,"PX_LAST"))</f>
        <v/>
      </c>
      <c r="Y28" s="69">
        <f>IF($B28="","",IFERROR($B28*$X28/$B$3,""))</f>
        <v/>
      </c>
      <c r="Z28" s="73">
        <f>IF($B28="","",IFERROR($Y28/$Y$5,""))</f>
        <v/>
      </c>
    </row>
    <row r="29">
      <c r="B29" s="97" t="n"/>
      <c r="C29" s="8">
        <f>IF($A29="","",$A29&amp;" Equity")</f>
        <v/>
      </c>
      <c r="D29" s="8">
        <f>IF($C29="","",BDP($C29,"NAME"))</f>
        <v/>
      </c>
      <c r="E29" s="8">
        <f>IF($C29="","",BDP($C29,"GICS_SECTOR_NAME"))</f>
        <v/>
      </c>
      <c r="F29" s="37">
        <f>IF($C29="","",BDP($C29,FLD_CCY))</f>
        <v/>
      </c>
      <c r="G29" s="12">
        <f>IFERROR(IF(LEN($F29)&lt;&gt;3,1,IF($F29="HKD",1,BDP(IF($F29="CNY",RMB_CROSS,$F29)&amp;"HKD Curncy","PX_LAST"))),1)</f>
        <v/>
      </c>
      <c r="H29" s="69">
        <f>IF($C29="","",BDP($C29,FLD_DPS12M))</f>
        <v/>
      </c>
      <c r="I29" s="50">
        <f>IF($C29="","",BDP($C29,FLD_YLD12M))</f>
        <v/>
      </c>
      <c r="J29" s="52">
        <f>IF($B29="",0,SUMPRODUCT(('Dvd Calendar'!$E$1358:$AR$1358&gt;=DATE(YEAR_Y,1,1))*('Dvd Calendar'!$E$1358:$AR$1358&lt;=REALIZED_TO)*'Dvd Calendar'!$E$1361:$AR$1361*(('Dvd Calendar'!$E$1363:$AR$1363=TYPE1)*(TYPE1&lt;&gt;"")+('Dvd Calendar'!$E$1363:$AR$1363=TYPE2)*(TYPE2&lt;&gt;"")+('Dvd Calendar'!$E$1363:$AR$1363=TYPE3)*(TYPE3&lt;&gt;"")+('Dvd Calendar'!$E$1363:$AR$1363=TYPE4)*(TYPE4&lt;&gt;"")+('Dvd Calendar'!$E$1363:$AR$1363=SPECIAL_LBL)*(INC_SPECIALS="Y"))))</f>
        <v/>
      </c>
      <c r="K29" s="52">
        <f>IF($B29="",0,SUMIFS('Dvd Calendar'!$E$1366:$AR$1366,'Dvd Calendar'!$E$1365:$AR$1365,"&gt;"&amp;PROJ_FROM,'Dvd Calendar'!$E$1365:$AR$1365,"&lt;="&amp;DATE(YEAR_Y,12,31))+SUMPRODUCT(('Dvd Calendar'!$E$1358:$AR$1358&gt;PROJ_FROM)*('Dvd Calendar'!$E$1358:$AR$1358&lt;=DATE(YEAR_Y,12,31))*'Dvd Calendar'!$E$1361:$AR$1361*(('Dvd Calendar'!$E$1363:$AR$1363=TYPE1)*(TYPE1&lt;&gt;"")+('Dvd Calendar'!$E$1363:$AR$1363=TYPE2)*(TYPE2&lt;&gt;"")+('Dvd Calendar'!$E$1363:$AR$1363=TYPE3)*(TYPE3&lt;&gt;"")+('Dvd Calendar'!$E$1363:$AR$1363=TYPE4)*(TYPE4&lt;&gt;"")+('Dvd Calendar'!$E$1363:$AR$1363=SPECIAL_LBL)*(INC_SPECIALS="Y"))*(COUNTIF('Dvd Calendar'!$E$1365:$AR$1365,'Dvd Calendar'!$E$1358:$AR$1358)=0)))</f>
        <v/>
      </c>
      <c r="L29" s="52">
        <f>IF($B29="",0,IF((OV_SWITCH="ON")*(COUNTIFS(OVR_TICKERS,$C29,OVR_BASE,"&gt;=0")&gt;0)&gt;0,SUMIFS(OVR_BASE,OVR_TICKERS,$C29),$K29))</f>
        <v/>
      </c>
      <c r="M29" s="52">
        <f>IF($B29="",0,IF((OV_SWITCH="ON")*(COUNTIFS(OVR_TICKERS,$C29,OVR_LOW,"&gt;=0")&gt;0)&gt;0,SUMIFS(OVR_LOW,OVR_TICKERS,$C29),$L29))</f>
        <v/>
      </c>
      <c r="N29" s="52">
        <f>IF($B29="",0,IF((OV_SWITCH="ON")*(COUNTIFS(OVR_TICKERS,$C29,OVR_HIGH,"&gt;=0")&gt;0)&gt;0,SUMIFS(OVR_HIGH,OVR_TICKERS,$C29),$L29))</f>
        <v/>
      </c>
      <c r="O29" s="69">
        <f>IF($B29="","",IFERROR($B29*$G29*$J29/$B$3,""))</f>
        <v/>
      </c>
      <c r="P29" s="69">
        <f>IF($B29="","",IFERROR($B29*$G29*$L29/$B$3,""))</f>
        <v/>
      </c>
      <c r="Q29" s="44">
        <f>IF($B29="","",IFERROR($O29+$P29,""))</f>
        <v/>
      </c>
      <c r="R29" s="69">
        <f>IF($B29="","",IFERROR($O29+$B29*$G29*$M29/$B$3,""))</f>
        <v/>
      </c>
      <c r="S29" s="69">
        <f>IF($B29="","",IFERROR($O29+$B29*$G29*$N29/$B$3,""))</f>
        <v/>
      </c>
      <c r="T29" s="88">
        <f>IF($B29="","",IFERROR($Q29/$Q$5,""))</f>
        <v/>
      </c>
      <c r="U29" s="2">
        <f>IF($B29="","",IF(COUNTIFS('Dvd Calendar'!$E$1364:$AR$1364,"&gt;0",'Dvd Calendar'!$E$1364:$AR$1364,"&lt;="&amp;VAL_DATE,'Dvd Calendar'!$E$1365:$AR$1365,"&gt;"&amp;PROJ_FROM,'Dvd Calendar'!$E$1365:$AR$1365,"&lt;="&amp;DATE(YEAR_Y,12,31))-COUNTIFS('Dvd Calendar'!$E$1364:$AR$1364,"&gt;0",'Dvd Calendar'!$E$1364:$AR$1364,"&lt;="&amp;VAL_DATE,'Dvd Calendar'!$E$1365:$AR$1365,"&gt;"&amp;PROJ_FROM,'Dvd Calendar'!$E$1365:$AR$1365,"&lt;="&amp;DATE(YEAR_Y,12,31),'Dvd Calendar'!$E$1366:$AR$1366,"&gt;=0")&gt;0,"TBA amount - override me",IF((OV_SWITCH="ON")*(COUNTIFS(OVR_TICKERS,$C29,OVR_BASE,"&gt;=0")&gt;0)&gt;0,"overridden",IF($J29+$K29=0,"no dividend in year Y",""))))</f>
        <v/>
      </c>
      <c r="V29" s="69">
        <f>IF($B29="","",IFERROR(IF(ISNUMBER($H29),$B29*$G29*$H29/$B$3,0),""))</f>
        <v/>
      </c>
      <c r="W29" s="69">
        <f>IF($B29="","",IFERROR($B29*$G29*$K29/$B$3,""))</f>
        <v/>
      </c>
      <c r="X29" s="98">
        <f>IF($C29="","",BDP($C29,"PX_LAST"))</f>
        <v/>
      </c>
      <c r="Y29" s="69">
        <f>IF($B29="","",IFERROR($B29*$X29/$B$3,""))</f>
        <v/>
      </c>
      <c r="Z29" s="73">
        <f>IF($B29="","",IFERROR($Y29/$Y$5,""))</f>
        <v/>
      </c>
    </row>
    <row r="30">
      <c r="B30" s="97" t="n"/>
      <c r="C30" s="8">
        <f>IF($A30="","",$A30&amp;" Equity")</f>
        <v/>
      </c>
      <c r="D30" s="8">
        <f>IF($C30="","",BDP($C30,"NAME"))</f>
        <v/>
      </c>
      <c r="E30" s="8">
        <f>IF($C30="","",BDP($C30,"GICS_SECTOR_NAME"))</f>
        <v/>
      </c>
      <c r="F30" s="37">
        <f>IF($C30="","",BDP($C30,FLD_CCY))</f>
        <v/>
      </c>
      <c r="G30" s="12">
        <f>IFERROR(IF(LEN($F30)&lt;&gt;3,1,IF($F30="HKD",1,BDP(IF($F30="CNY",RMB_CROSS,$F30)&amp;"HKD Curncy","PX_LAST"))),1)</f>
        <v/>
      </c>
      <c r="H30" s="69">
        <f>IF($C30="","",BDP($C30,FLD_DPS12M))</f>
        <v/>
      </c>
      <c r="I30" s="50">
        <f>IF($C30="","",BDP($C30,FLD_YLD12M))</f>
        <v/>
      </c>
      <c r="J30" s="52">
        <f>IF($B30="",0,SUMPRODUCT(('Dvd Calendar'!$E$1369:$AR$1369&gt;=DATE(YEAR_Y,1,1))*('Dvd Calendar'!$E$1369:$AR$1369&lt;=REALIZED_TO)*'Dvd Calendar'!$E$1372:$AR$1372*(('Dvd Calendar'!$E$1374:$AR$1374=TYPE1)*(TYPE1&lt;&gt;"")+('Dvd Calendar'!$E$1374:$AR$1374=TYPE2)*(TYPE2&lt;&gt;"")+('Dvd Calendar'!$E$1374:$AR$1374=TYPE3)*(TYPE3&lt;&gt;"")+('Dvd Calendar'!$E$1374:$AR$1374=TYPE4)*(TYPE4&lt;&gt;"")+('Dvd Calendar'!$E$1374:$AR$1374=SPECIAL_LBL)*(INC_SPECIALS="Y"))))</f>
        <v/>
      </c>
      <c r="K30" s="52">
        <f>IF($B30="",0,SUMIFS('Dvd Calendar'!$E$1377:$AR$1377,'Dvd Calendar'!$E$1376:$AR$1376,"&gt;"&amp;PROJ_FROM,'Dvd Calendar'!$E$1376:$AR$1376,"&lt;="&amp;DATE(YEAR_Y,12,31))+SUMPRODUCT(('Dvd Calendar'!$E$1369:$AR$1369&gt;PROJ_FROM)*('Dvd Calendar'!$E$1369:$AR$1369&lt;=DATE(YEAR_Y,12,31))*'Dvd Calendar'!$E$1372:$AR$1372*(('Dvd Calendar'!$E$1374:$AR$1374=TYPE1)*(TYPE1&lt;&gt;"")+('Dvd Calendar'!$E$1374:$AR$1374=TYPE2)*(TYPE2&lt;&gt;"")+('Dvd Calendar'!$E$1374:$AR$1374=TYPE3)*(TYPE3&lt;&gt;"")+('Dvd Calendar'!$E$1374:$AR$1374=TYPE4)*(TYPE4&lt;&gt;"")+('Dvd Calendar'!$E$1374:$AR$1374=SPECIAL_LBL)*(INC_SPECIALS="Y"))*(COUNTIF('Dvd Calendar'!$E$1376:$AR$1376,'Dvd Calendar'!$E$1369:$AR$1369)=0)))</f>
        <v/>
      </c>
      <c r="L30" s="52">
        <f>IF($B30="",0,IF((OV_SWITCH="ON")*(COUNTIFS(OVR_TICKERS,$C30,OVR_BASE,"&gt;=0")&gt;0)&gt;0,SUMIFS(OVR_BASE,OVR_TICKERS,$C30),$K30))</f>
        <v/>
      </c>
      <c r="M30" s="52">
        <f>IF($B30="",0,IF((OV_SWITCH="ON")*(COUNTIFS(OVR_TICKERS,$C30,OVR_LOW,"&gt;=0")&gt;0)&gt;0,SUMIFS(OVR_LOW,OVR_TICKERS,$C30),$L30))</f>
        <v/>
      </c>
      <c r="N30" s="52">
        <f>IF($B30="",0,IF((OV_SWITCH="ON")*(COUNTIFS(OVR_TICKERS,$C30,OVR_HIGH,"&gt;=0")&gt;0)&gt;0,SUMIFS(OVR_HIGH,OVR_TICKERS,$C30),$L30))</f>
        <v/>
      </c>
      <c r="O30" s="69">
        <f>IF($B30="","",IFERROR($B30*$G30*$J30/$B$3,""))</f>
        <v/>
      </c>
      <c r="P30" s="69">
        <f>IF($B30="","",IFERROR($B30*$G30*$L30/$B$3,""))</f>
        <v/>
      </c>
      <c r="Q30" s="44">
        <f>IF($B30="","",IFERROR($O30+$P30,""))</f>
        <v/>
      </c>
      <c r="R30" s="69">
        <f>IF($B30="","",IFERROR($O30+$B30*$G30*$M30/$B$3,""))</f>
        <v/>
      </c>
      <c r="S30" s="69">
        <f>IF($B30="","",IFERROR($O30+$B30*$G30*$N30/$B$3,""))</f>
        <v/>
      </c>
      <c r="T30" s="88">
        <f>IF($B30="","",IFERROR($Q30/$Q$5,""))</f>
        <v/>
      </c>
      <c r="U30" s="2">
        <f>IF($B30="","",IF(COUNTIFS('Dvd Calendar'!$E$1375:$AR$1375,"&gt;0",'Dvd Calendar'!$E$1375:$AR$1375,"&lt;="&amp;VAL_DATE,'Dvd Calendar'!$E$1376:$AR$1376,"&gt;"&amp;PROJ_FROM,'Dvd Calendar'!$E$1376:$AR$1376,"&lt;="&amp;DATE(YEAR_Y,12,31))-COUNTIFS('Dvd Calendar'!$E$1375:$AR$1375,"&gt;0",'Dvd Calendar'!$E$1375:$AR$1375,"&lt;="&amp;VAL_DATE,'Dvd Calendar'!$E$1376:$AR$1376,"&gt;"&amp;PROJ_FROM,'Dvd Calendar'!$E$1376:$AR$1376,"&lt;="&amp;DATE(YEAR_Y,12,31),'Dvd Calendar'!$E$1377:$AR$1377,"&gt;=0")&gt;0,"TBA amount - override me",IF((OV_SWITCH="ON")*(COUNTIFS(OVR_TICKERS,$C30,OVR_BASE,"&gt;=0")&gt;0)&gt;0,"overridden",IF($J30+$K30=0,"no dividend in year Y",""))))</f>
        <v/>
      </c>
      <c r="V30" s="69">
        <f>IF($B30="","",IFERROR(IF(ISNUMBER($H30),$B30*$G30*$H30/$B$3,0),""))</f>
        <v/>
      </c>
      <c r="W30" s="69">
        <f>IF($B30="","",IFERROR($B30*$G30*$K30/$B$3,""))</f>
        <v/>
      </c>
      <c r="X30" s="98">
        <f>IF($C30="","",BDP($C30,"PX_LAST"))</f>
        <v/>
      </c>
      <c r="Y30" s="69">
        <f>IF($B30="","",IFERROR($B30*$X30/$B$3,""))</f>
        <v/>
      </c>
      <c r="Z30" s="73">
        <f>IF($B30="","",IFERROR($Y30/$Y$5,""))</f>
        <v/>
      </c>
    </row>
    <row r="31">
      <c r="B31" s="97" t="n"/>
      <c r="C31" s="8">
        <f>IF($A31="","",$A31&amp;" Equity")</f>
        <v/>
      </c>
      <c r="D31" s="8">
        <f>IF($C31="","",BDP($C31,"NAME"))</f>
        <v/>
      </c>
      <c r="E31" s="8">
        <f>IF($C31="","",BDP($C31,"GICS_SECTOR_NAME"))</f>
        <v/>
      </c>
      <c r="F31" s="37">
        <f>IF($C31="","",BDP($C31,FLD_CCY))</f>
        <v/>
      </c>
      <c r="G31" s="12">
        <f>IFERROR(IF(LEN($F31)&lt;&gt;3,1,IF($F31="HKD",1,BDP(IF($F31="CNY",RMB_CROSS,$F31)&amp;"HKD Curncy","PX_LAST"))),1)</f>
        <v/>
      </c>
      <c r="H31" s="69">
        <f>IF($C31="","",BDP($C31,FLD_DPS12M))</f>
        <v/>
      </c>
      <c r="I31" s="50">
        <f>IF($C31="","",BDP($C31,FLD_YLD12M))</f>
        <v/>
      </c>
      <c r="J31" s="52">
        <f>IF($B31="",0,SUMPRODUCT(('Dvd Calendar'!$E$1380:$AR$1380&gt;=DATE(YEAR_Y,1,1))*('Dvd Calendar'!$E$1380:$AR$1380&lt;=REALIZED_TO)*'Dvd Calendar'!$E$1383:$AR$1383*(('Dvd Calendar'!$E$1385:$AR$1385=TYPE1)*(TYPE1&lt;&gt;"")+('Dvd Calendar'!$E$1385:$AR$1385=TYPE2)*(TYPE2&lt;&gt;"")+('Dvd Calendar'!$E$1385:$AR$1385=TYPE3)*(TYPE3&lt;&gt;"")+('Dvd Calendar'!$E$1385:$AR$1385=TYPE4)*(TYPE4&lt;&gt;"")+('Dvd Calendar'!$E$1385:$AR$1385=SPECIAL_LBL)*(INC_SPECIALS="Y"))))</f>
        <v/>
      </c>
      <c r="K31" s="52">
        <f>IF($B31="",0,SUMIFS('Dvd Calendar'!$E$1388:$AR$1388,'Dvd Calendar'!$E$1387:$AR$1387,"&gt;"&amp;PROJ_FROM,'Dvd Calendar'!$E$1387:$AR$1387,"&lt;="&amp;DATE(YEAR_Y,12,31))+SUMPRODUCT(('Dvd Calendar'!$E$1380:$AR$1380&gt;PROJ_FROM)*('Dvd Calendar'!$E$1380:$AR$1380&lt;=DATE(YEAR_Y,12,31))*'Dvd Calendar'!$E$1383:$AR$1383*(('Dvd Calendar'!$E$1385:$AR$1385=TYPE1)*(TYPE1&lt;&gt;"")+('Dvd Calendar'!$E$1385:$AR$1385=TYPE2)*(TYPE2&lt;&gt;"")+('Dvd Calendar'!$E$1385:$AR$1385=TYPE3)*(TYPE3&lt;&gt;"")+('Dvd Calendar'!$E$1385:$AR$1385=TYPE4)*(TYPE4&lt;&gt;"")+('Dvd Calendar'!$E$1385:$AR$1385=SPECIAL_LBL)*(INC_SPECIALS="Y"))*(COUNTIF('Dvd Calendar'!$E$1387:$AR$1387,'Dvd Calendar'!$E$1380:$AR$1380)=0)))</f>
        <v/>
      </c>
      <c r="L31" s="52">
        <f>IF($B31="",0,IF((OV_SWITCH="ON")*(COUNTIFS(OVR_TICKERS,$C31,OVR_BASE,"&gt;=0")&gt;0)&gt;0,SUMIFS(OVR_BASE,OVR_TICKERS,$C31),$K31))</f>
        <v/>
      </c>
      <c r="M31" s="52">
        <f>IF($B31="",0,IF((OV_SWITCH="ON")*(COUNTIFS(OVR_TICKERS,$C31,OVR_LOW,"&gt;=0")&gt;0)&gt;0,SUMIFS(OVR_LOW,OVR_TICKERS,$C31),$L31))</f>
        <v/>
      </c>
      <c r="N31" s="52">
        <f>IF($B31="",0,IF((OV_SWITCH="ON")*(COUNTIFS(OVR_TICKERS,$C31,OVR_HIGH,"&gt;=0")&gt;0)&gt;0,SUMIFS(OVR_HIGH,OVR_TICKERS,$C31),$L31))</f>
        <v/>
      </c>
      <c r="O31" s="69">
        <f>IF($B31="","",IFERROR($B31*$G31*$J31/$B$3,""))</f>
        <v/>
      </c>
      <c r="P31" s="69">
        <f>IF($B31="","",IFERROR($B31*$G31*$L31/$B$3,""))</f>
        <v/>
      </c>
      <c r="Q31" s="44">
        <f>IF($B31="","",IFERROR($O31+$P31,""))</f>
        <v/>
      </c>
      <c r="R31" s="69">
        <f>IF($B31="","",IFERROR($O31+$B31*$G31*$M31/$B$3,""))</f>
        <v/>
      </c>
      <c r="S31" s="69">
        <f>IF($B31="","",IFERROR($O31+$B31*$G31*$N31/$B$3,""))</f>
        <v/>
      </c>
      <c r="T31" s="88">
        <f>IF($B31="","",IFERROR($Q31/$Q$5,""))</f>
        <v/>
      </c>
      <c r="U31" s="2">
        <f>IF($B31="","",IF(COUNTIFS('Dvd Calendar'!$E$1386:$AR$1386,"&gt;0",'Dvd Calendar'!$E$1386:$AR$1386,"&lt;="&amp;VAL_DATE,'Dvd Calendar'!$E$1387:$AR$1387,"&gt;"&amp;PROJ_FROM,'Dvd Calendar'!$E$1387:$AR$1387,"&lt;="&amp;DATE(YEAR_Y,12,31))-COUNTIFS('Dvd Calendar'!$E$1386:$AR$1386,"&gt;0",'Dvd Calendar'!$E$1386:$AR$1386,"&lt;="&amp;VAL_DATE,'Dvd Calendar'!$E$1387:$AR$1387,"&gt;"&amp;PROJ_FROM,'Dvd Calendar'!$E$1387:$AR$1387,"&lt;="&amp;DATE(YEAR_Y,12,31),'Dvd Calendar'!$E$1388:$AR$1388,"&gt;=0")&gt;0,"TBA amount - override me",IF((OV_SWITCH="ON")*(COUNTIFS(OVR_TICKERS,$C31,OVR_BASE,"&gt;=0")&gt;0)&gt;0,"overridden",IF($J31+$K31=0,"no dividend in year Y",""))))</f>
        <v/>
      </c>
      <c r="V31" s="69">
        <f>IF($B31="","",IFERROR(IF(ISNUMBER($H31),$B31*$G31*$H31/$B$3,0),""))</f>
        <v/>
      </c>
      <c r="W31" s="69">
        <f>IF($B31="","",IFERROR($B31*$G31*$K31/$B$3,""))</f>
        <v/>
      </c>
      <c r="X31" s="98">
        <f>IF($C31="","",BDP($C31,"PX_LAST"))</f>
        <v/>
      </c>
      <c r="Y31" s="69">
        <f>IF($B31="","",IFERROR($B31*$X31/$B$3,""))</f>
        <v/>
      </c>
      <c r="Z31" s="73">
        <f>IF($B31="","",IFERROR($Y31/$Y$5,""))</f>
        <v/>
      </c>
    </row>
    <row r="32">
      <c r="B32" s="97" t="n"/>
      <c r="C32" s="8">
        <f>IF($A32="","",$A32&amp;" Equity")</f>
        <v/>
      </c>
      <c r="D32" s="8">
        <f>IF($C32="","",BDP($C32,"NAME"))</f>
        <v/>
      </c>
      <c r="E32" s="8">
        <f>IF($C32="","",BDP($C32,"GICS_SECTOR_NAME"))</f>
        <v/>
      </c>
      <c r="F32" s="37">
        <f>IF($C32="","",BDP($C32,FLD_CCY))</f>
        <v/>
      </c>
      <c r="G32" s="12">
        <f>IFERROR(IF(LEN($F32)&lt;&gt;3,1,IF($F32="HKD",1,BDP(IF($F32="CNY",RMB_CROSS,$F32)&amp;"HKD Curncy","PX_LAST"))),1)</f>
        <v/>
      </c>
      <c r="H32" s="69">
        <f>IF($C32="","",BDP($C32,FLD_DPS12M))</f>
        <v/>
      </c>
      <c r="I32" s="50">
        <f>IF($C32="","",BDP($C32,FLD_YLD12M))</f>
        <v/>
      </c>
      <c r="J32" s="52">
        <f>IF($B32="",0,SUMPRODUCT(('Dvd Calendar'!$E$1391:$AR$1391&gt;=DATE(YEAR_Y,1,1))*('Dvd Calendar'!$E$1391:$AR$1391&lt;=REALIZED_TO)*'Dvd Calendar'!$E$1394:$AR$1394*(('Dvd Calendar'!$E$1396:$AR$1396=TYPE1)*(TYPE1&lt;&gt;"")+('Dvd Calendar'!$E$1396:$AR$1396=TYPE2)*(TYPE2&lt;&gt;"")+('Dvd Calendar'!$E$1396:$AR$1396=TYPE3)*(TYPE3&lt;&gt;"")+('Dvd Calendar'!$E$1396:$AR$1396=TYPE4)*(TYPE4&lt;&gt;"")+('Dvd Calendar'!$E$1396:$AR$1396=SPECIAL_LBL)*(INC_SPECIALS="Y"))))</f>
        <v/>
      </c>
      <c r="K32" s="52">
        <f>IF($B32="",0,SUMIFS('Dvd Calendar'!$E$1399:$AR$1399,'Dvd Calendar'!$E$1398:$AR$1398,"&gt;"&amp;PROJ_FROM,'Dvd Calendar'!$E$1398:$AR$1398,"&lt;="&amp;DATE(YEAR_Y,12,31))+SUMPRODUCT(('Dvd Calendar'!$E$1391:$AR$1391&gt;PROJ_FROM)*('Dvd Calendar'!$E$1391:$AR$1391&lt;=DATE(YEAR_Y,12,31))*'Dvd Calendar'!$E$1394:$AR$1394*(('Dvd Calendar'!$E$1396:$AR$1396=TYPE1)*(TYPE1&lt;&gt;"")+('Dvd Calendar'!$E$1396:$AR$1396=TYPE2)*(TYPE2&lt;&gt;"")+('Dvd Calendar'!$E$1396:$AR$1396=TYPE3)*(TYPE3&lt;&gt;"")+('Dvd Calendar'!$E$1396:$AR$1396=TYPE4)*(TYPE4&lt;&gt;"")+('Dvd Calendar'!$E$1396:$AR$1396=SPECIAL_LBL)*(INC_SPECIALS="Y"))*(COUNTIF('Dvd Calendar'!$E$1398:$AR$1398,'Dvd Calendar'!$E$1391:$AR$1391)=0)))</f>
        <v/>
      </c>
      <c r="L32" s="52">
        <f>IF($B32="",0,IF((OV_SWITCH="ON")*(COUNTIFS(OVR_TICKERS,$C32,OVR_BASE,"&gt;=0")&gt;0)&gt;0,SUMIFS(OVR_BASE,OVR_TICKERS,$C32),$K32))</f>
        <v/>
      </c>
      <c r="M32" s="52">
        <f>IF($B32="",0,IF((OV_SWITCH="ON")*(COUNTIFS(OVR_TICKERS,$C32,OVR_LOW,"&gt;=0")&gt;0)&gt;0,SUMIFS(OVR_LOW,OVR_TICKERS,$C32),$L32))</f>
        <v/>
      </c>
      <c r="N32" s="52">
        <f>IF($B32="",0,IF((OV_SWITCH="ON")*(COUNTIFS(OVR_TICKERS,$C32,OVR_HIGH,"&gt;=0")&gt;0)&gt;0,SUMIFS(OVR_HIGH,OVR_TICKERS,$C32),$L32))</f>
        <v/>
      </c>
      <c r="O32" s="69">
        <f>IF($B32="","",IFERROR($B32*$G32*$J32/$B$3,""))</f>
        <v/>
      </c>
      <c r="P32" s="69">
        <f>IF($B32="","",IFERROR($B32*$G32*$L32/$B$3,""))</f>
        <v/>
      </c>
      <c r="Q32" s="44">
        <f>IF($B32="","",IFERROR($O32+$P32,""))</f>
        <v/>
      </c>
      <c r="R32" s="69">
        <f>IF($B32="","",IFERROR($O32+$B32*$G32*$M32/$B$3,""))</f>
        <v/>
      </c>
      <c r="S32" s="69">
        <f>IF($B32="","",IFERROR($O32+$B32*$G32*$N32/$B$3,""))</f>
        <v/>
      </c>
      <c r="T32" s="88">
        <f>IF($B32="","",IFERROR($Q32/$Q$5,""))</f>
        <v/>
      </c>
      <c r="U32" s="2">
        <f>IF($B32="","",IF(COUNTIFS('Dvd Calendar'!$E$1397:$AR$1397,"&gt;0",'Dvd Calendar'!$E$1397:$AR$1397,"&lt;="&amp;VAL_DATE,'Dvd Calendar'!$E$1398:$AR$1398,"&gt;"&amp;PROJ_FROM,'Dvd Calendar'!$E$1398:$AR$1398,"&lt;="&amp;DATE(YEAR_Y,12,31))-COUNTIFS('Dvd Calendar'!$E$1397:$AR$1397,"&gt;0",'Dvd Calendar'!$E$1397:$AR$1397,"&lt;="&amp;VAL_DATE,'Dvd Calendar'!$E$1398:$AR$1398,"&gt;"&amp;PROJ_FROM,'Dvd Calendar'!$E$1398:$AR$1398,"&lt;="&amp;DATE(YEAR_Y,12,31),'Dvd Calendar'!$E$1399:$AR$1399,"&gt;=0")&gt;0,"TBA amount - override me",IF((OV_SWITCH="ON")*(COUNTIFS(OVR_TICKERS,$C32,OVR_BASE,"&gt;=0")&gt;0)&gt;0,"overridden",IF($J32+$K32=0,"no dividend in year Y",""))))</f>
        <v/>
      </c>
      <c r="V32" s="69">
        <f>IF($B32="","",IFERROR(IF(ISNUMBER($H32),$B32*$G32*$H32/$B$3,0),""))</f>
        <v/>
      </c>
      <c r="W32" s="69">
        <f>IF($B32="","",IFERROR($B32*$G32*$K32/$B$3,""))</f>
        <v/>
      </c>
      <c r="X32" s="98">
        <f>IF($C32="","",BDP($C32,"PX_LAST"))</f>
        <v/>
      </c>
      <c r="Y32" s="69">
        <f>IF($B32="","",IFERROR($B32*$X32/$B$3,""))</f>
        <v/>
      </c>
      <c r="Z32" s="73">
        <f>IF($B32="","",IFERROR($Y32/$Y$5,""))</f>
        <v/>
      </c>
    </row>
    <row r="33">
      <c r="B33" s="97" t="n"/>
      <c r="C33" s="8">
        <f>IF($A33="","",$A33&amp;" Equity")</f>
        <v/>
      </c>
      <c r="D33" s="8">
        <f>IF($C33="","",BDP($C33,"NAME"))</f>
        <v/>
      </c>
      <c r="E33" s="8">
        <f>IF($C33="","",BDP($C33,"GICS_SECTOR_NAME"))</f>
        <v/>
      </c>
      <c r="F33" s="37">
        <f>IF($C33="","",BDP($C33,FLD_CCY))</f>
        <v/>
      </c>
      <c r="G33" s="12">
        <f>IFERROR(IF(LEN($F33)&lt;&gt;3,1,IF($F33="HKD",1,BDP(IF($F33="CNY",RMB_CROSS,$F33)&amp;"HKD Curncy","PX_LAST"))),1)</f>
        <v/>
      </c>
      <c r="H33" s="69">
        <f>IF($C33="","",BDP($C33,FLD_DPS12M))</f>
        <v/>
      </c>
      <c r="I33" s="50">
        <f>IF($C33="","",BDP($C33,FLD_YLD12M))</f>
        <v/>
      </c>
      <c r="J33" s="52">
        <f>IF($B33="",0,SUMPRODUCT(('Dvd Calendar'!$E$1402:$AR$1402&gt;=DATE(YEAR_Y,1,1))*('Dvd Calendar'!$E$1402:$AR$1402&lt;=REALIZED_TO)*'Dvd Calendar'!$E$1405:$AR$1405*(('Dvd Calendar'!$E$1407:$AR$1407=TYPE1)*(TYPE1&lt;&gt;"")+('Dvd Calendar'!$E$1407:$AR$1407=TYPE2)*(TYPE2&lt;&gt;"")+('Dvd Calendar'!$E$1407:$AR$1407=TYPE3)*(TYPE3&lt;&gt;"")+('Dvd Calendar'!$E$1407:$AR$1407=TYPE4)*(TYPE4&lt;&gt;"")+('Dvd Calendar'!$E$1407:$AR$1407=SPECIAL_LBL)*(INC_SPECIALS="Y"))))</f>
        <v/>
      </c>
      <c r="K33" s="52">
        <f>IF($B33="",0,SUMIFS('Dvd Calendar'!$E$1410:$AR$1410,'Dvd Calendar'!$E$1409:$AR$1409,"&gt;"&amp;PROJ_FROM,'Dvd Calendar'!$E$1409:$AR$1409,"&lt;="&amp;DATE(YEAR_Y,12,31))+SUMPRODUCT(('Dvd Calendar'!$E$1402:$AR$1402&gt;PROJ_FROM)*('Dvd Calendar'!$E$1402:$AR$1402&lt;=DATE(YEAR_Y,12,31))*'Dvd Calendar'!$E$1405:$AR$1405*(('Dvd Calendar'!$E$1407:$AR$1407=TYPE1)*(TYPE1&lt;&gt;"")+('Dvd Calendar'!$E$1407:$AR$1407=TYPE2)*(TYPE2&lt;&gt;"")+('Dvd Calendar'!$E$1407:$AR$1407=TYPE3)*(TYPE3&lt;&gt;"")+('Dvd Calendar'!$E$1407:$AR$1407=TYPE4)*(TYPE4&lt;&gt;"")+('Dvd Calendar'!$E$1407:$AR$1407=SPECIAL_LBL)*(INC_SPECIALS="Y"))*(COUNTIF('Dvd Calendar'!$E$1409:$AR$1409,'Dvd Calendar'!$E$1402:$AR$1402)=0)))</f>
        <v/>
      </c>
      <c r="L33" s="52">
        <f>IF($B33="",0,IF((OV_SWITCH="ON")*(COUNTIFS(OVR_TICKERS,$C33,OVR_BASE,"&gt;=0")&gt;0)&gt;0,SUMIFS(OVR_BASE,OVR_TICKERS,$C33),$K33))</f>
        <v/>
      </c>
      <c r="M33" s="52">
        <f>IF($B33="",0,IF((OV_SWITCH="ON")*(COUNTIFS(OVR_TICKERS,$C33,OVR_LOW,"&gt;=0")&gt;0)&gt;0,SUMIFS(OVR_LOW,OVR_TICKERS,$C33),$L33))</f>
        <v/>
      </c>
      <c r="N33" s="52">
        <f>IF($B33="",0,IF((OV_SWITCH="ON")*(COUNTIFS(OVR_TICKERS,$C33,OVR_HIGH,"&gt;=0")&gt;0)&gt;0,SUMIFS(OVR_HIGH,OVR_TICKERS,$C33),$L33))</f>
        <v/>
      </c>
      <c r="O33" s="69">
        <f>IF($B33="","",IFERROR($B33*$G33*$J33/$B$3,""))</f>
        <v/>
      </c>
      <c r="P33" s="69">
        <f>IF($B33="","",IFERROR($B33*$G33*$L33/$B$3,""))</f>
        <v/>
      </c>
      <c r="Q33" s="44">
        <f>IF($B33="","",IFERROR($O33+$P33,""))</f>
        <v/>
      </c>
      <c r="R33" s="69">
        <f>IF($B33="","",IFERROR($O33+$B33*$G33*$M33/$B$3,""))</f>
        <v/>
      </c>
      <c r="S33" s="69">
        <f>IF($B33="","",IFERROR($O33+$B33*$G33*$N33/$B$3,""))</f>
        <v/>
      </c>
      <c r="T33" s="88">
        <f>IF($B33="","",IFERROR($Q33/$Q$5,""))</f>
        <v/>
      </c>
      <c r="U33" s="2">
        <f>IF($B33="","",IF(COUNTIFS('Dvd Calendar'!$E$1408:$AR$1408,"&gt;0",'Dvd Calendar'!$E$1408:$AR$1408,"&lt;="&amp;VAL_DATE,'Dvd Calendar'!$E$1409:$AR$1409,"&gt;"&amp;PROJ_FROM,'Dvd Calendar'!$E$1409:$AR$1409,"&lt;="&amp;DATE(YEAR_Y,12,31))-COUNTIFS('Dvd Calendar'!$E$1408:$AR$1408,"&gt;0",'Dvd Calendar'!$E$1408:$AR$1408,"&lt;="&amp;VAL_DATE,'Dvd Calendar'!$E$1409:$AR$1409,"&gt;"&amp;PROJ_FROM,'Dvd Calendar'!$E$1409:$AR$1409,"&lt;="&amp;DATE(YEAR_Y,12,31),'Dvd Calendar'!$E$1410:$AR$1410,"&gt;=0")&gt;0,"TBA amount - override me",IF((OV_SWITCH="ON")*(COUNTIFS(OVR_TICKERS,$C33,OVR_BASE,"&gt;=0")&gt;0)&gt;0,"overridden",IF($J33+$K33=0,"no dividend in year Y",""))))</f>
        <v/>
      </c>
      <c r="V33" s="69">
        <f>IF($B33="","",IFERROR(IF(ISNUMBER($H33),$B33*$G33*$H33/$B$3,0),""))</f>
        <v/>
      </c>
      <c r="W33" s="69">
        <f>IF($B33="","",IFERROR($B33*$G33*$K33/$B$3,""))</f>
        <v/>
      </c>
      <c r="X33" s="98">
        <f>IF($C33="","",BDP($C33,"PX_LAST"))</f>
        <v/>
      </c>
      <c r="Y33" s="69">
        <f>IF($B33="","",IFERROR($B33*$X33/$B$3,""))</f>
        <v/>
      </c>
      <c r="Z33" s="73">
        <f>IF($B33="","",IFERROR($Y33/$Y$5,""))</f>
        <v/>
      </c>
    </row>
    <row r="34">
      <c r="B34" s="97" t="n"/>
      <c r="C34" s="8">
        <f>IF($A34="","",$A34&amp;" Equity")</f>
        <v/>
      </c>
      <c r="D34" s="8">
        <f>IF($C34="","",BDP($C34,"NAME"))</f>
        <v/>
      </c>
      <c r="E34" s="8">
        <f>IF($C34="","",BDP($C34,"GICS_SECTOR_NAME"))</f>
        <v/>
      </c>
      <c r="F34" s="37">
        <f>IF($C34="","",BDP($C34,FLD_CCY))</f>
        <v/>
      </c>
      <c r="G34" s="12">
        <f>IFERROR(IF(LEN($F34)&lt;&gt;3,1,IF($F34="HKD",1,BDP(IF($F34="CNY",RMB_CROSS,$F34)&amp;"HKD Curncy","PX_LAST"))),1)</f>
        <v/>
      </c>
      <c r="H34" s="69">
        <f>IF($C34="","",BDP($C34,FLD_DPS12M))</f>
        <v/>
      </c>
      <c r="I34" s="50">
        <f>IF($C34="","",BDP($C34,FLD_YLD12M))</f>
        <v/>
      </c>
      <c r="J34" s="52">
        <f>IF($B34="",0,SUMPRODUCT(('Dvd Calendar'!$E$1413:$AR$1413&gt;=DATE(YEAR_Y,1,1))*('Dvd Calendar'!$E$1413:$AR$1413&lt;=REALIZED_TO)*'Dvd Calendar'!$E$1416:$AR$1416*(('Dvd Calendar'!$E$1418:$AR$1418=TYPE1)*(TYPE1&lt;&gt;"")+('Dvd Calendar'!$E$1418:$AR$1418=TYPE2)*(TYPE2&lt;&gt;"")+('Dvd Calendar'!$E$1418:$AR$1418=TYPE3)*(TYPE3&lt;&gt;"")+('Dvd Calendar'!$E$1418:$AR$1418=TYPE4)*(TYPE4&lt;&gt;"")+('Dvd Calendar'!$E$1418:$AR$1418=SPECIAL_LBL)*(INC_SPECIALS="Y"))))</f>
        <v/>
      </c>
      <c r="K34" s="52">
        <f>IF($B34="",0,SUMIFS('Dvd Calendar'!$E$1421:$AR$1421,'Dvd Calendar'!$E$1420:$AR$1420,"&gt;"&amp;PROJ_FROM,'Dvd Calendar'!$E$1420:$AR$1420,"&lt;="&amp;DATE(YEAR_Y,12,31))+SUMPRODUCT(('Dvd Calendar'!$E$1413:$AR$1413&gt;PROJ_FROM)*('Dvd Calendar'!$E$1413:$AR$1413&lt;=DATE(YEAR_Y,12,31))*'Dvd Calendar'!$E$1416:$AR$1416*(('Dvd Calendar'!$E$1418:$AR$1418=TYPE1)*(TYPE1&lt;&gt;"")+('Dvd Calendar'!$E$1418:$AR$1418=TYPE2)*(TYPE2&lt;&gt;"")+('Dvd Calendar'!$E$1418:$AR$1418=TYPE3)*(TYPE3&lt;&gt;"")+('Dvd Calendar'!$E$1418:$AR$1418=TYPE4)*(TYPE4&lt;&gt;"")+('Dvd Calendar'!$E$1418:$AR$1418=SPECIAL_LBL)*(INC_SPECIALS="Y"))*(COUNTIF('Dvd Calendar'!$E$1420:$AR$1420,'Dvd Calendar'!$E$1413:$AR$1413)=0)))</f>
        <v/>
      </c>
      <c r="L34" s="52">
        <f>IF($B34="",0,IF((OV_SWITCH="ON")*(COUNTIFS(OVR_TICKERS,$C34,OVR_BASE,"&gt;=0")&gt;0)&gt;0,SUMIFS(OVR_BASE,OVR_TICKERS,$C34),$K34))</f>
        <v/>
      </c>
      <c r="M34" s="52">
        <f>IF($B34="",0,IF((OV_SWITCH="ON")*(COUNTIFS(OVR_TICKERS,$C34,OVR_LOW,"&gt;=0")&gt;0)&gt;0,SUMIFS(OVR_LOW,OVR_TICKERS,$C34),$L34))</f>
        <v/>
      </c>
      <c r="N34" s="52">
        <f>IF($B34="",0,IF((OV_SWITCH="ON")*(COUNTIFS(OVR_TICKERS,$C34,OVR_HIGH,"&gt;=0")&gt;0)&gt;0,SUMIFS(OVR_HIGH,OVR_TICKERS,$C34),$L34))</f>
        <v/>
      </c>
      <c r="O34" s="69">
        <f>IF($B34="","",IFERROR($B34*$G34*$J34/$B$3,""))</f>
        <v/>
      </c>
      <c r="P34" s="69">
        <f>IF($B34="","",IFERROR($B34*$G34*$L34/$B$3,""))</f>
        <v/>
      </c>
      <c r="Q34" s="44">
        <f>IF($B34="","",IFERROR($O34+$P34,""))</f>
        <v/>
      </c>
      <c r="R34" s="69">
        <f>IF($B34="","",IFERROR($O34+$B34*$G34*$M34/$B$3,""))</f>
        <v/>
      </c>
      <c r="S34" s="69">
        <f>IF($B34="","",IFERROR($O34+$B34*$G34*$N34/$B$3,""))</f>
        <v/>
      </c>
      <c r="T34" s="88">
        <f>IF($B34="","",IFERROR($Q34/$Q$5,""))</f>
        <v/>
      </c>
      <c r="U34" s="2">
        <f>IF($B34="","",IF(COUNTIFS('Dvd Calendar'!$E$1419:$AR$1419,"&gt;0",'Dvd Calendar'!$E$1419:$AR$1419,"&lt;="&amp;VAL_DATE,'Dvd Calendar'!$E$1420:$AR$1420,"&gt;"&amp;PROJ_FROM,'Dvd Calendar'!$E$1420:$AR$1420,"&lt;="&amp;DATE(YEAR_Y,12,31))-COUNTIFS('Dvd Calendar'!$E$1419:$AR$1419,"&gt;0",'Dvd Calendar'!$E$1419:$AR$1419,"&lt;="&amp;VAL_DATE,'Dvd Calendar'!$E$1420:$AR$1420,"&gt;"&amp;PROJ_FROM,'Dvd Calendar'!$E$1420:$AR$1420,"&lt;="&amp;DATE(YEAR_Y,12,31),'Dvd Calendar'!$E$1421:$AR$1421,"&gt;=0")&gt;0,"TBA amount - override me",IF((OV_SWITCH="ON")*(COUNTIFS(OVR_TICKERS,$C34,OVR_BASE,"&gt;=0")&gt;0)&gt;0,"overridden",IF($J34+$K34=0,"no dividend in year Y",""))))</f>
        <v/>
      </c>
      <c r="V34" s="69">
        <f>IF($B34="","",IFERROR(IF(ISNUMBER($H34),$B34*$G34*$H34/$B$3,0),""))</f>
        <v/>
      </c>
      <c r="W34" s="69">
        <f>IF($B34="","",IFERROR($B34*$G34*$K34/$B$3,""))</f>
        <v/>
      </c>
      <c r="X34" s="98">
        <f>IF($C34="","",BDP($C34,"PX_LAST"))</f>
        <v/>
      </c>
      <c r="Y34" s="69">
        <f>IF($B34="","",IFERROR($B34*$X34/$B$3,""))</f>
        <v/>
      </c>
      <c r="Z34" s="73">
        <f>IF($B34="","",IFERROR($Y34/$Y$5,""))</f>
        <v/>
      </c>
    </row>
    <row r="35">
      <c r="B35" s="97" t="n"/>
      <c r="C35" s="8">
        <f>IF($A35="","",$A35&amp;" Equity")</f>
        <v/>
      </c>
      <c r="D35" s="8">
        <f>IF($C35="","",BDP($C35,"NAME"))</f>
        <v/>
      </c>
      <c r="E35" s="8">
        <f>IF($C35="","",BDP($C35,"GICS_SECTOR_NAME"))</f>
        <v/>
      </c>
      <c r="F35" s="37">
        <f>IF($C35="","",BDP($C35,FLD_CCY))</f>
        <v/>
      </c>
      <c r="G35" s="12">
        <f>IFERROR(IF(LEN($F35)&lt;&gt;3,1,IF($F35="HKD",1,BDP(IF($F35="CNY",RMB_CROSS,$F35)&amp;"HKD Curncy","PX_LAST"))),1)</f>
        <v/>
      </c>
      <c r="H35" s="69">
        <f>IF($C35="","",BDP($C35,FLD_DPS12M))</f>
        <v/>
      </c>
      <c r="I35" s="50">
        <f>IF($C35="","",BDP($C35,FLD_YLD12M))</f>
        <v/>
      </c>
      <c r="J35" s="52">
        <f>IF($B35="",0,SUMPRODUCT(('Dvd Calendar'!$E$1424:$AR$1424&gt;=DATE(YEAR_Y,1,1))*('Dvd Calendar'!$E$1424:$AR$1424&lt;=REALIZED_TO)*'Dvd Calendar'!$E$1427:$AR$1427*(('Dvd Calendar'!$E$1429:$AR$1429=TYPE1)*(TYPE1&lt;&gt;"")+('Dvd Calendar'!$E$1429:$AR$1429=TYPE2)*(TYPE2&lt;&gt;"")+('Dvd Calendar'!$E$1429:$AR$1429=TYPE3)*(TYPE3&lt;&gt;"")+('Dvd Calendar'!$E$1429:$AR$1429=TYPE4)*(TYPE4&lt;&gt;"")+('Dvd Calendar'!$E$1429:$AR$1429=SPECIAL_LBL)*(INC_SPECIALS="Y"))))</f>
        <v/>
      </c>
      <c r="K35" s="52">
        <f>IF($B35="",0,SUMIFS('Dvd Calendar'!$E$1432:$AR$1432,'Dvd Calendar'!$E$1431:$AR$1431,"&gt;"&amp;PROJ_FROM,'Dvd Calendar'!$E$1431:$AR$1431,"&lt;="&amp;DATE(YEAR_Y,12,31))+SUMPRODUCT(('Dvd Calendar'!$E$1424:$AR$1424&gt;PROJ_FROM)*('Dvd Calendar'!$E$1424:$AR$1424&lt;=DATE(YEAR_Y,12,31))*'Dvd Calendar'!$E$1427:$AR$1427*(('Dvd Calendar'!$E$1429:$AR$1429=TYPE1)*(TYPE1&lt;&gt;"")+('Dvd Calendar'!$E$1429:$AR$1429=TYPE2)*(TYPE2&lt;&gt;"")+('Dvd Calendar'!$E$1429:$AR$1429=TYPE3)*(TYPE3&lt;&gt;"")+('Dvd Calendar'!$E$1429:$AR$1429=TYPE4)*(TYPE4&lt;&gt;"")+('Dvd Calendar'!$E$1429:$AR$1429=SPECIAL_LBL)*(INC_SPECIALS="Y"))*(COUNTIF('Dvd Calendar'!$E$1431:$AR$1431,'Dvd Calendar'!$E$1424:$AR$1424)=0)))</f>
        <v/>
      </c>
      <c r="L35" s="52">
        <f>IF($B35="",0,IF((OV_SWITCH="ON")*(COUNTIFS(OVR_TICKERS,$C35,OVR_BASE,"&gt;=0")&gt;0)&gt;0,SUMIFS(OVR_BASE,OVR_TICKERS,$C35),$K35))</f>
        <v/>
      </c>
      <c r="M35" s="52">
        <f>IF($B35="",0,IF((OV_SWITCH="ON")*(COUNTIFS(OVR_TICKERS,$C35,OVR_LOW,"&gt;=0")&gt;0)&gt;0,SUMIFS(OVR_LOW,OVR_TICKERS,$C35),$L35))</f>
        <v/>
      </c>
      <c r="N35" s="52">
        <f>IF($B35="",0,IF((OV_SWITCH="ON")*(COUNTIFS(OVR_TICKERS,$C35,OVR_HIGH,"&gt;=0")&gt;0)&gt;0,SUMIFS(OVR_HIGH,OVR_TICKERS,$C35),$L35))</f>
        <v/>
      </c>
      <c r="O35" s="69">
        <f>IF($B35="","",IFERROR($B35*$G35*$J35/$B$3,""))</f>
        <v/>
      </c>
      <c r="P35" s="69">
        <f>IF($B35="","",IFERROR($B35*$G35*$L35/$B$3,""))</f>
        <v/>
      </c>
      <c r="Q35" s="44">
        <f>IF($B35="","",IFERROR($O35+$P35,""))</f>
        <v/>
      </c>
      <c r="R35" s="69">
        <f>IF($B35="","",IFERROR($O35+$B35*$G35*$M35/$B$3,""))</f>
        <v/>
      </c>
      <c r="S35" s="69">
        <f>IF($B35="","",IFERROR($O35+$B35*$G35*$N35/$B$3,""))</f>
        <v/>
      </c>
      <c r="T35" s="88">
        <f>IF($B35="","",IFERROR($Q35/$Q$5,""))</f>
        <v/>
      </c>
      <c r="U35" s="2">
        <f>IF($B35="","",IF(COUNTIFS('Dvd Calendar'!$E$1430:$AR$1430,"&gt;0",'Dvd Calendar'!$E$1430:$AR$1430,"&lt;="&amp;VAL_DATE,'Dvd Calendar'!$E$1431:$AR$1431,"&gt;"&amp;PROJ_FROM,'Dvd Calendar'!$E$1431:$AR$1431,"&lt;="&amp;DATE(YEAR_Y,12,31))-COUNTIFS('Dvd Calendar'!$E$1430:$AR$1430,"&gt;0",'Dvd Calendar'!$E$1430:$AR$1430,"&lt;="&amp;VAL_DATE,'Dvd Calendar'!$E$1431:$AR$1431,"&gt;"&amp;PROJ_FROM,'Dvd Calendar'!$E$1431:$AR$1431,"&lt;="&amp;DATE(YEAR_Y,12,31),'Dvd Calendar'!$E$1432:$AR$1432,"&gt;=0")&gt;0,"TBA amount - override me",IF((OV_SWITCH="ON")*(COUNTIFS(OVR_TICKERS,$C35,OVR_BASE,"&gt;=0")&gt;0)&gt;0,"overridden",IF($J35+$K35=0,"no dividend in year Y",""))))</f>
        <v/>
      </c>
      <c r="V35" s="69">
        <f>IF($B35="","",IFERROR(IF(ISNUMBER($H35),$B35*$G35*$H35/$B$3,0),""))</f>
        <v/>
      </c>
      <c r="W35" s="69">
        <f>IF($B35="","",IFERROR($B35*$G35*$K35/$B$3,""))</f>
        <v/>
      </c>
      <c r="X35" s="98">
        <f>IF($C35="","",BDP($C35,"PX_LAST"))</f>
        <v/>
      </c>
      <c r="Y35" s="69">
        <f>IF($B35="","",IFERROR($B35*$X35/$B$3,""))</f>
        <v/>
      </c>
      <c r="Z35" s="73">
        <f>IF($B35="","",IFERROR($Y35/$Y$5,""))</f>
        <v/>
      </c>
    </row>
    <row r="36">
      <c r="B36" s="97" t="n"/>
      <c r="C36" s="8">
        <f>IF($A36="","",$A36&amp;" Equity")</f>
        <v/>
      </c>
      <c r="D36" s="8">
        <f>IF($C36="","",BDP($C36,"NAME"))</f>
        <v/>
      </c>
      <c r="E36" s="8">
        <f>IF($C36="","",BDP($C36,"GICS_SECTOR_NAME"))</f>
        <v/>
      </c>
      <c r="F36" s="37">
        <f>IF($C36="","",BDP($C36,FLD_CCY))</f>
        <v/>
      </c>
      <c r="G36" s="12">
        <f>IFERROR(IF(LEN($F36)&lt;&gt;3,1,IF($F36="HKD",1,BDP(IF($F36="CNY",RMB_CROSS,$F36)&amp;"HKD Curncy","PX_LAST"))),1)</f>
        <v/>
      </c>
      <c r="H36" s="69">
        <f>IF($C36="","",BDP($C36,FLD_DPS12M))</f>
        <v/>
      </c>
      <c r="I36" s="50">
        <f>IF($C36="","",BDP($C36,FLD_YLD12M))</f>
        <v/>
      </c>
      <c r="J36" s="52">
        <f>IF($B36="",0,SUMPRODUCT(('Dvd Calendar'!$E$1435:$AR$1435&gt;=DATE(YEAR_Y,1,1))*('Dvd Calendar'!$E$1435:$AR$1435&lt;=REALIZED_TO)*'Dvd Calendar'!$E$1438:$AR$1438*(('Dvd Calendar'!$E$1440:$AR$1440=TYPE1)*(TYPE1&lt;&gt;"")+('Dvd Calendar'!$E$1440:$AR$1440=TYPE2)*(TYPE2&lt;&gt;"")+('Dvd Calendar'!$E$1440:$AR$1440=TYPE3)*(TYPE3&lt;&gt;"")+('Dvd Calendar'!$E$1440:$AR$1440=TYPE4)*(TYPE4&lt;&gt;"")+('Dvd Calendar'!$E$1440:$AR$1440=SPECIAL_LBL)*(INC_SPECIALS="Y"))))</f>
        <v/>
      </c>
      <c r="K36" s="52">
        <f>IF($B36="",0,SUMIFS('Dvd Calendar'!$E$1443:$AR$1443,'Dvd Calendar'!$E$1442:$AR$1442,"&gt;"&amp;PROJ_FROM,'Dvd Calendar'!$E$1442:$AR$1442,"&lt;="&amp;DATE(YEAR_Y,12,31))+SUMPRODUCT(('Dvd Calendar'!$E$1435:$AR$1435&gt;PROJ_FROM)*('Dvd Calendar'!$E$1435:$AR$1435&lt;=DATE(YEAR_Y,12,31))*'Dvd Calendar'!$E$1438:$AR$1438*(('Dvd Calendar'!$E$1440:$AR$1440=TYPE1)*(TYPE1&lt;&gt;"")+('Dvd Calendar'!$E$1440:$AR$1440=TYPE2)*(TYPE2&lt;&gt;"")+('Dvd Calendar'!$E$1440:$AR$1440=TYPE3)*(TYPE3&lt;&gt;"")+('Dvd Calendar'!$E$1440:$AR$1440=TYPE4)*(TYPE4&lt;&gt;"")+('Dvd Calendar'!$E$1440:$AR$1440=SPECIAL_LBL)*(INC_SPECIALS="Y"))*(COUNTIF('Dvd Calendar'!$E$1442:$AR$1442,'Dvd Calendar'!$E$1435:$AR$1435)=0)))</f>
        <v/>
      </c>
      <c r="L36" s="52">
        <f>IF($B36="",0,IF((OV_SWITCH="ON")*(COUNTIFS(OVR_TICKERS,$C36,OVR_BASE,"&gt;=0")&gt;0)&gt;0,SUMIFS(OVR_BASE,OVR_TICKERS,$C36),$K36))</f>
        <v/>
      </c>
      <c r="M36" s="52">
        <f>IF($B36="",0,IF((OV_SWITCH="ON")*(COUNTIFS(OVR_TICKERS,$C36,OVR_LOW,"&gt;=0")&gt;0)&gt;0,SUMIFS(OVR_LOW,OVR_TICKERS,$C36),$L36))</f>
        <v/>
      </c>
      <c r="N36" s="52">
        <f>IF($B36="",0,IF((OV_SWITCH="ON")*(COUNTIFS(OVR_TICKERS,$C36,OVR_HIGH,"&gt;=0")&gt;0)&gt;0,SUMIFS(OVR_HIGH,OVR_TICKERS,$C36),$L36))</f>
        <v/>
      </c>
      <c r="O36" s="69">
        <f>IF($B36="","",IFERROR($B36*$G36*$J36/$B$3,""))</f>
        <v/>
      </c>
      <c r="P36" s="69">
        <f>IF($B36="","",IFERROR($B36*$G36*$L36/$B$3,""))</f>
        <v/>
      </c>
      <c r="Q36" s="44">
        <f>IF($B36="","",IFERROR($O36+$P36,""))</f>
        <v/>
      </c>
      <c r="R36" s="69">
        <f>IF($B36="","",IFERROR($O36+$B36*$G36*$M36/$B$3,""))</f>
        <v/>
      </c>
      <c r="S36" s="69">
        <f>IF($B36="","",IFERROR($O36+$B36*$G36*$N36/$B$3,""))</f>
        <v/>
      </c>
      <c r="T36" s="88">
        <f>IF($B36="","",IFERROR($Q36/$Q$5,""))</f>
        <v/>
      </c>
      <c r="U36" s="2">
        <f>IF($B36="","",IF(COUNTIFS('Dvd Calendar'!$E$1441:$AR$1441,"&gt;0",'Dvd Calendar'!$E$1441:$AR$1441,"&lt;="&amp;VAL_DATE,'Dvd Calendar'!$E$1442:$AR$1442,"&gt;"&amp;PROJ_FROM,'Dvd Calendar'!$E$1442:$AR$1442,"&lt;="&amp;DATE(YEAR_Y,12,31))-COUNTIFS('Dvd Calendar'!$E$1441:$AR$1441,"&gt;0",'Dvd Calendar'!$E$1441:$AR$1441,"&lt;="&amp;VAL_DATE,'Dvd Calendar'!$E$1442:$AR$1442,"&gt;"&amp;PROJ_FROM,'Dvd Calendar'!$E$1442:$AR$1442,"&lt;="&amp;DATE(YEAR_Y,12,31),'Dvd Calendar'!$E$1443:$AR$1443,"&gt;=0")&gt;0,"TBA amount - override me",IF((OV_SWITCH="ON")*(COUNTIFS(OVR_TICKERS,$C36,OVR_BASE,"&gt;=0")&gt;0)&gt;0,"overridden",IF($J36+$K36=0,"no dividend in year Y",""))))</f>
        <v/>
      </c>
      <c r="V36" s="69">
        <f>IF($B36="","",IFERROR(IF(ISNUMBER($H36),$B36*$G36*$H36/$B$3,0),""))</f>
        <v/>
      </c>
      <c r="W36" s="69">
        <f>IF($B36="","",IFERROR($B36*$G36*$K36/$B$3,""))</f>
        <v/>
      </c>
      <c r="X36" s="98">
        <f>IF($C36="","",BDP($C36,"PX_LAST"))</f>
        <v/>
      </c>
      <c r="Y36" s="69">
        <f>IF($B36="","",IFERROR($B36*$X36/$B$3,""))</f>
        <v/>
      </c>
      <c r="Z36" s="73">
        <f>IF($B36="","",IFERROR($Y36/$Y$5,""))</f>
        <v/>
      </c>
    </row>
    <row r="37">
      <c r="B37" s="97" t="n"/>
      <c r="C37" s="8">
        <f>IF($A37="","",$A37&amp;" Equity")</f>
        <v/>
      </c>
      <c r="D37" s="8">
        <f>IF($C37="","",BDP($C37,"NAME"))</f>
        <v/>
      </c>
      <c r="E37" s="8">
        <f>IF($C37="","",BDP($C37,"GICS_SECTOR_NAME"))</f>
        <v/>
      </c>
      <c r="F37" s="37">
        <f>IF($C37="","",BDP($C37,FLD_CCY))</f>
        <v/>
      </c>
      <c r="G37" s="12">
        <f>IFERROR(IF(LEN($F37)&lt;&gt;3,1,IF($F37="HKD",1,BDP(IF($F37="CNY",RMB_CROSS,$F37)&amp;"HKD Curncy","PX_LAST"))),1)</f>
        <v/>
      </c>
      <c r="H37" s="69">
        <f>IF($C37="","",BDP($C37,FLD_DPS12M))</f>
        <v/>
      </c>
      <c r="I37" s="50">
        <f>IF($C37="","",BDP($C37,FLD_YLD12M))</f>
        <v/>
      </c>
      <c r="J37" s="52">
        <f>IF($B37="",0,SUMPRODUCT(('Dvd Calendar'!$E$1446:$AR$1446&gt;=DATE(YEAR_Y,1,1))*('Dvd Calendar'!$E$1446:$AR$1446&lt;=REALIZED_TO)*'Dvd Calendar'!$E$1449:$AR$1449*(('Dvd Calendar'!$E$1451:$AR$1451=TYPE1)*(TYPE1&lt;&gt;"")+('Dvd Calendar'!$E$1451:$AR$1451=TYPE2)*(TYPE2&lt;&gt;"")+('Dvd Calendar'!$E$1451:$AR$1451=TYPE3)*(TYPE3&lt;&gt;"")+('Dvd Calendar'!$E$1451:$AR$1451=TYPE4)*(TYPE4&lt;&gt;"")+('Dvd Calendar'!$E$1451:$AR$1451=SPECIAL_LBL)*(INC_SPECIALS="Y"))))</f>
        <v/>
      </c>
      <c r="K37" s="52">
        <f>IF($B37="",0,SUMIFS('Dvd Calendar'!$E$1454:$AR$1454,'Dvd Calendar'!$E$1453:$AR$1453,"&gt;"&amp;PROJ_FROM,'Dvd Calendar'!$E$1453:$AR$1453,"&lt;="&amp;DATE(YEAR_Y,12,31))+SUMPRODUCT(('Dvd Calendar'!$E$1446:$AR$1446&gt;PROJ_FROM)*('Dvd Calendar'!$E$1446:$AR$1446&lt;=DATE(YEAR_Y,12,31))*'Dvd Calendar'!$E$1449:$AR$1449*(('Dvd Calendar'!$E$1451:$AR$1451=TYPE1)*(TYPE1&lt;&gt;"")+('Dvd Calendar'!$E$1451:$AR$1451=TYPE2)*(TYPE2&lt;&gt;"")+('Dvd Calendar'!$E$1451:$AR$1451=TYPE3)*(TYPE3&lt;&gt;"")+('Dvd Calendar'!$E$1451:$AR$1451=TYPE4)*(TYPE4&lt;&gt;"")+('Dvd Calendar'!$E$1451:$AR$1451=SPECIAL_LBL)*(INC_SPECIALS="Y"))*(COUNTIF('Dvd Calendar'!$E$1453:$AR$1453,'Dvd Calendar'!$E$1446:$AR$1446)=0)))</f>
        <v/>
      </c>
      <c r="L37" s="52">
        <f>IF($B37="",0,IF((OV_SWITCH="ON")*(COUNTIFS(OVR_TICKERS,$C37,OVR_BASE,"&gt;=0")&gt;0)&gt;0,SUMIFS(OVR_BASE,OVR_TICKERS,$C37),$K37))</f>
        <v/>
      </c>
      <c r="M37" s="52">
        <f>IF($B37="",0,IF((OV_SWITCH="ON")*(COUNTIFS(OVR_TICKERS,$C37,OVR_LOW,"&gt;=0")&gt;0)&gt;0,SUMIFS(OVR_LOW,OVR_TICKERS,$C37),$L37))</f>
        <v/>
      </c>
      <c r="N37" s="52">
        <f>IF($B37="",0,IF((OV_SWITCH="ON")*(COUNTIFS(OVR_TICKERS,$C37,OVR_HIGH,"&gt;=0")&gt;0)&gt;0,SUMIFS(OVR_HIGH,OVR_TICKERS,$C37),$L37))</f>
        <v/>
      </c>
      <c r="O37" s="69">
        <f>IF($B37="","",IFERROR($B37*$G37*$J37/$B$3,""))</f>
        <v/>
      </c>
      <c r="P37" s="69">
        <f>IF($B37="","",IFERROR($B37*$G37*$L37/$B$3,""))</f>
        <v/>
      </c>
      <c r="Q37" s="44">
        <f>IF($B37="","",IFERROR($O37+$P37,""))</f>
        <v/>
      </c>
      <c r="R37" s="69">
        <f>IF($B37="","",IFERROR($O37+$B37*$G37*$M37/$B$3,""))</f>
        <v/>
      </c>
      <c r="S37" s="69">
        <f>IF($B37="","",IFERROR($O37+$B37*$G37*$N37/$B$3,""))</f>
        <v/>
      </c>
      <c r="T37" s="88">
        <f>IF($B37="","",IFERROR($Q37/$Q$5,""))</f>
        <v/>
      </c>
      <c r="U37" s="2">
        <f>IF($B37="","",IF(COUNTIFS('Dvd Calendar'!$E$1452:$AR$1452,"&gt;0",'Dvd Calendar'!$E$1452:$AR$1452,"&lt;="&amp;VAL_DATE,'Dvd Calendar'!$E$1453:$AR$1453,"&gt;"&amp;PROJ_FROM,'Dvd Calendar'!$E$1453:$AR$1453,"&lt;="&amp;DATE(YEAR_Y,12,31))-COUNTIFS('Dvd Calendar'!$E$1452:$AR$1452,"&gt;0",'Dvd Calendar'!$E$1452:$AR$1452,"&lt;="&amp;VAL_DATE,'Dvd Calendar'!$E$1453:$AR$1453,"&gt;"&amp;PROJ_FROM,'Dvd Calendar'!$E$1453:$AR$1453,"&lt;="&amp;DATE(YEAR_Y,12,31),'Dvd Calendar'!$E$1454:$AR$1454,"&gt;=0")&gt;0,"TBA amount - override me",IF((OV_SWITCH="ON")*(COUNTIFS(OVR_TICKERS,$C37,OVR_BASE,"&gt;=0")&gt;0)&gt;0,"overridden",IF($J37+$K37=0,"no dividend in year Y",""))))</f>
        <v/>
      </c>
      <c r="V37" s="69">
        <f>IF($B37="","",IFERROR(IF(ISNUMBER($H37),$B37*$G37*$H37/$B$3,0),""))</f>
        <v/>
      </c>
      <c r="W37" s="69">
        <f>IF($B37="","",IFERROR($B37*$G37*$K37/$B$3,""))</f>
        <v/>
      </c>
      <c r="X37" s="98">
        <f>IF($C37="","",BDP($C37,"PX_LAST"))</f>
        <v/>
      </c>
      <c r="Y37" s="69">
        <f>IF($B37="","",IFERROR($B37*$X37/$B$3,""))</f>
        <v/>
      </c>
      <c r="Z37" s="73">
        <f>IF($B37="","",IFERROR($Y37/$Y$5,""))</f>
        <v/>
      </c>
    </row>
    <row r="38">
      <c r="B38" s="97" t="n"/>
      <c r="C38" s="8">
        <f>IF($A38="","",$A38&amp;" Equity")</f>
        <v/>
      </c>
      <c r="D38" s="8">
        <f>IF($C38="","",BDP($C38,"NAME"))</f>
        <v/>
      </c>
      <c r="E38" s="8">
        <f>IF($C38="","",BDP($C38,"GICS_SECTOR_NAME"))</f>
        <v/>
      </c>
      <c r="F38" s="37">
        <f>IF($C38="","",BDP($C38,FLD_CCY))</f>
        <v/>
      </c>
      <c r="G38" s="12">
        <f>IFERROR(IF(LEN($F38)&lt;&gt;3,1,IF($F38="HKD",1,BDP(IF($F38="CNY",RMB_CROSS,$F38)&amp;"HKD Curncy","PX_LAST"))),1)</f>
        <v/>
      </c>
      <c r="H38" s="69">
        <f>IF($C38="","",BDP($C38,FLD_DPS12M))</f>
        <v/>
      </c>
      <c r="I38" s="50">
        <f>IF($C38="","",BDP($C38,FLD_YLD12M))</f>
        <v/>
      </c>
      <c r="J38" s="52">
        <f>IF($B38="",0,SUMPRODUCT(('Dvd Calendar'!$E$1457:$AR$1457&gt;=DATE(YEAR_Y,1,1))*('Dvd Calendar'!$E$1457:$AR$1457&lt;=REALIZED_TO)*'Dvd Calendar'!$E$1460:$AR$1460*(('Dvd Calendar'!$E$1462:$AR$1462=TYPE1)*(TYPE1&lt;&gt;"")+('Dvd Calendar'!$E$1462:$AR$1462=TYPE2)*(TYPE2&lt;&gt;"")+('Dvd Calendar'!$E$1462:$AR$1462=TYPE3)*(TYPE3&lt;&gt;"")+('Dvd Calendar'!$E$1462:$AR$1462=TYPE4)*(TYPE4&lt;&gt;"")+('Dvd Calendar'!$E$1462:$AR$1462=SPECIAL_LBL)*(INC_SPECIALS="Y"))))</f>
        <v/>
      </c>
      <c r="K38" s="52">
        <f>IF($B38="",0,SUMIFS('Dvd Calendar'!$E$1465:$AR$1465,'Dvd Calendar'!$E$1464:$AR$1464,"&gt;"&amp;PROJ_FROM,'Dvd Calendar'!$E$1464:$AR$1464,"&lt;="&amp;DATE(YEAR_Y,12,31))+SUMPRODUCT(('Dvd Calendar'!$E$1457:$AR$1457&gt;PROJ_FROM)*('Dvd Calendar'!$E$1457:$AR$1457&lt;=DATE(YEAR_Y,12,31))*'Dvd Calendar'!$E$1460:$AR$1460*(('Dvd Calendar'!$E$1462:$AR$1462=TYPE1)*(TYPE1&lt;&gt;"")+('Dvd Calendar'!$E$1462:$AR$1462=TYPE2)*(TYPE2&lt;&gt;"")+('Dvd Calendar'!$E$1462:$AR$1462=TYPE3)*(TYPE3&lt;&gt;"")+('Dvd Calendar'!$E$1462:$AR$1462=TYPE4)*(TYPE4&lt;&gt;"")+('Dvd Calendar'!$E$1462:$AR$1462=SPECIAL_LBL)*(INC_SPECIALS="Y"))*(COUNTIF('Dvd Calendar'!$E$1464:$AR$1464,'Dvd Calendar'!$E$1457:$AR$1457)=0)))</f>
        <v/>
      </c>
      <c r="L38" s="52">
        <f>IF($B38="",0,IF((OV_SWITCH="ON")*(COUNTIFS(OVR_TICKERS,$C38,OVR_BASE,"&gt;=0")&gt;0)&gt;0,SUMIFS(OVR_BASE,OVR_TICKERS,$C38),$K38))</f>
        <v/>
      </c>
      <c r="M38" s="52">
        <f>IF($B38="",0,IF((OV_SWITCH="ON")*(COUNTIFS(OVR_TICKERS,$C38,OVR_LOW,"&gt;=0")&gt;0)&gt;0,SUMIFS(OVR_LOW,OVR_TICKERS,$C38),$L38))</f>
        <v/>
      </c>
      <c r="N38" s="52">
        <f>IF($B38="",0,IF((OV_SWITCH="ON")*(COUNTIFS(OVR_TICKERS,$C38,OVR_HIGH,"&gt;=0")&gt;0)&gt;0,SUMIFS(OVR_HIGH,OVR_TICKERS,$C38),$L38))</f>
        <v/>
      </c>
      <c r="O38" s="69">
        <f>IF($B38="","",IFERROR($B38*$G38*$J38/$B$3,""))</f>
        <v/>
      </c>
      <c r="P38" s="69">
        <f>IF($B38="","",IFERROR($B38*$G38*$L38/$B$3,""))</f>
        <v/>
      </c>
      <c r="Q38" s="44">
        <f>IF($B38="","",IFERROR($O38+$P38,""))</f>
        <v/>
      </c>
      <c r="R38" s="69">
        <f>IF($B38="","",IFERROR($O38+$B38*$G38*$M38/$B$3,""))</f>
        <v/>
      </c>
      <c r="S38" s="69">
        <f>IF($B38="","",IFERROR($O38+$B38*$G38*$N38/$B$3,""))</f>
        <v/>
      </c>
      <c r="T38" s="88">
        <f>IF($B38="","",IFERROR($Q38/$Q$5,""))</f>
        <v/>
      </c>
      <c r="U38" s="2">
        <f>IF($B38="","",IF(COUNTIFS('Dvd Calendar'!$E$1463:$AR$1463,"&gt;0",'Dvd Calendar'!$E$1463:$AR$1463,"&lt;="&amp;VAL_DATE,'Dvd Calendar'!$E$1464:$AR$1464,"&gt;"&amp;PROJ_FROM,'Dvd Calendar'!$E$1464:$AR$1464,"&lt;="&amp;DATE(YEAR_Y,12,31))-COUNTIFS('Dvd Calendar'!$E$1463:$AR$1463,"&gt;0",'Dvd Calendar'!$E$1463:$AR$1463,"&lt;="&amp;VAL_DATE,'Dvd Calendar'!$E$1464:$AR$1464,"&gt;"&amp;PROJ_FROM,'Dvd Calendar'!$E$1464:$AR$1464,"&lt;="&amp;DATE(YEAR_Y,12,31),'Dvd Calendar'!$E$1465:$AR$1465,"&gt;=0")&gt;0,"TBA amount - override me",IF((OV_SWITCH="ON")*(COUNTIFS(OVR_TICKERS,$C38,OVR_BASE,"&gt;=0")&gt;0)&gt;0,"overridden",IF($J38+$K38=0,"no dividend in year Y",""))))</f>
        <v/>
      </c>
      <c r="V38" s="69">
        <f>IF($B38="","",IFERROR(IF(ISNUMBER($H38),$B38*$G38*$H38/$B$3,0),""))</f>
        <v/>
      </c>
      <c r="W38" s="69">
        <f>IF($B38="","",IFERROR($B38*$G38*$K38/$B$3,""))</f>
        <v/>
      </c>
      <c r="X38" s="98">
        <f>IF($C38="","",BDP($C38,"PX_LAST"))</f>
        <v/>
      </c>
      <c r="Y38" s="69">
        <f>IF($B38="","",IFERROR($B38*$X38/$B$3,""))</f>
        <v/>
      </c>
      <c r="Z38" s="73">
        <f>IF($B38="","",IFERROR($Y38/$Y$5,""))</f>
        <v/>
      </c>
    </row>
    <row r="39">
      <c r="B39" s="97" t="n"/>
      <c r="C39" s="8">
        <f>IF($A39="","",$A39&amp;" Equity")</f>
        <v/>
      </c>
      <c r="D39" s="8">
        <f>IF($C39="","",BDP($C39,"NAME"))</f>
        <v/>
      </c>
      <c r="E39" s="8">
        <f>IF($C39="","",BDP($C39,"GICS_SECTOR_NAME"))</f>
        <v/>
      </c>
      <c r="F39" s="37">
        <f>IF($C39="","",BDP($C39,FLD_CCY))</f>
        <v/>
      </c>
      <c r="G39" s="12">
        <f>IFERROR(IF(LEN($F39)&lt;&gt;3,1,IF($F39="HKD",1,BDP(IF($F39="CNY",RMB_CROSS,$F39)&amp;"HKD Curncy","PX_LAST"))),1)</f>
        <v/>
      </c>
      <c r="H39" s="69">
        <f>IF($C39="","",BDP($C39,FLD_DPS12M))</f>
        <v/>
      </c>
      <c r="I39" s="50">
        <f>IF($C39="","",BDP($C39,FLD_YLD12M))</f>
        <v/>
      </c>
      <c r="J39" s="52">
        <f>IF($B39="",0,SUMPRODUCT(('Dvd Calendar'!$E$1468:$AR$1468&gt;=DATE(YEAR_Y,1,1))*('Dvd Calendar'!$E$1468:$AR$1468&lt;=REALIZED_TO)*'Dvd Calendar'!$E$1471:$AR$1471*(('Dvd Calendar'!$E$1473:$AR$1473=TYPE1)*(TYPE1&lt;&gt;"")+('Dvd Calendar'!$E$1473:$AR$1473=TYPE2)*(TYPE2&lt;&gt;"")+('Dvd Calendar'!$E$1473:$AR$1473=TYPE3)*(TYPE3&lt;&gt;"")+('Dvd Calendar'!$E$1473:$AR$1473=TYPE4)*(TYPE4&lt;&gt;"")+('Dvd Calendar'!$E$1473:$AR$1473=SPECIAL_LBL)*(INC_SPECIALS="Y"))))</f>
        <v/>
      </c>
      <c r="K39" s="52">
        <f>IF($B39="",0,SUMIFS('Dvd Calendar'!$E$1476:$AR$1476,'Dvd Calendar'!$E$1475:$AR$1475,"&gt;"&amp;PROJ_FROM,'Dvd Calendar'!$E$1475:$AR$1475,"&lt;="&amp;DATE(YEAR_Y,12,31))+SUMPRODUCT(('Dvd Calendar'!$E$1468:$AR$1468&gt;PROJ_FROM)*('Dvd Calendar'!$E$1468:$AR$1468&lt;=DATE(YEAR_Y,12,31))*'Dvd Calendar'!$E$1471:$AR$1471*(('Dvd Calendar'!$E$1473:$AR$1473=TYPE1)*(TYPE1&lt;&gt;"")+('Dvd Calendar'!$E$1473:$AR$1473=TYPE2)*(TYPE2&lt;&gt;"")+('Dvd Calendar'!$E$1473:$AR$1473=TYPE3)*(TYPE3&lt;&gt;"")+('Dvd Calendar'!$E$1473:$AR$1473=TYPE4)*(TYPE4&lt;&gt;"")+('Dvd Calendar'!$E$1473:$AR$1473=SPECIAL_LBL)*(INC_SPECIALS="Y"))*(COUNTIF('Dvd Calendar'!$E$1475:$AR$1475,'Dvd Calendar'!$E$1468:$AR$1468)=0)))</f>
        <v/>
      </c>
      <c r="L39" s="52">
        <f>IF($B39="",0,IF((OV_SWITCH="ON")*(COUNTIFS(OVR_TICKERS,$C39,OVR_BASE,"&gt;=0")&gt;0)&gt;0,SUMIFS(OVR_BASE,OVR_TICKERS,$C39),$K39))</f>
        <v/>
      </c>
      <c r="M39" s="52">
        <f>IF($B39="",0,IF((OV_SWITCH="ON")*(COUNTIFS(OVR_TICKERS,$C39,OVR_LOW,"&gt;=0")&gt;0)&gt;0,SUMIFS(OVR_LOW,OVR_TICKERS,$C39),$L39))</f>
        <v/>
      </c>
      <c r="N39" s="52">
        <f>IF($B39="",0,IF((OV_SWITCH="ON")*(COUNTIFS(OVR_TICKERS,$C39,OVR_HIGH,"&gt;=0")&gt;0)&gt;0,SUMIFS(OVR_HIGH,OVR_TICKERS,$C39),$L39))</f>
        <v/>
      </c>
      <c r="O39" s="69">
        <f>IF($B39="","",IFERROR($B39*$G39*$J39/$B$3,""))</f>
        <v/>
      </c>
      <c r="P39" s="69">
        <f>IF($B39="","",IFERROR($B39*$G39*$L39/$B$3,""))</f>
        <v/>
      </c>
      <c r="Q39" s="44">
        <f>IF($B39="","",IFERROR($O39+$P39,""))</f>
        <v/>
      </c>
      <c r="R39" s="69">
        <f>IF($B39="","",IFERROR($O39+$B39*$G39*$M39/$B$3,""))</f>
        <v/>
      </c>
      <c r="S39" s="69">
        <f>IF($B39="","",IFERROR($O39+$B39*$G39*$N39/$B$3,""))</f>
        <v/>
      </c>
      <c r="T39" s="88">
        <f>IF($B39="","",IFERROR($Q39/$Q$5,""))</f>
        <v/>
      </c>
      <c r="U39" s="2">
        <f>IF($B39="","",IF(COUNTIFS('Dvd Calendar'!$E$1474:$AR$1474,"&gt;0",'Dvd Calendar'!$E$1474:$AR$1474,"&lt;="&amp;VAL_DATE,'Dvd Calendar'!$E$1475:$AR$1475,"&gt;"&amp;PROJ_FROM,'Dvd Calendar'!$E$1475:$AR$1475,"&lt;="&amp;DATE(YEAR_Y,12,31))-COUNTIFS('Dvd Calendar'!$E$1474:$AR$1474,"&gt;0",'Dvd Calendar'!$E$1474:$AR$1474,"&lt;="&amp;VAL_DATE,'Dvd Calendar'!$E$1475:$AR$1475,"&gt;"&amp;PROJ_FROM,'Dvd Calendar'!$E$1475:$AR$1475,"&lt;="&amp;DATE(YEAR_Y,12,31),'Dvd Calendar'!$E$1476:$AR$1476,"&gt;=0")&gt;0,"TBA amount - override me",IF((OV_SWITCH="ON")*(COUNTIFS(OVR_TICKERS,$C39,OVR_BASE,"&gt;=0")&gt;0)&gt;0,"overridden",IF($J39+$K39=0,"no dividend in year Y",""))))</f>
        <v/>
      </c>
      <c r="V39" s="69">
        <f>IF($B39="","",IFERROR(IF(ISNUMBER($H39),$B39*$G39*$H39/$B$3,0),""))</f>
        <v/>
      </c>
      <c r="W39" s="69">
        <f>IF($B39="","",IFERROR($B39*$G39*$K39/$B$3,""))</f>
        <v/>
      </c>
      <c r="X39" s="98">
        <f>IF($C39="","",BDP($C39,"PX_LAST"))</f>
        <v/>
      </c>
      <c r="Y39" s="69">
        <f>IF($B39="","",IFERROR($B39*$X39/$B$3,""))</f>
        <v/>
      </c>
      <c r="Z39" s="73">
        <f>IF($B39="","",IFERROR($Y39/$Y$5,""))</f>
        <v/>
      </c>
    </row>
    <row r="40">
      <c r="B40" s="97" t="n"/>
      <c r="C40" s="8">
        <f>IF($A40="","",$A40&amp;" Equity")</f>
        <v/>
      </c>
      <c r="D40" s="8">
        <f>IF($C40="","",BDP($C40,"NAME"))</f>
        <v/>
      </c>
      <c r="E40" s="8">
        <f>IF($C40="","",BDP($C40,"GICS_SECTOR_NAME"))</f>
        <v/>
      </c>
      <c r="F40" s="37">
        <f>IF($C40="","",BDP($C40,FLD_CCY))</f>
        <v/>
      </c>
      <c r="G40" s="12">
        <f>IFERROR(IF(LEN($F40)&lt;&gt;3,1,IF($F40="HKD",1,BDP(IF($F40="CNY",RMB_CROSS,$F40)&amp;"HKD Curncy","PX_LAST"))),1)</f>
        <v/>
      </c>
      <c r="H40" s="69">
        <f>IF($C40="","",BDP($C40,FLD_DPS12M))</f>
        <v/>
      </c>
      <c r="I40" s="50">
        <f>IF($C40="","",BDP($C40,FLD_YLD12M))</f>
        <v/>
      </c>
      <c r="J40" s="52">
        <f>IF($B40="",0,SUMPRODUCT(('Dvd Calendar'!$E$1479:$AR$1479&gt;=DATE(YEAR_Y,1,1))*('Dvd Calendar'!$E$1479:$AR$1479&lt;=REALIZED_TO)*'Dvd Calendar'!$E$1482:$AR$1482*(('Dvd Calendar'!$E$1484:$AR$1484=TYPE1)*(TYPE1&lt;&gt;"")+('Dvd Calendar'!$E$1484:$AR$1484=TYPE2)*(TYPE2&lt;&gt;"")+('Dvd Calendar'!$E$1484:$AR$1484=TYPE3)*(TYPE3&lt;&gt;"")+('Dvd Calendar'!$E$1484:$AR$1484=TYPE4)*(TYPE4&lt;&gt;"")+('Dvd Calendar'!$E$1484:$AR$1484=SPECIAL_LBL)*(INC_SPECIALS="Y"))))</f>
        <v/>
      </c>
      <c r="K40" s="52">
        <f>IF($B40="",0,SUMIFS('Dvd Calendar'!$E$1487:$AR$1487,'Dvd Calendar'!$E$1486:$AR$1486,"&gt;"&amp;PROJ_FROM,'Dvd Calendar'!$E$1486:$AR$1486,"&lt;="&amp;DATE(YEAR_Y,12,31))+SUMPRODUCT(('Dvd Calendar'!$E$1479:$AR$1479&gt;PROJ_FROM)*('Dvd Calendar'!$E$1479:$AR$1479&lt;=DATE(YEAR_Y,12,31))*'Dvd Calendar'!$E$1482:$AR$1482*(('Dvd Calendar'!$E$1484:$AR$1484=TYPE1)*(TYPE1&lt;&gt;"")+('Dvd Calendar'!$E$1484:$AR$1484=TYPE2)*(TYPE2&lt;&gt;"")+('Dvd Calendar'!$E$1484:$AR$1484=TYPE3)*(TYPE3&lt;&gt;"")+('Dvd Calendar'!$E$1484:$AR$1484=TYPE4)*(TYPE4&lt;&gt;"")+('Dvd Calendar'!$E$1484:$AR$1484=SPECIAL_LBL)*(INC_SPECIALS="Y"))*(COUNTIF('Dvd Calendar'!$E$1486:$AR$1486,'Dvd Calendar'!$E$1479:$AR$1479)=0)))</f>
        <v/>
      </c>
      <c r="L40" s="52">
        <f>IF($B40="",0,IF((OV_SWITCH="ON")*(COUNTIFS(OVR_TICKERS,$C40,OVR_BASE,"&gt;=0")&gt;0)&gt;0,SUMIFS(OVR_BASE,OVR_TICKERS,$C40),$K40))</f>
        <v/>
      </c>
      <c r="M40" s="52">
        <f>IF($B40="",0,IF((OV_SWITCH="ON")*(COUNTIFS(OVR_TICKERS,$C40,OVR_LOW,"&gt;=0")&gt;0)&gt;0,SUMIFS(OVR_LOW,OVR_TICKERS,$C40),$L40))</f>
        <v/>
      </c>
      <c r="N40" s="52">
        <f>IF($B40="",0,IF((OV_SWITCH="ON")*(COUNTIFS(OVR_TICKERS,$C40,OVR_HIGH,"&gt;=0")&gt;0)&gt;0,SUMIFS(OVR_HIGH,OVR_TICKERS,$C40),$L40))</f>
        <v/>
      </c>
      <c r="O40" s="69">
        <f>IF($B40="","",IFERROR($B40*$G40*$J40/$B$3,""))</f>
        <v/>
      </c>
      <c r="P40" s="69">
        <f>IF($B40="","",IFERROR($B40*$G40*$L40/$B$3,""))</f>
        <v/>
      </c>
      <c r="Q40" s="44">
        <f>IF($B40="","",IFERROR($O40+$P40,""))</f>
        <v/>
      </c>
      <c r="R40" s="69">
        <f>IF($B40="","",IFERROR($O40+$B40*$G40*$M40/$B$3,""))</f>
        <v/>
      </c>
      <c r="S40" s="69">
        <f>IF($B40="","",IFERROR($O40+$B40*$G40*$N40/$B$3,""))</f>
        <v/>
      </c>
      <c r="T40" s="88">
        <f>IF($B40="","",IFERROR($Q40/$Q$5,""))</f>
        <v/>
      </c>
      <c r="U40" s="2">
        <f>IF($B40="","",IF(COUNTIFS('Dvd Calendar'!$E$1485:$AR$1485,"&gt;0",'Dvd Calendar'!$E$1485:$AR$1485,"&lt;="&amp;VAL_DATE,'Dvd Calendar'!$E$1486:$AR$1486,"&gt;"&amp;PROJ_FROM,'Dvd Calendar'!$E$1486:$AR$1486,"&lt;="&amp;DATE(YEAR_Y,12,31))-COUNTIFS('Dvd Calendar'!$E$1485:$AR$1485,"&gt;0",'Dvd Calendar'!$E$1485:$AR$1485,"&lt;="&amp;VAL_DATE,'Dvd Calendar'!$E$1486:$AR$1486,"&gt;"&amp;PROJ_FROM,'Dvd Calendar'!$E$1486:$AR$1486,"&lt;="&amp;DATE(YEAR_Y,12,31),'Dvd Calendar'!$E$1487:$AR$1487,"&gt;=0")&gt;0,"TBA amount - override me",IF((OV_SWITCH="ON")*(COUNTIFS(OVR_TICKERS,$C40,OVR_BASE,"&gt;=0")&gt;0)&gt;0,"overridden",IF($J40+$K40=0,"no dividend in year Y",""))))</f>
        <v/>
      </c>
      <c r="V40" s="69">
        <f>IF($B40="","",IFERROR(IF(ISNUMBER($H40),$B40*$G40*$H40/$B$3,0),""))</f>
        <v/>
      </c>
      <c r="W40" s="69">
        <f>IF($B40="","",IFERROR($B40*$G40*$K40/$B$3,""))</f>
        <v/>
      </c>
      <c r="X40" s="98">
        <f>IF($C40="","",BDP($C40,"PX_LAST"))</f>
        <v/>
      </c>
      <c r="Y40" s="69">
        <f>IF($B40="","",IFERROR($B40*$X40/$B$3,""))</f>
        <v/>
      </c>
      <c r="Z40" s="73">
        <f>IF($B40="","",IFERROR($Y40/$Y$5,""))</f>
        <v/>
      </c>
    </row>
    <row r="41">
      <c r="B41" s="97" t="n"/>
      <c r="C41" s="8">
        <f>IF($A41="","",$A41&amp;" Equity")</f>
        <v/>
      </c>
      <c r="D41" s="8">
        <f>IF($C41="","",BDP($C41,"NAME"))</f>
        <v/>
      </c>
      <c r="E41" s="8">
        <f>IF($C41="","",BDP($C41,"GICS_SECTOR_NAME"))</f>
        <v/>
      </c>
      <c r="F41" s="37">
        <f>IF($C41="","",BDP($C41,FLD_CCY))</f>
        <v/>
      </c>
      <c r="G41" s="12">
        <f>IFERROR(IF(LEN($F41)&lt;&gt;3,1,IF($F41="HKD",1,BDP(IF($F41="CNY",RMB_CROSS,$F41)&amp;"HKD Curncy","PX_LAST"))),1)</f>
        <v/>
      </c>
      <c r="H41" s="69">
        <f>IF($C41="","",BDP($C41,FLD_DPS12M))</f>
        <v/>
      </c>
      <c r="I41" s="50">
        <f>IF($C41="","",BDP($C41,FLD_YLD12M))</f>
        <v/>
      </c>
      <c r="J41" s="52">
        <f>IF($B41="",0,SUMPRODUCT(('Dvd Calendar'!$E$1490:$AR$1490&gt;=DATE(YEAR_Y,1,1))*('Dvd Calendar'!$E$1490:$AR$1490&lt;=REALIZED_TO)*'Dvd Calendar'!$E$1493:$AR$1493*(('Dvd Calendar'!$E$1495:$AR$1495=TYPE1)*(TYPE1&lt;&gt;"")+('Dvd Calendar'!$E$1495:$AR$1495=TYPE2)*(TYPE2&lt;&gt;"")+('Dvd Calendar'!$E$1495:$AR$1495=TYPE3)*(TYPE3&lt;&gt;"")+('Dvd Calendar'!$E$1495:$AR$1495=TYPE4)*(TYPE4&lt;&gt;"")+('Dvd Calendar'!$E$1495:$AR$1495=SPECIAL_LBL)*(INC_SPECIALS="Y"))))</f>
        <v/>
      </c>
      <c r="K41" s="52">
        <f>IF($B41="",0,SUMIFS('Dvd Calendar'!$E$1498:$AR$1498,'Dvd Calendar'!$E$1497:$AR$1497,"&gt;"&amp;PROJ_FROM,'Dvd Calendar'!$E$1497:$AR$1497,"&lt;="&amp;DATE(YEAR_Y,12,31))+SUMPRODUCT(('Dvd Calendar'!$E$1490:$AR$1490&gt;PROJ_FROM)*('Dvd Calendar'!$E$1490:$AR$1490&lt;=DATE(YEAR_Y,12,31))*'Dvd Calendar'!$E$1493:$AR$1493*(('Dvd Calendar'!$E$1495:$AR$1495=TYPE1)*(TYPE1&lt;&gt;"")+('Dvd Calendar'!$E$1495:$AR$1495=TYPE2)*(TYPE2&lt;&gt;"")+('Dvd Calendar'!$E$1495:$AR$1495=TYPE3)*(TYPE3&lt;&gt;"")+('Dvd Calendar'!$E$1495:$AR$1495=TYPE4)*(TYPE4&lt;&gt;"")+('Dvd Calendar'!$E$1495:$AR$1495=SPECIAL_LBL)*(INC_SPECIALS="Y"))*(COUNTIF('Dvd Calendar'!$E$1497:$AR$1497,'Dvd Calendar'!$E$1490:$AR$1490)=0)))</f>
        <v/>
      </c>
      <c r="L41" s="52">
        <f>IF($B41="",0,IF((OV_SWITCH="ON")*(COUNTIFS(OVR_TICKERS,$C41,OVR_BASE,"&gt;=0")&gt;0)&gt;0,SUMIFS(OVR_BASE,OVR_TICKERS,$C41),$K41))</f>
        <v/>
      </c>
      <c r="M41" s="52">
        <f>IF($B41="",0,IF((OV_SWITCH="ON")*(COUNTIFS(OVR_TICKERS,$C41,OVR_LOW,"&gt;=0")&gt;0)&gt;0,SUMIFS(OVR_LOW,OVR_TICKERS,$C41),$L41))</f>
        <v/>
      </c>
      <c r="N41" s="52">
        <f>IF($B41="",0,IF((OV_SWITCH="ON")*(COUNTIFS(OVR_TICKERS,$C41,OVR_HIGH,"&gt;=0")&gt;0)&gt;0,SUMIFS(OVR_HIGH,OVR_TICKERS,$C41),$L41))</f>
        <v/>
      </c>
      <c r="O41" s="69">
        <f>IF($B41="","",IFERROR($B41*$G41*$J41/$B$3,""))</f>
        <v/>
      </c>
      <c r="P41" s="69">
        <f>IF($B41="","",IFERROR($B41*$G41*$L41/$B$3,""))</f>
        <v/>
      </c>
      <c r="Q41" s="44">
        <f>IF($B41="","",IFERROR($O41+$P41,""))</f>
        <v/>
      </c>
      <c r="R41" s="69">
        <f>IF($B41="","",IFERROR($O41+$B41*$G41*$M41/$B$3,""))</f>
        <v/>
      </c>
      <c r="S41" s="69">
        <f>IF($B41="","",IFERROR($O41+$B41*$G41*$N41/$B$3,""))</f>
        <v/>
      </c>
      <c r="T41" s="88">
        <f>IF($B41="","",IFERROR($Q41/$Q$5,""))</f>
        <v/>
      </c>
      <c r="U41" s="2">
        <f>IF($B41="","",IF(COUNTIFS('Dvd Calendar'!$E$1496:$AR$1496,"&gt;0",'Dvd Calendar'!$E$1496:$AR$1496,"&lt;="&amp;VAL_DATE,'Dvd Calendar'!$E$1497:$AR$1497,"&gt;"&amp;PROJ_FROM,'Dvd Calendar'!$E$1497:$AR$1497,"&lt;="&amp;DATE(YEAR_Y,12,31))-COUNTIFS('Dvd Calendar'!$E$1496:$AR$1496,"&gt;0",'Dvd Calendar'!$E$1496:$AR$1496,"&lt;="&amp;VAL_DATE,'Dvd Calendar'!$E$1497:$AR$1497,"&gt;"&amp;PROJ_FROM,'Dvd Calendar'!$E$1497:$AR$1497,"&lt;="&amp;DATE(YEAR_Y,12,31),'Dvd Calendar'!$E$1498:$AR$1498,"&gt;=0")&gt;0,"TBA amount - override me",IF((OV_SWITCH="ON")*(COUNTIFS(OVR_TICKERS,$C41,OVR_BASE,"&gt;=0")&gt;0)&gt;0,"overridden",IF($J41+$K41=0,"no dividend in year Y",""))))</f>
        <v/>
      </c>
      <c r="V41" s="69">
        <f>IF($B41="","",IFERROR(IF(ISNUMBER($H41),$B41*$G41*$H41/$B$3,0),""))</f>
        <v/>
      </c>
      <c r="W41" s="69">
        <f>IF($B41="","",IFERROR($B41*$G41*$K41/$B$3,""))</f>
        <v/>
      </c>
      <c r="X41" s="98">
        <f>IF($C41="","",BDP($C41,"PX_LAST"))</f>
        <v/>
      </c>
      <c r="Y41" s="69">
        <f>IF($B41="","",IFERROR($B41*$X41/$B$3,""))</f>
        <v/>
      </c>
      <c r="Z41" s="73">
        <f>IF($B41="","",IFERROR($Y41/$Y$5,""))</f>
        <v/>
      </c>
    </row>
    <row r="42">
      <c r="B42" s="97" t="n"/>
      <c r="C42" s="8">
        <f>IF($A42="","",$A42&amp;" Equity")</f>
        <v/>
      </c>
      <c r="D42" s="8">
        <f>IF($C42="","",BDP($C42,"NAME"))</f>
        <v/>
      </c>
      <c r="E42" s="8">
        <f>IF($C42="","",BDP($C42,"GICS_SECTOR_NAME"))</f>
        <v/>
      </c>
      <c r="F42" s="37">
        <f>IF($C42="","",BDP($C42,FLD_CCY))</f>
        <v/>
      </c>
      <c r="G42" s="12">
        <f>IFERROR(IF(LEN($F42)&lt;&gt;3,1,IF($F42="HKD",1,BDP(IF($F42="CNY",RMB_CROSS,$F42)&amp;"HKD Curncy","PX_LAST"))),1)</f>
        <v/>
      </c>
      <c r="H42" s="69">
        <f>IF($C42="","",BDP($C42,FLD_DPS12M))</f>
        <v/>
      </c>
      <c r="I42" s="50">
        <f>IF($C42="","",BDP($C42,FLD_YLD12M))</f>
        <v/>
      </c>
      <c r="J42" s="52">
        <f>IF($B42="",0,SUMPRODUCT(('Dvd Calendar'!$E$1501:$AR$1501&gt;=DATE(YEAR_Y,1,1))*('Dvd Calendar'!$E$1501:$AR$1501&lt;=REALIZED_TO)*'Dvd Calendar'!$E$1504:$AR$1504*(('Dvd Calendar'!$E$1506:$AR$1506=TYPE1)*(TYPE1&lt;&gt;"")+('Dvd Calendar'!$E$1506:$AR$1506=TYPE2)*(TYPE2&lt;&gt;"")+('Dvd Calendar'!$E$1506:$AR$1506=TYPE3)*(TYPE3&lt;&gt;"")+('Dvd Calendar'!$E$1506:$AR$1506=TYPE4)*(TYPE4&lt;&gt;"")+('Dvd Calendar'!$E$1506:$AR$1506=SPECIAL_LBL)*(INC_SPECIALS="Y"))))</f>
        <v/>
      </c>
      <c r="K42" s="52">
        <f>IF($B42="",0,SUMIFS('Dvd Calendar'!$E$1509:$AR$1509,'Dvd Calendar'!$E$1508:$AR$1508,"&gt;"&amp;PROJ_FROM,'Dvd Calendar'!$E$1508:$AR$1508,"&lt;="&amp;DATE(YEAR_Y,12,31))+SUMPRODUCT(('Dvd Calendar'!$E$1501:$AR$1501&gt;PROJ_FROM)*('Dvd Calendar'!$E$1501:$AR$1501&lt;=DATE(YEAR_Y,12,31))*'Dvd Calendar'!$E$1504:$AR$1504*(('Dvd Calendar'!$E$1506:$AR$1506=TYPE1)*(TYPE1&lt;&gt;"")+('Dvd Calendar'!$E$1506:$AR$1506=TYPE2)*(TYPE2&lt;&gt;"")+('Dvd Calendar'!$E$1506:$AR$1506=TYPE3)*(TYPE3&lt;&gt;"")+('Dvd Calendar'!$E$1506:$AR$1506=TYPE4)*(TYPE4&lt;&gt;"")+('Dvd Calendar'!$E$1506:$AR$1506=SPECIAL_LBL)*(INC_SPECIALS="Y"))*(COUNTIF('Dvd Calendar'!$E$1508:$AR$1508,'Dvd Calendar'!$E$1501:$AR$1501)=0)))</f>
        <v/>
      </c>
      <c r="L42" s="52">
        <f>IF($B42="",0,IF((OV_SWITCH="ON")*(COUNTIFS(OVR_TICKERS,$C42,OVR_BASE,"&gt;=0")&gt;0)&gt;0,SUMIFS(OVR_BASE,OVR_TICKERS,$C42),$K42))</f>
        <v/>
      </c>
      <c r="M42" s="52">
        <f>IF($B42="",0,IF((OV_SWITCH="ON")*(COUNTIFS(OVR_TICKERS,$C42,OVR_LOW,"&gt;=0")&gt;0)&gt;0,SUMIFS(OVR_LOW,OVR_TICKERS,$C42),$L42))</f>
        <v/>
      </c>
      <c r="N42" s="52">
        <f>IF($B42="",0,IF((OV_SWITCH="ON")*(COUNTIFS(OVR_TICKERS,$C42,OVR_HIGH,"&gt;=0")&gt;0)&gt;0,SUMIFS(OVR_HIGH,OVR_TICKERS,$C42),$L42))</f>
        <v/>
      </c>
      <c r="O42" s="69">
        <f>IF($B42="","",IFERROR($B42*$G42*$J42/$B$3,""))</f>
        <v/>
      </c>
      <c r="P42" s="69">
        <f>IF($B42="","",IFERROR($B42*$G42*$L42/$B$3,""))</f>
        <v/>
      </c>
      <c r="Q42" s="44">
        <f>IF($B42="","",IFERROR($O42+$P42,""))</f>
        <v/>
      </c>
      <c r="R42" s="69">
        <f>IF($B42="","",IFERROR($O42+$B42*$G42*$M42/$B$3,""))</f>
        <v/>
      </c>
      <c r="S42" s="69">
        <f>IF($B42="","",IFERROR($O42+$B42*$G42*$N42/$B$3,""))</f>
        <v/>
      </c>
      <c r="T42" s="88">
        <f>IF($B42="","",IFERROR($Q42/$Q$5,""))</f>
        <v/>
      </c>
      <c r="U42" s="2">
        <f>IF($B42="","",IF(COUNTIFS('Dvd Calendar'!$E$1507:$AR$1507,"&gt;0",'Dvd Calendar'!$E$1507:$AR$1507,"&lt;="&amp;VAL_DATE,'Dvd Calendar'!$E$1508:$AR$1508,"&gt;"&amp;PROJ_FROM,'Dvd Calendar'!$E$1508:$AR$1508,"&lt;="&amp;DATE(YEAR_Y,12,31))-COUNTIFS('Dvd Calendar'!$E$1507:$AR$1507,"&gt;0",'Dvd Calendar'!$E$1507:$AR$1507,"&lt;="&amp;VAL_DATE,'Dvd Calendar'!$E$1508:$AR$1508,"&gt;"&amp;PROJ_FROM,'Dvd Calendar'!$E$1508:$AR$1508,"&lt;="&amp;DATE(YEAR_Y,12,31),'Dvd Calendar'!$E$1509:$AR$1509,"&gt;=0")&gt;0,"TBA amount - override me",IF((OV_SWITCH="ON")*(COUNTIFS(OVR_TICKERS,$C42,OVR_BASE,"&gt;=0")&gt;0)&gt;0,"overridden",IF($J42+$K42=0,"no dividend in year Y",""))))</f>
        <v/>
      </c>
      <c r="V42" s="69">
        <f>IF($B42="","",IFERROR(IF(ISNUMBER($H42),$B42*$G42*$H42/$B$3,0),""))</f>
        <v/>
      </c>
      <c r="W42" s="69">
        <f>IF($B42="","",IFERROR($B42*$G42*$K42/$B$3,""))</f>
        <v/>
      </c>
      <c r="X42" s="98">
        <f>IF($C42="","",BDP($C42,"PX_LAST"))</f>
        <v/>
      </c>
      <c r="Y42" s="69">
        <f>IF($B42="","",IFERROR($B42*$X42/$B$3,""))</f>
        <v/>
      </c>
      <c r="Z42" s="73">
        <f>IF($B42="","",IFERROR($Y42/$Y$5,""))</f>
        <v/>
      </c>
    </row>
    <row r="43">
      <c r="B43" s="97" t="n"/>
      <c r="C43" s="8">
        <f>IF($A43="","",$A43&amp;" Equity")</f>
        <v/>
      </c>
      <c r="D43" s="8">
        <f>IF($C43="","",BDP($C43,"NAME"))</f>
        <v/>
      </c>
      <c r="E43" s="8">
        <f>IF($C43="","",BDP($C43,"GICS_SECTOR_NAME"))</f>
        <v/>
      </c>
      <c r="F43" s="37">
        <f>IF($C43="","",BDP($C43,FLD_CCY))</f>
        <v/>
      </c>
      <c r="G43" s="12">
        <f>IFERROR(IF(LEN($F43)&lt;&gt;3,1,IF($F43="HKD",1,BDP(IF($F43="CNY",RMB_CROSS,$F43)&amp;"HKD Curncy","PX_LAST"))),1)</f>
        <v/>
      </c>
      <c r="H43" s="69">
        <f>IF($C43="","",BDP($C43,FLD_DPS12M))</f>
        <v/>
      </c>
      <c r="I43" s="50">
        <f>IF($C43="","",BDP($C43,FLD_YLD12M))</f>
        <v/>
      </c>
      <c r="J43" s="52">
        <f>IF($B43="",0,SUMPRODUCT(('Dvd Calendar'!$E$1512:$AR$1512&gt;=DATE(YEAR_Y,1,1))*('Dvd Calendar'!$E$1512:$AR$1512&lt;=REALIZED_TO)*'Dvd Calendar'!$E$1515:$AR$1515*(('Dvd Calendar'!$E$1517:$AR$1517=TYPE1)*(TYPE1&lt;&gt;"")+('Dvd Calendar'!$E$1517:$AR$1517=TYPE2)*(TYPE2&lt;&gt;"")+('Dvd Calendar'!$E$1517:$AR$1517=TYPE3)*(TYPE3&lt;&gt;"")+('Dvd Calendar'!$E$1517:$AR$1517=TYPE4)*(TYPE4&lt;&gt;"")+('Dvd Calendar'!$E$1517:$AR$1517=SPECIAL_LBL)*(INC_SPECIALS="Y"))))</f>
        <v/>
      </c>
      <c r="K43" s="52">
        <f>IF($B43="",0,SUMIFS('Dvd Calendar'!$E$1520:$AR$1520,'Dvd Calendar'!$E$1519:$AR$1519,"&gt;"&amp;PROJ_FROM,'Dvd Calendar'!$E$1519:$AR$1519,"&lt;="&amp;DATE(YEAR_Y,12,31))+SUMPRODUCT(('Dvd Calendar'!$E$1512:$AR$1512&gt;PROJ_FROM)*('Dvd Calendar'!$E$1512:$AR$1512&lt;=DATE(YEAR_Y,12,31))*'Dvd Calendar'!$E$1515:$AR$1515*(('Dvd Calendar'!$E$1517:$AR$1517=TYPE1)*(TYPE1&lt;&gt;"")+('Dvd Calendar'!$E$1517:$AR$1517=TYPE2)*(TYPE2&lt;&gt;"")+('Dvd Calendar'!$E$1517:$AR$1517=TYPE3)*(TYPE3&lt;&gt;"")+('Dvd Calendar'!$E$1517:$AR$1517=TYPE4)*(TYPE4&lt;&gt;"")+('Dvd Calendar'!$E$1517:$AR$1517=SPECIAL_LBL)*(INC_SPECIALS="Y"))*(COUNTIF('Dvd Calendar'!$E$1519:$AR$1519,'Dvd Calendar'!$E$1512:$AR$1512)=0)))</f>
        <v/>
      </c>
      <c r="L43" s="52">
        <f>IF($B43="",0,IF((OV_SWITCH="ON")*(COUNTIFS(OVR_TICKERS,$C43,OVR_BASE,"&gt;=0")&gt;0)&gt;0,SUMIFS(OVR_BASE,OVR_TICKERS,$C43),$K43))</f>
        <v/>
      </c>
      <c r="M43" s="52">
        <f>IF($B43="",0,IF((OV_SWITCH="ON")*(COUNTIFS(OVR_TICKERS,$C43,OVR_LOW,"&gt;=0")&gt;0)&gt;0,SUMIFS(OVR_LOW,OVR_TICKERS,$C43),$L43))</f>
        <v/>
      </c>
      <c r="N43" s="52">
        <f>IF($B43="",0,IF((OV_SWITCH="ON")*(COUNTIFS(OVR_TICKERS,$C43,OVR_HIGH,"&gt;=0")&gt;0)&gt;0,SUMIFS(OVR_HIGH,OVR_TICKERS,$C43),$L43))</f>
        <v/>
      </c>
      <c r="O43" s="69">
        <f>IF($B43="","",IFERROR($B43*$G43*$J43/$B$3,""))</f>
        <v/>
      </c>
      <c r="P43" s="69">
        <f>IF($B43="","",IFERROR($B43*$G43*$L43/$B$3,""))</f>
        <v/>
      </c>
      <c r="Q43" s="44">
        <f>IF($B43="","",IFERROR($O43+$P43,""))</f>
        <v/>
      </c>
      <c r="R43" s="69">
        <f>IF($B43="","",IFERROR($O43+$B43*$G43*$M43/$B$3,""))</f>
        <v/>
      </c>
      <c r="S43" s="69">
        <f>IF($B43="","",IFERROR($O43+$B43*$G43*$N43/$B$3,""))</f>
        <v/>
      </c>
      <c r="T43" s="88">
        <f>IF($B43="","",IFERROR($Q43/$Q$5,""))</f>
        <v/>
      </c>
      <c r="U43" s="2">
        <f>IF($B43="","",IF(COUNTIFS('Dvd Calendar'!$E$1518:$AR$1518,"&gt;0",'Dvd Calendar'!$E$1518:$AR$1518,"&lt;="&amp;VAL_DATE,'Dvd Calendar'!$E$1519:$AR$1519,"&gt;"&amp;PROJ_FROM,'Dvd Calendar'!$E$1519:$AR$1519,"&lt;="&amp;DATE(YEAR_Y,12,31))-COUNTIFS('Dvd Calendar'!$E$1518:$AR$1518,"&gt;0",'Dvd Calendar'!$E$1518:$AR$1518,"&lt;="&amp;VAL_DATE,'Dvd Calendar'!$E$1519:$AR$1519,"&gt;"&amp;PROJ_FROM,'Dvd Calendar'!$E$1519:$AR$1519,"&lt;="&amp;DATE(YEAR_Y,12,31),'Dvd Calendar'!$E$1520:$AR$1520,"&gt;=0")&gt;0,"TBA amount - override me",IF((OV_SWITCH="ON")*(COUNTIFS(OVR_TICKERS,$C43,OVR_BASE,"&gt;=0")&gt;0)&gt;0,"overridden",IF($J43+$K43=0,"no dividend in year Y",""))))</f>
        <v/>
      </c>
      <c r="V43" s="69">
        <f>IF($B43="","",IFERROR(IF(ISNUMBER($H43),$B43*$G43*$H43/$B$3,0),""))</f>
        <v/>
      </c>
      <c r="W43" s="69">
        <f>IF($B43="","",IFERROR($B43*$G43*$K43/$B$3,""))</f>
        <v/>
      </c>
      <c r="X43" s="98">
        <f>IF($C43="","",BDP($C43,"PX_LAST"))</f>
        <v/>
      </c>
      <c r="Y43" s="69">
        <f>IF($B43="","",IFERROR($B43*$X43/$B$3,""))</f>
        <v/>
      </c>
      <c r="Z43" s="73">
        <f>IF($B43="","",IFERROR($Y43/$Y$5,""))</f>
        <v/>
      </c>
    </row>
    <row r="44">
      <c r="B44" s="97" t="n"/>
      <c r="C44" s="8">
        <f>IF($A44="","",$A44&amp;" Equity")</f>
        <v/>
      </c>
      <c r="D44" s="8">
        <f>IF($C44="","",BDP($C44,"NAME"))</f>
        <v/>
      </c>
      <c r="E44" s="8">
        <f>IF($C44="","",BDP($C44,"GICS_SECTOR_NAME"))</f>
        <v/>
      </c>
      <c r="F44" s="37">
        <f>IF($C44="","",BDP($C44,FLD_CCY))</f>
        <v/>
      </c>
      <c r="G44" s="12">
        <f>IFERROR(IF(LEN($F44)&lt;&gt;3,1,IF($F44="HKD",1,BDP(IF($F44="CNY",RMB_CROSS,$F44)&amp;"HKD Curncy","PX_LAST"))),1)</f>
        <v/>
      </c>
      <c r="H44" s="69">
        <f>IF($C44="","",BDP($C44,FLD_DPS12M))</f>
        <v/>
      </c>
      <c r="I44" s="50">
        <f>IF($C44="","",BDP($C44,FLD_YLD12M))</f>
        <v/>
      </c>
      <c r="J44" s="52">
        <f>IF($B44="",0,SUMPRODUCT(('Dvd Calendar'!$E$1523:$AR$1523&gt;=DATE(YEAR_Y,1,1))*('Dvd Calendar'!$E$1523:$AR$1523&lt;=REALIZED_TO)*'Dvd Calendar'!$E$1526:$AR$1526*(('Dvd Calendar'!$E$1528:$AR$1528=TYPE1)*(TYPE1&lt;&gt;"")+('Dvd Calendar'!$E$1528:$AR$1528=TYPE2)*(TYPE2&lt;&gt;"")+('Dvd Calendar'!$E$1528:$AR$1528=TYPE3)*(TYPE3&lt;&gt;"")+('Dvd Calendar'!$E$1528:$AR$1528=TYPE4)*(TYPE4&lt;&gt;"")+('Dvd Calendar'!$E$1528:$AR$1528=SPECIAL_LBL)*(INC_SPECIALS="Y"))))</f>
        <v/>
      </c>
      <c r="K44" s="52">
        <f>IF($B44="",0,SUMIFS('Dvd Calendar'!$E$1531:$AR$1531,'Dvd Calendar'!$E$1530:$AR$1530,"&gt;"&amp;PROJ_FROM,'Dvd Calendar'!$E$1530:$AR$1530,"&lt;="&amp;DATE(YEAR_Y,12,31))+SUMPRODUCT(('Dvd Calendar'!$E$1523:$AR$1523&gt;PROJ_FROM)*('Dvd Calendar'!$E$1523:$AR$1523&lt;=DATE(YEAR_Y,12,31))*'Dvd Calendar'!$E$1526:$AR$1526*(('Dvd Calendar'!$E$1528:$AR$1528=TYPE1)*(TYPE1&lt;&gt;"")+('Dvd Calendar'!$E$1528:$AR$1528=TYPE2)*(TYPE2&lt;&gt;"")+('Dvd Calendar'!$E$1528:$AR$1528=TYPE3)*(TYPE3&lt;&gt;"")+('Dvd Calendar'!$E$1528:$AR$1528=TYPE4)*(TYPE4&lt;&gt;"")+('Dvd Calendar'!$E$1528:$AR$1528=SPECIAL_LBL)*(INC_SPECIALS="Y"))*(COUNTIF('Dvd Calendar'!$E$1530:$AR$1530,'Dvd Calendar'!$E$1523:$AR$1523)=0)))</f>
        <v/>
      </c>
      <c r="L44" s="52">
        <f>IF($B44="",0,IF((OV_SWITCH="ON")*(COUNTIFS(OVR_TICKERS,$C44,OVR_BASE,"&gt;=0")&gt;0)&gt;0,SUMIFS(OVR_BASE,OVR_TICKERS,$C44),$K44))</f>
        <v/>
      </c>
      <c r="M44" s="52">
        <f>IF($B44="",0,IF((OV_SWITCH="ON")*(COUNTIFS(OVR_TICKERS,$C44,OVR_LOW,"&gt;=0")&gt;0)&gt;0,SUMIFS(OVR_LOW,OVR_TICKERS,$C44),$L44))</f>
        <v/>
      </c>
      <c r="N44" s="52">
        <f>IF($B44="",0,IF((OV_SWITCH="ON")*(COUNTIFS(OVR_TICKERS,$C44,OVR_HIGH,"&gt;=0")&gt;0)&gt;0,SUMIFS(OVR_HIGH,OVR_TICKERS,$C44),$L44))</f>
        <v/>
      </c>
      <c r="O44" s="69">
        <f>IF($B44="","",IFERROR($B44*$G44*$J44/$B$3,""))</f>
        <v/>
      </c>
      <c r="P44" s="69">
        <f>IF($B44="","",IFERROR($B44*$G44*$L44/$B$3,""))</f>
        <v/>
      </c>
      <c r="Q44" s="44">
        <f>IF($B44="","",IFERROR($O44+$P44,""))</f>
        <v/>
      </c>
      <c r="R44" s="69">
        <f>IF($B44="","",IFERROR($O44+$B44*$G44*$M44/$B$3,""))</f>
        <v/>
      </c>
      <c r="S44" s="69">
        <f>IF($B44="","",IFERROR($O44+$B44*$G44*$N44/$B$3,""))</f>
        <v/>
      </c>
      <c r="T44" s="88">
        <f>IF($B44="","",IFERROR($Q44/$Q$5,""))</f>
        <v/>
      </c>
      <c r="U44" s="2">
        <f>IF($B44="","",IF(COUNTIFS('Dvd Calendar'!$E$1529:$AR$1529,"&gt;0",'Dvd Calendar'!$E$1529:$AR$1529,"&lt;="&amp;VAL_DATE,'Dvd Calendar'!$E$1530:$AR$1530,"&gt;"&amp;PROJ_FROM,'Dvd Calendar'!$E$1530:$AR$1530,"&lt;="&amp;DATE(YEAR_Y,12,31))-COUNTIFS('Dvd Calendar'!$E$1529:$AR$1529,"&gt;0",'Dvd Calendar'!$E$1529:$AR$1529,"&lt;="&amp;VAL_DATE,'Dvd Calendar'!$E$1530:$AR$1530,"&gt;"&amp;PROJ_FROM,'Dvd Calendar'!$E$1530:$AR$1530,"&lt;="&amp;DATE(YEAR_Y,12,31),'Dvd Calendar'!$E$1531:$AR$1531,"&gt;=0")&gt;0,"TBA amount - override me",IF((OV_SWITCH="ON")*(COUNTIFS(OVR_TICKERS,$C44,OVR_BASE,"&gt;=0")&gt;0)&gt;0,"overridden",IF($J44+$K44=0,"no dividend in year Y",""))))</f>
        <v/>
      </c>
      <c r="V44" s="69">
        <f>IF($B44="","",IFERROR(IF(ISNUMBER($H44),$B44*$G44*$H44/$B$3,0),""))</f>
        <v/>
      </c>
      <c r="W44" s="69">
        <f>IF($B44="","",IFERROR($B44*$G44*$K44/$B$3,""))</f>
        <v/>
      </c>
      <c r="X44" s="98">
        <f>IF($C44="","",BDP($C44,"PX_LAST"))</f>
        <v/>
      </c>
      <c r="Y44" s="69">
        <f>IF($B44="","",IFERROR($B44*$X44/$B$3,""))</f>
        <v/>
      </c>
      <c r="Z44" s="73">
        <f>IF($B44="","",IFERROR($Y44/$Y$5,""))</f>
        <v/>
      </c>
    </row>
    <row r="45">
      <c r="B45" s="97" t="n"/>
      <c r="C45" s="8">
        <f>IF($A45="","",$A45&amp;" Equity")</f>
        <v/>
      </c>
      <c r="D45" s="8">
        <f>IF($C45="","",BDP($C45,"NAME"))</f>
        <v/>
      </c>
      <c r="E45" s="8">
        <f>IF($C45="","",BDP($C45,"GICS_SECTOR_NAME"))</f>
        <v/>
      </c>
      <c r="F45" s="37">
        <f>IF($C45="","",BDP($C45,FLD_CCY))</f>
        <v/>
      </c>
      <c r="G45" s="12">
        <f>IFERROR(IF(LEN($F45)&lt;&gt;3,1,IF($F45="HKD",1,BDP(IF($F45="CNY",RMB_CROSS,$F45)&amp;"HKD Curncy","PX_LAST"))),1)</f>
        <v/>
      </c>
      <c r="H45" s="69">
        <f>IF($C45="","",BDP($C45,FLD_DPS12M))</f>
        <v/>
      </c>
      <c r="I45" s="50">
        <f>IF($C45="","",BDP($C45,FLD_YLD12M))</f>
        <v/>
      </c>
      <c r="J45" s="52">
        <f>IF($B45="",0,SUMPRODUCT(('Dvd Calendar'!$E$1534:$AR$1534&gt;=DATE(YEAR_Y,1,1))*('Dvd Calendar'!$E$1534:$AR$1534&lt;=REALIZED_TO)*'Dvd Calendar'!$E$1537:$AR$1537*(('Dvd Calendar'!$E$1539:$AR$1539=TYPE1)*(TYPE1&lt;&gt;"")+('Dvd Calendar'!$E$1539:$AR$1539=TYPE2)*(TYPE2&lt;&gt;"")+('Dvd Calendar'!$E$1539:$AR$1539=TYPE3)*(TYPE3&lt;&gt;"")+('Dvd Calendar'!$E$1539:$AR$1539=TYPE4)*(TYPE4&lt;&gt;"")+('Dvd Calendar'!$E$1539:$AR$1539=SPECIAL_LBL)*(INC_SPECIALS="Y"))))</f>
        <v/>
      </c>
      <c r="K45" s="52">
        <f>IF($B45="",0,SUMIFS('Dvd Calendar'!$E$1542:$AR$1542,'Dvd Calendar'!$E$1541:$AR$1541,"&gt;"&amp;PROJ_FROM,'Dvd Calendar'!$E$1541:$AR$1541,"&lt;="&amp;DATE(YEAR_Y,12,31))+SUMPRODUCT(('Dvd Calendar'!$E$1534:$AR$1534&gt;PROJ_FROM)*('Dvd Calendar'!$E$1534:$AR$1534&lt;=DATE(YEAR_Y,12,31))*'Dvd Calendar'!$E$1537:$AR$1537*(('Dvd Calendar'!$E$1539:$AR$1539=TYPE1)*(TYPE1&lt;&gt;"")+('Dvd Calendar'!$E$1539:$AR$1539=TYPE2)*(TYPE2&lt;&gt;"")+('Dvd Calendar'!$E$1539:$AR$1539=TYPE3)*(TYPE3&lt;&gt;"")+('Dvd Calendar'!$E$1539:$AR$1539=TYPE4)*(TYPE4&lt;&gt;"")+('Dvd Calendar'!$E$1539:$AR$1539=SPECIAL_LBL)*(INC_SPECIALS="Y"))*(COUNTIF('Dvd Calendar'!$E$1541:$AR$1541,'Dvd Calendar'!$E$1534:$AR$1534)=0)))</f>
        <v/>
      </c>
      <c r="L45" s="52">
        <f>IF($B45="",0,IF((OV_SWITCH="ON")*(COUNTIFS(OVR_TICKERS,$C45,OVR_BASE,"&gt;=0")&gt;0)&gt;0,SUMIFS(OVR_BASE,OVR_TICKERS,$C45),$K45))</f>
        <v/>
      </c>
      <c r="M45" s="52">
        <f>IF($B45="",0,IF((OV_SWITCH="ON")*(COUNTIFS(OVR_TICKERS,$C45,OVR_LOW,"&gt;=0")&gt;0)&gt;0,SUMIFS(OVR_LOW,OVR_TICKERS,$C45),$L45))</f>
        <v/>
      </c>
      <c r="N45" s="52">
        <f>IF($B45="",0,IF((OV_SWITCH="ON")*(COUNTIFS(OVR_TICKERS,$C45,OVR_HIGH,"&gt;=0")&gt;0)&gt;0,SUMIFS(OVR_HIGH,OVR_TICKERS,$C45),$L45))</f>
        <v/>
      </c>
      <c r="O45" s="69">
        <f>IF($B45="","",IFERROR($B45*$G45*$J45/$B$3,""))</f>
        <v/>
      </c>
      <c r="P45" s="69">
        <f>IF($B45="","",IFERROR($B45*$G45*$L45/$B$3,""))</f>
        <v/>
      </c>
      <c r="Q45" s="44">
        <f>IF($B45="","",IFERROR($O45+$P45,""))</f>
        <v/>
      </c>
      <c r="R45" s="69">
        <f>IF($B45="","",IFERROR($O45+$B45*$G45*$M45/$B$3,""))</f>
        <v/>
      </c>
      <c r="S45" s="69">
        <f>IF($B45="","",IFERROR($O45+$B45*$G45*$N45/$B$3,""))</f>
        <v/>
      </c>
      <c r="T45" s="88">
        <f>IF($B45="","",IFERROR($Q45/$Q$5,""))</f>
        <v/>
      </c>
      <c r="U45" s="2">
        <f>IF($B45="","",IF(COUNTIFS('Dvd Calendar'!$E$1540:$AR$1540,"&gt;0",'Dvd Calendar'!$E$1540:$AR$1540,"&lt;="&amp;VAL_DATE,'Dvd Calendar'!$E$1541:$AR$1541,"&gt;"&amp;PROJ_FROM,'Dvd Calendar'!$E$1541:$AR$1541,"&lt;="&amp;DATE(YEAR_Y,12,31))-COUNTIFS('Dvd Calendar'!$E$1540:$AR$1540,"&gt;0",'Dvd Calendar'!$E$1540:$AR$1540,"&lt;="&amp;VAL_DATE,'Dvd Calendar'!$E$1541:$AR$1541,"&gt;"&amp;PROJ_FROM,'Dvd Calendar'!$E$1541:$AR$1541,"&lt;="&amp;DATE(YEAR_Y,12,31),'Dvd Calendar'!$E$1542:$AR$1542,"&gt;=0")&gt;0,"TBA amount - override me",IF((OV_SWITCH="ON")*(COUNTIFS(OVR_TICKERS,$C45,OVR_BASE,"&gt;=0")&gt;0)&gt;0,"overridden",IF($J45+$K45=0,"no dividend in year Y",""))))</f>
        <v/>
      </c>
      <c r="V45" s="69">
        <f>IF($B45="","",IFERROR(IF(ISNUMBER($H45),$B45*$G45*$H45/$B$3,0),""))</f>
        <v/>
      </c>
      <c r="W45" s="69">
        <f>IF($B45="","",IFERROR($B45*$G45*$K45/$B$3,""))</f>
        <v/>
      </c>
      <c r="X45" s="98">
        <f>IF($C45="","",BDP($C45,"PX_LAST"))</f>
        <v/>
      </c>
      <c r="Y45" s="69">
        <f>IF($B45="","",IFERROR($B45*$X45/$B$3,""))</f>
        <v/>
      </c>
      <c r="Z45" s="73">
        <f>IF($B45="","",IFERROR($Y45/$Y$5,""))</f>
        <v/>
      </c>
    </row>
    <row r="46">
      <c r="B46" s="97" t="n"/>
      <c r="C46" s="8">
        <f>IF($A46="","",$A46&amp;" Equity")</f>
        <v/>
      </c>
      <c r="D46" s="8">
        <f>IF($C46="","",BDP($C46,"NAME"))</f>
        <v/>
      </c>
      <c r="E46" s="8">
        <f>IF($C46="","",BDP($C46,"GICS_SECTOR_NAME"))</f>
        <v/>
      </c>
      <c r="F46" s="37">
        <f>IF($C46="","",BDP($C46,FLD_CCY))</f>
        <v/>
      </c>
      <c r="G46" s="12">
        <f>IFERROR(IF(LEN($F46)&lt;&gt;3,1,IF($F46="HKD",1,BDP(IF($F46="CNY",RMB_CROSS,$F46)&amp;"HKD Curncy","PX_LAST"))),1)</f>
        <v/>
      </c>
      <c r="H46" s="69">
        <f>IF($C46="","",BDP($C46,FLD_DPS12M))</f>
        <v/>
      </c>
      <c r="I46" s="50">
        <f>IF($C46="","",BDP($C46,FLD_YLD12M))</f>
        <v/>
      </c>
      <c r="J46" s="52">
        <f>IF($B46="",0,SUMPRODUCT(('Dvd Calendar'!$E$1545:$AR$1545&gt;=DATE(YEAR_Y,1,1))*('Dvd Calendar'!$E$1545:$AR$1545&lt;=REALIZED_TO)*'Dvd Calendar'!$E$1548:$AR$1548*(('Dvd Calendar'!$E$1550:$AR$1550=TYPE1)*(TYPE1&lt;&gt;"")+('Dvd Calendar'!$E$1550:$AR$1550=TYPE2)*(TYPE2&lt;&gt;"")+('Dvd Calendar'!$E$1550:$AR$1550=TYPE3)*(TYPE3&lt;&gt;"")+('Dvd Calendar'!$E$1550:$AR$1550=TYPE4)*(TYPE4&lt;&gt;"")+('Dvd Calendar'!$E$1550:$AR$1550=SPECIAL_LBL)*(INC_SPECIALS="Y"))))</f>
        <v/>
      </c>
      <c r="K46" s="52">
        <f>IF($B46="",0,SUMIFS('Dvd Calendar'!$E$1553:$AR$1553,'Dvd Calendar'!$E$1552:$AR$1552,"&gt;"&amp;PROJ_FROM,'Dvd Calendar'!$E$1552:$AR$1552,"&lt;="&amp;DATE(YEAR_Y,12,31))+SUMPRODUCT(('Dvd Calendar'!$E$1545:$AR$1545&gt;PROJ_FROM)*('Dvd Calendar'!$E$1545:$AR$1545&lt;=DATE(YEAR_Y,12,31))*'Dvd Calendar'!$E$1548:$AR$1548*(('Dvd Calendar'!$E$1550:$AR$1550=TYPE1)*(TYPE1&lt;&gt;"")+('Dvd Calendar'!$E$1550:$AR$1550=TYPE2)*(TYPE2&lt;&gt;"")+('Dvd Calendar'!$E$1550:$AR$1550=TYPE3)*(TYPE3&lt;&gt;"")+('Dvd Calendar'!$E$1550:$AR$1550=TYPE4)*(TYPE4&lt;&gt;"")+('Dvd Calendar'!$E$1550:$AR$1550=SPECIAL_LBL)*(INC_SPECIALS="Y"))*(COUNTIF('Dvd Calendar'!$E$1552:$AR$1552,'Dvd Calendar'!$E$1545:$AR$1545)=0)))</f>
        <v/>
      </c>
      <c r="L46" s="52">
        <f>IF($B46="",0,IF((OV_SWITCH="ON")*(COUNTIFS(OVR_TICKERS,$C46,OVR_BASE,"&gt;=0")&gt;0)&gt;0,SUMIFS(OVR_BASE,OVR_TICKERS,$C46),$K46))</f>
        <v/>
      </c>
      <c r="M46" s="52">
        <f>IF($B46="",0,IF((OV_SWITCH="ON")*(COUNTIFS(OVR_TICKERS,$C46,OVR_LOW,"&gt;=0")&gt;0)&gt;0,SUMIFS(OVR_LOW,OVR_TICKERS,$C46),$L46))</f>
        <v/>
      </c>
      <c r="N46" s="52">
        <f>IF($B46="",0,IF((OV_SWITCH="ON")*(COUNTIFS(OVR_TICKERS,$C46,OVR_HIGH,"&gt;=0")&gt;0)&gt;0,SUMIFS(OVR_HIGH,OVR_TICKERS,$C46),$L46))</f>
        <v/>
      </c>
      <c r="O46" s="69">
        <f>IF($B46="","",IFERROR($B46*$G46*$J46/$B$3,""))</f>
        <v/>
      </c>
      <c r="P46" s="69">
        <f>IF($B46="","",IFERROR($B46*$G46*$L46/$B$3,""))</f>
        <v/>
      </c>
      <c r="Q46" s="44">
        <f>IF($B46="","",IFERROR($O46+$P46,""))</f>
        <v/>
      </c>
      <c r="R46" s="69">
        <f>IF($B46="","",IFERROR($O46+$B46*$G46*$M46/$B$3,""))</f>
        <v/>
      </c>
      <c r="S46" s="69">
        <f>IF($B46="","",IFERROR($O46+$B46*$G46*$N46/$B$3,""))</f>
        <v/>
      </c>
      <c r="T46" s="88">
        <f>IF($B46="","",IFERROR($Q46/$Q$5,""))</f>
        <v/>
      </c>
      <c r="U46" s="2">
        <f>IF($B46="","",IF(COUNTIFS('Dvd Calendar'!$E$1551:$AR$1551,"&gt;0",'Dvd Calendar'!$E$1551:$AR$1551,"&lt;="&amp;VAL_DATE,'Dvd Calendar'!$E$1552:$AR$1552,"&gt;"&amp;PROJ_FROM,'Dvd Calendar'!$E$1552:$AR$1552,"&lt;="&amp;DATE(YEAR_Y,12,31))-COUNTIFS('Dvd Calendar'!$E$1551:$AR$1551,"&gt;0",'Dvd Calendar'!$E$1551:$AR$1551,"&lt;="&amp;VAL_DATE,'Dvd Calendar'!$E$1552:$AR$1552,"&gt;"&amp;PROJ_FROM,'Dvd Calendar'!$E$1552:$AR$1552,"&lt;="&amp;DATE(YEAR_Y,12,31),'Dvd Calendar'!$E$1553:$AR$1553,"&gt;=0")&gt;0,"TBA amount - override me",IF((OV_SWITCH="ON")*(COUNTIFS(OVR_TICKERS,$C46,OVR_BASE,"&gt;=0")&gt;0)&gt;0,"overridden",IF($J46+$K46=0,"no dividend in year Y",""))))</f>
        <v/>
      </c>
      <c r="V46" s="69">
        <f>IF($B46="","",IFERROR(IF(ISNUMBER($H46),$B46*$G46*$H46/$B$3,0),""))</f>
        <v/>
      </c>
      <c r="W46" s="69">
        <f>IF($B46="","",IFERROR($B46*$G46*$K46/$B$3,""))</f>
        <v/>
      </c>
      <c r="X46" s="98">
        <f>IF($C46="","",BDP($C46,"PX_LAST"))</f>
        <v/>
      </c>
      <c r="Y46" s="69">
        <f>IF($B46="","",IFERROR($B46*$X46/$B$3,""))</f>
        <v/>
      </c>
      <c r="Z46" s="73">
        <f>IF($B46="","",IFERROR($Y46/$Y$5,""))</f>
        <v/>
      </c>
    </row>
  </sheetData>
  <autoFilter ref="A6:Z46"/>
  <conditionalFormatting sqref="U7:U46">
    <cfRule type="expression" priority="1" dxfId="0">
      <formula>ISNUMBER(SEARCH("TBA",$U7))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AADB"/>
    <outlinePr summaryBelow="1" summaryRight="1"/>
    <pageSetUpPr/>
  </sheetPr>
  <dimension ref="A1:Z6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6" customWidth="1" min="4" max="4"/>
    <col width="21" customWidth="1" min="5" max="5"/>
    <col width="6" customWidth="1" min="6" max="6"/>
    <col width="8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21" customWidth="1" min="21" max="21"/>
    <col width="9" customWidth="1" min="22" max="22"/>
    <col width="9" customWidth="1" min="23" max="23"/>
    <col width="10" customWidth="1" min="24" max="24"/>
    <col width="10" customWidth="1" min="25" max="25"/>
    <col width="9" customWidth="1" min="26" max="26"/>
  </cols>
  <sheetData>
    <row r="1">
      <c r="A1" s="1" t="inlineStr">
        <is>
          <t>Hang Seng China Enterprises (HSCEI)  -  MEMBERS, YOUR BASKET, AND THE YEAR MODEL</t>
        </is>
      </c>
    </row>
    <row r="2">
      <c r="A2" s="3" t="inlineStr">
        <is>
          <t>Index ticker</t>
        </is>
      </c>
      <c r="B2" s="4" t="inlineStr">
        <is>
          <t>HSCEI Index</t>
        </is>
      </c>
      <c r="G2" s="2" t="inlineStr">
        <is>
          <t>Members</t>
        </is>
      </c>
      <c r="H2" s="40">
        <f>SUMPRODUCT(($A$7:$A$66&lt;&gt;"")*1)</f>
        <v/>
      </c>
      <c r="K2" s="2" t="inlineStr">
        <is>
          <t>Qty pasted</t>
        </is>
      </c>
      <c r="L2" s="40">
        <f>COUNT($B$7:$B$66)</f>
        <v/>
      </c>
      <c r="O2" s="2" t="inlineStr">
        <is>
          <t>No qty</t>
        </is>
      </c>
      <c r="P2" s="40">
        <f>SUMPRODUCT(($A$7:$A$66&lt;&gt;"")*($B$7:$B$66=""))</f>
        <v/>
      </c>
      <c r="S2" s="2" t="inlineStr">
        <is>
          <t>Amount TBA</t>
        </is>
      </c>
      <c r="T2" s="40">
        <f>COUNTIF($U$7:$U$66,"TBA amount - override me")</f>
        <v/>
      </c>
    </row>
    <row r="3">
      <c r="A3" s="3" t="inlineStr">
        <is>
          <t>Index divisor</t>
        </is>
      </c>
      <c r="B3" s="29" t="n"/>
      <c r="C3" s="2" t="inlineStr">
        <is>
          <t>Paste the official divisor here and the basket quantities in column B, in CONSISTENT units - the SCALE FACTOR row on Summary flags a mismatch instantly. A refresh can reshuffle members; pasted quantities do NOT follow them.</t>
        </is>
      </c>
    </row>
    <row r="4">
      <c r="A4" s="6" t="inlineStr">
        <is>
          <t>MEMBER &amp; REFERENCE DATA (Bloomberg)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57" t="inlineStr">
        <is>
          <t>DIVIDEND PER SHARE - declared currency</t>
        </is>
      </c>
      <c r="K4" s="58" t="n"/>
      <c r="L4" s="58" t="n"/>
      <c r="M4" s="58" t="n"/>
      <c r="N4" s="58" t="n"/>
      <c r="O4" s="57" t="inlineStr">
        <is>
          <t>INDEX POINTS</t>
        </is>
      </c>
      <c r="P4" s="58" t="n"/>
      <c r="Q4" s="58" t="n"/>
      <c r="R4" s="58" t="n"/>
      <c r="S4" s="58" t="n"/>
      <c r="T4" s="58" t="n"/>
      <c r="U4" s="6" t="inlineStr">
        <is>
          <t>FLAG / REFERENCE</t>
        </is>
      </c>
      <c r="V4" s="7" t="n"/>
      <c r="W4" s="7" t="n"/>
      <c r="X4" s="59" t="inlineStr">
        <is>
          <t>UNITS CHECK (price x qty must rebuild the index)</t>
        </is>
      </c>
      <c r="Y4" s="60" t="n"/>
      <c r="Z4" s="60" t="n"/>
    </row>
    <row r="5">
      <c r="N5" s="3" t="inlineStr">
        <is>
          <t>TOTAL -&gt;</t>
        </is>
      </c>
      <c r="O5" s="30">
        <f>IFERROR(SUM(O7:O66),"")</f>
        <v/>
      </c>
      <c r="P5" s="30">
        <f>IFERROR(SUM(P7:P66),"")</f>
        <v/>
      </c>
      <c r="Q5" s="49">
        <f>IFERROR(SUM(Q7:Q66),"")</f>
        <v/>
      </c>
      <c r="R5" s="30">
        <f>IFERROR(SUM(R7:R66),"")</f>
        <v/>
      </c>
      <c r="S5" s="30">
        <f>IFERROR(SUM(S7:S66),"")</f>
        <v/>
      </c>
      <c r="V5" s="30">
        <f>IFERROR(SUM(V7:V66),"")</f>
        <v/>
      </c>
      <c r="W5" s="30">
        <f>IFERROR(SUM(W7:W66),"")</f>
        <v/>
      </c>
      <c r="Y5" s="49">
        <f>IFERROR(SUM(Y7:Y66),"")</f>
        <v/>
      </c>
      <c r="Z5" s="96">
        <f>IFERROR(SUM(Z7:Z66),"")</f>
        <v/>
      </c>
    </row>
    <row r="6">
      <c r="A6" s="23" t="inlineStr">
        <is>
          <t>Member</t>
        </is>
      </c>
      <c r="B6" s="23" t="inlineStr">
        <is>
          <t>Basket
Qty</t>
        </is>
      </c>
      <c r="C6" s="23" t="inlineStr">
        <is>
          <t>Bloomberg Ticker</t>
        </is>
      </c>
      <c r="D6" s="23" t="inlineStr">
        <is>
          <t>Name</t>
        </is>
      </c>
      <c r="E6" s="23" t="inlineStr">
        <is>
          <t>GICS Sector</t>
        </is>
      </c>
      <c r="F6" s="23" t="inlineStr">
        <is>
          <t>Dvd
CCY</t>
        </is>
      </c>
      <c r="G6" s="23" t="inlineStr">
        <is>
          <t>FX -&gt;
HKD</t>
        </is>
      </c>
      <c r="H6" s="23" t="inlineStr">
        <is>
          <t>DPS 12M
(ref)</t>
        </is>
      </c>
      <c r="I6" s="23" t="inlineStr">
        <is>
          <t>Yld 12M
(ref)</t>
        </is>
      </c>
      <c r="J6" s="23" t="inlineStr">
        <is>
          <t>Realized
DPS</t>
        </is>
      </c>
      <c r="K6" s="23" t="inlineStr">
        <is>
          <t>To come
DPS (BBG)</t>
        </is>
      </c>
      <c r="L6" s="23" t="inlineStr">
        <is>
          <t>To come
DPS (eff)</t>
        </is>
      </c>
      <c r="M6" s="23" t="inlineStr">
        <is>
          <t>LOW
DPS</t>
        </is>
      </c>
      <c r="N6" s="23" t="inlineStr">
        <is>
          <t>HIGH
DPS</t>
        </is>
      </c>
      <c r="O6" s="62" t="inlineStr">
        <is>
          <t>Realized
(pts)</t>
        </is>
      </c>
      <c r="P6" s="62" t="inlineStr">
        <is>
          <t>To come
(pts)</t>
        </is>
      </c>
      <c r="Q6" s="62" t="inlineStr">
        <is>
          <t>YEAR
TOTAL (pts)</t>
        </is>
      </c>
      <c r="R6" s="62" t="inlineStr">
        <is>
          <t>LOW
(pts)</t>
        </is>
      </c>
      <c r="S6" s="62" t="inlineStr">
        <is>
          <t>HIGH
(pts)</t>
        </is>
      </c>
      <c r="T6" s="62" t="inlineStr">
        <is>
          <t>% of yr
dvds</t>
        </is>
      </c>
      <c r="U6" s="23" t="inlineStr">
        <is>
          <t>Flag</t>
        </is>
      </c>
      <c r="V6" s="23" t="inlineStr">
        <is>
          <t>12M pts
(ref)</t>
        </is>
      </c>
      <c r="W6" s="23" t="inlineStr">
        <is>
          <t>To come
pts (BBG)</t>
        </is>
      </c>
      <c r="X6" s="65" t="inlineStr">
        <is>
          <t>Price
(PX_LAST)</t>
        </is>
      </c>
      <c r="Y6" s="65" t="inlineStr">
        <is>
          <t>Value
(index pts)</t>
        </is>
      </c>
      <c r="Z6" s="65" t="inlineStr">
        <is>
          <t>Index
weight</t>
        </is>
      </c>
    </row>
    <row r="7">
      <c r="A7" s="8">
        <f>BDS($B$2,"INDX_MEMBERS")</f>
        <v/>
      </c>
      <c r="B7" s="97" t="n"/>
      <c r="C7" s="8">
        <f>IF($A7="","",$A7&amp;" Equity")</f>
        <v/>
      </c>
      <c r="D7" s="8">
        <f>IF($C7="","",BDP($C7,"NAME"))</f>
        <v/>
      </c>
      <c r="E7" s="8">
        <f>IF($C7="","",BDP($C7,"GICS_SECTOR_NAME"))</f>
        <v/>
      </c>
      <c r="F7" s="37">
        <f>IF($C7="","",BDP($C7,FLD_CCY))</f>
        <v/>
      </c>
      <c r="G7" s="12">
        <f>IFERROR(IF(LEN($F7)&lt;&gt;3,1,IF($F7="HKD",1,BDP(IF($F7="CNY",RMB_CROSS,$F7)&amp;"HKD Curncy","PX_LAST"))),1)</f>
        <v/>
      </c>
      <c r="H7" s="69">
        <f>IF($C7="","",BDP($C7,FLD_DPS12M))</f>
        <v/>
      </c>
      <c r="I7" s="50">
        <f>IF($C7="","",BDP($C7,FLD_YLD12M))</f>
        <v/>
      </c>
      <c r="J7" s="52">
        <f>IF($B7="",0,SUMPRODUCT(('Dvd Calendar'!$E$1561:$AR$1561&gt;=DATE(YEAR_Y,1,1))*('Dvd Calendar'!$E$1561:$AR$1561&lt;=REALIZED_TO)*'Dvd Calendar'!$E$1564:$AR$1564*(('Dvd Calendar'!$E$1566:$AR$1566=TYPE1)*(TYPE1&lt;&gt;"")+('Dvd Calendar'!$E$1566:$AR$1566=TYPE2)*(TYPE2&lt;&gt;"")+('Dvd Calendar'!$E$1566:$AR$1566=TYPE3)*(TYPE3&lt;&gt;"")+('Dvd Calendar'!$E$1566:$AR$1566=TYPE4)*(TYPE4&lt;&gt;"")+('Dvd Calendar'!$E$1566:$AR$1566=SPECIAL_LBL)*(INC_SPECIALS="Y"))))</f>
        <v/>
      </c>
      <c r="K7" s="52">
        <f>IF($B7="",0,SUMIFS('Dvd Calendar'!$E$1569:$AR$1569,'Dvd Calendar'!$E$1568:$AR$1568,"&gt;"&amp;PROJ_FROM,'Dvd Calendar'!$E$1568:$AR$1568,"&lt;="&amp;DATE(YEAR_Y,12,31))+SUMPRODUCT(('Dvd Calendar'!$E$1561:$AR$1561&gt;PROJ_FROM)*('Dvd Calendar'!$E$1561:$AR$1561&lt;=DATE(YEAR_Y,12,31))*'Dvd Calendar'!$E$1564:$AR$1564*(('Dvd Calendar'!$E$1566:$AR$1566=TYPE1)*(TYPE1&lt;&gt;"")+('Dvd Calendar'!$E$1566:$AR$1566=TYPE2)*(TYPE2&lt;&gt;"")+('Dvd Calendar'!$E$1566:$AR$1566=TYPE3)*(TYPE3&lt;&gt;"")+('Dvd Calendar'!$E$1566:$AR$1566=TYPE4)*(TYPE4&lt;&gt;"")+('Dvd Calendar'!$E$1566:$AR$1566=SPECIAL_LBL)*(INC_SPECIALS="Y"))*(COUNTIF('Dvd Calendar'!$E$1568:$AR$1568,'Dvd Calendar'!$E$1561:$AR$1561)=0)))</f>
        <v/>
      </c>
      <c r="L7" s="52">
        <f>IF($B7="",0,IF((OV_SWITCH="ON")*(COUNTIFS(OVR_TICKERS,$C7,OVR_BASE,"&gt;=0")&gt;0)&gt;0,SUMIFS(OVR_BASE,OVR_TICKERS,$C7),$K7))</f>
        <v/>
      </c>
      <c r="M7" s="52">
        <f>IF($B7="",0,IF((OV_SWITCH="ON")*(COUNTIFS(OVR_TICKERS,$C7,OVR_LOW,"&gt;=0")&gt;0)&gt;0,SUMIFS(OVR_LOW,OVR_TICKERS,$C7),$L7))</f>
        <v/>
      </c>
      <c r="N7" s="52">
        <f>IF($B7="",0,IF((OV_SWITCH="ON")*(COUNTIFS(OVR_TICKERS,$C7,OVR_HIGH,"&gt;=0")&gt;0)&gt;0,SUMIFS(OVR_HIGH,OVR_TICKERS,$C7),$L7))</f>
        <v/>
      </c>
      <c r="O7" s="69">
        <f>IF($B7="","",IFERROR($B7*$G7*$J7/$B$3,""))</f>
        <v/>
      </c>
      <c r="P7" s="69">
        <f>IF($B7="","",IFERROR($B7*$G7*$L7/$B$3,""))</f>
        <v/>
      </c>
      <c r="Q7" s="44">
        <f>IF($B7="","",IFERROR($O7+$P7,""))</f>
        <v/>
      </c>
      <c r="R7" s="69">
        <f>IF($B7="","",IFERROR($O7+$B7*$G7*$M7/$B$3,""))</f>
        <v/>
      </c>
      <c r="S7" s="69">
        <f>IF($B7="","",IFERROR($O7+$B7*$G7*$N7/$B$3,""))</f>
        <v/>
      </c>
      <c r="T7" s="88">
        <f>IF($B7="","",IFERROR($Q7/$Q$5,""))</f>
        <v/>
      </c>
      <c r="U7" s="2">
        <f>IF($B7="","",IF(COUNTIFS('Dvd Calendar'!$E$1567:$AR$1567,"&gt;0",'Dvd Calendar'!$E$1567:$AR$1567,"&lt;="&amp;VAL_DATE,'Dvd Calendar'!$E$1568:$AR$1568,"&gt;"&amp;PROJ_FROM,'Dvd Calendar'!$E$1568:$AR$1568,"&lt;="&amp;DATE(YEAR_Y,12,31))-COUNTIFS('Dvd Calendar'!$E$1567:$AR$1567,"&gt;0",'Dvd Calendar'!$E$1567:$AR$1567,"&lt;="&amp;VAL_DATE,'Dvd Calendar'!$E$1568:$AR$1568,"&gt;"&amp;PROJ_FROM,'Dvd Calendar'!$E$1568:$AR$1568,"&lt;="&amp;DATE(YEAR_Y,12,31),'Dvd Calendar'!$E$1569:$AR$1569,"&gt;=0")&gt;0,"TBA amount - override me",IF((OV_SWITCH="ON")*(COUNTIFS(OVR_TICKERS,$C7,OVR_BASE,"&gt;=0")&gt;0)&gt;0,"overridden",IF($J7+$K7=0,"no dividend in year Y",""))))</f>
        <v/>
      </c>
      <c r="V7" s="69">
        <f>IF($B7="","",IFERROR(IF(ISNUMBER($H7),$B7*$G7*$H7/$B$3,0),""))</f>
        <v/>
      </c>
      <c r="W7" s="69">
        <f>IF($B7="","",IFERROR($B7*$G7*$K7/$B$3,""))</f>
        <v/>
      </c>
      <c r="X7" s="98">
        <f>IF($C7="","",BDP($C7,"PX_LAST"))</f>
        <v/>
      </c>
      <c r="Y7" s="69">
        <f>IF($B7="","",IFERROR($B7*$X7/$B$3,""))</f>
        <v/>
      </c>
      <c r="Z7" s="73">
        <f>IF($B7="","",IFERROR($Y7/$Y$5,""))</f>
        <v/>
      </c>
    </row>
    <row r="8">
      <c r="B8" s="97" t="n"/>
      <c r="C8" s="8">
        <f>IF($A8="","",$A8&amp;" Equity")</f>
        <v/>
      </c>
      <c r="D8" s="8">
        <f>IF($C8="","",BDP($C8,"NAME"))</f>
        <v/>
      </c>
      <c r="E8" s="8">
        <f>IF($C8="","",BDP($C8,"GICS_SECTOR_NAME"))</f>
        <v/>
      </c>
      <c r="F8" s="37">
        <f>IF($C8="","",BDP($C8,FLD_CCY))</f>
        <v/>
      </c>
      <c r="G8" s="12">
        <f>IFERROR(IF(LEN($F8)&lt;&gt;3,1,IF($F8="HKD",1,BDP(IF($F8="CNY",RMB_CROSS,$F8)&amp;"HKD Curncy","PX_LAST"))),1)</f>
        <v/>
      </c>
      <c r="H8" s="69">
        <f>IF($C8="","",BDP($C8,FLD_DPS12M))</f>
        <v/>
      </c>
      <c r="I8" s="50">
        <f>IF($C8="","",BDP($C8,FLD_YLD12M))</f>
        <v/>
      </c>
      <c r="J8" s="52">
        <f>IF($B8="",0,SUMPRODUCT(('Dvd Calendar'!$E$1572:$AR$1572&gt;=DATE(YEAR_Y,1,1))*('Dvd Calendar'!$E$1572:$AR$1572&lt;=REALIZED_TO)*'Dvd Calendar'!$E$1575:$AR$1575*(('Dvd Calendar'!$E$1577:$AR$1577=TYPE1)*(TYPE1&lt;&gt;"")+('Dvd Calendar'!$E$1577:$AR$1577=TYPE2)*(TYPE2&lt;&gt;"")+('Dvd Calendar'!$E$1577:$AR$1577=TYPE3)*(TYPE3&lt;&gt;"")+('Dvd Calendar'!$E$1577:$AR$1577=TYPE4)*(TYPE4&lt;&gt;"")+('Dvd Calendar'!$E$1577:$AR$1577=SPECIAL_LBL)*(INC_SPECIALS="Y"))))</f>
        <v/>
      </c>
      <c r="K8" s="52">
        <f>IF($B8="",0,SUMIFS('Dvd Calendar'!$E$1580:$AR$1580,'Dvd Calendar'!$E$1579:$AR$1579,"&gt;"&amp;PROJ_FROM,'Dvd Calendar'!$E$1579:$AR$1579,"&lt;="&amp;DATE(YEAR_Y,12,31))+SUMPRODUCT(('Dvd Calendar'!$E$1572:$AR$1572&gt;PROJ_FROM)*('Dvd Calendar'!$E$1572:$AR$1572&lt;=DATE(YEAR_Y,12,31))*'Dvd Calendar'!$E$1575:$AR$1575*(('Dvd Calendar'!$E$1577:$AR$1577=TYPE1)*(TYPE1&lt;&gt;"")+('Dvd Calendar'!$E$1577:$AR$1577=TYPE2)*(TYPE2&lt;&gt;"")+('Dvd Calendar'!$E$1577:$AR$1577=TYPE3)*(TYPE3&lt;&gt;"")+('Dvd Calendar'!$E$1577:$AR$1577=TYPE4)*(TYPE4&lt;&gt;"")+('Dvd Calendar'!$E$1577:$AR$1577=SPECIAL_LBL)*(INC_SPECIALS="Y"))*(COUNTIF('Dvd Calendar'!$E$1579:$AR$1579,'Dvd Calendar'!$E$1572:$AR$1572)=0)))</f>
        <v/>
      </c>
      <c r="L8" s="52">
        <f>IF($B8="",0,IF((OV_SWITCH="ON")*(COUNTIFS(OVR_TICKERS,$C8,OVR_BASE,"&gt;=0")&gt;0)&gt;0,SUMIFS(OVR_BASE,OVR_TICKERS,$C8),$K8))</f>
        <v/>
      </c>
      <c r="M8" s="52">
        <f>IF($B8="",0,IF((OV_SWITCH="ON")*(COUNTIFS(OVR_TICKERS,$C8,OVR_LOW,"&gt;=0")&gt;0)&gt;0,SUMIFS(OVR_LOW,OVR_TICKERS,$C8),$L8))</f>
        <v/>
      </c>
      <c r="N8" s="52">
        <f>IF($B8="",0,IF((OV_SWITCH="ON")*(COUNTIFS(OVR_TICKERS,$C8,OVR_HIGH,"&gt;=0")&gt;0)&gt;0,SUMIFS(OVR_HIGH,OVR_TICKERS,$C8),$L8))</f>
        <v/>
      </c>
      <c r="O8" s="69">
        <f>IF($B8="","",IFERROR($B8*$G8*$J8/$B$3,""))</f>
        <v/>
      </c>
      <c r="P8" s="69">
        <f>IF($B8="","",IFERROR($B8*$G8*$L8/$B$3,""))</f>
        <v/>
      </c>
      <c r="Q8" s="44">
        <f>IF($B8="","",IFERROR($O8+$P8,""))</f>
        <v/>
      </c>
      <c r="R8" s="69">
        <f>IF($B8="","",IFERROR($O8+$B8*$G8*$M8/$B$3,""))</f>
        <v/>
      </c>
      <c r="S8" s="69">
        <f>IF($B8="","",IFERROR($O8+$B8*$G8*$N8/$B$3,""))</f>
        <v/>
      </c>
      <c r="T8" s="88">
        <f>IF($B8="","",IFERROR($Q8/$Q$5,""))</f>
        <v/>
      </c>
      <c r="U8" s="2">
        <f>IF($B8="","",IF(COUNTIFS('Dvd Calendar'!$E$1578:$AR$1578,"&gt;0",'Dvd Calendar'!$E$1578:$AR$1578,"&lt;="&amp;VAL_DATE,'Dvd Calendar'!$E$1579:$AR$1579,"&gt;"&amp;PROJ_FROM,'Dvd Calendar'!$E$1579:$AR$1579,"&lt;="&amp;DATE(YEAR_Y,12,31))-COUNTIFS('Dvd Calendar'!$E$1578:$AR$1578,"&gt;0",'Dvd Calendar'!$E$1578:$AR$1578,"&lt;="&amp;VAL_DATE,'Dvd Calendar'!$E$1579:$AR$1579,"&gt;"&amp;PROJ_FROM,'Dvd Calendar'!$E$1579:$AR$1579,"&lt;="&amp;DATE(YEAR_Y,12,31),'Dvd Calendar'!$E$1580:$AR$1580,"&gt;=0")&gt;0,"TBA amount - override me",IF((OV_SWITCH="ON")*(COUNTIFS(OVR_TICKERS,$C8,OVR_BASE,"&gt;=0")&gt;0)&gt;0,"overridden",IF($J8+$K8=0,"no dividend in year Y",""))))</f>
        <v/>
      </c>
      <c r="V8" s="69">
        <f>IF($B8="","",IFERROR(IF(ISNUMBER($H8),$B8*$G8*$H8/$B$3,0),""))</f>
        <v/>
      </c>
      <c r="W8" s="69">
        <f>IF($B8="","",IFERROR($B8*$G8*$K8/$B$3,""))</f>
        <v/>
      </c>
      <c r="X8" s="98">
        <f>IF($C8="","",BDP($C8,"PX_LAST"))</f>
        <v/>
      </c>
      <c r="Y8" s="69">
        <f>IF($B8="","",IFERROR($B8*$X8/$B$3,""))</f>
        <v/>
      </c>
      <c r="Z8" s="73">
        <f>IF($B8="","",IFERROR($Y8/$Y$5,""))</f>
        <v/>
      </c>
    </row>
    <row r="9">
      <c r="B9" s="97" t="n"/>
      <c r="C9" s="8">
        <f>IF($A9="","",$A9&amp;" Equity")</f>
        <v/>
      </c>
      <c r="D9" s="8">
        <f>IF($C9="","",BDP($C9,"NAME"))</f>
        <v/>
      </c>
      <c r="E9" s="8">
        <f>IF($C9="","",BDP($C9,"GICS_SECTOR_NAME"))</f>
        <v/>
      </c>
      <c r="F9" s="37">
        <f>IF($C9="","",BDP($C9,FLD_CCY))</f>
        <v/>
      </c>
      <c r="G9" s="12">
        <f>IFERROR(IF(LEN($F9)&lt;&gt;3,1,IF($F9="HKD",1,BDP(IF($F9="CNY",RMB_CROSS,$F9)&amp;"HKD Curncy","PX_LAST"))),1)</f>
        <v/>
      </c>
      <c r="H9" s="69">
        <f>IF($C9="","",BDP($C9,FLD_DPS12M))</f>
        <v/>
      </c>
      <c r="I9" s="50">
        <f>IF($C9="","",BDP($C9,FLD_YLD12M))</f>
        <v/>
      </c>
      <c r="J9" s="52">
        <f>IF($B9="",0,SUMPRODUCT(('Dvd Calendar'!$E$1583:$AR$1583&gt;=DATE(YEAR_Y,1,1))*('Dvd Calendar'!$E$1583:$AR$1583&lt;=REALIZED_TO)*'Dvd Calendar'!$E$1586:$AR$1586*(('Dvd Calendar'!$E$1588:$AR$1588=TYPE1)*(TYPE1&lt;&gt;"")+('Dvd Calendar'!$E$1588:$AR$1588=TYPE2)*(TYPE2&lt;&gt;"")+('Dvd Calendar'!$E$1588:$AR$1588=TYPE3)*(TYPE3&lt;&gt;"")+('Dvd Calendar'!$E$1588:$AR$1588=TYPE4)*(TYPE4&lt;&gt;"")+('Dvd Calendar'!$E$1588:$AR$1588=SPECIAL_LBL)*(INC_SPECIALS="Y"))))</f>
        <v/>
      </c>
      <c r="K9" s="52">
        <f>IF($B9="",0,SUMIFS('Dvd Calendar'!$E$1591:$AR$1591,'Dvd Calendar'!$E$1590:$AR$1590,"&gt;"&amp;PROJ_FROM,'Dvd Calendar'!$E$1590:$AR$1590,"&lt;="&amp;DATE(YEAR_Y,12,31))+SUMPRODUCT(('Dvd Calendar'!$E$1583:$AR$1583&gt;PROJ_FROM)*('Dvd Calendar'!$E$1583:$AR$1583&lt;=DATE(YEAR_Y,12,31))*'Dvd Calendar'!$E$1586:$AR$1586*(('Dvd Calendar'!$E$1588:$AR$1588=TYPE1)*(TYPE1&lt;&gt;"")+('Dvd Calendar'!$E$1588:$AR$1588=TYPE2)*(TYPE2&lt;&gt;"")+('Dvd Calendar'!$E$1588:$AR$1588=TYPE3)*(TYPE3&lt;&gt;"")+('Dvd Calendar'!$E$1588:$AR$1588=TYPE4)*(TYPE4&lt;&gt;"")+('Dvd Calendar'!$E$1588:$AR$1588=SPECIAL_LBL)*(INC_SPECIALS="Y"))*(COUNTIF('Dvd Calendar'!$E$1590:$AR$1590,'Dvd Calendar'!$E$1583:$AR$1583)=0)))</f>
        <v/>
      </c>
      <c r="L9" s="52">
        <f>IF($B9="",0,IF((OV_SWITCH="ON")*(COUNTIFS(OVR_TICKERS,$C9,OVR_BASE,"&gt;=0")&gt;0)&gt;0,SUMIFS(OVR_BASE,OVR_TICKERS,$C9),$K9))</f>
        <v/>
      </c>
      <c r="M9" s="52">
        <f>IF($B9="",0,IF((OV_SWITCH="ON")*(COUNTIFS(OVR_TICKERS,$C9,OVR_LOW,"&gt;=0")&gt;0)&gt;0,SUMIFS(OVR_LOW,OVR_TICKERS,$C9),$L9))</f>
        <v/>
      </c>
      <c r="N9" s="52">
        <f>IF($B9="",0,IF((OV_SWITCH="ON")*(COUNTIFS(OVR_TICKERS,$C9,OVR_HIGH,"&gt;=0")&gt;0)&gt;0,SUMIFS(OVR_HIGH,OVR_TICKERS,$C9),$L9))</f>
        <v/>
      </c>
      <c r="O9" s="69">
        <f>IF($B9="","",IFERROR($B9*$G9*$J9/$B$3,""))</f>
        <v/>
      </c>
      <c r="P9" s="69">
        <f>IF($B9="","",IFERROR($B9*$G9*$L9/$B$3,""))</f>
        <v/>
      </c>
      <c r="Q9" s="44">
        <f>IF($B9="","",IFERROR($O9+$P9,""))</f>
        <v/>
      </c>
      <c r="R9" s="69">
        <f>IF($B9="","",IFERROR($O9+$B9*$G9*$M9/$B$3,""))</f>
        <v/>
      </c>
      <c r="S9" s="69">
        <f>IF($B9="","",IFERROR($O9+$B9*$G9*$N9/$B$3,""))</f>
        <v/>
      </c>
      <c r="T9" s="88">
        <f>IF($B9="","",IFERROR($Q9/$Q$5,""))</f>
        <v/>
      </c>
      <c r="U9" s="2">
        <f>IF($B9="","",IF(COUNTIFS('Dvd Calendar'!$E$1589:$AR$1589,"&gt;0",'Dvd Calendar'!$E$1589:$AR$1589,"&lt;="&amp;VAL_DATE,'Dvd Calendar'!$E$1590:$AR$1590,"&gt;"&amp;PROJ_FROM,'Dvd Calendar'!$E$1590:$AR$1590,"&lt;="&amp;DATE(YEAR_Y,12,31))-COUNTIFS('Dvd Calendar'!$E$1589:$AR$1589,"&gt;0",'Dvd Calendar'!$E$1589:$AR$1589,"&lt;="&amp;VAL_DATE,'Dvd Calendar'!$E$1590:$AR$1590,"&gt;"&amp;PROJ_FROM,'Dvd Calendar'!$E$1590:$AR$1590,"&lt;="&amp;DATE(YEAR_Y,12,31),'Dvd Calendar'!$E$1591:$AR$1591,"&gt;=0")&gt;0,"TBA amount - override me",IF((OV_SWITCH="ON")*(COUNTIFS(OVR_TICKERS,$C9,OVR_BASE,"&gt;=0")&gt;0)&gt;0,"overridden",IF($J9+$K9=0,"no dividend in year Y",""))))</f>
        <v/>
      </c>
      <c r="V9" s="69">
        <f>IF($B9="","",IFERROR(IF(ISNUMBER($H9),$B9*$G9*$H9/$B$3,0),""))</f>
        <v/>
      </c>
      <c r="W9" s="69">
        <f>IF($B9="","",IFERROR($B9*$G9*$K9/$B$3,""))</f>
        <v/>
      </c>
      <c r="X9" s="98">
        <f>IF($C9="","",BDP($C9,"PX_LAST"))</f>
        <v/>
      </c>
      <c r="Y9" s="69">
        <f>IF($B9="","",IFERROR($B9*$X9/$B$3,""))</f>
        <v/>
      </c>
      <c r="Z9" s="73">
        <f>IF($B9="","",IFERROR($Y9/$Y$5,""))</f>
        <v/>
      </c>
    </row>
    <row r="10">
      <c r="B10" s="97" t="n"/>
      <c r="C10" s="8">
        <f>IF($A10="","",$A10&amp;" Equity")</f>
        <v/>
      </c>
      <c r="D10" s="8">
        <f>IF($C10="","",BDP($C10,"NAME"))</f>
        <v/>
      </c>
      <c r="E10" s="8">
        <f>IF($C10="","",BDP($C10,"GICS_SECTOR_NAME"))</f>
        <v/>
      </c>
      <c r="F10" s="37">
        <f>IF($C10="","",BDP($C10,FLD_CCY))</f>
        <v/>
      </c>
      <c r="G10" s="12">
        <f>IFERROR(IF(LEN($F10)&lt;&gt;3,1,IF($F10="HKD",1,BDP(IF($F10="CNY",RMB_CROSS,$F10)&amp;"HKD Curncy","PX_LAST"))),1)</f>
        <v/>
      </c>
      <c r="H10" s="69">
        <f>IF($C10="","",BDP($C10,FLD_DPS12M))</f>
        <v/>
      </c>
      <c r="I10" s="50">
        <f>IF($C10="","",BDP($C10,FLD_YLD12M))</f>
        <v/>
      </c>
      <c r="J10" s="52">
        <f>IF($B10="",0,SUMPRODUCT(('Dvd Calendar'!$E$1594:$AR$1594&gt;=DATE(YEAR_Y,1,1))*('Dvd Calendar'!$E$1594:$AR$1594&lt;=REALIZED_TO)*'Dvd Calendar'!$E$1597:$AR$1597*(('Dvd Calendar'!$E$1599:$AR$1599=TYPE1)*(TYPE1&lt;&gt;"")+('Dvd Calendar'!$E$1599:$AR$1599=TYPE2)*(TYPE2&lt;&gt;"")+('Dvd Calendar'!$E$1599:$AR$1599=TYPE3)*(TYPE3&lt;&gt;"")+('Dvd Calendar'!$E$1599:$AR$1599=TYPE4)*(TYPE4&lt;&gt;"")+('Dvd Calendar'!$E$1599:$AR$1599=SPECIAL_LBL)*(INC_SPECIALS="Y"))))</f>
        <v/>
      </c>
      <c r="K10" s="52">
        <f>IF($B10="",0,SUMIFS('Dvd Calendar'!$E$1602:$AR$1602,'Dvd Calendar'!$E$1601:$AR$1601,"&gt;"&amp;PROJ_FROM,'Dvd Calendar'!$E$1601:$AR$1601,"&lt;="&amp;DATE(YEAR_Y,12,31))+SUMPRODUCT(('Dvd Calendar'!$E$1594:$AR$1594&gt;PROJ_FROM)*('Dvd Calendar'!$E$1594:$AR$1594&lt;=DATE(YEAR_Y,12,31))*'Dvd Calendar'!$E$1597:$AR$1597*(('Dvd Calendar'!$E$1599:$AR$1599=TYPE1)*(TYPE1&lt;&gt;"")+('Dvd Calendar'!$E$1599:$AR$1599=TYPE2)*(TYPE2&lt;&gt;"")+('Dvd Calendar'!$E$1599:$AR$1599=TYPE3)*(TYPE3&lt;&gt;"")+('Dvd Calendar'!$E$1599:$AR$1599=TYPE4)*(TYPE4&lt;&gt;"")+('Dvd Calendar'!$E$1599:$AR$1599=SPECIAL_LBL)*(INC_SPECIALS="Y"))*(COUNTIF('Dvd Calendar'!$E$1601:$AR$1601,'Dvd Calendar'!$E$1594:$AR$1594)=0)))</f>
        <v/>
      </c>
      <c r="L10" s="52">
        <f>IF($B10="",0,IF((OV_SWITCH="ON")*(COUNTIFS(OVR_TICKERS,$C10,OVR_BASE,"&gt;=0")&gt;0)&gt;0,SUMIFS(OVR_BASE,OVR_TICKERS,$C10),$K10))</f>
        <v/>
      </c>
      <c r="M10" s="52">
        <f>IF($B10="",0,IF((OV_SWITCH="ON")*(COUNTIFS(OVR_TICKERS,$C10,OVR_LOW,"&gt;=0")&gt;0)&gt;0,SUMIFS(OVR_LOW,OVR_TICKERS,$C10),$L10))</f>
        <v/>
      </c>
      <c r="N10" s="52">
        <f>IF($B10="",0,IF((OV_SWITCH="ON")*(COUNTIFS(OVR_TICKERS,$C10,OVR_HIGH,"&gt;=0")&gt;0)&gt;0,SUMIFS(OVR_HIGH,OVR_TICKERS,$C10),$L10))</f>
        <v/>
      </c>
      <c r="O10" s="69">
        <f>IF($B10="","",IFERROR($B10*$G10*$J10/$B$3,""))</f>
        <v/>
      </c>
      <c r="P10" s="69">
        <f>IF($B10="","",IFERROR($B10*$G10*$L10/$B$3,""))</f>
        <v/>
      </c>
      <c r="Q10" s="44">
        <f>IF($B10="","",IFERROR($O10+$P10,""))</f>
        <v/>
      </c>
      <c r="R10" s="69">
        <f>IF($B10="","",IFERROR($O10+$B10*$G10*$M10/$B$3,""))</f>
        <v/>
      </c>
      <c r="S10" s="69">
        <f>IF($B10="","",IFERROR($O10+$B10*$G10*$N10/$B$3,""))</f>
        <v/>
      </c>
      <c r="T10" s="88">
        <f>IF($B10="","",IFERROR($Q10/$Q$5,""))</f>
        <v/>
      </c>
      <c r="U10" s="2">
        <f>IF($B10="","",IF(COUNTIFS('Dvd Calendar'!$E$1600:$AR$1600,"&gt;0",'Dvd Calendar'!$E$1600:$AR$1600,"&lt;="&amp;VAL_DATE,'Dvd Calendar'!$E$1601:$AR$1601,"&gt;"&amp;PROJ_FROM,'Dvd Calendar'!$E$1601:$AR$1601,"&lt;="&amp;DATE(YEAR_Y,12,31))-COUNTIFS('Dvd Calendar'!$E$1600:$AR$1600,"&gt;0",'Dvd Calendar'!$E$1600:$AR$1600,"&lt;="&amp;VAL_DATE,'Dvd Calendar'!$E$1601:$AR$1601,"&gt;"&amp;PROJ_FROM,'Dvd Calendar'!$E$1601:$AR$1601,"&lt;="&amp;DATE(YEAR_Y,12,31),'Dvd Calendar'!$E$1602:$AR$1602,"&gt;=0")&gt;0,"TBA amount - override me",IF((OV_SWITCH="ON")*(COUNTIFS(OVR_TICKERS,$C10,OVR_BASE,"&gt;=0")&gt;0)&gt;0,"overridden",IF($J10+$K10=0,"no dividend in year Y",""))))</f>
        <v/>
      </c>
      <c r="V10" s="69">
        <f>IF($B10="","",IFERROR(IF(ISNUMBER($H10),$B10*$G10*$H10/$B$3,0),""))</f>
        <v/>
      </c>
      <c r="W10" s="69">
        <f>IF($B10="","",IFERROR($B10*$G10*$K10/$B$3,""))</f>
        <v/>
      </c>
      <c r="X10" s="98">
        <f>IF($C10="","",BDP($C10,"PX_LAST"))</f>
        <v/>
      </c>
      <c r="Y10" s="69">
        <f>IF($B10="","",IFERROR($B10*$X10/$B$3,""))</f>
        <v/>
      </c>
      <c r="Z10" s="73">
        <f>IF($B10="","",IFERROR($Y10/$Y$5,""))</f>
        <v/>
      </c>
    </row>
    <row r="11">
      <c r="B11" s="97" t="n"/>
      <c r="C11" s="8">
        <f>IF($A11="","",$A11&amp;" Equity")</f>
        <v/>
      </c>
      <c r="D11" s="8">
        <f>IF($C11="","",BDP($C11,"NAME"))</f>
        <v/>
      </c>
      <c r="E11" s="8">
        <f>IF($C11="","",BDP($C11,"GICS_SECTOR_NAME"))</f>
        <v/>
      </c>
      <c r="F11" s="37">
        <f>IF($C11="","",BDP($C11,FLD_CCY))</f>
        <v/>
      </c>
      <c r="G11" s="12">
        <f>IFERROR(IF(LEN($F11)&lt;&gt;3,1,IF($F11="HKD",1,BDP(IF($F11="CNY",RMB_CROSS,$F11)&amp;"HKD Curncy","PX_LAST"))),1)</f>
        <v/>
      </c>
      <c r="H11" s="69">
        <f>IF($C11="","",BDP($C11,FLD_DPS12M))</f>
        <v/>
      </c>
      <c r="I11" s="50">
        <f>IF($C11="","",BDP($C11,FLD_YLD12M))</f>
        <v/>
      </c>
      <c r="J11" s="52">
        <f>IF($B11="",0,SUMPRODUCT(('Dvd Calendar'!$E$1605:$AR$1605&gt;=DATE(YEAR_Y,1,1))*('Dvd Calendar'!$E$1605:$AR$1605&lt;=REALIZED_TO)*'Dvd Calendar'!$E$1608:$AR$1608*(('Dvd Calendar'!$E$1610:$AR$1610=TYPE1)*(TYPE1&lt;&gt;"")+('Dvd Calendar'!$E$1610:$AR$1610=TYPE2)*(TYPE2&lt;&gt;"")+('Dvd Calendar'!$E$1610:$AR$1610=TYPE3)*(TYPE3&lt;&gt;"")+('Dvd Calendar'!$E$1610:$AR$1610=TYPE4)*(TYPE4&lt;&gt;"")+('Dvd Calendar'!$E$1610:$AR$1610=SPECIAL_LBL)*(INC_SPECIALS="Y"))))</f>
        <v/>
      </c>
      <c r="K11" s="52">
        <f>IF($B11="",0,SUMIFS('Dvd Calendar'!$E$1613:$AR$1613,'Dvd Calendar'!$E$1612:$AR$1612,"&gt;"&amp;PROJ_FROM,'Dvd Calendar'!$E$1612:$AR$1612,"&lt;="&amp;DATE(YEAR_Y,12,31))+SUMPRODUCT(('Dvd Calendar'!$E$1605:$AR$1605&gt;PROJ_FROM)*('Dvd Calendar'!$E$1605:$AR$1605&lt;=DATE(YEAR_Y,12,31))*'Dvd Calendar'!$E$1608:$AR$1608*(('Dvd Calendar'!$E$1610:$AR$1610=TYPE1)*(TYPE1&lt;&gt;"")+('Dvd Calendar'!$E$1610:$AR$1610=TYPE2)*(TYPE2&lt;&gt;"")+('Dvd Calendar'!$E$1610:$AR$1610=TYPE3)*(TYPE3&lt;&gt;"")+('Dvd Calendar'!$E$1610:$AR$1610=TYPE4)*(TYPE4&lt;&gt;"")+('Dvd Calendar'!$E$1610:$AR$1610=SPECIAL_LBL)*(INC_SPECIALS="Y"))*(COUNTIF('Dvd Calendar'!$E$1612:$AR$1612,'Dvd Calendar'!$E$1605:$AR$1605)=0)))</f>
        <v/>
      </c>
      <c r="L11" s="52">
        <f>IF($B11="",0,IF((OV_SWITCH="ON")*(COUNTIFS(OVR_TICKERS,$C11,OVR_BASE,"&gt;=0")&gt;0)&gt;0,SUMIFS(OVR_BASE,OVR_TICKERS,$C11),$K11))</f>
        <v/>
      </c>
      <c r="M11" s="52">
        <f>IF($B11="",0,IF((OV_SWITCH="ON")*(COUNTIFS(OVR_TICKERS,$C11,OVR_LOW,"&gt;=0")&gt;0)&gt;0,SUMIFS(OVR_LOW,OVR_TICKERS,$C11),$L11))</f>
        <v/>
      </c>
      <c r="N11" s="52">
        <f>IF($B11="",0,IF((OV_SWITCH="ON")*(COUNTIFS(OVR_TICKERS,$C11,OVR_HIGH,"&gt;=0")&gt;0)&gt;0,SUMIFS(OVR_HIGH,OVR_TICKERS,$C11),$L11))</f>
        <v/>
      </c>
      <c r="O11" s="69">
        <f>IF($B11="","",IFERROR($B11*$G11*$J11/$B$3,""))</f>
        <v/>
      </c>
      <c r="P11" s="69">
        <f>IF($B11="","",IFERROR($B11*$G11*$L11/$B$3,""))</f>
        <v/>
      </c>
      <c r="Q11" s="44">
        <f>IF($B11="","",IFERROR($O11+$P11,""))</f>
        <v/>
      </c>
      <c r="R11" s="69">
        <f>IF($B11="","",IFERROR($O11+$B11*$G11*$M11/$B$3,""))</f>
        <v/>
      </c>
      <c r="S11" s="69">
        <f>IF($B11="","",IFERROR($O11+$B11*$G11*$N11/$B$3,""))</f>
        <v/>
      </c>
      <c r="T11" s="88">
        <f>IF($B11="","",IFERROR($Q11/$Q$5,""))</f>
        <v/>
      </c>
      <c r="U11" s="2">
        <f>IF($B11="","",IF(COUNTIFS('Dvd Calendar'!$E$1611:$AR$1611,"&gt;0",'Dvd Calendar'!$E$1611:$AR$1611,"&lt;="&amp;VAL_DATE,'Dvd Calendar'!$E$1612:$AR$1612,"&gt;"&amp;PROJ_FROM,'Dvd Calendar'!$E$1612:$AR$1612,"&lt;="&amp;DATE(YEAR_Y,12,31))-COUNTIFS('Dvd Calendar'!$E$1611:$AR$1611,"&gt;0",'Dvd Calendar'!$E$1611:$AR$1611,"&lt;="&amp;VAL_DATE,'Dvd Calendar'!$E$1612:$AR$1612,"&gt;"&amp;PROJ_FROM,'Dvd Calendar'!$E$1612:$AR$1612,"&lt;="&amp;DATE(YEAR_Y,12,31),'Dvd Calendar'!$E$1613:$AR$1613,"&gt;=0")&gt;0,"TBA amount - override me",IF((OV_SWITCH="ON")*(COUNTIFS(OVR_TICKERS,$C11,OVR_BASE,"&gt;=0")&gt;0)&gt;0,"overridden",IF($J11+$K11=0,"no dividend in year Y",""))))</f>
        <v/>
      </c>
      <c r="V11" s="69">
        <f>IF($B11="","",IFERROR(IF(ISNUMBER($H11),$B11*$G11*$H11/$B$3,0),""))</f>
        <v/>
      </c>
      <c r="W11" s="69">
        <f>IF($B11="","",IFERROR($B11*$G11*$K11/$B$3,""))</f>
        <v/>
      </c>
      <c r="X11" s="98">
        <f>IF($C11="","",BDP($C11,"PX_LAST"))</f>
        <v/>
      </c>
      <c r="Y11" s="69">
        <f>IF($B11="","",IFERROR($B11*$X11/$B$3,""))</f>
        <v/>
      </c>
      <c r="Z11" s="73">
        <f>IF($B11="","",IFERROR($Y11/$Y$5,""))</f>
        <v/>
      </c>
    </row>
    <row r="12">
      <c r="B12" s="97" t="n"/>
      <c r="C12" s="8">
        <f>IF($A12="","",$A12&amp;" Equity")</f>
        <v/>
      </c>
      <c r="D12" s="8">
        <f>IF($C12="","",BDP($C12,"NAME"))</f>
        <v/>
      </c>
      <c r="E12" s="8">
        <f>IF($C12="","",BDP($C12,"GICS_SECTOR_NAME"))</f>
        <v/>
      </c>
      <c r="F12" s="37">
        <f>IF($C12="","",BDP($C12,FLD_CCY))</f>
        <v/>
      </c>
      <c r="G12" s="12">
        <f>IFERROR(IF(LEN($F12)&lt;&gt;3,1,IF($F12="HKD",1,BDP(IF($F12="CNY",RMB_CROSS,$F12)&amp;"HKD Curncy","PX_LAST"))),1)</f>
        <v/>
      </c>
      <c r="H12" s="69">
        <f>IF($C12="","",BDP($C12,FLD_DPS12M))</f>
        <v/>
      </c>
      <c r="I12" s="50">
        <f>IF($C12="","",BDP($C12,FLD_YLD12M))</f>
        <v/>
      </c>
      <c r="J12" s="52">
        <f>IF($B12="",0,SUMPRODUCT(('Dvd Calendar'!$E$1616:$AR$1616&gt;=DATE(YEAR_Y,1,1))*('Dvd Calendar'!$E$1616:$AR$1616&lt;=REALIZED_TO)*'Dvd Calendar'!$E$1619:$AR$1619*(('Dvd Calendar'!$E$1621:$AR$1621=TYPE1)*(TYPE1&lt;&gt;"")+('Dvd Calendar'!$E$1621:$AR$1621=TYPE2)*(TYPE2&lt;&gt;"")+('Dvd Calendar'!$E$1621:$AR$1621=TYPE3)*(TYPE3&lt;&gt;"")+('Dvd Calendar'!$E$1621:$AR$1621=TYPE4)*(TYPE4&lt;&gt;"")+('Dvd Calendar'!$E$1621:$AR$1621=SPECIAL_LBL)*(INC_SPECIALS="Y"))))</f>
        <v/>
      </c>
      <c r="K12" s="52">
        <f>IF($B12="",0,SUMIFS('Dvd Calendar'!$E$1624:$AR$1624,'Dvd Calendar'!$E$1623:$AR$1623,"&gt;"&amp;PROJ_FROM,'Dvd Calendar'!$E$1623:$AR$1623,"&lt;="&amp;DATE(YEAR_Y,12,31))+SUMPRODUCT(('Dvd Calendar'!$E$1616:$AR$1616&gt;PROJ_FROM)*('Dvd Calendar'!$E$1616:$AR$1616&lt;=DATE(YEAR_Y,12,31))*'Dvd Calendar'!$E$1619:$AR$1619*(('Dvd Calendar'!$E$1621:$AR$1621=TYPE1)*(TYPE1&lt;&gt;"")+('Dvd Calendar'!$E$1621:$AR$1621=TYPE2)*(TYPE2&lt;&gt;"")+('Dvd Calendar'!$E$1621:$AR$1621=TYPE3)*(TYPE3&lt;&gt;"")+('Dvd Calendar'!$E$1621:$AR$1621=TYPE4)*(TYPE4&lt;&gt;"")+('Dvd Calendar'!$E$1621:$AR$1621=SPECIAL_LBL)*(INC_SPECIALS="Y"))*(COUNTIF('Dvd Calendar'!$E$1623:$AR$1623,'Dvd Calendar'!$E$1616:$AR$1616)=0)))</f>
        <v/>
      </c>
      <c r="L12" s="52">
        <f>IF($B12="",0,IF((OV_SWITCH="ON")*(COUNTIFS(OVR_TICKERS,$C12,OVR_BASE,"&gt;=0")&gt;0)&gt;0,SUMIFS(OVR_BASE,OVR_TICKERS,$C12),$K12))</f>
        <v/>
      </c>
      <c r="M12" s="52">
        <f>IF($B12="",0,IF((OV_SWITCH="ON")*(COUNTIFS(OVR_TICKERS,$C12,OVR_LOW,"&gt;=0")&gt;0)&gt;0,SUMIFS(OVR_LOW,OVR_TICKERS,$C12),$L12))</f>
        <v/>
      </c>
      <c r="N12" s="52">
        <f>IF($B12="",0,IF((OV_SWITCH="ON")*(COUNTIFS(OVR_TICKERS,$C12,OVR_HIGH,"&gt;=0")&gt;0)&gt;0,SUMIFS(OVR_HIGH,OVR_TICKERS,$C12),$L12))</f>
        <v/>
      </c>
      <c r="O12" s="69">
        <f>IF($B12="","",IFERROR($B12*$G12*$J12/$B$3,""))</f>
        <v/>
      </c>
      <c r="P12" s="69">
        <f>IF($B12="","",IFERROR($B12*$G12*$L12/$B$3,""))</f>
        <v/>
      </c>
      <c r="Q12" s="44">
        <f>IF($B12="","",IFERROR($O12+$P12,""))</f>
        <v/>
      </c>
      <c r="R12" s="69">
        <f>IF($B12="","",IFERROR($O12+$B12*$G12*$M12/$B$3,""))</f>
        <v/>
      </c>
      <c r="S12" s="69">
        <f>IF($B12="","",IFERROR($O12+$B12*$G12*$N12/$B$3,""))</f>
        <v/>
      </c>
      <c r="T12" s="88">
        <f>IF($B12="","",IFERROR($Q12/$Q$5,""))</f>
        <v/>
      </c>
      <c r="U12" s="2">
        <f>IF($B12="","",IF(COUNTIFS('Dvd Calendar'!$E$1622:$AR$1622,"&gt;0",'Dvd Calendar'!$E$1622:$AR$1622,"&lt;="&amp;VAL_DATE,'Dvd Calendar'!$E$1623:$AR$1623,"&gt;"&amp;PROJ_FROM,'Dvd Calendar'!$E$1623:$AR$1623,"&lt;="&amp;DATE(YEAR_Y,12,31))-COUNTIFS('Dvd Calendar'!$E$1622:$AR$1622,"&gt;0",'Dvd Calendar'!$E$1622:$AR$1622,"&lt;="&amp;VAL_DATE,'Dvd Calendar'!$E$1623:$AR$1623,"&gt;"&amp;PROJ_FROM,'Dvd Calendar'!$E$1623:$AR$1623,"&lt;="&amp;DATE(YEAR_Y,12,31),'Dvd Calendar'!$E$1624:$AR$1624,"&gt;=0")&gt;0,"TBA amount - override me",IF((OV_SWITCH="ON")*(COUNTIFS(OVR_TICKERS,$C12,OVR_BASE,"&gt;=0")&gt;0)&gt;0,"overridden",IF($J12+$K12=0,"no dividend in year Y",""))))</f>
        <v/>
      </c>
      <c r="V12" s="69">
        <f>IF($B12="","",IFERROR(IF(ISNUMBER($H12),$B12*$G12*$H12/$B$3,0),""))</f>
        <v/>
      </c>
      <c r="W12" s="69">
        <f>IF($B12="","",IFERROR($B12*$G12*$K12/$B$3,""))</f>
        <v/>
      </c>
      <c r="X12" s="98">
        <f>IF($C12="","",BDP($C12,"PX_LAST"))</f>
        <v/>
      </c>
      <c r="Y12" s="69">
        <f>IF($B12="","",IFERROR($B12*$X12/$B$3,""))</f>
        <v/>
      </c>
      <c r="Z12" s="73">
        <f>IF($B12="","",IFERROR($Y12/$Y$5,""))</f>
        <v/>
      </c>
    </row>
    <row r="13">
      <c r="B13" s="97" t="n"/>
      <c r="C13" s="8">
        <f>IF($A13="","",$A13&amp;" Equity")</f>
        <v/>
      </c>
      <c r="D13" s="8">
        <f>IF($C13="","",BDP($C13,"NAME"))</f>
        <v/>
      </c>
      <c r="E13" s="8">
        <f>IF($C13="","",BDP($C13,"GICS_SECTOR_NAME"))</f>
        <v/>
      </c>
      <c r="F13" s="37">
        <f>IF($C13="","",BDP($C13,FLD_CCY))</f>
        <v/>
      </c>
      <c r="G13" s="12">
        <f>IFERROR(IF(LEN($F13)&lt;&gt;3,1,IF($F13="HKD",1,BDP(IF($F13="CNY",RMB_CROSS,$F13)&amp;"HKD Curncy","PX_LAST"))),1)</f>
        <v/>
      </c>
      <c r="H13" s="69">
        <f>IF($C13="","",BDP($C13,FLD_DPS12M))</f>
        <v/>
      </c>
      <c r="I13" s="50">
        <f>IF($C13="","",BDP($C13,FLD_YLD12M))</f>
        <v/>
      </c>
      <c r="J13" s="52">
        <f>IF($B13="",0,SUMPRODUCT(('Dvd Calendar'!$E$1627:$AR$1627&gt;=DATE(YEAR_Y,1,1))*('Dvd Calendar'!$E$1627:$AR$1627&lt;=REALIZED_TO)*'Dvd Calendar'!$E$1630:$AR$1630*(('Dvd Calendar'!$E$1632:$AR$1632=TYPE1)*(TYPE1&lt;&gt;"")+('Dvd Calendar'!$E$1632:$AR$1632=TYPE2)*(TYPE2&lt;&gt;"")+('Dvd Calendar'!$E$1632:$AR$1632=TYPE3)*(TYPE3&lt;&gt;"")+('Dvd Calendar'!$E$1632:$AR$1632=TYPE4)*(TYPE4&lt;&gt;"")+('Dvd Calendar'!$E$1632:$AR$1632=SPECIAL_LBL)*(INC_SPECIALS="Y"))))</f>
        <v/>
      </c>
      <c r="K13" s="52">
        <f>IF($B13="",0,SUMIFS('Dvd Calendar'!$E$1635:$AR$1635,'Dvd Calendar'!$E$1634:$AR$1634,"&gt;"&amp;PROJ_FROM,'Dvd Calendar'!$E$1634:$AR$1634,"&lt;="&amp;DATE(YEAR_Y,12,31))+SUMPRODUCT(('Dvd Calendar'!$E$1627:$AR$1627&gt;PROJ_FROM)*('Dvd Calendar'!$E$1627:$AR$1627&lt;=DATE(YEAR_Y,12,31))*'Dvd Calendar'!$E$1630:$AR$1630*(('Dvd Calendar'!$E$1632:$AR$1632=TYPE1)*(TYPE1&lt;&gt;"")+('Dvd Calendar'!$E$1632:$AR$1632=TYPE2)*(TYPE2&lt;&gt;"")+('Dvd Calendar'!$E$1632:$AR$1632=TYPE3)*(TYPE3&lt;&gt;"")+('Dvd Calendar'!$E$1632:$AR$1632=TYPE4)*(TYPE4&lt;&gt;"")+('Dvd Calendar'!$E$1632:$AR$1632=SPECIAL_LBL)*(INC_SPECIALS="Y"))*(COUNTIF('Dvd Calendar'!$E$1634:$AR$1634,'Dvd Calendar'!$E$1627:$AR$1627)=0)))</f>
        <v/>
      </c>
      <c r="L13" s="52">
        <f>IF($B13="",0,IF((OV_SWITCH="ON")*(COUNTIFS(OVR_TICKERS,$C13,OVR_BASE,"&gt;=0")&gt;0)&gt;0,SUMIFS(OVR_BASE,OVR_TICKERS,$C13),$K13))</f>
        <v/>
      </c>
      <c r="M13" s="52">
        <f>IF($B13="",0,IF((OV_SWITCH="ON")*(COUNTIFS(OVR_TICKERS,$C13,OVR_LOW,"&gt;=0")&gt;0)&gt;0,SUMIFS(OVR_LOW,OVR_TICKERS,$C13),$L13))</f>
        <v/>
      </c>
      <c r="N13" s="52">
        <f>IF($B13="",0,IF((OV_SWITCH="ON")*(COUNTIFS(OVR_TICKERS,$C13,OVR_HIGH,"&gt;=0")&gt;0)&gt;0,SUMIFS(OVR_HIGH,OVR_TICKERS,$C13),$L13))</f>
        <v/>
      </c>
      <c r="O13" s="69">
        <f>IF($B13="","",IFERROR($B13*$G13*$J13/$B$3,""))</f>
        <v/>
      </c>
      <c r="P13" s="69">
        <f>IF($B13="","",IFERROR($B13*$G13*$L13/$B$3,""))</f>
        <v/>
      </c>
      <c r="Q13" s="44">
        <f>IF($B13="","",IFERROR($O13+$P13,""))</f>
        <v/>
      </c>
      <c r="R13" s="69">
        <f>IF($B13="","",IFERROR($O13+$B13*$G13*$M13/$B$3,""))</f>
        <v/>
      </c>
      <c r="S13" s="69">
        <f>IF($B13="","",IFERROR($O13+$B13*$G13*$N13/$B$3,""))</f>
        <v/>
      </c>
      <c r="T13" s="88">
        <f>IF($B13="","",IFERROR($Q13/$Q$5,""))</f>
        <v/>
      </c>
      <c r="U13" s="2">
        <f>IF($B13="","",IF(COUNTIFS('Dvd Calendar'!$E$1633:$AR$1633,"&gt;0",'Dvd Calendar'!$E$1633:$AR$1633,"&lt;="&amp;VAL_DATE,'Dvd Calendar'!$E$1634:$AR$1634,"&gt;"&amp;PROJ_FROM,'Dvd Calendar'!$E$1634:$AR$1634,"&lt;="&amp;DATE(YEAR_Y,12,31))-COUNTIFS('Dvd Calendar'!$E$1633:$AR$1633,"&gt;0",'Dvd Calendar'!$E$1633:$AR$1633,"&lt;="&amp;VAL_DATE,'Dvd Calendar'!$E$1634:$AR$1634,"&gt;"&amp;PROJ_FROM,'Dvd Calendar'!$E$1634:$AR$1634,"&lt;="&amp;DATE(YEAR_Y,12,31),'Dvd Calendar'!$E$1635:$AR$1635,"&gt;=0")&gt;0,"TBA amount - override me",IF((OV_SWITCH="ON")*(COUNTIFS(OVR_TICKERS,$C13,OVR_BASE,"&gt;=0")&gt;0)&gt;0,"overridden",IF($J13+$K13=0,"no dividend in year Y",""))))</f>
        <v/>
      </c>
      <c r="V13" s="69">
        <f>IF($B13="","",IFERROR(IF(ISNUMBER($H13),$B13*$G13*$H13/$B$3,0),""))</f>
        <v/>
      </c>
      <c r="W13" s="69">
        <f>IF($B13="","",IFERROR($B13*$G13*$K13/$B$3,""))</f>
        <v/>
      </c>
      <c r="X13" s="98">
        <f>IF($C13="","",BDP($C13,"PX_LAST"))</f>
        <v/>
      </c>
      <c r="Y13" s="69">
        <f>IF($B13="","",IFERROR($B13*$X13/$B$3,""))</f>
        <v/>
      </c>
      <c r="Z13" s="73">
        <f>IF($B13="","",IFERROR($Y13/$Y$5,""))</f>
        <v/>
      </c>
    </row>
    <row r="14">
      <c r="B14" s="97" t="n"/>
      <c r="C14" s="8">
        <f>IF($A14="","",$A14&amp;" Equity")</f>
        <v/>
      </c>
      <c r="D14" s="8">
        <f>IF($C14="","",BDP($C14,"NAME"))</f>
        <v/>
      </c>
      <c r="E14" s="8">
        <f>IF($C14="","",BDP($C14,"GICS_SECTOR_NAME"))</f>
        <v/>
      </c>
      <c r="F14" s="37">
        <f>IF($C14="","",BDP($C14,FLD_CCY))</f>
        <v/>
      </c>
      <c r="G14" s="12">
        <f>IFERROR(IF(LEN($F14)&lt;&gt;3,1,IF($F14="HKD",1,BDP(IF($F14="CNY",RMB_CROSS,$F14)&amp;"HKD Curncy","PX_LAST"))),1)</f>
        <v/>
      </c>
      <c r="H14" s="69">
        <f>IF($C14="","",BDP($C14,FLD_DPS12M))</f>
        <v/>
      </c>
      <c r="I14" s="50">
        <f>IF($C14="","",BDP($C14,FLD_YLD12M))</f>
        <v/>
      </c>
      <c r="J14" s="52">
        <f>IF($B14="",0,SUMPRODUCT(('Dvd Calendar'!$E$1638:$AR$1638&gt;=DATE(YEAR_Y,1,1))*('Dvd Calendar'!$E$1638:$AR$1638&lt;=REALIZED_TO)*'Dvd Calendar'!$E$1641:$AR$1641*(('Dvd Calendar'!$E$1643:$AR$1643=TYPE1)*(TYPE1&lt;&gt;"")+('Dvd Calendar'!$E$1643:$AR$1643=TYPE2)*(TYPE2&lt;&gt;"")+('Dvd Calendar'!$E$1643:$AR$1643=TYPE3)*(TYPE3&lt;&gt;"")+('Dvd Calendar'!$E$1643:$AR$1643=TYPE4)*(TYPE4&lt;&gt;"")+('Dvd Calendar'!$E$1643:$AR$1643=SPECIAL_LBL)*(INC_SPECIALS="Y"))))</f>
        <v/>
      </c>
      <c r="K14" s="52">
        <f>IF($B14="",0,SUMIFS('Dvd Calendar'!$E$1646:$AR$1646,'Dvd Calendar'!$E$1645:$AR$1645,"&gt;"&amp;PROJ_FROM,'Dvd Calendar'!$E$1645:$AR$1645,"&lt;="&amp;DATE(YEAR_Y,12,31))+SUMPRODUCT(('Dvd Calendar'!$E$1638:$AR$1638&gt;PROJ_FROM)*('Dvd Calendar'!$E$1638:$AR$1638&lt;=DATE(YEAR_Y,12,31))*'Dvd Calendar'!$E$1641:$AR$1641*(('Dvd Calendar'!$E$1643:$AR$1643=TYPE1)*(TYPE1&lt;&gt;"")+('Dvd Calendar'!$E$1643:$AR$1643=TYPE2)*(TYPE2&lt;&gt;"")+('Dvd Calendar'!$E$1643:$AR$1643=TYPE3)*(TYPE3&lt;&gt;"")+('Dvd Calendar'!$E$1643:$AR$1643=TYPE4)*(TYPE4&lt;&gt;"")+('Dvd Calendar'!$E$1643:$AR$1643=SPECIAL_LBL)*(INC_SPECIALS="Y"))*(COUNTIF('Dvd Calendar'!$E$1645:$AR$1645,'Dvd Calendar'!$E$1638:$AR$1638)=0)))</f>
        <v/>
      </c>
      <c r="L14" s="52">
        <f>IF($B14="",0,IF((OV_SWITCH="ON")*(COUNTIFS(OVR_TICKERS,$C14,OVR_BASE,"&gt;=0")&gt;0)&gt;0,SUMIFS(OVR_BASE,OVR_TICKERS,$C14),$K14))</f>
        <v/>
      </c>
      <c r="M14" s="52">
        <f>IF($B14="",0,IF((OV_SWITCH="ON")*(COUNTIFS(OVR_TICKERS,$C14,OVR_LOW,"&gt;=0")&gt;0)&gt;0,SUMIFS(OVR_LOW,OVR_TICKERS,$C14),$L14))</f>
        <v/>
      </c>
      <c r="N14" s="52">
        <f>IF($B14="",0,IF((OV_SWITCH="ON")*(COUNTIFS(OVR_TICKERS,$C14,OVR_HIGH,"&gt;=0")&gt;0)&gt;0,SUMIFS(OVR_HIGH,OVR_TICKERS,$C14),$L14))</f>
        <v/>
      </c>
      <c r="O14" s="69">
        <f>IF($B14="","",IFERROR($B14*$G14*$J14/$B$3,""))</f>
        <v/>
      </c>
      <c r="P14" s="69">
        <f>IF($B14="","",IFERROR($B14*$G14*$L14/$B$3,""))</f>
        <v/>
      </c>
      <c r="Q14" s="44">
        <f>IF($B14="","",IFERROR($O14+$P14,""))</f>
        <v/>
      </c>
      <c r="R14" s="69">
        <f>IF($B14="","",IFERROR($O14+$B14*$G14*$M14/$B$3,""))</f>
        <v/>
      </c>
      <c r="S14" s="69">
        <f>IF($B14="","",IFERROR($O14+$B14*$G14*$N14/$B$3,""))</f>
        <v/>
      </c>
      <c r="T14" s="88">
        <f>IF($B14="","",IFERROR($Q14/$Q$5,""))</f>
        <v/>
      </c>
      <c r="U14" s="2">
        <f>IF($B14="","",IF(COUNTIFS('Dvd Calendar'!$E$1644:$AR$1644,"&gt;0",'Dvd Calendar'!$E$1644:$AR$1644,"&lt;="&amp;VAL_DATE,'Dvd Calendar'!$E$1645:$AR$1645,"&gt;"&amp;PROJ_FROM,'Dvd Calendar'!$E$1645:$AR$1645,"&lt;="&amp;DATE(YEAR_Y,12,31))-COUNTIFS('Dvd Calendar'!$E$1644:$AR$1644,"&gt;0",'Dvd Calendar'!$E$1644:$AR$1644,"&lt;="&amp;VAL_DATE,'Dvd Calendar'!$E$1645:$AR$1645,"&gt;"&amp;PROJ_FROM,'Dvd Calendar'!$E$1645:$AR$1645,"&lt;="&amp;DATE(YEAR_Y,12,31),'Dvd Calendar'!$E$1646:$AR$1646,"&gt;=0")&gt;0,"TBA amount - override me",IF((OV_SWITCH="ON")*(COUNTIFS(OVR_TICKERS,$C14,OVR_BASE,"&gt;=0")&gt;0)&gt;0,"overridden",IF($J14+$K14=0,"no dividend in year Y",""))))</f>
        <v/>
      </c>
      <c r="V14" s="69">
        <f>IF($B14="","",IFERROR(IF(ISNUMBER($H14),$B14*$G14*$H14/$B$3,0),""))</f>
        <v/>
      </c>
      <c r="W14" s="69">
        <f>IF($B14="","",IFERROR($B14*$G14*$K14/$B$3,""))</f>
        <v/>
      </c>
      <c r="X14" s="98">
        <f>IF($C14="","",BDP($C14,"PX_LAST"))</f>
        <v/>
      </c>
      <c r="Y14" s="69">
        <f>IF($B14="","",IFERROR($B14*$X14/$B$3,""))</f>
        <v/>
      </c>
      <c r="Z14" s="73">
        <f>IF($B14="","",IFERROR($Y14/$Y$5,""))</f>
        <v/>
      </c>
    </row>
    <row r="15">
      <c r="B15" s="97" t="n"/>
      <c r="C15" s="8">
        <f>IF($A15="","",$A15&amp;" Equity")</f>
        <v/>
      </c>
      <c r="D15" s="8">
        <f>IF($C15="","",BDP($C15,"NAME"))</f>
        <v/>
      </c>
      <c r="E15" s="8">
        <f>IF($C15="","",BDP($C15,"GICS_SECTOR_NAME"))</f>
        <v/>
      </c>
      <c r="F15" s="37">
        <f>IF($C15="","",BDP($C15,FLD_CCY))</f>
        <v/>
      </c>
      <c r="G15" s="12">
        <f>IFERROR(IF(LEN($F15)&lt;&gt;3,1,IF($F15="HKD",1,BDP(IF($F15="CNY",RMB_CROSS,$F15)&amp;"HKD Curncy","PX_LAST"))),1)</f>
        <v/>
      </c>
      <c r="H15" s="69">
        <f>IF($C15="","",BDP($C15,FLD_DPS12M))</f>
        <v/>
      </c>
      <c r="I15" s="50">
        <f>IF($C15="","",BDP($C15,FLD_YLD12M))</f>
        <v/>
      </c>
      <c r="J15" s="52">
        <f>IF($B15="",0,SUMPRODUCT(('Dvd Calendar'!$E$1649:$AR$1649&gt;=DATE(YEAR_Y,1,1))*('Dvd Calendar'!$E$1649:$AR$1649&lt;=REALIZED_TO)*'Dvd Calendar'!$E$1652:$AR$1652*(('Dvd Calendar'!$E$1654:$AR$1654=TYPE1)*(TYPE1&lt;&gt;"")+('Dvd Calendar'!$E$1654:$AR$1654=TYPE2)*(TYPE2&lt;&gt;"")+('Dvd Calendar'!$E$1654:$AR$1654=TYPE3)*(TYPE3&lt;&gt;"")+('Dvd Calendar'!$E$1654:$AR$1654=TYPE4)*(TYPE4&lt;&gt;"")+('Dvd Calendar'!$E$1654:$AR$1654=SPECIAL_LBL)*(INC_SPECIALS="Y"))))</f>
        <v/>
      </c>
      <c r="K15" s="52">
        <f>IF($B15="",0,SUMIFS('Dvd Calendar'!$E$1657:$AR$1657,'Dvd Calendar'!$E$1656:$AR$1656,"&gt;"&amp;PROJ_FROM,'Dvd Calendar'!$E$1656:$AR$1656,"&lt;="&amp;DATE(YEAR_Y,12,31))+SUMPRODUCT(('Dvd Calendar'!$E$1649:$AR$1649&gt;PROJ_FROM)*('Dvd Calendar'!$E$1649:$AR$1649&lt;=DATE(YEAR_Y,12,31))*'Dvd Calendar'!$E$1652:$AR$1652*(('Dvd Calendar'!$E$1654:$AR$1654=TYPE1)*(TYPE1&lt;&gt;"")+('Dvd Calendar'!$E$1654:$AR$1654=TYPE2)*(TYPE2&lt;&gt;"")+('Dvd Calendar'!$E$1654:$AR$1654=TYPE3)*(TYPE3&lt;&gt;"")+('Dvd Calendar'!$E$1654:$AR$1654=TYPE4)*(TYPE4&lt;&gt;"")+('Dvd Calendar'!$E$1654:$AR$1654=SPECIAL_LBL)*(INC_SPECIALS="Y"))*(COUNTIF('Dvd Calendar'!$E$1656:$AR$1656,'Dvd Calendar'!$E$1649:$AR$1649)=0)))</f>
        <v/>
      </c>
      <c r="L15" s="52">
        <f>IF($B15="",0,IF((OV_SWITCH="ON")*(COUNTIFS(OVR_TICKERS,$C15,OVR_BASE,"&gt;=0")&gt;0)&gt;0,SUMIFS(OVR_BASE,OVR_TICKERS,$C15),$K15))</f>
        <v/>
      </c>
      <c r="M15" s="52">
        <f>IF($B15="",0,IF((OV_SWITCH="ON")*(COUNTIFS(OVR_TICKERS,$C15,OVR_LOW,"&gt;=0")&gt;0)&gt;0,SUMIFS(OVR_LOW,OVR_TICKERS,$C15),$L15))</f>
        <v/>
      </c>
      <c r="N15" s="52">
        <f>IF($B15="",0,IF((OV_SWITCH="ON")*(COUNTIFS(OVR_TICKERS,$C15,OVR_HIGH,"&gt;=0")&gt;0)&gt;0,SUMIFS(OVR_HIGH,OVR_TICKERS,$C15),$L15))</f>
        <v/>
      </c>
      <c r="O15" s="69">
        <f>IF($B15="","",IFERROR($B15*$G15*$J15/$B$3,""))</f>
        <v/>
      </c>
      <c r="P15" s="69">
        <f>IF($B15="","",IFERROR($B15*$G15*$L15/$B$3,""))</f>
        <v/>
      </c>
      <c r="Q15" s="44">
        <f>IF($B15="","",IFERROR($O15+$P15,""))</f>
        <v/>
      </c>
      <c r="R15" s="69">
        <f>IF($B15="","",IFERROR($O15+$B15*$G15*$M15/$B$3,""))</f>
        <v/>
      </c>
      <c r="S15" s="69">
        <f>IF($B15="","",IFERROR($O15+$B15*$G15*$N15/$B$3,""))</f>
        <v/>
      </c>
      <c r="T15" s="88">
        <f>IF($B15="","",IFERROR($Q15/$Q$5,""))</f>
        <v/>
      </c>
      <c r="U15" s="2">
        <f>IF($B15="","",IF(COUNTIFS('Dvd Calendar'!$E$1655:$AR$1655,"&gt;0",'Dvd Calendar'!$E$1655:$AR$1655,"&lt;="&amp;VAL_DATE,'Dvd Calendar'!$E$1656:$AR$1656,"&gt;"&amp;PROJ_FROM,'Dvd Calendar'!$E$1656:$AR$1656,"&lt;="&amp;DATE(YEAR_Y,12,31))-COUNTIFS('Dvd Calendar'!$E$1655:$AR$1655,"&gt;0",'Dvd Calendar'!$E$1655:$AR$1655,"&lt;="&amp;VAL_DATE,'Dvd Calendar'!$E$1656:$AR$1656,"&gt;"&amp;PROJ_FROM,'Dvd Calendar'!$E$1656:$AR$1656,"&lt;="&amp;DATE(YEAR_Y,12,31),'Dvd Calendar'!$E$1657:$AR$1657,"&gt;=0")&gt;0,"TBA amount - override me",IF((OV_SWITCH="ON")*(COUNTIFS(OVR_TICKERS,$C15,OVR_BASE,"&gt;=0")&gt;0)&gt;0,"overridden",IF($J15+$K15=0,"no dividend in year Y",""))))</f>
        <v/>
      </c>
      <c r="V15" s="69">
        <f>IF($B15="","",IFERROR(IF(ISNUMBER($H15),$B15*$G15*$H15/$B$3,0),""))</f>
        <v/>
      </c>
      <c r="W15" s="69">
        <f>IF($B15="","",IFERROR($B15*$G15*$K15/$B$3,""))</f>
        <v/>
      </c>
      <c r="X15" s="98">
        <f>IF($C15="","",BDP($C15,"PX_LAST"))</f>
        <v/>
      </c>
      <c r="Y15" s="69">
        <f>IF($B15="","",IFERROR($B15*$X15/$B$3,""))</f>
        <v/>
      </c>
      <c r="Z15" s="73">
        <f>IF($B15="","",IFERROR($Y15/$Y$5,""))</f>
        <v/>
      </c>
    </row>
    <row r="16">
      <c r="B16" s="97" t="n"/>
      <c r="C16" s="8">
        <f>IF($A16="","",$A16&amp;" Equity")</f>
        <v/>
      </c>
      <c r="D16" s="8">
        <f>IF($C16="","",BDP($C16,"NAME"))</f>
        <v/>
      </c>
      <c r="E16" s="8">
        <f>IF($C16="","",BDP($C16,"GICS_SECTOR_NAME"))</f>
        <v/>
      </c>
      <c r="F16" s="37">
        <f>IF($C16="","",BDP($C16,FLD_CCY))</f>
        <v/>
      </c>
      <c r="G16" s="12">
        <f>IFERROR(IF(LEN($F16)&lt;&gt;3,1,IF($F16="HKD",1,BDP(IF($F16="CNY",RMB_CROSS,$F16)&amp;"HKD Curncy","PX_LAST"))),1)</f>
        <v/>
      </c>
      <c r="H16" s="69">
        <f>IF($C16="","",BDP($C16,FLD_DPS12M))</f>
        <v/>
      </c>
      <c r="I16" s="50">
        <f>IF($C16="","",BDP($C16,FLD_YLD12M))</f>
        <v/>
      </c>
      <c r="J16" s="52">
        <f>IF($B16="",0,SUMPRODUCT(('Dvd Calendar'!$E$1660:$AR$1660&gt;=DATE(YEAR_Y,1,1))*('Dvd Calendar'!$E$1660:$AR$1660&lt;=REALIZED_TO)*'Dvd Calendar'!$E$1663:$AR$1663*(('Dvd Calendar'!$E$1665:$AR$1665=TYPE1)*(TYPE1&lt;&gt;"")+('Dvd Calendar'!$E$1665:$AR$1665=TYPE2)*(TYPE2&lt;&gt;"")+('Dvd Calendar'!$E$1665:$AR$1665=TYPE3)*(TYPE3&lt;&gt;"")+('Dvd Calendar'!$E$1665:$AR$1665=TYPE4)*(TYPE4&lt;&gt;"")+('Dvd Calendar'!$E$1665:$AR$1665=SPECIAL_LBL)*(INC_SPECIALS="Y"))))</f>
        <v/>
      </c>
      <c r="K16" s="52">
        <f>IF($B16="",0,SUMIFS('Dvd Calendar'!$E$1668:$AR$1668,'Dvd Calendar'!$E$1667:$AR$1667,"&gt;"&amp;PROJ_FROM,'Dvd Calendar'!$E$1667:$AR$1667,"&lt;="&amp;DATE(YEAR_Y,12,31))+SUMPRODUCT(('Dvd Calendar'!$E$1660:$AR$1660&gt;PROJ_FROM)*('Dvd Calendar'!$E$1660:$AR$1660&lt;=DATE(YEAR_Y,12,31))*'Dvd Calendar'!$E$1663:$AR$1663*(('Dvd Calendar'!$E$1665:$AR$1665=TYPE1)*(TYPE1&lt;&gt;"")+('Dvd Calendar'!$E$1665:$AR$1665=TYPE2)*(TYPE2&lt;&gt;"")+('Dvd Calendar'!$E$1665:$AR$1665=TYPE3)*(TYPE3&lt;&gt;"")+('Dvd Calendar'!$E$1665:$AR$1665=TYPE4)*(TYPE4&lt;&gt;"")+('Dvd Calendar'!$E$1665:$AR$1665=SPECIAL_LBL)*(INC_SPECIALS="Y"))*(COUNTIF('Dvd Calendar'!$E$1667:$AR$1667,'Dvd Calendar'!$E$1660:$AR$1660)=0)))</f>
        <v/>
      </c>
      <c r="L16" s="52">
        <f>IF($B16="",0,IF((OV_SWITCH="ON")*(COUNTIFS(OVR_TICKERS,$C16,OVR_BASE,"&gt;=0")&gt;0)&gt;0,SUMIFS(OVR_BASE,OVR_TICKERS,$C16),$K16))</f>
        <v/>
      </c>
      <c r="M16" s="52">
        <f>IF($B16="",0,IF((OV_SWITCH="ON")*(COUNTIFS(OVR_TICKERS,$C16,OVR_LOW,"&gt;=0")&gt;0)&gt;0,SUMIFS(OVR_LOW,OVR_TICKERS,$C16),$L16))</f>
        <v/>
      </c>
      <c r="N16" s="52">
        <f>IF($B16="",0,IF((OV_SWITCH="ON")*(COUNTIFS(OVR_TICKERS,$C16,OVR_HIGH,"&gt;=0")&gt;0)&gt;0,SUMIFS(OVR_HIGH,OVR_TICKERS,$C16),$L16))</f>
        <v/>
      </c>
      <c r="O16" s="69">
        <f>IF($B16="","",IFERROR($B16*$G16*$J16/$B$3,""))</f>
        <v/>
      </c>
      <c r="P16" s="69">
        <f>IF($B16="","",IFERROR($B16*$G16*$L16/$B$3,""))</f>
        <v/>
      </c>
      <c r="Q16" s="44">
        <f>IF($B16="","",IFERROR($O16+$P16,""))</f>
        <v/>
      </c>
      <c r="R16" s="69">
        <f>IF($B16="","",IFERROR($O16+$B16*$G16*$M16/$B$3,""))</f>
        <v/>
      </c>
      <c r="S16" s="69">
        <f>IF($B16="","",IFERROR($O16+$B16*$G16*$N16/$B$3,""))</f>
        <v/>
      </c>
      <c r="T16" s="88">
        <f>IF($B16="","",IFERROR($Q16/$Q$5,""))</f>
        <v/>
      </c>
      <c r="U16" s="2">
        <f>IF($B16="","",IF(COUNTIFS('Dvd Calendar'!$E$1666:$AR$1666,"&gt;0",'Dvd Calendar'!$E$1666:$AR$1666,"&lt;="&amp;VAL_DATE,'Dvd Calendar'!$E$1667:$AR$1667,"&gt;"&amp;PROJ_FROM,'Dvd Calendar'!$E$1667:$AR$1667,"&lt;="&amp;DATE(YEAR_Y,12,31))-COUNTIFS('Dvd Calendar'!$E$1666:$AR$1666,"&gt;0",'Dvd Calendar'!$E$1666:$AR$1666,"&lt;="&amp;VAL_DATE,'Dvd Calendar'!$E$1667:$AR$1667,"&gt;"&amp;PROJ_FROM,'Dvd Calendar'!$E$1667:$AR$1667,"&lt;="&amp;DATE(YEAR_Y,12,31),'Dvd Calendar'!$E$1668:$AR$1668,"&gt;=0")&gt;0,"TBA amount - override me",IF((OV_SWITCH="ON")*(COUNTIFS(OVR_TICKERS,$C16,OVR_BASE,"&gt;=0")&gt;0)&gt;0,"overridden",IF($J16+$K16=0,"no dividend in year Y",""))))</f>
        <v/>
      </c>
      <c r="V16" s="69">
        <f>IF($B16="","",IFERROR(IF(ISNUMBER($H16),$B16*$G16*$H16/$B$3,0),""))</f>
        <v/>
      </c>
      <c r="W16" s="69">
        <f>IF($B16="","",IFERROR($B16*$G16*$K16/$B$3,""))</f>
        <v/>
      </c>
      <c r="X16" s="98">
        <f>IF($C16="","",BDP($C16,"PX_LAST"))</f>
        <v/>
      </c>
      <c r="Y16" s="69">
        <f>IF($B16="","",IFERROR($B16*$X16/$B$3,""))</f>
        <v/>
      </c>
      <c r="Z16" s="73">
        <f>IF($B16="","",IFERROR($Y16/$Y$5,""))</f>
        <v/>
      </c>
    </row>
    <row r="17">
      <c r="B17" s="97" t="n"/>
      <c r="C17" s="8">
        <f>IF($A17="","",$A17&amp;" Equity")</f>
        <v/>
      </c>
      <c r="D17" s="8">
        <f>IF($C17="","",BDP($C17,"NAME"))</f>
        <v/>
      </c>
      <c r="E17" s="8">
        <f>IF($C17="","",BDP($C17,"GICS_SECTOR_NAME"))</f>
        <v/>
      </c>
      <c r="F17" s="37">
        <f>IF($C17="","",BDP($C17,FLD_CCY))</f>
        <v/>
      </c>
      <c r="G17" s="12">
        <f>IFERROR(IF(LEN($F17)&lt;&gt;3,1,IF($F17="HKD",1,BDP(IF($F17="CNY",RMB_CROSS,$F17)&amp;"HKD Curncy","PX_LAST"))),1)</f>
        <v/>
      </c>
      <c r="H17" s="69">
        <f>IF($C17="","",BDP($C17,FLD_DPS12M))</f>
        <v/>
      </c>
      <c r="I17" s="50">
        <f>IF($C17="","",BDP($C17,FLD_YLD12M))</f>
        <v/>
      </c>
      <c r="J17" s="52">
        <f>IF($B17="",0,SUMPRODUCT(('Dvd Calendar'!$E$1671:$AR$1671&gt;=DATE(YEAR_Y,1,1))*('Dvd Calendar'!$E$1671:$AR$1671&lt;=REALIZED_TO)*'Dvd Calendar'!$E$1674:$AR$1674*(('Dvd Calendar'!$E$1676:$AR$1676=TYPE1)*(TYPE1&lt;&gt;"")+('Dvd Calendar'!$E$1676:$AR$1676=TYPE2)*(TYPE2&lt;&gt;"")+('Dvd Calendar'!$E$1676:$AR$1676=TYPE3)*(TYPE3&lt;&gt;"")+('Dvd Calendar'!$E$1676:$AR$1676=TYPE4)*(TYPE4&lt;&gt;"")+('Dvd Calendar'!$E$1676:$AR$1676=SPECIAL_LBL)*(INC_SPECIALS="Y"))))</f>
        <v/>
      </c>
      <c r="K17" s="52">
        <f>IF($B17="",0,SUMIFS('Dvd Calendar'!$E$1679:$AR$1679,'Dvd Calendar'!$E$1678:$AR$1678,"&gt;"&amp;PROJ_FROM,'Dvd Calendar'!$E$1678:$AR$1678,"&lt;="&amp;DATE(YEAR_Y,12,31))+SUMPRODUCT(('Dvd Calendar'!$E$1671:$AR$1671&gt;PROJ_FROM)*('Dvd Calendar'!$E$1671:$AR$1671&lt;=DATE(YEAR_Y,12,31))*'Dvd Calendar'!$E$1674:$AR$1674*(('Dvd Calendar'!$E$1676:$AR$1676=TYPE1)*(TYPE1&lt;&gt;"")+('Dvd Calendar'!$E$1676:$AR$1676=TYPE2)*(TYPE2&lt;&gt;"")+('Dvd Calendar'!$E$1676:$AR$1676=TYPE3)*(TYPE3&lt;&gt;"")+('Dvd Calendar'!$E$1676:$AR$1676=TYPE4)*(TYPE4&lt;&gt;"")+('Dvd Calendar'!$E$1676:$AR$1676=SPECIAL_LBL)*(INC_SPECIALS="Y"))*(COUNTIF('Dvd Calendar'!$E$1678:$AR$1678,'Dvd Calendar'!$E$1671:$AR$1671)=0)))</f>
        <v/>
      </c>
      <c r="L17" s="52">
        <f>IF($B17="",0,IF((OV_SWITCH="ON")*(COUNTIFS(OVR_TICKERS,$C17,OVR_BASE,"&gt;=0")&gt;0)&gt;0,SUMIFS(OVR_BASE,OVR_TICKERS,$C17),$K17))</f>
        <v/>
      </c>
      <c r="M17" s="52">
        <f>IF($B17="",0,IF((OV_SWITCH="ON")*(COUNTIFS(OVR_TICKERS,$C17,OVR_LOW,"&gt;=0")&gt;0)&gt;0,SUMIFS(OVR_LOW,OVR_TICKERS,$C17),$L17))</f>
        <v/>
      </c>
      <c r="N17" s="52">
        <f>IF($B17="",0,IF((OV_SWITCH="ON")*(COUNTIFS(OVR_TICKERS,$C17,OVR_HIGH,"&gt;=0")&gt;0)&gt;0,SUMIFS(OVR_HIGH,OVR_TICKERS,$C17),$L17))</f>
        <v/>
      </c>
      <c r="O17" s="69">
        <f>IF($B17="","",IFERROR($B17*$G17*$J17/$B$3,""))</f>
        <v/>
      </c>
      <c r="P17" s="69">
        <f>IF($B17="","",IFERROR($B17*$G17*$L17/$B$3,""))</f>
        <v/>
      </c>
      <c r="Q17" s="44">
        <f>IF($B17="","",IFERROR($O17+$P17,""))</f>
        <v/>
      </c>
      <c r="R17" s="69">
        <f>IF($B17="","",IFERROR($O17+$B17*$G17*$M17/$B$3,""))</f>
        <v/>
      </c>
      <c r="S17" s="69">
        <f>IF($B17="","",IFERROR($O17+$B17*$G17*$N17/$B$3,""))</f>
        <v/>
      </c>
      <c r="T17" s="88">
        <f>IF($B17="","",IFERROR($Q17/$Q$5,""))</f>
        <v/>
      </c>
      <c r="U17" s="2">
        <f>IF($B17="","",IF(COUNTIFS('Dvd Calendar'!$E$1677:$AR$1677,"&gt;0",'Dvd Calendar'!$E$1677:$AR$1677,"&lt;="&amp;VAL_DATE,'Dvd Calendar'!$E$1678:$AR$1678,"&gt;"&amp;PROJ_FROM,'Dvd Calendar'!$E$1678:$AR$1678,"&lt;="&amp;DATE(YEAR_Y,12,31))-COUNTIFS('Dvd Calendar'!$E$1677:$AR$1677,"&gt;0",'Dvd Calendar'!$E$1677:$AR$1677,"&lt;="&amp;VAL_DATE,'Dvd Calendar'!$E$1678:$AR$1678,"&gt;"&amp;PROJ_FROM,'Dvd Calendar'!$E$1678:$AR$1678,"&lt;="&amp;DATE(YEAR_Y,12,31),'Dvd Calendar'!$E$1679:$AR$1679,"&gt;=0")&gt;0,"TBA amount - override me",IF((OV_SWITCH="ON")*(COUNTIFS(OVR_TICKERS,$C17,OVR_BASE,"&gt;=0")&gt;0)&gt;0,"overridden",IF($J17+$K17=0,"no dividend in year Y",""))))</f>
        <v/>
      </c>
      <c r="V17" s="69">
        <f>IF($B17="","",IFERROR(IF(ISNUMBER($H17),$B17*$G17*$H17/$B$3,0),""))</f>
        <v/>
      </c>
      <c r="W17" s="69">
        <f>IF($B17="","",IFERROR($B17*$G17*$K17/$B$3,""))</f>
        <v/>
      </c>
      <c r="X17" s="98">
        <f>IF($C17="","",BDP($C17,"PX_LAST"))</f>
        <v/>
      </c>
      <c r="Y17" s="69">
        <f>IF($B17="","",IFERROR($B17*$X17/$B$3,""))</f>
        <v/>
      </c>
      <c r="Z17" s="73">
        <f>IF($B17="","",IFERROR($Y17/$Y$5,""))</f>
        <v/>
      </c>
    </row>
    <row r="18">
      <c r="B18" s="97" t="n"/>
      <c r="C18" s="8">
        <f>IF($A18="","",$A18&amp;" Equity")</f>
        <v/>
      </c>
      <c r="D18" s="8">
        <f>IF($C18="","",BDP($C18,"NAME"))</f>
        <v/>
      </c>
      <c r="E18" s="8">
        <f>IF($C18="","",BDP($C18,"GICS_SECTOR_NAME"))</f>
        <v/>
      </c>
      <c r="F18" s="37">
        <f>IF($C18="","",BDP($C18,FLD_CCY))</f>
        <v/>
      </c>
      <c r="G18" s="12">
        <f>IFERROR(IF(LEN($F18)&lt;&gt;3,1,IF($F18="HKD",1,BDP(IF($F18="CNY",RMB_CROSS,$F18)&amp;"HKD Curncy","PX_LAST"))),1)</f>
        <v/>
      </c>
      <c r="H18" s="69">
        <f>IF($C18="","",BDP($C18,FLD_DPS12M))</f>
        <v/>
      </c>
      <c r="I18" s="50">
        <f>IF($C18="","",BDP($C18,FLD_YLD12M))</f>
        <v/>
      </c>
      <c r="J18" s="52">
        <f>IF($B18="",0,SUMPRODUCT(('Dvd Calendar'!$E$1682:$AR$1682&gt;=DATE(YEAR_Y,1,1))*('Dvd Calendar'!$E$1682:$AR$1682&lt;=REALIZED_TO)*'Dvd Calendar'!$E$1685:$AR$1685*(('Dvd Calendar'!$E$1687:$AR$1687=TYPE1)*(TYPE1&lt;&gt;"")+('Dvd Calendar'!$E$1687:$AR$1687=TYPE2)*(TYPE2&lt;&gt;"")+('Dvd Calendar'!$E$1687:$AR$1687=TYPE3)*(TYPE3&lt;&gt;"")+('Dvd Calendar'!$E$1687:$AR$1687=TYPE4)*(TYPE4&lt;&gt;"")+('Dvd Calendar'!$E$1687:$AR$1687=SPECIAL_LBL)*(INC_SPECIALS="Y"))))</f>
        <v/>
      </c>
      <c r="K18" s="52">
        <f>IF($B18="",0,SUMIFS('Dvd Calendar'!$E$1690:$AR$1690,'Dvd Calendar'!$E$1689:$AR$1689,"&gt;"&amp;PROJ_FROM,'Dvd Calendar'!$E$1689:$AR$1689,"&lt;="&amp;DATE(YEAR_Y,12,31))+SUMPRODUCT(('Dvd Calendar'!$E$1682:$AR$1682&gt;PROJ_FROM)*('Dvd Calendar'!$E$1682:$AR$1682&lt;=DATE(YEAR_Y,12,31))*'Dvd Calendar'!$E$1685:$AR$1685*(('Dvd Calendar'!$E$1687:$AR$1687=TYPE1)*(TYPE1&lt;&gt;"")+('Dvd Calendar'!$E$1687:$AR$1687=TYPE2)*(TYPE2&lt;&gt;"")+('Dvd Calendar'!$E$1687:$AR$1687=TYPE3)*(TYPE3&lt;&gt;"")+('Dvd Calendar'!$E$1687:$AR$1687=TYPE4)*(TYPE4&lt;&gt;"")+('Dvd Calendar'!$E$1687:$AR$1687=SPECIAL_LBL)*(INC_SPECIALS="Y"))*(COUNTIF('Dvd Calendar'!$E$1689:$AR$1689,'Dvd Calendar'!$E$1682:$AR$1682)=0)))</f>
        <v/>
      </c>
      <c r="L18" s="52">
        <f>IF($B18="",0,IF((OV_SWITCH="ON")*(COUNTIFS(OVR_TICKERS,$C18,OVR_BASE,"&gt;=0")&gt;0)&gt;0,SUMIFS(OVR_BASE,OVR_TICKERS,$C18),$K18))</f>
        <v/>
      </c>
      <c r="M18" s="52">
        <f>IF($B18="",0,IF((OV_SWITCH="ON")*(COUNTIFS(OVR_TICKERS,$C18,OVR_LOW,"&gt;=0")&gt;0)&gt;0,SUMIFS(OVR_LOW,OVR_TICKERS,$C18),$L18))</f>
        <v/>
      </c>
      <c r="N18" s="52">
        <f>IF($B18="",0,IF((OV_SWITCH="ON")*(COUNTIFS(OVR_TICKERS,$C18,OVR_HIGH,"&gt;=0")&gt;0)&gt;0,SUMIFS(OVR_HIGH,OVR_TICKERS,$C18),$L18))</f>
        <v/>
      </c>
      <c r="O18" s="69">
        <f>IF($B18="","",IFERROR($B18*$G18*$J18/$B$3,""))</f>
        <v/>
      </c>
      <c r="P18" s="69">
        <f>IF($B18="","",IFERROR($B18*$G18*$L18/$B$3,""))</f>
        <v/>
      </c>
      <c r="Q18" s="44">
        <f>IF($B18="","",IFERROR($O18+$P18,""))</f>
        <v/>
      </c>
      <c r="R18" s="69">
        <f>IF($B18="","",IFERROR($O18+$B18*$G18*$M18/$B$3,""))</f>
        <v/>
      </c>
      <c r="S18" s="69">
        <f>IF($B18="","",IFERROR($O18+$B18*$G18*$N18/$B$3,""))</f>
        <v/>
      </c>
      <c r="T18" s="88">
        <f>IF($B18="","",IFERROR($Q18/$Q$5,""))</f>
        <v/>
      </c>
      <c r="U18" s="2">
        <f>IF($B18="","",IF(COUNTIFS('Dvd Calendar'!$E$1688:$AR$1688,"&gt;0",'Dvd Calendar'!$E$1688:$AR$1688,"&lt;="&amp;VAL_DATE,'Dvd Calendar'!$E$1689:$AR$1689,"&gt;"&amp;PROJ_FROM,'Dvd Calendar'!$E$1689:$AR$1689,"&lt;="&amp;DATE(YEAR_Y,12,31))-COUNTIFS('Dvd Calendar'!$E$1688:$AR$1688,"&gt;0",'Dvd Calendar'!$E$1688:$AR$1688,"&lt;="&amp;VAL_DATE,'Dvd Calendar'!$E$1689:$AR$1689,"&gt;"&amp;PROJ_FROM,'Dvd Calendar'!$E$1689:$AR$1689,"&lt;="&amp;DATE(YEAR_Y,12,31),'Dvd Calendar'!$E$1690:$AR$1690,"&gt;=0")&gt;0,"TBA amount - override me",IF((OV_SWITCH="ON")*(COUNTIFS(OVR_TICKERS,$C18,OVR_BASE,"&gt;=0")&gt;0)&gt;0,"overridden",IF($J18+$K18=0,"no dividend in year Y",""))))</f>
        <v/>
      </c>
      <c r="V18" s="69">
        <f>IF($B18="","",IFERROR(IF(ISNUMBER($H18),$B18*$G18*$H18/$B$3,0),""))</f>
        <v/>
      </c>
      <c r="W18" s="69">
        <f>IF($B18="","",IFERROR($B18*$G18*$K18/$B$3,""))</f>
        <v/>
      </c>
      <c r="X18" s="98">
        <f>IF($C18="","",BDP($C18,"PX_LAST"))</f>
        <v/>
      </c>
      <c r="Y18" s="69">
        <f>IF($B18="","",IFERROR($B18*$X18/$B$3,""))</f>
        <v/>
      </c>
      <c r="Z18" s="73">
        <f>IF($B18="","",IFERROR($Y18/$Y$5,""))</f>
        <v/>
      </c>
    </row>
    <row r="19">
      <c r="B19" s="97" t="n"/>
      <c r="C19" s="8">
        <f>IF($A19="","",$A19&amp;" Equity")</f>
        <v/>
      </c>
      <c r="D19" s="8">
        <f>IF($C19="","",BDP($C19,"NAME"))</f>
        <v/>
      </c>
      <c r="E19" s="8">
        <f>IF($C19="","",BDP($C19,"GICS_SECTOR_NAME"))</f>
        <v/>
      </c>
      <c r="F19" s="37">
        <f>IF($C19="","",BDP($C19,FLD_CCY))</f>
        <v/>
      </c>
      <c r="G19" s="12">
        <f>IFERROR(IF(LEN($F19)&lt;&gt;3,1,IF($F19="HKD",1,BDP(IF($F19="CNY",RMB_CROSS,$F19)&amp;"HKD Curncy","PX_LAST"))),1)</f>
        <v/>
      </c>
      <c r="H19" s="69">
        <f>IF($C19="","",BDP($C19,FLD_DPS12M))</f>
        <v/>
      </c>
      <c r="I19" s="50">
        <f>IF($C19="","",BDP($C19,FLD_YLD12M))</f>
        <v/>
      </c>
      <c r="J19" s="52">
        <f>IF($B19="",0,SUMPRODUCT(('Dvd Calendar'!$E$1693:$AR$1693&gt;=DATE(YEAR_Y,1,1))*('Dvd Calendar'!$E$1693:$AR$1693&lt;=REALIZED_TO)*'Dvd Calendar'!$E$1696:$AR$1696*(('Dvd Calendar'!$E$1698:$AR$1698=TYPE1)*(TYPE1&lt;&gt;"")+('Dvd Calendar'!$E$1698:$AR$1698=TYPE2)*(TYPE2&lt;&gt;"")+('Dvd Calendar'!$E$1698:$AR$1698=TYPE3)*(TYPE3&lt;&gt;"")+('Dvd Calendar'!$E$1698:$AR$1698=TYPE4)*(TYPE4&lt;&gt;"")+('Dvd Calendar'!$E$1698:$AR$1698=SPECIAL_LBL)*(INC_SPECIALS="Y"))))</f>
        <v/>
      </c>
      <c r="K19" s="52">
        <f>IF($B19="",0,SUMIFS('Dvd Calendar'!$E$1701:$AR$1701,'Dvd Calendar'!$E$1700:$AR$1700,"&gt;"&amp;PROJ_FROM,'Dvd Calendar'!$E$1700:$AR$1700,"&lt;="&amp;DATE(YEAR_Y,12,31))+SUMPRODUCT(('Dvd Calendar'!$E$1693:$AR$1693&gt;PROJ_FROM)*('Dvd Calendar'!$E$1693:$AR$1693&lt;=DATE(YEAR_Y,12,31))*'Dvd Calendar'!$E$1696:$AR$1696*(('Dvd Calendar'!$E$1698:$AR$1698=TYPE1)*(TYPE1&lt;&gt;"")+('Dvd Calendar'!$E$1698:$AR$1698=TYPE2)*(TYPE2&lt;&gt;"")+('Dvd Calendar'!$E$1698:$AR$1698=TYPE3)*(TYPE3&lt;&gt;"")+('Dvd Calendar'!$E$1698:$AR$1698=TYPE4)*(TYPE4&lt;&gt;"")+('Dvd Calendar'!$E$1698:$AR$1698=SPECIAL_LBL)*(INC_SPECIALS="Y"))*(COUNTIF('Dvd Calendar'!$E$1700:$AR$1700,'Dvd Calendar'!$E$1693:$AR$1693)=0)))</f>
        <v/>
      </c>
      <c r="L19" s="52">
        <f>IF($B19="",0,IF((OV_SWITCH="ON")*(COUNTIFS(OVR_TICKERS,$C19,OVR_BASE,"&gt;=0")&gt;0)&gt;0,SUMIFS(OVR_BASE,OVR_TICKERS,$C19),$K19))</f>
        <v/>
      </c>
      <c r="M19" s="52">
        <f>IF($B19="",0,IF((OV_SWITCH="ON")*(COUNTIFS(OVR_TICKERS,$C19,OVR_LOW,"&gt;=0")&gt;0)&gt;0,SUMIFS(OVR_LOW,OVR_TICKERS,$C19),$L19))</f>
        <v/>
      </c>
      <c r="N19" s="52">
        <f>IF($B19="",0,IF((OV_SWITCH="ON")*(COUNTIFS(OVR_TICKERS,$C19,OVR_HIGH,"&gt;=0")&gt;0)&gt;0,SUMIFS(OVR_HIGH,OVR_TICKERS,$C19),$L19))</f>
        <v/>
      </c>
      <c r="O19" s="69">
        <f>IF($B19="","",IFERROR($B19*$G19*$J19/$B$3,""))</f>
        <v/>
      </c>
      <c r="P19" s="69">
        <f>IF($B19="","",IFERROR($B19*$G19*$L19/$B$3,""))</f>
        <v/>
      </c>
      <c r="Q19" s="44">
        <f>IF($B19="","",IFERROR($O19+$P19,""))</f>
        <v/>
      </c>
      <c r="R19" s="69">
        <f>IF($B19="","",IFERROR($O19+$B19*$G19*$M19/$B$3,""))</f>
        <v/>
      </c>
      <c r="S19" s="69">
        <f>IF($B19="","",IFERROR($O19+$B19*$G19*$N19/$B$3,""))</f>
        <v/>
      </c>
      <c r="T19" s="88">
        <f>IF($B19="","",IFERROR($Q19/$Q$5,""))</f>
        <v/>
      </c>
      <c r="U19" s="2">
        <f>IF($B19="","",IF(COUNTIFS('Dvd Calendar'!$E$1699:$AR$1699,"&gt;0",'Dvd Calendar'!$E$1699:$AR$1699,"&lt;="&amp;VAL_DATE,'Dvd Calendar'!$E$1700:$AR$1700,"&gt;"&amp;PROJ_FROM,'Dvd Calendar'!$E$1700:$AR$1700,"&lt;="&amp;DATE(YEAR_Y,12,31))-COUNTIFS('Dvd Calendar'!$E$1699:$AR$1699,"&gt;0",'Dvd Calendar'!$E$1699:$AR$1699,"&lt;="&amp;VAL_DATE,'Dvd Calendar'!$E$1700:$AR$1700,"&gt;"&amp;PROJ_FROM,'Dvd Calendar'!$E$1700:$AR$1700,"&lt;="&amp;DATE(YEAR_Y,12,31),'Dvd Calendar'!$E$1701:$AR$1701,"&gt;=0")&gt;0,"TBA amount - override me",IF((OV_SWITCH="ON")*(COUNTIFS(OVR_TICKERS,$C19,OVR_BASE,"&gt;=0")&gt;0)&gt;0,"overridden",IF($J19+$K19=0,"no dividend in year Y",""))))</f>
        <v/>
      </c>
      <c r="V19" s="69">
        <f>IF($B19="","",IFERROR(IF(ISNUMBER($H19),$B19*$G19*$H19/$B$3,0),""))</f>
        <v/>
      </c>
      <c r="W19" s="69">
        <f>IF($B19="","",IFERROR($B19*$G19*$K19/$B$3,""))</f>
        <v/>
      </c>
      <c r="X19" s="98">
        <f>IF($C19="","",BDP($C19,"PX_LAST"))</f>
        <v/>
      </c>
      <c r="Y19" s="69">
        <f>IF($B19="","",IFERROR($B19*$X19/$B$3,""))</f>
        <v/>
      </c>
      <c r="Z19" s="73">
        <f>IF($B19="","",IFERROR($Y19/$Y$5,""))</f>
        <v/>
      </c>
    </row>
    <row r="20">
      <c r="B20" s="97" t="n"/>
      <c r="C20" s="8">
        <f>IF($A20="","",$A20&amp;" Equity")</f>
        <v/>
      </c>
      <c r="D20" s="8">
        <f>IF($C20="","",BDP($C20,"NAME"))</f>
        <v/>
      </c>
      <c r="E20" s="8">
        <f>IF($C20="","",BDP($C20,"GICS_SECTOR_NAME"))</f>
        <v/>
      </c>
      <c r="F20" s="37">
        <f>IF($C20="","",BDP($C20,FLD_CCY))</f>
        <v/>
      </c>
      <c r="G20" s="12">
        <f>IFERROR(IF(LEN($F20)&lt;&gt;3,1,IF($F20="HKD",1,BDP(IF($F20="CNY",RMB_CROSS,$F20)&amp;"HKD Curncy","PX_LAST"))),1)</f>
        <v/>
      </c>
      <c r="H20" s="69">
        <f>IF($C20="","",BDP($C20,FLD_DPS12M))</f>
        <v/>
      </c>
      <c r="I20" s="50">
        <f>IF($C20="","",BDP($C20,FLD_YLD12M))</f>
        <v/>
      </c>
      <c r="J20" s="52">
        <f>IF($B20="",0,SUMPRODUCT(('Dvd Calendar'!$E$1704:$AR$1704&gt;=DATE(YEAR_Y,1,1))*('Dvd Calendar'!$E$1704:$AR$1704&lt;=REALIZED_TO)*'Dvd Calendar'!$E$1707:$AR$1707*(('Dvd Calendar'!$E$1709:$AR$1709=TYPE1)*(TYPE1&lt;&gt;"")+('Dvd Calendar'!$E$1709:$AR$1709=TYPE2)*(TYPE2&lt;&gt;"")+('Dvd Calendar'!$E$1709:$AR$1709=TYPE3)*(TYPE3&lt;&gt;"")+('Dvd Calendar'!$E$1709:$AR$1709=TYPE4)*(TYPE4&lt;&gt;"")+('Dvd Calendar'!$E$1709:$AR$1709=SPECIAL_LBL)*(INC_SPECIALS="Y"))))</f>
        <v/>
      </c>
      <c r="K20" s="52">
        <f>IF($B20="",0,SUMIFS('Dvd Calendar'!$E$1712:$AR$1712,'Dvd Calendar'!$E$1711:$AR$1711,"&gt;"&amp;PROJ_FROM,'Dvd Calendar'!$E$1711:$AR$1711,"&lt;="&amp;DATE(YEAR_Y,12,31))+SUMPRODUCT(('Dvd Calendar'!$E$1704:$AR$1704&gt;PROJ_FROM)*('Dvd Calendar'!$E$1704:$AR$1704&lt;=DATE(YEAR_Y,12,31))*'Dvd Calendar'!$E$1707:$AR$1707*(('Dvd Calendar'!$E$1709:$AR$1709=TYPE1)*(TYPE1&lt;&gt;"")+('Dvd Calendar'!$E$1709:$AR$1709=TYPE2)*(TYPE2&lt;&gt;"")+('Dvd Calendar'!$E$1709:$AR$1709=TYPE3)*(TYPE3&lt;&gt;"")+('Dvd Calendar'!$E$1709:$AR$1709=TYPE4)*(TYPE4&lt;&gt;"")+('Dvd Calendar'!$E$1709:$AR$1709=SPECIAL_LBL)*(INC_SPECIALS="Y"))*(COUNTIF('Dvd Calendar'!$E$1711:$AR$1711,'Dvd Calendar'!$E$1704:$AR$1704)=0)))</f>
        <v/>
      </c>
      <c r="L20" s="52">
        <f>IF($B20="",0,IF((OV_SWITCH="ON")*(COUNTIFS(OVR_TICKERS,$C20,OVR_BASE,"&gt;=0")&gt;0)&gt;0,SUMIFS(OVR_BASE,OVR_TICKERS,$C20),$K20))</f>
        <v/>
      </c>
      <c r="M20" s="52">
        <f>IF($B20="",0,IF((OV_SWITCH="ON")*(COUNTIFS(OVR_TICKERS,$C20,OVR_LOW,"&gt;=0")&gt;0)&gt;0,SUMIFS(OVR_LOW,OVR_TICKERS,$C20),$L20))</f>
        <v/>
      </c>
      <c r="N20" s="52">
        <f>IF($B20="",0,IF((OV_SWITCH="ON")*(COUNTIFS(OVR_TICKERS,$C20,OVR_HIGH,"&gt;=0")&gt;0)&gt;0,SUMIFS(OVR_HIGH,OVR_TICKERS,$C20),$L20))</f>
        <v/>
      </c>
      <c r="O20" s="69">
        <f>IF($B20="","",IFERROR($B20*$G20*$J20/$B$3,""))</f>
        <v/>
      </c>
      <c r="P20" s="69">
        <f>IF($B20="","",IFERROR($B20*$G20*$L20/$B$3,""))</f>
        <v/>
      </c>
      <c r="Q20" s="44">
        <f>IF($B20="","",IFERROR($O20+$P20,""))</f>
        <v/>
      </c>
      <c r="R20" s="69">
        <f>IF($B20="","",IFERROR($O20+$B20*$G20*$M20/$B$3,""))</f>
        <v/>
      </c>
      <c r="S20" s="69">
        <f>IF($B20="","",IFERROR($O20+$B20*$G20*$N20/$B$3,""))</f>
        <v/>
      </c>
      <c r="T20" s="88">
        <f>IF($B20="","",IFERROR($Q20/$Q$5,""))</f>
        <v/>
      </c>
      <c r="U20" s="2">
        <f>IF($B20="","",IF(COUNTIFS('Dvd Calendar'!$E$1710:$AR$1710,"&gt;0",'Dvd Calendar'!$E$1710:$AR$1710,"&lt;="&amp;VAL_DATE,'Dvd Calendar'!$E$1711:$AR$1711,"&gt;"&amp;PROJ_FROM,'Dvd Calendar'!$E$1711:$AR$1711,"&lt;="&amp;DATE(YEAR_Y,12,31))-COUNTIFS('Dvd Calendar'!$E$1710:$AR$1710,"&gt;0",'Dvd Calendar'!$E$1710:$AR$1710,"&lt;="&amp;VAL_DATE,'Dvd Calendar'!$E$1711:$AR$1711,"&gt;"&amp;PROJ_FROM,'Dvd Calendar'!$E$1711:$AR$1711,"&lt;="&amp;DATE(YEAR_Y,12,31),'Dvd Calendar'!$E$1712:$AR$1712,"&gt;=0")&gt;0,"TBA amount - override me",IF((OV_SWITCH="ON")*(COUNTIFS(OVR_TICKERS,$C20,OVR_BASE,"&gt;=0")&gt;0)&gt;0,"overridden",IF($J20+$K20=0,"no dividend in year Y",""))))</f>
        <v/>
      </c>
      <c r="V20" s="69">
        <f>IF($B20="","",IFERROR(IF(ISNUMBER($H20),$B20*$G20*$H20/$B$3,0),""))</f>
        <v/>
      </c>
      <c r="W20" s="69">
        <f>IF($B20="","",IFERROR($B20*$G20*$K20/$B$3,""))</f>
        <v/>
      </c>
      <c r="X20" s="98">
        <f>IF($C20="","",BDP($C20,"PX_LAST"))</f>
        <v/>
      </c>
      <c r="Y20" s="69">
        <f>IF($B20="","",IFERROR($B20*$X20/$B$3,""))</f>
        <v/>
      </c>
      <c r="Z20" s="73">
        <f>IF($B20="","",IFERROR($Y20/$Y$5,""))</f>
        <v/>
      </c>
    </row>
    <row r="21">
      <c r="B21" s="97" t="n"/>
      <c r="C21" s="8">
        <f>IF($A21="","",$A21&amp;" Equity")</f>
        <v/>
      </c>
      <c r="D21" s="8">
        <f>IF($C21="","",BDP($C21,"NAME"))</f>
        <v/>
      </c>
      <c r="E21" s="8">
        <f>IF($C21="","",BDP($C21,"GICS_SECTOR_NAME"))</f>
        <v/>
      </c>
      <c r="F21" s="37">
        <f>IF($C21="","",BDP($C21,FLD_CCY))</f>
        <v/>
      </c>
      <c r="G21" s="12">
        <f>IFERROR(IF(LEN($F21)&lt;&gt;3,1,IF($F21="HKD",1,BDP(IF($F21="CNY",RMB_CROSS,$F21)&amp;"HKD Curncy","PX_LAST"))),1)</f>
        <v/>
      </c>
      <c r="H21" s="69">
        <f>IF($C21="","",BDP($C21,FLD_DPS12M))</f>
        <v/>
      </c>
      <c r="I21" s="50">
        <f>IF($C21="","",BDP($C21,FLD_YLD12M))</f>
        <v/>
      </c>
      <c r="J21" s="52">
        <f>IF($B21="",0,SUMPRODUCT(('Dvd Calendar'!$E$1715:$AR$1715&gt;=DATE(YEAR_Y,1,1))*('Dvd Calendar'!$E$1715:$AR$1715&lt;=REALIZED_TO)*'Dvd Calendar'!$E$1718:$AR$1718*(('Dvd Calendar'!$E$1720:$AR$1720=TYPE1)*(TYPE1&lt;&gt;"")+('Dvd Calendar'!$E$1720:$AR$1720=TYPE2)*(TYPE2&lt;&gt;"")+('Dvd Calendar'!$E$1720:$AR$1720=TYPE3)*(TYPE3&lt;&gt;"")+('Dvd Calendar'!$E$1720:$AR$1720=TYPE4)*(TYPE4&lt;&gt;"")+('Dvd Calendar'!$E$1720:$AR$1720=SPECIAL_LBL)*(INC_SPECIALS="Y"))))</f>
        <v/>
      </c>
      <c r="K21" s="52">
        <f>IF($B21="",0,SUMIFS('Dvd Calendar'!$E$1723:$AR$1723,'Dvd Calendar'!$E$1722:$AR$1722,"&gt;"&amp;PROJ_FROM,'Dvd Calendar'!$E$1722:$AR$1722,"&lt;="&amp;DATE(YEAR_Y,12,31))+SUMPRODUCT(('Dvd Calendar'!$E$1715:$AR$1715&gt;PROJ_FROM)*('Dvd Calendar'!$E$1715:$AR$1715&lt;=DATE(YEAR_Y,12,31))*'Dvd Calendar'!$E$1718:$AR$1718*(('Dvd Calendar'!$E$1720:$AR$1720=TYPE1)*(TYPE1&lt;&gt;"")+('Dvd Calendar'!$E$1720:$AR$1720=TYPE2)*(TYPE2&lt;&gt;"")+('Dvd Calendar'!$E$1720:$AR$1720=TYPE3)*(TYPE3&lt;&gt;"")+('Dvd Calendar'!$E$1720:$AR$1720=TYPE4)*(TYPE4&lt;&gt;"")+('Dvd Calendar'!$E$1720:$AR$1720=SPECIAL_LBL)*(INC_SPECIALS="Y"))*(COUNTIF('Dvd Calendar'!$E$1722:$AR$1722,'Dvd Calendar'!$E$1715:$AR$1715)=0)))</f>
        <v/>
      </c>
      <c r="L21" s="52">
        <f>IF($B21="",0,IF((OV_SWITCH="ON")*(COUNTIFS(OVR_TICKERS,$C21,OVR_BASE,"&gt;=0")&gt;0)&gt;0,SUMIFS(OVR_BASE,OVR_TICKERS,$C21),$K21))</f>
        <v/>
      </c>
      <c r="M21" s="52">
        <f>IF($B21="",0,IF((OV_SWITCH="ON")*(COUNTIFS(OVR_TICKERS,$C21,OVR_LOW,"&gt;=0")&gt;0)&gt;0,SUMIFS(OVR_LOW,OVR_TICKERS,$C21),$L21))</f>
        <v/>
      </c>
      <c r="N21" s="52">
        <f>IF($B21="",0,IF((OV_SWITCH="ON")*(COUNTIFS(OVR_TICKERS,$C21,OVR_HIGH,"&gt;=0")&gt;0)&gt;0,SUMIFS(OVR_HIGH,OVR_TICKERS,$C21),$L21))</f>
        <v/>
      </c>
      <c r="O21" s="69">
        <f>IF($B21="","",IFERROR($B21*$G21*$J21/$B$3,""))</f>
        <v/>
      </c>
      <c r="P21" s="69">
        <f>IF($B21="","",IFERROR($B21*$G21*$L21/$B$3,""))</f>
        <v/>
      </c>
      <c r="Q21" s="44">
        <f>IF($B21="","",IFERROR($O21+$P21,""))</f>
        <v/>
      </c>
      <c r="R21" s="69">
        <f>IF($B21="","",IFERROR($O21+$B21*$G21*$M21/$B$3,""))</f>
        <v/>
      </c>
      <c r="S21" s="69">
        <f>IF($B21="","",IFERROR($O21+$B21*$G21*$N21/$B$3,""))</f>
        <v/>
      </c>
      <c r="T21" s="88">
        <f>IF($B21="","",IFERROR($Q21/$Q$5,""))</f>
        <v/>
      </c>
      <c r="U21" s="2">
        <f>IF($B21="","",IF(COUNTIFS('Dvd Calendar'!$E$1721:$AR$1721,"&gt;0",'Dvd Calendar'!$E$1721:$AR$1721,"&lt;="&amp;VAL_DATE,'Dvd Calendar'!$E$1722:$AR$1722,"&gt;"&amp;PROJ_FROM,'Dvd Calendar'!$E$1722:$AR$1722,"&lt;="&amp;DATE(YEAR_Y,12,31))-COUNTIFS('Dvd Calendar'!$E$1721:$AR$1721,"&gt;0",'Dvd Calendar'!$E$1721:$AR$1721,"&lt;="&amp;VAL_DATE,'Dvd Calendar'!$E$1722:$AR$1722,"&gt;"&amp;PROJ_FROM,'Dvd Calendar'!$E$1722:$AR$1722,"&lt;="&amp;DATE(YEAR_Y,12,31),'Dvd Calendar'!$E$1723:$AR$1723,"&gt;=0")&gt;0,"TBA amount - override me",IF((OV_SWITCH="ON")*(COUNTIFS(OVR_TICKERS,$C21,OVR_BASE,"&gt;=0")&gt;0)&gt;0,"overridden",IF($J21+$K21=0,"no dividend in year Y",""))))</f>
        <v/>
      </c>
      <c r="V21" s="69">
        <f>IF($B21="","",IFERROR(IF(ISNUMBER($H21),$B21*$G21*$H21/$B$3,0),""))</f>
        <v/>
      </c>
      <c r="W21" s="69">
        <f>IF($B21="","",IFERROR($B21*$G21*$K21/$B$3,""))</f>
        <v/>
      </c>
      <c r="X21" s="98">
        <f>IF($C21="","",BDP($C21,"PX_LAST"))</f>
        <v/>
      </c>
      <c r="Y21" s="69">
        <f>IF($B21="","",IFERROR($B21*$X21/$B$3,""))</f>
        <v/>
      </c>
      <c r="Z21" s="73">
        <f>IF($B21="","",IFERROR($Y21/$Y$5,""))</f>
        <v/>
      </c>
    </row>
    <row r="22">
      <c r="B22" s="97" t="n"/>
      <c r="C22" s="8">
        <f>IF($A22="","",$A22&amp;" Equity")</f>
        <v/>
      </c>
      <c r="D22" s="8">
        <f>IF($C22="","",BDP($C22,"NAME"))</f>
        <v/>
      </c>
      <c r="E22" s="8">
        <f>IF($C22="","",BDP($C22,"GICS_SECTOR_NAME"))</f>
        <v/>
      </c>
      <c r="F22" s="37">
        <f>IF($C22="","",BDP($C22,FLD_CCY))</f>
        <v/>
      </c>
      <c r="G22" s="12">
        <f>IFERROR(IF(LEN($F22)&lt;&gt;3,1,IF($F22="HKD",1,BDP(IF($F22="CNY",RMB_CROSS,$F22)&amp;"HKD Curncy","PX_LAST"))),1)</f>
        <v/>
      </c>
      <c r="H22" s="69">
        <f>IF($C22="","",BDP($C22,FLD_DPS12M))</f>
        <v/>
      </c>
      <c r="I22" s="50">
        <f>IF($C22="","",BDP($C22,FLD_YLD12M))</f>
        <v/>
      </c>
      <c r="J22" s="52">
        <f>IF($B22="",0,SUMPRODUCT(('Dvd Calendar'!$E$1726:$AR$1726&gt;=DATE(YEAR_Y,1,1))*('Dvd Calendar'!$E$1726:$AR$1726&lt;=REALIZED_TO)*'Dvd Calendar'!$E$1729:$AR$1729*(('Dvd Calendar'!$E$1731:$AR$1731=TYPE1)*(TYPE1&lt;&gt;"")+('Dvd Calendar'!$E$1731:$AR$1731=TYPE2)*(TYPE2&lt;&gt;"")+('Dvd Calendar'!$E$1731:$AR$1731=TYPE3)*(TYPE3&lt;&gt;"")+('Dvd Calendar'!$E$1731:$AR$1731=TYPE4)*(TYPE4&lt;&gt;"")+('Dvd Calendar'!$E$1731:$AR$1731=SPECIAL_LBL)*(INC_SPECIALS="Y"))))</f>
        <v/>
      </c>
      <c r="K22" s="52">
        <f>IF($B22="",0,SUMIFS('Dvd Calendar'!$E$1734:$AR$1734,'Dvd Calendar'!$E$1733:$AR$1733,"&gt;"&amp;PROJ_FROM,'Dvd Calendar'!$E$1733:$AR$1733,"&lt;="&amp;DATE(YEAR_Y,12,31))+SUMPRODUCT(('Dvd Calendar'!$E$1726:$AR$1726&gt;PROJ_FROM)*('Dvd Calendar'!$E$1726:$AR$1726&lt;=DATE(YEAR_Y,12,31))*'Dvd Calendar'!$E$1729:$AR$1729*(('Dvd Calendar'!$E$1731:$AR$1731=TYPE1)*(TYPE1&lt;&gt;"")+('Dvd Calendar'!$E$1731:$AR$1731=TYPE2)*(TYPE2&lt;&gt;"")+('Dvd Calendar'!$E$1731:$AR$1731=TYPE3)*(TYPE3&lt;&gt;"")+('Dvd Calendar'!$E$1731:$AR$1731=TYPE4)*(TYPE4&lt;&gt;"")+('Dvd Calendar'!$E$1731:$AR$1731=SPECIAL_LBL)*(INC_SPECIALS="Y"))*(COUNTIF('Dvd Calendar'!$E$1733:$AR$1733,'Dvd Calendar'!$E$1726:$AR$1726)=0)))</f>
        <v/>
      </c>
      <c r="L22" s="52">
        <f>IF($B22="",0,IF((OV_SWITCH="ON")*(COUNTIFS(OVR_TICKERS,$C22,OVR_BASE,"&gt;=0")&gt;0)&gt;0,SUMIFS(OVR_BASE,OVR_TICKERS,$C22),$K22))</f>
        <v/>
      </c>
      <c r="M22" s="52">
        <f>IF($B22="",0,IF((OV_SWITCH="ON")*(COUNTIFS(OVR_TICKERS,$C22,OVR_LOW,"&gt;=0")&gt;0)&gt;0,SUMIFS(OVR_LOW,OVR_TICKERS,$C22),$L22))</f>
        <v/>
      </c>
      <c r="N22" s="52">
        <f>IF($B22="",0,IF((OV_SWITCH="ON")*(COUNTIFS(OVR_TICKERS,$C22,OVR_HIGH,"&gt;=0")&gt;0)&gt;0,SUMIFS(OVR_HIGH,OVR_TICKERS,$C22),$L22))</f>
        <v/>
      </c>
      <c r="O22" s="69">
        <f>IF($B22="","",IFERROR($B22*$G22*$J22/$B$3,""))</f>
        <v/>
      </c>
      <c r="P22" s="69">
        <f>IF($B22="","",IFERROR($B22*$G22*$L22/$B$3,""))</f>
        <v/>
      </c>
      <c r="Q22" s="44">
        <f>IF($B22="","",IFERROR($O22+$P22,""))</f>
        <v/>
      </c>
      <c r="R22" s="69">
        <f>IF($B22="","",IFERROR($O22+$B22*$G22*$M22/$B$3,""))</f>
        <v/>
      </c>
      <c r="S22" s="69">
        <f>IF($B22="","",IFERROR($O22+$B22*$G22*$N22/$B$3,""))</f>
        <v/>
      </c>
      <c r="T22" s="88">
        <f>IF($B22="","",IFERROR($Q22/$Q$5,""))</f>
        <v/>
      </c>
      <c r="U22" s="2">
        <f>IF($B22="","",IF(COUNTIFS('Dvd Calendar'!$E$1732:$AR$1732,"&gt;0",'Dvd Calendar'!$E$1732:$AR$1732,"&lt;="&amp;VAL_DATE,'Dvd Calendar'!$E$1733:$AR$1733,"&gt;"&amp;PROJ_FROM,'Dvd Calendar'!$E$1733:$AR$1733,"&lt;="&amp;DATE(YEAR_Y,12,31))-COUNTIFS('Dvd Calendar'!$E$1732:$AR$1732,"&gt;0",'Dvd Calendar'!$E$1732:$AR$1732,"&lt;="&amp;VAL_DATE,'Dvd Calendar'!$E$1733:$AR$1733,"&gt;"&amp;PROJ_FROM,'Dvd Calendar'!$E$1733:$AR$1733,"&lt;="&amp;DATE(YEAR_Y,12,31),'Dvd Calendar'!$E$1734:$AR$1734,"&gt;=0")&gt;0,"TBA amount - override me",IF((OV_SWITCH="ON")*(COUNTIFS(OVR_TICKERS,$C22,OVR_BASE,"&gt;=0")&gt;0)&gt;0,"overridden",IF($J22+$K22=0,"no dividend in year Y",""))))</f>
        <v/>
      </c>
      <c r="V22" s="69">
        <f>IF($B22="","",IFERROR(IF(ISNUMBER($H22),$B22*$G22*$H22/$B$3,0),""))</f>
        <v/>
      </c>
      <c r="W22" s="69">
        <f>IF($B22="","",IFERROR($B22*$G22*$K22/$B$3,""))</f>
        <v/>
      </c>
      <c r="X22" s="98">
        <f>IF($C22="","",BDP($C22,"PX_LAST"))</f>
        <v/>
      </c>
      <c r="Y22" s="69">
        <f>IF($B22="","",IFERROR($B22*$X22/$B$3,""))</f>
        <v/>
      </c>
      <c r="Z22" s="73">
        <f>IF($B22="","",IFERROR($Y22/$Y$5,""))</f>
        <v/>
      </c>
    </row>
    <row r="23">
      <c r="B23" s="97" t="n"/>
      <c r="C23" s="8">
        <f>IF($A23="","",$A23&amp;" Equity")</f>
        <v/>
      </c>
      <c r="D23" s="8">
        <f>IF($C23="","",BDP($C23,"NAME"))</f>
        <v/>
      </c>
      <c r="E23" s="8">
        <f>IF($C23="","",BDP($C23,"GICS_SECTOR_NAME"))</f>
        <v/>
      </c>
      <c r="F23" s="37">
        <f>IF($C23="","",BDP($C23,FLD_CCY))</f>
        <v/>
      </c>
      <c r="G23" s="12">
        <f>IFERROR(IF(LEN($F23)&lt;&gt;3,1,IF($F23="HKD",1,BDP(IF($F23="CNY",RMB_CROSS,$F23)&amp;"HKD Curncy","PX_LAST"))),1)</f>
        <v/>
      </c>
      <c r="H23" s="69">
        <f>IF($C23="","",BDP($C23,FLD_DPS12M))</f>
        <v/>
      </c>
      <c r="I23" s="50">
        <f>IF($C23="","",BDP($C23,FLD_YLD12M))</f>
        <v/>
      </c>
      <c r="J23" s="52">
        <f>IF($B23="",0,SUMPRODUCT(('Dvd Calendar'!$E$1737:$AR$1737&gt;=DATE(YEAR_Y,1,1))*('Dvd Calendar'!$E$1737:$AR$1737&lt;=REALIZED_TO)*'Dvd Calendar'!$E$1740:$AR$1740*(('Dvd Calendar'!$E$1742:$AR$1742=TYPE1)*(TYPE1&lt;&gt;"")+('Dvd Calendar'!$E$1742:$AR$1742=TYPE2)*(TYPE2&lt;&gt;"")+('Dvd Calendar'!$E$1742:$AR$1742=TYPE3)*(TYPE3&lt;&gt;"")+('Dvd Calendar'!$E$1742:$AR$1742=TYPE4)*(TYPE4&lt;&gt;"")+('Dvd Calendar'!$E$1742:$AR$1742=SPECIAL_LBL)*(INC_SPECIALS="Y"))))</f>
        <v/>
      </c>
      <c r="K23" s="52">
        <f>IF($B23="",0,SUMIFS('Dvd Calendar'!$E$1745:$AR$1745,'Dvd Calendar'!$E$1744:$AR$1744,"&gt;"&amp;PROJ_FROM,'Dvd Calendar'!$E$1744:$AR$1744,"&lt;="&amp;DATE(YEAR_Y,12,31))+SUMPRODUCT(('Dvd Calendar'!$E$1737:$AR$1737&gt;PROJ_FROM)*('Dvd Calendar'!$E$1737:$AR$1737&lt;=DATE(YEAR_Y,12,31))*'Dvd Calendar'!$E$1740:$AR$1740*(('Dvd Calendar'!$E$1742:$AR$1742=TYPE1)*(TYPE1&lt;&gt;"")+('Dvd Calendar'!$E$1742:$AR$1742=TYPE2)*(TYPE2&lt;&gt;"")+('Dvd Calendar'!$E$1742:$AR$1742=TYPE3)*(TYPE3&lt;&gt;"")+('Dvd Calendar'!$E$1742:$AR$1742=TYPE4)*(TYPE4&lt;&gt;"")+('Dvd Calendar'!$E$1742:$AR$1742=SPECIAL_LBL)*(INC_SPECIALS="Y"))*(COUNTIF('Dvd Calendar'!$E$1744:$AR$1744,'Dvd Calendar'!$E$1737:$AR$1737)=0)))</f>
        <v/>
      </c>
      <c r="L23" s="52">
        <f>IF($B23="",0,IF((OV_SWITCH="ON")*(COUNTIFS(OVR_TICKERS,$C23,OVR_BASE,"&gt;=0")&gt;0)&gt;0,SUMIFS(OVR_BASE,OVR_TICKERS,$C23),$K23))</f>
        <v/>
      </c>
      <c r="M23" s="52">
        <f>IF($B23="",0,IF((OV_SWITCH="ON")*(COUNTIFS(OVR_TICKERS,$C23,OVR_LOW,"&gt;=0")&gt;0)&gt;0,SUMIFS(OVR_LOW,OVR_TICKERS,$C23),$L23))</f>
        <v/>
      </c>
      <c r="N23" s="52">
        <f>IF($B23="",0,IF((OV_SWITCH="ON")*(COUNTIFS(OVR_TICKERS,$C23,OVR_HIGH,"&gt;=0")&gt;0)&gt;0,SUMIFS(OVR_HIGH,OVR_TICKERS,$C23),$L23))</f>
        <v/>
      </c>
      <c r="O23" s="69">
        <f>IF($B23="","",IFERROR($B23*$G23*$J23/$B$3,""))</f>
        <v/>
      </c>
      <c r="P23" s="69">
        <f>IF($B23="","",IFERROR($B23*$G23*$L23/$B$3,""))</f>
        <v/>
      </c>
      <c r="Q23" s="44">
        <f>IF($B23="","",IFERROR($O23+$P23,""))</f>
        <v/>
      </c>
      <c r="R23" s="69">
        <f>IF($B23="","",IFERROR($O23+$B23*$G23*$M23/$B$3,""))</f>
        <v/>
      </c>
      <c r="S23" s="69">
        <f>IF($B23="","",IFERROR($O23+$B23*$G23*$N23/$B$3,""))</f>
        <v/>
      </c>
      <c r="T23" s="88">
        <f>IF($B23="","",IFERROR($Q23/$Q$5,""))</f>
        <v/>
      </c>
      <c r="U23" s="2">
        <f>IF($B23="","",IF(COUNTIFS('Dvd Calendar'!$E$1743:$AR$1743,"&gt;0",'Dvd Calendar'!$E$1743:$AR$1743,"&lt;="&amp;VAL_DATE,'Dvd Calendar'!$E$1744:$AR$1744,"&gt;"&amp;PROJ_FROM,'Dvd Calendar'!$E$1744:$AR$1744,"&lt;="&amp;DATE(YEAR_Y,12,31))-COUNTIFS('Dvd Calendar'!$E$1743:$AR$1743,"&gt;0",'Dvd Calendar'!$E$1743:$AR$1743,"&lt;="&amp;VAL_DATE,'Dvd Calendar'!$E$1744:$AR$1744,"&gt;"&amp;PROJ_FROM,'Dvd Calendar'!$E$1744:$AR$1744,"&lt;="&amp;DATE(YEAR_Y,12,31),'Dvd Calendar'!$E$1745:$AR$1745,"&gt;=0")&gt;0,"TBA amount - override me",IF((OV_SWITCH="ON")*(COUNTIFS(OVR_TICKERS,$C23,OVR_BASE,"&gt;=0")&gt;0)&gt;0,"overridden",IF($J23+$K23=0,"no dividend in year Y",""))))</f>
        <v/>
      </c>
      <c r="V23" s="69">
        <f>IF($B23="","",IFERROR(IF(ISNUMBER($H23),$B23*$G23*$H23/$B$3,0),""))</f>
        <v/>
      </c>
      <c r="W23" s="69">
        <f>IF($B23="","",IFERROR($B23*$G23*$K23/$B$3,""))</f>
        <v/>
      </c>
      <c r="X23" s="98">
        <f>IF($C23="","",BDP($C23,"PX_LAST"))</f>
        <v/>
      </c>
      <c r="Y23" s="69">
        <f>IF($B23="","",IFERROR($B23*$X23/$B$3,""))</f>
        <v/>
      </c>
      <c r="Z23" s="73">
        <f>IF($B23="","",IFERROR($Y23/$Y$5,""))</f>
        <v/>
      </c>
    </row>
    <row r="24">
      <c r="B24" s="97" t="n"/>
      <c r="C24" s="8">
        <f>IF($A24="","",$A24&amp;" Equity")</f>
        <v/>
      </c>
      <c r="D24" s="8">
        <f>IF($C24="","",BDP($C24,"NAME"))</f>
        <v/>
      </c>
      <c r="E24" s="8">
        <f>IF($C24="","",BDP($C24,"GICS_SECTOR_NAME"))</f>
        <v/>
      </c>
      <c r="F24" s="37">
        <f>IF($C24="","",BDP($C24,FLD_CCY))</f>
        <v/>
      </c>
      <c r="G24" s="12">
        <f>IFERROR(IF(LEN($F24)&lt;&gt;3,1,IF($F24="HKD",1,BDP(IF($F24="CNY",RMB_CROSS,$F24)&amp;"HKD Curncy","PX_LAST"))),1)</f>
        <v/>
      </c>
      <c r="H24" s="69">
        <f>IF($C24="","",BDP($C24,FLD_DPS12M))</f>
        <v/>
      </c>
      <c r="I24" s="50">
        <f>IF($C24="","",BDP($C24,FLD_YLD12M))</f>
        <v/>
      </c>
      <c r="J24" s="52">
        <f>IF($B24="",0,SUMPRODUCT(('Dvd Calendar'!$E$1748:$AR$1748&gt;=DATE(YEAR_Y,1,1))*('Dvd Calendar'!$E$1748:$AR$1748&lt;=REALIZED_TO)*'Dvd Calendar'!$E$1751:$AR$1751*(('Dvd Calendar'!$E$1753:$AR$1753=TYPE1)*(TYPE1&lt;&gt;"")+('Dvd Calendar'!$E$1753:$AR$1753=TYPE2)*(TYPE2&lt;&gt;"")+('Dvd Calendar'!$E$1753:$AR$1753=TYPE3)*(TYPE3&lt;&gt;"")+('Dvd Calendar'!$E$1753:$AR$1753=TYPE4)*(TYPE4&lt;&gt;"")+('Dvd Calendar'!$E$1753:$AR$1753=SPECIAL_LBL)*(INC_SPECIALS="Y"))))</f>
        <v/>
      </c>
      <c r="K24" s="52">
        <f>IF($B24="",0,SUMIFS('Dvd Calendar'!$E$1756:$AR$1756,'Dvd Calendar'!$E$1755:$AR$1755,"&gt;"&amp;PROJ_FROM,'Dvd Calendar'!$E$1755:$AR$1755,"&lt;="&amp;DATE(YEAR_Y,12,31))+SUMPRODUCT(('Dvd Calendar'!$E$1748:$AR$1748&gt;PROJ_FROM)*('Dvd Calendar'!$E$1748:$AR$1748&lt;=DATE(YEAR_Y,12,31))*'Dvd Calendar'!$E$1751:$AR$1751*(('Dvd Calendar'!$E$1753:$AR$1753=TYPE1)*(TYPE1&lt;&gt;"")+('Dvd Calendar'!$E$1753:$AR$1753=TYPE2)*(TYPE2&lt;&gt;"")+('Dvd Calendar'!$E$1753:$AR$1753=TYPE3)*(TYPE3&lt;&gt;"")+('Dvd Calendar'!$E$1753:$AR$1753=TYPE4)*(TYPE4&lt;&gt;"")+('Dvd Calendar'!$E$1753:$AR$1753=SPECIAL_LBL)*(INC_SPECIALS="Y"))*(COUNTIF('Dvd Calendar'!$E$1755:$AR$1755,'Dvd Calendar'!$E$1748:$AR$1748)=0)))</f>
        <v/>
      </c>
      <c r="L24" s="52">
        <f>IF($B24="",0,IF((OV_SWITCH="ON")*(COUNTIFS(OVR_TICKERS,$C24,OVR_BASE,"&gt;=0")&gt;0)&gt;0,SUMIFS(OVR_BASE,OVR_TICKERS,$C24),$K24))</f>
        <v/>
      </c>
      <c r="M24" s="52">
        <f>IF($B24="",0,IF((OV_SWITCH="ON")*(COUNTIFS(OVR_TICKERS,$C24,OVR_LOW,"&gt;=0")&gt;0)&gt;0,SUMIFS(OVR_LOW,OVR_TICKERS,$C24),$L24))</f>
        <v/>
      </c>
      <c r="N24" s="52">
        <f>IF($B24="",0,IF((OV_SWITCH="ON")*(COUNTIFS(OVR_TICKERS,$C24,OVR_HIGH,"&gt;=0")&gt;0)&gt;0,SUMIFS(OVR_HIGH,OVR_TICKERS,$C24),$L24))</f>
        <v/>
      </c>
      <c r="O24" s="69">
        <f>IF($B24="","",IFERROR($B24*$G24*$J24/$B$3,""))</f>
        <v/>
      </c>
      <c r="P24" s="69">
        <f>IF($B24="","",IFERROR($B24*$G24*$L24/$B$3,""))</f>
        <v/>
      </c>
      <c r="Q24" s="44">
        <f>IF($B24="","",IFERROR($O24+$P24,""))</f>
        <v/>
      </c>
      <c r="R24" s="69">
        <f>IF($B24="","",IFERROR($O24+$B24*$G24*$M24/$B$3,""))</f>
        <v/>
      </c>
      <c r="S24" s="69">
        <f>IF($B24="","",IFERROR($O24+$B24*$G24*$N24/$B$3,""))</f>
        <v/>
      </c>
      <c r="T24" s="88">
        <f>IF($B24="","",IFERROR($Q24/$Q$5,""))</f>
        <v/>
      </c>
      <c r="U24" s="2">
        <f>IF($B24="","",IF(COUNTIFS('Dvd Calendar'!$E$1754:$AR$1754,"&gt;0",'Dvd Calendar'!$E$1754:$AR$1754,"&lt;="&amp;VAL_DATE,'Dvd Calendar'!$E$1755:$AR$1755,"&gt;"&amp;PROJ_FROM,'Dvd Calendar'!$E$1755:$AR$1755,"&lt;="&amp;DATE(YEAR_Y,12,31))-COUNTIFS('Dvd Calendar'!$E$1754:$AR$1754,"&gt;0",'Dvd Calendar'!$E$1754:$AR$1754,"&lt;="&amp;VAL_DATE,'Dvd Calendar'!$E$1755:$AR$1755,"&gt;"&amp;PROJ_FROM,'Dvd Calendar'!$E$1755:$AR$1755,"&lt;="&amp;DATE(YEAR_Y,12,31),'Dvd Calendar'!$E$1756:$AR$1756,"&gt;=0")&gt;0,"TBA amount - override me",IF((OV_SWITCH="ON")*(COUNTIFS(OVR_TICKERS,$C24,OVR_BASE,"&gt;=0")&gt;0)&gt;0,"overridden",IF($J24+$K24=0,"no dividend in year Y",""))))</f>
        <v/>
      </c>
      <c r="V24" s="69">
        <f>IF($B24="","",IFERROR(IF(ISNUMBER($H24),$B24*$G24*$H24/$B$3,0),""))</f>
        <v/>
      </c>
      <c r="W24" s="69">
        <f>IF($B24="","",IFERROR($B24*$G24*$K24/$B$3,""))</f>
        <v/>
      </c>
      <c r="X24" s="98">
        <f>IF($C24="","",BDP($C24,"PX_LAST"))</f>
        <v/>
      </c>
      <c r="Y24" s="69">
        <f>IF($B24="","",IFERROR($B24*$X24/$B$3,""))</f>
        <v/>
      </c>
      <c r="Z24" s="73">
        <f>IF($B24="","",IFERROR($Y24/$Y$5,""))</f>
        <v/>
      </c>
    </row>
    <row r="25">
      <c r="B25" s="97" t="n"/>
      <c r="C25" s="8">
        <f>IF($A25="","",$A25&amp;" Equity")</f>
        <v/>
      </c>
      <c r="D25" s="8">
        <f>IF($C25="","",BDP($C25,"NAME"))</f>
        <v/>
      </c>
      <c r="E25" s="8">
        <f>IF($C25="","",BDP($C25,"GICS_SECTOR_NAME"))</f>
        <v/>
      </c>
      <c r="F25" s="37">
        <f>IF($C25="","",BDP($C25,FLD_CCY))</f>
        <v/>
      </c>
      <c r="G25" s="12">
        <f>IFERROR(IF(LEN($F25)&lt;&gt;3,1,IF($F25="HKD",1,BDP(IF($F25="CNY",RMB_CROSS,$F25)&amp;"HKD Curncy","PX_LAST"))),1)</f>
        <v/>
      </c>
      <c r="H25" s="69">
        <f>IF($C25="","",BDP($C25,FLD_DPS12M))</f>
        <v/>
      </c>
      <c r="I25" s="50">
        <f>IF($C25="","",BDP($C25,FLD_YLD12M))</f>
        <v/>
      </c>
      <c r="J25" s="52">
        <f>IF($B25="",0,SUMPRODUCT(('Dvd Calendar'!$E$1759:$AR$1759&gt;=DATE(YEAR_Y,1,1))*('Dvd Calendar'!$E$1759:$AR$1759&lt;=REALIZED_TO)*'Dvd Calendar'!$E$1762:$AR$1762*(('Dvd Calendar'!$E$1764:$AR$1764=TYPE1)*(TYPE1&lt;&gt;"")+('Dvd Calendar'!$E$1764:$AR$1764=TYPE2)*(TYPE2&lt;&gt;"")+('Dvd Calendar'!$E$1764:$AR$1764=TYPE3)*(TYPE3&lt;&gt;"")+('Dvd Calendar'!$E$1764:$AR$1764=TYPE4)*(TYPE4&lt;&gt;"")+('Dvd Calendar'!$E$1764:$AR$1764=SPECIAL_LBL)*(INC_SPECIALS="Y"))))</f>
        <v/>
      </c>
      <c r="K25" s="52">
        <f>IF($B25="",0,SUMIFS('Dvd Calendar'!$E$1767:$AR$1767,'Dvd Calendar'!$E$1766:$AR$1766,"&gt;"&amp;PROJ_FROM,'Dvd Calendar'!$E$1766:$AR$1766,"&lt;="&amp;DATE(YEAR_Y,12,31))+SUMPRODUCT(('Dvd Calendar'!$E$1759:$AR$1759&gt;PROJ_FROM)*('Dvd Calendar'!$E$1759:$AR$1759&lt;=DATE(YEAR_Y,12,31))*'Dvd Calendar'!$E$1762:$AR$1762*(('Dvd Calendar'!$E$1764:$AR$1764=TYPE1)*(TYPE1&lt;&gt;"")+('Dvd Calendar'!$E$1764:$AR$1764=TYPE2)*(TYPE2&lt;&gt;"")+('Dvd Calendar'!$E$1764:$AR$1764=TYPE3)*(TYPE3&lt;&gt;"")+('Dvd Calendar'!$E$1764:$AR$1764=TYPE4)*(TYPE4&lt;&gt;"")+('Dvd Calendar'!$E$1764:$AR$1764=SPECIAL_LBL)*(INC_SPECIALS="Y"))*(COUNTIF('Dvd Calendar'!$E$1766:$AR$1766,'Dvd Calendar'!$E$1759:$AR$1759)=0)))</f>
        <v/>
      </c>
      <c r="L25" s="52">
        <f>IF($B25="",0,IF((OV_SWITCH="ON")*(COUNTIFS(OVR_TICKERS,$C25,OVR_BASE,"&gt;=0")&gt;0)&gt;0,SUMIFS(OVR_BASE,OVR_TICKERS,$C25),$K25))</f>
        <v/>
      </c>
      <c r="M25" s="52">
        <f>IF($B25="",0,IF((OV_SWITCH="ON")*(COUNTIFS(OVR_TICKERS,$C25,OVR_LOW,"&gt;=0")&gt;0)&gt;0,SUMIFS(OVR_LOW,OVR_TICKERS,$C25),$L25))</f>
        <v/>
      </c>
      <c r="N25" s="52">
        <f>IF($B25="",0,IF((OV_SWITCH="ON")*(COUNTIFS(OVR_TICKERS,$C25,OVR_HIGH,"&gt;=0")&gt;0)&gt;0,SUMIFS(OVR_HIGH,OVR_TICKERS,$C25),$L25))</f>
        <v/>
      </c>
      <c r="O25" s="69">
        <f>IF($B25="","",IFERROR($B25*$G25*$J25/$B$3,""))</f>
        <v/>
      </c>
      <c r="P25" s="69">
        <f>IF($B25="","",IFERROR($B25*$G25*$L25/$B$3,""))</f>
        <v/>
      </c>
      <c r="Q25" s="44">
        <f>IF($B25="","",IFERROR($O25+$P25,""))</f>
        <v/>
      </c>
      <c r="R25" s="69">
        <f>IF($B25="","",IFERROR($O25+$B25*$G25*$M25/$B$3,""))</f>
        <v/>
      </c>
      <c r="S25" s="69">
        <f>IF($B25="","",IFERROR($O25+$B25*$G25*$N25/$B$3,""))</f>
        <v/>
      </c>
      <c r="T25" s="88">
        <f>IF($B25="","",IFERROR($Q25/$Q$5,""))</f>
        <v/>
      </c>
      <c r="U25" s="2">
        <f>IF($B25="","",IF(COUNTIFS('Dvd Calendar'!$E$1765:$AR$1765,"&gt;0",'Dvd Calendar'!$E$1765:$AR$1765,"&lt;="&amp;VAL_DATE,'Dvd Calendar'!$E$1766:$AR$1766,"&gt;"&amp;PROJ_FROM,'Dvd Calendar'!$E$1766:$AR$1766,"&lt;="&amp;DATE(YEAR_Y,12,31))-COUNTIFS('Dvd Calendar'!$E$1765:$AR$1765,"&gt;0",'Dvd Calendar'!$E$1765:$AR$1765,"&lt;="&amp;VAL_DATE,'Dvd Calendar'!$E$1766:$AR$1766,"&gt;"&amp;PROJ_FROM,'Dvd Calendar'!$E$1766:$AR$1766,"&lt;="&amp;DATE(YEAR_Y,12,31),'Dvd Calendar'!$E$1767:$AR$1767,"&gt;=0")&gt;0,"TBA amount - override me",IF((OV_SWITCH="ON")*(COUNTIFS(OVR_TICKERS,$C25,OVR_BASE,"&gt;=0")&gt;0)&gt;0,"overridden",IF($J25+$K25=0,"no dividend in year Y",""))))</f>
        <v/>
      </c>
      <c r="V25" s="69">
        <f>IF($B25="","",IFERROR(IF(ISNUMBER($H25),$B25*$G25*$H25/$B$3,0),""))</f>
        <v/>
      </c>
      <c r="W25" s="69">
        <f>IF($B25="","",IFERROR($B25*$G25*$K25/$B$3,""))</f>
        <v/>
      </c>
      <c r="X25" s="98">
        <f>IF($C25="","",BDP($C25,"PX_LAST"))</f>
        <v/>
      </c>
      <c r="Y25" s="69">
        <f>IF($B25="","",IFERROR($B25*$X25/$B$3,""))</f>
        <v/>
      </c>
      <c r="Z25" s="73">
        <f>IF($B25="","",IFERROR($Y25/$Y$5,""))</f>
        <v/>
      </c>
    </row>
    <row r="26">
      <c r="B26" s="97" t="n"/>
      <c r="C26" s="8">
        <f>IF($A26="","",$A26&amp;" Equity")</f>
        <v/>
      </c>
      <c r="D26" s="8">
        <f>IF($C26="","",BDP($C26,"NAME"))</f>
        <v/>
      </c>
      <c r="E26" s="8">
        <f>IF($C26="","",BDP($C26,"GICS_SECTOR_NAME"))</f>
        <v/>
      </c>
      <c r="F26" s="37">
        <f>IF($C26="","",BDP($C26,FLD_CCY))</f>
        <v/>
      </c>
      <c r="G26" s="12">
        <f>IFERROR(IF(LEN($F26)&lt;&gt;3,1,IF($F26="HKD",1,BDP(IF($F26="CNY",RMB_CROSS,$F26)&amp;"HKD Curncy","PX_LAST"))),1)</f>
        <v/>
      </c>
      <c r="H26" s="69">
        <f>IF($C26="","",BDP($C26,FLD_DPS12M))</f>
        <v/>
      </c>
      <c r="I26" s="50">
        <f>IF($C26="","",BDP($C26,FLD_YLD12M))</f>
        <v/>
      </c>
      <c r="J26" s="52">
        <f>IF($B26="",0,SUMPRODUCT(('Dvd Calendar'!$E$1770:$AR$1770&gt;=DATE(YEAR_Y,1,1))*('Dvd Calendar'!$E$1770:$AR$1770&lt;=REALIZED_TO)*'Dvd Calendar'!$E$1773:$AR$1773*(('Dvd Calendar'!$E$1775:$AR$1775=TYPE1)*(TYPE1&lt;&gt;"")+('Dvd Calendar'!$E$1775:$AR$1775=TYPE2)*(TYPE2&lt;&gt;"")+('Dvd Calendar'!$E$1775:$AR$1775=TYPE3)*(TYPE3&lt;&gt;"")+('Dvd Calendar'!$E$1775:$AR$1775=TYPE4)*(TYPE4&lt;&gt;"")+('Dvd Calendar'!$E$1775:$AR$1775=SPECIAL_LBL)*(INC_SPECIALS="Y"))))</f>
        <v/>
      </c>
      <c r="K26" s="52">
        <f>IF($B26="",0,SUMIFS('Dvd Calendar'!$E$1778:$AR$1778,'Dvd Calendar'!$E$1777:$AR$1777,"&gt;"&amp;PROJ_FROM,'Dvd Calendar'!$E$1777:$AR$1777,"&lt;="&amp;DATE(YEAR_Y,12,31))+SUMPRODUCT(('Dvd Calendar'!$E$1770:$AR$1770&gt;PROJ_FROM)*('Dvd Calendar'!$E$1770:$AR$1770&lt;=DATE(YEAR_Y,12,31))*'Dvd Calendar'!$E$1773:$AR$1773*(('Dvd Calendar'!$E$1775:$AR$1775=TYPE1)*(TYPE1&lt;&gt;"")+('Dvd Calendar'!$E$1775:$AR$1775=TYPE2)*(TYPE2&lt;&gt;"")+('Dvd Calendar'!$E$1775:$AR$1775=TYPE3)*(TYPE3&lt;&gt;"")+('Dvd Calendar'!$E$1775:$AR$1775=TYPE4)*(TYPE4&lt;&gt;"")+('Dvd Calendar'!$E$1775:$AR$1775=SPECIAL_LBL)*(INC_SPECIALS="Y"))*(COUNTIF('Dvd Calendar'!$E$1777:$AR$1777,'Dvd Calendar'!$E$1770:$AR$1770)=0)))</f>
        <v/>
      </c>
      <c r="L26" s="52">
        <f>IF($B26="",0,IF((OV_SWITCH="ON")*(COUNTIFS(OVR_TICKERS,$C26,OVR_BASE,"&gt;=0")&gt;0)&gt;0,SUMIFS(OVR_BASE,OVR_TICKERS,$C26),$K26))</f>
        <v/>
      </c>
      <c r="M26" s="52">
        <f>IF($B26="",0,IF((OV_SWITCH="ON")*(COUNTIFS(OVR_TICKERS,$C26,OVR_LOW,"&gt;=0")&gt;0)&gt;0,SUMIFS(OVR_LOW,OVR_TICKERS,$C26),$L26))</f>
        <v/>
      </c>
      <c r="N26" s="52">
        <f>IF($B26="",0,IF((OV_SWITCH="ON")*(COUNTIFS(OVR_TICKERS,$C26,OVR_HIGH,"&gt;=0")&gt;0)&gt;0,SUMIFS(OVR_HIGH,OVR_TICKERS,$C26),$L26))</f>
        <v/>
      </c>
      <c r="O26" s="69">
        <f>IF($B26="","",IFERROR($B26*$G26*$J26/$B$3,""))</f>
        <v/>
      </c>
      <c r="P26" s="69">
        <f>IF($B26="","",IFERROR($B26*$G26*$L26/$B$3,""))</f>
        <v/>
      </c>
      <c r="Q26" s="44">
        <f>IF($B26="","",IFERROR($O26+$P26,""))</f>
        <v/>
      </c>
      <c r="R26" s="69">
        <f>IF($B26="","",IFERROR($O26+$B26*$G26*$M26/$B$3,""))</f>
        <v/>
      </c>
      <c r="S26" s="69">
        <f>IF($B26="","",IFERROR($O26+$B26*$G26*$N26/$B$3,""))</f>
        <v/>
      </c>
      <c r="T26" s="88">
        <f>IF($B26="","",IFERROR($Q26/$Q$5,""))</f>
        <v/>
      </c>
      <c r="U26" s="2">
        <f>IF($B26="","",IF(COUNTIFS('Dvd Calendar'!$E$1776:$AR$1776,"&gt;0",'Dvd Calendar'!$E$1776:$AR$1776,"&lt;="&amp;VAL_DATE,'Dvd Calendar'!$E$1777:$AR$1777,"&gt;"&amp;PROJ_FROM,'Dvd Calendar'!$E$1777:$AR$1777,"&lt;="&amp;DATE(YEAR_Y,12,31))-COUNTIFS('Dvd Calendar'!$E$1776:$AR$1776,"&gt;0",'Dvd Calendar'!$E$1776:$AR$1776,"&lt;="&amp;VAL_DATE,'Dvd Calendar'!$E$1777:$AR$1777,"&gt;"&amp;PROJ_FROM,'Dvd Calendar'!$E$1777:$AR$1777,"&lt;="&amp;DATE(YEAR_Y,12,31),'Dvd Calendar'!$E$1778:$AR$1778,"&gt;=0")&gt;0,"TBA amount - override me",IF((OV_SWITCH="ON")*(COUNTIFS(OVR_TICKERS,$C26,OVR_BASE,"&gt;=0")&gt;0)&gt;0,"overridden",IF($J26+$K26=0,"no dividend in year Y",""))))</f>
        <v/>
      </c>
      <c r="V26" s="69">
        <f>IF($B26="","",IFERROR(IF(ISNUMBER($H26),$B26*$G26*$H26/$B$3,0),""))</f>
        <v/>
      </c>
      <c r="W26" s="69">
        <f>IF($B26="","",IFERROR($B26*$G26*$K26/$B$3,""))</f>
        <v/>
      </c>
      <c r="X26" s="98">
        <f>IF($C26="","",BDP($C26,"PX_LAST"))</f>
        <v/>
      </c>
      <c r="Y26" s="69">
        <f>IF($B26="","",IFERROR($B26*$X26/$B$3,""))</f>
        <v/>
      </c>
      <c r="Z26" s="73">
        <f>IF($B26="","",IFERROR($Y26/$Y$5,""))</f>
        <v/>
      </c>
    </row>
    <row r="27">
      <c r="B27" s="97" t="n"/>
      <c r="C27" s="8">
        <f>IF($A27="","",$A27&amp;" Equity")</f>
        <v/>
      </c>
      <c r="D27" s="8">
        <f>IF($C27="","",BDP($C27,"NAME"))</f>
        <v/>
      </c>
      <c r="E27" s="8">
        <f>IF($C27="","",BDP($C27,"GICS_SECTOR_NAME"))</f>
        <v/>
      </c>
      <c r="F27" s="37">
        <f>IF($C27="","",BDP($C27,FLD_CCY))</f>
        <v/>
      </c>
      <c r="G27" s="12">
        <f>IFERROR(IF(LEN($F27)&lt;&gt;3,1,IF($F27="HKD",1,BDP(IF($F27="CNY",RMB_CROSS,$F27)&amp;"HKD Curncy","PX_LAST"))),1)</f>
        <v/>
      </c>
      <c r="H27" s="69">
        <f>IF($C27="","",BDP($C27,FLD_DPS12M))</f>
        <v/>
      </c>
      <c r="I27" s="50">
        <f>IF($C27="","",BDP($C27,FLD_YLD12M))</f>
        <v/>
      </c>
      <c r="J27" s="52">
        <f>IF($B27="",0,SUMPRODUCT(('Dvd Calendar'!$E$1781:$AR$1781&gt;=DATE(YEAR_Y,1,1))*('Dvd Calendar'!$E$1781:$AR$1781&lt;=REALIZED_TO)*'Dvd Calendar'!$E$1784:$AR$1784*(('Dvd Calendar'!$E$1786:$AR$1786=TYPE1)*(TYPE1&lt;&gt;"")+('Dvd Calendar'!$E$1786:$AR$1786=TYPE2)*(TYPE2&lt;&gt;"")+('Dvd Calendar'!$E$1786:$AR$1786=TYPE3)*(TYPE3&lt;&gt;"")+('Dvd Calendar'!$E$1786:$AR$1786=TYPE4)*(TYPE4&lt;&gt;"")+('Dvd Calendar'!$E$1786:$AR$1786=SPECIAL_LBL)*(INC_SPECIALS="Y"))))</f>
        <v/>
      </c>
      <c r="K27" s="52">
        <f>IF($B27="",0,SUMIFS('Dvd Calendar'!$E$1789:$AR$1789,'Dvd Calendar'!$E$1788:$AR$1788,"&gt;"&amp;PROJ_FROM,'Dvd Calendar'!$E$1788:$AR$1788,"&lt;="&amp;DATE(YEAR_Y,12,31))+SUMPRODUCT(('Dvd Calendar'!$E$1781:$AR$1781&gt;PROJ_FROM)*('Dvd Calendar'!$E$1781:$AR$1781&lt;=DATE(YEAR_Y,12,31))*'Dvd Calendar'!$E$1784:$AR$1784*(('Dvd Calendar'!$E$1786:$AR$1786=TYPE1)*(TYPE1&lt;&gt;"")+('Dvd Calendar'!$E$1786:$AR$1786=TYPE2)*(TYPE2&lt;&gt;"")+('Dvd Calendar'!$E$1786:$AR$1786=TYPE3)*(TYPE3&lt;&gt;"")+('Dvd Calendar'!$E$1786:$AR$1786=TYPE4)*(TYPE4&lt;&gt;"")+('Dvd Calendar'!$E$1786:$AR$1786=SPECIAL_LBL)*(INC_SPECIALS="Y"))*(COUNTIF('Dvd Calendar'!$E$1788:$AR$1788,'Dvd Calendar'!$E$1781:$AR$1781)=0)))</f>
        <v/>
      </c>
      <c r="L27" s="52">
        <f>IF($B27="",0,IF((OV_SWITCH="ON")*(COUNTIFS(OVR_TICKERS,$C27,OVR_BASE,"&gt;=0")&gt;0)&gt;0,SUMIFS(OVR_BASE,OVR_TICKERS,$C27),$K27))</f>
        <v/>
      </c>
      <c r="M27" s="52">
        <f>IF($B27="",0,IF((OV_SWITCH="ON")*(COUNTIFS(OVR_TICKERS,$C27,OVR_LOW,"&gt;=0")&gt;0)&gt;0,SUMIFS(OVR_LOW,OVR_TICKERS,$C27),$L27))</f>
        <v/>
      </c>
      <c r="N27" s="52">
        <f>IF($B27="",0,IF((OV_SWITCH="ON")*(COUNTIFS(OVR_TICKERS,$C27,OVR_HIGH,"&gt;=0")&gt;0)&gt;0,SUMIFS(OVR_HIGH,OVR_TICKERS,$C27),$L27))</f>
        <v/>
      </c>
      <c r="O27" s="69">
        <f>IF($B27="","",IFERROR($B27*$G27*$J27/$B$3,""))</f>
        <v/>
      </c>
      <c r="P27" s="69">
        <f>IF($B27="","",IFERROR($B27*$G27*$L27/$B$3,""))</f>
        <v/>
      </c>
      <c r="Q27" s="44">
        <f>IF($B27="","",IFERROR($O27+$P27,""))</f>
        <v/>
      </c>
      <c r="R27" s="69">
        <f>IF($B27="","",IFERROR($O27+$B27*$G27*$M27/$B$3,""))</f>
        <v/>
      </c>
      <c r="S27" s="69">
        <f>IF($B27="","",IFERROR($O27+$B27*$G27*$N27/$B$3,""))</f>
        <v/>
      </c>
      <c r="T27" s="88">
        <f>IF($B27="","",IFERROR($Q27/$Q$5,""))</f>
        <v/>
      </c>
      <c r="U27" s="2">
        <f>IF($B27="","",IF(COUNTIFS('Dvd Calendar'!$E$1787:$AR$1787,"&gt;0",'Dvd Calendar'!$E$1787:$AR$1787,"&lt;="&amp;VAL_DATE,'Dvd Calendar'!$E$1788:$AR$1788,"&gt;"&amp;PROJ_FROM,'Dvd Calendar'!$E$1788:$AR$1788,"&lt;="&amp;DATE(YEAR_Y,12,31))-COUNTIFS('Dvd Calendar'!$E$1787:$AR$1787,"&gt;0",'Dvd Calendar'!$E$1787:$AR$1787,"&lt;="&amp;VAL_DATE,'Dvd Calendar'!$E$1788:$AR$1788,"&gt;"&amp;PROJ_FROM,'Dvd Calendar'!$E$1788:$AR$1788,"&lt;="&amp;DATE(YEAR_Y,12,31),'Dvd Calendar'!$E$1789:$AR$1789,"&gt;=0")&gt;0,"TBA amount - override me",IF((OV_SWITCH="ON")*(COUNTIFS(OVR_TICKERS,$C27,OVR_BASE,"&gt;=0")&gt;0)&gt;0,"overridden",IF($J27+$K27=0,"no dividend in year Y",""))))</f>
        <v/>
      </c>
      <c r="V27" s="69">
        <f>IF($B27="","",IFERROR(IF(ISNUMBER($H27),$B27*$G27*$H27/$B$3,0),""))</f>
        <v/>
      </c>
      <c r="W27" s="69">
        <f>IF($B27="","",IFERROR($B27*$G27*$K27/$B$3,""))</f>
        <v/>
      </c>
      <c r="X27" s="98">
        <f>IF($C27="","",BDP($C27,"PX_LAST"))</f>
        <v/>
      </c>
      <c r="Y27" s="69">
        <f>IF($B27="","",IFERROR($B27*$X27/$B$3,""))</f>
        <v/>
      </c>
      <c r="Z27" s="73">
        <f>IF($B27="","",IFERROR($Y27/$Y$5,""))</f>
        <v/>
      </c>
    </row>
    <row r="28">
      <c r="B28" s="97" t="n"/>
      <c r="C28" s="8">
        <f>IF($A28="","",$A28&amp;" Equity")</f>
        <v/>
      </c>
      <c r="D28" s="8">
        <f>IF($C28="","",BDP($C28,"NAME"))</f>
        <v/>
      </c>
      <c r="E28" s="8">
        <f>IF($C28="","",BDP($C28,"GICS_SECTOR_NAME"))</f>
        <v/>
      </c>
      <c r="F28" s="37">
        <f>IF($C28="","",BDP($C28,FLD_CCY))</f>
        <v/>
      </c>
      <c r="G28" s="12">
        <f>IFERROR(IF(LEN($F28)&lt;&gt;3,1,IF($F28="HKD",1,BDP(IF($F28="CNY",RMB_CROSS,$F28)&amp;"HKD Curncy","PX_LAST"))),1)</f>
        <v/>
      </c>
      <c r="H28" s="69">
        <f>IF($C28="","",BDP($C28,FLD_DPS12M))</f>
        <v/>
      </c>
      <c r="I28" s="50">
        <f>IF($C28="","",BDP($C28,FLD_YLD12M))</f>
        <v/>
      </c>
      <c r="J28" s="52">
        <f>IF($B28="",0,SUMPRODUCT(('Dvd Calendar'!$E$1792:$AR$1792&gt;=DATE(YEAR_Y,1,1))*('Dvd Calendar'!$E$1792:$AR$1792&lt;=REALIZED_TO)*'Dvd Calendar'!$E$1795:$AR$1795*(('Dvd Calendar'!$E$1797:$AR$1797=TYPE1)*(TYPE1&lt;&gt;"")+('Dvd Calendar'!$E$1797:$AR$1797=TYPE2)*(TYPE2&lt;&gt;"")+('Dvd Calendar'!$E$1797:$AR$1797=TYPE3)*(TYPE3&lt;&gt;"")+('Dvd Calendar'!$E$1797:$AR$1797=TYPE4)*(TYPE4&lt;&gt;"")+('Dvd Calendar'!$E$1797:$AR$1797=SPECIAL_LBL)*(INC_SPECIALS="Y"))))</f>
        <v/>
      </c>
      <c r="K28" s="52">
        <f>IF($B28="",0,SUMIFS('Dvd Calendar'!$E$1800:$AR$1800,'Dvd Calendar'!$E$1799:$AR$1799,"&gt;"&amp;PROJ_FROM,'Dvd Calendar'!$E$1799:$AR$1799,"&lt;="&amp;DATE(YEAR_Y,12,31))+SUMPRODUCT(('Dvd Calendar'!$E$1792:$AR$1792&gt;PROJ_FROM)*('Dvd Calendar'!$E$1792:$AR$1792&lt;=DATE(YEAR_Y,12,31))*'Dvd Calendar'!$E$1795:$AR$1795*(('Dvd Calendar'!$E$1797:$AR$1797=TYPE1)*(TYPE1&lt;&gt;"")+('Dvd Calendar'!$E$1797:$AR$1797=TYPE2)*(TYPE2&lt;&gt;"")+('Dvd Calendar'!$E$1797:$AR$1797=TYPE3)*(TYPE3&lt;&gt;"")+('Dvd Calendar'!$E$1797:$AR$1797=TYPE4)*(TYPE4&lt;&gt;"")+('Dvd Calendar'!$E$1797:$AR$1797=SPECIAL_LBL)*(INC_SPECIALS="Y"))*(COUNTIF('Dvd Calendar'!$E$1799:$AR$1799,'Dvd Calendar'!$E$1792:$AR$1792)=0)))</f>
        <v/>
      </c>
      <c r="L28" s="52">
        <f>IF($B28="",0,IF((OV_SWITCH="ON")*(COUNTIFS(OVR_TICKERS,$C28,OVR_BASE,"&gt;=0")&gt;0)&gt;0,SUMIFS(OVR_BASE,OVR_TICKERS,$C28),$K28))</f>
        <v/>
      </c>
      <c r="M28" s="52">
        <f>IF($B28="",0,IF((OV_SWITCH="ON")*(COUNTIFS(OVR_TICKERS,$C28,OVR_LOW,"&gt;=0")&gt;0)&gt;0,SUMIFS(OVR_LOW,OVR_TICKERS,$C28),$L28))</f>
        <v/>
      </c>
      <c r="N28" s="52">
        <f>IF($B28="",0,IF((OV_SWITCH="ON")*(COUNTIFS(OVR_TICKERS,$C28,OVR_HIGH,"&gt;=0")&gt;0)&gt;0,SUMIFS(OVR_HIGH,OVR_TICKERS,$C28),$L28))</f>
        <v/>
      </c>
      <c r="O28" s="69">
        <f>IF($B28="","",IFERROR($B28*$G28*$J28/$B$3,""))</f>
        <v/>
      </c>
      <c r="P28" s="69">
        <f>IF($B28="","",IFERROR($B28*$G28*$L28/$B$3,""))</f>
        <v/>
      </c>
      <c r="Q28" s="44">
        <f>IF($B28="","",IFERROR($O28+$P28,""))</f>
        <v/>
      </c>
      <c r="R28" s="69">
        <f>IF($B28="","",IFERROR($O28+$B28*$G28*$M28/$B$3,""))</f>
        <v/>
      </c>
      <c r="S28" s="69">
        <f>IF($B28="","",IFERROR($O28+$B28*$G28*$N28/$B$3,""))</f>
        <v/>
      </c>
      <c r="T28" s="88">
        <f>IF($B28="","",IFERROR($Q28/$Q$5,""))</f>
        <v/>
      </c>
      <c r="U28" s="2">
        <f>IF($B28="","",IF(COUNTIFS('Dvd Calendar'!$E$1798:$AR$1798,"&gt;0",'Dvd Calendar'!$E$1798:$AR$1798,"&lt;="&amp;VAL_DATE,'Dvd Calendar'!$E$1799:$AR$1799,"&gt;"&amp;PROJ_FROM,'Dvd Calendar'!$E$1799:$AR$1799,"&lt;="&amp;DATE(YEAR_Y,12,31))-COUNTIFS('Dvd Calendar'!$E$1798:$AR$1798,"&gt;0",'Dvd Calendar'!$E$1798:$AR$1798,"&lt;="&amp;VAL_DATE,'Dvd Calendar'!$E$1799:$AR$1799,"&gt;"&amp;PROJ_FROM,'Dvd Calendar'!$E$1799:$AR$1799,"&lt;="&amp;DATE(YEAR_Y,12,31),'Dvd Calendar'!$E$1800:$AR$1800,"&gt;=0")&gt;0,"TBA amount - override me",IF((OV_SWITCH="ON")*(COUNTIFS(OVR_TICKERS,$C28,OVR_BASE,"&gt;=0")&gt;0)&gt;0,"overridden",IF($J28+$K28=0,"no dividend in year Y",""))))</f>
        <v/>
      </c>
      <c r="V28" s="69">
        <f>IF($B28="","",IFERROR(IF(ISNUMBER($H28),$B28*$G28*$H28/$B$3,0),""))</f>
        <v/>
      </c>
      <c r="W28" s="69">
        <f>IF($B28="","",IFERROR($B28*$G28*$K28/$B$3,""))</f>
        <v/>
      </c>
      <c r="X28" s="98">
        <f>IF($C28="","",BDP($C28,"PX_LAST"))</f>
        <v/>
      </c>
      <c r="Y28" s="69">
        <f>IF($B28="","",IFERROR($B28*$X28/$B$3,""))</f>
        <v/>
      </c>
      <c r="Z28" s="73">
        <f>IF($B28="","",IFERROR($Y28/$Y$5,""))</f>
        <v/>
      </c>
    </row>
    <row r="29">
      <c r="B29" s="97" t="n"/>
      <c r="C29" s="8">
        <f>IF($A29="","",$A29&amp;" Equity")</f>
        <v/>
      </c>
      <c r="D29" s="8">
        <f>IF($C29="","",BDP($C29,"NAME"))</f>
        <v/>
      </c>
      <c r="E29" s="8">
        <f>IF($C29="","",BDP($C29,"GICS_SECTOR_NAME"))</f>
        <v/>
      </c>
      <c r="F29" s="37">
        <f>IF($C29="","",BDP($C29,FLD_CCY))</f>
        <v/>
      </c>
      <c r="G29" s="12">
        <f>IFERROR(IF(LEN($F29)&lt;&gt;3,1,IF($F29="HKD",1,BDP(IF($F29="CNY",RMB_CROSS,$F29)&amp;"HKD Curncy","PX_LAST"))),1)</f>
        <v/>
      </c>
      <c r="H29" s="69">
        <f>IF($C29="","",BDP($C29,FLD_DPS12M))</f>
        <v/>
      </c>
      <c r="I29" s="50">
        <f>IF($C29="","",BDP($C29,FLD_YLD12M))</f>
        <v/>
      </c>
      <c r="J29" s="52">
        <f>IF($B29="",0,SUMPRODUCT(('Dvd Calendar'!$E$1803:$AR$1803&gt;=DATE(YEAR_Y,1,1))*('Dvd Calendar'!$E$1803:$AR$1803&lt;=REALIZED_TO)*'Dvd Calendar'!$E$1806:$AR$1806*(('Dvd Calendar'!$E$1808:$AR$1808=TYPE1)*(TYPE1&lt;&gt;"")+('Dvd Calendar'!$E$1808:$AR$1808=TYPE2)*(TYPE2&lt;&gt;"")+('Dvd Calendar'!$E$1808:$AR$1808=TYPE3)*(TYPE3&lt;&gt;"")+('Dvd Calendar'!$E$1808:$AR$1808=TYPE4)*(TYPE4&lt;&gt;"")+('Dvd Calendar'!$E$1808:$AR$1808=SPECIAL_LBL)*(INC_SPECIALS="Y"))))</f>
        <v/>
      </c>
      <c r="K29" s="52">
        <f>IF($B29="",0,SUMIFS('Dvd Calendar'!$E$1811:$AR$1811,'Dvd Calendar'!$E$1810:$AR$1810,"&gt;"&amp;PROJ_FROM,'Dvd Calendar'!$E$1810:$AR$1810,"&lt;="&amp;DATE(YEAR_Y,12,31))+SUMPRODUCT(('Dvd Calendar'!$E$1803:$AR$1803&gt;PROJ_FROM)*('Dvd Calendar'!$E$1803:$AR$1803&lt;=DATE(YEAR_Y,12,31))*'Dvd Calendar'!$E$1806:$AR$1806*(('Dvd Calendar'!$E$1808:$AR$1808=TYPE1)*(TYPE1&lt;&gt;"")+('Dvd Calendar'!$E$1808:$AR$1808=TYPE2)*(TYPE2&lt;&gt;"")+('Dvd Calendar'!$E$1808:$AR$1808=TYPE3)*(TYPE3&lt;&gt;"")+('Dvd Calendar'!$E$1808:$AR$1808=TYPE4)*(TYPE4&lt;&gt;"")+('Dvd Calendar'!$E$1808:$AR$1808=SPECIAL_LBL)*(INC_SPECIALS="Y"))*(COUNTIF('Dvd Calendar'!$E$1810:$AR$1810,'Dvd Calendar'!$E$1803:$AR$1803)=0)))</f>
        <v/>
      </c>
      <c r="L29" s="52">
        <f>IF($B29="",0,IF((OV_SWITCH="ON")*(COUNTIFS(OVR_TICKERS,$C29,OVR_BASE,"&gt;=0")&gt;0)&gt;0,SUMIFS(OVR_BASE,OVR_TICKERS,$C29),$K29))</f>
        <v/>
      </c>
      <c r="M29" s="52">
        <f>IF($B29="",0,IF((OV_SWITCH="ON")*(COUNTIFS(OVR_TICKERS,$C29,OVR_LOW,"&gt;=0")&gt;0)&gt;0,SUMIFS(OVR_LOW,OVR_TICKERS,$C29),$L29))</f>
        <v/>
      </c>
      <c r="N29" s="52">
        <f>IF($B29="",0,IF((OV_SWITCH="ON")*(COUNTIFS(OVR_TICKERS,$C29,OVR_HIGH,"&gt;=0")&gt;0)&gt;0,SUMIFS(OVR_HIGH,OVR_TICKERS,$C29),$L29))</f>
        <v/>
      </c>
      <c r="O29" s="69">
        <f>IF($B29="","",IFERROR($B29*$G29*$J29/$B$3,""))</f>
        <v/>
      </c>
      <c r="P29" s="69">
        <f>IF($B29="","",IFERROR($B29*$G29*$L29/$B$3,""))</f>
        <v/>
      </c>
      <c r="Q29" s="44">
        <f>IF($B29="","",IFERROR($O29+$P29,""))</f>
        <v/>
      </c>
      <c r="R29" s="69">
        <f>IF($B29="","",IFERROR($O29+$B29*$G29*$M29/$B$3,""))</f>
        <v/>
      </c>
      <c r="S29" s="69">
        <f>IF($B29="","",IFERROR($O29+$B29*$G29*$N29/$B$3,""))</f>
        <v/>
      </c>
      <c r="T29" s="88">
        <f>IF($B29="","",IFERROR($Q29/$Q$5,""))</f>
        <v/>
      </c>
      <c r="U29" s="2">
        <f>IF($B29="","",IF(COUNTIFS('Dvd Calendar'!$E$1809:$AR$1809,"&gt;0",'Dvd Calendar'!$E$1809:$AR$1809,"&lt;="&amp;VAL_DATE,'Dvd Calendar'!$E$1810:$AR$1810,"&gt;"&amp;PROJ_FROM,'Dvd Calendar'!$E$1810:$AR$1810,"&lt;="&amp;DATE(YEAR_Y,12,31))-COUNTIFS('Dvd Calendar'!$E$1809:$AR$1809,"&gt;0",'Dvd Calendar'!$E$1809:$AR$1809,"&lt;="&amp;VAL_DATE,'Dvd Calendar'!$E$1810:$AR$1810,"&gt;"&amp;PROJ_FROM,'Dvd Calendar'!$E$1810:$AR$1810,"&lt;="&amp;DATE(YEAR_Y,12,31),'Dvd Calendar'!$E$1811:$AR$1811,"&gt;=0")&gt;0,"TBA amount - override me",IF((OV_SWITCH="ON")*(COUNTIFS(OVR_TICKERS,$C29,OVR_BASE,"&gt;=0")&gt;0)&gt;0,"overridden",IF($J29+$K29=0,"no dividend in year Y",""))))</f>
        <v/>
      </c>
      <c r="V29" s="69">
        <f>IF($B29="","",IFERROR(IF(ISNUMBER($H29),$B29*$G29*$H29/$B$3,0),""))</f>
        <v/>
      </c>
      <c r="W29" s="69">
        <f>IF($B29="","",IFERROR($B29*$G29*$K29/$B$3,""))</f>
        <v/>
      </c>
      <c r="X29" s="98">
        <f>IF($C29="","",BDP($C29,"PX_LAST"))</f>
        <v/>
      </c>
      <c r="Y29" s="69">
        <f>IF($B29="","",IFERROR($B29*$X29/$B$3,""))</f>
        <v/>
      </c>
      <c r="Z29" s="73">
        <f>IF($B29="","",IFERROR($Y29/$Y$5,""))</f>
        <v/>
      </c>
    </row>
    <row r="30">
      <c r="B30" s="97" t="n"/>
      <c r="C30" s="8">
        <f>IF($A30="","",$A30&amp;" Equity")</f>
        <v/>
      </c>
      <c r="D30" s="8">
        <f>IF($C30="","",BDP($C30,"NAME"))</f>
        <v/>
      </c>
      <c r="E30" s="8">
        <f>IF($C30="","",BDP($C30,"GICS_SECTOR_NAME"))</f>
        <v/>
      </c>
      <c r="F30" s="37">
        <f>IF($C30="","",BDP($C30,FLD_CCY))</f>
        <v/>
      </c>
      <c r="G30" s="12">
        <f>IFERROR(IF(LEN($F30)&lt;&gt;3,1,IF($F30="HKD",1,BDP(IF($F30="CNY",RMB_CROSS,$F30)&amp;"HKD Curncy","PX_LAST"))),1)</f>
        <v/>
      </c>
      <c r="H30" s="69">
        <f>IF($C30="","",BDP($C30,FLD_DPS12M))</f>
        <v/>
      </c>
      <c r="I30" s="50">
        <f>IF($C30="","",BDP($C30,FLD_YLD12M))</f>
        <v/>
      </c>
      <c r="J30" s="52">
        <f>IF($B30="",0,SUMPRODUCT(('Dvd Calendar'!$E$1814:$AR$1814&gt;=DATE(YEAR_Y,1,1))*('Dvd Calendar'!$E$1814:$AR$1814&lt;=REALIZED_TO)*'Dvd Calendar'!$E$1817:$AR$1817*(('Dvd Calendar'!$E$1819:$AR$1819=TYPE1)*(TYPE1&lt;&gt;"")+('Dvd Calendar'!$E$1819:$AR$1819=TYPE2)*(TYPE2&lt;&gt;"")+('Dvd Calendar'!$E$1819:$AR$1819=TYPE3)*(TYPE3&lt;&gt;"")+('Dvd Calendar'!$E$1819:$AR$1819=TYPE4)*(TYPE4&lt;&gt;"")+('Dvd Calendar'!$E$1819:$AR$1819=SPECIAL_LBL)*(INC_SPECIALS="Y"))))</f>
        <v/>
      </c>
      <c r="K30" s="52">
        <f>IF($B30="",0,SUMIFS('Dvd Calendar'!$E$1822:$AR$1822,'Dvd Calendar'!$E$1821:$AR$1821,"&gt;"&amp;PROJ_FROM,'Dvd Calendar'!$E$1821:$AR$1821,"&lt;="&amp;DATE(YEAR_Y,12,31))+SUMPRODUCT(('Dvd Calendar'!$E$1814:$AR$1814&gt;PROJ_FROM)*('Dvd Calendar'!$E$1814:$AR$1814&lt;=DATE(YEAR_Y,12,31))*'Dvd Calendar'!$E$1817:$AR$1817*(('Dvd Calendar'!$E$1819:$AR$1819=TYPE1)*(TYPE1&lt;&gt;"")+('Dvd Calendar'!$E$1819:$AR$1819=TYPE2)*(TYPE2&lt;&gt;"")+('Dvd Calendar'!$E$1819:$AR$1819=TYPE3)*(TYPE3&lt;&gt;"")+('Dvd Calendar'!$E$1819:$AR$1819=TYPE4)*(TYPE4&lt;&gt;"")+('Dvd Calendar'!$E$1819:$AR$1819=SPECIAL_LBL)*(INC_SPECIALS="Y"))*(COUNTIF('Dvd Calendar'!$E$1821:$AR$1821,'Dvd Calendar'!$E$1814:$AR$1814)=0)))</f>
        <v/>
      </c>
      <c r="L30" s="52">
        <f>IF($B30="",0,IF((OV_SWITCH="ON")*(COUNTIFS(OVR_TICKERS,$C30,OVR_BASE,"&gt;=0")&gt;0)&gt;0,SUMIFS(OVR_BASE,OVR_TICKERS,$C30),$K30))</f>
        <v/>
      </c>
      <c r="M30" s="52">
        <f>IF($B30="",0,IF((OV_SWITCH="ON")*(COUNTIFS(OVR_TICKERS,$C30,OVR_LOW,"&gt;=0")&gt;0)&gt;0,SUMIFS(OVR_LOW,OVR_TICKERS,$C30),$L30))</f>
        <v/>
      </c>
      <c r="N30" s="52">
        <f>IF($B30="",0,IF((OV_SWITCH="ON")*(COUNTIFS(OVR_TICKERS,$C30,OVR_HIGH,"&gt;=0")&gt;0)&gt;0,SUMIFS(OVR_HIGH,OVR_TICKERS,$C30),$L30))</f>
        <v/>
      </c>
      <c r="O30" s="69">
        <f>IF($B30="","",IFERROR($B30*$G30*$J30/$B$3,""))</f>
        <v/>
      </c>
      <c r="P30" s="69">
        <f>IF($B30="","",IFERROR($B30*$G30*$L30/$B$3,""))</f>
        <v/>
      </c>
      <c r="Q30" s="44">
        <f>IF($B30="","",IFERROR($O30+$P30,""))</f>
        <v/>
      </c>
      <c r="R30" s="69">
        <f>IF($B30="","",IFERROR($O30+$B30*$G30*$M30/$B$3,""))</f>
        <v/>
      </c>
      <c r="S30" s="69">
        <f>IF($B30="","",IFERROR($O30+$B30*$G30*$N30/$B$3,""))</f>
        <v/>
      </c>
      <c r="T30" s="88">
        <f>IF($B30="","",IFERROR($Q30/$Q$5,""))</f>
        <v/>
      </c>
      <c r="U30" s="2">
        <f>IF($B30="","",IF(COUNTIFS('Dvd Calendar'!$E$1820:$AR$1820,"&gt;0",'Dvd Calendar'!$E$1820:$AR$1820,"&lt;="&amp;VAL_DATE,'Dvd Calendar'!$E$1821:$AR$1821,"&gt;"&amp;PROJ_FROM,'Dvd Calendar'!$E$1821:$AR$1821,"&lt;="&amp;DATE(YEAR_Y,12,31))-COUNTIFS('Dvd Calendar'!$E$1820:$AR$1820,"&gt;0",'Dvd Calendar'!$E$1820:$AR$1820,"&lt;="&amp;VAL_DATE,'Dvd Calendar'!$E$1821:$AR$1821,"&gt;"&amp;PROJ_FROM,'Dvd Calendar'!$E$1821:$AR$1821,"&lt;="&amp;DATE(YEAR_Y,12,31),'Dvd Calendar'!$E$1822:$AR$1822,"&gt;=0")&gt;0,"TBA amount - override me",IF((OV_SWITCH="ON")*(COUNTIFS(OVR_TICKERS,$C30,OVR_BASE,"&gt;=0")&gt;0)&gt;0,"overridden",IF($J30+$K30=0,"no dividend in year Y",""))))</f>
        <v/>
      </c>
      <c r="V30" s="69">
        <f>IF($B30="","",IFERROR(IF(ISNUMBER($H30),$B30*$G30*$H30/$B$3,0),""))</f>
        <v/>
      </c>
      <c r="W30" s="69">
        <f>IF($B30="","",IFERROR($B30*$G30*$K30/$B$3,""))</f>
        <v/>
      </c>
      <c r="X30" s="98">
        <f>IF($C30="","",BDP($C30,"PX_LAST"))</f>
        <v/>
      </c>
      <c r="Y30" s="69">
        <f>IF($B30="","",IFERROR($B30*$X30/$B$3,""))</f>
        <v/>
      </c>
      <c r="Z30" s="73">
        <f>IF($B30="","",IFERROR($Y30/$Y$5,""))</f>
        <v/>
      </c>
    </row>
    <row r="31">
      <c r="B31" s="97" t="n"/>
      <c r="C31" s="8">
        <f>IF($A31="","",$A31&amp;" Equity")</f>
        <v/>
      </c>
      <c r="D31" s="8">
        <f>IF($C31="","",BDP($C31,"NAME"))</f>
        <v/>
      </c>
      <c r="E31" s="8">
        <f>IF($C31="","",BDP($C31,"GICS_SECTOR_NAME"))</f>
        <v/>
      </c>
      <c r="F31" s="37">
        <f>IF($C31="","",BDP($C31,FLD_CCY))</f>
        <v/>
      </c>
      <c r="G31" s="12">
        <f>IFERROR(IF(LEN($F31)&lt;&gt;3,1,IF($F31="HKD",1,BDP(IF($F31="CNY",RMB_CROSS,$F31)&amp;"HKD Curncy","PX_LAST"))),1)</f>
        <v/>
      </c>
      <c r="H31" s="69">
        <f>IF($C31="","",BDP($C31,FLD_DPS12M))</f>
        <v/>
      </c>
      <c r="I31" s="50">
        <f>IF($C31="","",BDP($C31,FLD_YLD12M))</f>
        <v/>
      </c>
      <c r="J31" s="52">
        <f>IF($B31="",0,SUMPRODUCT(('Dvd Calendar'!$E$1825:$AR$1825&gt;=DATE(YEAR_Y,1,1))*('Dvd Calendar'!$E$1825:$AR$1825&lt;=REALIZED_TO)*'Dvd Calendar'!$E$1828:$AR$1828*(('Dvd Calendar'!$E$1830:$AR$1830=TYPE1)*(TYPE1&lt;&gt;"")+('Dvd Calendar'!$E$1830:$AR$1830=TYPE2)*(TYPE2&lt;&gt;"")+('Dvd Calendar'!$E$1830:$AR$1830=TYPE3)*(TYPE3&lt;&gt;"")+('Dvd Calendar'!$E$1830:$AR$1830=TYPE4)*(TYPE4&lt;&gt;"")+('Dvd Calendar'!$E$1830:$AR$1830=SPECIAL_LBL)*(INC_SPECIALS="Y"))))</f>
        <v/>
      </c>
      <c r="K31" s="52">
        <f>IF($B31="",0,SUMIFS('Dvd Calendar'!$E$1833:$AR$1833,'Dvd Calendar'!$E$1832:$AR$1832,"&gt;"&amp;PROJ_FROM,'Dvd Calendar'!$E$1832:$AR$1832,"&lt;="&amp;DATE(YEAR_Y,12,31))+SUMPRODUCT(('Dvd Calendar'!$E$1825:$AR$1825&gt;PROJ_FROM)*('Dvd Calendar'!$E$1825:$AR$1825&lt;=DATE(YEAR_Y,12,31))*'Dvd Calendar'!$E$1828:$AR$1828*(('Dvd Calendar'!$E$1830:$AR$1830=TYPE1)*(TYPE1&lt;&gt;"")+('Dvd Calendar'!$E$1830:$AR$1830=TYPE2)*(TYPE2&lt;&gt;"")+('Dvd Calendar'!$E$1830:$AR$1830=TYPE3)*(TYPE3&lt;&gt;"")+('Dvd Calendar'!$E$1830:$AR$1830=TYPE4)*(TYPE4&lt;&gt;"")+('Dvd Calendar'!$E$1830:$AR$1830=SPECIAL_LBL)*(INC_SPECIALS="Y"))*(COUNTIF('Dvd Calendar'!$E$1832:$AR$1832,'Dvd Calendar'!$E$1825:$AR$1825)=0)))</f>
        <v/>
      </c>
      <c r="L31" s="52">
        <f>IF($B31="",0,IF((OV_SWITCH="ON")*(COUNTIFS(OVR_TICKERS,$C31,OVR_BASE,"&gt;=0")&gt;0)&gt;0,SUMIFS(OVR_BASE,OVR_TICKERS,$C31),$K31))</f>
        <v/>
      </c>
      <c r="M31" s="52">
        <f>IF($B31="",0,IF((OV_SWITCH="ON")*(COUNTIFS(OVR_TICKERS,$C31,OVR_LOW,"&gt;=0")&gt;0)&gt;0,SUMIFS(OVR_LOW,OVR_TICKERS,$C31),$L31))</f>
        <v/>
      </c>
      <c r="N31" s="52">
        <f>IF($B31="",0,IF((OV_SWITCH="ON")*(COUNTIFS(OVR_TICKERS,$C31,OVR_HIGH,"&gt;=0")&gt;0)&gt;0,SUMIFS(OVR_HIGH,OVR_TICKERS,$C31),$L31))</f>
        <v/>
      </c>
      <c r="O31" s="69">
        <f>IF($B31="","",IFERROR($B31*$G31*$J31/$B$3,""))</f>
        <v/>
      </c>
      <c r="P31" s="69">
        <f>IF($B31="","",IFERROR($B31*$G31*$L31/$B$3,""))</f>
        <v/>
      </c>
      <c r="Q31" s="44">
        <f>IF($B31="","",IFERROR($O31+$P31,""))</f>
        <v/>
      </c>
      <c r="R31" s="69">
        <f>IF($B31="","",IFERROR($O31+$B31*$G31*$M31/$B$3,""))</f>
        <v/>
      </c>
      <c r="S31" s="69">
        <f>IF($B31="","",IFERROR($O31+$B31*$G31*$N31/$B$3,""))</f>
        <v/>
      </c>
      <c r="T31" s="88">
        <f>IF($B31="","",IFERROR($Q31/$Q$5,""))</f>
        <v/>
      </c>
      <c r="U31" s="2">
        <f>IF($B31="","",IF(COUNTIFS('Dvd Calendar'!$E$1831:$AR$1831,"&gt;0",'Dvd Calendar'!$E$1831:$AR$1831,"&lt;="&amp;VAL_DATE,'Dvd Calendar'!$E$1832:$AR$1832,"&gt;"&amp;PROJ_FROM,'Dvd Calendar'!$E$1832:$AR$1832,"&lt;="&amp;DATE(YEAR_Y,12,31))-COUNTIFS('Dvd Calendar'!$E$1831:$AR$1831,"&gt;0",'Dvd Calendar'!$E$1831:$AR$1831,"&lt;="&amp;VAL_DATE,'Dvd Calendar'!$E$1832:$AR$1832,"&gt;"&amp;PROJ_FROM,'Dvd Calendar'!$E$1832:$AR$1832,"&lt;="&amp;DATE(YEAR_Y,12,31),'Dvd Calendar'!$E$1833:$AR$1833,"&gt;=0")&gt;0,"TBA amount - override me",IF((OV_SWITCH="ON")*(COUNTIFS(OVR_TICKERS,$C31,OVR_BASE,"&gt;=0")&gt;0)&gt;0,"overridden",IF($J31+$K31=0,"no dividend in year Y",""))))</f>
        <v/>
      </c>
      <c r="V31" s="69">
        <f>IF($B31="","",IFERROR(IF(ISNUMBER($H31),$B31*$G31*$H31/$B$3,0),""))</f>
        <v/>
      </c>
      <c r="W31" s="69">
        <f>IF($B31="","",IFERROR($B31*$G31*$K31/$B$3,""))</f>
        <v/>
      </c>
      <c r="X31" s="98">
        <f>IF($C31="","",BDP($C31,"PX_LAST"))</f>
        <v/>
      </c>
      <c r="Y31" s="69">
        <f>IF($B31="","",IFERROR($B31*$X31/$B$3,""))</f>
        <v/>
      </c>
      <c r="Z31" s="73">
        <f>IF($B31="","",IFERROR($Y31/$Y$5,""))</f>
        <v/>
      </c>
    </row>
    <row r="32">
      <c r="B32" s="97" t="n"/>
      <c r="C32" s="8">
        <f>IF($A32="","",$A32&amp;" Equity")</f>
        <v/>
      </c>
      <c r="D32" s="8">
        <f>IF($C32="","",BDP($C32,"NAME"))</f>
        <v/>
      </c>
      <c r="E32" s="8">
        <f>IF($C32="","",BDP($C32,"GICS_SECTOR_NAME"))</f>
        <v/>
      </c>
      <c r="F32" s="37">
        <f>IF($C32="","",BDP($C32,FLD_CCY))</f>
        <v/>
      </c>
      <c r="G32" s="12">
        <f>IFERROR(IF(LEN($F32)&lt;&gt;3,1,IF($F32="HKD",1,BDP(IF($F32="CNY",RMB_CROSS,$F32)&amp;"HKD Curncy","PX_LAST"))),1)</f>
        <v/>
      </c>
      <c r="H32" s="69">
        <f>IF($C32="","",BDP($C32,FLD_DPS12M))</f>
        <v/>
      </c>
      <c r="I32" s="50">
        <f>IF($C32="","",BDP($C32,FLD_YLD12M))</f>
        <v/>
      </c>
      <c r="J32" s="52">
        <f>IF($B32="",0,SUMPRODUCT(('Dvd Calendar'!$E$1836:$AR$1836&gt;=DATE(YEAR_Y,1,1))*('Dvd Calendar'!$E$1836:$AR$1836&lt;=REALIZED_TO)*'Dvd Calendar'!$E$1839:$AR$1839*(('Dvd Calendar'!$E$1841:$AR$1841=TYPE1)*(TYPE1&lt;&gt;"")+('Dvd Calendar'!$E$1841:$AR$1841=TYPE2)*(TYPE2&lt;&gt;"")+('Dvd Calendar'!$E$1841:$AR$1841=TYPE3)*(TYPE3&lt;&gt;"")+('Dvd Calendar'!$E$1841:$AR$1841=TYPE4)*(TYPE4&lt;&gt;"")+('Dvd Calendar'!$E$1841:$AR$1841=SPECIAL_LBL)*(INC_SPECIALS="Y"))))</f>
        <v/>
      </c>
      <c r="K32" s="52">
        <f>IF($B32="",0,SUMIFS('Dvd Calendar'!$E$1844:$AR$1844,'Dvd Calendar'!$E$1843:$AR$1843,"&gt;"&amp;PROJ_FROM,'Dvd Calendar'!$E$1843:$AR$1843,"&lt;="&amp;DATE(YEAR_Y,12,31))+SUMPRODUCT(('Dvd Calendar'!$E$1836:$AR$1836&gt;PROJ_FROM)*('Dvd Calendar'!$E$1836:$AR$1836&lt;=DATE(YEAR_Y,12,31))*'Dvd Calendar'!$E$1839:$AR$1839*(('Dvd Calendar'!$E$1841:$AR$1841=TYPE1)*(TYPE1&lt;&gt;"")+('Dvd Calendar'!$E$1841:$AR$1841=TYPE2)*(TYPE2&lt;&gt;"")+('Dvd Calendar'!$E$1841:$AR$1841=TYPE3)*(TYPE3&lt;&gt;"")+('Dvd Calendar'!$E$1841:$AR$1841=TYPE4)*(TYPE4&lt;&gt;"")+('Dvd Calendar'!$E$1841:$AR$1841=SPECIAL_LBL)*(INC_SPECIALS="Y"))*(COUNTIF('Dvd Calendar'!$E$1843:$AR$1843,'Dvd Calendar'!$E$1836:$AR$1836)=0)))</f>
        <v/>
      </c>
      <c r="L32" s="52">
        <f>IF($B32="",0,IF((OV_SWITCH="ON")*(COUNTIFS(OVR_TICKERS,$C32,OVR_BASE,"&gt;=0")&gt;0)&gt;0,SUMIFS(OVR_BASE,OVR_TICKERS,$C32),$K32))</f>
        <v/>
      </c>
      <c r="M32" s="52">
        <f>IF($B32="",0,IF((OV_SWITCH="ON")*(COUNTIFS(OVR_TICKERS,$C32,OVR_LOW,"&gt;=0")&gt;0)&gt;0,SUMIFS(OVR_LOW,OVR_TICKERS,$C32),$L32))</f>
        <v/>
      </c>
      <c r="N32" s="52">
        <f>IF($B32="",0,IF((OV_SWITCH="ON")*(COUNTIFS(OVR_TICKERS,$C32,OVR_HIGH,"&gt;=0")&gt;0)&gt;0,SUMIFS(OVR_HIGH,OVR_TICKERS,$C32),$L32))</f>
        <v/>
      </c>
      <c r="O32" s="69">
        <f>IF($B32="","",IFERROR($B32*$G32*$J32/$B$3,""))</f>
        <v/>
      </c>
      <c r="P32" s="69">
        <f>IF($B32="","",IFERROR($B32*$G32*$L32/$B$3,""))</f>
        <v/>
      </c>
      <c r="Q32" s="44">
        <f>IF($B32="","",IFERROR($O32+$P32,""))</f>
        <v/>
      </c>
      <c r="R32" s="69">
        <f>IF($B32="","",IFERROR($O32+$B32*$G32*$M32/$B$3,""))</f>
        <v/>
      </c>
      <c r="S32" s="69">
        <f>IF($B32="","",IFERROR($O32+$B32*$G32*$N32/$B$3,""))</f>
        <v/>
      </c>
      <c r="T32" s="88">
        <f>IF($B32="","",IFERROR($Q32/$Q$5,""))</f>
        <v/>
      </c>
      <c r="U32" s="2">
        <f>IF($B32="","",IF(COUNTIFS('Dvd Calendar'!$E$1842:$AR$1842,"&gt;0",'Dvd Calendar'!$E$1842:$AR$1842,"&lt;="&amp;VAL_DATE,'Dvd Calendar'!$E$1843:$AR$1843,"&gt;"&amp;PROJ_FROM,'Dvd Calendar'!$E$1843:$AR$1843,"&lt;="&amp;DATE(YEAR_Y,12,31))-COUNTIFS('Dvd Calendar'!$E$1842:$AR$1842,"&gt;0",'Dvd Calendar'!$E$1842:$AR$1842,"&lt;="&amp;VAL_DATE,'Dvd Calendar'!$E$1843:$AR$1843,"&gt;"&amp;PROJ_FROM,'Dvd Calendar'!$E$1843:$AR$1843,"&lt;="&amp;DATE(YEAR_Y,12,31),'Dvd Calendar'!$E$1844:$AR$1844,"&gt;=0")&gt;0,"TBA amount - override me",IF((OV_SWITCH="ON")*(COUNTIFS(OVR_TICKERS,$C32,OVR_BASE,"&gt;=0")&gt;0)&gt;0,"overridden",IF($J32+$K32=0,"no dividend in year Y",""))))</f>
        <v/>
      </c>
      <c r="V32" s="69">
        <f>IF($B32="","",IFERROR(IF(ISNUMBER($H32),$B32*$G32*$H32/$B$3,0),""))</f>
        <v/>
      </c>
      <c r="W32" s="69">
        <f>IF($B32="","",IFERROR($B32*$G32*$K32/$B$3,""))</f>
        <v/>
      </c>
      <c r="X32" s="98">
        <f>IF($C32="","",BDP($C32,"PX_LAST"))</f>
        <v/>
      </c>
      <c r="Y32" s="69">
        <f>IF($B32="","",IFERROR($B32*$X32/$B$3,""))</f>
        <v/>
      </c>
      <c r="Z32" s="73">
        <f>IF($B32="","",IFERROR($Y32/$Y$5,""))</f>
        <v/>
      </c>
    </row>
    <row r="33">
      <c r="B33" s="97" t="n"/>
      <c r="C33" s="8">
        <f>IF($A33="","",$A33&amp;" Equity")</f>
        <v/>
      </c>
      <c r="D33" s="8">
        <f>IF($C33="","",BDP($C33,"NAME"))</f>
        <v/>
      </c>
      <c r="E33" s="8">
        <f>IF($C33="","",BDP($C33,"GICS_SECTOR_NAME"))</f>
        <v/>
      </c>
      <c r="F33" s="37">
        <f>IF($C33="","",BDP($C33,FLD_CCY))</f>
        <v/>
      </c>
      <c r="G33" s="12">
        <f>IFERROR(IF(LEN($F33)&lt;&gt;3,1,IF($F33="HKD",1,BDP(IF($F33="CNY",RMB_CROSS,$F33)&amp;"HKD Curncy","PX_LAST"))),1)</f>
        <v/>
      </c>
      <c r="H33" s="69">
        <f>IF($C33="","",BDP($C33,FLD_DPS12M))</f>
        <v/>
      </c>
      <c r="I33" s="50">
        <f>IF($C33="","",BDP($C33,FLD_YLD12M))</f>
        <v/>
      </c>
      <c r="J33" s="52">
        <f>IF($B33="",0,SUMPRODUCT(('Dvd Calendar'!$E$1847:$AR$1847&gt;=DATE(YEAR_Y,1,1))*('Dvd Calendar'!$E$1847:$AR$1847&lt;=REALIZED_TO)*'Dvd Calendar'!$E$1850:$AR$1850*(('Dvd Calendar'!$E$1852:$AR$1852=TYPE1)*(TYPE1&lt;&gt;"")+('Dvd Calendar'!$E$1852:$AR$1852=TYPE2)*(TYPE2&lt;&gt;"")+('Dvd Calendar'!$E$1852:$AR$1852=TYPE3)*(TYPE3&lt;&gt;"")+('Dvd Calendar'!$E$1852:$AR$1852=TYPE4)*(TYPE4&lt;&gt;"")+('Dvd Calendar'!$E$1852:$AR$1852=SPECIAL_LBL)*(INC_SPECIALS="Y"))))</f>
        <v/>
      </c>
      <c r="K33" s="52">
        <f>IF($B33="",0,SUMIFS('Dvd Calendar'!$E$1855:$AR$1855,'Dvd Calendar'!$E$1854:$AR$1854,"&gt;"&amp;PROJ_FROM,'Dvd Calendar'!$E$1854:$AR$1854,"&lt;="&amp;DATE(YEAR_Y,12,31))+SUMPRODUCT(('Dvd Calendar'!$E$1847:$AR$1847&gt;PROJ_FROM)*('Dvd Calendar'!$E$1847:$AR$1847&lt;=DATE(YEAR_Y,12,31))*'Dvd Calendar'!$E$1850:$AR$1850*(('Dvd Calendar'!$E$1852:$AR$1852=TYPE1)*(TYPE1&lt;&gt;"")+('Dvd Calendar'!$E$1852:$AR$1852=TYPE2)*(TYPE2&lt;&gt;"")+('Dvd Calendar'!$E$1852:$AR$1852=TYPE3)*(TYPE3&lt;&gt;"")+('Dvd Calendar'!$E$1852:$AR$1852=TYPE4)*(TYPE4&lt;&gt;"")+('Dvd Calendar'!$E$1852:$AR$1852=SPECIAL_LBL)*(INC_SPECIALS="Y"))*(COUNTIF('Dvd Calendar'!$E$1854:$AR$1854,'Dvd Calendar'!$E$1847:$AR$1847)=0)))</f>
        <v/>
      </c>
      <c r="L33" s="52">
        <f>IF($B33="",0,IF((OV_SWITCH="ON")*(COUNTIFS(OVR_TICKERS,$C33,OVR_BASE,"&gt;=0")&gt;0)&gt;0,SUMIFS(OVR_BASE,OVR_TICKERS,$C33),$K33))</f>
        <v/>
      </c>
      <c r="M33" s="52">
        <f>IF($B33="",0,IF((OV_SWITCH="ON")*(COUNTIFS(OVR_TICKERS,$C33,OVR_LOW,"&gt;=0")&gt;0)&gt;0,SUMIFS(OVR_LOW,OVR_TICKERS,$C33),$L33))</f>
        <v/>
      </c>
      <c r="N33" s="52">
        <f>IF($B33="",0,IF((OV_SWITCH="ON")*(COUNTIFS(OVR_TICKERS,$C33,OVR_HIGH,"&gt;=0")&gt;0)&gt;0,SUMIFS(OVR_HIGH,OVR_TICKERS,$C33),$L33))</f>
        <v/>
      </c>
      <c r="O33" s="69">
        <f>IF($B33="","",IFERROR($B33*$G33*$J33/$B$3,""))</f>
        <v/>
      </c>
      <c r="P33" s="69">
        <f>IF($B33="","",IFERROR($B33*$G33*$L33/$B$3,""))</f>
        <v/>
      </c>
      <c r="Q33" s="44">
        <f>IF($B33="","",IFERROR($O33+$P33,""))</f>
        <v/>
      </c>
      <c r="R33" s="69">
        <f>IF($B33="","",IFERROR($O33+$B33*$G33*$M33/$B$3,""))</f>
        <v/>
      </c>
      <c r="S33" s="69">
        <f>IF($B33="","",IFERROR($O33+$B33*$G33*$N33/$B$3,""))</f>
        <v/>
      </c>
      <c r="T33" s="88">
        <f>IF($B33="","",IFERROR($Q33/$Q$5,""))</f>
        <v/>
      </c>
      <c r="U33" s="2">
        <f>IF($B33="","",IF(COUNTIFS('Dvd Calendar'!$E$1853:$AR$1853,"&gt;0",'Dvd Calendar'!$E$1853:$AR$1853,"&lt;="&amp;VAL_DATE,'Dvd Calendar'!$E$1854:$AR$1854,"&gt;"&amp;PROJ_FROM,'Dvd Calendar'!$E$1854:$AR$1854,"&lt;="&amp;DATE(YEAR_Y,12,31))-COUNTIFS('Dvd Calendar'!$E$1853:$AR$1853,"&gt;0",'Dvd Calendar'!$E$1853:$AR$1853,"&lt;="&amp;VAL_DATE,'Dvd Calendar'!$E$1854:$AR$1854,"&gt;"&amp;PROJ_FROM,'Dvd Calendar'!$E$1854:$AR$1854,"&lt;="&amp;DATE(YEAR_Y,12,31),'Dvd Calendar'!$E$1855:$AR$1855,"&gt;=0")&gt;0,"TBA amount - override me",IF((OV_SWITCH="ON")*(COUNTIFS(OVR_TICKERS,$C33,OVR_BASE,"&gt;=0")&gt;0)&gt;0,"overridden",IF($J33+$K33=0,"no dividend in year Y",""))))</f>
        <v/>
      </c>
      <c r="V33" s="69">
        <f>IF($B33="","",IFERROR(IF(ISNUMBER($H33),$B33*$G33*$H33/$B$3,0),""))</f>
        <v/>
      </c>
      <c r="W33" s="69">
        <f>IF($B33="","",IFERROR($B33*$G33*$K33/$B$3,""))</f>
        <v/>
      </c>
      <c r="X33" s="98">
        <f>IF($C33="","",BDP($C33,"PX_LAST"))</f>
        <v/>
      </c>
      <c r="Y33" s="69">
        <f>IF($B33="","",IFERROR($B33*$X33/$B$3,""))</f>
        <v/>
      </c>
      <c r="Z33" s="73">
        <f>IF($B33="","",IFERROR($Y33/$Y$5,""))</f>
        <v/>
      </c>
    </row>
    <row r="34">
      <c r="B34" s="97" t="n"/>
      <c r="C34" s="8">
        <f>IF($A34="","",$A34&amp;" Equity")</f>
        <v/>
      </c>
      <c r="D34" s="8">
        <f>IF($C34="","",BDP($C34,"NAME"))</f>
        <v/>
      </c>
      <c r="E34" s="8">
        <f>IF($C34="","",BDP($C34,"GICS_SECTOR_NAME"))</f>
        <v/>
      </c>
      <c r="F34" s="37">
        <f>IF($C34="","",BDP($C34,FLD_CCY))</f>
        <v/>
      </c>
      <c r="G34" s="12">
        <f>IFERROR(IF(LEN($F34)&lt;&gt;3,1,IF($F34="HKD",1,BDP(IF($F34="CNY",RMB_CROSS,$F34)&amp;"HKD Curncy","PX_LAST"))),1)</f>
        <v/>
      </c>
      <c r="H34" s="69">
        <f>IF($C34="","",BDP($C34,FLD_DPS12M))</f>
        <v/>
      </c>
      <c r="I34" s="50">
        <f>IF($C34="","",BDP($C34,FLD_YLD12M))</f>
        <v/>
      </c>
      <c r="J34" s="52">
        <f>IF($B34="",0,SUMPRODUCT(('Dvd Calendar'!$E$1858:$AR$1858&gt;=DATE(YEAR_Y,1,1))*('Dvd Calendar'!$E$1858:$AR$1858&lt;=REALIZED_TO)*'Dvd Calendar'!$E$1861:$AR$1861*(('Dvd Calendar'!$E$1863:$AR$1863=TYPE1)*(TYPE1&lt;&gt;"")+('Dvd Calendar'!$E$1863:$AR$1863=TYPE2)*(TYPE2&lt;&gt;"")+('Dvd Calendar'!$E$1863:$AR$1863=TYPE3)*(TYPE3&lt;&gt;"")+('Dvd Calendar'!$E$1863:$AR$1863=TYPE4)*(TYPE4&lt;&gt;"")+('Dvd Calendar'!$E$1863:$AR$1863=SPECIAL_LBL)*(INC_SPECIALS="Y"))))</f>
        <v/>
      </c>
      <c r="K34" s="52">
        <f>IF($B34="",0,SUMIFS('Dvd Calendar'!$E$1866:$AR$1866,'Dvd Calendar'!$E$1865:$AR$1865,"&gt;"&amp;PROJ_FROM,'Dvd Calendar'!$E$1865:$AR$1865,"&lt;="&amp;DATE(YEAR_Y,12,31))+SUMPRODUCT(('Dvd Calendar'!$E$1858:$AR$1858&gt;PROJ_FROM)*('Dvd Calendar'!$E$1858:$AR$1858&lt;=DATE(YEAR_Y,12,31))*'Dvd Calendar'!$E$1861:$AR$1861*(('Dvd Calendar'!$E$1863:$AR$1863=TYPE1)*(TYPE1&lt;&gt;"")+('Dvd Calendar'!$E$1863:$AR$1863=TYPE2)*(TYPE2&lt;&gt;"")+('Dvd Calendar'!$E$1863:$AR$1863=TYPE3)*(TYPE3&lt;&gt;"")+('Dvd Calendar'!$E$1863:$AR$1863=TYPE4)*(TYPE4&lt;&gt;"")+('Dvd Calendar'!$E$1863:$AR$1863=SPECIAL_LBL)*(INC_SPECIALS="Y"))*(COUNTIF('Dvd Calendar'!$E$1865:$AR$1865,'Dvd Calendar'!$E$1858:$AR$1858)=0)))</f>
        <v/>
      </c>
      <c r="L34" s="52">
        <f>IF($B34="",0,IF((OV_SWITCH="ON")*(COUNTIFS(OVR_TICKERS,$C34,OVR_BASE,"&gt;=0")&gt;0)&gt;0,SUMIFS(OVR_BASE,OVR_TICKERS,$C34),$K34))</f>
        <v/>
      </c>
      <c r="M34" s="52">
        <f>IF($B34="",0,IF((OV_SWITCH="ON")*(COUNTIFS(OVR_TICKERS,$C34,OVR_LOW,"&gt;=0")&gt;0)&gt;0,SUMIFS(OVR_LOW,OVR_TICKERS,$C34),$L34))</f>
        <v/>
      </c>
      <c r="N34" s="52">
        <f>IF($B34="",0,IF((OV_SWITCH="ON")*(COUNTIFS(OVR_TICKERS,$C34,OVR_HIGH,"&gt;=0")&gt;0)&gt;0,SUMIFS(OVR_HIGH,OVR_TICKERS,$C34),$L34))</f>
        <v/>
      </c>
      <c r="O34" s="69">
        <f>IF($B34="","",IFERROR($B34*$G34*$J34/$B$3,""))</f>
        <v/>
      </c>
      <c r="P34" s="69">
        <f>IF($B34="","",IFERROR($B34*$G34*$L34/$B$3,""))</f>
        <v/>
      </c>
      <c r="Q34" s="44">
        <f>IF($B34="","",IFERROR($O34+$P34,""))</f>
        <v/>
      </c>
      <c r="R34" s="69">
        <f>IF($B34="","",IFERROR($O34+$B34*$G34*$M34/$B$3,""))</f>
        <v/>
      </c>
      <c r="S34" s="69">
        <f>IF($B34="","",IFERROR($O34+$B34*$G34*$N34/$B$3,""))</f>
        <v/>
      </c>
      <c r="T34" s="88">
        <f>IF($B34="","",IFERROR($Q34/$Q$5,""))</f>
        <v/>
      </c>
      <c r="U34" s="2">
        <f>IF($B34="","",IF(COUNTIFS('Dvd Calendar'!$E$1864:$AR$1864,"&gt;0",'Dvd Calendar'!$E$1864:$AR$1864,"&lt;="&amp;VAL_DATE,'Dvd Calendar'!$E$1865:$AR$1865,"&gt;"&amp;PROJ_FROM,'Dvd Calendar'!$E$1865:$AR$1865,"&lt;="&amp;DATE(YEAR_Y,12,31))-COUNTIFS('Dvd Calendar'!$E$1864:$AR$1864,"&gt;0",'Dvd Calendar'!$E$1864:$AR$1864,"&lt;="&amp;VAL_DATE,'Dvd Calendar'!$E$1865:$AR$1865,"&gt;"&amp;PROJ_FROM,'Dvd Calendar'!$E$1865:$AR$1865,"&lt;="&amp;DATE(YEAR_Y,12,31),'Dvd Calendar'!$E$1866:$AR$1866,"&gt;=0")&gt;0,"TBA amount - override me",IF((OV_SWITCH="ON")*(COUNTIFS(OVR_TICKERS,$C34,OVR_BASE,"&gt;=0")&gt;0)&gt;0,"overridden",IF($J34+$K34=0,"no dividend in year Y",""))))</f>
        <v/>
      </c>
      <c r="V34" s="69">
        <f>IF($B34="","",IFERROR(IF(ISNUMBER($H34),$B34*$G34*$H34/$B$3,0),""))</f>
        <v/>
      </c>
      <c r="W34" s="69">
        <f>IF($B34="","",IFERROR($B34*$G34*$K34/$B$3,""))</f>
        <v/>
      </c>
      <c r="X34" s="98">
        <f>IF($C34="","",BDP($C34,"PX_LAST"))</f>
        <v/>
      </c>
      <c r="Y34" s="69">
        <f>IF($B34="","",IFERROR($B34*$X34/$B$3,""))</f>
        <v/>
      </c>
      <c r="Z34" s="73">
        <f>IF($B34="","",IFERROR($Y34/$Y$5,""))</f>
        <v/>
      </c>
    </row>
    <row r="35">
      <c r="B35" s="97" t="n"/>
      <c r="C35" s="8">
        <f>IF($A35="","",$A35&amp;" Equity")</f>
        <v/>
      </c>
      <c r="D35" s="8">
        <f>IF($C35="","",BDP($C35,"NAME"))</f>
        <v/>
      </c>
      <c r="E35" s="8">
        <f>IF($C35="","",BDP($C35,"GICS_SECTOR_NAME"))</f>
        <v/>
      </c>
      <c r="F35" s="37">
        <f>IF($C35="","",BDP($C35,FLD_CCY))</f>
        <v/>
      </c>
      <c r="G35" s="12">
        <f>IFERROR(IF(LEN($F35)&lt;&gt;3,1,IF($F35="HKD",1,BDP(IF($F35="CNY",RMB_CROSS,$F35)&amp;"HKD Curncy","PX_LAST"))),1)</f>
        <v/>
      </c>
      <c r="H35" s="69">
        <f>IF($C35="","",BDP($C35,FLD_DPS12M))</f>
        <v/>
      </c>
      <c r="I35" s="50">
        <f>IF($C35="","",BDP($C35,FLD_YLD12M))</f>
        <v/>
      </c>
      <c r="J35" s="52">
        <f>IF($B35="",0,SUMPRODUCT(('Dvd Calendar'!$E$1869:$AR$1869&gt;=DATE(YEAR_Y,1,1))*('Dvd Calendar'!$E$1869:$AR$1869&lt;=REALIZED_TO)*'Dvd Calendar'!$E$1872:$AR$1872*(('Dvd Calendar'!$E$1874:$AR$1874=TYPE1)*(TYPE1&lt;&gt;"")+('Dvd Calendar'!$E$1874:$AR$1874=TYPE2)*(TYPE2&lt;&gt;"")+('Dvd Calendar'!$E$1874:$AR$1874=TYPE3)*(TYPE3&lt;&gt;"")+('Dvd Calendar'!$E$1874:$AR$1874=TYPE4)*(TYPE4&lt;&gt;"")+('Dvd Calendar'!$E$1874:$AR$1874=SPECIAL_LBL)*(INC_SPECIALS="Y"))))</f>
        <v/>
      </c>
      <c r="K35" s="52">
        <f>IF($B35="",0,SUMIFS('Dvd Calendar'!$E$1877:$AR$1877,'Dvd Calendar'!$E$1876:$AR$1876,"&gt;"&amp;PROJ_FROM,'Dvd Calendar'!$E$1876:$AR$1876,"&lt;="&amp;DATE(YEAR_Y,12,31))+SUMPRODUCT(('Dvd Calendar'!$E$1869:$AR$1869&gt;PROJ_FROM)*('Dvd Calendar'!$E$1869:$AR$1869&lt;=DATE(YEAR_Y,12,31))*'Dvd Calendar'!$E$1872:$AR$1872*(('Dvd Calendar'!$E$1874:$AR$1874=TYPE1)*(TYPE1&lt;&gt;"")+('Dvd Calendar'!$E$1874:$AR$1874=TYPE2)*(TYPE2&lt;&gt;"")+('Dvd Calendar'!$E$1874:$AR$1874=TYPE3)*(TYPE3&lt;&gt;"")+('Dvd Calendar'!$E$1874:$AR$1874=TYPE4)*(TYPE4&lt;&gt;"")+('Dvd Calendar'!$E$1874:$AR$1874=SPECIAL_LBL)*(INC_SPECIALS="Y"))*(COUNTIF('Dvd Calendar'!$E$1876:$AR$1876,'Dvd Calendar'!$E$1869:$AR$1869)=0)))</f>
        <v/>
      </c>
      <c r="L35" s="52">
        <f>IF($B35="",0,IF((OV_SWITCH="ON")*(COUNTIFS(OVR_TICKERS,$C35,OVR_BASE,"&gt;=0")&gt;0)&gt;0,SUMIFS(OVR_BASE,OVR_TICKERS,$C35),$K35))</f>
        <v/>
      </c>
      <c r="M35" s="52">
        <f>IF($B35="",0,IF((OV_SWITCH="ON")*(COUNTIFS(OVR_TICKERS,$C35,OVR_LOW,"&gt;=0")&gt;0)&gt;0,SUMIFS(OVR_LOW,OVR_TICKERS,$C35),$L35))</f>
        <v/>
      </c>
      <c r="N35" s="52">
        <f>IF($B35="",0,IF((OV_SWITCH="ON")*(COUNTIFS(OVR_TICKERS,$C35,OVR_HIGH,"&gt;=0")&gt;0)&gt;0,SUMIFS(OVR_HIGH,OVR_TICKERS,$C35),$L35))</f>
        <v/>
      </c>
      <c r="O35" s="69">
        <f>IF($B35="","",IFERROR($B35*$G35*$J35/$B$3,""))</f>
        <v/>
      </c>
      <c r="P35" s="69">
        <f>IF($B35="","",IFERROR($B35*$G35*$L35/$B$3,""))</f>
        <v/>
      </c>
      <c r="Q35" s="44">
        <f>IF($B35="","",IFERROR($O35+$P35,""))</f>
        <v/>
      </c>
      <c r="R35" s="69">
        <f>IF($B35="","",IFERROR($O35+$B35*$G35*$M35/$B$3,""))</f>
        <v/>
      </c>
      <c r="S35" s="69">
        <f>IF($B35="","",IFERROR($O35+$B35*$G35*$N35/$B$3,""))</f>
        <v/>
      </c>
      <c r="T35" s="88">
        <f>IF($B35="","",IFERROR($Q35/$Q$5,""))</f>
        <v/>
      </c>
      <c r="U35" s="2">
        <f>IF($B35="","",IF(COUNTIFS('Dvd Calendar'!$E$1875:$AR$1875,"&gt;0",'Dvd Calendar'!$E$1875:$AR$1875,"&lt;="&amp;VAL_DATE,'Dvd Calendar'!$E$1876:$AR$1876,"&gt;"&amp;PROJ_FROM,'Dvd Calendar'!$E$1876:$AR$1876,"&lt;="&amp;DATE(YEAR_Y,12,31))-COUNTIFS('Dvd Calendar'!$E$1875:$AR$1875,"&gt;0",'Dvd Calendar'!$E$1875:$AR$1875,"&lt;="&amp;VAL_DATE,'Dvd Calendar'!$E$1876:$AR$1876,"&gt;"&amp;PROJ_FROM,'Dvd Calendar'!$E$1876:$AR$1876,"&lt;="&amp;DATE(YEAR_Y,12,31),'Dvd Calendar'!$E$1877:$AR$1877,"&gt;=0")&gt;0,"TBA amount - override me",IF((OV_SWITCH="ON")*(COUNTIFS(OVR_TICKERS,$C35,OVR_BASE,"&gt;=0")&gt;0)&gt;0,"overridden",IF($J35+$K35=0,"no dividend in year Y",""))))</f>
        <v/>
      </c>
      <c r="V35" s="69">
        <f>IF($B35="","",IFERROR(IF(ISNUMBER($H35),$B35*$G35*$H35/$B$3,0),""))</f>
        <v/>
      </c>
      <c r="W35" s="69">
        <f>IF($B35="","",IFERROR($B35*$G35*$K35/$B$3,""))</f>
        <v/>
      </c>
      <c r="X35" s="98">
        <f>IF($C35="","",BDP($C35,"PX_LAST"))</f>
        <v/>
      </c>
      <c r="Y35" s="69">
        <f>IF($B35="","",IFERROR($B35*$X35/$B$3,""))</f>
        <v/>
      </c>
      <c r="Z35" s="73">
        <f>IF($B35="","",IFERROR($Y35/$Y$5,""))</f>
        <v/>
      </c>
    </row>
    <row r="36">
      <c r="B36" s="97" t="n"/>
      <c r="C36" s="8">
        <f>IF($A36="","",$A36&amp;" Equity")</f>
        <v/>
      </c>
      <c r="D36" s="8">
        <f>IF($C36="","",BDP($C36,"NAME"))</f>
        <v/>
      </c>
      <c r="E36" s="8">
        <f>IF($C36="","",BDP($C36,"GICS_SECTOR_NAME"))</f>
        <v/>
      </c>
      <c r="F36" s="37">
        <f>IF($C36="","",BDP($C36,FLD_CCY))</f>
        <v/>
      </c>
      <c r="G36" s="12">
        <f>IFERROR(IF(LEN($F36)&lt;&gt;3,1,IF($F36="HKD",1,BDP(IF($F36="CNY",RMB_CROSS,$F36)&amp;"HKD Curncy","PX_LAST"))),1)</f>
        <v/>
      </c>
      <c r="H36" s="69">
        <f>IF($C36="","",BDP($C36,FLD_DPS12M))</f>
        <v/>
      </c>
      <c r="I36" s="50">
        <f>IF($C36="","",BDP($C36,FLD_YLD12M))</f>
        <v/>
      </c>
      <c r="J36" s="52">
        <f>IF($B36="",0,SUMPRODUCT(('Dvd Calendar'!$E$1880:$AR$1880&gt;=DATE(YEAR_Y,1,1))*('Dvd Calendar'!$E$1880:$AR$1880&lt;=REALIZED_TO)*'Dvd Calendar'!$E$1883:$AR$1883*(('Dvd Calendar'!$E$1885:$AR$1885=TYPE1)*(TYPE1&lt;&gt;"")+('Dvd Calendar'!$E$1885:$AR$1885=TYPE2)*(TYPE2&lt;&gt;"")+('Dvd Calendar'!$E$1885:$AR$1885=TYPE3)*(TYPE3&lt;&gt;"")+('Dvd Calendar'!$E$1885:$AR$1885=TYPE4)*(TYPE4&lt;&gt;"")+('Dvd Calendar'!$E$1885:$AR$1885=SPECIAL_LBL)*(INC_SPECIALS="Y"))))</f>
        <v/>
      </c>
      <c r="K36" s="52">
        <f>IF($B36="",0,SUMIFS('Dvd Calendar'!$E$1888:$AR$1888,'Dvd Calendar'!$E$1887:$AR$1887,"&gt;"&amp;PROJ_FROM,'Dvd Calendar'!$E$1887:$AR$1887,"&lt;="&amp;DATE(YEAR_Y,12,31))+SUMPRODUCT(('Dvd Calendar'!$E$1880:$AR$1880&gt;PROJ_FROM)*('Dvd Calendar'!$E$1880:$AR$1880&lt;=DATE(YEAR_Y,12,31))*'Dvd Calendar'!$E$1883:$AR$1883*(('Dvd Calendar'!$E$1885:$AR$1885=TYPE1)*(TYPE1&lt;&gt;"")+('Dvd Calendar'!$E$1885:$AR$1885=TYPE2)*(TYPE2&lt;&gt;"")+('Dvd Calendar'!$E$1885:$AR$1885=TYPE3)*(TYPE3&lt;&gt;"")+('Dvd Calendar'!$E$1885:$AR$1885=TYPE4)*(TYPE4&lt;&gt;"")+('Dvd Calendar'!$E$1885:$AR$1885=SPECIAL_LBL)*(INC_SPECIALS="Y"))*(COUNTIF('Dvd Calendar'!$E$1887:$AR$1887,'Dvd Calendar'!$E$1880:$AR$1880)=0)))</f>
        <v/>
      </c>
      <c r="L36" s="52">
        <f>IF($B36="",0,IF((OV_SWITCH="ON")*(COUNTIFS(OVR_TICKERS,$C36,OVR_BASE,"&gt;=0")&gt;0)&gt;0,SUMIFS(OVR_BASE,OVR_TICKERS,$C36),$K36))</f>
        <v/>
      </c>
      <c r="M36" s="52">
        <f>IF($B36="",0,IF((OV_SWITCH="ON")*(COUNTIFS(OVR_TICKERS,$C36,OVR_LOW,"&gt;=0")&gt;0)&gt;0,SUMIFS(OVR_LOW,OVR_TICKERS,$C36),$L36))</f>
        <v/>
      </c>
      <c r="N36" s="52">
        <f>IF($B36="",0,IF((OV_SWITCH="ON")*(COUNTIFS(OVR_TICKERS,$C36,OVR_HIGH,"&gt;=0")&gt;0)&gt;0,SUMIFS(OVR_HIGH,OVR_TICKERS,$C36),$L36))</f>
        <v/>
      </c>
      <c r="O36" s="69">
        <f>IF($B36="","",IFERROR($B36*$G36*$J36/$B$3,""))</f>
        <v/>
      </c>
      <c r="P36" s="69">
        <f>IF($B36="","",IFERROR($B36*$G36*$L36/$B$3,""))</f>
        <v/>
      </c>
      <c r="Q36" s="44">
        <f>IF($B36="","",IFERROR($O36+$P36,""))</f>
        <v/>
      </c>
      <c r="R36" s="69">
        <f>IF($B36="","",IFERROR($O36+$B36*$G36*$M36/$B$3,""))</f>
        <v/>
      </c>
      <c r="S36" s="69">
        <f>IF($B36="","",IFERROR($O36+$B36*$G36*$N36/$B$3,""))</f>
        <v/>
      </c>
      <c r="T36" s="88">
        <f>IF($B36="","",IFERROR($Q36/$Q$5,""))</f>
        <v/>
      </c>
      <c r="U36" s="2">
        <f>IF($B36="","",IF(COUNTIFS('Dvd Calendar'!$E$1886:$AR$1886,"&gt;0",'Dvd Calendar'!$E$1886:$AR$1886,"&lt;="&amp;VAL_DATE,'Dvd Calendar'!$E$1887:$AR$1887,"&gt;"&amp;PROJ_FROM,'Dvd Calendar'!$E$1887:$AR$1887,"&lt;="&amp;DATE(YEAR_Y,12,31))-COUNTIFS('Dvd Calendar'!$E$1886:$AR$1886,"&gt;0",'Dvd Calendar'!$E$1886:$AR$1886,"&lt;="&amp;VAL_DATE,'Dvd Calendar'!$E$1887:$AR$1887,"&gt;"&amp;PROJ_FROM,'Dvd Calendar'!$E$1887:$AR$1887,"&lt;="&amp;DATE(YEAR_Y,12,31),'Dvd Calendar'!$E$1888:$AR$1888,"&gt;=0")&gt;0,"TBA amount - override me",IF((OV_SWITCH="ON")*(COUNTIFS(OVR_TICKERS,$C36,OVR_BASE,"&gt;=0")&gt;0)&gt;0,"overridden",IF($J36+$K36=0,"no dividend in year Y",""))))</f>
        <v/>
      </c>
      <c r="V36" s="69">
        <f>IF($B36="","",IFERROR(IF(ISNUMBER($H36),$B36*$G36*$H36/$B$3,0),""))</f>
        <v/>
      </c>
      <c r="W36" s="69">
        <f>IF($B36="","",IFERROR($B36*$G36*$K36/$B$3,""))</f>
        <v/>
      </c>
      <c r="X36" s="98">
        <f>IF($C36="","",BDP($C36,"PX_LAST"))</f>
        <v/>
      </c>
      <c r="Y36" s="69">
        <f>IF($B36="","",IFERROR($B36*$X36/$B$3,""))</f>
        <v/>
      </c>
      <c r="Z36" s="73">
        <f>IF($B36="","",IFERROR($Y36/$Y$5,""))</f>
        <v/>
      </c>
    </row>
    <row r="37">
      <c r="B37" s="97" t="n"/>
      <c r="C37" s="8">
        <f>IF($A37="","",$A37&amp;" Equity")</f>
        <v/>
      </c>
      <c r="D37" s="8">
        <f>IF($C37="","",BDP($C37,"NAME"))</f>
        <v/>
      </c>
      <c r="E37" s="8">
        <f>IF($C37="","",BDP($C37,"GICS_SECTOR_NAME"))</f>
        <v/>
      </c>
      <c r="F37" s="37">
        <f>IF($C37="","",BDP($C37,FLD_CCY))</f>
        <v/>
      </c>
      <c r="G37" s="12">
        <f>IFERROR(IF(LEN($F37)&lt;&gt;3,1,IF($F37="HKD",1,BDP(IF($F37="CNY",RMB_CROSS,$F37)&amp;"HKD Curncy","PX_LAST"))),1)</f>
        <v/>
      </c>
      <c r="H37" s="69">
        <f>IF($C37="","",BDP($C37,FLD_DPS12M))</f>
        <v/>
      </c>
      <c r="I37" s="50">
        <f>IF($C37="","",BDP($C37,FLD_YLD12M))</f>
        <v/>
      </c>
      <c r="J37" s="52">
        <f>IF($B37="",0,SUMPRODUCT(('Dvd Calendar'!$E$1891:$AR$1891&gt;=DATE(YEAR_Y,1,1))*('Dvd Calendar'!$E$1891:$AR$1891&lt;=REALIZED_TO)*'Dvd Calendar'!$E$1894:$AR$1894*(('Dvd Calendar'!$E$1896:$AR$1896=TYPE1)*(TYPE1&lt;&gt;"")+('Dvd Calendar'!$E$1896:$AR$1896=TYPE2)*(TYPE2&lt;&gt;"")+('Dvd Calendar'!$E$1896:$AR$1896=TYPE3)*(TYPE3&lt;&gt;"")+('Dvd Calendar'!$E$1896:$AR$1896=TYPE4)*(TYPE4&lt;&gt;"")+('Dvd Calendar'!$E$1896:$AR$1896=SPECIAL_LBL)*(INC_SPECIALS="Y"))))</f>
        <v/>
      </c>
      <c r="K37" s="52">
        <f>IF($B37="",0,SUMIFS('Dvd Calendar'!$E$1899:$AR$1899,'Dvd Calendar'!$E$1898:$AR$1898,"&gt;"&amp;PROJ_FROM,'Dvd Calendar'!$E$1898:$AR$1898,"&lt;="&amp;DATE(YEAR_Y,12,31))+SUMPRODUCT(('Dvd Calendar'!$E$1891:$AR$1891&gt;PROJ_FROM)*('Dvd Calendar'!$E$1891:$AR$1891&lt;=DATE(YEAR_Y,12,31))*'Dvd Calendar'!$E$1894:$AR$1894*(('Dvd Calendar'!$E$1896:$AR$1896=TYPE1)*(TYPE1&lt;&gt;"")+('Dvd Calendar'!$E$1896:$AR$1896=TYPE2)*(TYPE2&lt;&gt;"")+('Dvd Calendar'!$E$1896:$AR$1896=TYPE3)*(TYPE3&lt;&gt;"")+('Dvd Calendar'!$E$1896:$AR$1896=TYPE4)*(TYPE4&lt;&gt;"")+('Dvd Calendar'!$E$1896:$AR$1896=SPECIAL_LBL)*(INC_SPECIALS="Y"))*(COUNTIF('Dvd Calendar'!$E$1898:$AR$1898,'Dvd Calendar'!$E$1891:$AR$1891)=0)))</f>
        <v/>
      </c>
      <c r="L37" s="52">
        <f>IF($B37="",0,IF((OV_SWITCH="ON")*(COUNTIFS(OVR_TICKERS,$C37,OVR_BASE,"&gt;=0")&gt;0)&gt;0,SUMIFS(OVR_BASE,OVR_TICKERS,$C37),$K37))</f>
        <v/>
      </c>
      <c r="M37" s="52">
        <f>IF($B37="",0,IF((OV_SWITCH="ON")*(COUNTIFS(OVR_TICKERS,$C37,OVR_LOW,"&gt;=0")&gt;0)&gt;0,SUMIFS(OVR_LOW,OVR_TICKERS,$C37),$L37))</f>
        <v/>
      </c>
      <c r="N37" s="52">
        <f>IF($B37="",0,IF((OV_SWITCH="ON")*(COUNTIFS(OVR_TICKERS,$C37,OVR_HIGH,"&gt;=0")&gt;0)&gt;0,SUMIFS(OVR_HIGH,OVR_TICKERS,$C37),$L37))</f>
        <v/>
      </c>
      <c r="O37" s="69">
        <f>IF($B37="","",IFERROR($B37*$G37*$J37/$B$3,""))</f>
        <v/>
      </c>
      <c r="P37" s="69">
        <f>IF($B37="","",IFERROR($B37*$G37*$L37/$B$3,""))</f>
        <v/>
      </c>
      <c r="Q37" s="44">
        <f>IF($B37="","",IFERROR($O37+$P37,""))</f>
        <v/>
      </c>
      <c r="R37" s="69">
        <f>IF($B37="","",IFERROR($O37+$B37*$G37*$M37/$B$3,""))</f>
        <v/>
      </c>
      <c r="S37" s="69">
        <f>IF($B37="","",IFERROR($O37+$B37*$G37*$N37/$B$3,""))</f>
        <v/>
      </c>
      <c r="T37" s="88">
        <f>IF($B37="","",IFERROR($Q37/$Q$5,""))</f>
        <v/>
      </c>
      <c r="U37" s="2">
        <f>IF($B37="","",IF(COUNTIFS('Dvd Calendar'!$E$1897:$AR$1897,"&gt;0",'Dvd Calendar'!$E$1897:$AR$1897,"&lt;="&amp;VAL_DATE,'Dvd Calendar'!$E$1898:$AR$1898,"&gt;"&amp;PROJ_FROM,'Dvd Calendar'!$E$1898:$AR$1898,"&lt;="&amp;DATE(YEAR_Y,12,31))-COUNTIFS('Dvd Calendar'!$E$1897:$AR$1897,"&gt;0",'Dvd Calendar'!$E$1897:$AR$1897,"&lt;="&amp;VAL_DATE,'Dvd Calendar'!$E$1898:$AR$1898,"&gt;"&amp;PROJ_FROM,'Dvd Calendar'!$E$1898:$AR$1898,"&lt;="&amp;DATE(YEAR_Y,12,31),'Dvd Calendar'!$E$1899:$AR$1899,"&gt;=0")&gt;0,"TBA amount - override me",IF((OV_SWITCH="ON")*(COUNTIFS(OVR_TICKERS,$C37,OVR_BASE,"&gt;=0")&gt;0)&gt;0,"overridden",IF($J37+$K37=0,"no dividend in year Y",""))))</f>
        <v/>
      </c>
      <c r="V37" s="69">
        <f>IF($B37="","",IFERROR(IF(ISNUMBER($H37),$B37*$G37*$H37/$B$3,0),""))</f>
        <v/>
      </c>
      <c r="W37" s="69">
        <f>IF($B37="","",IFERROR($B37*$G37*$K37/$B$3,""))</f>
        <v/>
      </c>
      <c r="X37" s="98">
        <f>IF($C37="","",BDP($C37,"PX_LAST"))</f>
        <v/>
      </c>
      <c r="Y37" s="69">
        <f>IF($B37="","",IFERROR($B37*$X37/$B$3,""))</f>
        <v/>
      </c>
      <c r="Z37" s="73">
        <f>IF($B37="","",IFERROR($Y37/$Y$5,""))</f>
        <v/>
      </c>
    </row>
    <row r="38">
      <c r="B38" s="97" t="n"/>
      <c r="C38" s="8">
        <f>IF($A38="","",$A38&amp;" Equity")</f>
        <v/>
      </c>
      <c r="D38" s="8">
        <f>IF($C38="","",BDP($C38,"NAME"))</f>
        <v/>
      </c>
      <c r="E38" s="8">
        <f>IF($C38="","",BDP($C38,"GICS_SECTOR_NAME"))</f>
        <v/>
      </c>
      <c r="F38" s="37">
        <f>IF($C38="","",BDP($C38,FLD_CCY))</f>
        <v/>
      </c>
      <c r="G38" s="12">
        <f>IFERROR(IF(LEN($F38)&lt;&gt;3,1,IF($F38="HKD",1,BDP(IF($F38="CNY",RMB_CROSS,$F38)&amp;"HKD Curncy","PX_LAST"))),1)</f>
        <v/>
      </c>
      <c r="H38" s="69">
        <f>IF($C38="","",BDP($C38,FLD_DPS12M))</f>
        <v/>
      </c>
      <c r="I38" s="50">
        <f>IF($C38="","",BDP($C38,FLD_YLD12M))</f>
        <v/>
      </c>
      <c r="J38" s="52">
        <f>IF($B38="",0,SUMPRODUCT(('Dvd Calendar'!$E$1902:$AR$1902&gt;=DATE(YEAR_Y,1,1))*('Dvd Calendar'!$E$1902:$AR$1902&lt;=REALIZED_TO)*'Dvd Calendar'!$E$1905:$AR$1905*(('Dvd Calendar'!$E$1907:$AR$1907=TYPE1)*(TYPE1&lt;&gt;"")+('Dvd Calendar'!$E$1907:$AR$1907=TYPE2)*(TYPE2&lt;&gt;"")+('Dvd Calendar'!$E$1907:$AR$1907=TYPE3)*(TYPE3&lt;&gt;"")+('Dvd Calendar'!$E$1907:$AR$1907=TYPE4)*(TYPE4&lt;&gt;"")+('Dvd Calendar'!$E$1907:$AR$1907=SPECIAL_LBL)*(INC_SPECIALS="Y"))))</f>
        <v/>
      </c>
      <c r="K38" s="52">
        <f>IF($B38="",0,SUMIFS('Dvd Calendar'!$E$1910:$AR$1910,'Dvd Calendar'!$E$1909:$AR$1909,"&gt;"&amp;PROJ_FROM,'Dvd Calendar'!$E$1909:$AR$1909,"&lt;="&amp;DATE(YEAR_Y,12,31))+SUMPRODUCT(('Dvd Calendar'!$E$1902:$AR$1902&gt;PROJ_FROM)*('Dvd Calendar'!$E$1902:$AR$1902&lt;=DATE(YEAR_Y,12,31))*'Dvd Calendar'!$E$1905:$AR$1905*(('Dvd Calendar'!$E$1907:$AR$1907=TYPE1)*(TYPE1&lt;&gt;"")+('Dvd Calendar'!$E$1907:$AR$1907=TYPE2)*(TYPE2&lt;&gt;"")+('Dvd Calendar'!$E$1907:$AR$1907=TYPE3)*(TYPE3&lt;&gt;"")+('Dvd Calendar'!$E$1907:$AR$1907=TYPE4)*(TYPE4&lt;&gt;"")+('Dvd Calendar'!$E$1907:$AR$1907=SPECIAL_LBL)*(INC_SPECIALS="Y"))*(COUNTIF('Dvd Calendar'!$E$1909:$AR$1909,'Dvd Calendar'!$E$1902:$AR$1902)=0)))</f>
        <v/>
      </c>
      <c r="L38" s="52">
        <f>IF($B38="",0,IF((OV_SWITCH="ON")*(COUNTIFS(OVR_TICKERS,$C38,OVR_BASE,"&gt;=0")&gt;0)&gt;0,SUMIFS(OVR_BASE,OVR_TICKERS,$C38),$K38))</f>
        <v/>
      </c>
      <c r="M38" s="52">
        <f>IF($B38="",0,IF((OV_SWITCH="ON")*(COUNTIFS(OVR_TICKERS,$C38,OVR_LOW,"&gt;=0")&gt;0)&gt;0,SUMIFS(OVR_LOW,OVR_TICKERS,$C38),$L38))</f>
        <v/>
      </c>
      <c r="N38" s="52">
        <f>IF($B38="",0,IF((OV_SWITCH="ON")*(COUNTIFS(OVR_TICKERS,$C38,OVR_HIGH,"&gt;=0")&gt;0)&gt;0,SUMIFS(OVR_HIGH,OVR_TICKERS,$C38),$L38))</f>
        <v/>
      </c>
      <c r="O38" s="69">
        <f>IF($B38="","",IFERROR($B38*$G38*$J38/$B$3,""))</f>
        <v/>
      </c>
      <c r="P38" s="69">
        <f>IF($B38="","",IFERROR($B38*$G38*$L38/$B$3,""))</f>
        <v/>
      </c>
      <c r="Q38" s="44">
        <f>IF($B38="","",IFERROR($O38+$P38,""))</f>
        <v/>
      </c>
      <c r="R38" s="69">
        <f>IF($B38="","",IFERROR($O38+$B38*$G38*$M38/$B$3,""))</f>
        <v/>
      </c>
      <c r="S38" s="69">
        <f>IF($B38="","",IFERROR($O38+$B38*$G38*$N38/$B$3,""))</f>
        <v/>
      </c>
      <c r="T38" s="88">
        <f>IF($B38="","",IFERROR($Q38/$Q$5,""))</f>
        <v/>
      </c>
      <c r="U38" s="2">
        <f>IF($B38="","",IF(COUNTIFS('Dvd Calendar'!$E$1908:$AR$1908,"&gt;0",'Dvd Calendar'!$E$1908:$AR$1908,"&lt;="&amp;VAL_DATE,'Dvd Calendar'!$E$1909:$AR$1909,"&gt;"&amp;PROJ_FROM,'Dvd Calendar'!$E$1909:$AR$1909,"&lt;="&amp;DATE(YEAR_Y,12,31))-COUNTIFS('Dvd Calendar'!$E$1908:$AR$1908,"&gt;0",'Dvd Calendar'!$E$1908:$AR$1908,"&lt;="&amp;VAL_DATE,'Dvd Calendar'!$E$1909:$AR$1909,"&gt;"&amp;PROJ_FROM,'Dvd Calendar'!$E$1909:$AR$1909,"&lt;="&amp;DATE(YEAR_Y,12,31),'Dvd Calendar'!$E$1910:$AR$1910,"&gt;=0")&gt;0,"TBA amount - override me",IF((OV_SWITCH="ON")*(COUNTIFS(OVR_TICKERS,$C38,OVR_BASE,"&gt;=0")&gt;0)&gt;0,"overridden",IF($J38+$K38=0,"no dividend in year Y",""))))</f>
        <v/>
      </c>
      <c r="V38" s="69">
        <f>IF($B38="","",IFERROR(IF(ISNUMBER($H38),$B38*$G38*$H38/$B$3,0),""))</f>
        <v/>
      </c>
      <c r="W38" s="69">
        <f>IF($B38="","",IFERROR($B38*$G38*$K38/$B$3,""))</f>
        <v/>
      </c>
      <c r="X38" s="98">
        <f>IF($C38="","",BDP($C38,"PX_LAST"))</f>
        <v/>
      </c>
      <c r="Y38" s="69">
        <f>IF($B38="","",IFERROR($B38*$X38/$B$3,""))</f>
        <v/>
      </c>
      <c r="Z38" s="73">
        <f>IF($B38="","",IFERROR($Y38/$Y$5,""))</f>
        <v/>
      </c>
    </row>
    <row r="39">
      <c r="B39" s="97" t="n"/>
      <c r="C39" s="8">
        <f>IF($A39="","",$A39&amp;" Equity")</f>
        <v/>
      </c>
      <c r="D39" s="8">
        <f>IF($C39="","",BDP($C39,"NAME"))</f>
        <v/>
      </c>
      <c r="E39" s="8">
        <f>IF($C39="","",BDP($C39,"GICS_SECTOR_NAME"))</f>
        <v/>
      </c>
      <c r="F39" s="37">
        <f>IF($C39="","",BDP($C39,FLD_CCY))</f>
        <v/>
      </c>
      <c r="G39" s="12">
        <f>IFERROR(IF(LEN($F39)&lt;&gt;3,1,IF($F39="HKD",1,BDP(IF($F39="CNY",RMB_CROSS,$F39)&amp;"HKD Curncy","PX_LAST"))),1)</f>
        <v/>
      </c>
      <c r="H39" s="69">
        <f>IF($C39="","",BDP($C39,FLD_DPS12M))</f>
        <v/>
      </c>
      <c r="I39" s="50">
        <f>IF($C39="","",BDP($C39,FLD_YLD12M))</f>
        <v/>
      </c>
      <c r="J39" s="52">
        <f>IF($B39="",0,SUMPRODUCT(('Dvd Calendar'!$E$1913:$AR$1913&gt;=DATE(YEAR_Y,1,1))*('Dvd Calendar'!$E$1913:$AR$1913&lt;=REALIZED_TO)*'Dvd Calendar'!$E$1916:$AR$1916*(('Dvd Calendar'!$E$1918:$AR$1918=TYPE1)*(TYPE1&lt;&gt;"")+('Dvd Calendar'!$E$1918:$AR$1918=TYPE2)*(TYPE2&lt;&gt;"")+('Dvd Calendar'!$E$1918:$AR$1918=TYPE3)*(TYPE3&lt;&gt;"")+('Dvd Calendar'!$E$1918:$AR$1918=TYPE4)*(TYPE4&lt;&gt;"")+('Dvd Calendar'!$E$1918:$AR$1918=SPECIAL_LBL)*(INC_SPECIALS="Y"))))</f>
        <v/>
      </c>
      <c r="K39" s="52">
        <f>IF($B39="",0,SUMIFS('Dvd Calendar'!$E$1921:$AR$1921,'Dvd Calendar'!$E$1920:$AR$1920,"&gt;"&amp;PROJ_FROM,'Dvd Calendar'!$E$1920:$AR$1920,"&lt;="&amp;DATE(YEAR_Y,12,31))+SUMPRODUCT(('Dvd Calendar'!$E$1913:$AR$1913&gt;PROJ_FROM)*('Dvd Calendar'!$E$1913:$AR$1913&lt;=DATE(YEAR_Y,12,31))*'Dvd Calendar'!$E$1916:$AR$1916*(('Dvd Calendar'!$E$1918:$AR$1918=TYPE1)*(TYPE1&lt;&gt;"")+('Dvd Calendar'!$E$1918:$AR$1918=TYPE2)*(TYPE2&lt;&gt;"")+('Dvd Calendar'!$E$1918:$AR$1918=TYPE3)*(TYPE3&lt;&gt;"")+('Dvd Calendar'!$E$1918:$AR$1918=TYPE4)*(TYPE4&lt;&gt;"")+('Dvd Calendar'!$E$1918:$AR$1918=SPECIAL_LBL)*(INC_SPECIALS="Y"))*(COUNTIF('Dvd Calendar'!$E$1920:$AR$1920,'Dvd Calendar'!$E$1913:$AR$1913)=0)))</f>
        <v/>
      </c>
      <c r="L39" s="52">
        <f>IF($B39="",0,IF((OV_SWITCH="ON")*(COUNTIFS(OVR_TICKERS,$C39,OVR_BASE,"&gt;=0")&gt;0)&gt;0,SUMIFS(OVR_BASE,OVR_TICKERS,$C39),$K39))</f>
        <v/>
      </c>
      <c r="M39" s="52">
        <f>IF($B39="",0,IF((OV_SWITCH="ON")*(COUNTIFS(OVR_TICKERS,$C39,OVR_LOW,"&gt;=0")&gt;0)&gt;0,SUMIFS(OVR_LOW,OVR_TICKERS,$C39),$L39))</f>
        <v/>
      </c>
      <c r="N39" s="52">
        <f>IF($B39="",0,IF((OV_SWITCH="ON")*(COUNTIFS(OVR_TICKERS,$C39,OVR_HIGH,"&gt;=0")&gt;0)&gt;0,SUMIFS(OVR_HIGH,OVR_TICKERS,$C39),$L39))</f>
        <v/>
      </c>
      <c r="O39" s="69">
        <f>IF($B39="","",IFERROR($B39*$G39*$J39/$B$3,""))</f>
        <v/>
      </c>
      <c r="P39" s="69">
        <f>IF($B39="","",IFERROR($B39*$G39*$L39/$B$3,""))</f>
        <v/>
      </c>
      <c r="Q39" s="44">
        <f>IF($B39="","",IFERROR($O39+$P39,""))</f>
        <v/>
      </c>
      <c r="R39" s="69">
        <f>IF($B39="","",IFERROR($O39+$B39*$G39*$M39/$B$3,""))</f>
        <v/>
      </c>
      <c r="S39" s="69">
        <f>IF($B39="","",IFERROR($O39+$B39*$G39*$N39/$B$3,""))</f>
        <v/>
      </c>
      <c r="T39" s="88">
        <f>IF($B39="","",IFERROR($Q39/$Q$5,""))</f>
        <v/>
      </c>
      <c r="U39" s="2">
        <f>IF($B39="","",IF(COUNTIFS('Dvd Calendar'!$E$1919:$AR$1919,"&gt;0",'Dvd Calendar'!$E$1919:$AR$1919,"&lt;="&amp;VAL_DATE,'Dvd Calendar'!$E$1920:$AR$1920,"&gt;"&amp;PROJ_FROM,'Dvd Calendar'!$E$1920:$AR$1920,"&lt;="&amp;DATE(YEAR_Y,12,31))-COUNTIFS('Dvd Calendar'!$E$1919:$AR$1919,"&gt;0",'Dvd Calendar'!$E$1919:$AR$1919,"&lt;="&amp;VAL_DATE,'Dvd Calendar'!$E$1920:$AR$1920,"&gt;"&amp;PROJ_FROM,'Dvd Calendar'!$E$1920:$AR$1920,"&lt;="&amp;DATE(YEAR_Y,12,31),'Dvd Calendar'!$E$1921:$AR$1921,"&gt;=0")&gt;0,"TBA amount - override me",IF((OV_SWITCH="ON")*(COUNTIFS(OVR_TICKERS,$C39,OVR_BASE,"&gt;=0")&gt;0)&gt;0,"overridden",IF($J39+$K39=0,"no dividend in year Y",""))))</f>
        <v/>
      </c>
      <c r="V39" s="69">
        <f>IF($B39="","",IFERROR(IF(ISNUMBER($H39),$B39*$G39*$H39/$B$3,0),""))</f>
        <v/>
      </c>
      <c r="W39" s="69">
        <f>IF($B39="","",IFERROR($B39*$G39*$K39/$B$3,""))</f>
        <v/>
      </c>
      <c r="X39" s="98">
        <f>IF($C39="","",BDP($C39,"PX_LAST"))</f>
        <v/>
      </c>
      <c r="Y39" s="69">
        <f>IF($B39="","",IFERROR($B39*$X39/$B$3,""))</f>
        <v/>
      </c>
      <c r="Z39" s="73">
        <f>IF($B39="","",IFERROR($Y39/$Y$5,""))</f>
        <v/>
      </c>
    </row>
    <row r="40">
      <c r="B40" s="97" t="n"/>
      <c r="C40" s="8">
        <f>IF($A40="","",$A40&amp;" Equity")</f>
        <v/>
      </c>
      <c r="D40" s="8">
        <f>IF($C40="","",BDP($C40,"NAME"))</f>
        <v/>
      </c>
      <c r="E40" s="8">
        <f>IF($C40="","",BDP($C40,"GICS_SECTOR_NAME"))</f>
        <v/>
      </c>
      <c r="F40" s="37">
        <f>IF($C40="","",BDP($C40,FLD_CCY))</f>
        <v/>
      </c>
      <c r="G40" s="12">
        <f>IFERROR(IF(LEN($F40)&lt;&gt;3,1,IF($F40="HKD",1,BDP(IF($F40="CNY",RMB_CROSS,$F40)&amp;"HKD Curncy","PX_LAST"))),1)</f>
        <v/>
      </c>
      <c r="H40" s="69">
        <f>IF($C40="","",BDP($C40,FLD_DPS12M))</f>
        <v/>
      </c>
      <c r="I40" s="50">
        <f>IF($C40="","",BDP($C40,FLD_YLD12M))</f>
        <v/>
      </c>
      <c r="J40" s="52">
        <f>IF($B40="",0,SUMPRODUCT(('Dvd Calendar'!$E$1924:$AR$1924&gt;=DATE(YEAR_Y,1,1))*('Dvd Calendar'!$E$1924:$AR$1924&lt;=REALIZED_TO)*'Dvd Calendar'!$E$1927:$AR$1927*(('Dvd Calendar'!$E$1929:$AR$1929=TYPE1)*(TYPE1&lt;&gt;"")+('Dvd Calendar'!$E$1929:$AR$1929=TYPE2)*(TYPE2&lt;&gt;"")+('Dvd Calendar'!$E$1929:$AR$1929=TYPE3)*(TYPE3&lt;&gt;"")+('Dvd Calendar'!$E$1929:$AR$1929=TYPE4)*(TYPE4&lt;&gt;"")+('Dvd Calendar'!$E$1929:$AR$1929=SPECIAL_LBL)*(INC_SPECIALS="Y"))))</f>
        <v/>
      </c>
      <c r="K40" s="52">
        <f>IF($B40="",0,SUMIFS('Dvd Calendar'!$E$1932:$AR$1932,'Dvd Calendar'!$E$1931:$AR$1931,"&gt;"&amp;PROJ_FROM,'Dvd Calendar'!$E$1931:$AR$1931,"&lt;="&amp;DATE(YEAR_Y,12,31))+SUMPRODUCT(('Dvd Calendar'!$E$1924:$AR$1924&gt;PROJ_FROM)*('Dvd Calendar'!$E$1924:$AR$1924&lt;=DATE(YEAR_Y,12,31))*'Dvd Calendar'!$E$1927:$AR$1927*(('Dvd Calendar'!$E$1929:$AR$1929=TYPE1)*(TYPE1&lt;&gt;"")+('Dvd Calendar'!$E$1929:$AR$1929=TYPE2)*(TYPE2&lt;&gt;"")+('Dvd Calendar'!$E$1929:$AR$1929=TYPE3)*(TYPE3&lt;&gt;"")+('Dvd Calendar'!$E$1929:$AR$1929=TYPE4)*(TYPE4&lt;&gt;"")+('Dvd Calendar'!$E$1929:$AR$1929=SPECIAL_LBL)*(INC_SPECIALS="Y"))*(COUNTIF('Dvd Calendar'!$E$1931:$AR$1931,'Dvd Calendar'!$E$1924:$AR$1924)=0)))</f>
        <v/>
      </c>
      <c r="L40" s="52">
        <f>IF($B40="",0,IF((OV_SWITCH="ON")*(COUNTIFS(OVR_TICKERS,$C40,OVR_BASE,"&gt;=0")&gt;0)&gt;0,SUMIFS(OVR_BASE,OVR_TICKERS,$C40),$K40))</f>
        <v/>
      </c>
      <c r="M40" s="52">
        <f>IF($B40="",0,IF((OV_SWITCH="ON")*(COUNTIFS(OVR_TICKERS,$C40,OVR_LOW,"&gt;=0")&gt;0)&gt;0,SUMIFS(OVR_LOW,OVR_TICKERS,$C40),$L40))</f>
        <v/>
      </c>
      <c r="N40" s="52">
        <f>IF($B40="",0,IF((OV_SWITCH="ON")*(COUNTIFS(OVR_TICKERS,$C40,OVR_HIGH,"&gt;=0")&gt;0)&gt;0,SUMIFS(OVR_HIGH,OVR_TICKERS,$C40),$L40))</f>
        <v/>
      </c>
      <c r="O40" s="69">
        <f>IF($B40="","",IFERROR($B40*$G40*$J40/$B$3,""))</f>
        <v/>
      </c>
      <c r="P40" s="69">
        <f>IF($B40="","",IFERROR($B40*$G40*$L40/$B$3,""))</f>
        <v/>
      </c>
      <c r="Q40" s="44">
        <f>IF($B40="","",IFERROR($O40+$P40,""))</f>
        <v/>
      </c>
      <c r="R40" s="69">
        <f>IF($B40="","",IFERROR($O40+$B40*$G40*$M40/$B$3,""))</f>
        <v/>
      </c>
      <c r="S40" s="69">
        <f>IF($B40="","",IFERROR($O40+$B40*$G40*$N40/$B$3,""))</f>
        <v/>
      </c>
      <c r="T40" s="88">
        <f>IF($B40="","",IFERROR($Q40/$Q$5,""))</f>
        <v/>
      </c>
      <c r="U40" s="2">
        <f>IF($B40="","",IF(COUNTIFS('Dvd Calendar'!$E$1930:$AR$1930,"&gt;0",'Dvd Calendar'!$E$1930:$AR$1930,"&lt;="&amp;VAL_DATE,'Dvd Calendar'!$E$1931:$AR$1931,"&gt;"&amp;PROJ_FROM,'Dvd Calendar'!$E$1931:$AR$1931,"&lt;="&amp;DATE(YEAR_Y,12,31))-COUNTIFS('Dvd Calendar'!$E$1930:$AR$1930,"&gt;0",'Dvd Calendar'!$E$1930:$AR$1930,"&lt;="&amp;VAL_DATE,'Dvd Calendar'!$E$1931:$AR$1931,"&gt;"&amp;PROJ_FROM,'Dvd Calendar'!$E$1931:$AR$1931,"&lt;="&amp;DATE(YEAR_Y,12,31),'Dvd Calendar'!$E$1932:$AR$1932,"&gt;=0")&gt;0,"TBA amount - override me",IF((OV_SWITCH="ON")*(COUNTIFS(OVR_TICKERS,$C40,OVR_BASE,"&gt;=0")&gt;0)&gt;0,"overridden",IF($J40+$K40=0,"no dividend in year Y",""))))</f>
        <v/>
      </c>
      <c r="V40" s="69">
        <f>IF($B40="","",IFERROR(IF(ISNUMBER($H40),$B40*$G40*$H40/$B$3,0),""))</f>
        <v/>
      </c>
      <c r="W40" s="69">
        <f>IF($B40="","",IFERROR($B40*$G40*$K40/$B$3,""))</f>
        <v/>
      </c>
      <c r="X40" s="98">
        <f>IF($C40="","",BDP($C40,"PX_LAST"))</f>
        <v/>
      </c>
      <c r="Y40" s="69">
        <f>IF($B40="","",IFERROR($B40*$X40/$B$3,""))</f>
        <v/>
      </c>
      <c r="Z40" s="73">
        <f>IF($B40="","",IFERROR($Y40/$Y$5,""))</f>
        <v/>
      </c>
    </row>
    <row r="41">
      <c r="B41" s="97" t="n"/>
      <c r="C41" s="8">
        <f>IF($A41="","",$A41&amp;" Equity")</f>
        <v/>
      </c>
      <c r="D41" s="8">
        <f>IF($C41="","",BDP($C41,"NAME"))</f>
        <v/>
      </c>
      <c r="E41" s="8">
        <f>IF($C41="","",BDP($C41,"GICS_SECTOR_NAME"))</f>
        <v/>
      </c>
      <c r="F41" s="37">
        <f>IF($C41="","",BDP($C41,FLD_CCY))</f>
        <v/>
      </c>
      <c r="G41" s="12">
        <f>IFERROR(IF(LEN($F41)&lt;&gt;3,1,IF($F41="HKD",1,BDP(IF($F41="CNY",RMB_CROSS,$F41)&amp;"HKD Curncy","PX_LAST"))),1)</f>
        <v/>
      </c>
      <c r="H41" s="69">
        <f>IF($C41="","",BDP($C41,FLD_DPS12M))</f>
        <v/>
      </c>
      <c r="I41" s="50">
        <f>IF($C41="","",BDP($C41,FLD_YLD12M))</f>
        <v/>
      </c>
      <c r="J41" s="52">
        <f>IF($B41="",0,SUMPRODUCT(('Dvd Calendar'!$E$1935:$AR$1935&gt;=DATE(YEAR_Y,1,1))*('Dvd Calendar'!$E$1935:$AR$1935&lt;=REALIZED_TO)*'Dvd Calendar'!$E$1938:$AR$1938*(('Dvd Calendar'!$E$1940:$AR$1940=TYPE1)*(TYPE1&lt;&gt;"")+('Dvd Calendar'!$E$1940:$AR$1940=TYPE2)*(TYPE2&lt;&gt;"")+('Dvd Calendar'!$E$1940:$AR$1940=TYPE3)*(TYPE3&lt;&gt;"")+('Dvd Calendar'!$E$1940:$AR$1940=TYPE4)*(TYPE4&lt;&gt;"")+('Dvd Calendar'!$E$1940:$AR$1940=SPECIAL_LBL)*(INC_SPECIALS="Y"))))</f>
        <v/>
      </c>
      <c r="K41" s="52">
        <f>IF($B41="",0,SUMIFS('Dvd Calendar'!$E$1943:$AR$1943,'Dvd Calendar'!$E$1942:$AR$1942,"&gt;"&amp;PROJ_FROM,'Dvd Calendar'!$E$1942:$AR$1942,"&lt;="&amp;DATE(YEAR_Y,12,31))+SUMPRODUCT(('Dvd Calendar'!$E$1935:$AR$1935&gt;PROJ_FROM)*('Dvd Calendar'!$E$1935:$AR$1935&lt;=DATE(YEAR_Y,12,31))*'Dvd Calendar'!$E$1938:$AR$1938*(('Dvd Calendar'!$E$1940:$AR$1940=TYPE1)*(TYPE1&lt;&gt;"")+('Dvd Calendar'!$E$1940:$AR$1940=TYPE2)*(TYPE2&lt;&gt;"")+('Dvd Calendar'!$E$1940:$AR$1940=TYPE3)*(TYPE3&lt;&gt;"")+('Dvd Calendar'!$E$1940:$AR$1940=TYPE4)*(TYPE4&lt;&gt;"")+('Dvd Calendar'!$E$1940:$AR$1940=SPECIAL_LBL)*(INC_SPECIALS="Y"))*(COUNTIF('Dvd Calendar'!$E$1942:$AR$1942,'Dvd Calendar'!$E$1935:$AR$1935)=0)))</f>
        <v/>
      </c>
      <c r="L41" s="52">
        <f>IF($B41="",0,IF((OV_SWITCH="ON")*(COUNTIFS(OVR_TICKERS,$C41,OVR_BASE,"&gt;=0")&gt;0)&gt;0,SUMIFS(OVR_BASE,OVR_TICKERS,$C41),$K41))</f>
        <v/>
      </c>
      <c r="M41" s="52">
        <f>IF($B41="",0,IF((OV_SWITCH="ON")*(COUNTIFS(OVR_TICKERS,$C41,OVR_LOW,"&gt;=0")&gt;0)&gt;0,SUMIFS(OVR_LOW,OVR_TICKERS,$C41),$L41))</f>
        <v/>
      </c>
      <c r="N41" s="52">
        <f>IF($B41="",0,IF((OV_SWITCH="ON")*(COUNTIFS(OVR_TICKERS,$C41,OVR_HIGH,"&gt;=0")&gt;0)&gt;0,SUMIFS(OVR_HIGH,OVR_TICKERS,$C41),$L41))</f>
        <v/>
      </c>
      <c r="O41" s="69">
        <f>IF($B41="","",IFERROR($B41*$G41*$J41/$B$3,""))</f>
        <v/>
      </c>
      <c r="P41" s="69">
        <f>IF($B41="","",IFERROR($B41*$G41*$L41/$B$3,""))</f>
        <v/>
      </c>
      <c r="Q41" s="44">
        <f>IF($B41="","",IFERROR($O41+$P41,""))</f>
        <v/>
      </c>
      <c r="R41" s="69">
        <f>IF($B41="","",IFERROR($O41+$B41*$G41*$M41/$B$3,""))</f>
        <v/>
      </c>
      <c r="S41" s="69">
        <f>IF($B41="","",IFERROR($O41+$B41*$G41*$N41/$B$3,""))</f>
        <v/>
      </c>
      <c r="T41" s="88">
        <f>IF($B41="","",IFERROR($Q41/$Q$5,""))</f>
        <v/>
      </c>
      <c r="U41" s="2">
        <f>IF($B41="","",IF(COUNTIFS('Dvd Calendar'!$E$1941:$AR$1941,"&gt;0",'Dvd Calendar'!$E$1941:$AR$1941,"&lt;="&amp;VAL_DATE,'Dvd Calendar'!$E$1942:$AR$1942,"&gt;"&amp;PROJ_FROM,'Dvd Calendar'!$E$1942:$AR$1942,"&lt;="&amp;DATE(YEAR_Y,12,31))-COUNTIFS('Dvd Calendar'!$E$1941:$AR$1941,"&gt;0",'Dvd Calendar'!$E$1941:$AR$1941,"&lt;="&amp;VAL_DATE,'Dvd Calendar'!$E$1942:$AR$1942,"&gt;"&amp;PROJ_FROM,'Dvd Calendar'!$E$1942:$AR$1942,"&lt;="&amp;DATE(YEAR_Y,12,31),'Dvd Calendar'!$E$1943:$AR$1943,"&gt;=0")&gt;0,"TBA amount - override me",IF((OV_SWITCH="ON")*(COUNTIFS(OVR_TICKERS,$C41,OVR_BASE,"&gt;=0")&gt;0)&gt;0,"overridden",IF($J41+$K41=0,"no dividend in year Y",""))))</f>
        <v/>
      </c>
      <c r="V41" s="69">
        <f>IF($B41="","",IFERROR(IF(ISNUMBER($H41),$B41*$G41*$H41/$B$3,0),""))</f>
        <v/>
      </c>
      <c r="W41" s="69">
        <f>IF($B41="","",IFERROR($B41*$G41*$K41/$B$3,""))</f>
        <v/>
      </c>
      <c r="X41" s="98">
        <f>IF($C41="","",BDP($C41,"PX_LAST"))</f>
        <v/>
      </c>
      <c r="Y41" s="69">
        <f>IF($B41="","",IFERROR($B41*$X41/$B$3,""))</f>
        <v/>
      </c>
      <c r="Z41" s="73">
        <f>IF($B41="","",IFERROR($Y41/$Y$5,""))</f>
        <v/>
      </c>
    </row>
    <row r="42">
      <c r="B42" s="97" t="n"/>
      <c r="C42" s="8">
        <f>IF($A42="","",$A42&amp;" Equity")</f>
        <v/>
      </c>
      <c r="D42" s="8">
        <f>IF($C42="","",BDP($C42,"NAME"))</f>
        <v/>
      </c>
      <c r="E42" s="8">
        <f>IF($C42="","",BDP($C42,"GICS_SECTOR_NAME"))</f>
        <v/>
      </c>
      <c r="F42" s="37">
        <f>IF($C42="","",BDP($C42,FLD_CCY))</f>
        <v/>
      </c>
      <c r="G42" s="12">
        <f>IFERROR(IF(LEN($F42)&lt;&gt;3,1,IF($F42="HKD",1,BDP(IF($F42="CNY",RMB_CROSS,$F42)&amp;"HKD Curncy","PX_LAST"))),1)</f>
        <v/>
      </c>
      <c r="H42" s="69">
        <f>IF($C42="","",BDP($C42,FLD_DPS12M))</f>
        <v/>
      </c>
      <c r="I42" s="50">
        <f>IF($C42="","",BDP($C42,FLD_YLD12M))</f>
        <v/>
      </c>
      <c r="J42" s="52">
        <f>IF($B42="",0,SUMPRODUCT(('Dvd Calendar'!$E$1946:$AR$1946&gt;=DATE(YEAR_Y,1,1))*('Dvd Calendar'!$E$1946:$AR$1946&lt;=REALIZED_TO)*'Dvd Calendar'!$E$1949:$AR$1949*(('Dvd Calendar'!$E$1951:$AR$1951=TYPE1)*(TYPE1&lt;&gt;"")+('Dvd Calendar'!$E$1951:$AR$1951=TYPE2)*(TYPE2&lt;&gt;"")+('Dvd Calendar'!$E$1951:$AR$1951=TYPE3)*(TYPE3&lt;&gt;"")+('Dvd Calendar'!$E$1951:$AR$1951=TYPE4)*(TYPE4&lt;&gt;"")+('Dvd Calendar'!$E$1951:$AR$1951=SPECIAL_LBL)*(INC_SPECIALS="Y"))))</f>
        <v/>
      </c>
      <c r="K42" s="52">
        <f>IF($B42="",0,SUMIFS('Dvd Calendar'!$E$1954:$AR$1954,'Dvd Calendar'!$E$1953:$AR$1953,"&gt;"&amp;PROJ_FROM,'Dvd Calendar'!$E$1953:$AR$1953,"&lt;="&amp;DATE(YEAR_Y,12,31))+SUMPRODUCT(('Dvd Calendar'!$E$1946:$AR$1946&gt;PROJ_FROM)*('Dvd Calendar'!$E$1946:$AR$1946&lt;=DATE(YEAR_Y,12,31))*'Dvd Calendar'!$E$1949:$AR$1949*(('Dvd Calendar'!$E$1951:$AR$1951=TYPE1)*(TYPE1&lt;&gt;"")+('Dvd Calendar'!$E$1951:$AR$1951=TYPE2)*(TYPE2&lt;&gt;"")+('Dvd Calendar'!$E$1951:$AR$1951=TYPE3)*(TYPE3&lt;&gt;"")+('Dvd Calendar'!$E$1951:$AR$1951=TYPE4)*(TYPE4&lt;&gt;"")+('Dvd Calendar'!$E$1951:$AR$1951=SPECIAL_LBL)*(INC_SPECIALS="Y"))*(COUNTIF('Dvd Calendar'!$E$1953:$AR$1953,'Dvd Calendar'!$E$1946:$AR$1946)=0)))</f>
        <v/>
      </c>
      <c r="L42" s="52">
        <f>IF($B42="",0,IF((OV_SWITCH="ON")*(COUNTIFS(OVR_TICKERS,$C42,OVR_BASE,"&gt;=0")&gt;0)&gt;0,SUMIFS(OVR_BASE,OVR_TICKERS,$C42),$K42))</f>
        <v/>
      </c>
      <c r="M42" s="52">
        <f>IF($B42="",0,IF((OV_SWITCH="ON")*(COUNTIFS(OVR_TICKERS,$C42,OVR_LOW,"&gt;=0")&gt;0)&gt;0,SUMIFS(OVR_LOW,OVR_TICKERS,$C42),$L42))</f>
        <v/>
      </c>
      <c r="N42" s="52">
        <f>IF($B42="",0,IF((OV_SWITCH="ON")*(COUNTIFS(OVR_TICKERS,$C42,OVR_HIGH,"&gt;=0")&gt;0)&gt;0,SUMIFS(OVR_HIGH,OVR_TICKERS,$C42),$L42))</f>
        <v/>
      </c>
      <c r="O42" s="69">
        <f>IF($B42="","",IFERROR($B42*$G42*$J42/$B$3,""))</f>
        <v/>
      </c>
      <c r="P42" s="69">
        <f>IF($B42="","",IFERROR($B42*$G42*$L42/$B$3,""))</f>
        <v/>
      </c>
      <c r="Q42" s="44">
        <f>IF($B42="","",IFERROR($O42+$P42,""))</f>
        <v/>
      </c>
      <c r="R42" s="69">
        <f>IF($B42="","",IFERROR($O42+$B42*$G42*$M42/$B$3,""))</f>
        <v/>
      </c>
      <c r="S42" s="69">
        <f>IF($B42="","",IFERROR($O42+$B42*$G42*$N42/$B$3,""))</f>
        <v/>
      </c>
      <c r="T42" s="88">
        <f>IF($B42="","",IFERROR($Q42/$Q$5,""))</f>
        <v/>
      </c>
      <c r="U42" s="2">
        <f>IF($B42="","",IF(COUNTIFS('Dvd Calendar'!$E$1952:$AR$1952,"&gt;0",'Dvd Calendar'!$E$1952:$AR$1952,"&lt;="&amp;VAL_DATE,'Dvd Calendar'!$E$1953:$AR$1953,"&gt;"&amp;PROJ_FROM,'Dvd Calendar'!$E$1953:$AR$1953,"&lt;="&amp;DATE(YEAR_Y,12,31))-COUNTIFS('Dvd Calendar'!$E$1952:$AR$1952,"&gt;0",'Dvd Calendar'!$E$1952:$AR$1952,"&lt;="&amp;VAL_DATE,'Dvd Calendar'!$E$1953:$AR$1953,"&gt;"&amp;PROJ_FROM,'Dvd Calendar'!$E$1953:$AR$1953,"&lt;="&amp;DATE(YEAR_Y,12,31),'Dvd Calendar'!$E$1954:$AR$1954,"&gt;=0")&gt;0,"TBA amount - override me",IF((OV_SWITCH="ON")*(COUNTIFS(OVR_TICKERS,$C42,OVR_BASE,"&gt;=0")&gt;0)&gt;0,"overridden",IF($J42+$K42=0,"no dividend in year Y",""))))</f>
        <v/>
      </c>
      <c r="V42" s="69">
        <f>IF($B42="","",IFERROR(IF(ISNUMBER($H42),$B42*$G42*$H42/$B$3,0),""))</f>
        <v/>
      </c>
      <c r="W42" s="69">
        <f>IF($B42="","",IFERROR($B42*$G42*$K42/$B$3,""))</f>
        <v/>
      </c>
      <c r="X42" s="98">
        <f>IF($C42="","",BDP($C42,"PX_LAST"))</f>
        <v/>
      </c>
      <c r="Y42" s="69">
        <f>IF($B42="","",IFERROR($B42*$X42/$B$3,""))</f>
        <v/>
      </c>
      <c r="Z42" s="73">
        <f>IF($B42="","",IFERROR($Y42/$Y$5,""))</f>
        <v/>
      </c>
    </row>
    <row r="43">
      <c r="B43" s="97" t="n"/>
      <c r="C43" s="8">
        <f>IF($A43="","",$A43&amp;" Equity")</f>
        <v/>
      </c>
      <c r="D43" s="8">
        <f>IF($C43="","",BDP($C43,"NAME"))</f>
        <v/>
      </c>
      <c r="E43" s="8">
        <f>IF($C43="","",BDP($C43,"GICS_SECTOR_NAME"))</f>
        <v/>
      </c>
      <c r="F43" s="37">
        <f>IF($C43="","",BDP($C43,FLD_CCY))</f>
        <v/>
      </c>
      <c r="G43" s="12">
        <f>IFERROR(IF(LEN($F43)&lt;&gt;3,1,IF($F43="HKD",1,BDP(IF($F43="CNY",RMB_CROSS,$F43)&amp;"HKD Curncy","PX_LAST"))),1)</f>
        <v/>
      </c>
      <c r="H43" s="69">
        <f>IF($C43="","",BDP($C43,FLD_DPS12M))</f>
        <v/>
      </c>
      <c r="I43" s="50">
        <f>IF($C43="","",BDP($C43,FLD_YLD12M))</f>
        <v/>
      </c>
      <c r="J43" s="52">
        <f>IF($B43="",0,SUMPRODUCT(('Dvd Calendar'!$E$1957:$AR$1957&gt;=DATE(YEAR_Y,1,1))*('Dvd Calendar'!$E$1957:$AR$1957&lt;=REALIZED_TO)*'Dvd Calendar'!$E$1960:$AR$1960*(('Dvd Calendar'!$E$1962:$AR$1962=TYPE1)*(TYPE1&lt;&gt;"")+('Dvd Calendar'!$E$1962:$AR$1962=TYPE2)*(TYPE2&lt;&gt;"")+('Dvd Calendar'!$E$1962:$AR$1962=TYPE3)*(TYPE3&lt;&gt;"")+('Dvd Calendar'!$E$1962:$AR$1962=TYPE4)*(TYPE4&lt;&gt;"")+('Dvd Calendar'!$E$1962:$AR$1962=SPECIAL_LBL)*(INC_SPECIALS="Y"))))</f>
        <v/>
      </c>
      <c r="K43" s="52">
        <f>IF($B43="",0,SUMIFS('Dvd Calendar'!$E$1965:$AR$1965,'Dvd Calendar'!$E$1964:$AR$1964,"&gt;"&amp;PROJ_FROM,'Dvd Calendar'!$E$1964:$AR$1964,"&lt;="&amp;DATE(YEAR_Y,12,31))+SUMPRODUCT(('Dvd Calendar'!$E$1957:$AR$1957&gt;PROJ_FROM)*('Dvd Calendar'!$E$1957:$AR$1957&lt;=DATE(YEAR_Y,12,31))*'Dvd Calendar'!$E$1960:$AR$1960*(('Dvd Calendar'!$E$1962:$AR$1962=TYPE1)*(TYPE1&lt;&gt;"")+('Dvd Calendar'!$E$1962:$AR$1962=TYPE2)*(TYPE2&lt;&gt;"")+('Dvd Calendar'!$E$1962:$AR$1962=TYPE3)*(TYPE3&lt;&gt;"")+('Dvd Calendar'!$E$1962:$AR$1962=TYPE4)*(TYPE4&lt;&gt;"")+('Dvd Calendar'!$E$1962:$AR$1962=SPECIAL_LBL)*(INC_SPECIALS="Y"))*(COUNTIF('Dvd Calendar'!$E$1964:$AR$1964,'Dvd Calendar'!$E$1957:$AR$1957)=0)))</f>
        <v/>
      </c>
      <c r="L43" s="52">
        <f>IF($B43="",0,IF((OV_SWITCH="ON")*(COUNTIFS(OVR_TICKERS,$C43,OVR_BASE,"&gt;=0")&gt;0)&gt;0,SUMIFS(OVR_BASE,OVR_TICKERS,$C43),$K43))</f>
        <v/>
      </c>
      <c r="M43" s="52">
        <f>IF($B43="",0,IF((OV_SWITCH="ON")*(COUNTIFS(OVR_TICKERS,$C43,OVR_LOW,"&gt;=0")&gt;0)&gt;0,SUMIFS(OVR_LOW,OVR_TICKERS,$C43),$L43))</f>
        <v/>
      </c>
      <c r="N43" s="52">
        <f>IF($B43="",0,IF((OV_SWITCH="ON")*(COUNTIFS(OVR_TICKERS,$C43,OVR_HIGH,"&gt;=0")&gt;0)&gt;0,SUMIFS(OVR_HIGH,OVR_TICKERS,$C43),$L43))</f>
        <v/>
      </c>
      <c r="O43" s="69">
        <f>IF($B43="","",IFERROR($B43*$G43*$J43/$B$3,""))</f>
        <v/>
      </c>
      <c r="P43" s="69">
        <f>IF($B43="","",IFERROR($B43*$G43*$L43/$B$3,""))</f>
        <v/>
      </c>
      <c r="Q43" s="44">
        <f>IF($B43="","",IFERROR($O43+$P43,""))</f>
        <v/>
      </c>
      <c r="R43" s="69">
        <f>IF($B43="","",IFERROR($O43+$B43*$G43*$M43/$B$3,""))</f>
        <v/>
      </c>
      <c r="S43" s="69">
        <f>IF($B43="","",IFERROR($O43+$B43*$G43*$N43/$B$3,""))</f>
        <v/>
      </c>
      <c r="T43" s="88">
        <f>IF($B43="","",IFERROR($Q43/$Q$5,""))</f>
        <v/>
      </c>
      <c r="U43" s="2">
        <f>IF($B43="","",IF(COUNTIFS('Dvd Calendar'!$E$1963:$AR$1963,"&gt;0",'Dvd Calendar'!$E$1963:$AR$1963,"&lt;="&amp;VAL_DATE,'Dvd Calendar'!$E$1964:$AR$1964,"&gt;"&amp;PROJ_FROM,'Dvd Calendar'!$E$1964:$AR$1964,"&lt;="&amp;DATE(YEAR_Y,12,31))-COUNTIFS('Dvd Calendar'!$E$1963:$AR$1963,"&gt;0",'Dvd Calendar'!$E$1963:$AR$1963,"&lt;="&amp;VAL_DATE,'Dvd Calendar'!$E$1964:$AR$1964,"&gt;"&amp;PROJ_FROM,'Dvd Calendar'!$E$1964:$AR$1964,"&lt;="&amp;DATE(YEAR_Y,12,31),'Dvd Calendar'!$E$1965:$AR$1965,"&gt;=0")&gt;0,"TBA amount - override me",IF((OV_SWITCH="ON")*(COUNTIFS(OVR_TICKERS,$C43,OVR_BASE,"&gt;=0")&gt;0)&gt;0,"overridden",IF($J43+$K43=0,"no dividend in year Y",""))))</f>
        <v/>
      </c>
      <c r="V43" s="69">
        <f>IF($B43="","",IFERROR(IF(ISNUMBER($H43),$B43*$G43*$H43/$B$3,0),""))</f>
        <v/>
      </c>
      <c r="W43" s="69">
        <f>IF($B43="","",IFERROR($B43*$G43*$K43/$B$3,""))</f>
        <v/>
      </c>
      <c r="X43" s="98">
        <f>IF($C43="","",BDP($C43,"PX_LAST"))</f>
        <v/>
      </c>
      <c r="Y43" s="69">
        <f>IF($B43="","",IFERROR($B43*$X43/$B$3,""))</f>
        <v/>
      </c>
      <c r="Z43" s="73">
        <f>IF($B43="","",IFERROR($Y43/$Y$5,""))</f>
        <v/>
      </c>
    </row>
    <row r="44">
      <c r="B44" s="97" t="n"/>
      <c r="C44" s="8">
        <f>IF($A44="","",$A44&amp;" Equity")</f>
        <v/>
      </c>
      <c r="D44" s="8">
        <f>IF($C44="","",BDP($C44,"NAME"))</f>
        <v/>
      </c>
      <c r="E44" s="8">
        <f>IF($C44="","",BDP($C44,"GICS_SECTOR_NAME"))</f>
        <v/>
      </c>
      <c r="F44" s="37">
        <f>IF($C44="","",BDP($C44,FLD_CCY))</f>
        <v/>
      </c>
      <c r="G44" s="12">
        <f>IFERROR(IF(LEN($F44)&lt;&gt;3,1,IF($F44="HKD",1,BDP(IF($F44="CNY",RMB_CROSS,$F44)&amp;"HKD Curncy","PX_LAST"))),1)</f>
        <v/>
      </c>
      <c r="H44" s="69">
        <f>IF($C44="","",BDP($C44,FLD_DPS12M))</f>
        <v/>
      </c>
      <c r="I44" s="50">
        <f>IF($C44="","",BDP($C44,FLD_YLD12M))</f>
        <v/>
      </c>
      <c r="J44" s="52">
        <f>IF($B44="",0,SUMPRODUCT(('Dvd Calendar'!$E$1968:$AR$1968&gt;=DATE(YEAR_Y,1,1))*('Dvd Calendar'!$E$1968:$AR$1968&lt;=REALIZED_TO)*'Dvd Calendar'!$E$1971:$AR$1971*(('Dvd Calendar'!$E$1973:$AR$1973=TYPE1)*(TYPE1&lt;&gt;"")+('Dvd Calendar'!$E$1973:$AR$1973=TYPE2)*(TYPE2&lt;&gt;"")+('Dvd Calendar'!$E$1973:$AR$1973=TYPE3)*(TYPE3&lt;&gt;"")+('Dvd Calendar'!$E$1973:$AR$1973=TYPE4)*(TYPE4&lt;&gt;"")+('Dvd Calendar'!$E$1973:$AR$1973=SPECIAL_LBL)*(INC_SPECIALS="Y"))))</f>
        <v/>
      </c>
      <c r="K44" s="52">
        <f>IF($B44="",0,SUMIFS('Dvd Calendar'!$E$1976:$AR$1976,'Dvd Calendar'!$E$1975:$AR$1975,"&gt;"&amp;PROJ_FROM,'Dvd Calendar'!$E$1975:$AR$1975,"&lt;="&amp;DATE(YEAR_Y,12,31))+SUMPRODUCT(('Dvd Calendar'!$E$1968:$AR$1968&gt;PROJ_FROM)*('Dvd Calendar'!$E$1968:$AR$1968&lt;=DATE(YEAR_Y,12,31))*'Dvd Calendar'!$E$1971:$AR$1971*(('Dvd Calendar'!$E$1973:$AR$1973=TYPE1)*(TYPE1&lt;&gt;"")+('Dvd Calendar'!$E$1973:$AR$1973=TYPE2)*(TYPE2&lt;&gt;"")+('Dvd Calendar'!$E$1973:$AR$1973=TYPE3)*(TYPE3&lt;&gt;"")+('Dvd Calendar'!$E$1973:$AR$1973=TYPE4)*(TYPE4&lt;&gt;"")+('Dvd Calendar'!$E$1973:$AR$1973=SPECIAL_LBL)*(INC_SPECIALS="Y"))*(COUNTIF('Dvd Calendar'!$E$1975:$AR$1975,'Dvd Calendar'!$E$1968:$AR$1968)=0)))</f>
        <v/>
      </c>
      <c r="L44" s="52">
        <f>IF($B44="",0,IF((OV_SWITCH="ON")*(COUNTIFS(OVR_TICKERS,$C44,OVR_BASE,"&gt;=0")&gt;0)&gt;0,SUMIFS(OVR_BASE,OVR_TICKERS,$C44),$K44))</f>
        <v/>
      </c>
      <c r="M44" s="52">
        <f>IF($B44="",0,IF((OV_SWITCH="ON")*(COUNTIFS(OVR_TICKERS,$C44,OVR_LOW,"&gt;=0")&gt;0)&gt;0,SUMIFS(OVR_LOW,OVR_TICKERS,$C44),$L44))</f>
        <v/>
      </c>
      <c r="N44" s="52">
        <f>IF($B44="",0,IF((OV_SWITCH="ON")*(COUNTIFS(OVR_TICKERS,$C44,OVR_HIGH,"&gt;=0")&gt;0)&gt;0,SUMIFS(OVR_HIGH,OVR_TICKERS,$C44),$L44))</f>
        <v/>
      </c>
      <c r="O44" s="69">
        <f>IF($B44="","",IFERROR($B44*$G44*$J44/$B$3,""))</f>
        <v/>
      </c>
      <c r="P44" s="69">
        <f>IF($B44="","",IFERROR($B44*$G44*$L44/$B$3,""))</f>
        <v/>
      </c>
      <c r="Q44" s="44">
        <f>IF($B44="","",IFERROR($O44+$P44,""))</f>
        <v/>
      </c>
      <c r="R44" s="69">
        <f>IF($B44="","",IFERROR($O44+$B44*$G44*$M44/$B$3,""))</f>
        <v/>
      </c>
      <c r="S44" s="69">
        <f>IF($B44="","",IFERROR($O44+$B44*$G44*$N44/$B$3,""))</f>
        <v/>
      </c>
      <c r="T44" s="88">
        <f>IF($B44="","",IFERROR($Q44/$Q$5,""))</f>
        <v/>
      </c>
      <c r="U44" s="2">
        <f>IF($B44="","",IF(COUNTIFS('Dvd Calendar'!$E$1974:$AR$1974,"&gt;0",'Dvd Calendar'!$E$1974:$AR$1974,"&lt;="&amp;VAL_DATE,'Dvd Calendar'!$E$1975:$AR$1975,"&gt;"&amp;PROJ_FROM,'Dvd Calendar'!$E$1975:$AR$1975,"&lt;="&amp;DATE(YEAR_Y,12,31))-COUNTIFS('Dvd Calendar'!$E$1974:$AR$1974,"&gt;0",'Dvd Calendar'!$E$1974:$AR$1974,"&lt;="&amp;VAL_DATE,'Dvd Calendar'!$E$1975:$AR$1975,"&gt;"&amp;PROJ_FROM,'Dvd Calendar'!$E$1975:$AR$1975,"&lt;="&amp;DATE(YEAR_Y,12,31),'Dvd Calendar'!$E$1976:$AR$1976,"&gt;=0")&gt;0,"TBA amount - override me",IF((OV_SWITCH="ON")*(COUNTIFS(OVR_TICKERS,$C44,OVR_BASE,"&gt;=0")&gt;0)&gt;0,"overridden",IF($J44+$K44=0,"no dividend in year Y",""))))</f>
        <v/>
      </c>
      <c r="V44" s="69">
        <f>IF($B44="","",IFERROR(IF(ISNUMBER($H44),$B44*$G44*$H44/$B$3,0),""))</f>
        <v/>
      </c>
      <c r="W44" s="69">
        <f>IF($B44="","",IFERROR($B44*$G44*$K44/$B$3,""))</f>
        <v/>
      </c>
      <c r="X44" s="98">
        <f>IF($C44="","",BDP($C44,"PX_LAST"))</f>
        <v/>
      </c>
      <c r="Y44" s="69">
        <f>IF($B44="","",IFERROR($B44*$X44/$B$3,""))</f>
        <v/>
      </c>
      <c r="Z44" s="73">
        <f>IF($B44="","",IFERROR($Y44/$Y$5,""))</f>
        <v/>
      </c>
    </row>
    <row r="45">
      <c r="B45" s="97" t="n"/>
      <c r="C45" s="8">
        <f>IF($A45="","",$A45&amp;" Equity")</f>
        <v/>
      </c>
      <c r="D45" s="8">
        <f>IF($C45="","",BDP($C45,"NAME"))</f>
        <v/>
      </c>
      <c r="E45" s="8">
        <f>IF($C45="","",BDP($C45,"GICS_SECTOR_NAME"))</f>
        <v/>
      </c>
      <c r="F45" s="37">
        <f>IF($C45="","",BDP($C45,FLD_CCY))</f>
        <v/>
      </c>
      <c r="G45" s="12">
        <f>IFERROR(IF(LEN($F45)&lt;&gt;3,1,IF($F45="HKD",1,BDP(IF($F45="CNY",RMB_CROSS,$F45)&amp;"HKD Curncy","PX_LAST"))),1)</f>
        <v/>
      </c>
      <c r="H45" s="69">
        <f>IF($C45="","",BDP($C45,FLD_DPS12M))</f>
        <v/>
      </c>
      <c r="I45" s="50">
        <f>IF($C45="","",BDP($C45,FLD_YLD12M))</f>
        <v/>
      </c>
      <c r="J45" s="52">
        <f>IF($B45="",0,SUMPRODUCT(('Dvd Calendar'!$E$1979:$AR$1979&gt;=DATE(YEAR_Y,1,1))*('Dvd Calendar'!$E$1979:$AR$1979&lt;=REALIZED_TO)*'Dvd Calendar'!$E$1982:$AR$1982*(('Dvd Calendar'!$E$1984:$AR$1984=TYPE1)*(TYPE1&lt;&gt;"")+('Dvd Calendar'!$E$1984:$AR$1984=TYPE2)*(TYPE2&lt;&gt;"")+('Dvd Calendar'!$E$1984:$AR$1984=TYPE3)*(TYPE3&lt;&gt;"")+('Dvd Calendar'!$E$1984:$AR$1984=TYPE4)*(TYPE4&lt;&gt;"")+('Dvd Calendar'!$E$1984:$AR$1984=SPECIAL_LBL)*(INC_SPECIALS="Y"))))</f>
        <v/>
      </c>
      <c r="K45" s="52">
        <f>IF($B45="",0,SUMIFS('Dvd Calendar'!$E$1987:$AR$1987,'Dvd Calendar'!$E$1986:$AR$1986,"&gt;"&amp;PROJ_FROM,'Dvd Calendar'!$E$1986:$AR$1986,"&lt;="&amp;DATE(YEAR_Y,12,31))+SUMPRODUCT(('Dvd Calendar'!$E$1979:$AR$1979&gt;PROJ_FROM)*('Dvd Calendar'!$E$1979:$AR$1979&lt;=DATE(YEAR_Y,12,31))*'Dvd Calendar'!$E$1982:$AR$1982*(('Dvd Calendar'!$E$1984:$AR$1984=TYPE1)*(TYPE1&lt;&gt;"")+('Dvd Calendar'!$E$1984:$AR$1984=TYPE2)*(TYPE2&lt;&gt;"")+('Dvd Calendar'!$E$1984:$AR$1984=TYPE3)*(TYPE3&lt;&gt;"")+('Dvd Calendar'!$E$1984:$AR$1984=TYPE4)*(TYPE4&lt;&gt;"")+('Dvd Calendar'!$E$1984:$AR$1984=SPECIAL_LBL)*(INC_SPECIALS="Y"))*(COUNTIF('Dvd Calendar'!$E$1986:$AR$1986,'Dvd Calendar'!$E$1979:$AR$1979)=0)))</f>
        <v/>
      </c>
      <c r="L45" s="52">
        <f>IF($B45="",0,IF((OV_SWITCH="ON")*(COUNTIFS(OVR_TICKERS,$C45,OVR_BASE,"&gt;=0")&gt;0)&gt;0,SUMIFS(OVR_BASE,OVR_TICKERS,$C45),$K45))</f>
        <v/>
      </c>
      <c r="M45" s="52">
        <f>IF($B45="",0,IF((OV_SWITCH="ON")*(COUNTIFS(OVR_TICKERS,$C45,OVR_LOW,"&gt;=0")&gt;0)&gt;0,SUMIFS(OVR_LOW,OVR_TICKERS,$C45),$L45))</f>
        <v/>
      </c>
      <c r="N45" s="52">
        <f>IF($B45="",0,IF((OV_SWITCH="ON")*(COUNTIFS(OVR_TICKERS,$C45,OVR_HIGH,"&gt;=0")&gt;0)&gt;0,SUMIFS(OVR_HIGH,OVR_TICKERS,$C45),$L45))</f>
        <v/>
      </c>
      <c r="O45" s="69">
        <f>IF($B45="","",IFERROR($B45*$G45*$J45/$B$3,""))</f>
        <v/>
      </c>
      <c r="P45" s="69">
        <f>IF($B45="","",IFERROR($B45*$G45*$L45/$B$3,""))</f>
        <v/>
      </c>
      <c r="Q45" s="44">
        <f>IF($B45="","",IFERROR($O45+$P45,""))</f>
        <v/>
      </c>
      <c r="R45" s="69">
        <f>IF($B45="","",IFERROR($O45+$B45*$G45*$M45/$B$3,""))</f>
        <v/>
      </c>
      <c r="S45" s="69">
        <f>IF($B45="","",IFERROR($O45+$B45*$G45*$N45/$B$3,""))</f>
        <v/>
      </c>
      <c r="T45" s="88">
        <f>IF($B45="","",IFERROR($Q45/$Q$5,""))</f>
        <v/>
      </c>
      <c r="U45" s="2">
        <f>IF($B45="","",IF(COUNTIFS('Dvd Calendar'!$E$1985:$AR$1985,"&gt;0",'Dvd Calendar'!$E$1985:$AR$1985,"&lt;="&amp;VAL_DATE,'Dvd Calendar'!$E$1986:$AR$1986,"&gt;"&amp;PROJ_FROM,'Dvd Calendar'!$E$1986:$AR$1986,"&lt;="&amp;DATE(YEAR_Y,12,31))-COUNTIFS('Dvd Calendar'!$E$1985:$AR$1985,"&gt;0",'Dvd Calendar'!$E$1985:$AR$1985,"&lt;="&amp;VAL_DATE,'Dvd Calendar'!$E$1986:$AR$1986,"&gt;"&amp;PROJ_FROM,'Dvd Calendar'!$E$1986:$AR$1986,"&lt;="&amp;DATE(YEAR_Y,12,31),'Dvd Calendar'!$E$1987:$AR$1987,"&gt;=0")&gt;0,"TBA amount - override me",IF((OV_SWITCH="ON")*(COUNTIFS(OVR_TICKERS,$C45,OVR_BASE,"&gt;=0")&gt;0)&gt;0,"overridden",IF($J45+$K45=0,"no dividend in year Y",""))))</f>
        <v/>
      </c>
      <c r="V45" s="69">
        <f>IF($B45="","",IFERROR(IF(ISNUMBER($H45),$B45*$G45*$H45/$B$3,0),""))</f>
        <v/>
      </c>
      <c r="W45" s="69">
        <f>IF($B45="","",IFERROR($B45*$G45*$K45/$B$3,""))</f>
        <v/>
      </c>
      <c r="X45" s="98">
        <f>IF($C45="","",BDP($C45,"PX_LAST"))</f>
        <v/>
      </c>
      <c r="Y45" s="69">
        <f>IF($B45="","",IFERROR($B45*$X45/$B$3,""))</f>
        <v/>
      </c>
      <c r="Z45" s="73">
        <f>IF($B45="","",IFERROR($Y45/$Y$5,""))</f>
        <v/>
      </c>
    </row>
    <row r="46">
      <c r="B46" s="97" t="n"/>
      <c r="C46" s="8">
        <f>IF($A46="","",$A46&amp;" Equity")</f>
        <v/>
      </c>
      <c r="D46" s="8">
        <f>IF($C46="","",BDP($C46,"NAME"))</f>
        <v/>
      </c>
      <c r="E46" s="8">
        <f>IF($C46="","",BDP($C46,"GICS_SECTOR_NAME"))</f>
        <v/>
      </c>
      <c r="F46" s="37">
        <f>IF($C46="","",BDP($C46,FLD_CCY))</f>
        <v/>
      </c>
      <c r="G46" s="12">
        <f>IFERROR(IF(LEN($F46)&lt;&gt;3,1,IF($F46="HKD",1,BDP(IF($F46="CNY",RMB_CROSS,$F46)&amp;"HKD Curncy","PX_LAST"))),1)</f>
        <v/>
      </c>
      <c r="H46" s="69">
        <f>IF($C46="","",BDP($C46,FLD_DPS12M))</f>
        <v/>
      </c>
      <c r="I46" s="50">
        <f>IF($C46="","",BDP($C46,FLD_YLD12M))</f>
        <v/>
      </c>
      <c r="J46" s="52">
        <f>IF($B46="",0,SUMPRODUCT(('Dvd Calendar'!$E$1990:$AR$1990&gt;=DATE(YEAR_Y,1,1))*('Dvd Calendar'!$E$1990:$AR$1990&lt;=REALIZED_TO)*'Dvd Calendar'!$E$1993:$AR$1993*(('Dvd Calendar'!$E$1995:$AR$1995=TYPE1)*(TYPE1&lt;&gt;"")+('Dvd Calendar'!$E$1995:$AR$1995=TYPE2)*(TYPE2&lt;&gt;"")+('Dvd Calendar'!$E$1995:$AR$1995=TYPE3)*(TYPE3&lt;&gt;"")+('Dvd Calendar'!$E$1995:$AR$1995=TYPE4)*(TYPE4&lt;&gt;"")+('Dvd Calendar'!$E$1995:$AR$1995=SPECIAL_LBL)*(INC_SPECIALS="Y"))))</f>
        <v/>
      </c>
      <c r="K46" s="52">
        <f>IF($B46="",0,SUMIFS('Dvd Calendar'!$E$1998:$AR$1998,'Dvd Calendar'!$E$1997:$AR$1997,"&gt;"&amp;PROJ_FROM,'Dvd Calendar'!$E$1997:$AR$1997,"&lt;="&amp;DATE(YEAR_Y,12,31))+SUMPRODUCT(('Dvd Calendar'!$E$1990:$AR$1990&gt;PROJ_FROM)*('Dvd Calendar'!$E$1990:$AR$1990&lt;=DATE(YEAR_Y,12,31))*'Dvd Calendar'!$E$1993:$AR$1993*(('Dvd Calendar'!$E$1995:$AR$1995=TYPE1)*(TYPE1&lt;&gt;"")+('Dvd Calendar'!$E$1995:$AR$1995=TYPE2)*(TYPE2&lt;&gt;"")+('Dvd Calendar'!$E$1995:$AR$1995=TYPE3)*(TYPE3&lt;&gt;"")+('Dvd Calendar'!$E$1995:$AR$1995=TYPE4)*(TYPE4&lt;&gt;"")+('Dvd Calendar'!$E$1995:$AR$1995=SPECIAL_LBL)*(INC_SPECIALS="Y"))*(COUNTIF('Dvd Calendar'!$E$1997:$AR$1997,'Dvd Calendar'!$E$1990:$AR$1990)=0)))</f>
        <v/>
      </c>
      <c r="L46" s="52">
        <f>IF($B46="",0,IF((OV_SWITCH="ON")*(COUNTIFS(OVR_TICKERS,$C46,OVR_BASE,"&gt;=0")&gt;0)&gt;0,SUMIFS(OVR_BASE,OVR_TICKERS,$C46),$K46))</f>
        <v/>
      </c>
      <c r="M46" s="52">
        <f>IF($B46="",0,IF((OV_SWITCH="ON")*(COUNTIFS(OVR_TICKERS,$C46,OVR_LOW,"&gt;=0")&gt;0)&gt;0,SUMIFS(OVR_LOW,OVR_TICKERS,$C46),$L46))</f>
        <v/>
      </c>
      <c r="N46" s="52">
        <f>IF($B46="",0,IF((OV_SWITCH="ON")*(COUNTIFS(OVR_TICKERS,$C46,OVR_HIGH,"&gt;=0")&gt;0)&gt;0,SUMIFS(OVR_HIGH,OVR_TICKERS,$C46),$L46))</f>
        <v/>
      </c>
      <c r="O46" s="69">
        <f>IF($B46="","",IFERROR($B46*$G46*$J46/$B$3,""))</f>
        <v/>
      </c>
      <c r="P46" s="69">
        <f>IF($B46="","",IFERROR($B46*$G46*$L46/$B$3,""))</f>
        <v/>
      </c>
      <c r="Q46" s="44">
        <f>IF($B46="","",IFERROR($O46+$P46,""))</f>
        <v/>
      </c>
      <c r="R46" s="69">
        <f>IF($B46="","",IFERROR($O46+$B46*$G46*$M46/$B$3,""))</f>
        <v/>
      </c>
      <c r="S46" s="69">
        <f>IF($B46="","",IFERROR($O46+$B46*$G46*$N46/$B$3,""))</f>
        <v/>
      </c>
      <c r="T46" s="88">
        <f>IF($B46="","",IFERROR($Q46/$Q$5,""))</f>
        <v/>
      </c>
      <c r="U46" s="2">
        <f>IF($B46="","",IF(COUNTIFS('Dvd Calendar'!$E$1996:$AR$1996,"&gt;0",'Dvd Calendar'!$E$1996:$AR$1996,"&lt;="&amp;VAL_DATE,'Dvd Calendar'!$E$1997:$AR$1997,"&gt;"&amp;PROJ_FROM,'Dvd Calendar'!$E$1997:$AR$1997,"&lt;="&amp;DATE(YEAR_Y,12,31))-COUNTIFS('Dvd Calendar'!$E$1996:$AR$1996,"&gt;0",'Dvd Calendar'!$E$1996:$AR$1996,"&lt;="&amp;VAL_DATE,'Dvd Calendar'!$E$1997:$AR$1997,"&gt;"&amp;PROJ_FROM,'Dvd Calendar'!$E$1997:$AR$1997,"&lt;="&amp;DATE(YEAR_Y,12,31),'Dvd Calendar'!$E$1998:$AR$1998,"&gt;=0")&gt;0,"TBA amount - override me",IF((OV_SWITCH="ON")*(COUNTIFS(OVR_TICKERS,$C46,OVR_BASE,"&gt;=0")&gt;0)&gt;0,"overridden",IF($J46+$K46=0,"no dividend in year Y",""))))</f>
        <v/>
      </c>
      <c r="V46" s="69">
        <f>IF($B46="","",IFERROR(IF(ISNUMBER($H46),$B46*$G46*$H46/$B$3,0),""))</f>
        <v/>
      </c>
      <c r="W46" s="69">
        <f>IF($B46="","",IFERROR($B46*$G46*$K46/$B$3,""))</f>
        <v/>
      </c>
      <c r="X46" s="98">
        <f>IF($C46="","",BDP($C46,"PX_LAST"))</f>
        <v/>
      </c>
      <c r="Y46" s="69">
        <f>IF($B46="","",IFERROR($B46*$X46/$B$3,""))</f>
        <v/>
      </c>
      <c r="Z46" s="73">
        <f>IF($B46="","",IFERROR($Y46/$Y$5,""))</f>
        <v/>
      </c>
    </row>
    <row r="47">
      <c r="B47" s="97" t="n"/>
      <c r="C47" s="8">
        <f>IF($A47="","",$A47&amp;" Equity")</f>
        <v/>
      </c>
      <c r="D47" s="8">
        <f>IF($C47="","",BDP($C47,"NAME"))</f>
        <v/>
      </c>
      <c r="E47" s="8">
        <f>IF($C47="","",BDP($C47,"GICS_SECTOR_NAME"))</f>
        <v/>
      </c>
      <c r="F47" s="37">
        <f>IF($C47="","",BDP($C47,FLD_CCY))</f>
        <v/>
      </c>
      <c r="G47" s="12">
        <f>IFERROR(IF(LEN($F47)&lt;&gt;3,1,IF($F47="HKD",1,BDP(IF($F47="CNY",RMB_CROSS,$F47)&amp;"HKD Curncy","PX_LAST"))),1)</f>
        <v/>
      </c>
      <c r="H47" s="69">
        <f>IF($C47="","",BDP($C47,FLD_DPS12M))</f>
        <v/>
      </c>
      <c r="I47" s="50">
        <f>IF($C47="","",BDP($C47,FLD_YLD12M))</f>
        <v/>
      </c>
      <c r="J47" s="52">
        <f>IF($B47="",0,SUMPRODUCT(('Dvd Calendar'!$E$2001:$AR$2001&gt;=DATE(YEAR_Y,1,1))*('Dvd Calendar'!$E$2001:$AR$2001&lt;=REALIZED_TO)*'Dvd Calendar'!$E$2004:$AR$2004*(('Dvd Calendar'!$E$2006:$AR$2006=TYPE1)*(TYPE1&lt;&gt;"")+('Dvd Calendar'!$E$2006:$AR$2006=TYPE2)*(TYPE2&lt;&gt;"")+('Dvd Calendar'!$E$2006:$AR$2006=TYPE3)*(TYPE3&lt;&gt;"")+('Dvd Calendar'!$E$2006:$AR$2006=TYPE4)*(TYPE4&lt;&gt;"")+('Dvd Calendar'!$E$2006:$AR$2006=SPECIAL_LBL)*(INC_SPECIALS="Y"))))</f>
        <v/>
      </c>
      <c r="K47" s="52">
        <f>IF($B47="",0,SUMIFS('Dvd Calendar'!$E$2009:$AR$2009,'Dvd Calendar'!$E$2008:$AR$2008,"&gt;"&amp;PROJ_FROM,'Dvd Calendar'!$E$2008:$AR$2008,"&lt;="&amp;DATE(YEAR_Y,12,31))+SUMPRODUCT(('Dvd Calendar'!$E$2001:$AR$2001&gt;PROJ_FROM)*('Dvd Calendar'!$E$2001:$AR$2001&lt;=DATE(YEAR_Y,12,31))*'Dvd Calendar'!$E$2004:$AR$2004*(('Dvd Calendar'!$E$2006:$AR$2006=TYPE1)*(TYPE1&lt;&gt;"")+('Dvd Calendar'!$E$2006:$AR$2006=TYPE2)*(TYPE2&lt;&gt;"")+('Dvd Calendar'!$E$2006:$AR$2006=TYPE3)*(TYPE3&lt;&gt;"")+('Dvd Calendar'!$E$2006:$AR$2006=TYPE4)*(TYPE4&lt;&gt;"")+('Dvd Calendar'!$E$2006:$AR$2006=SPECIAL_LBL)*(INC_SPECIALS="Y"))*(COUNTIF('Dvd Calendar'!$E$2008:$AR$2008,'Dvd Calendar'!$E$2001:$AR$2001)=0)))</f>
        <v/>
      </c>
      <c r="L47" s="52">
        <f>IF($B47="",0,IF((OV_SWITCH="ON")*(COUNTIFS(OVR_TICKERS,$C47,OVR_BASE,"&gt;=0")&gt;0)&gt;0,SUMIFS(OVR_BASE,OVR_TICKERS,$C47),$K47))</f>
        <v/>
      </c>
      <c r="M47" s="52">
        <f>IF($B47="",0,IF((OV_SWITCH="ON")*(COUNTIFS(OVR_TICKERS,$C47,OVR_LOW,"&gt;=0")&gt;0)&gt;0,SUMIFS(OVR_LOW,OVR_TICKERS,$C47),$L47))</f>
        <v/>
      </c>
      <c r="N47" s="52">
        <f>IF($B47="",0,IF((OV_SWITCH="ON")*(COUNTIFS(OVR_TICKERS,$C47,OVR_HIGH,"&gt;=0")&gt;0)&gt;0,SUMIFS(OVR_HIGH,OVR_TICKERS,$C47),$L47))</f>
        <v/>
      </c>
      <c r="O47" s="69">
        <f>IF($B47="","",IFERROR($B47*$G47*$J47/$B$3,""))</f>
        <v/>
      </c>
      <c r="P47" s="69">
        <f>IF($B47="","",IFERROR($B47*$G47*$L47/$B$3,""))</f>
        <v/>
      </c>
      <c r="Q47" s="44">
        <f>IF($B47="","",IFERROR($O47+$P47,""))</f>
        <v/>
      </c>
      <c r="R47" s="69">
        <f>IF($B47="","",IFERROR($O47+$B47*$G47*$M47/$B$3,""))</f>
        <v/>
      </c>
      <c r="S47" s="69">
        <f>IF($B47="","",IFERROR($O47+$B47*$G47*$N47/$B$3,""))</f>
        <v/>
      </c>
      <c r="T47" s="88">
        <f>IF($B47="","",IFERROR($Q47/$Q$5,""))</f>
        <v/>
      </c>
      <c r="U47" s="2">
        <f>IF($B47="","",IF(COUNTIFS('Dvd Calendar'!$E$2007:$AR$2007,"&gt;0",'Dvd Calendar'!$E$2007:$AR$2007,"&lt;="&amp;VAL_DATE,'Dvd Calendar'!$E$2008:$AR$2008,"&gt;"&amp;PROJ_FROM,'Dvd Calendar'!$E$2008:$AR$2008,"&lt;="&amp;DATE(YEAR_Y,12,31))-COUNTIFS('Dvd Calendar'!$E$2007:$AR$2007,"&gt;0",'Dvd Calendar'!$E$2007:$AR$2007,"&lt;="&amp;VAL_DATE,'Dvd Calendar'!$E$2008:$AR$2008,"&gt;"&amp;PROJ_FROM,'Dvd Calendar'!$E$2008:$AR$2008,"&lt;="&amp;DATE(YEAR_Y,12,31),'Dvd Calendar'!$E$2009:$AR$2009,"&gt;=0")&gt;0,"TBA amount - override me",IF((OV_SWITCH="ON")*(COUNTIFS(OVR_TICKERS,$C47,OVR_BASE,"&gt;=0")&gt;0)&gt;0,"overridden",IF($J47+$K47=0,"no dividend in year Y",""))))</f>
        <v/>
      </c>
      <c r="V47" s="69">
        <f>IF($B47="","",IFERROR(IF(ISNUMBER($H47),$B47*$G47*$H47/$B$3,0),""))</f>
        <v/>
      </c>
      <c r="W47" s="69">
        <f>IF($B47="","",IFERROR($B47*$G47*$K47/$B$3,""))</f>
        <v/>
      </c>
      <c r="X47" s="98">
        <f>IF($C47="","",BDP($C47,"PX_LAST"))</f>
        <v/>
      </c>
      <c r="Y47" s="69">
        <f>IF($B47="","",IFERROR($B47*$X47/$B$3,""))</f>
        <v/>
      </c>
      <c r="Z47" s="73">
        <f>IF($B47="","",IFERROR($Y47/$Y$5,""))</f>
        <v/>
      </c>
    </row>
    <row r="48">
      <c r="B48" s="97" t="n"/>
      <c r="C48" s="8">
        <f>IF($A48="","",$A48&amp;" Equity")</f>
        <v/>
      </c>
      <c r="D48" s="8">
        <f>IF($C48="","",BDP($C48,"NAME"))</f>
        <v/>
      </c>
      <c r="E48" s="8">
        <f>IF($C48="","",BDP($C48,"GICS_SECTOR_NAME"))</f>
        <v/>
      </c>
      <c r="F48" s="37">
        <f>IF($C48="","",BDP($C48,FLD_CCY))</f>
        <v/>
      </c>
      <c r="G48" s="12">
        <f>IFERROR(IF(LEN($F48)&lt;&gt;3,1,IF($F48="HKD",1,BDP(IF($F48="CNY",RMB_CROSS,$F48)&amp;"HKD Curncy","PX_LAST"))),1)</f>
        <v/>
      </c>
      <c r="H48" s="69">
        <f>IF($C48="","",BDP($C48,FLD_DPS12M))</f>
        <v/>
      </c>
      <c r="I48" s="50">
        <f>IF($C48="","",BDP($C48,FLD_YLD12M))</f>
        <v/>
      </c>
      <c r="J48" s="52">
        <f>IF($B48="",0,SUMPRODUCT(('Dvd Calendar'!$E$2012:$AR$2012&gt;=DATE(YEAR_Y,1,1))*('Dvd Calendar'!$E$2012:$AR$2012&lt;=REALIZED_TO)*'Dvd Calendar'!$E$2015:$AR$2015*(('Dvd Calendar'!$E$2017:$AR$2017=TYPE1)*(TYPE1&lt;&gt;"")+('Dvd Calendar'!$E$2017:$AR$2017=TYPE2)*(TYPE2&lt;&gt;"")+('Dvd Calendar'!$E$2017:$AR$2017=TYPE3)*(TYPE3&lt;&gt;"")+('Dvd Calendar'!$E$2017:$AR$2017=TYPE4)*(TYPE4&lt;&gt;"")+('Dvd Calendar'!$E$2017:$AR$2017=SPECIAL_LBL)*(INC_SPECIALS="Y"))))</f>
        <v/>
      </c>
      <c r="K48" s="52">
        <f>IF($B48="",0,SUMIFS('Dvd Calendar'!$E$2020:$AR$2020,'Dvd Calendar'!$E$2019:$AR$2019,"&gt;"&amp;PROJ_FROM,'Dvd Calendar'!$E$2019:$AR$2019,"&lt;="&amp;DATE(YEAR_Y,12,31))+SUMPRODUCT(('Dvd Calendar'!$E$2012:$AR$2012&gt;PROJ_FROM)*('Dvd Calendar'!$E$2012:$AR$2012&lt;=DATE(YEAR_Y,12,31))*'Dvd Calendar'!$E$2015:$AR$2015*(('Dvd Calendar'!$E$2017:$AR$2017=TYPE1)*(TYPE1&lt;&gt;"")+('Dvd Calendar'!$E$2017:$AR$2017=TYPE2)*(TYPE2&lt;&gt;"")+('Dvd Calendar'!$E$2017:$AR$2017=TYPE3)*(TYPE3&lt;&gt;"")+('Dvd Calendar'!$E$2017:$AR$2017=TYPE4)*(TYPE4&lt;&gt;"")+('Dvd Calendar'!$E$2017:$AR$2017=SPECIAL_LBL)*(INC_SPECIALS="Y"))*(COUNTIF('Dvd Calendar'!$E$2019:$AR$2019,'Dvd Calendar'!$E$2012:$AR$2012)=0)))</f>
        <v/>
      </c>
      <c r="L48" s="52">
        <f>IF($B48="",0,IF((OV_SWITCH="ON")*(COUNTIFS(OVR_TICKERS,$C48,OVR_BASE,"&gt;=0")&gt;0)&gt;0,SUMIFS(OVR_BASE,OVR_TICKERS,$C48),$K48))</f>
        <v/>
      </c>
      <c r="M48" s="52">
        <f>IF($B48="",0,IF((OV_SWITCH="ON")*(COUNTIFS(OVR_TICKERS,$C48,OVR_LOW,"&gt;=0")&gt;0)&gt;0,SUMIFS(OVR_LOW,OVR_TICKERS,$C48),$L48))</f>
        <v/>
      </c>
      <c r="N48" s="52">
        <f>IF($B48="",0,IF((OV_SWITCH="ON")*(COUNTIFS(OVR_TICKERS,$C48,OVR_HIGH,"&gt;=0")&gt;0)&gt;0,SUMIFS(OVR_HIGH,OVR_TICKERS,$C48),$L48))</f>
        <v/>
      </c>
      <c r="O48" s="69">
        <f>IF($B48="","",IFERROR($B48*$G48*$J48/$B$3,""))</f>
        <v/>
      </c>
      <c r="P48" s="69">
        <f>IF($B48="","",IFERROR($B48*$G48*$L48/$B$3,""))</f>
        <v/>
      </c>
      <c r="Q48" s="44">
        <f>IF($B48="","",IFERROR($O48+$P48,""))</f>
        <v/>
      </c>
      <c r="R48" s="69">
        <f>IF($B48="","",IFERROR($O48+$B48*$G48*$M48/$B$3,""))</f>
        <v/>
      </c>
      <c r="S48" s="69">
        <f>IF($B48="","",IFERROR($O48+$B48*$G48*$N48/$B$3,""))</f>
        <v/>
      </c>
      <c r="T48" s="88">
        <f>IF($B48="","",IFERROR($Q48/$Q$5,""))</f>
        <v/>
      </c>
      <c r="U48" s="2">
        <f>IF($B48="","",IF(COUNTIFS('Dvd Calendar'!$E$2018:$AR$2018,"&gt;0",'Dvd Calendar'!$E$2018:$AR$2018,"&lt;="&amp;VAL_DATE,'Dvd Calendar'!$E$2019:$AR$2019,"&gt;"&amp;PROJ_FROM,'Dvd Calendar'!$E$2019:$AR$2019,"&lt;="&amp;DATE(YEAR_Y,12,31))-COUNTIFS('Dvd Calendar'!$E$2018:$AR$2018,"&gt;0",'Dvd Calendar'!$E$2018:$AR$2018,"&lt;="&amp;VAL_DATE,'Dvd Calendar'!$E$2019:$AR$2019,"&gt;"&amp;PROJ_FROM,'Dvd Calendar'!$E$2019:$AR$2019,"&lt;="&amp;DATE(YEAR_Y,12,31),'Dvd Calendar'!$E$2020:$AR$2020,"&gt;=0")&gt;0,"TBA amount - override me",IF((OV_SWITCH="ON")*(COUNTIFS(OVR_TICKERS,$C48,OVR_BASE,"&gt;=0")&gt;0)&gt;0,"overridden",IF($J48+$K48=0,"no dividend in year Y",""))))</f>
        <v/>
      </c>
      <c r="V48" s="69">
        <f>IF($B48="","",IFERROR(IF(ISNUMBER($H48),$B48*$G48*$H48/$B$3,0),""))</f>
        <v/>
      </c>
      <c r="W48" s="69">
        <f>IF($B48="","",IFERROR($B48*$G48*$K48/$B$3,""))</f>
        <v/>
      </c>
      <c r="X48" s="98">
        <f>IF($C48="","",BDP($C48,"PX_LAST"))</f>
        <v/>
      </c>
      <c r="Y48" s="69">
        <f>IF($B48="","",IFERROR($B48*$X48/$B$3,""))</f>
        <v/>
      </c>
      <c r="Z48" s="73">
        <f>IF($B48="","",IFERROR($Y48/$Y$5,""))</f>
        <v/>
      </c>
    </row>
    <row r="49">
      <c r="B49" s="97" t="n"/>
      <c r="C49" s="8">
        <f>IF($A49="","",$A49&amp;" Equity")</f>
        <v/>
      </c>
      <c r="D49" s="8">
        <f>IF($C49="","",BDP($C49,"NAME"))</f>
        <v/>
      </c>
      <c r="E49" s="8">
        <f>IF($C49="","",BDP($C49,"GICS_SECTOR_NAME"))</f>
        <v/>
      </c>
      <c r="F49" s="37">
        <f>IF($C49="","",BDP($C49,FLD_CCY))</f>
        <v/>
      </c>
      <c r="G49" s="12">
        <f>IFERROR(IF(LEN($F49)&lt;&gt;3,1,IF($F49="HKD",1,BDP(IF($F49="CNY",RMB_CROSS,$F49)&amp;"HKD Curncy","PX_LAST"))),1)</f>
        <v/>
      </c>
      <c r="H49" s="69">
        <f>IF($C49="","",BDP($C49,FLD_DPS12M))</f>
        <v/>
      </c>
      <c r="I49" s="50">
        <f>IF($C49="","",BDP($C49,FLD_YLD12M))</f>
        <v/>
      </c>
      <c r="J49" s="52">
        <f>IF($B49="",0,SUMPRODUCT(('Dvd Calendar'!$E$2023:$AR$2023&gt;=DATE(YEAR_Y,1,1))*('Dvd Calendar'!$E$2023:$AR$2023&lt;=REALIZED_TO)*'Dvd Calendar'!$E$2026:$AR$2026*(('Dvd Calendar'!$E$2028:$AR$2028=TYPE1)*(TYPE1&lt;&gt;"")+('Dvd Calendar'!$E$2028:$AR$2028=TYPE2)*(TYPE2&lt;&gt;"")+('Dvd Calendar'!$E$2028:$AR$2028=TYPE3)*(TYPE3&lt;&gt;"")+('Dvd Calendar'!$E$2028:$AR$2028=TYPE4)*(TYPE4&lt;&gt;"")+('Dvd Calendar'!$E$2028:$AR$2028=SPECIAL_LBL)*(INC_SPECIALS="Y"))))</f>
        <v/>
      </c>
      <c r="K49" s="52">
        <f>IF($B49="",0,SUMIFS('Dvd Calendar'!$E$2031:$AR$2031,'Dvd Calendar'!$E$2030:$AR$2030,"&gt;"&amp;PROJ_FROM,'Dvd Calendar'!$E$2030:$AR$2030,"&lt;="&amp;DATE(YEAR_Y,12,31))+SUMPRODUCT(('Dvd Calendar'!$E$2023:$AR$2023&gt;PROJ_FROM)*('Dvd Calendar'!$E$2023:$AR$2023&lt;=DATE(YEAR_Y,12,31))*'Dvd Calendar'!$E$2026:$AR$2026*(('Dvd Calendar'!$E$2028:$AR$2028=TYPE1)*(TYPE1&lt;&gt;"")+('Dvd Calendar'!$E$2028:$AR$2028=TYPE2)*(TYPE2&lt;&gt;"")+('Dvd Calendar'!$E$2028:$AR$2028=TYPE3)*(TYPE3&lt;&gt;"")+('Dvd Calendar'!$E$2028:$AR$2028=TYPE4)*(TYPE4&lt;&gt;"")+('Dvd Calendar'!$E$2028:$AR$2028=SPECIAL_LBL)*(INC_SPECIALS="Y"))*(COUNTIF('Dvd Calendar'!$E$2030:$AR$2030,'Dvd Calendar'!$E$2023:$AR$2023)=0)))</f>
        <v/>
      </c>
      <c r="L49" s="52">
        <f>IF($B49="",0,IF((OV_SWITCH="ON")*(COUNTIFS(OVR_TICKERS,$C49,OVR_BASE,"&gt;=0")&gt;0)&gt;0,SUMIFS(OVR_BASE,OVR_TICKERS,$C49),$K49))</f>
        <v/>
      </c>
      <c r="M49" s="52">
        <f>IF($B49="",0,IF((OV_SWITCH="ON")*(COUNTIFS(OVR_TICKERS,$C49,OVR_LOW,"&gt;=0")&gt;0)&gt;0,SUMIFS(OVR_LOW,OVR_TICKERS,$C49),$L49))</f>
        <v/>
      </c>
      <c r="N49" s="52">
        <f>IF($B49="",0,IF((OV_SWITCH="ON")*(COUNTIFS(OVR_TICKERS,$C49,OVR_HIGH,"&gt;=0")&gt;0)&gt;0,SUMIFS(OVR_HIGH,OVR_TICKERS,$C49),$L49))</f>
        <v/>
      </c>
      <c r="O49" s="69">
        <f>IF($B49="","",IFERROR($B49*$G49*$J49/$B$3,""))</f>
        <v/>
      </c>
      <c r="P49" s="69">
        <f>IF($B49="","",IFERROR($B49*$G49*$L49/$B$3,""))</f>
        <v/>
      </c>
      <c r="Q49" s="44">
        <f>IF($B49="","",IFERROR($O49+$P49,""))</f>
        <v/>
      </c>
      <c r="R49" s="69">
        <f>IF($B49="","",IFERROR($O49+$B49*$G49*$M49/$B$3,""))</f>
        <v/>
      </c>
      <c r="S49" s="69">
        <f>IF($B49="","",IFERROR($O49+$B49*$G49*$N49/$B$3,""))</f>
        <v/>
      </c>
      <c r="T49" s="88">
        <f>IF($B49="","",IFERROR($Q49/$Q$5,""))</f>
        <v/>
      </c>
      <c r="U49" s="2">
        <f>IF($B49="","",IF(COUNTIFS('Dvd Calendar'!$E$2029:$AR$2029,"&gt;0",'Dvd Calendar'!$E$2029:$AR$2029,"&lt;="&amp;VAL_DATE,'Dvd Calendar'!$E$2030:$AR$2030,"&gt;"&amp;PROJ_FROM,'Dvd Calendar'!$E$2030:$AR$2030,"&lt;="&amp;DATE(YEAR_Y,12,31))-COUNTIFS('Dvd Calendar'!$E$2029:$AR$2029,"&gt;0",'Dvd Calendar'!$E$2029:$AR$2029,"&lt;="&amp;VAL_DATE,'Dvd Calendar'!$E$2030:$AR$2030,"&gt;"&amp;PROJ_FROM,'Dvd Calendar'!$E$2030:$AR$2030,"&lt;="&amp;DATE(YEAR_Y,12,31),'Dvd Calendar'!$E$2031:$AR$2031,"&gt;=0")&gt;0,"TBA amount - override me",IF((OV_SWITCH="ON")*(COUNTIFS(OVR_TICKERS,$C49,OVR_BASE,"&gt;=0")&gt;0)&gt;0,"overridden",IF($J49+$K49=0,"no dividend in year Y",""))))</f>
        <v/>
      </c>
      <c r="V49" s="69">
        <f>IF($B49="","",IFERROR(IF(ISNUMBER($H49),$B49*$G49*$H49/$B$3,0),""))</f>
        <v/>
      </c>
      <c r="W49" s="69">
        <f>IF($B49="","",IFERROR($B49*$G49*$K49/$B$3,""))</f>
        <v/>
      </c>
      <c r="X49" s="98">
        <f>IF($C49="","",BDP($C49,"PX_LAST"))</f>
        <v/>
      </c>
      <c r="Y49" s="69">
        <f>IF($B49="","",IFERROR($B49*$X49/$B$3,""))</f>
        <v/>
      </c>
      <c r="Z49" s="73">
        <f>IF($B49="","",IFERROR($Y49/$Y$5,""))</f>
        <v/>
      </c>
    </row>
    <row r="50">
      <c r="B50" s="97" t="n"/>
      <c r="C50" s="8">
        <f>IF($A50="","",$A50&amp;" Equity")</f>
        <v/>
      </c>
      <c r="D50" s="8">
        <f>IF($C50="","",BDP($C50,"NAME"))</f>
        <v/>
      </c>
      <c r="E50" s="8">
        <f>IF($C50="","",BDP($C50,"GICS_SECTOR_NAME"))</f>
        <v/>
      </c>
      <c r="F50" s="37">
        <f>IF($C50="","",BDP($C50,FLD_CCY))</f>
        <v/>
      </c>
      <c r="G50" s="12">
        <f>IFERROR(IF(LEN($F50)&lt;&gt;3,1,IF($F50="HKD",1,BDP(IF($F50="CNY",RMB_CROSS,$F50)&amp;"HKD Curncy","PX_LAST"))),1)</f>
        <v/>
      </c>
      <c r="H50" s="69">
        <f>IF($C50="","",BDP($C50,FLD_DPS12M))</f>
        <v/>
      </c>
      <c r="I50" s="50">
        <f>IF($C50="","",BDP($C50,FLD_YLD12M))</f>
        <v/>
      </c>
      <c r="J50" s="52">
        <f>IF($B50="",0,SUMPRODUCT(('Dvd Calendar'!$E$2034:$AR$2034&gt;=DATE(YEAR_Y,1,1))*('Dvd Calendar'!$E$2034:$AR$2034&lt;=REALIZED_TO)*'Dvd Calendar'!$E$2037:$AR$2037*(('Dvd Calendar'!$E$2039:$AR$2039=TYPE1)*(TYPE1&lt;&gt;"")+('Dvd Calendar'!$E$2039:$AR$2039=TYPE2)*(TYPE2&lt;&gt;"")+('Dvd Calendar'!$E$2039:$AR$2039=TYPE3)*(TYPE3&lt;&gt;"")+('Dvd Calendar'!$E$2039:$AR$2039=TYPE4)*(TYPE4&lt;&gt;"")+('Dvd Calendar'!$E$2039:$AR$2039=SPECIAL_LBL)*(INC_SPECIALS="Y"))))</f>
        <v/>
      </c>
      <c r="K50" s="52">
        <f>IF($B50="",0,SUMIFS('Dvd Calendar'!$E$2042:$AR$2042,'Dvd Calendar'!$E$2041:$AR$2041,"&gt;"&amp;PROJ_FROM,'Dvd Calendar'!$E$2041:$AR$2041,"&lt;="&amp;DATE(YEAR_Y,12,31))+SUMPRODUCT(('Dvd Calendar'!$E$2034:$AR$2034&gt;PROJ_FROM)*('Dvd Calendar'!$E$2034:$AR$2034&lt;=DATE(YEAR_Y,12,31))*'Dvd Calendar'!$E$2037:$AR$2037*(('Dvd Calendar'!$E$2039:$AR$2039=TYPE1)*(TYPE1&lt;&gt;"")+('Dvd Calendar'!$E$2039:$AR$2039=TYPE2)*(TYPE2&lt;&gt;"")+('Dvd Calendar'!$E$2039:$AR$2039=TYPE3)*(TYPE3&lt;&gt;"")+('Dvd Calendar'!$E$2039:$AR$2039=TYPE4)*(TYPE4&lt;&gt;"")+('Dvd Calendar'!$E$2039:$AR$2039=SPECIAL_LBL)*(INC_SPECIALS="Y"))*(COUNTIF('Dvd Calendar'!$E$2041:$AR$2041,'Dvd Calendar'!$E$2034:$AR$2034)=0)))</f>
        <v/>
      </c>
      <c r="L50" s="52">
        <f>IF($B50="",0,IF((OV_SWITCH="ON")*(COUNTIFS(OVR_TICKERS,$C50,OVR_BASE,"&gt;=0")&gt;0)&gt;0,SUMIFS(OVR_BASE,OVR_TICKERS,$C50),$K50))</f>
        <v/>
      </c>
      <c r="M50" s="52">
        <f>IF($B50="",0,IF((OV_SWITCH="ON")*(COUNTIFS(OVR_TICKERS,$C50,OVR_LOW,"&gt;=0")&gt;0)&gt;0,SUMIFS(OVR_LOW,OVR_TICKERS,$C50),$L50))</f>
        <v/>
      </c>
      <c r="N50" s="52">
        <f>IF($B50="",0,IF((OV_SWITCH="ON")*(COUNTIFS(OVR_TICKERS,$C50,OVR_HIGH,"&gt;=0")&gt;0)&gt;0,SUMIFS(OVR_HIGH,OVR_TICKERS,$C50),$L50))</f>
        <v/>
      </c>
      <c r="O50" s="69">
        <f>IF($B50="","",IFERROR($B50*$G50*$J50/$B$3,""))</f>
        <v/>
      </c>
      <c r="P50" s="69">
        <f>IF($B50="","",IFERROR($B50*$G50*$L50/$B$3,""))</f>
        <v/>
      </c>
      <c r="Q50" s="44">
        <f>IF($B50="","",IFERROR($O50+$P50,""))</f>
        <v/>
      </c>
      <c r="R50" s="69">
        <f>IF($B50="","",IFERROR($O50+$B50*$G50*$M50/$B$3,""))</f>
        <v/>
      </c>
      <c r="S50" s="69">
        <f>IF($B50="","",IFERROR($O50+$B50*$G50*$N50/$B$3,""))</f>
        <v/>
      </c>
      <c r="T50" s="88">
        <f>IF($B50="","",IFERROR($Q50/$Q$5,""))</f>
        <v/>
      </c>
      <c r="U50" s="2">
        <f>IF($B50="","",IF(COUNTIFS('Dvd Calendar'!$E$2040:$AR$2040,"&gt;0",'Dvd Calendar'!$E$2040:$AR$2040,"&lt;="&amp;VAL_DATE,'Dvd Calendar'!$E$2041:$AR$2041,"&gt;"&amp;PROJ_FROM,'Dvd Calendar'!$E$2041:$AR$2041,"&lt;="&amp;DATE(YEAR_Y,12,31))-COUNTIFS('Dvd Calendar'!$E$2040:$AR$2040,"&gt;0",'Dvd Calendar'!$E$2040:$AR$2040,"&lt;="&amp;VAL_DATE,'Dvd Calendar'!$E$2041:$AR$2041,"&gt;"&amp;PROJ_FROM,'Dvd Calendar'!$E$2041:$AR$2041,"&lt;="&amp;DATE(YEAR_Y,12,31),'Dvd Calendar'!$E$2042:$AR$2042,"&gt;=0")&gt;0,"TBA amount - override me",IF((OV_SWITCH="ON")*(COUNTIFS(OVR_TICKERS,$C50,OVR_BASE,"&gt;=0")&gt;0)&gt;0,"overridden",IF($J50+$K50=0,"no dividend in year Y",""))))</f>
        <v/>
      </c>
      <c r="V50" s="69">
        <f>IF($B50="","",IFERROR(IF(ISNUMBER($H50),$B50*$G50*$H50/$B$3,0),""))</f>
        <v/>
      </c>
      <c r="W50" s="69">
        <f>IF($B50="","",IFERROR($B50*$G50*$K50/$B$3,""))</f>
        <v/>
      </c>
      <c r="X50" s="98">
        <f>IF($C50="","",BDP($C50,"PX_LAST"))</f>
        <v/>
      </c>
      <c r="Y50" s="69">
        <f>IF($B50="","",IFERROR($B50*$X50/$B$3,""))</f>
        <v/>
      </c>
      <c r="Z50" s="73">
        <f>IF($B50="","",IFERROR($Y50/$Y$5,""))</f>
        <v/>
      </c>
    </row>
    <row r="51">
      <c r="B51" s="97" t="n"/>
      <c r="C51" s="8">
        <f>IF($A51="","",$A51&amp;" Equity")</f>
        <v/>
      </c>
      <c r="D51" s="8">
        <f>IF($C51="","",BDP($C51,"NAME"))</f>
        <v/>
      </c>
      <c r="E51" s="8">
        <f>IF($C51="","",BDP($C51,"GICS_SECTOR_NAME"))</f>
        <v/>
      </c>
      <c r="F51" s="37">
        <f>IF($C51="","",BDP($C51,FLD_CCY))</f>
        <v/>
      </c>
      <c r="G51" s="12">
        <f>IFERROR(IF(LEN($F51)&lt;&gt;3,1,IF($F51="HKD",1,BDP(IF($F51="CNY",RMB_CROSS,$F51)&amp;"HKD Curncy","PX_LAST"))),1)</f>
        <v/>
      </c>
      <c r="H51" s="69">
        <f>IF($C51="","",BDP($C51,FLD_DPS12M))</f>
        <v/>
      </c>
      <c r="I51" s="50">
        <f>IF($C51="","",BDP($C51,FLD_YLD12M))</f>
        <v/>
      </c>
      <c r="J51" s="52">
        <f>IF($B51="",0,SUMPRODUCT(('Dvd Calendar'!$E$2045:$AR$2045&gt;=DATE(YEAR_Y,1,1))*('Dvd Calendar'!$E$2045:$AR$2045&lt;=REALIZED_TO)*'Dvd Calendar'!$E$2048:$AR$2048*(('Dvd Calendar'!$E$2050:$AR$2050=TYPE1)*(TYPE1&lt;&gt;"")+('Dvd Calendar'!$E$2050:$AR$2050=TYPE2)*(TYPE2&lt;&gt;"")+('Dvd Calendar'!$E$2050:$AR$2050=TYPE3)*(TYPE3&lt;&gt;"")+('Dvd Calendar'!$E$2050:$AR$2050=TYPE4)*(TYPE4&lt;&gt;"")+('Dvd Calendar'!$E$2050:$AR$2050=SPECIAL_LBL)*(INC_SPECIALS="Y"))))</f>
        <v/>
      </c>
      <c r="K51" s="52">
        <f>IF($B51="",0,SUMIFS('Dvd Calendar'!$E$2053:$AR$2053,'Dvd Calendar'!$E$2052:$AR$2052,"&gt;"&amp;PROJ_FROM,'Dvd Calendar'!$E$2052:$AR$2052,"&lt;="&amp;DATE(YEAR_Y,12,31))+SUMPRODUCT(('Dvd Calendar'!$E$2045:$AR$2045&gt;PROJ_FROM)*('Dvd Calendar'!$E$2045:$AR$2045&lt;=DATE(YEAR_Y,12,31))*'Dvd Calendar'!$E$2048:$AR$2048*(('Dvd Calendar'!$E$2050:$AR$2050=TYPE1)*(TYPE1&lt;&gt;"")+('Dvd Calendar'!$E$2050:$AR$2050=TYPE2)*(TYPE2&lt;&gt;"")+('Dvd Calendar'!$E$2050:$AR$2050=TYPE3)*(TYPE3&lt;&gt;"")+('Dvd Calendar'!$E$2050:$AR$2050=TYPE4)*(TYPE4&lt;&gt;"")+('Dvd Calendar'!$E$2050:$AR$2050=SPECIAL_LBL)*(INC_SPECIALS="Y"))*(COUNTIF('Dvd Calendar'!$E$2052:$AR$2052,'Dvd Calendar'!$E$2045:$AR$2045)=0)))</f>
        <v/>
      </c>
      <c r="L51" s="52">
        <f>IF($B51="",0,IF((OV_SWITCH="ON")*(COUNTIFS(OVR_TICKERS,$C51,OVR_BASE,"&gt;=0")&gt;0)&gt;0,SUMIFS(OVR_BASE,OVR_TICKERS,$C51),$K51))</f>
        <v/>
      </c>
      <c r="M51" s="52">
        <f>IF($B51="",0,IF((OV_SWITCH="ON")*(COUNTIFS(OVR_TICKERS,$C51,OVR_LOW,"&gt;=0")&gt;0)&gt;0,SUMIFS(OVR_LOW,OVR_TICKERS,$C51),$L51))</f>
        <v/>
      </c>
      <c r="N51" s="52">
        <f>IF($B51="",0,IF((OV_SWITCH="ON")*(COUNTIFS(OVR_TICKERS,$C51,OVR_HIGH,"&gt;=0")&gt;0)&gt;0,SUMIFS(OVR_HIGH,OVR_TICKERS,$C51),$L51))</f>
        <v/>
      </c>
      <c r="O51" s="69">
        <f>IF($B51="","",IFERROR($B51*$G51*$J51/$B$3,""))</f>
        <v/>
      </c>
      <c r="P51" s="69">
        <f>IF($B51="","",IFERROR($B51*$G51*$L51/$B$3,""))</f>
        <v/>
      </c>
      <c r="Q51" s="44">
        <f>IF($B51="","",IFERROR($O51+$P51,""))</f>
        <v/>
      </c>
      <c r="R51" s="69">
        <f>IF($B51="","",IFERROR($O51+$B51*$G51*$M51/$B$3,""))</f>
        <v/>
      </c>
      <c r="S51" s="69">
        <f>IF($B51="","",IFERROR($O51+$B51*$G51*$N51/$B$3,""))</f>
        <v/>
      </c>
      <c r="T51" s="88">
        <f>IF($B51="","",IFERROR($Q51/$Q$5,""))</f>
        <v/>
      </c>
      <c r="U51" s="2">
        <f>IF($B51="","",IF(COUNTIFS('Dvd Calendar'!$E$2051:$AR$2051,"&gt;0",'Dvd Calendar'!$E$2051:$AR$2051,"&lt;="&amp;VAL_DATE,'Dvd Calendar'!$E$2052:$AR$2052,"&gt;"&amp;PROJ_FROM,'Dvd Calendar'!$E$2052:$AR$2052,"&lt;="&amp;DATE(YEAR_Y,12,31))-COUNTIFS('Dvd Calendar'!$E$2051:$AR$2051,"&gt;0",'Dvd Calendar'!$E$2051:$AR$2051,"&lt;="&amp;VAL_DATE,'Dvd Calendar'!$E$2052:$AR$2052,"&gt;"&amp;PROJ_FROM,'Dvd Calendar'!$E$2052:$AR$2052,"&lt;="&amp;DATE(YEAR_Y,12,31),'Dvd Calendar'!$E$2053:$AR$2053,"&gt;=0")&gt;0,"TBA amount - override me",IF((OV_SWITCH="ON")*(COUNTIFS(OVR_TICKERS,$C51,OVR_BASE,"&gt;=0")&gt;0)&gt;0,"overridden",IF($J51+$K51=0,"no dividend in year Y",""))))</f>
        <v/>
      </c>
      <c r="V51" s="69">
        <f>IF($B51="","",IFERROR(IF(ISNUMBER($H51),$B51*$G51*$H51/$B$3,0),""))</f>
        <v/>
      </c>
      <c r="W51" s="69">
        <f>IF($B51="","",IFERROR($B51*$G51*$K51/$B$3,""))</f>
        <v/>
      </c>
      <c r="X51" s="98">
        <f>IF($C51="","",BDP($C51,"PX_LAST"))</f>
        <v/>
      </c>
      <c r="Y51" s="69">
        <f>IF($B51="","",IFERROR($B51*$X51/$B$3,""))</f>
        <v/>
      </c>
      <c r="Z51" s="73">
        <f>IF($B51="","",IFERROR($Y51/$Y$5,""))</f>
        <v/>
      </c>
    </row>
    <row r="52">
      <c r="B52" s="97" t="n"/>
      <c r="C52" s="8">
        <f>IF($A52="","",$A52&amp;" Equity")</f>
        <v/>
      </c>
      <c r="D52" s="8">
        <f>IF($C52="","",BDP($C52,"NAME"))</f>
        <v/>
      </c>
      <c r="E52" s="8">
        <f>IF($C52="","",BDP($C52,"GICS_SECTOR_NAME"))</f>
        <v/>
      </c>
      <c r="F52" s="37">
        <f>IF($C52="","",BDP($C52,FLD_CCY))</f>
        <v/>
      </c>
      <c r="G52" s="12">
        <f>IFERROR(IF(LEN($F52)&lt;&gt;3,1,IF($F52="HKD",1,BDP(IF($F52="CNY",RMB_CROSS,$F52)&amp;"HKD Curncy","PX_LAST"))),1)</f>
        <v/>
      </c>
      <c r="H52" s="69">
        <f>IF($C52="","",BDP($C52,FLD_DPS12M))</f>
        <v/>
      </c>
      <c r="I52" s="50">
        <f>IF($C52="","",BDP($C52,FLD_YLD12M))</f>
        <v/>
      </c>
      <c r="J52" s="52">
        <f>IF($B52="",0,SUMPRODUCT(('Dvd Calendar'!$E$2056:$AR$2056&gt;=DATE(YEAR_Y,1,1))*('Dvd Calendar'!$E$2056:$AR$2056&lt;=REALIZED_TO)*'Dvd Calendar'!$E$2059:$AR$2059*(('Dvd Calendar'!$E$2061:$AR$2061=TYPE1)*(TYPE1&lt;&gt;"")+('Dvd Calendar'!$E$2061:$AR$2061=TYPE2)*(TYPE2&lt;&gt;"")+('Dvd Calendar'!$E$2061:$AR$2061=TYPE3)*(TYPE3&lt;&gt;"")+('Dvd Calendar'!$E$2061:$AR$2061=TYPE4)*(TYPE4&lt;&gt;"")+('Dvd Calendar'!$E$2061:$AR$2061=SPECIAL_LBL)*(INC_SPECIALS="Y"))))</f>
        <v/>
      </c>
      <c r="K52" s="52">
        <f>IF($B52="",0,SUMIFS('Dvd Calendar'!$E$2064:$AR$2064,'Dvd Calendar'!$E$2063:$AR$2063,"&gt;"&amp;PROJ_FROM,'Dvd Calendar'!$E$2063:$AR$2063,"&lt;="&amp;DATE(YEAR_Y,12,31))+SUMPRODUCT(('Dvd Calendar'!$E$2056:$AR$2056&gt;PROJ_FROM)*('Dvd Calendar'!$E$2056:$AR$2056&lt;=DATE(YEAR_Y,12,31))*'Dvd Calendar'!$E$2059:$AR$2059*(('Dvd Calendar'!$E$2061:$AR$2061=TYPE1)*(TYPE1&lt;&gt;"")+('Dvd Calendar'!$E$2061:$AR$2061=TYPE2)*(TYPE2&lt;&gt;"")+('Dvd Calendar'!$E$2061:$AR$2061=TYPE3)*(TYPE3&lt;&gt;"")+('Dvd Calendar'!$E$2061:$AR$2061=TYPE4)*(TYPE4&lt;&gt;"")+('Dvd Calendar'!$E$2061:$AR$2061=SPECIAL_LBL)*(INC_SPECIALS="Y"))*(COUNTIF('Dvd Calendar'!$E$2063:$AR$2063,'Dvd Calendar'!$E$2056:$AR$2056)=0)))</f>
        <v/>
      </c>
      <c r="L52" s="52">
        <f>IF($B52="",0,IF((OV_SWITCH="ON")*(COUNTIFS(OVR_TICKERS,$C52,OVR_BASE,"&gt;=0")&gt;0)&gt;0,SUMIFS(OVR_BASE,OVR_TICKERS,$C52),$K52))</f>
        <v/>
      </c>
      <c r="M52" s="52">
        <f>IF($B52="",0,IF((OV_SWITCH="ON")*(COUNTIFS(OVR_TICKERS,$C52,OVR_LOW,"&gt;=0")&gt;0)&gt;0,SUMIFS(OVR_LOW,OVR_TICKERS,$C52),$L52))</f>
        <v/>
      </c>
      <c r="N52" s="52">
        <f>IF($B52="",0,IF((OV_SWITCH="ON")*(COUNTIFS(OVR_TICKERS,$C52,OVR_HIGH,"&gt;=0")&gt;0)&gt;0,SUMIFS(OVR_HIGH,OVR_TICKERS,$C52),$L52))</f>
        <v/>
      </c>
      <c r="O52" s="69">
        <f>IF($B52="","",IFERROR($B52*$G52*$J52/$B$3,""))</f>
        <v/>
      </c>
      <c r="P52" s="69">
        <f>IF($B52="","",IFERROR($B52*$G52*$L52/$B$3,""))</f>
        <v/>
      </c>
      <c r="Q52" s="44">
        <f>IF($B52="","",IFERROR($O52+$P52,""))</f>
        <v/>
      </c>
      <c r="R52" s="69">
        <f>IF($B52="","",IFERROR($O52+$B52*$G52*$M52/$B$3,""))</f>
        <v/>
      </c>
      <c r="S52" s="69">
        <f>IF($B52="","",IFERROR($O52+$B52*$G52*$N52/$B$3,""))</f>
        <v/>
      </c>
      <c r="T52" s="88">
        <f>IF($B52="","",IFERROR($Q52/$Q$5,""))</f>
        <v/>
      </c>
      <c r="U52" s="2">
        <f>IF($B52="","",IF(COUNTIFS('Dvd Calendar'!$E$2062:$AR$2062,"&gt;0",'Dvd Calendar'!$E$2062:$AR$2062,"&lt;="&amp;VAL_DATE,'Dvd Calendar'!$E$2063:$AR$2063,"&gt;"&amp;PROJ_FROM,'Dvd Calendar'!$E$2063:$AR$2063,"&lt;="&amp;DATE(YEAR_Y,12,31))-COUNTIFS('Dvd Calendar'!$E$2062:$AR$2062,"&gt;0",'Dvd Calendar'!$E$2062:$AR$2062,"&lt;="&amp;VAL_DATE,'Dvd Calendar'!$E$2063:$AR$2063,"&gt;"&amp;PROJ_FROM,'Dvd Calendar'!$E$2063:$AR$2063,"&lt;="&amp;DATE(YEAR_Y,12,31),'Dvd Calendar'!$E$2064:$AR$2064,"&gt;=0")&gt;0,"TBA amount - override me",IF((OV_SWITCH="ON")*(COUNTIFS(OVR_TICKERS,$C52,OVR_BASE,"&gt;=0")&gt;0)&gt;0,"overridden",IF($J52+$K52=0,"no dividend in year Y",""))))</f>
        <v/>
      </c>
      <c r="V52" s="69">
        <f>IF($B52="","",IFERROR(IF(ISNUMBER($H52),$B52*$G52*$H52/$B$3,0),""))</f>
        <v/>
      </c>
      <c r="W52" s="69">
        <f>IF($B52="","",IFERROR($B52*$G52*$K52/$B$3,""))</f>
        <v/>
      </c>
      <c r="X52" s="98">
        <f>IF($C52="","",BDP($C52,"PX_LAST"))</f>
        <v/>
      </c>
      <c r="Y52" s="69">
        <f>IF($B52="","",IFERROR($B52*$X52/$B$3,""))</f>
        <v/>
      </c>
      <c r="Z52" s="73">
        <f>IF($B52="","",IFERROR($Y52/$Y$5,""))</f>
        <v/>
      </c>
    </row>
    <row r="53">
      <c r="B53" s="97" t="n"/>
      <c r="C53" s="8">
        <f>IF($A53="","",$A53&amp;" Equity")</f>
        <v/>
      </c>
      <c r="D53" s="8">
        <f>IF($C53="","",BDP($C53,"NAME"))</f>
        <v/>
      </c>
      <c r="E53" s="8">
        <f>IF($C53="","",BDP($C53,"GICS_SECTOR_NAME"))</f>
        <v/>
      </c>
      <c r="F53" s="37">
        <f>IF($C53="","",BDP($C53,FLD_CCY))</f>
        <v/>
      </c>
      <c r="G53" s="12">
        <f>IFERROR(IF(LEN($F53)&lt;&gt;3,1,IF($F53="HKD",1,BDP(IF($F53="CNY",RMB_CROSS,$F53)&amp;"HKD Curncy","PX_LAST"))),1)</f>
        <v/>
      </c>
      <c r="H53" s="69">
        <f>IF($C53="","",BDP($C53,FLD_DPS12M))</f>
        <v/>
      </c>
      <c r="I53" s="50">
        <f>IF($C53="","",BDP($C53,FLD_YLD12M))</f>
        <v/>
      </c>
      <c r="J53" s="52">
        <f>IF($B53="",0,SUMPRODUCT(('Dvd Calendar'!$E$2067:$AR$2067&gt;=DATE(YEAR_Y,1,1))*('Dvd Calendar'!$E$2067:$AR$2067&lt;=REALIZED_TO)*'Dvd Calendar'!$E$2070:$AR$2070*(('Dvd Calendar'!$E$2072:$AR$2072=TYPE1)*(TYPE1&lt;&gt;"")+('Dvd Calendar'!$E$2072:$AR$2072=TYPE2)*(TYPE2&lt;&gt;"")+('Dvd Calendar'!$E$2072:$AR$2072=TYPE3)*(TYPE3&lt;&gt;"")+('Dvd Calendar'!$E$2072:$AR$2072=TYPE4)*(TYPE4&lt;&gt;"")+('Dvd Calendar'!$E$2072:$AR$2072=SPECIAL_LBL)*(INC_SPECIALS="Y"))))</f>
        <v/>
      </c>
      <c r="K53" s="52">
        <f>IF($B53="",0,SUMIFS('Dvd Calendar'!$E$2075:$AR$2075,'Dvd Calendar'!$E$2074:$AR$2074,"&gt;"&amp;PROJ_FROM,'Dvd Calendar'!$E$2074:$AR$2074,"&lt;="&amp;DATE(YEAR_Y,12,31))+SUMPRODUCT(('Dvd Calendar'!$E$2067:$AR$2067&gt;PROJ_FROM)*('Dvd Calendar'!$E$2067:$AR$2067&lt;=DATE(YEAR_Y,12,31))*'Dvd Calendar'!$E$2070:$AR$2070*(('Dvd Calendar'!$E$2072:$AR$2072=TYPE1)*(TYPE1&lt;&gt;"")+('Dvd Calendar'!$E$2072:$AR$2072=TYPE2)*(TYPE2&lt;&gt;"")+('Dvd Calendar'!$E$2072:$AR$2072=TYPE3)*(TYPE3&lt;&gt;"")+('Dvd Calendar'!$E$2072:$AR$2072=TYPE4)*(TYPE4&lt;&gt;"")+('Dvd Calendar'!$E$2072:$AR$2072=SPECIAL_LBL)*(INC_SPECIALS="Y"))*(COUNTIF('Dvd Calendar'!$E$2074:$AR$2074,'Dvd Calendar'!$E$2067:$AR$2067)=0)))</f>
        <v/>
      </c>
      <c r="L53" s="52">
        <f>IF($B53="",0,IF((OV_SWITCH="ON")*(COUNTIFS(OVR_TICKERS,$C53,OVR_BASE,"&gt;=0")&gt;0)&gt;0,SUMIFS(OVR_BASE,OVR_TICKERS,$C53),$K53))</f>
        <v/>
      </c>
      <c r="M53" s="52">
        <f>IF($B53="",0,IF((OV_SWITCH="ON")*(COUNTIFS(OVR_TICKERS,$C53,OVR_LOW,"&gt;=0")&gt;0)&gt;0,SUMIFS(OVR_LOW,OVR_TICKERS,$C53),$L53))</f>
        <v/>
      </c>
      <c r="N53" s="52">
        <f>IF($B53="",0,IF((OV_SWITCH="ON")*(COUNTIFS(OVR_TICKERS,$C53,OVR_HIGH,"&gt;=0")&gt;0)&gt;0,SUMIFS(OVR_HIGH,OVR_TICKERS,$C53),$L53))</f>
        <v/>
      </c>
      <c r="O53" s="69">
        <f>IF($B53="","",IFERROR($B53*$G53*$J53/$B$3,""))</f>
        <v/>
      </c>
      <c r="P53" s="69">
        <f>IF($B53="","",IFERROR($B53*$G53*$L53/$B$3,""))</f>
        <v/>
      </c>
      <c r="Q53" s="44">
        <f>IF($B53="","",IFERROR($O53+$P53,""))</f>
        <v/>
      </c>
      <c r="R53" s="69">
        <f>IF($B53="","",IFERROR($O53+$B53*$G53*$M53/$B$3,""))</f>
        <v/>
      </c>
      <c r="S53" s="69">
        <f>IF($B53="","",IFERROR($O53+$B53*$G53*$N53/$B$3,""))</f>
        <v/>
      </c>
      <c r="T53" s="88">
        <f>IF($B53="","",IFERROR($Q53/$Q$5,""))</f>
        <v/>
      </c>
      <c r="U53" s="2">
        <f>IF($B53="","",IF(COUNTIFS('Dvd Calendar'!$E$2073:$AR$2073,"&gt;0",'Dvd Calendar'!$E$2073:$AR$2073,"&lt;="&amp;VAL_DATE,'Dvd Calendar'!$E$2074:$AR$2074,"&gt;"&amp;PROJ_FROM,'Dvd Calendar'!$E$2074:$AR$2074,"&lt;="&amp;DATE(YEAR_Y,12,31))-COUNTIFS('Dvd Calendar'!$E$2073:$AR$2073,"&gt;0",'Dvd Calendar'!$E$2073:$AR$2073,"&lt;="&amp;VAL_DATE,'Dvd Calendar'!$E$2074:$AR$2074,"&gt;"&amp;PROJ_FROM,'Dvd Calendar'!$E$2074:$AR$2074,"&lt;="&amp;DATE(YEAR_Y,12,31),'Dvd Calendar'!$E$2075:$AR$2075,"&gt;=0")&gt;0,"TBA amount - override me",IF((OV_SWITCH="ON")*(COUNTIFS(OVR_TICKERS,$C53,OVR_BASE,"&gt;=0")&gt;0)&gt;0,"overridden",IF($J53+$K53=0,"no dividend in year Y",""))))</f>
        <v/>
      </c>
      <c r="V53" s="69">
        <f>IF($B53="","",IFERROR(IF(ISNUMBER($H53),$B53*$G53*$H53/$B$3,0),""))</f>
        <v/>
      </c>
      <c r="W53" s="69">
        <f>IF($B53="","",IFERROR($B53*$G53*$K53/$B$3,""))</f>
        <v/>
      </c>
      <c r="X53" s="98">
        <f>IF($C53="","",BDP($C53,"PX_LAST"))</f>
        <v/>
      </c>
      <c r="Y53" s="69">
        <f>IF($B53="","",IFERROR($B53*$X53/$B$3,""))</f>
        <v/>
      </c>
      <c r="Z53" s="73">
        <f>IF($B53="","",IFERROR($Y53/$Y$5,""))</f>
        <v/>
      </c>
    </row>
    <row r="54">
      <c r="B54" s="97" t="n"/>
      <c r="C54" s="8">
        <f>IF($A54="","",$A54&amp;" Equity")</f>
        <v/>
      </c>
      <c r="D54" s="8">
        <f>IF($C54="","",BDP($C54,"NAME"))</f>
        <v/>
      </c>
      <c r="E54" s="8">
        <f>IF($C54="","",BDP($C54,"GICS_SECTOR_NAME"))</f>
        <v/>
      </c>
      <c r="F54" s="37">
        <f>IF($C54="","",BDP($C54,FLD_CCY))</f>
        <v/>
      </c>
      <c r="G54" s="12">
        <f>IFERROR(IF(LEN($F54)&lt;&gt;3,1,IF($F54="HKD",1,BDP(IF($F54="CNY",RMB_CROSS,$F54)&amp;"HKD Curncy","PX_LAST"))),1)</f>
        <v/>
      </c>
      <c r="H54" s="69">
        <f>IF($C54="","",BDP($C54,FLD_DPS12M))</f>
        <v/>
      </c>
      <c r="I54" s="50">
        <f>IF($C54="","",BDP($C54,FLD_YLD12M))</f>
        <v/>
      </c>
      <c r="J54" s="52">
        <f>IF($B54="",0,SUMPRODUCT(('Dvd Calendar'!$E$2078:$AR$2078&gt;=DATE(YEAR_Y,1,1))*('Dvd Calendar'!$E$2078:$AR$2078&lt;=REALIZED_TO)*'Dvd Calendar'!$E$2081:$AR$2081*(('Dvd Calendar'!$E$2083:$AR$2083=TYPE1)*(TYPE1&lt;&gt;"")+('Dvd Calendar'!$E$2083:$AR$2083=TYPE2)*(TYPE2&lt;&gt;"")+('Dvd Calendar'!$E$2083:$AR$2083=TYPE3)*(TYPE3&lt;&gt;"")+('Dvd Calendar'!$E$2083:$AR$2083=TYPE4)*(TYPE4&lt;&gt;"")+('Dvd Calendar'!$E$2083:$AR$2083=SPECIAL_LBL)*(INC_SPECIALS="Y"))))</f>
        <v/>
      </c>
      <c r="K54" s="52">
        <f>IF($B54="",0,SUMIFS('Dvd Calendar'!$E$2086:$AR$2086,'Dvd Calendar'!$E$2085:$AR$2085,"&gt;"&amp;PROJ_FROM,'Dvd Calendar'!$E$2085:$AR$2085,"&lt;="&amp;DATE(YEAR_Y,12,31))+SUMPRODUCT(('Dvd Calendar'!$E$2078:$AR$2078&gt;PROJ_FROM)*('Dvd Calendar'!$E$2078:$AR$2078&lt;=DATE(YEAR_Y,12,31))*'Dvd Calendar'!$E$2081:$AR$2081*(('Dvd Calendar'!$E$2083:$AR$2083=TYPE1)*(TYPE1&lt;&gt;"")+('Dvd Calendar'!$E$2083:$AR$2083=TYPE2)*(TYPE2&lt;&gt;"")+('Dvd Calendar'!$E$2083:$AR$2083=TYPE3)*(TYPE3&lt;&gt;"")+('Dvd Calendar'!$E$2083:$AR$2083=TYPE4)*(TYPE4&lt;&gt;"")+('Dvd Calendar'!$E$2083:$AR$2083=SPECIAL_LBL)*(INC_SPECIALS="Y"))*(COUNTIF('Dvd Calendar'!$E$2085:$AR$2085,'Dvd Calendar'!$E$2078:$AR$2078)=0)))</f>
        <v/>
      </c>
      <c r="L54" s="52">
        <f>IF($B54="",0,IF((OV_SWITCH="ON")*(COUNTIFS(OVR_TICKERS,$C54,OVR_BASE,"&gt;=0")&gt;0)&gt;0,SUMIFS(OVR_BASE,OVR_TICKERS,$C54),$K54))</f>
        <v/>
      </c>
      <c r="M54" s="52">
        <f>IF($B54="",0,IF((OV_SWITCH="ON")*(COUNTIFS(OVR_TICKERS,$C54,OVR_LOW,"&gt;=0")&gt;0)&gt;0,SUMIFS(OVR_LOW,OVR_TICKERS,$C54),$L54))</f>
        <v/>
      </c>
      <c r="N54" s="52">
        <f>IF($B54="",0,IF((OV_SWITCH="ON")*(COUNTIFS(OVR_TICKERS,$C54,OVR_HIGH,"&gt;=0")&gt;0)&gt;0,SUMIFS(OVR_HIGH,OVR_TICKERS,$C54),$L54))</f>
        <v/>
      </c>
      <c r="O54" s="69">
        <f>IF($B54="","",IFERROR($B54*$G54*$J54/$B$3,""))</f>
        <v/>
      </c>
      <c r="P54" s="69">
        <f>IF($B54="","",IFERROR($B54*$G54*$L54/$B$3,""))</f>
        <v/>
      </c>
      <c r="Q54" s="44">
        <f>IF($B54="","",IFERROR($O54+$P54,""))</f>
        <v/>
      </c>
      <c r="R54" s="69">
        <f>IF($B54="","",IFERROR($O54+$B54*$G54*$M54/$B$3,""))</f>
        <v/>
      </c>
      <c r="S54" s="69">
        <f>IF($B54="","",IFERROR($O54+$B54*$G54*$N54/$B$3,""))</f>
        <v/>
      </c>
      <c r="T54" s="88">
        <f>IF($B54="","",IFERROR($Q54/$Q$5,""))</f>
        <v/>
      </c>
      <c r="U54" s="2">
        <f>IF($B54="","",IF(COUNTIFS('Dvd Calendar'!$E$2084:$AR$2084,"&gt;0",'Dvd Calendar'!$E$2084:$AR$2084,"&lt;="&amp;VAL_DATE,'Dvd Calendar'!$E$2085:$AR$2085,"&gt;"&amp;PROJ_FROM,'Dvd Calendar'!$E$2085:$AR$2085,"&lt;="&amp;DATE(YEAR_Y,12,31))-COUNTIFS('Dvd Calendar'!$E$2084:$AR$2084,"&gt;0",'Dvd Calendar'!$E$2084:$AR$2084,"&lt;="&amp;VAL_DATE,'Dvd Calendar'!$E$2085:$AR$2085,"&gt;"&amp;PROJ_FROM,'Dvd Calendar'!$E$2085:$AR$2085,"&lt;="&amp;DATE(YEAR_Y,12,31),'Dvd Calendar'!$E$2086:$AR$2086,"&gt;=0")&gt;0,"TBA amount - override me",IF((OV_SWITCH="ON")*(COUNTIFS(OVR_TICKERS,$C54,OVR_BASE,"&gt;=0")&gt;0)&gt;0,"overridden",IF($J54+$K54=0,"no dividend in year Y",""))))</f>
        <v/>
      </c>
      <c r="V54" s="69">
        <f>IF($B54="","",IFERROR(IF(ISNUMBER($H54),$B54*$G54*$H54/$B$3,0),""))</f>
        <v/>
      </c>
      <c r="W54" s="69">
        <f>IF($B54="","",IFERROR($B54*$G54*$K54/$B$3,""))</f>
        <v/>
      </c>
      <c r="X54" s="98">
        <f>IF($C54="","",BDP($C54,"PX_LAST"))</f>
        <v/>
      </c>
      <c r="Y54" s="69">
        <f>IF($B54="","",IFERROR($B54*$X54/$B$3,""))</f>
        <v/>
      </c>
      <c r="Z54" s="73">
        <f>IF($B54="","",IFERROR($Y54/$Y$5,""))</f>
        <v/>
      </c>
    </row>
    <row r="55">
      <c r="B55" s="97" t="n"/>
      <c r="C55" s="8">
        <f>IF($A55="","",$A55&amp;" Equity")</f>
        <v/>
      </c>
      <c r="D55" s="8">
        <f>IF($C55="","",BDP($C55,"NAME"))</f>
        <v/>
      </c>
      <c r="E55" s="8">
        <f>IF($C55="","",BDP($C55,"GICS_SECTOR_NAME"))</f>
        <v/>
      </c>
      <c r="F55" s="37">
        <f>IF($C55="","",BDP($C55,FLD_CCY))</f>
        <v/>
      </c>
      <c r="G55" s="12">
        <f>IFERROR(IF(LEN($F55)&lt;&gt;3,1,IF($F55="HKD",1,BDP(IF($F55="CNY",RMB_CROSS,$F55)&amp;"HKD Curncy","PX_LAST"))),1)</f>
        <v/>
      </c>
      <c r="H55" s="69">
        <f>IF($C55="","",BDP($C55,FLD_DPS12M))</f>
        <v/>
      </c>
      <c r="I55" s="50">
        <f>IF($C55="","",BDP($C55,FLD_YLD12M))</f>
        <v/>
      </c>
      <c r="J55" s="52">
        <f>IF($B55="",0,SUMPRODUCT(('Dvd Calendar'!$E$2089:$AR$2089&gt;=DATE(YEAR_Y,1,1))*('Dvd Calendar'!$E$2089:$AR$2089&lt;=REALIZED_TO)*'Dvd Calendar'!$E$2092:$AR$2092*(('Dvd Calendar'!$E$2094:$AR$2094=TYPE1)*(TYPE1&lt;&gt;"")+('Dvd Calendar'!$E$2094:$AR$2094=TYPE2)*(TYPE2&lt;&gt;"")+('Dvd Calendar'!$E$2094:$AR$2094=TYPE3)*(TYPE3&lt;&gt;"")+('Dvd Calendar'!$E$2094:$AR$2094=TYPE4)*(TYPE4&lt;&gt;"")+('Dvd Calendar'!$E$2094:$AR$2094=SPECIAL_LBL)*(INC_SPECIALS="Y"))))</f>
        <v/>
      </c>
      <c r="K55" s="52">
        <f>IF($B55="",0,SUMIFS('Dvd Calendar'!$E$2097:$AR$2097,'Dvd Calendar'!$E$2096:$AR$2096,"&gt;"&amp;PROJ_FROM,'Dvd Calendar'!$E$2096:$AR$2096,"&lt;="&amp;DATE(YEAR_Y,12,31))+SUMPRODUCT(('Dvd Calendar'!$E$2089:$AR$2089&gt;PROJ_FROM)*('Dvd Calendar'!$E$2089:$AR$2089&lt;=DATE(YEAR_Y,12,31))*'Dvd Calendar'!$E$2092:$AR$2092*(('Dvd Calendar'!$E$2094:$AR$2094=TYPE1)*(TYPE1&lt;&gt;"")+('Dvd Calendar'!$E$2094:$AR$2094=TYPE2)*(TYPE2&lt;&gt;"")+('Dvd Calendar'!$E$2094:$AR$2094=TYPE3)*(TYPE3&lt;&gt;"")+('Dvd Calendar'!$E$2094:$AR$2094=TYPE4)*(TYPE4&lt;&gt;"")+('Dvd Calendar'!$E$2094:$AR$2094=SPECIAL_LBL)*(INC_SPECIALS="Y"))*(COUNTIF('Dvd Calendar'!$E$2096:$AR$2096,'Dvd Calendar'!$E$2089:$AR$2089)=0)))</f>
        <v/>
      </c>
      <c r="L55" s="52">
        <f>IF($B55="",0,IF((OV_SWITCH="ON")*(COUNTIFS(OVR_TICKERS,$C55,OVR_BASE,"&gt;=0")&gt;0)&gt;0,SUMIFS(OVR_BASE,OVR_TICKERS,$C55),$K55))</f>
        <v/>
      </c>
      <c r="M55" s="52">
        <f>IF($B55="",0,IF((OV_SWITCH="ON")*(COUNTIFS(OVR_TICKERS,$C55,OVR_LOW,"&gt;=0")&gt;0)&gt;0,SUMIFS(OVR_LOW,OVR_TICKERS,$C55),$L55))</f>
        <v/>
      </c>
      <c r="N55" s="52">
        <f>IF($B55="",0,IF((OV_SWITCH="ON")*(COUNTIFS(OVR_TICKERS,$C55,OVR_HIGH,"&gt;=0")&gt;0)&gt;0,SUMIFS(OVR_HIGH,OVR_TICKERS,$C55),$L55))</f>
        <v/>
      </c>
      <c r="O55" s="69">
        <f>IF($B55="","",IFERROR($B55*$G55*$J55/$B$3,""))</f>
        <v/>
      </c>
      <c r="P55" s="69">
        <f>IF($B55="","",IFERROR($B55*$G55*$L55/$B$3,""))</f>
        <v/>
      </c>
      <c r="Q55" s="44">
        <f>IF($B55="","",IFERROR($O55+$P55,""))</f>
        <v/>
      </c>
      <c r="R55" s="69">
        <f>IF($B55="","",IFERROR($O55+$B55*$G55*$M55/$B$3,""))</f>
        <v/>
      </c>
      <c r="S55" s="69">
        <f>IF($B55="","",IFERROR($O55+$B55*$G55*$N55/$B$3,""))</f>
        <v/>
      </c>
      <c r="T55" s="88">
        <f>IF($B55="","",IFERROR($Q55/$Q$5,""))</f>
        <v/>
      </c>
      <c r="U55" s="2">
        <f>IF($B55="","",IF(COUNTIFS('Dvd Calendar'!$E$2095:$AR$2095,"&gt;0",'Dvd Calendar'!$E$2095:$AR$2095,"&lt;="&amp;VAL_DATE,'Dvd Calendar'!$E$2096:$AR$2096,"&gt;"&amp;PROJ_FROM,'Dvd Calendar'!$E$2096:$AR$2096,"&lt;="&amp;DATE(YEAR_Y,12,31))-COUNTIFS('Dvd Calendar'!$E$2095:$AR$2095,"&gt;0",'Dvd Calendar'!$E$2095:$AR$2095,"&lt;="&amp;VAL_DATE,'Dvd Calendar'!$E$2096:$AR$2096,"&gt;"&amp;PROJ_FROM,'Dvd Calendar'!$E$2096:$AR$2096,"&lt;="&amp;DATE(YEAR_Y,12,31),'Dvd Calendar'!$E$2097:$AR$2097,"&gt;=0")&gt;0,"TBA amount - override me",IF((OV_SWITCH="ON")*(COUNTIFS(OVR_TICKERS,$C55,OVR_BASE,"&gt;=0")&gt;0)&gt;0,"overridden",IF($J55+$K55=0,"no dividend in year Y",""))))</f>
        <v/>
      </c>
      <c r="V55" s="69">
        <f>IF($B55="","",IFERROR(IF(ISNUMBER($H55),$B55*$G55*$H55/$B$3,0),""))</f>
        <v/>
      </c>
      <c r="W55" s="69">
        <f>IF($B55="","",IFERROR($B55*$G55*$K55/$B$3,""))</f>
        <v/>
      </c>
      <c r="X55" s="98">
        <f>IF($C55="","",BDP($C55,"PX_LAST"))</f>
        <v/>
      </c>
      <c r="Y55" s="69">
        <f>IF($B55="","",IFERROR($B55*$X55/$B$3,""))</f>
        <v/>
      </c>
      <c r="Z55" s="73">
        <f>IF($B55="","",IFERROR($Y55/$Y$5,""))</f>
        <v/>
      </c>
    </row>
    <row r="56">
      <c r="B56" s="97" t="n"/>
      <c r="C56" s="8">
        <f>IF($A56="","",$A56&amp;" Equity")</f>
        <v/>
      </c>
      <c r="D56" s="8">
        <f>IF($C56="","",BDP($C56,"NAME"))</f>
        <v/>
      </c>
      <c r="E56" s="8">
        <f>IF($C56="","",BDP($C56,"GICS_SECTOR_NAME"))</f>
        <v/>
      </c>
      <c r="F56" s="37">
        <f>IF($C56="","",BDP($C56,FLD_CCY))</f>
        <v/>
      </c>
      <c r="G56" s="12">
        <f>IFERROR(IF(LEN($F56)&lt;&gt;3,1,IF($F56="HKD",1,BDP(IF($F56="CNY",RMB_CROSS,$F56)&amp;"HKD Curncy","PX_LAST"))),1)</f>
        <v/>
      </c>
      <c r="H56" s="69">
        <f>IF($C56="","",BDP($C56,FLD_DPS12M))</f>
        <v/>
      </c>
      <c r="I56" s="50">
        <f>IF($C56="","",BDP($C56,FLD_YLD12M))</f>
        <v/>
      </c>
      <c r="J56" s="52">
        <f>IF($B56="",0,SUMPRODUCT(('Dvd Calendar'!$E$2100:$AR$2100&gt;=DATE(YEAR_Y,1,1))*('Dvd Calendar'!$E$2100:$AR$2100&lt;=REALIZED_TO)*'Dvd Calendar'!$E$2103:$AR$2103*(('Dvd Calendar'!$E$2105:$AR$2105=TYPE1)*(TYPE1&lt;&gt;"")+('Dvd Calendar'!$E$2105:$AR$2105=TYPE2)*(TYPE2&lt;&gt;"")+('Dvd Calendar'!$E$2105:$AR$2105=TYPE3)*(TYPE3&lt;&gt;"")+('Dvd Calendar'!$E$2105:$AR$2105=TYPE4)*(TYPE4&lt;&gt;"")+('Dvd Calendar'!$E$2105:$AR$2105=SPECIAL_LBL)*(INC_SPECIALS="Y"))))</f>
        <v/>
      </c>
      <c r="K56" s="52">
        <f>IF($B56="",0,SUMIFS('Dvd Calendar'!$E$2108:$AR$2108,'Dvd Calendar'!$E$2107:$AR$2107,"&gt;"&amp;PROJ_FROM,'Dvd Calendar'!$E$2107:$AR$2107,"&lt;="&amp;DATE(YEAR_Y,12,31))+SUMPRODUCT(('Dvd Calendar'!$E$2100:$AR$2100&gt;PROJ_FROM)*('Dvd Calendar'!$E$2100:$AR$2100&lt;=DATE(YEAR_Y,12,31))*'Dvd Calendar'!$E$2103:$AR$2103*(('Dvd Calendar'!$E$2105:$AR$2105=TYPE1)*(TYPE1&lt;&gt;"")+('Dvd Calendar'!$E$2105:$AR$2105=TYPE2)*(TYPE2&lt;&gt;"")+('Dvd Calendar'!$E$2105:$AR$2105=TYPE3)*(TYPE3&lt;&gt;"")+('Dvd Calendar'!$E$2105:$AR$2105=TYPE4)*(TYPE4&lt;&gt;"")+('Dvd Calendar'!$E$2105:$AR$2105=SPECIAL_LBL)*(INC_SPECIALS="Y"))*(COUNTIF('Dvd Calendar'!$E$2107:$AR$2107,'Dvd Calendar'!$E$2100:$AR$2100)=0)))</f>
        <v/>
      </c>
      <c r="L56" s="52">
        <f>IF($B56="",0,IF((OV_SWITCH="ON")*(COUNTIFS(OVR_TICKERS,$C56,OVR_BASE,"&gt;=0")&gt;0)&gt;0,SUMIFS(OVR_BASE,OVR_TICKERS,$C56),$K56))</f>
        <v/>
      </c>
      <c r="M56" s="52">
        <f>IF($B56="",0,IF((OV_SWITCH="ON")*(COUNTIFS(OVR_TICKERS,$C56,OVR_LOW,"&gt;=0")&gt;0)&gt;0,SUMIFS(OVR_LOW,OVR_TICKERS,$C56),$L56))</f>
        <v/>
      </c>
      <c r="N56" s="52">
        <f>IF($B56="",0,IF((OV_SWITCH="ON")*(COUNTIFS(OVR_TICKERS,$C56,OVR_HIGH,"&gt;=0")&gt;0)&gt;0,SUMIFS(OVR_HIGH,OVR_TICKERS,$C56),$L56))</f>
        <v/>
      </c>
      <c r="O56" s="69">
        <f>IF($B56="","",IFERROR($B56*$G56*$J56/$B$3,""))</f>
        <v/>
      </c>
      <c r="P56" s="69">
        <f>IF($B56="","",IFERROR($B56*$G56*$L56/$B$3,""))</f>
        <v/>
      </c>
      <c r="Q56" s="44">
        <f>IF($B56="","",IFERROR($O56+$P56,""))</f>
        <v/>
      </c>
      <c r="R56" s="69">
        <f>IF($B56="","",IFERROR($O56+$B56*$G56*$M56/$B$3,""))</f>
        <v/>
      </c>
      <c r="S56" s="69">
        <f>IF($B56="","",IFERROR($O56+$B56*$G56*$N56/$B$3,""))</f>
        <v/>
      </c>
      <c r="T56" s="88">
        <f>IF($B56="","",IFERROR($Q56/$Q$5,""))</f>
        <v/>
      </c>
      <c r="U56" s="2">
        <f>IF($B56="","",IF(COUNTIFS('Dvd Calendar'!$E$2106:$AR$2106,"&gt;0",'Dvd Calendar'!$E$2106:$AR$2106,"&lt;="&amp;VAL_DATE,'Dvd Calendar'!$E$2107:$AR$2107,"&gt;"&amp;PROJ_FROM,'Dvd Calendar'!$E$2107:$AR$2107,"&lt;="&amp;DATE(YEAR_Y,12,31))-COUNTIFS('Dvd Calendar'!$E$2106:$AR$2106,"&gt;0",'Dvd Calendar'!$E$2106:$AR$2106,"&lt;="&amp;VAL_DATE,'Dvd Calendar'!$E$2107:$AR$2107,"&gt;"&amp;PROJ_FROM,'Dvd Calendar'!$E$2107:$AR$2107,"&lt;="&amp;DATE(YEAR_Y,12,31),'Dvd Calendar'!$E$2108:$AR$2108,"&gt;=0")&gt;0,"TBA amount - override me",IF((OV_SWITCH="ON")*(COUNTIFS(OVR_TICKERS,$C56,OVR_BASE,"&gt;=0")&gt;0)&gt;0,"overridden",IF($J56+$K56=0,"no dividend in year Y",""))))</f>
        <v/>
      </c>
      <c r="V56" s="69">
        <f>IF($B56="","",IFERROR(IF(ISNUMBER($H56),$B56*$G56*$H56/$B$3,0),""))</f>
        <v/>
      </c>
      <c r="W56" s="69">
        <f>IF($B56="","",IFERROR($B56*$G56*$K56/$B$3,""))</f>
        <v/>
      </c>
      <c r="X56" s="98">
        <f>IF($C56="","",BDP($C56,"PX_LAST"))</f>
        <v/>
      </c>
      <c r="Y56" s="69">
        <f>IF($B56="","",IFERROR($B56*$X56/$B$3,""))</f>
        <v/>
      </c>
      <c r="Z56" s="73">
        <f>IF($B56="","",IFERROR($Y56/$Y$5,""))</f>
        <v/>
      </c>
    </row>
    <row r="57">
      <c r="B57" s="97" t="n"/>
      <c r="C57" s="8">
        <f>IF($A57="","",$A57&amp;" Equity")</f>
        <v/>
      </c>
      <c r="D57" s="8">
        <f>IF($C57="","",BDP($C57,"NAME"))</f>
        <v/>
      </c>
      <c r="E57" s="8">
        <f>IF($C57="","",BDP($C57,"GICS_SECTOR_NAME"))</f>
        <v/>
      </c>
      <c r="F57" s="37">
        <f>IF($C57="","",BDP($C57,FLD_CCY))</f>
        <v/>
      </c>
      <c r="G57" s="12">
        <f>IFERROR(IF(LEN($F57)&lt;&gt;3,1,IF($F57="HKD",1,BDP(IF($F57="CNY",RMB_CROSS,$F57)&amp;"HKD Curncy","PX_LAST"))),1)</f>
        <v/>
      </c>
      <c r="H57" s="69">
        <f>IF($C57="","",BDP($C57,FLD_DPS12M))</f>
        <v/>
      </c>
      <c r="I57" s="50">
        <f>IF($C57="","",BDP($C57,FLD_YLD12M))</f>
        <v/>
      </c>
      <c r="J57" s="52">
        <f>IF($B57="",0,SUMPRODUCT(('Dvd Calendar'!$E$2111:$AR$2111&gt;=DATE(YEAR_Y,1,1))*('Dvd Calendar'!$E$2111:$AR$2111&lt;=REALIZED_TO)*'Dvd Calendar'!$E$2114:$AR$2114*(('Dvd Calendar'!$E$2116:$AR$2116=TYPE1)*(TYPE1&lt;&gt;"")+('Dvd Calendar'!$E$2116:$AR$2116=TYPE2)*(TYPE2&lt;&gt;"")+('Dvd Calendar'!$E$2116:$AR$2116=TYPE3)*(TYPE3&lt;&gt;"")+('Dvd Calendar'!$E$2116:$AR$2116=TYPE4)*(TYPE4&lt;&gt;"")+('Dvd Calendar'!$E$2116:$AR$2116=SPECIAL_LBL)*(INC_SPECIALS="Y"))))</f>
        <v/>
      </c>
      <c r="K57" s="52">
        <f>IF($B57="",0,SUMIFS('Dvd Calendar'!$E$2119:$AR$2119,'Dvd Calendar'!$E$2118:$AR$2118,"&gt;"&amp;PROJ_FROM,'Dvd Calendar'!$E$2118:$AR$2118,"&lt;="&amp;DATE(YEAR_Y,12,31))+SUMPRODUCT(('Dvd Calendar'!$E$2111:$AR$2111&gt;PROJ_FROM)*('Dvd Calendar'!$E$2111:$AR$2111&lt;=DATE(YEAR_Y,12,31))*'Dvd Calendar'!$E$2114:$AR$2114*(('Dvd Calendar'!$E$2116:$AR$2116=TYPE1)*(TYPE1&lt;&gt;"")+('Dvd Calendar'!$E$2116:$AR$2116=TYPE2)*(TYPE2&lt;&gt;"")+('Dvd Calendar'!$E$2116:$AR$2116=TYPE3)*(TYPE3&lt;&gt;"")+('Dvd Calendar'!$E$2116:$AR$2116=TYPE4)*(TYPE4&lt;&gt;"")+('Dvd Calendar'!$E$2116:$AR$2116=SPECIAL_LBL)*(INC_SPECIALS="Y"))*(COUNTIF('Dvd Calendar'!$E$2118:$AR$2118,'Dvd Calendar'!$E$2111:$AR$2111)=0)))</f>
        <v/>
      </c>
      <c r="L57" s="52">
        <f>IF($B57="",0,IF((OV_SWITCH="ON")*(COUNTIFS(OVR_TICKERS,$C57,OVR_BASE,"&gt;=0")&gt;0)&gt;0,SUMIFS(OVR_BASE,OVR_TICKERS,$C57),$K57))</f>
        <v/>
      </c>
      <c r="M57" s="52">
        <f>IF($B57="",0,IF((OV_SWITCH="ON")*(COUNTIFS(OVR_TICKERS,$C57,OVR_LOW,"&gt;=0")&gt;0)&gt;0,SUMIFS(OVR_LOW,OVR_TICKERS,$C57),$L57))</f>
        <v/>
      </c>
      <c r="N57" s="52">
        <f>IF($B57="",0,IF((OV_SWITCH="ON")*(COUNTIFS(OVR_TICKERS,$C57,OVR_HIGH,"&gt;=0")&gt;0)&gt;0,SUMIFS(OVR_HIGH,OVR_TICKERS,$C57),$L57))</f>
        <v/>
      </c>
      <c r="O57" s="69">
        <f>IF($B57="","",IFERROR($B57*$G57*$J57/$B$3,""))</f>
        <v/>
      </c>
      <c r="P57" s="69">
        <f>IF($B57="","",IFERROR($B57*$G57*$L57/$B$3,""))</f>
        <v/>
      </c>
      <c r="Q57" s="44">
        <f>IF($B57="","",IFERROR($O57+$P57,""))</f>
        <v/>
      </c>
      <c r="R57" s="69">
        <f>IF($B57="","",IFERROR($O57+$B57*$G57*$M57/$B$3,""))</f>
        <v/>
      </c>
      <c r="S57" s="69">
        <f>IF($B57="","",IFERROR($O57+$B57*$G57*$N57/$B$3,""))</f>
        <v/>
      </c>
      <c r="T57" s="88">
        <f>IF($B57="","",IFERROR($Q57/$Q$5,""))</f>
        <v/>
      </c>
      <c r="U57" s="2">
        <f>IF($B57="","",IF(COUNTIFS('Dvd Calendar'!$E$2117:$AR$2117,"&gt;0",'Dvd Calendar'!$E$2117:$AR$2117,"&lt;="&amp;VAL_DATE,'Dvd Calendar'!$E$2118:$AR$2118,"&gt;"&amp;PROJ_FROM,'Dvd Calendar'!$E$2118:$AR$2118,"&lt;="&amp;DATE(YEAR_Y,12,31))-COUNTIFS('Dvd Calendar'!$E$2117:$AR$2117,"&gt;0",'Dvd Calendar'!$E$2117:$AR$2117,"&lt;="&amp;VAL_DATE,'Dvd Calendar'!$E$2118:$AR$2118,"&gt;"&amp;PROJ_FROM,'Dvd Calendar'!$E$2118:$AR$2118,"&lt;="&amp;DATE(YEAR_Y,12,31),'Dvd Calendar'!$E$2119:$AR$2119,"&gt;=0")&gt;0,"TBA amount - override me",IF((OV_SWITCH="ON")*(COUNTIFS(OVR_TICKERS,$C57,OVR_BASE,"&gt;=0")&gt;0)&gt;0,"overridden",IF($J57+$K57=0,"no dividend in year Y",""))))</f>
        <v/>
      </c>
      <c r="V57" s="69">
        <f>IF($B57="","",IFERROR(IF(ISNUMBER($H57),$B57*$G57*$H57/$B$3,0),""))</f>
        <v/>
      </c>
      <c r="W57" s="69">
        <f>IF($B57="","",IFERROR($B57*$G57*$K57/$B$3,""))</f>
        <v/>
      </c>
      <c r="X57" s="98">
        <f>IF($C57="","",BDP($C57,"PX_LAST"))</f>
        <v/>
      </c>
      <c r="Y57" s="69">
        <f>IF($B57="","",IFERROR($B57*$X57/$B$3,""))</f>
        <v/>
      </c>
      <c r="Z57" s="73">
        <f>IF($B57="","",IFERROR($Y57/$Y$5,""))</f>
        <v/>
      </c>
    </row>
    <row r="58">
      <c r="B58" s="97" t="n"/>
      <c r="C58" s="8">
        <f>IF($A58="","",$A58&amp;" Equity")</f>
        <v/>
      </c>
      <c r="D58" s="8">
        <f>IF($C58="","",BDP($C58,"NAME"))</f>
        <v/>
      </c>
      <c r="E58" s="8">
        <f>IF($C58="","",BDP($C58,"GICS_SECTOR_NAME"))</f>
        <v/>
      </c>
      <c r="F58" s="37">
        <f>IF($C58="","",BDP($C58,FLD_CCY))</f>
        <v/>
      </c>
      <c r="G58" s="12">
        <f>IFERROR(IF(LEN($F58)&lt;&gt;3,1,IF($F58="HKD",1,BDP(IF($F58="CNY",RMB_CROSS,$F58)&amp;"HKD Curncy","PX_LAST"))),1)</f>
        <v/>
      </c>
      <c r="H58" s="69">
        <f>IF($C58="","",BDP($C58,FLD_DPS12M))</f>
        <v/>
      </c>
      <c r="I58" s="50">
        <f>IF($C58="","",BDP($C58,FLD_YLD12M))</f>
        <v/>
      </c>
      <c r="J58" s="52">
        <f>IF($B58="",0,SUMPRODUCT(('Dvd Calendar'!$E$2122:$AR$2122&gt;=DATE(YEAR_Y,1,1))*('Dvd Calendar'!$E$2122:$AR$2122&lt;=REALIZED_TO)*'Dvd Calendar'!$E$2125:$AR$2125*(('Dvd Calendar'!$E$2127:$AR$2127=TYPE1)*(TYPE1&lt;&gt;"")+('Dvd Calendar'!$E$2127:$AR$2127=TYPE2)*(TYPE2&lt;&gt;"")+('Dvd Calendar'!$E$2127:$AR$2127=TYPE3)*(TYPE3&lt;&gt;"")+('Dvd Calendar'!$E$2127:$AR$2127=TYPE4)*(TYPE4&lt;&gt;"")+('Dvd Calendar'!$E$2127:$AR$2127=SPECIAL_LBL)*(INC_SPECIALS="Y"))))</f>
        <v/>
      </c>
      <c r="K58" s="52">
        <f>IF($B58="",0,SUMIFS('Dvd Calendar'!$E$2130:$AR$2130,'Dvd Calendar'!$E$2129:$AR$2129,"&gt;"&amp;PROJ_FROM,'Dvd Calendar'!$E$2129:$AR$2129,"&lt;="&amp;DATE(YEAR_Y,12,31))+SUMPRODUCT(('Dvd Calendar'!$E$2122:$AR$2122&gt;PROJ_FROM)*('Dvd Calendar'!$E$2122:$AR$2122&lt;=DATE(YEAR_Y,12,31))*'Dvd Calendar'!$E$2125:$AR$2125*(('Dvd Calendar'!$E$2127:$AR$2127=TYPE1)*(TYPE1&lt;&gt;"")+('Dvd Calendar'!$E$2127:$AR$2127=TYPE2)*(TYPE2&lt;&gt;"")+('Dvd Calendar'!$E$2127:$AR$2127=TYPE3)*(TYPE3&lt;&gt;"")+('Dvd Calendar'!$E$2127:$AR$2127=TYPE4)*(TYPE4&lt;&gt;"")+('Dvd Calendar'!$E$2127:$AR$2127=SPECIAL_LBL)*(INC_SPECIALS="Y"))*(COUNTIF('Dvd Calendar'!$E$2129:$AR$2129,'Dvd Calendar'!$E$2122:$AR$2122)=0)))</f>
        <v/>
      </c>
      <c r="L58" s="52">
        <f>IF($B58="",0,IF((OV_SWITCH="ON")*(COUNTIFS(OVR_TICKERS,$C58,OVR_BASE,"&gt;=0")&gt;0)&gt;0,SUMIFS(OVR_BASE,OVR_TICKERS,$C58),$K58))</f>
        <v/>
      </c>
      <c r="M58" s="52">
        <f>IF($B58="",0,IF((OV_SWITCH="ON")*(COUNTIFS(OVR_TICKERS,$C58,OVR_LOW,"&gt;=0")&gt;0)&gt;0,SUMIFS(OVR_LOW,OVR_TICKERS,$C58),$L58))</f>
        <v/>
      </c>
      <c r="N58" s="52">
        <f>IF($B58="",0,IF((OV_SWITCH="ON")*(COUNTIFS(OVR_TICKERS,$C58,OVR_HIGH,"&gt;=0")&gt;0)&gt;0,SUMIFS(OVR_HIGH,OVR_TICKERS,$C58),$L58))</f>
        <v/>
      </c>
      <c r="O58" s="69">
        <f>IF($B58="","",IFERROR($B58*$G58*$J58/$B$3,""))</f>
        <v/>
      </c>
      <c r="P58" s="69">
        <f>IF($B58="","",IFERROR($B58*$G58*$L58/$B$3,""))</f>
        <v/>
      </c>
      <c r="Q58" s="44">
        <f>IF($B58="","",IFERROR($O58+$P58,""))</f>
        <v/>
      </c>
      <c r="R58" s="69">
        <f>IF($B58="","",IFERROR($O58+$B58*$G58*$M58/$B$3,""))</f>
        <v/>
      </c>
      <c r="S58" s="69">
        <f>IF($B58="","",IFERROR($O58+$B58*$G58*$N58/$B$3,""))</f>
        <v/>
      </c>
      <c r="T58" s="88">
        <f>IF($B58="","",IFERROR($Q58/$Q$5,""))</f>
        <v/>
      </c>
      <c r="U58" s="2">
        <f>IF($B58="","",IF(COUNTIFS('Dvd Calendar'!$E$2128:$AR$2128,"&gt;0",'Dvd Calendar'!$E$2128:$AR$2128,"&lt;="&amp;VAL_DATE,'Dvd Calendar'!$E$2129:$AR$2129,"&gt;"&amp;PROJ_FROM,'Dvd Calendar'!$E$2129:$AR$2129,"&lt;="&amp;DATE(YEAR_Y,12,31))-COUNTIFS('Dvd Calendar'!$E$2128:$AR$2128,"&gt;0",'Dvd Calendar'!$E$2128:$AR$2128,"&lt;="&amp;VAL_DATE,'Dvd Calendar'!$E$2129:$AR$2129,"&gt;"&amp;PROJ_FROM,'Dvd Calendar'!$E$2129:$AR$2129,"&lt;="&amp;DATE(YEAR_Y,12,31),'Dvd Calendar'!$E$2130:$AR$2130,"&gt;=0")&gt;0,"TBA amount - override me",IF((OV_SWITCH="ON")*(COUNTIFS(OVR_TICKERS,$C58,OVR_BASE,"&gt;=0")&gt;0)&gt;0,"overridden",IF($J58+$K58=0,"no dividend in year Y",""))))</f>
        <v/>
      </c>
      <c r="V58" s="69">
        <f>IF($B58="","",IFERROR(IF(ISNUMBER($H58),$B58*$G58*$H58/$B$3,0),""))</f>
        <v/>
      </c>
      <c r="W58" s="69">
        <f>IF($B58="","",IFERROR($B58*$G58*$K58/$B$3,""))</f>
        <v/>
      </c>
      <c r="X58" s="98">
        <f>IF($C58="","",BDP($C58,"PX_LAST"))</f>
        <v/>
      </c>
      <c r="Y58" s="69">
        <f>IF($B58="","",IFERROR($B58*$X58/$B$3,""))</f>
        <v/>
      </c>
      <c r="Z58" s="73">
        <f>IF($B58="","",IFERROR($Y58/$Y$5,""))</f>
        <v/>
      </c>
    </row>
    <row r="59">
      <c r="B59" s="97" t="n"/>
      <c r="C59" s="8">
        <f>IF($A59="","",$A59&amp;" Equity")</f>
        <v/>
      </c>
      <c r="D59" s="8">
        <f>IF($C59="","",BDP($C59,"NAME"))</f>
        <v/>
      </c>
      <c r="E59" s="8">
        <f>IF($C59="","",BDP($C59,"GICS_SECTOR_NAME"))</f>
        <v/>
      </c>
      <c r="F59" s="37">
        <f>IF($C59="","",BDP($C59,FLD_CCY))</f>
        <v/>
      </c>
      <c r="G59" s="12">
        <f>IFERROR(IF(LEN($F59)&lt;&gt;3,1,IF($F59="HKD",1,BDP(IF($F59="CNY",RMB_CROSS,$F59)&amp;"HKD Curncy","PX_LAST"))),1)</f>
        <v/>
      </c>
      <c r="H59" s="69">
        <f>IF($C59="","",BDP($C59,FLD_DPS12M))</f>
        <v/>
      </c>
      <c r="I59" s="50">
        <f>IF($C59="","",BDP($C59,FLD_YLD12M))</f>
        <v/>
      </c>
      <c r="J59" s="52">
        <f>IF($B59="",0,SUMPRODUCT(('Dvd Calendar'!$E$2133:$AR$2133&gt;=DATE(YEAR_Y,1,1))*('Dvd Calendar'!$E$2133:$AR$2133&lt;=REALIZED_TO)*'Dvd Calendar'!$E$2136:$AR$2136*(('Dvd Calendar'!$E$2138:$AR$2138=TYPE1)*(TYPE1&lt;&gt;"")+('Dvd Calendar'!$E$2138:$AR$2138=TYPE2)*(TYPE2&lt;&gt;"")+('Dvd Calendar'!$E$2138:$AR$2138=TYPE3)*(TYPE3&lt;&gt;"")+('Dvd Calendar'!$E$2138:$AR$2138=TYPE4)*(TYPE4&lt;&gt;"")+('Dvd Calendar'!$E$2138:$AR$2138=SPECIAL_LBL)*(INC_SPECIALS="Y"))))</f>
        <v/>
      </c>
      <c r="K59" s="52">
        <f>IF($B59="",0,SUMIFS('Dvd Calendar'!$E$2141:$AR$2141,'Dvd Calendar'!$E$2140:$AR$2140,"&gt;"&amp;PROJ_FROM,'Dvd Calendar'!$E$2140:$AR$2140,"&lt;="&amp;DATE(YEAR_Y,12,31))+SUMPRODUCT(('Dvd Calendar'!$E$2133:$AR$2133&gt;PROJ_FROM)*('Dvd Calendar'!$E$2133:$AR$2133&lt;=DATE(YEAR_Y,12,31))*'Dvd Calendar'!$E$2136:$AR$2136*(('Dvd Calendar'!$E$2138:$AR$2138=TYPE1)*(TYPE1&lt;&gt;"")+('Dvd Calendar'!$E$2138:$AR$2138=TYPE2)*(TYPE2&lt;&gt;"")+('Dvd Calendar'!$E$2138:$AR$2138=TYPE3)*(TYPE3&lt;&gt;"")+('Dvd Calendar'!$E$2138:$AR$2138=TYPE4)*(TYPE4&lt;&gt;"")+('Dvd Calendar'!$E$2138:$AR$2138=SPECIAL_LBL)*(INC_SPECIALS="Y"))*(COUNTIF('Dvd Calendar'!$E$2140:$AR$2140,'Dvd Calendar'!$E$2133:$AR$2133)=0)))</f>
        <v/>
      </c>
      <c r="L59" s="52">
        <f>IF($B59="",0,IF((OV_SWITCH="ON")*(COUNTIFS(OVR_TICKERS,$C59,OVR_BASE,"&gt;=0")&gt;0)&gt;0,SUMIFS(OVR_BASE,OVR_TICKERS,$C59),$K59))</f>
        <v/>
      </c>
      <c r="M59" s="52">
        <f>IF($B59="",0,IF((OV_SWITCH="ON")*(COUNTIFS(OVR_TICKERS,$C59,OVR_LOW,"&gt;=0")&gt;0)&gt;0,SUMIFS(OVR_LOW,OVR_TICKERS,$C59),$L59))</f>
        <v/>
      </c>
      <c r="N59" s="52">
        <f>IF($B59="",0,IF((OV_SWITCH="ON")*(COUNTIFS(OVR_TICKERS,$C59,OVR_HIGH,"&gt;=0")&gt;0)&gt;0,SUMIFS(OVR_HIGH,OVR_TICKERS,$C59),$L59))</f>
        <v/>
      </c>
      <c r="O59" s="69">
        <f>IF($B59="","",IFERROR($B59*$G59*$J59/$B$3,""))</f>
        <v/>
      </c>
      <c r="P59" s="69">
        <f>IF($B59="","",IFERROR($B59*$G59*$L59/$B$3,""))</f>
        <v/>
      </c>
      <c r="Q59" s="44">
        <f>IF($B59="","",IFERROR($O59+$P59,""))</f>
        <v/>
      </c>
      <c r="R59" s="69">
        <f>IF($B59="","",IFERROR($O59+$B59*$G59*$M59/$B$3,""))</f>
        <v/>
      </c>
      <c r="S59" s="69">
        <f>IF($B59="","",IFERROR($O59+$B59*$G59*$N59/$B$3,""))</f>
        <v/>
      </c>
      <c r="T59" s="88">
        <f>IF($B59="","",IFERROR($Q59/$Q$5,""))</f>
        <v/>
      </c>
      <c r="U59" s="2">
        <f>IF($B59="","",IF(COUNTIFS('Dvd Calendar'!$E$2139:$AR$2139,"&gt;0",'Dvd Calendar'!$E$2139:$AR$2139,"&lt;="&amp;VAL_DATE,'Dvd Calendar'!$E$2140:$AR$2140,"&gt;"&amp;PROJ_FROM,'Dvd Calendar'!$E$2140:$AR$2140,"&lt;="&amp;DATE(YEAR_Y,12,31))-COUNTIFS('Dvd Calendar'!$E$2139:$AR$2139,"&gt;0",'Dvd Calendar'!$E$2139:$AR$2139,"&lt;="&amp;VAL_DATE,'Dvd Calendar'!$E$2140:$AR$2140,"&gt;"&amp;PROJ_FROM,'Dvd Calendar'!$E$2140:$AR$2140,"&lt;="&amp;DATE(YEAR_Y,12,31),'Dvd Calendar'!$E$2141:$AR$2141,"&gt;=0")&gt;0,"TBA amount - override me",IF((OV_SWITCH="ON")*(COUNTIFS(OVR_TICKERS,$C59,OVR_BASE,"&gt;=0")&gt;0)&gt;0,"overridden",IF($J59+$K59=0,"no dividend in year Y",""))))</f>
        <v/>
      </c>
      <c r="V59" s="69">
        <f>IF($B59="","",IFERROR(IF(ISNUMBER($H59),$B59*$G59*$H59/$B$3,0),""))</f>
        <v/>
      </c>
      <c r="W59" s="69">
        <f>IF($B59="","",IFERROR($B59*$G59*$K59/$B$3,""))</f>
        <v/>
      </c>
      <c r="X59" s="98">
        <f>IF($C59="","",BDP($C59,"PX_LAST"))</f>
        <v/>
      </c>
      <c r="Y59" s="69">
        <f>IF($B59="","",IFERROR($B59*$X59/$B$3,""))</f>
        <v/>
      </c>
      <c r="Z59" s="73">
        <f>IF($B59="","",IFERROR($Y59/$Y$5,""))</f>
        <v/>
      </c>
    </row>
    <row r="60">
      <c r="B60" s="97" t="n"/>
      <c r="C60" s="8">
        <f>IF($A60="","",$A60&amp;" Equity")</f>
        <v/>
      </c>
      <c r="D60" s="8">
        <f>IF($C60="","",BDP($C60,"NAME"))</f>
        <v/>
      </c>
      <c r="E60" s="8">
        <f>IF($C60="","",BDP($C60,"GICS_SECTOR_NAME"))</f>
        <v/>
      </c>
      <c r="F60" s="37">
        <f>IF($C60="","",BDP($C60,FLD_CCY))</f>
        <v/>
      </c>
      <c r="G60" s="12">
        <f>IFERROR(IF(LEN($F60)&lt;&gt;3,1,IF($F60="HKD",1,BDP(IF($F60="CNY",RMB_CROSS,$F60)&amp;"HKD Curncy","PX_LAST"))),1)</f>
        <v/>
      </c>
      <c r="H60" s="69">
        <f>IF($C60="","",BDP($C60,FLD_DPS12M))</f>
        <v/>
      </c>
      <c r="I60" s="50">
        <f>IF($C60="","",BDP($C60,FLD_YLD12M))</f>
        <v/>
      </c>
      <c r="J60" s="52">
        <f>IF($B60="",0,SUMPRODUCT(('Dvd Calendar'!$E$2144:$AR$2144&gt;=DATE(YEAR_Y,1,1))*('Dvd Calendar'!$E$2144:$AR$2144&lt;=REALIZED_TO)*'Dvd Calendar'!$E$2147:$AR$2147*(('Dvd Calendar'!$E$2149:$AR$2149=TYPE1)*(TYPE1&lt;&gt;"")+('Dvd Calendar'!$E$2149:$AR$2149=TYPE2)*(TYPE2&lt;&gt;"")+('Dvd Calendar'!$E$2149:$AR$2149=TYPE3)*(TYPE3&lt;&gt;"")+('Dvd Calendar'!$E$2149:$AR$2149=TYPE4)*(TYPE4&lt;&gt;"")+('Dvd Calendar'!$E$2149:$AR$2149=SPECIAL_LBL)*(INC_SPECIALS="Y"))))</f>
        <v/>
      </c>
      <c r="K60" s="52">
        <f>IF($B60="",0,SUMIFS('Dvd Calendar'!$E$2152:$AR$2152,'Dvd Calendar'!$E$2151:$AR$2151,"&gt;"&amp;PROJ_FROM,'Dvd Calendar'!$E$2151:$AR$2151,"&lt;="&amp;DATE(YEAR_Y,12,31))+SUMPRODUCT(('Dvd Calendar'!$E$2144:$AR$2144&gt;PROJ_FROM)*('Dvd Calendar'!$E$2144:$AR$2144&lt;=DATE(YEAR_Y,12,31))*'Dvd Calendar'!$E$2147:$AR$2147*(('Dvd Calendar'!$E$2149:$AR$2149=TYPE1)*(TYPE1&lt;&gt;"")+('Dvd Calendar'!$E$2149:$AR$2149=TYPE2)*(TYPE2&lt;&gt;"")+('Dvd Calendar'!$E$2149:$AR$2149=TYPE3)*(TYPE3&lt;&gt;"")+('Dvd Calendar'!$E$2149:$AR$2149=TYPE4)*(TYPE4&lt;&gt;"")+('Dvd Calendar'!$E$2149:$AR$2149=SPECIAL_LBL)*(INC_SPECIALS="Y"))*(COUNTIF('Dvd Calendar'!$E$2151:$AR$2151,'Dvd Calendar'!$E$2144:$AR$2144)=0)))</f>
        <v/>
      </c>
      <c r="L60" s="52">
        <f>IF($B60="",0,IF((OV_SWITCH="ON")*(COUNTIFS(OVR_TICKERS,$C60,OVR_BASE,"&gt;=0")&gt;0)&gt;0,SUMIFS(OVR_BASE,OVR_TICKERS,$C60),$K60))</f>
        <v/>
      </c>
      <c r="M60" s="52">
        <f>IF($B60="",0,IF((OV_SWITCH="ON")*(COUNTIFS(OVR_TICKERS,$C60,OVR_LOW,"&gt;=0")&gt;0)&gt;0,SUMIFS(OVR_LOW,OVR_TICKERS,$C60),$L60))</f>
        <v/>
      </c>
      <c r="N60" s="52">
        <f>IF($B60="",0,IF((OV_SWITCH="ON")*(COUNTIFS(OVR_TICKERS,$C60,OVR_HIGH,"&gt;=0")&gt;0)&gt;0,SUMIFS(OVR_HIGH,OVR_TICKERS,$C60),$L60))</f>
        <v/>
      </c>
      <c r="O60" s="69">
        <f>IF($B60="","",IFERROR($B60*$G60*$J60/$B$3,""))</f>
        <v/>
      </c>
      <c r="P60" s="69">
        <f>IF($B60="","",IFERROR($B60*$G60*$L60/$B$3,""))</f>
        <v/>
      </c>
      <c r="Q60" s="44">
        <f>IF($B60="","",IFERROR($O60+$P60,""))</f>
        <v/>
      </c>
      <c r="R60" s="69">
        <f>IF($B60="","",IFERROR($O60+$B60*$G60*$M60/$B$3,""))</f>
        <v/>
      </c>
      <c r="S60" s="69">
        <f>IF($B60="","",IFERROR($O60+$B60*$G60*$N60/$B$3,""))</f>
        <v/>
      </c>
      <c r="T60" s="88">
        <f>IF($B60="","",IFERROR($Q60/$Q$5,""))</f>
        <v/>
      </c>
      <c r="U60" s="2">
        <f>IF($B60="","",IF(COUNTIFS('Dvd Calendar'!$E$2150:$AR$2150,"&gt;0",'Dvd Calendar'!$E$2150:$AR$2150,"&lt;="&amp;VAL_DATE,'Dvd Calendar'!$E$2151:$AR$2151,"&gt;"&amp;PROJ_FROM,'Dvd Calendar'!$E$2151:$AR$2151,"&lt;="&amp;DATE(YEAR_Y,12,31))-COUNTIFS('Dvd Calendar'!$E$2150:$AR$2150,"&gt;0",'Dvd Calendar'!$E$2150:$AR$2150,"&lt;="&amp;VAL_DATE,'Dvd Calendar'!$E$2151:$AR$2151,"&gt;"&amp;PROJ_FROM,'Dvd Calendar'!$E$2151:$AR$2151,"&lt;="&amp;DATE(YEAR_Y,12,31),'Dvd Calendar'!$E$2152:$AR$2152,"&gt;=0")&gt;0,"TBA amount - override me",IF((OV_SWITCH="ON")*(COUNTIFS(OVR_TICKERS,$C60,OVR_BASE,"&gt;=0")&gt;0)&gt;0,"overridden",IF($J60+$K60=0,"no dividend in year Y",""))))</f>
        <v/>
      </c>
      <c r="V60" s="69">
        <f>IF($B60="","",IFERROR(IF(ISNUMBER($H60),$B60*$G60*$H60/$B$3,0),""))</f>
        <v/>
      </c>
      <c r="W60" s="69">
        <f>IF($B60="","",IFERROR($B60*$G60*$K60/$B$3,""))</f>
        <v/>
      </c>
      <c r="X60" s="98">
        <f>IF($C60="","",BDP($C60,"PX_LAST"))</f>
        <v/>
      </c>
      <c r="Y60" s="69">
        <f>IF($B60="","",IFERROR($B60*$X60/$B$3,""))</f>
        <v/>
      </c>
      <c r="Z60" s="73">
        <f>IF($B60="","",IFERROR($Y60/$Y$5,""))</f>
        <v/>
      </c>
    </row>
    <row r="61">
      <c r="B61" s="97" t="n"/>
      <c r="C61" s="8">
        <f>IF($A61="","",$A61&amp;" Equity")</f>
        <v/>
      </c>
      <c r="D61" s="8">
        <f>IF($C61="","",BDP($C61,"NAME"))</f>
        <v/>
      </c>
      <c r="E61" s="8">
        <f>IF($C61="","",BDP($C61,"GICS_SECTOR_NAME"))</f>
        <v/>
      </c>
      <c r="F61" s="37">
        <f>IF($C61="","",BDP($C61,FLD_CCY))</f>
        <v/>
      </c>
      <c r="G61" s="12">
        <f>IFERROR(IF(LEN($F61)&lt;&gt;3,1,IF($F61="HKD",1,BDP(IF($F61="CNY",RMB_CROSS,$F61)&amp;"HKD Curncy","PX_LAST"))),1)</f>
        <v/>
      </c>
      <c r="H61" s="69">
        <f>IF($C61="","",BDP($C61,FLD_DPS12M))</f>
        <v/>
      </c>
      <c r="I61" s="50">
        <f>IF($C61="","",BDP($C61,FLD_YLD12M))</f>
        <v/>
      </c>
      <c r="J61" s="52">
        <f>IF($B61="",0,SUMPRODUCT(('Dvd Calendar'!$E$2155:$AR$2155&gt;=DATE(YEAR_Y,1,1))*('Dvd Calendar'!$E$2155:$AR$2155&lt;=REALIZED_TO)*'Dvd Calendar'!$E$2158:$AR$2158*(('Dvd Calendar'!$E$2160:$AR$2160=TYPE1)*(TYPE1&lt;&gt;"")+('Dvd Calendar'!$E$2160:$AR$2160=TYPE2)*(TYPE2&lt;&gt;"")+('Dvd Calendar'!$E$2160:$AR$2160=TYPE3)*(TYPE3&lt;&gt;"")+('Dvd Calendar'!$E$2160:$AR$2160=TYPE4)*(TYPE4&lt;&gt;"")+('Dvd Calendar'!$E$2160:$AR$2160=SPECIAL_LBL)*(INC_SPECIALS="Y"))))</f>
        <v/>
      </c>
      <c r="K61" s="52">
        <f>IF($B61="",0,SUMIFS('Dvd Calendar'!$E$2163:$AR$2163,'Dvd Calendar'!$E$2162:$AR$2162,"&gt;"&amp;PROJ_FROM,'Dvd Calendar'!$E$2162:$AR$2162,"&lt;="&amp;DATE(YEAR_Y,12,31))+SUMPRODUCT(('Dvd Calendar'!$E$2155:$AR$2155&gt;PROJ_FROM)*('Dvd Calendar'!$E$2155:$AR$2155&lt;=DATE(YEAR_Y,12,31))*'Dvd Calendar'!$E$2158:$AR$2158*(('Dvd Calendar'!$E$2160:$AR$2160=TYPE1)*(TYPE1&lt;&gt;"")+('Dvd Calendar'!$E$2160:$AR$2160=TYPE2)*(TYPE2&lt;&gt;"")+('Dvd Calendar'!$E$2160:$AR$2160=TYPE3)*(TYPE3&lt;&gt;"")+('Dvd Calendar'!$E$2160:$AR$2160=TYPE4)*(TYPE4&lt;&gt;"")+('Dvd Calendar'!$E$2160:$AR$2160=SPECIAL_LBL)*(INC_SPECIALS="Y"))*(COUNTIF('Dvd Calendar'!$E$2162:$AR$2162,'Dvd Calendar'!$E$2155:$AR$2155)=0)))</f>
        <v/>
      </c>
      <c r="L61" s="52">
        <f>IF($B61="",0,IF((OV_SWITCH="ON")*(COUNTIFS(OVR_TICKERS,$C61,OVR_BASE,"&gt;=0")&gt;0)&gt;0,SUMIFS(OVR_BASE,OVR_TICKERS,$C61),$K61))</f>
        <v/>
      </c>
      <c r="M61" s="52">
        <f>IF($B61="",0,IF((OV_SWITCH="ON")*(COUNTIFS(OVR_TICKERS,$C61,OVR_LOW,"&gt;=0")&gt;0)&gt;0,SUMIFS(OVR_LOW,OVR_TICKERS,$C61),$L61))</f>
        <v/>
      </c>
      <c r="N61" s="52">
        <f>IF($B61="",0,IF((OV_SWITCH="ON")*(COUNTIFS(OVR_TICKERS,$C61,OVR_HIGH,"&gt;=0")&gt;0)&gt;0,SUMIFS(OVR_HIGH,OVR_TICKERS,$C61),$L61))</f>
        <v/>
      </c>
      <c r="O61" s="69">
        <f>IF($B61="","",IFERROR($B61*$G61*$J61/$B$3,""))</f>
        <v/>
      </c>
      <c r="P61" s="69">
        <f>IF($B61="","",IFERROR($B61*$G61*$L61/$B$3,""))</f>
        <v/>
      </c>
      <c r="Q61" s="44">
        <f>IF($B61="","",IFERROR($O61+$P61,""))</f>
        <v/>
      </c>
      <c r="R61" s="69">
        <f>IF($B61="","",IFERROR($O61+$B61*$G61*$M61/$B$3,""))</f>
        <v/>
      </c>
      <c r="S61" s="69">
        <f>IF($B61="","",IFERROR($O61+$B61*$G61*$N61/$B$3,""))</f>
        <v/>
      </c>
      <c r="T61" s="88">
        <f>IF($B61="","",IFERROR($Q61/$Q$5,""))</f>
        <v/>
      </c>
      <c r="U61" s="2">
        <f>IF($B61="","",IF(COUNTIFS('Dvd Calendar'!$E$2161:$AR$2161,"&gt;0",'Dvd Calendar'!$E$2161:$AR$2161,"&lt;="&amp;VAL_DATE,'Dvd Calendar'!$E$2162:$AR$2162,"&gt;"&amp;PROJ_FROM,'Dvd Calendar'!$E$2162:$AR$2162,"&lt;="&amp;DATE(YEAR_Y,12,31))-COUNTIFS('Dvd Calendar'!$E$2161:$AR$2161,"&gt;0",'Dvd Calendar'!$E$2161:$AR$2161,"&lt;="&amp;VAL_DATE,'Dvd Calendar'!$E$2162:$AR$2162,"&gt;"&amp;PROJ_FROM,'Dvd Calendar'!$E$2162:$AR$2162,"&lt;="&amp;DATE(YEAR_Y,12,31),'Dvd Calendar'!$E$2163:$AR$2163,"&gt;=0")&gt;0,"TBA amount - override me",IF((OV_SWITCH="ON")*(COUNTIFS(OVR_TICKERS,$C61,OVR_BASE,"&gt;=0")&gt;0)&gt;0,"overridden",IF($J61+$K61=0,"no dividend in year Y",""))))</f>
        <v/>
      </c>
      <c r="V61" s="69">
        <f>IF($B61="","",IFERROR(IF(ISNUMBER($H61),$B61*$G61*$H61/$B$3,0),""))</f>
        <v/>
      </c>
      <c r="W61" s="69">
        <f>IF($B61="","",IFERROR($B61*$G61*$K61/$B$3,""))</f>
        <v/>
      </c>
      <c r="X61" s="98">
        <f>IF($C61="","",BDP($C61,"PX_LAST"))</f>
        <v/>
      </c>
      <c r="Y61" s="69">
        <f>IF($B61="","",IFERROR($B61*$X61/$B$3,""))</f>
        <v/>
      </c>
      <c r="Z61" s="73">
        <f>IF($B61="","",IFERROR($Y61/$Y$5,""))</f>
        <v/>
      </c>
    </row>
    <row r="62">
      <c r="B62" s="97" t="n"/>
      <c r="C62" s="8">
        <f>IF($A62="","",$A62&amp;" Equity")</f>
        <v/>
      </c>
      <c r="D62" s="8">
        <f>IF($C62="","",BDP($C62,"NAME"))</f>
        <v/>
      </c>
      <c r="E62" s="8">
        <f>IF($C62="","",BDP($C62,"GICS_SECTOR_NAME"))</f>
        <v/>
      </c>
      <c r="F62" s="37">
        <f>IF($C62="","",BDP($C62,FLD_CCY))</f>
        <v/>
      </c>
      <c r="G62" s="12">
        <f>IFERROR(IF(LEN($F62)&lt;&gt;3,1,IF($F62="HKD",1,BDP(IF($F62="CNY",RMB_CROSS,$F62)&amp;"HKD Curncy","PX_LAST"))),1)</f>
        <v/>
      </c>
      <c r="H62" s="69">
        <f>IF($C62="","",BDP($C62,FLD_DPS12M))</f>
        <v/>
      </c>
      <c r="I62" s="50">
        <f>IF($C62="","",BDP($C62,FLD_YLD12M))</f>
        <v/>
      </c>
      <c r="J62" s="52">
        <f>IF($B62="",0,SUMPRODUCT(('Dvd Calendar'!$E$2166:$AR$2166&gt;=DATE(YEAR_Y,1,1))*('Dvd Calendar'!$E$2166:$AR$2166&lt;=REALIZED_TO)*'Dvd Calendar'!$E$2169:$AR$2169*(('Dvd Calendar'!$E$2171:$AR$2171=TYPE1)*(TYPE1&lt;&gt;"")+('Dvd Calendar'!$E$2171:$AR$2171=TYPE2)*(TYPE2&lt;&gt;"")+('Dvd Calendar'!$E$2171:$AR$2171=TYPE3)*(TYPE3&lt;&gt;"")+('Dvd Calendar'!$E$2171:$AR$2171=TYPE4)*(TYPE4&lt;&gt;"")+('Dvd Calendar'!$E$2171:$AR$2171=SPECIAL_LBL)*(INC_SPECIALS="Y"))))</f>
        <v/>
      </c>
      <c r="K62" s="52">
        <f>IF($B62="",0,SUMIFS('Dvd Calendar'!$E$2174:$AR$2174,'Dvd Calendar'!$E$2173:$AR$2173,"&gt;"&amp;PROJ_FROM,'Dvd Calendar'!$E$2173:$AR$2173,"&lt;="&amp;DATE(YEAR_Y,12,31))+SUMPRODUCT(('Dvd Calendar'!$E$2166:$AR$2166&gt;PROJ_FROM)*('Dvd Calendar'!$E$2166:$AR$2166&lt;=DATE(YEAR_Y,12,31))*'Dvd Calendar'!$E$2169:$AR$2169*(('Dvd Calendar'!$E$2171:$AR$2171=TYPE1)*(TYPE1&lt;&gt;"")+('Dvd Calendar'!$E$2171:$AR$2171=TYPE2)*(TYPE2&lt;&gt;"")+('Dvd Calendar'!$E$2171:$AR$2171=TYPE3)*(TYPE3&lt;&gt;"")+('Dvd Calendar'!$E$2171:$AR$2171=TYPE4)*(TYPE4&lt;&gt;"")+('Dvd Calendar'!$E$2171:$AR$2171=SPECIAL_LBL)*(INC_SPECIALS="Y"))*(COUNTIF('Dvd Calendar'!$E$2173:$AR$2173,'Dvd Calendar'!$E$2166:$AR$2166)=0)))</f>
        <v/>
      </c>
      <c r="L62" s="52">
        <f>IF($B62="",0,IF((OV_SWITCH="ON")*(COUNTIFS(OVR_TICKERS,$C62,OVR_BASE,"&gt;=0")&gt;0)&gt;0,SUMIFS(OVR_BASE,OVR_TICKERS,$C62),$K62))</f>
        <v/>
      </c>
      <c r="M62" s="52">
        <f>IF($B62="",0,IF((OV_SWITCH="ON")*(COUNTIFS(OVR_TICKERS,$C62,OVR_LOW,"&gt;=0")&gt;0)&gt;0,SUMIFS(OVR_LOW,OVR_TICKERS,$C62),$L62))</f>
        <v/>
      </c>
      <c r="N62" s="52">
        <f>IF($B62="",0,IF((OV_SWITCH="ON")*(COUNTIFS(OVR_TICKERS,$C62,OVR_HIGH,"&gt;=0")&gt;0)&gt;0,SUMIFS(OVR_HIGH,OVR_TICKERS,$C62),$L62))</f>
        <v/>
      </c>
      <c r="O62" s="69">
        <f>IF($B62="","",IFERROR($B62*$G62*$J62/$B$3,""))</f>
        <v/>
      </c>
      <c r="P62" s="69">
        <f>IF($B62="","",IFERROR($B62*$G62*$L62/$B$3,""))</f>
        <v/>
      </c>
      <c r="Q62" s="44">
        <f>IF($B62="","",IFERROR($O62+$P62,""))</f>
        <v/>
      </c>
      <c r="R62" s="69">
        <f>IF($B62="","",IFERROR($O62+$B62*$G62*$M62/$B$3,""))</f>
        <v/>
      </c>
      <c r="S62" s="69">
        <f>IF($B62="","",IFERROR($O62+$B62*$G62*$N62/$B$3,""))</f>
        <v/>
      </c>
      <c r="T62" s="88">
        <f>IF($B62="","",IFERROR($Q62/$Q$5,""))</f>
        <v/>
      </c>
      <c r="U62" s="2">
        <f>IF($B62="","",IF(COUNTIFS('Dvd Calendar'!$E$2172:$AR$2172,"&gt;0",'Dvd Calendar'!$E$2172:$AR$2172,"&lt;="&amp;VAL_DATE,'Dvd Calendar'!$E$2173:$AR$2173,"&gt;"&amp;PROJ_FROM,'Dvd Calendar'!$E$2173:$AR$2173,"&lt;="&amp;DATE(YEAR_Y,12,31))-COUNTIFS('Dvd Calendar'!$E$2172:$AR$2172,"&gt;0",'Dvd Calendar'!$E$2172:$AR$2172,"&lt;="&amp;VAL_DATE,'Dvd Calendar'!$E$2173:$AR$2173,"&gt;"&amp;PROJ_FROM,'Dvd Calendar'!$E$2173:$AR$2173,"&lt;="&amp;DATE(YEAR_Y,12,31),'Dvd Calendar'!$E$2174:$AR$2174,"&gt;=0")&gt;0,"TBA amount - override me",IF((OV_SWITCH="ON")*(COUNTIFS(OVR_TICKERS,$C62,OVR_BASE,"&gt;=0")&gt;0)&gt;0,"overridden",IF($J62+$K62=0,"no dividend in year Y",""))))</f>
        <v/>
      </c>
      <c r="V62" s="69">
        <f>IF($B62="","",IFERROR(IF(ISNUMBER($H62),$B62*$G62*$H62/$B$3,0),""))</f>
        <v/>
      </c>
      <c r="W62" s="69">
        <f>IF($B62="","",IFERROR($B62*$G62*$K62/$B$3,""))</f>
        <v/>
      </c>
      <c r="X62" s="98">
        <f>IF($C62="","",BDP($C62,"PX_LAST"))</f>
        <v/>
      </c>
      <c r="Y62" s="69">
        <f>IF($B62="","",IFERROR($B62*$X62/$B$3,""))</f>
        <v/>
      </c>
      <c r="Z62" s="73">
        <f>IF($B62="","",IFERROR($Y62/$Y$5,""))</f>
        <v/>
      </c>
    </row>
    <row r="63">
      <c r="B63" s="97" t="n"/>
      <c r="C63" s="8">
        <f>IF($A63="","",$A63&amp;" Equity")</f>
        <v/>
      </c>
      <c r="D63" s="8">
        <f>IF($C63="","",BDP($C63,"NAME"))</f>
        <v/>
      </c>
      <c r="E63" s="8">
        <f>IF($C63="","",BDP($C63,"GICS_SECTOR_NAME"))</f>
        <v/>
      </c>
      <c r="F63" s="37">
        <f>IF($C63="","",BDP($C63,FLD_CCY))</f>
        <v/>
      </c>
      <c r="G63" s="12">
        <f>IFERROR(IF(LEN($F63)&lt;&gt;3,1,IF($F63="HKD",1,BDP(IF($F63="CNY",RMB_CROSS,$F63)&amp;"HKD Curncy","PX_LAST"))),1)</f>
        <v/>
      </c>
      <c r="H63" s="69">
        <f>IF($C63="","",BDP($C63,FLD_DPS12M))</f>
        <v/>
      </c>
      <c r="I63" s="50">
        <f>IF($C63="","",BDP($C63,FLD_YLD12M))</f>
        <v/>
      </c>
      <c r="J63" s="52">
        <f>IF($B63="",0,SUMPRODUCT(('Dvd Calendar'!$E$2177:$AR$2177&gt;=DATE(YEAR_Y,1,1))*('Dvd Calendar'!$E$2177:$AR$2177&lt;=REALIZED_TO)*'Dvd Calendar'!$E$2180:$AR$2180*(('Dvd Calendar'!$E$2182:$AR$2182=TYPE1)*(TYPE1&lt;&gt;"")+('Dvd Calendar'!$E$2182:$AR$2182=TYPE2)*(TYPE2&lt;&gt;"")+('Dvd Calendar'!$E$2182:$AR$2182=TYPE3)*(TYPE3&lt;&gt;"")+('Dvd Calendar'!$E$2182:$AR$2182=TYPE4)*(TYPE4&lt;&gt;"")+('Dvd Calendar'!$E$2182:$AR$2182=SPECIAL_LBL)*(INC_SPECIALS="Y"))))</f>
        <v/>
      </c>
      <c r="K63" s="52">
        <f>IF($B63="",0,SUMIFS('Dvd Calendar'!$E$2185:$AR$2185,'Dvd Calendar'!$E$2184:$AR$2184,"&gt;"&amp;PROJ_FROM,'Dvd Calendar'!$E$2184:$AR$2184,"&lt;="&amp;DATE(YEAR_Y,12,31))+SUMPRODUCT(('Dvd Calendar'!$E$2177:$AR$2177&gt;PROJ_FROM)*('Dvd Calendar'!$E$2177:$AR$2177&lt;=DATE(YEAR_Y,12,31))*'Dvd Calendar'!$E$2180:$AR$2180*(('Dvd Calendar'!$E$2182:$AR$2182=TYPE1)*(TYPE1&lt;&gt;"")+('Dvd Calendar'!$E$2182:$AR$2182=TYPE2)*(TYPE2&lt;&gt;"")+('Dvd Calendar'!$E$2182:$AR$2182=TYPE3)*(TYPE3&lt;&gt;"")+('Dvd Calendar'!$E$2182:$AR$2182=TYPE4)*(TYPE4&lt;&gt;"")+('Dvd Calendar'!$E$2182:$AR$2182=SPECIAL_LBL)*(INC_SPECIALS="Y"))*(COUNTIF('Dvd Calendar'!$E$2184:$AR$2184,'Dvd Calendar'!$E$2177:$AR$2177)=0)))</f>
        <v/>
      </c>
      <c r="L63" s="52">
        <f>IF($B63="",0,IF((OV_SWITCH="ON")*(COUNTIFS(OVR_TICKERS,$C63,OVR_BASE,"&gt;=0")&gt;0)&gt;0,SUMIFS(OVR_BASE,OVR_TICKERS,$C63),$K63))</f>
        <v/>
      </c>
      <c r="M63" s="52">
        <f>IF($B63="",0,IF((OV_SWITCH="ON")*(COUNTIFS(OVR_TICKERS,$C63,OVR_LOW,"&gt;=0")&gt;0)&gt;0,SUMIFS(OVR_LOW,OVR_TICKERS,$C63),$L63))</f>
        <v/>
      </c>
      <c r="N63" s="52">
        <f>IF($B63="",0,IF((OV_SWITCH="ON")*(COUNTIFS(OVR_TICKERS,$C63,OVR_HIGH,"&gt;=0")&gt;0)&gt;0,SUMIFS(OVR_HIGH,OVR_TICKERS,$C63),$L63))</f>
        <v/>
      </c>
      <c r="O63" s="69">
        <f>IF($B63="","",IFERROR($B63*$G63*$J63/$B$3,""))</f>
        <v/>
      </c>
      <c r="P63" s="69">
        <f>IF($B63="","",IFERROR($B63*$G63*$L63/$B$3,""))</f>
        <v/>
      </c>
      <c r="Q63" s="44">
        <f>IF($B63="","",IFERROR($O63+$P63,""))</f>
        <v/>
      </c>
      <c r="R63" s="69">
        <f>IF($B63="","",IFERROR($O63+$B63*$G63*$M63/$B$3,""))</f>
        <v/>
      </c>
      <c r="S63" s="69">
        <f>IF($B63="","",IFERROR($O63+$B63*$G63*$N63/$B$3,""))</f>
        <v/>
      </c>
      <c r="T63" s="88">
        <f>IF($B63="","",IFERROR($Q63/$Q$5,""))</f>
        <v/>
      </c>
      <c r="U63" s="2">
        <f>IF($B63="","",IF(COUNTIFS('Dvd Calendar'!$E$2183:$AR$2183,"&gt;0",'Dvd Calendar'!$E$2183:$AR$2183,"&lt;="&amp;VAL_DATE,'Dvd Calendar'!$E$2184:$AR$2184,"&gt;"&amp;PROJ_FROM,'Dvd Calendar'!$E$2184:$AR$2184,"&lt;="&amp;DATE(YEAR_Y,12,31))-COUNTIFS('Dvd Calendar'!$E$2183:$AR$2183,"&gt;0",'Dvd Calendar'!$E$2183:$AR$2183,"&lt;="&amp;VAL_DATE,'Dvd Calendar'!$E$2184:$AR$2184,"&gt;"&amp;PROJ_FROM,'Dvd Calendar'!$E$2184:$AR$2184,"&lt;="&amp;DATE(YEAR_Y,12,31),'Dvd Calendar'!$E$2185:$AR$2185,"&gt;=0")&gt;0,"TBA amount - override me",IF((OV_SWITCH="ON")*(COUNTIFS(OVR_TICKERS,$C63,OVR_BASE,"&gt;=0")&gt;0)&gt;0,"overridden",IF($J63+$K63=0,"no dividend in year Y",""))))</f>
        <v/>
      </c>
      <c r="V63" s="69">
        <f>IF($B63="","",IFERROR(IF(ISNUMBER($H63),$B63*$G63*$H63/$B$3,0),""))</f>
        <v/>
      </c>
      <c r="W63" s="69">
        <f>IF($B63="","",IFERROR($B63*$G63*$K63/$B$3,""))</f>
        <v/>
      </c>
      <c r="X63" s="98">
        <f>IF($C63="","",BDP($C63,"PX_LAST"))</f>
        <v/>
      </c>
      <c r="Y63" s="69">
        <f>IF($B63="","",IFERROR($B63*$X63/$B$3,""))</f>
        <v/>
      </c>
      <c r="Z63" s="73">
        <f>IF($B63="","",IFERROR($Y63/$Y$5,""))</f>
        <v/>
      </c>
    </row>
    <row r="64">
      <c r="B64" s="97" t="n"/>
      <c r="C64" s="8">
        <f>IF($A64="","",$A64&amp;" Equity")</f>
        <v/>
      </c>
      <c r="D64" s="8">
        <f>IF($C64="","",BDP($C64,"NAME"))</f>
        <v/>
      </c>
      <c r="E64" s="8">
        <f>IF($C64="","",BDP($C64,"GICS_SECTOR_NAME"))</f>
        <v/>
      </c>
      <c r="F64" s="37">
        <f>IF($C64="","",BDP($C64,FLD_CCY))</f>
        <v/>
      </c>
      <c r="G64" s="12">
        <f>IFERROR(IF(LEN($F64)&lt;&gt;3,1,IF($F64="HKD",1,BDP(IF($F64="CNY",RMB_CROSS,$F64)&amp;"HKD Curncy","PX_LAST"))),1)</f>
        <v/>
      </c>
      <c r="H64" s="69">
        <f>IF($C64="","",BDP($C64,FLD_DPS12M))</f>
        <v/>
      </c>
      <c r="I64" s="50">
        <f>IF($C64="","",BDP($C64,FLD_YLD12M))</f>
        <v/>
      </c>
      <c r="J64" s="52">
        <f>IF($B64="",0,SUMPRODUCT(('Dvd Calendar'!$E$2188:$AR$2188&gt;=DATE(YEAR_Y,1,1))*('Dvd Calendar'!$E$2188:$AR$2188&lt;=REALIZED_TO)*'Dvd Calendar'!$E$2191:$AR$2191*(('Dvd Calendar'!$E$2193:$AR$2193=TYPE1)*(TYPE1&lt;&gt;"")+('Dvd Calendar'!$E$2193:$AR$2193=TYPE2)*(TYPE2&lt;&gt;"")+('Dvd Calendar'!$E$2193:$AR$2193=TYPE3)*(TYPE3&lt;&gt;"")+('Dvd Calendar'!$E$2193:$AR$2193=TYPE4)*(TYPE4&lt;&gt;"")+('Dvd Calendar'!$E$2193:$AR$2193=SPECIAL_LBL)*(INC_SPECIALS="Y"))))</f>
        <v/>
      </c>
      <c r="K64" s="52">
        <f>IF($B64="",0,SUMIFS('Dvd Calendar'!$E$2196:$AR$2196,'Dvd Calendar'!$E$2195:$AR$2195,"&gt;"&amp;PROJ_FROM,'Dvd Calendar'!$E$2195:$AR$2195,"&lt;="&amp;DATE(YEAR_Y,12,31))+SUMPRODUCT(('Dvd Calendar'!$E$2188:$AR$2188&gt;PROJ_FROM)*('Dvd Calendar'!$E$2188:$AR$2188&lt;=DATE(YEAR_Y,12,31))*'Dvd Calendar'!$E$2191:$AR$2191*(('Dvd Calendar'!$E$2193:$AR$2193=TYPE1)*(TYPE1&lt;&gt;"")+('Dvd Calendar'!$E$2193:$AR$2193=TYPE2)*(TYPE2&lt;&gt;"")+('Dvd Calendar'!$E$2193:$AR$2193=TYPE3)*(TYPE3&lt;&gt;"")+('Dvd Calendar'!$E$2193:$AR$2193=TYPE4)*(TYPE4&lt;&gt;"")+('Dvd Calendar'!$E$2193:$AR$2193=SPECIAL_LBL)*(INC_SPECIALS="Y"))*(COUNTIF('Dvd Calendar'!$E$2195:$AR$2195,'Dvd Calendar'!$E$2188:$AR$2188)=0)))</f>
        <v/>
      </c>
      <c r="L64" s="52">
        <f>IF($B64="",0,IF((OV_SWITCH="ON")*(COUNTIFS(OVR_TICKERS,$C64,OVR_BASE,"&gt;=0")&gt;0)&gt;0,SUMIFS(OVR_BASE,OVR_TICKERS,$C64),$K64))</f>
        <v/>
      </c>
      <c r="M64" s="52">
        <f>IF($B64="",0,IF((OV_SWITCH="ON")*(COUNTIFS(OVR_TICKERS,$C64,OVR_LOW,"&gt;=0")&gt;0)&gt;0,SUMIFS(OVR_LOW,OVR_TICKERS,$C64),$L64))</f>
        <v/>
      </c>
      <c r="N64" s="52">
        <f>IF($B64="",0,IF((OV_SWITCH="ON")*(COUNTIFS(OVR_TICKERS,$C64,OVR_HIGH,"&gt;=0")&gt;0)&gt;0,SUMIFS(OVR_HIGH,OVR_TICKERS,$C64),$L64))</f>
        <v/>
      </c>
      <c r="O64" s="69">
        <f>IF($B64="","",IFERROR($B64*$G64*$J64/$B$3,""))</f>
        <v/>
      </c>
      <c r="P64" s="69">
        <f>IF($B64="","",IFERROR($B64*$G64*$L64/$B$3,""))</f>
        <v/>
      </c>
      <c r="Q64" s="44">
        <f>IF($B64="","",IFERROR($O64+$P64,""))</f>
        <v/>
      </c>
      <c r="R64" s="69">
        <f>IF($B64="","",IFERROR($O64+$B64*$G64*$M64/$B$3,""))</f>
        <v/>
      </c>
      <c r="S64" s="69">
        <f>IF($B64="","",IFERROR($O64+$B64*$G64*$N64/$B$3,""))</f>
        <v/>
      </c>
      <c r="T64" s="88">
        <f>IF($B64="","",IFERROR($Q64/$Q$5,""))</f>
        <v/>
      </c>
      <c r="U64" s="2">
        <f>IF($B64="","",IF(COUNTIFS('Dvd Calendar'!$E$2194:$AR$2194,"&gt;0",'Dvd Calendar'!$E$2194:$AR$2194,"&lt;="&amp;VAL_DATE,'Dvd Calendar'!$E$2195:$AR$2195,"&gt;"&amp;PROJ_FROM,'Dvd Calendar'!$E$2195:$AR$2195,"&lt;="&amp;DATE(YEAR_Y,12,31))-COUNTIFS('Dvd Calendar'!$E$2194:$AR$2194,"&gt;0",'Dvd Calendar'!$E$2194:$AR$2194,"&lt;="&amp;VAL_DATE,'Dvd Calendar'!$E$2195:$AR$2195,"&gt;"&amp;PROJ_FROM,'Dvd Calendar'!$E$2195:$AR$2195,"&lt;="&amp;DATE(YEAR_Y,12,31),'Dvd Calendar'!$E$2196:$AR$2196,"&gt;=0")&gt;0,"TBA amount - override me",IF((OV_SWITCH="ON")*(COUNTIFS(OVR_TICKERS,$C64,OVR_BASE,"&gt;=0")&gt;0)&gt;0,"overridden",IF($J64+$K64=0,"no dividend in year Y",""))))</f>
        <v/>
      </c>
      <c r="V64" s="69">
        <f>IF($B64="","",IFERROR(IF(ISNUMBER($H64),$B64*$G64*$H64/$B$3,0),""))</f>
        <v/>
      </c>
      <c r="W64" s="69">
        <f>IF($B64="","",IFERROR($B64*$G64*$K64/$B$3,""))</f>
        <v/>
      </c>
      <c r="X64" s="98">
        <f>IF($C64="","",BDP($C64,"PX_LAST"))</f>
        <v/>
      </c>
      <c r="Y64" s="69">
        <f>IF($B64="","",IFERROR($B64*$X64/$B$3,""))</f>
        <v/>
      </c>
      <c r="Z64" s="73">
        <f>IF($B64="","",IFERROR($Y64/$Y$5,""))</f>
        <v/>
      </c>
    </row>
    <row r="65">
      <c r="B65" s="97" t="n"/>
      <c r="C65" s="8">
        <f>IF($A65="","",$A65&amp;" Equity")</f>
        <v/>
      </c>
      <c r="D65" s="8">
        <f>IF($C65="","",BDP($C65,"NAME"))</f>
        <v/>
      </c>
      <c r="E65" s="8">
        <f>IF($C65="","",BDP($C65,"GICS_SECTOR_NAME"))</f>
        <v/>
      </c>
      <c r="F65" s="37">
        <f>IF($C65="","",BDP($C65,FLD_CCY))</f>
        <v/>
      </c>
      <c r="G65" s="12">
        <f>IFERROR(IF(LEN($F65)&lt;&gt;3,1,IF($F65="HKD",1,BDP(IF($F65="CNY",RMB_CROSS,$F65)&amp;"HKD Curncy","PX_LAST"))),1)</f>
        <v/>
      </c>
      <c r="H65" s="69">
        <f>IF($C65="","",BDP($C65,FLD_DPS12M))</f>
        <v/>
      </c>
      <c r="I65" s="50">
        <f>IF($C65="","",BDP($C65,FLD_YLD12M))</f>
        <v/>
      </c>
      <c r="J65" s="52">
        <f>IF($B65="",0,SUMPRODUCT(('Dvd Calendar'!$E$2199:$AR$2199&gt;=DATE(YEAR_Y,1,1))*('Dvd Calendar'!$E$2199:$AR$2199&lt;=REALIZED_TO)*'Dvd Calendar'!$E$2202:$AR$2202*(('Dvd Calendar'!$E$2204:$AR$2204=TYPE1)*(TYPE1&lt;&gt;"")+('Dvd Calendar'!$E$2204:$AR$2204=TYPE2)*(TYPE2&lt;&gt;"")+('Dvd Calendar'!$E$2204:$AR$2204=TYPE3)*(TYPE3&lt;&gt;"")+('Dvd Calendar'!$E$2204:$AR$2204=TYPE4)*(TYPE4&lt;&gt;"")+('Dvd Calendar'!$E$2204:$AR$2204=SPECIAL_LBL)*(INC_SPECIALS="Y"))))</f>
        <v/>
      </c>
      <c r="K65" s="52">
        <f>IF($B65="",0,SUMIFS('Dvd Calendar'!$E$2207:$AR$2207,'Dvd Calendar'!$E$2206:$AR$2206,"&gt;"&amp;PROJ_FROM,'Dvd Calendar'!$E$2206:$AR$2206,"&lt;="&amp;DATE(YEAR_Y,12,31))+SUMPRODUCT(('Dvd Calendar'!$E$2199:$AR$2199&gt;PROJ_FROM)*('Dvd Calendar'!$E$2199:$AR$2199&lt;=DATE(YEAR_Y,12,31))*'Dvd Calendar'!$E$2202:$AR$2202*(('Dvd Calendar'!$E$2204:$AR$2204=TYPE1)*(TYPE1&lt;&gt;"")+('Dvd Calendar'!$E$2204:$AR$2204=TYPE2)*(TYPE2&lt;&gt;"")+('Dvd Calendar'!$E$2204:$AR$2204=TYPE3)*(TYPE3&lt;&gt;"")+('Dvd Calendar'!$E$2204:$AR$2204=TYPE4)*(TYPE4&lt;&gt;"")+('Dvd Calendar'!$E$2204:$AR$2204=SPECIAL_LBL)*(INC_SPECIALS="Y"))*(COUNTIF('Dvd Calendar'!$E$2206:$AR$2206,'Dvd Calendar'!$E$2199:$AR$2199)=0)))</f>
        <v/>
      </c>
      <c r="L65" s="52">
        <f>IF($B65="",0,IF((OV_SWITCH="ON")*(COUNTIFS(OVR_TICKERS,$C65,OVR_BASE,"&gt;=0")&gt;0)&gt;0,SUMIFS(OVR_BASE,OVR_TICKERS,$C65),$K65))</f>
        <v/>
      </c>
      <c r="M65" s="52">
        <f>IF($B65="",0,IF((OV_SWITCH="ON")*(COUNTIFS(OVR_TICKERS,$C65,OVR_LOW,"&gt;=0")&gt;0)&gt;0,SUMIFS(OVR_LOW,OVR_TICKERS,$C65),$L65))</f>
        <v/>
      </c>
      <c r="N65" s="52">
        <f>IF($B65="",0,IF((OV_SWITCH="ON")*(COUNTIFS(OVR_TICKERS,$C65,OVR_HIGH,"&gt;=0")&gt;0)&gt;0,SUMIFS(OVR_HIGH,OVR_TICKERS,$C65),$L65))</f>
        <v/>
      </c>
      <c r="O65" s="69">
        <f>IF($B65="","",IFERROR($B65*$G65*$J65/$B$3,""))</f>
        <v/>
      </c>
      <c r="P65" s="69">
        <f>IF($B65="","",IFERROR($B65*$G65*$L65/$B$3,""))</f>
        <v/>
      </c>
      <c r="Q65" s="44">
        <f>IF($B65="","",IFERROR($O65+$P65,""))</f>
        <v/>
      </c>
      <c r="R65" s="69">
        <f>IF($B65="","",IFERROR($O65+$B65*$G65*$M65/$B$3,""))</f>
        <v/>
      </c>
      <c r="S65" s="69">
        <f>IF($B65="","",IFERROR($O65+$B65*$G65*$N65/$B$3,""))</f>
        <v/>
      </c>
      <c r="T65" s="88">
        <f>IF($B65="","",IFERROR($Q65/$Q$5,""))</f>
        <v/>
      </c>
      <c r="U65" s="2">
        <f>IF($B65="","",IF(COUNTIFS('Dvd Calendar'!$E$2205:$AR$2205,"&gt;0",'Dvd Calendar'!$E$2205:$AR$2205,"&lt;="&amp;VAL_DATE,'Dvd Calendar'!$E$2206:$AR$2206,"&gt;"&amp;PROJ_FROM,'Dvd Calendar'!$E$2206:$AR$2206,"&lt;="&amp;DATE(YEAR_Y,12,31))-COUNTIFS('Dvd Calendar'!$E$2205:$AR$2205,"&gt;0",'Dvd Calendar'!$E$2205:$AR$2205,"&lt;="&amp;VAL_DATE,'Dvd Calendar'!$E$2206:$AR$2206,"&gt;"&amp;PROJ_FROM,'Dvd Calendar'!$E$2206:$AR$2206,"&lt;="&amp;DATE(YEAR_Y,12,31),'Dvd Calendar'!$E$2207:$AR$2207,"&gt;=0")&gt;0,"TBA amount - override me",IF((OV_SWITCH="ON")*(COUNTIFS(OVR_TICKERS,$C65,OVR_BASE,"&gt;=0")&gt;0)&gt;0,"overridden",IF($J65+$K65=0,"no dividend in year Y",""))))</f>
        <v/>
      </c>
      <c r="V65" s="69">
        <f>IF($B65="","",IFERROR(IF(ISNUMBER($H65),$B65*$G65*$H65/$B$3,0),""))</f>
        <v/>
      </c>
      <c r="W65" s="69">
        <f>IF($B65="","",IFERROR($B65*$G65*$K65/$B$3,""))</f>
        <v/>
      </c>
      <c r="X65" s="98">
        <f>IF($C65="","",BDP($C65,"PX_LAST"))</f>
        <v/>
      </c>
      <c r="Y65" s="69">
        <f>IF($B65="","",IFERROR($B65*$X65/$B$3,""))</f>
        <v/>
      </c>
      <c r="Z65" s="73">
        <f>IF($B65="","",IFERROR($Y65/$Y$5,""))</f>
        <v/>
      </c>
    </row>
    <row r="66">
      <c r="B66" s="97" t="n"/>
      <c r="C66" s="8">
        <f>IF($A66="","",$A66&amp;" Equity")</f>
        <v/>
      </c>
      <c r="D66" s="8">
        <f>IF($C66="","",BDP($C66,"NAME"))</f>
        <v/>
      </c>
      <c r="E66" s="8">
        <f>IF($C66="","",BDP($C66,"GICS_SECTOR_NAME"))</f>
        <v/>
      </c>
      <c r="F66" s="37">
        <f>IF($C66="","",BDP($C66,FLD_CCY))</f>
        <v/>
      </c>
      <c r="G66" s="12">
        <f>IFERROR(IF(LEN($F66)&lt;&gt;3,1,IF($F66="HKD",1,BDP(IF($F66="CNY",RMB_CROSS,$F66)&amp;"HKD Curncy","PX_LAST"))),1)</f>
        <v/>
      </c>
      <c r="H66" s="69">
        <f>IF($C66="","",BDP($C66,FLD_DPS12M))</f>
        <v/>
      </c>
      <c r="I66" s="50">
        <f>IF($C66="","",BDP($C66,FLD_YLD12M))</f>
        <v/>
      </c>
      <c r="J66" s="52">
        <f>IF($B66="",0,SUMPRODUCT(('Dvd Calendar'!$E$2210:$AR$2210&gt;=DATE(YEAR_Y,1,1))*('Dvd Calendar'!$E$2210:$AR$2210&lt;=REALIZED_TO)*'Dvd Calendar'!$E$2213:$AR$2213*(('Dvd Calendar'!$E$2215:$AR$2215=TYPE1)*(TYPE1&lt;&gt;"")+('Dvd Calendar'!$E$2215:$AR$2215=TYPE2)*(TYPE2&lt;&gt;"")+('Dvd Calendar'!$E$2215:$AR$2215=TYPE3)*(TYPE3&lt;&gt;"")+('Dvd Calendar'!$E$2215:$AR$2215=TYPE4)*(TYPE4&lt;&gt;"")+('Dvd Calendar'!$E$2215:$AR$2215=SPECIAL_LBL)*(INC_SPECIALS="Y"))))</f>
        <v/>
      </c>
      <c r="K66" s="52">
        <f>IF($B66="",0,SUMIFS('Dvd Calendar'!$E$2218:$AR$2218,'Dvd Calendar'!$E$2217:$AR$2217,"&gt;"&amp;PROJ_FROM,'Dvd Calendar'!$E$2217:$AR$2217,"&lt;="&amp;DATE(YEAR_Y,12,31))+SUMPRODUCT(('Dvd Calendar'!$E$2210:$AR$2210&gt;PROJ_FROM)*('Dvd Calendar'!$E$2210:$AR$2210&lt;=DATE(YEAR_Y,12,31))*'Dvd Calendar'!$E$2213:$AR$2213*(('Dvd Calendar'!$E$2215:$AR$2215=TYPE1)*(TYPE1&lt;&gt;"")+('Dvd Calendar'!$E$2215:$AR$2215=TYPE2)*(TYPE2&lt;&gt;"")+('Dvd Calendar'!$E$2215:$AR$2215=TYPE3)*(TYPE3&lt;&gt;"")+('Dvd Calendar'!$E$2215:$AR$2215=TYPE4)*(TYPE4&lt;&gt;"")+('Dvd Calendar'!$E$2215:$AR$2215=SPECIAL_LBL)*(INC_SPECIALS="Y"))*(COUNTIF('Dvd Calendar'!$E$2217:$AR$2217,'Dvd Calendar'!$E$2210:$AR$2210)=0)))</f>
        <v/>
      </c>
      <c r="L66" s="52">
        <f>IF($B66="",0,IF((OV_SWITCH="ON")*(COUNTIFS(OVR_TICKERS,$C66,OVR_BASE,"&gt;=0")&gt;0)&gt;0,SUMIFS(OVR_BASE,OVR_TICKERS,$C66),$K66))</f>
        <v/>
      </c>
      <c r="M66" s="52">
        <f>IF($B66="",0,IF((OV_SWITCH="ON")*(COUNTIFS(OVR_TICKERS,$C66,OVR_LOW,"&gt;=0")&gt;0)&gt;0,SUMIFS(OVR_LOW,OVR_TICKERS,$C66),$L66))</f>
        <v/>
      </c>
      <c r="N66" s="52">
        <f>IF($B66="",0,IF((OV_SWITCH="ON")*(COUNTIFS(OVR_TICKERS,$C66,OVR_HIGH,"&gt;=0")&gt;0)&gt;0,SUMIFS(OVR_HIGH,OVR_TICKERS,$C66),$L66))</f>
        <v/>
      </c>
      <c r="O66" s="69">
        <f>IF($B66="","",IFERROR($B66*$G66*$J66/$B$3,""))</f>
        <v/>
      </c>
      <c r="P66" s="69">
        <f>IF($B66="","",IFERROR($B66*$G66*$L66/$B$3,""))</f>
        <v/>
      </c>
      <c r="Q66" s="44">
        <f>IF($B66="","",IFERROR($O66+$P66,""))</f>
        <v/>
      </c>
      <c r="R66" s="69">
        <f>IF($B66="","",IFERROR($O66+$B66*$G66*$M66/$B$3,""))</f>
        <v/>
      </c>
      <c r="S66" s="69">
        <f>IF($B66="","",IFERROR($O66+$B66*$G66*$N66/$B$3,""))</f>
        <v/>
      </c>
      <c r="T66" s="88">
        <f>IF($B66="","",IFERROR($Q66/$Q$5,""))</f>
        <v/>
      </c>
      <c r="U66" s="2">
        <f>IF($B66="","",IF(COUNTIFS('Dvd Calendar'!$E$2216:$AR$2216,"&gt;0",'Dvd Calendar'!$E$2216:$AR$2216,"&lt;="&amp;VAL_DATE,'Dvd Calendar'!$E$2217:$AR$2217,"&gt;"&amp;PROJ_FROM,'Dvd Calendar'!$E$2217:$AR$2217,"&lt;="&amp;DATE(YEAR_Y,12,31))-COUNTIFS('Dvd Calendar'!$E$2216:$AR$2216,"&gt;0",'Dvd Calendar'!$E$2216:$AR$2216,"&lt;="&amp;VAL_DATE,'Dvd Calendar'!$E$2217:$AR$2217,"&gt;"&amp;PROJ_FROM,'Dvd Calendar'!$E$2217:$AR$2217,"&lt;="&amp;DATE(YEAR_Y,12,31),'Dvd Calendar'!$E$2218:$AR$2218,"&gt;=0")&gt;0,"TBA amount - override me",IF((OV_SWITCH="ON")*(COUNTIFS(OVR_TICKERS,$C66,OVR_BASE,"&gt;=0")&gt;0)&gt;0,"overridden",IF($J66+$K66=0,"no dividend in year Y",""))))</f>
        <v/>
      </c>
      <c r="V66" s="69">
        <f>IF($B66="","",IFERROR(IF(ISNUMBER($H66),$B66*$G66*$H66/$B$3,0),""))</f>
        <v/>
      </c>
      <c r="W66" s="69">
        <f>IF($B66="","",IFERROR($B66*$G66*$K66/$B$3,""))</f>
        <v/>
      </c>
      <c r="X66" s="98">
        <f>IF($C66="","",BDP($C66,"PX_LAST"))</f>
        <v/>
      </c>
      <c r="Y66" s="69">
        <f>IF($B66="","",IFERROR($B66*$X66/$B$3,""))</f>
        <v/>
      </c>
      <c r="Z66" s="73">
        <f>IF($B66="","",IFERROR($Y66/$Y$5,""))</f>
        <v/>
      </c>
    </row>
  </sheetData>
  <autoFilter ref="A6:Z66"/>
  <conditionalFormatting sqref="U7:U66">
    <cfRule type="expression" priority="1" dxfId="0">
      <formula>ISNUMBER(SEARCH("TBA",$U7))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/>
  </sheetPr>
  <dimension ref="A1:AR2218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11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</cols>
  <sheetData>
    <row r="1">
      <c r="A1" s="1" t="inlineStr">
        <is>
          <t>DIVIDEND CALENDAR - RAW BLOOMBERG PULLS.  ENGINE TAB: NEVER EDIT, NEVER SORT.</t>
        </is>
      </c>
    </row>
    <row r="2">
      <c r="A2" s="2" t="inlineStr">
        <is>
          <t>Per stock: HISTORY (7 rows, five years back) then PROJECTIONS (3 rows). An event counts as ANNOUNCED only once its declared date has passed.</t>
        </is>
      </c>
    </row>
    <row r="7">
      <c r="A7" s="6" t="inlineStr">
        <is>
          <t>Hang Seng Index (HSI)</t>
        </is>
      </c>
      <c r="B7" s="7" t="n"/>
      <c r="C7" s="7" t="n"/>
      <c r="D7" s="7" t="n"/>
      <c r="F7" s="2">
        <f>SUMPRODUCT($B$10:$B$1109)&amp;" events read   |   "&amp;COUNTA($AS$10:$CF$1109)&amp;" beyond the window (must be 0)"</f>
        <v/>
      </c>
    </row>
    <row r="8">
      <c r="A8" s="23" t="inlineStr">
        <is>
          <t>Ticker</t>
        </is>
      </c>
      <c r="B8" s="23" t="inlineStr">
        <is>
          <t>Events</t>
        </is>
      </c>
      <c r="C8" s="23" t="inlineStr">
        <is>
          <t>Last ex</t>
        </is>
      </c>
      <c r="D8" s="23" t="inlineStr">
        <is>
          <t>Bloomberg spill -&gt;</t>
        </is>
      </c>
    </row>
    <row r="10">
      <c r="A10" s="8">
        <f>IF(HSI!$C$7="","",HSI!$C$7)</f>
        <v/>
      </c>
      <c r="B10" s="99">
        <f>IF($A10="",0,COUNT($E11:$AR11))</f>
        <v/>
      </c>
      <c r="C10" s="100">
        <f>IF($B10=0,0,MAX($E11:$AR11))</f>
        <v/>
      </c>
      <c r="D10" s="101">
        <f>BDS($A10,FLD_HIST,"headers=y","startcol=1","endcol=7","dir=h","DVD_START_DT",HIST_FROM,"DVD_END_DT",HIST_TO)</f>
        <v/>
      </c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P10" s="102" t="n"/>
      <c r="Q10" s="102" t="n"/>
      <c r="R10" s="102" t="n"/>
      <c r="S10" s="102" t="n"/>
      <c r="T10" s="102" t="n"/>
      <c r="U10" s="102" t="n"/>
      <c r="V10" s="102" t="n"/>
      <c r="W10" s="102" t="n"/>
      <c r="X10" s="102" t="n"/>
      <c r="Y10" s="102" t="n"/>
      <c r="Z10" s="102" t="n"/>
      <c r="AA10" s="102" t="n"/>
      <c r="AB10" s="102" t="n"/>
      <c r="AC10" s="102" t="n"/>
      <c r="AD10" s="102" t="n"/>
      <c r="AE10" s="102" t="n"/>
      <c r="AF10" s="102" t="n"/>
      <c r="AG10" s="102" t="n"/>
      <c r="AH10" s="102" t="n"/>
      <c r="AI10" s="102" t="n"/>
      <c r="AJ10" s="102" t="n"/>
      <c r="AK10" s="102" t="n"/>
      <c r="AL10" s="102" t="n"/>
      <c r="AM10" s="102" t="n"/>
      <c r="AN10" s="102" t="n"/>
      <c r="AO10" s="102" t="n"/>
      <c r="AP10" s="102" t="n"/>
      <c r="AQ10" s="102" t="n"/>
      <c r="AR10" s="102" t="n"/>
    </row>
    <row r="11"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P11" s="102" t="n"/>
      <c r="Q11" s="102" t="n"/>
      <c r="R11" s="102" t="n"/>
      <c r="S11" s="102" t="n"/>
      <c r="T11" s="102" t="n"/>
      <c r="U11" s="102" t="n"/>
      <c r="V11" s="102" t="n"/>
      <c r="W11" s="102" t="n"/>
      <c r="X11" s="102" t="n"/>
      <c r="Y11" s="102" t="n"/>
      <c r="Z11" s="102" t="n"/>
      <c r="AA11" s="102" t="n"/>
      <c r="AB11" s="102" t="n"/>
      <c r="AC11" s="102" t="n"/>
      <c r="AD11" s="102" t="n"/>
      <c r="AE11" s="102" t="n"/>
      <c r="AF11" s="102" t="n"/>
      <c r="AG11" s="102" t="n"/>
      <c r="AH11" s="102" t="n"/>
      <c r="AI11" s="102" t="n"/>
      <c r="AJ11" s="102" t="n"/>
      <c r="AK11" s="102" t="n"/>
      <c r="AL11" s="102" t="n"/>
      <c r="AM11" s="102" t="n"/>
      <c r="AN11" s="102" t="n"/>
      <c r="AO11" s="102" t="n"/>
      <c r="AP11" s="102" t="n"/>
      <c r="AQ11" s="102" t="n"/>
      <c r="AR11" s="102" t="n"/>
    </row>
    <row r="12"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P12" s="102" t="n"/>
      <c r="Q12" s="102" t="n"/>
      <c r="R12" s="102" t="n"/>
      <c r="S12" s="102" t="n"/>
      <c r="T12" s="102" t="n"/>
      <c r="U12" s="102" t="n"/>
      <c r="V12" s="102" t="n"/>
      <c r="W12" s="102" t="n"/>
      <c r="X12" s="102" t="n"/>
      <c r="Y12" s="102" t="n"/>
      <c r="Z12" s="102" t="n"/>
      <c r="AA12" s="102" t="n"/>
      <c r="AB12" s="102" t="n"/>
      <c r="AC12" s="102" t="n"/>
      <c r="AD12" s="102" t="n"/>
      <c r="AE12" s="102" t="n"/>
      <c r="AF12" s="102" t="n"/>
      <c r="AG12" s="102" t="n"/>
      <c r="AH12" s="102" t="n"/>
      <c r="AI12" s="102" t="n"/>
      <c r="AJ12" s="102" t="n"/>
      <c r="AK12" s="102" t="n"/>
      <c r="AL12" s="102" t="n"/>
      <c r="AM12" s="102" t="n"/>
      <c r="AN12" s="102" t="n"/>
      <c r="AO12" s="102" t="n"/>
      <c r="AP12" s="102" t="n"/>
      <c r="AQ12" s="102" t="n"/>
      <c r="AR12" s="102" t="n"/>
    </row>
    <row r="13"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  <c r="P13" s="102" t="n"/>
      <c r="Q13" s="102" t="n"/>
      <c r="R13" s="102" t="n"/>
      <c r="S13" s="102" t="n"/>
      <c r="T13" s="102" t="n"/>
      <c r="U13" s="102" t="n"/>
      <c r="V13" s="102" t="n"/>
      <c r="W13" s="102" t="n"/>
      <c r="X13" s="102" t="n"/>
      <c r="Y13" s="102" t="n"/>
      <c r="Z13" s="102" t="n"/>
      <c r="AA13" s="102" t="n"/>
      <c r="AB13" s="102" t="n"/>
      <c r="AC13" s="102" t="n"/>
      <c r="AD13" s="102" t="n"/>
      <c r="AE13" s="102" t="n"/>
      <c r="AF13" s="102" t="n"/>
      <c r="AG13" s="102" t="n"/>
      <c r="AH13" s="102" t="n"/>
      <c r="AI13" s="102" t="n"/>
      <c r="AJ13" s="102" t="n"/>
      <c r="AK13" s="102" t="n"/>
      <c r="AL13" s="102" t="n"/>
      <c r="AM13" s="102" t="n"/>
      <c r="AN13" s="102" t="n"/>
      <c r="AO13" s="102" t="n"/>
      <c r="AP13" s="102" t="n"/>
      <c r="AQ13" s="102" t="n"/>
      <c r="AR13" s="102" t="n"/>
    </row>
    <row r="14"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  <c r="N14" s="103" t="n"/>
      <c r="O14" s="103" t="n"/>
      <c r="P14" s="103" t="n"/>
      <c r="Q14" s="103" t="n"/>
      <c r="R14" s="103" t="n"/>
      <c r="S14" s="103" t="n"/>
      <c r="T14" s="103" t="n"/>
      <c r="U14" s="103" t="n"/>
      <c r="V14" s="103" t="n"/>
      <c r="W14" s="103" t="n"/>
      <c r="X14" s="103" t="n"/>
      <c r="Y14" s="103" t="n"/>
      <c r="Z14" s="103" t="n"/>
      <c r="AA14" s="103" t="n"/>
      <c r="AB14" s="103" t="n"/>
      <c r="AC14" s="103" t="n"/>
      <c r="AD14" s="103" t="n"/>
      <c r="AE14" s="103" t="n"/>
      <c r="AF14" s="103" t="n"/>
      <c r="AG14" s="103" t="n"/>
      <c r="AH14" s="103" t="n"/>
      <c r="AI14" s="103" t="n"/>
      <c r="AJ14" s="103" t="n"/>
      <c r="AK14" s="103" t="n"/>
      <c r="AL14" s="103" t="n"/>
      <c r="AM14" s="103" t="n"/>
      <c r="AN14" s="103" t="n"/>
      <c r="AO14" s="103" t="n"/>
      <c r="AP14" s="103" t="n"/>
      <c r="AQ14" s="103" t="n"/>
      <c r="AR14" s="103" t="n"/>
    </row>
    <row r="17">
      <c r="A17" s="2">
        <f>IF($A10="","","   projections")</f>
        <v/>
      </c>
      <c r="B17" s="99">
        <f>IF($A10="",0,COUNT($E18:$AR18))</f>
        <v/>
      </c>
      <c r="C17" s="100">
        <f>IF($B17=0,0,MAX($E18:$AR18))</f>
        <v/>
      </c>
      <c r="D17" s="101">
        <f>BDS($A10,FLD_PROJ,"headers=y","startcol=1","endcol=3","dir=h")</f>
        <v/>
      </c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P17" s="102" t="n"/>
      <c r="Q17" s="102" t="n"/>
      <c r="R17" s="102" t="n"/>
      <c r="S17" s="102" t="n"/>
      <c r="T17" s="102" t="n"/>
      <c r="U17" s="102" t="n"/>
      <c r="V17" s="102" t="n"/>
      <c r="W17" s="102" t="n"/>
      <c r="X17" s="102" t="n"/>
      <c r="Y17" s="102" t="n"/>
      <c r="Z17" s="102" t="n"/>
      <c r="AA17" s="102" t="n"/>
      <c r="AB17" s="102" t="n"/>
      <c r="AC17" s="102" t="n"/>
      <c r="AD17" s="102" t="n"/>
      <c r="AE17" s="102" t="n"/>
      <c r="AF17" s="102" t="n"/>
      <c r="AG17" s="102" t="n"/>
      <c r="AH17" s="102" t="n"/>
      <c r="AI17" s="102" t="n"/>
      <c r="AJ17" s="102" t="n"/>
      <c r="AK17" s="102" t="n"/>
      <c r="AL17" s="102" t="n"/>
      <c r="AM17" s="102" t="n"/>
      <c r="AN17" s="102" t="n"/>
      <c r="AO17" s="102" t="n"/>
      <c r="AP17" s="102" t="n"/>
      <c r="AQ17" s="102" t="n"/>
      <c r="AR17" s="102" t="n"/>
    </row>
    <row r="18"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P18" s="102" t="n"/>
      <c r="Q18" s="102" t="n"/>
      <c r="R18" s="102" t="n"/>
      <c r="S18" s="102" t="n"/>
      <c r="T18" s="102" t="n"/>
      <c r="U18" s="102" t="n"/>
      <c r="V18" s="102" t="n"/>
      <c r="W18" s="102" t="n"/>
      <c r="X18" s="102" t="n"/>
      <c r="Y18" s="102" t="n"/>
      <c r="Z18" s="102" t="n"/>
      <c r="AA18" s="102" t="n"/>
      <c r="AB18" s="102" t="n"/>
      <c r="AC18" s="102" t="n"/>
      <c r="AD18" s="102" t="n"/>
      <c r="AE18" s="102" t="n"/>
      <c r="AF18" s="102" t="n"/>
      <c r="AG18" s="102" t="n"/>
      <c r="AH18" s="102" t="n"/>
      <c r="AI18" s="102" t="n"/>
      <c r="AJ18" s="102" t="n"/>
      <c r="AK18" s="102" t="n"/>
      <c r="AL18" s="102" t="n"/>
      <c r="AM18" s="102" t="n"/>
      <c r="AN18" s="102" t="n"/>
      <c r="AO18" s="102" t="n"/>
      <c r="AP18" s="102" t="n"/>
      <c r="AQ18" s="102" t="n"/>
      <c r="AR18" s="102" t="n"/>
    </row>
    <row r="19"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103" t="n"/>
      <c r="Q19" s="103" t="n"/>
      <c r="R19" s="103" t="n"/>
      <c r="S19" s="103" t="n"/>
      <c r="T19" s="103" t="n"/>
      <c r="U19" s="103" t="n"/>
      <c r="V19" s="103" t="n"/>
      <c r="W19" s="103" t="n"/>
      <c r="X19" s="103" t="n"/>
      <c r="Y19" s="103" t="n"/>
      <c r="Z19" s="103" t="n"/>
      <c r="AA19" s="103" t="n"/>
      <c r="AB19" s="103" t="n"/>
      <c r="AC19" s="103" t="n"/>
      <c r="AD19" s="103" t="n"/>
      <c r="AE19" s="103" t="n"/>
      <c r="AF19" s="103" t="n"/>
      <c r="AG19" s="103" t="n"/>
      <c r="AH19" s="103" t="n"/>
      <c r="AI19" s="103" t="n"/>
      <c r="AJ19" s="103" t="n"/>
      <c r="AK19" s="103" t="n"/>
      <c r="AL19" s="103" t="n"/>
      <c r="AM19" s="103" t="n"/>
      <c r="AN19" s="103" t="n"/>
      <c r="AO19" s="103" t="n"/>
      <c r="AP19" s="103" t="n"/>
      <c r="AQ19" s="103" t="n"/>
      <c r="AR19" s="103" t="n"/>
    </row>
    <row r="21">
      <c r="A21" s="8">
        <f>IF(HSI!$C$8="","",HSI!$C$8)</f>
        <v/>
      </c>
      <c r="B21" s="99">
        <f>IF($A21="",0,COUNT($E22:$AR22))</f>
        <v/>
      </c>
      <c r="C21" s="100">
        <f>IF($B21=0,0,MAX($E22:$AR22))</f>
        <v/>
      </c>
      <c r="D21" s="101">
        <f>BDS($A21,FLD_HIST,"headers=y","startcol=1","endcol=7","dir=h","DVD_START_DT",HIST_FROM,"DVD_END_DT",HIST_TO)</f>
        <v/>
      </c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P21" s="102" t="n"/>
      <c r="Q21" s="102" t="n"/>
      <c r="R21" s="102" t="n"/>
      <c r="S21" s="102" t="n"/>
      <c r="T21" s="102" t="n"/>
      <c r="U21" s="102" t="n"/>
      <c r="V21" s="102" t="n"/>
      <c r="W21" s="102" t="n"/>
      <c r="X21" s="102" t="n"/>
      <c r="Y21" s="102" t="n"/>
      <c r="Z21" s="102" t="n"/>
      <c r="AA21" s="102" t="n"/>
      <c r="AB21" s="102" t="n"/>
      <c r="AC21" s="102" t="n"/>
      <c r="AD21" s="102" t="n"/>
      <c r="AE21" s="102" t="n"/>
      <c r="AF21" s="102" t="n"/>
      <c r="AG21" s="102" t="n"/>
      <c r="AH21" s="102" t="n"/>
      <c r="AI21" s="102" t="n"/>
      <c r="AJ21" s="102" t="n"/>
      <c r="AK21" s="102" t="n"/>
      <c r="AL21" s="102" t="n"/>
      <c r="AM21" s="102" t="n"/>
      <c r="AN21" s="102" t="n"/>
      <c r="AO21" s="102" t="n"/>
      <c r="AP21" s="102" t="n"/>
      <c r="AQ21" s="102" t="n"/>
      <c r="AR21" s="102" t="n"/>
    </row>
    <row r="22"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P22" s="102" t="n"/>
      <c r="Q22" s="102" t="n"/>
      <c r="R22" s="102" t="n"/>
      <c r="S22" s="102" t="n"/>
      <c r="T22" s="102" t="n"/>
      <c r="U22" s="102" t="n"/>
      <c r="V22" s="102" t="n"/>
      <c r="W22" s="102" t="n"/>
      <c r="X22" s="102" t="n"/>
      <c r="Y22" s="102" t="n"/>
      <c r="Z22" s="102" t="n"/>
      <c r="AA22" s="102" t="n"/>
      <c r="AB22" s="102" t="n"/>
      <c r="AC22" s="102" t="n"/>
      <c r="AD22" s="102" t="n"/>
      <c r="AE22" s="102" t="n"/>
      <c r="AF22" s="102" t="n"/>
      <c r="AG22" s="102" t="n"/>
      <c r="AH22" s="102" t="n"/>
      <c r="AI22" s="102" t="n"/>
      <c r="AJ22" s="102" t="n"/>
      <c r="AK22" s="102" t="n"/>
      <c r="AL22" s="102" t="n"/>
      <c r="AM22" s="102" t="n"/>
      <c r="AN22" s="102" t="n"/>
      <c r="AO22" s="102" t="n"/>
      <c r="AP22" s="102" t="n"/>
      <c r="AQ22" s="102" t="n"/>
      <c r="AR22" s="102" t="n"/>
    </row>
    <row r="23"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  <c r="P23" s="102" t="n"/>
      <c r="Q23" s="102" t="n"/>
      <c r="R23" s="102" t="n"/>
      <c r="S23" s="102" t="n"/>
      <c r="T23" s="102" t="n"/>
      <c r="U23" s="102" t="n"/>
      <c r="V23" s="102" t="n"/>
      <c r="W23" s="102" t="n"/>
      <c r="X23" s="102" t="n"/>
      <c r="Y23" s="102" t="n"/>
      <c r="Z23" s="102" t="n"/>
      <c r="AA23" s="102" t="n"/>
      <c r="AB23" s="102" t="n"/>
      <c r="AC23" s="102" t="n"/>
      <c r="AD23" s="102" t="n"/>
      <c r="AE23" s="102" t="n"/>
      <c r="AF23" s="102" t="n"/>
      <c r="AG23" s="102" t="n"/>
      <c r="AH23" s="102" t="n"/>
      <c r="AI23" s="102" t="n"/>
      <c r="AJ23" s="102" t="n"/>
      <c r="AK23" s="102" t="n"/>
      <c r="AL23" s="102" t="n"/>
      <c r="AM23" s="102" t="n"/>
      <c r="AN23" s="102" t="n"/>
      <c r="AO23" s="102" t="n"/>
      <c r="AP23" s="102" t="n"/>
      <c r="AQ23" s="102" t="n"/>
      <c r="AR23" s="102" t="n"/>
    </row>
    <row r="24"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  <c r="P24" s="102" t="n"/>
      <c r="Q24" s="102" t="n"/>
      <c r="R24" s="102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2" t="n"/>
      <c r="AB24" s="102" t="n"/>
      <c r="AC24" s="102" t="n"/>
      <c r="AD24" s="102" t="n"/>
      <c r="AE24" s="102" t="n"/>
      <c r="AF24" s="102" t="n"/>
      <c r="AG24" s="102" t="n"/>
      <c r="AH24" s="102" t="n"/>
      <c r="AI24" s="102" t="n"/>
      <c r="AJ24" s="102" t="n"/>
      <c r="AK24" s="102" t="n"/>
      <c r="AL24" s="102" t="n"/>
      <c r="AM24" s="102" t="n"/>
      <c r="AN24" s="102" t="n"/>
      <c r="AO24" s="102" t="n"/>
      <c r="AP24" s="102" t="n"/>
      <c r="AQ24" s="102" t="n"/>
      <c r="AR24" s="102" t="n"/>
    </row>
    <row r="25">
      <c r="D25" s="103" t="n"/>
      <c r="E25" s="103" t="n"/>
      <c r="F25" s="103" t="n"/>
      <c r="G25" s="103" t="n"/>
      <c r="H25" s="103" t="n"/>
      <c r="I25" s="103" t="n"/>
      <c r="J25" s="103" t="n"/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3" t="n"/>
      <c r="T25" s="103" t="n"/>
      <c r="U25" s="103" t="n"/>
      <c r="V25" s="103" t="n"/>
      <c r="W25" s="103" t="n"/>
      <c r="X25" s="103" t="n"/>
      <c r="Y25" s="103" t="n"/>
      <c r="Z25" s="103" t="n"/>
      <c r="AA25" s="103" t="n"/>
      <c r="AB25" s="103" t="n"/>
      <c r="AC25" s="103" t="n"/>
      <c r="AD25" s="103" t="n"/>
      <c r="AE25" s="103" t="n"/>
      <c r="AF25" s="103" t="n"/>
      <c r="AG25" s="103" t="n"/>
      <c r="AH25" s="103" t="n"/>
      <c r="AI25" s="103" t="n"/>
      <c r="AJ25" s="103" t="n"/>
      <c r="AK25" s="103" t="n"/>
      <c r="AL25" s="103" t="n"/>
      <c r="AM25" s="103" t="n"/>
      <c r="AN25" s="103" t="n"/>
      <c r="AO25" s="103" t="n"/>
      <c r="AP25" s="103" t="n"/>
      <c r="AQ25" s="103" t="n"/>
      <c r="AR25" s="103" t="n"/>
    </row>
    <row r="28">
      <c r="A28" s="2">
        <f>IF($A21="","","   projections")</f>
        <v/>
      </c>
      <c r="B28" s="99">
        <f>IF($A21="",0,COUNT($E29:$AR29))</f>
        <v/>
      </c>
      <c r="C28" s="100">
        <f>IF($B28=0,0,MAX($E29:$AR29))</f>
        <v/>
      </c>
      <c r="D28" s="101">
        <f>BDS($A21,FLD_PROJ,"headers=y","startcol=1","endcol=3","dir=h")</f>
        <v/>
      </c>
      <c r="E28" s="102" t="n"/>
      <c r="F28" s="102" t="n"/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P28" s="102" t="n"/>
      <c r="Q28" s="102" t="n"/>
      <c r="R28" s="102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2" t="n"/>
      <c r="AB28" s="102" t="n"/>
      <c r="AC28" s="102" t="n"/>
      <c r="AD28" s="102" t="n"/>
      <c r="AE28" s="102" t="n"/>
      <c r="AF28" s="102" t="n"/>
      <c r="AG28" s="102" t="n"/>
      <c r="AH28" s="102" t="n"/>
      <c r="AI28" s="102" t="n"/>
      <c r="AJ28" s="102" t="n"/>
      <c r="AK28" s="102" t="n"/>
      <c r="AL28" s="102" t="n"/>
      <c r="AM28" s="102" t="n"/>
      <c r="AN28" s="102" t="n"/>
      <c r="AO28" s="102" t="n"/>
      <c r="AP28" s="102" t="n"/>
      <c r="AQ28" s="102" t="n"/>
      <c r="AR28" s="102" t="n"/>
    </row>
    <row r="29">
      <c r="D29" s="102" t="n"/>
      <c r="E29" s="102" t="n"/>
      <c r="F29" s="102" t="n"/>
      <c r="G29" s="102" t="n"/>
      <c r="H29" s="102" t="n"/>
      <c r="I29" s="102" t="n"/>
      <c r="J29" s="102" t="n"/>
      <c r="K29" s="102" t="n"/>
      <c r="L29" s="102" t="n"/>
      <c r="M29" s="102" t="n"/>
      <c r="N29" s="102" t="n"/>
      <c r="O29" s="102" t="n"/>
      <c r="P29" s="102" t="n"/>
      <c r="Q29" s="102" t="n"/>
      <c r="R29" s="102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2" t="n"/>
      <c r="AB29" s="102" t="n"/>
      <c r="AC29" s="102" t="n"/>
      <c r="AD29" s="102" t="n"/>
      <c r="AE29" s="102" t="n"/>
      <c r="AF29" s="102" t="n"/>
      <c r="AG29" s="102" t="n"/>
      <c r="AH29" s="102" t="n"/>
      <c r="AI29" s="102" t="n"/>
      <c r="AJ29" s="102" t="n"/>
      <c r="AK29" s="102" t="n"/>
      <c r="AL29" s="102" t="n"/>
      <c r="AM29" s="102" t="n"/>
      <c r="AN29" s="102" t="n"/>
      <c r="AO29" s="102" t="n"/>
      <c r="AP29" s="102" t="n"/>
      <c r="AQ29" s="102" t="n"/>
      <c r="AR29" s="102" t="n"/>
    </row>
    <row r="30">
      <c r="D30" s="103" t="n"/>
      <c r="E30" s="103" t="n"/>
      <c r="F30" s="103" t="n"/>
      <c r="G30" s="103" t="n"/>
      <c r="H30" s="103" t="n"/>
      <c r="I30" s="103" t="n"/>
      <c r="J30" s="103" t="n"/>
      <c r="K30" s="103" t="n"/>
      <c r="L30" s="103" t="n"/>
      <c r="M30" s="103" t="n"/>
      <c r="N30" s="103" t="n"/>
      <c r="O30" s="103" t="n"/>
      <c r="P30" s="103" t="n"/>
      <c r="Q30" s="103" t="n"/>
      <c r="R30" s="103" t="n"/>
      <c r="S30" s="103" t="n"/>
      <c r="T30" s="103" t="n"/>
      <c r="U30" s="103" t="n"/>
      <c r="V30" s="103" t="n"/>
      <c r="W30" s="103" t="n"/>
      <c r="X30" s="103" t="n"/>
      <c r="Y30" s="103" t="n"/>
      <c r="Z30" s="103" t="n"/>
      <c r="AA30" s="103" t="n"/>
      <c r="AB30" s="103" t="n"/>
      <c r="AC30" s="103" t="n"/>
      <c r="AD30" s="103" t="n"/>
      <c r="AE30" s="103" t="n"/>
      <c r="AF30" s="103" t="n"/>
      <c r="AG30" s="103" t="n"/>
      <c r="AH30" s="103" t="n"/>
      <c r="AI30" s="103" t="n"/>
      <c r="AJ30" s="103" t="n"/>
      <c r="AK30" s="103" t="n"/>
      <c r="AL30" s="103" t="n"/>
      <c r="AM30" s="103" t="n"/>
      <c r="AN30" s="103" t="n"/>
      <c r="AO30" s="103" t="n"/>
      <c r="AP30" s="103" t="n"/>
      <c r="AQ30" s="103" t="n"/>
      <c r="AR30" s="103" t="n"/>
    </row>
    <row r="32">
      <c r="A32" s="8">
        <f>IF(HSI!$C$9="","",HSI!$C$9)</f>
        <v/>
      </c>
      <c r="B32" s="99">
        <f>IF($A32="",0,COUNT($E33:$AR33))</f>
        <v/>
      </c>
      <c r="C32" s="100">
        <f>IF($B32=0,0,MAX($E33:$AR33))</f>
        <v/>
      </c>
      <c r="D32" s="101">
        <f>BDS($A32,FLD_HIST,"headers=y","startcol=1","endcol=7","dir=h","DVD_START_DT",HIST_FROM,"DVD_END_DT",HIST_TO)</f>
        <v/>
      </c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  <c r="N32" s="102" t="n"/>
      <c r="O32" s="102" t="n"/>
      <c r="P32" s="102" t="n"/>
      <c r="Q32" s="102" t="n"/>
      <c r="R32" s="102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2" t="n"/>
      <c r="AB32" s="102" t="n"/>
      <c r="AC32" s="102" t="n"/>
      <c r="AD32" s="102" t="n"/>
      <c r="AE32" s="102" t="n"/>
      <c r="AF32" s="102" t="n"/>
      <c r="AG32" s="102" t="n"/>
      <c r="AH32" s="102" t="n"/>
      <c r="AI32" s="102" t="n"/>
      <c r="AJ32" s="102" t="n"/>
      <c r="AK32" s="102" t="n"/>
      <c r="AL32" s="102" t="n"/>
      <c r="AM32" s="102" t="n"/>
      <c r="AN32" s="102" t="n"/>
      <c r="AO32" s="102" t="n"/>
      <c r="AP32" s="102" t="n"/>
      <c r="AQ32" s="102" t="n"/>
      <c r="AR32" s="102" t="n"/>
    </row>
    <row r="33"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N33" s="102" t="n"/>
      <c r="O33" s="102" t="n"/>
      <c r="P33" s="102" t="n"/>
      <c r="Q33" s="102" t="n"/>
      <c r="R33" s="102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2" t="n"/>
      <c r="AB33" s="102" t="n"/>
      <c r="AC33" s="102" t="n"/>
      <c r="AD33" s="102" t="n"/>
      <c r="AE33" s="102" t="n"/>
      <c r="AF33" s="102" t="n"/>
      <c r="AG33" s="102" t="n"/>
      <c r="AH33" s="102" t="n"/>
      <c r="AI33" s="102" t="n"/>
      <c r="AJ33" s="102" t="n"/>
      <c r="AK33" s="102" t="n"/>
      <c r="AL33" s="102" t="n"/>
      <c r="AM33" s="102" t="n"/>
      <c r="AN33" s="102" t="n"/>
      <c r="AO33" s="102" t="n"/>
      <c r="AP33" s="102" t="n"/>
      <c r="AQ33" s="102" t="n"/>
      <c r="AR33" s="102" t="n"/>
    </row>
    <row r="34"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02" t="n"/>
      <c r="O34" s="102" t="n"/>
      <c r="P34" s="102" t="n"/>
      <c r="Q34" s="102" t="n"/>
      <c r="R34" s="102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2" t="n"/>
      <c r="AB34" s="102" t="n"/>
      <c r="AC34" s="102" t="n"/>
      <c r="AD34" s="102" t="n"/>
      <c r="AE34" s="102" t="n"/>
      <c r="AF34" s="102" t="n"/>
      <c r="AG34" s="102" t="n"/>
      <c r="AH34" s="102" t="n"/>
      <c r="AI34" s="102" t="n"/>
      <c r="AJ34" s="102" t="n"/>
      <c r="AK34" s="102" t="n"/>
      <c r="AL34" s="102" t="n"/>
      <c r="AM34" s="102" t="n"/>
      <c r="AN34" s="102" t="n"/>
      <c r="AO34" s="102" t="n"/>
      <c r="AP34" s="102" t="n"/>
      <c r="AQ34" s="102" t="n"/>
      <c r="AR34" s="102" t="n"/>
    </row>
    <row r="35">
      <c r="D35" s="102" t="n"/>
      <c r="E35" s="102" t="n"/>
      <c r="F35" s="102" t="n"/>
      <c r="G35" s="102" t="n"/>
      <c r="H35" s="102" t="n"/>
      <c r="I35" s="102" t="n"/>
      <c r="J35" s="102" t="n"/>
      <c r="K35" s="102" t="n"/>
      <c r="L35" s="102" t="n"/>
      <c r="M35" s="102" t="n"/>
      <c r="N35" s="102" t="n"/>
      <c r="O35" s="102" t="n"/>
      <c r="P35" s="102" t="n"/>
      <c r="Q35" s="102" t="n"/>
      <c r="R35" s="102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2" t="n"/>
      <c r="AB35" s="102" t="n"/>
      <c r="AC35" s="102" t="n"/>
      <c r="AD35" s="102" t="n"/>
      <c r="AE35" s="102" t="n"/>
      <c r="AF35" s="102" t="n"/>
      <c r="AG35" s="102" t="n"/>
      <c r="AH35" s="102" t="n"/>
      <c r="AI35" s="102" t="n"/>
      <c r="AJ35" s="102" t="n"/>
      <c r="AK35" s="102" t="n"/>
      <c r="AL35" s="102" t="n"/>
      <c r="AM35" s="102" t="n"/>
      <c r="AN35" s="102" t="n"/>
      <c r="AO35" s="102" t="n"/>
      <c r="AP35" s="102" t="n"/>
      <c r="AQ35" s="102" t="n"/>
      <c r="AR35" s="102" t="n"/>
    </row>
    <row r="36">
      <c r="D36" s="103" t="n"/>
      <c r="E36" s="103" t="n"/>
      <c r="F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  <c r="AI36" s="103" t="n"/>
      <c r="AJ36" s="103" t="n"/>
      <c r="AK36" s="103" t="n"/>
      <c r="AL36" s="103" t="n"/>
      <c r="AM36" s="103" t="n"/>
      <c r="AN36" s="103" t="n"/>
      <c r="AO36" s="103" t="n"/>
      <c r="AP36" s="103" t="n"/>
      <c r="AQ36" s="103" t="n"/>
      <c r="AR36" s="103" t="n"/>
    </row>
    <row r="39">
      <c r="A39" s="2">
        <f>IF($A32="","","   projections")</f>
        <v/>
      </c>
      <c r="B39" s="99">
        <f>IF($A32="",0,COUNT($E40:$AR40))</f>
        <v/>
      </c>
      <c r="C39" s="100">
        <f>IF($B39=0,0,MAX($E40:$AR40))</f>
        <v/>
      </c>
      <c r="D39" s="101">
        <f>BDS($A32,FLD_PROJ,"headers=y","startcol=1","endcol=3","dir=h")</f>
        <v/>
      </c>
      <c r="E39" s="102" t="n"/>
      <c r="F39" s="102" t="n"/>
      <c r="G39" s="102" t="n"/>
      <c r="H39" s="102" t="n"/>
      <c r="I39" s="102" t="n"/>
      <c r="J39" s="102" t="n"/>
      <c r="K39" s="102" t="n"/>
      <c r="L39" s="102" t="n"/>
      <c r="M39" s="102" t="n"/>
      <c r="N39" s="102" t="n"/>
      <c r="O39" s="102" t="n"/>
      <c r="P39" s="102" t="n"/>
      <c r="Q39" s="102" t="n"/>
      <c r="R39" s="102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2" t="n"/>
      <c r="AB39" s="102" t="n"/>
      <c r="AC39" s="102" t="n"/>
      <c r="AD39" s="102" t="n"/>
      <c r="AE39" s="102" t="n"/>
      <c r="AF39" s="102" t="n"/>
      <c r="AG39" s="102" t="n"/>
      <c r="AH39" s="102" t="n"/>
      <c r="AI39" s="102" t="n"/>
      <c r="AJ39" s="102" t="n"/>
      <c r="AK39" s="102" t="n"/>
      <c r="AL39" s="102" t="n"/>
      <c r="AM39" s="102" t="n"/>
      <c r="AN39" s="102" t="n"/>
      <c r="AO39" s="102" t="n"/>
      <c r="AP39" s="102" t="n"/>
      <c r="AQ39" s="102" t="n"/>
      <c r="AR39" s="102" t="n"/>
    </row>
    <row r="40">
      <c r="D40" s="102" t="n"/>
      <c r="E40" s="102" t="n"/>
      <c r="F40" s="102" t="n"/>
      <c r="G40" s="102" t="n"/>
      <c r="H40" s="102" t="n"/>
      <c r="I40" s="102" t="n"/>
      <c r="J40" s="102" t="n"/>
      <c r="K40" s="102" t="n"/>
      <c r="L40" s="102" t="n"/>
      <c r="M40" s="102" t="n"/>
      <c r="N40" s="102" t="n"/>
      <c r="O40" s="102" t="n"/>
      <c r="P40" s="102" t="n"/>
      <c r="Q40" s="102" t="n"/>
      <c r="R40" s="102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2" t="n"/>
      <c r="AB40" s="102" t="n"/>
      <c r="AC40" s="102" t="n"/>
      <c r="AD40" s="102" t="n"/>
      <c r="AE40" s="102" t="n"/>
      <c r="AF40" s="102" t="n"/>
      <c r="AG40" s="102" t="n"/>
      <c r="AH40" s="102" t="n"/>
      <c r="AI40" s="102" t="n"/>
      <c r="AJ40" s="102" t="n"/>
      <c r="AK40" s="102" t="n"/>
      <c r="AL40" s="102" t="n"/>
      <c r="AM40" s="102" t="n"/>
      <c r="AN40" s="102" t="n"/>
      <c r="AO40" s="102" t="n"/>
      <c r="AP40" s="102" t="n"/>
      <c r="AQ40" s="102" t="n"/>
      <c r="AR40" s="102" t="n"/>
    </row>
    <row r="41">
      <c r="D41" s="103" t="n"/>
      <c r="E41" s="103" t="n"/>
      <c r="F41" s="103" t="n"/>
      <c r="G41" s="103" t="n"/>
      <c r="H41" s="103" t="n"/>
      <c r="I41" s="103" t="n"/>
      <c r="J41" s="103" t="n"/>
      <c r="K41" s="103" t="n"/>
      <c r="L41" s="103" t="n"/>
      <c r="M41" s="103" t="n"/>
      <c r="N41" s="103" t="n"/>
      <c r="O41" s="103" t="n"/>
      <c r="P41" s="103" t="n"/>
      <c r="Q41" s="103" t="n"/>
      <c r="R41" s="103" t="n"/>
      <c r="S41" s="103" t="n"/>
      <c r="T41" s="103" t="n"/>
      <c r="U41" s="103" t="n"/>
      <c r="V41" s="103" t="n"/>
      <c r="W41" s="103" t="n"/>
      <c r="X41" s="103" t="n"/>
      <c r="Y41" s="103" t="n"/>
      <c r="Z41" s="103" t="n"/>
      <c r="AA41" s="103" t="n"/>
      <c r="AB41" s="103" t="n"/>
      <c r="AC41" s="103" t="n"/>
      <c r="AD41" s="103" t="n"/>
      <c r="AE41" s="103" t="n"/>
      <c r="AF41" s="103" t="n"/>
      <c r="AG41" s="103" t="n"/>
      <c r="AH41" s="103" t="n"/>
      <c r="AI41" s="103" t="n"/>
      <c r="AJ41" s="103" t="n"/>
      <c r="AK41" s="103" t="n"/>
      <c r="AL41" s="103" t="n"/>
      <c r="AM41" s="103" t="n"/>
      <c r="AN41" s="103" t="n"/>
      <c r="AO41" s="103" t="n"/>
      <c r="AP41" s="103" t="n"/>
      <c r="AQ41" s="103" t="n"/>
      <c r="AR41" s="103" t="n"/>
    </row>
    <row r="43">
      <c r="A43" s="8">
        <f>IF(HSI!$C$10="","",HSI!$C$10)</f>
        <v/>
      </c>
      <c r="B43" s="99">
        <f>IF($A43="",0,COUNT($E44:$AR44))</f>
        <v/>
      </c>
      <c r="C43" s="100">
        <f>IF($B43=0,0,MAX($E44:$AR44))</f>
        <v/>
      </c>
      <c r="D43" s="101">
        <f>BDS($A43,FLD_HIST,"headers=y","startcol=1","endcol=7","dir=h","DVD_START_DT",HIST_FROM,"DVD_END_DT",HIST_TO)</f>
        <v/>
      </c>
      <c r="E43" s="102" t="n"/>
      <c r="F43" s="102" t="n"/>
      <c r="G43" s="102" t="n"/>
      <c r="H43" s="102" t="n"/>
      <c r="I43" s="102" t="n"/>
      <c r="J43" s="102" t="n"/>
      <c r="K43" s="102" t="n"/>
      <c r="L43" s="102" t="n"/>
      <c r="M43" s="102" t="n"/>
      <c r="N43" s="102" t="n"/>
      <c r="O43" s="102" t="n"/>
      <c r="P43" s="102" t="n"/>
      <c r="Q43" s="102" t="n"/>
      <c r="R43" s="102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2" t="n"/>
      <c r="AB43" s="102" t="n"/>
      <c r="AC43" s="102" t="n"/>
      <c r="AD43" s="102" t="n"/>
      <c r="AE43" s="102" t="n"/>
      <c r="AF43" s="102" t="n"/>
      <c r="AG43" s="102" t="n"/>
      <c r="AH43" s="102" t="n"/>
      <c r="AI43" s="102" t="n"/>
      <c r="AJ43" s="102" t="n"/>
      <c r="AK43" s="102" t="n"/>
      <c r="AL43" s="102" t="n"/>
      <c r="AM43" s="102" t="n"/>
      <c r="AN43" s="102" t="n"/>
      <c r="AO43" s="102" t="n"/>
      <c r="AP43" s="102" t="n"/>
      <c r="AQ43" s="102" t="n"/>
      <c r="AR43" s="102" t="n"/>
    </row>
    <row r="44">
      <c r="D44" s="102" t="n"/>
      <c r="E44" s="102" t="n"/>
      <c r="F44" s="102" t="n"/>
      <c r="G44" s="102" t="n"/>
      <c r="H44" s="102" t="n"/>
      <c r="I44" s="102" t="n"/>
      <c r="J44" s="102" t="n"/>
      <c r="K44" s="102" t="n"/>
      <c r="L44" s="102" t="n"/>
      <c r="M44" s="102" t="n"/>
      <c r="N44" s="102" t="n"/>
      <c r="O44" s="102" t="n"/>
      <c r="P44" s="102" t="n"/>
      <c r="Q44" s="102" t="n"/>
      <c r="R44" s="102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2" t="n"/>
      <c r="AB44" s="102" t="n"/>
      <c r="AC44" s="102" t="n"/>
      <c r="AD44" s="102" t="n"/>
      <c r="AE44" s="102" t="n"/>
      <c r="AF44" s="102" t="n"/>
      <c r="AG44" s="102" t="n"/>
      <c r="AH44" s="102" t="n"/>
      <c r="AI44" s="102" t="n"/>
      <c r="AJ44" s="102" t="n"/>
      <c r="AK44" s="102" t="n"/>
      <c r="AL44" s="102" t="n"/>
      <c r="AM44" s="102" t="n"/>
      <c r="AN44" s="102" t="n"/>
      <c r="AO44" s="102" t="n"/>
      <c r="AP44" s="102" t="n"/>
      <c r="AQ44" s="102" t="n"/>
      <c r="AR44" s="102" t="n"/>
    </row>
    <row r="45">
      <c r="D45" s="102" t="n"/>
      <c r="E45" s="102" t="n"/>
      <c r="F45" s="102" t="n"/>
      <c r="G45" s="102" t="n"/>
      <c r="H45" s="102" t="n"/>
      <c r="I45" s="102" t="n"/>
      <c r="J45" s="102" t="n"/>
      <c r="K45" s="102" t="n"/>
      <c r="L45" s="102" t="n"/>
      <c r="M45" s="102" t="n"/>
      <c r="N45" s="102" t="n"/>
      <c r="O45" s="102" t="n"/>
      <c r="P45" s="102" t="n"/>
      <c r="Q45" s="102" t="n"/>
      <c r="R45" s="102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2" t="n"/>
      <c r="AB45" s="102" t="n"/>
      <c r="AC45" s="102" t="n"/>
      <c r="AD45" s="102" t="n"/>
      <c r="AE45" s="102" t="n"/>
      <c r="AF45" s="102" t="n"/>
      <c r="AG45" s="102" t="n"/>
      <c r="AH45" s="102" t="n"/>
      <c r="AI45" s="102" t="n"/>
      <c r="AJ45" s="102" t="n"/>
      <c r="AK45" s="102" t="n"/>
      <c r="AL45" s="102" t="n"/>
      <c r="AM45" s="102" t="n"/>
      <c r="AN45" s="102" t="n"/>
      <c r="AO45" s="102" t="n"/>
      <c r="AP45" s="102" t="n"/>
      <c r="AQ45" s="102" t="n"/>
      <c r="AR45" s="102" t="n"/>
    </row>
    <row r="46">
      <c r="D46" s="102" t="n"/>
      <c r="E46" s="102" t="n"/>
      <c r="F46" s="102" t="n"/>
      <c r="G46" s="102" t="n"/>
      <c r="H46" s="102" t="n"/>
      <c r="I46" s="102" t="n"/>
      <c r="J46" s="102" t="n"/>
      <c r="K46" s="102" t="n"/>
      <c r="L46" s="102" t="n"/>
      <c r="M46" s="102" t="n"/>
      <c r="N46" s="102" t="n"/>
      <c r="O46" s="102" t="n"/>
      <c r="P46" s="102" t="n"/>
      <c r="Q46" s="102" t="n"/>
      <c r="R46" s="102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2" t="n"/>
      <c r="AB46" s="102" t="n"/>
      <c r="AC46" s="102" t="n"/>
      <c r="AD46" s="102" t="n"/>
      <c r="AE46" s="102" t="n"/>
      <c r="AF46" s="102" t="n"/>
      <c r="AG46" s="102" t="n"/>
      <c r="AH46" s="102" t="n"/>
      <c r="AI46" s="102" t="n"/>
      <c r="AJ46" s="102" t="n"/>
      <c r="AK46" s="102" t="n"/>
      <c r="AL46" s="102" t="n"/>
      <c r="AM46" s="102" t="n"/>
      <c r="AN46" s="102" t="n"/>
      <c r="AO46" s="102" t="n"/>
      <c r="AP46" s="102" t="n"/>
      <c r="AQ46" s="102" t="n"/>
      <c r="AR46" s="102" t="n"/>
    </row>
    <row r="47">
      <c r="D47" s="103" t="n"/>
      <c r="E47" s="103" t="n"/>
      <c r="F47" s="103" t="n"/>
      <c r="G47" s="103" t="n"/>
      <c r="H47" s="103" t="n"/>
      <c r="I47" s="103" t="n"/>
      <c r="J47" s="103" t="n"/>
      <c r="K47" s="103" t="n"/>
      <c r="L47" s="103" t="n"/>
      <c r="M47" s="103" t="n"/>
      <c r="N47" s="103" t="n"/>
      <c r="O47" s="103" t="n"/>
      <c r="P47" s="103" t="n"/>
      <c r="Q47" s="103" t="n"/>
      <c r="R47" s="103" t="n"/>
      <c r="S47" s="103" t="n"/>
      <c r="T47" s="103" t="n"/>
      <c r="U47" s="103" t="n"/>
      <c r="V47" s="103" t="n"/>
      <c r="W47" s="103" t="n"/>
      <c r="X47" s="103" t="n"/>
      <c r="Y47" s="103" t="n"/>
      <c r="Z47" s="103" t="n"/>
      <c r="AA47" s="103" t="n"/>
      <c r="AB47" s="103" t="n"/>
      <c r="AC47" s="103" t="n"/>
      <c r="AD47" s="103" t="n"/>
      <c r="AE47" s="103" t="n"/>
      <c r="AF47" s="103" t="n"/>
      <c r="AG47" s="103" t="n"/>
      <c r="AH47" s="103" t="n"/>
      <c r="AI47" s="103" t="n"/>
      <c r="AJ47" s="103" t="n"/>
      <c r="AK47" s="103" t="n"/>
      <c r="AL47" s="103" t="n"/>
      <c r="AM47" s="103" t="n"/>
      <c r="AN47" s="103" t="n"/>
      <c r="AO47" s="103" t="n"/>
      <c r="AP47" s="103" t="n"/>
      <c r="AQ47" s="103" t="n"/>
      <c r="AR47" s="103" t="n"/>
    </row>
    <row r="50">
      <c r="A50" s="2">
        <f>IF($A43="","","   projections")</f>
        <v/>
      </c>
      <c r="B50" s="99">
        <f>IF($A43="",0,COUNT($E51:$AR51))</f>
        <v/>
      </c>
      <c r="C50" s="100">
        <f>IF($B50=0,0,MAX($E51:$AR51))</f>
        <v/>
      </c>
      <c r="D50" s="101">
        <f>BDS($A43,FLD_PROJ,"headers=y","startcol=1","endcol=3","dir=h")</f>
        <v/>
      </c>
      <c r="E50" s="102" t="n"/>
      <c r="F50" s="102" t="n"/>
      <c r="G50" s="102" t="n"/>
      <c r="H50" s="102" t="n"/>
      <c r="I50" s="102" t="n"/>
      <c r="J50" s="102" t="n"/>
      <c r="K50" s="102" t="n"/>
      <c r="L50" s="102" t="n"/>
      <c r="M50" s="102" t="n"/>
      <c r="N50" s="102" t="n"/>
      <c r="O50" s="102" t="n"/>
      <c r="P50" s="102" t="n"/>
      <c r="Q50" s="102" t="n"/>
      <c r="R50" s="102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2" t="n"/>
      <c r="AB50" s="102" t="n"/>
      <c r="AC50" s="102" t="n"/>
      <c r="AD50" s="102" t="n"/>
      <c r="AE50" s="102" t="n"/>
      <c r="AF50" s="102" t="n"/>
      <c r="AG50" s="102" t="n"/>
      <c r="AH50" s="102" t="n"/>
      <c r="AI50" s="102" t="n"/>
      <c r="AJ50" s="102" t="n"/>
      <c r="AK50" s="102" t="n"/>
      <c r="AL50" s="102" t="n"/>
      <c r="AM50" s="102" t="n"/>
      <c r="AN50" s="102" t="n"/>
      <c r="AO50" s="102" t="n"/>
      <c r="AP50" s="102" t="n"/>
      <c r="AQ50" s="102" t="n"/>
      <c r="AR50" s="102" t="n"/>
    </row>
    <row r="51">
      <c r="D51" s="102" t="n"/>
      <c r="E51" s="102" t="n"/>
      <c r="F51" s="102" t="n"/>
      <c r="G51" s="102" t="n"/>
      <c r="H51" s="102" t="n"/>
      <c r="I51" s="102" t="n"/>
      <c r="J51" s="102" t="n"/>
      <c r="K51" s="102" t="n"/>
      <c r="L51" s="102" t="n"/>
      <c r="M51" s="102" t="n"/>
      <c r="N51" s="102" t="n"/>
      <c r="O51" s="102" t="n"/>
      <c r="P51" s="102" t="n"/>
      <c r="Q51" s="102" t="n"/>
      <c r="R51" s="102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2" t="n"/>
      <c r="AB51" s="102" t="n"/>
      <c r="AC51" s="102" t="n"/>
      <c r="AD51" s="102" t="n"/>
      <c r="AE51" s="102" t="n"/>
      <c r="AF51" s="102" t="n"/>
      <c r="AG51" s="102" t="n"/>
      <c r="AH51" s="102" t="n"/>
      <c r="AI51" s="102" t="n"/>
      <c r="AJ51" s="102" t="n"/>
      <c r="AK51" s="102" t="n"/>
      <c r="AL51" s="102" t="n"/>
      <c r="AM51" s="102" t="n"/>
      <c r="AN51" s="102" t="n"/>
      <c r="AO51" s="102" t="n"/>
      <c r="AP51" s="102" t="n"/>
      <c r="AQ51" s="102" t="n"/>
      <c r="AR51" s="102" t="n"/>
    </row>
    <row r="52">
      <c r="D52" s="103" t="n"/>
      <c r="E52" s="103" t="n"/>
      <c r="F52" s="103" t="n"/>
      <c r="G52" s="103" t="n"/>
      <c r="H52" s="103" t="n"/>
      <c r="I52" s="103" t="n"/>
      <c r="J52" s="103" t="n"/>
      <c r="K52" s="103" t="n"/>
      <c r="L52" s="103" t="n"/>
      <c r="M52" s="103" t="n"/>
      <c r="N52" s="103" t="n"/>
      <c r="O52" s="103" t="n"/>
      <c r="P52" s="103" t="n"/>
      <c r="Q52" s="103" t="n"/>
      <c r="R52" s="103" t="n"/>
      <c r="S52" s="103" t="n"/>
      <c r="T52" s="103" t="n"/>
      <c r="U52" s="103" t="n"/>
      <c r="V52" s="103" t="n"/>
      <c r="W52" s="103" t="n"/>
      <c r="X52" s="103" t="n"/>
      <c r="Y52" s="103" t="n"/>
      <c r="Z52" s="103" t="n"/>
      <c r="AA52" s="103" t="n"/>
      <c r="AB52" s="103" t="n"/>
      <c r="AC52" s="103" t="n"/>
      <c r="AD52" s="103" t="n"/>
      <c r="AE52" s="103" t="n"/>
      <c r="AF52" s="103" t="n"/>
      <c r="AG52" s="103" t="n"/>
      <c r="AH52" s="103" t="n"/>
      <c r="AI52" s="103" t="n"/>
      <c r="AJ52" s="103" t="n"/>
      <c r="AK52" s="103" t="n"/>
      <c r="AL52" s="103" t="n"/>
      <c r="AM52" s="103" t="n"/>
      <c r="AN52" s="103" t="n"/>
      <c r="AO52" s="103" t="n"/>
      <c r="AP52" s="103" t="n"/>
      <c r="AQ52" s="103" t="n"/>
      <c r="AR52" s="103" t="n"/>
    </row>
    <row r="54">
      <c r="A54" s="8">
        <f>IF(HSI!$C$11="","",HSI!$C$11)</f>
        <v/>
      </c>
      <c r="B54" s="99">
        <f>IF($A54="",0,COUNT($E55:$AR55))</f>
        <v/>
      </c>
      <c r="C54" s="100">
        <f>IF($B54=0,0,MAX($E55:$AR55))</f>
        <v/>
      </c>
      <c r="D54" s="101">
        <f>BDS($A54,FLD_HIST,"headers=y","startcol=1","endcol=7","dir=h","DVD_START_DT",HIST_FROM,"DVD_END_DT",HIST_TO)</f>
        <v/>
      </c>
      <c r="E54" s="102" t="n"/>
      <c r="F54" s="102" t="n"/>
      <c r="G54" s="102" t="n"/>
      <c r="H54" s="102" t="n"/>
      <c r="I54" s="102" t="n"/>
      <c r="J54" s="102" t="n"/>
      <c r="K54" s="102" t="n"/>
      <c r="L54" s="102" t="n"/>
      <c r="M54" s="102" t="n"/>
      <c r="N54" s="102" t="n"/>
      <c r="O54" s="102" t="n"/>
      <c r="P54" s="102" t="n"/>
      <c r="Q54" s="102" t="n"/>
      <c r="R54" s="102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2" t="n"/>
      <c r="AB54" s="102" t="n"/>
      <c r="AC54" s="102" t="n"/>
      <c r="AD54" s="102" t="n"/>
      <c r="AE54" s="102" t="n"/>
      <c r="AF54" s="102" t="n"/>
      <c r="AG54" s="102" t="n"/>
      <c r="AH54" s="102" t="n"/>
      <c r="AI54" s="102" t="n"/>
      <c r="AJ54" s="102" t="n"/>
      <c r="AK54" s="102" t="n"/>
      <c r="AL54" s="102" t="n"/>
      <c r="AM54" s="102" t="n"/>
      <c r="AN54" s="102" t="n"/>
      <c r="AO54" s="102" t="n"/>
      <c r="AP54" s="102" t="n"/>
      <c r="AQ54" s="102" t="n"/>
      <c r="AR54" s="102" t="n"/>
    </row>
    <row r="55">
      <c r="D55" s="102" t="n"/>
      <c r="E55" s="102" t="n"/>
      <c r="F55" s="102" t="n"/>
      <c r="G55" s="102" t="n"/>
      <c r="H55" s="102" t="n"/>
      <c r="I55" s="102" t="n"/>
      <c r="J55" s="102" t="n"/>
      <c r="K55" s="102" t="n"/>
      <c r="L55" s="102" t="n"/>
      <c r="M55" s="102" t="n"/>
      <c r="N55" s="102" t="n"/>
      <c r="O55" s="102" t="n"/>
      <c r="P55" s="102" t="n"/>
      <c r="Q55" s="102" t="n"/>
      <c r="R55" s="102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2" t="n"/>
      <c r="AB55" s="102" t="n"/>
      <c r="AC55" s="102" t="n"/>
      <c r="AD55" s="102" t="n"/>
      <c r="AE55" s="102" t="n"/>
      <c r="AF55" s="102" t="n"/>
      <c r="AG55" s="102" t="n"/>
      <c r="AH55" s="102" t="n"/>
      <c r="AI55" s="102" t="n"/>
      <c r="AJ55" s="102" t="n"/>
      <c r="AK55" s="102" t="n"/>
      <c r="AL55" s="102" t="n"/>
      <c r="AM55" s="102" t="n"/>
      <c r="AN55" s="102" t="n"/>
      <c r="AO55" s="102" t="n"/>
      <c r="AP55" s="102" t="n"/>
      <c r="AQ55" s="102" t="n"/>
      <c r="AR55" s="102" t="n"/>
    </row>
    <row r="56">
      <c r="D56" s="102" t="n"/>
      <c r="E56" s="102" t="n"/>
      <c r="F56" s="102" t="n"/>
      <c r="G56" s="102" t="n"/>
      <c r="H56" s="102" t="n"/>
      <c r="I56" s="102" t="n"/>
      <c r="J56" s="102" t="n"/>
      <c r="K56" s="102" t="n"/>
      <c r="L56" s="102" t="n"/>
      <c r="M56" s="102" t="n"/>
      <c r="N56" s="102" t="n"/>
      <c r="O56" s="102" t="n"/>
      <c r="P56" s="102" t="n"/>
      <c r="Q56" s="102" t="n"/>
      <c r="R56" s="102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2" t="n"/>
      <c r="AB56" s="102" t="n"/>
      <c r="AC56" s="102" t="n"/>
      <c r="AD56" s="102" t="n"/>
      <c r="AE56" s="102" t="n"/>
      <c r="AF56" s="102" t="n"/>
      <c r="AG56" s="102" t="n"/>
      <c r="AH56" s="102" t="n"/>
      <c r="AI56" s="102" t="n"/>
      <c r="AJ56" s="102" t="n"/>
      <c r="AK56" s="102" t="n"/>
      <c r="AL56" s="102" t="n"/>
      <c r="AM56" s="102" t="n"/>
      <c r="AN56" s="102" t="n"/>
      <c r="AO56" s="102" t="n"/>
      <c r="AP56" s="102" t="n"/>
      <c r="AQ56" s="102" t="n"/>
      <c r="AR56" s="102" t="n"/>
    </row>
    <row r="57">
      <c r="D57" s="102" t="n"/>
      <c r="E57" s="102" t="n"/>
      <c r="F57" s="102" t="n"/>
      <c r="G57" s="102" t="n"/>
      <c r="H57" s="102" t="n"/>
      <c r="I57" s="102" t="n"/>
      <c r="J57" s="102" t="n"/>
      <c r="K57" s="102" t="n"/>
      <c r="L57" s="102" t="n"/>
      <c r="M57" s="102" t="n"/>
      <c r="N57" s="102" t="n"/>
      <c r="O57" s="102" t="n"/>
      <c r="P57" s="102" t="n"/>
      <c r="Q57" s="102" t="n"/>
      <c r="R57" s="102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2" t="n"/>
      <c r="AB57" s="102" t="n"/>
      <c r="AC57" s="102" t="n"/>
      <c r="AD57" s="102" t="n"/>
      <c r="AE57" s="102" t="n"/>
      <c r="AF57" s="102" t="n"/>
      <c r="AG57" s="102" t="n"/>
      <c r="AH57" s="102" t="n"/>
      <c r="AI57" s="102" t="n"/>
      <c r="AJ57" s="102" t="n"/>
      <c r="AK57" s="102" t="n"/>
      <c r="AL57" s="102" t="n"/>
      <c r="AM57" s="102" t="n"/>
      <c r="AN57" s="102" t="n"/>
      <c r="AO57" s="102" t="n"/>
      <c r="AP57" s="102" t="n"/>
      <c r="AQ57" s="102" t="n"/>
      <c r="AR57" s="102" t="n"/>
    </row>
    <row r="58">
      <c r="D58" s="103" t="n"/>
      <c r="E58" s="103" t="n"/>
      <c r="F58" s="103" t="n"/>
      <c r="G58" s="103" t="n"/>
      <c r="H58" s="103" t="n"/>
      <c r="I58" s="103" t="n"/>
      <c r="J58" s="103" t="n"/>
      <c r="K58" s="103" t="n"/>
      <c r="L58" s="103" t="n"/>
      <c r="M58" s="103" t="n"/>
      <c r="N58" s="103" t="n"/>
      <c r="O58" s="103" t="n"/>
      <c r="P58" s="103" t="n"/>
      <c r="Q58" s="103" t="n"/>
      <c r="R58" s="103" t="n"/>
      <c r="S58" s="103" t="n"/>
      <c r="T58" s="103" t="n"/>
      <c r="U58" s="103" t="n"/>
      <c r="V58" s="103" t="n"/>
      <c r="W58" s="103" t="n"/>
      <c r="X58" s="103" t="n"/>
      <c r="Y58" s="103" t="n"/>
      <c r="Z58" s="103" t="n"/>
      <c r="AA58" s="103" t="n"/>
      <c r="AB58" s="103" t="n"/>
      <c r="AC58" s="103" t="n"/>
      <c r="AD58" s="103" t="n"/>
      <c r="AE58" s="103" t="n"/>
      <c r="AF58" s="103" t="n"/>
      <c r="AG58" s="103" t="n"/>
      <c r="AH58" s="103" t="n"/>
      <c r="AI58" s="103" t="n"/>
      <c r="AJ58" s="103" t="n"/>
      <c r="AK58" s="103" t="n"/>
      <c r="AL58" s="103" t="n"/>
      <c r="AM58" s="103" t="n"/>
      <c r="AN58" s="103" t="n"/>
      <c r="AO58" s="103" t="n"/>
      <c r="AP58" s="103" t="n"/>
      <c r="AQ58" s="103" t="n"/>
      <c r="AR58" s="103" t="n"/>
    </row>
    <row r="61">
      <c r="A61" s="2">
        <f>IF($A54="","","   projections")</f>
        <v/>
      </c>
      <c r="B61" s="99">
        <f>IF($A54="",0,COUNT($E62:$AR62))</f>
        <v/>
      </c>
      <c r="C61" s="100">
        <f>IF($B61=0,0,MAX($E62:$AR62))</f>
        <v/>
      </c>
      <c r="D61" s="101">
        <f>BDS($A54,FLD_PROJ,"headers=y","startcol=1","endcol=3","dir=h")</f>
        <v/>
      </c>
      <c r="E61" s="102" t="n"/>
      <c r="F61" s="102" t="n"/>
      <c r="G61" s="102" t="n"/>
      <c r="H61" s="102" t="n"/>
      <c r="I61" s="102" t="n"/>
      <c r="J61" s="102" t="n"/>
      <c r="K61" s="102" t="n"/>
      <c r="L61" s="102" t="n"/>
      <c r="M61" s="102" t="n"/>
      <c r="N61" s="102" t="n"/>
      <c r="O61" s="102" t="n"/>
      <c r="P61" s="102" t="n"/>
      <c r="Q61" s="102" t="n"/>
      <c r="R61" s="102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 t="n"/>
      <c r="AD61" s="102" t="n"/>
      <c r="AE61" s="102" t="n"/>
      <c r="AF61" s="102" t="n"/>
      <c r="AG61" s="102" t="n"/>
      <c r="AH61" s="102" t="n"/>
      <c r="AI61" s="102" t="n"/>
      <c r="AJ61" s="102" t="n"/>
      <c r="AK61" s="102" t="n"/>
      <c r="AL61" s="102" t="n"/>
      <c r="AM61" s="102" t="n"/>
      <c r="AN61" s="102" t="n"/>
      <c r="AO61" s="102" t="n"/>
      <c r="AP61" s="102" t="n"/>
      <c r="AQ61" s="102" t="n"/>
      <c r="AR61" s="102" t="n"/>
    </row>
    <row r="62">
      <c r="D62" s="102" t="n"/>
      <c r="E62" s="102" t="n"/>
      <c r="F62" s="102" t="n"/>
      <c r="G62" s="102" t="n"/>
      <c r="H62" s="102" t="n"/>
      <c r="I62" s="102" t="n"/>
      <c r="J62" s="102" t="n"/>
      <c r="K62" s="102" t="n"/>
      <c r="L62" s="102" t="n"/>
      <c r="M62" s="102" t="n"/>
      <c r="N62" s="102" t="n"/>
      <c r="O62" s="102" t="n"/>
      <c r="P62" s="102" t="n"/>
      <c r="Q62" s="102" t="n"/>
      <c r="R62" s="102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 t="n"/>
      <c r="AD62" s="102" t="n"/>
      <c r="AE62" s="102" t="n"/>
      <c r="AF62" s="102" t="n"/>
      <c r="AG62" s="102" t="n"/>
      <c r="AH62" s="102" t="n"/>
      <c r="AI62" s="102" t="n"/>
      <c r="AJ62" s="102" t="n"/>
      <c r="AK62" s="102" t="n"/>
      <c r="AL62" s="102" t="n"/>
      <c r="AM62" s="102" t="n"/>
      <c r="AN62" s="102" t="n"/>
      <c r="AO62" s="102" t="n"/>
      <c r="AP62" s="102" t="n"/>
      <c r="AQ62" s="102" t="n"/>
      <c r="AR62" s="102" t="n"/>
    </row>
    <row r="63">
      <c r="D63" s="103" t="n"/>
      <c r="E63" s="103" t="n"/>
      <c r="F63" s="103" t="n"/>
      <c r="G63" s="103" t="n"/>
      <c r="H63" s="103" t="n"/>
      <c r="I63" s="103" t="n"/>
      <c r="J63" s="103" t="n"/>
      <c r="K63" s="103" t="n"/>
      <c r="L63" s="103" t="n"/>
      <c r="M63" s="103" t="n"/>
      <c r="N63" s="103" t="n"/>
      <c r="O63" s="103" t="n"/>
      <c r="P63" s="103" t="n"/>
      <c r="Q63" s="103" t="n"/>
      <c r="R63" s="103" t="n"/>
      <c r="S63" s="103" t="n"/>
      <c r="T63" s="103" t="n"/>
      <c r="U63" s="103" t="n"/>
      <c r="V63" s="103" t="n"/>
      <c r="W63" s="103" t="n"/>
      <c r="X63" s="103" t="n"/>
      <c r="Y63" s="103" t="n"/>
      <c r="Z63" s="103" t="n"/>
      <c r="AA63" s="103" t="n"/>
      <c r="AB63" s="103" t="n"/>
      <c r="AC63" s="103" t="n"/>
      <c r="AD63" s="103" t="n"/>
      <c r="AE63" s="103" t="n"/>
      <c r="AF63" s="103" t="n"/>
      <c r="AG63" s="103" t="n"/>
      <c r="AH63" s="103" t="n"/>
      <c r="AI63" s="103" t="n"/>
      <c r="AJ63" s="103" t="n"/>
      <c r="AK63" s="103" t="n"/>
      <c r="AL63" s="103" t="n"/>
      <c r="AM63" s="103" t="n"/>
      <c r="AN63" s="103" t="n"/>
      <c r="AO63" s="103" t="n"/>
      <c r="AP63" s="103" t="n"/>
      <c r="AQ63" s="103" t="n"/>
      <c r="AR63" s="103" t="n"/>
    </row>
    <row r="65">
      <c r="A65" s="8">
        <f>IF(HSI!$C$12="","",HSI!$C$12)</f>
        <v/>
      </c>
      <c r="B65" s="99">
        <f>IF($A65="",0,COUNT($E66:$AR66))</f>
        <v/>
      </c>
      <c r="C65" s="100">
        <f>IF($B65=0,0,MAX($E66:$AR66))</f>
        <v/>
      </c>
      <c r="D65" s="101">
        <f>BDS($A65,FLD_HIST,"headers=y","startcol=1","endcol=7","dir=h","DVD_START_DT",HIST_FROM,"DVD_END_DT",HIST_TO)</f>
        <v/>
      </c>
      <c r="E65" s="102" t="n"/>
      <c r="F65" s="102" t="n"/>
      <c r="G65" s="102" t="n"/>
      <c r="H65" s="102" t="n"/>
      <c r="I65" s="102" t="n"/>
      <c r="J65" s="102" t="n"/>
      <c r="K65" s="102" t="n"/>
      <c r="L65" s="102" t="n"/>
      <c r="M65" s="102" t="n"/>
      <c r="N65" s="102" t="n"/>
      <c r="O65" s="102" t="n"/>
      <c r="P65" s="102" t="n"/>
      <c r="Q65" s="102" t="n"/>
      <c r="R65" s="102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 t="n"/>
      <c r="AD65" s="102" t="n"/>
      <c r="AE65" s="102" t="n"/>
      <c r="AF65" s="102" t="n"/>
      <c r="AG65" s="102" t="n"/>
      <c r="AH65" s="102" t="n"/>
      <c r="AI65" s="102" t="n"/>
      <c r="AJ65" s="102" t="n"/>
      <c r="AK65" s="102" t="n"/>
      <c r="AL65" s="102" t="n"/>
      <c r="AM65" s="102" t="n"/>
      <c r="AN65" s="102" t="n"/>
      <c r="AO65" s="102" t="n"/>
      <c r="AP65" s="102" t="n"/>
      <c r="AQ65" s="102" t="n"/>
      <c r="AR65" s="102" t="n"/>
    </row>
    <row r="66">
      <c r="D66" s="102" t="n"/>
      <c r="E66" s="102" t="n"/>
      <c r="F66" s="102" t="n"/>
      <c r="G66" s="102" t="n"/>
      <c r="H66" s="102" t="n"/>
      <c r="I66" s="102" t="n"/>
      <c r="J66" s="102" t="n"/>
      <c r="K66" s="102" t="n"/>
      <c r="L66" s="102" t="n"/>
      <c r="M66" s="102" t="n"/>
      <c r="N66" s="102" t="n"/>
      <c r="O66" s="102" t="n"/>
      <c r="P66" s="102" t="n"/>
      <c r="Q66" s="102" t="n"/>
      <c r="R66" s="102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 t="n"/>
      <c r="AD66" s="102" t="n"/>
      <c r="AE66" s="102" t="n"/>
      <c r="AF66" s="102" t="n"/>
      <c r="AG66" s="102" t="n"/>
      <c r="AH66" s="102" t="n"/>
      <c r="AI66" s="102" t="n"/>
      <c r="AJ66" s="102" t="n"/>
      <c r="AK66" s="102" t="n"/>
      <c r="AL66" s="102" t="n"/>
      <c r="AM66" s="102" t="n"/>
      <c r="AN66" s="102" t="n"/>
      <c r="AO66" s="102" t="n"/>
      <c r="AP66" s="102" t="n"/>
      <c r="AQ66" s="102" t="n"/>
      <c r="AR66" s="102" t="n"/>
    </row>
    <row r="67">
      <c r="D67" s="102" t="n"/>
      <c r="E67" s="102" t="n"/>
      <c r="F67" s="102" t="n"/>
      <c r="G67" s="102" t="n"/>
      <c r="H67" s="102" t="n"/>
      <c r="I67" s="102" t="n"/>
      <c r="J67" s="102" t="n"/>
      <c r="K67" s="102" t="n"/>
      <c r="L67" s="102" t="n"/>
      <c r="M67" s="102" t="n"/>
      <c r="N67" s="102" t="n"/>
      <c r="O67" s="102" t="n"/>
      <c r="P67" s="102" t="n"/>
      <c r="Q67" s="102" t="n"/>
      <c r="R67" s="102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 t="n"/>
      <c r="AD67" s="102" t="n"/>
      <c r="AE67" s="102" t="n"/>
      <c r="AF67" s="102" t="n"/>
      <c r="AG67" s="102" t="n"/>
      <c r="AH67" s="102" t="n"/>
      <c r="AI67" s="102" t="n"/>
      <c r="AJ67" s="102" t="n"/>
      <c r="AK67" s="102" t="n"/>
      <c r="AL67" s="102" t="n"/>
      <c r="AM67" s="102" t="n"/>
      <c r="AN67" s="102" t="n"/>
      <c r="AO67" s="102" t="n"/>
      <c r="AP67" s="102" t="n"/>
      <c r="AQ67" s="102" t="n"/>
      <c r="AR67" s="102" t="n"/>
    </row>
    <row r="68">
      <c r="D68" s="102" t="n"/>
      <c r="E68" s="102" t="n"/>
      <c r="F68" s="102" t="n"/>
      <c r="G68" s="102" t="n"/>
      <c r="H68" s="102" t="n"/>
      <c r="I68" s="102" t="n"/>
      <c r="J68" s="102" t="n"/>
      <c r="K68" s="102" t="n"/>
      <c r="L68" s="102" t="n"/>
      <c r="M68" s="102" t="n"/>
      <c r="N68" s="102" t="n"/>
      <c r="O68" s="102" t="n"/>
      <c r="P68" s="102" t="n"/>
      <c r="Q68" s="102" t="n"/>
      <c r="R68" s="102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 t="n"/>
      <c r="AD68" s="102" t="n"/>
      <c r="AE68" s="102" t="n"/>
      <c r="AF68" s="102" t="n"/>
      <c r="AG68" s="102" t="n"/>
      <c r="AH68" s="102" t="n"/>
      <c r="AI68" s="102" t="n"/>
      <c r="AJ68" s="102" t="n"/>
      <c r="AK68" s="102" t="n"/>
      <c r="AL68" s="102" t="n"/>
      <c r="AM68" s="102" t="n"/>
      <c r="AN68" s="102" t="n"/>
      <c r="AO68" s="102" t="n"/>
      <c r="AP68" s="102" t="n"/>
      <c r="AQ68" s="102" t="n"/>
      <c r="AR68" s="102" t="n"/>
    </row>
    <row r="69">
      <c r="D69" s="103" t="n"/>
      <c r="E69" s="103" t="n"/>
      <c r="F69" s="103" t="n"/>
      <c r="G69" s="103" t="n"/>
      <c r="H69" s="103" t="n"/>
      <c r="I69" s="103" t="n"/>
      <c r="J69" s="103" t="n"/>
      <c r="K69" s="103" t="n"/>
      <c r="L69" s="103" t="n"/>
      <c r="M69" s="103" t="n"/>
      <c r="N69" s="103" t="n"/>
      <c r="O69" s="103" t="n"/>
      <c r="P69" s="103" t="n"/>
      <c r="Q69" s="103" t="n"/>
      <c r="R69" s="103" t="n"/>
      <c r="S69" s="103" t="n"/>
      <c r="T69" s="103" t="n"/>
      <c r="U69" s="103" t="n"/>
      <c r="V69" s="103" t="n"/>
      <c r="W69" s="103" t="n"/>
      <c r="X69" s="103" t="n"/>
      <c r="Y69" s="103" t="n"/>
      <c r="Z69" s="103" t="n"/>
      <c r="AA69" s="103" t="n"/>
      <c r="AB69" s="103" t="n"/>
      <c r="AC69" s="103" t="n"/>
      <c r="AD69" s="103" t="n"/>
      <c r="AE69" s="103" t="n"/>
      <c r="AF69" s="103" t="n"/>
      <c r="AG69" s="103" t="n"/>
      <c r="AH69" s="103" t="n"/>
      <c r="AI69" s="103" t="n"/>
      <c r="AJ69" s="103" t="n"/>
      <c r="AK69" s="103" t="n"/>
      <c r="AL69" s="103" t="n"/>
      <c r="AM69" s="103" t="n"/>
      <c r="AN69" s="103" t="n"/>
      <c r="AO69" s="103" t="n"/>
      <c r="AP69" s="103" t="n"/>
      <c r="AQ69" s="103" t="n"/>
      <c r="AR69" s="103" t="n"/>
    </row>
    <row r="72">
      <c r="A72" s="2">
        <f>IF($A65="","","   projections")</f>
        <v/>
      </c>
      <c r="B72" s="99">
        <f>IF($A65="",0,COUNT($E73:$AR73))</f>
        <v/>
      </c>
      <c r="C72" s="100">
        <f>IF($B72=0,0,MAX($E73:$AR73))</f>
        <v/>
      </c>
      <c r="D72" s="101">
        <f>BDS($A65,FLD_PROJ,"headers=y","startcol=1","endcol=3","dir=h")</f>
        <v/>
      </c>
      <c r="E72" s="102" t="n"/>
      <c r="F72" s="102" t="n"/>
      <c r="G72" s="102" t="n"/>
      <c r="H72" s="102" t="n"/>
      <c r="I72" s="102" t="n"/>
      <c r="J72" s="102" t="n"/>
      <c r="K72" s="102" t="n"/>
      <c r="L72" s="102" t="n"/>
      <c r="M72" s="102" t="n"/>
      <c r="N72" s="102" t="n"/>
      <c r="O72" s="102" t="n"/>
      <c r="P72" s="102" t="n"/>
      <c r="Q72" s="102" t="n"/>
      <c r="R72" s="102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 t="n"/>
      <c r="AD72" s="102" t="n"/>
      <c r="AE72" s="102" t="n"/>
      <c r="AF72" s="102" t="n"/>
      <c r="AG72" s="102" t="n"/>
      <c r="AH72" s="102" t="n"/>
      <c r="AI72" s="102" t="n"/>
      <c r="AJ72" s="102" t="n"/>
      <c r="AK72" s="102" t="n"/>
      <c r="AL72" s="102" t="n"/>
      <c r="AM72" s="102" t="n"/>
      <c r="AN72" s="102" t="n"/>
      <c r="AO72" s="102" t="n"/>
      <c r="AP72" s="102" t="n"/>
      <c r="AQ72" s="102" t="n"/>
      <c r="AR72" s="102" t="n"/>
    </row>
    <row r="73">
      <c r="D73" s="102" t="n"/>
      <c r="E73" s="102" t="n"/>
      <c r="F73" s="102" t="n"/>
      <c r="G73" s="102" t="n"/>
      <c r="H73" s="102" t="n"/>
      <c r="I73" s="102" t="n"/>
      <c r="J73" s="102" t="n"/>
      <c r="K73" s="102" t="n"/>
      <c r="L73" s="102" t="n"/>
      <c r="M73" s="102" t="n"/>
      <c r="N73" s="102" t="n"/>
      <c r="O73" s="102" t="n"/>
      <c r="P73" s="102" t="n"/>
      <c r="Q73" s="102" t="n"/>
      <c r="R73" s="102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 t="n"/>
      <c r="AD73" s="102" t="n"/>
      <c r="AE73" s="102" t="n"/>
      <c r="AF73" s="102" t="n"/>
      <c r="AG73" s="102" t="n"/>
      <c r="AH73" s="102" t="n"/>
      <c r="AI73" s="102" t="n"/>
      <c r="AJ73" s="102" t="n"/>
      <c r="AK73" s="102" t="n"/>
      <c r="AL73" s="102" t="n"/>
      <c r="AM73" s="102" t="n"/>
      <c r="AN73" s="102" t="n"/>
      <c r="AO73" s="102" t="n"/>
      <c r="AP73" s="102" t="n"/>
      <c r="AQ73" s="102" t="n"/>
      <c r="AR73" s="102" t="n"/>
    </row>
    <row r="74">
      <c r="D74" s="103" t="n"/>
      <c r="E74" s="103" t="n"/>
      <c r="F74" s="103" t="n"/>
      <c r="G74" s="103" t="n"/>
      <c r="H74" s="103" t="n"/>
      <c r="I74" s="103" t="n"/>
      <c r="J74" s="103" t="n"/>
      <c r="K74" s="103" t="n"/>
      <c r="L74" s="103" t="n"/>
      <c r="M74" s="103" t="n"/>
      <c r="N74" s="103" t="n"/>
      <c r="O74" s="103" t="n"/>
      <c r="P74" s="103" t="n"/>
      <c r="Q74" s="103" t="n"/>
      <c r="R74" s="103" t="n"/>
      <c r="S74" s="103" t="n"/>
      <c r="T74" s="103" t="n"/>
      <c r="U74" s="103" t="n"/>
      <c r="V74" s="103" t="n"/>
      <c r="W74" s="103" t="n"/>
      <c r="X74" s="103" t="n"/>
      <c r="Y74" s="103" t="n"/>
      <c r="Z74" s="103" t="n"/>
      <c r="AA74" s="103" t="n"/>
      <c r="AB74" s="103" t="n"/>
      <c r="AC74" s="103" t="n"/>
      <c r="AD74" s="103" t="n"/>
      <c r="AE74" s="103" t="n"/>
      <c r="AF74" s="103" t="n"/>
      <c r="AG74" s="103" t="n"/>
      <c r="AH74" s="103" t="n"/>
      <c r="AI74" s="103" t="n"/>
      <c r="AJ74" s="103" t="n"/>
      <c r="AK74" s="103" t="n"/>
      <c r="AL74" s="103" t="n"/>
      <c r="AM74" s="103" t="n"/>
      <c r="AN74" s="103" t="n"/>
      <c r="AO74" s="103" t="n"/>
      <c r="AP74" s="103" t="n"/>
      <c r="AQ74" s="103" t="n"/>
      <c r="AR74" s="103" t="n"/>
    </row>
    <row r="76">
      <c r="A76" s="8">
        <f>IF(HSI!$C$13="","",HSI!$C$13)</f>
        <v/>
      </c>
      <c r="B76" s="99">
        <f>IF($A76="",0,COUNT($E77:$AR77))</f>
        <v/>
      </c>
      <c r="C76" s="100">
        <f>IF($B76=0,0,MAX($E77:$AR77))</f>
        <v/>
      </c>
      <c r="D76" s="101">
        <f>BDS($A76,FLD_HIST,"headers=y","startcol=1","endcol=7","dir=h","DVD_START_DT",HIST_FROM,"DVD_END_DT",HIST_TO)</f>
        <v/>
      </c>
      <c r="E76" s="102" t="n"/>
      <c r="F76" s="102" t="n"/>
      <c r="G76" s="102" t="n"/>
      <c r="H76" s="102" t="n"/>
      <c r="I76" s="102" t="n"/>
      <c r="J76" s="102" t="n"/>
      <c r="K76" s="102" t="n"/>
      <c r="L76" s="102" t="n"/>
      <c r="M76" s="102" t="n"/>
      <c r="N76" s="102" t="n"/>
      <c r="O76" s="102" t="n"/>
      <c r="P76" s="102" t="n"/>
      <c r="Q76" s="102" t="n"/>
      <c r="R76" s="102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 t="n"/>
      <c r="AD76" s="102" t="n"/>
      <c r="AE76" s="102" t="n"/>
      <c r="AF76" s="102" t="n"/>
      <c r="AG76" s="102" t="n"/>
      <c r="AH76" s="102" t="n"/>
      <c r="AI76" s="102" t="n"/>
      <c r="AJ76" s="102" t="n"/>
      <c r="AK76" s="102" t="n"/>
      <c r="AL76" s="102" t="n"/>
      <c r="AM76" s="102" t="n"/>
      <c r="AN76" s="102" t="n"/>
      <c r="AO76" s="102" t="n"/>
      <c r="AP76" s="102" t="n"/>
      <c r="AQ76" s="102" t="n"/>
      <c r="AR76" s="102" t="n"/>
    </row>
    <row r="77">
      <c r="D77" s="102" t="n"/>
      <c r="E77" s="102" t="n"/>
      <c r="F77" s="102" t="n"/>
      <c r="G77" s="102" t="n"/>
      <c r="H77" s="102" t="n"/>
      <c r="I77" s="102" t="n"/>
      <c r="J77" s="102" t="n"/>
      <c r="K77" s="102" t="n"/>
      <c r="L77" s="102" t="n"/>
      <c r="M77" s="102" t="n"/>
      <c r="N77" s="102" t="n"/>
      <c r="O77" s="102" t="n"/>
      <c r="P77" s="102" t="n"/>
      <c r="Q77" s="102" t="n"/>
      <c r="R77" s="102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 t="n"/>
      <c r="AD77" s="102" t="n"/>
      <c r="AE77" s="102" t="n"/>
      <c r="AF77" s="102" t="n"/>
      <c r="AG77" s="102" t="n"/>
      <c r="AH77" s="102" t="n"/>
      <c r="AI77" s="102" t="n"/>
      <c r="AJ77" s="102" t="n"/>
      <c r="AK77" s="102" t="n"/>
      <c r="AL77" s="102" t="n"/>
      <c r="AM77" s="102" t="n"/>
      <c r="AN77" s="102" t="n"/>
      <c r="AO77" s="102" t="n"/>
      <c r="AP77" s="102" t="n"/>
      <c r="AQ77" s="102" t="n"/>
      <c r="AR77" s="102" t="n"/>
    </row>
    <row r="78">
      <c r="D78" s="102" t="n"/>
      <c r="E78" s="102" t="n"/>
      <c r="F78" s="102" t="n"/>
      <c r="G78" s="102" t="n"/>
      <c r="H78" s="102" t="n"/>
      <c r="I78" s="102" t="n"/>
      <c r="J78" s="102" t="n"/>
      <c r="K78" s="102" t="n"/>
      <c r="L78" s="102" t="n"/>
      <c r="M78" s="102" t="n"/>
      <c r="N78" s="102" t="n"/>
      <c r="O78" s="102" t="n"/>
      <c r="P78" s="102" t="n"/>
      <c r="Q78" s="102" t="n"/>
      <c r="R78" s="102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 t="n"/>
      <c r="AD78" s="102" t="n"/>
      <c r="AE78" s="102" t="n"/>
      <c r="AF78" s="102" t="n"/>
      <c r="AG78" s="102" t="n"/>
      <c r="AH78" s="102" t="n"/>
      <c r="AI78" s="102" t="n"/>
      <c r="AJ78" s="102" t="n"/>
      <c r="AK78" s="102" t="n"/>
      <c r="AL78" s="102" t="n"/>
      <c r="AM78" s="102" t="n"/>
      <c r="AN78" s="102" t="n"/>
      <c r="AO78" s="102" t="n"/>
      <c r="AP78" s="102" t="n"/>
      <c r="AQ78" s="102" t="n"/>
      <c r="AR78" s="102" t="n"/>
    </row>
    <row r="79">
      <c r="D79" s="102" t="n"/>
      <c r="E79" s="102" t="n"/>
      <c r="F79" s="102" t="n"/>
      <c r="G79" s="102" t="n"/>
      <c r="H79" s="102" t="n"/>
      <c r="I79" s="102" t="n"/>
      <c r="J79" s="102" t="n"/>
      <c r="K79" s="102" t="n"/>
      <c r="L79" s="102" t="n"/>
      <c r="M79" s="102" t="n"/>
      <c r="N79" s="102" t="n"/>
      <c r="O79" s="102" t="n"/>
      <c r="P79" s="102" t="n"/>
      <c r="Q79" s="102" t="n"/>
      <c r="R79" s="102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 t="n"/>
      <c r="AD79" s="102" t="n"/>
      <c r="AE79" s="102" t="n"/>
      <c r="AF79" s="102" t="n"/>
      <c r="AG79" s="102" t="n"/>
      <c r="AH79" s="102" t="n"/>
      <c r="AI79" s="102" t="n"/>
      <c r="AJ79" s="102" t="n"/>
      <c r="AK79" s="102" t="n"/>
      <c r="AL79" s="102" t="n"/>
      <c r="AM79" s="102" t="n"/>
      <c r="AN79" s="102" t="n"/>
      <c r="AO79" s="102" t="n"/>
      <c r="AP79" s="102" t="n"/>
      <c r="AQ79" s="102" t="n"/>
      <c r="AR79" s="102" t="n"/>
    </row>
    <row r="80">
      <c r="D80" s="103" t="n"/>
      <c r="E80" s="103" t="n"/>
      <c r="F80" s="103" t="n"/>
      <c r="G80" s="103" t="n"/>
      <c r="H80" s="103" t="n"/>
      <c r="I80" s="103" t="n"/>
      <c r="J80" s="103" t="n"/>
      <c r="K80" s="103" t="n"/>
      <c r="L80" s="103" t="n"/>
      <c r="M80" s="103" t="n"/>
      <c r="N80" s="103" t="n"/>
      <c r="O80" s="103" t="n"/>
      <c r="P80" s="103" t="n"/>
      <c r="Q80" s="103" t="n"/>
      <c r="R80" s="103" t="n"/>
      <c r="S80" s="103" t="n"/>
      <c r="T80" s="103" t="n"/>
      <c r="U80" s="103" t="n"/>
      <c r="V80" s="103" t="n"/>
      <c r="W80" s="103" t="n"/>
      <c r="X80" s="103" t="n"/>
      <c r="Y80" s="103" t="n"/>
      <c r="Z80" s="103" t="n"/>
      <c r="AA80" s="103" t="n"/>
      <c r="AB80" s="103" t="n"/>
      <c r="AC80" s="103" t="n"/>
      <c r="AD80" s="103" t="n"/>
      <c r="AE80" s="103" t="n"/>
      <c r="AF80" s="103" t="n"/>
      <c r="AG80" s="103" t="n"/>
      <c r="AH80" s="103" t="n"/>
      <c r="AI80" s="103" t="n"/>
      <c r="AJ80" s="103" t="n"/>
      <c r="AK80" s="103" t="n"/>
      <c r="AL80" s="103" t="n"/>
      <c r="AM80" s="103" t="n"/>
      <c r="AN80" s="103" t="n"/>
      <c r="AO80" s="103" t="n"/>
      <c r="AP80" s="103" t="n"/>
      <c r="AQ80" s="103" t="n"/>
      <c r="AR80" s="103" t="n"/>
    </row>
    <row r="83">
      <c r="A83" s="2">
        <f>IF($A76="","","   projections")</f>
        <v/>
      </c>
      <c r="B83" s="99">
        <f>IF($A76="",0,COUNT($E84:$AR84))</f>
        <v/>
      </c>
      <c r="C83" s="100">
        <f>IF($B83=0,0,MAX($E84:$AR84))</f>
        <v/>
      </c>
      <c r="D83" s="101">
        <f>BDS($A76,FLD_PROJ,"headers=y","startcol=1","endcol=3","dir=h")</f>
        <v/>
      </c>
      <c r="E83" s="102" t="n"/>
      <c r="F83" s="102" t="n"/>
      <c r="G83" s="102" t="n"/>
      <c r="H83" s="102" t="n"/>
      <c r="I83" s="102" t="n"/>
      <c r="J83" s="102" t="n"/>
      <c r="K83" s="102" t="n"/>
      <c r="L83" s="102" t="n"/>
      <c r="M83" s="102" t="n"/>
      <c r="N83" s="102" t="n"/>
      <c r="O83" s="102" t="n"/>
      <c r="P83" s="102" t="n"/>
      <c r="Q83" s="102" t="n"/>
      <c r="R83" s="102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 t="n"/>
      <c r="AD83" s="102" t="n"/>
      <c r="AE83" s="102" t="n"/>
      <c r="AF83" s="102" t="n"/>
      <c r="AG83" s="102" t="n"/>
      <c r="AH83" s="102" t="n"/>
      <c r="AI83" s="102" t="n"/>
      <c r="AJ83" s="102" t="n"/>
      <c r="AK83" s="102" t="n"/>
      <c r="AL83" s="102" t="n"/>
      <c r="AM83" s="102" t="n"/>
      <c r="AN83" s="102" t="n"/>
      <c r="AO83" s="102" t="n"/>
      <c r="AP83" s="102" t="n"/>
      <c r="AQ83" s="102" t="n"/>
      <c r="AR83" s="102" t="n"/>
    </row>
    <row r="84">
      <c r="D84" s="102" t="n"/>
      <c r="E84" s="102" t="n"/>
      <c r="F84" s="102" t="n"/>
      <c r="G84" s="102" t="n"/>
      <c r="H84" s="102" t="n"/>
      <c r="I84" s="102" t="n"/>
      <c r="J84" s="102" t="n"/>
      <c r="K84" s="102" t="n"/>
      <c r="L84" s="102" t="n"/>
      <c r="M84" s="102" t="n"/>
      <c r="N84" s="102" t="n"/>
      <c r="O84" s="102" t="n"/>
      <c r="P84" s="102" t="n"/>
      <c r="Q84" s="102" t="n"/>
      <c r="R84" s="102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 t="n"/>
      <c r="AD84" s="102" t="n"/>
      <c r="AE84" s="102" t="n"/>
      <c r="AF84" s="102" t="n"/>
      <c r="AG84" s="102" t="n"/>
      <c r="AH84" s="102" t="n"/>
      <c r="AI84" s="102" t="n"/>
      <c r="AJ84" s="102" t="n"/>
      <c r="AK84" s="102" t="n"/>
      <c r="AL84" s="102" t="n"/>
      <c r="AM84" s="102" t="n"/>
      <c r="AN84" s="102" t="n"/>
      <c r="AO84" s="102" t="n"/>
      <c r="AP84" s="102" t="n"/>
      <c r="AQ84" s="102" t="n"/>
      <c r="AR84" s="102" t="n"/>
    </row>
    <row r="85">
      <c r="D85" s="103" t="n"/>
      <c r="E85" s="103" t="n"/>
      <c r="F85" s="103" t="n"/>
      <c r="G85" s="103" t="n"/>
      <c r="H85" s="103" t="n"/>
      <c r="I85" s="103" t="n"/>
      <c r="J85" s="103" t="n"/>
      <c r="K85" s="103" t="n"/>
      <c r="L85" s="103" t="n"/>
      <c r="M85" s="103" t="n"/>
      <c r="N85" s="103" t="n"/>
      <c r="O85" s="103" t="n"/>
      <c r="P85" s="103" t="n"/>
      <c r="Q85" s="103" t="n"/>
      <c r="R85" s="103" t="n"/>
      <c r="S85" s="103" t="n"/>
      <c r="T85" s="103" t="n"/>
      <c r="U85" s="103" t="n"/>
      <c r="V85" s="103" t="n"/>
      <c r="W85" s="103" t="n"/>
      <c r="X85" s="103" t="n"/>
      <c r="Y85" s="103" t="n"/>
      <c r="Z85" s="103" t="n"/>
      <c r="AA85" s="103" t="n"/>
      <c r="AB85" s="103" t="n"/>
      <c r="AC85" s="103" t="n"/>
      <c r="AD85" s="103" t="n"/>
      <c r="AE85" s="103" t="n"/>
      <c r="AF85" s="103" t="n"/>
      <c r="AG85" s="103" t="n"/>
      <c r="AH85" s="103" t="n"/>
      <c r="AI85" s="103" t="n"/>
      <c r="AJ85" s="103" t="n"/>
      <c r="AK85" s="103" t="n"/>
      <c r="AL85" s="103" t="n"/>
      <c r="AM85" s="103" t="n"/>
      <c r="AN85" s="103" t="n"/>
      <c r="AO85" s="103" t="n"/>
      <c r="AP85" s="103" t="n"/>
      <c r="AQ85" s="103" t="n"/>
      <c r="AR85" s="103" t="n"/>
    </row>
    <row r="87">
      <c r="A87" s="8">
        <f>IF(HSI!$C$14="","",HSI!$C$14)</f>
        <v/>
      </c>
      <c r="B87" s="99">
        <f>IF($A87="",0,COUNT($E88:$AR88))</f>
        <v/>
      </c>
      <c r="C87" s="100">
        <f>IF($B87=0,0,MAX($E88:$AR88))</f>
        <v/>
      </c>
      <c r="D87" s="101">
        <f>BDS($A87,FLD_HIST,"headers=y","startcol=1","endcol=7","dir=h","DVD_START_DT",HIST_FROM,"DVD_END_DT",HIST_TO)</f>
        <v/>
      </c>
      <c r="E87" s="102" t="n"/>
      <c r="F87" s="102" t="n"/>
      <c r="G87" s="102" t="n"/>
      <c r="H87" s="102" t="n"/>
      <c r="I87" s="102" t="n"/>
      <c r="J87" s="102" t="n"/>
      <c r="K87" s="102" t="n"/>
      <c r="L87" s="102" t="n"/>
      <c r="M87" s="102" t="n"/>
      <c r="N87" s="102" t="n"/>
      <c r="O87" s="102" t="n"/>
      <c r="P87" s="102" t="n"/>
      <c r="Q87" s="102" t="n"/>
      <c r="R87" s="102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 t="n"/>
      <c r="AD87" s="102" t="n"/>
      <c r="AE87" s="102" t="n"/>
      <c r="AF87" s="102" t="n"/>
      <c r="AG87" s="102" t="n"/>
      <c r="AH87" s="102" t="n"/>
      <c r="AI87" s="102" t="n"/>
      <c r="AJ87" s="102" t="n"/>
      <c r="AK87" s="102" t="n"/>
      <c r="AL87" s="102" t="n"/>
      <c r="AM87" s="102" t="n"/>
      <c r="AN87" s="102" t="n"/>
      <c r="AO87" s="102" t="n"/>
      <c r="AP87" s="102" t="n"/>
      <c r="AQ87" s="102" t="n"/>
      <c r="AR87" s="102" t="n"/>
    </row>
    <row r="88">
      <c r="D88" s="102" t="n"/>
      <c r="E88" s="102" t="n"/>
      <c r="F88" s="102" t="n"/>
      <c r="G88" s="102" t="n"/>
      <c r="H88" s="102" t="n"/>
      <c r="I88" s="102" t="n"/>
      <c r="J88" s="102" t="n"/>
      <c r="K88" s="102" t="n"/>
      <c r="L88" s="102" t="n"/>
      <c r="M88" s="102" t="n"/>
      <c r="N88" s="102" t="n"/>
      <c r="O88" s="102" t="n"/>
      <c r="P88" s="102" t="n"/>
      <c r="Q88" s="102" t="n"/>
      <c r="R88" s="102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 t="n"/>
      <c r="AD88" s="102" t="n"/>
      <c r="AE88" s="102" t="n"/>
      <c r="AF88" s="102" t="n"/>
      <c r="AG88" s="102" t="n"/>
      <c r="AH88" s="102" t="n"/>
      <c r="AI88" s="102" t="n"/>
      <c r="AJ88" s="102" t="n"/>
      <c r="AK88" s="102" t="n"/>
      <c r="AL88" s="102" t="n"/>
      <c r="AM88" s="102" t="n"/>
      <c r="AN88" s="102" t="n"/>
      <c r="AO88" s="102" t="n"/>
      <c r="AP88" s="102" t="n"/>
      <c r="AQ88" s="102" t="n"/>
      <c r="AR88" s="102" t="n"/>
    </row>
    <row r="89">
      <c r="D89" s="102" t="n"/>
      <c r="E89" s="102" t="n"/>
      <c r="F89" s="102" t="n"/>
      <c r="G89" s="102" t="n"/>
      <c r="H89" s="102" t="n"/>
      <c r="I89" s="102" t="n"/>
      <c r="J89" s="102" t="n"/>
      <c r="K89" s="102" t="n"/>
      <c r="L89" s="102" t="n"/>
      <c r="M89" s="102" t="n"/>
      <c r="N89" s="102" t="n"/>
      <c r="O89" s="102" t="n"/>
      <c r="P89" s="102" t="n"/>
      <c r="Q89" s="102" t="n"/>
      <c r="R89" s="102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 t="n"/>
      <c r="AD89" s="102" t="n"/>
      <c r="AE89" s="102" t="n"/>
      <c r="AF89" s="102" t="n"/>
      <c r="AG89" s="102" t="n"/>
      <c r="AH89" s="102" t="n"/>
      <c r="AI89" s="102" t="n"/>
      <c r="AJ89" s="102" t="n"/>
      <c r="AK89" s="102" t="n"/>
      <c r="AL89" s="102" t="n"/>
      <c r="AM89" s="102" t="n"/>
      <c r="AN89" s="102" t="n"/>
      <c r="AO89" s="102" t="n"/>
      <c r="AP89" s="102" t="n"/>
      <c r="AQ89" s="102" t="n"/>
      <c r="AR89" s="102" t="n"/>
    </row>
    <row r="90">
      <c r="D90" s="102" t="n"/>
      <c r="E90" s="102" t="n"/>
      <c r="F90" s="102" t="n"/>
      <c r="G90" s="102" t="n"/>
      <c r="H90" s="102" t="n"/>
      <c r="I90" s="102" t="n"/>
      <c r="J90" s="102" t="n"/>
      <c r="K90" s="102" t="n"/>
      <c r="L90" s="102" t="n"/>
      <c r="M90" s="102" t="n"/>
      <c r="N90" s="102" t="n"/>
      <c r="O90" s="102" t="n"/>
      <c r="P90" s="102" t="n"/>
      <c r="Q90" s="102" t="n"/>
      <c r="R90" s="102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 t="n"/>
      <c r="AD90" s="102" t="n"/>
      <c r="AE90" s="102" t="n"/>
      <c r="AF90" s="102" t="n"/>
      <c r="AG90" s="102" t="n"/>
      <c r="AH90" s="102" t="n"/>
      <c r="AI90" s="102" t="n"/>
      <c r="AJ90" s="102" t="n"/>
      <c r="AK90" s="102" t="n"/>
      <c r="AL90" s="102" t="n"/>
      <c r="AM90" s="102" t="n"/>
      <c r="AN90" s="102" t="n"/>
      <c r="AO90" s="102" t="n"/>
      <c r="AP90" s="102" t="n"/>
      <c r="AQ90" s="102" t="n"/>
      <c r="AR90" s="102" t="n"/>
    </row>
    <row r="91">
      <c r="D91" s="103" t="n"/>
      <c r="E91" s="103" t="n"/>
      <c r="F91" s="103" t="n"/>
      <c r="G91" s="103" t="n"/>
      <c r="H91" s="103" t="n"/>
      <c r="I91" s="103" t="n"/>
      <c r="J91" s="103" t="n"/>
      <c r="K91" s="103" t="n"/>
      <c r="L91" s="103" t="n"/>
      <c r="M91" s="103" t="n"/>
      <c r="N91" s="103" t="n"/>
      <c r="O91" s="103" t="n"/>
      <c r="P91" s="103" t="n"/>
      <c r="Q91" s="103" t="n"/>
      <c r="R91" s="103" t="n"/>
      <c r="S91" s="103" t="n"/>
      <c r="T91" s="103" t="n"/>
      <c r="U91" s="103" t="n"/>
      <c r="V91" s="103" t="n"/>
      <c r="W91" s="103" t="n"/>
      <c r="X91" s="103" t="n"/>
      <c r="Y91" s="103" t="n"/>
      <c r="Z91" s="103" t="n"/>
      <c r="AA91" s="103" t="n"/>
      <c r="AB91" s="103" t="n"/>
      <c r="AC91" s="103" t="n"/>
      <c r="AD91" s="103" t="n"/>
      <c r="AE91" s="103" t="n"/>
      <c r="AF91" s="103" t="n"/>
      <c r="AG91" s="103" t="n"/>
      <c r="AH91" s="103" t="n"/>
      <c r="AI91" s="103" t="n"/>
      <c r="AJ91" s="103" t="n"/>
      <c r="AK91" s="103" t="n"/>
      <c r="AL91" s="103" t="n"/>
      <c r="AM91" s="103" t="n"/>
      <c r="AN91" s="103" t="n"/>
      <c r="AO91" s="103" t="n"/>
      <c r="AP91" s="103" t="n"/>
      <c r="AQ91" s="103" t="n"/>
      <c r="AR91" s="103" t="n"/>
    </row>
    <row r="94">
      <c r="A94" s="2">
        <f>IF($A87="","","   projections")</f>
        <v/>
      </c>
      <c r="B94" s="99">
        <f>IF($A87="",0,COUNT($E95:$AR95))</f>
        <v/>
      </c>
      <c r="C94" s="100">
        <f>IF($B94=0,0,MAX($E95:$AR95))</f>
        <v/>
      </c>
      <c r="D94" s="101">
        <f>BDS($A87,FLD_PROJ,"headers=y","startcol=1","endcol=3","dir=h")</f>
        <v/>
      </c>
      <c r="E94" s="102" t="n"/>
      <c r="F94" s="102" t="n"/>
      <c r="G94" s="102" t="n"/>
      <c r="H94" s="102" t="n"/>
      <c r="I94" s="102" t="n"/>
      <c r="J94" s="102" t="n"/>
      <c r="K94" s="102" t="n"/>
      <c r="L94" s="102" t="n"/>
      <c r="M94" s="102" t="n"/>
      <c r="N94" s="102" t="n"/>
      <c r="O94" s="102" t="n"/>
      <c r="P94" s="102" t="n"/>
      <c r="Q94" s="102" t="n"/>
      <c r="R94" s="102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 t="n"/>
      <c r="AD94" s="102" t="n"/>
      <c r="AE94" s="102" t="n"/>
      <c r="AF94" s="102" t="n"/>
      <c r="AG94" s="102" t="n"/>
      <c r="AH94" s="102" t="n"/>
      <c r="AI94" s="102" t="n"/>
      <c r="AJ94" s="102" t="n"/>
      <c r="AK94" s="102" t="n"/>
      <c r="AL94" s="102" t="n"/>
      <c r="AM94" s="102" t="n"/>
      <c r="AN94" s="102" t="n"/>
      <c r="AO94" s="102" t="n"/>
      <c r="AP94" s="102" t="n"/>
      <c r="AQ94" s="102" t="n"/>
      <c r="AR94" s="102" t="n"/>
    </row>
    <row r="95">
      <c r="D95" s="102" t="n"/>
      <c r="E95" s="102" t="n"/>
      <c r="F95" s="102" t="n"/>
      <c r="G95" s="102" t="n"/>
      <c r="H95" s="102" t="n"/>
      <c r="I95" s="102" t="n"/>
      <c r="J95" s="102" t="n"/>
      <c r="K95" s="102" t="n"/>
      <c r="L95" s="102" t="n"/>
      <c r="M95" s="102" t="n"/>
      <c r="N95" s="102" t="n"/>
      <c r="O95" s="102" t="n"/>
      <c r="P95" s="102" t="n"/>
      <c r="Q95" s="102" t="n"/>
      <c r="R95" s="102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 t="n"/>
      <c r="AD95" s="102" t="n"/>
      <c r="AE95" s="102" t="n"/>
      <c r="AF95" s="102" t="n"/>
      <c r="AG95" s="102" t="n"/>
      <c r="AH95" s="102" t="n"/>
      <c r="AI95" s="102" t="n"/>
      <c r="AJ95" s="102" t="n"/>
      <c r="AK95" s="102" t="n"/>
      <c r="AL95" s="102" t="n"/>
      <c r="AM95" s="102" t="n"/>
      <c r="AN95" s="102" t="n"/>
      <c r="AO95" s="102" t="n"/>
      <c r="AP95" s="102" t="n"/>
      <c r="AQ95" s="102" t="n"/>
      <c r="AR95" s="102" t="n"/>
    </row>
    <row r="96">
      <c r="D96" s="103" t="n"/>
      <c r="E96" s="103" t="n"/>
      <c r="F96" s="103" t="n"/>
      <c r="G96" s="103" t="n"/>
      <c r="H96" s="103" t="n"/>
      <c r="I96" s="103" t="n"/>
      <c r="J96" s="103" t="n"/>
      <c r="K96" s="103" t="n"/>
      <c r="L96" s="103" t="n"/>
      <c r="M96" s="103" t="n"/>
      <c r="N96" s="103" t="n"/>
      <c r="O96" s="103" t="n"/>
      <c r="P96" s="103" t="n"/>
      <c r="Q96" s="103" t="n"/>
      <c r="R96" s="103" t="n"/>
      <c r="S96" s="103" t="n"/>
      <c r="T96" s="103" t="n"/>
      <c r="U96" s="103" t="n"/>
      <c r="V96" s="103" t="n"/>
      <c r="W96" s="103" t="n"/>
      <c r="X96" s="103" t="n"/>
      <c r="Y96" s="103" t="n"/>
      <c r="Z96" s="103" t="n"/>
      <c r="AA96" s="103" t="n"/>
      <c r="AB96" s="103" t="n"/>
      <c r="AC96" s="103" t="n"/>
      <c r="AD96" s="103" t="n"/>
      <c r="AE96" s="103" t="n"/>
      <c r="AF96" s="103" t="n"/>
      <c r="AG96" s="103" t="n"/>
      <c r="AH96" s="103" t="n"/>
      <c r="AI96" s="103" t="n"/>
      <c r="AJ96" s="103" t="n"/>
      <c r="AK96" s="103" t="n"/>
      <c r="AL96" s="103" t="n"/>
      <c r="AM96" s="103" t="n"/>
      <c r="AN96" s="103" t="n"/>
      <c r="AO96" s="103" t="n"/>
      <c r="AP96" s="103" t="n"/>
      <c r="AQ96" s="103" t="n"/>
      <c r="AR96" s="103" t="n"/>
    </row>
    <row r="98">
      <c r="A98" s="8">
        <f>IF(HSI!$C$15="","",HSI!$C$15)</f>
        <v/>
      </c>
      <c r="B98" s="99">
        <f>IF($A98="",0,COUNT($E99:$AR99))</f>
        <v/>
      </c>
      <c r="C98" s="100">
        <f>IF($B98=0,0,MAX($E99:$AR99))</f>
        <v/>
      </c>
      <c r="D98" s="101">
        <f>BDS($A98,FLD_HIST,"headers=y","startcol=1","endcol=7","dir=h","DVD_START_DT",HIST_FROM,"DVD_END_DT",HIST_TO)</f>
        <v/>
      </c>
      <c r="E98" s="102" t="n"/>
      <c r="F98" s="102" t="n"/>
      <c r="G98" s="102" t="n"/>
      <c r="H98" s="102" t="n"/>
      <c r="I98" s="102" t="n"/>
      <c r="J98" s="102" t="n"/>
      <c r="K98" s="102" t="n"/>
      <c r="L98" s="102" t="n"/>
      <c r="M98" s="102" t="n"/>
      <c r="N98" s="102" t="n"/>
      <c r="O98" s="102" t="n"/>
      <c r="P98" s="102" t="n"/>
      <c r="Q98" s="102" t="n"/>
      <c r="R98" s="102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 t="n"/>
      <c r="AD98" s="102" t="n"/>
      <c r="AE98" s="102" t="n"/>
      <c r="AF98" s="102" t="n"/>
      <c r="AG98" s="102" t="n"/>
      <c r="AH98" s="102" t="n"/>
      <c r="AI98" s="102" t="n"/>
      <c r="AJ98" s="102" t="n"/>
      <c r="AK98" s="102" t="n"/>
      <c r="AL98" s="102" t="n"/>
      <c r="AM98" s="102" t="n"/>
      <c r="AN98" s="102" t="n"/>
      <c r="AO98" s="102" t="n"/>
      <c r="AP98" s="102" t="n"/>
      <c r="AQ98" s="102" t="n"/>
      <c r="AR98" s="102" t="n"/>
    </row>
    <row r="99">
      <c r="D99" s="102" t="n"/>
      <c r="E99" s="102" t="n"/>
      <c r="F99" s="102" t="n"/>
      <c r="G99" s="102" t="n"/>
      <c r="H99" s="102" t="n"/>
      <c r="I99" s="102" t="n"/>
      <c r="J99" s="102" t="n"/>
      <c r="K99" s="102" t="n"/>
      <c r="L99" s="102" t="n"/>
      <c r="M99" s="102" t="n"/>
      <c r="N99" s="102" t="n"/>
      <c r="O99" s="102" t="n"/>
      <c r="P99" s="102" t="n"/>
      <c r="Q99" s="102" t="n"/>
      <c r="R99" s="102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 t="n"/>
      <c r="AD99" s="102" t="n"/>
      <c r="AE99" s="102" t="n"/>
      <c r="AF99" s="102" t="n"/>
      <c r="AG99" s="102" t="n"/>
      <c r="AH99" s="102" t="n"/>
      <c r="AI99" s="102" t="n"/>
      <c r="AJ99" s="102" t="n"/>
      <c r="AK99" s="102" t="n"/>
      <c r="AL99" s="102" t="n"/>
      <c r="AM99" s="102" t="n"/>
      <c r="AN99" s="102" t="n"/>
      <c r="AO99" s="102" t="n"/>
      <c r="AP99" s="102" t="n"/>
      <c r="AQ99" s="102" t="n"/>
      <c r="AR99" s="102" t="n"/>
    </row>
    <row r="100">
      <c r="D100" s="102" t="n"/>
      <c r="E100" s="102" t="n"/>
      <c r="F100" s="102" t="n"/>
      <c r="G100" s="102" t="n"/>
      <c r="H100" s="102" t="n"/>
      <c r="I100" s="102" t="n"/>
      <c r="J100" s="102" t="n"/>
      <c r="K100" s="102" t="n"/>
      <c r="L100" s="102" t="n"/>
      <c r="M100" s="102" t="n"/>
      <c r="N100" s="102" t="n"/>
      <c r="O100" s="102" t="n"/>
      <c r="P100" s="102" t="n"/>
      <c r="Q100" s="102" t="n"/>
      <c r="R100" s="102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 t="n"/>
      <c r="AD100" s="102" t="n"/>
      <c r="AE100" s="102" t="n"/>
      <c r="AF100" s="102" t="n"/>
      <c r="AG100" s="102" t="n"/>
      <c r="AH100" s="102" t="n"/>
      <c r="AI100" s="102" t="n"/>
      <c r="AJ100" s="102" t="n"/>
      <c r="AK100" s="102" t="n"/>
      <c r="AL100" s="102" t="n"/>
      <c r="AM100" s="102" t="n"/>
      <c r="AN100" s="102" t="n"/>
      <c r="AO100" s="102" t="n"/>
      <c r="AP100" s="102" t="n"/>
      <c r="AQ100" s="102" t="n"/>
      <c r="AR100" s="102" t="n"/>
    </row>
    <row r="101">
      <c r="D101" s="102" t="n"/>
      <c r="E101" s="102" t="n"/>
      <c r="F101" s="102" t="n"/>
      <c r="G101" s="102" t="n"/>
      <c r="H101" s="102" t="n"/>
      <c r="I101" s="102" t="n"/>
      <c r="J101" s="102" t="n"/>
      <c r="K101" s="102" t="n"/>
      <c r="L101" s="102" t="n"/>
      <c r="M101" s="102" t="n"/>
      <c r="N101" s="102" t="n"/>
      <c r="O101" s="102" t="n"/>
      <c r="P101" s="102" t="n"/>
      <c r="Q101" s="102" t="n"/>
      <c r="R101" s="102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 t="n"/>
      <c r="AD101" s="102" t="n"/>
      <c r="AE101" s="102" t="n"/>
      <c r="AF101" s="102" t="n"/>
      <c r="AG101" s="102" t="n"/>
      <c r="AH101" s="102" t="n"/>
      <c r="AI101" s="102" t="n"/>
      <c r="AJ101" s="102" t="n"/>
      <c r="AK101" s="102" t="n"/>
      <c r="AL101" s="102" t="n"/>
      <c r="AM101" s="102" t="n"/>
      <c r="AN101" s="102" t="n"/>
      <c r="AO101" s="102" t="n"/>
      <c r="AP101" s="102" t="n"/>
      <c r="AQ101" s="102" t="n"/>
      <c r="AR101" s="102" t="n"/>
    </row>
    <row r="102">
      <c r="D102" s="103" t="n"/>
      <c r="E102" s="103" t="n"/>
      <c r="F102" s="103" t="n"/>
      <c r="G102" s="103" t="n"/>
      <c r="H102" s="103" t="n"/>
      <c r="I102" s="103" t="n"/>
      <c r="J102" s="103" t="n"/>
      <c r="K102" s="103" t="n"/>
      <c r="L102" s="103" t="n"/>
      <c r="M102" s="103" t="n"/>
      <c r="N102" s="103" t="n"/>
      <c r="O102" s="103" t="n"/>
      <c r="P102" s="103" t="n"/>
      <c r="Q102" s="103" t="n"/>
      <c r="R102" s="103" t="n"/>
      <c r="S102" s="103" t="n"/>
      <c r="T102" s="103" t="n"/>
      <c r="U102" s="103" t="n"/>
      <c r="V102" s="103" t="n"/>
      <c r="W102" s="103" t="n"/>
      <c r="X102" s="103" t="n"/>
      <c r="Y102" s="103" t="n"/>
      <c r="Z102" s="103" t="n"/>
      <c r="AA102" s="103" t="n"/>
      <c r="AB102" s="103" t="n"/>
      <c r="AC102" s="103" t="n"/>
      <c r="AD102" s="103" t="n"/>
      <c r="AE102" s="103" t="n"/>
      <c r="AF102" s="103" t="n"/>
      <c r="AG102" s="103" t="n"/>
      <c r="AH102" s="103" t="n"/>
      <c r="AI102" s="103" t="n"/>
      <c r="AJ102" s="103" t="n"/>
      <c r="AK102" s="103" t="n"/>
      <c r="AL102" s="103" t="n"/>
      <c r="AM102" s="103" t="n"/>
      <c r="AN102" s="103" t="n"/>
      <c r="AO102" s="103" t="n"/>
      <c r="AP102" s="103" t="n"/>
      <c r="AQ102" s="103" t="n"/>
      <c r="AR102" s="103" t="n"/>
    </row>
    <row r="105">
      <c r="A105" s="2">
        <f>IF($A98="","","   projections")</f>
        <v/>
      </c>
      <c r="B105" s="99">
        <f>IF($A98="",0,COUNT($E106:$AR106))</f>
        <v/>
      </c>
      <c r="C105" s="100">
        <f>IF($B105=0,0,MAX($E106:$AR106))</f>
        <v/>
      </c>
      <c r="D105" s="101">
        <f>BDS($A98,FLD_PROJ,"headers=y","startcol=1","endcol=3","dir=h")</f>
        <v/>
      </c>
      <c r="E105" s="102" t="n"/>
      <c r="F105" s="102" t="n"/>
      <c r="G105" s="102" t="n"/>
      <c r="H105" s="102" t="n"/>
      <c r="I105" s="102" t="n"/>
      <c r="J105" s="102" t="n"/>
      <c r="K105" s="102" t="n"/>
      <c r="L105" s="102" t="n"/>
      <c r="M105" s="102" t="n"/>
      <c r="N105" s="102" t="n"/>
      <c r="O105" s="102" t="n"/>
      <c r="P105" s="102" t="n"/>
      <c r="Q105" s="102" t="n"/>
      <c r="R105" s="102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 t="n"/>
      <c r="AD105" s="102" t="n"/>
      <c r="AE105" s="102" t="n"/>
      <c r="AF105" s="102" t="n"/>
      <c r="AG105" s="102" t="n"/>
      <c r="AH105" s="102" t="n"/>
      <c r="AI105" s="102" t="n"/>
      <c r="AJ105" s="102" t="n"/>
      <c r="AK105" s="102" t="n"/>
      <c r="AL105" s="102" t="n"/>
      <c r="AM105" s="102" t="n"/>
      <c r="AN105" s="102" t="n"/>
      <c r="AO105" s="102" t="n"/>
      <c r="AP105" s="102" t="n"/>
      <c r="AQ105" s="102" t="n"/>
      <c r="AR105" s="102" t="n"/>
    </row>
    <row r="106">
      <c r="D106" s="102" t="n"/>
      <c r="E106" s="102" t="n"/>
      <c r="F106" s="102" t="n"/>
      <c r="G106" s="102" t="n"/>
      <c r="H106" s="102" t="n"/>
      <c r="I106" s="102" t="n"/>
      <c r="J106" s="102" t="n"/>
      <c r="K106" s="102" t="n"/>
      <c r="L106" s="102" t="n"/>
      <c r="M106" s="102" t="n"/>
      <c r="N106" s="102" t="n"/>
      <c r="O106" s="102" t="n"/>
      <c r="P106" s="102" t="n"/>
      <c r="Q106" s="102" t="n"/>
      <c r="R106" s="102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 t="n"/>
      <c r="AD106" s="102" t="n"/>
      <c r="AE106" s="102" t="n"/>
      <c r="AF106" s="102" t="n"/>
      <c r="AG106" s="102" t="n"/>
      <c r="AH106" s="102" t="n"/>
      <c r="AI106" s="102" t="n"/>
      <c r="AJ106" s="102" t="n"/>
      <c r="AK106" s="102" t="n"/>
      <c r="AL106" s="102" t="n"/>
      <c r="AM106" s="102" t="n"/>
      <c r="AN106" s="102" t="n"/>
      <c r="AO106" s="102" t="n"/>
      <c r="AP106" s="102" t="n"/>
      <c r="AQ106" s="102" t="n"/>
      <c r="AR106" s="102" t="n"/>
    </row>
    <row r="107">
      <c r="D107" s="103" t="n"/>
      <c r="E107" s="103" t="n"/>
      <c r="F107" s="103" t="n"/>
      <c r="G107" s="103" t="n"/>
      <c r="H107" s="103" t="n"/>
      <c r="I107" s="103" t="n"/>
      <c r="J107" s="103" t="n"/>
      <c r="K107" s="103" t="n"/>
      <c r="L107" s="103" t="n"/>
      <c r="M107" s="103" t="n"/>
      <c r="N107" s="103" t="n"/>
      <c r="O107" s="103" t="n"/>
      <c r="P107" s="103" t="n"/>
      <c r="Q107" s="103" t="n"/>
      <c r="R107" s="103" t="n"/>
      <c r="S107" s="103" t="n"/>
      <c r="T107" s="103" t="n"/>
      <c r="U107" s="103" t="n"/>
      <c r="V107" s="103" t="n"/>
      <c r="W107" s="103" t="n"/>
      <c r="X107" s="103" t="n"/>
      <c r="Y107" s="103" t="n"/>
      <c r="Z107" s="103" t="n"/>
      <c r="AA107" s="103" t="n"/>
      <c r="AB107" s="103" t="n"/>
      <c r="AC107" s="103" t="n"/>
      <c r="AD107" s="103" t="n"/>
      <c r="AE107" s="103" t="n"/>
      <c r="AF107" s="103" t="n"/>
      <c r="AG107" s="103" t="n"/>
      <c r="AH107" s="103" t="n"/>
      <c r="AI107" s="103" t="n"/>
      <c r="AJ107" s="103" t="n"/>
      <c r="AK107" s="103" t="n"/>
      <c r="AL107" s="103" t="n"/>
      <c r="AM107" s="103" t="n"/>
      <c r="AN107" s="103" t="n"/>
      <c r="AO107" s="103" t="n"/>
      <c r="AP107" s="103" t="n"/>
      <c r="AQ107" s="103" t="n"/>
      <c r="AR107" s="103" t="n"/>
    </row>
    <row r="109">
      <c r="A109" s="8">
        <f>IF(HSI!$C$16="","",HSI!$C$16)</f>
        <v/>
      </c>
      <c r="B109" s="99">
        <f>IF($A109="",0,COUNT($E110:$AR110))</f>
        <v/>
      </c>
      <c r="C109" s="100">
        <f>IF($B109=0,0,MAX($E110:$AR110))</f>
        <v/>
      </c>
      <c r="D109" s="101">
        <f>BDS($A109,FLD_HIST,"headers=y","startcol=1","endcol=7","dir=h","DVD_START_DT",HIST_FROM,"DVD_END_DT",HIST_TO)</f>
        <v/>
      </c>
      <c r="E109" s="102" t="n"/>
      <c r="F109" s="102" t="n"/>
      <c r="G109" s="102" t="n"/>
      <c r="H109" s="102" t="n"/>
      <c r="I109" s="102" t="n"/>
      <c r="J109" s="102" t="n"/>
      <c r="K109" s="102" t="n"/>
      <c r="L109" s="102" t="n"/>
      <c r="M109" s="102" t="n"/>
      <c r="N109" s="102" t="n"/>
      <c r="O109" s="102" t="n"/>
      <c r="P109" s="102" t="n"/>
      <c r="Q109" s="102" t="n"/>
      <c r="R109" s="102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 t="n"/>
      <c r="AD109" s="102" t="n"/>
      <c r="AE109" s="102" t="n"/>
      <c r="AF109" s="102" t="n"/>
      <c r="AG109" s="102" t="n"/>
      <c r="AH109" s="102" t="n"/>
      <c r="AI109" s="102" t="n"/>
      <c r="AJ109" s="102" t="n"/>
      <c r="AK109" s="102" t="n"/>
      <c r="AL109" s="102" t="n"/>
      <c r="AM109" s="102" t="n"/>
      <c r="AN109" s="102" t="n"/>
      <c r="AO109" s="102" t="n"/>
      <c r="AP109" s="102" t="n"/>
      <c r="AQ109" s="102" t="n"/>
      <c r="AR109" s="102" t="n"/>
    </row>
    <row r="110">
      <c r="D110" s="102" t="n"/>
      <c r="E110" s="102" t="n"/>
      <c r="F110" s="102" t="n"/>
      <c r="G110" s="102" t="n"/>
      <c r="H110" s="102" t="n"/>
      <c r="I110" s="102" t="n"/>
      <c r="J110" s="102" t="n"/>
      <c r="K110" s="102" t="n"/>
      <c r="L110" s="102" t="n"/>
      <c r="M110" s="102" t="n"/>
      <c r="N110" s="102" t="n"/>
      <c r="O110" s="102" t="n"/>
      <c r="P110" s="102" t="n"/>
      <c r="Q110" s="102" t="n"/>
      <c r="R110" s="102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 t="n"/>
      <c r="AD110" s="102" t="n"/>
      <c r="AE110" s="102" t="n"/>
      <c r="AF110" s="102" t="n"/>
      <c r="AG110" s="102" t="n"/>
      <c r="AH110" s="102" t="n"/>
      <c r="AI110" s="102" t="n"/>
      <c r="AJ110" s="102" t="n"/>
      <c r="AK110" s="102" t="n"/>
      <c r="AL110" s="102" t="n"/>
      <c r="AM110" s="102" t="n"/>
      <c r="AN110" s="102" t="n"/>
      <c r="AO110" s="102" t="n"/>
      <c r="AP110" s="102" t="n"/>
      <c r="AQ110" s="102" t="n"/>
      <c r="AR110" s="102" t="n"/>
    </row>
    <row r="111">
      <c r="D111" s="102" t="n"/>
      <c r="E111" s="102" t="n"/>
      <c r="F111" s="102" t="n"/>
      <c r="G111" s="102" t="n"/>
      <c r="H111" s="102" t="n"/>
      <c r="I111" s="102" t="n"/>
      <c r="J111" s="102" t="n"/>
      <c r="K111" s="102" t="n"/>
      <c r="L111" s="102" t="n"/>
      <c r="M111" s="102" t="n"/>
      <c r="N111" s="102" t="n"/>
      <c r="O111" s="102" t="n"/>
      <c r="P111" s="102" t="n"/>
      <c r="Q111" s="102" t="n"/>
      <c r="R111" s="102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 t="n"/>
      <c r="AD111" s="102" t="n"/>
      <c r="AE111" s="102" t="n"/>
      <c r="AF111" s="102" t="n"/>
      <c r="AG111" s="102" t="n"/>
      <c r="AH111" s="102" t="n"/>
      <c r="AI111" s="102" t="n"/>
      <c r="AJ111" s="102" t="n"/>
      <c r="AK111" s="102" t="n"/>
      <c r="AL111" s="102" t="n"/>
      <c r="AM111" s="102" t="n"/>
      <c r="AN111" s="102" t="n"/>
      <c r="AO111" s="102" t="n"/>
      <c r="AP111" s="102" t="n"/>
      <c r="AQ111" s="102" t="n"/>
      <c r="AR111" s="102" t="n"/>
    </row>
    <row r="112">
      <c r="D112" s="102" t="n"/>
      <c r="E112" s="102" t="n"/>
      <c r="F112" s="102" t="n"/>
      <c r="G112" s="102" t="n"/>
      <c r="H112" s="102" t="n"/>
      <c r="I112" s="102" t="n"/>
      <c r="J112" s="102" t="n"/>
      <c r="K112" s="102" t="n"/>
      <c r="L112" s="102" t="n"/>
      <c r="M112" s="102" t="n"/>
      <c r="N112" s="102" t="n"/>
      <c r="O112" s="102" t="n"/>
      <c r="P112" s="102" t="n"/>
      <c r="Q112" s="102" t="n"/>
      <c r="R112" s="102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 t="n"/>
      <c r="AD112" s="102" t="n"/>
      <c r="AE112" s="102" t="n"/>
      <c r="AF112" s="102" t="n"/>
      <c r="AG112" s="102" t="n"/>
      <c r="AH112" s="102" t="n"/>
      <c r="AI112" s="102" t="n"/>
      <c r="AJ112" s="102" t="n"/>
      <c r="AK112" s="102" t="n"/>
      <c r="AL112" s="102" t="n"/>
      <c r="AM112" s="102" t="n"/>
      <c r="AN112" s="102" t="n"/>
      <c r="AO112" s="102" t="n"/>
      <c r="AP112" s="102" t="n"/>
      <c r="AQ112" s="102" t="n"/>
      <c r="AR112" s="102" t="n"/>
    </row>
    <row r="113">
      <c r="D113" s="103" t="n"/>
      <c r="E113" s="103" t="n"/>
      <c r="F113" s="103" t="n"/>
      <c r="G113" s="103" t="n"/>
      <c r="H113" s="103" t="n"/>
      <c r="I113" s="103" t="n"/>
      <c r="J113" s="103" t="n"/>
      <c r="K113" s="103" t="n"/>
      <c r="L113" s="103" t="n"/>
      <c r="M113" s="103" t="n"/>
      <c r="N113" s="103" t="n"/>
      <c r="O113" s="103" t="n"/>
      <c r="P113" s="103" t="n"/>
      <c r="Q113" s="103" t="n"/>
      <c r="R113" s="103" t="n"/>
      <c r="S113" s="103" t="n"/>
      <c r="T113" s="103" t="n"/>
      <c r="U113" s="103" t="n"/>
      <c r="V113" s="103" t="n"/>
      <c r="W113" s="103" t="n"/>
      <c r="X113" s="103" t="n"/>
      <c r="Y113" s="103" t="n"/>
      <c r="Z113" s="103" t="n"/>
      <c r="AA113" s="103" t="n"/>
      <c r="AB113" s="103" t="n"/>
      <c r="AC113" s="103" t="n"/>
      <c r="AD113" s="103" t="n"/>
      <c r="AE113" s="103" t="n"/>
      <c r="AF113" s="103" t="n"/>
      <c r="AG113" s="103" t="n"/>
      <c r="AH113" s="103" t="n"/>
      <c r="AI113" s="103" t="n"/>
      <c r="AJ113" s="103" t="n"/>
      <c r="AK113" s="103" t="n"/>
      <c r="AL113" s="103" t="n"/>
      <c r="AM113" s="103" t="n"/>
      <c r="AN113" s="103" t="n"/>
      <c r="AO113" s="103" t="n"/>
      <c r="AP113" s="103" t="n"/>
      <c r="AQ113" s="103" t="n"/>
      <c r="AR113" s="103" t="n"/>
    </row>
    <row r="116">
      <c r="A116" s="2">
        <f>IF($A109="","","   projections")</f>
        <v/>
      </c>
      <c r="B116" s="99">
        <f>IF($A109="",0,COUNT($E117:$AR117))</f>
        <v/>
      </c>
      <c r="C116" s="100">
        <f>IF($B116=0,0,MAX($E117:$AR117))</f>
        <v/>
      </c>
      <c r="D116" s="101">
        <f>BDS($A109,FLD_PROJ,"headers=y","startcol=1","endcol=3","dir=h")</f>
        <v/>
      </c>
      <c r="E116" s="102" t="n"/>
      <c r="F116" s="102" t="n"/>
      <c r="G116" s="102" t="n"/>
      <c r="H116" s="102" t="n"/>
      <c r="I116" s="102" t="n"/>
      <c r="J116" s="102" t="n"/>
      <c r="K116" s="102" t="n"/>
      <c r="L116" s="102" t="n"/>
      <c r="M116" s="102" t="n"/>
      <c r="N116" s="102" t="n"/>
      <c r="O116" s="102" t="n"/>
      <c r="P116" s="102" t="n"/>
      <c r="Q116" s="102" t="n"/>
      <c r="R116" s="102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 t="n"/>
      <c r="AD116" s="102" t="n"/>
      <c r="AE116" s="102" t="n"/>
      <c r="AF116" s="102" t="n"/>
      <c r="AG116" s="102" t="n"/>
      <c r="AH116" s="102" t="n"/>
      <c r="AI116" s="102" t="n"/>
      <c r="AJ116" s="102" t="n"/>
      <c r="AK116" s="102" t="n"/>
      <c r="AL116" s="102" t="n"/>
      <c r="AM116" s="102" t="n"/>
      <c r="AN116" s="102" t="n"/>
      <c r="AO116" s="102" t="n"/>
      <c r="AP116" s="102" t="n"/>
      <c r="AQ116" s="102" t="n"/>
      <c r="AR116" s="102" t="n"/>
    </row>
    <row r="117">
      <c r="D117" s="102" t="n"/>
      <c r="E117" s="102" t="n"/>
      <c r="F117" s="102" t="n"/>
      <c r="G117" s="102" t="n"/>
      <c r="H117" s="102" t="n"/>
      <c r="I117" s="102" t="n"/>
      <c r="J117" s="102" t="n"/>
      <c r="K117" s="102" t="n"/>
      <c r="L117" s="102" t="n"/>
      <c r="M117" s="102" t="n"/>
      <c r="N117" s="102" t="n"/>
      <c r="O117" s="102" t="n"/>
      <c r="P117" s="102" t="n"/>
      <c r="Q117" s="102" t="n"/>
      <c r="R117" s="102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 t="n"/>
      <c r="AD117" s="102" t="n"/>
      <c r="AE117" s="102" t="n"/>
      <c r="AF117" s="102" t="n"/>
      <c r="AG117" s="102" t="n"/>
      <c r="AH117" s="102" t="n"/>
      <c r="AI117" s="102" t="n"/>
      <c r="AJ117" s="102" t="n"/>
      <c r="AK117" s="102" t="n"/>
      <c r="AL117" s="102" t="n"/>
      <c r="AM117" s="102" t="n"/>
      <c r="AN117" s="102" t="n"/>
      <c r="AO117" s="102" t="n"/>
      <c r="AP117" s="102" t="n"/>
      <c r="AQ117" s="102" t="n"/>
      <c r="AR117" s="102" t="n"/>
    </row>
    <row r="118">
      <c r="D118" s="103" t="n"/>
      <c r="E118" s="103" t="n"/>
      <c r="F118" s="103" t="n"/>
      <c r="G118" s="103" t="n"/>
      <c r="H118" s="103" t="n"/>
      <c r="I118" s="103" t="n"/>
      <c r="J118" s="103" t="n"/>
      <c r="K118" s="103" t="n"/>
      <c r="L118" s="103" t="n"/>
      <c r="M118" s="103" t="n"/>
      <c r="N118" s="103" t="n"/>
      <c r="O118" s="103" t="n"/>
      <c r="P118" s="103" t="n"/>
      <c r="Q118" s="103" t="n"/>
      <c r="R118" s="103" t="n"/>
      <c r="S118" s="103" t="n"/>
      <c r="T118" s="103" t="n"/>
      <c r="U118" s="103" t="n"/>
      <c r="V118" s="103" t="n"/>
      <c r="W118" s="103" t="n"/>
      <c r="X118" s="103" t="n"/>
      <c r="Y118" s="103" t="n"/>
      <c r="Z118" s="103" t="n"/>
      <c r="AA118" s="103" t="n"/>
      <c r="AB118" s="103" t="n"/>
      <c r="AC118" s="103" t="n"/>
      <c r="AD118" s="103" t="n"/>
      <c r="AE118" s="103" t="n"/>
      <c r="AF118" s="103" t="n"/>
      <c r="AG118" s="103" t="n"/>
      <c r="AH118" s="103" t="n"/>
      <c r="AI118" s="103" t="n"/>
      <c r="AJ118" s="103" t="n"/>
      <c r="AK118" s="103" t="n"/>
      <c r="AL118" s="103" t="n"/>
      <c r="AM118" s="103" t="n"/>
      <c r="AN118" s="103" t="n"/>
      <c r="AO118" s="103" t="n"/>
      <c r="AP118" s="103" t="n"/>
      <c r="AQ118" s="103" t="n"/>
      <c r="AR118" s="103" t="n"/>
    </row>
    <row r="120">
      <c r="A120" s="8">
        <f>IF(HSI!$C$17="","",HSI!$C$17)</f>
        <v/>
      </c>
      <c r="B120" s="99">
        <f>IF($A120="",0,COUNT($E121:$AR121))</f>
        <v/>
      </c>
      <c r="C120" s="100">
        <f>IF($B120=0,0,MAX($E121:$AR121))</f>
        <v/>
      </c>
      <c r="D120" s="101">
        <f>BDS($A120,FLD_HIST,"headers=y","startcol=1","endcol=7","dir=h","DVD_START_DT",HIST_FROM,"DVD_END_DT",HIST_TO)</f>
        <v/>
      </c>
      <c r="E120" s="102" t="n"/>
      <c r="F120" s="102" t="n"/>
      <c r="G120" s="102" t="n"/>
      <c r="H120" s="102" t="n"/>
      <c r="I120" s="102" t="n"/>
      <c r="J120" s="102" t="n"/>
      <c r="K120" s="102" t="n"/>
      <c r="L120" s="102" t="n"/>
      <c r="M120" s="102" t="n"/>
      <c r="N120" s="102" t="n"/>
      <c r="O120" s="102" t="n"/>
      <c r="P120" s="102" t="n"/>
      <c r="Q120" s="102" t="n"/>
      <c r="R120" s="102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 t="n"/>
      <c r="AD120" s="102" t="n"/>
      <c r="AE120" s="102" t="n"/>
      <c r="AF120" s="102" t="n"/>
      <c r="AG120" s="102" t="n"/>
      <c r="AH120" s="102" t="n"/>
      <c r="AI120" s="102" t="n"/>
      <c r="AJ120" s="102" t="n"/>
      <c r="AK120" s="102" t="n"/>
      <c r="AL120" s="102" t="n"/>
      <c r="AM120" s="102" t="n"/>
      <c r="AN120" s="102" t="n"/>
      <c r="AO120" s="102" t="n"/>
      <c r="AP120" s="102" t="n"/>
      <c r="AQ120" s="102" t="n"/>
      <c r="AR120" s="102" t="n"/>
    </row>
    <row r="121">
      <c r="D121" s="102" t="n"/>
      <c r="E121" s="102" t="n"/>
      <c r="F121" s="102" t="n"/>
      <c r="G121" s="102" t="n"/>
      <c r="H121" s="102" t="n"/>
      <c r="I121" s="102" t="n"/>
      <c r="J121" s="102" t="n"/>
      <c r="K121" s="102" t="n"/>
      <c r="L121" s="102" t="n"/>
      <c r="M121" s="102" t="n"/>
      <c r="N121" s="102" t="n"/>
      <c r="O121" s="102" t="n"/>
      <c r="P121" s="102" t="n"/>
      <c r="Q121" s="102" t="n"/>
      <c r="R121" s="102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 t="n"/>
      <c r="AD121" s="102" t="n"/>
      <c r="AE121" s="102" t="n"/>
      <c r="AF121" s="102" t="n"/>
      <c r="AG121" s="102" t="n"/>
      <c r="AH121" s="102" t="n"/>
      <c r="AI121" s="102" t="n"/>
      <c r="AJ121" s="102" t="n"/>
      <c r="AK121" s="102" t="n"/>
      <c r="AL121" s="102" t="n"/>
      <c r="AM121" s="102" t="n"/>
      <c r="AN121" s="102" t="n"/>
      <c r="AO121" s="102" t="n"/>
      <c r="AP121" s="102" t="n"/>
      <c r="AQ121" s="102" t="n"/>
      <c r="AR121" s="102" t="n"/>
    </row>
    <row r="122">
      <c r="D122" s="102" t="n"/>
      <c r="E122" s="102" t="n"/>
      <c r="F122" s="102" t="n"/>
      <c r="G122" s="102" t="n"/>
      <c r="H122" s="102" t="n"/>
      <c r="I122" s="102" t="n"/>
      <c r="J122" s="102" t="n"/>
      <c r="K122" s="102" t="n"/>
      <c r="L122" s="102" t="n"/>
      <c r="M122" s="102" t="n"/>
      <c r="N122" s="102" t="n"/>
      <c r="O122" s="102" t="n"/>
      <c r="P122" s="102" t="n"/>
      <c r="Q122" s="102" t="n"/>
      <c r="R122" s="102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 t="n"/>
      <c r="AD122" s="102" t="n"/>
      <c r="AE122" s="102" t="n"/>
      <c r="AF122" s="102" t="n"/>
      <c r="AG122" s="102" t="n"/>
      <c r="AH122" s="102" t="n"/>
      <c r="AI122" s="102" t="n"/>
      <c r="AJ122" s="102" t="n"/>
      <c r="AK122" s="102" t="n"/>
      <c r="AL122" s="102" t="n"/>
      <c r="AM122" s="102" t="n"/>
      <c r="AN122" s="102" t="n"/>
      <c r="AO122" s="102" t="n"/>
      <c r="AP122" s="102" t="n"/>
      <c r="AQ122" s="102" t="n"/>
      <c r="AR122" s="102" t="n"/>
    </row>
    <row r="123">
      <c r="D123" s="102" t="n"/>
      <c r="E123" s="102" t="n"/>
      <c r="F123" s="102" t="n"/>
      <c r="G123" s="102" t="n"/>
      <c r="H123" s="102" t="n"/>
      <c r="I123" s="102" t="n"/>
      <c r="J123" s="102" t="n"/>
      <c r="K123" s="102" t="n"/>
      <c r="L123" s="102" t="n"/>
      <c r="M123" s="102" t="n"/>
      <c r="N123" s="102" t="n"/>
      <c r="O123" s="102" t="n"/>
      <c r="P123" s="102" t="n"/>
      <c r="Q123" s="102" t="n"/>
      <c r="R123" s="102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 t="n"/>
      <c r="AD123" s="102" t="n"/>
      <c r="AE123" s="102" t="n"/>
      <c r="AF123" s="102" t="n"/>
      <c r="AG123" s="102" t="n"/>
      <c r="AH123" s="102" t="n"/>
      <c r="AI123" s="102" t="n"/>
      <c r="AJ123" s="102" t="n"/>
      <c r="AK123" s="102" t="n"/>
      <c r="AL123" s="102" t="n"/>
      <c r="AM123" s="102" t="n"/>
      <c r="AN123" s="102" t="n"/>
      <c r="AO123" s="102" t="n"/>
      <c r="AP123" s="102" t="n"/>
      <c r="AQ123" s="102" t="n"/>
      <c r="AR123" s="102" t="n"/>
    </row>
    <row r="124">
      <c r="D124" s="103" t="n"/>
      <c r="E124" s="103" t="n"/>
      <c r="F124" s="103" t="n"/>
      <c r="G124" s="103" t="n"/>
      <c r="H124" s="103" t="n"/>
      <c r="I124" s="103" t="n"/>
      <c r="J124" s="103" t="n"/>
      <c r="K124" s="103" t="n"/>
      <c r="L124" s="103" t="n"/>
      <c r="M124" s="103" t="n"/>
      <c r="N124" s="103" t="n"/>
      <c r="O124" s="103" t="n"/>
      <c r="P124" s="103" t="n"/>
      <c r="Q124" s="103" t="n"/>
      <c r="R124" s="103" t="n"/>
      <c r="S124" s="103" t="n"/>
      <c r="T124" s="103" t="n"/>
      <c r="U124" s="103" t="n"/>
      <c r="V124" s="103" t="n"/>
      <c r="W124" s="103" t="n"/>
      <c r="X124" s="103" t="n"/>
      <c r="Y124" s="103" t="n"/>
      <c r="Z124" s="103" t="n"/>
      <c r="AA124" s="103" t="n"/>
      <c r="AB124" s="103" t="n"/>
      <c r="AC124" s="103" t="n"/>
      <c r="AD124" s="103" t="n"/>
      <c r="AE124" s="103" t="n"/>
      <c r="AF124" s="103" t="n"/>
      <c r="AG124" s="103" t="n"/>
      <c r="AH124" s="103" t="n"/>
      <c r="AI124" s="103" t="n"/>
      <c r="AJ124" s="103" t="n"/>
      <c r="AK124" s="103" t="n"/>
      <c r="AL124" s="103" t="n"/>
      <c r="AM124" s="103" t="n"/>
      <c r="AN124" s="103" t="n"/>
      <c r="AO124" s="103" t="n"/>
      <c r="AP124" s="103" t="n"/>
      <c r="AQ124" s="103" t="n"/>
      <c r="AR124" s="103" t="n"/>
    </row>
    <row r="127">
      <c r="A127" s="2">
        <f>IF($A120="","","   projections")</f>
        <v/>
      </c>
      <c r="B127" s="99">
        <f>IF($A120="",0,COUNT($E128:$AR128))</f>
        <v/>
      </c>
      <c r="C127" s="100">
        <f>IF($B127=0,0,MAX($E128:$AR128))</f>
        <v/>
      </c>
      <c r="D127" s="101">
        <f>BDS($A120,FLD_PROJ,"headers=y","startcol=1","endcol=3","dir=h")</f>
        <v/>
      </c>
      <c r="E127" s="102" t="n"/>
      <c r="F127" s="102" t="n"/>
      <c r="G127" s="102" t="n"/>
      <c r="H127" s="102" t="n"/>
      <c r="I127" s="102" t="n"/>
      <c r="J127" s="102" t="n"/>
      <c r="K127" s="102" t="n"/>
      <c r="L127" s="102" t="n"/>
      <c r="M127" s="102" t="n"/>
      <c r="N127" s="102" t="n"/>
      <c r="O127" s="102" t="n"/>
      <c r="P127" s="102" t="n"/>
      <c r="Q127" s="102" t="n"/>
      <c r="R127" s="102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 t="n"/>
      <c r="AD127" s="102" t="n"/>
      <c r="AE127" s="102" t="n"/>
      <c r="AF127" s="102" t="n"/>
      <c r="AG127" s="102" t="n"/>
      <c r="AH127" s="102" t="n"/>
      <c r="AI127" s="102" t="n"/>
      <c r="AJ127" s="102" t="n"/>
      <c r="AK127" s="102" t="n"/>
      <c r="AL127" s="102" t="n"/>
      <c r="AM127" s="102" t="n"/>
      <c r="AN127" s="102" t="n"/>
      <c r="AO127" s="102" t="n"/>
      <c r="AP127" s="102" t="n"/>
      <c r="AQ127" s="102" t="n"/>
      <c r="AR127" s="102" t="n"/>
    </row>
    <row r="128">
      <c r="D128" s="102" t="n"/>
      <c r="E128" s="102" t="n"/>
      <c r="F128" s="102" t="n"/>
      <c r="G128" s="102" t="n"/>
      <c r="H128" s="102" t="n"/>
      <c r="I128" s="102" t="n"/>
      <c r="J128" s="102" t="n"/>
      <c r="K128" s="102" t="n"/>
      <c r="L128" s="102" t="n"/>
      <c r="M128" s="102" t="n"/>
      <c r="N128" s="102" t="n"/>
      <c r="O128" s="102" t="n"/>
      <c r="P128" s="102" t="n"/>
      <c r="Q128" s="102" t="n"/>
      <c r="R128" s="102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 t="n"/>
      <c r="AD128" s="102" t="n"/>
      <c r="AE128" s="102" t="n"/>
      <c r="AF128" s="102" t="n"/>
      <c r="AG128" s="102" t="n"/>
      <c r="AH128" s="102" t="n"/>
      <c r="AI128" s="102" t="n"/>
      <c r="AJ128" s="102" t="n"/>
      <c r="AK128" s="102" t="n"/>
      <c r="AL128" s="102" t="n"/>
      <c r="AM128" s="102" t="n"/>
      <c r="AN128" s="102" t="n"/>
      <c r="AO128" s="102" t="n"/>
      <c r="AP128" s="102" t="n"/>
      <c r="AQ128" s="102" t="n"/>
      <c r="AR128" s="102" t="n"/>
    </row>
    <row r="129">
      <c r="D129" s="103" t="n"/>
      <c r="E129" s="103" t="n"/>
      <c r="F129" s="103" t="n"/>
      <c r="G129" s="103" t="n"/>
      <c r="H129" s="103" t="n"/>
      <c r="I129" s="103" t="n"/>
      <c r="J129" s="103" t="n"/>
      <c r="K129" s="103" t="n"/>
      <c r="L129" s="103" t="n"/>
      <c r="M129" s="103" t="n"/>
      <c r="N129" s="103" t="n"/>
      <c r="O129" s="103" t="n"/>
      <c r="P129" s="103" t="n"/>
      <c r="Q129" s="103" t="n"/>
      <c r="R129" s="103" t="n"/>
      <c r="S129" s="103" t="n"/>
      <c r="T129" s="103" t="n"/>
      <c r="U129" s="103" t="n"/>
      <c r="V129" s="103" t="n"/>
      <c r="W129" s="103" t="n"/>
      <c r="X129" s="103" t="n"/>
      <c r="Y129" s="103" t="n"/>
      <c r="Z129" s="103" t="n"/>
      <c r="AA129" s="103" t="n"/>
      <c r="AB129" s="103" t="n"/>
      <c r="AC129" s="103" t="n"/>
      <c r="AD129" s="103" t="n"/>
      <c r="AE129" s="103" t="n"/>
      <c r="AF129" s="103" t="n"/>
      <c r="AG129" s="103" t="n"/>
      <c r="AH129" s="103" t="n"/>
      <c r="AI129" s="103" t="n"/>
      <c r="AJ129" s="103" t="n"/>
      <c r="AK129" s="103" t="n"/>
      <c r="AL129" s="103" t="n"/>
      <c r="AM129" s="103" t="n"/>
      <c r="AN129" s="103" t="n"/>
      <c r="AO129" s="103" t="n"/>
      <c r="AP129" s="103" t="n"/>
      <c r="AQ129" s="103" t="n"/>
      <c r="AR129" s="103" t="n"/>
    </row>
    <row r="131">
      <c r="A131" s="8">
        <f>IF(HSI!$C$18="","",HSI!$C$18)</f>
        <v/>
      </c>
      <c r="B131" s="99">
        <f>IF($A131="",0,COUNT($E132:$AR132))</f>
        <v/>
      </c>
      <c r="C131" s="100">
        <f>IF($B131=0,0,MAX($E132:$AR132))</f>
        <v/>
      </c>
      <c r="D131" s="101">
        <f>BDS($A131,FLD_HIST,"headers=y","startcol=1","endcol=7","dir=h","DVD_START_DT",HIST_FROM,"DVD_END_DT",HIST_TO)</f>
        <v/>
      </c>
      <c r="E131" s="102" t="n"/>
      <c r="F131" s="102" t="n"/>
      <c r="G131" s="102" t="n"/>
      <c r="H131" s="102" t="n"/>
      <c r="I131" s="102" t="n"/>
      <c r="J131" s="102" t="n"/>
      <c r="K131" s="102" t="n"/>
      <c r="L131" s="102" t="n"/>
      <c r="M131" s="102" t="n"/>
      <c r="N131" s="102" t="n"/>
      <c r="O131" s="102" t="n"/>
      <c r="P131" s="102" t="n"/>
      <c r="Q131" s="102" t="n"/>
      <c r="R131" s="102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 t="n"/>
      <c r="AD131" s="102" t="n"/>
      <c r="AE131" s="102" t="n"/>
      <c r="AF131" s="102" t="n"/>
      <c r="AG131" s="102" t="n"/>
      <c r="AH131" s="102" t="n"/>
      <c r="AI131" s="102" t="n"/>
      <c r="AJ131" s="102" t="n"/>
      <c r="AK131" s="102" t="n"/>
      <c r="AL131" s="102" t="n"/>
      <c r="AM131" s="102" t="n"/>
      <c r="AN131" s="102" t="n"/>
      <c r="AO131" s="102" t="n"/>
      <c r="AP131" s="102" t="n"/>
      <c r="AQ131" s="102" t="n"/>
      <c r="AR131" s="102" t="n"/>
    </row>
    <row r="132">
      <c r="D132" s="102" t="n"/>
      <c r="E132" s="102" t="n"/>
      <c r="F132" s="102" t="n"/>
      <c r="G132" s="102" t="n"/>
      <c r="H132" s="102" t="n"/>
      <c r="I132" s="102" t="n"/>
      <c r="J132" s="102" t="n"/>
      <c r="K132" s="102" t="n"/>
      <c r="L132" s="102" t="n"/>
      <c r="M132" s="102" t="n"/>
      <c r="N132" s="102" t="n"/>
      <c r="O132" s="102" t="n"/>
      <c r="P132" s="102" t="n"/>
      <c r="Q132" s="102" t="n"/>
      <c r="R132" s="102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 t="n"/>
      <c r="AD132" s="102" t="n"/>
      <c r="AE132" s="102" t="n"/>
      <c r="AF132" s="102" t="n"/>
      <c r="AG132" s="102" t="n"/>
      <c r="AH132" s="102" t="n"/>
      <c r="AI132" s="102" t="n"/>
      <c r="AJ132" s="102" t="n"/>
      <c r="AK132" s="102" t="n"/>
      <c r="AL132" s="102" t="n"/>
      <c r="AM132" s="102" t="n"/>
      <c r="AN132" s="102" t="n"/>
      <c r="AO132" s="102" t="n"/>
      <c r="AP132" s="102" t="n"/>
      <c r="AQ132" s="102" t="n"/>
      <c r="AR132" s="102" t="n"/>
    </row>
    <row r="133">
      <c r="D133" s="102" t="n"/>
      <c r="E133" s="102" t="n"/>
      <c r="F133" s="102" t="n"/>
      <c r="G133" s="102" t="n"/>
      <c r="H133" s="102" t="n"/>
      <c r="I133" s="102" t="n"/>
      <c r="J133" s="102" t="n"/>
      <c r="K133" s="102" t="n"/>
      <c r="L133" s="102" t="n"/>
      <c r="M133" s="102" t="n"/>
      <c r="N133" s="102" t="n"/>
      <c r="O133" s="102" t="n"/>
      <c r="P133" s="102" t="n"/>
      <c r="Q133" s="102" t="n"/>
      <c r="R133" s="102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 t="n"/>
      <c r="AD133" s="102" t="n"/>
      <c r="AE133" s="102" t="n"/>
      <c r="AF133" s="102" t="n"/>
      <c r="AG133" s="102" t="n"/>
      <c r="AH133" s="102" t="n"/>
      <c r="AI133" s="102" t="n"/>
      <c r="AJ133" s="102" t="n"/>
      <c r="AK133" s="102" t="n"/>
      <c r="AL133" s="102" t="n"/>
      <c r="AM133" s="102" t="n"/>
      <c r="AN133" s="102" t="n"/>
      <c r="AO133" s="102" t="n"/>
      <c r="AP133" s="102" t="n"/>
      <c r="AQ133" s="102" t="n"/>
      <c r="AR133" s="102" t="n"/>
    </row>
    <row r="134">
      <c r="D134" s="102" t="n"/>
      <c r="E134" s="102" t="n"/>
      <c r="F134" s="102" t="n"/>
      <c r="G134" s="102" t="n"/>
      <c r="H134" s="102" t="n"/>
      <c r="I134" s="102" t="n"/>
      <c r="J134" s="102" t="n"/>
      <c r="K134" s="102" t="n"/>
      <c r="L134" s="102" t="n"/>
      <c r="M134" s="102" t="n"/>
      <c r="N134" s="102" t="n"/>
      <c r="O134" s="102" t="n"/>
      <c r="P134" s="102" t="n"/>
      <c r="Q134" s="102" t="n"/>
      <c r="R134" s="102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 t="n"/>
      <c r="AD134" s="102" t="n"/>
      <c r="AE134" s="102" t="n"/>
      <c r="AF134" s="102" t="n"/>
      <c r="AG134" s="102" t="n"/>
      <c r="AH134" s="102" t="n"/>
      <c r="AI134" s="102" t="n"/>
      <c r="AJ134" s="102" t="n"/>
      <c r="AK134" s="102" t="n"/>
      <c r="AL134" s="102" t="n"/>
      <c r="AM134" s="102" t="n"/>
      <c r="AN134" s="102" t="n"/>
      <c r="AO134" s="102" t="n"/>
      <c r="AP134" s="102" t="n"/>
      <c r="AQ134" s="102" t="n"/>
      <c r="AR134" s="102" t="n"/>
    </row>
    <row r="135">
      <c r="D135" s="103" t="n"/>
      <c r="E135" s="103" t="n"/>
      <c r="F135" s="103" t="n"/>
      <c r="G135" s="103" t="n"/>
      <c r="H135" s="103" t="n"/>
      <c r="I135" s="103" t="n"/>
      <c r="J135" s="103" t="n"/>
      <c r="K135" s="103" t="n"/>
      <c r="L135" s="103" t="n"/>
      <c r="M135" s="103" t="n"/>
      <c r="N135" s="103" t="n"/>
      <c r="O135" s="103" t="n"/>
      <c r="P135" s="103" t="n"/>
      <c r="Q135" s="103" t="n"/>
      <c r="R135" s="103" t="n"/>
      <c r="S135" s="103" t="n"/>
      <c r="T135" s="103" t="n"/>
      <c r="U135" s="103" t="n"/>
      <c r="V135" s="103" t="n"/>
      <c r="W135" s="103" t="n"/>
      <c r="X135" s="103" t="n"/>
      <c r="Y135" s="103" t="n"/>
      <c r="Z135" s="103" t="n"/>
      <c r="AA135" s="103" t="n"/>
      <c r="AB135" s="103" t="n"/>
      <c r="AC135" s="103" t="n"/>
      <c r="AD135" s="103" t="n"/>
      <c r="AE135" s="103" t="n"/>
      <c r="AF135" s="103" t="n"/>
      <c r="AG135" s="103" t="n"/>
      <c r="AH135" s="103" t="n"/>
      <c r="AI135" s="103" t="n"/>
      <c r="AJ135" s="103" t="n"/>
      <c r="AK135" s="103" t="n"/>
      <c r="AL135" s="103" t="n"/>
      <c r="AM135" s="103" t="n"/>
      <c r="AN135" s="103" t="n"/>
      <c r="AO135" s="103" t="n"/>
      <c r="AP135" s="103" t="n"/>
      <c r="AQ135" s="103" t="n"/>
      <c r="AR135" s="103" t="n"/>
    </row>
    <row r="138">
      <c r="A138" s="2">
        <f>IF($A131="","","   projections")</f>
        <v/>
      </c>
      <c r="B138" s="99">
        <f>IF($A131="",0,COUNT($E139:$AR139))</f>
        <v/>
      </c>
      <c r="C138" s="100">
        <f>IF($B138=0,0,MAX($E139:$AR139))</f>
        <v/>
      </c>
      <c r="D138" s="101">
        <f>BDS($A131,FLD_PROJ,"headers=y","startcol=1","endcol=3","dir=h")</f>
        <v/>
      </c>
      <c r="E138" s="102" t="n"/>
      <c r="F138" s="102" t="n"/>
      <c r="G138" s="102" t="n"/>
      <c r="H138" s="102" t="n"/>
      <c r="I138" s="102" t="n"/>
      <c r="J138" s="102" t="n"/>
      <c r="K138" s="102" t="n"/>
      <c r="L138" s="102" t="n"/>
      <c r="M138" s="102" t="n"/>
      <c r="N138" s="102" t="n"/>
      <c r="O138" s="102" t="n"/>
      <c r="P138" s="102" t="n"/>
      <c r="Q138" s="102" t="n"/>
      <c r="R138" s="102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 t="n"/>
      <c r="AD138" s="102" t="n"/>
      <c r="AE138" s="102" t="n"/>
      <c r="AF138" s="102" t="n"/>
      <c r="AG138" s="102" t="n"/>
      <c r="AH138" s="102" t="n"/>
      <c r="AI138" s="102" t="n"/>
      <c r="AJ138" s="102" t="n"/>
      <c r="AK138" s="102" t="n"/>
      <c r="AL138" s="102" t="n"/>
      <c r="AM138" s="102" t="n"/>
      <c r="AN138" s="102" t="n"/>
      <c r="AO138" s="102" t="n"/>
      <c r="AP138" s="102" t="n"/>
      <c r="AQ138" s="102" t="n"/>
      <c r="AR138" s="102" t="n"/>
    </row>
    <row r="139">
      <c r="D139" s="102" t="n"/>
      <c r="E139" s="102" t="n"/>
      <c r="F139" s="102" t="n"/>
      <c r="G139" s="102" t="n"/>
      <c r="H139" s="102" t="n"/>
      <c r="I139" s="102" t="n"/>
      <c r="J139" s="102" t="n"/>
      <c r="K139" s="102" t="n"/>
      <c r="L139" s="102" t="n"/>
      <c r="M139" s="102" t="n"/>
      <c r="N139" s="102" t="n"/>
      <c r="O139" s="102" t="n"/>
      <c r="P139" s="102" t="n"/>
      <c r="Q139" s="102" t="n"/>
      <c r="R139" s="102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 t="n"/>
      <c r="AD139" s="102" t="n"/>
      <c r="AE139" s="102" t="n"/>
      <c r="AF139" s="102" t="n"/>
      <c r="AG139" s="102" t="n"/>
      <c r="AH139" s="102" t="n"/>
      <c r="AI139" s="102" t="n"/>
      <c r="AJ139" s="102" t="n"/>
      <c r="AK139" s="102" t="n"/>
      <c r="AL139" s="102" t="n"/>
      <c r="AM139" s="102" t="n"/>
      <c r="AN139" s="102" t="n"/>
      <c r="AO139" s="102" t="n"/>
      <c r="AP139" s="102" t="n"/>
      <c r="AQ139" s="102" t="n"/>
      <c r="AR139" s="102" t="n"/>
    </row>
    <row r="140">
      <c r="D140" s="103" t="n"/>
      <c r="E140" s="103" t="n"/>
      <c r="F140" s="103" t="n"/>
      <c r="G140" s="103" t="n"/>
      <c r="H140" s="103" t="n"/>
      <c r="I140" s="103" t="n"/>
      <c r="J140" s="103" t="n"/>
      <c r="K140" s="103" t="n"/>
      <c r="L140" s="103" t="n"/>
      <c r="M140" s="103" t="n"/>
      <c r="N140" s="103" t="n"/>
      <c r="O140" s="103" t="n"/>
      <c r="P140" s="103" t="n"/>
      <c r="Q140" s="103" t="n"/>
      <c r="R140" s="103" t="n"/>
      <c r="S140" s="103" t="n"/>
      <c r="T140" s="103" t="n"/>
      <c r="U140" s="103" t="n"/>
      <c r="V140" s="103" t="n"/>
      <c r="W140" s="103" t="n"/>
      <c r="X140" s="103" t="n"/>
      <c r="Y140" s="103" t="n"/>
      <c r="Z140" s="103" t="n"/>
      <c r="AA140" s="103" t="n"/>
      <c r="AB140" s="103" t="n"/>
      <c r="AC140" s="103" t="n"/>
      <c r="AD140" s="103" t="n"/>
      <c r="AE140" s="103" t="n"/>
      <c r="AF140" s="103" t="n"/>
      <c r="AG140" s="103" t="n"/>
      <c r="AH140" s="103" t="n"/>
      <c r="AI140" s="103" t="n"/>
      <c r="AJ140" s="103" t="n"/>
      <c r="AK140" s="103" t="n"/>
      <c r="AL140" s="103" t="n"/>
      <c r="AM140" s="103" t="n"/>
      <c r="AN140" s="103" t="n"/>
      <c r="AO140" s="103" t="n"/>
      <c r="AP140" s="103" t="n"/>
      <c r="AQ140" s="103" t="n"/>
      <c r="AR140" s="103" t="n"/>
    </row>
    <row r="142">
      <c r="A142" s="8">
        <f>IF(HSI!$C$19="","",HSI!$C$19)</f>
        <v/>
      </c>
      <c r="B142" s="99">
        <f>IF($A142="",0,COUNT($E143:$AR143))</f>
        <v/>
      </c>
      <c r="C142" s="100">
        <f>IF($B142=0,0,MAX($E143:$AR143))</f>
        <v/>
      </c>
      <c r="D142" s="101">
        <f>BDS($A142,FLD_HIST,"headers=y","startcol=1","endcol=7","dir=h","DVD_START_DT",HIST_FROM,"DVD_END_DT",HIST_TO)</f>
        <v/>
      </c>
      <c r="E142" s="102" t="n"/>
      <c r="F142" s="102" t="n"/>
      <c r="G142" s="102" t="n"/>
      <c r="H142" s="102" t="n"/>
      <c r="I142" s="102" t="n"/>
      <c r="J142" s="102" t="n"/>
      <c r="K142" s="102" t="n"/>
      <c r="L142" s="102" t="n"/>
      <c r="M142" s="102" t="n"/>
      <c r="N142" s="102" t="n"/>
      <c r="O142" s="102" t="n"/>
      <c r="P142" s="102" t="n"/>
      <c r="Q142" s="102" t="n"/>
      <c r="R142" s="102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 t="n"/>
      <c r="AD142" s="102" t="n"/>
      <c r="AE142" s="102" t="n"/>
      <c r="AF142" s="102" t="n"/>
      <c r="AG142" s="102" t="n"/>
      <c r="AH142" s="102" t="n"/>
      <c r="AI142" s="102" t="n"/>
      <c r="AJ142" s="102" t="n"/>
      <c r="AK142" s="102" t="n"/>
      <c r="AL142" s="102" t="n"/>
      <c r="AM142" s="102" t="n"/>
      <c r="AN142" s="102" t="n"/>
      <c r="AO142" s="102" t="n"/>
      <c r="AP142" s="102" t="n"/>
      <c r="AQ142" s="102" t="n"/>
      <c r="AR142" s="102" t="n"/>
    </row>
    <row r="143">
      <c r="D143" s="102" t="n"/>
      <c r="E143" s="102" t="n"/>
      <c r="F143" s="102" t="n"/>
      <c r="G143" s="102" t="n"/>
      <c r="H143" s="102" t="n"/>
      <c r="I143" s="102" t="n"/>
      <c r="J143" s="102" t="n"/>
      <c r="K143" s="102" t="n"/>
      <c r="L143" s="102" t="n"/>
      <c r="M143" s="102" t="n"/>
      <c r="N143" s="102" t="n"/>
      <c r="O143" s="102" t="n"/>
      <c r="P143" s="102" t="n"/>
      <c r="Q143" s="102" t="n"/>
      <c r="R143" s="102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 t="n"/>
      <c r="AD143" s="102" t="n"/>
      <c r="AE143" s="102" t="n"/>
      <c r="AF143" s="102" t="n"/>
      <c r="AG143" s="102" t="n"/>
      <c r="AH143" s="102" t="n"/>
      <c r="AI143" s="102" t="n"/>
      <c r="AJ143" s="102" t="n"/>
      <c r="AK143" s="102" t="n"/>
      <c r="AL143" s="102" t="n"/>
      <c r="AM143" s="102" t="n"/>
      <c r="AN143" s="102" t="n"/>
      <c r="AO143" s="102" t="n"/>
      <c r="AP143" s="102" t="n"/>
      <c r="AQ143" s="102" t="n"/>
      <c r="AR143" s="102" t="n"/>
    </row>
    <row r="144">
      <c r="D144" s="102" t="n"/>
      <c r="E144" s="102" t="n"/>
      <c r="F144" s="102" t="n"/>
      <c r="G144" s="102" t="n"/>
      <c r="H144" s="102" t="n"/>
      <c r="I144" s="102" t="n"/>
      <c r="J144" s="102" t="n"/>
      <c r="K144" s="102" t="n"/>
      <c r="L144" s="102" t="n"/>
      <c r="M144" s="102" t="n"/>
      <c r="N144" s="102" t="n"/>
      <c r="O144" s="102" t="n"/>
      <c r="P144" s="102" t="n"/>
      <c r="Q144" s="102" t="n"/>
      <c r="R144" s="102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 t="n"/>
      <c r="AD144" s="102" t="n"/>
      <c r="AE144" s="102" t="n"/>
      <c r="AF144" s="102" t="n"/>
      <c r="AG144" s="102" t="n"/>
      <c r="AH144" s="102" t="n"/>
      <c r="AI144" s="102" t="n"/>
      <c r="AJ144" s="102" t="n"/>
      <c r="AK144" s="102" t="n"/>
      <c r="AL144" s="102" t="n"/>
      <c r="AM144" s="102" t="n"/>
      <c r="AN144" s="102" t="n"/>
      <c r="AO144" s="102" t="n"/>
      <c r="AP144" s="102" t="n"/>
      <c r="AQ144" s="102" t="n"/>
      <c r="AR144" s="102" t="n"/>
    </row>
    <row r="145">
      <c r="D145" s="102" t="n"/>
      <c r="E145" s="102" t="n"/>
      <c r="F145" s="102" t="n"/>
      <c r="G145" s="102" t="n"/>
      <c r="H145" s="102" t="n"/>
      <c r="I145" s="102" t="n"/>
      <c r="J145" s="102" t="n"/>
      <c r="K145" s="102" t="n"/>
      <c r="L145" s="102" t="n"/>
      <c r="M145" s="102" t="n"/>
      <c r="N145" s="102" t="n"/>
      <c r="O145" s="102" t="n"/>
      <c r="P145" s="102" t="n"/>
      <c r="Q145" s="102" t="n"/>
      <c r="R145" s="102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 t="n"/>
      <c r="AD145" s="102" t="n"/>
      <c r="AE145" s="102" t="n"/>
      <c r="AF145" s="102" t="n"/>
      <c r="AG145" s="102" t="n"/>
      <c r="AH145" s="102" t="n"/>
      <c r="AI145" s="102" t="n"/>
      <c r="AJ145" s="102" t="n"/>
      <c r="AK145" s="102" t="n"/>
      <c r="AL145" s="102" t="n"/>
      <c r="AM145" s="102" t="n"/>
      <c r="AN145" s="102" t="n"/>
      <c r="AO145" s="102" t="n"/>
      <c r="AP145" s="102" t="n"/>
      <c r="AQ145" s="102" t="n"/>
      <c r="AR145" s="102" t="n"/>
    </row>
    <row r="146">
      <c r="D146" s="103" t="n"/>
      <c r="E146" s="103" t="n"/>
      <c r="F146" s="103" t="n"/>
      <c r="G146" s="103" t="n"/>
      <c r="H146" s="103" t="n"/>
      <c r="I146" s="103" t="n"/>
      <c r="J146" s="103" t="n"/>
      <c r="K146" s="103" t="n"/>
      <c r="L146" s="103" t="n"/>
      <c r="M146" s="103" t="n"/>
      <c r="N146" s="103" t="n"/>
      <c r="O146" s="103" t="n"/>
      <c r="P146" s="103" t="n"/>
      <c r="Q146" s="103" t="n"/>
      <c r="R146" s="103" t="n"/>
      <c r="S146" s="103" t="n"/>
      <c r="T146" s="103" t="n"/>
      <c r="U146" s="103" t="n"/>
      <c r="V146" s="103" t="n"/>
      <c r="W146" s="103" t="n"/>
      <c r="X146" s="103" t="n"/>
      <c r="Y146" s="103" t="n"/>
      <c r="Z146" s="103" t="n"/>
      <c r="AA146" s="103" t="n"/>
      <c r="AB146" s="103" t="n"/>
      <c r="AC146" s="103" t="n"/>
      <c r="AD146" s="103" t="n"/>
      <c r="AE146" s="103" t="n"/>
      <c r="AF146" s="103" t="n"/>
      <c r="AG146" s="103" t="n"/>
      <c r="AH146" s="103" t="n"/>
      <c r="AI146" s="103" t="n"/>
      <c r="AJ146" s="103" t="n"/>
      <c r="AK146" s="103" t="n"/>
      <c r="AL146" s="103" t="n"/>
      <c r="AM146" s="103" t="n"/>
      <c r="AN146" s="103" t="n"/>
      <c r="AO146" s="103" t="n"/>
      <c r="AP146" s="103" t="n"/>
      <c r="AQ146" s="103" t="n"/>
      <c r="AR146" s="103" t="n"/>
    </row>
    <row r="149">
      <c r="A149" s="2">
        <f>IF($A142="","","   projections")</f>
        <v/>
      </c>
      <c r="B149" s="99">
        <f>IF($A142="",0,COUNT($E150:$AR150))</f>
        <v/>
      </c>
      <c r="C149" s="100">
        <f>IF($B149=0,0,MAX($E150:$AR150))</f>
        <v/>
      </c>
      <c r="D149" s="101">
        <f>BDS($A142,FLD_PROJ,"headers=y","startcol=1","endcol=3","dir=h")</f>
        <v/>
      </c>
      <c r="E149" s="102" t="n"/>
      <c r="F149" s="102" t="n"/>
      <c r="G149" s="102" t="n"/>
      <c r="H149" s="102" t="n"/>
      <c r="I149" s="102" t="n"/>
      <c r="J149" s="102" t="n"/>
      <c r="K149" s="102" t="n"/>
      <c r="L149" s="102" t="n"/>
      <c r="M149" s="102" t="n"/>
      <c r="N149" s="102" t="n"/>
      <c r="O149" s="102" t="n"/>
      <c r="P149" s="102" t="n"/>
      <c r="Q149" s="102" t="n"/>
      <c r="R149" s="102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 t="n"/>
      <c r="AD149" s="102" t="n"/>
      <c r="AE149" s="102" t="n"/>
      <c r="AF149" s="102" t="n"/>
      <c r="AG149" s="102" t="n"/>
      <c r="AH149" s="102" t="n"/>
      <c r="AI149" s="102" t="n"/>
      <c r="AJ149" s="102" t="n"/>
      <c r="AK149" s="102" t="n"/>
      <c r="AL149" s="102" t="n"/>
      <c r="AM149" s="102" t="n"/>
      <c r="AN149" s="102" t="n"/>
      <c r="AO149" s="102" t="n"/>
      <c r="AP149" s="102" t="n"/>
      <c r="AQ149" s="102" t="n"/>
      <c r="AR149" s="102" t="n"/>
    </row>
    <row r="150">
      <c r="D150" s="102" t="n"/>
      <c r="E150" s="102" t="n"/>
      <c r="F150" s="102" t="n"/>
      <c r="G150" s="102" t="n"/>
      <c r="H150" s="102" t="n"/>
      <c r="I150" s="102" t="n"/>
      <c r="J150" s="102" t="n"/>
      <c r="K150" s="102" t="n"/>
      <c r="L150" s="102" t="n"/>
      <c r="M150" s="102" t="n"/>
      <c r="N150" s="102" t="n"/>
      <c r="O150" s="102" t="n"/>
      <c r="P150" s="102" t="n"/>
      <c r="Q150" s="102" t="n"/>
      <c r="R150" s="102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 t="n"/>
      <c r="AD150" s="102" t="n"/>
      <c r="AE150" s="102" t="n"/>
      <c r="AF150" s="102" t="n"/>
      <c r="AG150" s="102" t="n"/>
      <c r="AH150" s="102" t="n"/>
      <c r="AI150" s="102" t="n"/>
      <c r="AJ150" s="102" t="n"/>
      <c r="AK150" s="102" t="n"/>
      <c r="AL150" s="102" t="n"/>
      <c r="AM150" s="102" t="n"/>
      <c r="AN150" s="102" t="n"/>
      <c r="AO150" s="102" t="n"/>
      <c r="AP150" s="102" t="n"/>
      <c r="AQ150" s="102" t="n"/>
      <c r="AR150" s="102" t="n"/>
    </row>
    <row r="151">
      <c r="D151" s="103" t="n"/>
      <c r="E151" s="103" t="n"/>
      <c r="F151" s="103" t="n"/>
      <c r="G151" s="103" t="n"/>
      <c r="H151" s="103" t="n"/>
      <c r="I151" s="103" t="n"/>
      <c r="J151" s="103" t="n"/>
      <c r="K151" s="103" t="n"/>
      <c r="L151" s="103" t="n"/>
      <c r="M151" s="103" t="n"/>
      <c r="N151" s="103" t="n"/>
      <c r="O151" s="103" t="n"/>
      <c r="P151" s="103" t="n"/>
      <c r="Q151" s="103" t="n"/>
      <c r="R151" s="103" t="n"/>
      <c r="S151" s="103" t="n"/>
      <c r="T151" s="103" t="n"/>
      <c r="U151" s="103" t="n"/>
      <c r="V151" s="103" t="n"/>
      <c r="W151" s="103" t="n"/>
      <c r="X151" s="103" t="n"/>
      <c r="Y151" s="103" t="n"/>
      <c r="Z151" s="103" t="n"/>
      <c r="AA151" s="103" t="n"/>
      <c r="AB151" s="103" t="n"/>
      <c r="AC151" s="103" t="n"/>
      <c r="AD151" s="103" t="n"/>
      <c r="AE151" s="103" t="n"/>
      <c r="AF151" s="103" t="n"/>
      <c r="AG151" s="103" t="n"/>
      <c r="AH151" s="103" t="n"/>
      <c r="AI151" s="103" t="n"/>
      <c r="AJ151" s="103" t="n"/>
      <c r="AK151" s="103" t="n"/>
      <c r="AL151" s="103" t="n"/>
      <c r="AM151" s="103" t="n"/>
      <c r="AN151" s="103" t="n"/>
      <c r="AO151" s="103" t="n"/>
      <c r="AP151" s="103" t="n"/>
      <c r="AQ151" s="103" t="n"/>
      <c r="AR151" s="103" t="n"/>
    </row>
    <row r="153">
      <c r="A153" s="8">
        <f>IF(HSI!$C$20="","",HSI!$C$20)</f>
        <v/>
      </c>
      <c r="B153" s="99">
        <f>IF($A153="",0,COUNT($E154:$AR154))</f>
        <v/>
      </c>
      <c r="C153" s="100">
        <f>IF($B153=0,0,MAX($E154:$AR154))</f>
        <v/>
      </c>
      <c r="D153" s="101">
        <f>BDS($A153,FLD_HIST,"headers=y","startcol=1","endcol=7","dir=h","DVD_START_DT",HIST_FROM,"DVD_END_DT",HIST_TO)</f>
        <v/>
      </c>
      <c r="E153" s="102" t="n"/>
      <c r="F153" s="102" t="n"/>
      <c r="G153" s="102" t="n"/>
      <c r="H153" s="102" t="n"/>
      <c r="I153" s="102" t="n"/>
      <c r="J153" s="102" t="n"/>
      <c r="K153" s="102" t="n"/>
      <c r="L153" s="102" t="n"/>
      <c r="M153" s="102" t="n"/>
      <c r="N153" s="102" t="n"/>
      <c r="O153" s="102" t="n"/>
      <c r="P153" s="102" t="n"/>
      <c r="Q153" s="102" t="n"/>
      <c r="R153" s="102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 t="n"/>
      <c r="AD153" s="102" t="n"/>
      <c r="AE153" s="102" t="n"/>
      <c r="AF153" s="102" t="n"/>
      <c r="AG153" s="102" t="n"/>
      <c r="AH153" s="102" t="n"/>
      <c r="AI153" s="102" t="n"/>
      <c r="AJ153" s="102" t="n"/>
      <c r="AK153" s="102" t="n"/>
      <c r="AL153" s="102" t="n"/>
      <c r="AM153" s="102" t="n"/>
      <c r="AN153" s="102" t="n"/>
      <c r="AO153" s="102" t="n"/>
      <c r="AP153" s="102" t="n"/>
      <c r="AQ153" s="102" t="n"/>
      <c r="AR153" s="102" t="n"/>
    </row>
    <row r="154">
      <c r="D154" s="102" t="n"/>
      <c r="E154" s="102" t="n"/>
      <c r="F154" s="102" t="n"/>
      <c r="G154" s="102" t="n"/>
      <c r="H154" s="102" t="n"/>
      <c r="I154" s="102" t="n"/>
      <c r="J154" s="102" t="n"/>
      <c r="K154" s="102" t="n"/>
      <c r="L154" s="102" t="n"/>
      <c r="M154" s="102" t="n"/>
      <c r="N154" s="102" t="n"/>
      <c r="O154" s="102" t="n"/>
      <c r="P154" s="102" t="n"/>
      <c r="Q154" s="102" t="n"/>
      <c r="R154" s="102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 t="n"/>
      <c r="AD154" s="102" t="n"/>
      <c r="AE154" s="102" t="n"/>
      <c r="AF154" s="102" t="n"/>
      <c r="AG154" s="102" t="n"/>
      <c r="AH154" s="102" t="n"/>
      <c r="AI154" s="102" t="n"/>
      <c r="AJ154" s="102" t="n"/>
      <c r="AK154" s="102" t="n"/>
      <c r="AL154" s="102" t="n"/>
      <c r="AM154" s="102" t="n"/>
      <c r="AN154" s="102" t="n"/>
      <c r="AO154" s="102" t="n"/>
      <c r="AP154" s="102" t="n"/>
      <c r="AQ154" s="102" t="n"/>
      <c r="AR154" s="102" t="n"/>
    </row>
    <row r="155">
      <c r="D155" s="102" t="n"/>
      <c r="E155" s="102" t="n"/>
      <c r="F155" s="102" t="n"/>
      <c r="G155" s="102" t="n"/>
      <c r="H155" s="102" t="n"/>
      <c r="I155" s="102" t="n"/>
      <c r="J155" s="102" t="n"/>
      <c r="K155" s="102" t="n"/>
      <c r="L155" s="102" t="n"/>
      <c r="M155" s="102" t="n"/>
      <c r="N155" s="102" t="n"/>
      <c r="O155" s="102" t="n"/>
      <c r="P155" s="102" t="n"/>
      <c r="Q155" s="102" t="n"/>
      <c r="R155" s="102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 t="n"/>
      <c r="AD155" s="102" t="n"/>
      <c r="AE155" s="102" t="n"/>
      <c r="AF155" s="102" t="n"/>
      <c r="AG155" s="102" t="n"/>
      <c r="AH155" s="102" t="n"/>
      <c r="AI155" s="102" t="n"/>
      <c r="AJ155" s="102" t="n"/>
      <c r="AK155" s="102" t="n"/>
      <c r="AL155" s="102" t="n"/>
      <c r="AM155" s="102" t="n"/>
      <c r="AN155" s="102" t="n"/>
      <c r="AO155" s="102" t="n"/>
      <c r="AP155" s="102" t="n"/>
      <c r="AQ155" s="102" t="n"/>
      <c r="AR155" s="102" t="n"/>
    </row>
    <row r="156">
      <c r="D156" s="102" t="n"/>
      <c r="E156" s="102" t="n"/>
      <c r="F156" s="102" t="n"/>
      <c r="G156" s="102" t="n"/>
      <c r="H156" s="102" t="n"/>
      <c r="I156" s="102" t="n"/>
      <c r="J156" s="102" t="n"/>
      <c r="K156" s="102" t="n"/>
      <c r="L156" s="102" t="n"/>
      <c r="M156" s="102" t="n"/>
      <c r="N156" s="102" t="n"/>
      <c r="O156" s="102" t="n"/>
      <c r="P156" s="102" t="n"/>
      <c r="Q156" s="102" t="n"/>
      <c r="R156" s="102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 t="n"/>
      <c r="AD156" s="102" t="n"/>
      <c r="AE156" s="102" t="n"/>
      <c r="AF156" s="102" t="n"/>
      <c r="AG156" s="102" t="n"/>
      <c r="AH156" s="102" t="n"/>
      <c r="AI156" s="102" t="n"/>
      <c r="AJ156" s="102" t="n"/>
      <c r="AK156" s="102" t="n"/>
      <c r="AL156" s="102" t="n"/>
      <c r="AM156" s="102" t="n"/>
      <c r="AN156" s="102" t="n"/>
      <c r="AO156" s="102" t="n"/>
      <c r="AP156" s="102" t="n"/>
      <c r="AQ156" s="102" t="n"/>
      <c r="AR156" s="102" t="n"/>
    </row>
    <row r="157">
      <c r="D157" s="103" t="n"/>
      <c r="E157" s="103" t="n"/>
      <c r="F157" s="103" t="n"/>
      <c r="G157" s="103" t="n"/>
      <c r="H157" s="103" t="n"/>
      <c r="I157" s="103" t="n"/>
      <c r="J157" s="103" t="n"/>
      <c r="K157" s="103" t="n"/>
      <c r="L157" s="103" t="n"/>
      <c r="M157" s="103" t="n"/>
      <c r="N157" s="103" t="n"/>
      <c r="O157" s="103" t="n"/>
      <c r="P157" s="103" t="n"/>
      <c r="Q157" s="103" t="n"/>
      <c r="R157" s="103" t="n"/>
      <c r="S157" s="103" t="n"/>
      <c r="T157" s="103" t="n"/>
      <c r="U157" s="103" t="n"/>
      <c r="V157" s="103" t="n"/>
      <c r="W157" s="103" t="n"/>
      <c r="X157" s="103" t="n"/>
      <c r="Y157" s="103" t="n"/>
      <c r="Z157" s="103" t="n"/>
      <c r="AA157" s="103" t="n"/>
      <c r="AB157" s="103" t="n"/>
      <c r="AC157" s="103" t="n"/>
      <c r="AD157" s="103" t="n"/>
      <c r="AE157" s="103" t="n"/>
      <c r="AF157" s="103" t="n"/>
      <c r="AG157" s="103" t="n"/>
      <c r="AH157" s="103" t="n"/>
      <c r="AI157" s="103" t="n"/>
      <c r="AJ157" s="103" t="n"/>
      <c r="AK157" s="103" t="n"/>
      <c r="AL157" s="103" t="n"/>
      <c r="AM157" s="103" t="n"/>
      <c r="AN157" s="103" t="n"/>
      <c r="AO157" s="103" t="n"/>
      <c r="AP157" s="103" t="n"/>
      <c r="AQ157" s="103" t="n"/>
      <c r="AR157" s="103" t="n"/>
    </row>
    <row r="160">
      <c r="A160" s="2">
        <f>IF($A153="","","   projections")</f>
        <v/>
      </c>
      <c r="B160" s="99">
        <f>IF($A153="",0,COUNT($E161:$AR161))</f>
        <v/>
      </c>
      <c r="C160" s="100">
        <f>IF($B160=0,0,MAX($E161:$AR161))</f>
        <v/>
      </c>
      <c r="D160" s="101">
        <f>BDS($A153,FLD_PROJ,"headers=y","startcol=1","endcol=3","dir=h")</f>
        <v/>
      </c>
      <c r="E160" s="102" t="n"/>
      <c r="F160" s="102" t="n"/>
      <c r="G160" s="102" t="n"/>
      <c r="H160" s="102" t="n"/>
      <c r="I160" s="102" t="n"/>
      <c r="J160" s="102" t="n"/>
      <c r="K160" s="102" t="n"/>
      <c r="L160" s="102" t="n"/>
      <c r="M160" s="102" t="n"/>
      <c r="N160" s="102" t="n"/>
      <c r="O160" s="102" t="n"/>
      <c r="P160" s="102" t="n"/>
      <c r="Q160" s="102" t="n"/>
      <c r="R160" s="102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 t="n"/>
      <c r="AD160" s="102" t="n"/>
      <c r="AE160" s="102" t="n"/>
      <c r="AF160" s="102" t="n"/>
      <c r="AG160" s="102" t="n"/>
      <c r="AH160" s="102" t="n"/>
      <c r="AI160" s="102" t="n"/>
      <c r="AJ160" s="102" t="n"/>
      <c r="AK160" s="102" t="n"/>
      <c r="AL160" s="102" t="n"/>
      <c r="AM160" s="102" t="n"/>
      <c r="AN160" s="102" t="n"/>
      <c r="AO160" s="102" t="n"/>
      <c r="AP160" s="102" t="n"/>
      <c r="AQ160" s="102" t="n"/>
      <c r="AR160" s="102" t="n"/>
    </row>
    <row r="161">
      <c r="D161" s="102" t="n"/>
      <c r="E161" s="102" t="n"/>
      <c r="F161" s="102" t="n"/>
      <c r="G161" s="102" t="n"/>
      <c r="H161" s="102" t="n"/>
      <c r="I161" s="102" t="n"/>
      <c r="J161" s="102" t="n"/>
      <c r="K161" s="102" t="n"/>
      <c r="L161" s="102" t="n"/>
      <c r="M161" s="102" t="n"/>
      <c r="N161" s="102" t="n"/>
      <c r="O161" s="102" t="n"/>
      <c r="P161" s="102" t="n"/>
      <c r="Q161" s="102" t="n"/>
      <c r="R161" s="102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 t="n"/>
      <c r="AD161" s="102" t="n"/>
      <c r="AE161" s="102" t="n"/>
      <c r="AF161" s="102" t="n"/>
      <c r="AG161" s="102" t="n"/>
      <c r="AH161" s="102" t="n"/>
      <c r="AI161" s="102" t="n"/>
      <c r="AJ161" s="102" t="n"/>
      <c r="AK161" s="102" t="n"/>
      <c r="AL161" s="102" t="n"/>
      <c r="AM161" s="102" t="n"/>
      <c r="AN161" s="102" t="n"/>
      <c r="AO161" s="102" t="n"/>
      <c r="AP161" s="102" t="n"/>
      <c r="AQ161" s="102" t="n"/>
      <c r="AR161" s="102" t="n"/>
    </row>
    <row r="162">
      <c r="D162" s="103" t="n"/>
      <c r="E162" s="103" t="n"/>
      <c r="F162" s="103" t="n"/>
      <c r="G162" s="103" t="n"/>
      <c r="H162" s="103" t="n"/>
      <c r="I162" s="103" t="n"/>
      <c r="J162" s="103" t="n"/>
      <c r="K162" s="103" t="n"/>
      <c r="L162" s="103" t="n"/>
      <c r="M162" s="103" t="n"/>
      <c r="N162" s="103" t="n"/>
      <c r="O162" s="103" t="n"/>
      <c r="P162" s="103" t="n"/>
      <c r="Q162" s="103" t="n"/>
      <c r="R162" s="103" t="n"/>
      <c r="S162" s="103" t="n"/>
      <c r="T162" s="103" t="n"/>
      <c r="U162" s="103" t="n"/>
      <c r="V162" s="103" t="n"/>
      <c r="W162" s="103" t="n"/>
      <c r="X162" s="103" t="n"/>
      <c r="Y162" s="103" t="n"/>
      <c r="Z162" s="103" t="n"/>
      <c r="AA162" s="103" t="n"/>
      <c r="AB162" s="103" t="n"/>
      <c r="AC162" s="103" t="n"/>
      <c r="AD162" s="103" t="n"/>
      <c r="AE162" s="103" t="n"/>
      <c r="AF162" s="103" t="n"/>
      <c r="AG162" s="103" t="n"/>
      <c r="AH162" s="103" t="n"/>
      <c r="AI162" s="103" t="n"/>
      <c r="AJ162" s="103" t="n"/>
      <c r="AK162" s="103" t="n"/>
      <c r="AL162" s="103" t="n"/>
      <c r="AM162" s="103" t="n"/>
      <c r="AN162" s="103" t="n"/>
      <c r="AO162" s="103" t="n"/>
      <c r="AP162" s="103" t="n"/>
      <c r="AQ162" s="103" t="n"/>
      <c r="AR162" s="103" t="n"/>
    </row>
    <row r="164">
      <c r="A164" s="8">
        <f>IF(HSI!$C$21="","",HSI!$C$21)</f>
        <v/>
      </c>
      <c r="B164" s="99">
        <f>IF($A164="",0,COUNT($E165:$AR165))</f>
        <v/>
      </c>
      <c r="C164" s="100">
        <f>IF($B164=0,0,MAX($E165:$AR165))</f>
        <v/>
      </c>
      <c r="D164" s="101">
        <f>BDS($A164,FLD_HIST,"headers=y","startcol=1","endcol=7","dir=h","DVD_START_DT",HIST_FROM,"DVD_END_DT",HIST_TO)</f>
        <v/>
      </c>
      <c r="E164" s="102" t="n"/>
      <c r="F164" s="102" t="n"/>
      <c r="G164" s="102" t="n"/>
      <c r="H164" s="102" t="n"/>
      <c r="I164" s="102" t="n"/>
      <c r="J164" s="102" t="n"/>
      <c r="K164" s="102" t="n"/>
      <c r="L164" s="102" t="n"/>
      <c r="M164" s="102" t="n"/>
      <c r="N164" s="102" t="n"/>
      <c r="O164" s="102" t="n"/>
      <c r="P164" s="102" t="n"/>
      <c r="Q164" s="102" t="n"/>
      <c r="R164" s="102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 t="n"/>
      <c r="AD164" s="102" t="n"/>
      <c r="AE164" s="102" t="n"/>
      <c r="AF164" s="102" t="n"/>
      <c r="AG164" s="102" t="n"/>
      <c r="AH164" s="102" t="n"/>
      <c r="AI164" s="102" t="n"/>
      <c r="AJ164" s="102" t="n"/>
      <c r="AK164" s="102" t="n"/>
      <c r="AL164" s="102" t="n"/>
      <c r="AM164" s="102" t="n"/>
      <c r="AN164" s="102" t="n"/>
      <c r="AO164" s="102" t="n"/>
      <c r="AP164" s="102" t="n"/>
      <c r="AQ164" s="102" t="n"/>
      <c r="AR164" s="102" t="n"/>
    </row>
    <row r="165">
      <c r="D165" s="102" t="n"/>
      <c r="E165" s="102" t="n"/>
      <c r="F165" s="102" t="n"/>
      <c r="G165" s="102" t="n"/>
      <c r="H165" s="102" t="n"/>
      <c r="I165" s="102" t="n"/>
      <c r="J165" s="102" t="n"/>
      <c r="K165" s="102" t="n"/>
      <c r="L165" s="102" t="n"/>
      <c r="M165" s="102" t="n"/>
      <c r="N165" s="102" t="n"/>
      <c r="O165" s="102" t="n"/>
      <c r="P165" s="102" t="n"/>
      <c r="Q165" s="102" t="n"/>
      <c r="R165" s="102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 t="n"/>
      <c r="AD165" s="102" t="n"/>
      <c r="AE165" s="102" t="n"/>
      <c r="AF165" s="102" t="n"/>
      <c r="AG165" s="102" t="n"/>
      <c r="AH165" s="102" t="n"/>
      <c r="AI165" s="102" t="n"/>
      <c r="AJ165" s="102" t="n"/>
      <c r="AK165" s="102" t="n"/>
      <c r="AL165" s="102" t="n"/>
      <c r="AM165" s="102" t="n"/>
      <c r="AN165" s="102" t="n"/>
      <c r="AO165" s="102" t="n"/>
      <c r="AP165" s="102" t="n"/>
      <c r="AQ165" s="102" t="n"/>
      <c r="AR165" s="102" t="n"/>
    </row>
    <row r="166">
      <c r="D166" s="102" t="n"/>
      <c r="E166" s="102" t="n"/>
      <c r="F166" s="102" t="n"/>
      <c r="G166" s="102" t="n"/>
      <c r="H166" s="102" t="n"/>
      <c r="I166" s="102" t="n"/>
      <c r="J166" s="102" t="n"/>
      <c r="K166" s="102" t="n"/>
      <c r="L166" s="102" t="n"/>
      <c r="M166" s="102" t="n"/>
      <c r="N166" s="102" t="n"/>
      <c r="O166" s="102" t="n"/>
      <c r="P166" s="102" t="n"/>
      <c r="Q166" s="102" t="n"/>
      <c r="R166" s="102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 t="n"/>
      <c r="AD166" s="102" t="n"/>
      <c r="AE166" s="102" t="n"/>
      <c r="AF166" s="102" t="n"/>
      <c r="AG166" s="102" t="n"/>
      <c r="AH166" s="102" t="n"/>
      <c r="AI166" s="102" t="n"/>
      <c r="AJ166" s="102" t="n"/>
      <c r="AK166" s="102" t="n"/>
      <c r="AL166" s="102" t="n"/>
      <c r="AM166" s="102" t="n"/>
      <c r="AN166" s="102" t="n"/>
      <c r="AO166" s="102" t="n"/>
      <c r="AP166" s="102" t="n"/>
      <c r="AQ166" s="102" t="n"/>
      <c r="AR166" s="102" t="n"/>
    </row>
    <row r="167">
      <c r="D167" s="102" t="n"/>
      <c r="E167" s="102" t="n"/>
      <c r="F167" s="102" t="n"/>
      <c r="G167" s="102" t="n"/>
      <c r="H167" s="102" t="n"/>
      <c r="I167" s="102" t="n"/>
      <c r="J167" s="102" t="n"/>
      <c r="K167" s="102" t="n"/>
      <c r="L167" s="102" t="n"/>
      <c r="M167" s="102" t="n"/>
      <c r="N167" s="102" t="n"/>
      <c r="O167" s="102" t="n"/>
      <c r="P167" s="102" t="n"/>
      <c r="Q167" s="102" t="n"/>
      <c r="R167" s="102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 t="n"/>
      <c r="AD167" s="102" t="n"/>
      <c r="AE167" s="102" t="n"/>
      <c r="AF167" s="102" t="n"/>
      <c r="AG167" s="102" t="n"/>
      <c r="AH167" s="102" t="n"/>
      <c r="AI167" s="102" t="n"/>
      <c r="AJ167" s="102" t="n"/>
      <c r="AK167" s="102" t="n"/>
      <c r="AL167" s="102" t="n"/>
      <c r="AM167" s="102" t="n"/>
      <c r="AN167" s="102" t="n"/>
      <c r="AO167" s="102" t="n"/>
      <c r="AP167" s="102" t="n"/>
      <c r="AQ167" s="102" t="n"/>
      <c r="AR167" s="102" t="n"/>
    </row>
    <row r="168">
      <c r="D168" s="103" t="n"/>
      <c r="E168" s="103" t="n"/>
      <c r="F168" s="103" t="n"/>
      <c r="G168" s="103" t="n"/>
      <c r="H168" s="103" t="n"/>
      <c r="I168" s="103" t="n"/>
      <c r="J168" s="103" t="n"/>
      <c r="K168" s="103" t="n"/>
      <c r="L168" s="103" t="n"/>
      <c r="M168" s="103" t="n"/>
      <c r="N168" s="103" t="n"/>
      <c r="O168" s="103" t="n"/>
      <c r="P168" s="103" t="n"/>
      <c r="Q168" s="103" t="n"/>
      <c r="R168" s="103" t="n"/>
      <c r="S168" s="103" t="n"/>
      <c r="T168" s="103" t="n"/>
      <c r="U168" s="103" t="n"/>
      <c r="V168" s="103" t="n"/>
      <c r="W168" s="103" t="n"/>
      <c r="X168" s="103" t="n"/>
      <c r="Y168" s="103" t="n"/>
      <c r="Z168" s="103" t="n"/>
      <c r="AA168" s="103" t="n"/>
      <c r="AB168" s="103" t="n"/>
      <c r="AC168" s="103" t="n"/>
      <c r="AD168" s="103" t="n"/>
      <c r="AE168" s="103" t="n"/>
      <c r="AF168" s="103" t="n"/>
      <c r="AG168" s="103" t="n"/>
      <c r="AH168" s="103" t="n"/>
      <c r="AI168" s="103" t="n"/>
      <c r="AJ168" s="103" t="n"/>
      <c r="AK168" s="103" t="n"/>
      <c r="AL168" s="103" t="n"/>
      <c r="AM168" s="103" t="n"/>
      <c r="AN168" s="103" t="n"/>
      <c r="AO168" s="103" t="n"/>
      <c r="AP168" s="103" t="n"/>
      <c r="AQ168" s="103" t="n"/>
      <c r="AR168" s="103" t="n"/>
    </row>
    <row r="171">
      <c r="A171" s="2">
        <f>IF($A164="","","   projections")</f>
        <v/>
      </c>
      <c r="B171" s="99">
        <f>IF($A164="",0,COUNT($E172:$AR172))</f>
        <v/>
      </c>
      <c r="C171" s="100">
        <f>IF($B171=0,0,MAX($E172:$AR172))</f>
        <v/>
      </c>
      <c r="D171" s="101">
        <f>BDS($A164,FLD_PROJ,"headers=y","startcol=1","endcol=3","dir=h")</f>
        <v/>
      </c>
      <c r="E171" s="102" t="n"/>
      <c r="F171" s="102" t="n"/>
      <c r="G171" s="102" t="n"/>
      <c r="H171" s="102" t="n"/>
      <c r="I171" s="102" t="n"/>
      <c r="J171" s="102" t="n"/>
      <c r="K171" s="102" t="n"/>
      <c r="L171" s="102" t="n"/>
      <c r="M171" s="102" t="n"/>
      <c r="N171" s="102" t="n"/>
      <c r="O171" s="102" t="n"/>
      <c r="P171" s="102" t="n"/>
      <c r="Q171" s="102" t="n"/>
      <c r="R171" s="102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 t="n"/>
      <c r="AD171" s="102" t="n"/>
      <c r="AE171" s="102" t="n"/>
      <c r="AF171" s="102" t="n"/>
      <c r="AG171" s="102" t="n"/>
      <c r="AH171" s="102" t="n"/>
      <c r="AI171" s="102" t="n"/>
      <c r="AJ171" s="102" t="n"/>
      <c r="AK171" s="102" t="n"/>
      <c r="AL171" s="102" t="n"/>
      <c r="AM171" s="102" t="n"/>
      <c r="AN171" s="102" t="n"/>
      <c r="AO171" s="102" t="n"/>
      <c r="AP171" s="102" t="n"/>
      <c r="AQ171" s="102" t="n"/>
      <c r="AR171" s="102" t="n"/>
    </row>
    <row r="172">
      <c r="D172" s="102" t="n"/>
      <c r="E172" s="102" t="n"/>
      <c r="F172" s="102" t="n"/>
      <c r="G172" s="102" t="n"/>
      <c r="H172" s="102" t="n"/>
      <c r="I172" s="102" t="n"/>
      <c r="J172" s="102" t="n"/>
      <c r="K172" s="102" t="n"/>
      <c r="L172" s="102" t="n"/>
      <c r="M172" s="102" t="n"/>
      <c r="N172" s="102" t="n"/>
      <c r="O172" s="102" t="n"/>
      <c r="P172" s="102" t="n"/>
      <c r="Q172" s="102" t="n"/>
      <c r="R172" s="102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 t="n"/>
      <c r="AD172" s="102" t="n"/>
      <c r="AE172" s="102" t="n"/>
      <c r="AF172" s="102" t="n"/>
      <c r="AG172" s="102" t="n"/>
      <c r="AH172" s="102" t="n"/>
      <c r="AI172" s="102" t="n"/>
      <c r="AJ172" s="102" t="n"/>
      <c r="AK172" s="102" t="n"/>
      <c r="AL172" s="102" t="n"/>
      <c r="AM172" s="102" t="n"/>
      <c r="AN172" s="102" t="n"/>
      <c r="AO172" s="102" t="n"/>
      <c r="AP172" s="102" t="n"/>
      <c r="AQ172" s="102" t="n"/>
      <c r="AR172" s="102" t="n"/>
    </row>
    <row r="173">
      <c r="D173" s="103" t="n"/>
      <c r="E173" s="103" t="n"/>
      <c r="F173" s="103" t="n"/>
      <c r="G173" s="103" t="n"/>
      <c r="H173" s="103" t="n"/>
      <c r="I173" s="103" t="n"/>
      <c r="J173" s="103" t="n"/>
      <c r="K173" s="103" t="n"/>
      <c r="L173" s="103" t="n"/>
      <c r="M173" s="103" t="n"/>
      <c r="N173" s="103" t="n"/>
      <c r="O173" s="103" t="n"/>
      <c r="P173" s="103" t="n"/>
      <c r="Q173" s="103" t="n"/>
      <c r="R173" s="103" t="n"/>
      <c r="S173" s="103" t="n"/>
      <c r="T173" s="103" t="n"/>
      <c r="U173" s="103" t="n"/>
      <c r="V173" s="103" t="n"/>
      <c r="W173" s="103" t="n"/>
      <c r="X173" s="103" t="n"/>
      <c r="Y173" s="103" t="n"/>
      <c r="Z173" s="103" t="n"/>
      <c r="AA173" s="103" t="n"/>
      <c r="AB173" s="103" t="n"/>
      <c r="AC173" s="103" t="n"/>
      <c r="AD173" s="103" t="n"/>
      <c r="AE173" s="103" t="n"/>
      <c r="AF173" s="103" t="n"/>
      <c r="AG173" s="103" t="n"/>
      <c r="AH173" s="103" t="n"/>
      <c r="AI173" s="103" t="n"/>
      <c r="AJ173" s="103" t="n"/>
      <c r="AK173" s="103" t="n"/>
      <c r="AL173" s="103" t="n"/>
      <c r="AM173" s="103" t="n"/>
      <c r="AN173" s="103" t="n"/>
      <c r="AO173" s="103" t="n"/>
      <c r="AP173" s="103" t="n"/>
      <c r="AQ173" s="103" t="n"/>
      <c r="AR173" s="103" t="n"/>
    </row>
    <row r="175">
      <c r="A175" s="8">
        <f>IF(HSI!$C$22="","",HSI!$C$22)</f>
        <v/>
      </c>
      <c r="B175" s="99">
        <f>IF($A175="",0,COUNT($E176:$AR176))</f>
        <v/>
      </c>
      <c r="C175" s="100">
        <f>IF($B175=0,0,MAX($E176:$AR176))</f>
        <v/>
      </c>
      <c r="D175" s="101">
        <f>BDS($A175,FLD_HIST,"headers=y","startcol=1","endcol=7","dir=h","DVD_START_DT",HIST_FROM,"DVD_END_DT",HIST_TO)</f>
        <v/>
      </c>
      <c r="E175" s="102" t="n"/>
      <c r="F175" s="102" t="n"/>
      <c r="G175" s="102" t="n"/>
      <c r="H175" s="102" t="n"/>
      <c r="I175" s="102" t="n"/>
      <c r="J175" s="102" t="n"/>
      <c r="K175" s="102" t="n"/>
      <c r="L175" s="102" t="n"/>
      <c r="M175" s="102" t="n"/>
      <c r="N175" s="102" t="n"/>
      <c r="O175" s="102" t="n"/>
      <c r="P175" s="102" t="n"/>
      <c r="Q175" s="102" t="n"/>
      <c r="R175" s="102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 t="n"/>
      <c r="AD175" s="102" t="n"/>
      <c r="AE175" s="102" t="n"/>
      <c r="AF175" s="102" t="n"/>
      <c r="AG175" s="102" t="n"/>
      <c r="AH175" s="102" t="n"/>
      <c r="AI175" s="102" t="n"/>
      <c r="AJ175" s="102" t="n"/>
      <c r="AK175" s="102" t="n"/>
      <c r="AL175" s="102" t="n"/>
      <c r="AM175" s="102" t="n"/>
      <c r="AN175" s="102" t="n"/>
      <c r="AO175" s="102" t="n"/>
      <c r="AP175" s="102" t="n"/>
      <c r="AQ175" s="102" t="n"/>
      <c r="AR175" s="102" t="n"/>
    </row>
    <row r="176">
      <c r="D176" s="102" t="n"/>
      <c r="E176" s="102" t="n"/>
      <c r="F176" s="102" t="n"/>
      <c r="G176" s="102" t="n"/>
      <c r="H176" s="102" t="n"/>
      <c r="I176" s="102" t="n"/>
      <c r="J176" s="102" t="n"/>
      <c r="K176" s="102" t="n"/>
      <c r="L176" s="102" t="n"/>
      <c r="M176" s="102" t="n"/>
      <c r="N176" s="102" t="n"/>
      <c r="O176" s="102" t="n"/>
      <c r="P176" s="102" t="n"/>
      <c r="Q176" s="102" t="n"/>
      <c r="R176" s="102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 t="n"/>
      <c r="AD176" s="102" t="n"/>
      <c r="AE176" s="102" t="n"/>
      <c r="AF176" s="102" t="n"/>
      <c r="AG176" s="102" t="n"/>
      <c r="AH176" s="102" t="n"/>
      <c r="AI176" s="102" t="n"/>
      <c r="AJ176" s="102" t="n"/>
      <c r="AK176" s="102" t="n"/>
      <c r="AL176" s="102" t="n"/>
      <c r="AM176" s="102" t="n"/>
      <c r="AN176" s="102" t="n"/>
      <c r="AO176" s="102" t="n"/>
      <c r="AP176" s="102" t="n"/>
      <c r="AQ176" s="102" t="n"/>
      <c r="AR176" s="102" t="n"/>
    </row>
    <row r="177">
      <c r="D177" s="102" t="n"/>
      <c r="E177" s="102" t="n"/>
      <c r="F177" s="102" t="n"/>
      <c r="G177" s="102" t="n"/>
      <c r="H177" s="102" t="n"/>
      <c r="I177" s="102" t="n"/>
      <c r="J177" s="102" t="n"/>
      <c r="K177" s="102" t="n"/>
      <c r="L177" s="102" t="n"/>
      <c r="M177" s="102" t="n"/>
      <c r="N177" s="102" t="n"/>
      <c r="O177" s="102" t="n"/>
      <c r="P177" s="102" t="n"/>
      <c r="Q177" s="102" t="n"/>
      <c r="R177" s="102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 t="n"/>
      <c r="AD177" s="102" t="n"/>
      <c r="AE177" s="102" t="n"/>
      <c r="AF177" s="102" t="n"/>
      <c r="AG177" s="102" t="n"/>
      <c r="AH177" s="102" t="n"/>
      <c r="AI177" s="102" t="n"/>
      <c r="AJ177" s="102" t="n"/>
      <c r="AK177" s="102" t="n"/>
      <c r="AL177" s="102" t="n"/>
      <c r="AM177" s="102" t="n"/>
      <c r="AN177" s="102" t="n"/>
      <c r="AO177" s="102" t="n"/>
      <c r="AP177" s="102" t="n"/>
      <c r="AQ177" s="102" t="n"/>
      <c r="AR177" s="102" t="n"/>
    </row>
    <row r="178">
      <c r="D178" s="102" t="n"/>
      <c r="E178" s="102" t="n"/>
      <c r="F178" s="102" t="n"/>
      <c r="G178" s="102" t="n"/>
      <c r="H178" s="102" t="n"/>
      <c r="I178" s="102" t="n"/>
      <c r="J178" s="102" t="n"/>
      <c r="K178" s="102" t="n"/>
      <c r="L178" s="102" t="n"/>
      <c r="M178" s="102" t="n"/>
      <c r="N178" s="102" t="n"/>
      <c r="O178" s="102" t="n"/>
      <c r="P178" s="102" t="n"/>
      <c r="Q178" s="102" t="n"/>
      <c r="R178" s="102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 t="n"/>
      <c r="AD178" s="102" t="n"/>
      <c r="AE178" s="102" t="n"/>
      <c r="AF178" s="102" t="n"/>
      <c r="AG178" s="102" t="n"/>
      <c r="AH178" s="102" t="n"/>
      <c r="AI178" s="102" t="n"/>
      <c r="AJ178" s="102" t="n"/>
      <c r="AK178" s="102" t="n"/>
      <c r="AL178" s="102" t="n"/>
      <c r="AM178" s="102" t="n"/>
      <c r="AN178" s="102" t="n"/>
      <c r="AO178" s="102" t="n"/>
      <c r="AP178" s="102" t="n"/>
      <c r="AQ178" s="102" t="n"/>
      <c r="AR178" s="102" t="n"/>
    </row>
    <row r="179">
      <c r="D179" s="103" t="n"/>
      <c r="E179" s="103" t="n"/>
      <c r="F179" s="103" t="n"/>
      <c r="G179" s="103" t="n"/>
      <c r="H179" s="103" t="n"/>
      <c r="I179" s="103" t="n"/>
      <c r="J179" s="103" t="n"/>
      <c r="K179" s="103" t="n"/>
      <c r="L179" s="103" t="n"/>
      <c r="M179" s="103" t="n"/>
      <c r="N179" s="103" t="n"/>
      <c r="O179" s="103" t="n"/>
      <c r="P179" s="103" t="n"/>
      <c r="Q179" s="103" t="n"/>
      <c r="R179" s="103" t="n"/>
      <c r="S179" s="103" t="n"/>
      <c r="T179" s="103" t="n"/>
      <c r="U179" s="103" t="n"/>
      <c r="V179" s="103" t="n"/>
      <c r="W179" s="103" t="n"/>
      <c r="X179" s="103" t="n"/>
      <c r="Y179" s="103" t="n"/>
      <c r="Z179" s="103" t="n"/>
      <c r="AA179" s="103" t="n"/>
      <c r="AB179" s="103" t="n"/>
      <c r="AC179" s="103" t="n"/>
      <c r="AD179" s="103" t="n"/>
      <c r="AE179" s="103" t="n"/>
      <c r="AF179" s="103" t="n"/>
      <c r="AG179" s="103" t="n"/>
      <c r="AH179" s="103" t="n"/>
      <c r="AI179" s="103" t="n"/>
      <c r="AJ179" s="103" t="n"/>
      <c r="AK179" s="103" t="n"/>
      <c r="AL179" s="103" t="n"/>
      <c r="AM179" s="103" t="n"/>
      <c r="AN179" s="103" t="n"/>
      <c r="AO179" s="103" t="n"/>
      <c r="AP179" s="103" t="n"/>
      <c r="AQ179" s="103" t="n"/>
      <c r="AR179" s="103" t="n"/>
    </row>
    <row r="182">
      <c r="A182" s="2">
        <f>IF($A175="","","   projections")</f>
        <v/>
      </c>
      <c r="B182" s="99">
        <f>IF($A175="",0,COUNT($E183:$AR183))</f>
        <v/>
      </c>
      <c r="C182" s="100">
        <f>IF($B182=0,0,MAX($E183:$AR183))</f>
        <v/>
      </c>
      <c r="D182" s="101">
        <f>BDS($A175,FLD_PROJ,"headers=y","startcol=1","endcol=3","dir=h")</f>
        <v/>
      </c>
      <c r="E182" s="102" t="n"/>
      <c r="F182" s="102" t="n"/>
      <c r="G182" s="102" t="n"/>
      <c r="H182" s="102" t="n"/>
      <c r="I182" s="102" t="n"/>
      <c r="J182" s="102" t="n"/>
      <c r="K182" s="102" t="n"/>
      <c r="L182" s="102" t="n"/>
      <c r="M182" s="102" t="n"/>
      <c r="N182" s="102" t="n"/>
      <c r="O182" s="102" t="n"/>
      <c r="P182" s="102" t="n"/>
      <c r="Q182" s="102" t="n"/>
      <c r="R182" s="102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 t="n"/>
      <c r="AE182" s="102" t="n"/>
      <c r="AF182" s="102" t="n"/>
      <c r="AG182" s="102" t="n"/>
      <c r="AH182" s="102" t="n"/>
      <c r="AI182" s="102" t="n"/>
      <c r="AJ182" s="102" t="n"/>
      <c r="AK182" s="102" t="n"/>
      <c r="AL182" s="102" t="n"/>
      <c r="AM182" s="102" t="n"/>
      <c r="AN182" s="102" t="n"/>
      <c r="AO182" s="102" t="n"/>
      <c r="AP182" s="102" t="n"/>
      <c r="AQ182" s="102" t="n"/>
      <c r="AR182" s="102" t="n"/>
    </row>
    <row r="183">
      <c r="D183" s="102" t="n"/>
      <c r="E183" s="102" t="n"/>
      <c r="F183" s="102" t="n"/>
      <c r="G183" s="102" t="n"/>
      <c r="H183" s="102" t="n"/>
      <c r="I183" s="102" t="n"/>
      <c r="J183" s="102" t="n"/>
      <c r="K183" s="102" t="n"/>
      <c r="L183" s="102" t="n"/>
      <c r="M183" s="102" t="n"/>
      <c r="N183" s="102" t="n"/>
      <c r="O183" s="102" t="n"/>
      <c r="P183" s="102" t="n"/>
      <c r="Q183" s="102" t="n"/>
      <c r="R183" s="102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 t="n"/>
      <c r="AE183" s="102" t="n"/>
      <c r="AF183" s="102" t="n"/>
      <c r="AG183" s="102" t="n"/>
      <c r="AH183" s="102" t="n"/>
      <c r="AI183" s="102" t="n"/>
      <c r="AJ183" s="102" t="n"/>
      <c r="AK183" s="102" t="n"/>
      <c r="AL183" s="102" t="n"/>
      <c r="AM183" s="102" t="n"/>
      <c r="AN183" s="102" t="n"/>
      <c r="AO183" s="102" t="n"/>
      <c r="AP183" s="102" t="n"/>
      <c r="AQ183" s="102" t="n"/>
      <c r="AR183" s="102" t="n"/>
    </row>
    <row r="184">
      <c r="D184" s="103" t="n"/>
      <c r="E184" s="103" t="n"/>
      <c r="F184" s="103" t="n"/>
      <c r="G184" s="103" t="n"/>
      <c r="H184" s="103" t="n"/>
      <c r="I184" s="103" t="n"/>
      <c r="J184" s="103" t="n"/>
      <c r="K184" s="103" t="n"/>
      <c r="L184" s="103" t="n"/>
      <c r="M184" s="103" t="n"/>
      <c r="N184" s="103" t="n"/>
      <c r="O184" s="103" t="n"/>
      <c r="P184" s="103" t="n"/>
      <c r="Q184" s="103" t="n"/>
      <c r="R184" s="103" t="n"/>
      <c r="S184" s="103" t="n"/>
      <c r="T184" s="103" t="n"/>
      <c r="U184" s="103" t="n"/>
      <c r="V184" s="103" t="n"/>
      <c r="W184" s="103" t="n"/>
      <c r="X184" s="103" t="n"/>
      <c r="Y184" s="103" t="n"/>
      <c r="Z184" s="103" t="n"/>
      <c r="AA184" s="103" t="n"/>
      <c r="AB184" s="103" t="n"/>
      <c r="AC184" s="103" t="n"/>
      <c r="AD184" s="103" t="n"/>
      <c r="AE184" s="103" t="n"/>
      <c r="AF184" s="103" t="n"/>
      <c r="AG184" s="103" t="n"/>
      <c r="AH184" s="103" t="n"/>
      <c r="AI184" s="103" t="n"/>
      <c r="AJ184" s="103" t="n"/>
      <c r="AK184" s="103" t="n"/>
      <c r="AL184" s="103" t="n"/>
      <c r="AM184" s="103" t="n"/>
      <c r="AN184" s="103" t="n"/>
      <c r="AO184" s="103" t="n"/>
      <c r="AP184" s="103" t="n"/>
      <c r="AQ184" s="103" t="n"/>
      <c r="AR184" s="103" t="n"/>
    </row>
    <row r="186">
      <c r="A186" s="8">
        <f>IF(HSI!$C$23="","",HSI!$C$23)</f>
        <v/>
      </c>
      <c r="B186" s="99">
        <f>IF($A186="",0,COUNT($E187:$AR187))</f>
        <v/>
      </c>
      <c r="C186" s="100">
        <f>IF($B186=0,0,MAX($E187:$AR187))</f>
        <v/>
      </c>
      <c r="D186" s="101">
        <f>BDS($A186,FLD_HIST,"headers=y","startcol=1","endcol=7","dir=h","DVD_START_DT",HIST_FROM,"DVD_END_DT",HIST_TO)</f>
        <v/>
      </c>
      <c r="E186" s="102" t="n"/>
      <c r="F186" s="102" t="n"/>
      <c r="G186" s="102" t="n"/>
      <c r="H186" s="102" t="n"/>
      <c r="I186" s="102" t="n"/>
      <c r="J186" s="102" t="n"/>
      <c r="K186" s="102" t="n"/>
      <c r="L186" s="102" t="n"/>
      <c r="M186" s="102" t="n"/>
      <c r="N186" s="102" t="n"/>
      <c r="O186" s="102" t="n"/>
      <c r="P186" s="102" t="n"/>
      <c r="Q186" s="102" t="n"/>
      <c r="R186" s="102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 t="n"/>
      <c r="AE186" s="102" t="n"/>
      <c r="AF186" s="102" t="n"/>
      <c r="AG186" s="102" t="n"/>
      <c r="AH186" s="102" t="n"/>
      <c r="AI186" s="102" t="n"/>
      <c r="AJ186" s="102" t="n"/>
      <c r="AK186" s="102" t="n"/>
      <c r="AL186" s="102" t="n"/>
      <c r="AM186" s="102" t="n"/>
      <c r="AN186" s="102" t="n"/>
      <c r="AO186" s="102" t="n"/>
      <c r="AP186" s="102" t="n"/>
      <c r="AQ186" s="102" t="n"/>
      <c r="AR186" s="102" t="n"/>
    </row>
    <row r="187">
      <c r="D187" s="102" t="n"/>
      <c r="E187" s="102" t="n"/>
      <c r="F187" s="102" t="n"/>
      <c r="G187" s="102" t="n"/>
      <c r="H187" s="102" t="n"/>
      <c r="I187" s="102" t="n"/>
      <c r="J187" s="102" t="n"/>
      <c r="K187" s="102" t="n"/>
      <c r="L187" s="102" t="n"/>
      <c r="M187" s="102" t="n"/>
      <c r="N187" s="102" t="n"/>
      <c r="O187" s="102" t="n"/>
      <c r="P187" s="102" t="n"/>
      <c r="Q187" s="102" t="n"/>
      <c r="R187" s="102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 t="n"/>
      <c r="AE187" s="102" t="n"/>
      <c r="AF187" s="102" t="n"/>
      <c r="AG187" s="102" t="n"/>
      <c r="AH187" s="102" t="n"/>
      <c r="AI187" s="102" t="n"/>
      <c r="AJ187" s="102" t="n"/>
      <c r="AK187" s="102" t="n"/>
      <c r="AL187" s="102" t="n"/>
      <c r="AM187" s="102" t="n"/>
      <c r="AN187" s="102" t="n"/>
      <c r="AO187" s="102" t="n"/>
      <c r="AP187" s="102" t="n"/>
      <c r="AQ187" s="102" t="n"/>
      <c r="AR187" s="102" t="n"/>
    </row>
    <row r="188">
      <c r="D188" s="102" t="n"/>
      <c r="E188" s="102" t="n"/>
      <c r="F188" s="102" t="n"/>
      <c r="G188" s="102" t="n"/>
      <c r="H188" s="102" t="n"/>
      <c r="I188" s="102" t="n"/>
      <c r="J188" s="102" t="n"/>
      <c r="K188" s="102" t="n"/>
      <c r="L188" s="102" t="n"/>
      <c r="M188" s="102" t="n"/>
      <c r="N188" s="102" t="n"/>
      <c r="O188" s="102" t="n"/>
      <c r="P188" s="102" t="n"/>
      <c r="Q188" s="102" t="n"/>
      <c r="R188" s="102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 t="n"/>
      <c r="AE188" s="102" t="n"/>
      <c r="AF188" s="102" t="n"/>
      <c r="AG188" s="102" t="n"/>
      <c r="AH188" s="102" t="n"/>
      <c r="AI188" s="102" t="n"/>
      <c r="AJ188" s="102" t="n"/>
      <c r="AK188" s="102" t="n"/>
      <c r="AL188" s="102" t="n"/>
      <c r="AM188" s="102" t="n"/>
      <c r="AN188" s="102" t="n"/>
      <c r="AO188" s="102" t="n"/>
      <c r="AP188" s="102" t="n"/>
      <c r="AQ188" s="102" t="n"/>
      <c r="AR188" s="102" t="n"/>
    </row>
    <row r="189">
      <c r="D189" s="102" t="n"/>
      <c r="E189" s="102" t="n"/>
      <c r="F189" s="102" t="n"/>
      <c r="G189" s="102" t="n"/>
      <c r="H189" s="102" t="n"/>
      <c r="I189" s="102" t="n"/>
      <c r="J189" s="102" t="n"/>
      <c r="K189" s="102" t="n"/>
      <c r="L189" s="102" t="n"/>
      <c r="M189" s="102" t="n"/>
      <c r="N189" s="102" t="n"/>
      <c r="O189" s="102" t="n"/>
      <c r="P189" s="102" t="n"/>
      <c r="Q189" s="102" t="n"/>
      <c r="R189" s="102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 t="n"/>
      <c r="AE189" s="102" t="n"/>
      <c r="AF189" s="102" t="n"/>
      <c r="AG189" s="102" t="n"/>
      <c r="AH189" s="102" t="n"/>
      <c r="AI189" s="102" t="n"/>
      <c r="AJ189" s="102" t="n"/>
      <c r="AK189" s="102" t="n"/>
      <c r="AL189" s="102" t="n"/>
      <c r="AM189" s="102" t="n"/>
      <c r="AN189" s="102" t="n"/>
      <c r="AO189" s="102" t="n"/>
      <c r="AP189" s="102" t="n"/>
      <c r="AQ189" s="102" t="n"/>
      <c r="AR189" s="102" t="n"/>
    </row>
    <row r="190">
      <c r="D190" s="103" t="n"/>
      <c r="E190" s="103" t="n"/>
      <c r="F190" s="103" t="n"/>
      <c r="G190" s="103" t="n"/>
      <c r="H190" s="103" t="n"/>
      <c r="I190" s="103" t="n"/>
      <c r="J190" s="103" t="n"/>
      <c r="K190" s="103" t="n"/>
      <c r="L190" s="103" t="n"/>
      <c r="M190" s="103" t="n"/>
      <c r="N190" s="103" t="n"/>
      <c r="O190" s="103" t="n"/>
      <c r="P190" s="103" t="n"/>
      <c r="Q190" s="103" t="n"/>
      <c r="R190" s="103" t="n"/>
      <c r="S190" s="103" t="n"/>
      <c r="T190" s="103" t="n"/>
      <c r="U190" s="103" t="n"/>
      <c r="V190" s="103" t="n"/>
      <c r="W190" s="103" t="n"/>
      <c r="X190" s="103" t="n"/>
      <c r="Y190" s="103" t="n"/>
      <c r="Z190" s="103" t="n"/>
      <c r="AA190" s="103" t="n"/>
      <c r="AB190" s="103" t="n"/>
      <c r="AC190" s="103" t="n"/>
      <c r="AD190" s="103" t="n"/>
      <c r="AE190" s="103" t="n"/>
      <c r="AF190" s="103" t="n"/>
      <c r="AG190" s="103" t="n"/>
      <c r="AH190" s="103" t="n"/>
      <c r="AI190" s="103" t="n"/>
      <c r="AJ190" s="103" t="n"/>
      <c r="AK190" s="103" t="n"/>
      <c r="AL190" s="103" t="n"/>
      <c r="AM190" s="103" t="n"/>
      <c r="AN190" s="103" t="n"/>
      <c r="AO190" s="103" t="n"/>
      <c r="AP190" s="103" t="n"/>
      <c r="AQ190" s="103" t="n"/>
      <c r="AR190" s="103" t="n"/>
    </row>
    <row r="193">
      <c r="A193" s="2">
        <f>IF($A186="","","   projections")</f>
        <v/>
      </c>
      <c r="B193" s="99">
        <f>IF($A186="",0,COUNT($E194:$AR194))</f>
        <v/>
      </c>
      <c r="C193" s="100">
        <f>IF($B193=0,0,MAX($E194:$AR194))</f>
        <v/>
      </c>
      <c r="D193" s="101">
        <f>BDS($A186,FLD_PROJ,"headers=y","startcol=1","endcol=3","dir=h")</f>
        <v/>
      </c>
      <c r="E193" s="102" t="n"/>
      <c r="F193" s="102" t="n"/>
      <c r="G193" s="102" t="n"/>
      <c r="H193" s="102" t="n"/>
      <c r="I193" s="102" t="n"/>
      <c r="J193" s="102" t="n"/>
      <c r="K193" s="102" t="n"/>
      <c r="L193" s="102" t="n"/>
      <c r="M193" s="102" t="n"/>
      <c r="N193" s="102" t="n"/>
      <c r="O193" s="102" t="n"/>
      <c r="P193" s="102" t="n"/>
      <c r="Q193" s="102" t="n"/>
      <c r="R193" s="102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 t="n"/>
      <c r="AE193" s="102" t="n"/>
      <c r="AF193" s="102" t="n"/>
      <c r="AG193" s="102" t="n"/>
      <c r="AH193" s="102" t="n"/>
      <c r="AI193" s="102" t="n"/>
      <c r="AJ193" s="102" t="n"/>
      <c r="AK193" s="102" t="n"/>
      <c r="AL193" s="102" t="n"/>
      <c r="AM193" s="102" t="n"/>
      <c r="AN193" s="102" t="n"/>
      <c r="AO193" s="102" t="n"/>
      <c r="AP193" s="102" t="n"/>
      <c r="AQ193" s="102" t="n"/>
      <c r="AR193" s="102" t="n"/>
    </row>
    <row r="194">
      <c r="D194" s="102" t="n"/>
      <c r="E194" s="102" t="n"/>
      <c r="F194" s="102" t="n"/>
      <c r="G194" s="102" t="n"/>
      <c r="H194" s="102" t="n"/>
      <c r="I194" s="102" t="n"/>
      <c r="J194" s="102" t="n"/>
      <c r="K194" s="102" t="n"/>
      <c r="L194" s="102" t="n"/>
      <c r="M194" s="102" t="n"/>
      <c r="N194" s="102" t="n"/>
      <c r="O194" s="102" t="n"/>
      <c r="P194" s="102" t="n"/>
      <c r="Q194" s="102" t="n"/>
      <c r="R194" s="102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 t="n"/>
      <c r="AE194" s="102" t="n"/>
      <c r="AF194" s="102" t="n"/>
      <c r="AG194" s="102" t="n"/>
      <c r="AH194" s="102" t="n"/>
      <c r="AI194" s="102" t="n"/>
      <c r="AJ194" s="102" t="n"/>
      <c r="AK194" s="102" t="n"/>
      <c r="AL194" s="102" t="n"/>
      <c r="AM194" s="102" t="n"/>
      <c r="AN194" s="102" t="n"/>
      <c r="AO194" s="102" t="n"/>
      <c r="AP194" s="102" t="n"/>
      <c r="AQ194" s="102" t="n"/>
      <c r="AR194" s="102" t="n"/>
    </row>
    <row r="195">
      <c r="D195" s="103" t="n"/>
      <c r="E195" s="103" t="n"/>
      <c r="F195" s="103" t="n"/>
      <c r="G195" s="103" t="n"/>
      <c r="H195" s="103" t="n"/>
      <c r="I195" s="103" t="n"/>
      <c r="J195" s="103" t="n"/>
      <c r="K195" s="103" t="n"/>
      <c r="L195" s="103" t="n"/>
      <c r="M195" s="103" t="n"/>
      <c r="N195" s="103" t="n"/>
      <c r="O195" s="103" t="n"/>
      <c r="P195" s="103" t="n"/>
      <c r="Q195" s="103" t="n"/>
      <c r="R195" s="103" t="n"/>
      <c r="S195" s="103" t="n"/>
      <c r="T195" s="103" t="n"/>
      <c r="U195" s="103" t="n"/>
      <c r="V195" s="103" t="n"/>
      <c r="W195" s="103" t="n"/>
      <c r="X195" s="103" t="n"/>
      <c r="Y195" s="103" t="n"/>
      <c r="Z195" s="103" t="n"/>
      <c r="AA195" s="103" t="n"/>
      <c r="AB195" s="103" t="n"/>
      <c r="AC195" s="103" t="n"/>
      <c r="AD195" s="103" t="n"/>
      <c r="AE195" s="103" t="n"/>
      <c r="AF195" s="103" t="n"/>
      <c r="AG195" s="103" t="n"/>
      <c r="AH195" s="103" t="n"/>
      <c r="AI195" s="103" t="n"/>
      <c r="AJ195" s="103" t="n"/>
      <c r="AK195" s="103" t="n"/>
      <c r="AL195" s="103" t="n"/>
      <c r="AM195" s="103" t="n"/>
      <c r="AN195" s="103" t="n"/>
      <c r="AO195" s="103" t="n"/>
      <c r="AP195" s="103" t="n"/>
      <c r="AQ195" s="103" t="n"/>
      <c r="AR195" s="103" t="n"/>
    </row>
    <row r="197">
      <c r="A197" s="8">
        <f>IF(HSI!$C$24="","",HSI!$C$24)</f>
        <v/>
      </c>
      <c r="B197" s="99">
        <f>IF($A197="",0,COUNT($E198:$AR198))</f>
        <v/>
      </c>
      <c r="C197" s="100">
        <f>IF($B197=0,0,MAX($E198:$AR198))</f>
        <v/>
      </c>
      <c r="D197" s="101">
        <f>BDS($A197,FLD_HIST,"headers=y","startcol=1","endcol=7","dir=h","DVD_START_DT",HIST_FROM,"DVD_END_DT",HIST_TO)</f>
        <v/>
      </c>
      <c r="E197" s="102" t="n"/>
      <c r="F197" s="102" t="n"/>
      <c r="G197" s="102" t="n"/>
      <c r="H197" s="102" t="n"/>
      <c r="I197" s="102" t="n"/>
      <c r="J197" s="102" t="n"/>
      <c r="K197" s="102" t="n"/>
      <c r="L197" s="102" t="n"/>
      <c r="M197" s="102" t="n"/>
      <c r="N197" s="102" t="n"/>
      <c r="O197" s="102" t="n"/>
      <c r="P197" s="102" t="n"/>
      <c r="Q197" s="102" t="n"/>
      <c r="R197" s="102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 t="n"/>
      <c r="AE197" s="102" t="n"/>
      <c r="AF197" s="102" t="n"/>
      <c r="AG197" s="102" t="n"/>
      <c r="AH197" s="102" t="n"/>
      <c r="AI197" s="102" t="n"/>
      <c r="AJ197" s="102" t="n"/>
      <c r="AK197" s="102" t="n"/>
      <c r="AL197" s="102" t="n"/>
      <c r="AM197" s="102" t="n"/>
      <c r="AN197" s="102" t="n"/>
      <c r="AO197" s="102" t="n"/>
      <c r="AP197" s="102" t="n"/>
      <c r="AQ197" s="102" t="n"/>
      <c r="AR197" s="102" t="n"/>
    </row>
    <row r="198">
      <c r="D198" s="102" t="n"/>
      <c r="E198" s="102" t="n"/>
      <c r="F198" s="102" t="n"/>
      <c r="G198" s="102" t="n"/>
      <c r="H198" s="102" t="n"/>
      <c r="I198" s="102" t="n"/>
      <c r="J198" s="102" t="n"/>
      <c r="K198" s="102" t="n"/>
      <c r="L198" s="102" t="n"/>
      <c r="M198" s="102" t="n"/>
      <c r="N198" s="102" t="n"/>
      <c r="O198" s="102" t="n"/>
      <c r="P198" s="102" t="n"/>
      <c r="Q198" s="102" t="n"/>
      <c r="R198" s="102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 t="n"/>
      <c r="AE198" s="102" t="n"/>
      <c r="AF198" s="102" t="n"/>
      <c r="AG198" s="102" t="n"/>
      <c r="AH198" s="102" t="n"/>
      <c r="AI198" s="102" t="n"/>
      <c r="AJ198" s="102" t="n"/>
      <c r="AK198" s="102" t="n"/>
      <c r="AL198" s="102" t="n"/>
      <c r="AM198" s="102" t="n"/>
      <c r="AN198" s="102" t="n"/>
      <c r="AO198" s="102" t="n"/>
      <c r="AP198" s="102" t="n"/>
      <c r="AQ198" s="102" t="n"/>
      <c r="AR198" s="102" t="n"/>
    </row>
    <row r="199">
      <c r="D199" s="102" t="n"/>
      <c r="E199" s="102" t="n"/>
      <c r="F199" s="102" t="n"/>
      <c r="G199" s="102" t="n"/>
      <c r="H199" s="102" t="n"/>
      <c r="I199" s="102" t="n"/>
      <c r="J199" s="102" t="n"/>
      <c r="K199" s="102" t="n"/>
      <c r="L199" s="102" t="n"/>
      <c r="M199" s="102" t="n"/>
      <c r="N199" s="102" t="n"/>
      <c r="O199" s="102" t="n"/>
      <c r="P199" s="102" t="n"/>
      <c r="Q199" s="102" t="n"/>
      <c r="R199" s="102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 t="n"/>
      <c r="AE199" s="102" t="n"/>
      <c r="AF199" s="102" t="n"/>
      <c r="AG199" s="102" t="n"/>
      <c r="AH199" s="102" t="n"/>
      <c r="AI199" s="102" t="n"/>
      <c r="AJ199" s="102" t="n"/>
      <c r="AK199" s="102" t="n"/>
      <c r="AL199" s="102" t="n"/>
      <c r="AM199" s="102" t="n"/>
      <c r="AN199" s="102" t="n"/>
      <c r="AO199" s="102" t="n"/>
      <c r="AP199" s="102" t="n"/>
      <c r="AQ199" s="102" t="n"/>
      <c r="AR199" s="102" t="n"/>
    </row>
    <row r="200">
      <c r="D200" s="102" t="n"/>
      <c r="E200" s="102" t="n"/>
      <c r="F200" s="102" t="n"/>
      <c r="G200" s="102" t="n"/>
      <c r="H200" s="102" t="n"/>
      <c r="I200" s="102" t="n"/>
      <c r="J200" s="102" t="n"/>
      <c r="K200" s="102" t="n"/>
      <c r="L200" s="102" t="n"/>
      <c r="M200" s="102" t="n"/>
      <c r="N200" s="102" t="n"/>
      <c r="O200" s="102" t="n"/>
      <c r="P200" s="102" t="n"/>
      <c r="Q200" s="102" t="n"/>
      <c r="R200" s="102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 t="n"/>
      <c r="AE200" s="102" t="n"/>
      <c r="AF200" s="102" t="n"/>
      <c r="AG200" s="102" t="n"/>
      <c r="AH200" s="102" t="n"/>
      <c r="AI200" s="102" t="n"/>
      <c r="AJ200" s="102" t="n"/>
      <c r="AK200" s="102" t="n"/>
      <c r="AL200" s="102" t="n"/>
      <c r="AM200" s="102" t="n"/>
      <c r="AN200" s="102" t="n"/>
      <c r="AO200" s="102" t="n"/>
      <c r="AP200" s="102" t="n"/>
      <c r="AQ200" s="102" t="n"/>
      <c r="AR200" s="102" t="n"/>
    </row>
    <row r="201">
      <c r="D201" s="103" t="n"/>
      <c r="E201" s="103" t="n"/>
      <c r="F201" s="103" t="n"/>
      <c r="G201" s="103" t="n"/>
      <c r="H201" s="103" t="n"/>
      <c r="I201" s="103" t="n"/>
      <c r="J201" s="103" t="n"/>
      <c r="K201" s="103" t="n"/>
      <c r="L201" s="103" t="n"/>
      <c r="M201" s="103" t="n"/>
      <c r="N201" s="103" t="n"/>
      <c r="O201" s="103" t="n"/>
      <c r="P201" s="103" t="n"/>
      <c r="Q201" s="103" t="n"/>
      <c r="R201" s="103" t="n"/>
      <c r="S201" s="103" t="n"/>
      <c r="T201" s="103" t="n"/>
      <c r="U201" s="103" t="n"/>
      <c r="V201" s="103" t="n"/>
      <c r="W201" s="103" t="n"/>
      <c r="X201" s="103" t="n"/>
      <c r="Y201" s="103" t="n"/>
      <c r="Z201" s="103" t="n"/>
      <c r="AA201" s="103" t="n"/>
      <c r="AB201" s="103" t="n"/>
      <c r="AC201" s="103" t="n"/>
      <c r="AD201" s="103" t="n"/>
      <c r="AE201" s="103" t="n"/>
      <c r="AF201" s="103" t="n"/>
      <c r="AG201" s="103" t="n"/>
      <c r="AH201" s="103" t="n"/>
      <c r="AI201" s="103" t="n"/>
      <c r="AJ201" s="103" t="n"/>
      <c r="AK201" s="103" t="n"/>
      <c r="AL201" s="103" t="n"/>
      <c r="AM201" s="103" t="n"/>
      <c r="AN201" s="103" t="n"/>
      <c r="AO201" s="103" t="n"/>
      <c r="AP201" s="103" t="n"/>
      <c r="AQ201" s="103" t="n"/>
      <c r="AR201" s="103" t="n"/>
    </row>
    <row r="204">
      <c r="A204" s="2">
        <f>IF($A197="","","   projections")</f>
        <v/>
      </c>
      <c r="B204" s="99">
        <f>IF($A197="",0,COUNT($E205:$AR205))</f>
        <v/>
      </c>
      <c r="C204" s="100">
        <f>IF($B204=0,0,MAX($E205:$AR205))</f>
        <v/>
      </c>
      <c r="D204" s="101">
        <f>BDS($A197,FLD_PROJ,"headers=y","startcol=1","endcol=3","dir=h")</f>
        <v/>
      </c>
      <c r="E204" s="102" t="n"/>
      <c r="F204" s="102" t="n"/>
      <c r="G204" s="102" t="n"/>
      <c r="H204" s="102" t="n"/>
      <c r="I204" s="102" t="n"/>
      <c r="J204" s="102" t="n"/>
      <c r="K204" s="102" t="n"/>
      <c r="L204" s="102" t="n"/>
      <c r="M204" s="102" t="n"/>
      <c r="N204" s="102" t="n"/>
      <c r="O204" s="102" t="n"/>
      <c r="P204" s="102" t="n"/>
      <c r="Q204" s="102" t="n"/>
      <c r="R204" s="102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 t="n"/>
      <c r="AE204" s="102" t="n"/>
      <c r="AF204" s="102" t="n"/>
      <c r="AG204" s="102" t="n"/>
      <c r="AH204" s="102" t="n"/>
      <c r="AI204" s="102" t="n"/>
      <c r="AJ204" s="102" t="n"/>
      <c r="AK204" s="102" t="n"/>
      <c r="AL204" s="102" t="n"/>
      <c r="AM204" s="102" t="n"/>
      <c r="AN204" s="102" t="n"/>
      <c r="AO204" s="102" t="n"/>
      <c r="AP204" s="102" t="n"/>
      <c r="AQ204" s="102" t="n"/>
      <c r="AR204" s="102" t="n"/>
    </row>
    <row r="205">
      <c r="D205" s="102" t="n"/>
      <c r="E205" s="102" t="n"/>
      <c r="F205" s="102" t="n"/>
      <c r="G205" s="102" t="n"/>
      <c r="H205" s="102" t="n"/>
      <c r="I205" s="102" t="n"/>
      <c r="J205" s="102" t="n"/>
      <c r="K205" s="102" t="n"/>
      <c r="L205" s="102" t="n"/>
      <c r="M205" s="102" t="n"/>
      <c r="N205" s="102" t="n"/>
      <c r="O205" s="102" t="n"/>
      <c r="P205" s="102" t="n"/>
      <c r="Q205" s="102" t="n"/>
      <c r="R205" s="102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 t="n"/>
      <c r="AE205" s="102" t="n"/>
      <c r="AF205" s="102" t="n"/>
      <c r="AG205" s="102" t="n"/>
      <c r="AH205" s="102" t="n"/>
      <c r="AI205" s="102" t="n"/>
      <c r="AJ205" s="102" t="n"/>
      <c r="AK205" s="102" t="n"/>
      <c r="AL205" s="102" t="n"/>
      <c r="AM205" s="102" t="n"/>
      <c r="AN205" s="102" t="n"/>
      <c r="AO205" s="102" t="n"/>
      <c r="AP205" s="102" t="n"/>
      <c r="AQ205" s="102" t="n"/>
      <c r="AR205" s="102" t="n"/>
    </row>
    <row r="206">
      <c r="D206" s="103" t="n"/>
      <c r="E206" s="103" t="n"/>
      <c r="F206" s="103" t="n"/>
      <c r="G206" s="103" t="n"/>
      <c r="H206" s="103" t="n"/>
      <c r="I206" s="103" t="n"/>
      <c r="J206" s="103" t="n"/>
      <c r="K206" s="103" t="n"/>
      <c r="L206" s="103" t="n"/>
      <c r="M206" s="103" t="n"/>
      <c r="N206" s="103" t="n"/>
      <c r="O206" s="103" t="n"/>
      <c r="P206" s="103" t="n"/>
      <c r="Q206" s="103" t="n"/>
      <c r="R206" s="103" t="n"/>
      <c r="S206" s="103" t="n"/>
      <c r="T206" s="103" t="n"/>
      <c r="U206" s="103" t="n"/>
      <c r="V206" s="103" t="n"/>
      <c r="W206" s="103" t="n"/>
      <c r="X206" s="103" t="n"/>
      <c r="Y206" s="103" t="n"/>
      <c r="Z206" s="103" t="n"/>
      <c r="AA206" s="103" t="n"/>
      <c r="AB206" s="103" t="n"/>
      <c r="AC206" s="103" t="n"/>
      <c r="AD206" s="103" t="n"/>
      <c r="AE206" s="103" t="n"/>
      <c r="AF206" s="103" t="n"/>
      <c r="AG206" s="103" t="n"/>
      <c r="AH206" s="103" t="n"/>
      <c r="AI206" s="103" t="n"/>
      <c r="AJ206" s="103" t="n"/>
      <c r="AK206" s="103" t="n"/>
      <c r="AL206" s="103" t="n"/>
      <c r="AM206" s="103" t="n"/>
      <c r="AN206" s="103" t="n"/>
      <c r="AO206" s="103" t="n"/>
      <c r="AP206" s="103" t="n"/>
      <c r="AQ206" s="103" t="n"/>
      <c r="AR206" s="103" t="n"/>
    </row>
    <row r="208">
      <c r="A208" s="8">
        <f>IF(HSI!$C$25="","",HSI!$C$25)</f>
        <v/>
      </c>
      <c r="B208" s="99">
        <f>IF($A208="",0,COUNT($E209:$AR209))</f>
        <v/>
      </c>
      <c r="C208" s="100">
        <f>IF($B208=0,0,MAX($E209:$AR209))</f>
        <v/>
      </c>
      <c r="D208" s="101">
        <f>BDS($A208,FLD_HIST,"headers=y","startcol=1","endcol=7","dir=h","DVD_START_DT",HIST_FROM,"DVD_END_DT",HIST_TO)</f>
        <v/>
      </c>
      <c r="E208" s="102" t="n"/>
      <c r="F208" s="102" t="n"/>
      <c r="G208" s="102" t="n"/>
      <c r="H208" s="102" t="n"/>
      <c r="I208" s="102" t="n"/>
      <c r="J208" s="102" t="n"/>
      <c r="K208" s="102" t="n"/>
      <c r="L208" s="102" t="n"/>
      <c r="M208" s="102" t="n"/>
      <c r="N208" s="102" t="n"/>
      <c r="O208" s="102" t="n"/>
      <c r="P208" s="102" t="n"/>
      <c r="Q208" s="102" t="n"/>
      <c r="R208" s="102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 t="n"/>
      <c r="AE208" s="102" t="n"/>
      <c r="AF208" s="102" t="n"/>
      <c r="AG208" s="102" t="n"/>
      <c r="AH208" s="102" t="n"/>
      <c r="AI208" s="102" t="n"/>
      <c r="AJ208" s="102" t="n"/>
      <c r="AK208" s="102" t="n"/>
      <c r="AL208" s="102" t="n"/>
      <c r="AM208" s="102" t="n"/>
      <c r="AN208" s="102" t="n"/>
      <c r="AO208" s="102" t="n"/>
      <c r="AP208" s="102" t="n"/>
      <c r="AQ208" s="102" t="n"/>
      <c r="AR208" s="102" t="n"/>
    </row>
    <row r="209">
      <c r="D209" s="102" t="n"/>
      <c r="E209" s="102" t="n"/>
      <c r="F209" s="102" t="n"/>
      <c r="G209" s="102" t="n"/>
      <c r="H209" s="102" t="n"/>
      <c r="I209" s="102" t="n"/>
      <c r="J209" s="102" t="n"/>
      <c r="K209" s="102" t="n"/>
      <c r="L209" s="102" t="n"/>
      <c r="M209" s="102" t="n"/>
      <c r="N209" s="102" t="n"/>
      <c r="O209" s="102" t="n"/>
      <c r="P209" s="102" t="n"/>
      <c r="Q209" s="102" t="n"/>
      <c r="R209" s="102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 t="n"/>
      <c r="AE209" s="102" t="n"/>
      <c r="AF209" s="102" t="n"/>
      <c r="AG209" s="102" t="n"/>
      <c r="AH209" s="102" t="n"/>
      <c r="AI209" s="102" t="n"/>
      <c r="AJ209" s="102" t="n"/>
      <c r="AK209" s="102" t="n"/>
      <c r="AL209" s="102" t="n"/>
      <c r="AM209" s="102" t="n"/>
      <c r="AN209" s="102" t="n"/>
      <c r="AO209" s="102" t="n"/>
      <c r="AP209" s="102" t="n"/>
      <c r="AQ209" s="102" t="n"/>
      <c r="AR209" s="102" t="n"/>
    </row>
    <row r="210">
      <c r="D210" s="102" t="n"/>
      <c r="E210" s="102" t="n"/>
      <c r="F210" s="102" t="n"/>
      <c r="G210" s="102" t="n"/>
      <c r="H210" s="102" t="n"/>
      <c r="I210" s="102" t="n"/>
      <c r="J210" s="102" t="n"/>
      <c r="K210" s="102" t="n"/>
      <c r="L210" s="102" t="n"/>
      <c r="M210" s="102" t="n"/>
      <c r="N210" s="102" t="n"/>
      <c r="O210" s="102" t="n"/>
      <c r="P210" s="102" t="n"/>
      <c r="Q210" s="102" t="n"/>
      <c r="R210" s="102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 t="n"/>
      <c r="AE210" s="102" t="n"/>
      <c r="AF210" s="102" t="n"/>
      <c r="AG210" s="102" t="n"/>
      <c r="AH210" s="102" t="n"/>
      <c r="AI210" s="102" t="n"/>
      <c r="AJ210" s="102" t="n"/>
      <c r="AK210" s="102" t="n"/>
      <c r="AL210" s="102" t="n"/>
      <c r="AM210" s="102" t="n"/>
      <c r="AN210" s="102" t="n"/>
      <c r="AO210" s="102" t="n"/>
      <c r="AP210" s="102" t="n"/>
      <c r="AQ210" s="102" t="n"/>
      <c r="AR210" s="102" t="n"/>
    </row>
    <row r="211">
      <c r="D211" s="102" t="n"/>
      <c r="E211" s="102" t="n"/>
      <c r="F211" s="102" t="n"/>
      <c r="G211" s="102" t="n"/>
      <c r="H211" s="102" t="n"/>
      <c r="I211" s="102" t="n"/>
      <c r="J211" s="102" t="n"/>
      <c r="K211" s="102" t="n"/>
      <c r="L211" s="102" t="n"/>
      <c r="M211" s="102" t="n"/>
      <c r="N211" s="102" t="n"/>
      <c r="O211" s="102" t="n"/>
      <c r="P211" s="102" t="n"/>
      <c r="Q211" s="102" t="n"/>
      <c r="R211" s="102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 t="n"/>
      <c r="AE211" s="102" t="n"/>
      <c r="AF211" s="102" t="n"/>
      <c r="AG211" s="102" t="n"/>
      <c r="AH211" s="102" t="n"/>
      <c r="AI211" s="102" t="n"/>
      <c r="AJ211" s="102" t="n"/>
      <c r="AK211" s="102" t="n"/>
      <c r="AL211" s="102" t="n"/>
      <c r="AM211" s="102" t="n"/>
      <c r="AN211" s="102" t="n"/>
      <c r="AO211" s="102" t="n"/>
      <c r="AP211" s="102" t="n"/>
      <c r="AQ211" s="102" t="n"/>
      <c r="AR211" s="102" t="n"/>
    </row>
    <row r="212">
      <c r="D212" s="103" t="n"/>
      <c r="E212" s="103" t="n"/>
      <c r="F212" s="103" t="n"/>
      <c r="G212" s="103" t="n"/>
      <c r="H212" s="103" t="n"/>
      <c r="I212" s="103" t="n"/>
      <c r="J212" s="103" t="n"/>
      <c r="K212" s="103" t="n"/>
      <c r="L212" s="103" t="n"/>
      <c r="M212" s="103" t="n"/>
      <c r="N212" s="103" t="n"/>
      <c r="O212" s="103" t="n"/>
      <c r="P212" s="103" t="n"/>
      <c r="Q212" s="103" t="n"/>
      <c r="R212" s="103" t="n"/>
      <c r="S212" s="103" t="n"/>
      <c r="T212" s="103" t="n"/>
      <c r="U212" s="103" t="n"/>
      <c r="V212" s="103" t="n"/>
      <c r="W212" s="103" t="n"/>
      <c r="X212" s="103" t="n"/>
      <c r="Y212" s="103" t="n"/>
      <c r="Z212" s="103" t="n"/>
      <c r="AA212" s="103" t="n"/>
      <c r="AB212" s="103" t="n"/>
      <c r="AC212" s="103" t="n"/>
      <c r="AD212" s="103" t="n"/>
      <c r="AE212" s="103" t="n"/>
      <c r="AF212" s="103" t="n"/>
      <c r="AG212" s="103" t="n"/>
      <c r="AH212" s="103" t="n"/>
      <c r="AI212" s="103" t="n"/>
      <c r="AJ212" s="103" t="n"/>
      <c r="AK212" s="103" t="n"/>
      <c r="AL212" s="103" t="n"/>
      <c r="AM212" s="103" t="n"/>
      <c r="AN212" s="103" t="n"/>
      <c r="AO212" s="103" t="n"/>
      <c r="AP212" s="103" t="n"/>
      <c r="AQ212" s="103" t="n"/>
      <c r="AR212" s="103" t="n"/>
    </row>
    <row r="215">
      <c r="A215" s="2">
        <f>IF($A208="","","   projections")</f>
        <v/>
      </c>
      <c r="B215" s="99">
        <f>IF($A208="",0,COUNT($E216:$AR216))</f>
        <v/>
      </c>
      <c r="C215" s="100">
        <f>IF($B215=0,0,MAX($E216:$AR216))</f>
        <v/>
      </c>
      <c r="D215" s="101">
        <f>BDS($A208,FLD_PROJ,"headers=y","startcol=1","endcol=3","dir=h")</f>
        <v/>
      </c>
      <c r="E215" s="102" t="n"/>
      <c r="F215" s="102" t="n"/>
      <c r="G215" s="102" t="n"/>
      <c r="H215" s="102" t="n"/>
      <c r="I215" s="102" t="n"/>
      <c r="J215" s="102" t="n"/>
      <c r="K215" s="102" t="n"/>
      <c r="L215" s="102" t="n"/>
      <c r="M215" s="102" t="n"/>
      <c r="N215" s="102" t="n"/>
      <c r="O215" s="102" t="n"/>
      <c r="P215" s="102" t="n"/>
      <c r="Q215" s="102" t="n"/>
      <c r="R215" s="102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 t="n"/>
      <c r="AE215" s="102" t="n"/>
      <c r="AF215" s="102" t="n"/>
      <c r="AG215" s="102" t="n"/>
      <c r="AH215" s="102" t="n"/>
      <c r="AI215" s="102" t="n"/>
      <c r="AJ215" s="102" t="n"/>
      <c r="AK215" s="102" t="n"/>
      <c r="AL215" s="102" t="n"/>
      <c r="AM215" s="102" t="n"/>
      <c r="AN215" s="102" t="n"/>
      <c r="AO215" s="102" t="n"/>
      <c r="AP215" s="102" t="n"/>
      <c r="AQ215" s="102" t="n"/>
      <c r="AR215" s="102" t="n"/>
    </row>
    <row r="216">
      <c r="D216" s="102" t="n"/>
      <c r="E216" s="102" t="n"/>
      <c r="F216" s="102" t="n"/>
      <c r="G216" s="102" t="n"/>
      <c r="H216" s="102" t="n"/>
      <c r="I216" s="102" t="n"/>
      <c r="J216" s="102" t="n"/>
      <c r="K216" s="102" t="n"/>
      <c r="L216" s="102" t="n"/>
      <c r="M216" s="102" t="n"/>
      <c r="N216" s="102" t="n"/>
      <c r="O216" s="102" t="n"/>
      <c r="P216" s="102" t="n"/>
      <c r="Q216" s="102" t="n"/>
      <c r="R216" s="102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 t="n"/>
      <c r="AE216" s="102" t="n"/>
      <c r="AF216" s="102" t="n"/>
      <c r="AG216" s="102" t="n"/>
      <c r="AH216" s="102" t="n"/>
      <c r="AI216" s="102" t="n"/>
      <c r="AJ216" s="102" t="n"/>
      <c r="AK216" s="102" t="n"/>
      <c r="AL216" s="102" t="n"/>
      <c r="AM216" s="102" t="n"/>
      <c r="AN216" s="102" t="n"/>
      <c r="AO216" s="102" t="n"/>
      <c r="AP216" s="102" t="n"/>
      <c r="AQ216" s="102" t="n"/>
      <c r="AR216" s="102" t="n"/>
    </row>
    <row r="217">
      <c r="D217" s="103" t="n"/>
      <c r="E217" s="103" t="n"/>
      <c r="F217" s="103" t="n"/>
      <c r="G217" s="103" t="n"/>
      <c r="H217" s="103" t="n"/>
      <c r="I217" s="103" t="n"/>
      <c r="J217" s="103" t="n"/>
      <c r="K217" s="103" t="n"/>
      <c r="L217" s="103" t="n"/>
      <c r="M217" s="103" t="n"/>
      <c r="N217" s="103" t="n"/>
      <c r="O217" s="103" t="n"/>
      <c r="P217" s="103" t="n"/>
      <c r="Q217" s="103" t="n"/>
      <c r="R217" s="103" t="n"/>
      <c r="S217" s="103" t="n"/>
      <c r="T217" s="103" t="n"/>
      <c r="U217" s="103" t="n"/>
      <c r="V217" s="103" t="n"/>
      <c r="W217" s="103" t="n"/>
      <c r="X217" s="103" t="n"/>
      <c r="Y217" s="103" t="n"/>
      <c r="Z217" s="103" t="n"/>
      <c r="AA217" s="103" t="n"/>
      <c r="AB217" s="103" t="n"/>
      <c r="AC217" s="103" t="n"/>
      <c r="AD217" s="103" t="n"/>
      <c r="AE217" s="103" t="n"/>
      <c r="AF217" s="103" t="n"/>
      <c r="AG217" s="103" t="n"/>
      <c r="AH217" s="103" t="n"/>
      <c r="AI217" s="103" t="n"/>
      <c r="AJ217" s="103" t="n"/>
      <c r="AK217" s="103" t="n"/>
      <c r="AL217" s="103" t="n"/>
      <c r="AM217" s="103" t="n"/>
      <c r="AN217" s="103" t="n"/>
      <c r="AO217" s="103" t="n"/>
      <c r="AP217" s="103" t="n"/>
      <c r="AQ217" s="103" t="n"/>
      <c r="AR217" s="103" t="n"/>
    </row>
    <row r="219">
      <c r="A219" s="8">
        <f>IF(HSI!$C$26="","",HSI!$C$26)</f>
        <v/>
      </c>
      <c r="B219" s="99">
        <f>IF($A219="",0,COUNT($E220:$AR220))</f>
        <v/>
      </c>
      <c r="C219" s="100">
        <f>IF($B219=0,0,MAX($E220:$AR220))</f>
        <v/>
      </c>
      <c r="D219" s="101">
        <f>BDS($A219,FLD_HIST,"headers=y","startcol=1","endcol=7","dir=h","DVD_START_DT",HIST_FROM,"DVD_END_DT",HIST_TO)</f>
        <v/>
      </c>
      <c r="E219" s="102" t="n"/>
      <c r="F219" s="102" t="n"/>
      <c r="G219" s="102" t="n"/>
      <c r="H219" s="102" t="n"/>
      <c r="I219" s="102" t="n"/>
      <c r="J219" s="102" t="n"/>
      <c r="K219" s="102" t="n"/>
      <c r="L219" s="102" t="n"/>
      <c r="M219" s="102" t="n"/>
      <c r="N219" s="102" t="n"/>
      <c r="O219" s="102" t="n"/>
      <c r="P219" s="102" t="n"/>
      <c r="Q219" s="102" t="n"/>
      <c r="R219" s="102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 t="n"/>
      <c r="AE219" s="102" t="n"/>
      <c r="AF219" s="102" t="n"/>
      <c r="AG219" s="102" t="n"/>
      <c r="AH219" s="102" t="n"/>
      <c r="AI219" s="102" t="n"/>
      <c r="AJ219" s="102" t="n"/>
      <c r="AK219" s="102" t="n"/>
      <c r="AL219" s="102" t="n"/>
      <c r="AM219" s="102" t="n"/>
      <c r="AN219" s="102" t="n"/>
      <c r="AO219" s="102" t="n"/>
      <c r="AP219" s="102" t="n"/>
      <c r="AQ219" s="102" t="n"/>
      <c r="AR219" s="102" t="n"/>
    </row>
    <row r="220">
      <c r="D220" s="102" t="n"/>
      <c r="E220" s="102" t="n"/>
      <c r="F220" s="102" t="n"/>
      <c r="G220" s="102" t="n"/>
      <c r="H220" s="102" t="n"/>
      <c r="I220" s="102" t="n"/>
      <c r="J220" s="102" t="n"/>
      <c r="K220" s="102" t="n"/>
      <c r="L220" s="102" t="n"/>
      <c r="M220" s="102" t="n"/>
      <c r="N220" s="102" t="n"/>
      <c r="O220" s="102" t="n"/>
      <c r="P220" s="102" t="n"/>
      <c r="Q220" s="102" t="n"/>
      <c r="R220" s="102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 t="n"/>
      <c r="AE220" s="102" t="n"/>
      <c r="AF220" s="102" t="n"/>
      <c r="AG220" s="102" t="n"/>
      <c r="AH220" s="102" t="n"/>
      <c r="AI220" s="102" t="n"/>
      <c r="AJ220" s="102" t="n"/>
      <c r="AK220" s="102" t="n"/>
      <c r="AL220" s="102" t="n"/>
      <c r="AM220" s="102" t="n"/>
      <c r="AN220" s="102" t="n"/>
      <c r="AO220" s="102" t="n"/>
      <c r="AP220" s="102" t="n"/>
      <c r="AQ220" s="102" t="n"/>
      <c r="AR220" s="102" t="n"/>
    </row>
    <row r="221">
      <c r="D221" s="102" t="n"/>
      <c r="E221" s="102" t="n"/>
      <c r="F221" s="102" t="n"/>
      <c r="G221" s="102" t="n"/>
      <c r="H221" s="102" t="n"/>
      <c r="I221" s="102" t="n"/>
      <c r="J221" s="102" t="n"/>
      <c r="K221" s="102" t="n"/>
      <c r="L221" s="102" t="n"/>
      <c r="M221" s="102" t="n"/>
      <c r="N221" s="102" t="n"/>
      <c r="O221" s="102" t="n"/>
      <c r="P221" s="102" t="n"/>
      <c r="Q221" s="102" t="n"/>
      <c r="R221" s="102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 t="n"/>
      <c r="AE221" s="102" t="n"/>
      <c r="AF221" s="102" t="n"/>
      <c r="AG221" s="102" t="n"/>
      <c r="AH221" s="102" t="n"/>
      <c r="AI221" s="102" t="n"/>
      <c r="AJ221" s="102" t="n"/>
      <c r="AK221" s="102" t="n"/>
      <c r="AL221" s="102" t="n"/>
      <c r="AM221" s="102" t="n"/>
      <c r="AN221" s="102" t="n"/>
      <c r="AO221" s="102" t="n"/>
      <c r="AP221" s="102" t="n"/>
      <c r="AQ221" s="102" t="n"/>
      <c r="AR221" s="102" t="n"/>
    </row>
    <row r="222">
      <c r="D222" s="102" t="n"/>
      <c r="E222" s="102" t="n"/>
      <c r="F222" s="102" t="n"/>
      <c r="G222" s="102" t="n"/>
      <c r="H222" s="102" t="n"/>
      <c r="I222" s="102" t="n"/>
      <c r="J222" s="102" t="n"/>
      <c r="K222" s="102" t="n"/>
      <c r="L222" s="102" t="n"/>
      <c r="M222" s="102" t="n"/>
      <c r="N222" s="102" t="n"/>
      <c r="O222" s="102" t="n"/>
      <c r="P222" s="102" t="n"/>
      <c r="Q222" s="102" t="n"/>
      <c r="R222" s="102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 t="n"/>
      <c r="AE222" s="102" t="n"/>
      <c r="AF222" s="102" t="n"/>
      <c r="AG222" s="102" t="n"/>
      <c r="AH222" s="102" t="n"/>
      <c r="AI222" s="102" t="n"/>
      <c r="AJ222" s="102" t="n"/>
      <c r="AK222" s="102" t="n"/>
      <c r="AL222" s="102" t="n"/>
      <c r="AM222" s="102" t="n"/>
      <c r="AN222" s="102" t="n"/>
      <c r="AO222" s="102" t="n"/>
      <c r="AP222" s="102" t="n"/>
      <c r="AQ222" s="102" t="n"/>
      <c r="AR222" s="102" t="n"/>
    </row>
    <row r="223">
      <c r="D223" s="103" t="n"/>
      <c r="E223" s="103" t="n"/>
      <c r="F223" s="103" t="n"/>
      <c r="G223" s="103" t="n"/>
      <c r="H223" s="103" t="n"/>
      <c r="I223" s="103" t="n"/>
      <c r="J223" s="103" t="n"/>
      <c r="K223" s="103" t="n"/>
      <c r="L223" s="103" t="n"/>
      <c r="M223" s="103" t="n"/>
      <c r="N223" s="103" t="n"/>
      <c r="O223" s="103" t="n"/>
      <c r="P223" s="103" t="n"/>
      <c r="Q223" s="103" t="n"/>
      <c r="R223" s="103" t="n"/>
      <c r="S223" s="103" t="n"/>
      <c r="T223" s="103" t="n"/>
      <c r="U223" s="103" t="n"/>
      <c r="V223" s="103" t="n"/>
      <c r="W223" s="103" t="n"/>
      <c r="X223" s="103" t="n"/>
      <c r="Y223" s="103" t="n"/>
      <c r="Z223" s="103" t="n"/>
      <c r="AA223" s="103" t="n"/>
      <c r="AB223" s="103" t="n"/>
      <c r="AC223" s="103" t="n"/>
      <c r="AD223" s="103" t="n"/>
      <c r="AE223" s="103" t="n"/>
      <c r="AF223" s="103" t="n"/>
      <c r="AG223" s="103" t="n"/>
      <c r="AH223" s="103" t="n"/>
      <c r="AI223" s="103" t="n"/>
      <c r="AJ223" s="103" t="n"/>
      <c r="AK223" s="103" t="n"/>
      <c r="AL223" s="103" t="n"/>
      <c r="AM223" s="103" t="n"/>
      <c r="AN223" s="103" t="n"/>
      <c r="AO223" s="103" t="n"/>
      <c r="AP223" s="103" t="n"/>
      <c r="AQ223" s="103" t="n"/>
      <c r="AR223" s="103" t="n"/>
    </row>
    <row r="226">
      <c r="A226" s="2">
        <f>IF($A219="","","   projections")</f>
        <v/>
      </c>
      <c r="B226" s="99">
        <f>IF($A219="",0,COUNT($E227:$AR227))</f>
        <v/>
      </c>
      <c r="C226" s="100">
        <f>IF($B226=0,0,MAX($E227:$AR227))</f>
        <v/>
      </c>
      <c r="D226" s="101">
        <f>BDS($A219,FLD_PROJ,"headers=y","startcol=1","endcol=3","dir=h")</f>
        <v/>
      </c>
      <c r="E226" s="102" t="n"/>
      <c r="F226" s="102" t="n"/>
      <c r="G226" s="102" t="n"/>
      <c r="H226" s="102" t="n"/>
      <c r="I226" s="102" t="n"/>
      <c r="J226" s="102" t="n"/>
      <c r="K226" s="102" t="n"/>
      <c r="L226" s="102" t="n"/>
      <c r="M226" s="102" t="n"/>
      <c r="N226" s="102" t="n"/>
      <c r="O226" s="102" t="n"/>
      <c r="P226" s="102" t="n"/>
      <c r="Q226" s="102" t="n"/>
      <c r="R226" s="102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 t="n"/>
      <c r="AE226" s="102" t="n"/>
      <c r="AF226" s="102" t="n"/>
      <c r="AG226" s="102" t="n"/>
      <c r="AH226" s="102" t="n"/>
      <c r="AI226" s="102" t="n"/>
      <c r="AJ226" s="102" t="n"/>
      <c r="AK226" s="102" t="n"/>
      <c r="AL226" s="102" t="n"/>
      <c r="AM226" s="102" t="n"/>
      <c r="AN226" s="102" t="n"/>
      <c r="AO226" s="102" t="n"/>
      <c r="AP226" s="102" t="n"/>
      <c r="AQ226" s="102" t="n"/>
      <c r="AR226" s="102" t="n"/>
    </row>
    <row r="227">
      <c r="D227" s="102" t="n"/>
      <c r="E227" s="102" t="n"/>
      <c r="F227" s="102" t="n"/>
      <c r="G227" s="102" t="n"/>
      <c r="H227" s="102" t="n"/>
      <c r="I227" s="102" t="n"/>
      <c r="J227" s="102" t="n"/>
      <c r="K227" s="102" t="n"/>
      <c r="L227" s="102" t="n"/>
      <c r="M227" s="102" t="n"/>
      <c r="N227" s="102" t="n"/>
      <c r="O227" s="102" t="n"/>
      <c r="P227" s="102" t="n"/>
      <c r="Q227" s="102" t="n"/>
      <c r="R227" s="102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 t="n"/>
      <c r="AE227" s="102" t="n"/>
      <c r="AF227" s="102" t="n"/>
      <c r="AG227" s="102" t="n"/>
      <c r="AH227" s="102" t="n"/>
      <c r="AI227" s="102" t="n"/>
      <c r="AJ227" s="102" t="n"/>
      <c r="AK227" s="102" t="n"/>
      <c r="AL227" s="102" t="n"/>
      <c r="AM227" s="102" t="n"/>
      <c r="AN227" s="102" t="n"/>
      <c r="AO227" s="102" t="n"/>
      <c r="AP227" s="102" t="n"/>
      <c r="AQ227" s="102" t="n"/>
      <c r="AR227" s="102" t="n"/>
    </row>
    <row r="228">
      <c r="D228" s="103" t="n"/>
      <c r="E228" s="103" t="n"/>
      <c r="F228" s="103" t="n"/>
      <c r="G228" s="103" t="n"/>
      <c r="H228" s="103" t="n"/>
      <c r="I228" s="103" t="n"/>
      <c r="J228" s="103" t="n"/>
      <c r="K228" s="103" t="n"/>
      <c r="L228" s="103" t="n"/>
      <c r="M228" s="103" t="n"/>
      <c r="N228" s="103" t="n"/>
      <c r="O228" s="103" t="n"/>
      <c r="P228" s="103" t="n"/>
      <c r="Q228" s="103" t="n"/>
      <c r="R228" s="103" t="n"/>
      <c r="S228" s="103" t="n"/>
      <c r="T228" s="103" t="n"/>
      <c r="U228" s="103" t="n"/>
      <c r="V228" s="103" t="n"/>
      <c r="W228" s="103" t="n"/>
      <c r="X228" s="103" t="n"/>
      <c r="Y228" s="103" t="n"/>
      <c r="Z228" s="103" t="n"/>
      <c r="AA228" s="103" t="n"/>
      <c r="AB228" s="103" t="n"/>
      <c r="AC228" s="103" t="n"/>
      <c r="AD228" s="103" t="n"/>
      <c r="AE228" s="103" t="n"/>
      <c r="AF228" s="103" t="n"/>
      <c r="AG228" s="103" t="n"/>
      <c r="AH228" s="103" t="n"/>
      <c r="AI228" s="103" t="n"/>
      <c r="AJ228" s="103" t="n"/>
      <c r="AK228" s="103" t="n"/>
      <c r="AL228" s="103" t="n"/>
      <c r="AM228" s="103" t="n"/>
      <c r="AN228" s="103" t="n"/>
      <c r="AO228" s="103" t="n"/>
      <c r="AP228" s="103" t="n"/>
      <c r="AQ228" s="103" t="n"/>
      <c r="AR228" s="103" t="n"/>
    </row>
    <row r="230">
      <c r="A230" s="8">
        <f>IF(HSI!$C$27="","",HSI!$C$27)</f>
        <v/>
      </c>
      <c r="B230" s="99">
        <f>IF($A230="",0,COUNT($E231:$AR231))</f>
        <v/>
      </c>
      <c r="C230" s="100">
        <f>IF($B230=0,0,MAX($E231:$AR231))</f>
        <v/>
      </c>
      <c r="D230" s="101">
        <f>BDS($A230,FLD_HIST,"headers=y","startcol=1","endcol=7","dir=h","DVD_START_DT",HIST_FROM,"DVD_END_DT",HIST_TO)</f>
        <v/>
      </c>
      <c r="E230" s="102" t="n"/>
      <c r="F230" s="102" t="n"/>
      <c r="G230" s="102" t="n"/>
      <c r="H230" s="102" t="n"/>
      <c r="I230" s="102" t="n"/>
      <c r="J230" s="102" t="n"/>
      <c r="K230" s="102" t="n"/>
      <c r="L230" s="102" t="n"/>
      <c r="M230" s="102" t="n"/>
      <c r="N230" s="102" t="n"/>
      <c r="O230" s="102" t="n"/>
      <c r="P230" s="102" t="n"/>
      <c r="Q230" s="102" t="n"/>
      <c r="R230" s="102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 t="n"/>
      <c r="AE230" s="102" t="n"/>
      <c r="AF230" s="102" t="n"/>
      <c r="AG230" s="102" t="n"/>
      <c r="AH230" s="102" t="n"/>
      <c r="AI230" s="102" t="n"/>
      <c r="AJ230" s="102" t="n"/>
      <c r="AK230" s="102" t="n"/>
      <c r="AL230" s="102" t="n"/>
      <c r="AM230" s="102" t="n"/>
      <c r="AN230" s="102" t="n"/>
      <c r="AO230" s="102" t="n"/>
      <c r="AP230" s="102" t="n"/>
      <c r="AQ230" s="102" t="n"/>
      <c r="AR230" s="102" t="n"/>
    </row>
    <row r="231">
      <c r="D231" s="102" t="n"/>
      <c r="E231" s="102" t="n"/>
      <c r="F231" s="102" t="n"/>
      <c r="G231" s="102" t="n"/>
      <c r="H231" s="102" t="n"/>
      <c r="I231" s="102" t="n"/>
      <c r="J231" s="102" t="n"/>
      <c r="K231" s="102" t="n"/>
      <c r="L231" s="102" t="n"/>
      <c r="M231" s="102" t="n"/>
      <c r="N231" s="102" t="n"/>
      <c r="O231" s="102" t="n"/>
      <c r="P231" s="102" t="n"/>
      <c r="Q231" s="102" t="n"/>
      <c r="R231" s="102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 t="n"/>
      <c r="AE231" s="102" t="n"/>
      <c r="AF231" s="102" t="n"/>
      <c r="AG231" s="102" t="n"/>
      <c r="AH231" s="102" t="n"/>
      <c r="AI231" s="102" t="n"/>
      <c r="AJ231" s="102" t="n"/>
      <c r="AK231" s="102" t="n"/>
      <c r="AL231" s="102" t="n"/>
      <c r="AM231" s="102" t="n"/>
      <c r="AN231" s="102" t="n"/>
      <c r="AO231" s="102" t="n"/>
      <c r="AP231" s="102" t="n"/>
      <c r="AQ231" s="102" t="n"/>
      <c r="AR231" s="102" t="n"/>
    </row>
    <row r="232">
      <c r="D232" s="102" t="n"/>
      <c r="E232" s="102" t="n"/>
      <c r="F232" s="102" t="n"/>
      <c r="G232" s="102" t="n"/>
      <c r="H232" s="102" t="n"/>
      <c r="I232" s="102" t="n"/>
      <c r="J232" s="102" t="n"/>
      <c r="K232" s="102" t="n"/>
      <c r="L232" s="102" t="n"/>
      <c r="M232" s="102" t="n"/>
      <c r="N232" s="102" t="n"/>
      <c r="O232" s="102" t="n"/>
      <c r="P232" s="102" t="n"/>
      <c r="Q232" s="102" t="n"/>
      <c r="R232" s="102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 t="n"/>
      <c r="AE232" s="102" t="n"/>
      <c r="AF232" s="102" t="n"/>
      <c r="AG232" s="102" t="n"/>
      <c r="AH232" s="102" t="n"/>
      <c r="AI232" s="102" t="n"/>
      <c r="AJ232" s="102" t="n"/>
      <c r="AK232" s="102" t="n"/>
      <c r="AL232" s="102" t="n"/>
      <c r="AM232" s="102" t="n"/>
      <c r="AN232" s="102" t="n"/>
      <c r="AO232" s="102" t="n"/>
      <c r="AP232" s="102" t="n"/>
      <c r="AQ232" s="102" t="n"/>
      <c r="AR232" s="102" t="n"/>
    </row>
    <row r="233">
      <c r="D233" s="102" t="n"/>
      <c r="E233" s="102" t="n"/>
      <c r="F233" s="102" t="n"/>
      <c r="G233" s="102" t="n"/>
      <c r="H233" s="102" t="n"/>
      <c r="I233" s="102" t="n"/>
      <c r="J233" s="102" t="n"/>
      <c r="K233" s="102" t="n"/>
      <c r="L233" s="102" t="n"/>
      <c r="M233" s="102" t="n"/>
      <c r="N233" s="102" t="n"/>
      <c r="O233" s="102" t="n"/>
      <c r="P233" s="102" t="n"/>
      <c r="Q233" s="102" t="n"/>
      <c r="R233" s="102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 t="n"/>
      <c r="AE233" s="102" t="n"/>
      <c r="AF233" s="102" t="n"/>
      <c r="AG233" s="102" t="n"/>
      <c r="AH233" s="102" t="n"/>
      <c r="AI233" s="102" t="n"/>
      <c r="AJ233" s="102" t="n"/>
      <c r="AK233" s="102" t="n"/>
      <c r="AL233" s="102" t="n"/>
      <c r="AM233" s="102" t="n"/>
      <c r="AN233" s="102" t="n"/>
      <c r="AO233" s="102" t="n"/>
      <c r="AP233" s="102" t="n"/>
      <c r="AQ233" s="102" t="n"/>
      <c r="AR233" s="102" t="n"/>
    </row>
    <row r="234">
      <c r="D234" s="103" t="n"/>
      <c r="E234" s="103" t="n"/>
      <c r="F234" s="103" t="n"/>
      <c r="G234" s="103" t="n"/>
      <c r="H234" s="103" t="n"/>
      <c r="I234" s="103" t="n"/>
      <c r="J234" s="103" t="n"/>
      <c r="K234" s="103" t="n"/>
      <c r="L234" s="103" t="n"/>
      <c r="M234" s="103" t="n"/>
      <c r="N234" s="103" t="n"/>
      <c r="O234" s="103" t="n"/>
      <c r="P234" s="103" t="n"/>
      <c r="Q234" s="103" t="n"/>
      <c r="R234" s="103" t="n"/>
      <c r="S234" s="103" t="n"/>
      <c r="T234" s="103" t="n"/>
      <c r="U234" s="103" t="n"/>
      <c r="V234" s="103" t="n"/>
      <c r="W234" s="103" t="n"/>
      <c r="X234" s="103" t="n"/>
      <c r="Y234" s="103" t="n"/>
      <c r="Z234" s="103" t="n"/>
      <c r="AA234" s="103" t="n"/>
      <c r="AB234" s="103" t="n"/>
      <c r="AC234" s="103" t="n"/>
      <c r="AD234" s="103" t="n"/>
      <c r="AE234" s="103" t="n"/>
      <c r="AF234" s="103" t="n"/>
      <c r="AG234" s="103" t="n"/>
      <c r="AH234" s="103" t="n"/>
      <c r="AI234" s="103" t="n"/>
      <c r="AJ234" s="103" t="n"/>
      <c r="AK234" s="103" t="n"/>
      <c r="AL234" s="103" t="n"/>
      <c r="AM234" s="103" t="n"/>
      <c r="AN234" s="103" t="n"/>
      <c r="AO234" s="103" t="n"/>
      <c r="AP234" s="103" t="n"/>
      <c r="AQ234" s="103" t="n"/>
      <c r="AR234" s="103" t="n"/>
    </row>
    <row r="237">
      <c r="A237" s="2">
        <f>IF($A230="","","   projections")</f>
        <v/>
      </c>
      <c r="B237" s="99">
        <f>IF($A230="",0,COUNT($E238:$AR238))</f>
        <v/>
      </c>
      <c r="C237" s="100">
        <f>IF($B237=0,0,MAX($E238:$AR238))</f>
        <v/>
      </c>
      <c r="D237" s="101">
        <f>BDS($A230,FLD_PROJ,"headers=y","startcol=1","endcol=3","dir=h")</f>
        <v/>
      </c>
      <c r="E237" s="102" t="n"/>
      <c r="F237" s="102" t="n"/>
      <c r="G237" s="102" t="n"/>
      <c r="H237" s="102" t="n"/>
      <c r="I237" s="102" t="n"/>
      <c r="J237" s="102" t="n"/>
      <c r="K237" s="102" t="n"/>
      <c r="L237" s="102" t="n"/>
      <c r="M237" s="102" t="n"/>
      <c r="N237" s="102" t="n"/>
      <c r="O237" s="102" t="n"/>
      <c r="P237" s="102" t="n"/>
      <c r="Q237" s="102" t="n"/>
      <c r="R237" s="102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 t="n"/>
      <c r="AE237" s="102" t="n"/>
      <c r="AF237" s="102" t="n"/>
      <c r="AG237" s="102" t="n"/>
      <c r="AH237" s="102" t="n"/>
      <c r="AI237" s="102" t="n"/>
      <c r="AJ237" s="102" t="n"/>
      <c r="AK237" s="102" t="n"/>
      <c r="AL237" s="102" t="n"/>
      <c r="AM237" s="102" t="n"/>
      <c r="AN237" s="102" t="n"/>
      <c r="AO237" s="102" t="n"/>
      <c r="AP237" s="102" t="n"/>
      <c r="AQ237" s="102" t="n"/>
      <c r="AR237" s="102" t="n"/>
    </row>
    <row r="238">
      <c r="D238" s="102" t="n"/>
      <c r="E238" s="102" t="n"/>
      <c r="F238" s="102" t="n"/>
      <c r="G238" s="102" t="n"/>
      <c r="H238" s="102" t="n"/>
      <c r="I238" s="102" t="n"/>
      <c r="J238" s="102" t="n"/>
      <c r="K238" s="102" t="n"/>
      <c r="L238" s="102" t="n"/>
      <c r="M238" s="102" t="n"/>
      <c r="N238" s="102" t="n"/>
      <c r="O238" s="102" t="n"/>
      <c r="P238" s="102" t="n"/>
      <c r="Q238" s="102" t="n"/>
      <c r="R238" s="102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 t="n"/>
      <c r="AE238" s="102" t="n"/>
      <c r="AF238" s="102" t="n"/>
      <c r="AG238" s="102" t="n"/>
      <c r="AH238" s="102" t="n"/>
      <c r="AI238" s="102" t="n"/>
      <c r="AJ238" s="102" t="n"/>
      <c r="AK238" s="102" t="n"/>
      <c r="AL238" s="102" t="n"/>
      <c r="AM238" s="102" t="n"/>
      <c r="AN238" s="102" t="n"/>
      <c r="AO238" s="102" t="n"/>
      <c r="AP238" s="102" t="n"/>
      <c r="AQ238" s="102" t="n"/>
      <c r="AR238" s="102" t="n"/>
    </row>
    <row r="239">
      <c r="D239" s="103" t="n"/>
      <c r="E239" s="103" t="n"/>
      <c r="F239" s="103" t="n"/>
      <c r="G239" s="103" t="n"/>
      <c r="H239" s="103" t="n"/>
      <c r="I239" s="103" t="n"/>
      <c r="J239" s="103" t="n"/>
      <c r="K239" s="103" t="n"/>
      <c r="L239" s="103" t="n"/>
      <c r="M239" s="103" t="n"/>
      <c r="N239" s="103" t="n"/>
      <c r="O239" s="103" t="n"/>
      <c r="P239" s="103" t="n"/>
      <c r="Q239" s="103" t="n"/>
      <c r="R239" s="103" t="n"/>
      <c r="S239" s="103" t="n"/>
      <c r="T239" s="103" t="n"/>
      <c r="U239" s="103" t="n"/>
      <c r="V239" s="103" t="n"/>
      <c r="W239" s="103" t="n"/>
      <c r="X239" s="103" t="n"/>
      <c r="Y239" s="103" t="n"/>
      <c r="Z239" s="103" t="n"/>
      <c r="AA239" s="103" t="n"/>
      <c r="AB239" s="103" t="n"/>
      <c r="AC239" s="103" t="n"/>
      <c r="AD239" s="103" t="n"/>
      <c r="AE239" s="103" t="n"/>
      <c r="AF239" s="103" t="n"/>
      <c r="AG239" s="103" t="n"/>
      <c r="AH239" s="103" t="n"/>
      <c r="AI239" s="103" t="n"/>
      <c r="AJ239" s="103" t="n"/>
      <c r="AK239" s="103" t="n"/>
      <c r="AL239" s="103" t="n"/>
      <c r="AM239" s="103" t="n"/>
      <c r="AN239" s="103" t="n"/>
      <c r="AO239" s="103" t="n"/>
      <c r="AP239" s="103" t="n"/>
      <c r="AQ239" s="103" t="n"/>
      <c r="AR239" s="103" t="n"/>
    </row>
    <row r="241">
      <c r="A241" s="8">
        <f>IF(HSI!$C$28="","",HSI!$C$28)</f>
        <v/>
      </c>
      <c r="B241" s="99">
        <f>IF($A241="",0,COUNT($E242:$AR242))</f>
        <v/>
      </c>
      <c r="C241" s="100">
        <f>IF($B241=0,0,MAX($E242:$AR242))</f>
        <v/>
      </c>
      <c r="D241" s="101">
        <f>BDS($A241,FLD_HIST,"headers=y","startcol=1","endcol=7","dir=h","DVD_START_DT",HIST_FROM,"DVD_END_DT",HIST_TO)</f>
        <v/>
      </c>
      <c r="E241" s="102" t="n"/>
      <c r="F241" s="102" t="n"/>
      <c r="G241" s="102" t="n"/>
      <c r="H241" s="102" t="n"/>
      <c r="I241" s="102" t="n"/>
      <c r="J241" s="102" t="n"/>
      <c r="K241" s="102" t="n"/>
      <c r="L241" s="102" t="n"/>
      <c r="M241" s="102" t="n"/>
      <c r="N241" s="102" t="n"/>
      <c r="O241" s="102" t="n"/>
      <c r="P241" s="102" t="n"/>
      <c r="Q241" s="102" t="n"/>
      <c r="R241" s="102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 t="n"/>
      <c r="AE241" s="102" t="n"/>
      <c r="AF241" s="102" t="n"/>
      <c r="AG241" s="102" t="n"/>
      <c r="AH241" s="102" t="n"/>
      <c r="AI241" s="102" t="n"/>
      <c r="AJ241" s="102" t="n"/>
      <c r="AK241" s="102" t="n"/>
      <c r="AL241" s="102" t="n"/>
      <c r="AM241" s="102" t="n"/>
      <c r="AN241" s="102" t="n"/>
      <c r="AO241" s="102" t="n"/>
      <c r="AP241" s="102" t="n"/>
      <c r="AQ241" s="102" t="n"/>
      <c r="AR241" s="102" t="n"/>
    </row>
    <row r="242">
      <c r="D242" s="102" t="n"/>
      <c r="E242" s="102" t="n"/>
      <c r="F242" s="102" t="n"/>
      <c r="G242" s="102" t="n"/>
      <c r="H242" s="102" t="n"/>
      <c r="I242" s="102" t="n"/>
      <c r="J242" s="102" t="n"/>
      <c r="K242" s="102" t="n"/>
      <c r="L242" s="102" t="n"/>
      <c r="M242" s="102" t="n"/>
      <c r="N242" s="102" t="n"/>
      <c r="O242" s="102" t="n"/>
      <c r="P242" s="102" t="n"/>
      <c r="Q242" s="102" t="n"/>
      <c r="R242" s="102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 t="n"/>
      <c r="AE242" s="102" t="n"/>
      <c r="AF242" s="102" t="n"/>
      <c r="AG242" s="102" t="n"/>
      <c r="AH242" s="102" t="n"/>
      <c r="AI242" s="102" t="n"/>
      <c r="AJ242" s="102" t="n"/>
      <c r="AK242" s="102" t="n"/>
      <c r="AL242" s="102" t="n"/>
      <c r="AM242" s="102" t="n"/>
      <c r="AN242" s="102" t="n"/>
      <c r="AO242" s="102" t="n"/>
      <c r="AP242" s="102" t="n"/>
      <c r="AQ242" s="102" t="n"/>
      <c r="AR242" s="102" t="n"/>
    </row>
    <row r="243">
      <c r="D243" s="102" t="n"/>
      <c r="E243" s="102" t="n"/>
      <c r="F243" s="102" t="n"/>
      <c r="G243" s="102" t="n"/>
      <c r="H243" s="102" t="n"/>
      <c r="I243" s="102" t="n"/>
      <c r="J243" s="102" t="n"/>
      <c r="K243" s="102" t="n"/>
      <c r="L243" s="102" t="n"/>
      <c r="M243" s="102" t="n"/>
      <c r="N243" s="102" t="n"/>
      <c r="O243" s="102" t="n"/>
      <c r="P243" s="102" t="n"/>
      <c r="Q243" s="102" t="n"/>
      <c r="R243" s="102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 t="n"/>
      <c r="AE243" s="102" t="n"/>
      <c r="AF243" s="102" t="n"/>
      <c r="AG243" s="102" t="n"/>
      <c r="AH243" s="102" t="n"/>
      <c r="AI243" s="102" t="n"/>
      <c r="AJ243" s="102" t="n"/>
      <c r="AK243" s="102" t="n"/>
      <c r="AL243" s="102" t="n"/>
      <c r="AM243" s="102" t="n"/>
      <c r="AN243" s="102" t="n"/>
      <c r="AO243" s="102" t="n"/>
      <c r="AP243" s="102" t="n"/>
      <c r="AQ243" s="102" t="n"/>
      <c r="AR243" s="102" t="n"/>
    </row>
    <row r="244">
      <c r="D244" s="102" t="n"/>
      <c r="E244" s="102" t="n"/>
      <c r="F244" s="102" t="n"/>
      <c r="G244" s="102" t="n"/>
      <c r="H244" s="102" t="n"/>
      <c r="I244" s="102" t="n"/>
      <c r="J244" s="102" t="n"/>
      <c r="K244" s="102" t="n"/>
      <c r="L244" s="102" t="n"/>
      <c r="M244" s="102" t="n"/>
      <c r="N244" s="102" t="n"/>
      <c r="O244" s="102" t="n"/>
      <c r="P244" s="102" t="n"/>
      <c r="Q244" s="102" t="n"/>
      <c r="R244" s="102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 t="n"/>
      <c r="AE244" s="102" t="n"/>
      <c r="AF244" s="102" t="n"/>
      <c r="AG244" s="102" t="n"/>
      <c r="AH244" s="102" t="n"/>
      <c r="AI244" s="102" t="n"/>
      <c r="AJ244" s="102" t="n"/>
      <c r="AK244" s="102" t="n"/>
      <c r="AL244" s="102" t="n"/>
      <c r="AM244" s="102" t="n"/>
      <c r="AN244" s="102" t="n"/>
      <c r="AO244" s="102" t="n"/>
      <c r="AP244" s="102" t="n"/>
      <c r="AQ244" s="102" t="n"/>
      <c r="AR244" s="102" t="n"/>
    </row>
    <row r="245">
      <c r="D245" s="103" t="n"/>
      <c r="E245" s="103" t="n"/>
      <c r="F245" s="103" t="n"/>
      <c r="G245" s="103" t="n"/>
      <c r="H245" s="103" t="n"/>
      <c r="I245" s="103" t="n"/>
      <c r="J245" s="103" t="n"/>
      <c r="K245" s="103" t="n"/>
      <c r="L245" s="103" t="n"/>
      <c r="M245" s="103" t="n"/>
      <c r="N245" s="103" t="n"/>
      <c r="O245" s="103" t="n"/>
      <c r="P245" s="103" t="n"/>
      <c r="Q245" s="103" t="n"/>
      <c r="R245" s="103" t="n"/>
      <c r="S245" s="103" t="n"/>
      <c r="T245" s="103" t="n"/>
      <c r="U245" s="103" t="n"/>
      <c r="V245" s="103" t="n"/>
      <c r="W245" s="103" t="n"/>
      <c r="X245" s="103" t="n"/>
      <c r="Y245" s="103" t="n"/>
      <c r="Z245" s="103" t="n"/>
      <c r="AA245" s="103" t="n"/>
      <c r="AB245" s="103" t="n"/>
      <c r="AC245" s="103" t="n"/>
      <c r="AD245" s="103" t="n"/>
      <c r="AE245" s="103" t="n"/>
      <c r="AF245" s="103" t="n"/>
      <c r="AG245" s="103" t="n"/>
      <c r="AH245" s="103" t="n"/>
      <c r="AI245" s="103" t="n"/>
      <c r="AJ245" s="103" t="n"/>
      <c r="AK245" s="103" t="n"/>
      <c r="AL245" s="103" t="n"/>
      <c r="AM245" s="103" t="n"/>
      <c r="AN245" s="103" t="n"/>
      <c r="AO245" s="103" t="n"/>
      <c r="AP245" s="103" t="n"/>
      <c r="AQ245" s="103" t="n"/>
      <c r="AR245" s="103" t="n"/>
    </row>
    <row r="248">
      <c r="A248" s="2">
        <f>IF($A241="","","   projections")</f>
        <v/>
      </c>
      <c r="B248" s="99">
        <f>IF($A241="",0,COUNT($E249:$AR249))</f>
        <v/>
      </c>
      <c r="C248" s="100">
        <f>IF($B248=0,0,MAX($E249:$AR249))</f>
        <v/>
      </c>
      <c r="D248" s="101">
        <f>BDS($A241,FLD_PROJ,"headers=y","startcol=1","endcol=3","dir=h")</f>
        <v/>
      </c>
      <c r="E248" s="102" t="n"/>
      <c r="F248" s="102" t="n"/>
      <c r="G248" s="102" t="n"/>
      <c r="H248" s="102" t="n"/>
      <c r="I248" s="102" t="n"/>
      <c r="J248" s="102" t="n"/>
      <c r="K248" s="102" t="n"/>
      <c r="L248" s="102" t="n"/>
      <c r="M248" s="102" t="n"/>
      <c r="N248" s="102" t="n"/>
      <c r="O248" s="102" t="n"/>
      <c r="P248" s="102" t="n"/>
      <c r="Q248" s="102" t="n"/>
      <c r="R248" s="102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 t="n"/>
      <c r="AE248" s="102" t="n"/>
      <c r="AF248" s="102" t="n"/>
      <c r="AG248" s="102" t="n"/>
      <c r="AH248" s="102" t="n"/>
      <c r="AI248" s="102" t="n"/>
      <c r="AJ248" s="102" t="n"/>
      <c r="AK248" s="102" t="n"/>
      <c r="AL248" s="102" t="n"/>
      <c r="AM248" s="102" t="n"/>
      <c r="AN248" s="102" t="n"/>
      <c r="AO248" s="102" t="n"/>
      <c r="AP248" s="102" t="n"/>
      <c r="AQ248" s="102" t="n"/>
      <c r="AR248" s="102" t="n"/>
    </row>
    <row r="249">
      <c r="D249" s="102" t="n"/>
      <c r="E249" s="102" t="n"/>
      <c r="F249" s="102" t="n"/>
      <c r="G249" s="102" t="n"/>
      <c r="H249" s="102" t="n"/>
      <c r="I249" s="102" t="n"/>
      <c r="J249" s="102" t="n"/>
      <c r="K249" s="102" t="n"/>
      <c r="L249" s="102" t="n"/>
      <c r="M249" s="102" t="n"/>
      <c r="N249" s="102" t="n"/>
      <c r="O249" s="102" t="n"/>
      <c r="P249" s="102" t="n"/>
      <c r="Q249" s="102" t="n"/>
      <c r="R249" s="102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 t="n"/>
      <c r="AE249" s="102" t="n"/>
      <c r="AF249" s="102" t="n"/>
      <c r="AG249" s="102" t="n"/>
      <c r="AH249" s="102" t="n"/>
      <c r="AI249" s="102" t="n"/>
      <c r="AJ249" s="102" t="n"/>
      <c r="AK249" s="102" t="n"/>
      <c r="AL249" s="102" t="n"/>
      <c r="AM249" s="102" t="n"/>
      <c r="AN249" s="102" t="n"/>
      <c r="AO249" s="102" t="n"/>
      <c r="AP249" s="102" t="n"/>
      <c r="AQ249" s="102" t="n"/>
      <c r="AR249" s="102" t="n"/>
    </row>
    <row r="250">
      <c r="D250" s="103" t="n"/>
      <c r="E250" s="103" t="n"/>
      <c r="F250" s="103" t="n"/>
      <c r="G250" s="103" t="n"/>
      <c r="H250" s="103" t="n"/>
      <c r="I250" s="103" t="n"/>
      <c r="J250" s="103" t="n"/>
      <c r="K250" s="103" t="n"/>
      <c r="L250" s="103" t="n"/>
      <c r="M250" s="103" t="n"/>
      <c r="N250" s="103" t="n"/>
      <c r="O250" s="103" t="n"/>
      <c r="P250" s="103" t="n"/>
      <c r="Q250" s="103" t="n"/>
      <c r="R250" s="103" t="n"/>
      <c r="S250" s="103" t="n"/>
      <c r="T250" s="103" t="n"/>
      <c r="U250" s="103" t="n"/>
      <c r="V250" s="103" t="n"/>
      <c r="W250" s="103" t="n"/>
      <c r="X250" s="103" t="n"/>
      <c r="Y250" s="103" t="n"/>
      <c r="Z250" s="103" t="n"/>
      <c r="AA250" s="103" t="n"/>
      <c r="AB250" s="103" t="n"/>
      <c r="AC250" s="103" t="n"/>
      <c r="AD250" s="103" t="n"/>
      <c r="AE250" s="103" t="n"/>
      <c r="AF250" s="103" t="n"/>
      <c r="AG250" s="103" t="n"/>
      <c r="AH250" s="103" t="n"/>
      <c r="AI250" s="103" t="n"/>
      <c r="AJ250" s="103" t="n"/>
      <c r="AK250" s="103" t="n"/>
      <c r="AL250" s="103" t="n"/>
      <c r="AM250" s="103" t="n"/>
      <c r="AN250" s="103" t="n"/>
      <c r="AO250" s="103" t="n"/>
      <c r="AP250" s="103" t="n"/>
      <c r="AQ250" s="103" t="n"/>
      <c r="AR250" s="103" t="n"/>
    </row>
    <row r="252">
      <c r="A252" s="8">
        <f>IF(HSI!$C$29="","",HSI!$C$29)</f>
        <v/>
      </c>
      <c r="B252" s="99">
        <f>IF($A252="",0,COUNT($E253:$AR253))</f>
        <v/>
      </c>
      <c r="C252" s="100">
        <f>IF($B252=0,0,MAX($E253:$AR253))</f>
        <v/>
      </c>
      <c r="D252" s="101">
        <f>BDS($A252,FLD_HIST,"headers=y","startcol=1","endcol=7","dir=h","DVD_START_DT",HIST_FROM,"DVD_END_DT",HIST_TO)</f>
        <v/>
      </c>
      <c r="E252" s="102" t="n"/>
      <c r="F252" s="102" t="n"/>
      <c r="G252" s="102" t="n"/>
      <c r="H252" s="102" t="n"/>
      <c r="I252" s="102" t="n"/>
      <c r="J252" s="102" t="n"/>
      <c r="K252" s="102" t="n"/>
      <c r="L252" s="102" t="n"/>
      <c r="M252" s="102" t="n"/>
      <c r="N252" s="102" t="n"/>
      <c r="O252" s="102" t="n"/>
      <c r="P252" s="102" t="n"/>
      <c r="Q252" s="102" t="n"/>
      <c r="R252" s="102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 t="n"/>
      <c r="AE252" s="102" t="n"/>
      <c r="AF252" s="102" t="n"/>
      <c r="AG252" s="102" t="n"/>
      <c r="AH252" s="102" t="n"/>
      <c r="AI252" s="102" t="n"/>
      <c r="AJ252" s="102" t="n"/>
      <c r="AK252" s="102" t="n"/>
      <c r="AL252" s="102" t="n"/>
      <c r="AM252" s="102" t="n"/>
      <c r="AN252" s="102" t="n"/>
      <c r="AO252" s="102" t="n"/>
      <c r="AP252" s="102" t="n"/>
      <c r="AQ252" s="102" t="n"/>
      <c r="AR252" s="102" t="n"/>
    </row>
    <row r="253">
      <c r="D253" s="102" t="n"/>
      <c r="E253" s="102" t="n"/>
      <c r="F253" s="102" t="n"/>
      <c r="G253" s="102" t="n"/>
      <c r="H253" s="102" t="n"/>
      <c r="I253" s="102" t="n"/>
      <c r="J253" s="102" t="n"/>
      <c r="K253" s="102" t="n"/>
      <c r="L253" s="102" t="n"/>
      <c r="M253" s="102" t="n"/>
      <c r="N253" s="102" t="n"/>
      <c r="O253" s="102" t="n"/>
      <c r="P253" s="102" t="n"/>
      <c r="Q253" s="102" t="n"/>
      <c r="R253" s="102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 t="n"/>
      <c r="AE253" s="102" t="n"/>
      <c r="AF253" s="102" t="n"/>
      <c r="AG253" s="102" t="n"/>
      <c r="AH253" s="102" t="n"/>
      <c r="AI253" s="102" t="n"/>
      <c r="AJ253" s="102" t="n"/>
      <c r="AK253" s="102" t="n"/>
      <c r="AL253" s="102" t="n"/>
      <c r="AM253" s="102" t="n"/>
      <c r="AN253" s="102" t="n"/>
      <c r="AO253" s="102" t="n"/>
      <c r="AP253" s="102" t="n"/>
      <c r="AQ253" s="102" t="n"/>
      <c r="AR253" s="102" t="n"/>
    </row>
    <row r="254">
      <c r="D254" s="102" t="n"/>
      <c r="E254" s="102" t="n"/>
      <c r="F254" s="102" t="n"/>
      <c r="G254" s="102" t="n"/>
      <c r="H254" s="102" t="n"/>
      <c r="I254" s="102" t="n"/>
      <c r="J254" s="102" t="n"/>
      <c r="K254" s="102" t="n"/>
      <c r="L254" s="102" t="n"/>
      <c r="M254" s="102" t="n"/>
      <c r="N254" s="102" t="n"/>
      <c r="O254" s="102" t="n"/>
      <c r="P254" s="102" t="n"/>
      <c r="Q254" s="102" t="n"/>
      <c r="R254" s="102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 t="n"/>
      <c r="AE254" s="102" t="n"/>
      <c r="AF254" s="102" t="n"/>
      <c r="AG254" s="102" t="n"/>
      <c r="AH254" s="102" t="n"/>
      <c r="AI254" s="102" t="n"/>
      <c r="AJ254" s="102" t="n"/>
      <c r="AK254" s="102" t="n"/>
      <c r="AL254" s="102" t="n"/>
      <c r="AM254" s="102" t="n"/>
      <c r="AN254" s="102" t="n"/>
      <c r="AO254" s="102" t="n"/>
      <c r="AP254" s="102" t="n"/>
      <c r="AQ254" s="102" t="n"/>
      <c r="AR254" s="102" t="n"/>
    </row>
    <row r="255">
      <c r="D255" s="102" t="n"/>
      <c r="E255" s="102" t="n"/>
      <c r="F255" s="102" t="n"/>
      <c r="G255" s="102" t="n"/>
      <c r="H255" s="102" t="n"/>
      <c r="I255" s="102" t="n"/>
      <c r="J255" s="102" t="n"/>
      <c r="K255" s="102" t="n"/>
      <c r="L255" s="102" t="n"/>
      <c r="M255" s="102" t="n"/>
      <c r="N255" s="102" t="n"/>
      <c r="O255" s="102" t="n"/>
      <c r="P255" s="102" t="n"/>
      <c r="Q255" s="102" t="n"/>
      <c r="R255" s="102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 t="n"/>
      <c r="AE255" s="102" t="n"/>
      <c r="AF255" s="102" t="n"/>
      <c r="AG255" s="102" t="n"/>
      <c r="AH255" s="102" t="n"/>
      <c r="AI255" s="102" t="n"/>
      <c r="AJ255" s="102" t="n"/>
      <c r="AK255" s="102" t="n"/>
      <c r="AL255" s="102" t="n"/>
      <c r="AM255" s="102" t="n"/>
      <c r="AN255" s="102" t="n"/>
      <c r="AO255" s="102" t="n"/>
      <c r="AP255" s="102" t="n"/>
      <c r="AQ255" s="102" t="n"/>
      <c r="AR255" s="102" t="n"/>
    </row>
    <row r="256">
      <c r="D256" s="103" t="n"/>
      <c r="E256" s="103" t="n"/>
      <c r="F256" s="103" t="n"/>
      <c r="G256" s="103" t="n"/>
      <c r="H256" s="103" t="n"/>
      <c r="I256" s="103" t="n"/>
      <c r="J256" s="103" t="n"/>
      <c r="K256" s="103" t="n"/>
      <c r="L256" s="103" t="n"/>
      <c r="M256" s="103" t="n"/>
      <c r="N256" s="103" t="n"/>
      <c r="O256" s="103" t="n"/>
      <c r="P256" s="103" t="n"/>
      <c r="Q256" s="103" t="n"/>
      <c r="R256" s="103" t="n"/>
      <c r="S256" s="103" t="n"/>
      <c r="T256" s="103" t="n"/>
      <c r="U256" s="103" t="n"/>
      <c r="V256" s="103" t="n"/>
      <c r="W256" s="103" t="n"/>
      <c r="X256" s="103" t="n"/>
      <c r="Y256" s="103" t="n"/>
      <c r="Z256" s="103" t="n"/>
      <c r="AA256" s="103" t="n"/>
      <c r="AB256" s="103" t="n"/>
      <c r="AC256" s="103" t="n"/>
      <c r="AD256" s="103" t="n"/>
      <c r="AE256" s="103" t="n"/>
      <c r="AF256" s="103" t="n"/>
      <c r="AG256" s="103" t="n"/>
      <c r="AH256" s="103" t="n"/>
      <c r="AI256" s="103" t="n"/>
      <c r="AJ256" s="103" t="n"/>
      <c r="AK256" s="103" t="n"/>
      <c r="AL256" s="103" t="n"/>
      <c r="AM256" s="103" t="n"/>
      <c r="AN256" s="103" t="n"/>
      <c r="AO256" s="103" t="n"/>
      <c r="AP256" s="103" t="n"/>
      <c r="AQ256" s="103" t="n"/>
      <c r="AR256" s="103" t="n"/>
    </row>
    <row r="259">
      <c r="A259" s="2">
        <f>IF($A252="","","   projections")</f>
        <v/>
      </c>
      <c r="B259" s="99">
        <f>IF($A252="",0,COUNT($E260:$AR260))</f>
        <v/>
      </c>
      <c r="C259" s="100">
        <f>IF($B259=0,0,MAX($E260:$AR260))</f>
        <v/>
      </c>
      <c r="D259" s="101">
        <f>BDS($A252,FLD_PROJ,"headers=y","startcol=1","endcol=3","dir=h")</f>
        <v/>
      </c>
      <c r="E259" s="102" t="n"/>
      <c r="F259" s="102" t="n"/>
      <c r="G259" s="102" t="n"/>
      <c r="H259" s="102" t="n"/>
      <c r="I259" s="102" t="n"/>
      <c r="J259" s="102" t="n"/>
      <c r="K259" s="102" t="n"/>
      <c r="L259" s="102" t="n"/>
      <c r="M259" s="102" t="n"/>
      <c r="N259" s="102" t="n"/>
      <c r="O259" s="102" t="n"/>
      <c r="P259" s="102" t="n"/>
      <c r="Q259" s="102" t="n"/>
      <c r="R259" s="102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 t="n"/>
      <c r="AE259" s="102" t="n"/>
      <c r="AF259" s="102" t="n"/>
      <c r="AG259" s="102" t="n"/>
      <c r="AH259" s="102" t="n"/>
      <c r="AI259" s="102" t="n"/>
      <c r="AJ259" s="102" t="n"/>
      <c r="AK259" s="102" t="n"/>
      <c r="AL259" s="102" t="n"/>
      <c r="AM259" s="102" t="n"/>
      <c r="AN259" s="102" t="n"/>
      <c r="AO259" s="102" t="n"/>
      <c r="AP259" s="102" t="n"/>
      <c r="AQ259" s="102" t="n"/>
      <c r="AR259" s="102" t="n"/>
    </row>
    <row r="260">
      <c r="D260" s="102" t="n"/>
      <c r="E260" s="102" t="n"/>
      <c r="F260" s="102" t="n"/>
      <c r="G260" s="102" t="n"/>
      <c r="H260" s="102" t="n"/>
      <c r="I260" s="102" t="n"/>
      <c r="J260" s="102" t="n"/>
      <c r="K260" s="102" t="n"/>
      <c r="L260" s="102" t="n"/>
      <c r="M260" s="102" t="n"/>
      <c r="N260" s="102" t="n"/>
      <c r="O260" s="102" t="n"/>
      <c r="P260" s="102" t="n"/>
      <c r="Q260" s="102" t="n"/>
      <c r="R260" s="102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 t="n"/>
      <c r="AE260" s="102" t="n"/>
      <c r="AF260" s="102" t="n"/>
      <c r="AG260" s="102" t="n"/>
      <c r="AH260" s="102" t="n"/>
      <c r="AI260" s="102" t="n"/>
      <c r="AJ260" s="102" t="n"/>
      <c r="AK260" s="102" t="n"/>
      <c r="AL260" s="102" t="n"/>
      <c r="AM260" s="102" t="n"/>
      <c r="AN260" s="102" t="n"/>
      <c r="AO260" s="102" t="n"/>
      <c r="AP260" s="102" t="n"/>
      <c r="AQ260" s="102" t="n"/>
      <c r="AR260" s="102" t="n"/>
    </row>
    <row r="261">
      <c r="D261" s="103" t="n"/>
      <c r="E261" s="103" t="n"/>
      <c r="F261" s="103" t="n"/>
      <c r="G261" s="103" t="n"/>
      <c r="H261" s="103" t="n"/>
      <c r="I261" s="103" t="n"/>
      <c r="J261" s="103" t="n"/>
      <c r="K261" s="103" t="n"/>
      <c r="L261" s="103" t="n"/>
      <c r="M261" s="103" t="n"/>
      <c r="N261" s="103" t="n"/>
      <c r="O261" s="103" t="n"/>
      <c r="P261" s="103" t="n"/>
      <c r="Q261" s="103" t="n"/>
      <c r="R261" s="103" t="n"/>
      <c r="S261" s="103" t="n"/>
      <c r="T261" s="103" t="n"/>
      <c r="U261" s="103" t="n"/>
      <c r="V261" s="103" t="n"/>
      <c r="W261" s="103" t="n"/>
      <c r="X261" s="103" t="n"/>
      <c r="Y261" s="103" t="n"/>
      <c r="Z261" s="103" t="n"/>
      <c r="AA261" s="103" t="n"/>
      <c r="AB261" s="103" t="n"/>
      <c r="AC261" s="103" t="n"/>
      <c r="AD261" s="103" t="n"/>
      <c r="AE261" s="103" t="n"/>
      <c r="AF261" s="103" t="n"/>
      <c r="AG261" s="103" t="n"/>
      <c r="AH261" s="103" t="n"/>
      <c r="AI261" s="103" t="n"/>
      <c r="AJ261" s="103" t="n"/>
      <c r="AK261" s="103" t="n"/>
      <c r="AL261" s="103" t="n"/>
      <c r="AM261" s="103" t="n"/>
      <c r="AN261" s="103" t="n"/>
      <c r="AO261" s="103" t="n"/>
      <c r="AP261" s="103" t="n"/>
      <c r="AQ261" s="103" t="n"/>
      <c r="AR261" s="103" t="n"/>
    </row>
    <row r="263">
      <c r="A263" s="8">
        <f>IF(HSI!$C$30="","",HSI!$C$30)</f>
        <v/>
      </c>
      <c r="B263" s="99">
        <f>IF($A263="",0,COUNT($E264:$AR264))</f>
        <v/>
      </c>
      <c r="C263" s="100">
        <f>IF($B263=0,0,MAX($E264:$AR264))</f>
        <v/>
      </c>
      <c r="D263" s="101">
        <f>BDS($A263,FLD_HIST,"headers=y","startcol=1","endcol=7","dir=h","DVD_START_DT",HIST_FROM,"DVD_END_DT",HIST_TO)</f>
        <v/>
      </c>
      <c r="E263" s="102" t="n"/>
      <c r="F263" s="102" t="n"/>
      <c r="G263" s="102" t="n"/>
      <c r="H263" s="102" t="n"/>
      <c r="I263" s="102" t="n"/>
      <c r="J263" s="102" t="n"/>
      <c r="K263" s="102" t="n"/>
      <c r="L263" s="102" t="n"/>
      <c r="M263" s="102" t="n"/>
      <c r="N263" s="102" t="n"/>
      <c r="O263" s="102" t="n"/>
      <c r="P263" s="102" t="n"/>
      <c r="Q263" s="102" t="n"/>
      <c r="R263" s="102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 t="n"/>
      <c r="AE263" s="102" t="n"/>
      <c r="AF263" s="102" t="n"/>
      <c r="AG263" s="102" t="n"/>
      <c r="AH263" s="102" t="n"/>
      <c r="AI263" s="102" t="n"/>
      <c r="AJ263" s="102" t="n"/>
      <c r="AK263" s="102" t="n"/>
      <c r="AL263" s="102" t="n"/>
      <c r="AM263" s="102" t="n"/>
      <c r="AN263" s="102" t="n"/>
      <c r="AO263" s="102" t="n"/>
      <c r="AP263" s="102" t="n"/>
      <c r="AQ263" s="102" t="n"/>
      <c r="AR263" s="102" t="n"/>
    </row>
    <row r="264">
      <c r="D264" s="102" t="n"/>
      <c r="E264" s="102" t="n"/>
      <c r="F264" s="102" t="n"/>
      <c r="G264" s="102" t="n"/>
      <c r="H264" s="102" t="n"/>
      <c r="I264" s="102" t="n"/>
      <c r="J264" s="102" t="n"/>
      <c r="K264" s="102" t="n"/>
      <c r="L264" s="102" t="n"/>
      <c r="M264" s="102" t="n"/>
      <c r="N264" s="102" t="n"/>
      <c r="O264" s="102" t="n"/>
      <c r="P264" s="102" t="n"/>
      <c r="Q264" s="102" t="n"/>
      <c r="R264" s="102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 t="n"/>
      <c r="AE264" s="102" t="n"/>
      <c r="AF264" s="102" t="n"/>
      <c r="AG264" s="102" t="n"/>
      <c r="AH264" s="102" t="n"/>
      <c r="AI264" s="102" t="n"/>
      <c r="AJ264" s="102" t="n"/>
      <c r="AK264" s="102" t="n"/>
      <c r="AL264" s="102" t="n"/>
      <c r="AM264" s="102" t="n"/>
      <c r="AN264" s="102" t="n"/>
      <c r="AO264" s="102" t="n"/>
      <c r="AP264" s="102" t="n"/>
      <c r="AQ264" s="102" t="n"/>
      <c r="AR264" s="102" t="n"/>
    </row>
    <row r="265">
      <c r="D265" s="102" t="n"/>
      <c r="E265" s="102" t="n"/>
      <c r="F265" s="102" t="n"/>
      <c r="G265" s="102" t="n"/>
      <c r="H265" s="102" t="n"/>
      <c r="I265" s="102" t="n"/>
      <c r="J265" s="102" t="n"/>
      <c r="K265" s="102" t="n"/>
      <c r="L265" s="102" t="n"/>
      <c r="M265" s="102" t="n"/>
      <c r="N265" s="102" t="n"/>
      <c r="O265" s="102" t="n"/>
      <c r="P265" s="102" t="n"/>
      <c r="Q265" s="102" t="n"/>
      <c r="R265" s="102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 t="n"/>
      <c r="AE265" s="102" t="n"/>
      <c r="AF265" s="102" t="n"/>
      <c r="AG265" s="102" t="n"/>
      <c r="AH265" s="102" t="n"/>
      <c r="AI265" s="102" t="n"/>
      <c r="AJ265" s="102" t="n"/>
      <c r="AK265" s="102" t="n"/>
      <c r="AL265" s="102" t="n"/>
      <c r="AM265" s="102" t="n"/>
      <c r="AN265" s="102" t="n"/>
      <c r="AO265" s="102" t="n"/>
      <c r="AP265" s="102" t="n"/>
      <c r="AQ265" s="102" t="n"/>
      <c r="AR265" s="102" t="n"/>
    </row>
    <row r="266">
      <c r="D266" s="102" t="n"/>
      <c r="E266" s="102" t="n"/>
      <c r="F266" s="102" t="n"/>
      <c r="G266" s="102" t="n"/>
      <c r="H266" s="102" t="n"/>
      <c r="I266" s="102" t="n"/>
      <c r="J266" s="102" t="n"/>
      <c r="K266" s="102" t="n"/>
      <c r="L266" s="102" t="n"/>
      <c r="M266" s="102" t="n"/>
      <c r="N266" s="102" t="n"/>
      <c r="O266" s="102" t="n"/>
      <c r="P266" s="102" t="n"/>
      <c r="Q266" s="102" t="n"/>
      <c r="R266" s="102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 t="n"/>
      <c r="AE266" s="102" t="n"/>
      <c r="AF266" s="102" t="n"/>
      <c r="AG266" s="102" t="n"/>
      <c r="AH266" s="102" t="n"/>
      <c r="AI266" s="102" t="n"/>
      <c r="AJ266" s="102" t="n"/>
      <c r="AK266" s="102" t="n"/>
      <c r="AL266" s="102" t="n"/>
      <c r="AM266" s="102" t="n"/>
      <c r="AN266" s="102" t="n"/>
      <c r="AO266" s="102" t="n"/>
      <c r="AP266" s="102" t="n"/>
      <c r="AQ266" s="102" t="n"/>
      <c r="AR266" s="102" t="n"/>
    </row>
    <row r="267">
      <c r="D267" s="103" t="n"/>
      <c r="E267" s="103" t="n"/>
      <c r="F267" s="103" t="n"/>
      <c r="G267" s="103" t="n"/>
      <c r="H267" s="103" t="n"/>
      <c r="I267" s="103" t="n"/>
      <c r="J267" s="103" t="n"/>
      <c r="K267" s="103" t="n"/>
      <c r="L267" s="103" t="n"/>
      <c r="M267" s="103" t="n"/>
      <c r="N267" s="103" t="n"/>
      <c r="O267" s="103" t="n"/>
      <c r="P267" s="103" t="n"/>
      <c r="Q267" s="103" t="n"/>
      <c r="R267" s="103" t="n"/>
      <c r="S267" s="103" t="n"/>
      <c r="T267" s="103" t="n"/>
      <c r="U267" s="103" t="n"/>
      <c r="V267" s="103" t="n"/>
      <c r="W267" s="103" t="n"/>
      <c r="X267" s="103" t="n"/>
      <c r="Y267" s="103" t="n"/>
      <c r="Z267" s="103" t="n"/>
      <c r="AA267" s="103" t="n"/>
      <c r="AB267" s="103" t="n"/>
      <c r="AC267" s="103" t="n"/>
      <c r="AD267" s="103" t="n"/>
      <c r="AE267" s="103" t="n"/>
      <c r="AF267" s="103" t="n"/>
      <c r="AG267" s="103" t="n"/>
      <c r="AH267" s="103" t="n"/>
      <c r="AI267" s="103" t="n"/>
      <c r="AJ267" s="103" t="n"/>
      <c r="AK267" s="103" t="n"/>
      <c r="AL267" s="103" t="n"/>
      <c r="AM267" s="103" t="n"/>
      <c r="AN267" s="103" t="n"/>
      <c r="AO267" s="103" t="n"/>
      <c r="AP267" s="103" t="n"/>
      <c r="AQ267" s="103" t="n"/>
      <c r="AR267" s="103" t="n"/>
    </row>
    <row r="270">
      <c r="A270" s="2">
        <f>IF($A263="","","   projections")</f>
        <v/>
      </c>
      <c r="B270" s="99">
        <f>IF($A263="",0,COUNT($E271:$AR271))</f>
        <v/>
      </c>
      <c r="C270" s="100">
        <f>IF($B270=0,0,MAX($E271:$AR271))</f>
        <v/>
      </c>
      <c r="D270" s="101">
        <f>BDS($A263,FLD_PROJ,"headers=y","startcol=1","endcol=3","dir=h")</f>
        <v/>
      </c>
      <c r="E270" s="102" t="n"/>
      <c r="F270" s="102" t="n"/>
      <c r="G270" s="102" t="n"/>
      <c r="H270" s="102" t="n"/>
      <c r="I270" s="102" t="n"/>
      <c r="J270" s="102" t="n"/>
      <c r="K270" s="102" t="n"/>
      <c r="L270" s="102" t="n"/>
      <c r="M270" s="102" t="n"/>
      <c r="N270" s="102" t="n"/>
      <c r="O270" s="102" t="n"/>
      <c r="P270" s="102" t="n"/>
      <c r="Q270" s="102" t="n"/>
      <c r="R270" s="102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 t="n"/>
      <c r="AE270" s="102" t="n"/>
      <c r="AF270" s="102" t="n"/>
      <c r="AG270" s="102" t="n"/>
      <c r="AH270" s="102" t="n"/>
      <c r="AI270" s="102" t="n"/>
      <c r="AJ270" s="102" t="n"/>
      <c r="AK270" s="102" t="n"/>
      <c r="AL270" s="102" t="n"/>
      <c r="AM270" s="102" t="n"/>
      <c r="AN270" s="102" t="n"/>
      <c r="AO270" s="102" t="n"/>
      <c r="AP270" s="102" t="n"/>
      <c r="AQ270" s="102" t="n"/>
      <c r="AR270" s="102" t="n"/>
    </row>
    <row r="271">
      <c r="D271" s="102" t="n"/>
      <c r="E271" s="102" t="n"/>
      <c r="F271" s="102" t="n"/>
      <c r="G271" s="102" t="n"/>
      <c r="H271" s="102" t="n"/>
      <c r="I271" s="102" t="n"/>
      <c r="J271" s="102" t="n"/>
      <c r="K271" s="102" t="n"/>
      <c r="L271" s="102" t="n"/>
      <c r="M271" s="102" t="n"/>
      <c r="N271" s="102" t="n"/>
      <c r="O271" s="102" t="n"/>
      <c r="P271" s="102" t="n"/>
      <c r="Q271" s="102" t="n"/>
      <c r="R271" s="102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 t="n"/>
      <c r="AE271" s="102" t="n"/>
      <c r="AF271" s="102" t="n"/>
      <c r="AG271" s="102" t="n"/>
      <c r="AH271" s="102" t="n"/>
      <c r="AI271" s="102" t="n"/>
      <c r="AJ271" s="102" t="n"/>
      <c r="AK271" s="102" t="n"/>
      <c r="AL271" s="102" t="n"/>
      <c r="AM271" s="102" t="n"/>
      <c r="AN271" s="102" t="n"/>
      <c r="AO271" s="102" t="n"/>
      <c r="AP271" s="102" t="n"/>
      <c r="AQ271" s="102" t="n"/>
      <c r="AR271" s="102" t="n"/>
    </row>
    <row r="272">
      <c r="D272" s="103" t="n"/>
      <c r="E272" s="103" t="n"/>
      <c r="F272" s="103" t="n"/>
      <c r="G272" s="103" t="n"/>
      <c r="H272" s="103" t="n"/>
      <c r="I272" s="103" t="n"/>
      <c r="J272" s="103" t="n"/>
      <c r="K272" s="103" t="n"/>
      <c r="L272" s="103" t="n"/>
      <c r="M272" s="103" t="n"/>
      <c r="N272" s="103" t="n"/>
      <c r="O272" s="103" t="n"/>
      <c r="P272" s="103" t="n"/>
      <c r="Q272" s="103" t="n"/>
      <c r="R272" s="103" t="n"/>
      <c r="S272" s="103" t="n"/>
      <c r="T272" s="103" t="n"/>
      <c r="U272" s="103" t="n"/>
      <c r="V272" s="103" t="n"/>
      <c r="W272" s="103" t="n"/>
      <c r="X272" s="103" t="n"/>
      <c r="Y272" s="103" t="n"/>
      <c r="Z272" s="103" t="n"/>
      <c r="AA272" s="103" t="n"/>
      <c r="AB272" s="103" t="n"/>
      <c r="AC272" s="103" t="n"/>
      <c r="AD272" s="103" t="n"/>
      <c r="AE272" s="103" t="n"/>
      <c r="AF272" s="103" t="n"/>
      <c r="AG272" s="103" t="n"/>
      <c r="AH272" s="103" t="n"/>
      <c r="AI272" s="103" t="n"/>
      <c r="AJ272" s="103" t="n"/>
      <c r="AK272" s="103" t="n"/>
      <c r="AL272" s="103" t="n"/>
      <c r="AM272" s="103" t="n"/>
      <c r="AN272" s="103" t="n"/>
      <c r="AO272" s="103" t="n"/>
      <c r="AP272" s="103" t="n"/>
      <c r="AQ272" s="103" t="n"/>
      <c r="AR272" s="103" t="n"/>
    </row>
    <row r="274">
      <c r="A274" s="8">
        <f>IF(HSI!$C$31="","",HSI!$C$31)</f>
        <v/>
      </c>
      <c r="B274" s="99">
        <f>IF($A274="",0,COUNT($E275:$AR275))</f>
        <v/>
      </c>
      <c r="C274" s="100">
        <f>IF($B274=0,0,MAX($E275:$AR275))</f>
        <v/>
      </c>
      <c r="D274" s="101">
        <f>BDS($A274,FLD_HIST,"headers=y","startcol=1","endcol=7","dir=h","DVD_START_DT",HIST_FROM,"DVD_END_DT",HIST_TO)</f>
        <v/>
      </c>
      <c r="E274" s="102" t="n"/>
      <c r="F274" s="102" t="n"/>
      <c r="G274" s="102" t="n"/>
      <c r="H274" s="102" t="n"/>
      <c r="I274" s="102" t="n"/>
      <c r="J274" s="102" t="n"/>
      <c r="K274" s="102" t="n"/>
      <c r="L274" s="102" t="n"/>
      <c r="M274" s="102" t="n"/>
      <c r="N274" s="102" t="n"/>
      <c r="O274" s="102" t="n"/>
      <c r="P274" s="102" t="n"/>
      <c r="Q274" s="102" t="n"/>
      <c r="R274" s="102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 t="n"/>
      <c r="AE274" s="102" t="n"/>
      <c r="AF274" s="102" t="n"/>
      <c r="AG274" s="102" t="n"/>
      <c r="AH274" s="102" t="n"/>
      <c r="AI274" s="102" t="n"/>
      <c r="AJ274" s="102" t="n"/>
      <c r="AK274" s="102" t="n"/>
      <c r="AL274" s="102" t="n"/>
      <c r="AM274" s="102" t="n"/>
      <c r="AN274" s="102" t="n"/>
      <c r="AO274" s="102" t="n"/>
      <c r="AP274" s="102" t="n"/>
      <c r="AQ274" s="102" t="n"/>
      <c r="AR274" s="102" t="n"/>
    </row>
    <row r="275">
      <c r="D275" s="102" t="n"/>
      <c r="E275" s="102" t="n"/>
      <c r="F275" s="102" t="n"/>
      <c r="G275" s="102" t="n"/>
      <c r="H275" s="102" t="n"/>
      <c r="I275" s="102" t="n"/>
      <c r="J275" s="102" t="n"/>
      <c r="K275" s="102" t="n"/>
      <c r="L275" s="102" t="n"/>
      <c r="M275" s="102" t="n"/>
      <c r="N275" s="102" t="n"/>
      <c r="O275" s="102" t="n"/>
      <c r="P275" s="102" t="n"/>
      <c r="Q275" s="102" t="n"/>
      <c r="R275" s="102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 t="n"/>
      <c r="AE275" s="102" t="n"/>
      <c r="AF275" s="102" t="n"/>
      <c r="AG275" s="102" t="n"/>
      <c r="AH275" s="102" t="n"/>
      <c r="AI275" s="102" t="n"/>
      <c r="AJ275" s="102" t="n"/>
      <c r="AK275" s="102" t="n"/>
      <c r="AL275" s="102" t="n"/>
      <c r="AM275" s="102" t="n"/>
      <c r="AN275" s="102" t="n"/>
      <c r="AO275" s="102" t="n"/>
      <c r="AP275" s="102" t="n"/>
      <c r="AQ275" s="102" t="n"/>
      <c r="AR275" s="102" t="n"/>
    </row>
    <row r="276">
      <c r="D276" s="102" t="n"/>
      <c r="E276" s="102" t="n"/>
      <c r="F276" s="102" t="n"/>
      <c r="G276" s="102" t="n"/>
      <c r="H276" s="102" t="n"/>
      <c r="I276" s="102" t="n"/>
      <c r="J276" s="102" t="n"/>
      <c r="K276" s="102" t="n"/>
      <c r="L276" s="102" t="n"/>
      <c r="M276" s="102" t="n"/>
      <c r="N276" s="102" t="n"/>
      <c r="O276" s="102" t="n"/>
      <c r="P276" s="102" t="n"/>
      <c r="Q276" s="102" t="n"/>
      <c r="R276" s="102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 t="n"/>
      <c r="AE276" s="102" t="n"/>
      <c r="AF276" s="102" t="n"/>
      <c r="AG276" s="102" t="n"/>
      <c r="AH276" s="102" t="n"/>
      <c r="AI276" s="102" t="n"/>
      <c r="AJ276" s="102" t="n"/>
      <c r="AK276" s="102" t="n"/>
      <c r="AL276" s="102" t="n"/>
      <c r="AM276" s="102" t="n"/>
      <c r="AN276" s="102" t="n"/>
      <c r="AO276" s="102" t="n"/>
      <c r="AP276" s="102" t="n"/>
      <c r="AQ276" s="102" t="n"/>
      <c r="AR276" s="102" t="n"/>
    </row>
    <row r="277">
      <c r="D277" s="102" t="n"/>
      <c r="E277" s="102" t="n"/>
      <c r="F277" s="102" t="n"/>
      <c r="G277" s="102" t="n"/>
      <c r="H277" s="102" t="n"/>
      <c r="I277" s="102" t="n"/>
      <c r="J277" s="102" t="n"/>
      <c r="K277" s="102" t="n"/>
      <c r="L277" s="102" t="n"/>
      <c r="M277" s="102" t="n"/>
      <c r="N277" s="102" t="n"/>
      <c r="O277" s="102" t="n"/>
      <c r="P277" s="102" t="n"/>
      <c r="Q277" s="102" t="n"/>
      <c r="R277" s="102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 t="n"/>
      <c r="AE277" s="102" t="n"/>
      <c r="AF277" s="102" t="n"/>
      <c r="AG277" s="102" t="n"/>
      <c r="AH277" s="102" t="n"/>
      <c r="AI277" s="102" t="n"/>
      <c r="AJ277" s="102" t="n"/>
      <c r="AK277" s="102" t="n"/>
      <c r="AL277" s="102" t="n"/>
      <c r="AM277" s="102" t="n"/>
      <c r="AN277" s="102" t="n"/>
      <c r="AO277" s="102" t="n"/>
      <c r="AP277" s="102" t="n"/>
      <c r="AQ277" s="102" t="n"/>
      <c r="AR277" s="102" t="n"/>
    </row>
    <row r="278">
      <c r="D278" s="103" t="n"/>
      <c r="E278" s="103" t="n"/>
      <c r="F278" s="103" t="n"/>
      <c r="G278" s="103" t="n"/>
      <c r="H278" s="103" t="n"/>
      <c r="I278" s="103" t="n"/>
      <c r="J278" s="103" t="n"/>
      <c r="K278" s="103" t="n"/>
      <c r="L278" s="103" t="n"/>
      <c r="M278" s="103" t="n"/>
      <c r="N278" s="103" t="n"/>
      <c r="O278" s="103" t="n"/>
      <c r="P278" s="103" t="n"/>
      <c r="Q278" s="103" t="n"/>
      <c r="R278" s="103" t="n"/>
      <c r="S278" s="103" t="n"/>
      <c r="T278" s="103" t="n"/>
      <c r="U278" s="103" t="n"/>
      <c r="V278" s="103" t="n"/>
      <c r="W278" s="103" t="n"/>
      <c r="X278" s="103" t="n"/>
      <c r="Y278" s="103" t="n"/>
      <c r="Z278" s="103" t="n"/>
      <c r="AA278" s="103" t="n"/>
      <c r="AB278" s="103" t="n"/>
      <c r="AC278" s="103" t="n"/>
      <c r="AD278" s="103" t="n"/>
      <c r="AE278" s="103" t="n"/>
      <c r="AF278" s="103" t="n"/>
      <c r="AG278" s="103" t="n"/>
      <c r="AH278" s="103" t="n"/>
      <c r="AI278" s="103" t="n"/>
      <c r="AJ278" s="103" t="n"/>
      <c r="AK278" s="103" t="n"/>
      <c r="AL278" s="103" t="n"/>
      <c r="AM278" s="103" t="n"/>
      <c r="AN278" s="103" t="n"/>
      <c r="AO278" s="103" t="n"/>
      <c r="AP278" s="103" t="n"/>
      <c r="AQ278" s="103" t="n"/>
      <c r="AR278" s="103" t="n"/>
    </row>
    <row r="281">
      <c r="A281" s="2">
        <f>IF($A274="","","   projections")</f>
        <v/>
      </c>
      <c r="B281" s="99">
        <f>IF($A274="",0,COUNT($E282:$AR282))</f>
        <v/>
      </c>
      <c r="C281" s="100">
        <f>IF($B281=0,0,MAX($E282:$AR282))</f>
        <v/>
      </c>
      <c r="D281" s="101">
        <f>BDS($A274,FLD_PROJ,"headers=y","startcol=1","endcol=3","dir=h")</f>
        <v/>
      </c>
      <c r="E281" s="102" t="n"/>
      <c r="F281" s="102" t="n"/>
      <c r="G281" s="102" t="n"/>
      <c r="H281" s="102" t="n"/>
      <c r="I281" s="102" t="n"/>
      <c r="J281" s="102" t="n"/>
      <c r="K281" s="102" t="n"/>
      <c r="L281" s="102" t="n"/>
      <c r="M281" s="102" t="n"/>
      <c r="N281" s="102" t="n"/>
      <c r="O281" s="102" t="n"/>
      <c r="P281" s="102" t="n"/>
      <c r="Q281" s="102" t="n"/>
      <c r="R281" s="102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 t="n"/>
      <c r="AE281" s="102" t="n"/>
      <c r="AF281" s="102" t="n"/>
      <c r="AG281" s="102" t="n"/>
      <c r="AH281" s="102" t="n"/>
      <c r="AI281" s="102" t="n"/>
      <c r="AJ281" s="102" t="n"/>
      <c r="AK281" s="102" t="n"/>
      <c r="AL281" s="102" t="n"/>
      <c r="AM281" s="102" t="n"/>
      <c r="AN281" s="102" t="n"/>
      <c r="AO281" s="102" t="n"/>
      <c r="AP281" s="102" t="n"/>
      <c r="AQ281" s="102" t="n"/>
      <c r="AR281" s="102" t="n"/>
    </row>
    <row r="282">
      <c r="D282" s="102" t="n"/>
      <c r="E282" s="102" t="n"/>
      <c r="F282" s="102" t="n"/>
      <c r="G282" s="102" t="n"/>
      <c r="H282" s="102" t="n"/>
      <c r="I282" s="102" t="n"/>
      <c r="J282" s="102" t="n"/>
      <c r="K282" s="102" t="n"/>
      <c r="L282" s="102" t="n"/>
      <c r="M282" s="102" t="n"/>
      <c r="N282" s="102" t="n"/>
      <c r="O282" s="102" t="n"/>
      <c r="P282" s="102" t="n"/>
      <c r="Q282" s="102" t="n"/>
      <c r="R282" s="102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 t="n"/>
      <c r="AE282" s="102" t="n"/>
      <c r="AF282" s="102" t="n"/>
      <c r="AG282" s="102" t="n"/>
      <c r="AH282" s="102" t="n"/>
      <c r="AI282" s="102" t="n"/>
      <c r="AJ282" s="102" t="n"/>
      <c r="AK282" s="102" t="n"/>
      <c r="AL282" s="102" t="n"/>
      <c r="AM282" s="102" t="n"/>
      <c r="AN282" s="102" t="n"/>
      <c r="AO282" s="102" t="n"/>
      <c r="AP282" s="102" t="n"/>
      <c r="AQ282" s="102" t="n"/>
      <c r="AR282" s="102" t="n"/>
    </row>
    <row r="283">
      <c r="D283" s="103" t="n"/>
      <c r="E283" s="103" t="n"/>
      <c r="F283" s="103" t="n"/>
      <c r="G283" s="103" t="n"/>
      <c r="H283" s="103" t="n"/>
      <c r="I283" s="103" t="n"/>
      <c r="J283" s="103" t="n"/>
      <c r="K283" s="103" t="n"/>
      <c r="L283" s="103" t="n"/>
      <c r="M283" s="103" t="n"/>
      <c r="N283" s="103" t="n"/>
      <c r="O283" s="103" t="n"/>
      <c r="P283" s="103" t="n"/>
      <c r="Q283" s="103" t="n"/>
      <c r="R283" s="103" t="n"/>
      <c r="S283" s="103" t="n"/>
      <c r="T283" s="103" t="n"/>
      <c r="U283" s="103" t="n"/>
      <c r="V283" s="103" t="n"/>
      <c r="W283" s="103" t="n"/>
      <c r="X283" s="103" t="n"/>
      <c r="Y283" s="103" t="n"/>
      <c r="Z283" s="103" t="n"/>
      <c r="AA283" s="103" t="n"/>
      <c r="AB283" s="103" t="n"/>
      <c r="AC283" s="103" t="n"/>
      <c r="AD283" s="103" t="n"/>
      <c r="AE283" s="103" t="n"/>
      <c r="AF283" s="103" t="n"/>
      <c r="AG283" s="103" t="n"/>
      <c r="AH283" s="103" t="n"/>
      <c r="AI283" s="103" t="n"/>
      <c r="AJ283" s="103" t="n"/>
      <c r="AK283" s="103" t="n"/>
      <c r="AL283" s="103" t="n"/>
      <c r="AM283" s="103" t="n"/>
      <c r="AN283" s="103" t="n"/>
      <c r="AO283" s="103" t="n"/>
      <c r="AP283" s="103" t="n"/>
      <c r="AQ283" s="103" t="n"/>
      <c r="AR283" s="103" t="n"/>
    </row>
    <row r="285">
      <c r="A285" s="8">
        <f>IF(HSI!$C$32="","",HSI!$C$32)</f>
        <v/>
      </c>
      <c r="B285" s="99">
        <f>IF($A285="",0,COUNT($E286:$AR286))</f>
        <v/>
      </c>
      <c r="C285" s="100">
        <f>IF($B285=0,0,MAX($E286:$AR286))</f>
        <v/>
      </c>
      <c r="D285" s="101">
        <f>BDS($A285,FLD_HIST,"headers=y","startcol=1","endcol=7","dir=h","DVD_START_DT",HIST_FROM,"DVD_END_DT",HIST_TO)</f>
        <v/>
      </c>
      <c r="E285" s="102" t="n"/>
      <c r="F285" s="102" t="n"/>
      <c r="G285" s="102" t="n"/>
      <c r="H285" s="102" t="n"/>
      <c r="I285" s="102" t="n"/>
      <c r="J285" s="102" t="n"/>
      <c r="K285" s="102" t="n"/>
      <c r="L285" s="102" t="n"/>
      <c r="M285" s="102" t="n"/>
      <c r="N285" s="102" t="n"/>
      <c r="O285" s="102" t="n"/>
      <c r="P285" s="102" t="n"/>
      <c r="Q285" s="102" t="n"/>
      <c r="R285" s="102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 t="n"/>
      <c r="AE285" s="102" t="n"/>
      <c r="AF285" s="102" t="n"/>
      <c r="AG285" s="102" t="n"/>
      <c r="AH285" s="102" t="n"/>
      <c r="AI285" s="102" t="n"/>
      <c r="AJ285" s="102" t="n"/>
      <c r="AK285" s="102" t="n"/>
      <c r="AL285" s="102" t="n"/>
      <c r="AM285" s="102" t="n"/>
      <c r="AN285" s="102" t="n"/>
      <c r="AO285" s="102" t="n"/>
      <c r="AP285" s="102" t="n"/>
      <c r="AQ285" s="102" t="n"/>
      <c r="AR285" s="102" t="n"/>
    </row>
    <row r="286">
      <c r="D286" s="102" t="n"/>
      <c r="E286" s="102" t="n"/>
      <c r="F286" s="102" t="n"/>
      <c r="G286" s="102" t="n"/>
      <c r="H286" s="102" t="n"/>
      <c r="I286" s="102" t="n"/>
      <c r="J286" s="102" t="n"/>
      <c r="K286" s="102" t="n"/>
      <c r="L286" s="102" t="n"/>
      <c r="M286" s="102" t="n"/>
      <c r="N286" s="102" t="n"/>
      <c r="O286" s="102" t="n"/>
      <c r="P286" s="102" t="n"/>
      <c r="Q286" s="102" t="n"/>
      <c r="R286" s="102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 t="n"/>
      <c r="AE286" s="102" t="n"/>
      <c r="AF286" s="102" t="n"/>
      <c r="AG286" s="102" t="n"/>
      <c r="AH286" s="102" t="n"/>
      <c r="AI286" s="102" t="n"/>
      <c r="AJ286" s="102" t="n"/>
      <c r="AK286" s="102" t="n"/>
      <c r="AL286" s="102" t="n"/>
      <c r="AM286" s="102" t="n"/>
      <c r="AN286" s="102" t="n"/>
      <c r="AO286" s="102" t="n"/>
      <c r="AP286" s="102" t="n"/>
      <c r="AQ286" s="102" t="n"/>
      <c r="AR286" s="102" t="n"/>
    </row>
    <row r="287">
      <c r="D287" s="102" t="n"/>
      <c r="E287" s="102" t="n"/>
      <c r="F287" s="102" t="n"/>
      <c r="G287" s="102" t="n"/>
      <c r="H287" s="102" t="n"/>
      <c r="I287" s="102" t="n"/>
      <c r="J287" s="102" t="n"/>
      <c r="K287" s="102" t="n"/>
      <c r="L287" s="102" t="n"/>
      <c r="M287" s="102" t="n"/>
      <c r="N287" s="102" t="n"/>
      <c r="O287" s="102" t="n"/>
      <c r="P287" s="102" t="n"/>
      <c r="Q287" s="102" t="n"/>
      <c r="R287" s="102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 t="n"/>
      <c r="AE287" s="102" t="n"/>
      <c r="AF287" s="102" t="n"/>
      <c r="AG287" s="102" t="n"/>
      <c r="AH287" s="102" t="n"/>
      <c r="AI287" s="102" t="n"/>
      <c r="AJ287" s="102" t="n"/>
      <c r="AK287" s="102" t="n"/>
      <c r="AL287" s="102" t="n"/>
      <c r="AM287" s="102" t="n"/>
      <c r="AN287" s="102" t="n"/>
      <c r="AO287" s="102" t="n"/>
      <c r="AP287" s="102" t="n"/>
      <c r="AQ287" s="102" t="n"/>
      <c r="AR287" s="102" t="n"/>
    </row>
    <row r="288">
      <c r="D288" s="102" t="n"/>
      <c r="E288" s="102" t="n"/>
      <c r="F288" s="102" t="n"/>
      <c r="G288" s="102" t="n"/>
      <c r="H288" s="102" t="n"/>
      <c r="I288" s="102" t="n"/>
      <c r="J288" s="102" t="n"/>
      <c r="K288" s="102" t="n"/>
      <c r="L288" s="102" t="n"/>
      <c r="M288" s="102" t="n"/>
      <c r="N288" s="102" t="n"/>
      <c r="O288" s="102" t="n"/>
      <c r="P288" s="102" t="n"/>
      <c r="Q288" s="102" t="n"/>
      <c r="R288" s="102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 t="n"/>
      <c r="AE288" s="102" t="n"/>
      <c r="AF288" s="102" t="n"/>
      <c r="AG288" s="102" t="n"/>
      <c r="AH288" s="102" t="n"/>
      <c r="AI288" s="102" t="n"/>
      <c r="AJ288" s="102" t="n"/>
      <c r="AK288" s="102" t="n"/>
      <c r="AL288" s="102" t="n"/>
      <c r="AM288" s="102" t="n"/>
      <c r="AN288" s="102" t="n"/>
      <c r="AO288" s="102" t="n"/>
      <c r="AP288" s="102" t="n"/>
      <c r="AQ288" s="102" t="n"/>
      <c r="AR288" s="102" t="n"/>
    </row>
    <row r="289">
      <c r="D289" s="103" t="n"/>
      <c r="E289" s="103" t="n"/>
      <c r="F289" s="103" t="n"/>
      <c r="G289" s="103" t="n"/>
      <c r="H289" s="103" t="n"/>
      <c r="I289" s="103" t="n"/>
      <c r="J289" s="103" t="n"/>
      <c r="K289" s="103" t="n"/>
      <c r="L289" s="103" t="n"/>
      <c r="M289" s="103" t="n"/>
      <c r="N289" s="103" t="n"/>
      <c r="O289" s="103" t="n"/>
      <c r="P289" s="103" t="n"/>
      <c r="Q289" s="103" t="n"/>
      <c r="R289" s="103" t="n"/>
      <c r="S289" s="103" t="n"/>
      <c r="T289" s="103" t="n"/>
      <c r="U289" s="103" t="n"/>
      <c r="V289" s="103" t="n"/>
      <c r="W289" s="103" t="n"/>
      <c r="X289" s="103" t="n"/>
      <c r="Y289" s="103" t="n"/>
      <c r="Z289" s="103" t="n"/>
      <c r="AA289" s="103" t="n"/>
      <c r="AB289" s="103" t="n"/>
      <c r="AC289" s="103" t="n"/>
      <c r="AD289" s="103" t="n"/>
      <c r="AE289" s="103" t="n"/>
      <c r="AF289" s="103" t="n"/>
      <c r="AG289" s="103" t="n"/>
      <c r="AH289" s="103" t="n"/>
      <c r="AI289" s="103" t="n"/>
      <c r="AJ289" s="103" t="n"/>
      <c r="AK289" s="103" t="n"/>
      <c r="AL289" s="103" t="n"/>
      <c r="AM289" s="103" t="n"/>
      <c r="AN289" s="103" t="n"/>
      <c r="AO289" s="103" t="n"/>
      <c r="AP289" s="103" t="n"/>
      <c r="AQ289" s="103" t="n"/>
      <c r="AR289" s="103" t="n"/>
    </row>
    <row r="292">
      <c r="A292" s="2">
        <f>IF($A285="","","   projections")</f>
        <v/>
      </c>
      <c r="B292" s="99">
        <f>IF($A285="",0,COUNT($E293:$AR293))</f>
        <v/>
      </c>
      <c r="C292" s="100">
        <f>IF($B292=0,0,MAX($E293:$AR293))</f>
        <v/>
      </c>
      <c r="D292" s="101">
        <f>BDS($A285,FLD_PROJ,"headers=y","startcol=1","endcol=3","dir=h")</f>
        <v/>
      </c>
      <c r="E292" s="102" t="n"/>
      <c r="F292" s="102" t="n"/>
      <c r="G292" s="102" t="n"/>
      <c r="H292" s="102" t="n"/>
      <c r="I292" s="102" t="n"/>
      <c r="J292" s="102" t="n"/>
      <c r="K292" s="102" t="n"/>
      <c r="L292" s="102" t="n"/>
      <c r="M292" s="102" t="n"/>
      <c r="N292" s="102" t="n"/>
      <c r="O292" s="102" t="n"/>
      <c r="P292" s="102" t="n"/>
      <c r="Q292" s="102" t="n"/>
      <c r="R292" s="102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 t="n"/>
      <c r="AE292" s="102" t="n"/>
      <c r="AF292" s="102" t="n"/>
      <c r="AG292" s="102" t="n"/>
      <c r="AH292" s="102" t="n"/>
      <c r="AI292" s="102" t="n"/>
      <c r="AJ292" s="102" t="n"/>
      <c r="AK292" s="102" t="n"/>
      <c r="AL292" s="102" t="n"/>
      <c r="AM292" s="102" t="n"/>
      <c r="AN292" s="102" t="n"/>
      <c r="AO292" s="102" t="n"/>
      <c r="AP292" s="102" t="n"/>
      <c r="AQ292" s="102" t="n"/>
      <c r="AR292" s="102" t="n"/>
    </row>
    <row r="293">
      <c r="D293" s="102" t="n"/>
      <c r="E293" s="102" t="n"/>
      <c r="F293" s="102" t="n"/>
      <c r="G293" s="102" t="n"/>
      <c r="H293" s="102" t="n"/>
      <c r="I293" s="102" t="n"/>
      <c r="J293" s="102" t="n"/>
      <c r="K293" s="102" t="n"/>
      <c r="L293" s="102" t="n"/>
      <c r="M293" s="102" t="n"/>
      <c r="N293" s="102" t="n"/>
      <c r="O293" s="102" t="n"/>
      <c r="P293" s="102" t="n"/>
      <c r="Q293" s="102" t="n"/>
      <c r="R293" s="102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 t="n"/>
      <c r="AE293" s="102" t="n"/>
      <c r="AF293" s="102" t="n"/>
      <c r="AG293" s="102" t="n"/>
      <c r="AH293" s="102" t="n"/>
      <c r="AI293" s="102" t="n"/>
      <c r="AJ293" s="102" t="n"/>
      <c r="AK293" s="102" t="n"/>
      <c r="AL293" s="102" t="n"/>
      <c r="AM293" s="102" t="n"/>
      <c r="AN293" s="102" t="n"/>
      <c r="AO293" s="102" t="n"/>
      <c r="AP293" s="102" t="n"/>
      <c r="AQ293" s="102" t="n"/>
      <c r="AR293" s="102" t="n"/>
    </row>
    <row r="294">
      <c r="D294" s="103" t="n"/>
      <c r="E294" s="103" t="n"/>
      <c r="F294" s="103" t="n"/>
      <c r="G294" s="103" t="n"/>
      <c r="H294" s="103" t="n"/>
      <c r="I294" s="103" t="n"/>
      <c r="J294" s="103" t="n"/>
      <c r="K294" s="103" t="n"/>
      <c r="L294" s="103" t="n"/>
      <c r="M294" s="103" t="n"/>
      <c r="N294" s="103" t="n"/>
      <c r="O294" s="103" t="n"/>
      <c r="P294" s="103" t="n"/>
      <c r="Q294" s="103" t="n"/>
      <c r="R294" s="103" t="n"/>
      <c r="S294" s="103" t="n"/>
      <c r="T294" s="103" t="n"/>
      <c r="U294" s="103" t="n"/>
      <c r="V294" s="103" t="n"/>
      <c r="W294" s="103" t="n"/>
      <c r="X294" s="103" t="n"/>
      <c r="Y294" s="103" t="n"/>
      <c r="Z294" s="103" t="n"/>
      <c r="AA294" s="103" t="n"/>
      <c r="AB294" s="103" t="n"/>
      <c r="AC294" s="103" t="n"/>
      <c r="AD294" s="103" t="n"/>
      <c r="AE294" s="103" t="n"/>
      <c r="AF294" s="103" t="n"/>
      <c r="AG294" s="103" t="n"/>
      <c r="AH294" s="103" t="n"/>
      <c r="AI294" s="103" t="n"/>
      <c r="AJ294" s="103" t="n"/>
      <c r="AK294" s="103" t="n"/>
      <c r="AL294" s="103" t="n"/>
      <c r="AM294" s="103" t="n"/>
      <c r="AN294" s="103" t="n"/>
      <c r="AO294" s="103" t="n"/>
      <c r="AP294" s="103" t="n"/>
      <c r="AQ294" s="103" t="n"/>
      <c r="AR294" s="103" t="n"/>
    </row>
    <row r="296">
      <c r="A296" s="8">
        <f>IF(HSI!$C$33="","",HSI!$C$33)</f>
        <v/>
      </c>
      <c r="B296" s="99">
        <f>IF($A296="",0,COUNT($E297:$AR297))</f>
        <v/>
      </c>
      <c r="C296" s="100">
        <f>IF($B296=0,0,MAX($E297:$AR297))</f>
        <v/>
      </c>
      <c r="D296" s="101">
        <f>BDS($A296,FLD_HIST,"headers=y","startcol=1","endcol=7","dir=h","DVD_START_DT",HIST_FROM,"DVD_END_DT",HIST_TO)</f>
        <v/>
      </c>
      <c r="E296" s="102" t="n"/>
      <c r="F296" s="102" t="n"/>
      <c r="G296" s="102" t="n"/>
      <c r="H296" s="102" t="n"/>
      <c r="I296" s="102" t="n"/>
      <c r="J296" s="102" t="n"/>
      <c r="K296" s="102" t="n"/>
      <c r="L296" s="102" t="n"/>
      <c r="M296" s="102" t="n"/>
      <c r="N296" s="102" t="n"/>
      <c r="O296" s="102" t="n"/>
      <c r="P296" s="102" t="n"/>
      <c r="Q296" s="102" t="n"/>
      <c r="R296" s="102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 t="n"/>
      <c r="AE296" s="102" t="n"/>
      <c r="AF296" s="102" t="n"/>
      <c r="AG296" s="102" t="n"/>
      <c r="AH296" s="102" t="n"/>
      <c r="AI296" s="102" t="n"/>
      <c r="AJ296" s="102" t="n"/>
      <c r="AK296" s="102" t="n"/>
      <c r="AL296" s="102" t="n"/>
      <c r="AM296" s="102" t="n"/>
      <c r="AN296" s="102" t="n"/>
      <c r="AO296" s="102" t="n"/>
      <c r="AP296" s="102" t="n"/>
      <c r="AQ296" s="102" t="n"/>
      <c r="AR296" s="102" t="n"/>
    </row>
    <row r="297">
      <c r="D297" s="102" t="n"/>
      <c r="E297" s="102" t="n"/>
      <c r="F297" s="102" t="n"/>
      <c r="G297" s="102" t="n"/>
      <c r="H297" s="102" t="n"/>
      <c r="I297" s="102" t="n"/>
      <c r="J297" s="102" t="n"/>
      <c r="K297" s="102" t="n"/>
      <c r="L297" s="102" t="n"/>
      <c r="M297" s="102" t="n"/>
      <c r="N297" s="102" t="n"/>
      <c r="O297" s="102" t="n"/>
      <c r="P297" s="102" t="n"/>
      <c r="Q297" s="102" t="n"/>
      <c r="R297" s="102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 t="n"/>
      <c r="AE297" s="102" t="n"/>
      <c r="AF297" s="102" t="n"/>
      <c r="AG297" s="102" t="n"/>
      <c r="AH297" s="102" t="n"/>
      <c r="AI297" s="102" t="n"/>
      <c r="AJ297" s="102" t="n"/>
      <c r="AK297" s="102" t="n"/>
      <c r="AL297" s="102" t="n"/>
      <c r="AM297" s="102" t="n"/>
      <c r="AN297" s="102" t="n"/>
      <c r="AO297" s="102" t="n"/>
      <c r="AP297" s="102" t="n"/>
      <c r="AQ297" s="102" t="n"/>
      <c r="AR297" s="102" t="n"/>
    </row>
    <row r="298">
      <c r="D298" s="102" t="n"/>
      <c r="E298" s="102" t="n"/>
      <c r="F298" s="102" t="n"/>
      <c r="G298" s="102" t="n"/>
      <c r="H298" s="102" t="n"/>
      <c r="I298" s="102" t="n"/>
      <c r="J298" s="102" t="n"/>
      <c r="K298" s="102" t="n"/>
      <c r="L298" s="102" t="n"/>
      <c r="M298" s="102" t="n"/>
      <c r="N298" s="102" t="n"/>
      <c r="O298" s="102" t="n"/>
      <c r="P298" s="102" t="n"/>
      <c r="Q298" s="102" t="n"/>
      <c r="R298" s="102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 t="n"/>
      <c r="AE298" s="102" t="n"/>
      <c r="AF298" s="102" t="n"/>
      <c r="AG298" s="102" t="n"/>
      <c r="AH298" s="102" t="n"/>
      <c r="AI298" s="102" t="n"/>
      <c r="AJ298" s="102" t="n"/>
      <c r="AK298" s="102" t="n"/>
      <c r="AL298" s="102" t="n"/>
      <c r="AM298" s="102" t="n"/>
      <c r="AN298" s="102" t="n"/>
      <c r="AO298" s="102" t="n"/>
      <c r="AP298" s="102" t="n"/>
      <c r="AQ298" s="102" t="n"/>
      <c r="AR298" s="102" t="n"/>
    </row>
    <row r="299">
      <c r="D299" s="102" t="n"/>
      <c r="E299" s="102" t="n"/>
      <c r="F299" s="102" t="n"/>
      <c r="G299" s="102" t="n"/>
      <c r="H299" s="102" t="n"/>
      <c r="I299" s="102" t="n"/>
      <c r="J299" s="102" t="n"/>
      <c r="K299" s="102" t="n"/>
      <c r="L299" s="102" t="n"/>
      <c r="M299" s="102" t="n"/>
      <c r="N299" s="102" t="n"/>
      <c r="O299" s="102" t="n"/>
      <c r="P299" s="102" t="n"/>
      <c r="Q299" s="102" t="n"/>
      <c r="R299" s="102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 t="n"/>
      <c r="AE299" s="102" t="n"/>
      <c r="AF299" s="102" t="n"/>
      <c r="AG299" s="102" t="n"/>
      <c r="AH299" s="102" t="n"/>
      <c r="AI299" s="102" t="n"/>
      <c r="AJ299" s="102" t="n"/>
      <c r="AK299" s="102" t="n"/>
      <c r="AL299" s="102" t="n"/>
      <c r="AM299" s="102" t="n"/>
      <c r="AN299" s="102" t="n"/>
      <c r="AO299" s="102" t="n"/>
      <c r="AP299" s="102" t="n"/>
      <c r="AQ299" s="102" t="n"/>
      <c r="AR299" s="102" t="n"/>
    </row>
    <row r="300">
      <c r="D300" s="103" t="n"/>
      <c r="E300" s="103" t="n"/>
      <c r="F300" s="103" t="n"/>
      <c r="G300" s="103" t="n"/>
      <c r="H300" s="103" t="n"/>
      <c r="I300" s="103" t="n"/>
      <c r="J300" s="103" t="n"/>
      <c r="K300" s="103" t="n"/>
      <c r="L300" s="103" t="n"/>
      <c r="M300" s="103" t="n"/>
      <c r="N300" s="103" t="n"/>
      <c r="O300" s="103" t="n"/>
      <c r="P300" s="103" t="n"/>
      <c r="Q300" s="103" t="n"/>
      <c r="R300" s="103" t="n"/>
      <c r="S300" s="103" t="n"/>
      <c r="T300" s="103" t="n"/>
      <c r="U300" s="103" t="n"/>
      <c r="V300" s="103" t="n"/>
      <c r="W300" s="103" t="n"/>
      <c r="X300" s="103" t="n"/>
      <c r="Y300" s="103" t="n"/>
      <c r="Z300" s="103" t="n"/>
      <c r="AA300" s="103" t="n"/>
      <c r="AB300" s="103" t="n"/>
      <c r="AC300" s="103" t="n"/>
      <c r="AD300" s="103" t="n"/>
      <c r="AE300" s="103" t="n"/>
      <c r="AF300" s="103" t="n"/>
      <c r="AG300" s="103" t="n"/>
      <c r="AH300" s="103" t="n"/>
      <c r="AI300" s="103" t="n"/>
      <c r="AJ300" s="103" t="n"/>
      <c r="AK300" s="103" t="n"/>
      <c r="AL300" s="103" t="n"/>
      <c r="AM300" s="103" t="n"/>
      <c r="AN300" s="103" t="n"/>
      <c r="AO300" s="103" t="n"/>
      <c r="AP300" s="103" t="n"/>
      <c r="AQ300" s="103" t="n"/>
      <c r="AR300" s="103" t="n"/>
    </row>
    <row r="303">
      <c r="A303" s="2">
        <f>IF($A296="","","   projections")</f>
        <v/>
      </c>
      <c r="B303" s="99">
        <f>IF($A296="",0,COUNT($E304:$AR304))</f>
        <v/>
      </c>
      <c r="C303" s="100">
        <f>IF($B303=0,0,MAX($E304:$AR304))</f>
        <v/>
      </c>
      <c r="D303" s="101">
        <f>BDS($A296,FLD_PROJ,"headers=y","startcol=1","endcol=3","dir=h")</f>
        <v/>
      </c>
      <c r="E303" s="102" t="n"/>
      <c r="F303" s="102" t="n"/>
      <c r="G303" s="102" t="n"/>
      <c r="H303" s="102" t="n"/>
      <c r="I303" s="102" t="n"/>
      <c r="J303" s="102" t="n"/>
      <c r="K303" s="102" t="n"/>
      <c r="L303" s="102" t="n"/>
      <c r="M303" s="102" t="n"/>
      <c r="N303" s="102" t="n"/>
      <c r="O303" s="102" t="n"/>
      <c r="P303" s="102" t="n"/>
      <c r="Q303" s="102" t="n"/>
      <c r="R303" s="102" t="n"/>
      <c r="S303" s="102" t="n"/>
      <c r="T303" s="102" t="n"/>
      <c r="U303" s="102" t="n"/>
      <c r="V303" s="102" t="n"/>
      <c r="W303" s="102" t="n"/>
      <c r="X303" s="102" t="n"/>
      <c r="Y303" s="102" t="n"/>
      <c r="Z303" s="102" t="n"/>
      <c r="AA303" s="102" t="n"/>
      <c r="AB303" s="102" t="n"/>
      <c r="AC303" s="102" t="n"/>
      <c r="AD303" s="102" t="n"/>
      <c r="AE303" s="102" t="n"/>
      <c r="AF303" s="102" t="n"/>
      <c r="AG303" s="102" t="n"/>
      <c r="AH303" s="102" t="n"/>
      <c r="AI303" s="102" t="n"/>
      <c r="AJ303" s="102" t="n"/>
      <c r="AK303" s="102" t="n"/>
      <c r="AL303" s="102" t="n"/>
      <c r="AM303" s="102" t="n"/>
      <c r="AN303" s="102" t="n"/>
      <c r="AO303" s="102" t="n"/>
      <c r="AP303" s="102" t="n"/>
      <c r="AQ303" s="102" t="n"/>
      <c r="AR303" s="102" t="n"/>
    </row>
    <row r="304">
      <c r="D304" s="102" t="n"/>
      <c r="E304" s="102" t="n"/>
      <c r="F304" s="102" t="n"/>
      <c r="G304" s="102" t="n"/>
      <c r="H304" s="102" t="n"/>
      <c r="I304" s="102" t="n"/>
      <c r="J304" s="102" t="n"/>
      <c r="K304" s="102" t="n"/>
      <c r="L304" s="102" t="n"/>
      <c r="M304" s="102" t="n"/>
      <c r="N304" s="102" t="n"/>
      <c r="O304" s="102" t="n"/>
      <c r="P304" s="102" t="n"/>
      <c r="Q304" s="102" t="n"/>
      <c r="R304" s="102" t="n"/>
      <c r="S304" s="102" t="n"/>
      <c r="T304" s="102" t="n"/>
      <c r="U304" s="102" t="n"/>
      <c r="V304" s="102" t="n"/>
      <c r="W304" s="102" t="n"/>
      <c r="X304" s="102" t="n"/>
      <c r="Y304" s="102" t="n"/>
      <c r="Z304" s="102" t="n"/>
      <c r="AA304" s="102" t="n"/>
      <c r="AB304" s="102" t="n"/>
      <c r="AC304" s="102" t="n"/>
      <c r="AD304" s="102" t="n"/>
      <c r="AE304" s="102" t="n"/>
      <c r="AF304" s="102" t="n"/>
      <c r="AG304" s="102" t="n"/>
      <c r="AH304" s="102" t="n"/>
      <c r="AI304" s="102" t="n"/>
      <c r="AJ304" s="102" t="n"/>
      <c r="AK304" s="102" t="n"/>
      <c r="AL304" s="102" t="n"/>
      <c r="AM304" s="102" t="n"/>
      <c r="AN304" s="102" t="n"/>
      <c r="AO304" s="102" t="n"/>
      <c r="AP304" s="102" t="n"/>
      <c r="AQ304" s="102" t="n"/>
      <c r="AR304" s="102" t="n"/>
    </row>
    <row r="305">
      <c r="D305" s="103" t="n"/>
      <c r="E305" s="103" t="n"/>
      <c r="F305" s="103" t="n"/>
      <c r="G305" s="103" t="n"/>
      <c r="H305" s="103" t="n"/>
      <c r="I305" s="103" t="n"/>
      <c r="J305" s="103" t="n"/>
      <c r="K305" s="103" t="n"/>
      <c r="L305" s="103" t="n"/>
      <c r="M305" s="103" t="n"/>
      <c r="N305" s="103" t="n"/>
      <c r="O305" s="103" t="n"/>
      <c r="P305" s="103" t="n"/>
      <c r="Q305" s="103" t="n"/>
      <c r="R305" s="103" t="n"/>
      <c r="S305" s="103" t="n"/>
      <c r="T305" s="103" t="n"/>
      <c r="U305" s="103" t="n"/>
      <c r="V305" s="103" t="n"/>
      <c r="W305" s="103" t="n"/>
      <c r="X305" s="103" t="n"/>
      <c r="Y305" s="103" t="n"/>
      <c r="Z305" s="103" t="n"/>
      <c r="AA305" s="103" t="n"/>
      <c r="AB305" s="103" t="n"/>
      <c r="AC305" s="103" t="n"/>
      <c r="AD305" s="103" t="n"/>
      <c r="AE305" s="103" t="n"/>
      <c r="AF305" s="103" t="n"/>
      <c r="AG305" s="103" t="n"/>
      <c r="AH305" s="103" t="n"/>
      <c r="AI305" s="103" t="n"/>
      <c r="AJ305" s="103" t="n"/>
      <c r="AK305" s="103" t="n"/>
      <c r="AL305" s="103" t="n"/>
      <c r="AM305" s="103" t="n"/>
      <c r="AN305" s="103" t="n"/>
      <c r="AO305" s="103" t="n"/>
      <c r="AP305" s="103" t="n"/>
      <c r="AQ305" s="103" t="n"/>
      <c r="AR305" s="103" t="n"/>
    </row>
    <row r="307">
      <c r="A307" s="8">
        <f>IF(HSI!$C$34="","",HSI!$C$34)</f>
        <v/>
      </c>
      <c r="B307" s="99">
        <f>IF($A307="",0,COUNT($E308:$AR308))</f>
        <v/>
      </c>
      <c r="C307" s="100">
        <f>IF($B307=0,0,MAX($E308:$AR308))</f>
        <v/>
      </c>
      <c r="D307" s="101">
        <f>BDS($A307,FLD_HIST,"headers=y","startcol=1","endcol=7","dir=h","DVD_START_DT",HIST_FROM,"DVD_END_DT",HIST_TO)</f>
        <v/>
      </c>
      <c r="E307" s="102" t="n"/>
      <c r="F307" s="102" t="n"/>
      <c r="G307" s="102" t="n"/>
      <c r="H307" s="102" t="n"/>
      <c r="I307" s="102" t="n"/>
      <c r="J307" s="102" t="n"/>
      <c r="K307" s="102" t="n"/>
      <c r="L307" s="102" t="n"/>
      <c r="M307" s="102" t="n"/>
      <c r="N307" s="102" t="n"/>
      <c r="O307" s="102" t="n"/>
      <c r="P307" s="102" t="n"/>
      <c r="Q307" s="102" t="n"/>
      <c r="R307" s="102" t="n"/>
      <c r="S307" s="102" t="n"/>
      <c r="T307" s="102" t="n"/>
      <c r="U307" s="102" t="n"/>
      <c r="V307" s="102" t="n"/>
      <c r="W307" s="102" t="n"/>
      <c r="X307" s="102" t="n"/>
      <c r="Y307" s="102" t="n"/>
      <c r="Z307" s="102" t="n"/>
      <c r="AA307" s="102" t="n"/>
      <c r="AB307" s="102" t="n"/>
      <c r="AC307" s="102" t="n"/>
      <c r="AD307" s="102" t="n"/>
      <c r="AE307" s="102" t="n"/>
      <c r="AF307" s="102" t="n"/>
      <c r="AG307" s="102" t="n"/>
      <c r="AH307" s="102" t="n"/>
      <c r="AI307" s="102" t="n"/>
      <c r="AJ307" s="102" t="n"/>
      <c r="AK307" s="102" t="n"/>
      <c r="AL307" s="102" t="n"/>
      <c r="AM307" s="102" t="n"/>
      <c r="AN307" s="102" t="n"/>
      <c r="AO307" s="102" t="n"/>
      <c r="AP307" s="102" t="n"/>
      <c r="AQ307" s="102" t="n"/>
      <c r="AR307" s="102" t="n"/>
    </row>
    <row r="308">
      <c r="D308" s="102" t="n"/>
      <c r="E308" s="102" t="n"/>
      <c r="F308" s="102" t="n"/>
      <c r="G308" s="102" t="n"/>
      <c r="H308" s="102" t="n"/>
      <c r="I308" s="102" t="n"/>
      <c r="J308" s="102" t="n"/>
      <c r="K308" s="102" t="n"/>
      <c r="L308" s="102" t="n"/>
      <c r="M308" s="102" t="n"/>
      <c r="N308" s="102" t="n"/>
      <c r="O308" s="102" t="n"/>
      <c r="P308" s="102" t="n"/>
      <c r="Q308" s="102" t="n"/>
      <c r="R308" s="102" t="n"/>
      <c r="S308" s="102" t="n"/>
      <c r="T308" s="102" t="n"/>
      <c r="U308" s="102" t="n"/>
      <c r="V308" s="102" t="n"/>
      <c r="W308" s="102" t="n"/>
      <c r="X308" s="102" t="n"/>
      <c r="Y308" s="102" t="n"/>
      <c r="Z308" s="102" t="n"/>
      <c r="AA308" s="102" t="n"/>
      <c r="AB308" s="102" t="n"/>
      <c r="AC308" s="102" t="n"/>
      <c r="AD308" s="102" t="n"/>
      <c r="AE308" s="102" t="n"/>
      <c r="AF308" s="102" t="n"/>
      <c r="AG308" s="102" t="n"/>
      <c r="AH308" s="102" t="n"/>
      <c r="AI308" s="102" t="n"/>
      <c r="AJ308" s="102" t="n"/>
      <c r="AK308" s="102" t="n"/>
      <c r="AL308" s="102" t="n"/>
      <c r="AM308" s="102" t="n"/>
      <c r="AN308" s="102" t="n"/>
      <c r="AO308" s="102" t="n"/>
      <c r="AP308" s="102" t="n"/>
      <c r="AQ308" s="102" t="n"/>
      <c r="AR308" s="102" t="n"/>
    </row>
    <row r="309">
      <c r="D309" s="102" t="n"/>
      <c r="E309" s="102" t="n"/>
      <c r="F309" s="102" t="n"/>
      <c r="G309" s="102" t="n"/>
      <c r="H309" s="102" t="n"/>
      <c r="I309" s="102" t="n"/>
      <c r="J309" s="102" t="n"/>
      <c r="K309" s="102" t="n"/>
      <c r="L309" s="102" t="n"/>
      <c r="M309" s="102" t="n"/>
      <c r="N309" s="102" t="n"/>
      <c r="O309" s="102" t="n"/>
      <c r="P309" s="102" t="n"/>
      <c r="Q309" s="102" t="n"/>
      <c r="R309" s="102" t="n"/>
      <c r="S309" s="102" t="n"/>
      <c r="T309" s="102" t="n"/>
      <c r="U309" s="102" t="n"/>
      <c r="V309" s="102" t="n"/>
      <c r="W309" s="102" t="n"/>
      <c r="X309" s="102" t="n"/>
      <c r="Y309" s="102" t="n"/>
      <c r="Z309" s="102" t="n"/>
      <c r="AA309" s="102" t="n"/>
      <c r="AB309" s="102" t="n"/>
      <c r="AC309" s="102" t="n"/>
      <c r="AD309" s="102" t="n"/>
      <c r="AE309" s="102" t="n"/>
      <c r="AF309" s="102" t="n"/>
      <c r="AG309" s="102" t="n"/>
      <c r="AH309" s="102" t="n"/>
      <c r="AI309" s="102" t="n"/>
      <c r="AJ309" s="102" t="n"/>
      <c r="AK309" s="102" t="n"/>
      <c r="AL309" s="102" t="n"/>
      <c r="AM309" s="102" t="n"/>
      <c r="AN309" s="102" t="n"/>
      <c r="AO309" s="102" t="n"/>
      <c r="AP309" s="102" t="n"/>
      <c r="AQ309" s="102" t="n"/>
      <c r="AR309" s="102" t="n"/>
    </row>
    <row r="310">
      <c r="D310" s="102" t="n"/>
      <c r="E310" s="102" t="n"/>
      <c r="F310" s="102" t="n"/>
      <c r="G310" s="102" t="n"/>
      <c r="H310" s="102" t="n"/>
      <c r="I310" s="102" t="n"/>
      <c r="J310" s="102" t="n"/>
      <c r="K310" s="102" t="n"/>
      <c r="L310" s="102" t="n"/>
      <c r="M310" s="102" t="n"/>
      <c r="N310" s="102" t="n"/>
      <c r="O310" s="102" t="n"/>
      <c r="P310" s="102" t="n"/>
      <c r="Q310" s="102" t="n"/>
      <c r="R310" s="102" t="n"/>
      <c r="S310" s="102" t="n"/>
      <c r="T310" s="102" t="n"/>
      <c r="U310" s="102" t="n"/>
      <c r="V310" s="102" t="n"/>
      <c r="W310" s="102" t="n"/>
      <c r="X310" s="102" t="n"/>
      <c r="Y310" s="102" t="n"/>
      <c r="Z310" s="102" t="n"/>
      <c r="AA310" s="102" t="n"/>
      <c r="AB310" s="102" t="n"/>
      <c r="AC310" s="102" t="n"/>
      <c r="AD310" s="102" t="n"/>
      <c r="AE310" s="102" t="n"/>
      <c r="AF310" s="102" t="n"/>
      <c r="AG310" s="102" t="n"/>
      <c r="AH310" s="102" t="n"/>
      <c r="AI310" s="102" t="n"/>
      <c r="AJ310" s="102" t="n"/>
      <c r="AK310" s="102" t="n"/>
      <c r="AL310" s="102" t="n"/>
      <c r="AM310" s="102" t="n"/>
      <c r="AN310" s="102" t="n"/>
      <c r="AO310" s="102" t="n"/>
      <c r="AP310" s="102" t="n"/>
      <c r="AQ310" s="102" t="n"/>
      <c r="AR310" s="102" t="n"/>
    </row>
    <row r="311">
      <c r="D311" s="103" t="n"/>
      <c r="E311" s="103" t="n"/>
      <c r="F311" s="103" t="n"/>
      <c r="G311" s="103" t="n"/>
      <c r="H311" s="103" t="n"/>
      <c r="I311" s="103" t="n"/>
      <c r="J311" s="103" t="n"/>
      <c r="K311" s="103" t="n"/>
      <c r="L311" s="103" t="n"/>
      <c r="M311" s="103" t="n"/>
      <c r="N311" s="103" t="n"/>
      <c r="O311" s="103" t="n"/>
      <c r="P311" s="103" t="n"/>
      <c r="Q311" s="103" t="n"/>
      <c r="R311" s="103" t="n"/>
      <c r="S311" s="103" t="n"/>
      <c r="T311" s="103" t="n"/>
      <c r="U311" s="103" t="n"/>
      <c r="V311" s="103" t="n"/>
      <c r="W311" s="103" t="n"/>
      <c r="X311" s="103" t="n"/>
      <c r="Y311" s="103" t="n"/>
      <c r="Z311" s="103" t="n"/>
      <c r="AA311" s="103" t="n"/>
      <c r="AB311" s="103" t="n"/>
      <c r="AC311" s="103" t="n"/>
      <c r="AD311" s="103" t="n"/>
      <c r="AE311" s="103" t="n"/>
      <c r="AF311" s="103" t="n"/>
      <c r="AG311" s="103" t="n"/>
      <c r="AH311" s="103" t="n"/>
      <c r="AI311" s="103" t="n"/>
      <c r="AJ311" s="103" t="n"/>
      <c r="AK311" s="103" t="n"/>
      <c r="AL311" s="103" t="n"/>
      <c r="AM311" s="103" t="n"/>
      <c r="AN311" s="103" t="n"/>
      <c r="AO311" s="103" t="n"/>
      <c r="AP311" s="103" t="n"/>
      <c r="AQ311" s="103" t="n"/>
      <c r="AR311" s="103" t="n"/>
    </row>
    <row r="314">
      <c r="A314" s="2">
        <f>IF($A307="","","   projections")</f>
        <v/>
      </c>
      <c r="B314" s="99">
        <f>IF($A307="",0,COUNT($E315:$AR315))</f>
        <v/>
      </c>
      <c r="C314" s="100">
        <f>IF($B314=0,0,MAX($E315:$AR315))</f>
        <v/>
      </c>
      <c r="D314" s="101">
        <f>BDS($A307,FLD_PROJ,"headers=y","startcol=1","endcol=3","dir=h")</f>
        <v/>
      </c>
      <c r="E314" s="102" t="n"/>
      <c r="F314" s="102" t="n"/>
      <c r="G314" s="102" t="n"/>
      <c r="H314" s="102" t="n"/>
      <c r="I314" s="102" t="n"/>
      <c r="J314" s="102" t="n"/>
      <c r="K314" s="102" t="n"/>
      <c r="L314" s="102" t="n"/>
      <c r="M314" s="102" t="n"/>
      <c r="N314" s="102" t="n"/>
      <c r="O314" s="102" t="n"/>
      <c r="P314" s="102" t="n"/>
      <c r="Q314" s="102" t="n"/>
      <c r="R314" s="102" t="n"/>
      <c r="S314" s="102" t="n"/>
      <c r="T314" s="102" t="n"/>
      <c r="U314" s="102" t="n"/>
      <c r="V314" s="102" t="n"/>
      <c r="W314" s="102" t="n"/>
      <c r="X314" s="102" t="n"/>
      <c r="Y314" s="102" t="n"/>
      <c r="Z314" s="102" t="n"/>
      <c r="AA314" s="102" t="n"/>
      <c r="AB314" s="102" t="n"/>
      <c r="AC314" s="102" t="n"/>
      <c r="AD314" s="102" t="n"/>
      <c r="AE314" s="102" t="n"/>
      <c r="AF314" s="102" t="n"/>
      <c r="AG314" s="102" t="n"/>
      <c r="AH314" s="102" t="n"/>
      <c r="AI314" s="102" t="n"/>
      <c r="AJ314" s="102" t="n"/>
      <c r="AK314" s="102" t="n"/>
      <c r="AL314" s="102" t="n"/>
      <c r="AM314" s="102" t="n"/>
      <c r="AN314" s="102" t="n"/>
      <c r="AO314" s="102" t="n"/>
      <c r="AP314" s="102" t="n"/>
      <c r="AQ314" s="102" t="n"/>
      <c r="AR314" s="102" t="n"/>
    </row>
    <row r="315">
      <c r="D315" s="102" t="n"/>
      <c r="E315" s="102" t="n"/>
      <c r="F315" s="102" t="n"/>
      <c r="G315" s="102" t="n"/>
      <c r="H315" s="102" t="n"/>
      <c r="I315" s="102" t="n"/>
      <c r="J315" s="102" t="n"/>
      <c r="K315" s="102" t="n"/>
      <c r="L315" s="102" t="n"/>
      <c r="M315" s="102" t="n"/>
      <c r="N315" s="102" t="n"/>
      <c r="O315" s="102" t="n"/>
      <c r="P315" s="102" t="n"/>
      <c r="Q315" s="102" t="n"/>
      <c r="R315" s="102" t="n"/>
      <c r="S315" s="102" t="n"/>
      <c r="T315" s="102" t="n"/>
      <c r="U315" s="102" t="n"/>
      <c r="V315" s="102" t="n"/>
      <c r="W315" s="102" t="n"/>
      <c r="X315" s="102" t="n"/>
      <c r="Y315" s="102" t="n"/>
      <c r="Z315" s="102" t="n"/>
      <c r="AA315" s="102" t="n"/>
      <c r="AB315" s="102" t="n"/>
      <c r="AC315" s="102" t="n"/>
      <c r="AD315" s="102" t="n"/>
      <c r="AE315" s="102" t="n"/>
      <c r="AF315" s="102" t="n"/>
      <c r="AG315" s="102" t="n"/>
      <c r="AH315" s="102" t="n"/>
      <c r="AI315" s="102" t="n"/>
      <c r="AJ315" s="102" t="n"/>
      <c r="AK315" s="102" t="n"/>
      <c r="AL315" s="102" t="n"/>
      <c r="AM315" s="102" t="n"/>
      <c r="AN315" s="102" t="n"/>
      <c r="AO315" s="102" t="n"/>
      <c r="AP315" s="102" t="n"/>
      <c r="AQ315" s="102" t="n"/>
      <c r="AR315" s="102" t="n"/>
    </row>
    <row r="316">
      <c r="D316" s="103" t="n"/>
      <c r="E316" s="103" t="n"/>
      <c r="F316" s="103" t="n"/>
      <c r="G316" s="103" t="n"/>
      <c r="H316" s="103" t="n"/>
      <c r="I316" s="103" t="n"/>
      <c r="J316" s="103" t="n"/>
      <c r="K316" s="103" t="n"/>
      <c r="L316" s="103" t="n"/>
      <c r="M316" s="103" t="n"/>
      <c r="N316" s="103" t="n"/>
      <c r="O316" s="103" t="n"/>
      <c r="P316" s="103" t="n"/>
      <c r="Q316" s="103" t="n"/>
      <c r="R316" s="103" t="n"/>
      <c r="S316" s="103" t="n"/>
      <c r="T316" s="103" t="n"/>
      <c r="U316" s="103" t="n"/>
      <c r="V316" s="103" t="n"/>
      <c r="W316" s="103" t="n"/>
      <c r="X316" s="103" t="n"/>
      <c r="Y316" s="103" t="n"/>
      <c r="Z316" s="103" t="n"/>
      <c r="AA316" s="103" t="n"/>
      <c r="AB316" s="103" t="n"/>
      <c r="AC316" s="103" t="n"/>
      <c r="AD316" s="103" t="n"/>
      <c r="AE316" s="103" t="n"/>
      <c r="AF316" s="103" t="n"/>
      <c r="AG316" s="103" t="n"/>
      <c r="AH316" s="103" t="n"/>
      <c r="AI316" s="103" t="n"/>
      <c r="AJ316" s="103" t="n"/>
      <c r="AK316" s="103" t="n"/>
      <c r="AL316" s="103" t="n"/>
      <c r="AM316" s="103" t="n"/>
      <c r="AN316" s="103" t="n"/>
      <c r="AO316" s="103" t="n"/>
      <c r="AP316" s="103" t="n"/>
      <c r="AQ316" s="103" t="n"/>
      <c r="AR316" s="103" t="n"/>
    </row>
    <row r="318">
      <c r="A318" s="8">
        <f>IF(HSI!$C$35="","",HSI!$C$35)</f>
        <v/>
      </c>
      <c r="B318" s="99">
        <f>IF($A318="",0,COUNT($E319:$AR319))</f>
        <v/>
      </c>
      <c r="C318" s="100">
        <f>IF($B318=0,0,MAX($E319:$AR319))</f>
        <v/>
      </c>
      <c r="D318" s="101">
        <f>BDS($A318,FLD_HIST,"headers=y","startcol=1","endcol=7","dir=h","DVD_START_DT",HIST_FROM,"DVD_END_DT",HIST_TO)</f>
        <v/>
      </c>
      <c r="E318" s="102" t="n"/>
      <c r="F318" s="102" t="n"/>
      <c r="G318" s="102" t="n"/>
      <c r="H318" s="102" t="n"/>
      <c r="I318" s="102" t="n"/>
      <c r="J318" s="102" t="n"/>
      <c r="K318" s="102" t="n"/>
      <c r="L318" s="102" t="n"/>
      <c r="M318" s="102" t="n"/>
      <c r="N318" s="102" t="n"/>
      <c r="O318" s="102" t="n"/>
      <c r="P318" s="102" t="n"/>
      <c r="Q318" s="102" t="n"/>
      <c r="R318" s="102" t="n"/>
      <c r="S318" s="102" t="n"/>
      <c r="T318" s="102" t="n"/>
      <c r="U318" s="102" t="n"/>
      <c r="V318" s="102" t="n"/>
      <c r="W318" s="102" t="n"/>
      <c r="X318" s="102" t="n"/>
      <c r="Y318" s="102" t="n"/>
      <c r="Z318" s="102" t="n"/>
      <c r="AA318" s="102" t="n"/>
      <c r="AB318" s="102" t="n"/>
      <c r="AC318" s="102" t="n"/>
      <c r="AD318" s="102" t="n"/>
      <c r="AE318" s="102" t="n"/>
      <c r="AF318" s="102" t="n"/>
      <c r="AG318" s="102" t="n"/>
      <c r="AH318" s="102" t="n"/>
      <c r="AI318" s="102" t="n"/>
      <c r="AJ318" s="102" t="n"/>
      <c r="AK318" s="102" t="n"/>
      <c r="AL318" s="102" t="n"/>
      <c r="AM318" s="102" t="n"/>
      <c r="AN318" s="102" t="n"/>
      <c r="AO318" s="102" t="n"/>
      <c r="AP318" s="102" t="n"/>
      <c r="AQ318" s="102" t="n"/>
      <c r="AR318" s="102" t="n"/>
    </row>
    <row r="319">
      <c r="D319" s="102" t="n"/>
      <c r="E319" s="102" t="n"/>
      <c r="F319" s="102" t="n"/>
      <c r="G319" s="102" t="n"/>
      <c r="H319" s="102" t="n"/>
      <c r="I319" s="102" t="n"/>
      <c r="J319" s="102" t="n"/>
      <c r="K319" s="102" t="n"/>
      <c r="L319" s="102" t="n"/>
      <c r="M319" s="102" t="n"/>
      <c r="N319" s="102" t="n"/>
      <c r="O319" s="102" t="n"/>
      <c r="P319" s="102" t="n"/>
      <c r="Q319" s="102" t="n"/>
      <c r="R319" s="102" t="n"/>
      <c r="S319" s="102" t="n"/>
      <c r="T319" s="102" t="n"/>
      <c r="U319" s="102" t="n"/>
      <c r="V319" s="102" t="n"/>
      <c r="W319" s="102" t="n"/>
      <c r="X319" s="102" t="n"/>
      <c r="Y319" s="102" t="n"/>
      <c r="Z319" s="102" t="n"/>
      <c r="AA319" s="102" t="n"/>
      <c r="AB319" s="102" t="n"/>
      <c r="AC319" s="102" t="n"/>
      <c r="AD319" s="102" t="n"/>
      <c r="AE319" s="102" t="n"/>
      <c r="AF319" s="102" t="n"/>
      <c r="AG319" s="102" t="n"/>
      <c r="AH319" s="102" t="n"/>
      <c r="AI319" s="102" t="n"/>
      <c r="AJ319" s="102" t="n"/>
      <c r="AK319" s="102" t="n"/>
      <c r="AL319" s="102" t="n"/>
      <c r="AM319" s="102" t="n"/>
      <c r="AN319" s="102" t="n"/>
      <c r="AO319" s="102" t="n"/>
      <c r="AP319" s="102" t="n"/>
      <c r="AQ319" s="102" t="n"/>
      <c r="AR319" s="102" t="n"/>
    </row>
    <row r="320">
      <c r="D320" s="102" t="n"/>
      <c r="E320" s="102" t="n"/>
      <c r="F320" s="102" t="n"/>
      <c r="G320" s="102" t="n"/>
      <c r="H320" s="102" t="n"/>
      <c r="I320" s="102" t="n"/>
      <c r="J320" s="102" t="n"/>
      <c r="K320" s="102" t="n"/>
      <c r="L320" s="102" t="n"/>
      <c r="M320" s="102" t="n"/>
      <c r="N320" s="102" t="n"/>
      <c r="O320" s="102" t="n"/>
      <c r="P320" s="102" t="n"/>
      <c r="Q320" s="102" t="n"/>
      <c r="R320" s="102" t="n"/>
      <c r="S320" s="102" t="n"/>
      <c r="T320" s="102" t="n"/>
      <c r="U320" s="102" t="n"/>
      <c r="V320" s="102" t="n"/>
      <c r="W320" s="102" t="n"/>
      <c r="X320" s="102" t="n"/>
      <c r="Y320" s="102" t="n"/>
      <c r="Z320" s="102" t="n"/>
      <c r="AA320" s="102" t="n"/>
      <c r="AB320" s="102" t="n"/>
      <c r="AC320" s="102" t="n"/>
      <c r="AD320" s="102" t="n"/>
      <c r="AE320" s="102" t="n"/>
      <c r="AF320" s="102" t="n"/>
      <c r="AG320" s="102" t="n"/>
      <c r="AH320" s="102" t="n"/>
      <c r="AI320" s="102" t="n"/>
      <c r="AJ320" s="102" t="n"/>
      <c r="AK320" s="102" t="n"/>
      <c r="AL320" s="102" t="n"/>
      <c r="AM320" s="102" t="n"/>
      <c r="AN320" s="102" t="n"/>
      <c r="AO320" s="102" t="n"/>
      <c r="AP320" s="102" t="n"/>
      <c r="AQ320" s="102" t="n"/>
      <c r="AR320" s="102" t="n"/>
    </row>
    <row r="321">
      <c r="D321" s="102" t="n"/>
      <c r="E321" s="102" t="n"/>
      <c r="F321" s="102" t="n"/>
      <c r="G321" s="102" t="n"/>
      <c r="H321" s="102" t="n"/>
      <c r="I321" s="102" t="n"/>
      <c r="J321" s="102" t="n"/>
      <c r="K321" s="102" t="n"/>
      <c r="L321" s="102" t="n"/>
      <c r="M321" s="102" t="n"/>
      <c r="N321" s="102" t="n"/>
      <c r="O321" s="102" t="n"/>
      <c r="P321" s="102" t="n"/>
      <c r="Q321" s="102" t="n"/>
      <c r="R321" s="102" t="n"/>
      <c r="S321" s="102" t="n"/>
      <c r="T321" s="102" t="n"/>
      <c r="U321" s="102" t="n"/>
      <c r="V321" s="102" t="n"/>
      <c r="W321" s="102" t="n"/>
      <c r="X321" s="102" t="n"/>
      <c r="Y321" s="102" t="n"/>
      <c r="Z321" s="102" t="n"/>
      <c r="AA321" s="102" t="n"/>
      <c r="AB321" s="102" t="n"/>
      <c r="AC321" s="102" t="n"/>
      <c r="AD321" s="102" t="n"/>
      <c r="AE321" s="102" t="n"/>
      <c r="AF321" s="102" t="n"/>
      <c r="AG321" s="102" t="n"/>
      <c r="AH321" s="102" t="n"/>
      <c r="AI321" s="102" t="n"/>
      <c r="AJ321" s="102" t="n"/>
      <c r="AK321" s="102" t="n"/>
      <c r="AL321" s="102" t="n"/>
      <c r="AM321" s="102" t="n"/>
      <c r="AN321" s="102" t="n"/>
      <c r="AO321" s="102" t="n"/>
      <c r="AP321" s="102" t="n"/>
      <c r="AQ321" s="102" t="n"/>
      <c r="AR321" s="102" t="n"/>
    </row>
    <row r="322">
      <c r="D322" s="103" t="n"/>
      <c r="E322" s="103" t="n"/>
      <c r="F322" s="103" t="n"/>
      <c r="G322" s="103" t="n"/>
      <c r="H322" s="103" t="n"/>
      <c r="I322" s="103" t="n"/>
      <c r="J322" s="103" t="n"/>
      <c r="K322" s="103" t="n"/>
      <c r="L322" s="103" t="n"/>
      <c r="M322" s="103" t="n"/>
      <c r="N322" s="103" t="n"/>
      <c r="O322" s="103" t="n"/>
      <c r="P322" s="103" t="n"/>
      <c r="Q322" s="103" t="n"/>
      <c r="R322" s="103" t="n"/>
      <c r="S322" s="103" t="n"/>
      <c r="T322" s="103" t="n"/>
      <c r="U322" s="103" t="n"/>
      <c r="V322" s="103" t="n"/>
      <c r="W322" s="103" t="n"/>
      <c r="X322" s="103" t="n"/>
      <c r="Y322" s="103" t="n"/>
      <c r="Z322" s="103" t="n"/>
      <c r="AA322" s="103" t="n"/>
      <c r="AB322" s="103" t="n"/>
      <c r="AC322" s="103" t="n"/>
      <c r="AD322" s="103" t="n"/>
      <c r="AE322" s="103" t="n"/>
      <c r="AF322" s="103" t="n"/>
      <c r="AG322" s="103" t="n"/>
      <c r="AH322" s="103" t="n"/>
      <c r="AI322" s="103" t="n"/>
      <c r="AJ322" s="103" t="n"/>
      <c r="AK322" s="103" t="n"/>
      <c r="AL322" s="103" t="n"/>
      <c r="AM322" s="103" t="n"/>
      <c r="AN322" s="103" t="n"/>
      <c r="AO322" s="103" t="n"/>
      <c r="AP322" s="103" t="n"/>
      <c r="AQ322" s="103" t="n"/>
      <c r="AR322" s="103" t="n"/>
    </row>
    <row r="325">
      <c r="A325" s="2">
        <f>IF($A318="","","   projections")</f>
        <v/>
      </c>
      <c r="B325" s="99">
        <f>IF($A318="",0,COUNT($E326:$AR326))</f>
        <v/>
      </c>
      <c r="C325" s="100">
        <f>IF($B325=0,0,MAX($E326:$AR326))</f>
        <v/>
      </c>
      <c r="D325" s="101">
        <f>BDS($A318,FLD_PROJ,"headers=y","startcol=1","endcol=3","dir=h")</f>
        <v/>
      </c>
      <c r="E325" s="102" t="n"/>
      <c r="F325" s="102" t="n"/>
      <c r="G325" s="102" t="n"/>
      <c r="H325" s="102" t="n"/>
      <c r="I325" s="102" t="n"/>
      <c r="J325" s="102" t="n"/>
      <c r="K325" s="102" t="n"/>
      <c r="L325" s="102" t="n"/>
      <c r="M325" s="102" t="n"/>
      <c r="N325" s="102" t="n"/>
      <c r="O325" s="102" t="n"/>
      <c r="P325" s="102" t="n"/>
      <c r="Q325" s="102" t="n"/>
      <c r="R325" s="102" t="n"/>
      <c r="S325" s="102" t="n"/>
      <c r="T325" s="102" t="n"/>
      <c r="U325" s="102" t="n"/>
      <c r="V325" s="102" t="n"/>
      <c r="W325" s="102" t="n"/>
      <c r="X325" s="102" t="n"/>
      <c r="Y325" s="102" t="n"/>
      <c r="Z325" s="102" t="n"/>
      <c r="AA325" s="102" t="n"/>
      <c r="AB325" s="102" t="n"/>
      <c r="AC325" s="102" t="n"/>
      <c r="AD325" s="102" t="n"/>
      <c r="AE325" s="102" t="n"/>
      <c r="AF325" s="102" t="n"/>
      <c r="AG325" s="102" t="n"/>
      <c r="AH325" s="102" t="n"/>
      <c r="AI325" s="102" t="n"/>
      <c r="AJ325" s="102" t="n"/>
      <c r="AK325" s="102" t="n"/>
      <c r="AL325" s="102" t="n"/>
      <c r="AM325" s="102" t="n"/>
      <c r="AN325" s="102" t="n"/>
      <c r="AO325" s="102" t="n"/>
      <c r="AP325" s="102" t="n"/>
      <c r="AQ325" s="102" t="n"/>
      <c r="AR325" s="102" t="n"/>
    </row>
    <row r="326">
      <c r="D326" s="102" t="n"/>
      <c r="E326" s="102" t="n"/>
      <c r="F326" s="102" t="n"/>
      <c r="G326" s="102" t="n"/>
      <c r="H326" s="102" t="n"/>
      <c r="I326" s="102" t="n"/>
      <c r="J326" s="102" t="n"/>
      <c r="K326" s="102" t="n"/>
      <c r="L326" s="102" t="n"/>
      <c r="M326" s="102" t="n"/>
      <c r="N326" s="102" t="n"/>
      <c r="O326" s="102" t="n"/>
      <c r="P326" s="102" t="n"/>
      <c r="Q326" s="102" t="n"/>
      <c r="R326" s="102" t="n"/>
      <c r="S326" s="102" t="n"/>
      <c r="T326" s="102" t="n"/>
      <c r="U326" s="102" t="n"/>
      <c r="V326" s="102" t="n"/>
      <c r="W326" s="102" t="n"/>
      <c r="X326" s="102" t="n"/>
      <c r="Y326" s="102" t="n"/>
      <c r="Z326" s="102" t="n"/>
      <c r="AA326" s="102" t="n"/>
      <c r="AB326" s="102" t="n"/>
      <c r="AC326" s="102" t="n"/>
      <c r="AD326" s="102" t="n"/>
      <c r="AE326" s="102" t="n"/>
      <c r="AF326" s="102" t="n"/>
      <c r="AG326" s="102" t="n"/>
      <c r="AH326" s="102" t="n"/>
      <c r="AI326" s="102" t="n"/>
      <c r="AJ326" s="102" t="n"/>
      <c r="AK326" s="102" t="n"/>
      <c r="AL326" s="102" t="n"/>
      <c r="AM326" s="102" t="n"/>
      <c r="AN326" s="102" t="n"/>
      <c r="AO326" s="102" t="n"/>
      <c r="AP326" s="102" t="n"/>
      <c r="AQ326" s="102" t="n"/>
      <c r="AR326" s="102" t="n"/>
    </row>
    <row r="327">
      <c r="D327" s="103" t="n"/>
      <c r="E327" s="103" t="n"/>
      <c r="F327" s="103" t="n"/>
      <c r="G327" s="103" t="n"/>
      <c r="H327" s="103" t="n"/>
      <c r="I327" s="103" t="n"/>
      <c r="J327" s="103" t="n"/>
      <c r="K327" s="103" t="n"/>
      <c r="L327" s="103" t="n"/>
      <c r="M327" s="103" t="n"/>
      <c r="N327" s="103" t="n"/>
      <c r="O327" s="103" t="n"/>
      <c r="P327" s="103" t="n"/>
      <c r="Q327" s="103" t="n"/>
      <c r="R327" s="103" t="n"/>
      <c r="S327" s="103" t="n"/>
      <c r="T327" s="103" t="n"/>
      <c r="U327" s="103" t="n"/>
      <c r="V327" s="103" t="n"/>
      <c r="W327" s="103" t="n"/>
      <c r="X327" s="103" t="n"/>
      <c r="Y327" s="103" t="n"/>
      <c r="Z327" s="103" t="n"/>
      <c r="AA327" s="103" t="n"/>
      <c r="AB327" s="103" t="n"/>
      <c r="AC327" s="103" t="n"/>
      <c r="AD327" s="103" t="n"/>
      <c r="AE327" s="103" t="n"/>
      <c r="AF327" s="103" t="n"/>
      <c r="AG327" s="103" t="n"/>
      <c r="AH327" s="103" t="n"/>
      <c r="AI327" s="103" t="n"/>
      <c r="AJ327" s="103" t="n"/>
      <c r="AK327" s="103" t="n"/>
      <c r="AL327" s="103" t="n"/>
      <c r="AM327" s="103" t="n"/>
      <c r="AN327" s="103" t="n"/>
      <c r="AO327" s="103" t="n"/>
      <c r="AP327" s="103" t="n"/>
      <c r="AQ327" s="103" t="n"/>
      <c r="AR327" s="103" t="n"/>
    </row>
    <row r="329">
      <c r="A329" s="8">
        <f>IF(HSI!$C$36="","",HSI!$C$36)</f>
        <v/>
      </c>
      <c r="B329" s="99">
        <f>IF($A329="",0,COUNT($E330:$AR330))</f>
        <v/>
      </c>
      <c r="C329" s="100">
        <f>IF($B329=0,0,MAX($E330:$AR330))</f>
        <v/>
      </c>
      <c r="D329" s="101">
        <f>BDS($A329,FLD_HIST,"headers=y","startcol=1","endcol=7","dir=h","DVD_START_DT",HIST_FROM,"DVD_END_DT",HIST_TO)</f>
        <v/>
      </c>
      <c r="E329" s="102" t="n"/>
      <c r="F329" s="102" t="n"/>
      <c r="G329" s="102" t="n"/>
      <c r="H329" s="102" t="n"/>
      <c r="I329" s="102" t="n"/>
      <c r="J329" s="102" t="n"/>
      <c r="K329" s="102" t="n"/>
      <c r="L329" s="102" t="n"/>
      <c r="M329" s="102" t="n"/>
      <c r="N329" s="102" t="n"/>
      <c r="O329" s="102" t="n"/>
      <c r="P329" s="102" t="n"/>
      <c r="Q329" s="102" t="n"/>
      <c r="R329" s="102" t="n"/>
      <c r="S329" s="102" t="n"/>
      <c r="T329" s="102" t="n"/>
      <c r="U329" s="102" t="n"/>
      <c r="V329" s="102" t="n"/>
      <c r="W329" s="102" t="n"/>
      <c r="X329" s="102" t="n"/>
      <c r="Y329" s="102" t="n"/>
      <c r="Z329" s="102" t="n"/>
      <c r="AA329" s="102" t="n"/>
      <c r="AB329" s="102" t="n"/>
      <c r="AC329" s="102" t="n"/>
      <c r="AD329" s="102" t="n"/>
      <c r="AE329" s="102" t="n"/>
      <c r="AF329" s="102" t="n"/>
      <c r="AG329" s="102" t="n"/>
      <c r="AH329" s="102" t="n"/>
      <c r="AI329" s="102" t="n"/>
      <c r="AJ329" s="102" t="n"/>
      <c r="AK329" s="102" t="n"/>
      <c r="AL329" s="102" t="n"/>
      <c r="AM329" s="102" t="n"/>
      <c r="AN329" s="102" t="n"/>
      <c r="AO329" s="102" t="n"/>
      <c r="AP329" s="102" t="n"/>
      <c r="AQ329" s="102" t="n"/>
      <c r="AR329" s="102" t="n"/>
    </row>
    <row r="330">
      <c r="D330" s="102" t="n"/>
      <c r="E330" s="102" t="n"/>
      <c r="F330" s="102" t="n"/>
      <c r="G330" s="102" t="n"/>
      <c r="H330" s="102" t="n"/>
      <c r="I330" s="102" t="n"/>
      <c r="J330" s="102" t="n"/>
      <c r="K330" s="102" t="n"/>
      <c r="L330" s="102" t="n"/>
      <c r="M330" s="102" t="n"/>
      <c r="N330" s="102" t="n"/>
      <c r="O330" s="102" t="n"/>
      <c r="P330" s="102" t="n"/>
      <c r="Q330" s="102" t="n"/>
      <c r="R330" s="102" t="n"/>
      <c r="S330" s="102" t="n"/>
      <c r="T330" s="102" t="n"/>
      <c r="U330" s="102" t="n"/>
      <c r="V330" s="102" t="n"/>
      <c r="W330" s="102" t="n"/>
      <c r="X330" s="102" t="n"/>
      <c r="Y330" s="102" t="n"/>
      <c r="Z330" s="102" t="n"/>
      <c r="AA330" s="102" t="n"/>
      <c r="AB330" s="102" t="n"/>
      <c r="AC330" s="102" t="n"/>
      <c r="AD330" s="102" t="n"/>
      <c r="AE330" s="102" t="n"/>
      <c r="AF330" s="102" t="n"/>
      <c r="AG330" s="102" t="n"/>
      <c r="AH330" s="102" t="n"/>
      <c r="AI330" s="102" t="n"/>
      <c r="AJ330" s="102" t="n"/>
      <c r="AK330" s="102" t="n"/>
      <c r="AL330" s="102" t="n"/>
      <c r="AM330" s="102" t="n"/>
      <c r="AN330" s="102" t="n"/>
      <c r="AO330" s="102" t="n"/>
      <c r="AP330" s="102" t="n"/>
      <c r="AQ330" s="102" t="n"/>
      <c r="AR330" s="102" t="n"/>
    </row>
    <row r="331">
      <c r="D331" s="102" t="n"/>
      <c r="E331" s="102" t="n"/>
      <c r="F331" s="102" t="n"/>
      <c r="G331" s="102" t="n"/>
      <c r="H331" s="102" t="n"/>
      <c r="I331" s="102" t="n"/>
      <c r="J331" s="102" t="n"/>
      <c r="K331" s="102" t="n"/>
      <c r="L331" s="102" t="n"/>
      <c r="M331" s="102" t="n"/>
      <c r="N331" s="102" t="n"/>
      <c r="O331" s="102" t="n"/>
      <c r="P331" s="102" t="n"/>
      <c r="Q331" s="102" t="n"/>
      <c r="R331" s="102" t="n"/>
      <c r="S331" s="102" t="n"/>
      <c r="T331" s="102" t="n"/>
      <c r="U331" s="102" t="n"/>
      <c r="V331" s="102" t="n"/>
      <c r="W331" s="102" t="n"/>
      <c r="X331" s="102" t="n"/>
      <c r="Y331" s="102" t="n"/>
      <c r="Z331" s="102" t="n"/>
      <c r="AA331" s="102" t="n"/>
      <c r="AB331" s="102" t="n"/>
      <c r="AC331" s="102" t="n"/>
      <c r="AD331" s="102" t="n"/>
      <c r="AE331" s="102" t="n"/>
      <c r="AF331" s="102" t="n"/>
      <c r="AG331" s="102" t="n"/>
      <c r="AH331" s="102" t="n"/>
      <c r="AI331" s="102" t="n"/>
      <c r="AJ331" s="102" t="n"/>
      <c r="AK331" s="102" t="n"/>
      <c r="AL331" s="102" t="n"/>
      <c r="AM331" s="102" t="n"/>
      <c r="AN331" s="102" t="n"/>
      <c r="AO331" s="102" t="n"/>
      <c r="AP331" s="102" t="n"/>
      <c r="AQ331" s="102" t="n"/>
      <c r="AR331" s="102" t="n"/>
    </row>
    <row r="332">
      <c r="D332" s="102" t="n"/>
      <c r="E332" s="102" t="n"/>
      <c r="F332" s="102" t="n"/>
      <c r="G332" s="102" t="n"/>
      <c r="H332" s="102" t="n"/>
      <c r="I332" s="102" t="n"/>
      <c r="J332" s="102" t="n"/>
      <c r="K332" s="102" t="n"/>
      <c r="L332" s="102" t="n"/>
      <c r="M332" s="102" t="n"/>
      <c r="N332" s="102" t="n"/>
      <c r="O332" s="102" t="n"/>
      <c r="P332" s="102" t="n"/>
      <c r="Q332" s="102" t="n"/>
      <c r="R332" s="102" t="n"/>
      <c r="S332" s="102" t="n"/>
      <c r="T332" s="102" t="n"/>
      <c r="U332" s="102" t="n"/>
      <c r="V332" s="102" t="n"/>
      <c r="W332" s="102" t="n"/>
      <c r="X332" s="102" t="n"/>
      <c r="Y332" s="102" t="n"/>
      <c r="Z332" s="102" t="n"/>
      <c r="AA332" s="102" t="n"/>
      <c r="AB332" s="102" t="n"/>
      <c r="AC332" s="102" t="n"/>
      <c r="AD332" s="102" t="n"/>
      <c r="AE332" s="102" t="n"/>
      <c r="AF332" s="102" t="n"/>
      <c r="AG332" s="102" t="n"/>
      <c r="AH332" s="102" t="n"/>
      <c r="AI332" s="102" t="n"/>
      <c r="AJ332" s="102" t="n"/>
      <c r="AK332" s="102" t="n"/>
      <c r="AL332" s="102" t="n"/>
      <c r="AM332" s="102" t="n"/>
      <c r="AN332" s="102" t="n"/>
      <c r="AO332" s="102" t="n"/>
      <c r="AP332" s="102" t="n"/>
      <c r="AQ332" s="102" t="n"/>
      <c r="AR332" s="102" t="n"/>
    </row>
    <row r="333">
      <c r="D333" s="103" t="n"/>
      <c r="E333" s="103" t="n"/>
      <c r="F333" s="103" t="n"/>
      <c r="G333" s="103" t="n"/>
      <c r="H333" s="103" t="n"/>
      <c r="I333" s="103" t="n"/>
      <c r="J333" s="103" t="n"/>
      <c r="K333" s="103" t="n"/>
      <c r="L333" s="103" t="n"/>
      <c r="M333" s="103" t="n"/>
      <c r="N333" s="103" t="n"/>
      <c r="O333" s="103" t="n"/>
      <c r="P333" s="103" t="n"/>
      <c r="Q333" s="103" t="n"/>
      <c r="R333" s="103" t="n"/>
      <c r="S333" s="103" t="n"/>
      <c r="T333" s="103" t="n"/>
      <c r="U333" s="103" t="n"/>
      <c r="V333" s="103" t="n"/>
      <c r="W333" s="103" t="n"/>
      <c r="X333" s="103" t="n"/>
      <c r="Y333" s="103" t="n"/>
      <c r="Z333" s="103" t="n"/>
      <c r="AA333" s="103" t="n"/>
      <c r="AB333" s="103" t="n"/>
      <c r="AC333" s="103" t="n"/>
      <c r="AD333" s="103" t="n"/>
      <c r="AE333" s="103" t="n"/>
      <c r="AF333" s="103" t="n"/>
      <c r="AG333" s="103" t="n"/>
      <c r="AH333" s="103" t="n"/>
      <c r="AI333" s="103" t="n"/>
      <c r="AJ333" s="103" t="n"/>
      <c r="AK333" s="103" t="n"/>
      <c r="AL333" s="103" t="n"/>
      <c r="AM333" s="103" t="n"/>
      <c r="AN333" s="103" t="n"/>
      <c r="AO333" s="103" t="n"/>
      <c r="AP333" s="103" t="n"/>
      <c r="AQ333" s="103" t="n"/>
      <c r="AR333" s="103" t="n"/>
    </row>
    <row r="336">
      <c r="A336" s="2">
        <f>IF($A329="","","   projections")</f>
        <v/>
      </c>
      <c r="B336" s="99">
        <f>IF($A329="",0,COUNT($E337:$AR337))</f>
        <v/>
      </c>
      <c r="C336" s="100">
        <f>IF($B336=0,0,MAX($E337:$AR337))</f>
        <v/>
      </c>
      <c r="D336" s="101">
        <f>BDS($A329,FLD_PROJ,"headers=y","startcol=1","endcol=3","dir=h")</f>
        <v/>
      </c>
      <c r="E336" s="102" t="n"/>
      <c r="F336" s="102" t="n"/>
      <c r="G336" s="102" t="n"/>
      <c r="H336" s="102" t="n"/>
      <c r="I336" s="102" t="n"/>
      <c r="J336" s="102" t="n"/>
      <c r="K336" s="102" t="n"/>
      <c r="L336" s="102" t="n"/>
      <c r="M336" s="102" t="n"/>
      <c r="N336" s="102" t="n"/>
      <c r="O336" s="102" t="n"/>
      <c r="P336" s="102" t="n"/>
      <c r="Q336" s="102" t="n"/>
      <c r="R336" s="102" t="n"/>
      <c r="S336" s="102" t="n"/>
      <c r="T336" s="102" t="n"/>
      <c r="U336" s="102" t="n"/>
      <c r="V336" s="102" t="n"/>
      <c r="W336" s="102" t="n"/>
      <c r="X336" s="102" t="n"/>
      <c r="Y336" s="102" t="n"/>
      <c r="Z336" s="102" t="n"/>
      <c r="AA336" s="102" t="n"/>
      <c r="AB336" s="102" t="n"/>
      <c r="AC336" s="102" t="n"/>
      <c r="AD336" s="102" t="n"/>
      <c r="AE336" s="102" t="n"/>
      <c r="AF336" s="102" t="n"/>
      <c r="AG336" s="102" t="n"/>
      <c r="AH336" s="102" t="n"/>
      <c r="AI336" s="102" t="n"/>
      <c r="AJ336" s="102" t="n"/>
      <c r="AK336" s="102" t="n"/>
      <c r="AL336" s="102" t="n"/>
      <c r="AM336" s="102" t="n"/>
      <c r="AN336" s="102" t="n"/>
      <c r="AO336" s="102" t="n"/>
      <c r="AP336" s="102" t="n"/>
      <c r="AQ336" s="102" t="n"/>
      <c r="AR336" s="102" t="n"/>
    </row>
    <row r="337">
      <c r="D337" s="102" t="n"/>
      <c r="E337" s="102" t="n"/>
      <c r="F337" s="102" t="n"/>
      <c r="G337" s="102" t="n"/>
      <c r="H337" s="102" t="n"/>
      <c r="I337" s="102" t="n"/>
      <c r="J337" s="102" t="n"/>
      <c r="K337" s="102" t="n"/>
      <c r="L337" s="102" t="n"/>
      <c r="M337" s="102" t="n"/>
      <c r="N337" s="102" t="n"/>
      <c r="O337" s="102" t="n"/>
      <c r="P337" s="102" t="n"/>
      <c r="Q337" s="102" t="n"/>
      <c r="R337" s="102" t="n"/>
      <c r="S337" s="102" t="n"/>
      <c r="T337" s="102" t="n"/>
      <c r="U337" s="102" t="n"/>
      <c r="V337" s="102" t="n"/>
      <c r="W337" s="102" t="n"/>
      <c r="X337" s="102" t="n"/>
      <c r="Y337" s="102" t="n"/>
      <c r="Z337" s="102" t="n"/>
      <c r="AA337" s="102" t="n"/>
      <c r="AB337" s="102" t="n"/>
      <c r="AC337" s="102" t="n"/>
      <c r="AD337" s="102" t="n"/>
      <c r="AE337" s="102" t="n"/>
      <c r="AF337" s="102" t="n"/>
      <c r="AG337" s="102" t="n"/>
      <c r="AH337" s="102" t="n"/>
      <c r="AI337" s="102" t="n"/>
      <c r="AJ337" s="102" t="n"/>
      <c r="AK337" s="102" t="n"/>
      <c r="AL337" s="102" t="n"/>
      <c r="AM337" s="102" t="n"/>
      <c r="AN337" s="102" t="n"/>
      <c r="AO337" s="102" t="n"/>
      <c r="AP337" s="102" t="n"/>
      <c r="AQ337" s="102" t="n"/>
      <c r="AR337" s="102" t="n"/>
    </row>
    <row r="338">
      <c r="D338" s="103" t="n"/>
      <c r="E338" s="103" t="n"/>
      <c r="F338" s="103" t="n"/>
      <c r="G338" s="103" t="n"/>
      <c r="H338" s="103" t="n"/>
      <c r="I338" s="103" t="n"/>
      <c r="J338" s="103" t="n"/>
      <c r="K338" s="103" t="n"/>
      <c r="L338" s="103" t="n"/>
      <c r="M338" s="103" t="n"/>
      <c r="N338" s="103" t="n"/>
      <c r="O338" s="103" t="n"/>
      <c r="P338" s="103" t="n"/>
      <c r="Q338" s="103" t="n"/>
      <c r="R338" s="103" t="n"/>
      <c r="S338" s="103" t="n"/>
      <c r="T338" s="103" t="n"/>
      <c r="U338" s="103" t="n"/>
      <c r="V338" s="103" t="n"/>
      <c r="W338" s="103" t="n"/>
      <c r="X338" s="103" t="n"/>
      <c r="Y338" s="103" t="n"/>
      <c r="Z338" s="103" t="n"/>
      <c r="AA338" s="103" t="n"/>
      <c r="AB338" s="103" t="n"/>
      <c r="AC338" s="103" t="n"/>
      <c r="AD338" s="103" t="n"/>
      <c r="AE338" s="103" t="n"/>
      <c r="AF338" s="103" t="n"/>
      <c r="AG338" s="103" t="n"/>
      <c r="AH338" s="103" t="n"/>
      <c r="AI338" s="103" t="n"/>
      <c r="AJ338" s="103" t="n"/>
      <c r="AK338" s="103" t="n"/>
      <c r="AL338" s="103" t="n"/>
      <c r="AM338" s="103" t="n"/>
      <c r="AN338" s="103" t="n"/>
      <c r="AO338" s="103" t="n"/>
      <c r="AP338" s="103" t="n"/>
      <c r="AQ338" s="103" t="n"/>
      <c r="AR338" s="103" t="n"/>
    </row>
    <row r="340">
      <c r="A340" s="8">
        <f>IF(HSI!$C$37="","",HSI!$C$37)</f>
        <v/>
      </c>
      <c r="B340" s="99">
        <f>IF($A340="",0,COUNT($E341:$AR341))</f>
        <v/>
      </c>
      <c r="C340" s="100">
        <f>IF($B340=0,0,MAX($E341:$AR341))</f>
        <v/>
      </c>
      <c r="D340" s="101">
        <f>BDS($A340,FLD_HIST,"headers=y","startcol=1","endcol=7","dir=h","DVD_START_DT",HIST_FROM,"DVD_END_DT",HIST_TO)</f>
        <v/>
      </c>
      <c r="E340" s="102" t="n"/>
      <c r="F340" s="102" t="n"/>
      <c r="G340" s="102" t="n"/>
      <c r="H340" s="102" t="n"/>
      <c r="I340" s="102" t="n"/>
      <c r="J340" s="102" t="n"/>
      <c r="K340" s="102" t="n"/>
      <c r="L340" s="102" t="n"/>
      <c r="M340" s="102" t="n"/>
      <c r="N340" s="102" t="n"/>
      <c r="O340" s="102" t="n"/>
      <c r="P340" s="102" t="n"/>
      <c r="Q340" s="102" t="n"/>
      <c r="R340" s="102" t="n"/>
      <c r="S340" s="102" t="n"/>
      <c r="T340" s="102" t="n"/>
      <c r="U340" s="102" t="n"/>
      <c r="V340" s="102" t="n"/>
      <c r="W340" s="102" t="n"/>
      <c r="X340" s="102" t="n"/>
      <c r="Y340" s="102" t="n"/>
      <c r="Z340" s="102" t="n"/>
      <c r="AA340" s="102" t="n"/>
      <c r="AB340" s="102" t="n"/>
      <c r="AC340" s="102" t="n"/>
      <c r="AD340" s="102" t="n"/>
      <c r="AE340" s="102" t="n"/>
      <c r="AF340" s="102" t="n"/>
      <c r="AG340" s="102" t="n"/>
      <c r="AH340" s="102" t="n"/>
      <c r="AI340" s="102" t="n"/>
      <c r="AJ340" s="102" t="n"/>
      <c r="AK340" s="102" t="n"/>
      <c r="AL340" s="102" t="n"/>
      <c r="AM340" s="102" t="n"/>
      <c r="AN340" s="102" t="n"/>
      <c r="AO340" s="102" t="n"/>
      <c r="AP340" s="102" t="n"/>
      <c r="AQ340" s="102" t="n"/>
      <c r="AR340" s="102" t="n"/>
    </row>
    <row r="341">
      <c r="D341" s="102" t="n"/>
      <c r="E341" s="102" t="n"/>
      <c r="F341" s="102" t="n"/>
      <c r="G341" s="102" t="n"/>
      <c r="H341" s="102" t="n"/>
      <c r="I341" s="102" t="n"/>
      <c r="J341" s="102" t="n"/>
      <c r="K341" s="102" t="n"/>
      <c r="L341" s="102" t="n"/>
      <c r="M341" s="102" t="n"/>
      <c r="N341" s="102" t="n"/>
      <c r="O341" s="102" t="n"/>
      <c r="P341" s="102" t="n"/>
      <c r="Q341" s="102" t="n"/>
      <c r="R341" s="102" t="n"/>
      <c r="S341" s="102" t="n"/>
      <c r="T341" s="102" t="n"/>
      <c r="U341" s="102" t="n"/>
      <c r="V341" s="102" t="n"/>
      <c r="W341" s="102" t="n"/>
      <c r="X341" s="102" t="n"/>
      <c r="Y341" s="102" t="n"/>
      <c r="Z341" s="102" t="n"/>
      <c r="AA341" s="102" t="n"/>
      <c r="AB341" s="102" t="n"/>
      <c r="AC341" s="102" t="n"/>
      <c r="AD341" s="102" t="n"/>
      <c r="AE341" s="102" t="n"/>
      <c r="AF341" s="102" t="n"/>
      <c r="AG341" s="102" t="n"/>
      <c r="AH341" s="102" t="n"/>
      <c r="AI341" s="102" t="n"/>
      <c r="AJ341" s="102" t="n"/>
      <c r="AK341" s="102" t="n"/>
      <c r="AL341" s="102" t="n"/>
      <c r="AM341" s="102" t="n"/>
      <c r="AN341" s="102" t="n"/>
      <c r="AO341" s="102" t="n"/>
      <c r="AP341" s="102" t="n"/>
      <c r="AQ341" s="102" t="n"/>
      <c r="AR341" s="102" t="n"/>
    </row>
    <row r="342">
      <c r="D342" s="102" t="n"/>
      <c r="E342" s="102" t="n"/>
      <c r="F342" s="102" t="n"/>
      <c r="G342" s="102" t="n"/>
      <c r="H342" s="102" t="n"/>
      <c r="I342" s="102" t="n"/>
      <c r="J342" s="102" t="n"/>
      <c r="K342" s="102" t="n"/>
      <c r="L342" s="102" t="n"/>
      <c r="M342" s="102" t="n"/>
      <c r="N342" s="102" t="n"/>
      <c r="O342" s="102" t="n"/>
      <c r="P342" s="102" t="n"/>
      <c r="Q342" s="102" t="n"/>
      <c r="R342" s="102" t="n"/>
      <c r="S342" s="102" t="n"/>
      <c r="T342" s="102" t="n"/>
      <c r="U342" s="102" t="n"/>
      <c r="V342" s="102" t="n"/>
      <c r="W342" s="102" t="n"/>
      <c r="X342" s="102" t="n"/>
      <c r="Y342" s="102" t="n"/>
      <c r="Z342" s="102" t="n"/>
      <c r="AA342" s="102" t="n"/>
      <c r="AB342" s="102" t="n"/>
      <c r="AC342" s="102" t="n"/>
      <c r="AD342" s="102" t="n"/>
      <c r="AE342" s="102" t="n"/>
      <c r="AF342" s="102" t="n"/>
      <c r="AG342" s="102" t="n"/>
      <c r="AH342" s="102" t="n"/>
      <c r="AI342" s="102" t="n"/>
      <c r="AJ342" s="102" t="n"/>
      <c r="AK342" s="102" t="n"/>
      <c r="AL342" s="102" t="n"/>
      <c r="AM342" s="102" t="n"/>
      <c r="AN342" s="102" t="n"/>
      <c r="AO342" s="102" t="n"/>
      <c r="AP342" s="102" t="n"/>
      <c r="AQ342" s="102" t="n"/>
      <c r="AR342" s="102" t="n"/>
    </row>
    <row r="343">
      <c r="D343" s="102" t="n"/>
      <c r="E343" s="102" t="n"/>
      <c r="F343" s="102" t="n"/>
      <c r="G343" s="102" t="n"/>
      <c r="H343" s="102" t="n"/>
      <c r="I343" s="102" t="n"/>
      <c r="J343" s="102" t="n"/>
      <c r="K343" s="102" t="n"/>
      <c r="L343" s="102" t="n"/>
      <c r="M343" s="102" t="n"/>
      <c r="N343" s="102" t="n"/>
      <c r="O343" s="102" t="n"/>
      <c r="P343" s="102" t="n"/>
      <c r="Q343" s="102" t="n"/>
      <c r="R343" s="102" t="n"/>
      <c r="S343" s="102" t="n"/>
      <c r="T343" s="102" t="n"/>
      <c r="U343" s="102" t="n"/>
      <c r="V343" s="102" t="n"/>
      <c r="W343" s="102" t="n"/>
      <c r="X343" s="102" t="n"/>
      <c r="Y343" s="102" t="n"/>
      <c r="Z343" s="102" t="n"/>
      <c r="AA343" s="102" t="n"/>
      <c r="AB343" s="102" t="n"/>
      <c r="AC343" s="102" t="n"/>
      <c r="AD343" s="102" t="n"/>
      <c r="AE343" s="102" t="n"/>
      <c r="AF343" s="102" t="n"/>
      <c r="AG343" s="102" t="n"/>
      <c r="AH343" s="102" t="n"/>
      <c r="AI343" s="102" t="n"/>
      <c r="AJ343" s="102" t="n"/>
      <c r="AK343" s="102" t="n"/>
      <c r="AL343" s="102" t="n"/>
      <c r="AM343" s="102" t="n"/>
      <c r="AN343" s="102" t="n"/>
      <c r="AO343" s="102" t="n"/>
      <c r="AP343" s="102" t="n"/>
      <c r="AQ343" s="102" t="n"/>
      <c r="AR343" s="102" t="n"/>
    </row>
    <row r="344">
      <c r="D344" s="103" t="n"/>
      <c r="E344" s="103" t="n"/>
      <c r="F344" s="103" t="n"/>
      <c r="G344" s="103" t="n"/>
      <c r="H344" s="103" t="n"/>
      <c r="I344" s="103" t="n"/>
      <c r="J344" s="103" t="n"/>
      <c r="K344" s="103" t="n"/>
      <c r="L344" s="103" t="n"/>
      <c r="M344" s="103" t="n"/>
      <c r="N344" s="103" t="n"/>
      <c r="O344" s="103" t="n"/>
      <c r="P344" s="103" t="n"/>
      <c r="Q344" s="103" t="n"/>
      <c r="R344" s="103" t="n"/>
      <c r="S344" s="103" t="n"/>
      <c r="T344" s="103" t="n"/>
      <c r="U344" s="103" t="n"/>
      <c r="V344" s="103" t="n"/>
      <c r="W344" s="103" t="n"/>
      <c r="X344" s="103" t="n"/>
      <c r="Y344" s="103" t="n"/>
      <c r="Z344" s="103" t="n"/>
      <c r="AA344" s="103" t="n"/>
      <c r="AB344" s="103" t="n"/>
      <c r="AC344" s="103" t="n"/>
      <c r="AD344" s="103" t="n"/>
      <c r="AE344" s="103" t="n"/>
      <c r="AF344" s="103" t="n"/>
      <c r="AG344" s="103" t="n"/>
      <c r="AH344" s="103" t="n"/>
      <c r="AI344" s="103" t="n"/>
      <c r="AJ344" s="103" t="n"/>
      <c r="AK344" s="103" t="n"/>
      <c r="AL344" s="103" t="n"/>
      <c r="AM344" s="103" t="n"/>
      <c r="AN344" s="103" t="n"/>
      <c r="AO344" s="103" t="n"/>
      <c r="AP344" s="103" t="n"/>
      <c r="AQ344" s="103" t="n"/>
      <c r="AR344" s="103" t="n"/>
    </row>
    <row r="347">
      <c r="A347" s="2">
        <f>IF($A340="","","   projections")</f>
        <v/>
      </c>
      <c r="B347" s="99">
        <f>IF($A340="",0,COUNT($E348:$AR348))</f>
        <v/>
      </c>
      <c r="C347" s="100">
        <f>IF($B347=0,0,MAX($E348:$AR348))</f>
        <v/>
      </c>
      <c r="D347" s="101">
        <f>BDS($A340,FLD_PROJ,"headers=y","startcol=1","endcol=3","dir=h")</f>
        <v/>
      </c>
      <c r="E347" s="102" t="n"/>
      <c r="F347" s="102" t="n"/>
      <c r="G347" s="102" t="n"/>
      <c r="H347" s="102" t="n"/>
      <c r="I347" s="102" t="n"/>
      <c r="J347" s="102" t="n"/>
      <c r="K347" s="102" t="n"/>
      <c r="L347" s="102" t="n"/>
      <c r="M347" s="102" t="n"/>
      <c r="N347" s="102" t="n"/>
      <c r="O347" s="102" t="n"/>
      <c r="P347" s="102" t="n"/>
      <c r="Q347" s="102" t="n"/>
      <c r="R347" s="102" t="n"/>
      <c r="S347" s="102" t="n"/>
      <c r="T347" s="102" t="n"/>
      <c r="U347" s="102" t="n"/>
      <c r="V347" s="102" t="n"/>
      <c r="W347" s="102" t="n"/>
      <c r="X347" s="102" t="n"/>
      <c r="Y347" s="102" t="n"/>
      <c r="Z347" s="102" t="n"/>
      <c r="AA347" s="102" t="n"/>
      <c r="AB347" s="102" t="n"/>
      <c r="AC347" s="102" t="n"/>
      <c r="AD347" s="102" t="n"/>
      <c r="AE347" s="102" t="n"/>
      <c r="AF347" s="102" t="n"/>
      <c r="AG347" s="102" t="n"/>
      <c r="AH347" s="102" t="n"/>
      <c r="AI347" s="102" t="n"/>
      <c r="AJ347" s="102" t="n"/>
      <c r="AK347" s="102" t="n"/>
      <c r="AL347" s="102" t="n"/>
      <c r="AM347" s="102" t="n"/>
      <c r="AN347" s="102" t="n"/>
      <c r="AO347" s="102" t="n"/>
      <c r="AP347" s="102" t="n"/>
      <c r="AQ347" s="102" t="n"/>
      <c r="AR347" s="102" t="n"/>
    </row>
    <row r="348">
      <c r="D348" s="102" t="n"/>
      <c r="E348" s="102" t="n"/>
      <c r="F348" s="102" t="n"/>
      <c r="G348" s="102" t="n"/>
      <c r="H348" s="102" t="n"/>
      <c r="I348" s="102" t="n"/>
      <c r="J348" s="102" t="n"/>
      <c r="K348" s="102" t="n"/>
      <c r="L348" s="102" t="n"/>
      <c r="M348" s="102" t="n"/>
      <c r="N348" s="102" t="n"/>
      <c r="O348" s="102" t="n"/>
      <c r="P348" s="102" t="n"/>
      <c r="Q348" s="102" t="n"/>
      <c r="R348" s="102" t="n"/>
      <c r="S348" s="102" t="n"/>
      <c r="T348" s="102" t="n"/>
      <c r="U348" s="102" t="n"/>
      <c r="V348" s="102" t="n"/>
      <c r="W348" s="102" t="n"/>
      <c r="X348" s="102" t="n"/>
      <c r="Y348" s="102" t="n"/>
      <c r="Z348" s="102" t="n"/>
      <c r="AA348" s="102" t="n"/>
      <c r="AB348" s="102" t="n"/>
      <c r="AC348" s="102" t="n"/>
      <c r="AD348" s="102" t="n"/>
      <c r="AE348" s="102" t="n"/>
      <c r="AF348" s="102" t="n"/>
      <c r="AG348" s="102" t="n"/>
      <c r="AH348" s="102" t="n"/>
      <c r="AI348" s="102" t="n"/>
      <c r="AJ348" s="102" t="n"/>
      <c r="AK348" s="102" t="n"/>
      <c r="AL348" s="102" t="n"/>
      <c r="AM348" s="102" t="n"/>
      <c r="AN348" s="102" t="n"/>
      <c r="AO348" s="102" t="n"/>
      <c r="AP348" s="102" t="n"/>
      <c r="AQ348" s="102" t="n"/>
      <c r="AR348" s="102" t="n"/>
    </row>
    <row r="349">
      <c r="D349" s="103" t="n"/>
      <c r="E349" s="103" t="n"/>
      <c r="F349" s="103" t="n"/>
      <c r="G349" s="103" t="n"/>
      <c r="H349" s="103" t="n"/>
      <c r="I349" s="103" t="n"/>
      <c r="J349" s="103" t="n"/>
      <c r="K349" s="103" t="n"/>
      <c r="L349" s="103" t="n"/>
      <c r="M349" s="103" t="n"/>
      <c r="N349" s="103" t="n"/>
      <c r="O349" s="103" t="n"/>
      <c r="P349" s="103" t="n"/>
      <c r="Q349" s="103" t="n"/>
      <c r="R349" s="103" t="n"/>
      <c r="S349" s="103" t="n"/>
      <c r="T349" s="103" t="n"/>
      <c r="U349" s="103" t="n"/>
      <c r="V349" s="103" t="n"/>
      <c r="W349" s="103" t="n"/>
      <c r="X349" s="103" t="n"/>
      <c r="Y349" s="103" t="n"/>
      <c r="Z349" s="103" t="n"/>
      <c r="AA349" s="103" t="n"/>
      <c r="AB349" s="103" t="n"/>
      <c r="AC349" s="103" t="n"/>
      <c r="AD349" s="103" t="n"/>
      <c r="AE349" s="103" t="n"/>
      <c r="AF349" s="103" t="n"/>
      <c r="AG349" s="103" t="n"/>
      <c r="AH349" s="103" t="n"/>
      <c r="AI349" s="103" t="n"/>
      <c r="AJ349" s="103" t="n"/>
      <c r="AK349" s="103" t="n"/>
      <c r="AL349" s="103" t="n"/>
      <c r="AM349" s="103" t="n"/>
      <c r="AN349" s="103" t="n"/>
      <c r="AO349" s="103" t="n"/>
      <c r="AP349" s="103" t="n"/>
      <c r="AQ349" s="103" t="n"/>
      <c r="AR349" s="103" t="n"/>
    </row>
    <row r="351">
      <c r="A351" s="8">
        <f>IF(HSI!$C$38="","",HSI!$C$38)</f>
        <v/>
      </c>
      <c r="B351" s="99">
        <f>IF($A351="",0,COUNT($E352:$AR352))</f>
        <v/>
      </c>
      <c r="C351" s="100">
        <f>IF($B351=0,0,MAX($E352:$AR352))</f>
        <v/>
      </c>
      <c r="D351" s="101">
        <f>BDS($A351,FLD_HIST,"headers=y","startcol=1","endcol=7","dir=h","DVD_START_DT",HIST_FROM,"DVD_END_DT",HIST_TO)</f>
        <v/>
      </c>
      <c r="E351" s="102" t="n"/>
      <c r="F351" s="102" t="n"/>
      <c r="G351" s="102" t="n"/>
      <c r="H351" s="102" t="n"/>
      <c r="I351" s="102" t="n"/>
      <c r="J351" s="102" t="n"/>
      <c r="K351" s="102" t="n"/>
      <c r="L351" s="102" t="n"/>
      <c r="M351" s="102" t="n"/>
      <c r="N351" s="102" t="n"/>
      <c r="O351" s="102" t="n"/>
      <c r="P351" s="102" t="n"/>
      <c r="Q351" s="102" t="n"/>
      <c r="R351" s="102" t="n"/>
      <c r="S351" s="102" t="n"/>
      <c r="T351" s="102" t="n"/>
      <c r="U351" s="102" t="n"/>
      <c r="V351" s="102" t="n"/>
      <c r="W351" s="102" t="n"/>
      <c r="X351" s="102" t="n"/>
      <c r="Y351" s="102" t="n"/>
      <c r="Z351" s="102" t="n"/>
      <c r="AA351" s="102" t="n"/>
      <c r="AB351" s="102" t="n"/>
      <c r="AC351" s="102" t="n"/>
      <c r="AD351" s="102" t="n"/>
      <c r="AE351" s="102" t="n"/>
      <c r="AF351" s="102" t="n"/>
      <c r="AG351" s="102" t="n"/>
      <c r="AH351" s="102" t="n"/>
      <c r="AI351" s="102" t="n"/>
      <c r="AJ351" s="102" t="n"/>
      <c r="AK351" s="102" t="n"/>
      <c r="AL351" s="102" t="n"/>
      <c r="AM351" s="102" t="n"/>
      <c r="AN351" s="102" t="n"/>
      <c r="AO351" s="102" t="n"/>
      <c r="AP351" s="102" t="n"/>
      <c r="AQ351" s="102" t="n"/>
      <c r="AR351" s="102" t="n"/>
    </row>
    <row r="352">
      <c r="D352" s="102" t="n"/>
      <c r="E352" s="102" t="n"/>
      <c r="F352" s="102" t="n"/>
      <c r="G352" s="102" t="n"/>
      <c r="H352" s="102" t="n"/>
      <c r="I352" s="102" t="n"/>
      <c r="J352" s="102" t="n"/>
      <c r="K352" s="102" t="n"/>
      <c r="L352" s="102" t="n"/>
      <c r="M352" s="102" t="n"/>
      <c r="N352" s="102" t="n"/>
      <c r="O352" s="102" t="n"/>
      <c r="P352" s="102" t="n"/>
      <c r="Q352" s="102" t="n"/>
      <c r="R352" s="102" t="n"/>
      <c r="S352" s="102" t="n"/>
      <c r="T352" s="102" t="n"/>
      <c r="U352" s="102" t="n"/>
      <c r="V352" s="102" t="n"/>
      <c r="W352" s="102" t="n"/>
      <c r="X352" s="102" t="n"/>
      <c r="Y352" s="102" t="n"/>
      <c r="Z352" s="102" t="n"/>
      <c r="AA352" s="102" t="n"/>
      <c r="AB352" s="102" t="n"/>
      <c r="AC352" s="102" t="n"/>
      <c r="AD352" s="102" t="n"/>
      <c r="AE352" s="102" t="n"/>
      <c r="AF352" s="102" t="n"/>
      <c r="AG352" s="102" t="n"/>
      <c r="AH352" s="102" t="n"/>
      <c r="AI352" s="102" t="n"/>
      <c r="AJ352" s="102" t="n"/>
      <c r="AK352" s="102" t="n"/>
      <c r="AL352" s="102" t="n"/>
      <c r="AM352" s="102" t="n"/>
      <c r="AN352" s="102" t="n"/>
      <c r="AO352" s="102" t="n"/>
      <c r="AP352" s="102" t="n"/>
      <c r="AQ352" s="102" t="n"/>
      <c r="AR352" s="102" t="n"/>
    </row>
    <row r="353">
      <c r="D353" s="102" t="n"/>
      <c r="E353" s="102" t="n"/>
      <c r="F353" s="102" t="n"/>
      <c r="G353" s="102" t="n"/>
      <c r="H353" s="102" t="n"/>
      <c r="I353" s="102" t="n"/>
      <c r="J353" s="102" t="n"/>
      <c r="K353" s="102" t="n"/>
      <c r="L353" s="102" t="n"/>
      <c r="M353" s="102" t="n"/>
      <c r="N353" s="102" t="n"/>
      <c r="O353" s="102" t="n"/>
      <c r="P353" s="102" t="n"/>
      <c r="Q353" s="102" t="n"/>
      <c r="R353" s="102" t="n"/>
      <c r="S353" s="102" t="n"/>
      <c r="T353" s="102" t="n"/>
      <c r="U353" s="102" t="n"/>
      <c r="V353" s="102" t="n"/>
      <c r="W353" s="102" t="n"/>
      <c r="X353" s="102" t="n"/>
      <c r="Y353" s="102" t="n"/>
      <c r="Z353" s="102" t="n"/>
      <c r="AA353" s="102" t="n"/>
      <c r="AB353" s="102" t="n"/>
      <c r="AC353" s="102" t="n"/>
      <c r="AD353" s="102" t="n"/>
      <c r="AE353" s="102" t="n"/>
      <c r="AF353" s="102" t="n"/>
      <c r="AG353" s="102" t="n"/>
      <c r="AH353" s="102" t="n"/>
      <c r="AI353" s="102" t="n"/>
      <c r="AJ353" s="102" t="n"/>
      <c r="AK353" s="102" t="n"/>
      <c r="AL353" s="102" t="n"/>
      <c r="AM353" s="102" t="n"/>
      <c r="AN353" s="102" t="n"/>
      <c r="AO353" s="102" t="n"/>
      <c r="AP353" s="102" t="n"/>
      <c r="AQ353" s="102" t="n"/>
      <c r="AR353" s="102" t="n"/>
    </row>
    <row r="354">
      <c r="D354" s="102" t="n"/>
      <c r="E354" s="102" t="n"/>
      <c r="F354" s="102" t="n"/>
      <c r="G354" s="102" t="n"/>
      <c r="H354" s="102" t="n"/>
      <c r="I354" s="102" t="n"/>
      <c r="J354" s="102" t="n"/>
      <c r="K354" s="102" t="n"/>
      <c r="L354" s="102" t="n"/>
      <c r="M354" s="102" t="n"/>
      <c r="N354" s="102" t="n"/>
      <c r="O354" s="102" t="n"/>
      <c r="P354" s="102" t="n"/>
      <c r="Q354" s="102" t="n"/>
      <c r="R354" s="102" t="n"/>
      <c r="S354" s="102" t="n"/>
      <c r="T354" s="102" t="n"/>
      <c r="U354" s="102" t="n"/>
      <c r="V354" s="102" t="n"/>
      <c r="W354" s="102" t="n"/>
      <c r="X354" s="102" t="n"/>
      <c r="Y354" s="102" t="n"/>
      <c r="Z354" s="102" t="n"/>
      <c r="AA354" s="102" t="n"/>
      <c r="AB354" s="102" t="n"/>
      <c r="AC354" s="102" t="n"/>
      <c r="AD354" s="102" t="n"/>
      <c r="AE354" s="102" t="n"/>
      <c r="AF354" s="102" t="n"/>
      <c r="AG354" s="102" t="n"/>
      <c r="AH354" s="102" t="n"/>
      <c r="AI354" s="102" t="n"/>
      <c r="AJ354" s="102" t="n"/>
      <c r="AK354" s="102" t="n"/>
      <c r="AL354" s="102" t="n"/>
      <c r="AM354" s="102" t="n"/>
      <c r="AN354" s="102" t="n"/>
      <c r="AO354" s="102" t="n"/>
      <c r="AP354" s="102" t="n"/>
      <c r="AQ354" s="102" t="n"/>
      <c r="AR354" s="102" t="n"/>
    </row>
    <row r="355">
      <c r="D355" s="103" t="n"/>
      <c r="E355" s="103" t="n"/>
      <c r="F355" s="103" t="n"/>
      <c r="G355" s="103" t="n"/>
      <c r="H355" s="103" t="n"/>
      <c r="I355" s="103" t="n"/>
      <c r="J355" s="103" t="n"/>
      <c r="K355" s="103" t="n"/>
      <c r="L355" s="103" t="n"/>
      <c r="M355" s="103" t="n"/>
      <c r="N355" s="103" t="n"/>
      <c r="O355" s="103" t="n"/>
      <c r="P355" s="103" t="n"/>
      <c r="Q355" s="103" t="n"/>
      <c r="R355" s="103" t="n"/>
      <c r="S355" s="103" t="n"/>
      <c r="T355" s="103" t="n"/>
      <c r="U355" s="103" t="n"/>
      <c r="V355" s="103" t="n"/>
      <c r="W355" s="103" t="n"/>
      <c r="X355" s="103" t="n"/>
      <c r="Y355" s="103" t="n"/>
      <c r="Z355" s="103" t="n"/>
      <c r="AA355" s="103" t="n"/>
      <c r="AB355" s="103" t="n"/>
      <c r="AC355" s="103" t="n"/>
      <c r="AD355" s="103" t="n"/>
      <c r="AE355" s="103" t="n"/>
      <c r="AF355" s="103" t="n"/>
      <c r="AG355" s="103" t="n"/>
      <c r="AH355" s="103" t="n"/>
      <c r="AI355" s="103" t="n"/>
      <c r="AJ355" s="103" t="n"/>
      <c r="AK355" s="103" t="n"/>
      <c r="AL355" s="103" t="n"/>
      <c r="AM355" s="103" t="n"/>
      <c r="AN355" s="103" t="n"/>
      <c r="AO355" s="103" t="n"/>
      <c r="AP355" s="103" t="n"/>
      <c r="AQ355" s="103" t="n"/>
      <c r="AR355" s="103" t="n"/>
    </row>
    <row r="358">
      <c r="A358" s="2">
        <f>IF($A351="","","   projections")</f>
        <v/>
      </c>
      <c r="B358" s="99">
        <f>IF($A351="",0,COUNT($E359:$AR359))</f>
        <v/>
      </c>
      <c r="C358" s="100">
        <f>IF($B358=0,0,MAX($E359:$AR359))</f>
        <v/>
      </c>
      <c r="D358" s="101">
        <f>BDS($A351,FLD_PROJ,"headers=y","startcol=1","endcol=3","dir=h")</f>
        <v/>
      </c>
      <c r="E358" s="102" t="n"/>
      <c r="F358" s="102" t="n"/>
      <c r="G358" s="102" t="n"/>
      <c r="H358" s="102" t="n"/>
      <c r="I358" s="102" t="n"/>
      <c r="J358" s="102" t="n"/>
      <c r="K358" s="102" t="n"/>
      <c r="L358" s="102" t="n"/>
      <c r="M358" s="102" t="n"/>
      <c r="N358" s="102" t="n"/>
      <c r="O358" s="102" t="n"/>
      <c r="P358" s="102" t="n"/>
      <c r="Q358" s="102" t="n"/>
      <c r="R358" s="102" t="n"/>
      <c r="S358" s="102" t="n"/>
      <c r="T358" s="102" t="n"/>
      <c r="U358" s="102" t="n"/>
      <c r="V358" s="102" t="n"/>
      <c r="W358" s="102" t="n"/>
      <c r="X358" s="102" t="n"/>
      <c r="Y358" s="102" t="n"/>
      <c r="Z358" s="102" t="n"/>
      <c r="AA358" s="102" t="n"/>
      <c r="AB358" s="102" t="n"/>
      <c r="AC358" s="102" t="n"/>
      <c r="AD358" s="102" t="n"/>
      <c r="AE358" s="102" t="n"/>
      <c r="AF358" s="102" t="n"/>
      <c r="AG358" s="102" t="n"/>
      <c r="AH358" s="102" t="n"/>
      <c r="AI358" s="102" t="n"/>
      <c r="AJ358" s="102" t="n"/>
      <c r="AK358" s="102" t="n"/>
      <c r="AL358" s="102" t="n"/>
      <c r="AM358" s="102" t="n"/>
      <c r="AN358" s="102" t="n"/>
      <c r="AO358" s="102" t="n"/>
      <c r="AP358" s="102" t="n"/>
      <c r="AQ358" s="102" t="n"/>
      <c r="AR358" s="102" t="n"/>
    </row>
    <row r="359">
      <c r="D359" s="102" t="n"/>
      <c r="E359" s="102" t="n"/>
      <c r="F359" s="102" t="n"/>
      <c r="G359" s="102" t="n"/>
      <c r="H359" s="102" t="n"/>
      <c r="I359" s="102" t="n"/>
      <c r="J359" s="102" t="n"/>
      <c r="K359" s="102" t="n"/>
      <c r="L359" s="102" t="n"/>
      <c r="M359" s="102" t="n"/>
      <c r="N359" s="102" t="n"/>
      <c r="O359" s="102" t="n"/>
      <c r="P359" s="102" t="n"/>
      <c r="Q359" s="102" t="n"/>
      <c r="R359" s="102" t="n"/>
      <c r="S359" s="102" t="n"/>
      <c r="T359" s="102" t="n"/>
      <c r="U359" s="102" t="n"/>
      <c r="V359" s="102" t="n"/>
      <c r="W359" s="102" t="n"/>
      <c r="X359" s="102" t="n"/>
      <c r="Y359" s="102" t="n"/>
      <c r="Z359" s="102" t="n"/>
      <c r="AA359" s="102" t="n"/>
      <c r="AB359" s="102" t="n"/>
      <c r="AC359" s="102" t="n"/>
      <c r="AD359" s="102" t="n"/>
      <c r="AE359" s="102" t="n"/>
      <c r="AF359" s="102" t="n"/>
      <c r="AG359" s="102" t="n"/>
      <c r="AH359" s="102" t="n"/>
      <c r="AI359" s="102" t="n"/>
      <c r="AJ359" s="102" t="n"/>
      <c r="AK359" s="102" t="n"/>
      <c r="AL359" s="102" t="n"/>
      <c r="AM359" s="102" t="n"/>
      <c r="AN359" s="102" t="n"/>
      <c r="AO359" s="102" t="n"/>
      <c r="AP359" s="102" t="n"/>
      <c r="AQ359" s="102" t="n"/>
      <c r="AR359" s="102" t="n"/>
    </row>
    <row r="360">
      <c r="D360" s="103" t="n"/>
      <c r="E360" s="103" t="n"/>
      <c r="F360" s="103" t="n"/>
      <c r="G360" s="103" t="n"/>
      <c r="H360" s="103" t="n"/>
      <c r="I360" s="103" t="n"/>
      <c r="J360" s="103" t="n"/>
      <c r="K360" s="103" t="n"/>
      <c r="L360" s="103" t="n"/>
      <c r="M360" s="103" t="n"/>
      <c r="N360" s="103" t="n"/>
      <c r="O360" s="103" t="n"/>
      <c r="P360" s="103" t="n"/>
      <c r="Q360" s="103" t="n"/>
      <c r="R360" s="103" t="n"/>
      <c r="S360" s="103" t="n"/>
      <c r="T360" s="103" t="n"/>
      <c r="U360" s="103" t="n"/>
      <c r="V360" s="103" t="n"/>
      <c r="W360" s="103" t="n"/>
      <c r="X360" s="103" t="n"/>
      <c r="Y360" s="103" t="n"/>
      <c r="Z360" s="103" t="n"/>
      <c r="AA360" s="103" t="n"/>
      <c r="AB360" s="103" t="n"/>
      <c r="AC360" s="103" t="n"/>
      <c r="AD360" s="103" t="n"/>
      <c r="AE360" s="103" t="n"/>
      <c r="AF360" s="103" t="n"/>
      <c r="AG360" s="103" t="n"/>
      <c r="AH360" s="103" t="n"/>
      <c r="AI360" s="103" t="n"/>
      <c r="AJ360" s="103" t="n"/>
      <c r="AK360" s="103" t="n"/>
      <c r="AL360" s="103" t="n"/>
      <c r="AM360" s="103" t="n"/>
      <c r="AN360" s="103" t="n"/>
      <c r="AO360" s="103" t="n"/>
      <c r="AP360" s="103" t="n"/>
      <c r="AQ360" s="103" t="n"/>
      <c r="AR360" s="103" t="n"/>
    </row>
    <row r="362">
      <c r="A362" s="8">
        <f>IF(HSI!$C$39="","",HSI!$C$39)</f>
        <v/>
      </c>
      <c r="B362" s="99">
        <f>IF($A362="",0,COUNT($E363:$AR363))</f>
        <v/>
      </c>
      <c r="C362" s="100">
        <f>IF($B362=0,0,MAX($E363:$AR363))</f>
        <v/>
      </c>
      <c r="D362" s="101">
        <f>BDS($A362,FLD_HIST,"headers=y","startcol=1","endcol=7","dir=h","DVD_START_DT",HIST_FROM,"DVD_END_DT",HIST_TO)</f>
        <v/>
      </c>
      <c r="E362" s="102" t="n"/>
      <c r="F362" s="102" t="n"/>
      <c r="G362" s="102" t="n"/>
      <c r="H362" s="102" t="n"/>
      <c r="I362" s="102" t="n"/>
      <c r="J362" s="102" t="n"/>
      <c r="K362" s="102" t="n"/>
      <c r="L362" s="102" t="n"/>
      <c r="M362" s="102" t="n"/>
      <c r="N362" s="102" t="n"/>
      <c r="O362" s="102" t="n"/>
      <c r="P362" s="102" t="n"/>
      <c r="Q362" s="102" t="n"/>
      <c r="R362" s="102" t="n"/>
      <c r="S362" s="102" t="n"/>
      <c r="T362" s="102" t="n"/>
      <c r="U362" s="102" t="n"/>
      <c r="V362" s="102" t="n"/>
      <c r="W362" s="102" t="n"/>
      <c r="X362" s="102" t="n"/>
      <c r="Y362" s="102" t="n"/>
      <c r="Z362" s="102" t="n"/>
      <c r="AA362" s="102" t="n"/>
      <c r="AB362" s="102" t="n"/>
      <c r="AC362" s="102" t="n"/>
      <c r="AD362" s="102" t="n"/>
      <c r="AE362" s="102" t="n"/>
      <c r="AF362" s="102" t="n"/>
      <c r="AG362" s="102" t="n"/>
      <c r="AH362" s="102" t="n"/>
      <c r="AI362" s="102" t="n"/>
      <c r="AJ362" s="102" t="n"/>
      <c r="AK362" s="102" t="n"/>
      <c r="AL362" s="102" t="n"/>
      <c r="AM362" s="102" t="n"/>
      <c r="AN362" s="102" t="n"/>
      <c r="AO362" s="102" t="n"/>
      <c r="AP362" s="102" t="n"/>
      <c r="AQ362" s="102" t="n"/>
      <c r="AR362" s="102" t="n"/>
    </row>
    <row r="363">
      <c r="D363" s="102" t="n"/>
      <c r="E363" s="102" t="n"/>
      <c r="F363" s="102" t="n"/>
      <c r="G363" s="102" t="n"/>
      <c r="H363" s="102" t="n"/>
      <c r="I363" s="102" t="n"/>
      <c r="J363" s="102" t="n"/>
      <c r="K363" s="102" t="n"/>
      <c r="L363" s="102" t="n"/>
      <c r="M363" s="102" t="n"/>
      <c r="N363" s="102" t="n"/>
      <c r="O363" s="102" t="n"/>
      <c r="P363" s="102" t="n"/>
      <c r="Q363" s="102" t="n"/>
      <c r="R363" s="102" t="n"/>
      <c r="S363" s="102" t="n"/>
      <c r="T363" s="102" t="n"/>
      <c r="U363" s="102" t="n"/>
      <c r="V363" s="102" t="n"/>
      <c r="W363" s="102" t="n"/>
      <c r="X363" s="102" t="n"/>
      <c r="Y363" s="102" t="n"/>
      <c r="Z363" s="102" t="n"/>
      <c r="AA363" s="102" t="n"/>
      <c r="AB363" s="102" t="n"/>
      <c r="AC363" s="102" t="n"/>
      <c r="AD363" s="102" t="n"/>
      <c r="AE363" s="102" t="n"/>
      <c r="AF363" s="102" t="n"/>
      <c r="AG363" s="102" t="n"/>
      <c r="AH363" s="102" t="n"/>
      <c r="AI363" s="102" t="n"/>
      <c r="AJ363" s="102" t="n"/>
      <c r="AK363" s="102" t="n"/>
      <c r="AL363" s="102" t="n"/>
      <c r="AM363" s="102" t="n"/>
      <c r="AN363" s="102" t="n"/>
      <c r="AO363" s="102" t="n"/>
      <c r="AP363" s="102" t="n"/>
      <c r="AQ363" s="102" t="n"/>
      <c r="AR363" s="102" t="n"/>
    </row>
    <row r="364">
      <c r="D364" s="102" t="n"/>
      <c r="E364" s="102" t="n"/>
      <c r="F364" s="102" t="n"/>
      <c r="G364" s="102" t="n"/>
      <c r="H364" s="102" t="n"/>
      <c r="I364" s="102" t="n"/>
      <c r="J364" s="102" t="n"/>
      <c r="K364" s="102" t="n"/>
      <c r="L364" s="102" t="n"/>
      <c r="M364" s="102" t="n"/>
      <c r="N364" s="102" t="n"/>
      <c r="O364" s="102" t="n"/>
      <c r="P364" s="102" t="n"/>
      <c r="Q364" s="102" t="n"/>
      <c r="R364" s="102" t="n"/>
      <c r="S364" s="102" t="n"/>
      <c r="T364" s="102" t="n"/>
      <c r="U364" s="102" t="n"/>
      <c r="V364" s="102" t="n"/>
      <c r="W364" s="102" t="n"/>
      <c r="X364" s="102" t="n"/>
      <c r="Y364" s="102" t="n"/>
      <c r="Z364" s="102" t="n"/>
      <c r="AA364" s="102" t="n"/>
      <c r="AB364" s="102" t="n"/>
      <c r="AC364" s="102" t="n"/>
      <c r="AD364" s="102" t="n"/>
      <c r="AE364" s="102" t="n"/>
      <c r="AF364" s="102" t="n"/>
      <c r="AG364" s="102" t="n"/>
      <c r="AH364" s="102" t="n"/>
      <c r="AI364" s="102" t="n"/>
      <c r="AJ364" s="102" t="n"/>
      <c r="AK364" s="102" t="n"/>
      <c r="AL364" s="102" t="n"/>
      <c r="AM364" s="102" t="n"/>
      <c r="AN364" s="102" t="n"/>
      <c r="AO364" s="102" t="n"/>
      <c r="AP364" s="102" t="n"/>
      <c r="AQ364" s="102" t="n"/>
      <c r="AR364" s="102" t="n"/>
    </row>
    <row r="365">
      <c r="D365" s="102" t="n"/>
      <c r="E365" s="102" t="n"/>
      <c r="F365" s="102" t="n"/>
      <c r="G365" s="102" t="n"/>
      <c r="H365" s="102" t="n"/>
      <c r="I365" s="102" t="n"/>
      <c r="J365" s="102" t="n"/>
      <c r="K365" s="102" t="n"/>
      <c r="L365" s="102" t="n"/>
      <c r="M365" s="102" t="n"/>
      <c r="N365" s="102" t="n"/>
      <c r="O365" s="102" t="n"/>
      <c r="P365" s="102" t="n"/>
      <c r="Q365" s="102" t="n"/>
      <c r="R365" s="102" t="n"/>
      <c r="S365" s="102" t="n"/>
      <c r="T365" s="102" t="n"/>
      <c r="U365" s="102" t="n"/>
      <c r="V365" s="102" t="n"/>
      <c r="W365" s="102" t="n"/>
      <c r="X365" s="102" t="n"/>
      <c r="Y365" s="102" t="n"/>
      <c r="Z365" s="102" t="n"/>
      <c r="AA365" s="102" t="n"/>
      <c r="AB365" s="102" t="n"/>
      <c r="AC365" s="102" t="n"/>
      <c r="AD365" s="102" t="n"/>
      <c r="AE365" s="102" t="n"/>
      <c r="AF365" s="102" t="n"/>
      <c r="AG365" s="102" t="n"/>
      <c r="AH365" s="102" t="n"/>
      <c r="AI365" s="102" t="n"/>
      <c r="AJ365" s="102" t="n"/>
      <c r="AK365" s="102" t="n"/>
      <c r="AL365" s="102" t="n"/>
      <c r="AM365" s="102" t="n"/>
      <c r="AN365" s="102" t="n"/>
      <c r="AO365" s="102" t="n"/>
      <c r="AP365" s="102" t="n"/>
      <c r="AQ365" s="102" t="n"/>
      <c r="AR365" s="102" t="n"/>
    </row>
    <row r="366">
      <c r="D366" s="103" t="n"/>
      <c r="E366" s="103" t="n"/>
      <c r="F366" s="103" t="n"/>
      <c r="G366" s="103" t="n"/>
      <c r="H366" s="103" t="n"/>
      <c r="I366" s="103" t="n"/>
      <c r="J366" s="103" t="n"/>
      <c r="K366" s="103" t="n"/>
      <c r="L366" s="103" t="n"/>
      <c r="M366" s="103" t="n"/>
      <c r="N366" s="103" t="n"/>
      <c r="O366" s="103" t="n"/>
      <c r="P366" s="103" t="n"/>
      <c r="Q366" s="103" t="n"/>
      <c r="R366" s="103" t="n"/>
      <c r="S366" s="103" t="n"/>
      <c r="T366" s="103" t="n"/>
      <c r="U366" s="103" t="n"/>
      <c r="V366" s="103" t="n"/>
      <c r="W366" s="103" t="n"/>
      <c r="X366" s="103" t="n"/>
      <c r="Y366" s="103" t="n"/>
      <c r="Z366" s="103" t="n"/>
      <c r="AA366" s="103" t="n"/>
      <c r="AB366" s="103" t="n"/>
      <c r="AC366" s="103" t="n"/>
      <c r="AD366" s="103" t="n"/>
      <c r="AE366" s="103" t="n"/>
      <c r="AF366" s="103" t="n"/>
      <c r="AG366" s="103" t="n"/>
      <c r="AH366" s="103" t="n"/>
      <c r="AI366" s="103" t="n"/>
      <c r="AJ366" s="103" t="n"/>
      <c r="AK366" s="103" t="n"/>
      <c r="AL366" s="103" t="n"/>
      <c r="AM366" s="103" t="n"/>
      <c r="AN366" s="103" t="n"/>
      <c r="AO366" s="103" t="n"/>
      <c r="AP366" s="103" t="n"/>
      <c r="AQ366" s="103" t="n"/>
      <c r="AR366" s="103" t="n"/>
    </row>
    <row r="369">
      <c r="A369" s="2">
        <f>IF($A362="","","   projections")</f>
        <v/>
      </c>
      <c r="B369" s="99">
        <f>IF($A362="",0,COUNT($E370:$AR370))</f>
        <v/>
      </c>
      <c r="C369" s="100">
        <f>IF($B369=0,0,MAX($E370:$AR370))</f>
        <v/>
      </c>
      <c r="D369" s="101">
        <f>BDS($A362,FLD_PROJ,"headers=y","startcol=1","endcol=3","dir=h")</f>
        <v/>
      </c>
      <c r="E369" s="102" t="n"/>
      <c r="F369" s="102" t="n"/>
      <c r="G369" s="102" t="n"/>
      <c r="H369" s="102" t="n"/>
      <c r="I369" s="102" t="n"/>
      <c r="J369" s="102" t="n"/>
      <c r="K369" s="102" t="n"/>
      <c r="L369" s="102" t="n"/>
      <c r="M369" s="102" t="n"/>
      <c r="N369" s="102" t="n"/>
      <c r="O369" s="102" t="n"/>
      <c r="P369" s="102" t="n"/>
      <c r="Q369" s="102" t="n"/>
      <c r="R369" s="102" t="n"/>
      <c r="S369" s="102" t="n"/>
      <c r="T369" s="102" t="n"/>
      <c r="U369" s="102" t="n"/>
      <c r="V369" s="102" t="n"/>
      <c r="W369" s="102" t="n"/>
      <c r="X369" s="102" t="n"/>
      <c r="Y369" s="102" t="n"/>
      <c r="Z369" s="102" t="n"/>
      <c r="AA369" s="102" t="n"/>
      <c r="AB369" s="102" t="n"/>
      <c r="AC369" s="102" t="n"/>
      <c r="AD369" s="102" t="n"/>
      <c r="AE369" s="102" t="n"/>
      <c r="AF369" s="102" t="n"/>
      <c r="AG369" s="102" t="n"/>
      <c r="AH369" s="102" t="n"/>
      <c r="AI369" s="102" t="n"/>
      <c r="AJ369" s="102" t="n"/>
      <c r="AK369" s="102" t="n"/>
      <c r="AL369" s="102" t="n"/>
      <c r="AM369" s="102" t="n"/>
      <c r="AN369" s="102" t="n"/>
      <c r="AO369" s="102" t="n"/>
      <c r="AP369" s="102" t="n"/>
      <c r="AQ369" s="102" t="n"/>
      <c r="AR369" s="102" t="n"/>
    </row>
    <row r="370">
      <c r="D370" s="102" t="n"/>
      <c r="E370" s="102" t="n"/>
      <c r="F370" s="102" t="n"/>
      <c r="G370" s="102" t="n"/>
      <c r="H370" s="102" t="n"/>
      <c r="I370" s="102" t="n"/>
      <c r="J370" s="102" t="n"/>
      <c r="K370" s="102" t="n"/>
      <c r="L370" s="102" t="n"/>
      <c r="M370" s="102" t="n"/>
      <c r="N370" s="102" t="n"/>
      <c r="O370" s="102" t="n"/>
      <c r="P370" s="102" t="n"/>
      <c r="Q370" s="102" t="n"/>
      <c r="R370" s="102" t="n"/>
      <c r="S370" s="102" t="n"/>
      <c r="T370" s="102" t="n"/>
      <c r="U370" s="102" t="n"/>
      <c r="V370" s="102" t="n"/>
      <c r="W370" s="102" t="n"/>
      <c r="X370" s="102" t="n"/>
      <c r="Y370" s="102" t="n"/>
      <c r="Z370" s="102" t="n"/>
      <c r="AA370" s="102" t="n"/>
      <c r="AB370" s="102" t="n"/>
      <c r="AC370" s="102" t="n"/>
      <c r="AD370" s="102" t="n"/>
      <c r="AE370" s="102" t="n"/>
      <c r="AF370" s="102" t="n"/>
      <c r="AG370" s="102" t="n"/>
      <c r="AH370" s="102" t="n"/>
      <c r="AI370" s="102" t="n"/>
      <c r="AJ370" s="102" t="n"/>
      <c r="AK370" s="102" t="n"/>
      <c r="AL370" s="102" t="n"/>
      <c r="AM370" s="102" t="n"/>
      <c r="AN370" s="102" t="n"/>
      <c r="AO370" s="102" t="n"/>
      <c r="AP370" s="102" t="n"/>
      <c r="AQ370" s="102" t="n"/>
      <c r="AR370" s="102" t="n"/>
    </row>
    <row r="371">
      <c r="D371" s="103" t="n"/>
      <c r="E371" s="103" t="n"/>
      <c r="F371" s="103" t="n"/>
      <c r="G371" s="103" t="n"/>
      <c r="H371" s="103" t="n"/>
      <c r="I371" s="103" t="n"/>
      <c r="J371" s="103" t="n"/>
      <c r="K371" s="103" t="n"/>
      <c r="L371" s="103" t="n"/>
      <c r="M371" s="103" t="n"/>
      <c r="N371" s="103" t="n"/>
      <c r="O371" s="103" t="n"/>
      <c r="P371" s="103" t="n"/>
      <c r="Q371" s="103" t="n"/>
      <c r="R371" s="103" t="n"/>
      <c r="S371" s="103" t="n"/>
      <c r="T371" s="103" t="n"/>
      <c r="U371" s="103" t="n"/>
      <c r="V371" s="103" t="n"/>
      <c r="W371" s="103" t="n"/>
      <c r="X371" s="103" t="n"/>
      <c r="Y371" s="103" t="n"/>
      <c r="Z371" s="103" t="n"/>
      <c r="AA371" s="103" t="n"/>
      <c r="AB371" s="103" t="n"/>
      <c r="AC371" s="103" t="n"/>
      <c r="AD371" s="103" t="n"/>
      <c r="AE371" s="103" t="n"/>
      <c r="AF371" s="103" t="n"/>
      <c r="AG371" s="103" t="n"/>
      <c r="AH371" s="103" t="n"/>
      <c r="AI371" s="103" t="n"/>
      <c r="AJ371" s="103" t="n"/>
      <c r="AK371" s="103" t="n"/>
      <c r="AL371" s="103" t="n"/>
      <c r="AM371" s="103" t="n"/>
      <c r="AN371" s="103" t="n"/>
      <c r="AO371" s="103" t="n"/>
      <c r="AP371" s="103" t="n"/>
      <c r="AQ371" s="103" t="n"/>
      <c r="AR371" s="103" t="n"/>
    </row>
    <row r="373">
      <c r="A373" s="8">
        <f>IF(HSI!$C$40="","",HSI!$C$40)</f>
        <v/>
      </c>
      <c r="B373" s="99">
        <f>IF($A373="",0,COUNT($E374:$AR374))</f>
        <v/>
      </c>
      <c r="C373" s="100">
        <f>IF($B373=0,0,MAX($E374:$AR374))</f>
        <v/>
      </c>
      <c r="D373" s="101">
        <f>BDS($A373,FLD_HIST,"headers=y","startcol=1","endcol=7","dir=h","DVD_START_DT",HIST_FROM,"DVD_END_DT",HIST_TO)</f>
        <v/>
      </c>
      <c r="E373" s="102" t="n"/>
      <c r="F373" s="102" t="n"/>
      <c r="G373" s="102" t="n"/>
      <c r="H373" s="102" t="n"/>
      <c r="I373" s="102" t="n"/>
      <c r="J373" s="102" t="n"/>
      <c r="K373" s="102" t="n"/>
      <c r="L373" s="102" t="n"/>
      <c r="M373" s="102" t="n"/>
      <c r="N373" s="102" t="n"/>
      <c r="O373" s="102" t="n"/>
      <c r="P373" s="102" t="n"/>
      <c r="Q373" s="102" t="n"/>
      <c r="R373" s="102" t="n"/>
      <c r="S373" s="102" t="n"/>
      <c r="T373" s="102" t="n"/>
      <c r="U373" s="102" t="n"/>
      <c r="V373" s="102" t="n"/>
      <c r="W373" s="102" t="n"/>
      <c r="X373" s="102" t="n"/>
      <c r="Y373" s="102" t="n"/>
      <c r="Z373" s="102" t="n"/>
      <c r="AA373" s="102" t="n"/>
      <c r="AB373" s="102" t="n"/>
      <c r="AC373" s="102" t="n"/>
      <c r="AD373" s="102" t="n"/>
      <c r="AE373" s="102" t="n"/>
      <c r="AF373" s="102" t="n"/>
      <c r="AG373" s="102" t="n"/>
      <c r="AH373" s="102" t="n"/>
      <c r="AI373" s="102" t="n"/>
      <c r="AJ373" s="102" t="n"/>
      <c r="AK373" s="102" t="n"/>
      <c r="AL373" s="102" t="n"/>
      <c r="AM373" s="102" t="n"/>
      <c r="AN373" s="102" t="n"/>
      <c r="AO373" s="102" t="n"/>
      <c r="AP373" s="102" t="n"/>
      <c r="AQ373" s="102" t="n"/>
      <c r="AR373" s="102" t="n"/>
    </row>
    <row r="374">
      <c r="D374" s="102" t="n"/>
      <c r="E374" s="102" t="n"/>
      <c r="F374" s="102" t="n"/>
      <c r="G374" s="102" t="n"/>
      <c r="H374" s="102" t="n"/>
      <c r="I374" s="102" t="n"/>
      <c r="J374" s="102" t="n"/>
      <c r="K374" s="102" t="n"/>
      <c r="L374" s="102" t="n"/>
      <c r="M374" s="102" t="n"/>
      <c r="N374" s="102" t="n"/>
      <c r="O374" s="102" t="n"/>
      <c r="P374" s="102" t="n"/>
      <c r="Q374" s="102" t="n"/>
      <c r="R374" s="102" t="n"/>
      <c r="S374" s="102" t="n"/>
      <c r="T374" s="102" t="n"/>
      <c r="U374" s="102" t="n"/>
      <c r="V374" s="102" t="n"/>
      <c r="W374" s="102" t="n"/>
      <c r="X374" s="102" t="n"/>
      <c r="Y374" s="102" t="n"/>
      <c r="Z374" s="102" t="n"/>
      <c r="AA374" s="102" t="n"/>
      <c r="AB374" s="102" t="n"/>
      <c r="AC374" s="102" t="n"/>
      <c r="AD374" s="102" t="n"/>
      <c r="AE374" s="102" t="n"/>
      <c r="AF374" s="102" t="n"/>
      <c r="AG374" s="102" t="n"/>
      <c r="AH374" s="102" t="n"/>
      <c r="AI374" s="102" t="n"/>
      <c r="AJ374" s="102" t="n"/>
      <c r="AK374" s="102" t="n"/>
      <c r="AL374" s="102" t="n"/>
      <c r="AM374" s="102" t="n"/>
      <c r="AN374" s="102" t="n"/>
      <c r="AO374" s="102" t="n"/>
      <c r="AP374" s="102" t="n"/>
      <c r="AQ374" s="102" t="n"/>
      <c r="AR374" s="102" t="n"/>
    </row>
    <row r="375">
      <c r="D375" s="102" t="n"/>
      <c r="E375" s="102" t="n"/>
      <c r="F375" s="102" t="n"/>
      <c r="G375" s="102" t="n"/>
      <c r="H375" s="102" t="n"/>
      <c r="I375" s="102" t="n"/>
      <c r="J375" s="102" t="n"/>
      <c r="K375" s="102" t="n"/>
      <c r="L375" s="102" t="n"/>
      <c r="M375" s="102" t="n"/>
      <c r="N375" s="102" t="n"/>
      <c r="O375" s="102" t="n"/>
      <c r="P375" s="102" t="n"/>
      <c r="Q375" s="102" t="n"/>
      <c r="R375" s="102" t="n"/>
      <c r="S375" s="102" t="n"/>
      <c r="T375" s="102" t="n"/>
      <c r="U375" s="102" t="n"/>
      <c r="V375" s="102" t="n"/>
      <c r="W375" s="102" t="n"/>
      <c r="X375" s="102" t="n"/>
      <c r="Y375" s="102" t="n"/>
      <c r="Z375" s="102" t="n"/>
      <c r="AA375" s="102" t="n"/>
      <c r="AB375" s="102" t="n"/>
      <c r="AC375" s="102" t="n"/>
      <c r="AD375" s="102" t="n"/>
      <c r="AE375" s="102" t="n"/>
      <c r="AF375" s="102" t="n"/>
      <c r="AG375" s="102" t="n"/>
      <c r="AH375" s="102" t="n"/>
      <c r="AI375" s="102" t="n"/>
      <c r="AJ375" s="102" t="n"/>
      <c r="AK375" s="102" t="n"/>
      <c r="AL375" s="102" t="n"/>
      <c r="AM375" s="102" t="n"/>
      <c r="AN375" s="102" t="n"/>
      <c r="AO375" s="102" t="n"/>
      <c r="AP375" s="102" t="n"/>
      <c r="AQ375" s="102" t="n"/>
      <c r="AR375" s="102" t="n"/>
    </row>
    <row r="376">
      <c r="D376" s="102" t="n"/>
      <c r="E376" s="102" t="n"/>
      <c r="F376" s="102" t="n"/>
      <c r="G376" s="102" t="n"/>
      <c r="H376" s="102" t="n"/>
      <c r="I376" s="102" t="n"/>
      <c r="J376" s="102" t="n"/>
      <c r="K376" s="102" t="n"/>
      <c r="L376" s="102" t="n"/>
      <c r="M376" s="102" t="n"/>
      <c r="N376" s="102" t="n"/>
      <c r="O376" s="102" t="n"/>
      <c r="P376" s="102" t="n"/>
      <c r="Q376" s="102" t="n"/>
      <c r="R376" s="102" t="n"/>
      <c r="S376" s="102" t="n"/>
      <c r="T376" s="102" t="n"/>
      <c r="U376" s="102" t="n"/>
      <c r="V376" s="102" t="n"/>
      <c r="W376" s="102" t="n"/>
      <c r="X376" s="102" t="n"/>
      <c r="Y376" s="102" t="n"/>
      <c r="Z376" s="102" t="n"/>
      <c r="AA376" s="102" t="n"/>
      <c r="AB376" s="102" t="n"/>
      <c r="AC376" s="102" t="n"/>
      <c r="AD376" s="102" t="n"/>
      <c r="AE376" s="102" t="n"/>
      <c r="AF376" s="102" t="n"/>
      <c r="AG376" s="102" t="n"/>
      <c r="AH376" s="102" t="n"/>
      <c r="AI376" s="102" t="n"/>
      <c r="AJ376" s="102" t="n"/>
      <c r="AK376" s="102" t="n"/>
      <c r="AL376" s="102" t="n"/>
      <c r="AM376" s="102" t="n"/>
      <c r="AN376" s="102" t="n"/>
      <c r="AO376" s="102" t="n"/>
      <c r="AP376" s="102" t="n"/>
      <c r="AQ376" s="102" t="n"/>
      <c r="AR376" s="102" t="n"/>
    </row>
    <row r="377">
      <c r="D377" s="103" t="n"/>
      <c r="E377" s="103" t="n"/>
      <c r="F377" s="103" t="n"/>
      <c r="G377" s="103" t="n"/>
      <c r="H377" s="103" t="n"/>
      <c r="I377" s="103" t="n"/>
      <c r="J377" s="103" t="n"/>
      <c r="K377" s="103" t="n"/>
      <c r="L377" s="103" t="n"/>
      <c r="M377" s="103" t="n"/>
      <c r="N377" s="103" t="n"/>
      <c r="O377" s="103" t="n"/>
      <c r="P377" s="103" t="n"/>
      <c r="Q377" s="103" t="n"/>
      <c r="R377" s="103" t="n"/>
      <c r="S377" s="103" t="n"/>
      <c r="T377" s="103" t="n"/>
      <c r="U377" s="103" t="n"/>
      <c r="V377" s="103" t="n"/>
      <c r="W377" s="103" t="n"/>
      <c r="X377" s="103" t="n"/>
      <c r="Y377" s="103" t="n"/>
      <c r="Z377" s="103" t="n"/>
      <c r="AA377" s="103" t="n"/>
      <c r="AB377" s="103" t="n"/>
      <c r="AC377" s="103" t="n"/>
      <c r="AD377" s="103" t="n"/>
      <c r="AE377" s="103" t="n"/>
      <c r="AF377" s="103" t="n"/>
      <c r="AG377" s="103" t="n"/>
      <c r="AH377" s="103" t="n"/>
      <c r="AI377" s="103" t="n"/>
      <c r="AJ377" s="103" t="n"/>
      <c r="AK377" s="103" t="n"/>
      <c r="AL377" s="103" t="n"/>
      <c r="AM377" s="103" t="n"/>
      <c r="AN377" s="103" t="n"/>
      <c r="AO377" s="103" t="n"/>
      <c r="AP377" s="103" t="n"/>
      <c r="AQ377" s="103" t="n"/>
      <c r="AR377" s="103" t="n"/>
    </row>
    <row r="380">
      <c r="A380" s="2">
        <f>IF($A373="","","   projections")</f>
        <v/>
      </c>
      <c r="B380" s="99">
        <f>IF($A373="",0,COUNT($E381:$AR381))</f>
        <v/>
      </c>
      <c r="C380" s="100">
        <f>IF($B380=0,0,MAX($E381:$AR381))</f>
        <v/>
      </c>
      <c r="D380" s="101">
        <f>BDS($A373,FLD_PROJ,"headers=y","startcol=1","endcol=3","dir=h")</f>
        <v/>
      </c>
      <c r="E380" s="102" t="n"/>
      <c r="F380" s="102" t="n"/>
      <c r="G380" s="102" t="n"/>
      <c r="H380" s="102" t="n"/>
      <c r="I380" s="102" t="n"/>
      <c r="J380" s="102" t="n"/>
      <c r="K380" s="102" t="n"/>
      <c r="L380" s="102" t="n"/>
      <c r="M380" s="102" t="n"/>
      <c r="N380" s="102" t="n"/>
      <c r="O380" s="102" t="n"/>
      <c r="P380" s="102" t="n"/>
      <c r="Q380" s="102" t="n"/>
      <c r="R380" s="102" t="n"/>
      <c r="S380" s="102" t="n"/>
      <c r="T380" s="102" t="n"/>
      <c r="U380" s="102" t="n"/>
      <c r="V380" s="102" t="n"/>
      <c r="W380" s="102" t="n"/>
      <c r="X380" s="102" t="n"/>
      <c r="Y380" s="102" t="n"/>
      <c r="Z380" s="102" t="n"/>
      <c r="AA380" s="102" t="n"/>
      <c r="AB380" s="102" t="n"/>
      <c r="AC380" s="102" t="n"/>
      <c r="AD380" s="102" t="n"/>
      <c r="AE380" s="102" t="n"/>
      <c r="AF380" s="102" t="n"/>
      <c r="AG380" s="102" t="n"/>
      <c r="AH380" s="102" t="n"/>
      <c r="AI380" s="102" t="n"/>
      <c r="AJ380" s="102" t="n"/>
      <c r="AK380" s="102" t="n"/>
      <c r="AL380" s="102" t="n"/>
      <c r="AM380" s="102" t="n"/>
      <c r="AN380" s="102" t="n"/>
      <c r="AO380" s="102" t="n"/>
      <c r="AP380" s="102" t="n"/>
      <c r="AQ380" s="102" t="n"/>
      <c r="AR380" s="102" t="n"/>
    </row>
    <row r="381">
      <c r="D381" s="102" t="n"/>
      <c r="E381" s="102" t="n"/>
      <c r="F381" s="102" t="n"/>
      <c r="G381" s="102" t="n"/>
      <c r="H381" s="102" t="n"/>
      <c r="I381" s="102" t="n"/>
      <c r="J381" s="102" t="n"/>
      <c r="K381" s="102" t="n"/>
      <c r="L381" s="102" t="n"/>
      <c r="M381" s="102" t="n"/>
      <c r="N381" s="102" t="n"/>
      <c r="O381" s="102" t="n"/>
      <c r="P381" s="102" t="n"/>
      <c r="Q381" s="102" t="n"/>
      <c r="R381" s="102" t="n"/>
      <c r="S381" s="102" t="n"/>
      <c r="T381" s="102" t="n"/>
      <c r="U381" s="102" t="n"/>
      <c r="V381" s="102" t="n"/>
      <c r="W381" s="102" t="n"/>
      <c r="X381" s="102" t="n"/>
      <c r="Y381" s="102" t="n"/>
      <c r="Z381" s="102" t="n"/>
      <c r="AA381" s="102" t="n"/>
      <c r="AB381" s="102" t="n"/>
      <c r="AC381" s="102" t="n"/>
      <c r="AD381" s="102" t="n"/>
      <c r="AE381" s="102" t="n"/>
      <c r="AF381" s="102" t="n"/>
      <c r="AG381" s="102" t="n"/>
      <c r="AH381" s="102" t="n"/>
      <c r="AI381" s="102" t="n"/>
      <c r="AJ381" s="102" t="n"/>
      <c r="AK381" s="102" t="n"/>
      <c r="AL381" s="102" t="n"/>
      <c r="AM381" s="102" t="n"/>
      <c r="AN381" s="102" t="n"/>
      <c r="AO381" s="102" t="n"/>
      <c r="AP381" s="102" t="n"/>
      <c r="AQ381" s="102" t="n"/>
      <c r="AR381" s="102" t="n"/>
    </row>
    <row r="382">
      <c r="D382" s="103" t="n"/>
      <c r="E382" s="103" t="n"/>
      <c r="F382" s="103" t="n"/>
      <c r="G382" s="103" t="n"/>
      <c r="H382" s="103" t="n"/>
      <c r="I382" s="103" t="n"/>
      <c r="J382" s="103" t="n"/>
      <c r="K382" s="103" t="n"/>
      <c r="L382" s="103" t="n"/>
      <c r="M382" s="103" t="n"/>
      <c r="N382" s="103" t="n"/>
      <c r="O382" s="103" t="n"/>
      <c r="P382" s="103" t="n"/>
      <c r="Q382" s="103" t="n"/>
      <c r="R382" s="103" t="n"/>
      <c r="S382" s="103" t="n"/>
      <c r="T382" s="103" t="n"/>
      <c r="U382" s="103" t="n"/>
      <c r="V382" s="103" t="n"/>
      <c r="W382" s="103" t="n"/>
      <c r="X382" s="103" t="n"/>
      <c r="Y382" s="103" t="n"/>
      <c r="Z382" s="103" t="n"/>
      <c r="AA382" s="103" t="n"/>
      <c r="AB382" s="103" t="n"/>
      <c r="AC382" s="103" t="n"/>
      <c r="AD382" s="103" t="n"/>
      <c r="AE382" s="103" t="n"/>
      <c r="AF382" s="103" t="n"/>
      <c r="AG382" s="103" t="n"/>
      <c r="AH382" s="103" t="n"/>
      <c r="AI382" s="103" t="n"/>
      <c r="AJ382" s="103" t="n"/>
      <c r="AK382" s="103" t="n"/>
      <c r="AL382" s="103" t="n"/>
      <c r="AM382" s="103" t="n"/>
      <c r="AN382" s="103" t="n"/>
      <c r="AO382" s="103" t="n"/>
      <c r="AP382" s="103" t="n"/>
      <c r="AQ382" s="103" t="n"/>
      <c r="AR382" s="103" t="n"/>
    </row>
    <row r="384">
      <c r="A384" s="8">
        <f>IF(HSI!$C$41="","",HSI!$C$41)</f>
        <v/>
      </c>
      <c r="B384" s="99">
        <f>IF($A384="",0,COUNT($E385:$AR385))</f>
        <v/>
      </c>
      <c r="C384" s="100">
        <f>IF($B384=0,0,MAX($E385:$AR385))</f>
        <v/>
      </c>
      <c r="D384" s="101">
        <f>BDS($A384,FLD_HIST,"headers=y","startcol=1","endcol=7","dir=h","DVD_START_DT",HIST_FROM,"DVD_END_DT",HIST_TO)</f>
        <v/>
      </c>
      <c r="E384" s="102" t="n"/>
      <c r="F384" s="102" t="n"/>
      <c r="G384" s="102" t="n"/>
      <c r="H384" s="102" t="n"/>
      <c r="I384" s="102" t="n"/>
      <c r="J384" s="102" t="n"/>
      <c r="K384" s="102" t="n"/>
      <c r="L384" s="102" t="n"/>
      <c r="M384" s="102" t="n"/>
      <c r="N384" s="102" t="n"/>
      <c r="O384" s="102" t="n"/>
      <c r="P384" s="102" t="n"/>
      <c r="Q384" s="102" t="n"/>
      <c r="R384" s="102" t="n"/>
      <c r="S384" s="102" t="n"/>
      <c r="T384" s="102" t="n"/>
      <c r="U384" s="102" t="n"/>
      <c r="V384" s="102" t="n"/>
      <c r="W384" s="102" t="n"/>
      <c r="X384" s="102" t="n"/>
      <c r="Y384" s="102" t="n"/>
      <c r="Z384" s="102" t="n"/>
      <c r="AA384" s="102" t="n"/>
      <c r="AB384" s="102" t="n"/>
      <c r="AC384" s="102" t="n"/>
      <c r="AD384" s="102" t="n"/>
      <c r="AE384" s="102" t="n"/>
      <c r="AF384" s="102" t="n"/>
      <c r="AG384" s="102" t="n"/>
      <c r="AH384" s="102" t="n"/>
      <c r="AI384" s="102" t="n"/>
      <c r="AJ384" s="102" t="n"/>
      <c r="AK384" s="102" t="n"/>
      <c r="AL384" s="102" t="n"/>
      <c r="AM384" s="102" t="n"/>
      <c r="AN384" s="102" t="n"/>
      <c r="AO384" s="102" t="n"/>
      <c r="AP384" s="102" t="n"/>
      <c r="AQ384" s="102" t="n"/>
      <c r="AR384" s="102" t="n"/>
    </row>
    <row r="385">
      <c r="D385" s="102" t="n"/>
      <c r="E385" s="102" t="n"/>
      <c r="F385" s="102" t="n"/>
      <c r="G385" s="102" t="n"/>
      <c r="H385" s="102" t="n"/>
      <c r="I385" s="102" t="n"/>
      <c r="J385" s="102" t="n"/>
      <c r="K385" s="102" t="n"/>
      <c r="L385" s="102" t="n"/>
      <c r="M385" s="102" t="n"/>
      <c r="N385" s="102" t="n"/>
      <c r="O385" s="102" t="n"/>
      <c r="P385" s="102" t="n"/>
      <c r="Q385" s="102" t="n"/>
      <c r="R385" s="102" t="n"/>
      <c r="S385" s="102" t="n"/>
      <c r="T385" s="102" t="n"/>
      <c r="U385" s="102" t="n"/>
      <c r="V385" s="102" t="n"/>
      <c r="W385" s="102" t="n"/>
      <c r="X385" s="102" t="n"/>
      <c r="Y385" s="102" t="n"/>
      <c r="Z385" s="102" t="n"/>
      <c r="AA385" s="102" t="n"/>
      <c r="AB385" s="102" t="n"/>
      <c r="AC385" s="102" t="n"/>
      <c r="AD385" s="102" t="n"/>
      <c r="AE385" s="102" t="n"/>
      <c r="AF385" s="102" t="n"/>
      <c r="AG385" s="102" t="n"/>
      <c r="AH385" s="102" t="n"/>
      <c r="AI385" s="102" t="n"/>
      <c r="AJ385" s="102" t="n"/>
      <c r="AK385" s="102" t="n"/>
      <c r="AL385" s="102" t="n"/>
      <c r="AM385" s="102" t="n"/>
      <c r="AN385" s="102" t="n"/>
      <c r="AO385" s="102" t="n"/>
      <c r="AP385" s="102" t="n"/>
      <c r="AQ385" s="102" t="n"/>
      <c r="AR385" s="102" t="n"/>
    </row>
    <row r="386">
      <c r="D386" s="102" t="n"/>
      <c r="E386" s="102" t="n"/>
      <c r="F386" s="102" t="n"/>
      <c r="G386" s="102" t="n"/>
      <c r="H386" s="102" t="n"/>
      <c r="I386" s="102" t="n"/>
      <c r="J386" s="102" t="n"/>
      <c r="K386" s="102" t="n"/>
      <c r="L386" s="102" t="n"/>
      <c r="M386" s="102" t="n"/>
      <c r="N386" s="102" t="n"/>
      <c r="O386" s="102" t="n"/>
      <c r="P386" s="102" t="n"/>
      <c r="Q386" s="102" t="n"/>
      <c r="R386" s="102" t="n"/>
      <c r="S386" s="102" t="n"/>
      <c r="T386" s="102" t="n"/>
      <c r="U386" s="102" t="n"/>
      <c r="V386" s="102" t="n"/>
      <c r="W386" s="102" t="n"/>
      <c r="X386" s="102" t="n"/>
      <c r="Y386" s="102" t="n"/>
      <c r="Z386" s="102" t="n"/>
      <c r="AA386" s="102" t="n"/>
      <c r="AB386" s="102" t="n"/>
      <c r="AC386" s="102" t="n"/>
      <c r="AD386" s="102" t="n"/>
      <c r="AE386" s="102" t="n"/>
      <c r="AF386" s="102" t="n"/>
      <c r="AG386" s="102" t="n"/>
      <c r="AH386" s="102" t="n"/>
      <c r="AI386" s="102" t="n"/>
      <c r="AJ386" s="102" t="n"/>
      <c r="AK386" s="102" t="n"/>
      <c r="AL386" s="102" t="n"/>
      <c r="AM386" s="102" t="n"/>
      <c r="AN386" s="102" t="n"/>
      <c r="AO386" s="102" t="n"/>
      <c r="AP386" s="102" t="n"/>
      <c r="AQ386" s="102" t="n"/>
      <c r="AR386" s="102" t="n"/>
    </row>
    <row r="387">
      <c r="D387" s="102" t="n"/>
      <c r="E387" s="102" t="n"/>
      <c r="F387" s="102" t="n"/>
      <c r="G387" s="102" t="n"/>
      <c r="H387" s="102" t="n"/>
      <c r="I387" s="102" t="n"/>
      <c r="J387" s="102" t="n"/>
      <c r="K387" s="102" t="n"/>
      <c r="L387" s="102" t="n"/>
      <c r="M387" s="102" t="n"/>
      <c r="N387" s="102" t="n"/>
      <c r="O387" s="102" t="n"/>
      <c r="P387" s="102" t="n"/>
      <c r="Q387" s="102" t="n"/>
      <c r="R387" s="102" t="n"/>
      <c r="S387" s="102" t="n"/>
      <c r="T387" s="102" t="n"/>
      <c r="U387" s="102" t="n"/>
      <c r="V387" s="102" t="n"/>
      <c r="W387" s="102" t="n"/>
      <c r="X387" s="102" t="n"/>
      <c r="Y387" s="102" t="n"/>
      <c r="Z387" s="102" t="n"/>
      <c r="AA387" s="102" t="n"/>
      <c r="AB387" s="102" t="n"/>
      <c r="AC387" s="102" t="n"/>
      <c r="AD387" s="102" t="n"/>
      <c r="AE387" s="102" t="n"/>
      <c r="AF387" s="102" t="n"/>
      <c r="AG387" s="102" t="n"/>
      <c r="AH387" s="102" t="n"/>
      <c r="AI387" s="102" t="n"/>
      <c r="AJ387" s="102" t="n"/>
      <c r="AK387" s="102" t="n"/>
      <c r="AL387" s="102" t="n"/>
      <c r="AM387" s="102" t="n"/>
      <c r="AN387" s="102" t="n"/>
      <c r="AO387" s="102" t="n"/>
      <c r="AP387" s="102" t="n"/>
      <c r="AQ387" s="102" t="n"/>
      <c r="AR387" s="102" t="n"/>
    </row>
    <row r="388">
      <c r="D388" s="103" t="n"/>
      <c r="E388" s="103" t="n"/>
      <c r="F388" s="103" t="n"/>
      <c r="G388" s="103" t="n"/>
      <c r="H388" s="103" t="n"/>
      <c r="I388" s="103" t="n"/>
      <c r="J388" s="103" t="n"/>
      <c r="K388" s="103" t="n"/>
      <c r="L388" s="103" t="n"/>
      <c r="M388" s="103" t="n"/>
      <c r="N388" s="103" t="n"/>
      <c r="O388" s="103" t="n"/>
      <c r="P388" s="103" t="n"/>
      <c r="Q388" s="103" t="n"/>
      <c r="R388" s="103" t="n"/>
      <c r="S388" s="103" t="n"/>
      <c r="T388" s="103" t="n"/>
      <c r="U388" s="103" t="n"/>
      <c r="V388" s="103" t="n"/>
      <c r="W388" s="103" t="n"/>
      <c r="X388" s="103" t="n"/>
      <c r="Y388" s="103" t="n"/>
      <c r="Z388" s="103" t="n"/>
      <c r="AA388" s="103" t="n"/>
      <c r="AB388" s="103" t="n"/>
      <c r="AC388" s="103" t="n"/>
      <c r="AD388" s="103" t="n"/>
      <c r="AE388" s="103" t="n"/>
      <c r="AF388" s="103" t="n"/>
      <c r="AG388" s="103" t="n"/>
      <c r="AH388" s="103" t="n"/>
      <c r="AI388" s="103" t="n"/>
      <c r="AJ388" s="103" t="n"/>
      <c r="AK388" s="103" t="n"/>
      <c r="AL388" s="103" t="n"/>
      <c r="AM388" s="103" t="n"/>
      <c r="AN388" s="103" t="n"/>
      <c r="AO388" s="103" t="n"/>
      <c r="AP388" s="103" t="n"/>
      <c r="AQ388" s="103" t="n"/>
      <c r="AR388" s="103" t="n"/>
    </row>
    <row r="391">
      <c r="A391" s="2">
        <f>IF($A384="","","   projections")</f>
        <v/>
      </c>
      <c r="B391" s="99">
        <f>IF($A384="",0,COUNT($E392:$AR392))</f>
        <v/>
      </c>
      <c r="C391" s="100">
        <f>IF($B391=0,0,MAX($E392:$AR392))</f>
        <v/>
      </c>
      <c r="D391" s="101">
        <f>BDS($A384,FLD_PROJ,"headers=y","startcol=1","endcol=3","dir=h")</f>
        <v/>
      </c>
      <c r="E391" s="102" t="n"/>
      <c r="F391" s="102" t="n"/>
      <c r="G391" s="102" t="n"/>
      <c r="H391" s="102" t="n"/>
      <c r="I391" s="102" t="n"/>
      <c r="J391" s="102" t="n"/>
      <c r="K391" s="102" t="n"/>
      <c r="L391" s="102" t="n"/>
      <c r="M391" s="102" t="n"/>
      <c r="N391" s="102" t="n"/>
      <c r="O391" s="102" t="n"/>
      <c r="P391" s="102" t="n"/>
      <c r="Q391" s="102" t="n"/>
      <c r="R391" s="102" t="n"/>
      <c r="S391" s="102" t="n"/>
      <c r="T391" s="102" t="n"/>
      <c r="U391" s="102" t="n"/>
      <c r="V391" s="102" t="n"/>
      <c r="W391" s="102" t="n"/>
      <c r="X391" s="102" t="n"/>
      <c r="Y391" s="102" t="n"/>
      <c r="Z391" s="102" t="n"/>
      <c r="AA391" s="102" t="n"/>
      <c r="AB391" s="102" t="n"/>
      <c r="AC391" s="102" t="n"/>
      <c r="AD391" s="102" t="n"/>
      <c r="AE391" s="102" t="n"/>
      <c r="AF391" s="102" t="n"/>
      <c r="AG391" s="102" t="n"/>
      <c r="AH391" s="102" t="n"/>
      <c r="AI391" s="102" t="n"/>
      <c r="AJ391" s="102" t="n"/>
      <c r="AK391" s="102" t="n"/>
      <c r="AL391" s="102" t="n"/>
      <c r="AM391" s="102" t="n"/>
      <c r="AN391" s="102" t="n"/>
      <c r="AO391" s="102" t="n"/>
      <c r="AP391" s="102" t="n"/>
      <c r="AQ391" s="102" t="n"/>
      <c r="AR391" s="102" t="n"/>
    </row>
    <row r="392">
      <c r="D392" s="102" t="n"/>
      <c r="E392" s="102" t="n"/>
      <c r="F392" s="102" t="n"/>
      <c r="G392" s="102" t="n"/>
      <c r="H392" s="102" t="n"/>
      <c r="I392" s="102" t="n"/>
      <c r="J392" s="102" t="n"/>
      <c r="K392" s="102" t="n"/>
      <c r="L392" s="102" t="n"/>
      <c r="M392" s="102" t="n"/>
      <c r="N392" s="102" t="n"/>
      <c r="O392" s="102" t="n"/>
      <c r="P392" s="102" t="n"/>
      <c r="Q392" s="102" t="n"/>
      <c r="R392" s="102" t="n"/>
      <c r="S392" s="102" t="n"/>
      <c r="T392" s="102" t="n"/>
      <c r="U392" s="102" t="n"/>
      <c r="V392" s="102" t="n"/>
      <c r="W392" s="102" t="n"/>
      <c r="X392" s="102" t="n"/>
      <c r="Y392" s="102" t="n"/>
      <c r="Z392" s="102" t="n"/>
      <c r="AA392" s="102" t="n"/>
      <c r="AB392" s="102" t="n"/>
      <c r="AC392" s="102" t="n"/>
      <c r="AD392" s="102" t="n"/>
      <c r="AE392" s="102" t="n"/>
      <c r="AF392" s="102" t="n"/>
      <c r="AG392" s="102" t="n"/>
      <c r="AH392" s="102" t="n"/>
      <c r="AI392" s="102" t="n"/>
      <c r="AJ392" s="102" t="n"/>
      <c r="AK392" s="102" t="n"/>
      <c r="AL392" s="102" t="n"/>
      <c r="AM392" s="102" t="n"/>
      <c r="AN392" s="102" t="n"/>
      <c r="AO392" s="102" t="n"/>
      <c r="AP392" s="102" t="n"/>
      <c r="AQ392" s="102" t="n"/>
      <c r="AR392" s="102" t="n"/>
    </row>
    <row r="393">
      <c r="D393" s="103" t="n"/>
      <c r="E393" s="103" t="n"/>
      <c r="F393" s="103" t="n"/>
      <c r="G393" s="103" t="n"/>
      <c r="H393" s="103" t="n"/>
      <c r="I393" s="103" t="n"/>
      <c r="J393" s="103" t="n"/>
      <c r="K393" s="103" t="n"/>
      <c r="L393" s="103" t="n"/>
      <c r="M393" s="103" t="n"/>
      <c r="N393" s="103" t="n"/>
      <c r="O393" s="103" t="n"/>
      <c r="P393" s="103" t="n"/>
      <c r="Q393" s="103" t="n"/>
      <c r="R393" s="103" t="n"/>
      <c r="S393" s="103" t="n"/>
      <c r="T393" s="103" t="n"/>
      <c r="U393" s="103" t="n"/>
      <c r="V393" s="103" t="n"/>
      <c r="W393" s="103" t="n"/>
      <c r="X393" s="103" t="n"/>
      <c r="Y393" s="103" t="n"/>
      <c r="Z393" s="103" t="n"/>
      <c r="AA393" s="103" t="n"/>
      <c r="AB393" s="103" t="n"/>
      <c r="AC393" s="103" t="n"/>
      <c r="AD393" s="103" t="n"/>
      <c r="AE393" s="103" t="n"/>
      <c r="AF393" s="103" t="n"/>
      <c r="AG393" s="103" t="n"/>
      <c r="AH393" s="103" t="n"/>
      <c r="AI393" s="103" t="n"/>
      <c r="AJ393" s="103" t="n"/>
      <c r="AK393" s="103" t="n"/>
      <c r="AL393" s="103" t="n"/>
      <c r="AM393" s="103" t="n"/>
      <c r="AN393" s="103" t="n"/>
      <c r="AO393" s="103" t="n"/>
      <c r="AP393" s="103" t="n"/>
      <c r="AQ393" s="103" t="n"/>
      <c r="AR393" s="103" t="n"/>
    </row>
    <row r="395">
      <c r="A395" s="8">
        <f>IF(HSI!$C$42="","",HSI!$C$42)</f>
        <v/>
      </c>
      <c r="B395" s="99">
        <f>IF($A395="",0,COUNT($E396:$AR396))</f>
        <v/>
      </c>
      <c r="C395" s="100">
        <f>IF($B395=0,0,MAX($E396:$AR396))</f>
        <v/>
      </c>
      <c r="D395" s="101">
        <f>BDS($A395,FLD_HIST,"headers=y","startcol=1","endcol=7","dir=h","DVD_START_DT",HIST_FROM,"DVD_END_DT",HIST_TO)</f>
        <v/>
      </c>
      <c r="E395" s="102" t="n"/>
      <c r="F395" s="102" t="n"/>
      <c r="G395" s="102" t="n"/>
      <c r="H395" s="102" t="n"/>
      <c r="I395" s="102" t="n"/>
      <c r="J395" s="102" t="n"/>
      <c r="K395" s="102" t="n"/>
      <c r="L395" s="102" t="n"/>
      <c r="M395" s="102" t="n"/>
      <c r="N395" s="102" t="n"/>
      <c r="O395" s="102" t="n"/>
      <c r="P395" s="102" t="n"/>
      <c r="Q395" s="102" t="n"/>
      <c r="R395" s="102" t="n"/>
      <c r="S395" s="102" t="n"/>
      <c r="T395" s="102" t="n"/>
      <c r="U395" s="102" t="n"/>
      <c r="V395" s="102" t="n"/>
      <c r="W395" s="102" t="n"/>
      <c r="X395" s="102" t="n"/>
      <c r="Y395" s="102" t="n"/>
      <c r="Z395" s="102" t="n"/>
      <c r="AA395" s="102" t="n"/>
      <c r="AB395" s="102" t="n"/>
      <c r="AC395" s="102" t="n"/>
      <c r="AD395" s="102" t="n"/>
      <c r="AE395" s="102" t="n"/>
      <c r="AF395" s="102" t="n"/>
      <c r="AG395" s="102" t="n"/>
      <c r="AH395" s="102" t="n"/>
      <c r="AI395" s="102" t="n"/>
      <c r="AJ395" s="102" t="n"/>
      <c r="AK395" s="102" t="n"/>
      <c r="AL395" s="102" t="n"/>
      <c r="AM395" s="102" t="n"/>
      <c r="AN395" s="102" t="n"/>
      <c r="AO395" s="102" t="n"/>
      <c r="AP395" s="102" t="n"/>
      <c r="AQ395" s="102" t="n"/>
      <c r="AR395" s="102" t="n"/>
    </row>
    <row r="396">
      <c r="D396" s="102" t="n"/>
      <c r="E396" s="102" t="n"/>
      <c r="F396" s="102" t="n"/>
      <c r="G396" s="102" t="n"/>
      <c r="H396" s="102" t="n"/>
      <c r="I396" s="102" t="n"/>
      <c r="J396" s="102" t="n"/>
      <c r="K396" s="102" t="n"/>
      <c r="L396" s="102" t="n"/>
      <c r="M396" s="102" t="n"/>
      <c r="N396" s="102" t="n"/>
      <c r="O396" s="102" t="n"/>
      <c r="P396" s="102" t="n"/>
      <c r="Q396" s="102" t="n"/>
      <c r="R396" s="102" t="n"/>
      <c r="S396" s="102" t="n"/>
      <c r="T396" s="102" t="n"/>
      <c r="U396" s="102" t="n"/>
      <c r="V396" s="102" t="n"/>
      <c r="W396" s="102" t="n"/>
      <c r="X396" s="102" t="n"/>
      <c r="Y396" s="102" t="n"/>
      <c r="Z396" s="102" t="n"/>
      <c r="AA396" s="102" t="n"/>
      <c r="AB396" s="102" t="n"/>
      <c r="AC396" s="102" t="n"/>
      <c r="AD396" s="102" t="n"/>
      <c r="AE396" s="102" t="n"/>
      <c r="AF396" s="102" t="n"/>
      <c r="AG396" s="102" t="n"/>
      <c r="AH396" s="102" t="n"/>
      <c r="AI396" s="102" t="n"/>
      <c r="AJ396" s="102" t="n"/>
      <c r="AK396" s="102" t="n"/>
      <c r="AL396" s="102" t="n"/>
      <c r="AM396" s="102" t="n"/>
      <c r="AN396" s="102" t="n"/>
      <c r="AO396" s="102" t="n"/>
      <c r="AP396" s="102" t="n"/>
      <c r="AQ396" s="102" t="n"/>
      <c r="AR396" s="102" t="n"/>
    </row>
    <row r="397">
      <c r="D397" s="102" t="n"/>
      <c r="E397" s="102" t="n"/>
      <c r="F397" s="102" t="n"/>
      <c r="G397" s="102" t="n"/>
      <c r="H397" s="102" t="n"/>
      <c r="I397" s="102" t="n"/>
      <c r="J397" s="102" t="n"/>
      <c r="K397" s="102" t="n"/>
      <c r="L397" s="102" t="n"/>
      <c r="M397" s="102" t="n"/>
      <c r="N397" s="102" t="n"/>
      <c r="O397" s="102" t="n"/>
      <c r="P397" s="102" t="n"/>
      <c r="Q397" s="102" t="n"/>
      <c r="R397" s="102" t="n"/>
      <c r="S397" s="102" t="n"/>
      <c r="T397" s="102" t="n"/>
      <c r="U397" s="102" t="n"/>
      <c r="V397" s="102" t="n"/>
      <c r="W397" s="102" t="n"/>
      <c r="X397" s="102" t="n"/>
      <c r="Y397" s="102" t="n"/>
      <c r="Z397" s="102" t="n"/>
      <c r="AA397" s="102" t="n"/>
      <c r="AB397" s="102" t="n"/>
      <c r="AC397" s="102" t="n"/>
      <c r="AD397" s="102" t="n"/>
      <c r="AE397" s="102" t="n"/>
      <c r="AF397" s="102" t="n"/>
      <c r="AG397" s="102" t="n"/>
      <c r="AH397" s="102" t="n"/>
      <c r="AI397" s="102" t="n"/>
      <c r="AJ397" s="102" t="n"/>
      <c r="AK397" s="102" t="n"/>
      <c r="AL397" s="102" t="n"/>
      <c r="AM397" s="102" t="n"/>
      <c r="AN397" s="102" t="n"/>
      <c r="AO397" s="102" t="n"/>
      <c r="AP397" s="102" t="n"/>
      <c r="AQ397" s="102" t="n"/>
      <c r="AR397" s="102" t="n"/>
    </row>
    <row r="398">
      <c r="D398" s="102" t="n"/>
      <c r="E398" s="102" t="n"/>
      <c r="F398" s="102" t="n"/>
      <c r="G398" s="102" t="n"/>
      <c r="H398" s="102" t="n"/>
      <c r="I398" s="102" t="n"/>
      <c r="J398" s="102" t="n"/>
      <c r="K398" s="102" t="n"/>
      <c r="L398" s="102" t="n"/>
      <c r="M398" s="102" t="n"/>
      <c r="N398" s="102" t="n"/>
      <c r="O398" s="102" t="n"/>
      <c r="P398" s="102" t="n"/>
      <c r="Q398" s="102" t="n"/>
      <c r="R398" s="102" t="n"/>
      <c r="S398" s="102" t="n"/>
      <c r="T398" s="102" t="n"/>
      <c r="U398" s="102" t="n"/>
      <c r="V398" s="102" t="n"/>
      <c r="W398" s="102" t="n"/>
      <c r="X398" s="102" t="n"/>
      <c r="Y398" s="102" t="n"/>
      <c r="Z398" s="102" t="n"/>
      <c r="AA398" s="102" t="n"/>
      <c r="AB398" s="102" t="n"/>
      <c r="AC398" s="102" t="n"/>
      <c r="AD398" s="102" t="n"/>
      <c r="AE398" s="102" t="n"/>
      <c r="AF398" s="102" t="n"/>
      <c r="AG398" s="102" t="n"/>
      <c r="AH398" s="102" t="n"/>
      <c r="AI398" s="102" t="n"/>
      <c r="AJ398" s="102" t="n"/>
      <c r="AK398" s="102" t="n"/>
      <c r="AL398" s="102" t="n"/>
      <c r="AM398" s="102" t="n"/>
      <c r="AN398" s="102" t="n"/>
      <c r="AO398" s="102" t="n"/>
      <c r="AP398" s="102" t="n"/>
      <c r="AQ398" s="102" t="n"/>
      <c r="AR398" s="102" t="n"/>
    </row>
    <row r="399">
      <c r="D399" s="103" t="n"/>
      <c r="E399" s="103" t="n"/>
      <c r="F399" s="103" t="n"/>
      <c r="G399" s="103" t="n"/>
      <c r="H399" s="103" t="n"/>
      <c r="I399" s="103" t="n"/>
      <c r="J399" s="103" t="n"/>
      <c r="K399" s="103" t="n"/>
      <c r="L399" s="103" t="n"/>
      <c r="M399" s="103" t="n"/>
      <c r="N399" s="103" t="n"/>
      <c r="O399" s="103" t="n"/>
      <c r="P399" s="103" t="n"/>
      <c r="Q399" s="103" t="n"/>
      <c r="R399" s="103" t="n"/>
      <c r="S399" s="103" t="n"/>
      <c r="T399" s="103" t="n"/>
      <c r="U399" s="103" t="n"/>
      <c r="V399" s="103" t="n"/>
      <c r="W399" s="103" t="n"/>
      <c r="X399" s="103" t="n"/>
      <c r="Y399" s="103" t="n"/>
      <c r="Z399" s="103" t="n"/>
      <c r="AA399" s="103" t="n"/>
      <c r="AB399" s="103" t="n"/>
      <c r="AC399" s="103" t="n"/>
      <c r="AD399" s="103" t="n"/>
      <c r="AE399" s="103" t="n"/>
      <c r="AF399" s="103" t="n"/>
      <c r="AG399" s="103" t="n"/>
      <c r="AH399" s="103" t="n"/>
      <c r="AI399" s="103" t="n"/>
      <c r="AJ399" s="103" t="n"/>
      <c r="AK399" s="103" t="n"/>
      <c r="AL399" s="103" t="n"/>
      <c r="AM399" s="103" t="n"/>
      <c r="AN399" s="103" t="n"/>
      <c r="AO399" s="103" t="n"/>
      <c r="AP399" s="103" t="n"/>
      <c r="AQ399" s="103" t="n"/>
      <c r="AR399" s="103" t="n"/>
    </row>
    <row r="402">
      <c r="A402" s="2">
        <f>IF($A395="","","   projections")</f>
        <v/>
      </c>
      <c r="B402" s="99">
        <f>IF($A395="",0,COUNT($E403:$AR403))</f>
        <v/>
      </c>
      <c r="C402" s="100">
        <f>IF($B402=0,0,MAX($E403:$AR403))</f>
        <v/>
      </c>
      <c r="D402" s="101">
        <f>BDS($A395,FLD_PROJ,"headers=y","startcol=1","endcol=3","dir=h")</f>
        <v/>
      </c>
      <c r="E402" s="102" t="n"/>
      <c r="F402" s="102" t="n"/>
      <c r="G402" s="102" t="n"/>
      <c r="H402" s="102" t="n"/>
      <c r="I402" s="102" t="n"/>
      <c r="J402" s="102" t="n"/>
      <c r="K402" s="102" t="n"/>
      <c r="L402" s="102" t="n"/>
      <c r="M402" s="102" t="n"/>
      <c r="N402" s="102" t="n"/>
      <c r="O402" s="102" t="n"/>
      <c r="P402" s="102" t="n"/>
      <c r="Q402" s="102" t="n"/>
      <c r="R402" s="102" t="n"/>
      <c r="S402" s="102" t="n"/>
      <c r="T402" s="102" t="n"/>
      <c r="U402" s="102" t="n"/>
      <c r="V402" s="102" t="n"/>
      <c r="W402" s="102" t="n"/>
      <c r="X402" s="102" t="n"/>
      <c r="Y402" s="102" t="n"/>
      <c r="Z402" s="102" t="n"/>
      <c r="AA402" s="102" t="n"/>
      <c r="AB402" s="102" t="n"/>
      <c r="AC402" s="102" t="n"/>
      <c r="AD402" s="102" t="n"/>
      <c r="AE402" s="102" t="n"/>
      <c r="AF402" s="102" t="n"/>
      <c r="AG402" s="102" t="n"/>
      <c r="AH402" s="102" t="n"/>
      <c r="AI402" s="102" t="n"/>
      <c r="AJ402" s="102" t="n"/>
      <c r="AK402" s="102" t="n"/>
      <c r="AL402" s="102" t="n"/>
      <c r="AM402" s="102" t="n"/>
      <c r="AN402" s="102" t="n"/>
      <c r="AO402" s="102" t="n"/>
      <c r="AP402" s="102" t="n"/>
      <c r="AQ402" s="102" t="n"/>
      <c r="AR402" s="102" t="n"/>
    </row>
    <row r="403">
      <c r="D403" s="102" t="n"/>
      <c r="E403" s="102" t="n"/>
      <c r="F403" s="102" t="n"/>
      <c r="G403" s="102" t="n"/>
      <c r="H403" s="102" t="n"/>
      <c r="I403" s="102" t="n"/>
      <c r="J403" s="102" t="n"/>
      <c r="K403" s="102" t="n"/>
      <c r="L403" s="102" t="n"/>
      <c r="M403" s="102" t="n"/>
      <c r="N403" s="102" t="n"/>
      <c r="O403" s="102" t="n"/>
      <c r="P403" s="102" t="n"/>
      <c r="Q403" s="102" t="n"/>
      <c r="R403" s="102" t="n"/>
      <c r="S403" s="102" t="n"/>
      <c r="T403" s="102" t="n"/>
      <c r="U403" s="102" t="n"/>
      <c r="V403" s="102" t="n"/>
      <c r="W403" s="102" t="n"/>
      <c r="X403" s="102" t="n"/>
      <c r="Y403" s="102" t="n"/>
      <c r="Z403" s="102" t="n"/>
      <c r="AA403" s="102" t="n"/>
      <c r="AB403" s="102" t="n"/>
      <c r="AC403" s="102" t="n"/>
      <c r="AD403" s="102" t="n"/>
      <c r="AE403" s="102" t="n"/>
      <c r="AF403" s="102" t="n"/>
      <c r="AG403" s="102" t="n"/>
      <c r="AH403" s="102" t="n"/>
      <c r="AI403" s="102" t="n"/>
      <c r="AJ403" s="102" t="n"/>
      <c r="AK403" s="102" t="n"/>
      <c r="AL403" s="102" t="n"/>
      <c r="AM403" s="102" t="n"/>
      <c r="AN403" s="102" t="n"/>
      <c r="AO403" s="102" t="n"/>
      <c r="AP403" s="102" t="n"/>
      <c r="AQ403" s="102" t="n"/>
      <c r="AR403" s="102" t="n"/>
    </row>
    <row r="404">
      <c r="D404" s="103" t="n"/>
      <c r="E404" s="103" t="n"/>
      <c r="F404" s="103" t="n"/>
      <c r="G404" s="103" t="n"/>
      <c r="H404" s="103" t="n"/>
      <c r="I404" s="103" t="n"/>
      <c r="J404" s="103" t="n"/>
      <c r="K404" s="103" t="n"/>
      <c r="L404" s="103" t="n"/>
      <c r="M404" s="103" t="n"/>
      <c r="N404" s="103" t="n"/>
      <c r="O404" s="103" t="n"/>
      <c r="P404" s="103" t="n"/>
      <c r="Q404" s="103" t="n"/>
      <c r="R404" s="103" t="n"/>
      <c r="S404" s="103" t="n"/>
      <c r="T404" s="103" t="n"/>
      <c r="U404" s="103" t="n"/>
      <c r="V404" s="103" t="n"/>
      <c r="W404" s="103" t="n"/>
      <c r="X404" s="103" t="n"/>
      <c r="Y404" s="103" t="n"/>
      <c r="Z404" s="103" t="n"/>
      <c r="AA404" s="103" t="n"/>
      <c r="AB404" s="103" t="n"/>
      <c r="AC404" s="103" t="n"/>
      <c r="AD404" s="103" t="n"/>
      <c r="AE404" s="103" t="n"/>
      <c r="AF404" s="103" t="n"/>
      <c r="AG404" s="103" t="n"/>
      <c r="AH404" s="103" t="n"/>
      <c r="AI404" s="103" t="n"/>
      <c r="AJ404" s="103" t="n"/>
      <c r="AK404" s="103" t="n"/>
      <c r="AL404" s="103" t="n"/>
      <c r="AM404" s="103" t="n"/>
      <c r="AN404" s="103" t="n"/>
      <c r="AO404" s="103" t="n"/>
      <c r="AP404" s="103" t="n"/>
      <c r="AQ404" s="103" t="n"/>
      <c r="AR404" s="103" t="n"/>
    </row>
    <row r="406">
      <c r="A406" s="8">
        <f>IF(HSI!$C$43="","",HSI!$C$43)</f>
        <v/>
      </c>
      <c r="B406" s="99">
        <f>IF($A406="",0,COUNT($E407:$AR407))</f>
        <v/>
      </c>
      <c r="C406" s="100">
        <f>IF($B406=0,0,MAX($E407:$AR407))</f>
        <v/>
      </c>
      <c r="D406" s="101">
        <f>BDS($A406,FLD_HIST,"headers=y","startcol=1","endcol=7","dir=h","DVD_START_DT",HIST_FROM,"DVD_END_DT",HIST_TO)</f>
        <v/>
      </c>
      <c r="E406" s="102" t="n"/>
      <c r="F406" s="102" t="n"/>
      <c r="G406" s="102" t="n"/>
      <c r="H406" s="102" t="n"/>
      <c r="I406" s="102" t="n"/>
      <c r="J406" s="102" t="n"/>
      <c r="K406" s="102" t="n"/>
      <c r="L406" s="102" t="n"/>
      <c r="M406" s="102" t="n"/>
      <c r="N406" s="102" t="n"/>
      <c r="O406" s="102" t="n"/>
      <c r="P406" s="102" t="n"/>
      <c r="Q406" s="102" t="n"/>
      <c r="R406" s="102" t="n"/>
      <c r="S406" s="102" t="n"/>
      <c r="T406" s="102" t="n"/>
      <c r="U406" s="102" t="n"/>
      <c r="V406" s="102" t="n"/>
      <c r="W406" s="102" t="n"/>
      <c r="X406" s="102" t="n"/>
      <c r="Y406" s="102" t="n"/>
      <c r="Z406" s="102" t="n"/>
      <c r="AA406" s="102" t="n"/>
      <c r="AB406" s="102" t="n"/>
      <c r="AC406" s="102" t="n"/>
      <c r="AD406" s="102" t="n"/>
      <c r="AE406" s="102" t="n"/>
      <c r="AF406" s="102" t="n"/>
      <c r="AG406" s="102" t="n"/>
      <c r="AH406" s="102" t="n"/>
      <c r="AI406" s="102" t="n"/>
      <c r="AJ406" s="102" t="n"/>
      <c r="AK406" s="102" t="n"/>
      <c r="AL406" s="102" t="n"/>
      <c r="AM406" s="102" t="n"/>
      <c r="AN406" s="102" t="n"/>
      <c r="AO406" s="102" t="n"/>
      <c r="AP406" s="102" t="n"/>
      <c r="AQ406" s="102" t="n"/>
      <c r="AR406" s="102" t="n"/>
    </row>
    <row r="407">
      <c r="D407" s="102" t="n"/>
      <c r="E407" s="102" t="n"/>
      <c r="F407" s="102" t="n"/>
      <c r="G407" s="102" t="n"/>
      <c r="H407" s="102" t="n"/>
      <c r="I407" s="102" t="n"/>
      <c r="J407" s="102" t="n"/>
      <c r="K407" s="102" t="n"/>
      <c r="L407" s="102" t="n"/>
      <c r="M407" s="102" t="n"/>
      <c r="N407" s="102" t="n"/>
      <c r="O407" s="102" t="n"/>
      <c r="P407" s="102" t="n"/>
      <c r="Q407" s="102" t="n"/>
      <c r="R407" s="102" t="n"/>
      <c r="S407" s="102" t="n"/>
      <c r="T407" s="102" t="n"/>
      <c r="U407" s="102" t="n"/>
      <c r="V407" s="102" t="n"/>
      <c r="W407" s="102" t="n"/>
      <c r="X407" s="102" t="n"/>
      <c r="Y407" s="102" t="n"/>
      <c r="Z407" s="102" t="n"/>
      <c r="AA407" s="102" t="n"/>
      <c r="AB407" s="102" t="n"/>
      <c r="AC407" s="102" t="n"/>
      <c r="AD407" s="102" t="n"/>
      <c r="AE407" s="102" t="n"/>
      <c r="AF407" s="102" t="n"/>
      <c r="AG407" s="102" t="n"/>
      <c r="AH407" s="102" t="n"/>
      <c r="AI407" s="102" t="n"/>
      <c r="AJ407" s="102" t="n"/>
      <c r="AK407" s="102" t="n"/>
      <c r="AL407" s="102" t="n"/>
      <c r="AM407" s="102" t="n"/>
      <c r="AN407" s="102" t="n"/>
      <c r="AO407" s="102" t="n"/>
      <c r="AP407" s="102" t="n"/>
      <c r="AQ407" s="102" t="n"/>
      <c r="AR407" s="102" t="n"/>
    </row>
    <row r="408">
      <c r="D408" s="102" t="n"/>
      <c r="E408" s="102" t="n"/>
      <c r="F408" s="102" t="n"/>
      <c r="G408" s="102" t="n"/>
      <c r="H408" s="102" t="n"/>
      <c r="I408" s="102" t="n"/>
      <c r="J408" s="102" t="n"/>
      <c r="K408" s="102" t="n"/>
      <c r="L408" s="102" t="n"/>
      <c r="M408" s="102" t="n"/>
      <c r="N408" s="102" t="n"/>
      <c r="O408" s="102" t="n"/>
      <c r="P408" s="102" t="n"/>
      <c r="Q408" s="102" t="n"/>
      <c r="R408" s="102" t="n"/>
      <c r="S408" s="102" t="n"/>
      <c r="T408" s="102" t="n"/>
      <c r="U408" s="102" t="n"/>
      <c r="V408" s="102" t="n"/>
      <c r="W408" s="102" t="n"/>
      <c r="X408" s="102" t="n"/>
      <c r="Y408" s="102" t="n"/>
      <c r="Z408" s="102" t="n"/>
      <c r="AA408" s="102" t="n"/>
      <c r="AB408" s="102" t="n"/>
      <c r="AC408" s="102" t="n"/>
      <c r="AD408" s="102" t="n"/>
      <c r="AE408" s="102" t="n"/>
      <c r="AF408" s="102" t="n"/>
      <c r="AG408" s="102" t="n"/>
      <c r="AH408" s="102" t="n"/>
      <c r="AI408" s="102" t="n"/>
      <c r="AJ408" s="102" t="n"/>
      <c r="AK408" s="102" t="n"/>
      <c r="AL408" s="102" t="n"/>
      <c r="AM408" s="102" t="n"/>
      <c r="AN408" s="102" t="n"/>
      <c r="AO408" s="102" t="n"/>
      <c r="AP408" s="102" t="n"/>
      <c r="AQ408" s="102" t="n"/>
      <c r="AR408" s="102" t="n"/>
    </row>
    <row r="409">
      <c r="D409" s="102" t="n"/>
      <c r="E409" s="102" t="n"/>
      <c r="F409" s="102" t="n"/>
      <c r="G409" s="102" t="n"/>
      <c r="H409" s="102" t="n"/>
      <c r="I409" s="102" t="n"/>
      <c r="J409" s="102" t="n"/>
      <c r="K409" s="102" t="n"/>
      <c r="L409" s="102" t="n"/>
      <c r="M409" s="102" t="n"/>
      <c r="N409" s="102" t="n"/>
      <c r="O409" s="102" t="n"/>
      <c r="P409" s="102" t="n"/>
      <c r="Q409" s="102" t="n"/>
      <c r="R409" s="102" t="n"/>
      <c r="S409" s="102" t="n"/>
      <c r="T409" s="102" t="n"/>
      <c r="U409" s="102" t="n"/>
      <c r="V409" s="102" t="n"/>
      <c r="W409" s="102" t="n"/>
      <c r="X409" s="102" t="n"/>
      <c r="Y409" s="102" t="n"/>
      <c r="Z409" s="102" t="n"/>
      <c r="AA409" s="102" t="n"/>
      <c r="AB409" s="102" t="n"/>
      <c r="AC409" s="102" t="n"/>
      <c r="AD409" s="102" t="n"/>
      <c r="AE409" s="102" t="n"/>
      <c r="AF409" s="102" t="n"/>
      <c r="AG409" s="102" t="n"/>
      <c r="AH409" s="102" t="n"/>
      <c r="AI409" s="102" t="n"/>
      <c r="AJ409" s="102" t="n"/>
      <c r="AK409" s="102" t="n"/>
      <c r="AL409" s="102" t="n"/>
      <c r="AM409" s="102" t="n"/>
      <c r="AN409" s="102" t="n"/>
      <c r="AO409" s="102" t="n"/>
      <c r="AP409" s="102" t="n"/>
      <c r="AQ409" s="102" t="n"/>
      <c r="AR409" s="102" t="n"/>
    </row>
    <row r="410">
      <c r="D410" s="103" t="n"/>
      <c r="E410" s="103" t="n"/>
      <c r="F410" s="103" t="n"/>
      <c r="G410" s="103" t="n"/>
      <c r="H410" s="103" t="n"/>
      <c r="I410" s="103" t="n"/>
      <c r="J410" s="103" t="n"/>
      <c r="K410" s="103" t="n"/>
      <c r="L410" s="103" t="n"/>
      <c r="M410" s="103" t="n"/>
      <c r="N410" s="103" t="n"/>
      <c r="O410" s="103" t="n"/>
      <c r="P410" s="103" t="n"/>
      <c r="Q410" s="103" t="n"/>
      <c r="R410" s="103" t="n"/>
      <c r="S410" s="103" t="n"/>
      <c r="T410" s="103" t="n"/>
      <c r="U410" s="103" t="n"/>
      <c r="V410" s="103" t="n"/>
      <c r="W410" s="103" t="n"/>
      <c r="X410" s="103" t="n"/>
      <c r="Y410" s="103" t="n"/>
      <c r="Z410" s="103" t="n"/>
      <c r="AA410" s="103" t="n"/>
      <c r="AB410" s="103" t="n"/>
      <c r="AC410" s="103" t="n"/>
      <c r="AD410" s="103" t="n"/>
      <c r="AE410" s="103" t="n"/>
      <c r="AF410" s="103" t="n"/>
      <c r="AG410" s="103" t="n"/>
      <c r="AH410" s="103" t="n"/>
      <c r="AI410" s="103" t="n"/>
      <c r="AJ410" s="103" t="n"/>
      <c r="AK410" s="103" t="n"/>
      <c r="AL410" s="103" t="n"/>
      <c r="AM410" s="103" t="n"/>
      <c r="AN410" s="103" t="n"/>
      <c r="AO410" s="103" t="n"/>
      <c r="AP410" s="103" t="n"/>
      <c r="AQ410" s="103" t="n"/>
      <c r="AR410" s="103" t="n"/>
    </row>
    <row r="413">
      <c r="A413" s="2">
        <f>IF($A406="","","   projections")</f>
        <v/>
      </c>
      <c r="B413" s="99">
        <f>IF($A406="",0,COUNT($E414:$AR414))</f>
        <v/>
      </c>
      <c r="C413" s="100">
        <f>IF($B413=0,0,MAX($E414:$AR414))</f>
        <v/>
      </c>
      <c r="D413" s="101">
        <f>BDS($A406,FLD_PROJ,"headers=y","startcol=1","endcol=3","dir=h")</f>
        <v/>
      </c>
      <c r="E413" s="102" t="n"/>
      <c r="F413" s="102" t="n"/>
      <c r="G413" s="102" t="n"/>
      <c r="H413" s="102" t="n"/>
      <c r="I413" s="102" t="n"/>
      <c r="J413" s="102" t="n"/>
      <c r="K413" s="102" t="n"/>
      <c r="L413" s="102" t="n"/>
      <c r="M413" s="102" t="n"/>
      <c r="N413" s="102" t="n"/>
      <c r="O413" s="102" t="n"/>
      <c r="P413" s="102" t="n"/>
      <c r="Q413" s="102" t="n"/>
      <c r="R413" s="102" t="n"/>
      <c r="S413" s="102" t="n"/>
      <c r="T413" s="102" t="n"/>
      <c r="U413" s="102" t="n"/>
      <c r="V413" s="102" t="n"/>
      <c r="W413" s="102" t="n"/>
      <c r="X413" s="102" t="n"/>
      <c r="Y413" s="102" t="n"/>
      <c r="Z413" s="102" t="n"/>
      <c r="AA413" s="102" t="n"/>
      <c r="AB413" s="102" t="n"/>
      <c r="AC413" s="102" t="n"/>
      <c r="AD413" s="102" t="n"/>
      <c r="AE413" s="102" t="n"/>
      <c r="AF413" s="102" t="n"/>
      <c r="AG413" s="102" t="n"/>
      <c r="AH413" s="102" t="n"/>
      <c r="AI413" s="102" t="n"/>
      <c r="AJ413" s="102" t="n"/>
      <c r="AK413" s="102" t="n"/>
      <c r="AL413" s="102" t="n"/>
      <c r="AM413" s="102" t="n"/>
      <c r="AN413" s="102" t="n"/>
      <c r="AO413" s="102" t="n"/>
      <c r="AP413" s="102" t="n"/>
      <c r="AQ413" s="102" t="n"/>
      <c r="AR413" s="102" t="n"/>
    </row>
    <row r="414">
      <c r="D414" s="102" t="n"/>
      <c r="E414" s="102" t="n"/>
      <c r="F414" s="102" t="n"/>
      <c r="G414" s="102" t="n"/>
      <c r="H414" s="102" t="n"/>
      <c r="I414" s="102" t="n"/>
      <c r="J414" s="102" t="n"/>
      <c r="K414" s="102" t="n"/>
      <c r="L414" s="102" t="n"/>
      <c r="M414" s="102" t="n"/>
      <c r="N414" s="102" t="n"/>
      <c r="O414" s="102" t="n"/>
      <c r="P414" s="102" t="n"/>
      <c r="Q414" s="102" t="n"/>
      <c r="R414" s="102" t="n"/>
      <c r="S414" s="102" t="n"/>
      <c r="T414" s="102" t="n"/>
      <c r="U414" s="102" t="n"/>
      <c r="V414" s="102" t="n"/>
      <c r="W414" s="102" t="n"/>
      <c r="X414" s="102" t="n"/>
      <c r="Y414" s="102" t="n"/>
      <c r="Z414" s="102" t="n"/>
      <c r="AA414" s="102" t="n"/>
      <c r="AB414" s="102" t="n"/>
      <c r="AC414" s="102" t="n"/>
      <c r="AD414" s="102" t="n"/>
      <c r="AE414" s="102" t="n"/>
      <c r="AF414" s="102" t="n"/>
      <c r="AG414" s="102" t="n"/>
      <c r="AH414" s="102" t="n"/>
      <c r="AI414" s="102" t="n"/>
      <c r="AJ414" s="102" t="n"/>
      <c r="AK414" s="102" t="n"/>
      <c r="AL414" s="102" t="n"/>
      <c r="AM414" s="102" t="n"/>
      <c r="AN414" s="102" t="n"/>
      <c r="AO414" s="102" t="n"/>
      <c r="AP414" s="102" t="n"/>
      <c r="AQ414" s="102" t="n"/>
      <c r="AR414" s="102" t="n"/>
    </row>
    <row r="415">
      <c r="D415" s="103" t="n"/>
      <c r="E415" s="103" t="n"/>
      <c r="F415" s="103" t="n"/>
      <c r="G415" s="103" t="n"/>
      <c r="H415" s="103" t="n"/>
      <c r="I415" s="103" t="n"/>
      <c r="J415" s="103" t="n"/>
      <c r="K415" s="103" t="n"/>
      <c r="L415" s="103" t="n"/>
      <c r="M415" s="103" t="n"/>
      <c r="N415" s="103" t="n"/>
      <c r="O415" s="103" t="n"/>
      <c r="P415" s="103" t="n"/>
      <c r="Q415" s="103" t="n"/>
      <c r="R415" s="103" t="n"/>
      <c r="S415" s="103" t="n"/>
      <c r="T415" s="103" t="n"/>
      <c r="U415" s="103" t="n"/>
      <c r="V415" s="103" t="n"/>
      <c r="W415" s="103" t="n"/>
      <c r="X415" s="103" t="n"/>
      <c r="Y415" s="103" t="n"/>
      <c r="Z415" s="103" t="n"/>
      <c r="AA415" s="103" t="n"/>
      <c r="AB415" s="103" t="n"/>
      <c r="AC415" s="103" t="n"/>
      <c r="AD415" s="103" t="n"/>
      <c r="AE415" s="103" t="n"/>
      <c r="AF415" s="103" t="n"/>
      <c r="AG415" s="103" t="n"/>
      <c r="AH415" s="103" t="n"/>
      <c r="AI415" s="103" t="n"/>
      <c r="AJ415" s="103" t="n"/>
      <c r="AK415" s="103" t="n"/>
      <c r="AL415" s="103" t="n"/>
      <c r="AM415" s="103" t="n"/>
      <c r="AN415" s="103" t="n"/>
      <c r="AO415" s="103" t="n"/>
      <c r="AP415" s="103" t="n"/>
      <c r="AQ415" s="103" t="n"/>
      <c r="AR415" s="103" t="n"/>
    </row>
    <row r="417">
      <c r="A417" s="8">
        <f>IF(HSI!$C$44="","",HSI!$C$44)</f>
        <v/>
      </c>
      <c r="B417" s="99">
        <f>IF($A417="",0,COUNT($E418:$AR418))</f>
        <v/>
      </c>
      <c r="C417" s="100">
        <f>IF($B417=0,0,MAX($E418:$AR418))</f>
        <v/>
      </c>
      <c r="D417" s="101">
        <f>BDS($A417,FLD_HIST,"headers=y","startcol=1","endcol=7","dir=h","DVD_START_DT",HIST_FROM,"DVD_END_DT",HIST_TO)</f>
        <v/>
      </c>
      <c r="E417" s="102" t="n"/>
      <c r="F417" s="102" t="n"/>
      <c r="G417" s="102" t="n"/>
      <c r="H417" s="102" t="n"/>
      <c r="I417" s="102" t="n"/>
      <c r="J417" s="102" t="n"/>
      <c r="K417" s="102" t="n"/>
      <c r="L417" s="102" t="n"/>
      <c r="M417" s="102" t="n"/>
      <c r="N417" s="102" t="n"/>
      <c r="O417" s="102" t="n"/>
      <c r="P417" s="102" t="n"/>
      <c r="Q417" s="102" t="n"/>
      <c r="R417" s="102" t="n"/>
      <c r="S417" s="102" t="n"/>
      <c r="T417" s="102" t="n"/>
      <c r="U417" s="102" t="n"/>
      <c r="V417" s="102" t="n"/>
      <c r="W417" s="102" t="n"/>
      <c r="X417" s="102" t="n"/>
      <c r="Y417" s="102" t="n"/>
      <c r="Z417" s="102" t="n"/>
      <c r="AA417" s="102" t="n"/>
      <c r="AB417" s="102" t="n"/>
      <c r="AC417" s="102" t="n"/>
      <c r="AD417" s="102" t="n"/>
      <c r="AE417" s="102" t="n"/>
      <c r="AF417" s="102" t="n"/>
      <c r="AG417" s="102" t="n"/>
      <c r="AH417" s="102" t="n"/>
      <c r="AI417" s="102" t="n"/>
      <c r="AJ417" s="102" t="n"/>
      <c r="AK417" s="102" t="n"/>
      <c r="AL417" s="102" t="n"/>
      <c r="AM417" s="102" t="n"/>
      <c r="AN417" s="102" t="n"/>
      <c r="AO417" s="102" t="n"/>
      <c r="AP417" s="102" t="n"/>
      <c r="AQ417" s="102" t="n"/>
      <c r="AR417" s="102" t="n"/>
    </row>
    <row r="418">
      <c r="D418" s="102" t="n"/>
      <c r="E418" s="102" t="n"/>
      <c r="F418" s="102" t="n"/>
      <c r="G418" s="102" t="n"/>
      <c r="H418" s="102" t="n"/>
      <c r="I418" s="102" t="n"/>
      <c r="J418" s="102" t="n"/>
      <c r="K418" s="102" t="n"/>
      <c r="L418" s="102" t="n"/>
      <c r="M418" s="102" t="n"/>
      <c r="N418" s="102" t="n"/>
      <c r="O418" s="102" t="n"/>
      <c r="P418" s="102" t="n"/>
      <c r="Q418" s="102" t="n"/>
      <c r="R418" s="102" t="n"/>
      <c r="S418" s="102" t="n"/>
      <c r="T418" s="102" t="n"/>
      <c r="U418" s="102" t="n"/>
      <c r="V418" s="102" t="n"/>
      <c r="W418" s="102" t="n"/>
      <c r="X418" s="102" t="n"/>
      <c r="Y418" s="102" t="n"/>
      <c r="Z418" s="102" t="n"/>
      <c r="AA418" s="102" t="n"/>
      <c r="AB418" s="102" t="n"/>
      <c r="AC418" s="102" t="n"/>
      <c r="AD418" s="102" t="n"/>
      <c r="AE418" s="102" t="n"/>
      <c r="AF418" s="102" t="n"/>
      <c r="AG418" s="102" t="n"/>
      <c r="AH418" s="102" t="n"/>
      <c r="AI418" s="102" t="n"/>
      <c r="AJ418" s="102" t="n"/>
      <c r="AK418" s="102" t="n"/>
      <c r="AL418" s="102" t="n"/>
      <c r="AM418" s="102" t="n"/>
      <c r="AN418" s="102" t="n"/>
      <c r="AO418" s="102" t="n"/>
      <c r="AP418" s="102" t="n"/>
      <c r="AQ418" s="102" t="n"/>
      <c r="AR418" s="102" t="n"/>
    </row>
    <row r="419">
      <c r="D419" s="102" t="n"/>
      <c r="E419" s="102" t="n"/>
      <c r="F419" s="102" t="n"/>
      <c r="G419" s="102" t="n"/>
      <c r="H419" s="102" t="n"/>
      <c r="I419" s="102" t="n"/>
      <c r="J419" s="102" t="n"/>
      <c r="K419" s="102" t="n"/>
      <c r="L419" s="102" t="n"/>
      <c r="M419" s="102" t="n"/>
      <c r="N419" s="102" t="n"/>
      <c r="O419" s="102" t="n"/>
      <c r="P419" s="102" t="n"/>
      <c r="Q419" s="102" t="n"/>
      <c r="R419" s="102" t="n"/>
      <c r="S419" s="102" t="n"/>
      <c r="T419" s="102" t="n"/>
      <c r="U419" s="102" t="n"/>
      <c r="V419" s="102" t="n"/>
      <c r="W419" s="102" t="n"/>
      <c r="X419" s="102" t="n"/>
      <c r="Y419" s="102" t="n"/>
      <c r="Z419" s="102" t="n"/>
      <c r="AA419" s="102" t="n"/>
      <c r="AB419" s="102" t="n"/>
      <c r="AC419" s="102" t="n"/>
      <c r="AD419" s="102" t="n"/>
      <c r="AE419" s="102" t="n"/>
      <c r="AF419" s="102" t="n"/>
      <c r="AG419" s="102" t="n"/>
      <c r="AH419" s="102" t="n"/>
      <c r="AI419" s="102" t="n"/>
      <c r="AJ419" s="102" t="n"/>
      <c r="AK419" s="102" t="n"/>
      <c r="AL419" s="102" t="n"/>
      <c r="AM419" s="102" t="n"/>
      <c r="AN419" s="102" t="n"/>
      <c r="AO419" s="102" t="n"/>
      <c r="AP419" s="102" t="n"/>
      <c r="AQ419" s="102" t="n"/>
      <c r="AR419" s="102" t="n"/>
    </row>
    <row r="420">
      <c r="D420" s="102" t="n"/>
      <c r="E420" s="102" t="n"/>
      <c r="F420" s="102" t="n"/>
      <c r="G420" s="102" t="n"/>
      <c r="H420" s="102" t="n"/>
      <c r="I420" s="102" t="n"/>
      <c r="J420" s="102" t="n"/>
      <c r="K420" s="102" t="n"/>
      <c r="L420" s="102" t="n"/>
      <c r="M420" s="102" t="n"/>
      <c r="N420" s="102" t="n"/>
      <c r="O420" s="102" t="n"/>
      <c r="P420" s="102" t="n"/>
      <c r="Q420" s="102" t="n"/>
      <c r="R420" s="102" t="n"/>
      <c r="S420" s="102" t="n"/>
      <c r="T420" s="102" t="n"/>
      <c r="U420" s="102" t="n"/>
      <c r="V420" s="102" t="n"/>
      <c r="W420" s="102" t="n"/>
      <c r="X420" s="102" t="n"/>
      <c r="Y420" s="102" t="n"/>
      <c r="Z420" s="102" t="n"/>
      <c r="AA420" s="102" t="n"/>
      <c r="AB420" s="102" t="n"/>
      <c r="AC420" s="102" t="n"/>
      <c r="AD420" s="102" t="n"/>
      <c r="AE420" s="102" t="n"/>
      <c r="AF420" s="102" t="n"/>
      <c r="AG420" s="102" t="n"/>
      <c r="AH420" s="102" t="n"/>
      <c r="AI420" s="102" t="n"/>
      <c r="AJ420" s="102" t="n"/>
      <c r="AK420" s="102" t="n"/>
      <c r="AL420" s="102" t="n"/>
      <c r="AM420" s="102" t="n"/>
      <c r="AN420" s="102" t="n"/>
      <c r="AO420" s="102" t="n"/>
      <c r="AP420" s="102" t="n"/>
      <c r="AQ420" s="102" t="n"/>
      <c r="AR420" s="102" t="n"/>
    </row>
    <row r="421">
      <c r="D421" s="103" t="n"/>
      <c r="E421" s="103" t="n"/>
      <c r="F421" s="103" t="n"/>
      <c r="G421" s="103" t="n"/>
      <c r="H421" s="103" t="n"/>
      <c r="I421" s="103" t="n"/>
      <c r="J421" s="103" t="n"/>
      <c r="K421" s="103" t="n"/>
      <c r="L421" s="103" t="n"/>
      <c r="M421" s="103" t="n"/>
      <c r="N421" s="103" t="n"/>
      <c r="O421" s="103" t="n"/>
      <c r="P421" s="103" t="n"/>
      <c r="Q421" s="103" t="n"/>
      <c r="R421" s="103" t="n"/>
      <c r="S421" s="103" t="n"/>
      <c r="T421" s="103" t="n"/>
      <c r="U421" s="103" t="n"/>
      <c r="V421" s="103" t="n"/>
      <c r="W421" s="103" t="n"/>
      <c r="X421" s="103" t="n"/>
      <c r="Y421" s="103" t="n"/>
      <c r="Z421" s="103" t="n"/>
      <c r="AA421" s="103" t="n"/>
      <c r="AB421" s="103" t="n"/>
      <c r="AC421" s="103" t="n"/>
      <c r="AD421" s="103" t="n"/>
      <c r="AE421" s="103" t="n"/>
      <c r="AF421" s="103" t="n"/>
      <c r="AG421" s="103" t="n"/>
      <c r="AH421" s="103" t="n"/>
      <c r="AI421" s="103" t="n"/>
      <c r="AJ421" s="103" t="n"/>
      <c r="AK421" s="103" t="n"/>
      <c r="AL421" s="103" t="n"/>
      <c r="AM421" s="103" t="n"/>
      <c r="AN421" s="103" t="n"/>
      <c r="AO421" s="103" t="n"/>
      <c r="AP421" s="103" t="n"/>
      <c r="AQ421" s="103" t="n"/>
      <c r="AR421" s="103" t="n"/>
    </row>
    <row r="424">
      <c r="A424" s="2">
        <f>IF($A417="","","   projections")</f>
        <v/>
      </c>
      <c r="B424" s="99">
        <f>IF($A417="",0,COUNT($E425:$AR425))</f>
        <v/>
      </c>
      <c r="C424" s="100">
        <f>IF($B424=0,0,MAX($E425:$AR425))</f>
        <v/>
      </c>
      <c r="D424" s="101">
        <f>BDS($A417,FLD_PROJ,"headers=y","startcol=1","endcol=3","dir=h")</f>
        <v/>
      </c>
      <c r="E424" s="102" t="n"/>
      <c r="F424" s="102" t="n"/>
      <c r="G424" s="102" t="n"/>
      <c r="H424" s="102" t="n"/>
      <c r="I424" s="102" t="n"/>
      <c r="J424" s="102" t="n"/>
      <c r="K424" s="102" t="n"/>
      <c r="L424" s="102" t="n"/>
      <c r="M424" s="102" t="n"/>
      <c r="N424" s="102" t="n"/>
      <c r="O424" s="102" t="n"/>
      <c r="P424" s="102" t="n"/>
      <c r="Q424" s="102" t="n"/>
      <c r="R424" s="102" t="n"/>
      <c r="S424" s="102" t="n"/>
      <c r="T424" s="102" t="n"/>
      <c r="U424" s="102" t="n"/>
      <c r="V424" s="102" t="n"/>
      <c r="W424" s="102" t="n"/>
      <c r="X424" s="102" t="n"/>
      <c r="Y424" s="102" t="n"/>
      <c r="Z424" s="102" t="n"/>
      <c r="AA424" s="102" t="n"/>
      <c r="AB424" s="102" t="n"/>
      <c r="AC424" s="102" t="n"/>
      <c r="AD424" s="102" t="n"/>
      <c r="AE424" s="102" t="n"/>
      <c r="AF424" s="102" t="n"/>
      <c r="AG424" s="102" t="n"/>
      <c r="AH424" s="102" t="n"/>
      <c r="AI424" s="102" t="n"/>
      <c r="AJ424" s="102" t="n"/>
      <c r="AK424" s="102" t="n"/>
      <c r="AL424" s="102" t="n"/>
      <c r="AM424" s="102" t="n"/>
      <c r="AN424" s="102" t="n"/>
      <c r="AO424" s="102" t="n"/>
      <c r="AP424" s="102" t="n"/>
      <c r="AQ424" s="102" t="n"/>
      <c r="AR424" s="102" t="n"/>
    </row>
    <row r="425">
      <c r="D425" s="102" t="n"/>
      <c r="E425" s="102" t="n"/>
      <c r="F425" s="102" t="n"/>
      <c r="G425" s="102" t="n"/>
      <c r="H425" s="102" t="n"/>
      <c r="I425" s="102" t="n"/>
      <c r="J425" s="102" t="n"/>
      <c r="K425" s="102" t="n"/>
      <c r="L425" s="102" t="n"/>
      <c r="M425" s="102" t="n"/>
      <c r="N425" s="102" t="n"/>
      <c r="O425" s="102" t="n"/>
      <c r="P425" s="102" t="n"/>
      <c r="Q425" s="102" t="n"/>
      <c r="R425" s="102" t="n"/>
      <c r="S425" s="102" t="n"/>
      <c r="T425" s="102" t="n"/>
      <c r="U425" s="102" t="n"/>
      <c r="V425" s="102" t="n"/>
      <c r="W425" s="102" t="n"/>
      <c r="X425" s="102" t="n"/>
      <c r="Y425" s="102" t="n"/>
      <c r="Z425" s="102" t="n"/>
      <c r="AA425" s="102" t="n"/>
      <c r="AB425" s="102" t="n"/>
      <c r="AC425" s="102" t="n"/>
      <c r="AD425" s="102" t="n"/>
      <c r="AE425" s="102" t="n"/>
      <c r="AF425" s="102" t="n"/>
      <c r="AG425" s="102" t="n"/>
      <c r="AH425" s="102" t="n"/>
      <c r="AI425" s="102" t="n"/>
      <c r="AJ425" s="102" t="n"/>
      <c r="AK425" s="102" t="n"/>
      <c r="AL425" s="102" t="n"/>
      <c r="AM425" s="102" t="n"/>
      <c r="AN425" s="102" t="n"/>
      <c r="AO425" s="102" t="n"/>
      <c r="AP425" s="102" t="n"/>
      <c r="AQ425" s="102" t="n"/>
      <c r="AR425" s="102" t="n"/>
    </row>
    <row r="426">
      <c r="D426" s="103" t="n"/>
      <c r="E426" s="103" t="n"/>
      <c r="F426" s="103" t="n"/>
      <c r="G426" s="103" t="n"/>
      <c r="H426" s="103" t="n"/>
      <c r="I426" s="103" t="n"/>
      <c r="J426" s="103" t="n"/>
      <c r="K426" s="103" t="n"/>
      <c r="L426" s="103" t="n"/>
      <c r="M426" s="103" t="n"/>
      <c r="N426" s="103" t="n"/>
      <c r="O426" s="103" t="n"/>
      <c r="P426" s="103" t="n"/>
      <c r="Q426" s="103" t="n"/>
      <c r="R426" s="103" t="n"/>
      <c r="S426" s="103" t="n"/>
      <c r="T426" s="103" t="n"/>
      <c r="U426" s="103" t="n"/>
      <c r="V426" s="103" t="n"/>
      <c r="W426" s="103" t="n"/>
      <c r="X426" s="103" t="n"/>
      <c r="Y426" s="103" t="n"/>
      <c r="Z426" s="103" t="n"/>
      <c r="AA426" s="103" t="n"/>
      <c r="AB426" s="103" t="n"/>
      <c r="AC426" s="103" t="n"/>
      <c r="AD426" s="103" t="n"/>
      <c r="AE426" s="103" t="n"/>
      <c r="AF426" s="103" t="n"/>
      <c r="AG426" s="103" t="n"/>
      <c r="AH426" s="103" t="n"/>
      <c r="AI426" s="103" t="n"/>
      <c r="AJ426" s="103" t="n"/>
      <c r="AK426" s="103" t="n"/>
      <c r="AL426" s="103" t="n"/>
      <c r="AM426" s="103" t="n"/>
      <c r="AN426" s="103" t="n"/>
      <c r="AO426" s="103" t="n"/>
      <c r="AP426" s="103" t="n"/>
      <c r="AQ426" s="103" t="n"/>
      <c r="AR426" s="103" t="n"/>
    </row>
    <row r="428">
      <c r="A428" s="8">
        <f>IF(HSI!$C$45="","",HSI!$C$45)</f>
        <v/>
      </c>
      <c r="B428" s="99">
        <f>IF($A428="",0,COUNT($E429:$AR429))</f>
        <v/>
      </c>
      <c r="C428" s="100">
        <f>IF($B428=0,0,MAX($E429:$AR429))</f>
        <v/>
      </c>
      <c r="D428" s="101">
        <f>BDS($A428,FLD_HIST,"headers=y","startcol=1","endcol=7","dir=h","DVD_START_DT",HIST_FROM,"DVD_END_DT",HIST_TO)</f>
        <v/>
      </c>
      <c r="E428" s="102" t="n"/>
      <c r="F428" s="102" t="n"/>
      <c r="G428" s="102" t="n"/>
      <c r="H428" s="102" t="n"/>
      <c r="I428" s="102" t="n"/>
      <c r="J428" s="102" t="n"/>
      <c r="K428" s="102" t="n"/>
      <c r="L428" s="102" t="n"/>
      <c r="M428" s="102" t="n"/>
      <c r="N428" s="102" t="n"/>
      <c r="O428" s="102" t="n"/>
      <c r="P428" s="102" t="n"/>
      <c r="Q428" s="102" t="n"/>
      <c r="R428" s="102" t="n"/>
      <c r="S428" s="102" t="n"/>
      <c r="T428" s="102" t="n"/>
      <c r="U428" s="102" t="n"/>
      <c r="V428" s="102" t="n"/>
      <c r="W428" s="102" t="n"/>
      <c r="X428" s="102" t="n"/>
      <c r="Y428" s="102" t="n"/>
      <c r="Z428" s="102" t="n"/>
      <c r="AA428" s="102" t="n"/>
      <c r="AB428" s="102" t="n"/>
      <c r="AC428" s="102" t="n"/>
      <c r="AD428" s="102" t="n"/>
      <c r="AE428" s="102" t="n"/>
      <c r="AF428" s="102" t="n"/>
      <c r="AG428" s="102" t="n"/>
      <c r="AH428" s="102" t="n"/>
      <c r="AI428" s="102" t="n"/>
      <c r="AJ428" s="102" t="n"/>
      <c r="AK428" s="102" t="n"/>
      <c r="AL428" s="102" t="n"/>
      <c r="AM428" s="102" t="n"/>
      <c r="AN428" s="102" t="n"/>
      <c r="AO428" s="102" t="n"/>
      <c r="AP428" s="102" t="n"/>
      <c r="AQ428" s="102" t="n"/>
      <c r="AR428" s="102" t="n"/>
    </row>
    <row r="429">
      <c r="D429" s="102" t="n"/>
      <c r="E429" s="102" t="n"/>
      <c r="F429" s="102" t="n"/>
      <c r="G429" s="102" t="n"/>
      <c r="H429" s="102" t="n"/>
      <c r="I429" s="102" t="n"/>
      <c r="J429" s="102" t="n"/>
      <c r="K429" s="102" t="n"/>
      <c r="L429" s="102" t="n"/>
      <c r="M429" s="102" t="n"/>
      <c r="N429" s="102" t="n"/>
      <c r="O429" s="102" t="n"/>
      <c r="P429" s="102" t="n"/>
      <c r="Q429" s="102" t="n"/>
      <c r="R429" s="102" t="n"/>
      <c r="S429" s="102" t="n"/>
      <c r="T429" s="102" t="n"/>
      <c r="U429" s="102" t="n"/>
      <c r="V429" s="102" t="n"/>
      <c r="W429" s="102" t="n"/>
      <c r="X429" s="102" t="n"/>
      <c r="Y429" s="102" t="n"/>
      <c r="Z429" s="102" t="n"/>
      <c r="AA429" s="102" t="n"/>
      <c r="AB429" s="102" t="n"/>
      <c r="AC429" s="102" t="n"/>
      <c r="AD429" s="102" t="n"/>
      <c r="AE429" s="102" t="n"/>
      <c r="AF429" s="102" t="n"/>
      <c r="AG429" s="102" t="n"/>
      <c r="AH429" s="102" t="n"/>
      <c r="AI429" s="102" t="n"/>
      <c r="AJ429" s="102" t="n"/>
      <c r="AK429" s="102" t="n"/>
      <c r="AL429" s="102" t="n"/>
      <c r="AM429" s="102" t="n"/>
      <c r="AN429" s="102" t="n"/>
      <c r="AO429" s="102" t="n"/>
      <c r="AP429" s="102" t="n"/>
      <c r="AQ429" s="102" t="n"/>
      <c r="AR429" s="102" t="n"/>
    </row>
    <row r="430">
      <c r="D430" s="102" t="n"/>
      <c r="E430" s="102" t="n"/>
      <c r="F430" s="102" t="n"/>
      <c r="G430" s="102" t="n"/>
      <c r="H430" s="102" t="n"/>
      <c r="I430" s="102" t="n"/>
      <c r="J430" s="102" t="n"/>
      <c r="K430" s="102" t="n"/>
      <c r="L430" s="102" t="n"/>
      <c r="M430" s="102" t="n"/>
      <c r="N430" s="102" t="n"/>
      <c r="O430" s="102" t="n"/>
      <c r="P430" s="102" t="n"/>
      <c r="Q430" s="102" t="n"/>
      <c r="R430" s="102" t="n"/>
      <c r="S430" s="102" t="n"/>
      <c r="T430" s="102" t="n"/>
      <c r="U430" s="102" t="n"/>
      <c r="V430" s="102" t="n"/>
      <c r="W430" s="102" t="n"/>
      <c r="X430" s="102" t="n"/>
      <c r="Y430" s="102" t="n"/>
      <c r="Z430" s="102" t="n"/>
      <c r="AA430" s="102" t="n"/>
      <c r="AB430" s="102" t="n"/>
      <c r="AC430" s="102" t="n"/>
      <c r="AD430" s="102" t="n"/>
      <c r="AE430" s="102" t="n"/>
      <c r="AF430" s="102" t="n"/>
      <c r="AG430" s="102" t="n"/>
      <c r="AH430" s="102" t="n"/>
      <c r="AI430" s="102" t="n"/>
      <c r="AJ430" s="102" t="n"/>
      <c r="AK430" s="102" t="n"/>
      <c r="AL430" s="102" t="n"/>
      <c r="AM430" s="102" t="n"/>
      <c r="AN430" s="102" t="n"/>
      <c r="AO430" s="102" t="n"/>
      <c r="AP430" s="102" t="n"/>
      <c r="AQ430" s="102" t="n"/>
      <c r="AR430" s="102" t="n"/>
    </row>
    <row r="431">
      <c r="D431" s="102" t="n"/>
      <c r="E431" s="102" t="n"/>
      <c r="F431" s="102" t="n"/>
      <c r="G431" s="102" t="n"/>
      <c r="H431" s="102" t="n"/>
      <c r="I431" s="102" t="n"/>
      <c r="J431" s="102" t="n"/>
      <c r="K431" s="102" t="n"/>
      <c r="L431" s="102" t="n"/>
      <c r="M431" s="102" t="n"/>
      <c r="N431" s="102" t="n"/>
      <c r="O431" s="102" t="n"/>
      <c r="P431" s="102" t="n"/>
      <c r="Q431" s="102" t="n"/>
      <c r="R431" s="102" t="n"/>
      <c r="S431" s="102" t="n"/>
      <c r="T431" s="102" t="n"/>
      <c r="U431" s="102" t="n"/>
      <c r="V431" s="102" t="n"/>
      <c r="W431" s="102" t="n"/>
      <c r="X431" s="102" t="n"/>
      <c r="Y431" s="102" t="n"/>
      <c r="Z431" s="102" t="n"/>
      <c r="AA431" s="102" t="n"/>
      <c r="AB431" s="102" t="n"/>
      <c r="AC431" s="102" t="n"/>
      <c r="AD431" s="102" t="n"/>
      <c r="AE431" s="102" t="n"/>
      <c r="AF431" s="102" t="n"/>
      <c r="AG431" s="102" t="n"/>
      <c r="AH431" s="102" t="n"/>
      <c r="AI431" s="102" t="n"/>
      <c r="AJ431" s="102" t="n"/>
      <c r="AK431" s="102" t="n"/>
      <c r="AL431" s="102" t="n"/>
      <c r="AM431" s="102" t="n"/>
      <c r="AN431" s="102" t="n"/>
      <c r="AO431" s="102" t="n"/>
      <c r="AP431" s="102" t="n"/>
      <c r="AQ431" s="102" t="n"/>
      <c r="AR431" s="102" t="n"/>
    </row>
    <row r="432">
      <c r="D432" s="103" t="n"/>
      <c r="E432" s="103" t="n"/>
      <c r="F432" s="103" t="n"/>
      <c r="G432" s="103" t="n"/>
      <c r="H432" s="103" t="n"/>
      <c r="I432" s="103" t="n"/>
      <c r="J432" s="103" t="n"/>
      <c r="K432" s="103" t="n"/>
      <c r="L432" s="103" t="n"/>
      <c r="M432" s="103" t="n"/>
      <c r="N432" s="103" t="n"/>
      <c r="O432" s="103" t="n"/>
      <c r="P432" s="103" t="n"/>
      <c r="Q432" s="103" t="n"/>
      <c r="R432" s="103" t="n"/>
      <c r="S432" s="103" t="n"/>
      <c r="T432" s="103" t="n"/>
      <c r="U432" s="103" t="n"/>
      <c r="V432" s="103" t="n"/>
      <c r="W432" s="103" t="n"/>
      <c r="X432" s="103" t="n"/>
      <c r="Y432" s="103" t="n"/>
      <c r="Z432" s="103" t="n"/>
      <c r="AA432" s="103" t="n"/>
      <c r="AB432" s="103" t="n"/>
      <c r="AC432" s="103" t="n"/>
      <c r="AD432" s="103" t="n"/>
      <c r="AE432" s="103" t="n"/>
      <c r="AF432" s="103" t="n"/>
      <c r="AG432" s="103" t="n"/>
      <c r="AH432" s="103" t="n"/>
      <c r="AI432" s="103" t="n"/>
      <c r="AJ432" s="103" t="n"/>
      <c r="AK432" s="103" t="n"/>
      <c r="AL432" s="103" t="n"/>
      <c r="AM432" s="103" t="n"/>
      <c r="AN432" s="103" t="n"/>
      <c r="AO432" s="103" t="n"/>
      <c r="AP432" s="103" t="n"/>
      <c r="AQ432" s="103" t="n"/>
      <c r="AR432" s="103" t="n"/>
    </row>
    <row r="435">
      <c r="A435" s="2">
        <f>IF($A428="","","   projections")</f>
        <v/>
      </c>
      <c r="B435" s="99">
        <f>IF($A428="",0,COUNT($E436:$AR436))</f>
        <v/>
      </c>
      <c r="C435" s="100">
        <f>IF($B435=0,0,MAX($E436:$AR436))</f>
        <v/>
      </c>
      <c r="D435" s="101">
        <f>BDS($A428,FLD_PROJ,"headers=y","startcol=1","endcol=3","dir=h")</f>
        <v/>
      </c>
      <c r="E435" s="102" t="n"/>
      <c r="F435" s="102" t="n"/>
      <c r="G435" s="102" t="n"/>
      <c r="H435" s="102" t="n"/>
      <c r="I435" s="102" t="n"/>
      <c r="J435" s="102" t="n"/>
      <c r="K435" s="102" t="n"/>
      <c r="L435" s="102" t="n"/>
      <c r="M435" s="102" t="n"/>
      <c r="N435" s="102" t="n"/>
      <c r="O435" s="102" t="n"/>
      <c r="P435" s="102" t="n"/>
      <c r="Q435" s="102" t="n"/>
      <c r="R435" s="102" t="n"/>
      <c r="S435" s="102" t="n"/>
      <c r="T435" s="102" t="n"/>
      <c r="U435" s="102" t="n"/>
      <c r="V435" s="102" t="n"/>
      <c r="W435" s="102" t="n"/>
      <c r="X435" s="102" t="n"/>
      <c r="Y435" s="102" t="n"/>
      <c r="Z435" s="102" t="n"/>
      <c r="AA435" s="102" t="n"/>
      <c r="AB435" s="102" t="n"/>
      <c r="AC435" s="102" t="n"/>
      <c r="AD435" s="102" t="n"/>
      <c r="AE435" s="102" t="n"/>
      <c r="AF435" s="102" t="n"/>
      <c r="AG435" s="102" t="n"/>
      <c r="AH435" s="102" t="n"/>
      <c r="AI435" s="102" t="n"/>
      <c r="AJ435" s="102" t="n"/>
      <c r="AK435" s="102" t="n"/>
      <c r="AL435" s="102" t="n"/>
      <c r="AM435" s="102" t="n"/>
      <c r="AN435" s="102" t="n"/>
      <c r="AO435" s="102" t="n"/>
      <c r="AP435" s="102" t="n"/>
      <c r="AQ435" s="102" t="n"/>
      <c r="AR435" s="102" t="n"/>
    </row>
    <row r="436">
      <c r="D436" s="102" t="n"/>
      <c r="E436" s="102" t="n"/>
      <c r="F436" s="102" t="n"/>
      <c r="G436" s="102" t="n"/>
      <c r="H436" s="102" t="n"/>
      <c r="I436" s="102" t="n"/>
      <c r="J436" s="102" t="n"/>
      <c r="K436" s="102" t="n"/>
      <c r="L436" s="102" t="n"/>
      <c r="M436" s="102" t="n"/>
      <c r="N436" s="102" t="n"/>
      <c r="O436" s="102" t="n"/>
      <c r="P436" s="102" t="n"/>
      <c r="Q436" s="102" t="n"/>
      <c r="R436" s="102" t="n"/>
      <c r="S436" s="102" t="n"/>
      <c r="T436" s="102" t="n"/>
      <c r="U436" s="102" t="n"/>
      <c r="V436" s="102" t="n"/>
      <c r="W436" s="102" t="n"/>
      <c r="X436" s="102" t="n"/>
      <c r="Y436" s="102" t="n"/>
      <c r="Z436" s="102" t="n"/>
      <c r="AA436" s="102" t="n"/>
      <c r="AB436" s="102" t="n"/>
      <c r="AC436" s="102" t="n"/>
      <c r="AD436" s="102" t="n"/>
      <c r="AE436" s="102" t="n"/>
      <c r="AF436" s="102" t="n"/>
      <c r="AG436" s="102" t="n"/>
      <c r="AH436" s="102" t="n"/>
      <c r="AI436" s="102" t="n"/>
      <c r="AJ436" s="102" t="n"/>
      <c r="AK436" s="102" t="n"/>
      <c r="AL436" s="102" t="n"/>
      <c r="AM436" s="102" t="n"/>
      <c r="AN436" s="102" t="n"/>
      <c r="AO436" s="102" t="n"/>
      <c r="AP436" s="102" t="n"/>
      <c r="AQ436" s="102" t="n"/>
      <c r="AR436" s="102" t="n"/>
    </row>
    <row r="437">
      <c r="D437" s="103" t="n"/>
      <c r="E437" s="103" t="n"/>
      <c r="F437" s="103" t="n"/>
      <c r="G437" s="103" t="n"/>
      <c r="H437" s="103" t="n"/>
      <c r="I437" s="103" t="n"/>
      <c r="J437" s="103" t="n"/>
      <c r="K437" s="103" t="n"/>
      <c r="L437" s="103" t="n"/>
      <c r="M437" s="103" t="n"/>
      <c r="N437" s="103" t="n"/>
      <c r="O437" s="103" t="n"/>
      <c r="P437" s="103" t="n"/>
      <c r="Q437" s="103" t="n"/>
      <c r="R437" s="103" t="n"/>
      <c r="S437" s="103" t="n"/>
      <c r="T437" s="103" t="n"/>
      <c r="U437" s="103" t="n"/>
      <c r="V437" s="103" t="n"/>
      <c r="W437" s="103" t="n"/>
      <c r="X437" s="103" t="n"/>
      <c r="Y437" s="103" t="n"/>
      <c r="Z437" s="103" t="n"/>
      <c r="AA437" s="103" t="n"/>
      <c r="AB437" s="103" t="n"/>
      <c r="AC437" s="103" t="n"/>
      <c r="AD437" s="103" t="n"/>
      <c r="AE437" s="103" t="n"/>
      <c r="AF437" s="103" t="n"/>
      <c r="AG437" s="103" t="n"/>
      <c r="AH437" s="103" t="n"/>
      <c r="AI437" s="103" t="n"/>
      <c r="AJ437" s="103" t="n"/>
      <c r="AK437" s="103" t="n"/>
      <c r="AL437" s="103" t="n"/>
      <c r="AM437" s="103" t="n"/>
      <c r="AN437" s="103" t="n"/>
      <c r="AO437" s="103" t="n"/>
      <c r="AP437" s="103" t="n"/>
      <c r="AQ437" s="103" t="n"/>
      <c r="AR437" s="103" t="n"/>
    </row>
    <row r="439">
      <c r="A439" s="8">
        <f>IF(HSI!$C$46="","",HSI!$C$46)</f>
        <v/>
      </c>
      <c r="B439" s="99">
        <f>IF($A439="",0,COUNT($E440:$AR440))</f>
        <v/>
      </c>
      <c r="C439" s="100">
        <f>IF($B439=0,0,MAX($E440:$AR440))</f>
        <v/>
      </c>
      <c r="D439" s="101">
        <f>BDS($A439,FLD_HIST,"headers=y","startcol=1","endcol=7","dir=h","DVD_START_DT",HIST_FROM,"DVD_END_DT",HIST_TO)</f>
        <v/>
      </c>
      <c r="E439" s="102" t="n"/>
      <c r="F439" s="102" t="n"/>
      <c r="G439" s="102" t="n"/>
      <c r="H439" s="102" t="n"/>
      <c r="I439" s="102" t="n"/>
      <c r="J439" s="102" t="n"/>
      <c r="K439" s="102" t="n"/>
      <c r="L439" s="102" t="n"/>
      <c r="M439" s="102" t="n"/>
      <c r="N439" s="102" t="n"/>
      <c r="O439" s="102" t="n"/>
      <c r="P439" s="102" t="n"/>
      <c r="Q439" s="102" t="n"/>
      <c r="R439" s="102" t="n"/>
      <c r="S439" s="102" t="n"/>
      <c r="T439" s="102" t="n"/>
      <c r="U439" s="102" t="n"/>
      <c r="V439" s="102" t="n"/>
      <c r="W439" s="102" t="n"/>
      <c r="X439" s="102" t="n"/>
      <c r="Y439" s="102" t="n"/>
      <c r="Z439" s="102" t="n"/>
      <c r="AA439" s="102" t="n"/>
      <c r="AB439" s="102" t="n"/>
      <c r="AC439" s="102" t="n"/>
      <c r="AD439" s="102" t="n"/>
      <c r="AE439" s="102" t="n"/>
      <c r="AF439" s="102" t="n"/>
      <c r="AG439" s="102" t="n"/>
      <c r="AH439" s="102" t="n"/>
      <c r="AI439" s="102" t="n"/>
      <c r="AJ439" s="102" t="n"/>
      <c r="AK439" s="102" t="n"/>
      <c r="AL439" s="102" t="n"/>
      <c r="AM439" s="102" t="n"/>
      <c r="AN439" s="102" t="n"/>
      <c r="AO439" s="102" t="n"/>
      <c r="AP439" s="102" t="n"/>
      <c r="AQ439" s="102" t="n"/>
      <c r="AR439" s="102" t="n"/>
    </row>
    <row r="440">
      <c r="D440" s="102" t="n"/>
      <c r="E440" s="102" t="n"/>
      <c r="F440" s="102" t="n"/>
      <c r="G440" s="102" t="n"/>
      <c r="H440" s="102" t="n"/>
      <c r="I440" s="102" t="n"/>
      <c r="J440" s="102" t="n"/>
      <c r="K440" s="102" t="n"/>
      <c r="L440" s="102" t="n"/>
      <c r="M440" s="102" t="n"/>
      <c r="N440" s="102" t="n"/>
      <c r="O440" s="102" t="n"/>
      <c r="P440" s="102" t="n"/>
      <c r="Q440" s="102" t="n"/>
      <c r="R440" s="102" t="n"/>
      <c r="S440" s="102" t="n"/>
      <c r="T440" s="102" t="n"/>
      <c r="U440" s="102" t="n"/>
      <c r="V440" s="102" t="n"/>
      <c r="W440" s="102" t="n"/>
      <c r="X440" s="102" t="n"/>
      <c r="Y440" s="102" t="n"/>
      <c r="Z440" s="102" t="n"/>
      <c r="AA440" s="102" t="n"/>
      <c r="AB440" s="102" t="n"/>
      <c r="AC440" s="102" t="n"/>
      <c r="AD440" s="102" t="n"/>
      <c r="AE440" s="102" t="n"/>
      <c r="AF440" s="102" t="n"/>
      <c r="AG440" s="102" t="n"/>
      <c r="AH440" s="102" t="n"/>
      <c r="AI440" s="102" t="n"/>
      <c r="AJ440" s="102" t="n"/>
      <c r="AK440" s="102" t="n"/>
      <c r="AL440" s="102" t="n"/>
      <c r="AM440" s="102" t="n"/>
      <c r="AN440" s="102" t="n"/>
      <c r="AO440" s="102" t="n"/>
      <c r="AP440" s="102" t="n"/>
      <c r="AQ440" s="102" t="n"/>
      <c r="AR440" s="102" t="n"/>
    </row>
    <row r="441">
      <c r="D441" s="102" t="n"/>
      <c r="E441" s="102" t="n"/>
      <c r="F441" s="102" t="n"/>
      <c r="G441" s="102" t="n"/>
      <c r="H441" s="102" t="n"/>
      <c r="I441" s="102" t="n"/>
      <c r="J441" s="102" t="n"/>
      <c r="K441" s="102" t="n"/>
      <c r="L441" s="102" t="n"/>
      <c r="M441" s="102" t="n"/>
      <c r="N441" s="102" t="n"/>
      <c r="O441" s="102" t="n"/>
      <c r="P441" s="102" t="n"/>
      <c r="Q441" s="102" t="n"/>
      <c r="R441" s="102" t="n"/>
      <c r="S441" s="102" t="n"/>
      <c r="T441" s="102" t="n"/>
      <c r="U441" s="102" t="n"/>
      <c r="V441" s="102" t="n"/>
      <c r="W441" s="102" t="n"/>
      <c r="X441" s="102" t="n"/>
      <c r="Y441" s="102" t="n"/>
      <c r="Z441" s="102" t="n"/>
      <c r="AA441" s="102" t="n"/>
      <c r="AB441" s="102" t="n"/>
      <c r="AC441" s="102" t="n"/>
      <c r="AD441" s="102" t="n"/>
      <c r="AE441" s="102" t="n"/>
      <c r="AF441" s="102" t="n"/>
      <c r="AG441" s="102" t="n"/>
      <c r="AH441" s="102" t="n"/>
      <c r="AI441" s="102" t="n"/>
      <c r="AJ441" s="102" t="n"/>
      <c r="AK441" s="102" t="n"/>
      <c r="AL441" s="102" t="n"/>
      <c r="AM441" s="102" t="n"/>
      <c r="AN441" s="102" t="n"/>
      <c r="AO441" s="102" t="n"/>
      <c r="AP441" s="102" t="n"/>
      <c r="AQ441" s="102" t="n"/>
      <c r="AR441" s="102" t="n"/>
    </row>
    <row r="442">
      <c r="D442" s="102" t="n"/>
      <c r="E442" s="102" t="n"/>
      <c r="F442" s="102" t="n"/>
      <c r="G442" s="102" t="n"/>
      <c r="H442" s="102" t="n"/>
      <c r="I442" s="102" t="n"/>
      <c r="J442" s="102" t="n"/>
      <c r="K442" s="102" t="n"/>
      <c r="L442" s="102" t="n"/>
      <c r="M442" s="102" t="n"/>
      <c r="N442" s="102" t="n"/>
      <c r="O442" s="102" t="n"/>
      <c r="P442" s="102" t="n"/>
      <c r="Q442" s="102" t="n"/>
      <c r="R442" s="102" t="n"/>
      <c r="S442" s="102" t="n"/>
      <c r="T442" s="102" t="n"/>
      <c r="U442" s="102" t="n"/>
      <c r="V442" s="102" t="n"/>
      <c r="W442" s="102" t="n"/>
      <c r="X442" s="102" t="n"/>
      <c r="Y442" s="102" t="n"/>
      <c r="Z442" s="102" t="n"/>
      <c r="AA442" s="102" t="n"/>
      <c r="AB442" s="102" t="n"/>
      <c r="AC442" s="102" t="n"/>
      <c r="AD442" s="102" t="n"/>
      <c r="AE442" s="102" t="n"/>
      <c r="AF442" s="102" t="n"/>
      <c r="AG442" s="102" t="n"/>
      <c r="AH442" s="102" t="n"/>
      <c r="AI442" s="102" t="n"/>
      <c r="AJ442" s="102" t="n"/>
      <c r="AK442" s="102" t="n"/>
      <c r="AL442" s="102" t="n"/>
      <c r="AM442" s="102" t="n"/>
      <c r="AN442" s="102" t="n"/>
      <c r="AO442" s="102" t="n"/>
      <c r="AP442" s="102" t="n"/>
      <c r="AQ442" s="102" t="n"/>
      <c r="AR442" s="102" t="n"/>
    </row>
    <row r="443">
      <c r="D443" s="103" t="n"/>
      <c r="E443" s="103" t="n"/>
      <c r="F443" s="103" t="n"/>
      <c r="G443" s="103" t="n"/>
      <c r="H443" s="103" t="n"/>
      <c r="I443" s="103" t="n"/>
      <c r="J443" s="103" t="n"/>
      <c r="K443" s="103" t="n"/>
      <c r="L443" s="103" t="n"/>
      <c r="M443" s="103" t="n"/>
      <c r="N443" s="103" t="n"/>
      <c r="O443" s="103" t="n"/>
      <c r="P443" s="103" t="n"/>
      <c r="Q443" s="103" t="n"/>
      <c r="R443" s="103" t="n"/>
      <c r="S443" s="103" t="n"/>
      <c r="T443" s="103" t="n"/>
      <c r="U443" s="103" t="n"/>
      <c r="V443" s="103" t="n"/>
      <c r="W443" s="103" t="n"/>
      <c r="X443" s="103" t="n"/>
      <c r="Y443" s="103" t="n"/>
      <c r="Z443" s="103" t="n"/>
      <c r="AA443" s="103" t="n"/>
      <c r="AB443" s="103" t="n"/>
      <c r="AC443" s="103" t="n"/>
      <c r="AD443" s="103" t="n"/>
      <c r="AE443" s="103" t="n"/>
      <c r="AF443" s="103" t="n"/>
      <c r="AG443" s="103" t="n"/>
      <c r="AH443" s="103" t="n"/>
      <c r="AI443" s="103" t="n"/>
      <c r="AJ443" s="103" t="n"/>
      <c r="AK443" s="103" t="n"/>
      <c r="AL443" s="103" t="n"/>
      <c r="AM443" s="103" t="n"/>
      <c r="AN443" s="103" t="n"/>
      <c r="AO443" s="103" t="n"/>
      <c r="AP443" s="103" t="n"/>
      <c r="AQ443" s="103" t="n"/>
      <c r="AR443" s="103" t="n"/>
    </row>
    <row r="446">
      <c r="A446" s="2">
        <f>IF($A439="","","   projections")</f>
        <v/>
      </c>
      <c r="B446" s="99">
        <f>IF($A439="",0,COUNT($E447:$AR447))</f>
        <v/>
      </c>
      <c r="C446" s="100">
        <f>IF($B446=0,0,MAX($E447:$AR447))</f>
        <v/>
      </c>
      <c r="D446" s="101">
        <f>BDS($A439,FLD_PROJ,"headers=y","startcol=1","endcol=3","dir=h")</f>
        <v/>
      </c>
      <c r="E446" s="102" t="n"/>
      <c r="F446" s="102" t="n"/>
      <c r="G446" s="102" t="n"/>
      <c r="H446" s="102" t="n"/>
      <c r="I446" s="102" t="n"/>
      <c r="J446" s="102" t="n"/>
      <c r="K446" s="102" t="n"/>
      <c r="L446" s="102" t="n"/>
      <c r="M446" s="102" t="n"/>
      <c r="N446" s="102" t="n"/>
      <c r="O446" s="102" t="n"/>
      <c r="P446" s="102" t="n"/>
      <c r="Q446" s="102" t="n"/>
      <c r="R446" s="102" t="n"/>
      <c r="S446" s="102" t="n"/>
      <c r="T446" s="102" t="n"/>
      <c r="U446" s="102" t="n"/>
      <c r="V446" s="102" t="n"/>
      <c r="W446" s="102" t="n"/>
      <c r="X446" s="102" t="n"/>
      <c r="Y446" s="102" t="n"/>
      <c r="Z446" s="102" t="n"/>
      <c r="AA446" s="102" t="n"/>
      <c r="AB446" s="102" t="n"/>
      <c r="AC446" s="102" t="n"/>
      <c r="AD446" s="102" t="n"/>
      <c r="AE446" s="102" t="n"/>
      <c r="AF446" s="102" t="n"/>
      <c r="AG446" s="102" t="n"/>
      <c r="AH446" s="102" t="n"/>
      <c r="AI446" s="102" t="n"/>
      <c r="AJ446" s="102" t="n"/>
      <c r="AK446" s="102" t="n"/>
      <c r="AL446" s="102" t="n"/>
      <c r="AM446" s="102" t="n"/>
      <c r="AN446" s="102" t="n"/>
      <c r="AO446" s="102" t="n"/>
      <c r="AP446" s="102" t="n"/>
      <c r="AQ446" s="102" t="n"/>
      <c r="AR446" s="102" t="n"/>
    </row>
    <row r="447">
      <c r="D447" s="102" t="n"/>
      <c r="E447" s="102" t="n"/>
      <c r="F447" s="102" t="n"/>
      <c r="G447" s="102" t="n"/>
      <c r="H447" s="102" t="n"/>
      <c r="I447" s="102" t="n"/>
      <c r="J447" s="102" t="n"/>
      <c r="K447" s="102" t="n"/>
      <c r="L447" s="102" t="n"/>
      <c r="M447" s="102" t="n"/>
      <c r="N447" s="102" t="n"/>
      <c r="O447" s="102" t="n"/>
      <c r="P447" s="102" t="n"/>
      <c r="Q447" s="102" t="n"/>
      <c r="R447" s="102" t="n"/>
      <c r="S447" s="102" t="n"/>
      <c r="T447" s="102" t="n"/>
      <c r="U447" s="102" t="n"/>
      <c r="V447" s="102" t="n"/>
      <c r="W447" s="102" t="n"/>
      <c r="X447" s="102" t="n"/>
      <c r="Y447" s="102" t="n"/>
      <c r="Z447" s="102" t="n"/>
      <c r="AA447" s="102" t="n"/>
      <c r="AB447" s="102" t="n"/>
      <c r="AC447" s="102" t="n"/>
      <c r="AD447" s="102" t="n"/>
      <c r="AE447" s="102" t="n"/>
      <c r="AF447" s="102" t="n"/>
      <c r="AG447" s="102" t="n"/>
      <c r="AH447" s="102" t="n"/>
      <c r="AI447" s="102" t="n"/>
      <c r="AJ447" s="102" t="n"/>
      <c r="AK447" s="102" t="n"/>
      <c r="AL447" s="102" t="n"/>
      <c r="AM447" s="102" t="n"/>
      <c r="AN447" s="102" t="n"/>
      <c r="AO447" s="102" t="n"/>
      <c r="AP447" s="102" t="n"/>
      <c r="AQ447" s="102" t="n"/>
      <c r="AR447" s="102" t="n"/>
    </row>
    <row r="448">
      <c r="D448" s="103" t="n"/>
      <c r="E448" s="103" t="n"/>
      <c r="F448" s="103" t="n"/>
      <c r="G448" s="103" t="n"/>
      <c r="H448" s="103" t="n"/>
      <c r="I448" s="103" t="n"/>
      <c r="J448" s="103" t="n"/>
      <c r="K448" s="103" t="n"/>
      <c r="L448" s="103" t="n"/>
      <c r="M448" s="103" t="n"/>
      <c r="N448" s="103" t="n"/>
      <c r="O448" s="103" t="n"/>
      <c r="P448" s="103" t="n"/>
      <c r="Q448" s="103" t="n"/>
      <c r="R448" s="103" t="n"/>
      <c r="S448" s="103" t="n"/>
      <c r="T448" s="103" t="n"/>
      <c r="U448" s="103" t="n"/>
      <c r="V448" s="103" t="n"/>
      <c r="W448" s="103" t="n"/>
      <c r="X448" s="103" t="n"/>
      <c r="Y448" s="103" t="n"/>
      <c r="Z448" s="103" t="n"/>
      <c r="AA448" s="103" t="n"/>
      <c r="AB448" s="103" t="n"/>
      <c r="AC448" s="103" t="n"/>
      <c r="AD448" s="103" t="n"/>
      <c r="AE448" s="103" t="n"/>
      <c r="AF448" s="103" t="n"/>
      <c r="AG448" s="103" t="n"/>
      <c r="AH448" s="103" t="n"/>
      <c r="AI448" s="103" t="n"/>
      <c r="AJ448" s="103" t="n"/>
      <c r="AK448" s="103" t="n"/>
      <c r="AL448" s="103" t="n"/>
      <c r="AM448" s="103" t="n"/>
      <c r="AN448" s="103" t="n"/>
      <c r="AO448" s="103" t="n"/>
      <c r="AP448" s="103" t="n"/>
      <c r="AQ448" s="103" t="n"/>
      <c r="AR448" s="103" t="n"/>
    </row>
    <row r="450">
      <c r="A450" s="8">
        <f>IF(HSI!$C$47="","",HSI!$C$47)</f>
        <v/>
      </c>
      <c r="B450" s="99">
        <f>IF($A450="",0,COUNT($E451:$AR451))</f>
        <v/>
      </c>
      <c r="C450" s="100">
        <f>IF($B450=0,0,MAX($E451:$AR451))</f>
        <v/>
      </c>
      <c r="D450" s="101">
        <f>BDS($A450,FLD_HIST,"headers=y","startcol=1","endcol=7","dir=h","DVD_START_DT",HIST_FROM,"DVD_END_DT",HIST_TO)</f>
        <v/>
      </c>
      <c r="E450" s="102" t="n"/>
      <c r="F450" s="102" t="n"/>
      <c r="G450" s="102" t="n"/>
      <c r="H450" s="102" t="n"/>
      <c r="I450" s="102" t="n"/>
      <c r="J450" s="102" t="n"/>
      <c r="K450" s="102" t="n"/>
      <c r="L450" s="102" t="n"/>
      <c r="M450" s="102" t="n"/>
      <c r="N450" s="102" t="n"/>
      <c r="O450" s="102" t="n"/>
      <c r="P450" s="102" t="n"/>
      <c r="Q450" s="102" t="n"/>
      <c r="R450" s="102" t="n"/>
      <c r="S450" s="102" t="n"/>
      <c r="T450" s="102" t="n"/>
      <c r="U450" s="102" t="n"/>
      <c r="V450" s="102" t="n"/>
      <c r="W450" s="102" t="n"/>
      <c r="X450" s="102" t="n"/>
      <c r="Y450" s="102" t="n"/>
      <c r="Z450" s="102" t="n"/>
      <c r="AA450" s="102" t="n"/>
      <c r="AB450" s="102" t="n"/>
      <c r="AC450" s="102" t="n"/>
      <c r="AD450" s="102" t="n"/>
      <c r="AE450" s="102" t="n"/>
      <c r="AF450" s="102" t="n"/>
      <c r="AG450" s="102" t="n"/>
      <c r="AH450" s="102" t="n"/>
      <c r="AI450" s="102" t="n"/>
      <c r="AJ450" s="102" t="n"/>
      <c r="AK450" s="102" t="n"/>
      <c r="AL450" s="102" t="n"/>
      <c r="AM450" s="102" t="n"/>
      <c r="AN450" s="102" t="n"/>
      <c r="AO450" s="102" t="n"/>
      <c r="AP450" s="102" t="n"/>
      <c r="AQ450" s="102" t="n"/>
      <c r="AR450" s="102" t="n"/>
    </row>
    <row r="451">
      <c r="D451" s="102" t="n"/>
      <c r="E451" s="102" t="n"/>
      <c r="F451" s="102" t="n"/>
      <c r="G451" s="102" t="n"/>
      <c r="H451" s="102" t="n"/>
      <c r="I451" s="102" t="n"/>
      <c r="J451" s="102" t="n"/>
      <c r="K451" s="102" t="n"/>
      <c r="L451" s="102" t="n"/>
      <c r="M451" s="102" t="n"/>
      <c r="N451" s="102" t="n"/>
      <c r="O451" s="102" t="n"/>
      <c r="P451" s="102" t="n"/>
      <c r="Q451" s="102" t="n"/>
      <c r="R451" s="102" t="n"/>
      <c r="S451" s="102" t="n"/>
      <c r="T451" s="102" t="n"/>
      <c r="U451" s="102" t="n"/>
      <c r="V451" s="102" t="n"/>
      <c r="W451" s="102" t="n"/>
      <c r="X451" s="102" t="n"/>
      <c r="Y451" s="102" t="n"/>
      <c r="Z451" s="102" t="n"/>
      <c r="AA451" s="102" t="n"/>
      <c r="AB451" s="102" t="n"/>
      <c r="AC451" s="102" t="n"/>
      <c r="AD451" s="102" t="n"/>
      <c r="AE451" s="102" t="n"/>
      <c r="AF451" s="102" t="n"/>
      <c r="AG451" s="102" t="n"/>
      <c r="AH451" s="102" t="n"/>
      <c r="AI451" s="102" t="n"/>
      <c r="AJ451" s="102" t="n"/>
      <c r="AK451" s="102" t="n"/>
      <c r="AL451" s="102" t="n"/>
      <c r="AM451" s="102" t="n"/>
      <c r="AN451" s="102" t="n"/>
      <c r="AO451" s="102" t="n"/>
      <c r="AP451" s="102" t="n"/>
      <c r="AQ451" s="102" t="n"/>
      <c r="AR451" s="102" t="n"/>
    </row>
    <row r="452">
      <c r="D452" s="102" t="n"/>
      <c r="E452" s="102" t="n"/>
      <c r="F452" s="102" t="n"/>
      <c r="G452" s="102" t="n"/>
      <c r="H452" s="102" t="n"/>
      <c r="I452" s="102" t="n"/>
      <c r="J452" s="102" t="n"/>
      <c r="K452" s="102" t="n"/>
      <c r="L452" s="102" t="n"/>
      <c r="M452" s="102" t="n"/>
      <c r="N452" s="102" t="n"/>
      <c r="O452" s="102" t="n"/>
      <c r="P452" s="102" t="n"/>
      <c r="Q452" s="102" t="n"/>
      <c r="R452" s="102" t="n"/>
      <c r="S452" s="102" t="n"/>
      <c r="T452" s="102" t="n"/>
      <c r="U452" s="102" t="n"/>
      <c r="V452" s="102" t="n"/>
      <c r="W452" s="102" t="n"/>
      <c r="X452" s="102" t="n"/>
      <c r="Y452" s="102" t="n"/>
      <c r="Z452" s="102" t="n"/>
      <c r="AA452" s="102" t="n"/>
      <c r="AB452" s="102" t="n"/>
      <c r="AC452" s="102" t="n"/>
      <c r="AD452" s="102" t="n"/>
      <c r="AE452" s="102" t="n"/>
      <c r="AF452" s="102" t="n"/>
      <c r="AG452" s="102" t="n"/>
      <c r="AH452" s="102" t="n"/>
      <c r="AI452" s="102" t="n"/>
      <c r="AJ452" s="102" t="n"/>
      <c r="AK452" s="102" t="n"/>
      <c r="AL452" s="102" t="n"/>
      <c r="AM452" s="102" t="n"/>
      <c r="AN452" s="102" t="n"/>
      <c r="AO452" s="102" t="n"/>
      <c r="AP452" s="102" t="n"/>
      <c r="AQ452" s="102" t="n"/>
      <c r="AR452" s="102" t="n"/>
    </row>
    <row r="453">
      <c r="D453" s="102" t="n"/>
      <c r="E453" s="102" t="n"/>
      <c r="F453" s="102" t="n"/>
      <c r="G453" s="102" t="n"/>
      <c r="H453" s="102" t="n"/>
      <c r="I453" s="102" t="n"/>
      <c r="J453" s="102" t="n"/>
      <c r="K453" s="102" t="n"/>
      <c r="L453" s="102" t="n"/>
      <c r="M453" s="102" t="n"/>
      <c r="N453" s="102" t="n"/>
      <c r="O453" s="102" t="n"/>
      <c r="P453" s="102" t="n"/>
      <c r="Q453" s="102" t="n"/>
      <c r="R453" s="102" t="n"/>
      <c r="S453" s="102" t="n"/>
      <c r="T453" s="102" t="n"/>
      <c r="U453" s="102" t="n"/>
      <c r="V453" s="102" t="n"/>
      <c r="W453" s="102" t="n"/>
      <c r="X453" s="102" t="n"/>
      <c r="Y453" s="102" t="n"/>
      <c r="Z453" s="102" t="n"/>
      <c r="AA453" s="102" t="n"/>
      <c r="AB453" s="102" t="n"/>
      <c r="AC453" s="102" t="n"/>
      <c r="AD453" s="102" t="n"/>
      <c r="AE453" s="102" t="n"/>
      <c r="AF453" s="102" t="n"/>
      <c r="AG453" s="102" t="n"/>
      <c r="AH453" s="102" t="n"/>
      <c r="AI453" s="102" t="n"/>
      <c r="AJ453" s="102" t="n"/>
      <c r="AK453" s="102" t="n"/>
      <c r="AL453" s="102" t="n"/>
      <c r="AM453" s="102" t="n"/>
      <c r="AN453" s="102" t="n"/>
      <c r="AO453" s="102" t="n"/>
      <c r="AP453" s="102" t="n"/>
      <c r="AQ453" s="102" t="n"/>
      <c r="AR453" s="102" t="n"/>
    </row>
    <row r="454">
      <c r="D454" s="103" t="n"/>
      <c r="E454" s="103" t="n"/>
      <c r="F454" s="103" t="n"/>
      <c r="G454" s="103" t="n"/>
      <c r="H454" s="103" t="n"/>
      <c r="I454" s="103" t="n"/>
      <c r="J454" s="103" t="n"/>
      <c r="K454" s="103" t="n"/>
      <c r="L454" s="103" t="n"/>
      <c r="M454" s="103" t="n"/>
      <c r="N454" s="103" t="n"/>
      <c r="O454" s="103" t="n"/>
      <c r="P454" s="103" t="n"/>
      <c r="Q454" s="103" t="n"/>
      <c r="R454" s="103" t="n"/>
      <c r="S454" s="103" t="n"/>
      <c r="T454" s="103" t="n"/>
      <c r="U454" s="103" t="n"/>
      <c r="V454" s="103" t="n"/>
      <c r="W454" s="103" t="n"/>
      <c r="X454" s="103" t="n"/>
      <c r="Y454" s="103" t="n"/>
      <c r="Z454" s="103" t="n"/>
      <c r="AA454" s="103" t="n"/>
      <c r="AB454" s="103" t="n"/>
      <c r="AC454" s="103" t="n"/>
      <c r="AD454" s="103" t="n"/>
      <c r="AE454" s="103" t="n"/>
      <c r="AF454" s="103" t="n"/>
      <c r="AG454" s="103" t="n"/>
      <c r="AH454" s="103" t="n"/>
      <c r="AI454" s="103" t="n"/>
      <c r="AJ454" s="103" t="n"/>
      <c r="AK454" s="103" t="n"/>
      <c r="AL454" s="103" t="n"/>
      <c r="AM454" s="103" t="n"/>
      <c r="AN454" s="103" t="n"/>
      <c r="AO454" s="103" t="n"/>
      <c r="AP454" s="103" t="n"/>
      <c r="AQ454" s="103" t="n"/>
      <c r="AR454" s="103" t="n"/>
    </row>
    <row r="457">
      <c r="A457" s="2">
        <f>IF($A450="","","   projections")</f>
        <v/>
      </c>
      <c r="B457" s="99">
        <f>IF($A450="",0,COUNT($E458:$AR458))</f>
        <v/>
      </c>
      <c r="C457" s="100">
        <f>IF($B457=0,0,MAX($E458:$AR458))</f>
        <v/>
      </c>
      <c r="D457" s="101">
        <f>BDS($A450,FLD_PROJ,"headers=y","startcol=1","endcol=3","dir=h")</f>
        <v/>
      </c>
      <c r="E457" s="102" t="n"/>
      <c r="F457" s="102" t="n"/>
      <c r="G457" s="102" t="n"/>
      <c r="H457" s="102" t="n"/>
      <c r="I457" s="102" t="n"/>
      <c r="J457" s="102" t="n"/>
      <c r="K457" s="102" t="n"/>
      <c r="L457" s="102" t="n"/>
      <c r="M457" s="102" t="n"/>
      <c r="N457" s="102" t="n"/>
      <c r="O457" s="102" t="n"/>
      <c r="P457" s="102" t="n"/>
      <c r="Q457" s="102" t="n"/>
      <c r="R457" s="102" t="n"/>
      <c r="S457" s="102" t="n"/>
      <c r="T457" s="102" t="n"/>
      <c r="U457" s="102" t="n"/>
      <c r="V457" s="102" t="n"/>
      <c r="W457" s="102" t="n"/>
      <c r="X457" s="102" t="n"/>
      <c r="Y457" s="102" t="n"/>
      <c r="Z457" s="102" t="n"/>
      <c r="AA457" s="102" t="n"/>
      <c r="AB457" s="102" t="n"/>
      <c r="AC457" s="102" t="n"/>
      <c r="AD457" s="102" t="n"/>
      <c r="AE457" s="102" t="n"/>
      <c r="AF457" s="102" t="n"/>
      <c r="AG457" s="102" t="n"/>
      <c r="AH457" s="102" t="n"/>
      <c r="AI457" s="102" t="n"/>
      <c r="AJ457" s="102" t="n"/>
      <c r="AK457" s="102" t="n"/>
      <c r="AL457" s="102" t="n"/>
      <c r="AM457" s="102" t="n"/>
      <c r="AN457" s="102" t="n"/>
      <c r="AO457" s="102" t="n"/>
      <c r="AP457" s="102" t="n"/>
      <c r="AQ457" s="102" t="n"/>
      <c r="AR457" s="102" t="n"/>
    </row>
    <row r="458">
      <c r="D458" s="102" t="n"/>
      <c r="E458" s="102" t="n"/>
      <c r="F458" s="102" t="n"/>
      <c r="G458" s="102" t="n"/>
      <c r="H458" s="102" t="n"/>
      <c r="I458" s="102" t="n"/>
      <c r="J458" s="102" t="n"/>
      <c r="K458" s="102" t="n"/>
      <c r="L458" s="102" t="n"/>
      <c r="M458" s="102" t="n"/>
      <c r="N458" s="102" t="n"/>
      <c r="O458" s="102" t="n"/>
      <c r="P458" s="102" t="n"/>
      <c r="Q458" s="102" t="n"/>
      <c r="R458" s="102" t="n"/>
      <c r="S458" s="102" t="n"/>
      <c r="T458" s="102" t="n"/>
      <c r="U458" s="102" t="n"/>
      <c r="V458" s="102" t="n"/>
      <c r="W458" s="102" t="n"/>
      <c r="X458" s="102" t="n"/>
      <c r="Y458" s="102" t="n"/>
      <c r="Z458" s="102" t="n"/>
      <c r="AA458" s="102" t="n"/>
      <c r="AB458" s="102" t="n"/>
      <c r="AC458" s="102" t="n"/>
      <c r="AD458" s="102" t="n"/>
      <c r="AE458" s="102" t="n"/>
      <c r="AF458" s="102" t="n"/>
      <c r="AG458" s="102" t="n"/>
      <c r="AH458" s="102" t="n"/>
      <c r="AI458" s="102" t="n"/>
      <c r="AJ458" s="102" t="n"/>
      <c r="AK458" s="102" t="n"/>
      <c r="AL458" s="102" t="n"/>
      <c r="AM458" s="102" t="n"/>
      <c r="AN458" s="102" t="n"/>
      <c r="AO458" s="102" t="n"/>
      <c r="AP458" s="102" t="n"/>
      <c r="AQ458" s="102" t="n"/>
      <c r="AR458" s="102" t="n"/>
    </row>
    <row r="459">
      <c r="D459" s="103" t="n"/>
      <c r="E459" s="103" t="n"/>
      <c r="F459" s="103" t="n"/>
      <c r="G459" s="103" t="n"/>
      <c r="H459" s="103" t="n"/>
      <c r="I459" s="103" t="n"/>
      <c r="J459" s="103" t="n"/>
      <c r="K459" s="103" t="n"/>
      <c r="L459" s="103" t="n"/>
      <c r="M459" s="103" t="n"/>
      <c r="N459" s="103" t="n"/>
      <c r="O459" s="103" t="n"/>
      <c r="P459" s="103" t="n"/>
      <c r="Q459" s="103" t="n"/>
      <c r="R459" s="103" t="n"/>
      <c r="S459" s="103" t="n"/>
      <c r="T459" s="103" t="n"/>
      <c r="U459" s="103" t="n"/>
      <c r="V459" s="103" t="n"/>
      <c r="W459" s="103" t="n"/>
      <c r="X459" s="103" t="n"/>
      <c r="Y459" s="103" t="n"/>
      <c r="Z459" s="103" t="n"/>
      <c r="AA459" s="103" t="n"/>
      <c r="AB459" s="103" t="n"/>
      <c r="AC459" s="103" t="n"/>
      <c r="AD459" s="103" t="n"/>
      <c r="AE459" s="103" t="n"/>
      <c r="AF459" s="103" t="n"/>
      <c r="AG459" s="103" t="n"/>
      <c r="AH459" s="103" t="n"/>
      <c r="AI459" s="103" t="n"/>
      <c r="AJ459" s="103" t="n"/>
      <c r="AK459" s="103" t="n"/>
      <c r="AL459" s="103" t="n"/>
      <c r="AM459" s="103" t="n"/>
      <c r="AN459" s="103" t="n"/>
      <c r="AO459" s="103" t="n"/>
      <c r="AP459" s="103" t="n"/>
      <c r="AQ459" s="103" t="n"/>
      <c r="AR459" s="103" t="n"/>
    </row>
    <row r="461">
      <c r="A461" s="8">
        <f>IF(HSI!$C$48="","",HSI!$C$48)</f>
        <v/>
      </c>
      <c r="B461" s="99">
        <f>IF($A461="",0,COUNT($E462:$AR462))</f>
        <v/>
      </c>
      <c r="C461" s="100">
        <f>IF($B461=0,0,MAX($E462:$AR462))</f>
        <v/>
      </c>
      <c r="D461" s="101">
        <f>BDS($A461,FLD_HIST,"headers=y","startcol=1","endcol=7","dir=h","DVD_START_DT",HIST_FROM,"DVD_END_DT",HIST_TO)</f>
        <v/>
      </c>
      <c r="E461" s="102" t="n"/>
      <c r="F461" s="102" t="n"/>
      <c r="G461" s="102" t="n"/>
      <c r="H461" s="102" t="n"/>
      <c r="I461" s="102" t="n"/>
      <c r="J461" s="102" t="n"/>
      <c r="K461" s="102" t="n"/>
      <c r="L461" s="102" t="n"/>
      <c r="M461" s="102" t="n"/>
      <c r="N461" s="102" t="n"/>
      <c r="O461" s="102" t="n"/>
      <c r="P461" s="102" t="n"/>
      <c r="Q461" s="102" t="n"/>
      <c r="R461" s="102" t="n"/>
      <c r="S461" s="102" t="n"/>
      <c r="T461" s="102" t="n"/>
      <c r="U461" s="102" t="n"/>
      <c r="V461" s="102" t="n"/>
      <c r="W461" s="102" t="n"/>
      <c r="X461" s="102" t="n"/>
      <c r="Y461" s="102" t="n"/>
      <c r="Z461" s="102" t="n"/>
      <c r="AA461" s="102" t="n"/>
      <c r="AB461" s="102" t="n"/>
      <c r="AC461" s="102" t="n"/>
      <c r="AD461" s="102" t="n"/>
      <c r="AE461" s="102" t="n"/>
      <c r="AF461" s="102" t="n"/>
      <c r="AG461" s="102" t="n"/>
      <c r="AH461" s="102" t="n"/>
      <c r="AI461" s="102" t="n"/>
      <c r="AJ461" s="102" t="n"/>
      <c r="AK461" s="102" t="n"/>
      <c r="AL461" s="102" t="n"/>
      <c r="AM461" s="102" t="n"/>
      <c r="AN461" s="102" t="n"/>
      <c r="AO461" s="102" t="n"/>
      <c r="AP461" s="102" t="n"/>
      <c r="AQ461" s="102" t="n"/>
      <c r="AR461" s="102" t="n"/>
    </row>
    <row r="462">
      <c r="D462" s="102" t="n"/>
      <c r="E462" s="102" t="n"/>
      <c r="F462" s="102" t="n"/>
      <c r="G462" s="102" t="n"/>
      <c r="H462" s="102" t="n"/>
      <c r="I462" s="102" t="n"/>
      <c r="J462" s="102" t="n"/>
      <c r="K462" s="102" t="n"/>
      <c r="L462" s="102" t="n"/>
      <c r="M462" s="102" t="n"/>
      <c r="N462" s="102" t="n"/>
      <c r="O462" s="102" t="n"/>
      <c r="P462" s="102" t="n"/>
      <c r="Q462" s="102" t="n"/>
      <c r="R462" s="102" t="n"/>
      <c r="S462" s="102" t="n"/>
      <c r="T462" s="102" t="n"/>
      <c r="U462" s="102" t="n"/>
      <c r="V462" s="102" t="n"/>
      <c r="W462" s="102" t="n"/>
      <c r="X462" s="102" t="n"/>
      <c r="Y462" s="102" t="n"/>
      <c r="Z462" s="102" t="n"/>
      <c r="AA462" s="102" t="n"/>
      <c r="AB462" s="102" t="n"/>
      <c r="AC462" s="102" t="n"/>
      <c r="AD462" s="102" t="n"/>
      <c r="AE462" s="102" t="n"/>
      <c r="AF462" s="102" t="n"/>
      <c r="AG462" s="102" t="n"/>
      <c r="AH462" s="102" t="n"/>
      <c r="AI462" s="102" t="n"/>
      <c r="AJ462" s="102" t="n"/>
      <c r="AK462" s="102" t="n"/>
      <c r="AL462" s="102" t="n"/>
      <c r="AM462" s="102" t="n"/>
      <c r="AN462" s="102" t="n"/>
      <c r="AO462" s="102" t="n"/>
      <c r="AP462" s="102" t="n"/>
      <c r="AQ462" s="102" t="n"/>
      <c r="AR462" s="102" t="n"/>
    </row>
    <row r="463">
      <c r="D463" s="102" t="n"/>
      <c r="E463" s="102" t="n"/>
      <c r="F463" s="102" t="n"/>
      <c r="G463" s="102" t="n"/>
      <c r="H463" s="102" t="n"/>
      <c r="I463" s="102" t="n"/>
      <c r="J463" s="102" t="n"/>
      <c r="K463" s="102" t="n"/>
      <c r="L463" s="102" t="n"/>
      <c r="M463" s="102" t="n"/>
      <c r="N463" s="102" t="n"/>
      <c r="O463" s="102" t="n"/>
      <c r="P463" s="102" t="n"/>
      <c r="Q463" s="102" t="n"/>
      <c r="R463" s="102" t="n"/>
      <c r="S463" s="102" t="n"/>
      <c r="T463" s="102" t="n"/>
      <c r="U463" s="102" t="n"/>
      <c r="V463" s="102" t="n"/>
      <c r="W463" s="102" t="n"/>
      <c r="X463" s="102" t="n"/>
      <c r="Y463" s="102" t="n"/>
      <c r="Z463" s="102" t="n"/>
      <c r="AA463" s="102" t="n"/>
      <c r="AB463" s="102" t="n"/>
      <c r="AC463" s="102" t="n"/>
      <c r="AD463" s="102" t="n"/>
      <c r="AE463" s="102" t="n"/>
      <c r="AF463" s="102" t="n"/>
      <c r="AG463" s="102" t="n"/>
      <c r="AH463" s="102" t="n"/>
      <c r="AI463" s="102" t="n"/>
      <c r="AJ463" s="102" t="n"/>
      <c r="AK463" s="102" t="n"/>
      <c r="AL463" s="102" t="n"/>
      <c r="AM463" s="102" t="n"/>
      <c r="AN463" s="102" t="n"/>
      <c r="AO463" s="102" t="n"/>
      <c r="AP463" s="102" t="n"/>
      <c r="AQ463" s="102" t="n"/>
      <c r="AR463" s="102" t="n"/>
    </row>
    <row r="464">
      <c r="D464" s="102" t="n"/>
      <c r="E464" s="102" t="n"/>
      <c r="F464" s="102" t="n"/>
      <c r="G464" s="102" t="n"/>
      <c r="H464" s="102" t="n"/>
      <c r="I464" s="102" t="n"/>
      <c r="J464" s="102" t="n"/>
      <c r="K464" s="102" t="n"/>
      <c r="L464" s="102" t="n"/>
      <c r="M464" s="102" t="n"/>
      <c r="N464" s="102" t="n"/>
      <c r="O464" s="102" t="n"/>
      <c r="P464" s="102" t="n"/>
      <c r="Q464" s="102" t="n"/>
      <c r="R464" s="102" t="n"/>
      <c r="S464" s="102" t="n"/>
      <c r="T464" s="102" t="n"/>
      <c r="U464" s="102" t="n"/>
      <c r="V464" s="102" t="n"/>
      <c r="W464" s="102" t="n"/>
      <c r="X464" s="102" t="n"/>
      <c r="Y464" s="102" t="n"/>
      <c r="Z464" s="102" t="n"/>
      <c r="AA464" s="102" t="n"/>
      <c r="AB464" s="102" t="n"/>
      <c r="AC464" s="102" t="n"/>
      <c r="AD464" s="102" t="n"/>
      <c r="AE464" s="102" t="n"/>
      <c r="AF464" s="102" t="n"/>
      <c r="AG464" s="102" t="n"/>
      <c r="AH464" s="102" t="n"/>
      <c r="AI464" s="102" t="n"/>
      <c r="AJ464" s="102" t="n"/>
      <c r="AK464" s="102" t="n"/>
      <c r="AL464" s="102" t="n"/>
      <c r="AM464" s="102" t="n"/>
      <c r="AN464" s="102" t="n"/>
      <c r="AO464" s="102" t="n"/>
      <c r="AP464" s="102" t="n"/>
      <c r="AQ464" s="102" t="n"/>
      <c r="AR464" s="102" t="n"/>
    </row>
    <row r="465">
      <c r="D465" s="103" t="n"/>
      <c r="E465" s="103" t="n"/>
      <c r="F465" s="103" t="n"/>
      <c r="G465" s="103" t="n"/>
      <c r="H465" s="103" t="n"/>
      <c r="I465" s="103" t="n"/>
      <c r="J465" s="103" t="n"/>
      <c r="K465" s="103" t="n"/>
      <c r="L465" s="103" t="n"/>
      <c r="M465" s="103" t="n"/>
      <c r="N465" s="103" t="n"/>
      <c r="O465" s="103" t="n"/>
      <c r="P465" s="103" t="n"/>
      <c r="Q465" s="103" t="n"/>
      <c r="R465" s="103" t="n"/>
      <c r="S465" s="103" t="n"/>
      <c r="T465" s="103" t="n"/>
      <c r="U465" s="103" t="n"/>
      <c r="V465" s="103" t="n"/>
      <c r="W465" s="103" t="n"/>
      <c r="X465" s="103" t="n"/>
      <c r="Y465" s="103" t="n"/>
      <c r="Z465" s="103" t="n"/>
      <c r="AA465" s="103" t="n"/>
      <c r="AB465" s="103" t="n"/>
      <c r="AC465" s="103" t="n"/>
      <c r="AD465" s="103" t="n"/>
      <c r="AE465" s="103" t="n"/>
      <c r="AF465" s="103" t="n"/>
      <c r="AG465" s="103" t="n"/>
      <c r="AH465" s="103" t="n"/>
      <c r="AI465" s="103" t="n"/>
      <c r="AJ465" s="103" t="n"/>
      <c r="AK465" s="103" t="n"/>
      <c r="AL465" s="103" t="n"/>
      <c r="AM465" s="103" t="n"/>
      <c r="AN465" s="103" t="n"/>
      <c r="AO465" s="103" t="n"/>
      <c r="AP465" s="103" t="n"/>
      <c r="AQ465" s="103" t="n"/>
      <c r="AR465" s="103" t="n"/>
    </row>
    <row r="468">
      <c r="A468" s="2">
        <f>IF($A461="","","   projections")</f>
        <v/>
      </c>
      <c r="B468" s="99">
        <f>IF($A461="",0,COUNT($E469:$AR469))</f>
        <v/>
      </c>
      <c r="C468" s="100">
        <f>IF($B468=0,0,MAX($E469:$AR469))</f>
        <v/>
      </c>
      <c r="D468" s="101">
        <f>BDS($A461,FLD_PROJ,"headers=y","startcol=1","endcol=3","dir=h")</f>
        <v/>
      </c>
      <c r="E468" s="102" t="n"/>
      <c r="F468" s="102" t="n"/>
      <c r="G468" s="102" t="n"/>
      <c r="H468" s="102" t="n"/>
      <c r="I468" s="102" t="n"/>
      <c r="J468" s="102" t="n"/>
      <c r="K468" s="102" t="n"/>
      <c r="L468" s="102" t="n"/>
      <c r="M468" s="102" t="n"/>
      <c r="N468" s="102" t="n"/>
      <c r="O468" s="102" t="n"/>
      <c r="P468" s="102" t="n"/>
      <c r="Q468" s="102" t="n"/>
      <c r="R468" s="102" t="n"/>
      <c r="S468" s="102" t="n"/>
      <c r="T468" s="102" t="n"/>
      <c r="U468" s="102" t="n"/>
      <c r="V468" s="102" t="n"/>
      <c r="W468" s="102" t="n"/>
      <c r="X468" s="102" t="n"/>
      <c r="Y468" s="102" t="n"/>
      <c r="Z468" s="102" t="n"/>
      <c r="AA468" s="102" t="n"/>
      <c r="AB468" s="102" t="n"/>
      <c r="AC468" s="102" t="n"/>
      <c r="AD468" s="102" t="n"/>
      <c r="AE468" s="102" t="n"/>
      <c r="AF468" s="102" t="n"/>
      <c r="AG468" s="102" t="n"/>
      <c r="AH468" s="102" t="n"/>
      <c r="AI468" s="102" t="n"/>
      <c r="AJ468" s="102" t="n"/>
      <c r="AK468" s="102" t="n"/>
      <c r="AL468" s="102" t="n"/>
      <c r="AM468" s="102" t="n"/>
      <c r="AN468" s="102" t="n"/>
      <c r="AO468" s="102" t="n"/>
      <c r="AP468" s="102" t="n"/>
      <c r="AQ468" s="102" t="n"/>
      <c r="AR468" s="102" t="n"/>
    </row>
    <row r="469">
      <c r="D469" s="102" t="n"/>
      <c r="E469" s="102" t="n"/>
      <c r="F469" s="102" t="n"/>
      <c r="G469" s="102" t="n"/>
      <c r="H469" s="102" t="n"/>
      <c r="I469" s="102" t="n"/>
      <c r="J469" s="102" t="n"/>
      <c r="K469" s="102" t="n"/>
      <c r="L469" s="102" t="n"/>
      <c r="M469" s="102" t="n"/>
      <c r="N469" s="102" t="n"/>
      <c r="O469" s="102" t="n"/>
      <c r="P469" s="102" t="n"/>
      <c r="Q469" s="102" t="n"/>
      <c r="R469" s="102" t="n"/>
      <c r="S469" s="102" t="n"/>
      <c r="T469" s="102" t="n"/>
      <c r="U469" s="102" t="n"/>
      <c r="V469" s="102" t="n"/>
      <c r="W469" s="102" t="n"/>
      <c r="X469" s="102" t="n"/>
      <c r="Y469" s="102" t="n"/>
      <c r="Z469" s="102" t="n"/>
      <c r="AA469" s="102" t="n"/>
      <c r="AB469" s="102" t="n"/>
      <c r="AC469" s="102" t="n"/>
      <c r="AD469" s="102" t="n"/>
      <c r="AE469" s="102" t="n"/>
      <c r="AF469" s="102" t="n"/>
      <c r="AG469" s="102" t="n"/>
      <c r="AH469" s="102" t="n"/>
      <c r="AI469" s="102" t="n"/>
      <c r="AJ469" s="102" t="n"/>
      <c r="AK469" s="102" t="n"/>
      <c r="AL469" s="102" t="n"/>
      <c r="AM469" s="102" t="n"/>
      <c r="AN469" s="102" t="n"/>
      <c r="AO469" s="102" t="n"/>
      <c r="AP469" s="102" t="n"/>
      <c r="AQ469" s="102" t="n"/>
      <c r="AR469" s="102" t="n"/>
    </row>
    <row r="470">
      <c r="D470" s="103" t="n"/>
      <c r="E470" s="103" t="n"/>
      <c r="F470" s="103" t="n"/>
      <c r="G470" s="103" t="n"/>
      <c r="H470" s="103" t="n"/>
      <c r="I470" s="103" t="n"/>
      <c r="J470" s="103" t="n"/>
      <c r="K470" s="103" t="n"/>
      <c r="L470" s="103" t="n"/>
      <c r="M470" s="103" t="n"/>
      <c r="N470" s="103" t="n"/>
      <c r="O470" s="103" t="n"/>
      <c r="P470" s="103" t="n"/>
      <c r="Q470" s="103" t="n"/>
      <c r="R470" s="103" t="n"/>
      <c r="S470" s="103" t="n"/>
      <c r="T470" s="103" t="n"/>
      <c r="U470" s="103" t="n"/>
      <c r="V470" s="103" t="n"/>
      <c r="W470" s="103" t="n"/>
      <c r="X470" s="103" t="n"/>
      <c r="Y470" s="103" t="n"/>
      <c r="Z470" s="103" t="n"/>
      <c r="AA470" s="103" t="n"/>
      <c r="AB470" s="103" t="n"/>
      <c r="AC470" s="103" t="n"/>
      <c r="AD470" s="103" t="n"/>
      <c r="AE470" s="103" t="n"/>
      <c r="AF470" s="103" t="n"/>
      <c r="AG470" s="103" t="n"/>
      <c r="AH470" s="103" t="n"/>
      <c r="AI470" s="103" t="n"/>
      <c r="AJ470" s="103" t="n"/>
      <c r="AK470" s="103" t="n"/>
      <c r="AL470" s="103" t="n"/>
      <c r="AM470" s="103" t="n"/>
      <c r="AN470" s="103" t="n"/>
      <c r="AO470" s="103" t="n"/>
      <c r="AP470" s="103" t="n"/>
      <c r="AQ470" s="103" t="n"/>
      <c r="AR470" s="103" t="n"/>
    </row>
    <row r="472">
      <c r="A472" s="8">
        <f>IF(HSI!$C$49="","",HSI!$C$49)</f>
        <v/>
      </c>
      <c r="B472" s="99">
        <f>IF($A472="",0,COUNT($E473:$AR473))</f>
        <v/>
      </c>
      <c r="C472" s="100">
        <f>IF($B472=0,0,MAX($E473:$AR473))</f>
        <v/>
      </c>
      <c r="D472" s="101">
        <f>BDS($A472,FLD_HIST,"headers=y","startcol=1","endcol=7","dir=h","DVD_START_DT",HIST_FROM,"DVD_END_DT",HIST_TO)</f>
        <v/>
      </c>
      <c r="E472" s="102" t="n"/>
      <c r="F472" s="102" t="n"/>
      <c r="G472" s="102" t="n"/>
      <c r="H472" s="102" t="n"/>
      <c r="I472" s="102" t="n"/>
      <c r="J472" s="102" t="n"/>
      <c r="K472" s="102" t="n"/>
      <c r="L472" s="102" t="n"/>
      <c r="M472" s="102" t="n"/>
      <c r="N472" s="102" t="n"/>
      <c r="O472" s="102" t="n"/>
      <c r="P472" s="102" t="n"/>
      <c r="Q472" s="102" t="n"/>
      <c r="R472" s="102" t="n"/>
      <c r="S472" s="102" t="n"/>
      <c r="T472" s="102" t="n"/>
      <c r="U472" s="102" t="n"/>
      <c r="V472" s="102" t="n"/>
      <c r="W472" s="102" t="n"/>
      <c r="X472" s="102" t="n"/>
      <c r="Y472" s="102" t="n"/>
      <c r="Z472" s="102" t="n"/>
      <c r="AA472" s="102" t="n"/>
      <c r="AB472" s="102" t="n"/>
      <c r="AC472" s="102" t="n"/>
      <c r="AD472" s="102" t="n"/>
      <c r="AE472" s="102" t="n"/>
      <c r="AF472" s="102" t="n"/>
      <c r="AG472" s="102" t="n"/>
      <c r="AH472" s="102" t="n"/>
      <c r="AI472" s="102" t="n"/>
      <c r="AJ472" s="102" t="n"/>
      <c r="AK472" s="102" t="n"/>
      <c r="AL472" s="102" t="n"/>
      <c r="AM472" s="102" t="n"/>
      <c r="AN472" s="102" t="n"/>
      <c r="AO472" s="102" t="n"/>
      <c r="AP472" s="102" t="n"/>
      <c r="AQ472" s="102" t="n"/>
      <c r="AR472" s="102" t="n"/>
    </row>
    <row r="473">
      <c r="D473" s="102" t="n"/>
      <c r="E473" s="102" t="n"/>
      <c r="F473" s="102" t="n"/>
      <c r="G473" s="102" t="n"/>
      <c r="H473" s="102" t="n"/>
      <c r="I473" s="102" t="n"/>
      <c r="J473" s="102" t="n"/>
      <c r="K473" s="102" t="n"/>
      <c r="L473" s="102" t="n"/>
      <c r="M473" s="102" t="n"/>
      <c r="N473" s="102" t="n"/>
      <c r="O473" s="102" t="n"/>
      <c r="P473" s="102" t="n"/>
      <c r="Q473" s="102" t="n"/>
      <c r="R473" s="102" t="n"/>
      <c r="S473" s="102" t="n"/>
      <c r="T473" s="102" t="n"/>
      <c r="U473" s="102" t="n"/>
      <c r="V473" s="102" t="n"/>
      <c r="W473" s="102" t="n"/>
      <c r="X473" s="102" t="n"/>
      <c r="Y473" s="102" t="n"/>
      <c r="Z473" s="102" t="n"/>
      <c r="AA473" s="102" t="n"/>
      <c r="AB473" s="102" t="n"/>
      <c r="AC473" s="102" t="n"/>
      <c r="AD473" s="102" t="n"/>
      <c r="AE473" s="102" t="n"/>
      <c r="AF473" s="102" t="n"/>
      <c r="AG473" s="102" t="n"/>
      <c r="AH473" s="102" t="n"/>
      <c r="AI473" s="102" t="n"/>
      <c r="AJ473" s="102" t="n"/>
      <c r="AK473" s="102" t="n"/>
      <c r="AL473" s="102" t="n"/>
      <c r="AM473" s="102" t="n"/>
      <c r="AN473" s="102" t="n"/>
      <c r="AO473" s="102" t="n"/>
      <c r="AP473" s="102" t="n"/>
      <c r="AQ473" s="102" t="n"/>
      <c r="AR473" s="102" t="n"/>
    </row>
    <row r="474">
      <c r="D474" s="102" t="n"/>
      <c r="E474" s="102" t="n"/>
      <c r="F474" s="102" t="n"/>
      <c r="G474" s="102" t="n"/>
      <c r="H474" s="102" t="n"/>
      <c r="I474" s="102" t="n"/>
      <c r="J474" s="102" t="n"/>
      <c r="K474" s="102" t="n"/>
      <c r="L474" s="102" t="n"/>
      <c r="M474" s="102" t="n"/>
      <c r="N474" s="102" t="n"/>
      <c r="O474" s="102" t="n"/>
      <c r="P474" s="102" t="n"/>
      <c r="Q474" s="102" t="n"/>
      <c r="R474" s="102" t="n"/>
      <c r="S474" s="102" t="n"/>
      <c r="T474" s="102" t="n"/>
      <c r="U474" s="102" t="n"/>
      <c r="V474" s="102" t="n"/>
      <c r="W474" s="102" t="n"/>
      <c r="X474" s="102" t="n"/>
      <c r="Y474" s="102" t="n"/>
      <c r="Z474" s="102" t="n"/>
      <c r="AA474" s="102" t="n"/>
      <c r="AB474" s="102" t="n"/>
      <c r="AC474" s="102" t="n"/>
      <c r="AD474" s="102" t="n"/>
      <c r="AE474" s="102" t="n"/>
      <c r="AF474" s="102" t="n"/>
      <c r="AG474" s="102" t="n"/>
      <c r="AH474" s="102" t="n"/>
      <c r="AI474" s="102" t="n"/>
      <c r="AJ474" s="102" t="n"/>
      <c r="AK474" s="102" t="n"/>
      <c r="AL474" s="102" t="n"/>
      <c r="AM474" s="102" t="n"/>
      <c r="AN474" s="102" t="n"/>
      <c r="AO474" s="102" t="n"/>
      <c r="AP474" s="102" t="n"/>
      <c r="AQ474" s="102" t="n"/>
      <c r="AR474" s="102" t="n"/>
    </row>
    <row r="475">
      <c r="D475" s="102" t="n"/>
      <c r="E475" s="102" t="n"/>
      <c r="F475" s="102" t="n"/>
      <c r="G475" s="102" t="n"/>
      <c r="H475" s="102" t="n"/>
      <c r="I475" s="102" t="n"/>
      <c r="J475" s="102" t="n"/>
      <c r="K475" s="102" t="n"/>
      <c r="L475" s="102" t="n"/>
      <c r="M475" s="102" t="n"/>
      <c r="N475" s="102" t="n"/>
      <c r="O475" s="102" t="n"/>
      <c r="P475" s="102" t="n"/>
      <c r="Q475" s="102" t="n"/>
      <c r="R475" s="102" t="n"/>
      <c r="S475" s="102" t="n"/>
      <c r="T475" s="102" t="n"/>
      <c r="U475" s="102" t="n"/>
      <c r="V475" s="102" t="n"/>
      <c r="W475" s="102" t="n"/>
      <c r="X475" s="102" t="n"/>
      <c r="Y475" s="102" t="n"/>
      <c r="Z475" s="102" t="n"/>
      <c r="AA475" s="102" t="n"/>
      <c r="AB475" s="102" t="n"/>
      <c r="AC475" s="102" t="n"/>
      <c r="AD475" s="102" t="n"/>
      <c r="AE475" s="102" t="n"/>
      <c r="AF475" s="102" t="n"/>
      <c r="AG475" s="102" t="n"/>
      <c r="AH475" s="102" t="n"/>
      <c r="AI475" s="102" t="n"/>
      <c r="AJ475" s="102" t="n"/>
      <c r="AK475" s="102" t="n"/>
      <c r="AL475" s="102" t="n"/>
      <c r="AM475" s="102" t="n"/>
      <c r="AN475" s="102" t="n"/>
      <c r="AO475" s="102" t="n"/>
      <c r="AP475" s="102" t="n"/>
      <c r="AQ475" s="102" t="n"/>
      <c r="AR475" s="102" t="n"/>
    </row>
    <row r="476">
      <c r="D476" s="103" t="n"/>
      <c r="E476" s="103" t="n"/>
      <c r="F476" s="103" t="n"/>
      <c r="G476" s="103" t="n"/>
      <c r="H476" s="103" t="n"/>
      <c r="I476" s="103" t="n"/>
      <c r="J476" s="103" t="n"/>
      <c r="K476" s="103" t="n"/>
      <c r="L476" s="103" t="n"/>
      <c r="M476" s="103" t="n"/>
      <c r="N476" s="103" t="n"/>
      <c r="O476" s="103" t="n"/>
      <c r="P476" s="103" t="n"/>
      <c r="Q476" s="103" t="n"/>
      <c r="R476" s="103" t="n"/>
      <c r="S476" s="103" t="n"/>
      <c r="T476" s="103" t="n"/>
      <c r="U476" s="103" t="n"/>
      <c r="V476" s="103" t="n"/>
      <c r="W476" s="103" t="n"/>
      <c r="X476" s="103" t="n"/>
      <c r="Y476" s="103" t="n"/>
      <c r="Z476" s="103" t="n"/>
      <c r="AA476" s="103" t="n"/>
      <c r="AB476" s="103" t="n"/>
      <c r="AC476" s="103" t="n"/>
      <c r="AD476" s="103" t="n"/>
      <c r="AE476" s="103" t="n"/>
      <c r="AF476" s="103" t="n"/>
      <c r="AG476" s="103" t="n"/>
      <c r="AH476" s="103" t="n"/>
      <c r="AI476" s="103" t="n"/>
      <c r="AJ476" s="103" t="n"/>
      <c r="AK476" s="103" t="n"/>
      <c r="AL476" s="103" t="n"/>
      <c r="AM476" s="103" t="n"/>
      <c r="AN476" s="103" t="n"/>
      <c r="AO476" s="103" t="n"/>
      <c r="AP476" s="103" t="n"/>
      <c r="AQ476" s="103" t="n"/>
      <c r="AR476" s="103" t="n"/>
    </row>
    <row r="479">
      <c r="A479" s="2">
        <f>IF($A472="","","   projections")</f>
        <v/>
      </c>
      <c r="B479" s="99">
        <f>IF($A472="",0,COUNT($E480:$AR480))</f>
        <v/>
      </c>
      <c r="C479" s="100">
        <f>IF($B479=0,0,MAX($E480:$AR480))</f>
        <v/>
      </c>
      <c r="D479" s="101">
        <f>BDS($A472,FLD_PROJ,"headers=y","startcol=1","endcol=3","dir=h")</f>
        <v/>
      </c>
      <c r="E479" s="102" t="n"/>
      <c r="F479" s="102" t="n"/>
      <c r="G479" s="102" t="n"/>
      <c r="H479" s="102" t="n"/>
      <c r="I479" s="102" t="n"/>
      <c r="J479" s="102" t="n"/>
      <c r="K479" s="102" t="n"/>
      <c r="L479" s="102" t="n"/>
      <c r="M479" s="102" t="n"/>
      <c r="N479" s="102" t="n"/>
      <c r="O479" s="102" t="n"/>
      <c r="P479" s="102" t="n"/>
      <c r="Q479" s="102" t="n"/>
      <c r="R479" s="102" t="n"/>
      <c r="S479" s="102" t="n"/>
      <c r="T479" s="102" t="n"/>
      <c r="U479" s="102" t="n"/>
      <c r="V479" s="102" t="n"/>
      <c r="W479" s="102" t="n"/>
      <c r="X479" s="102" t="n"/>
      <c r="Y479" s="102" t="n"/>
      <c r="Z479" s="102" t="n"/>
      <c r="AA479" s="102" t="n"/>
      <c r="AB479" s="102" t="n"/>
      <c r="AC479" s="102" t="n"/>
      <c r="AD479" s="102" t="n"/>
      <c r="AE479" s="102" t="n"/>
      <c r="AF479" s="102" t="n"/>
      <c r="AG479" s="102" t="n"/>
      <c r="AH479" s="102" t="n"/>
      <c r="AI479" s="102" t="n"/>
      <c r="AJ479" s="102" t="n"/>
      <c r="AK479" s="102" t="n"/>
      <c r="AL479" s="102" t="n"/>
      <c r="AM479" s="102" t="n"/>
      <c r="AN479" s="102" t="n"/>
      <c r="AO479" s="102" t="n"/>
      <c r="AP479" s="102" t="n"/>
      <c r="AQ479" s="102" t="n"/>
      <c r="AR479" s="102" t="n"/>
    </row>
    <row r="480">
      <c r="D480" s="102" t="n"/>
      <c r="E480" s="102" t="n"/>
      <c r="F480" s="102" t="n"/>
      <c r="G480" s="102" t="n"/>
      <c r="H480" s="102" t="n"/>
      <c r="I480" s="102" t="n"/>
      <c r="J480" s="102" t="n"/>
      <c r="K480" s="102" t="n"/>
      <c r="L480" s="102" t="n"/>
      <c r="M480" s="102" t="n"/>
      <c r="N480" s="102" t="n"/>
      <c r="O480" s="102" t="n"/>
      <c r="P480" s="102" t="n"/>
      <c r="Q480" s="102" t="n"/>
      <c r="R480" s="102" t="n"/>
      <c r="S480" s="102" t="n"/>
      <c r="T480" s="102" t="n"/>
      <c r="U480" s="102" t="n"/>
      <c r="V480" s="102" t="n"/>
      <c r="W480" s="102" t="n"/>
      <c r="X480" s="102" t="n"/>
      <c r="Y480" s="102" t="n"/>
      <c r="Z480" s="102" t="n"/>
      <c r="AA480" s="102" t="n"/>
      <c r="AB480" s="102" t="n"/>
      <c r="AC480" s="102" t="n"/>
      <c r="AD480" s="102" t="n"/>
      <c r="AE480" s="102" t="n"/>
      <c r="AF480" s="102" t="n"/>
      <c r="AG480" s="102" t="n"/>
      <c r="AH480" s="102" t="n"/>
      <c r="AI480" s="102" t="n"/>
      <c r="AJ480" s="102" t="n"/>
      <c r="AK480" s="102" t="n"/>
      <c r="AL480" s="102" t="n"/>
      <c r="AM480" s="102" t="n"/>
      <c r="AN480" s="102" t="n"/>
      <c r="AO480" s="102" t="n"/>
      <c r="AP480" s="102" t="n"/>
      <c r="AQ480" s="102" t="n"/>
      <c r="AR480" s="102" t="n"/>
    </row>
    <row r="481">
      <c r="D481" s="103" t="n"/>
      <c r="E481" s="103" t="n"/>
      <c r="F481" s="103" t="n"/>
      <c r="G481" s="103" t="n"/>
      <c r="H481" s="103" t="n"/>
      <c r="I481" s="103" t="n"/>
      <c r="J481" s="103" t="n"/>
      <c r="K481" s="103" t="n"/>
      <c r="L481" s="103" t="n"/>
      <c r="M481" s="103" t="n"/>
      <c r="N481" s="103" t="n"/>
      <c r="O481" s="103" t="n"/>
      <c r="P481" s="103" t="n"/>
      <c r="Q481" s="103" t="n"/>
      <c r="R481" s="103" t="n"/>
      <c r="S481" s="103" t="n"/>
      <c r="T481" s="103" t="n"/>
      <c r="U481" s="103" t="n"/>
      <c r="V481" s="103" t="n"/>
      <c r="W481" s="103" t="n"/>
      <c r="X481" s="103" t="n"/>
      <c r="Y481" s="103" t="n"/>
      <c r="Z481" s="103" t="n"/>
      <c r="AA481" s="103" t="n"/>
      <c r="AB481" s="103" t="n"/>
      <c r="AC481" s="103" t="n"/>
      <c r="AD481" s="103" t="n"/>
      <c r="AE481" s="103" t="n"/>
      <c r="AF481" s="103" t="n"/>
      <c r="AG481" s="103" t="n"/>
      <c r="AH481" s="103" t="n"/>
      <c r="AI481" s="103" t="n"/>
      <c r="AJ481" s="103" t="n"/>
      <c r="AK481" s="103" t="n"/>
      <c r="AL481" s="103" t="n"/>
      <c r="AM481" s="103" t="n"/>
      <c r="AN481" s="103" t="n"/>
      <c r="AO481" s="103" t="n"/>
      <c r="AP481" s="103" t="n"/>
      <c r="AQ481" s="103" t="n"/>
      <c r="AR481" s="103" t="n"/>
    </row>
    <row r="483">
      <c r="A483" s="8">
        <f>IF(HSI!$C$50="","",HSI!$C$50)</f>
        <v/>
      </c>
      <c r="B483" s="99">
        <f>IF($A483="",0,COUNT($E484:$AR484))</f>
        <v/>
      </c>
      <c r="C483" s="100">
        <f>IF($B483=0,0,MAX($E484:$AR484))</f>
        <v/>
      </c>
      <c r="D483" s="101">
        <f>BDS($A483,FLD_HIST,"headers=y","startcol=1","endcol=7","dir=h","DVD_START_DT",HIST_FROM,"DVD_END_DT",HIST_TO)</f>
        <v/>
      </c>
      <c r="E483" s="102" t="n"/>
      <c r="F483" s="102" t="n"/>
      <c r="G483" s="102" t="n"/>
      <c r="H483" s="102" t="n"/>
      <c r="I483" s="102" t="n"/>
      <c r="J483" s="102" t="n"/>
      <c r="K483" s="102" t="n"/>
      <c r="L483" s="102" t="n"/>
      <c r="M483" s="102" t="n"/>
      <c r="N483" s="102" t="n"/>
      <c r="O483" s="102" t="n"/>
      <c r="P483" s="102" t="n"/>
      <c r="Q483" s="102" t="n"/>
      <c r="R483" s="102" t="n"/>
      <c r="S483" s="102" t="n"/>
      <c r="T483" s="102" t="n"/>
      <c r="U483" s="102" t="n"/>
      <c r="V483" s="102" t="n"/>
      <c r="W483" s="102" t="n"/>
      <c r="X483" s="102" t="n"/>
      <c r="Y483" s="102" t="n"/>
      <c r="Z483" s="102" t="n"/>
      <c r="AA483" s="102" t="n"/>
      <c r="AB483" s="102" t="n"/>
      <c r="AC483" s="102" t="n"/>
      <c r="AD483" s="102" t="n"/>
      <c r="AE483" s="102" t="n"/>
      <c r="AF483" s="102" t="n"/>
      <c r="AG483" s="102" t="n"/>
      <c r="AH483" s="102" t="n"/>
      <c r="AI483" s="102" t="n"/>
      <c r="AJ483" s="102" t="n"/>
      <c r="AK483" s="102" t="n"/>
      <c r="AL483" s="102" t="n"/>
      <c r="AM483" s="102" t="n"/>
      <c r="AN483" s="102" t="n"/>
      <c r="AO483" s="102" t="n"/>
      <c r="AP483" s="102" t="n"/>
      <c r="AQ483" s="102" t="n"/>
      <c r="AR483" s="102" t="n"/>
    </row>
    <row r="484">
      <c r="D484" s="102" t="n"/>
      <c r="E484" s="102" t="n"/>
      <c r="F484" s="102" t="n"/>
      <c r="G484" s="102" t="n"/>
      <c r="H484" s="102" t="n"/>
      <c r="I484" s="102" t="n"/>
      <c r="J484" s="102" t="n"/>
      <c r="K484" s="102" t="n"/>
      <c r="L484" s="102" t="n"/>
      <c r="M484" s="102" t="n"/>
      <c r="N484" s="102" t="n"/>
      <c r="O484" s="102" t="n"/>
      <c r="P484" s="102" t="n"/>
      <c r="Q484" s="102" t="n"/>
      <c r="R484" s="102" t="n"/>
      <c r="S484" s="102" t="n"/>
      <c r="T484" s="102" t="n"/>
      <c r="U484" s="102" t="n"/>
      <c r="V484" s="102" t="n"/>
      <c r="W484" s="102" t="n"/>
      <c r="X484" s="102" t="n"/>
      <c r="Y484" s="102" t="n"/>
      <c r="Z484" s="102" t="n"/>
      <c r="AA484" s="102" t="n"/>
      <c r="AB484" s="102" t="n"/>
      <c r="AC484" s="102" t="n"/>
      <c r="AD484" s="102" t="n"/>
      <c r="AE484" s="102" t="n"/>
      <c r="AF484" s="102" t="n"/>
      <c r="AG484" s="102" t="n"/>
      <c r="AH484" s="102" t="n"/>
      <c r="AI484" s="102" t="n"/>
      <c r="AJ484" s="102" t="n"/>
      <c r="AK484" s="102" t="n"/>
      <c r="AL484" s="102" t="n"/>
      <c r="AM484" s="102" t="n"/>
      <c r="AN484" s="102" t="n"/>
      <c r="AO484" s="102" t="n"/>
      <c r="AP484" s="102" t="n"/>
      <c r="AQ484" s="102" t="n"/>
      <c r="AR484" s="102" t="n"/>
    </row>
    <row r="485">
      <c r="D485" s="102" t="n"/>
      <c r="E485" s="102" t="n"/>
      <c r="F485" s="102" t="n"/>
      <c r="G485" s="102" t="n"/>
      <c r="H485" s="102" t="n"/>
      <c r="I485" s="102" t="n"/>
      <c r="J485" s="102" t="n"/>
      <c r="K485" s="102" t="n"/>
      <c r="L485" s="102" t="n"/>
      <c r="M485" s="102" t="n"/>
      <c r="N485" s="102" t="n"/>
      <c r="O485" s="102" t="n"/>
      <c r="P485" s="102" t="n"/>
      <c r="Q485" s="102" t="n"/>
      <c r="R485" s="102" t="n"/>
      <c r="S485" s="102" t="n"/>
      <c r="T485" s="102" t="n"/>
      <c r="U485" s="102" t="n"/>
      <c r="V485" s="102" t="n"/>
      <c r="W485" s="102" t="n"/>
      <c r="X485" s="102" t="n"/>
      <c r="Y485" s="102" t="n"/>
      <c r="Z485" s="102" t="n"/>
      <c r="AA485" s="102" t="n"/>
      <c r="AB485" s="102" t="n"/>
      <c r="AC485" s="102" t="n"/>
      <c r="AD485" s="102" t="n"/>
      <c r="AE485" s="102" t="n"/>
      <c r="AF485" s="102" t="n"/>
      <c r="AG485" s="102" t="n"/>
      <c r="AH485" s="102" t="n"/>
      <c r="AI485" s="102" t="n"/>
      <c r="AJ485" s="102" t="n"/>
      <c r="AK485" s="102" t="n"/>
      <c r="AL485" s="102" t="n"/>
      <c r="AM485" s="102" t="n"/>
      <c r="AN485" s="102" t="n"/>
      <c r="AO485" s="102" t="n"/>
      <c r="AP485" s="102" t="n"/>
      <c r="AQ485" s="102" t="n"/>
      <c r="AR485" s="102" t="n"/>
    </row>
    <row r="486">
      <c r="D486" s="102" t="n"/>
      <c r="E486" s="102" t="n"/>
      <c r="F486" s="102" t="n"/>
      <c r="G486" s="102" t="n"/>
      <c r="H486" s="102" t="n"/>
      <c r="I486" s="102" t="n"/>
      <c r="J486" s="102" t="n"/>
      <c r="K486" s="102" t="n"/>
      <c r="L486" s="102" t="n"/>
      <c r="M486" s="102" t="n"/>
      <c r="N486" s="102" t="n"/>
      <c r="O486" s="102" t="n"/>
      <c r="P486" s="102" t="n"/>
      <c r="Q486" s="102" t="n"/>
      <c r="R486" s="102" t="n"/>
      <c r="S486" s="102" t="n"/>
      <c r="T486" s="102" t="n"/>
      <c r="U486" s="102" t="n"/>
      <c r="V486" s="102" t="n"/>
      <c r="W486" s="102" t="n"/>
      <c r="X486" s="102" t="n"/>
      <c r="Y486" s="102" t="n"/>
      <c r="Z486" s="102" t="n"/>
      <c r="AA486" s="102" t="n"/>
      <c r="AB486" s="102" t="n"/>
      <c r="AC486" s="102" t="n"/>
      <c r="AD486" s="102" t="n"/>
      <c r="AE486" s="102" t="n"/>
      <c r="AF486" s="102" t="n"/>
      <c r="AG486" s="102" t="n"/>
      <c r="AH486" s="102" t="n"/>
      <c r="AI486" s="102" t="n"/>
      <c r="AJ486" s="102" t="n"/>
      <c r="AK486" s="102" t="n"/>
      <c r="AL486" s="102" t="n"/>
      <c r="AM486" s="102" t="n"/>
      <c r="AN486" s="102" t="n"/>
      <c r="AO486" s="102" t="n"/>
      <c r="AP486" s="102" t="n"/>
      <c r="AQ486" s="102" t="n"/>
      <c r="AR486" s="102" t="n"/>
    </row>
    <row r="487">
      <c r="D487" s="103" t="n"/>
      <c r="E487" s="103" t="n"/>
      <c r="F487" s="103" t="n"/>
      <c r="G487" s="103" t="n"/>
      <c r="H487" s="103" t="n"/>
      <c r="I487" s="103" t="n"/>
      <c r="J487" s="103" t="n"/>
      <c r="K487" s="103" t="n"/>
      <c r="L487" s="103" t="n"/>
      <c r="M487" s="103" t="n"/>
      <c r="N487" s="103" t="n"/>
      <c r="O487" s="103" t="n"/>
      <c r="P487" s="103" t="n"/>
      <c r="Q487" s="103" t="n"/>
      <c r="R487" s="103" t="n"/>
      <c r="S487" s="103" t="n"/>
      <c r="T487" s="103" t="n"/>
      <c r="U487" s="103" t="n"/>
      <c r="V487" s="103" t="n"/>
      <c r="W487" s="103" t="n"/>
      <c r="X487" s="103" t="n"/>
      <c r="Y487" s="103" t="n"/>
      <c r="Z487" s="103" t="n"/>
      <c r="AA487" s="103" t="n"/>
      <c r="AB487" s="103" t="n"/>
      <c r="AC487" s="103" t="n"/>
      <c r="AD487" s="103" t="n"/>
      <c r="AE487" s="103" t="n"/>
      <c r="AF487" s="103" t="n"/>
      <c r="AG487" s="103" t="n"/>
      <c r="AH487" s="103" t="n"/>
      <c r="AI487" s="103" t="n"/>
      <c r="AJ487" s="103" t="n"/>
      <c r="AK487" s="103" t="n"/>
      <c r="AL487" s="103" t="n"/>
      <c r="AM487" s="103" t="n"/>
      <c r="AN487" s="103" t="n"/>
      <c r="AO487" s="103" t="n"/>
      <c r="AP487" s="103" t="n"/>
      <c r="AQ487" s="103" t="n"/>
      <c r="AR487" s="103" t="n"/>
    </row>
    <row r="490">
      <c r="A490" s="2">
        <f>IF($A483="","","   projections")</f>
        <v/>
      </c>
      <c r="B490" s="99">
        <f>IF($A483="",0,COUNT($E491:$AR491))</f>
        <v/>
      </c>
      <c r="C490" s="100">
        <f>IF($B490=0,0,MAX($E491:$AR491))</f>
        <v/>
      </c>
      <c r="D490" s="101">
        <f>BDS($A483,FLD_PROJ,"headers=y","startcol=1","endcol=3","dir=h")</f>
        <v/>
      </c>
      <c r="E490" s="102" t="n"/>
      <c r="F490" s="102" t="n"/>
      <c r="G490" s="102" t="n"/>
      <c r="H490" s="102" t="n"/>
      <c r="I490" s="102" t="n"/>
      <c r="J490" s="102" t="n"/>
      <c r="K490" s="102" t="n"/>
      <c r="L490" s="102" t="n"/>
      <c r="M490" s="102" t="n"/>
      <c r="N490" s="102" t="n"/>
      <c r="O490" s="102" t="n"/>
      <c r="P490" s="102" t="n"/>
      <c r="Q490" s="102" t="n"/>
      <c r="R490" s="102" t="n"/>
      <c r="S490" s="102" t="n"/>
      <c r="T490" s="102" t="n"/>
      <c r="U490" s="102" t="n"/>
      <c r="V490" s="102" t="n"/>
      <c r="W490" s="102" t="n"/>
      <c r="X490" s="102" t="n"/>
      <c r="Y490" s="102" t="n"/>
      <c r="Z490" s="102" t="n"/>
      <c r="AA490" s="102" t="n"/>
      <c r="AB490" s="102" t="n"/>
      <c r="AC490" s="102" t="n"/>
      <c r="AD490" s="102" t="n"/>
      <c r="AE490" s="102" t="n"/>
      <c r="AF490" s="102" t="n"/>
      <c r="AG490" s="102" t="n"/>
      <c r="AH490" s="102" t="n"/>
      <c r="AI490" s="102" t="n"/>
      <c r="AJ490" s="102" t="n"/>
      <c r="AK490" s="102" t="n"/>
      <c r="AL490" s="102" t="n"/>
      <c r="AM490" s="102" t="n"/>
      <c r="AN490" s="102" t="n"/>
      <c r="AO490" s="102" t="n"/>
      <c r="AP490" s="102" t="n"/>
      <c r="AQ490" s="102" t="n"/>
      <c r="AR490" s="102" t="n"/>
    </row>
    <row r="491">
      <c r="D491" s="102" t="n"/>
      <c r="E491" s="102" t="n"/>
      <c r="F491" s="102" t="n"/>
      <c r="G491" s="102" t="n"/>
      <c r="H491" s="102" t="n"/>
      <c r="I491" s="102" t="n"/>
      <c r="J491" s="102" t="n"/>
      <c r="K491" s="102" t="n"/>
      <c r="L491" s="102" t="n"/>
      <c r="M491" s="102" t="n"/>
      <c r="N491" s="102" t="n"/>
      <c r="O491" s="102" t="n"/>
      <c r="P491" s="102" t="n"/>
      <c r="Q491" s="102" t="n"/>
      <c r="R491" s="102" t="n"/>
      <c r="S491" s="102" t="n"/>
      <c r="T491" s="102" t="n"/>
      <c r="U491" s="102" t="n"/>
      <c r="V491" s="102" t="n"/>
      <c r="W491" s="102" t="n"/>
      <c r="X491" s="102" t="n"/>
      <c r="Y491" s="102" t="n"/>
      <c r="Z491" s="102" t="n"/>
      <c r="AA491" s="102" t="n"/>
      <c r="AB491" s="102" t="n"/>
      <c r="AC491" s="102" t="n"/>
      <c r="AD491" s="102" t="n"/>
      <c r="AE491" s="102" t="n"/>
      <c r="AF491" s="102" t="n"/>
      <c r="AG491" s="102" t="n"/>
      <c r="AH491" s="102" t="n"/>
      <c r="AI491" s="102" t="n"/>
      <c r="AJ491" s="102" t="n"/>
      <c r="AK491" s="102" t="n"/>
      <c r="AL491" s="102" t="n"/>
      <c r="AM491" s="102" t="n"/>
      <c r="AN491" s="102" t="n"/>
      <c r="AO491" s="102" t="n"/>
      <c r="AP491" s="102" t="n"/>
      <c r="AQ491" s="102" t="n"/>
      <c r="AR491" s="102" t="n"/>
    </row>
    <row r="492">
      <c r="D492" s="103" t="n"/>
      <c r="E492" s="103" t="n"/>
      <c r="F492" s="103" t="n"/>
      <c r="G492" s="103" t="n"/>
      <c r="H492" s="103" t="n"/>
      <c r="I492" s="103" t="n"/>
      <c r="J492" s="103" t="n"/>
      <c r="K492" s="103" t="n"/>
      <c r="L492" s="103" t="n"/>
      <c r="M492" s="103" t="n"/>
      <c r="N492" s="103" t="n"/>
      <c r="O492" s="103" t="n"/>
      <c r="P492" s="103" t="n"/>
      <c r="Q492" s="103" t="n"/>
      <c r="R492" s="103" t="n"/>
      <c r="S492" s="103" t="n"/>
      <c r="T492" s="103" t="n"/>
      <c r="U492" s="103" t="n"/>
      <c r="V492" s="103" t="n"/>
      <c r="W492" s="103" t="n"/>
      <c r="X492" s="103" t="n"/>
      <c r="Y492" s="103" t="n"/>
      <c r="Z492" s="103" t="n"/>
      <c r="AA492" s="103" t="n"/>
      <c r="AB492" s="103" t="n"/>
      <c r="AC492" s="103" t="n"/>
      <c r="AD492" s="103" t="n"/>
      <c r="AE492" s="103" t="n"/>
      <c r="AF492" s="103" t="n"/>
      <c r="AG492" s="103" t="n"/>
      <c r="AH492" s="103" t="n"/>
      <c r="AI492" s="103" t="n"/>
      <c r="AJ492" s="103" t="n"/>
      <c r="AK492" s="103" t="n"/>
      <c r="AL492" s="103" t="n"/>
      <c r="AM492" s="103" t="n"/>
      <c r="AN492" s="103" t="n"/>
      <c r="AO492" s="103" t="n"/>
      <c r="AP492" s="103" t="n"/>
      <c r="AQ492" s="103" t="n"/>
      <c r="AR492" s="103" t="n"/>
    </row>
    <row r="494">
      <c r="A494" s="8">
        <f>IF(HSI!$C$51="","",HSI!$C$51)</f>
        <v/>
      </c>
      <c r="B494" s="99">
        <f>IF($A494="",0,COUNT($E495:$AR495))</f>
        <v/>
      </c>
      <c r="C494" s="100">
        <f>IF($B494=0,0,MAX($E495:$AR495))</f>
        <v/>
      </c>
      <c r="D494" s="101">
        <f>BDS($A494,FLD_HIST,"headers=y","startcol=1","endcol=7","dir=h","DVD_START_DT",HIST_FROM,"DVD_END_DT",HIST_TO)</f>
        <v/>
      </c>
      <c r="E494" s="102" t="n"/>
      <c r="F494" s="102" t="n"/>
      <c r="G494" s="102" t="n"/>
      <c r="H494" s="102" t="n"/>
      <c r="I494" s="102" t="n"/>
      <c r="J494" s="102" t="n"/>
      <c r="K494" s="102" t="n"/>
      <c r="L494" s="102" t="n"/>
      <c r="M494" s="102" t="n"/>
      <c r="N494" s="102" t="n"/>
      <c r="O494" s="102" t="n"/>
      <c r="P494" s="102" t="n"/>
      <c r="Q494" s="102" t="n"/>
      <c r="R494" s="102" t="n"/>
      <c r="S494" s="102" t="n"/>
      <c r="T494" s="102" t="n"/>
      <c r="U494" s="102" t="n"/>
      <c r="V494" s="102" t="n"/>
      <c r="W494" s="102" t="n"/>
      <c r="X494" s="102" t="n"/>
      <c r="Y494" s="102" t="n"/>
      <c r="Z494" s="102" t="n"/>
      <c r="AA494" s="102" t="n"/>
      <c r="AB494" s="102" t="n"/>
      <c r="AC494" s="102" t="n"/>
      <c r="AD494" s="102" t="n"/>
      <c r="AE494" s="102" t="n"/>
      <c r="AF494" s="102" t="n"/>
      <c r="AG494" s="102" t="n"/>
      <c r="AH494" s="102" t="n"/>
      <c r="AI494" s="102" t="n"/>
      <c r="AJ494" s="102" t="n"/>
      <c r="AK494" s="102" t="n"/>
      <c r="AL494" s="102" t="n"/>
      <c r="AM494" s="102" t="n"/>
      <c r="AN494" s="102" t="n"/>
      <c r="AO494" s="102" t="n"/>
      <c r="AP494" s="102" t="n"/>
      <c r="AQ494" s="102" t="n"/>
      <c r="AR494" s="102" t="n"/>
    </row>
    <row r="495">
      <c r="D495" s="102" t="n"/>
      <c r="E495" s="102" t="n"/>
      <c r="F495" s="102" t="n"/>
      <c r="G495" s="102" t="n"/>
      <c r="H495" s="102" t="n"/>
      <c r="I495" s="102" t="n"/>
      <c r="J495" s="102" t="n"/>
      <c r="K495" s="102" t="n"/>
      <c r="L495" s="102" t="n"/>
      <c r="M495" s="102" t="n"/>
      <c r="N495" s="102" t="n"/>
      <c r="O495" s="102" t="n"/>
      <c r="P495" s="102" t="n"/>
      <c r="Q495" s="102" t="n"/>
      <c r="R495" s="102" t="n"/>
      <c r="S495" s="102" t="n"/>
      <c r="T495" s="102" t="n"/>
      <c r="U495" s="102" t="n"/>
      <c r="V495" s="102" t="n"/>
      <c r="W495" s="102" t="n"/>
      <c r="X495" s="102" t="n"/>
      <c r="Y495" s="102" t="n"/>
      <c r="Z495" s="102" t="n"/>
      <c r="AA495" s="102" t="n"/>
      <c r="AB495" s="102" t="n"/>
      <c r="AC495" s="102" t="n"/>
      <c r="AD495" s="102" t="n"/>
      <c r="AE495" s="102" t="n"/>
      <c r="AF495" s="102" t="n"/>
      <c r="AG495" s="102" t="n"/>
      <c r="AH495" s="102" t="n"/>
      <c r="AI495" s="102" t="n"/>
      <c r="AJ495" s="102" t="n"/>
      <c r="AK495" s="102" t="n"/>
      <c r="AL495" s="102" t="n"/>
      <c r="AM495" s="102" t="n"/>
      <c r="AN495" s="102" t="n"/>
      <c r="AO495" s="102" t="n"/>
      <c r="AP495" s="102" t="n"/>
      <c r="AQ495" s="102" t="n"/>
      <c r="AR495" s="102" t="n"/>
    </row>
    <row r="496">
      <c r="D496" s="102" t="n"/>
      <c r="E496" s="102" t="n"/>
      <c r="F496" s="102" t="n"/>
      <c r="G496" s="102" t="n"/>
      <c r="H496" s="102" t="n"/>
      <c r="I496" s="102" t="n"/>
      <c r="J496" s="102" t="n"/>
      <c r="K496" s="102" t="n"/>
      <c r="L496" s="102" t="n"/>
      <c r="M496" s="102" t="n"/>
      <c r="N496" s="102" t="n"/>
      <c r="O496" s="102" t="n"/>
      <c r="P496" s="102" t="n"/>
      <c r="Q496" s="102" t="n"/>
      <c r="R496" s="102" t="n"/>
      <c r="S496" s="102" t="n"/>
      <c r="T496" s="102" t="n"/>
      <c r="U496" s="102" t="n"/>
      <c r="V496" s="102" t="n"/>
      <c r="W496" s="102" t="n"/>
      <c r="X496" s="102" t="n"/>
      <c r="Y496" s="102" t="n"/>
      <c r="Z496" s="102" t="n"/>
      <c r="AA496" s="102" t="n"/>
      <c r="AB496" s="102" t="n"/>
      <c r="AC496" s="102" t="n"/>
      <c r="AD496" s="102" t="n"/>
      <c r="AE496" s="102" t="n"/>
      <c r="AF496" s="102" t="n"/>
      <c r="AG496" s="102" t="n"/>
      <c r="AH496" s="102" t="n"/>
      <c r="AI496" s="102" t="n"/>
      <c r="AJ496" s="102" t="n"/>
      <c r="AK496" s="102" t="n"/>
      <c r="AL496" s="102" t="n"/>
      <c r="AM496" s="102" t="n"/>
      <c r="AN496" s="102" t="n"/>
      <c r="AO496" s="102" t="n"/>
      <c r="AP496" s="102" t="n"/>
      <c r="AQ496" s="102" t="n"/>
      <c r="AR496" s="102" t="n"/>
    </row>
    <row r="497">
      <c r="D497" s="102" t="n"/>
      <c r="E497" s="102" t="n"/>
      <c r="F497" s="102" t="n"/>
      <c r="G497" s="102" t="n"/>
      <c r="H497" s="102" t="n"/>
      <c r="I497" s="102" t="n"/>
      <c r="J497" s="102" t="n"/>
      <c r="K497" s="102" t="n"/>
      <c r="L497" s="102" t="n"/>
      <c r="M497" s="102" t="n"/>
      <c r="N497" s="102" t="n"/>
      <c r="O497" s="102" t="n"/>
      <c r="P497" s="102" t="n"/>
      <c r="Q497" s="102" t="n"/>
      <c r="R497" s="102" t="n"/>
      <c r="S497" s="102" t="n"/>
      <c r="T497" s="102" t="n"/>
      <c r="U497" s="102" t="n"/>
      <c r="V497" s="102" t="n"/>
      <c r="W497" s="102" t="n"/>
      <c r="X497" s="102" t="n"/>
      <c r="Y497" s="102" t="n"/>
      <c r="Z497" s="102" t="n"/>
      <c r="AA497" s="102" t="n"/>
      <c r="AB497" s="102" t="n"/>
      <c r="AC497" s="102" t="n"/>
      <c r="AD497" s="102" t="n"/>
      <c r="AE497" s="102" t="n"/>
      <c r="AF497" s="102" t="n"/>
      <c r="AG497" s="102" t="n"/>
      <c r="AH497" s="102" t="n"/>
      <c r="AI497" s="102" t="n"/>
      <c r="AJ497" s="102" t="n"/>
      <c r="AK497" s="102" t="n"/>
      <c r="AL497" s="102" t="n"/>
      <c r="AM497" s="102" t="n"/>
      <c r="AN497" s="102" t="n"/>
      <c r="AO497" s="102" t="n"/>
      <c r="AP497" s="102" t="n"/>
      <c r="AQ497" s="102" t="n"/>
      <c r="AR497" s="102" t="n"/>
    </row>
    <row r="498">
      <c r="D498" s="103" t="n"/>
      <c r="E498" s="103" t="n"/>
      <c r="F498" s="103" t="n"/>
      <c r="G498" s="103" t="n"/>
      <c r="H498" s="103" t="n"/>
      <c r="I498" s="103" t="n"/>
      <c r="J498" s="103" t="n"/>
      <c r="K498" s="103" t="n"/>
      <c r="L498" s="103" t="n"/>
      <c r="M498" s="103" t="n"/>
      <c r="N498" s="103" t="n"/>
      <c r="O498" s="103" t="n"/>
      <c r="P498" s="103" t="n"/>
      <c r="Q498" s="103" t="n"/>
      <c r="R498" s="103" t="n"/>
      <c r="S498" s="103" t="n"/>
      <c r="T498" s="103" t="n"/>
      <c r="U498" s="103" t="n"/>
      <c r="V498" s="103" t="n"/>
      <c r="W498" s="103" t="n"/>
      <c r="X498" s="103" t="n"/>
      <c r="Y498" s="103" t="n"/>
      <c r="Z498" s="103" t="n"/>
      <c r="AA498" s="103" t="n"/>
      <c r="AB498" s="103" t="n"/>
      <c r="AC498" s="103" t="n"/>
      <c r="AD498" s="103" t="n"/>
      <c r="AE498" s="103" t="n"/>
      <c r="AF498" s="103" t="n"/>
      <c r="AG498" s="103" t="n"/>
      <c r="AH498" s="103" t="n"/>
      <c r="AI498" s="103" t="n"/>
      <c r="AJ498" s="103" t="n"/>
      <c r="AK498" s="103" t="n"/>
      <c r="AL498" s="103" t="n"/>
      <c r="AM498" s="103" t="n"/>
      <c r="AN498" s="103" t="n"/>
      <c r="AO498" s="103" t="n"/>
      <c r="AP498" s="103" t="n"/>
      <c r="AQ498" s="103" t="n"/>
      <c r="AR498" s="103" t="n"/>
    </row>
    <row r="501">
      <c r="A501" s="2">
        <f>IF($A494="","","   projections")</f>
        <v/>
      </c>
      <c r="B501" s="99">
        <f>IF($A494="",0,COUNT($E502:$AR502))</f>
        <v/>
      </c>
      <c r="C501" s="100">
        <f>IF($B501=0,0,MAX($E502:$AR502))</f>
        <v/>
      </c>
      <c r="D501" s="101">
        <f>BDS($A494,FLD_PROJ,"headers=y","startcol=1","endcol=3","dir=h")</f>
        <v/>
      </c>
      <c r="E501" s="102" t="n"/>
      <c r="F501" s="102" t="n"/>
      <c r="G501" s="102" t="n"/>
      <c r="H501" s="102" t="n"/>
      <c r="I501" s="102" t="n"/>
      <c r="J501" s="102" t="n"/>
      <c r="K501" s="102" t="n"/>
      <c r="L501" s="102" t="n"/>
      <c r="M501" s="102" t="n"/>
      <c r="N501" s="102" t="n"/>
      <c r="O501" s="102" t="n"/>
      <c r="P501" s="102" t="n"/>
      <c r="Q501" s="102" t="n"/>
      <c r="R501" s="102" t="n"/>
      <c r="S501" s="102" t="n"/>
      <c r="T501" s="102" t="n"/>
      <c r="U501" s="102" t="n"/>
      <c r="V501" s="102" t="n"/>
      <c r="W501" s="102" t="n"/>
      <c r="X501" s="102" t="n"/>
      <c r="Y501" s="102" t="n"/>
      <c r="Z501" s="102" t="n"/>
      <c r="AA501" s="102" t="n"/>
      <c r="AB501" s="102" t="n"/>
      <c r="AC501" s="102" t="n"/>
      <c r="AD501" s="102" t="n"/>
      <c r="AE501" s="102" t="n"/>
      <c r="AF501" s="102" t="n"/>
      <c r="AG501" s="102" t="n"/>
      <c r="AH501" s="102" t="n"/>
      <c r="AI501" s="102" t="n"/>
      <c r="AJ501" s="102" t="n"/>
      <c r="AK501" s="102" t="n"/>
      <c r="AL501" s="102" t="n"/>
      <c r="AM501" s="102" t="n"/>
      <c r="AN501" s="102" t="n"/>
      <c r="AO501" s="102" t="n"/>
      <c r="AP501" s="102" t="n"/>
      <c r="AQ501" s="102" t="n"/>
      <c r="AR501" s="102" t="n"/>
    </row>
    <row r="502">
      <c r="D502" s="102" t="n"/>
      <c r="E502" s="102" t="n"/>
      <c r="F502" s="102" t="n"/>
      <c r="G502" s="102" t="n"/>
      <c r="H502" s="102" t="n"/>
      <c r="I502" s="102" t="n"/>
      <c r="J502" s="102" t="n"/>
      <c r="K502" s="102" t="n"/>
      <c r="L502" s="102" t="n"/>
      <c r="M502" s="102" t="n"/>
      <c r="N502" s="102" t="n"/>
      <c r="O502" s="102" t="n"/>
      <c r="P502" s="102" t="n"/>
      <c r="Q502" s="102" t="n"/>
      <c r="R502" s="102" t="n"/>
      <c r="S502" s="102" t="n"/>
      <c r="T502" s="102" t="n"/>
      <c r="U502" s="102" t="n"/>
      <c r="V502" s="102" t="n"/>
      <c r="W502" s="102" t="n"/>
      <c r="X502" s="102" t="n"/>
      <c r="Y502" s="102" t="n"/>
      <c r="Z502" s="102" t="n"/>
      <c r="AA502" s="102" t="n"/>
      <c r="AB502" s="102" t="n"/>
      <c r="AC502" s="102" t="n"/>
      <c r="AD502" s="102" t="n"/>
      <c r="AE502" s="102" t="n"/>
      <c r="AF502" s="102" t="n"/>
      <c r="AG502" s="102" t="n"/>
      <c r="AH502" s="102" t="n"/>
      <c r="AI502" s="102" t="n"/>
      <c r="AJ502" s="102" t="n"/>
      <c r="AK502" s="102" t="n"/>
      <c r="AL502" s="102" t="n"/>
      <c r="AM502" s="102" t="n"/>
      <c r="AN502" s="102" t="n"/>
      <c r="AO502" s="102" t="n"/>
      <c r="AP502" s="102" t="n"/>
      <c r="AQ502" s="102" t="n"/>
      <c r="AR502" s="102" t="n"/>
    </row>
    <row r="503">
      <c r="D503" s="103" t="n"/>
      <c r="E503" s="103" t="n"/>
      <c r="F503" s="103" t="n"/>
      <c r="G503" s="103" t="n"/>
      <c r="H503" s="103" t="n"/>
      <c r="I503" s="103" t="n"/>
      <c r="J503" s="103" t="n"/>
      <c r="K503" s="103" t="n"/>
      <c r="L503" s="103" t="n"/>
      <c r="M503" s="103" t="n"/>
      <c r="N503" s="103" t="n"/>
      <c r="O503" s="103" t="n"/>
      <c r="P503" s="103" t="n"/>
      <c r="Q503" s="103" t="n"/>
      <c r="R503" s="103" t="n"/>
      <c r="S503" s="103" t="n"/>
      <c r="T503" s="103" t="n"/>
      <c r="U503" s="103" t="n"/>
      <c r="V503" s="103" t="n"/>
      <c r="W503" s="103" t="n"/>
      <c r="X503" s="103" t="n"/>
      <c r="Y503" s="103" t="n"/>
      <c r="Z503" s="103" t="n"/>
      <c r="AA503" s="103" t="n"/>
      <c r="AB503" s="103" t="n"/>
      <c r="AC503" s="103" t="n"/>
      <c r="AD503" s="103" t="n"/>
      <c r="AE503" s="103" t="n"/>
      <c r="AF503" s="103" t="n"/>
      <c r="AG503" s="103" t="n"/>
      <c r="AH503" s="103" t="n"/>
      <c r="AI503" s="103" t="n"/>
      <c r="AJ503" s="103" t="n"/>
      <c r="AK503" s="103" t="n"/>
      <c r="AL503" s="103" t="n"/>
      <c r="AM503" s="103" t="n"/>
      <c r="AN503" s="103" t="n"/>
      <c r="AO503" s="103" t="n"/>
      <c r="AP503" s="103" t="n"/>
      <c r="AQ503" s="103" t="n"/>
      <c r="AR503" s="103" t="n"/>
    </row>
    <row r="505">
      <c r="A505" s="8">
        <f>IF(HSI!$C$52="","",HSI!$C$52)</f>
        <v/>
      </c>
      <c r="B505" s="99">
        <f>IF($A505="",0,COUNT($E506:$AR506))</f>
        <v/>
      </c>
      <c r="C505" s="100">
        <f>IF($B505=0,0,MAX($E506:$AR506))</f>
        <v/>
      </c>
      <c r="D505" s="101">
        <f>BDS($A505,FLD_HIST,"headers=y","startcol=1","endcol=7","dir=h","DVD_START_DT",HIST_FROM,"DVD_END_DT",HIST_TO)</f>
        <v/>
      </c>
      <c r="E505" s="102" t="n"/>
      <c r="F505" s="102" t="n"/>
      <c r="G505" s="102" t="n"/>
      <c r="H505" s="102" t="n"/>
      <c r="I505" s="102" t="n"/>
      <c r="J505" s="102" t="n"/>
      <c r="K505" s="102" t="n"/>
      <c r="L505" s="102" t="n"/>
      <c r="M505" s="102" t="n"/>
      <c r="N505" s="102" t="n"/>
      <c r="O505" s="102" t="n"/>
      <c r="P505" s="102" t="n"/>
      <c r="Q505" s="102" t="n"/>
      <c r="R505" s="102" t="n"/>
      <c r="S505" s="102" t="n"/>
      <c r="T505" s="102" t="n"/>
      <c r="U505" s="102" t="n"/>
      <c r="V505" s="102" t="n"/>
      <c r="W505" s="102" t="n"/>
      <c r="X505" s="102" t="n"/>
      <c r="Y505" s="102" t="n"/>
      <c r="Z505" s="102" t="n"/>
      <c r="AA505" s="102" t="n"/>
      <c r="AB505" s="102" t="n"/>
      <c r="AC505" s="102" t="n"/>
      <c r="AD505" s="102" t="n"/>
      <c r="AE505" s="102" t="n"/>
      <c r="AF505" s="102" t="n"/>
      <c r="AG505" s="102" t="n"/>
      <c r="AH505" s="102" t="n"/>
      <c r="AI505" s="102" t="n"/>
      <c r="AJ505" s="102" t="n"/>
      <c r="AK505" s="102" t="n"/>
      <c r="AL505" s="102" t="n"/>
      <c r="AM505" s="102" t="n"/>
      <c r="AN505" s="102" t="n"/>
      <c r="AO505" s="102" t="n"/>
      <c r="AP505" s="102" t="n"/>
      <c r="AQ505" s="102" t="n"/>
      <c r="AR505" s="102" t="n"/>
    </row>
    <row r="506">
      <c r="D506" s="102" t="n"/>
      <c r="E506" s="102" t="n"/>
      <c r="F506" s="102" t="n"/>
      <c r="G506" s="102" t="n"/>
      <c r="H506" s="102" t="n"/>
      <c r="I506" s="102" t="n"/>
      <c r="J506" s="102" t="n"/>
      <c r="K506" s="102" t="n"/>
      <c r="L506" s="102" t="n"/>
      <c r="M506" s="102" t="n"/>
      <c r="N506" s="102" t="n"/>
      <c r="O506" s="102" t="n"/>
      <c r="P506" s="102" t="n"/>
      <c r="Q506" s="102" t="n"/>
      <c r="R506" s="102" t="n"/>
      <c r="S506" s="102" t="n"/>
      <c r="T506" s="102" t="n"/>
      <c r="U506" s="102" t="n"/>
      <c r="V506" s="102" t="n"/>
      <c r="W506" s="102" t="n"/>
      <c r="X506" s="102" t="n"/>
      <c r="Y506" s="102" t="n"/>
      <c r="Z506" s="102" t="n"/>
      <c r="AA506" s="102" t="n"/>
      <c r="AB506" s="102" t="n"/>
      <c r="AC506" s="102" t="n"/>
      <c r="AD506" s="102" t="n"/>
      <c r="AE506" s="102" t="n"/>
      <c r="AF506" s="102" t="n"/>
      <c r="AG506" s="102" t="n"/>
      <c r="AH506" s="102" t="n"/>
      <c r="AI506" s="102" t="n"/>
      <c r="AJ506" s="102" t="n"/>
      <c r="AK506" s="102" t="n"/>
      <c r="AL506" s="102" t="n"/>
      <c r="AM506" s="102" t="n"/>
      <c r="AN506" s="102" t="n"/>
      <c r="AO506" s="102" t="n"/>
      <c r="AP506" s="102" t="n"/>
      <c r="AQ506" s="102" t="n"/>
      <c r="AR506" s="102" t="n"/>
    </row>
    <row r="507">
      <c r="D507" s="102" t="n"/>
      <c r="E507" s="102" t="n"/>
      <c r="F507" s="102" t="n"/>
      <c r="G507" s="102" t="n"/>
      <c r="H507" s="102" t="n"/>
      <c r="I507" s="102" t="n"/>
      <c r="J507" s="102" t="n"/>
      <c r="K507" s="102" t="n"/>
      <c r="L507" s="102" t="n"/>
      <c r="M507" s="102" t="n"/>
      <c r="N507" s="102" t="n"/>
      <c r="O507" s="102" t="n"/>
      <c r="P507" s="102" t="n"/>
      <c r="Q507" s="102" t="n"/>
      <c r="R507" s="102" t="n"/>
      <c r="S507" s="102" t="n"/>
      <c r="T507" s="102" t="n"/>
      <c r="U507" s="102" t="n"/>
      <c r="V507" s="102" t="n"/>
      <c r="W507" s="102" t="n"/>
      <c r="X507" s="102" t="n"/>
      <c r="Y507" s="102" t="n"/>
      <c r="Z507" s="102" t="n"/>
      <c r="AA507" s="102" t="n"/>
      <c r="AB507" s="102" t="n"/>
      <c r="AC507" s="102" t="n"/>
      <c r="AD507" s="102" t="n"/>
      <c r="AE507" s="102" t="n"/>
      <c r="AF507" s="102" t="n"/>
      <c r="AG507" s="102" t="n"/>
      <c r="AH507" s="102" t="n"/>
      <c r="AI507" s="102" t="n"/>
      <c r="AJ507" s="102" t="n"/>
      <c r="AK507" s="102" t="n"/>
      <c r="AL507" s="102" t="n"/>
      <c r="AM507" s="102" t="n"/>
      <c r="AN507" s="102" t="n"/>
      <c r="AO507" s="102" t="n"/>
      <c r="AP507" s="102" t="n"/>
      <c r="AQ507" s="102" t="n"/>
      <c r="AR507" s="102" t="n"/>
    </row>
    <row r="508">
      <c r="D508" s="102" t="n"/>
      <c r="E508" s="102" t="n"/>
      <c r="F508" s="102" t="n"/>
      <c r="G508" s="102" t="n"/>
      <c r="H508" s="102" t="n"/>
      <c r="I508" s="102" t="n"/>
      <c r="J508" s="102" t="n"/>
      <c r="K508" s="102" t="n"/>
      <c r="L508" s="102" t="n"/>
      <c r="M508" s="102" t="n"/>
      <c r="N508" s="102" t="n"/>
      <c r="O508" s="102" t="n"/>
      <c r="P508" s="102" t="n"/>
      <c r="Q508" s="102" t="n"/>
      <c r="R508" s="102" t="n"/>
      <c r="S508" s="102" t="n"/>
      <c r="T508" s="102" t="n"/>
      <c r="U508" s="102" t="n"/>
      <c r="V508" s="102" t="n"/>
      <c r="W508" s="102" t="n"/>
      <c r="X508" s="102" t="n"/>
      <c r="Y508" s="102" t="n"/>
      <c r="Z508" s="102" t="n"/>
      <c r="AA508" s="102" t="n"/>
      <c r="AB508" s="102" t="n"/>
      <c r="AC508" s="102" t="n"/>
      <c r="AD508" s="102" t="n"/>
      <c r="AE508" s="102" t="n"/>
      <c r="AF508" s="102" t="n"/>
      <c r="AG508" s="102" t="n"/>
      <c r="AH508" s="102" t="n"/>
      <c r="AI508" s="102" t="n"/>
      <c r="AJ508" s="102" t="n"/>
      <c r="AK508" s="102" t="n"/>
      <c r="AL508" s="102" t="n"/>
      <c r="AM508" s="102" t="n"/>
      <c r="AN508" s="102" t="n"/>
      <c r="AO508" s="102" t="n"/>
      <c r="AP508" s="102" t="n"/>
      <c r="AQ508" s="102" t="n"/>
      <c r="AR508" s="102" t="n"/>
    </row>
    <row r="509">
      <c r="D509" s="103" t="n"/>
      <c r="E509" s="103" t="n"/>
      <c r="F509" s="103" t="n"/>
      <c r="G509" s="103" t="n"/>
      <c r="H509" s="103" t="n"/>
      <c r="I509" s="103" t="n"/>
      <c r="J509" s="103" t="n"/>
      <c r="K509" s="103" t="n"/>
      <c r="L509" s="103" t="n"/>
      <c r="M509" s="103" t="n"/>
      <c r="N509" s="103" t="n"/>
      <c r="O509" s="103" t="n"/>
      <c r="P509" s="103" t="n"/>
      <c r="Q509" s="103" t="n"/>
      <c r="R509" s="103" t="n"/>
      <c r="S509" s="103" t="n"/>
      <c r="T509" s="103" t="n"/>
      <c r="U509" s="103" t="n"/>
      <c r="V509" s="103" t="n"/>
      <c r="W509" s="103" t="n"/>
      <c r="X509" s="103" t="n"/>
      <c r="Y509" s="103" t="n"/>
      <c r="Z509" s="103" t="n"/>
      <c r="AA509" s="103" t="n"/>
      <c r="AB509" s="103" t="n"/>
      <c r="AC509" s="103" t="n"/>
      <c r="AD509" s="103" t="n"/>
      <c r="AE509" s="103" t="n"/>
      <c r="AF509" s="103" t="n"/>
      <c r="AG509" s="103" t="n"/>
      <c r="AH509" s="103" t="n"/>
      <c r="AI509" s="103" t="n"/>
      <c r="AJ509" s="103" t="n"/>
      <c r="AK509" s="103" t="n"/>
      <c r="AL509" s="103" t="n"/>
      <c r="AM509" s="103" t="n"/>
      <c r="AN509" s="103" t="n"/>
      <c r="AO509" s="103" t="n"/>
      <c r="AP509" s="103" t="n"/>
      <c r="AQ509" s="103" t="n"/>
      <c r="AR509" s="103" t="n"/>
    </row>
    <row r="512">
      <c r="A512" s="2">
        <f>IF($A505="","","   projections")</f>
        <v/>
      </c>
      <c r="B512" s="99">
        <f>IF($A505="",0,COUNT($E513:$AR513))</f>
        <v/>
      </c>
      <c r="C512" s="100">
        <f>IF($B512=0,0,MAX($E513:$AR513))</f>
        <v/>
      </c>
      <c r="D512" s="101">
        <f>BDS($A505,FLD_PROJ,"headers=y","startcol=1","endcol=3","dir=h")</f>
        <v/>
      </c>
      <c r="E512" s="102" t="n"/>
      <c r="F512" s="102" t="n"/>
      <c r="G512" s="102" t="n"/>
      <c r="H512" s="102" t="n"/>
      <c r="I512" s="102" t="n"/>
      <c r="J512" s="102" t="n"/>
      <c r="K512" s="102" t="n"/>
      <c r="L512" s="102" t="n"/>
      <c r="M512" s="102" t="n"/>
      <c r="N512" s="102" t="n"/>
      <c r="O512" s="102" t="n"/>
      <c r="P512" s="102" t="n"/>
      <c r="Q512" s="102" t="n"/>
      <c r="R512" s="102" t="n"/>
      <c r="S512" s="102" t="n"/>
      <c r="T512" s="102" t="n"/>
      <c r="U512" s="102" t="n"/>
      <c r="V512" s="102" t="n"/>
      <c r="W512" s="102" t="n"/>
      <c r="X512" s="102" t="n"/>
      <c r="Y512" s="102" t="n"/>
      <c r="Z512" s="102" t="n"/>
      <c r="AA512" s="102" t="n"/>
      <c r="AB512" s="102" t="n"/>
      <c r="AC512" s="102" t="n"/>
      <c r="AD512" s="102" t="n"/>
      <c r="AE512" s="102" t="n"/>
      <c r="AF512" s="102" t="n"/>
      <c r="AG512" s="102" t="n"/>
      <c r="AH512" s="102" t="n"/>
      <c r="AI512" s="102" t="n"/>
      <c r="AJ512" s="102" t="n"/>
      <c r="AK512" s="102" t="n"/>
      <c r="AL512" s="102" t="n"/>
      <c r="AM512" s="102" t="n"/>
      <c r="AN512" s="102" t="n"/>
      <c r="AO512" s="102" t="n"/>
      <c r="AP512" s="102" t="n"/>
      <c r="AQ512" s="102" t="n"/>
      <c r="AR512" s="102" t="n"/>
    </row>
    <row r="513">
      <c r="D513" s="102" t="n"/>
      <c r="E513" s="102" t="n"/>
      <c r="F513" s="102" t="n"/>
      <c r="G513" s="102" t="n"/>
      <c r="H513" s="102" t="n"/>
      <c r="I513" s="102" t="n"/>
      <c r="J513" s="102" t="n"/>
      <c r="K513" s="102" t="n"/>
      <c r="L513" s="102" t="n"/>
      <c r="M513" s="102" t="n"/>
      <c r="N513" s="102" t="n"/>
      <c r="O513" s="102" t="n"/>
      <c r="P513" s="102" t="n"/>
      <c r="Q513" s="102" t="n"/>
      <c r="R513" s="102" t="n"/>
      <c r="S513" s="102" t="n"/>
      <c r="T513" s="102" t="n"/>
      <c r="U513" s="102" t="n"/>
      <c r="V513" s="102" t="n"/>
      <c r="W513" s="102" t="n"/>
      <c r="X513" s="102" t="n"/>
      <c r="Y513" s="102" t="n"/>
      <c r="Z513" s="102" t="n"/>
      <c r="AA513" s="102" t="n"/>
      <c r="AB513" s="102" t="n"/>
      <c r="AC513" s="102" t="n"/>
      <c r="AD513" s="102" t="n"/>
      <c r="AE513" s="102" t="n"/>
      <c r="AF513" s="102" t="n"/>
      <c r="AG513" s="102" t="n"/>
      <c r="AH513" s="102" t="n"/>
      <c r="AI513" s="102" t="n"/>
      <c r="AJ513" s="102" t="n"/>
      <c r="AK513" s="102" t="n"/>
      <c r="AL513" s="102" t="n"/>
      <c r="AM513" s="102" t="n"/>
      <c r="AN513" s="102" t="n"/>
      <c r="AO513" s="102" t="n"/>
      <c r="AP513" s="102" t="n"/>
      <c r="AQ513" s="102" t="n"/>
      <c r="AR513" s="102" t="n"/>
    </row>
    <row r="514">
      <c r="D514" s="103" t="n"/>
      <c r="E514" s="103" t="n"/>
      <c r="F514" s="103" t="n"/>
      <c r="G514" s="103" t="n"/>
      <c r="H514" s="103" t="n"/>
      <c r="I514" s="103" t="n"/>
      <c r="J514" s="103" t="n"/>
      <c r="K514" s="103" t="n"/>
      <c r="L514" s="103" t="n"/>
      <c r="M514" s="103" t="n"/>
      <c r="N514" s="103" t="n"/>
      <c r="O514" s="103" t="n"/>
      <c r="P514" s="103" t="n"/>
      <c r="Q514" s="103" t="n"/>
      <c r="R514" s="103" t="n"/>
      <c r="S514" s="103" t="n"/>
      <c r="T514" s="103" t="n"/>
      <c r="U514" s="103" t="n"/>
      <c r="V514" s="103" t="n"/>
      <c r="W514" s="103" t="n"/>
      <c r="X514" s="103" t="n"/>
      <c r="Y514" s="103" t="n"/>
      <c r="Z514" s="103" t="n"/>
      <c r="AA514" s="103" t="n"/>
      <c r="AB514" s="103" t="n"/>
      <c r="AC514" s="103" t="n"/>
      <c r="AD514" s="103" t="n"/>
      <c r="AE514" s="103" t="n"/>
      <c r="AF514" s="103" t="n"/>
      <c r="AG514" s="103" t="n"/>
      <c r="AH514" s="103" t="n"/>
      <c r="AI514" s="103" t="n"/>
      <c r="AJ514" s="103" t="n"/>
      <c r="AK514" s="103" t="n"/>
      <c r="AL514" s="103" t="n"/>
      <c r="AM514" s="103" t="n"/>
      <c r="AN514" s="103" t="n"/>
      <c r="AO514" s="103" t="n"/>
      <c r="AP514" s="103" t="n"/>
      <c r="AQ514" s="103" t="n"/>
      <c r="AR514" s="103" t="n"/>
    </row>
    <row r="516">
      <c r="A516" s="8">
        <f>IF(HSI!$C$53="","",HSI!$C$53)</f>
        <v/>
      </c>
      <c r="B516" s="99">
        <f>IF($A516="",0,COUNT($E517:$AR517))</f>
        <v/>
      </c>
      <c r="C516" s="100">
        <f>IF($B516=0,0,MAX($E517:$AR517))</f>
        <v/>
      </c>
      <c r="D516" s="101">
        <f>BDS($A516,FLD_HIST,"headers=y","startcol=1","endcol=7","dir=h","DVD_START_DT",HIST_FROM,"DVD_END_DT",HIST_TO)</f>
        <v/>
      </c>
      <c r="E516" s="102" t="n"/>
      <c r="F516" s="102" t="n"/>
      <c r="G516" s="102" t="n"/>
      <c r="H516" s="102" t="n"/>
      <c r="I516" s="102" t="n"/>
      <c r="J516" s="102" t="n"/>
      <c r="K516" s="102" t="n"/>
      <c r="L516" s="102" t="n"/>
      <c r="M516" s="102" t="n"/>
      <c r="N516" s="102" t="n"/>
      <c r="O516" s="102" t="n"/>
      <c r="P516" s="102" t="n"/>
      <c r="Q516" s="102" t="n"/>
      <c r="R516" s="102" t="n"/>
      <c r="S516" s="102" t="n"/>
      <c r="T516" s="102" t="n"/>
      <c r="U516" s="102" t="n"/>
      <c r="V516" s="102" t="n"/>
      <c r="W516" s="102" t="n"/>
      <c r="X516" s="102" t="n"/>
      <c r="Y516" s="102" t="n"/>
      <c r="Z516" s="102" t="n"/>
      <c r="AA516" s="102" t="n"/>
      <c r="AB516" s="102" t="n"/>
      <c r="AC516" s="102" t="n"/>
      <c r="AD516" s="102" t="n"/>
      <c r="AE516" s="102" t="n"/>
      <c r="AF516" s="102" t="n"/>
      <c r="AG516" s="102" t="n"/>
      <c r="AH516" s="102" t="n"/>
      <c r="AI516" s="102" t="n"/>
      <c r="AJ516" s="102" t="n"/>
      <c r="AK516" s="102" t="n"/>
      <c r="AL516" s="102" t="n"/>
      <c r="AM516" s="102" t="n"/>
      <c r="AN516" s="102" t="n"/>
      <c r="AO516" s="102" t="n"/>
      <c r="AP516" s="102" t="n"/>
      <c r="AQ516" s="102" t="n"/>
      <c r="AR516" s="102" t="n"/>
    </row>
    <row r="517">
      <c r="D517" s="102" t="n"/>
      <c r="E517" s="102" t="n"/>
      <c r="F517" s="102" t="n"/>
      <c r="G517" s="102" t="n"/>
      <c r="H517" s="102" t="n"/>
      <c r="I517" s="102" t="n"/>
      <c r="J517" s="102" t="n"/>
      <c r="K517" s="102" t="n"/>
      <c r="L517" s="102" t="n"/>
      <c r="M517" s="102" t="n"/>
      <c r="N517" s="102" t="n"/>
      <c r="O517" s="102" t="n"/>
      <c r="P517" s="102" t="n"/>
      <c r="Q517" s="102" t="n"/>
      <c r="R517" s="102" t="n"/>
      <c r="S517" s="102" t="n"/>
      <c r="T517" s="102" t="n"/>
      <c r="U517" s="102" t="n"/>
      <c r="V517" s="102" t="n"/>
      <c r="W517" s="102" t="n"/>
      <c r="X517" s="102" t="n"/>
      <c r="Y517" s="102" t="n"/>
      <c r="Z517" s="102" t="n"/>
      <c r="AA517" s="102" t="n"/>
      <c r="AB517" s="102" t="n"/>
      <c r="AC517" s="102" t="n"/>
      <c r="AD517" s="102" t="n"/>
      <c r="AE517" s="102" t="n"/>
      <c r="AF517" s="102" t="n"/>
      <c r="AG517" s="102" t="n"/>
      <c r="AH517" s="102" t="n"/>
      <c r="AI517" s="102" t="n"/>
      <c r="AJ517" s="102" t="n"/>
      <c r="AK517" s="102" t="n"/>
      <c r="AL517" s="102" t="n"/>
      <c r="AM517" s="102" t="n"/>
      <c r="AN517" s="102" t="n"/>
      <c r="AO517" s="102" t="n"/>
      <c r="AP517" s="102" t="n"/>
      <c r="AQ517" s="102" t="n"/>
      <c r="AR517" s="102" t="n"/>
    </row>
    <row r="518">
      <c r="D518" s="102" t="n"/>
      <c r="E518" s="102" t="n"/>
      <c r="F518" s="102" t="n"/>
      <c r="G518" s="102" t="n"/>
      <c r="H518" s="102" t="n"/>
      <c r="I518" s="102" t="n"/>
      <c r="J518" s="102" t="n"/>
      <c r="K518" s="102" t="n"/>
      <c r="L518" s="102" t="n"/>
      <c r="M518" s="102" t="n"/>
      <c r="N518" s="102" t="n"/>
      <c r="O518" s="102" t="n"/>
      <c r="P518" s="102" t="n"/>
      <c r="Q518" s="102" t="n"/>
      <c r="R518" s="102" t="n"/>
      <c r="S518" s="102" t="n"/>
      <c r="T518" s="102" t="n"/>
      <c r="U518" s="102" t="n"/>
      <c r="V518" s="102" t="n"/>
      <c r="W518" s="102" t="n"/>
      <c r="X518" s="102" t="n"/>
      <c r="Y518" s="102" t="n"/>
      <c r="Z518" s="102" t="n"/>
      <c r="AA518" s="102" t="n"/>
      <c r="AB518" s="102" t="n"/>
      <c r="AC518" s="102" t="n"/>
      <c r="AD518" s="102" t="n"/>
      <c r="AE518" s="102" t="n"/>
      <c r="AF518" s="102" t="n"/>
      <c r="AG518" s="102" t="n"/>
      <c r="AH518" s="102" t="n"/>
      <c r="AI518" s="102" t="n"/>
      <c r="AJ518" s="102" t="n"/>
      <c r="AK518" s="102" t="n"/>
      <c r="AL518" s="102" t="n"/>
      <c r="AM518" s="102" t="n"/>
      <c r="AN518" s="102" t="n"/>
      <c r="AO518" s="102" t="n"/>
      <c r="AP518" s="102" t="n"/>
      <c r="AQ518" s="102" t="n"/>
      <c r="AR518" s="102" t="n"/>
    </row>
    <row r="519">
      <c r="D519" s="102" t="n"/>
      <c r="E519" s="102" t="n"/>
      <c r="F519" s="102" t="n"/>
      <c r="G519" s="102" t="n"/>
      <c r="H519" s="102" t="n"/>
      <c r="I519" s="102" t="n"/>
      <c r="J519" s="102" t="n"/>
      <c r="K519" s="102" t="n"/>
      <c r="L519" s="102" t="n"/>
      <c r="M519" s="102" t="n"/>
      <c r="N519" s="102" t="n"/>
      <c r="O519" s="102" t="n"/>
      <c r="P519" s="102" t="n"/>
      <c r="Q519" s="102" t="n"/>
      <c r="R519" s="102" t="n"/>
      <c r="S519" s="102" t="n"/>
      <c r="T519" s="102" t="n"/>
      <c r="U519" s="102" t="n"/>
      <c r="V519" s="102" t="n"/>
      <c r="W519" s="102" t="n"/>
      <c r="X519" s="102" t="n"/>
      <c r="Y519" s="102" t="n"/>
      <c r="Z519" s="102" t="n"/>
      <c r="AA519" s="102" t="n"/>
      <c r="AB519" s="102" t="n"/>
      <c r="AC519" s="102" t="n"/>
      <c r="AD519" s="102" t="n"/>
      <c r="AE519" s="102" t="n"/>
      <c r="AF519" s="102" t="n"/>
      <c r="AG519" s="102" t="n"/>
      <c r="AH519" s="102" t="n"/>
      <c r="AI519" s="102" t="n"/>
      <c r="AJ519" s="102" t="n"/>
      <c r="AK519" s="102" t="n"/>
      <c r="AL519" s="102" t="n"/>
      <c r="AM519" s="102" t="n"/>
      <c r="AN519" s="102" t="n"/>
      <c r="AO519" s="102" t="n"/>
      <c r="AP519" s="102" t="n"/>
      <c r="AQ519" s="102" t="n"/>
      <c r="AR519" s="102" t="n"/>
    </row>
    <row r="520">
      <c r="D520" s="103" t="n"/>
      <c r="E520" s="103" t="n"/>
      <c r="F520" s="103" t="n"/>
      <c r="G520" s="103" t="n"/>
      <c r="H520" s="103" t="n"/>
      <c r="I520" s="103" t="n"/>
      <c r="J520" s="103" t="n"/>
      <c r="K520" s="103" t="n"/>
      <c r="L520" s="103" t="n"/>
      <c r="M520" s="103" t="n"/>
      <c r="N520" s="103" t="n"/>
      <c r="O520" s="103" t="n"/>
      <c r="P520" s="103" t="n"/>
      <c r="Q520" s="103" t="n"/>
      <c r="R520" s="103" t="n"/>
      <c r="S520" s="103" t="n"/>
      <c r="T520" s="103" t="n"/>
      <c r="U520" s="103" t="n"/>
      <c r="V520" s="103" t="n"/>
      <c r="W520" s="103" t="n"/>
      <c r="X520" s="103" t="n"/>
      <c r="Y520" s="103" t="n"/>
      <c r="Z520" s="103" t="n"/>
      <c r="AA520" s="103" t="n"/>
      <c r="AB520" s="103" t="n"/>
      <c r="AC520" s="103" t="n"/>
      <c r="AD520" s="103" t="n"/>
      <c r="AE520" s="103" t="n"/>
      <c r="AF520" s="103" t="n"/>
      <c r="AG520" s="103" t="n"/>
      <c r="AH520" s="103" t="n"/>
      <c r="AI520" s="103" t="n"/>
      <c r="AJ520" s="103" t="n"/>
      <c r="AK520" s="103" t="n"/>
      <c r="AL520" s="103" t="n"/>
      <c r="AM520" s="103" t="n"/>
      <c r="AN520" s="103" t="n"/>
      <c r="AO520" s="103" t="n"/>
      <c r="AP520" s="103" t="n"/>
      <c r="AQ520" s="103" t="n"/>
      <c r="AR520" s="103" t="n"/>
    </row>
    <row r="523">
      <c r="A523" s="2">
        <f>IF($A516="","","   projections")</f>
        <v/>
      </c>
      <c r="B523" s="99">
        <f>IF($A516="",0,COUNT($E524:$AR524))</f>
        <v/>
      </c>
      <c r="C523" s="100">
        <f>IF($B523=0,0,MAX($E524:$AR524))</f>
        <v/>
      </c>
      <c r="D523" s="101">
        <f>BDS($A516,FLD_PROJ,"headers=y","startcol=1","endcol=3","dir=h")</f>
        <v/>
      </c>
      <c r="E523" s="102" t="n"/>
      <c r="F523" s="102" t="n"/>
      <c r="G523" s="102" t="n"/>
      <c r="H523" s="102" t="n"/>
      <c r="I523" s="102" t="n"/>
      <c r="J523" s="102" t="n"/>
      <c r="K523" s="102" t="n"/>
      <c r="L523" s="102" t="n"/>
      <c r="M523" s="102" t="n"/>
      <c r="N523" s="102" t="n"/>
      <c r="O523" s="102" t="n"/>
      <c r="P523" s="102" t="n"/>
      <c r="Q523" s="102" t="n"/>
      <c r="R523" s="102" t="n"/>
      <c r="S523" s="102" t="n"/>
      <c r="T523" s="102" t="n"/>
      <c r="U523" s="102" t="n"/>
      <c r="V523" s="102" t="n"/>
      <c r="W523" s="102" t="n"/>
      <c r="X523" s="102" t="n"/>
      <c r="Y523" s="102" t="n"/>
      <c r="Z523" s="102" t="n"/>
      <c r="AA523" s="102" t="n"/>
      <c r="AB523" s="102" t="n"/>
      <c r="AC523" s="102" t="n"/>
      <c r="AD523" s="102" t="n"/>
      <c r="AE523" s="102" t="n"/>
      <c r="AF523" s="102" t="n"/>
      <c r="AG523" s="102" t="n"/>
      <c r="AH523" s="102" t="n"/>
      <c r="AI523" s="102" t="n"/>
      <c r="AJ523" s="102" t="n"/>
      <c r="AK523" s="102" t="n"/>
      <c r="AL523" s="102" t="n"/>
      <c r="AM523" s="102" t="n"/>
      <c r="AN523" s="102" t="n"/>
      <c r="AO523" s="102" t="n"/>
      <c r="AP523" s="102" t="n"/>
      <c r="AQ523" s="102" t="n"/>
      <c r="AR523" s="102" t="n"/>
    </row>
    <row r="524">
      <c r="D524" s="102" t="n"/>
      <c r="E524" s="102" t="n"/>
      <c r="F524" s="102" t="n"/>
      <c r="G524" s="102" t="n"/>
      <c r="H524" s="102" t="n"/>
      <c r="I524" s="102" t="n"/>
      <c r="J524" s="102" t="n"/>
      <c r="K524" s="102" t="n"/>
      <c r="L524" s="102" t="n"/>
      <c r="M524" s="102" t="n"/>
      <c r="N524" s="102" t="n"/>
      <c r="O524" s="102" t="n"/>
      <c r="P524" s="102" t="n"/>
      <c r="Q524" s="102" t="n"/>
      <c r="R524" s="102" t="n"/>
      <c r="S524" s="102" t="n"/>
      <c r="T524" s="102" t="n"/>
      <c r="U524" s="102" t="n"/>
      <c r="V524" s="102" t="n"/>
      <c r="W524" s="102" t="n"/>
      <c r="X524" s="102" t="n"/>
      <c r="Y524" s="102" t="n"/>
      <c r="Z524" s="102" t="n"/>
      <c r="AA524" s="102" t="n"/>
      <c r="AB524" s="102" t="n"/>
      <c r="AC524" s="102" t="n"/>
      <c r="AD524" s="102" t="n"/>
      <c r="AE524" s="102" t="n"/>
      <c r="AF524" s="102" t="n"/>
      <c r="AG524" s="102" t="n"/>
      <c r="AH524" s="102" t="n"/>
      <c r="AI524" s="102" t="n"/>
      <c r="AJ524" s="102" t="n"/>
      <c r="AK524" s="102" t="n"/>
      <c r="AL524" s="102" t="n"/>
      <c r="AM524" s="102" t="n"/>
      <c r="AN524" s="102" t="n"/>
      <c r="AO524" s="102" t="n"/>
      <c r="AP524" s="102" t="n"/>
      <c r="AQ524" s="102" t="n"/>
      <c r="AR524" s="102" t="n"/>
    </row>
    <row r="525">
      <c r="D525" s="103" t="n"/>
      <c r="E525" s="103" t="n"/>
      <c r="F525" s="103" t="n"/>
      <c r="G525" s="103" t="n"/>
      <c r="H525" s="103" t="n"/>
      <c r="I525" s="103" t="n"/>
      <c r="J525" s="103" t="n"/>
      <c r="K525" s="103" t="n"/>
      <c r="L525" s="103" t="n"/>
      <c r="M525" s="103" t="n"/>
      <c r="N525" s="103" t="n"/>
      <c r="O525" s="103" t="n"/>
      <c r="P525" s="103" t="n"/>
      <c r="Q525" s="103" t="n"/>
      <c r="R525" s="103" t="n"/>
      <c r="S525" s="103" t="n"/>
      <c r="T525" s="103" t="n"/>
      <c r="U525" s="103" t="n"/>
      <c r="V525" s="103" t="n"/>
      <c r="W525" s="103" t="n"/>
      <c r="X525" s="103" t="n"/>
      <c r="Y525" s="103" t="n"/>
      <c r="Z525" s="103" t="n"/>
      <c r="AA525" s="103" t="n"/>
      <c r="AB525" s="103" t="n"/>
      <c r="AC525" s="103" t="n"/>
      <c r="AD525" s="103" t="n"/>
      <c r="AE525" s="103" t="n"/>
      <c r="AF525" s="103" t="n"/>
      <c r="AG525" s="103" t="n"/>
      <c r="AH525" s="103" t="n"/>
      <c r="AI525" s="103" t="n"/>
      <c r="AJ525" s="103" t="n"/>
      <c r="AK525" s="103" t="n"/>
      <c r="AL525" s="103" t="n"/>
      <c r="AM525" s="103" t="n"/>
      <c r="AN525" s="103" t="n"/>
      <c r="AO525" s="103" t="n"/>
      <c r="AP525" s="103" t="n"/>
      <c r="AQ525" s="103" t="n"/>
      <c r="AR525" s="103" t="n"/>
    </row>
    <row r="527">
      <c r="A527" s="8">
        <f>IF(HSI!$C$54="","",HSI!$C$54)</f>
        <v/>
      </c>
      <c r="B527" s="99">
        <f>IF($A527="",0,COUNT($E528:$AR528))</f>
        <v/>
      </c>
      <c r="C527" s="100">
        <f>IF($B527=0,0,MAX($E528:$AR528))</f>
        <v/>
      </c>
      <c r="D527" s="101">
        <f>BDS($A527,FLD_HIST,"headers=y","startcol=1","endcol=7","dir=h","DVD_START_DT",HIST_FROM,"DVD_END_DT",HIST_TO)</f>
        <v/>
      </c>
      <c r="E527" s="102" t="n"/>
      <c r="F527" s="102" t="n"/>
      <c r="G527" s="102" t="n"/>
      <c r="H527" s="102" t="n"/>
      <c r="I527" s="102" t="n"/>
      <c r="J527" s="102" t="n"/>
      <c r="K527" s="102" t="n"/>
      <c r="L527" s="102" t="n"/>
      <c r="M527" s="102" t="n"/>
      <c r="N527" s="102" t="n"/>
      <c r="O527" s="102" t="n"/>
      <c r="P527" s="102" t="n"/>
      <c r="Q527" s="102" t="n"/>
      <c r="R527" s="102" t="n"/>
      <c r="S527" s="102" t="n"/>
      <c r="T527" s="102" t="n"/>
      <c r="U527" s="102" t="n"/>
      <c r="V527" s="102" t="n"/>
      <c r="W527" s="102" t="n"/>
      <c r="X527" s="102" t="n"/>
      <c r="Y527" s="102" t="n"/>
      <c r="Z527" s="102" t="n"/>
      <c r="AA527" s="102" t="n"/>
      <c r="AB527" s="102" t="n"/>
      <c r="AC527" s="102" t="n"/>
      <c r="AD527" s="102" t="n"/>
      <c r="AE527" s="102" t="n"/>
      <c r="AF527" s="102" t="n"/>
      <c r="AG527" s="102" t="n"/>
      <c r="AH527" s="102" t="n"/>
      <c r="AI527" s="102" t="n"/>
      <c r="AJ527" s="102" t="n"/>
      <c r="AK527" s="102" t="n"/>
      <c r="AL527" s="102" t="n"/>
      <c r="AM527" s="102" t="n"/>
      <c r="AN527" s="102" t="n"/>
      <c r="AO527" s="102" t="n"/>
      <c r="AP527" s="102" t="n"/>
      <c r="AQ527" s="102" t="n"/>
      <c r="AR527" s="102" t="n"/>
    </row>
    <row r="528">
      <c r="D528" s="102" t="n"/>
      <c r="E528" s="102" t="n"/>
      <c r="F528" s="102" t="n"/>
      <c r="G528" s="102" t="n"/>
      <c r="H528" s="102" t="n"/>
      <c r="I528" s="102" t="n"/>
      <c r="J528" s="102" t="n"/>
      <c r="K528" s="102" t="n"/>
      <c r="L528" s="102" t="n"/>
      <c r="M528" s="102" t="n"/>
      <c r="N528" s="102" t="n"/>
      <c r="O528" s="102" t="n"/>
      <c r="P528" s="102" t="n"/>
      <c r="Q528" s="102" t="n"/>
      <c r="R528" s="102" t="n"/>
      <c r="S528" s="102" t="n"/>
      <c r="T528" s="102" t="n"/>
      <c r="U528" s="102" t="n"/>
      <c r="V528" s="102" t="n"/>
      <c r="W528" s="102" t="n"/>
      <c r="X528" s="102" t="n"/>
      <c r="Y528" s="102" t="n"/>
      <c r="Z528" s="102" t="n"/>
      <c r="AA528" s="102" t="n"/>
      <c r="AB528" s="102" t="n"/>
      <c r="AC528" s="102" t="n"/>
      <c r="AD528" s="102" t="n"/>
      <c r="AE528" s="102" t="n"/>
      <c r="AF528" s="102" t="n"/>
      <c r="AG528" s="102" t="n"/>
      <c r="AH528" s="102" t="n"/>
      <c r="AI528" s="102" t="n"/>
      <c r="AJ528" s="102" t="n"/>
      <c r="AK528" s="102" t="n"/>
      <c r="AL528" s="102" t="n"/>
      <c r="AM528" s="102" t="n"/>
      <c r="AN528" s="102" t="n"/>
      <c r="AO528" s="102" t="n"/>
      <c r="AP528" s="102" t="n"/>
      <c r="AQ528" s="102" t="n"/>
      <c r="AR528" s="102" t="n"/>
    </row>
    <row r="529">
      <c r="D529" s="102" t="n"/>
      <c r="E529" s="102" t="n"/>
      <c r="F529" s="102" t="n"/>
      <c r="G529" s="102" t="n"/>
      <c r="H529" s="102" t="n"/>
      <c r="I529" s="102" t="n"/>
      <c r="J529" s="102" t="n"/>
      <c r="K529" s="102" t="n"/>
      <c r="L529" s="102" t="n"/>
      <c r="M529" s="102" t="n"/>
      <c r="N529" s="102" t="n"/>
      <c r="O529" s="102" t="n"/>
      <c r="P529" s="102" t="n"/>
      <c r="Q529" s="102" t="n"/>
      <c r="R529" s="102" t="n"/>
      <c r="S529" s="102" t="n"/>
      <c r="T529" s="102" t="n"/>
      <c r="U529" s="102" t="n"/>
      <c r="V529" s="102" t="n"/>
      <c r="W529" s="102" t="n"/>
      <c r="X529" s="102" t="n"/>
      <c r="Y529" s="102" t="n"/>
      <c r="Z529" s="102" t="n"/>
      <c r="AA529" s="102" t="n"/>
      <c r="AB529" s="102" t="n"/>
      <c r="AC529" s="102" t="n"/>
      <c r="AD529" s="102" t="n"/>
      <c r="AE529" s="102" t="n"/>
      <c r="AF529" s="102" t="n"/>
      <c r="AG529" s="102" t="n"/>
      <c r="AH529" s="102" t="n"/>
      <c r="AI529" s="102" t="n"/>
      <c r="AJ529" s="102" t="n"/>
      <c r="AK529" s="102" t="n"/>
      <c r="AL529" s="102" t="n"/>
      <c r="AM529" s="102" t="n"/>
      <c r="AN529" s="102" t="n"/>
      <c r="AO529" s="102" t="n"/>
      <c r="AP529" s="102" t="n"/>
      <c r="AQ529" s="102" t="n"/>
      <c r="AR529" s="102" t="n"/>
    </row>
    <row r="530">
      <c r="D530" s="102" t="n"/>
      <c r="E530" s="102" t="n"/>
      <c r="F530" s="102" t="n"/>
      <c r="G530" s="102" t="n"/>
      <c r="H530" s="102" t="n"/>
      <c r="I530" s="102" t="n"/>
      <c r="J530" s="102" t="n"/>
      <c r="K530" s="102" t="n"/>
      <c r="L530" s="102" t="n"/>
      <c r="M530" s="102" t="n"/>
      <c r="N530" s="102" t="n"/>
      <c r="O530" s="102" t="n"/>
      <c r="P530" s="102" t="n"/>
      <c r="Q530" s="102" t="n"/>
      <c r="R530" s="102" t="n"/>
      <c r="S530" s="102" t="n"/>
      <c r="T530" s="102" t="n"/>
      <c r="U530" s="102" t="n"/>
      <c r="V530" s="102" t="n"/>
      <c r="W530" s="102" t="n"/>
      <c r="X530" s="102" t="n"/>
      <c r="Y530" s="102" t="n"/>
      <c r="Z530" s="102" t="n"/>
      <c r="AA530" s="102" t="n"/>
      <c r="AB530" s="102" t="n"/>
      <c r="AC530" s="102" t="n"/>
      <c r="AD530" s="102" t="n"/>
      <c r="AE530" s="102" t="n"/>
      <c r="AF530" s="102" t="n"/>
      <c r="AG530" s="102" t="n"/>
      <c r="AH530" s="102" t="n"/>
      <c r="AI530" s="102" t="n"/>
      <c r="AJ530" s="102" t="n"/>
      <c r="AK530" s="102" t="n"/>
      <c r="AL530" s="102" t="n"/>
      <c r="AM530" s="102" t="n"/>
      <c r="AN530" s="102" t="n"/>
      <c r="AO530" s="102" t="n"/>
      <c r="AP530" s="102" t="n"/>
      <c r="AQ530" s="102" t="n"/>
      <c r="AR530" s="102" t="n"/>
    </row>
    <row r="531">
      <c r="D531" s="103" t="n"/>
      <c r="E531" s="103" t="n"/>
      <c r="F531" s="103" t="n"/>
      <c r="G531" s="103" t="n"/>
      <c r="H531" s="103" t="n"/>
      <c r="I531" s="103" t="n"/>
      <c r="J531" s="103" t="n"/>
      <c r="K531" s="103" t="n"/>
      <c r="L531" s="103" t="n"/>
      <c r="M531" s="103" t="n"/>
      <c r="N531" s="103" t="n"/>
      <c r="O531" s="103" t="n"/>
      <c r="P531" s="103" t="n"/>
      <c r="Q531" s="103" t="n"/>
      <c r="R531" s="103" t="n"/>
      <c r="S531" s="103" t="n"/>
      <c r="T531" s="103" t="n"/>
      <c r="U531" s="103" t="n"/>
      <c r="V531" s="103" t="n"/>
      <c r="W531" s="103" t="n"/>
      <c r="X531" s="103" t="n"/>
      <c r="Y531" s="103" t="n"/>
      <c r="Z531" s="103" t="n"/>
      <c r="AA531" s="103" t="n"/>
      <c r="AB531" s="103" t="n"/>
      <c r="AC531" s="103" t="n"/>
      <c r="AD531" s="103" t="n"/>
      <c r="AE531" s="103" t="n"/>
      <c r="AF531" s="103" t="n"/>
      <c r="AG531" s="103" t="n"/>
      <c r="AH531" s="103" t="n"/>
      <c r="AI531" s="103" t="n"/>
      <c r="AJ531" s="103" t="n"/>
      <c r="AK531" s="103" t="n"/>
      <c r="AL531" s="103" t="n"/>
      <c r="AM531" s="103" t="n"/>
      <c r="AN531" s="103" t="n"/>
      <c r="AO531" s="103" t="n"/>
      <c r="AP531" s="103" t="n"/>
      <c r="AQ531" s="103" t="n"/>
      <c r="AR531" s="103" t="n"/>
    </row>
    <row r="534">
      <c r="A534" s="2">
        <f>IF($A527="","","   projections")</f>
        <v/>
      </c>
      <c r="B534" s="99">
        <f>IF($A527="",0,COUNT($E535:$AR535))</f>
        <v/>
      </c>
      <c r="C534" s="100">
        <f>IF($B534=0,0,MAX($E535:$AR535))</f>
        <v/>
      </c>
      <c r="D534" s="101">
        <f>BDS($A527,FLD_PROJ,"headers=y","startcol=1","endcol=3","dir=h")</f>
        <v/>
      </c>
      <c r="E534" s="102" t="n"/>
      <c r="F534" s="102" t="n"/>
      <c r="G534" s="102" t="n"/>
      <c r="H534" s="102" t="n"/>
      <c r="I534" s="102" t="n"/>
      <c r="J534" s="102" t="n"/>
      <c r="K534" s="102" t="n"/>
      <c r="L534" s="102" t="n"/>
      <c r="M534" s="102" t="n"/>
      <c r="N534" s="102" t="n"/>
      <c r="O534" s="102" t="n"/>
      <c r="P534" s="102" t="n"/>
      <c r="Q534" s="102" t="n"/>
      <c r="R534" s="102" t="n"/>
      <c r="S534" s="102" t="n"/>
      <c r="T534" s="102" t="n"/>
      <c r="U534" s="102" t="n"/>
      <c r="V534" s="102" t="n"/>
      <c r="W534" s="102" t="n"/>
      <c r="X534" s="102" t="n"/>
      <c r="Y534" s="102" t="n"/>
      <c r="Z534" s="102" t="n"/>
      <c r="AA534" s="102" t="n"/>
      <c r="AB534" s="102" t="n"/>
      <c r="AC534" s="102" t="n"/>
      <c r="AD534" s="102" t="n"/>
      <c r="AE534" s="102" t="n"/>
      <c r="AF534" s="102" t="n"/>
      <c r="AG534" s="102" t="n"/>
      <c r="AH534" s="102" t="n"/>
      <c r="AI534" s="102" t="n"/>
      <c r="AJ534" s="102" t="n"/>
      <c r="AK534" s="102" t="n"/>
      <c r="AL534" s="102" t="n"/>
      <c r="AM534" s="102" t="n"/>
      <c r="AN534" s="102" t="n"/>
      <c r="AO534" s="102" t="n"/>
      <c r="AP534" s="102" t="n"/>
      <c r="AQ534" s="102" t="n"/>
      <c r="AR534" s="102" t="n"/>
    </row>
    <row r="535">
      <c r="D535" s="102" t="n"/>
      <c r="E535" s="102" t="n"/>
      <c r="F535" s="102" t="n"/>
      <c r="G535" s="102" t="n"/>
      <c r="H535" s="102" t="n"/>
      <c r="I535" s="102" t="n"/>
      <c r="J535" s="102" t="n"/>
      <c r="K535" s="102" t="n"/>
      <c r="L535" s="102" t="n"/>
      <c r="M535" s="102" t="n"/>
      <c r="N535" s="102" t="n"/>
      <c r="O535" s="102" t="n"/>
      <c r="P535" s="102" t="n"/>
      <c r="Q535" s="102" t="n"/>
      <c r="R535" s="102" t="n"/>
      <c r="S535" s="102" t="n"/>
      <c r="T535" s="102" t="n"/>
      <c r="U535" s="102" t="n"/>
      <c r="V535" s="102" t="n"/>
      <c r="W535" s="102" t="n"/>
      <c r="X535" s="102" t="n"/>
      <c r="Y535" s="102" t="n"/>
      <c r="Z535" s="102" t="n"/>
      <c r="AA535" s="102" t="n"/>
      <c r="AB535" s="102" t="n"/>
      <c r="AC535" s="102" t="n"/>
      <c r="AD535" s="102" t="n"/>
      <c r="AE535" s="102" t="n"/>
      <c r="AF535" s="102" t="n"/>
      <c r="AG535" s="102" t="n"/>
      <c r="AH535" s="102" t="n"/>
      <c r="AI535" s="102" t="n"/>
      <c r="AJ535" s="102" t="n"/>
      <c r="AK535" s="102" t="n"/>
      <c r="AL535" s="102" t="n"/>
      <c r="AM535" s="102" t="n"/>
      <c r="AN535" s="102" t="n"/>
      <c r="AO535" s="102" t="n"/>
      <c r="AP535" s="102" t="n"/>
      <c r="AQ535" s="102" t="n"/>
      <c r="AR535" s="102" t="n"/>
    </row>
    <row r="536">
      <c r="D536" s="103" t="n"/>
      <c r="E536" s="103" t="n"/>
      <c r="F536" s="103" t="n"/>
      <c r="G536" s="103" t="n"/>
      <c r="H536" s="103" t="n"/>
      <c r="I536" s="103" t="n"/>
      <c r="J536" s="103" t="n"/>
      <c r="K536" s="103" t="n"/>
      <c r="L536" s="103" t="n"/>
      <c r="M536" s="103" t="n"/>
      <c r="N536" s="103" t="n"/>
      <c r="O536" s="103" t="n"/>
      <c r="P536" s="103" t="n"/>
      <c r="Q536" s="103" t="n"/>
      <c r="R536" s="103" t="n"/>
      <c r="S536" s="103" t="n"/>
      <c r="T536" s="103" t="n"/>
      <c r="U536" s="103" t="n"/>
      <c r="V536" s="103" t="n"/>
      <c r="W536" s="103" t="n"/>
      <c r="X536" s="103" t="n"/>
      <c r="Y536" s="103" t="n"/>
      <c r="Z536" s="103" t="n"/>
      <c r="AA536" s="103" t="n"/>
      <c r="AB536" s="103" t="n"/>
      <c r="AC536" s="103" t="n"/>
      <c r="AD536" s="103" t="n"/>
      <c r="AE536" s="103" t="n"/>
      <c r="AF536" s="103" t="n"/>
      <c r="AG536" s="103" t="n"/>
      <c r="AH536" s="103" t="n"/>
      <c r="AI536" s="103" t="n"/>
      <c r="AJ536" s="103" t="n"/>
      <c r="AK536" s="103" t="n"/>
      <c r="AL536" s="103" t="n"/>
      <c r="AM536" s="103" t="n"/>
      <c r="AN536" s="103" t="n"/>
      <c r="AO536" s="103" t="n"/>
      <c r="AP536" s="103" t="n"/>
      <c r="AQ536" s="103" t="n"/>
      <c r="AR536" s="103" t="n"/>
    </row>
    <row r="538">
      <c r="A538" s="8">
        <f>IF(HSI!$C$55="","",HSI!$C$55)</f>
        <v/>
      </c>
      <c r="B538" s="99">
        <f>IF($A538="",0,COUNT($E539:$AR539))</f>
        <v/>
      </c>
      <c r="C538" s="100">
        <f>IF($B538=0,0,MAX($E539:$AR539))</f>
        <v/>
      </c>
      <c r="D538" s="101">
        <f>BDS($A538,FLD_HIST,"headers=y","startcol=1","endcol=7","dir=h","DVD_START_DT",HIST_FROM,"DVD_END_DT",HIST_TO)</f>
        <v/>
      </c>
      <c r="E538" s="102" t="n"/>
      <c r="F538" s="102" t="n"/>
      <c r="G538" s="102" t="n"/>
      <c r="H538" s="102" t="n"/>
      <c r="I538" s="102" t="n"/>
      <c r="J538" s="102" t="n"/>
      <c r="K538" s="102" t="n"/>
      <c r="L538" s="102" t="n"/>
      <c r="M538" s="102" t="n"/>
      <c r="N538" s="102" t="n"/>
      <c r="O538" s="102" t="n"/>
      <c r="P538" s="102" t="n"/>
      <c r="Q538" s="102" t="n"/>
      <c r="R538" s="102" t="n"/>
      <c r="S538" s="102" t="n"/>
      <c r="T538" s="102" t="n"/>
      <c r="U538" s="102" t="n"/>
      <c r="V538" s="102" t="n"/>
      <c r="W538" s="102" t="n"/>
      <c r="X538" s="102" t="n"/>
      <c r="Y538" s="102" t="n"/>
      <c r="Z538" s="102" t="n"/>
      <c r="AA538" s="102" t="n"/>
      <c r="AB538" s="102" t="n"/>
      <c r="AC538" s="102" t="n"/>
      <c r="AD538" s="102" t="n"/>
      <c r="AE538" s="102" t="n"/>
      <c r="AF538" s="102" t="n"/>
      <c r="AG538" s="102" t="n"/>
      <c r="AH538" s="102" t="n"/>
      <c r="AI538" s="102" t="n"/>
      <c r="AJ538" s="102" t="n"/>
      <c r="AK538" s="102" t="n"/>
      <c r="AL538" s="102" t="n"/>
      <c r="AM538" s="102" t="n"/>
      <c r="AN538" s="102" t="n"/>
      <c r="AO538" s="102" t="n"/>
      <c r="AP538" s="102" t="n"/>
      <c r="AQ538" s="102" t="n"/>
      <c r="AR538" s="102" t="n"/>
    </row>
    <row r="539">
      <c r="D539" s="102" t="n"/>
      <c r="E539" s="102" t="n"/>
      <c r="F539" s="102" t="n"/>
      <c r="G539" s="102" t="n"/>
      <c r="H539" s="102" t="n"/>
      <c r="I539" s="102" t="n"/>
      <c r="J539" s="102" t="n"/>
      <c r="K539" s="102" t="n"/>
      <c r="L539" s="102" t="n"/>
      <c r="M539" s="102" t="n"/>
      <c r="N539" s="102" t="n"/>
      <c r="O539" s="102" t="n"/>
      <c r="P539" s="102" t="n"/>
      <c r="Q539" s="102" t="n"/>
      <c r="R539" s="102" t="n"/>
      <c r="S539" s="102" t="n"/>
      <c r="T539" s="102" t="n"/>
      <c r="U539" s="102" t="n"/>
      <c r="V539" s="102" t="n"/>
      <c r="W539" s="102" t="n"/>
      <c r="X539" s="102" t="n"/>
      <c r="Y539" s="102" t="n"/>
      <c r="Z539" s="102" t="n"/>
      <c r="AA539" s="102" t="n"/>
      <c r="AB539" s="102" t="n"/>
      <c r="AC539" s="102" t="n"/>
      <c r="AD539" s="102" t="n"/>
      <c r="AE539" s="102" t="n"/>
      <c r="AF539" s="102" t="n"/>
      <c r="AG539" s="102" t="n"/>
      <c r="AH539" s="102" t="n"/>
      <c r="AI539" s="102" t="n"/>
      <c r="AJ539" s="102" t="n"/>
      <c r="AK539" s="102" t="n"/>
      <c r="AL539" s="102" t="n"/>
      <c r="AM539" s="102" t="n"/>
      <c r="AN539" s="102" t="n"/>
      <c r="AO539" s="102" t="n"/>
      <c r="AP539" s="102" t="n"/>
      <c r="AQ539" s="102" t="n"/>
      <c r="AR539" s="102" t="n"/>
    </row>
    <row r="540">
      <c r="D540" s="102" t="n"/>
      <c r="E540" s="102" t="n"/>
      <c r="F540" s="102" t="n"/>
      <c r="G540" s="102" t="n"/>
      <c r="H540" s="102" t="n"/>
      <c r="I540" s="102" t="n"/>
      <c r="J540" s="102" t="n"/>
      <c r="K540" s="102" t="n"/>
      <c r="L540" s="102" t="n"/>
      <c r="M540" s="102" t="n"/>
      <c r="N540" s="102" t="n"/>
      <c r="O540" s="102" t="n"/>
      <c r="P540" s="102" t="n"/>
      <c r="Q540" s="102" t="n"/>
      <c r="R540" s="102" t="n"/>
      <c r="S540" s="102" t="n"/>
      <c r="T540" s="102" t="n"/>
      <c r="U540" s="102" t="n"/>
      <c r="V540" s="102" t="n"/>
      <c r="W540" s="102" t="n"/>
      <c r="X540" s="102" t="n"/>
      <c r="Y540" s="102" t="n"/>
      <c r="Z540" s="102" t="n"/>
      <c r="AA540" s="102" t="n"/>
      <c r="AB540" s="102" t="n"/>
      <c r="AC540" s="102" t="n"/>
      <c r="AD540" s="102" t="n"/>
      <c r="AE540" s="102" t="n"/>
      <c r="AF540" s="102" t="n"/>
      <c r="AG540" s="102" t="n"/>
      <c r="AH540" s="102" t="n"/>
      <c r="AI540" s="102" t="n"/>
      <c r="AJ540" s="102" t="n"/>
      <c r="AK540" s="102" t="n"/>
      <c r="AL540" s="102" t="n"/>
      <c r="AM540" s="102" t="n"/>
      <c r="AN540" s="102" t="n"/>
      <c r="AO540" s="102" t="n"/>
      <c r="AP540" s="102" t="n"/>
      <c r="AQ540" s="102" t="n"/>
      <c r="AR540" s="102" t="n"/>
    </row>
    <row r="541">
      <c r="D541" s="102" t="n"/>
      <c r="E541" s="102" t="n"/>
      <c r="F541" s="102" t="n"/>
      <c r="G541" s="102" t="n"/>
      <c r="H541" s="102" t="n"/>
      <c r="I541" s="102" t="n"/>
      <c r="J541" s="102" t="n"/>
      <c r="K541" s="102" t="n"/>
      <c r="L541" s="102" t="n"/>
      <c r="M541" s="102" t="n"/>
      <c r="N541" s="102" t="n"/>
      <c r="O541" s="102" t="n"/>
      <c r="P541" s="102" t="n"/>
      <c r="Q541" s="102" t="n"/>
      <c r="R541" s="102" t="n"/>
      <c r="S541" s="102" t="n"/>
      <c r="T541" s="102" t="n"/>
      <c r="U541" s="102" t="n"/>
      <c r="V541" s="102" t="n"/>
      <c r="W541" s="102" t="n"/>
      <c r="X541" s="102" t="n"/>
      <c r="Y541" s="102" t="n"/>
      <c r="Z541" s="102" t="n"/>
      <c r="AA541" s="102" t="n"/>
      <c r="AB541" s="102" t="n"/>
      <c r="AC541" s="102" t="n"/>
      <c r="AD541" s="102" t="n"/>
      <c r="AE541" s="102" t="n"/>
      <c r="AF541" s="102" t="n"/>
      <c r="AG541" s="102" t="n"/>
      <c r="AH541" s="102" t="n"/>
      <c r="AI541" s="102" t="n"/>
      <c r="AJ541" s="102" t="n"/>
      <c r="AK541" s="102" t="n"/>
      <c r="AL541" s="102" t="n"/>
      <c r="AM541" s="102" t="n"/>
      <c r="AN541" s="102" t="n"/>
      <c r="AO541" s="102" t="n"/>
      <c r="AP541" s="102" t="n"/>
      <c r="AQ541" s="102" t="n"/>
      <c r="AR541" s="102" t="n"/>
    </row>
    <row r="542">
      <c r="D542" s="103" t="n"/>
      <c r="E542" s="103" t="n"/>
      <c r="F542" s="103" t="n"/>
      <c r="G542" s="103" t="n"/>
      <c r="H542" s="103" t="n"/>
      <c r="I542" s="103" t="n"/>
      <c r="J542" s="103" t="n"/>
      <c r="K542" s="103" t="n"/>
      <c r="L542" s="103" t="n"/>
      <c r="M542" s="103" t="n"/>
      <c r="N542" s="103" t="n"/>
      <c r="O542" s="103" t="n"/>
      <c r="P542" s="103" t="n"/>
      <c r="Q542" s="103" t="n"/>
      <c r="R542" s="103" t="n"/>
      <c r="S542" s="103" t="n"/>
      <c r="T542" s="103" t="n"/>
      <c r="U542" s="103" t="n"/>
      <c r="V542" s="103" t="n"/>
      <c r="W542" s="103" t="n"/>
      <c r="X542" s="103" t="n"/>
      <c r="Y542" s="103" t="n"/>
      <c r="Z542" s="103" t="n"/>
      <c r="AA542" s="103" t="n"/>
      <c r="AB542" s="103" t="n"/>
      <c r="AC542" s="103" t="n"/>
      <c r="AD542" s="103" t="n"/>
      <c r="AE542" s="103" t="n"/>
      <c r="AF542" s="103" t="n"/>
      <c r="AG542" s="103" t="n"/>
      <c r="AH542" s="103" t="n"/>
      <c r="AI542" s="103" t="n"/>
      <c r="AJ542" s="103" t="n"/>
      <c r="AK542" s="103" t="n"/>
      <c r="AL542" s="103" t="n"/>
      <c r="AM542" s="103" t="n"/>
      <c r="AN542" s="103" t="n"/>
      <c r="AO542" s="103" t="n"/>
      <c r="AP542" s="103" t="n"/>
      <c r="AQ542" s="103" t="n"/>
      <c r="AR542" s="103" t="n"/>
    </row>
    <row r="545">
      <c r="A545" s="2">
        <f>IF($A538="","","   projections")</f>
        <v/>
      </c>
      <c r="B545" s="99">
        <f>IF($A538="",0,COUNT($E546:$AR546))</f>
        <v/>
      </c>
      <c r="C545" s="100">
        <f>IF($B545=0,0,MAX($E546:$AR546))</f>
        <v/>
      </c>
      <c r="D545" s="101">
        <f>BDS($A538,FLD_PROJ,"headers=y","startcol=1","endcol=3","dir=h")</f>
        <v/>
      </c>
      <c r="E545" s="102" t="n"/>
      <c r="F545" s="102" t="n"/>
      <c r="G545" s="102" t="n"/>
      <c r="H545" s="102" t="n"/>
      <c r="I545" s="102" t="n"/>
      <c r="J545" s="102" t="n"/>
      <c r="K545" s="102" t="n"/>
      <c r="L545" s="102" t="n"/>
      <c r="M545" s="102" t="n"/>
      <c r="N545" s="102" t="n"/>
      <c r="O545" s="102" t="n"/>
      <c r="P545" s="102" t="n"/>
      <c r="Q545" s="102" t="n"/>
      <c r="R545" s="102" t="n"/>
      <c r="S545" s="102" t="n"/>
      <c r="T545" s="102" t="n"/>
      <c r="U545" s="102" t="n"/>
      <c r="V545" s="102" t="n"/>
      <c r="W545" s="102" t="n"/>
      <c r="X545" s="102" t="n"/>
      <c r="Y545" s="102" t="n"/>
      <c r="Z545" s="102" t="n"/>
      <c r="AA545" s="102" t="n"/>
      <c r="AB545" s="102" t="n"/>
      <c r="AC545" s="102" t="n"/>
      <c r="AD545" s="102" t="n"/>
      <c r="AE545" s="102" t="n"/>
      <c r="AF545" s="102" t="n"/>
      <c r="AG545" s="102" t="n"/>
      <c r="AH545" s="102" t="n"/>
      <c r="AI545" s="102" t="n"/>
      <c r="AJ545" s="102" t="n"/>
      <c r="AK545" s="102" t="n"/>
      <c r="AL545" s="102" t="n"/>
      <c r="AM545" s="102" t="n"/>
      <c r="AN545" s="102" t="n"/>
      <c r="AO545" s="102" t="n"/>
      <c r="AP545" s="102" t="n"/>
      <c r="AQ545" s="102" t="n"/>
      <c r="AR545" s="102" t="n"/>
    </row>
    <row r="546">
      <c r="D546" s="102" t="n"/>
      <c r="E546" s="102" t="n"/>
      <c r="F546" s="102" t="n"/>
      <c r="G546" s="102" t="n"/>
      <c r="H546" s="102" t="n"/>
      <c r="I546" s="102" t="n"/>
      <c r="J546" s="102" t="n"/>
      <c r="K546" s="102" t="n"/>
      <c r="L546" s="102" t="n"/>
      <c r="M546" s="102" t="n"/>
      <c r="N546" s="102" t="n"/>
      <c r="O546" s="102" t="n"/>
      <c r="P546" s="102" t="n"/>
      <c r="Q546" s="102" t="n"/>
      <c r="R546" s="102" t="n"/>
      <c r="S546" s="102" t="n"/>
      <c r="T546" s="102" t="n"/>
      <c r="U546" s="102" t="n"/>
      <c r="V546" s="102" t="n"/>
      <c r="W546" s="102" t="n"/>
      <c r="X546" s="102" t="n"/>
      <c r="Y546" s="102" t="n"/>
      <c r="Z546" s="102" t="n"/>
      <c r="AA546" s="102" t="n"/>
      <c r="AB546" s="102" t="n"/>
      <c r="AC546" s="102" t="n"/>
      <c r="AD546" s="102" t="n"/>
      <c r="AE546" s="102" t="n"/>
      <c r="AF546" s="102" t="n"/>
      <c r="AG546" s="102" t="n"/>
      <c r="AH546" s="102" t="n"/>
      <c r="AI546" s="102" t="n"/>
      <c r="AJ546" s="102" t="n"/>
      <c r="AK546" s="102" t="n"/>
      <c r="AL546" s="102" t="n"/>
      <c r="AM546" s="102" t="n"/>
      <c r="AN546" s="102" t="n"/>
      <c r="AO546" s="102" t="n"/>
      <c r="AP546" s="102" t="n"/>
      <c r="AQ546" s="102" t="n"/>
      <c r="AR546" s="102" t="n"/>
    </row>
    <row r="547">
      <c r="D547" s="103" t="n"/>
      <c r="E547" s="103" t="n"/>
      <c r="F547" s="103" t="n"/>
      <c r="G547" s="103" t="n"/>
      <c r="H547" s="103" t="n"/>
      <c r="I547" s="103" t="n"/>
      <c r="J547" s="103" t="n"/>
      <c r="K547" s="103" t="n"/>
      <c r="L547" s="103" t="n"/>
      <c r="M547" s="103" t="n"/>
      <c r="N547" s="103" t="n"/>
      <c r="O547" s="103" t="n"/>
      <c r="P547" s="103" t="n"/>
      <c r="Q547" s="103" t="n"/>
      <c r="R547" s="103" t="n"/>
      <c r="S547" s="103" t="n"/>
      <c r="T547" s="103" t="n"/>
      <c r="U547" s="103" t="n"/>
      <c r="V547" s="103" t="n"/>
      <c r="W547" s="103" t="n"/>
      <c r="X547" s="103" t="n"/>
      <c r="Y547" s="103" t="n"/>
      <c r="Z547" s="103" t="n"/>
      <c r="AA547" s="103" t="n"/>
      <c r="AB547" s="103" t="n"/>
      <c r="AC547" s="103" t="n"/>
      <c r="AD547" s="103" t="n"/>
      <c r="AE547" s="103" t="n"/>
      <c r="AF547" s="103" t="n"/>
      <c r="AG547" s="103" t="n"/>
      <c r="AH547" s="103" t="n"/>
      <c r="AI547" s="103" t="n"/>
      <c r="AJ547" s="103" t="n"/>
      <c r="AK547" s="103" t="n"/>
      <c r="AL547" s="103" t="n"/>
      <c r="AM547" s="103" t="n"/>
      <c r="AN547" s="103" t="n"/>
      <c r="AO547" s="103" t="n"/>
      <c r="AP547" s="103" t="n"/>
      <c r="AQ547" s="103" t="n"/>
      <c r="AR547" s="103" t="n"/>
    </row>
    <row r="549">
      <c r="A549" s="8">
        <f>IF(HSI!$C$56="","",HSI!$C$56)</f>
        <v/>
      </c>
      <c r="B549" s="99">
        <f>IF($A549="",0,COUNT($E550:$AR550))</f>
        <v/>
      </c>
      <c r="C549" s="100">
        <f>IF($B549=0,0,MAX($E550:$AR550))</f>
        <v/>
      </c>
      <c r="D549" s="101">
        <f>BDS($A549,FLD_HIST,"headers=y","startcol=1","endcol=7","dir=h","DVD_START_DT",HIST_FROM,"DVD_END_DT",HIST_TO)</f>
        <v/>
      </c>
      <c r="E549" s="102" t="n"/>
      <c r="F549" s="102" t="n"/>
      <c r="G549" s="102" t="n"/>
      <c r="H549" s="102" t="n"/>
      <c r="I549" s="102" t="n"/>
      <c r="J549" s="102" t="n"/>
      <c r="K549" s="102" t="n"/>
      <c r="L549" s="102" t="n"/>
      <c r="M549" s="102" t="n"/>
      <c r="N549" s="102" t="n"/>
      <c r="O549" s="102" t="n"/>
      <c r="P549" s="102" t="n"/>
      <c r="Q549" s="102" t="n"/>
      <c r="R549" s="102" t="n"/>
      <c r="S549" s="102" t="n"/>
      <c r="T549" s="102" t="n"/>
      <c r="U549" s="102" t="n"/>
      <c r="V549" s="102" t="n"/>
      <c r="W549" s="102" t="n"/>
      <c r="X549" s="102" t="n"/>
      <c r="Y549" s="102" t="n"/>
      <c r="Z549" s="102" t="n"/>
      <c r="AA549" s="102" t="n"/>
      <c r="AB549" s="102" t="n"/>
      <c r="AC549" s="102" t="n"/>
      <c r="AD549" s="102" t="n"/>
      <c r="AE549" s="102" t="n"/>
      <c r="AF549" s="102" t="n"/>
      <c r="AG549" s="102" t="n"/>
      <c r="AH549" s="102" t="n"/>
      <c r="AI549" s="102" t="n"/>
      <c r="AJ549" s="102" t="n"/>
      <c r="AK549" s="102" t="n"/>
      <c r="AL549" s="102" t="n"/>
      <c r="AM549" s="102" t="n"/>
      <c r="AN549" s="102" t="n"/>
      <c r="AO549" s="102" t="n"/>
      <c r="AP549" s="102" t="n"/>
      <c r="AQ549" s="102" t="n"/>
      <c r="AR549" s="102" t="n"/>
    </row>
    <row r="550">
      <c r="D550" s="102" t="n"/>
      <c r="E550" s="102" t="n"/>
      <c r="F550" s="102" t="n"/>
      <c r="G550" s="102" t="n"/>
      <c r="H550" s="102" t="n"/>
      <c r="I550" s="102" t="n"/>
      <c r="J550" s="102" t="n"/>
      <c r="K550" s="102" t="n"/>
      <c r="L550" s="102" t="n"/>
      <c r="M550" s="102" t="n"/>
      <c r="N550" s="102" t="n"/>
      <c r="O550" s="102" t="n"/>
      <c r="P550" s="102" t="n"/>
      <c r="Q550" s="102" t="n"/>
      <c r="R550" s="102" t="n"/>
      <c r="S550" s="102" t="n"/>
      <c r="T550" s="102" t="n"/>
      <c r="U550" s="102" t="n"/>
      <c r="V550" s="102" t="n"/>
      <c r="W550" s="102" t="n"/>
      <c r="X550" s="102" t="n"/>
      <c r="Y550" s="102" t="n"/>
      <c r="Z550" s="102" t="n"/>
      <c r="AA550" s="102" t="n"/>
      <c r="AB550" s="102" t="n"/>
      <c r="AC550" s="102" t="n"/>
      <c r="AD550" s="102" t="n"/>
      <c r="AE550" s="102" t="n"/>
      <c r="AF550" s="102" t="n"/>
      <c r="AG550" s="102" t="n"/>
      <c r="AH550" s="102" t="n"/>
      <c r="AI550" s="102" t="n"/>
      <c r="AJ550" s="102" t="n"/>
      <c r="AK550" s="102" t="n"/>
      <c r="AL550" s="102" t="n"/>
      <c r="AM550" s="102" t="n"/>
      <c r="AN550" s="102" t="n"/>
      <c r="AO550" s="102" t="n"/>
      <c r="AP550" s="102" t="n"/>
      <c r="AQ550" s="102" t="n"/>
      <c r="AR550" s="102" t="n"/>
    </row>
    <row r="551">
      <c r="D551" s="102" t="n"/>
      <c r="E551" s="102" t="n"/>
      <c r="F551" s="102" t="n"/>
      <c r="G551" s="102" t="n"/>
      <c r="H551" s="102" t="n"/>
      <c r="I551" s="102" t="n"/>
      <c r="J551" s="102" t="n"/>
      <c r="K551" s="102" t="n"/>
      <c r="L551" s="102" t="n"/>
      <c r="M551" s="102" t="n"/>
      <c r="N551" s="102" t="n"/>
      <c r="O551" s="102" t="n"/>
      <c r="P551" s="102" t="n"/>
      <c r="Q551" s="102" t="n"/>
      <c r="R551" s="102" t="n"/>
      <c r="S551" s="102" t="n"/>
      <c r="T551" s="102" t="n"/>
      <c r="U551" s="102" t="n"/>
      <c r="V551" s="102" t="n"/>
      <c r="W551" s="102" t="n"/>
      <c r="X551" s="102" t="n"/>
      <c r="Y551" s="102" t="n"/>
      <c r="Z551" s="102" t="n"/>
      <c r="AA551" s="102" t="n"/>
      <c r="AB551" s="102" t="n"/>
      <c r="AC551" s="102" t="n"/>
      <c r="AD551" s="102" t="n"/>
      <c r="AE551" s="102" t="n"/>
      <c r="AF551" s="102" t="n"/>
      <c r="AG551" s="102" t="n"/>
      <c r="AH551" s="102" t="n"/>
      <c r="AI551" s="102" t="n"/>
      <c r="AJ551" s="102" t="n"/>
      <c r="AK551" s="102" t="n"/>
      <c r="AL551" s="102" t="n"/>
      <c r="AM551" s="102" t="n"/>
      <c r="AN551" s="102" t="n"/>
      <c r="AO551" s="102" t="n"/>
      <c r="AP551" s="102" t="n"/>
      <c r="AQ551" s="102" t="n"/>
      <c r="AR551" s="102" t="n"/>
    </row>
    <row r="552">
      <c r="D552" s="102" t="n"/>
      <c r="E552" s="102" t="n"/>
      <c r="F552" s="102" t="n"/>
      <c r="G552" s="102" t="n"/>
      <c r="H552" s="102" t="n"/>
      <c r="I552" s="102" t="n"/>
      <c r="J552" s="102" t="n"/>
      <c r="K552" s="102" t="n"/>
      <c r="L552" s="102" t="n"/>
      <c r="M552" s="102" t="n"/>
      <c r="N552" s="102" t="n"/>
      <c r="O552" s="102" t="n"/>
      <c r="P552" s="102" t="n"/>
      <c r="Q552" s="102" t="n"/>
      <c r="R552" s="102" t="n"/>
      <c r="S552" s="102" t="n"/>
      <c r="T552" s="102" t="n"/>
      <c r="U552" s="102" t="n"/>
      <c r="V552" s="102" t="n"/>
      <c r="W552" s="102" t="n"/>
      <c r="X552" s="102" t="n"/>
      <c r="Y552" s="102" t="n"/>
      <c r="Z552" s="102" t="n"/>
      <c r="AA552" s="102" t="n"/>
      <c r="AB552" s="102" t="n"/>
      <c r="AC552" s="102" t="n"/>
      <c r="AD552" s="102" t="n"/>
      <c r="AE552" s="102" t="n"/>
      <c r="AF552" s="102" t="n"/>
      <c r="AG552" s="102" t="n"/>
      <c r="AH552" s="102" t="n"/>
      <c r="AI552" s="102" t="n"/>
      <c r="AJ552" s="102" t="n"/>
      <c r="AK552" s="102" t="n"/>
      <c r="AL552" s="102" t="n"/>
      <c r="AM552" s="102" t="n"/>
      <c r="AN552" s="102" t="n"/>
      <c r="AO552" s="102" t="n"/>
      <c r="AP552" s="102" t="n"/>
      <c r="AQ552" s="102" t="n"/>
      <c r="AR552" s="102" t="n"/>
    </row>
    <row r="553">
      <c r="D553" s="103" t="n"/>
      <c r="E553" s="103" t="n"/>
      <c r="F553" s="103" t="n"/>
      <c r="G553" s="103" t="n"/>
      <c r="H553" s="103" t="n"/>
      <c r="I553" s="103" t="n"/>
      <c r="J553" s="103" t="n"/>
      <c r="K553" s="103" t="n"/>
      <c r="L553" s="103" t="n"/>
      <c r="M553" s="103" t="n"/>
      <c r="N553" s="103" t="n"/>
      <c r="O553" s="103" t="n"/>
      <c r="P553" s="103" t="n"/>
      <c r="Q553" s="103" t="n"/>
      <c r="R553" s="103" t="n"/>
      <c r="S553" s="103" t="n"/>
      <c r="T553" s="103" t="n"/>
      <c r="U553" s="103" t="n"/>
      <c r="V553" s="103" t="n"/>
      <c r="W553" s="103" t="n"/>
      <c r="X553" s="103" t="n"/>
      <c r="Y553" s="103" t="n"/>
      <c r="Z553" s="103" t="n"/>
      <c r="AA553" s="103" t="n"/>
      <c r="AB553" s="103" t="n"/>
      <c r="AC553" s="103" t="n"/>
      <c r="AD553" s="103" t="n"/>
      <c r="AE553" s="103" t="n"/>
      <c r="AF553" s="103" t="n"/>
      <c r="AG553" s="103" t="n"/>
      <c r="AH553" s="103" t="n"/>
      <c r="AI553" s="103" t="n"/>
      <c r="AJ553" s="103" t="n"/>
      <c r="AK553" s="103" t="n"/>
      <c r="AL553" s="103" t="n"/>
      <c r="AM553" s="103" t="n"/>
      <c r="AN553" s="103" t="n"/>
      <c r="AO553" s="103" t="n"/>
      <c r="AP553" s="103" t="n"/>
      <c r="AQ553" s="103" t="n"/>
      <c r="AR553" s="103" t="n"/>
    </row>
    <row r="556">
      <c r="A556" s="2">
        <f>IF($A549="","","   projections")</f>
        <v/>
      </c>
      <c r="B556" s="99">
        <f>IF($A549="",0,COUNT($E557:$AR557))</f>
        <v/>
      </c>
      <c r="C556" s="100">
        <f>IF($B556=0,0,MAX($E557:$AR557))</f>
        <v/>
      </c>
      <c r="D556" s="101">
        <f>BDS($A549,FLD_PROJ,"headers=y","startcol=1","endcol=3","dir=h")</f>
        <v/>
      </c>
      <c r="E556" s="102" t="n"/>
      <c r="F556" s="102" t="n"/>
      <c r="G556" s="102" t="n"/>
      <c r="H556" s="102" t="n"/>
      <c r="I556" s="102" t="n"/>
      <c r="J556" s="102" t="n"/>
      <c r="K556" s="102" t="n"/>
      <c r="L556" s="102" t="n"/>
      <c r="M556" s="102" t="n"/>
      <c r="N556" s="102" t="n"/>
      <c r="O556" s="102" t="n"/>
      <c r="P556" s="102" t="n"/>
      <c r="Q556" s="102" t="n"/>
      <c r="R556" s="102" t="n"/>
      <c r="S556" s="102" t="n"/>
      <c r="T556" s="102" t="n"/>
      <c r="U556" s="102" t="n"/>
      <c r="V556" s="102" t="n"/>
      <c r="W556" s="102" t="n"/>
      <c r="X556" s="102" t="n"/>
      <c r="Y556" s="102" t="n"/>
      <c r="Z556" s="102" t="n"/>
      <c r="AA556" s="102" t="n"/>
      <c r="AB556" s="102" t="n"/>
      <c r="AC556" s="102" t="n"/>
      <c r="AD556" s="102" t="n"/>
      <c r="AE556" s="102" t="n"/>
      <c r="AF556" s="102" t="n"/>
      <c r="AG556" s="102" t="n"/>
      <c r="AH556" s="102" t="n"/>
      <c r="AI556" s="102" t="n"/>
      <c r="AJ556" s="102" t="n"/>
      <c r="AK556" s="102" t="n"/>
      <c r="AL556" s="102" t="n"/>
      <c r="AM556" s="102" t="n"/>
      <c r="AN556" s="102" t="n"/>
      <c r="AO556" s="102" t="n"/>
      <c r="AP556" s="102" t="n"/>
      <c r="AQ556" s="102" t="n"/>
      <c r="AR556" s="102" t="n"/>
    </row>
    <row r="557">
      <c r="D557" s="102" t="n"/>
      <c r="E557" s="102" t="n"/>
      <c r="F557" s="102" t="n"/>
      <c r="G557" s="102" t="n"/>
      <c r="H557" s="102" t="n"/>
      <c r="I557" s="102" t="n"/>
      <c r="J557" s="102" t="n"/>
      <c r="K557" s="102" t="n"/>
      <c r="L557" s="102" t="n"/>
      <c r="M557" s="102" t="n"/>
      <c r="N557" s="102" t="n"/>
      <c r="O557" s="102" t="n"/>
      <c r="P557" s="102" t="n"/>
      <c r="Q557" s="102" t="n"/>
      <c r="R557" s="102" t="n"/>
      <c r="S557" s="102" t="n"/>
      <c r="T557" s="102" t="n"/>
      <c r="U557" s="102" t="n"/>
      <c r="V557" s="102" t="n"/>
      <c r="W557" s="102" t="n"/>
      <c r="X557" s="102" t="n"/>
      <c r="Y557" s="102" t="n"/>
      <c r="Z557" s="102" t="n"/>
      <c r="AA557" s="102" t="n"/>
      <c r="AB557" s="102" t="n"/>
      <c r="AC557" s="102" t="n"/>
      <c r="AD557" s="102" t="n"/>
      <c r="AE557" s="102" t="n"/>
      <c r="AF557" s="102" t="n"/>
      <c r="AG557" s="102" t="n"/>
      <c r="AH557" s="102" t="n"/>
      <c r="AI557" s="102" t="n"/>
      <c r="AJ557" s="102" t="n"/>
      <c r="AK557" s="102" t="n"/>
      <c r="AL557" s="102" t="n"/>
      <c r="AM557" s="102" t="n"/>
      <c r="AN557" s="102" t="n"/>
      <c r="AO557" s="102" t="n"/>
      <c r="AP557" s="102" t="n"/>
      <c r="AQ557" s="102" t="n"/>
      <c r="AR557" s="102" t="n"/>
    </row>
    <row r="558">
      <c r="D558" s="103" t="n"/>
      <c r="E558" s="103" t="n"/>
      <c r="F558" s="103" t="n"/>
      <c r="G558" s="103" t="n"/>
      <c r="H558" s="103" t="n"/>
      <c r="I558" s="103" t="n"/>
      <c r="J558" s="103" t="n"/>
      <c r="K558" s="103" t="n"/>
      <c r="L558" s="103" t="n"/>
      <c r="M558" s="103" t="n"/>
      <c r="N558" s="103" t="n"/>
      <c r="O558" s="103" t="n"/>
      <c r="P558" s="103" t="n"/>
      <c r="Q558" s="103" t="n"/>
      <c r="R558" s="103" t="n"/>
      <c r="S558" s="103" t="n"/>
      <c r="T558" s="103" t="n"/>
      <c r="U558" s="103" t="n"/>
      <c r="V558" s="103" t="n"/>
      <c r="W558" s="103" t="n"/>
      <c r="X558" s="103" t="n"/>
      <c r="Y558" s="103" t="n"/>
      <c r="Z558" s="103" t="n"/>
      <c r="AA558" s="103" t="n"/>
      <c r="AB558" s="103" t="n"/>
      <c r="AC558" s="103" t="n"/>
      <c r="AD558" s="103" t="n"/>
      <c r="AE558" s="103" t="n"/>
      <c r="AF558" s="103" t="n"/>
      <c r="AG558" s="103" t="n"/>
      <c r="AH558" s="103" t="n"/>
      <c r="AI558" s="103" t="n"/>
      <c r="AJ558" s="103" t="n"/>
      <c r="AK558" s="103" t="n"/>
      <c r="AL558" s="103" t="n"/>
      <c r="AM558" s="103" t="n"/>
      <c r="AN558" s="103" t="n"/>
      <c r="AO558" s="103" t="n"/>
      <c r="AP558" s="103" t="n"/>
      <c r="AQ558" s="103" t="n"/>
      <c r="AR558" s="103" t="n"/>
    </row>
    <row r="560">
      <c r="A560" s="8">
        <f>IF(HSI!$C$57="","",HSI!$C$57)</f>
        <v/>
      </c>
      <c r="B560" s="99">
        <f>IF($A560="",0,COUNT($E561:$AR561))</f>
        <v/>
      </c>
      <c r="C560" s="100">
        <f>IF($B560=0,0,MAX($E561:$AR561))</f>
        <v/>
      </c>
      <c r="D560" s="101">
        <f>BDS($A560,FLD_HIST,"headers=y","startcol=1","endcol=7","dir=h","DVD_START_DT",HIST_FROM,"DVD_END_DT",HIST_TO)</f>
        <v/>
      </c>
      <c r="E560" s="102" t="n"/>
      <c r="F560" s="102" t="n"/>
      <c r="G560" s="102" t="n"/>
      <c r="H560" s="102" t="n"/>
      <c r="I560" s="102" t="n"/>
      <c r="J560" s="102" t="n"/>
      <c r="K560" s="102" t="n"/>
      <c r="L560" s="102" t="n"/>
      <c r="M560" s="102" t="n"/>
      <c r="N560" s="102" t="n"/>
      <c r="O560" s="102" t="n"/>
      <c r="P560" s="102" t="n"/>
      <c r="Q560" s="102" t="n"/>
      <c r="R560" s="102" t="n"/>
      <c r="S560" s="102" t="n"/>
      <c r="T560" s="102" t="n"/>
      <c r="U560" s="102" t="n"/>
      <c r="V560" s="102" t="n"/>
      <c r="W560" s="102" t="n"/>
      <c r="X560" s="102" t="n"/>
      <c r="Y560" s="102" t="n"/>
      <c r="Z560" s="102" t="n"/>
      <c r="AA560" s="102" t="n"/>
      <c r="AB560" s="102" t="n"/>
      <c r="AC560" s="102" t="n"/>
      <c r="AD560" s="102" t="n"/>
      <c r="AE560" s="102" t="n"/>
      <c r="AF560" s="102" t="n"/>
      <c r="AG560" s="102" t="n"/>
      <c r="AH560" s="102" t="n"/>
      <c r="AI560" s="102" t="n"/>
      <c r="AJ560" s="102" t="n"/>
      <c r="AK560" s="102" t="n"/>
      <c r="AL560" s="102" t="n"/>
      <c r="AM560" s="102" t="n"/>
      <c r="AN560" s="102" t="n"/>
      <c r="AO560" s="102" t="n"/>
      <c r="AP560" s="102" t="n"/>
      <c r="AQ560" s="102" t="n"/>
      <c r="AR560" s="102" t="n"/>
    </row>
    <row r="561">
      <c r="D561" s="102" t="n"/>
      <c r="E561" s="102" t="n"/>
      <c r="F561" s="102" t="n"/>
      <c r="G561" s="102" t="n"/>
      <c r="H561" s="102" t="n"/>
      <c r="I561" s="102" t="n"/>
      <c r="J561" s="102" t="n"/>
      <c r="K561" s="102" t="n"/>
      <c r="L561" s="102" t="n"/>
      <c r="M561" s="102" t="n"/>
      <c r="N561" s="102" t="n"/>
      <c r="O561" s="102" t="n"/>
      <c r="P561" s="102" t="n"/>
      <c r="Q561" s="102" t="n"/>
      <c r="R561" s="102" t="n"/>
      <c r="S561" s="102" t="n"/>
      <c r="T561" s="102" t="n"/>
      <c r="U561" s="102" t="n"/>
      <c r="V561" s="102" t="n"/>
      <c r="W561" s="102" t="n"/>
      <c r="X561" s="102" t="n"/>
      <c r="Y561" s="102" t="n"/>
      <c r="Z561" s="102" t="n"/>
      <c r="AA561" s="102" t="n"/>
      <c r="AB561" s="102" t="n"/>
      <c r="AC561" s="102" t="n"/>
      <c r="AD561" s="102" t="n"/>
      <c r="AE561" s="102" t="n"/>
      <c r="AF561" s="102" t="n"/>
      <c r="AG561" s="102" t="n"/>
      <c r="AH561" s="102" t="n"/>
      <c r="AI561" s="102" t="n"/>
      <c r="AJ561" s="102" t="n"/>
      <c r="AK561" s="102" t="n"/>
      <c r="AL561" s="102" t="n"/>
      <c r="AM561" s="102" t="n"/>
      <c r="AN561" s="102" t="n"/>
      <c r="AO561" s="102" t="n"/>
      <c r="AP561" s="102" t="n"/>
      <c r="AQ561" s="102" t="n"/>
      <c r="AR561" s="102" t="n"/>
    </row>
    <row r="562">
      <c r="D562" s="102" t="n"/>
      <c r="E562" s="102" t="n"/>
      <c r="F562" s="102" t="n"/>
      <c r="G562" s="102" t="n"/>
      <c r="H562" s="102" t="n"/>
      <c r="I562" s="102" t="n"/>
      <c r="J562" s="102" t="n"/>
      <c r="K562" s="102" t="n"/>
      <c r="L562" s="102" t="n"/>
      <c r="M562" s="102" t="n"/>
      <c r="N562" s="102" t="n"/>
      <c r="O562" s="102" t="n"/>
      <c r="P562" s="102" t="n"/>
      <c r="Q562" s="102" t="n"/>
      <c r="R562" s="102" t="n"/>
      <c r="S562" s="102" t="n"/>
      <c r="T562" s="102" t="n"/>
      <c r="U562" s="102" t="n"/>
      <c r="V562" s="102" t="n"/>
      <c r="W562" s="102" t="n"/>
      <c r="X562" s="102" t="n"/>
      <c r="Y562" s="102" t="n"/>
      <c r="Z562" s="102" t="n"/>
      <c r="AA562" s="102" t="n"/>
      <c r="AB562" s="102" t="n"/>
      <c r="AC562" s="102" t="n"/>
      <c r="AD562" s="102" t="n"/>
      <c r="AE562" s="102" t="n"/>
      <c r="AF562" s="102" t="n"/>
      <c r="AG562" s="102" t="n"/>
      <c r="AH562" s="102" t="n"/>
      <c r="AI562" s="102" t="n"/>
      <c r="AJ562" s="102" t="n"/>
      <c r="AK562" s="102" t="n"/>
      <c r="AL562" s="102" t="n"/>
      <c r="AM562" s="102" t="n"/>
      <c r="AN562" s="102" t="n"/>
      <c r="AO562" s="102" t="n"/>
      <c r="AP562" s="102" t="n"/>
      <c r="AQ562" s="102" t="n"/>
      <c r="AR562" s="102" t="n"/>
    </row>
    <row r="563">
      <c r="D563" s="102" t="n"/>
      <c r="E563" s="102" t="n"/>
      <c r="F563" s="102" t="n"/>
      <c r="G563" s="102" t="n"/>
      <c r="H563" s="102" t="n"/>
      <c r="I563" s="102" t="n"/>
      <c r="J563" s="102" t="n"/>
      <c r="K563" s="102" t="n"/>
      <c r="L563" s="102" t="n"/>
      <c r="M563" s="102" t="n"/>
      <c r="N563" s="102" t="n"/>
      <c r="O563" s="102" t="n"/>
      <c r="P563" s="102" t="n"/>
      <c r="Q563" s="102" t="n"/>
      <c r="R563" s="102" t="n"/>
      <c r="S563" s="102" t="n"/>
      <c r="T563" s="102" t="n"/>
      <c r="U563" s="102" t="n"/>
      <c r="V563" s="102" t="n"/>
      <c r="W563" s="102" t="n"/>
      <c r="X563" s="102" t="n"/>
      <c r="Y563" s="102" t="n"/>
      <c r="Z563" s="102" t="n"/>
      <c r="AA563" s="102" t="n"/>
      <c r="AB563" s="102" t="n"/>
      <c r="AC563" s="102" t="n"/>
      <c r="AD563" s="102" t="n"/>
      <c r="AE563" s="102" t="n"/>
      <c r="AF563" s="102" t="n"/>
      <c r="AG563" s="102" t="n"/>
      <c r="AH563" s="102" t="n"/>
      <c r="AI563" s="102" t="n"/>
      <c r="AJ563" s="102" t="n"/>
      <c r="AK563" s="102" t="n"/>
      <c r="AL563" s="102" t="n"/>
      <c r="AM563" s="102" t="n"/>
      <c r="AN563" s="102" t="n"/>
      <c r="AO563" s="102" t="n"/>
      <c r="AP563" s="102" t="n"/>
      <c r="AQ563" s="102" t="n"/>
      <c r="AR563" s="102" t="n"/>
    </row>
    <row r="564">
      <c r="D564" s="103" t="n"/>
      <c r="E564" s="103" t="n"/>
      <c r="F564" s="103" t="n"/>
      <c r="G564" s="103" t="n"/>
      <c r="H564" s="103" t="n"/>
      <c r="I564" s="103" t="n"/>
      <c r="J564" s="103" t="n"/>
      <c r="K564" s="103" t="n"/>
      <c r="L564" s="103" t="n"/>
      <c r="M564" s="103" t="n"/>
      <c r="N564" s="103" t="n"/>
      <c r="O564" s="103" t="n"/>
      <c r="P564" s="103" t="n"/>
      <c r="Q564" s="103" t="n"/>
      <c r="R564" s="103" t="n"/>
      <c r="S564" s="103" t="n"/>
      <c r="T564" s="103" t="n"/>
      <c r="U564" s="103" t="n"/>
      <c r="V564" s="103" t="n"/>
      <c r="W564" s="103" t="n"/>
      <c r="X564" s="103" t="n"/>
      <c r="Y564" s="103" t="n"/>
      <c r="Z564" s="103" t="n"/>
      <c r="AA564" s="103" t="n"/>
      <c r="AB564" s="103" t="n"/>
      <c r="AC564" s="103" t="n"/>
      <c r="AD564" s="103" t="n"/>
      <c r="AE564" s="103" t="n"/>
      <c r="AF564" s="103" t="n"/>
      <c r="AG564" s="103" t="n"/>
      <c r="AH564" s="103" t="n"/>
      <c r="AI564" s="103" t="n"/>
      <c r="AJ564" s="103" t="n"/>
      <c r="AK564" s="103" t="n"/>
      <c r="AL564" s="103" t="n"/>
      <c r="AM564" s="103" t="n"/>
      <c r="AN564" s="103" t="n"/>
      <c r="AO564" s="103" t="n"/>
      <c r="AP564" s="103" t="n"/>
      <c r="AQ564" s="103" t="n"/>
      <c r="AR564" s="103" t="n"/>
    </row>
    <row r="567">
      <c r="A567" s="2">
        <f>IF($A560="","","   projections")</f>
        <v/>
      </c>
      <c r="B567" s="99">
        <f>IF($A560="",0,COUNT($E568:$AR568))</f>
        <v/>
      </c>
      <c r="C567" s="100">
        <f>IF($B567=0,0,MAX($E568:$AR568))</f>
        <v/>
      </c>
      <c r="D567" s="101">
        <f>BDS($A560,FLD_PROJ,"headers=y","startcol=1","endcol=3","dir=h")</f>
        <v/>
      </c>
      <c r="E567" s="102" t="n"/>
      <c r="F567" s="102" t="n"/>
      <c r="G567" s="102" t="n"/>
      <c r="H567" s="102" t="n"/>
      <c r="I567" s="102" t="n"/>
      <c r="J567" s="102" t="n"/>
      <c r="K567" s="102" t="n"/>
      <c r="L567" s="102" t="n"/>
      <c r="M567" s="102" t="n"/>
      <c r="N567" s="102" t="n"/>
      <c r="O567" s="102" t="n"/>
      <c r="P567" s="102" t="n"/>
      <c r="Q567" s="102" t="n"/>
      <c r="R567" s="102" t="n"/>
      <c r="S567" s="102" t="n"/>
      <c r="T567" s="102" t="n"/>
      <c r="U567" s="102" t="n"/>
      <c r="V567" s="102" t="n"/>
      <c r="W567" s="102" t="n"/>
      <c r="X567" s="102" t="n"/>
      <c r="Y567" s="102" t="n"/>
      <c r="Z567" s="102" t="n"/>
      <c r="AA567" s="102" t="n"/>
      <c r="AB567" s="102" t="n"/>
      <c r="AC567" s="102" t="n"/>
      <c r="AD567" s="102" t="n"/>
      <c r="AE567" s="102" t="n"/>
      <c r="AF567" s="102" t="n"/>
      <c r="AG567" s="102" t="n"/>
      <c r="AH567" s="102" t="n"/>
      <c r="AI567" s="102" t="n"/>
      <c r="AJ567" s="102" t="n"/>
      <c r="AK567" s="102" t="n"/>
      <c r="AL567" s="102" t="n"/>
      <c r="AM567" s="102" t="n"/>
      <c r="AN567" s="102" t="n"/>
      <c r="AO567" s="102" t="n"/>
      <c r="AP567" s="102" t="n"/>
      <c r="AQ567" s="102" t="n"/>
      <c r="AR567" s="102" t="n"/>
    </row>
    <row r="568">
      <c r="D568" s="102" t="n"/>
      <c r="E568" s="102" t="n"/>
      <c r="F568" s="102" t="n"/>
      <c r="G568" s="102" t="n"/>
      <c r="H568" s="102" t="n"/>
      <c r="I568" s="102" t="n"/>
      <c r="J568" s="102" t="n"/>
      <c r="K568" s="102" t="n"/>
      <c r="L568" s="102" t="n"/>
      <c r="M568" s="102" t="n"/>
      <c r="N568" s="102" t="n"/>
      <c r="O568" s="102" t="n"/>
      <c r="P568" s="102" t="n"/>
      <c r="Q568" s="102" t="n"/>
      <c r="R568" s="102" t="n"/>
      <c r="S568" s="102" t="n"/>
      <c r="T568" s="102" t="n"/>
      <c r="U568" s="102" t="n"/>
      <c r="V568" s="102" t="n"/>
      <c r="W568" s="102" t="n"/>
      <c r="X568" s="102" t="n"/>
      <c r="Y568" s="102" t="n"/>
      <c r="Z568" s="102" t="n"/>
      <c r="AA568" s="102" t="n"/>
      <c r="AB568" s="102" t="n"/>
      <c r="AC568" s="102" t="n"/>
      <c r="AD568" s="102" t="n"/>
      <c r="AE568" s="102" t="n"/>
      <c r="AF568" s="102" t="n"/>
      <c r="AG568" s="102" t="n"/>
      <c r="AH568" s="102" t="n"/>
      <c r="AI568" s="102" t="n"/>
      <c r="AJ568" s="102" t="n"/>
      <c r="AK568" s="102" t="n"/>
      <c r="AL568" s="102" t="n"/>
      <c r="AM568" s="102" t="n"/>
      <c r="AN568" s="102" t="n"/>
      <c r="AO568" s="102" t="n"/>
      <c r="AP568" s="102" t="n"/>
      <c r="AQ568" s="102" t="n"/>
      <c r="AR568" s="102" t="n"/>
    </row>
    <row r="569">
      <c r="D569" s="103" t="n"/>
      <c r="E569" s="103" t="n"/>
      <c r="F569" s="103" t="n"/>
      <c r="G569" s="103" t="n"/>
      <c r="H569" s="103" t="n"/>
      <c r="I569" s="103" t="n"/>
      <c r="J569" s="103" t="n"/>
      <c r="K569" s="103" t="n"/>
      <c r="L569" s="103" t="n"/>
      <c r="M569" s="103" t="n"/>
      <c r="N569" s="103" t="n"/>
      <c r="O569" s="103" t="n"/>
      <c r="P569" s="103" t="n"/>
      <c r="Q569" s="103" t="n"/>
      <c r="R569" s="103" t="n"/>
      <c r="S569" s="103" t="n"/>
      <c r="T569" s="103" t="n"/>
      <c r="U569" s="103" t="n"/>
      <c r="V569" s="103" t="n"/>
      <c r="W569" s="103" t="n"/>
      <c r="X569" s="103" t="n"/>
      <c r="Y569" s="103" t="n"/>
      <c r="Z569" s="103" t="n"/>
      <c r="AA569" s="103" t="n"/>
      <c r="AB569" s="103" t="n"/>
      <c r="AC569" s="103" t="n"/>
      <c r="AD569" s="103" t="n"/>
      <c r="AE569" s="103" t="n"/>
      <c r="AF569" s="103" t="n"/>
      <c r="AG569" s="103" t="n"/>
      <c r="AH569" s="103" t="n"/>
      <c r="AI569" s="103" t="n"/>
      <c r="AJ569" s="103" t="n"/>
      <c r="AK569" s="103" t="n"/>
      <c r="AL569" s="103" t="n"/>
      <c r="AM569" s="103" t="n"/>
      <c r="AN569" s="103" t="n"/>
      <c r="AO569" s="103" t="n"/>
      <c r="AP569" s="103" t="n"/>
      <c r="AQ569" s="103" t="n"/>
      <c r="AR569" s="103" t="n"/>
    </row>
    <row r="571">
      <c r="A571" s="8">
        <f>IF(HSI!$C$58="","",HSI!$C$58)</f>
        <v/>
      </c>
      <c r="B571" s="99">
        <f>IF($A571="",0,COUNT($E572:$AR572))</f>
        <v/>
      </c>
      <c r="C571" s="100">
        <f>IF($B571=0,0,MAX($E572:$AR572))</f>
        <v/>
      </c>
      <c r="D571" s="101">
        <f>BDS($A571,FLD_HIST,"headers=y","startcol=1","endcol=7","dir=h","DVD_START_DT",HIST_FROM,"DVD_END_DT",HIST_TO)</f>
        <v/>
      </c>
      <c r="E571" s="102" t="n"/>
      <c r="F571" s="102" t="n"/>
      <c r="G571" s="102" t="n"/>
      <c r="H571" s="102" t="n"/>
      <c r="I571" s="102" t="n"/>
      <c r="J571" s="102" t="n"/>
      <c r="K571" s="102" t="n"/>
      <c r="L571" s="102" t="n"/>
      <c r="M571" s="102" t="n"/>
      <c r="N571" s="102" t="n"/>
      <c r="O571" s="102" t="n"/>
      <c r="P571" s="102" t="n"/>
      <c r="Q571" s="102" t="n"/>
      <c r="R571" s="102" t="n"/>
      <c r="S571" s="102" t="n"/>
      <c r="T571" s="102" t="n"/>
      <c r="U571" s="102" t="n"/>
      <c r="V571" s="102" t="n"/>
      <c r="W571" s="102" t="n"/>
      <c r="X571" s="102" t="n"/>
      <c r="Y571" s="102" t="n"/>
      <c r="Z571" s="102" t="n"/>
      <c r="AA571" s="102" t="n"/>
      <c r="AB571" s="102" t="n"/>
      <c r="AC571" s="102" t="n"/>
      <c r="AD571" s="102" t="n"/>
      <c r="AE571" s="102" t="n"/>
      <c r="AF571" s="102" t="n"/>
      <c r="AG571" s="102" t="n"/>
      <c r="AH571" s="102" t="n"/>
      <c r="AI571" s="102" t="n"/>
      <c r="AJ571" s="102" t="n"/>
      <c r="AK571" s="102" t="n"/>
      <c r="AL571" s="102" t="n"/>
      <c r="AM571" s="102" t="n"/>
      <c r="AN571" s="102" t="n"/>
      <c r="AO571" s="102" t="n"/>
      <c r="AP571" s="102" t="n"/>
      <c r="AQ571" s="102" t="n"/>
      <c r="AR571" s="102" t="n"/>
    </row>
    <row r="572">
      <c r="D572" s="102" t="n"/>
      <c r="E572" s="102" t="n"/>
      <c r="F572" s="102" t="n"/>
      <c r="G572" s="102" t="n"/>
      <c r="H572" s="102" t="n"/>
      <c r="I572" s="102" t="n"/>
      <c r="J572" s="102" t="n"/>
      <c r="K572" s="102" t="n"/>
      <c r="L572" s="102" t="n"/>
      <c r="M572" s="102" t="n"/>
      <c r="N572" s="102" t="n"/>
      <c r="O572" s="102" t="n"/>
      <c r="P572" s="102" t="n"/>
      <c r="Q572" s="102" t="n"/>
      <c r="R572" s="102" t="n"/>
      <c r="S572" s="102" t="n"/>
      <c r="T572" s="102" t="n"/>
      <c r="U572" s="102" t="n"/>
      <c r="V572" s="102" t="n"/>
      <c r="W572" s="102" t="n"/>
      <c r="X572" s="102" t="n"/>
      <c r="Y572" s="102" t="n"/>
      <c r="Z572" s="102" t="n"/>
      <c r="AA572" s="102" t="n"/>
      <c r="AB572" s="102" t="n"/>
      <c r="AC572" s="102" t="n"/>
      <c r="AD572" s="102" t="n"/>
      <c r="AE572" s="102" t="n"/>
      <c r="AF572" s="102" t="n"/>
      <c r="AG572" s="102" t="n"/>
      <c r="AH572" s="102" t="n"/>
      <c r="AI572" s="102" t="n"/>
      <c r="AJ572" s="102" t="n"/>
      <c r="AK572" s="102" t="n"/>
      <c r="AL572" s="102" t="n"/>
      <c r="AM572" s="102" t="n"/>
      <c r="AN572" s="102" t="n"/>
      <c r="AO572" s="102" t="n"/>
      <c r="AP572" s="102" t="n"/>
      <c r="AQ572" s="102" t="n"/>
      <c r="AR572" s="102" t="n"/>
    </row>
    <row r="573">
      <c r="D573" s="102" t="n"/>
      <c r="E573" s="102" t="n"/>
      <c r="F573" s="102" t="n"/>
      <c r="G573" s="102" t="n"/>
      <c r="H573" s="102" t="n"/>
      <c r="I573" s="102" t="n"/>
      <c r="J573" s="102" t="n"/>
      <c r="K573" s="102" t="n"/>
      <c r="L573" s="102" t="n"/>
      <c r="M573" s="102" t="n"/>
      <c r="N573" s="102" t="n"/>
      <c r="O573" s="102" t="n"/>
      <c r="P573" s="102" t="n"/>
      <c r="Q573" s="102" t="n"/>
      <c r="R573" s="102" t="n"/>
      <c r="S573" s="102" t="n"/>
      <c r="T573" s="102" t="n"/>
      <c r="U573" s="102" t="n"/>
      <c r="V573" s="102" t="n"/>
      <c r="W573" s="102" t="n"/>
      <c r="X573" s="102" t="n"/>
      <c r="Y573" s="102" t="n"/>
      <c r="Z573" s="102" t="n"/>
      <c r="AA573" s="102" t="n"/>
      <c r="AB573" s="102" t="n"/>
      <c r="AC573" s="102" t="n"/>
      <c r="AD573" s="102" t="n"/>
      <c r="AE573" s="102" t="n"/>
      <c r="AF573" s="102" t="n"/>
      <c r="AG573" s="102" t="n"/>
      <c r="AH573" s="102" t="n"/>
      <c r="AI573" s="102" t="n"/>
      <c r="AJ573" s="102" t="n"/>
      <c r="AK573" s="102" t="n"/>
      <c r="AL573" s="102" t="n"/>
      <c r="AM573" s="102" t="n"/>
      <c r="AN573" s="102" t="n"/>
      <c r="AO573" s="102" t="n"/>
      <c r="AP573" s="102" t="n"/>
      <c r="AQ573" s="102" t="n"/>
      <c r="AR573" s="102" t="n"/>
    </row>
    <row r="574">
      <c r="D574" s="102" t="n"/>
      <c r="E574" s="102" t="n"/>
      <c r="F574" s="102" t="n"/>
      <c r="G574" s="102" t="n"/>
      <c r="H574" s="102" t="n"/>
      <c r="I574" s="102" t="n"/>
      <c r="J574" s="102" t="n"/>
      <c r="K574" s="102" t="n"/>
      <c r="L574" s="102" t="n"/>
      <c r="M574" s="102" t="n"/>
      <c r="N574" s="102" t="n"/>
      <c r="O574" s="102" t="n"/>
      <c r="P574" s="102" t="n"/>
      <c r="Q574" s="102" t="n"/>
      <c r="R574" s="102" t="n"/>
      <c r="S574" s="102" t="n"/>
      <c r="T574" s="102" t="n"/>
      <c r="U574" s="102" t="n"/>
      <c r="V574" s="102" t="n"/>
      <c r="W574" s="102" t="n"/>
      <c r="X574" s="102" t="n"/>
      <c r="Y574" s="102" t="n"/>
      <c r="Z574" s="102" t="n"/>
      <c r="AA574" s="102" t="n"/>
      <c r="AB574" s="102" t="n"/>
      <c r="AC574" s="102" t="n"/>
      <c r="AD574" s="102" t="n"/>
      <c r="AE574" s="102" t="n"/>
      <c r="AF574" s="102" t="n"/>
      <c r="AG574" s="102" t="n"/>
      <c r="AH574" s="102" t="n"/>
      <c r="AI574" s="102" t="n"/>
      <c r="AJ574" s="102" t="n"/>
      <c r="AK574" s="102" t="n"/>
      <c r="AL574" s="102" t="n"/>
      <c r="AM574" s="102" t="n"/>
      <c r="AN574" s="102" t="n"/>
      <c r="AO574" s="102" t="n"/>
      <c r="AP574" s="102" t="n"/>
      <c r="AQ574" s="102" t="n"/>
      <c r="AR574" s="102" t="n"/>
    </row>
    <row r="575">
      <c r="D575" s="103" t="n"/>
      <c r="E575" s="103" t="n"/>
      <c r="F575" s="103" t="n"/>
      <c r="G575" s="103" t="n"/>
      <c r="H575" s="103" t="n"/>
      <c r="I575" s="103" t="n"/>
      <c r="J575" s="103" t="n"/>
      <c r="K575" s="103" t="n"/>
      <c r="L575" s="103" t="n"/>
      <c r="M575" s="103" t="n"/>
      <c r="N575" s="103" t="n"/>
      <c r="O575" s="103" t="n"/>
      <c r="P575" s="103" t="n"/>
      <c r="Q575" s="103" t="n"/>
      <c r="R575" s="103" t="n"/>
      <c r="S575" s="103" t="n"/>
      <c r="T575" s="103" t="n"/>
      <c r="U575" s="103" t="n"/>
      <c r="V575" s="103" t="n"/>
      <c r="W575" s="103" t="n"/>
      <c r="X575" s="103" t="n"/>
      <c r="Y575" s="103" t="n"/>
      <c r="Z575" s="103" t="n"/>
      <c r="AA575" s="103" t="n"/>
      <c r="AB575" s="103" t="n"/>
      <c r="AC575" s="103" t="n"/>
      <c r="AD575" s="103" t="n"/>
      <c r="AE575" s="103" t="n"/>
      <c r="AF575" s="103" t="n"/>
      <c r="AG575" s="103" t="n"/>
      <c r="AH575" s="103" t="n"/>
      <c r="AI575" s="103" t="n"/>
      <c r="AJ575" s="103" t="n"/>
      <c r="AK575" s="103" t="n"/>
      <c r="AL575" s="103" t="n"/>
      <c r="AM575" s="103" t="n"/>
      <c r="AN575" s="103" t="n"/>
      <c r="AO575" s="103" t="n"/>
      <c r="AP575" s="103" t="n"/>
      <c r="AQ575" s="103" t="n"/>
      <c r="AR575" s="103" t="n"/>
    </row>
    <row r="578">
      <c r="A578" s="2">
        <f>IF($A571="","","   projections")</f>
        <v/>
      </c>
      <c r="B578" s="99">
        <f>IF($A571="",0,COUNT($E579:$AR579))</f>
        <v/>
      </c>
      <c r="C578" s="100">
        <f>IF($B578=0,0,MAX($E579:$AR579))</f>
        <v/>
      </c>
      <c r="D578" s="101">
        <f>BDS($A571,FLD_PROJ,"headers=y","startcol=1","endcol=3","dir=h")</f>
        <v/>
      </c>
      <c r="E578" s="102" t="n"/>
      <c r="F578" s="102" t="n"/>
      <c r="G578" s="102" t="n"/>
      <c r="H578" s="102" t="n"/>
      <c r="I578" s="102" t="n"/>
      <c r="J578" s="102" t="n"/>
      <c r="K578" s="102" t="n"/>
      <c r="L578" s="102" t="n"/>
      <c r="M578" s="102" t="n"/>
      <c r="N578" s="102" t="n"/>
      <c r="O578" s="102" t="n"/>
      <c r="P578" s="102" t="n"/>
      <c r="Q578" s="102" t="n"/>
      <c r="R578" s="102" t="n"/>
      <c r="S578" s="102" t="n"/>
      <c r="T578" s="102" t="n"/>
      <c r="U578" s="102" t="n"/>
      <c r="V578" s="102" t="n"/>
      <c r="W578" s="102" t="n"/>
      <c r="X578" s="102" t="n"/>
      <c r="Y578" s="102" t="n"/>
      <c r="Z578" s="102" t="n"/>
      <c r="AA578" s="102" t="n"/>
      <c r="AB578" s="102" t="n"/>
      <c r="AC578" s="102" t="n"/>
      <c r="AD578" s="102" t="n"/>
      <c r="AE578" s="102" t="n"/>
      <c r="AF578" s="102" t="n"/>
      <c r="AG578" s="102" t="n"/>
      <c r="AH578" s="102" t="n"/>
      <c r="AI578" s="102" t="n"/>
      <c r="AJ578" s="102" t="n"/>
      <c r="AK578" s="102" t="n"/>
      <c r="AL578" s="102" t="n"/>
      <c r="AM578" s="102" t="n"/>
      <c r="AN578" s="102" t="n"/>
      <c r="AO578" s="102" t="n"/>
      <c r="AP578" s="102" t="n"/>
      <c r="AQ578" s="102" t="n"/>
      <c r="AR578" s="102" t="n"/>
    </row>
    <row r="579">
      <c r="D579" s="102" t="n"/>
      <c r="E579" s="102" t="n"/>
      <c r="F579" s="102" t="n"/>
      <c r="G579" s="102" t="n"/>
      <c r="H579" s="102" t="n"/>
      <c r="I579" s="102" t="n"/>
      <c r="J579" s="102" t="n"/>
      <c r="K579" s="102" t="n"/>
      <c r="L579" s="102" t="n"/>
      <c r="M579" s="102" t="n"/>
      <c r="N579" s="102" t="n"/>
      <c r="O579" s="102" t="n"/>
      <c r="P579" s="102" t="n"/>
      <c r="Q579" s="102" t="n"/>
      <c r="R579" s="102" t="n"/>
      <c r="S579" s="102" t="n"/>
      <c r="T579" s="102" t="n"/>
      <c r="U579" s="102" t="n"/>
      <c r="V579" s="102" t="n"/>
      <c r="W579" s="102" t="n"/>
      <c r="X579" s="102" t="n"/>
      <c r="Y579" s="102" t="n"/>
      <c r="Z579" s="102" t="n"/>
      <c r="AA579" s="102" t="n"/>
      <c r="AB579" s="102" t="n"/>
      <c r="AC579" s="102" t="n"/>
      <c r="AD579" s="102" t="n"/>
      <c r="AE579" s="102" t="n"/>
      <c r="AF579" s="102" t="n"/>
      <c r="AG579" s="102" t="n"/>
      <c r="AH579" s="102" t="n"/>
      <c r="AI579" s="102" t="n"/>
      <c r="AJ579" s="102" t="n"/>
      <c r="AK579" s="102" t="n"/>
      <c r="AL579" s="102" t="n"/>
      <c r="AM579" s="102" t="n"/>
      <c r="AN579" s="102" t="n"/>
      <c r="AO579" s="102" t="n"/>
      <c r="AP579" s="102" t="n"/>
      <c r="AQ579" s="102" t="n"/>
      <c r="AR579" s="102" t="n"/>
    </row>
    <row r="580">
      <c r="D580" s="103" t="n"/>
      <c r="E580" s="103" t="n"/>
      <c r="F580" s="103" t="n"/>
      <c r="G580" s="103" t="n"/>
      <c r="H580" s="103" t="n"/>
      <c r="I580" s="103" t="n"/>
      <c r="J580" s="103" t="n"/>
      <c r="K580" s="103" t="n"/>
      <c r="L580" s="103" t="n"/>
      <c r="M580" s="103" t="n"/>
      <c r="N580" s="103" t="n"/>
      <c r="O580" s="103" t="n"/>
      <c r="P580" s="103" t="n"/>
      <c r="Q580" s="103" t="n"/>
      <c r="R580" s="103" t="n"/>
      <c r="S580" s="103" t="n"/>
      <c r="T580" s="103" t="n"/>
      <c r="U580" s="103" t="n"/>
      <c r="V580" s="103" t="n"/>
      <c r="W580" s="103" t="n"/>
      <c r="X580" s="103" t="n"/>
      <c r="Y580" s="103" t="n"/>
      <c r="Z580" s="103" t="n"/>
      <c r="AA580" s="103" t="n"/>
      <c r="AB580" s="103" t="n"/>
      <c r="AC580" s="103" t="n"/>
      <c r="AD580" s="103" t="n"/>
      <c r="AE580" s="103" t="n"/>
      <c r="AF580" s="103" t="n"/>
      <c r="AG580" s="103" t="n"/>
      <c r="AH580" s="103" t="n"/>
      <c r="AI580" s="103" t="n"/>
      <c r="AJ580" s="103" t="n"/>
      <c r="AK580" s="103" t="n"/>
      <c r="AL580" s="103" t="n"/>
      <c r="AM580" s="103" t="n"/>
      <c r="AN580" s="103" t="n"/>
      <c r="AO580" s="103" t="n"/>
      <c r="AP580" s="103" t="n"/>
      <c r="AQ580" s="103" t="n"/>
      <c r="AR580" s="103" t="n"/>
    </row>
    <row r="582">
      <c r="A582" s="8">
        <f>IF(HSI!$C$59="","",HSI!$C$59)</f>
        <v/>
      </c>
      <c r="B582" s="99">
        <f>IF($A582="",0,COUNT($E583:$AR583))</f>
        <v/>
      </c>
      <c r="C582" s="100">
        <f>IF($B582=0,0,MAX($E583:$AR583))</f>
        <v/>
      </c>
      <c r="D582" s="101">
        <f>BDS($A582,FLD_HIST,"headers=y","startcol=1","endcol=7","dir=h","DVD_START_DT",HIST_FROM,"DVD_END_DT",HIST_TO)</f>
        <v/>
      </c>
      <c r="E582" s="102" t="n"/>
      <c r="F582" s="102" t="n"/>
      <c r="G582" s="102" t="n"/>
      <c r="H582" s="102" t="n"/>
      <c r="I582" s="102" t="n"/>
      <c r="J582" s="102" t="n"/>
      <c r="K582" s="102" t="n"/>
      <c r="L582" s="102" t="n"/>
      <c r="M582" s="102" t="n"/>
      <c r="N582" s="102" t="n"/>
      <c r="O582" s="102" t="n"/>
      <c r="P582" s="102" t="n"/>
      <c r="Q582" s="102" t="n"/>
      <c r="R582" s="102" t="n"/>
      <c r="S582" s="102" t="n"/>
      <c r="T582" s="102" t="n"/>
      <c r="U582" s="102" t="n"/>
      <c r="V582" s="102" t="n"/>
      <c r="W582" s="102" t="n"/>
      <c r="X582" s="102" t="n"/>
      <c r="Y582" s="102" t="n"/>
      <c r="Z582" s="102" t="n"/>
      <c r="AA582" s="102" t="n"/>
      <c r="AB582" s="102" t="n"/>
      <c r="AC582" s="102" t="n"/>
      <c r="AD582" s="102" t="n"/>
      <c r="AE582" s="102" t="n"/>
      <c r="AF582" s="102" t="n"/>
      <c r="AG582" s="102" t="n"/>
      <c r="AH582" s="102" t="n"/>
      <c r="AI582" s="102" t="n"/>
      <c r="AJ582" s="102" t="n"/>
      <c r="AK582" s="102" t="n"/>
      <c r="AL582" s="102" t="n"/>
      <c r="AM582" s="102" t="n"/>
      <c r="AN582" s="102" t="n"/>
      <c r="AO582" s="102" t="n"/>
      <c r="AP582" s="102" t="n"/>
      <c r="AQ582" s="102" t="n"/>
      <c r="AR582" s="102" t="n"/>
    </row>
    <row r="583">
      <c r="D583" s="102" t="n"/>
      <c r="E583" s="102" t="n"/>
      <c r="F583" s="102" t="n"/>
      <c r="G583" s="102" t="n"/>
      <c r="H583" s="102" t="n"/>
      <c r="I583" s="102" t="n"/>
      <c r="J583" s="102" t="n"/>
      <c r="K583" s="102" t="n"/>
      <c r="L583" s="102" t="n"/>
      <c r="M583" s="102" t="n"/>
      <c r="N583" s="102" t="n"/>
      <c r="O583" s="102" t="n"/>
      <c r="P583" s="102" t="n"/>
      <c r="Q583" s="102" t="n"/>
      <c r="R583" s="102" t="n"/>
      <c r="S583" s="102" t="n"/>
      <c r="T583" s="102" t="n"/>
      <c r="U583" s="102" t="n"/>
      <c r="V583" s="102" t="n"/>
      <c r="W583" s="102" t="n"/>
      <c r="X583" s="102" t="n"/>
      <c r="Y583" s="102" t="n"/>
      <c r="Z583" s="102" t="n"/>
      <c r="AA583" s="102" t="n"/>
      <c r="AB583" s="102" t="n"/>
      <c r="AC583" s="102" t="n"/>
      <c r="AD583" s="102" t="n"/>
      <c r="AE583" s="102" t="n"/>
      <c r="AF583" s="102" t="n"/>
      <c r="AG583" s="102" t="n"/>
      <c r="AH583" s="102" t="n"/>
      <c r="AI583" s="102" t="n"/>
      <c r="AJ583" s="102" t="n"/>
      <c r="AK583" s="102" t="n"/>
      <c r="AL583" s="102" t="n"/>
      <c r="AM583" s="102" t="n"/>
      <c r="AN583" s="102" t="n"/>
      <c r="AO583" s="102" t="n"/>
      <c r="AP583" s="102" t="n"/>
      <c r="AQ583" s="102" t="n"/>
      <c r="AR583" s="102" t="n"/>
    </row>
    <row r="584">
      <c r="D584" s="102" t="n"/>
      <c r="E584" s="102" t="n"/>
      <c r="F584" s="102" t="n"/>
      <c r="G584" s="102" t="n"/>
      <c r="H584" s="102" t="n"/>
      <c r="I584" s="102" t="n"/>
      <c r="J584" s="102" t="n"/>
      <c r="K584" s="102" t="n"/>
      <c r="L584" s="102" t="n"/>
      <c r="M584" s="102" t="n"/>
      <c r="N584" s="102" t="n"/>
      <c r="O584" s="102" t="n"/>
      <c r="P584" s="102" t="n"/>
      <c r="Q584" s="102" t="n"/>
      <c r="R584" s="102" t="n"/>
      <c r="S584" s="102" t="n"/>
      <c r="T584" s="102" t="n"/>
      <c r="U584" s="102" t="n"/>
      <c r="V584" s="102" t="n"/>
      <c r="W584" s="102" t="n"/>
      <c r="X584" s="102" t="n"/>
      <c r="Y584" s="102" t="n"/>
      <c r="Z584" s="102" t="n"/>
      <c r="AA584" s="102" t="n"/>
      <c r="AB584" s="102" t="n"/>
      <c r="AC584" s="102" t="n"/>
      <c r="AD584" s="102" t="n"/>
      <c r="AE584" s="102" t="n"/>
      <c r="AF584" s="102" t="n"/>
      <c r="AG584" s="102" t="n"/>
      <c r="AH584" s="102" t="n"/>
      <c r="AI584" s="102" t="n"/>
      <c r="AJ584" s="102" t="n"/>
      <c r="AK584" s="102" t="n"/>
      <c r="AL584" s="102" t="n"/>
      <c r="AM584" s="102" t="n"/>
      <c r="AN584" s="102" t="n"/>
      <c r="AO584" s="102" t="n"/>
      <c r="AP584" s="102" t="n"/>
      <c r="AQ584" s="102" t="n"/>
      <c r="AR584" s="102" t="n"/>
    </row>
    <row r="585">
      <c r="D585" s="102" t="n"/>
      <c r="E585" s="102" t="n"/>
      <c r="F585" s="102" t="n"/>
      <c r="G585" s="102" t="n"/>
      <c r="H585" s="102" t="n"/>
      <c r="I585" s="102" t="n"/>
      <c r="J585" s="102" t="n"/>
      <c r="K585" s="102" t="n"/>
      <c r="L585" s="102" t="n"/>
      <c r="M585" s="102" t="n"/>
      <c r="N585" s="102" t="n"/>
      <c r="O585" s="102" t="n"/>
      <c r="P585" s="102" t="n"/>
      <c r="Q585" s="102" t="n"/>
      <c r="R585" s="102" t="n"/>
      <c r="S585" s="102" t="n"/>
      <c r="T585" s="102" t="n"/>
      <c r="U585" s="102" t="n"/>
      <c r="V585" s="102" t="n"/>
      <c r="W585" s="102" t="n"/>
      <c r="X585" s="102" t="n"/>
      <c r="Y585" s="102" t="n"/>
      <c r="Z585" s="102" t="n"/>
      <c r="AA585" s="102" t="n"/>
      <c r="AB585" s="102" t="n"/>
      <c r="AC585" s="102" t="n"/>
      <c r="AD585" s="102" t="n"/>
      <c r="AE585" s="102" t="n"/>
      <c r="AF585" s="102" t="n"/>
      <c r="AG585" s="102" t="n"/>
      <c r="AH585" s="102" t="n"/>
      <c r="AI585" s="102" t="n"/>
      <c r="AJ585" s="102" t="n"/>
      <c r="AK585" s="102" t="n"/>
      <c r="AL585" s="102" t="n"/>
      <c r="AM585" s="102" t="n"/>
      <c r="AN585" s="102" t="n"/>
      <c r="AO585" s="102" t="n"/>
      <c r="AP585" s="102" t="n"/>
      <c r="AQ585" s="102" t="n"/>
      <c r="AR585" s="102" t="n"/>
    </row>
    <row r="586">
      <c r="D586" s="103" t="n"/>
      <c r="E586" s="103" t="n"/>
      <c r="F586" s="103" t="n"/>
      <c r="G586" s="103" t="n"/>
      <c r="H586" s="103" t="n"/>
      <c r="I586" s="103" t="n"/>
      <c r="J586" s="103" t="n"/>
      <c r="K586" s="103" t="n"/>
      <c r="L586" s="103" t="n"/>
      <c r="M586" s="103" t="n"/>
      <c r="N586" s="103" t="n"/>
      <c r="O586" s="103" t="n"/>
      <c r="P586" s="103" t="n"/>
      <c r="Q586" s="103" t="n"/>
      <c r="R586" s="103" t="n"/>
      <c r="S586" s="103" t="n"/>
      <c r="T586" s="103" t="n"/>
      <c r="U586" s="103" t="n"/>
      <c r="V586" s="103" t="n"/>
      <c r="W586" s="103" t="n"/>
      <c r="X586" s="103" t="n"/>
      <c r="Y586" s="103" t="n"/>
      <c r="Z586" s="103" t="n"/>
      <c r="AA586" s="103" t="n"/>
      <c r="AB586" s="103" t="n"/>
      <c r="AC586" s="103" t="n"/>
      <c r="AD586" s="103" t="n"/>
      <c r="AE586" s="103" t="n"/>
      <c r="AF586" s="103" t="n"/>
      <c r="AG586" s="103" t="n"/>
      <c r="AH586" s="103" t="n"/>
      <c r="AI586" s="103" t="n"/>
      <c r="AJ586" s="103" t="n"/>
      <c r="AK586" s="103" t="n"/>
      <c r="AL586" s="103" t="n"/>
      <c r="AM586" s="103" t="n"/>
      <c r="AN586" s="103" t="n"/>
      <c r="AO586" s="103" t="n"/>
      <c r="AP586" s="103" t="n"/>
      <c r="AQ586" s="103" t="n"/>
      <c r="AR586" s="103" t="n"/>
    </row>
    <row r="589">
      <c r="A589" s="2">
        <f>IF($A582="","","   projections")</f>
        <v/>
      </c>
      <c r="B589" s="99">
        <f>IF($A582="",0,COUNT($E590:$AR590))</f>
        <v/>
      </c>
      <c r="C589" s="100">
        <f>IF($B589=0,0,MAX($E590:$AR590))</f>
        <v/>
      </c>
      <c r="D589" s="101">
        <f>BDS($A582,FLD_PROJ,"headers=y","startcol=1","endcol=3","dir=h")</f>
        <v/>
      </c>
      <c r="E589" s="102" t="n"/>
      <c r="F589" s="102" t="n"/>
      <c r="G589" s="102" t="n"/>
      <c r="H589" s="102" t="n"/>
      <c r="I589" s="102" t="n"/>
      <c r="J589" s="102" t="n"/>
      <c r="K589" s="102" t="n"/>
      <c r="L589" s="102" t="n"/>
      <c r="M589" s="102" t="n"/>
      <c r="N589" s="102" t="n"/>
      <c r="O589" s="102" t="n"/>
      <c r="P589" s="102" t="n"/>
      <c r="Q589" s="102" t="n"/>
      <c r="R589" s="102" t="n"/>
      <c r="S589" s="102" t="n"/>
      <c r="T589" s="102" t="n"/>
      <c r="U589" s="102" t="n"/>
      <c r="V589" s="102" t="n"/>
      <c r="W589" s="102" t="n"/>
      <c r="X589" s="102" t="n"/>
      <c r="Y589" s="102" t="n"/>
      <c r="Z589" s="102" t="n"/>
      <c r="AA589" s="102" t="n"/>
      <c r="AB589" s="102" t="n"/>
      <c r="AC589" s="102" t="n"/>
      <c r="AD589" s="102" t="n"/>
      <c r="AE589" s="102" t="n"/>
      <c r="AF589" s="102" t="n"/>
      <c r="AG589" s="102" t="n"/>
      <c r="AH589" s="102" t="n"/>
      <c r="AI589" s="102" t="n"/>
      <c r="AJ589" s="102" t="n"/>
      <c r="AK589" s="102" t="n"/>
      <c r="AL589" s="102" t="n"/>
      <c r="AM589" s="102" t="n"/>
      <c r="AN589" s="102" t="n"/>
      <c r="AO589" s="102" t="n"/>
      <c r="AP589" s="102" t="n"/>
      <c r="AQ589" s="102" t="n"/>
      <c r="AR589" s="102" t="n"/>
    </row>
    <row r="590">
      <c r="D590" s="102" t="n"/>
      <c r="E590" s="102" t="n"/>
      <c r="F590" s="102" t="n"/>
      <c r="G590" s="102" t="n"/>
      <c r="H590" s="102" t="n"/>
      <c r="I590" s="102" t="n"/>
      <c r="J590" s="102" t="n"/>
      <c r="K590" s="102" t="n"/>
      <c r="L590" s="102" t="n"/>
      <c r="M590" s="102" t="n"/>
      <c r="N590" s="102" t="n"/>
      <c r="O590" s="102" t="n"/>
      <c r="P590" s="102" t="n"/>
      <c r="Q590" s="102" t="n"/>
      <c r="R590" s="102" t="n"/>
      <c r="S590" s="102" t="n"/>
      <c r="T590" s="102" t="n"/>
      <c r="U590" s="102" t="n"/>
      <c r="V590" s="102" t="n"/>
      <c r="W590" s="102" t="n"/>
      <c r="X590" s="102" t="n"/>
      <c r="Y590" s="102" t="n"/>
      <c r="Z590" s="102" t="n"/>
      <c r="AA590" s="102" t="n"/>
      <c r="AB590" s="102" t="n"/>
      <c r="AC590" s="102" t="n"/>
      <c r="AD590" s="102" t="n"/>
      <c r="AE590" s="102" t="n"/>
      <c r="AF590" s="102" t="n"/>
      <c r="AG590" s="102" t="n"/>
      <c r="AH590" s="102" t="n"/>
      <c r="AI590" s="102" t="n"/>
      <c r="AJ590" s="102" t="n"/>
      <c r="AK590" s="102" t="n"/>
      <c r="AL590" s="102" t="n"/>
      <c r="AM590" s="102" t="n"/>
      <c r="AN590" s="102" t="n"/>
      <c r="AO590" s="102" t="n"/>
      <c r="AP590" s="102" t="n"/>
      <c r="AQ590" s="102" t="n"/>
      <c r="AR590" s="102" t="n"/>
    </row>
    <row r="591">
      <c r="D591" s="103" t="n"/>
      <c r="E591" s="103" t="n"/>
      <c r="F591" s="103" t="n"/>
      <c r="G591" s="103" t="n"/>
      <c r="H591" s="103" t="n"/>
      <c r="I591" s="103" t="n"/>
      <c r="J591" s="103" t="n"/>
      <c r="K591" s="103" t="n"/>
      <c r="L591" s="103" t="n"/>
      <c r="M591" s="103" t="n"/>
      <c r="N591" s="103" t="n"/>
      <c r="O591" s="103" t="n"/>
      <c r="P591" s="103" t="n"/>
      <c r="Q591" s="103" t="n"/>
      <c r="R591" s="103" t="n"/>
      <c r="S591" s="103" t="n"/>
      <c r="T591" s="103" t="n"/>
      <c r="U591" s="103" t="n"/>
      <c r="V591" s="103" t="n"/>
      <c r="W591" s="103" t="n"/>
      <c r="X591" s="103" t="n"/>
      <c r="Y591" s="103" t="n"/>
      <c r="Z591" s="103" t="n"/>
      <c r="AA591" s="103" t="n"/>
      <c r="AB591" s="103" t="n"/>
      <c r="AC591" s="103" t="n"/>
      <c r="AD591" s="103" t="n"/>
      <c r="AE591" s="103" t="n"/>
      <c r="AF591" s="103" t="n"/>
      <c r="AG591" s="103" t="n"/>
      <c r="AH591" s="103" t="n"/>
      <c r="AI591" s="103" t="n"/>
      <c r="AJ591" s="103" t="n"/>
      <c r="AK591" s="103" t="n"/>
      <c r="AL591" s="103" t="n"/>
      <c r="AM591" s="103" t="n"/>
      <c r="AN591" s="103" t="n"/>
      <c r="AO591" s="103" t="n"/>
      <c r="AP591" s="103" t="n"/>
      <c r="AQ591" s="103" t="n"/>
      <c r="AR591" s="103" t="n"/>
    </row>
    <row r="593">
      <c r="A593" s="8">
        <f>IF(HSI!$C$60="","",HSI!$C$60)</f>
        <v/>
      </c>
      <c r="B593" s="99">
        <f>IF($A593="",0,COUNT($E594:$AR594))</f>
        <v/>
      </c>
      <c r="C593" s="100">
        <f>IF($B593=0,0,MAX($E594:$AR594))</f>
        <v/>
      </c>
      <c r="D593" s="101">
        <f>BDS($A593,FLD_HIST,"headers=y","startcol=1","endcol=7","dir=h","DVD_START_DT",HIST_FROM,"DVD_END_DT",HIST_TO)</f>
        <v/>
      </c>
      <c r="E593" s="102" t="n"/>
      <c r="F593" s="102" t="n"/>
      <c r="G593" s="102" t="n"/>
      <c r="H593" s="102" t="n"/>
      <c r="I593" s="102" t="n"/>
      <c r="J593" s="102" t="n"/>
      <c r="K593" s="102" t="n"/>
      <c r="L593" s="102" t="n"/>
      <c r="M593" s="102" t="n"/>
      <c r="N593" s="102" t="n"/>
      <c r="O593" s="102" t="n"/>
      <c r="P593" s="102" t="n"/>
      <c r="Q593" s="102" t="n"/>
      <c r="R593" s="102" t="n"/>
      <c r="S593" s="102" t="n"/>
      <c r="T593" s="102" t="n"/>
      <c r="U593" s="102" t="n"/>
      <c r="V593" s="102" t="n"/>
      <c r="W593" s="102" t="n"/>
      <c r="X593" s="102" t="n"/>
      <c r="Y593" s="102" t="n"/>
      <c r="Z593" s="102" t="n"/>
      <c r="AA593" s="102" t="n"/>
      <c r="AB593" s="102" t="n"/>
      <c r="AC593" s="102" t="n"/>
      <c r="AD593" s="102" t="n"/>
      <c r="AE593" s="102" t="n"/>
      <c r="AF593" s="102" t="n"/>
      <c r="AG593" s="102" t="n"/>
      <c r="AH593" s="102" t="n"/>
      <c r="AI593" s="102" t="n"/>
      <c r="AJ593" s="102" t="n"/>
      <c r="AK593" s="102" t="n"/>
      <c r="AL593" s="102" t="n"/>
      <c r="AM593" s="102" t="n"/>
      <c r="AN593" s="102" t="n"/>
      <c r="AO593" s="102" t="n"/>
      <c r="AP593" s="102" t="n"/>
      <c r="AQ593" s="102" t="n"/>
      <c r="AR593" s="102" t="n"/>
    </row>
    <row r="594">
      <c r="D594" s="102" t="n"/>
      <c r="E594" s="102" t="n"/>
      <c r="F594" s="102" t="n"/>
      <c r="G594" s="102" t="n"/>
      <c r="H594" s="102" t="n"/>
      <c r="I594" s="102" t="n"/>
      <c r="J594" s="102" t="n"/>
      <c r="K594" s="102" t="n"/>
      <c r="L594" s="102" t="n"/>
      <c r="M594" s="102" t="n"/>
      <c r="N594" s="102" t="n"/>
      <c r="O594" s="102" t="n"/>
      <c r="P594" s="102" t="n"/>
      <c r="Q594" s="102" t="n"/>
      <c r="R594" s="102" t="n"/>
      <c r="S594" s="102" t="n"/>
      <c r="T594" s="102" t="n"/>
      <c r="U594" s="102" t="n"/>
      <c r="V594" s="102" t="n"/>
      <c r="W594" s="102" t="n"/>
      <c r="X594" s="102" t="n"/>
      <c r="Y594" s="102" t="n"/>
      <c r="Z594" s="102" t="n"/>
      <c r="AA594" s="102" t="n"/>
      <c r="AB594" s="102" t="n"/>
      <c r="AC594" s="102" t="n"/>
      <c r="AD594" s="102" t="n"/>
      <c r="AE594" s="102" t="n"/>
      <c r="AF594" s="102" t="n"/>
      <c r="AG594" s="102" t="n"/>
      <c r="AH594" s="102" t="n"/>
      <c r="AI594" s="102" t="n"/>
      <c r="AJ594" s="102" t="n"/>
      <c r="AK594" s="102" t="n"/>
      <c r="AL594" s="102" t="n"/>
      <c r="AM594" s="102" t="n"/>
      <c r="AN594" s="102" t="n"/>
      <c r="AO594" s="102" t="n"/>
      <c r="AP594" s="102" t="n"/>
      <c r="AQ594" s="102" t="n"/>
      <c r="AR594" s="102" t="n"/>
    </row>
    <row r="595">
      <c r="D595" s="102" t="n"/>
      <c r="E595" s="102" t="n"/>
      <c r="F595" s="102" t="n"/>
      <c r="G595" s="102" t="n"/>
      <c r="H595" s="102" t="n"/>
      <c r="I595" s="102" t="n"/>
      <c r="J595" s="102" t="n"/>
      <c r="K595" s="102" t="n"/>
      <c r="L595" s="102" t="n"/>
      <c r="M595" s="102" t="n"/>
      <c r="N595" s="102" t="n"/>
      <c r="O595" s="102" t="n"/>
      <c r="P595" s="102" t="n"/>
      <c r="Q595" s="102" t="n"/>
      <c r="R595" s="102" t="n"/>
      <c r="S595" s="102" t="n"/>
      <c r="T595" s="102" t="n"/>
      <c r="U595" s="102" t="n"/>
      <c r="V595" s="102" t="n"/>
      <c r="W595" s="102" t="n"/>
      <c r="X595" s="102" t="n"/>
      <c r="Y595" s="102" t="n"/>
      <c r="Z595" s="102" t="n"/>
      <c r="AA595" s="102" t="n"/>
      <c r="AB595" s="102" t="n"/>
      <c r="AC595" s="102" t="n"/>
      <c r="AD595" s="102" t="n"/>
      <c r="AE595" s="102" t="n"/>
      <c r="AF595" s="102" t="n"/>
      <c r="AG595" s="102" t="n"/>
      <c r="AH595" s="102" t="n"/>
      <c r="AI595" s="102" t="n"/>
      <c r="AJ595" s="102" t="n"/>
      <c r="AK595" s="102" t="n"/>
      <c r="AL595" s="102" t="n"/>
      <c r="AM595" s="102" t="n"/>
      <c r="AN595" s="102" t="n"/>
      <c r="AO595" s="102" t="n"/>
      <c r="AP595" s="102" t="n"/>
      <c r="AQ595" s="102" t="n"/>
      <c r="AR595" s="102" t="n"/>
    </row>
    <row r="596">
      <c r="D596" s="102" t="n"/>
      <c r="E596" s="102" t="n"/>
      <c r="F596" s="102" t="n"/>
      <c r="G596" s="102" t="n"/>
      <c r="H596" s="102" t="n"/>
      <c r="I596" s="102" t="n"/>
      <c r="J596" s="102" t="n"/>
      <c r="K596" s="102" t="n"/>
      <c r="L596" s="102" t="n"/>
      <c r="M596" s="102" t="n"/>
      <c r="N596" s="102" t="n"/>
      <c r="O596" s="102" t="n"/>
      <c r="P596" s="102" t="n"/>
      <c r="Q596" s="102" t="n"/>
      <c r="R596" s="102" t="n"/>
      <c r="S596" s="102" t="n"/>
      <c r="T596" s="102" t="n"/>
      <c r="U596" s="102" t="n"/>
      <c r="V596" s="102" t="n"/>
      <c r="W596" s="102" t="n"/>
      <c r="X596" s="102" t="n"/>
      <c r="Y596" s="102" t="n"/>
      <c r="Z596" s="102" t="n"/>
      <c r="AA596" s="102" t="n"/>
      <c r="AB596" s="102" t="n"/>
      <c r="AC596" s="102" t="n"/>
      <c r="AD596" s="102" t="n"/>
      <c r="AE596" s="102" t="n"/>
      <c r="AF596" s="102" t="n"/>
      <c r="AG596" s="102" t="n"/>
      <c r="AH596" s="102" t="n"/>
      <c r="AI596" s="102" t="n"/>
      <c r="AJ596" s="102" t="n"/>
      <c r="AK596" s="102" t="n"/>
      <c r="AL596" s="102" t="n"/>
      <c r="AM596" s="102" t="n"/>
      <c r="AN596" s="102" t="n"/>
      <c r="AO596" s="102" t="n"/>
      <c r="AP596" s="102" t="n"/>
      <c r="AQ596" s="102" t="n"/>
      <c r="AR596" s="102" t="n"/>
    </row>
    <row r="597">
      <c r="D597" s="103" t="n"/>
      <c r="E597" s="103" t="n"/>
      <c r="F597" s="103" t="n"/>
      <c r="G597" s="103" t="n"/>
      <c r="H597" s="103" t="n"/>
      <c r="I597" s="103" t="n"/>
      <c r="J597" s="103" t="n"/>
      <c r="K597" s="103" t="n"/>
      <c r="L597" s="103" t="n"/>
      <c r="M597" s="103" t="n"/>
      <c r="N597" s="103" t="n"/>
      <c r="O597" s="103" t="n"/>
      <c r="P597" s="103" t="n"/>
      <c r="Q597" s="103" t="n"/>
      <c r="R597" s="103" t="n"/>
      <c r="S597" s="103" t="n"/>
      <c r="T597" s="103" t="n"/>
      <c r="U597" s="103" t="n"/>
      <c r="V597" s="103" t="n"/>
      <c r="W597" s="103" t="n"/>
      <c r="X597" s="103" t="n"/>
      <c r="Y597" s="103" t="n"/>
      <c r="Z597" s="103" t="n"/>
      <c r="AA597" s="103" t="n"/>
      <c r="AB597" s="103" t="n"/>
      <c r="AC597" s="103" t="n"/>
      <c r="AD597" s="103" t="n"/>
      <c r="AE597" s="103" t="n"/>
      <c r="AF597" s="103" t="n"/>
      <c r="AG597" s="103" t="n"/>
      <c r="AH597" s="103" t="n"/>
      <c r="AI597" s="103" t="n"/>
      <c r="AJ597" s="103" t="n"/>
      <c r="AK597" s="103" t="n"/>
      <c r="AL597" s="103" t="n"/>
      <c r="AM597" s="103" t="n"/>
      <c r="AN597" s="103" t="n"/>
      <c r="AO597" s="103" t="n"/>
      <c r="AP597" s="103" t="n"/>
      <c r="AQ597" s="103" t="n"/>
      <c r="AR597" s="103" t="n"/>
    </row>
    <row r="600">
      <c r="A600" s="2">
        <f>IF($A593="","","   projections")</f>
        <v/>
      </c>
      <c r="B600" s="99">
        <f>IF($A593="",0,COUNT($E601:$AR601))</f>
        <v/>
      </c>
      <c r="C600" s="100">
        <f>IF($B600=0,0,MAX($E601:$AR601))</f>
        <v/>
      </c>
      <c r="D600" s="101">
        <f>BDS($A593,FLD_PROJ,"headers=y","startcol=1","endcol=3","dir=h")</f>
        <v/>
      </c>
      <c r="E600" s="102" t="n"/>
      <c r="F600" s="102" t="n"/>
      <c r="G600" s="102" t="n"/>
      <c r="H600" s="102" t="n"/>
      <c r="I600" s="102" t="n"/>
      <c r="J600" s="102" t="n"/>
      <c r="K600" s="102" t="n"/>
      <c r="L600" s="102" t="n"/>
      <c r="M600" s="102" t="n"/>
      <c r="N600" s="102" t="n"/>
      <c r="O600" s="102" t="n"/>
      <c r="P600" s="102" t="n"/>
      <c r="Q600" s="102" t="n"/>
      <c r="R600" s="102" t="n"/>
      <c r="S600" s="102" t="n"/>
      <c r="T600" s="102" t="n"/>
      <c r="U600" s="102" t="n"/>
      <c r="V600" s="102" t="n"/>
      <c r="W600" s="102" t="n"/>
      <c r="X600" s="102" t="n"/>
      <c r="Y600" s="102" t="n"/>
      <c r="Z600" s="102" t="n"/>
      <c r="AA600" s="102" t="n"/>
      <c r="AB600" s="102" t="n"/>
      <c r="AC600" s="102" t="n"/>
      <c r="AD600" s="102" t="n"/>
      <c r="AE600" s="102" t="n"/>
      <c r="AF600" s="102" t="n"/>
      <c r="AG600" s="102" t="n"/>
      <c r="AH600" s="102" t="n"/>
      <c r="AI600" s="102" t="n"/>
      <c r="AJ600" s="102" t="n"/>
      <c r="AK600" s="102" t="n"/>
      <c r="AL600" s="102" t="n"/>
      <c r="AM600" s="102" t="n"/>
      <c r="AN600" s="102" t="n"/>
      <c r="AO600" s="102" t="n"/>
      <c r="AP600" s="102" t="n"/>
      <c r="AQ600" s="102" t="n"/>
      <c r="AR600" s="102" t="n"/>
    </row>
    <row r="601">
      <c r="D601" s="102" t="n"/>
      <c r="E601" s="102" t="n"/>
      <c r="F601" s="102" t="n"/>
      <c r="G601" s="102" t="n"/>
      <c r="H601" s="102" t="n"/>
      <c r="I601" s="102" t="n"/>
      <c r="J601" s="102" t="n"/>
      <c r="K601" s="102" t="n"/>
      <c r="L601" s="102" t="n"/>
      <c r="M601" s="102" t="n"/>
      <c r="N601" s="102" t="n"/>
      <c r="O601" s="102" t="n"/>
      <c r="P601" s="102" t="n"/>
      <c r="Q601" s="102" t="n"/>
      <c r="R601" s="102" t="n"/>
      <c r="S601" s="102" t="n"/>
      <c r="T601" s="102" t="n"/>
      <c r="U601" s="102" t="n"/>
      <c r="V601" s="102" t="n"/>
      <c r="W601" s="102" t="n"/>
      <c r="X601" s="102" t="n"/>
      <c r="Y601" s="102" t="n"/>
      <c r="Z601" s="102" t="n"/>
      <c r="AA601" s="102" t="n"/>
      <c r="AB601" s="102" t="n"/>
      <c r="AC601" s="102" t="n"/>
      <c r="AD601" s="102" t="n"/>
      <c r="AE601" s="102" t="n"/>
      <c r="AF601" s="102" t="n"/>
      <c r="AG601" s="102" t="n"/>
      <c r="AH601" s="102" t="n"/>
      <c r="AI601" s="102" t="n"/>
      <c r="AJ601" s="102" t="n"/>
      <c r="AK601" s="102" t="n"/>
      <c r="AL601" s="102" t="n"/>
      <c r="AM601" s="102" t="n"/>
      <c r="AN601" s="102" t="n"/>
      <c r="AO601" s="102" t="n"/>
      <c r="AP601" s="102" t="n"/>
      <c r="AQ601" s="102" t="n"/>
      <c r="AR601" s="102" t="n"/>
    </row>
    <row r="602">
      <c r="D602" s="103" t="n"/>
      <c r="E602" s="103" t="n"/>
      <c r="F602" s="103" t="n"/>
      <c r="G602" s="103" t="n"/>
      <c r="H602" s="103" t="n"/>
      <c r="I602" s="103" t="n"/>
      <c r="J602" s="103" t="n"/>
      <c r="K602" s="103" t="n"/>
      <c r="L602" s="103" t="n"/>
      <c r="M602" s="103" t="n"/>
      <c r="N602" s="103" t="n"/>
      <c r="O602" s="103" t="n"/>
      <c r="P602" s="103" t="n"/>
      <c r="Q602" s="103" t="n"/>
      <c r="R602" s="103" t="n"/>
      <c r="S602" s="103" t="n"/>
      <c r="T602" s="103" t="n"/>
      <c r="U602" s="103" t="n"/>
      <c r="V602" s="103" t="n"/>
      <c r="W602" s="103" t="n"/>
      <c r="X602" s="103" t="n"/>
      <c r="Y602" s="103" t="n"/>
      <c r="Z602" s="103" t="n"/>
      <c r="AA602" s="103" t="n"/>
      <c r="AB602" s="103" t="n"/>
      <c r="AC602" s="103" t="n"/>
      <c r="AD602" s="103" t="n"/>
      <c r="AE602" s="103" t="n"/>
      <c r="AF602" s="103" t="n"/>
      <c r="AG602" s="103" t="n"/>
      <c r="AH602" s="103" t="n"/>
      <c r="AI602" s="103" t="n"/>
      <c r="AJ602" s="103" t="n"/>
      <c r="AK602" s="103" t="n"/>
      <c r="AL602" s="103" t="n"/>
      <c r="AM602" s="103" t="n"/>
      <c r="AN602" s="103" t="n"/>
      <c r="AO602" s="103" t="n"/>
      <c r="AP602" s="103" t="n"/>
      <c r="AQ602" s="103" t="n"/>
      <c r="AR602" s="103" t="n"/>
    </row>
    <row r="604">
      <c r="A604" s="8">
        <f>IF(HSI!$C$61="","",HSI!$C$61)</f>
        <v/>
      </c>
      <c r="B604" s="99">
        <f>IF($A604="",0,COUNT($E605:$AR605))</f>
        <v/>
      </c>
      <c r="C604" s="100">
        <f>IF($B604=0,0,MAX($E605:$AR605))</f>
        <v/>
      </c>
      <c r="D604" s="101">
        <f>BDS($A604,FLD_HIST,"headers=y","startcol=1","endcol=7","dir=h","DVD_START_DT",HIST_FROM,"DVD_END_DT",HIST_TO)</f>
        <v/>
      </c>
      <c r="E604" s="102" t="n"/>
      <c r="F604" s="102" t="n"/>
      <c r="G604" s="102" t="n"/>
      <c r="H604" s="102" t="n"/>
      <c r="I604" s="102" t="n"/>
      <c r="J604" s="102" t="n"/>
      <c r="K604" s="102" t="n"/>
      <c r="L604" s="102" t="n"/>
      <c r="M604" s="102" t="n"/>
      <c r="N604" s="102" t="n"/>
      <c r="O604" s="102" t="n"/>
      <c r="P604" s="102" t="n"/>
      <c r="Q604" s="102" t="n"/>
      <c r="R604" s="102" t="n"/>
      <c r="S604" s="102" t="n"/>
      <c r="T604" s="102" t="n"/>
      <c r="U604" s="102" t="n"/>
      <c r="V604" s="102" t="n"/>
      <c r="W604" s="102" t="n"/>
      <c r="X604" s="102" t="n"/>
      <c r="Y604" s="102" t="n"/>
      <c r="Z604" s="102" t="n"/>
      <c r="AA604" s="102" t="n"/>
      <c r="AB604" s="102" t="n"/>
      <c r="AC604" s="102" t="n"/>
      <c r="AD604" s="102" t="n"/>
      <c r="AE604" s="102" t="n"/>
      <c r="AF604" s="102" t="n"/>
      <c r="AG604" s="102" t="n"/>
      <c r="AH604" s="102" t="n"/>
      <c r="AI604" s="102" t="n"/>
      <c r="AJ604" s="102" t="n"/>
      <c r="AK604" s="102" t="n"/>
      <c r="AL604" s="102" t="n"/>
      <c r="AM604" s="102" t="n"/>
      <c r="AN604" s="102" t="n"/>
      <c r="AO604" s="102" t="n"/>
      <c r="AP604" s="102" t="n"/>
      <c r="AQ604" s="102" t="n"/>
      <c r="AR604" s="102" t="n"/>
    </row>
    <row r="605">
      <c r="D605" s="102" t="n"/>
      <c r="E605" s="102" t="n"/>
      <c r="F605" s="102" t="n"/>
      <c r="G605" s="102" t="n"/>
      <c r="H605" s="102" t="n"/>
      <c r="I605" s="102" t="n"/>
      <c r="J605" s="102" t="n"/>
      <c r="K605" s="102" t="n"/>
      <c r="L605" s="102" t="n"/>
      <c r="M605" s="102" t="n"/>
      <c r="N605" s="102" t="n"/>
      <c r="O605" s="102" t="n"/>
      <c r="P605" s="102" t="n"/>
      <c r="Q605" s="102" t="n"/>
      <c r="R605" s="102" t="n"/>
      <c r="S605" s="102" t="n"/>
      <c r="T605" s="102" t="n"/>
      <c r="U605" s="102" t="n"/>
      <c r="V605" s="102" t="n"/>
      <c r="W605" s="102" t="n"/>
      <c r="X605" s="102" t="n"/>
      <c r="Y605" s="102" t="n"/>
      <c r="Z605" s="102" t="n"/>
      <c r="AA605" s="102" t="n"/>
      <c r="AB605" s="102" t="n"/>
      <c r="AC605" s="102" t="n"/>
      <c r="AD605" s="102" t="n"/>
      <c r="AE605" s="102" t="n"/>
      <c r="AF605" s="102" t="n"/>
      <c r="AG605" s="102" t="n"/>
      <c r="AH605" s="102" t="n"/>
      <c r="AI605" s="102" t="n"/>
      <c r="AJ605" s="102" t="n"/>
      <c r="AK605" s="102" t="n"/>
      <c r="AL605" s="102" t="n"/>
      <c r="AM605" s="102" t="n"/>
      <c r="AN605" s="102" t="n"/>
      <c r="AO605" s="102" t="n"/>
      <c r="AP605" s="102" t="n"/>
      <c r="AQ605" s="102" t="n"/>
      <c r="AR605" s="102" t="n"/>
    </row>
    <row r="606">
      <c r="D606" s="102" t="n"/>
      <c r="E606" s="102" t="n"/>
      <c r="F606" s="102" t="n"/>
      <c r="G606" s="102" t="n"/>
      <c r="H606" s="102" t="n"/>
      <c r="I606" s="102" t="n"/>
      <c r="J606" s="102" t="n"/>
      <c r="K606" s="102" t="n"/>
      <c r="L606" s="102" t="n"/>
      <c r="M606" s="102" t="n"/>
      <c r="N606" s="102" t="n"/>
      <c r="O606" s="102" t="n"/>
      <c r="P606" s="102" t="n"/>
      <c r="Q606" s="102" t="n"/>
      <c r="R606" s="102" t="n"/>
      <c r="S606" s="102" t="n"/>
      <c r="T606" s="102" t="n"/>
      <c r="U606" s="102" t="n"/>
      <c r="V606" s="102" t="n"/>
      <c r="W606" s="102" t="n"/>
      <c r="X606" s="102" t="n"/>
      <c r="Y606" s="102" t="n"/>
      <c r="Z606" s="102" t="n"/>
      <c r="AA606" s="102" t="n"/>
      <c r="AB606" s="102" t="n"/>
      <c r="AC606" s="102" t="n"/>
      <c r="AD606" s="102" t="n"/>
      <c r="AE606" s="102" t="n"/>
      <c r="AF606" s="102" t="n"/>
      <c r="AG606" s="102" t="n"/>
      <c r="AH606" s="102" t="n"/>
      <c r="AI606" s="102" t="n"/>
      <c r="AJ606" s="102" t="n"/>
      <c r="AK606" s="102" t="n"/>
      <c r="AL606" s="102" t="n"/>
      <c r="AM606" s="102" t="n"/>
      <c r="AN606" s="102" t="n"/>
      <c r="AO606" s="102" t="n"/>
      <c r="AP606" s="102" t="n"/>
      <c r="AQ606" s="102" t="n"/>
      <c r="AR606" s="102" t="n"/>
    </row>
    <row r="607">
      <c r="D607" s="102" t="n"/>
      <c r="E607" s="102" t="n"/>
      <c r="F607" s="102" t="n"/>
      <c r="G607" s="102" t="n"/>
      <c r="H607" s="102" t="n"/>
      <c r="I607" s="102" t="n"/>
      <c r="J607" s="102" t="n"/>
      <c r="K607" s="102" t="n"/>
      <c r="L607" s="102" t="n"/>
      <c r="M607" s="102" t="n"/>
      <c r="N607" s="102" t="n"/>
      <c r="O607" s="102" t="n"/>
      <c r="P607" s="102" t="n"/>
      <c r="Q607" s="102" t="n"/>
      <c r="R607" s="102" t="n"/>
      <c r="S607" s="102" t="n"/>
      <c r="T607" s="102" t="n"/>
      <c r="U607" s="102" t="n"/>
      <c r="V607" s="102" t="n"/>
      <c r="W607" s="102" t="n"/>
      <c r="X607" s="102" t="n"/>
      <c r="Y607" s="102" t="n"/>
      <c r="Z607" s="102" t="n"/>
      <c r="AA607" s="102" t="n"/>
      <c r="AB607" s="102" t="n"/>
      <c r="AC607" s="102" t="n"/>
      <c r="AD607" s="102" t="n"/>
      <c r="AE607" s="102" t="n"/>
      <c r="AF607" s="102" t="n"/>
      <c r="AG607" s="102" t="n"/>
      <c r="AH607" s="102" t="n"/>
      <c r="AI607" s="102" t="n"/>
      <c r="AJ607" s="102" t="n"/>
      <c r="AK607" s="102" t="n"/>
      <c r="AL607" s="102" t="n"/>
      <c r="AM607" s="102" t="n"/>
      <c r="AN607" s="102" t="n"/>
      <c r="AO607" s="102" t="n"/>
      <c r="AP607" s="102" t="n"/>
      <c r="AQ607" s="102" t="n"/>
      <c r="AR607" s="102" t="n"/>
    </row>
    <row r="608">
      <c r="D608" s="103" t="n"/>
      <c r="E608" s="103" t="n"/>
      <c r="F608" s="103" t="n"/>
      <c r="G608" s="103" t="n"/>
      <c r="H608" s="103" t="n"/>
      <c r="I608" s="103" t="n"/>
      <c r="J608" s="103" t="n"/>
      <c r="K608" s="103" t="n"/>
      <c r="L608" s="103" t="n"/>
      <c r="M608" s="103" t="n"/>
      <c r="N608" s="103" t="n"/>
      <c r="O608" s="103" t="n"/>
      <c r="P608" s="103" t="n"/>
      <c r="Q608" s="103" t="n"/>
      <c r="R608" s="103" t="n"/>
      <c r="S608" s="103" t="n"/>
      <c r="T608" s="103" t="n"/>
      <c r="U608" s="103" t="n"/>
      <c r="V608" s="103" t="n"/>
      <c r="W608" s="103" t="n"/>
      <c r="X608" s="103" t="n"/>
      <c r="Y608" s="103" t="n"/>
      <c r="Z608" s="103" t="n"/>
      <c r="AA608" s="103" t="n"/>
      <c r="AB608" s="103" t="n"/>
      <c r="AC608" s="103" t="n"/>
      <c r="AD608" s="103" t="n"/>
      <c r="AE608" s="103" t="n"/>
      <c r="AF608" s="103" t="n"/>
      <c r="AG608" s="103" t="n"/>
      <c r="AH608" s="103" t="n"/>
      <c r="AI608" s="103" t="n"/>
      <c r="AJ608" s="103" t="n"/>
      <c r="AK608" s="103" t="n"/>
      <c r="AL608" s="103" t="n"/>
      <c r="AM608" s="103" t="n"/>
      <c r="AN608" s="103" t="n"/>
      <c r="AO608" s="103" t="n"/>
      <c r="AP608" s="103" t="n"/>
      <c r="AQ608" s="103" t="n"/>
      <c r="AR608" s="103" t="n"/>
    </row>
    <row r="611">
      <c r="A611" s="2">
        <f>IF($A604="","","   projections")</f>
        <v/>
      </c>
      <c r="B611" s="99">
        <f>IF($A604="",0,COUNT($E612:$AR612))</f>
        <v/>
      </c>
      <c r="C611" s="100">
        <f>IF($B611=0,0,MAX($E612:$AR612))</f>
        <v/>
      </c>
      <c r="D611" s="101">
        <f>BDS($A604,FLD_PROJ,"headers=y","startcol=1","endcol=3","dir=h")</f>
        <v/>
      </c>
      <c r="E611" s="102" t="n"/>
      <c r="F611" s="102" t="n"/>
      <c r="G611" s="102" t="n"/>
      <c r="H611" s="102" t="n"/>
      <c r="I611" s="102" t="n"/>
      <c r="J611" s="102" t="n"/>
      <c r="K611" s="102" t="n"/>
      <c r="L611" s="102" t="n"/>
      <c r="M611" s="102" t="n"/>
      <c r="N611" s="102" t="n"/>
      <c r="O611" s="102" t="n"/>
      <c r="P611" s="102" t="n"/>
      <c r="Q611" s="102" t="n"/>
      <c r="R611" s="102" t="n"/>
      <c r="S611" s="102" t="n"/>
      <c r="T611" s="102" t="n"/>
      <c r="U611" s="102" t="n"/>
      <c r="V611" s="102" t="n"/>
      <c r="W611" s="102" t="n"/>
      <c r="X611" s="102" t="n"/>
      <c r="Y611" s="102" t="n"/>
      <c r="Z611" s="102" t="n"/>
      <c r="AA611" s="102" t="n"/>
      <c r="AB611" s="102" t="n"/>
      <c r="AC611" s="102" t="n"/>
      <c r="AD611" s="102" t="n"/>
      <c r="AE611" s="102" t="n"/>
      <c r="AF611" s="102" t="n"/>
      <c r="AG611" s="102" t="n"/>
      <c r="AH611" s="102" t="n"/>
      <c r="AI611" s="102" t="n"/>
      <c r="AJ611" s="102" t="n"/>
      <c r="AK611" s="102" t="n"/>
      <c r="AL611" s="102" t="n"/>
      <c r="AM611" s="102" t="n"/>
      <c r="AN611" s="102" t="n"/>
      <c r="AO611" s="102" t="n"/>
      <c r="AP611" s="102" t="n"/>
      <c r="AQ611" s="102" t="n"/>
      <c r="AR611" s="102" t="n"/>
    </row>
    <row r="612">
      <c r="D612" s="102" t="n"/>
      <c r="E612" s="102" t="n"/>
      <c r="F612" s="102" t="n"/>
      <c r="G612" s="102" t="n"/>
      <c r="H612" s="102" t="n"/>
      <c r="I612" s="102" t="n"/>
      <c r="J612" s="102" t="n"/>
      <c r="K612" s="102" t="n"/>
      <c r="L612" s="102" t="n"/>
      <c r="M612" s="102" t="n"/>
      <c r="N612" s="102" t="n"/>
      <c r="O612" s="102" t="n"/>
      <c r="P612" s="102" t="n"/>
      <c r="Q612" s="102" t="n"/>
      <c r="R612" s="102" t="n"/>
      <c r="S612" s="102" t="n"/>
      <c r="T612" s="102" t="n"/>
      <c r="U612" s="102" t="n"/>
      <c r="V612" s="102" t="n"/>
      <c r="W612" s="102" t="n"/>
      <c r="X612" s="102" t="n"/>
      <c r="Y612" s="102" t="n"/>
      <c r="Z612" s="102" t="n"/>
      <c r="AA612" s="102" t="n"/>
      <c r="AB612" s="102" t="n"/>
      <c r="AC612" s="102" t="n"/>
      <c r="AD612" s="102" t="n"/>
      <c r="AE612" s="102" t="n"/>
      <c r="AF612" s="102" t="n"/>
      <c r="AG612" s="102" t="n"/>
      <c r="AH612" s="102" t="n"/>
      <c r="AI612" s="102" t="n"/>
      <c r="AJ612" s="102" t="n"/>
      <c r="AK612" s="102" t="n"/>
      <c r="AL612" s="102" t="n"/>
      <c r="AM612" s="102" t="n"/>
      <c r="AN612" s="102" t="n"/>
      <c r="AO612" s="102" t="n"/>
      <c r="AP612" s="102" t="n"/>
      <c r="AQ612" s="102" t="n"/>
      <c r="AR612" s="102" t="n"/>
    </row>
    <row r="613">
      <c r="D613" s="103" t="n"/>
      <c r="E613" s="103" t="n"/>
      <c r="F613" s="103" t="n"/>
      <c r="G613" s="103" t="n"/>
      <c r="H613" s="103" t="n"/>
      <c r="I613" s="103" t="n"/>
      <c r="J613" s="103" t="n"/>
      <c r="K613" s="103" t="n"/>
      <c r="L613" s="103" t="n"/>
      <c r="M613" s="103" t="n"/>
      <c r="N613" s="103" t="n"/>
      <c r="O613" s="103" t="n"/>
      <c r="P613" s="103" t="n"/>
      <c r="Q613" s="103" t="n"/>
      <c r="R613" s="103" t="n"/>
      <c r="S613" s="103" t="n"/>
      <c r="T613" s="103" t="n"/>
      <c r="U613" s="103" t="n"/>
      <c r="V613" s="103" t="n"/>
      <c r="W613" s="103" t="n"/>
      <c r="X613" s="103" t="n"/>
      <c r="Y613" s="103" t="n"/>
      <c r="Z613" s="103" t="n"/>
      <c r="AA613" s="103" t="n"/>
      <c r="AB613" s="103" t="n"/>
      <c r="AC613" s="103" t="n"/>
      <c r="AD613" s="103" t="n"/>
      <c r="AE613" s="103" t="n"/>
      <c r="AF613" s="103" t="n"/>
      <c r="AG613" s="103" t="n"/>
      <c r="AH613" s="103" t="n"/>
      <c r="AI613" s="103" t="n"/>
      <c r="AJ613" s="103" t="n"/>
      <c r="AK613" s="103" t="n"/>
      <c r="AL613" s="103" t="n"/>
      <c r="AM613" s="103" t="n"/>
      <c r="AN613" s="103" t="n"/>
      <c r="AO613" s="103" t="n"/>
      <c r="AP613" s="103" t="n"/>
      <c r="AQ613" s="103" t="n"/>
      <c r="AR613" s="103" t="n"/>
    </row>
    <row r="615">
      <c r="A615" s="8">
        <f>IF(HSI!$C$62="","",HSI!$C$62)</f>
        <v/>
      </c>
      <c r="B615" s="99">
        <f>IF($A615="",0,COUNT($E616:$AR616))</f>
        <v/>
      </c>
      <c r="C615" s="100">
        <f>IF($B615=0,0,MAX($E616:$AR616))</f>
        <v/>
      </c>
      <c r="D615" s="101">
        <f>BDS($A615,FLD_HIST,"headers=y","startcol=1","endcol=7","dir=h","DVD_START_DT",HIST_FROM,"DVD_END_DT",HIST_TO)</f>
        <v/>
      </c>
      <c r="E615" s="102" t="n"/>
      <c r="F615" s="102" t="n"/>
      <c r="G615" s="102" t="n"/>
      <c r="H615" s="102" t="n"/>
      <c r="I615" s="102" t="n"/>
      <c r="J615" s="102" t="n"/>
      <c r="K615" s="102" t="n"/>
      <c r="L615" s="102" t="n"/>
      <c r="M615" s="102" t="n"/>
      <c r="N615" s="102" t="n"/>
      <c r="O615" s="102" t="n"/>
      <c r="P615" s="102" t="n"/>
      <c r="Q615" s="102" t="n"/>
      <c r="R615" s="102" t="n"/>
      <c r="S615" s="102" t="n"/>
      <c r="T615" s="102" t="n"/>
      <c r="U615" s="102" t="n"/>
      <c r="V615" s="102" t="n"/>
      <c r="W615" s="102" t="n"/>
      <c r="X615" s="102" t="n"/>
      <c r="Y615" s="102" t="n"/>
      <c r="Z615" s="102" t="n"/>
      <c r="AA615" s="102" t="n"/>
      <c r="AB615" s="102" t="n"/>
      <c r="AC615" s="102" t="n"/>
      <c r="AD615" s="102" t="n"/>
      <c r="AE615" s="102" t="n"/>
      <c r="AF615" s="102" t="n"/>
      <c r="AG615" s="102" t="n"/>
      <c r="AH615" s="102" t="n"/>
      <c r="AI615" s="102" t="n"/>
      <c r="AJ615" s="102" t="n"/>
      <c r="AK615" s="102" t="n"/>
      <c r="AL615" s="102" t="n"/>
      <c r="AM615" s="102" t="n"/>
      <c r="AN615" s="102" t="n"/>
      <c r="AO615" s="102" t="n"/>
      <c r="AP615" s="102" t="n"/>
      <c r="AQ615" s="102" t="n"/>
      <c r="AR615" s="102" t="n"/>
    </row>
    <row r="616">
      <c r="D616" s="102" t="n"/>
      <c r="E616" s="102" t="n"/>
      <c r="F616" s="102" t="n"/>
      <c r="G616" s="102" t="n"/>
      <c r="H616" s="102" t="n"/>
      <c r="I616" s="102" t="n"/>
      <c r="J616" s="102" t="n"/>
      <c r="K616" s="102" t="n"/>
      <c r="L616" s="102" t="n"/>
      <c r="M616" s="102" t="n"/>
      <c r="N616" s="102" t="n"/>
      <c r="O616" s="102" t="n"/>
      <c r="P616" s="102" t="n"/>
      <c r="Q616" s="102" t="n"/>
      <c r="R616" s="102" t="n"/>
      <c r="S616" s="102" t="n"/>
      <c r="T616" s="102" t="n"/>
      <c r="U616" s="102" t="n"/>
      <c r="V616" s="102" t="n"/>
      <c r="W616" s="102" t="n"/>
      <c r="X616" s="102" t="n"/>
      <c r="Y616" s="102" t="n"/>
      <c r="Z616" s="102" t="n"/>
      <c r="AA616" s="102" t="n"/>
      <c r="AB616" s="102" t="n"/>
      <c r="AC616" s="102" t="n"/>
      <c r="AD616" s="102" t="n"/>
      <c r="AE616" s="102" t="n"/>
      <c r="AF616" s="102" t="n"/>
      <c r="AG616" s="102" t="n"/>
      <c r="AH616" s="102" t="n"/>
      <c r="AI616" s="102" t="n"/>
      <c r="AJ616" s="102" t="n"/>
      <c r="AK616" s="102" t="n"/>
      <c r="AL616" s="102" t="n"/>
      <c r="AM616" s="102" t="n"/>
      <c r="AN616" s="102" t="n"/>
      <c r="AO616" s="102" t="n"/>
      <c r="AP616" s="102" t="n"/>
      <c r="AQ616" s="102" t="n"/>
      <c r="AR616" s="102" t="n"/>
    </row>
    <row r="617">
      <c r="D617" s="102" t="n"/>
      <c r="E617" s="102" t="n"/>
      <c r="F617" s="102" t="n"/>
      <c r="G617" s="102" t="n"/>
      <c r="H617" s="102" t="n"/>
      <c r="I617" s="102" t="n"/>
      <c r="J617" s="102" t="n"/>
      <c r="K617" s="102" t="n"/>
      <c r="L617" s="102" t="n"/>
      <c r="M617" s="102" t="n"/>
      <c r="N617" s="102" t="n"/>
      <c r="O617" s="102" t="n"/>
      <c r="P617" s="102" t="n"/>
      <c r="Q617" s="102" t="n"/>
      <c r="R617" s="102" t="n"/>
      <c r="S617" s="102" t="n"/>
      <c r="T617" s="102" t="n"/>
      <c r="U617" s="102" t="n"/>
      <c r="V617" s="102" t="n"/>
      <c r="W617" s="102" t="n"/>
      <c r="X617" s="102" t="n"/>
      <c r="Y617" s="102" t="n"/>
      <c r="Z617" s="102" t="n"/>
      <c r="AA617" s="102" t="n"/>
      <c r="AB617" s="102" t="n"/>
      <c r="AC617" s="102" t="n"/>
      <c r="AD617" s="102" t="n"/>
      <c r="AE617" s="102" t="n"/>
      <c r="AF617" s="102" t="n"/>
      <c r="AG617" s="102" t="n"/>
      <c r="AH617" s="102" t="n"/>
      <c r="AI617" s="102" t="n"/>
      <c r="AJ617" s="102" t="n"/>
      <c r="AK617" s="102" t="n"/>
      <c r="AL617" s="102" t="n"/>
      <c r="AM617" s="102" t="n"/>
      <c r="AN617" s="102" t="n"/>
      <c r="AO617" s="102" t="n"/>
      <c r="AP617" s="102" t="n"/>
      <c r="AQ617" s="102" t="n"/>
      <c r="AR617" s="102" t="n"/>
    </row>
    <row r="618">
      <c r="D618" s="102" t="n"/>
      <c r="E618" s="102" t="n"/>
      <c r="F618" s="102" t="n"/>
      <c r="G618" s="102" t="n"/>
      <c r="H618" s="102" t="n"/>
      <c r="I618" s="102" t="n"/>
      <c r="J618" s="102" t="n"/>
      <c r="K618" s="102" t="n"/>
      <c r="L618" s="102" t="n"/>
      <c r="M618" s="102" t="n"/>
      <c r="N618" s="102" t="n"/>
      <c r="O618" s="102" t="n"/>
      <c r="P618" s="102" t="n"/>
      <c r="Q618" s="102" t="n"/>
      <c r="R618" s="102" t="n"/>
      <c r="S618" s="102" t="n"/>
      <c r="T618" s="102" t="n"/>
      <c r="U618" s="102" t="n"/>
      <c r="V618" s="102" t="n"/>
      <c r="W618" s="102" t="n"/>
      <c r="X618" s="102" t="n"/>
      <c r="Y618" s="102" t="n"/>
      <c r="Z618" s="102" t="n"/>
      <c r="AA618" s="102" t="n"/>
      <c r="AB618" s="102" t="n"/>
      <c r="AC618" s="102" t="n"/>
      <c r="AD618" s="102" t="n"/>
      <c r="AE618" s="102" t="n"/>
      <c r="AF618" s="102" t="n"/>
      <c r="AG618" s="102" t="n"/>
      <c r="AH618" s="102" t="n"/>
      <c r="AI618" s="102" t="n"/>
      <c r="AJ618" s="102" t="n"/>
      <c r="AK618" s="102" t="n"/>
      <c r="AL618" s="102" t="n"/>
      <c r="AM618" s="102" t="n"/>
      <c r="AN618" s="102" t="n"/>
      <c r="AO618" s="102" t="n"/>
      <c r="AP618" s="102" t="n"/>
      <c r="AQ618" s="102" t="n"/>
      <c r="AR618" s="102" t="n"/>
    </row>
    <row r="619">
      <c r="D619" s="103" t="n"/>
      <c r="E619" s="103" t="n"/>
      <c r="F619" s="103" t="n"/>
      <c r="G619" s="103" t="n"/>
      <c r="H619" s="103" t="n"/>
      <c r="I619" s="103" t="n"/>
      <c r="J619" s="103" t="n"/>
      <c r="K619" s="103" t="n"/>
      <c r="L619" s="103" t="n"/>
      <c r="M619" s="103" t="n"/>
      <c r="N619" s="103" t="n"/>
      <c r="O619" s="103" t="n"/>
      <c r="P619" s="103" t="n"/>
      <c r="Q619" s="103" t="n"/>
      <c r="R619" s="103" t="n"/>
      <c r="S619" s="103" t="n"/>
      <c r="T619" s="103" t="n"/>
      <c r="U619" s="103" t="n"/>
      <c r="V619" s="103" t="n"/>
      <c r="W619" s="103" t="n"/>
      <c r="X619" s="103" t="n"/>
      <c r="Y619" s="103" t="n"/>
      <c r="Z619" s="103" t="n"/>
      <c r="AA619" s="103" t="n"/>
      <c r="AB619" s="103" t="n"/>
      <c r="AC619" s="103" t="n"/>
      <c r="AD619" s="103" t="n"/>
      <c r="AE619" s="103" t="n"/>
      <c r="AF619" s="103" t="n"/>
      <c r="AG619" s="103" t="n"/>
      <c r="AH619" s="103" t="n"/>
      <c r="AI619" s="103" t="n"/>
      <c r="AJ619" s="103" t="n"/>
      <c r="AK619" s="103" t="n"/>
      <c r="AL619" s="103" t="n"/>
      <c r="AM619" s="103" t="n"/>
      <c r="AN619" s="103" t="n"/>
      <c r="AO619" s="103" t="n"/>
      <c r="AP619" s="103" t="n"/>
      <c r="AQ619" s="103" t="n"/>
      <c r="AR619" s="103" t="n"/>
    </row>
    <row r="622">
      <c r="A622" s="2">
        <f>IF($A615="","","   projections")</f>
        <v/>
      </c>
      <c r="B622" s="99">
        <f>IF($A615="",0,COUNT($E623:$AR623))</f>
        <v/>
      </c>
      <c r="C622" s="100">
        <f>IF($B622=0,0,MAX($E623:$AR623))</f>
        <v/>
      </c>
      <c r="D622" s="101">
        <f>BDS($A615,FLD_PROJ,"headers=y","startcol=1","endcol=3","dir=h")</f>
        <v/>
      </c>
      <c r="E622" s="102" t="n"/>
      <c r="F622" s="102" t="n"/>
      <c r="G622" s="102" t="n"/>
      <c r="H622" s="102" t="n"/>
      <c r="I622" s="102" t="n"/>
      <c r="J622" s="102" t="n"/>
      <c r="K622" s="102" t="n"/>
      <c r="L622" s="102" t="n"/>
      <c r="M622" s="102" t="n"/>
      <c r="N622" s="102" t="n"/>
      <c r="O622" s="102" t="n"/>
      <c r="P622" s="102" t="n"/>
      <c r="Q622" s="102" t="n"/>
      <c r="R622" s="102" t="n"/>
      <c r="S622" s="102" t="n"/>
      <c r="T622" s="102" t="n"/>
      <c r="U622" s="102" t="n"/>
      <c r="V622" s="102" t="n"/>
      <c r="W622" s="102" t="n"/>
      <c r="X622" s="102" t="n"/>
      <c r="Y622" s="102" t="n"/>
      <c r="Z622" s="102" t="n"/>
      <c r="AA622" s="102" t="n"/>
      <c r="AB622" s="102" t="n"/>
      <c r="AC622" s="102" t="n"/>
      <c r="AD622" s="102" t="n"/>
      <c r="AE622" s="102" t="n"/>
      <c r="AF622" s="102" t="n"/>
      <c r="AG622" s="102" t="n"/>
      <c r="AH622" s="102" t="n"/>
      <c r="AI622" s="102" t="n"/>
      <c r="AJ622" s="102" t="n"/>
      <c r="AK622" s="102" t="n"/>
      <c r="AL622" s="102" t="n"/>
      <c r="AM622" s="102" t="n"/>
      <c r="AN622" s="102" t="n"/>
      <c r="AO622" s="102" t="n"/>
      <c r="AP622" s="102" t="n"/>
      <c r="AQ622" s="102" t="n"/>
      <c r="AR622" s="102" t="n"/>
    </row>
    <row r="623">
      <c r="D623" s="102" t="n"/>
      <c r="E623" s="102" t="n"/>
      <c r="F623" s="102" t="n"/>
      <c r="G623" s="102" t="n"/>
      <c r="H623" s="102" t="n"/>
      <c r="I623" s="102" t="n"/>
      <c r="J623" s="102" t="n"/>
      <c r="K623" s="102" t="n"/>
      <c r="L623" s="102" t="n"/>
      <c r="M623" s="102" t="n"/>
      <c r="N623" s="102" t="n"/>
      <c r="O623" s="102" t="n"/>
      <c r="P623" s="102" t="n"/>
      <c r="Q623" s="102" t="n"/>
      <c r="R623" s="102" t="n"/>
      <c r="S623" s="102" t="n"/>
      <c r="T623" s="102" t="n"/>
      <c r="U623" s="102" t="n"/>
      <c r="V623" s="102" t="n"/>
      <c r="W623" s="102" t="n"/>
      <c r="X623" s="102" t="n"/>
      <c r="Y623" s="102" t="n"/>
      <c r="Z623" s="102" t="n"/>
      <c r="AA623" s="102" t="n"/>
      <c r="AB623" s="102" t="n"/>
      <c r="AC623" s="102" t="n"/>
      <c r="AD623" s="102" t="n"/>
      <c r="AE623" s="102" t="n"/>
      <c r="AF623" s="102" t="n"/>
      <c r="AG623" s="102" t="n"/>
      <c r="AH623" s="102" t="n"/>
      <c r="AI623" s="102" t="n"/>
      <c r="AJ623" s="102" t="n"/>
      <c r="AK623" s="102" t="n"/>
      <c r="AL623" s="102" t="n"/>
      <c r="AM623" s="102" t="n"/>
      <c r="AN623" s="102" t="n"/>
      <c r="AO623" s="102" t="n"/>
      <c r="AP623" s="102" t="n"/>
      <c r="AQ623" s="102" t="n"/>
      <c r="AR623" s="102" t="n"/>
    </row>
    <row r="624">
      <c r="D624" s="103" t="n"/>
      <c r="E624" s="103" t="n"/>
      <c r="F624" s="103" t="n"/>
      <c r="G624" s="103" t="n"/>
      <c r="H624" s="103" t="n"/>
      <c r="I624" s="103" t="n"/>
      <c r="J624" s="103" t="n"/>
      <c r="K624" s="103" t="n"/>
      <c r="L624" s="103" t="n"/>
      <c r="M624" s="103" t="n"/>
      <c r="N624" s="103" t="n"/>
      <c r="O624" s="103" t="n"/>
      <c r="P624" s="103" t="n"/>
      <c r="Q624" s="103" t="n"/>
      <c r="R624" s="103" t="n"/>
      <c r="S624" s="103" t="n"/>
      <c r="T624" s="103" t="n"/>
      <c r="U624" s="103" t="n"/>
      <c r="V624" s="103" t="n"/>
      <c r="W624" s="103" t="n"/>
      <c r="X624" s="103" t="n"/>
      <c r="Y624" s="103" t="n"/>
      <c r="Z624" s="103" t="n"/>
      <c r="AA624" s="103" t="n"/>
      <c r="AB624" s="103" t="n"/>
      <c r="AC624" s="103" t="n"/>
      <c r="AD624" s="103" t="n"/>
      <c r="AE624" s="103" t="n"/>
      <c r="AF624" s="103" t="n"/>
      <c r="AG624" s="103" t="n"/>
      <c r="AH624" s="103" t="n"/>
      <c r="AI624" s="103" t="n"/>
      <c r="AJ624" s="103" t="n"/>
      <c r="AK624" s="103" t="n"/>
      <c r="AL624" s="103" t="n"/>
      <c r="AM624" s="103" t="n"/>
      <c r="AN624" s="103" t="n"/>
      <c r="AO624" s="103" t="n"/>
      <c r="AP624" s="103" t="n"/>
      <c r="AQ624" s="103" t="n"/>
      <c r="AR624" s="103" t="n"/>
    </row>
    <row r="626">
      <c r="A626" s="8">
        <f>IF(HSI!$C$63="","",HSI!$C$63)</f>
        <v/>
      </c>
      <c r="B626" s="99">
        <f>IF($A626="",0,COUNT($E627:$AR627))</f>
        <v/>
      </c>
      <c r="C626" s="100">
        <f>IF($B626=0,0,MAX($E627:$AR627))</f>
        <v/>
      </c>
      <c r="D626" s="101">
        <f>BDS($A626,FLD_HIST,"headers=y","startcol=1","endcol=7","dir=h","DVD_START_DT",HIST_FROM,"DVD_END_DT",HIST_TO)</f>
        <v/>
      </c>
      <c r="E626" s="102" t="n"/>
      <c r="F626" s="102" t="n"/>
      <c r="G626" s="102" t="n"/>
      <c r="H626" s="102" t="n"/>
      <c r="I626" s="102" t="n"/>
      <c r="J626" s="102" t="n"/>
      <c r="K626" s="102" t="n"/>
      <c r="L626" s="102" t="n"/>
      <c r="M626" s="102" t="n"/>
      <c r="N626" s="102" t="n"/>
      <c r="O626" s="102" t="n"/>
      <c r="P626" s="102" t="n"/>
      <c r="Q626" s="102" t="n"/>
      <c r="R626" s="102" t="n"/>
      <c r="S626" s="102" t="n"/>
      <c r="T626" s="102" t="n"/>
      <c r="U626" s="102" t="n"/>
      <c r="V626" s="102" t="n"/>
      <c r="W626" s="102" t="n"/>
      <c r="X626" s="102" t="n"/>
      <c r="Y626" s="102" t="n"/>
      <c r="Z626" s="102" t="n"/>
      <c r="AA626" s="102" t="n"/>
      <c r="AB626" s="102" t="n"/>
      <c r="AC626" s="102" t="n"/>
      <c r="AD626" s="102" t="n"/>
      <c r="AE626" s="102" t="n"/>
      <c r="AF626" s="102" t="n"/>
      <c r="AG626" s="102" t="n"/>
      <c r="AH626" s="102" t="n"/>
      <c r="AI626" s="102" t="n"/>
      <c r="AJ626" s="102" t="n"/>
      <c r="AK626" s="102" t="n"/>
      <c r="AL626" s="102" t="n"/>
      <c r="AM626" s="102" t="n"/>
      <c r="AN626" s="102" t="n"/>
      <c r="AO626" s="102" t="n"/>
      <c r="AP626" s="102" t="n"/>
      <c r="AQ626" s="102" t="n"/>
      <c r="AR626" s="102" t="n"/>
    </row>
    <row r="627">
      <c r="D627" s="102" t="n"/>
      <c r="E627" s="102" t="n"/>
      <c r="F627" s="102" t="n"/>
      <c r="G627" s="102" t="n"/>
      <c r="H627" s="102" t="n"/>
      <c r="I627" s="102" t="n"/>
      <c r="J627" s="102" t="n"/>
      <c r="K627" s="102" t="n"/>
      <c r="L627" s="102" t="n"/>
      <c r="M627" s="102" t="n"/>
      <c r="N627" s="102" t="n"/>
      <c r="O627" s="102" t="n"/>
      <c r="P627" s="102" t="n"/>
      <c r="Q627" s="102" t="n"/>
      <c r="R627" s="102" t="n"/>
      <c r="S627" s="102" t="n"/>
      <c r="T627" s="102" t="n"/>
      <c r="U627" s="102" t="n"/>
      <c r="V627" s="102" t="n"/>
      <c r="W627" s="102" t="n"/>
      <c r="X627" s="102" t="n"/>
      <c r="Y627" s="102" t="n"/>
      <c r="Z627" s="102" t="n"/>
      <c r="AA627" s="102" t="n"/>
      <c r="AB627" s="102" t="n"/>
      <c r="AC627" s="102" t="n"/>
      <c r="AD627" s="102" t="n"/>
      <c r="AE627" s="102" t="n"/>
      <c r="AF627" s="102" t="n"/>
      <c r="AG627" s="102" t="n"/>
      <c r="AH627" s="102" t="n"/>
      <c r="AI627" s="102" t="n"/>
      <c r="AJ627" s="102" t="n"/>
      <c r="AK627" s="102" t="n"/>
      <c r="AL627" s="102" t="n"/>
      <c r="AM627" s="102" t="n"/>
      <c r="AN627" s="102" t="n"/>
      <c r="AO627" s="102" t="n"/>
      <c r="AP627" s="102" t="n"/>
      <c r="AQ627" s="102" t="n"/>
      <c r="AR627" s="102" t="n"/>
    </row>
    <row r="628">
      <c r="D628" s="102" t="n"/>
      <c r="E628" s="102" t="n"/>
      <c r="F628" s="102" t="n"/>
      <c r="G628" s="102" t="n"/>
      <c r="H628" s="102" t="n"/>
      <c r="I628" s="102" t="n"/>
      <c r="J628" s="102" t="n"/>
      <c r="K628" s="102" t="n"/>
      <c r="L628" s="102" t="n"/>
      <c r="M628" s="102" t="n"/>
      <c r="N628" s="102" t="n"/>
      <c r="O628" s="102" t="n"/>
      <c r="P628" s="102" t="n"/>
      <c r="Q628" s="102" t="n"/>
      <c r="R628" s="102" t="n"/>
      <c r="S628" s="102" t="n"/>
      <c r="T628" s="102" t="n"/>
      <c r="U628" s="102" t="n"/>
      <c r="V628" s="102" t="n"/>
      <c r="W628" s="102" t="n"/>
      <c r="X628" s="102" t="n"/>
      <c r="Y628" s="102" t="n"/>
      <c r="Z628" s="102" t="n"/>
      <c r="AA628" s="102" t="n"/>
      <c r="AB628" s="102" t="n"/>
      <c r="AC628" s="102" t="n"/>
      <c r="AD628" s="102" t="n"/>
      <c r="AE628" s="102" t="n"/>
      <c r="AF628" s="102" t="n"/>
      <c r="AG628" s="102" t="n"/>
      <c r="AH628" s="102" t="n"/>
      <c r="AI628" s="102" t="n"/>
      <c r="AJ628" s="102" t="n"/>
      <c r="AK628" s="102" t="n"/>
      <c r="AL628" s="102" t="n"/>
      <c r="AM628" s="102" t="n"/>
      <c r="AN628" s="102" t="n"/>
      <c r="AO628" s="102" t="n"/>
      <c r="AP628" s="102" t="n"/>
      <c r="AQ628" s="102" t="n"/>
      <c r="AR628" s="102" t="n"/>
    </row>
    <row r="629">
      <c r="D629" s="102" t="n"/>
      <c r="E629" s="102" t="n"/>
      <c r="F629" s="102" t="n"/>
      <c r="G629" s="102" t="n"/>
      <c r="H629" s="102" t="n"/>
      <c r="I629" s="102" t="n"/>
      <c r="J629" s="102" t="n"/>
      <c r="K629" s="102" t="n"/>
      <c r="L629" s="102" t="n"/>
      <c r="M629" s="102" t="n"/>
      <c r="N629" s="102" t="n"/>
      <c r="O629" s="102" t="n"/>
      <c r="P629" s="102" t="n"/>
      <c r="Q629" s="102" t="n"/>
      <c r="R629" s="102" t="n"/>
      <c r="S629" s="102" t="n"/>
      <c r="T629" s="102" t="n"/>
      <c r="U629" s="102" t="n"/>
      <c r="V629" s="102" t="n"/>
      <c r="W629" s="102" t="n"/>
      <c r="X629" s="102" t="n"/>
      <c r="Y629" s="102" t="n"/>
      <c r="Z629" s="102" t="n"/>
      <c r="AA629" s="102" t="n"/>
      <c r="AB629" s="102" t="n"/>
      <c r="AC629" s="102" t="n"/>
      <c r="AD629" s="102" t="n"/>
      <c r="AE629" s="102" t="n"/>
      <c r="AF629" s="102" t="n"/>
      <c r="AG629" s="102" t="n"/>
      <c r="AH629" s="102" t="n"/>
      <c r="AI629" s="102" t="n"/>
      <c r="AJ629" s="102" t="n"/>
      <c r="AK629" s="102" t="n"/>
      <c r="AL629" s="102" t="n"/>
      <c r="AM629" s="102" t="n"/>
      <c r="AN629" s="102" t="n"/>
      <c r="AO629" s="102" t="n"/>
      <c r="AP629" s="102" t="n"/>
      <c r="AQ629" s="102" t="n"/>
      <c r="AR629" s="102" t="n"/>
    </row>
    <row r="630">
      <c r="D630" s="103" t="n"/>
      <c r="E630" s="103" t="n"/>
      <c r="F630" s="103" t="n"/>
      <c r="G630" s="103" t="n"/>
      <c r="H630" s="103" t="n"/>
      <c r="I630" s="103" t="n"/>
      <c r="J630" s="103" t="n"/>
      <c r="K630" s="103" t="n"/>
      <c r="L630" s="103" t="n"/>
      <c r="M630" s="103" t="n"/>
      <c r="N630" s="103" t="n"/>
      <c r="O630" s="103" t="n"/>
      <c r="P630" s="103" t="n"/>
      <c r="Q630" s="103" t="n"/>
      <c r="R630" s="103" t="n"/>
      <c r="S630" s="103" t="n"/>
      <c r="T630" s="103" t="n"/>
      <c r="U630" s="103" t="n"/>
      <c r="V630" s="103" t="n"/>
      <c r="W630" s="103" t="n"/>
      <c r="X630" s="103" t="n"/>
      <c r="Y630" s="103" t="n"/>
      <c r="Z630" s="103" t="n"/>
      <c r="AA630" s="103" t="n"/>
      <c r="AB630" s="103" t="n"/>
      <c r="AC630" s="103" t="n"/>
      <c r="AD630" s="103" t="n"/>
      <c r="AE630" s="103" t="n"/>
      <c r="AF630" s="103" t="n"/>
      <c r="AG630" s="103" t="n"/>
      <c r="AH630" s="103" t="n"/>
      <c r="AI630" s="103" t="n"/>
      <c r="AJ630" s="103" t="n"/>
      <c r="AK630" s="103" t="n"/>
      <c r="AL630" s="103" t="n"/>
      <c r="AM630" s="103" t="n"/>
      <c r="AN630" s="103" t="n"/>
      <c r="AO630" s="103" t="n"/>
      <c r="AP630" s="103" t="n"/>
      <c r="AQ630" s="103" t="n"/>
      <c r="AR630" s="103" t="n"/>
    </row>
    <row r="633">
      <c r="A633" s="2">
        <f>IF($A626="","","   projections")</f>
        <v/>
      </c>
      <c r="B633" s="99">
        <f>IF($A626="",0,COUNT($E634:$AR634))</f>
        <v/>
      </c>
      <c r="C633" s="100">
        <f>IF($B633=0,0,MAX($E634:$AR634))</f>
        <v/>
      </c>
      <c r="D633" s="101">
        <f>BDS($A626,FLD_PROJ,"headers=y","startcol=1","endcol=3","dir=h")</f>
        <v/>
      </c>
      <c r="E633" s="102" t="n"/>
      <c r="F633" s="102" t="n"/>
      <c r="G633" s="102" t="n"/>
      <c r="H633" s="102" t="n"/>
      <c r="I633" s="102" t="n"/>
      <c r="J633" s="102" t="n"/>
      <c r="K633" s="102" t="n"/>
      <c r="L633" s="102" t="n"/>
      <c r="M633" s="102" t="n"/>
      <c r="N633" s="102" t="n"/>
      <c r="O633" s="102" t="n"/>
      <c r="P633" s="102" t="n"/>
      <c r="Q633" s="102" t="n"/>
      <c r="R633" s="102" t="n"/>
      <c r="S633" s="102" t="n"/>
      <c r="T633" s="102" t="n"/>
      <c r="U633" s="102" t="n"/>
      <c r="V633" s="102" t="n"/>
      <c r="W633" s="102" t="n"/>
      <c r="X633" s="102" t="n"/>
      <c r="Y633" s="102" t="n"/>
      <c r="Z633" s="102" t="n"/>
      <c r="AA633" s="102" t="n"/>
      <c r="AB633" s="102" t="n"/>
      <c r="AC633" s="102" t="n"/>
      <c r="AD633" s="102" t="n"/>
      <c r="AE633" s="102" t="n"/>
      <c r="AF633" s="102" t="n"/>
      <c r="AG633" s="102" t="n"/>
      <c r="AH633" s="102" t="n"/>
      <c r="AI633" s="102" t="n"/>
      <c r="AJ633" s="102" t="n"/>
      <c r="AK633" s="102" t="n"/>
      <c r="AL633" s="102" t="n"/>
      <c r="AM633" s="102" t="n"/>
      <c r="AN633" s="102" t="n"/>
      <c r="AO633" s="102" t="n"/>
      <c r="AP633" s="102" t="n"/>
      <c r="AQ633" s="102" t="n"/>
      <c r="AR633" s="102" t="n"/>
    </row>
    <row r="634">
      <c r="D634" s="102" t="n"/>
      <c r="E634" s="102" t="n"/>
      <c r="F634" s="102" t="n"/>
      <c r="G634" s="102" t="n"/>
      <c r="H634" s="102" t="n"/>
      <c r="I634" s="102" t="n"/>
      <c r="J634" s="102" t="n"/>
      <c r="K634" s="102" t="n"/>
      <c r="L634" s="102" t="n"/>
      <c r="M634" s="102" t="n"/>
      <c r="N634" s="102" t="n"/>
      <c r="O634" s="102" t="n"/>
      <c r="P634" s="102" t="n"/>
      <c r="Q634" s="102" t="n"/>
      <c r="R634" s="102" t="n"/>
      <c r="S634" s="102" t="n"/>
      <c r="T634" s="102" t="n"/>
      <c r="U634" s="102" t="n"/>
      <c r="V634" s="102" t="n"/>
      <c r="W634" s="102" t="n"/>
      <c r="X634" s="102" t="n"/>
      <c r="Y634" s="102" t="n"/>
      <c r="Z634" s="102" t="n"/>
      <c r="AA634" s="102" t="n"/>
      <c r="AB634" s="102" t="n"/>
      <c r="AC634" s="102" t="n"/>
      <c r="AD634" s="102" t="n"/>
      <c r="AE634" s="102" t="n"/>
      <c r="AF634" s="102" t="n"/>
      <c r="AG634" s="102" t="n"/>
      <c r="AH634" s="102" t="n"/>
      <c r="AI634" s="102" t="n"/>
      <c r="AJ634" s="102" t="n"/>
      <c r="AK634" s="102" t="n"/>
      <c r="AL634" s="102" t="n"/>
      <c r="AM634" s="102" t="n"/>
      <c r="AN634" s="102" t="n"/>
      <c r="AO634" s="102" t="n"/>
      <c r="AP634" s="102" t="n"/>
      <c r="AQ634" s="102" t="n"/>
      <c r="AR634" s="102" t="n"/>
    </row>
    <row r="635">
      <c r="D635" s="103" t="n"/>
      <c r="E635" s="103" t="n"/>
      <c r="F635" s="103" t="n"/>
      <c r="G635" s="103" t="n"/>
      <c r="H635" s="103" t="n"/>
      <c r="I635" s="103" t="n"/>
      <c r="J635" s="103" t="n"/>
      <c r="K635" s="103" t="n"/>
      <c r="L635" s="103" t="n"/>
      <c r="M635" s="103" t="n"/>
      <c r="N635" s="103" t="n"/>
      <c r="O635" s="103" t="n"/>
      <c r="P635" s="103" t="n"/>
      <c r="Q635" s="103" t="n"/>
      <c r="R635" s="103" t="n"/>
      <c r="S635" s="103" t="n"/>
      <c r="T635" s="103" t="n"/>
      <c r="U635" s="103" t="n"/>
      <c r="V635" s="103" t="n"/>
      <c r="W635" s="103" t="n"/>
      <c r="X635" s="103" t="n"/>
      <c r="Y635" s="103" t="n"/>
      <c r="Z635" s="103" t="n"/>
      <c r="AA635" s="103" t="n"/>
      <c r="AB635" s="103" t="n"/>
      <c r="AC635" s="103" t="n"/>
      <c r="AD635" s="103" t="n"/>
      <c r="AE635" s="103" t="n"/>
      <c r="AF635" s="103" t="n"/>
      <c r="AG635" s="103" t="n"/>
      <c r="AH635" s="103" t="n"/>
      <c r="AI635" s="103" t="n"/>
      <c r="AJ635" s="103" t="n"/>
      <c r="AK635" s="103" t="n"/>
      <c r="AL635" s="103" t="n"/>
      <c r="AM635" s="103" t="n"/>
      <c r="AN635" s="103" t="n"/>
      <c r="AO635" s="103" t="n"/>
      <c r="AP635" s="103" t="n"/>
      <c r="AQ635" s="103" t="n"/>
      <c r="AR635" s="103" t="n"/>
    </row>
    <row r="637">
      <c r="A637" s="8">
        <f>IF(HSI!$C$64="","",HSI!$C$64)</f>
        <v/>
      </c>
      <c r="B637" s="99">
        <f>IF($A637="",0,COUNT($E638:$AR638))</f>
        <v/>
      </c>
      <c r="C637" s="100">
        <f>IF($B637=0,0,MAX($E638:$AR638))</f>
        <v/>
      </c>
      <c r="D637" s="101">
        <f>BDS($A637,FLD_HIST,"headers=y","startcol=1","endcol=7","dir=h","DVD_START_DT",HIST_FROM,"DVD_END_DT",HIST_TO)</f>
        <v/>
      </c>
      <c r="E637" s="102" t="n"/>
      <c r="F637" s="102" t="n"/>
      <c r="G637" s="102" t="n"/>
      <c r="H637" s="102" t="n"/>
      <c r="I637" s="102" t="n"/>
      <c r="J637" s="102" t="n"/>
      <c r="K637" s="102" t="n"/>
      <c r="L637" s="102" t="n"/>
      <c r="M637" s="102" t="n"/>
      <c r="N637" s="102" t="n"/>
      <c r="O637" s="102" t="n"/>
      <c r="P637" s="102" t="n"/>
      <c r="Q637" s="102" t="n"/>
      <c r="R637" s="102" t="n"/>
      <c r="S637" s="102" t="n"/>
      <c r="T637" s="102" t="n"/>
      <c r="U637" s="102" t="n"/>
      <c r="V637" s="102" t="n"/>
      <c r="W637" s="102" t="n"/>
      <c r="X637" s="102" t="n"/>
      <c r="Y637" s="102" t="n"/>
      <c r="Z637" s="102" t="n"/>
      <c r="AA637" s="102" t="n"/>
      <c r="AB637" s="102" t="n"/>
      <c r="AC637" s="102" t="n"/>
      <c r="AD637" s="102" t="n"/>
      <c r="AE637" s="102" t="n"/>
      <c r="AF637" s="102" t="n"/>
      <c r="AG637" s="102" t="n"/>
      <c r="AH637" s="102" t="n"/>
      <c r="AI637" s="102" t="n"/>
      <c r="AJ637" s="102" t="n"/>
      <c r="AK637" s="102" t="n"/>
      <c r="AL637" s="102" t="n"/>
      <c r="AM637" s="102" t="n"/>
      <c r="AN637" s="102" t="n"/>
      <c r="AO637" s="102" t="n"/>
      <c r="AP637" s="102" t="n"/>
      <c r="AQ637" s="102" t="n"/>
      <c r="AR637" s="102" t="n"/>
    </row>
    <row r="638">
      <c r="D638" s="102" t="n"/>
      <c r="E638" s="102" t="n"/>
      <c r="F638" s="102" t="n"/>
      <c r="G638" s="102" t="n"/>
      <c r="H638" s="102" t="n"/>
      <c r="I638" s="102" t="n"/>
      <c r="J638" s="102" t="n"/>
      <c r="K638" s="102" t="n"/>
      <c r="L638" s="102" t="n"/>
      <c r="M638" s="102" t="n"/>
      <c r="N638" s="102" t="n"/>
      <c r="O638" s="102" t="n"/>
      <c r="P638" s="102" t="n"/>
      <c r="Q638" s="102" t="n"/>
      <c r="R638" s="102" t="n"/>
      <c r="S638" s="102" t="n"/>
      <c r="T638" s="102" t="n"/>
      <c r="U638" s="102" t="n"/>
      <c r="V638" s="102" t="n"/>
      <c r="W638" s="102" t="n"/>
      <c r="X638" s="102" t="n"/>
      <c r="Y638" s="102" t="n"/>
      <c r="Z638" s="102" t="n"/>
      <c r="AA638" s="102" t="n"/>
      <c r="AB638" s="102" t="n"/>
      <c r="AC638" s="102" t="n"/>
      <c r="AD638" s="102" t="n"/>
      <c r="AE638" s="102" t="n"/>
      <c r="AF638" s="102" t="n"/>
      <c r="AG638" s="102" t="n"/>
      <c r="AH638" s="102" t="n"/>
      <c r="AI638" s="102" t="n"/>
      <c r="AJ638" s="102" t="n"/>
      <c r="AK638" s="102" t="n"/>
      <c r="AL638" s="102" t="n"/>
      <c r="AM638" s="102" t="n"/>
      <c r="AN638" s="102" t="n"/>
      <c r="AO638" s="102" t="n"/>
      <c r="AP638" s="102" t="n"/>
      <c r="AQ638" s="102" t="n"/>
      <c r="AR638" s="102" t="n"/>
    </row>
    <row r="639">
      <c r="D639" s="102" t="n"/>
      <c r="E639" s="102" t="n"/>
      <c r="F639" s="102" t="n"/>
      <c r="G639" s="102" t="n"/>
      <c r="H639" s="102" t="n"/>
      <c r="I639" s="102" t="n"/>
      <c r="J639" s="102" t="n"/>
      <c r="K639" s="102" t="n"/>
      <c r="L639" s="102" t="n"/>
      <c r="M639" s="102" t="n"/>
      <c r="N639" s="102" t="n"/>
      <c r="O639" s="102" t="n"/>
      <c r="P639" s="102" t="n"/>
      <c r="Q639" s="102" t="n"/>
      <c r="R639" s="102" t="n"/>
      <c r="S639" s="102" t="n"/>
      <c r="T639" s="102" t="n"/>
      <c r="U639" s="102" t="n"/>
      <c r="V639" s="102" t="n"/>
      <c r="W639" s="102" t="n"/>
      <c r="X639" s="102" t="n"/>
      <c r="Y639" s="102" t="n"/>
      <c r="Z639" s="102" t="n"/>
      <c r="AA639" s="102" t="n"/>
      <c r="AB639" s="102" t="n"/>
      <c r="AC639" s="102" t="n"/>
      <c r="AD639" s="102" t="n"/>
      <c r="AE639" s="102" t="n"/>
      <c r="AF639" s="102" t="n"/>
      <c r="AG639" s="102" t="n"/>
      <c r="AH639" s="102" t="n"/>
      <c r="AI639" s="102" t="n"/>
      <c r="AJ639" s="102" t="n"/>
      <c r="AK639" s="102" t="n"/>
      <c r="AL639" s="102" t="n"/>
      <c r="AM639" s="102" t="n"/>
      <c r="AN639" s="102" t="n"/>
      <c r="AO639" s="102" t="n"/>
      <c r="AP639" s="102" t="n"/>
      <c r="AQ639" s="102" t="n"/>
      <c r="AR639" s="102" t="n"/>
    </row>
    <row r="640">
      <c r="D640" s="102" t="n"/>
      <c r="E640" s="102" t="n"/>
      <c r="F640" s="102" t="n"/>
      <c r="G640" s="102" t="n"/>
      <c r="H640" s="102" t="n"/>
      <c r="I640" s="102" t="n"/>
      <c r="J640" s="102" t="n"/>
      <c r="K640" s="102" t="n"/>
      <c r="L640" s="102" t="n"/>
      <c r="M640" s="102" t="n"/>
      <c r="N640" s="102" t="n"/>
      <c r="O640" s="102" t="n"/>
      <c r="P640" s="102" t="n"/>
      <c r="Q640" s="102" t="n"/>
      <c r="R640" s="102" t="n"/>
      <c r="S640" s="102" t="n"/>
      <c r="T640" s="102" t="n"/>
      <c r="U640" s="102" t="n"/>
      <c r="V640" s="102" t="n"/>
      <c r="W640" s="102" t="n"/>
      <c r="X640" s="102" t="n"/>
      <c r="Y640" s="102" t="n"/>
      <c r="Z640" s="102" t="n"/>
      <c r="AA640" s="102" t="n"/>
      <c r="AB640" s="102" t="n"/>
      <c r="AC640" s="102" t="n"/>
      <c r="AD640" s="102" t="n"/>
      <c r="AE640" s="102" t="n"/>
      <c r="AF640" s="102" t="n"/>
      <c r="AG640" s="102" t="n"/>
      <c r="AH640" s="102" t="n"/>
      <c r="AI640" s="102" t="n"/>
      <c r="AJ640" s="102" t="n"/>
      <c r="AK640" s="102" t="n"/>
      <c r="AL640" s="102" t="n"/>
      <c r="AM640" s="102" t="n"/>
      <c r="AN640" s="102" t="n"/>
      <c r="AO640" s="102" t="n"/>
      <c r="AP640" s="102" t="n"/>
      <c r="AQ640" s="102" t="n"/>
      <c r="AR640" s="102" t="n"/>
    </row>
    <row r="641">
      <c r="D641" s="103" t="n"/>
      <c r="E641" s="103" t="n"/>
      <c r="F641" s="103" t="n"/>
      <c r="G641" s="103" t="n"/>
      <c r="H641" s="103" t="n"/>
      <c r="I641" s="103" t="n"/>
      <c r="J641" s="103" t="n"/>
      <c r="K641" s="103" t="n"/>
      <c r="L641" s="103" t="n"/>
      <c r="M641" s="103" t="n"/>
      <c r="N641" s="103" t="n"/>
      <c r="O641" s="103" t="n"/>
      <c r="P641" s="103" t="n"/>
      <c r="Q641" s="103" t="n"/>
      <c r="R641" s="103" t="n"/>
      <c r="S641" s="103" t="n"/>
      <c r="T641" s="103" t="n"/>
      <c r="U641" s="103" t="n"/>
      <c r="V641" s="103" t="n"/>
      <c r="W641" s="103" t="n"/>
      <c r="X641" s="103" t="n"/>
      <c r="Y641" s="103" t="n"/>
      <c r="Z641" s="103" t="n"/>
      <c r="AA641" s="103" t="n"/>
      <c r="AB641" s="103" t="n"/>
      <c r="AC641" s="103" t="n"/>
      <c r="AD641" s="103" t="n"/>
      <c r="AE641" s="103" t="n"/>
      <c r="AF641" s="103" t="n"/>
      <c r="AG641" s="103" t="n"/>
      <c r="AH641" s="103" t="n"/>
      <c r="AI641" s="103" t="n"/>
      <c r="AJ641" s="103" t="n"/>
      <c r="AK641" s="103" t="n"/>
      <c r="AL641" s="103" t="n"/>
      <c r="AM641" s="103" t="n"/>
      <c r="AN641" s="103" t="n"/>
      <c r="AO641" s="103" t="n"/>
      <c r="AP641" s="103" t="n"/>
      <c r="AQ641" s="103" t="n"/>
      <c r="AR641" s="103" t="n"/>
    </row>
    <row r="644">
      <c r="A644" s="2">
        <f>IF($A637="","","   projections")</f>
        <v/>
      </c>
      <c r="B644" s="99">
        <f>IF($A637="",0,COUNT($E645:$AR645))</f>
        <v/>
      </c>
      <c r="C644" s="100">
        <f>IF($B644=0,0,MAX($E645:$AR645))</f>
        <v/>
      </c>
      <c r="D644" s="101">
        <f>BDS($A637,FLD_PROJ,"headers=y","startcol=1","endcol=3","dir=h")</f>
        <v/>
      </c>
      <c r="E644" s="102" t="n"/>
      <c r="F644" s="102" t="n"/>
      <c r="G644" s="102" t="n"/>
      <c r="H644" s="102" t="n"/>
      <c r="I644" s="102" t="n"/>
      <c r="J644" s="102" t="n"/>
      <c r="K644" s="102" t="n"/>
      <c r="L644" s="102" t="n"/>
      <c r="M644" s="102" t="n"/>
      <c r="N644" s="102" t="n"/>
      <c r="O644" s="102" t="n"/>
      <c r="P644" s="102" t="n"/>
      <c r="Q644" s="102" t="n"/>
      <c r="R644" s="102" t="n"/>
      <c r="S644" s="102" t="n"/>
      <c r="T644" s="102" t="n"/>
      <c r="U644" s="102" t="n"/>
      <c r="V644" s="102" t="n"/>
      <c r="W644" s="102" t="n"/>
      <c r="X644" s="102" t="n"/>
      <c r="Y644" s="102" t="n"/>
      <c r="Z644" s="102" t="n"/>
      <c r="AA644" s="102" t="n"/>
      <c r="AB644" s="102" t="n"/>
      <c r="AC644" s="102" t="n"/>
      <c r="AD644" s="102" t="n"/>
      <c r="AE644" s="102" t="n"/>
      <c r="AF644" s="102" t="n"/>
      <c r="AG644" s="102" t="n"/>
      <c r="AH644" s="102" t="n"/>
      <c r="AI644" s="102" t="n"/>
      <c r="AJ644" s="102" t="n"/>
      <c r="AK644" s="102" t="n"/>
      <c r="AL644" s="102" t="n"/>
      <c r="AM644" s="102" t="n"/>
      <c r="AN644" s="102" t="n"/>
      <c r="AO644" s="102" t="n"/>
      <c r="AP644" s="102" t="n"/>
      <c r="AQ644" s="102" t="n"/>
      <c r="AR644" s="102" t="n"/>
    </row>
    <row r="645">
      <c r="D645" s="102" t="n"/>
      <c r="E645" s="102" t="n"/>
      <c r="F645" s="102" t="n"/>
      <c r="G645" s="102" t="n"/>
      <c r="H645" s="102" t="n"/>
      <c r="I645" s="102" t="n"/>
      <c r="J645" s="102" t="n"/>
      <c r="K645" s="102" t="n"/>
      <c r="L645" s="102" t="n"/>
      <c r="M645" s="102" t="n"/>
      <c r="N645" s="102" t="n"/>
      <c r="O645" s="102" t="n"/>
      <c r="P645" s="102" t="n"/>
      <c r="Q645" s="102" t="n"/>
      <c r="R645" s="102" t="n"/>
      <c r="S645" s="102" t="n"/>
      <c r="T645" s="102" t="n"/>
      <c r="U645" s="102" t="n"/>
      <c r="V645" s="102" t="n"/>
      <c r="W645" s="102" t="n"/>
      <c r="X645" s="102" t="n"/>
      <c r="Y645" s="102" t="n"/>
      <c r="Z645" s="102" t="n"/>
      <c r="AA645" s="102" t="n"/>
      <c r="AB645" s="102" t="n"/>
      <c r="AC645" s="102" t="n"/>
      <c r="AD645" s="102" t="n"/>
      <c r="AE645" s="102" t="n"/>
      <c r="AF645" s="102" t="n"/>
      <c r="AG645" s="102" t="n"/>
      <c r="AH645" s="102" t="n"/>
      <c r="AI645" s="102" t="n"/>
      <c r="AJ645" s="102" t="n"/>
      <c r="AK645" s="102" t="n"/>
      <c r="AL645" s="102" t="n"/>
      <c r="AM645" s="102" t="n"/>
      <c r="AN645" s="102" t="n"/>
      <c r="AO645" s="102" t="n"/>
      <c r="AP645" s="102" t="n"/>
      <c r="AQ645" s="102" t="n"/>
      <c r="AR645" s="102" t="n"/>
    </row>
    <row r="646">
      <c r="D646" s="103" t="n"/>
      <c r="E646" s="103" t="n"/>
      <c r="F646" s="103" t="n"/>
      <c r="G646" s="103" t="n"/>
      <c r="H646" s="103" t="n"/>
      <c r="I646" s="103" t="n"/>
      <c r="J646" s="103" t="n"/>
      <c r="K646" s="103" t="n"/>
      <c r="L646" s="103" t="n"/>
      <c r="M646" s="103" t="n"/>
      <c r="N646" s="103" t="n"/>
      <c r="O646" s="103" t="n"/>
      <c r="P646" s="103" t="n"/>
      <c r="Q646" s="103" t="n"/>
      <c r="R646" s="103" t="n"/>
      <c r="S646" s="103" t="n"/>
      <c r="T646" s="103" t="n"/>
      <c r="U646" s="103" t="n"/>
      <c r="V646" s="103" t="n"/>
      <c r="W646" s="103" t="n"/>
      <c r="X646" s="103" t="n"/>
      <c r="Y646" s="103" t="n"/>
      <c r="Z646" s="103" t="n"/>
      <c r="AA646" s="103" t="n"/>
      <c r="AB646" s="103" t="n"/>
      <c r="AC646" s="103" t="n"/>
      <c r="AD646" s="103" t="n"/>
      <c r="AE646" s="103" t="n"/>
      <c r="AF646" s="103" t="n"/>
      <c r="AG646" s="103" t="n"/>
      <c r="AH646" s="103" t="n"/>
      <c r="AI646" s="103" t="n"/>
      <c r="AJ646" s="103" t="n"/>
      <c r="AK646" s="103" t="n"/>
      <c r="AL646" s="103" t="n"/>
      <c r="AM646" s="103" t="n"/>
      <c r="AN646" s="103" t="n"/>
      <c r="AO646" s="103" t="n"/>
      <c r="AP646" s="103" t="n"/>
      <c r="AQ646" s="103" t="n"/>
      <c r="AR646" s="103" t="n"/>
    </row>
    <row r="648">
      <c r="A648" s="8">
        <f>IF(HSI!$C$65="","",HSI!$C$65)</f>
        <v/>
      </c>
      <c r="B648" s="99">
        <f>IF($A648="",0,COUNT($E649:$AR649))</f>
        <v/>
      </c>
      <c r="C648" s="100">
        <f>IF($B648=0,0,MAX($E649:$AR649))</f>
        <v/>
      </c>
      <c r="D648" s="101">
        <f>BDS($A648,FLD_HIST,"headers=y","startcol=1","endcol=7","dir=h","DVD_START_DT",HIST_FROM,"DVD_END_DT",HIST_TO)</f>
        <v/>
      </c>
      <c r="E648" s="102" t="n"/>
      <c r="F648" s="102" t="n"/>
      <c r="G648" s="102" t="n"/>
      <c r="H648" s="102" t="n"/>
      <c r="I648" s="102" t="n"/>
      <c r="J648" s="102" t="n"/>
      <c r="K648" s="102" t="n"/>
      <c r="L648" s="102" t="n"/>
      <c r="M648" s="102" t="n"/>
      <c r="N648" s="102" t="n"/>
      <c r="O648" s="102" t="n"/>
      <c r="P648" s="102" t="n"/>
      <c r="Q648" s="102" t="n"/>
      <c r="R648" s="102" t="n"/>
      <c r="S648" s="102" t="n"/>
      <c r="T648" s="102" t="n"/>
      <c r="U648" s="102" t="n"/>
      <c r="V648" s="102" t="n"/>
      <c r="W648" s="102" t="n"/>
      <c r="X648" s="102" t="n"/>
      <c r="Y648" s="102" t="n"/>
      <c r="Z648" s="102" t="n"/>
      <c r="AA648" s="102" t="n"/>
      <c r="AB648" s="102" t="n"/>
      <c r="AC648" s="102" t="n"/>
      <c r="AD648" s="102" t="n"/>
      <c r="AE648" s="102" t="n"/>
      <c r="AF648" s="102" t="n"/>
      <c r="AG648" s="102" t="n"/>
      <c r="AH648" s="102" t="n"/>
      <c r="AI648" s="102" t="n"/>
      <c r="AJ648" s="102" t="n"/>
      <c r="AK648" s="102" t="n"/>
      <c r="AL648" s="102" t="n"/>
      <c r="AM648" s="102" t="n"/>
      <c r="AN648" s="102" t="n"/>
      <c r="AO648" s="102" t="n"/>
      <c r="AP648" s="102" t="n"/>
      <c r="AQ648" s="102" t="n"/>
      <c r="AR648" s="102" t="n"/>
    </row>
    <row r="649">
      <c r="D649" s="102" t="n"/>
      <c r="E649" s="102" t="n"/>
      <c r="F649" s="102" t="n"/>
      <c r="G649" s="102" t="n"/>
      <c r="H649" s="102" t="n"/>
      <c r="I649" s="102" t="n"/>
      <c r="J649" s="102" t="n"/>
      <c r="K649" s="102" t="n"/>
      <c r="L649" s="102" t="n"/>
      <c r="M649" s="102" t="n"/>
      <c r="N649" s="102" t="n"/>
      <c r="O649" s="102" t="n"/>
      <c r="P649" s="102" t="n"/>
      <c r="Q649" s="102" t="n"/>
      <c r="R649" s="102" t="n"/>
      <c r="S649" s="102" t="n"/>
      <c r="T649" s="102" t="n"/>
      <c r="U649" s="102" t="n"/>
      <c r="V649" s="102" t="n"/>
      <c r="W649" s="102" t="n"/>
      <c r="X649" s="102" t="n"/>
      <c r="Y649" s="102" t="n"/>
      <c r="Z649" s="102" t="n"/>
      <c r="AA649" s="102" t="n"/>
      <c r="AB649" s="102" t="n"/>
      <c r="AC649" s="102" t="n"/>
      <c r="AD649" s="102" t="n"/>
      <c r="AE649" s="102" t="n"/>
      <c r="AF649" s="102" t="n"/>
      <c r="AG649" s="102" t="n"/>
      <c r="AH649" s="102" t="n"/>
      <c r="AI649" s="102" t="n"/>
      <c r="AJ649" s="102" t="n"/>
      <c r="AK649" s="102" t="n"/>
      <c r="AL649" s="102" t="n"/>
      <c r="AM649" s="102" t="n"/>
      <c r="AN649" s="102" t="n"/>
      <c r="AO649" s="102" t="n"/>
      <c r="AP649" s="102" t="n"/>
      <c r="AQ649" s="102" t="n"/>
      <c r="AR649" s="102" t="n"/>
    </row>
    <row r="650">
      <c r="D650" s="102" t="n"/>
      <c r="E650" s="102" t="n"/>
      <c r="F650" s="102" t="n"/>
      <c r="G650" s="102" t="n"/>
      <c r="H650" s="102" t="n"/>
      <c r="I650" s="102" t="n"/>
      <c r="J650" s="102" t="n"/>
      <c r="K650" s="102" t="n"/>
      <c r="L650" s="102" t="n"/>
      <c r="M650" s="102" t="n"/>
      <c r="N650" s="102" t="n"/>
      <c r="O650" s="102" t="n"/>
      <c r="P650" s="102" t="n"/>
      <c r="Q650" s="102" t="n"/>
      <c r="R650" s="102" t="n"/>
      <c r="S650" s="102" t="n"/>
      <c r="T650" s="102" t="n"/>
      <c r="U650" s="102" t="n"/>
      <c r="V650" s="102" t="n"/>
      <c r="W650" s="102" t="n"/>
      <c r="X650" s="102" t="n"/>
      <c r="Y650" s="102" t="n"/>
      <c r="Z650" s="102" t="n"/>
      <c r="AA650" s="102" t="n"/>
      <c r="AB650" s="102" t="n"/>
      <c r="AC650" s="102" t="n"/>
      <c r="AD650" s="102" t="n"/>
      <c r="AE650" s="102" t="n"/>
      <c r="AF650" s="102" t="n"/>
      <c r="AG650" s="102" t="n"/>
      <c r="AH650" s="102" t="n"/>
      <c r="AI650" s="102" t="n"/>
      <c r="AJ650" s="102" t="n"/>
      <c r="AK650" s="102" t="n"/>
      <c r="AL650" s="102" t="n"/>
      <c r="AM650" s="102" t="n"/>
      <c r="AN650" s="102" t="n"/>
      <c r="AO650" s="102" t="n"/>
      <c r="AP650" s="102" t="n"/>
      <c r="AQ650" s="102" t="n"/>
      <c r="AR650" s="102" t="n"/>
    </row>
    <row r="651">
      <c r="D651" s="102" t="n"/>
      <c r="E651" s="102" t="n"/>
      <c r="F651" s="102" t="n"/>
      <c r="G651" s="102" t="n"/>
      <c r="H651" s="102" t="n"/>
      <c r="I651" s="102" t="n"/>
      <c r="J651" s="102" t="n"/>
      <c r="K651" s="102" t="n"/>
      <c r="L651" s="102" t="n"/>
      <c r="M651" s="102" t="n"/>
      <c r="N651" s="102" t="n"/>
      <c r="O651" s="102" t="n"/>
      <c r="P651" s="102" t="n"/>
      <c r="Q651" s="102" t="n"/>
      <c r="R651" s="102" t="n"/>
      <c r="S651" s="102" t="n"/>
      <c r="T651" s="102" t="n"/>
      <c r="U651" s="102" t="n"/>
      <c r="V651" s="102" t="n"/>
      <c r="W651" s="102" t="n"/>
      <c r="X651" s="102" t="n"/>
      <c r="Y651" s="102" t="n"/>
      <c r="Z651" s="102" t="n"/>
      <c r="AA651" s="102" t="n"/>
      <c r="AB651" s="102" t="n"/>
      <c r="AC651" s="102" t="n"/>
      <c r="AD651" s="102" t="n"/>
      <c r="AE651" s="102" t="n"/>
      <c r="AF651" s="102" t="n"/>
      <c r="AG651" s="102" t="n"/>
      <c r="AH651" s="102" t="n"/>
      <c r="AI651" s="102" t="n"/>
      <c r="AJ651" s="102" t="n"/>
      <c r="AK651" s="102" t="n"/>
      <c r="AL651" s="102" t="n"/>
      <c r="AM651" s="102" t="n"/>
      <c r="AN651" s="102" t="n"/>
      <c r="AO651" s="102" t="n"/>
      <c r="AP651" s="102" t="n"/>
      <c r="AQ651" s="102" t="n"/>
      <c r="AR651" s="102" t="n"/>
    </row>
    <row r="652">
      <c r="D652" s="103" t="n"/>
      <c r="E652" s="103" t="n"/>
      <c r="F652" s="103" t="n"/>
      <c r="G652" s="103" t="n"/>
      <c r="H652" s="103" t="n"/>
      <c r="I652" s="103" t="n"/>
      <c r="J652" s="103" t="n"/>
      <c r="K652" s="103" t="n"/>
      <c r="L652" s="103" t="n"/>
      <c r="M652" s="103" t="n"/>
      <c r="N652" s="103" t="n"/>
      <c r="O652" s="103" t="n"/>
      <c r="P652" s="103" t="n"/>
      <c r="Q652" s="103" t="n"/>
      <c r="R652" s="103" t="n"/>
      <c r="S652" s="103" t="n"/>
      <c r="T652" s="103" t="n"/>
      <c r="U652" s="103" t="n"/>
      <c r="V652" s="103" t="n"/>
      <c r="W652" s="103" t="n"/>
      <c r="X652" s="103" t="n"/>
      <c r="Y652" s="103" t="n"/>
      <c r="Z652" s="103" t="n"/>
      <c r="AA652" s="103" t="n"/>
      <c r="AB652" s="103" t="n"/>
      <c r="AC652" s="103" t="n"/>
      <c r="AD652" s="103" t="n"/>
      <c r="AE652" s="103" t="n"/>
      <c r="AF652" s="103" t="n"/>
      <c r="AG652" s="103" t="n"/>
      <c r="AH652" s="103" t="n"/>
      <c r="AI652" s="103" t="n"/>
      <c r="AJ652" s="103" t="n"/>
      <c r="AK652" s="103" t="n"/>
      <c r="AL652" s="103" t="n"/>
      <c r="AM652" s="103" t="n"/>
      <c r="AN652" s="103" t="n"/>
      <c r="AO652" s="103" t="n"/>
      <c r="AP652" s="103" t="n"/>
      <c r="AQ652" s="103" t="n"/>
      <c r="AR652" s="103" t="n"/>
    </row>
    <row r="655">
      <c r="A655" s="2">
        <f>IF($A648="","","   projections")</f>
        <v/>
      </c>
      <c r="B655" s="99">
        <f>IF($A648="",0,COUNT($E656:$AR656))</f>
        <v/>
      </c>
      <c r="C655" s="100">
        <f>IF($B655=0,0,MAX($E656:$AR656))</f>
        <v/>
      </c>
      <c r="D655" s="101">
        <f>BDS($A648,FLD_PROJ,"headers=y","startcol=1","endcol=3","dir=h")</f>
        <v/>
      </c>
      <c r="E655" s="102" t="n"/>
      <c r="F655" s="102" t="n"/>
      <c r="G655" s="102" t="n"/>
      <c r="H655" s="102" t="n"/>
      <c r="I655" s="102" t="n"/>
      <c r="J655" s="102" t="n"/>
      <c r="K655" s="102" t="n"/>
      <c r="L655" s="102" t="n"/>
      <c r="M655" s="102" t="n"/>
      <c r="N655" s="102" t="n"/>
      <c r="O655" s="102" t="n"/>
      <c r="P655" s="102" t="n"/>
      <c r="Q655" s="102" t="n"/>
      <c r="R655" s="102" t="n"/>
      <c r="S655" s="102" t="n"/>
      <c r="T655" s="102" t="n"/>
      <c r="U655" s="102" t="n"/>
      <c r="V655" s="102" t="n"/>
      <c r="W655" s="102" t="n"/>
      <c r="X655" s="102" t="n"/>
      <c r="Y655" s="102" t="n"/>
      <c r="Z655" s="102" t="n"/>
      <c r="AA655" s="102" t="n"/>
      <c r="AB655" s="102" t="n"/>
      <c r="AC655" s="102" t="n"/>
      <c r="AD655" s="102" t="n"/>
      <c r="AE655" s="102" t="n"/>
      <c r="AF655" s="102" t="n"/>
      <c r="AG655" s="102" t="n"/>
      <c r="AH655" s="102" t="n"/>
      <c r="AI655" s="102" t="n"/>
      <c r="AJ655" s="102" t="n"/>
      <c r="AK655" s="102" t="n"/>
      <c r="AL655" s="102" t="n"/>
      <c r="AM655" s="102" t="n"/>
      <c r="AN655" s="102" t="n"/>
      <c r="AO655" s="102" t="n"/>
      <c r="AP655" s="102" t="n"/>
      <c r="AQ655" s="102" t="n"/>
      <c r="AR655" s="102" t="n"/>
    </row>
    <row r="656">
      <c r="D656" s="102" t="n"/>
      <c r="E656" s="102" t="n"/>
      <c r="F656" s="102" t="n"/>
      <c r="G656" s="102" t="n"/>
      <c r="H656" s="102" t="n"/>
      <c r="I656" s="102" t="n"/>
      <c r="J656" s="102" t="n"/>
      <c r="K656" s="102" t="n"/>
      <c r="L656" s="102" t="n"/>
      <c r="M656" s="102" t="n"/>
      <c r="N656" s="102" t="n"/>
      <c r="O656" s="102" t="n"/>
      <c r="P656" s="102" t="n"/>
      <c r="Q656" s="102" t="n"/>
      <c r="R656" s="102" t="n"/>
      <c r="S656" s="102" t="n"/>
      <c r="T656" s="102" t="n"/>
      <c r="U656" s="102" t="n"/>
      <c r="V656" s="102" t="n"/>
      <c r="W656" s="102" t="n"/>
      <c r="X656" s="102" t="n"/>
      <c r="Y656" s="102" t="n"/>
      <c r="Z656" s="102" t="n"/>
      <c r="AA656" s="102" t="n"/>
      <c r="AB656" s="102" t="n"/>
      <c r="AC656" s="102" t="n"/>
      <c r="AD656" s="102" t="n"/>
      <c r="AE656" s="102" t="n"/>
      <c r="AF656" s="102" t="n"/>
      <c r="AG656" s="102" t="n"/>
      <c r="AH656" s="102" t="n"/>
      <c r="AI656" s="102" t="n"/>
      <c r="AJ656" s="102" t="n"/>
      <c r="AK656" s="102" t="n"/>
      <c r="AL656" s="102" t="n"/>
      <c r="AM656" s="102" t="n"/>
      <c r="AN656" s="102" t="n"/>
      <c r="AO656" s="102" t="n"/>
      <c r="AP656" s="102" t="n"/>
      <c r="AQ656" s="102" t="n"/>
      <c r="AR656" s="102" t="n"/>
    </row>
    <row r="657">
      <c r="D657" s="103" t="n"/>
      <c r="E657" s="103" t="n"/>
      <c r="F657" s="103" t="n"/>
      <c r="G657" s="103" t="n"/>
      <c r="H657" s="103" t="n"/>
      <c r="I657" s="103" t="n"/>
      <c r="J657" s="103" t="n"/>
      <c r="K657" s="103" t="n"/>
      <c r="L657" s="103" t="n"/>
      <c r="M657" s="103" t="n"/>
      <c r="N657" s="103" t="n"/>
      <c r="O657" s="103" t="n"/>
      <c r="P657" s="103" t="n"/>
      <c r="Q657" s="103" t="n"/>
      <c r="R657" s="103" t="n"/>
      <c r="S657" s="103" t="n"/>
      <c r="T657" s="103" t="n"/>
      <c r="U657" s="103" t="n"/>
      <c r="V657" s="103" t="n"/>
      <c r="W657" s="103" t="n"/>
      <c r="X657" s="103" t="n"/>
      <c r="Y657" s="103" t="n"/>
      <c r="Z657" s="103" t="n"/>
      <c r="AA657" s="103" t="n"/>
      <c r="AB657" s="103" t="n"/>
      <c r="AC657" s="103" t="n"/>
      <c r="AD657" s="103" t="n"/>
      <c r="AE657" s="103" t="n"/>
      <c r="AF657" s="103" t="n"/>
      <c r="AG657" s="103" t="n"/>
      <c r="AH657" s="103" t="n"/>
      <c r="AI657" s="103" t="n"/>
      <c r="AJ657" s="103" t="n"/>
      <c r="AK657" s="103" t="n"/>
      <c r="AL657" s="103" t="n"/>
      <c r="AM657" s="103" t="n"/>
      <c r="AN657" s="103" t="n"/>
      <c r="AO657" s="103" t="n"/>
      <c r="AP657" s="103" t="n"/>
      <c r="AQ657" s="103" t="n"/>
      <c r="AR657" s="103" t="n"/>
    </row>
    <row r="659">
      <c r="A659" s="8">
        <f>IF(HSI!$C$66="","",HSI!$C$66)</f>
        <v/>
      </c>
      <c r="B659" s="99">
        <f>IF($A659="",0,COUNT($E660:$AR660))</f>
        <v/>
      </c>
      <c r="C659" s="100">
        <f>IF($B659=0,0,MAX($E660:$AR660))</f>
        <v/>
      </c>
      <c r="D659" s="101">
        <f>BDS($A659,FLD_HIST,"headers=y","startcol=1","endcol=7","dir=h","DVD_START_DT",HIST_FROM,"DVD_END_DT",HIST_TO)</f>
        <v/>
      </c>
      <c r="E659" s="102" t="n"/>
      <c r="F659" s="102" t="n"/>
      <c r="G659" s="102" t="n"/>
      <c r="H659" s="102" t="n"/>
      <c r="I659" s="102" t="n"/>
      <c r="J659" s="102" t="n"/>
      <c r="K659" s="102" t="n"/>
      <c r="L659" s="102" t="n"/>
      <c r="M659" s="102" t="n"/>
      <c r="N659" s="102" t="n"/>
      <c r="O659" s="102" t="n"/>
      <c r="P659" s="102" t="n"/>
      <c r="Q659" s="102" t="n"/>
      <c r="R659" s="102" t="n"/>
      <c r="S659" s="102" t="n"/>
      <c r="T659" s="102" t="n"/>
      <c r="U659" s="102" t="n"/>
      <c r="V659" s="102" t="n"/>
      <c r="W659" s="102" t="n"/>
      <c r="X659" s="102" t="n"/>
      <c r="Y659" s="102" t="n"/>
      <c r="Z659" s="102" t="n"/>
      <c r="AA659" s="102" t="n"/>
      <c r="AB659" s="102" t="n"/>
      <c r="AC659" s="102" t="n"/>
      <c r="AD659" s="102" t="n"/>
      <c r="AE659" s="102" t="n"/>
      <c r="AF659" s="102" t="n"/>
      <c r="AG659" s="102" t="n"/>
      <c r="AH659" s="102" t="n"/>
      <c r="AI659" s="102" t="n"/>
      <c r="AJ659" s="102" t="n"/>
      <c r="AK659" s="102" t="n"/>
      <c r="AL659" s="102" t="n"/>
      <c r="AM659" s="102" t="n"/>
      <c r="AN659" s="102" t="n"/>
      <c r="AO659" s="102" t="n"/>
      <c r="AP659" s="102" t="n"/>
      <c r="AQ659" s="102" t="n"/>
      <c r="AR659" s="102" t="n"/>
    </row>
    <row r="660">
      <c r="D660" s="102" t="n"/>
      <c r="E660" s="102" t="n"/>
      <c r="F660" s="102" t="n"/>
      <c r="G660" s="102" t="n"/>
      <c r="H660" s="102" t="n"/>
      <c r="I660" s="102" t="n"/>
      <c r="J660" s="102" t="n"/>
      <c r="K660" s="102" t="n"/>
      <c r="L660" s="102" t="n"/>
      <c r="M660" s="102" t="n"/>
      <c r="N660" s="102" t="n"/>
      <c r="O660" s="102" t="n"/>
      <c r="P660" s="102" t="n"/>
      <c r="Q660" s="102" t="n"/>
      <c r="R660" s="102" t="n"/>
      <c r="S660" s="102" t="n"/>
      <c r="T660" s="102" t="n"/>
      <c r="U660" s="102" t="n"/>
      <c r="V660" s="102" t="n"/>
      <c r="W660" s="102" t="n"/>
      <c r="X660" s="102" t="n"/>
      <c r="Y660" s="102" t="n"/>
      <c r="Z660" s="102" t="n"/>
      <c r="AA660" s="102" t="n"/>
      <c r="AB660" s="102" t="n"/>
      <c r="AC660" s="102" t="n"/>
      <c r="AD660" s="102" t="n"/>
      <c r="AE660" s="102" t="n"/>
      <c r="AF660" s="102" t="n"/>
      <c r="AG660" s="102" t="n"/>
      <c r="AH660" s="102" t="n"/>
      <c r="AI660" s="102" t="n"/>
      <c r="AJ660" s="102" t="n"/>
      <c r="AK660" s="102" t="n"/>
      <c r="AL660" s="102" t="n"/>
      <c r="AM660" s="102" t="n"/>
      <c r="AN660" s="102" t="n"/>
      <c r="AO660" s="102" t="n"/>
      <c r="AP660" s="102" t="n"/>
      <c r="AQ660" s="102" t="n"/>
      <c r="AR660" s="102" t="n"/>
    </row>
    <row r="661">
      <c r="D661" s="102" t="n"/>
      <c r="E661" s="102" t="n"/>
      <c r="F661" s="102" t="n"/>
      <c r="G661" s="102" t="n"/>
      <c r="H661" s="102" t="n"/>
      <c r="I661" s="102" t="n"/>
      <c r="J661" s="102" t="n"/>
      <c r="K661" s="102" t="n"/>
      <c r="L661" s="102" t="n"/>
      <c r="M661" s="102" t="n"/>
      <c r="N661" s="102" t="n"/>
      <c r="O661" s="102" t="n"/>
      <c r="P661" s="102" t="n"/>
      <c r="Q661" s="102" t="n"/>
      <c r="R661" s="102" t="n"/>
      <c r="S661" s="102" t="n"/>
      <c r="T661" s="102" t="n"/>
      <c r="U661" s="102" t="n"/>
      <c r="V661" s="102" t="n"/>
      <c r="W661" s="102" t="n"/>
      <c r="X661" s="102" t="n"/>
      <c r="Y661" s="102" t="n"/>
      <c r="Z661" s="102" t="n"/>
      <c r="AA661" s="102" t="n"/>
      <c r="AB661" s="102" t="n"/>
      <c r="AC661" s="102" t="n"/>
      <c r="AD661" s="102" t="n"/>
      <c r="AE661" s="102" t="n"/>
      <c r="AF661" s="102" t="n"/>
      <c r="AG661" s="102" t="n"/>
      <c r="AH661" s="102" t="n"/>
      <c r="AI661" s="102" t="n"/>
      <c r="AJ661" s="102" t="n"/>
      <c r="AK661" s="102" t="n"/>
      <c r="AL661" s="102" t="n"/>
      <c r="AM661" s="102" t="n"/>
      <c r="AN661" s="102" t="n"/>
      <c r="AO661" s="102" t="n"/>
      <c r="AP661" s="102" t="n"/>
      <c r="AQ661" s="102" t="n"/>
      <c r="AR661" s="102" t="n"/>
    </row>
    <row r="662">
      <c r="D662" s="102" t="n"/>
      <c r="E662" s="102" t="n"/>
      <c r="F662" s="102" t="n"/>
      <c r="G662" s="102" t="n"/>
      <c r="H662" s="102" t="n"/>
      <c r="I662" s="102" t="n"/>
      <c r="J662" s="102" t="n"/>
      <c r="K662" s="102" t="n"/>
      <c r="L662" s="102" t="n"/>
      <c r="M662" s="102" t="n"/>
      <c r="N662" s="102" t="n"/>
      <c r="O662" s="102" t="n"/>
      <c r="P662" s="102" t="n"/>
      <c r="Q662" s="102" t="n"/>
      <c r="R662" s="102" t="n"/>
      <c r="S662" s="102" t="n"/>
      <c r="T662" s="102" t="n"/>
      <c r="U662" s="102" t="n"/>
      <c r="V662" s="102" t="n"/>
      <c r="W662" s="102" t="n"/>
      <c r="X662" s="102" t="n"/>
      <c r="Y662" s="102" t="n"/>
      <c r="Z662" s="102" t="n"/>
      <c r="AA662" s="102" t="n"/>
      <c r="AB662" s="102" t="n"/>
      <c r="AC662" s="102" t="n"/>
      <c r="AD662" s="102" t="n"/>
      <c r="AE662" s="102" t="n"/>
      <c r="AF662" s="102" t="n"/>
      <c r="AG662" s="102" t="n"/>
      <c r="AH662" s="102" t="n"/>
      <c r="AI662" s="102" t="n"/>
      <c r="AJ662" s="102" t="n"/>
      <c r="AK662" s="102" t="n"/>
      <c r="AL662" s="102" t="n"/>
      <c r="AM662" s="102" t="n"/>
      <c r="AN662" s="102" t="n"/>
      <c r="AO662" s="102" t="n"/>
      <c r="AP662" s="102" t="n"/>
      <c r="AQ662" s="102" t="n"/>
      <c r="AR662" s="102" t="n"/>
    </row>
    <row r="663">
      <c r="D663" s="103" t="n"/>
      <c r="E663" s="103" t="n"/>
      <c r="F663" s="103" t="n"/>
      <c r="G663" s="103" t="n"/>
      <c r="H663" s="103" t="n"/>
      <c r="I663" s="103" t="n"/>
      <c r="J663" s="103" t="n"/>
      <c r="K663" s="103" t="n"/>
      <c r="L663" s="103" t="n"/>
      <c r="M663" s="103" t="n"/>
      <c r="N663" s="103" t="n"/>
      <c r="O663" s="103" t="n"/>
      <c r="P663" s="103" t="n"/>
      <c r="Q663" s="103" t="n"/>
      <c r="R663" s="103" t="n"/>
      <c r="S663" s="103" t="n"/>
      <c r="T663" s="103" t="n"/>
      <c r="U663" s="103" t="n"/>
      <c r="V663" s="103" t="n"/>
      <c r="W663" s="103" t="n"/>
      <c r="X663" s="103" t="n"/>
      <c r="Y663" s="103" t="n"/>
      <c r="Z663" s="103" t="n"/>
      <c r="AA663" s="103" t="n"/>
      <c r="AB663" s="103" t="n"/>
      <c r="AC663" s="103" t="n"/>
      <c r="AD663" s="103" t="n"/>
      <c r="AE663" s="103" t="n"/>
      <c r="AF663" s="103" t="n"/>
      <c r="AG663" s="103" t="n"/>
      <c r="AH663" s="103" t="n"/>
      <c r="AI663" s="103" t="n"/>
      <c r="AJ663" s="103" t="n"/>
      <c r="AK663" s="103" t="n"/>
      <c r="AL663" s="103" t="n"/>
      <c r="AM663" s="103" t="n"/>
      <c r="AN663" s="103" t="n"/>
      <c r="AO663" s="103" t="n"/>
      <c r="AP663" s="103" t="n"/>
      <c r="AQ663" s="103" t="n"/>
      <c r="AR663" s="103" t="n"/>
    </row>
    <row r="666">
      <c r="A666" s="2">
        <f>IF($A659="","","   projections")</f>
        <v/>
      </c>
      <c r="B666" s="99">
        <f>IF($A659="",0,COUNT($E667:$AR667))</f>
        <v/>
      </c>
      <c r="C666" s="100">
        <f>IF($B666=0,0,MAX($E667:$AR667))</f>
        <v/>
      </c>
      <c r="D666" s="101">
        <f>BDS($A659,FLD_PROJ,"headers=y","startcol=1","endcol=3","dir=h")</f>
        <v/>
      </c>
      <c r="E666" s="102" t="n"/>
      <c r="F666" s="102" t="n"/>
      <c r="G666" s="102" t="n"/>
      <c r="H666" s="102" t="n"/>
      <c r="I666" s="102" t="n"/>
      <c r="J666" s="102" t="n"/>
      <c r="K666" s="102" t="n"/>
      <c r="L666" s="102" t="n"/>
      <c r="M666" s="102" t="n"/>
      <c r="N666" s="102" t="n"/>
      <c r="O666" s="102" t="n"/>
      <c r="P666" s="102" t="n"/>
      <c r="Q666" s="102" t="n"/>
      <c r="R666" s="102" t="n"/>
      <c r="S666" s="102" t="n"/>
      <c r="T666" s="102" t="n"/>
      <c r="U666" s="102" t="n"/>
      <c r="V666" s="102" t="n"/>
      <c r="W666" s="102" t="n"/>
      <c r="X666" s="102" t="n"/>
      <c r="Y666" s="102" t="n"/>
      <c r="Z666" s="102" t="n"/>
      <c r="AA666" s="102" t="n"/>
      <c r="AB666" s="102" t="n"/>
      <c r="AC666" s="102" t="n"/>
      <c r="AD666" s="102" t="n"/>
      <c r="AE666" s="102" t="n"/>
      <c r="AF666" s="102" t="n"/>
      <c r="AG666" s="102" t="n"/>
      <c r="AH666" s="102" t="n"/>
      <c r="AI666" s="102" t="n"/>
      <c r="AJ666" s="102" t="n"/>
      <c r="AK666" s="102" t="n"/>
      <c r="AL666" s="102" t="n"/>
      <c r="AM666" s="102" t="n"/>
      <c r="AN666" s="102" t="n"/>
      <c r="AO666" s="102" t="n"/>
      <c r="AP666" s="102" t="n"/>
      <c r="AQ666" s="102" t="n"/>
      <c r="AR666" s="102" t="n"/>
    </row>
    <row r="667">
      <c r="D667" s="102" t="n"/>
      <c r="E667" s="102" t="n"/>
      <c r="F667" s="102" t="n"/>
      <c r="G667" s="102" t="n"/>
      <c r="H667" s="102" t="n"/>
      <c r="I667" s="102" t="n"/>
      <c r="J667" s="102" t="n"/>
      <c r="K667" s="102" t="n"/>
      <c r="L667" s="102" t="n"/>
      <c r="M667" s="102" t="n"/>
      <c r="N667" s="102" t="n"/>
      <c r="O667" s="102" t="n"/>
      <c r="P667" s="102" t="n"/>
      <c r="Q667" s="102" t="n"/>
      <c r="R667" s="102" t="n"/>
      <c r="S667" s="102" t="n"/>
      <c r="T667" s="102" t="n"/>
      <c r="U667" s="102" t="n"/>
      <c r="V667" s="102" t="n"/>
      <c r="W667" s="102" t="n"/>
      <c r="X667" s="102" t="n"/>
      <c r="Y667" s="102" t="n"/>
      <c r="Z667" s="102" t="n"/>
      <c r="AA667" s="102" t="n"/>
      <c r="AB667" s="102" t="n"/>
      <c r="AC667" s="102" t="n"/>
      <c r="AD667" s="102" t="n"/>
      <c r="AE667" s="102" t="n"/>
      <c r="AF667" s="102" t="n"/>
      <c r="AG667" s="102" t="n"/>
      <c r="AH667" s="102" t="n"/>
      <c r="AI667" s="102" t="n"/>
      <c r="AJ667" s="102" t="n"/>
      <c r="AK667" s="102" t="n"/>
      <c r="AL667" s="102" t="n"/>
      <c r="AM667" s="102" t="n"/>
      <c r="AN667" s="102" t="n"/>
      <c r="AO667" s="102" t="n"/>
      <c r="AP667" s="102" t="n"/>
      <c r="AQ667" s="102" t="n"/>
      <c r="AR667" s="102" t="n"/>
    </row>
    <row r="668">
      <c r="D668" s="103" t="n"/>
      <c r="E668" s="103" t="n"/>
      <c r="F668" s="103" t="n"/>
      <c r="G668" s="103" t="n"/>
      <c r="H668" s="103" t="n"/>
      <c r="I668" s="103" t="n"/>
      <c r="J668" s="103" t="n"/>
      <c r="K668" s="103" t="n"/>
      <c r="L668" s="103" t="n"/>
      <c r="M668" s="103" t="n"/>
      <c r="N668" s="103" t="n"/>
      <c r="O668" s="103" t="n"/>
      <c r="P668" s="103" t="n"/>
      <c r="Q668" s="103" t="n"/>
      <c r="R668" s="103" t="n"/>
      <c r="S668" s="103" t="n"/>
      <c r="T668" s="103" t="n"/>
      <c r="U668" s="103" t="n"/>
      <c r="V668" s="103" t="n"/>
      <c r="W668" s="103" t="n"/>
      <c r="X668" s="103" t="n"/>
      <c r="Y668" s="103" t="n"/>
      <c r="Z668" s="103" t="n"/>
      <c r="AA668" s="103" t="n"/>
      <c r="AB668" s="103" t="n"/>
      <c r="AC668" s="103" t="n"/>
      <c r="AD668" s="103" t="n"/>
      <c r="AE668" s="103" t="n"/>
      <c r="AF668" s="103" t="n"/>
      <c r="AG668" s="103" t="n"/>
      <c r="AH668" s="103" t="n"/>
      <c r="AI668" s="103" t="n"/>
      <c r="AJ668" s="103" t="n"/>
      <c r="AK668" s="103" t="n"/>
      <c r="AL668" s="103" t="n"/>
      <c r="AM668" s="103" t="n"/>
      <c r="AN668" s="103" t="n"/>
      <c r="AO668" s="103" t="n"/>
      <c r="AP668" s="103" t="n"/>
      <c r="AQ668" s="103" t="n"/>
      <c r="AR668" s="103" t="n"/>
    </row>
    <row r="670">
      <c r="A670" s="8">
        <f>IF(HSI!$C$67="","",HSI!$C$67)</f>
        <v/>
      </c>
      <c r="B670" s="99">
        <f>IF($A670="",0,COUNT($E671:$AR671))</f>
        <v/>
      </c>
      <c r="C670" s="100">
        <f>IF($B670=0,0,MAX($E671:$AR671))</f>
        <v/>
      </c>
      <c r="D670" s="101">
        <f>BDS($A670,FLD_HIST,"headers=y","startcol=1","endcol=7","dir=h","DVD_START_DT",HIST_FROM,"DVD_END_DT",HIST_TO)</f>
        <v/>
      </c>
      <c r="E670" s="102" t="n"/>
      <c r="F670" s="102" t="n"/>
      <c r="G670" s="102" t="n"/>
      <c r="H670" s="102" t="n"/>
      <c r="I670" s="102" t="n"/>
      <c r="J670" s="102" t="n"/>
      <c r="K670" s="102" t="n"/>
      <c r="L670" s="102" t="n"/>
      <c r="M670" s="102" t="n"/>
      <c r="N670" s="102" t="n"/>
      <c r="O670" s="102" t="n"/>
      <c r="P670" s="102" t="n"/>
      <c r="Q670" s="102" t="n"/>
      <c r="R670" s="102" t="n"/>
      <c r="S670" s="102" t="n"/>
      <c r="T670" s="102" t="n"/>
      <c r="U670" s="102" t="n"/>
      <c r="V670" s="102" t="n"/>
      <c r="W670" s="102" t="n"/>
      <c r="X670" s="102" t="n"/>
      <c r="Y670" s="102" t="n"/>
      <c r="Z670" s="102" t="n"/>
      <c r="AA670" s="102" t="n"/>
      <c r="AB670" s="102" t="n"/>
      <c r="AC670" s="102" t="n"/>
      <c r="AD670" s="102" t="n"/>
      <c r="AE670" s="102" t="n"/>
      <c r="AF670" s="102" t="n"/>
      <c r="AG670" s="102" t="n"/>
      <c r="AH670" s="102" t="n"/>
      <c r="AI670" s="102" t="n"/>
      <c r="AJ670" s="102" t="n"/>
      <c r="AK670" s="102" t="n"/>
      <c r="AL670" s="102" t="n"/>
      <c r="AM670" s="102" t="n"/>
      <c r="AN670" s="102" t="n"/>
      <c r="AO670" s="102" t="n"/>
      <c r="AP670" s="102" t="n"/>
      <c r="AQ670" s="102" t="n"/>
      <c r="AR670" s="102" t="n"/>
    </row>
    <row r="671">
      <c r="D671" s="102" t="n"/>
      <c r="E671" s="102" t="n"/>
      <c r="F671" s="102" t="n"/>
      <c r="G671" s="102" t="n"/>
      <c r="H671" s="102" t="n"/>
      <c r="I671" s="102" t="n"/>
      <c r="J671" s="102" t="n"/>
      <c r="K671" s="102" t="n"/>
      <c r="L671" s="102" t="n"/>
      <c r="M671" s="102" t="n"/>
      <c r="N671" s="102" t="n"/>
      <c r="O671" s="102" t="n"/>
      <c r="P671" s="102" t="n"/>
      <c r="Q671" s="102" t="n"/>
      <c r="R671" s="102" t="n"/>
      <c r="S671" s="102" t="n"/>
      <c r="T671" s="102" t="n"/>
      <c r="U671" s="102" t="n"/>
      <c r="V671" s="102" t="n"/>
      <c r="W671" s="102" t="n"/>
      <c r="X671" s="102" t="n"/>
      <c r="Y671" s="102" t="n"/>
      <c r="Z671" s="102" t="n"/>
      <c r="AA671" s="102" t="n"/>
      <c r="AB671" s="102" t="n"/>
      <c r="AC671" s="102" t="n"/>
      <c r="AD671" s="102" t="n"/>
      <c r="AE671" s="102" t="n"/>
      <c r="AF671" s="102" t="n"/>
      <c r="AG671" s="102" t="n"/>
      <c r="AH671" s="102" t="n"/>
      <c r="AI671" s="102" t="n"/>
      <c r="AJ671" s="102" t="n"/>
      <c r="AK671" s="102" t="n"/>
      <c r="AL671" s="102" t="n"/>
      <c r="AM671" s="102" t="n"/>
      <c r="AN671" s="102" t="n"/>
      <c r="AO671" s="102" t="n"/>
      <c r="AP671" s="102" t="n"/>
      <c r="AQ671" s="102" t="n"/>
      <c r="AR671" s="102" t="n"/>
    </row>
    <row r="672">
      <c r="D672" s="102" t="n"/>
      <c r="E672" s="102" t="n"/>
      <c r="F672" s="102" t="n"/>
      <c r="G672" s="102" t="n"/>
      <c r="H672" s="102" t="n"/>
      <c r="I672" s="102" t="n"/>
      <c r="J672" s="102" t="n"/>
      <c r="K672" s="102" t="n"/>
      <c r="L672" s="102" t="n"/>
      <c r="M672" s="102" t="n"/>
      <c r="N672" s="102" t="n"/>
      <c r="O672" s="102" t="n"/>
      <c r="P672" s="102" t="n"/>
      <c r="Q672" s="102" t="n"/>
      <c r="R672" s="102" t="n"/>
      <c r="S672" s="102" t="n"/>
      <c r="T672" s="102" t="n"/>
      <c r="U672" s="102" t="n"/>
      <c r="V672" s="102" t="n"/>
      <c r="W672" s="102" t="n"/>
      <c r="X672" s="102" t="n"/>
      <c r="Y672" s="102" t="n"/>
      <c r="Z672" s="102" t="n"/>
      <c r="AA672" s="102" t="n"/>
      <c r="AB672" s="102" t="n"/>
      <c r="AC672" s="102" t="n"/>
      <c r="AD672" s="102" t="n"/>
      <c r="AE672" s="102" t="n"/>
      <c r="AF672" s="102" t="n"/>
      <c r="AG672" s="102" t="n"/>
      <c r="AH672" s="102" t="n"/>
      <c r="AI672" s="102" t="n"/>
      <c r="AJ672" s="102" t="n"/>
      <c r="AK672" s="102" t="n"/>
      <c r="AL672" s="102" t="n"/>
      <c r="AM672" s="102" t="n"/>
      <c r="AN672" s="102" t="n"/>
      <c r="AO672" s="102" t="n"/>
      <c r="AP672" s="102" t="n"/>
      <c r="AQ672" s="102" t="n"/>
      <c r="AR672" s="102" t="n"/>
    </row>
    <row r="673">
      <c r="D673" s="102" t="n"/>
      <c r="E673" s="102" t="n"/>
      <c r="F673" s="102" t="n"/>
      <c r="G673" s="102" t="n"/>
      <c r="H673" s="102" t="n"/>
      <c r="I673" s="102" t="n"/>
      <c r="J673" s="102" t="n"/>
      <c r="K673" s="102" t="n"/>
      <c r="L673" s="102" t="n"/>
      <c r="M673" s="102" t="n"/>
      <c r="N673" s="102" t="n"/>
      <c r="O673" s="102" t="n"/>
      <c r="P673" s="102" t="n"/>
      <c r="Q673" s="102" t="n"/>
      <c r="R673" s="102" t="n"/>
      <c r="S673" s="102" t="n"/>
      <c r="T673" s="102" t="n"/>
      <c r="U673" s="102" t="n"/>
      <c r="V673" s="102" t="n"/>
      <c r="W673" s="102" t="n"/>
      <c r="X673" s="102" t="n"/>
      <c r="Y673" s="102" t="n"/>
      <c r="Z673" s="102" t="n"/>
      <c r="AA673" s="102" t="n"/>
      <c r="AB673" s="102" t="n"/>
      <c r="AC673" s="102" t="n"/>
      <c r="AD673" s="102" t="n"/>
      <c r="AE673" s="102" t="n"/>
      <c r="AF673" s="102" t="n"/>
      <c r="AG673" s="102" t="n"/>
      <c r="AH673" s="102" t="n"/>
      <c r="AI673" s="102" t="n"/>
      <c r="AJ673" s="102" t="n"/>
      <c r="AK673" s="102" t="n"/>
      <c r="AL673" s="102" t="n"/>
      <c r="AM673" s="102" t="n"/>
      <c r="AN673" s="102" t="n"/>
      <c r="AO673" s="102" t="n"/>
      <c r="AP673" s="102" t="n"/>
      <c r="AQ673" s="102" t="n"/>
      <c r="AR673" s="102" t="n"/>
    </row>
    <row r="674">
      <c r="D674" s="103" t="n"/>
      <c r="E674" s="103" t="n"/>
      <c r="F674" s="103" t="n"/>
      <c r="G674" s="103" t="n"/>
      <c r="H674" s="103" t="n"/>
      <c r="I674" s="103" t="n"/>
      <c r="J674" s="103" t="n"/>
      <c r="K674" s="103" t="n"/>
      <c r="L674" s="103" t="n"/>
      <c r="M674" s="103" t="n"/>
      <c r="N674" s="103" t="n"/>
      <c r="O674" s="103" t="n"/>
      <c r="P674" s="103" t="n"/>
      <c r="Q674" s="103" t="n"/>
      <c r="R674" s="103" t="n"/>
      <c r="S674" s="103" t="n"/>
      <c r="T674" s="103" t="n"/>
      <c r="U674" s="103" t="n"/>
      <c r="V674" s="103" t="n"/>
      <c r="W674" s="103" t="n"/>
      <c r="X674" s="103" t="n"/>
      <c r="Y674" s="103" t="n"/>
      <c r="Z674" s="103" t="n"/>
      <c r="AA674" s="103" t="n"/>
      <c r="AB674" s="103" t="n"/>
      <c r="AC674" s="103" t="n"/>
      <c r="AD674" s="103" t="n"/>
      <c r="AE674" s="103" t="n"/>
      <c r="AF674" s="103" t="n"/>
      <c r="AG674" s="103" t="n"/>
      <c r="AH674" s="103" t="n"/>
      <c r="AI674" s="103" t="n"/>
      <c r="AJ674" s="103" t="n"/>
      <c r="AK674" s="103" t="n"/>
      <c r="AL674" s="103" t="n"/>
      <c r="AM674" s="103" t="n"/>
      <c r="AN674" s="103" t="n"/>
      <c r="AO674" s="103" t="n"/>
      <c r="AP674" s="103" t="n"/>
      <c r="AQ674" s="103" t="n"/>
      <c r="AR674" s="103" t="n"/>
    </row>
    <row r="677">
      <c r="A677" s="2">
        <f>IF($A670="","","   projections")</f>
        <v/>
      </c>
      <c r="B677" s="99">
        <f>IF($A670="",0,COUNT($E678:$AR678))</f>
        <v/>
      </c>
      <c r="C677" s="100">
        <f>IF($B677=0,0,MAX($E678:$AR678))</f>
        <v/>
      </c>
      <c r="D677" s="101">
        <f>BDS($A670,FLD_PROJ,"headers=y","startcol=1","endcol=3","dir=h")</f>
        <v/>
      </c>
      <c r="E677" s="102" t="n"/>
      <c r="F677" s="102" t="n"/>
      <c r="G677" s="102" t="n"/>
      <c r="H677" s="102" t="n"/>
      <c r="I677" s="102" t="n"/>
      <c r="J677" s="102" t="n"/>
      <c r="K677" s="102" t="n"/>
      <c r="L677" s="102" t="n"/>
      <c r="M677" s="102" t="n"/>
      <c r="N677" s="102" t="n"/>
      <c r="O677" s="102" t="n"/>
      <c r="P677" s="102" t="n"/>
      <c r="Q677" s="102" t="n"/>
      <c r="R677" s="102" t="n"/>
      <c r="S677" s="102" t="n"/>
      <c r="T677" s="102" t="n"/>
      <c r="U677" s="102" t="n"/>
      <c r="V677" s="102" t="n"/>
      <c r="W677" s="102" t="n"/>
      <c r="X677" s="102" t="n"/>
      <c r="Y677" s="102" t="n"/>
      <c r="Z677" s="102" t="n"/>
      <c r="AA677" s="102" t="n"/>
      <c r="AB677" s="102" t="n"/>
      <c r="AC677" s="102" t="n"/>
      <c r="AD677" s="102" t="n"/>
      <c r="AE677" s="102" t="n"/>
      <c r="AF677" s="102" t="n"/>
      <c r="AG677" s="102" t="n"/>
      <c r="AH677" s="102" t="n"/>
      <c r="AI677" s="102" t="n"/>
      <c r="AJ677" s="102" t="n"/>
      <c r="AK677" s="102" t="n"/>
      <c r="AL677" s="102" t="n"/>
      <c r="AM677" s="102" t="n"/>
      <c r="AN677" s="102" t="n"/>
      <c r="AO677" s="102" t="n"/>
      <c r="AP677" s="102" t="n"/>
      <c r="AQ677" s="102" t="n"/>
      <c r="AR677" s="102" t="n"/>
    </row>
    <row r="678">
      <c r="D678" s="102" t="n"/>
      <c r="E678" s="102" t="n"/>
      <c r="F678" s="102" t="n"/>
      <c r="G678" s="102" t="n"/>
      <c r="H678" s="102" t="n"/>
      <c r="I678" s="102" t="n"/>
      <c r="J678" s="102" t="n"/>
      <c r="K678" s="102" t="n"/>
      <c r="L678" s="102" t="n"/>
      <c r="M678" s="102" t="n"/>
      <c r="N678" s="102" t="n"/>
      <c r="O678" s="102" t="n"/>
      <c r="P678" s="102" t="n"/>
      <c r="Q678" s="102" t="n"/>
      <c r="R678" s="102" t="n"/>
      <c r="S678" s="102" t="n"/>
      <c r="T678" s="102" t="n"/>
      <c r="U678" s="102" t="n"/>
      <c r="V678" s="102" t="n"/>
      <c r="W678" s="102" t="n"/>
      <c r="X678" s="102" t="n"/>
      <c r="Y678" s="102" t="n"/>
      <c r="Z678" s="102" t="n"/>
      <c r="AA678" s="102" t="n"/>
      <c r="AB678" s="102" t="n"/>
      <c r="AC678" s="102" t="n"/>
      <c r="AD678" s="102" t="n"/>
      <c r="AE678" s="102" t="n"/>
      <c r="AF678" s="102" t="n"/>
      <c r="AG678" s="102" t="n"/>
      <c r="AH678" s="102" t="n"/>
      <c r="AI678" s="102" t="n"/>
      <c r="AJ678" s="102" t="n"/>
      <c r="AK678" s="102" t="n"/>
      <c r="AL678" s="102" t="n"/>
      <c r="AM678" s="102" t="n"/>
      <c r="AN678" s="102" t="n"/>
      <c r="AO678" s="102" t="n"/>
      <c r="AP678" s="102" t="n"/>
      <c r="AQ678" s="102" t="n"/>
      <c r="AR678" s="102" t="n"/>
    </row>
    <row r="679">
      <c r="D679" s="103" t="n"/>
      <c r="E679" s="103" t="n"/>
      <c r="F679" s="103" t="n"/>
      <c r="G679" s="103" t="n"/>
      <c r="H679" s="103" t="n"/>
      <c r="I679" s="103" t="n"/>
      <c r="J679" s="103" t="n"/>
      <c r="K679" s="103" t="n"/>
      <c r="L679" s="103" t="n"/>
      <c r="M679" s="103" t="n"/>
      <c r="N679" s="103" t="n"/>
      <c r="O679" s="103" t="n"/>
      <c r="P679" s="103" t="n"/>
      <c r="Q679" s="103" t="n"/>
      <c r="R679" s="103" t="n"/>
      <c r="S679" s="103" t="n"/>
      <c r="T679" s="103" t="n"/>
      <c r="U679" s="103" t="n"/>
      <c r="V679" s="103" t="n"/>
      <c r="W679" s="103" t="n"/>
      <c r="X679" s="103" t="n"/>
      <c r="Y679" s="103" t="n"/>
      <c r="Z679" s="103" t="n"/>
      <c r="AA679" s="103" t="n"/>
      <c r="AB679" s="103" t="n"/>
      <c r="AC679" s="103" t="n"/>
      <c r="AD679" s="103" t="n"/>
      <c r="AE679" s="103" t="n"/>
      <c r="AF679" s="103" t="n"/>
      <c r="AG679" s="103" t="n"/>
      <c r="AH679" s="103" t="n"/>
      <c r="AI679" s="103" t="n"/>
      <c r="AJ679" s="103" t="n"/>
      <c r="AK679" s="103" t="n"/>
      <c r="AL679" s="103" t="n"/>
      <c r="AM679" s="103" t="n"/>
      <c r="AN679" s="103" t="n"/>
      <c r="AO679" s="103" t="n"/>
      <c r="AP679" s="103" t="n"/>
      <c r="AQ679" s="103" t="n"/>
      <c r="AR679" s="103" t="n"/>
    </row>
    <row r="681">
      <c r="A681" s="8">
        <f>IF(HSI!$C$68="","",HSI!$C$68)</f>
        <v/>
      </c>
      <c r="B681" s="99">
        <f>IF($A681="",0,COUNT($E682:$AR682))</f>
        <v/>
      </c>
      <c r="C681" s="100">
        <f>IF($B681=0,0,MAX($E682:$AR682))</f>
        <v/>
      </c>
      <c r="D681" s="101">
        <f>BDS($A681,FLD_HIST,"headers=y","startcol=1","endcol=7","dir=h","DVD_START_DT",HIST_FROM,"DVD_END_DT",HIST_TO)</f>
        <v/>
      </c>
      <c r="E681" s="102" t="n"/>
      <c r="F681" s="102" t="n"/>
      <c r="G681" s="102" t="n"/>
      <c r="H681" s="102" t="n"/>
      <c r="I681" s="102" t="n"/>
      <c r="J681" s="102" t="n"/>
      <c r="K681" s="102" t="n"/>
      <c r="L681" s="102" t="n"/>
      <c r="M681" s="102" t="n"/>
      <c r="N681" s="102" t="n"/>
      <c r="O681" s="102" t="n"/>
      <c r="P681" s="102" t="n"/>
      <c r="Q681" s="102" t="n"/>
      <c r="R681" s="102" t="n"/>
      <c r="S681" s="102" t="n"/>
      <c r="T681" s="102" t="n"/>
      <c r="U681" s="102" t="n"/>
      <c r="V681" s="102" t="n"/>
      <c r="W681" s="102" t="n"/>
      <c r="X681" s="102" t="n"/>
      <c r="Y681" s="102" t="n"/>
      <c r="Z681" s="102" t="n"/>
      <c r="AA681" s="102" t="n"/>
      <c r="AB681" s="102" t="n"/>
      <c r="AC681" s="102" t="n"/>
      <c r="AD681" s="102" t="n"/>
      <c r="AE681" s="102" t="n"/>
      <c r="AF681" s="102" t="n"/>
      <c r="AG681" s="102" t="n"/>
      <c r="AH681" s="102" t="n"/>
      <c r="AI681" s="102" t="n"/>
      <c r="AJ681" s="102" t="n"/>
      <c r="AK681" s="102" t="n"/>
      <c r="AL681" s="102" t="n"/>
      <c r="AM681" s="102" t="n"/>
      <c r="AN681" s="102" t="n"/>
      <c r="AO681" s="102" t="n"/>
      <c r="AP681" s="102" t="n"/>
      <c r="AQ681" s="102" t="n"/>
      <c r="AR681" s="102" t="n"/>
    </row>
    <row r="682">
      <c r="D682" s="102" t="n"/>
      <c r="E682" s="102" t="n"/>
      <c r="F682" s="102" t="n"/>
      <c r="G682" s="102" t="n"/>
      <c r="H682" s="102" t="n"/>
      <c r="I682" s="102" t="n"/>
      <c r="J682" s="102" t="n"/>
      <c r="K682" s="102" t="n"/>
      <c r="L682" s="102" t="n"/>
      <c r="M682" s="102" t="n"/>
      <c r="N682" s="102" t="n"/>
      <c r="O682" s="102" t="n"/>
      <c r="P682" s="102" t="n"/>
      <c r="Q682" s="102" t="n"/>
      <c r="R682" s="102" t="n"/>
      <c r="S682" s="102" t="n"/>
      <c r="T682" s="102" t="n"/>
      <c r="U682" s="102" t="n"/>
      <c r="V682" s="102" t="n"/>
      <c r="W682" s="102" t="n"/>
      <c r="X682" s="102" t="n"/>
      <c r="Y682" s="102" t="n"/>
      <c r="Z682" s="102" t="n"/>
      <c r="AA682" s="102" t="n"/>
      <c r="AB682" s="102" t="n"/>
      <c r="AC682" s="102" t="n"/>
      <c r="AD682" s="102" t="n"/>
      <c r="AE682" s="102" t="n"/>
      <c r="AF682" s="102" t="n"/>
      <c r="AG682" s="102" t="n"/>
      <c r="AH682" s="102" t="n"/>
      <c r="AI682" s="102" t="n"/>
      <c r="AJ682" s="102" t="n"/>
      <c r="AK682" s="102" t="n"/>
      <c r="AL682" s="102" t="n"/>
      <c r="AM682" s="102" t="n"/>
      <c r="AN682" s="102" t="n"/>
      <c r="AO682" s="102" t="n"/>
      <c r="AP682" s="102" t="n"/>
      <c r="AQ682" s="102" t="n"/>
      <c r="AR682" s="102" t="n"/>
    </row>
    <row r="683">
      <c r="D683" s="102" t="n"/>
      <c r="E683" s="102" t="n"/>
      <c r="F683" s="102" t="n"/>
      <c r="G683" s="102" t="n"/>
      <c r="H683" s="102" t="n"/>
      <c r="I683" s="102" t="n"/>
      <c r="J683" s="102" t="n"/>
      <c r="K683" s="102" t="n"/>
      <c r="L683" s="102" t="n"/>
      <c r="M683" s="102" t="n"/>
      <c r="N683" s="102" t="n"/>
      <c r="O683" s="102" t="n"/>
      <c r="P683" s="102" t="n"/>
      <c r="Q683" s="102" t="n"/>
      <c r="R683" s="102" t="n"/>
      <c r="S683" s="102" t="n"/>
      <c r="T683" s="102" t="n"/>
      <c r="U683" s="102" t="n"/>
      <c r="V683" s="102" t="n"/>
      <c r="W683" s="102" t="n"/>
      <c r="X683" s="102" t="n"/>
      <c r="Y683" s="102" t="n"/>
      <c r="Z683" s="102" t="n"/>
      <c r="AA683" s="102" t="n"/>
      <c r="AB683" s="102" t="n"/>
      <c r="AC683" s="102" t="n"/>
      <c r="AD683" s="102" t="n"/>
      <c r="AE683" s="102" t="n"/>
      <c r="AF683" s="102" t="n"/>
      <c r="AG683" s="102" t="n"/>
      <c r="AH683" s="102" t="n"/>
      <c r="AI683" s="102" t="n"/>
      <c r="AJ683" s="102" t="n"/>
      <c r="AK683" s="102" t="n"/>
      <c r="AL683" s="102" t="n"/>
      <c r="AM683" s="102" t="n"/>
      <c r="AN683" s="102" t="n"/>
      <c r="AO683" s="102" t="n"/>
      <c r="AP683" s="102" t="n"/>
      <c r="AQ683" s="102" t="n"/>
      <c r="AR683" s="102" t="n"/>
    </row>
    <row r="684">
      <c r="D684" s="102" t="n"/>
      <c r="E684" s="102" t="n"/>
      <c r="F684" s="102" t="n"/>
      <c r="G684" s="102" t="n"/>
      <c r="H684" s="102" t="n"/>
      <c r="I684" s="102" t="n"/>
      <c r="J684" s="102" t="n"/>
      <c r="K684" s="102" t="n"/>
      <c r="L684" s="102" t="n"/>
      <c r="M684" s="102" t="n"/>
      <c r="N684" s="102" t="n"/>
      <c r="O684" s="102" t="n"/>
      <c r="P684" s="102" t="n"/>
      <c r="Q684" s="102" t="n"/>
      <c r="R684" s="102" t="n"/>
      <c r="S684" s="102" t="n"/>
      <c r="T684" s="102" t="n"/>
      <c r="U684" s="102" t="n"/>
      <c r="V684" s="102" t="n"/>
      <c r="W684" s="102" t="n"/>
      <c r="X684" s="102" t="n"/>
      <c r="Y684" s="102" t="n"/>
      <c r="Z684" s="102" t="n"/>
      <c r="AA684" s="102" t="n"/>
      <c r="AB684" s="102" t="n"/>
      <c r="AC684" s="102" t="n"/>
      <c r="AD684" s="102" t="n"/>
      <c r="AE684" s="102" t="n"/>
      <c r="AF684" s="102" t="n"/>
      <c r="AG684" s="102" t="n"/>
      <c r="AH684" s="102" t="n"/>
      <c r="AI684" s="102" t="n"/>
      <c r="AJ684" s="102" t="n"/>
      <c r="AK684" s="102" t="n"/>
      <c r="AL684" s="102" t="n"/>
      <c r="AM684" s="102" t="n"/>
      <c r="AN684" s="102" t="n"/>
      <c r="AO684" s="102" t="n"/>
      <c r="AP684" s="102" t="n"/>
      <c r="AQ684" s="102" t="n"/>
      <c r="AR684" s="102" t="n"/>
    </row>
    <row r="685">
      <c r="D685" s="103" t="n"/>
      <c r="E685" s="103" t="n"/>
      <c r="F685" s="103" t="n"/>
      <c r="G685" s="103" t="n"/>
      <c r="H685" s="103" t="n"/>
      <c r="I685" s="103" t="n"/>
      <c r="J685" s="103" t="n"/>
      <c r="K685" s="103" t="n"/>
      <c r="L685" s="103" t="n"/>
      <c r="M685" s="103" t="n"/>
      <c r="N685" s="103" t="n"/>
      <c r="O685" s="103" t="n"/>
      <c r="P685" s="103" t="n"/>
      <c r="Q685" s="103" t="n"/>
      <c r="R685" s="103" t="n"/>
      <c r="S685" s="103" t="n"/>
      <c r="T685" s="103" t="n"/>
      <c r="U685" s="103" t="n"/>
      <c r="V685" s="103" t="n"/>
      <c r="W685" s="103" t="n"/>
      <c r="X685" s="103" t="n"/>
      <c r="Y685" s="103" t="n"/>
      <c r="Z685" s="103" t="n"/>
      <c r="AA685" s="103" t="n"/>
      <c r="AB685" s="103" t="n"/>
      <c r="AC685" s="103" t="n"/>
      <c r="AD685" s="103" t="n"/>
      <c r="AE685" s="103" t="n"/>
      <c r="AF685" s="103" t="n"/>
      <c r="AG685" s="103" t="n"/>
      <c r="AH685" s="103" t="n"/>
      <c r="AI685" s="103" t="n"/>
      <c r="AJ685" s="103" t="n"/>
      <c r="AK685" s="103" t="n"/>
      <c r="AL685" s="103" t="n"/>
      <c r="AM685" s="103" t="n"/>
      <c r="AN685" s="103" t="n"/>
      <c r="AO685" s="103" t="n"/>
      <c r="AP685" s="103" t="n"/>
      <c r="AQ685" s="103" t="n"/>
      <c r="AR685" s="103" t="n"/>
    </row>
    <row r="688">
      <c r="A688" s="2">
        <f>IF($A681="","","   projections")</f>
        <v/>
      </c>
      <c r="B688" s="99">
        <f>IF($A681="",0,COUNT($E689:$AR689))</f>
        <v/>
      </c>
      <c r="C688" s="100">
        <f>IF($B688=0,0,MAX($E689:$AR689))</f>
        <v/>
      </c>
      <c r="D688" s="101">
        <f>BDS($A681,FLD_PROJ,"headers=y","startcol=1","endcol=3","dir=h")</f>
        <v/>
      </c>
      <c r="E688" s="102" t="n"/>
      <c r="F688" s="102" t="n"/>
      <c r="G688" s="102" t="n"/>
      <c r="H688" s="102" t="n"/>
      <c r="I688" s="102" t="n"/>
      <c r="J688" s="102" t="n"/>
      <c r="K688" s="102" t="n"/>
      <c r="L688" s="102" t="n"/>
      <c r="M688" s="102" t="n"/>
      <c r="N688" s="102" t="n"/>
      <c r="O688" s="102" t="n"/>
      <c r="P688" s="102" t="n"/>
      <c r="Q688" s="102" t="n"/>
      <c r="R688" s="102" t="n"/>
      <c r="S688" s="102" t="n"/>
      <c r="T688" s="102" t="n"/>
      <c r="U688" s="102" t="n"/>
      <c r="V688" s="102" t="n"/>
      <c r="W688" s="102" t="n"/>
      <c r="X688" s="102" t="n"/>
      <c r="Y688" s="102" t="n"/>
      <c r="Z688" s="102" t="n"/>
      <c r="AA688" s="102" t="n"/>
      <c r="AB688" s="102" t="n"/>
      <c r="AC688" s="102" t="n"/>
      <c r="AD688" s="102" t="n"/>
      <c r="AE688" s="102" t="n"/>
      <c r="AF688" s="102" t="n"/>
      <c r="AG688" s="102" t="n"/>
      <c r="AH688" s="102" t="n"/>
      <c r="AI688" s="102" t="n"/>
      <c r="AJ688" s="102" t="n"/>
      <c r="AK688" s="102" t="n"/>
      <c r="AL688" s="102" t="n"/>
      <c r="AM688" s="102" t="n"/>
      <c r="AN688" s="102" t="n"/>
      <c r="AO688" s="102" t="n"/>
      <c r="AP688" s="102" t="n"/>
      <c r="AQ688" s="102" t="n"/>
      <c r="AR688" s="102" t="n"/>
    </row>
    <row r="689">
      <c r="D689" s="102" t="n"/>
      <c r="E689" s="102" t="n"/>
      <c r="F689" s="102" t="n"/>
      <c r="G689" s="102" t="n"/>
      <c r="H689" s="102" t="n"/>
      <c r="I689" s="102" t="n"/>
      <c r="J689" s="102" t="n"/>
      <c r="K689" s="102" t="n"/>
      <c r="L689" s="102" t="n"/>
      <c r="M689" s="102" t="n"/>
      <c r="N689" s="102" t="n"/>
      <c r="O689" s="102" t="n"/>
      <c r="P689" s="102" t="n"/>
      <c r="Q689" s="102" t="n"/>
      <c r="R689" s="102" t="n"/>
      <c r="S689" s="102" t="n"/>
      <c r="T689" s="102" t="n"/>
      <c r="U689" s="102" t="n"/>
      <c r="V689" s="102" t="n"/>
      <c r="W689" s="102" t="n"/>
      <c r="X689" s="102" t="n"/>
      <c r="Y689" s="102" t="n"/>
      <c r="Z689" s="102" t="n"/>
      <c r="AA689" s="102" t="n"/>
      <c r="AB689" s="102" t="n"/>
      <c r="AC689" s="102" t="n"/>
      <c r="AD689" s="102" t="n"/>
      <c r="AE689" s="102" t="n"/>
      <c r="AF689" s="102" t="n"/>
      <c r="AG689" s="102" t="n"/>
      <c r="AH689" s="102" t="n"/>
      <c r="AI689" s="102" t="n"/>
      <c r="AJ689" s="102" t="n"/>
      <c r="AK689" s="102" t="n"/>
      <c r="AL689" s="102" t="n"/>
      <c r="AM689" s="102" t="n"/>
      <c r="AN689" s="102" t="n"/>
      <c r="AO689" s="102" t="n"/>
      <c r="AP689" s="102" t="n"/>
      <c r="AQ689" s="102" t="n"/>
      <c r="AR689" s="102" t="n"/>
    </row>
    <row r="690">
      <c r="D690" s="103" t="n"/>
      <c r="E690" s="103" t="n"/>
      <c r="F690" s="103" t="n"/>
      <c r="G690" s="103" t="n"/>
      <c r="H690" s="103" t="n"/>
      <c r="I690" s="103" t="n"/>
      <c r="J690" s="103" t="n"/>
      <c r="K690" s="103" t="n"/>
      <c r="L690" s="103" t="n"/>
      <c r="M690" s="103" t="n"/>
      <c r="N690" s="103" t="n"/>
      <c r="O690" s="103" t="n"/>
      <c r="P690" s="103" t="n"/>
      <c r="Q690" s="103" t="n"/>
      <c r="R690" s="103" t="n"/>
      <c r="S690" s="103" t="n"/>
      <c r="T690" s="103" t="n"/>
      <c r="U690" s="103" t="n"/>
      <c r="V690" s="103" t="n"/>
      <c r="W690" s="103" t="n"/>
      <c r="X690" s="103" t="n"/>
      <c r="Y690" s="103" t="n"/>
      <c r="Z690" s="103" t="n"/>
      <c r="AA690" s="103" t="n"/>
      <c r="AB690" s="103" t="n"/>
      <c r="AC690" s="103" t="n"/>
      <c r="AD690" s="103" t="n"/>
      <c r="AE690" s="103" t="n"/>
      <c r="AF690" s="103" t="n"/>
      <c r="AG690" s="103" t="n"/>
      <c r="AH690" s="103" t="n"/>
      <c r="AI690" s="103" t="n"/>
      <c r="AJ690" s="103" t="n"/>
      <c r="AK690" s="103" t="n"/>
      <c r="AL690" s="103" t="n"/>
      <c r="AM690" s="103" t="n"/>
      <c r="AN690" s="103" t="n"/>
      <c r="AO690" s="103" t="n"/>
      <c r="AP690" s="103" t="n"/>
      <c r="AQ690" s="103" t="n"/>
      <c r="AR690" s="103" t="n"/>
    </row>
    <row r="692">
      <c r="A692" s="8">
        <f>IF(HSI!$C$69="","",HSI!$C$69)</f>
        <v/>
      </c>
      <c r="B692" s="99">
        <f>IF($A692="",0,COUNT($E693:$AR693))</f>
        <v/>
      </c>
      <c r="C692" s="100">
        <f>IF($B692=0,0,MAX($E693:$AR693))</f>
        <v/>
      </c>
      <c r="D692" s="101">
        <f>BDS($A692,FLD_HIST,"headers=y","startcol=1","endcol=7","dir=h","DVD_START_DT",HIST_FROM,"DVD_END_DT",HIST_TO)</f>
        <v/>
      </c>
      <c r="E692" s="102" t="n"/>
      <c r="F692" s="102" t="n"/>
      <c r="G692" s="102" t="n"/>
      <c r="H692" s="102" t="n"/>
      <c r="I692" s="102" t="n"/>
      <c r="J692" s="102" t="n"/>
      <c r="K692" s="102" t="n"/>
      <c r="L692" s="102" t="n"/>
      <c r="M692" s="102" t="n"/>
      <c r="N692" s="102" t="n"/>
      <c r="O692" s="102" t="n"/>
      <c r="P692" s="102" t="n"/>
      <c r="Q692" s="102" t="n"/>
      <c r="R692" s="102" t="n"/>
      <c r="S692" s="102" t="n"/>
      <c r="T692" s="102" t="n"/>
      <c r="U692" s="102" t="n"/>
      <c r="V692" s="102" t="n"/>
      <c r="W692" s="102" t="n"/>
      <c r="X692" s="102" t="n"/>
      <c r="Y692" s="102" t="n"/>
      <c r="Z692" s="102" t="n"/>
      <c r="AA692" s="102" t="n"/>
      <c r="AB692" s="102" t="n"/>
      <c r="AC692" s="102" t="n"/>
      <c r="AD692" s="102" t="n"/>
      <c r="AE692" s="102" t="n"/>
      <c r="AF692" s="102" t="n"/>
      <c r="AG692" s="102" t="n"/>
      <c r="AH692" s="102" t="n"/>
      <c r="AI692" s="102" t="n"/>
      <c r="AJ692" s="102" t="n"/>
      <c r="AK692" s="102" t="n"/>
      <c r="AL692" s="102" t="n"/>
      <c r="AM692" s="102" t="n"/>
      <c r="AN692" s="102" t="n"/>
      <c r="AO692" s="102" t="n"/>
      <c r="AP692" s="102" t="n"/>
      <c r="AQ692" s="102" t="n"/>
      <c r="AR692" s="102" t="n"/>
    </row>
    <row r="693">
      <c r="D693" s="102" t="n"/>
      <c r="E693" s="102" t="n"/>
      <c r="F693" s="102" t="n"/>
      <c r="G693" s="102" t="n"/>
      <c r="H693" s="102" t="n"/>
      <c r="I693" s="102" t="n"/>
      <c r="J693" s="102" t="n"/>
      <c r="K693" s="102" t="n"/>
      <c r="L693" s="102" t="n"/>
      <c r="M693" s="102" t="n"/>
      <c r="N693" s="102" t="n"/>
      <c r="O693" s="102" t="n"/>
      <c r="P693" s="102" t="n"/>
      <c r="Q693" s="102" t="n"/>
      <c r="R693" s="102" t="n"/>
      <c r="S693" s="102" t="n"/>
      <c r="T693" s="102" t="n"/>
      <c r="U693" s="102" t="n"/>
      <c r="V693" s="102" t="n"/>
      <c r="W693" s="102" t="n"/>
      <c r="X693" s="102" t="n"/>
      <c r="Y693" s="102" t="n"/>
      <c r="Z693" s="102" t="n"/>
      <c r="AA693" s="102" t="n"/>
      <c r="AB693" s="102" t="n"/>
      <c r="AC693" s="102" t="n"/>
      <c r="AD693" s="102" t="n"/>
      <c r="AE693" s="102" t="n"/>
      <c r="AF693" s="102" t="n"/>
      <c r="AG693" s="102" t="n"/>
      <c r="AH693" s="102" t="n"/>
      <c r="AI693" s="102" t="n"/>
      <c r="AJ693" s="102" t="n"/>
      <c r="AK693" s="102" t="n"/>
      <c r="AL693" s="102" t="n"/>
      <c r="AM693" s="102" t="n"/>
      <c r="AN693" s="102" t="n"/>
      <c r="AO693" s="102" t="n"/>
      <c r="AP693" s="102" t="n"/>
      <c r="AQ693" s="102" t="n"/>
      <c r="AR693" s="102" t="n"/>
    </row>
    <row r="694">
      <c r="D694" s="102" t="n"/>
      <c r="E694" s="102" t="n"/>
      <c r="F694" s="102" t="n"/>
      <c r="G694" s="102" t="n"/>
      <c r="H694" s="102" t="n"/>
      <c r="I694" s="102" t="n"/>
      <c r="J694" s="102" t="n"/>
      <c r="K694" s="102" t="n"/>
      <c r="L694" s="102" t="n"/>
      <c r="M694" s="102" t="n"/>
      <c r="N694" s="102" t="n"/>
      <c r="O694" s="102" t="n"/>
      <c r="P694" s="102" t="n"/>
      <c r="Q694" s="102" t="n"/>
      <c r="R694" s="102" t="n"/>
      <c r="S694" s="102" t="n"/>
      <c r="T694" s="102" t="n"/>
      <c r="U694" s="102" t="n"/>
      <c r="V694" s="102" t="n"/>
      <c r="W694" s="102" t="n"/>
      <c r="X694" s="102" t="n"/>
      <c r="Y694" s="102" t="n"/>
      <c r="Z694" s="102" t="n"/>
      <c r="AA694" s="102" t="n"/>
      <c r="AB694" s="102" t="n"/>
      <c r="AC694" s="102" t="n"/>
      <c r="AD694" s="102" t="n"/>
      <c r="AE694" s="102" t="n"/>
      <c r="AF694" s="102" t="n"/>
      <c r="AG694" s="102" t="n"/>
      <c r="AH694" s="102" t="n"/>
      <c r="AI694" s="102" t="n"/>
      <c r="AJ694" s="102" t="n"/>
      <c r="AK694" s="102" t="n"/>
      <c r="AL694" s="102" t="n"/>
      <c r="AM694" s="102" t="n"/>
      <c r="AN694" s="102" t="n"/>
      <c r="AO694" s="102" t="n"/>
      <c r="AP694" s="102" t="n"/>
      <c r="AQ694" s="102" t="n"/>
      <c r="AR694" s="102" t="n"/>
    </row>
    <row r="695">
      <c r="D695" s="102" t="n"/>
      <c r="E695" s="102" t="n"/>
      <c r="F695" s="102" t="n"/>
      <c r="G695" s="102" t="n"/>
      <c r="H695" s="102" t="n"/>
      <c r="I695" s="102" t="n"/>
      <c r="J695" s="102" t="n"/>
      <c r="K695" s="102" t="n"/>
      <c r="L695" s="102" t="n"/>
      <c r="M695" s="102" t="n"/>
      <c r="N695" s="102" t="n"/>
      <c r="O695" s="102" t="n"/>
      <c r="P695" s="102" t="n"/>
      <c r="Q695" s="102" t="n"/>
      <c r="R695" s="102" t="n"/>
      <c r="S695" s="102" t="n"/>
      <c r="T695" s="102" t="n"/>
      <c r="U695" s="102" t="n"/>
      <c r="V695" s="102" t="n"/>
      <c r="W695" s="102" t="n"/>
      <c r="X695" s="102" t="n"/>
      <c r="Y695" s="102" t="n"/>
      <c r="Z695" s="102" t="n"/>
      <c r="AA695" s="102" t="n"/>
      <c r="AB695" s="102" t="n"/>
      <c r="AC695" s="102" t="n"/>
      <c r="AD695" s="102" t="n"/>
      <c r="AE695" s="102" t="n"/>
      <c r="AF695" s="102" t="n"/>
      <c r="AG695" s="102" t="n"/>
      <c r="AH695" s="102" t="n"/>
      <c r="AI695" s="102" t="n"/>
      <c r="AJ695" s="102" t="n"/>
      <c r="AK695" s="102" t="n"/>
      <c r="AL695" s="102" t="n"/>
      <c r="AM695" s="102" t="n"/>
      <c r="AN695" s="102" t="n"/>
      <c r="AO695" s="102" t="n"/>
      <c r="AP695" s="102" t="n"/>
      <c r="AQ695" s="102" t="n"/>
      <c r="AR695" s="102" t="n"/>
    </row>
    <row r="696">
      <c r="D696" s="103" t="n"/>
      <c r="E696" s="103" t="n"/>
      <c r="F696" s="103" t="n"/>
      <c r="G696" s="103" t="n"/>
      <c r="H696" s="103" t="n"/>
      <c r="I696" s="103" t="n"/>
      <c r="J696" s="103" t="n"/>
      <c r="K696" s="103" t="n"/>
      <c r="L696" s="103" t="n"/>
      <c r="M696" s="103" t="n"/>
      <c r="N696" s="103" t="n"/>
      <c r="O696" s="103" t="n"/>
      <c r="P696" s="103" t="n"/>
      <c r="Q696" s="103" t="n"/>
      <c r="R696" s="103" t="n"/>
      <c r="S696" s="103" t="n"/>
      <c r="T696" s="103" t="n"/>
      <c r="U696" s="103" t="n"/>
      <c r="V696" s="103" t="n"/>
      <c r="W696" s="103" t="n"/>
      <c r="X696" s="103" t="n"/>
      <c r="Y696" s="103" t="n"/>
      <c r="Z696" s="103" t="n"/>
      <c r="AA696" s="103" t="n"/>
      <c r="AB696" s="103" t="n"/>
      <c r="AC696" s="103" t="n"/>
      <c r="AD696" s="103" t="n"/>
      <c r="AE696" s="103" t="n"/>
      <c r="AF696" s="103" t="n"/>
      <c r="AG696" s="103" t="n"/>
      <c r="AH696" s="103" t="n"/>
      <c r="AI696" s="103" t="n"/>
      <c r="AJ696" s="103" t="n"/>
      <c r="AK696" s="103" t="n"/>
      <c r="AL696" s="103" t="n"/>
      <c r="AM696" s="103" t="n"/>
      <c r="AN696" s="103" t="n"/>
      <c r="AO696" s="103" t="n"/>
      <c r="AP696" s="103" t="n"/>
      <c r="AQ696" s="103" t="n"/>
      <c r="AR696" s="103" t="n"/>
    </row>
    <row r="699">
      <c r="A699" s="2">
        <f>IF($A692="","","   projections")</f>
        <v/>
      </c>
      <c r="B699" s="99">
        <f>IF($A692="",0,COUNT($E700:$AR700))</f>
        <v/>
      </c>
      <c r="C699" s="100">
        <f>IF($B699=0,0,MAX($E700:$AR700))</f>
        <v/>
      </c>
      <c r="D699" s="101">
        <f>BDS($A692,FLD_PROJ,"headers=y","startcol=1","endcol=3","dir=h")</f>
        <v/>
      </c>
      <c r="E699" s="102" t="n"/>
      <c r="F699" s="102" t="n"/>
      <c r="G699" s="102" t="n"/>
      <c r="H699" s="102" t="n"/>
      <c r="I699" s="102" t="n"/>
      <c r="J699" s="102" t="n"/>
      <c r="K699" s="102" t="n"/>
      <c r="L699" s="102" t="n"/>
      <c r="M699" s="102" t="n"/>
      <c r="N699" s="102" t="n"/>
      <c r="O699" s="102" t="n"/>
      <c r="P699" s="102" t="n"/>
      <c r="Q699" s="102" t="n"/>
      <c r="R699" s="102" t="n"/>
      <c r="S699" s="102" t="n"/>
      <c r="T699" s="102" t="n"/>
      <c r="U699" s="102" t="n"/>
      <c r="V699" s="102" t="n"/>
      <c r="W699" s="102" t="n"/>
      <c r="X699" s="102" t="n"/>
      <c r="Y699" s="102" t="n"/>
      <c r="Z699" s="102" t="n"/>
      <c r="AA699" s="102" t="n"/>
      <c r="AB699" s="102" t="n"/>
      <c r="AC699" s="102" t="n"/>
      <c r="AD699" s="102" t="n"/>
      <c r="AE699" s="102" t="n"/>
      <c r="AF699" s="102" t="n"/>
      <c r="AG699" s="102" t="n"/>
      <c r="AH699" s="102" t="n"/>
      <c r="AI699" s="102" t="n"/>
      <c r="AJ699" s="102" t="n"/>
      <c r="AK699" s="102" t="n"/>
      <c r="AL699" s="102" t="n"/>
      <c r="AM699" s="102" t="n"/>
      <c r="AN699" s="102" t="n"/>
      <c r="AO699" s="102" t="n"/>
      <c r="AP699" s="102" t="n"/>
      <c r="AQ699" s="102" t="n"/>
      <c r="AR699" s="102" t="n"/>
    </row>
    <row r="700">
      <c r="D700" s="102" t="n"/>
      <c r="E700" s="102" t="n"/>
      <c r="F700" s="102" t="n"/>
      <c r="G700" s="102" t="n"/>
      <c r="H700" s="102" t="n"/>
      <c r="I700" s="102" t="n"/>
      <c r="J700" s="102" t="n"/>
      <c r="K700" s="102" t="n"/>
      <c r="L700" s="102" t="n"/>
      <c r="M700" s="102" t="n"/>
      <c r="N700" s="102" t="n"/>
      <c r="O700" s="102" t="n"/>
      <c r="P700" s="102" t="n"/>
      <c r="Q700" s="102" t="n"/>
      <c r="R700" s="102" t="n"/>
      <c r="S700" s="102" t="n"/>
      <c r="T700" s="102" t="n"/>
      <c r="U700" s="102" t="n"/>
      <c r="V700" s="102" t="n"/>
      <c r="W700" s="102" t="n"/>
      <c r="X700" s="102" t="n"/>
      <c r="Y700" s="102" t="n"/>
      <c r="Z700" s="102" t="n"/>
      <c r="AA700" s="102" t="n"/>
      <c r="AB700" s="102" t="n"/>
      <c r="AC700" s="102" t="n"/>
      <c r="AD700" s="102" t="n"/>
      <c r="AE700" s="102" t="n"/>
      <c r="AF700" s="102" t="n"/>
      <c r="AG700" s="102" t="n"/>
      <c r="AH700" s="102" t="n"/>
      <c r="AI700" s="102" t="n"/>
      <c r="AJ700" s="102" t="n"/>
      <c r="AK700" s="102" t="n"/>
      <c r="AL700" s="102" t="n"/>
      <c r="AM700" s="102" t="n"/>
      <c r="AN700" s="102" t="n"/>
      <c r="AO700" s="102" t="n"/>
      <c r="AP700" s="102" t="n"/>
      <c r="AQ700" s="102" t="n"/>
      <c r="AR700" s="102" t="n"/>
    </row>
    <row r="701">
      <c r="D701" s="103" t="n"/>
      <c r="E701" s="103" t="n"/>
      <c r="F701" s="103" t="n"/>
      <c r="G701" s="103" t="n"/>
      <c r="H701" s="103" t="n"/>
      <c r="I701" s="103" t="n"/>
      <c r="J701" s="103" t="n"/>
      <c r="K701" s="103" t="n"/>
      <c r="L701" s="103" t="n"/>
      <c r="M701" s="103" t="n"/>
      <c r="N701" s="103" t="n"/>
      <c r="O701" s="103" t="n"/>
      <c r="P701" s="103" t="n"/>
      <c r="Q701" s="103" t="n"/>
      <c r="R701" s="103" t="n"/>
      <c r="S701" s="103" t="n"/>
      <c r="T701" s="103" t="n"/>
      <c r="U701" s="103" t="n"/>
      <c r="V701" s="103" t="n"/>
      <c r="W701" s="103" t="n"/>
      <c r="X701" s="103" t="n"/>
      <c r="Y701" s="103" t="n"/>
      <c r="Z701" s="103" t="n"/>
      <c r="AA701" s="103" t="n"/>
      <c r="AB701" s="103" t="n"/>
      <c r="AC701" s="103" t="n"/>
      <c r="AD701" s="103" t="n"/>
      <c r="AE701" s="103" t="n"/>
      <c r="AF701" s="103" t="n"/>
      <c r="AG701" s="103" t="n"/>
      <c r="AH701" s="103" t="n"/>
      <c r="AI701" s="103" t="n"/>
      <c r="AJ701" s="103" t="n"/>
      <c r="AK701" s="103" t="n"/>
      <c r="AL701" s="103" t="n"/>
      <c r="AM701" s="103" t="n"/>
      <c r="AN701" s="103" t="n"/>
      <c r="AO701" s="103" t="n"/>
      <c r="AP701" s="103" t="n"/>
      <c r="AQ701" s="103" t="n"/>
      <c r="AR701" s="103" t="n"/>
    </row>
    <row r="703">
      <c r="A703" s="8">
        <f>IF(HSI!$C$70="","",HSI!$C$70)</f>
        <v/>
      </c>
      <c r="B703" s="99">
        <f>IF($A703="",0,COUNT($E704:$AR704))</f>
        <v/>
      </c>
      <c r="C703" s="100">
        <f>IF($B703=0,0,MAX($E704:$AR704))</f>
        <v/>
      </c>
      <c r="D703" s="101">
        <f>BDS($A703,FLD_HIST,"headers=y","startcol=1","endcol=7","dir=h","DVD_START_DT",HIST_FROM,"DVD_END_DT",HIST_TO)</f>
        <v/>
      </c>
      <c r="E703" s="102" t="n"/>
      <c r="F703" s="102" t="n"/>
      <c r="G703" s="102" t="n"/>
      <c r="H703" s="102" t="n"/>
      <c r="I703" s="102" t="n"/>
      <c r="J703" s="102" t="n"/>
      <c r="K703" s="102" t="n"/>
      <c r="L703" s="102" t="n"/>
      <c r="M703" s="102" t="n"/>
      <c r="N703" s="102" t="n"/>
      <c r="O703" s="102" t="n"/>
      <c r="P703" s="102" t="n"/>
      <c r="Q703" s="102" t="n"/>
      <c r="R703" s="102" t="n"/>
      <c r="S703" s="102" t="n"/>
      <c r="T703" s="102" t="n"/>
      <c r="U703" s="102" t="n"/>
      <c r="V703" s="102" t="n"/>
      <c r="W703" s="102" t="n"/>
      <c r="X703" s="102" t="n"/>
      <c r="Y703" s="102" t="n"/>
      <c r="Z703" s="102" t="n"/>
      <c r="AA703" s="102" t="n"/>
      <c r="AB703" s="102" t="n"/>
      <c r="AC703" s="102" t="n"/>
      <c r="AD703" s="102" t="n"/>
      <c r="AE703" s="102" t="n"/>
      <c r="AF703" s="102" t="n"/>
      <c r="AG703" s="102" t="n"/>
      <c r="AH703" s="102" t="n"/>
      <c r="AI703" s="102" t="n"/>
      <c r="AJ703" s="102" t="n"/>
      <c r="AK703" s="102" t="n"/>
      <c r="AL703" s="102" t="n"/>
      <c r="AM703" s="102" t="n"/>
      <c r="AN703" s="102" t="n"/>
      <c r="AO703" s="102" t="n"/>
      <c r="AP703" s="102" t="n"/>
      <c r="AQ703" s="102" t="n"/>
      <c r="AR703" s="102" t="n"/>
    </row>
    <row r="704">
      <c r="D704" s="102" t="n"/>
      <c r="E704" s="102" t="n"/>
      <c r="F704" s="102" t="n"/>
      <c r="G704" s="102" t="n"/>
      <c r="H704" s="102" t="n"/>
      <c r="I704" s="102" t="n"/>
      <c r="J704" s="102" t="n"/>
      <c r="K704" s="102" t="n"/>
      <c r="L704" s="102" t="n"/>
      <c r="M704" s="102" t="n"/>
      <c r="N704" s="102" t="n"/>
      <c r="O704" s="102" t="n"/>
      <c r="P704" s="102" t="n"/>
      <c r="Q704" s="102" t="n"/>
      <c r="R704" s="102" t="n"/>
      <c r="S704" s="102" t="n"/>
      <c r="T704" s="102" t="n"/>
      <c r="U704" s="102" t="n"/>
      <c r="V704" s="102" t="n"/>
      <c r="W704" s="102" t="n"/>
      <c r="X704" s="102" t="n"/>
      <c r="Y704" s="102" t="n"/>
      <c r="Z704" s="102" t="n"/>
      <c r="AA704" s="102" t="n"/>
      <c r="AB704" s="102" t="n"/>
      <c r="AC704" s="102" t="n"/>
      <c r="AD704" s="102" t="n"/>
      <c r="AE704" s="102" t="n"/>
      <c r="AF704" s="102" t="n"/>
      <c r="AG704" s="102" t="n"/>
      <c r="AH704" s="102" t="n"/>
      <c r="AI704" s="102" t="n"/>
      <c r="AJ704" s="102" t="n"/>
      <c r="AK704" s="102" t="n"/>
      <c r="AL704" s="102" t="n"/>
      <c r="AM704" s="102" t="n"/>
      <c r="AN704" s="102" t="n"/>
      <c r="AO704" s="102" t="n"/>
      <c r="AP704" s="102" t="n"/>
      <c r="AQ704" s="102" t="n"/>
      <c r="AR704" s="102" t="n"/>
    </row>
    <row r="705">
      <c r="D705" s="102" t="n"/>
      <c r="E705" s="102" t="n"/>
      <c r="F705" s="102" t="n"/>
      <c r="G705" s="102" t="n"/>
      <c r="H705" s="102" t="n"/>
      <c r="I705" s="102" t="n"/>
      <c r="J705" s="102" t="n"/>
      <c r="K705" s="102" t="n"/>
      <c r="L705" s="102" t="n"/>
      <c r="M705" s="102" t="n"/>
      <c r="N705" s="102" t="n"/>
      <c r="O705" s="102" t="n"/>
      <c r="P705" s="102" t="n"/>
      <c r="Q705" s="102" t="n"/>
      <c r="R705" s="102" t="n"/>
      <c r="S705" s="102" t="n"/>
      <c r="T705" s="102" t="n"/>
      <c r="U705" s="102" t="n"/>
      <c r="V705" s="102" t="n"/>
      <c r="W705" s="102" t="n"/>
      <c r="X705" s="102" t="n"/>
      <c r="Y705" s="102" t="n"/>
      <c r="Z705" s="102" t="n"/>
      <c r="AA705" s="102" t="n"/>
      <c r="AB705" s="102" t="n"/>
      <c r="AC705" s="102" t="n"/>
      <c r="AD705" s="102" t="n"/>
      <c r="AE705" s="102" t="n"/>
      <c r="AF705" s="102" t="n"/>
      <c r="AG705" s="102" t="n"/>
      <c r="AH705" s="102" t="n"/>
      <c r="AI705" s="102" t="n"/>
      <c r="AJ705" s="102" t="n"/>
      <c r="AK705" s="102" t="n"/>
      <c r="AL705" s="102" t="n"/>
      <c r="AM705" s="102" t="n"/>
      <c r="AN705" s="102" t="n"/>
      <c r="AO705" s="102" t="n"/>
      <c r="AP705" s="102" t="n"/>
      <c r="AQ705" s="102" t="n"/>
      <c r="AR705" s="102" t="n"/>
    </row>
    <row r="706">
      <c r="D706" s="102" t="n"/>
      <c r="E706" s="102" t="n"/>
      <c r="F706" s="102" t="n"/>
      <c r="G706" s="102" t="n"/>
      <c r="H706" s="102" t="n"/>
      <c r="I706" s="102" t="n"/>
      <c r="J706" s="102" t="n"/>
      <c r="K706" s="102" t="n"/>
      <c r="L706" s="102" t="n"/>
      <c r="M706" s="102" t="n"/>
      <c r="N706" s="102" t="n"/>
      <c r="O706" s="102" t="n"/>
      <c r="P706" s="102" t="n"/>
      <c r="Q706" s="102" t="n"/>
      <c r="R706" s="102" t="n"/>
      <c r="S706" s="102" t="n"/>
      <c r="T706" s="102" t="n"/>
      <c r="U706" s="102" t="n"/>
      <c r="V706" s="102" t="n"/>
      <c r="W706" s="102" t="n"/>
      <c r="X706" s="102" t="n"/>
      <c r="Y706" s="102" t="n"/>
      <c r="Z706" s="102" t="n"/>
      <c r="AA706" s="102" t="n"/>
      <c r="AB706" s="102" t="n"/>
      <c r="AC706" s="102" t="n"/>
      <c r="AD706" s="102" t="n"/>
      <c r="AE706" s="102" t="n"/>
      <c r="AF706" s="102" t="n"/>
      <c r="AG706" s="102" t="n"/>
      <c r="AH706" s="102" t="n"/>
      <c r="AI706" s="102" t="n"/>
      <c r="AJ706" s="102" t="n"/>
      <c r="AK706" s="102" t="n"/>
      <c r="AL706" s="102" t="n"/>
      <c r="AM706" s="102" t="n"/>
      <c r="AN706" s="102" t="n"/>
      <c r="AO706" s="102" t="n"/>
      <c r="AP706" s="102" t="n"/>
      <c r="AQ706" s="102" t="n"/>
      <c r="AR706" s="102" t="n"/>
    </row>
    <row r="707">
      <c r="D707" s="103" t="n"/>
      <c r="E707" s="103" t="n"/>
      <c r="F707" s="103" t="n"/>
      <c r="G707" s="103" t="n"/>
      <c r="H707" s="103" t="n"/>
      <c r="I707" s="103" t="n"/>
      <c r="J707" s="103" t="n"/>
      <c r="K707" s="103" t="n"/>
      <c r="L707" s="103" t="n"/>
      <c r="M707" s="103" t="n"/>
      <c r="N707" s="103" t="n"/>
      <c r="O707" s="103" t="n"/>
      <c r="P707" s="103" t="n"/>
      <c r="Q707" s="103" t="n"/>
      <c r="R707" s="103" t="n"/>
      <c r="S707" s="103" t="n"/>
      <c r="T707" s="103" t="n"/>
      <c r="U707" s="103" t="n"/>
      <c r="V707" s="103" t="n"/>
      <c r="W707" s="103" t="n"/>
      <c r="X707" s="103" t="n"/>
      <c r="Y707" s="103" t="n"/>
      <c r="Z707" s="103" t="n"/>
      <c r="AA707" s="103" t="n"/>
      <c r="AB707" s="103" t="n"/>
      <c r="AC707" s="103" t="n"/>
      <c r="AD707" s="103" t="n"/>
      <c r="AE707" s="103" t="n"/>
      <c r="AF707" s="103" t="n"/>
      <c r="AG707" s="103" t="n"/>
      <c r="AH707" s="103" t="n"/>
      <c r="AI707" s="103" t="n"/>
      <c r="AJ707" s="103" t="n"/>
      <c r="AK707" s="103" t="n"/>
      <c r="AL707" s="103" t="n"/>
      <c r="AM707" s="103" t="n"/>
      <c r="AN707" s="103" t="n"/>
      <c r="AO707" s="103" t="n"/>
      <c r="AP707" s="103" t="n"/>
      <c r="AQ707" s="103" t="n"/>
      <c r="AR707" s="103" t="n"/>
    </row>
    <row r="710">
      <c r="A710" s="2">
        <f>IF($A703="","","   projections")</f>
        <v/>
      </c>
      <c r="B710" s="99">
        <f>IF($A703="",0,COUNT($E711:$AR711))</f>
        <v/>
      </c>
      <c r="C710" s="100">
        <f>IF($B710=0,0,MAX($E711:$AR711))</f>
        <v/>
      </c>
      <c r="D710" s="101">
        <f>BDS($A703,FLD_PROJ,"headers=y","startcol=1","endcol=3","dir=h")</f>
        <v/>
      </c>
      <c r="E710" s="102" t="n"/>
      <c r="F710" s="102" t="n"/>
      <c r="G710" s="102" t="n"/>
      <c r="H710" s="102" t="n"/>
      <c r="I710" s="102" t="n"/>
      <c r="J710" s="102" t="n"/>
      <c r="K710" s="102" t="n"/>
      <c r="L710" s="102" t="n"/>
      <c r="M710" s="102" t="n"/>
      <c r="N710" s="102" t="n"/>
      <c r="O710" s="102" t="n"/>
      <c r="P710" s="102" t="n"/>
      <c r="Q710" s="102" t="n"/>
      <c r="R710" s="102" t="n"/>
      <c r="S710" s="102" t="n"/>
      <c r="T710" s="102" t="n"/>
      <c r="U710" s="102" t="n"/>
      <c r="V710" s="102" t="n"/>
      <c r="W710" s="102" t="n"/>
      <c r="X710" s="102" t="n"/>
      <c r="Y710" s="102" t="n"/>
      <c r="Z710" s="102" t="n"/>
      <c r="AA710" s="102" t="n"/>
      <c r="AB710" s="102" t="n"/>
      <c r="AC710" s="102" t="n"/>
      <c r="AD710" s="102" t="n"/>
      <c r="AE710" s="102" t="n"/>
      <c r="AF710" s="102" t="n"/>
      <c r="AG710" s="102" t="n"/>
      <c r="AH710" s="102" t="n"/>
      <c r="AI710" s="102" t="n"/>
      <c r="AJ710" s="102" t="n"/>
      <c r="AK710" s="102" t="n"/>
      <c r="AL710" s="102" t="n"/>
      <c r="AM710" s="102" t="n"/>
      <c r="AN710" s="102" t="n"/>
      <c r="AO710" s="102" t="n"/>
      <c r="AP710" s="102" t="n"/>
      <c r="AQ710" s="102" t="n"/>
      <c r="AR710" s="102" t="n"/>
    </row>
    <row r="711">
      <c r="D711" s="102" t="n"/>
      <c r="E711" s="102" t="n"/>
      <c r="F711" s="102" t="n"/>
      <c r="G711" s="102" t="n"/>
      <c r="H711" s="102" t="n"/>
      <c r="I711" s="102" t="n"/>
      <c r="J711" s="102" t="n"/>
      <c r="K711" s="102" t="n"/>
      <c r="L711" s="102" t="n"/>
      <c r="M711" s="102" t="n"/>
      <c r="N711" s="102" t="n"/>
      <c r="O711" s="102" t="n"/>
      <c r="P711" s="102" t="n"/>
      <c r="Q711" s="102" t="n"/>
      <c r="R711" s="102" t="n"/>
      <c r="S711" s="102" t="n"/>
      <c r="T711" s="102" t="n"/>
      <c r="U711" s="102" t="n"/>
      <c r="V711" s="102" t="n"/>
      <c r="W711" s="102" t="n"/>
      <c r="X711" s="102" t="n"/>
      <c r="Y711" s="102" t="n"/>
      <c r="Z711" s="102" t="n"/>
      <c r="AA711" s="102" t="n"/>
      <c r="AB711" s="102" t="n"/>
      <c r="AC711" s="102" t="n"/>
      <c r="AD711" s="102" t="n"/>
      <c r="AE711" s="102" t="n"/>
      <c r="AF711" s="102" t="n"/>
      <c r="AG711" s="102" t="n"/>
      <c r="AH711" s="102" t="n"/>
      <c r="AI711" s="102" t="n"/>
      <c r="AJ711" s="102" t="n"/>
      <c r="AK711" s="102" t="n"/>
      <c r="AL711" s="102" t="n"/>
      <c r="AM711" s="102" t="n"/>
      <c r="AN711" s="102" t="n"/>
      <c r="AO711" s="102" t="n"/>
      <c r="AP711" s="102" t="n"/>
      <c r="AQ711" s="102" t="n"/>
      <c r="AR711" s="102" t="n"/>
    </row>
    <row r="712">
      <c r="D712" s="103" t="n"/>
      <c r="E712" s="103" t="n"/>
      <c r="F712" s="103" t="n"/>
      <c r="G712" s="103" t="n"/>
      <c r="H712" s="103" t="n"/>
      <c r="I712" s="103" t="n"/>
      <c r="J712" s="103" t="n"/>
      <c r="K712" s="103" t="n"/>
      <c r="L712" s="103" t="n"/>
      <c r="M712" s="103" t="n"/>
      <c r="N712" s="103" t="n"/>
      <c r="O712" s="103" t="n"/>
      <c r="P712" s="103" t="n"/>
      <c r="Q712" s="103" t="n"/>
      <c r="R712" s="103" t="n"/>
      <c r="S712" s="103" t="n"/>
      <c r="T712" s="103" t="n"/>
      <c r="U712" s="103" t="n"/>
      <c r="V712" s="103" t="n"/>
      <c r="W712" s="103" t="n"/>
      <c r="X712" s="103" t="n"/>
      <c r="Y712" s="103" t="n"/>
      <c r="Z712" s="103" t="n"/>
      <c r="AA712" s="103" t="n"/>
      <c r="AB712" s="103" t="n"/>
      <c r="AC712" s="103" t="n"/>
      <c r="AD712" s="103" t="n"/>
      <c r="AE712" s="103" t="n"/>
      <c r="AF712" s="103" t="n"/>
      <c r="AG712" s="103" t="n"/>
      <c r="AH712" s="103" t="n"/>
      <c r="AI712" s="103" t="n"/>
      <c r="AJ712" s="103" t="n"/>
      <c r="AK712" s="103" t="n"/>
      <c r="AL712" s="103" t="n"/>
      <c r="AM712" s="103" t="n"/>
      <c r="AN712" s="103" t="n"/>
      <c r="AO712" s="103" t="n"/>
      <c r="AP712" s="103" t="n"/>
      <c r="AQ712" s="103" t="n"/>
      <c r="AR712" s="103" t="n"/>
    </row>
    <row r="714">
      <c r="A714" s="8">
        <f>IF(HSI!$C$71="","",HSI!$C$71)</f>
        <v/>
      </c>
      <c r="B714" s="99">
        <f>IF($A714="",0,COUNT($E715:$AR715))</f>
        <v/>
      </c>
      <c r="C714" s="100">
        <f>IF($B714=0,0,MAX($E715:$AR715))</f>
        <v/>
      </c>
      <c r="D714" s="101">
        <f>BDS($A714,FLD_HIST,"headers=y","startcol=1","endcol=7","dir=h","DVD_START_DT",HIST_FROM,"DVD_END_DT",HIST_TO)</f>
        <v/>
      </c>
      <c r="E714" s="102" t="n"/>
      <c r="F714" s="102" t="n"/>
      <c r="G714" s="102" t="n"/>
      <c r="H714" s="102" t="n"/>
      <c r="I714" s="102" t="n"/>
      <c r="J714" s="102" t="n"/>
      <c r="K714" s="102" t="n"/>
      <c r="L714" s="102" t="n"/>
      <c r="M714" s="102" t="n"/>
      <c r="N714" s="102" t="n"/>
      <c r="O714" s="102" t="n"/>
      <c r="P714" s="102" t="n"/>
      <c r="Q714" s="102" t="n"/>
      <c r="R714" s="102" t="n"/>
      <c r="S714" s="102" t="n"/>
      <c r="T714" s="102" t="n"/>
      <c r="U714" s="102" t="n"/>
      <c r="V714" s="102" t="n"/>
      <c r="W714" s="102" t="n"/>
      <c r="X714" s="102" t="n"/>
      <c r="Y714" s="102" t="n"/>
      <c r="Z714" s="102" t="n"/>
      <c r="AA714" s="102" t="n"/>
      <c r="AB714" s="102" t="n"/>
      <c r="AC714" s="102" t="n"/>
      <c r="AD714" s="102" t="n"/>
      <c r="AE714" s="102" t="n"/>
      <c r="AF714" s="102" t="n"/>
      <c r="AG714" s="102" t="n"/>
      <c r="AH714" s="102" t="n"/>
      <c r="AI714" s="102" t="n"/>
      <c r="AJ714" s="102" t="n"/>
      <c r="AK714" s="102" t="n"/>
      <c r="AL714" s="102" t="n"/>
      <c r="AM714" s="102" t="n"/>
      <c r="AN714" s="102" t="n"/>
      <c r="AO714" s="102" t="n"/>
      <c r="AP714" s="102" t="n"/>
      <c r="AQ714" s="102" t="n"/>
      <c r="AR714" s="102" t="n"/>
    </row>
    <row r="715">
      <c r="D715" s="102" t="n"/>
      <c r="E715" s="102" t="n"/>
      <c r="F715" s="102" t="n"/>
      <c r="G715" s="102" t="n"/>
      <c r="H715" s="102" t="n"/>
      <c r="I715" s="102" t="n"/>
      <c r="J715" s="102" t="n"/>
      <c r="K715" s="102" t="n"/>
      <c r="L715" s="102" t="n"/>
      <c r="M715" s="102" t="n"/>
      <c r="N715" s="102" t="n"/>
      <c r="O715" s="102" t="n"/>
      <c r="P715" s="102" t="n"/>
      <c r="Q715" s="102" t="n"/>
      <c r="R715" s="102" t="n"/>
      <c r="S715" s="102" t="n"/>
      <c r="T715" s="102" t="n"/>
      <c r="U715" s="102" t="n"/>
      <c r="V715" s="102" t="n"/>
      <c r="W715" s="102" t="n"/>
      <c r="X715" s="102" t="n"/>
      <c r="Y715" s="102" t="n"/>
      <c r="Z715" s="102" t="n"/>
      <c r="AA715" s="102" t="n"/>
      <c r="AB715" s="102" t="n"/>
      <c r="AC715" s="102" t="n"/>
      <c r="AD715" s="102" t="n"/>
      <c r="AE715" s="102" t="n"/>
      <c r="AF715" s="102" t="n"/>
      <c r="AG715" s="102" t="n"/>
      <c r="AH715" s="102" t="n"/>
      <c r="AI715" s="102" t="n"/>
      <c r="AJ715" s="102" t="n"/>
      <c r="AK715" s="102" t="n"/>
      <c r="AL715" s="102" t="n"/>
      <c r="AM715" s="102" t="n"/>
      <c r="AN715" s="102" t="n"/>
      <c r="AO715" s="102" t="n"/>
      <c r="AP715" s="102" t="n"/>
      <c r="AQ715" s="102" t="n"/>
      <c r="AR715" s="102" t="n"/>
    </row>
    <row r="716">
      <c r="D716" s="102" t="n"/>
      <c r="E716" s="102" t="n"/>
      <c r="F716" s="102" t="n"/>
      <c r="G716" s="102" t="n"/>
      <c r="H716" s="102" t="n"/>
      <c r="I716" s="102" t="n"/>
      <c r="J716" s="102" t="n"/>
      <c r="K716" s="102" t="n"/>
      <c r="L716" s="102" t="n"/>
      <c r="M716" s="102" t="n"/>
      <c r="N716" s="102" t="n"/>
      <c r="O716" s="102" t="n"/>
      <c r="P716" s="102" t="n"/>
      <c r="Q716" s="102" t="n"/>
      <c r="R716" s="102" t="n"/>
      <c r="S716" s="102" t="n"/>
      <c r="T716" s="102" t="n"/>
      <c r="U716" s="102" t="n"/>
      <c r="V716" s="102" t="n"/>
      <c r="W716" s="102" t="n"/>
      <c r="X716" s="102" t="n"/>
      <c r="Y716" s="102" t="n"/>
      <c r="Z716" s="102" t="n"/>
      <c r="AA716" s="102" t="n"/>
      <c r="AB716" s="102" t="n"/>
      <c r="AC716" s="102" t="n"/>
      <c r="AD716" s="102" t="n"/>
      <c r="AE716" s="102" t="n"/>
      <c r="AF716" s="102" t="n"/>
      <c r="AG716" s="102" t="n"/>
      <c r="AH716" s="102" t="n"/>
      <c r="AI716" s="102" t="n"/>
      <c r="AJ716" s="102" t="n"/>
      <c r="AK716" s="102" t="n"/>
      <c r="AL716" s="102" t="n"/>
      <c r="AM716" s="102" t="n"/>
      <c r="AN716" s="102" t="n"/>
      <c r="AO716" s="102" t="n"/>
      <c r="AP716" s="102" t="n"/>
      <c r="AQ716" s="102" t="n"/>
      <c r="AR716" s="102" t="n"/>
    </row>
    <row r="717">
      <c r="D717" s="102" t="n"/>
      <c r="E717" s="102" t="n"/>
      <c r="F717" s="102" t="n"/>
      <c r="G717" s="102" t="n"/>
      <c r="H717" s="102" t="n"/>
      <c r="I717" s="102" t="n"/>
      <c r="J717" s="102" t="n"/>
      <c r="K717" s="102" t="n"/>
      <c r="L717" s="102" t="n"/>
      <c r="M717" s="102" t="n"/>
      <c r="N717" s="102" t="n"/>
      <c r="O717" s="102" t="n"/>
      <c r="P717" s="102" t="n"/>
      <c r="Q717" s="102" t="n"/>
      <c r="R717" s="102" t="n"/>
      <c r="S717" s="102" t="n"/>
      <c r="T717" s="102" t="n"/>
      <c r="U717" s="102" t="n"/>
      <c r="V717" s="102" t="n"/>
      <c r="W717" s="102" t="n"/>
      <c r="X717" s="102" t="n"/>
      <c r="Y717" s="102" t="n"/>
      <c r="Z717" s="102" t="n"/>
      <c r="AA717" s="102" t="n"/>
      <c r="AB717" s="102" t="n"/>
      <c r="AC717" s="102" t="n"/>
      <c r="AD717" s="102" t="n"/>
      <c r="AE717" s="102" t="n"/>
      <c r="AF717" s="102" t="n"/>
      <c r="AG717" s="102" t="n"/>
      <c r="AH717" s="102" t="n"/>
      <c r="AI717" s="102" t="n"/>
      <c r="AJ717" s="102" t="n"/>
      <c r="AK717" s="102" t="n"/>
      <c r="AL717" s="102" t="n"/>
      <c r="AM717" s="102" t="n"/>
      <c r="AN717" s="102" t="n"/>
      <c r="AO717" s="102" t="n"/>
      <c r="AP717" s="102" t="n"/>
      <c r="AQ717" s="102" t="n"/>
      <c r="AR717" s="102" t="n"/>
    </row>
    <row r="718">
      <c r="D718" s="103" t="n"/>
      <c r="E718" s="103" t="n"/>
      <c r="F718" s="103" t="n"/>
      <c r="G718" s="103" t="n"/>
      <c r="H718" s="103" t="n"/>
      <c r="I718" s="103" t="n"/>
      <c r="J718" s="103" t="n"/>
      <c r="K718" s="103" t="n"/>
      <c r="L718" s="103" t="n"/>
      <c r="M718" s="103" t="n"/>
      <c r="N718" s="103" t="n"/>
      <c r="O718" s="103" t="n"/>
      <c r="P718" s="103" t="n"/>
      <c r="Q718" s="103" t="n"/>
      <c r="R718" s="103" t="n"/>
      <c r="S718" s="103" t="n"/>
      <c r="T718" s="103" t="n"/>
      <c r="U718" s="103" t="n"/>
      <c r="V718" s="103" t="n"/>
      <c r="W718" s="103" t="n"/>
      <c r="X718" s="103" t="n"/>
      <c r="Y718" s="103" t="n"/>
      <c r="Z718" s="103" t="n"/>
      <c r="AA718" s="103" t="n"/>
      <c r="AB718" s="103" t="n"/>
      <c r="AC718" s="103" t="n"/>
      <c r="AD718" s="103" t="n"/>
      <c r="AE718" s="103" t="n"/>
      <c r="AF718" s="103" t="n"/>
      <c r="AG718" s="103" t="n"/>
      <c r="AH718" s="103" t="n"/>
      <c r="AI718" s="103" t="n"/>
      <c r="AJ718" s="103" t="n"/>
      <c r="AK718" s="103" t="n"/>
      <c r="AL718" s="103" t="n"/>
      <c r="AM718" s="103" t="n"/>
      <c r="AN718" s="103" t="n"/>
      <c r="AO718" s="103" t="n"/>
      <c r="AP718" s="103" t="n"/>
      <c r="AQ718" s="103" t="n"/>
      <c r="AR718" s="103" t="n"/>
    </row>
    <row r="721">
      <c r="A721" s="2">
        <f>IF($A714="","","   projections")</f>
        <v/>
      </c>
      <c r="B721" s="99">
        <f>IF($A714="",0,COUNT($E722:$AR722))</f>
        <v/>
      </c>
      <c r="C721" s="100">
        <f>IF($B721=0,0,MAX($E722:$AR722))</f>
        <v/>
      </c>
      <c r="D721" s="101">
        <f>BDS($A714,FLD_PROJ,"headers=y","startcol=1","endcol=3","dir=h")</f>
        <v/>
      </c>
      <c r="E721" s="102" t="n"/>
      <c r="F721" s="102" t="n"/>
      <c r="G721" s="102" t="n"/>
      <c r="H721" s="102" t="n"/>
      <c r="I721" s="102" t="n"/>
      <c r="J721" s="102" t="n"/>
      <c r="K721" s="102" t="n"/>
      <c r="L721" s="102" t="n"/>
      <c r="M721" s="102" t="n"/>
      <c r="N721" s="102" t="n"/>
      <c r="O721" s="102" t="n"/>
      <c r="P721" s="102" t="n"/>
      <c r="Q721" s="102" t="n"/>
      <c r="R721" s="102" t="n"/>
      <c r="S721" s="102" t="n"/>
      <c r="T721" s="102" t="n"/>
      <c r="U721" s="102" t="n"/>
      <c r="V721" s="102" t="n"/>
      <c r="W721" s="102" t="n"/>
      <c r="X721" s="102" t="n"/>
      <c r="Y721" s="102" t="n"/>
      <c r="Z721" s="102" t="n"/>
      <c r="AA721" s="102" t="n"/>
      <c r="AB721" s="102" t="n"/>
      <c r="AC721" s="102" t="n"/>
      <c r="AD721" s="102" t="n"/>
      <c r="AE721" s="102" t="n"/>
      <c r="AF721" s="102" t="n"/>
      <c r="AG721" s="102" t="n"/>
      <c r="AH721" s="102" t="n"/>
      <c r="AI721" s="102" t="n"/>
      <c r="AJ721" s="102" t="n"/>
      <c r="AK721" s="102" t="n"/>
      <c r="AL721" s="102" t="n"/>
      <c r="AM721" s="102" t="n"/>
      <c r="AN721" s="102" t="n"/>
      <c r="AO721" s="102" t="n"/>
      <c r="AP721" s="102" t="n"/>
      <c r="AQ721" s="102" t="n"/>
      <c r="AR721" s="102" t="n"/>
    </row>
    <row r="722">
      <c r="D722" s="102" t="n"/>
      <c r="E722" s="102" t="n"/>
      <c r="F722" s="102" t="n"/>
      <c r="G722" s="102" t="n"/>
      <c r="H722" s="102" t="n"/>
      <c r="I722" s="102" t="n"/>
      <c r="J722" s="102" t="n"/>
      <c r="K722" s="102" t="n"/>
      <c r="L722" s="102" t="n"/>
      <c r="M722" s="102" t="n"/>
      <c r="N722" s="102" t="n"/>
      <c r="O722" s="102" t="n"/>
      <c r="P722" s="102" t="n"/>
      <c r="Q722" s="102" t="n"/>
      <c r="R722" s="102" t="n"/>
      <c r="S722" s="102" t="n"/>
      <c r="T722" s="102" t="n"/>
      <c r="U722" s="102" t="n"/>
      <c r="V722" s="102" t="n"/>
      <c r="W722" s="102" t="n"/>
      <c r="X722" s="102" t="n"/>
      <c r="Y722" s="102" t="n"/>
      <c r="Z722" s="102" t="n"/>
      <c r="AA722" s="102" t="n"/>
      <c r="AB722" s="102" t="n"/>
      <c r="AC722" s="102" t="n"/>
      <c r="AD722" s="102" t="n"/>
      <c r="AE722" s="102" t="n"/>
      <c r="AF722" s="102" t="n"/>
      <c r="AG722" s="102" t="n"/>
      <c r="AH722" s="102" t="n"/>
      <c r="AI722" s="102" t="n"/>
      <c r="AJ722" s="102" t="n"/>
      <c r="AK722" s="102" t="n"/>
      <c r="AL722" s="102" t="n"/>
      <c r="AM722" s="102" t="n"/>
      <c r="AN722" s="102" t="n"/>
      <c r="AO722" s="102" t="n"/>
      <c r="AP722" s="102" t="n"/>
      <c r="AQ722" s="102" t="n"/>
      <c r="AR722" s="102" t="n"/>
    </row>
    <row r="723">
      <c r="D723" s="103" t="n"/>
      <c r="E723" s="103" t="n"/>
      <c r="F723" s="103" t="n"/>
      <c r="G723" s="103" t="n"/>
      <c r="H723" s="103" t="n"/>
      <c r="I723" s="103" t="n"/>
      <c r="J723" s="103" t="n"/>
      <c r="K723" s="103" t="n"/>
      <c r="L723" s="103" t="n"/>
      <c r="M723" s="103" t="n"/>
      <c r="N723" s="103" t="n"/>
      <c r="O723" s="103" t="n"/>
      <c r="P723" s="103" t="n"/>
      <c r="Q723" s="103" t="n"/>
      <c r="R723" s="103" t="n"/>
      <c r="S723" s="103" t="n"/>
      <c r="T723" s="103" t="n"/>
      <c r="U723" s="103" t="n"/>
      <c r="V723" s="103" t="n"/>
      <c r="W723" s="103" t="n"/>
      <c r="X723" s="103" t="n"/>
      <c r="Y723" s="103" t="n"/>
      <c r="Z723" s="103" t="n"/>
      <c r="AA723" s="103" t="n"/>
      <c r="AB723" s="103" t="n"/>
      <c r="AC723" s="103" t="n"/>
      <c r="AD723" s="103" t="n"/>
      <c r="AE723" s="103" t="n"/>
      <c r="AF723" s="103" t="n"/>
      <c r="AG723" s="103" t="n"/>
      <c r="AH723" s="103" t="n"/>
      <c r="AI723" s="103" t="n"/>
      <c r="AJ723" s="103" t="n"/>
      <c r="AK723" s="103" t="n"/>
      <c r="AL723" s="103" t="n"/>
      <c r="AM723" s="103" t="n"/>
      <c r="AN723" s="103" t="n"/>
      <c r="AO723" s="103" t="n"/>
      <c r="AP723" s="103" t="n"/>
      <c r="AQ723" s="103" t="n"/>
      <c r="AR723" s="103" t="n"/>
    </row>
    <row r="725">
      <c r="A725" s="8">
        <f>IF(HSI!$C$72="","",HSI!$C$72)</f>
        <v/>
      </c>
      <c r="B725" s="99">
        <f>IF($A725="",0,COUNT($E726:$AR726))</f>
        <v/>
      </c>
      <c r="C725" s="100">
        <f>IF($B725=0,0,MAX($E726:$AR726))</f>
        <v/>
      </c>
      <c r="D725" s="101">
        <f>BDS($A725,FLD_HIST,"headers=y","startcol=1","endcol=7","dir=h","DVD_START_DT",HIST_FROM,"DVD_END_DT",HIST_TO)</f>
        <v/>
      </c>
      <c r="E725" s="102" t="n"/>
      <c r="F725" s="102" t="n"/>
      <c r="G725" s="102" t="n"/>
      <c r="H725" s="102" t="n"/>
      <c r="I725" s="102" t="n"/>
      <c r="J725" s="102" t="n"/>
      <c r="K725" s="102" t="n"/>
      <c r="L725" s="102" t="n"/>
      <c r="M725" s="102" t="n"/>
      <c r="N725" s="102" t="n"/>
      <c r="O725" s="102" t="n"/>
      <c r="P725" s="102" t="n"/>
      <c r="Q725" s="102" t="n"/>
      <c r="R725" s="102" t="n"/>
      <c r="S725" s="102" t="n"/>
      <c r="T725" s="102" t="n"/>
      <c r="U725" s="102" t="n"/>
      <c r="V725" s="102" t="n"/>
      <c r="W725" s="102" t="n"/>
      <c r="X725" s="102" t="n"/>
      <c r="Y725" s="102" t="n"/>
      <c r="Z725" s="102" t="n"/>
      <c r="AA725" s="102" t="n"/>
      <c r="AB725" s="102" t="n"/>
      <c r="AC725" s="102" t="n"/>
      <c r="AD725" s="102" t="n"/>
      <c r="AE725" s="102" t="n"/>
      <c r="AF725" s="102" t="n"/>
      <c r="AG725" s="102" t="n"/>
      <c r="AH725" s="102" t="n"/>
      <c r="AI725" s="102" t="n"/>
      <c r="AJ725" s="102" t="n"/>
      <c r="AK725" s="102" t="n"/>
      <c r="AL725" s="102" t="n"/>
      <c r="AM725" s="102" t="n"/>
      <c r="AN725" s="102" t="n"/>
      <c r="AO725" s="102" t="n"/>
      <c r="AP725" s="102" t="n"/>
      <c r="AQ725" s="102" t="n"/>
      <c r="AR725" s="102" t="n"/>
    </row>
    <row r="726">
      <c r="D726" s="102" t="n"/>
      <c r="E726" s="102" t="n"/>
      <c r="F726" s="102" t="n"/>
      <c r="G726" s="102" t="n"/>
      <c r="H726" s="102" t="n"/>
      <c r="I726" s="102" t="n"/>
      <c r="J726" s="102" t="n"/>
      <c r="K726" s="102" t="n"/>
      <c r="L726" s="102" t="n"/>
      <c r="M726" s="102" t="n"/>
      <c r="N726" s="102" t="n"/>
      <c r="O726" s="102" t="n"/>
      <c r="P726" s="102" t="n"/>
      <c r="Q726" s="102" t="n"/>
      <c r="R726" s="102" t="n"/>
      <c r="S726" s="102" t="n"/>
      <c r="T726" s="102" t="n"/>
      <c r="U726" s="102" t="n"/>
      <c r="V726" s="102" t="n"/>
      <c r="W726" s="102" t="n"/>
      <c r="X726" s="102" t="n"/>
      <c r="Y726" s="102" t="n"/>
      <c r="Z726" s="102" t="n"/>
      <c r="AA726" s="102" t="n"/>
      <c r="AB726" s="102" t="n"/>
      <c r="AC726" s="102" t="n"/>
      <c r="AD726" s="102" t="n"/>
      <c r="AE726" s="102" t="n"/>
      <c r="AF726" s="102" t="n"/>
      <c r="AG726" s="102" t="n"/>
      <c r="AH726" s="102" t="n"/>
      <c r="AI726" s="102" t="n"/>
      <c r="AJ726" s="102" t="n"/>
      <c r="AK726" s="102" t="n"/>
      <c r="AL726" s="102" t="n"/>
      <c r="AM726" s="102" t="n"/>
      <c r="AN726" s="102" t="n"/>
      <c r="AO726" s="102" t="n"/>
      <c r="AP726" s="102" t="n"/>
      <c r="AQ726" s="102" t="n"/>
      <c r="AR726" s="102" t="n"/>
    </row>
    <row r="727">
      <c r="D727" s="102" t="n"/>
      <c r="E727" s="102" t="n"/>
      <c r="F727" s="102" t="n"/>
      <c r="G727" s="102" t="n"/>
      <c r="H727" s="102" t="n"/>
      <c r="I727" s="102" t="n"/>
      <c r="J727" s="102" t="n"/>
      <c r="K727" s="102" t="n"/>
      <c r="L727" s="102" t="n"/>
      <c r="M727" s="102" t="n"/>
      <c r="N727" s="102" t="n"/>
      <c r="O727" s="102" t="n"/>
      <c r="P727" s="102" t="n"/>
      <c r="Q727" s="102" t="n"/>
      <c r="R727" s="102" t="n"/>
      <c r="S727" s="102" t="n"/>
      <c r="T727" s="102" t="n"/>
      <c r="U727" s="102" t="n"/>
      <c r="V727" s="102" t="n"/>
      <c r="W727" s="102" t="n"/>
      <c r="X727" s="102" t="n"/>
      <c r="Y727" s="102" t="n"/>
      <c r="Z727" s="102" t="n"/>
      <c r="AA727" s="102" t="n"/>
      <c r="AB727" s="102" t="n"/>
      <c r="AC727" s="102" t="n"/>
      <c r="AD727" s="102" t="n"/>
      <c r="AE727" s="102" t="n"/>
      <c r="AF727" s="102" t="n"/>
      <c r="AG727" s="102" t="n"/>
      <c r="AH727" s="102" t="n"/>
      <c r="AI727" s="102" t="n"/>
      <c r="AJ727" s="102" t="n"/>
      <c r="AK727" s="102" t="n"/>
      <c r="AL727" s="102" t="n"/>
      <c r="AM727" s="102" t="n"/>
      <c r="AN727" s="102" t="n"/>
      <c r="AO727" s="102" t="n"/>
      <c r="AP727" s="102" t="n"/>
      <c r="AQ727" s="102" t="n"/>
      <c r="AR727" s="102" t="n"/>
    </row>
    <row r="728">
      <c r="D728" s="102" t="n"/>
      <c r="E728" s="102" t="n"/>
      <c r="F728" s="102" t="n"/>
      <c r="G728" s="102" t="n"/>
      <c r="H728" s="102" t="n"/>
      <c r="I728" s="102" t="n"/>
      <c r="J728" s="102" t="n"/>
      <c r="K728" s="102" t="n"/>
      <c r="L728" s="102" t="n"/>
      <c r="M728" s="102" t="n"/>
      <c r="N728" s="102" t="n"/>
      <c r="O728" s="102" t="n"/>
      <c r="P728" s="102" t="n"/>
      <c r="Q728" s="102" t="n"/>
      <c r="R728" s="102" t="n"/>
      <c r="S728" s="102" t="n"/>
      <c r="T728" s="102" t="n"/>
      <c r="U728" s="102" t="n"/>
      <c r="V728" s="102" t="n"/>
      <c r="W728" s="102" t="n"/>
      <c r="X728" s="102" t="n"/>
      <c r="Y728" s="102" t="n"/>
      <c r="Z728" s="102" t="n"/>
      <c r="AA728" s="102" t="n"/>
      <c r="AB728" s="102" t="n"/>
      <c r="AC728" s="102" t="n"/>
      <c r="AD728" s="102" t="n"/>
      <c r="AE728" s="102" t="n"/>
      <c r="AF728" s="102" t="n"/>
      <c r="AG728" s="102" t="n"/>
      <c r="AH728" s="102" t="n"/>
      <c r="AI728" s="102" t="n"/>
      <c r="AJ728" s="102" t="n"/>
      <c r="AK728" s="102" t="n"/>
      <c r="AL728" s="102" t="n"/>
      <c r="AM728" s="102" t="n"/>
      <c r="AN728" s="102" t="n"/>
      <c r="AO728" s="102" t="n"/>
      <c r="AP728" s="102" t="n"/>
      <c r="AQ728" s="102" t="n"/>
      <c r="AR728" s="102" t="n"/>
    </row>
    <row r="729">
      <c r="D729" s="103" t="n"/>
      <c r="E729" s="103" t="n"/>
      <c r="F729" s="103" t="n"/>
      <c r="G729" s="103" t="n"/>
      <c r="H729" s="103" t="n"/>
      <c r="I729" s="103" t="n"/>
      <c r="J729" s="103" t="n"/>
      <c r="K729" s="103" t="n"/>
      <c r="L729" s="103" t="n"/>
      <c r="M729" s="103" t="n"/>
      <c r="N729" s="103" t="n"/>
      <c r="O729" s="103" t="n"/>
      <c r="P729" s="103" t="n"/>
      <c r="Q729" s="103" t="n"/>
      <c r="R729" s="103" t="n"/>
      <c r="S729" s="103" t="n"/>
      <c r="T729" s="103" t="n"/>
      <c r="U729" s="103" t="n"/>
      <c r="V729" s="103" t="n"/>
      <c r="W729" s="103" t="n"/>
      <c r="X729" s="103" t="n"/>
      <c r="Y729" s="103" t="n"/>
      <c r="Z729" s="103" t="n"/>
      <c r="AA729" s="103" t="n"/>
      <c r="AB729" s="103" t="n"/>
      <c r="AC729" s="103" t="n"/>
      <c r="AD729" s="103" t="n"/>
      <c r="AE729" s="103" t="n"/>
      <c r="AF729" s="103" t="n"/>
      <c r="AG729" s="103" t="n"/>
      <c r="AH729" s="103" t="n"/>
      <c r="AI729" s="103" t="n"/>
      <c r="AJ729" s="103" t="n"/>
      <c r="AK729" s="103" t="n"/>
      <c r="AL729" s="103" t="n"/>
      <c r="AM729" s="103" t="n"/>
      <c r="AN729" s="103" t="n"/>
      <c r="AO729" s="103" t="n"/>
      <c r="AP729" s="103" t="n"/>
      <c r="AQ729" s="103" t="n"/>
      <c r="AR729" s="103" t="n"/>
    </row>
    <row r="732">
      <c r="A732" s="2">
        <f>IF($A725="","","   projections")</f>
        <v/>
      </c>
      <c r="B732" s="99">
        <f>IF($A725="",0,COUNT($E733:$AR733))</f>
        <v/>
      </c>
      <c r="C732" s="100">
        <f>IF($B732=0,0,MAX($E733:$AR733))</f>
        <v/>
      </c>
      <c r="D732" s="101">
        <f>BDS($A725,FLD_PROJ,"headers=y","startcol=1","endcol=3","dir=h")</f>
        <v/>
      </c>
      <c r="E732" s="102" t="n"/>
      <c r="F732" s="102" t="n"/>
      <c r="G732" s="102" t="n"/>
      <c r="H732" s="102" t="n"/>
      <c r="I732" s="102" t="n"/>
      <c r="J732" s="102" t="n"/>
      <c r="K732" s="102" t="n"/>
      <c r="L732" s="102" t="n"/>
      <c r="M732" s="102" t="n"/>
      <c r="N732" s="102" t="n"/>
      <c r="O732" s="102" t="n"/>
      <c r="P732" s="102" t="n"/>
      <c r="Q732" s="102" t="n"/>
      <c r="R732" s="102" t="n"/>
      <c r="S732" s="102" t="n"/>
      <c r="T732" s="102" t="n"/>
      <c r="U732" s="102" t="n"/>
      <c r="V732" s="102" t="n"/>
      <c r="W732" s="102" t="n"/>
      <c r="X732" s="102" t="n"/>
      <c r="Y732" s="102" t="n"/>
      <c r="Z732" s="102" t="n"/>
      <c r="AA732" s="102" t="n"/>
      <c r="AB732" s="102" t="n"/>
      <c r="AC732" s="102" t="n"/>
      <c r="AD732" s="102" t="n"/>
      <c r="AE732" s="102" t="n"/>
      <c r="AF732" s="102" t="n"/>
      <c r="AG732" s="102" t="n"/>
      <c r="AH732" s="102" t="n"/>
      <c r="AI732" s="102" t="n"/>
      <c r="AJ732" s="102" t="n"/>
      <c r="AK732" s="102" t="n"/>
      <c r="AL732" s="102" t="n"/>
      <c r="AM732" s="102" t="n"/>
      <c r="AN732" s="102" t="n"/>
      <c r="AO732" s="102" t="n"/>
      <c r="AP732" s="102" t="n"/>
      <c r="AQ732" s="102" t="n"/>
      <c r="AR732" s="102" t="n"/>
    </row>
    <row r="733">
      <c r="D733" s="102" t="n"/>
      <c r="E733" s="102" t="n"/>
      <c r="F733" s="102" t="n"/>
      <c r="G733" s="102" t="n"/>
      <c r="H733" s="102" t="n"/>
      <c r="I733" s="102" t="n"/>
      <c r="J733" s="102" t="n"/>
      <c r="K733" s="102" t="n"/>
      <c r="L733" s="102" t="n"/>
      <c r="M733" s="102" t="n"/>
      <c r="N733" s="102" t="n"/>
      <c r="O733" s="102" t="n"/>
      <c r="P733" s="102" t="n"/>
      <c r="Q733" s="102" t="n"/>
      <c r="R733" s="102" t="n"/>
      <c r="S733" s="102" t="n"/>
      <c r="T733" s="102" t="n"/>
      <c r="U733" s="102" t="n"/>
      <c r="V733" s="102" t="n"/>
      <c r="W733" s="102" t="n"/>
      <c r="X733" s="102" t="n"/>
      <c r="Y733" s="102" t="n"/>
      <c r="Z733" s="102" t="n"/>
      <c r="AA733" s="102" t="n"/>
      <c r="AB733" s="102" t="n"/>
      <c r="AC733" s="102" t="n"/>
      <c r="AD733" s="102" t="n"/>
      <c r="AE733" s="102" t="n"/>
      <c r="AF733" s="102" t="n"/>
      <c r="AG733" s="102" t="n"/>
      <c r="AH733" s="102" t="n"/>
      <c r="AI733" s="102" t="n"/>
      <c r="AJ733" s="102" t="n"/>
      <c r="AK733" s="102" t="n"/>
      <c r="AL733" s="102" t="n"/>
      <c r="AM733" s="102" t="n"/>
      <c r="AN733" s="102" t="n"/>
      <c r="AO733" s="102" t="n"/>
      <c r="AP733" s="102" t="n"/>
      <c r="AQ733" s="102" t="n"/>
      <c r="AR733" s="102" t="n"/>
    </row>
    <row r="734">
      <c r="D734" s="103" t="n"/>
      <c r="E734" s="103" t="n"/>
      <c r="F734" s="103" t="n"/>
      <c r="G734" s="103" t="n"/>
      <c r="H734" s="103" t="n"/>
      <c r="I734" s="103" t="n"/>
      <c r="J734" s="103" t="n"/>
      <c r="K734" s="103" t="n"/>
      <c r="L734" s="103" t="n"/>
      <c r="M734" s="103" t="n"/>
      <c r="N734" s="103" t="n"/>
      <c r="O734" s="103" t="n"/>
      <c r="P734" s="103" t="n"/>
      <c r="Q734" s="103" t="n"/>
      <c r="R734" s="103" t="n"/>
      <c r="S734" s="103" t="n"/>
      <c r="T734" s="103" t="n"/>
      <c r="U734" s="103" t="n"/>
      <c r="V734" s="103" t="n"/>
      <c r="W734" s="103" t="n"/>
      <c r="X734" s="103" t="n"/>
      <c r="Y734" s="103" t="n"/>
      <c r="Z734" s="103" t="n"/>
      <c r="AA734" s="103" t="n"/>
      <c r="AB734" s="103" t="n"/>
      <c r="AC734" s="103" t="n"/>
      <c r="AD734" s="103" t="n"/>
      <c r="AE734" s="103" t="n"/>
      <c r="AF734" s="103" t="n"/>
      <c r="AG734" s="103" t="n"/>
      <c r="AH734" s="103" t="n"/>
      <c r="AI734" s="103" t="n"/>
      <c r="AJ734" s="103" t="n"/>
      <c r="AK734" s="103" t="n"/>
      <c r="AL734" s="103" t="n"/>
      <c r="AM734" s="103" t="n"/>
      <c r="AN734" s="103" t="n"/>
      <c r="AO734" s="103" t="n"/>
      <c r="AP734" s="103" t="n"/>
      <c r="AQ734" s="103" t="n"/>
      <c r="AR734" s="103" t="n"/>
    </row>
    <row r="736">
      <c r="A736" s="8">
        <f>IF(HSI!$C$73="","",HSI!$C$73)</f>
        <v/>
      </c>
      <c r="B736" s="99">
        <f>IF($A736="",0,COUNT($E737:$AR737))</f>
        <v/>
      </c>
      <c r="C736" s="100">
        <f>IF($B736=0,0,MAX($E737:$AR737))</f>
        <v/>
      </c>
      <c r="D736" s="101">
        <f>BDS($A736,FLD_HIST,"headers=y","startcol=1","endcol=7","dir=h","DVD_START_DT",HIST_FROM,"DVD_END_DT",HIST_TO)</f>
        <v/>
      </c>
      <c r="E736" s="102" t="n"/>
      <c r="F736" s="102" t="n"/>
      <c r="G736" s="102" t="n"/>
      <c r="H736" s="102" t="n"/>
      <c r="I736" s="102" t="n"/>
      <c r="J736" s="102" t="n"/>
      <c r="K736" s="102" t="n"/>
      <c r="L736" s="102" t="n"/>
      <c r="M736" s="102" t="n"/>
      <c r="N736" s="102" t="n"/>
      <c r="O736" s="102" t="n"/>
      <c r="P736" s="102" t="n"/>
      <c r="Q736" s="102" t="n"/>
      <c r="R736" s="102" t="n"/>
      <c r="S736" s="102" t="n"/>
      <c r="T736" s="102" t="n"/>
      <c r="U736" s="102" t="n"/>
      <c r="V736" s="102" t="n"/>
      <c r="W736" s="102" t="n"/>
      <c r="X736" s="102" t="n"/>
      <c r="Y736" s="102" t="n"/>
      <c r="Z736" s="102" t="n"/>
      <c r="AA736" s="102" t="n"/>
      <c r="AB736" s="102" t="n"/>
      <c r="AC736" s="102" t="n"/>
      <c r="AD736" s="102" t="n"/>
      <c r="AE736" s="102" t="n"/>
      <c r="AF736" s="102" t="n"/>
      <c r="AG736" s="102" t="n"/>
      <c r="AH736" s="102" t="n"/>
      <c r="AI736" s="102" t="n"/>
      <c r="AJ736" s="102" t="n"/>
      <c r="AK736" s="102" t="n"/>
      <c r="AL736" s="102" t="n"/>
      <c r="AM736" s="102" t="n"/>
      <c r="AN736" s="102" t="n"/>
      <c r="AO736" s="102" t="n"/>
      <c r="AP736" s="102" t="n"/>
      <c r="AQ736" s="102" t="n"/>
      <c r="AR736" s="102" t="n"/>
    </row>
    <row r="737">
      <c r="D737" s="102" t="n"/>
      <c r="E737" s="102" t="n"/>
      <c r="F737" s="102" t="n"/>
      <c r="G737" s="102" t="n"/>
      <c r="H737" s="102" t="n"/>
      <c r="I737" s="102" t="n"/>
      <c r="J737" s="102" t="n"/>
      <c r="K737" s="102" t="n"/>
      <c r="L737" s="102" t="n"/>
      <c r="M737" s="102" t="n"/>
      <c r="N737" s="102" t="n"/>
      <c r="O737" s="102" t="n"/>
      <c r="P737" s="102" t="n"/>
      <c r="Q737" s="102" t="n"/>
      <c r="R737" s="102" t="n"/>
      <c r="S737" s="102" t="n"/>
      <c r="T737" s="102" t="n"/>
      <c r="U737" s="102" t="n"/>
      <c r="V737" s="102" t="n"/>
      <c r="W737" s="102" t="n"/>
      <c r="X737" s="102" t="n"/>
      <c r="Y737" s="102" t="n"/>
      <c r="Z737" s="102" t="n"/>
      <c r="AA737" s="102" t="n"/>
      <c r="AB737" s="102" t="n"/>
      <c r="AC737" s="102" t="n"/>
      <c r="AD737" s="102" t="n"/>
      <c r="AE737" s="102" t="n"/>
      <c r="AF737" s="102" t="n"/>
      <c r="AG737" s="102" t="n"/>
      <c r="AH737" s="102" t="n"/>
      <c r="AI737" s="102" t="n"/>
      <c r="AJ737" s="102" t="n"/>
      <c r="AK737" s="102" t="n"/>
      <c r="AL737" s="102" t="n"/>
      <c r="AM737" s="102" t="n"/>
      <c r="AN737" s="102" t="n"/>
      <c r="AO737" s="102" t="n"/>
      <c r="AP737" s="102" t="n"/>
      <c r="AQ737" s="102" t="n"/>
      <c r="AR737" s="102" t="n"/>
    </row>
    <row r="738">
      <c r="D738" s="102" t="n"/>
      <c r="E738" s="102" t="n"/>
      <c r="F738" s="102" t="n"/>
      <c r="G738" s="102" t="n"/>
      <c r="H738" s="102" t="n"/>
      <c r="I738" s="102" t="n"/>
      <c r="J738" s="102" t="n"/>
      <c r="K738" s="102" t="n"/>
      <c r="L738" s="102" t="n"/>
      <c r="M738" s="102" t="n"/>
      <c r="N738" s="102" t="n"/>
      <c r="O738" s="102" t="n"/>
      <c r="P738" s="102" t="n"/>
      <c r="Q738" s="102" t="n"/>
      <c r="R738" s="102" t="n"/>
      <c r="S738" s="102" t="n"/>
      <c r="T738" s="102" t="n"/>
      <c r="U738" s="102" t="n"/>
      <c r="V738" s="102" t="n"/>
      <c r="W738" s="102" t="n"/>
      <c r="X738" s="102" t="n"/>
      <c r="Y738" s="102" t="n"/>
      <c r="Z738" s="102" t="n"/>
      <c r="AA738" s="102" t="n"/>
      <c r="AB738" s="102" t="n"/>
      <c r="AC738" s="102" t="n"/>
      <c r="AD738" s="102" t="n"/>
      <c r="AE738" s="102" t="n"/>
      <c r="AF738" s="102" t="n"/>
      <c r="AG738" s="102" t="n"/>
      <c r="AH738" s="102" t="n"/>
      <c r="AI738" s="102" t="n"/>
      <c r="AJ738" s="102" t="n"/>
      <c r="AK738" s="102" t="n"/>
      <c r="AL738" s="102" t="n"/>
      <c r="AM738" s="102" t="n"/>
      <c r="AN738" s="102" t="n"/>
      <c r="AO738" s="102" t="n"/>
      <c r="AP738" s="102" t="n"/>
      <c r="AQ738" s="102" t="n"/>
      <c r="AR738" s="102" t="n"/>
    </row>
    <row r="739">
      <c r="D739" s="102" t="n"/>
      <c r="E739" s="102" t="n"/>
      <c r="F739" s="102" t="n"/>
      <c r="G739" s="102" t="n"/>
      <c r="H739" s="102" t="n"/>
      <c r="I739" s="102" t="n"/>
      <c r="J739" s="102" t="n"/>
      <c r="K739" s="102" t="n"/>
      <c r="L739" s="102" t="n"/>
      <c r="M739" s="102" t="n"/>
      <c r="N739" s="102" t="n"/>
      <c r="O739" s="102" t="n"/>
      <c r="P739" s="102" t="n"/>
      <c r="Q739" s="102" t="n"/>
      <c r="R739" s="102" t="n"/>
      <c r="S739" s="102" t="n"/>
      <c r="T739" s="102" t="n"/>
      <c r="U739" s="102" t="n"/>
      <c r="V739" s="102" t="n"/>
      <c r="W739" s="102" t="n"/>
      <c r="X739" s="102" t="n"/>
      <c r="Y739" s="102" t="n"/>
      <c r="Z739" s="102" t="n"/>
      <c r="AA739" s="102" t="n"/>
      <c r="AB739" s="102" t="n"/>
      <c r="AC739" s="102" t="n"/>
      <c r="AD739" s="102" t="n"/>
      <c r="AE739" s="102" t="n"/>
      <c r="AF739" s="102" t="n"/>
      <c r="AG739" s="102" t="n"/>
      <c r="AH739" s="102" t="n"/>
      <c r="AI739" s="102" t="n"/>
      <c r="AJ739" s="102" t="n"/>
      <c r="AK739" s="102" t="n"/>
      <c r="AL739" s="102" t="n"/>
      <c r="AM739" s="102" t="n"/>
      <c r="AN739" s="102" t="n"/>
      <c r="AO739" s="102" t="n"/>
      <c r="AP739" s="102" t="n"/>
      <c r="AQ739" s="102" t="n"/>
      <c r="AR739" s="102" t="n"/>
    </row>
    <row r="740">
      <c r="D740" s="103" t="n"/>
      <c r="E740" s="103" t="n"/>
      <c r="F740" s="103" t="n"/>
      <c r="G740" s="103" t="n"/>
      <c r="H740" s="103" t="n"/>
      <c r="I740" s="103" t="n"/>
      <c r="J740" s="103" t="n"/>
      <c r="K740" s="103" t="n"/>
      <c r="L740" s="103" t="n"/>
      <c r="M740" s="103" t="n"/>
      <c r="N740" s="103" t="n"/>
      <c r="O740" s="103" t="n"/>
      <c r="P740" s="103" t="n"/>
      <c r="Q740" s="103" t="n"/>
      <c r="R740" s="103" t="n"/>
      <c r="S740" s="103" t="n"/>
      <c r="T740" s="103" t="n"/>
      <c r="U740" s="103" t="n"/>
      <c r="V740" s="103" t="n"/>
      <c r="W740" s="103" t="n"/>
      <c r="X740" s="103" t="n"/>
      <c r="Y740" s="103" t="n"/>
      <c r="Z740" s="103" t="n"/>
      <c r="AA740" s="103" t="n"/>
      <c r="AB740" s="103" t="n"/>
      <c r="AC740" s="103" t="n"/>
      <c r="AD740" s="103" t="n"/>
      <c r="AE740" s="103" t="n"/>
      <c r="AF740" s="103" t="n"/>
      <c r="AG740" s="103" t="n"/>
      <c r="AH740" s="103" t="n"/>
      <c r="AI740" s="103" t="n"/>
      <c r="AJ740" s="103" t="n"/>
      <c r="AK740" s="103" t="n"/>
      <c r="AL740" s="103" t="n"/>
      <c r="AM740" s="103" t="n"/>
      <c r="AN740" s="103" t="n"/>
      <c r="AO740" s="103" t="n"/>
      <c r="AP740" s="103" t="n"/>
      <c r="AQ740" s="103" t="n"/>
      <c r="AR740" s="103" t="n"/>
    </row>
    <row r="743">
      <c r="A743" s="2">
        <f>IF($A736="","","   projections")</f>
        <v/>
      </c>
      <c r="B743" s="99">
        <f>IF($A736="",0,COUNT($E744:$AR744))</f>
        <v/>
      </c>
      <c r="C743" s="100">
        <f>IF($B743=0,0,MAX($E744:$AR744))</f>
        <v/>
      </c>
      <c r="D743" s="101">
        <f>BDS($A736,FLD_PROJ,"headers=y","startcol=1","endcol=3","dir=h")</f>
        <v/>
      </c>
      <c r="E743" s="102" t="n"/>
      <c r="F743" s="102" t="n"/>
      <c r="G743" s="102" t="n"/>
      <c r="H743" s="102" t="n"/>
      <c r="I743" s="102" t="n"/>
      <c r="J743" s="102" t="n"/>
      <c r="K743" s="102" t="n"/>
      <c r="L743" s="102" t="n"/>
      <c r="M743" s="102" t="n"/>
      <c r="N743" s="102" t="n"/>
      <c r="O743" s="102" t="n"/>
      <c r="P743" s="102" t="n"/>
      <c r="Q743" s="102" t="n"/>
      <c r="R743" s="102" t="n"/>
      <c r="S743" s="102" t="n"/>
      <c r="T743" s="102" t="n"/>
      <c r="U743" s="102" t="n"/>
      <c r="V743" s="102" t="n"/>
      <c r="W743" s="102" t="n"/>
      <c r="X743" s="102" t="n"/>
      <c r="Y743" s="102" t="n"/>
      <c r="Z743" s="102" t="n"/>
      <c r="AA743" s="102" t="n"/>
      <c r="AB743" s="102" t="n"/>
      <c r="AC743" s="102" t="n"/>
      <c r="AD743" s="102" t="n"/>
      <c r="AE743" s="102" t="n"/>
      <c r="AF743" s="102" t="n"/>
      <c r="AG743" s="102" t="n"/>
      <c r="AH743" s="102" t="n"/>
      <c r="AI743" s="102" t="n"/>
      <c r="AJ743" s="102" t="n"/>
      <c r="AK743" s="102" t="n"/>
      <c r="AL743" s="102" t="n"/>
      <c r="AM743" s="102" t="n"/>
      <c r="AN743" s="102" t="n"/>
      <c r="AO743" s="102" t="n"/>
      <c r="AP743" s="102" t="n"/>
      <c r="AQ743" s="102" t="n"/>
      <c r="AR743" s="102" t="n"/>
    </row>
    <row r="744">
      <c r="D744" s="102" t="n"/>
      <c r="E744" s="102" t="n"/>
      <c r="F744" s="102" t="n"/>
      <c r="G744" s="102" t="n"/>
      <c r="H744" s="102" t="n"/>
      <c r="I744" s="102" t="n"/>
      <c r="J744" s="102" t="n"/>
      <c r="K744" s="102" t="n"/>
      <c r="L744" s="102" t="n"/>
      <c r="M744" s="102" t="n"/>
      <c r="N744" s="102" t="n"/>
      <c r="O744" s="102" t="n"/>
      <c r="P744" s="102" t="n"/>
      <c r="Q744" s="102" t="n"/>
      <c r="R744" s="102" t="n"/>
      <c r="S744" s="102" t="n"/>
      <c r="T744" s="102" t="n"/>
      <c r="U744" s="102" t="n"/>
      <c r="V744" s="102" t="n"/>
      <c r="W744" s="102" t="n"/>
      <c r="X744" s="102" t="n"/>
      <c r="Y744" s="102" t="n"/>
      <c r="Z744" s="102" t="n"/>
      <c r="AA744" s="102" t="n"/>
      <c r="AB744" s="102" t="n"/>
      <c r="AC744" s="102" t="n"/>
      <c r="AD744" s="102" t="n"/>
      <c r="AE744" s="102" t="n"/>
      <c r="AF744" s="102" t="n"/>
      <c r="AG744" s="102" t="n"/>
      <c r="AH744" s="102" t="n"/>
      <c r="AI744" s="102" t="n"/>
      <c r="AJ744" s="102" t="n"/>
      <c r="AK744" s="102" t="n"/>
      <c r="AL744" s="102" t="n"/>
      <c r="AM744" s="102" t="n"/>
      <c r="AN744" s="102" t="n"/>
      <c r="AO744" s="102" t="n"/>
      <c r="AP744" s="102" t="n"/>
      <c r="AQ744" s="102" t="n"/>
      <c r="AR744" s="102" t="n"/>
    </row>
    <row r="745">
      <c r="D745" s="103" t="n"/>
      <c r="E745" s="103" t="n"/>
      <c r="F745" s="103" t="n"/>
      <c r="G745" s="103" t="n"/>
      <c r="H745" s="103" t="n"/>
      <c r="I745" s="103" t="n"/>
      <c r="J745" s="103" t="n"/>
      <c r="K745" s="103" t="n"/>
      <c r="L745" s="103" t="n"/>
      <c r="M745" s="103" t="n"/>
      <c r="N745" s="103" t="n"/>
      <c r="O745" s="103" t="n"/>
      <c r="P745" s="103" t="n"/>
      <c r="Q745" s="103" t="n"/>
      <c r="R745" s="103" t="n"/>
      <c r="S745" s="103" t="n"/>
      <c r="T745" s="103" t="n"/>
      <c r="U745" s="103" t="n"/>
      <c r="V745" s="103" t="n"/>
      <c r="W745" s="103" t="n"/>
      <c r="X745" s="103" t="n"/>
      <c r="Y745" s="103" t="n"/>
      <c r="Z745" s="103" t="n"/>
      <c r="AA745" s="103" t="n"/>
      <c r="AB745" s="103" t="n"/>
      <c r="AC745" s="103" t="n"/>
      <c r="AD745" s="103" t="n"/>
      <c r="AE745" s="103" t="n"/>
      <c r="AF745" s="103" t="n"/>
      <c r="AG745" s="103" t="n"/>
      <c r="AH745" s="103" t="n"/>
      <c r="AI745" s="103" t="n"/>
      <c r="AJ745" s="103" t="n"/>
      <c r="AK745" s="103" t="n"/>
      <c r="AL745" s="103" t="n"/>
      <c r="AM745" s="103" t="n"/>
      <c r="AN745" s="103" t="n"/>
      <c r="AO745" s="103" t="n"/>
      <c r="AP745" s="103" t="n"/>
      <c r="AQ745" s="103" t="n"/>
      <c r="AR745" s="103" t="n"/>
    </row>
    <row r="747">
      <c r="A747" s="8">
        <f>IF(HSI!$C$74="","",HSI!$C$74)</f>
        <v/>
      </c>
      <c r="B747" s="99">
        <f>IF($A747="",0,COUNT($E748:$AR748))</f>
        <v/>
      </c>
      <c r="C747" s="100">
        <f>IF($B747=0,0,MAX($E748:$AR748))</f>
        <v/>
      </c>
      <c r="D747" s="101">
        <f>BDS($A747,FLD_HIST,"headers=y","startcol=1","endcol=7","dir=h","DVD_START_DT",HIST_FROM,"DVD_END_DT",HIST_TO)</f>
        <v/>
      </c>
      <c r="E747" s="102" t="n"/>
      <c r="F747" s="102" t="n"/>
      <c r="G747" s="102" t="n"/>
      <c r="H747" s="102" t="n"/>
      <c r="I747" s="102" t="n"/>
      <c r="J747" s="102" t="n"/>
      <c r="K747" s="102" t="n"/>
      <c r="L747" s="102" t="n"/>
      <c r="M747" s="102" t="n"/>
      <c r="N747" s="102" t="n"/>
      <c r="O747" s="102" t="n"/>
      <c r="P747" s="102" t="n"/>
      <c r="Q747" s="102" t="n"/>
      <c r="R747" s="102" t="n"/>
      <c r="S747" s="102" t="n"/>
      <c r="T747" s="102" t="n"/>
      <c r="U747" s="102" t="n"/>
      <c r="V747" s="102" t="n"/>
      <c r="W747" s="102" t="n"/>
      <c r="X747" s="102" t="n"/>
      <c r="Y747" s="102" t="n"/>
      <c r="Z747" s="102" t="n"/>
      <c r="AA747" s="102" t="n"/>
      <c r="AB747" s="102" t="n"/>
      <c r="AC747" s="102" t="n"/>
      <c r="AD747" s="102" t="n"/>
      <c r="AE747" s="102" t="n"/>
      <c r="AF747" s="102" t="n"/>
      <c r="AG747" s="102" t="n"/>
      <c r="AH747" s="102" t="n"/>
      <c r="AI747" s="102" t="n"/>
      <c r="AJ747" s="102" t="n"/>
      <c r="AK747" s="102" t="n"/>
      <c r="AL747" s="102" t="n"/>
      <c r="AM747" s="102" t="n"/>
      <c r="AN747" s="102" t="n"/>
      <c r="AO747" s="102" t="n"/>
      <c r="AP747" s="102" t="n"/>
      <c r="AQ747" s="102" t="n"/>
      <c r="AR747" s="102" t="n"/>
    </row>
    <row r="748">
      <c r="D748" s="102" t="n"/>
      <c r="E748" s="102" t="n"/>
      <c r="F748" s="102" t="n"/>
      <c r="G748" s="102" t="n"/>
      <c r="H748" s="102" t="n"/>
      <c r="I748" s="102" t="n"/>
      <c r="J748" s="102" t="n"/>
      <c r="K748" s="102" t="n"/>
      <c r="L748" s="102" t="n"/>
      <c r="M748" s="102" t="n"/>
      <c r="N748" s="102" t="n"/>
      <c r="O748" s="102" t="n"/>
      <c r="P748" s="102" t="n"/>
      <c r="Q748" s="102" t="n"/>
      <c r="R748" s="102" t="n"/>
      <c r="S748" s="102" t="n"/>
      <c r="T748" s="102" t="n"/>
      <c r="U748" s="102" t="n"/>
      <c r="V748" s="102" t="n"/>
      <c r="W748" s="102" t="n"/>
      <c r="X748" s="102" t="n"/>
      <c r="Y748" s="102" t="n"/>
      <c r="Z748" s="102" t="n"/>
      <c r="AA748" s="102" t="n"/>
      <c r="AB748" s="102" t="n"/>
      <c r="AC748" s="102" t="n"/>
      <c r="AD748" s="102" t="n"/>
      <c r="AE748" s="102" t="n"/>
      <c r="AF748" s="102" t="n"/>
      <c r="AG748" s="102" t="n"/>
      <c r="AH748" s="102" t="n"/>
      <c r="AI748" s="102" t="n"/>
      <c r="AJ748" s="102" t="n"/>
      <c r="AK748" s="102" t="n"/>
      <c r="AL748" s="102" t="n"/>
      <c r="AM748" s="102" t="n"/>
      <c r="AN748" s="102" t="n"/>
      <c r="AO748" s="102" t="n"/>
      <c r="AP748" s="102" t="n"/>
      <c r="AQ748" s="102" t="n"/>
      <c r="AR748" s="102" t="n"/>
    </row>
    <row r="749">
      <c r="D749" s="102" t="n"/>
      <c r="E749" s="102" t="n"/>
      <c r="F749" s="102" t="n"/>
      <c r="G749" s="102" t="n"/>
      <c r="H749" s="102" t="n"/>
      <c r="I749" s="102" t="n"/>
      <c r="J749" s="102" t="n"/>
      <c r="K749" s="102" t="n"/>
      <c r="L749" s="102" t="n"/>
      <c r="M749" s="102" t="n"/>
      <c r="N749" s="102" t="n"/>
      <c r="O749" s="102" t="n"/>
      <c r="P749" s="102" t="n"/>
      <c r="Q749" s="102" t="n"/>
      <c r="R749" s="102" t="n"/>
      <c r="S749" s="102" t="n"/>
      <c r="T749" s="102" t="n"/>
      <c r="U749" s="102" t="n"/>
      <c r="V749" s="102" t="n"/>
      <c r="W749" s="102" t="n"/>
      <c r="X749" s="102" t="n"/>
      <c r="Y749" s="102" t="n"/>
      <c r="Z749" s="102" t="n"/>
      <c r="AA749" s="102" t="n"/>
      <c r="AB749" s="102" t="n"/>
      <c r="AC749" s="102" t="n"/>
      <c r="AD749" s="102" t="n"/>
      <c r="AE749" s="102" t="n"/>
      <c r="AF749" s="102" t="n"/>
      <c r="AG749" s="102" t="n"/>
      <c r="AH749" s="102" t="n"/>
      <c r="AI749" s="102" t="n"/>
      <c r="AJ749" s="102" t="n"/>
      <c r="AK749" s="102" t="n"/>
      <c r="AL749" s="102" t="n"/>
      <c r="AM749" s="102" t="n"/>
      <c r="AN749" s="102" t="n"/>
      <c r="AO749" s="102" t="n"/>
      <c r="AP749" s="102" t="n"/>
      <c r="AQ749" s="102" t="n"/>
      <c r="AR749" s="102" t="n"/>
    </row>
    <row r="750">
      <c r="D750" s="102" t="n"/>
      <c r="E750" s="102" t="n"/>
      <c r="F750" s="102" t="n"/>
      <c r="G750" s="102" t="n"/>
      <c r="H750" s="102" t="n"/>
      <c r="I750" s="102" t="n"/>
      <c r="J750" s="102" t="n"/>
      <c r="K750" s="102" t="n"/>
      <c r="L750" s="102" t="n"/>
      <c r="M750" s="102" t="n"/>
      <c r="N750" s="102" t="n"/>
      <c r="O750" s="102" t="n"/>
      <c r="P750" s="102" t="n"/>
      <c r="Q750" s="102" t="n"/>
      <c r="R750" s="102" t="n"/>
      <c r="S750" s="102" t="n"/>
      <c r="T750" s="102" t="n"/>
      <c r="U750" s="102" t="n"/>
      <c r="V750" s="102" t="n"/>
      <c r="W750" s="102" t="n"/>
      <c r="X750" s="102" t="n"/>
      <c r="Y750" s="102" t="n"/>
      <c r="Z750" s="102" t="n"/>
      <c r="AA750" s="102" t="n"/>
      <c r="AB750" s="102" t="n"/>
      <c r="AC750" s="102" t="n"/>
      <c r="AD750" s="102" t="n"/>
      <c r="AE750" s="102" t="n"/>
      <c r="AF750" s="102" t="n"/>
      <c r="AG750" s="102" t="n"/>
      <c r="AH750" s="102" t="n"/>
      <c r="AI750" s="102" t="n"/>
      <c r="AJ750" s="102" t="n"/>
      <c r="AK750" s="102" t="n"/>
      <c r="AL750" s="102" t="n"/>
      <c r="AM750" s="102" t="n"/>
      <c r="AN750" s="102" t="n"/>
      <c r="AO750" s="102" t="n"/>
      <c r="AP750" s="102" t="n"/>
      <c r="AQ750" s="102" t="n"/>
      <c r="AR750" s="102" t="n"/>
    </row>
    <row r="751">
      <c r="D751" s="103" t="n"/>
      <c r="E751" s="103" t="n"/>
      <c r="F751" s="103" t="n"/>
      <c r="G751" s="103" t="n"/>
      <c r="H751" s="103" t="n"/>
      <c r="I751" s="103" t="n"/>
      <c r="J751" s="103" t="n"/>
      <c r="K751" s="103" t="n"/>
      <c r="L751" s="103" t="n"/>
      <c r="M751" s="103" t="n"/>
      <c r="N751" s="103" t="n"/>
      <c r="O751" s="103" t="n"/>
      <c r="P751" s="103" t="n"/>
      <c r="Q751" s="103" t="n"/>
      <c r="R751" s="103" t="n"/>
      <c r="S751" s="103" t="n"/>
      <c r="T751" s="103" t="n"/>
      <c r="U751" s="103" t="n"/>
      <c r="V751" s="103" t="n"/>
      <c r="W751" s="103" t="n"/>
      <c r="X751" s="103" t="n"/>
      <c r="Y751" s="103" t="n"/>
      <c r="Z751" s="103" t="n"/>
      <c r="AA751" s="103" t="n"/>
      <c r="AB751" s="103" t="n"/>
      <c r="AC751" s="103" t="n"/>
      <c r="AD751" s="103" t="n"/>
      <c r="AE751" s="103" t="n"/>
      <c r="AF751" s="103" t="n"/>
      <c r="AG751" s="103" t="n"/>
      <c r="AH751" s="103" t="n"/>
      <c r="AI751" s="103" t="n"/>
      <c r="AJ751" s="103" t="n"/>
      <c r="AK751" s="103" t="n"/>
      <c r="AL751" s="103" t="n"/>
      <c r="AM751" s="103" t="n"/>
      <c r="AN751" s="103" t="n"/>
      <c r="AO751" s="103" t="n"/>
      <c r="AP751" s="103" t="n"/>
      <c r="AQ751" s="103" t="n"/>
      <c r="AR751" s="103" t="n"/>
    </row>
    <row r="754">
      <c r="A754" s="2">
        <f>IF($A747="","","   projections")</f>
        <v/>
      </c>
      <c r="B754" s="99">
        <f>IF($A747="",0,COUNT($E755:$AR755))</f>
        <v/>
      </c>
      <c r="C754" s="100">
        <f>IF($B754=0,0,MAX($E755:$AR755))</f>
        <v/>
      </c>
      <c r="D754" s="101">
        <f>BDS($A747,FLD_PROJ,"headers=y","startcol=1","endcol=3","dir=h")</f>
        <v/>
      </c>
      <c r="E754" s="102" t="n"/>
      <c r="F754" s="102" t="n"/>
      <c r="G754" s="102" t="n"/>
      <c r="H754" s="102" t="n"/>
      <c r="I754" s="102" t="n"/>
      <c r="J754" s="102" t="n"/>
      <c r="K754" s="102" t="n"/>
      <c r="L754" s="102" t="n"/>
      <c r="M754" s="102" t="n"/>
      <c r="N754" s="102" t="n"/>
      <c r="O754" s="102" t="n"/>
      <c r="P754" s="102" t="n"/>
      <c r="Q754" s="102" t="n"/>
      <c r="R754" s="102" t="n"/>
      <c r="S754" s="102" t="n"/>
      <c r="T754" s="102" t="n"/>
      <c r="U754" s="102" t="n"/>
      <c r="V754" s="102" t="n"/>
      <c r="W754" s="102" t="n"/>
      <c r="X754" s="102" t="n"/>
      <c r="Y754" s="102" t="n"/>
      <c r="Z754" s="102" t="n"/>
      <c r="AA754" s="102" t="n"/>
      <c r="AB754" s="102" t="n"/>
      <c r="AC754" s="102" t="n"/>
      <c r="AD754" s="102" t="n"/>
      <c r="AE754" s="102" t="n"/>
      <c r="AF754" s="102" t="n"/>
      <c r="AG754" s="102" t="n"/>
      <c r="AH754" s="102" t="n"/>
      <c r="AI754" s="102" t="n"/>
      <c r="AJ754" s="102" t="n"/>
      <c r="AK754" s="102" t="n"/>
      <c r="AL754" s="102" t="n"/>
      <c r="AM754" s="102" t="n"/>
      <c r="AN754" s="102" t="n"/>
      <c r="AO754" s="102" t="n"/>
      <c r="AP754" s="102" t="n"/>
      <c r="AQ754" s="102" t="n"/>
      <c r="AR754" s="102" t="n"/>
    </row>
    <row r="755">
      <c r="D755" s="102" t="n"/>
      <c r="E755" s="102" t="n"/>
      <c r="F755" s="102" t="n"/>
      <c r="G755" s="102" t="n"/>
      <c r="H755" s="102" t="n"/>
      <c r="I755" s="102" t="n"/>
      <c r="J755" s="102" t="n"/>
      <c r="K755" s="102" t="n"/>
      <c r="L755" s="102" t="n"/>
      <c r="M755" s="102" t="n"/>
      <c r="N755" s="102" t="n"/>
      <c r="O755" s="102" t="n"/>
      <c r="P755" s="102" t="n"/>
      <c r="Q755" s="102" t="n"/>
      <c r="R755" s="102" t="n"/>
      <c r="S755" s="102" t="n"/>
      <c r="T755" s="102" t="n"/>
      <c r="U755" s="102" t="n"/>
      <c r="V755" s="102" t="n"/>
      <c r="W755" s="102" t="n"/>
      <c r="X755" s="102" t="n"/>
      <c r="Y755" s="102" t="n"/>
      <c r="Z755" s="102" t="n"/>
      <c r="AA755" s="102" t="n"/>
      <c r="AB755" s="102" t="n"/>
      <c r="AC755" s="102" t="n"/>
      <c r="AD755" s="102" t="n"/>
      <c r="AE755" s="102" t="n"/>
      <c r="AF755" s="102" t="n"/>
      <c r="AG755" s="102" t="n"/>
      <c r="AH755" s="102" t="n"/>
      <c r="AI755" s="102" t="n"/>
      <c r="AJ755" s="102" t="n"/>
      <c r="AK755" s="102" t="n"/>
      <c r="AL755" s="102" t="n"/>
      <c r="AM755" s="102" t="n"/>
      <c r="AN755" s="102" t="n"/>
      <c r="AO755" s="102" t="n"/>
      <c r="AP755" s="102" t="n"/>
      <c r="AQ755" s="102" t="n"/>
      <c r="AR755" s="102" t="n"/>
    </row>
    <row r="756">
      <c r="D756" s="103" t="n"/>
      <c r="E756" s="103" t="n"/>
      <c r="F756" s="103" t="n"/>
      <c r="G756" s="103" t="n"/>
      <c r="H756" s="103" t="n"/>
      <c r="I756" s="103" t="n"/>
      <c r="J756" s="103" t="n"/>
      <c r="K756" s="103" t="n"/>
      <c r="L756" s="103" t="n"/>
      <c r="M756" s="103" t="n"/>
      <c r="N756" s="103" t="n"/>
      <c r="O756" s="103" t="n"/>
      <c r="P756" s="103" t="n"/>
      <c r="Q756" s="103" t="n"/>
      <c r="R756" s="103" t="n"/>
      <c r="S756" s="103" t="n"/>
      <c r="T756" s="103" t="n"/>
      <c r="U756" s="103" t="n"/>
      <c r="V756" s="103" t="n"/>
      <c r="W756" s="103" t="n"/>
      <c r="X756" s="103" t="n"/>
      <c r="Y756" s="103" t="n"/>
      <c r="Z756" s="103" t="n"/>
      <c r="AA756" s="103" t="n"/>
      <c r="AB756" s="103" t="n"/>
      <c r="AC756" s="103" t="n"/>
      <c r="AD756" s="103" t="n"/>
      <c r="AE756" s="103" t="n"/>
      <c r="AF756" s="103" t="n"/>
      <c r="AG756" s="103" t="n"/>
      <c r="AH756" s="103" t="n"/>
      <c r="AI756" s="103" t="n"/>
      <c r="AJ756" s="103" t="n"/>
      <c r="AK756" s="103" t="n"/>
      <c r="AL756" s="103" t="n"/>
      <c r="AM756" s="103" t="n"/>
      <c r="AN756" s="103" t="n"/>
      <c r="AO756" s="103" t="n"/>
      <c r="AP756" s="103" t="n"/>
      <c r="AQ756" s="103" t="n"/>
      <c r="AR756" s="103" t="n"/>
    </row>
    <row r="758">
      <c r="A758" s="8">
        <f>IF(HSI!$C$75="","",HSI!$C$75)</f>
        <v/>
      </c>
      <c r="B758" s="99">
        <f>IF($A758="",0,COUNT($E759:$AR759))</f>
        <v/>
      </c>
      <c r="C758" s="100">
        <f>IF($B758=0,0,MAX($E759:$AR759))</f>
        <v/>
      </c>
      <c r="D758" s="101">
        <f>BDS($A758,FLD_HIST,"headers=y","startcol=1","endcol=7","dir=h","DVD_START_DT",HIST_FROM,"DVD_END_DT",HIST_TO)</f>
        <v/>
      </c>
      <c r="E758" s="102" t="n"/>
      <c r="F758" s="102" t="n"/>
      <c r="G758" s="102" t="n"/>
      <c r="H758" s="102" t="n"/>
      <c r="I758" s="102" t="n"/>
      <c r="J758" s="102" t="n"/>
      <c r="K758" s="102" t="n"/>
      <c r="L758" s="102" t="n"/>
      <c r="M758" s="102" t="n"/>
      <c r="N758" s="102" t="n"/>
      <c r="O758" s="102" t="n"/>
      <c r="P758" s="102" t="n"/>
      <c r="Q758" s="102" t="n"/>
      <c r="R758" s="102" t="n"/>
      <c r="S758" s="102" t="n"/>
      <c r="T758" s="102" t="n"/>
      <c r="U758" s="102" t="n"/>
      <c r="V758" s="102" t="n"/>
      <c r="W758" s="102" t="n"/>
      <c r="X758" s="102" t="n"/>
      <c r="Y758" s="102" t="n"/>
      <c r="Z758" s="102" t="n"/>
      <c r="AA758" s="102" t="n"/>
      <c r="AB758" s="102" t="n"/>
      <c r="AC758" s="102" t="n"/>
      <c r="AD758" s="102" t="n"/>
      <c r="AE758" s="102" t="n"/>
      <c r="AF758" s="102" t="n"/>
      <c r="AG758" s="102" t="n"/>
      <c r="AH758" s="102" t="n"/>
      <c r="AI758" s="102" t="n"/>
      <c r="AJ758" s="102" t="n"/>
      <c r="AK758" s="102" t="n"/>
      <c r="AL758" s="102" t="n"/>
      <c r="AM758" s="102" t="n"/>
      <c r="AN758" s="102" t="n"/>
      <c r="AO758" s="102" t="n"/>
      <c r="AP758" s="102" t="n"/>
      <c r="AQ758" s="102" t="n"/>
      <c r="AR758" s="102" t="n"/>
    </row>
    <row r="759">
      <c r="D759" s="102" t="n"/>
      <c r="E759" s="102" t="n"/>
      <c r="F759" s="102" t="n"/>
      <c r="G759" s="102" t="n"/>
      <c r="H759" s="102" t="n"/>
      <c r="I759" s="102" t="n"/>
      <c r="J759" s="102" t="n"/>
      <c r="K759" s="102" t="n"/>
      <c r="L759" s="102" t="n"/>
      <c r="M759" s="102" t="n"/>
      <c r="N759" s="102" t="n"/>
      <c r="O759" s="102" t="n"/>
      <c r="P759" s="102" t="n"/>
      <c r="Q759" s="102" t="n"/>
      <c r="R759" s="102" t="n"/>
      <c r="S759" s="102" t="n"/>
      <c r="T759" s="102" t="n"/>
      <c r="U759" s="102" t="n"/>
      <c r="V759" s="102" t="n"/>
      <c r="W759" s="102" t="n"/>
      <c r="X759" s="102" t="n"/>
      <c r="Y759" s="102" t="n"/>
      <c r="Z759" s="102" t="n"/>
      <c r="AA759" s="102" t="n"/>
      <c r="AB759" s="102" t="n"/>
      <c r="AC759" s="102" t="n"/>
      <c r="AD759" s="102" t="n"/>
      <c r="AE759" s="102" t="n"/>
      <c r="AF759" s="102" t="n"/>
      <c r="AG759" s="102" t="n"/>
      <c r="AH759" s="102" t="n"/>
      <c r="AI759" s="102" t="n"/>
      <c r="AJ759" s="102" t="n"/>
      <c r="AK759" s="102" t="n"/>
      <c r="AL759" s="102" t="n"/>
      <c r="AM759" s="102" t="n"/>
      <c r="AN759" s="102" t="n"/>
      <c r="AO759" s="102" t="n"/>
      <c r="AP759" s="102" t="n"/>
      <c r="AQ759" s="102" t="n"/>
      <c r="AR759" s="102" t="n"/>
    </row>
    <row r="760">
      <c r="D760" s="102" t="n"/>
      <c r="E760" s="102" t="n"/>
      <c r="F760" s="102" t="n"/>
      <c r="G760" s="102" t="n"/>
      <c r="H760" s="102" t="n"/>
      <c r="I760" s="102" t="n"/>
      <c r="J760" s="102" t="n"/>
      <c r="K760" s="102" t="n"/>
      <c r="L760" s="102" t="n"/>
      <c r="M760" s="102" t="n"/>
      <c r="N760" s="102" t="n"/>
      <c r="O760" s="102" t="n"/>
      <c r="P760" s="102" t="n"/>
      <c r="Q760" s="102" t="n"/>
      <c r="R760" s="102" t="n"/>
      <c r="S760" s="102" t="n"/>
      <c r="T760" s="102" t="n"/>
      <c r="U760" s="102" t="n"/>
      <c r="V760" s="102" t="n"/>
      <c r="W760" s="102" t="n"/>
      <c r="X760" s="102" t="n"/>
      <c r="Y760" s="102" t="n"/>
      <c r="Z760" s="102" t="n"/>
      <c r="AA760" s="102" t="n"/>
      <c r="AB760" s="102" t="n"/>
      <c r="AC760" s="102" t="n"/>
      <c r="AD760" s="102" t="n"/>
      <c r="AE760" s="102" t="n"/>
      <c r="AF760" s="102" t="n"/>
      <c r="AG760" s="102" t="n"/>
      <c r="AH760" s="102" t="n"/>
      <c r="AI760" s="102" t="n"/>
      <c r="AJ760" s="102" t="n"/>
      <c r="AK760" s="102" t="n"/>
      <c r="AL760" s="102" t="n"/>
      <c r="AM760" s="102" t="n"/>
      <c r="AN760" s="102" t="n"/>
      <c r="AO760" s="102" t="n"/>
      <c r="AP760" s="102" t="n"/>
      <c r="AQ760" s="102" t="n"/>
      <c r="AR760" s="102" t="n"/>
    </row>
    <row r="761">
      <c r="D761" s="102" t="n"/>
      <c r="E761" s="102" t="n"/>
      <c r="F761" s="102" t="n"/>
      <c r="G761" s="102" t="n"/>
      <c r="H761" s="102" t="n"/>
      <c r="I761" s="102" t="n"/>
      <c r="J761" s="102" t="n"/>
      <c r="K761" s="102" t="n"/>
      <c r="L761" s="102" t="n"/>
      <c r="M761" s="102" t="n"/>
      <c r="N761" s="102" t="n"/>
      <c r="O761" s="102" t="n"/>
      <c r="P761" s="102" t="n"/>
      <c r="Q761" s="102" t="n"/>
      <c r="R761" s="102" t="n"/>
      <c r="S761" s="102" t="n"/>
      <c r="T761" s="102" t="n"/>
      <c r="U761" s="102" t="n"/>
      <c r="V761" s="102" t="n"/>
      <c r="W761" s="102" t="n"/>
      <c r="X761" s="102" t="n"/>
      <c r="Y761" s="102" t="n"/>
      <c r="Z761" s="102" t="n"/>
      <c r="AA761" s="102" t="n"/>
      <c r="AB761" s="102" t="n"/>
      <c r="AC761" s="102" t="n"/>
      <c r="AD761" s="102" t="n"/>
      <c r="AE761" s="102" t="n"/>
      <c r="AF761" s="102" t="n"/>
      <c r="AG761" s="102" t="n"/>
      <c r="AH761" s="102" t="n"/>
      <c r="AI761" s="102" t="n"/>
      <c r="AJ761" s="102" t="n"/>
      <c r="AK761" s="102" t="n"/>
      <c r="AL761" s="102" t="n"/>
      <c r="AM761" s="102" t="n"/>
      <c r="AN761" s="102" t="n"/>
      <c r="AO761" s="102" t="n"/>
      <c r="AP761" s="102" t="n"/>
      <c r="AQ761" s="102" t="n"/>
      <c r="AR761" s="102" t="n"/>
    </row>
    <row r="762">
      <c r="D762" s="103" t="n"/>
      <c r="E762" s="103" t="n"/>
      <c r="F762" s="103" t="n"/>
      <c r="G762" s="103" t="n"/>
      <c r="H762" s="103" t="n"/>
      <c r="I762" s="103" t="n"/>
      <c r="J762" s="103" t="n"/>
      <c r="K762" s="103" t="n"/>
      <c r="L762" s="103" t="n"/>
      <c r="M762" s="103" t="n"/>
      <c r="N762" s="103" t="n"/>
      <c r="O762" s="103" t="n"/>
      <c r="P762" s="103" t="n"/>
      <c r="Q762" s="103" t="n"/>
      <c r="R762" s="103" t="n"/>
      <c r="S762" s="103" t="n"/>
      <c r="T762" s="103" t="n"/>
      <c r="U762" s="103" t="n"/>
      <c r="V762" s="103" t="n"/>
      <c r="W762" s="103" t="n"/>
      <c r="X762" s="103" t="n"/>
      <c r="Y762" s="103" t="n"/>
      <c r="Z762" s="103" t="n"/>
      <c r="AA762" s="103" t="n"/>
      <c r="AB762" s="103" t="n"/>
      <c r="AC762" s="103" t="n"/>
      <c r="AD762" s="103" t="n"/>
      <c r="AE762" s="103" t="n"/>
      <c r="AF762" s="103" t="n"/>
      <c r="AG762" s="103" t="n"/>
      <c r="AH762" s="103" t="n"/>
      <c r="AI762" s="103" t="n"/>
      <c r="AJ762" s="103" t="n"/>
      <c r="AK762" s="103" t="n"/>
      <c r="AL762" s="103" t="n"/>
      <c r="AM762" s="103" t="n"/>
      <c r="AN762" s="103" t="n"/>
      <c r="AO762" s="103" t="n"/>
      <c r="AP762" s="103" t="n"/>
      <c r="AQ762" s="103" t="n"/>
      <c r="AR762" s="103" t="n"/>
    </row>
    <row r="765">
      <c r="A765" s="2">
        <f>IF($A758="","","   projections")</f>
        <v/>
      </c>
      <c r="B765" s="99">
        <f>IF($A758="",0,COUNT($E766:$AR766))</f>
        <v/>
      </c>
      <c r="C765" s="100">
        <f>IF($B765=0,0,MAX($E766:$AR766))</f>
        <v/>
      </c>
      <c r="D765" s="101">
        <f>BDS($A758,FLD_PROJ,"headers=y","startcol=1","endcol=3","dir=h")</f>
        <v/>
      </c>
      <c r="E765" s="102" t="n"/>
      <c r="F765" s="102" t="n"/>
      <c r="G765" s="102" t="n"/>
      <c r="H765" s="102" t="n"/>
      <c r="I765" s="102" t="n"/>
      <c r="J765" s="102" t="n"/>
      <c r="K765" s="102" t="n"/>
      <c r="L765" s="102" t="n"/>
      <c r="M765" s="102" t="n"/>
      <c r="N765" s="102" t="n"/>
      <c r="O765" s="102" t="n"/>
      <c r="P765" s="102" t="n"/>
      <c r="Q765" s="102" t="n"/>
      <c r="R765" s="102" t="n"/>
      <c r="S765" s="102" t="n"/>
      <c r="T765" s="102" t="n"/>
      <c r="U765" s="102" t="n"/>
      <c r="V765" s="102" t="n"/>
      <c r="W765" s="102" t="n"/>
      <c r="X765" s="102" t="n"/>
      <c r="Y765" s="102" t="n"/>
      <c r="Z765" s="102" t="n"/>
      <c r="AA765" s="102" t="n"/>
      <c r="AB765" s="102" t="n"/>
      <c r="AC765" s="102" t="n"/>
      <c r="AD765" s="102" t="n"/>
      <c r="AE765" s="102" t="n"/>
      <c r="AF765" s="102" t="n"/>
      <c r="AG765" s="102" t="n"/>
      <c r="AH765" s="102" t="n"/>
      <c r="AI765" s="102" t="n"/>
      <c r="AJ765" s="102" t="n"/>
      <c r="AK765" s="102" t="n"/>
      <c r="AL765" s="102" t="n"/>
      <c r="AM765" s="102" t="n"/>
      <c r="AN765" s="102" t="n"/>
      <c r="AO765" s="102" t="n"/>
      <c r="AP765" s="102" t="n"/>
      <c r="AQ765" s="102" t="n"/>
      <c r="AR765" s="102" t="n"/>
    </row>
    <row r="766">
      <c r="D766" s="102" t="n"/>
      <c r="E766" s="102" t="n"/>
      <c r="F766" s="102" t="n"/>
      <c r="G766" s="102" t="n"/>
      <c r="H766" s="102" t="n"/>
      <c r="I766" s="102" t="n"/>
      <c r="J766" s="102" t="n"/>
      <c r="K766" s="102" t="n"/>
      <c r="L766" s="102" t="n"/>
      <c r="M766" s="102" t="n"/>
      <c r="N766" s="102" t="n"/>
      <c r="O766" s="102" t="n"/>
      <c r="P766" s="102" t="n"/>
      <c r="Q766" s="102" t="n"/>
      <c r="R766" s="102" t="n"/>
      <c r="S766" s="102" t="n"/>
      <c r="T766" s="102" t="n"/>
      <c r="U766" s="102" t="n"/>
      <c r="V766" s="102" t="n"/>
      <c r="W766" s="102" t="n"/>
      <c r="X766" s="102" t="n"/>
      <c r="Y766" s="102" t="n"/>
      <c r="Z766" s="102" t="n"/>
      <c r="AA766" s="102" t="n"/>
      <c r="AB766" s="102" t="n"/>
      <c r="AC766" s="102" t="n"/>
      <c r="AD766" s="102" t="n"/>
      <c r="AE766" s="102" t="n"/>
      <c r="AF766" s="102" t="n"/>
      <c r="AG766" s="102" t="n"/>
      <c r="AH766" s="102" t="n"/>
      <c r="AI766" s="102" t="n"/>
      <c r="AJ766" s="102" t="n"/>
      <c r="AK766" s="102" t="n"/>
      <c r="AL766" s="102" t="n"/>
      <c r="AM766" s="102" t="n"/>
      <c r="AN766" s="102" t="n"/>
      <c r="AO766" s="102" t="n"/>
      <c r="AP766" s="102" t="n"/>
      <c r="AQ766" s="102" t="n"/>
      <c r="AR766" s="102" t="n"/>
    </row>
    <row r="767">
      <c r="D767" s="103" t="n"/>
      <c r="E767" s="103" t="n"/>
      <c r="F767" s="103" t="n"/>
      <c r="G767" s="103" t="n"/>
      <c r="H767" s="103" t="n"/>
      <c r="I767" s="103" t="n"/>
      <c r="J767" s="103" t="n"/>
      <c r="K767" s="103" t="n"/>
      <c r="L767" s="103" t="n"/>
      <c r="M767" s="103" t="n"/>
      <c r="N767" s="103" t="n"/>
      <c r="O767" s="103" t="n"/>
      <c r="P767" s="103" t="n"/>
      <c r="Q767" s="103" t="n"/>
      <c r="R767" s="103" t="n"/>
      <c r="S767" s="103" t="n"/>
      <c r="T767" s="103" t="n"/>
      <c r="U767" s="103" t="n"/>
      <c r="V767" s="103" t="n"/>
      <c r="W767" s="103" t="n"/>
      <c r="X767" s="103" t="n"/>
      <c r="Y767" s="103" t="n"/>
      <c r="Z767" s="103" t="n"/>
      <c r="AA767" s="103" t="n"/>
      <c r="AB767" s="103" t="n"/>
      <c r="AC767" s="103" t="n"/>
      <c r="AD767" s="103" t="n"/>
      <c r="AE767" s="103" t="n"/>
      <c r="AF767" s="103" t="n"/>
      <c r="AG767" s="103" t="n"/>
      <c r="AH767" s="103" t="n"/>
      <c r="AI767" s="103" t="n"/>
      <c r="AJ767" s="103" t="n"/>
      <c r="AK767" s="103" t="n"/>
      <c r="AL767" s="103" t="n"/>
      <c r="AM767" s="103" t="n"/>
      <c r="AN767" s="103" t="n"/>
      <c r="AO767" s="103" t="n"/>
      <c r="AP767" s="103" t="n"/>
      <c r="AQ767" s="103" t="n"/>
      <c r="AR767" s="103" t="n"/>
    </row>
    <row r="769">
      <c r="A769" s="8">
        <f>IF(HSI!$C$76="","",HSI!$C$76)</f>
        <v/>
      </c>
      <c r="B769" s="99">
        <f>IF($A769="",0,COUNT($E770:$AR770))</f>
        <v/>
      </c>
      <c r="C769" s="100">
        <f>IF($B769=0,0,MAX($E770:$AR770))</f>
        <v/>
      </c>
      <c r="D769" s="101">
        <f>BDS($A769,FLD_HIST,"headers=y","startcol=1","endcol=7","dir=h","DVD_START_DT",HIST_FROM,"DVD_END_DT",HIST_TO)</f>
        <v/>
      </c>
      <c r="E769" s="102" t="n"/>
      <c r="F769" s="102" t="n"/>
      <c r="G769" s="102" t="n"/>
      <c r="H769" s="102" t="n"/>
      <c r="I769" s="102" t="n"/>
      <c r="J769" s="102" t="n"/>
      <c r="K769" s="102" t="n"/>
      <c r="L769" s="102" t="n"/>
      <c r="M769" s="102" t="n"/>
      <c r="N769" s="102" t="n"/>
      <c r="O769" s="102" t="n"/>
      <c r="P769" s="102" t="n"/>
      <c r="Q769" s="102" t="n"/>
      <c r="R769" s="102" t="n"/>
      <c r="S769" s="102" t="n"/>
      <c r="T769" s="102" t="n"/>
      <c r="U769" s="102" t="n"/>
      <c r="V769" s="102" t="n"/>
      <c r="W769" s="102" t="n"/>
      <c r="X769" s="102" t="n"/>
      <c r="Y769" s="102" t="n"/>
      <c r="Z769" s="102" t="n"/>
      <c r="AA769" s="102" t="n"/>
      <c r="AB769" s="102" t="n"/>
      <c r="AC769" s="102" t="n"/>
      <c r="AD769" s="102" t="n"/>
      <c r="AE769" s="102" t="n"/>
      <c r="AF769" s="102" t="n"/>
      <c r="AG769" s="102" t="n"/>
      <c r="AH769" s="102" t="n"/>
      <c r="AI769" s="102" t="n"/>
      <c r="AJ769" s="102" t="n"/>
      <c r="AK769" s="102" t="n"/>
      <c r="AL769" s="102" t="n"/>
      <c r="AM769" s="102" t="n"/>
      <c r="AN769" s="102" t="n"/>
      <c r="AO769" s="102" t="n"/>
      <c r="AP769" s="102" t="n"/>
      <c r="AQ769" s="102" t="n"/>
      <c r="AR769" s="102" t="n"/>
    </row>
    <row r="770">
      <c r="D770" s="102" t="n"/>
      <c r="E770" s="102" t="n"/>
      <c r="F770" s="102" t="n"/>
      <c r="G770" s="102" t="n"/>
      <c r="H770" s="102" t="n"/>
      <c r="I770" s="102" t="n"/>
      <c r="J770" s="102" t="n"/>
      <c r="K770" s="102" t="n"/>
      <c r="L770" s="102" t="n"/>
      <c r="M770" s="102" t="n"/>
      <c r="N770" s="102" t="n"/>
      <c r="O770" s="102" t="n"/>
      <c r="P770" s="102" t="n"/>
      <c r="Q770" s="102" t="n"/>
      <c r="R770" s="102" t="n"/>
      <c r="S770" s="102" t="n"/>
      <c r="T770" s="102" t="n"/>
      <c r="U770" s="102" t="n"/>
      <c r="V770" s="102" t="n"/>
      <c r="W770" s="102" t="n"/>
      <c r="X770" s="102" t="n"/>
      <c r="Y770" s="102" t="n"/>
      <c r="Z770" s="102" t="n"/>
      <c r="AA770" s="102" t="n"/>
      <c r="AB770" s="102" t="n"/>
      <c r="AC770" s="102" t="n"/>
      <c r="AD770" s="102" t="n"/>
      <c r="AE770" s="102" t="n"/>
      <c r="AF770" s="102" t="n"/>
      <c r="AG770" s="102" t="n"/>
      <c r="AH770" s="102" t="n"/>
      <c r="AI770" s="102" t="n"/>
      <c r="AJ770" s="102" t="n"/>
      <c r="AK770" s="102" t="n"/>
      <c r="AL770" s="102" t="n"/>
      <c r="AM770" s="102" t="n"/>
      <c r="AN770" s="102" t="n"/>
      <c r="AO770" s="102" t="n"/>
      <c r="AP770" s="102" t="n"/>
      <c r="AQ770" s="102" t="n"/>
      <c r="AR770" s="102" t="n"/>
    </row>
    <row r="771">
      <c r="D771" s="102" t="n"/>
      <c r="E771" s="102" t="n"/>
      <c r="F771" s="102" t="n"/>
      <c r="G771" s="102" t="n"/>
      <c r="H771" s="102" t="n"/>
      <c r="I771" s="102" t="n"/>
      <c r="J771" s="102" t="n"/>
      <c r="K771" s="102" t="n"/>
      <c r="L771" s="102" t="n"/>
      <c r="M771" s="102" t="n"/>
      <c r="N771" s="102" t="n"/>
      <c r="O771" s="102" t="n"/>
      <c r="P771" s="102" t="n"/>
      <c r="Q771" s="102" t="n"/>
      <c r="R771" s="102" t="n"/>
      <c r="S771" s="102" t="n"/>
      <c r="T771" s="102" t="n"/>
      <c r="U771" s="102" t="n"/>
      <c r="V771" s="102" t="n"/>
      <c r="W771" s="102" t="n"/>
      <c r="X771" s="102" t="n"/>
      <c r="Y771" s="102" t="n"/>
      <c r="Z771" s="102" t="n"/>
      <c r="AA771" s="102" t="n"/>
      <c r="AB771" s="102" t="n"/>
      <c r="AC771" s="102" t="n"/>
      <c r="AD771" s="102" t="n"/>
      <c r="AE771" s="102" t="n"/>
      <c r="AF771" s="102" t="n"/>
      <c r="AG771" s="102" t="n"/>
      <c r="AH771" s="102" t="n"/>
      <c r="AI771" s="102" t="n"/>
      <c r="AJ771" s="102" t="n"/>
      <c r="AK771" s="102" t="n"/>
      <c r="AL771" s="102" t="n"/>
      <c r="AM771" s="102" t="n"/>
      <c r="AN771" s="102" t="n"/>
      <c r="AO771" s="102" t="n"/>
      <c r="AP771" s="102" t="n"/>
      <c r="AQ771" s="102" t="n"/>
      <c r="AR771" s="102" t="n"/>
    </row>
    <row r="772">
      <c r="D772" s="102" t="n"/>
      <c r="E772" s="102" t="n"/>
      <c r="F772" s="102" t="n"/>
      <c r="G772" s="102" t="n"/>
      <c r="H772" s="102" t="n"/>
      <c r="I772" s="102" t="n"/>
      <c r="J772" s="102" t="n"/>
      <c r="K772" s="102" t="n"/>
      <c r="L772" s="102" t="n"/>
      <c r="M772" s="102" t="n"/>
      <c r="N772" s="102" t="n"/>
      <c r="O772" s="102" t="n"/>
      <c r="P772" s="102" t="n"/>
      <c r="Q772" s="102" t="n"/>
      <c r="R772" s="102" t="n"/>
      <c r="S772" s="102" t="n"/>
      <c r="T772" s="102" t="n"/>
      <c r="U772" s="102" t="n"/>
      <c r="V772" s="102" t="n"/>
      <c r="W772" s="102" t="n"/>
      <c r="X772" s="102" t="n"/>
      <c r="Y772" s="102" t="n"/>
      <c r="Z772" s="102" t="n"/>
      <c r="AA772" s="102" t="n"/>
      <c r="AB772" s="102" t="n"/>
      <c r="AC772" s="102" t="n"/>
      <c r="AD772" s="102" t="n"/>
      <c r="AE772" s="102" t="n"/>
      <c r="AF772" s="102" t="n"/>
      <c r="AG772" s="102" t="n"/>
      <c r="AH772" s="102" t="n"/>
      <c r="AI772" s="102" t="n"/>
      <c r="AJ772" s="102" t="n"/>
      <c r="AK772" s="102" t="n"/>
      <c r="AL772" s="102" t="n"/>
      <c r="AM772" s="102" t="n"/>
      <c r="AN772" s="102" t="n"/>
      <c r="AO772" s="102" t="n"/>
      <c r="AP772" s="102" t="n"/>
      <c r="AQ772" s="102" t="n"/>
      <c r="AR772" s="102" t="n"/>
    </row>
    <row r="773">
      <c r="D773" s="103" t="n"/>
      <c r="E773" s="103" t="n"/>
      <c r="F773" s="103" t="n"/>
      <c r="G773" s="103" t="n"/>
      <c r="H773" s="103" t="n"/>
      <c r="I773" s="103" t="n"/>
      <c r="J773" s="103" t="n"/>
      <c r="K773" s="103" t="n"/>
      <c r="L773" s="103" t="n"/>
      <c r="M773" s="103" t="n"/>
      <c r="N773" s="103" t="n"/>
      <c r="O773" s="103" t="n"/>
      <c r="P773" s="103" t="n"/>
      <c r="Q773" s="103" t="n"/>
      <c r="R773" s="103" t="n"/>
      <c r="S773" s="103" t="n"/>
      <c r="T773" s="103" t="n"/>
      <c r="U773" s="103" t="n"/>
      <c r="V773" s="103" t="n"/>
      <c r="W773" s="103" t="n"/>
      <c r="X773" s="103" t="n"/>
      <c r="Y773" s="103" t="n"/>
      <c r="Z773" s="103" t="n"/>
      <c r="AA773" s="103" t="n"/>
      <c r="AB773" s="103" t="n"/>
      <c r="AC773" s="103" t="n"/>
      <c r="AD773" s="103" t="n"/>
      <c r="AE773" s="103" t="n"/>
      <c r="AF773" s="103" t="n"/>
      <c r="AG773" s="103" t="n"/>
      <c r="AH773" s="103" t="n"/>
      <c r="AI773" s="103" t="n"/>
      <c r="AJ773" s="103" t="n"/>
      <c r="AK773" s="103" t="n"/>
      <c r="AL773" s="103" t="n"/>
      <c r="AM773" s="103" t="n"/>
      <c r="AN773" s="103" t="n"/>
      <c r="AO773" s="103" t="n"/>
      <c r="AP773" s="103" t="n"/>
      <c r="AQ773" s="103" t="n"/>
      <c r="AR773" s="103" t="n"/>
    </row>
    <row r="776">
      <c r="A776" s="2">
        <f>IF($A769="","","   projections")</f>
        <v/>
      </c>
      <c r="B776" s="99">
        <f>IF($A769="",0,COUNT($E777:$AR777))</f>
        <v/>
      </c>
      <c r="C776" s="100">
        <f>IF($B776=0,0,MAX($E777:$AR777))</f>
        <v/>
      </c>
      <c r="D776" s="101">
        <f>BDS($A769,FLD_PROJ,"headers=y","startcol=1","endcol=3","dir=h")</f>
        <v/>
      </c>
      <c r="E776" s="102" t="n"/>
      <c r="F776" s="102" t="n"/>
      <c r="G776" s="102" t="n"/>
      <c r="H776" s="102" t="n"/>
      <c r="I776" s="102" t="n"/>
      <c r="J776" s="102" t="n"/>
      <c r="K776" s="102" t="n"/>
      <c r="L776" s="102" t="n"/>
      <c r="M776" s="102" t="n"/>
      <c r="N776" s="102" t="n"/>
      <c r="O776" s="102" t="n"/>
      <c r="P776" s="102" t="n"/>
      <c r="Q776" s="102" t="n"/>
      <c r="R776" s="102" t="n"/>
      <c r="S776" s="102" t="n"/>
      <c r="T776" s="102" t="n"/>
      <c r="U776" s="102" t="n"/>
      <c r="V776" s="102" t="n"/>
      <c r="W776" s="102" t="n"/>
      <c r="X776" s="102" t="n"/>
      <c r="Y776" s="102" t="n"/>
      <c r="Z776" s="102" t="n"/>
      <c r="AA776" s="102" t="n"/>
      <c r="AB776" s="102" t="n"/>
      <c r="AC776" s="102" t="n"/>
      <c r="AD776" s="102" t="n"/>
      <c r="AE776" s="102" t="n"/>
      <c r="AF776" s="102" t="n"/>
      <c r="AG776" s="102" t="n"/>
      <c r="AH776" s="102" t="n"/>
      <c r="AI776" s="102" t="n"/>
      <c r="AJ776" s="102" t="n"/>
      <c r="AK776" s="102" t="n"/>
      <c r="AL776" s="102" t="n"/>
      <c r="AM776" s="102" t="n"/>
      <c r="AN776" s="102" t="n"/>
      <c r="AO776" s="102" t="n"/>
      <c r="AP776" s="102" t="n"/>
      <c r="AQ776" s="102" t="n"/>
      <c r="AR776" s="102" t="n"/>
    </row>
    <row r="777">
      <c r="D777" s="102" t="n"/>
      <c r="E777" s="102" t="n"/>
      <c r="F777" s="102" t="n"/>
      <c r="G777" s="102" t="n"/>
      <c r="H777" s="102" t="n"/>
      <c r="I777" s="102" t="n"/>
      <c r="J777" s="102" t="n"/>
      <c r="K777" s="102" t="n"/>
      <c r="L777" s="102" t="n"/>
      <c r="M777" s="102" t="n"/>
      <c r="N777" s="102" t="n"/>
      <c r="O777" s="102" t="n"/>
      <c r="P777" s="102" t="n"/>
      <c r="Q777" s="102" t="n"/>
      <c r="R777" s="102" t="n"/>
      <c r="S777" s="102" t="n"/>
      <c r="T777" s="102" t="n"/>
      <c r="U777" s="102" t="n"/>
      <c r="V777" s="102" t="n"/>
      <c r="W777" s="102" t="n"/>
      <c r="X777" s="102" t="n"/>
      <c r="Y777" s="102" t="n"/>
      <c r="Z777" s="102" t="n"/>
      <c r="AA777" s="102" t="n"/>
      <c r="AB777" s="102" t="n"/>
      <c r="AC777" s="102" t="n"/>
      <c r="AD777" s="102" t="n"/>
      <c r="AE777" s="102" t="n"/>
      <c r="AF777" s="102" t="n"/>
      <c r="AG777" s="102" t="n"/>
      <c r="AH777" s="102" t="n"/>
      <c r="AI777" s="102" t="n"/>
      <c r="AJ777" s="102" t="n"/>
      <c r="AK777" s="102" t="n"/>
      <c r="AL777" s="102" t="n"/>
      <c r="AM777" s="102" t="n"/>
      <c r="AN777" s="102" t="n"/>
      <c r="AO777" s="102" t="n"/>
      <c r="AP777" s="102" t="n"/>
      <c r="AQ777" s="102" t="n"/>
      <c r="AR777" s="102" t="n"/>
    </row>
    <row r="778">
      <c r="D778" s="103" t="n"/>
      <c r="E778" s="103" t="n"/>
      <c r="F778" s="103" t="n"/>
      <c r="G778" s="103" t="n"/>
      <c r="H778" s="103" t="n"/>
      <c r="I778" s="103" t="n"/>
      <c r="J778" s="103" t="n"/>
      <c r="K778" s="103" t="n"/>
      <c r="L778" s="103" t="n"/>
      <c r="M778" s="103" t="n"/>
      <c r="N778" s="103" t="n"/>
      <c r="O778" s="103" t="n"/>
      <c r="P778" s="103" t="n"/>
      <c r="Q778" s="103" t="n"/>
      <c r="R778" s="103" t="n"/>
      <c r="S778" s="103" t="n"/>
      <c r="T778" s="103" t="n"/>
      <c r="U778" s="103" t="n"/>
      <c r="V778" s="103" t="n"/>
      <c r="W778" s="103" t="n"/>
      <c r="X778" s="103" t="n"/>
      <c r="Y778" s="103" t="n"/>
      <c r="Z778" s="103" t="n"/>
      <c r="AA778" s="103" t="n"/>
      <c r="AB778" s="103" t="n"/>
      <c r="AC778" s="103" t="n"/>
      <c r="AD778" s="103" t="n"/>
      <c r="AE778" s="103" t="n"/>
      <c r="AF778" s="103" t="n"/>
      <c r="AG778" s="103" t="n"/>
      <c r="AH778" s="103" t="n"/>
      <c r="AI778" s="103" t="n"/>
      <c r="AJ778" s="103" t="n"/>
      <c r="AK778" s="103" t="n"/>
      <c r="AL778" s="103" t="n"/>
      <c r="AM778" s="103" t="n"/>
      <c r="AN778" s="103" t="n"/>
      <c r="AO778" s="103" t="n"/>
      <c r="AP778" s="103" t="n"/>
      <c r="AQ778" s="103" t="n"/>
      <c r="AR778" s="103" t="n"/>
    </row>
    <row r="780">
      <c r="A780" s="8">
        <f>IF(HSI!$C$77="","",HSI!$C$77)</f>
        <v/>
      </c>
      <c r="B780" s="99">
        <f>IF($A780="",0,COUNT($E781:$AR781))</f>
        <v/>
      </c>
      <c r="C780" s="100">
        <f>IF($B780=0,0,MAX($E781:$AR781))</f>
        <v/>
      </c>
      <c r="D780" s="101">
        <f>BDS($A780,FLD_HIST,"headers=y","startcol=1","endcol=7","dir=h","DVD_START_DT",HIST_FROM,"DVD_END_DT",HIST_TO)</f>
        <v/>
      </c>
      <c r="E780" s="102" t="n"/>
      <c r="F780" s="102" t="n"/>
      <c r="G780" s="102" t="n"/>
      <c r="H780" s="102" t="n"/>
      <c r="I780" s="102" t="n"/>
      <c r="J780" s="102" t="n"/>
      <c r="K780" s="102" t="n"/>
      <c r="L780" s="102" t="n"/>
      <c r="M780" s="102" t="n"/>
      <c r="N780" s="102" t="n"/>
      <c r="O780" s="102" t="n"/>
      <c r="P780" s="102" t="n"/>
      <c r="Q780" s="102" t="n"/>
      <c r="R780" s="102" t="n"/>
      <c r="S780" s="102" t="n"/>
      <c r="T780" s="102" t="n"/>
      <c r="U780" s="102" t="n"/>
      <c r="V780" s="102" t="n"/>
      <c r="W780" s="102" t="n"/>
      <c r="X780" s="102" t="n"/>
      <c r="Y780" s="102" t="n"/>
      <c r="Z780" s="102" t="n"/>
      <c r="AA780" s="102" t="n"/>
      <c r="AB780" s="102" t="n"/>
      <c r="AC780" s="102" t="n"/>
      <c r="AD780" s="102" t="n"/>
      <c r="AE780" s="102" t="n"/>
      <c r="AF780" s="102" t="n"/>
      <c r="AG780" s="102" t="n"/>
      <c r="AH780" s="102" t="n"/>
      <c r="AI780" s="102" t="n"/>
      <c r="AJ780" s="102" t="n"/>
      <c r="AK780" s="102" t="n"/>
      <c r="AL780" s="102" t="n"/>
      <c r="AM780" s="102" t="n"/>
      <c r="AN780" s="102" t="n"/>
      <c r="AO780" s="102" t="n"/>
      <c r="AP780" s="102" t="n"/>
      <c r="AQ780" s="102" t="n"/>
      <c r="AR780" s="102" t="n"/>
    </row>
    <row r="781">
      <c r="D781" s="102" t="n"/>
      <c r="E781" s="102" t="n"/>
      <c r="F781" s="102" t="n"/>
      <c r="G781" s="102" t="n"/>
      <c r="H781" s="102" t="n"/>
      <c r="I781" s="102" t="n"/>
      <c r="J781" s="102" t="n"/>
      <c r="K781" s="102" t="n"/>
      <c r="L781" s="102" t="n"/>
      <c r="M781" s="102" t="n"/>
      <c r="N781" s="102" t="n"/>
      <c r="O781" s="102" t="n"/>
      <c r="P781" s="102" t="n"/>
      <c r="Q781" s="102" t="n"/>
      <c r="R781" s="102" t="n"/>
      <c r="S781" s="102" t="n"/>
      <c r="T781" s="102" t="n"/>
      <c r="U781" s="102" t="n"/>
      <c r="V781" s="102" t="n"/>
      <c r="W781" s="102" t="n"/>
      <c r="X781" s="102" t="n"/>
      <c r="Y781" s="102" t="n"/>
      <c r="Z781" s="102" t="n"/>
      <c r="AA781" s="102" t="n"/>
      <c r="AB781" s="102" t="n"/>
      <c r="AC781" s="102" t="n"/>
      <c r="AD781" s="102" t="n"/>
      <c r="AE781" s="102" t="n"/>
      <c r="AF781" s="102" t="n"/>
      <c r="AG781" s="102" t="n"/>
      <c r="AH781" s="102" t="n"/>
      <c r="AI781" s="102" t="n"/>
      <c r="AJ781" s="102" t="n"/>
      <c r="AK781" s="102" t="n"/>
      <c r="AL781" s="102" t="n"/>
      <c r="AM781" s="102" t="n"/>
      <c r="AN781" s="102" t="n"/>
      <c r="AO781" s="102" t="n"/>
      <c r="AP781" s="102" t="n"/>
      <c r="AQ781" s="102" t="n"/>
      <c r="AR781" s="102" t="n"/>
    </row>
    <row r="782">
      <c r="D782" s="102" t="n"/>
      <c r="E782" s="102" t="n"/>
      <c r="F782" s="102" t="n"/>
      <c r="G782" s="102" t="n"/>
      <c r="H782" s="102" t="n"/>
      <c r="I782" s="102" t="n"/>
      <c r="J782" s="102" t="n"/>
      <c r="K782" s="102" t="n"/>
      <c r="L782" s="102" t="n"/>
      <c r="M782" s="102" t="n"/>
      <c r="N782" s="102" t="n"/>
      <c r="O782" s="102" t="n"/>
      <c r="P782" s="102" t="n"/>
      <c r="Q782" s="102" t="n"/>
      <c r="R782" s="102" t="n"/>
      <c r="S782" s="102" t="n"/>
      <c r="T782" s="102" t="n"/>
      <c r="U782" s="102" t="n"/>
      <c r="V782" s="102" t="n"/>
      <c r="W782" s="102" t="n"/>
      <c r="X782" s="102" t="n"/>
      <c r="Y782" s="102" t="n"/>
      <c r="Z782" s="102" t="n"/>
      <c r="AA782" s="102" t="n"/>
      <c r="AB782" s="102" t="n"/>
      <c r="AC782" s="102" t="n"/>
      <c r="AD782" s="102" t="n"/>
      <c r="AE782" s="102" t="n"/>
      <c r="AF782" s="102" t="n"/>
      <c r="AG782" s="102" t="n"/>
      <c r="AH782" s="102" t="n"/>
      <c r="AI782" s="102" t="n"/>
      <c r="AJ782" s="102" t="n"/>
      <c r="AK782" s="102" t="n"/>
      <c r="AL782" s="102" t="n"/>
      <c r="AM782" s="102" t="n"/>
      <c r="AN782" s="102" t="n"/>
      <c r="AO782" s="102" t="n"/>
      <c r="AP782" s="102" t="n"/>
      <c r="AQ782" s="102" t="n"/>
      <c r="AR782" s="102" t="n"/>
    </row>
    <row r="783">
      <c r="D783" s="102" t="n"/>
      <c r="E783" s="102" t="n"/>
      <c r="F783" s="102" t="n"/>
      <c r="G783" s="102" t="n"/>
      <c r="H783" s="102" t="n"/>
      <c r="I783" s="102" t="n"/>
      <c r="J783" s="102" t="n"/>
      <c r="K783" s="102" t="n"/>
      <c r="L783" s="102" t="n"/>
      <c r="M783" s="102" t="n"/>
      <c r="N783" s="102" t="n"/>
      <c r="O783" s="102" t="n"/>
      <c r="P783" s="102" t="n"/>
      <c r="Q783" s="102" t="n"/>
      <c r="R783" s="102" t="n"/>
      <c r="S783" s="102" t="n"/>
      <c r="T783" s="102" t="n"/>
      <c r="U783" s="102" t="n"/>
      <c r="V783" s="102" t="n"/>
      <c r="W783" s="102" t="n"/>
      <c r="X783" s="102" t="n"/>
      <c r="Y783" s="102" t="n"/>
      <c r="Z783" s="102" t="n"/>
      <c r="AA783" s="102" t="n"/>
      <c r="AB783" s="102" t="n"/>
      <c r="AC783" s="102" t="n"/>
      <c r="AD783" s="102" t="n"/>
      <c r="AE783" s="102" t="n"/>
      <c r="AF783" s="102" t="n"/>
      <c r="AG783" s="102" t="n"/>
      <c r="AH783" s="102" t="n"/>
      <c r="AI783" s="102" t="n"/>
      <c r="AJ783" s="102" t="n"/>
      <c r="AK783" s="102" t="n"/>
      <c r="AL783" s="102" t="n"/>
      <c r="AM783" s="102" t="n"/>
      <c r="AN783" s="102" t="n"/>
      <c r="AO783" s="102" t="n"/>
      <c r="AP783" s="102" t="n"/>
      <c r="AQ783" s="102" t="n"/>
      <c r="AR783" s="102" t="n"/>
    </row>
    <row r="784">
      <c r="D784" s="103" t="n"/>
      <c r="E784" s="103" t="n"/>
      <c r="F784" s="103" t="n"/>
      <c r="G784" s="103" t="n"/>
      <c r="H784" s="103" t="n"/>
      <c r="I784" s="103" t="n"/>
      <c r="J784" s="103" t="n"/>
      <c r="K784" s="103" t="n"/>
      <c r="L784" s="103" t="n"/>
      <c r="M784" s="103" t="n"/>
      <c r="N784" s="103" t="n"/>
      <c r="O784" s="103" t="n"/>
      <c r="P784" s="103" t="n"/>
      <c r="Q784" s="103" t="n"/>
      <c r="R784" s="103" t="n"/>
      <c r="S784" s="103" t="n"/>
      <c r="T784" s="103" t="n"/>
      <c r="U784" s="103" t="n"/>
      <c r="V784" s="103" t="n"/>
      <c r="W784" s="103" t="n"/>
      <c r="X784" s="103" t="n"/>
      <c r="Y784" s="103" t="n"/>
      <c r="Z784" s="103" t="n"/>
      <c r="AA784" s="103" t="n"/>
      <c r="AB784" s="103" t="n"/>
      <c r="AC784" s="103" t="n"/>
      <c r="AD784" s="103" t="n"/>
      <c r="AE784" s="103" t="n"/>
      <c r="AF784" s="103" t="n"/>
      <c r="AG784" s="103" t="n"/>
      <c r="AH784" s="103" t="n"/>
      <c r="AI784" s="103" t="n"/>
      <c r="AJ784" s="103" t="n"/>
      <c r="AK784" s="103" t="n"/>
      <c r="AL784" s="103" t="n"/>
      <c r="AM784" s="103" t="n"/>
      <c r="AN784" s="103" t="n"/>
      <c r="AO784" s="103" t="n"/>
      <c r="AP784" s="103" t="n"/>
      <c r="AQ784" s="103" t="n"/>
      <c r="AR784" s="103" t="n"/>
    </row>
    <row r="787">
      <c r="A787" s="2">
        <f>IF($A780="","","   projections")</f>
        <v/>
      </c>
      <c r="B787" s="99">
        <f>IF($A780="",0,COUNT($E788:$AR788))</f>
        <v/>
      </c>
      <c r="C787" s="100">
        <f>IF($B787=0,0,MAX($E788:$AR788))</f>
        <v/>
      </c>
      <c r="D787" s="101">
        <f>BDS($A780,FLD_PROJ,"headers=y","startcol=1","endcol=3","dir=h")</f>
        <v/>
      </c>
      <c r="E787" s="102" t="n"/>
      <c r="F787" s="102" t="n"/>
      <c r="G787" s="102" t="n"/>
      <c r="H787" s="102" t="n"/>
      <c r="I787" s="102" t="n"/>
      <c r="J787" s="102" t="n"/>
      <c r="K787" s="102" t="n"/>
      <c r="L787" s="102" t="n"/>
      <c r="M787" s="102" t="n"/>
      <c r="N787" s="102" t="n"/>
      <c r="O787" s="102" t="n"/>
      <c r="P787" s="102" t="n"/>
      <c r="Q787" s="102" t="n"/>
      <c r="R787" s="102" t="n"/>
      <c r="S787" s="102" t="n"/>
      <c r="T787" s="102" t="n"/>
      <c r="U787" s="102" t="n"/>
      <c r="V787" s="102" t="n"/>
      <c r="W787" s="102" t="n"/>
      <c r="X787" s="102" t="n"/>
      <c r="Y787" s="102" t="n"/>
      <c r="Z787" s="102" t="n"/>
      <c r="AA787" s="102" t="n"/>
      <c r="AB787" s="102" t="n"/>
      <c r="AC787" s="102" t="n"/>
      <c r="AD787" s="102" t="n"/>
      <c r="AE787" s="102" t="n"/>
      <c r="AF787" s="102" t="n"/>
      <c r="AG787" s="102" t="n"/>
      <c r="AH787" s="102" t="n"/>
      <c r="AI787" s="102" t="n"/>
      <c r="AJ787" s="102" t="n"/>
      <c r="AK787" s="102" t="n"/>
      <c r="AL787" s="102" t="n"/>
      <c r="AM787" s="102" t="n"/>
      <c r="AN787" s="102" t="n"/>
      <c r="AO787" s="102" t="n"/>
      <c r="AP787" s="102" t="n"/>
      <c r="AQ787" s="102" t="n"/>
      <c r="AR787" s="102" t="n"/>
    </row>
    <row r="788">
      <c r="D788" s="102" t="n"/>
      <c r="E788" s="102" t="n"/>
      <c r="F788" s="102" t="n"/>
      <c r="G788" s="102" t="n"/>
      <c r="H788" s="102" t="n"/>
      <c r="I788" s="102" t="n"/>
      <c r="J788" s="102" t="n"/>
      <c r="K788" s="102" t="n"/>
      <c r="L788" s="102" t="n"/>
      <c r="M788" s="102" t="n"/>
      <c r="N788" s="102" t="n"/>
      <c r="O788" s="102" t="n"/>
      <c r="P788" s="102" t="n"/>
      <c r="Q788" s="102" t="n"/>
      <c r="R788" s="102" t="n"/>
      <c r="S788" s="102" t="n"/>
      <c r="T788" s="102" t="n"/>
      <c r="U788" s="102" t="n"/>
      <c r="V788" s="102" t="n"/>
      <c r="W788" s="102" t="n"/>
      <c r="X788" s="102" t="n"/>
      <c r="Y788" s="102" t="n"/>
      <c r="Z788" s="102" t="n"/>
      <c r="AA788" s="102" t="n"/>
      <c r="AB788" s="102" t="n"/>
      <c r="AC788" s="102" t="n"/>
      <c r="AD788" s="102" t="n"/>
      <c r="AE788" s="102" t="n"/>
      <c r="AF788" s="102" t="n"/>
      <c r="AG788" s="102" t="n"/>
      <c r="AH788" s="102" t="n"/>
      <c r="AI788" s="102" t="n"/>
      <c r="AJ788" s="102" t="n"/>
      <c r="AK788" s="102" t="n"/>
      <c r="AL788" s="102" t="n"/>
      <c r="AM788" s="102" t="n"/>
      <c r="AN788" s="102" t="n"/>
      <c r="AO788" s="102" t="n"/>
      <c r="AP788" s="102" t="n"/>
      <c r="AQ788" s="102" t="n"/>
      <c r="AR788" s="102" t="n"/>
    </row>
    <row r="789">
      <c r="D789" s="103" t="n"/>
      <c r="E789" s="103" t="n"/>
      <c r="F789" s="103" t="n"/>
      <c r="G789" s="103" t="n"/>
      <c r="H789" s="103" t="n"/>
      <c r="I789" s="103" t="n"/>
      <c r="J789" s="103" t="n"/>
      <c r="K789" s="103" t="n"/>
      <c r="L789" s="103" t="n"/>
      <c r="M789" s="103" t="n"/>
      <c r="N789" s="103" t="n"/>
      <c r="O789" s="103" t="n"/>
      <c r="P789" s="103" t="n"/>
      <c r="Q789" s="103" t="n"/>
      <c r="R789" s="103" t="n"/>
      <c r="S789" s="103" t="n"/>
      <c r="T789" s="103" t="n"/>
      <c r="U789" s="103" t="n"/>
      <c r="V789" s="103" t="n"/>
      <c r="W789" s="103" t="n"/>
      <c r="X789" s="103" t="n"/>
      <c r="Y789" s="103" t="n"/>
      <c r="Z789" s="103" t="n"/>
      <c r="AA789" s="103" t="n"/>
      <c r="AB789" s="103" t="n"/>
      <c r="AC789" s="103" t="n"/>
      <c r="AD789" s="103" t="n"/>
      <c r="AE789" s="103" t="n"/>
      <c r="AF789" s="103" t="n"/>
      <c r="AG789" s="103" t="n"/>
      <c r="AH789" s="103" t="n"/>
      <c r="AI789" s="103" t="n"/>
      <c r="AJ789" s="103" t="n"/>
      <c r="AK789" s="103" t="n"/>
      <c r="AL789" s="103" t="n"/>
      <c r="AM789" s="103" t="n"/>
      <c r="AN789" s="103" t="n"/>
      <c r="AO789" s="103" t="n"/>
      <c r="AP789" s="103" t="n"/>
      <c r="AQ789" s="103" t="n"/>
      <c r="AR789" s="103" t="n"/>
    </row>
    <row r="791">
      <c r="A791" s="8">
        <f>IF(HSI!$C$78="","",HSI!$C$78)</f>
        <v/>
      </c>
      <c r="B791" s="99">
        <f>IF($A791="",0,COUNT($E792:$AR792))</f>
        <v/>
      </c>
      <c r="C791" s="100">
        <f>IF($B791=0,0,MAX($E792:$AR792))</f>
        <v/>
      </c>
      <c r="D791" s="101">
        <f>BDS($A791,FLD_HIST,"headers=y","startcol=1","endcol=7","dir=h","DVD_START_DT",HIST_FROM,"DVD_END_DT",HIST_TO)</f>
        <v/>
      </c>
      <c r="E791" s="102" t="n"/>
      <c r="F791" s="102" t="n"/>
      <c r="G791" s="102" t="n"/>
      <c r="H791" s="102" t="n"/>
      <c r="I791" s="102" t="n"/>
      <c r="J791" s="102" t="n"/>
      <c r="K791" s="102" t="n"/>
      <c r="L791" s="102" t="n"/>
      <c r="M791" s="102" t="n"/>
      <c r="N791" s="102" t="n"/>
      <c r="O791" s="102" t="n"/>
      <c r="P791" s="102" t="n"/>
      <c r="Q791" s="102" t="n"/>
      <c r="R791" s="102" t="n"/>
      <c r="S791" s="102" t="n"/>
      <c r="T791" s="102" t="n"/>
      <c r="U791" s="102" t="n"/>
      <c r="V791" s="102" t="n"/>
      <c r="W791" s="102" t="n"/>
      <c r="X791" s="102" t="n"/>
      <c r="Y791" s="102" t="n"/>
      <c r="Z791" s="102" t="n"/>
      <c r="AA791" s="102" t="n"/>
      <c r="AB791" s="102" t="n"/>
      <c r="AC791" s="102" t="n"/>
      <c r="AD791" s="102" t="n"/>
      <c r="AE791" s="102" t="n"/>
      <c r="AF791" s="102" t="n"/>
      <c r="AG791" s="102" t="n"/>
      <c r="AH791" s="102" t="n"/>
      <c r="AI791" s="102" t="n"/>
      <c r="AJ791" s="102" t="n"/>
      <c r="AK791" s="102" t="n"/>
      <c r="AL791" s="102" t="n"/>
      <c r="AM791" s="102" t="n"/>
      <c r="AN791" s="102" t="n"/>
      <c r="AO791" s="102" t="n"/>
      <c r="AP791" s="102" t="n"/>
      <c r="AQ791" s="102" t="n"/>
      <c r="AR791" s="102" t="n"/>
    </row>
    <row r="792">
      <c r="D792" s="102" t="n"/>
      <c r="E792" s="102" t="n"/>
      <c r="F792" s="102" t="n"/>
      <c r="G792" s="102" t="n"/>
      <c r="H792" s="102" t="n"/>
      <c r="I792" s="102" t="n"/>
      <c r="J792" s="102" t="n"/>
      <c r="K792" s="102" t="n"/>
      <c r="L792" s="102" t="n"/>
      <c r="M792" s="102" t="n"/>
      <c r="N792" s="102" t="n"/>
      <c r="O792" s="102" t="n"/>
      <c r="P792" s="102" t="n"/>
      <c r="Q792" s="102" t="n"/>
      <c r="R792" s="102" t="n"/>
      <c r="S792" s="102" t="n"/>
      <c r="T792" s="102" t="n"/>
      <c r="U792" s="102" t="n"/>
      <c r="V792" s="102" t="n"/>
      <c r="W792" s="102" t="n"/>
      <c r="X792" s="102" t="n"/>
      <c r="Y792" s="102" t="n"/>
      <c r="Z792" s="102" t="n"/>
      <c r="AA792" s="102" t="n"/>
      <c r="AB792" s="102" t="n"/>
      <c r="AC792" s="102" t="n"/>
      <c r="AD792" s="102" t="n"/>
      <c r="AE792" s="102" t="n"/>
      <c r="AF792" s="102" t="n"/>
      <c r="AG792" s="102" t="n"/>
      <c r="AH792" s="102" t="n"/>
      <c r="AI792" s="102" t="n"/>
      <c r="AJ792" s="102" t="n"/>
      <c r="AK792" s="102" t="n"/>
      <c r="AL792" s="102" t="n"/>
      <c r="AM792" s="102" t="n"/>
      <c r="AN792" s="102" t="n"/>
      <c r="AO792" s="102" t="n"/>
      <c r="AP792" s="102" t="n"/>
      <c r="AQ792" s="102" t="n"/>
      <c r="AR792" s="102" t="n"/>
    </row>
    <row r="793">
      <c r="D793" s="102" t="n"/>
      <c r="E793" s="102" t="n"/>
      <c r="F793" s="102" t="n"/>
      <c r="G793" s="102" t="n"/>
      <c r="H793" s="102" t="n"/>
      <c r="I793" s="102" t="n"/>
      <c r="J793" s="102" t="n"/>
      <c r="K793" s="102" t="n"/>
      <c r="L793" s="102" t="n"/>
      <c r="M793" s="102" t="n"/>
      <c r="N793" s="102" t="n"/>
      <c r="O793" s="102" t="n"/>
      <c r="P793" s="102" t="n"/>
      <c r="Q793" s="102" t="n"/>
      <c r="R793" s="102" t="n"/>
      <c r="S793" s="102" t="n"/>
      <c r="T793" s="102" t="n"/>
      <c r="U793" s="102" t="n"/>
      <c r="V793" s="102" t="n"/>
      <c r="W793" s="102" t="n"/>
      <c r="X793" s="102" t="n"/>
      <c r="Y793" s="102" t="n"/>
      <c r="Z793" s="102" t="n"/>
      <c r="AA793" s="102" t="n"/>
      <c r="AB793" s="102" t="n"/>
      <c r="AC793" s="102" t="n"/>
      <c r="AD793" s="102" t="n"/>
      <c r="AE793" s="102" t="n"/>
      <c r="AF793" s="102" t="n"/>
      <c r="AG793" s="102" t="n"/>
      <c r="AH793" s="102" t="n"/>
      <c r="AI793" s="102" t="n"/>
      <c r="AJ793" s="102" t="n"/>
      <c r="AK793" s="102" t="n"/>
      <c r="AL793" s="102" t="n"/>
      <c r="AM793" s="102" t="n"/>
      <c r="AN793" s="102" t="n"/>
      <c r="AO793" s="102" t="n"/>
      <c r="AP793" s="102" t="n"/>
      <c r="AQ793" s="102" t="n"/>
      <c r="AR793" s="102" t="n"/>
    </row>
    <row r="794">
      <c r="D794" s="102" t="n"/>
      <c r="E794" s="102" t="n"/>
      <c r="F794" s="102" t="n"/>
      <c r="G794" s="102" t="n"/>
      <c r="H794" s="102" t="n"/>
      <c r="I794" s="102" t="n"/>
      <c r="J794" s="102" t="n"/>
      <c r="K794" s="102" t="n"/>
      <c r="L794" s="102" t="n"/>
      <c r="M794" s="102" t="n"/>
      <c r="N794" s="102" t="n"/>
      <c r="O794" s="102" t="n"/>
      <c r="P794" s="102" t="n"/>
      <c r="Q794" s="102" t="n"/>
      <c r="R794" s="102" t="n"/>
      <c r="S794" s="102" t="n"/>
      <c r="T794" s="102" t="n"/>
      <c r="U794" s="102" t="n"/>
      <c r="V794" s="102" t="n"/>
      <c r="W794" s="102" t="n"/>
      <c r="X794" s="102" t="n"/>
      <c r="Y794" s="102" t="n"/>
      <c r="Z794" s="102" t="n"/>
      <c r="AA794" s="102" t="n"/>
      <c r="AB794" s="102" t="n"/>
      <c r="AC794" s="102" t="n"/>
      <c r="AD794" s="102" t="n"/>
      <c r="AE794" s="102" t="n"/>
      <c r="AF794" s="102" t="n"/>
      <c r="AG794" s="102" t="n"/>
      <c r="AH794" s="102" t="n"/>
      <c r="AI794" s="102" t="n"/>
      <c r="AJ794" s="102" t="n"/>
      <c r="AK794" s="102" t="n"/>
      <c r="AL794" s="102" t="n"/>
      <c r="AM794" s="102" t="n"/>
      <c r="AN794" s="102" t="n"/>
      <c r="AO794" s="102" t="n"/>
      <c r="AP794" s="102" t="n"/>
      <c r="AQ794" s="102" t="n"/>
      <c r="AR794" s="102" t="n"/>
    </row>
    <row r="795">
      <c r="D795" s="103" t="n"/>
      <c r="E795" s="103" t="n"/>
      <c r="F795" s="103" t="n"/>
      <c r="G795" s="103" t="n"/>
      <c r="H795" s="103" t="n"/>
      <c r="I795" s="103" t="n"/>
      <c r="J795" s="103" t="n"/>
      <c r="K795" s="103" t="n"/>
      <c r="L795" s="103" t="n"/>
      <c r="M795" s="103" t="n"/>
      <c r="N795" s="103" t="n"/>
      <c r="O795" s="103" t="n"/>
      <c r="P795" s="103" t="n"/>
      <c r="Q795" s="103" t="n"/>
      <c r="R795" s="103" t="n"/>
      <c r="S795" s="103" t="n"/>
      <c r="T795" s="103" t="n"/>
      <c r="U795" s="103" t="n"/>
      <c r="V795" s="103" t="n"/>
      <c r="W795" s="103" t="n"/>
      <c r="X795" s="103" t="n"/>
      <c r="Y795" s="103" t="n"/>
      <c r="Z795" s="103" t="n"/>
      <c r="AA795" s="103" t="n"/>
      <c r="AB795" s="103" t="n"/>
      <c r="AC795" s="103" t="n"/>
      <c r="AD795" s="103" t="n"/>
      <c r="AE795" s="103" t="n"/>
      <c r="AF795" s="103" t="n"/>
      <c r="AG795" s="103" t="n"/>
      <c r="AH795" s="103" t="n"/>
      <c r="AI795" s="103" t="n"/>
      <c r="AJ795" s="103" t="n"/>
      <c r="AK795" s="103" t="n"/>
      <c r="AL795" s="103" t="n"/>
      <c r="AM795" s="103" t="n"/>
      <c r="AN795" s="103" t="n"/>
      <c r="AO795" s="103" t="n"/>
      <c r="AP795" s="103" t="n"/>
      <c r="AQ795" s="103" t="n"/>
      <c r="AR795" s="103" t="n"/>
    </row>
    <row r="798">
      <c r="A798" s="2">
        <f>IF($A791="","","   projections")</f>
        <v/>
      </c>
      <c r="B798" s="99">
        <f>IF($A791="",0,COUNT($E799:$AR799))</f>
        <v/>
      </c>
      <c r="C798" s="100">
        <f>IF($B798=0,0,MAX($E799:$AR799))</f>
        <v/>
      </c>
      <c r="D798" s="101">
        <f>BDS($A791,FLD_PROJ,"headers=y","startcol=1","endcol=3","dir=h")</f>
        <v/>
      </c>
      <c r="E798" s="102" t="n"/>
      <c r="F798" s="102" t="n"/>
      <c r="G798" s="102" t="n"/>
      <c r="H798" s="102" t="n"/>
      <c r="I798" s="102" t="n"/>
      <c r="J798" s="102" t="n"/>
      <c r="K798" s="102" t="n"/>
      <c r="L798" s="102" t="n"/>
      <c r="M798" s="102" t="n"/>
      <c r="N798" s="102" t="n"/>
      <c r="O798" s="102" t="n"/>
      <c r="P798" s="102" t="n"/>
      <c r="Q798" s="102" t="n"/>
      <c r="R798" s="102" t="n"/>
      <c r="S798" s="102" t="n"/>
      <c r="T798" s="102" t="n"/>
      <c r="U798" s="102" t="n"/>
      <c r="V798" s="102" t="n"/>
      <c r="W798" s="102" t="n"/>
      <c r="X798" s="102" t="n"/>
      <c r="Y798" s="102" t="n"/>
      <c r="Z798" s="102" t="n"/>
      <c r="AA798" s="102" t="n"/>
      <c r="AB798" s="102" t="n"/>
      <c r="AC798" s="102" t="n"/>
      <c r="AD798" s="102" t="n"/>
      <c r="AE798" s="102" t="n"/>
      <c r="AF798" s="102" t="n"/>
      <c r="AG798" s="102" t="n"/>
      <c r="AH798" s="102" t="n"/>
      <c r="AI798" s="102" t="n"/>
      <c r="AJ798" s="102" t="n"/>
      <c r="AK798" s="102" t="n"/>
      <c r="AL798" s="102" t="n"/>
      <c r="AM798" s="102" t="n"/>
      <c r="AN798" s="102" t="n"/>
      <c r="AO798" s="102" t="n"/>
      <c r="AP798" s="102" t="n"/>
      <c r="AQ798" s="102" t="n"/>
      <c r="AR798" s="102" t="n"/>
    </row>
    <row r="799">
      <c r="D799" s="102" t="n"/>
      <c r="E799" s="102" t="n"/>
      <c r="F799" s="102" t="n"/>
      <c r="G799" s="102" t="n"/>
      <c r="H799" s="102" t="n"/>
      <c r="I799" s="102" t="n"/>
      <c r="J799" s="102" t="n"/>
      <c r="K799" s="102" t="n"/>
      <c r="L799" s="102" t="n"/>
      <c r="M799" s="102" t="n"/>
      <c r="N799" s="102" t="n"/>
      <c r="O799" s="102" t="n"/>
      <c r="P799" s="102" t="n"/>
      <c r="Q799" s="102" t="n"/>
      <c r="R799" s="102" t="n"/>
      <c r="S799" s="102" t="n"/>
      <c r="T799" s="102" t="n"/>
      <c r="U799" s="102" t="n"/>
      <c r="V799" s="102" t="n"/>
      <c r="W799" s="102" t="n"/>
      <c r="X799" s="102" t="n"/>
      <c r="Y799" s="102" t="n"/>
      <c r="Z799" s="102" t="n"/>
      <c r="AA799" s="102" t="n"/>
      <c r="AB799" s="102" t="n"/>
      <c r="AC799" s="102" t="n"/>
      <c r="AD799" s="102" t="n"/>
      <c r="AE799" s="102" t="n"/>
      <c r="AF799" s="102" t="n"/>
      <c r="AG799" s="102" t="n"/>
      <c r="AH799" s="102" t="n"/>
      <c r="AI799" s="102" t="n"/>
      <c r="AJ799" s="102" t="n"/>
      <c r="AK799" s="102" t="n"/>
      <c r="AL799" s="102" t="n"/>
      <c r="AM799" s="102" t="n"/>
      <c r="AN799" s="102" t="n"/>
      <c r="AO799" s="102" t="n"/>
      <c r="AP799" s="102" t="n"/>
      <c r="AQ799" s="102" t="n"/>
      <c r="AR799" s="102" t="n"/>
    </row>
    <row r="800">
      <c r="D800" s="103" t="n"/>
      <c r="E800" s="103" t="n"/>
      <c r="F800" s="103" t="n"/>
      <c r="G800" s="103" t="n"/>
      <c r="H800" s="103" t="n"/>
      <c r="I800" s="103" t="n"/>
      <c r="J800" s="103" t="n"/>
      <c r="K800" s="103" t="n"/>
      <c r="L800" s="103" t="n"/>
      <c r="M800" s="103" t="n"/>
      <c r="N800" s="103" t="n"/>
      <c r="O800" s="103" t="n"/>
      <c r="P800" s="103" t="n"/>
      <c r="Q800" s="103" t="n"/>
      <c r="R800" s="103" t="n"/>
      <c r="S800" s="103" t="n"/>
      <c r="T800" s="103" t="n"/>
      <c r="U800" s="103" t="n"/>
      <c r="V800" s="103" t="n"/>
      <c r="W800" s="103" t="n"/>
      <c r="X800" s="103" t="n"/>
      <c r="Y800" s="103" t="n"/>
      <c r="Z800" s="103" t="n"/>
      <c r="AA800" s="103" t="n"/>
      <c r="AB800" s="103" t="n"/>
      <c r="AC800" s="103" t="n"/>
      <c r="AD800" s="103" t="n"/>
      <c r="AE800" s="103" t="n"/>
      <c r="AF800" s="103" t="n"/>
      <c r="AG800" s="103" t="n"/>
      <c r="AH800" s="103" t="n"/>
      <c r="AI800" s="103" t="n"/>
      <c r="AJ800" s="103" t="n"/>
      <c r="AK800" s="103" t="n"/>
      <c r="AL800" s="103" t="n"/>
      <c r="AM800" s="103" t="n"/>
      <c r="AN800" s="103" t="n"/>
      <c r="AO800" s="103" t="n"/>
      <c r="AP800" s="103" t="n"/>
      <c r="AQ800" s="103" t="n"/>
      <c r="AR800" s="103" t="n"/>
    </row>
    <row r="802">
      <c r="A802" s="8">
        <f>IF(HSI!$C$79="","",HSI!$C$79)</f>
        <v/>
      </c>
      <c r="B802" s="99">
        <f>IF($A802="",0,COUNT($E803:$AR803))</f>
        <v/>
      </c>
      <c r="C802" s="100">
        <f>IF($B802=0,0,MAX($E803:$AR803))</f>
        <v/>
      </c>
      <c r="D802" s="101">
        <f>BDS($A802,FLD_HIST,"headers=y","startcol=1","endcol=7","dir=h","DVD_START_DT",HIST_FROM,"DVD_END_DT",HIST_TO)</f>
        <v/>
      </c>
      <c r="E802" s="102" t="n"/>
      <c r="F802" s="102" t="n"/>
      <c r="G802" s="102" t="n"/>
      <c r="H802" s="102" t="n"/>
      <c r="I802" s="102" t="n"/>
      <c r="J802" s="102" t="n"/>
      <c r="K802" s="102" t="n"/>
      <c r="L802" s="102" t="n"/>
      <c r="M802" s="102" t="n"/>
      <c r="N802" s="102" t="n"/>
      <c r="O802" s="102" t="n"/>
      <c r="P802" s="102" t="n"/>
      <c r="Q802" s="102" t="n"/>
      <c r="R802" s="102" t="n"/>
      <c r="S802" s="102" t="n"/>
      <c r="T802" s="102" t="n"/>
      <c r="U802" s="102" t="n"/>
      <c r="V802" s="102" t="n"/>
      <c r="W802" s="102" t="n"/>
      <c r="X802" s="102" t="n"/>
      <c r="Y802" s="102" t="n"/>
      <c r="Z802" s="102" t="n"/>
      <c r="AA802" s="102" t="n"/>
      <c r="AB802" s="102" t="n"/>
      <c r="AC802" s="102" t="n"/>
      <c r="AD802" s="102" t="n"/>
      <c r="AE802" s="102" t="n"/>
      <c r="AF802" s="102" t="n"/>
      <c r="AG802" s="102" t="n"/>
      <c r="AH802" s="102" t="n"/>
      <c r="AI802" s="102" t="n"/>
      <c r="AJ802" s="102" t="n"/>
      <c r="AK802" s="102" t="n"/>
      <c r="AL802" s="102" t="n"/>
      <c r="AM802" s="102" t="n"/>
      <c r="AN802" s="102" t="n"/>
      <c r="AO802" s="102" t="n"/>
      <c r="AP802" s="102" t="n"/>
      <c r="AQ802" s="102" t="n"/>
      <c r="AR802" s="102" t="n"/>
    </row>
    <row r="803">
      <c r="D803" s="102" t="n"/>
      <c r="E803" s="102" t="n"/>
      <c r="F803" s="102" t="n"/>
      <c r="G803" s="102" t="n"/>
      <c r="H803" s="102" t="n"/>
      <c r="I803" s="102" t="n"/>
      <c r="J803" s="102" t="n"/>
      <c r="K803" s="102" t="n"/>
      <c r="L803" s="102" t="n"/>
      <c r="M803" s="102" t="n"/>
      <c r="N803" s="102" t="n"/>
      <c r="O803" s="102" t="n"/>
      <c r="P803" s="102" t="n"/>
      <c r="Q803" s="102" t="n"/>
      <c r="R803" s="102" t="n"/>
      <c r="S803" s="102" t="n"/>
      <c r="T803" s="102" t="n"/>
      <c r="U803" s="102" t="n"/>
      <c r="V803" s="102" t="n"/>
      <c r="W803" s="102" t="n"/>
      <c r="X803" s="102" t="n"/>
      <c r="Y803" s="102" t="n"/>
      <c r="Z803" s="102" t="n"/>
      <c r="AA803" s="102" t="n"/>
      <c r="AB803" s="102" t="n"/>
      <c r="AC803" s="102" t="n"/>
      <c r="AD803" s="102" t="n"/>
      <c r="AE803" s="102" t="n"/>
      <c r="AF803" s="102" t="n"/>
      <c r="AG803" s="102" t="n"/>
      <c r="AH803" s="102" t="n"/>
      <c r="AI803" s="102" t="n"/>
      <c r="AJ803" s="102" t="n"/>
      <c r="AK803" s="102" t="n"/>
      <c r="AL803" s="102" t="n"/>
      <c r="AM803" s="102" t="n"/>
      <c r="AN803" s="102" t="n"/>
      <c r="AO803" s="102" t="n"/>
      <c r="AP803" s="102" t="n"/>
      <c r="AQ803" s="102" t="n"/>
      <c r="AR803" s="102" t="n"/>
    </row>
    <row r="804">
      <c r="D804" s="102" t="n"/>
      <c r="E804" s="102" t="n"/>
      <c r="F804" s="102" t="n"/>
      <c r="G804" s="102" t="n"/>
      <c r="H804" s="102" t="n"/>
      <c r="I804" s="102" t="n"/>
      <c r="J804" s="102" t="n"/>
      <c r="K804" s="102" t="n"/>
      <c r="L804" s="102" t="n"/>
      <c r="M804" s="102" t="n"/>
      <c r="N804" s="102" t="n"/>
      <c r="O804" s="102" t="n"/>
      <c r="P804" s="102" t="n"/>
      <c r="Q804" s="102" t="n"/>
      <c r="R804" s="102" t="n"/>
      <c r="S804" s="102" t="n"/>
      <c r="T804" s="102" t="n"/>
      <c r="U804" s="102" t="n"/>
      <c r="V804" s="102" t="n"/>
      <c r="W804" s="102" t="n"/>
      <c r="X804" s="102" t="n"/>
      <c r="Y804" s="102" t="n"/>
      <c r="Z804" s="102" t="n"/>
      <c r="AA804" s="102" t="n"/>
      <c r="AB804" s="102" t="n"/>
      <c r="AC804" s="102" t="n"/>
      <c r="AD804" s="102" t="n"/>
      <c r="AE804" s="102" t="n"/>
      <c r="AF804" s="102" t="n"/>
      <c r="AG804" s="102" t="n"/>
      <c r="AH804" s="102" t="n"/>
      <c r="AI804" s="102" t="n"/>
      <c r="AJ804" s="102" t="n"/>
      <c r="AK804" s="102" t="n"/>
      <c r="AL804" s="102" t="n"/>
      <c r="AM804" s="102" t="n"/>
      <c r="AN804" s="102" t="n"/>
      <c r="AO804" s="102" t="n"/>
      <c r="AP804" s="102" t="n"/>
      <c r="AQ804" s="102" t="n"/>
      <c r="AR804" s="102" t="n"/>
    </row>
    <row r="805">
      <c r="D805" s="102" t="n"/>
      <c r="E805" s="102" t="n"/>
      <c r="F805" s="102" t="n"/>
      <c r="G805" s="102" t="n"/>
      <c r="H805" s="102" t="n"/>
      <c r="I805" s="102" t="n"/>
      <c r="J805" s="102" t="n"/>
      <c r="K805" s="102" t="n"/>
      <c r="L805" s="102" t="n"/>
      <c r="M805" s="102" t="n"/>
      <c r="N805" s="102" t="n"/>
      <c r="O805" s="102" t="n"/>
      <c r="P805" s="102" t="n"/>
      <c r="Q805" s="102" t="n"/>
      <c r="R805" s="102" t="n"/>
      <c r="S805" s="102" t="n"/>
      <c r="T805" s="102" t="n"/>
      <c r="U805" s="102" t="n"/>
      <c r="V805" s="102" t="n"/>
      <c r="W805" s="102" t="n"/>
      <c r="X805" s="102" t="n"/>
      <c r="Y805" s="102" t="n"/>
      <c r="Z805" s="102" t="n"/>
      <c r="AA805" s="102" t="n"/>
      <c r="AB805" s="102" t="n"/>
      <c r="AC805" s="102" t="n"/>
      <c r="AD805" s="102" t="n"/>
      <c r="AE805" s="102" t="n"/>
      <c r="AF805" s="102" t="n"/>
      <c r="AG805" s="102" t="n"/>
      <c r="AH805" s="102" t="n"/>
      <c r="AI805" s="102" t="n"/>
      <c r="AJ805" s="102" t="n"/>
      <c r="AK805" s="102" t="n"/>
      <c r="AL805" s="102" t="n"/>
      <c r="AM805" s="102" t="n"/>
      <c r="AN805" s="102" t="n"/>
      <c r="AO805" s="102" t="n"/>
      <c r="AP805" s="102" t="n"/>
      <c r="AQ805" s="102" t="n"/>
      <c r="AR805" s="102" t="n"/>
    </row>
    <row r="806">
      <c r="D806" s="103" t="n"/>
      <c r="E806" s="103" t="n"/>
      <c r="F806" s="103" t="n"/>
      <c r="G806" s="103" t="n"/>
      <c r="H806" s="103" t="n"/>
      <c r="I806" s="103" t="n"/>
      <c r="J806" s="103" t="n"/>
      <c r="K806" s="103" t="n"/>
      <c r="L806" s="103" t="n"/>
      <c r="M806" s="103" t="n"/>
      <c r="N806" s="103" t="n"/>
      <c r="O806" s="103" t="n"/>
      <c r="P806" s="103" t="n"/>
      <c r="Q806" s="103" t="n"/>
      <c r="R806" s="103" t="n"/>
      <c r="S806" s="103" t="n"/>
      <c r="T806" s="103" t="n"/>
      <c r="U806" s="103" t="n"/>
      <c r="V806" s="103" t="n"/>
      <c r="W806" s="103" t="n"/>
      <c r="X806" s="103" t="n"/>
      <c r="Y806" s="103" t="n"/>
      <c r="Z806" s="103" t="n"/>
      <c r="AA806" s="103" t="n"/>
      <c r="AB806" s="103" t="n"/>
      <c r="AC806" s="103" t="n"/>
      <c r="AD806" s="103" t="n"/>
      <c r="AE806" s="103" t="n"/>
      <c r="AF806" s="103" t="n"/>
      <c r="AG806" s="103" t="n"/>
      <c r="AH806" s="103" t="n"/>
      <c r="AI806" s="103" t="n"/>
      <c r="AJ806" s="103" t="n"/>
      <c r="AK806" s="103" t="n"/>
      <c r="AL806" s="103" t="n"/>
      <c r="AM806" s="103" t="n"/>
      <c r="AN806" s="103" t="n"/>
      <c r="AO806" s="103" t="n"/>
      <c r="AP806" s="103" t="n"/>
      <c r="AQ806" s="103" t="n"/>
      <c r="AR806" s="103" t="n"/>
    </row>
    <row r="809">
      <c r="A809" s="2">
        <f>IF($A802="","","   projections")</f>
        <v/>
      </c>
      <c r="B809" s="99">
        <f>IF($A802="",0,COUNT($E810:$AR810))</f>
        <v/>
      </c>
      <c r="C809" s="100">
        <f>IF($B809=0,0,MAX($E810:$AR810))</f>
        <v/>
      </c>
      <c r="D809" s="101">
        <f>BDS($A802,FLD_PROJ,"headers=y","startcol=1","endcol=3","dir=h")</f>
        <v/>
      </c>
      <c r="E809" s="102" t="n"/>
      <c r="F809" s="102" t="n"/>
      <c r="G809" s="102" t="n"/>
      <c r="H809" s="102" t="n"/>
      <c r="I809" s="102" t="n"/>
      <c r="J809" s="102" t="n"/>
      <c r="K809" s="102" t="n"/>
      <c r="L809" s="102" t="n"/>
      <c r="M809" s="102" t="n"/>
      <c r="N809" s="102" t="n"/>
      <c r="O809" s="102" t="n"/>
      <c r="P809" s="102" t="n"/>
      <c r="Q809" s="102" t="n"/>
      <c r="R809" s="102" t="n"/>
      <c r="S809" s="102" t="n"/>
      <c r="T809" s="102" t="n"/>
      <c r="U809" s="102" t="n"/>
      <c r="V809" s="102" t="n"/>
      <c r="W809" s="102" t="n"/>
      <c r="X809" s="102" t="n"/>
      <c r="Y809" s="102" t="n"/>
      <c r="Z809" s="102" t="n"/>
      <c r="AA809" s="102" t="n"/>
      <c r="AB809" s="102" t="n"/>
      <c r="AC809" s="102" t="n"/>
      <c r="AD809" s="102" t="n"/>
      <c r="AE809" s="102" t="n"/>
      <c r="AF809" s="102" t="n"/>
      <c r="AG809" s="102" t="n"/>
      <c r="AH809" s="102" t="n"/>
      <c r="AI809" s="102" t="n"/>
      <c r="AJ809" s="102" t="n"/>
      <c r="AK809" s="102" t="n"/>
      <c r="AL809" s="102" t="n"/>
      <c r="AM809" s="102" t="n"/>
      <c r="AN809" s="102" t="n"/>
      <c r="AO809" s="102" t="n"/>
      <c r="AP809" s="102" t="n"/>
      <c r="AQ809" s="102" t="n"/>
      <c r="AR809" s="102" t="n"/>
    </row>
    <row r="810">
      <c r="D810" s="102" t="n"/>
      <c r="E810" s="102" t="n"/>
      <c r="F810" s="102" t="n"/>
      <c r="G810" s="102" t="n"/>
      <c r="H810" s="102" t="n"/>
      <c r="I810" s="102" t="n"/>
      <c r="J810" s="102" t="n"/>
      <c r="K810" s="102" t="n"/>
      <c r="L810" s="102" t="n"/>
      <c r="M810" s="102" t="n"/>
      <c r="N810" s="102" t="n"/>
      <c r="O810" s="102" t="n"/>
      <c r="P810" s="102" t="n"/>
      <c r="Q810" s="102" t="n"/>
      <c r="R810" s="102" t="n"/>
      <c r="S810" s="102" t="n"/>
      <c r="T810" s="102" t="n"/>
      <c r="U810" s="102" t="n"/>
      <c r="V810" s="102" t="n"/>
      <c r="W810" s="102" t="n"/>
      <c r="X810" s="102" t="n"/>
      <c r="Y810" s="102" t="n"/>
      <c r="Z810" s="102" t="n"/>
      <c r="AA810" s="102" t="n"/>
      <c r="AB810" s="102" t="n"/>
      <c r="AC810" s="102" t="n"/>
      <c r="AD810" s="102" t="n"/>
      <c r="AE810" s="102" t="n"/>
      <c r="AF810" s="102" t="n"/>
      <c r="AG810" s="102" t="n"/>
      <c r="AH810" s="102" t="n"/>
      <c r="AI810" s="102" t="n"/>
      <c r="AJ810" s="102" t="n"/>
      <c r="AK810" s="102" t="n"/>
      <c r="AL810" s="102" t="n"/>
      <c r="AM810" s="102" t="n"/>
      <c r="AN810" s="102" t="n"/>
      <c r="AO810" s="102" t="n"/>
      <c r="AP810" s="102" t="n"/>
      <c r="AQ810" s="102" t="n"/>
      <c r="AR810" s="102" t="n"/>
    </row>
    <row r="811">
      <c r="D811" s="103" t="n"/>
      <c r="E811" s="103" t="n"/>
      <c r="F811" s="103" t="n"/>
      <c r="G811" s="103" t="n"/>
      <c r="H811" s="103" t="n"/>
      <c r="I811" s="103" t="n"/>
      <c r="J811" s="103" t="n"/>
      <c r="K811" s="103" t="n"/>
      <c r="L811" s="103" t="n"/>
      <c r="M811" s="103" t="n"/>
      <c r="N811" s="103" t="n"/>
      <c r="O811" s="103" t="n"/>
      <c r="P811" s="103" t="n"/>
      <c r="Q811" s="103" t="n"/>
      <c r="R811" s="103" t="n"/>
      <c r="S811" s="103" t="n"/>
      <c r="T811" s="103" t="n"/>
      <c r="U811" s="103" t="n"/>
      <c r="V811" s="103" t="n"/>
      <c r="W811" s="103" t="n"/>
      <c r="X811" s="103" t="n"/>
      <c r="Y811" s="103" t="n"/>
      <c r="Z811" s="103" t="n"/>
      <c r="AA811" s="103" t="n"/>
      <c r="AB811" s="103" t="n"/>
      <c r="AC811" s="103" t="n"/>
      <c r="AD811" s="103" t="n"/>
      <c r="AE811" s="103" t="n"/>
      <c r="AF811" s="103" t="n"/>
      <c r="AG811" s="103" t="n"/>
      <c r="AH811" s="103" t="n"/>
      <c r="AI811" s="103" t="n"/>
      <c r="AJ811" s="103" t="n"/>
      <c r="AK811" s="103" t="n"/>
      <c r="AL811" s="103" t="n"/>
      <c r="AM811" s="103" t="n"/>
      <c r="AN811" s="103" t="n"/>
      <c r="AO811" s="103" t="n"/>
      <c r="AP811" s="103" t="n"/>
      <c r="AQ811" s="103" t="n"/>
      <c r="AR811" s="103" t="n"/>
    </row>
    <row r="813">
      <c r="A813" s="8">
        <f>IF(HSI!$C$80="","",HSI!$C$80)</f>
        <v/>
      </c>
      <c r="B813" s="99">
        <f>IF($A813="",0,COUNT($E814:$AR814))</f>
        <v/>
      </c>
      <c r="C813" s="100">
        <f>IF($B813=0,0,MAX($E814:$AR814))</f>
        <v/>
      </c>
      <c r="D813" s="101">
        <f>BDS($A813,FLD_HIST,"headers=y","startcol=1","endcol=7","dir=h","DVD_START_DT",HIST_FROM,"DVD_END_DT",HIST_TO)</f>
        <v/>
      </c>
      <c r="E813" s="102" t="n"/>
      <c r="F813" s="102" t="n"/>
      <c r="G813" s="102" t="n"/>
      <c r="H813" s="102" t="n"/>
      <c r="I813" s="102" t="n"/>
      <c r="J813" s="102" t="n"/>
      <c r="K813" s="102" t="n"/>
      <c r="L813" s="102" t="n"/>
      <c r="M813" s="102" t="n"/>
      <c r="N813" s="102" t="n"/>
      <c r="O813" s="102" t="n"/>
      <c r="P813" s="102" t="n"/>
      <c r="Q813" s="102" t="n"/>
      <c r="R813" s="102" t="n"/>
      <c r="S813" s="102" t="n"/>
      <c r="T813" s="102" t="n"/>
      <c r="U813" s="102" t="n"/>
      <c r="V813" s="102" t="n"/>
      <c r="W813" s="102" t="n"/>
      <c r="X813" s="102" t="n"/>
      <c r="Y813" s="102" t="n"/>
      <c r="Z813" s="102" t="n"/>
      <c r="AA813" s="102" t="n"/>
      <c r="AB813" s="102" t="n"/>
      <c r="AC813" s="102" t="n"/>
      <c r="AD813" s="102" t="n"/>
      <c r="AE813" s="102" t="n"/>
      <c r="AF813" s="102" t="n"/>
      <c r="AG813" s="102" t="n"/>
      <c r="AH813" s="102" t="n"/>
      <c r="AI813" s="102" t="n"/>
      <c r="AJ813" s="102" t="n"/>
      <c r="AK813" s="102" t="n"/>
      <c r="AL813" s="102" t="n"/>
      <c r="AM813" s="102" t="n"/>
      <c r="AN813" s="102" t="n"/>
      <c r="AO813" s="102" t="n"/>
      <c r="AP813" s="102" t="n"/>
      <c r="AQ813" s="102" t="n"/>
      <c r="AR813" s="102" t="n"/>
    </row>
    <row r="814">
      <c r="D814" s="102" t="n"/>
      <c r="E814" s="102" t="n"/>
      <c r="F814" s="102" t="n"/>
      <c r="G814" s="102" t="n"/>
      <c r="H814" s="102" t="n"/>
      <c r="I814" s="102" t="n"/>
      <c r="J814" s="102" t="n"/>
      <c r="K814" s="102" t="n"/>
      <c r="L814" s="102" t="n"/>
      <c r="M814" s="102" t="n"/>
      <c r="N814" s="102" t="n"/>
      <c r="O814" s="102" t="n"/>
      <c r="P814" s="102" t="n"/>
      <c r="Q814" s="102" t="n"/>
      <c r="R814" s="102" t="n"/>
      <c r="S814" s="102" t="n"/>
      <c r="T814" s="102" t="n"/>
      <c r="U814" s="102" t="n"/>
      <c r="V814" s="102" t="n"/>
      <c r="W814" s="102" t="n"/>
      <c r="X814" s="102" t="n"/>
      <c r="Y814" s="102" t="n"/>
      <c r="Z814" s="102" t="n"/>
      <c r="AA814" s="102" t="n"/>
      <c r="AB814" s="102" t="n"/>
      <c r="AC814" s="102" t="n"/>
      <c r="AD814" s="102" t="n"/>
      <c r="AE814" s="102" t="n"/>
      <c r="AF814" s="102" t="n"/>
      <c r="AG814" s="102" t="n"/>
      <c r="AH814" s="102" t="n"/>
      <c r="AI814" s="102" t="n"/>
      <c r="AJ814" s="102" t="n"/>
      <c r="AK814" s="102" t="n"/>
      <c r="AL814" s="102" t="n"/>
      <c r="AM814" s="102" t="n"/>
      <c r="AN814" s="102" t="n"/>
      <c r="AO814" s="102" t="n"/>
      <c r="AP814" s="102" t="n"/>
      <c r="AQ814" s="102" t="n"/>
      <c r="AR814" s="102" t="n"/>
    </row>
    <row r="815">
      <c r="D815" s="102" t="n"/>
      <c r="E815" s="102" t="n"/>
      <c r="F815" s="102" t="n"/>
      <c r="G815" s="102" t="n"/>
      <c r="H815" s="102" t="n"/>
      <c r="I815" s="102" t="n"/>
      <c r="J815" s="102" t="n"/>
      <c r="K815" s="102" t="n"/>
      <c r="L815" s="102" t="n"/>
      <c r="M815" s="102" t="n"/>
      <c r="N815" s="102" t="n"/>
      <c r="O815" s="102" t="n"/>
      <c r="P815" s="102" t="n"/>
      <c r="Q815" s="102" t="n"/>
      <c r="R815" s="102" t="n"/>
      <c r="S815" s="102" t="n"/>
      <c r="T815" s="102" t="n"/>
      <c r="U815" s="102" t="n"/>
      <c r="V815" s="102" t="n"/>
      <c r="W815" s="102" t="n"/>
      <c r="X815" s="102" t="n"/>
      <c r="Y815" s="102" t="n"/>
      <c r="Z815" s="102" t="n"/>
      <c r="AA815" s="102" t="n"/>
      <c r="AB815" s="102" t="n"/>
      <c r="AC815" s="102" t="n"/>
      <c r="AD815" s="102" t="n"/>
      <c r="AE815" s="102" t="n"/>
      <c r="AF815" s="102" t="n"/>
      <c r="AG815" s="102" t="n"/>
      <c r="AH815" s="102" t="n"/>
      <c r="AI815" s="102" t="n"/>
      <c r="AJ815" s="102" t="n"/>
      <c r="AK815" s="102" t="n"/>
      <c r="AL815" s="102" t="n"/>
      <c r="AM815" s="102" t="n"/>
      <c r="AN815" s="102" t="n"/>
      <c r="AO815" s="102" t="n"/>
      <c r="AP815" s="102" t="n"/>
      <c r="AQ815" s="102" t="n"/>
      <c r="AR815" s="102" t="n"/>
    </row>
    <row r="816">
      <c r="D816" s="102" t="n"/>
      <c r="E816" s="102" t="n"/>
      <c r="F816" s="102" t="n"/>
      <c r="G816" s="102" t="n"/>
      <c r="H816" s="102" t="n"/>
      <c r="I816" s="102" t="n"/>
      <c r="J816" s="102" t="n"/>
      <c r="K816" s="102" t="n"/>
      <c r="L816" s="102" t="n"/>
      <c r="M816" s="102" t="n"/>
      <c r="N816" s="102" t="n"/>
      <c r="O816" s="102" t="n"/>
      <c r="P816" s="102" t="n"/>
      <c r="Q816" s="102" t="n"/>
      <c r="R816" s="102" t="n"/>
      <c r="S816" s="102" t="n"/>
      <c r="T816" s="102" t="n"/>
      <c r="U816" s="102" t="n"/>
      <c r="V816" s="102" t="n"/>
      <c r="W816" s="102" t="n"/>
      <c r="X816" s="102" t="n"/>
      <c r="Y816" s="102" t="n"/>
      <c r="Z816" s="102" t="n"/>
      <c r="AA816" s="102" t="n"/>
      <c r="AB816" s="102" t="n"/>
      <c r="AC816" s="102" t="n"/>
      <c r="AD816" s="102" t="n"/>
      <c r="AE816" s="102" t="n"/>
      <c r="AF816" s="102" t="n"/>
      <c r="AG816" s="102" t="n"/>
      <c r="AH816" s="102" t="n"/>
      <c r="AI816" s="102" t="n"/>
      <c r="AJ816" s="102" t="n"/>
      <c r="AK816" s="102" t="n"/>
      <c r="AL816" s="102" t="n"/>
      <c r="AM816" s="102" t="n"/>
      <c r="AN816" s="102" t="n"/>
      <c r="AO816" s="102" t="n"/>
      <c r="AP816" s="102" t="n"/>
      <c r="AQ816" s="102" t="n"/>
      <c r="AR816" s="102" t="n"/>
    </row>
    <row r="817">
      <c r="D817" s="103" t="n"/>
      <c r="E817" s="103" t="n"/>
      <c r="F817" s="103" t="n"/>
      <c r="G817" s="103" t="n"/>
      <c r="H817" s="103" t="n"/>
      <c r="I817" s="103" t="n"/>
      <c r="J817" s="103" t="n"/>
      <c r="K817" s="103" t="n"/>
      <c r="L817" s="103" t="n"/>
      <c r="M817" s="103" t="n"/>
      <c r="N817" s="103" t="n"/>
      <c r="O817" s="103" t="n"/>
      <c r="P817" s="103" t="n"/>
      <c r="Q817" s="103" t="n"/>
      <c r="R817" s="103" t="n"/>
      <c r="S817" s="103" t="n"/>
      <c r="T817" s="103" t="n"/>
      <c r="U817" s="103" t="n"/>
      <c r="V817" s="103" t="n"/>
      <c r="W817" s="103" t="n"/>
      <c r="X817" s="103" t="n"/>
      <c r="Y817" s="103" t="n"/>
      <c r="Z817" s="103" t="n"/>
      <c r="AA817" s="103" t="n"/>
      <c r="AB817" s="103" t="n"/>
      <c r="AC817" s="103" t="n"/>
      <c r="AD817" s="103" t="n"/>
      <c r="AE817" s="103" t="n"/>
      <c r="AF817" s="103" t="n"/>
      <c r="AG817" s="103" t="n"/>
      <c r="AH817" s="103" t="n"/>
      <c r="AI817" s="103" t="n"/>
      <c r="AJ817" s="103" t="n"/>
      <c r="AK817" s="103" t="n"/>
      <c r="AL817" s="103" t="n"/>
      <c r="AM817" s="103" t="n"/>
      <c r="AN817" s="103" t="n"/>
      <c r="AO817" s="103" t="n"/>
      <c r="AP817" s="103" t="n"/>
      <c r="AQ817" s="103" t="n"/>
      <c r="AR817" s="103" t="n"/>
    </row>
    <row r="820">
      <c r="A820" s="2">
        <f>IF($A813="","","   projections")</f>
        <v/>
      </c>
      <c r="B820" s="99">
        <f>IF($A813="",0,COUNT($E821:$AR821))</f>
        <v/>
      </c>
      <c r="C820" s="100">
        <f>IF($B820=0,0,MAX($E821:$AR821))</f>
        <v/>
      </c>
      <c r="D820" s="101">
        <f>BDS($A813,FLD_PROJ,"headers=y","startcol=1","endcol=3","dir=h")</f>
        <v/>
      </c>
      <c r="E820" s="102" t="n"/>
      <c r="F820" s="102" t="n"/>
      <c r="G820" s="102" t="n"/>
      <c r="H820" s="102" t="n"/>
      <c r="I820" s="102" t="n"/>
      <c r="J820" s="102" t="n"/>
      <c r="K820" s="102" t="n"/>
      <c r="L820" s="102" t="n"/>
      <c r="M820" s="102" t="n"/>
      <c r="N820" s="102" t="n"/>
      <c r="O820" s="102" t="n"/>
      <c r="P820" s="102" t="n"/>
      <c r="Q820" s="102" t="n"/>
      <c r="R820" s="102" t="n"/>
      <c r="S820" s="102" t="n"/>
      <c r="T820" s="102" t="n"/>
      <c r="U820" s="102" t="n"/>
      <c r="V820" s="102" t="n"/>
      <c r="W820" s="102" t="n"/>
      <c r="X820" s="102" t="n"/>
      <c r="Y820" s="102" t="n"/>
      <c r="Z820" s="102" t="n"/>
      <c r="AA820" s="102" t="n"/>
      <c r="AB820" s="102" t="n"/>
      <c r="AC820" s="102" t="n"/>
      <c r="AD820" s="102" t="n"/>
      <c r="AE820" s="102" t="n"/>
      <c r="AF820" s="102" t="n"/>
      <c r="AG820" s="102" t="n"/>
      <c r="AH820" s="102" t="n"/>
      <c r="AI820" s="102" t="n"/>
      <c r="AJ820" s="102" t="n"/>
      <c r="AK820" s="102" t="n"/>
      <c r="AL820" s="102" t="n"/>
      <c r="AM820" s="102" t="n"/>
      <c r="AN820" s="102" t="n"/>
      <c r="AO820" s="102" t="n"/>
      <c r="AP820" s="102" t="n"/>
      <c r="AQ820" s="102" t="n"/>
      <c r="AR820" s="102" t="n"/>
    </row>
    <row r="821">
      <c r="D821" s="102" t="n"/>
      <c r="E821" s="102" t="n"/>
      <c r="F821" s="102" t="n"/>
      <c r="G821" s="102" t="n"/>
      <c r="H821" s="102" t="n"/>
      <c r="I821" s="102" t="n"/>
      <c r="J821" s="102" t="n"/>
      <c r="K821" s="102" t="n"/>
      <c r="L821" s="102" t="n"/>
      <c r="M821" s="102" t="n"/>
      <c r="N821" s="102" t="n"/>
      <c r="O821" s="102" t="n"/>
      <c r="P821" s="102" t="n"/>
      <c r="Q821" s="102" t="n"/>
      <c r="R821" s="102" t="n"/>
      <c r="S821" s="102" t="n"/>
      <c r="T821" s="102" t="n"/>
      <c r="U821" s="102" t="n"/>
      <c r="V821" s="102" t="n"/>
      <c r="W821" s="102" t="n"/>
      <c r="X821" s="102" t="n"/>
      <c r="Y821" s="102" t="n"/>
      <c r="Z821" s="102" t="n"/>
      <c r="AA821" s="102" t="n"/>
      <c r="AB821" s="102" t="n"/>
      <c r="AC821" s="102" t="n"/>
      <c r="AD821" s="102" t="n"/>
      <c r="AE821" s="102" t="n"/>
      <c r="AF821" s="102" t="n"/>
      <c r="AG821" s="102" t="n"/>
      <c r="AH821" s="102" t="n"/>
      <c r="AI821" s="102" t="n"/>
      <c r="AJ821" s="102" t="n"/>
      <c r="AK821" s="102" t="n"/>
      <c r="AL821" s="102" t="n"/>
      <c r="AM821" s="102" t="n"/>
      <c r="AN821" s="102" t="n"/>
      <c r="AO821" s="102" t="n"/>
      <c r="AP821" s="102" t="n"/>
      <c r="AQ821" s="102" t="n"/>
      <c r="AR821" s="102" t="n"/>
    </row>
    <row r="822">
      <c r="D822" s="103" t="n"/>
      <c r="E822" s="103" t="n"/>
      <c r="F822" s="103" t="n"/>
      <c r="G822" s="103" t="n"/>
      <c r="H822" s="103" t="n"/>
      <c r="I822" s="103" t="n"/>
      <c r="J822" s="103" t="n"/>
      <c r="K822" s="103" t="n"/>
      <c r="L822" s="103" t="n"/>
      <c r="M822" s="103" t="n"/>
      <c r="N822" s="103" t="n"/>
      <c r="O822" s="103" t="n"/>
      <c r="P822" s="103" t="n"/>
      <c r="Q822" s="103" t="n"/>
      <c r="R822" s="103" t="n"/>
      <c r="S822" s="103" t="n"/>
      <c r="T822" s="103" t="n"/>
      <c r="U822" s="103" t="n"/>
      <c r="V822" s="103" t="n"/>
      <c r="W822" s="103" t="n"/>
      <c r="X822" s="103" t="n"/>
      <c r="Y822" s="103" t="n"/>
      <c r="Z822" s="103" t="n"/>
      <c r="AA822" s="103" t="n"/>
      <c r="AB822" s="103" t="n"/>
      <c r="AC822" s="103" t="n"/>
      <c r="AD822" s="103" t="n"/>
      <c r="AE822" s="103" t="n"/>
      <c r="AF822" s="103" t="n"/>
      <c r="AG822" s="103" t="n"/>
      <c r="AH822" s="103" t="n"/>
      <c r="AI822" s="103" t="n"/>
      <c r="AJ822" s="103" t="n"/>
      <c r="AK822" s="103" t="n"/>
      <c r="AL822" s="103" t="n"/>
      <c r="AM822" s="103" t="n"/>
      <c r="AN822" s="103" t="n"/>
      <c r="AO822" s="103" t="n"/>
      <c r="AP822" s="103" t="n"/>
      <c r="AQ822" s="103" t="n"/>
      <c r="AR822" s="103" t="n"/>
    </row>
    <row r="824">
      <c r="A824" s="8">
        <f>IF(HSI!$C$81="","",HSI!$C$81)</f>
        <v/>
      </c>
      <c r="B824" s="99">
        <f>IF($A824="",0,COUNT($E825:$AR825))</f>
        <v/>
      </c>
      <c r="C824" s="100">
        <f>IF($B824=0,0,MAX($E825:$AR825))</f>
        <v/>
      </c>
      <c r="D824" s="101">
        <f>BDS($A824,FLD_HIST,"headers=y","startcol=1","endcol=7","dir=h","DVD_START_DT",HIST_FROM,"DVD_END_DT",HIST_TO)</f>
        <v/>
      </c>
      <c r="E824" s="102" t="n"/>
      <c r="F824" s="102" t="n"/>
      <c r="G824" s="102" t="n"/>
      <c r="H824" s="102" t="n"/>
      <c r="I824" s="102" t="n"/>
      <c r="J824" s="102" t="n"/>
      <c r="K824" s="102" t="n"/>
      <c r="L824" s="102" t="n"/>
      <c r="M824" s="102" t="n"/>
      <c r="N824" s="102" t="n"/>
      <c r="O824" s="102" t="n"/>
      <c r="P824" s="102" t="n"/>
      <c r="Q824" s="102" t="n"/>
      <c r="R824" s="102" t="n"/>
      <c r="S824" s="102" t="n"/>
      <c r="T824" s="102" t="n"/>
      <c r="U824" s="102" t="n"/>
      <c r="V824" s="102" t="n"/>
      <c r="W824" s="102" t="n"/>
      <c r="X824" s="102" t="n"/>
      <c r="Y824" s="102" t="n"/>
      <c r="Z824" s="102" t="n"/>
      <c r="AA824" s="102" t="n"/>
      <c r="AB824" s="102" t="n"/>
      <c r="AC824" s="102" t="n"/>
      <c r="AD824" s="102" t="n"/>
      <c r="AE824" s="102" t="n"/>
      <c r="AF824" s="102" t="n"/>
      <c r="AG824" s="102" t="n"/>
      <c r="AH824" s="102" t="n"/>
      <c r="AI824" s="102" t="n"/>
      <c r="AJ824" s="102" t="n"/>
      <c r="AK824" s="102" t="n"/>
      <c r="AL824" s="102" t="n"/>
      <c r="AM824" s="102" t="n"/>
      <c r="AN824" s="102" t="n"/>
      <c r="AO824" s="102" t="n"/>
      <c r="AP824" s="102" t="n"/>
      <c r="AQ824" s="102" t="n"/>
      <c r="AR824" s="102" t="n"/>
    </row>
    <row r="825">
      <c r="D825" s="102" t="n"/>
      <c r="E825" s="102" t="n"/>
      <c r="F825" s="102" t="n"/>
      <c r="G825" s="102" t="n"/>
      <c r="H825" s="102" t="n"/>
      <c r="I825" s="102" t="n"/>
      <c r="J825" s="102" t="n"/>
      <c r="K825" s="102" t="n"/>
      <c r="L825" s="102" t="n"/>
      <c r="M825" s="102" t="n"/>
      <c r="N825" s="102" t="n"/>
      <c r="O825" s="102" t="n"/>
      <c r="P825" s="102" t="n"/>
      <c r="Q825" s="102" t="n"/>
      <c r="R825" s="102" t="n"/>
      <c r="S825" s="102" t="n"/>
      <c r="T825" s="102" t="n"/>
      <c r="U825" s="102" t="n"/>
      <c r="V825" s="102" t="n"/>
      <c r="W825" s="102" t="n"/>
      <c r="X825" s="102" t="n"/>
      <c r="Y825" s="102" t="n"/>
      <c r="Z825" s="102" t="n"/>
      <c r="AA825" s="102" t="n"/>
      <c r="AB825" s="102" t="n"/>
      <c r="AC825" s="102" t="n"/>
      <c r="AD825" s="102" t="n"/>
      <c r="AE825" s="102" t="n"/>
      <c r="AF825" s="102" t="n"/>
      <c r="AG825" s="102" t="n"/>
      <c r="AH825" s="102" t="n"/>
      <c r="AI825" s="102" t="n"/>
      <c r="AJ825" s="102" t="n"/>
      <c r="AK825" s="102" t="n"/>
      <c r="AL825" s="102" t="n"/>
      <c r="AM825" s="102" t="n"/>
      <c r="AN825" s="102" t="n"/>
      <c r="AO825" s="102" t="n"/>
      <c r="AP825" s="102" t="n"/>
      <c r="AQ825" s="102" t="n"/>
      <c r="AR825" s="102" t="n"/>
    </row>
    <row r="826">
      <c r="D826" s="102" t="n"/>
      <c r="E826" s="102" t="n"/>
      <c r="F826" s="102" t="n"/>
      <c r="G826" s="102" t="n"/>
      <c r="H826" s="102" t="n"/>
      <c r="I826" s="102" t="n"/>
      <c r="J826" s="102" t="n"/>
      <c r="K826" s="102" t="n"/>
      <c r="L826" s="102" t="n"/>
      <c r="M826" s="102" t="n"/>
      <c r="N826" s="102" t="n"/>
      <c r="O826" s="102" t="n"/>
      <c r="P826" s="102" t="n"/>
      <c r="Q826" s="102" t="n"/>
      <c r="R826" s="102" t="n"/>
      <c r="S826" s="102" t="n"/>
      <c r="T826" s="102" t="n"/>
      <c r="U826" s="102" t="n"/>
      <c r="V826" s="102" t="n"/>
      <c r="W826" s="102" t="n"/>
      <c r="X826" s="102" t="n"/>
      <c r="Y826" s="102" t="n"/>
      <c r="Z826" s="102" t="n"/>
      <c r="AA826" s="102" t="n"/>
      <c r="AB826" s="102" t="n"/>
      <c r="AC826" s="102" t="n"/>
      <c r="AD826" s="102" t="n"/>
      <c r="AE826" s="102" t="n"/>
      <c r="AF826" s="102" t="n"/>
      <c r="AG826" s="102" t="n"/>
      <c r="AH826" s="102" t="n"/>
      <c r="AI826" s="102" t="n"/>
      <c r="AJ826" s="102" t="n"/>
      <c r="AK826" s="102" t="n"/>
      <c r="AL826" s="102" t="n"/>
      <c r="AM826" s="102" t="n"/>
      <c r="AN826" s="102" t="n"/>
      <c r="AO826" s="102" t="n"/>
      <c r="AP826" s="102" t="n"/>
      <c r="AQ826" s="102" t="n"/>
      <c r="AR826" s="102" t="n"/>
    </row>
    <row r="827">
      <c r="D827" s="102" t="n"/>
      <c r="E827" s="102" t="n"/>
      <c r="F827" s="102" t="n"/>
      <c r="G827" s="102" t="n"/>
      <c r="H827" s="102" t="n"/>
      <c r="I827" s="102" t="n"/>
      <c r="J827" s="102" t="n"/>
      <c r="K827" s="102" t="n"/>
      <c r="L827" s="102" t="n"/>
      <c r="M827" s="102" t="n"/>
      <c r="N827" s="102" t="n"/>
      <c r="O827" s="102" t="n"/>
      <c r="P827" s="102" t="n"/>
      <c r="Q827" s="102" t="n"/>
      <c r="R827" s="102" t="n"/>
      <c r="S827" s="102" t="n"/>
      <c r="T827" s="102" t="n"/>
      <c r="U827" s="102" t="n"/>
      <c r="V827" s="102" t="n"/>
      <c r="W827" s="102" t="n"/>
      <c r="X827" s="102" t="n"/>
      <c r="Y827" s="102" t="n"/>
      <c r="Z827" s="102" t="n"/>
      <c r="AA827" s="102" t="n"/>
      <c r="AB827" s="102" t="n"/>
      <c r="AC827" s="102" t="n"/>
      <c r="AD827" s="102" t="n"/>
      <c r="AE827" s="102" t="n"/>
      <c r="AF827" s="102" t="n"/>
      <c r="AG827" s="102" t="n"/>
      <c r="AH827" s="102" t="n"/>
      <c r="AI827" s="102" t="n"/>
      <c r="AJ827" s="102" t="n"/>
      <c r="AK827" s="102" t="n"/>
      <c r="AL827" s="102" t="n"/>
      <c r="AM827" s="102" t="n"/>
      <c r="AN827" s="102" t="n"/>
      <c r="AO827" s="102" t="n"/>
      <c r="AP827" s="102" t="n"/>
      <c r="AQ827" s="102" t="n"/>
      <c r="AR827" s="102" t="n"/>
    </row>
    <row r="828">
      <c r="D828" s="103" t="n"/>
      <c r="E828" s="103" t="n"/>
      <c r="F828" s="103" t="n"/>
      <c r="G828" s="103" t="n"/>
      <c r="H828" s="103" t="n"/>
      <c r="I828" s="103" t="n"/>
      <c r="J828" s="103" t="n"/>
      <c r="K828" s="103" t="n"/>
      <c r="L828" s="103" t="n"/>
      <c r="M828" s="103" t="n"/>
      <c r="N828" s="103" t="n"/>
      <c r="O828" s="103" t="n"/>
      <c r="P828" s="103" t="n"/>
      <c r="Q828" s="103" t="n"/>
      <c r="R828" s="103" t="n"/>
      <c r="S828" s="103" t="n"/>
      <c r="T828" s="103" t="n"/>
      <c r="U828" s="103" t="n"/>
      <c r="V828" s="103" t="n"/>
      <c r="W828" s="103" t="n"/>
      <c r="X828" s="103" t="n"/>
      <c r="Y828" s="103" t="n"/>
      <c r="Z828" s="103" t="n"/>
      <c r="AA828" s="103" t="n"/>
      <c r="AB828" s="103" t="n"/>
      <c r="AC828" s="103" t="n"/>
      <c r="AD828" s="103" t="n"/>
      <c r="AE828" s="103" t="n"/>
      <c r="AF828" s="103" t="n"/>
      <c r="AG828" s="103" t="n"/>
      <c r="AH828" s="103" t="n"/>
      <c r="AI828" s="103" t="n"/>
      <c r="AJ828" s="103" t="n"/>
      <c r="AK828" s="103" t="n"/>
      <c r="AL828" s="103" t="n"/>
      <c r="AM828" s="103" t="n"/>
      <c r="AN828" s="103" t="n"/>
      <c r="AO828" s="103" t="n"/>
      <c r="AP828" s="103" t="n"/>
      <c r="AQ828" s="103" t="n"/>
      <c r="AR828" s="103" t="n"/>
    </row>
    <row r="831">
      <c r="A831" s="2">
        <f>IF($A824="","","   projections")</f>
        <v/>
      </c>
      <c r="B831" s="99">
        <f>IF($A824="",0,COUNT($E832:$AR832))</f>
        <v/>
      </c>
      <c r="C831" s="100">
        <f>IF($B831=0,0,MAX($E832:$AR832))</f>
        <v/>
      </c>
      <c r="D831" s="101">
        <f>BDS($A824,FLD_PROJ,"headers=y","startcol=1","endcol=3","dir=h")</f>
        <v/>
      </c>
      <c r="E831" s="102" t="n"/>
      <c r="F831" s="102" t="n"/>
      <c r="G831" s="102" t="n"/>
      <c r="H831" s="102" t="n"/>
      <c r="I831" s="102" t="n"/>
      <c r="J831" s="102" t="n"/>
      <c r="K831" s="102" t="n"/>
      <c r="L831" s="102" t="n"/>
      <c r="M831" s="102" t="n"/>
      <c r="N831" s="102" t="n"/>
      <c r="O831" s="102" t="n"/>
      <c r="P831" s="102" t="n"/>
      <c r="Q831" s="102" t="n"/>
      <c r="R831" s="102" t="n"/>
      <c r="S831" s="102" t="n"/>
      <c r="T831" s="102" t="n"/>
      <c r="U831" s="102" t="n"/>
      <c r="V831" s="102" t="n"/>
      <c r="W831" s="102" t="n"/>
      <c r="X831" s="102" t="n"/>
      <c r="Y831" s="102" t="n"/>
      <c r="Z831" s="102" t="n"/>
      <c r="AA831" s="102" t="n"/>
      <c r="AB831" s="102" t="n"/>
      <c r="AC831" s="102" t="n"/>
      <c r="AD831" s="102" t="n"/>
      <c r="AE831" s="102" t="n"/>
      <c r="AF831" s="102" t="n"/>
      <c r="AG831" s="102" t="n"/>
      <c r="AH831" s="102" t="n"/>
      <c r="AI831" s="102" t="n"/>
      <c r="AJ831" s="102" t="n"/>
      <c r="AK831" s="102" t="n"/>
      <c r="AL831" s="102" t="n"/>
      <c r="AM831" s="102" t="n"/>
      <c r="AN831" s="102" t="n"/>
      <c r="AO831" s="102" t="n"/>
      <c r="AP831" s="102" t="n"/>
      <c r="AQ831" s="102" t="n"/>
      <c r="AR831" s="102" t="n"/>
    </row>
    <row r="832">
      <c r="D832" s="102" t="n"/>
      <c r="E832" s="102" t="n"/>
      <c r="F832" s="102" t="n"/>
      <c r="G832" s="102" t="n"/>
      <c r="H832" s="102" t="n"/>
      <c r="I832" s="102" t="n"/>
      <c r="J832" s="102" t="n"/>
      <c r="K832" s="102" t="n"/>
      <c r="L832" s="102" t="n"/>
      <c r="M832" s="102" t="n"/>
      <c r="N832" s="102" t="n"/>
      <c r="O832" s="102" t="n"/>
      <c r="P832" s="102" t="n"/>
      <c r="Q832" s="102" t="n"/>
      <c r="R832" s="102" t="n"/>
      <c r="S832" s="102" t="n"/>
      <c r="T832" s="102" t="n"/>
      <c r="U832" s="102" t="n"/>
      <c r="V832" s="102" t="n"/>
      <c r="W832" s="102" t="n"/>
      <c r="X832" s="102" t="n"/>
      <c r="Y832" s="102" t="n"/>
      <c r="Z832" s="102" t="n"/>
      <c r="AA832" s="102" t="n"/>
      <c r="AB832" s="102" t="n"/>
      <c r="AC832" s="102" t="n"/>
      <c r="AD832" s="102" t="n"/>
      <c r="AE832" s="102" t="n"/>
      <c r="AF832" s="102" t="n"/>
      <c r="AG832" s="102" t="n"/>
      <c r="AH832" s="102" t="n"/>
      <c r="AI832" s="102" t="n"/>
      <c r="AJ832" s="102" t="n"/>
      <c r="AK832" s="102" t="n"/>
      <c r="AL832" s="102" t="n"/>
      <c r="AM832" s="102" t="n"/>
      <c r="AN832" s="102" t="n"/>
      <c r="AO832" s="102" t="n"/>
      <c r="AP832" s="102" t="n"/>
      <c r="AQ832" s="102" t="n"/>
      <c r="AR832" s="102" t="n"/>
    </row>
    <row r="833">
      <c r="D833" s="103" t="n"/>
      <c r="E833" s="103" t="n"/>
      <c r="F833" s="103" t="n"/>
      <c r="G833" s="103" t="n"/>
      <c r="H833" s="103" t="n"/>
      <c r="I833" s="103" t="n"/>
      <c r="J833" s="103" t="n"/>
      <c r="K833" s="103" t="n"/>
      <c r="L833" s="103" t="n"/>
      <c r="M833" s="103" t="n"/>
      <c r="N833" s="103" t="n"/>
      <c r="O833" s="103" t="n"/>
      <c r="P833" s="103" t="n"/>
      <c r="Q833" s="103" t="n"/>
      <c r="R833" s="103" t="n"/>
      <c r="S833" s="103" t="n"/>
      <c r="T833" s="103" t="n"/>
      <c r="U833" s="103" t="n"/>
      <c r="V833" s="103" t="n"/>
      <c r="W833" s="103" t="n"/>
      <c r="X833" s="103" t="n"/>
      <c r="Y833" s="103" t="n"/>
      <c r="Z833" s="103" t="n"/>
      <c r="AA833" s="103" t="n"/>
      <c r="AB833" s="103" t="n"/>
      <c r="AC833" s="103" t="n"/>
      <c r="AD833" s="103" t="n"/>
      <c r="AE833" s="103" t="n"/>
      <c r="AF833" s="103" t="n"/>
      <c r="AG833" s="103" t="n"/>
      <c r="AH833" s="103" t="n"/>
      <c r="AI833" s="103" t="n"/>
      <c r="AJ833" s="103" t="n"/>
      <c r="AK833" s="103" t="n"/>
      <c r="AL833" s="103" t="n"/>
      <c r="AM833" s="103" t="n"/>
      <c r="AN833" s="103" t="n"/>
      <c r="AO833" s="103" t="n"/>
      <c r="AP833" s="103" t="n"/>
      <c r="AQ833" s="103" t="n"/>
      <c r="AR833" s="103" t="n"/>
    </row>
    <row r="835">
      <c r="A835" s="8">
        <f>IF(HSI!$C$82="","",HSI!$C$82)</f>
        <v/>
      </c>
      <c r="B835" s="99">
        <f>IF($A835="",0,COUNT($E836:$AR836))</f>
        <v/>
      </c>
      <c r="C835" s="100">
        <f>IF($B835=0,0,MAX($E836:$AR836))</f>
        <v/>
      </c>
      <c r="D835" s="101">
        <f>BDS($A835,FLD_HIST,"headers=y","startcol=1","endcol=7","dir=h","DVD_START_DT",HIST_FROM,"DVD_END_DT",HIST_TO)</f>
        <v/>
      </c>
      <c r="E835" s="102" t="n"/>
      <c r="F835" s="102" t="n"/>
      <c r="G835" s="102" t="n"/>
      <c r="H835" s="102" t="n"/>
      <c r="I835" s="102" t="n"/>
      <c r="J835" s="102" t="n"/>
      <c r="K835" s="102" t="n"/>
      <c r="L835" s="102" t="n"/>
      <c r="M835" s="102" t="n"/>
      <c r="N835" s="102" t="n"/>
      <c r="O835" s="102" t="n"/>
      <c r="P835" s="102" t="n"/>
      <c r="Q835" s="102" t="n"/>
      <c r="R835" s="102" t="n"/>
      <c r="S835" s="102" t="n"/>
      <c r="T835" s="102" t="n"/>
      <c r="U835" s="102" t="n"/>
      <c r="V835" s="102" t="n"/>
      <c r="W835" s="102" t="n"/>
      <c r="X835" s="102" t="n"/>
      <c r="Y835" s="102" t="n"/>
      <c r="Z835" s="102" t="n"/>
      <c r="AA835" s="102" t="n"/>
      <c r="AB835" s="102" t="n"/>
      <c r="AC835" s="102" t="n"/>
      <c r="AD835" s="102" t="n"/>
      <c r="AE835" s="102" t="n"/>
      <c r="AF835" s="102" t="n"/>
      <c r="AG835" s="102" t="n"/>
      <c r="AH835" s="102" t="n"/>
      <c r="AI835" s="102" t="n"/>
      <c r="AJ835" s="102" t="n"/>
      <c r="AK835" s="102" t="n"/>
      <c r="AL835" s="102" t="n"/>
      <c r="AM835" s="102" t="n"/>
      <c r="AN835" s="102" t="n"/>
      <c r="AO835" s="102" t="n"/>
      <c r="AP835" s="102" t="n"/>
      <c r="AQ835" s="102" t="n"/>
      <c r="AR835" s="102" t="n"/>
    </row>
    <row r="836">
      <c r="D836" s="102" t="n"/>
      <c r="E836" s="102" t="n"/>
      <c r="F836" s="102" t="n"/>
      <c r="G836" s="102" t="n"/>
      <c r="H836" s="102" t="n"/>
      <c r="I836" s="102" t="n"/>
      <c r="J836" s="102" t="n"/>
      <c r="K836" s="102" t="n"/>
      <c r="L836" s="102" t="n"/>
      <c r="M836" s="102" t="n"/>
      <c r="N836" s="102" t="n"/>
      <c r="O836" s="102" t="n"/>
      <c r="P836" s="102" t="n"/>
      <c r="Q836" s="102" t="n"/>
      <c r="R836" s="102" t="n"/>
      <c r="S836" s="102" t="n"/>
      <c r="T836" s="102" t="n"/>
      <c r="U836" s="102" t="n"/>
      <c r="V836" s="102" t="n"/>
      <c r="W836" s="102" t="n"/>
      <c r="X836" s="102" t="n"/>
      <c r="Y836" s="102" t="n"/>
      <c r="Z836" s="102" t="n"/>
      <c r="AA836" s="102" t="n"/>
      <c r="AB836" s="102" t="n"/>
      <c r="AC836" s="102" t="n"/>
      <c r="AD836" s="102" t="n"/>
      <c r="AE836" s="102" t="n"/>
      <c r="AF836" s="102" t="n"/>
      <c r="AG836" s="102" t="n"/>
      <c r="AH836" s="102" t="n"/>
      <c r="AI836" s="102" t="n"/>
      <c r="AJ836" s="102" t="n"/>
      <c r="AK836" s="102" t="n"/>
      <c r="AL836" s="102" t="n"/>
      <c r="AM836" s="102" t="n"/>
      <c r="AN836" s="102" t="n"/>
      <c r="AO836" s="102" t="n"/>
      <c r="AP836" s="102" t="n"/>
      <c r="AQ836" s="102" t="n"/>
      <c r="AR836" s="102" t="n"/>
    </row>
    <row r="837">
      <c r="D837" s="102" t="n"/>
      <c r="E837" s="102" t="n"/>
      <c r="F837" s="102" t="n"/>
      <c r="G837" s="102" t="n"/>
      <c r="H837" s="102" t="n"/>
      <c r="I837" s="102" t="n"/>
      <c r="J837" s="102" t="n"/>
      <c r="K837" s="102" t="n"/>
      <c r="L837" s="102" t="n"/>
      <c r="M837" s="102" t="n"/>
      <c r="N837" s="102" t="n"/>
      <c r="O837" s="102" t="n"/>
      <c r="P837" s="102" t="n"/>
      <c r="Q837" s="102" t="n"/>
      <c r="R837" s="102" t="n"/>
      <c r="S837" s="102" t="n"/>
      <c r="T837" s="102" t="n"/>
      <c r="U837" s="102" t="n"/>
      <c r="V837" s="102" t="n"/>
      <c r="W837" s="102" t="n"/>
      <c r="X837" s="102" t="n"/>
      <c r="Y837" s="102" t="n"/>
      <c r="Z837" s="102" t="n"/>
      <c r="AA837" s="102" t="n"/>
      <c r="AB837" s="102" t="n"/>
      <c r="AC837" s="102" t="n"/>
      <c r="AD837" s="102" t="n"/>
      <c r="AE837" s="102" t="n"/>
      <c r="AF837" s="102" t="n"/>
      <c r="AG837" s="102" t="n"/>
      <c r="AH837" s="102" t="n"/>
      <c r="AI837" s="102" t="n"/>
      <c r="AJ837" s="102" t="n"/>
      <c r="AK837" s="102" t="n"/>
      <c r="AL837" s="102" t="n"/>
      <c r="AM837" s="102" t="n"/>
      <c r="AN837" s="102" t="n"/>
      <c r="AO837" s="102" t="n"/>
      <c r="AP837" s="102" t="n"/>
      <c r="AQ837" s="102" t="n"/>
      <c r="AR837" s="102" t="n"/>
    </row>
    <row r="838">
      <c r="D838" s="102" t="n"/>
      <c r="E838" s="102" t="n"/>
      <c r="F838" s="102" t="n"/>
      <c r="G838" s="102" t="n"/>
      <c r="H838" s="102" t="n"/>
      <c r="I838" s="102" t="n"/>
      <c r="J838" s="102" t="n"/>
      <c r="K838" s="102" t="n"/>
      <c r="L838" s="102" t="n"/>
      <c r="M838" s="102" t="n"/>
      <c r="N838" s="102" t="n"/>
      <c r="O838" s="102" t="n"/>
      <c r="P838" s="102" t="n"/>
      <c r="Q838" s="102" t="n"/>
      <c r="R838" s="102" t="n"/>
      <c r="S838" s="102" t="n"/>
      <c r="T838" s="102" t="n"/>
      <c r="U838" s="102" t="n"/>
      <c r="V838" s="102" t="n"/>
      <c r="W838" s="102" t="n"/>
      <c r="X838" s="102" t="n"/>
      <c r="Y838" s="102" t="n"/>
      <c r="Z838" s="102" t="n"/>
      <c r="AA838" s="102" t="n"/>
      <c r="AB838" s="102" t="n"/>
      <c r="AC838" s="102" t="n"/>
      <c r="AD838" s="102" t="n"/>
      <c r="AE838" s="102" t="n"/>
      <c r="AF838" s="102" t="n"/>
      <c r="AG838" s="102" t="n"/>
      <c r="AH838" s="102" t="n"/>
      <c r="AI838" s="102" t="n"/>
      <c r="AJ838" s="102" t="n"/>
      <c r="AK838" s="102" t="n"/>
      <c r="AL838" s="102" t="n"/>
      <c r="AM838" s="102" t="n"/>
      <c r="AN838" s="102" t="n"/>
      <c r="AO838" s="102" t="n"/>
      <c r="AP838" s="102" t="n"/>
      <c r="AQ838" s="102" t="n"/>
      <c r="AR838" s="102" t="n"/>
    </row>
    <row r="839">
      <c r="D839" s="103" t="n"/>
      <c r="E839" s="103" t="n"/>
      <c r="F839" s="103" t="n"/>
      <c r="G839" s="103" t="n"/>
      <c r="H839" s="103" t="n"/>
      <c r="I839" s="103" t="n"/>
      <c r="J839" s="103" t="n"/>
      <c r="K839" s="103" t="n"/>
      <c r="L839" s="103" t="n"/>
      <c r="M839" s="103" t="n"/>
      <c r="N839" s="103" t="n"/>
      <c r="O839" s="103" t="n"/>
      <c r="P839" s="103" t="n"/>
      <c r="Q839" s="103" t="n"/>
      <c r="R839" s="103" t="n"/>
      <c r="S839" s="103" t="n"/>
      <c r="T839" s="103" t="n"/>
      <c r="U839" s="103" t="n"/>
      <c r="V839" s="103" t="n"/>
      <c r="W839" s="103" t="n"/>
      <c r="X839" s="103" t="n"/>
      <c r="Y839" s="103" t="n"/>
      <c r="Z839" s="103" t="n"/>
      <c r="AA839" s="103" t="n"/>
      <c r="AB839" s="103" t="n"/>
      <c r="AC839" s="103" t="n"/>
      <c r="AD839" s="103" t="n"/>
      <c r="AE839" s="103" t="n"/>
      <c r="AF839" s="103" t="n"/>
      <c r="AG839" s="103" t="n"/>
      <c r="AH839" s="103" t="n"/>
      <c r="AI839" s="103" t="n"/>
      <c r="AJ839" s="103" t="n"/>
      <c r="AK839" s="103" t="n"/>
      <c r="AL839" s="103" t="n"/>
      <c r="AM839" s="103" t="n"/>
      <c r="AN839" s="103" t="n"/>
      <c r="AO839" s="103" t="n"/>
      <c r="AP839" s="103" t="n"/>
      <c r="AQ839" s="103" t="n"/>
      <c r="AR839" s="103" t="n"/>
    </row>
    <row r="842">
      <c r="A842" s="2">
        <f>IF($A835="","","   projections")</f>
        <v/>
      </c>
      <c r="B842" s="99">
        <f>IF($A835="",0,COUNT($E843:$AR843))</f>
        <v/>
      </c>
      <c r="C842" s="100">
        <f>IF($B842=0,0,MAX($E843:$AR843))</f>
        <v/>
      </c>
      <c r="D842" s="101">
        <f>BDS($A835,FLD_PROJ,"headers=y","startcol=1","endcol=3","dir=h")</f>
        <v/>
      </c>
      <c r="E842" s="102" t="n"/>
      <c r="F842" s="102" t="n"/>
      <c r="G842" s="102" t="n"/>
      <c r="H842" s="102" t="n"/>
      <c r="I842" s="102" t="n"/>
      <c r="J842" s="102" t="n"/>
      <c r="K842" s="102" t="n"/>
      <c r="L842" s="102" t="n"/>
      <c r="M842" s="102" t="n"/>
      <c r="N842" s="102" t="n"/>
      <c r="O842" s="102" t="n"/>
      <c r="P842" s="102" t="n"/>
      <c r="Q842" s="102" t="n"/>
      <c r="R842" s="102" t="n"/>
      <c r="S842" s="102" t="n"/>
      <c r="T842" s="102" t="n"/>
      <c r="U842" s="102" t="n"/>
      <c r="V842" s="102" t="n"/>
      <c r="W842" s="102" t="n"/>
      <c r="X842" s="102" t="n"/>
      <c r="Y842" s="102" t="n"/>
      <c r="Z842" s="102" t="n"/>
      <c r="AA842" s="102" t="n"/>
      <c r="AB842" s="102" t="n"/>
      <c r="AC842" s="102" t="n"/>
      <c r="AD842" s="102" t="n"/>
      <c r="AE842" s="102" t="n"/>
      <c r="AF842" s="102" t="n"/>
      <c r="AG842" s="102" t="n"/>
      <c r="AH842" s="102" t="n"/>
      <c r="AI842" s="102" t="n"/>
      <c r="AJ842" s="102" t="n"/>
      <c r="AK842" s="102" t="n"/>
      <c r="AL842" s="102" t="n"/>
      <c r="AM842" s="102" t="n"/>
      <c r="AN842" s="102" t="n"/>
      <c r="AO842" s="102" t="n"/>
      <c r="AP842" s="102" t="n"/>
      <c r="AQ842" s="102" t="n"/>
      <c r="AR842" s="102" t="n"/>
    </row>
    <row r="843">
      <c r="D843" s="102" t="n"/>
      <c r="E843" s="102" t="n"/>
      <c r="F843" s="102" t="n"/>
      <c r="G843" s="102" t="n"/>
      <c r="H843" s="102" t="n"/>
      <c r="I843" s="102" t="n"/>
      <c r="J843" s="102" t="n"/>
      <c r="K843" s="102" t="n"/>
      <c r="L843" s="102" t="n"/>
      <c r="M843" s="102" t="n"/>
      <c r="N843" s="102" t="n"/>
      <c r="O843" s="102" t="n"/>
      <c r="P843" s="102" t="n"/>
      <c r="Q843" s="102" t="n"/>
      <c r="R843" s="102" t="n"/>
      <c r="S843" s="102" t="n"/>
      <c r="T843" s="102" t="n"/>
      <c r="U843" s="102" t="n"/>
      <c r="V843" s="102" t="n"/>
      <c r="W843" s="102" t="n"/>
      <c r="X843" s="102" t="n"/>
      <c r="Y843" s="102" t="n"/>
      <c r="Z843" s="102" t="n"/>
      <c r="AA843" s="102" t="n"/>
      <c r="AB843" s="102" t="n"/>
      <c r="AC843" s="102" t="n"/>
      <c r="AD843" s="102" t="n"/>
      <c r="AE843" s="102" t="n"/>
      <c r="AF843" s="102" t="n"/>
      <c r="AG843" s="102" t="n"/>
      <c r="AH843" s="102" t="n"/>
      <c r="AI843" s="102" t="n"/>
      <c r="AJ843" s="102" t="n"/>
      <c r="AK843" s="102" t="n"/>
      <c r="AL843" s="102" t="n"/>
      <c r="AM843" s="102" t="n"/>
      <c r="AN843" s="102" t="n"/>
      <c r="AO843" s="102" t="n"/>
      <c r="AP843" s="102" t="n"/>
      <c r="AQ843" s="102" t="n"/>
      <c r="AR843" s="102" t="n"/>
    </row>
    <row r="844">
      <c r="D844" s="103" t="n"/>
      <c r="E844" s="103" t="n"/>
      <c r="F844" s="103" t="n"/>
      <c r="G844" s="103" t="n"/>
      <c r="H844" s="103" t="n"/>
      <c r="I844" s="103" t="n"/>
      <c r="J844" s="103" t="n"/>
      <c r="K844" s="103" t="n"/>
      <c r="L844" s="103" t="n"/>
      <c r="M844" s="103" t="n"/>
      <c r="N844" s="103" t="n"/>
      <c r="O844" s="103" t="n"/>
      <c r="P844" s="103" t="n"/>
      <c r="Q844" s="103" t="n"/>
      <c r="R844" s="103" t="n"/>
      <c r="S844" s="103" t="n"/>
      <c r="T844" s="103" t="n"/>
      <c r="U844" s="103" t="n"/>
      <c r="V844" s="103" t="n"/>
      <c r="W844" s="103" t="n"/>
      <c r="X844" s="103" t="n"/>
      <c r="Y844" s="103" t="n"/>
      <c r="Z844" s="103" t="n"/>
      <c r="AA844" s="103" t="n"/>
      <c r="AB844" s="103" t="n"/>
      <c r="AC844" s="103" t="n"/>
      <c r="AD844" s="103" t="n"/>
      <c r="AE844" s="103" t="n"/>
      <c r="AF844" s="103" t="n"/>
      <c r="AG844" s="103" t="n"/>
      <c r="AH844" s="103" t="n"/>
      <c r="AI844" s="103" t="n"/>
      <c r="AJ844" s="103" t="n"/>
      <c r="AK844" s="103" t="n"/>
      <c r="AL844" s="103" t="n"/>
      <c r="AM844" s="103" t="n"/>
      <c r="AN844" s="103" t="n"/>
      <c r="AO844" s="103" t="n"/>
      <c r="AP844" s="103" t="n"/>
      <c r="AQ844" s="103" t="n"/>
      <c r="AR844" s="103" t="n"/>
    </row>
    <row r="846">
      <c r="A846" s="8">
        <f>IF(HSI!$C$83="","",HSI!$C$83)</f>
        <v/>
      </c>
      <c r="B846" s="99">
        <f>IF($A846="",0,COUNT($E847:$AR847))</f>
        <v/>
      </c>
      <c r="C846" s="100">
        <f>IF($B846=0,0,MAX($E847:$AR847))</f>
        <v/>
      </c>
      <c r="D846" s="101">
        <f>BDS($A846,FLD_HIST,"headers=y","startcol=1","endcol=7","dir=h","DVD_START_DT",HIST_FROM,"DVD_END_DT",HIST_TO)</f>
        <v/>
      </c>
      <c r="E846" s="102" t="n"/>
      <c r="F846" s="102" t="n"/>
      <c r="G846" s="102" t="n"/>
      <c r="H846" s="102" t="n"/>
      <c r="I846" s="102" t="n"/>
      <c r="J846" s="102" t="n"/>
      <c r="K846" s="102" t="n"/>
      <c r="L846" s="102" t="n"/>
      <c r="M846" s="102" t="n"/>
      <c r="N846" s="102" t="n"/>
      <c r="O846" s="102" t="n"/>
      <c r="P846" s="102" t="n"/>
      <c r="Q846" s="102" t="n"/>
      <c r="R846" s="102" t="n"/>
      <c r="S846" s="102" t="n"/>
      <c r="T846" s="102" t="n"/>
      <c r="U846" s="102" t="n"/>
      <c r="V846" s="102" t="n"/>
      <c r="W846" s="102" t="n"/>
      <c r="X846" s="102" t="n"/>
      <c r="Y846" s="102" t="n"/>
      <c r="Z846" s="102" t="n"/>
      <c r="AA846" s="102" t="n"/>
      <c r="AB846" s="102" t="n"/>
      <c r="AC846" s="102" t="n"/>
      <c r="AD846" s="102" t="n"/>
      <c r="AE846" s="102" t="n"/>
      <c r="AF846" s="102" t="n"/>
      <c r="AG846" s="102" t="n"/>
      <c r="AH846" s="102" t="n"/>
      <c r="AI846" s="102" t="n"/>
      <c r="AJ846" s="102" t="n"/>
      <c r="AK846" s="102" t="n"/>
      <c r="AL846" s="102" t="n"/>
      <c r="AM846" s="102" t="n"/>
      <c r="AN846" s="102" t="n"/>
      <c r="AO846" s="102" t="n"/>
      <c r="AP846" s="102" t="n"/>
      <c r="AQ846" s="102" t="n"/>
      <c r="AR846" s="102" t="n"/>
    </row>
    <row r="847">
      <c r="D847" s="102" t="n"/>
      <c r="E847" s="102" t="n"/>
      <c r="F847" s="102" t="n"/>
      <c r="G847" s="102" t="n"/>
      <c r="H847" s="102" t="n"/>
      <c r="I847" s="102" t="n"/>
      <c r="J847" s="102" t="n"/>
      <c r="K847" s="102" t="n"/>
      <c r="L847" s="102" t="n"/>
      <c r="M847" s="102" t="n"/>
      <c r="N847" s="102" t="n"/>
      <c r="O847" s="102" t="n"/>
      <c r="P847" s="102" t="n"/>
      <c r="Q847" s="102" t="n"/>
      <c r="R847" s="102" t="n"/>
      <c r="S847" s="102" t="n"/>
      <c r="T847" s="102" t="n"/>
      <c r="U847" s="102" t="n"/>
      <c r="V847" s="102" t="n"/>
      <c r="W847" s="102" t="n"/>
      <c r="X847" s="102" t="n"/>
      <c r="Y847" s="102" t="n"/>
      <c r="Z847" s="102" t="n"/>
      <c r="AA847" s="102" t="n"/>
      <c r="AB847" s="102" t="n"/>
      <c r="AC847" s="102" t="n"/>
      <c r="AD847" s="102" t="n"/>
      <c r="AE847" s="102" t="n"/>
      <c r="AF847" s="102" t="n"/>
      <c r="AG847" s="102" t="n"/>
      <c r="AH847" s="102" t="n"/>
      <c r="AI847" s="102" t="n"/>
      <c r="AJ847" s="102" t="n"/>
      <c r="AK847" s="102" t="n"/>
      <c r="AL847" s="102" t="n"/>
      <c r="AM847" s="102" t="n"/>
      <c r="AN847" s="102" t="n"/>
      <c r="AO847" s="102" t="n"/>
      <c r="AP847" s="102" t="n"/>
      <c r="AQ847" s="102" t="n"/>
      <c r="AR847" s="102" t="n"/>
    </row>
    <row r="848">
      <c r="D848" s="102" t="n"/>
      <c r="E848" s="102" t="n"/>
      <c r="F848" s="102" t="n"/>
      <c r="G848" s="102" t="n"/>
      <c r="H848" s="102" t="n"/>
      <c r="I848" s="102" t="n"/>
      <c r="J848" s="102" t="n"/>
      <c r="K848" s="102" t="n"/>
      <c r="L848" s="102" t="n"/>
      <c r="M848" s="102" t="n"/>
      <c r="N848" s="102" t="n"/>
      <c r="O848" s="102" t="n"/>
      <c r="P848" s="102" t="n"/>
      <c r="Q848" s="102" t="n"/>
      <c r="R848" s="102" t="n"/>
      <c r="S848" s="102" t="n"/>
      <c r="T848" s="102" t="n"/>
      <c r="U848" s="102" t="n"/>
      <c r="V848" s="102" t="n"/>
      <c r="W848" s="102" t="n"/>
      <c r="X848" s="102" t="n"/>
      <c r="Y848" s="102" t="n"/>
      <c r="Z848" s="102" t="n"/>
      <c r="AA848" s="102" t="n"/>
      <c r="AB848" s="102" t="n"/>
      <c r="AC848" s="102" t="n"/>
      <c r="AD848" s="102" t="n"/>
      <c r="AE848" s="102" t="n"/>
      <c r="AF848" s="102" t="n"/>
      <c r="AG848" s="102" t="n"/>
      <c r="AH848" s="102" t="n"/>
      <c r="AI848" s="102" t="n"/>
      <c r="AJ848" s="102" t="n"/>
      <c r="AK848" s="102" t="n"/>
      <c r="AL848" s="102" t="n"/>
      <c r="AM848" s="102" t="n"/>
      <c r="AN848" s="102" t="n"/>
      <c r="AO848" s="102" t="n"/>
      <c r="AP848" s="102" t="n"/>
      <c r="AQ848" s="102" t="n"/>
      <c r="AR848" s="102" t="n"/>
    </row>
    <row r="849">
      <c r="D849" s="102" t="n"/>
      <c r="E849" s="102" t="n"/>
      <c r="F849" s="102" t="n"/>
      <c r="G849" s="102" t="n"/>
      <c r="H849" s="102" t="n"/>
      <c r="I849" s="102" t="n"/>
      <c r="J849" s="102" t="n"/>
      <c r="K849" s="102" t="n"/>
      <c r="L849" s="102" t="n"/>
      <c r="M849" s="102" t="n"/>
      <c r="N849" s="102" t="n"/>
      <c r="O849" s="102" t="n"/>
      <c r="P849" s="102" t="n"/>
      <c r="Q849" s="102" t="n"/>
      <c r="R849" s="102" t="n"/>
      <c r="S849" s="102" t="n"/>
      <c r="T849" s="102" t="n"/>
      <c r="U849" s="102" t="n"/>
      <c r="V849" s="102" t="n"/>
      <c r="W849" s="102" t="n"/>
      <c r="X849" s="102" t="n"/>
      <c r="Y849" s="102" t="n"/>
      <c r="Z849" s="102" t="n"/>
      <c r="AA849" s="102" t="n"/>
      <c r="AB849" s="102" t="n"/>
      <c r="AC849" s="102" t="n"/>
      <c r="AD849" s="102" t="n"/>
      <c r="AE849" s="102" t="n"/>
      <c r="AF849" s="102" t="n"/>
      <c r="AG849" s="102" t="n"/>
      <c r="AH849" s="102" t="n"/>
      <c r="AI849" s="102" t="n"/>
      <c r="AJ849" s="102" t="n"/>
      <c r="AK849" s="102" t="n"/>
      <c r="AL849" s="102" t="n"/>
      <c r="AM849" s="102" t="n"/>
      <c r="AN849" s="102" t="n"/>
      <c r="AO849" s="102" t="n"/>
      <c r="AP849" s="102" t="n"/>
      <c r="AQ849" s="102" t="n"/>
      <c r="AR849" s="102" t="n"/>
    </row>
    <row r="850">
      <c r="D850" s="103" t="n"/>
      <c r="E850" s="103" t="n"/>
      <c r="F850" s="103" t="n"/>
      <c r="G850" s="103" t="n"/>
      <c r="H850" s="103" t="n"/>
      <c r="I850" s="103" t="n"/>
      <c r="J850" s="103" t="n"/>
      <c r="K850" s="103" t="n"/>
      <c r="L850" s="103" t="n"/>
      <c r="M850" s="103" t="n"/>
      <c r="N850" s="103" t="n"/>
      <c r="O850" s="103" t="n"/>
      <c r="P850" s="103" t="n"/>
      <c r="Q850" s="103" t="n"/>
      <c r="R850" s="103" t="n"/>
      <c r="S850" s="103" t="n"/>
      <c r="T850" s="103" t="n"/>
      <c r="U850" s="103" t="n"/>
      <c r="V850" s="103" t="n"/>
      <c r="W850" s="103" t="n"/>
      <c r="X850" s="103" t="n"/>
      <c r="Y850" s="103" t="n"/>
      <c r="Z850" s="103" t="n"/>
      <c r="AA850" s="103" t="n"/>
      <c r="AB850" s="103" t="n"/>
      <c r="AC850" s="103" t="n"/>
      <c r="AD850" s="103" t="n"/>
      <c r="AE850" s="103" t="n"/>
      <c r="AF850" s="103" t="n"/>
      <c r="AG850" s="103" t="n"/>
      <c r="AH850" s="103" t="n"/>
      <c r="AI850" s="103" t="n"/>
      <c r="AJ850" s="103" t="n"/>
      <c r="AK850" s="103" t="n"/>
      <c r="AL850" s="103" t="n"/>
      <c r="AM850" s="103" t="n"/>
      <c r="AN850" s="103" t="n"/>
      <c r="AO850" s="103" t="n"/>
      <c r="AP850" s="103" t="n"/>
      <c r="AQ850" s="103" t="n"/>
      <c r="AR850" s="103" t="n"/>
    </row>
    <row r="853">
      <c r="A853" s="2">
        <f>IF($A846="","","   projections")</f>
        <v/>
      </c>
      <c r="B853" s="99">
        <f>IF($A846="",0,COUNT($E854:$AR854))</f>
        <v/>
      </c>
      <c r="C853" s="100">
        <f>IF($B853=0,0,MAX($E854:$AR854))</f>
        <v/>
      </c>
      <c r="D853" s="101">
        <f>BDS($A846,FLD_PROJ,"headers=y","startcol=1","endcol=3","dir=h")</f>
        <v/>
      </c>
      <c r="E853" s="102" t="n"/>
      <c r="F853" s="102" t="n"/>
      <c r="G853" s="102" t="n"/>
      <c r="H853" s="102" t="n"/>
      <c r="I853" s="102" t="n"/>
      <c r="J853" s="102" t="n"/>
      <c r="K853" s="102" t="n"/>
      <c r="L853" s="102" t="n"/>
      <c r="M853" s="102" t="n"/>
      <c r="N853" s="102" t="n"/>
      <c r="O853" s="102" t="n"/>
      <c r="P853" s="102" t="n"/>
      <c r="Q853" s="102" t="n"/>
      <c r="R853" s="102" t="n"/>
      <c r="S853" s="102" t="n"/>
      <c r="T853" s="102" t="n"/>
      <c r="U853" s="102" t="n"/>
      <c r="V853" s="102" t="n"/>
      <c r="W853" s="102" t="n"/>
      <c r="X853" s="102" t="n"/>
      <c r="Y853" s="102" t="n"/>
      <c r="Z853" s="102" t="n"/>
      <c r="AA853" s="102" t="n"/>
      <c r="AB853" s="102" t="n"/>
      <c r="AC853" s="102" t="n"/>
      <c r="AD853" s="102" t="n"/>
      <c r="AE853" s="102" t="n"/>
      <c r="AF853" s="102" t="n"/>
      <c r="AG853" s="102" t="n"/>
      <c r="AH853" s="102" t="n"/>
      <c r="AI853" s="102" t="n"/>
      <c r="AJ853" s="102" t="n"/>
      <c r="AK853" s="102" t="n"/>
      <c r="AL853" s="102" t="n"/>
      <c r="AM853" s="102" t="n"/>
      <c r="AN853" s="102" t="n"/>
      <c r="AO853" s="102" t="n"/>
      <c r="AP853" s="102" t="n"/>
      <c r="AQ853" s="102" t="n"/>
      <c r="AR853" s="102" t="n"/>
    </row>
    <row r="854">
      <c r="D854" s="102" t="n"/>
      <c r="E854" s="102" t="n"/>
      <c r="F854" s="102" t="n"/>
      <c r="G854" s="102" t="n"/>
      <c r="H854" s="102" t="n"/>
      <c r="I854" s="102" t="n"/>
      <c r="J854" s="102" t="n"/>
      <c r="K854" s="102" t="n"/>
      <c r="L854" s="102" t="n"/>
      <c r="M854" s="102" t="n"/>
      <c r="N854" s="102" t="n"/>
      <c r="O854" s="102" t="n"/>
      <c r="P854" s="102" t="n"/>
      <c r="Q854" s="102" t="n"/>
      <c r="R854" s="102" t="n"/>
      <c r="S854" s="102" t="n"/>
      <c r="T854" s="102" t="n"/>
      <c r="U854" s="102" t="n"/>
      <c r="V854" s="102" t="n"/>
      <c r="W854" s="102" t="n"/>
      <c r="X854" s="102" t="n"/>
      <c r="Y854" s="102" t="n"/>
      <c r="Z854" s="102" t="n"/>
      <c r="AA854" s="102" t="n"/>
      <c r="AB854" s="102" t="n"/>
      <c r="AC854" s="102" t="n"/>
      <c r="AD854" s="102" t="n"/>
      <c r="AE854" s="102" t="n"/>
      <c r="AF854" s="102" t="n"/>
      <c r="AG854" s="102" t="n"/>
      <c r="AH854" s="102" t="n"/>
      <c r="AI854" s="102" t="n"/>
      <c r="AJ854" s="102" t="n"/>
      <c r="AK854" s="102" t="n"/>
      <c r="AL854" s="102" t="n"/>
      <c r="AM854" s="102" t="n"/>
      <c r="AN854" s="102" t="n"/>
      <c r="AO854" s="102" t="n"/>
      <c r="AP854" s="102" t="n"/>
      <c r="AQ854" s="102" t="n"/>
      <c r="AR854" s="102" t="n"/>
    </row>
    <row r="855">
      <c r="D855" s="103" t="n"/>
      <c r="E855" s="103" t="n"/>
      <c r="F855" s="103" t="n"/>
      <c r="G855" s="103" t="n"/>
      <c r="H855" s="103" t="n"/>
      <c r="I855" s="103" t="n"/>
      <c r="J855" s="103" t="n"/>
      <c r="K855" s="103" t="n"/>
      <c r="L855" s="103" t="n"/>
      <c r="M855" s="103" t="n"/>
      <c r="N855" s="103" t="n"/>
      <c r="O855" s="103" t="n"/>
      <c r="P855" s="103" t="n"/>
      <c r="Q855" s="103" t="n"/>
      <c r="R855" s="103" t="n"/>
      <c r="S855" s="103" t="n"/>
      <c r="T855" s="103" t="n"/>
      <c r="U855" s="103" t="n"/>
      <c r="V855" s="103" t="n"/>
      <c r="W855" s="103" t="n"/>
      <c r="X855" s="103" t="n"/>
      <c r="Y855" s="103" t="n"/>
      <c r="Z855" s="103" t="n"/>
      <c r="AA855" s="103" t="n"/>
      <c r="AB855" s="103" t="n"/>
      <c r="AC855" s="103" t="n"/>
      <c r="AD855" s="103" t="n"/>
      <c r="AE855" s="103" t="n"/>
      <c r="AF855" s="103" t="n"/>
      <c r="AG855" s="103" t="n"/>
      <c r="AH855" s="103" t="n"/>
      <c r="AI855" s="103" t="n"/>
      <c r="AJ855" s="103" t="n"/>
      <c r="AK855" s="103" t="n"/>
      <c r="AL855" s="103" t="n"/>
      <c r="AM855" s="103" t="n"/>
      <c r="AN855" s="103" t="n"/>
      <c r="AO855" s="103" t="n"/>
      <c r="AP855" s="103" t="n"/>
      <c r="AQ855" s="103" t="n"/>
      <c r="AR855" s="103" t="n"/>
    </row>
    <row r="857">
      <c r="A857" s="8">
        <f>IF(HSI!$C$84="","",HSI!$C$84)</f>
        <v/>
      </c>
      <c r="B857" s="99">
        <f>IF($A857="",0,COUNT($E858:$AR858))</f>
        <v/>
      </c>
      <c r="C857" s="100">
        <f>IF($B857=0,0,MAX($E858:$AR858))</f>
        <v/>
      </c>
      <c r="D857" s="101">
        <f>BDS($A857,FLD_HIST,"headers=y","startcol=1","endcol=7","dir=h","DVD_START_DT",HIST_FROM,"DVD_END_DT",HIST_TO)</f>
        <v/>
      </c>
      <c r="E857" s="102" t="n"/>
      <c r="F857" s="102" t="n"/>
      <c r="G857" s="102" t="n"/>
      <c r="H857" s="102" t="n"/>
      <c r="I857" s="102" t="n"/>
      <c r="J857" s="102" t="n"/>
      <c r="K857" s="102" t="n"/>
      <c r="L857" s="102" t="n"/>
      <c r="M857" s="102" t="n"/>
      <c r="N857" s="102" t="n"/>
      <c r="O857" s="102" t="n"/>
      <c r="P857" s="102" t="n"/>
      <c r="Q857" s="102" t="n"/>
      <c r="R857" s="102" t="n"/>
      <c r="S857" s="102" t="n"/>
      <c r="T857" s="102" t="n"/>
      <c r="U857" s="102" t="n"/>
      <c r="V857" s="102" t="n"/>
      <c r="W857" s="102" t="n"/>
      <c r="X857" s="102" t="n"/>
      <c r="Y857" s="102" t="n"/>
      <c r="Z857" s="102" t="n"/>
      <c r="AA857" s="102" t="n"/>
      <c r="AB857" s="102" t="n"/>
      <c r="AC857" s="102" t="n"/>
      <c r="AD857" s="102" t="n"/>
      <c r="AE857" s="102" t="n"/>
      <c r="AF857" s="102" t="n"/>
      <c r="AG857" s="102" t="n"/>
      <c r="AH857" s="102" t="n"/>
      <c r="AI857" s="102" t="n"/>
      <c r="AJ857" s="102" t="n"/>
      <c r="AK857" s="102" t="n"/>
      <c r="AL857" s="102" t="n"/>
      <c r="AM857" s="102" t="n"/>
      <c r="AN857" s="102" t="n"/>
      <c r="AO857" s="102" t="n"/>
      <c r="AP857" s="102" t="n"/>
      <c r="AQ857" s="102" t="n"/>
      <c r="AR857" s="102" t="n"/>
    </row>
    <row r="858">
      <c r="D858" s="102" t="n"/>
      <c r="E858" s="102" t="n"/>
      <c r="F858" s="102" t="n"/>
      <c r="G858" s="102" t="n"/>
      <c r="H858" s="102" t="n"/>
      <c r="I858" s="102" t="n"/>
      <c r="J858" s="102" t="n"/>
      <c r="K858" s="102" t="n"/>
      <c r="L858" s="102" t="n"/>
      <c r="M858" s="102" t="n"/>
      <c r="N858" s="102" t="n"/>
      <c r="O858" s="102" t="n"/>
      <c r="P858" s="102" t="n"/>
      <c r="Q858" s="102" t="n"/>
      <c r="R858" s="102" t="n"/>
      <c r="S858" s="102" t="n"/>
      <c r="T858" s="102" t="n"/>
      <c r="U858" s="102" t="n"/>
      <c r="V858" s="102" t="n"/>
      <c r="W858" s="102" t="n"/>
      <c r="X858" s="102" t="n"/>
      <c r="Y858" s="102" t="n"/>
      <c r="Z858" s="102" t="n"/>
      <c r="AA858" s="102" t="n"/>
      <c r="AB858" s="102" t="n"/>
      <c r="AC858" s="102" t="n"/>
      <c r="AD858" s="102" t="n"/>
      <c r="AE858" s="102" t="n"/>
      <c r="AF858" s="102" t="n"/>
      <c r="AG858" s="102" t="n"/>
      <c r="AH858" s="102" t="n"/>
      <c r="AI858" s="102" t="n"/>
      <c r="AJ858" s="102" t="n"/>
      <c r="AK858" s="102" t="n"/>
      <c r="AL858" s="102" t="n"/>
      <c r="AM858" s="102" t="n"/>
      <c r="AN858" s="102" t="n"/>
      <c r="AO858" s="102" t="n"/>
      <c r="AP858" s="102" t="n"/>
      <c r="AQ858" s="102" t="n"/>
      <c r="AR858" s="102" t="n"/>
    </row>
    <row r="859">
      <c r="D859" s="102" t="n"/>
      <c r="E859" s="102" t="n"/>
      <c r="F859" s="102" t="n"/>
      <c r="G859" s="102" t="n"/>
      <c r="H859" s="102" t="n"/>
      <c r="I859" s="102" t="n"/>
      <c r="J859" s="102" t="n"/>
      <c r="K859" s="102" t="n"/>
      <c r="L859" s="102" t="n"/>
      <c r="M859" s="102" t="n"/>
      <c r="N859" s="102" t="n"/>
      <c r="O859" s="102" t="n"/>
      <c r="P859" s="102" t="n"/>
      <c r="Q859" s="102" t="n"/>
      <c r="R859" s="102" t="n"/>
      <c r="S859" s="102" t="n"/>
      <c r="T859" s="102" t="n"/>
      <c r="U859" s="102" t="n"/>
      <c r="V859" s="102" t="n"/>
      <c r="W859" s="102" t="n"/>
      <c r="X859" s="102" t="n"/>
      <c r="Y859" s="102" t="n"/>
      <c r="Z859" s="102" t="n"/>
      <c r="AA859" s="102" t="n"/>
      <c r="AB859" s="102" t="n"/>
      <c r="AC859" s="102" t="n"/>
      <c r="AD859" s="102" t="n"/>
      <c r="AE859" s="102" t="n"/>
      <c r="AF859" s="102" t="n"/>
      <c r="AG859" s="102" t="n"/>
      <c r="AH859" s="102" t="n"/>
      <c r="AI859" s="102" t="n"/>
      <c r="AJ859" s="102" t="n"/>
      <c r="AK859" s="102" t="n"/>
      <c r="AL859" s="102" t="n"/>
      <c r="AM859" s="102" t="n"/>
      <c r="AN859" s="102" t="n"/>
      <c r="AO859" s="102" t="n"/>
      <c r="AP859" s="102" t="n"/>
      <c r="AQ859" s="102" t="n"/>
      <c r="AR859" s="102" t="n"/>
    </row>
    <row r="860">
      <c r="D860" s="102" t="n"/>
      <c r="E860" s="102" t="n"/>
      <c r="F860" s="102" t="n"/>
      <c r="G860" s="102" t="n"/>
      <c r="H860" s="102" t="n"/>
      <c r="I860" s="102" t="n"/>
      <c r="J860" s="102" t="n"/>
      <c r="K860" s="102" t="n"/>
      <c r="L860" s="102" t="n"/>
      <c r="M860" s="102" t="n"/>
      <c r="N860" s="102" t="n"/>
      <c r="O860" s="102" t="n"/>
      <c r="P860" s="102" t="n"/>
      <c r="Q860" s="102" t="n"/>
      <c r="R860" s="102" t="n"/>
      <c r="S860" s="102" t="n"/>
      <c r="T860" s="102" t="n"/>
      <c r="U860" s="102" t="n"/>
      <c r="V860" s="102" t="n"/>
      <c r="W860" s="102" t="n"/>
      <c r="X860" s="102" t="n"/>
      <c r="Y860" s="102" t="n"/>
      <c r="Z860" s="102" t="n"/>
      <c r="AA860" s="102" t="n"/>
      <c r="AB860" s="102" t="n"/>
      <c r="AC860" s="102" t="n"/>
      <c r="AD860" s="102" t="n"/>
      <c r="AE860" s="102" t="n"/>
      <c r="AF860" s="102" t="n"/>
      <c r="AG860" s="102" t="n"/>
      <c r="AH860" s="102" t="n"/>
      <c r="AI860" s="102" t="n"/>
      <c r="AJ860" s="102" t="n"/>
      <c r="AK860" s="102" t="n"/>
      <c r="AL860" s="102" t="n"/>
      <c r="AM860" s="102" t="n"/>
      <c r="AN860" s="102" t="n"/>
      <c r="AO860" s="102" t="n"/>
      <c r="AP860" s="102" t="n"/>
      <c r="AQ860" s="102" t="n"/>
      <c r="AR860" s="102" t="n"/>
    </row>
    <row r="861">
      <c r="D861" s="103" t="n"/>
      <c r="E861" s="103" t="n"/>
      <c r="F861" s="103" t="n"/>
      <c r="G861" s="103" t="n"/>
      <c r="H861" s="103" t="n"/>
      <c r="I861" s="103" t="n"/>
      <c r="J861" s="103" t="n"/>
      <c r="K861" s="103" t="n"/>
      <c r="L861" s="103" t="n"/>
      <c r="M861" s="103" t="n"/>
      <c r="N861" s="103" t="n"/>
      <c r="O861" s="103" t="n"/>
      <c r="P861" s="103" t="n"/>
      <c r="Q861" s="103" t="n"/>
      <c r="R861" s="103" t="n"/>
      <c r="S861" s="103" t="n"/>
      <c r="T861" s="103" t="n"/>
      <c r="U861" s="103" t="n"/>
      <c r="V861" s="103" t="n"/>
      <c r="W861" s="103" t="n"/>
      <c r="X861" s="103" t="n"/>
      <c r="Y861" s="103" t="n"/>
      <c r="Z861" s="103" t="n"/>
      <c r="AA861" s="103" t="n"/>
      <c r="AB861" s="103" t="n"/>
      <c r="AC861" s="103" t="n"/>
      <c r="AD861" s="103" t="n"/>
      <c r="AE861" s="103" t="n"/>
      <c r="AF861" s="103" t="n"/>
      <c r="AG861" s="103" t="n"/>
      <c r="AH861" s="103" t="n"/>
      <c r="AI861" s="103" t="n"/>
      <c r="AJ861" s="103" t="n"/>
      <c r="AK861" s="103" t="n"/>
      <c r="AL861" s="103" t="n"/>
      <c r="AM861" s="103" t="n"/>
      <c r="AN861" s="103" t="n"/>
      <c r="AO861" s="103" t="n"/>
      <c r="AP861" s="103" t="n"/>
      <c r="AQ861" s="103" t="n"/>
      <c r="AR861" s="103" t="n"/>
    </row>
    <row r="864">
      <c r="A864" s="2">
        <f>IF($A857="","","   projections")</f>
        <v/>
      </c>
      <c r="B864" s="99">
        <f>IF($A857="",0,COUNT($E865:$AR865))</f>
        <v/>
      </c>
      <c r="C864" s="100">
        <f>IF($B864=0,0,MAX($E865:$AR865))</f>
        <v/>
      </c>
      <c r="D864" s="101">
        <f>BDS($A857,FLD_PROJ,"headers=y","startcol=1","endcol=3","dir=h")</f>
        <v/>
      </c>
      <c r="E864" s="102" t="n"/>
      <c r="F864" s="102" t="n"/>
      <c r="G864" s="102" t="n"/>
      <c r="H864" s="102" t="n"/>
      <c r="I864" s="102" t="n"/>
      <c r="J864" s="102" t="n"/>
      <c r="K864" s="102" t="n"/>
      <c r="L864" s="102" t="n"/>
      <c r="M864" s="102" t="n"/>
      <c r="N864" s="102" t="n"/>
      <c r="O864" s="102" t="n"/>
      <c r="P864" s="102" t="n"/>
      <c r="Q864" s="102" t="n"/>
      <c r="R864" s="102" t="n"/>
      <c r="S864" s="102" t="n"/>
      <c r="T864" s="102" t="n"/>
      <c r="U864" s="102" t="n"/>
      <c r="V864" s="102" t="n"/>
      <c r="W864" s="102" t="n"/>
      <c r="X864" s="102" t="n"/>
      <c r="Y864" s="102" t="n"/>
      <c r="Z864" s="102" t="n"/>
      <c r="AA864" s="102" t="n"/>
      <c r="AB864" s="102" t="n"/>
      <c r="AC864" s="102" t="n"/>
      <c r="AD864" s="102" t="n"/>
      <c r="AE864" s="102" t="n"/>
      <c r="AF864" s="102" t="n"/>
      <c r="AG864" s="102" t="n"/>
      <c r="AH864" s="102" t="n"/>
      <c r="AI864" s="102" t="n"/>
      <c r="AJ864" s="102" t="n"/>
      <c r="AK864" s="102" t="n"/>
      <c r="AL864" s="102" t="n"/>
      <c r="AM864" s="102" t="n"/>
      <c r="AN864" s="102" t="n"/>
      <c r="AO864" s="102" t="n"/>
      <c r="AP864" s="102" t="n"/>
      <c r="AQ864" s="102" t="n"/>
      <c r="AR864" s="102" t="n"/>
    </row>
    <row r="865">
      <c r="D865" s="102" t="n"/>
      <c r="E865" s="102" t="n"/>
      <c r="F865" s="102" t="n"/>
      <c r="G865" s="102" t="n"/>
      <c r="H865" s="102" t="n"/>
      <c r="I865" s="102" t="n"/>
      <c r="J865" s="102" t="n"/>
      <c r="K865" s="102" t="n"/>
      <c r="L865" s="102" t="n"/>
      <c r="M865" s="102" t="n"/>
      <c r="N865" s="102" t="n"/>
      <c r="O865" s="102" t="n"/>
      <c r="P865" s="102" t="n"/>
      <c r="Q865" s="102" t="n"/>
      <c r="R865" s="102" t="n"/>
      <c r="S865" s="102" t="n"/>
      <c r="T865" s="102" t="n"/>
      <c r="U865" s="102" t="n"/>
      <c r="V865" s="102" t="n"/>
      <c r="W865" s="102" t="n"/>
      <c r="X865" s="102" t="n"/>
      <c r="Y865" s="102" t="n"/>
      <c r="Z865" s="102" t="n"/>
      <c r="AA865" s="102" t="n"/>
      <c r="AB865" s="102" t="n"/>
      <c r="AC865" s="102" t="n"/>
      <c r="AD865" s="102" t="n"/>
      <c r="AE865" s="102" t="n"/>
      <c r="AF865" s="102" t="n"/>
      <c r="AG865" s="102" t="n"/>
      <c r="AH865" s="102" t="n"/>
      <c r="AI865" s="102" t="n"/>
      <c r="AJ865" s="102" t="n"/>
      <c r="AK865" s="102" t="n"/>
      <c r="AL865" s="102" t="n"/>
      <c r="AM865" s="102" t="n"/>
      <c r="AN865" s="102" t="n"/>
      <c r="AO865" s="102" t="n"/>
      <c r="AP865" s="102" t="n"/>
      <c r="AQ865" s="102" t="n"/>
      <c r="AR865" s="102" t="n"/>
    </row>
    <row r="866">
      <c r="D866" s="103" t="n"/>
      <c r="E866" s="103" t="n"/>
      <c r="F866" s="103" t="n"/>
      <c r="G866" s="103" t="n"/>
      <c r="H866" s="103" t="n"/>
      <c r="I866" s="103" t="n"/>
      <c r="J866" s="103" t="n"/>
      <c r="K866" s="103" t="n"/>
      <c r="L866" s="103" t="n"/>
      <c r="M866" s="103" t="n"/>
      <c r="N866" s="103" t="n"/>
      <c r="O866" s="103" t="n"/>
      <c r="P866" s="103" t="n"/>
      <c r="Q866" s="103" t="n"/>
      <c r="R866" s="103" t="n"/>
      <c r="S866" s="103" t="n"/>
      <c r="T866" s="103" t="n"/>
      <c r="U866" s="103" t="n"/>
      <c r="V866" s="103" t="n"/>
      <c r="W866" s="103" t="n"/>
      <c r="X866" s="103" t="n"/>
      <c r="Y866" s="103" t="n"/>
      <c r="Z866" s="103" t="n"/>
      <c r="AA866" s="103" t="n"/>
      <c r="AB866" s="103" t="n"/>
      <c r="AC866" s="103" t="n"/>
      <c r="AD866" s="103" t="n"/>
      <c r="AE866" s="103" t="n"/>
      <c r="AF866" s="103" t="n"/>
      <c r="AG866" s="103" t="n"/>
      <c r="AH866" s="103" t="n"/>
      <c r="AI866" s="103" t="n"/>
      <c r="AJ866" s="103" t="n"/>
      <c r="AK866" s="103" t="n"/>
      <c r="AL866" s="103" t="n"/>
      <c r="AM866" s="103" t="n"/>
      <c r="AN866" s="103" t="n"/>
      <c r="AO866" s="103" t="n"/>
      <c r="AP866" s="103" t="n"/>
      <c r="AQ866" s="103" t="n"/>
      <c r="AR866" s="103" t="n"/>
    </row>
    <row r="868">
      <c r="A868" s="8">
        <f>IF(HSI!$C$85="","",HSI!$C$85)</f>
        <v/>
      </c>
      <c r="B868" s="99">
        <f>IF($A868="",0,COUNT($E869:$AR869))</f>
        <v/>
      </c>
      <c r="C868" s="100">
        <f>IF($B868=0,0,MAX($E869:$AR869))</f>
        <v/>
      </c>
      <c r="D868" s="101">
        <f>BDS($A868,FLD_HIST,"headers=y","startcol=1","endcol=7","dir=h","DVD_START_DT",HIST_FROM,"DVD_END_DT",HIST_TO)</f>
        <v/>
      </c>
      <c r="E868" s="102" t="n"/>
      <c r="F868" s="102" t="n"/>
      <c r="G868" s="102" t="n"/>
      <c r="H868" s="102" t="n"/>
      <c r="I868" s="102" t="n"/>
      <c r="J868" s="102" t="n"/>
      <c r="K868" s="102" t="n"/>
      <c r="L868" s="102" t="n"/>
      <c r="M868" s="102" t="n"/>
      <c r="N868" s="102" t="n"/>
      <c r="O868" s="102" t="n"/>
      <c r="P868" s="102" t="n"/>
      <c r="Q868" s="102" t="n"/>
      <c r="R868" s="102" t="n"/>
      <c r="S868" s="102" t="n"/>
      <c r="T868" s="102" t="n"/>
      <c r="U868" s="102" t="n"/>
      <c r="V868" s="102" t="n"/>
      <c r="W868" s="102" t="n"/>
      <c r="X868" s="102" t="n"/>
      <c r="Y868" s="102" t="n"/>
      <c r="Z868" s="102" t="n"/>
      <c r="AA868" s="102" t="n"/>
      <c r="AB868" s="102" t="n"/>
      <c r="AC868" s="102" t="n"/>
      <c r="AD868" s="102" t="n"/>
      <c r="AE868" s="102" t="n"/>
      <c r="AF868" s="102" t="n"/>
      <c r="AG868" s="102" t="n"/>
      <c r="AH868" s="102" t="n"/>
      <c r="AI868" s="102" t="n"/>
      <c r="AJ868" s="102" t="n"/>
      <c r="AK868" s="102" t="n"/>
      <c r="AL868" s="102" t="n"/>
      <c r="AM868" s="102" t="n"/>
      <c r="AN868" s="102" t="n"/>
      <c r="AO868" s="102" t="n"/>
      <c r="AP868" s="102" t="n"/>
      <c r="AQ868" s="102" t="n"/>
      <c r="AR868" s="102" t="n"/>
    </row>
    <row r="869">
      <c r="D869" s="102" t="n"/>
      <c r="E869" s="102" t="n"/>
      <c r="F869" s="102" t="n"/>
      <c r="G869" s="102" t="n"/>
      <c r="H869" s="102" t="n"/>
      <c r="I869" s="102" t="n"/>
      <c r="J869" s="102" t="n"/>
      <c r="K869" s="102" t="n"/>
      <c r="L869" s="102" t="n"/>
      <c r="M869" s="102" t="n"/>
      <c r="N869" s="102" t="n"/>
      <c r="O869" s="102" t="n"/>
      <c r="P869" s="102" t="n"/>
      <c r="Q869" s="102" t="n"/>
      <c r="R869" s="102" t="n"/>
      <c r="S869" s="102" t="n"/>
      <c r="T869" s="102" t="n"/>
      <c r="U869" s="102" t="n"/>
      <c r="V869" s="102" t="n"/>
      <c r="W869" s="102" t="n"/>
      <c r="X869" s="102" t="n"/>
      <c r="Y869" s="102" t="n"/>
      <c r="Z869" s="102" t="n"/>
      <c r="AA869" s="102" t="n"/>
      <c r="AB869" s="102" t="n"/>
      <c r="AC869" s="102" t="n"/>
      <c r="AD869" s="102" t="n"/>
      <c r="AE869" s="102" t="n"/>
      <c r="AF869" s="102" t="n"/>
      <c r="AG869" s="102" t="n"/>
      <c r="AH869" s="102" t="n"/>
      <c r="AI869" s="102" t="n"/>
      <c r="AJ869" s="102" t="n"/>
      <c r="AK869" s="102" t="n"/>
      <c r="AL869" s="102" t="n"/>
      <c r="AM869" s="102" t="n"/>
      <c r="AN869" s="102" t="n"/>
      <c r="AO869" s="102" t="n"/>
      <c r="AP869" s="102" t="n"/>
      <c r="AQ869" s="102" t="n"/>
      <c r="AR869" s="102" t="n"/>
    </row>
    <row r="870">
      <c r="D870" s="102" t="n"/>
      <c r="E870" s="102" t="n"/>
      <c r="F870" s="102" t="n"/>
      <c r="G870" s="102" t="n"/>
      <c r="H870" s="102" t="n"/>
      <c r="I870" s="102" t="n"/>
      <c r="J870" s="102" t="n"/>
      <c r="K870" s="102" t="n"/>
      <c r="L870" s="102" t="n"/>
      <c r="M870" s="102" t="n"/>
      <c r="N870" s="102" t="n"/>
      <c r="O870" s="102" t="n"/>
      <c r="P870" s="102" t="n"/>
      <c r="Q870" s="102" t="n"/>
      <c r="R870" s="102" t="n"/>
      <c r="S870" s="102" t="n"/>
      <c r="T870" s="102" t="n"/>
      <c r="U870" s="102" t="n"/>
      <c r="V870" s="102" t="n"/>
      <c r="W870" s="102" t="n"/>
      <c r="X870" s="102" t="n"/>
      <c r="Y870" s="102" t="n"/>
      <c r="Z870" s="102" t="n"/>
      <c r="AA870" s="102" t="n"/>
      <c r="AB870" s="102" t="n"/>
      <c r="AC870" s="102" t="n"/>
      <c r="AD870" s="102" t="n"/>
      <c r="AE870" s="102" t="n"/>
      <c r="AF870" s="102" t="n"/>
      <c r="AG870" s="102" t="n"/>
      <c r="AH870" s="102" t="n"/>
      <c r="AI870" s="102" t="n"/>
      <c r="AJ870" s="102" t="n"/>
      <c r="AK870" s="102" t="n"/>
      <c r="AL870" s="102" t="n"/>
      <c r="AM870" s="102" t="n"/>
      <c r="AN870" s="102" t="n"/>
      <c r="AO870" s="102" t="n"/>
      <c r="AP870" s="102" t="n"/>
      <c r="AQ870" s="102" t="n"/>
      <c r="AR870" s="102" t="n"/>
    </row>
    <row r="871">
      <c r="D871" s="102" t="n"/>
      <c r="E871" s="102" t="n"/>
      <c r="F871" s="102" t="n"/>
      <c r="G871" s="102" t="n"/>
      <c r="H871" s="102" t="n"/>
      <c r="I871" s="102" t="n"/>
      <c r="J871" s="102" t="n"/>
      <c r="K871" s="102" t="n"/>
      <c r="L871" s="102" t="n"/>
      <c r="M871" s="102" t="n"/>
      <c r="N871" s="102" t="n"/>
      <c r="O871" s="102" t="n"/>
      <c r="P871" s="102" t="n"/>
      <c r="Q871" s="102" t="n"/>
      <c r="R871" s="102" t="n"/>
      <c r="S871" s="102" t="n"/>
      <c r="T871" s="102" t="n"/>
      <c r="U871" s="102" t="n"/>
      <c r="V871" s="102" t="n"/>
      <c r="W871" s="102" t="n"/>
      <c r="X871" s="102" t="n"/>
      <c r="Y871" s="102" t="n"/>
      <c r="Z871" s="102" t="n"/>
      <c r="AA871" s="102" t="n"/>
      <c r="AB871" s="102" t="n"/>
      <c r="AC871" s="102" t="n"/>
      <c r="AD871" s="102" t="n"/>
      <c r="AE871" s="102" t="n"/>
      <c r="AF871" s="102" t="n"/>
      <c r="AG871" s="102" t="n"/>
      <c r="AH871" s="102" t="n"/>
      <c r="AI871" s="102" t="n"/>
      <c r="AJ871" s="102" t="n"/>
      <c r="AK871" s="102" t="n"/>
      <c r="AL871" s="102" t="n"/>
      <c r="AM871" s="102" t="n"/>
      <c r="AN871" s="102" t="n"/>
      <c r="AO871" s="102" t="n"/>
      <c r="AP871" s="102" t="n"/>
      <c r="AQ871" s="102" t="n"/>
      <c r="AR871" s="102" t="n"/>
    </row>
    <row r="872">
      <c r="D872" s="103" t="n"/>
      <c r="E872" s="103" t="n"/>
      <c r="F872" s="103" t="n"/>
      <c r="G872" s="103" t="n"/>
      <c r="H872" s="103" t="n"/>
      <c r="I872" s="103" t="n"/>
      <c r="J872" s="103" t="n"/>
      <c r="K872" s="103" t="n"/>
      <c r="L872" s="103" t="n"/>
      <c r="M872" s="103" t="n"/>
      <c r="N872" s="103" t="n"/>
      <c r="O872" s="103" t="n"/>
      <c r="P872" s="103" t="n"/>
      <c r="Q872" s="103" t="n"/>
      <c r="R872" s="103" t="n"/>
      <c r="S872" s="103" t="n"/>
      <c r="T872" s="103" t="n"/>
      <c r="U872" s="103" t="n"/>
      <c r="V872" s="103" t="n"/>
      <c r="W872" s="103" t="n"/>
      <c r="X872" s="103" t="n"/>
      <c r="Y872" s="103" t="n"/>
      <c r="Z872" s="103" t="n"/>
      <c r="AA872" s="103" t="n"/>
      <c r="AB872" s="103" t="n"/>
      <c r="AC872" s="103" t="n"/>
      <c r="AD872" s="103" t="n"/>
      <c r="AE872" s="103" t="n"/>
      <c r="AF872" s="103" t="n"/>
      <c r="AG872" s="103" t="n"/>
      <c r="AH872" s="103" t="n"/>
      <c r="AI872" s="103" t="n"/>
      <c r="AJ872" s="103" t="n"/>
      <c r="AK872" s="103" t="n"/>
      <c r="AL872" s="103" t="n"/>
      <c r="AM872" s="103" t="n"/>
      <c r="AN872" s="103" t="n"/>
      <c r="AO872" s="103" t="n"/>
      <c r="AP872" s="103" t="n"/>
      <c r="AQ872" s="103" t="n"/>
      <c r="AR872" s="103" t="n"/>
    </row>
    <row r="875">
      <c r="A875" s="2">
        <f>IF($A868="","","   projections")</f>
        <v/>
      </c>
      <c r="B875" s="99">
        <f>IF($A868="",0,COUNT($E876:$AR876))</f>
        <v/>
      </c>
      <c r="C875" s="100">
        <f>IF($B875=0,0,MAX($E876:$AR876))</f>
        <v/>
      </c>
      <c r="D875" s="101">
        <f>BDS($A868,FLD_PROJ,"headers=y","startcol=1","endcol=3","dir=h")</f>
        <v/>
      </c>
      <c r="E875" s="102" t="n"/>
      <c r="F875" s="102" t="n"/>
      <c r="G875" s="102" t="n"/>
      <c r="H875" s="102" t="n"/>
      <c r="I875" s="102" t="n"/>
      <c r="J875" s="102" t="n"/>
      <c r="K875" s="102" t="n"/>
      <c r="L875" s="102" t="n"/>
      <c r="M875" s="102" t="n"/>
      <c r="N875" s="102" t="n"/>
      <c r="O875" s="102" t="n"/>
      <c r="P875" s="102" t="n"/>
      <c r="Q875" s="102" t="n"/>
      <c r="R875" s="102" t="n"/>
      <c r="S875" s="102" t="n"/>
      <c r="T875" s="102" t="n"/>
      <c r="U875" s="102" t="n"/>
      <c r="V875" s="102" t="n"/>
      <c r="W875" s="102" t="n"/>
      <c r="X875" s="102" t="n"/>
      <c r="Y875" s="102" t="n"/>
      <c r="Z875" s="102" t="n"/>
      <c r="AA875" s="102" t="n"/>
      <c r="AB875" s="102" t="n"/>
      <c r="AC875" s="102" t="n"/>
      <c r="AD875" s="102" t="n"/>
      <c r="AE875" s="102" t="n"/>
      <c r="AF875" s="102" t="n"/>
      <c r="AG875" s="102" t="n"/>
      <c r="AH875" s="102" t="n"/>
      <c r="AI875" s="102" t="n"/>
      <c r="AJ875" s="102" t="n"/>
      <c r="AK875" s="102" t="n"/>
      <c r="AL875" s="102" t="n"/>
      <c r="AM875" s="102" t="n"/>
      <c r="AN875" s="102" t="n"/>
      <c r="AO875" s="102" t="n"/>
      <c r="AP875" s="102" t="n"/>
      <c r="AQ875" s="102" t="n"/>
      <c r="AR875" s="102" t="n"/>
    </row>
    <row r="876">
      <c r="D876" s="102" t="n"/>
      <c r="E876" s="102" t="n"/>
      <c r="F876" s="102" t="n"/>
      <c r="G876" s="102" t="n"/>
      <c r="H876" s="102" t="n"/>
      <c r="I876" s="102" t="n"/>
      <c r="J876" s="102" t="n"/>
      <c r="K876" s="102" t="n"/>
      <c r="L876" s="102" t="n"/>
      <c r="M876" s="102" t="n"/>
      <c r="N876" s="102" t="n"/>
      <c r="O876" s="102" t="n"/>
      <c r="P876" s="102" t="n"/>
      <c r="Q876" s="102" t="n"/>
      <c r="R876" s="102" t="n"/>
      <c r="S876" s="102" t="n"/>
      <c r="T876" s="102" t="n"/>
      <c r="U876" s="102" t="n"/>
      <c r="V876" s="102" t="n"/>
      <c r="W876" s="102" t="n"/>
      <c r="X876" s="102" t="n"/>
      <c r="Y876" s="102" t="n"/>
      <c r="Z876" s="102" t="n"/>
      <c r="AA876" s="102" t="n"/>
      <c r="AB876" s="102" t="n"/>
      <c r="AC876" s="102" t="n"/>
      <c r="AD876" s="102" t="n"/>
      <c r="AE876" s="102" t="n"/>
      <c r="AF876" s="102" t="n"/>
      <c r="AG876" s="102" t="n"/>
      <c r="AH876" s="102" t="n"/>
      <c r="AI876" s="102" t="n"/>
      <c r="AJ876" s="102" t="n"/>
      <c r="AK876" s="102" t="n"/>
      <c r="AL876" s="102" t="n"/>
      <c r="AM876" s="102" t="n"/>
      <c r="AN876" s="102" t="n"/>
      <c r="AO876" s="102" t="n"/>
      <c r="AP876" s="102" t="n"/>
      <c r="AQ876" s="102" t="n"/>
      <c r="AR876" s="102" t="n"/>
    </row>
    <row r="877">
      <c r="D877" s="103" t="n"/>
      <c r="E877" s="103" t="n"/>
      <c r="F877" s="103" t="n"/>
      <c r="G877" s="103" t="n"/>
      <c r="H877" s="103" t="n"/>
      <c r="I877" s="103" t="n"/>
      <c r="J877" s="103" t="n"/>
      <c r="K877" s="103" t="n"/>
      <c r="L877" s="103" t="n"/>
      <c r="M877" s="103" t="n"/>
      <c r="N877" s="103" t="n"/>
      <c r="O877" s="103" t="n"/>
      <c r="P877" s="103" t="n"/>
      <c r="Q877" s="103" t="n"/>
      <c r="R877" s="103" t="n"/>
      <c r="S877" s="103" t="n"/>
      <c r="T877" s="103" t="n"/>
      <c r="U877" s="103" t="n"/>
      <c r="V877" s="103" t="n"/>
      <c r="W877" s="103" t="n"/>
      <c r="X877" s="103" t="n"/>
      <c r="Y877" s="103" t="n"/>
      <c r="Z877" s="103" t="n"/>
      <c r="AA877" s="103" t="n"/>
      <c r="AB877" s="103" t="n"/>
      <c r="AC877" s="103" t="n"/>
      <c r="AD877" s="103" t="n"/>
      <c r="AE877" s="103" t="n"/>
      <c r="AF877" s="103" t="n"/>
      <c r="AG877" s="103" t="n"/>
      <c r="AH877" s="103" t="n"/>
      <c r="AI877" s="103" t="n"/>
      <c r="AJ877" s="103" t="n"/>
      <c r="AK877" s="103" t="n"/>
      <c r="AL877" s="103" t="n"/>
      <c r="AM877" s="103" t="n"/>
      <c r="AN877" s="103" t="n"/>
      <c r="AO877" s="103" t="n"/>
      <c r="AP877" s="103" t="n"/>
      <c r="AQ877" s="103" t="n"/>
      <c r="AR877" s="103" t="n"/>
    </row>
    <row r="879">
      <c r="A879" s="8">
        <f>IF(HSI!$C$86="","",HSI!$C$86)</f>
        <v/>
      </c>
      <c r="B879" s="99">
        <f>IF($A879="",0,COUNT($E880:$AR880))</f>
        <v/>
      </c>
      <c r="C879" s="100">
        <f>IF($B879=0,0,MAX($E880:$AR880))</f>
        <v/>
      </c>
      <c r="D879" s="101">
        <f>BDS($A879,FLD_HIST,"headers=y","startcol=1","endcol=7","dir=h","DVD_START_DT",HIST_FROM,"DVD_END_DT",HIST_TO)</f>
        <v/>
      </c>
      <c r="E879" s="102" t="n"/>
      <c r="F879" s="102" t="n"/>
      <c r="G879" s="102" t="n"/>
      <c r="H879" s="102" t="n"/>
      <c r="I879" s="102" t="n"/>
      <c r="J879" s="102" t="n"/>
      <c r="K879" s="102" t="n"/>
      <c r="L879" s="102" t="n"/>
      <c r="M879" s="102" t="n"/>
      <c r="N879" s="102" t="n"/>
      <c r="O879" s="102" t="n"/>
      <c r="P879" s="102" t="n"/>
      <c r="Q879" s="102" t="n"/>
      <c r="R879" s="102" t="n"/>
      <c r="S879" s="102" t="n"/>
      <c r="T879" s="102" t="n"/>
      <c r="U879" s="102" t="n"/>
      <c r="V879" s="102" t="n"/>
      <c r="W879" s="102" t="n"/>
      <c r="X879" s="102" t="n"/>
      <c r="Y879" s="102" t="n"/>
      <c r="Z879" s="102" t="n"/>
      <c r="AA879" s="102" t="n"/>
      <c r="AB879" s="102" t="n"/>
      <c r="AC879" s="102" t="n"/>
      <c r="AD879" s="102" t="n"/>
      <c r="AE879" s="102" t="n"/>
      <c r="AF879" s="102" t="n"/>
      <c r="AG879" s="102" t="n"/>
      <c r="AH879" s="102" t="n"/>
      <c r="AI879" s="102" t="n"/>
      <c r="AJ879" s="102" t="n"/>
      <c r="AK879" s="102" t="n"/>
      <c r="AL879" s="102" t="n"/>
      <c r="AM879" s="102" t="n"/>
      <c r="AN879" s="102" t="n"/>
      <c r="AO879" s="102" t="n"/>
      <c r="AP879" s="102" t="n"/>
      <c r="AQ879" s="102" t="n"/>
      <c r="AR879" s="102" t="n"/>
    </row>
    <row r="880">
      <c r="D880" s="102" t="n"/>
      <c r="E880" s="102" t="n"/>
      <c r="F880" s="102" t="n"/>
      <c r="G880" s="102" t="n"/>
      <c r="H880" s="102" t="n"/>
      <c r="I880" s="102" t="n"/>
      <c r="J880" s="102" t="n"/>
      <c r="K880" s="102" t="n"/>
      <c r="L880" s="102" t="n"/>
      <c r="M880" s="102" t="n"/>
      <c r="N880" s="102" t="n"/>
      <c r="O880" s="102" t="n"/>
      <c r="P880" s="102" t="n"/>
      <c r="Q880" s="102" t="n"/>
      <c r="R880" s="102" t="n"/>
      <c r="S880" s="102" t="n"/>
      <c r="T880" s="102" t="n"/>
      <c r="U880" s="102" t="n"/>
      <c r="V880" s="102" t="n"/>
      <c r="W880" s="102" t="n"/>
      <c r="X880" s="102" t="n"/>
      <c r="Y880" s="102" t="n"/>
      <c r="Z880" s="102" t="n"/>
      <c r="AA880" s="102" t="n"/>
      <c r="AB880" s="102" t="n"/>
      <c r="AC880" s="102" t="n"/>
      <c r="AD880" s="102" t="n"/>
      <c r="AE880" s="102" t="n"/>
      <c r="AF880" s="102" t="n"/>
      <c r="AG880" s="102" t="n"/>
      <c r="AH880" s="102" t="n"/>
      <c r="AI880" s="102" t="n"/>
      <c r="AJ880" s="102" t="n"/>
      <c r="AK880" s="102" t="n"/>
      <c r="AL880" s="102" t="n"/>
      <c r="AM880" s="102" t="n"/>
      <c r="AN880" s="102" t="n"/>
      <c r="AO880" s="102" t="n"/>
      <c r="AP880" s="102" t="n"/>
      <c r="AQ880" s="102" t="n"/>
      <c r="AR880" s="102" t="n"/>
    </row>
    <row r="881">
      <c r="D881" s="102" t="n"/>
      <c r="E881" s="102" t="n"/>
      <c r="F881" s="102" t="n"/>
      <c r="G881" s="102" t="n"/>
      <c r="H881" s="102" t="n"/>
      <c r="I881" s="102" t="n"/>
      <c r="J881" s="102" t="n"/>
      <c r="K881" s="102" t="n"/>
      <c r="L881" s="102" t="n"/>
      <c r="M881" s="102" t="n"/>
      <c r="N881" s="102" t="n"/>
      <c r="O881" s="102" t="n"/>
      <c r="P881" s="102" t="n"/>
      <c r="Q881" s="102" t="n"/>
      <c r="R881" s="102" t="n"/>
      <c r="S881" s="102" t="n"/>
      <c r="T881" s="102" t="n"/>
      <c r="U881" s="102" t="n"/>
      <c r="V881" s="102" t="n"/>
      <c r="W881" s="102" t="n"/>
      <c r="X881" s="102" t="n"/>
      <c r="Y881" s="102" t="n"/>
      <c r="Z881" s="102" t="n"/>
      <c r="AA881" s="102" t="n"/>
      <c r="AB881" s="102" t="n"/>
      <c r="AC881" s="102" t="n"/>
      <c r="AD881" s="102" t="n"/>
      <c r="AE881" s="102" t="n"/>
      <c r="AF881" s="102" t="n"/>
      <c r="AG881" s="102" t="n"/>
      <c r="AH881" s="102" t="n"/>
      <c r="AI881" s="102" t="n"/>
      <c r="AJ881" s="102" t="n"/>
      <c r="AK881" s="102" t="n"/>
      <c r="AL881" s="102" t="n"/>
      <c r="AM881" s="102" t="n"/>
      <c r="AN881" s="102" t="n"/>
      <c r="AO881" s="102" t="n"/>
      <c r="AP881" s="102" t="n"/>
      <c r="AQ881" s="102" t="n"/>
      <c r="AR881" s="102" t="n"/>
    </row>
    <row r="882">
      <c r="D882" s="102" t="n"/>
      <c r="E882" s="102" t="n"/>
      <c r="F882" s="102" t="n"/>
      <c r="G882" s="102" t="n"/>
      <c r="H882" s="102" t="n"/>
      <c r="I882" s="102" t="n"/>
      <c r="J882" s="102" t="n"/>
      <c r="K882" s="102" t="n"/>
      <c r="L882" s="102" t="n"/>
      <c r="M882" s="102" t="n"/>
      <c r="N882" s="102" t="n"/>
      <c r="O882" s="102" t="n"/>
      <c r="P882" s="102" t="n"/>
      <c r="Q882" s="102" t="n"/>
      <c r="R882" s="102" t="n"/>
      <c r="S882" s="102" t="n"/>
      <c r="T882" s="102" t="n"/>
      <c r="U882" s="102" t="n"/>
      <c r="V882" s="102" t="n"/>
      <c r="W882" s="102" t="n"/>
      <c r="X882" s="102" t="n"/>
      <c r="Y882" s="102" t="n"/>
      <c r="Z882" s="102" t="n"/>
      <c r="AA882" s="102" t="n"/>
      <c r="AB882" s="102" t="n"/>
      <c r="AC882" s="102" t="n"/>
      <c r="AD882" s="102" t="n"/>
      <c r="AE882" s="102" t="n"/>
      <c r="AF882" s="102" t="n"/>
      <c r="AG882" s="102" t="n"/>
      <c r="AH882" s="102" t="n"/>
      <c r="AI882" s="102" t="n"/>
      <c r="AJ882" s="102" t="n"/>
      <c r="AK882" s="102" t="n"/>
      <c r="AL882" s="102" t="n"/>
      <c r="AM882" s="102" t="n"/>
      <c r="AN882" s="102" t="n"/>
      <c r="AO882" s="102" t="n"/>
      <c r="AP882" s="102" t="n"/>
      <c r="AQ882" s="102" t="n"/>
      <c r="AR882" s="102" t="n"/>
    </row>
    <row r="883">
      <c r="D883" s="103" t="n"/>
      <c r="E883" s="103" t="n"/>
      <c r="F883" s="103" t="n"/>
      <c r="G883" s="103" t="n"/>
      <c r="H883" s="103" t="n"/>
      <c r="I883" s="103" t="n"/>
      <c r="J883" s="103" t="n"/>
      <c r="K883" s="103" t="n"/>
      <c r="L883" s="103" t="n"/>
      <c r="M883" s="103" t="n"/>
      <c r="N883" s="103" t="n"/>
      <c r="O883" s="103" t="n"/>
      <c r="P883" s="103" t="n"/>
      <c r="Q883" s="103" t="n"/>
      <c r="R883" s="103" t="n"/>
      <c r="S883" s="103" t="n"/>
      <c r="T883" s="103" t="n"/>
      <c r="U883" s="103" t="n"/>
      <c r="V883" s="103" t="n"/>
      <c r="W883" s="103" t="n"/>
      <c r="X883" s="103" t="n"/>
      <c r="Y883" s="103" t="n"/>
      <c r="Z883" s="103" t="n"/>
      <c r="AA883" s="103" t="n"/>
      <c r="AB883" s="103" t="n"/>
      <c r="AC883" s="103" t="n"/>
      <c r="AD883" s="103" t="n"/>
      <c r="AE883" s="103" t="n"/>
      <c r="AF883" s="103" t="n"/>
      <c r="AG883" s="103" t="n"/>
      <c r="AH883" s="103" t="n"/>
      <c r="AI883" s="103" t="n"/>
      <c r="AJ883" s="103" t="n"/>
      <c r="AK883" s="103" t="n"/>
      <c r="AL883" s="103" t="n"/>
      <c r="AM883" s="103" t="n"/>
      <c r="AN883" s="103" t="n"/>
      <c r="AO883" s="103" t="n"/>
      <c r="AP883" s="103" t="n"/>
      <c r="AQ883" s="103" t="n"/>
      <c r="AR883" s="103" t="n"/>
    </row>
    <row r="886">
      <c r="A886" s="2">
        <f>IF($A879="","","   projections")</f>
        <v/>
      </c>
      <c r="B886" s="99">
        <f>IF($A879="",0,COUNT($E887:$AR887))</f>
        <v/>
      </c>
      <c r="C886" s="100">
        <f>IF($B886=0,0,MAX($E887:$AR887))</f>
        <v/>
      </c>
      <c r="D886" s="101">
        <f>BDS($A879,FLD_PROJ,"headers=y","startcol=1","endcol=3","dir=h")</f>
        <v/>
      </c>
      <c r="E886" s="102" t="n"/>
      <c r="F886" s="102" t="n"/>
      <c r="G886" s="102" t="n"/>
      <c r="H886" s="102" t="n"/>
      <c r="I886" s="102" t="n"/>
      <c r="J886" s="102" t="n"/>
      <c r="K886" s="102" t="n"/>
      <c r="L886" s="102" t="n"/>
      <c r="M886" s="102" t="n"/>
      <c r="N886" s="102" t="n"/>
      <c r="O886" s="102" t="n"/>
      <c r="P886" s="102" t="n"/>
      <c r="Q886" s="102" t="n"/>
      <c r="R886" s="102" t="n"/>
      <c r="S886" s="102" t="n"/>
      <c r="T886" s="102" t="n"/>
      <c r="U886" s="102" t="n"/>
      <c r="V886" s="102" t="n"/>
      <c r="W886" s="102" t="n"/>
      <c r="X886" s="102" t="n"/>
      <c r="Y886" s="102" t="n"/>
      <c r="Z886" s="102" t="n"/>
      <c r="AA886" s="102" t="n"/>
      <c r="AB886" s="102" t="n"/>
      <c r="AC886" s="102" t="n"/>
      <c r="AD886" s="102" t="n"/>
      <c r="AE886" s="102" t="n"/>
      <c r="AF886" s="102" t="n"/>
      <c r="AG886" s="102" t="n"/>
      <c r="AH886" s="102" t="n"/>
      <c r="AI886" s="102" t="n"/>
      <c r="AJ886" s="102" t="n"/>
      <c r="AK886" s="102" t="n"/>
      <c r="AL886" s="102" t="n"/>
      <c r="AM886" s="102" t="n"/>
      <c r="AN886" s="102" t="n"/>
      <c r="AO886" s="102" t="n"/>
      <c r="AP886" s="102" t="n"/>
      <c r="AQ886" s="102" t="n"/>
      <c r="AR886" s="102" t="n"/>
    </row>
    <row r="887">
      <c r="D887" s="102" t="n"/>
      <c r="E887" s="102" t="n"/>
      <c r="F887" s="102" t="n"/>
      <c r="G887" s="102" t="n"/>
      <c r="H887" s="102" t="n"/>
      <c r="I887" s="102" t="n"/>
      <c r="J887" s="102" t="n"/>
      <c r="K887" s="102" t="n"/>
      <c r="L887" s="102" t="n"/>
      <c r="M887" s="102" t="n"/>
      <c r="N887" s="102" t="n"/>
      <c r="O887" s="102" t="n"/>
      <c r="P887" s="102" t="n"/>
      <c r="Q887" s="102" t="n"/>
      <c r="R887" s="102" t="n"/>
      <c r="S887" s="102" t="n"/>
      <c r="T887" s="102" t="n"/>
      <c r="U887" s="102" t="n"/>
      <c r="V887" s="102" t="n"/>
      <c r="W887" s="102" t="n"/>
      <c r="X887" s="102" t="n"/>
      <c r="Y887" s="102" t="n"/>
      <c r="Z887" s="102" t="n"/>
      <c r="AA887" s="102" t="n"/>
      <c r="AB887" s="102" t="n"/>
      <c r="AC887" s="102" t="n"/>
      <c r="AD887" s="102" t="n"/>
      <c r="AE887" s="102" t="n"/>
      <c r="AF887" s="102" t="n"/>
      <c r="AG887" s="102" t="n"/>
      <c r="AH887" s="102" t="n"/>
      <c r="AI887" s="102" t="n"/>
      <c r="AJ887" s="102" t="n"/>
      <c r="AK887" s="102" t="n"/>
      <c r="AL887" s="102" t="n"/>
      <c r="AM887" s="102" t="n"/>
      <c r="AN887" s="102" t="n"/>
      <c r="AO887" s="102" t="n"/>
      <c r="AP887" s="102" t="n"/>
      <c r="AQ887" s="102" t="n"/>
      <c r="AR887" s="102" t="n"/>
    </row>
    <row r="888">
      <c r="D888" s="103" t="n"/>
      <c r="E888" s="103" t="n"/>
      <c r="F888" s="103" t="n"/>
      <c r="G888" s="103" t="n"/>
      <c r="H888" s="103" t="n"/>
      <c r="I888" s="103" t="n"/>
      <c r="J888" s="103" t="n"/>
      <c r="K888" s="103" t="n"/>
      <c r="L888" s="103" t="n"/>
      <c r="M888" s="103" t="n"/>
      <c r="N888" s="103" t="n"/>
      <c r="O888" s="103" t="n"/>
      <c r="P888" s="103" t="n"/>
      <c r="Q888" s="103" t="n"/>
      <c r="R888" s="103" t="n"/>
      <c r="S888" s="103" t="n"/>
      <c r="T888" s="103" t="n"/>
      <c r="U888" s="103" t="n"/>
      <c r="V888" s="103" t="n"/>
      <c r="W888" s="103" t="n"/>
      <c r="X888" s="103" t="n"/>
      <c r="Y888" s="103" t="n"/>
      <c r="Z888" s="103" t="n"/>
      <c r="AA888" s="103" t="n"/>
      <c r="AB888" s="103" t="n"/>
      <c r="AC888" s="103" t="n"/>
      <c r="AD888" s="103" t="n"/>
      <c r="AE888" s="103" t="n"/>
      <c r="AF888" s="103" t="n"/>
      <c r="AG888" s="103" t="n"/>
      <c r="AH888" s="103" t="n"/>
      <c r="AI888" s="103" t="n"/>
      <c r="AJ888" s="103" t="n"/>
      <c r="AK888" s="103" t="n"/>
      <c r="AL888" s="103" t="n"/>
      <c r="AM888" s="103" t="n"/>
      <c r="AN888" s="103" t="n"/>
      <c r="AO888" s="103" t="n"/>
      <c r="AP888" s="103" t="n"/>
      <c r="AQ888" s="103" t="n"/>
      <c r="AR888" s="103" t="n"/>
    </row>
    <row r="890">
      <c r="A890" s="8">
        <f>IF(HSI!$C$87="","",HSI!$C$87)</f>
        <v/>
      </c>
      <c r="B890" s="99">
        <f>IF($A890="",0,COUNT($E891:$AR891))</f>
        <v/>
      </c>
      <c r="C890" s="100">
        <f>IF($B890=0,0,MAX($E891:$AR891))</f>
        <v/>
      </c>
      <c r="D890" s="101">
        <f>BDS($A890,FLD_HIST,"headers=y","startcol=1","endcol=7","dir=h","DVD_START_DT",HIST_FROM,"DVD_END_DT",HIST_TO)</f>
        <v/>
      </c>
      <c r="E890" s="102" t="n"/>
      <c r="F890" s="102" t="n"/>
      <c r="G890" s="102" t="n"/>
      <c r="H890" s="102" t="n"/>
      <c r="I890" s="102" t="n"/>
      <c r="J890" s="102" t="n"/>
      <c r="K890" s="102" t="n"/>
      <c r="L890" s="102" t="n"/>
      <c r="M890" s="102" t="n"/>
      <c r="N890" s="102" t="n"/>
      <c r="O890" s="102" t="n"/>
      <c r="P890" s="102" t="n"/>
      <c r="Q890" s="102" t="n"/>
      <c r="R890" s="102" t="n"/>
      <c r="S890" s="102" t="n"/>
      <c r="T890" s="102" t="n"/>
      <c r="U890" s="102" t="n"/>
      <c r="V890" s="102" t="n"/>
      <c r="W890" s="102" t="n"/>
      <c r="X890" s="102" t="n"/>
      <c r="Y890" s="102" t="n"/>
      <c r="Z890" s="102" t="n"/>
      <c r="AA890" s="102" t="n"/>
      <c r="AB890" s="102" t="n"/>
      <c r="AC890" s="102" t="n"/>
      <c r="AD890" s="102" t="n"/>
      <c r="AE890" s="102" t="n"/>
      <c r="AF890" s="102" t="n"/>
      <c r="AG890" s="102" t="n"/>
      <c r="AH890" s="102" t="n"/>
      <c r="AI890" s="102" t="n"/>
      <c r="AJ890" s="102" t="n"/>
      <c r="AK890" s="102" t="n"/>
      <c r="AL890" s="102" t="n"/>
      <c r="AM890" s="102" t="n"/>
      <c r="AN890" s="102" t="n"/>
      <c r="AO890" s="102" t="n"/>
      <c r="AP890" s="102" t="n"/>
      <c r="AQ890" s="102" t="n"/>
      <c r="AR890" s="102" t="n"/>
    </row>
    <row r="891">
      <c r="D891" s="102" t="n"/>
      <c r="E891" s="102" t="n"/>
      <c r="F891" s="102" t="n"/>
      <c r="G891" s="102" t="n"/>
      <c r="H891" s="102" t="n"/>
      <c r="I891" s="102" t="n"/>
      <c r="J891" s="102" t="n"/>
      <c r="K891" s="102" t="n"/>
      <c r="L891" s="102" t="n"/>
      <c r="M891" s="102" t="n"/>
      <c r="N891" s="102" t="n"/>
      <c r="O891" s="102" t="n"/>
      <c r="P891" s="102" t="n"/>
      <c r="Q891" s="102" t="n"/>
      <c r="R891" s="102" t="n"/>
      <c r="S891" s="102" t="n"/>
      <c r="T891" s="102" t="n"/>
      <c r="U891" s="102" t="n"/>
      <c r="V891" s="102" t="n"/>
      <c r="W891" s="102" t="n"/>
      <c r="X891" s="102" t="n"/>
      <c r="Y891" s="102" t="n"/>
      <c r="Z891" s="102" t="n"/>
      <c r="AA891" s="102" t="n"/>
      <c r="AB891" s="102" t="n"/>
      <c r="AC891" s="102" t="n"/>
      <c r="AD891" s="102" t="n"/>
      <c r="AE891" s="102" t="n"/>
      <c r="AF891" s="102" t="n"/>
      <c r="AG891" s="102" t="n"/>
      <c r="AH891" s="102" t="n"/>
      <c r="AI891" s="102" t="n"/>
      <c r="AJ891" s="102" t="n"/>
      <c r="AK891" s="102" t="n"/>
      <c r="AL891" s="102" t="n"/>
      <c r="AM891" s="102" t="n"/>
      <c r="AN891" s="102" t="n"/>
      <c r="AO891" s="102" t="n"/>
      <c r="AP891" s="102" t="n"/>
      <c r="AQ891" s="102" t="n"/>
      <c r="AR891" s="102" t="n"/>
    </row>
    <row r="892">
      <c r="D892" s="102" t="n"/>
      <c r="E892" s="102" t="n"/>
      <c r="F892" s="102" t="n"/>
      <c r="G892" s="102" t="n"/>
      <c r="H892" s="102" t="n"/>
      <c r="I892" s="102" t="n"/>
      <c r="J892" s="102" t="n"/>
      <c r="K892" s="102" t="n"/>
      <c r="L892" s="102" t="n"/>
      <c r="M892" s="102" t="n"/>
      <c r="N892" s="102" t="n"/>
      <c r="O892" s="102" t="n"/>
      <c r="P892" s="102" t="n"/>
      <c r="Q892" s="102" t="n"/>
      <c r="R892" s="102" t="n"/>
      <c r="S892" s="102" t="n"/>
      <c r="T892" s="102" t="n"/>
      <c r="U892" s="102" t="n"/>
      <c r="V892" s="102" t="n"/>
      <c r="W892" s="102" t="n"/>
      <c r="X892" s="102" t="n"/>
      <c r="Y892" s="102" t="n"/>
      <c r="Z892" s="102" t="n"/>
      <c r="AA892" s="102" t="n"/>
      <c r="AB892" s="102" t="n"/>
      <c r="AC892" s="102" t="n"/>
      <c r="AD892" s="102" t="n"/>
      <c r="AE892" s="102" t="n"/>
      <c r="AF892" s="102" t="n"/>
      <c r="AG892" s="102" t="n"/>
      <c r="AH892" s="102" t="n"/>
      <c r="AI892" s="102" t="n"/>
      <c r="AJ892" s="102" t="n"/>
      <c r="AK892" s="102" t="n"/>
      <c r="AL892" s="102" t="n"/>
      <c r="AM892" s="102" t="n"/>
      <c r="AN892" s="102" t="n"/>
      <c r="AO892" s="102" t="n"/>
      <c r="AP892" s="102" t="n"/>
      <c r="AQ892" s="102" t="n"/>
      <c r="AR892" s="102" t="n"/>
    </row>
    <row r="893">
      <c r="D893" s="102" t="n"/>
      <c r="E893" s="102" t="n"/>
      <c r="F893" s="102" t="n"/>
      <c r="G893" s="102" t="n"/>
      <c r="H893" s="102" t="n"/>
      <c r="I893" s="102" t="n"/>
      <c r="J893" s="102" t="n"/>
      <c r="K893" s="102" t="n"/>
      <c r="L893" s="102" t="n"/>
      <c r="M893" s="102" t="n"/>
      <c r="N893" s="102" t="n"/>
      <c r="O893" s="102" t="n"/>
      <c r="P893" s="102" t="n"/>
      <c r="Q893" s="102" t="n"/>
      <c r="R893" s="102" t="n"/>
      <c r="S893" s="102" t="n"/>
      <c r="T893" s="102" t="n"/>
      <c r="U893" s="102" t="n"/>
      <c r="V893" s="102" t="n"/>
      <c r="W893" s="102" t="n"/>
      <c r="X893" s="102" t="n"/>
      <c r="Y893" s="102" t="n"/>
      <c r="Z893" s="102" t="n"/>
      <c r="AA893" s="102" t="n"/>
      <c r="AB893" s="102" t="n"/>
      <c r="AC893" s="102" t="n"/>
      <c r="AD893" s="102" t="n"/>
      <c r="AE893" s="102" t="n"/>
      <c r="AF893" s="102" t="n"/>
      <c r="AG893" s="102" t="n"/>
      <c r="AH893" s="102" t="n"/>
      <c r="AI893" s="102" t="n"/>
      <c r="AJ893" s="102" t="n"/>
      <c r="AK893" s="102" t="n"/>
      <c r="AL893" s="102" t="n"/>
      <c r="AM893" s="102" t="n"/>
      <c r="AN893" s="102" t="n"/>
      <c r="AO893" s="102" t="n"/>
      <c r="AP893" s="102" t="n"/>
      <c r="AQ893" s="102" t="n"/>
      <c r="AR893" s="102" t="n"/>
    </row>
    <row r="894">
      <c r="D894" s="103" t="n"/>
      <c r="E894" s="103" t="n"/>
      <c r="F894" s="103" t="n"/>
      <c r="G894" s="103" t="n"/>
      <c r="H894" s="103" t="n"/>
      <c r="I894" s="103" t="n"/>
      <c r="J894" s="103" t="n"/>
      <c r="K894" s="103" t="n"/>
      <c r="L894" s="103" t="n"/>
      <c r="M894" s="103" t="n"/>
      <c r="N894" s="103" t="n"/>
      <c r="O894" s="103" t="n"/>
      <c r="P894" s="103" t="n"/>
      <c r="Q894" s="103" t="n"/>
      <c r="R894" s="103" t="n"/>
      <c r="S894" s="103" t="n"/>
      <c r="T894" s="103" t="n"/>
      <c r="U894" s="103" t="n"/>
      <c r="V894" s="103" t="n"/>
      <c r="W894" s="103" t="n"/>
      <c r="X894" s="103" t="n"/>
      <c r="Y894" s="103" t="n"/>
      <c r="Z894" s="103" t="n"/>
      <c r="AA894" s="103" t="n"/>
      <c r="AB894" s="103" t="n"/>
      <c r="AC894" s="103" t="n"/>
      <c r="AD894" s="103" t="n"/>
      <c r="AE894" s="103" t="n"/>
      <c r="AF894" s="103" t="n"/>
      <c r="AG894" s="103" t="n"/>
      <c r="AH894" s="103" t="n"/>
      <c r="AI894" s="103" t="n"/>
      <c r="AJ894" s="103" t="n"/>
      <c r="AK894" s="103" t="n"/>
      <c r="AL894" s="103" t="n"/>
      <c r="AM894" s="103" t="n"/>
      <c r="AN894" s="103" t="n"/>
      <c r="AO894" s="103" t="n"/>
      <c r="AP894" s="103" t="n"/>
      <c r="AQ894" s="103" t="n"/>
      <c r="AR894" s="103" t="n"/>
    </row>
    <row r="897">
      <c r="A897" s="2">
        <f>IF($A890="","","   projections")</f>
        <v/>
      </c>
      <c r="B897" s="99">
        <f>IF($A890="",0,COUNT($E898:$AR898))</f>
        <v/>
      </c>
      <c r="C897" s="100">
        <f>IF($B897=0,0,MAX($E898:$AR898))</f>
        <v/>
      </c>
      <c r="D897" s="101">
        <f>BDS($A890,FLD_PROJ,"headers=y","startcol=1","endcol=3","dir=h")</f>
        <v/>
      </c>
      <c r="E897" s="102" t="n"/>
      <c r="F897" s="102" t="n"/>
      <c r="G897" s="102" t="n"/>
      <c r="H897" s="102" t="n"/>
      <c r="I897" s="102" t="n"/>
      <c r="J897" s="102" t="n"/>
      <c r="K897" s="102" t="n"/>
      <c r="L897" s="102" t="n"/>
      <c r="M897" s="102" t="n"/>
      <c r="N897" s="102" t="n"/>
      <c r="O897" s="102" t="n"/>
      <c r="P897" s="102" t="n"/>
      <c r="Q897" s="102" t="n"/>
      <c r="R897" s="102" t="n"/>
      <c r="S897" s="102" t="n"/>
      <c r="T897" s="102" t="n"/>
      <c r="U897" s="102" t="n"/>
      <c r="V897" s="102" t="n"/>
      <c r="W897" s="102" t="n"/>
      <c r="X897" s="102" t="n"/>
      <c r="Y897" s="102" t="n"/>
      <c r="Z897" s="102" t="n"/>
      <c r="AA897" s="102" t="n"/>
      <c r="AB897" s="102" t="n"/>
      <c r="AC897" s="102" t="n"/>
      <c r="AD897" s="102" t="n"/>
      <c r="AE897" s="102" t="n"/>
      <c r="AF897" s="102" t="n"/>
      <c r="AG897" s="102" t="n"/>
      <c r="AH897" s="102" t="n"/>
      <c r="AI897" s="102" t="n"/>
      <c r="AJ897" s="102" t="n"/>
      <c r="AK897" s="102" t="n"/>
      <c r="AL897" s="102" t="n"/>
      <c r="AM897" s="102" t="n"/>
      <c r="AN897" s="102" t="n"/>
      <c r="AO897" s="102" t="n"/>
      <c r="AP897" s="102" t="n"/>
      <c r="AQ897" s="102" t="n"/>
      <c r="AR897" s="102" t="n"/>
    </row>
    <row r="898">
      <c r="D898" s="102" t="n"/>
      <c r="E898" s="102" t="n"/>
      <c r="F898" s="102" t="n"/>
      <c r="G898" s="102" t="n"/>
      <c r="H898" s="102" t="n"/>
      <c r="I898" s="102" t="n"/>
      <c r="J898" s="102" t="n"/>
      <c r="K898" s="102" t="n"/>
      <c r="L898" s="102" t="n"/>
      <c r="M898" s="102" t="n"/>
      <c r="N898" s="102" t="n"/>
      <c r="O898" s="102" t="n"/>
      <c r="P898" s="102" t="n"/>
      <c r="Q898" s="102" t="n"/>
      <c r="R898" s="102" t="n"/>
      <c r="S898" s="102" t="n"/>
      <c r="T898" s="102" t="n"/>
      <c r="U898" s="102" t="n"/>
      <c r="V898" s="102" t="n"/>
      <c r="W898" s="102" t="n"/>
      <c r="X898" s="102" t="n"/>
      <c r="Y898" s="102" t="n"/>
      <c r="Z898" s="102" t="n"/>
      <c r="AA898" s="102" t="n"/>
      <c r="AB898" s="102" t="n"/>
      <c r="AC898" s="102" t="n"/>
      <c r="AD898" s="102" t="n"/>
      <c r="AE898" s="102" t="n"/>
      <c r="AF898" s="102" t="n"/>
      <c r="AG898" s="102" t="n"/>
      <c r="AH898" s="102" t="n"/>
      <c r="AI898" s="102" t="n"/>
      <c r="AJ898" s="102" t="n"/>
      <c r="AK898" s="102" t="n"/>
      <c r="AL898" s="102" t="n"/>
      <c r="AM898" s="102" t="n"/>
      <c r="AN898" s="102" t="n"/>
      <c r="AO898" s="102" t="n"/>
      <c r="AP898" s="102" t="n"/>
      <c r="AQ898" s="102" t="n"/>
      <c r="AR898" s="102" t="n"/>
    </row>
    <row r="899">
      <c r="D899" s="103" t="n"/>
      <c r="E899" s="103" t="n"/>
      <c r="F899" s="103" t="n"/>
      <c r="G899" s="103" t="n"/>
      <c r="H899" s="103" t="n"/>
      <c r="I899" s="103" t="n"/>
      <c r="J899" s="103" t="n"/>
      <c r="K899" s="103" t="n"/>
      <c r="L899" s="103" t="n"/>
      <c r="M899" s="103" t="n"/>
      <c r="N899" s="103" t="n"/>
      <c r="O899" s="103" t="n"/>
      <c r="P899" s="103" t="n"/>
      <c r="Q899" s="103" t="n"/>
      <c r="R899" s="103" t="n"/>
      <c r="S899" s="103" t="n"/>
      <c r="T899" s="103" t="n"/>
      <c r="U899" s="103" t="n"/>
      <c r="V899" s="103" t="n"/>
      <c r="W899" s="103" t="n"/>
      <c r="X899" s="103" t="n"/>
      <c r="Y899" s="103" t="n"/>
      <c r="Z899" s="103" t="n"/>
      <c r="AA899" s="103" t="n"/>
      <c r="AB899" s="103" t="n"/>
      <c r="AC899" s="103" t="n"/>
      <c r="AD899" s="103" t="n"/>
      <c r="AE899" s="103" t="n"/>
      <c r="AF899" s="103" t="n"/>
      <c r="AG899" s="103" t="n"/>
      <c r="AH899" s="103" t="n"/>
      <c r="AI899" s="103" t="n"/>
      <c r="AJ899" s="103" t="n"/>
      <c r="AK899" s="103" t="n"/>
      <c r="AL899" s="103" t="n"/>
      <c r="AM899" s="103" t="n"/>
      <c r="AN899" s="103" t="n"/>
      <c r="AO899" s="103" t="n"/>
      <c r="AP899" s="103" t="n"/>
      <c r="AQ899" s="103" t="n"/>
      <c r="AR899" s="103" t="n"/>
    </row>
    <row r="901">
      <c r="A901" s="8">
        <f>IF(HSI!$C$88="","",HSI!$C$88)</f>
        <v/>
      </c>
      <c r="B901" s="99">
        <f>IF($A901="",0,COUNT($E902:$AR902))</f>
        <v/>
      </c>
      <c r="C901" s="100">
        <f>IF($B901=0,0,MAX($E902:$AR902))</f>
        <v/>
      </c>
      <c r="D901" s="101">
        <f>BDS($A901,FLD_HIST,"headers=y","startcol=1","endcol=7","dir=h","DVD_START_DT",HIST_FROM,"DVD_END_DT",HIST_TO)</f>
        <v/>
      </c>
      <c r="E901" s="102" t="n"/>
      <c r="F901" s="102" t="n"/>
      <c r="G901" s="102" t="n"/>
      <c r="H901" s="102" t="n"/>
      <c r="I901" s="102" t="n"/>
      <c r="J901" s="102" t="n"/>
      <c r="K901" s="102" t="n"/>
      <c r="L901" s="102" t="n"/>
      <c r="M901" s="102" t="n"/>
      <c r="N901" s="102" t="n"/>
      <c r="O901" s="102" t="n"/>
      <c r="P901" s="102" t="n"/>
      <c r="Q901" s="102" t="n"/>
      <c r="R901" s="102" t="n"/>
      <c r="S901" s="102" t="n"/>
      <c r="T901" s="102" t="n"/>
      <c r="U901" s="102" t="n"/>
      <c r="V901" s="102" t="n"/>
      <c r="W901" s="102" t="n"/>
      <c r="X901" s="102" t="n"/>
      <c r="Y901" s="102" t="n"/>
      <c r="Z901" s="102" t="n"/>
      <c r="AA901" s="102" t="n"/>
      <c r="AB901" s="102" t="n"/>
      <c r="AC901" s="102" t="n"/>
      <c r="AD901" s="102" t="n"/>
      <c r="AE901" s="102" t="n"/>
      <c r="AF901" s="102" t="n"/>
      <c r="AG901" s="102" t="n"/>
      <c r="AH901" s="102" t="n"/>
      <c r="AI901" s="102" t="n"/>
      <c r="AJ901" s="102" t="n"/>
      <c r="AK901" s="102" t="n"/>
      <c r="AL901" s="102" t="n"/>
      <c r="AM901" s="102" t="n"/>
      <c r="AN901" s="102" t="n"/>
      <c r="AO901" s="102" t="n"/>
      <c r="AP901" s="102" t="n"/>
      <c r="AQ901" s="102" t="n"/>
      <c r="AR901" s="102" t="n"/>
    </row>
    <row r="902">
      <c r="D902" s="102" t="n"/>
      <c r="E902" s="102" t="n"/>
      <c r="F902" s="102" t="n"/>
      <c r="G902" s="102" t="n"/>
      <c r="H902" s="102" t="n"/>
      <c r="I902" s="102" t="n"/>
      <c r="J902" s="102" t="n"/>
      <c r="K902" s="102" t="n"/>
      <c r="L902" s="102" t="n"/>
      <c r="M902" s="102" t="n"/>
      <c r="N902" s="102" t="n"/>
      <c r="O902" s="102" t="n"/>
      <c r="P902" s="102" t="n"/>
      <c r="Q902" s="102" t="n"/>
      <c r="R902" s="102" t="n"/>
      <c r="S902" s="102" t="n"/>
      <c r="T902" s="102" t="n"/>
      <c r="U902" s="102" t="n"/>
      <c r="V902" s="102" t="n"/>
      <c r="W902" s="102" t="n"/>
      <c r="X902" s="102" t="n"/>
      <c r="Y902" s="102" t="n"/>
      <c r="Z902" s="102" t="n"/>
      <c r="AA902" s="102" t="n"/>
      <c r="AB902" s="102" t="n"/>
      <c r="AC902" s="102" t="n"/>
      <c r="AD902" s="102" t="n"/>
      <c r="AE902" s="102" t="n"/>
      <c r="AF902" s="102" t="n"/>
      <c r="AG902" s="102" t="n"/>
      <c r="AH902" s="102" t="n"/>
      <c r="AI902" s="102" t="n"/>
      <c r="AJ902" s="102" t="n"/>
      <c r="AK902" s="102" t="n"/>
      <c r="AL902" s="102" t="n"/>
      <c r="AM902" s="102" t="n"/>
      <c r="AN902" s="102" t="n"/>
      <c r="AO902" s="102" t="n"/>
      <c r="AP902" s="102" t="n"/>
      <c r="AQ902" s="102" t="n"/>
      <c r="AR902" s="102" t="n"/>
    </row>
    <row r="903">
      <c r="D903" s="102" t="n"/>
      <c r="E903" s="102" t="n"/>
      <c r="F903" s="102" t="n"/>
      <c r="G903" s="102" t="n"/>
      <c r="H903" s="102" t="n"/>
      <c r="I903" s="102" t="n"/>
      <c r="J903" s="102" t="n"/>
      <c r="K903" s="102" t="n"/>
      <c r="L903" s="102" t="n"/>
      <c r="M903" s="102" t="n"/>
      <c r="N903" s="102" t="n"/>
      <c r="O903" s="102" t="n"/>
      <c r="P903" s="102" t="n"/>
      <c r="Q903" s="102" t="n"/>
      <c r="R903" s="102" t="n"/>
      <c r="S903" s="102" t="n"/>
      <c r="T903" s="102" t="n"/>
      <c r="U903" s="102" t="n"/>
      <c r="V903" s="102" t="n"/>
      <c r="W903" s="102" t="n"/>
      <c r="X903" s="102" t="n"/>
      <c r="Y903" s="102" t="n"/>
      <c r="Z903" s="102" t="n"/>
      <c r="AA903" s="102" t="n"/>
      <c r="AB903" s="102" t="n"/>
      <c r="AC903" s="102" t="n"/>
      <c r="AD903" s="102" t="n"/>
      <c r="AE903" s="102" t="n"/>
      <c r="AF903" s="102" t="n"/>
      <c r="AG903" s="102" t="n"/>
      <c r="AH903" s="102" t="n"/>
      <c r="AI903" s="102" t="n"/>
      <c r="AJ903" s="102" t="n"/>
      <c r="AK903" s="102" t="n"/>
      <c r="AL903" s="102" t="n"/>
      <c r="AM903" s="102" t="n"/>
      <c r="AN903" s="102" t="n"/>
      <c r="AO903" s="102" t="n"/>
      <c r="AP903" s="102" t="n"/>
      <c r="AQ903" s="102" t="n"/>
      <c r="AR903" s="102" t="n"/>
    </row>
    <row r="904">
      <c r="D904" s="102" t="n"/>
      <c r="E904" s="102" t="n"/>
      <c r="F904" s="102" t="n"/>
      <c r="G904" s="102" t="n"/>
      <c r="H904" s="102" t="n"/>
      <c r="I904" s="102" t="n"/>
      <c r="J904" s="102" t="n"/>
      <c r="K904" s="102" t="n"/>
      <c r="L904" s="102" t="n"/>
      <c r="M904" s="102" t="n"/>
      <c r="N904" s="102" t="n"/>
      <c r="O904" s="102" t="n"/>
      <c r="P904" s="102" t="n"/>
      <c r="Q904" s="102" t="n"/>
      <c r="R904" s="102" t="n"/>
      <c r="S904" s="102" t="n"/>
      <c r="T904" s="102" t="n"/>
      <c r="U904" s="102" t="n"/>
      <c r="V904" s="102" t="n"/>
      <c r="W904" s="102" t="n"/>
      <c r="X904" s="102" t="n"/>
      <c r="Y904" s="102" t="n"/>
      <c r="Z904" s="102" t="n"/>
      <c r="AA904" s="102" t="n"/>
      <c r="AB904" s="102" t="n"/>
      <c r="AC904" s="102" t="n"/>
      <c r="AD904" s="102" t="n"/>
      <c r="AE904" s="102" t="n"/>
      <c r="AF904" s="102" t="n"/>
      <c r="AG904" s="102" t="n"/>
      <c r="AH904" s="102" t="n"/>
      <c r="AI904" s="102" t="n"/>
      <c r="AJ904" s="102" t="n"/>
      <c r="AK904" s="102" t="n"/>
      <c r="AL904" s="102" t="n"/>
      <c r="AM904" s="102" t="n"/>
      <c r="AN904" s="102" t="n"/>
      <c r="AO904" s="102" t="n"/>
      <c r="AP904" s="102" t="n"/>
      <c r="AQ904" s="102" t="n"/>
      <c r="AR904" s="102" t="n"/>
    </row>
    <row r="905">
      <c r="D905" s="103" t="n"/>
      <c r="E905" s="103" t="n"/>
      <c r="F905" s="103" t="n"/>
      <c r="G905" s="103" t="n"/>
      <c r="H905" s="103" t="n"/>
      <c r="I905" s="103" t="n"/>
      <c r="J905" s="103" t="n"/>
      <c r="K905" s="103" t="n"/>
      <c r="L905" s="103" t="n"/>
      <c r="M905" s="103" t="n"/>
      <c r="N905" s="103" t="n"/>
      <c r="O905" s="103" t="n"/>
      <c r="P905" s="103" t="n"/>
      <c r="Q905" s="103" t="n"/>
      <c r="R905" s="103" t="n"/>
      <c r="S905" s="103" t="n"/>
      <c r="T905" s="103" t="n"/>
      <c r="U905" s="103" t="n"/>
      <c r="V905" s="103" t="n"/>
      <c r="W905" s="103" t="n"/>
      <c r="X905" s="103" t="n"/>
      <c r="Y905" s="103" t="n"/>
      <c r="Z905" s="103" t="n"/>
      <c r="AA905" s="103" t="n"/>
      <c r="AB905" s="103" t="n"/>
      <c r="AC905" s="103" t="n"/>
      <c r="AD905" s="103" t="n"/>
      <c r="AE905" s="103" t="n"/>
      <c r="AF905" s="103" t="n"/>
      <c r="AG905" s="103" t="n"/>
      <c r="AH905" s="103" t="n"/>
      <c r="AI905" s="103" t="n"/>
      <c r="AJ905" s="103" t="n"/>
      <c r="AK905" s="103" t="n"/>
      <c r="AL905" s="103" t="n"/>
      <c r="AM905" s="103" t="n"/>
      <c r="AN905" s="103" t="n"/>
      <c r="AO905" s="103" t="n"/>
      <c r="AP905" s="103" t="n"/>
      <c r="AQ905" s="103" t="n"/>
      <c r="AR905" s="103" t="n"/>
    </row>
    <row r="908">
      <c r="A908" s="2">
        <f>IF($A901="","","   projections")</f>
        <v/>
      </c>
      <c r="B908" s="99">
        <f>IF($A901="",0,COUNT($E909:$AR909))</f>
        <v/>
      </c>
      <c r="C908" s="100">
        <f>IF($B908=0,0,MAX($E909:$AR909))</f>
        <v/>
      </c>
      <c r="D908" s="101">
        <f>BDS($A901,FLD_PROJ,"headers=y","startcol=1","endcol=3","dir=h")</f>
        <v/>
      </c>
      <c r="E908" s="102" t="n"/>
      <c r="F908" s="102" t="n"/>
      <c r="G908" s="102" t="n"/>
      <c r="H908" s="102" t="n"/>
      <c r="I908" s="102" t="n"/>
      <c r="J908" s="102" t="n"/>
      <c r="K908" s="102" t="n"/>
      <c r="L908" s="102" t="n"/>
      <c r="M908" s="102" t="n"/>
      <c r="N908" s="102" t="n"/>
      <c r="O908" s="102" t="n"/>
      <c r="P908" s="102" t="n"/>
      <c r="Q908" s="102" t="n"/>
      <c r="R908" s="102" t="n"/>
      <c r="S908" s="102" t="n"/>
      <c r="T908" s="102" t="n"/>
      <c r="U908" s="102" t="n"/>
      <c r="V908" s="102" t="n"/>
      <c r="W908" s="102" t="n"/>
      <c r="X908" s="102" t="n"/>
      <c r="Y908" s="102" t="n"/>
      <c r="Z908" s="102" t="n"/>
      <c r="AA908" s="102" t="n"/>
      <c r="AB908" s="102" t="n"/>
      <c r="AC908" s="102" t="n"/>
      <c r="AD908" s="102" t="n"/>
      <c r="AE908" s="102" t="n"/>
      <c r="AF908" s="102" t="n"/>
      <c r="AG908" s="102" t="n"/>
      <c r="AH908" s="102" t="n"/>
      <c r="AI908" s="102" t="n"/>
      <c r="AJ908" s="102" t="n"/>
      <c r="AK908" s="102" t="n"/>
      <c r="AL908" s="102" t="n"/>
      <c r="AM908" s="102" t="n"/>
      <c r="AN908" s="102" t="n"/>
      <c r="AO908" s="102" t="n"/>
      <c r="AP908" s="102" t="n"/>
      <c r="AQ908" s="102" t="n"/>
      <c r="AR908" s="102" t="n"/>
    </row>
    <row r="909">
      <c r="D909" s="102" t="n"/>
      <c r="E909" s="102" t="n"/>
      <c r="F909" s="102" t="n"/>
      <c r="G909" s="102" t="n"/>
      <c r="H909" s="102" t="n"/>
      <c r="I909" s="102" t="n"/>
      <c r="J909" s="102" t="n"/>
      <c r="K909" s="102" t="n"/>
      <c r="L909" s="102" t="n"/>
      <c r="M909" s="102" t="n"/>
      <c r="N909" s="102" t="n"/>
      <c r="O909" s="102" t="n"/>
      <c r="P909" s="102" t="n"/>
      <c r="Q909" s="102" t="n"/>
      <c r="R909" s="102" t="n"/>
      <c r="S909" s="102" t="n"/>
      <c r="T909" s="102" t="n"/>
      <c r="U909" s="102" t="n"/>
      <c r="V909" s="102" t="n"/>
      <c r="W909" s="102" t="n"/>
      <c r="X909" s="102" t="n"/>
      <c r="Y909" s="102" t="n"/>
      <c r="Z909" s="102" t="n"/>
      <c r="AA909" s="102" t="n"/>
      <c r="AB909" s="102" t="n"/>
      <c r="AC909" s="102" t="n"/>
      <c r="AD909" s="102" t="n"/>
      <c r="AE909" s="102" t="n"/>
      <c r="AF909" s="102" t="n"/>
      <c r="AG909" s="102" t="n"/>
      <c r="AH909" s="102" t="n"/>
      <c r="AI909" s="102" t="n"/>
      <c r="AJ909" s="102" t="n"/>
      <c r="AK909" s="102" t="n"/>
      <c r="AL909" s="102" t="n"/>
      <c r="AM909" s="102" t="n"/>
      <c r="AN909" s="102" t="n"/>
      <c r="AO909" s="102" t="n"/>
      <c r="AP909" s="102" t="n"/>
      <c r="AQ909" s="102" t="n"/>
      <c r="AR909" s="102" t="n"/>
    </row>
    <row r="910">
      <c r="D910" s="103" t="n"/>
      <c r="E910" s="103" t="n"/>
      <c r="F910" s="103" t="n"/>
      <c r="G910" s="103" t="n"/>
      <c r="H910" s="103" t="n"/>
      <c r="I910" s="103" t="n"/>
      <c r="J910" s="103" t="n"/>
      <c r="K910" s="103" t="n"/>
      <c r="L910" s="103" t="n"/>
      <c r="M910" s="103" t="n"/>
      <c r="N910" s="103" t="n"/>
      <c r="O910" s="103" t="n"/>
      <c r="P910" s="103" t="n"/>
      <c r="Q910" s="103" t="n"/>
      <c r="R910" s="103" t="n"/>
      <c r="S910" s="103" t="n"/>
      <c r="T910" s="103" t="n"/>
      <c r="U910" s="103" t="n"/>
      <c r="V910" s="103" t="n"/>
      <c r="W910" s="103" t="n"/>
      <c r="X910" s="103" t="n"/>
      <c r="Y910" s="103" t="n"/>
      <c r="Z910" s="103" t="n"/>
      <c r="AA910" s="103" t="n"/>
      <c r="AB910" s="103" t="n"/>
      <c r="AC910" s="103" t="n"/>
      <c r="AD910" s="103" t="n"/>
      <c r="AE910" s="103" t="n"/>
      <c r="AF910" s="103" t="n"/>
      <c r="AG910" s="103" t="n"/>
      <c r="AH910" s="103" t="n"/>
      <c r="AI910" s="103" t="n"/>
      <c r="AJ910" s="103" t="n"/>
      <c r="AK910" s="103" t="n"/>
      <c r="AL910" s="103" t="n"/>
      <c r="AM910" s="103" t="n"/>
      <c r="AN910" s="103" t="n"/>
      <c r="AO910" s="103" t="n"/>
      <c r="AP910" s="103" t="n"/>
      <c r="AQ910" s="103" t="n"/>
      <c r="AR910" s="103" t="n"/>
    </row>
    <row r="912">
      <c r="A912" s="8">
        <f>IF(HSI!$C$89="","",HSI!$C$89)</f>
        <v/>
      </c>
      <c r="B912" s="99">
        <f>IF($A912="",0,COUNT($E913:$AR913))</f>
        <v/>
      </c>
      <c r="C912" s="100">
        <f>IF($B912=0,0,MAX($E913:$AR913))</f>
        <v/>
      </c>
      <c r="D912" s="101">
        <f>BDS($A912,FLD_HIST,"headers=y","startcol=1","endcol=7","dir=h","DVD_START_DT",HIST_FROM,"DVD_END_DT",HIST_TO)</f>
        <v/>
      </c>
      <c r="E912" s="102" t="n"/>
      <c r="F912" s="102" t="n"/>
      <c r="G912" s="102" t="n"/>
      <c r="H912" s="102" t="n"/>
      <c r="I912" s="102" t="n"/>
      <c r="J912" s="102" t="n"/>
      <c r="K912" s="102" t="n"/>
      <c r="L912" s="102" t="n"/>
      <c r="M912" s="102" t="n"/>
      <c r="N912" s="102" t="n"/>
      <c r="O912" s="102" t="n"/>
      <c r="P912" s="102" t="n"/>
      <c r="Q912" s="102" t="n"/>
      <c r="R912" s="102" t="n"/>
      <c r="S912" s="102" t="n"/>
      <c r="T912" s="102" t="n"/>
      <c r="U912" s="102" t="n"/>
      <c r="V912" s="102" t="n"/>
      <c r="W912" s="102" t="n"/>
      <c r="X912" s="102" t="n"/>
      <c r="Y912" s="102" t="n"/>
      <c r="Z912" s="102" t="n"/>
      <c r="AA912" s="102" t="n"/>
      <c r="AB912" s="102" t="n"/>
      <c r="AC912" s="102" t="n"/>
      <c r="AD912" s="102" t="n"/>
      <c r="AE912" s="102" t="n"/>
      <c r="AF912" s="102" t="n"/>
      <c r="AG912" s="102" t="n"/>
      <c r="AH912" s="102" t="n"/>
      <c r="AI912" s="102" t="n"/>
      <c r="AJ912" s="102" t="n"/>
      <c r="AK912" s="102" t="n"/>
      <c r="AL912" s="102" t="n"/>
      <c r="AM912" s="102" t="n"/>
      <c r="AN912" s="102" t="n"/>
      <c r="AO912" s="102" t="n"/>
      <c r="AP912" s="102" t="n"/>
      <c r="AQ912" s="102" t="n"/>
      <c r="AR912" s="102" t="n"/>
    </row>
    <row r="913">
      <c r="D913" s="102" t="n"/>
      <c r="E913" s="102" t="n"/>
      <c r="F913" s="102" t="n"/>
      <c r="G913" s="102" t="n"/>
      <c r="H913" s="102" t="n"/>
      <c r="I913" s="102" t="n"/>
      <c r="J913" s="102" t="n"/>
      <c r="K913" s="102" t="n"/>
      <c r="L913" s="102" t="n"/>
      <c r="M913" s="102" t="n"/>
      <c r="N913" s="102" t="n"/>
      <c r="O913" s="102" t="n"/>
      <c r="P913" s="102" t="n"/>
      <c r="Q913" s="102" t="n"/>
      <c r="R913" s="102" t="n"/>
      <c r="S913" s="102" t="n"/>
      <c r="T913" s="102" t="n"/>
      <c r="U913" s="102" t="n"/>
      <c r="V913" s="102" t="n"/>
      <c r="W913" s="102" t="n"/>
      <c r="X913" s="102" t="n"/>
      <c r="Y913" s="102" t="n"/>
      <c r="Z913" s="102" t="n"/>
      <c r="AA913" s="102" t="n"/>
      <c r="AB913" s="102" t="n"/>
      <c r="AC913" s="102" t="n"/>
      <c r="AD913" s="102" t="n"/>
      <c r="AE913" s="102" t="n"/>
      <c r="AF913" s="102" t="n"/>
      <c r="AG913" s="102" t="n"/>
      <c r="AH913" s="102" t="n"/>
      <c r="AI913" s="102" t="n"/>
      <c r="AJ913" s="102" t="n"/>
      <c r="AK913" s="102" t="n"/>
      <c r="AL913" s="102" t="n"/>
      <c r="AM913" s="102" t="n"/>
      <c r="AN913" s="102" t="n"/>
      <c r="AO913" s="102" t="n"/>
      <c r="AP913" s="102" t="n"/>
      <c r="AQ913" s="102" t="n"/>
      <c r="AR913" s="102" t="n"/>
    </row>
    <row r="914">
      <c r="D914" s="102" t="n"/>
      <c r="E914" s="102" t="n"/>
      <c r="F914" s="102" t="n"/>
      <c r="G914" s="102" t="n"/>
      <c r="H914" s="102" t="n"/>
      <c r="I914" s="102" t="n"/>
      <c r="J914" s="102" t="n"/>
      <c r="K914" s="102" t="n"/>
      <c r="L914" s="102" t="n"/>
      <c r="M914" s="102" t="n"/>
      <c r="N914" s="102" t="n"/>
      <c r="O914" s="102" t="n"/>
      <c r="P914" s="102" t="n"/>
      <c r="Q914" s="102" t="n"/>
      <c r="R914" s="102" t="n"/>
      <c r="S914" s="102" t="n"/>
      <c r="T914" s="102" t="n"/>
      <c r="U914" s="102" t="n"/>
      <c r="V914" s="102" t="n"/>
      <c r="W914" s="102" t="n"/>
      <c r="X914" s="102" t="n"/>
      <c r="Y914" s="102" t="n"/>
      <c r="Z914" s="102" t="n"/>
      <c r="AA914" s="102" t="n"/>
      <c r="AB914" s="102" t="n"/>
      <c r="AC914" s="102" t="n"/>
      <c r="AD914" s="102" t="n"/>
      <c r="AE914" s="102" t="n"/>
      <c r="AF914" s="102" t="n"/>
      <c r="AG914" s="102" t="n"/>
      <c r="AH914" s="102" t="n"/>
      <c r="AI914" s="102" t="n"/>
      <c r="AJ914" s="102" t="n"/>
      <c r="AK914" s="102" t="n"/>
      <c r="AL914" s="102" t="n"/>
      <c r="AM914" s="102" t="n"/>
      <c r="AN914" s="102" t="n"/>
      <c r="AO914" s="102" t="n"/>
      <c r="AP914" s="102" t="n"/>
      <c r="AQ914" s="102" t="n"/>
      <c r="AR914" s="102" t="n"/>
    </row>
    <row r="915">
      <c r="D915" s="102" t="n"/>
      <c r="E915" s="102" t="n"/>
      <c r="F915" s="102" t="n"/>
      <c r="G915" s="102" t="n"/>
      <c r="H915" s="102" t="n"/>
      <c r="I915" s="102" t="n"/>
      <c r="J915" s="102" t="n"/>
      <c r="K915" s="102" t="n"/>
      <c r="L915" s="102" t="n"/>
      <c r="M915" s="102" t="n"/>
      <c r="N915" s="102" t="n"/>
      <c r="O915" s="102" t="n"/>
      <c r="P915" s="102" t="n"/>
      <c r="Q915" s="102" t="n"/>
      <c r="R915" s="102" t="n"/>
      <c r="S915" s="102" t="n"/>
      <c r="T915" s="102" t="n"/>
      <c r="U915" s="102" t="n"/>
      <c r="V915" s="102" t="n"/>
      <c r="W915" s="102" t="n"/>
      <c r="X915" s="102" t="n"/>
      <c r="Y915" s="102" t="n"/>
      <c r="Z915" s="102" t="n"/>
      <c r="AA915" s="102" t="n"/>
      <c r="AB915" s="102" t="n"/>
      <c r="AC915" s="102" t="n"/>
      <c r="AD915" s="102" t="n"/>
      <c r="AE915" s="102" t="n"/>
      <c r="AF915" s="102" t="n"/>
      <c r="AG915" s="102" t="n"/>
      <c r="AH915" s="102" t="n"/>
      <c r="AI915" s="102" t="n"/>
      <c r="AJ915" s="102" t="n"/>
      <c r="AK915" s="102" t="n"/>
      <c r="AL915" s="102" t="n"/>
      <c r="AM915" s="102" t="n"/>
      <c r="AN915" s="102" t="n"/>
      <c r="AO915" s="102" t="n"/>
      <c r="AP915" s="102" t="n"/>
      <c r="AQ915" s="102" t="n"/>
      <c r="AR915" s="102" t="n"/>
    </row>
    <row r="916">
      <c r="D916" s="103" t="n"/>
      <c r="E916" s="103" t="n"/>
      <c r="F916" s="103" t="n"/>
      <c r="G916" s="103" t="n"/>
      <c r="H916" s="103" t="n"/>
      <c r="I916" s="103" t="n"/>
      <c r="J916" s="103" t="n"/>
      <c r="K916" s="103" t="n"/>
      <c r="L916" s="103" t="n"/>
      <c r="M916" s="103" t="n"/>
      <c r="N916" s="103" t="n"/>
      <c r="O916" s="103" t="n"/>
      <c r="P916" s="103" t="n"/>
      <c r="Q916" s="103" t="n"/>
      <c r="R916" s="103" t="n"/>
      <c r="S916" s="103" t="n"/>
      <c r="T916" s="103" t="n"/>
      <c r="U916" s="103" t="n"/>
      <c r="V916" s="103" t="n"/>
      <c r="W916" s="103" t="n"/>
      <c r="X916" s="103" t="n"/>
      <c r="Y916" s="103" t="n"/>
      <c r="Z916" s="103" t="n"/>
      <c r="AA916" s="103" t="n"/>
      <c r="AB916" s="103" t="n"/>
      <c r="AC916" s="103" t="n"/>
      <c r="AD916" s="103" t="n"/>
      <c r="AE916" s="103" t="n"/>
      <c r="AF916" s="103" t="n"/>
      <c r="AG916" s="103" t="n"/>
      <c r="AH916" s="103" t="n"/>
      <c r="AI916" s="103" t="n"/>
      <c r="AJ916" s="103" t="n"/>
      <c r="AK916" s="103" t="n"/>
      <c r="AL916" s="103" t="n"/>
      <c r="AM916" s="103" t="n"/>
      <c r="AN916" s="103" t="n"/>
      <c r="AO916" s="103" t="n"/>
      <c r="AP916" s="103" t="n"/>
      <c r="AQ916" s="103" t="n"/>
      <c r="AR916" s="103" t="n"/>
    </row>
    <row r="919">
      <c r="A919" s="2">
        <f>IF($A912="","","   projections")</f>
        <v/>
      </c>
      <c r="B919" s="99">
        <f>IF($A912="",0,COUNT($E920:$AR920))</f>
        <v/>
      </c>
      <c r="C919" s="100">
        <f>IF($B919=0,0,MAX($E920:$AR920))</f>
        <v/>
      </c>
      <c r="D919" s="101">
        <f>BDS($A912,FLD_PROJ,"headers=y","startcol=1","endcol=3","dir=h")</f>
        <v/>
      </c>
      <c r="E919" s="102" t="n"/>
      <c r="F919" s="102" t="n"/>
      <c r="G919" s="102" t="n"/>
      <c r="H919" s="102" t="n"/>
      <c r="I919" s="102" t="n"/>
      <c r="J919" s="102" t="n"/>
      <c r="K919" s="102" t="n"/>
      <c r="L919" s="102" t="n"/>
      <c r="M919" s="102" t="n"/>
      <c r="N919" s="102" t="n"/>
      <c r="O919" s="102" t="n"/>
      <c r="P919" s="102" t="n"/>
      <c r="Q919" s="102" t="n"/>
      <c r="R919" s="102" t="n"/>
      <c r="S919" s="102" t="n"/>
      <c r="T919" s="102" t="n"/>
      <c r="U919" s="102" t="n"/>
      <c r="V919" s="102" t="n"/>
      <c r="W919" s="102" t="n"/>
      <c r="X919" s="102" t="n"/>
      <c r="Y919" s="102" t="n"/>
      <c r="Z919" s="102" t="n"/>
      <c r="AA919" s="102" t="n"/>
      <c r="AB919" s="102" t="n"/>
      <c r="AC919" s="102" t="n"/>
      <c r="AD919" s="102" t="n"/>
      <c r="AE919" s="102" t="n"/>
      <c r="AF919" s="102" t="n"/>
      <c r="AG919" s="102" t="n"/>
      <c r="AH919" s="102" t="n"/>
      <c r="AI919" s="102" t="n"/>
      <c r="AJ919" s="102" t="n"/>
      <c r="AK919" s="102" t="n"/>
      <c r="AL919" s="102" t="n"/>
      <c r="AM919" s="102" t="n"/>
      <c r="AN919" s="102" t="n"/>
      <c r="AO919" s="102" t="n"/>
      <c r="AP919" s="102" t="n"/>
      <c r="AQ919" s="102" t="n"/>
      <c r="AR919" s="102" t="n"/>
    </row>
    <row r="920">
      <c r="D920" s="102" t="n"/>
      <c r="E920" s="102" t="n"/>
      <c r="F920" s="102" t="n"/>
      <c r="G920" s="102" t="n"/>
      <c r="H920" s="102" t="n"/>
      <c r="I920" s="102" t="n"/>
      <c r="J920" s="102" t="n"/>
      <c r="K920" s="102" t="n"/>
      <c r="L920" s="102" t="n"/>
      <c r="M920" s="102" t="n"/>
      <c r="N920" s="102" t="n"/>
      <c r="O920" s="102" t="n"/>
      <c r="P920" s="102" t="n"/>
      <c r="Q920" s="102" t="n"/>
      <c r="R920" s="102" t="n"/>
      <c r="S920" s="102" t="n"/>
      <c r="T920" s="102" t="n"/>
      <c r="U920" s="102" t="n"/>
      <c r="V920" s="102" t="n"/>
      <c r="W920" s="102" t="n"/>
      <c r="X920" s="102" t="n"/>
      <c r="Y920" s="102" t="n"/>
      <c r="Z920" s="102" t="n"/>
      <c r="AA920" s="102" t="n"/>
      <c r="AB920" s="102" t="n"/>
      <c r="AC920" s="102" t="n"/>
      <c r="AD920" s="102" t="n"/>
      <c r="AE920" s="102" t="n"/>
      <c r="AF920" s="102" t="n"/>
      <c r="AG920" s="102" t="n"/>
      <c r="AH920" s="102" t="n"/>
      <c r="AI920" s="102" t="n"/>
      <c r="AJ920" s="102" t="n"/>
      <c r="AK920" s="102" t="n"/>
      <c r="AL920" s="102" t="n"/>
      <c r="AM920" s="102" t="n"/>
      <c r="AN920" s="102" t="n"/>
      <c r="AO920" s="102" t="n"/>
      <c r="AP920" s="102" t="n"/>
      <c r="AQ920" s="102" t="n"/>
      <c r="AR920" s="102" t="n"/>
    </row>
    <row r="921">
      <c r="D921" s="103" t="n"/>
      <c r="E921" s="103" t="n"/>
      <c r="F921" s="103" t="n"/>
      <c r="G921" s="103" t="n"/>
      <c r="H921" s="103" t="n"/>
      <c r="I921" s="103" t="n"/>
      <c r="J921" s="103" t="n"/>
      <c r="K921" s="103" t="n"/>
      <c r="L921" s="103" t="n"/>
      <c r="M921" s="103" t="n"/>
      <c r="N921" s="103" t="n"/>
      <c r="O921" s="103" t="n"/>
      <c r="P921" s="103" t="n"/>
      <c r="Q921" s="103" t="n"/>
      <c r="R921" s="103" t="n"/>
      <c r="S921" s="103" t="n"/>
      <c r="T921" s="103" t="n"/>
      <c r="U921" s="103" t="n"/>
      <c r="V921" s="103" t="n"/>
      <c r="W921" s="103" t="n"/>
      <c r="X921" s="103" t="n"/>
      <c r="Y921" s="103" t="n"/>
      <c r="Z921" s="103" t="n"/>
      <c r="AA921" s="103" t="n"/>
      <c r="AB921" s="103" t="n"/>
      <c r="AC921" s="103" t="n"/>
      <c r="AD921" s="103" t="n"/>
      <c r="AE921" s="103" t="n"/>
      <c r="AF921" s="103" t="n"/>
      <c r="AG921" s="103" t="n"/>
      <c r="AH921" s="103" t="n"/>
      <c r="AI921" s="103" t="n"/>
      <c r="AJ921" s="103" t="n"/>
      <c r="AK921" s="103" t="n"/>
      <c r="AL921" s="103" t="n"/>
      <c r="AM921" s="103" t="n"/>
      <c r="AN921" s="103" t="n"/>
      <c r="AO921" s="103" t="n"/>
      <c r="AP921" s="103" t="n"/>
      <c r="AQ921" s="103" t="n"/>
      <c r="AR921" s="103" t="n"/>
    </row>
    <row r="923">
      <c r="A923" s="8">
        <f>IF(HSI!$C$90="","",HSI!$C$90)</f>
        <v/>
      </c>
      <c r="B923" s="99">
        <f>IF($A923="",0,COUNT($E924:$AR924))</f>
        <v/>
      </c>
      <c r="C923" s="100">
        <f>IF($B923=0,0,MAX($E924:$AR924))</f>
        <v/>
      </c>
      <c r="D923" s="101">
        <f>BDS($A923,FLD_HIST,"headers=y","startcol=1","endcol=7","dir=h","DVD_START_DT",HIST_FROM,"DVD_END_DT",HIST_TO)</f>
        <v/>
      </c>
      <c r="E923" s="102" t="n"/>
      <c r="F923" s="102" t="n"/>
      <c r="G923" s="102" t="n"/>
      <c r="H923" s="102" t="n"/>
      <c r="I923" s="102" t="n"/>
      <c r="J923" s="102" t="n"/>
      <c r="K923" s="102" t="n"/>
      <c r="L923" s="102" t="n"/>
      <c r="M923" s="102" t="n"/>
      <c r="N923" s="102" t="n"/>
      <c r="O923" s="102" t="n"/>
      <c r="P923" s="102" t="n"/>
      <c r="Q923" s="102" t="n"/>
      <c r="R923" s="102" t="n"/>
      <c r="S923" s="102" t="n"/>
      <c r="T923" s="102" t="n"/>
      <c r="U923" s="102" t="n"/>
      <c r="V923" s="102" t="n"/>
      <c r="W923" s="102" t="n"/>
      <c r="X923" s="102" t="n"/>
      <c r="Y923" s="102" t="n"/>
      <c r="Z923" s="102" t="n"/>
      <c r="AA923" s="102" t="n"/>
      <c r="AB923" s="102" t="n"/>
      <c r="AC923" s="102" t="n"/>
      <c r="AD923" s="102" t="n"/>
      <c r="AE923" s="102" t="n"/>
      <c r="AF923" s="102" t="n"/>
      <c r="AG923" s="102" t="n"/>
      <c r="AH923" s="102" t="n"/>
      <c r="AI923" s="102" t="n"/>
      <c r="AJ923" s="102" t="n"/>
      <c r="AK923" s="102" t="n"/>
      <c r="AL923" s="102" t="n"/>
      <c r="AM923" s="102" t="n"/>
      <c r="AN923" s="102" t="n"/>
      <c r="AO923" s="102" t="n"/>
      <c r="AP923" s="102" t="n"/>
      <c r="AQ923" s="102" t="n"/>
      <c r="AR923" s="102" t="n"/>
    </row>
    <row r="924">
      <c r="D924" s="102" t="n"/>
      <c r="E924" s="102" t="n"/>
      <c r="F924" s="102" t="n"/>
      <c r="G924" s="102" t="n"/>
      <c r="H924" s="102" t="n"/>
      <c r="I924" s="102" t="n"/>
      <c r="J924" s="102" t="n"/>
      <c r="K924" s="102" t="n"/>
      <c r="L924" s="102" t="n"/>
      <c r="M924" s="102" t="n"/>
      <c r="N924" s="102" t="n"/>
      <c r="O924" s="102" t="n"/>
      <c r="P924" s="102" t="n"/>
      <c r="Q924" s="102" t="n"/>
      <c r="R924" s="102" t="n"/>
      <c r="S924" s="102" t="n"/>
      <c r="T924" s="102" t="n"/>
      <c r="U924" s="102" t="n"/>
      <c r="V924" s="102" t="n"/>
      <c r="W924" s="102" t="n"/>
      <c r="X924" s="102" t="n"/>
      <c r="Y924" s="102" t="n"/>
      <c r="Z924" s="102" t="n"/>
      <c r="AA924" s="102" t="n"/>
      <c r="AB924" s="102" t="n"/>
      <c r="AC924" s="102" t="n"/>
      <c r="AD924" s="102" t="n"/>
      <c r="AE924" s="102" t="n"/>
      <c r="AF924" s="102" t="n"/>
      <c r="AG924" s="102" t="n"/>
      <c r="AH924" s="102" t="n"/>
      <c r="AI924" s="102" t="n"/>
      <c r="AJ924" s="102" t="n"/>
      <c r="AK924" s="102" t="n"/>
      <c r="AL924" s="102" t="n"/>
      <c r="AM924" s="102" t="n"/>
      <c r="AN924" s="102" t="n"/>
      <c r="AO924" s="102" t="n"/>
      <c r="AP924" s="102" t="n"/>
      <c r="AQ924" s="102" t="n"/>
      <c r="AR924" s="102" t="n"/>
    </row>
    <row r="925">
      <c r="D925" s="102" t="n"/>
      <c r="E925" s="102" t="n"/>
      <c r="F925" s="102" t="n"/>
      <c r="G925" s="102" t="n"/>
      <c r="H925" s="102" t="n"/>
      <c r="I925" s="102" t="n"/>
      <c r="J925" s="102" t="n"/>
      <c r="K925" s="102" t="n"/>
      <c r="L925" s="102" t="n"/>
      <c r="M925" s="102" t="n"/>
      <c r="N925" s="102" t="n"/>
      <c r="O925" s="102" t="n"/>
      <c r="P925" s="102" t="n"/>
      <c r="Q925" s="102" t="n"/>
      <c r="R925" s="102" t="n"/>
      <c r="S925" s="102" t="n"/>
      <c r="T925" s="102" t="n"/>
      <c r="U925" s="102" t="n"/>
      <c r="V925" s="102" t="n"/>
      <c r="W925" s="102" t="n"/>
      <c r="X925" s="102" t="n"/>
      <c r="Y925" s="102" t="n"/>
      <c r="Z925" s="102" t="n"/>
      <c r="AA925" s="102" t="n"/>
      <c r="AB925" s="102" t="n"/>
      <c r="AC925" s="102" t="n"/>
      <c r="AD925" s="102" t="n"/>
      <c r="AE925" s="102" t="n"/>
      <c r="AF925" s="102" t="n"/>
      <c r="AG925" s="102" t="n"/>
      <c r="AH925" s="102" t="n"/>
      <c r="AI925" s="102" t="n"/>
      <c r="AJ925" s="102" t="n"/>
      <c r="AK925" s="102" t="n"/>
      <c r="AL925" s="102" t="n"/>
      <c r="AM925" s="102" t="n"/>
      <c r="AN925" s="102" t="n"/>
      <c r="AO925" s="102" t="n"/>
      <c r="AP925" s="102" t="n"/>
      <c r="AQ925" s="102" t="n"/>
      <c r="AR925" s="102" t="n"/>
    </row>
    <row r="926">
      <c r="D926" s="102" t="n"/>
      <c r="E926" s="102" t="n"/>
      <c r="F926" s="102" t="n"/>
      <c r="G926" s="102" t="n"/>
      <c r="H926" s="102" t="n"/>
      <c r="I926" s="102" t="n"/>
      <c r="J926" s="102" t="n"/>
      <c r="K926" s="102" t="n"/>
      <c r="L926" s="102" t="n"/>
      <c r="M926" s="102" t="n"/>
      <c r="N926" s="102" t="n"/>
      <c r="O926" s="102" t="n"/>
      <c r="P926" s="102" t="n"/>
      <c r="Q926" s="102" t="n"/>
      <c r="R926" s="102" t="n"/>
      <c r="S926" s="102" t="n"/>
      <c r="T926" s="102" t="n"/>
      <c r="U926" s="102" t="n"/>
      <c r="V926" s="102" t="n"/>
      <c r="W926" s="102" t="n"/>
      <c r="X926" s="102" t="n"/>
      <c r="Y926" s="102" t="n"/>
      <c r="Z926" s="102" t="n"/>
      <c r="AA926" s="102" t="n"/>
      <c r="AB926" s="102" t="n"/>
      <c r="AC926" s="102" t="n"/>
      <c r="AD926" s="102" t="n"/>
      <c r="AE926" s="102" t="n"/>
      <c r="AF926" s="102" t="n"/>
      <c r="AG926" s="102" t="n"/>
      <c r="AH926" s="102" t="n"/>
      <c r="AI926" s="102" t="n"/>
      <c r="AJ926" s="102" t="n"/>
      <c r="AK926" s="102" t="n"/>
      <c r="AL926" s="102" t="n"/>
      <c r="AM926" s="102" t="n"/>
      <c r="AN926" s="102" t="n"/>
      <c r="AO926" s="102" t="n"/>
      <c r="AP926" s="102" t="n"/>
      <c r="AQ926" s="102" t="n"/>
      <c r="AR926" s="102" t="n"/>
    </row>
    <row r="927">
      <c r="D927" s="103" t="n"/>
      <c r="E927" s="103" t="n"/>
      <c r="F927" s="103" t="n"/>
      <c r="G927" s="103" t="n"/>
      <c r="H927" s="103" t="n"/>
      <c r="I927" s="103" t="n"/>
      <c r="J927" s="103" t="n"/>
      <c r="K927" s="103" t="n"/>
      <c r="L927" s="103" t="n"/>
      <c r="M927" s="103" t="n"/>
      <c r="N927" s="103" t="n"/>
      <c r="O927" s="103" t="n"/>
      <c r="P927" s="103" t="n"/>
      <c r="Q927" s="103" t="n"/>
      <c r="R927" s="103" t="n"/>
      <c r="S927" s="103" t="n"/>
      <c r="T927" s="103" t="n"/>
      <c r="U927" s="103" t="n"/>
      <c r="V927" s="103" t="n"/>
      <c r="W927" s="103" t="n"/>
      <c r="X927" s="103" t="n"/>
      <c r="Y927" s="103" t="n"/>
      <c r="Z927" s="103" t="n"/>
      <c r="AA927" s="103" t="n"/>
      <c r="AB927" s="103" t="n"/>
      <c r="AC927" s="103" t="n"/>
      <c r="AD927" s="103" t="n"/>
      <c r="AE927" s="103" t="n"/>
      <c r="AF927" s="103" t="n"/>
      <c r="AG927" s="103" t="n"/>
      <c r="AH927" s="103" t="n"/>
      <c r="AI927" s="103" t="n"/>
      <c r="AJ927" s="103" t="n"/>
      <c r="AK927" s="103" t="n"/>
      <c r="AL927" s="103" t="n"/>
      <c r="AM927" s="103" t="n"/>
      <c r="AN927" s="103" t="n"/>
      <c r="AO927" s="103" t="n"/>
      <c r="AP927" s="103" t="n"/>
      <c r="AQ927" s="103" t="n"/>
      <c r="AR927" s="103" t="n"/>
    </row>
    <row r="930">
      <c r="A930" s="2">
        <f>IF($A923="","","   projections")</f>
        <v/>
      </c>
      <c r="B930" s="99">
        <f>IF($A923="",0,COUNT($E931:$AR931))</f>
        <v/>
      </c>
      <c r="C930" s="100">
        <f>IF($B930=0,0,MAX($E931:$AR931))</f>
        <v/>
      </c>
      <c r="D930" s="101">
        <f>BDS($A923,FLD_PROJ,"headers=y","startcol=1","endcol=3","dir=h")</f>
        <v/>
      </c>
      <c r="E930" s="102" t="n"/>
      <c r="F930" s="102" t="n"/>
      <c r="G930" s="102" t="n"/>
      <c r="H930" s="102" t="n"/>
      <c r="I930" s="102" t="n"/>
      <c r="J930" s="102" t="n"/>
      <c r="K930" s="102" t="n"/>
      <c r="L930" s="102" t="n"/>
      <c r="M930" s="102" t="n"/>
      <c r="N930" s="102" t="n"/>
      <c r="O930" s="102" t="n"/>
      <c r="P930" s="102" t="n"/>
      <c r="Q930" s="102" t="n"/>
      <c r="R930" s="102" t="n"/>
      <c r="S930" s="102" t="n"/>
      <c r="T930" s="102" t="n"/>
      <c r="U930" s="102" t="n"/>
      <c r="V930" s="102" t="n"/>
      <c r="W930" s="102" t="n"/>
      <c r="X930" s="102" t="n"/>
      <c r="Y930" s="102" t="n"/>
      <c r="Z930" s="102" t="n"/>
      <c r="AA930" s="102" t="n"/>
      <c r="AB930" s="102" t="n"/>
      <c r="AC930" s="102" t="n"/>
      <c r="AD930" s="102" t="n"/>
      <c r="AE930" s="102" t="n"/>
      <c r="AF930" s="102" t="n"/>
      <c r="AG930" s="102" t="n"/>
      <c r="AH930" s="102" t="n"/>
      <c r="AI930" s="102" t="n"/>
      <c r="AJ930" s="102" t="n"/>
      <c r="AK930" s="102" t="n"/>
      <c r="AL930" s="102" t="n"/>
      <c r="AM930" s="102" t="n"/>
      <c r="AN930" s="102" t="n"/>
      <c r="AO930" s="102" t="n"/>
      <c r="AP930" s="102" t="n"/>
      <c r="AQ930" s="102" t="n"/>
      <c r="AR930" s="102" t="n"/>
    </row>
    <row r="931">
      <c r="D931" s="102" t="n"/>
      <c r="E931" s="102" t="n"/>
      <c r="F931" s="102" t="n"/>
      <c r="G931" s="102" t="n"/>
      <c r="H931" s="102" t="n"/>
      <c r="I931" s="102" t="n"/>
      <c r="J931" s="102" t="n"/>
      <c r="K931" s="102" t="n"/>
      <c r="L931" s="102" t="n"/>
      <c r="M931" s="102" t="n"/>
      <c r="N931" s="102" t="n"/>
      <c r="O931" s="102" t="n"/>
      <c r="P931" s="102" t="n"/>
      <c r="Q931" s="102" t="n"/>
      <c r="R931" s="102" t="n"/>
      <c r="S931" s="102" t="n"/>
      <c r="T931" s="102" t="n"/>
      <c r="U931" s="102" t="n"/>
      <c r="V931" s="102" t="n"/>
      <c r="W931" s="102" t="n"/>
      <c r="X931" s="102" t="n"/>
      <c r="Y931" s="102" t="n"/>
      <c r="Z931" s="102" t="n"/>
      <c r="AA931" s="102" t="n"/>
      <c r="AB931" s="102" t="n"/>
      <c r="AC931" s="102" t="n"/>
      <c r="AD931" s="102" t="n"/>
      <c r="AE931" s="102" t="n"/>
      <c r="AF931" s="102" t="n"/>
      <c r="AG931" s="102" t="n"/>
      <c r="AH931" s="102" t="n"/>
      <c r="AI931" s="102" t="n"/>
      <c r="AJ931" s="102" t="n"/>
      <c r="AK931" s="102" t="n"/>
      <c r="AL931" s="102" t="n"/>
      <c r="AM931" s="102" t="n"/>
      <c r="AN931" s="102" t="n"/>
      <c r="AO931" s="102" t="n"/>
      <c r="AP931" s="102" t="n"/>
      <c r="AQ931" s="102" t="n"/>
      <c r="AR931" s="102" t="n"/>
    </row>
    <row r="932">
      <c r="D932" s="103" t="n"/>
      <c r="E932" s="103" t="n"/>
      <c r="F932" s="103" t="n"/>
      <c r="G932" s="103" t="n"/>
      <c r="H932" s="103" t="n"/>
      <c r="I932" s="103" t="n"/>
      <c r="J932" s="103" t="n"/>
      <c r="K932" s="103" t="n"/>
      <c r="L932" s="103" t="n"/>
      <c r="M932" s="103" t="n"/>
      <c r="N932" s="103" t="n"/>
      <c r="O932" s="103" t="n"/>
      <c r="P932" s="103" t="n"/>
      <c r="Q932" s="103" t="n"/>
      <c r="R932" s="103" t="n"/>
      <c r="S932" s="103" t="n"/>
      <c r="T932" s="103" t="n"/>
      <c r="U932" s="103" t="n"/>
      <c r="V932" s="103" t="n"/>
      <c r="W932" s="103" t="n"/>
      <c r="X932" s="103" t="n"/>
      <c r="Y932" s="103" t="n"/>
      <c r="Z932" s="103" t="n"/>
      <c r="AA932" s="103" t="n"/>
      <c r="AB932" s="103" t="n"/>
      <c r="AC932" s="103" t="n"/>
      <c r="AD932" s="103" t="n"/>
      <c r="AE932" s="103" t="n"/>
      <c r="AF932" s="103" t="n"/>
      <c r="AG932" s="103" t="n"/>
      <c r="AH932" s="103" t="n"/>
      <c r="AI932" s="103" t="n"/>
      <c r="AJ932" s="103" t="n"/>
      <c r="AK932" s="103" t="n"/>
      <c r="AL932" s="103" t="n"/>
      <c r="AM932" s="103" t="n"/>
      <c r="AN932" s="103" t="n"/>
      <c r="AO932" s="103" t="n"/>
      <c r="AP932" s="103" t="n"/>
      <c r="AQ932" s="103" t="n"/>
      <c r="AR932" s="103" t="n"/>
    </row>
    <row r="934">
      <c r="A934" s="8">
        <f>IF(HSI!$C$91="","",HSI!$C$91)</f>
        <v/>
      </c>
      <c r="B934" s="99">
        <f>IF($A934="",0,COUNT($E935:$AR935))</f>
        <v/>
      </c>
      <c r="C934" s="100">
        <f>IF($B934=0,0,MAX($E935:$AR935))</f>
        <v/>
      </c>
      <c r="D934" s="101">
        <f>BDS($A934,FLD_HIST,"headers=y","startcol=1","endcol=7","dir=h","DVD_START_DT",HIST_FROM,"DVD_END_DT",HIST_TO)</f>
        <v/>
      </c>
      <c r="E934" s="102" t="n"/>
      <c r="F934" s="102" t="n"/>
      <c r="G934" s="102" t="n"/>
      <c r="H934" s="102" t="n"/>
      <c r="I934" s="102" t="n"/>
      <c r="J934" s="102" t="n"/>
      <c r="K934" s="102" t="n"/>
      <c r="L934" s="102" t="n"/>
      <c r="M934" s="102" t="n"/>
      <c r="N934" s="102" t="n"/>
      <c r="O934" s="102" t="n"/>
      <c r="P934" s="102" t="n"/>
      <c r="Q934" s="102" t="n"/>
      <c r="R934" s="102" t="n"/>
      <c r="S934" s="102" t="n"/>
      <c r="T934" s="102" t="n"/>
      <c r="U934" s="102" t="n"/>
      <c r="V934" s="102" t="n"/>
      <c r="W934" s="102" t="n"/>
      <c r="X934" s="102" t="n"/>
      <c r="Y934" s="102" t="n"/>
      <c r="Z934" s="102" t="n"/>
      <c r="AA934" s="102" t="n"/>
      <c r="AB934" s="102" t="n"/>
      <c r="AC934" s="102" t="n"/>
      <c r="AD934" s="102" t="n"/>
      <c r="AE934" s="102" t="n"/>
      <c r="AF934" s="102" t="n"/>
      <c r="AG934" s="102" t="n"/>
      <c r="AH934" s="102" t="n"/>
      <c r="AI934" s="102" t="n"/>
      <c r="AJ934" s="102" t="n"/>
      <c r="AK934" s="102" t="n"/>
      <c r="AL934" s="102" t="n"/>
      <c r="AM934" s="102" t="n"/>
      <c r="AN934" s="102" t="n"/>
      <c r="AO934" s="102" t="n"/>
      <c r="AP934" s="102" t="n"/>
      <c r="AQ934" s="102" t="n"/>
      <c r="AR934" s="102" t="n"/>
    </row>
    <row r="935">
      <c r="D935" s="102" t="n"/>
      <c r="E935" s="102" t="n"/>
      <c r="F935" s="102" t="n"/>
      <c r="G935" s="102" t="n"/>
      <c r="H935" s="102" t="n"/>
      <c r="I935" s="102" t="n"/>
      <c r="J935" s="102" t="n"/>
      <c r="K935" s="102" t="n"/>
      <c r="L935" s="102" t="n"/>
      <c r="M935" s="102" t="n"/>
      <c r="N935" s="102" t="n"/>
      <c r="O935" s="102" t="n"/>
      <c r="P935" s="102" t="n"/>
      <c r="Q935" s="102" t="n"/>
      <c r="R935" s="102" t="n"/>
      <c r="S935" s="102" t="n"/>
      <c r="T935" s="102" t="n"/>
      <c r="U935" s="102" t="n"/>
      <c r="V935" s="102" t="n"/>
      <c r="W935" s="102" t="n"/>
      <c r="X935" s="102" t="n"/>
      <c r="Y935" s="102" t="n"/>
      <c r="Z935" s="102" t="n"/>
      <c r="AA935" s="102" t="n"/>
      <c r="AB935" s="102" t="n"/>
      <c r="AC935" s="102" t="n"/>
      <c r="AD935" s="102" t="n"/>
      <c r="AE935" s="102" t="n"/>
      <c r="AF935" s="102" t="n"/>
      <c r="AG935" s="102" t="n"/>
      <c r="AH935" s="102" t="n"/>
      <c r="AI935" s="102" t="n"/>
      <c r="AJ935" s="102" t="n"/>
      <c r="AK935" s="102" t="n"/>
      <c r="AL935" s="102" t="n"/>
      <c r="AM935" s="102" t="n"/>
      <c r="AN935" s="102" t="n"/>
      <c r="AO935" s="102" t="n"/>
      <c r="AP935" s="102" t="n"/>
      <c r="AQ935" s="102" t="n"/>
      <c r="AR935" s="102" t="n"/>
    </row>
    <row r="936">
      <c r="D936" s="102" t="n"/>
      <c r="E936" s="102" t="n"/>
      <c r="F936" s="102" t="n"/>
      <c r="G936" s="102" t="n"/>
      <c r="H936" s="102" t="n"/>
      <c r="I936" s="102" t="n"/>
      <c r="J936" s="102" t="n"/>
      <c r="K936" s="102" t="n"/>
      <c r="L936" s="102" t="n"/>
      <c r="M936" s="102" t="n"/>
      <c r="N936" s="102" t="n"/>
      <c r="O936" s="102" t="n"/>
      <c r="P936" s="102" t="n"/>
      <c r="Q936" s="102" t="n"/>
      <c r="R936" s="102" t="n"/>
      <c r="S936" s="102" t="n"/>
      <c r="T936" s="102" t="n"/>
      <c r="U936" s="102" t="n"/>
      <c r="V936" s="102" t="n"/>
      <c r="W936" s="102" t="n"/>
      <c r="X936" s="102" t="n"/>
      <c r="Y936" s="102" t="n"/>
      <c r="Z936" s="102" t="n"/>
      <c r="AA936" s="102" t="n"/>
      <c r="AB936" s="102" t="n"/>
      <c r="AC936" s="102" t="n"/>
      <c r="AD936" s="102" t="n"/>
      <c r="AE936" s="102" t="n"/>
      <c r="AF936" s="102" t="n"/>
      <c r="AG936" s="102" t="n"/>
      <c r="AH936" s="102" t="n"/>
      <c r="AI936" s="102" t="n"/>
      <c r="AJ936" s="102" t="n"/>
      <c r="AK936" s="102" t="n"/>
      <c r="AL936" s="102" t="n"/>
      <c r="AM936" s="102" t="n"/>
      <c r="AN936" s="102" t="n"/>
      <c r="AO936" s="102" t="n"/>
      <c r="AP936" s="102" t="n"/>
      <c r="AQ936" s="102" t="n"/>
      <c r="AR936" s="102" t="n"/>
    </row>
    <row r="937">
      <c r="D937" s="102" t="n"/>
      <c r="E937" s="102" t="n"/>
      <c r="F937" s="102" t="n"/>
      <c r="G937" s="102" t="n"/>
      <c r="H937" s="102" t="n"/>
      <c r="I937" s="102" t="n"/>
      <c r="J937" s="102" t="n"/>
      <c r="K937" s="102" t="n"/>
      <c r="L937" s="102" t="n"/>
      <c r="M937" s="102" t="n"/>
      <c r="N937" s="102" t="n"/>
      <c r="O937" s="102" t="n"/>
      <c r="P937" s="102" t="n"/>
      <c r="Q937" s="102" t="n"/>
      <c r="R937" s="102" t="n"/>
      <c r="S937" s="102" t="n"/>
      <c r="T937" s="102" t="n"/>
      <c r="U937" s="102" t="n"/>
      <c r="V937" s="102" t="n"/>
      <c r="W937" s="102" t="n"/>
      <c r="X937" s="102" t="n"/>
      <c r="Y937" s="102" t="n"/>
      <c r="Z937" s="102" t="n"/>
      <c r="AA937" s="102" t="n"/>
      <c r="AB937" s="102" t="n"/>
      <c r="AC937" s="102" t="n"/>
      <c r="AD937" s="102" t="n"/>
      <c r="AE937" s="102" t="n"/>
      <c r="AF937" s="102" t="n"/>
      <c r="AG937" s="102" t="n"/>
      <c r="AH937" s="102" t="n"/>
      <c r="AI937" s="102" t="n"/>
      <c r="AJ937" s="102" t="n"/>
      <c r="AK937" s="102" t="n"/>
      <c r="AL937" s="102" t="n"/>
      <c r="AM937" s="102" t="n"/>
      <c r="AN937" s="102" t="n"/>
      <c r="AO937" s="102" t="n"/>
      <c r="AP937" s="102" t="n"/>
      <c r="AQ937" s="102" t="n"/>
      <c r="AR937" s="102" t="n"/>
    </row>
    <row r="938">
      <c r="D938" s="103" t="n"/>
      <c r="E938" s="103" t="n"/>
      <c r="F938" s="103" t="n"/>
      <c r="G938" s="103" t="n"/>
      <c r="H938" s="103" t="n"/>
      <c r="I938" s="103" t="n"/>
      <c r="J938" s="103" t="n"/>
      <c r="K938" s="103" t="n"/>
      <c r="L938" s="103" t="n"/>
      <c r="M938" s="103" t="n"/>
      <c r="N938" s="103" t="n"/>
      <c r="O938" s="103" t="n"/>
      <c r="P938" s="103" t="n"/>
      <c r="Q938" s="103" t="n"/>
      <c r="R938" s="103" t="n"/>
      <c r="S938" s="103" t="n"/>
      <c r="T938" s="103" t="n"/>
      <c r="U938" s="103" t="n"/>
      <c r="V938" s="103" t="n"/>
      <c r="W938" s="103" t="n"/>
      <c r="X938" s="103" t="n"/>
      <c r="Y938" s="103" t="n"/>
      <c r="Z938" s="103" t="n"/>
      <c r="AA938" s="103" t="n"/>
      <c r="AB938" s="103" t="n"/>
      <c r="AC938" s="103" t="n"/>
      <c r="AD938" s="103" t="n"/>
      <c r="AE938" s="103" t="n"/>
      <c r="AF938" s="103" t="n"/>
      <c r="AG938" s="103" t="n"/>
      <c r="AH938" s="103" t="n"/>
      <c r="AI938" s="103" t="n"/>
      <c r="AJ938" s="103" t="n"/>
      <c r="AK938" s="103" t="n"/>
      <c r="AL938" s="103" t="n"/>
      <c r="AM938" s="103" t="n"/>
      <c r="AN938" s="103" t="n"/>
      <c r="AO938" s="103" t="n"/>
      <c r="AP938" s="103" t="n"/>
      <c r="AQ938" s="103" t="n"/>
      <c r="AR938" s="103" t="n"/>
    </row>
    <row r="941">
      <c r="A941" s="2">
        <f>IF($A934="","","   projections")</f>
        <v/>
      </c>
      <c r="B941" s="99">
        <f>IF($A934="",0,COUNT($E942:$AR942))</f>
        <v/>
      </c>
      <c r="C941" s="100">
        <f>IF($B941=0,0,MAX($E942:$AR942))</f>
        <v/>
      </c>
      <c r="D941" s="101">
        <f>BDS($A934,FLD_PROJ,"headers=y","startcol=1","endcol=3","dir=h")</f>
        <v/>
      </c>
      <c r="E941" s="102" t="n"/>
      <c r="F941" s="102" t="n"/>
      <c r="G941" s="102" t="n"/>
      <c r="H941" s="102" t="n"/>
      <c r="I941" s="102" t="n"/>
      <c r="J941" s="102" t="n"/>
      <c r="K941" s="102" t="n"/>
      <c r="L941" s="102" t="n"/>
      <c r="M941" s="102" t="n"/>
      <c r="N941" s="102" t="n"/>
      <c r="O941" s="102" t="n"/>
      <c r="P941" s="102" t="n"/>
      <c r="Q941" s="102" t="n"/>
      <c r="R941" s="102" t="n"/>
      <c r="S941" s="102" t="n"/>
      <c r="T941" s="102" t="n"/>
      <c r="U941" s="102" t="n"/>
      <c r="V941" s="102" t="n"/>
      <c r="W941" s="102" t="n"/>
      <c r="X941" s="102" t="n"/>
      <c r="Y941" s="102" t="n"/>
      <c r="Z941" s="102" t="n"/>
      <c r="AA941" s="102" t="n"/>
      <c r="AB941" s="102" t="n"/>
      <c r="AC941" s="102" t="n"/>
      <c r="AD941" s="102" t="n"/>
      <c r="AE941" s="102" t="n"/>
      <c r="AF941" s="102" t="n"/>
      <c r="AG941" s="102" t="n"/>
      <c r="AH941" s="102" t="n"/>
      <c r="AI941" s="102" t="n"/>
      <c r="AJ941" s="102" t="n"/>
      <c r="AK941" s="102" t="n"/>
      <c r="AL941" s="102" t="n"/>
      <c r="AM941" s="102" t="n"/>
      <c r="AN941" s="102" t="n"/>
      <c r="AO941" s="102" t="n"/>
      <c r="AP941" s="102" t="n"/>
      <c r="AQ941" s="102" t="n"/>
      <c r="AR941" s="102" t="n"/>
    </row>
    <row r="942">
      <c r="D942" s="102" t="n"/>
      <c r="E942" s="102" t="n"/>
      <c r="F942" s="102" t="n"/>
      <c r="G942" s="102" t="n"/>
      <c r="H942" s="102" t="n"/>
      <c r="I942" s="102" t="n"/>
      <c r="J942" s="102" t="n"/>
      <c r="K942" s="102" t="n"/>
      <c r="L942" s="102" t="n"/>
      <c r="M942" s="102" t="n"/>
      <c r="N942" s="102" t="n"/>
      <c r="O942" s="102" t="n"/>
      <c r="P942" s="102" t="n"/>
      <c r="Q942" s="102" t="n"/>
      <c r="R942" s="102" t="n"/>
      <c r="S942" s="102" t="n"/>
      <c r="T942" s="102" t="n"/>
      <c r="U942" s="102" t="n"/>
      <c r="V942" s="102" t="n"/>
      <c r="W942" s="102" t="n"/>
      <c r="X942" s="102" t="n"/>
      <c r="Y942" s="102" t="n"/>
      <c r="Z942" s="102" t="n"/>
      <c r="AA942" s="102" t="n"/>
      <c r="AB942" s="102" t="n"/>
      <c r="AC942" s="102" t="n"/>
      <c r="AD942" s="102" t="n"/>
      <c r="AE942" s="102" t="n"/>
      <c r="AF942" s="102" t="n"/>
      <c r="AG942" s="102" t="n"/>
      <c r="AH942" s="102" t="n"/>
      <c r="AI942" s="102" t="n"/>
      <c r="AJ942" s="102" t="n"/>
      <c r="AK942" s="102" t="n"/>
      <c r="AL942" s="102" t="n"/>
      <c r="AM942" s="102" t="n"/>
      <c r="AN942" s="102" t="n"/>
      <c r="AO942" s="102" t="n"/>
      <c r="AP942" s="102" t="n"/>
      <c r="AQ942" s="102" t="n"/>
      <c r="AR942" s="102" t="n"/>
    </row>
    <row r="943">
      <c r="D943" s="103" t="n"/>
      <c r="E943" s="103" t="n"/>
      <c r="F943" s="103" t="n"/>
      <c r="G943" s="103" t="n"/>
      <c r="H943" s="103" t="n"/>
      <c r="I943" s="103" t="n"/>
      <c r="J943" s="103" t="n"/>
      <c r="K943" s="103" t="n"/>
      <c r="L943" s="103" t="n"/>
      <c r="M943" s="103" t="n"/>
      <c r="N943" s="103" t="n"/>
      <c r="O943" s="103" t="n"/>
      <c r="P943" s="103" t="n"/>
      <c r="Q943" s="103" t="n"/>
      <c r="R943" s="103" t="n"/>
      <c r="S943" s="103" t="n"/>
      <c r="T943" s="103" t="n"/>
      <c r="U943" s="103" t="n"/>
      <c r="V943" s="103" t="n"/>
      <c r="W943" s="103" t="n"/>
      <c r="X943" s="103" t="n"/>
      <c r="Y943" s="103" t="n"/>
      <c r="Z943" s="103" t="n"/>
      <c r="AA943" s="103" t="n"/>
      <c r="AB943" s="103" t="n"/>
      <c r="AC943" s="103" t="n"/>
      <c r="AD943" s="103" t="n"/>
      <c r="AE943" s="103" t="n"/>
      <c r="AF943" s="103" t="n"/>
      <c r="AG943" s="103" t="n"/>
      <c r="AH943" s="103" t="n"/>
      <c r="AI943" s="103" t="n"/>
      <c r="AJ943" s="103" t="n"/>
      <c r="AK943" s="103" t="n"/>
      <c r="AL943" s="103" t="n"/>
      <c r="AM943" s="103" t="n"/>
      <c r="AN943" s="103" t="n"/>
      <c r="AO943" s="103" t="n"/>
      <c r="AP943" s="103" t="n"/>
      <c r="AQ943" s="103" t="n"/>
      <c r="AR943" s="103" t="n"/>
    </row>
    <row r="945">
      <c r="A945" s="8">
        <f>IF(HSI!$C$92="","",HSI!$C$92)</f>
        <v/>
      </c>
      <c r="B945" s="99">
        <f>IF($A945="",0,COUNT($E946:$AR946))</f>
        <v/>
      </c>
      <c r="C945" s="100">
        <f>IF($B945=0,0,MAX($E946:$AR946))</f>
        <v/>
      </c>
      <c r="D945" s="101">
        <f>BDS($A945,FLD_HIST,"headers=y","startcol=1","endcol=7","dir=h","DVD_START_DT",HIST_FROM,"DVD_END_DT",HIST_TO)</f>
        <v/>
      </c>
      <c r="E945" s="102" t="n"/>
      <c r="F945" s="102" t="n"/>
      <c r="G945" s="102" t="n"/>
      <c r="H945" s="102" t="n"/>
      <c r="I945" s="102" t="n"/>
      <c r="J945" s="102" t="n"/>
      <c r="K945" s="102" t="n"/>
      <c r="L945" s="102" t="n"/>
      <c r="M945" s="102" t="n"/>
      <c r="N945" s="102" t="n"/>
      <c r="O945" s="102" t="n"/>
      <c r="P945" s="102" t="n"/>
      <c r="Q945" s="102" t="n"/>
      <c r="R945" s="102" t="n"/>
      <c r="S945" s="102" t="n"/>
      <c r="T945" s="102" t="n"/>
      <c r="U945" s="102" t="n"/>
      <c r="V945" s="102" t="n"/>
      <c r="W945" s="102" t="n"/>
      <c r="X945" s="102" t="n"/>
      <c r="Y945" s="102" t="n"/>
      <c r="Z945" s="102" t="n"/>
      <c r="AA945" s="102" t="n"/>
      <c r="AB945" s="102" t="n"/>
      <c r="AC945" s="102" t="n"/>
      <c r="AD945" s="102" t="n"/>
      <c r="AE945" s="102" t="n"/>
      <c r="AF945" s="102" t="n"/>
      <c r="AG945" s="102" t="n"/>
      <c r="AH945" s="102" t="n"/>
      <c r="AI945" s="102" t="n"/>
      <c r="AJ945" s="102" t="n"/>
      <c r="AK945" s="102" t="n"/>
      <c r="AL945" s="102" t="n"/>
      <c r="AM945" s="102" t="n"/>
      <c r="AN945" s="102" t="n"/>
      <c r="AO945" s="102" t="n"/>
      <c r="AP945" s="102" t="n"/>
      <c r="AQ945" s="102" t="n"/>
      <c r="AR945" s="102" t="n"/>
    </row>
    <row r="946">
      <c r="D946" s="102" t="n"/>
      <c r="E946" s="102" t="n"/>
      <c r="F946" s="102" t="n"/>
      <c r="G946" s="102" t="n"/>
      <c r="H946" s="102" t="n"/>
      <c r="I946" s="102" t="n"/>
      <c r="J946" s="102" t="n"/>
      <c r="K946" s="102" t="n"/>
      <c r="L946" s="102" t="n"/>
      <c r="M946" s="102" t="n"/>
      <c r="N946" s="102" t="n"/>
      <c r="O946" s="102" t="n"/>
      <c r="P946" s="102" t="n"/>
      <c r="Q946" s="102" t="n"/>
      <c r="R946" s="102" t="n"/>
      <c r="S946" s="102" t="n"/>
      <c r="T946" s="102" t="n"/>
      <c r="U946" s="102" t="n"/>
      <c r="V946" s="102" t="n"/>
      <c r="W946" s="102" t="n"/>
      <c r="X946" s="102" t="n"/>
      <c r="Y946" s="102" t="n"/>
      <c r="Z946" s="102" t="n"/>
      <c r="AA946" s="102" t="n"/>
      <c r="AB946" s="102" t="n"/>
      <c r="AC946" s="102" t="n"/>
      <c r="AD946" s="102" t="n"/>
      <c r="AE946" s="102" t="n"/>
      <c r="AF946" s="102" t="n"/>
      <c r="AG946" s="102" t="n"/>
      <c r="AH946" s="102" t="n"/>
      <c r="AI946" s="102" t="n"/>
      <c r="AJ946" s="102" t="n"/>
      <c r="AK946" s="102" t="n"/>
      <c r="AL946" s="102" t="n"/>
      <c r="AM946" s="102" t="n"/>
      <c r="AN946" s="102" t="n"/>
      <c r="AO946" s="102" t="n"/>
      <c r="AP946" s="102" t="n"/>
      <c r="AQ946" s="102" t="n"/>
      <c r="AR946" s="102" t="n"/>
    </row>
    <row r="947">
      <c r="D947" s="102" t="n"/>
      <c r="E947" s="102" t="n"/>
      <c r="F947" s="102" t="n"/>
      <c r="G947" s="102" t="n"/>
      <c r="H947" s="102" t="n"/>
      <c r="I947" s="102" t="n"/>
      <c r="J947" s="102" t="n"/>
      <c r="K947" s="102" t="n"/>
      <c r="L947" s="102" t="n"/>
      <c r="M947" s="102" t="n"/>
      <c r="N947" s="102" t="n"/>
      <c r="O947" s="102" t="n"/>
      <c r="P947" s="102" t="n"/>
      <c r="Q947" s="102" t="n"/>
      <c r="R947" s="102" t="n"/>
      <c r="S947" s="102" t="n"/>
      <c r="T947" s="102" t="n"/>
      <c r="U947" s="102" t="n"/>
      <c r="V947" s="102" t="n"/>
      <c r="W947" s="102" t="n"/>
      <c r="X947" s="102" t="n"/>
      <c r="Y947" s="102" t="n"/>
      <c r="Z947" s="102" t="n"/>
      <c r="AA947" s="102" t="n"/>
      <c r="AB947" s="102" t="n"/>
      <c r="AC947" s="102" t="n"/>
      <c r="AD947" s="102" t="n"/>
      <c r="AE947" s="102" t="n"/>
      <c r="AF947" s="102" t="n"/>
      <c r="AG947" s="102" t="n"/>
      <c r="AH947" s="102" t="n"/>
      <c r="AI947" s="102" t="n"/>
      <c r="AJ947" s="102" t="n"/>
      <c r="AK947" s="102" t="n"/>
      <c r="AL947" s="102" t="n"/>
      <c r="AM947" s="102" t="n"/>
      <c r="AN947" s="102" t="n"/>
      <c r="AO947" s="102" t="n"/>
      <c r="AP947" s="102" t="n"/>
      <c r="AQ947" s="102" t="n"/>
      <c r="AR947" s="102" t="n"/>
    </row>
    <row r="948">
      <c r="D948" s="102" t="n"/>
      <c r="E948" s="102" t="n"/>
      <c r="F948" s="102" t="n"/>
      <c r="G948" s="102" t="n"/>
      <c r="H948" s="102" t="n"/>
      <c r="I948" s="102" t="n"/>
      <c r="J948" s="102" t="n"/>
      <c r="K948" s="102" t="n"/>
      <c r="L948" s="102" t="n"/>
      <c r="M948" s="102" t="n"/>
      <c r="N948" s="102" t="n"/>
      <c r="O948" s="102" t="n"/>
      <c r="P948" s="102" t="n"/>
      <c r="Q948" s="102" t="n"/>
      <c r="R948" s="102" t="n"/>
      <c r="S948" s="102" t="n"/>
      <c r="T948" s="102" t="n"/>
      <c r="U948" s="102" t="n"/>
      <c r="V948" s="102" t="n"/>
      <c r="W948" s="102" t="n"/>
      <c r="X948" s="102" t="n"/>
      <c r="Y948" s="102" t="n"/>
      <c r="Z948" s="102" t="n"/>
      <c r="AA948" s="102" t="n"/>
      <c r="AB948" s="102" t="n"/>
      <c r="AC948" s="102" t="n"/>
      <c r="AD948" s="102" t="n"/>
      <c r="AE948" s="102" t="n"/>
      <c r="AF948" s="102" t="n"/>
      <c r="AG948" s="102" t="n"/>
      <c r="AH948" s="102" t="n"/>
      <c r="AI948" s="102" t="n"/>
      <c r="AJ948" s="102" t="n"/>
      <c r="AK948" s="102" t="n"/>
      <c r="AL948" s="102" t="n"/>
      <c r="AM948" s="102" t="n"/>
      <c r="AN948" s="102" t="n"/>
      <c r="AO948" s="102" t="n"/>
      <c r="AP948" s="102" t="n"/>
      <c r="AQ948" s="102" t="n"/>
      <c r="AR948" s="102" t="n"/>
    </row>
    <row r="949">
      <c r="D949" s="103" t="n"/>
      <c r="E949" s="103" t="n"/>
      <c r="F949" s="103" t="n"/>
      <c r="G949" s="103" t="n"/>
      <c r="H949" s="103" t="n"/>
      <c r="I949" s="103" t="n"/>
      <c r="J949" s="103" t="n"/>
      <c r="K949" s="103" t="n"/>
      <c r="L949" s="103" t="n"/>
      <c r="M949" s="103" t="n"/>
      <c r="N949" s="103" t="n"/>
      <c r="O949" s="103" t="n"/>
      <c r="P949" s="103" t="n"/>
      <c r="Q949" s="103" t="n"/>
      <c r="R949" s="103" t="n"/>
      <c r="S949" s="103" t="n"/>
      <c r="T949" s="103" t="n"/>
      <c r="U949" s="103" t="n"/>
      <c r="V949" s="103" t="n"/>
      <c r="W949" s="103" t="n"/>
      <c r="X949" s="103" t="n"/>
      <c r="Y949" s="103" t="n"/>
      <c r="Z949" s="103" t="n"/>
      <c r="AA949" s="103" t="n"/>
      <c r="AB949" s="103" t="n"/>
      <c r="AC949" s="103" t="n"/>
      <c r="AD949" s="103" t="n"/>
      <c r="AE949" s="103" t="n"/>
      <c r="AF949" s="103" t="n"/>
      <c r="AG949" s="103" t="n"/>
      <c r="AH949" s="103" t="n"/>
      <c r="AI949" s="103" t="n"/>
      <c r="AJ949" s="103" t="n"/>
      <c r="AK949" s="103" t="n"/>
      <c r="AL949" s="103" t="n"/>
      <c r="AM949" s="103" t="n"/>
      <c r="AN949" s="103" t="n"/>
      <c r="AO949" s="103" t="n"/>
      <c r="AP949" s="103" t="n"/>
      <c r="AQ949" s="103" t="n"/>
      <c r="AR949" s="103" t="n"/>
    </row>
    <row r="952">
      <c r="A952" s="2">
        <f>IF($A945="","","   projections")</f>
        <v/>
      </c>
      <c r="B952" s="99">
        <f>IF($A945="",0,COUNT($E953:$AR953))</f>
        <v/>
      </c>
      <c r="C952" s="100">
        <f>IF($B952=0,0,MAX($E953:$AR953))</f>
        <v/>
      </c>
      <c r="D952" s="101">
        <f>BDS($A945,FLD_PROJ,"headers=y","startcol=1","endcol=3","dir=h")</f>
        <v/>
      </c>
      <c r="E952" s="102" t="n"/>
      <c r="F952" s="102" t="n"/>
      <c r="G952" s="102" t="n"/>
      <c r="H952" s="102" t="n"/>
      <c r="I952" s="102" t="n"/>
      <c r="J952" s="102" t="n"/>
      <c r="K952" s="102" t="n"/>
      <c r="L952" s="102" t="n"/>
      <c r="M952" s="102" t="n"/>
      <c r="N952" s="102" t="n"/>
      <c r="O952" s="102" t="n"/>
      <c r="P952" s="102" t="n"/>
      <c r="Q952" s="102" t="n"/>
      <c r="R952" s="102" t="n"/>
      <c r="S952" s="102" t="n"/>
      <c r="T952" s="102" t="n"/>
      <c r="U952" s="102" t="n"/>
      <c r="V952" s="102" t="n"/>
      <c r="W952" s="102" t="n"/>
      <c r="X952" s="102" t="n"/>
      <c r="Y952" s="102" t="n"/>
      <c r="Z952" s="102" t="n"/>
      <c r="AA952" s="102" t="n"/>
      <c r="AB952" s="102" t="n"/>
      <c r="AC952" s="102" t="n"/>
      <c r="AD952" s="102" t="n"/>
      <c r="AE952" s="102" t="n"/>
      <c r="AF952" s="102" t="n"/>
      <c r="AG952" s="102" t="n"/>
      <c r="AH952" s="102" t="n"/>
      <c r="AI952" s="102" t="n"/>
      <c r="AJ952" s="102" t="n"/>
      <c r="AK952" s="102" t="n"/>
      <c r="AL952" s="102" t="n"/>
      <c r="AM952" s="102" t="n"/>
      <c r="AN952" s="102" t="n"/>
      <c r="AO952" s="102" t="n"/>
      <c r="AP952" s="102" t="n"/>
      <c r="AQ952" s="102" t="n"/>
      <c r="AR952" s="102" t="n"/>
    </row>
    <row r="953">
      <c r="D953" s="102" t="n"/>
      <c r="E953" s="102" t="n"/>
      <c r="F953" s="102" t="n"/>
      <c r="G953" s="102" t="n"/>
      <c r="H953" s="102" t="n"/>
      <c r="I953" s="102" t="n"/>
      <c r="J953" s="102" t="n"/>
      <c r="K953" s="102" t="n"/>
      <c r="L953" s="102" t="n"/>
      <c r="M953" s="102" t="n"/>
      <c r="N953" s="102" t="n"/>
      <c r="O953" s="102" t="n"/>
      <c r="P953" s="102" t="n"/>
      <c r="Q953" s="102" t="n"/>
      <c r="R953" s="102" t="n"/>
      <c r="S953" s="102" t="n"/>
      <c r="T953" s="102" t="n"/>
      <c r="U953" s="102" t="n"/>
      <c r="V953" s="102" t="n"/>
      <c r="W953" s="102" t="n"/>
      <c r="X953" s="102" t="n"/>
      <c r="Y953" s="102" t="n"/>
      <c r="Z953" s="102" t="n"/>
      <c r="AA953" s="102" t="n"/>
      <c r="AB953" s="102" t="n"/>
      <c r="AC953" s="102" t="n"/>
      <c r="AD953" s="102" t="n"/>
      <c r="AE953" s="102" t="n"/>
      <c r="AF953" s="102" t="n"/>
      <c r="AG953" s="102" t="n"/>
      <c r="AH953" s="102" t="n"/>
      <c r="AI953" s="102" t="n"/>
      <c r="AJ953" s="102" t="n"/>
      <c r="AK953" s="102" t="n"/>
      <c r="AL953" s="102" t="n"/>
      <c r="AM953" s="102" t="n"/>
      <c r="AN953" s="102" t="n"/>
      <c r="AO953" s="102" t="n"/>
      <c r="AP953" s="102" t="n"/>
      <c r="AQ953" s="102" t="n"/>
      <c r="AR953" s="102" t="n"/>
    </row>
    <row r="954">
      <c r="D954" s="103" t="n"/>
      <c r="E954" s="103" t="n"/>
      <c r="F954" s="103" t="n"/>
      <c r="G954" s="103" t="n"/>
      <c r="H954" s="103" t="n"/>
      <c r="I954" s="103" t="n"/>
      <c r="J954" s="103" t="n"/>
      <c r="K954" s="103" t="n"/>
      <c r="L954" s="103" t="n"/>
      <c r="M954" s="103" t="n"/>
      <c r="N954" s="103" t="n"/>
      <c r="O954" s="103" t="n"/>
      <c r="P954" s="103" t="n"/>
      <c r="Q954" s="103" t="n"/>
      <c r="R954" s="103" t="n"/>
      <c r="S954" s="103" t="n"/>
      <c r="T954" s="103" t="n"/>
      <c r="U954" s="103" t="n"/>
      <c r="V954" s="103" t="n"/>
      <c r="W954" s="103" t="n"/>
      <c r="X954" s="103" t="n"/>
      <c r="Y954" s="103" t="n"/>
      <c r="Z954" s="103" t="n"/>
      <c r="AA954" s="103" t="n"/>
      <c r="AB954" s="103" t="n"/>
      <c r="AC954" s="103" t="n"/>
      <c r="AD954" s="103" t="n"/>
      <c r="AE954" s="103" t="n"/>
      <c r="AF954" s="103" t="n"/>
      <c r="AG954" s="103" t="n"/>
      <c r="AH954" s="103" t="n"/>
      <c r="AI954" s="103" t="n"/>
      <c r="AJ954" s="103" t="n"/>
      <c r="AK954" s="103" t="n"/>
      <c r="AL954" s="103" t="n"/>
      <c r="AM954" s="103" t="n"/>
      <c r="AN954" s="103" t="n"/>
      <c r="AO954" s="103" t="n"/>
      <c r="AP954" s="103" t="n"/>
      <c r="AQ954" s="103" t="n"/>
      <c r="AR954" s="103" t="n"/>
    </row>
    <row r="956">
      <c r="A956" s="8">
        <f>IF(HSI!$C$93="","",HSI!$C$93)</f>
        <v/>
      </c>
      <c r="B956" s="99">
        <f>IF($A956="",0,COUNT($E957:$AR957))</f>
        <v/>
      </c>
      <c r="C956" s="100">
        <f>IF($B956=0,0,MAX($E957:$AR957))</f>
        <v/>
      </c>
      <c r="D956" s="101">
        <f>BDS($A956,FLD_HIST,"headers=y","startcol=1","endcol=7","dir=h","DVD_START_DT",HIST_FROM,"DVD_END_DT",HIST_TO)</f>
        <v/>
      </c>
      <c r="E956" s="102" t="n"/>
      <c r="F956" s="102" t="n"/>
      <c r="G956" s="102" t="n"/>
      <c r="H956" s="102" t="n"/>
      <c r="I956" s="102" t="n"/>
      <c r="J956" s="102" t="n"/>
      <c r="K956" s="102" t="n"/>
      <c r="L956" s="102" t="n"/>
      <c r="M956" s="102" t="n"/>
      <c r="N956" s="102" t="n"/>
      <c r="O956" s="102" t="n"/>
      <c r="P956" s="102" t="n"/>
      <c r="Q956" s="102" t="n"/>
      <c r="R956" s="102" t="n"/>
      <c r="S956" s="102" t="n"/>
      <c r="T956" s="102" t="n"/>
      <c r="U956" s="102" t="n"/>
      <c r="V956" s="102" t="n"/>
      <c r="W956" s="102" t="n"/>
      <c r="X956" s="102" t="n"/>
      <c r="Y956" s="102" t="n"/>
      <c r="Z956" s="102" t="n"/>
      <c r="AA956" s="102" t="n"/>
      <c r="AB956" s="102" t="n"/>
      <c r="AC956" s="102" t="n"/>
      <c r="AD956" s="102" t="n"/>
      <c r="AE956" s="102" t="n"/>
      <c r="AF956" s="102" t="n"/>
      <c r="AG956" s="102" t="n"/>
      <c r="AH956" s="102" t="n"/>
      <c r="AI956" s="102" t="n"/>
      <c r="AJ956" s="102" t="n"/>
      <c r="AK956" s="102" t="n"/>
      <c r="AL956" s="102" t="n"/>
      <c r="AM956" s="102" t="n"/>
      <c r="AN956" s="102" t="n"/>
      <c r="AO956" s="102" t="n"/>
      <c r="AP956" s="102" t="n"/>
      <c r="AQ956" s="102" t="n"/>
      <c r="AR956" s="102" t="n"/>
    </row>
    <row r="957">
      <c r="D957" s="102" t="n"/>
      <c r="E957" s="102" t="n"/>
      <c r="F957" s="102" t="n"/>
      <c r="G957" s="102" t="n"/>
      <c r="H957" s="102" t="n"/>
      <c r="I957" s="102" t="n"/>
      <c r="J957" s="102" t="n"/>
      <c r="K957" s="102" t="n"/>
      <c r="L957" s="102" t="n"/>
      <c r="M957" s="102" t="n"/>
      <c r="N957" s="102" t="n"/>
      <c r="O957" s="102" t="n"/>
      <c r="P957" s="102" t="n"/>
      <c r="Q957" s="102" t="n"/>
      <c r="R957" s="102" t="n"/>
      <c r="S957" s="102" t="n"/>
      <c r="T957" s="102" t="n"/>
      <c r="U957" s="102" t="n"/>
      <c r="V957" s="102" t="n"/>
      <c r="W957" s="102" t="n"/>
      <c r="X957" s="102" t="n"/>
      <c r="Y957" s="102" t="n"/>
      <c r="Z957" s="102" t="n"/>
      <c r="AA957" s="102" t="n"/>
      <c r="AB957" s="102" t="n"/>
      <c r="AC957" s="102" t="n"/>
      <c r="AD957" s="102" t="n"/>
      <c r="AE957" s="102" t="n"/>
      <c r="AF957" s="102" t="n"/>
      <c r="AG957" s="102" t="n"/>
      <c r="AH957" s="102" t="n"/>
      <c r="AI957" s="102" t="n"/>
      <c r="AJ957" s="102" t="n"/>
      <c r="AK957" s="102" t="n"/>
      <c r="AL957" s="102" t="n"/>
      <c r="AM957" s="102" t="n"/>
      <c r="AN957" s="102" t="n"/>
      <c r="AO957" s="102" t="n"/>
      <c r="AP957" s="102" t="n"/>
      <c r="AQ957" s="102" t="n"/>
      <c r="AR957" s="102" t="n"/>
    </row>
    <row r="958">
      <c r="D958" s="102" t="n"/>
      <c r="E958" s="102" t="n"/>
      <c r="F958" s="102" t="n"/>
      <c r="G958" s="102" t="n"/>
      <c r="H958" s="102" t="n"/>
      <c r="I958" s="102" t="n"/>
      <c r="J958" s="102" t="n"/>
      <c r="K958" s="102" t="n"/>
      <c r="L958" s="102" t="n"/>
      <c r="M958" s="102" t="n"/>
      <c r="N958" s="102" t="n"/>
      <c r="O958" s="102" t="n"/>
      <c r="P958" s="102" t="n"/>
      <c r="Q958" s="102" t="n"/>
      <c r="R958" s="102" t="n"/>
      <c r="S958" s="102" t="n"/>
      <c r="T958" s="102" t="n"/>
      <c r="U958" s="102" t="n"/>
      <c r="V958" s="102" t="n"/>
      <c r="W958" s="102" t="n"/>
      <c r="X958" s="102" t="n"/>
      <c r="Y958" s="102" t="n"/>
      <c r="Z958" s="102" t="n"/>
      <c r="AA958" s="102" t="n"/>
      <c r="AB958" s="102" t="n"/>
      <c r="AC958" s="102" t="n"/>
      <c r="AD958" s="102" t="n"/>
      <c r="AE958" s="102" t="n"/>
      <c r="AF958" s="102" t="n"/>
      <c r="AG958" s="102" t="n"/>
      <c r="AH958" s="102" t="n"/>
      <c r="AI958" s="102" t="n"/>
      <c r="AJ958" s="102" t="n"/>
      <c r="AK958" s="102" t="n"/>
      <c r="AL958" s="102" t="n"/>
      <c r="AM958" s="102" t="n"/>
      <c r="AN958" s="102" t="n"/>
      <c r="AO958" s="102" t="n"/>
      <c r="AP958" s="102" t="n"/>
      <c r="AQ958" s="102" t="n"/>
      <c r="AR958" s="102" t="n"/>
    </row>
    <row r="959">
      <c r="D959" s="102" t="n"/>
      <c r="E959" s="102" t="n"/>
      <c r="F959" s="102" t="n"/>
      <c r="G959" s="102" t="n"/>
      <c r="H959" s="102" t="n"/>
      <c r="I959" s="102" t="n"/>
      <c r="J959" s="102" t="n"/>
      <c r="K959" s="102" t="n"/>
      <c r="L959" s="102" t="n"/>
      <c r="M959" s="102" t="n"/>
      <c r="N959" s="102" t="n"/>
      <c r="O959" s="102" t="n"/>
      <c r="P959" s="102" t="n"/>
      <c r="Q959" s="102" t="n"/>
      <c r="R959" s="102" t="n"/>
      <c r="S959" s="102" t="n"/>
      <c r="T959" s="102" t="n"/>
      <c r="U959" s="102" t="n"/>
      <c r="V959" s="102" t="n"/>
      <c r="W959" s="102" t="n"/>
      <c r="X959" s="102" t="n"/>
      <c r="Y959" s="102" t="n"/>
      <c r="Z959" s="102" t="n"/>
      <c r="AA959" s="102" t="n"/>
      <c r="AB959" s="102" t="n"/>
      <c r="AC959" s="102" t="n"/>
      <c r="AD959" s="102" t="n"/>
      <c r="AE959" s="102" t="n"/>
      <c r="AF959" s="102" t="n"/>
      <c r="AG959" s="102" t="n"/>
      <c r="AH959" s="102" t="n"/>
      <c r="AI959" s="102" t="n"/>
      <c r="AJ959" s="102" t="n"/>
      <c r="AK959" s="102" t="n"/>
      <c r="AL959" s="102" t="n"/>
      <c r="AM959" s="102" t="n"/>
      <c r="AN959" s="102" t="n"/>
      <c r="AO959" s="102" t="n"/>
      <c r="AP959" s="102" t="n"/>
      <c r="AQ959" s="102" t="n"/>
      <c r="AR959" s="102" t="n"/>
    </row>
    <row r="960">
      <c r="D960" s="103" t="n"/>
      <c r="E960" s="103" t="n"/>
      <c r="F960" s="103" t="n"/>
      <c r="G960" s="103" t="n"/>
      <c r="H960" s="103" t="n"/>
      <c r="I960" s="103" t="n"/>
      <c r="J960" s="103" t="n"/>
      <c r="K960" s="103" t="n"/>
      <c r="L960" s="103" t="n"/>
      <c r="M960" s="103" t="n"/>
      <c r="N960" s="103" t="n"/>
      <c r="O960" s="103" t="n"/>
      <c r="P960" s="103" t="n"/>
      <c r="Q960" s="103" t="n"/>
      <c r="R960" s="103" t="n"/>
      <c r="S960" s="103" t="n"/>
      <c r="T960" s="103" t="n"/>
      <c r="U960" s="103" t="n"/>
      <c r="V960" s="103" t="n"/>
      <c r="W960" s="103" t="n"/>
      <c r="X960" s="103" t="n"/>
      <c r="Y960" s="103" t="n"/>
      <c r="Z960" s="103" t="n"/>
      <c r="AA960" s="103" t="n"/>
      <c r="AB960" s="103" t="n"/>
      <c r="AC960" s="103" t="n"/>
      <c r="AD960" s="103" t="n"/>
      <c r="AE960" s="103" t="n"/>
      <c r="AF960" s="103" t="n"/>
      <c r="AG960" s="103" t="n"/>
      <c r="AH960" s="103" t="n"/>
      <c r="AI960" s="103" t="n"/>
      <c r="AJ960" s="103" t="n"/>
      <c r="AK960" s="103" t="n"/>
      <c r="AL960" s="103" t="n"/>
      <c r="AM960" s="103" t="n"/>
      <c r="AN960" s="103" t="n"/>
      <c r="AO960" s="103" t="n"/>
      <c r="AP960" s="103" t="n"/>
      <c r="AQ960" s="103" t="n"/>
      <c r="AR960" s="103" t="n"/>
    </row>
    <row r="963">
      <c r="A963" s="2">
        <f>IF($A956="","","   projections")</f>
        <v/>
      </c>
      <c r="B963" s="99">
        <f>IF($A956="",0,COUNT($E964:$AR964))</f>
        <v/>
      </c>
      <c r="C963" s="100">
        <f>IF($B963=0,0,MAX($E964:$AR964))</f>
        <v/>
      </c>
      <c r="D963" s="101">
        <f>BDS($A956,FLD_PROJ,"headers=y","startcol=1","endcol=3","dir=h")</f>
        <v/>
      </c>
      <c r="E963" s="102" t="n"/>
      <c r="F963" s="102" t="n"/>
      <c r="G963" s="102" t="n"/>
      <c r="H963" s="102" t="n"/>
      <c r="I963" s="102" t="n"/>
      <c r="J963" s="102" t="n"/>
      <c r="K963" s="102" t="n"/>
      <c r="L963" s="102" t="n"/>
      <c r="M963" s="102" t="n"/>
      <c r="N963" s="102" t="n"/>
      <c r="O963" s="102" t="n"/>
      <c r="P963" s="102" t="n"/>
      <c r="Q963" s="102" t="n"/>
      <c r="R963" s="102" t="n"/>
      <c r="S963" s="102" t="n"/>
      <c r="T963" s="102" t="n"/>
      <c r="U963" s="102" t="n"/>
      <c r="V963" s="102" t="n"/>
      <c r="W963" s="102" t="n"/>
      <c r="X963" s="102" t="n"/>
      <c r="Y963" s="102" t="n"/>
      <c r="Z963" s="102" t="n"/>
      <c r="AA963" s="102" t="n"/>
      <c r="AB963" s="102" t="n"/>
      <c r="AC963" s="102" t="n"/>
      <c r="AD963" s="102" t="n"/>
      <c r="AE963" s="102" t="n"/>
      <c r="AF963" s="102" t="n"/>
      <c r="AG963" s="102" t="n"/>
      <c r="AH963" s="102" t="n"/>
      <c r="AI963" s="102" t="n"/>
      <c r="AJ963" s="102" t="n"/>
      <c r="AK963" s="102" t="n"/>
      <c r="AL963" s="102" t="n"/>
      <c r="AM963" s="102" t="n"/>
      <c r="AN963" s="102" t="n"/>
      <c r="AO963" s="102" t="n"/>
      <c r="AP963" s="102" t="n"/>
      <c r="AQ963" s="102" t="n"/>
      <c r="AR963" s="102" t="n"/>
    </row>
    <row r="964">
      <c r="D964" s="102" t="n"/>
      <c r="E964" s="102" t="n"/>
      <c r="F964" s="102" t="n"/>
      <c r="G964" s="102" t="n"/>
      <c r="H964" s="102" t="n"/>
      <c r="I964" s="102" t="n"/>
      <c r="J964" s="102" t="n"/>
      <c r="K964" s="102" t="n"/>
      <c r="L964" s="102" t="n"/>
      <c r="M964" s="102" t="n"/>
      <c r="N964" s="102" t="n"/>
      <c r="O964" s="102" t="n"/>
      <c r="P964" s="102" t="n"/>
      <c r="Q964" s="102" t="n"/>
      <c r="R964" s="102" t="n"/>
      <c r="S964" s="102" t="n"/>
      <c r="T964" s="102" t="n"/>
      <c r="U964" s="102" t="n"/>
      <c r="V964" s="102" t="n"/>
      <c r="W964" s="102" t="n"/>
      <c r="X964" s="102" t="n"/>
      <c r="Y964" s="102" t="n"/>
      <c r="Z964" s="102" t="n"/>
      <c r="AA964" s="102" t="n"/>
      <c r="AB964" s="102" t="n"/>
      <c r="AC964" s="102" t="n"/>
      <c r="AD964" s="102" t="n"/>
      <c r="AE964" s="102" t="n"/>
      <c r="AF964" s="102" t="n"/>
      <c r="AG964" s="102" t="n"/>
      <c r="AH964" s="102" t="n"/>
      <c r="AI964" s="102" t="n"/>
      <c r="AJ964" s="102" t="n"/>
      <c r="AK964" s="102" t="n"/>
      <c r="AL964" s="102" t="n"/>
      <c r="AM964" s="102" t="n"/>
      <c r="AN964" s="102" t="n"/>
      <c r="AO964" s="102" t="n"/>
      <c r="AP964" s="102" t="n"/>
      <c r="AQ964" s="102" t="n"/>
      <c r="AR964" s="102" t="n"/>
    </row>
    <row r="965">
      <c r="D965" s="103" t="n"/>
      <c r="E965" s="103" t="n"/>
      <c r="F965" s="103" t="n"/>
      <c r="G965" s="103" t="n"/>
      <c r="H965" s="103" t="n"/>
      <c r="I965" s="103" t="n"/>
      <c r="J965" s="103" t="n"/>
      <c r="K965" s="103" t="n"/>
      <c r="L965" s="103" t="n"/>
      <c r="M965" s="103" t="n"/>
      <c r="N965" s="103" t="n"/>
      <c r="O965" s="103" t="n"/>
      <c r="P965" s="103" t="n"/>
      <c r="Q965" s="103" t="n"/>
      <c r="R965" s="103" t="n"/>
      <c r="S965" s="103" t="n"/>
      <c r="T965" s="103" t="n"/>
      <c r="U965" s="103" t="n"/>
      <c r="V965" s="103" t="n"/>
      <c r="W965" s="103" t="n"/>
      <c r="X965" s="103" t="n"/>
      <c r="Y965" s="103" t="n"/>
      <c r="Z965" s="103" t="n"/>
      <c r="AA965" s="103" t="n"/>
      <c r="AB965" s="103" t="n"/>
      <c r="AC965" s="103" t="n"/>
      <c r="AD965" s="103" t="n"/>
      <c r="AE965" s="103" t="n"/>
      <c r="AF965" s="103" t="n"/>
      <c r="AG965" s="103" t="n"/>
      <c r="AH965" s="103" t="n"/>
      <c r="AI965" s="103" t="n"/>
      <c r="AJ965" s="103" t="n"/>
      <c r="AK965" s="103" t="n"/>
      <c r="AL965" s="103" t="n"/>
      <c r="AM965" s="103" t="n"/>
      <c r="AN965" s="103" t="n"/>
      <c r="AO965" s="103" t="n"/>
      <c r="AP965" s="103" t="n"/>
      <c r="AQ965" s="103" t="n"/>
      <c r="AR965" s="103" t="n"/>
    </row>
    <row r="967">
      <c r="A967" s="8">
        <f>IF(HSI!$C$94="","",HSI!$C$94)</f>
        <v/>
      </c>
      <c r="B967" s="99">
        <f>IF($A967="",0,COUNT($E968:$AR968))</f>
        <v/>
      </c>
      <c r="C967" s="100">
        <f>IF($B967=0,0,MAX($E968:$AR968))</f>
        <v/>
      </c>
      <c r="D967" s="101">
        <f>BDS($A967,FLD_HIST,"headers=y","startcol=1","endcol=7","dir=h","DVD_START_DT",HIST_FROM,"DVD_END_DT",HIST_TO)</f>
        <v/>
      </c>
      <c r="E967" s="102" t="n"/>
      <c r="F967" s="102" t="n"/>
      <c r="G967" s="102" t="n"/>
      <c r="H967" s="102" t="n"/>
      <c r="I967" s="102" t="n"/>
      <c r="J967" s="102" t="n"/>
      <c r="K967" s="102" t="n"/>
      <c r="L967" s="102" t="n"/>
      <c r="M967" s="102" t="n"/>
      <c r="N967" s="102" t="n"/>
      <c r="O967" s="102" t="n"/>
      <c r="P967" s="102" t="n"/>
      <c r="Q967" s="102" t="n"/>
      <c r="R967" s="102" t="n"/>
      <c r="S967" s="102" t="n"/>
      <c r="T967" s="102" t="n"/>
      <c r="U967" s="102" t="n"/>
      <c r="V967" s="102" t="n"/>
      <c r="W967" s="102" t="n"/>
      <c r="X967" s="102" t="n"/>
      <c r="Y967" s="102" t="n"/>
      <c r="Z967" s="102" t="n"/>
      <c r="AA967" s="102" t="n"/>
      <c r="AB967" s="102" t="n"/>
      <c r="AC967" s="102" t="n"/>
      <c r="AD967" s="102" t="n"/>
      <c r="AE967" s="102" t="n"/>
      <c r="AF967" s="102" t="n"/>
      <c r="AG967" s="102" t="n"/>
      <c r="AH967" s="102" t="n"/>
      <c r="AI967" s="102" t="n"/>
      <c r="AJ967" s="102" t="n"/>
      <c r="AK967" s="102" t="n"/>
      <c r="AL967" s="102" t="n"/>
      <c r="AM967" s="102" t="n"/>
      <c r="AN967" s="102" t="n"/>
      <c r="AO967" s="102" t="n"/>
      <c r="AP967" s="102" t="n"/>
      <c r="AQ967" s="102" t="n"/>
      <c r="AR967" s="102" t="n"/>
    </row>
    <row r="968">
      <c r="D968" s="102" t="n"/>
      <c r="E968" s="102" t="n"/>
      <c r="F968" s="102" t="n"/>
      <c r="G968" s="102" t="n"/>
      <c r="H968" s="102" t="n"/>
      <c r="I968" s="102" t="n"/>
      <c r="J968" s="102" t="n"/>
      <c r="K968" s="102" t="n"/>
      <c r="L968" s="102" t="n"/>
      <c r="M968" s="102" t="n"/>
      <c r="N968" s="102" t="n"/>
      <c r="O968" s="102" t="n"/>
      <c r="P968" s="102" t="n"/>
      <c r="Q968" s="102" t="n"/>
      <c r="R968" s="102" t="n"/>
      <c r="S968" s="102" t="n"/>
      <c r="T968" s="102" t="n"/>
      <c r="U968" s="102" t="n"/>
      <c r="V968" s="102" t="n"/>
      <c r="W968" s="102" t="n"/>
      <c r="X968" s="102" t="n"/>
      <c r="Y968" s="102" t="n"/>
      <c r="Z968" s="102" t="n"/>
      <c r="AA968" s="102" t="n"/>
      <c r="AB968" s="102" t="n"/>
      <c r="AC968" s="102" t="n"/>
      <c r="AD968" s="102" t="n"/>
      <c r="AE968" s="102" t="n"/>
      <c r="AF968" s="102" t="n"/>
      <c r="AG968" s="102" t="n"/>
      <c r="AH968" s="102" t="n"/>
      <c r="AI968" s="102" t="n"/>
      <c r="AJ968" s="102" t="n"/>
      <c r="AK968" s="102" t="n"/>
      <c r="AL968" s="102" t="n"/>
      <c r="AM968" s="102" t="n"/>
      <c r="AN968" s="102" t="n"/>
      <c r="AO968" s="102" t="n"/>
      <c r="AP968" s="102" t="n"/>
      <c r="AQ968" s="102" t="n"/>
      <c r="AR968" s="102" t="n"/>
    </row>
    <row r="969">
      <c r="D969" s="102" t="n"/>
      <c r="E969" s="102" t="n"/>
      <c r="F969" s="102" t="n"/>
      <c r="G969" s="102" t="n"/>
      <c r="H969" s="102" t="n"/>
      <c r="I969" s="102" t="n"/>
      <c r="J969" s="102" t="n"/>
      <c r="K969" s="102" t="n"/>
      <c r="L969" s="102" t="n"/>
      <c r="M969" s="102" t="n"/>
      <c r="N969" s="102" t="n"/>
      <c r="O969" s="102" t="n"/>
      <c r="P969" s="102" t="n"/>
      <c r="Q969" s="102" t="n"/>
      <c r="R969" s="102" t="n"/>
      <c r="S969" s="102" t="n"/>
      <c r="T969" s="102" t="n"/>
      <c r="U969" s="102" t="n"/>
      <c r="V969" s="102" t="n"/>
      <c r="W969" s="102" t="n"/>
      <c r="X969" s="102" t="n"/>
      <c r="Y969" s="102" t="n"/>
      <c r="Z969" s="102" t="n"/>
      <c r="AA969" s="102" t="n"/>
      <c r="AB969" s="102" t="n"/>
      <c r="AC969" s="102" t="n"/>
      <c r="AD969" s="102" t="n"/>
      <c r="AE969" s="102" t="n"/>
      <c r="AF969" s="102" t="n"/>
      <c r="AG969" s="102" t="n"/>
      <c r="AH969" s="102" t="n"/>
      <c r="AI969" s="102" t="n"/>
      <c r="AJ969" s="102" t="n"/>
      <c r="AK969" s="102" t="n"/>
      <c r="AL969" s="102" t="n"/>
      <c r="AM969" s="102" t="n"/>
      <c r="AN969" s="102" t="n"/>
      <c r="AO969" s="102" t="n"/>
      <c r="AP969" s="102" t="n"/>
      <c r="AQ969" s="102" t="n"/>
      <c r="AR969" s="102" t="n"/>
    </row>
    <row r="970">
      <c r="D970" s="102" t="n"/>
      <c r="E970" s="102" t="n"/>
      <c r="F970" s="102" t="n"/>
      <c r="G970" s="102" t="n"/>
      <c r="H970" s="102" t="n"/>
      <c r="I970" s="102" t="n"/>
      <c r="J970" s="102" t="n"/>
      <c r="K970" s="102" t="n"/>
      <c r="L970" s="102" t="n"/>
      <c r="M970" s="102" t="n"/>
      <c r="N970" s="102" t="n"/>
      <c r="O970" s="102" t="n"/>
      <c r="P970" s="102" t="n"/>
      <c r="Q970" s="102" t="n"/>
      <c r="R970" s="102" t="n"/>
      <c r="S970" s="102" t="n"/>
      <c r="T970" s="102" t="n"/>
      <c r="U970" s="102" t="n"/>
      <c r="V970" s="102" t="n"/>
      <c r="W970" s="102" t="n"/>
      <c r="X970" s="102" t="n"/>
      <c r="Y970" s="102" t="n"/>
      <c r="Z970" s="102" t="n"/>
      <c r="AA970" s="102" t="n"/>
      <c r="AB970" s="102" t="n"/>
      <c r="AC970" s="102" t="n"/>
      <c r="AD970" s="102" t="n"/>
      <c r="AE970" s="102" t="n"/>
      <c r="AF970" s="102" t="n"/>
      <c r="AG970" s="102" t="n"/>
      <c r="AH970" s="102" t="n"/>
      <c r="AI970" s="102" t="n"/>
      <c r="AJ970" s="102" t="n"/>
      <c r="AK970" s="102" t="n"/>
      <c r="AL970" s="102" t="n"/>
      <c r="AM970" s="102" t="n"/>
      <c r="AN970" s="102" t="n"/>
      <c r="AO970" s="102" t="n"/>
      <c r="AP970" s="102" t="n"/>
      <c r="AQ970" s="102" t="n"/>
      <c r="AR970" s="102" t="n"/>
    </row>
    <row r="971">
      <c r="D971" s="103" t="n"/>
      <c r="E971" s="103" t="n"/>
      <c r="F971" s="103" t="n"/>
      <c r="G971" s="103" t="n"/>
      <c r="H971" s="103" t="n"/>
      <c r="I971" s="103" t="n"/>
      <c r="J971" s="103" t="n"/>
      <c r="K971" s="103" t="n"/>
      <c r="L971" s="103" t="n"/>
      <c r="M971" s="103" t="n"/>
      <c r="N971" s="103" t="n"/>
      <c r="O971" s="103" t="n"/>
      <c r="P971" s="103" t="n"/>
      <c r="Q971" s="103" t="n"/>
      <c r="R971" s="103" t="n"/>
      <c r="S971" s="103" t="n"/>
      <c r="T971" s="103" t="n"/>
      <c r="U971" s="103" t="n"/>
      <c r="V971" s="103" t="n"/>
      <c r="W971" s="103" t="n"/>
      <c r="X971" s="103" t="n"/>
      <c r="Y971" s="103" t="n"/>
      <c r="Z971" s="103" t="n"/>
      <c r="AA971" s="103" t="n"/>
      <c r="AB971" s="103" t="n"/>
      <c r="AC971" s="103" t="n"/>
      <c r="AD971" s="103" t="n"/>
      <c r="AE971" s="103" t="n"/>
      <c r="AF971" s="103" t="n"/>
      <c r="AG971" s="103" t="n"/>
      <c r="AH971" s="103" t="n"/>
      <c r="AI971" s="103" t="n"/>
      <c r="AJ971" s="103" t="n"/>
      <c r="AK971" s="103" t="n"/>
      <c r="AL971" s="103" t="n"/>
      <c r="AM971" s="103" t="n"/>
      <c r="AN971" s="103" t="n"/>
      <c r="AO971" s="103" t="n"/>
      <c r="AP971" s="103" t="n"/>
      <c r="AQ971" s="103" t="n"/>
      <c r="AR971" s="103" t="n"/>
    </row>
    <row r="974">
      <c r="A974" s="2">
        <f>IF($A967="","","   projections")</f>
        <v/>
      </c>
      <c r="B974" s="99">
        <f>IF($A967="",0,COUNT($E975:$AR975))</f>
        <v/>
      </c>
      <c r="C974" s="100">
        <f>IF($B974=0,0,MAX($E975:$AR975))</f>
        <v/>
      </c>
      <c r="D974" s="101">
        <f>BDS($A967,FLD_PROJ,"headers=y","startcol=1","endcol=3","dir=h")</f>
        <v/>
      </c>
      <c r="E974" s="102" t="n"/>
      <c r="F974" s="102" t="n"/>
      <c r="G974" s="102" t="n"/>
      <c r="H974" s="102" t="n"/>
      <c r="I974" s="102" t="n"/>
      <c r="J974" s="102" t="n"/>
      <c r="K974" s="102" t="n"/>
      <c r="L974" s="102" t="n"/>
      <c r="M974" s="102" t="n"/>
      <c r="N974" s="102" t="n"/>
      <c r="O974" s="102" t="n"/>
      <c r="P974" s="102" t="n"/>
      <c r="Q974" s="102" t="n"/>
      <c r="R974" s="102" t="n"/>
      <c r="S974" s="102" t="n"/>
      <c r="T974" s="102" t="n"/>
      <c r="U974" s="102" t="n"/>
      <c r="V974" s="102" t="n"/>
      <c r="W974" s="102" t="n"/>
      <c r="X974" s="102" t="n"/>
      <c r="Y974" s="102" t="n"/>
      <c r="Z974" s="102" t="n"/>
      <c r="AA974" s="102" t="n"/>
      <c r="AB974" s="102" t="n"/>
      <c r="AC974" s="102" t="n"/>
      <c r="AD974" s="102" t="n"/>
      <c r="AE974" s="102" t="n"/>
      <c r="AF974" s="102" t="n"/>
      <c r="AG974" s="102" t="n"/>
      <c r="AH974" s="102" t="n"/>
      <c r="AI974" s="102" t="n"/>
      <c r="AJ974" s="102" t="n"/>
      <c r="AK974" s="102" t="n"/>
      <c r="AL974" s="102" t="n"/>
      <c r="AM974" s="102" t="n"/>
      <c r="AN974" s="102" t="n"/>
      <c r="AO974" s="102" t="n"/>
      <c r="AP974" s="102" t="n"/>
      <c r="AQ974" s="102" t="n"/>
      <c r="AR974" s="102" t="n"/>
    </row>
    <row r="975">
      <c r="D975" s="102" t="n"/>
      <c r="E975" s="102" t="n"/>
      <c r="F975" s="102" t="n"/>
      <c r="G975" s="102" t="n"/>
      <c r="H975" s="102" t="n"/>
      <c r="I975" s="102" t="n"/>
      <c r="J975" s="102" t="n"/>
      <c r="K975" s="102" t="n"/>
      <c r="L975" s="102" t="n"/>
      <c r="M975" s="102" t="n"/>
      <c r="N975" s="102" t="n"/>
      <c r="O975" s="102" t="n"/>
      <c r="P975" s="102" t="n"/>
      <c r="Q975" s="102" t="n"/>
      <c r="R975" s="102" t="n"/>
      <c r="S975" s="102" t="n"/>
      <c r="T975" s="102" t="n"/>
      <c r="U975" s="102" t="n"/>
      <c r="V975" s="102" t="n"/>
      <c r="W975" s="102" t="n"/>
      <c r="X975" s="102" t="n"/>
      <c r="Y975" s="102" t="n"/>
      <c r="Z975" s="102" t="n"/>
      <c r="AA975" s="102" t="n"/>
      <c r="AB975" s="102" t="n"/>
      <c r="AC975" s="102" t="n"/>
      <c r="AD975" s="102" t="n"/>
      <c r="AE975" s="102" t="n"/>
      <c r="AF975" s="102" t="n"/>
      <c r="AG975" s="102" t="n"/>
      <c r="AH975" s="102" t="n"/>
      <c r="AI975" s="102" t="n"/>
      <c r="AJ975" s="102" t="n"/>
      <c r="AK975" s="102" t="n"/>
      <c r="AL975" s="102" t="n"/>
      <c r="AM975" s="102" t="n"/>
      <c r="AN975" s="102" t="n"/>
      <c r="AO975" s="102" t="n"/>
      <c r="AP975" s="102" t="n"/>
      <c r="AQ975" s="102" t="n"/>
      <c r="AR975" s="102" t="n"/>
    </row>
    <row r="976">
      <c r="D976" s="103" t="n"/>
      <c r="E976" s="103" t="n"/>
      <c r="F976" s="103" t="n"/>
      <c r="G976" s="103" t="n"/>
      <c r="H976" s="103" t="n"/>
      <c r="I976" s="103" t="n"/>
      <c r="J976" s="103" t="n"/>
      <c r="K976" s="103" t="n"/>
      <c r="L976" s="103" t="n"/>
      <c r="M976" s="103" t="n"/>
      <c r="N976" s="103" t="n"/>
      <c r="O976" s="103" t="n"/>
      <c r="P976" s="103" t="n"/>
      <c r="Q976" s="103" t="n"/>
      <c r="R976" s="103" t="n"/>
      <c r="S976" s="103" t="n"/>
      <c r="T976" s="103" t="n"/>
      <c r="U976" s="103" t="n"/>
      <c r="V976" s="103" t="n"/>
      <c r="W976" s="103" t="n"/>
      <c r="X976" s="103" t="n"/>
      <c r="Y976" s="103" t="n"/>
      <c r="Z976" s="103" t="n"/>
      <c r="AA976" s="103" t="n"/>
      <c r="AB976" s="103" t="n"/>
      <c r="AC976" s="103" t="n"/>
      <c r="AD976" s="103" t="n"/>
      <c r="AE976" s="103" t="n"/>
      <c r="AF976" s="103" t="n"/>
      <c r="AG976" s="103" t="n"/>
      <c r="AH976" s="103" t="n"/>
      <c r="AI976" s="103" t="n"/>
      <c r="AJ976" s="103" t="n"/>
      <c r="AK976" s="103" t="n"/>
      <c r="AL976" s="103" t="n"/>
      <c r="AM976" s="103" t="n"/>
      <c r="AN976" s="103" t="n"/>
      <c r="AO976" s="103" t="n"/>
      <c r="AP976" s="103" t="n"/>
      <c r="AQ976" s="103" t="n"/>
      <c r="AR976" s="103" t="n"/>
    </row>
    <row r="978">
      <c r="A978" s="8">
        <f>IF(HSI!$C$95="","",HSI!$C$95)</f>
        <v/>
      </c>
      <c r="B978" s="99">
        <f>IF($A978="",0,COUNT($E979:$AR979))</f>
        <v/>
      </c>
      <c r="C978" s="100">
        <f>IF($B978=0,0,MAX($E979:$AR979))</f>
        <v/>
      </c>
      <c r="D978" s="101">
        <f>BDS($A978,FLD_HIST,"headers=y","startcol=1","endcol=7","dir=h","DVD_START_DT",HIST_FROM,"DVD_END_DT",HIST_TO)</f>
        <v/>
      </c>
      <c r="E978" s="102" t="n"/>
      <c r="F978" s="102" t="n"/>
      <c r="G978" s="102" t="n"/>
      <c r="H978" s="102" t="n"/>
      <c r="I978" s="102" t="n"/>
      <c r="J978" s="102" t="n"/>
      <c r="K978" s="102" t="n"/>
      <c r="L978" s="102" t="n"/>
      <c r="M978" s="102" t="n"/>
      <c r="N978" s="102" t="n"/>
      <c r="O978" s="102" t="n"/>
      <c r="P978" s="102" t="n"/>
      <c r="Q978" s="102" t="n"/>
      <c r="R978" s="102" t="n"/>
      <c r="S978" s="102" t="n"/>
      <c r="T978" s="102" t="n"/>
      <c r="U978" s="102" t="n"/>
      <c r="V978" s="102" t="n"/>
      <c r="W978" s="102" t="n"/>
      <c r="X978" s="102" t="n"/>
      <c r="Y978" s="102" t="n"/>
      <c r="Z978" s="102" t="n"/>
      <c r="AA978" s="102" t="n"/>
      <c r="AB978" s="102" t="n"/>
      <c r="AC978" s="102" t="n"/>
      <c r="AD978" s="102" t="n"/>
      <c r="AE978" s="102" t="n"/>
      <c r="AF978" s="102" t="n"/>
      <c r="AG978" s="102" t="n"/>
      <c r="AH978" s="102" t="n"/>
      <c r="AI978" s="102" t="n"/>
      <c r="AJ978" s="102" t="n"/>
      <c r="AK978" s="102" t="n"/>
      <c r="AL978" s="102" t="n"/>
      <c r="AM978" s="102" t="n"/>
      <c r="AN978" s="102" t="n"/>
      <c r="AO978" s="102" t="n"/>
      <c r="AP978" s="102" t="n"/>
      <c r="AQ978" s="102" t="n"/>
      <c r="AR978" s="102" t="n"/>
    </row>
    <row r="979">
      <c r="D979" s="102" t="n"/>
      <c r="E979" s="102" t="n"/>
      <c r="F979" s="102" t="n"/>
      <c r="G979" s="102" t="n"/>
      <c r="H979" s="102" t="n"/>
      <c r="I979" s="102" t="n"/>
      <c r="J979" s="102" t="n"/>
      <c r="K979" s="102" t="n"/>
      <c r="L979" s="102" t="n"/>
      <c r="M979" s="102" t="n"/>
      <c r="N979" s="102" t="n"/>
      <c r="O979" s="102" t="n"/>
      <c r="P979" s="102" t="n"/>
      <c r="Q979" s="102" t="n"/>
      <c r="R979" s="102" t="n"/>
      <c r="S979" s="102" t="n"/>
      <c r="T979" s="102" t="n"/>
      <c r="U979" s="102" t="n"/>
      <c r="V979" s="102" t="n"/>
      <c r="W979" s="102" t="n"/>
      <c r="X979" s="102" t="n"/>
      <c r="Y979" s="102" t="n"/>
      <c r="Z979" s="102" t="n"/>
      <c r="AA979" s="102" t="n"/>
      <c r="AB979" s="102" t="n"/>
      <c r="AC979" s="102" t="n"/>
      <c r="AD979" s="102" t="n"/>
      <c r="AE979" s="102" t="n"/>
      <c r="AF979" s="102" t="n"/>
      <c r="AG979" s="102" t="n"/>
      <c r="AH979" s="102" t="n"/>
      <c r="AI979" s="102" t="n"/>
      <c r="AJ979" s="102" t="n"/>
      <c r="AK979" s="102" t="n"/>
      <c r="AL979" s="102" t="n"/>
      <c r="AM979" s="102" t="n"/>
      <c r="AN979" s="102" t="n"/>
      <c r="AO979" s="102" t="n"/>
      <c r="AP979" s="102" t="n"/>
      <c r="AQ979" s="102" t="n"/>
      <c r="AR979" s="102" t="n"/>
    </row>
    <row r="980">
      <c r="D980" s="102" t="n"/>
      <c r="E980" s="102" t="n"/>
      <c r="F980" s="102" t="n"/>
      <c r="G980" s="102" t="n"/>
      <c r="H980" s="102" t="n"/>
      <c r="I980" s="102" t="n"/>
      <c r="J980" s="102" t="n"/>
      <c r="K980" s="102" t="n"/>
      <c r="L980" s="102" t="n"/>
      <c r="M980" s="102" t="n"/>
      <c r="N980" s="102" t="n"/>
      <c r="O980" s="102" t="n"/>
      <c r="P980" s="102" t="n"/>
      <c r="Q980" s="102" t="n"/>
      <c r="R980" s="102" t="n"/>
      <c r="S980" s="102" t="n"/>
      <c r="T980" s="102" t="n"/>
      <c r="U980" s="102" t="n"/>
      <c r="V980" s="102" t="n"/>
      <c r="W980" s="102" t="n"/>
      <c r="X980" s="102" t="n"/>
      <c r="Y980" s="102" t="n"/>
      <c r="Z980" s="102" t="n"/>
      <c r="AA980" s="102" t="n"/>
      <c r="AB980" s="102" t="n"/>
      <c r="AC980" s="102" t="n"/>
      <c r="AD980" s="102" t="n"/>
      <c r="AE980" s="102" t="n"/>
      <c r="AF980" s="102" t="n"/>
      <c r="AG980" s="102" t="n"/>
      <c r="AH980" s="102" t="n"/>
      <c r="AI980" s="102" t="n"/>
      <c r="AJ980" s="102" t="n"/>
      <c r="AK980" s="102" t="n"/>
      <c r="AL980" s="102" t="n"/>
      <c r="AM980" s="102" t="n"/>
      <c r="AN980" s="102" t="n"/>
      <c r="AO980" s="102" t="n"/>
      <c r="AP980" s="102" t="n"/>
      <c r="AQ980" s="102" t="n"/>
      <c r="AR980" s="102" t="n"/>
    </row>
    <row r="981">
      <c r="D981" s="102" t="n"/>
      <c r="E981" s="102" t="n"/>
      <c r="F981" s="102" t="n"/>
      <c r="G981" s="102" t="n"/>
      <c r="H981" s="102" t="n"/>
      <c r="I981" s="102" t="n"/>
      <c r="J981" s="102" t="n"/>
      <c r="K981" s="102" t="n"/>
      <c r="L981" s="102" t="n"/>
      <c r="M981" s="102" t="n"/>
      <c r="N981" s="102" t="n"/>
      <c r="O981" s="102" t="n"/>
      <c r="P981" s="102" t="n"/>
      <c r="Q981" s="102" t="n"/>
      <c r="R981" s="102" t="n"/>
      <c r="S981" s="102" t="n"/>
      <c r="T981" s="102" t="n"/>
      <c r="U981" s="102" t="n"/>
      <c r="V981" s="102" t="n"/>
      <c r="W981" s="102" t="n"/>
      <c r="X981" s="102" t="n"/>
      <c r="Y981" s="102" t="n"/>
      <c r="Z981" s="102" t="n"/>
      <c r="AA981" s="102" t="n"/>
      <c r="AB981" s="102" t="n"/>
      <c r="AC981" s="102" t="n"/>
      <c r="AD981" s="102" t="n"/>
      <c r="AE981" s="102" t="n"/>
      <c r="AF981" s="102" t="n"/>
      <c r="AG981" s="102" t="n"/>
      <c r="AH981" s="102" t="n"/>
      <c r="AI981" s="102" t="n"/>
      <c r="AJ981" s="102" t="n"/>
      <c r="AK981" s="102" t="n"/>
      <c r="AL981" s="102" t="n"/>
      <c r="AM981" s="102" t="n"/>
      <c r="AN981" s="102" t="n"/>
      <c r="AO981" s="102" t="n"/>
      <c r="AP981" s="102" t="n"/>
      <c r="AQ981" s="102" t="n"/>
      <c r="AR981" s="102" t="n"/>
    </row>
    <row r="982">
      <c r="D982" s="103" t="n"/>
      <c r="E982" s="103" t="n"/>
      <c r="F982" s="103" t="n"/>
      <c r="G982" s="103" t="n"/>
      <c r="H982" s="103" t="n"/>
      <c r="I982" s="103" t="n"/>
      <c r="J982" s="103" t="n"/>
      <c r="K982" s="103" t="n"/>
      <c r="L982" s="103" t="n"/>
      <c r="M982" s="103" t="n"/>
      <c r="N982" s="103" t="n"/>
      <c r="O982" s="103" t="n"/>
      <c r="P982" s="103" t="n"/>
      <c r="Q982" s="103" t="n"/>
      <c r="R982" s="103" t="n"/>
      <c r="S982" s="103" t="n"/>
      <c r="T982" s="103" t="n"/>
      <c r="U982" s="103" t="n"/>
      <c r="V982" s="103" t="n"/>
      <c r="W982" s="103" t="n"/>
      <c r="X982" s="103" t="n"/>
      <c r="Y982" s="103" t="n"/>
      <c r="Z982" s="103" t="n"/>
      <c r="AA982" s="103" t="n"/>
      <c r="AB982" s="103" t="n"/>
      <c r="AC982" s="103" t="n"/>
      <c r="AD982" s="103" t="n"/>
      <c r="AE982" s="103" t="n"/>
      <c r="AF982" s="103" t="n"/>
      <c r="AG982" s="103" t="n"/>
      <c r="AH982" s="103" t="n"/>
      <c r="AI982" s="103" t="n"/>
      <c r="AJ982" s="103" t="n"/>
      <c r="AK982" s="103" t="n"/>
      <c r="AL982" s="103" t="n"/>
      <c r="AM982" s="103" t="n"/>
      <c r="AN982" s="103" t="n"/>
      <c r="AO982" s="103" t="n"/>
      <c r="AP982" s="103" t="n"/>
      <c r="AQ982" s="103" t="n"/>
      <c r="AR982" s="103" t="n"/>
    </row>
    <row r="985">
      <c r="A985" s="2">
        <f>IF($A978="","","   projections")</f>
        <v/>
      </c>
      <c r="B985" s="99">
        <f>IF($A978="",0,COUNT($E986:$AR986))</f>
        <v/>
      </c>
      <c r="C985" s="100">
        <f>IF($B985=0,0,MAX($E986:$AR986))</f>
        <v/>
      </c>
      <c r="D985" s="101">
        <f>BDS($A978,FLD_PROJ,"headers=y","startcol=1","endcol=3","dir=h")</f>
        <v/>
      </c>
      <c r="E985" s="102" t="n"/>
      <c r="F985" s="102" t="n"/>
      <c r="G985" s="102" t="n"/>
      <c r="H985" s="102" t="n"/>
      <c r="I985" s="102" t="n"/>
      <c r="J985" s="102" t="n"/>
      <c r="K985" s="102" t="n"/>
      <c r="L985" s="102" t="n"/>
      <c r="M985" s="102" t="n"/>
      <c r="N985" s="102" t="n"/>
      <c r="O985" s="102" t="n"/>
      <c r="P985" s="102" t="n"/>
      <c r="Q985" s="102" t="n"/>
      <c r="R985" s="102" t="n"/>
      <c r="S985" s="102" t="n"/>
      <c r="T985" s="102" t="n"/>
      <c r="U985" s="102" t="n"/>
      <c r="V985" s="102" t="n"/>
      <c r="W985" s="102" t="n"/>
      <c r="X985" s="102" t="n"/>
      <c r="Y985" s="102" t="n"/>
      <c r="Z985" s="102" t="n"/>
      <c r="AA985" s="102" t="n"/>
      <c r="AB985" s="102" t="n"/>
      <c r="AC985" s="102" t="n"/>
      <c r="AD985" s="102" t="n"/>
      <c r="AE985" s="102" t="n"/>
      <c r="AF985" s="102" t="n"/>
      <c r="AG985" s="102" t="n"/>
      <c r="AH985" s="102" t="n"/>
      <c r="AI985" s="102" t="n"/>
      <c r="AJ985" s="102" t="n"/>
      <c r="AK985" s="102" t="n"/>
      <c r="AL985" s="102" t="n"/>
      <c r="AM985" s="102" t="n"/>
      <c r="AN985" s="102" t="n"/>
      <c r="AO985" s="102" t="n"/>
      <c r="AP985" s="102" t="n"/>
      <c r="AQ985" s="102" t="n"/>
      <c r="AR985" s="102" t="n"/>
    </row>
    <row r="986">
      <c r="D986" s="102" t="n"/>
      <c r="E986" s="102" t="n"/>
      <c r="F986" s="102" t="n"/>
      <c r="G986" s="102" t="n"/>
      <c r="H986" s="102" t="n"/>
      <c r="I986" s="102" t="n"/>
      <c r="J986" s="102" t="n"/>
      <c r="K986" s="102" t="n"/>
      <c r="L986" s="102" t="n"/>
      <c r="M986" s="102" t="n"/>
      <c r="N986" s="102" t="n"/>
      <c r="O986" s="102" t="n"/>
      <c r="P986" s="102" t="n"/>
      <c r="Q986" s="102" t="n"/>
      <c r="R986" s="102" t="n"/>
      <c r="S986" s="102" t="n"/>
      <c r="T986" s="102" t="n"/>
      <c r="U986" s="102" t="n"/>
      <c r="V986" s="102" t="n"/>
      <c r="W986" s="102" t="n"/>
      <c r="X986" s="102" t="n"/>
      <c r="Y986" s="102" t="n"/>
      <c r="Z986" s="102" t="n"/>
      <c r="AA986" s="102" t="n"/>
      <c r="AB986" s="102" t="n"/>
      <c r="AC986" s="102" t="n"/>
      <c r="AD986" s="102" t="n"/>
      <c r="AE986" s="102" t="n"/>
      <c r="AF986" s="102" t="n"/>
      <c r="AG986" s="102" t="n"/>
      <c r="AH986" s="102" t="n"/>
      <c r="AI986" s="102" t="n"/>
      <c r="AJ986" s="102" t="n"/>
      <c r="AK986" s="102" t="n"/>
      <c r="AL986" s="102" t="n"/>
      <c r="AM986" s="102" t="n"/>
      <c r="AN986" s="102" t="n"/>
      <c r="AO986" s="102" t="n"/>
      <c r="AP986" s="102" t="n"/>
      <c r="AQ986" s="102" t="n"/>
      <c r="AR986" s="102" t="n"/>
    </row>
    <row r="987">
      <c r="D987" s="103" t="n"/>
      <c r="E987" s="103" t="n"/>
      <c r="F987" s="103" t="n"/>
      <c r="G987" s="103" t="n"/>
      <c r="H987" s="103" t="n"/>
      <c r="I987" s="103" t="n"/>
      <c r="J987" s="103" t="n"/>
      <c r="K987" s="103" t="n"/>
      <c r="L987" s="103" t="n"/>
      <c r="M987" s="103" t="n"/>
      <c r="N987" s="103" t="n"/>
      <c r="O987" s="103" t="n"/>
      <c r="P987" s="103" t="n"/>
      <c r="Q987" s="103" t="n"/>
      <c r="R987" s="103" t="n"/>
      <c r="S987" s="103" t="n"/>
      <c r="T987" s="103" t="n"/>
      <c r="U987" s="103" t="n"/>
      <c r="V987" s="103" t="n"/>
      <c r="W987" s="103" t="n"/>
      <c r="X987" s="103" t="n"/>
      <c r="Y987" s="103" t="n"/>
      <c r="Z987" s="103" t="n"/>
      <c r="AA987" s="103" t="n"/>
      <c r="AB987" s="103" t="n"/>
      <c r="AC987" s="103" t="n"/>
      <c r="AD987" s="103" t="n"/>
      <c r="AE987" s="103" t="n"/>
      <c r="AF987" s="103" t="n"/>
      <c r="AG987" s="103" t="n"/>
      <c r="AH987" s="103" t="n"/>
      <c r="AI987" s="103" t="n"/>
      <c r="AJ987" s="103" t="n"/>
      <c r="AK987" s="103" t="n"/>
      <c r="AL987" s="103" t="n"/>
      <c r="AM987" s="103" t="n"/>
      <c r="AN987" s="103" t="n"/>
      <c r="AO987" s="103" t="n"/>
      <c r="AP987" s="103" t="n"/>
      <c r="AQ987" s="103" t="n"/>
      <c r="AR987" s="103" t="n"/>
    </row>
    <row r="989">
      <c r="A989" s="8">
        <f>IF(HSI!$C$96="","",HSI!$C$96)</f>
        <v/>
      </c>
      <c r="B989" s="99">
        <f>IF($A989="",0,COUNT($E990:$AR990))</f>
        <v/>
      </c>
      <c r="C989" s="100">
        <f>IF($B989=0,0,MAX($E990:$AR990))</f>
        <v/>
      </c>
      <c r="D989" s="101">
        <f>BDS($A989,FLD_HIST,"headers=y","startcol=1","endcol=7","dir=h","DVD_START_DT",HIST_FROM,"DVD_END_DT",HIST_TO)</f>
        <v/>
      </c>
      <c r="E989" s="102" t="n"/>
      <c r="F989" s="102" t="n"/>
      <c r="G989" s="102" t="n"/>
      <c r="H989" s="102" t="n"/>
      <c r="I989" s="102" t="n"/>
      <c r="J989" s="102" t="n"/>
      <c r="K989" s="102" t="n"/>
      <c r="L989" s="102" t="n"/>
      <c r="M989" s="102" t="n"/>
      <c r="N989" s="102" t="n"/>
      <c r="O989" s="102" t="n"/>
      <c r="P989" s="102" t="n"/>
      <c r="Q989" s="102" t="n"/>
      <c r="R989" s="102" t="n"/>
      <c r="S989" s="102" t="n"/>
      <c r="T989" s="102" t="n"/>
      <c r="U989" s="102" t="n"/>
      <c r="V989" s="102" t="n"/>
      <c r="W989" s="102" t="n"/>
      <c r="X989" s="102" t="n"/>
      <c r="Y989" s="102" t="n"/>
      <c r="Z989" s="102" t="n"/>
      <c r="AA989" s="102" t="n"/>
      <c r="AB989" s="102" t="n"/>
      <c r="AC989" s="102" t="n"/>
      <c r="AD989" s="102" t="n"/>
      <c r="AE989" s="102" t="n"/>
      <c r="AF989" s="102" t="n"/>
      <c r="AG989" s="102" t="n"/>
      <c r="AH989" s="102" t="n"/>
      <c r="AI989" s="102" t="n"/>
      <c r="AJ989" s="102" t="n"/>
      <c r="AK989" s="102" t="n"/>
      <c r="AL989" s="102" t="n"/>
      <c r="AM989" s="102" t="n"/>
      <c r="AN989" s="102" t="n"/>
      <c r="AO989" s="102" t="n"/>
      <c r="AP989" s="102" t="n"/>
      <c r="AQ989" s="102" t="n"/>
      <c r="AR989" s="102" t="n"/>
    </row>
    <row r="990">
      <c r="D990" s="102" t="n"/>
      <c r="E990" s="102" t="n"/>
      <c r="F990" s="102" t="n"/>
      <c r="G990" s="102" t="n"/>
      <c r="H990" s="102" t="n"/>
      <c r="I990" s="102" t="n"/>
      <c r="J990" s="102" t="n"/>
      <c r="K990" s="102" t="n"/>
      <c r="L990" s="102" t="n"/>
      <c r="M990" s="102" t="n"/>
      <c r="N990" s="102" t="n"/>
      <c r="O990" s="102" t="n"/>
      <c r="P990" s="102" t="n"/>
      <c r="Q990" s="102" t="n"/>
      <c r="R990" s="102" t="n"/>
      <c r="S990" s="102" t="n"/>
      <c r="T990" s="102" t="n"/>
      <c r="U990" s="102" t="n"/>
      <c r="V990" s="102" t="n"/>
      <c r="W990" s="102" t="n"/>
      <c r="X990" s="102" t="n"/>
      <c r="Y990" s="102" t="n"/>
      <c r="Z990" s="102" t="n"/>
      <c r="AA990" s="102" t="n"/>
      <c r="AB990" s="102" t="n"/>
      <c r="AC990" s="102" t="n"/>
      <c r="AD990" s="102" t="n"/>
      <c r="AE990" s="102" t="n"/>
      <c r="AF990" s="102" t="n"/>
      <c r="AG990" s="102" t="n"/>
      <c r="AH990" s="102" t="n"/>
      <c r="AI990" s="102" t="n"/>
      <c r="AJ990" s="102" t="n"/>
      <c r="AK990" s="102" t="n"/>
      <c r="AL990" s="102" t="n"/>
      <c r="AM990" s="102" t="n"/>
      <c r="AN990" s="102" t="n"/>
      <c r="AO990" s="102" t="n"/>
      <c r="AP990" s="102" t="n"/>
      <c r="AQ990" s="102" t="n"/>
      <c r="AR990" s="102" t="n"/>
    </row>
    <row r="991">
      <c r="D991" s="102" t="n"/>
      <c r="E991" s="102" t="n"/>
      <c r="F991" s="102" t="n"/>
      <c r="G991" s="102" t="n"/>
      <c r="H991" s="102" t="n"/>
      <c r="I991" s="102" t="n"/>
      <c r="J991" s="102" t="n"/>
      <c r="K991" s="102" t="n"/>
      <c r="L991" s="102" t="n"/>
      <c r="M991" s="102" t="n"/>
      <c r="N991" s="102" t="n"/>
      <c r="O991" s="102" t="n"/>
      <c r="P991" s="102" t="n"/>
      <c r="Q991" s="102" t="n"/>
      <c r="R991" s="102" t="n"/>
      <c r="S991" s="102" t="n"/>
      <c r="T991" s="102" t="n"/>
      <c r="U991" s="102" t="n"/>
      <c r="V991" s="102" t="n"/>
      <c r="W991" s="102" t="n"/>
      <c r="X991" s="102" t="n"/>
      <c r="Y991" s="102" t="n"/>
      <c r="Z991" s="102" t="n"/>
      <c r="AA991" s="102" t="n"/>
      <c r="AB991" s="102" t="n"/>
      <c r="AC991" s="102" t="n"/>
      <c r="AD991" s="102" t="n"/>
      <c r="AE991" s="102" t="n"/>
      <c r="AF991" s="102" t="n"/>
      <c r="AG991" s="102" t="n"/>
      <c r="AH991" s="102" t="n"/>
      <c r="AI991" s="102" t="n"/>
      <c r="AJ991" s="102" t="n"/>
      <c r="AK991" s="102" t="n"/>
      <c r="AL991" s="102" t="n"/>
      <c r="AM991" s="102" t="n"/>
      <c r="AN991" s="102" t="n"/>
      <c r="AO991" s="102" t="n"/>
      <c r="AP991" s="102" t="n"/>
      <c r="AQ991" s="102" t="n"/>
      <c r="AR991" s="102" t="n"/>
    </row>
    <row r="992">
      <c r="D992" s="102" t="n"/>
      <c r="E992" s="102" t="n"/>
      <c r="F992" s="102" t="n"/>
      <c r="G992" s="102" t="n"/>
      <c r="H992" s="102" t="n"/>
      <c r="I992" s="102" t="n"/>
      <c r="J992" s="102" t="n"/>
      <c r="K992" s="102" t="n"/>
      <c r="L992" s="102" t="n"/>
      <c r="M992" s="102" t="n"/>
      <c r="N992" s="102" t="n"/>
      <c r="O992" s="102" t="n"/>
      <c r="P992" s="102" t="n"/>
      <c r="Q992" s="102" t="n"/>
      <c r="R992" s="102" t="n"/>
      <c r="S992" s="102" t="n"/>
      <c r="T992" s="102" t="n"/>
      <c r="U992" s="102" t="n"/>
      <c r="V992" s="102" t="n"/>
      <c r="W992" s="102" t="n"/>
      <c r="X992" s="102" t="n"/>
      <c r="Y992" s="102" t="n"/>
      <c r="Z992" s="102" t="n"/>
      <c r="AA992" s="102" t="n"/>
      <c r="AB992" s="102" t="n"/>
      <c r="AC992" s="102" t="n"/>
      <c r="AD992" s="102" t="n"/>
      <c r="AE992" s="102" t="n"/>
      <c r="AF992" s="102" t="n"/>
      <c r="AG992" s="102" t="n"/>
      <c r="AH992" s="102" t="n"/>
      <c r="AI992" s="102" t="n"/>
      <c r="AJ992" s="102" t="n"/>
      <c r="AK992" s="102" t="n"/>
      <c r="AL992" s="102" t="n"/>
      <c r="AM992" s="102" t="n"/>
      <c r="AN992" s="102" t="n"/>
      <c r="AO992" s="102" t="n"/>
      <c r="AP992" s="102" t="n"/>
      <c r="AQ992" s="102" t="n"/>
      <c r="AR992" s="102" t="n"/>
    </row>
    <row r="993">
      <c r="D993" s="103" t="n"/>
      <c r="E993" s="103" t="n"/>
      <c r="F993" s="103" t="n"/>
      <c r="G993" s="103" t="n"/>
      <c r="H993" s="103" t="n"/>
      <c r="I993" s="103" t="n"/>
      <c r="J993" s="103" t="n"/>
      <c r="K993" s="103" t="n"/>
      <c r="L993" s="103" t="n"/>
      <c r="M993" s="103" t="n"/>
      <c r="N993" s="103" t="n"/>
      <c r="O993" s="103" t="n"/>
      <c r="P993" s="103" t="n"/>
      <c r="Q993" s="103" t="n"/>
      <c r="R993" s="103" t="n"/>
      <c r="S993" s="103" t="n"/>
      <c r="T993" s="103" t="n"/>
      <c r="U993" s="103" t="n"/>
      <c r="V993" s="103" t="n"/>
      <c r="W993" s="103" t="n"/>
      <c r="X993" s="103" t="n"/>
      <c r="Y993" s="103" t="n"/>
      <c r="Z993" s="103" t="n"/>
      <c r="AA993" s="103" t="n"/>
      <c r="AB993" s="103" t="n"/>
      <c r="AC993" s="103" t="n"/>
      <c r="AD993" s="103" t="n"/>
      <c r="AE993" s="103" t="n"/>
      <c r="AF993" s="103" t="n"/>
      <c r="AG993" s="103" t="n"/>
      <c r="AH993" s="103" t="n"/>
      <c r="AI993" s="103" t="n"/>
      <c r="AJ993" s="103" t="n"/>
      <c r="AK993" s="103" t="n"/>
      <c r="AL993" s="103" t="n"/>
      <c r="AM993" s="103" t="n"/>
      <c r="AN993" s="103" t="n"/>
      <c r="AO993" s="103" t="n"/>
      <c r="AP993" s="103" t="n"/>
      <c r="AQ993" s="103" t="n"/>
      <c r="AR993" s="103" t="n"/>
    </row>
    <row r="996">
      <c r="A996" s="2">
        <f>IF($A989="","","   projections")</f>
        <v/>
      </c>
      <c r="B996" s="99">
        <f>IF($A989="",0,COUNT($E997:$AR997))</f>
        <v/>
      </c>
      <c r="C996" s="100">
        <f>IF($B996=0,0,MAX($E997:$AR997))</f>
        <v/>
      </c>
      <c r="D996" s="101">
        <f>BDS($A989,FLD_PROJ,"headers=y","startcol=1","endcol=3","dir=h")</f>
        <v/>
      </c>
      <c r="E996" s="102" t="n"/>
      <c r="F996" s="102" t="n"/>
      <c r="G996" s="102" t="n"/>
      <c r="H996" s="102" t="n"/>
      <c r="I996" s="102" t="n"/>
      <c r="J996" s="102" t="n"/>
      <c r="K996" s="102" t="n"/>
      <c r="L996" s="102" t="n"/>
      <c r="M996" s="102" t="n"/>
      <c r="N996" s="102" t="n"/>
      <c r="O996" s="102" t="n"/>
      <c r="P996" s="102" t="n"/>
      <c r="Q996" s="102" t="n"/>
      <c r="R996" s="102" t="n"/>
      <c r="S996" s="102" t="n"/>
      <c r="T996" s="102" t="n"/>
      <c r="U996" s="102" t="n"/>
      <c r="V996" s="102" t="n"/>
      <c r="W996" s="102" t="n"/>
      <c r="X996" s="102" t="n"/>
      <c r="Y996" s="102" t="n"/>
      <c r="Z996" s="102" t="n"/>
      <c r="AA996" s="102" t="n"/>
      <c r="AB996" s="102" t="n"/>
      <c r="AC996" s="102" t="n"/>
      <c r="AD996" s="102" t="n"/>
      <c r="AE996" s="102" t="n"/>
      <c r="AF996" s="102" t="n"/>
      <c r="AG996" s="102" t="n"/>
      <c r="AH996" s="102" t="n"/>
      <c r="AI996" s="102" t="n"/>
      <c r="AJ996" s="102" t="n"/>
      <c r="AK996" s="102" t="n"/>
      <c r="AL996" s="102" t="n"/>
      <c r="AM996" s="102" t="n"/>
      <c r="AN996" s="102" t="n"/>
      <c r="AO996" s="102" t="n"/>
      <c r="AP996" s="102" t="n"/>
      <c r="AQ996" s="102" t="n"/>
      <c r="AR996" s="102" t="n"/>
    </row>
    <row r="997">
      <c r="D997" s="102" t="n"/>
      <c r="E997" s="102" t="n"/>
      <c r="F997" s="102" t="n"/>
      <c r="G997" s="102" t="n"/>
      <c r="H997" s="102" t="n"/>
      <c r="I997" s="102" t="n"/>
      <c r="J997" s="102" t="n"/>
      <c r="K997" s="102" t="n"/>
      <c r="L997" s="102" t="n"/>
      <c r="M997" s="102" t="n"/>
      <c r="N997" s="102" t="n"/>
      <c r="O997" s="102" t="n"/>
      <c r="P997" s="102" t="n"/>
      <c r="Q997" s="102" t="n"/>
      <c r="R997" s="102" t="n"/>
      <c r="S997" s="102" t="n"/>
      <c r="T997" s="102" t="n"/>
      <c r="U997" s="102" t="n"/>
      <c r="V997" s="102" t="n"/>
      <c r="W997" s="102" t="n"/>
      <c r="X997" s="102" t="n"/>
      <c r="Y997" s="102" t="n"/>
      <c r="Z997" s="102" t="n"/>
      <c r="AA997" s="102" t="n"/>
      <c r="AB997" s="102" t="n"/>
      <c r="AC997" s="102" t="n"/>
      <c r="AD997" s="102" t="n"/>
      <c r="AE997" s="102" t="n"/>
      <c r="AF997" s="102" t="n"/>
      <c r="AG997" s="102" t="n"/>
      <c r="AH997" s="102" t="n"/>
      <c r="AI997" s="102" t="n"/>
      <c r="AJ997" s="102" t="n"/>
      <c r="AK997" s="102" t="n"/>
      <c r="AL997" s="102" t="n"/>
      <c r="AM997" s="102" t="n"/>
      <c r="AN997" s="102" t="n"/>
      <c r="AO997" s="102" t="n"/>
      <c r="AP997" s="102" t="n"/>
      <c r="AQ997" s="102" t="n"/>
      <c r="AR997" s="102" t="n"/>
    </row>
    <row r="998">
      <c r="D998" s="103" t="n"/>
      <c r="E998" s="103" t="n"/>
      <c r="F998" s="103" t="n"/>
      <c r="G998" s="103" t="n"/>
      <c r="H998" s="103" t="n"/>
      <c r="I998" s="103" t="n"/>
      <c r="J998" s="103" t="n"/>
      <c r="K998" s="103" t="n"/>
      <c r="L998" s="103" t="n"/>
      <c r="M998" s="103" t="n"/>
      <c r="N998" s="103" t="n"/>
      <c r="O998" s="103" t="n"/>
      <c r="P998" s="103" t="n"/>
      <c r="Q998" s="103" t="n"/>
      <c r="R998" s="103" t="n"/>
      <c r="S998" s="103" t="n"/>
      <c r="T998" s="103" t="n"/>
      <c r="U998" s="103" t="n"/>
      <c r="V998" s="103" t="n"/>
      <c r="W998" s="103" t="n"/>
      <c r="X998" s="103" t="n"/>
      <c r="Y998" s="103" t="n"/>
      <c r="Z998" s="103" t="n"/>
      <c r="AA998" s="103" t="n"/>
      <c r="AB998" s="103" t="n"/>
      <c r="AC998" s="103" t="n"/>
      <c r="AD998" s="103" t="n"/>
      <c r="AE998" s="103" t="n"/>
      <c r="AF998" s="103" t="n"/>
      <c r="AG998" s="103" t="n"/>
      <c r="AH998" s="103" t="n"/>
      <c r="AI998" s="103" t="n"/>
      <c r="AJ998" s="103" t="n"/>
      <c r="AK998" s="103" t="n"/>
      <c r="AL998" s="103" t="n"/>
      <c r="AM998" s="103" t="n"/>
      <c r="AN998" s="103" t="n"/>
      <c r="AO998" s="103" t="n"/>
      <c r="AP998" s="103" t="n"/>
      <c r="AQ998" s="103" t="n"/>
      <c r="AR998" s="103" t="n"/>
    </row>
    <row r="1000">
      <c r="A1000" s="8">
        <f>IF(HSI!$C$97="","",HSI!$C$97)</f>
        <v/>
      </c>
      <c r="B1000" s="99">
        <f>IF($A1000="",0,COUNT($E1001:$AR1001))</f>
        <v/>
      </c>
      <c r="C1000" s="100">
        <f>IF($B1000=0,0,MAX($E1001:$AR1001))</f>
        <v/>
      </c>
      <c r="D1000" s="101">
        <f>BDS($A1000,FLD_HIST,"headers=y","startcol=1","endcol=7","dir=h","DVD_START_DT",HIST_FROM,"DVD_END_DT",HIST_TO)</f>
        <v/>
      </c>
      <c r="E1000" s="102" t="n"/>
      <c r="F1000" s="102" t="n"/>
      <c r="G1000" s="102" t="n"/>
      <c r="H1000" s="102" t="n"/>
      <c r="I1000" s="102" t="n"/>
      <c r="J1000" s="102" t="n"/>
      <c r="K1000" s="102" t="n"/>
      <c r="L1000" s="102" t="n"/>
      <c r="M1000" s="102" t="n"/>
      <c r="N1000" s="102" t="n"/>
      <c r="O1000" s="102" t="n"/>
      <c r="P1000" s="102" t="n"/>
      <c r="Q1000" s="102" t="n"/>
      <c r="R1000" s="102" t="n"/>
      <c r="S1000" s="102" t="n"/>
      <c r="T1000" s="102" t="n"/>
      <c r="U1000" s="102" t="n"/>
      <c r="V1000" s="102" t="n"/>
      <c r="W1000" s="102" t="n"/>
      <c r="X1000" s="102" t="n"/>
      <c r="Y1000" s="102" t="n"/>
      <c r="Z1000" s="102" t="n"/>
      <c r="AA1000" s="102" t="n"/>
      <c r="AB1000" s="102" t="n"/>
      <c r="AC1000" s="102" t="n"/>
      <c r="AD1000" s="102" t="n"/>
      <c r="AE1000" s="102" t="n"/>
      <c r="AF1000" s="102" t="n"/>
      <c r="AG1000" s="102" t="n"/>
      <c r="AH1000" s="102" t="n"/>
      <c r="AI1000" s="102" t="n"/>
      <c r="AJ1000" s="102" t="n"/>
      <c r="AK1000" s="102" t="n"/>
      <c r="AL1000" s="102" t="n"/>
      <c r="AM1000" s="102" t="n"/>
      <c r="AN1000" s="102" t="n"/>
      <c r="AO1000" s="102" t="n"/>
      <c r="AP1000" s="102" t="n"/>
      <c r="AQ1000" s="102" t="n"/>
      <c r="AR1000" s="102" t="n"/>
    </row>
    <row r="1001">
      <c r="D1001" s="102" t="n"/>
      <c r="E1001" s="102" t="n"/>
      <c r="F1001" s="102" t="n"/>
      <c r="G1001" s="102" t="n"/>
      <c r="H1001" s="102" t="n"/>
      <c r="I1001" s="102" t="n"/>
      <c r="J1001" s="102" t="n"/>
      <c r="K1001" s="102" t="n"/>
      <c r="L1001" s="102" t="n"/>
      <c r="M1001" s="102" t="n"/>
      <c r="N1001" s="102" t="n"/>
      <c r="O1001" s="102" t="n"/>
      <c r="P1001" s="102" t="n"/>
      <c r="Q1001" s="102" t="n"/>
      <c r="R1001" s="102" t="n"/>
      <c r="S1001" s="102" t="n"/>
      <c r="T1001" s="102" t="n"/>
      <c r="U1001" s="102" t="n"/>
      <c r="V1001" s="102" t="n"/>
      <c r="W1001" s="102" t="n"/>
      <c r="X1001" s="102" t="n"/>
      <c r="Y1001" s="102" t="n"/>
      <c r="Z1001" s="102" t="n"/>
      <c r="AA1001" s="102" t="n"/>
      <c r="AB1001" s="102" t="n"/>
      <c r="AC1001" s="102" t="n"/>
      <c r="AD1001" s="102" t="n"/>
      <c r="AE1001" s="102" t="n"/>
      <c r="AF1001" s="102" t="n"/>
      <c r="AG1001" s="102" t="n"/>
      <c r="AH1001" s="102" t="n"/>
      <c r="AI1001" s="102" t="n"/>
      <c r="AJ1001" s="102" t="n"/>
      <c r="AK1001" s="102" t="n"/>
      <c r="AL1001" s="102" t="n"/>
      <c r="AM1001" s="102" t="n"/>
      <c r="AN1001" s="102" t="n"/>
      <c r="AO1001" s="102" t="n"/>
      <c r="AP1001" s="102" t="n"/>
      <c r="AQ1001" s="102" t="n"/>
      <c r="AR1001" s="102" t="n"/>
    </row>
    <row r="1002">
      <c r="D1002" s="102" t="n"/>
      <c r="E1002" s="102" t="n"/>
      <c r="F1002" s="102" t="n"/>
      <c r="G1002" s="102" t="n"/>
      <c r="H1002" s="102" t="n"/>
      <c r="I1002" s="102" t="n"/>
      <c r="J1002" s="102" t="n"/>
      <c r="K1002" s="102" t="n"/>
      <c r="L1002" s="102" t="n"/>
      <c r="M1002" s="102" t="n"/>
      <c r="N1002" s="102" t="n"/>
      <c r="O1002" s="102" t="n"/>
      <c r="P1002" s="102" t="n"/>
      <c r="Q1002" s="102" t="n"/>
      <c r="R1002" s="102" t="n"/>
      <c r="S1002" s="102" t="n"/>
      <c r="T1002" s="102" t="n"/>
      <c r="U1002" s="102" t="n"/>
      <c r="V1002" s="102" t="n"/>
      <c r="W1002" s="102" t="n"/>
      <c r="X1002" s="102" t="n"/>
      <c r="Y1002" s="102" t="n"/>
      <c r="Z1002" s="102" t="n"/>
      <c r="AA1002" s="102" t="n"/>
      <c r="AB1002" s="102" t="n"/>
      <c r="AC1002" s="102" t="n"/>
      <c r="AD1002" s="102" t="n"/>
      <c r="AE1002" s="102" t="n"/>
      <c r="AF1002" s="102" t="n"/>
      <c r="AG1002" s="102" t="n"/>
      <c r="AH1002" s="102" t="n"/>
      <c r="AI1002" s="102" t="n"/>
      <c r="AJ1002" s="102" t="n"/>
      <c r="AK1002" s="102" t="n"/>
      <c r="AL1002" s="102" t="n"/>
      <c r="AM1002" s="102" t="n"/>
      <c r="AN1002" s="102" t="n"/>
      <c r="AO1002" s="102" t="n"/>
      <c r="AP1002" s="102" t="n"/>
      <c r="AQ1002" s="102" t="n"/>
      <c r="AR1002" s="102" t="n"/>
    </row>
    <row r="1003">
      <c r="D1003" s="102" t="n"/>
      <c r="E1003" s="102" t="n"/>
      <c r="F1003" s="102" t="n"/>
      <c r="G1003" s="102" t="n"/>
      <c r="H1003" s="102" t="n"/>
      <c r="I1003" s="102" t="n"/>
      <c r="J1003" s="102" t="n"/>
      <c r="K1003" s="102" t="n"/>
      <c r="L1003" s="102" t="n"/>
      <c r="M1003" s="102" t="n"/>
      <c r="N1003" s="102" t="n"/>
      <c r="O1003" s="102" t="n"/>
      <c r="P1003" s="102" t="n"/>
      <c r="Q1003" s="102" t="n"/>
      <c r="R1003" s="102" t="n"/>
      <c r="S1003" s="102" t="n"/>
      <c r="T1003" s="102" t="n"/>
      <c r="U1003" s="102" t="n"/>
      <c r="V1003" s="102" t="n"/>
      <c r="W1003" s="102" t="n"/>
      <c r="X1003" s="102" t="n"/>
      <c r="Y1003" s="102" t="n"/>
      <c r="Z1003" s="102" t="n"/>
      <c r="AA1003" s="102" t="n"/>
      <c r="AB1003" s="102" t="n"/>
      <c r="AC1003" s="102" t="n"/>
      <c r="AD1003" s="102" t="n"/>
      <c r="AE1003" s="102" t="n"/>
      <c r="AF1003" s="102" t="n"/>
      <c r="AG1003" s="102" t="n"/>
      <c r="AH1003" s="102" t="n"/>
      <c r="AI1003" s="102" t="n"/>
      <c r="AJ1003" s="102" t="n"/>
      <c r="AK1003" s="102" t="n"/>
      <c r="AL1003" s="102" t="n"/>
      <c r="AM1003" s="102" t="n"/>
      <c r="AN1003" s="102" t="n"/>
      <c r="AO1003" s="102" t="n"/>
      <c r="AP1003" s="102" t="n"/>
      <c r="AQ1003" s="102" t="n"/>
      <c r="AR1003" s="102" t="n"/>
    </row>
    <row r="1004">
      <c r="D1004" s="103" t="n"/>
      <c r="E1004" s="103" t="n"/>
      <c r="F1004" s="103" t="n"/>
      <c r="G1004" s="103" t="n"/>
      <c r="H1004" s="103" t="n"/>
      <c r="I1004" s="103" t="n"/>
      <c r="J1004" s="103" t="n"/>
      <c r="K1004" s="103" t="n"/>
      <c r="L1004" s="103" t="n"/>
      <c r="M1004" s="103" t="n"/>
      <c r="N1004" s="103" t="n"/>
      <c r="O1004" s="103" t="n"/>
      <c r="P1004" s="103" t="n"/>
      <c r="Q1004" s="103" t="n"/>
      <c r="R1004" s="103" t="n"/>
      <c r="S1004" s="103" t="n"/>
      <c r="T1004" s="103" t="n"/>
      <c r="U1004" s="103" t="n"/>
      <c r="V1004" s="103" t="n"/>
      <c r="W1004" s="103" t="n"/>
      <c r="X1004" s="103" t="n"/>
      <c r="Y1004" s="103" t="n"/>
      <c r="Z1004" s="103" t="n"/>
      <c r="AA1004" s="103" t="n"/>
      <c r="AB1004" s="103" t="n"/>
      <c r="AC1004" s="103" t="n"/>
      <c r="AD1004" s="103" t="n"/>
      <c r="AE1004" s="103" t="n"/>
      <c r="AF1004" s="103" t="n"/>
      <c r="AG1004" s="103" t="n"/>
      <c r="AH1004" s="103" t="n"/>
      <c r="AI1004" s="103" t="n"/>
      <c r="AJ1004" s="103" t="n"/>
      <c r="AK1004" s="103" t="n"/>
      <c r="AL1004" s="103" t="n"/>
      <c r="AM1004" s="103" t="n"/>
      <c r="AN1004" s="103" t="n"/>
      <c r="AO1004" s="103" t="n"/>
      <c r="AP1004" s="103" t="n"/>
      <c r="AQ1004" s="103" t="n"/>
      <c r="AR1004" s="103" t="n"/>
    </row>
    <row r="1007">
      <c r="A1007" s="2">
        <f>IF($A1000="","","   projections")</f>
        <v/>
      </c>
      <c r="B1007" s="99">
        <f>IF($A1000="",0,COUNT($E1008:$AR1008))</f>
        <v/>
      </c>
      <c r="C1007" s="100">
        <f>IF($B1007=0,0,MAX($E1008:$AR1008))</f>
        <v/>
      </c>
      <c r="D1007" s="101">
        <f>BDS($A1000,FLD_PROJ,"headers=y","startcol=1","endcol=3","dir=h")</f>
        <v/>
      </c>
      <c r="E1007" s="102" t="n"/>
      <c r="F1007" s="102" t="n"/>
      <c r="G1007" s="102" t="n"/>
      <c r="H1007" s="102" t="n"/>
      <c r="I1007" s="102" t="n"/>
      <c r="J1007" s="102" t="n"/>
      <c r="K1007" s="102" t="n"/>
      <c r="L1007" s="102" t="n"/>
      <c r="M1007" s="102" t="n"/>
      <c r="N1007" s="102" t="n"/>
      <c r="O1007" s="102" t="n"/>
      <c r="P1007" s="102" t="n"/>
      <c r="Q1007" s="102" t="n"/>
      <c r="R1007" s="102" t="n"/>
      <c r="S1007" s="102" t="n"/>
      <c r="T1007" s="102" t="n"/>
      <c r="U1007" s="102" t="n"/>
      <c r="V1007" s="102" t="n"/>
      <c r="W1007" s="102" t="n"/>
      <c r="X1007" s="102" t="n"/>
      <c r="Y1007" s="102" t="n"/>
      <c r="Z1007" s="102" t="n"/>
      <c r="AA1007" s="102" t="n"/>
      <c r="AB1007" s="102" t="n"/>
      <c r="AC1007" s="102" t="n"/>
      <c r="AD1007" s="102" t="n"/>
      <c r="AE1007" s="102" t="n"/>
      <c r="AF1007" s="102" t="n"/>
      <c r="AG1007" s="102" t="n"/>
      <c r="AH1007" s="102" t="n"/>
      <c r="AI1007" s="102" t="n"/>
      <c r="AJ1007" s="102" t="n"/>
      <c r="AK1007" s="102" t="n"/>
      <c r="AL1007" s="102" t="n"/>
      <c r="AM1007" s="102" t="n"/>
      <c r="AN1007" s="102" t="n"/>
      <c r="AO1007" s="102" t="n"/>
      <c r="AP1007" s="102" t="n"/>
      <c r="AQ1007" s="102" t="n"/>
      <c r="AR1007" s="102" t="n"/>
    </row>
    <row r="1008">
      <c r="D1008" s="102" t="n"/>
      <c r="E1008" s="102" t="n"/>
      <c r="F1008" s="102" t="n"/>
      <c r="G1008" s="102" t="n"/>
      <c r="H1008" s="102" t="n"/>
      <c r="I1008" s="102" t="n"/>
      <c r="J1008" s="102" t="n"/>
      <c r="K1008" s="102" t="n"/>
      <c r="L1008" s="102" t="n"/>
      <c r="M1008" s="102" t="n"/>
      <c r="N1008" s="102" t="n"/>
      <c r="O1008" s="102" t="n"/>
      <c r="P1008" s="102" t="n"/>
      <c r="Q1008" s="102" t="n"/>
      <c r="R1008" s="102" t="n"/>
      <c r="S1008" s="102" t="n"/>
      <c r="T1008" s="102" t="n"/>
      <c r="U1008" s="102" t="n"/>
      <c r="V1008" s="102" t="n"/>
      <c r="W1008" s="102" t="n"/>
      <c r="X1008" s="102" t="n"/>
      <c r="Y1008" s="102" t="n"/>
      <c r="Z1008" s="102" t="n"/>
      <c r="AA1008" s="102" t="n"/>
      <c r="AB1008" s="102" t="n"/>
      <c r="AC1008" s="102" t="n"/>
      <c r="AD1008" s="102" t="n"/>
      <c r="AE1008" s="102" t="n"/>
      <c r="AF1008" s="102" t="n"/>
      <c r="AG1008" s="102" t="n"/>
      <c r="AH1008" s="102" t="n"/>
      <c r="AI1008" s="102" t="n"/>
      <c r="AJ1008" s="102" t="n"/>
      <c r="AK1008" s="102" t="n"/>
      <c r="AL1008" s="102" t="n"/>
      <c r="AM1008" s="102" t="n"/>
      <c r="AN1008" s="102" t="n"/>
      <c r="AO1008" s="102" t="n"/>
      <c r="AP1008" s="102" t="n"/>
      <c r="AQ1008" s="102" t="n"/>
      <c r="AR1008" s="102" t="n"/>
    </row>
    <row r="1009">
      <c r="D1009" s="103" t="n"/>
      <c r="E1009" s="103" t="n"/>
      <c r="F1009" s="103" t="n"/>
      <c r="G1009" s="103" t="n"/>
      <c r="H1009" s="103" t="n"/>
      <c r="I1009" s="103" t="n"/>
      <c r="J1009" s="103" t="n"/>
      <c r="K1009" s="103" t="n"/>
      <c r="L1009" s="103" t="n"/>
      <c r="M1009" s="103" t="n"/>
      <c r="N1009" s="103" t="n"/>
      <c r="O1009" s="103" t="n"/>
      <c r="P1009" s="103" t="n"/>
      <c r="Q1009" s="103" t="n"/>
      <c r="R1009" s="103" t="n"/>
      <c r="S1009" s="103" t="n"/>
      <c r="T1009" s="103" t="n"/>
      <c r="U1009" s="103" t="n"/>
      <c r="V1009" s="103" t="n"/>
      <c r="W1009" s="103" t="n"/>
      <c r="X1009" s="103" t="n"/>
      <c r="Y1009" s="103" t="n"/>
      <c r="Z1009" s="103" t="n"/>
      <c r="AA1009" s="103" t="n"/>
      <c r="AB1009" s="103" t="n"/>
      <c r="AC1009" s="103" t="n"/>
      <c r="AD1009" s="103" t="n"/>
      <c r="AE1009" s="103" t="n"/>
      <c r="AF1009" s="103" t="n"/>
      <c r="AG1009" s="103" t="n"/>
      <c r="AH1009" s="103" t="n"/>
      <c r="AI1009" s="103" t="n"/>
      <c r="AJ1009" s="103" t="n"/>
      <c r="AK1009" s="103" t="n"/>
      <c r="AL1009" s="103" t="n"/>
      <c r="AM1009" s="103" t="n"/>
      <c r="AN1009" s="103" t="n"/>
      <c r="AO1009" s="103" t="n"/>
      <c r="AP1009" s="103" t="n"/>
      <c r="AQ1009" s="103" t="n"/>
      <c r="AR1009" s="103" t="n"/>
    </row>
    <row r="1011">
      <c r="A1011" s="8">
        <f>IF(HSI!$C$98="","",HSI!$C$98)</f>
        <v/>
      </c>
      <c r="B1011" s="99">
        <f>IF($A1011="",0,COUNT($E1012:$AR1012))</f>
        <v/>
      </c>
      <c r="C1011" s="100">
        <f>IF($B1011=0,0,MAX($E1012:$AR1012))</f>
        <v/>
      </c>
      <c r="D1011" s="101">
        <f>BDS($A1011,FLD_HIST,"headers=y","startcol=1","endcol=7","dir=h","DVD_START_DT",HIST_FROM,"DVD_END_DT",HIST_TO)</f>
        <v/>
      </c>
      <c r="E1011" s="102" t="n"/>
      <c r="F1011" s="102" t="n"/>
      <c r="G1011" s="102" t="n"/>
      <c r="H1011" s="102" t="n"/>
      <c r="I1011" s="102" t="n"/>
      <c r="J1011" s="102" t="n"/>
      <c r="K1011" s="102" t="n"/>
      <c r="L1011" s="102" t="n"/>
      <c r="M1011" s="102" t="n"/>
      <c r="N1011" s="102" t="n"/>
      <c r="O1011" s="102" t="n"/>
      <c r="P1011" s="102" t="n"/>
      <c r="Q1011" s="102" t="n"/>
      <c r="R1011" s="102" t="n"/>
      <c r="S1011" s="102" t="n"/>
      <c r="T1011" s="102" t="n"/>
      <c r="U1011" s="102" t="n"/>
      <c r="V1011" s="102" t="n"/>
      <c r="W1011" s="102" t="n"/>
      <c r="X1011" s="102" t="n"/>
      <c r="Y1011" s="102" t="n"/>
      <c r="Z1011" s="102" t="n"/>
      <c r="AA1011" s="102" t="n"/>
      <c r="AB1011" s="102" t="n"/>
      <c r="AC1011" s="102" t="n"/>
      <c r="AD1011" s="102" t="n"/>
      <c r="AE1011" s="102" t="n"/>
      <c r="AF1011" s="102" t="n"/>
      <c r="AG1011" s="102" t="n"/>
      <c r="AH1011" s="102" t="n"/>
      <c r="AI1011" s="102" t="n"/>
      <c r="AJ1011" s="102" t="n"/>
      <c r="AK1011" s="102" t="n"/>
      <c r="AL1011" s="102" t="n"/>
      <c r="AM1011" s="102" t="n"/>
      <c r="AN1011" s="102" t="n"/>
      <c r="AO1011" s="102" t="n"/>
      <c r="AP1011" s="102" t="n"/>
      <c r="AQ1011" s="102" t="n"/>
      <c r="AR1011" s="102" t="n"/>
    </row>
    <row r="1012">
      <c r="D1012" s="102" t="n"/>
      <c r="E1012" s="102" t="n"/>
      <c r="F1012" s="102" t="n"/>
      <c r="G1012" s="102" t="n"/>
      <c r="H1012" s="102" t="n"/>
      <c r="I1012" s="102" t="n"/>
      <c r="J1012" s="102" t="n"/>
      <c r="K1012" s="102" t="n"/>
      <c r="L1012" s="102" t="n"/>
      <c r="M1012" s="102" t="n"/>
      <c r="N1012" s="102" t="n"/>
      <c r="O1012" s="102" t="n"/>
      <c r="P1012" s="102" t="n"/>
      <c r="Q1012" s="102" t="n"/>
      <c r="R1012" s="102" t="n"/>
      <c r="S1012" s="102" t="n"/>
      <c r="T1012" s="102" t="n"/>
      <c r="U1012" s="102" t="n"/>
      <c r="V1012" s="102" t="n"/>
      <c r="W1012" s="102" t="n"/>
      <c r="X1012" s="102" t="n"/>
      <c r="Y1012" s="102" t="n"/>
      <c r="Z1012" s="102" t="n"/>
      <c r="AA1012" s="102" t="n"/>
      <c r="AB1012" s="102" t="n"/>
      <c r="AC1012" s="102" t="n"/>
      <c r="AD1012" s="102" t="n"/>
      <c r="AE1012" s="102" t="n"/>
      <c r="AF1012" s="102" t="n"/>
      <c r="AG1012" s="102" t="n"/>
      <c r="AH1012" s="102" t="n"/>
      <c r="AI1012" s="102" t="n"/>
      <c r="AJ1012" s="102" t="n"/>
      <c r="AK1012" s="102" t="n"/>
      <c r="AL1012" s="102" t="n"/>
      <c r="AM1012" s="102" t="n"/>
      <c r="AN1012" s="102" t="n"/>
      <c r="AO1012" s="102" t="n"/>
      <c r="AP1012" s="102" t="n"/>
      <c r="AQ1012" s="102" t="n"/>
      <c r="AR1012" s="102" t="n"/>
    </row>
    <row r="1013">
      <c r="D1013" s="102" t="n"/>
      <c r="E1013" s="102" t="n"/>
      <c r="F1013" s="102" t="n"/>
      <c r="G1013" s="102" t="n"/>
      <c r="H1013" s="102" t="n"/>
      <c r="I1013" s="102" t="n"/>
      <c r="J1013" s="102" t="n"/>
      <c r="K1013" s="102" t="n"/>
      <c r="L1013" s="102" t="n"/>
      <c r="M1013" s="102" t="n"/>
      <c r="N1013" s="102" t="n"/>
      <c r="O1013" s="102" t="n"/>
      <c r="P1013" s="102" t="n"/>
      <c r="Q1013" s="102" t="n"/>
      <c r="R1013" s="102" t="n"/>
      <c r="S1013" s="102" t="n"/>
      <c r="T1013" s="102" t="n"/>
      <c r="U1013" s="102" t="n"/>
      <c r="V1013" s="102" t="n"/>
      <c r="W1013" s="102" t="n"/>
      <c r="X1013" s="102" t="n"/>
      <c r="Y1013" s="102" t="n"/>
      <c r="Z1013" s="102" t="n"/>
      <c r="AA1013" s="102" t="n"/>
      <c r="AB1013" s="102" t="n"/>
      <c r="AC1013" s="102" t="n"/>
      <c r="AD1013" s="102" t="n"/>
      <c r="AE1013" s="102" t="n"/>
      <c r="AF1013" s="102" t="n"/>
      <c r="AG1013" s="102" t="n"/>
      <c r="AH1013" s="102" t="n"/>
      <c r="AI1013" s="102" t="n"/>
      <c r="AJ1013" s="102" t="n"/>
      <c r="AK1013" s="102" t="n"/>
      <c r="AL1013" s="102" t="n"/>
      <c r="AM1013" s="102" t="n"/>
      <c r="AN1013" s="102" t="n"/>
      <c r="AO1013" s="102" t="n"/>
      <c r="AP1013" s="102" t="n"/>
      <c r="AQ1013" s="102" t="n"/>
      <c r="AR1013" s="102" t="n"/>
    </row>
    <row r="1014">
      <c r="D1014" s="102" t="n"/>
      <c r="E1014" s="102" t="n"/>
      <c r="F1014" s="102" t="n"/>
      <c r="G1014" s="102" t="n"/>
      <c r="H1014" s="102" t="n"/>
      <c r="I1014" s="102" t="n"/>
      <c r="J1014" s="102" t="n"/>
      <c r="K1014" s="102" t="n"/>
      <c r="L1014" s="102" t="n"/>
      <c r="M1014" s="102" t="n"/>
      <c r="N1014" s="102" t="n"/>
      <c r="O1014" s="102" t="n"/>
      <c r="P1014" s="102" t="n"/>
      <c r="Q1014" s="102" t="n"/>
      <c r="R1014" s="102" t="n"/>
      <c r="S1014" s="102" t="n"/>
      <c r="T1014" s="102" t="n"/>
      <c r="U1014" s="102" t="n"/>
      <c r="V1014" s="102" t="n"/>
      <c r="W1014" s="102" t="n"/>
      <c r="X1014" s="102" t="n"/>
      <c r="Y1014" s="102" t="n"/>
      <c r="Z1014" s="102" t="n"/>
      <c r="AA1014" s="102" t="n"/>
      <c r="AB1014" s="102" t="n"/>
      <c r="AC1014" s="102" t="n"/>
      <c r="AD1014" s="102" t="n"/>
      <c r="AE1014" s="102" t="n"/>
      <c r="AF1014" s="102" t="n"/>
      <c r="AG1014" s="102" t="n"/>
      <c r="AH1014" s="102" t="n"/>
      <c r="AI1014" s="102" t="n"/>
      <c r="AJ1014" s="102" t="n"/>
      <c r="AK1014" s="102" t="n"/>
      <c r="AL1014" s="102" t="n"/>
      <c r="AM1014" s="102" t="n"/>
      <c r="AN1014" s="102" t="n"/>
      <c r="AO1014" s="102" t="n"/>
      <c r="AP1014" s="102" t="n"/>
      <c r="AQ1014" s="102" t="n"/>
      <c r="AR1014" s="102" t="n"/>
    </row>
    <row r="1015">
      <c r="D1015" s="103" t="n"/>
      <c r="E1015" s="103" t="n"/>
      <c r="F1015" s="103" t="n"/>
      <c r="G1015" s="103" t="n"/>
      <c r="H1015" s="103" t="n"/>
      <c r="I1015" s="103" t="n"/>
      <c r="J1015" s="103" t="n"/>
      <c r="K1015" s="103" t="n"/>
      <c r="L1015" s="103" t="n"/>
      <c r="M1015" s="103" t="n"/>
      <c r="N1015" s="103" t="n"/>
      <c r="O1015" s="103" t="n"/>
      <c r="P1015" s="103" t="n"/>
      <c r="Q1015" s="103" t="n"/>
      <c r="R1015" s="103" t="n"/>
      <c r="S1015" s="103" t="n"/>
      <c r="T1015" s="103" t="n"/>
      <c r="U1015" s="103" t="n"/>
      <c r="V1015" s="103" t="n"/>
      <c r="W1015" s="103" t="n"/>
      <c r="X1015" s="103" t="n"/>
      <c r="Y1015" s="103" t="n"/>
      <c r="Z1015" s="103" t="n"/>
      <c r="AA1015" s="103" t="n"/>
      <c r="AB1015" s="103" t="n"/>
      <c r="AC1015" s="103" t="n"/>
      <c r="AD1015" s="103" t="n"/>
      <c r="AE1015" s="103" t="n"/>
      <c r="AF1015" s="103" t="n"/>
      <c r="AG1015" s="103" t="n"/>
      <c r="AH1015" s="103" t="n"/>
      <c r="AI1015" s="103" t="n"/>
      <c r="AJ1015" s="103" t="n"/>
      <c r="AK1015" s="103" t="n"/>
      <c r="AL1015" s="103" t="n"/>
      <c r="AM1015" s="103" t="n"/>
      <c r="AN1015" s="103" t="n"/>
      <c r="AO1015" s="103" t="n"/>
      <c r="AP1015" s="103" t="n"/>
      <c r="AQ1015" s="103" t="n"/>
      <c r="AR1015" s="103" t="n"/>
    </row>
    <row r="1018">
      <c r="A1018" s="2">
        <f>IF($A1011="","","   projections")</f>
        <v/>
      </c>
      <c r="B1018" s="99">
        <f>IF($A1011="",0,COUNT($E1019:$AR1019))</f>
        <v/>
      </c>
      <c r="C1018" s="100">
        <f>IF($B1018=0,0,MAX($E1019:$AR1019))</f>
        <v/>
      </c>
      <c r="D1018" s="101">
        <f>BDS($A1011,FLD_PROJ,"headers=y","startcol=1","endcol=3","dir=h")</f>
        <v/>
      </c>
      <c r="E1018" s="102" t="n"/>
      <c r="F1018" s="102" t="n"/>
      <c r="G1018" s="102" t="n"/>
      <c r="H1018" s="102" t="n"/>
      <c r="I1018" s="102" t="n"/>
      <c r="J1018" s="102" t="n"/>
      <c r="K1018" s="102" t="n"/>
      <c r="L1018" s="102" t="n"/>
      <c r="M1018" s="102" t="n"/>
      <c r="N1018" s="102" t="n"/>
      <c r="O1018" s="102" t="n"/>
      <c r="P1018" s="102" t="n"/>
      <c r="Q1018" s="102" t="n"/>
      <c r="R1018" s="102" t="n"/>
      <c r="S1018" s="102" t="n"/>
      <c r="T1018" s="102" t="n"/>
      <c r="U1018" s="102" t="n"/>
      <c r="V1018" s="102" t="n"/>
      <c r="W1018" s="102" t="n"/>
      <c r="X1018" s="102" t="n"/>
      <c r="Y1018" s="102" t="n"/>
      <c r="Z1018" s="102" t="n"/>
      <c r="AA1018" s="102" t="n"/>
      <c r="AB1018" s="102" t="n"/>
      <c r="AC1018" s="102" t="n"/>
      <c r="AD1018" s="102" t="n"/>
      <c r="AE1018" s="102" t="n"/>
      <c r="AF1018" s="102" t="n"/>
      <c r="AG1018" s="102" t="n"/>
      <c r="AH1018" s="102" t="n"/>
      <c r="AI1018" s="102" t="n"/>
      <c r="AJ1018" s="102" t="n"/>
      <c r="AK1018" s="102" t="n"/>
      <c r="AL1018" s="102" t="n"/>
      <c r="AM1018" s="102" t="n"/>
      <c r="AN1018" s="102" t="n"/>
      <c r="AO1018" s="102" t="n"/>
      <c r="AP1018" s="102" t="n"/>
      <c r="AQ1018" s="102" t="n"/>
      <c r="AR1018" s="102" t="n"/>
    </row>
    <row r="1019">
      <c r="D1019" s="102" t="n"/>
      <c r="E1019" s="102" t="n"/>
      <c r="F1019" s="102" t="n"/>
      <c r="G1019" s="102" t="n"/>
      <c r="H1019" s="102" t="n"/>
      <c r="I1019" s="102" t="n"/>
      <c r="J1019" s="102" t="n"/>
      <c r="K1019" s="102" t="n"/>
      <c r="L1019" s="102" t="n"/>
      <c r="M1019" s="102" t="n"/>
      <c r="N1019" s="102" t="n"/>
      <c r="O1019" s="102" t="n"/>
      <c r="P1019" s="102" t="n"/>
      <c r="Q1019" s="102" t="n"/>
      <c r="R1019" s="102" t="n"/>
      <c r="S1019" s="102" t="n"/>
      <c r="T1019" s="102" t="n"/>
      <c r="U1019" s="102" t="n"/>
      <c r="V1019" s="102" t="n"/>
      <c r="W1019" s="102" t="n"/>
      <c r="X1019" s="102" t="n"/>
      <c r="Y1019" s="102" t="n"/>
      <c r="Z1019" s="102" t="n"/>
      <c r="AA1019" s="102" t="n"/>
      <c r="AB1019" s="102" t="n"/>
      <c r="AC1019" s="102" t="n"/>
      <c r="AD1019" s="102" t="n"/>
      <c r="AE1019" s="102" t="n"/>
      <c r="AF1019" s="102" t="n"/>
      <c r="AG1019" s="102" t="n"/>
      <c r="AH1019" s="102" t="n"/>
      <c r="AI1019" s="102" t="n"/>
      <c r="AJ1019" s="102" t="n"/>
      <c r="AK1019" s="102" t="n"/>
      <c r="AL1019" s="102" t="n"/>
      <c r="AM1019" s="102" t="n"/>
      <c r="AN1019" s="102" t="n"/>
      <c r="AO1019" s="102" t="n"/>
      <c r="AP1019" s="102" t="n"/>
      <c r="AQ1019" s="102" t="n"/>
      <c r="AR1019" s="102" t="n"/>
    </row>
    <row r="1020">
      <c r="D1020" s="103" t="n"/>
      <c r="E1020" s="103" t="n"/>
      <c r="F1020" s="103" t="n"/>
      <c r="G1020" s="103" t="n"/>
      <c r="H1020" s="103" t="n"/>
      <c r="I1020" s="103" t="n"/>
      <c r="J1020" s="103" t="n"/>
      <c r="K1020" s="103" t="n"/>
      <c r="L1020" s="103" t="n"/>
      <c r="M1020" s="103" t="n"/>
      <c r="N1020" s="103" t="n"/>
      <c r="O1020" s="103" t="n"/>
      <c r="P1020" s="103" t="n"/>
      <c r="Q1020" s="103" t="n"/>
      <c r="R1020" s="103" t="n"/>
      <c r="S1020" s="103" t="n"/>
      <c r="T1020" s="103" t="n"/>
      <c r="U1020" s="103" t="n"/>
      <c r="V1020" s="103" t="n"/>
      <c r="W1020" s="103" t="n"/>
      <c r="X1020" s="103" t="n"/>
      <c r="Y1020" s="103" t="n"/>
      <c r="Z1020" s="103" t="n"/>
      <c r="AA1020" s="103" t="n"/>
      <c r="AB1020" s="103" t="n"/>
      <c r="AC1020" s="103" t="n"/>
      <c r="AD1020" s="103" t="n"/>
      <c r="AE1020" s="103" t="n"/>
      <c r="AF1020" s="103" t="n"/>
      <c r="AG1020" s="103" t="n"/>
      <c r="AH1020" s="103" t="n"/>
      <c r="AI1020" s="103" t="n"/>
      <c r="AJ1020" s="103" t="n"/>
      <c r="AK1020" s="103" t="n"/>
      <c r="AL1020" s="103" t="n"/>
      <c r="AM1020" s="103" t="n"/>
      <c r="AN1020" s="103" t="n"/>
      <c r="AO1020" s="103" t="n"/>
      <c r="AP1020" s="103" t="n"/>
      <c r="AQ1020" s="103" t="n"/>
      <c r="AR1020" s="103" t="n"/>
    </row>
    <row r="1022">
      <c r="A1022" s="8">
        <f>IF(HSI!$C$99="","",HSI!$C$99)</f>
        <v/>
      </c>
      <c r="B1022" s="99">
        <f>IF($A1022="",0,COUNT($E1023:$AR1023))</f>
        <v/>
      </c>
      <c r="C1022" s="100">
        <f>IF($B1022=0,0,MAX($E1023:$AR1023))</f>
        <v/>
      </c>
      <c r="D1022" s="101">
        <f>BDS($A1022,FLD_HIST,"headers=y","startcol=1","endcol=7","dir=h","DVD_START_DT",HIST_FROM,"DVD_END_DT",HIST_TO)</f>
        <v/>
      </c>
      <c r="E1022" s="102" t="n"/>
      <c r="F1022" s="102" t="n"/>
      <c r="G1022" s="102" t="n"/>
      <c r="H1022" s="102" t="n"/>
      <c r="I1022" s="102" t="n"/>
      <c r="J1022" s="102" t="n"/>
      <c r="K1022" s="102" t="n"/>
      <c r="L1022" s="102" t="n"/>
      <c r="M1022" s="102" t="n"/>
      <c r="N1022" s="102" t="n"/>
      <c r="O1022" s="102" t="n"/>
      <c r="P1022" s="102" t="n"/>
      <c r="Q1022" s="102" t="n"/>
      <c r="R1022" s="102" t="n"/>
      <c r="S1022" s="102" t="n"/>
      <c r="T1022" s="102" t="n"/>
      <c r="U1022" s="102" t="n"/>
      <c r="V1022" s="102" t="n"/>
      <c r="W1022" s="102" t="n"/>
      <c r="X1022" s="102" t="n"/>
      <c r="Y1022" s="102" t="n"/>
      <c r="Z1022" s="102" t="n"/>
      <c r="AA1022" s="102" t="n"/>
      <c r="AB1022" s="102" t="n"/>
      <c r="AC1022" s="102" t="n"/>
      <c r="AD1022" s="102" t="n"/>
      <c r="AE1022" s="102" t="n"/>
      <c r="AF1022" s="102" t="n"/>
      <c r="AG1022" s="102" t="n"/>
      <c r="AH1022" s="102" t="n"/>
      <c r="AI1022" s="102" t="n"/>
      <c r="AJ1022" s="102" t="n"/>
      <c r="AK1022" s="102" t="n"/>
      <c r="AL1022" s="102" t="n"/>
      <c r="AM1022" s="102" t="n"/>
      <c r="AN1022" s="102" t="n"/>
      <c r="AO1022" s="102" t="n"/>
      <c r="AP1022" s="102" t="n"/>
      <c r="AQ1022" s="102" t="n"/>
      <c r="AR1022" s="102" t="n"/>
    </row>
    <row r="1023">
      <c r="D1023" s="102" t="n"/>
      <c r="E1023" s="102" t="n"/>
      <c r="F1023" s="102" t="n"/>
      <c r="G1023" s="102" t="n"/>
      <c r="H1023" s="102" t="n"/>
      <c r="I1023" s="102" t="n"/>
      <c r="J1023" s="102" t="n"/>
      <c r="K1023" s="102" t="n"/>
      <c r="L1023" s="102" t="n"/>
      <c r="M1023" s="102" t="n"/>
      <c r="N1023" s="102" t="n"/>
      <c r="O1023" s="102" t="n"/>
      <c r="P1023" s="102" t="n"/>
      <c r="Q1023" s="102" t="n"/>
      <c r="R1023" s="102" t="n"/>
      <c r="S1023" s="102" t="n"/>
      <c r="T1023" s="102" t="n"/>
      <c r="U1023" s="102" t="n"/>
      <c r="V1023" s="102" t="n"/>
      <c r="W1023" s="102" t="n"/>
      <c r="X1023" s="102" t="n"/>
      <c r="Y1023" s="102" t="n"/>
      <c r="Z1023" s="102" t="n"/>
      <c r="AA1023" s="102" t="n"/>
      <c r="AB1023" s="102" t="n"/>
      <c r="AC1023" s="102" t="n"/>
      <c r="AD1023" s="102" t="n"/>
      <c r="AE1023" s="102" t="n"/>
      <c r="AF1023" s="102" t="n"/>
      <c r="AG1023" s="102" t="n"/>
      <c r="AH1023" s="102" t="n"/>
      <c r="AI1023" s="102" t="n"/>
      <c r="AJ1023" s="102" t="n"/>
      <c r="AK1023" s="102" t="n"/>
      <c r="AL1023" s="102" t="n"/>
      <c r="AM1023" s="102" t="n"/>
      <c r="AN1023" s="102" t="n"/>
      <c r="AO1023" s="102" t="n"/>
      <c r="AP1023" s="102" t="n"/>
      <c r="AQ1023" s="102" t="n"/>
      <c r="AR1023" s="102" t="n"/>
    </row>
    <row r="1024">
      <c r="D1024" s="102" t="n"/>
      <c r="E1024" s="102" t="n"/>
      <c r="F1024" s="102" t="n"/>
      <c r="G1024" s="102" t="n"/>
      <c r="H1024" s="102" t="n"/>
      <c r="I1024" s="102" t="n"/>
      <c r="J1024" s="102" t="n"/>
      <c r="K1024" s="102" t="n"/>
      <c r="L1024" s="102" t="n"/>
      <c r="M1024" s="102" t="n"/>
      <c r="N1024" s="102" t="n"/>
      <c r="O1024" s="102" t="n"/>
      <c r="P1024" s="102" t="n"/>
      <c r="Q1024" s="102" t="n"/>
      <c r="R1024" s="102" t="n"/>
      <c r="S1024" s="102" t="n"/>
      <c r="T1024" s="102" t="n"/>
      <c r="U1024" s="102" t="n"/>
      <c r="V1024" s="102" t="n"/>
      <c r="W1024" s="102" t="n"/>
      <c r="X1024" s="102" t="n"/>
      <c r="Y1024" s="102" t="n"/>
      <c r="Z1024" s="102" t="n"/>
      <c r="AA1024" s="102" t="n"/>
      <c r="AB1024" s="102" t="n"/>
      <c r="AC1024" s="102" t="n"/>
      <c r="AD1024" s="102" t="n"/>
      <c r="AE1024" s="102" t="n"/>
      <c r="AF1024" s="102" t="n"/>
      <c r="AG1024" s="102" t="n"/>
      <c r="AH1024" s="102" t="n"/>
      <c r="AI1024" s="102" t="n"/>
      <c r="AJ1024" s="102" t="n"/>
      <c r="AK1024" s="102" t="n"/>
      <c r="AL1024" s="102" t="n"/>
      <c r="AM1024" s="102" t="n"/>
      <c r="AN1024" s="102" t="n"/>
      <c r="AO1024" s="102" t="n"/>
      <c r="AP1024" s="102" t="n"/>
      <c r="AQ1024" s="102" t="n"/>
      <c r="AR1024" s="102" t="n"/>
    </row>
    <row r="1025">
      <c r="D1025" s="102" t="n"/>
      <c r="E1025" s="102" t="n"/>
      <c r="F1025" s="102" t="n"/>
      <c r="G1025" s="102" t="n"/>
      <c r="H1025" s="102" t="n"/>
      <c r="I1025" s="102" t="n"/>
      <c r="J1025" s="102" t="n"/>
      <c r="K1025" s="102" t="n"/>
      <c r="L1025" s="102" t="n"/>
      <c r="M1025" s="102" t="n"/>
      <c r="N1025" s="102" t="n"/>
      <c r="O1025" s="102" t="n"/>
      <c r="P1025" s="102" t="n"/>
      <c r="Q1025" s="102" t="n"/>
      <c r="R1025" s="102" t="n"/>
      <c r="S1025" s="102" t="n"/>
      <c r="T1025" s="102" t="n"/>
      <c r="U1025" s="102" t="n"/>
      <c r="V1025" s="102" t="n"/>
      <c r="W1025" s="102" t="n"/>
      <c r="X1025" s="102" t="n"/>
      <c r="Y1025" s="102" t="n"/>
      <c r="Z1025" s="102" t="n"/>
      <c r="AA1025" s="102" t="n"/>
      <c r="AB1025" s="102" t="n"/>
      <c r="AC1025" s="102" t="n"/>
      <c r="AD1025" s="102" t="n"/>
      <c r="AE1025" s="102" t="n"/>
      <c r="AF1025" s="102" t="n"/>
      <c r="AG1025" s="102" t="n"/>
      <c r="AH1025" s="102" t="n"/>
      <c r="AI1025" s="102" t="n"/>
      <c r="AJ1025" s="102" t="n"/>
      <c r="AK1025" s="102" t="n"/>
      <c r="AL1025" s="102" t="n"/>
      <c r="AM1025" s="102" t="n"/>
      <c r="AN1025" s="102" t="n"/>
      <c r="AO1025" s="102" t="n"/>
      <c r="AP1025" s="102" t="n"/>
      <c r="AQ1025" s="102" t="n"/>
      <c r="AR1025" s="102" t="n"/>
    </row>
    <row r="1026">
      <c r="D1026" s="103" t="n"/>
      <c r="E1026" s="103" t="n"/>
      <c r="F1026" s="103" t="n"/>
      <c r="G1026" s="103" t="n"/>
      <c r="H1026" s="103" t="n"/>
      <c r="I1026" s="103" t="n"/>
      <c r="J1026" s="103" t="n"/>
      <c r="K1026" s="103" t="n"/>
      <c r="L1026" s="103" t="n"/>
      <c r="M1026" s="103" t="n"/>
      <c r="N1026" s="103" t="n"/>
      <c r="O1026" s="103" t="n"/>
      <c r="P1026" s="103" t="n"/>
      <c r="Q1026" s="103" t="n"/>
      <c r="R1026" s="103" t="n"/>
      <c r="S1026" s="103" t="n"/>
      <c r="T1026" s="103" t="n"/>
      <c r="U1026" s="103" t="n"/>
      <c r="V1026" s="103" t="n"/>
      <c r="W1026" s="103" t="n"/>
      <c r="X1026" s="103" t="n"/>
      <c r="Y1026" s="103" t="n"/>
      <c r="Z1026" s="103" t="n"/>
      <c r="AA1026" s="103" t="n"/>
      <c r="AB1026" s="103" t="n"/>
      <c r="AC1026" s="103" t="n"/>
      <c r="AD1026" s="103" t="n"/>
      <c r="AE1026" s="103" t="n"/>
      <c r="AF1026" s="103" t="n"/>
      <c r="AG1026" s="103" t="n"/>
      <c r="AH1026" s="103" t="n"/>
      <c r="AI1026" s="103" t="n"/>
      <c r="AJ1026" s="103" t="n"/>
      <c r="AK1026" s="103" t="n"/>
      <c r="AL1026" s="103" t="n"/>
      <c r="AM1026" s="103" t="n"/>
      <c r="AN1026" s="103" t="n"/>
      <c r="AO1026" s="103" t="n"/>
      <c r="AP1026" s="103" t="n"/>
      <c r="AQ1026" s="103" t="n"/>
      <c r="AR1026" s="103" t="n"/>
    </row>
    <row r="1029">
      <c r="A1029" s="2">
        <f>IF($A1022="","","   projections")</f>
        <v/>
      </c>
      <c r="B1029" s="99">
        <f>IF($A1022="",0,COUNT($E1030:$AR1030))</f>
        <v/>
      </c>
      <c r="C1029" s="100">
        <f>IF($B1029=0,0,MAX($E1030:$AR1030))</f>
        <v/>
      </c>
      <c r="D1029" s="101">
        <f>BDS($A1022,FLD_PROJ,"headers=y","startcol=1","endcol=3","dir=h")</f>
        <v/>
      </c>
      <c r="E1029" s="102" t="n"/>
      <c r="F1029" s="102" t="n"/>
      <c r="G1029" s="102" t="n"/>
      <c r="H1029" s="102" t="n"/>
      <c r="I1029" s="102" t="n"/>
      <c r="J1029" s="102" t="n"/>
      <c r="K1029" s="102" t="n"/>
      <c r="L1029" s="102" t="n"/>
      <c r="M1029" s="102" t="n"/>
      <c r="N1029" s="102" t="n"/>
      <c r="O1029" s="102" t="n"/>
      <c r="P1029" s="102" t="n"/>
      <c r="Q1029" s="102" t="n"/>
      <c r="R1029" s="102" t="n"/>
      <c r="S1029" s="102" t="n"/>
      <c r="T1029" s="102" t="n"/>
      <c r="U1029" s="102" t="n"/>
      <c r="V1029" s="102" t="n"/>
      <c r="W1029" s="102" t="n"/>
      <c r="X1029" s="102" t="n"/>
      <c r="Y1029" s="102" t="n"/>
      <c r="Z1029" s="102" t="n"/>
      <c r="AA1029" s="102" t="n"/>
      <c r="AB1029" s="102" t="n"/>
      <c r="AC1029" s="102" t="n"/>
      <c r="AD1029" s="102" t="n"/>
      <c r="AE1029" s="102" t="n"/>
      <c r="AF1029" s="102" t="n"/>
      <c r="AG1029" s="102" t="n"/>
      <c r="AH1029" s="102" t="n"/>
      <c r="AI1029" s="102" t="n"/>
      <c r="AJ1029" s="102" t="n"/>
      <c r="AK1029" s="102" t="n"/>
      <c r="AL1029" s="102" t="n"/>
      <c r="AM1029" s="102" t="n"/>
      <c r="AN1029" s="102" t="n"/>
      <c r="AO1029" s="102" t="n"/>
      <c r="AP1029" s="102" t="n"/>
      <c r="AQ1029" s="102" t="n"/>
      <c r="AR1029" s="102" t="n"/>
    </row>
    <row r="1030">
      <c r="D1030" s="102" t="n"/>
      <c r="E1030" s="102" t="n"/>
      <c r="F1030" s="102" t="n"/>
      <c r="G1030" s="102" t="n"/>
      <c r="H1030" s="102" t="n"/>
      <c r="I1030" s="102" t="n"/>
      <c r="J1030" s="102" t="n"/>
      <c r="K1030" s="102" t="n"/>
      <c r="L1030" s="102" t="n"/>
      <c r="M1030" s="102" t="n"/>
      <c r="N1030" s="102" t="n"/>
      <c r="O1030" s="102" t="n"/>
      <c r="P1030" s="102" t="n"/>
      <c r="Q1030" s="102" t="n"/>
      <c r="R1030" s="102" t="n"/>
      <c r="S1030" s="102" t="n"/>
      <c r="T1030" s="102" t="n"/>
      <c r="U1030" s="102" t="n"/>
      <c r="V1030" s="102" t="n"/>
      <c r="W1030" s="102" t="n"/>
      <c r="X1030" s="102" t="n"/>
      <c r="Y1030" s="102" t="n"/>
      <c r="Z1030" s="102" t="n"/>
      <c r="AA1030" s="102" t="n"/>
      <c r="AB1030" s="102" t="n"/>
      <c r="AC1030" s="102" t="n"/>
      <c r="AD1030" s="102" t="n"/>
      <c r="AE1030" s="102" t="n"/>
      <c r="AF1030" s="102" t="n"/>
      <c r="AG1030" s="102" t="n"/>
      <c r="AH1030" s="102" t="n"/>
      <c r="AI1030" s="102" t="n"/>
      <c r="AJ1030" s="102" t="n"/>
      <c r="AK1030" s="102" t="n"/>
      <c r="AL1030" s="102" t="n"/>
      <c r="AM1030" s="102" t="n"/>
      <c r="AN1030" s="102" t="n"/>
      <c r="AO1030" s="102" t="n"/>
      <c r="AP1030" s="102" t="n"/>
      <c r="AQ1030" s="102" t="n"/>
      <c r="AR1030" s="102" t="n"/>
    </row>
    <row r="1031">
      <c r="D1031" s="103" t="n"/>
      <c r="E1031" s="103" t="n"/>
      <c r="F1031" s="103" t="n"/>
      <c r="G1031" s="103" t="n"/>
      <c r="H1031" s="103" t="n"/>
      <c r="I1031" s="103" t="n"/>
      <c r="J1031" s="103" t="n"/>
      <c r="K1031" s="103" t="n"/>
      <c r="L1031" s="103" t="n"/>
      <c r="M1031" s="103" t="n"/>
      <c r="N1031" s="103" t="n"/>
      <c r="O1031" s="103" t="n"/>
      <c r="P1031" s="103" t="n"/>
      <c r="Q1031" s="103" t="n"/>
      <c r="R1031" s="103" t="n"/>
      <c r="S1031" s="103" t="n"/>
      <c r="T1031" s="103" t="n"/>
      <c r="U1031" s="103" t="n"/>
      <c r="V1031" s="103" t="n"/>
      <c r="W1031" s="103" t="n"/>
      <c r="X1031" s="103" t="n"/>
      <c r="Y1031" s="103" t="n"/>
      <c r="Z1031" s="103" t="n"/>
      <c r="AA1031" s="103" t="n"/>
      <c r="AB1031" s="103" t="n"/>
      <c r="AC1031" s="103" t="n"/>
      <c r="AD1031" s="103" t="n"/>
      <c r="AE1031" s="103" t="n"/>
      <c r="AF1031" s="103" t="n"/>
      <c r="AG1031" s="103" t="n"/>
      <c r="AH1031" s="103" t="n"/>
      <c r="AI1031" s="103" t="n"/>
      <c r="AJ1031" s="103" t="n"/>
      <c r="AK1031" s="103" t="n"/>
      <c r="AL1031" s="103" t="n"/>
      <c r="AM1031" s="103" t="n"/>
      <c r="AN1031" s="103" t="n"/>
      <c r="AO1031" s="103" t="n"/>
      <c r="AP1031" s="103" t="n"/>
      <c r="AQ1031" s="103" t="n"/>
      <c r="AR1031" s="103" t="n"/>
    </row>
    <row r="1033">
      <c r="A1033" s="8">
        <f>IF(HSI!$C$100="","",HSI!$C$100)</f>
        <v/>
      </c>
      <c r="B1033" s="99">
        <f>IF($A1033="",0,COUNT($E1034:$AR1034))</f>
        <v/>
      </c>
      <c r="C1033" s="100">
        <f>IF($B1033=0,0,MAX($E1034:$AR1034))</f>
        <v/>
      </c>
      <c r="D1033" s="101">
        <f>BDS($A1033,FLD_HIST,"headers=y","startcol=1","endcol=7","dir=h","DVD_START_DT",HIST_FROM,"DVD_END_DT",HIST_TO)</f>
        <v/>
      </c>
      <c r="E1033" s="102" t="n"/>
      <c r="F1033" s="102" t="n"/>
      <c r="G1033" s="102" t="n"/>
      <c r="H1033" s="102" t="n"/>
      <c r="I1033" s="102" t="n"/>
      <c r="J1033" s="102" t="n"/>
      <c r="K1033" s="102" t="n"/>
      <c r="L1033" s="102" t="n"/>
      <c r="M1033" s="102" t="n"/>
      <c r="N1033" s="102" t="n"/>
      <c r="O1033" s="102" t="n"/>
      <c r="P1033" s="102" t="n"/>
      <c r="Q1033" s="102" t="n"/>
      <c r="R1033" s="102" t="n"/>
      <c r="S1033" s="102" t="n"/>
      <c r="T1033" s="102" t="n"/>
      <c r="U1033" s="102" t="n"/>
      <c r="V1033" s="102" t="n"/>
      <c r="W1033" s="102" t="n"/>
      <c r="X1033" s="102" t="n"/>
      <c r="Y1033" s="102" t="n"/>
      <c r="Z1033" s="102" t="n"/>
      <c r="AA1033" s="102" t="n"/>
      <c r="AB1033" s="102" t="n"/>
      <c r="AC1033" s="102" t="n"/>
      <c r="AD1033" s="102" t="n"/>
      <c r="AE1033" s="102" t="n"/>
      <c r="AF1033" s="102" t="n"/>
      <c r="AG1033" s="102" t="n"/>
      <c r="AH1033" s="102" t="n"/>
      <c r="AI1033" s="102" t="n"/>
      <c r="AJ1033" s="102" t="n"/>
      <c r="AK1033" s="102" t="n"/>
      <c r="AL1033" s="102" t="n"/>
      <c r="AM1033" s="102" t="n"/>
      <c r="AN1033" s="102" t="n"/>
      <c r="AO1033" s="102" t="n"/>
      <c r="AP1033" s="102" t="n"/>
      <c r="AQ1033" s="102" t="n"/>
      <c r="AR1033" s="102" t="n"/>
    </row>
    <row r="1034">
      <c r="D1034" s="102" t="n"/>
      <c r="E1034" s="102" t="n"/>
      <c r="F1034" s="102" t="n"/>
      <c r="G1034" s="102" t="n"/>
      <c r="H1034" s="102" t="n"/>
      <c r="I1034" s="102" t="n"/>
      <c r="J1034" s="102" t="n"/>
      <c r="K1034" s="102" t="n"/>
      <c r="L1034" s="102" t="n"/>
      <c r="M1034" s="102" t="n"/>
      <c r="N1034" s="102" t="n"/>
      <c r="O1034" s="102" t="n"/>
      <c r="P1034" s="102" t="n"/>
      <c r="Q1034" s="102" t="n"/>
      <c r="R1034" s="102" t="n"/>
      <c r="S1034" s="102" t="n"/>
      <c r="T1034" s="102" t="n"/>
      <c r="U1034" s="102" t="n"/>
      <c r="V1034" s="102" t="n"/>
      <c r="W1034" s="102" t="n"/>
      <c r="X1034" s="102" t="n"/>
      <c r="Y1034" s="102" t="n"/>
      <c r="Z1034" s="102" t="n"/>
      <c r="AA1034" s="102" t="n"/>
      <c r="AB1034" s="102" t="n"/>
      <c r="AC1034" s="102" t="n"/>
      <c r="AD1034" s="102" t="n"/>
      <c r="AE1034" s="102" t="n"/>
      <c r="AF1034" s="102" t="n"/>
      <c r="AG1034" s="102" t="n"/>
      <c r="AH1034" s="102" t="n"/>
      <c r="AI1034" s="102" t="n"/>
      <c r="AJ1034" s="102" t="n"/>
      <c r="AK1034" s="102" t="n"/>
      <c r="AL1034" s="102" t="n"/>
      <c r="AM1034" s="102" t="n"/>
      <c r="AN1034" s="102" t="n"/>
      <c r="AO1034" s="102" t="n"/>
      <c r="AP1034" s="102" t="n"/>
      <c r="AQ1034" s="102" t="n"/>
      <c r="AR1034" s="102" t="n"/>
    </row>
    <row r="1035">
      <c r="D1035" s="102" t="n"/>
      <c r="E1035" s="102" t="n"/>
      <c r="F1035" s="102" t="n"/>
      <c r="G1035" s="102" t="n"/>
      <c r="H1035" s="102" t="n"/>
      <c r="I1035" s="102" t="n"/>
      <c r="J1035" s="102" t="n"/>
      <c r="K1035" s="102" t="n"/>
      <c r="L1035" s="102" t="n"/>
      <c r="M1035" s="102" t="n"/>
      <c r="N1035" s="102" t="n"/>
      <c r="O1035" s="102" t="n"/>
      <c r="P1035" s="102" t="n"/>
      <c r="Q1035" s="102" t="n"/>
      <c r="R1035" s="102" t="n"/>
      <c r="S1035" s="102" t="n"/>
      <c r="T1035" s="102" t="n"/>
      <c r="U1035" s="102" t="n"/>
      <c r="V1035" s="102" t="n"/>
      <c r="W1035" s="102" t="n"/>
      <c r="X1035" s="102" t="n"/>
      <c r="Y1035" s="102" t="n"/>
      <c r="Z1035" s="102" t="n"/>
      <c r="AA1035" s="102" t="n"/>
      <c r="AB1035" s="102" t="n"/>
      <c r="AC1035" s="102" t="n"/>
      <c r="AD1035" s="102" t="n"/>
      <c r="AE1035" s="102" t="n"/>
      <c r="AF1035" s="102" t="n"/>
      <c r="AG1035" s="102" t="n"/>
      <c r="AH1035" s="102" t="n"/>
      <c r="AI1035" s="102" t="n"/>
      <c r="AJ1035" s="102" t="n"/>
      <c r="AK1035" s="102" t="n"/>
      <c r="AL1035" s="102" t="n"/>
      <c r="AM1035" s="102" t="n"/>
      <c r="AN1035" s="102" t="n"/>
      <c r="AO1035" s="102" t="n"/>
      <c r="AP1035" s="102" t="n"/>
      <c r="AQ1035" s="102" t="n"/>
      <c r="AR1035" s="102" t="n"/>
    </row>
    <row r="1036">
      <c r="D1036" s="102" t="n"/>
      <c r="E1036" s="102" t="n"/>
      <c r="F1036" s="102" t="n"/>
      <c r="G1036" s="102" t="n"/>
      <c r="H1036" s="102" t="n"/>
      <c r="I1036" s="102" t="n"/>
      <c r="J1036" s="102" t="n"/>
      <c r="K1036" s="102" t="n"/>
      <c r="L1036" s="102" t="n"/>
      <c r="M1036" s="102" t="n"/>
      <c r="N1036" s="102" t="n"/>
      <c r="O1036" s="102" t="n"/>
      <c r="P1036" s="102" t="n"/>
      <c r="Q1036" s="102" t="n"/>
      <c r="R1036" s="102" t="n"/>
      <c r="S1036" s="102" t="n"/>
      <c r="T1036" s="102" t="n"/>
      <c r="U1036" s="102" t="n"/>
      <c r="V1036" s="102" t="n"/>
      <c r="W1036" s="102" t="n"/>
      <c r="X1036" s="102" t="n"/>
      <c r="Y1036" s="102" t="n"/>
      <c r="Z1036" s="102" t="n"/>
      <c r="AA1036" s="102" t="n"/>
      <c r="AB1036" s="102" t="n"/>
      <c r="AC1036" s="102" t="n"/>
      <c r="AD1036" s="102" t="n"/>
      <c r="AE1036" s="102" t="n"/>
      <c r="AF1036" s="102" t="n"/>
      <c r="AG1036" s="102" t="n"/>
      <c r="AH1036" s="102" t="n"/>
      <c r="AI1036" s="102" t="n"/>
      <c r="AJ1036" s="102" t="n"/>
      <c r="AK1036" s="102" t="n"/>
      <c r="AL1036" s="102" t="n"/>
      <c r="AM1036" s="102" t="n"/>
      <c r="AN1036" s="102" t="n"/>
      <c r="AO1036" s="102" t="n"/>
      <c r="AP1036" s="102" t="n"/>
      <c r="AQ1036" s="102" t="n"/>
      <c r="AR1036" s="102" t="n"/>
    </row>
    <row r="1037">
      <c r="D1037" s="103" t="n"/>
      <c r="E1037" s="103" t="n"/>
      <c r="F1037" s="103" t="n"/>
      <c r="G1037" s="103" t="n"/>
      <c r="H1037" s="103" t="n"/>
      <c r="I1037" s="103" t="n"/>
      <c r="J1037" s="103" t="n"/>
      <c r="K1037" s="103" t="n"/>
      <c r="L1037" s="103" t="n"/>
      <c r="M1037" s="103" t="n"/>
      <c r="N1037" s="103" t="n"/>
      <c r="O1037" s="103" t="n"/>
      <c r="P1037" s="103" t="n"/>
      <c r="Q1037" s="103" t="n"/>
      <c r="R1037" s="103" t="n"/>
      <c r="S1037" s="103" t="n"/>
      <c r="T1037" s="103" t="n"/>
      <c r="U1037" s="103" t="n"/>
      <c r="V1037" s="103" t="n"/>
      <c r="W1037" s="103" t="n"/>
      <c r="X1037" s="103" t="n"/>
      <c r="Y1037" s="103" t="n"/>
      <c r="Z1037" s="103" t="n"/>
      <c r="AA1037" s="103" t="n"/>
      <c r="AB1037" s="103" t="n"/>
      <c r="AC1037" s="103" t="n"/>
      <c r="AD1037" s="103" t="n"/>
      <c r="AE1037" s="103" t="n"/>
      <c r="AF1037" s="103" t="n"/>
      <c r="AG1037" s="103" t="n"/>
      <c r="AH1037" s="103" t="n"/>
      <c r="AI1037" s="103" t="n"/>
      <c r="AJ1037" s="103" t="n"/>
      <c r="AK1037" s="103" t="n"/>
      <c r="AL1037" s="103" t="n"/>
      <c r="AM1037" s="103" t="n"/>
      <c r="AN1037" s="103" t="n"/>
      <c r="AO1037" s="103" t="n"/>
      <c r="AP1037" s="103" t="n"/>
      <c r="AQ1037" s="103" t="n"/>
      <c r="AR1037" s="103" t="n"/>
    </row>
    <row r="1040">
      <c r="A1040" s="2">
        <f>IF($A1033="","","   projections")</f>
        <v/>
      </c>
      <c r="B1040" s="99">
        <f>IF($A1033="",0,COUNT($E1041:$AR1041))</f>
        <v/>
      </c>
      <c r="C1040" s="100">
        <f>IF($B1040=0,0,MAX($E1041:$AR1041))</f>
        <v/>
      </c>
      <c r="D1040" s="101">
        <f>BDS($A1033,FLD_PROJ,"headers=y","startcol=1","endcol=3","dir=h")</f>
        <v/>
      </c>
      <c r="E1040" s="102" t="n"/>
      <c r="F1040" s="102" t="n"/>
      <c r="G1040" s="102" t="n"/>
      <c r="H1040" s="102" t="n"/>
      <c r="I1040" s="102" t="n"/>
      <c r="J1040" s="102" t="n"/>
      <c r="K1040" s="102" t="n"/>
      <c r="L1040" s="102" t="n"/>
      <c r="M1040" s="102" t="n"/>
      <c r="N1040" s="102" t="n"/>
      <c r="O1040" s="102" t="n"/>
      <c r="P1040" s="102" t="n"/>
      <c r="Q1040" s="102" t="n"/>
      <c r="R1040" s="102" t="n"/>
      <c r="S1040" s="102" t="n"/>
      <c r="T1040" s="102" t="n"/>
      <c r="U1040" s="102" t="n"/>
      <c r="V1040" s="102" t="n"/>
      <c r="W1040" s="102" t="n"/>
      <c r="X1040" s="102" t="n"/>
      <c r="Y1040" s="102" t="n"/>
      <c r="Z1040" s="102" t="n"/>
      <c r="AA1040" s="102" t="n"/>
      <c r="AB1040" s="102" t="n"/>
      <c r="AC1040" s="102" t="n"/>
      <c r="AD1040" s="102" t="n"/>
      <c r="AE1040" s="102" t="n"/>
      <c r="AF1040" s="102" t="n"/>
      <c r="AG1040" s="102" t="n"/>
      <c r="AH1040" s="102" t="n"/>
      <c r="AI1040" s="102" t="n"/>
      <c r="AJ1040" s="102" t="n"/>
      <c r="AK1040" s="102" t="n"/>
      <c r="AL1040" s="102" t="n"/>
      <c r="AM1040" s="102" t="n"/>
      <c r="AN1040" s="102" t="n"/>
      <c r="AO1040" s="102" t="n"/>
      <c r="AP1040" s="102" t="n"/>
      <c r="AQ1040" s="102" t="n"/>
      <c r="AR1040" s="102" t="n"/>
    </row>
    <row r="1041">
      <c r="D1041" s="102" t="n"/>
      <c r="E1041" s="102" t="n"/>
      <c r="F1041" s="102" t="n"/>
      <c r="G1041" s="102" t="n"/>
      <c r="H1041" s="102" t="n"/>
      <c r="I1041" s="102" t="n"/>
      <c r="J1041" s="102" t="n"/>
      <c r="K1041" s="102" t="n"/>
      <c r="L1041" s="102" t="n"/>
      <c r="M1041" s="102" t="n"/>
      <c r="N1041" s="102" t="n"/>
      <c r="O1041" s="102" t="n"/>
      <c r="P1041" s="102" t="n"/>
      <c r="Q1041" s="102" t="n"/>
      <c r="R1041" s="102" t="n"/>
      <c r="S1041" s="102" t="n"/>
      <c r="T1041" s="102" t="n"/>
      <c r="U1041" s="102" t="n"/>
      <c r="V1041" s="102" t="n"/>
      <c r="W1041" s="102" t="n"/>
      <c r="X1041" s="102" t="n"/>
      <c r="Y1041" s="102" t="n"/>
      <c r="Z1041" s="102" t="n"/>
      <c r="AA1041" s="102" t="n"/>
      <c r="AB1041" s="102" t="n"/>
      <c r="AC1041" s="102" t="n"/>
      <c r="AD1041" s="102" t="n"/>
      <c r="AE1041" s="102" t="n"/>
      <c r="AF1041" s="102" t="n"/>
      <c r="AG1041" s="102" t="n"/>
      <c r="AH1041" s="102" t="n"/>
      <c r="AI1041" s="102" t="n"/>
      <c r="AJ1041" s="102" t="n"/>
      <c r="AK1041" s="102" t="n"/>
      <c r="AL1041" s="102" t="n"/>
      <c r="AM1041" s="102" t="n"/>
      <c r="AN1041" s="102" t="n"/>
      <c r="AO1041" s="102" t="n"/>
      <c r="AP1041" s="102" t="n"/>
      <c r="AQ1041" s="102" t="n"/>
      <c r="AR1041" s="102" t="n"/>
    </row>
    <row r="1042">
      <c r="D1042" s="103" t="n"/>
      <c r="E1042" s="103" t="n"/>
      <c r="F1042" s="103" t="n"/>
      <c r="G1042" s="103" t="n"/>
      <c r="H1042" s="103" t="n"/>
      <c r="I1042" s="103" t="n"/>
      <c r="J1042" s="103" t="n"/>
      <c r="K1042" s="103" t="n"/>
      <c r="L1042" s="103" t="n"/>
      <c r="M1042" s="103" t="n"/>
      <c r="N1042" s="103" t="n"/>
      <c r="O1042" s="103" t="n"/>
      <c r="P1042" s="103" t="n"/>
      <c r="Q1042" s="103" t="n"/>
      <c r="R1042" s="103" t="n"/>
      <c r="S1042" s="103" t="n"/>
      <c r="T1042" s="103" t="n"/>
      <c r="U1042" s="103" t="n"/>
      <c r="V1042" s="103" t="n"/>
      <c r="W1042" s="103" t="n"/>
      <c r="X1042" s="103" t="n"/>
      <c r="Y1042" s="103" t="n"/>
      <c r="Z1042" s="103" t="n"/>
      <c r="AA1042" s="103" t="n"/>
      <c r="AB1042" s="103" t="n"/>
      <c r="AC1042" s="103" t="n"/>
      <c r="AD1042" s="103" t="n"/>
      <c r="AE1042" s="103" t="n"/>
      <c r="AF1042" s="103" t="n"/>
      <c r="AG1042" s="103" t="n"/>
      <c r="AH1042" s="103" t="n"/>
      <c r="AI1042" s="103" t="n"/>
      <c r="AJ1042" s="103" t="n"/>
      <c r="AK1042" s="103" t="n"/>
      <c r="AL1042" s="103" t="n"/>
      <c r="AM1042" s="103" t="n"/>
      <c r="AN1042" s="103" t="n"/>
      <c r="AO1042" s="103" t="n"/>
      <c r="AP1042" s="103" t="n"/>
      <c r="AQ1042" s="103" t="n"/>
      <c r="AR1042" s="103" t="n"/>
    </row>
    <row r="1044">
      <c r="A1044" s="8">
        <f>IF(HSI!$C$101="","",HSI!$C$101)</f>
        <v/>
      </c>
      <c r="B1044" s="99">
        <f>IF($A1044="",0,COUNT($E1045:$AR1045))</f>
        <v/>
      </c>
      <c r="C1044" s="100">
        <f>IF($B1044=0,0,MAX($E1045:$AR1045))</f>
        <v/>
      </c>
      <c r="D1044" s="101">
        <f>BDS($A1044,FLD_HIST,"headers=y","startcol=1","endcol=7","dir=h","DVD_START_DT",HIST_FROM,"DVD_END_DT",HIST_TO)</f>
        <v/>
      </c>
      <c r="E1044" s="102" t="n"/>
      <c r="F1044" s="102" t="n"/>
      <c r="G1044" s="102" t="n"/>
      <c r="H1044" s="102" t="n"/>
      <c r="I1044" s="102" t="n"/>
      <c r="J1044" s="102" t="n"/>
      <c r="K1044" s="102" t="n"/>
      <c r="L1044" s="102" t="n"/>
      <c r="M1044" s="102" t="n"/>
      <c r="N1044" s="102" t="n"/>
      <c r="O1044" s="102" t="n"/>
      <c r="P1044" s="102" t="n"/>
      <c r="Q1044" s="102" t="n"/>
      <c r="R1044" s="102" t="n"/>
      <c r="S1044" s="102" t="n"/>
      <c r="T1044" s="102" t="n"/>
      <c r="U1044" s="102" t="n"/>
      <c r="V1044" s="102" t="n"/>
      <c r="W1044" s="102" t="n"/>
      <c r="X1044" s="102" t="n"/>
      <c r="Y1044" s="102" t="n"/>
      <c r="Z1044" s="102" t="n"/>
      <c r="AA1044" s="102" t="n"/>
      <c r="AB1044" s="102" t="n"/>
      <c r="AC1044" s="102" t="n"/>
      <c r="AD1044" s="102" t="n"/>
      <c r="AE1044" s="102" t="n"/>
      <c r="AF1044" s="102" t="n"/>
      <c r="AG1044" s="102" t="n"/>
      <c r="AH1044" s="102" t="n"/>
      <c r="AI1044" s="102" t="n"/>
      <c r="AJ1044" s="102" t="n"/>
      <c r="AK1044" s="102" t="n"/>
      <c r="AL1044" s="102" t="n"/>
      <c r="AM1044" s="102" t="n"/>
      <c r="AN1044" s="102" t="n"/>
      <c r="AO1044" s="102" t="n"/>
      <c r="AP1044" s="102" t="n"/>
      <c r="AQ1044" s="102" t="n"/>
      <c r="AR1044" s="102" t="n"/>
    </row>
    <row r="1045">
      <c r="D1045" s="102" t="n"/>
      <c r="E1045" s="102" t="n"/>
      <c r="F1045" s="102" t="n"/>
      <c r="G1045" s="102" t="n"/>
      <c r="H1045" s="102" t="n"/>
      <c r="I1045" s="102" t="n"/>
      <c r="J1045" s="102" t="n"/>
      <c r="K1045" s="102" t="n"/>
      <c r="L1045" s="102" t="n"/>
      <c r="M1045" s="102" t="n"/>
      <c r="N1045" s="102" t="n"/>
      <c r="O1045" s="102" t="n"/>
      <c r="P1045" s="102" t="n"/>
      <c r="Q1045" s="102" t="n"/>
      <c r="R1045" s="102" t="n"/>
      <c r="S1045" s="102" t="n"/>
      <c r="T1045" s="102" t="n"/>
      <c r="U1045" s="102" t="n"/>
      <c r="V1045" s="102" t="n"/>
      <c r="W1045" s="102" t="n"/>
      <c r="X1045" s="102" t="n"/>
      <c r="Y1045" s="102" t="n"/>
      <c r="Z1045" s="102" t="n"/>
      <c r="AA1045" s="102" t="n"/>
      <c r="AB1045" s="102" t="n"/>
      <c r="AC1045" s="102" t="n"/>
      <c r="AD1045" s="102" t="n"/>
      <c r="AE1045" s="102" t="n"/>
      <c r="AF1045" s="102" t="n"/>
      <c r="AG1045" s="102" t="n"/>
      <c r="AH1045" s="102" t="n"/>
      <c r="AI1045" s="102" t="n"/>
      <c r="AJ1045" s="102" t="n"/>
      <c r="AK1045" s="102" t="n"/>
      <c r="AL1045" s="102" t="n"/>
      <c r="AM1045" s="102" t="n"/>
      <c r="AN1045" s="102" t="n"/>
      <c r="AO1045" s="102" t="n"/>
      <c r="AP1045" s="102" t="n"/>
      <c r="AQ1045" s="102" t="n"/>
      <c r="AR1045" s="102" t="n"/>
    </row>
    <row r="1046">
      <c r="D1046" s="102" t="n"/>
      <c r="E1046" s="102" t="n"/>
      <c r="F1046" s="102" t="n"/>
      <c r="G1046" s="102" t="n"/>
      <c r="H1046" s="102" t="n"/>
      <c r="I1046" s="102" t="n"/>
      <c r="J1046" s="102" t="n"/>
      <c r="K1046" s="102" t="n"/>
      <c r="L1046" s="102" t="n"/>
      <c r="M1046" s="102" t="n"/>
      <c r="N1046" s="102" t="n"/>
      <c r="O1046" s="102" t="n"/>
      <c r="P1046" s="102" t="n"/>
      <c r="Q1046" s="102" t="n"/>
      <c r="R1046" s="102" t="n"/>
      <c r="S1046" s="102" t="n"/>
      <c r="T1046" s="102" t="n"/>
      <c r="U1046" s="102" t="n"/>
      <c r="V1046" s="102" t="n"/>
      <c r="W1046" s="102" t="n"/>
      <c r="X1046" s="102" t="n"/>
      <c r="Y1046" s="102" t="n"/>
      <c r="Z1046" s="102" t="n"/>
      <c r="AA1046" s="102" t="n"/>
      <c r="AB1046" s="102" t="n"/>
      <c r="AC1046" s="102" t="n"/>
      <c r="AD1046" s="102" t="n"/>
      <c r="AE1046" s="102" t="n"/>
      <c r="AF1046" s="102" t="n"/>
      <c r="AG1046" s="102" t="n"/>
      <c r="AH1046" s="102" t="n"/>
      <c r="AI1046" s="102" t="n"/>
      <c r="AJ1046" s="102" t="n"/>
      <c r="AK1046" s="102" t="n"/>
      <c r="AL1046" s="102" t="n"/>
      <c r="AM1046" s="102" t="n"/>
      <c r="AN1046" s="102" t="n"/>
      <c r="AO1046" s="102" t="n"/>
      <c r="AP1046" s="102" t="n"/>
      <c r="AQ1046" s="102" t="n"/>
      <c r="AR1046" s="102" t="n"/>
    </row>
    <row r="1047">
      <c r="D1047" s="102" t="n"/>
      <c r="E1047" s="102" t="n"/>
      <c r="F1047" s="102" t="n"/>
      <c r="G1047" s="102" t="n"/>
      <c r="H1047" s="102" t="n"/>
      <c r="I1047" s="102" t="n"/>
      <c r="J1047" s="102" t="n"/>
      <c r="K1047" s="102" t="n"/>
      <c r="L1047" s="102" t="n"/>
      <c r="M1047" s="102" t="n"/>
      <c r="N1047" s="102" t="n"/>
      <c r="O1047" s="102" t="n"/>
      <c r="P1047" s="102" t="n"/>
      <c r="Q1047" s="102" t="n"/>
      <c r="R1047" s="102" t="n"/>
      <c r="S1047" s="102" t="n"/>
      <c r="T1047" s="102" t="n"/>
      <c r="U1047" s="102" t="n"/>
      <c r="V1047" s="102" t="n"/>
      <c r="W1047" s="102" t="n"/>
      <c r="X1047" s="102" t="n"/>
      <c r="Y1047" s="102" t="n"/>
      <c r="Z1047" s="102" t="n"/>
      <c r="AA1047" s="102" t="n"/>
      <c r="AB1047" s="102" t="n"/>
      <c r="AC1047" s="102" t="n"/>
      <c r="AD1047" s="102" t="n"/>
      <c r="AE1047" s="102" t="n"/>
      <c r="AF1047" s="102" t="n"/>
      <c r="AG1047" s="102" t="n"/>
      <c r="AH1047" s="102" t="n"/>
      <c r="AI1047" s="102" t="n"/>
      <c r="AJ1047" s="102" t="n"/>
      <c r="AK1047" s="102" t="n"/>
      <c r="AL1047" s="102" t="n"/>
      <c r="AM1047" s="102" t="n"/>
      <c r="AN1047" s="102" t="n"/>
      <c r="AO1047" s="102" t="n"/>
      <c r="AP1047" s="102" t="n"/>
      <c r="AQ1047" s="102" t="n"/>
      <c r="AR1047" s="102" t="n"/>
    </row>
    <row r="1048">
      <c r="D1048" s="103" t="n"/>
      <c r="E1048" s="103" t="n"/>
      <c r="F1048" s="103" t="n"/>
      <c r="G1048" s="103" t="n"/>
      <c r="H1048" s="103" t="n"/>
      <c r="I1048" s="103" t="n"/>
      <c r="J1048" s="103" t="n"/>
      <c r="K1048" s="103" t="n"/>
      <c r="L1048" s="103" t="n"/>
      <c r="M1048" s="103" t="n"/>
      <c r="N1048" s="103" t="n"/>
      <c r="O1048" s="103" t="n"/>
      <c r="P1048" s="103" t="n"/>
      <c r="Q1048" s="103" t="n"/>
      <c r="R1048" s="103" t="n"/>
      <c r="S1048" s="103" t="n"/>
      <c r="T1048" s="103" t="n"/>
      <c r="U1048" s="103" t="n"/>
      <c r="V1048" s="103" t="n"/>
      <c r="W1048" s="103" t="n"/>
      <c r="X1048" s="103" t="n"/>
      <c r="Y1048" s="103" t="n"/>
      <c r="Z1048" s="103" t="n"/>
      <c r="AA1048" s="103" t="n"/>
      <c r="AB1048" s="103" t="n"/>
      <c r="AC1048" s="103" t="n"/>
      <c r="AD1048" s="103" t="n"/>
      <c r="AE1048" s="103" t="n"/>
      <c r="AF1048" s="103" t="n"/>
      <c r="AG1048" s="103" t="n"/>
      <c r="AH1048" s="103" t="n"/>
      <c r="AI1048" s="103" t="n"/>
      <c r="AJ1048" s="103" t="n"/>
      <c r="AK1048" s="103" t="n"/>
      <c r="AL1048" s="103" t="n"/>
      <c r="AM1048" s="103" t="n"/>
      <c r="AN1048" s="103" t="n"/>
      <c r="AO1048" s="103" t="n"/>
      <c r="AP1048" s="103" t="n"/>
      <c r="AQ1048" s="103" t="n"/>
      <c r="AR1048" s="103" t="n"/>
    </row>
    <row r="1051">
      <c r="A1051" s="2">
        <f>IF($A1044="","","   projections")</f>
        <v/>
      </c>
      <c r="B1051" s="99">
        <f>IF($A1044="",0,COUNT($E1052:$AR1052))</f>
        <v/>
      </c>
      <c r="C1051" s="100">
        <f>IF($B1051=0,0,MAX($E1052:$AR1052))</f>
        <v/>
      </c>
      <c r="D1051" s="101">
        <f>BDS($A1044,FLD_PROJ,"headers=y","startcol=1","endcol=3","dir=h")</f>
        <v/>
      </c>
      <c r="E1051" s="102" t="n"/>
      <c r="F1051" s="102" t="n"/>
      <c r="G1051" s="102" t="n"/>
      <c r="H1051" s="102" t="n"/>
      <c r="I1051" s="102" t="n"/>
      <c r="J1051" s="102" t="n"/>
      <c r="K1051" s="102" t="n"/>
      <c r="L1051" s="102" t="n"/>
      <c r="M1051" s="102" t="n"/>
      <c r="N1051" s="102" t="n"/>
      <c r="O1051" s="102" t="n"/>
      <c r="P1051" s="102" t="n"/>
      <c r="Q1051" s="102" t="n"/>
      <c r="R1051" s="102" t="n"/>
      <c r="S1051" s="102" t="n"/>
      <c r="T1051" s="102" t="n"/>
      <c r="U1051" s="102" t="n"/>
      <c r="V1051" s="102" t="n"/>
      <c r="W1051" s="102" t="n"/>
      <c r="X1051" s="102" t="n"/>
      <c r="Y1051" s="102" t="n"/>
      <c r="Z1051" s="102" t="n"/>
      <c r="AA1051" s="102" t="n"/>
      <c r="AB1051" s="102" t="n"/>
      <c r="AC1051" s="102" t="n"/>
      <c r="AD1051" s="102" t="n"/>
      <c r="AE1051" s="102" t="n"/>
      <c r="AF1051" s="102" t="n"/>
      <c r="AG1051" s="102" t="n"/>
      <c r="AH1051" s="102" t="n"/>
      <c r="AI1051" s="102" t="n"/>
      <c r="AJ1051" s="102" t="n"/>
      <c r="AK1051" s="102" t="n"/>
      <c r="AL1051" s="102" t="n"/>
      <c r="AM1051" s="102" t="n"/>
      <c r="AN1051" s="102" t="n"/>
      <c r="AO1051" s="102" t="n"/>
      <c r="AP1051" s="102" t="n"/>
      <c r="AQ1051" s="102" t="n"/>
      <c r="AR1051" s="102" t="n"/>
    </row>
    <row r="1052">
      <c r="D1052" s="102" t="n"/>
      <c r="E1052" s="102" t="n"/>
      <c r="F1052" s="102" t="n"/>
      <c r="G1052" s="102" t="n"/>
      <c r="H1052" s="102" t="n"/>
      <c r="I1052" s="102" t="n"/>
      <c r="J1052" s="102" t="n"/>
      <c r="K1052" s="102" t="n"/>
      <c r="L1052" s="102" t="n"/>
      <c r="M1052" s="102" t="n"/>
      <c r="N1052" s="102" t="n"/>
      <c r="O1052" s="102" t="n"/>
      <c r="P1052" s="102" t="n"/>
      <c r="Q1052" s="102" t="n"/>
      <c r="R1052" s="102" t="n"/>
      <c r="S1052" s="102" t="n"/>
      <c r="T1052" s="102" t="n"/>
      <c r="U1052" s="102" t="n"/>
      <c r="V1052" s="102" t="n"/>
      <c r="W1052" s="102" t="n"/>
      <c r="X1052" s="102" t="n"/>
      <c r="Y1052" s="102" t="n"/>
      <c r="Z1052" s="102" t="n"/>
      <c r="AA1052" s="102" t="n"/>
      <c r="AB1052" s="102" t="n"/>
      <c r="AC1052" s="102" t="n"/>
      <c r="AD1052" s="102" t="n"/>
      <c r="AE1052" s="102" t="n"/>
      <c r="AF1052" s="102" t="n"/>
      <c r="AG1052" s="102" t="n"/>
      <c r="AH1052" s="102" t="n"/>
      <c r="AI1052" s="102" t="n"/>
      <c r="AJ1052" s="102" t="n"/>
      <c r="AK1052" s="102" t="n"/>
      <c r="AL1052" s="102" t="n"/>
      <c r="AM1052" s="102" t="n"/>
      <c r="AN1052" s="102" t="n"/>
      <c r="AO1052" s="102" t="n"/>
      <c r="AP1052" s="102" t="n"/>
      <c r="AQ1052" s="102" t="n"/>
      <c r="AR1052" s="102" t="n"/>
    </row>
    <row r="1053">
      <c r="D1053" s="103" t="n"/>
      <c r="E1053" s="103" t="n"/>
      <c r="F1053" s="103" t="n"/>
      <c r="G1053" s="103" t="n"/>
      <c r="H1053" s="103" t="n"/>
      <c r="I1053" s="103" t="n"/>
      <c r="J1053" s="103" t="n"/>
      <c r="K1053" s="103" t="n"/>
      <c r="L1053" s="103" t="n"/>
      <c r="M1053" s="103" t="n"/>
      <c r="N1053" s="103" t="n"/>
      <c r="O1053" s="103" t="n"/>
      <c r="P1053" s="103" t="n"/>
      <c r="Q1053" s="103" t="n"/>
      <c r="R1053" s="103" t="n"/>
      <c r="S1053" s="103" t="n"/>
      <c r="T1053" s="103" t="n"/>
      <c r="U1053" s="103" t="n"/>
      <c r="V1053" s="103" t="n"/>
      <c r="W1053" s="103" t="n"/>
      <c r="X1053" s="103" t="n"/>
      <c r="Y1053" s="103" t="n"/>
      <c r="Z1053" s="103" t="n"/>
      <c r="AA1053" s="103" t="n"/>
      <c r="AB1053" s="103" t="n"/>
      <c r="AC1053" s="103" t="n"/>
      <c r="AD1053" s="103" t="n"/>
      <c r="AE1053" s="103" t="n"/>
      <c r="AF1053" s="103" t="n"/>
      <c r="AG1053" s="103" t="n"/>
      <c r="AH1053" s="103" t="n"/>
      <c r="AI1053" s="103" t="n"/>
      <c r="AJ1053" s="103" t="n"/>
      <c r="AK1053" s="103" t="n"/>
      <c r="AL1053" s="103" t="n"/>
      <c r="AM1053" s="103" t="n"/>
      <c r="AN1053" s="103" t="n"/>
      <c r="AO1053" s="103" t="n"/>
      <c r="AP1053" s="103" t="n"/>
      <c r="AQ1053" s="103" t="n"/>
      <c r="AR1053" s="103" t="n"/>
    </row>
    <row r="1055">
      <c r="A1055" s="8">
        <f>IF(HSI!$C$102="","",HSI!$C$102)</f>
        <v/>
      </c>
      <c r="B1055" s="99">
        <f>IF($A1055="",0,COUNT($E1056:$AR1056))</f>
        <v/>
      </c>
      <c r="C1055" s="100">
        <f>IF($B1055=0,0,MAX($E1056:$AR1056))</f>
        <v/>
      </c>
      <c r="D1055" s="101">
        <f>BDS($A1055,FLD_HIST,"headers=y","startcol=1","endcol=7","dir=h","DVD_START_DT",HIST_FROM,"DVD_END_DT",HIST_TO)</f>
        <v/>
      </c>
      <c r="E1055" s="102" t="n"/>
      <c r="F1055" s="102" t="n"/>
      <c r="G1055" s="102" t="n"/>
      <c r="H1055" s="102" t="n"/>
      <c r="I1055" s="102" t="n"/>
      <c r="J1055" s="102" t="n"/>
      <c r="K1055" s="102" t="n"/>
      <c r="L1055" s="102" t="n"/>
      <c r="M1055" s="102" t="n"/>
      <c r="N1055" s="102" t="n"/>
      <c r="O1055" s="102" t="n"/>
      <c r="P1055" s="102" t="n"/>
      <c r="Q1055" s="102" t="n"/>
      <c r="R1055" s="102" t="n"/>
      <c r="S1055" s="102" t="n"/>
      <c r="T1055" s="102" t="n"/>
      <c r="U1055" s="102" t="n"/>
      <c r="V1055" s="102" t="n"/>
      <c r="W1055" s="102" t="n"/>
      <c r="X1055" s="102" t="n"/>
      <c r="Y1055" s="102" t="n"/>
      <c r="Z1055" s="102" t="n"/>
      <c r="AA1055" s="102" t="n"/>
      <c r="AB1055" s="102" t="n"/>
      <c r="AC1055" s="102" t="n"/>
      <c r="AD1055" s="102" t="n"/>
      <c r="AE1055" s="102" t="n"/>
      <c r="AF1055" s="102" t="n"/>
      <c r="AG1055" s="102" t="n"/>
      <c r="AH1055" s="102" t="n"/>
      <c r="AI1055" s="102" t="n"/>
      <c r="AJ1055" s="102" t="n"/>
      <c r="AK1055" s="102" t="n"/>
      <c r="AL1055" s="102" t="n"/>
      <c r="AM1055" s="102" t="n"/>
      <c r="AN1055" s="102" t="n"/>
      <c r="AO1055" s="102" t="n"/>
      <c r="AP1055" s="102" t="n"/>
      <c r="AQ1055" s="102" t="n"/>
      <c r="AR1055" s="102" t="n"/>
    </row>
    <row r="1056">
      <c r="D1056" s="102" t="n"/>
      <c r="E1056" s="102" t="n"/>
      <c r="F1056" s="102" t="n"/>
      <c r="G1056" s="102" t="n"/>
      <c r="H1056" s="102" t="n"/>
      <c r="I1056" s="102" t="n"/>
      <c r="J1056" s="102" t="n"/>
      <c r="K1056" s="102" t="n"/>
      <c r="L1056" s="102" t="n"/>
      <c r="M1056" s="102" t="n"/>
      <c r="N1056" s="102" t="n"/>
      <c r="O1056" s="102" t="n"/>
      <c r="P1056" s="102" t="n"/>
      <c r="Q1056" s="102" t="n"/>
      <c r="R1056" s="102" t="n"/>
      <c r="S1056" s="102" t="n"/>
      <c r="T1056" s="102" t="n"/>
      <c r="U1056" s="102" t="n"/>
      <c r="V1056" s="102" t="n"/>
      <c r="W1056" s="102" t="n"/>
      <c r="X1056" s="102" t="n"/>
      <c r="Y1056" s="102" t="n"/>
      <c r="Z1056" s="102" t="n"/>
      <c r="AA1056" s="102" t="n"/>
      <c r="AB1056" s="102" t="n"/>
      <c r="AC1056" s="102" t="n"/>
      <c r="AD1056" s="102" t="n"/>
      <c r="AE1056" s="102" t="n"/>
      <c r="AF1056" s="102" t="n"/>
      <c r="AG1056" s="102" t="n"/>
      <c r="AH1056" s="102" t="n"/>
      <c r="AI1056" s="102" t="n"/>
      <c r="AJ1056" s="102" t="n"/>
      <c r="AK1056" s="102" t="n"/>
      <c r="AL1056" s="102" t="n"/>
      <c r="AM1056" s="102" t="n"/>
      <c r="AN1056" s="102" t="n"/>
      <c r="AO1056" s="102" t="n"/>
      <c r="AP1056" s="102" t="n"/>
      <c r="AQ1056" s="102" t="n"/>
      <c r="AR1056" s="102" t="n"/>
    </row>
    <row r="1057">
      <c r="D1057" s="102" t="n"/>
      <c r="E1057" s="102" t="n"/>
      <c r="F1057" s="102" t="n"/>
      <c r="G1057" s="102" t="n"/>
      <c r="H1057" s="102" t="n"/>
      <c r="I1057" s="102" t="n"/>
      <c r="J1057" s="102" t="n"/>
      <c r="K1057" s="102" t="n"/>
      <c r="L1057" s="102" t="n"/>
      <c r="M1057" s="102" t="n"/>
      <c r="N1057" s="102" t="n"/>
      <c r="O1057" s="102" t="n"/>
      <c r="P1057" s="102" t="n"/>
      <c r="Q1057" s="102" t="n"/>
      <c r="R1057" s="102" t="n"/>
      <c r="S1057" s="102" t="n"/>
      <c r="T1057" s="102" t="n"/>
      <c r="U1057" s="102" t="n"/>
      <c r="V1057" s="102" t="n"/>
      <c r="W1057" s="102" t="n"/>
      <c r="X1057" s="102" t="n"/>
      <c r="Y1057" s="102" t="n"/>
      <c r="Z1057" s="102" t="n"/>
      <c r="AA1057" s="102" t="n"/>
      <c r="AB1057" s="102" t="n"/>
      <c r="AC1057" s="102" t="n"/>
      <c r="AD1057" s="102" t="n"/>
      <c r="AE1057" s="102" t="n"/>
      <c r="AF1057" s="102" t="n"/>
      <c r="AG1057" s="102" t="n"/>
      <c r="AH1057" s="102" t="n"/>
      <c r="AI1057" s="102" t="n"/>
      <c r="AJ1057" s="102" t="n"/>
      <c r="AK1057" s="102" t="n"/>
      <c r="AL1057" s="102" t="n"/>
      <c r="AM1057" s="102" t="n"/>
      <c r="AN1057" s="102" t="n"/>
      <c r="AO1057" s="102" t="n"/>
      <c r="AP1057" s="102" t="n"/>
      <c r="AQ1057" s="102" t="n"/>
      <c r="AR1057" s="102" t="n"/>
    </row>
    <row r="1058">
      <c r="D1058" s="102" t="n"/>
      <c r="E1058" s="102" t="n"/>
      <c r="F1058" s="102" t="n"/>
      <c r="G1058" s="102" t="n"/>
      <c r="H1058" s="102" t="n"/>
      <c r="I1058" s="102" t="n"/>
      <c r="J1058" s="102" t="n"/>
      <c r="K1058" s="102" t="n"/>
      <c r="L1058" s="102" t="n"/>
      <c r="M1058" s="102" t="n"/>
      <c r="N1058" s="102" t="n"/>
      <c r="O1058" s="102" t="n"/>
      <c r="P1058" s="102" t="n"/>
      <c r="Q1058" s="102" t="n"/>
      <c r="R1058" s="102" t="n"/>
      <c r="S1058" s="102" t="n"/>
      <c r="T1058" s="102" t="n"/>
      <c r="U1058" s="102" t="n"/>
      <c r="V1058" s="102" t="n"/>
      <c r="W1058" s="102" t="n"/>
      <c r="X1058" s="102" t="n"/>
      <c r="Y1058" s="102" t="n"/>
      <c r="Z1058" s="102" t="n"/>
      <c r="AA1058" s="102" t="n"/>
      <c r="AB1058" s="102" t="n"/>
      <c r="AC1058" s="102" t="n"/>
      <c r="AD1058" s="102" t="n"/>
      <c r="AE1058" s="102" t="n"/>
      <c r="AF1058" s="102" t="n"/>
      <c r="AG1058" s="102" t="n"/>
      <c r="AH1058" s="102" t="n"/>
      <c r="AI1058" s="102" t="n"/>
      <c r="AJ1058" s="102" t="n"/>
      <c r="AK1058" s="102" t="n"/>
      <c r="AL1058" s="102" t="n"/>
      <c r="AM1058" s="102" t="n"/>
      <c r="AN1058" s="102" t="n"/>
      <c r="AO1058" s="102" t="n"/>
      <c r="AP1058" s="102" t="n"/>
      <c r="AQ1058" s="102" t="n"/>
      <c r="AR1058" s="102" t="n"/>
    </row>
    <row r="1059">
      <c r="D1059" s="103" t="n"/>
      <c r="E1059" s="103" t="n"/>
      <c r="F1059" s="103" t="n"/>
      <c r="G1059" s="103" t="n"/>
      <c r="H1059" s="103" t="n"/>
      <c r="I1059" s="103" t="n"/>
      <c r="J1059" s="103" t="n"/>
      <c r="K1059" s="103" t="n"/>
      <c r="L1059" s="103" t="n"/>
      <c r="M1059" s="103" t="n"/>
      <c r="N1059" s="103" t="n"/>
      <c r="O1059" s="103" t="n"/>
      <c r="P1059" s="103" t="n"/>
      <c r="Q1059" s="103" t="n"/>
      <c r="R1059" s="103" t="n"/>
      <c r="S1059" s="103" t="n"/>
      <c r="T1059" s="103" t="n"/>
      <c r="U1059" s="103" t="n"/>
      <c r="V1059" s="103" t="n"/>
      <c r="W1059" s="103" t="n"/>
      <c r="X1059" s="103" t="n"/>
      <c r="Y1059" s="103" t="n"/>
      <c r="Z1059" s="103" t="n"/>
      <c r="AA1059" s="103" t="n"/>
      <c r="AB1059" s="103" t="n"/>
      <c r="AC1059" s="103" t="n"/>
      <c r="AD1059" s="103" t="n"/>
      <c r="AE1059" s="103" t="n"/>
      <c r="AF1059" s="103" t="n"/>
      <c r="AG1059" s="103" t="n"/>
      <c r="AH1059" s="103" t="n"/>
      <c r="AI1059" s="103" t="n"/>
      <c r="AJ1059" s="103" t="n"/>
      <c r="AK1059" s="103" t="n"/>
      <c r="AL1059" s="103" t="n"/>
      <c r="AM1059" s="103" t="n"/>
      <c r="AN1059" s="103" t="n"/>
      <c r="AO1059" s="103" t="n"/>
      <c r="AP1059" s="103" t="n"/>
      <c r="AQ1059" s="103" t="n"/>
      <c r="AR1059" s="103" t="n"/>
    </row>
    <row r="1062">
      <c r="A1062" s="2">
        <f>IF($A1055="","","   projections")</f>
        <v/>
      </c>
      <c r="B1062" s="99">
        <f>IF($A1055="",0,COUNT($E1063:$AR1063))</f>
        <v/>
      </c>
      <c r="C1062" s="100">
        <f>IF($B1062=0,0,MAX($E1063:$AR1063))</f>
        <v/>
      </c>
      <c r="D1062" s="101">
        <f>BDS($A1055,FLD_PROJ,"headers=y","startcol=1","endcol=3","dir=h")</f>
        <v/>
      </c>
      <c r="E1062" s="102" t="n"/>
      <c r="F1062" s="102" t="n"/>
      <c r="G1062" s="102" t="n"/>
      <c r="H1062" s="102" t="n"/>
      <c r="I1062" s="102" t="n"/>
      <c r="J1062" s="102" t="n"/>
      <c r="K1062" s="102" t="n"/>
      <c r="L1062" s="102" t="n"/>
      <c r="M1062" s="102" t="n"/>
      <c r="N1062" s="102" t="n"/>
      <c r="O1062" s="102" t="n"/>
      <c r="P1062" s="102" t="n"/>
      <c r="Q1062" s="102" t="n"/>
      <c r="R1062" s="102" t="n"/>
      <c r="S1062" s="102" t="n"/>
      <c r="T1062" s="102" t="n"/>
      <c r="U1062" s="102" t="n"/>
      <c r="V1062" s="102" t="n"/>
      <c r="W1062" s="102" t="n"/>
      <c r="X1062" s="102" t="n"/>
      <c r="Y1062" s="102" t="n"/>
      <c r="Z1062" s="102" t="n"/>
      <c r="AA1062" s="102" t="n"/>
      <c r="AB1062" s="102" t="n"/>
      <c r="AC1062" s="102" t="n"/>
      <c r="AD1062" s="102" t="n"/>
      <c r="AE1062" s="102" t="n"/>
      <c r="AF1062" s="102" t="n"/>
      <c r="AG1062" s="102" t="n"/>
      <c r="AH1062" s="102" t="n"/>
      <c r="AI1062" s="102" t="n"/>
      <c r="AJ1062" s="102" t="n"/>
      <c r="AK1062" s="102" t="n"/>
      <c r="AL1062" s="102" t="n"/>
      <c r="AM1062" s="102" t="n"/>
      <c r="AN1062" s="102" t="n"/>
      <c r="AO1062" s="102" t="n"/>
      <c r="AP1062" s="102" t="n"/>
      <c r="AQ1062" s="102" t="n"/>
      <c r="AR1062" s="102" t="n"/>
    </row>
    <row r="1063">
      <c r="D1063" s="102" t="n"/>
      <c r="E1063" s="102" t="n"/>
      <c r="F1063" s="102" t="n"/>
      <c r="G1063" s="102" t="n"/>
      <c r="H1063" s="102" t="n"/>
      <c r="I1063" s="102" t="n"/>
      <c r="J1063" s="102" t="n"/>
      <c r="K1063" s="102" t="n"/>
      <c r="L1063" s="102" t="n"/>
      <c r="M1063" s="102" t="n"/>
      <c r="N1063" s="102" t="n"/>
      <c r="O1063" s="102" t="n"/>
      <c r="P1063" s="102" t="n"/>
      <c r="Q1063" s="102" t="n"/>
      <c r="R1063" s="102" t="n"/>
      <c r="S1063" s="102" t="n"/>
      <c r="T1063" s="102" t="n"/>
      <c r="U1063" s="102" t="n"/>
      <c r="V1063" s="102" t="n"/>
      <c r="W1063" s="102" t="n"/>
      <c r="X1063" s="102" t="n"/>
      <c r="Y1063" s="102" t="n"/>
      <c r="Z1063" s="102" t="n"/>
      <c r="AA1063" s="102" t="n"/>
      <c r="AB1063" s="102" t="n"/>
      <c r="AC1063" s="102" t="n"/>
      <c r="AD1063" s="102" t="n"/>
      <c r="AE1063" s="102" t="n"/>
      <c r="AF1063" s="102" t="n"/>
      <c r="AG1063" s="102" t="n"/>
      <c r="AH1063" s="102" t="n"/>
      <c r="AI1063" s="102" t="n"/>
      <c r="AJ1063" s="102" t="n"/>
      <c r="AK1063" s="102" t="n"/>
      <c r="AL1063" s="102" t="n"/>
      <c r="AM1063" s="102" t="n"/>
      <c r="AN1063" s="102" t="n"/>
      <c r="AO1063" s="102" t="n"/>
      <c r="AP1063" s="102" t="n"/>
      <c r="AQ1063" s="102" t="n"/>
      <c r="AR1063" s="102" t="n"/>
    </row>
    <row r="1064">
      <c r="D1064" s="103" t="n"/>
      <c r="E1064" s="103" t="n"/>
      <c r="F1064" s="103" t="n"/>
      <c r="G1064" s="103" t="n"/>
      <c r="H1064" s="103" t="n"/>
      <c r="I1064" s="103" t="n"/>
      <c r="J1064" s="103" t="n"/>
      <c r="K1064" s="103" t="n"/>
      <c r="L1064" s="103" t="n"/>
      <c r="M1064" s="103" t="n"/>
      <c r="N1064" s="103" t="n"/>
      <c r="O1064" s="103" t="n"/>
      <c r="P1064" s="103" t="n"/>
      <c r="Q1064" s="103" t="n"/>
      <c r="R1064" s="103" t="n"/>
      <c r="S1064" s="103" t="n"/>
      <c r="T1064" s="103" t="n"/>
      <c r="U1064" s="103" t="n"/>
      <c r="V1064" s="103" t="n"/>
      <c r="W1064" s="103" t="n"/>
      <c r="X1064" s="103" t="n"/>
      <c r="Y1064" s="103" t="n"/>
      <c r="Z1064" s="103" t="n"/>
      <c r="AA1064" s="103" t="n"/>
      <c r="AB1064" s="103" t="n"/>
      <c r="AC1064" s="103" t="n"/>
      <c r="AD1064" s="103" t="n"/>
      <c r="AE1064" s="103" t="n"/>
      <c r="AF1064" s="103" t="n"/>
      <c r="AG1064" s="103" t="n"/>
      <c r="AH1064" s="103" t="n"/>
      <c r="AI1064" s="103" t="n"/>
      <c r="AJ1064" s="103" t="n"/>
      <c r="AK1064" s="103" t="n"/>
      <c r="AL1064" s="103" t="n"/>
      <c r="AM1064" s="103" t="n"/>
      <c r="AN1064" s="103" t="n"/>
      <c r="AO1064" s="103" t="n"/>
      <c r="AP1064" s="103" t="n"/>
      <c r="AQ1064" s="103" t="n"/>
      <c r="AR1064" s="103" t="n"/>
    </row>
    <row r="1066">
      <c r="A1066" s="8">
        <f>IF(HSI!$C$103="","",HSI!$C$103)</f>
        <v/>
      </c>
      <c r="B1066" s="99">
        <f>IF($A1066="",0,COUNT($E1067:$AR1067))</f>
        <v/>
      </c>
      <c r="C1066" s="100">
        <f>IF($B1066=0,0,MAX($E1067:$AR1067))</f>
        <v/>
      </c>
      <c r="D1066" s="101">
        <f>BDS($A1066,FLD_HIST,"headers=y","startcol=1","endcol=7","dir=h","DVD_START_DT",HIST_FROM,"DVD_END_DT",HIST_TO)</f>
        <v/>
      </c>
      <c r="E1066" s="102" t="n"/>
      <c r="F1066" s="102" t="n"/>
      <c r="G1066" s="102" t="n"/>
      <c r="H1066" s="102" t="n"/>
      <c r="I1066" s="102" t="n"/>
      <c r="J1066" s="102" t="n"/>
      <c r="K1066" s="102" t="n"/>
      <c r="L1066" s="102" t="n"/>
      <c r="M1066" s="102" t="n"/>
      <c r="N1066" s="102" t="n"/>
      <c r="O1066" s="102" t="n"/>
      <c r="P1066" s="102" t="n"/>
      <c r="Q1066" s="102" t="n"/>
      <c r="R1066" s="102" t="n"/>
      <c r="S1066" s="102" t="n"/>
      <c r="T1066" s="102" t="n"/>
      <c r="U1066" s="102" t="n"/>
      <c r="V1066" s="102" t="n"/>
      <c r="W1066" s="102" t="n"/>
      <c r="X1066" s="102" t="n"/>
      <c r="Y1066" s="102" t="n"/>
      <c r="Z1066" s="102" t="n"/>
      <c r="AA1066" s="102" t="n"/>
      <c r="AB1066" s="102" t="n"/>
      <c r="AC1066" s="102" t="n"/>
      <c r="AD1066" s="102" t="n"/>
      <c r="AE1066" s="102" t="n"/>
      <c r="AF1066" s="102" t="n"/>
      <c r="AG1066" s="102" t="n"/>
      <c r="AH1066" s="102" t="n"/>
      <c r="AI1066" s="102" t="n"/>
      <c r="AJ1066" s="102" t="n"/>
      <c r="AK1066" s="102" t="n"/>
      <c r="AL1066" s="102" t="n"/>
      <c r="AM1066" s="102" t="n"/>
      <c r="AN1066" s="102" t="n"/>
      <c r="AO1066" s="102" t="n"/>
      <c r="AP1066" s="102" t="n"/>
      <c r="AQ1066" s="102" t="n"/>
      <c r="AR1066" s="102" t="n"/>
    </row>
    <row r="1067">
      <c r="D1067" s="102" t="n"/>
      <c r="E1067" s="102" t="n"/>
      <c r="F1067" s="102" t="n"/>
      <c r="G1067" s="102" t="n"/>
      <c r="H1067" s="102" t="n"/>
      <c r="I1067" s="102" t="n"/>
      <c r="J1067" s="102" t="n"/>
      <c r="K1067" s="102" t="n"/>
      <c r="L1067" s="102" t="n"/>
      <c r="M1067" s="102" t="n"/>
      <c r="N1067" s="102" t="n"/>
      <c r="O1067" s="102" t="n"/>
      <c r="P1067" s="102" t="n"/>
      <c r="Q1067" s="102" t="n"/>
      <c r="R1067" s="102" t="n"/>
      <c r="S1067" s="102" t="n"/>
      <c r="T1067" s="102" t="n"/>
      <c r="U1067" s="102" t="n"/>
      <c r="V1067" s="102" t="n"/>
      <c r="W1067" s="102" t="n"/>
      <c r="X1067" s="102" t="n"/>
      <c r="Y1067" s="102" t="n"/>
      <c r="Z1067" s="102" t="n"/>
      <c r="AA1067" s="102" t="n"/>
      <c r="AB1067" s="102" t="n"/>
      <c r="AC1067" s="102" t="n"/>
      <c r="AD1067" s="102" t="n"/>
      <c r="AE1067" s="102" t="n"/>
      <c r="AF1067" s="102" t="n"/>
      <c r="AG1067" s="102" t="n"/>
      <c r="AH1067" s="102" t="n"/>
      <c r="AI1067" s="102" t="n"/>
      <c r="AJ1067" s="102" t="n"/>
      <c r="AK1067" s="102" t="n"/>
      <c r="AL1067" s="102" t="n"/>
      <c r="AM1067" s="102" t="n"/>
      <c r="AN1067" s="102" t="n"/>
      <c r="AO1067" s="102" t="n"/>
      <c r="AP1067" s="102" t="n"/>
      <c r="AQ1067" s="102" t="n"/>
      <c r="AR1067" s="102" t="n"/>
    </row>
    <row r="1068">
      <c r="D1068" s="102" t="n"/>
      <c r="E1068" s="102" t="n"/>
      <c r="F1068" s="102" t="n"/>
      <c r="G1068" s="102" t="n"/>
      <c r="H1068" s="102" t="n"/>
      <c r="I1068" s="102" t="n"/>
      <c r="J1068" s="102" t="n"/>
      <c r="K1068" s="102" t="n"/>
      <c r="L1068" s="102" t="n"/>
      <c r="M1068" s="102" t="n"/>
      <c r="N1068" s="102" t="n"/>
      <c r="O1068" s="102" t="n"/>
      <c r="P1068" s="102" t="n"/>
      <c r="Q1068" s="102" t="n"/>
      <c r="R1068" s="102" t="n"/>
      <c r="S1068" s="102" t="n"/>
      <c r="T1068" s="102" t="n"/>
      <c r="U1068" s="102" t="n"/>
      <c r="V1068" s="102" t="n"/>
      <c r="W1068" s="102" t="n"/>
      <c r="X1068" s="102" t="n"/>
      <c r="Y1068" s="102" t="n"/>
      <c r="Z1068" s="102" t="n"/>
      <c r="AA1068" s="102" t="n"/>
      <c r="AB1068" s="102" t="n"/>
      <c r="AC1068" s="102" t="n"/>
      <c r="AD1068" s="102" t="n"/>
      <c r="AE1068" s="102" t="n"/>
      <c r="AF1068" s="102" t="n"/>
      <c r="AG1068" s="102" t="n"/>
      <c r="AH1068" s="102" t="n"/>
      <c r="AI1068" s="102" t="n"/>
      <c r="AJ1068" s="102" t="n"/>
      <c r="AK1068" s="102" t="n"/>
      <c r="AL1068" s="102" t="n"/>
      <c r="AM1068" s="102" t="n"/>
      <c r="AN1068" s="102" t="n"/>
      <c r="AO1068" s="102" t="n"/>
      <c r="AP1068" s="102" t="n"/>
      <c r="AQ1068" s="102" t="n"/>
      <c r="AR1068" s="102" t="n"/>
    </row>
    <row r="1069">
      <c r="D1069" s="102" t="n"/>
      <c r="E1069" s="102" t="n"/>
      <c r="F1069" s="102" t="n"/>
      <c r="G1069" s="102" t="n"/>
      <c r="H1069" s="102" t="n"/>
      <c r="I1069" s="102" t="n"/>
      <c r="J1069" s="102" t="n"/>
      <c r="K1069" s="102" t="n"/>
      <c r="L1069" s="102" t="n"/>
      <c r="M1069" s="102" t="n"/>
      <c r="N1069" s="102" t="n"/>
      <c r="O1069" s="102" t="n"/>
      <c r="P1069" s="102" t="n"/>
      <c r="Q1069" s="102" t="n"/>
      <c r="R1069" s="102" t="n"/>
      <c r="S1069" s="102" t="n"/>
      <c r="T1069" s="102" t="n"/>
      <c r="U1069" s="102" t="n"/>
      <c r="V1069" s="102" t="n"/>
      <c r="W1069" s="102" t="n"/>
      <c r="X1069" s="102" t="n"/>
      <c r="Y1069" s="102" t="n"/>
      <c r="Z1069" s="102" t="n"/>
      <c r="AA1069" s="102" t="n"/>
      <c r="AB1069" s="102" t="n"/>
      <c r="AC1069" s="102" t="n"/>
      <c r="AD1069" s="102" t="n"/>
      <c r="AE1069" s="102" t="n"/>
      <c r="AF1069" s="102" t="n"/>
      <c r="AG1069" s="102" t="n"/>
      <c r="AH1069" s="102" t="n"/>
      <c r="AI1069" s="102" t="n"/>
      <c r="AJ1069" s="102" t="n"/>
      <c r="AK1069" s="102" t="n"/>
      <c r="AL1069" s="102" t="n"/>
      <c r="AM1069" s="102" t="n"/>
      <c r="AN1069" s="102" t="n"/>
      <c r="AO1069" s="102" t="n"/>
      <c r="AP1069" s="102" t="n"/>
      <c r="AQ1069" s="102" t="n"/>
      <c r="AR1069" s="102" t="n"/>
    </row>
    <row r="1070">
      <c r="D1070" s="103" t="n"/>
      <c r="E1070" s="103" t="n"/>
      <c r="F1070" s="103" t="n"/>
      <c r="G1070" s="103" t="n"/>
      <c r="H1070" s="103" t="n"/>
      <c r="I1070" s="103" t="n"/>
      <c r="J1070" s="103" t="n"/>
      <c r="K1070" s="103" t="n"/>
      <c r="L1070" s="103" t="n"/>
      <c r="M1070" s="103" t="n"/>
      <c r="N1070" s="103" t="n"/>
      <c r="O1070" s="103" t="n"/>
      <c r="P1070" s="103" t="n"/>
      <c r="Q1070" s="103" t="n"/>
      <c r="R1070" s="103" t="n"/>
      <c r="S1070" s="103" t="n"/>
      <c r="T1070" s="103" t="n"/>
      <c r="U1070" s="103" t="n"/>
      <c r="V1070" s="103" t="n"/>
      <c r="W1070" s="103" t="n"/>
      <c r="X1070" s="103" t="n"/>
      <c r="Y1070" s="103" t="n"/>
      <c r="Z1070" s="103" t="n"/>
      <c r="AA1070" s="103" t="n"/>
      <c r="AB1070" s="103" t="n"/>
      <c r="AC1070" s="103" t="n"/>
      <c r="AD1070" s="103" t="n"/>
      <c r="AE1070" s="103" t="n"/>
      <c r="AF1070" s="103" t="n"/>
      <c r="AG1070" s="103" t="n"/>
      <c r="AH1070" s="103" t="n"/>
      <c r="AI1070" s="103" t="n"/>
      <c r="AJ1070" s="103" t="n"/>
      <c r="AK1070" s="103" t="n"/>
      <c r="AL1070" s="103" t="n"/>
      <c r="AM1070" s="103" t="n"/>
      <c r="AN1070" s="103" t="n"/>
      <c r="AO1070" s="103" t="n"/>
      <c r="AP1070" s="103" t="n"/>
      <c r="AQ1070" s="103" t="n"/>
      <c r="AR1070" s="103" t="n"/>
    </row>
    <row r="1073">
      <c r="A1073" s="2">
        <f>IF($A1066="","","   projections")</f>
        <v/>
      </c>
      <c r="B1073" s="99">
        <f>IF($A1066="",0,COUNT($E1074:$AR1074))</f>
        <v/>
      </c>
      <c r="C1073" s="100">
        <f>IF($B1073=0,0,MAX($E1074:$AR1074))</f>
        <v/>
      </c>
      <c r="D1073" s="101">
        <f>BDS($A1066,FLD_PROJ,"headers=y","startcol=1","endcol=3","dir=h")</f>
        <v/>
      </c>
      <c r="E1073" s="102" t="n"/>
      <c r="F1073" s="102" t="n"/>
      <c r="G1073" s="102" t="n"/>
      <c r="H1073" s="102" t="n"/>
      <c r="I1073" s="102" t="n"/>
      <c r="J1073" s="102" t="n"/>
      <c r="K1073" s="102" t="n"/>
      <c r="L1073" s="102" t="n"/>
      <c r="M1073" s="102" t="n"/>
      <c r="N1073" s="102" t="n"/>
      <c r="O1073" s="102" t="n"/>
      <c r="P1073" s="102" t="n"/>
      <c r="Q1073" s="102" t="n"/>
      <c r="R1073" s="102" t="n"/>
      <c r="S1073" s="102" t="n"/>
      <c r="T1073" s="102" t="n"/>
      <c r="U1073" s="102" t="n"/>
      <c r="V1073" s="102" t="n"/>
      <c r="W1073" s="102" t="n"/>
      <c r="X1073" s="102" t="n"/>
      <c r="Y1073" s="102" t="n"/>
      <c r="Z1073" s="102" t="n"/>
      <c r="AA1073" s="102" t="n"/>
      <c r="AB1073" s="102" t="n"/>
      <c r="AC1073" s="102" t="n"/>
      <c r="AD1073" s="102" t="n"/>
      <c r="AE1073" s="102" t="n"/>
      <c r="AF1073" s="102" t="n"/>
      <c r="AG1073" s="102" t="n"/>
      <c r="AH1073" s="102" t="n"/>
      <c r="AI1073" s="102" t="n"/>
      <c r="AJ1073" s="102" t="n"/>
      <c r="AK1073" s="102" t="n"/>
      <c r="AL1073" s="102" t="n"/>
      <c r="AM1073" s="102" t="n"/>
      <c r="AN1073" s="102" t="n"/>
      <c r="AO1073" s="102" t="n"/>
      <c r="AP1073" s="102" t="n"/>
      <c r="AQ1073" s="102" t="n"/>
      <c r="AR1073" s="102" t="n"/>
    </row>
    <row r="1074">
      <c r="D1074" s="102" t="n"/>
      <c r="E1074" s="102" t="n"/>
      <c r="F1074" s="102" t="n"/>
      <c r="G1074" s="102" t="n"/>
      <c r="H1074" s="102" t="n"/>
      <c r="I1074" s="102" t="n"/>
      <c r="J1074" s="102" t="n"/>
      <c r="K1074" s="102" t="n"/>
      <c r="L1074" s="102" t="n"/>
      <c r="M1074" s="102" t="n"/>
      <c r="N1074" s="102" t="n"/>
      <c r="O1074" s="102" t="n"/>
      <c r="P1074" s="102" t="n"/>
      <c r="Q1074" s="102" t="n"/>
      <c r="R1074" s="102" t="n"/>
      <c r="S1074" s="102" t="n"/>
      <c r="T1074" s="102" t="n"/>
      <c r="U1074" s="102" t="n"/>
      <c r="V1074" s="102" t="n"/>
      <c r="W1074" s="102" t="n"/>
      <c r="X1074" s="102" t="n"/>
      <c r="Y1074" s="102" t="n"/>
      <c r="Z1074" s="102" t="n"/>
      <c r="AA1074" s="102" t="n"/>
      <c r="AB1074" s="102" t="n"/>
      <c r="AC1074" s="102" t="n"/>
      <c r="AD1074" s="102" t="n"/>
      <c r="AE1074" s="102" t="n"/>
      <c r="AF1074" s="102" t="n"/>
      <c r="AG1074" s="102" t="n"/>
      <c r="AH1074" s="102" t="n"/>
      <c r="AI1074" s="102" t="n"/>
      <c r="AJ1074" s="102" t="n"/>
      <c r="AK1074" s="102" t="n"/>
      <c r="AL1074" s="102" t="n"/>
      <c r="AM1074" s="102" t="n"/>
      <c r="AN1074" s="102" t="n"/>
      <c r="AO1074" s="102" t="n"/>
      <c r="AP1074" s="102" t="n"/>
      <c r="AQ1074" s="102" t="n"/>
      <c r="AR1074" s="102" t="n"/>
    </row>
    <row r="1075">
      <c r="D1075" s="103" t="n"/>
      <c r="E1075" s="103" t="n"/>
      <c r="F1075" s="103" t="n"/>
      <c r="G1075" s="103" t="n"/>
      <c r="H1075" s="103" t="n"/>
      <c r="I1075" s="103" t="n"/>
      <c r="J1075" s="103" t="n"/>
      <c r="K1075" s="103" t="n"/>
      <c r="L1075" s="103" t="n"/>
      <c r="M1075" s="103" t="n"/>
      <c r="N1075" s="103" t="n"/>
      <c r="O1075" s="103" t="n"/>
      <c r="P1075" s="103" t="n"/>
      <c r="Q1075" s="103" t="n"/>
      <c r="R1075" s="103" t="n"/>
      <c r="S1075" s="103" t="n"/>
      <c r="T1075" s="103" t="n"/>
      <c r="U1075" s="103" t="n"/>
      <c r="V1075" s="103" t="n"/>
      <c r="W1075" s="103" t="n"/>
      <c r="X1075" s="103" t="n"/>
      <c r="Y1075" s="103" t="n"/>
      <c r="Z1075" s="103" t="n"/>
      <c r="AA1075" s="103" t="n"/>
      <c r="AB1075" s="103" t="n"/>
      <c r="AC1075" s="103" t="n"/>
      <c r="AD1075" s="103" t="n"/>
      <c r="AE1075" s="103" t="n"/>
      <c r="AF1075" s="103" t="n"/>
      <c r="AG1075" s="103" t="n"/>
      <c r="AH1075" s="103" t="n"/>
      <c r="AI1075" s="103" t="n"/>
      <c r="AJ1075" s="103" t="n"/>
      <c r="AK1075" s="103" t="n"/>
      <c r="AL1075" s="103" t="n"/>
      <c r="AM1075" s="103" t="n"/>
      <c r="AN1075" s="103" t="n"/>
      <c r="AO1075" s="103" t="n"/>
      <c r="AP1075" s="103" t="n"/>
      <c r="AQ1075" s="103" t="n"/>
      <c r="AR1075" s="103" t="n"/>
    </row>
    <row r="1077">
      <c r="A1077" s="8">
        <f>IF(HSI!$C$104="","",HSI!$C$104)</f>
        <v/>
      </c>
      <c r="B1077" s="99">
        <f>IF($A1077="",0,COUNT($E1078:$AR1078))</f>
        <v/>
      </c>
      <c r="C1077" s="100">
        <f>IF($B1077=0,0,MAX($E1078:$AR1078))</f>
        <v/>
      </c>
      <c r="D1077" s="101">
        <f>BDS($A1077,FLD_HIST,"headers=y","startcol=1","endcol=7","dir=h","DVD_START_DT",HIST_FROM,"DVD_END_DT",HIST_TO)</f>
        <v/>
      </c>
      <c r="E1077" s="102" t="n"/>
      <c r="F1077" s="102" t="n"/>
      <c r="G1077" s="102" t="n"/>
      <c r="H1077" s="102" t="n"/>
      <c r="I1077" s="102" t="n"/>
      <c r="J1077" s="102" t="n"/>
      <c r="K1077" s="102" t="n"/>
      <c r="L1077" s="102" t="n"/>
      <c r="M1077" s="102" t="n"/>
      <c r="N1077" s="102" t="n"/>
      <c r="O1077" s="102" t="n"/>
      <c r="P1077" s="102" t="n"/>
      <c r="Q1077" s="102" t="n"/>
      <c r="R1077" s="102" t="n"/>
      <c r="S1077" s="102" t="n"/>
      <c r="T1077" s="102" t="n"/>
      <c r="U1077" s="102" t="n"/>
      <c r="V1077" s="102" t="n"/>
      <c r="W1077" s="102" t="n"/>
      <c r="X1077" s="102" t="n"/>
      <c r="Y1077" s="102" t="n"/>
      <c r="Z1077" s="102" t="n"/>
      <c r="AA1077" s="102" t="n"/>
      <c r="AB1077" s="102" t="n"/>
      <c r="AC1077" s="102" t="n"/>
      <c r="AD1077" s="102" t="n"/>
      <c r="AE1077" s="102" t="n"/>
      <c r="AF1077" s="102" t="n"/>
      <c r="AG1077" s="102" t="n"/>
      <c r="AH1077" s="102" t="n"/>
      <c r="AI1077" s="102" t="n"/>
      <c r="AJ1077" s="102" t="n"/>
      <c r="AK1077" s="102" t="n"/>
      <c r="AL1077" s="102" t="n"/>
      <c r="AM1077" s="102" t="n"/>
      <c r="AN1077" s="102" t="n"/>
      <c r="AO1077" s="102" t="n"/>
      <c r="AP1077" s="102" t="n"/>
      <c r="AQ1077" s="102" t="n"/>
      <c r="AR1077" s="102" t="n"/>
    </row>
    <row r="1078">
      <c r="D1078" s="102" t="n"/>
      <c r="E1078" s="102" t="n"/>
      <c r="F1078" s="102" t="n"/>
      <c r="G1078" s="102" t="n"/>
      <c r="H1078" s="102" t="n"/>
      <c r="I1078" s="102" t="n"/>
      <c r="J1078" s="102" t="n"/>
      <c r="K1078" s="102" t="n"/>
      <c r="L1078" s="102" t="n"/>
      <c r="M1078" s="102" t="n"/>
      <c r="N1078" s="102" t="n"/>
      <c r="O1078" s="102" t="n"/>
      <c r="P1078" s="102" t="n"/>
      <c r="Q1078" s="102" t="n"/>
      <c r="R1078" s="102" t="n"/>
      <c r="S1078" s="102" t="n"/>
      <c r="T1078" s="102" t="n"/>
      <c r="U1078" s="102" t="n"/>
      <c r="V1078" s="102" t="n"/>
      <c r="W1078" s="102" t="n"/>
      <c r="X1078" s="102" t="n"/>
      <c r="Y1078" s="102" t="n"/>
      <c r="Z1078" s="102" t="n"/>
      <c r="AA1078" s="102" t="n"/>
      <c r="AB1078" s="102" t="n"/>
      <c r="AC1078" s="102" t="n"/>
      <c r="AD1078" s="102" t="n"/>
      <c r="AE1078" s="102" t="n"/>
      <c r="AF1078" s="102" t="n"/>
      <c r="AG1078" s="102" t="n"/>
      <c r="AH1078" s="102" t="n"/>
      <c r="AI1078" s="102" t="n"/>
      <c r="AJ1078" s="102" t="n"/>
      <c r="AK1078" s="102" t="n"/>
      <c r="AL1078" s="102" t="n"/>
      <c r="AM1078" s="102" t="n"/>
      <c r="AN1078" s="102" t="n"/>
      <c r="AO1078" s="102" t="n"/>
      <c r="AP1078" s="102" t="n"/>
      <c r="AQ1078" s="102" t="n"/>
      <c r="AR1078" s="102" t="n"/>
    </row>
    <row r="1079">
      <c r="D1079" s="102" t="n"/>
      <c r="E1079" s="102" t="n"/>
      <c r="F1079" s="102" t="n"/>
      <c r="G1079" s="102" t="n"/>
      <c r="H1079" s="102" t="n"/>
      <c r="I1079" s="102" t="n"/>
      <c r="J1079" s="102" t="n"/>
      <c r="K1079" s="102" t="n"/>
      <c r="L1079" s="102" t="n"/>
      <c r="M1079" s="102" t="n"/>
      <c r="N1079" s="102" t="n"/>
      <c r="O1079" s="102" t="n"/>
      <c r="P1079" s="102" t="n"/>
      <c r="Q1079" s="102" t="n"/>
      <c r="R1079" s="102" t="n"/>
      <c r="S1079" s="102" t="n"/>
      <c r="T1079" s="102" t="n"/>
      <c r="U1079" s="102" t="n"/>
      <c r="V1079" s="102" t="n"/>
      <c r="W1079" s="102" t="n"/>
      <c r="X1079" s="102" t="n"/>
      <c r="Y1079" s="102" t="n"/>
      <c r="Z1079" s="102" t="n"/>
      <c r="AA1079" s="102" t="n"/>
      <c r="AB1079" s="102" t="n"/>
      <c r="AC1079" s="102" t="n"/>
      <c r="AD1079" s="102" t="n"/>
      <c r="AE1079" s="102" t="n"/>
      <c r="AF1079" s="102" t="n"/>
      <c r="AG1079" s="102" t="n"/>
      <c r="AH1079" s="102" t="n"/>
      <c r="AI1079" s="102" t="n"/>
      <c r="AJ1079" s="102" t="n"/>
      <c r="AK1079" s="102" t="n"/>
      <c r="AL1079" s="102" t="n"/>
      <c r="AM1079" s="102" t="n"/>
      <c r="AN1079" s="102" t="n"/>
      <c r="AO1079" s="102" t="n"/>
      <c r="AP1079" s="102" t="n"/>
      <c r="AQ1079" s="102" t="n"/>
      <c r="AR1079" s="102" t="n"/>
    </row>
    <row r="1080">
      <c r="D1080" s="102" t="n"/>
      <c r="E1080" s="102" t="n"/>
      <c r="F1080" s="102" t="n"/>
      <c r="G1080" s="102" t="n"/>
      <c r="H1080" s="102" t="n"/>
      <c r="I1080" s="102" t="n"/>
      <c r="J1080" s="102" t="n"/>
      <c r="K1080" s="102" t="n"/>
      <c r="L1080" s="102" t="n"/>
      <c r="M1080" s="102" t="n"/>
      <c r="N1080" s="102" t="n"/>
      <c r="O1080" s="102" t="n"/>
      <c r="P1080" s="102" t="n"/>
      <c r="Q1080" s="102" t="n"/>
      <c r="R1080" s="102" t="n"/>
      <c r="S1080" s="102" t="n"/>
      <c r="T1080" s="102" t="n"/>
      <c r="U1080" s="102" t="n"/>
      <c r="V1080" s="102" t="n"/>
      <c r="W1080" s="102" t="n"/>
      <c r="X1080" s="102" t="n"/>
      <c r="Y1080" s="102" t="n"/>
      <c r="Z1080" s="102" t="n"/>
      <c r="AA1080" s="102" t="n"/>
      <c r="AB1080" s="102" t="n"/>
      <c r="AC1080" s="102" t="n"/>
      <c r="AD1080" s="102" t="n"/>
      <c r="AE1080" s="102" t="n"/>
      <c r="AF1080" s="102" t="n"/>
      <c r="AG1080" s="102" t="n"/>
      <c r="AH1080" s="102" t="n"/>
      <c r="AI1080" s="102" t="n"/>
      <c r="AJ1080" s="102" t="n"/>
      <c r="AK1080" s="102" t="n"/>
      <c r="AL1080" s="102" t="n"/>
      <c r="AM1080" s="102" t="n"/>
      <c r="AN1080" s="102" t="n"/>
      <c r="AO1080" s="102" t="n"/>
      <c r="AP1080" s="102" t="n"/>
      <c r="AQ1080" s="102" t="n"/>
      <c r="AR1080" s="102" t="n"/>
    </row>
    <row r="1081">
      <c r="D1081" s="103" t="n"/>
      <c r="E1081" s="103" t="n"/>
      <c r="F1081" s="103" t="n"/>
      <c r="G1081" s="103" t="n"/>
      <c r="H1081" s="103" t="n"/>
      <c r="I1081" s="103" t="n"/>
      <c r="J1081" s="103" t="n"/>
      <c r="K1081" s="103" t="n"/>
      <c r="L1081" s="103" t="n"/>
      <c r="M1081" s="103" t="n"/>
      <c r="N1081" s="103" t="n"/>
      <c r="O1081" s="103" t="n"/>
      <c r="P1081" s="103" t="n"/>
      <c r="Q1081" s="103" t="n"/>
      <c r="R1081" s="103" t="n"/>
      <c r="S1081" s="103" t="n"/>
      <c r="T1081" s="103" t="n"/>
      <c r="U1081" s="103" t="n"/>
      <c r="V1081" s="103" t="n"/>
      <c r="W1081" s="103" t="n"/>
      <c r="X1081" s="103" t="n"/>
      <c r="Y1081" s="103" t="n"/>
      <c r="Z1081" s="103" t="n"/>
      <c r="AA1081" s="103" t="n"/>
      <c r="AB1081" s="103" t="n"/>
      <c r="AC1081" s="103" t="n"/>
      <c r="AD1081" s="103" t="n"/>
      <c r="AE1081" s="103" t="n"/>
      <c r="AF1081" s="103" t="n"/>
      <c r="AG1081" s="103" t="n"/>
      <c r="AH1081" s="103" t="n"/>
      <c r="AI1081" s="103" t="n"/>
      <c r="AJ1081" s="103" t="n"/>
      <c r="AK1081" s="103" t="n"/>
      <c r="AL1081" s="103" t="n"/>
      <c r="AM1081" s="103" t="n"/>
      <c r="AN1081" s="103" t="n"/>
      <c r="AO1081" s="103" t="n"/>
      <c r="AP1081" s="103" t="n"/>
      <c r="AQ1081" s="103" t="n"/>
      <c r="AR1081" s="103" t="n"/>
    </row>
    <row r="1084">
      <c r="A1084" s="2">
        <f>IF($A1077="","","   projections")</f>
        <v/>
      </c>
      <c r="B1084" s="99">
        <f>IF($A1077="",0,COUNT($E1085:$AR1085))</f>
        <v/>
      </c>
      <c r="C1084" s="100">
        <f>IF($B1084=0,0,MAX($E1085:$AR1085))</f>
        <v/>
      </c>
      <c r="D1084" s="101">
        <f>BDS($A1077,FLD_PROJ,"headers=y","startcol=1","endcol=3","dir=h")</f>
        <v/>
      </c>
      <c r="E1084" s="102" t="n"/>
      <c r="F1084" s="102" t="n"/>
      <c r="G1084" s="102" t="n"/>
      <c r="H1084" s="102" t="n"/>
      <c r="I1084" s="102" t="n"/>
      <c r="J1084" s="102" t="n"/>
      <c r="K1084" s="102" t="n"/>
      <c r="L1084" s="102" t="n"/>
      <c r="M1084" s="102" t="n"/>
      <c r="N1084" s="102" t="n"/>
      <c r="O1084" s="102" t="n"/>
      <c r="P1084" s="102" t="n"/>
      <c r="Q1084" s="102" t="n"/>
      <c r="R1084" s="102" t="n"/>
      <c r="S1084" s="102" t="n"/>
      <c r="T1084" s="102" t="n"/>
      <c r="U1084" s="102" t="n"/>
      <c r="V1084" s="102" t="n"/>
      <c r="W1084" s="102" t="n"/>
      <c r="X1084" s="102" t="n"/>
      <c r="Y1084" s="102" t="n"/>
      <c r="Z1084" s="102" t="n"/>
      <c r="AA1084" s="102" t="n"/>
      <c r="AB1084" s="102" t="n"/>
      <c r="AC1084" s="102" t="n"/>
      <c r="AD1084" s="102" t="n"/>
      <c r="AE1084" s="102" t="n"/>
      <c r="AF1084" s="102" t="n"/>
      <c r="AG1084" s="102" t="n"/>
      <c r="AH1084" s="102" t="n"/>
      <c r="AI1084" s="102" t="n"/>
      <c r="AJ1084" s="102" t="n"/>
      <c r="AK1084" s="102" t="n"/>
      <c r="AL1084" s="102" t="n"/>
      <c r="AM1084" s="102" t="n"/>
      <c r="AN1084" s="102" t="n"/>
      <c r="AO1084" s="102" t="n"/>
      <c r="AP1084" s="102" t="n"/>
      <c r="AQ1084" s="102" t="n"/>
      <c r="AR1084" s="102" t="n"/>
    </row>
    <row r="1085">
      <c r="D1085" s="102" t="n"/>
      <c r="E1085" s="102" t="n"/>
      <c r="F1085" s="102" t="n"/>
      <c r="G1085" s="102" t="n"/>
      <c r="H1085" s="102" t="n"/>
      <c r="I1085" s="102" t="n"/>
      <c r="J1085" s="102" t="n"/>
      <c r="K1085" s="102" t="n"/>
      <c r="L1085" s="102" t="n"/>
      <c r="M1085" s="102" t="n"/>
      <c r="N1085" s="102" t="n"/>
      <c r="O1085" s="102" t="n"/>
      <c r="P1085" s="102" t="n"/>
      <c r="Q1085" s="102" t="n"/>
      <c r="R1085" s="102" t="n"/>
      <c r="S1085" s="102" t="n"/>
      <c r="T1085" s="102" t="n"/>
      <c r="U1085" s="102" t="n"/>
      <c r="V1085" s="102" t="n"/>
      <c r="W1085" s="102" t="n"/>
      <c r="X1085" s="102" t="n"/>
      <c r="Y1085" s="102" t="n"/>
      <c r="Z1085" s="102" t="n"/>
      <c r="AA1085" s="102" t="n"/>
      <c r="AB1085" s="102" t="n"/>
      <c r="AC1085" s="102" t="n"/>
      <c r="AD1085" s="102" t="n"/>
      <c r="AE1085" s="102" t="n"/>
      <c r="AF1085" s="102" t="n"/>
      <c r="AG1085" s="102" t="n"/>
      <c r="AH1085" s="102" t="n"/>
      <c r="AI1085" s="102" t="n"/>
      <c r="AJ1085" s="102" t="n"/>
      <c r="AK1085" s="102" t="n"/>
      <c r="AL1085" s="102" t="n"/>
      <c r="AM1085" s="102" t="n"/>
      <c r="AN1085" s="102" t="n"/>
      <c r="AO1085" s="102" t="n"/>
      <c r="AP1085" s="102" t="n"/>
      <c r="AQ1085" s="102" t="n"/>
      <c r="AR1085" s="102" t="n"/>
    </row>
    <row r="1086">
      <c r="D1086" s="103" t="n"/>
      <c r="E1086" s="103" t="n"/>
      <c r="F1086" s="103" t="n"/>
      <c r="G1086" s="103" t="n"/>
      <c r="H1086" s="103" t="n"/>
      <c r="I1086" s="103" t="n"/>
      <c r="J1086" s="103" t="n"/>
      <c r="K1086" s="103" t="n"/>
      <c r="L1086" s="103" t="n"/>
      <c r="M1086" s="103" t="n"/>
      <c r="N1086" s="103" t="n"/>
      <c r="O1086" s="103" t="n"/>
      <c r="P1086" s="103" t="n"/>
      <c r="Q1086" s="103" t="n"/>
      <c r="R1086" s="103" t="n"/>
      <c r="S1086" s="103" t="n"/>
      <c r="T1086" s="103" t="n"/>
      <c r="U1086" s="103" t="n"/>
      <c r="V1086" s="103" t="n"/>
      <c r="W1086" s="103" t="n"/>
      <c r="X1086" s="103" t="n"/>
      <c r="Y1086" s="103" t="n"/>
      <c r="Z1086" s="103" t="n"/>
      <c r="AA1086" s="103" t="n"/>
      <c r="AB1086" s="103" t="n"/>
      <c r="AC1086" s="103" t="n"/>
      <c r="AD1086" s="103" t="n"/>
      <c r="AE1086" s="103" t="n"/>
      <c r="AF1086" s="103" t="n"/>
      <c r="AG1086" s="103" t="n"/>
      <c r="AH1086" s="103" t="n"/>
      <c r="AI1086" s="103" t="n"/>
      <c r="AJ1086" s="103" t="n"/>
      <c r="AK1086" s="103" t="n"/>
      <c r="AL1086" s="103" t="n"/>
      <c r="AM1086" s="103" t="n"/>
      <c r="AN1086" s="103" t="n"/>
      <c r="AO1086" s="103" t="n"/>
      <c r="AP1086" s="103" t="n"/>
      <c r="AQ1086" s="103" t="n"/>
      <c r="AR1086" s="103" t="n"/>
    </row>
    <row r="1088">
      <c r="A1088" s="8">
        <f>IF(HSI!$C$105="","",HSI!$C$105)</f>
        <v/>
      </c>
      <c r="B1088" s="99">
        <f>IF($A1088="",0,COUNT($E1089:$AR1089))</f>
        <v/>
      </c>
      <c r="C1088" s="100">
        <f>IF($B1088=0,0,MAX($E1089:$AR1089))</f>
        <v/>
      </c>
      <c r="D1088" s="101">
        <f>BDS($A1088,FLD_HIST,"headers=y","startcol=1","endcol=7","dir=h","DVD_START_DT",HIST_FROM,"DVD_END_DT",HIST_TO)</f>
        <v/>
      </c>
      <c r="E1088" s="102" t="n"/>
      <c r="F1088" s="102" t="n"/>
      <c r="G1088" s="102" t="n"/>
      <c r="H1088" s="102" t="n"/>
      <c r="I1088" s="102" t="n"/>
      <c r="J1088" s="102" t="n"/>
      <c r="K1088" s="102" t="n"/>
      <c r="L1088" s="102" t="n"/>
      <c r="M1088" s="102" t="n"/>
      <c r="N1088" s="102" t="n"/>
      <c r="O1088" s="102" t="n"/>
      <c r="P1088" s="102" t="n"/>
      <c r="Q1088" s="102" t="n"/>
      <c r="R1088" s="102" t="n"/>
      <c r="S1088" s="102" t="n"/>
      <c r="T1088" s="102" t="n"/>
      <c r="U1088" s="102" t="n"/>
      <c r="V1088" s="102" t="n"/>
      <c r="W1088" s="102" t="n"/>
      <c r="X1088" s="102" t="n"/>
      <c r="Y1088" s="102" t="n"/>
      <c r="Z1088" s="102" t="n"/>
      <c r="AA1088" s="102" t="n"/>
      <c r="AB1088" s="102" t="n"/>
      <c r="AC1088" s="102" t="n"/>
      <c r="AD1088" s="102" t="n"/>
      <c r="AE1088" s="102" t="n"/>
      <c r="AF1088" s="102" t="n"/>
      <c r="AG1088" s="102" t="n"/>
      <c r="AH1088" s="102" t="n"/>
      <c r="AI1088" s="102" t="n"/>
      <c r="AJ1088" s="102" t="n"/>
      <c r="AK1088" s="102" t="n"/>
      <c r="AL1088" s="102" t="n"/>
      <c r="AM1088" s="102" t="n"/>
      <c r="AN1088" s="102" t="n"/>
      <c r="AO1088" s="102" t="n"/>
      <c r="AP1088" s="102" t="n"/>
      <c r="AQ1088" s="102" t="n"/>
      <c r="AR1088" s="102" t="n"/>
    </row>
    <row r="1089">
      <c r="D1089" s="102" t="n"/>
      <c r="E1089" s="102" t="n"/>
      <c r="F1089" s="102" t="n"/>
      <c r="G1089" s="102" t="n"/>
      <c r="H1089" s="102" t="n"/>
      <c r="I1089" s="102" t="n"/>
      <c r="J1089" s="102" t="n"/>
      <c r="K1089" s="102" t="n"/>
      <c r="L1089" s="102" t="n"/>
      <c r="M1089" s="102" t="n"/>
      <c r="N1089" s="102" t="n"/>
      <c r="O1089" s="102" t="n"/>
      <c r="P1089" s="102" t="n"/>
      <c r="Q1089" s="102" t="n"/>
      <c r="R1089" s="102" t="n"/>
      <c r="S1089" s="102" t="n"/>
      <c r="T1089" s="102" t="n"/>
      <c r="U1089" s="102" t="n"/>
      <c r="V1089" s="102" t="n"/>
      <c r="W1089" s="102" t="n"/>
      <c r="X1089" s="102" t="n"/>
      <c r="Y1089" s="102" t="n"/>
      <c r="Z1089" s="102" t="n"/>
      <c r="AA1089" s="102" t="n"/>
      <c r="AB1089" s="102" t="n"/>
      <c r="AC1089" s="102" t="n"/>
      <c r="AD1089" s="102" t="n"/>
      <c r="AE1089" s="102" t="n"/>
      <c r="AF1089" s="102" t="n"/>
      <c r="AG1089" s="102" t="n"/>
      <c r="AH1089" s="102" t="n"/>
      <c r="AI1089" s="102" t="n"/>
      <c r="AJ1089" s="102" t="n"/>
      <c r="AK1089" s="102" t="n"/>
      <c r="AL1089" s="102" t="n"/>
      <c r="AM1089" s="102" t="n"/>
      <c r="AN1089" s="102" t="n"/>
      <c r="AO1089" s="102" t="n"/>
      <c r="AP1089" s="102" t="n"/>
      <c r="AQ1089" s="102" t="n"/>
      <c r="AR1089" s="102" t="n"/>
    </row>
    <row r="1090">
      <c r="D1090" s="102" t="n"/>
      <c r="E1090" s="102" t="n"/>
      <c r="F1090" s="102" t="n"/>
      <c r="G1090" s="102" t="n"/>
      <c r="H1090" s="102" t="n"/>
      <c r="I1090" s="102" t="n"/>
      <c r="J1090" s="102" t="n"/>
      <c r="K1090" s="102" t="n"/>
      <c r="L1090" s="102" t="n"/>
      <c r="M1090" s="102" t="n"/>
      <c r="N1090" s="102" t="n"/>
      <c r="O1090" s="102" t="n"/>
      <c r="P1090" s="102" t="n"/>
      <c r="Q1090" s="102" t="n"/>
      <c r="R1090" s="102" t="n"/>
      <c r="S1090" s="102" t="n"/>
      <c r="T1090" s="102" t="n"/>
      <c r="U1090" s="102" t="n"/>
      <c r="V1090" s="102" t="n"/>
      <c r="W1090" s="102" t="n"/>
      <c r="X1090" s="102" t="n"/>
      <c r="Y1090" s="102" t="n"/>
      <c r="Z1090" s="102" t="n"/>
      <c r="AA1090" s="102" t="n"/>
      <c r="AB1090" s="102" t="n"/>
      <c r="AC1090" s="102" t="n"/>
      <c r="AD1090" s="102" t="n"/>
      <c r="AE1090" s="102" t="n"/>
      <c r="AF1090" s="102" t="n"/>
      <c r="AG1090" s="102" t="n"/>
      <c r="AH1090" s="102" t="n"/>
      <c r="AI1090" s="102" t="n"/>
      <c r="AJ1090" s="102" t="n"/>
      <c r="AK1090" s="102" t="n"/>
      <c r="AL1090" s="102" t="n"/>
      <c r="AM1090" s="102" t="n"/>
      <c r="AN1090" s="102" t="n"/>
      <c r="AO1090" s="102" t="n"/>
      <c r="AP1090" s="102" t="n"/>
      <c r="AQ1090" s="102" t="n"/>
      <c r="AR1090" s="102" t="n"/>
    </row>
    <row r="1091">
      <c r="D1091" s="102" t="n"/>
      <c r="E1091" s="102" t="n"/>
      <c r="F1091" s="102" t="n"/>
      <c r="G1091" s="102" t="n"/>
      <c r="H1091" s="102" t="n"/>
      <c r="I1091" s="102" t="n"/>
      <c r="J1091" s="102" t="n"/>
      <c r="K1091" s="102" t="n"/>
      <c r="L1091" s="102" t="n"/>
      <c r="M1091" s="102" t="n"/>
      <c r="N1091" s="102" t="n"/>
      <c r="O1091" s="102" t="n"/>
      <c r="P1091" s="102" t="n"/>
      <c r="Q1091" s="102" t="n"/>
      <c r="R1091" s="102" t="n"/>
      <c r="S1091" s="102" t="n"/>
      <c r="T1091" s="102" t="n"/>
      <c r="U1091" s="102" t="n"/>
      <c r="V1091" s="102" t="n"/>
      <c r="W1091" s="102" t="n"/>
      <c r="X1091" s="102" t="n"/>
      <c r="Y1091" s="102" t="n"/>
      <c r="Z1091" s="102" t="n"/>
      <c r="AA1091" s="102" t="n"/>
      <c r="AB1091" s="102" t="n"/>
      <c r="AC1091" s="102" t="n"/>
      <c r="AD1091" s="102" t="n"/>
      <c r="AE1091" s="102" t="n"/>
      <c r="AF1091" s="102" t="n"/>
      <c r="AG1091" s="102" t="n"/>
      <c r="AH1091" s="102" t="n"/>
      <c r="AI1091" s="102" t="n"/>
      <c r="AJ1091" s="102" t="n"/>
      <c r="AK1091" s="102" t="n"/>
      <c r="AL1091" s="102" t="n"/>
      <c r="AM1091" s="102" t="n"/>
      <c r="AN1091" s="102" t="n"/>
      <c r="AO1091" s="102" t="n"/>
      <c r="AP1091" s="102" t="n"/>
      <c r="AQ1091" s="102" t="n"/>
      <c r="AR1091" s="102" t="n"/>
    </row>
    <row r="1092">
      <c r="D1092" s="103" t="n"/>
      <c r="E1092" s="103" t="n"/>
      <c r="F1092" s="103" t="n"/>
      <c r="G1092" s="103" t="n"/>
      <c r="H1092" s="103" t="n"/>
      <c r="I1092" s="103" t="n"/>
      <c r="J1092" s="103" t="n"/>
      <c r="K1092" s="103" t="n"/>
      <c r="L1092" s="103" t="n"/>
      <c r="M1092" s="103" t="n"/>
      <c r="N1092" s="103" t="n"/>
      <c r="O1092" s="103" t="n"/>
      <c r="P1092" s="103" t="n"/>
      <c r="Q1092" s="103" t="n"/>
      <c r="R1092" s="103" t="n"/>
      <c r="S1092" s="103" t="n"/>
      <c r="T1092" s="103" t="n"/>
      <c r="U1092" s="103" t="n"/>
      <c r="V1092" s="103" t="n"/>
      <c r="W1092" s="103" t="n"/>
      <c r="X1092" s="103" t="n"/>
      <c r="Y1092" s="103" t="n"/>
      <c r="Z1092" s="103" t="n"/>
      <c r="AA1092" s="103" t="n"/>
      <c r="AB1092" s="103" t="n"/>
      <c r="AC1092" s="103" t="n"/>
      <c r="AD1092" s="103" t="n"/>
      <c r="AE1092" s="103" t="n"/>
      <c r="AF1092" s="103" t="n"/>
      <c r="AG1092" s="103" t="n"/>
      <c r="AH1092" s="103" t="n"/>
      <c r="AI1092" s="103" t="n"/>
      <c r="AJ1092" s="103" t="n"/>
      <c r="AK1092" s="103" t="n"/>
      <c r="AL1092" s="103" t="n"/>
      <c r="AM1092" s="103" t="n"/>
      <c r="AN1092" s="103" t="n"/>
      <c r="AO1092" s="103" t="n"/>
      <c r="AP1092" s="103" t="n"/>
      <c r="AQ1092" s="103" t="n"/>
      <c r="AR1092" s="103" t="n"/>
    </row>
    <row r="1095">
      <c r="A1095" s="2">
        <f>IF($A1088="","","   projections")</f>
        <v/>
      </c>
      <c r="B1095" s="99">
        <f>IF($A1088="",0,COUNT($E1096:$AR1096))</f>
        <v/>
      </c>
      <c r="C1095" s="100">
        <f>IF($B1095=0,0,MAX($E1096:$AR1096))</f>
        <v/>
      </c>
      <c r="D1095" s="101">
        <f>BDS($A1088,FLD_PROJ,"headers=y","startcol=1","endcol=3","dir=h")</f>
        <v/>
      </c>
      <c r="E1095" s="102" t="n"/>
      <c r="F1095" s="102" t="n"/>
      <c r="G1095" s="102" t="n"/>
      <c r="H1095" s="102" t="n"/>
      <c r="I1095" s="102" t="n"/>
      <c r="J1095" s="102" t="n"/>
      <c r="K1095" s="102" t="n"/>
      <c r="L1095" s="102" t="n"/>
      <c r="M1095" s="102" t="n"/>
      <c r="N1095" s="102" t="n"/>
      <c r="O1095" s="102" t="n"/>
      <c r="P1095" s="102" t="n"/>
      <c r="Q1095" s="102" t="n"/>
      <c r="R1095" s="102" t="n"/>
      <c r="S1095" s="102" t="n"/>
      <c r="T1095" s="102" t="n"/>
      <c r="U1095" s="102" t="n"/>
      <c r="V1095" s="102" t="n"/>
      <c r="W1095" s="102" t="n"/>
      <c r="X1095" s="102" t="n"/>
      <c r="Y1095" s="102" t="n"/>
      <c r="Z1095" s="102" t="n"/>
      <c r="AA1095" s="102" t="n"/>
      <c r="AB1095" s="102" t="n"/>
      <c r="AC1095" s="102" t="n"/>
      <c r="AD1095" s="102" t="n"/>
      <c r="AE1095" s="102" t="n"/>
      <c r="AF1095" s="102" t="n"/>
      <c r="AG1095" s="102" t="n"/>
      <c r="AH1095" s="102" t="n"/>
      <c r="AI1095" s="102" t="n"/>
      <c r="AJ1095" s="102" t="n"/>
      <c r="AK1095" s="102" t="n"/>
      <c r="AL1095" s="102" t="n"/>
      <c r="AM1095" s="102" t="n"/>
      <c r="AN1095" s="102" t="n"/>
      <c r="AO1095" s="102" t="n"/>
      <c r="AP1095" s="102" t="n"/>
      <c r="AQ1095" s="102" t="n"/>
      <c r="AR1095" s="102" t="n"/>
    </row>
    <row r="1096">
      <c r="D1096" s="102" t="n"/>
      <c r="E1096" s="102" t="n"/>
      <c r="F1096" s="102" t="n"/>
      <c r="G1096" s="102" t="n"/>
      <c r="H1096" s="102" t="n"/>
      <c r="I1096" s="102" t="n"/>
      <c r="J1096" s="102" t="n"/>
      <c r="K1096" s="102" t="n"/>
      <c r="L1096" s="102" t="n"/>
      <c r="M1096" s="102" t="n"/>
      <c r="N1096" s="102" t="n"/>
      <c r="O1096" s="102" t="n"/>
      <c r="P1096" s="102" t="n"/>
      <c r="Q1096" s="102" t="n"/>
      <c r="R1096" s="102" t="n"/>
      <c r="S1096" s="102" t="n"/>
      <c r="T1096" s="102" t="n"/>
      <c r="U1096" s="102" t="n"/>
      <c r="V1096" s="102" t="n"/>
      <c r="W1096" s="102" t="n"/>
      <c r="X1096" s="102" t="n"/>
      <c r="Y1096" s="102" t="n"/>
      <c r="Z1096" s="102" t="n"/>
      <c r="AA1096" s="102" t="n"/>
      <c r="AB1096" s="102" t="n"/>
      <c r="AC1096" s="102" t="n"/>
      <c r="AD1096" s="102" t="n"/>
      <c r="AE1096" s="102" t="n"/>
      <c r="AF1096" s="102" t="n"/>
      <c r="AG1096" s="102" t="n"/>
      <c r="AH1096" s="102" t="n"/>
      <c r="AI1096" s="102" t="n"/>
      <c r="AJ1096" s="102" t="n"/>
      <c r="AK1096" s="102" t="n"/>
      <c r="AL1096" s="102" t="n"/>
      <c r="AM1096" s="102" t="n"/>
      <c r="AN1096" s="102" t="n"/>
      <c r="AO1096" s="102" t="n"/>
      <c r="AP1096" s="102" t="n"/>
      <c r="AQ1096" s="102" t="n"/>
      <c r="AR1096" s="102" t="n"/>
    </row>
    <row r="1097">
      <c r="D1097" s="103" t="n"/>
      <c r="E1097" s="103" t="n"/>
      <c r="F1097" s="103" t="n"/>
      <c r="G1097" s="103" t="n"/>
      <c r="H1097" s="103" t="n"/>
      <c r="I1097" s="103" t="n"/>
      <c r="J1097" s="103" t="n"/>
      <c r="K1097" s="103" t="n"/>
      <c r="L1097" s="103" t="n"/>
      <c r="M1097" s="103" t="n"/>
      <c r="N1097" s="103" t="n"/>
      <c r="O1097" s="103" t="n"/>
      <c r="P1097" s="103" t="n"/>
      <c r="Q1097" s="103" t="n"/>
      <c r="R1097" s="103" t="n"/>
      <c r="S1097" s="103" t="n"/>
      <c r="T1097" s="103" t="n"/>
      <c r="U1097" s="103" t="n"/>
      <c r="V1097" s="103" t="n"/>
      <c r="W1097" s="103" t="n"/>
      <c r="X1097" s="103" t="n"/>
      <c r="Y1097" s="103" t="n"/>
      <c r="Z1097" s="103" t="n"/>
      <c r="AA1097" s="103" t="n"/>
      <c r="AB1097" s="103" t="n"/>
      <c r="AC1097" s="103" t="n"/>
      <c r="AD1097" s="103" t="n"/>
      <c r="AE1097" s="103" t="n"/>
      <c r="AF1097" s="103" t="n"/>
      <c r="AG1097" s="103" t="n"/>
      <c r="AH1097" s="103" t="n"/>
      <c r="AI1097" s="103" t="n"/>
      <c r="AJ1097" s="103" t="n"/>
      <c r="AK1097" s="103" t="n"/>
      <c r="AL1097" s="103" t="n"/>
      <c r="AM1097" s="103" t="n"/>
      <c r="AN1097" s="103" t="n"/>
      <c r="AO1097" s="103" t="n"/>
      <c r="AP1097" s="103" t="n"/>
      <c r="AQ1097" s="103" t="n"/>
      <c r="AR1097" s="103" t="n"/>
    </row>
    <row r="1099">
      <c r="A1099" s="8">
        <f>IF(HSI!$C$106="","",HSI!$C$106)</f>
        <v/>
      </c>
      <c r="B1099" s="99">
        <f>IF($A1099="",0,COUNT($E1100:$AR1100))</f>
        <v/>
      </c>
      <c r="C1099" s="100">
        <f>IF($B1099=0,0,MAX($E1100:$AR1100))</f>
        <v/>
      </c>
      <c r="D1099" s="101">
        <f>BDS($A1099,FLD_HIST,"headers=y","startcol=1","endcol=7","dir=h","DVD_START_DT",HIST_FROM,"DVD_END_DT",HIST_TO)</f>
        <v/>
      </c>
      <c r="E1099" s="102" t="n"/>
      <c r="F1099" s="102" t="n"/>
      <c r="G1099" s="102" t="n"/>
      <c r="H1099" s="102" t="n"/>
      <c r="I1099" s="102" t="n"/>
      <c r="J1099" s="102" t="n"/>
      <c r="K1099" s="102" t="n"/>
      <c r="L1099" s="102" t="n"/>
      <c r="M1099" s="102" t="n"/>
      <c r="N1099" s="102" t="n"/>
      <c r="O1099" s="102" t="n"/>
      <c r="P1099" s="102" t="n"/>
      <c r="Q1099" s="102" t="n"/>
      <c r="R1099" s="102" t="n"/>
      <c r="S1099" s="102" t="n"/>
      <c r="T1099" s="102" t="n"/>
      <c r="U1099" s="102" t="n"/>
      <c r="V1099" s="102" t="n"/>
      <c r="W1099" s="102" t="n"/>
      <c r="X1099" s="102" t="n"/>
      <c r="Y1099" s="102" t="n"/>
      <c r="Z1099" s="102" t="n"/>
      <c r="AA1099" s="102" t="n"/>
      <c r="AB1099" s="102" t="n"/>
      <c r="AC1099" s="102" t="n"/>
      <c r="AD1099" s="102" t="n"/>
      <c r="AE1099" s="102" t="n"/>
      <c r="AF1099" s="102" t="n"/>
      <c r="AG1099" s="102" t="n"/>
      <c r="AH1099" s="102" t="n"/>
      <c r="AI1099" s="102" t="n"/>
      <c r="AJ1099" s="102" t="n"/>
      <c r="AK1099" s="102" t="n"/>
      <c r="AL1099" s="102" t="n"/>
      <c r="AM1099" s="102" t="n"/>
      <c r="AN1099" s="102" t="n"/>
      <c r="AO1099" s="102" t="n"/>
      <c r="AP1099" s="102" t="n"/>
      <c r="AQ1099" s="102" t="n"/>
      <c r="AR1099" s="102" t="n"/>
    </row>
    <row r="1100">
      <c r="D1100" s="102" t="n"/>
      <c r="E1100" s="102" t="n"/>
      <c r="F1100" s="102" t="n"/>
      <c r="G1100" s="102" t="n"/>
      <c r="H1100" s="102" t="n"/>
      <c r="I1100" s="102" t="n"/>
      <c r="J1100" s="102" t="n"/>
      <c r="K1100" s="102" t="n"/>
      <c r="L1100" s="102" t="n"/>
      <c r="M1100" s="102" t="n"/>
      <c r="N1100" s="102" t="n"/>
      <c r="O1100" s="102" t="n"/>
      <c r="P1100" s="102" t="n"/>
      <c r="Q1100" s="102" t="n"/>
      <c r="R1100" s="102" t="n"/>
      <c r="S1100" s="102" t="n"/>
      <c r="T1100" s="102" t="n"/>
      <c r="U1100" s="102" t="n"/>
      <c r="V1100" s="102" t="n"/>
      <c r="W1100" s="102" t="n"/>
      <c r="X1100" s="102" t="n"/>
      <c r="Y1100" s="102" t="n"/>
      <c r="Z1100" s="102" t="n"/>
      <c r="AA1100" s="102" t="n"/>
      <c r="AB1100" s="102" t="n"/>
      <c r="AC1100" s="102" t="n"/>
      <c r="AD1100" s="102" t="n"/>
      <c r="AE1100" s="102" t="n"/>
      <c r="AF1100" s="102" t="n"/>
      <c r="AG1100" s="102" t="n"/>
      <c r="AH1100" s="102" t="n"/>
      <c r="AI1100" s="102" t="n"/>
      <c r="AJ1100" s="102" t="n"/>
      <c r="AK1100" s="102" t="n"/>
      <c r="AL1100" s="102" t="n"/>
      <c r="AM1100" s="102" t="n"/>
      <c r="AN1100" s="102" t="n"/>
      <c r="AO1100" s="102" t="n"/>
      <c r="AP1100" s="102" t="n"/>
      <c r="AQ1100" s="102" t="n"/>
      <c r="AR1100" s="102" t="n"/>
    </row>
    <row r="1101">
      <c r="D1101" s="102" t="n"/>
      <c r="E1101" s="102" t="n"/>
      <c r="F1101" s="102" t="n"/>
      <c r="G1101" s="102" t="n"/>
      <c r="H1101" s="102" t="n"/>
      <c r="I1101" s="102" t="n"/>
      <c r="J1101" s="102" t="n"/>
      <c r="K1101" s="102" t="n"/>
      <c r="L1101" s="102" t="n"/>
      <c r="M1101" s="102" t="n"/>
      <c r="N1101" s="102" t="n"/>
      <c r="O1101" s="102" t="n"/>
      <c r="P1101" s="102" t="n"/>
      <c r="Q1101" s="102" t="n"/>
      <c r="R1101" s="102" t="n"/>
      <c r="S1101" s="102" t="n"/>
      <c r="T1101" s="102" t="n"/>
      <c r="U1101" s="102" t="n"/>
      <c r="V1101" s="102" t="n"/>
      <c r="W1101" s="102" t="n"/>
      <c r="X1101" s="102" t="n"/>
      <c r="Y1101" s="102" t="n"/>
      <c r="Z1101" s="102" t="n"/>
      <c r="AA1101" s="102" t="n"/>
      <c r="AB1101" s="102" t="n"/>
      <c r="AC1101" s="102" t="n"/>
      <c r="AD1101" s="102" t="n"/>
      <c r="AE1101" s="102" t="n"/>
      <c r="AF1101" s="102" t="n"/>
      <c r="AG1101" s="102" t="n"/>
      <c r="AH1101" s="102" t="n"/>
      <c r="AI1101" s="102" t="n"/>
      <c r="AJ1101" s="102" t="n"/>
      <c r="AK1101" s="102" t="n"/>
      <c r="AL1101" s="102" t="n"/>
      <c r="AM1101" s="102" t="n"/>
      <c r="AN1101" s="102" t="n"/>
      <c r="AO1101" s="102" t="n"/>
      <c r="AP1101" s="102" t="n"/>
      <c r="AQ1101" s="102" t="n"/>
      <c r="AR1101" s="102" t="n"/>
    </row>
    <row r="1102">
      <c r="D1102" s="102" t="n"/>
      <c r="E1102" s="102" t="n"/>
      <c r="F1102" s="102" t="n"/>
      <c r="G1102" s="102" t="n"/>
      <c r="H1102" s="102" t="n"/>
      <c r="I1102" s="102" t="n"/>
      <c r="J1102" s="102" t="n"/>
      <c r="K1102" s="102" t="n"/>
      <c r="L1102" s="102" t="n"/>
      <c r="M1102" s="102" t="n"/>
      <c r="N1102" s="102" t="n"/>
      <c r="O1102" s="102" t="n"/>
      <c r="P1102" s="102" t="n"/>
      <c r="Q1102" s="102" t="n"/>
      <c r="R1102" s="102" t="n"/>
      <c r="S1102" s="102" t="n"/>
      <c r="T1102" s="102" t="n"/>
      <c r="U1102" s="102" t="n"/>
      <c r="V1102" s="102" t="n"/>
      <c r="W1102" s="102" t="n"/>
      <c r="X1102" s="102" t="n"/>
      <c r="Y1102" s="102" t="n"/>
      <c r="Z1102" s="102" t="n"/>
      <c r="AA1102" s="102" t="n"/>
      <c r="AB1102" s="102" t="n"/>
      <c r="AC1102" s="102" t="n"/>
      <c r="AD1102" s="102" t="n"/>
      <c r="AE1102" s="102" t="n"/>
      <c r="AF1102" s="102" t="n"/>
      <c r="AG1102" s="102" t="n"/>
      <c r="AH1102" s="102" t="n"/>
      <c r="AI1102" s="102" t="n"/>
      <c r="AJ1102" s="102" t="n"/>
      <c r="AK1102" s="102" t="n"/>
      <c r="AL1102" s="102" t="n"/>
      <c r="AM1102" s="102" t="n"/>
      <c r="AN1102" s="102" t="n"/>
      <c r="AO1102" s="102" t="n"/>
      <c r="AP1102" s="102" t="n"/>
      <c r="AQ1102" s="102" t="n"/>
      <c r="AR1102" s="102" t="n"/>
    </row>
    <row r="1103">
      <c r="D1103" s="103" t="n"/>
      <c r="E1103" s="103" t="n"/>
      <c r="F1103" s="103" t="n"/>
      <c r="G1103" s="103" t="n"/>
      <c r="H1103" s="103" t="n"/>
      <c r="I1103" s="103" t="n"/>
      <c r="J1103" s="103" t="n"/>
      <c r="K1103" s="103" t="n"/>
      <c r="L1103" s="103" t="n"/>
      <c r="M1103" s="103" t="n"/>
      <c r="N1103" s="103" t="n"/>
      <c r="O1103" s="103" t="n"/>
      <c r="P1103" s="103" t="n"/>
      <c r="Q1103" s="103" t="n"/>
      <c r="R1103" s="103" t="n"/>
      <c r="S1103" s="103" t="n"/>
      <c r="T1103" s="103" t="n"/>
      <c r="U1103" s="103" t="n"/>
      <c r="V1103" s="103" t="n"/>
      <c r="W1103" s="103" t="n"/>
      <c r="X1103" s="103" t="n"/>
      <c r="Y1103" s="103" t="n"/>
      <c r="Z1103" s="103" t="n"/>
      <c r="AA1103" s="103" t="n"/>
      <c r="AB1103" s="103" t="n"/>
      <c r="AC1103" s="103" t="n"/>
      <c r="AD1103" s="103" t="n"/>
      <c r="AE1103" s="103" t="n"/>
      <c r="AF1103" s="103" t="n"/>
      <c r="AG1103" s="103" t="n"/>
      <c r="AH1103" s="103" t="n"/>
      <c r="AI1103" s="103" t="n"/>
      <c r="AJ1103" s="103" t="n"/>
      <c r="AK1103" s="103" t="n"/>
      <c r="AL1103" s="103" t="n"/>
      <c r="AM1103" s="103" t="n"/>
      <c r="AN1103" s="103" t="n"/>
      <c r="AO1103" s="103" t="n"/>
      <c r="AP1103" s="103" t="n"/>
      <c r="AQ1103" s="103" t="n"/>
      <c r="AR1103" s="103" t="n"/>
    </row>
    <row r="1106">
      <c r="A1106" s="2">
        <f>IF($A1099="","","   projections")</f>
        <v/>
      </c>
      <c r="B1106" s="99">
        <f>IF($A1099="",0,COUNT($E1107:$AR1107))</f>
        <v/>
      </c>
      <c r="C1106" s="100">
        <f>IF($B1106=0,0,MAX($E1107:$AR1107))</f>
        <v/>
      </c>
      <c r="D1106" s="101">
        <f>BDS($A1099,FLD_PROJ,"headers=y","startcol=1","endcol=3","dir=h")</f>
        <v/>
      </c>
      <c r="E1106" s="102" t="n"/>
      <c r="F1106" s="102" t="n"/>
      <c r="G1106" s="102" t="n"/>
      <c r="H1106" s="102" t="n"/>
      <c r="I1106" s="102" t="n"/>
      <c r="J1106" s="102" t="n"/>
      <c r="K1106" s="102" t="n"/>
      <c r="L1106" s="102" t="n"/>
      <c r="M1106" s="102" t="n"/>
      <c r="N1106" s="102" t="n"/>
      <c r="O1106" s="102" t="n"/>
      <c r="P1106" s="102" t="n"/>
      <c r="Q1106" s="102" t="n"/>
      <c r="R1106" s="102" t="n"/>
      <c r="S1106" s="102" t="n"/>
      <c r="T1106" s="102" t="n"/>
      <c r="U1106" s="102" t="n"/>
      <c r="V1106" s="102" t="n"/>
      <c r="W1106" s="102" t="n"/>
      <c r="X1106" s="102" t="n"/>
      <c r="Y1106" s="102" t="n"/>
      <c r="Z1106" s="102" t="n"/>
      <c r="AA1106" s="102" t="n"/>
      <c r="AB1106" s="102" t="n"/>
      <c r="AC1106" s="102" t="n"/>
      <c r="AD1106" s="102" t="n"/>
      <c r="AE1106" s="102" t="n"/>
      <c r="AF1106" s="102" t="n"/>
      <c r="AG1106" s="102" t="n"/>
      <c r="AH1106" s="102" t="n"/>
      <c r="AI1106" s="102" t="n"/>
      <c r="AJ1106" s="102" t="n"/>
      <c r="AK1106" s="102" t="n"/>
      <c r="AL1106" s="102" t="n"/>
      <c r="AM1106" s="102" t="n"/>
      <c r="AN1106" s="102" t="n"/>
      <c r="AO1106" s="102" t="n"/>
      <c r="AP1106" s="102" t="n"/>
      <c r="AQ1106" s="102" t="n"/>
      <c r="AR1106" s="102" t="n"/>
    </row>
    <row r="1107">
      <c r="D1107" s="102" t="n"/>
      <c r="E1107" s="102" t="n"/>
      <c r="F1107" s="102" t="n"/>
      <c r="G1107" s="102" t="n"/>
      <c r="H1107" s="102" t="n"/>
      <c r="I1107" s="102" t="n"/>
      <c r="J1107" s="102" t="n"/>
      <c r="K1107" s="102" t="n"/>
      <c r="L1107" s="102" t="n"/>
      <c r="M1107" s="102" t="n"/>
      <c r="N1107" s="102" t="n"/>
      <c r="O1107" s="102" t="n"/>
      <c r="P1107" s="102" t="n"/>
      <c r="Q1107" s="102" t="n"/>
      <c r="R1107" s="102" t="n"/>
      <c r="S1107" s="102" t="n"/>
      <c r="T1107" s="102" t="n"/>
      <c r="U1107" s="102" t="n"/>
      <c r="V1107" s="102" t="n"/>
      <c r="W1107" s="102" t="n"/>
      <c r="X1107" s="102" t="n"/>
      <c r="Y1107" s="102" t="n"/>
      <c r="Z1107" s="102" t="n"/>
      <c r="AA1107" s="102" t="n"/>
      <c r="AB1107" s="102" t="n"/>
      <c r="AC1107" s="102" t="n"/>
      <c r="AD1107" s="102" t="n"/>
      <c r="AE1107" s="102" t="n"/>
      <c r="AF1107" s="102" t="n"/>
      <c r="AG1107" s="102" t="n"/>
      <c r="AH1107" s="102" t="n"/>
      <c r="AI1107" s="102" t="n"/>
      <c r="AJ1107" s="102" t="n"/>
      <c r="AK1107" s="102" t="n"/>
      <c r="AL1107" s="102" t="n"/>
      <c r="AM1107" s="102" t="n"/>
      <c r="AN1107" s="102" t="n"/>
      <c r="AO1107" s="102" t="n"/>
      <c r="AP1107" s="102" t="n"/>
      <c r="AQ1107" s="102" t="n"/>
      <c r="AR1107" s="102" t="n"/>
    </row>
    <row r="1108">
      <c r="D1108" s="103" t="n"/>
      <c r="E1108" s="103" t="n"/>
      <c r="F1108" s="103" t="n"/>
      <c r="G1108" s="103" t="n"/>
      <c r="H1108" s="103" t="n"/>
      <c r="I1108" s="103" t="n"/>
      <c r="J1108" s="103" t="n"/>
      <c r="K1108" s="103" t="n"/>
      <c r="L1108" s="103" t="n"/>
      <c r="M1108" s="103" t="n"/>
      <c r="N1108" s="103" t="n"/>
      <c r="O1108" s="103" t="n"/>
      <c r="P1108" s="103" t="n"/>
      <c r="Q1108" s="103" t="n"/>
      <c r="R1108" s="103" t="n"/>
      <c r="S1108" s="103" t="n"/>
      <c r="T1108" s="103" t="n"/>
      <c r="U1108" s="103" t="n"/>
      <c r="V1108" s="103" t="n"/>
      <c r="W1108" s="103" t="n"/>
      <c r="X1108" s="103" t="n"/>
      <c r="Y1108" s="103" t="n"/>
      <c r="Z1108" s="103" t="n"/>
      <c r="AA1108" s="103" t="n"/>
      <c r="AB1108" s="103" t="n"/>
      <c r="AC1108" s="103" t="n"/>
      <c r="AD1108" s="103" t="n"/>
      <c r="AE1108" s="103" t="n"/>
      <c r="AF1108" s="103" t="n"/>
      <c r="AG1108" s="103" t="n"/>
      <c r="AH1108" s="103" t="n"/>
      <c r="AI1108" s="103" t="n"/>
      <c r="AJ1108" s="103" t="n"/>
      <c r="AK1108" s="103" t="n"/>
      <c r="AL1108" s="103" t="n"/>
      <c r="AM1108" s="103" t="n"/>
      <c r="AN1108" s="103" t="n"/>
      <c r="AO1108" s="103" t="n"/>
      <c r="AP1108" s="103" t="n"/>
      <c r="AQ1108" s="103" t="n"/>
      <c r="AR1108" s="103" t="n"/>
    </row>
    <row r="1112">
      <c r="A1112" s="6" t="inlineStr">
        <is>
          <t>Hang Seng TECH Index (HSTECH)</t>
        </is>
      </c>
      <c r="B1112" s="7" t="n"/>
      <c r="C1112" s="7" t="n"/>
      <c r="D1112" s="7" t="n"/>
      <c r="F1112" s="2">
        <f>SUMPRODUCT($B$1115:$B$1554)&amp;" events read   |   "&amp;COUNTA($AS$1115:$CF$1554)&amp;" beyond the window (must be 0)"</f>
        <v/>
      </c>
    </row>
    <row r="1113">
      <c r="A1113" s="23" t="inlineStr">
        <is>
          <t>Ticker</t>
        </is>
      </c>
      <c r="B1113" s="23" t="inlineStr">
        <is>
          <t>Events</t>
        </is>
      </c>
      <c r="C1113" s="23" t="inlineStr">
        <is>
          <t>Last ex</t>
        </is>
      </c>
      <c r="D1113" s="23" t="inlineStr">
        <is>
          <t>Bloomberg spill -&gt;</t>
        </is>
      </c>
    </row>
    <row r="1115">
      <c r="A1115" s="8">
        <f>IF(HSTECH!$C$7="","",HSTECH!$C$7)</f>
        <v/>
      </c>
      <c r="B1115" s="99">
        <f>IF($A1115="",0,COUNT($E1116:$AR1116))</f>
        <v/>
      </c>
      <c r="C1115" s="100">
        <f>IF($B1115=0,0,MAX($E1116:$AR1116))</f>
        <v/>
      </c>
      <c r="D1115" s="101">
        <f>BDS($A1115,FLD_HIST,"headers=y","startcol=1","endcol=7","dir=h","DVD_START_DT",HIST_FROM,"DVD_END_DT",HIST_TO)</f>
        <v/>
      </c>
      <c r="E1115" s="102" t="n"/>
      <c r="F1115" s="102" t="n"/>
      <c r="G1115" s="102" t="n"/>
      <c r="H1115" s="102" t="n"/>
      <c r="I1115" s="102" t="n"/>
      <c r="J1115" s="102" t="n"/>
      <c r="K1115" s="102" t="n"/>
      <c r="L1115" s="102" t="n"/>
      <c r="M1115" s="102" t="n"/>
      <c r="N1115" s="102" t="n"/>
      <c r="O1115" s="102" t="n"/>
      <c r="P1115" s="102" t="n"/>
      <c r="Q1115" s="102" t="n"/>
      <c r="R1115" s="102" t="n"/>
      <c r="S1115" s="102" t="n"/>
      <c r="T1115" s="102" t="n"/>
      <c r="U1115" s="102" t="n"/>
      <c r="V1115" s="102" t="n"/>
      <c r="W1115" s="102" t="n"/>
      <c r="X1115" s="102" t="n"/>
      <c r="Y1115" s="102" t="n"/>
      <c r="Z1115" s="102" t="n"/>
      <c r="AA1115" s="102" t="n"/>
      <c r="AB1115" s="102" t="n"/>
      <c r="AC1115" s="102" t="n"/>
      <c r="AD1115" s="102" t="n"/>
      <c r="AE1115" s="102" t="n"/>
      <c r="AF1115" s="102" t="n"/>
      <c r="AG1115" s="102" t="n"/>
      <c r="AH1115" s="102" t="n"/>
      <c r="AI1115" s="102" t="n"/>
      <c r="AJ1115" s="102" t="n"/>
      <c r="AK1115" s="102" t="n"/>
      <c r="AL1115" s="102" t="n"/>
      <c r="AM1115" s="102" t="n"/>
      <c r="AN1115" s="102" t="n"/>
      <c r="AO1115" s="102" t="n"/>
      <c r="AP1115" s="102" t="n"/>
      <c r="AQ1115" s="102" t="n"/>
      <c r="AR1115" s="102" t="n"/>
    </row>
    <row r="1116">
      <c r="D1116" s="102" t="n"/>
      <c r="E1116" s="102" t="n"/>
      <c r="F1116" s="102" t="n"/>
      <c r="G1116" s="102" t="n"/>
      <c r="H1116" s="102" t="n"/>
      <c r="I1116" s="102" t="n"/>
      <c r="J1116" s="102" t="n"/>
      <c r="K1116" s="102" t="n"/>
      <c r="L1116" s="102" t="n"/>
      <c r="M1116" s="102" t="n"/>
      <c r="N1116" s="102" t="n"/>
      <c r="O1116" s="102" t="n"/>
      <c r="P1116" s="102" t="n"/>
      <c r="Q1116" s="102" t="n"/>
      <c r="R1116" s="102" t="n"/>
      <c r="S1116" s="102" t="n"/>
      <c r="T1116" s="102" t="n"/>
      <c r="U1116" s="102" t="n"/>
      <c r="V1116" s="102" t="n"/>
      <c r="W1116" s="102" t="n"/>
      <c r="X1116" s="102" t="n"/>
      <c r="Y1116" s="102" t="n"/>
      <c r="Z1116" s="102" t="n"/>
      <c r="AA1116" s="102" t="n"/>
      <c r="AB1116" s="102" t="n"/>
      <c r="AC1116" s="102" t="n"/>
      <c r="AD1116" s="102" t="n"/>
      <c r="AE1116" s="102" t="n"/>
      <c r="AF1116" s="102" t="n"/>
      <c r="AG1116" s="102" t="n"/>
      <c r="AH1116" s="102" t="n"/>
      <c r="AI1116" s="102" t="n"/>
      <c r="AJ1116" s="102" t="n"/>
      <c r="AK1116" s="102" t="n"/>
      <c r="AL1116" s="102" t="n"/>
      <c r="AM1116" s="102" t="n"/>
      <c r="AN1116" s="102" t="n"/>
      <c r="AO1116" s="102" t="n"/>
      <c r="AP1116" s="102" t="n"/>
      <c r="AQ1116" s="102" t="n"/>
      <c r="AR1116" s="102" t="n"/>
    </row>
    <row r="1117">
      <c r="D1117" s="102" t="n"/>
      <c r="E1117" s="102" t="n"/>
      <c r="F1117" s="102" t="n"/>
      <c r="G1117" s="102" t="n"/>
      <c r="H1117" s="102" t="n"/>
      <c r="I1117" s="102" t="n"/>
      <c r="J1117" s="102" t="n"/>
      <c r="K1117" s="102" t="n"/>
      <c r="L1117" s="102" t="n"/>
      <c r="M1117" s="102" t="n"/>
      <c r="N1117" s="102" t="n"/>
      <c r="O1117" s="102" t="n"/>
      <c r="P1117" s="102" t="n"/>
      <c r="Q1117" s="102" t="n"/>
      <c r="R1117" s="102" t="n"/>
      <c r="S1117" s="102" t="n"/>
      <c r="T1117" s="102" t="n"/>
      <c r="U1117" s="102" t="n"/>
      <c r="V1117" s="102" t="n"/>
      <c r="W1117" s="102" t="n"/>
      <c r="X1117" s="102" t="n"/>
      <c r="Y1117" s="102" t="n"/>
      <c r="Z1117" s="102" t="n"/>
      <c r="AA1117" s="102" t="n"/>
      <c r="AB1117" s="102" t="n"/>
      <c r="AC1117" s="102" t="n"/>
      <c r="AD1117" s="102" t="n"/>
      <c r="AE1117" s="102" t="n"/>
      <c r="AF1117" s="102" t="n"/>
      <c r="AG1117" s="102" t="n"/>
      <c r="AH1117" s="102" t="n"/>
      <c r="AI1117" s="102" t="n"/>
      <c r="AJ1117" s="102" t="n"/>
      <c r="AK1117" s="102" t="n"/>
      <c r="AL1117" s="102" t="n"/>
      <c r="AM1117" s="102" t="n"/>
      <c r="AN1117" s="102" t="n"/>
      <c r="AO1117" s="102" t="n"/>
      <c r="AP1117" s="102" t="n"/>
      <c r="AQ1117" s="102" t="n"/>
      <c r="AR1117" s="102" t="n"/>
    </row>
    <row r="1118">
      <c r="D1118" s="102" t="n"/>
      <c r="E1118" s="102" t="n"/>
      <c r="F1118" s="102" t="n"/>
      <c r="G1118" s="102" t="n"/>
      <c r="H1118" s="102" t="n"/>
      <c r="I1118" s="102" t="n"/>
      <c r="J1118" s="102" t="n"/>
      <c r="K1118" s="102" t="n"/>
      <c r="L1118" s="102" t="n"/>
      <c r="M1118" s="102" t="n"/>
      <c r="N1118" s="102" t="n"/>
      <c r="O1118" s="102" t="n"/>
      <c r="P1118" s="102" t="n"/>
      <c r="Q1118" s="102" t="n"/>
      <c r="R1118" s="102" t="n"/>
      <c r="S1118" s="102" t="n"/>
      <c r="T1118" s="102" t="n"/>
      <c r="U1118" s="102" t="n"/>
      <c r="V1118" s="102" t="n"/>
      <c r="W1118" s="102" t="n"/>
      <c r="X1118" s="102" t="n"/>
      <c r="Y1118" s="102" t="n"/>
      <c r="Z1118" s="102" t="n"/>
      <c r="AA1118" s="102" t="n"/>
      <c r="AB1118" s="102" t="n"/>
      <c r="AC1118" s="102" t="n"/>
      <c r="AD1118" s="102" t="n"/>
      <c r="AE1118" s="102" t="n"/>
      <c r="AF1118" s="102" t="n"/>
      <c r="AG1118" s="102" t="n"/>
      <c r="AH1118" s="102" t="n"/>
      <c r="AI1118" s="102" t="n"/>
      <c r="AJ1118" s="102" t="n"/>
      <c r="AK1118" s="102" t="n"/>
      <c r="AL1118" s="102" t="n"/>
      <c r="AM1118" s="102" t="n"/>
      <c r="AN1118" s="102" t="n"/>
      <c r="AO1118" s="102" t="n"/>
      <c r="AP1118" s="102" t="n"/>
      <c r="AQ1118" s="102" t="n"/>
      <c r="AR1118" s="102" t="n"/>
    </row>
    <row r="1119">
      <c r="D1119" s="103" t="n"/>
      <c r="E1119" s="103" t="n"/>
      <c r="F1119" s="103" t="n"/>
      <c r="G1119" s="103" t="n"/>
      <c r="H1119" s="103" t="n"/>
      <c r="I1119" s="103" t="n"/>
      <c r="J1119" s="103" t="n"/>
      <c r="K1119" s="103" t="n"/>
      <c r="L1119" s="103" t="n"/>
      <c r="M1119" s="103" t="n"/>
      <c r="N1119" s="103" t="n"/>
      <c r="O1119" s="103" t="n"/>
      <c r="P1119" s="103" t="n"/>
      <c r="Q1119" s="103" t="n"/>
      <c r="R1119" s="103" t="n"/>
      <c r="S1119" s="103" t="n"/>
      <c r="T1119" s="103" t="n"/>
      <c r="U1119" s="103" t="n"/>
      <c r="V1119" s="103" t="n"/>
      <c r="W1119" s="103" t="n"/>
      <c r="X1119" s="103" t="n"/>
      <c r="Y1119" s="103" t="n"/>
      <c r="Z1119" s="103" t="n"/>
      <c r="AA1119" s="103" t="n"/>
      <c r="AB1119" s="103" t="n"/>
      <c r="AC1119" s="103" t="n"/>
      <c r="AD1119" s="103" t="n"/>
      <c r="AE1119" s="103" t="n"/>
      <c r="AF1119" s="103" t="n"/>
      <c r="AG1119" s="103" t="n"/>
      <c r="AH1119" s="103" t="n"/>
      <c r="AI1119" s="103" t="n"/>
      <c r="AJ1119" s="103" t="n"/>
      <c r="AK1119" s="103" t="n"/>
      <c r="AL1119" s="103" t="n"/>
      <c r="AM1119" s="103" t="n"/>
      <c r="AN1119" s="103" t="n"/>
      <c r="AO1119" s="103" t="n"/>
      <c r="AP1119" s="103" t="n"/>
      <c r="AQ1119" s="103" t="n"/>
      <c r="AR1119" s="103" t="n"/>
    </row>
    <row r="1122">
      <c r="A1122" s="2">
        <f>IF($A1115="","","   projections")</f>
        <v/>
      </c>
      <c r="B1122" s="99">
        <f>IF($A1115="",0,COUNT($E1123:$AR1123))</f>
        <v/>
      </c>
      <c r="C1122" s="100">
        <f>IF($B1122=0,0,MAX($E1123:$AR1123))</f>
        <v/>
      </c>
      <c r="D1122" s="101">
        <f>BDS($A1115,FLD_PROJ,"headers=y","startcol=1","endcol=3","dir=h")</f>
        <v/>
      </c>
      <c r="E1122" s="102" t="n"/>
      <c r="F1122" s="102" t="n"/>
      <c r="G1122" s="102" t="n"/>
      <c r="H1122" s="102" t="n"/>
      <c r="I1122" s="102" t="n"/>
      <c r="J1122" s="102" t="n"/>
      <c r="K1122" s="102" t="n"/>
      <c r="L1122" s="102" t="n"/>
      <c r="M1122" s="102" t="n"/>
      <c r="N1122" s="102" t="n"/>
      <c r="O1122" s="102" t="n"/>
      <c r="P1122" s="102" t="n"/>
      <c r="Q1122" s="102" t="n"/>
      <c r="R1122" s="102" t="n"/>
      <c r="S1122" s="102" t="n"/>
      <c r="T1122" s="102" t="n"/>
      <c r="U1122" s="102" t="n"/>
      <c r="V1122" s="102" t="n"/>
      <c r="W1122" s="102" t="n"/>
      <c r="X1122" s="102" t="n"/>
      <c r="Y1122" s="102" t="n"/>
      <c r="Z1122" s="102" t="n"/>
      <c r="AA1122" s="102" t="n"/>
      <c r="AB1122" s="102" t="n"/>
      <c r="AC1122" s="102" t="n"/>
      <c r="AD1122" s="102" t="n"/>
      <c r="AE1122" s="102" t="n"/>
      <c r="AF1122" s="102" t="n"/>
      <c r="AG1122" s="102" t="n"/>
      <c r="AH1122" s="102" t="n"/>
      <c r="AI1122" s="102" t="n"/>
      <c r="AJ1122" s="102" t="n"/>
      <c r="AK1122" s="102" t="n"/>
      <c r="AL1122" s="102" t="n"/>
      <c r="AM1122" s="102" t="n"/>
      <c r="AN1122" s="102" t="n"/>
      <c r="AO1122" s="102" t="n"/>
      <c r="AP1122" s="102" t="n"/>
      <c r="AQ1122" s="102" t="n"/>
      <c r="AR1122" s="102" t="n"/>
    </row>
    <row r="1123">
      <c r="D1123" s="102" t="n"/>
      <c r="E1123" s="102" t="n"/>
      <c r="F1123" s="102" t="n"/>
      <c r="G1123" s="102" t="n"/>
      <c r="H1123" s="102" t="n"/>
      <c r="I1123" s="102" t="n"/>
      <c r="J1123" s="102" t="n"/>
      <c r="K1123" s="102" t="n"/>
      <c r="L1123" s="102" t="n"/>
      <c r="M1123" s="102" t="n"/>
      <c r="N1123" s="102" t="n"/>
      <c r="O1123" s="102" t="n"/>
      <c r="P1123" s="102" t="n"/>
      <c r="Q1123" s="102" t="n"/>
      <c r="R1123" s="102" t="n"/>
      <c r="S1123" s="102" t="n"/>
      <c r="T1123" s="102" t="n"/>
      <c r="U1123" s="102" t="n"/>
      <c r="V1123" s="102" t="n"/>
      <c r="W1123" s="102" t="n"/>
      <c r="X1123" s="102" t="n"/>
      <c r="Y1123" s="102" t="n"/>
      <c r="Z1123" s="102" t="n"/>
      <c r="AA1123" s="102" t="n"/>
      <c r="AB1123" s="102" t="n"/>
      <c r="AC1123" s="102" t="n"/>
      <c r="AD1123" s="102" t="n"/>
      <c r="AE1123" s="102" t="n"/>
      <c r="AF1123" s="102" t="n"/>
      <c r="AG1123" s="102" t="n"/>
      <c r="AH1123" s="102" t="n"/>
      <c r="AI1123" s="102" t="n"/>
      <c r="AJ1123" s="102" t="n"/>
      <c r="AK1123" s="102" t="n"/>
      <c r="AL1123" s="102" t="n"/>
      <c r="AM1123" s="102" t="n"/>
      <c r="AN1123" s="102" t="n"/>
      <c r="AO1123" s="102" t="n"/>
      <c r="AP1123" s="102" t="n"/>
      <c r="AQ1123" s="102" t="n"/>
      <c r="AR1123" s="102" t="n"/>
    </row>
    <row r="1124">
      <c r="D1124" s="103" t="n"/>
      <c r="E1124" s="103" t="n"/>
      <c r="F1124" s="103" t="n"/>
      <c r="G1124" s="103" t="n"/>
      <c r="H1124" s="103" t="n"/>
      <c r="I1124" s="103" t="n"/>
      <c r="J1124" s="103" t="n"/>
      <c r="K1124" s="103" t="n"/>
      <c r="L1124" s="103" t="n"/>
      <c r="M1124" s="103" t="n"/>
      <c r="N1124" s="103" t="n"/>
      <c r="O1124" s="103" t="n"/>
      <c r="P1124" s="103" t="n"/>
      <c r="Q1124" s="103" t="n"/>
      <c r="R1124" s="103" t="n"/>
      <c r="S1124" s="103" t="n"/>
      <c r="T1124" s="103" t="n"/>
      <c r="U1124" s="103" t="n"/>
      <c r="V1124" s="103" t="n"/>
      <c r="W1124" s="103" t="n"/>
      <c r="X1124" s="103" t="n"/>
      <c r="Y1124" s="103" t="n"/>
      <c r="Z1124" s="103" t="n"/>
      <c r="AA1124" s="103" t="n"/>
      <c r="AB1124" s="103" t="n"/>
      <c r="AC1124" s="103" t="n"/>
      <c r="AD1124" s="103" t="n"/>
      <c r="AE1124" s="103" t="n"/>
      <c r="AF1124" s="103" t="n"/>
      <c r="AG1124" s="103" t="n"/>
      <c r="AH1124" s="103" t="n"/>
      <c r="AI1124" s="103" t="n"/>
      <c r="AJ1124" s="103" t="n"/>
      <c r="AK1124" s="103" t="n"/>
      <c r="AL1124" s="103" t="n"/>
      <c r="AM1124" s="103" t="n"/>
      <c r="AN1124" s="103" t="n"/>
      <c r="AO1124" s="103" t="n"/>
      <c r="AP1124" s="103" t="n"/>
      <c r="AQ1124" s="103" t="n"/>
      <c r="AR1124" s="103" t="n"/>
    </row>
    <row r="1126">
      <c r="A1126" s="8">
        <f>IF(HSTECH!$C$8="","",HSTECH!$C$8)</f>
        <v/>
      </c>
      <c r="B1126" s="99">
        <f>IF($A1126="",0,COUNT($E1127:$AR1127))</f>
        <v/>
      </c>
      <c r="C1126" s="100">
        <f>IF($B1126=0,0,MAX($E1127:$AR1127))</f>
        <v/>
      </c>
      <c r="D1126" s="101">
        <f>BDS($A1126,FLD_HIST,"headers=y","startcol=1","endcol=7","dir=h","DVD_START_DT",HIST_FROM,"DVD_END_DT",HIST_TO)</f>
        <v/>
      </c>
      <c r="E1126" s="102" t="n"/>
      <c r="F1126" s="102" t="n"/>
      <c r="G1126" s="102" t="n"/>
      <c r="H1126" s="102" t="n"/>
      <c r="I1126" s="102" t="n"/>
      <c r="J1126" s="102" t="n"/>
      <c r="K1126" s="102" t="n"/>
      <c r="L1126" s="102" t="n"/>
      <c r="M1126" s="102" t="n"/>
      <c r="N1126" s="102" t="n"/>
      <c r="O1126" s="102" t="n"/>
      <c r="P1126" s="102" t="n"/>
      <c r="Q1126" s="102" t="n"/>
      <c r="R1126" s="102" t="n"/>
      <c r="S1126" s="102" t="n"/>
      <c r="T1126" s="102" t="n"/>
      <c r="U1126" s="102" t="n"/>
      <c r="V1126" s="102" t="n"/>
      <c r="W1126" s="102" t="n"/>
      <c r="X1126" s="102" t="n"/>
      <c r="Y1126" s="102" t="n"/>
      <c r="Z1126" s="102" t="n"/>
      <c r="AA1126" s="102" t="n"/>
      <c r="AB1126" s="102" t="n"/>
      <c r="AC1126" s="102" t="n"/>
      <c r="AD1126" s="102" t="n"/>
      <c r="AE1126" s="102" t="n"/>
      <c r="AF1126" s="102" t="n"/>
      <c r="AG1126" s="102" t="n"/>
      <c r="AH1126" s="102" t="n"/>
      <c r="AI1126" s="102" t="n"/>
      <c r="AJ1126" s="102" t="n"/>
      <c r="AK1126" s="102" t="n"/>
      <c r="AL1126" s="102" t="n"/>
      <c r="AM1126" s="102" t="n"/>
      <c r="AN1126" s="102" t="n"/>
      <c r="AO1126" s="102" t="n"/>
      <c r="AP1126" s="102" t="n"/>
      <c r="AQ1126" s="102" t="n"/>
      <c r="AR1126" s="102" t="n"/>
    </row>
    <row r="1127">
      <c r="D1127" s="102" t="n"/>
      <c r="E1127" s="102" t="n"/>
      <c r="F1127" s="102" t="n"/>
      <c r="G1127" s="102" t="n"/>
      <c r="H1127" s="102" t="n"/>
      <c r="I1127" s="102" t="n"/>
      <c r="J1127" s="102" t="n"/>
      <c r="K1127" s="102" t="n"/>
      <c r="L1127" s="102" t="n"/>
      <c r="M1127" s="102" t="n"/>
      <c r="N1127" s="102" t="n"/>
      <c r="O1127" s="102" t="n"/>
      <c r="P1127" s="102" t="n"/>
      <c r="Q1127" s="102" t="n"/>
      <c r="R1127" s="102" t="n"/>
      <c r="S1127" s="102" t="n"/>
      <c r="T1127" s="102" t="n"/>
      <c r="U1127" s="102" t="n"/>
      <c r="V1127" s="102" t="n"/>
      <c r="W1127" s="102" t="n"/>
      <c r="X1127" s="102" t="n"/>
      <c r="Y1127" s="102" t="n"/>
      <c r="Z1127" s="102" t="n"/>
      <c r="AA1127" s="102" t="n"/>
      <c r="AB1127" s="102" t="n"/>
      <c r="AC1127" s="102" t="n"/>
      <c r="AD1127" s="102" t="n"/>
      <c r="AE1127" s="102" t="n"/>
      <c r="AF1127" s="102" t="n"/>
      <c r="AG1127" s="102" t="n"/>
      <c r="AH1127" s="102" t="n"/>
      <c r="AI1127" s="102" t="n"/>
      <c r="AJ1127" s="102" t="n"/>
      <c r="AK1127" s="102" t="n"/>
      <c r="AL1127" s="102" t="n"/>
      <c r="AM1127" s="102" t="n"/>
      <c r="AN1127" s="102" t="n"/>
      <c r="AO1127" s="102" t="n"/>
      <c r="AP1127" s="102" t="n"/>
      <c r="AQ1127" s="102" t="n"/>
      <c r="AR1127" s="102" t="n"/>
    </row>
    <row r="1128">
      <c r="D1128" s="102" t="n"/>
      <c r="E1128" s="102" t="n"/>
      <c r="F1128" s="102" t="n"/>
      <c r="G1128" s="102" t="n"/>
      <c r="H1128" s="102" t="n"/>
      <c r="I1128" s="102" t="n"/>
      <c r="J1128" s="102" t="n"/>
      <c r="K1128" s="102" t="n"/>
      <c r="L1128" s="102" t="n"/>
      <c r="M1128" s="102" t="n"/>
      <c r="N1128" s="102" t="n"/>
      <c r="O1128" s="102" t="n"/>
      <c r="P1128" s="102" t="n"/>
      <c r="Q1128" s="102" t="n"/>
      <c r="R1128" s="102" t="n"/>
      <c r="S1128" s="102" t="n"/>
      <c r="T1128" s="102" t="n"/>
      <c r="U1128" s="102" t="n"/>
      <c r="V1128" s="102" t="n"/>
      <c r="W1128" s="102" t="n"/>
      <c r="X1128" s="102" t="n"/>
      <c r="Y1128" s="102" t="n"/>
      <c r="Z1128" s="102" t="n"/>
      <c r="AA1128" s="102" t="n"/>
      <c r="AB1128" s="102" t="n"/>
      <c r="AC1128" s="102" t="n"/>
      <c r="AD1128" s="102" t="n"/>
      <c r="AE1128" s="102" t="n"/>
      <c r="AF1128" s="102" t="n"/>
      <c r="AG1128" s="102" t="n"/>
      <c r="AH1128" s="102" t="n"/>
      <c r="AI1128" s="102" t="n"/>
      <c r="AJ1128" s="102" t="n"/>
      <c r="AK1128" s="102" t="n"/>
      <c r="AL1128" s="102" t="n"/>
      <c r="AM1128" s="102" t="n"/>
      <c r="AN1128" s="102" t="n"/>
      <c r="AO1128" s="102" t="n"/>
      <c r="AP1128" s="102" t="n"/>
      <c r="AQ1128" s="102" t="n"/>
      <c r="AR1128" s="102" t="n"/>
    </row>
    <row r="1129">
      <c r="D1129" s="102" t="n"/>
      <c r="E1129" s="102" t="n"/>
      <c r="F1129" s="102" t="n"/>
      <c r="G1129" s="102" t="n"/>
      <c r="H1129" s="102" t="n"/>
      <c r="I1129" s="102" t="n"/>
      <c r="J1129" s="102" t="n"/>
      <c r="K1129" s="102" t="n"/>
      <c r="L1129" s="102" t="n"/>
      <c r="M1129" s="102" t="n"/>
      <c r="N1129" s="102" t="n"/>
      <c r="O1129" s="102" t="n"/>
      <c r="P1129" s="102" t="n"/>
      <c r="Q1129" s="102" t="n"/>
      <c r="R1129" s="102" t="n"/>
      <c r="S1129" s="102" t="n"/>
      <c r="T1129" s="102" t="n"/>
      <c r="U1129" s="102" t="n"/>
      <c r="V1129" s="102" t="n"/>
      <c r="W1129" s="102" t="n"/>
      <c r="X1129" s="102" t="n"/>
      <c r="Y1129" s="102" t="n"/>
      <c r="Z1129" s="102" t="n"/>
      <c r="AA1129" s="102" t="n"/>
      <c r="AB1129" s="102" t="n"/>
      <c r="AC1129" s="102" t="n"/>
      <c r="AD1129" s="102" t="n"/>
      <c r="AE1129" s="102" t="n"/>
      <c r="AF1129" s="102" t="n"/>
      <c r="AG1129" s="102" t="n"/>
      <c r="AH1129" s="102" t="n"/>
      <c r="AI1129" s="102" t="n"/>
      <c r="AJ1129" s="102" t="n"/>
      <c r="AK1129" s="102" t="n"/>
      <c r="AL1129" s="102" t="n"/>
      <c r="AM1129" s="102" t="n"/>
      <c r="AN1129" s="102" t="n"/>
      <c r="AO1129" s="102" t="n"/>
      <c r="AP1129" s="102" t="n"/>
      <c r="AQ1129" s="102" t="n"/>
      <c r="AR1129" s="102" t="n"/>
    </row>
    <row r="1130">
      <c r="D1130" s="103" t="n"/>
      <c r="E1130" s="103" t="n"/>
      <c r="F1130" s="103" t="n"/>
      <c r="G1130" s="103" t="n"/>
      <c r="H1130" s="103" t="n"/>
      <c r="I1130" s="103" t="n"/>
      <c r="J1130" s="103" t="n"/>
      <c r="K1130" s="103" t="n"/>
      <c r="L1130" s="103" t="n"/>
      <c r="M1130" s="103" t="n"/>
      <c r="N1130" s="103" t="n"/>
      <c r="O1130" s="103" t="n"/>
      <c r="P1130" s="103" t="n"/>
      <c r="Q1130" s="103" t="n"/>
      <c r="R1130" s="103" t="n"/>
      <c r="S1130" s="103" t="n"/>
      <c r="T1130" s="103" t="n"/>
      <c r="U1130" s="103" t="n"/>
      <c r="V1130" s="103" t="n"/>
      <c r="W1130" s="103" t="n"/>
      <c r="X1130" s="103" t="n"/>
      <c r="Y1130" s="103" t="n"/>
      <c r="Z1130" s="103" t="n"/>
      <c r="AA1130" s="103" t="n"/>
      <c r="AB1130" s="103" t="n"/>
      <c r="AC1130" s="103" t="n"/>
      <c r="AD1130" s="103" t="n"/>
      <c r="AE1130" s="103" t="n"/>
      <c r="AF1130" s="103" t="n"/>
      <c r="AG1130" s="103" t="n"/>
      <c r="AH1130" s="103" t="n"/>
      <c r="AI1130" s="103" t="n"/>
      <c r="AJ1130" s="103" t="n"/>
      <c r="AK1130" s="103" t="n"/>
      <c r="AL1130" s="103" t="n"/>
      <c r="AM1130" s="103" t="n"/>
      <c r="AN1130" s="103" t="n"/>
      <c r="AO1130" s="103" t="n"/>
      <c r="AP1130" s="103" t="n"/>
      <c r="AQ1130" s="103" t="n"/>
      <c r="AR1130" s="103" t="n"/>
    </row>
    <row r="1133">
      <c r="A1133" s="2">
        <f>IF($A1126="","","   projections")</f>
        <v/>
      </c>
      <c r="B1133" s="99">
        <f>IF($A1126="",0,COUNT($E1134:$AR1134))</f>
        <v/>
      </c>
      <c r="C1133" s="100">
        <f>IF($B1133=0,0,MAX($E1134:$AR1134))</f>
        <v/>
      </c>
      <c r="D1133" s="101">
        <f>BDS($A1126,FLD_PROJ,"headers=y","startcol=1","endcol=3","dir=h")</f>
        <v/>
      </c>
      <c r="E1133" s="102" t="n"/>
      <c r="F1133" s="102" t="n"/>
      <c r="G1133" s="102" t="n"/>
      <c r="H1133" s="102" t="n"/>
      <c r="I1133" s="102" t="n"/>
      <c r="J1133" s="102" t="n"/>
      <c r="K1133" s="102" t="n"/>
      <c r="L1133" s="102" t="n"/>
      <c r="M1133" s="102" t="n"/>
      <c r="N1133" s="102" t="n"/>
      <c r="O1133" s="102" t="n"/>
      <c r="P1133" s="102" t="n"/>
      <c r="Q1133" s="102" t="n"/>
      <c r="R1133" s="102" t="n"/>
      <c r="S1133" s="102" t="n"/>
      <c r="T1133" s="102" t="n"/>
      <c r="U1133" s="102" t="n"/>
      <c r="V1133" s="102" t="n"/>
      <c r="W1133" s="102" t="n"/>
      <c r="X1133" s="102" t="n"/>
      <c r="Y1133" s="102" t="n"/>
      <c r="Z1133" s="102" t="n"/>
      <c r="AA1133" s="102" t="n"/>
      <c r="AB1133" s="102" t="n"/>
      <c r="AC1133" s="102" t="n"/>
      <c r="AD1133" s="102" t="n"/>
      <c r="AE1133" s="102" t="n"/>
      <c r="AF1133" s="102" t="n"/>
      <c r="AG1133" s="102" t="n"/>
      <c r="AH1133" s="102" t="n"/>
      <c r="AI1133" s="102" t="n"/>
      <c r="AJ1133" s="102" t="n"/>
      <c r="AK1133" s="102" t="n"/>
      <c r="AL1133" s="102" t="n"/>
      <c r="AM1133" s="102" t="n"/>
      <c r="AN1133" s="102" t="n"/>
      <c r="AO1133" s="102" t="n"/>
      <c r="AP1133" s="102" t="n"/>
      <c r="AQ1133" s="102" t="n"/>
      <c r="AR1133" s="102" t="n"/>
    </row>
    <row r="1134">
      <c r="D1134" s="102" t="n"/>
      <c r="E1134" s="102" t="n"/>
      <c r="F1134" s="102" t="n"/>
      <c r="G1134" s="102" t="n"/>
      <c r="H1134" s="102" t="n"/>
      <c r="I1134" s="102" t="n"/>
      <c r="J1134" s="102" t="n"/>
      <c r="K1134" s="102" t="n"/>
      <c r="L1134" s="102" t="n"/>
      <c r="M1134" s="102" t="n"/>
      <c r="N1134" s="102" t="n"/>
      <c r="O1134" s="102" t="n"/>
      <c r="P1134" s="102" t="n"/>
      <c r="Q1134" s="102" t="n"/>
      <c r="R1134" s="102" t="n"/>
      <c r="S1134" s="102" t="n"/>
      <c r="T1134" s="102" t="n"/>
      <c r="U1134" s="102" t="n"/>
      <c r="V1134" s="102" t="n"/>
      <c r="W1134" s="102" t="n"/>
      <c r="X1134" s="102" t="n"/>
      <c r="Y1134" s="102" t="n"/>
      <c r="Z1134" s="102" t="n"/>
      <c r="AA1134" s="102" t="n"/>
      <c r="AB1134" s="102" t="n"/>
      <c r="AC1134" s="102" t="n"/>
      <c r="AD1134" s="102" t="n"/>
      <c r="AE1134" s="102" t="n"/>
      <c r="AF1134" s="102" t="n"/>
      <c r="AG1134" s="102" t="n"/>
      <c r="AH1134" s="102" t="n"/>
      <c r="AI1134" s="102" t="n"/>
      <c r="AJ1134" s="102" t="n"/>
      <c r="AK1134" s="102" t="n"/>
      <c r="AL1134" s="102" t="n"/>
      <c r="AM1134" s="102" t="n"/>
      <c r="AN1134" s="102" t="n"/>
      <c r="AO1134" s="102" t="n"/>
      <c r="AP1134" s="102" t="n"/>
      <c r="AQ1134" s="102" t="n"/>
      <c r="AR1134" s="102" t="n"/>
    </row>
    <row r="1135">
      <c r="D1135" s="103" t="n"/>
      <c r="E1135" s="103" t="n"/>
      <c r="F1135" s="103" t="n"/>
      <c r="G1135" s="103" t="n"/>
      <c r="H1135" s="103" t="n"/>
      <c r="I1135" s="103" t="n"/>
      <c r="J1135" s="103" t="n"/>
      <c r="K1135" s="103" t="n"/>
      <c r="L1135" s="103" t="n"/>
      <c r="M1135" s="103" t="n"/>
      <c r="N1135" s="103" t="n"/>
      <c r="O1135" s="103" t="n"/>
      <c r="P1135" s="103" t="n"/>
      <c r="Q1135" s="103" t="n"/>
      <c r="R1135" s="103" t="n"/>
      <c r="S1135" s="103" t="n"/>
      <c r="T1135" s="103" t="n"/>
      <c r="U1135" s="103" t="n"/>
      <c r="V1135" s="103" t="n"/>
      <c r="W1135" s="103" t="n"/>
      <c r="X1135" s="103" t="n"/>
      <c r="Y1135" s="103" t="n"/>
      <c r="Z1135" s="103" t="n"/>
      <c r="AA1135" s="103" t="n"/>
      <c r="AB1135" s="103" t="n"/>
      <c r="AC1135" s="103" t="n"/>
      <c r="AD1135" s="103" t="n"/>
      <c r="AE1135" s="103" t="n"/>
      <c r="AF1135" s="103" t="n"/>
      <c r="AG1135" s="103" t="n"/>
      <c r="AH1135" s="103" t="n"/>
      <c r="AI1135" s="103" t="n"/>
      <c r="AJ1135" s="103" t="n"/>
      <c r="AK1135" s="103" t="n"/>
      <c r="AL1135" s="103" t="n"/>
      <c r="AM1135" s="103" t="n"/>
      <c r="AN1135" s="103" t="n"/>
      <c r="AO1135" s="103" t="n"/>
      <c r="AP1135" s="103" t="n"/>
      <c r="AQ1135" s="103" t="n"/>
      <c r="AR1135" s="103" t="n"/>
    </row>
    <row r="1137">
      <c r="A1137" s="8">
        <f>IF(HSTECH!$C$9="","",HSTECH!$C$9)</f>
        <v/>
      </c>
      <c r="B1137" s="99">
        <f>IF($A1137="",0,COUNT($E1138:$AR1138))</f>
        <v/>
      </c>
      <c r="C1137" s="100">
        <f>IF($B1137=0,0,MAX($E1138:$AR1138))</f>
        <v/>
      </c>
      <c r="D1137" s="101">
        <f>BDS($A1137,FLD_HIST,"headers=y","startcol=1","endcol=7","dir=h","DVD_START_DT",HIST_FROM,"DVD_END_DT",HIST_TO)</f>
        <v/>
      </c>
      <c r="E1137" s="102" t="n"/>
      <c r="F1137" s="102" t="n"/>
      <c r="G1137" s="102" t="n"/>
      <c r="H1137" s="102" t="n"/>
      <c r="I1137" s="102" t="n"/>
      <c r="J1137" s="102" t="n"/>
      <c r="K1137" s="102" t="n"/>
      <c r="L1137" s="102" t="n"/>
      <c r="M1137" s="102" t="n"/>
      <c r="N1137" s="102" t="n"/>
      <c r="O1137" s="102" t="n"/>
      <c r="P1137" s="102" t="n"/>
      <c r="Q1137" s="102" t="n"/>
      <c r="R1137" s="102" t="n"/>
      <c r="S1137" s="102" t="n"/>
      <c r="T1137" s="102" t="n"/>
      <c r="U1137" s="102" t="n"/>
      <c r="V1137" s="102" t="n"/>
      <c r="W1137" s="102" t="n"/>
      <c r="X1137" s="102" t="n"/>
      <c r="Y1137" s="102" t="n"/>
      <c r="Z1137" s="102" t="n"/>
      <c r="AA1137" s="102" t="n"/>
      <c r="AB1137" s="102" t="n"/>
      <c r="AC1137" s="102" t="n"/>
      <c r="AD1137" s="102" t="n"/>
      <c r="AE1137" s="102" t="n"/>
      <c r="AF1137" s="102" t="n"/>
      <c r="AG1137" s="102" t="n"/>
      <c r="AH1137" s="102" t="n"/>
      <c r="AI1137" s="102" t="n"/>
      <c r="AJ1137" s="102" t="n"/>
      <c r="AK1137" s="102" t="n"/>
      <c r="AL1137" s="102" t="n"/>
      <c r="AM1137" s="102" t="n"/>
      <c r="AN1137" s="102" t="n"/>
      <c r="AO1137" s="102" t="n"/>
      <c r="AP1137" s="102" t="n"/>
      <c r="AQ1137" s="102" t="n"/>
      <c r="AR1137" s="102" t="n"/>
    </row>
    <row r="1138">
      <c r="D1138" s="102" t="n"/>
      <c r="E1138" s="102" t="n"/>
      <c r="F1138" s="102" t="n"/>
      <c r="G1138" s="102" t="n"/>
      <c r="H1138" s="102" t="n"/>
      <c r="I1138" s="102" t="n"/>
      <c r="J1138" s="102" t="n"/>
      <c r="K1138" s="102" t="n"/>
      <c r="L1138" s="102" t="n"/>
      <c r="M1138" s="102" t="n"/>
      <c r="N1138" s="102" t="n"/>
      <c r="O1138" s="102" t="n"/>
      <c r="P1138" s="102" t="n"/>
      <c r="Q1138" s="102" t="n"/>
      <c r="R1138" s="102" t="n"/>
      <c r="S1138" s="102" t="n"/>
      <c r="T1138" s="102" t="n"/>
      <c r="U1138" s="102" t="n"/>
      <c r="V1138" s="102" t="n"/>
      <c r="W1138" s="102" t="n"/>
      <c r="X1138" s="102" t="n"/>
      <c r="Y1138" s="102" t="n"/>
      <c r="Z1138" s="102" t="n"/>
      <c r="AA1138" s="102" t="n"/>
      <c r="AB1138" s="102" t="n"/>
      <c r="AC1138" s="102" t="n"/>
      <c r="AD1138" s="102" t="n"/>
      <c r="AE1138" s="102" t="n"/>
      <c r="AF1138" s="102" t="n"/>
      <c r="AG1138" s="102" t="n"/>
      <c r="AH1138" s="102" t="n"/>
      <c r="AI1138" s="102" t="n"/>
      <c r="AJ1138" s="102" t="n"/>
      <c r="AK1138" s="102" t="n"/>
      <c r="AL1138" s="102" t="n"/>
      <c r="AM1138" s="102" t="n"/>
      <c r="AN1138" s="102" t="n"/>
      <c r="AO1138" s="102" t="n"/>
      <c r="AP1138" s="102" t="n"/>
      <c r="AQ1138" s="102" t="n"/>
      <c r="AR1138" s="102" t="n"/>
    </row>
    <row r="1139">
      <c r="D1139" s="102" t="n"/>
      <c r="E1139" s="102" t="n"/>
      <c r="F1139" s="102" t="n"/>
      <c r="G1139" s="102" t="n"/>
      <c r="H1139" s="102" t="n"/>
      <c r="I1139" s="102" t="n"/>
      <c r="J1139" s="102" t="n"/>
      <c r="K1139" s="102" t="n"/>
      <c r="L1139" s="102" t="n"/>
      <c r="M1139" s="102" t="n"/>
      <c r="N1139" s="102" t="n"/>
      <c r="O1139" s="102" t="n"/>
      <c r="P1139" s="102" t="n"/>
      <c r="Q1139" s="102" t="n"/>
      <c r="R1139" s="102" t="n"/>
      <c r="S1139" s="102" t="n"/>
      <c r="T1139" s="102" t="n"/>
      <c r="U1139" s="102" t="n"/>
      <c r="V1139" s="102" t="n"/>
      <c r="W1139" s="102" t="n"/>
      <c r="X1139" s="102" t="n"/>
      <c r="Y1139" s="102" t="n"/>
      <c r="Z1139" s="102" t="n"/>
      <c r="AA1139" s="102" t="n"/>
      <c r="AB1139" s="102" t="n"/>
      <c r="AC1139" s="102" t="n"/>
      <c r="AD1139" s="102" t="n"/>
      <c r="AE1139" s="102" t="n"/>
      <c r="AF1139" s="102" t="n"/>
      <c r="AG1139" s="102" t="n"/>
      <c r="AH1139" s="102" t="n"/>
      <c r="AI1139" s="102" t="n"/>
      <c r="AJ1139" s="102" t="n"/>
      <c r="AK1139" s="102" t="n"/>
      <c r="AL1139" s="102" t="n"/>
      <c r="AM1139" s="102" t="n"/>
      <c r="AN1139" s="102" t="n"/>
      <c r="AO1139" s="102" t="n"/>
      <c r="AP1139" s="102" t="n"/>
      <c r="AQ1139" s="102" t="n"/>
      <c r="AR1139" s="102" t="n"/>
    </row>
    <row r="1140">
      <c r="D1140" s="102" t="n"/>
      <c r="E1140" s="102" t="n"/>
      <c r="F1140" s="102" t="n"/>
      <c r="G1140" s="102" t="n"/>
      <c r="H1140" s="102" t="n"/>
      <c r="I1140" s="102" t="n"/>
      <c r="J1140" s="102" t="n"/>
      <c r="K1140" s="102" t="n"/>
      <c r="L1140" s="102" t="n"/>
      <c r="M1140" s="102" t="n"/>
      <c r="N1140" s="102" t="n"/>
      <c r="O1140" s="102" t="n"/>
      <c r="P1140" s="102" t="n"/>
      <c r="Q1140" s="102" t="n"/>
      <c r="R1140" s="102" t="n"/>
      <c r="S1140" s="102" t="n"/>
      <c r="T1140" s="102" t="n"/>
      <c r="U1140" s="102" t="n"/>
      <c r="V1140" s="102" t="n"/>
      <c r="W1140" s="102" t="n"/>
      <c r="X1140" s="102" t="n"/>
      <c r="Y1140" s="102" t="n"/>
      <c r="Z1140" s="102" t="n"/>
      <c r="AA1140" s="102" t="n"/>
      <c r="AB1140" s="102" t="n"/>
      <c r="AC1140" s="102" t="n"/>
      <c r="AD1140" s="102" t="n"/>
      <c r="AE1140" s="102" t="n"/>
      <c r="AF1140" s="102" t="n"/>
      <c r="AG1140" s="102" t="n"/>
      <c r="AH1140" s="102" t="n"/>
      <c r="AI1140" s="102" t="n"/>
      <c r="AJ1140" s="102" t="n"/>
      <c r="AK1140" s="102" t="n"/>
      <c r="AL1140" s="102" t="n"/>
      <c r="AM1140" s="102" t="n"/>
      <c r="AN1140" s="102" t="n"/>
      <c r="AO1140" s="102" t="n"/>
      <c r="AP1140" s="102" t="n"/>
      <c r="AQ1140" s="102" t="n"/>
      <c r="AR1140" s="102" t="n"/>
    </row>
    <row r="1141">
      <c r="D1141" s="103" t="n"/>
      <c r="E1141" s="103" t="n"/>
      <c r="F1141" s="103" t="n"/>
      <c r="G1141" s="103" t="n"/>
      <c r="H1141" s="103" t="n"/>
      <c r="I1141" s="103" t="n"/>
      <c r="J1141" s="103" t="n"/>
      <c r="K1141" s="103" t="n"/>
      <c r="L1141" s="103" t="n"/>
      <c r="M1141" s="103" t="n"/>
      <c r="N1141" s="103" t="n"/>
      <c r="O1141" s="103" t="n"/>
      <c r="P1141" s="103" t="n"/>
      <c r="Q1141" s="103" t="n"/>
      <c r="R1141" s="103" t="n"/>
      <c r="S1141" s="103" t="n"/>
      <c r="T1141" s="103" t="n"/>
      <c r="U1141" s="103" t="n"/>
      <c r="V1141" s="103" t="n"/>
      <c r="W1141" s="103" t="n"/>
      <c r="X1141" s="103" t="n"/>
      <c r="Y1141" s="103" t="n"/>
      <c r="Z1141" s="103" t="n"/>
      <c r="AA1141" s="103" t="n"/>
      <c r="AB1141" s="103" t="n"/>
      <c r="AC1141" s="103" t="n"/>
      <c r="AD1141" s="103" t="n"/>
      <c r="AE1141" s="103" t="n"/>
      <c r="AF1141" s="103" t="n"/>
      <c r="AG1141" s="103" t="n"/>
      <c r="AH1141" s="103" t="n"/>
      <c r="AI1141" s="103" t="n"/>
      <c r="AJ1141" s="103" t="n"/>
      <c r="AK1141" s="103" t="n"/>
      <c r="AL1141" s="103" t="n"/>
      <c r="AM1141" s="103" t="n"/>
      <c r="AN1141" s="103" t="n"/>
      <c r="AO1141" s="103" t="n"/>
      <c r="AP1141" s="103" t="n"/>
      <c r="AQ1141" s="103" t="n"/>
      <c r="AR1141" s="103" t="n"/>
    </row>
    <row r="1144">
      <c r="A1144" s="2">
        <f>IF($A1137="","","   projections")</f>
        <v/>
      </c>
      <c r="B1144" s="99">
        <f>IF($A1137="",0,COUNT($E1145:$AR1145))</f>
        <v/>
      </c>
      <c r="C1144" s="100">
        <f>IF($B1144=0,0,MAX($E1145:$AR1145))</f>
        <v/>
      </c>
      <c r="D1144" s="101">
        <f>BDS($A1137,FLD_PROJ,"headers=y","startcol=1","endcol=3","dir=h")</f>
        <v/>
      </c>
      <c r="E1144" s="102" t="n"/>
      <c r="F1144" s="102" t="n"/>
      <c r="G1144" s="102" t="n"/>
      <c r="H1144" s="102" t="n"/>
      <c r="I1144" s="102" t="n"/>
      <c r="J1144" s="102" t="n"/>
      <c r="K1144" s="102" t="n"/>
      <c r="L1144" s="102" t="n"/>
      <c r="M1144" s="102" t="n"/>
      <c r="N1144" s="102" t="n"/>
      <c r="O1144" s="102" t="n"/>
      <c r="P1144" s="102" t="n"/>
      <c r="Q1144" s="102" t="n"/>
      <c r="R1144" s="102" t="n"/>
      <c r="S1144" s="102" t="n"/>
      <c r="T1144" s="102" t="n"/>
      <c r="U1144" s="102" t="n"/>
      <c r="V1144" s="102" t="n"/>
      <c r="W1144" s="102" t="n"/>
      <c r="X1144" s="102" t="n"/>
      <c r="Y1144" s="102" t="n"/>
      <c r="Z1144" s="102" t="n"/>
      <c r="AA1144" s="102" t="n"/>
      <c r="AB1144" s="102" t="n"/>
      <c r="AC1144" s="102" t="n"/>
      <c r="AD1144" s="102" t="n"/>
      <c r="AE1144" s="102" t="n"/>
      <c r="AF1144" s="102" t="n"/>
      <c r="AG1144" s="102" t="n"/>
      <c r="AH1144" s="102" t="n"/>
      <c r="AI1144" s="102" t="n"/>
      <c r="AJ1144" s="102" t="n"/>
      <c r="AK1144" s="102" t="n"/>
      <c r="AL1144" s="102" t="n"/>
      <c r="AM1144" s="102" t="n"/>
      <c r="AN1144" s="102" t="n"/>
      <c r="AO1144" s="102" t="n"/>
      <c r="AP1144" s="102" t="n"/>
      <c r="AQ1144" s="102" t="n"/>
      <c r="AR1144" s="102" t="n"/>
    </row>
    <row r="1145">
      <c r="D1145" s="102" t="n"/>
      <c r="E1145" s="102" t="n"/>
      <c r="F1145" s="102" t="n"/>
      <c r="G1145" s="102" t="n"/>
      <c r="H1145" s="102" t="n"/>
      <c r="I1145" s="102" t="n"/>
      <c r="J1145" s="102" t="n"/>
      <c r="K1145" s="102" t="n"/>
      <c r="L1145" s="102" t="n"/>
      <c r="M1145" s="102" t="n"/>
      <c r="N1145" s="102" t="n"/>
      <c r="O1145" s="102" t="n"/>
      <c r="P1145" s="102" t="n"/>
      <c r="Q1145" s="102" t="n"/>
      <c r="R1145" s="102" t="n"/>
      <c r="S1145" s="102" t="n"/>
      <c r="T1145" s="102" t="n"/>
      <c r="U1145" s="102" t="n"/>
      <c r="V1145" s="102" t="n"/>
      <c r="W1145" s="102" t="n"/>
      <c r="X1145" s="102" t="n"/>
      <c r="Y1145" s="102" t="n"/>
      <c r="Z1145" s="102" t="n"/>
      <c r="AA1145" s="102" t="n"/>
      <c r="AB1145" s="102" t="n"/>
      <c r="AC1145" s="102" t="n"/>
      <c r="AD1145" s="102" t="n"/>
      <c r="AE1145" s="102" t="n"/>
      <c r="AF1145" s="102" t="n"/>
      <c r="AG1145" s="102" t="n"/>
      <c r="AH1145" s="102" t="n"/>
      <c r="AI1145" s="102" t="n"/>
      <c r="AJ1145" s="102" t="n"/>
      <c r="AK1145" s="102" t="n"/>
      <c r="AL1145" s="102" t="n"/>
      <c r="AM1145" s="102" t="n"/>
      <c r="AN1145" s="102" t="n"/>
      <c r="AO1145" s="102" t="n"/>
      <c r="AP1145" s="102" t="n"/>
      <c r="AQ1145" s="102" t="n"/>
      <c r="AR1145" s="102" t="n"/>
    </row>
    <row r="1146">
      <c r="D1146" s="103" t="n"/>
      <c r="E1146" s="103" t="n"/>
      <c r="F1146" s="103" t="n"/>
      <c r="G1146" s="103" t="n"/>
      <c r="H1146" s="103" t="n"/>
      <c r="I1146" s="103" t="n"/>
      <c r="J1146" s="103" t="n"/>
      <c r="K1146" s="103" t="n"/>
      <c r="L1146" s="103" t="n"/>
      <c r="M1146" s="103" t="n"/>
      <c r="N1146" s="103" t="n"/>
      <c r="O1146" s="103" t="n"/>
      <c r="P1146" s="103" t="n"/>
      <c r="Q1146" s="103" t="n"/>
      <c r="R1146" s="103" t="n"/>
      <c r="S1146" s="103" t="n"/>
      <c r="T1146" s="103" t="n"/>
      <c r="U1146" s="103" t="n"/>
      <c r="V1146" s="103" t="n"/>
      <c r="W1146" s="103" t="n"/>
      <c r="X1146" s="103" t="n"/>
      <c r="Y1146" s="103" t="n"/>
      <c r="Z1146" s="103" t="n"/>
      <c r="AA1146" s="103" t="n"/>
      <c r="AB1146" s="103" t="n"/>
      <c r="AC1146" s="103" t="n"/>
      <c r="AD1146" s="103" t="n"/>
      <c r="AE1146" s="103" t="n"/>
      <c r="AF1146" s="103" t="n"/>
      <c r="AG1146" s="103" t="n"/>
      <c r="AH1146" s="103" t="n"/>
      <c r="AI1146" s="103" t="n"/>
      <c r="AJ1146" s="103" t="n"/>
      <c r="AK1146" s="103" t="n"/>
      <c r="AL1146" s="103" t="n"/>
      <c r="AM1146" s="103" t="n"/>
      <c r="AN1146" s="103" t="n"/>
      <c r="AO1146" s="103" t="n"/>
      <c r="AP1146" s="103" t="n"/>
      <c r="AQ1146" s="103" t="n"/>
      <c r="AR1146" s="103" t="n"/>
    </row>
    <row r="1148">
      <c r="A1148" s="8">
        <f>IF(HSTECH!$C$10="","",HSTECH!$C$10)</f>
        <v/>
      </c>
      <c r="B1148" s="99">
        <f>IF($A1148="",0,COUNT($E1149:$AR1149))</f>
        <v/>
      </c>
      <c r="C1148" s="100">
        <f>IF($B1148=0,0,MAX($E1149:$AR1149))</f>
        <v/>
      </c>
      <c r="D1148" s="101">
        <f>BDS($A1148,FLD_HIST,"headers=y","startcol=1","endcol=7","dir=h","DVD_START_DT",HIST_FROM,"DVD_END_DT",HIST_TO)</f>
        <v/>
      </c>
      <c r="E1148" s="102" t="n"/>
      <c r="F1148" s="102" t="n"/>
      <c r="G1148" s="102" t="n"/>
      <c r="H1148" s="102" t="n"/>
      <c r="I1148" s="102" t="n"/>
      <c r="J1148" s="102" t="n"/>
      <c r="K1148" s="102" t="n"/>
      <c r="L1148" s="102" t="n"/>
      <c r="M1148" s="102" t="n"/>
      <c r="N1148" s="102" t="n"/>
      <c r="O1148" s="102" t="n"/>
      <c r="P1148" s="102" t="n"/>
      <c r="Q1148" s="102" t="n"/>
      <c r="R1148" s="102" t="n"/>
      <c r="S1148" s="102" t="n"/>
      <c r="T1148" s="102" t="n"/>
      <c r="U1148" s="102" t="n"/>
      <c r="V1148" s="102" t="n"/>
      <c r="W1148" s="102" t="n"/>
      <c r="X1148" s="102" t="n"/>
      <c r="Y1148" s="102" t="n"/>
      <c r="Z1148" s="102" t="n"/>
      <c r="AA1148" s="102" t="n"/>
      <c r="AB1148" s="102" t="n"/>
      <c r="AC1148" s="102" t="n"/>
      <c r="AD1148" s="102" t="n"/>
      <c r="AE1148" s="102" t="n"/>
      <c r="AF1148" s="102" t="n"/>
      <c r="AG1148" s="102" t="n"/>
      <c r="AH1148" s="102" t="n"/>
      <c r="AI1148" s="102" t="n"/>
      <c r="AJ1148" s="102" t="n"/>
      <c r="AK1148" s="102" t="n"/>
      <c r="AL1148" s="102" t="n"/>
      <c r="AM1148" s="102" t="n"/>
      <c r="AN1148" s="102" t="n"/>
      <c r="AO1148" s="102" t="n"/>
      <c r="AP1148" s="102" t="n"/>
      <c r="AQ1148" s="102" t="n"/>
      <c r="AR1148" s="102" t="n"/>
    </row>
    <row r="1149">
      <c r="D1149" s="102" t="n"/>
      <c r="E1149" s="102" t="n"/>
      <c r="F1149" s="102" t="n"/>
      <c r="G1149" s="102" t="n"/>
      <c r="H1149" s="102" t="n"/>
      <c r="I1149" s="102" t="n"/>
      <c r="J1149" s="102" t="n"/>
      <c r="K1149" s="102" t="n"/>
      <c r="L1149" s="102" t="n"/>
      <c r="M1149" s="102" t="n"/>
      <c r="N1149" s="102" t="n"/>
      <c r="O1149" s="102" t="n"/>
      <c r="P1149" s="102" t="n"/>
      <c r="Q1149" s="102" t="n"/>
      <c r="R1149" s="102" t="n"/>
      <c r="S1149" s="102" t="n"/>
      <c r="T1149" s="102" t="n"/>
      <c r="U1149" s="102" t="n"/>
      <c r="V1149" s="102" t="n"/>
      <c r="W1149" s="102" t="n"/>
      <c r="X1149" s="102" t="n"/>
      <c r="Y1149" s="102" t="n"/>
      <c r="Z1149" s="102" t="n"/>
      <c r="AA1149" s="102" t="n"/>
      <c r="AB1149" s="102" t="n"/>
      <c r="AC1149" s="102" t="n"/>
      <c r="AD1149" s="102" t="n"/>
      <c r="AE1149" s="102" t="n"/>
      <c r="AF1149" s="102" t="n"/>
      <c r="AG1149" s="102" t="n"/>
      <c r="AH1149" s="102" t="n"/>
      <c r="AI1149" s="102" t="n"/>
      <c r="AJ1149" s="102" t="n"/>
      <c r="AK1149" s="102" t="n"/>
      <c r="AL1149" s="102" t="n"/>
      <c r="AM1149" s="102" t="n"/>
      <c r="AN1149" s="102" t="n"/>
      <c r="AO1149" s="102" t="n"/>
      <c r="AP1149" s="102" t="n"/>
      <c r="AQ1149" s="102" t="n"/>
      <c r="AR1149" s="102" t="n"/>
    </row>
    <row r="1150">
      <c r="D1150" s="102" t="n"/>
      <c r="E1150" s="102" t="n"/>
      <c r="F1150" s="102" t="n"/>
      <c r="G1150" s="102" t="n"/>
      <c r="H1150" s="102" t="n"/>
      <c r="I1150" s="102" t="n"/>
      <c r="J1150" s="102" t="n"/>
      <c r="K1150" s="102" t="n"/>
      <c r="L1150" s="102" t="n"/>
      <c r="M1150" s="102" t="n"/>
      <c r="N1150" s="102" t="n"/>
      <c r="O1150" s="102" t="n"/>
      <c r="P1150" s="102" t="n"/>
      <c r="Q1150" s="102" t="n"/>
      <c r="R1150" s="102" t="n"/>
      <c r="S1150" s="102" t="n"/>
      <c r="T1150" s="102" t="n"/>
      <c r="U1150" s="102" t="n"/>
      <c r="V1150" s="102" t="n"/>
      <c r="W1150" s="102" t="n"/>
      <c r="X1150" s="102" t="n"/>
      <c r="Y1150" s="102" t="n"/>
      <c r="Z1150" s="102" t="n"/>
      <c r="AA1150" s="102" t="n"/>
      <c r="AB1150" s="102" t="n"/>
      <c r="AC1150" s="102" t="n"/>
      <c r="AD1150" s="102" t="n"/>
      <c r="AE1150" s="102" t="n"/>
      <c r="AF1150" s="102" t="n"/>
      <c r="AG1150" s="102" t="n"/>
      <c r="AH1150" s="102" t="n"/>
      <c r="AI1150" s="102" t="n"/>
      <c r="AJ1150" s="102" t="n"/>
      <c r="AK1150" s="102" t="n"/>
      <c r="AL1150" s="102" t="n"/>
      <c r="AM1150" s="102" t="n"/>
      <c r="AN1150" s="102" t="n"/>
      <c r="AO1150" s="102" t="n"/>
      <c r="AP1150" s="102" t="n"/>
      <c r="AQ1150" s="102" t="n"/>
      <c r="AR1150" s="102" t="n"/>
    </row>
    <row r="1151">
      <c r="D1151" s="102" t="n"/>
      <c r="E1151" s="102" t="n"/>
      <c r="F1151" s="102" t="n"/>
      <c r="G1151" s="102" t="n"/>
      <c r="H1151" s="102" t="n"/>
      <c r="I1151" s="102" t="n"/>
      <c r="J1151" s="102" t="n"/>
      <c r="K1151" s="102" t="n"/>
      <c r="L1151" s="102" t="n"/>
      <c r="M1151" s="102" t="n"/>
      <c r="N1151" s="102" t="n"/>
      <c r="O1151" s="102" t="n"/>
      <c r="P1151" s="102" t="n"/>
      <c r="Q1151" s="102" t="n"/>
      <c r="R1151" s="102" t="n"/>
      <c r="S1151" s="102" t="n"/>
      <c r="T1151" s="102" t="n"/>
      <c r="U1151" s="102" t="n"/>
      <c r="V1151" s="102" t="n"/>
      <c r="W1151" s="102" t="n"/>
      <c r="X1151" s="102" t="n"/>
      <c r="Y1151" s="102" t="n"/>
      <c r="Z1151" s="102" t="n"/>
      <c r="AA1151" s="102" t="n"/>
      <c r="AB1151" s="102" t="n"/>
      <c r="AC1151" s="102" t="n"/>
      <c r="AD1151" s="102" t="n"/>
      <c r="AE1151" s="102" t="n"/>
      <c r="AF1151" s="102" t="n"/>
      <c r="AG1151" s="102" t="n"/>
      <c r="AH1151" s="102" t="n"/>
      <c r="AI1151" s="102" t="n"/>
      <c r="AJ1151" s="102" t="n"/>
      <c r="AK1151" s="102" t="n"/>
      <c r="AL1151" s="102" t="n"/>
      <c r="AM1151" s="102" t="n"/>
      <c r="AN1151" s="102" t="n"/>
      <c r="AO1151" s="102" t="n"/>
      <c r="AP1151" s="102" t="n"/>
      <c r="AQ1151" s="102" t="n"/>
      <c r="AR1151" s="102" t="n"/>
    </row>
    <row r="1152">
      <c r="D1152" s="103" t="n"/>
      <c r="E1152" s="103" t="n"/>
      <c r="F1152" s="103" t="n"/>
      <c r="G1152" s="103" t="n"/>
      <c r="H1152" s="103" t="n"/>
      <c r="I1152" s="103" t="n"/>
      <c r="J1152" s="103" t="n"/>
      <c r="K1152" s="103" t="n"/>
      <c r="L1152" s="103" t="n"/>
      <c r="M1152" s="103" t="n"/>
      <c r="N1152" s="103" t="n"/>
      <c r="O1152" s="103" t="n"/>
      <c r="P1152" s="103" t="n"/>
      <c r="Q1152" s="103" t="n"/>
      <c r="R1152" s="103" t="n"/>
      <c r="S1152" s="103" t="n"/>
      <c r="T1152" s="103" t="n"/>
      <c r="U1152" s="103" t="n"/>
      <c r="V1152" s="103" t="n"/>
      <c r="W1152" s="103" t="n"/>
      <c r="X1152" s="103" t="n"/>
      <c r="Y1152" s="103" t="n"/>
      <c r="Z1152" s="103" t="n"/>
      <c r="AA1152" s="103" t="n"/>
      <c r="AB1152" s="103" t="n"/>
      <c r="AC1152" s="103" t="n"/>
      <c r="AD1152" s="103" t="n"/>
      <c r="AE1152" s="103" t="n"/>
      <c r="AF1152" s="103" t="n"/>
      <c r="AG1152" s="103" t="n"/>
      <c r="AH1152" s="103" t="n"/>
      <c r="AI1152" s="103" t="n"/>
      <c r="AJ1152" s="103" t="n"/>
      <c r="AK1152" s="103" t="n"/>
      <c r="AL1152" s="103" t="n"/>
      <c r="AM1152" s="103" t="n"/>
      <c r="AN1152" s="103" t="n"/>
      <c r="AO1152" s="103" t="n"/>
      <c r="AP1152" s="103" t="n"/>
      <c r="AQ1152" s="103" t="n"/>
      <c r="AR1152" s="103" t="n"/>
    </row>
    <row r="1155">
      <c r="A1155" s="2">
        <f>IF($A1148="","","   projections")</f>
        <v/>
      </c>
      <c r="B1155" s="99">
        <f>IF($A1148="",0,COUNT($E1156:$AR1156))</f>
        <v/>
      </c>
      <c r="C1155" s="100">
        <f>IF($B1155=0,0,MAX($E1156:$AR1156))</f>
        <v/>
      </c>
      <c r="D1155" s="101">
        <f>BDS($A1148,FLD_PROJ,"headers=y","startcol=1","endcol=3","dir=h")</f>
        <v/>
      </c>
      <c r="E1155" s="102" t="n"/>
      <c r="F1155" s="102" t="n"/>
      <c r="G1155" s="102" t="n"/>
      <c r="H1155" s="102" t="n"/>
      <c r="I1155" s="102" t="n"/>
      <c r="J1155" s="102" t="n"/>
      <c r="K1155" s="102" t="n"/>
      <c r="L1155" s="102" t="n"/>
      <c r="M1155" s="102" t="n"/>
      <c r="N1155" s="102" t="n"/>
      <c r="O1155" s="102" t="n"/>
      <c r="P1155" s="102" t="n"/>
      <c r="Q1155" s="102" t="n"/>
      <c r="R1155" s="102" t="n"/>
      <c r="S1155" s="102" t="n"/>
      <c r="T1155" s="102" t="n"/>
      <c r="U1155" s="102" t="n"/>
      <c r="V1155" s="102" t="n"/>
      <c r="W1155" s="102" t="n"/>
      <c r="X1155" s="102" t="n"/>
      <c r="Y1155" s="102" t="n"/>
      <c r="Z1155" s="102" t="n"/>
      <c r="AA1155" s="102" t="n"/>
      <c r="AB1155" s="102" t="n"/>
      <c r="AC1155" s="102" t="n"/>
      <c r="AD1155" s="102" t="n"/>
      <c r="AE1155" s="102" t="n"/>
      <c r="AF1155" s="102" t="n"/>
      <c r="AG1155" s="102" t="n"/>
      <c r="AH1155" s="102" t="n"/>
      <c r="AI1155" s="102" t="n"/>
      <c r="AJ1155" s="102" t="n"/>
      <c r="AK1155" s="102" t="n"/>
      <c r="AL1155" s="102" t="n"/>
      <c r="AM1155" s="102" t="n"/>
      <c r="AN1155" s="102" t="n"/>
      <c r="AO1155" s="102" t="n"/>
      <c r="AP1155" s="102" t="n"/>
      <c r="AQ1155" s="102" t="n"/>
      <c r="AR1155" s="102" t="n"/>
    </row>
    <row r="1156">
      <c r="D1156" s="102" t="n"/>
      <c r="E1156" s="102" t="n"/>
      <c r="F1156" s="102" t="n"/>
      <c r="G1156" s="102" t="n"/>
      <c r="H1156" s="102" t="n"/>
      <c r="I1156" s="102" t="n"/>
      <c r="J1156" s="102" t="n"/>
      <c r="K1156" s="102" t="n"/>
      <c r="L1156" s="102" t="n"/>
      <c r="M1156" s="102" t="n"/>
      <c r="N1156" s="102" t="n"/>
      <c r="O1156" s="102" t="n"/>
      <c r="P1156" s="102" t="n"/>
      <c r="Q1156" s="102" t="n"/>
      <c r="R1156" s="102" t="n"/>
      <c r="S1156" s="102" t="n"/>
      <c r="T1156" s="102" t="n"/>
      <c r="U1156" s="102" t="n"/>
      <c r="V1156" s="102" t="n"/>
      <c r="W1156" s="102" t="n"/>
      <c r="X1156" s="102" t="n"/>
      <c r="Y1156" s="102" t="n"/>
      <c r="Z1156" s="102" t="n"/>
      <c r="AA1156" s="102" t="n"/>
      <c r="AB1156" s="102" t="n"/>
      <c r="AC1156" s="102" t="n"/>
      <c r="AD1156" s="102" t="n"/>
      <c r="AE1156" s="102" t="n"/>
      <c r="AF1156" s="102" t="n"/>
      <c r="AG1156" s="102" t="n"/>
      <c r="AH1156" s="102" t="n"/>
      <c r="AI1156" s="102" t="n"/>
      <c r="AJ1156" s="102" t="n"/>
      <c r="AK1156" s="102" t="n"/>
      <c r="AL1156" s="102" t="n"/>
      <c r="AM1156" s="102" t="n"/>
      <c r="AN1156" s="102" t="n"/>
      <c r="AO1156" s="102" t="n"/>
      <c r="AP1156" s="102" t="n"/>
      <c r="AQ1156" s="102" t="n"/>
      <c r="AR1156" s="102" t="n"/>
    </row>
    <row r="1157">
      <c r="D1157" s="103" t="n"/>
      <c r="E1157" s="103" t="n"/>
      <c r="F1157" s="103" t="n"/>
      <c r="G1157" s="103" t="n"/>
      <c r="H1157" s="103" t="n"/>
      <c r="I1157" s="103" t="n"/>
      <c r="J1157" s="103" t="n"/>
      <c r="K1157" s="103" t="n"/>
      <c r="L1157" s="103" t="n"/>
      <c r="M1157" s="103" t="n"/>
      <c r="N1157" s="103" t="n"/>
      <c r="O1157" s="103" t="n"/>
      <c r="P1157" s="103" t="n"/>
      <c r="Q1157" s="103" t="n"/>
      <c r="R1157" s="103" t="n"/>
      <c r="S1157" s="103" t="n"/>
      <c r="T1157" s="103" t="n"/>
      <c r="U1157" s="103" t="n"/>
      <c r="V1157" s="103" t="n"/>
      <c r="W1157" s="103" t="n"/>
      <c r="X1157" s="103" t="n"/>
      <c r="Y1157" s="103" t="n"/>
      <c r="Z1157" s="103" t="n"/>
      <c r="AA1157" s="103" t="n"/>
      <c r="AB1157" s="103" t="n"/>
      <c r="AC1157" s="103" t="n"/>
      <c r="AD1157" s="103" t="n"/>
      <c r="AE1157" s="103" t="n"/>
      <c r="AF1157" s="103" t="n"/>
      <c r="AG1157" s="103" t="n"/>
      <c r="AH1157" s="103" t="n"/>
      <c r="AI1157" s="103" t="n"/>
      <c r="AJ1157" s="103" t="n"/>
      <c r="AK1157" s="103" t="n"/>
      <c r="AL1157" s="103" t="n"/>
      <c r="AM1157" s="103" t="n"/>
      <c r="AN1157" s="103" t="n"/>
      <c r="AO1157" s="103" t="n"/>
      <c r="AP1157" s="103" t="n"/>
      <c r="AQ1157" s="103" t="n"/>
      <c r="AR1157" s="103" t="n"/>
    </row>
    <row r="1159">
      <c r="A1159" s="8">
        <f>IF(HSTECH!$C$11="","",HSTECH!$C$11)</f>
        <v/>
      </c>
      <c r="B1159" s="99">
        <f>IF($A1159="",0,COUNT($E1160:$AR1160))</f>
        <v/>
      </c>
      <c r="C1159" s="100">
        <f>IF($B1159=0,0,MAX($E1160:$AR1160))</f>
        <v/>
      </c>
      <c r="D1159" s="101">
        <f>BDS($A1159,FLD_HIST,"headers=y","startcol=1","endcol=7","dir=h","DVD_START_DT",HIST_FROM,"DVD_END_DT",HIST_TO)</f>
        <v/>
      </c>
      <c r="E1159" s="102" t="n"/>
      <c r="F1159" s="102" t="n"/>
      <c r="G1159" s="102" t="n"/>
      <c r="H1159" s="102" t="n"/>
      <c r="I1159" s="102" t="n"/>
      <c r="J1159" s="102" t="n"/>
      <c r="K1159" s="102" t="n"/>
      <c r="L1159" s="102" t="n"/>
      <c r="M1159" s="102" t="n"/>
      <c r="N1159" s="102" t="n"/>
      <c r="O1159" s="102" t="n"/>
      <c r="P1159" s="102" t="n"/>
      <c r="Q1159" s="102" t="n"/>
      <c r="R1159" s="102" t="n"/>
      <c r="S1159" s="102" t="n"/>
      <c r="T1159" s="102" t="n"/>
      <c r="U1159" s="102" t="n"/>
      <c r="V1159" s="102" t="n"/>
      <c r="W1159" s="102" t="n"/>
      <c r="X1159" s="102" t="n"/>
      <c r="Y1159" s="102" t="n"/>
      <c r="Z1159" s="102" t="n"/>
      <c r="AA1159" s="102" t="n"/>
      <c r="AB1159" s="102" t="n"/>
      <c r="AC1159" s="102" t="n"/>
      <c r="AD1159" s="102" t="n"/>
      <c r="AE1159" s="102" t="n"/>
      <c r="AF1159" s="102" t="n"/>
      <c r="AG1159" s="102" t="n"/>
      <c r="AH1159" s="102" t="n"/>
      <c r="AI1159" s="102" t="n"/>
      <c r="AJ1159" s="102" t="n"/>
      <c r="AK1159" s="102" t="n"/>
      <c r="AL1159" s="102" t="n"/>
      <c r="AM1159" s="102" t="n"/>
      <c r="AN1159" s="102" t="n"/>
      <c r="AO1159" s="102" t="n"/>
      <c r="AP1159" s="102" t="n"/>
      <c r="AQ1159" s="102" t="n"/>
      <c r="AR1159" s="102" t="n"/>
    </row>
    <row r="1160">
      <c r="D1160" s="102" t="n"/>
      <c r="E1160" s="102" t="n"/>
      <c r="F1160" s="102" t="n"/>
      <c r="G1160" s="102" t="n"/>
      <c r="H1160" s="102" t="n"/>
      <c r="I1160" s="102" t="n"/>
      <c r="J1160" s="102" t="n"/>
      <c r="K1160" s="102" t="n"/>
      <c r="L1160" s="102" t="n"/>
      <c r="M1160" s="102" t="n"/>
      <c r="N1160" s="102" t="n"/>
      <c r="O1160" s="102" t="n"/>
      <c r="P1160" s="102" t="n"/>
      <c r="Q1160" s="102" t="n"/>
      <c r="R1160" s="102" t="n"/>
      <c r="S1160" s="102" t="n"/>
      <c r="T1160" s="102" t="n"/>
      <c r="U1160" s="102" t="n"/>
      <c r="V1160" s="102" t="n"/>
      <c r="W1160" s="102" t="n"/>
      <c r="X1160" s="102" t="n"/>
      <c r="Y1160" s="102" t="n"/>
      <c r="Z1160" s="102" t="n"/>
      <c r="AA1160" s="102" t="n"/>
      <c r="AB1160" s="102" t="n"/>
      <c r="AC1160" s="102" t="n"/>
      <c r="AD1160" s="102" t="n"/>
      <c r="AE1160" s="102" t="n"/>
      <c r="AF1160" s="102" t="n"/>
      <c r="AG1160" s="102" t="n"/>
      <c r="AH1160" s="102" t="n"/>
      <c r="AI1160" s="102" t="n"/>
      <c r="AJ1160" s="102" t="n"/>
      <c r="AK1160" s="102" t="n"/>
      <c r="AL1160" s="102" t="n"/>
      <c r="AM1160" s="102" t="n"/>
      <c r="AN1160" s="102" t="n"/>
      <c r="AO1160" s="102" t="n"/>
      <c r="AP1160" s="102" t="n"/>
      <c r="AQ1160" s="102" t="n"/>
      <c r="AR1160" s="102" t="n"/>
    </row>
    <row r="1161">
      <c r="D1161" s="102" t="n"/>
      <c r="E1161" s="102" t="n"/>
      <c r="F1161" s="102" t="n"/>
      <c r="G1161" s="102" t="n"/>
      <c r="H1161" s="102" t="n"/>
      <c r="I1161" s="102" t="n"/>
      <c r="J1161" s="102" t="n"/>
      <c r="K1161" s="102" t="n"/>
      <c r="L1161" s="102" t="n"/>
      <c r="M1161" s="102" t="n"/>
      <c r="N1161" s="102" t="n"/>
      <c r="O1161" s="102" t="n"/>
      <c r="P1161" s="102" t="n"/>
      <c r="Q1161" s="102" t="n"/>
      <c r="R1161" s="102" t="n"/>
      <c r="S1161" s="102" t="n"/>
      <c r="T1161" s="102" t="n"/>
      <c r="U1161" s="102" t="n"/>
      <c r="V1161" s="102" t="n"/>
      <c r="W1161" s="102" t="n"/>
      <c r="X1161" s="102" t="n"/>
      <c r="Y1161" s="102" t="n"/>
      <c r="Z1161" s="102" t="n"/>
      <c r="AA1161" s="102" t="n"/>
      <c r="AB1161" s="102" t="n"/>
      <c r="AC1161" s="102" t="n"/>
      <c r="AD1161" s="102" t="n"/>
      <c r="AE1161" s="102" t="n"/>
      <c r="AF1161" s="102" t="n"/>
      <c r="AG1161" s="102" t="n"/>
      <c r="AH1161" s="102" t="n"/>
      <c r="AI1161" s="102" t="n"/>
      <c r="AJ1161" s="102" t="n"/>
      <c r="AK1161" s="102" t="n"/>
      <c r="AL1161" s="102" t="n"/>
      <c r="AM1161" s="102" t="n"/>
      <c r="AN1161" s="102" t="n"/>
      <c r="AO1161" s="102" t="n"/>
      <c r="AP1161" s="102" t="n"/>
      <c r="AQ1161" s="102" t="n"/>
      <c r="AR1161" s="102" t="n"/>
    </row>
    <row r="1162">
      <c r="D1162" s="102" t="n"/>
      <c r="E1162" s="102" t="n"/>
      <c r="F1162" s="102" t="n"/>
      <c r="G1162" s="102" t="n"/>
      <c r="H1162" s="102" t="n"/>
      <c r="I1162" s="102" t="n"/>
      <c r="J1162" s="102" t="n"/>
      <c r="K1162" s="102" t="n"/>
      <c r="L1162" s="102" t="n"/>
      <c r="M1162" s="102" t="n"/>
      <c r="N1162" s="102" t="n"/>
      <c r="O1162" s="102" t="n"/>
      <c r="P1162" s="102" t="n"/>
      <c r="Q1162" s="102" t="n"/>
      <c r="R1162" s="102" t="n"/>
      <c r="S1162" s="102" t="n"/>
      <c r="T1162" s="102" t="n"/>
      <c r="U1162" s="102" t="n"/>
      <c r="V1162" s="102" t="n"/>
      <c r="W1162" s="102" t="n"/>
      <c r="X1162" s="102" t="n"/>
      <c r="Y1162" s="102" t="n"/>
      <c r="Z1162" s="102" t="n"/>
      <c r="AA1162" s="102" t="n"/>
      <c r="AB1162" s="102" t="n"/>
      <c r="AC1162" s="102" t="n"/>
      <c r="AD1162" s="102" t="n"/>
      <c r="AE1162" s="102" t="n"/>
      <c r="AF1162" s="102" t="n"/>
      <c r="AG1162" s="102" t="n"/>
      <c r="AH1162" s="102" t="n"/>
      <c r="AI1162" s="102" t="n"/>
      <c r="AJ1162" s="102" t="n"/>
      <c r="AK1162" s="102" t="n"/>
      <c r="AL1162" s="102" t="n"/>
      <c r="AM1162" s="102" t="n"/>
      <c r="AN1162" s="102" t="n"/>
      <c r="AO1162" s="102" t="n"/>
      <c r="AP1162" s="102" t="n"/>
      <c r="AQ1162" s="102" t="n"/>
      <c r="AR1162" s="102" t="n"/>
    </row>
    <row r="1163">
      <c r="D1163" s="103" t="n"/>
      <c r="E1163" s="103" t="n"/>
      <c r="F1163" s="103" t="n"/>
      <c r="G1163" s="103" t="n"/>
      <c r="H1163" s="103" t="n"/>
      <c r="I1163" s="103" t="n"/>
      <c r="J1163" s="103" t="n"/>
      <c r="K1163" s="103" t="n"/>
      <c r="L1163" s="103" t="n"/>
      <c r="M1163" s="103" t="n"/>
      <c r="N1163" s="103" t="n"/>
      <c r="O1163" s="103" t="n"/>
      <c r="P1163" s="103" t="n"/>
      <c r="Q1163" s="103" t="n"/>
      <c r="R1163" s="103" t="n"/>
      <c r="S1163" s="103" t="n"/>
      <c r="T1163" s="103" t="n"/>
      <c r="U1163" s="103" t="n"/>
      <c r="V1163" s="103" t="n"/>
      <c r="W1163" s="103" t="n"/>
      <c r="X1163" s="103" t="n"/>
      <c r="Y1163" s="103" t="n"/>
      <c r="Z1163" s="103" t="n"/>
      <c r="AA1163" s="103" t="n"/>
      <c r="AB1163" s="103" t="n"/>
      <c r="AC1163" s="103" t="n"/>
      <c r="AD1163" s="103" t="n"/>
      <c r="AE1163" s="103" t="n"/>
      <c r="AF1163" s="103" t="n"/>
      <c r="AG1163" s="103" t="n"/>
      <c r="AH1163" s="103" t="n"/>
      <c r="AI1163" s="103" t="n"/>
      <c r="AJ1163" s="103" t="n"/>
      <c r="AK1163" s="103" t="n"/>
      <c r="AL1163" s="103" t="n"/>
      <c r="AM1163" s="103" t="n"/>
      <c r="AN1163" s="103" t="n"/>
      <c r="AO1163" s="103" t="n"/>
      <c r="AP1163" s="103" t="n"/>
      <c r="AQ1163" s="103" t="n"/>
      <c r="AR1163" s="103" t="n"/>
    </row>
    <row r="1166">
      <c r="A1166" s="2">
        <f>IF($A1159="","","   projections")</f>
        <v/>
      </c>
      <c r="B1166" s="99">
        <f>IF($A1159="",0,COUNT($E1167:$AR1167))</f>
        <v/>
      </c>
      <c r="C1166" s="100">
        <f>IF($B1166=0,0,MAX($E1167:$AR1167))</f>
        <v/>
      </c>
      <c r="D1166" s="101">
        <f>BDS($A1159,FLD_PROJ,"headers=y","startcol=1","endcol=3","dir=h")</f>
        <v/>
      </c>
      <c r="E1166" s="102" t="n"/>
      <c r="F1166" s="102" t="n"/>
      <c r="G1166" s="102" t="n"/>
      <c r="H1166" s="102" t="n"/>
      <c r="I1166" s="102" t="n"/>
      <c r="J1166" s="102" t="n"/>
      <c r="K1166" s="102" t="n"/>
      <c r="L1166" s="102" t="n"/>
      <c r="M1166" s="102" t="n"/>
      <c r="N1166" s="102" t="n"/>
      <c r="O1166" s="102" t="n"/>
      <c r="P1166" s="102" t="n"/>
      <c r="Q1166" s="102" t="n"/>
      <c r="R1166" s="102" t="n"/>
      <c r="S1166" s="102" t="n"/>
      <c r="T1166" s="102" t="n"/>
      <c r="U1166" s="102" t="n"/>
      <c r="V1166" s="102" t="n"/>
      <c r="W1166" s="102" t="n"/>
      <c r="X1166" s="102" t="n"/>
      <c r="Y1166" s="102" t="n"/>
      <c r="Z1166" s="102" t="n"/>
      <c r="AA1166" s="102" t="n"/>
      <c r="AB1166" s="102" t="n"/>
      <c r="AC1166" s="102" t="n"/>
      <c r="AD1166" s="102" t="n"/>
      <c r="AE1166" s="102" t="n"/>
      <c r="AF1166" s="102" t="n"/>
      <c r="AG1166" s="102" t="n"/>
      <c r="AH1166" s="102" t="n"/>
      <c r="AI1166" s="102" t="n"/>
      <c r="AJ1166" s="102" t="n"/>
      <c r="AK1166" s="102" t="n"/>
      <c r="AL1166" s="102" t="n"/>
      <c r="AM1166" s="102" t="n"/>
      <c r="AN1166" s="102" t="n"/>
      <c r="AO1166" s="102" t="n"/>
      <c r="AP1166" s="102" t="n"/>
      <c r="AQ1166" s="102" t="n"/>
      <c r="AR1166" s="102" t="n"/>
    </row>
    <row r="1167">
      <c r="D1167" s="102" t="n"/>
      <c r="E1167" s="102" t="n"/>
      <c r="F1167" s="102" t="n"/>
      <c r="G1167" s="102" t="n"/>
      <c r="H1167" s="102" t="n"/>
      <c r="I1167" s="102" t="n"/>
      <c r="J1167" s="102" t="n"/>
      <c r="K1167" s="102" t="n"/>
      <c r="L1167" s="102" t="n"/>
      <c r="M1167" s="102" t="n"/>
      <c r="N1167" s="102" t="n"/>
      <c r="O1167" s="102" t="n"/>
      <c r="P1167" s="102" t="n"/>
      <c r="Q1167" s="102" t="n"/>
      <c r="R1167" s="102" t="n"/>
      <c r="S1167" s="102" t="n"/>
      <c r="T1167" s="102" t="n"/>
      <c r="U1167" s="102" t="n"/>
      <c r="V1167" s="102" t="n"/>
      <c r="W1167" s="102" t="n"/>
      <c r="X1167" s="102" t="n"/>
      <c r="Y1167" s="102" t="n"/>
      <c r="Z1167" s="102" t="n"/>
      <c r="AA1167" s="102" t="n"/>
      <c r="AB1167" s="102" t="n"/>
      <c r="AC1167" s="102" t="n"/>
      <c r="AD1167" s="102" t="n"/>
      <c r="AE1167" s="102" t="n"/>
      <c r="AF1167" s="102" t="n"/>
      <c r="AG1167" s="102" t="n"/>
      <c r="AH1167" s="102" t="n"/>
      <c r="AI1167" s="102" t="n"/>
      <c r="AJ1167" s="102" t="n"/>
      <c r="AK1167" s="102" t="n"/>
      <c r="AL1167" s="102" t="n"/>
      <c r="AM1167" s="102" t="n"/>
      <c r="AN1167" s="102" t="n"/>
      <c r="AO1167" s="102" t="n"/>
      <c r="AP1167" s="102" t="n"/>
      <c r="AQ1167" s="102" t="n"/>
      <c r="AR1167" s="102" t="n"/>
    </row>
    <row r="1168">
      <c r="D1168" s="103" t="n"/>
      <c r="E1168" s="103" t="n"/>
      <c r="F1168" s="103" t="n"/>
      <c r="G1168" s="103" t="n"/>
      <c r="H1168" s="103" t="n"/>
      <c r="I1168" s="103" t="n"/>
      <c r="J1168" s="103" t="n"/>
      <c r="K1168" s="103" t="n"/>
      <c r="L1168" s="103" t="n"/>
      <c r="M1168" s="103" t="n"/>
      <c r="N1168" s="103" t="n"/>
      <c r="O1168" s="103" t="n"/>
      <c r="P1168" s="103" t="n"/>
      <c r="Q1168" s="103" t="n"/>
      <c r="R1168" s="103" t="n"/>
      <c r="S1168" s="103" t="n"/>
      <c r="T1168" s="103" t="n"/>
      <c r="U1168" s="103" t="n"/>
      <c r="V1168" s="103" t="n"/>
      <c r="W1168" s="103" t="n"/>
      <c r="X1168" s="103" t="n"/>
      <c r="Y1168" s="103" t="n"/>
      <c r="Z1168" s="103" t="n"/>
      <c r="AA1168" s="103" t="n"/>
      <c r="AB1168" s="103" t="n"/>
      <c r="AC1168" s="103" t="n"/>
      <c r="AD1168" s="103" t="n"/>
      <c r="AE1168" s="103" t="n"/>
      <c r="AF1168" s="103" t="n"/>
      <c r="AG1168" s="103" t="n"/>
      <c r="AH1168" s="103" t="n"/>
      <c r="AI1168" s="103" t="n"/>
      <c r="AJ1168" s="103" t="n"/>
      <c r="AK1168" s="103" t="n"/>
      <c r="AL1168" s="103" t="n"/>
      <c r="AM1168" s="103" t="n"/>
      <c r="AN1168" s="103" t="n"/>
      <c r="AO1168" s="103" t="n"/>
      <c r="AP1168" s="103" t="n"/>
      <c r="AQ1168" s="103" t="n"/>
      <c r="AR1168" s="103" t="n"/>
    </row>
    <row r="1170">
      <c r="A1170" s="8">
        <f>IF(HSTECH!$C$12="","",HSTECH!$C$12)</f>
        <v/>
      </c>
      <c r="B1170" s="99">
        <f>IF($A1170="",0,COUNT($E1171:$AR1171))</f>
        <v/>
      </c>
      <c r="C1170" s="100">
        <f>IF($B1170=0,0,MAX($E1171:$AR1171))</f>
        <v/>
      </c>
      <c r="D1170" s="101">
        <f>BDS($A1170,FLD_HIST,"headers=y","startcol=1","endcol=7","dir=h","DVD_START_DT",HIST_FROM,"DVD_END_DT",HIST_TO)</f>
        <v/>
      </c>
      <c r="E1170" s="102" t="n"/>
      <c r="F1170" s="102" t="n"/>
      <c r="G1170" s="102" t="n"/>
      <c r="H1170" s="102" t="n"/>
      <c r="I1170" s="102" t="n"/>
      <c r="J1170" s="102" t="n"/>
      <c r="K1170" s="102" t="n"/>
      <c r="L1170" s="102" t="n"/>
      <c r="M1170" s="102" t="n"/>
      <c r="N1170" s="102" t="n"/>
      <c r="O1170" s="102" t="n"/>
      <c r="P1170" s="102" t="n"/>
      <c r="Q1170" s="102" t="n"/>
      <c r="R1170" s="102" t="n"/>
      <c r="S1170" s="102" t="n"/>
      <c r="T1170" s="102" t="n"/>
      <c r="U1170" s="102" t="n"/>
      <c r="V1170" s="102" t="n"/>
      <c r="W1170" s="102" t="n"/>
      <c r="X1170" s="102" t="n"/>
      <c r="Y1170" s="102" t="n"/>
      <c r="Z1170" s="102" t="n"/>
      <c r="AA1170" s="102" t="n"/>
      <c r="AB1170" s="102" t="n"/>
      <c r="AC1170" s="102" t="n"/>
      <c r="AD1170" s="102" t="n"/>
      <c r="AE1170" s="102" t="n"/>
      <c r="AF1170" s="102" t="n"/>
      <c r="AG1170" s="102" t="n"/>
      <c r="AH1170" s="102" t="n"/>
      <c r="AI1170" s="102" t="n"/>
      <c r="AJ1170" s="102" t="n"/>
      <c r="AK1170" s="102" t="n"/>
      <c r="AL1170" s="102" t="n"/>
      <c r="AM1170" s="102" t="n"/>
      <c r="AN1170" s="102" t="n"/>
      <c r="AO1170" s="102" t="n"/>
      <c r="AP1170" s="102" t="n"/>
      <c r="AQ1170" s="102" t="n"/>
      <c r="AR1170" s="102" t="n"/>
    </row>
    <row r="1171">
      <c r="D1171" s="102" t="n"/>
      <c r="E1171" s="102" t="n"/>
      <c r="F1171" s="102" t="n"/>
      <c r="G1171" s="102" t="n"/>
      <c r="H1171" s="102" t="n"/>
      <c r="I1171" s="102" t="n"/>
      <c r="J1171" s="102" t="n"/>
      <c r="K1171" s="102" t="n"/>
      <c r="L1171" s="102" t="n"/>
      <c r="M1171" s="102" t="n"/>
      <c r="N1171" s="102" t="n"/>
      <c r="O1171" s="102" t="n"/>
      <c r="P1171" s="102" t="n"/>
      <c r="Q1171" s="102" t="n"/>
      <c r="R1171" s="102" t="n"/>
      <c r="S1171" s="102" t="n"/>
      <c r="T1171" s="102" t="n"/>
      <c r="U1171" s="102" t="n"/>
      <c r="V1171" s="102" t="n"/>
      <c r="W1171" s="102" t="n"/>
      <c r="X1171" s="102" t="n"/>
      <c r="Y1171" s="102" t="n"/>
      <c r="Z1171" s="102" t="n"/>
      <c r="AA1171" s="102" t="n"/>
      <c r="AB1171" s="102" t="n"/>
      <c r="AC1171" s="102" t="n"/>
      <c r="AD1171" s="102" t="n"/>
      <c r="AE1171" s="102" t="n"/>
      <c r="AF1171" s="102" t="n"/>
      <c r="AG1171" s="102" t="n"/>
      <c r="AH1171" s="102" t="n"/>
      <c r="AI1171" s="102" t="n"/>
      <c r="AJ1171" s="102" t="n"/>
      <c r="AK1171" s="102" t="n"/>
      <c r="AL1171" s="102" t="n"/>
      <c r="AM1171" s="102" t="n"/>
      <c r="AN1171" s="102" t="n"/>
      <c r="AO1171" s="102" t="n"/>
      <c r="AP1171" s="102" t="n"/>
      <c r="AQ1171" s="102" t="n"/>
      <c r="AR1171" s="102" t="n"/>
    </row>
    <row r="1172">
      <c r="D1172" s="102" t="n"/>
      <c r="E1172" s="102" t="n"/>
      <c r="F1172" s="102" t="n"/>
      <c r="G1172" s="102" t="n"/>
      <c r="H1172" s="102" t="n"/>
      <c r="I1172" s="102" t="n"/>
      <c r="J1172" s="102" t="n"/>
      <c r="K1172" s="102" t="n"/>
      <c r="L1172" s="102" t="n"/>
      <c r="M1172" s="102" t="n"/>
      <c r="N1172" s="102" t="n"/>
      <c r="O1172" s="102" t="n"/>
      <c r="P1172" s="102" t="n"/>
      <c r="Q1172" s="102" t="n"/>
      <c r="R1172" s="102" t="n"/>
      <c r="S1172" s="102" t="n"/>
      <c r="T1172" s="102" t="n"/>
      <c r="U1172" s="102" t="n"/>
      <c r="V1172" s="102" t="n"/>
      <c r="W1172" s="102" t="n"/>
      <c r="X1172" s="102" t="n"/>
      <c r="Y1172" s="102" t="n"/>
      <c r="Z1172" s="102" t="n"/>
      <c r="AA1172" s="102" t="n"/>
      <c r="AB1172" s="102" t="n"/>
      <c r="AC1172" s="102" t="n"/>
      <c r="AD1172" s="102" t="n"/>
      <c r="AE1172" s="102" t="n"/>
      <c r="AF1172" s="102" t="n"/>
      <c r="AG1172" s="102" t="n"/>
      <c r="AH1172" s="102" t="n"/>
      <c r="AI1172" s="102" t="n"/>
      <c r="AJ1172" s="102" t="n"/>
      <c r="AK1172" s="102" t="n"/>
      <c r="AL1172" s="102" t="n"/>
      <c r="AM1172" s="102" t="n"/>
      <c r="AN1172" s="102" t="n"/>
      <c r="AO1172" s="102" t="n"/>
      <c r="AP1172" s="102" t="n"/>
      <c r="AQ1172" s="102" t="n"/>
      <c r="AR1172" s="102" t="n"/>
    </row>
    <row r="1173">
      <c r="D1173" s="102" t="n"/>
      <c r="E1173" s="102" t="n"/>
      <c r="F1173" s="102" t="n"/>
      <c r="G1173" s="102" t="n"/>
      <c r="H1173" s="102" t="n"/>
      <c r="I1173" s="102" t="n"/>
      <c r="J1173" s="102" t="n"/>
      <c r="K1173" s="102" t="n"/>
      <c r="L1173" s="102" t="n"/>
      <c r="M1173" s="102" t="n"/>
      <c r="N1173" s="102" t="n"/>
      <c r="O1173" s="102" t="n"/>
      <c r="P1173" s="102" t="n"/>
      <c r="Q1173" s="102" t="n"/>
      <c r="R1173" s="102" t="n"/>
      <c r="S1173" s="102" t="n"/>
      <c r="T1173" s="102" t="n"/>
      <c r="U1173" s="102" t="n"/>
      <c r="V1173" s="102" t="n"/>
      <c r="W1173" s="102" t="n"/>
      <c r="X1173" s="102" t="n"/>
      <c r="Y1173" s="102" t="n"/>
      <c r="Z1173" s="102" t="n"/>
      <c r="AA1173" s="102" t="n"/>
      <c r="AB1173" s="102" t="n"/>
      <c r="AC1173" s="102" t="n"/>
      <c r="AD1173" s="102" t="n"/>
      <c r="AE1173" s="102" t="n"/>
      <c r="AF1173" s="102" t="n"/>
      <c r="AG1173" s="102" t="n"/>
      <c r="AH1173" s="102" t="n"/>
      <c r="AI1173" s="102" t="n"/>
      <c r="AJ1173" s="102" t="n"/>
      <c r="AK1173" s="102" t="n"/>
      <c r="AL1173" s="102" t="n"/>
      <c r="AM1173" s="102" t="n"/>
      <c r="AN1173" s="102" t="n"/>
      <c r="AO1173" s="102" t="n"/>
      <c r="AP1173" s="102" t="n"/>
      <c r="AQ1173" s="102" t="n"/>
      <c r="AR1173" s="102" t="n"/>
    </row>
    <row r="1174">
      <c r="D1174" s="103" t="n"/>
      <c r="E1174" s="103" t="n"/>
      <c r="F1174" s="103" t="n"/>
      <c r="G1174" s="103" t="n"/>
      <c r="H1174" s="103" t="n"/>
      <c r="I1174" s="103" t="n"/>
      <c r="J1174" s="103" t="n"/>
      <c r="K1174" s="103" t="n"/>
      <c r="L1174" s="103" t="n"/>
      <c r="M1174" s="103" t="n"/>
      <c r="N1174" s="103" t="n"/>
      <c r="O1174" s="103" t="n"/>
      <c r="P1174" s="103" t="n"/>
      <c r="Q1174" s="103" t="n"/>
      <c r="R1174" s="103" t="n"/>
      <c r="S1174" s="103" t="n"/>
      <c r="T1174" s="103" t="n"/>
      <c r="U1174" s="103" t="n"/>
      <c r="V1174" s="103" t="n"/>
      <c r="W1174" s="103" t="n"/>
      <c r="X1174" s="103" t="n"/>
      <c r="Y1174" s="103" t="n"/>
      <c r="Z1174" s="103" t="n"/>
      <c r="AA1174" s="103" t="n"/>
      <c r="AB1174" s="103" t="n"/>
      <c r="AC1174" s="103" t="n"/>
      <c r="AD1174" s="103" t="n"/>
      <c r="AE1174" s="103" t="n"/>
      <c r="AF1174" s="103" t="n"/>
      <c r="AG1174" s="103" t="n"/>
      <c r="AH1174" s="103" t="n"/>
      <c r="AI1174" s="103" t="n"/>
      <c r="AJ1174" s="103" t="n"/>
      <c r="AK1174" s="103" t="n"/>
      <c r="AL1174" s="103" t="n"/>
      <c r="AM1174" s="103" t="n"/>
      <c r="AN1174" s="103" t="n"/>
      <c r="AO1174" s="103" t="n"/>
      <c r="AP1174" s="103" t="n"/>
      <c r="AQ1174" s="103" t="n"/>
      <c r="AR1174" s="103" t="n"/>
    </row>
    <row r="1177">
      <c r="A1177" s="2">
        <f>IF($A1170="","","   projections")</f>
        <v/>
      </c>
      <c r="B1177" s="99">
        <f>IF($A1170="",0,COUNT($E1178:$AR1178))</f>
        <v/>
      </c>
      <c r="C1177" s="100">
        <f>IF($B1177=0,0,MAX($E1178:$AR1178))</f>
        <v/>
      </c>
      <c r="D1177" s="101">
        <f>BDS($A1170,FLD_PROJ,"headers=y","startcol=1","endcol=3","dir=h")</f>
        <v/>
      </c>
      <c r="E1177" s="102" t="n"/>
      <c r="F1177" s="102" t="n"/>
      <c r="G1177" s="102" t="n"/>
      <c r="H1177" s="102" t="n"/>
      <c r="I1177" s="102" t="n"/>
      <c r="J1177" s="102" t="n"/>
      <c r="K1177" s="102" t="n"/>
      <c r="L1177" s="102" t="n"/>
      <c r="M1177" s="102" t="n"/>
      <c r="N1177" s="102" t="n"/>
      <c r="O1177" s="102" t="n"/>
      <c r="P1177" s="102" t="n"/>
      <c r="Q1177" s="102" t="n"/>
      <c r="R1177" s="102" t="n"/>
      <c r="S1177" s="102" t="n"/>
      <c r="T1177" s="102" t="n"/>
      <c r="U1177" s="102" t="n"/>
      <c r="V1177" s="102" t="n"/>
      <c r="W1177" s="102" t="n"/>
      <c r="X1177" s="102" t="n"/>
      <c r="Y1177" s="102" t="n"/>
      <c r="Z1177" s="102" t="n"/>
      <c r="AA1177" s="102" t="n"/>
      <c r="AB1177" s="102" t="n"/>
      <c r="AC1177" s="102" t="n"/>
      <c r="AD1177" s="102" t="n"/>
      <c r="AE1177" s="102" t="n"/>
      <c r="AF1177" s="102" t="n"/>
      <c r="AG1177" s="102" t="n"/>
      <c r="AH1177" s="102" t="n"/>
      <c r="AI1177" s="102" t="n"/>
      <c r="AJ1177" s="102" t="n"/>
      <c r="AK1177" s="102" t="n"/>
      <c r="AL1177" s="102" t="n"/>
      <c r="AM1177" s="102" t="n"/>
      <c r="AN1177" s="102" t="n"/>
      <c r="AO1177" s="102" t="n"/>
      <c r="AP1177" s="102" t="n"/>
      <c r="AQ1177" s="102" t="n"/>
      <c r="AR1177" s="102" t="n"/>
    </row>
    <row r="1178">
      <c r="D1178" s="102" t="n"/>
      <c r="E1178" s="102" t="n"/>
      <c r="F1178" s="102" t="n"/>
      <c r="G1178" s="102" t="n"/>
      <c r="H1178" s="102" t="n"/>
      <c r="I1178" s="102" t="n"/>
      <c r="J1178" s="102" t="n"/>
      <c r="K1178" s="102" t="n"/>
      <c r="L1178" s="102" t="n"/>
      <c r="M1178" s="102" t="n"/>
      <c r="N1178" s="102" t="n"/>
      <c r="O1178" s="102" t="n"/>
      <c r="P1178" s="102" t="n"/>
      <c r="Q1178" s="102" t="n"/>
      <c r="R1178" s="102" t="n"/>
      <c r="S1178" s="102" t="n"/>
      <c r="T1178" s="102" t="n"/>
      <c r="U1178" s="102" t="n"/>
      <c r="V1178" s="102" t="n"/>
      <c r="W1178" s="102" t="n"/>
      <c r="X1178" s="102" t="n"/>
      <c r="Y1178" s="102" t="n"/>
      <c r="Z1178" s="102" t="n"/>
      <c r="AA1178" s="102" t="n"/>
      <c r="AB1178" s="102" t="n"/>
      <c r="AC1178" s="102" t="n"/>
      <c r="AD1178" s="102" t="n"/>
      <c r="AE1178" s="102" t="n"/>
      <c r="AF1178" s="102" t="n"/>
      <c r="AG1178" s="102" t="n"/>
      <c r="AH1178" s="102" t="n"/>
      <c r="AI1178" s="102" t="n"/>
      <c r="AJ1178" s="102" t="n"/>
      <c r="AK1178" s="102" t="n"/>
      <c r="AL1178" s="102" t="n"/>
      <c r="AM1178" s="102" t="n"/>
      <c r="AN1178" s="102" t="n"/>
      <c r="AO1178" s="102" t="n"/>
      <c r="AP1178" s="102" t="n"/>
      <c r="AQ1178" s="102" t="n"/>
      <c r="AR1178" s="102" t="n"/>
    </row>
    <row r="1179">
      <c r="D1179" s="103" t="n"/>
      <c r="E1179" s="103" t="n"/>
      <c r="F1179" s="103" t="n"/>
      <c r="G1179" s="103" t="n"/>
      <c r="H1179" s="103" t="n"/>
      <c r="I1179" s="103" t="n"/>
      <c r="J1179" s="103" t="n"/>
      <c r="K1179" s="103" t="n"/>
      <c r="L1179" s="103" t="n"/>
      <c r="M1179" s="103" t="n"/>
      <c r="N1179" s="103" t="n"/>
      <c r="O1179" s="103" t="n"/>
      <c r="P1179" s="103" t="n"/>
      <c r="Q1179" s="103" t="n"/>
      <c r="R1179" s="103" t="n"/>
      <c r="S1179" s="103" t="n"/>
      <c r="T1179" s="103" t="n"/>
      <c r="U1179" s="103" t="n"/>
      <c r="V1179" s="103" t="n"/>
      <c r="W1179" s="103" t="n"/>
      <c r="X1179" s="103" t="n"/>
      <c r="Y1179" s="103" t="n"/>
      <c r="Z1179" s="103" t="n"/>
      <c r="AA1179" s="103" t="n"/>
      <c r="AB1179" s="103" t="n"/>
      <c r="AC1179" s="103" t="n"/>
      <c r="AD1179" s="103" t="n"/>
      <c r="AE1179" s="103" t="n"/>
      <c r="AF1179" s="103" t="n"/>
      <c r="AG1179" s="103" t="n"/>
      <c r="AH1179" s="103" t="n"/>
      <c r="AI1179" s="103" t="n"/>
      <c r="AJ1179" s="103" t="n"/>
      <c r="AK1179" s="103" t="n"/>
      <c r="AL1179" s="103" t="n"/>
      <c r="AM1179" s="103" t="n"/>
      <c r="AN1179" s="103" t="n"/>
      <c r="AO1179" s="103" t="n"/>
      <c r="AP1179" s="103" t="n"/>
      <c r="AQ1179" s="103" t="n"/>
      <c r="AR1179" s="103" t="n"/>
    </row>
    <row r="1181">
      <c r="A1181" s="8">
        <f>IF(HSTECH!$C$13="","",HSTECH!$C$13)</f>
        <v/>
      </c>
      <c r="B1181" s="99">
        <f>IF($A1181="",0,COUNT($E1182:$AR1182))</f>
        <v/>
      </c>
      <c r="C1181" s="100">
        <f>IF($B1181=0,0,MAX($E1182:$AR1182))</f>
        <v/>
      </c>
      <c r="D1181" s="101">
        <f>BDS($A1181,FLD_HIST,"headers=y","startcol=1","endcol=7","dir=h","DVD_START_DT",HIST_FROM,"DVD_END_DT",HIST_TO)</f>
        <v/>
      </c>
      <c r="E1181" s="102" t="n"/>
      <c r="F1181" s="102" t="n"/>
      <c r="G1181" s="102" t="n"/>
      <c r="H1181" s="102" t="n"/>
      <c r="I1181" s="102" t="n"/>
      <c r="J1181" s="102" t="n"/>
      <c r="K1181" s="102" t="n"/>
      <c r="L1181" s="102" t="n"/>
      <c r="M1181" s="102" t="n"/>
      <c r="N1181" s="102" t="n"/>
      <c r="O1181" s="102" t="n"/>
      <c r="P1181" s="102" t="n"/>
      <c r="Q1181" s="102" t="n"/>
      <c r="R1181" s="102" t="n"/>
      <c r="S1181" s="102" t="n"/>
      <c r="T1181" s="102" t="n"/>
      <c r="U1181" s="102" t="n"/>
      <c r="V1181" s="102" t="n"/>
      <c r="W1181" s="102" t="n"/>
      <c r="X1181" s="102" t="n"/>
      <c r="Y1181" s="102" t="n"/>
      <c r="Z1181" s="102" t="n"/>
      <c r="AA1181" s="102" t="n"/>
      <c r="AB1181" s="102" t="n"/>
      <c r="AC1181" s="102" t="n"/>
      <c r="AD1181" s="102" t="n"/>
      <c r="AE1181" s="102" t="n"/>
      <c r="AF1181" s="102" t="n"/>
      <c r="AG1181" s="102" t="n"/>
      <c r="AH1181" s="102" t="n"/>
      <c r="AI1181" s="102" t="n"/>
      <c r="AJ1181" s="102" t="n"/>
      <c r="AK1181" s="102" t="n"/>
      <c r="AL1181" s="102" t="n"/>
      <c r="AM1181" s="102" t="n"/>
      <c r="AN1181" s="102" t="n"/>
      <c r="AO1181" s="102" t="n"/>
      <c r="AP1181" s="102" t="n"/>
      <c r="AQ1181" s="102" t="n"/>
      <c r="AR1181" s="102" t="n"/>
    </row>
    <row r="1182">
      <c r="D1182" s="102" t="n"/>
      <c r="E1182" s="102" t="n"/>
      <c r="F1182" s="102" t="n"/>
      <c r="G1182" s="102" t="n"/>
      <c r="H1182" s="102" t="n"/>
      <c r="I1182" s="102" t="n"/>
      <c r="J1182" s="102" t="n"/>
      <c r="K1182" s="102" t="n"/>
      <c r="L1182" s="102" t="n"/>
      <c r="M1182" s="102" t="n"/>
      <c r="N1182" s="102" t="n"/>
      <c r="O1182" s="102" t="n"/>
      <c r="P1182" s="102" t="n"/>
      <c r="Q1182" s="102" t="n"/>
      <c r="R1182" s="102" t="n"/>
      <c r="S1182" s="102" t="n"/>
      <c r="T1182" s="102" t="n"/>
      <c r="U1182" s="102" t="n"/>
      <c r="V1182" s="102" t="n"/>
      <c r="W1182" s="102" t="n"/>
      <c r="X1182" s="102" t="n"/>
      <c r="Y1182" s="102" t="n"/>
      <c r="Z1182" s="102" t="n"/>
      <c r="AA1182" s="102" t="n"/>
      <c r="AB1182" s="102" t="n"/>
      <c r="AC1182" s="102" t="n"/>
      <c r="AD1182" s="102" t="n"/>
      <c r="AE1182" s="102" t="n"/>
      <c r="AF1182" s="102" t="n"/>
      <c r="AG1182" s="102" t="n"/>
      <c r="AH1182" s="102" t="n"/>
      <c r="AI1182" s="102" t="n"/>
      <c r="AJ1182" s="102" t="n"/>
      <c r="AK1182" s="102" t="n"/>
      <c r="AL1182" s="102" t="n"/>
      <c r="AM1182" s="102" t="n"/>
      <c r="AN1182" s="102" t="n"/>
      <c r="AO1182" s="102" t="n"/>
      <c r="AP1182" s="102" t="n"/>
      <c r="AQ1182" s="102" t="n"/>
      <c r="AR1182" s="102" t="n"/>
    </row>
    <row r="1183">
      <c r="D1183" s="102" t="n"/>
      <c r="E1183" s="102" t="n"/>
      <c r="F1183" s="102" t="n"/>
      <c r="G1183" s="102" t="n"/>
      <c r="H1183" s="102" t="n"/>
      <c r="I1183" s="102" t="n"/>
      <c r="J1183" s="102" t="n"/>
      <c r="K1183" s="102" t="n"/>
      <c r="L1183" s="102" t="n"/>
      <c r="M1183" s="102" t="n"/>
      <c r="N1183" s="102" t="n"/>
      <c r="O1183" s="102" t="n"/>
      <c r="P1183" s="102" t="n"/>
      <c r="Q1183" s="102" t="n"/>
      <c r="R1183" s="102" t="n"/>
      <c r="S1183" s="102" t="n"/>
      <c r="T1183" s="102" t="n"/>
      <c r="U1183" s="102" t="n"/>
      <c r="V1183" s="102" t="n"/>
      <c r="W1183" s="102" t="n"/>
      <c r="X1183" s="102" t="n"/>
      <c r="Y1183" s="102" t="n"/>
      <c r="Z1183" s="102" t="n"/>
      <c r="AA1183" s="102" t="n"/>
      <c r="AB1183" s="102" t="n"/>
      <c r="AC1183" s="102" t="n"/>
      <c r="AD1183" s="102" t="n"/>
      <c r="AE1183" s="102" t="n"/>
      <c r="AF1183" s="102" t="n"/>
      <c r="AG1183" s="102" t="n"/>
      <c r="AH1183" s="102" t="n"/>
      <c r="AI1183" s="102" t="n"/>
      <c r="AJ1183" s="102" t="n"/>
      <c r="AK1183" s="102" t="n"/>
      <c r="AL1183" s="102" t="n"/>
      <c r="AM1183" s="102" t="n"/>
      <c r="AN1183" s="102" t="n"/>
      <c r="AO1183" s="102" t="n"/>
      <c r="AP1183" s="102" t="n"/>
      <c r="AQ1183" s="102" t="n"/>
      <c r="AR1183" s="102" t="n"/>
    </row>
    <row r="1184">
      <c r="D1184" s="102" t="n"/>
      <c r="E1184" s="102" t="n"/>
      <c r="F1184" s="102" t="n"/>
      <c r="G1184" s="102" t="n"/>
      <c r="H1184" s="102" t="n"/>
      <c r="I1184" s="102" t="n"/>
      <c r="J1184" s="102" t="n"/>
      <c r="K1184" s="102" t="n"/>
      <c r="L1184" s="102" t="n"/>
      <c r="M1184" s="102" t="n"/>
      <c r="N1184" s="102" t="n"/>
      <c r="O1184" s="102" t="n"/>
      <c r="P1184" s="102" t="n"/>
      <c r="Q1184" s="102" t="n"/>
      <c r="R1184" s="102" t="n"/>
      <c r="S1184" s="102" t="n"/>
      <c r="T1184" s="102" t="n"/>
      <c r="U1184" s="102" t="n"/>
      <c r="V1184" s="102" t="n"/>
      <c r="W1184" s="102" t="n"/>
      <c r="X1184" s="102" t="n"/>
      <c r="Y1184" s="102" t="n"/>
      <c r="Z1184" s="102" t="n"/>
      <c r="AA1184" s="102" t="n"/>
      <c r="AB1184" s="102" t="n"/>
      <c r="AC1184" s="102" t="n"/>
      <c r="AD1184" s="102" t="n"/>
      <c r="AE1184" s="102" t="n"/>
      <c r="AF1184" s="102" t="n"/>
      <c r="AG1184" s="102" t="n"/>
      <c r="AH1184" s="102" t="n"/>
      <c r="AI1184" s="102" t="n"/>
      <c r="AJ1184" s="102" t="n"/>
      <c r="AK1184" s="102" t="n"/>
      <c r="AL1184" s="102" t="n"/>
      <c r="AM1184" s="102" t="n"/>
      <c r="AN1184" s="102" t="n"/>
      <c r="AO1184" s="102" t="n"/>
      <c r="AP1184" s="102" t="n"/>
      <c r="AQ1184" s="102" t="n"/>
      <c r="AR1184" s="102" t="n"/>
    </row>
    <row r="1185">
      <c r="D1185" s="103" t="n"/>
      <c r="E1185" s="103" t="n"/>
      <c r="F1185" s="103" t="n"/>
      <c r="G1185" s="103" t="n"/>
      <c r="H1185" s="103" t="n"/>
      <c r="I1185" s="103" t="n"/>
      <c r="J1185" s="103" t="n"/>
      <c r="K1185" s="103" t="n"/>
      <c r="L1185" s="103" t="n"/>
      <c r="M1185" s="103" t="n"/>
      <c r="N1185" s="103" t="n"/>
      <c r="O1185" s="103" t="n"/>
      <c r="P1185" s="103" t="n"/>
      <c r="Q1185" s="103" t="n"/>
      <c r="R1185" s="103" t="n"/>
      <c r="S1185" s="103" t="n"/>
      <c r="T1185" s="103" t="n"/>
      <c r="U1185" s="103" t="n"/>
      <c r="V1185" s="103" t="n"/>
      <c r="W1185" s="103" t="n"/>
      <c r="X1185" s="103" t="n"/>
      <c r="Y1185" s="103" t="n"/>
      <c r="Z1185" s="103" t="n"/>
      <c r="AA1185" s="103" t="n"/>
      <c r="AB1185" s="103" t="n"/>
      <c r="AC1185" s="103" t="n"/>
      <c r="AD1185" s="103" t="n"/>
      <c r="AE1185" s="103" t="n"/>
      <c r="AF1185" s="103" t="n"/>
      <c r="AG1185" s="103" t="n"/>
      <c r="AH1185" s="103" t="n"/>
      <c r="AI1185" s="103" t="n"/>
      <c r="AJ1185" s="103" t="n"/>
      <c r="AK1185" s="103" t="n"/>
      <c r="AL1185" s="103" t="n"/>
      <c r="AM1185" s="103" t="n"/>
      <c r="AN1185" s="103" t="n"/>
      <c r="AO1185" s="103" t="n"/>
      <c r="AP1185" s="103" t="n"/>
      <c r="AQ1185" s="103" t="n"/>
      <c r="AR1185" s="103" t="n"/>
    </row>
    <row r="1188">
      <c r="A1188" s="2">
        <f>IF($A1181="","","   projections")</f>
        <v/>
      </c>
      <c r="B1188" s="99">
        <f>IF($A1181="",0,COUNT($E1189:$AR1189))</f>
        <v/>
      </c>
      <c r="C1188" s="100">
        <f>IF($B1188=0,0,MAX($E1189:$AR1189))</f>
        <v/>
      </c>
      <c r="D1188" s="101">
        <f>BDS($A1181,FLD_PROJ,"headers=y","startcol=1","endcol=3","dir=h")</f>
        <v/>
      </c>
      <c r="E1188" s="102" t="n"/>
      <c r="F1188" s="102" t="n"/>
      <c r="G1188" s="102" t="n"/>
      <c r="H1188" s="102" t="n"/>
      <c r="I1188" s="102" t="n"/>
      <c r="J1188" s="102" t="n"/>
      <c r="K1188" s="102" t="n"/>
      <c r="L1188" s="102" t="n"/>
      <c r="M1188" s="102" t="n"/>
      <c r="N1188" s="102" t="n"/>
      <c r="O1188" s="102" t="n"/>
      <c r="P1188" s="102" t="n"/>
      <c r="Q1188" s="102" t="n"/>
      <c r="R1188" s="102" t="n"/>
      <c r="S1188" s="102" t="n"/>
      <c r="T1188" s="102" t="n"/>
      <c r="U1188" s="102" t="n"/>
      <c r="V1188" s="102" t="n"/>
      <c r="W1188" s="102" t="n"/>
      <c r="X1188" s="102" t="n"/>
      <c r="Y1188" s="102" t="n"/>
      <c r="Z1188" s="102" t="n"/>
      <c r="AA1188" s="102" t="n"/>
      <c r="AB1188" s="102" t="n"/>
      <c r="AC1188" s="102" t="n"/>
      <c r="AD1188" s="102" t="n"/>
      <c r="AE1188" s="102" t="n"/>
      <c r="AF1188" s="102" t="n"/>
      <c r="AG1188" s="102" t="n"/>
      <c r="AH1188" s="102" t="n"/>
      <c r="AI1188" s="102" t="n"/>
      <c r="AJ1188" s="102" t="n"/>
      <c r="AK1188" s="102" t="n"/>
      <c r="AL1188" s="102" t="n"/>
      <c r="AM1188" s="102" t="n"/>
      <c r="AN1188" s="102" t="n"/>
      <c r="AO1188" s="102" t="n"/>
      <c r="AP1188" s="102" t="n"/>
      <c r="AQ1188" s="102" t="n"/>
      <c r="AR1188" s="102" t="n"/>
    </row>
    <row r="1189">
      <c r="D1189" s="102" t="n"/>
      <c r="E1189" s="102" t="n"/>
      <c r="F1189" s="102" t="n"/>
      <c r="G1189" s="102" t="n"/>
      <c r="H1189" s="102" t="n"/>
      <c r="I1189" s="102" t="n"/>
      <c r="J1189" s="102" t="n"/>
      <c r="K1189" s="102" t="n"/>
      <c r="L1189" s="102" t="n"/>
      <c r="M1189" s="102" t="n"/>
      <c r="N1189" s="102" t="n"/>
      <c r="O1189" s="102" t="n"/>
      <c r="P1189" s="102" t="n"/>
      <c r="Q1189" s="102" t="n"/>
      <c r="R1189" s="102" t="n"/>
      <c r="S1189" s="102" t="n"/>
      <c r="T1189" s="102" t="n"/>
      <c r="U1189" s="102" t="n"/>
      <c r="V1189" s="102" t="n"/>
      <c r="W1189" s="102" t="n"/>
      <c r="X1189" s="102" t="n"/>
      <c r="Y1189" s="102" t="n"/>
      <c r="Z1189" s="102" t="n"/>
      <c r="AA1189" s="102" t="n"/>
      <c r="AB1189" s="102" t="n"/>
      <c r="AC1189" s="102" t="n"/>
      <c r="AD1189" s="102" t="n"/>
      <c r="AE1189" s="102" t="n"/>
      <c r="AF1189" s="102" t="n"/>
      <c r="AG1189" s="102" t="n"/>
      <c r="AH1189" s="102" t="n"/>
      <c r="AI1189" s="102" t="n"/>
      <c r="AJ1189" s="102" t="n"/>
      <c r="AK1189" s="102" t="n"/>
      <c r="AL1189" s="102" t="n"/>
      <c r="AM1189" s="102" t="n"/>
      <c r="AN1189" s="102" t="n"/>
      <c r="AO1189" s="102" t="n"/>
      <c r="AP1189" s="102" t="n"/>
      <c r="AQ1189" s="102" t="n"/>
      <c r="AR1189" s="102" t="n"/>
    </row>
    <row r="1190">
      <c r="D1190" s="103" t="n"/>
      <c r="E1190" s="103" t="n"/>
      <c r="F1190" s="103" t="n"/>
      <c r="G1190" s="103" t="n"/>
      <c r="H1190" s="103" t="n"/>
      <c r="I1190" s="103" t="n"/>
      <c r="J1190" s="103" t="n"/>
      <c r="K1190" s="103" t="n"/>
      <c r="L1190" s="103" t="n"/>
      <c r="M1190" s="103" t="n"/>
      <c r="N1190" s="103" t="n"/>
      <c r="O1190" s="103" t="n"/>
      <c r="P1190" s="103" t="n"/>
      <c r="Q1190" s="103" t="n"/>
      <c r="R1190" s="103" t="n"/>
      <c r="S1190" s="103" t="n"/>
      <c r="T1190" s="103" t="n"/>
      <c r="U1190" s="103" t="n"/>
      <c r="V1190" s="103" t="n"/>
      <c r="W1190" s="103" t="n"/>
      <c r="X1190" s="103" t="n"/>
      <c r="Y1190" s="103" t="n"/>
      <c r="Z1190" s="103" t="n"/>
      <c r="AA1190" s="103" t="n"/>
      <c r="AB1190" s="103" t="n"/>
      <c r="AC1190" s="103" t="n"/>
      <c r="AD1190" s="103" t="n"/>
      <c r="AE1190" s="103" t="n"/>
      <c r="AF1190" s="103" t="n"/>
      <c r="AG1190" s="103" t="n"/>
      <c r="AH1190" s="103" t="n"/>
      <c r="AI1190" s="103" t="n"/>
      <c r="AJ1190" s="103" t="n"/>
      <c r="AK1190" s="103" t="n"/>
      <c r="AL1190" s="103" t="n"/>
      <c r="AM1190" s="103" t="n"/>
      <c r="AN1190" s="103" t="n"/>
      <c r="AO1190" s="103" t="n"/>
      <c r="AP1190" s="103" t="n"/>
      <c r="AQ1190" s="103" t="n"/>
      <c r="AR1190" s="103" t="n"/>
    </row>
    <row r="1192">
      <c r="A1192" s="8">
        <f>IF(HSTECH!$C$14="","",HSTECH!$C$14)</f>
        <v/>
      </c>
      <c r="B1192" s="99">
        <f>IF($A1192="",0,COUNT($E1193:$AR1193))</f>
        <v/>
      </c>
      <c r="C1192" s="100">
        <f>IF($B1192=0,0,MAX($E1193:$AR1193))</f>
        <v/>
      </c>
      <c r="D1192" s="101">
        <f>BDS($A1192,FLD_HIST,"headers=y","startcol=1","endcol=7","dir=h","DVD_START_DT",HIST_FROM,"DVD_END_DT",HIST_TO)</f>
        <v/>
      </c>
      <c r="E1192" s="102" t="n"/>
      <c r="F1192" s="102" t="n"/>
      <c r="G1192" s="102" t="n"/>
      <c r="H1192" s="102" t="n"/>
      <c r="I1192" s="102" t="n"/>
      <c r="J1192" s="102" t="n"/>
      <c r="K1192" s="102" t="n"/>
      <c r="L1192" s="102" t="n"/>
      <c r="M1192" s="102" t="n"/>
      <c r="N1192" s="102" t="n"/>
      <c r="O1192" s="102" t="n"/>
      <c r="P1192" s="102" t="n"/>
      <c r="Q1192" s="102" t="n"/>
      <c r="R1192" s="102" t="n"/>
      <c r="S1192" s="102" t="n"/>
      <c r="T1192" s="102" t="n"/>
      <c r="U1192" s="102" t="n"/>
      <c r="V1192" s="102" t="n"/>
      <c r="W1192" s="102" t="n"/>
      <c r="X1192" s="102" t="n"/>
      <c r="Y1192" s="102" t="n"/>
      <c r="Z1192" s="102" t="n"/>
      <c r="AA1192" s="102" t="n"/>
      <c r="AB1192" s="102" t="n"/>
      <c r="AC1192" s="102" t="n"/>
      <c r="AD1192" s="102" t="n"/>
      <c r="AE1192" s="102" t="n"/>
      <c r="AF1192" s="102" t="n"/>
      <c r="AG1192" s="102" t="n"/>
      <c r="AH1192" s="102" t="n"/>
      <c r="AI1192" s="102" t="n"/>
      <c r="AJ1192" s="102" t="n"/>
      <c r="AK1192" s="102" t="n"/>
      <c r="AL1192" s="102" t="n"/>
      <c r="AM1192" s="102" t="n"/>
      <c r="AN1192" s="102" t="n"/>
      <c r="AO1192" s="102" t="n"/>
      <c r="AP1192" s="102" t="n"/>
      <c r="AQ1192" s="102" t="n"/>
      <c r="AR1192" s="102" t="n"/>
    </row>
    <row r="1193">
      <c r="D1193" s="102" t="n"/>
      <c r="E1193" s="102" t="n"/>
      <c r="F1193" s="102" t="n"/>
      <c r="G1193" s="102" t="n"/>
      <c r="H1193" s="102" t="n"/>
      <c r="I1193" s="102" t="n"/>
      <c r="J1193" s="102" t="n"/>
      <c r="K1193" s="102" t="n"/>
      <c r="L1193" s="102" t="n"/>
      <c r="M1193" s="102" t="n"/>
      <c r="N1193" s="102" t="n"/>
      <c r="O1193" s="102" t="n"/>
      <c r="P1193" s="102" t="n"/>
      <c r="Q1193" s="102" t="n"/>
      <c r="R1193" s="102" t="n"/>
      <c r="S1193" s="102" t="n"/>
      <c r="T1193" s="102" t="n"/>
      <c r="U1193" s="102" t="n"/>
      <c r="V1193" s="102" t="n"/>
      <c r="W1193" s="102" t="n"/>
      <c r="X1193" s="102" t="n"/>
      <c r="Y1193" s="102" t="n"/>
      <c r="Z1193" s="102" t="n"/>
      <c r="AA1193" s="102" t="n"/>
      <c r="AB1193" s="102" t="n"/>
      <c r="AC1193" s="102" t="n"/>
      <c r="AD1193" s="102" t="n"/>
      <c r="AE1193" s="102" t="n"/>
      <c r="AF1193" s="102" t="n"/>
      <c r="AG1193" s="102" t="n"/>
      <c r="AH1193" s="102" t="n"/>
      <c r="AI1193" s="102" t="n"/>
      <c r="AJ1193" s="102" t="n"/>
      <c r="AK1193" s="102" t="n"/>
      <c r="AL1193" s="102" t="n"/>
      <c r="AM1193" s="102" t="n"/>
      <c r="AN1193" s="102" t="n"/>
      <c r="AO1193" s="102" t="n"/>
      <c r="AP1193" s="102" t="n"/>
      <c r="AQ1193" s="102" t="n"/>
      <c r="AR1193" s="102" t="n"/>
    </row>
    <row r="1194">
      <c r="D1194" s="102" t="n"/>
      <c r="E1194" s="102" t="n"/>
      <c r="F1194" s="102" t="n"/>
      <c r="G1194" s="102" t="n"/>
      <c r="H1194" s="102" t="n"/>
      <c r="I1194" s="102" t="n"/>
      <c r="J1194" s="102" t="n"/>
      <c r="K1194" s="102" t="n"/>
      <c r="L1194" s="102" t="n"/>
      <c r="M1194" s="102" t="n"/>
      <c r="N1194" s="102" t="n"/>
      <c r="O1194" s="102" t="n"/>
      <c r="P1194" s="102" t="n"/>
      <c r="Q1194" s="102" t="n"/>
      <c r="R1194" s="102" t="n"/>
      <c r="S1194" s="102" t="n"/>
      <c r="T1194" s="102" t="n"/>
      <c r="U1194" s="102" t="n"/>
      <c r="V1194" s="102" t="n"/>
      <c r="W1194" s="102" t="n"/>
      <c r="X1194" s="102" t="n"/>
      <c r="Y1194" s="102" t="n"/>
      <c r="Z1194" s="102" t="n"/>
      <c r="AA1194" s="102" t="n"/>
      <c r="AB1194" s="102" t="n"/>
      <c r="AC1194" s="102" t="n"/>
      <c r="AD1194" s="102" t="n"/>
      <c r="AE1194" s="102" t="n"/>
      <c r="AF1194" s="102" t="n"/>
      <c r="AG1194" s="102" t="n"/>
      <c r="AH1194" s="102" t="n"/>
      <c r="AI1194" s="102" t="n"/>
      <c r="AJ1194" s="102" t="n"/>
      <c r="AK1194" s="102" t="n"/>
      <c r="AL1194" s="102" t="n"/>
      <c r="AM1194" s="102" t="n"/>
      <c r="AN1194" s="102" t="n"/>
      <c r="AO1194" s="102" t="n"/>
      <c r="AP1194" s="102" t="n"/>
      <c r="AQ1194" s="102" t="n"/>
      <c r="AR1194" s="102" t="n"/>
    </row>
    <row r="1195">
      <c r="D1195" s="102" t="n"/>
      <c r="E1195" s="102" t="n"/>
      <c r="F1195" s="102" t="n"/>
      <c r="G1195" s="102" t="n"/>
      <c r="H1195" s="102" t="n"/>
      <c r="I1195" s="102" t="n"/>
      <c r="J1195" s="102" t="n"/>
      <c r="K1195" s="102" t="n"/>
      <c r="L1195" s="102" t="n"/>
      <c r="M1195" s="102" t="n"/>
      <c r="N1195" s="102" t="n"/>
      <c r="O1195" s="102" t="n"/>
      <c r="P1195" s="102" t="n"/>
      <c r="Q1195" s="102" t="n"/>
      <c r="R1195" s="102" t="n"/>
      <c r="S1195" s="102" t="n"/>
      <c r="T1195" s="102" t="n"/>
      <c r="U1195" s="102" t="n"/>
      <c r="V1195" s="102" t="n"/>
      <c r="W1195" s="102" t="n"/>
      <c r="X1195" s="102" t="n"/>
      <c r="Y1195" s="102" t="n"/>
      <c r="Z1195" s="102" t="n"/>
      <c r="AA1195" s="102" t="n"/>
      <c r="AB1195" s="102" t="n"/>
      <c r="AC1195" s="102" t="n"/>
      <c r="AD1195" s="102" t="n"/>
      <c r="AE1195" s="102" t="n"/>
      <c r="AF1195" s="102" t="n"/>
      <c r="AG1195" s="102" t="n"/>
      <c r="AH1195" s="102" t="n"/>
      <c r="AI1195" s="102" t="n"/>
      <c r="AJ1195" s="102" t="n"/>
      <c r="AK1195" s="102" t="n"/>
      <c r="AL1195" s="102" t="n"/>
      <c r="AM1195" s="102" t="n"/>
      <c r="AN1195" s="102" t="n"/>
      <c r="AO1195" s="102" t="n"/>
      <c r="AP1195" s="102" t="n"/>
      <c r="AQ1195" s="102" t="n"/>
      <c r="AR1195" s="102" t="n"/>
    </row>
    <row r="1196">
      <c r="D1196" s="103" t="n"/>
      <c r="E1196" s="103" t="n"/>
      <c r="F1196" s="103" t="n"/>
      <c r="G1196" s="103" t="n"/>
      <c r="H1196" s="103" t="n"/>
      <c r="I1196" s="103" t="n"/>
      <c r="J1196" s="103" t="n"/>
      <c r="K1196" s="103" t="n"/>
      <c r="L1196" s="103" t="n"/>
      <c r="M1196" s="103" t="n"/>
      <c r="N1196" s="103" t="n"/>
      <c r="O1196" s="103" t="n"/>
      <c r="P1196" s="103" t="n"/>
      <c r="Q1196" s="103" t="n"/>
      <c r="R1196" s="103" t="n"/>
      <c r="S1196" s="103" t="n"/>
      <c r="T1196" s="103" t="n"/>
      <c r="U1196" s="103" t="n"/>
      <c r="V1196" s="103" t="n"/>
      <c r="W1196" s="103" t="n"/>
      <c r="X1196" s="103" t="n"/>
      <c r="Y1196" s="103" t="n"/>
      <c r="Z1196" s="103" t="n"/>
      <c r="AA1196" s="103" t="n"/>
      <c r="AB1196" s="103" t="n"/>
      <c r="AC1196" s="103" t="n"/>
      <c r="AD1196" s="103" t="n"/>
      <c r="AE1196" s="103" t="n"/>
      <c r="AF1196" s="103" t="n"/>
      <c r="AG1196" s="103" t="n"/>
      <c r="AH1196" s="103" t="n"/>
      <c r="AI1196" s="103" t="n"/>
      <c r="AJ1196" s="103" t="n"/>
      <c r="AK1196" s="103" t="n"/>
      <c r="AL1196" s="103" t="n"/>
      <c r="AM1196" s="103" t="n"/>
      <c r="AN1196" s="103" t="n"/>
      <c r="AO1196" s="103" t="n"/>
      <c r="AP1196" s="103" t="n"/>
      <c r="AQ1196" s="103" t="n"/>
      <c r="AR1196" s="103" t="n"/>
    </row>
    <row r="1199">
      <c r="A1199" s="2">
        <f>IF($A1192="","","   projections")</f>
        <v/>
      </c>
      <c r="B1199" s="99">
        <f>IF($A1192="",0,COUNT($E1200:$AR1200))</f>
        <v/>
      </c>
      <c r="C1199" s="100">
        <f>IF($B1199=0,0,MAX($E1200:$AR1200))</f>
        <v/>
      </c>
      <c r="D1199" s="101">
        <f>BDS($A1192,FLD_PROJ,"headers=y","startcol=1","endcol=3","dir=h")</f>
        <v/>
      </c>
      <c r="E1199" s="102" t="n"/>
      <c r="F1199" s="102" t="n"/>
      <c r="G1199" s="102" t="n"/>
      <c r="H1199" s="102" t="n"/>
      <c r="I1199" s="102" t="n"/>
      <c r="J1199" s="102" t="n"/>
      <c r="K1199" s="102" t="n"/>
      <c r="L1199" s="102" t="n"/>
      <c r="M1199" s="102" t="n"/>
      <c r="N1199" s="102" t="n"/>
      <c r="O1199" s="102" t="n"/>
      <c r="P1199" s="102" t="n"/>
      <c r="Q1199" s="102" t="n"/>
      <c r="R1199" s="102" t="n"/>
      <c r="S1199" s="102" t="n"/>
      <c r="T1199" s="102" t="n"/>
      <c r="U1199" s="102" t="n"/>
      <c r="V1199" s="102" t="n"/>
      <c r="W1199" s="102" t="n"/>
      <c r="X1199" s="102" t="n"/>
      <c r="Y1199" s="102" t="n"/>
      <c r="Z1199" s="102" t="n"/>
      <c r="AA1199" s="102" t="n"/>
      <c r="AB1199" s="102" t="n"/>
      <c r="AC1199" s="102" t="n"/>
      <c r="AD1199" s="102" t="n"/>
      <c r="AE1199" s="102" t="n"/>
      <c r="AF1199" s="102" t="n"/>
      <c r="AG1199" s="102" t="n"/>
      <c r="AH1199" s="102" t="n"/>
      <c r="AI1199" s="102" t="n"/>
      <c r="AJ1199" s="102" t="n"/>
      <c r="AK1199" s="102" t="n"/>
      <c r="AL1199" s="102" t="n"/>
      <c r="AM1199" s="102" t="n"/>
      <c r="AN1199" s="102" t="n"/>
      <c r="AO1199" s="102" t="n"/>
      <c r="AP1199" s="102" t="n"/>
      <c r="AQ1199" s="102" t="n"/>
      <c r="AR1199" s="102" t="n"/>
    </row>
    <row r="1200">
      <c r="D1200" s="102" t="n"/>
      <c r="E1200" s="102" t="n"/>
      <c r="F1200" s="102" t="n"/>
      <c r="G1200" s="102" t="n"/>
      <c r="H1200" s="102" t="n"/>
      <c r="I1200" s="102" t="n"/>
      <c r="J1200" s="102" t="n"/>
      <c r="K1200" s="102" t="n"/>
      <c r="L1200" s="102" t="n"/>
      <c r="M1200" s="102" t="n"/>
      <c r="N1200" s="102" t="n"/>
      <c r="O1200" s="102" t="n"/>
      <c r="P1200" s="102" t="n"/>
      <c r="Q1200" s="102" t="n"/>
      <c r="R1200" s="102" t="n"/>
      <c r="S1200" s="102" t="n"/>
      <c r="T1200" s="102" t="n"/>
      <c r="U1200" s="102" t="n"/>
      <c r="V1200" s="102" t="n"/>
      <c r="W1200" s="102" t="n"/>
      <c r="X1200" s="102" t="n"/>
      <c r="Y1200" s="102" t="n"/>
      <c r="Z1200" s="102" t="n"/>
      <c r="AA1200" s="102" t="n"/>
      <c r="AB1200" s="102" t="n"/>
      <c r="AC1200" s="102" t="n"/>
      <c r="AD1200" s="102" t="n"/>
      <c r="AE1200" s="102" t="n"/>
      <c r="AF1200" s="102" t="n"/>
      <c r="AG1200" s="102" t="n"/>
      <c r="AH1200" s="102" t="n"/>
      <c r="AI1200" s="102" t="n"/>
      <c r="AJ1200" s="102" t="n"/>
      <c r="AK1200" s="102" t="n"/>
      <c r="AL1200" s="102" t="n"/>
      <c r="AM1200" s="102" t="n"/>
      <c r="AN1200" s="102" t="n"/>
      <c r="AO1200" s="102" t="n"/>
      <c r="AP1200" s="102" t="n"/>
      <c r="AQ1200" s="102" t="n"/>
      <c r="AR1200" s="102" t="n"/>
    </row>
    <row r="1201">
      <c r="D1201" s="103" t="n"/>
      <c r="E1201" s="103" t="n"/>
      <c r="F1201" s="103" t="n"/>
      <c r="G1201" s="103" t="n"/>
      <c r="H1201" s="103" t="n"/>
      <c r="I1201" s="103" t="n"/>
      <c r="J1201" s="103" t="n"/>
      <c r="K1201" s="103" t="n"/>
      <c r="L1201" s="103" t="n"/>
      <c r="M1201" s="103" t="n"/>
      <c r="N1201" s="103" t="n"/>
      <c r="O1201" s="103" t="n"/>
      <c r="P1201" s="103" t="n"/>
      <c r="Q1201" s="103" t="n"/>
      <c r="R1201" s="103" t="n"/>
      <c r="S1201" s="103" t="n"/>
      <c r="T1201" s="103" t="n"/>
      <c r="U1201" s="103" t="n"/>
      <c r="V1201" s="103" t="n"/>
      <c r="W1201" s="103" t="n"/>
      <c r="X1201" s="103" t="n"/>
      <c r="Y1201" s="103" t="n"/>
      <c r="Z1201" s="103" t="n"/>
      <c r="AA1201" s="103" t="n"/>
      <c r="AB1201" s="103" t="n"/>
      <c r="AC1201" s="103" t="n"/>
      <c r="AD1201" s="103" t="n"/>
      <c r="AE1201" s="103" t="n"/>
      <c r="AF1201" s="103" t="n"/>
      <c r="AG1201" s="103" t="n"/>
      <c r="AH1201" s="103" t="n"/>
      <c r="AI1201" s="103" t="n"/>
      <c r="AJ1201" s="103" t="n"/>
      <c r="AK1201" s="103" t="n"/>
      <c r="AL1201" s="103" t="n"/>
      <c r="AM1201" s="103" t="n"/>
      <c r="AN1201" s="103" t="n"/>
      <c r="AO1201" s="103" t="n"/>
      <c r="AP1201" s="103" t="n"/>
      <c r="AQ1201" s="103" t="n"/>
      <c r="AR1201" s="103" t="n"/>
    </row>
    <row r="1203">
      <c r="A1203" s="8">
        <f>IF(HSTECH!$C$15="","",HSTECH!$C$15)</f>
        <v/>
      </c>
      <c r="B1203" s="99">
        <f>IF($A1203="",0,COUNT($E1204:$AR1204))</f>
        <v/>
      </c>
      <c r="C1203" s="100">
        <f>IF($B1203=0,0,MAX($E1204:$AR1204))</f>
        <v/>
      </c>
      <c r="D1203" s="101">
        <f>BDS($A1203,FLD_HIST,"headers=y","startcol=1","endcol=7","dir=h","DVD_START_DT",HIST_FROM,"DVD_END_DT",HIST_TO)</f>
        <v/>
      </c>
      <c r="E1203" s="102" t="n"/>
      <c r="F1203" s="102" t="n"/>
      <c r="G1203" s="102" t="n"/>
      <c r="H1203" s="102" t="n"/>
      <c r="I1203" s="102" t="n"/>
      <c r="J1203" s="102" t="n"/>
      <c r="K1203" s="102" t="n"/>
      <c r="L1203" s="102" t="n"/>
      <c r="M1203" s="102" t="n"/>
      <c r="N1203" s="102" t="n"/>
      <c r="O1203" s="102" t="n"/>
      <c r="P1203" s="102" t="n"/>
      <c r="Q1203" s="102" t="n"/>
      <c r="R1203" s="102" t="n"/>
      <c r="S1203" s="102" t="n"/>
      <c r="T1203" s="102" t="n"/>
      <c r="U1203" s="102" t="n"/>
      <c r="V1203" s="102" t="n"/>
      <c r="W1203" s="102" t="n"/>
      <c r="X1203" s="102" t="n"/>
      <c r="Y1203" s="102" t="n"/>
      <c r="Z1203" s="102" t="n"/>
      <c r="AA1203" s="102" t="n"/>
      <c r="AB1203" s="102" t="n"/>
      <c r="AC1203" s="102" t="n"/>
      <c r="AD1203" s="102" t="n"/>
      <c r="AE1203" s="102" t="n"/>
      <c r="AF1203" s="102" t="n"/>
      <c r="AG1203" s="102" t="n"/>
      <c r="AH1203" s="102" t="n"/>
      <c r="AI1203" s="102" t="n"/>
      <c r="AJ1203" s="102" t="n"/>
      <c r="AK1203" s="102" t="n"/>
      <c r="AL1203" s="102" t="n"/>
      <c r="AM1203" s="102" t="n"/>
      <c r="AN1203" s="102" t="n"/>
      <c r="AO1203" s="102" t="n"/>
      <c r="AP1203" s="102" t="n"/>
      <c r="AQ1203" s="102" t="n"/>
      <c r="AR1203" s="102" t="n"/>
    </row>
    <row r="1204">
      <c r="D1204" s="102" t="n"/>
      <c r="E1204" s="102" t="n"/>
      <c r="F1204" s="102" t="n"/>
      <c r="G1204" s="102" t="n"/>
      <c r="H1204" s="102" t="n"/>
      <c r="I1204" s="102" t="n"/>
      <c r="J1204" s="102" t="n"/>
      <c r="K1204" s="102" t="n"/>
      <c r="L1204" s="102" t="n"/>
      <c r="M1204" s="102" t="n"/>
      <c r="N1204" s="102" t="n"/>
      <c r="O1204" s="102" t="n"/>
      <c r="P1204" s="102" t="n"/>
      <c r="Q1204" s="102" t="n"/>
      <c r="R1204" s="102" t="n"/>
      <c r="S1204" s="102" t="n"/>
      <c r="T1204" s="102" t="n"/>
      <c r="U1204" s="102" t="n"/>
      <c r="V1204" s="102" t="n"/>
      <c r="W1204" s="102" t="n"/>
      <c r="X1204" s="102" t="n"/>
      <c r="Y1204" s="102" t="n"/>
      <c r="Z1204" s="102" t="n"/>
      <c r="AA1204" s="102" t="n"/>
      <c r="AB1204" s="102" t="n"/>
      <c r="AC1204" s="102" t="n"/>
      <c r="AD1204" s="102" t="n"/>
      <c r="AE1204" s="102" t="n"/>
      <c r="AF1204" s="102" t="n"/>
      <c r="AG1204" s="102" t="n"/>
      <c r="AH1204" s="102" t="n"/>
      <c r="AI1204" s="102" t="n"/>
      <c r="AJ1204" s="102" t="n"/>
      <c r="AK1204" s="102" t="n"/>
      <c r="AL1204" s="102" t="n"/>
      <c r="AM1204" s="102" t="n"/>
      <c r="AN1204" s="102" t="n"/>
      <c r="AO1204" s="102" t="n"/>
      <c r="AP1204" s="102" t="n"/>
      <c r="AQ1204" s="102" t="n"/>
      <c r="AR1204" s="102" t="n"/>
    </row>
    <row r="1205">
      <c r="D1205" s="102" t="n"/>
      <c r="E1205" s="102" t="n"/>
      <c r="F1205" s="102" t="n"/>
      <c r="G1205" s="102" t="n"/>
      <c r="H1205" s="102" t="n"/>
      <c r="I1205" s="102" t="n"/>
      <c r="J1205" s="102" t="n"/>
      <c r="K1205" s="102" t="n"/>
      <c r="L1205" s="102" t="n"/>
      <c r="M1205" s="102" t="n"/>
      <c r="N1205" s="102" t="n"/>
      <c r="O1205" s="102" t="n"/>
      <c r="P1205" s="102" t="n"/>
      <c r="Q1205" s="102" t="n"/>
      <c r="R1205" s="102" t="n"/>
      <c r="S1205" s="102" t="n"/>
      <c r="T1205" s="102" t="n"/>
      <c r="U1205" s="102" t="n"/>
      <c r="V1205" s="102" t="n"/>
      <c r="W1205" s="102" t="n"/>
      <c r="X1205" s="102" t="n"/>
      <c r="Y1205" s="102" t="n"/>
      <c r="Z1205" s="102" t="n"/>
      <c r="AA1205" s="102" t="n"/>
      <c r="AB1205" s="102" t="n"/>
      <c r="AC1205" s="102" t="n"/>
      <c r="AD1205" s="102" t="n"/>
      <c r="AE1205" s="102" t="n"/>
      <c r="AF1205" s="102" t="n"/>
      <c r="AG1205" s="102" t="n"/>
      <c r="AH1205" s="102" t="n"/>
      <c r="AI1205" s="102" t="n"/>
      <c r="AJ1205" s="102" t="n"/>
      <c r="AK1205" s="102" t="n"/>
      <c r="AL1205" s="102" t="n"/>
      <c r="AM1205" s="102" t="n"/>
      <c r="AN1205" s="102" t="n"/>
      <c r="AO1205" s="102" t="n"/>
      <c r="AP1205" s="102" t="n"/>
      <c r="AQ1205" s="102" t="n"/>
      <c r="AR1205" s="102" t="n"/>
    </row>
    <row r="1206">
      <c r="D1206" s="102" t="n"/>
      <c r="E1206" s="102" t="n"/>
      <c r="F1206" s="102" t="n"/>
      <c r="G1206" s="102" t="n"/>
      <c r="H1206" s="102" t="n"/>
      <c r="I1206" s="102" t="n"/>
      <c r="J1206" s="102" t="n"/>
      <c r="K1206" s="102" t="n"/>
      <c r="L1206" s="102" t="n"/>
      <c r="M1206" s="102" t="n"/>
      <c r="N1206" s="102" t="n"/>
      <c r="O1206" s="102" t="n"/>
      <c r="P1206" s="102" t="n"/>
      <c r="Q1206" s="102" t="n"/>
      <c r="R1206" s="102" t="n"/>
      <c r="S1206" s="102" t="n"/>
      <c r="T1206" s="102" t="n"/>
      <c r="U1206" s="102" t="n"/>
      <c r="V1206" s="102" t="n"/>
      <c r="W1206" s="102" t="n"/>
      <c r="X1206" s="102" t="n"/>
      <c r="Y1206" s="102" t="n"/>
      <c r="Z1206" s="102" t="n"/>
      <c r="AA1206" s="102" t="n"/>
      <c r="AB1206" s="102" t="n"/>
      <c r="AC1206" s="102" t="n"/>
      <c r="AD1206" s="102" t="n"/>
      <c r="AE1206" s="102" t="n"/>
      <c r="AF1206" s="102" t="n"/>
      <c r="AG1206" s="102" t="n"/>
      <c r="AH1206" s="102" t="n"/>
      <c r="AI1206" s="102" t="n"/>
      <c r="AJ1206" s="102" t="n"/>
      <c r="AK1206" s="102" t="n"/>
      <c r="AL1206" s="102" t="n"/>
      <c r="AM1206" s="102" t="n"/>
      <c r="AN1206" s="102" t="n"/>
      <c r="AO1206" s="102" t="n"/>
      <c r="AP1206" s="102" t="n"/>
      <c r="AQ1206" s="102" t="n"/>
      <c r="AR1206" s="102" t="n"/>
    </row>
    <row r="1207">
      <c r="D1207" s="103" t="n"/>
      <c r="E1207" s="103" t="n"/>
      <c r="F1207" s="103" t="n"/>
      <c r="G1207" s="103" t="n"/>
      <c r="H1207" s="103" t="n"/>
      <c r="I1207" s="103" t="n"/>
      <c r="J1207" s="103" t="n"/>
      <c r="K1207" s="103" t="n"/>
      <c r="L1207" s="103" t="n"/>
      <c r="M1207" s="103" t="n"/>
      <c r="N1207" s="103" t="n"/>
      <c r="O1207" s="103" t="n"/>
      <c r="P1207" s="103" t="n"/>
      <c r="Q1207" s="103" t="n"/>
      <c r="R1207" s="103" t="n"/>
      <c r="S1207" s="103" t="n"/>
      <c r="T1207" s="103" t="n"/>
      <c r="U1207" s="103" t="n"/>
      <c r="V1207" s="103" t="n"/>
      <c r="W1207" s="103" t="n"/>
      <c r="X1207" s="103" t="n"/>
      <c r="Y1207" s="103" t="n"/>
      <c r="Z1207" s="103" t="n"/>
      <c r="AA1207" s="103" t="n"/>
      <c r="AB1207" s="103" t="n"/>
      <c r="AC1207" s="103" t="n"/>
      <c r="AD1207" s="103" t="n"/>
      <c r="AE1207" s="103" t="n"/>
      <c r="AF1207" s="103" t="n"/>
      <c r="AG1207" s="103" t="n"/>
      <c r="AH1207" s="103" t="n"/>
      <c r="AI1207" s="103" t="n"/>
      <c r="AJ1207" s="103" t="n"/>
      <c r="AK1207" s="103" t="n"/>
      <c r="AL1207" s="103" t="n"/>
      <c r="AM1207" s="103" t="n"/>
      <c r="AN1207" s="103" t="n"/>
      <c r="AO1207" s="103" t="n"/>
      <c r="AP1207" s="103" t="n"/>
      <c r="AQ1207" s="103" t="n"/>
      <c r="AR1207" s="103" t="n"/>
    </row>
    <row r="1210">
      <c r="A1210" s="2">
        <f>IF($A1203="","","   projections")</f>
        <v/>
      </c>
      <c r="B1210" s="99">
        <f>IF($A1203="",0,COUNT($E1211:$AR1211))</f>
        <v/>
      </c>
      <c r="C1210" s="100">
        <f>IF($B1210=0,0,MAX($E1211:$AR1211))</f>
        <v/>
      </c>
      <c r="D1210" s="101">
        <f>BDS($A1203,FLD_PROJ,"headers=y","startcol=1","endcol=3","dir=h")</f>
        <v/>
      </c>
      <c r="E1210" s="102" t="n"/>
      <c r="F1210" s="102" t="n"/>
      <c r="G1210" s="102" t="n"/>
      <c r="H1210" s="102" t="n"/>
      <c r="I1210" s="102" t="n"/>
      <c r="J1210" s="102" t="n"/>
      <c r="K1210" s="102" t="n"/>
      <c r="L1210" s="102" t="n"/>
      <c r="M1210" s="102" t="n"/>
      <c r="N1210" s="102" t="n"/>
      <c r="O1210" s="102" t="n"/>
      <c r="P1210" s="102" t="n"/>
      <c r="Q1210" s="102" t="n"/>
      <c r="R1210" s="102" t="n"/>
      <c r="S1210" s="102" t="n"/>
      <c r="T1210" s="102" t="n"/>
      <c r="U1210" s="102" t="n"/>
      <c r="V1210" s="102" t="n"/>
      <c r="W1210" s="102" t="n"/>
      <c r="X1210" s="102" t="n"/>
      <c r="Y1210" s="102" t="n"/>
      <c r="Z1210" s="102" t="n"/>
      <c r="AA1210" s="102" t="n"/>
      <c r="AB1210" s="102" t="n"/>
      <c r="AC1210" s="102" t="n"/>
      <c r="AD1210" s="102" t="n"/>
      <c r="AE1210" s="102" t="n"/>
      <c r="AF1210" s="102" t="n"/>
      <c r="AG1210" s="102" t="n"/>
      <c r="AH1210" s="102" t="n"/>
      <c r="AI1210" s="102" t="n"/>
      <c r="AJ1210" s="102" t="n"/>
      <c r="AK1210" s="102" t="n"/>
      <c r="AL1210" s="102" t="n"/>
      <c r="AM1210" s="102" t="n"/>
      <c r="AN1210" s="102" t="n"/>
      <c r="AO1210" s="102" t="n"/>
      <c r="AP1210" s="102" t="n"/>
      <c r="AQ1210" s="102" t="n"/>
      <c r="AR1210" s="102" t="n"/>
    </row>
    <row r="1211">
      <c r="D1211" s="102" t="n"/>
      <c r="E1211" s="102" t="n"/>
      <c r="F1211" s="102" t="n"/>
      <c r="G1211" s="102" t="n"/>
      <c r="H1211" s="102" t="n"/>
      <c r="I1211" s="102" t="n"/>
      <c r="J1211" s="102" t="n"/>
      <c r="K1211" s="102" t="n"/>
      <c r="L1211" s="102" t="n"/>
      <c r="M1211" s="102" t="n"/>
      <c r="N1211" s="102" t="n"/>
      <c r="O1211" s="102" t="n"/>
      <c r="P1211" s="102" t="n"/>
      <c r="Q1211" s="102" t="n"/>
      <c r="R1211" s="102" t="n"/>
      <c r="S1211" s="102" t="n"/>
      <c r="T1211" s="102" t="n"/>
      <c r="U1211" s="102" t="n"/>
      <c r="V1211" s="102" t="n"/>
      <c r="W1211" s="102" t="n"/>
      <c r="X1211" s="102" t="n"/>
      <c r="Y1211" s="102" t="n"/>
      <c r="Z1211" s="102" t="n"/>
      <c r="AA1211" s="102" t="n"/>
      <c r="AB1211" s="102" t="n"/>
      <c r="AC1211" s="102" t="n"/>
      <c r="AD1211" s="102" t="n"/>
      <c r="AE1211" s="102" t="n"/>
      <c r="AF1211" s="102" t="n"/>
      <c r="AG1211" s="102" t="n"/>
      <c r="AH1211" s="102" t="n"/>
      <c r="AI1211" s="102" t="n"/>
      <c r="AJ1211" s="102" t="n"/>
      <c r="AK1211" s="102" t="n"/>
      <c r="AL1211" s="102" t="n"/>
      <c r="AM1211" s="102" t="n"/>
      <c r="AN1211" s="102" t="n"/>
      <c r="AO1211" s="102" t="n"/>
      <c r="AP1211" s="102" t="n"/>
      <c r="AQ1211" s="102" t="n"/>
      <c r="AR1211" s="102" t="n"/>
    </row>
    <row r="1212">
      <c r="D1212" s="103" t="n"/>
      <c r="E1212" s="103" t="n"/>
      <c r="F1212" s="103" t="n"/>
      <c r="G1212" s="103" t="n"/>
      <c r="H1212" s="103" t="n"/>
      <c r="I1212" s="103" t="n"/>
      <c r="J1212" s="103" t="n"/>
      <c r="K1212" s="103" t="n"/>
      <c r="L1212" s="103" t="n"/>
      <c r="M1212" s="103" t="n"/>
      <c r="N1212" s="103" t="n"/>
      <c r="O1212" s="103" t="n"/>
      <c r="P1212" s="103" t="n"/>
      <c r="Q1212" s="103" t="n"/>
      <c r="R1212" s="103" t="n"/>
      <c r="S1212" s="103" t="n"/>
      <c r="T1212" s="103" t="n"/>
      <c r="U1212" s="103" t="n"/>
      <c r="V1212" s="103" t="n"/>
      <c r="W1212" s="103" t="n"/>
      <c r="X1212" s="103" t="n"/>
      <c r="Y1212" s="103" t="n"/>
      <c r="Z1212" s="103" t="n"/>
      <c r="AA1212" s="103" t="n"/>
      <c r="AB1212" s="103" t="n"/>
      <c r="AC1212" s="103" t="n"/>
      <c r="AD1212" s="103" t="n"/>
      <c r="AE1212" s="103" t="n"/>
      <c r="AF1212" s="103" t="n"/>
      <c r="AG1212" s="103" t="n"/>
      <c r="AH1212" s="103" t="n"/>
      <c r="AI1212" s="103" t="n"/>
      <c r="AJ1212" s="103" t="n"/>
      <c r="AK1212" s="103" t="n"/>
      <c r="AL1212" s="103" t="n"/>
      <c r="AM1212" s="103" t="n"/>
      <c r="AN1212" s="103" t="n"/>
      <c r="AO1212" s="103" t="n"/>
      <c r="AP1212" s="103" t="n"/>
      <c r="AQ1212" s="103" t="n"/>
      <c r="AR1212" s="103" t="n"/>
    </row>
    <row r="1214">
      <c r="A1214" s="8">
        <f>IF(HSTECH!$C$16="","",HSTECH!$C$16)</f>
        <v/>
      </c>
      <c r="B1214" s="99">
        <f>IF($A1214="",0,COUNT($E1215:$AR1215))</f>
        <v/>
      </c>
      <c r="C1214" s="100">
        <f>IF($B1214=0,0,MAX($E1215:$AR1215))</f>
        <v/>
      </c>
      <c r="D1214" s="101">
        <f>BDS($A1214,FLD_HIST,"headers=y","startcol=1","endcol=7","dir=h","DVD_START_DT",HIST_FROM,"DVD_END_DT",HIST_TO)</f>
        <v/>
      </c>
      <c r="E1214" s="102" t="n"/>
      <c r="F1214" s="102" t="n"/>
      <c r="G1214" s="102" t="n"/>
      <c r="H1214" s="102" t="n"/>
      <c r="I1214" s="102" t="n"/>
      <c r="J1214" s="102" t="n"/>
      <c r="K1214" s="102" t="n"/>
      <c r="L1214" s="102" t="n"/>
      <c r="M1214" s="102" t="n"/>
      <c r="N1214" s="102" t="n"/>
      <c r="O1214" s="102" t="n"/>
      <c r="P1214" s="102" t="n"/>
      <c r="Q1214" s="102" t="n"/>
      <c r="R1214" s="102" t="n"/>
      <c r="S1214" s="102" t="n"/>
      <c r="T1214" s="102" t="n"/>
      <c r="U1214" s="102" t="n"/>
      <c r="V1214" s="102" t="n"/>
      <c r="W1214" s="102" t="n"/>
      <c r="X1214" s="102" t="n"/>
      <c r="Y1214" s="102" t="n"/>
      <c r="Z1214" s="102" t="n"/>
      <c r="AA1214" s="102" t="n"/>
      <c r="AB1214" s="102" t="n"/>
      <c r="AC1214" s="102" t="n"/>
      <c r="AD1214" s="102" t="n"/>
      <c r="AE1214" s="102" t="n"/>
      <c r="AF1214" s="102" t="n"/>
      <c r="AG1214" s="102" t="n"/>
      <c r="AH1214" s="102" t="n"/>
      <c r="AI1214" s="102" t="n"/>
      <c r="AJ1214" s="102" t="n"/>
      <c r="AK1214" s="102" t="n"/>
      <c r="AL1214" s="102" t="n"/>
      <c r="AM1214" s="102" t="n"/>
      <c r="AN1214" s="102" t="n"/>
      <c r="AO1214" s="102" t="n"/>
      <c r="AP1214" s="102" t="n"/>
      <c r="AQ1214" s="102" t="n"/>
      <c r="AR1214" s="102" t="n"/>
    </row>
    <row r="1215">
      <c r="D1215" s="102" t="n"/>
      <c r="E1215" s="102" t="n"/>
      <c r="F1215" s="102" t="n"/>
      <c r="G1215" s="102" t="n"/>
      <c r="H1215" s="102" t="n"/>
      <c r="I1215" s="102" t="n"/>
      <c r="J1215" s="102" t="n"/>
      <c r="K1215" s="102" t="n"/>
      <c r="L1215" s="102" t="n"/>
      <c r="M1215" s="102" t="n"/>
      <c r="N1215" s="102" t="n"/>
      <c r="O1215" s="102" t="n"/>
      <c r="P1215" s="102" t="n"/>
      <c r="Q1215" s="102" t="n"/>
      <c r="R1215" s="102" t="n"/>
      <c r="S1215" s="102" t="n"/>
      <c r="T1215" s="102" t="n"/>
      <c r="U1215" s="102" t="n"/>
      <c r="V1215" s="102" t="n"/>
      <c r="W1215" s="102" t="n"/>
      <c r="X1215" s="102" t="n"/>
      <c r="Y1215" s="102" t="n"/>
      <c r="Z1215" s="102" t="n"/>
      <c r="AA1215" s="102" t="n"/>
      <c r="AB1215" s="102" t="n"/>
      <c r="AC1215" s="102" t="n"/>
      <c r="AD1215" s="102" t="n"/>
      <c r="AE1215" s="102" t="n"/>
      <c r="AF1215" s="102" t="n"/>
      <c r="AG1215" s="102" t="n"/>
      <c r="AH1215" s="102" t="n"/>
      <c r="AI1215" s="102" t="n"/>
      <c r="AJ1215" s="102" t="n"/>
      <c r="AK1215" s="102" t="n"/>
      <c r="AL1215" s="102" t="n"/>
      <c r="AM1215" s="102" t="n"/>
      <c r="AN1215" s="102" t="n"/>
      <c r="AO1215" s="102" t="n"/>
      <c r="AP1215" s="102" t="n"/>
      <c r="AQ1215" s="102" t="n"/>
      <c r="AR1215" s="102" t="n"/>
    </row>
    <row r="1216">
      <c r="D1216" s="102" t="n"/>
      <c r="E1216" s="102" t="n"/>
      <c r="F1216" s="102" t="n"/>
      <c r="G1216" s="102" t="n"/>
      <c r="H1216" s="102" t="n"/>
      <c r="I1216" s="102" t="n"/>
      <c r="J1216" s="102" t="n"/>
      <c r="K1216" s="102" t="n"/>
      <c r="L1216" s="102" t="n"/>
      <c r="M1216" s="102" t="n"/>
      <c r="N1216" s="102" t="n"/>
      <c r="O1216" s="102" t="n"/>
      <c r="P1216" s="102" t="n"/>
      <c r="Q1216" s="102" t="n"/>
      <c r="R1216" s="102" t="n"/>
      <c r="S1216" s="102" t="n"/>
      <c r="T1216" s="102" t="n"/>
      <c r="U1216" s="102" t="n"/>
      <c r="V1216" s="102" t="n"/>
      <c r="W1216" s="102" t="n"/>
      <c r="X1216" s="102" t="n"/>
      <c r="Y1216" s="102" t="n"/>
      <c r="Z1216" s="102" t="n"/>
      <c r="AA1216" s="102" t="n"/>
      <c r="AB1216" s="102" t="n"/>
      <c r="AC1216" s="102" t="n"/>
      <c r="AD1216" s="102" t="n"/>
      <c r="AE1216" s="102" t="n"/>
      <c r="AF1216" s="102" t="n"/>
      <c r="AG1216" s="102" t="n"/>
      <c r="AH1216" s="102" t="n"/>
      <c r="AI1216" s="102" t="n"/>
      <c r="AJ1216" s="102" t="n"/>
      <c r="AK1216" s="102" t="n"/>
      <c r="AL1216" s="102" t="n"/>
      <c r="AM1216" s="102" t="n"/>
      <c r="AN1216" s="102" t="n"/>
      <c r="AO1216" s="102" t="n"/>
      <c r="AP1216" s="102" t="n"/>
      <c r="AQ1216" s="102" t="n"/>
      <c r="AR1216" s="102" t="n"/>
    </row>
    <row r="1217">
      <c r="D1217" s="102" t="n"/>
      <c r="E1217" s="102" t="n"/>
      <c r="F1217" s="102" t="n"/>
      <c r="G1217" s="102" t="n"/>
      <c r="H1217" s="102" t="n"/>
      <c r="I1217" s="102" t="n"/>
      <c r="J1217" s="102" t="n"/>
      <c r="K1217" s="102" t="n"/>
      <c r="L1217" s="102" t="n"/>
      <c r="M1217" s="102" t="n"/>
      <c r="N1217" s="102" t="n"/>
      <c r="O1217" s="102" t="n"/>
      <c r="P1217" s="102" t="n"/>
      <c r="Q1217" s="102" t="n"/>
      <c r="R1217" s="102" t="n"/>
      <c r="S1217" s="102" t="n"/>
      <c r="T1217" s="102" t="n"/>
      <c r="U1217" s="102" t="n"/>
      <c r="V1217" s="102" t="n"/>
      <c r="W1217" s="102" t="n"/>
      <c r="X1217" s="102" t="n"/>
      <c r="Y1217" s="102" t="n"/>
      <c r="Z1217" s="102" t="n"/>
      <c r="AA1217" s="102" t="n"/>
      <c r="AB1217" s="102" t="n"/>
      <c r="AC1217" s="102" t="n"/>
      <c r="AD1217" s="102" t="n"/>
      <c r="AE1217" s="102" t="n"/>
      <c r="AF1217" s="102" t="n"/>
      <c r="AG1217" s="102" t="n"/>
      <c r="AH1217" s="102" t="n"/>
      <c r="AI1217" s="102" t="n"/>
      <c r="AJ1217" s="102" t="n"/>
      <c r="AK1217" s="102" t="n"/>
      <c r="AL1217" s="102" t="n"/>
      <c r="AM1217" s="102" t="n"/>
      <c r="AN1217" s="102" t="n"/>
      <c r="AO1217" s="102" t="n"/>
      <c r="AP1217" s="102" t="n"/>
      <c r="AQ1217" s="102" t="n"/>
      <c r="AR1217" s="102" t="n"/>
    </row>
    <row r="1218">
      <c r="D1218" s="103" t="n"/>
      <c r="E1218" s="103" t="n"/>
      <c r="F1218" s="103" t="n"/>
      <c r="G1218" s="103" t="n"/>
      <c r="H1218" s="103" t="n"/>
      <c r="I1218" s="103" t="n"/>
      <c r="J1218" s="103" t="n"/>
      <c r="K1218" s="103" t="n"/>
      <c r="L1218" s="103" t="n"/>
      <c r="M1218" s="103" t="n"/>
      <c r="N1218" s="103" t="n"/>
      <c r="O1218" s="103" t="n"/>
      <c r="P1218" s="103" t="n"/>
      <c r="Q1218" s="103" t="n"/>
      <c r="R1218" s="103" t="n"/>
      <c r="S1218" s="103" t="n"/>
      <c r="T1218" s="103" t="n"/>
      <c r="U1218" s="103" t="n"/>
      <c r="V1218" s="103" t="n"/>
      <c r="W1218" s="103" t="n"/>
      <c r="X1218" s="103" t="n"/>
      <c r="Y1218" s="103" t="n"/>
      <c r="Z1218" s="103" t="n"/>
      <c r="AA1218" s="103" t="n"/>
      <c r="AB1218" s="103" t="n"/>
      <c r="AC1218" s="103" t="n"/>
      <c r="AD1218" s="103" t="n"/>
      <c r="AE1218" s="103" t="n"/>
      <c r="AF1218" s="103" t="n"/>
      <c r="AG1218" s="103" t="n"/>
      <c r="AH1218" s="103" t="n"/>
      <c r="AI1218" s="103" t="n"/>
      <c r="AJ1218" s="103" t="n"/>
      <c r="AK1218" s="103" t="n"/>
      <c r="AL1218" s="103" t="n"/>
      <c r="AM1218" s="103" t="n"/>
      <c r="AN1218" s="103" t="n"/>
      <c r="AO1218" s="103" t="n"/>
      <c r="AP1218" s="103" t="n"/>
      <c r="AQ1218" s="103" t="n"/>
      <c r="AR1218" s="103" t="n"/>
    </row>
    <row r="1221">
      <c r="A1221" s="2">
        <f>IF($A1214="","","   projections")</f>
        <v/>
      </c>
      <c r="B1221" s="99">
        <f>IF($A1214="",0,COUNT($E1222:$AR1222))</f>
        <v/>
      </c>
      <c r="C1221" s="100">
        <f>IF($B1221=0,0,MAX($E1222:$AR1222))</f>
        <v/>
      </c>
      <c r="D1221" s="101">
        <f>BDS($A1214,FLD_PROJ,"headers=y","startcol=1","endcol=3","dir=h")</f>
        <v/>
      </c>
      <c r="E1221" s="102" t="n"/>
      <c r="F1221" s="102" t="n"/>
      <c r="G1221" s="102" t="n"/>
      <c r="H1221" s="102" t="n"/>
      <c r="I1221" s="102" t="n"/>
      <c r="J1221" s="102" t="n"/>
      <c r="K1221" s="102" t="n"/>
      <c r="L1221" s="102" t="n"/>
      <c r="M1221" s="102" t="n"/>
      <c r="N1221" s="102" t="n"/>
      <c r="O1221" s="102" t="n"/>
      <c r="P1221" s="102" t="n"/>
      <c r="Q1221" s="102" t="n"/>
      <c r="R1221" s="102" t="n"/>
      <c r="S1221" s="102" t="n"/>
      <c r="T1221" s="102" t="n"/>
      <c r="U1221" s="102" t="n"/>
      <c r="V1221" s="102" t="n"/>
      <c r="W1221" s="102" t="n"/>
      <c r="X1221" s="102" t="n"/>
      <c r="Y1221" s="102" t="n"/>
      <c r="Z1221" s="102" t="n"/>
      <c r="AA1221" s="102" t="n"/>
      <c r="AB1221" s="102" t="n"/>
      <c r="AC1221" s="102" t="n"/>
      <c r="AD1221" s="102" t="n"/>
      <c r="AE1221" s="102" t="n"/>
      <c r="AF1221" s="102" t="n"/>
      <c r="AG1221" s="102" t="n"/>
      <c r="AH1221" s="102" t="n"/>
      <c r="AI1221" s="102" t="n"/>
      <c r="AJ1221" s="102" t="n"/>
      <c r="AK1221" s="102" t="n"/>
      <c r="AL1221" s="102" t="n"/>
      <c r="AM1221" s="102" t="n"/>
      <c r="AN1221" s="102" t="n"/>
      <c r="AO1221" s="102" t="n"/>
      <c r="AP1221" s="102" t="n"/>
      <c r="AQ1221" s="102" t="n"/>
      <c r="AR1221" s="102" t="n"/>
    </row>
    <row r="1222">
      <c r="D1222" s="102" t="n"/>
      <c r="E1222" s="102" t="n"/>
      <c r="F1222" s="102" t="n"/>
      <c r="G1222" s="102" t="n"/>
      <c r="H1222" s="102" t="n"/>
      <c r="I1222" s="102" t="n"/>
      <c r="J1222" s="102" t="n"/>
      <c r="K1222" s="102" t="n"/>
      <c r="L1222" s="102" t="n"/>
      <c r="M1222" s="102" t="n"/>
      <c r="N1222" s="102" t="n"/>
      <c r="O1222" s="102" t="n"/>
      <c r="P1222" s="102" t="n"/>
      <c r="Q1222" s="102" t="n"/>
      <c r="R1222" s="102" t="n"/>
      <c r="S1222" s="102" t="n"/>
      <c r="T1222" s="102" t="n"/>
      <c r="U1222" s="102" t="n"/>
      <c r="V1222" s="102" t="n"/>
      <c r="W1222" s="102" t="n"/>
      <c r="X1222" s="102" t="n"/>
      <c r="Y1222" s="102" t="n"/>
      <c r="Z1222" s="102" t="n"/>
      <c r="AA1222" s="102" t="n"/>
      <c r="AB1222" s="102" t="n"/>
      <c r="AC1222" s="102" t="n"/>
      <c r="AD1222" s="102" t="n"/>
      <c r="AE1222" s="102" t="n"/>
      <c r="AF1222" s="102" t="n"/>
      <c r="AG1222" s="102" t="n"/>
      <c r="AH1222" s="102" t="n"/>
      <c r="AI1222" s="102" t="n"/>
      <c r="AJ1222" s="102" t="n"/>
      <c r="AK1222" s="102" t="n"/>
      <c r="AL1222" s="102" t="n"/>
      <c r="AM1222" s="102" t="n"/>
      <c r="AN1222" s="102" t="n"/>
      <c r="AO1222" s="102" t="n"/>
      <c r="AP1222" s="102" t="n"/>
      <c r="AQ1222" s="102" t="n"/>
      <c r="AR1222" s="102" t="n"/>
    </row>
    <row r="1223">
      <c r="D1223" s="103" t="n"/>
      <c r="E1223" s="103" t="n"/>
      <c r="F1223" s="103" t="n"/>
      <c r="G1223" s="103" t="n"/>
      <c r="H1223" s="103" t="n"/>
      <c r="I1223" s="103" t="n"/>
      <c r="J1223" s="103" t="n"/>
      <c r="K1223" s="103" t="n"/>
      <c r="L1223" s="103" t="n"/>
      <c r="M1223" s="103" t="n"/>
      <c r="N1223" s="103" t="n"/>
      <c r="O1223" s="103" t="n"/>
      <c r="P1223" s="103" t="n"/>
      <c r="Q1223" s="103" t="n"/>
      <c r="R1223" s="103" t="n"/>
      <c r="S1223" s="103" t="n"/>
      <c r="T1223" s="103" t="n"/>
      <c r="U1223" s="103" t="n"/>
      <c r="V1223" s="103" t="n"/>
      <c r="W1223" s="103" t="n"/>
      <c r="X1223" s="103" t="n"/>
      <c r="Y1223" s="103" t="n"/>
      <c r="Z1223" s="103" t="n"/>
      <c r="AA1223" s="103" t="n"/>
      <c r="AB1223" s="103" t="n"/>
      <c r="AC1223" s="103" t="n"/>
      <c r="AD1223" s="103" t="n"/>
      <c r="AE1223" s="103" t="n"/>
      <c r="AF1223" s="103" t="n"/>
      <c r="AG1223" s="103" t="n"/>
      <c r="AH1223" s="103" t="n"/>
      <c r="AI1223" s="103" t="n"/>
      <c r="AJ1223" s="103" t="n"/>
      <c r="AK1223" s="103" t="n"/>
      <c r="AL1223" s="103" t="n"/>
      <c r="AM1223" s="103" t="n"/>
      <c r="AN1223" s="103" t="n"/>
      <c r="AO1223" s="103" t="n"/>
      <c r="AP1223" s="103" t="n"/>
      <c r="AQ1223" s="103" t="n"/>
      <c r="AR1223" s="103" t="n"/>
    </row>
    <row r="1225">
      <c r="A1225" s="8">
        <f>IF(HSTECH!$C$17="","",HSTECH!$C$17)</f>
        <v/>
      </c>
      <c r="B1225" s="99">
        <f>IF($A1225="",0,COUNT($E1226:$AR1226))</f>
        <v/>
      </c>
      <c r="C1225" s="100">
        <f>IF($B1225=0,0,MAX($E1226:$AR1226))</f>
        <v/>
      </c>
      <c r="D1225" s="101">
        <f>BDS($A1225,FLD_HIST,"headers=y","startcol=1","endcol=7","dir=h","DVD_START_DT",HIST_FROM,"DVD_END_DT",HIST_TO)</f>
        <v/>
      </c>
      <c r="E1225" s="102" t="n"/>
      <c r="F1225" s="102" t="n"/>
      <c r="G1225" s="102" t="n"/>
      <c r="H1225" s="102" t="n"/>
      <c r="I1225" s="102" t="n"/>
      <c r="J1225" s="102" t="n"/>
      <c r="K1225" s="102" t="n"/>
      <c r="L1225" s="102" t="n"/>
      <c r="M1225" s="102" t="n"/>
      <c r="N1225" s="102" t="n"/>
      <c r="O1225" s="102" t="n"/>
      <c r="P1225" s="102" t="n"/>
      <c r="Q1225" s="102" t="n"/>
      <c r="R1225" s="102" t="n"/>
      <c r="S1225" s="102" t="n"/>
      <c r="T1225" s="102" t="n"/>
      <c r="U1225" s="102" t="n"/>
      <c r="V1225" s="102" t="n"/>
      <c r="W1225" s="102" t="n"/>
      <c r="X1225" s="102" t="n"/>
      <c r="Y1225" s="102" t="n"/>
      <c r="Z1225" s="102" t="n"/>
      <c r="AA1225" s="102" t="n"/>
      <c r="AB1225" s="102" t="n"/>
      <c r="AC1225" s="102" t="n"/>
      <c r="AD1225" s="102" t="n"/>
      <c r="AE1225" s="102" t="n"/>
      <c r="AF1225" s="102" t="n"/>
      <c r="AG1225" s="102" t="n"/>
      <c r="AH1225" s="102" t="n"/>
      <c r="AI1225" s="102" t="n"/>
      <c r="AJ1225" s="102" t="n"/>
      <c r="AK1225" s="102" t="n"/>
      <c r="AL1225" s="102" t="n"/>
      <c r="AM1225" s="102" t="n"/>
      <c r="AN1225" s="102" t="n"/>
      <c r="AO1225" s="102" t="n"/>
      <c r="AP1225" s="102" t="n"/>
      <c r="AQ1225" s="102" t="n"/>
      <c r="AR1225" s="102" t="n"/>
    </row>
    <row r="1226">
      <c r="D1226" s="102" t="n"/>
      <c r="E1226" s="102" t="n"/>
      <c r="F1226" s="102" t="n"/>
      <c r="G1226" s="102" t="n"/>
      <c r="H1226" s="102" t="n"/>
      <c r="I1226" s="102" t="n"/>
      <c r="J1226" s="102" t="n"/>
      <c r="K1226" s="102" t="n"/>
      <c r="L1226" s="102" t="n"/>
      <c r="M1226" s="102" t="n"/>
      <c r="N1226" s="102" t="n"/>
      <c r="O1226" s="102" t="n"/>
      <c r="P1226" s="102" t="n"/>
      <c r="Q1226" s="102" t="n"/>
      <c r="R1226" s="102" t="n"/>
      <c r="S1226" s="102" t="n"/>
      <c r="T1226" s="102" t="n"/>
      <c r="U1226" s="102" t="n"/>
      <c r="V1226" s="102" t="n"/>
      <c r="W1226" s="102" t="n"/>
      <c r="X1226" s="102" t="n"/>
      <c r="Y1226" s="102" t="n"/>
      <c r="Z1226" s="102" t="n"/>
      <c r="AA1226" s="102" t="n"/>
      <c r="AB1226" s="102" t="n"/>
      <c r="AC1226" s="102" t="n"/>
      <c r="AD1226" s="102" t="n"/>
      <c r="AE1226" s="102" t="n"/>
      <c r="AF1226" s="102" t="n"/>
      <c r="AG1226" s="102" t="n"/>
      <c r="AH1226" s="102" t="n"/>
      <c r="AI1226" s="102" t="n"/>
      <c r="AJ1226" s="102" t="n"/>
      <c r="AK1226" s="102" t="n"/>
      <c r="AL1226" s="102" t="n"/>
      <c r="AM1226" s="102" t="n"/>
      <c r="AN1226" s="102" t="n"/>
      <c r="AO1226" s="102" t="n"/>
      <c r="AP1226" s="102" t="n"/>
      <c r="AQ1226" s="102" t="n"/>
      <c r="AR1226" s="102" t="n"/>
    </row>
    <row r="1227">
      <c r="D1227" s="102" t="n"/>
      <c r="E1227" s="102" t="n"/>
      <c r="F1227" s="102" t="n"/>
      <c r="G1227" s="102" t="n"/>
      <c r="H1227" s="102" t="n"/>
      <c r="I1227" s="102" t="n"/>
      <c r="J1227" s="102" t="n"/>
      <c r="K1227" s="102" t="n"/>
      <c r="L1227" s="102" t="n"/>
      <c r="M1227" s="102" t="n"/>
      <c r="N1227" s="102" t="n"/>
      <c r="O1227" s="102" t="n"/>
      <c r="P1227" s="102" t="n"/>
      <c r="Q1227" s="102" t="n"/>
      <c r="R1227" s="102" t="n"/>
      <c r="S1227" s="102" t="n"/>
      <c r="T1227" s="102" t="n"/>
      <c r="U1227" s="102" t="n"/>
      <c r="V1227" s="102" t="n"/>
      <c r="W1227" s="102" t="n"/>
      <c r="X1227" s="102" t="n"/>
      <c r="Y1227" s="102" t="n"/>
      <c r="Z1227" s="102" t="n"/>
      <c r="AA1227" s="102" t="n"/>
      <c r="AB1227" s="102" t="n"/>
      <c r="AC1227" s="102" t="n"/>
      <c r="AD1227" s="102" t="n"/>
      <c r="AE1227" s="102" t="n"/>
      <c r="AF1227" s="102" t="n"/>
      <c r="AG1227" s="102" t="n"/>
      <c r="AH1227" s="102" t="n"/>
      <c r="AI1227" s="102" t="n"/>
      <c r="AJ1227" s="102" t="n"/>
      <c r="AK1227" s="102" t="n"/>
      <c r="AL1227" s="102" t="n"/>
      <c r="AM1227" s="102" t="n"/>
      <c r="AN1227" s="102" t="n"/>
      <c r="AO1227" s="102" t="n"/>
      <c r="AP1227" s="102" t="n"/>
      <c r="AQ1227" s="102" t="n"/>
      <c r="AR1227" s="102" t="n"/>
    </row>
    <row r="1228">
      <c r="D1228" s="102" t="n"/>
      <c r="E1228" s="102" t="n"/>
      <c r="F1228" s="102" t="n"/>
      <c r="G1228" s="102" t="n"/>
      <c r="H1228" s="102" t="n"/>
      <c r="I1228" s="102" t="n"/>
      <c r="J1228" s="102" t="n"/>
      <c r="K1228" s="102" t="n"/>
      <c r="L1228" s="102" t="n"/>
      <c r="M1228" s="102" t="n"/>
      <c r="N1228" s="102" t="n"/>
      <c r="O1228" s="102" t="n"/>
      <c r="P1228" s="102" t="n"/>
      <c r="Q1228" s="102" t="n"/>
      <c r="R1228" s="102" t="n"/>
      <c r="S1228" s="102" t="n"/>
      <c r="T1228" s="102" t="n"/>
      <c r="U1228" s="102" t="n"/>
      <c r="V1228" s="102" t="n"/>
      <c r="W1228" s="102" t="n"/>
      <c r="X1228" s="102" t="n"/>
      <c r="Y1228" s="102" t="n"/>
      <c r="Z1228" s="102" t="n"/>
      <c r="AA1228" s="102" t="n"/>
      <c r="AB1228" s="102" t="n"/>
      <c r="AC1228" s="102" t="n"/>
      <c r="AD1228" s="102" t="n"/>
      <c r="AE1228" s="102" t="n"/>
      <c r="AF1228" s="102" t="n"/>
      <c r="AG1228" s="102" t="n"/>
      <c r="AH1228" s="102" t="n"/>
      <c r="AI1228" s="102" t="n"/>
      <c r="AJ1228" s="102" t="n"/>
      <c r="AK1228" s="102" t="n"/>
      <c r="AL1228" s="102" t="n"/>
      <c r="AM1228" s="102" t="n"/>
      <c r="AN1228" s="102" t="n"/>
      <c r="AO1228" s="102" t="n"/>
      <c r="AP1228" s="102" t="n"/>
      <c r="AQ1228" s="102" t="n"/>
      <c r="AR1228" s="102" t="n"/>
    </row>
    <row r="1229">
      <c r="D1229" s="103" t="n"/>
      <c r="E1229" s="103" t="n"/>
      <c r="F1229" s="103" t="n"/>
      <c r="G1229" s="103" t="n"/>
      <c r="H1229" s="103" t="n"/>
      <c r="I1229" s="103" t="n"/>
      <c r="J1229" s="103" t="n"/>
      <c r="K1229" s="103" t="n"/>
      <c r="L1229" s="103" t="n"/>
      <c r="M1229" s="103" t="n"/>
      <c r="N1229" s="103" t="n"/>
      <c r="O1229" s="103" t="n"/>
      <c r="P1229" s="103" t="n"/>
      <c r="Q1229" s="103" t="n"/>
      <c r="R1229" s="103" t="n"/>
      <c r="S1229" s="103" t="n"/>
      <c r="T1229" s="103" t="n"/>
      <c r="U1229" s="103" t="n"/>
      <c r="V1229" s="103" t="n"/>
      <c r="W1229" s="103" t="n"/>
      <c r="X1229" s="103" t="n"/>
      <c r="Y1229" s="103" t="n"/>
      <c r="Z1229" s="103" t="n"/>
      <c r="AA1229" s="103" t="n"/>
      <c r="AB1229" s="103" t="n"/>
      <c r="AC1229" s="103" t="n"/>
      <c r="AD1229" s="103" t="n"/>
      <c r="AE1229" s="103" t="n"/>
      <c r="AF1229" s="103" t="n"/>
      <c r="AG1229" s="103" t="n"/>
      <c r="AH1229" s="103" t="n"/>
      <c r="AI1229" s="103" t="n"/>
      <c r="AJ1229" s="103" t="n"/>
      <c r="AK1229" s="103" t="n"/>
      <c r="AL1229" s="103" t="n"/>
      <c r="AM1229" s="103" t="n"/>
      <c r="AN1229" s="103" t="n"/>
      <c r="AO1229" s="103" t="n"/>
      <c r="AP1229" s="103" t="n"/>
      <c r="AQ1229" s="103" t="n"/>
      <c r="AR1229" s="103" t="n"/>
    </row>
    <row r="1232">
      <c r="A1232" s="2">
        <f>IF($A1225="","","   projections")</f>
        <v/>
      </c>
      <c r="B1232" s="99">
        <f>IF($A1225="",0,COUNT($E1233:$AR1233))</f>
        <v/>
      </c>
      <c r="C1232" s="100">
        <f>IF($B1232=0,0,MAX($E1233:$AR1233))</f>
        <v/>
      </c>
      <c r="D1232" s="101">
        <f>BDS($A1225,FLD_PROJ,"headers=y","startcol=1","endcol=3","dir=h")</f>
        <v/>
      </c>
      <c r="E1232" s="102" t="n"/>
      <c r="F1232" s="102" t="n"/>
      <c r="G1232" s="102" t="n"/>
      <c r="H1232" s="102" t="n"/>
      <c r="I1232" s="102" t="n"/>
      <c r="J1232" s="102" t="n"/>
      <c r="K1232" s="102" t="n"/>
      <c r="L1232" s="102" t="n"/>
      <c r="M1232" s="102" t="n"/>
      <c r="N1232" s="102" t="n"/>
      <c r="O1232" s="102" t="n"/>
      <c r="P1232" s="102" t="n"/>
      <c r="Q1232" s="102" t="n"/>
      <c r="R1232" s="102" t="n"/>
      <c r="S1232" s="102" t="n"/>
      <c r="T1232" s="102" t="n"/>
      <c r="U1232" s="102" t="n"/>
      <c r="V1232" s="102" t="n"/>
      <c r="W1232" s="102" t="n"/>
      <c r="X1232" s="102" t="n"/>
      <c r="Y1232" s="102" t="n"/>
      <c r="Z1232" s="102" t="n"/>
      <c r="AA1232" s="102" t="n"/>
      <c r="AB1232" s="102" t="n"/>
      <c r="AC1232" s="102" t="n"/>
      <c r="AD1232" s="102" t="n"/>
      <c r="AE1232" s="102" t="n"/>
      <c r="AF1232" s="102" t="n"/>
      <c r="AG1232" s="102" t="n"/>
      <c r="AH1232" s="102" t="n"/>
      <c r="AI1232" s="102" t="n"/>
      <c r="AJ1232" s="102" t="n"/>
      <c r="AK1232" s="102" t="n"/>
      <c r="AL1232" s="102" t="n"/>
      <c r="AM1232" s="102" t="n"/>
      <c r="AN1232" s="102" t="n"/>
      <c r="AO1232" s="102" t="n"/>
      <c r="AP1232" s="102" t="n"/>
      <c r="AQ1232" s="102" t="n"/>
      <c r="AR1232" s="102" t="n"/>
    </row>
    <row r="1233">
      <c r="D1233" s="102" t="n"/>
      <c r="E1233" s="102" t="n"/>
      <c r="F1233" s="102" t="n"/>
      <c r="G1233" s="102" t="n"/>
      <c r="H1233" s="102" t="n"/>
      <c r="I1233" s="102" t="n"/>
      <c r="J1233" s="102" t="n"/>
      <c r="K1233" s="102" t="n"/>
      <c r="L1233" s="102" t="n"/>
      <c r="M1233" s="102" t="n"/>
      <c r="N1233" s="102" t="n"/>
      <c r="O1233" s="102" t="n"/>
      <c r="P1233" s="102" t="n"/>
      <c r="Q1233" s="102" t="n"/>
      <c r="R1233" s="102" t="n"/>
      <c r="S1233" s="102" t="n"/>
      <c r="T1233" s="102" t="n"/>
      <c r="U1233" s="102" t="n"/>
      <c r="V1233" s="102" t="n"/>
      <c r="W1233" s="102" t="n"/>
      <c r="X1233" s="102" t="n"/>
      <c r="Y1233" s="102" t="n"/>
      <c r="Z1233" s="102" t="n"/>
      <c r="AA1233" s="102" t="n"/>
      <c r="AB1233" s="102" t="n"/>
      <c r="AC1233" s="102" t="n"/>
      <c r="AD1233" s="102" t="n"/>
      <c r="AE1233" s="102" t="n"/>
      <c r="AF1233" s="102" t="n"/>
      <c r="AG1233" s="102" t="n"/>
      <c r="AH1233" s="102" t="n"/>
      <c r="AI1233" s="102" t="n"/>
      <c r="AJ1233" s="102" t="n"/>
      <c r="AK1233" s="102" t="n"/>
      <c r="AL1233" s="102" t="n"/>
      <c r="AM1233" s="102" t="n"/>
      <c r="AN1233" s="102" t="n"/>
      <c r="AO1233" s="102" t="n"/>
      <c r="AP1233" s="102" t="n"/>
      <c r="AQ1233" s="102" t="n"/>
      <c r="AR1233" s="102" t="n"/>
    </row>
    <row r="1234">
      <c r="D1234" s="103" t="n"/>
      <c r="E1234" s="103" t="n"/>
      <c r="F1234" s="103" t="n"/>
      <c r="G1234" s="103" t="n"/>
      <c r="H1234" s="103" t="n"/>
      <c r="I1234" s="103" t="n"/>
      <c r="J1234" s="103" t="n"/>
      <c r="K1234" s="103" t="n"/>
      <c r="L1234" s="103" t="n"/>
      <c r="M1234" s="103" t="n"/>
      <c r="N1234" s="103" t="n"/>
      <c r="O1234" s="103" t="n"/>
      <c r="P1234" s="103" t="n"/>
      <c r="Q1234" s="103" t="n"/>
      <c r="R1234" s="103" t="n"/>
      <c r="S1234" s="103" t="n"/>
      <c r="T1234" s="103" t="n"/>
      <c r="U1234" s="103" t="n"/>
      <c r="V1234" s="103" t="n"/>
      <c r="W1234" s="103" t="n"/>
      <c r="X1234" s="103" t="n"/>
      <c r="Y1234" s="103" t="n"/>
      <c r="Z1234" s="103" t="n"/>
      <c r="AA1234" s="103" t="n"/>
      <c r="AB1234" s="103" t="n"/>
      <c r="AC1234" s="103" t="n"/>
      <c r="AD1234" s="103" t="n"/>
      <c r="AE1234" s="103" t="n"/>
      <c r="AF1234" s="103" t="n"/>
      <c r="AG1234" s="103" t="n"/>
      <c r="AH1234" s="103" t="n"/>
      <c r="AI1234" s="103" t="n"/>
      <c r="AJ1234" s="103" t="n"/>
      <c r="AK1234" s="103" t="n"/>
      <c r="AL1234" s="103" t="n"/>
      <c r="AM1234" s="103" t="n"/>
      <c r="AN1234" s="103" t="n"/>
      <c r="AO1234" s="103" t="n"/>
      <c r="AP1234" s="103" t="n"/>
      <c r="AQ1234" s="103" t="n"/>
      <c r="AR1234" s="103" t="n"/>
    </row>
    <row r="1236">
      <c r="A1236" s="8">
        <f>IF(HSTECH!$C$18="","",HSTECH!$C$18)</f>
        <v/>
      </c>
      <c r="B1236" s="99">
        <f>IF($A1236="",0,COUNT($E1237:$AR1237))</f>
        <v/>
      </c>
      <c r="C1236" s="100">
        <f>IF($B1236=0,0,MAX($E1237:$AR1237))</f>
        <v/>
      </c>
      <c r="D1236" s="101">
        <f>BDS($A1236,FLD_HIST,"headers=y","startcol=1","endcol=7","dir=h","DVD_START_DT",HIST_FROM,"DVD_END_DT",HIST_TO)</f>
        <v/>
      </c>
      <c r="E1236" s="102" t="n"/>
      <c r="F1236" s="102" t="n"/>
      <c r="G1236" s="102" t="n"/>
      <c r="H1236" s="102" t="n"/>
      <c r="I1236" s="102" t="n"/>
      <c r="J1236" s="102" t="n"/>
      <c r="K1236" s="102" t="n"/>
      <c r="L1236" s="102" t="n"/>
      <c r="M1236" s="102" t="n"/>
      <c r="N1236" s="102" t="n"/>
      <c r="O1236" s="102" t="n"/>
      <c r="P1236" s="102" t="n"/>
      <c r="Q1236" s="102" t="n"/>
      <c r="R1236" s="102" t="n"/>
      <c r="S1236" s="102" t="n"/>
      <c r="T1236" s="102" t="n"/>
      <c r="U1236" s="102" t="n"/>
      <c r="V1236" s="102" t="n"/>
      <c r="W1236" s="102" t="n"/>
      <c r="X1236" s="102" t="n"/>
      <c r="Y1236" s="102" t="n"/>
      <c r="Z1236" s="102" t="n"/>
      <c r="AA1236" s="102" t="n"/>
      <c r="AB1236" s="102" t="n"/>
      <c r="AC1236" s="102" t="n"/>
      <c r="AD1236" s="102" t="n"/>
      <c r="AE1236" s="102" t="n"/>
      <c r="AF1236" s="102" t="n"/>
      <c r="AG1236" s="102" t="n"/>
      <c r="AH1236" s="102" t="n"/>
      <c r="AI1236" s="102" t="n"/>
      <c r="AJ1236" s="102" t="n"/>
      <c r="AK1236" s="102" t="n"/>
      <c r="AL1236" s="102" t="n"/>
      <c r="AM1236" s="102" t="n"/>
      <c r="AN1236" s="102" t="n"/>
      <c r="AO1236" s="102" t="n"/>
      <c r="AP1236" s="102" t="n"/>
      <c r="AQ1236" s="102" t="n"/>
      <c r="AR1236" s="102" t="n"/>
    </row>
    <row r="1237">
      <c r="D1237" s="102" t="n"/>
      <c r="E1237" s="102" t="n"/>
      <c r="F1237" s="102" t="n"/>
      <c r="G1237" s="102" t="n"/>
      <c r="H1237" s="102" t="n"/>
      <c r="I1237" s="102" t="n"/>
      <c r="J1237" s="102" t="n"/>
      <c r="K1237" s="102" t="n"/>
      <c r="L1237" s="102" t="n"/>
      <c r="M1237" s="102" t="n"/>
      <c r="N1237" s="102" t="n"/>
      <c r="O1237" s="102" t="n"/>
      <c r="P1237" s="102" t="n"/>
      <c r="Q1237" s="102" t="n"/>
      <c r="R1237" s="102" t="n"/>
      <c r="S1237" s="102" t="n"/>
      <c r="T1237" s="102" t="n"/>
      <c r="U1237" s="102" t="n"/>
      <c r="V1237" s="102" t="n"/>
      <c r="W1237" s="102" t="n"/>
      <c r="X1237" s="102" t="n"/>
      <c r="Y1237" s="102" t="n"/>
      <c r="Z1237" s="102" t="n"/>
      <c r="AA1237" s="102" t="n"/>
      <c r="AB1237" s="102" t="n"/>
      <c r="AC1237" s="102" t="n"/>
      <c r="AD1237" s="102" t="n"/>
      <c r="AE1237" s="102" t="n"/>
      <c r="AF1237" s="102" t="n"/>
      <c r="AG1237" s="102" t="n"/>
      <c r="AH1237" s="102" t="n"/>
      <c r="AI1237" s="102" t="n"/>
      <c r="AJ1237" s="102" t="n"/>
      <c r="AK1237" s="102" t="n"/>
      <c r="AL1237" s="102" t="n"/>
      <c r="AM1237" s="102" t="n"/>
      <c r="AN1237" s="102" t="n"/>
      <c r="AO1237" s="102" t="n"/>
      <c r="AP1237" s="102" t="n"/>
      <c r="AQ1237" s="102" t="n"/>
      <c r="AR1237" s="102" t="n"/>
    </row>
    <row r="1238">
      <c r="D1238" s="102" t="n"/>
      <c r="E1238" s="102" t="n"/>
      <c r="F1238" s="102" t="n"/>
      <c r="G1238" s="102" t="n"/>
      <c r="H1238" s="102" t="n"/>
      <c r="I1238" s="102" t="n"/>
      <c r="J1238" s="102" t="n"/>
      <c r="K1238" s="102" t="n"/>
      <c r="L1238" s="102" t="n"/>
      <c r="M1238" s="102" t="n"/>
      <c r="N1238" s="102" t="n"/>
      <c r="O1238" s="102" t="n"/>
      <c r="P1238" s="102" t="n"/>
      <c r="Q1238" s="102" t="n"/>
      <c r="R1238" s="102" t="n"/>
      <c r="S1238" s="102" t="n"/>
      <c r="T1238" s="102" t="n"/>
      <c r="U1238" s="102" t="n"/>
      <c r="V1238" s="102" t="n"/>
      <c r="W1238" s="102" t="n"/>
      <c r="X1238" s="102" t="n"/>
      <c r="Y1238" s="102" t="n"/>
      <c r="Z1238" s="102" t="n"/>
      <c r="AA1238" s="102" t="n"/>
      <c r="AB1238" s="102" t="n"/>
      <c r="AC1238" s="102" t="n"/>
      <c r="AD1238" s="102" t="n"/>
      <c r="AE1238" s="102" t="n"/>
      <c r="AF1238" s="102" t="n"/>
      <c r="AG1238" s="102" t="n"/>
      <c r="AH1238" s="102" t="n"/>
      <c r="AI1238" s="102" t="n"/>
      <c r="AJ1238" s="102" t="n"/>
      <c r="AK1238" s="102" t="n"/>
      <c r="AL1238" s="102" t="n"/>
      <c r="AM1238" s="102" t="n"/>
      <c r="AN1238" s="102" t="n"/>
      <c r="AO1238" s="102" t="n"/>
      <c r="AP1238" s="102" t="n"/>
      <c r="AQ1238" s="102" t="n"/>
      <c r="AR1238" s="102" t="n"/>
    </row>
    <row r="1239">
      <c r="D1239" s="102" t="n"/>
      <c r="E1239" s="102" t="n"/>
      <c r="F1239" s="102" t="n"/>
      <c r="G1239" s="102" t="n"/>
      <c r="H1239" s="102" t="n"/>
      <c r="I1239" s="102" t="n"/>
      <c r="J1239" s="102" t="n"/>
      <c r="K1239" s="102" t="n"/>
      <c r="L1239" s="102" t="n"/>
      <c r="M1239" s="102" t="n"/>
      <c r="N1239" s="102" t="n"/>
      <c r="O1239" s="102" t="n"/>
      <c r="P1239" s="102" t="n"/>
      <c r="Q1239" s="102" t="n"/>
      <c r="R1239" s="102" t="n"/>
      <c r="S1239" s="102" t="n"/>
      <c r="T1239" s="102" t="n"/>
      <c r="U1239" s="102" t="n"/>
      <c r="V1239" s="102" t="n"/>
      <c r="W1239" s="102" t="n"/>
      <c r="X1239" s="102" t="n"/>
      <c r="Y1239" s="102" t="n"/>
      <c r="Z1239" s="102" t="n"/>
      <c r="AA1239" s="102" t="n"/>
      <c r="AB1239" s="102" t="n"/>
      <c r="AC1239" s="102" t="n"/>
      <c r="AD1239" s="102" t="n"/>
      <c r="AE1239" s="102" t="n"/>
      <c r="AF1239" s="102" t="n"/>
      <c r="AG1239" s="102" t="n"/>
      <c r="AH1239" s="102" t="n"/>
      <c r="AI1239" s="102" t="n"/>
      <c r="AJ1239" s="102" t="n"/>
      <c r="AK1239" s="102" t="n"/>
      <c r="AL1239" s="102" t="n"/>
      <c r="AM1239" s="102" t="n"/>
      <c r="AN1239" s="102" t="n"/>
      <c r="AO1239" s="102" t="n"/>
      <c r="AP1239" s="102" t="n"/>
      <c r="AQ1239" s="102" t="n"/>
      <c r="AR1239" s="102" t="n"/>
    </row>
    <row r="1240">
      <c r="D1240" s="103" t="n"/>
      <c r="E1240" s="103" t="n"/>
      <c r="F1240" s="103" t="n"/>
      <c r="G1240" s="103" t="n"/>
      <c r="H1240" s="103" t="n"/>
      <c r="I1240" s="103" t="n"/>
      <c r="J1240" s="103" t="n"/>
      <c r="K1240" s="103" t="n"/>
      <c r="L1240" s="103" t="n"/>
      <c r="M1240" s="103" t="n"/>
      <c r="N1240" s="103" t="n"/>
      <c r="O1240" s="103" t="n"/>
      <c r="P1240" s="103" t="n"/>
      <c r="Q1240" s="103" t="n"/>
      <c r="R1240" s="103" t="n"/>
      <c r="S1240" s="103" t="n"/>
      <c r="T1240" s="103" t="n"/>
      <c r="U1240" s="103" t="n"/>
      <c r="V1240" s="103" t="n"/>
      <c r="W1240" s="103" t="n"/>
      <c r="X1240" s="103" t="n"/>
      <c r="Y1240" s="103" t="n"/>
      <c r="Z1240" s="103" t="n"/>
      <c r="AA1240" s="103" t="n"/>
      <c r="AB1240" s="103" t="n"/>
      <c r="AC1240" s="103" t="n"/>
      <c r="AD1240" s="103" t="n"/>
      <c r="AE1240" s="103" t="n"/>
      <c r="AF1240" s="103" t="n"/>
      <c r="AG1240" s="103" t="n"/>
      <c r="AH1240" s="103" t="n"/>
      <c r="AI1240" s="103" t="n"/>
      <c r="AJ1240" s="103" t="n"/>
      <c r="AK1240" s="103" t="n"/>
      <c r="AL1240" s="103" t="n"/>
      <c r="AM1240" s="103" t="n"/>
      <c r="AN1240" s="103" t="n"/>
      <c r="AO1240" s="103" t="n"/>
      <c r="AP1240" s="103" t="n"/>
      <c r="AQ1240" s="103" t="n"/>
      <c r="AR1240" s="103" t="n"/>
    </row>
    <row r="1243">
      <c r="A1243" s="2">
        <f>IF($A1236="","","   projections")</f>
        <v/>
      </c>
      <c r="B1243" s="99">
        <f>IF($A1236="",0,COUNT($E1244:$AR1244))</f>
        <v/>
      </c>
      <c r="C1243" s="100">
        <f>IF($B1243=0,0,MAX($E1244:$AR1244))</f>
        <v/>
      </c>
      <c r="D1243" s="101">
        <f>BDS($A1236,FLD_PROJ,"headers=y","startcol=1","endcol=3","dir=h")</f>
        <v/>
      </c>
      <c r="E1243" s="102" t="n"/>
      <c r="F1243" s="102" t="n"/>
      <c r="G1243" s="102" t="n"/>
      <c r="H1243" s="102" t="n"/>
      <c r="I1243" s="102" t="n"/>
      <c r="J1243" s="102" t="n"/>
      <c r="K1243" s="102" t="n"/>
      <c r="L1243" s="102" t="n"/>
      <c r="M1243" s="102" t="n"/>
      <c r="N1243" s="102" t="n"/>
      <c r="O1243" s="102" t="n"/>
      <c r="P1243" s="102" t="n"/>
      <c r="Q1243" s="102" t="n"/>
      <c r="R1243" s="102" t="n"/>
      <c r="S1243" s="102" t="n"/>
      <c r="T1243" s="102" t="n"/>
      <c r="U1243" s="102" t="n"/>
      <c r="V1243" s="102" t="n"/>
      <c r="W1243" s="102" t="n"/>
      <c r="X1243" s="102" t="n"/>
      <c r="Y1243" s="102" t="n"/>
      <c r="Z1243" s="102" t="n"/>
      <c r="AA1243" s="102" t="n"/>
      <c r="AB1243" s="102" t="n"/>
      <c r="AC1243" s="102" t="n"/>
      <c r="AD1243" s="102" t="n"/>
      <c r="AE1243" s="102" t="n"/>
      <c r="AF1243" s="102" t="n"/>
      <c r="AG1243" s="102" t="n"/>
      <c r="AH1243" s="102" t="n"/>
      <c r="AI1243" s="102" t="n"/>
      <c r="AJ1243" s="102" t="n"/>
      <c r="AK1243" s="102" t="n"/>
      <c r="AL1243" s="102" t="n"/>
      <c r="AM1243" s="102" t="n"/>
      <c r="AN1243" s="102" t="n"/>
      <c r="AO1243" s="102" t="n"/>
      <c r="AP1243" s="102" t="n"/>
      <c r="AQ1243" s="102" t="n"/>
      <c r="AR1243" s="102" t="n"/>
    </row>
    <row r="1244">
      <c r="D1244" s="102" t="n"/>
      <c r="E1244" s="102" t="n"/>
      <c r="F1244" s="102" t="n"/>
      <c r="G1244" s="102" t="n"/>
      <c r="H1244" s="102" t="n"/>
      <c r="I1244" s="102" t="n"/>
      <c r="J1244" s="102" t="n"/>
      <c r="K1244" s="102" t="n"/>
      <c r="L1244" s="102" t="n"/>
      <c r="M1244" s="102" t="n"/>
      <c r="N1244" s="102" t="n"/>
      <c r="O1244" s="102" t="n"/>
      <c r="P1244" s="102" t="n"/>
      <c r="Q1244" s="102" t="n"/>
      <c r="R1244" s="102" t="n"/>
      <c r="S1244" s="102" t="n"/>
      <c r="T1244" s="102" t="n"/>
      <c r="U1244" s="102" t="n"/>
      <c r="V1244" s="102" t="n"/>
      <c r="W1244" s="102" t="n"/>
      <c r="X1244" s="102" t="n"/>
      <c r="Y1244" s="102" t="n"/>
      <c r="Z1244" s="102" t="n"/>
      <c r="AA1244" s="102" t="n"/>
      <c r="AB1244" s="102" t="n"/>
      <c r="AC1244" s="102" t="n"/>
      <c r="AD1244" s="102" t="n"/>
      <c r="AE1244" s="102" t="n"/>
      <c r="AF1244" s="102" t="n"/>
      <c r="AG1244" s="102" t="n"/>
      <c r="AH1244" s="102" t="n"/>
      <c r="AI1244" s="102" t="n"/>
      <c r="AJ1244" s="102" t="n"/>
      <c r="AK1244" s="102" t="n"/>
      <c r="AL1244" s="102" t="n"/>
      <c r="AM1244" s="102" t="n"/>
      <c r="AN1244" s="102" t="n"/>
      <c r="AO1244" s="102" t="n"/>
      <c r="AP1244" s="102" t="n"/>
      <c r="AQ1244" s="102" t="n"/>
      <c r="AR1244" s="102" t="n"/>
    </row>
    <row r="1245">
      <c r="D1245" s="103" t="n"/>
      <c r="E1245" s="103" t="n"/>
      <c r="F1245" s="103" t="n"/>
      <c r="G1245" s="103" t="n"/>
      <c r="H1245" s="103" t="n"/>
      <c r="I1245" s="103" t="n"/>
      <c r="J1245" s="103" t="n"/>
      <c r="K1245" s="103" t="n"/>
      <c r="L1245" s="103" t="n"/>
      <c r="M1245" s="103" t="n"/>
      <c r="N1245" s="103" t="n"/>
      <c r="O1245" s="103" t="n"/>
      <c r="P1245" s="103" t="n"/>
      <c r="Q1245" s="103" t="n"/>
      <c r="R1245" s="103" t="n"/>
      <c r="S1245" s="103" t="n"/>
      <c r="T1245" s="103" t="n"/>
      <c r="U1245" s="103" t="n"/>
      <c r="V1245" s="103" t="n"/>
      <c r="W1245" s="103" t="n"/>
      <c r="X1245" s="103" t="n"/>
      <c r="Y1245" s="103" t="n"/>
      <c r="Z1245" s="103" t="n"/>
      <c r="AA1245" s="103" t="n"/>
      <c r="AB1245" s="103" t="n"/>
      <c r="AC1245" s="103" t="n"/>
      <c r="AD1245" s="103" t="n"/>
      <c r="AE1245" s="103" t="n"/>
      <c r="AF1245" s="103" t="n"/>
      <c r="AG1245" s="103" t="n"/>
      <c r="AH1245" s="103" t="n"/>
      <c r="AI1245" s="103" t="n"/>
      <c r="AJ1245" s="103" t="n"/>
      <c r="AK1245" s="103" t="n"/>
      <c r="AL1245" s="103" t="n"/>
      <c r="AM1245" s="103" t="n"/>
      <c r="AN1245" s="103" t="n"/>
      <c r="AO1245" s="103" t="n"/>
      <c r="AP1245" s="103" t="n"/>
      <c r="AQ1245" s="103" t="n"/>
      <c r="AR1245" s="103" t="n"/>
    </row>
    <row r="1247">
      <c r="A1247" s="8">
        <f>IF(HSTECH!$C$19="","",HSTECH!$C$19)</f>
        <v/>
      </c>
      <c r="B1247" s="99">
        <f>IF($A1247="",0,COUNT($E1248:$AR1248))</f>
        <v/>
      </c>
      <c r="C1247" s="100">
        <f>IF($B1247=0,0,MAX($E1248:$AR1248))</f>
        <v/>
      </c>
      <c r="D1247" s="101">
        <f>BDS($A1247,FLD_HIST,"headers=y","startcol=1","endcol=7","dir=h","DVD_START_DT",HIST_FROM,"DVD_END_DT",HIST_TO)</f>
        <v/>
      </c>
      <c r="E1247" s="102" t="n"/>
      <c r="F1247" s="102" t="n"/>
      <c r="G1247" s="102" t="n"/>
      <c r="H1247" s="102" t="n"/>
      <c r="I1247" s="102" t="n"/>
      <c r="J1247" s="102" t="n"/>
      <c r="K1247" s="102" t="n"/>
      <c r="L1247" s="102" t="n"/>
      <c r="M1247" s="102" t="n"/>
      <c r="N1247" s="102" t="n"/>
      <c r="O1247" s="102" t="n"/>
      <c r="P1247" s="102" t="n"/>
      <c r="Q1247" s="102" t="n"/>
      <c r="R1247" s="102" t="n"/>
      <c r="S1247" s="102" t="n"/>
      <c r="T1247" s="102" t="n"/>
      <c r="U1247" s="102" t="n"/>
      <c r="V1247" s="102" t="n"/>
      <c r="W1247" s="102" t="n"/>
      <c r="X1247" s="102" t="n"/>
      <c r="Y1247" s="102" t="n"/>
      <c r="Z1247" s="102" t="n"/>
      <c r="AA1247" s="102" t="n"/>
      <c r="AB1247" s="102" t="n"/>
      <c r="AC1247" s="102" t="n"/>
      <c r="AD1247" s="102" t="n"/>
      <c r="AE1247" s="102" t="n"/>
      <c r="AF1247" s="102" t="n"/>
      <c r="AG1247" s="102" t="n"/>
      <c r="AH1247" s="102" t="n"/>
      <c r="AI1247" s="102" t="n"/>
      <c r="AJ1247" s="102" t="n"/>
      <c r="AK1247" s="102" t="n"/>
      <c r="AL1247" s="102" t="n"/>
      <c r="AM1247" s="102" t="n"/>
      <c r="AN1247" s="102" t="n"/>
      <c r="AO1247" s="102" t="n"/>
      <c r="AP1247" s="102" t="n"/>
      <c r="AQ1247" s="102" t="n"/>
      <c r="AR1247" s="102" t="n"/>
    </row>
    <row r="1248">
      <c r="D1248" s="102" t="n"/>
      <c r="E1248" s="102" t="n"/>
      <c r="F1248" s="102" t="n"/>
      <c r="G1248" s="102" t="n"/>
      <c r="H1248" s="102" t="n"/>
      <c r="I1248" s="102" t="n"/>
      <c r="J1248" s="102" t="n"/>
      <c r="K1248" s="102" t="n"/>
      <c r="L1248" s="102" t="n"/>
      <c r="M1248" s="102" t="n"/>
      <c r="N1248" s="102" t="n"/>
      <c r="O1248" s="102" t="n"/>
      <c r="P1248" s="102" t="n"/>
      <c r="Q1248" s="102" t="n"/>
      <c r="R1248" s="102" t="n"/>
      <c r="S1248" s="102" t="n"/>
      <c r="T1248" s="102" t="n"/>
      <c r="U1248" s="102" t="n"/>
      <c r="V1248" s="102" t="n"/>
      <c r="W1248" s="102" t="n"/>
      <c r="X1248" s="102" t="n"/>
      <c r="Y1248" s="102" t="n"/>
      <c r="Z1248" s="102" t="n"/>
      <c r="AA1248" s="102" t="n"/>
      <c r="AB1248" s="102" t="n"/>
      <c r="AC1248" s="102" t="n"/>
      <c r="AD1248" s="102" t="n"/>
      <c r="AE1248" s="102" t="n"/>
      <c r="AF1248" s="102" t="n"/>
      <c r="AG1248" s="102" t="n"/>
      <c r="AH1248" s="102" t="n"/>
      <c r="AI1248" s="102" t="n"/>
      <c r="AJ1248" s="102" t="n"/>
      <c r="AK1248" s="102" t="n"/>
      <c r="AL1248" s="102" t="n"/>
      <c r="AM1248" s="102" t="n"/>
      <c r="AN1248" s="102" t="n"/>
      <c r="AO1248" s="102" t="n"/>
      <c r="AP1248" s="102" t="n"/>
      <c r="AQ1248" s="102" t="n"/>
      <c r="AR1248" s="102" t="n"/>
    </row>
    <row r="1249">
      <c r="D1249" s="102" t="n"/>
      <c r="E1249" s="102" t="n"/>
      <c r="F1249" s="102" t="n"/>
      <c r="G1249" s="102" t="n"/>
      <c r="H1249" s="102" t="n"/>
      <c r="I1249" s="102" t="n"/>
      <c r="J1249" s="102" t="n"/>
      <c r="K1249" s="102" t="n"/>
      <c r="L1249" s="102" t="n"/>
      <c r="M1249" s="102" t="n"/>
      <c r="N1249" s="102" t="n"/>
      <c r="O1249" s="102" t="n"/>
      <c r="P1249" s="102" t="n"/>
      <c r="Q1249" s="102" t="n"/>
      <c r="R1249" s="102" t="n"/>
      <c r="S1249" s="102" t="n"/>
      <c r="T1249" s="102" t="n"/>
      <c r="U1249" s="102" t="n"/>
      <c r="V1249" s="102" t="n"/>
      <c r="W1249" s="102" t="n"/>
      <c r="X1249" s="102" t="n"/>
      <c r="Y1249" s="102" t="n"/>
      <c r="Z1249" s="102" t="n"/>
      <c r="AA1249" s="102" t="n"/>
      <c r="AB1249" s="102" t="n"/>
      <c r="AC1249" s="102" t="n"/>
      <c r="AD1249" s="102" t="n"/>
      <c r="AE1249" s="102" t="n"/>
      <c r="AF1249" s="102" t="n"/>
      <c r="AG1249" s="102" t="n"/>
      <c r="AH1249" s="102" t="n"/>
      <c r="AI1249" s="102" t="n"/>
      <c r="AJ1249" s="102" t="n"/>
      <c r="AK1249" s="102" t="n"/>
      <c r="AL1249" s="102" t="n"/>
      <c r="AM1249" s="102" t="n"/>
      <c r="AN1249" s="102" t="n"/>
      <c r="AO1249" s="102" t="n"/>
      <c r="AP1249" s="102" t="n"/>
      <c r="AQ1249" s="102" t="n"/>
      <c r="AR1249" s="102" t="n"/>
    </row>
    <row r="1250">
      <c r="D1250" s="102" t="n"/>
      <c r="E1250" s="102" t="n"/>
      <c r="F1250" s="102" t="n"/>
      <c r="G1250" s="102" t="n"/>
      <c r="H1250" s="102" t="n"/>
      <c r="I1250" s="102" t="n"/>
      <c r="J1250" s="102" t="n"/>
      <c r="K1250" s="102" t="n"/>
      <c r="L1250" s="102" t="n"/>
      <c r="M1250" s="102" t="n"/>
      <c r="N1250" s="102" t="n"/>
      <c r="O1250" s="102" t="n"/>
      <c r="P1250" s="102" t="n"/>
      <c r="Q1250" s="102" t="n"/>
      <c r="R1250" s="102" t="n"/>
      <c r="S1250" s="102" t="n"/>
      <c r="T1250" s="102" t="n"/>
      <c r="U1250" s="102" t="n"/>
      <c r="V1250" s="102" t="n"/>
      <c r="W1250" s="102" t="n"/>
      <c r="X1250" s="102" t="n"/>
      <c r="Y1250" s="102" t="n"/>
      <c r="Z1250" s="102" t="n"/>
      <c r="AA1250" s="102" t="n"/>
      <c r="AB1250" s="102" t="n"/>
      <c r="AC1250" s="102" t="n"/>
      <c r="AD1250" s="102" t="n"/>
      <c r="AE1250" s="102" t="n"/>
      <c r="AF1250" s="102" t="n"/>
      <c r="AG1250" s="102" t="n"/>
      <c r="AH1250" s="102" t="n"/>
      <c r="AI1250" s="102" t="n"/>
      <c r="AJ1250" s="102" t="n"/>
      <c r="AK1250" s="102" t="n"/>
      <c r="AL1250" s="102" t="n"/>
      <c r="AM1250" s="102" t="n"/>
      <c r="AN1250" s="102" t="n"/>
      <c r="AO1250" s="102" t="n"/>
      <c r="AP1250" s="102" t="n"/>
      <c r="AQ1250" s="102" t="n"/>
      <c r="AR1250" s="102" t="n"/>
    </row>
    <row r="1251">
      <c r="D1251" s="103" t="n"/>
      <c r="E1251" s="103" t="n"/>
      <c r="F1251" s="103" t="n"/>
      <c r="G1251" s="103" t="n"/>
      <c r="H1251" s="103" t="n"/>
      <c r="I1251" s="103" t="n"/>
      <c r="J1251" s="103" t="n"/>
      <c r="K1251" s="103" t="n"/>
      <c r="L1251" s="103" t="n"/>
      <c r="M1251" s="103" t="n"/>
      <c r="N1251" s="103" t="n"/>
      <c r="O1251" s="103" t="n"/>
      <c r="P1251" s="103" t="n"/>
      <c r="Q1251" s="103" t="n"/>
      <c r="R1251" s="103" t="n"/>
      <c r="S1251" s="103" t="n"/>
      <c r="T1251" s="103" t="n"/>
      <c r="U1251" s="103" t="n"/>
      <c r="V1251" s="103" t="n"/>
      <c r="W1251" s="103" t="n"/>
      <c r="X1251" s="103" t="n"/>
      <c r="Y1251" s="103" t="n"/>
      <c r="Z1251" s="103" t="n"/>
      <c r="AA1251" s="103" t="n"/>
      <c r="AB1251" s="103" t="n"/>
      <c r="AC1251" s="103" t="n"/>
      <c r="AD1251" s="103" t="n"/>
      <c r="AE1251" s="103" t="n"/>
      <c r="AF1251" s="103" t="n"/>
      <c r="AG1251" s="103" t="n"/>
      <c r="AH1251" s="103" t="n"/>
      <c r="AI1251" s="103" t="n"/>
      <c r="AJ1251" s="103" t="n"/>
      <c r="AK1251" s="103" t="n"/>
      <c r="AL1251" s="103" t="n"/>
      <c r="AM1251" s="103" t="n"/>
      <c r="AN1251" s="103" t="n"/>
      <c r="AO1251" s="103" t="n"/>
      <c r="AP1251" s="103" t="n"/>
      <c r="AQ1251" s="103" t="n"/>
      <c r="AR1251" s="103" t="n"/>
    </row>
    <row r="1254">
      <c r="A1254" s="2">
        <f>IF($A1247="","","   projections")</f>
        <v/>
      </c>
      <c r="B1254" s="99">
        <f>IF($A1247="",0,COUNT($E1255:$AR1255))</f>
        <v/>
      </c>
      <c r="C1254" s="100">
        <f>IF($B1254=0,0,MAX($E1255:$AR1255))</f>
        <v/>
      </c>
      <c r="D1254" s="101">
        <f>BDS($A1247,FLD_PROJ,"headers=y","startcol=1","endcol=3","dir=h")</f>
        <v/>
      </c>
      <c r="E1254" s="102" t="n"/>
      <c r="F1254" s="102" t="n"/>
      <c r="G1254" s="102" t="n"/>
      <c r="H1254" s="102" t="n"/>
      <c r="I1254" s="102" t="n"/>
      <c r="J1254" s="102" t="n"/>
      <c r="K1254" s="102" t="n"/>
      <c r="L1254" s="102" t="n"/>
      <c r="M1254" s="102" t="n"/>
      <c r="N1254" s="102" t="n"/>
      <c r="O1254" s="102" t="n"/>
      <c r="P1254" s="102" t="n"/>
      <c r="Q1254" s="102" t="n"/>
      <c r="R1254" s="102" t="n"/>
      <c r="S1254" s="102" t="n"/>
      <c r="T1254" s="102" t="n"/>
      <c r="U1254" s="102" t="n"/>
      <c r="V1254" s="102" t="n"/>
      <c r="W1254" s="102" t="n"/>
      <c r="X1254" s="102" t="n"/>
      <c r="Y1254" s="102" t="n"/>
      <c r="Z1254" s="102" t="n"/>
      <c r="AA1254" s="102" t="n"/>
      <c r="AB1254" s="102" t="n"/>
      <c r="AC1254" s="102" t="n"/>
      <c r="AD1254" s="102" t="n"/>
      <c r="AE1254" s="102" t="n"/>
      <c r="AF1254" s="102" t="n"/>
      <c r="AG1254" s="102" t="n"/>
      <c r="AH1254" s="102" t="n"/>
      <c r="AI1254" s="102" t="n"/>
      <c r="AJ1254" s="102" t="n"/>
      <c r="AK1254" s="102" t="n"/>
      <c r="AL1254" s="102" t="n"/>
      <c r="AM1254" s="102" t="n"/>
      <c r="AN1254" s="102" t="n"/>
      <c r="AO1254" s="102" t="n"/>
      <c r="AP1254" s="102" t="n"/>
      <c r="AQ1254" s="102" t="n"/>
      <c r="AR1254" s="102" t="n"/>
    </row>
    <row r="1255">
      <c r="D1255" s="102" t="n"/>
      <c r="E1255" s="102" t="n"/>
      <c r="F1255" s="102" t="n"/>
      <c r="G1255" s="102" t="n"/>
      <c r="H1255" s="102" t="n"/>
      <c r="I1255" s="102" t="n"/>
      <c r="J1255" s="102" t="n"/>
      <c r="K1255" s="102" t="n"/>
      <c r="L1255" s="102" t="n"/>
      <c r="M1255" s="102" t="n"/>
      <c r="N1255" s="102" t="n"/>
      <c r="O1255" s="102" t="n"/>
      <c r="P1255" s="102" t="n"/>
      <c r="Q1255" s="102" t="n"/>
      <c r="R1255" s="102" t="n"/>
      <c r="S1255" s="102" t="n"/>
      <c r="T1255" s="102" t="n"/>
      <c r="U1255" s="102" t="n"/>
      <c r="V1255" s="102" t="n"/>
      <c r="W1255" s="102" t="n"/>
      <c r="X1255" s="102" t="n"/>
      <c r="Y1255" s="102" t="n"/>
      <c r="Z1255" s="102" t="n"/>
      <c r="AA1255" s="102" t="n"/>
      <c r="AB1255" s="102" t="n"/>
      <c r="AC1255" s="102" t="n"/>
      <c r="AD1255" s="102" t="n"/>
      <c r="AE1255" s="102" t="n"/>
      <c r="AF1255" s="102" t="n"/>
      <c r="AG1255" s="102" t="n"/>
      <c r="AH1255" s="102" t="n"/>
      <c r="AI1255" s="102" t="n"/>
      <c r="AJ1255" s="102" t="n"/>
      <c r="AK1255" s="102" t="n"/>
      <c r="AL1255" s="102" t="n"/>
      <c r="AM1255" s="102" t="n"/>
      <c r="AN1255" s="102" t="n"/>
      <c r="AO1255" s="102" t="n"/>
      <c r="AP1255" s="102" t="n"/>
      <c r="AQ1255" s="102" t="n"/>
      <c r="AR1255" s="102" t="n"/>
    </row>
    <row r="1256">
      <c r="D1256" s="103" t="n"/>
      <c r="E1256" s="103" t="n"/>
      <c r="F1256" s="103" t="n"/>
      <c r="G1256" s="103" t="n"/>
      <c r="H1256" s="103" t="n"/>
      <c r="I1256" s="103" t="n"/>
      <c r="J1256" s="103" t="n"/>
      <c r="K1256" s="103" t="n"/>
      <c r="L1256" s="103" t="n"/>
      <c r="M1256" s="103" t="n"/>
      <c r="N1256" s="103" t="n"/>
      <c r="O1256" s="103" t="n"/>
      <c r="P1256" s="103" t="n"/>
      <c r="Q1256" s="103" t="n"/>
      <c r="R1256" s="103" t="n"/>
      <c r="S1256" s="103" t="n"/>
      <c r="T1256" s="103" t="n"/>
      <c r="U1256" s="103" t="n"/>
      <c r="V1256" s="103" t="n"/>
      <c r="W1256" s="103" t="n"/>
      <c r="X1256" s="103" t="n"/>
      <c r="Y1256" s="103" t="n"/>
      <c r="Z1256" s="103" t="n"/>
      <c r="AA1256" s="103" t="n"/>
      <c r="AB1256" s="103" t="n"/>
      <c r="AC1256" s="103" t="n"/>
      <c r="AD1256" s="103" t="n"/>
      <c r="AE1256" s="103" t="n"/>
      <c r="AF1256" s="103" t="n"/>
      <c r="AG1256" s="103" t="n"/>
      <c r="AH1256" s="103" t="n"/>
      <c r="AI1256" s="103" t="n"/>
      <c r="AJ1256" s="103" t="n"/>
      <c r="AK1256" s="103" t="n"/>
      <c r="AL1256" s="103" t="n"/>
      <c r="AM1256" s="103" t="n"/>
      <c r="AN1256" s="103" t="n"/>
      <c r="AO1256" s="103" t="n"/>
      <c r="AP1256" s="103" t="n"/>
      <c r="AQ1256" s="103" t="n"/>
      <c r="AR1256" s="103" t="n"/>
    </row>
    <row r="1258">
      <c r="A1258" s="8">
        <f>IF(HSTECH!$C$20="","",HSTECH!$C$20)</f>
        <v/>
      </c>
      <c r="B1258" s="99">
        <f>IF($A1258="",0,COUNT($E1259:$AR1259))</f>
        <v/>
      </c>
      <c r="C1258" s="100">
        <f>IF($B1258=0,0,MAX($E1259:$AR1259))</f>
        <v/>
      </c>
      <c r="D1258" s="101">
        <f>BDS($A1258,FLD_HIST,"headers=y","startcol=1","endcol=7","dir=h","DVD_START_DT",HIST_FROM,"DVD_END_DT",HIST_TO)</f>
        <v/>
      </c>
      <c r="E1258" s="102" t="n"/>
      <c r="F1258" s="102" t="n"/>
      <c r="G1258" s="102" t="n"/>
      <c r="H1258" s="102" t="n"/>
      <c r="I1258" s="102" t="n"/>
      <c r="J1258" s="102" t="n"/>
      <c r="K1258" s="102" t="n"/>
      <c r="L1258" s="102" t="n"/>
      <c r="M1258" s="102" t="n"/>
      <c r="N1258" s="102" t="n"/>
      <c r="O1258" s="102" t="n"/>
      <c r="P1258" s="102" t="n"/>
      <c r="Q1258" s="102" t="n"/>
      <c r="R1258" s="102" t="n"/>
      <c r="S1258" s="102" t="n"/>
      <c r="T1258" s="102" t="n"/>
      <c r="U1258" s="102" t="n"/>
      <c r="V1258" s="102" t="n"/>
      <c r="W1258" s="102" t="n"/>
      <c r="X1258" s="102" t="n"/>
      <c r="Y1258" s="102" t="n"/>
      <c r="Z1258" s="102" t="n"/>
      <c r="AA1258" s="102" t="n"/>
      <c r="AB1258" s="102" t="n"/>
      <c r="AC1258" s="102" t="n"/>
      <c r="AD1258" s="102" t="n"/>
      <c r="AE1258" s="102" t="n"/>
      <c r="AF1258" s="102" t="n"/>
      <c r="AG1258" s="102" t="n"/>
      <c r="AH1258" s="102" t="n"/>
      <c r="AI1258" s="102" t="n"/>
      <c r="AJ1258" s="102" t="n"/>
      <c r="AK1258" s="102" t="n"/>
      <c r="AL1258" s="102" t="n"/>
      <c r="AM1258" s="102" t="n"/>
      <c r="AN1258" s="102" t="n"/>
      <c r="AO1258" s="102" t="n"/>
      <c r="AP1258" s="102" t="n"/>
      <c r="AQ1258" s="102" t="n"/>
      <c r="AR1258" s="102" t="n"/>
    </row>
    <row r="1259">
      <c r="D1259" s="102" t="n"/>
      <c r="E1259" s="102" t="n"/>
      <c r="F1259" s="102" t="n"/>
      <c r="G1259" s="102" t="n"/>
      <c r="H1259" s="102" t="n"/>
      <c r="I1259" s="102" t="n"/>
      <c r="J1259" s="102" t="n"/>
      <c r="K1259" s="102" t="n"/>
      <c r="L1259" s="102" t="n"/>
      <c r="M1259" s="102" t="n"/>
      <c r="N1259" s="102" t="n"/>
      <c r="O1259" s="102" t="n"/>
      <c r="P1259" s="102" t="n"/>
      <c r="Q1259" s="102" t="n"/>
      <c r="R1259" s="102" t="n"/>
      <c r="S1259" s="102" t="n"/>
      <c r="T1259" s="102" t="n"/>
      <c r="U1259" s="102" t="n"/>
      <c r="V1259" s="102" t="n"/>
      <c r="W1259" s="102" t="n"/>
      <c r="X1259" s="102" t="n"/>
      <c r="Y1259" s="102" t="n"/>
      <c r="Z1259" s="102" t="n"/>
      <c r="AA1259" s="102" t="n"/>
      <c r="AB1259" s="102" t="n"/>
      <c r="AC1259" s="102" t="n"/>
      <c r="AD1259" s="102" t="n"/>
      <c r="AE1259" s="102" t="n"/>
      <c r="AF1259" s="102" t="n"/>
      <c r="AG1259" s="102" t="n"/>
      <c r="AH1259" s="102" t="n"/>
      <c r="AI1259" s="102" t="n"/>
      <c r="AJ1259" s="102" t="n"/>
      <c r="AK1259" s="102" t="n"/>
      <c r="AL1259" s="102" t="n"/>
      <c r="AM1259" s="102" t="n"/>
      <c r="AN1259" s="102" t="n"/>
      <c r="AO1259" s="102" t="n"/>
      <c r="AP1259" s="102" t="n"/>
      <c r="AQ1259" s="102" t="n"/>
      <c r="AR1259" s="102" t="n"/>
    </row>
    <row r="1260">
      <c r="D1260" s="102" t="n"/>
      <c r="E1260" s="102" t="n"/>
      <c r="F1260" s="102" t="n"/>
      <c r="G1260" s="102" t="n"/>
      <c r="H1260" s="102" t="n"/>
      <c r="I1260" s="102" t="n"/>
      <c r="J1260" s="102" t="n"/>
      <c r="K1260" s="102" t="n"/>
      <c r="L1260" s="102" t="n"/>
      <c r="M1260" s="102" t="n"/>
      <c r="N1260" s="102" t="n"/>
      <c r="O1260" s="102" t="n"/>
      <c r="P1260" s="102" t="n"/>
      <c r="Q1260" s="102" t="n"/>
      <c r="R1260" s="102" t="n"/>
      <c r="S1260" s="102" t="n"/>
      <c r="T1260" s="102" t="n"/>
      <c r="U1260" s="102" t="n"/>
      <c r="V1260" s="102" t="n"/>
      <c r="W1260" s="102" t="n"/>
      <c r="X1260" s="102" t="n"/>
      <c r="Y1260" s="102" t="n"/>
      <c r="Z1260" s="102" t="n"/>
      <c r="AA1260" s="102" t="n"/>
      <c r="AB1260" s="102" t="n"/>
      <c r="AC1260" s="102" t="n"/>
      <c r="AD1260" s="102" t="n"/>
      <c r="AE1260" s="102" t="n"/>
      <c r="AF1260" s="102" t="n"/>
      <c r="AG1260" s="102" t="n"/>
      <c r="AH1260" s="102" t="n"/>
      <c r="AI1260" s="102" t="n"/>
      <c r="AJ1260" s="102" t="n"/>
      <c r="AK1260" s="102" t="n"/>
      <c r="AL1260" s="102" t="n"/>
      <c r="AM1260" s="102" t="n"/>
      <c r="AN1260" s="102" t="n"/>
      <c r="AO1260" s="102" t="n"/>
      <c r="AP1260" s="102" t="n"/>
      <c r="AQ1260" s="102" t="n"/>
      <c r="AR1260" s="102" t="n"/>
    </row>
    <row r="1261">
      <c r="D1261" s="102" t="n"/>
      <c r="E1261" s="102" t="n"/>
      <c r="F1261" s="102" t="n"/>
      <c r="G1261" s="102" t="n"/>
      <c r="H1261" s="102" t="n"/>
      <c r="I1261" s="102" t="n"/>
      <c r="J1261" s="102" t="n"/>
      <c r="K1261" s="102" t="n"/>
      <c r="L1261" s="102" t="n"/>
      <c r="M1261" s="102" t="n"/>
      <c r="N1261" s="102" t="n"/>
      <c r="O1261" s="102" t="n"/>
      <c r="P1261" s="102" t="n"/>
      <c r="Q1261" s="102" t="n"/>
      <c r="R1261" s="102" t="n"/>
      <c r="S1261" s="102" t="n"/>
      <c r="T1261" s="102" t="n"/>
      <c r="U1261" s="102" t="n"/>
      <c r="V1261" s="102" t="n"/>
      <c r="W1261" s="102" t="n"/>
      <c r="X1261" s="102" t="n"/>
      <c r="Y1261" s="102" t="n"/>
      <c r="Z1261" s="102" t="n"/>
      <c r="AA1261" s="102" t="n"/>
      <c r="AB1261" s="102" t="n"/>
      <c r="AC1261" s="102" t="n"/>
      <c r="AD1261" s="102" t="n"/>
      <c r="AE1261" s="102" t="n"/>
      <c r="AF1261" s="102" t="n"/>
      <c r="AG1261" s="102" t="n"/>
      <c r="AH1261" s="102" t="n"/>
      <c r="AI1261" s="102" t="n"/>
      <c r="AJ1261" s="102" t="n"/>
      <c r="AK1261" s="102" t="n"/>
      <c r="AL1261" s="102" t="n"/>
      <c r="AM1261" s="102" t="n"/>
      <c r="AN1261" s="102" t="n"/>
      <c r="AO1261" s="102" t="n"/>
      <c r="AP1261" s="102" t="n"/>
      <c r="AQ1261" s="102" t="n"/>
      <c r="AR1261" s="102" t="n"/>
    </row>
    <row r="1262">
      <c r="D1262" s="103" t="n"/>
      <c r="E1262" s="103" t="n"/>
      <c r="F1262" s="103" t="n"/>
      <c r="G1262" s="103" t="n"/>
      <c r="H1262" s="103" t="n"/>
      <c r="I1262" s="103" t="n"/>
      <c r="J1262" s="103" t="n"/>
      <c r="K1262" s="103" t="n"/>
      <c r="L1262" s="103" t="n"/>
      <c r="M1262" s="103" t="n"/>
      <c r="N1262" s="103" t="n"/>
      <c r="O1262" s="103" t="n"/>
      <c r="P1262" s="103" t="n"/>
      <c r="Q1262" s="103" t="n"/>
      <c r="R1262" s="103" t="n"/>
      <c r="S1262" s="103" t="n"/>
      <c r="T1262" s="103" t="n"/>
      <c r="U1262" s="103" t="n"/>
      <c r="V1262" s="103" t="n"/>
      <c r="W1262" s="103" t="n"/>
      <c r="X1262" s="103" t="n"/>
      <c r="Y1262" s="103" t="n"/>
      <c r="Z1262" s="103" t="n"/>
      <c r="AA1262" s="103" t="n"/>
      <c r="AB1262" s="103" t="n"/>
      <c r="AC1262" s="103" t="n"/>
      <c r="AD1262" s="103" t="n"/>
      <c r="AE1262" s="103" t="n"/>
      <c r="AF1262" s="103" t="n"/>
      <c r="AG1262" s="103" t="n"/>
      <c r="AH1262" s="103" t="n"/>
      <c r="AI1262" s="103" t="n"/>
      <c r="AJ1262" s="103" t="n"/>
      <c r="AK1262" s="103" t="n"/>
      <c r="AL1262" s="103" t="n"/>
      <c r="AM1262" s="103" t="n"/>
      <c r="AN1262" s="103" t="n"/>
      <c r="AO1262" s="103" t="n"/>
      <c r="AP1262" s="103" t="n"/>
      <c r="AQ1262" s="103" t="n"/>
      <c r="AR1262" s="103" t="n"/>
    </row>
    <row r="1265">
      <c r="A1265" s="2">
        <f>IF($A1258="","","   projections")</f>
        <v/>
      </c>
      <c r="B1265" s="99">
        <f>IF($A1258="",0,COUNT($E1266:$AR1266))</f>
        <v/>
      </c>
      <c r="C1265" s="100">
        <f>IF($B1265=0,0,MAX($E1266:$AR1266))</f>
        <v/>
      </c>
      <c r="D1265" s="101">
        <f>BDS($A1258,FLD_PROJ,"headers=y","startcol=1","endcol=3","dir=h")</f>
        <v/>
      </c>
      <c r="E1265" s="102" t="n"/>
      <c r="F1265" s="102" t="n"/>
      <c r="G1265" s="102" t="n"/>
      <c r="H1265" s="102" t="n"/>
      <c r="I1265" s="102" t="n"/>
      <c r="J1265" s="102" t="n"/>
      <c r="K1265" s="102" t="n"/>
      <c r="L1265" s="102" t="n"/>
      <c r="M1265" s="102" t="n"/>
      <c r="N1265" s="102" t="n"/>
      <c r="O1265" s="102" t="n"/>
      <c r="P1265" s="102" t="n"/>
      <c r="Q1265" s="102" t="n"/>
      <c r="R1265" s="102" t="n"/>
      <c r="S1265" s="102" t="n"/>
      <c r="T1265" s="102" t="n"/>
      <c r="U1265" s="102" t="n"/>
      <c r="V1265" s="102" t="n"/>
      <c r="W1265" s="102" t="n"/>
      <c r="X1265" s="102" t="n"/>
      <c r="Y1265" s="102" t="n"/>
      <c r="Z1265" s="102" t="n"/>
      <c r="AA1265" s="102" t="n"/>
      <c r="AB1265" s="102" t="n"/>
      <c r="AC1265" s="102" t="n"/>
      <c r="AD1265" s="102" t="n"/>
      <c r="AE1265" s="102" t="n"/>
      <c r="AF1265" s="102" t="n"/>
      <c r="AG1265" s="102" t="n"/>
      <c r="AH1265" s="102" t="n"/>
      <c r="AI1265" s="102" t="n"/>
      <c r="AJ1265" s="102" t="n"/>
      <c r="AK1265" s="102" t="n"/>
      <c r="AL1265" s="102" t="n"/>
      <c r="AM1265" s="102" t="n"/>
      <c r="AN1265" s="102" t="n"/>
      <c r="AO1265" s="102" t="n"/>
      <c r="AP1265" s="102" t="n"/>
      <c r="AQ1265" s="102" t="n"/>
      <c r="AR1265" s="102" t="n"/>
    </row>
    <row r="1266">
      <c r="D1266" s="102" t="n"/>
      <c r="E1266" s="102" t="n"/>
      <c r="F1266" s="102" t="n"/>
      <c r="G1266" s="102" t="n"/>
      <c r="H1266" s="102" t="n"/>
      <c r="I1266" s="102" t="n"/>
      <c r="J1266" s="102" t="n"/>
      <c r="K1266" s="102" t="n"/>
      <c r="L1266" s="102" t="n"/>
      <c r="M1266" s="102" t="n"/>
      <c r="N1266" s="102" t="n"/>
      <c r="O1266" s="102" t="n"/>
      <c r="P1266" s="102" t="n"/>
      <c r="Q1266" s="102" t="n"/>
      <c r="R1266" s="102" t="n"/>
      <c r="S1266" s="102" t="n"/>
      <c r="T1266" s="102" t="n"/>
      <c r="U1266" s="102" t="n"/>
      <c r="V1266" s="102" t="n"/>
      <c r="W1266" s="102" t="n"/>
      <c r="X1266" s="102" t="n"/>
      <c r="Y1266" s="102" t="n"/>
      <c r="Z1266" s="102" t="n"/>
      <c r="AA1266" s="102" t="n"/>
      <c r="AB1266" s="102" t="n"/>
      <c r="AC1266" s="102" t="n"/>
      <c r="AD1266" s="102" t="n"/>
      <c r="AE1266" s="102" t="n"/>
      <c r="AF1266" s="102" t="n"/>
      <c r="AG1266" s="102" t="n"/>
      <c r="AH1266" s="102" t="n"/>
      <c r="AI1266" s="102" t="n"/>
      <c r="AJ1266" s="102" t="n"/>
      <c r="AK1266" s="102" t="n"/>
      <c r="AL1266" s="102" t="n"/>
      <c r="AM1266" s="102" t="n"/>
      <c r="AN1266" s="102" t="n"/>
      <c r="AO1266" s="102" t="n"/>
      <c r="AP1266" s="102" t="n"/>
      <c r="AQ1266" s="102" t="n"/>
      <c r="AR1266" s="102" t="n"/>
    </row>
    <row r="1267">
      <c r="D1267" s="103" t="n"/>
      <c r="E1267" s="103" t="n"/>
      <c r="F1267" s="103" t="n"/>
      <c r="G1267" s="103" t="n"/>
      <c r="H1267" s="103" t="n"/>
      <c r="I1267" s="103" t="n"/>
      <c r="J1267" s="103" t="n"/>
      <c r="K1267" s="103" t="n"/>
      <c r="L1267" s="103" t="n"/>
      <c r="M1267" s="103" t="n"/>
      <c r="N1267" s="103" t="n"/>
      <c r="O1267" s="103" t="n"/>
      <c r="P1267" s="103" t="n"/>
      <c r="Q1267" s="103" t="n"/>
      <c r="R1267" s="103" t="n"/>
      <c r="S1267" s="103" t="n"/>
      <c r="T1267" s="103" t="n"/>
      <c r="U1267" s="103" t="n"/>
      <c r="V1267" s="103" t="n"/>
      <c r="W1267" s="103" t="n"/>
      <c r="X1267" s="103" t="n"/>
      <c r="Y1267" s="103" t="n"/>
      <c r="Z1267" s="103" t="n"/>
      <c r="AA1267" s="103" t="n"/>
      <c r="AB1267" s="103" t="n"/>
      <c r="AC1267" s="103" t="n"/>
      <c r="AD1267" s="103" t="n"/>
      <c r="AE1267" s="103" t="n"/>
      <c r="AF1267" s="103" t="n"/>
      <c r="AG1267" s="103" t="n"/>
      <c r="AH1267" s="103" t="n"/>
      <c r="AI1267" s="103" t="n"/>
      <c r="AJ1267" s="103" t="n"/>
      <c r="AK1267" s="103" t="n"/>
      <c r="AL1267" s="103" t="n"/>
      <c r="AM1267" s="103" t="n"/>
      <c r="AN1267" s="103" t="n"/>
      <c r="AO1267" s="103" t="n"/>
      <c r="AP1267" s="103" t="n"/>
      <c r="AQ1267" s="103" t="n"/>
      <c r="AR1267" s="103" t="n"/>
    </row>
    <row r="1269">
      <c r="A1269" s="8">
        <f>IF(HSTECH!$C$21="","",HSTECH!$C$21)</f>
        <v/>
      </c>
      <c r="B1269" s="99">
        <f>IF($A1269="",0,COUNT($E1270:$AR1270))</f>
        <v/>
      </c>
      <c r="C1269" s="100">
        <f>IF($B1269=0,0,MAX($E1270:$AR1270))</f>
        <v/>
      </c>
      <c r="D1269" s="101">
        <f>BDS($A1269,FLD_HIST,"headers=y","startcol=1","endcol=7","dir=h","DVD_START_DT",HIST_FROM,"DVD_END_DT",HIST_TO)</f>
        <v/>
      </c>
      <c r="E1269" s="102" t="n"/>
      <c r="F1269" s="102" t="n"/>
      <c r="G1269" s="102" t="n"/>
      <c r="H1269" s="102" t="n"/>
      <c r="I1269" s="102" t="n"/>
      <c r="J1269" s="102" t="n"/>
      <c r="K1269" s="102" t="n"/>
      <c r="L1269" s="102" t="n"/>
      <c r="M1269" s="102" t="n"/>
      <c r="N1269" s="102" t="n"/>
      <c r="O1269" s="102" t="n"/>
      <c r="P1269" s="102" t="n"/>
      <c r="Q1269" s="102" t="n"/>
      <c r="R1269" s="102" t="n"/>
      <c r="S1269" s="102" t="n"/>
      <c r="T1269" s="102" t="n"/>
      <c r="U1269" s="102" t="n"/>
      <c r="V1269" s="102" t="n"/>
      <c r="W1269" s="102" t="n"/>
      <c r="X1269" s="102" t="n"/>
      <c r="Y1269" s="102" t="n"/>
      <c r="Z1269" s="102" t="n"/>
      <c r="AA1269" s="102" t="n"/>
      <c r="AB1269" s="102" t="n"/>
      <c r="AC1269" s="102" t="n"/>
      <c r="AD1269" s="102" t="n"/>
      <c r="AE1269" s="102" t="n"/>
      <c r="AF1269" s="102" t="n"/>
      <c r="AG1269" s="102" t="n"/>
      <c r="AH1269" s="102" t="n"/>
      <c r="AI1269" s="102" t="n"/>
      <c r="AJ1269" s="102" t="n"/>
      <c r="AK1269" s="102" t="n"/>
      <c r="AL1269" s="102" t="n"/>
      <c r="AM1269" s="102" t="n"/>
      <c r="AN1269" s="102" t="n"/>
      <c r="AO1269" s="102" t="n"/>
      <c r="AP1269" s="102" t="n"/>
      <c r="AQ1269" s="102" t="n"/>
      <c r="AR1269" s="102" t="n"/>
    </row>
    <row r="1270">
      <c r="D1270" s="102" t="n"/>
      <c r="E1270" s="102" t="n"/>
      <c r="F1270" s="102" t="n"/>
      <c r="G1270" s="102" t="n"/>
      <c r="H1270" s="102" t="n"/>
      <c r="I1270" s="102" t="n"/>
      <c r="J1270" s="102" t="n"/>
      <c r="K1270" s="102" t="n"/>
      <c r="L1270" s="102" t="n"/>
      <c r="M1270" s="102" t="n"/>
      <c r="N1270" s="102" t="n"/>
      <c r="O1270" s="102" t="n"/>
      <c r="P1270" s="102" t="n"/>
      <c r="Q1270" s="102" t="n"/>
      <c r="R1270" s="102" t="n"/>
      <c r="S1270" s="102" t="n"/>
      <c r="T1270" s="102" t="n"/>
      <c r="U1270" s="102" t="n"/>
      <c r="V1270" s="102" t="n"/>
      <c r="W1270" s="102" t="n"/>
      <c r="X1270" s="102" t="n"/>
      <c r="Y1270" s="102" t="n"/>
      <c r="Z1270" s="102" t="n"/>
      <c r="AA1270" s="102" t="n"/>
      <c r="AB1270" s="102" t="n"/>
      <c r="AC1270" s="102" t="n"/>
      <c r="AD1270" s="102" t="n"/>
      <c r="AE1270" s="102" t="n"/>
      <c r="AF1270" s="102" t="n"/>
      <c r="AG1270" s="102" t="n"/>
      <c r="AH1270" s="102" t="n"/>
      <c r="AI1270" s="102" t="n"/>
      <c r="AJ1270" s="102" t="n"/>
      <c r="AK1270" s="102" t="n"/>
      <c r="AL1270" s="102" t="n"/>
      <c r="AM1270" s="102" t="n"/>
      <c r="AN1270" s="102" t="n"/>
      <c r="AO1270" s="102" t="n"/>
      <c r="AP1270" s="102" t="n"/>
      <c r="AQ1270" s="102" t="n"/>
      <c r="AR1270" s="102" t="n"/>
    </row>
    <row r="1271">
      <c r="D1271" s="102" t="n"/>
      <c r="E1271" s="102" t="n"/>
      <c r="F1271" s="102" t="n"/>
      <c r="G1271" s="102" t="n"/>
      <c r="H1271" s="102" t="n"/>
      <c r="I1271" s="102" t="n"/>
      <c r="J1271" s="102" t="n"/>
      <c r="K1271" s="102" t="n"/>
      <c r="L1271" s="102" t="n"/>
      <c r="M1271" s="102" t="n"/>
      <c r="N1271" s="102" t="n"/>
      <c r="O1271" s="102" t="n"/>
      <c r="P1271" s="102" t="n"/>
      <c r="Q1271" s="102" t="n"/>
      <c r="R1271" s="102" t="n"/>
      <c r="S1271" s="102" t="n"/>
      <c r="T1271" s="102" t="n"/>
      <c r="U1271" s="102" t="n"/>
      <c r="V1271" s="102" t="n"/>
      <c r="W1271" s="102" t="n"/>
      <c r="X1271" s="102" t="n"/>
      <c r="Y1271" s="102" t="n"/>
      <c r="Z1271" s="102" t="n"/>
      <c r="AA1271" s="102" t="n"/>
      <c r="AB1271" s="102" t="n"/>
      <c r="AC1271" s="102" t="n"/>
      <c r="AD1271" s="102" t="n"/>
      <c r="AE1271" s="102" t="n"/>
      <c r="AF1271" s="102" t="n"/>
      <c r="AG1271" s="102" t="n"/>
      <c r="AH1271" s="102" t="n"/>
      <c r="AI1271" s="102" t="n"/>
      <c r="AJ1271" s="102" t="n"/>
      <c r="AK1271" s="102" t="n"/>
      <c r="AL1271" s="102" t="n"/>
      <c r="AM1271" s="102" t="n"/>
      <c r="AN1271" s="102" t="n"/>
      <c r="AO1271" s="102" t="n"/>
      <c r="AP1271" s="102" t="n"/>
      <c r="AQ1271" s="102" t="n"/>
      <c r="AR1271" s="102" t="n"/>
    </row>
    <row r="1272">
      <c r="D1272" s="102" t="n"/>
      <c r="E1272" s="102" t="n"/>
      <c r="F1272" s="102" t="n"/>
      <c r="G1272" s="102" t="n"/>
      <c r="H1272" s="102" t="n"/>
      <c r="I1272" s="102" t="n"/>
      <c r="J1272" s="102" t="n"/>
      <c r="K1272" s="102" t="n"/>
      <c r="L1272" s="102" t="n"/>
      <c r="M1272" s="102" t="n"/>
      <c r="N1272" s="102" t="n"/>
      <c r="O1272" s="102" t="n"/>
      <c r="P1272" s="102" t="n"/>
      <c r="Q1272" s="102" t="n"/>
      <c r="R1272" s="102" t="n"/>
      <c r="S1272" s="102" t="n"/>
      <c r="T1272" s="102" t="n"/>
      <c r="U1272" s="102" t="n"/>
      <c r="V1272" s="102" t="n"/>
      <c r="W1272" s="102" t="n"/>
      <c r="X1272" s="102" t="n"/>
      <c r="Y1272" s="102" t="n"/>
      <c r="Z1272" s="102" t="n"/>
      <c r="AA1272" s="102" t="n"/>
      <c r="AB1272" s="102" t="n"/>
      <c r="AC1272" s="102" t="n"/>
      <c r="AD1272" s="102" t="n"/>
      <c r="AE1272" s="102" t="n"/>
      <c r="AF1272" s="102" t="n"/>
      <c r="AG1272" s="102" t="n"/>
      <c r="AH1272" s="102" t="n"/>
      <c r="AI1272" s="102" t="n"/>
      <c r="AJ1272" s="102" t="n"/>
      <c r="AK1272" s="102" t="n"/>
      <c r="AL1272" s="102" t="n"/>
      <c r="AM1272" s="102" t="n"/>
      <c r="AN1272" s="102" t="n"/>
      <c r="AO1272" s="102" t="n"/>
      <c r="AP1272" s="102" t="n"/>
      <c r="AQ1272" s="102" t="n"/>
      <c r="AR1272" s="102" t="n"/>
    </row>
    <row r="1273">
      <c r="D1273" s="103" t="n"/>
      <c r="E1273" s="103" t="n"/>
      <c r="F1273" s="103" t="n"/>
      <c r="G1273" s="103" t="n"/>
      <c r="H1273" s="103" t="n"/>
      <c r="I1273" s="103" t="n"/>
      <c r="J1273" s="103" t="n"/>
      <c r="K1273" s="103" t="n"/>
      <c r="L1273" s="103" t="n"/>
      <c r="M1273" s="103" t="n"/>
      <c r="N1273" s="103" t="n"/>
      <c r="O1273" s="103" t="n"/>
      <c r="P1273" s="103" t="n"/>
      <c r="Q1273" s="103" t="n"/>
      <c r="R1273" s="103" t="n"/>
      <c r="S1273" s="103" t="n"/>
      <c r="T1273" s="103" t="n"/>
      <c r="U1273" s="103" t="n"/>
      <c r="V1273" s="103" t="n"/>
      <c r="W1273" s="103" t="n"/>
      <c r="X1273" s="103" t="n"/>
      <c r="Y1273" s="103" t="n"/>
      <c r="Z1273" s="103" t="n"/>
      <c r="AA1273" s="103" t="n"/>
      <c r="AB1273" s="103" t="n"/>
      <c r="AC1273" s="103" t="n"/>
      <c r="AD1273" s="103" t="n"/>
      <c r="AE1273" s="103" t="n"/>
      <c r="AF1273" s="103" t="n"/>
      <c r="AG1273" s="103" t="n"/>
      <c r="AH1273" s="103" t="n"/>
      <c r="AI1273" s="103" t="n"/>
      <c r="AJ1273" s="103" t="n"/>
      <c r="AK1273" s="103" t="n"/>
      <c r="AL1273" s="103" t="n"/>
      <c r="AM1273" s="103" t="n"/>
      <c r="AN1273" s="103" t="n"/>
      <c r="AO1273" s="103" t="n"/>
      <c r="AP1273" s="103" t="n"/>
      <c r="AQ1273" s="103" t="n"/>
      <c r="AR1273" s="103" t="n"/>
    </row>
    <row r="1276">
      <c r="A1276" s="2">
        <f>IF($A1269="","","   projections")</f>
        <v/>
      </c>
      <c r="B1276" s="99">
        <f>IF($A1269="",0,COUNT($E1277:$AR1277))</f>
        <v/>
      </c>
      <c r="C1276" s="100">
        <f>IF($B1276=0,0,MAX($E1277:$AR1277))</f>
        <v/>
      </c>
      <c r="D1276" s="101">
        <f>BDS($A1269,FLD_PROJ,"headers=y","startcol=1","endcol=3","dir=h")</f>
        <v/>
      </c>
      <c r="E1276" s="102" t="n"/>
      <c r="F1276" s="102" t="n"/>
      <c r="G1276" s="102" t="n"/>
      <c r="H1276" s="102" t="n"/>
      <c r="I1276" s="102" t="n"/>
      <c r="J1276" s="102" t="n"/>
      <c r="K1276" s="102" t="n"/>
      <c r="L1276" s="102" t="n"/>
      <c r="M1276" s="102" t="n"/>
      <c r="N1276" s="102" t="n"/>
      <c r="O1276" s="102" t="n"/>
      <c r="P1276" s="102" t="n"/>
      <c r="Q1276" s="102" t="n"/>
      <c r="R1276" s="102" t="n"/>
      <c r="S1276" s="102" t="n"/>
      <c r="T1276" s="102" t="n"/>
      <c r="U1276" s="102" t="n"/>
      <c r="V1276" s="102" t="n"/>
      <c r="W1276" s="102" t="n"/>
      <c r="X1276" s="102" t="n"/>
      <c r="Y1276" s="102" t="n"/>
      <c r="Z1276" s="102" t="n"/>
      <c r="AA1276" s="102" t="n"/>
      <c r="AB1276" s="102" t="n"/>
      <c r="AC1276" s="102" t="n"/>
      <c r="AD1276" s="102" t="n"/>
      <c r="AE1276" s="102" t="n"/>
      <c r="AF1276" s="102" t="n"/>
      <c r="AG1276" s="102" t="n"/>
      <c r="AH1276" s="102" t="n"/>
      <c r="AI1276" s="102" t="n"/>
      <c r="AJ1276" s="102" t="n"/>
      <c r="AK1276" s="102" t="n"/>
      <c r="AL1276" s="102" t="n"/>
      <c r="AM1276" s="102" t="n"/>
      <c r="AN1276" s="102" t="n"/>
      <c r="AO1276" s="102" t="n"/>
      <c r="AP1276" s="102" t="n"/>
      <c r="AQ1276" s="102" t="n"/>
      <c r="AR1276" s="102" t="n"/>
    </row>
    <row r="1277">
      <c r="D1277" s="102" t="n"/>
      <c r="E1277" s="102" t="n"/>
      <c r="F1277" s="102" t="n"/>
      <c r="G1277" s="102" t="n"/>
      <c r="H1277" s="102" t="n"/>
      <c r="I1277" s="102" t="n"/>
      <c r="J1277" s="102" t="n"/>
      <c r="K1277" s="102" t="n"/>
      <c r="L1277" s="102" t="n"/>
      <c r="M1277" s="102" t="n"/>
      <c r="N1277" s="102" t="n"/>
      <c r="O1277" s="102" t="n"/>
      <c r="P1277" s="102" t="n"/>
      <c r="Q1277" s="102" t="n"/>
      <c r="R1277" s="102" t="n"/>
      <c r="S1277" s="102" t="n"/>
      <c r="T1277" s="102" t="n"/>
      <c r="U1277" s="102" t="n"/>
      <c r="V1277" s="102" t="n"/>
      <c r="W1277" s="102" t="n"/>
      <c r="X1277" s="102" t="n"/>
      <c r="Y1277" s="102" t="n"/>
      <c r="Z1277" s="102" t="n"/>
      <c r="AA1277" s="102" t="n"/>
      <c r="AB1277" s="102" t="n"/>
      <c r="AC1277" s="102" t="n"/>
      <c r="AD1277" s="102" t="n"/>
      <c r="AE1277" s="102" t="n"/>
      <c r="AF1277" s="102" t="n"/>
      <c r="AG1277" s="102" t="n"/>
      <c r="AH1277" s="102" t="n"/>
      <c r="AI1277" s="102" t="n"/>
      <c r="AJ1277" s="102" t="n"/>
      <c r="AK1277" s="102" t="n"/>
      <c r="AL1277" s="102" t="n"/>
      <c r="AM1277" s="102" t="n"/>
      <c r="AN1277" s="102" t="n"/>
      <c r="AO1277" s="102" t="n"/>
      <c r="AP1277" s="102" t="n"/>
      <c r="AQ1277" s="102" t="n"/>
      <c r="AR1277" s="102" t="n"/>
    </row>
    <row r="1278">
      <c r="D1278" s="103" t="n"/>
      <c r="E1278" s="103" t="n"/>
      <c r="F1278" s="103" t="n"/>
      <c r="G1278" s="103" t="n"/>
      <c r="H1278" s="103" t="n"/>
      <c r="I1278" s="103" t="n"/>
      <c r="J1278" s="103" t="n"/>
      <c r="K1278" s="103" t="n"/>
      <c r="L1278" s="103" t="n"/>
      <c r="M1278" s="103" t="n"/>
      <c r="N1278" s="103" t="n"/>
      <c r="O1278" s="103" t="n"/>
      <c r="P1278" s="103" t="n"/>
      <c r="Q1278" s="103" t="n"/>
      <c r="R1278" s="103" t="n"/>
      <c r="S1278" s="103" t="n"/>
      <c r="T1278" s="103" t="n"/>
      <c r="U1278" s="103" t="n"/>
      <c r="V1278" s="103" t="n"/>
      <c r="W1278" s="103" t="n"/>
      <c r="X1278" s="103" t="n"/>
      <c r="Y1278" s="103" t="n"/>
      <c r="Z1278" s="103" t="n"/>
      <c r="AA1278" s="103" t="n"/>
      <c r="AB1278" s="103" t="n"/>
      <c r="AC1278" s="103" t="n"/>
      <c r="AD1278" s="103" t="n"/>
      <c r="AE1278" s="103" t="n"/>
      <c r="AF1278" s="103" t="n"/>
      <c r="AG1278" s="103" t="n"/>
      <c r="AH1278" s="103" t="n"/>
      <c r="AI1278" s="103" t="n"/>
      <c r="AJ1278" s="103" t="n"/>
      <c r="AK1278" s="103" t="n"/>
      <c r="AL1278" s="103" t="n"/>
      <c r="AM1278" s="103" t="n"/>
      <c r="AN1278" s="103" t="n"/>
      <c r="AO1278" s="103" t="n"/>
      <c r="AP1278" s="103" t="n"/>
      <c r="AQ1278" s="103" t="n"/>
      <c r="AR1278" s="103" t="n"/>
    </row>
    <row r="1280">
      <c r="A1280" s="8">
        <f>IF(HSTECH!$C$22="","",HSTECH!$C$22)</f>
        <v/>
      </c>
      <c r="B1280" s="99">
        <f>IF($A1280="",0,COUNT($E1281:$AR1281))</f>
        <v/>
      </c>
      <c r="C1280" s="100">
        <f>IF($B1280=0,0,MAX($E1281:$AR1281))</f>
        <v/>
      </c>
      <c r="D1280" s="101">
        <f>BDS($A1280,FLD_HIST,"headers=y","startcol=1","endcol=7","dir=h","DVD_START_DT",HIST_FROM,"DVD_END_DT",HIST_TO)</f>
        <v/>
      </c>
      <c r="E1280" s="102" t="n"/>
      <c r="F1280" s="102" t="n"/>
      <c r="G1280" s="102" t="n"/>
      <c r="H1280" s="102" t="n"/>
      <c r="I1280" s="102" t="n"/>
      <c r="J1280" s="102" t="n"/>
      <c r="K1280" s="102" t="n"/>
      <c r="L1280" s="102" t="n"/>
      <c r="M1280" s="102" t="n"/>
      <c r="N1280" s="102" t="n"/>
      <c r="O1280" s="102" t="n"/>
      <c r="P1280" s="102" t="n"/>
      <c r="Q1280" s="102" t="n"/>
      <c r="R1280" s="102" t="n"/>
      <c r="S1280" s="102" t="n"/>
      <c r="T1280" s="102" t="n"/>
      <c r="U1280" s="102" t="n"/>
      <c r="V1280" s="102" t="n"/>
      <c r="W1280" s="102" t="n"/>
      <c r="X1280" s="102" t="n"/>
      <c r="Y1280" s="102" t="n"/>
      <c r="Z1280" s="102" t="n"/>
      <c r="AA1280" s="102" t="n"/>
      <c r="AB1280" s="102" t="n"/>
      <c r="AC1280" s="102" t="n"/>
      <c r="AD1280" s="102" t="n"/>
      <c r="AE1280" s="102" t="n"/>
      <c r="AF1280" s="102" t="n"/>
      <c r="AG1280" s="102" t="n"/>
      <c r="AH1280" s="102" t="n"/>
      <c r="AI1280" s="102" t="n"/>
      <c r="AJ1280" s="102" t="n"/>
      <c r="AK1280" s="102" t="n"/>
      <c r="AL1280" s="102" t="n"/>
      <c r="AM1280" s="102" t="n"/>
      <c r="AN1280" s="102" t="n"/>
      <c r="AO1280" s="102" t="n"/>
      <c r="AP1280" s="102" t="n"/>
      <c r="AQ1280" s="102" t="n"/>
      <c r="AR1280" s="102" t="n"/>
    </row>
    <row r="1281">
      <c r="D1281" s="102" t="n"/>
      <c r="E1281" s="102" t="n"/>
      <c r="F1281" s="102" t="n"/>
      <c r="G1281" s="102" t="n"/>
      <c r="H1281" s="102" t="n"/>
      <c r="I1281" s="102" t="n"/>
      <c r="J1281" s="102" t="n"/>
      <c r="K1281" s="102" t="n"/>
      <c r="L1281" s="102" t="n"/>
      <c r="M1281" s="102" t="n"/>
      <c r="N1281" s="102" t="n"/>
      <c r="O1281" s="102" t="n"/>
      <c r="P1281" s="102" t="n"/>
      <c r="Q1281" s="102" t="n"/>
      <c r="R1281" s="102" t="n"/>
      <c r="S1281" s="102" t="n"/>
      <c r="T1281" s="102" t="n"/>
      <c r="U1281" s="102" t="n"/>
      <c r="V1281" s="102" t="n"/>
      <c r="W1281" s="102" t="n"/>
      <c r="X1281" s="102" t="n"/>
      <c r="Y1281" s="102" t="n"/>
      <c r="Z1281" s="102" t="n"/>
      <c r="AA1281" s="102" t="n"/>
      <c r="AB1281" s="102" t="n"/>
      <c r="AC1281" s="102" t="n"/>
      <c r="AD1281" s="102" t="n"/>
      <c r="AE1281" s="102" t="n"/>
      <c r="AF1281" s="102" t="n"/>
      <c r="AG1281" s="102" t="n"/>
      <c r="AH1281" s="102" t="n"/>
      <c r="AI1281" s="102" t="n"/>
      <c r="AJ1281" s="102" t="n"/>
      <c r="AK1281" s="102" t="n"/>
      <c r="AL1281" s="102" t="n"/>
      <c r="AM1281" s="102" t="n"/>
      <c r="AN1281" s="102" t="n"/>
      <c r="AO1281" s="102" t="n"/>
      <c r="AP1281" s="102" t="n"/>
      <c r="AQ1281" s="102" t="n"/>
      <c r="AR1281" s="102" t="n"/>
    </row>
    <row r="1282">
      <c r="D1282" s="102" t="n"/>
      <c r="E1282" s="102" t="n"/>
      <c r="F1282" s="102" t="n"/>
      <c r="G1282" s="102" t="n"/>
      <c r="H1282" s="102" t="n"/>
      <c r="I1282" s="102" t="n"/>
      <c r="J1282" s="102" t="n"/>
      <c r="K1282" s="102" t="n"/>
      <c r="L1282" s="102" t="n"/>
      <c r="M1282" s="102" t="n"/>
      <c r="N1282" s="102" t="n"/>
      <c r="O1282" s="102" t="n"/>
      <c r="P1282" s="102" t="n"/>
      <c r="Q1282" s="102" t="n"/>
      <c r="R1282" s="102" t="n"/>
      <c r="S1282" s="102" t="n"/>
      <c r="T1282" s="102" t="n"/>
      <c r="U1282" s="102" t="n"/>
      <c r="V1282" s="102" t="n"/>
      <c r="W1282" s="102" t="n"/>
      <c r="X1282" s="102" t="n"/>
      <c r="Y1282" s="102" t="n"/>
      <c r="Z1282" s="102" t="n"/>
      <c r="AA1282" s="102" t="n"/>
      <c r="AB1282" s="102" t="n"/>
      <c r="AC1282" s="102" t="n"/>
      <c r="AD1282" s="102" t="n"/>
      <c r="AE1282" s="102" t="n"/>
      <c r="AF1282" s="102" t="n"/>
      <c r="AG1282" s="102" t="n"/>
      <c r="AH1282" s="102" t="n"/>
      <c r="AI1282" s="102" t="n"/>
      <c r="AJ1282" s="102" t="n"/>
      <c r="AK1282" s="102" t="n"/>
      <c r="AL1282" s="102" t="n"/>
      <c r="AM1282" s="102" t="n"/>
      <c r="AN1282" s="102" t="n"/>
      <c r="AO1282" s="102" t="n"/>
      <c r="AP1282" s="102" t="n"/>
      <c r="AQ1282" s="102" t="n"/>
      <c r="AR1282" s="102" t="n"/>
    </row>
    <row r="1283">
      <c r="D1283" s="102" t="n"/>
      <c r="E1283" s="102" t="n"/>
      <c r="F1283" s="102" t="n"/>
      <c r="G1283" s="102" t="n"/>
      <c r="H1283" s="102" t="n"/>
      <c r="I1283" s="102" t="n"/>
      <c r="J1283" s="102" t="n"/>
      <c r="K1283" s="102" t="n"/>
      <c r="L1283" s="102" t="n"/>
      <c r="M1283" s="102" t="n"/>
      <c r="N1283" s="102" t="n"/>
      <c r="O1283" s="102" t="n"/>
      <c r="P1283" s="102" t="n"/>
      <c r="Q1283" s="102" t="n"/>
      <c r="R1283" s="102" t="n"/>
      <c r="S1283" s="102" t="n"/>
      <c r="T1283" s="102" t="n"/>
      <c r="U1283" s="102" t="n"/>
      <c r="V1283" s="102" t="n"/>
      <c r="W1283" s="102" t="n"/>
      <c r="X1283" s="102" t="n"/>
      <c r="Y1283" s="102" t="n"/>
      <c r="Z1283" s="102" t="n"/>
      <c r="AA1283" s="102" t="n"/>
      <c r="AB1283" s="102" t="n"/>
      <c r="AC1283" s="102" t="n"/>
      <c r="AD1283" s="102" t="n"/>
      <c r="AE1283" s="102" t="n"/>
      <c r="AF1283" s="102" t="n"/>
      <c r="AG1283" s="102" t="n"/>
      <c r="AH1283" s="102" t="n"/>
      <c r="AI1283" s="102" t="n"/>
      <c r="AJ1283" s="102" t="n"/>
      <c r="AK1283" s="102" t="n"/>
      <c r="AL1283" s="102" t="n"/>
      <c r="AM1283" s="102" t="n"/>
      <c r="AN1283" s="102" t="n"/>
      <c r="AO1283" s="102" t="n"/>
      <c r="AP1283" s="102" t="n"/>
      <c r="AQ1283" s="102" t="n"/>
      <c r="AR1283" s="102" t="n"/>
    </row>
    <row r="1284">
      <c r="D1284" s="103" t="n"/>
      <c r="E1284" s="103" t="n"/>
      <c r="F1284" s="103" t="n"/>
      <c r="G1284" s="103" t="n"/>
      <c r="H1284" s="103" t="n"/>
      <c r="I1284" s="103" t="n"/>
      <c r="J1284" s="103" t="n"/>
      <c r="K1284" s="103" t="n"/>
      <c r="L1284" s="103" t="n"/>
      <c r="M1284" s="103" t="n"/>
      <c r="N1284" s="103" t="n"/>
      <c r="O1284" s="103" t="n"/>
      <c r="P1284" s="103" t="n"/>
      <c r="Q1284" s="103" t="n"/>
      <c r="R1284" s="103" t="n"/>
      <c r="S1284" s="103" t="n"/>
      <c r="T1284" s="103" t="n"/>
      <c r="U1284" s="103" t="n"/>
      <c r="V1284" s="103" t="n"/>
      <c r="W1284" s="103" t="n"/>
      <c r="X1284" s="103" t="n"/>
      <c r="Y1284" s="103" t="n"/>
      <c r="Z1284" s="103" t="n"/>
      <c r="AA1284" s="103" t="n"/>
      <c r="AB1284" s="103" t="n"/>
      <c r="AC1284" s="103" t="n"/>
      <c r="AD1284" s="103" t="n"/>
      <c r="AE1284" s="103" t="n"/>
      <c r="AF1284" s="103" t="n"/>
      <c r="AG1284" s="103" t="n"/>
      <c r="AH1284" s="103" t="n"/>
      <c r="AI1284" s="103" t="n"/>
      <c r="AJ1284" s="103" t="n"/>
      <c r="AK1284" s="103" t="n"/>
      <c r="AL1284" s="103" t="n"/>
      <c r="AM1284" s="103" t="n"/>
      <c r="AN1284" s="103" t="n"/>
      <c r="AO1284" s="103" t="n"/>
      <c r="AP1284" s="103" t="n"/>
      <c r="AQ1284" s="103" t="n"/>
      <c r="AR1284" s="103" t="n"/>
    </row>
    <row r="1287">
      <c r="A1287" s="2">
        <f>IF($A1280="","","   projections")</f>
        <v/>
      </c>
      <c r="B1287" s="99">
        <f>IF($A1280="",0,COUNT($E1288:$AR1288))</f>
        <v/>
      </c>
      <c r="C1287" s="100">
        <f>IF($B1287=0,0,MAX($E1288:$AR1288))</f>
        <v/>
      </c>
      <c r="D1287" s="101">
        <f>BDS($A1280,FLD_PROJ,"headers=y","startcol=1","endcol=3","dir=h")</f>
        <v/>
      </c>
      <c r="E1287" s="102" t="n"/>
      <c r="F1287" s="102" t="n"/>
      <c r="G1287" s="102" t="n"/>
      <c r="H1287" s="102" t="n"/>
      <c r="I1287" s="102" t="n"/>
      <c r="J1287" s="102" t="n"/>
      <c r="K1287" s="102" t="n"/>
      <c r="L1287" s="102" t="n"/>
      <c r="M1287" s="102" t="n"/>
      <c r="N1287" s="102" t="n"/>
      <c r="O1287" s="102" t="n"/>
      <c r="P1287" s="102" t="n"/>
      <c r="Q1287" s="102" t="n"/>
      <c r="R1287" s="102" t="n"/>
      <c r="S1287" s="102" t="n"/>
      <c r="T1287" s="102" t="n"/>
      <c r="U1287" s="102" t="n"/>
      <c r="V1287" s="102" t="n"/>
      <c r="W1287" s="102" t="n"/>
      <c r="X1287" s="102" t="n"/>
      <c r="Y1287" s="102" t="n"/>
      <c r="Z1287" s="102" t="n"/>
      <c r="AA1287" s="102" t="n"/>
      <c r="AB1287" s="102" t="n"/>
      <c r="AC1287" s="102" t="n"/>
      <c r="AD1287" s="102" t="n"/>
      <c r="AE1287" s="102" t="n"/>
      <c r="AF1287" s="102" t="n"/>
      <c r="AG1287" s="102" t="n"/>
      <c r="AH1287" s="102" t="n"/>
      <c r="AI1287" s="102" t="n"/>
      <c r="AJ1287" s="102" t="n"/>
      <c r="AK1287" s="102" t="n"/>
      <c r="AL1287" s="102" t="n"/>
      <c r="AM1287" s="102" t="n"/>
      <c r="AN1287" s="102" t="n"/>
      <c r="AO1287" s="102" t="n"/>
      <c r="AP1287" s="102" t="n"/>
      <c r="AQ1287" s="102" t="n"/>
      <c r="AR1287" s="102" t="n"/>
    </row>
    <row r="1288">
      <c r="D1288" s="102" t="n"/>
      <c r="E1288" s="102" t="n"/>
      <c r="F1288" s="102" t="n"/>
      <c r="G1288" s="102" t="n"/>
      <c r="H1288" s="102" t="n"/>
      <c r="I1288" s="102" t="n"/>
      <c r="J1288" s="102" t="n"/>
      <c r="K1288" s="102" t="n"/>
      <c r="L1288" s="102" t="n"/>
      <c r="M1288" s="102" t="n"/>
      <c r="N1288" s="102" t="n"/>
      <c r="O1288" s="102" t="n"/>
      <c r="P1288" s="102" t="n"/>
      <c r="Q1288" s="102" t="n"/>
      <c r="R1288" s="102" t="n"/>
      <c r="S1288" s="102" t="n"/>
      <c r="T1288" s="102" t="n"/>
      <c r="U1288" s="102" t="n"/>
      <c r="V1288" s="102" t="n"/>
      <c r="W1288" s="102" t="n"/>
      <c r="X1288" s="102" t="n"/>
      <c r="Y1288" s="102" t="n"/>
      <c r="Z1288" s="102" t="n"/>
      <c r="AA1288" s="102" t="n"/>
      <c r="AB1288" s="102" t="n"/>
      <c r="AC1288" s="102" t="n"/>
      <c r="AD1288" s="102" t="n"/>
      <c r="AE1288" s="102" t="n"/>
      <c r="AF1288" s="102" t="n"/>
      <c r="AG1288" s="102" t="n"/>
      <c r="AH1288" s="102" t="n"/>
      <c r="AI1288" s="102" t="n"/>
      <c r="AJ1288" s="102" t="n"/>
      <c r="AK1288" s="102" t="n"/>
      <c r="AL1288" s="102" t="n"/>
      <c r="AM1288" s="102" t="n"/>
      <c r="AN1288" s="102" t="n"/>
      <c r="AO1288" s="102" t="n"/>
      <c r="AP1288" s="102" t="n"/>
      <c r="AQ1288" s="102" t="n"/>
      <c r="AR1288" s="102" t="n"/>
    </row>
    <row r="1289">
      <c r="D1289" s="103" t="n"/>
      <c r="E1289" s="103" t="n"/>
      <c r="F1289" s="103" t="n"/>
      <c r="G1289" s="103" t="n"/>
      <c r="H1289" s="103" t="n"/>
      <c r="I1289" s="103" t="n"/>
      <c r="J1289" s="103" t="n"/>
      <c r="K1289" s="103" t="n"/>
      <c r="L1289" s="103" t="n"/>
      <c r="M1289" s="103" t="n"/>
      <c r="N1289" s="103" t="n"/>
      <c r="O1289" s="103" t="n"/>
      <c r="P1289" s="103" t="n"/>
      <c r="Q1289" s="103" t="n"/>
      <c r="R1289" s="103" t="n"/>
      <c r="S1289" s="103" t="n"/>
      <c r="T1289" s="103" t="n"/>
      <c r="U1289" s="103" t="n"/>
      <c r="V1289" s="103" t="n"/>
      <c r="W1289" s="103" t="n"/>
      <c r="X1289" s="103" t="n"/>
      <c r="Y1289" s="103" t="n"/>
      <c r="Z1289" s="103" t="n"/>
      <c r="AA1289" s="103" t="n"/>
      <c r="AB1289" s="103" t="n"/>
      <c r="AC1289" s="103" t="n"/>
      <c r="AD1289" s="103" t="n"/>
      <c r="AE1289" s="103" t="n"/>
      <c r="AF1289" s="103" t="n"/>
      <c r="AG1289" s="103" t="n"/>
      <c r="AH1289" s="103" t="n"/>
      <c r="AI1289" s="103" t="n"/>
      <c r="AJ1289" s="103" t="n"/>
      <c r="AK1289" s="103" t="n"/>
      <c r="AL1289" s="103" t="n"/>
      <c r="AM1289" s="103" t="n"/>
      <c r="AN1289" s="103" t="n"/>
      <c r="AO1289" s="103" t="n"/>
      <c r="AP1289" s="103" t="n"/>
      <c r="AQ1289" s="103" t="n"/>
      <c r="AR1289" s="103" t="n"/>
    </row>
    <row r="1291">
      <c r="A1291" s="8">
        <f>IF(HSTECH!$C$23="","",HSTECH!$C$23)</f>
        <v/>
      </c>
      <c r="B1291" s="99">
        <f>IF($A1291="",0,COUNT($E1292:$AR1292))</f>
        <v/>
      </c>
      <c r="C1291" s="100">
        <f>IF($B1291=0,0,MAX($E1292:$AR1292))</f>
        <v/>
      </c>
      <c r="D1291" s="101">
        <f>BDS($A1291,FLD_HIST,"headers=y","startcol=1","endcol=7","dir=h","DVD_START_DT",HIST_FROM,"DVD_END_DT",HIST_TO)</f>
        <v/>
      </c>
      <c r="E1291" s="102" t="n"/>
      <c r="F1291" s="102" t="n"/>
      <c r="G1291" s="102" t="n"/>
      <c r="H1291" s="102" t="n"/>
      <c r="I1291" s="102" t="n"/>
      <c r="J1291" s="102" t="n"/>
      <c r="K1291" s="102" t="n"/>
      <c r="L1291" s="102" t="n"/>
      <c r="M1291" s="102" t="n"/>
      <c r="N1291" s="102" t="n"/>
      <c r="O1291" s="102" t="n"/>
      <c r="P1291" s="102" t="n"/>
      <c r="Q1291" s="102" t="n"/>
      <c r="R1291" s="102" t="n"/>
      <c r="S1291" s="102" t="n"/>
      <c r="T1291" s="102" t="n"/>
      <c r="U1291" s="102" t="n"/>
      <c r="V1291" s="102" t="n"/>
      <c r="W1291" s="102" t="n"/>
      <c r="X1291" s="102" t="n"/>
      <c r="Y1291" s="102" t="n"/>
      <c r="Z1291" s="102" t="n"/>
      <c r="AA1291" s="102" t="n"/>
      <c r="AB1291" s="102" t="n"/>
      <c r="AC1291" s="102" t="n"/>
      <c r="AD1291" s="102" t="n"/>
      <c r="AE1291" s="102" t="n"/>
      <c r="AF1291" s="102" t="n"/>
      <c r="AG1291" s="102" t="n"/>
      <c r="AH1291" s="102" t="n"/>
      <c r="AI1291" s="102" t="n"/>
      <c r="AJ1291" s="102" t="n"/>
      <c r="AK1291" s="102" t="n"/>
      <c r="AL1291" s="102" t="n"/>
      <c r="AM1291" s="102" t="n"/>
      <c r="AN1291" s="102" t="n"/>
      <c r="AO1291" s="102" t="n"/>
      <c r="AP1291" s="102" t="n"/>
      <c r="AQ1291" s="102" t="n"/>
      <c r="AR1291" s="102" t="n"/>
    </row>
    <row r="1292">
      <c r="D1292" s="102" t="n"/>
      <c r="E1292" s="102" t="n"/>
      <c r="F1292" s="102" t="n"/>
      <c r="G1292" s="102" t="n"/>
      <c r="H1292" s="102" t="n"/>
      <c r="I1292" s="102" t="n"/>
      <c r="J1292" s="102" t="n"/>
      <c r="K1292" s="102" t="n"/>
      <c r="L1292" s="102" t="n"/>
      <c r="M1292" s="102" t="n"/>
      <c r="N1292" s="102" t="n"/>
      <c r="O1292" s="102" t="n"/>
      <c r="P1292" s="102" t="n"/>
      <c r="Q1292" s="102" t="n"/>
      <c r="R1292" s="102" t="n"/>
      <c r="S1292" s="102" t="n"/>
      <c r="T1292" s="102" t="n"/>
      <c r="U1292" s="102" t="n"/>
      <c r="V1292" s="102" t="n"/>
      <c r="W1292" s="102" t="n"/>
      <c r="X1292" s="102" t="n"/>
      <c r="Y1292" s="102" t="n"/>
      <c r="Z1292" s="102" t="n"/>
      <c r="AA1292" s="102" t="n"/>
      <c r="AB1292" s="102" t="n"/>
      <c r="AC1292" s="102" t="n"/>
      <c r="AD1292" s="102" t="n"/>
      <c r="AE1292" s="102" t="n"/>
      <c r="AF1292" s="102" t="n"/>
      <c r="AG1292" s="102" t="n"/>
      <c r="AH1292" s="102" t="n"/>
      <c r="AI1292" s="102" t="n"/>
      <c r="AJ1292" s="102" t="n"/>
      <c r="AK1292" s="102" t="n"/>
      <c r="AL1292" s="102" t="n"/>
      <c r="AM1292" s="102" t="n"/>
      <c r="AN1292" s="102" t="n"/>
      <c r="AO1292" s="102" t="n"/>
      <c r="AP1292" s="102" t="n"/>
      <c r="AQ1292" s="102" t="n"/>
      <c r="AR1292" s="102" t="n"/>
    </row>
    <row r="1293">
      <c r="D1293" s="102" t="n"/>
      <c r="E1293" s="102" t="n"/>
      <c r="F1293" s="102" t="n"/>
      <c r="G1293" s="102" t="n"/>
      <c r="H1293" s="102" t="n"/>
      <c r="I1293" s="102" t="n"/>
      <c r="J1293" s="102" t="n"/>
      <c r="K1293" s="102" t="n"/>
      <c r="L1293" s="102" t="n"/>
      <c r="M1293" s="102" t="n"/>
      <c r="N1293" s="102" t="n"/>
      <c r="O1293" s="102" t="n"/>
      <c r="P1293" s="102" t="n"/>
      <c r="Q1293" s="102" t="n"/>
      <c r="R1293" s="102" t="n"/>
      <c r="S1293" s="102" t="n"/>
      <c r="T1293" s="102" t="n"/>
      <c r="U1293" s="102" t="n"/>
      <c r="V1293" s="102" t="n"/>
      <c r="W1293" s="102" t="n"/>
      <c r="X1293" s="102" t="n"/>
      <c r="Y1293" s="102" t="n"/>
      <c r="Z1293" s="102" t="n"/>
      <c r="AA1293" s="102" t="n"/>
      <c r="AB1293" s="102" t="n"/>
      <c r="AC1293" s="102" t="n"/>
      <c r="AD1293" s="102" t="n"/>
      <c r="AE1293" s="102" t="n"/>
      <c r="AF1293" s="102" t="n"/>
      <c r="AG1293" s="102" t="n"/>
      <c r="AH1293" s="102" t="n"/>
      <c r="AI1293" s="102" t="n"/>
      <c r="AJ1293" s="102" t="n"/>
      <c r="AK1293" s="102" t="n"/>
      <c r="AL1293" s="102" t="n"/>
      <c r="AM1293" s="102" t="n"/>
      <c r="AN1293" s="102" t="n"/>
      <c r="AO1293" s="102" t="n"/>
      <c r="AP1293" s="102" t="n"/>
      <c r="AQ1293" s="102" t="n"/>
      <c r="AR1293" s="102" t="n"/>
    </row>
    <row r="1294">
      <c r="D1294" s="102" t="n"/>
      <c r="E1294" s="102" t="n"/>
      <c r="F1294" s="102" t="n"/>
      <c r="G1294" s="102" t="n"/>
      <c r="H1294" s="102" t="n"/>
      <c r="I1294" s="102" t="n"/>
      <c r="J1294" s="102" t="n"/>
      <c r="K1294" s="102" t="n"/>
      <c r="L1294" s="102" t="n"/>
      <c r="M1294" s="102" t="n"/>
      <c r="N1294" s="102" t="n"/>
      <c r="O1294" s="102" t="n"/>
      <c r="P1294" s="102" t="n"/>
      <c r="Q1294" s="102" t="n"/>
      <c r="R1294" s="102" t="n"/>
      <c r="S1294" s="102" t="n"/>
      <c r="T1294" s="102" t="n"/>
      <c r="U1294" s="102" t="n"/>
      <c r="V1294" s="102" t="n"/>
      <c r="W1294" s="102" t="n"/>
      <c r="X1294" s="102" t="n"/>
      <c r="Y1294" s="102" t="n"/>
      <c r="Z1294" s="102" t="n"/>
      <c r="AA1294" s="102" t="n"/>
      <c r="AB1294" s="102" t="n"/>
      <c r="AC1294" s="102" t="n"/>
      <c r="AD1294" s="102" t="n"/>
      <c r="AE1294" s="102" t="n"/>
      <c r="AF1294" s="102" t="n"/>
      <c r="AG1294" s="102" t="n"/>
      <c r="AH1294" s="102" t="n"/>
      <c r="AI1294" s="102" t="n"/>
      <c r="AJ1294" s="102" t="n"/>
      <c r="AK1294" s="102" t="n"/>
      <c r="AL1294" s="102" t="n"/>
      <c r="AM1294" s="102" t="n"/>
      <c r="AN1294" s="102" t="n"/>
      <c r="AO1294" s="102" t="n"/>
      <c r="AP1294" s="102" t="n"/>
      <c r="AQ1294" s="102" t="n"/>
      <c r="AR1294" s="102" t="n"/>
    </row>
    <row r="1295">
      <c r="D1295" s="103" t="n"/>
      <c r="E1295" s="103" t="n"/>
      <c r="F1295" s="103" t="n"/>
      <c r="G1295" s="103" t="n"/>
      <c r="H1295" s="103" t="n"/>
      <c r="I1295" s="103" t="n"/>
      <c r="J1295" s="103" t="n"/>
      <c r="K1295" s="103" t="n"/>
      <c r="L1295" s="103" t="n"/>
      <c r="M1295" s="103" t="n"/>
      <c r="N1295" s="103" t="n"/>
      <c r="O1295" s="103" t="n"/>
      <c r="P1295" s="103" t="n"/>
      <c r="Q1295" s="103" t="n"/>
      <c r="R1295" s="103" t="n"/>
      <c r="S1295" s="103" t="n"/>
      <c r="T1295" s="103" t="n"/>
      <c r="U1295" s="103" t="n"/>
      <c r="V1295" s="103" t="n"/>
      <c r="W1295" s="103" t="n"/>
      <c r="X1295" s="103" t="n"/>
      <c r="Y1295" s="103" t="n"/>
      <c r="Z1295" s="103" t="n"/>
      <c r="AA1295" s="103" t="n"/>
      <c r="AB1295" s="103" t="n"/>
      <c r="AC1295" s="103" t="n"/>
      <c r="AD1295" s="103" t="n"/>
      <c r="AE1295" s="103" t="n"/>
      <c r="AF1295" s="103" t="n"/>
      <c r="AG1295" s="103" t="n"/>
      <c r="AH1295" s="103" t="n"/>
      <c r="AI1295" s="103" t="n"/>
      <c r="AJ1295" s="103" t="n"/>
      <c r="AK1295" s="103" t="n"/>
      <c r="AL1295" s="103" t="n"/>
      <c r="AM1295" s="103" t="n"/>
      <c r="AN1295" s="103" t="n"/>
      <c r="AO1295" s="103" t="n"/>
      <c r="AP1295" s="103" t="n"/>
      <c r="AQ1295" s="103" t="n"/>
      <c r="AR1295" s="103" t="n"/>
    </row>
    <row r="1298">
      <c r="A1298" s="2">
        <f>IF($A1291="","","   projections")</f>
        <v/>
      </c>
      <c r="B1298" s="99">
        <f>IF($A1291="",0,COUNT($E1299:$AR1299))</f>
        <v/>
      </c>
      <c r="C1298" s="100">
        <f>IF($B1298=0,0,MAX($E1299:$AR1299))</f>
        <v/>
      </c>
      <c r="D1298" s="101">
        <f>BDS($A1291,FLD_PROJ,"headers=y","startcol=1","endcol=3","dir=h")</f>
        <v/>
      </c>
      <c r="E1298" s="102" t="n"/>
      <c r="F1298" s="102" t="n"/>
      <c r="G1298" s="102" t="n"/>
      <c r="H1298" s="102" t="n"/>
      <c r="I1298" s="102" t="n"/>
      <c r="J1298" s="102" t="n"/>
      <c r="K1298" s="102" t="n"/>
      <c r="L1298" s="102" t="n"/>
      <c r="M1298" s="102" t="n"/>
      <c r="N1298" s="102" t="n"/>
      <c r="O1298" s="102" t="n"/>
      <c r="P1298" s="102" t="n"/>
      <c r="Q1298" s="102" t="n"/>
      <c r="R1298" s="102" t="n"/>
      <c r="S1298" s="102" t="n"/>
      <c r="T1298" s="102" t="n"/>
      <c r="U1298" s="102" t="n"/>
      <c r="V1298" s="102" t="n"/>
      <c r="W1298" s="102" t="n"/>
      <c r="X1298" s="102" t="n"/>
      <c r="Y1298" s="102" t="n"/>
      <c r="Z1298" s="102" t="n"/>
      <c r="AA1298" s="102" t="n"/>
      <c r="AB1298" s="102" t="n"/>
      <c r="AC1298" s="102" t="n"/>
      <c r="AD1298" s="102" t="n"/>
      <c r="AE1298" s="102" t="n"/>
      <c r="AF1298" s="102" t="n"/>
      <c r="AG1298" s="102" t="n"/>
      <c r="AH1298" s="102" t="n"/>
      <c r="AI1298" s="102" t="n"/>
      <c r="AJ1298" s="102" t="n"/>
      <c r="AK1298" s="102" t="n"/>
      <c r="AL1298" s="102" t="n"/>
      <c r="AM1298" s="102" t="n"/>
      <c r="AN1298" s="102" t="n"/>
      <c r="AO1298" s="102" t="n"/>
      <c r="AP1298" s="102" t="n"/>
      <c r="AQ1298" s="102" t="n"/>
      <c r="AR1298" s="102" t="n"/>
    </row>
    <row r="1299">
      <c r="D1299" s="102" t="n"/>
      <c r="E1299" s="102" t="n"/>
      <c r="F1299" s="102" t="n"/>
      <c r="G1299" s="102" t="n"/>
      <c r="H1299" s="102" t="n"/>
      <c r="I1299" s="102" t="n"/>
      <c r="J1299" s="102" t="n"/>
      <c r="K1299" s="102" t="n"/>
      <c r="L1299" s="102" t="n"/>
      <c r="M1299" s="102" t="n"/>
      <c r="N1299" s="102" t="n"/>
      <c r="O1299" s="102" t="n"/>
      <c r="P1299" s="102" t="n"/>
      <c r="Q1299" s="102" t="n"/>
      <c r="R1299" s="102" t="n"/>
      <c r="S1299" s="102" t="n"/>
      <c r="T1299" s="102" t="n"/>
      <c r="U1299" s="102" t="n"/>
      <c r="V1299" s="102" t="n"/>
      <c r="W1299" s="102" t="n"/>
      <c r="X1299" s="102" t="n"/>
      <c r="Y1299" s="102" t="n"/>
      <c r="Z1299" s="102" t="n"/>
      <c r="AA1299" s="102" t="n"/>
      <c r="AB1299" s="102" t="n"/>
      <c r="AC1299" s="102" t="n"/>
      <c r="AD1299" s="102" t="n"/>
      <c r="AE1299" s="102" t="n"/>
      <c r="AF1299" s="102" t="n"/>
      <c r="AG1299" s="102" t="n"/>
      <c r="AH1299" s="102" t="n"/>
      <c r="AI1299" s="102" t="n"/>
      <c r="AJ1299" s="102" t="n"/>
      <c r="AK1299" s="102" t="n"/>
      <c r="AL1299" s="102" t="n"/>
      <c r="AM1299" s="102" t="n"/>
      <c r="AN1299" s="102" t="n"/>
      <c r="AO1299" s="102" t="n"/>
      <c r="AP1299" s="102" t="n"/>
      <c r="AQ1299" s="102" t="n"/>
      <c r="AR1299" s="102" t="n"/>
    </row>
    <row r="1300">
      <c r="D1300" s="103" t="n"/>
      <c r="E1300" s="103" t="n"/>
      <c r="F1300" s="103" t="n"/>
      <c r="G1300" s="103" t="n"/>
      <c r="H1300" s="103" t="n"/>
      <c r="I1300" s="103" t="n"/>
      <c r="J1300" s="103" t="n"/>
      <c r="K1300" s="103" t="n"/>
      <c r="L1300" s="103" t="n"/>
      <c r="M1300" s="103" t="n"/>
      <c r="N1300" s="103" t="n"/>
      <c r="O1300" s="103" t="n"/>
      <c r="P1300" s="103" t="n"/>
      <c r="Q1300" s="103" t="n"/>
      <c r="R1300" s="103" t="n"/>
      <c r="S1300" s="103" t="n"/>
      <c r="T1300" s="103" t="n"/>
      <c r="U1300" s="103" t="n"/>
      <c r="V1300" s="103" t="n"/>
      <c r="W1300" s="103" t="n"/>
      <c r="X1300" s="103" t="n"/>
      <c r="Y1300" s="103" t="n"/>
      <c r="Z1300" s="103" t="n"/>
      <c r="AA1300" s="103" t="n"/>
      <c r="AB1300" s="103" t="n"/>
      <c r="AC1300" s="103" t="n"/>
      <c r="AD1300" s="103" t="n"/>
      <c r="AE1300" s="103" t="n"/>
      <c r="AF1300" s="103" t="n"/>
      <c r="AG1300" s="103" t="n"/>
      <c r="AH1300" s="103" t="n"/>
      <c r="AI1300" s="103" t="n"/>
      <c r="AJ1300" s="103" t="n"/>
      <c r="AK1300" s="103" t="n"/>
      <c r="AL1300" s="103" t="n"/>
      <c r="AM1300" s="103" t="n"/>
      <c r="AN1300" s="103" t="n"/>
      <c r="AO1300" s="103" t="n"/>
      <c r="AP1300" s="103" t="n"/>
      <c r="AQ1300" s="103" t="n"/>
      <c r="AR1300" s="103" t="n"/>
    </row>
    <row r="1302">
      <c r="A1302" s="8">
        <f>IF(HSTECH!$C$24="","",HSTECH!$C$24)</f>
        <v/>
      </c>
      <c r="B1302" s="99">
        <f>IF($A1302="",0,COUNT($E1303:$AR1303))</f>
        <v/>
      </c>
      <c r="C1302" s="100">
        <f>IF($B1302=0,0,MAX($E1303:$AR1303))</f>
        <v/>
      </c>
      <c r="D1302" s="101">
        <f>BDS($A1302,FLD_HIST,"headers=y","startcol=1","endcol=7","dir=h","DVD_START_DT",HIST_FROM,"DVD_END_DT",HIST_TO)</f>
        <v/>
      </c>
      <c r="E1302" s="102" t="n"/>
      <c r="F1302" s="102" t="n"/>
      <c r="G1302" s="102" t="n"/>
      <c r="H1302" s="102" t="n"/>
      <c r="I1302" s="102" t="n"/>
      <c r="J1302" s="102" t="n"/>
      <c r="K1302" s="102" t="n"/>
      <c r="L1302" s="102" t="n"/>
      <c r="M1302" s="102" t="n"/>
      <c r="N1302" s="102" t="n"/>
      <c r="O1302" s="102" t="n"/>
      <c r="P1302" s="102" t="n"/>
      <c r="Q1302" s="102" t="n"/>
      <c r="R1302" s="102" t="n"/>
      <c r="S1302" s="102" t="n"/>
      <c r="T1302" s="102" t="n"/>
      <c r="U1302" s="102" t="n"/>
      <c r="V1302" s="102" t="n"/>
      <c r="W1302" s="102" t="n"/>
      <c r="X1302" s="102" t="n"/>
      <c r="Y1302" s="102" t="n"/>
      <c r="Z1302" s="102" t="n"/>
      <c r="AA1302" s="102" t="n"/>
      <c r="AB1302" s="102" t="n"/>
      <c r="AC1302" s="102" t="n"/>
      <c r="AD1302" s="102" t="n"/>
      <c r="AE1302" s="102" t="n"/>
      <c r="AF1302" s="102" t="n"/>
      <c r="AG1302" s="102" t="n"/>
      <c r="AH1302" s="102" t="n"/>
      <c r="AI1302" s="102" t="n"/>
      <c r="AJ1302" s="102" t="n"/>
      <c r="AK1302" s="102" t="n"/>
      <c r="AL1302" s="102" t="n"/>
      <c r="AM1302" s="102" t="n"/>
      <c r="AN1302" s="102" t="n"/>
      <c r="AO1302" s="102" t="n"/>
      <c r="AP1302" s="102" t="n"/>
      <c r="AQ1302" s="102" t="n"/>
      <c r="AR1302" s="102" t="n"/>
    </row>
    <row r="1303">
      <c r="D1303" s="102" t="n"/>
      <c r="E1303" s="102" t="n"/>
      <c r="F1303" s="102" t="n"/>
      <c r="G1303" s="102" t="n"/>
      <c r="H1303" s="102" t="n"/>
      <c r="I1303" s="102" t="n"/>
      <c r="J1303" s="102" t="n"/>
      <c r="K1303" s="102" t="n"/>
      <c r="L1303" s="102" t="n"/>
      <c r="M1303" s="102" t="n"/>
      <c r="N1303" s="102" t="n"/>
      <c r="O1303" s="102" t="n"/>
      <c r="P1303" s="102" t="n"/>
      <c r="Q1303" s="102" t="n"/>
      <c r="R1303" s="102" t="n"/>
      <c r="S1303" s="102" t="n"/>
      <c r="T1303" s="102" t="n"/>
      <c r="U1303" s="102" t="n"/>
      <c r="V1303" s="102" t="n"/>
      <c r="W1303" s="102" t="n"/>
      <c r="X1303" s="102" t="n"/>
      <c r="Y1303" s="102" t="n"/>
      <c r="Z1303" s="102" t="n"/>
      <c r="AA1303" s="102" t="n"/>
      <c r="AB1303" s="102" t="n"/>
      <c r="AC1303" s="102" t="n"/>
      <c r="AD1303" s="102" t="n"/>
      <c r="AE1303" s="102" t="n"/>
      <c r="AF1303" s="102" t="n"/>
      <c r="AG1303" s="102" t="n"/>
      <c r="AH1303" s="102" t="n"/>
      <c r="AI1303" s="102" t="n"/>
      <c r="AJ1303" s="102" t="n"/>
      <c r="AK1303" s="102" t="n"/>
      <c r="AL1303" s="102" t="n"/>
      <c r="AM1303" s="102" t="n"/>
      <c r="AN1303" s="102" t="n"/>
      <c r="AO1303" s="102" t="n"/>
      <c r="AP1303" s="102" t="n"/>
      <c r="AQ1303" s="102" t="n"/>
      <c r="AR1303" s="102" t="n"/>
    </row>
    <row r="1304">
      <c r="D1304" s="102" t="n"/>
      <c r="E1304" s="102" t="n"/>
      <c r="F1304" s="102" t="n"/>
      <c r="G1304" s="102" t="n"/>
      <c r="H1304" s="102" t="n"/>
      <c r="I1304" s="102" t="n"/>
      <c r="J1304" s="102" t="n"/>
      <c r="K1304" s="102" t="n"/>
      <c r="L1304" s="102" t="n"/>
      <c r="M1304" s="102" t="n"/>
      <c r="N1304" s="102" t="n"/>
      <c r="O1304" s="102" t="n"/>
      <c r="P1304" s="102" t="n"/>
      <c r="Q1304" s="102" t="n"/>
      <c r="R1304" s="102" t="n"/>
      <c r="S1304" s="102" t="n"/>
      <c r="T1304" s="102" t="n"/>
      <c r="U1304" s="102" t="n"/>
      <c r="V1304" s="102" t="n"/>
      <c r="W1304" s="102" t="n"/>
      <c r="X1304" s="102" t="n"/>
      <c r="Y1304" s="102" t="n"/>
      <c r="Z1304" s="102" t="n"/>
      <c r="AA1304" s="102" t="n"/>
      <c r="AB1304" s="102" t="n"/>
      <c r="AC1304" s="102" t="n"/>
      <c r="AD1304" s="102" t="n"/>
      <c r="AE1304" s="102" t="n"/>
      <c r="AF1304" s="102" t="n"/>
      <c r="AG1304" s="102" t="n"/>
      <c r="AH1304" s="102" t="n"/>
      <c r="AI1304" s="102" t="n"/>
      <c r="AJ1304" s="102" t="n"/>
      <c r="AK1304" s="102" t="n"/>
      <c r="AL1304" s="102" t="n"/>
      <c r="AM1304" s="102" t="n"/>
      <c r="AN1304" s="102" t="n"/>
      <c r="AO1304" s="102" t="n"/>
      <c r="AP1304" s="102" t="n"/>
      <c r="AQ1304" s="102" t="n"/>
      <c r="AR1304" s="102" t="n"/>
    </row>
    <row r="1305">
      <c r="D1305" s="102" t="n"/>
      <c r="E1305" s="102" t="n"/>
      <c r="F1305" s="102" t="n"/>
      <c r="G1305" s="102" t="n"/>
      <c r="H1305" s="102" t="n"/>
      <c r="I1305" s="102" t="n"/>
      <c r="J1305" s="102" t="n"/>
      <c r="K1305" s="102" t="n"/>
      <c r="L1305" s="102" t="n"/>
      <c r="M1305" s="102" t="n"/>
      <c r="N1305" s="102" t="n"/>
      <c r="O1305" s="102" t="n"/>
      <c r="P1305" s="102" t="n"/>
      <c r="Q1305" s="102" t="n"/>
      <c r="R1305" s="102" t="n"/>
      <c r="S1305" s="102" t="n"/>
      <c r="T1305" s="102" t="n"/>
      <c r="U1305" s="102" t="n"/>
      <c r="V1305" s="102" t="n"/>
      <c r="W1305" s="102" t="n"/>
      <c r="X1305" s="102" t="n"/>
      <c r="Y1305" s="102" t="n"/>
      <c r="Z1305" s="102" t="n"/>
      <c r="AA1305" s="102" t="n"/>
      <c r="AB1305" s="102" t="n"/>
      <c r="AC1305" s="102" t="n"/>
      <c r="AD1305" s="102" t="n"/>
      <c r="AE1305" s="102" t="n"/>
      <c r="AF1305" s="102" t="n"/>
      <c r="AG1305" s="102" t="n"/>
      <c r="AH1305" s="102" t="n"/>
      <c r="AI1305" s="102" t="n"/>
      <c r="AJ1305" s="102" t="n"/>
      <c r="AK1305" s="102" t="n"/>
      <c r="AL1305" s="102" t="n"/>
      <c r="AM1305" s="102" t="n"/>
      <c r="AN1305" s="102" t="n"/>
      <c r="AO1305" s="102" t="n"/>
      <c r="AP1305" s="102" t="n"/>
      <c r="AQ1305" s="102" t="n"/>
      <c r="AR1305" s="102" t="n"/>
    </row>
    <row r="1306">
      <c r="D1306" s="103" t="n"/>
      <c r="E1306" s="103" t="n"/>
      <c r="F1306" s="103" t="n"/>
      <c r="G1306" s="103" t="n"/>
      <c r="H1306" s="103" t="n"/>
      <c r="I1306" s="103" t="n"/>
      <c r="J1306" s="103" t="n"/>
      <c r="K1306" s="103" t="n"/>
      <c r="L1306" s="103" t="n"/>
      <c r="M1306" s="103" t="n"/>
      <c r="N1306" s="103" t="n"/>
      <c r="O1306" s="103" t="n"/>
      <c r="P1306" s="103" t="n"/>
      <c r="Q1306" s="103" t="n"/>
      <c r="R1306" s="103" t="n"/>
      <c r="S1306" s="103" t="n"/>
      <c r="T1306" s="103" t="n"/>
      <c r="U1306" s="103" t="n"/>
      <c r="V1306" s="103" t="n"/>
      <c r="W1306" s="103" t="n"/>
      <c r="X1306" s="103" t="n"/>
      <c r="Y1306" s="103" t="n"/>
      <c r="Z1306" s="103" t="n"/>
      <c r="AA1306" s="103" t="n"/>
      <c r="AB1306" s="103" t="n"/>
      <c r="AC1306" s="103" t="n"/>
      <c r="AD1306" s="103" t="n"/>
      <c r="AE1306" s="103" t="n"/>
      <c r="AF1306" s="103" t="n"/>
      <c r="AG1306" s="103" t="n"/>
      <c r="AH1306" s="103" t="n"/>
      <c r="AI1306" s="103" t="n"/>
      <c r="AJ1306" s="103" t="n"/>
      <c r="AK1306" s="103" t="n"/>
      <c r="AL1306" s="103" t="n"/>
      <c r="AM1306" s="103" t="n"/>
      <c r="AN1306" s="103" t="n"/>
      <c r="AO1306" s="103" t="n"/>
      <c r="AP1306" s="103" t="n"/>
      <c r="AQ1306" s="103" t="n"/>
      <c r="AR1306" s="103" t="n"/>
    </row>
    <row r="1309">
      <c r="A1309" s="2">
        <f>IF($A1302="","","   projections")</f>
        <v/>
      </c>
      <c r="B1309" s="99">
        <f>IF($A1302="",0,COUNT($E1310:$AR1310))</f>
        <v/>
      </c>
      <c r="C1309" s="100">
        <f>IF($B1309=0,0,MAX($E1310:$AR1310))</f>
        <v/>
      </c>
      <c r="D1309" s="101">
        <f>BDS($A1302,FLD_PROJ,"headers=y","startcol=1","endcol=3","dir=h")</f>
        <v/>
      </c>
      <c r="E1309" s="102" t="n"/>
      <c r="F1309" s="102" t="n"/>
      <c r="G1309" s="102" t="n"/>
      <c r="H1309" s="102" t="n"/>
      <c r="I1309" s="102" t="n"/>
      <c r="J1309" s="102" t="n"/>
      <c r="K1309" s="102" t="n"/>
      <c r="L1309" s="102" t="n"/>
      <c r="M1309" s="102" t="n"/>
      <c r="N1309" s="102" t="n"/>
      <c r="O1309" s="102" t="n"/>
      <c r="P1309" s="102" t="n"/>
      <c r="Q1309" s="102" t="n"/>
      <c r="R1309" s="102" t="n"/>
      <c r="S1309" s="102" t="n"/>
      <c r="T1309" s="102" t="n"/>
      <c r="U1309" s="102" t="n"/>
      <c r="V1309" s="102" t="n"/>
      <c r="W1309" s="102" t="n"/>
      <c r="X1309" s="102" t="n"/>
      <c r="Y1309" s="102" t="n"/>
      <c r="Z1309" s="102" t="n"/>
      <c r="AA1309" s="102" t="n"/>
      <c r="AB1309" s="102" t="n"/>
      <c r="AC1309" s="102" t="n"/>
      <c r="AD1309" s="102" t="n"/>
      <c r="AE1309" s="102" t="n"/>
      <c r="AF1309" s="102" t="n"/>
      <c r="AG1309" s="102" t="n"/>
      <c r="AH1309" s="102" t="n"/>
      <c r="AI1309" s="102" t="n"/>
      <c r="AJ1309" s="102" t="n"/>
      <c r="AK1309" s="102" t="n"/>
      <c r="AL1309" s="102" t="n"/>
      <c r="AM1309" s="102" t="n"/>
      <c r="AN1309" s="102" t="n"/>
      <c r="AO1309" s="102" t="n"/>
      <c r="AP1309" s="102" t="n"/>
      <c r="AQ1309" s="102" t="n"/>
      <c r="AR1309" s="102" t="n"/>
    </row>
    <row r="1310">
      <c r="D1310" s="102" t="n"/>
      <c r="E1310" s="102" t="n"/>
      <c r="F1310" s="102" t="n"/>
      <c r="G1310" s="102" t="n"/>
      <c r="H1310" s="102" t="n"/>
      <c r="I1310" s="102" t="n"/>
      <c r="J1310" s="102" t="n"/>
      <c r="K1310" s="102" t="n"/>
      <c r="L1310" s="102" t="n"/>
      <c r="M1310" s="102" t="n"/>
      <c r="N1310" s="102" t="n"/>
      <c r="O1310" s="102" t="n"/>
      <c r="P1310" s="102" t="n"/>
      <c r="Q1310" s="102" t="n"/>
      <c r="R1310" s="102" t="n"/>
      <c r="S1310" s="102" t="n"/>
      <c r="T1310" s="102" t="n"/>
      <c r="U1310" s="102" t="n"/>
      <c r="V1310" s="102" t="n"/>
      <c r="W1310" s="102" t="n"/>
      <c r="X1310" s="102" t="n"/>
      <c r="Y1310" s="102" t="n"/>
      <c r="Z1310" s="102" t="n"/>
      <c r="AA1310" s="102" t="n"/>
      <c r="AB1310" s="102" t="n"/>
      <c r="AC1310" s="102" t="n"/>
      <c r="AD1310" s="102" t="n"/>
      <c r="AE1310" s="102" t="n"/>
      <c r="AF1310" s="102" t="n"/>
      <c r="AG1310" s="102" t="n"/>
      <c r="AH1310" s="102" t="n"/>
      <c r="AI1310" s="102" t="n"/>
      <c r="AJ1310" s="102" t="n"/>
      <c r="AK1310" s="102" t="n"/>
      <c r="AL1310" s="102" t="n"/>
      <c r="AM1310" s="102" t="n"/>
      <c r="AN1310" s="102" t="n"/>
      <c r="AO1310" s="102" t="n"/>
      <c r="AP1310" s="102" t="n"/>
      <c r="AQ1310" s="102" t="n"/>
      <c r="AR1310" s="102" t="n"/>
    </row>
    <row r="1311">
      <c r="D1311" s="103" t="n"/>
      <c r="E1311" s="103" t="n"/>
      <c r="F1311" s="103" t="n"/>
      <c r="G1311" s="103" t="n"/>
      <c r="H1311" s="103" t="n"/>
      <c r="I1311" s="103" t="n"/>
      <c r="J1311" s="103" t="n"/>
      <c r="K1311" s="103" t="n"/>
      <c r="L1311" s="103" t="n"/>
      <c r="M1311" s="103" t="n"/>
      <c r="N1311" s="103" t="n"/>
      <c r="O1311" s="103" t="n"/>
      <c r="P1311" s="103" t="n"/>
      <c r="Q1311" s="103" t="n"/>
      <c r="R1311" s="103" t="n"/>
      <c r="S1311" s="103" t="n"/>
      <c r="T1311" s="103" t="n"/>
      <c r="U1311" s="103" t="n"/>
      <c r="V1311" s="103" t="n"/>
      <c r="W1311" s="103" t="n"/>
      <c r="X1311" s="103" t="n"/>
      <c r="Y1311" s="103" t="n"/>
      <c r="Z1311" s="103" t="n"/>
      <c r="AA1311" s="103" t="n"/>
      <c r="AB1311" s="103" t="n"/>
      <c r="AC1311" s="103" t="n"/>
      <c r="AD1311" s="103" t="n"/>
      <c r="AE1311" s="103" t="n"/>
      <c r="AF1311" s="103" t="n"/>
      <c r="AG1311" s="103" t="n"/>
      <c r="AH1311" s="103" t="n"/>
      <c r="AI1311" s="103" t="n"/>
      <c r="AJ1311" s="103" t="n"/>
      <c r="AK1311" s="103" t="n"/>
      <c r="AL1311" s="103" t="n"/>
      <c r="AM1311" s="103" t="n"/>
      <c r="AN1311" s="103" t="n"/>
      <c r="AO1311" s="103" t="n"/>
      <c r="AP1311" s="103" t="n"/>
      <c r="AQ1311" s="103" t="n"/>
      <c r="AR1311" s="103" t="n"/>
    </row>
    <row r="1313">
      <c r="A1313" s="8">
        <f>IF(HSTECH!$C$25="","",HSTECH!$C$25)</f>
        <v/>
      </c>
      <c r="B1313" s="99">
        <f>IF($A1313="",0,COUNT($E1314:$AR1314))</f>
        <v/>
      </c>
      <c r="C1313" s="100">
        <f>IF($B1313=0,0,MAX($E1314:$AR1314))</f>
        <v/>
      </c>
      <c r="D1313" s="101">
        <f>BDS($A1313,FLD_HIST,"headers=y","startcol=1","endcol=7","dir=h","DVD_START_DT",HIST_FROM,"DVD_END_DT",HIST_TO)</f>
        <v/>
      </c>
      <c r="E1313" s="102" t="n"/>
      <c r="F1313" s="102" t="n"/>
      <c r="G1313" s="102" t="n"/>
      <c r="H1313" s="102" t="n"/>
      <c r="I1313" s="102" t="n"/>
      <c r="J1313" s="102" t="n"/>
      <c r="K1313" s="102" t="n"/>
      <c r="L1313" s="102" t="n"/>
      <c r="M1313" s="102" t="n"/>
      <c r="N1313" s="102" t="n"/>
      <c r="O1313" s="102" t="n"/>
      <c r="P1313" s="102" t="n"/>
      <c r="Q1313" s="102" t="n"/>
      <c r="R1313" s="102" t="n"/>
      <c r="S1313" s="102" t="n"/>
      <c r="T1313" s="102" t="n"/>
      <c r="U1313" s="102" t="n"/>
      <c r="V1313" s="102" t="n"/>
      <c r="W1313" s="102" t="n"/>
      <c r="X1313" s="102" t="n"/>
      <c r="Y1313" s="102" t="n"/>
      <c r="Z1313" s="102" t="n"/>
      <c r="AA1313" s="102" t="n"/>
      <c r="AB1313" s="102" t="n"/>
      <c r="AC1313" s="102" t="n"/>
      <c r="AD1313" s="102" t="n"/>
      <c r="AE1313" s="102" t="n"/>
      <c r="AF1313" s="102" t="n"/>
      <c r="AG1313" s="102" t="n"/>
      <c r="AH1313" s="102" t="n"/>
      <c r="AI1313" s="102" t="n"/>
      <c r="AJ1313" s="102" t="n"/>
      <c r="AK1313" s="102" t="n"/>
      <c r="AL1313" s="102" t="n"/>
      <c r="AM1313" s="102" t="n"/>
      <c r="AN1313" s="102" t="n"/>
      <c r="AO1313" s="102" t="n"/>
      <c r="AP1313" s="102" t="n"/>
      <c r="AQ1313" s="102" t="n"/>
      <c r="AR1313" s="102" t="n"/>
    </row>
    <row r="1314">
      <c r="D1314" s="102" t="n"/>
      <c r="E1314" s="102" t="n"/>
      <c r="F1314" s="102" t="n"/>
      <c r="G1314" s="102" t="n"/>
      <c r="H1314" s="102" t="n"/>
      <c r="I1314" s="102" t="n"/>
      <c r="J1314" s="102" t="n"/>
      <c r="K1314" s="102" t="n"/>
      <c r="L1314" s="102" t="n"/>
      <c r="M1314" s="102" t="n"/>
      <c r="N1314" s="102" t="n"/>
      <c r="O1314" s="102" t="n"/>
      <c r="P1314" s="102" t="n"/>
      <c r="Q1314" s="102" t="n"/>
      <c r="R1314" s="102" t="n"/>
      <c r="S1314" s="102" t="n"/>
      <c r="T1314" s="102" t="n"/>
      <c r="U1314" s="102" t="n"/>
      <c r="V1314" s="102" t="n"/>
      <c r="W1314" s="102" t="n"/>
      <c r="X1314" s="102" t="n"/>
      <c r="Y1314" s="102" t="n"/>
      <c r="Z1314" s="102" t="n"/>
      <c r="AA1314" s="102" t="n"/>
      <c r="AB1314" s="102" t="n"/>
      <c r="AC1314" s="102" t="n"/>
      <c r="AD1314" s="102" t="n"/>
      <c r="AE1314" s="102" t="n"/>
      <c r="AF1314" s="102" t="n"/>
      <c r="AG1314" s="102" t="n"/>
      <c r="AH1314" s="102" t="n"/>
      <c r="AI1314" s="102" t="n"/>
      <c r="AJ1314" s="102" t="n"/>
      <c r="AK1314" s="102" t="n"/>
      <c r="AL1314" s="102" t="n"/>
      <c r="AM1314" s="102" t="n"/>
      <c r="AN1314" s="102" t="n"/>
      <c r="AO1314" s="102" t="n"/>
      <c r="AP1314" s="102" t="n"/>
      <c r="AQ1314" s="102" t="n"/>
      <c r="AR1314" s="102" t="n"/>
    </row>
    <row r="1315">
      <c r="D1315" s="102" t="n"/>
      <c r="E1315" s="102" t="n"/>
      <c r="F1315" s="102" t="n"/>
      <c r="G1315" s="102" t="n"/>
      <c r="H1315" s="102" t="n"/>
      <c r="I1315" s="102" t="n"/>
      <c r="J1315" s="102" t="n"/>
      <c r="K1315" s="102" t="n"/>
      <c r="L1315" s="102" t="n"/>
      <c r="M1315" s="102" t="n"/>
      <c r="N1315" s="102" t="n"/>
      <c r="O1315" s="102" t="n"/>
      <c r="P1315" s="102" t="n"/>
      <c r="Q1315" s="102" t="n"/>
      <c r="R1315" s="102" t="n"/>
      <c r="S1315" s="102" t="n"/>
      <c r="T1315" s="102" t="n"/>
      <c r="U1315" s="102" t="n"/>
      <c r="V1315" s="102" t="n"/>
      <c r="W1315" s="102" t="n"/>
      <c r="X1315" s="102" t="n"/>
      <c r="Y1315" s="102" t="n"/>
      <c r="Z1315" s="102" t="n"/>
      <c r="AA1315" s="102" t="n"/>
      <c r="AB1315" s="102" t="n"/>
      <c r="AC1315" s="102" t="n"/>
      <c r="AD1315" s="102" t="n"/>
      <c r="AE1315" s="102" t="n"/>
      <c r="AF1315" s="102" t="n"/>
      <c r="AG1315" s="102" t="n"/>
      <c r="AH1315" s="102" t="n"/>
      <c r="AI1315" s="102" t="n"/>
      <c r="AJ1315" s="102" t="n"/>
      <c r="AK1315" s="102" t="n"/>
      <c r="AL1315" s="102" t="n"/>
      <c r="AM1315" s="102" t="n"/>
      <c r="AN1315" s="102" t="n"/>
      <c r="AO1315" s="102" t="n"/>
      <c r="AP1315" s="102" t="n"/>
      <c r="AQ1315" s="102" t="n"/>
      <c r="AR1315" s="102" t="n"/>
    </row>
    <row r="1316">
      <c r="D1316" s="102" t="n"/>
      <c r="E1316" s="102" t="n"/>
      <c r="F1316" s="102" t="n"/>
      <c r="G1316" s="102" t="n"/>
      <c r="H1316" s="102" t="n"/>
      <c r="I1316" s="102" t="n"/>
      <c r="J1316" s="102" t="n"/>
      <c r="K1316" s="102" t="n"/>
      <c r="L1316" s="102" t="n"/>
      <c r="M1316" s="102" t="n"/>
      <c r="N1316" s="102" t="n"/>
      <c r="O1316" s="102" t="n"/>
      <c r="P1316" s="102" t="n"/>
      <c r="Q1316" s="102" t="n"/>
      <c r="R1316" s="102" t="n"/>
      <c r="S1316" s="102" t="n"/>
      <c r="T1316" s="102" t="n"/>
      <c r="U1316" s="102" t="n"/>
      <c r="V1316" s="102" t="n"/>
      <c r="W1316" s="102" t="n"/>
      <c r="X1316" s="102" t="n"/>
      <c r="Y1316" s="102" t="n"/>
      <c r="Z1316" s="102" t="n"/>
      <c r="AA1316" s="102" t="n"/>
      <c r="AB1316" s="102" t="n"/>
      <c r="AC1316" s="102" t="n"/>
      <c r="AD1316" s="102" t="n"/>
      <c r="AE1316" s="102" t="n"/>
      <c r="AF1316" s="102" t="n"/>
      <c r="AG1316" s="102" t="n"/>
      <c r="AH1316" s="102" t="n"/>
      <c r="AI1316" s="102" t="n"/>
      <c r="AJ1316" s="102" t="n"/>
      <c r="AK1316" s="102" t="n"/>
      <c r="AL1316" s="102" t="n"/>
      <c r="AM1316" s="102" t="n"/>
      <c r="AN1316" s="102" t="n"/>
      <c r="AO1316" s="102" t="n"/>
      <c r="AP1316" s="102" t="n"/>
      <c r="AQ1316" s="102" t="n"/>
      <c r="AR1316" s="102" t="n"/>
    </row>
    <row r="1317">
      <c r="D1317" s="103" t="n"/>
      <c r="E1317" s="103" t="n"/>
      <c r="F1317" s="103" t="n"/>
      <c r="G1317" s="103" t="n"/>
      <c r="H1317" s="103" t="n"/>
      <c r="I1317" s="103" t="n"/>
      <c r="J1317" s="103" t="n"/>
      <c r="K1317" s="103" t="n"/>
      <c r="L1317" s="103" t="n"/>
      <c r="M1317" s="103" t="n"/>
      <c r="N1317" s="103" t="n"/>
      <c r="O1317" s="103" t="n"/>
      <c r="P1317" s="103" t="n"/>
      <c r="Q1317" s="103" t="n"/>
      <c r="R1317" s="103" t="n"/>
      <c r="S1317" s="103" t="n"/>
      <c r="T1317" s="103" t="n"/>
      <c r="U1317" s="103" t="n"/>
      <c r="V1317" s="103" t="n"/>
      <c r="W1317" s="103" t="n"/>
      <c r="X1317" s="103" t="n"/>
      <c r="Y1317" s="103" t="n"/>
      <c r="Z1317" s="103" t="n"/>
      <c r="AA1317" s="103" t="n"/>
      <c r="AB1317" s="103" t="n"/>
      <c r="AC1317" s="103" t="n"/>
      <c r="AD1317" s="103" t="n"/>
      <c r="AE1317" s="103" t="n"/>
      <c r="AF1317" s="103" t="n"/>
      <c r="AG1317" s="103" t="n"/>
      <c r="AH1317" s="103" t="n"/>
      <c r="AI1317" s="103" t="n"/>
      <c r="AJ1317" s="103" t="n"/>
      <c r="AK1317" s="103" t="n"/>
      <c r="AL1317" s="103" t="n"/>
      <c r="AM1317" s="103" t="n"/>
      <c r="AN1317" s="103" t="n"/>
      <c r="AO1317" s="103" t="n"/>
      <c r="AP1317" s="103" t="n"/>
      <c r="AQ1317" s="103" t="n"/>
      <c r="AR1317" s="103" t="n"/>
    </row>
    <row r="1320">
      <c r="A1320" s="2">
        <f>IF($A1313="","","   projections")</f>
        <v/>
      </c>
      <c r="B1320" s="99">
        <f>IF($A1313="",0,COUNT($E1321:$AR1321))</f>
        <v/>
      </c>
      <c r="C1320" s="100">
        <f>IF($B1320=0,0,MAX($E1321:$AR1321))</f>
        <v/>
      </c>
      <c r="D1320" s="101">
        <f>BDS($A1313,FLD_PROJ,"headers=y","startcol=1","endcol=3","dir=h")</f>
        <v/>
      </c>
      <c r="E1320" s="102" t="n"/>
      <c r="F1320" s="102" t="n"/>
      <c r="G1320" s="102" t="n"/>
      <c r="H1320" s="102" t="n"/>
      <c r="I1320" s="102" t="n"/>
      <c r="J1320" s="102" t="n"/>
      <c r="K1320" s="102" t="n"/>
      <c r="L1320" s="102" t="n"/>
      <c r="M1320" s="102" t="n"/>
      <c r="N1320" s="102" t="n"/>
      <c r="O1320" s="102" t="n"/>
      <c r="P1320" s="102" t="n"/>
      <c r="Q1320" s="102" t="n"/>
      <c r="R1320" s="102" t="n"/>
      <c r="S1320" s="102" t="n"/>
      <c r="T1320" s="102" t="n"/>
      <c r="U1320" s="102" t="n"/>
      <c r="V1320" s="102" t="n"/>
      <c r="W1320" s="102" t="n"/>
      <c r="X1320" s="102" t="n"/>
      <c r="Y1320" s="102" t="n"/>
      <c r="Z1320" s="102" t="n"/>
      <c r="AA1320" s="102" t="n"/>
      <c r="AB1320" s="102" t="n"/>
      <c r="AC1320" s="102" t="n"/>
      <c r="AD1320" s="102" t="n"/>
      <c r="AE1320" s="102" t="n"/>
      <c r="AF1320" s="102" t="n"/>
      <c r="AG1320" s="102" t="n"/>
      <c r="AH1320" s="102" t="n"/>
      <c r="AI1320" s="102" t="n"/>
      <c r="AJ1320" s="102" t="n"/>
      <c r="AK1320" s="102" t="n"/>
      <c r="AL1320" s="102" t="n"/>
      <c r="AM1320" s="102" t="n"/>
      <c r="AN1320" s="102" t="n"/>
      <c r="AO1320" s="102" t="n"/>
      <c r="AP1320" s="102" t="n"/>
      <c r="AQ1320" s="102" t="n"/>
      <c r="AR1320" s="102" t="n"/>
    </row>
    <row r="1321">
      <c r="D1321" s="102" t="n"/>
      <c r="E1321" s="102" t="n"/>
      <c r="F1321" s="102" t="n"/>
      <c r="G1321" s="102" t="n"/>
      <c r="H1321" s="102" t="n"/>
      <c r="I1321" s="102" t="n"/>
      <c r="J1321" s="102" t="n"/>
      <c r="K1321" s="102" t="n"/>
      <c r="L1321" s="102" t="n"/>
      <c r="M1321" s="102" t="n"/>
      <c r="N1321" s="102" t="n"/>
      <c r="O1321" s="102" t="n"/>
      <c r="P1321" s="102" t="n"/>
      <c r="Q1321" s="102" t="n"/>
      <c r="R1321" s="102" t="n"/>
      <c r="S1321" s="102" t="n"/>
      <c r="T1321" s="102" t="n"/>
      <c r="U1321" s="102" t="n"/>
      <c r="V1321" s="102" t="n"/>
      <c r="W1321" s="102" t="n"/>
      <c r="X1321" s="102" t="n"/>
      <c r="Y1321" s="102" t="n"/>
      <c r="Z1321" s="102" t="n"/>
      <c r="AA1321" s="102" t="n"/>
      <c r="AB1321" s="102" t="n"/>
      <c r="AC1321" s="102" t="n"/>
      <c r="AD1321" s="102" t="n"/>
      <c r="AE1321" s="102" t="n"/>
      <c r="AF1321" s="102" t="n"/>
      <c r="AG1321" s="102" t="n"/>
      <c r="AH1321" s="102" t="n"/>
      <c r="AI1321" s="102" t="n"/>
      <c r="AJ1321" s="102" t="n"/>
      <c r="AK1321" s="102" t="n"/>
      <c r="AL1321" s="102" t="n"/>
      <c r="AM1321" s="102" t="n"/>
      <c r="AN1321" s="102" t="n"/>
      <c r="AO1321" s="102" t="n"/>
      <c r="AP1321" s="102" t="n"/>
      <c r="AQ1321" s="102" t="n"/>
      <c r="AR1321" s="102" t="n"/>
    </row>
    <row r="1322">
      <c r="D1322" s="103" t="n"/>
      <c r="E1322" s="103" t="n"/>
      <c r="F1322" s="103" t="n"/>
      <c r="G1322" s="103" t="n"/>
      <c r="H1322" s="103" t="n"/>
      <c r="I1322" s="103" t="n"/>
      <c r="J1322" s="103" t="n"/>
      <c r="K1322" s="103" t="n"/>
      <c r="L1322" s="103" t="n"/>
      <c r="M1322" s="103" t="n"/>
      <c r="N1322" s="103" t="n"/>
      <c r="O1322" s="103" t="n"/>
      <c r="P1322" s="103" t="n"/>
      <c r="Q1322" s="103" t="n"/>
      <c r="R1322" s="103" t="n"/>
      <c r="S1322" s="103" t="n"/>
      <c r="T1322" s="103" t="n"/>
      <c r="U1322" s="103" t="n"/>
      <c r="V1322" s="103" t="n"/>
      <c r="W1322" s="103" t="n"/>
      <c r="X1322" s="103" t="n"/>
      <c r="Y1322" s="103" t="n"/>
      <c r="Z1322" s="103" t="n"/>
      <c r="AA1322" s="103" t="n"/>
      <c r="AB1322" s="103" t="n"/>
      <c r="AC1322" s="103" t="n"/>
      <c r="AD1322" s="103" t="n"/>
      <c r="AE1322" s="103" t="n"/>
      <c r="AF1322" s="103" t="n"/>
      <c r="AG1322" s="103" t="n"/>
      <c r="AH1322" s="103" t="n"/>
      <c r="AI1322" s="103" t="n"/>
      <c r="AJ1322" s="103" t="n"/>
      <c r="AK1322" s="103" t="n"/>
      <c r="AL1322" s="103" t="n"/>
      <c r="AM1322" s="103" t="n"/>
      <c r="AN1322" s="103" t="n"/>
      <c r="AO1322" s="103" t="n"/>
      <c r="AP1322" s="103" t="n"/>
      <c r="AQ1322" s="103" t="n"/>
      <c r="AR1322" s="103" t="n"/>
    </row>
    <row r="1324">
      <c r="A1324" s="8">
        <f>IF(HSTECH!$C$26="","",HSTECH!$C$26)</f>
        <v/>
      </c>
      <c r="B1324" s="99">
        <f>IF($A1324="",0,COUNT($E1325:$AR1325))</f>
        <v/>
      </c>
      <c r="C1324" s="100">
        <f>IF($B1324=0,0,MAX($E1325:$AR1325))</f>
        <v/>
      </c>
      <c r="D1324" s="101">
        <f>BDS($A1324,FLD_HIST,"headers=y","startcol=1","endcol=7","dir=h","DVD_START_DT",HIST_FROM,"DVD_END_DT",HIST_TO)</f>
        <v/>
      </c>
      <c r="E1324" s="102" t="n"/>
      <c r="F1324" s="102" t="n"/>
      <c r="G1324" s="102" t="n"/>
      <c r="H1324" s="102" t="n"/>
      <c r="I1324" s="102" t="n"/>
      <c r="J1324" s="102" t="n"/>
      <c r="K1324" s="102" t="n"/>
      <c r="L1324" s="102" t="n"/>
      <c r="M1324" s="102" t="n"/>
      <c r="N1324" s="102" t="n"/>
      <c r="O1324" s="102" t="n"/>
      <c r="P1324" s="102" t="n"/>
      <c r="Q1324" s="102" t="n"/>
      <c r="R1324" s="102" t="n"/>
      <c r="S1324" s="102" t="n"/>
      <c r="T1324" s="102" t="n"/>
      <c r="U1324" s="102" t="n"/>
      <c r="V1324" s="102" t="n"/>
      <c r="W1324" s="102" t="n"/>
      <c r="X1324" s="102" t="n"/>
      <c r="Y1324" s="102" t="n"/>
      <c r="Z1324" s="102" t="n"/>
      <c r="AA1324" s="102" t="n"/>
      <c r="AB1324" s="102" t="n"/>
      <c r="AC1324" s="102" t="n"/>
      <c r="AD1324" s="102" t="n"/>
      <c r="AE1324" s="102" t="n"/>
      <c r="AF1324" s="102" t="n"/>
      <c r="AG1324" s="102" t="n"/>
      <c r="AH1324" s="102" t="n"/>
      <c r="AI1324" s="102" t="n"/>
      <c r="AJ1324" s="102" t="n"/>
      <c r="AK1324" s="102" t="n"/>
      <c r="AL1324" s="102" t="n"/>
      <c r="AM1324" s="102" t="n"/>
      <c r="AN1324" s="102" t="n"/>
      <c r="AO1324" s="102" t="n"/>
      <c r="AP1324" s="102" t="n"/>
      <c r="AQ1324" s="102" t="n"/>
      <c r="AR1324" s="102" t="n"/>
    </row>
    <row r="1325">
      <c r="D1325" s="102" t="n"/>
      <c r="E1325" s="102" t="n"/>
      <c r="F1325" s="102" t="n"/>
      <c r="G1325" s="102" t="n"/>
      <c r="H1325" s="102" t="n"/>
      <c r="I1325" s="102" t="n"/>
      <c r="J1325" s="102" t="n"/>
      <c r="K1325" s="102" t="n"/>
      <c r="L1325" s="102" t="n"/>
      <c r="M1325" s="102" t="n"/>
      <c r="N1325" s="102" t="n"/>
      <c r="O1325" s="102" t="n"/>
      <c r="P1325" s="102" t="n"/>
      <c r="Q1325" s="102" t="n"/>
      <c r="R1325" s="102" t="n"/>
      <c r="S1325" s="102" t="n"/>
      <c r="T1325" s="102" t="n"/>
      <c r="U1325" s="102" t="n"/>
      <c r="V1325" s="102" t="n"/>
      <c r="W1325" s="102" t="n"/>
      <c r="X1325" s="102" t="n"/>
      <c r="Y1325" s="102" t="n"/>
      <c r="Z1325" s="102" t="n"/>
      <c r="AA1325" s="102" t="n"/>
      <c r="AB1325" s="102" t="n"/>
      <c r="AC1325" s="102" t="n"/>
      <c r="AD1325" s="102" t="n"/>
      <c r="AE1325" s="102" t="n"/>
      <c r="AF1325" s="102" t="n"/>
      <c r="AG1325" s="102" t="n"/>
      <c r="AH1325" s="102" t="n"/>
      <c r="AI1325" s="102" t="n"/>
      <c r="AJ1325" s="102" t="n"/>
      <c r="AK1325" s="102" t="n"/>
      <c r="AL1325" s="102" t="n"/>
      <c r="AM1325" s="102" t="n"/>
      <c r="AN1325" s="102" t="n"/>
      <c r="AO1325" s="102" t="n"/>
      <c r="AP1325" s="102" t="n"/>
      <c r="AQ1325" s="102" t="n"/>
      <c r="AR1325" s="102" t="n"/>
    </row>
    <row r="1326">
      <c r="D1326" s="102" t="n"/>
      <c r="E1326" s="102" t="n"/>
      <c r="F1326" s="102" t="n"/>
      <c r="G1326" s="102" t="n"/>
      <c r="H1326" s="102" t="n"/>
      <c r="I1326" s="102" t="n"/>
      <c r="J1326" s="102" t="n"/>
      <c r="K1326" s="102" t="n"/>
      <c r="L1326" s="102" t="n"/>
      <c r="M1326" s="102" t="n"/>
      <c r="N1326" s="102" t="n"/>
      <c r="O1326" s="102" t="n"/>
      <c r="P1326" s="102" t="n"/>
      <c r="Q1326" s="102" t="n"/>
      <c r="R1326" s="102" t="n"/>
      <c r="S1326" s="102" t="n"/>
      <c r="T1326" s="102" t="n"/>
      <c r="U1326" s="102" t="n"/>
      <c r="V1326" s="102" t="n"/>
      <c r="W1326" s="102" t="n"/>
      <c r="X1326" s="102" t="n"/>
      <c r="Y1326" s="102" t="n"/>
      <c r="Z1326" s="102" t="n"/>
      <c r="AA1326" s="102" t="n"/>
      <c r="AB1326" s="102" t="n"/>
      <c r="AC1326" s="102" t="n"/>
      <c r="AD1326" s="102" t="n"/>
      <c r="AE1326" s="102" t="n"/>
      <c r="AF1326" s="102" t="n"/>
      <c r="AG1326" s="102" t="n"/>
      <c r="AH1326" s="102" t="n"/>
      <c r="AI1326" s="102" t="n"/>
      <c r="AJ1326" s="102" t="n"/>
      <c r="AK1326" s="102" t="n"/>
      <c r="AL1326" s="102" t="n"/>
      <c r="AM1326" s="102" t="n"/>
      <c r="AN1326" s="102" t="n"/>
      <c r="AO1326" s="102" t="n"/>
      <c r="AP1326" s="102" t="n"/>
      <c r="AQ1326" s="102" t="n"/>
      <c r="AR1326" s="102" t="n"/>
    </row>
    <row r="1327">
      <c r="D1327" s="102" t="n"/>
      <c r="E1327" s="102" t="n"/>
      <c r="F1327" s="102" t="n"/>
      <c r="G1327" s="102" t="n"/>
      <c r="H1327" s="102" t="n"/>
      <c r="I1327" s="102" t="n"/>
      <c r="J1327" s="102" t="n"/>
      <c r="K1327" s="102" t="n"/>
      <c r="L1327" s="102" t="n"/>
      <c r="M1327" s="102" t="n"/>
      <c r="N1327" s="102" t="n"/>
      <c r="O1327" s="102" t="n"/>
      <c r="P1327" s="102" t="n"/>
      <c r="Q1327" s="102" t="n"/>
      <c r="R1327" s="102" t="n"/>
      <c r="S1327" s="102" t="n"/>
      <c r="T1327" s="102" t="n"/>
      <c r="U1327" s="102" t="n"/>
      <c r="V1327" s="102" t="n"/>
      <c r="W1327" s="102" t="n"/>
      <c r="X1327" s="102" t="n"/>
      <c r="Y1327" s="102" t="n"/>
      <c r="Z1327" s="102" t="n"/>
      <c r="AA1327" s="102" t="n"/>
      <c r="AB1327" s="102" t="n"/>
      <c r="AC1327" s="102" t="n"/>
      <c r="AD1327" s="102" t="n"/>
      <c r="AE1327" s="102" t="n"/>
      <c r="AF1327" s="102" t="n"/>
      <c r="AG1327" s="102" t="n"/>
      <c r="AH1327" s="102" t="n"/>
      <c r="AI1327" s="102" t="n"/>
      <c r="AJ1327" s="102" t="n"/>
      <c r="AK1327" s="102" t="n"/>
      <c r="AL1327" s="102" t="n"/>
      <c r="AM1327" s="102" t="n"/>
      <c r="AN1327" s="102" t="n"/>
      <c r="AO1327" s="102" t="n"/>
      <c r="AP1327" s="102" t="n"/>
      <c r="AQ1327" s="102" t="n"/>
      <c r="AR1327" s="102" t="n"/>
    </row>
    <row r="1328">
      <c r="D1328" s="103" t="n"/>
      <c r="E1328" s="103" t="n"/>
      <c r="F1328" s="103" t="n"/>
      <c r="G1328" s="103" t="n"/>
      <c r="H1328" s="103" t="n"/>
      <c r="I1328" s="103" t="n"/>
      <c r="J1328" s="103" t="n"/>
      <c r="K1328" s="103" t="n"/>
      <c r="L1328" s="103" t="n"/>
      <c r="M1328" s="103" t="n"/>
      <c r="N1328" s="103" t="n"/>
      <c r="O1328" s="103" t="n"/>
      <c r="P1328" s="103" t="n"/>
      <c r="Q1328" s="103" t="n"/>
      <c r="R1328" s="103" t="n"/>
      <c r="S1328" s="103" t="n"/>
      <c r="T1328" s="103" t="n"/>
      <c r="U1328" s="103" t="n"/>
      <c r="V1328" s="103" t="n"/>
      <c r="W1328" s="103" t="n"/>
      <c r="X1328" s="103" t="n"/>
      <c r="Y1328" s="103" t="n"/>
      <c r="Z1328" s="103" t="n"/>
      <c r="AA1328" s="103" t="n"/>
      <c r="AB1328" s="103" t="n"/>
      <c r="AC1328" s="103" t="n"/>
      <c r="AD1328" s="103" t="n"/>
      <c r="AE1328" s="103" t="n"/>
      <c r="AF1328" s="103" t="n"/>
      <c r="AG1328" s="103" t="n"/>
      <c r="AH1328" s="103" t="n"/>
      <c r="AI1328" s="103" t="n"/>
      <c r="AJ1328" s="103" t="n"/>
      <c r="AK1328" s="103" t="n"/>
      <c r="AL1328" s="103" t="n"/>
      <c r="AM1328" s="103" t="n"/>
      <c r="AN1328" s="103" t="n"/>
      <c r="AO1328" s="103" t="n"/>
      <c r="AP1328" s="103" t="n"/>
      <c r="AQ1328" s="103" t="n"/>
      <c r="AR1328" s="103" t="n"/>
    </row>
    <row r="1331">
      <c r="A1331" s="2">
        <f>IF($A1324="","","   projections")</f>
        <v/>
      </c>
      <c r="B1331" s="99">
        <f>IF($A1324="",0,COUNT($E1332:$AR1332))</f>
        <v/>
      </c>
      <c r="C1331" s="100">
        <f>IF($B1331=0,0,MAX($E1332:$AR1332))</f>
        <v/>
      </c>
      <c r="D1331" s="101">
        <f>BDS($A1324,FLD_PROJ,"headers=y","startcol=1","endcol=3","dir=h")</f>
        <v/>
      </c>
      <c r="E1331" s="102" t="n"/>
      <c r="F1331" s="102" t="n"/>
      <c r="G1331" s="102" t="n"/>
      <c r="H1331" s="102" t="n"/>
      <c r="I1331" s="102" t="n"/>
      <c r="J1331" s="102" t="n"/>
      <c r="K1331" s="102" t="n"/>
      <c r="L1331" s="102" t="n"/>
      <c r="M1331" s="102" t="n"/>
      <c r="N1331" s="102" t="n"/>
      <c r="O1331" s="102" t="n"/>
      <c r="P1331" s="102" t="n"/>
      <c r="Q1331" s="102" t="n"/>
      <c r="R1331" s="102" t="n"/>
      <c r="S1331" s="102" t="n"/>
      <c r="T1331" s="102" t="n"/>
      <c r="U1331" s="102" t="n"/>
      <c r="V1331" s="102" t="n"/>
      <c r="W1331" s="102" t="n"/>
      <c r="X1331" s="102" t="n"/>
      <c r="Y1331" s="102" t="n"/>
      <c r="Z1331" s="102" t="n"/>
      <c r="AA1331" s="102" t="n"/>
      <c r="AB1331" s="102" t="n"/>
      <c r="AC1331" s="102" t="n"/>
      <c r="AD1331" s="102" t="n"/>
      <c r="AE1331" s="102" t="n"/>
      <c r="AF1331" s="102" t="n"/>
      <c r="AG1331" s="102" t="n"/>
      <c r="AH1331" s="102" t="n"/>
      <c r="AI1331" s="102" t="n"/>
      <c r="AJ1331" s="102" t="n"/>
      <c r="AK1331" s="102" t="n"/>
      <c r="AL1331" s="102" t="n"/>
      <c r="AM1331" s="102" t="n"/>
      <c r="AN1331" s="102" t="n"/>
      <c r="AO1331" s="102" t="n"/>
      <c r="AP1331" s="102" t="n"/>
      <c r="AQ1331" s="102" t="n"/>
      <c r="AR1331" s="102" t="n"/>
    </row>
    <row r="1332">
      <c r="D1332" s="102" t="n"/>
      <c r="E1332" s="102" t="n"/>
      <c r="F1332" s="102" t="n"/>
      <c r="G1332" s="102" t="n"/>
      <c r="H1332" s="102" t="n"/>
      <c r="I1332" s="102" t="n"/>
      <c r="J1332" s="102" t="n"/>
      <c r="K1332" s="102" t="n"/>
      <c r="L1332" s="102" t="n"/>
      <c r="M1332" s="102" t="n"/>
      <c r="N1332" s="102" t="n"/>
      <c r="O1332" s="102" t="n"/>
      <c r="P1332" s="102" t="n"/>
      <c r="Q1332" s="102" t="n"/>
      <c r="R1332" s="102" t="n"/>
      <c r="S1332" s="102" t="n"/>
      <c r="T1332" s="102" t="n"/>
      <c r="U1332" s="102" t="n"/>
      <c r="V1332" s="102" t="n"/>
      <c r="W1332" s="102" t="n"/>
      <c r="X1332" s="102" t="n"/>
      <c r="Y1332" s="102" t="n"/>
      <c r="Z1332" s="102" t="n"/>
      <c r="AA1332" s="102" t="n"/>
      <c r="AB1332" s="102" t="n"/>
      <c r="AC1332" s="102" t="n"/>
      <c r="AD1332" s="102" t="n"/>
      <c r="AE1332" s="102" t="n"/>
      <c r="AF1332" s="102" t="n"/>
      <c r="AG1332" s="102" t="n"/>
      <c r="AH1332" s="102" t="n"/>
      <c r="AI1332" s="102" t="n"/>
      <c r="AJ1332" s="102" t="n"/>
      <c r="AK1332" s="102" t="n"/>
      <c r="AL1332" s="102" t="n"/>
      <c r="AM1332" s="102" t="n"/>
      <c r="AN1332" s="102" t="n"/>
      <c r="AO1332" s="102" t="n"/>
      <c r="AP1332" s="102" t="n"/>
      <c r="AQ1332" s="102" t="n"/>
      <c r="AR1332" s="102" t="n"/>
    </row>
    <row r="1333">
      <c r="D1333" s="103" t="n"/>
      <c r="E1333" s="103" t="n"/>
      <c r="F1333" s="103" t="n"/>
      <c r="G1333" s="103" t="n"/>
      <c r="H1333" s="103" t="n"/>
      <c r="I1333" s="103" t="n"/>
      <c r="J1333" s="103" t="n"/>
      <c r="K1333" s="103" t="n"/>
      <c r="L1333" s="103" t="n"/>
      <c r="M1333" s="103" t="n"/>
      <c r="N1333" s="103" t="n"/>
      <c r="O1333" s="103" t="n"/>
      <c r="P1333" s="103" t="n"/>
      <c r="Q1333" s="103" t="n"/>
      <c r="R1333" s="103" t="n"/>
      <c r="S1333" s="103" t="n"/>
      <c r="T1333" s="103" t="n"/>
      <c r="U1333" s="103" t="n"/>
      <c r="V1333" s="103" t="n"/>
      <c r="W1333" s="103" t="n"/>
      <c r="X1333" s="103" t="n"/>
      <c r="Y1333" s="103" t="n"/>
      <c r="Z1333" s="103" t="n"/>
      <c r="AA1333" s="103" t="n"/>
      <c r="AB1333" s="103" t="n"/>
      <c r="AC1333" s="103" t="n"/>
      <c r="AD1333" s="103" t="n"/>
      <c r="AE1333" s="103" t="n"/>
      <c r="AF1333" s="103" t="n"/>
      <c r="AG1333" s="103" t="n"/>
      <c r="AH1333" s="103" t="n"/>
      <c r="AI1333" s="103" t="n"/>
      <c r="AJ1333" s="103" t="n"/>
      <c r="AK1333" s="103" t="n"/>
      <c r="AL1333" s="103" t="n"/>
      <c r="AM1333" s="103" t="n"/>
      <c r="AN1333" s="103" t="n"/>
      <c r="AO1333" s="103" t="n"/>
      <c r="AP1333" s="103" t="n"/>
      <c r="AQ1333" s="103" t="n"/>
      <c r="AR1333" s="103" t="n"/>
    </row>
    <row r="1335">
      <c r="A1335" s="8">
        <f>IF(HSTECH!$C$27="","",HSTECH!$C$27)</f>
        <v/>
      </c>
      <c r="B1335" s="99">
        <f>IF($A1335="",0,COUNT($E1336:$AR1336))</f>
        <v/>
      </c>
      <c r="C1335" s="100">
        <f>IF($B1335=0,0,MAX($E1336:$AR1336))</f>
        <v/>
      </c>
      <c r="D1335" s="101">
        <f>BDS($A1335,FLD_HIST,"headers=y","startcol=1","endcol=7","dir=h","DVD_START_DT",HIST_FROM,"DVD_END_DT",HIST_TO)</f>
        <v/>
      </c>
      <c r="E1335" s="102" t="n"/>
      <c r="F1335" s="102" t="n"/>
      <c r="G1335" s="102" t="n"/>
      <c r="H1335" s="102" t="n"/>
      <c r="I1335" s="102" t="n"/>
      <c r="J1335" s="102" t="n"/>
      <c r="K1335" s="102" t="n"/>
      <c r="L1335" s="102" t="n"/>
      <c r="M1335" s="102" t="n"/>
      <c r="N1335" s="102" t="n"/>
      <c r="O1335" s="102" t="n"/>
      <c r="P1335" s="102" t="n"/>
      <c r="Q1335" s="102" t="n"/>
      <c r="R1335" s="102" t="n"/>
      <c r="S1335" s="102" t="n"/>
      <c r="T1335" s="102" t="n"/>
      <c r="U1335" s="102" t="n"/>
      <c r="V1335" s="102" t="n"/>
      <c r="W1335" s="102" t="n"/>
      <c r="X1335" s="102" t="n"/>
      <c r="Y1335" s="102" t="n"/>
      <c r="Z1335" s="102" t="n"/>
      <c r="AA1335" s="102" t="n"/>
      <c r="AB1335" s="102" t="n"/>
      <c r="AC1335" s="102" t="n"/>
      <c r="AD1335" s="102" t="n"/>
      <c r="AE1335" s="102" t="n"/>
      <c r="AF1335" s="102" t="n"/>
      <c r="AG1335" s="102" t="n"/>
      <c r="AH1335" s="102" t="n"/>
      <c r="AI1335" s="102" t="n"/>
      <c r="AJ1335" s="102" t="n"/>
      <c r="AK1335" s="102" t="n"/>
      <c r="AL1335" s="102" t="n"/>
      <c r="AM1335" s="102" t="n"/>
      <c r="AN1335" s="102" t="n"/>
      <c r="AO1335" s="102" t="n"/>
      <c r="AP1335" s="102" t="n"/>
      <c r="AQ1335" s="102" t="n"/>
      <c r="AR1335" s="102" t="n"/>
    </row>
    <row r="1336">
      <c r="D1336" s="102" t="n"/>
      <c r="E1336" s="102" t="n"/>
      <c r="F1336" s="102" t="n"/>
      <c r="G1336" s="102" t="n"/>
      <c r="H1336" s="102" t="n"/>
      <c r="I1336" s="102" t="n"/>
      <c r="J1336" s="102" t="n"/>
      <c r="K1336" s="102" t="n"/>
      <c r="L1336" s="102" t="n"/>
      <c r="M1336" s="102" t="n"/>
      <c r="N1336" s="102" t="n"/>
      <c r="O1336" s="102" t="n"/>
      <c r="P1336" s="102" t="n"/>
      <c r="Q1336" s="102" t="n"/>
      <c r="R1336" s="102" t="n"/>
      <c r="S1336" s="102" t="n"/>
      <c r="T1336" s="102" t="n"/>
      <c r="U1336" s="102" t="n"/>
      <c r="V1336" s="102" t="n"/>
      <c r="W1336" s="102" t="n"/>
      <c r="X1336" s="102" t="n"/>
      <c r="Y1336" s="102" t="n"/>
      <c r="Z1336" s="102" t="n"/>
      <c r="AA1336" s="102" t="n"/>
      <c r="AB1336" s="102" t="n"/>
      <c r="AC1336" s="102" t="n"/>
      <c r="AD1336" s="102" t="n"/>
      <c r="AE1336" s="102" t="n"/>
      <c r="AF1336" s="102" t="n"/>
      <c r="AG1336" s="102" t="n"/>
      <c r="AH1336" s="102" t="n"/>
      <c r="AI1336" s="102" t="n"/>
      <c r="AJ1336" s="102" t="n"/>
      <c r="AK1336" s="102" t="n"/>
      <c r="AL1336" s="102" t="n"/>
      <c r="AM1336" s="102" t="n"/>
      <c r="AN1336" s="102" t="n"/>
      <c r="AO1336" s="102" t="n"/>
      <c r="AP1336" s="102" t="n"/>
      <c r="AQ1336" s="102" t="n"/>
      <c r="AR1336" s="102" t="n"/>
    </row>
    <row r="1337">
      <c r="D1337" s="102" t="n"/>
      <c r="E1337" s="102" t="n"/>
      <c r="F1337" s="102" t="n"/>
      <c r="G1337" s="102" t="n"/>
      <c r="H1337" s="102" t="n"/>
      <c r="I1337" s="102" t="n"/>
      <c r="J1337" s="102" t="n"/>
      <c r="K1337" s="102" t="n"/>
      <c r="L1337" s="102" t="n"/>
      <c r="M1337" s="102" t="n"/>
      <c r="N1337" s="102" t="n"/>
      <c r="O1337" s="102" t="n"/>
      <c r="P1337" s="102" t="n"/>
      <c r="Q1337" s="102" t="n"/>
      <c r="R1337" s="102" t="n"/>
      <c r="S1337" s="102" t="n"/>
      <c r="T1337" s="102" t="n"/>
      <c r="U1337" s="102" t="n"/>
      <c r="V1337" s="102" t="n"/>
      <c r="W1337" s="102" t="n"/>
      <c r="X1337" s="102" t="n"/>
      <c r="Y1337" s="102" t="n"/>
      <c r="Z1337" s="102" t="n"/>
      <c r="AA1337" s="102" t="n"/>
      <c r="AB1337" s="102" t="n"/>
      <c r="AC1337" s="102" t="n"/>
      <c r="AD1337" s="102" t="n"/>
      <c r="AE1337" s="102" t="n"/>
      <c r="AF1337" s="102" t="n"/>
      <c r="AG1337" s="102" t="n"/>
      <c r="AH1337" s="102" t="n"/>
      <c r="AI1337" s="102" t="n"/>
      <c r="AJ1337" s="102" t="n"/>
      <c r="AK1337" s="102" t="n"/>
      <c r="AL1337" s="102" t="n"/>
      <c r="AM1337" s="102" t="n"/>
      <c r="AN1337" s="102" t="n"/>
      <c r="AO1337" s="102" t="n"/>
      <c r="AP1337" s="102" t="n"/>
      <c r="AQ1337" s="102" t="n"/>
      <c r="AR1337" s="102" t="n"/>
    </row>
    <row r="1338">
      <c r="D1338" s="102" t="n"/>
      <c r="E1338" s="102" t="n"/>
      <c r="F1338" s="102" t="n"/>
      <c r="G1338" s="102" t="n"/>
      <c r="H1338" s="102" t="n"/>
      <c r="I1338" s="102" t="n"/>
      <c r="J1338" s="102" t="n"/>
      <c r="K1338" s="102" t="n"/>
      <c r="L1338" s="102" t="n"/>
      <c r="M1338" s="102" t="n"/>
      <c r="N1338" s="102" t="n"/>
      <c r="O1338" s="102" t="n"/>
      <c r="P1338" s="102" t="n"/>
      <c r="Q1338" s="102" t="n"/>
      <c r="R1338" s="102" t="n"/>
      <c r="S1338" s="102" t="n"/>
      <c r="T1338" s="102" t="n"/>
      <c r="U1338" s="102" t="n"/>
      <c r="V1338" s="102" t="n"/>
      <c r="W1338" s="102" t="n"/>
      <c r="X1338" s="102" t="n"/>
      <c r="Y1338" s="102" t="n"/>
      <c r="Z1338" s="102" t="n"/>
      <c r="AA1338" s="102" t="n"/>
      <c r="AB1338" s="102" t="n"/>
      <c r="AC1338" s="102" t="n"/>
      <c r="AD1338" s="102" t="n"/>
      <c r="AE1338" s="102" t="n"/>
      <c r="AF1338" s="102" t="n"/>
      <c r="AG1338" s="102" t="n"/>
      <c r="AH1338" s="102" t="n"/>
      <c r="AI1338" s="102" t="n"/>
      <c r="AJ1338" s="102" t="n"/>
      <c r="AK1338" s="102" t="n"/>
      <c r="AL1338" s="102" t="n"/>
      <c r="AM1338" s="102" t="n"/>
      <c r="AN1338" s="102" t="n"/>
      <c r="AO1338" s="102" t="n"/>
      <c r="AP1338" s="102" t="n"/>
      <c r="AQ1338" s="102" t="n"/>
      <c r="AR1338" s="102" t="n"/>
    </row>
    <row r="1339">
      <c r="D1339" s="103" t="n"/>
      <c r="E1339" s="103" t="n"/>
      <c r="F1339" s="103" t="n"/>
      <c r="G1339" s="103" t="n"/>
      <c r="H1339" s="103" t="n"/>
      <c r="I1339" s="103" t="n"/>
      <c r="J1339" s="103" t="n"/>
      <c r="K1339" s="103" t="n"/>
      <c r="L1339" s="103" t="n"/>
      <c r="M1339" s="103" t="n"/>
      <c r="N1339" s="103" t="n"/>
      <c r="O1339" s="103" t="n"/>
      <c r="P1339" s="103" t="n"/>
      <c r="Q1339" s="103" t="n"/>
      <c r="R1339" s="103" t="n"/>
      <c r="S1339" s="103" t="n"/>
      <c r="T1339" s="103" t="n"/>
      <c r="U1339" s="103" t="n"/>
      <c r="V1339" s="103" t="n"/>
      <c r="W1339" s="103" t="n"/>
      <c r="X1339" s="103" t="n"/>
      <c r="Y1339" s="103" t="n"/>
      <c r="Z1339" s="103" t="n"/>
      <c r="AA1339" s="103" t="n"/>
      <c r="AB1339" s="103" t="n"/>
      <c r="AC1339" s="103" t="n"/>
      <c r="AD1339" s="103" t="n"/>
      <c r="AE1339" s="103" t="n"/>
      <c r="AF1339" s="103" t="n"/>
      <c r="AG1339" s="103" t="n"/>
      <c r="AH1339" s="103" t="n"/>
      <c r="AI1339" s="103" t="n"/>
      <c r="AJ1339" s="103" t="n"/>
      <c r="AK1339" s="103" t="n"/>
      <c r="AL1339" s="103" t="n"/>
      <c r="AM1339" s="103" t="n"/>
      <c r="AN1339" s="103" t="n"/>
      <c r="AO1339" s="103" t="n"/>
      <c r="AP1339" s="103" t="n"/>
      <c r="AQ1339" s="103" t="n"/>
      <c r="AR1339" s="103" t="n"/>
    </row>
    <row r="1342">
      <c r="A1342" s="2">
        <f>IF($A1335="","","   projections")</f>
        <v/>
      </c>
      <c r="B1342" s="99">
        <f>IF($A1335="",0,COUNT($E1343:$AR1343))</f>
        <v/>
      </c>
      <c r="C1342" s="100">
        <f>IF($B1342=0,0,MAX($E1343:$AR1343))</f>
        <v/>
      </c>
      <c r="D1342" s="101">
        <f>BDS($A1335,FLD_PROJ,"headers=y","startcol=1","endcol=3","dir=h")</f>
        <v/>
      </c>
      <c r="E1342" s="102" t="n"/>
      <c r="F1342" s="102" t="n"/>
      <c r="G1342" s="102" t="n"/>
      <c r="H1342" s="102" t="n"/>
      <c r="I1342" s="102" t="n"/>
      <c r="J1342" s="102" t="n"/>
      <c r="K1342" s="102" t="n"/>
      <c r="L1342" s="102" t="n"/>
      <c r="M1342" s="102" t="n"/>
      <c r="N1342" s="102" t="n"/>
      <c r="O1342" s="102" t="n"/>
      <c r="P1342" s="102" t="n"/>
      <c r="Q1342" s="102" t="n"/>
      <c r="R1342" s="102" t="n"/>
      <c r="S1342" s="102" t="n"/>
      <c r="T1342" s="102" t="n"/>
      <c r="U1342" s="102" t="n"/>
      <c r="V1342" s="102" t="n"/>
      <c r="W1342" s="102" t="n"/>
      <c r="X1342" s="102" t="n"/>
      <c r="Y1342" s="102" t="n"/>
      <c r="Z1342" s="102" t="n"/>
      <c r="AA1342" s="102" t="n"/>
      <c r="AB1342" s="102" t="n"/>
      <c r="AC1342" s="102" t="n"/>
      <c r="AD1342" s="102" t="n"/>
      <c r="AE1342" s="102" t="n"/>
      <c r="AF1342" s="102" t="n"/>
      <c r="AG1342" s="102" t="n"/>
      <c r="AH1342" s="102" t="n"/>
      <c r="AI1342" s="102" t="n"/>
      <c r="AJ1342" s="102" t="n"/>
      <c r="AK1342" s="102" t="n"/>
      <c r="AL1342" s="102" t="n"/>
      <c r="AM1342" s="102" t="n"/>
      <c r="AN1342" s="102" t="n"/>
      <c r="AO1342" s="102" t="n"/>
      <c r="AP1342" s="102" t="n"/>
      <c r="AQ1342" s="102" t="n"/>
      <c r="AR1342" s="102" t="n"/>
    </row>
    <row r="1343">
      <c r="D1343" s="102" t="n"/>
      <c r="E1343" s="102" t="n"/>
      <c r="F1343" s="102" t="n"/>
      <c r="G1343" s="102" t="n"/>
      <c r="H1343" s="102" t="n"/>
      <c r="I1343" s="102" t="n"/>
      <c r="J1343" s="102" t="n"/>
      <c r="K1343" s="102" t="n"/>
      <c r="L1343" s="102" t="n"/>
      <c r="M1343" s="102" t="n"/>
      <c r="N1343" s="102" t="n"/>
      <c r="O1343" s="102" t="n"/>
      <c r="P1343" s="102" t="n"/>
      <c r="Q1343" s="102" t="n"/>
      <c r="R1343" s="102" t="n"/>
      <c r="S1343" s="102" t="n"/>
      <c r="T1343" s="102" t="n"/>
      <c r="U1343" s="102" t="n"/>
      <c r="V1343" s="102" t="n"/>
      <c r="W1343" s="102" t="n"/>
      <c r="X1343" s="102" t="n"/>
      <c r="Y1343" s="102" t="n"/>
      <c r="Z1343" s="102" t="n"/>
      <c r="AA1343" s="102" t="n"/>
      <c r="AB1343" s="102" t="n"/>
      <c r="AC1343" s="102" t="n"/>
      <c r="AD1343" s="102" t="n"/>
      <c r="AE1343" s="102" t="n"/>
      <c r="AF1343" s="102" t="n"/>
      <c r="AG1343" s="102" t="n"/>
      <c r="AH1343" s="102" t="n"/>
      <c r="AI1343" s="102" t="n"/>
      <c r="AJ1343" s="102" t="n"/>
      <c r="AK1343" s="102" t="n"/>
      <c r="AL1343" s="102" t="n"/>
      <c r="AM1343" s="102" t="n"/>
      <c r="AN1343" s="102" t="n"/>
      <c r="AO1343" s="102" t="n"/>
      <c r="AP1343" s="102" t="n"/>
      <c r="AQ1343" s="102" t="n"/>
      <c r="AR1343" s="102" t="n"/>
    </row>
    <row r="1344">
      <c r="D1344" s="103" t="n"/>
      <c r="E1344" s="103" t="n"/>
      <c r="F1344" s="103" t="n"/>
      <c r="G1344" s="103" t="n"/>
      <c r="H1344" s="103" t="n"/>
      <c r="I1344" s="103" t="n"/>
      <c r="J1344" s="103" t="n"/>
      <c r="K1344" s="103" t="n"/>
      <c r="L1344" s="103" t="n"/>
      <c r="M1344" s="103" t="n"/>
      <c r="N1344" s="103" t="n"/>
      <c r="O1344" s="103" t="n"/>
      <c r="P1344" s="103" t="n"/>
      <c r="Q1344" s="103" t="n"/>
      <c r="R1344" s="103" t="n"/>
      <c r="S1344" s="103" t="n"/>
      <c r="T1344" s="103" t="n"/>
      <c r="U1344" s="103" t="n"/>
      <c r="V1344" s="103" t="n"/>
      <c r="W1344" s="103" t="n"/>
      <c r="X1344" s="103" t="n"/>
      <c r="Y1344" s="103" t="n"/>
      <c r="Z1344" s="103" t="n"/>
      <c r="AA1344" s="103" t="n"/>
      <c r="AB1344" s="103" t="n"/>
      <c r="AC1344" s="103" t="n"/>
      <c r="AD1344" s="103" t="n"/>
      <c r="AE1344" s="103" t="n"/>
      <c r="AF1344" s="103" t="n"/>
      <c r="AG1344" s="103" t="n"/>
      <c r="AH1344" s="103" t="n"/>
      <c r="AI1344" s="103" t="n"/>
      <c r="AJ1344" s="103" t="n"/>
      <c r="AK1344" s="103" t="n"/>
      <c r="AL1344" s="103" t="n"/>
      <c r="AM1344" s="103" t="n"/>
      <c r="AN1344" s="103" t="n"/>
      <c r="AO1344" s="103" t="n"/>
      <c r="AP1344" s="103" t="n"/>
      <c r="AQ1344" s="103" t="n"/>
      <c r="AR1344" s="103" t="n"/>
    </row>
    <row r="1346">
      <c r="A1346" s="8">
        <f>IF(HSTECH!$C$28="","",HSTECH!$C$28)</f>
        <v/>
      </c>
      <c r="B1346" s="99">
        <f>IF($A1346="",0,COUNT($E1347:$AR1347))</f>
        <v/>
      </c>
      <c r="C1346" s="100">
        <f>IF($B1346=0,0,MAX($E1347:$AR1347))</f>
        <v/>
      </c>
      <c r="D1346" s="101">
        <f>BDS($A1346,FLD_HIST,"headers=y","startcol=1","endcol=7","dir=h","DVD_START_DT",HIST_FROM,"DVD_END_DT",HIST_TO)</f>
        <v/>
      </c>
      <c r="E1346" s="102" t="n"/>
      <c r="F1346" s="102" t="n"/>
      <c r="G1346" s="102" t="n"/>
      <c r="H1346" s="102" t="n"/>
      <c r="I1346" s="102" t="n"/>
      <c r="J1346" s="102" t="n"/>
      <c r="K1346" s="102" t="n"/>
      <c r="L1346" s="102" t="n"/>
      <c r="M1346" s="102" t="n"/>
      <c r="N1346" s="102" t="n"/>
      <c r="O1346" s="102" t="n"/>
      <c r="P1346" s="102" t="n"/>
      <c r="Q1346" s="102" t="n"/>
      <c r="R1346" s="102" t="n"/>
      <c r="S1346" s="102" t="n"/>
      <c r="T1346" s="102" t="n"/>
      <c r="U1346" s="102" t="n"/>
      <c r="V1346" s="102" t="n"/>
      <c r="W1346" s="102" t="n"/>
      <c r="X1346" s="102" t="n"/>
      <c r="Y1346" s="102" t="n"/>
      <c r="Z1346" s="102" t="n"/>
      <c r="AA1346" s="102" t="n"/>
      <c r="AB1346" s="102" t="n"/>
      <c r="AC1346" s="102" t="n"/>
      <c r="AD1346" s="102" t="n"/>
      <c r="AE1346" s="102" t="n"/>
      <c r="AF1346" s="102" t="n"/>
      <c r="AG1346" s="102" t="n"/>
      <c r="AH1346" s="102" t="n"/>
      <c r="AI1346" s="102" t="n"/>
      <c r="AJ1346" s="102" t="n"/>
      <c r="AK1346" s="102" t="n"/>
      <c r="AL1346" s="102" t="n"/>
      <c r="AM1346" s="102" t="n"/>
      <c r="AN1346" s="102" t="n"/>
      <c r="AO1346" s="102" t="n"/>
      <c r="AP1346" s="102" t="n"/>
      <c r="AQ1346" s="102" t="n"/>
      <c r="AR1346" s="102" t="n"/>
    </row>
    <row r="1347">
      <c r="D1347" s="102" t="n"/>
      <c r="E1347" s="102" t="n"/>
      <c r="F1347" s="102" t="n"/>
      <c r="G1347" s="102" t="n"/>
      <c r="H1347" s="102" t="n"/>
      <c r="I1347" s="102" t="n"/>
      <c r="J1347" s="102" t="n"/>
      <c r="K1347" s="102" t="n"/>
      <c r="L1347" s="102" t="n"/>
      <c r="M1347" s="102" t="n"/>
      <c r="N1347" s="102" t="n"/>
      <c r="O1347" s="102" t="n"/>
      <c r="P1347" s="102" t="n"/>
      <c r="Q1347" s="102" t="n"/>
      <c r="R1347" s="102" t="n"/>
      <c r="S1347" s="102" t="n"/>
      <c r="T1347" s="102" t="n"/>
      <c r="U1347" s="102" t="n"/>
      <c r="V1347" s="102" t="n"/>
      <c r="W1347" s="102" t="n"/>
      <c r="X1347" s="102" t="n"/>
      <c r="Y1347" s="102" t="n"/>
      <c r="Z1347" s="102" t="n"/>
      <c r="AA1347" s="102" t="n"/>
      <c r="AB1347" s="102" t="n"/>
      <c r="AC1347" s="102" t="n"/>
      <c r="AD1347" s="102" t="n"/>
      <c r="AE1347" s="102" t="n"/>
      <c r="AF1347" s="102" t="n"/>
      <c r="AG1347" s="102" t="n"/>
      <c r="AH1347" s="102" t="n"/>
      <c r="AI1347" s="102" t="n"/>
      <c r="AJ1347" s="102" t="n"/>
      <c r="AK1347" s="102" t="n"/>
      <c r="AL1347" s="102" t="n"/>
      <c r="AM1347" s="102" t="n"/>
      <c r="AN1347" s="102" t="n"/>
      <c r="AO1347" s="102" t="n"/>
      <c r="AP1347" s="102" t="n"/>
      <c r="AQ1347" s="102" t="n"/>
      <c r="AR1347" s="102" t="n"/>
    </row>
    <row r="1348">
      <c r="D1348" s="102" t="n"/>
      <c r="E1348" s="102" t="n"/>
      <c r="F1348" s="102" t="n"/>
      <c r="G1348" s="102" t="n"/>
      <c r="H1348" s="102" t="n"/>
      <c r="I1348" s="102" t="n"/>
      <c r="J1348" s="102" t="n"/>
      <c r="K1348" s="102" t="n"/>
      <c r="L1348" s="102" t="n"/>
      <c r="M1348" s="102" t="n"/>
      <c r="N1348" s="102" t="n"/>
      <c r="O1348" s="102" t="n"/>
      <c r="P1348" s="102" t="n"/>
      <c r="Q1348" s="102" t="n"/>
      <c r="R1348" s="102" t="n"/>
      <c r="S1348" s="102" t="n"/>
      <c r="T1348" s="102" t="n"/>
      <c r="U1348" s="102" t="n"/>
      <c r="V1348" s="102" t="n"/>
      <c r="W1348" s="102" t="n"/>
      <c r="X1348" s="102" t="n"/>
      <c r="Y1348" s="102" t="n"/>
      <c r="Z1348" s="102" t="n"/>
      <c r="AA1348" s="102" t="n"/>
      <c r="AB1348" s="102" t="n"/>
      <c r="AC1348" s="102" t="n"/>
      <c r="AD1348" s="102" t="n"/>
      <c r="AE1348" s="102" t="n"/>
      <c r="AF1348" s="102" t="n"/>
      <c r="AG1348" s="102" t="n"/>
      <c r="AH1348" s="102" t="n"/>
      <c r="AI1348" s="102" t="n"/>
      <c r="AJ1348" s="102" t="n"/>
      <c r="AK1348" s="102" t="n"/>
      <c r="AL1348" s="102" t="n"/>
      <c r="AM1348" s="102" t="n"/>
      <c r="AN1348" s="102" t="n"/>
      <c r="AO1348" s="102" t="n"/>
      <c r="AP1348" s="102" t="n"/>
      <c r="AQ1348" s="102" t="n"/>
      <c r="AR1348" s="102" t="n"/>
    </row>
    <row r="1349">
      <c r="D1349" s="102" t="n"/>
      <c r="E1349" s="102" t="n"/>
      <c r="F1349" s="102" t="n"/>
      <c r="G1349" s="102" t="n"/>
      <c r="H1349" s="102" t="n"/>
      <c r="I1349" s="102" t="n"/>
      <c r="J1349" s="102" t="n"/>
      <c r="K1349" s="102" t="n"/>
      <c r="L1349" s="102" t="n"/>
      <c r="M1349" s="102" t="n"/>
      <c r="N1349" s="102" t="n"/>
      <c r="O1349" s="102" t="n"/>
      <c r="P1349" s="102" t="n"/>
      <c r="Q1349" s="102" t="n"/>
      <c r="R1349" s="102" t="n"/>
      <c r="S1349" s="102" t="n"/>
      <c r="T1349" s="102" t="n"/>
      <c r="U1349" s="102" t="n"/>
      <c r="V1349" s="102" t="n"/>
      <c r="W1349" s="102" t="n"/>
      <c r="X1349" s="102" t="n"/>
      <c r="Y1349" s="102" t="n"/>
      <c r="Z1349" s="102" t="n"/>
      <c r="AA1349" s="102" t="n"/>
      <c r="AB1349" s="102" t="n"/>
      <c r="AC1349" s="102" t="n"/>
      <c r="AD1349" s="102" t="n"/>
      <c r="AE1349" s="102" t="n"/>
      <c r="AF1349" s="102" t="n"/>
      <c r="AG1349" s="102" t="n"/>
      <c r="AH1349" s="102" t="n"/>
      <c r="AI1349" s="102" t="n"/>
      <c r="AJ1349" s="102" t="n"/>
      <c r="AK1349" s="102" t="n"/>
      <c r="AL1349" s="102" t="n"/>
      <c r="AM1349" s="102" t="n"/>
      <c r="AN1349" s="102" t="n"/>
      <c r="AO1349" s="102" t="n"/>
      <c r="AP1349" s="102" t="n"/>
      <c r="AQ1349" s="102" t="n"/>
      <c r="AR1349" s="102" t="n"/>
    </row>
    <row r="1350">
      <c r="D1350" s="103" t="n"/>
      <c r="E1350" s="103" t="n"/>
      <c r="F1350" s="103" t="n"/>
      <c r="G1350" s="103" t="n"/>
      <c r="H1350" s="103" t="n"/>
      <c r="I1350" s="103" t="n"/>
      <c r="J1350" s="103" t="n"/>
      <c r="K1350" s="103" t="n"/>
      <c r="L1350" s="103" t="n"/>
      <c r="M1350" s="103" t="n"/>
      <c r="N1350" s="103" t="n"/>
      <c r="O1350" s="103" t="n"/>
      <c r="P1350" s="103" t="n"/>
      <c r="Q1350" s="103" t="n"/>
      <c r="R1350" s="103" t="n"/>
      <c r="S1350" s="103" t="n"/>
      <c r="T1350" s="103" t="n"/>
      <c r="U1350" s="103" t="n"/>
      <c r="V1350" s="103" t="n"/>
      <c r="W1350" s="103" t="n"/>
      <c r="X1350" s="103" t="n"/>
      <c r="Y1350" s="103" t="n"/>
      <c r="Z1350" s="103" t="n"/>
      <c r="AA1350" s="103" t="n"/>
      <c r="AB1350" s="103" t="n"/>
      <c r="AC1350" s="103" t="n"/>
      <c r="AD1350" s="103" t="n"/>
      <c r="AE1350" s="103" t="n"/>
      <c r="AF1350" s="103" t="n"/>
      <c r="AG1350" s="103" t="n"/>
      <c r="AH1350" s="103" t="n"/>
      <c r="AI1350" s="103" t="n"/>
      <c r="AJ1350" s="103" t="n"/>
      <c r="AK1350" s="103" t="n"/>
      <c r="AL1350" s="103" t="n"/>
      <c r="AM1350" s="103" t="n"/>
      <c r="AN1350" s="103" t="n"/>
      <c r="AO1350" s="103" t="n"/>
      <c r="AP1350" s="103" t="n"/>
      <c r="AQ1350" s="103" t="n"/>
      <c r="AR1350" s="103" t="n"/>
    </row>
    <row r="1353">
      <c r="A1353" s="2">
        <f>IF($A1346="","","   projections")</f>
        <v/>
      </c>
      <c r="B1353" s="99">
        <f>IF($A1346="",0,COUNT($E1354:$AR1354))</f>
        <v/>
      </c>
      <c r="C1353" s="100">
        <f>IF($B1353=0,0,MAX($E1354:$AR1354))</f>
        <v/>
      </c>
      <c r="D1353" s="101">
        <f>BDS($A1346,FLD_PROJ,"headers=y","startcol=1","endcol=3","dir=h")</f>
        <v/>
      </c>
      <c r="E1353" s="102" t="n"/>
      <c r="F1353" s="102" t="n"/>
      <c r="G1353" s="102" t="n"/>
      <c r="H1353" s="102" t="n"/>
      <c r="I1353" s="102" t="n"/>
      <c r="J1353" s="102" t="n"/>
      <c r="K1353" s="102" t="n"/>
      <c r="L1353" s="102" t="n"/>
      <c r="M1353" s="102" t="n"/>
      <c r="N1353" s="102" t="n"/>
      <c r="O1353" s="102" t="n"/>
      <c r="P1353" s="102" t="n"/>
      <c r="Q1353" s="102" t="n"/>
      <c r="R1353" s="102" t="n"/>
      <c r="S1353" s="102" t="n"/>
      <c r="T1353" s="102" t="n"/>
      <c r="U1353" s="102" t="n"/>
      <c r="V1353" s="102" t="n"/>
      <c r="W1353" s="102" t="n"/>
      <c r="X1353" s="102" t="n"/>
      <c r="Y1353" s="102" t="n"/>
      <c r="Z1353" s="102" t="n"/>
      <c r="AA1353" s="102" t="n"/>
      <c r="AB1353" s="102" t="n"/>
      <c r="AC1353" s="102" t="n"/>
      <c r="AD1353" s="102" t="n"/>
      <c r="AE1353" s="102" t="n"/>
      <c r="AF1353" s="102" t="n"/>
      <c r="AG1353" s="102" t="n"/>
      <c r="AH1353" s="102" t="n"/>
      <c r="AI1353" s="102" t="n"/>
      <c r="AJ1353" s="102" t="n"/>
      <c r="AK1353" s="102" t="n"/>
      <c r="AL1353" s="102" t="n"/>
      <c r="AM1353" s="102" t="n"/>
      <c r="AN1353" s="102" t="n"/>
      <c r="AO1353" s="102" t="n"/>
      <c r="AP1353" s="102" t="n"/>
      <c r="AQ1353" s="102" t="n"/>
      <c r="AR1353" s="102" t="n"/>
    </row>
    <row r="1354">
      <c r="D1354" s="102" t="n"/>
      <c r="E1354" s="102" t="n"/>
      <c r="F1354" s="102" t="n"/>
      <c r="G1354" s="102" t="n"/>
      <c r="H1354" s="102" t="n"/>
      <c r="I1354" s="102" t="n"/>
      <c r="J1354" s="102" t="n"/>
      <c r="K1354" s="102" t="n"/>
      <c r="L1354" s="102" t="n"/>
      <c r="M1354" s="102" t="n"/>
      <c r="N1354" s="102" t="n"/>
      <c r="O1354" s="102" t="n"/>
      <c r="P1354" s="102" t="n"/>
      <c r="Q1354" s="102" t="n"/>
      <c r="R1354" s="102" t="n"/>
      <c r="S1354" s="102" t="n"/>
      <c r="T1354" s="102" t="n"/>
      <c r="U1354" s="102" t="n"/>
      <c r="V1354" s="102" t="n"/>
      <c r="W1354" s="102" t="n"/>
      <c r="X1354" s="102" t="n"/>
      <c r="Y1354" s="102" t="n"/>
      <c r="Z1354" s="102" t="n"/>
      <c r="AA1354" s="102" t="n"/>
      <c r="AB1354" s="102" t="n"/>
      <c r="AC1354" s="102" t="n"/>
      <c r="AD1354" s="102" t="n"/>
      <c r="AE1354" s="102" t="n"/>
      <c r="AF1354" s="102" t="n"/>
      <c r="AG1354" s="102" t="n"/>
      <c r="AH1354" s="102" t="n"/>
      <c r="AI1354" s="102" t="n"/>
      <c r="AJ1354" s="102" t="n"/>
      <c r="AK1354" s="102" t="n"/>
      <c r="AL1354" s="102" t="n"/>
      <c r="AM1354" s="102" t="n"/>
      <c r="AN1354" s="102" t="n"/>
      <c r="AO1354" s="102" t="n"/>
      <c r="AP1354" s="102" t="n"/>
      <c r="AQ1354" s="102" t="n"/>
      <c r="AR1354" s="102" t="n"/>
    </row>
    <row r="1355">
      <c r="D1355" s="103" t="n"/>
      <c r="E1355" s="103" t="n"/>
      <c r="F1355" s="103" t="n"/>
      <c r="G1355" s="103" t="n"/>
      <c r="H1355" s="103" t="n"/>
      <c r="I1355" s="103" t="n"/>
      <c r="J1355" s="103" t="n"/>
      <c r="K1355" s="103" t="n"/>
      <c r="L1355" s="103" t="n"/>
      <c r="M1355" s="103" t="n"/>
      <c r="N1355" s="103" t="n"/>
      <c r="O1355" s="103" t="n"/>
      <c r="P1355" s="103" t="n"/>
      <c r="Q1355" s="103" t="n"/>
      <c r="R1355" s="103" t="n"/>
      <c r="S1355" s="103" t="n"/>
      <c r="T1355" s="103" t="n"/>
      <c r="U1355" s="103" t="n"/>
      <c r="V1355" s="103" t="n"/>
      <c r="W1355" s="103" t="n"/>
      <c r="X1355" s="103" t="n"/>
      <c r="Y1355" s="103" t="n"/>
      <c r="Z1355" s="103" t="n"/>
      <c r="AA1355" s="103" t="n"/>
      <c r="AB1355" s="103" t="n"/>
      <c r="AC1355" s="103" t="n"/>
      <c r="AD1355" s="103" t="n"/>
      <c r="AE1355" s="103" t="n"/>
      <c r="AF1355" s="103" t="n"/>
      <c r="AG1355" s="103" t="n"/>
      <c r="AH1355" s="103" t="n"/>
      <c r="AI1355" s="103" t="n"/>
      <c r="AJ1355" s="103" t="n"/>
      <c r="AK1355" s="103" t="n"/>
      <c r="AL1355" s="103" t="n"/>
      <c r="AM1355" s="103" t="n"/>
      <c r="AN1355" s="103" t="n"/>
      <c r="AO1355" s="103" t="n"/>
      <c r="AP1355" s="103" t="n"/>
      <c r="AQ1355" s="103" t="n"/>
      <c r="AR1355" s="103" t="n"/>
    </row>
    <row r="1357">
      <c r="A1357" s="8">
        <f>IF(HSTECH!$C$29="","",HSTECH!$C$29)</f>
        <v/>
      </c>
      <c r="B1357" s="99">
        <f>IF($A1357="",0,COUNT($E1358:$AR1358))</f>
        <v/>
      </c>
      <c r="C1357" s="100">
        <f>IF($B1357=0,0,MAX($E1358:$AR1358))</f>
        <v/>
      </c>
      <c r="D1357" s="101">
        <f>BDS($A1357,FLD_HIST,"headers=y","startcol=1","endcol=7","dir=h","DVD_START_DT",HIST_FROM,"DVD_END_DT",HIST_TO)</f>
        <v/>
      </c>
      <c r="E1357" s="102" t="n"/>
      <c r="F1357" s="102" t="n"/>
      <c r="G1357" s="102" t="n"/>
      <c r="H1357" s="102" t="n"/>
      <c r="I1357" s="102" t="n"/>
      <c r="J1357" s="102" t="n"/>
      <c r="K1357" s="102" t="n"/>
      <c r="L1357" s="102" t="n"/>
      <c r="M1357" s="102" t="n"/>
      <c r="N1357" s="102" t="n"/>
      <c r="O1357" s="102" t="n"/>
      <c r="P1357" s="102" t="n"/>
      <c r="Q1357" s="102" t="n"/>
      <c r="R1357" s="102" t="n"/>
      <c r="S1357" s="102" t="n"/>
      <c r="T1357" s="102" t="n"/>
      <c r="U1357" s="102" t="n"/>
      <c r="V1357" s="102" t="n"/>
      <c r="W1357" s="102" t="n"/>
      <c r="X1357" s="102" t="n"/>
      <c r="Y1357" s="102" t="n"/>
      <c r="Z1357" s="102" t="n"/>
      <c r="AA1357" s="102" t="n"/>
      <c r="AB1357" s="102" t="n"/>
      <c r="AC1357" s="102" t="n"/>
      <c r="AD1357" s="102" t="n"/>
      <c r="AE1357" s="102" t="n"/>
      <c r="AF1357" s="102" t="n"/>
      <c r="AG1357" s="102" t="n"/>
      <c r="AH1357" s="102" t="n"/>
      <c r="AI1357" s="102" t="n"/>
      <c r="AJ1357" s="102" t="n"/>
      <c r="AK1357" s="102" t="n"/>
      <c r="AL1357" s="102" t="n"/>
      <c r="AM1357" s="102" t="n"/>
      <c r="AN1357" s="102" t="n"/>
      <c r="AO1357" s="102" t="n"/>
      <c r="AP1357" s="102" t="n"/>
      <c r="AQ1357" s="102" t="n"/>
      <c r="AR1357" s="102" t="n"/>
    </row>
    <row r="1358">
      <c r="D1358" s="102" t="n"/>
      <c r="E1358" s="102" t="n"/>
      <c r="F1358" s="102" t="n"/>
      <c r="G1358" s="102" t="n"/>
      <c r="H1358" s="102" t="n"/>
      <c r="I1358" s="102" t="n"/>
      <c r="J1358" s="102" t="n"/>
      <c r="K1358" s="102" t="n"/>
      <c r="L1358" s="102" t="n"/>
      <c r="M1358" s="102" t="n"/>
      <c r="N1358" s="102" t="n"/>
      <c r="O1358" s="102" t="n"/>
      <c r="P1358" s="102" t="n"/>
      <c r="Q1358" s="102" t="n"/>
      <c r="R1358" s="102" t="n"/>
      <c r="S1358" s="102" t="n"/>
      <c r="T1358" s="102" t="n"/>
      <c r="U1358" s="102" t="n"/>
      <c r="V1358" s="102" t="n"/>
      <c r="W1358" s="102" t="n"/>
      <c r="X1358" s="102" t="n"/>
      <c r="Y1358" s="102" t="n"/>
      <c r="Z1358" s="102" t="n"/>
      <c r="AA1358" s="102" t="n"/>
      <c r="AB1358" s="102" t="n"/>
      <c r="AC1358" s="102" t="n"/>
      <c r="AD1358" s="102" t="n"/>
      <c r="AE1358" s="102" t="n"/>
      <c r="AF1358" s="102" t="n"/>
      <c r="AG1358" s="102" t="n"/>
      <c r="AH1358" s="102" t="n"/>
      <c r="AI1358" s="102" t="n"/>
      <c r="AJ1358" s="102" t="n"/>
      <c r="AK1358" s="102" t="n"/>
      <c r="AL1358" s="102" t="n"/>
      <c r="AM1358" s="102" t="n"/>
      <c r="AN1358" s="102" t="n"/>
      <c r="AO1358" s="102" t="n"/>
      <c r="AP1358" s="102" t="n"/>
      <c r="AQ1358" s="102" t="n"/>
      <c r="AR1358" s="102" t="n"/>
    </row>
    <row r="1359">
      <c r="D1359" s="102" t="n"/>
      <c r="E1359" s="102" t="n"/>
      <c r="F1359" s="102" t="n"/>
      <c r="G1359" s="102" t="n"/>
      <c r="H1359" s="102" t="n"/>
      <c r="I1359" s="102" t="n"/>
      <c r="J1359" s="102" t="n"/>
      <c r="K1359" s="102" t="n"/>
      <c r="L1359" s="102" t="n"/>
      <c r="M1359" s="102" t="n"/>
      <c r="N1359" s="102" t="n"/>
      <c r="O1359" s="102" t="n"/>
      <c r="P1359" s="102" t="n"/>
      <c r="Q1359" s="102" t="n"/>
      <c r="R1359" s="102" t="n"/>
      <c r="S1359" s="102" t="n"/>
      <c r="T1359" s="102" t="n"/>
      <c r="U1359" s="102" t="n"/>
      <c r="V1359" s="102" t="n"/>
      <c r="W1359" s="102" t="n"/>
      <c r="X1359" s="102" t="n"/>
      <c r="Y1359" s="102" t="n"/>
      <c r="Z1359" s="102" t="n"/>
      <c r="AA1359" s="102" t="n"/>
      <c r="AB1359" s="102" t="n"/>
      <c r="AC1359" s="102" t="n"/>
      <c r="AD1359" s="102" t="n"/>
      <c r="AE1359" s="102" t="n"/>
      <c r="AF1359" s="102" t="n"/>
      <c r="AG1359" s="102" t="n"/>
      <c r="AH1359" s="102" t="n"/>
      <c r="AI1359" s="102" t="n"/>
      <c r="AJ1359" s="102" t="n"/>
      <c r="AK1359" s="102" t="n"/>
      <c r="AL1359" s="102" t="n"/>
      <c r="AM1359" s="102" t="n"/>
      <c r="AN1359" s="102" t="n"/>
      <c r="AO1359" s="102" t="n"/>
      <c r="AP1359" s="102" t="n"/>
      <c r="AQ1359" s="102" t="n"/>
      <c r="AR1359" s="102" t="n"/>
    </row>
    <row r="1360">
      <c r="D1360" s="102" t="n"/>
      <c r="E1360" s="102" t="n"/>
      <c r="F1360" s="102" t="n"/>
      <c r="G1360" s="102" t="n"/>
      <c r="H1360" s="102" t="n"/>
      <c r="I1360" s="102" t="n"/>
      <c r="J1360" s="102" t="n"/>
      <c r="K1360" s="102" t="n"/>
      <c r="L1360" s="102" t="n"/>
      <c r="M1360" s="102" t="n"/>
      <c r="N1360" s="102" t="n"/>
      <c r="O1360" s="102" t="n"/>
      <c r="P1360" s="102" t="n"/>
      <c r="Q1360" s="102" t="n"/>
      <c r="R1360" s="102" t="n"/>
      <c r="S1360" s="102" t="n"/>
      <c r="T1360" s="102" t="n"/>
      <c r="U1360" s="102" t="n"/>
      <c r="V1360" s="102" t="n"/>
      <c r="W1360" s="102" t="n"/>
      <c r="X1360" s="102" t="n"/>
      <c r="Y1360" s="102" t="n"/>
      <c r="Z1360" s="102" t="n"/>
      <c r="AA1360" s="102" t="n"/>
      <c r="AB1360" s="102" t="n"/>
      <c r="AC1360" s="102" t="n"/>
      <c r="AD1360" s="102" t="n"/>
      <c r="AE1360" s="102" t="n"/>
      <c r="AF1360" s="102" t="n"/>
      <c r="AG1360" s="102" t="n"/>
      <c r="AH1360" s="102" t="n"/>
      <c r="AI1360" s="102" t="n"/>
      <c r="AJ1360" s="102" t="n"/>
      <c r="AK1360" s="102" t="n"/>
      <c r="AL1360" s="102" t="n"/>
      <c r="AM1360" s="102" t="n"/>
      <c r="AN1360" s="102" t="n"/>
      <c r="AO1360" s="102" t="n"/>
      <c r="AP1360" s="102" t="n"/>
      <c r="AQ1360" s="102" t="n"/>
      <c r="AR1360" s="102" t="n"/>
    </row>
    <row r="1361">
      <c r="D1361" s="103" t="n"/>
      <c r="E1361" s="103" t="n"/>
      <c r="F1361" s="103" t="n"/>
      <c r="G1361" s="103" t="n"/>
      <c r="H1361" s="103" t="n"/>
      <c r="I1361" s="103" t="n"/>
      <c r="J1361" s="103" t="n"/>
      <c r="K1361" s="103" t="n"/>
      <c r="L1361" s="103" t="n"/>
      <c r="M1361" s="103" t="n"/>
      <c r="N1361" s="103" t="n"/>
      <c r="O1361" s="103" t="n"/>
      <c r="P1361" s="103" t="n"/>
      <c r="Q1361" s="103" t="n"/>
      <c r="R1361" s="103" t="n"/>
      <c r="S1361" s="103" t="n"/>
      <c r="T1361" s="103" t="n"/>
      <c r="U1361" s="103" t="n"/>
      <c r="V1361" s="103" t="n"/>
      <c r="W1361" s="103" t="n"/>
      <c r="X1361" s="103" t="n"/>
      <c r="Y1361" s="103" t="n"/>
      <c r="Z1361" s="103" t="n"/>
      <c r="AA1361" s="103" t="n"/>
      <c r="AB1361" s="103" t="n"/>
      <c r="AC1361" s="103" t="n"/>
      <c r="AD1361" s="103" t="n"/>
      <c r="AE1361" s="103" t="n"/>
      <c r="AF1361" s="103" t="n"/>
      <c r="AG1361" s="103" t="n"/>
      <c r="AH1361" s="103" t="n"/>
      <c r="AI1361" s="103" t="n"/>
      <c r="AJ1361" s="103" t="n"/>
      <c r="AK1361" s="103" t="n"/>
      <c r="AL1361" s="103" t="n"/>
      <c r="AM1361" s="103" t="n"/>
      <c r="AN1361" s="103" t="n"/>
      <c r="AO1361" s="103" t="n"/>
      <c r="AP1361" s="103" t="n"/>
      <c r="AQ1361" s="103" t="n"/>
      <c r="AR1361" s="103" t="n"/>
    </row>
    <row r="1364">
      <c r="A1364" s="2">
        <f>IF($A1357="","","   projections")</f>
        <v/>
      </c>
      <c r="B1364" s="99">
        <f>IF($A1357="",0,COUNT($E1365:$AR1365))</f>
        <v/>
      </c>
      <c r="C1364" s="100">
        <f>IF($B1364=0,0,MAX($E1365:$AR1365))</f>
        <v/>
      </c>
      <c r="D1364" s="101">
        <f>BDS($A1357,FLD_PROJ,"headers=y","startcol=1","endcol=3","dir=h")</f>
        <v/>
      </c>
      <c r="E1364" s="102" t="n"/>
      <c r="F1364" s="102" t="n"/>
      <c r="G1364" s="102" t="n"/>
      <c r="H1364" s="102" t="n"/>
      <c r="I1364" s="102" t="n"/>
      <c r="J1364" s="102" t="n"/>
      <c r="K1364" s="102" t="n"/>
      <c r="L1364" s="102" t="n"/>
      <c r="M1364" s="102" t="n"/>
      <c r="N1364" s="102" t="n"/>
      <c r="O1364" s="102" t="n"/>
      <c r="P1364" s="102" t="n"/>
      <c r="Q1364" s="102" t="n"/>
      <c r="R1364" s="102" t="n"/>
      <c r="S1364" s="102" t="n"/>
      <c r="T1364" s="102" t="n"/>
      <c r="U1364" s="102" t="n"/>
      <c r="V1364" s="102" t="n"/>
      <c r="W1364" s="102" t="n"/>
      <c r="X1364" s="102" t="n"/>
      <c r="Y1364" s="102" t="n"/>
      <c r="Z1364" s="102" t="n"/>
      <c r="AA1364" s="102" t="n"/>
      <c r="AB1364" s="102" t="n"/>
      <c r="AC1364" s="102" t="n"/>
      <c r="AD1364" s="102" t="n"/>
      <c r="AE1364" s="102" t="n"/>
      <c r="AF1364" s="102" t="n"/>
      <c r="AG1364" s="102" t="n"/>
      <c r="AH1364" s="102" t="n"/>
      <c r="AI1364" s="102" t="n"/>
      <c r="AJ1364" s="102" t="n"/>
      <c r="AK1364" s="102" t="n"/>
      <c r="AL1364" s="102" t="n"/>
      <c r="AM1364" s="102" t="n"/>
      <c r="AN1364" s="102" t="n"/>
      <c r="AO1364" s="102" t="n"/>
      <c r="AP1364" s="102" t="n"/>
      <c r="AQ1364" s="102" t="n"/>
      <c r="AR1364" s="102" t="n"/>
    </row>
    <row r="1365">
      <c r="D1365" s="102" t="n"/>
      <c r="E1365" s="102" t="n"/>
      <c r="F1365" s="102" t="n"/>
      <c r="G1365" s="102" t="n"/>
      <c r="H1365" s="102" t="n"/>
      <c r="I1365" s="102" t="n"/>
      <c r="J1365" s="102" t="n"/>
      <c r="K1365" s="102" t="n"/>
      <c r="L1365" s="102" t="n"/>
      <c r="M1365" s="102" t="n"/>
      <c r="N1365" s="102" t="n"/>
      <c r="O1365" s="102" t="n"/>
      <c r="P1365" s="102" t="n"/>
      <c r="Q1365" s="102" t="n"/>
      <c r="R1365" s="102" t="n"/>
      <c r="S1365" s="102" t="n"/>
      <c r="T1365" s="102" t="n"/>
      <c r="U1365" s="102" t="n"/>
      <c r="V1365" s="102" t="n"/>
      <c r="W1365" s="102" t="n"/>
      <c r="X1365" s="102" t="n"/>
      <c r="Y1365" s="102" t="n"/>
      <c r="Z1365" s="102" t="n"/>
      <c r="AA1365" s="102" t="n"/>
      <c r="AB1365" s="102" t="n"/>
      <c r="AC1365" s="102" t="n"/>
      <c r="AD1365" s="102" t="n"/>
      <c r="AE1365" s="102" t="n"/>
      <c r="AF1365" s="102" t="n"/>
      <c r="AG1365" s="102" t="n"/>
      <c r="AH1365" s="102" t="n"/>
      <c r="AI1365" s="102" t="n"/>
      <c r="AJ1365" s="102" t="n"/>
      <c r="AK1365" s="102" t="n"/>
      <c r="AL1365" s="102" t="n"/>
      <c r="AM1365" s="102" t="n"/>
      <c r="AN1365" s="102" t="n"/>
      <c r="AO1365" s="102" t="n"/>
      <c r="AP1365" s="102" t="n"/>
      <c r="AQ1365" s="102" t="n"/>
      <c r="AR1365" s="102" t="n"/>
    </row>
    <row r="1366">
      <c r="D1366" s="103" t="n"/>
      <c r="E1366" s="103" t="n"/>
      <c r="F1366" s="103" t="n"/>
      <c r="G1366" s="103" t="n"/>
      <c r="H1366" s="103" t="n"/>
      <c r="I1366" s="103" t="n"/>
      <c r="J1366" s="103" t="n"/>
      <c r="K1366" s="103" t="n"/>
      <c r="L1366" s="103" t="n"/>
      <c r="M1366" s="103" t="n"/>
      <c r="N1366" s="103" t="n"/>
      <c r="O1366" s="103" t="n"/>
      <c r="P1366" s="103" t="n"/>
      <c r="Q1366" s="103" t="n"/>
      <c r="R1366" s="103" t="n"/>
      <c r="S1366" s="103" t="n"/>
      <c r="T1366" s="103" t="n"/>
      <c r="U1366" s="103" t="n"/>
      <c r="V1366" s="103" t="n"/>
      <c r="W1366" s="103" t="n"/>
      <c r="X1366" s="103" t="n"/>
      <c r="Y1366" s="103" t="n"/>
      <c r="Z1366" s="103" t="n"/>
      <c r="AA1366" s="103" t="n"/>
      <c r="AB1366" s="103" t="n"/>
      <c r="AC1366" s="103" t="n"/>
      <c r="AD1366" s="103" t="n"/>
      <c r="AE1366" s="103" t="n"/>
      <c r="AF1366" s="103" t="n"/>
      <c r="AG1366" s="103" t="n"/>
      <c r="AH1366" s="103" t="n"/>
      <c r="AI1366" s="103" t="n"/>
      <c r="AJ1366" s="103" t="n"/>
      <c r="AK1366" s="103" t="n"/>
      <c r="AL1366" s="103" t="n"/>
      <c r="AM1366" s="103" t="n"/>
      <c r="AN1366" s="103" t="n"/>
      <c r="AO1366" s="103" t="n"/>
      <c r="AP1366" s="103" t="n"/>
      <c r="AQ1366" s="103" t="n"/>
      <c r="AR1366" s="103" t="n"/>
    </row>
    <row r="1368">
      <c r="A1368" s="8">
        <f>IF(HSTECH!$C$30="","",HSTECH!$C$30)</f>
        <v/>
      </c>
      <c r="B1368" s="99">
        <f>IF($A1368="",0,COUNT($E1369:$AR1369))</f>
        <v/>
      </c>
      <c r="C1368" s="100">
        <f>IF($B1368=0,0,MAX($E1369:$AR1369))</f>
        <v/>
      </c>
      <c r="D1368" s="101">
        <f>BDS($A1368,FLD_HIST,"headers=y","startcol=1","endcol=7","dir=h","DVD_START_DT",HIST_FROM,"DVD_END_DT",HIST_TO)</f>
        <v/>
      </c>
      <c r="E1368" s="102" t="n"/>
      <c r="F1368" s="102" t="n"/>
      <c r="G1368" s="102" t="n"/>
      <c r="H1368" s="102" t="n"/>
      <c r="I1368" s="102" t="n"/>
      <c r="J1368" s="102" t="n"/>
      <c r="K1368" s="102" t="n"/>
      <c r="L1368" s="102" t="n"/>
      <c r="M1368" s="102" t="n"/>
      <c r="N1368" s="102" t="n"/>
      <c r="O1368" s="102" t="n"/>
      <c r="P1368" s="102" t="n"/>
      <c r="Q1368" s="102" t="n"/>
      <c r="R1368" s="102" t="n"/>
      <c r="S1368" s="102" t="n"/>
      <c r="T1368" s="102" t="n"/>
      <c r="U1368" s="102" t="n"/>
      <c r="V1368" s="102" t="n"/>
      <c r="W1368" s="102" t="n"/>
      <c r="X1368" s="102" t="n"/>
      <c r="Y1368" s="102" t="n"/>
      <c r="Z1368" s="102" t="n"/>
      <c r="AA1368" s="102" t="n"/>
      <c r="AB1368" s="102" t="n"/>
      <c r="AC1368" s="102" t="n"/>
      <c r="AD1368" s="102" t="n"/>
      <c r="AE1368" s="102" t="n"/>
      <c r="AF1368" s="102" t="n"/>
      <c r="AG1368" s="102" t="n"/>
      <c r="AH1368" s="102" t="n"/>
      <c r="AI1368" s="102" t="n"/>
      <c r="AJ1368" s="102" t="n"/>
      <c r="AK1368" s="102" t="n"/>
      <c r="AL1368" s="102" t="n"/>
      <c r="AM1368" s="102" t="n"/>
      <c r="AN1368" s="102" t="n"/>
      <c r="AO1368" s="102" t="n"/>
      <c r="AP1368" s="102" t="n"/>
      <c r="AQ1368" s="102" t="n"/>
      <c r="AR1368" s="102" t="n"/>
    </row>
    <row r="1369">
      <c r="D1369" s="102" t="n"/>
      <c r="E1369" s="102" t="n"/>
      <c r="F1369" s="102" t="n"/>
      <c r="G1369" s="102" t="n"/>
      <c r="H1369" s="102" t="n"/>
      <c r="I1369" s="102" t="n"/>
      <c r="J1369" s="102" t="n"/>
      <c r="K1369" s="102" t="n"/>
      <c r="L1369" s="102" t="n"/>
      <c r="M1369" s="102" t="n"/>
      <c r="N1369" s="102" t="n"/>
      <c r="O1369" s="102" t="n"/>
      <c r="P1369" s="102" t="n"/>
      <c r="Q1369" s="102" t="n"/>
      <c r="R1369" s="102" t="n"/>
      <c r="S1369" s="102" t="n"/>
      <c r="T1369" s="102" t="n"/>
      <c r="U1369" s="102" t="n"/>
      <c r="V1369" s="102" t="n"/>
      <c r="W1369" s="102" t="n"/>
      <c r="X1369" s="102" t="n"/>
      <c r="Y1369" s="102" t="n"/>
      <c r="Z1369" s="102" t="n"/>
      <c r="AA1369" s="102" t="n"/>
      <c r="AB1369" s="102" t="n"/>
      <c r="AC1369" s="102" t="n"/>
      <c r="AD1369" s="102" t="n"/>
      <c r="AE1369" s="102" t="n"/>
      <c r="AF1369" s="102" t="n"/>
      <c r="AG1369" s="102" t="n"/>
      <c r="AH1369" s="102" t="n"/>
      <c r="AI1369" s="102" t="n"/>
      <c r="AJ1369" s="102" t="n"/>
      <c r="AK1369" s="102" t="n"/>
      <c r="AL1369" s="102" t="n"/>
      <c r="AM1369" s="102" t="n"/>
      <c r="AN1369" s="102" t="n"/>
      <c r="AO1369" s="102" t="n"/>
      <c r="AP1369" s="102" t="n"/>
      <c r="AQ1369" s="102" t="n"/>
      <c r="AR1369" s="102" t="n"/>
    </row>
    <row r="1370">
      <c r="D1370" s="102" t="n"/>
      <c r="E1370" s="102" t="n"/>
      <c r="F1370" s="102" t="n"/>
      <c r="G1370" s="102" t="n"/>
      <c r="H1370" s="102" t="n"/>
      <c r="I1370" s="102" t="n"/>
      <c r="J1370" s="102" t="n"/>
      <c r="K1370" s="102" t="n"/>
      <c r="L1370" s="102" t="n"/>
      <c r="M1370" s="102" t="n"/>
      <c r="N1370" s="102" t="n"/>
      <c r="O1370" s="102" t="n"/>
      <c r="P1370" s="102" t="n"/>
      <c r="Q1370" s="102" t="n"/>
      <c r="R1370" s="102" t="n"/>
      <c r="S1370" s="102" t="n"/>
      <c r="T1370" s="102" t="n"/>
      <c r="U1370" s="102" t="n"/>
      <c r="V1370" s="102" t="n"/>
      <c r="W1370" s="102" t="n"/>
      <c r="X1370" s="102" t="n"/>
      <c r="Y1370" s="102" t="n"/>
      <c r="Z1370" s="102" t="n"/>
      <c r="AA1370" s="102" t="n"/>
      <c r="AB1370" s="102" t="n"/>
      <c r="AC1370" s="102" t="n"/>
      <c r="AD1370" s="102" t="n"/>
      <c r="AE1370" s="102" t="n"/>
      <c r="AF1370" s="102" t="n"/>
      <c r="AG1370" s="102" t="n"/>
      <c r="AH1370" s="102" t="n"/>
      <c r="AI1370" s="102" t="n"/>
      <c r="AJ1370" s="102" t="n"/>
      <c r="AK1370" s="102" t="n"/>
      <c r="AL1370" s="102" t="n"/>
      <c r="AM1370" s="102" t="n"/>
      <c r="AN1370" s="102" t="n"/>
      <c r="AO1370" s="102" t="n"/>
      <c r="AP1370" s="102" t="n"/>
      <c r="AQ1370" s="102" t="n"/>
      <c r="AR1370" s="102" t="n"/>
    </row>
    <row r="1371">
      <c r="D1371" s="102" t="n"/>
      <c r="E1371" s="102" t="n"/>
      <c r="F1371" s="102" t="n"/>
      <c r="G1371" s="102" t="n"/>
      <c r="H1371" s="102" t="n"/>
      <c r="I1371" s="102" t="n"/>
      <c r="J1371" s="102" t="n"/>
      <c r="K1371" s="102" t="n"/>
      <c r="L1371" s="102" t="n"/>
      <c r="M1371" s="102" t="n"/>
      <c r="N1371" s="102" t="n"/>
      <c r="O1371" s="102" t="n"/>
      <c r="P1371" s="102" t="n"/>
      <c r="Q1371" s="102" t="n"/>
      <c r="R1371" s="102" t="n"/>
      <c r="S1371" s="102" t="n"/>
      <c r="T1371" s="102" t="n"/>
      <c r="U1371" s="102" t="n"/>
      <c r="V1371" s="102" t="n"/>
      <c r="W1371" s="102" t="n"/>
      <c r="X1371" s="102" t="n"/>
      <c r="Y1371" s="102" t="n"/>
      <c r="Z1371" s="102" t="n"/>
      <c r="AA1371" s="102" t="n"/>
      <c r="AB1371" s="102" t="n"/>
      <c r="AC1371" s="102" t="n"/>
      <c r="AD1371" s="102" t="n"/>
      <c r="AE1371" s="102" t="n"/>
      <c r="AF1371" s="102" t="n"/>
      <c r="AG1371" s="102" t="n"/>
      <c r="AH1371" s="102" t="n"/>
      <c r="AI1371" s="102" t="n"/>
      <c r="AJ1371" s="102" t="n"/>
      <c r="AK1371" s="102" t="n"/>
      <c r="AL1371" s="102" t="n"/>
      <c r="AM1371" s="102" t="n"/>
      <c r="AN1371" s="102" t="n"/>
      <c r="AO1371" s="102" t="n"/>
      <c r="AP1371" s="102" t="n"/>
      <c r="AQ1371" s="102" t="n"/>
      <c r="AR1371" s="102" t="n"/>
    </row>
    <row r="1372">
      <c r="D1372" s="103" t="n"/>
      <c r="E1372" s="103" t="n"/>
      <c r="F1372" s="103" t="n"/>
      <c r="G1372" s="103" t="n"/>
      <c r="H1372" s="103" t="n"/>
      <c r="I1372" s="103" t="n"/>
      <c r="J1372" s="103" t="n"/>
      <c r="K1372" s="103" t="n"/>
      <c r="L1372" s="103" t="n"/>
      <c r="M1372" s="103" t="n"/>
      <c r="N1372" s="103" t="n"/>
      <c r="O1372" s="103" t="n"/>
      <c r="P1372" s="103" t="n"/>
      <c r="Q1372" s="103" t="n"/>
      <c r="R1372" s="103" t="n"/>
      <c r="S1372" s="103" t="n"/>
      <c r="T1372" s="103" t="n"/>
      <c r="U1372" s="103" t="n"/>
      <c r="V1372" s="103" t="n"/>
      <c r="W1372" s="103" t="n"/>
      <c r="X1372" s="103" t="n"/>
      <c r="Y1372" s="103" t="n"/>
      <c r="Z1372" s="103" t="n"/>
      <c r="AA1372" s="103" t="n"/>
      <c r="AB1372" s="103" t="n"/>
      <c r="AC1372" s="103" t="n"/>
      <c r="AD1372" s="103" t="n"/>
      <c r="AE1372" s="103" t="n"/>
      <c r="AF1372" s="103" t="n"/>
      <c r="AG1372" s="103" t="n"/>
      <c r="AH1372" s="103" t="n"/>
      <c r="AI1372" s="103" t="n"/>
      <c r="AJ1372" s="103" t="n"/>
      <c r="AK1372" s="103" t="n"/>
      <c r="AL1372" s="103" t="n"/>
      <c r="AM1372" s="103" t="n"/>
      <c r="AN1372" s="103" t="n"/>
      <c r="AO1372" s="103" t="n"/>
      <c r="AP1372" s="103" t="n"/>
      <c r="AQ1372" s="103" t="n"/>
      <c r="AR1372" s="103" t="n"/>
    </row>
    <row r="1375">
      <c r="A1375" s="2">
        <f>IF($A1368="","","   projections")</f>
        <v/>
      </c>
      <c r="B1375" s="99">
        <f>IF($A1368="",0,COUNT($E1376:$AR1376))</f>
        <v/>
      </c>
      <c r="C1375" s="100">
        <f>IF($B1375=0,0,MAX($E1376:$AR1376))</f>
        <v/>
      </c>
      <c r="D1375" s="101">
        <f>BDS($A1368,FLD_PROJ,"headers=y","startcol=1","endcol=3","dir=h")</f>
        <v/>
      </c>
      <c r="E1375" s="102" t="n"/>
      <c r="F1375" s="102" t="n"/>
      <c r="G1375" s="102" t="n"/>
      <c r="H1375" s="102" t="n"/>
      <c r="I1375" s="102" t="n"/>
      <c r="J1375" s="102" t="n"/>
      <c r="K1375" s="102" t="n"/>
      <c r="L1375" s="102" t="n"/>
      <c r="M1375" s="102" t="n"/>
      <c r="N1375" s="102" t="n"/>
      <c r="O1375" s="102" t="n"/>
      <c r="P1375" s="102" t="n"/>
      <c r="Q1375" s="102" t="n"/>
      <c r="R1375" s="102" t="n"/>
      <c r="S1375" s="102" t="n"/>
      <c r="T1375" s="102" t="n"/>
      <c r="U1375" s="102" t="n"/>
      <c r="V1375" s="102" t="n"/>
      <c r="W1375" s="102" t="n"/>
      <c r="X1375" s="102" t="n"/>
      <c r="Y1375" s="102" t="n"/>
      <c r="Z1375" s="102" t="n"/>
      <c r="AA1375" s="102" t="n"/>
      <c r="AB1375" s="102" t="n"/>
      <c r="AC1375" s="102" t="n"/>
      <c r="AD1375" s="102" t="n"/>
      <c r="AE1375" s="102" t="n"/>
      <c r="AF1375" s="102" t="n"/>
      <c r="AG1375" s="102" t="n"/>
      <c r="AH1375" s="102" t="n"/>
      <c r="AI1375" s="102" t="n"/>
      <c r="AJ1375" s="102" t="n"/>
      <c r="AK1375" s="102" t="n"/>
      <c r="AL1375" s="102" t="n"/>
      <c r="AM1375" s="102" t="n"/>
      <c r="AN1375" s="102" t="n"/>
      <c r="AO1375" s="102" t="n"/>
      <c r="AP1375" s="102" t="n"/>
      <c r="AQ1375" s="102" t="n"/>
      <c r="AR1375" s="102" t="n"/>
    </row>
    <row r="1376">
      <c r="D1376" s="102" t="n"/>
      <c r="E1376" s="102" t="n"/>
      <c r="F1376" s="102" t="n"/>
      <c r="G1376" s="102" t="n"/>
      <c r="H1376" s="102" t="n"/>
      <c r="I1376" s="102" t="n"/>
      <c r="J1376" s="102" t="n"/>
      <c r="K1376" s="102" t="n"/>
      <c r="L1376" s="102" t="n"/>
      <c r="M1376" s="102" t="n"/>
      <c r="N1376" s="102" t="n"/>
      <c r="O1376" s="102" t="n"/>
      <c r="P1376" s="102" t="n"/>
      <c r="Q1376" s="102" t="n"/>
      <c r="R1376" s="102" t="n"/>
      <c r="S1376" s="102" t="n"/>
      <c r="T1376" s="102" t="n"/>
      <c r="U1376" s="102" t="n"/>
      <c r="V1376" s="102" t="n"/>
      <c r="W1376" s="102" t="n"/>
      <c r="X1376" s="102" t="n"/>
      <c r="Y1376" s="102" t="n"/>
      <c r="Z1376" s="102" t="n"/>
      <c r="AA1376" s="102" t="n"/>
      <c r="AB1376" s="102" t="n"/>
      <c r="AC1376" s="102" t="n"/>
      <c r="AD1376" s="102" t="n"/>
      <c r="AE1376" s="102" t="n"/>
      <c r="AF1376" s="102" t="n"/>
      <c r="AG1376" s="102" t="n"/>
      <c r="AH1376" s="102" t="n"/>
      <c r="AI1376" s="102" t="n"/>
      <c r="AJ1376" s="102" t="n"/>
      <c r="AK1376" s="102" t="n"/>
      <c r="AL1376" s="102" t="n"/>
      <c r="AM1376" s="102" t="n"/>
      <c r="AN1376" s="102" t="n"/>
      <c r="AO1376" s="102" t="n"/>
      <c r="AP1376" s="102" t="n"/>
      <c r="AQ1376" s="102" t="n"/>
      <c r="AR1376" s="102" t="n"/>
    </row>
    <row r="1377">
      <c r="D1377" s="103" t="n"/>
      <c r="E1377" s="103" t="n"/>
      <c r="F1377" s="103" t="n"/>
      <c r="G1377" s="103" t="n"/>
      <c r="H1377" s="103" t="n"/>
      <c r="I1377" s="103" t="n"/>
      <c r="J1377" s="103" t="n"/>
      <c r="K1377" s="103" t="n"/>
      <c r="L1377" s="103" t="n"/>
      <c r="M1377" s="103" t="n"/>
      <c r="N1377" s="103" t="n"/>
      <c r="O1377" s="103" t="n"/>
      <c r="P1377" s="103" t="n"/>
      <c r="Q1377" s="103" t="n"/>
      <c r="R1377" s="103" t="n"/>
      <c r="S1377" s="103" t="n"/>
      <c r="T1377" s="103" t="n"/>
      <c r="U1377" s="103" t="n"/>
      <c r="V1377" s="103" t="n"/>
      <c r="W1377" s="103" t="n"/>
      <c r="X1377" s="103" t="n"/>
      <c r="Y1377" s="103" t="n"/>
      <c r="Z1377" s="103" t="n"/>
      <c r="AA1377" s="103" t="n"/>
      <c r="AB1377" s="103" t="n"/>
      <c r="AC1377" s="103" t="n"/>
      <c r="AD1377" s="103" t="n"/>
      <c r="AE1377" s="103" t="n"/>
      <c r="AF1377" s="103" t="n"/>
      <c r="AG1377" s="103" t="n"/>
      <c r="AH1377" s="103" t="n"/>
      <c r="AI1377" s="103" t="n"/>
      <c r="AJ1377" s="103" t="n"/>
      <c r="AK1377" s="103" t="n"/>
      <c r="AL1377" s="103" t="n"/>
      <c r="AM1377" s="103" t="n"/>
      <c r="AN1377" s="103" t="n"/>
      <c r="AO1377" s="103" t="n"/>
      <c r="AP1377" s="103" t="n"/>
      <c r="AQ1377" s="103" t="n"/>
      <c r="AR1377" s="103" t="n"/>
    </row>
    <row r="1379">
      <c r="A1379" s="8">
        <f>IF(HSTECH!$C$31="","",HSTECH!$C$31)</f>
        <v/>
      </c>
      <c r="B1379" s="99">
        <f>IF($A1379="",0,COUNT($E1380:$AR1380))</f>
        <v/>
      </c>
      <c r="C1379" s="100">
        <f>IF($B1379=0,0,MAX($E1380:$AR1380))</f>
        <v/>
      </c>
      <c r="D1379" s="101">
        <f>BDS($A1379,FLD_HIST,"headers=y","startcol=1","endcol=7","dir=h","DVD_START_DT",HIST_FROM,"DVD_END_DT",HIST_TO)</f>
        <v/>
      </c>
      <c r="E1379" s="102" t="n"/>
      <c r="F1379" s="102" t="n"/>
      <c r="G1379" s="102" t="n"/>
      <c r="H1379" s="102" t="n"/>
      <c r="I1379" s="102" t="n"/>
      <c r="J1379" s="102" t="n"/>
      <c r="K1379" s="102" t="n"/>
      <c r="L1379" s="102" t="n"/>
      <c r="M1379" s="102" t="n"/>
      <c r="N1379" s="102" t="n"/>
      <c r="O1379" s="102" t="n"/>
      <c r="P1379" s="102" t="n"/>
      <c r="Q1379" s="102" t="n"/>
      <c r="R1379" s="102" t="n"/>
      <c r="S1379" s="102" t="n"/>
      <c r="T1379" s="102" t="n"/>
      <c r="U1379" s="102" t="n"/>
      <c r="V1379" s="102" t="n"/>
      <c r="W1379" s="102" t="n"/>
      <c r="X1379" s="102" t="n"/>
      <c r="Y1379" s="102" t="n"/>
      <c r="Z1379" s="102" t="n"/>
      <c r="AA1379" s="102" t="n"/>
      <c r="AB1379" s="102" t="n"/>
      <c r="AC1379" s="102" t="n"/>
      <c r="AD1379" s="102" t="n"/>
      <c r="AE1379" s="102" t="n"/>
      <c r="AF1379" s="102" t="n"/>
      <c r="AG1379" s="102" t="n"/>
      <c r="AH1379" s="102" t="n"/>
      <c r="AI1379" s="102" t="n"/>
      <c r="AJ1379" s="102" t="n"/>
      <c r="AK1379" s="102" t="n"/>
      <c r="AL1379" s="102" t="n"/>
      <c r="AM1379" s="102" t="n"/>
      <c r="AN1379" s="102" t="n"/>
      <c r="AO1379" s="102" t="n"/>
      <c r="AP1379" s="102" t="n"/>
      <c r="AQ1379" s="102" t="n"/>
      <c r="AR1379" s="102" t="n"/>
    </row>
    <row r="1380">
      <c r="D1380" s="102" t="n"/>
      <c r="E1380" s="102" t="n"/>
      <c r="F1380" s="102" t="n"/>
      <c r="G1380" s="102" t="n"/>
      <c r="H1380" s="102" t="n"/>
      <c r="I1380" s="102" t="n"/>
      <c r="J1380" s="102" t="n"/>
      <c r="K1380" s="102" t="n"/>
      <c r="L1380" s="102" t="n"/>
      <c r="M1380" s="102" t="n"/>
      <c r="N1380" s="102" t="n"/>
      <c r="O1380" s="102" t="n"/>
      <c r="P1380" s="102" t="n"/>
      <c r="Q1380" s="102" t="n"/>
      <c r="R1380" s="102" t="n"/>
      <c r="S1380" s="102" t="n"/>
      <c r="T1380" s="102" t="n"/>
      <c r="U1380" s="102" t="n"/>
      <c r="V1380" s="102" t="n"/>
      <c r="W1380" s="102" t="n"/>
      <c r="X1380" s="102" t="n"/>
      <c r="Y1380" s="102" t="n"/>
      <c r="Z1380" s="102" t="n"/>
      <c r="AA1380" s="102" t="n"/>
      <c r="AB1380" s="102" t="n"/>
      <c r="AC1380" s="102" t="n"/>
      <c r="AD1380" s="102" t="n"/>
      <c r="AE1380" s="102" t="n"/>
      <c r="AF1380" s="102" t="n"/>
      <c r="AG1380" s="102" t="n"/>
      <c r="AH1380" s="102" t="n"/>
      <c r="AI1380" s="102" t="n"/>
      <c r="AJ1380" s="102" t="n"/>
      <c r="AK1380" s="102" t="n"/>
      <c r="AL1380" s="102" t="n"/>
      <c r="AM1380" s="102" t="n"/>
      <c r="AN1380" s="102" t="n"/>
      <c r="AO1380" s="102" t="n"/>
      <c r="AP1380" s="102" t="n"/>
      <c r="AQ1380" s="102" t="n"/>
      <c r="AR1380" s="102" t="n"/>
    </row>
    <row r="1381">
      <c r="D1381" s="102" t="n"/>
      <c r="E1381" s="102" t="n"/>
      <c r="F1381" s="102" t="n"/>
      <c r="G1381" s="102" t="n"/>
      <c r="H1381" s="102" t="n"/>
      <c r="I1381" s="102" t="n"/>
      <c r="J1381" s="102" t="n"/>
      <c r="K1381" s="102" t="n"/>
      <c r="L1381" s="102" t="n"/>
      <c r="M1381" s="102" t="n"/>
      <c r="N1381" s="102" t="n"/>
      <c r="O1381" s="102" t="n"/>
      <c r="P1381" s="102" t="n"/>
      <c r="Q1381" s="102" t="n"/>
      <c r="R1381" s="102" t="n"/>
      <c r="S1381" s="102" t="n"/>
      <c r="T1381" s="102" t="n"/>
      <c r="U1381" s="102" t="n"/>
      <c r="V1381" s="102" t="n"/>
      <c r="W1381" s="102" t="n"/>
      <c r="X1381" s="102" t="n"/>
      <c r="Y1381" s="102" t="n"/>
      <c r="Z1381" s="102" t="n"/>
      <c r="AA1381" s="102" t="n"/>
      <c r="AB1381" s="102" t="n"/>
      <c r="AC1381" s="102" t="n"/>
      <c r="AD1381" s="102" t="n"/>
      <c r="AE1381" s="102" t="n"/>
      <c r="AF1381" s="102" t="n"/>
      <c r="AG1381" s="102" t="n"/>
      <c r="AH1381" s="102" t="n"/>
      <c r="AI1381" s="102" t="n"/>
      <c r="AJ1381" s="102" t="n"/>
      <c r="AK1381" s="102" t="n"/>
      <c r="AL1381" s="102" t="n"/>
      <c r="AM1381" s="102" t="n"/>
      <c r="AN1381" s="102" t="n"/>
      <c r="AO1381" s="102" t="n"/>
      <c r="AP1381" s="102" t="n"/>
      <c r="AQ1381" s="102" t="n"/>
      <c r="AR1381" s="102" t="n"/>
    </row>
    <row r="1382">
      <c r="D1382" s="102" t="n"/>
      <c r="E1382" s="102" t="n"/>
      <c r="F1382" s="102" t="n"/>
      <c r="G1382" s="102" t="n"/>
      <c r="H1382" s="102" t="n"/>
      <c r="I1382" s="102" t="n"/>
      <c r="J1382" s="102" t="n"/>
      <c r="K1382" s="102" t="n"/>
      <c r="L1382" s="102" t="n"/>
      <c r="M1382" s="102" t="n"/>
      <c r="N1382" s="102" t="n"/>
      <c r="O1382" s="102" t="n"/>
      <c r="P1382" s="102" t="n"/>
      <c r="Q1382" s="102" t="n"/>
      <c r="R1382" s="102" t="n"/>
      <c r="S1382" s="102" t="n"/>
      <c r="T1382" s="102" t="n"/>
      <c r="U1382" s="102" t="n"/>
      <c r="V1382" s="102" t="n"/>
      <c r="W1382" s="102" t="n"/>
      <c r="X1382" s="102" t="n"/>
      <c r="Y1382" s="102" t="n"/>
      <c r="Z1382" s="102" t="n"/>
      <c r="AA1382" s="102" t="n"/>
      <c r="AB1382" s="102" t="n"/>
      <c r="AC1382" s="102" t="n"/>
      <c r="AD1382" s="102" t="n"/>
      <c r="AE1382" s="102" t="n"/>
      <c r="AF1382" s="102" t="n"/>
      <c r="AG1382" s="102" t="n"/>
      <c r="AH1382" s="102" t="n"/>
      <c r="AI1382" s="102" t="n"/>
      <c r="AJ1382" s="102" t="n"/>
      <c r="AK1382" s="102" t="n"/>
      <c r="AL1382" s="102" t="n"/>
      <c r="AM1382" s="102" t="n"/>
      <c r="AN1382" s="102" t="n"/>
      <c r="AO1382" s="102" t="n"/>
      <c r="AP1382" s="102" t="n"/>
      <c r="AQ1382" s="102" t="n"/>
      <c r="AR1382" s="102" t="n"/>
    </row>
    <row r="1383">
      <c r="D1383" s="103" t="n"/>
      <c r="E1383" s="103" t="n"/>
      <c r="F1383" s="103" t="n"/>
      <c r="G1383" s="103" t="n"/>
      <c r="H1383" s="103" t="n"/>
      <c r="I1383" s="103" t="n"/>
      <c r="J1383" s="103" t="n"/>
      <c r="K1383" s="103" t="n"/>
      <c r="L1383" s="103" t="n"/>
      <c r="M1383" s="103" t="n"/>
      <c r="N1383" s="103" t="n"/>
      <c r="O1383" s="103" t="n"/>
      <c r="P1383" s="103" t="n"/>
      <c r="Q1383" s="103" t="n"/>
      <c r="R1383" s="103" t="n"/>
      <c r="S1383" s="103" t="n"/>
      <c r="T1383" s="103" t="n"/>
      <c r="U1383" s="103" t="n"/>
      <c r="V1383" s="103" t="n"/>
      <c r="W1383" s="103" t="n"/>
      <c r="X1383" s="103" t="n"/>
      <c r="Y1383" s="103" t="n"/>
      <c r="Z1383" s="103" t="n"/>
      <c r="AA1383" s="103" t="n"/>
      <c r="AB1383" s="103" t="n"/>
      <c r="AC1383" s="103" t="n"/>
      <c r="AD1383" s="103" t="n"/>
      <c r="AE1383" s="103" t="n"/>
      <c r="AF1383" s="103" t="n"/>
      <c r="AG1383" s="103" t="n"/>
      <c r="AH1383" s="103" t="n"/>
      <c r="AI1383" s="103" t="n"/>
      <c r="AJ1383" s="103" t="n"/>
      <c r="AK1383" s="103" t="n"/>
      <c r="AL1383" s="103" t="n"/>
      <c r="AM1383" s="103" t="n"/>
      <c r="AN1383" s="103" t="n"/>
      <c r="AO1383" s="103" t="n"/>
      <c r="AP1383" s="103" t="n"/>
      <c r="AQ1383" s="103" t="n"/>
      <c r="AR1383" s="103" t="n"/>
    </row>
    <row r="1386">
      <c r="A1386" s="2">
        <f>IF($A1379="","","   projections")</f>
        <v/>
      </c>
      <c r="B1386" s="99">
        <f>IF($A1379="",0,COUNT($E1387:$AR1387))</f>
        <v/>
      </c>
      <c r="C1386" s="100">
        <f>IF($B1386=0,0,MAX($E1387:$AR1387))</f>
        <v/>
      </c>
      <c r="D1386" s="101">
        <f>BDS($A1379,FLD_PROJ,"headers=y","startcol=1","endcol=3","dir=h")</f>
        <v/>
      </c>
      <c r="E1386" s="102" t="n"/>
      <c r="F1386" s="102" t="n"/>
      <c r="G1386" s="102" t="n"/>
      <c r="H1386" s="102" t="n"/>
      <c r="I1386" s="102" t="n"/>
      <c r="J1386" s="102" t="n"/>
      <c r="K1386" s="102" t="n"/>
      <c r="L1386" s="102" t="n"/>
      <c r="M1386" s="102" t="n"/>
      <c r="N1386" s="102" t="n"/>
      <c r="O1386" s="102" t="n"/>
      <c r="P1386" s="102" t="n"/>
      <c r="Q1386" s="102" t="n"/>
      <c r="R1386" s="102" t="n"/>
      <c r="S1386" s="102" t="n"/>
      <c r="T1386" s="102" t="n"/>
      <c r="U1386" s="102" t="n"/>
      <c r="V1386" s="102" t="n"/>
      <c r="W1386" s="102" t="n"/>
      <c r="X1386" s="102" t="n"/>
      <c r="Y1386" s="102" t="n"/>
      <c r="Z1386" s="102" t="n"/>
      <c r="AA1386" s="102" t="n"/>
      <c r="AB1386" s="102" t="n"/>
      <c r="AC1386" s="102" t="n"/>
      <c r="AD1386" s="102" t="n"/>
      <c r="AE1386" s="102" t="n"/>
      <c r="AF1386" s="102" t="n"/>
      <c r="AG1386" s="102" t="n"/>
      <c r="AH1386" s="102" t="n"/>
      <c r="AI1386" s="102" t="n"/>
      <c r="AJ1386" s="102" t="n"/>
      <c r="AK1386" s="102" t="n"/>
      <c r="AL1386" s="102" t="n"/>
      <c r="AM1386" s="102" t="n"/>
      <c r="AN1386" s="102" t="n"/>
      <c r="AO1386" s="102" t="n"/>
      <c r="AP1386" s="102" t="n"/>
      <c r="AQ1386" s="102" t="n"/>
      <c r="AR1386" s="102" t="n"/>
    </row>
    <row r="1387">
      <c r="D1387" s="102" t="n"/>
      <c r="E1387" s="102" t="n"/>
      <c r="F1387" s="102" t="n"/>
      <c r="G1387" s="102" t="n"/>
      <c r="H1387" s="102" t="n"/>
      <c r="I1387" s="102" t="n"/>
      <c r="J1387" s="102" t="n"/>
      <c r="K1387" s="102" t="n"/>
      <c r="L1387" s="102" t="n"/>
      <c r="M1387" s="102" t="n"/>
      <c r="N1387" s="102" t="n"/>
      <c r="O1387" s="102" t="n"/>
      <c r="P1387" s="102" t="n"/>
      <c r="Q1387" s="102" t="n"/>
      <c r="R1387" s="102" t="n"/>
      <c r="S1387" s="102" t="n"/>
      <c r="T1387" s="102" t="n"/>
      <c r="U1387" s="102" t="n"/>
      <c r="V1387" s="102" t="n"/>
      <c r="W1387" s="102" t="n"/>
      <c r="X1387" s="102" t="n"/>
      <c r="Y1387" s="102" t="n"/>
      <c r="Z1387" s="102" t="n"/>
      <c r="AA1387" s="102" t="n"/>
      <c r="AB1387" s="102" t="n"/>
      <c r="AC1387" s="102" t="n"/>
      <c r="AD1387" s="102" t="n"/>
      <c r="AE1387" s="102" t="n"/>
      <c r="AF1387" s="102" t="n"/>
      <c r="AG1387" s="102" t="n"/>
      <c r="AH1387" s="102" t="n"/>
      <c r="AI1387" s="102" t="n"/>
      <c r="AJ1387" s="102" t="n"/>
      <c r="AK1387" s="102" t="n"/>
      <c r="AL1387" s="102" t="n"/>
      <c r="AM1387" s="102" t="n"/>
      <c r="AN1387" s="102" t="n"/>
      <c r="AO1387" s="102" t="n"/>
      <c r="AP1387" s="102" t="n"/>
      <c r="AQ1387" s="102" t="n"/>
      <c r="AR1387" s="102" t="n"/>
    </row>
    <row r="1388">
      <c r="D1388" s="103" t="n"/>
      <c r="E1388" s="103" t="n"/>
      <c r="F1388" s="103" t="n"/>
      <c r="G1388" s="103" t="n"/>
      <c r="H1388" s="103" t="n"/>
      <c r="I1388" s="103" t="n"/>
      <c r="J1388" s="103" t="n"/>
      <c r="K1388" s="103" t="n"/>
      <c r="L1388" s="103" t="n"/>
      <c r="M1388" s="103" t="n"/>
      <c r="N1388" s="103" t="n"/>
      <c r="O1388" s="103" t="n"/>
      <c r="P1388" s="103" t="n"/>
      <c r="Q1388" s="103" t="n"/>
      <c r="R1388" s="103" t="n"/>
      <c r="S1388" s="103" t="n"/>
      <c r="T1388" s="103" t="n"/>
      <c r="U1388" s="103" t="n"/>
      <c r="V1388" s="103" t="n"/>
      <c r="W1388" s="103" t="n"/>
      <c r="X1388" s="103" t="n"/>
      <c r="Y1388" s="103" t="n"/>
      <c r="Z1388" s="103" t="n"/>
      <c r="AA1388" s="103" t="n"/>
      <c r="AB1388" s="103" t="n"/>
      <c r="AC1388" s="103" t="n"/>
      <c r="AD1388" s="103" t="n"/>
      <c r="AE1388" s="103" t="n"/>
      <c r="AF1388" s="103" t="n"/>
      <c r="AG1388" s="103" t="n"/>
      <c r="AH1388" s="103" t="n"/>
      <c r="AI1388" s="103" t="n"/>
      <c r="AJ1388" s="103" t="n"/>
      <c r="AK1388" s="103" t="n"/>
      <c r="AL1388" s="103" t="n"/>
      <c r="AM1388" s="103" t="n"/>
      <c r="AN1388" s="103" t="n"/>
      <c r="AO1388" s="103" t="n"/>
      <c r="AP1388" s="103" t="n"/>
      <c r="AQ1388" s="103" t="n"/>
      <c r="AR1388" s="103" t="n"/>
    </row>
    <row r="1390">
      <c r="A1390" s="8">
        <f>IF(HSTECH!$C$32="","",HSTECH!$C$32)</f>
        <v/>
      </c>
      <c r="B1390" s="99">
        <f>IF($A1390="",0,COUNT($E1391:$AR1391))</f>
        <v/>
      </c>
      <c r="C1390" s="100">
        <f>IF($B1390=0,0,MAX($E1391:$AR1391))</f>
        <v/>
      </c>
      <c r="D1390" s="101">
        <f>BDS($A1390,FLD_HIST,"headers=y","startcol=1","endcol=7","dir=h","DVD_START_DT",HIST_FROM,"DVD_END_DT",HIST_TO)</f>
        <v/>
      </c>
      <c r="E1390" s="102" t="n"/>
      <c r="F1390" s="102" t="n"/>
      <c r="G1390" s="102" t="n"/>
      <c r="H1390" s="102" t="n"/>
      <c r="I1390" s="102" t="n"/>
      <c r="J1390" s="102" t="n"/>
      <c r="K1390" s="102" t="n"/>
      <c r="L1390" s="102" t="n"/>
      <c r="M1390" s="102" t="n"/>
      <c r="N1390" s="102" t="n"/>
      <c r="O1390" s="102" t="n"/>
      <c r="P1390" s="102" t="n"/>
      <c r="Q1390" s="102" t="n"/>
      <c r="R1390" s="102" t="n"/>
      <c r="S1390" s="102" t="n"/>
      <c r="T1390" s="102" t="n"/>
      <c r="U1390" s="102" t="n"/>
      <c r="V1390" s="102" t="n"/>
      <c r="W1390" s="102" t="n"/>
      <c r="X1390" s="102" t="n"/>
      <c r="Y1390" s="102" t="n"/>
      <c r="Z1390" s="102" t="n"/>
      <c r="AA1390" s="102" t="n"/>
      <c r="AB1390" s="102" t="n"/>
      <c r="AC1390" s="102" t="n"/>
      <c r="AD1390" s="102" t="n"/>
      <c r="AE1390" s="102" t="n"/>
      <c r="AF1390" s="102" t="n"/>
      <c r="AG1390" s="102" t="n"/>
      <c r="AH1390" s="102" t="n"/>
      <c r="AI1390" s="102" t="n"/>
      <c r="AJ1390" s="102" t="n"/>
      <c r="AK1390" s="102" t="n"/>
      <c r="AL1390" s="102" t="n"/>
      <c r="AM1390" s="102" t="n"/>
      <c r="AN1390" s="102" t="n"/>
      <c r="AO1390" s="102" t="n"/>
      <c r="AP1390" s="102" t="n"/>
      <c r="AQ1390" s="102" t="n"/>
      <c r="AR1390" s="102" t="n"/>
    </row>
    <row r="1391">
      <c r="D1391" s="102" t="n"/>
      <c r="E1391" s="102" t="n"/>
      <c r="F1391" s="102" t="n"/>
      <c r="G1391" s="102" t="n"/>
      <c r="H1391" s="102" t="n"/>
      <c r="I1391" s="102" t="n"/>
      <c r="J1391" s="102" t="n"/>
      <c r="K1391" s="102" t="n"/>
      <c r="L1391" s="102" t="n"/>
      <c r="M1391" s="102" t="n"/>
      <c r="N1391" s="102" t="n"/>
      <c r="O1391" s="102" t="n"/>
      <c r="P1391" s="102" t="n"/>
      <c r="Q1391" s="102" t="n"/>
      <c r="R1391" s="102" t="n"/>
      <c r="S1391" s="102" t="n"/>
      <c r="T1391" s="102" t="n"/>
      <c r="U1391" s="102" t="n"/>
      <c r="V1391" s="102" t="n"/>
      <c r="W1391" s="102" t="n"/>
      <c r="X1391" s="102" t="n"/>
      <c r="Y1391" s="102" t="n"/>
      <c r="Z1391" s="102" t="n"/>
      <c r="AA1391" s="102" t="n"/>
      <c r="AB1391" s="102" t="n"/>
      <c r="AC1391" s="102" t="n"/>
      <c r="AD1391" s="102" t="n"/>
      <c r="AE1391" s="102" t="n"/>
      <c r="AF1391" s="102" t="n"/>
      <c r="AG1391" s="102" t="n"/>
      <c r="AH1391" s="102" t="n"/>
      <c r="AI1391" s="102" t="n"/>
      <c r="AJ1391" s="102" t="n"/>
      <c r="AK1391" s="102" t="n"/>
      <c r="AL1391" s="102" t="n"/>
      <c r="AM1391" s="102" t="n"/>
      <c r="AN1391" s="102" t="n"/>
      <c r="AO1391" s="102" t="n"/>
      <c r="AP1391" s="102" t="n"/>
      <c r="AQ1391" s="102" t="n"/>
      <c r="AR1391" s="102" t="n"/>
    </row>
    <row r="1392">
      <c r="D1392" s="102" t="n"/>
      <c r="E1392" s="102" t="n"/>
      <c r="F1392" s="102" t="n"/>
      <c r="G1392" s="102" t="n"/>
      <c r="H1392" s="102" t="n"/>
      <c r="I1392" s="102" t="n"/>
      <c r="J1392" s="102" t="n"/>
      <c r="K1392" s="102" t="n"/>
      <c r="L1392" s="102" t="n"/>
      <c r="M1392" s="102" t="n"/>
      <c r="N1392" s="102" t="n"/>
      <c r="O1392" s="102" t="n"/>
      <c r="P1392" s="102" t="n"/>
      <c r="Q1392" s="102" t="n"/>
      <c r="R1392" s="102" t="n"/>
      <c r="S1392" s="102" t="n"/>
      <c r="T1392" s="102" t="n"/>
      <c r="U1392" s="102" t="n"/>
      <c r="V1392" s="102" t="n"/>
      <c r="W1392" s="102" t="n"/>
      <c r="X1392" s="102" t="n"/>
      <c r="Y1392" s="102" t="n"/>
      <c r="Z1392" s="102" t="n"/>
      <c r="AA1392" s="102" t="n"/>
      <c r="AB1392" s="102" t="n"/>
      <c r="AC1392" s="102" t="n"/>
      <c r="AD1392" s="102" t="n"/>
      <c r="AE1392" s="102" t="n"/>
      <c r="AF1392" s="102" t="n"/>
      <c r="AG1392" s="102" t="n"/>
      <c r="AH1392" s="102" t="n"/>
      <c r="AI1392" s="102" t="n"/>
      <c r="AJ1392" s="102" t="n"/>
      <c r="AK1392" s="102" t="n"/>
      <c r="AL1392" s="102" t="n"/>
      <c r="AM1392" s="102" t="n"/>
      <c r="AN1392" s="102" t="n"/>
      <c r="AO1392" s="102" t="n"/>
      <c r="AP1392" s="102" t="n"/>
      <c r="AQ1392" s="102" t="n"/>
      <c r="AR1392" s="102" t="n"/>
    </row>
    <row r="1393">
      <c r="D1393" s="102" t="n"/>
      <c r="E1393" s="102" t="n"/>
      <c r="F1393" s="102" t="n"/>
      <c r="G1393" s="102" t="n"/>
      <c r="H1393" s="102" t="n"/>
      <c r="I1393" s="102" t="n"/>
      <c r="J1393" s="102" t="n"/>
      <c r="K1393" s="102" t="n"/>
      <c r="L1393" s="102" t="n"/>
      <c r="M1393" s="102" t="n"/>
      <c r="N1393" s="102" t="n"/>
      <c r="O1393" s="102" t="n"/>
      <c r="P1393" s="102" t="n"/>
      <c r="Q1393" s="102" t="n"/>
      <c r="R1393" s="102" t="n"/>
      <c r="S1393" s="102" t="n"/>
      <c r="T1393" s="102" t="n"/>
      <c r="U1393" s="102" t="n"/>
      <c r="V1393" s="102" t="n"/>
      <c r="W1393" s="102" t="n"/>
      <c r="X1393" s="102" t="n"/>
      <c r="Y1393" s="102" t="n"/>
      <c r="Z1393" s="102" t="n"/>
      <c r="AA1393" s="102" t="n"/>
      <c r="AB1393" s="102" t="n"/>
      <c r="AC1393" s="102" t="n"/>
      <c r="AD1393" s="102" t="n"/>
      <c r="AE1393" s="102" t="n"/>
      <c r="AF1393" s="102" t="n"/>
      <c r="AG1393" s="102" t="n"/>
      <c r="AH1393" s="102" t="n"/>
      <c r="AI1393" s="102" t="n"/>
      <c r="AJ1393" s="102" t="n"/>
      <c r="AK1393" s="102" t="n"/>
      <c r="AL1393" s="102" t="n"/>
      <c r="AM1393" s="102" t="n"/>
      <c r="AN1393" s="102" t="n"/>
      <c r="AO1393" s="102" t="n"/>
      <c r="AP1393" s="102" t="n"/>
      <c r="AQ1393" s="102" t="n"/>
      <c r="AR1393" s="102" t="n"/>
    </row>
    <row r="1394">
      <c r="D1394" s="103" t="n"/>
      <c r="E1394" s="103" t="n"/>
      <c r="F1394" s="103" t="n"/>
      <c r="G1394" s="103" t="n"/>
      <c r="H1394" s="103" t="n"/>
      <c r="I1394" s="103" t="n"/>
      <c r="J1394" s="103" t="n"/>
      <c r="K1394" s="103" t="n"/>
      <c r="L1394" s="103" t="n"/>
      <c r="M1394" s="103" t="n"/>
      <c r="N1394" s="103" t="n"/>
      <c r="O1394" s="103" t="n"/>
      <c r="P1394" s="103" t="n"/>
      <c r="Q1394" s="103" t="n"/>
      <c r="R1394" s="103" t="n"/>
      <c r="S1394" s="103" t="n"/>
      <c r="T1394" s="103" t="n"/>
      <c r="U1394" s="103" t="n"/>
      <c r="V1394" s="103" t="n"/>
      <c r="W1394" s="103" t="n"/>
      <c r="X1394" s="103" t="n"/>
      <c r="Y1394" s="103" t="n"/>
      <c r="Z1394" s="103" t="n"/>
      <c r="AA1394" s="103" t="n"/>
      <c r="AB1394" s="103" t="n"/>
      <c r="AC1394" s="103" t="n"/>
      <c r="AD1394" s="103" t="n"/>
      <c r="AE1394" s="103" t="n"/>
      <c r="AF1394" s="103" t="n"/>
      <c r="AG1394" s="103" t="n"/>
      <c r="AH1394" s="103" t="n"/>
      <c r="AI1394" s="103" t="n"/>
      <c r="AJ1394" s="103" t="n"/>
      <c r="AK1394" s="103" t="n"/>
      <c r="AL1394" s="103" t="n"/>
      <c r="AM1394" s="103" t="n"/>
      <c r="AN1394" s="103" t="n"/>
      <c r="AO1394" s="103" t="n"/>
      <c r="AP1394" s="103" t="n"/>
      <c r="AQ1394" s="103" t="n"/>
      <c r="AR1394" s="103" t="n"/>
    </row>
    <row r="1397">
      <c r="A1397" s="2">
        <f>IF($A1390="","","   projections")</f>
        <v/>
      </c>
      <c r="B1397" s="99">
        <f>IF($A1390="",0,COUNT($E1398:$AR1398))</f>
        <v/>
      </c>
      <c r="C1397" s="100">
        <f>IF($B1397=0,0,MAX($E1398:$AR1398))</f>
        <v/>
      </c>
      <c r="D1397" s="101">
        <f>BDS($A1390,FLD_PROJ,"headers=y","startcol=1","endcol=3","dir=h")</f>
        <v/>
      </c>
      <c r="E1397" s="102" t="n"/>
      <c r="F1397" s="102" t="n"/>
      <c r="G1397" s="102" t="n"/>
      <c r="H1397" s="102" t="n"/>
      <c r="I1397" s="102" t="n"/>
      <c r="J1397" s="102" t="n"/>
      <c r="K1397" s="102" t="n"/>
      <c r="L1397" s="102" t="n"/>
      <c r="M1397" s="102" t="n"/>
      <c r="N1397" s="102" t="n"/>
      <c r="O1397" s="102" t="n"/>
      <c r="P1397" s="102" t="n"/>
      <c r="Q1397" s="102" t="n"/>
      <c r="R1397" s="102" t="n"/>
      <c r="S1397" s="102" t="n"/>
      <c r="T1397" s="102" t="n"/>
      <c r="U1397" s="102" t="n"/>
      <c r="V1397" s="102" t="n"/>
      <c r="W1397" s="102" t="n"/>
      <c r="X1397" s="102" t="n"/>
      <c r="Y1397" s="102" t="n"/>
      <c r="Z1397" s="102" t="n"/>
      <c r="AA1397" s="102" t="n"/>
      <c r="AB1397" s="102" t="n"/>
      <c r="AC1397" s="102" t="n"/>
      <c r="AD1397" s="102" t="n"/>
      <c r="AE1397" s="102" t="n"/>
      <c r="AF1397" s="102" t="n"/>
      <c r="AG1397" s="102" t="n"/>
      <c r="AH1397" s="102" t="n"/>
      <c r="AI1397" s="102" t="n"/>
      <c r="AJ1397" s="102" t="n"/>
      <c r="AK1397" s="102" t="n"/>
      <c r="AL1397" s="102" t="n"/>
      <c r="AM1397" s="102" t="n"/>
      <c r="AN1397" s="102" t="n"/>
      <c r="AO1397" s="102" t="n"/>
      <c r="AP1397" s="102" t="n"/>
      <c r="AQ1397" s="102" t="n"/>
      <c r="AR1397" s="102" t="n"/>
    </row>
    <row r="1398">
      <c r="D1398" s="102" t="n"/>
      <c r="E1398" s="102" t="n"/>
      <c r="F1398" s="102" t="n"/>
      <c r="G1398" s="102" t="n"/>
      <c r="H1398" s="102" t="n"/>
      <c r="I1398" s="102" t="n"/>
      <c r="J1398" s="102" t="n"/>
      <c r="K1398" s="102" t="n"/>
      <c r="L1398" s="102" t="n"/>
      <c r="M1398" s="102" t="n"/>
      <c r="N1398" s="102" t="n"/>
      <c r="O1398" s="102" t="n"/>
      <c r="P1398" s="102" t="n"/>
      <c r="Q1398" s="102" t="n"/>
      <c r="R1398" s="102" t="n"/>
      <c r="S1398" s="102" t="n"/>
      <c r="T1398" s="102" t="n"/>
      <c r="U1398" s="102" t="n"/>
      <c r="V1398" s="102" t="n"/>
      <c r="W1398" s="102" t="n"/>
      <c r="X1398" s="102" t="n"/>
      <c r="Y1398" s="102" t="n"/>
      <c r="Z1398" s="102" t="n"/>
      <c r="AA1398" s="102" t="n"/>
      <c r="AB1398" s="102" t="n"/>
      <c r="AC1398" s="102" t="n"/>
      <c r="AD1398" s="102" t="n"/>
      <c r="AE1398" s="102" t="n"/>
      <c r="AF1398" s="102" t="n"/>
      <c r="AG1398" s="102" t="n"/>
      <c r="AH1398" s="102" t="n"/>
      <c r="AI1398" s="102" t="n"/>
      <c r="AJ1398" s="102" t="n"/>
      <c r="AK1398" s="102" t="n"/>
      <c r="AL1398" s="102" t="n"/>
      <c r="AM1398" s="102" t="n"/>
      <c r="AN1398" s="102" t="n"/>
      <c r="AO1398" s="102" t="n"/>
      <c r="AP1398" s="102" t="n"/>
      <c r="AQ1398" s="102" t="n"/>
      <c r="AR1398" s="102" t="n"/>
    </row>
    <row r="1399">
      <c r="D1399" s="103" t="n"/>
      <c r="E1399" s="103" t="n"/>
      <c r="F1399" s="103" t="n"/>
      <c r="G1399" s="103" t="n"/>
      <c r="H1399" s="103" t="n"/>
      <c r="I1399" s="103" t="n"/>
      <c r="J1399" s="103" t="n"/>
      <c r="K1399" s="103" t="n"/>
      <c r="L1399" s="103" t="n"/>
      <c r="M1399" s="103" t="n"/>
      <c r="N1399" s="103" t="n"/>
      <c r="O1399" s="103" t="n"/>
      <c r="P1399" s="103" t="n"/>
      <c r="Q1399" s="103" t="n"/>
      <c r="R1399" s="103" t="n"/>
      <c r="S1399" s="103" t="n"/>
      <c r="T1399" s="103" t="n"/>
      <c r="U1399" s="103" t="n"/>
      <c r="V1399" s="103" t="n"/>
      <c r="W1399" s="103" t="n"/>
      <c r="X1399" s="103" t="n"/>
      <c r="Y1399" s="103" t="n"/>
      <c r="Z1399" s="103" t="n"/>
      <c r="AA1399" s="103" t="n"/>
      <c r="AB1399" s="103" t="n"/>
      <c r="AC1399" s="103" t="n"/>
      <c r="AD1399" s="103" t="n"/>
      <c r="AE1399" s="103" t="n"/>
      <c r="AF1399" s="103" t="n"/>
      <c r="AG1399" s="103" t="n"/>
      <c r="AH1399" s="103" t="n"/>
      <c r="AI1399" s="103" t="n"/>
      <c r="AJ1399" s="103" t="n"/>
      <c r="AK1399" s="103" t="n"/>
      <c r="AL1399" s="103" t="n"/>
      <c r="AM1399" s="103" t="n"/>
      <c r="AN1399" s="103" t="n"/>
      <c r="AO1399" s="103" t="n"/>
      <c r="AP1399" s="103" t="n"/>
      <c r="AQ1399" s="103" t="n"/>
      <c r="AR1399" s="103" t="n"/>
    </row>
    <row r="1401">
      <c r="A1401" s="8">
        <f>IF(HSTECH!$C$33="","",HSTECH!$C$33)</f>
        <v/>
      </c>
      <c r="B1401" s="99">
        <f>IF($A1401="",0,COUNT($E1402:$AR1402))</f>
        <v/>
      </c>
      <c r="C1401" s="100">
        <f>IF($B1401=0,0,MAX($E1402:$AR1402))</f>
        <v/>
      </c>
      <c r="D1401" s="101">
        <f>BDS($A1401,FLD_HIST,"headers=y","startcol=1","endcol=7","dir=h","DVD_START_DT",HIST_FROM,"DVD_END_DT",HIST_TO)</f>
        <v/>
      </c>
      <c r="E1401" s="102" t="n"/>
      <c r="F1401" s="102" t="n"/>
      <c r="G1401" s="102" t="n"/>
      <c r="H1401" s="102" t="n"/>
      <c r="I1401" s="102" t="n"/>
      <c r="J1401" s="102" t="n"/>
      <c r="K1401" s="102" t="n"/>
      <c r="L1401" s="102" t="n"/>
      <c r="M1401" s="102" t="n"/>
      <c r="N1401" s="102" t="n"/>
      <c r="O1401" s="102" t="n"/>
      <c r="P1401" s="102" t="n"/>
      <c r="Q1401" s="102" t="n"/>
      <c r="R1401" s="102" t="n"/>
      <c r="S1401" s="102" t="n"/>
      <c r="T1401" s="102" t="n"/>
      <c r="U1401" s="102" t="n"/>
      <c r="V1401" s="102" t="n"/>
      <c r="W1401" s="102" t="n"/>
      <c r="X1401" s="102" t="n"/>
      <c r="Y1401" s="102" t="n"/>
      <c r="Z1401" s="102" t="n"/>
      <c r="AA1401" s="102" t="n"/>
      <c r="AB1401" s="102" t="n"/>
      <c r="AC1401" s="102" t="n"/>
      <c r="AD1401" s="102" t="n"/>
      <c r="AE1401" s="102" t="n"/>
      <c r="AF1401" s="102" t="n"/>
      <c r="AG1401" s="102" t="n"/>
      <c r="AH1401" s="102" t="n"/>
      <c r="AI1401" s="102" t="n"/>
      <c r="AJ1401" s="102" t="n"/>
      <c r="AK1401" s="102" t="n"/>
      <c r="AL1401" s="102" t="n"/>
      <c r="AM1401" s="102" t="n"/>
      <c r="AN1401" s="102" t="n"/>
      <c r="AO1401" s="102" t="n"/>
      <c r="AP1401" s="102" t="n"/>
      <c r="AQ1401" s="102" t="n"/>
      <c r="AR1401" s="102" t="n"/>
    </row>
    <row r="1402">
      <c r="D1402" s="102" t="n"/>
      <c r="E1402" s="102" t="n"/>
      <c r="F1402" s="102" t="n"/>
      <c r="G1402" s="102" t="n"/>
      <c r="H1402" s="102" t="n"/>
      <c r="I1402" s="102" t="n"/>
      <c r="J1402" s="102" t="n"/>
      <c r="K1402" s="102" t="n"/>
      <c r="L1402" s="102" t="n"/>
      <c r="M1402" s="102" t="n"/>
      <c r="N1402" s="102" t="n"/>
      <c r="O1402" s="102" t="n"/>
      <c r="P1402" s="102" t="n"/>
      <c r="Q1402" s="102" t="n"/>
      <c r="R1402" s="102" t="n"/>
      <c r="S1402" s="102" t="n"/>
      <c r="T1402" s="102" t="n"/>
      <c r="U1402" s="102" t="n"/>
      <c r="V1402" s="102" t="n"/>
      <c r="W1402" s="102" t="n"/>
      <c r="X1402" s="102" t="n"/>
      <c r="Y1402" s="102" t="n"/>
      <c r="Z1402" s="102" t="n"/>
      <c r="AA1402" s="102" t="n"/>
      <c r="AB1402" s="102" t="n"/>
      <c r="AC1402" s="102" t="n"/>
      <c r="AD1402" s="102" t="n"/>
      <c r="AE1402" s="102" t="n"/>
      <c r="AF1402" s="102" t="n"/>
      <c r="AG1402" s="102" t="n"/>
      <c r="AH1402" s="102" t="n"/>
      <c r="AI1402" s="102" t="n"/>
      <c r="AJ1402" s="102" t="n"/>
      <c r="AK1402" s="102" t="n"/>
      <c r="AL1402" s="102" t="n"/>
      <c r="AM1402" s="102" t="n"/>
      <c r="AN1402" s="102" t="n"/>
      <c r="AO1402" s="102" t="n"/>
      <c r="AP1402" s="102" t="n"/>
      <c r="AQ1402" s="102" t="n"/>
      <c r="AR1402" s="102" t="n"/>
    </row>
    <row r="1403">
      <c r="D1403" s="102" t="n"/>
      <c r="E1403" s="102" t="n"/>
      <c r="F1403" s="102" t="n"/>
      <c r="G1403" s="102" t="n"/>
      <c r="H1403" s="102" t="n"/>
      <c r="I1403" s="102" t="n"/>
      <c r="J1403" s="102" t="n"/>
      <c r="K1403" s="102" t="n"/>
      <c r="L1403" s="102" t="n"/>
      <c r="M1403" s="102" t="n"/>
      <c r="N1403" s="102" t="n"/>
      <c r="O1403" s="102" t="n"/>
      <c r="P1403" s="102" t="n"/>
      <c r="Q1403" s="102" t="n"/>
      <c r="R1403" s="102" t="n"/>
      <c r="S1403" s="102" t="n"/>
      <c r="T1403" s="102" t="n"/>
      <c r="U1403" s="102" t="n"/>
      <c r="V1403" s="102" t="n"/>
      <c r="W1403" s="102" t="n"/>
      <c r="X1403" s="102" t="n"/>
      <c r="Y1403" s="102" t="n"/>
      <c r="Z1403" s="102" t="n"/>
      <c r="AA1403" s="102" t="n"/>
      <c r="AB1403" s="102" t="n"/>
      <c r="AC1403" s="102" t="n"/>
      <c r="AD1403" s="102" t="n"/>
      <c r="AE1403" s="102" t="n"/>
      <c r="AF1403" s="102" t="n"/>
      <c r="AG1403" s="102" t="n"/>
      <c r="AH1403" s="102" t="n"/>
      <c r="AI1403" s="102" t="n"/>
      <c r="AJ1403" s="102" t="n"/>
      <c r="AK1403" s="102" t="n"/>
      <c r="AL1403" s="102" t="n"/>
      <c r="AM1403" s="102" t="n"/>
      <c r="AN1403" s="102" t="n"/>
      <c r="AO1403" s="102" t="n"/>
      <c r="AP1403" s="102" t="n"/>
      <c r="AQ1403" s="102" t="n"/>
      <c r="AR1403" s="102" t="n"/>
    </row>
    <row r="1404">
      <c r="D1404" s="102" t="n"/>
      <c r="E1404" s="102" t="n"/>
      <c r="F1404" s="102" t="n"/>
      <c r="G1404" s="102" t="n"/>
      <c r="H1404" s="102" t="n"/>
      <c r="I1404" s="102" t="n"/>
      <c r="J1404" s="102" t="n"/>
      <c r="K1404" s="102" t="n"/>
      <c r="L1404" s="102" t="n"/>
      <c r="M1404" s="102" t="n"/>
      <c r="N1404" s="102" t="n"/>
      <c r="O1404" s="102" t="n"/>
      <c r="P1404" s="102" t="n"/>
      <c r="Q1404" s="102" t="n"/>
      <c r="R1404" s="102" t="n"/>
      <c r="S1404" s="102" t="n"/>
      <c r="T1404" s="102" t="n"/>
      <c r="U1404" s="102" t="n"/>
      <c r="V1404" s="102" t="n"/>
      <c r="W1404" s="102" t="n"/>
      <c r="X1404" s="102" t="n"/>
      <c r="Y1404" s="102" t="n"/>
      <c r="Z1404" s="102" t="n"/>
      <c r="AA1404" s="102" t="n"/>
      <c r="AB1404" s="102" t="n"/>
      <c r="AC1404" s="102" t="n"/>
      <c r="AD1404" s="102" t="n"/>
      <c r="AE1404" s="102" t="n"/>
      <c r="AF1404" s="102" t="n"/>
      <c r="AG1404" s="102" t="n"/>
      <c r="AH1404" s="102" t="n"/>
      <c r="AI1404" s="102" t="n"/>
      <c r="AJ1404" s="102" t="n"/>
      <c r="AK1404" s="102" t="n"/>
      <c r="AL1404" s="102" t="n"/>
      <c r="AM1404" s="102" t="n"/>
      <c r="AN1404" s="102" t="n"/>
      <c r="AO1404" s="102" t="n"/>
      <c r="AP1404" s="102" t="n"/>
      <c r="AQ1404" s="102" t="n"/>
      <c r="AR1404" s="102" t="n"/>
    </row>
    <row r="1405">
      <c r="D1405" s="103" t="n"/>
      <c r="E1405" s="103" t="n"/>
      <c r="F1405" s="103" t="n"/>
      <c r="G1405" s="103" t="n"/>
      <c r="H1405" s="103" t="n"/>
      <c r="I1405" s="103" t="n"/>
      <c r="J1405" s="103" t="n"/>
      <c r="K1405" s="103" t="n"/>
      <c r="L1405" s="103" t="n"/>
      <c r="M1405" s="103" t="n"/>
      <c r="N1405" s="103" t="n"/>
      <c r="O1405" s="103" t="n"/>
      <c r="P1405" s="103" t="n"/>
      <c r="Q1405" s="103" t="n"/>
      <c r="R1405" s="103" t="n"/>
      <c r="S1405" s="103" t="n"/>
      <c r="T1405" s="103" t="n"/>
      <c r="U1405" s="103" t="n"/>
      <c r="V1405" s="103" t="n"/>
      <c r="W1405" s="103" t="n"/>
      <c r="X1405" s="103" t="n"/>
      <c r="Y1405" s="103" t="n"/>
      <c r="Z1405" s="103" t="n"/>
      <c r="AA1405" s="103" t="n"/>
      <c r="AB1405" s="103" t="n"/>
      <c r="AC1405" s="103" t="n"/>
      <c r="AD1405" s="103" t="n"/>
      <c r="AE1405" s="103" t="n"/>
      <c r="AF1405" s="103" t="n"/>
      <c r="AG1405" s="103" t="n"/>
      <c r="AH1405" s="103" t="n"/>
      <c r="AI1405" s="103" t="n"/>
      <c r="AJ1405" s="103" t="n"/>
      <c r="AK1405" s="103" t="n"/>
      <c r="AL1405" s="103" t="n"/>
      <c r="AM1405" s="103" t="n"/>
      <c r="AN1405" s="103" t="n"/>
      <c r="AO1405" s="103" t="n"/>
      <c r="AP1405" s="103" t="n"/>
      <c r="AQ1405" s="103" t="n"/>
      <c r="AR1405" s="103" t="n"/>
    </row>
    <row r="1408">
      <c r="A1408" s="2">
        <f>IF($A1401="","","   projections")</f>
        <v/>
      </c>
      <c r="B1408" s="99">
        <f>IF($A1401="",0,COUNT($E1409:$AR1409))</f>
        <v/>
      </c>
      <c r="C1408" s="100">
        <f>IF($B1408=0,0,MAX($E1409:$AR1409))</f>
        <v/>
      </c>
      <c r="D1408" s="101">
        <f>BDS($A1401,FLD_PROJ,"headers=y","startcol=1","endcol=3","dir=h")</f>
        <v/>
      </c>
      <c r="E1408" s="102" t="n"/>
      <c r="F1408" s="102" t="n"/>
      <c r="G1408" s="102" t="n"/>
      <c r="H1408" s="102" t="n"/>
      <c r="I1408" s="102" t="n"/>
      <c r="J1408" s="102" t="n"/>
      <c r="K1408" s="102" t="n"/>
      <c r="L1408" s="102" t="n"/>
      <c r="M1408" s="102" t="n"/>
      <c r="N1408" s="102" t="n"/>
      <c r="O1408" s="102" t="n"/>
      <c r="P1408" s="102" t="n"/>
      <c r="Q1408" s="102" t="n"/>
      <c r="R1408" s="102" t="n"/>
      <c r="S1408" s="102" t="n"/>
      <c r="T1408" s="102" t="n"/>
      <c r="U1408" s="102" t="n"/>
      <c r="V1408" s="102" t="n"/>
      <c r="W1408" s="102" t="n"/>
      <c r="X1408" s="102" t="n"/>
      <c r="Y1408" s="102" t="n"/>
      <c r="Z1408" s="102" t="n"/>
      <c r="AA1408" s="102" t="n"/>
      <c r="AB1408" s="102" t="n"/>
      <c r="AC1408" s="102" t="n"/>
      <c r="AD1408" s="102" t="n"/>
      <c r="AE1408" s="102" t="n"/>
      <c r="AF1408" s="102" t="n"/>
      <c r="AG1408" s="102" t="n"/>
      <c r="AH1408" s="102" t="n"/>
      <c r="AI1408" s="102" t="n"/>
      <c r="AJ1408" s="102" t="n"/>
      <c r="AK1408" s="102" t="n"/>
      <c r="AL1408" s="102" t="n"/>
      <c r="AM1408" s="102" t="n"/>
      <c r="AN1408" s="102" t="n"/>
      <c r="AO1408" s="102" t="n"/>
      <c r="AP1408" s="102" t="n"/>
      <c r="AQ1408" s="102" t="n"/>
      <c r="AR1408" s="102" t="n"/>
    </row>
    <row r="1409">
      <c r="D1409" s="102" t="n"/>
      <c r="E1409" s="102" t="n"/>
      <c r="F1409" s="102" t="n"/>
      <c r="G1409" s="102" t="n"/>
      <c r="H1409" s="102" t="n"/>
      <c r="I1409" s="102" t="n"/>
      <c r="J1409" s="102" t="n"/>
      <c r="K1409" s="102" t="n"/>
      <c r="L1409" s="102" t="n"/>
      <c r="M1409" s="102" t="n"/>
      <c r="N1409" s="102" t="n"/>
      <c r="O1409" s="102" t="n"/>
      <c r="P1409" s="102" t="n"/>
      <c r="Q1409" s="102" t="n"/>
      <c r="R1409" s="102" t="n"/>
      <c r="S1409" s="102" t="n"/>
      <c r="T1409" s="102" t="n"/>
      <c r="U1409" s="102" t="n"/>
      <c r="V1409" s="102" t="n"/>
      <c r="W1409" s="102" t="n"/>
      <c r="X1409" s="102" t="n"/>
      <c r="Y1409" s="102" t="n"/>
      <c r="Z1409" s="102" t="n"/>
      <c r="AA1409" s="102" t="n"/>
      <c r="AB1409" s="102" t="n"/>
      <c r="AC1409" s="102" t="n"/>
      <c r="AD1409" s="102" t="n"/>
      <c r="AE1409" s="102" t="n"/>
      <c r="AF1409" s="102" t="n"/>
      <c r="AG1409" s="102" t="n"/>
      <c r="AH1409" s="102" t="n"/>
      <c r="AI1409" s="102" t="n"/>
      <c r="AJ1409" s="102" t="n"/>
      <c r="AK1409" s="102" t="n"/>
      <c r="AL1409" s="102" t="n"/>
      <c r="AM1409" s="102" t="n"/>
      <c r="AN1409" s="102" t="n"/>
      <c r="AO1409" s="102" t="n"/>
      <c r="AP1409" s="102" t="n"/>
      <c r="AQ1409" s="102" t="n"/>
      <c r="AR1409" s="102" t="n"/>
    </row>
    <row r="1410">
      <c r="D1410" s="103" t="n"/>
      <c r="E1410" s="103" t="n"/>
      <c r="F1410" s="103" t="n"/>
      <c r="G1410" s="103" t="n"/>
      <c r="H1410" s="103" t="n"/>
      <c r="I1410" s="103" t="n"/>
      <c r="J1410" s="103" t="n"/>
      <c r="K1410" s="103" t="n"/>
      <c r="L1410" s="103" t="n"/>
      <c r="M1410" s="103" t="n"/>
      <c r="N1410" s="103" t="n"/>
      <c r="O1410" s="103" t="n"/>
      <c r="P1410" s="103" t="n"/>
      <c r="Q1410" s="103" t="n"/>
      <c r="R1410" s="103" t="n"/>
      <c r="S1410" s="103" t="n"/>
      <c r="T1410" s="103" t="n"/>
      <c r="U1410" s="103" t="n"/>
      <c r="V1410" s="103" t="n"/>
      <c r="W1410" s="103" t="n"/>
      <c r="X1410" s="103" t="n"/>
      <c r="Y1410" s="103" t="n"/>
      <c r="Z1410" s="103" t="n"/>
      <c r="AA1410" s="103" t="n"/>
      <c r="AB1410" s="103" t="n"/>
      <c r="AC1410" s="103" t="n"/>
      <c r="AD1410" s="103" t="n"/>
      <c r="AE1410" s="103" t="n"/>
      <c r="AF1410" s="103" t="n"/>
      <c r="AG1410" s="103" t="n"/>
      <c r="AH1410" s="103" t="n"/>
      <c r="AI1410" s="103" t="n"/>
      <c r="AJ1410" s="103" t="n"/>
      <c r="AK1410" s="103" t="n"/>
      <c r="AL1410" s="103" t="n"/>
      <c r="AM1410" s="103" t="n"/>
      <c r="AN1410" s="103" t="n"/>
      <c r="AO1410" s="103" t="n"/>
      <c r="AP1410" s="103" t="n"/>
      <c r="AQ1410" s="103" t="n"/>
      <c r="AR1410" s="103" t="n"/>
    </row>
    <row r="1412">
      <c r="A1412" s="8">
        <f>IF(HSTECH!$C$34="","",HSTECH!$C$34)</f>
        <v/>
      </c>
      <c r="B1412" s="99">
        <f>IF($A1412="",0,COUNT($E1413:$AR1413))</f>
        <v/>
      </c>
      <c r="C1412" s="100">
        <f>IF($B1412=0,0,MAX($E1413:$AR1413))</f>
        <v/>
      </c>
      <c r="D1412" s="101">
        <f>BDS($A1412,FLD_HIST,"headers=y","startcol=1","endcol=7","dir=h","DVD_START_DT",HIST_FROM,"DVD_END_DT",HIST_TO)</f>
        <v/>
      </c>
      <c r="E1412" s="102" t="n"/>
      <c r="F1412" s="102" t="n"/>
      <c r="G1412" s="102" t="n"/>
      <c r="H1412" s="102" t="n"/>
      <c r="I1412" s="102" t="n"/>
      <c r="J1412" s="102" t="n"/>
      <c r="K1412" s="102" t="n"/>
      <c r="L1412" s="102" t="n"/>
      <c r="M1412" s="102" t="n"/>
      <c r="N1412" s="102" t="n"/>
      <c r="O1412" s="102" t="n"/>
      <c r="P1412" s="102" t="n"/>
      <c r="Q1412" s="102" t="n"/>
      <c r="R1412" s="102" t="n"/>
      <c r="S1412" s="102" t="n"/>
      <c r="T1412" s="102" t="n"/>
      <c r="U1412" s="102" t="n"/>
      <c r="V1412" s="102" t="n"/>
      <c r="W1412" s="102" t="n"/>
      <c r="X1412" s="102" t="n"/>
      <c r="Y1412" s="102" t="n"/>
      <c r="Z1412" s="102" t="n"/>
      <c r="AA1412" s="102" t="n"/>
      <c r="AB1412" s="102" t="n"/>
      <c r="AC1412" s="102" t="n"/>
      <c r="AD1412" s="102" t="n"/>
      <c r="AE1412" s="102" t="n"/>
      <c r="AF1412" s="102" t="n"/>
      <c r="AG1412" s="102" t="n"/>
      <c r="AH1412" s="102" t="n"/>
      <c r="AI1412" s="102" t="n"/>
      <c r="AJ1412" s="102" t="n"/>
      <c r="AK1412" s="102" t="n"/>
      <c r="AL1412" s="102" t="n"/>
      <c r="AM1412" s="102" t="n"/>
      <c r="AN1412" s="102" t="n"/>
      <c r="AO1412" s="102" t="n"/>
      <c r="AP1412" s="102" t="n"/>
      <c r="AQ1412" s="102" t="n"/>
      <c r="AR1412" s="102" t="n"/>
    </row>
    <row r="1413">
      <c r="D1413" s="102" t="n"/>
      <c r="E1413" s="102" t="n"/>
      <c r="F1413" s="102" t="n"/>
      <c r="G1413" s="102" t="n"/>
      <c r="H1413" s="102" t="n"/>
      <c r="I1413" s="102" t="n"/>
      <c r="J1413" s="102" t="n"/>
      <c r="K1413" s="102" t="n"/>
      <c r="L1413" s="102" t="n"/>
      <c r="M1413" s="102" t="n"/>
      <c r="N1413" s="102" t="n"/>
      <c r="O1413" s="102" t="n"/>
      <c r="P1413" s="102" t="n"/>
      <c r="Q1413" s="102" t="n"/>
      <c r="R1413" s="102" t="n"/>
      <c r="S1413" s="102" t="n"/>
      <c r="T1413" s="102" t="n"/>
      <c r="U1413" s="102" t="n"/>
      <c r="V1413" s="102" t="n"/>
      <c r="W1413" s="102" t="n"/>
      <c r="X1413" s="102" t="n"/>
      <c r="Y1413" s="102" t="n"/>
      <c r="Z1413" s="102" t="n"/>
      <c r="AA1413" s="102" t="n"/>
      <c r="AB1413" s="102" t="n"/>
      <c r="AC1413" s="102" t="n"/>
      <c r="AD1413" s="102" t="n"/>
      <c r="AE1413" s="102" t="n"/>
      <c r="AF1413" s="102" t="n"/>
      <c r="AG1413" s="102" t="n"/>
      <c r="AH1413" s="102" t="n"/>
      <c r="AI1413" s="102" t="n"/>
      <c r="AJ1413" s="102" t="n"/>
      <c r="AK1413" s="102" t="n"/>
      <c r="AL1413" s="102" t="n"/>
      <c r="AM1413" s="102" t="n"/>
      <c r="AN1413" s="102" t="n"/>
      <c r="AO1413" s="102" t="n"/>
      <c r="AP1413" s="102" t="n"/>
      <c r="AQ1413" s="102" t="n"/>
      <c r="AR1413" s="102" t="n"/>
    </row>
    <row r="1414">
      <c r="D1414" s="102" t="n"/>
      <c r="E1414" s="102" t="n"/>
      <c r="F1414" s="102" t="n"/>
      <c r="G1414" s="102" t="n"/>
      <c r="H1414" s="102" t="n"/>
      <c r="I1414" s="102" t="n"/>
      <c r="J1414" s="102" t="n"/>
      <c r="K1414" s="102" t="n"/>
      <c r="L1414" s="102" t="n"/>
      <c r="M1414" s="102" t="n"/>
      <c r="N1414" s="102" t="n"/>
      <c r="O1414" s="102" t="n"/>
      <c r="P1414" s="102" t="n"/>
      <c r="Q1414" s="102" t="n"/>
      <c r="R1414" s="102" t="n"/>
      <c r="S1414" s="102" t="n"/>
      <c r="T1414" s="102" t="n"/>
      <c r="U1414" s="102" t="n"/>
      <c r="V1414" s="102" t="n"/>
      <c r="W1414" s="102" t="n"/>
      <c r="X1414" s="102" t="n"/>
      <c r="Y1414" s="102" t="n"/>
      <c r="Z1414" s="102" t="n"/>
      <c r="AA1414" s="102" t="n"/>
      <c r="AB1414" s="102" t="n"/>
      <c r="AC1414" s="102" t="n"/>
      <c r="AD1414" s="102" t="n"/>
      <c r="AE1414" s="102" t="n"/>
      <c r="AF1414" s="102" t="n"/>
      <c r="AG1414" s="102" t="n"/>
      <c r="AH1414" s="102" t="n"/>
      <c r="AI1414" s="102" t="n"/>
      <c r="AJ1414" s="102" t="n"/>
      <c r="AK1414" s="102" t="n"/>
      <c r="AL1414" s="102" t="n"/>
      <c r="AM1414" s="102" t="n"/>
      <c r="AN1414" s="102" t="n"/>
      <c r="AO1414" s="102" t="n"/>
      <c r="AP1414" s="102" t="n"/>
      <c r="AQ1414" s="102" t="n"/>
      <c r="AR1414" s="102" t="n"/>
    </row>
    <row r="1415">
      <c r="D1415" s="102" t="n"/>
      <c r="E1415" s="102" t="n"/>
      <c r="F1415" s="102" t="n"/>
      <c r="G1415" s="102" t="n"/>
      <c r="H1415" s="102" t="n"/>
      <c r="I1415" s="102" t="n"/>
      <c r="J1415" s="102" t="n"/>
      <c r="K1415" s="102" t="n"/>
      <c r="L1415" s="102" t="n"/>
      <c r="M1415" s="102" t="n"/>
      <c r="N1415" s="102" t="n"/>
      <c r="O1415" s="102" t="n"/>
      <c r="P1415" s="102" t="n"/>
      <c r="Q1415" s="102" t="n"/>
      <c r="R1415" s="102" t="n"/>
      <c r="S1415" s="102" t="n"/>
      <c r="T1415" s="102" t="n"/>
      <c r="U1415" s="102" t="n"/>
      <c r="V1415" s="102" t="n"/>
      <c r="W1415" s="102" t="n"/>
      <c r="X1415" s="102" t="n"/>
      <c r="Y1415" s="102" t="n"/>
      <c r="Z1415" s="102" t="n"/>
      <c r="AA1415" s="102" t="n"/>
      <c r="AB1415" s="102" t="n"/>
      <c r="AC1415" s="102" t="n"/>
      <c r="AD1415" s="102" t="n"/>
      <c r="AE1415" s="102" t="n"/>
      <c r="AF1415" s="102" t="n"/>
      <c r="AG1415" s="102" t="n"/>
      <c r="AH1415" s="102" t="n"/>
      <c r="AI1415" s="102" t="n"/>
      <c r="AJ1415" s="102" t="n"/>
      <c r="AK1415" s="102" t="n"/>
      <c r="AL1415" s="102" t="n"/>
      <c r="AM1415" s="102" t="n"/>
      <c r="AN1415" s="102" t="n"/>
      <c r="AO1415" s="102" t="n"/>
      <c r="AP1415" s="102" t="n"/>
      <c r="AQ1415" s="102" t="n"/>
      <c r="AR1415" s="102" t="n"/>
    </row>
    <row r="1416">
      <c r="D1416" s="103" t="n"/>
      <c r="E1416" s="103" t="n"/>
      <c r="F1416" s="103" t="n"/>
      <c r="G1416" s="103" t="n"/>
      <c r="H1416" s="103" t="n"/>
      <c r="I1416" s="103" t="n"/>
      <c r="J1416" s="103" t="n"/>
      <c r="K1416" s="103" t="n"/>
      <c r="L1416" s="103" t="n"/>
      <c r="M1416" s="103" t="n"/>
      <c r="N1416" s="103" t="n"/>
      <c r="O1416" s="103" t="n"/>
      <c r="P1416" s="103" t="n"/>
      <c r="Q1416" s="103" t="n"/>
      <c r="R1416" s="103" t="n"/>
      <c r="S1416" s="103" t="n"/>
      <c r="T1416" s="103" t="n"/>
      <c r="U1416" s="103" t="n"/>
      <c r="V1416" s="103" t="n"/>
      <c r="W1416" s="103" t="n"/>
      <c r="X1416" s="103" t="n"/>
      <c r="Y1416" s="103" t="n"/>
      <c r="Z1416" s="103" t="n"/>
      <c r="AA1416" s="103" t="n"/>
      <c r="AB1416" s="103" t="n"/>
      <c r="AC1416" s="103" t="n"/>
      <c r="AD1416" s="103" t="n"/>
      <c r="AE1416" s="103" t="n"/>
      <c r="AF1416" s="103" t="n"/>
      <c r="AG1416" s="103" t="n"/>
      <c r="AH1416" s="103" t="n"/>
      <c r="AI1416" s="103" t="n"/>
      <c r="AJ1416" s="103" t="n"/>
      <c r="AK1416" s="103" t="n"/>
      <c r="AL1416" s="103" t="n"/>
      <c r="AM1416" s="103" t="n"/>
      <c r="AN1416" s="103" t="n"/>
      <c r="AO1416" s="103" t="n"/>
      <c r="AP1416" s="103" t="n"/>
      <c r="AQ1416" s="103" t="n"/>
      <c r="AR1416" s="103" t="n"/>
    </row>
    <row r="1419">
      <c r="A1419" s="2">
        <f>IF($A1412="","","   projections")</f>
        <v/>
      </c>
      <c r="B1419" s="99">
        <f>IF($A1412="",0,COUNT($E1420:$AR1420))</f>
        <v/>
      </c>
      <c r="C1419" s="100">
        <f>IF($B1419=0,0,MAX($E1420:$AR1420))</f>
        <v/>
      </c>
      <c r="D1419" s="101">
        <f>BDS($A1412,FLD_PROJ,"headers=y","startcol=1","endcol=3","dir=h")</f>
        <v/>
      </c>
      <c r="E1419" s="102" t="n"/>
      <c r="F1419" s="102" t="n"/>
      <c r="G1419" s="102" t="n"/>
      <c r="H1419" s="102" t="n"/>
      <c r="I1419" s="102" t="n"/>
      <c r="J1419" s="102" t="n"/>
      <c r="K1419" s="102" t="n"/>
      <c r="L1419" s="102" t="n"/>
      <c r="M1419" s="102" t="n"/>
      <c r="N1419" s="102" t="n"/>
      <c r="O1419" s="102" t="n"/>
      <c r="P1419" s="102" t="n"/>
      <c r="Q1419" s="102" t="n"/>
      <c r="R1419" s="102" t="n"/>
      <c r="S1419" s="102" t="n"/>
      <c r="T1419" s="102" t="n"/>
      <c r="U1419" s="102" t="n"/>
      <c r="V1419" s="102" t="n"/>
      <c r="W1419" s="102" t="n"/>
      <c r="X1419" s="102" t="n"/>
      <c r="Y1419" s="102" t="n"/>
      <c r="Z1419" s="102" t="n"/>
      <c r="AA1419" s="102" t="n"/>
      <c r="AB1419" s="102" t="n"/>
      <c r="AC1419" s="102" t="n"/>
      <c r="AD1419" s="102" t="n"/>
      <c r="AE1419" s="102" t="n"/>
      <c r="AF1419" s="102" t="n"/>
      <c r="AG1419" s="102" t="n"/>
      <c r="AH1419" s="102" t="n"/>
      <c r="AI1419" s="102" t="n"/>
      <c r="AJ1419" s="102" t="n"/>
      <c r="AK1419" s="102" t="n"/>
      <c r="AL1419" s="102" t="n"/>
      <c r="AM1419" s="102" t="n"/>
      <c r="AN1419" s="102" t="n"/>
      <c r="AO1419" s="102" t="n"/>
      <c r="AP1419" s="102" t="n"/>
      <c r="AQ1419" s="102" t="n"/>
      <c r="AR1419" s="102" t="n"/>
    </row>
    <row r="1420">
      <c r="D1420" s="102" t="n"/>
      <c r="E1420" s="102" t="n"/>
      <c r="F1420" s="102" t="n"/>
      <c r="G1420" s="102" t="n"/>
      <c r="H1420" s="102" t="n"/>
      <c r="I1420" s="102" t="n"/>
      <c r="J1420" s="102" t="n"/>
      <c r="K1420" s="102" t="n"/>
      <c r="L1420" s="102" t="n"/>
      <c r="M1420" s="102" t="n"/>
      <c r="N1420" s="102" t="n"/>
      <c r="O1420" s="102" t="n"/>
      <c r="P1420" s="102" t="n"/>
      <c r="Q1420" s="102" t="n"/>
      <c r="R1420" s="102" t="n"/>
      <c r="S1420" s="102" t="n"/>
      <c r="T1420" s="102" t="n"/>
      <c r="U1420" s="102" t="n"/>
      <c r="V1420" s="102" t="n"/>
      <c r="W1420" s="102" t="n"/>
      <c r="X1420" s="102" t="n"/>
      <c r="Y1420" s="102" t="n"/>
      <c r="Z1420" s="102" t="n"/>
      <c r="AA1420" s="102" t="n"/>
      <c r="AB1420" s="102" t="n"/>
      <c r="AC1420" s="102" t="n"/>
      <c r="AD1420" s="102" t="n"/>
      <c r="AE1420" s="102" t="n"/>
      <c r="AF1420" s="102" t="n"/>
      <c r="AG1420" s="102" t="n"/>
      <c r="AH1420" s="102" t="n"/>
      <c r="AI1420" s="102" t="n"/>
      <c r="AJ1420" s="102" t="n"/>
      <c r="AK1420" s="102" t="n"/>
      <c r="AL1420" s="102" t="n"/>
      <c r="AM1420" s="102" t="n"/>
      <c r="AN1420" s="102" t="n"/>
      <c r="AO1420" s="102" t="n"/>
      <c r="AP1420" s="102" t="n"/>
      <c r="AQ1420" s="102" t="n"/>
      <c r="AR1420" s="102" t="n"/>
    </row>
    <row r="1421">
      <c r="D1421" s="103" t="n"/>
      <c r="E1421" s="103" t="n"/>
      <c r="F1421" s="103" t="n"/>
      <c r="G1421" s="103" t="n"/>
      <c r="H1421" s="103" t="n"/>
      <c r="I1421" s="103" t="n"/>
      <c r="J1421" s="103" t="n"/>
      <c r="K1421" s="103" t="n"/>
      <c r="L1421" s="103" t="n"/>
      <c r="M1421" s="103" t="n"/>
      <c r="N1421" s="103" t="n"/>
      <c r="O1421" s="103" t="n"/>
      <c r="P1421" s="103" t="n"/>
      <c r="Q1421" s="103" t="n"/>
      <c r="R1421" s="103" t="n"/>
      <c r="S1421" s="103" t="n"/>
      <c r="T1421" s="103" t="n"/>
      <c r="U1421" s="103" t="n"/>
      <c r="V1421" s="103" t="n"/>
      <c r="W1421" s="103" t="n"/>
      <c r="X1421" s="103" t="n"/>
      <c r="Y1421" s="103" t="n"/>
      <c r="Z1421" s="103" t="n"/>
      <c r="AA1421" s="103" t="n"/>
      <c r="AB1421" s="103" t="n"/>
      <c r="AC1421" s="103" t="n"/>
      <c r="AD1421" s="103" t="n"/>
      <c r="AE1421" s="103" t="n"/>
      <c r="AF1421" s="103" t="n"/>
      <c r="AG1421" s="103" t="n"/>
      <c r="AH1421" s="103" t="n"/>
      <c r="AI1421" s="103" t="n"/>
      <c r="AJ1421" s="103" t="n"/>
      <c r="AK1421" s="103" t="n"/>
      <c r="AL1421" s="103" t="n"/>
      <c r="AM1421" s="103" t="n"/>
      <c r="AN1421" s="103" t="n"/>
      <c r="AO1421" s="103" t="n"/>
      <c r="AP1421" s="103" t="n"/>
      <c r="AQ1421" s="103" t="n"/>
      <c r="AR1421" s="103" t="n"/>
    </row>
    <row r="1423">
      <c r="A1423" s="8">
        <f>IF(HSTECH!$C$35="","",HSTECH!$C$35)</f>
        <v/>
      </c>
      <c r="B1423" s="99">
        <f>IF($A1423="",0,COUNT($E1424:$AR1424))</f>
        <v/>
      </c>
      <c r="C1423" s="100">
        <f>IF($B1423=0,0,MAX($E1424:$AR1424))</f>
        <v/>
      </c>
      <c r="D1423" s="101">
        <f>BDS($A1423,FLD_HIST,"headers=y","startcol=1","endcol=7","dir=h","DVD_START_DT",HIST_FROM,"DVD_END_DT",HIST_TO)</f>
        <v/>
      </c>
      <c r="E1423" s="102" t="n"/>
      <c r="F1423" s="102" t="n"/>
      <c r="G1423" s="102" t="n"/>
      <c r="H1423" s="102" t="n"/>
      <c r="I1423" s="102" t="n"/>
      <c r="J1423" s="102" t="n"/>
      <c r="K1423" s="102" t="n"/>
      <c r="L1423" s="102" t="n"/>
      <c r="M1423" s="102" t="n"/>
      <c r="N1423" s="102" t="n"/>
      <c r="O1423" s="102" t="n"/>
      <c r="P1423" s="102" t="n"/>
      <c r="Q1423" s="102" t="n"/>
      <c r="R1423" s="102" t="n"/>
      <c r="S1423" s="102" t="n"/>
      <c r="T1423" s="102" t="n"/>
      <c r="U1423" s="102" t="n"/>
      <c r="V1423" s="102" t="n"/>
      <c r="W1423" s="102" t="n"/>
      <c r="X1423" s="102" t="n"/>
      <c r="Y1423" s="102" t="n"/>
      <c r="Z1423" s="102" t="n"/>
      <c r="AA1423" s="102" t="n"/>
      <c r="AB1423" s="102" t="n"/>
      <c r="AC1423" s="102" t="n"/>
      <c r="AD1423" s="102" t="n"/>
      <c r="AE1423" s="102" t="n"/>
      <c r="AF1423" s="102" t="n"/>
      <c r="AG1423" s="102" t="n"/>
      <c r="AH1423" s="102" t="n"/>
      <c r="AI1423" s="102" t="n"/>
      <c r="AJ1423" s="102" t="n"/>
      <c r="AK1423" s="102" t="n"/>
      <c r="AL1423" s="102" t="n"/>
      <c r="AM1423" s="102" t="n"/>
      <c r="AN1423" s="102" t="n"/>
      <c r="AO1423" s="102" t="n"/>
      <c r="AP1423" s="102" t="n"/>
      <c r="AQ1423" s="102" t="n"/>
      <c r="AR1423" s="102" t="n"/>
    </row>
    <row r="1424">
      <c r="D1424" s="102" t="n"/>
      <c r="E1424" s="102" t="n"/>
      <c r="F1424" s="102" t="n"/>
      <c r="G1424" s="102" t="n"/>
      <c r="H1424" s="102" t="n"/>
      <c r="I1424" s="102" t="n"/>
      <c r="J1424" s="102" t="n"/>
      <c r="K1424" s="102" t="n"/>
      <c r="L1424" s="102" t="n"/>
      <c r="M1424" s="102" t="n"/>
      <c r="N1424" s="102" t="n"/>
      <c r="O1424" s="102" t="n"/>
      <c r="P1424" s="102" t="n"/>
      <c r="Q1424" s="102" t="n"/>
      <c r="R1424" s="102" t="n"/>
      <c r="S1424" s="102" t="n"/>
      <c r="T1424" s="102" t="n"/>
      <c r="U1424" s="102" t="n"/>
      <c r="V1424" s="102" t="n"/>
      <c r="W1424" s="102" t="n"/>
      <c r="X1424" s="102" t="n"/>
      <c r="Y1424" s="102" t="n"/>
      <c r="Z1424" s="102" t="n"/>
      <c r="AA1424" s="102" t="n"/>
      <c r="AB1424" s="102" t="n"/>
      <c r="AC1424" s="102" t="n"/>
      <c r="AD1424" s="102" t="n"/>
      <c r="AE1424" s="102" t="n"/>
      <c r="AF1424" s="102" t="n"/>
      <c r="AG1424" s="102" t="n"/>
      <c r="AH1424" s="102" t="n"/>
      <c r="AI1424" s="102" t="n"/>
      <c r="AJ1424" s="102" t="n"/>
      <c r="AK1424" s="102" t="n"/>
      <c r="AL1424" s="102" t="n"/>
      <c r="AM1424" s="102" t="n"/>
      <c r="AN1424" s="102" t="n"/>
      <c r="AO1424" s="102" t="n"/>
      <c r="AP1424" s="102" t="n"/>
      <c r="AQ1424" s="102" t="n"/>
      <c r="AR1424" s="102" t="n"/>
    </row>
    <row r="1425">
      <c r="D1425" s="102" t="n"/>
      <c r="E1425" s="102" t="n"/>
      <c r="F1425" s="102" t="n"/>
      <c r="G1425" s="102" t="n"/>
      <c r="H1425" s="102" t="n"/>
      <c r="I1425" s="102" t="n"/>
      <c r="J1425" s="102" t="n"/>
      <c r="K1425" s="102" t="n"/>
      <c r="L1425" s="102" t="n"/>
      <c r="M1425" s="102" t="n"/>
      <c r="N1425" s="102" t="n"/>
      <c r="O1425" s="102" t="n"/>
      <c r="P1425" s="102" t="n"/>
      <c r="Q1425" s="102" t="n"/>
      <c r="R1425" s="102" t="n"/>
      <c r="S1425" s="102" t="n"/>
      <c r="T1425" s="102" t="n"/>
      <c r="U1425" s="102" t="n"/>
      <c r="V1425" s="102" t="n"/>
      <c r="W1425" s="102" t="n"/>
      <c r="X1425" s="102" t="n"/>
      <c r="Y1425" s="102" t="n"/>
      <c r="Z1425" s="102" t="n"/>
      <c r="AA1425" s="102" t="n"/>
      <c r="AB1425" s="102" t="n"/>
      <c r="AC1425" s="102" t="n"/>
      <c r="AD1425" s="102" t="n"/>
      <c r="AE1425" s="102" t="n"/>
      <c r="AF1425" s="102" t="n"/>
      <c r="AG1425" s="102" t="n"/>
      <c r="AH1425" s="102" t="n"/>
      <c r="AI1425" s="102" t="n"/>
      <c r="AJ1425" s="102" t="n"/>
      <c r="AK1425" s="102" t="n"/>
      <c r="AL1425" s="102" t="n"/>
      <c r="AM1425" s="102" t="n"/>
      <c r="AN1425" s="102" t="n"/>
      <c r="AO1425" s="102" t="n"/>
      <c r="AP1425" s="102" t="n"/>
      <c r="AQ1425" s="102" t="n"/>
      <c r="AR1425" s="102" t="n"/>
    </row>
    <row r="1426">
      <c r="D1426" s="102" t="n"/>
      <c r="E1426" s="102" t="n"/>
      <c r="F1426" s="102" t="n"/>
      <c r="G1426" s="102" t="n"/>
      <c r="H1426" s="102" t="n"/>
      <c r="I1426" s="102" t="n"/>
      <c r="J1426" s="102" t="n"/>
      <c r="K1426" s="102" t="n"/>
      <c r="L1426" s="102" t="n"/>
      <c r="M1426" s="102" t="n"/>
      <c r="N1426" s="102" t="n"/>
      <c r="O1426" s="102" t="n"/>
      <c r="P1426" s="102" t="n"/>
      <c r="Q1426" s="102" t="n"/>
      <c r="R1426" s="102" t="n"/>
      <c r="S1426" s="102" t="n"/>
      <c r="T1426" s="102" t="n"/>
      <c r="U1426" s="102" t="n"/>
      <c r="V1426" s="102" t="n"/>
      <c r="W1426" s="102" t="n"/>
      <c r="X1426" s="102" t="n"/>
      <c r="Y1426" s="102" t="n"/>
      <c r="Z1426" s="102" t="n"/>
      <c r="AA1426" s="102" t="n"/>
      <c r="AB1426" s="102" t="n"/>
      <c r="AC1426" s="102" t="n"/>
      <c r="AD1426" s="102" t="n"/>
      <c r="AE1426" s="102" t="n"/>
      <c r="AF1426" s="102" t="n"/>
      <c r="AG1426" s="102" t="n"/>
      <c r="AH1426" s="102" t="n"/>
      <c r="AI1426" s="102" t="n"/>
      <c r="AJ1426" s="102" t="n"/>
      <c r="AK1426" s="102" t="n"/>
      <c r="AL1426" s="102" t="n"/>
      <c r="AM1426" s="102" t="n"/>
      <c r="AN1426" s="102" t="n"/>
      <c r="AO1426" s="102" t="n"/>
      <c r="AP1426" s="102" t="n"/>
      <c r="AQ1426" s="102" t="n"/>
      <c r="AR1426" s="102" t="n"/>
    </row>
    <row r="1427">
      <c r="D1427" s="103" t="n"/>
      <c r="E1427" s="103" t="n"/>
      <c r="F1427" s="103" t="n"/>
      <c r="G1427" s="103" t="n"/>
      <c r="H1427" s="103" t="n"/>
      <c r="I1427" s="103" t="n"/>
      <c r="J1427" s="103" t="n"/>
      <c r="K1427" s="103" t="n"/>
      <c r="L1427" s="103" t="n"/>
      <c r="M1427" s="103" t="n"/>
      <c r="N1427" s="103" t="n"/>
      <c r="O1427" s="103" t="n"/>
      <c r="P1427" s="103" t="n"/>
      <c r="Q1427" s="103" t="n"/>
      <c r="R1427" s="103" t="n"/>
      <c r="S1427" s="103" t="n"/>
      <c r="T1427" s="103" t="n"/>
      <c r="U1427" s="103" t="n"/>
      <c r="V1427" s="103" t="n"/>
      <c r="W1427" s="103" t="n"/>
      <c r="X1427" s="103" t="n"/>
      <c r="Y1427" s="103" t="n"/>
      <c r="Z1427" s="103" t="n"/>
      <c r="AA1427" s="103" t="n"/>
      <c r="AB1427" s="103" t="n"/>
      <c r="AC1427" s="103" t="n"/>
      <c r="AD1427" s="103" t="n"/>
      <c r="AE1427" s="103" t="n"/>
      <c r="AF1427" s="103" t="n"/>
      <c r="AG1427" s="103" t="n"/>
      <c r="AH1427" s="103" t="n"/>
      <c r="AI1427" s="103" t="n"/>
      <c r="AJ1427" s="103" t="n"/>
      <c r="AK1427" s="103" t="n"/>
      <c r="AL1427" s="103" t="n"/>
      <c r="AM1427" s="103" t="n"/>
      <c r="AN1427" s="103" t="n"/>
      <c r="AO1427" s="103" t="n"/>
      <c r="AP1427" s="103" t="n"/>
      <c r="AQ1427" s="103" t="n"/>
      <c r="AR1427" s="103" t="n"/>
    </row>
    <row r="1430">
      <c r="A1430" s="2">
        <f>IF($A1423="","","   projections")</f>
        <v/>
      </c>
      <c r="B1430" s="99">
        <f>IF($A1423="",0,COUNT($E1431:$AR1431))</f>
        <v/>
      </c>
      <c r="C1430" s="100">
        <f>IF($B1430=0,0,MAX($E1431:$AR1431))</f>
        <v/>
      </c>
      <c r="D1430" s="101">
        <f>BDS($A1423,FLD_PROJ,"headers=y","startcol=1","endcol=3","dir=h")</f>
        <v/>
      </c>
      <c r="E1430" s="102" t="n"/>
      <c r="F1430" s="102" t="n"/>
      <c r="G1430" s="102" t="n"/>
      <c r="H1430" s="102" t="n"/>
      <c r="I1430" s="102" t="n"/>
      <c r="J1430" s="102" t="n"/>
      <c r="K1430" s="102" t="n"/>
      <c r="L1430" s="102" t="n"/>
      <c r="M1430" s="102" t="n"/>
      <c r="N1430" s="102" t="n"/>
      <c r="O1430" s="102" t="n"/>
      <c r="P1430" s="102" t="n"/>
      <c r="Q1430" s="102" t="n"/>
      <c r="R1430" s="102" t="n"/>
      <c r="S1430" s="102" t="n"/>
      <c r="T1430" s="102" t="n"/>
      <c r="U1430" s="102" t="n"/>
      <c r="V1430" s="102" t="n"/>
      <c r="W1430" s="102" t="n"/>
      <c r="X1430" s="102" t="n"/>
      <c r="Y1430" s="102" t="n"/>
      <c r="Z1430" s="102" t="n"/>
      <c r="AA1430" s="102" t="n"/>
      <c r="AB1430" s="102" t="n"/>
      <c r="AC1430" s="102" t="n"/>
      <c r="AD1430" s="102" t="n"/>
      <c r="AE1430" s="102" t="n"/>
      <c r="AF1430" s="102" t="n"/>
      <c r="AG1430" s="102" t="n"/>
      <c r="AH1430" s="102" t="n"/>
      <c r="AI1430" s="102" t="n"/>
      <c r="AJ1430" s="102" t="n"/>
      <c r="AK1430" s="102" t="n"/>
      <c r="AL1430" s="102" t="n"/>
      <c r="AM1430" s="102" t="n"/>
      <c r="AN1430" s="102" t="n"/>
      <c r="AO1430" s="102" t="n"/>
      <c r="AP1430" s="102" t="n"/>
      <c r="AQ1430" s="102" t="n"/>
      <c r="AR1430" s="102" t="n"/>
    </row>
    <row r="1431">
      <c r="D1431" s="102" t="n"/>
      <c r="E1431" s="102" t="n"/>
      <c r="F1431" s="102" t="n"/>
      <c r="G1431" s="102" t="n"/>
      <c r="H1431" s="102" t="n"/>
      <c r="I1431" s="102" t="n"/>
      <c r="J1431" s="102" t="n"/>
      <c r="K1431" s="102" t="n"/>
      <c r="L1431" s="102" t="n"/>
      <c r="M1431" s="102" t="n"/>
      <c r="N1431" s="102" t="n"/>
      <c r="O1431" s="102" t="n"/>
      <c r="P1431" s="102" t="n"/>
      <c r="Q1431" s="102" t="n"/>
      <c r="R1431" s="102" t="n"/>
      <c r="S1431" s="102" t="n"/>
      <c r="T1431" s="102" t="n"/>
      <c r="U1431" s="102" t="n"/>
      <c r="V1431" s="102" t="n"/>
      <c r="W1431" s="102" t="n"/>
      <c r="X1431" s="102" t="n"/>
      <c r="Y1431" s="102" t="n"/>
      <c r="Z1431" s="102" t="n"/>
      <c r="AA1431" s="102" t="n"/>
      <c r="AB1431" s="102" t="n"/>
      <c r="AC1431" s="102" t="n"/>
      <c r="AD1431" s="102" t="n"/>
      <c r="AE1431" s="102" t="n"/>
      <c r="AF1431" s="102" t="n"/>
      <c r="AG1431" s="102" t="n"/>
      <c r="AH1431" s="102" t="n"/>
      <c r="AI1431" s="102" t="n"/>
      <c r="AJ1431" s="102" t="n"/>
      <c r="AK1431" s="102" t="n"/>
      <c r="AL1431" s="102" t="n"/>
      <c r="AM1431" s="102" t="n"/>
      <c r="AN1431" s="102" t="n"/>
      <c r="AO1431" s="102" t="n"/>
      <c r="AP1431" s="102" t="n"/>
      <c r="AQ1431" s="102" t="n"/>
      <c r="AR1431" s="102" t="n"/>
    </row>
    <row r="1432">
      <c r="D1432" s="103" t="n"/>
      <c r="E1432" s="103" t="n"/>
      <c r="F1432" s="103" t="n"/>
      <c r="G1432" s="103" t="n"/>
      <c r="H1432" s="103" t="n"/>
      <c r="I1432" s="103" t="n"/>
      <c r="J1432" s="103" t="n"/>
      <c r="K1432" s="103" t="n"/>
      <c r="L1432" s="103" t="n"/>
      <c r="M1432" s="103" t="n"/>
      <c r="N1432" s="103" t="n"/>
      <c r="O1432" s="103" t="n"/>
      <c r="P1432" s="103" t="n"/>
      <c r="Q1432" s="103" t="n"/>
      <c r="R1432" s="103" t="n"/>
      <c r="S1432" s="103" t="n"/>
      <c r="T1432" s="103" t="n"/>
      <c r="U1432" s="103" t="n"/>
      <c r="V1432" s="103" t="n"/>
      <c r="W1432" s="103" t="n"/>
      <c r="X1432" s="103" t="n"/>
      <c r="Y1432" s="103" t="n"/>
      <c r="Z1432" s="103" t="n"/>
      <c r="AA1432" s="103" t="n"/>
      <c r="AB1432" s="103" t="n"/>
      <c r="AC1432" s="103" t="n"/>
      <c r="AD1432" s="103" t="n"/>
      <c r="AE1432" s="103" t="n"/>
      <c r="AF1432" s="103" t="n"/>
      <c r="AG1432" s="103" t="n"/>
      <c r="AH1432" s="103" t="n"/>
      <c r="AI1432" s="103" t="n"/>
      <c r="AJ1432" s="103" t="n"/>
      <c r="AK1432" s="103" t="n"/>
      <c r="AL1432" s="103" t="n"/>
      <c r="AM1432" s="103" t="n"/>
      <c r="AN1432" s="103" t="n"/>
      <c r="AO1432" s="103" t="n"/>
      <c r="AP1432" s="103" t="n"/>
      <c r="AQ1432" s="103" t="n"/>
      <c r="AR1432" s="103" t="n"/>
    </row>
    <row r="1434">
      <c r="A1434" s="8">
        <f>IF(HSTECH!$C$36="","",HSTECH!$C$36)</f>
        <v/>
      </c>
      <c r="B1434" s="99">
        <f>IF($A1434="",0,COUNT($E1435:$AR1435))</f>
        <v/>
      </c>
      <c r="C1434" s="100">
        <f>IF($B1434=0,0,MAX($E1435:$AR1435))</f>
        <v/>
      </c>
      <c r="D1434" s="101">
        <f>BDS($A1434,FLD_HIST,"headers=y","startcol=1","endcol=7","dir=h","DVD_START_DT",HIST_FROM,"DVD_END_DT",HIST_TO)</f>
        <v/>
      </c>
      <c r="E1434" s="102" t="n"/>
      <c r="F1434" s="102" t="n"/>
      <c r="G1434" s="102" t="n"/>
      <c r="H1434" s="102" t="n"/>
      <c r="I1434" s="102" t="n"/>
      <c r="J1434" s="102" t="n"/>
      <c r="K1434" s="102" t="n"/>
      <c r="L1434" s="102" t="n"/>
      <c r="M1434" s="102" t="n"/>
      <c r="N1434" s="102" t="n"/>
      <c r="O1434" s="102" t="n"/>
      <c r="P1434" s="102" t="n"/>
      <c r="Q1434" s="102" t="n"/>
      <c r="R1434" s="102" t="n"/>
      <c r="S1434" s="102" t="n"/>
      <c r="T1434" s="102" t="n"/>
      <c r="U1434" s="102" t="n"/>
      <c r="V1434" s="102" t="n"/>
      <c r="W1434" s="102" t="n"/>
      <c r="X1434" s="102" t="n"/>
      <c r="Y1434" s="102" t="n"/>
      <c r="Z1434" s="102" t="n"/>
      <c r="AA1434" s="102" t="n"/>
      <c r="AB1434" s="102" t="n"/>
      <c r="AC1434" s="102" t="n"/>
      <c r="AD1434" s="102" t="n"/>
      <c r="AE1434" s="102" t="n"/>
      <c r="AF1434" s="102" t="n"/>
      <c r="AG1434" s="102" t="n"/>
      <c r="AH1434" s="102" t="n"/>
      <c r="AI1434" s="102" t="n"/>
      <c r="AJ1434" s="102" t="n"/>
      <c r="AK1434" s="102" t="n"/>
      <c r="AL1434" s="102" t="n"/>
      <c r="AM1434" s="102" t="n"/>
      <c r="AN1434" s="102" t="n"/>
      <c r="AO1434" s="102" t="n"/>
      <c r="AP1434" s="102" t="n"/>
      <c r="AQ1434" s="102" t="n"/>
      <c r="AR1434" s="102" t="n"/>
    </row>
    <row r="1435">
      <c r="D1435" s="102" t="n"/>
      <c r="E1435" s="102" t="n"/>
      <c r="F1435" s="102" t="n"/>
      <c r="G1435" s="102" t="n"/>
      <c r="H1435" s="102" t="n"/>
      <c r="I1435" s="102" t="n"/>
      <c r="J1435" s="102" t="n"/>
      <c r="K1435" s="102" t="n"/>
      <c r="L1435" s="102" t="n"/>
      <c r="M1435" s="102" t="n"/>
      <c r="N1435" s="102" t="n"/>
      <c r="O1435" s="102" t="n"/>
      <c r="P1435" s="102" t="n"/>
      <c r="Q1435" s="102" t="n"/>
      <c r="R1435" s="102" t="n"/>
      <c r="S1435" s="102" t="n"/>
      <c r="T1435" s="102" t="n"/>
      <c r="U1435" s="102" t="n"/>
      <c r="V1435" s="102" t="n"/>
      <c r="W1435" s="102" t="n"/>
      <c r="X1435" s="102" t="n"/>
      <c r="Y1435" s="102" t="n"/>
      <c r="Z1435" s="102" t="n"/>
      <c r="AA1435" s="102" t="n"/>
      <c r="AB1435" s="102" t="n"/>
      <c r="AC1435" s="102" t="n"/>
      <c r="AD1435" s="102" t="n"/>
      <c r="AE1435" s="102" t="n"/>
      <c r="AF1435" s="102" t="n"/>
      <c r="AG1435" s="102" t="n"/>
      <c r="AH1435" s="102" t="n"/>
      <c r="AI1435" s="102" t="n"/>
      <c r="AJ1435" s="102" t="n"/>
      <c r="AK1435" s="102" t="n"/>
      <c r="AL1435" s="102" t="n"/>
      <c r="AM1435" s="102" t="n"/>
      <c r="AN1435" s="102" t="n"/>
      <c r="AO1435" s="102" t="n"/>
      <c r="AP1435" s="102" t="n"/>
      <c r="AQ1435" s="102" t="n"/>
      <c r="AR1435" s="102" t="n"/>
    </row>
    <row r="1436">
      <c r="D1436" s="102" t="n"/>
      <c r="E1436" s="102" t="n"/>
      <c r="F1436" s="102" t="n"/>
      <c r="G1436" s="102" t="n"/>
      <c r="H1436" s="102" t="n"/>
      <c r="I1436" s="102" t="n"/>
      <c r="J1436" s="102" t="n"/>
      <c r="K1436" s="102" t="n"/>
      <c r="L1436" s="102" t="n"/>
      <c r="M1436" s="102" t="n"/>
      <c r="N1436" s="102" t="n"/>
      <c r="O1436" s="102" t="n"/>
      <c r="P1436" s="102" t="n"/>
      <c r="Q1436" s="102" t="n"/>
      <c r="R1436" s="102" t="n"/>
      <c r="S1436" s="102" t="n"/>
      <c r="T1436" s="102" t="n"/>
      <c r="U1436" s="102" t="n"/>
      <c r="V1436" s="102" t="n"/>
      <c r="W1436" s="102" t="n"/>
      <c r="X1436" s="102" t="n"/>
      <c r="Y1436" s="102" t="n"/>
      <c r="Z1436" s="102" t="n"/>
      <c r="AA1436" s="102" t="n"/>
      <c r="AB1436" s="102" t="n"/>
      <c r="AC1436" s="102" t="n"/>
      <c r="AD1436" s="102" t="n"/>
      <c r="AE1436" s="102" t="n"/>
      <c r="AF1436" s="102" t="n"/>
      <c r="AG1436" s="102" t="n"/>
      <c r="AH1436" s="102" t="n"/>
      <c r="AI1436" s="102" t="n"/>
      <c r="AJ1436" s="102" t="n"/>
      <c r="AK1436" s="102" t="n"/>
      <c r="AL1436" s="102" t="n"/>
      <c r="AM1436" s="102" t="n"/>
      <c r="AN1436" s="102" t="n"/>
      <c r="AO1436" s="102" t="n"/>
      <c r="AP1436" s="102" t="n"/>
      <c r="AQ1436" s="102" t="n"/>
      <c r="AR1436" s="102" t="n"/>
    </row>
    <row r="1437">
      <c r="D1437" s="102" t="n"/>
      <c r="E1437" s="102" t="n"/>
      <c r="F1437" s="102" t="n"/>
      <c r="G1437" s="102" t="n"/>
      <c r="H1437" s="102" t="n"/>
      <c r="I1437" s="102" t="n"/>
      <c r="J1437" s="102" t="n"/>
      <c r="K1437" s="102" t="n"/>
      <c r="L1437" s="102" t="n"/>
      <c r="M1437" s="102" t="n"/>
      <c r="N1437" s="102" t="n"/>
      <c r="O1437" s="102" t="n"/>
      <c r="P1437" s="102" t="n"/>
      <c r="Q1437" s="102" t="n"/>
      <c r="R1437" s="102" t="n"/>
      <c r="S1437" s="102" t="n"/>
      <c r="T1437" s="102" t="n"/>
      <c r="U1437" s="102" t="n"/>
      <c r="V1437" s="102" t="n"/>
      <c r="W1437" s="102" t="n"/>
      <c r="X1437" s="102" t="n"/>
      <c r="Y1437" s="102" t="n"/>
      <c r="Z1437" s="102" t="n"/>
      <c r="AA1437" s="102" t="n"/>
      <c r="AB1437" s="102" t="n"/>
      <c r="AC1437" s="102" t="n"/>
      <c r="AD1437" s="102" t="n"/>
      <c r="AE1437" s="102" t="n"/>
      <c r="AF1437" s="102" t="n"/>
      <c r="AG1437" s="102" t="n"/>
      <c r="AH1437" s="102" t="n"/>
      <c r="AI1437" s="102" t="n"/>
      <c r="AJ1437" s="102" t="n"/>
      <c r="AK1437" s="102" t="n"/>
      <c r="AL1437" s="102" t="n"/>
      <c r="AM1437" s="102" t="n"/>
      <c r="AN1437" s="102" t="n"/>
      <c r="AO1437" s="102" t="n"/>
      <c r="AP1437" s="102" t="n"/>
      <c r="AQ1437" s="102" t="n"/>
      <c r="AR1437" s="102" t="n"/>
    </row>
    <row r="1438">
      <c r="D1438" s="103" t="n"/>
      <c r="E1438" s="103" t="n"/>
      <c r="F1438" s="103" t="n"/>
      <c r="G1438" s="103" t="n"/>
      <c r="H1438" s="103" t="n"/>
      <c r="I1438" s="103" t="n"/>
      <c r="J1438" s="103" t="n"/>
      <c r="K1438" s="103" t="n"/>
      <c r="L1438" s="103" t="n"/>
      <c r="M1438" s="103" t="n"/>
      <c r="N1438" s="103" t="n"/>
      <c r="O1438" s="103" t="n"/>
      <c r="P1438" s="103" t="n"/>
      <c r="Q1438" s="103" t="n"/>
      <c r="R1438" s="103" t="n"/>
      <c r="S1438" s="103" t="n"/>
      <c r="T1438" s="103" t="n"/>
      <c r="U1438" s="103" t="n"/>
      <c r="V1438" s="103" t="n"/>
      <c r="W1438" s="103" t="n"/>
      <c r="X1438" s="103" t="n"/>
      <c r="Y1438" s="103" t="n"/>
      <c r="Z1438" s="103" t="n"/>
      <c r="AA1438" s="103" t="n"/>
      <c r="AB1438" s="103" t="n"/>
      <c r="AC1438" s="103" t="n"/>
      <c r="AD1438" s="103" t="n"/>
      <c r="AE1438" s="103" t="n"/>
      <c r="AF1438" s="103" t="n"/>
      <c r="AG1438" s="103" t="n"/>
      <c r="AH1438" s="103" t="n"/>
      <c r="AI1438" s="103" t="n"/>
      <c r="AJ1438" s="103" t="n"/>
      <c r="AK1438" s="103" t="n"/>
      <c r="AL1438" s="103" t="n"/>
      <c r="AM1438" s="103" t="n"/>
      <c r="AN1438" s="103" t="n"/>
      <c r="AO1438" s="103" t="n"/>
      <c r="AP1438" s="103" t="n"/>
      <c r="AQ1438" s="103" t="n"/>
      <c r="AR1438" s="103" t="n"/>
    </row>
    <row r="1441">
      <c r="A1441" s="2">
        <f>IF($A1434="","","   projections")</f>
        <v/>
      </c>
      <c r="B1441" s="99">
        <f>IF($A1434="",0,COUNT($E1442:$AR1442))</f>
        <v/>
      </c>
      <c r="C1441" s="100">
        <f>IF($B1441=0,0,MAX($E1442:$AR1442))</f>
        <v/>
      </c>
      <c r="D1441" s="101">
        <f>BDS($A1434,FLD_PROJ,"headers=y","startcol=1","endcol=3","dir=h")</f>
        <v/>
      </c>
      <c r="E1441" s="102" t="n"/>
      <c r="F1441" s="102" t="n"/>
      <c r="G1441" s="102" t="n"/>
      <c r="H1441" s="102" t="n"/>
      <c r="I1441" s="102" t="n"/>
      <c r="J1441" s="102" t="n"/>
      <c r="K1441" s="102" t="n"/>
      <c r="L1441" s="102" t="n"/>
      <c r="M1441" s="102" t="n"/>
      <c r="N1441" s="102" t="n"/>
      <c r="O1441" s="102" t="n"/>
      <c r="P1441" s="102" t="n"/>
      <c r="Q1441" s="102" t="n"/>
      <c r="R1441" s="102" t="n"/>
      <c r="S1441" s="102" t="n"/>
      <c r="T1441" s="102" t="n"/>
      <c r="U1441" s="102" t="n"/>
      <c r="V1441" s="102" t="n"/>
      <c r="W1441" s="102" t="n"/>
      <c r="X1441" s="102" t="n"/>
      <c r="Y1441" s="102" t="n"/>
      <c r="Z1441" s="102" t="n"/>
      <c r="AA1441" s="102" t="n"/>
      <c r="AB1441" s="102" t="n"/>
      <c r="AC1441" s="102" t="n"/>
      <c r="AD1441" s="102" t="n"/>
      <c r="AE1441" s="102" t="n"/>
      <c r="AF1441" s="102" t="n"/>
      <c r="AG1441" s="102" t="n"/>
      <c r="AH1441" s="102" t="n"/>
      <c r="AI1441" s="102" t="n"/>
      <c r="AJ1441" s="102" t="n"/>
      <c r="AK1441" s="102" t="n"/>
      <c r="AL1441" s="102" t="n"/>
      <c r="AM1441" s="102" t="n"/>
      <c r="AN1441" s="102" t="n"/>
      <c r="AO1441" s="102" t="n"/>
      <c r="AP1441" s="102" t="n"/>
      <c r="AQ1441" s="102" t="n"/>
      <c r="AR1441" s="102" t="n"/>
    </row>
    <row r="1442">
      <c r="D1442" s="102" t="n"/>
      <c r="E1442" s="102" t="n"/>
      <c r="F1442" s="102" t="n"/>
      <c r="G1442" s="102" t="n"/>
      <c r="H1442" s="102" t="n"/>
      <c r="I1442" s="102" t="n"/>
      <c r="J1442" s="102" t="n"/>
      <c r="K1442" s="102" t="n"/>
      <c r="L1442" s="102" t="n"/>
      <c r="M1442" s="102" t="n"/>
      <c r="N1442" s="102" t="n"/>
      <c r="O1442" s="102" t="n"/>
      <c r="P1442" s="102" t="n"/>
      <c r="Q1442" s="102" t="n"/>
      <c r="R1442" s="102" t="n"/>
      <c r="S1442" s="102" t="n"/>
      <c r="T1442" s="102" t="n"/>
      <c r="U1442" s="102" t="n"/>
      <c r="V1442" s="102" t="n"/>
      <c r="W1442" s="102" t="n"/>
      <c r="X1442" s="102" t="n"/>
      <c r="Y1442" s="102" t="n"/>
      <c r="Z1442" s="102" t="n"/>
      <c r="AA1442" s="102" t="n"/>
      <c r="AB1442" s="102" t="n"/>
      <c r="AC1442" s="102" t="n"/>
      <c r="AD1442" s="102" t="n"/>
      <c r="AE1442" s="102" t="n"/>
      <c r="AF1442" s="102" t="n"/>
      <c r="AG1442" s="102" t="n"/>
      <c r="AH1442" s="102" t="n"/>
      <c r="AI1442" s="102" t="n"/>
      <c r="AJ1442" s="102" t="n"/>
      <c r="AK1442" s="102" t="n"/>
      <c r="AL1442" s="102" t="n"/>
      <c r="AM1442" s="102" t="n"/>
      <c r="AN1442" s="102" t="n"/>
      <c r="AO1442" s="102" t="n"/>
      <c r="AP1442" s="102" t="n"/>
      <c r="AQ1442" s="102" t="n"/>
      <c r="AR1442" s="102" t="n"/>
    </row>
    <row r="1443">
      <c r="D1443" s="103" t="n"/>
      <c r="E1443" s="103" t="n"/>
      <c r="F1443" s="103" t="n"/>
      <c r="G1443" s="103" t="n"/>
      <c r="H1443" s="103" t="n"/>
      <c r="I1443" s="103" t="n"/>
      <c r="J1443" s="103" t="n"/>
      <c r="K1443" s="103" t="n"/>
      <c r="L1443" s="103" t="n"/>
      <c r="M1443" s="103" t="n"/>
      <c r="N1443" s="103" t="n"/>
      <c r="O1443" s="103" t="n"/>
      <c r="P1443" s="103" t="n"/>
      <c r="Q1443" s="103" t="n"/>
      <c r="R1443" s="103" t="n"/>
      <c r="S1443" s="103" t="n"/>
      <c r="T1443" s="103" t="n"/>
      <c r="U1443" s="103" t="n"/>
      <c r="V1443" s="103" t="n"/>
      <c r="W1443" s="103" t="n"/>
      <c r="X1443" s="103" t="n"/>
      <c r="Y1443" s="103" t="n"/>
      <c r="Z1443" s="103" t="n"/>
      <c r="AA1443" s="103" t="n"/>
      <c r="AB1443" s="103" t="n"/>
      <c r="AC1443" s="103" t="n"/>
      <c r="AD1443" s="103" t="n"/>
      <c r="AE1443" s="103" t="n"/>
      <c r="AF1443" s="103" t="n"/>
      <c r="AG1443" s="103" t="n"/>
      <c r="AH1443" s="103" t="n"/>
      <c r="AI1443" s="103" t="n"/>
      <c r="AJ1443" s="103" t="n"/>
      <c r="AK1443" s="103" t="n"/>
      <c r="AL1443" s="103" t="n"/>
      <c r="AM1443" s="103" t="n"/>
      <c r="AN1443" s="103" t="n"/>
      <c r="AO1443" s="103" t="n"/>
      <c r="AP1443" s="103" t="n"/>
      <c r="AQ1443" s="103" t="n"/>
      <c r="AR1443" s="103" t="n"/>
    </row>
    <row r="1445">
      <c r="A1445" s="8">
        <f>IF(HSTECH!$C$37="","",HSTECH!$C$37)</f>
        <v/>
      </c>
      <c r="B1445" s="99">
        <f>IF($A1445="",0,COUNT($E1446:$AR1446))</f>
        <v/>
      </c>
      <c r="C1445" s="100">
        <f>IF($B1445=0,0,MAX($E1446:$AR1446))</f>
        <v/>
      </c>
      <c r="D1445" s="101">
        <f>BDS($A1445,FLD_HIST,"headers=y","startcol=1","endcol=7","dir=h","DVD_START_DT",HIST_FROM,"DVD_END_DT",HIST_TO)</f>
        <v/>
      </c>
      <c r="E1445" s="102" t="n"/>
      <c r="F1445" s="102" t="n"/>
      <c r="G1445" s="102" t="n"/>
      <c r="H1445" s="102" t="n"/>
      <c r="I1445" s="102" t="n"/>
      <c r="J1445" s="102" t="n"/>
      <c r="K1445" s="102" t="n"/>
      <c r="L1445" s="102" t="n"/>
      <c r="M1445" s="102" t="n"/>
      <c r="N1445" s="102" t="n"/>
      <c r="O1445" s="102" t="n"/>
      <c r="P1445" s="102" t="n"/>
      <c r="Q1445" s="102" t="n"/>
      <c r="R1445" s="102" t="n"/>
      <c r="S1445" s="102" t="n"/>
      <c r="T1445" s="102" t="n"/>
      <c r="U1445" s="102" t="n"/>
      <c r="V1445" s="102" t="n"/>
      <c r="W1445" s="102" t="n"/>
      <c r="X1445" s="102" t="n"/>
      <c r="Y1445" s="102" t="n"/>
      <c r="Z1445" s="102" t="n"/>
      <c r="AA1445" s="102" t="n"/>
      <c r="AB1445" s="102" t="n"/>
      <c r="AC1445" s="102" t="n"/>
      <c r="AD1445" s="102" t="n"/>
      <c r="AE1445" s="102" t="n"/>
      <c r="AF1445" s="102" t="n"/>
      <c r="AG1445" s="102" t="n"/>
      <c r="AH1445" s="102" t="n"/>
      <c r="AI1445" s="102" t="n"/>
      <c r="AJ1445" s="102" t="n"/>
      <c r="AK1445" s="102" t="n"/>
      <c r="AL1445" s="102" t="n"/>
      <c r="AM1445" s="102" t="n"/>
      <c r="AN1445" s="102" t="n"/>
      <c r="AO1445" s="102" t="n"/>
      <c r="AP1445" s="102" t="n"/>
      <c r="AQ1445" s="102" t="n"/>
      <c r="AR1445" s="102" t="n"/>
    </row>
    <row r="1446">
      <c r="D1446" s="102" t="n"/>
      <c r="E1446" s="102" t="n"/>
      <c r="F1446" s="102" t="n"/>
      <c r="G1446" s="102" t="n"/>
      <c r="H1446" s="102" t="n"/>
      <c r="I1446" s="102" t="n"/>
      <c r="J1446" s="102" t="n"/>
      <c r="K1446" s="102" t="n"/>
      <c r="L1446" s="102" t="n"/>
      <c r="M1446" s="102" t="n"/>
      <c r="N1446" s="102" t="n"/>
      <c r="O1446" s="102" t="n"/>
      <c r="P1446" s="102" t="n"/>
      <c r="Q1446" s="102" t="n"/>
      <c r="R1446" s="102" t="n"/>
      <c r="S1446" s="102" t="n"/>
      <c r="T1446" s="102" t="n"/>
      <c r="U1446" s="102" t="n"/>
      <c r="V1446" s="102" t="n"/>
      <c r="W1446" s="102" t="n"/>
      <c r="X1446" s="102" t="n"/>
      <c r="Y1446" s="102" t="n"/>
      <c r="Z1446" s="102" t="n"/>
      <c r="AA1446" s="102" t="n"/>
      <c r="AB1446" s="102" t="n"/>
      <c r="AC1446" s="102" t="n"/>
      <c r="AD1446" s="102" t="n"/>
      <c r="AE1446" s="102" t="n"/>
      <c r="AF1446" s="102" t="n"/>
      <c r="AG1446" s="102" t="n"/>
      <c r="AH1446" s="102" t="n"/>
      <c r="AI1446" s="102" t="n"/>
      <c r="AJ1446" s="102" t="n"/>
      <c r="AK1446" s="102" t="n"/>
      <c r="AL1446" s="102" t="n"/>
      <c r="AM1446" s="102" t="n"/>
      <c r="AN1446" s="102" t="n"/>
      <c r="AO1446" s="102" t="n"/>
      <c r="AP1446" s="102" t="n"/>
      <c r="AQ1446" s="102" t="n"/>
      <c r="AR1446" s="102" t="n"/>
    </row>
    <row r="1447">
      <c r="D1447" s="102" t="n"/>
      <c r="E1447" s="102" t="n"/>
      <c r="F1447" s="102" t="n"/>
      <c r="G1447" s="102" t="n"/>
      <c r="H1447" s="102" t="n"/>
      <c r="I1447" s="102" t="n"/>
      <c r="J1447" s="102" t="n"/>
      <c r="K1447" s="102" t="n"/>
      <c r="L1447" s="102" t="n"/>
      <c r="M1447" s="102" t="n"/>
      <c r="N1447" s="102" t="n"/>
      <c r="O1447" s="102" t="n"/>
      <c r="P1447" s="102" t="n"/>
      <c r="Q1447" s="102" t="n"/>
      <c r="R1447" s="102" t="n"/>
      <c r="S1447" s="102" t="n"/>
      <c r="T1447" s="102" t="n"/>
      <c r="U1447" s="102" t="n"/>
      <c r="V1447" s="102" t="n"/>
      <c r="W1447" s="102" t="n"/>
      <c r="X1447" s="102" t="n"/>
      <c r="Y1447" s="102" t="n"/>
      <c r="Z1447" s="102" t="n"/>
      <c r="AA1447" s="102" t="n"/>
      <c r="AB1447" s="102" t="n"/>
      <c r="AC1447" s="102" t="n"/>
      <c r="AD1447" s="102" t="n"/>
      <c r="AE1447" s="102" t="n"/>
      <c r="AF1447" s="102" t="n"/>
      <c r="AG1447" s="102" t="n"/>
      <c r="AH1447" s="102" t="n"/>
      <c r="AI1447" s="102" t="n"/>
      <c r="AJ1447" s="102" t="n"/>
      <c r="AK1447" s="102" t="n"/>
      <c r="AL1447" s="102" t="n"/>
      <c r="AM1447" s="102" t="n"/>
      <c r="AN1447" s="102" t="n"/>
      <c r="AO1447" s="102" t="n"/>
      <c r="AP1447" s="102" t="n"/>
      <c r="AQ1447" s="102" t="n"/>
      <c r="AR1447" s="102" t="n"/>
    </row>
    <row r="1448">
      <c r="D1448" s="102" t="n"/>
      <c r="E1448" s="102" t="n"/>
      <c r="F1448" s="102" t="n"/>
      <c r="G1448" s="102" t="n"/>
      <c r="H1448" s="102" t="n"/>
      <c r="I1448" s="102" t="n"/>
      <c r="J1448" s="102" t="n"/>
      <c r="K1448" s="102" t="n"/>
      <c r="L1448" s="102" t="n"/>
      <c r="M1448" s="102" t="n"/>
      <c r="N1448" s="102" t="n"/>
      <c r="O1448" s="102" t="n"/>
      <c r="P1448" s="102" t="n"/>
      <c r="Q1448" s="102" t="n"/>
      <c r="R1448" s="102" t="n"/>
      <c r="S1448" s="102" t="n"/>
      <c r="T1448" s="102" t="n"/>
      <c r="U1448" s="102" t="n"/>
      <c r="V1448" s="102" t="n"/>
      <c r="W1448" s="102" t="n"/>
      <c r="X1448" s="102" t="n"/>
      <c r="Y1448" s="102" t="n"/>
      <c r="Z1448" s="102" t="n"/>
      <c r="AA1448" s="102" t="n"/>
      <c r="AB1448" s="102" t="n"/>
      <c r="AC1448" s="102" t="n"/>
      <c r="AD1448" s="102" t="n"/>
      <c r="AE1448" s="102" t="n"/>
      <c r="AF1448" s="102" t="n"/>
      <c r="AG1448" s="102" t="n"/>
      <c r="AH1448" s="102" t="n"/>
      <c r="AI1448" s="102" t="n"/>
      <c r="AJ1448" s="102" t="n"/>
      <c r="AK1448" s="102" t="n"/>
      <c r="AL1448" s="102" t="n"/>
      <c r="AM1448" s="102" t="n"/>
      <c r="AN1448" s="102" t="n"/>
      <c r="AO1448" s="102" t="n"/>
      <c r="AP1448" s="102" t="n"/>
      <c r="AQ1448" s="102" t="n"/>
      <c r="AR1448" s="102" t="n"/>
    </row>
    <row r="1449">
      <c r="D1449" s="103" t="n"/>
      <c r="E1449" s="103" t="n"/>
      <c r="F1449" s="103" t="n"/>
      <c r="G1449" s="103" t="n"/>
      <c r="H1449" s="103" t="n"/>
      <c r="I1449" s="103" t="n"/>
      <c r="J1449" s="103" t="n"/>
      <c r="K1449" s="103" t="n"/>
      <c r="L1449" s="103" t="n"/>
      <c r="M1449" s="103" t="n"/>
      <c r="N1449" s="103" t="n"/>
      <c r="O1449" s="103" t="n"/>
      <c r="P1449" s="103" t="n"/>
      <c r="Q1449" s="103" t="n"/>
      <c r="R1449" s="103" t="n"/>
      <c r="S1449" s="103" t="n"/>
      <c r="T1449" s="103" t="n"/>
      <c r="U1449" s="103" t="n"/>
      <c r="V1449" s="103" t="n"/>
      <c r="W1449" s="103" t="n"/>
      <c r="X1449" s="103" t="n"/>
      <c r="Y1449" s="103" t="n"/>
      <c r="Z1449" s="103" t="n"/>
      <c r="AA1449" s="103" t="n"/>
      <c r="AB1449" s="103" t="n"/>
      <c r="AC1449" s="103" t="n"/>
      <c r="AD1449" s="103" t="n"/>
      <c r="AE1449" s="103" t="n"/>
      <c r="AF1449" s="103" t="n"/>
      <c r="AG1449" s="103" t="n"/>
      <c r="AH1449" s="103" t="n"/>
      <c r="AI1449" s="103" t="n"/>
      <c r="AJ1449" s="103" t="n"/>
      <c r="AK1449" s="103" t="n"/>
      <c r="AL1449" s="103" t="n"/>
      <c r="AM1449" s="103" t="n"/>
      <c r="AN1449" s="103" t="n"/>
      <c r="AO1449" s="103" t="n"/>
      <c r="AP1449" s="103" t="n"/>
      <c r="AQ1449" s="103" t="n"/>
      <c r="AR1449" s="103" t="n"/>
    </row>
    <row r="1452">
      <c r="A1452" s="2">
        <f>IF($A1445="","","   projections")</f>
        <v/>
      </c>
      <c r="B1452" s="99">
        <f>IF($A1445="",0,COUNT($E1453:$AR1453))</f>
        <v/>
      </c>
      <c r="C1452" s="100">
        <f>IF($B1452=0,0,MAX($E1453:$AR1453))</f>
        <v/>
      </c>
      <c r="D1452" s="101">
        <f>BDS($A1445,FLD_PROJ,"headers=y","startcol=1","endcol=3","dir=h")</f>
        <v/>
      </c>
      <c r="E1452" s="102" t="n"/>
      <c r="F1452" s="102" t="n"/>
      <c r="G1452" s="102" t="n"/>
      <c r="H1452" s="102" t="n"/>
      <c r="I1452" s="102" t="n"/>
      <c r="J1452" s="102" t="n"/>
      <c r="K1452" s="102" t="n"/>
      <c r="L1452" s="102" t="n"/>
      <c r="M1452" s="102" t="n"/>
      <c r="N1452" s="102" t="n"/>
      <c r="O1452" s="102" t="n"/>
      <c r="P1452" s="102" t="n"/>
      <c r="Q1452" s="102" t="n"/>
      <c r="R1452" s="102" t="n"/>
      <c r="S1452" s="102" t="n"/>
      <c r="T1452" s="102" t="n"/>
      <c r="U1452" s="102" t="n"/>
      <c r="V1452" s="102" t="n"/>
      <c r="W1452" s="102" t="n"/>
      <c r="X1452" s="102" t="n"/>
      <c r="Y1452" s="102" t="n"/>
      <c r="Z1452" s="102" t="n"/>
      <c r="AA1452" s="102" t="n"/>
      <c r="AB1452" s="102" t="n"/>
      <c r="AC1452" s="102" t="n"/>
      <c r="AD1452" s="102" t="n"/>
      <c r="AE1452" s="102" t="n"/>
      <c r="AF1452" s="102" t="n"/>
      <c r="AG1452" s="102" t="n"/>
      <c r="AH1452" s="102" t="n"/>
      <c r="AI1452" s="102" t="n"/>
      <c r="AJ1452" s="102" t="n"/>
      <c r="AK1452" s="102" t="n"/>
      <c r="AL1452" s="102" t="n"/>
      <c r="AM1452" s="102" t="n"/>
      <c r="AN1452" s="102" t="n"/>
      <c r="AO1452" s="102" t="n"/>
      <c r="AP1452" s="102" t="n"/>
      <c r="AQ1452" s="102" t="n"/>
      <c r="AR1452" s="102" t="n"/>
    </row>
    <row r="1453">
      <c r="D1453" s="102" t="n"/>
      <c r="E1453" s="102" t="n"/>
      <c r="F1453" s="102" t="n"/>
      <c r="G1453" s="102" t="n"/>
      <c r="H1453" s="102" t="n"/>
      <c r="I1453" s="102" t="n"/>
      <c r="J1453" s="102" t="n"/>
      <c r="K1453" s="102" t="n"/>
      <c r="L1453" s="102" t="n"/>
      <c r="M1453" s="102" t="n"/>
      <c r="N1453" s="102" t="n"/>
      <c r="O1453" s="102" t="n"/>
      <c r="P1453" s="102" t="n"/>
      <c r="Q1453" s="102" t="n"/>
      <c r="R1453" s="102" t="n"/>
      <c r="S1453" s="102" t="n"/>
      <c r="T1453" s="102" t="n"/>
      <c r="U1453" s="102" t="n"/>
      <c r="V1453" s="102" t="n"/>
      <c r="W1453" s="102" t="n"/>
      <c r="X1453" s="102" t="n"/>
      <c r="Y1453" s="102" t="n"/>
      <c r="Z1453" s="102" t="n"/>
      <c r="AA1453" s="102" t="n"/>
      <c r="AB1453" s="102" t="n"/>
      <c r="AC1453" s="102" t="n"/>
      <c r="AD1453" s="102" t="n"/>
      <c r="AE1453" s="102" t="n"/>
      <c r="AF1453" s="102" t="n"/>
      <c r="AG1453" s="102" t="n"/>
      <c r="AH1453" s="102" t="n"/>
      <c r="AI1453" s="102" t="n"/>
      <c r="AJ1453" s="102" t="n"/>
      <c r="AK1453" s="102" t="n"/>
      <c r="AL1453" s="102" t="n"/>
      <c r="AM1453" s="102" t="n"/>
      <c r="AN1453" s="102" t="n"/>
      <c r="AO1453" s="102" t="n"/>
      <c r="AP1453" s="102" t="n"/>
      <c r="AQ1453" s="102" t="n"/>
      <c r="AR1453" s="102" t="n"/>
    </row>
    <row r="1454">
      <c r="D1454" s="103" t="n"/>
      <c r="E1454" s="103" t="n"/>
      <c r="F1454" s="103" t="n"/>
      <c r="G1454" s="103" t="n"/>
      <c r="H1454" s="103" t="n"/>
      <c r="I1454" s="103" t="n"/>
      <c r="J1454" s="103" t="n"/>
      <c r="K1454" s="103" t="n"/>
      <c r="L1454" s="103" t="n"/>
      <c r="M1454" s="103" t="n"/>
      <c r="N1454" s="103" t="n"/>
      <c r="O1454" s="103" t="n"/>
      <c r="P1454" s="103" t="n"/>
      <c r="Q1454" s="103" t="n"/>
      <c r="R1454" s="103" t="n"/>
      <c r="S1454" s="103" t="n"/>
      <c r="T1454" s="103" t="n"/>
      <c r="U1454" s="103" t="n"/>
      <c r="V1454" s="103" t="n"/>
      <c r="W1454" s="103" t="n"/>
      <c r="X1454" s="103" t="n"/>
      <c r="Y1454" s="103" t="n"/>
      <c r="Z1454" s="103" t="n"/>
      <c r="AA1454" s="103" t="n"/>
      <c r="AB1454" s="103" t="n"/>
      <c r="AC1454" s="103" t="n"/>
      <c r="AD1454" s="103" t="n"/>
      <c r="AE1454" s="103" t="n"/>
      <c r="AF1454" s="103" t="n"/>
      <c r="AG1454" s="103" t="n"/>
      <c r="AH1454" s="103" t="n"/>
      <c r="AI1454" s="103" t="n"/>
      <c r="AJ1454" s="103" t="n"/>
      <c r="AK1454" s="103" t="n"/>
      <c r="AL1454" s="103" t="n"/>
      <c r="AM1454" s="103" t="n"/>
      <c r="AN1454" s="103" t="n"/>
      <c r="AO1454" s="103" t="n"/>
      <c r="AP1454" s="103" t="n"/>
      <c r="AQ1454" s="103" t="n"/>
      <c r="AR1454" s="103" t="n"/>
    </row>
    <row r="1456">
      <c r="A1456" s="8">
        <f>IF(HSTECH!$C$38="","",HSTECH!$C$38)</f>
        <v/>
      </c>
      <c r="B1456" s="99">
        <f>IF($A1456="",0,COUNT($E1457:$AR1457))</f>
        <v/>
      </c>
      <c r="C1456" s="100">
        <f>IF($B1456=0,0,MAX($E1457:$AR1457))</f>
        <v/>
      </c>
      <c r="D1456" s="101">
        <f>BDS($A1456,FLD_HIST,"headers=y","startcol=1","endcol=7","dir=h","DVD_START_DT",HIST_FROM,"DVD_END_DT",HIST_TO)</f>
        <v/>
      </c>
      <c r="E1456" s="102" t="n"/>
      <c r="F1456" s="102" t="n"/>
      <c r="G1456" s="102" t="n"/>
      <c r="H1456" s="102" t="n"/>
      <c r="I1456" s="102" t="n"/>
      <c r="J1456" s="102" t="n"/>
      <c r="K1456" s="102" t="n"/>
      <c r="L1456" s="102" t="n"/>
      <c r="M1456" s="102" t="n"/>
      <c r="N1456" s="102" t="n"/>
      <c r="O1456" s="102" t="n"/>
      <c r="P1456" s="102" t="n"/>
      <c r="Q1456" s="102" t="n"/>
      <c r="R1456" s="102" t="n"/>
      <c r="S1456" s="102" t="n"/>
      <c r="T1456" s="102" t="n"/>
      <c r="U1456" s="102" t="n"/>
      <c r="V1456" s="102" t="n"/>
      <c r="W1456" s="102" t="n"/>
      <c r="X1456" s="102" t="n"/>
      <c r="Y1456" s="102" t="n"/>
      <c r="Z1456" s="102" t="n"/>
      <c r="AA1456" s="102" t="n"/>
      <c r="AB1456" s="102" t="n"/>
      <c r="AC1456" s="102" t="n"/>
      <c r="AD1456" s="102" t="n"/>
      <c r="AE1456" s="102" t="n"/>
      <c r="AF1456" s="102" t="n"/>
      <c r="AG1456" s="102" t="n"/>
      <c r="AH1456" s="102" t="n"/>
      <c r="AI1456" s="102" t="n"/>
      <c r="AJ1456" s="102" t="n"/>
      <c r="AK1456" s="102" t="n"/>
      <c r="AL1456" s="102" t="n"/>
      <c r="AM1456" s="102" t="n"/>
      <c r="AN1456" s="102" t="n"/>
      <c r="AO1456" s="102" t="n"/>
      <c r="AP1456" s="102" t="n"/>
      <c r="AQ1456" s="102" t="n"/>
      <c r="AR1456" s="102" t="n"/>
    </row>
    <row r="1457">
      <c r="D1457" s="102" t="n"/>
      <c r="E1457" s="102" t="n"/>
      <c r="F1457" s="102" t="n"/>
      <c r="G1457" s="102" t="n"/>
      <c r="H1457" s="102" t="n"/>
      <c r="I1457" s="102" t="n"/>
      <c r="J1457" s="102" t="n"/>
      <c r="K1457" s="102" t="n"/>
      <c r="L1457" s="102" t="n"/>
      <c r="M1457" s="102" t="n"/>
      <c r="N1457" s="102" t="n"/>
      <c r="O1457" s="102" t="n"/>
      <c r="P1457" s="102" t="n"/>
      <c r="Q1457" s="102" t="n"/>
      <c r="R1457" s="102" t="n"/>
      <c r="S1457" s="102" t="n"/>
      <c r="T1457" s="102" t="n"/>
      <c r="U1457" s="102" t="n"/>
      <c r="V1457" s="102" t="n"/>
      <c r="W1457" s="102" t="n"/>
      <c r="X1457" s="102" t="n"/>
      <c r="Y1457" s="102" t="n"/>
      <c r="Z1457" s="102" t="n"/>
      <c r="AA1457" s="102" t="n"/>
      <c r="AB1457" s="102" t="n"/>
      <c r="AC1457" s="102" t="n"/>
      <c r="AD1457" s="102" t="n"/>
      <c r="AE1457" s="102" t="n"/>
      <c r="AF1457" s="102" t="n"/>
      <c r="AG1457" s="102" t="n"/>
      <c r="AH1457" s="102" t="n"/>
      <c r="AI1457" s="102" t="n"/>
      <c r="AJ1457" s="102" t="n"/>
      <c r="AK1457" s="102" t="n"/>
      <c r="AL1457" s="102" t="n"/>
      <c r="AM1457" s="102" t="n"/>
      <c r="AN1457" s="102" t="n"/>
      <c r="AO1457" s="102" t="n"/>
      <c r="AP1457" s="102" t="n"/>
      <c r="AQ1457" s="102" t="n"/>
      <c r="AR1457" s="102" t="n"/>
    </row>
    <row r="1458">
      <c r="D1458" s="102" t="n"/>
      <c r="E1458" s="102" t="n"/>
      <c r="F1458" s="102" t="n"/>
      <c r="G1458" s="102" t="n"/>
      <c r="H1458" s="102" t="n"/>
      <c r="I1458" s="102" t="n"/>
      <c r="J1458" s="102" t="n"/>
      <c r="K1458" s="102" t="n"/>
      <c r="L1458" s="102" t="n"/>
      <c r="M1458" s="102" t="n"/>
      <c r="N1458" s="102" t="n"/>
      <c r="O1458" s="102" t="n"/>
      <c r="P1458" s="102" t="n"/>
      <c r="Q1458" s="102" t="n"/>
      <c r="R1458" s="102" t="n"/>
      <c r="S1458" s="102" t="n"/>
      <c r="T1458" s="102" t="n"/>
      <c r="U1458" s="102" t="n"/>
      <c r="V1458" s="102" t="n"/>
      <c r="W1458" s="102" t="n"/>
      <c r="X1458" s="102" t="n"/>
      <c r="Y1458" s="102" t="n"/>
      <c r="Z1458" s="102" t="n"/>
      <c r="AA1458" s="102" t="n"/>
      <c r="AB1458" s="102" t="n"/>
      <c r="AC1458" s="102" t="n"/>
      <c r="AD1458" s="102" t="n"/>
      <c r="AE1458" s="102" t="n"/>
      <c r="AF1458" s="102" t="n"/>
      <c r="AG1458" s="102" t="n"/>
      <c r="AH1458" s="102" t="n"/>
      <c r="AI1458" s="102" t="n"/>
      <c r="AJ1458" s="102" t="n"/>
      <c r="AK1458" s="102" t="n"/>
      <c r="AL1458" s="102" t="n"/>
      <c r="AM1458" s="102" t="n"/>
      <c r="AN1458" s="102" t="n"/>
      <c r="AO1458" s="102" t="n"/>
      <c r="AP1458" s="102" t="n"/>
      <c r="AQ1458" s="102" t="n"/>
      <c r="AR1458" s="102" t="n"/>
    </row>
    <row r="1459">
      <c r="D1459" s="102" t="n"/>
      <c r="E1459" s="102" t="n"/>
      <c r="F1459" s="102" t="n"/>
      <c r="G1459" s="102" t="n"/>
      <c r="H1459" s="102" t="n"/>
      <c r="I1459" s="102" t="n"/>
      <c r="J1459" s="102" t="n"/>
      <c r="K1459" s="102" t="n"/>
      <c r="L1459" s="102" t="n"/>
      <c r="M1459" s="102" t="n"/>
      <c r="N1459" s="102" t="n"/>
      <c r="O1459" s="102" t="n"/>
      <c r="P1459" s="102" t="n"/>
      <c r="Q1459" s="102" t="n"/>
      <c r="R1459" s="102" t="n"/>
      <c r="S1459" s="102" t="n"/>
      <c r="T1459" s="102" t="n"/>
      <c r="U1459" s="102" t="n"/>
      <c r="V1459" s="102" t="n"/>
      <c r="W1459" s="102" t="n"/>
      <c r="X1459" s="102" t="n"/>
      <c r="Y1459" s="102" t="n"/>
      <c r="Z1459" s="102" t="n"/>
      <c r="AA1459" s="102" t="n"/>
      <c r="AB1459" s="102" t="n"/>
      <c r="AC1459" s="102" t="n"/>
      <c r="AD1459" s="102" t="n"/>
      <c r="AE1459" s="102" t="n"/>
      <c r="AF1459" s="102" t="n"/>
      <c r="AG1459" s="102" t="n"/>
      <c r="AH1459" s="102" t="n"/>
      <c r="AI1459" s="102" t="n"/>
      <c r="AJ1459" s="102" t="n"/>
      <c r="AK1459" s="102" t="n"/>
      <c r="AL1459" s="102" t="n"/>
      <c r="AM1459" s="102" t="n"/>
      <c r="AN1459" s="102" t="n"/>
      <c r="AO1459" s="102" t="n"/>
      <c r="AP1459" s="102" t="n"/>
      <c r="AQ1459" s="102" t="n"/>
      <c r="AR1459" s="102" t="n"/>
    </row>
    <row r="1460">
      <c r="D1460" s="103" t="n"/>
      <c r="E1460" s="103" t="n"/>
      <c r="F1460" s="103" t="n"/>
      <c r="G1460" s="103" t="n"/>
      <c r="H1460" s="103" t="n"/>
      <c r="I1460" s="103" t="n"/>
      <c r="J1460" s="103" t="n"/>
      <c r="K1460" s="103" t="n"/>
      <c r="L1460" s="103" t="n"/>
      <c r="M1460" s="103" t="n"/>
      <c r="N1460" s="103" t="n"/>
      <c r="O1460" s="103" t="n"/>
      <c r="P1460" s="103" t="n"/>
      <c r="Q1460" s="103" t="n"/>
      <c r="R1460" s="103" t="n"/>
      <c r="S1460" s="103" t="n"/>
      <c r="T1460" s="103" t="n"/>
      <c r="U1460" s="103" t="n"/>
      <c r="V1460" s="103" t="n"/>
      <c r="W1460" s="103" t="n"/>
      <c r="X1460" s="103" t="n"/>
      <c r="Y1460" s="103" t="n"/>
      <c r="Z1460" s="103" t="n"/>
      <c r="AA1460" s="103" t="n"/>
      <c r="AB1460" s="103" t="n"/>
      <c r="AC1460" s="103" t="n"/>
      <c r="AD1460" s="103" t="n"/>
      <c r="AE1460" s="103" t="n"/>
      <c r="AF1460" s="103" t="n"/>
      <c r="AG1460" s="103" t="n"/>
      <c r="AH1460" s="103" t="n"/>
      <c r="AI1460" s="103" t="n"/>
      <c r="AJ1460" s="103" t="n"/>
      <c r="AK1460" s="103" t="n"/>
      <c r="AL1460" s="103" t="n"/>
      <c r="AM1460" s="103" t="n"/>
      <c r="AN1460" s="103" t="n"/>
      <c r="AO1460" s="103" t="n"/>
      <c r="AP1460" s="103" t="n"/>
      <c r="AQ1460" s="103" t="n"/>
      <c r="AR1460" s="103" t="n"/>
    </row>
    <row r="1463">
      <c r="A1463" s="2">
        <f>IF($A1456="","","   projections")</f>
        <v/>
      </c>
      <c r="B1463" s="99">
        <f>IF($A1456="",0,COUNT($E1464:$AR1464))</f>
        <v/>
      </c>
      <c r="C1463" s="100">
        <f>IF($B1463=0,0,MAX($E1464:$AR1464))</f>
        <v/>
      </c>
      <c r="D1463" s="101">
        <f>BDS($A1456,FLD_PROJ,"headers=y","startcol=1","endcol=3","dir=h")</f>
        <v/>
      </c>
      <c r="E1463" s="102" t="n"/>
      <c r="F1463" s="102" t="n"/>
      <c r="G1463" s="102" t="n"/>
      <c r="H1463" s="102" t="n"/>
      <c r="I1463" s="102" t="n"/>
      <c r="J1463" s="102" t="n"/>
      <c r="K1463" s="102" t="n"/>
      <c r="L1463" s="102" t="n"/>
      <c r="M1463" s="102" t="n"/>
      <c r="N1463" s="102" t="n"/>
      <c r="O1463" s="102" t="n"/>
      <c r="P1463" s="102" t="n"/>
      <c r="Q1463" s="102" t="n"/>
      <c r="R1463" s="102" t="n"/>
      <c r="S1463" s="102" t="n"/>
      <c r="T1463" s="102" t="n"/>
      <c r="U1463" s="102" t="n"/>
      <c r="V1463" s="102" t="n"/>
      <c r="W1463" s="102" t="n"/>
      <c r="X1463" s="102" t="n"/>
      <c r="Y1463" s="102" t="n"/>
      <c r="Z1463" s="102" t="n"/>
      <c r="AA1463" s="102" t="n"/>
      <c r="AB1463" s="102" t="n"/>
      <c r="AC1463" s="102" t="n"/>
      <c r="AD1463" s="102" t="n"/>
      <c r="AE1463" s="102" t="n"/>
      <c r="AF1463" s="102" t="n"/>
      <c r="AG1463" s="102" t="n"/>
      <c r="AH1463" s="102" t="n"/>
      <c r="AI1463" s="102" t="n"/>
      <c r="AJ1463" s="102" t="n"/>
      <c r="AK1463" s="102" t="n"/>
      <c r="AL1463" s="102" t="n"/>
      <c r="AM1463" s="102" t="n"/>
      <c r="AN1463" s="102" t="n"/>
      <c r="AO1463" s="102" t="n"/>
      <c r="AP1463" s="102" t="n"/>
      <c r="AQ1463" s="102" t="n"/>
      <c r="AR1463" s="102" t="n"/>
    </row>
    <row r="1464">
      <c r="D1464" s="102" t="n"/>
      <c r="E1464" s="102" t="n"/>
      <c r="F1464" s="102" t="n"/>
      <c r="G1464" s="102" t="n"/>
      <c r="H1464" s="102" t="n"/>
      <c r="I1464" s="102" t="n"/>
      <c r="J1464" s="102" t="n"/>
      <c r="K1464" s="102" t="n"/>
      <c r="L1464" s="102" t="n"/>
      <c r="M1464" s="102" t="n"/>
      <c r="N1464" s="102" t="n"/>
      <c r="O1464" s="102" t="n"/>
      <c r="P1464" s="102" t="n"/>
      <c r="Q1464" s="102" t="n"/>
      <c r="R1464" s="102" t="n"/>
      <c r="S1464" s="102" t="n"/>
      <c r="T1464" s="102" t="n"/>
      <c r="U1464" s="102" t="n"/>
      <c r="V1464" s="102" t="n"/>
      <c r="W1464" s="102" t="n"/>
      <c r="X1464" s="102" t="n"/>
      <c r="Y1464" s="102" t="n"/>
      <c r="Z1464" s="102" t="n"/>
      <c r="AA1464" s="102" t="n"/>
      <c r="AB1464" s="102" t="n"/>
      <c r="AC1464" s="102" t="n"/>
      <c r="AD1464" s="102" t="n"/>
      <c r="AE1464" s="102" t="n"/>
      <c r="AF1464" s="102" t="n"/>
      <c r="AG1464" s="102" t="n"/>
      <c r="AH1464" s="102" t="n"/>
      <c r="AI1464" s="102" t="n"/>
      <c r="AJ1464" s="102" t="n"/>
      <c r="AK1464" s="102" t="n"/>
      <c r="AL1464" s="102" t="n"/>
      <c r="AM1464" s="102" t="n"/>
      <c r="AN1464" s="102" t="n"/>
      <c r="AO1464" s="102" t="n"/>
      <c r="AP1464" s="102" t="n"/>
      <c r="AQ1464" s="102" t="n"/>
      <c r="AR1464" s="102" t="n"/>
    </row>
    <row r="1465">
      <c r="D1465" s="103" t="n"/>
      <c r="E1465" s="103" t="n"/>
      <c r="F1465" s="103" t="n"/>
      <c r="G1465" s="103" t="n"/>
      <c r="H1465" s="103" t="n"/>
      <c r="I1465" s="103" t="n"/>
      <c r="J1465" s="103" t="n"/>
      <c r="K1465" s="103" t="n"/>
      <c r="L1465" s="103" t="n"/>
      <c r="M1465" s="103" t="n"/>
      <c r="N1465" s="103" t="n"/>
      <c r="O1465" s="103" t="n"/>
      <c r="P1465" s="103" t="n"/>
      <c r="Q1465" s="103" t="n"/>
      <c r="R1465" s="103" t="n"/>
      <c r="S1465" s="103" t="n"/>
      <c r="T1465" s="103" t="n"/>
      <c r="U1465" s="103" t="n"/>
      <c r="V1465" s="103" t="n"/>
      <c r="W1465" s="103" t="n"/>
      <c r="X1465" s="103" t="n"/>
      <c r="Y1465" s="103" t="n"/>
      <c r="Z1465" s="103" t="n"/>
      <c r="AA1465" s="103" t="n"/>
      <c r="AB1465" s="103" t="n"/>
      <c r="AC1465" s="103" t="n"/>
      <c r="AD1465" s="103" t="n"/>
      <c r="AE1465" s="103" t="n"/>
      <c r="AF1465" s="103" t="n"/>
      <c r="AG1465" s="103" t="n"/>
      <c r="AH1465" s="103" t="n"/>
      <c r="AI1465" s="103" t="n"/>
      <c r="AJ1465" s="103" t="n"/>
      <c r="AK1465" s="103" t="n"/>
      <c r="AL1465" s="103" t="n"/>
      <c r="AM1465" s="103" t="n"/>
      <c r="AN1465" s="103" t="n"/>
      <c r="AO1465" s="103" t="n"/>
      <c r="AP1465" s="103" t="n"/>
      <c r="AQ1465" s="103" t="n"/>
      <c r="AR1465" s="103" t="n"/>
    </row>
    <row r="1467">
      <c r="A1467" s="8">
        <f>IF(HSTECH!$C$39="","",HSTECH!$C$39)</f>
        <v/>
      </c>
      <c r="B1467" s="99">
        <f>IF($A1467="",0,COUNT($E1468:$AR1468))</f>
        <v/>
      </c>
      <c r="C1467" s="100">
        <f>IF($B1467=0,0,MAX($E1468:$AR1468))</f>
        <v/>
      </c>
      <c r="D1467" s="101">
        <f>BDS($A1467,FLD_HIST,"headers=y","startcol=1","endcol=7","dir=h","DVD_START_DT",HIST_FROM,"DVD_END_DT",HIST_TO)</f>
        <v/>
      </c>
      <c r="E1467" s="102" t="n"/>
      <c r="F1467" s="102" t="n"/>
      <c r="G1467" s="102" t="n"/>
      <c r="H1467" s="102" t="n"/>
      <c r="I1467" s="102" t="n"/>
      <c r="J1467" s="102" t="n"/>
      <c r="K1467" s="102" t="n"/>
      <c r="L1467" s="102" t="n"/>
      <c r="M1467" s="102" t="n"/>
      <c r="N1467" s="102" t="n"/>
      <c r="O1467" s="102" t="n"/>
      <c r="P1467" s="102" t="n"/>
      <c r="Q1467" s="102" t="n"/>
      <c r="R1467" s="102" t="n"/>
      <c r="S1467" s="102" t="n"/>
      <c r="T1467" s="102" t="n"/>
      <c r="U1467" s="102" t="n"/>
      <c r="V1467" s="102" t="n"/>
      <c r="W1467" s="102" t="n"/>
      <c r="X1467" s="102" t="n"/>
      <c r="Y1467" s="102" t="n"/>
      <c r="Z1467" s="102" t="n"/>
      <c r="AA1467" s="102" t="n"/>
      <c r="AB1467" s="102" t="n"/>
      <c r="AC1467" s="102" t="n"/>
      <c r="AD1467" s="102" t="n"/>
      <c r="AE1467" s="102" t="n"/>
      <c r="AF1467" s="102" t="n"/>
      <c r="AG1467" s="102" t="n"/>
      <c r="AH1467" s="102" t="n"/>
      <c r="AI1467" s="102" t="n"/>
      <c r="AJ1467" s="102" t="n"/>
      <c r="AK1467" s="102" t="n"/>
      <c r="AL1467" s="102" t="n"/>
      <c r="AM1467" s="102" t="n"/>
      <c r="AN1467" s="102" t="n"/>
      <c r="AO1467" s="102" t="n"/>
      <c r="AP1467" s="102" t="n"/>
      <c r="AQ1467" s="102" t="n"/>
      <c r="AR1467" s="102" t="n"/>
    </row>
    <row r="1468">
      <c r="D1468" s="102" t="n"/>
      <c r="E1468" s="102" t="n"/>
      <c r="F1468" s="102" t="n"/>
      <c r="G1468" s="102" t="n"/>
      <c r="H1468" s="102" t="n"/>
      <c r="I1468" s="102" t="n"/>
      <c r="J1468" s="102" t="n"/>
      <c r="K1468" s="102" t="n"/>
      <c r="L1468" s="102" t="n"/>
      <c r="M1468" s="102" t="n"/>
      <c r="N1468" s="102" t="n"/>
      <c r="O1468" s="102" t="n"/>
      <c r="P1468" s="102" t="n"/>
      <c r="Q1468" s="102" t="n"/>
      <c r="R1468" s="102" t="n"/>
      <c r="S1468" s="102" t="n"/>
      <c r="T1468" s="102" t="n"/>
      <c r="U1468" s="102" t="n"/>
      <c r="V1468" s="102" t="n"/>
      <c r="W1468" s="102" t="n"/>
      <c r="X1468" s="102" t="n"/>
      <c r="Y1468" s="102" t="n"/>
      <c r="Z1468" s="102" t="n"/>
      <c r="AA1468" s="102" t="n"/>
      <c r="AB1468" s="102" t="n"/>
      <c r="AC1468" s="102" t="n"/>
      <c r="AD1468" s="102" t="n"/>
      <c r="AE1468" s="102" t="n"/>
      <c r="AF1468" s="102" t="n"/>
      <c r="AG1468" s="102" t="n"/>
      <c r="AH1468" s="102" t="n"/>
      <c r="AI1468" s="102" t="n"/>
      <c r="AJ1468" s="102" t="n"/>
      <c r="AK1468" s="102" t="n"/>
      <c r="AL1468" s="102" t="n"/>
      <c r="AM1468" s="102" t="n"/>
      <c r="AN1468" s="102" t="n"/>
      <c r="AO1468" s="102" t="n"/>
      <c r="AP1468" s="102" t="n"/>
      <c r="AQ1468" s="102" t="n"/>
      <c r="AR1468" s="102" t="n"/>
    </row>
    <row r="1469">
      <c r="D1469" s="102" t="n"/>
      <c r="E1469" s="102" t="n"/>
      <c r="F1469" s="102" t="n"/>
      <c r="G1469" s="102" t="n"/>
      <c r="H1469" s="102" t="n"/>
      <c r="I1469" s="102" t="n"/>
      <c r="J1469" s="102" t="n"/>
      <c r="K1469" s="102" t="n"/>
      <c r="L1469" s="102" t="n"/>
      <c r="M1469" s="102" t="n"/>
      <c r="N1469" s="102" t="n"/>
      <c r="O1469" s="102" t="n"/>
      <c r="P1469" s="102" t="n"/>
      <c r="Q1469" s="102" t="n"/>
      <c r="R1469" s="102" t="n"/>
      <c r="S1469" s="102" t="n"/>
      <c r="T1469" s="102" t="n"/>
      <c r="U1469" s="102" t="n"/>
      <c r="V1469" s="102" t="n"/>
      <c r="W1469" s="102" t="n"/>
      <c r="X1469" s="102" t="n"/>
      <c r="Y1469" s="102" t="n"/>
      <c r="Z1469" s="102" t="n"/>
      <c r="AA1469" s="102" t="n"/>
      <c r="AB1469" s="102" t="n"/>
      <c r="AC1469" s="102" t="n"/>
      <c r="AD1469" s="102" t="n"/>
      <c r="AE1469" s="102" t="n"/>
      <c r="AF1469" s="102" t="n"/>
      <c r="AG1469" s="102" t="n"/>
      <c r="AH1469" s="102" t="n"/>
      <c r="AI1469" s="102" t="n"/>
      <c r="AJ1469" s="102" t="n"/>
      <c r="AK1469" s="102" t="n"/>
      <c r="AL1469" s="102" t="n"/>
      <c r="AM1469" s="102" t="n"/>
      <c r="AN1469" s="102" t="n"/>
      <c r="AO1469" s="102" t="n"/>
      <c r="AP1469" s="102" t="n"/>
      <c r="AQ1469" s="102" t="n"/>
      <c r="AR1469" s="102" t="n"/>
    </row>
    <row r="1470">
      <c r="D1470" s="102" t="n"/>
      <c r="E1470" s="102" t="n"/>
      <c r="F1470" s="102" t="n"/>
      <c r="G1470" s="102" t="n"/>
      <c r="H1470" s="102" t="n"/>
      <c r="I1470" s="102" t="n"/>
      <c r="J1470" s="102" t="n"/>
      <c r="K1470" s="102" t="n"/>
      <c r="L1470" s="102" t="n"/>
      <c r="M1470" s="102" t="n"/>
      <c r="N1470" s="102" t="n"/>
      <c r="O1470" s="102" t="n"/>
      <c r="P1470" s="102" t="n"/>
      <c r="Q1470" s="102" t="n"/>
      <c r="R1470" s="102" t="n"/>
      <c r="S1470" s="102" t="n"/>
      <c r="T1470" s="102" t="n"/>
      <c r="U1470" s="102" t="n"/>
      <c r="V1470" s="102" t="n"/>
      <c r="W1470" s="102" t="n"/>
      <c r="X1470" s="102" t="n"/>
      <c r="Y1470" s="102" t="n"/>
      <c r="Z1470" s="102" t="n"/>
      <c r="AA1470" s="102" t="n"/>
      <c r="AB1470" s="102" t="n"/>
      <c r="AC1470" s="102" t="n"/>
      <c r="AD1470" s="102" t="n"/>
      <c r="AE1470" s="102" t="n"/>
      <c r="AF1470" s="102" t="n"/>
      <c r="AG1470" s="102" t="n"/>
      <c r="AH1470" s="102" t="n"/>
      <c r="AI1470" s="102" t="n"/>
      <c r="AJ1470" s="102" t="n"/>
      <c r="AK1470" s="102" t="n"/>
      <c r="AL1470" s="102" t="n"/>
      <c r="AM1470" s="102" t="n"/>
      <c r="AN1470" s="102" t="n"/>
      <c r="AO1470" s="102" t="n"/>
      <c r="AP1470" s="102" t="n"/>
      <c r="AQ1470" s="102" t="n"/>
      <c r="AR1470" s="102" t="n"/>
    </row>
    <row r="1471">
      <c r="D1471" s="103" t="n"/>
      <c r="E1471" s="103" t="n"/>
      <c r="F1471" s="103" t="n"/>
      <c r="G1471" s="103" t="n"/>
      <c r="H1471" s="103" t="n"/>
      <c r="I1471" s="103" t="n"/>
      <c r="J1471" s="103" t="n"/>
      <c r="K1471" s="103" t="n"/>
      <c r="L1471" s="103" t="n"/>
      <c r="M1471" s="103" t="n"/>
      <c r="N1471" s="103" t="n"/>
      <c r="O1471" s="103" t="n"/>
      <c r="P1471" s="103" t="n"/>
      <c r="Q1471" s="103" t="n"/>
      <c r="R1471" s="103" t="n"/>
      <c r="S1471" s="103" t="n"/>
      <c r="T1471" s="103" t="n"/>
      <c r="U1471" s="103" t="n"/>
      <c r="V1471" s="103" t="n"/>
      <c r="W1471" s="103" t="n"/>
      <c r="X1471" s="103" t="n"/>
      <c r="Y1471" s="103" t="n"/>
      <c r="Z1471" s="103" t="n"/>
      <c r="AA1471" s="103" t="n"/>
      <c r="AB1471" s="103" t="n"/>
      <c r="AC1471" s="103" t="n"/>
      <c r="AD1471" s="103" t="n"/>
      <c r="AE1471" s="103" t="n"/>
      <c r="AF1471" s="103" t="n"/>
      <c r="AG1471" s="103" t="n"/>
      <c r="AH1471" s="103" t="n"/>
      <c r="AI1471" s="103" t="n"/>
      <c r="AJ1471" s="103" t="n"/>
      <c r="AK1471" s="103" t="n"/>
      <c r="AL1471" s="103" t="n"/>
      <c r="AM1471" s="103" t="n"/>
      <c r="AN1471" s="103" t="n"/>
      <c r="AO1471" s="103" t="n"/>
      <c r="AP1471" s="103" t="n"/>
      <c r="AQ1471" s="103" t="n"/>
      <c r="AR1471" s="103" t="n"/>
    </row>
    <row r="1474">
      <c r="A1474" s="2">
        <f>IF($A1467="","","   projections")</f>
        <v/>
      </c>
      <c r="B1474" s="99">
        <f>IF($A1467="",0,COUNT($E1475:$AR1475))</f>
        <v/>
      </c>
      <c r="C1474" s="100">
        <f>IF($B1474=0,0,MAX($E1475:$AR1475))</f>
        <v/>
      </c>
      <c r="D1474" s="101">
        <f>BDS($A1467,FLD_PROJ,"headers=y","startcol=1","endcol=3","dir=h")</f>
        <v/>
      </c>
      <c r="E1474" s="102" t="n"/>
      <c r="F1474" s="102" t="n"/>
      <c r="G1474" s="102" t="n"/>
      <c r="H1474" s="102" t="n"/>
      <c r="I1474" s="102" t="n"/>
      <c r="J1474" s="102" t="n"/>
      <c r="K1474" s="102" t="n"/>
      <c r="L1474" s="102" t="n"/>
      <c r="M1474" s="102" t="n"/>
      <c r="N1474" s="102" t="n"/>
      <c r="O1474" s="102" t="n"/>
      <c r="P1474" s="102" t="n"/>
      <c r="Q1474" s="102" t="n"/>
      <c r="R1474" s="102" t="n"/>
      <c r="S1474" s="102" t="n"/>
      <c r="T1474" s="102" t="n"/>
      <c r="U1474" s="102" t="n"/>
      <c r="V1474" s="102" t="n"/>
      <c r="W1474" s="102" t="n"/>
      <c r="X1474" s="102" t="n"/>
      <c r="Y1474" s="102" t="n"/>
      <c r="Z1474" s="102" t="n"/>
      <c r="AA1474" s="102" t="n"/>
      <c r="AB1474" s="102" t="n"/>
      <c r="AC1474" s="102" t="n"/>
      <c r="AD1474" s="102" t="n"/>
      <c r="AE1474" s="102" t="n"/>
      <c r="AF1474" s="102" t="n"/>
      <c r="AG1474" s="102" t="n"/>
      <c r="AH1474" s="102" t="n"/>
      <c r="AI1474" s="102" t="n"/>
      <c r="AJ1474" s="102" t="n"/>
      <c r="AK1474" s="102" t="n"/>
      <c r="AL1474" s="102" t="n"/>
      <c r="AM1474" s="102" t="n"/>
      <c r="AN1474" s="102" t="n"/>
      <c r="AO1474" s="102" t="n"/>
      <c r="AP1474" s="102" t="n"/>
      <c r="AQ1474" s="102" t="n"/>
      <c r="AR1474" s="102" t="n"/>
    </row>
    <row r="1475">
      <c r="D1475" s="102" t="n"/>
      <c r="E1475" s="102" t="n"/>
      <c r="F1475" s="102" t="n"/>
      <c r="G1475" s="102" t="n"/>
      <c r="H1475" s="102" t="n"/>
      <c r="I1475" s="102" t="n"/>
      <c r="J1475" s="102" t="n"/>
      <c r="K1475" s="102" t="n"/>
      <c r="L1475" s="102" t="n"/>
      <c r="M1475" s="102" t="n"/>
      <c r="N1475" s="102" t="n"/>
      <c r="O1475" s="102" t="n"/>
      <c r="P1475" s="102" t="n"/>
      <c r="Q1475" s="102" t="n"/>
      <c r="R1475" s="102" t="n"/>
      <c r="S1475" s="102" t="n"/>
      <c r="T1475" s="102" t="n"/>
      <c r="U1475" s="102" t="n"/>
      <c r="V1475" s="102" t="n"/>
      <c r="W1475" s="102" t="n"/>
      <c r="X1475" s="102" t="n"/>
      <c r="Y1475" s="102" t="n"/>
      <c r="Z1475" s="102" t="n"/>
      <c r="AA1475" s="102" t="n"/>
      <c r="AB1475" s="102" t="n"/>
      <c r="AC1475" s="102" t="n"/>
      <c r="AD1475" s="102" t="n"/>
      <c r="AE1475" s="102" t="n"/>
      <c r="AF1475" s="102" t="n"/>
      <c r="AG1475" s="102" t="n"/>
      <c r="AH1475" s="102" t="n"/>
      <c r="AI1475" s="102" t="n"/>
      <c r="AJ1475" s="102" t="n"/>
      <c r="AK1475" s="102" t="n"/>
      <c r="AL1475" s="102" t="n"/>
      <c r="AM1475" s="102" t="n"/>
      <c r="AN1475" s="102" t="n"/>
      <c r="AO1475" s="102" t="n"/>
      <c r="AP1475" s="102" t="n"/>
      <c r="AQ1475" s="102" t="n"/>
      <c r="AR1475" s="102" t="n"/>
    </row>
    <row r="1476">
      <c r="D1476" s="103" t="n"/>
      <c r="E1476" s="103" t="n"/>
      <c r="F1476" s="103" t="n"/>
      <c r="G1476" s="103" t="n"/>
      <c r="H1476" s="103" t="n"/>
      <c r="I1476" s="103" t="n"/>
      <c r="J1476" s="103" t="n"/>
      <c r="K1476" s="103" t="n"/>
      <c r="L1476" s="103" t="n"/>
      <c r="M1476" s="103" t="n"/>
      <c r="N1476" s="103" t="n"/>
      <c r="O1476" s="103" t="n"/>
      <c r="P1476" s="103" t="n"/>
      <c r="Q1476" s="103" t="n"/>
      <c r="R1476" s="103" t="n"/>
      <c r="S1476" s="103" t="n"/>
      <c r="T1476" s="103" t="n"/>
      <c r="U1476" s="103" t="n"/>
      <c r="V1476" s="103" t="n"/>
      <c r="W1476" s="103" t="n"/>
      <c r="X1476" s="103" t="n"/>
      <c r="Y1476" s="103" t="n"/>
      <c r="Z1476" s="103" t="n"/>
      <c r="AA1476" s="103" t="n"/>
      <c r="AB1476" s="103" t="n"/>
      <c r="AC1476" s="103" t="n"/>
      <c r="AD1476" s="103" t="n"/>
      <c r="AE1476" s="103" t="n"/>
      <c r="AF1476" s="103" t="n"/>
      <c r="AG1476" s="103" t="n"/>
      <c r="AH1476" s="103" t="n"/>
      <c r="AI1476" s="103" t="n"/>
      <c r="AJ1476" s="103" t="n"/>
      <c r="AK1476" s="103" t="n"/>
      <c r="AL1476" s="103" t="n"/>
      <c r="AM1476" s="103" t="n"/>
      <c r="AN1476" s="103" t="n"/>
      <c r="AO1476" s="103" t="n"/>
      <c r="AP1476" s="103" t="n"/>
      <c r="AQ1476" s="103" t="n"/>
      <c r="AR1476" s="103" t="n"/>
    </row>
    <row r="1478">
      <c r="A1478" s="8">
        <f>IF(HSTECH!$C$40="","",HSTECH!$C$40)</f>
        <v/>
      </c>
      <c r="B1478" s="99">
        <f>IF($A1478="",0,COUNT($E1479:$AR1479))</f>
        <v/>
      </c>
      <c r="C1478" s="100">
        <f>IF($B1478=0,0,MAX($E1479:$AR1479))</f>
        <v/>
      </c>
      <c r="D1478" s="101">
        <f>BDS($A1478,FLD_HIST,"headers=y","startcol=1","endcol=7","dir=h","DVD_START_DT",HIST_FROM,"DVD_END_DT",HIST_TO)</f>
        <v/>
      </c>
      <c r="E1478" s="102" t="n"/>
      <c r="F1478" s="102" t="n"/>
      <c r="G1478" s="102" t="n"/>
      <c r="H1478" s="102" t="n"/>
      <c r="I1478" s="102" t="n"/>
      <c r="J1478" s="102" t="n"/>
      <c r="K1478" s="102" t="n"/>
      <c r="L1478" s="102" t="n"/>
      <c r="M1478" s="102" t="n"/>
      <c r="N1478" s="102" t="n"/>
      <c r="O1478" s="102" t="n"/>
      <c r="P1478" s="102" t="n"/>
      <c r="Q1478" s="102" t="n"/>
      <c r="R1478" s="102" t="n"/>
      <c r="S1478" s="102" t="n"/>
      <c r="T1478" s="102" t="n"/>
      <c r="U1478" s="102" t="n"/>
      <c r="V1478" s="102" t="n"/>
      <c r="W1478" s="102" t="n"/>
      <c r="X1478" s="102" t="n"/>
      <c r="Y1478" s="102" t="n"/>
      <c r="Z1478" s="102" t="n"/>
      <c r="AA1478" s="102" t="n"/>
      <c r="AB1478" s="102" t="n"/>
      <c r="AC1478" s="102" t="n"/>
      <c r="AD1478" s="102" t="n"/>
      <c r="AE1478" s="102" t="n"/>
      <c r="AF1478" s="102" t="n"/>
      <c r="AG1478" s="102" t="n"/>
      <c r="AH1478" s="102" t="n"/>
      <c r="AI1478" s="102" t="n"/>
      <c r="AJ1478" s="102" t="n"/>
      <c r="AK1478" s="102" t="n"/>
      <c r="AL1478" s="102" t="n"/>
      <c r="AM1478" s="102" t="n"/>
      <c r="AN1478" s="102" t="n"/>
      <c r="AO1478" s="102" t="n"/>
      <c r="AP1478" s="102" t="n"/>
      <c r="AQ1478" s="102" t="n"/>
      <c r="AR1478" s="102" t="n"/>
    </row>
    <row r="1479">
      <c r="D1479" s="102" t="n"/>
      <c r="E1479" s="102" t="n"/>
      <c r="F1479" s="102" t="n"/>
      <c r="G1479" s="102" t="n"/>
      <c r="H1479" s="102" t="n"/>
      <c r="I1479" s="102" t="n"/>
      <c r="J1479" s="102" t="n"/>
      <c r="K1479" s="102" t="n"/>
      <c r="L1479" s="102" t="n"/>
      <c r="M1479" s="102" t="n"/>
      <c r="N1479" s="102" t="n"/>
      <c r="O1479" s="102" t="n"/>
      <c r="P1479" s="102" t="n"/>
      <c r="Q1479" s="102" t="n"/>
      <c r="R1479" s="102" t="n"/>
      <c r="S1479" s="102" t="n"/>
      <c r="T1479" s="102" t="n"/>
      <c r="U1479" s="102" t="n"/>
      <c r="V1479" s="102" t="n"/>
      <c r="W1479" s="102" t="n"/>
      <c r="X1479" s="102" t="n"/>
      <c r="Y1479" s="102" t="n"/>
      <c r="Z1479" s="102" t="n"/>
      <c r="AA1479" s="102" t="n"/>
      <c r="AB1479" s="102" t="n"/>
      <c r="AC1479" s="102" t="n"/>
      <c r="AD1479" s="102" t="n"/>
      <c r="AE1479" s="102" t="n"/>
      <c r="AF1479" s="102" t="n"/>
      <c r="AG1479" s="102" t="n"/>
      <c r="AH1479" s="102" t="n"/>
      <c r="AI1479" s="102" t="n"/>
      <c r="AJ1479" s="102" t="n"/>
      <c r="AK1479" s="102" t="n"/>
      <c r="AL1479" s="102" t="n"/>
      <c r="AM1479" s="102" t="n"/>
      <c r="AN1479" s="102" t="n"/>
      <c r="AO1479" s="102" t="n"/>
      <c r="AP1479" s="102" t="n"/>
      <c r="AQ1479" s="102" t="n"/>
      <c r="AR1479" s="102" t="n"/>
    </row>
    <row r="1480">
      <c r="D1480" s="102" t="n"/>
      <c r="E1480" s="102" t="n"/>
      <c r="F1480" s="102" t="n"/>
      <c r="G1480" s="102" t="n"/>
      <c r="H1480" s="102" t="n"/>
      <c r="I1480" s="102" t="n"/>
      <c r="J1480" s="102" t="n"/>
      <c r="K1480" s="102" t="n"/>
      <c r="L1480" s="102" t="n"/>
      <c r="M1480" s="102" t="n"/>
      <c r="N1480" s="102" t="n"/>
      <c r="O1480" s="102" t="n"/>
      <c r="P1480" s="102" t="n"/>
      <c r="Q1480" s="102" t="n"/>
      <c r="R1480" s="102" t="n"/>
      <c r="S1480" s="102" t="n"/>
      <c r="T1480" s="102" t="n"/>
      <c r="U1480" s="102" t="n"/>
      <c r="V1480" s="102" t="n"/>
      <c r="W1480" s="102" t="n"/>
      <c r="X1480" s="102" t="n"/>
      <c r="Y1480" s="102" t="n"/>
      <c r="Z1480" s="102" t="n"/>
      <c r="AA1480" s="102" t="n"/>
      <c r="AB1480" s="102" t="n"/>
      <c r="AC1480" s="102" t="n"/>
      <c r="AD1480" s="102" t="n"/>
      <c r="AE1480" s="102" t="n"/>
      <c r="AF1480" s="102" t="n"/>
      <c r="AG1480" s="102" t="n"/>
      <c r="AH1480" s="102" t="n"/>
      <c r="AI1480" s="102" t="n"/>
      <c r="AJ1480" s="102" t="n"/>
      <c r="AK1480" s="102" t="n"/>
      <c r="AL1480" s="102" t="n"/>
      <c r="AM1480" s="102" t="n"/>
      <c r="AN1480" s="102" t="n"/>
      <c r="AO1480" s="102" t="n"/>
      <c r="AP1480" s="102" t="n"/>
      <c r="AQ1480" s="102" t="n"/>
      <c r="AR1480" s="102" t="n"/>
    </row>
    <row r="1481">
      <c r="D1481" s="102" t="n"/>
      <c r="E1481" s="102" t="n"/>
      <c r="F1481" s="102" t="n"/>
      <c r="G1481" s="102" t="n"/>
      <c r="H1481" s="102" t="n"/>
      <c r="I1481" s="102" t="n"/>
      <c r="J1481" s="102" t="n"/>
      <c r="K1481" s="102" t="n"/>
      <c r="L1481" s="102" t="n"/>
      <c r="M1481" s="102" t="n"/>
      <c r="N1481" s="102" t="n"/>
      <c r="O1481" s="102" t="n"/>
      <c r="P1481" s="102" t="n"/>
      <c r="Q1481" s="102" t="n"/>
      <c r="R1481" s="102" t="n"/>
      <c r="S1481" s="102" t="n"/>
      <c r="T1481" s="102" t="n"/>
      <c r="U1481" s="102" t="n"/>
      <c r="V1481" s="102" t="n"/>
      <c r="W1481" s="102" t="n"/>
      <c r="X1481" s="102" t="n"/>
      <c r="Y1481" s="102" t="n"/>
      <c r="Z1481" s="102" t="n"/>
      <c r="AA1481" s="102" t="n"/>
      <c r="AB1481" s="102" t="n"/>
      <c r="AC1481" s="102" t="n"/>
      <c r="AD1481" s="102" t="n"/>
      <c r="AE1481" s="102" t="n"/>
      <c r="AF1481" s="102" t="n"/>
      <c r="AG1481" s="102" t="n"/>
      <c r="AH1481" s="102" t="n"/>
      <c r="AI1481" s="102" t="n"/>
      <c r="AJ1481" s="102" t="n"/>
      <c r="AK1481" s="102" t="n"/>
      <c r="AL1481" s="102" t="n"/>
      <c r="AM1481" s="102" t="n"/>
      <c r="AN1481" s="102" t="n"/>
      <c r="AO1481" s="102" t="n"/>
      <c r="AP1481" s="102" t="n"/>
      <c r="AQ1481" s="102" t="n"/>
      <c r="AR1481" s="102" t="n"/>
    </row>
    <row r="1482">
      <c r="D1482" s="103" t="n"/>
      <c r="E1482" s="103" t="n"/>
      <c r="F1482" s="103" t="n"/>
      <c r="G1482" s="103" t="n"/>
      <c r="H1482" s="103" t="n"/>
      <c r="I1482" s="103" t="n"/>
      <c r="J1482" s="103" t="n"/>
      <c r="K1482" s="103" t="n"/>
      <c r="L1482" s="103" t="n"/>
      <c r="M1482" s="103" t="n"/>
      <c r="N1482" s="103" t="n"/>
      <c r="O1482" s="103" t="n"/>
      <c r="P1482" s="103" t="n"/>
      <c r="Q1482" s="103" t="n"/>
      <c r="R1482" s="103" t="n"/>
      <c r="S1482" s="103" t="n"/>
      <c r="T1482" s="103" t="n"/>
      <c r="U1482" s="103" t="n"/>
      <c r="V1482" s="103" t="n"/>
      <c r="W1482" s="103" t="n"/>
      <c r="X1482" s="103" t="n"/>
      <c r="Y1482" s="103" t="n"/>
      <c r="Z1482" s="103" t="n"/>
      <c r="AA1482" s="103" t="n"/>
      <c r="AB1482" s="103" t="n"/>
      <c r="AC1482" s="103" t="n"/>
      <c r="AD1482" s="103" t="n"/>
      <c r="AE1482" s="103" t="n"/>
      <c r="AF1482" s="103" t="n"/>
      <c r="AG1482" s="103" t="n"/>
      <c r="AH1482" s="103" t="n"/>
      <c r="AI1482" s="103" t="n"/>
      <c r="AJ1482" s="103" t="n"/>
      <c r="AK1482" s="103" t="n"/>
      <c r="AL1482" s="103" t="n"/>
      <c r="AM1482" s="103" t="n"/>
      <c r="AN1482" s="103" t="n"/>
      <c r="AO1482" s="103" t="n"/>
      <c r="AP1482" s="103" t="n"/>
      <c r="AQ1482" s="103" t="n"/>
      <c r="AR1482" s="103" t="n"/>
    </row>
    <row r="1485">
      <c r="A1485" s="2">
        <f>IF($A1478="","","   projections")</f>
        <v/>
      </c>
      <c r="B1485" s="99">
        <f>IF($A1478="",0,COUNT($E1486:$AR1486))</f>
        <v/>
      </c>
      <c r="C1485" s="100">
        <f>IF($B1485=0,0,MAX($E1486:$AR1486))</f>
        <v/>
      </c>
      <c r="D1485" s="101">
        <f>BDS($A1478,FLD_PROJ,"headers=y","startcol=1","endcol=3","dir=h")</f>
        <v/>
      </c>
      <c r="E1485" s="102" t="n"/>
      <c r="F1485" s="102" t="n"/>
      <c r="G1485" s="102" t="n"/>
      <c r="H1485" s="102" t="n"/>
      <c r="I1485" s="102" t="n"/>
      <c r="J1485" s="102" t="n"/>
      <c r="K1485" s="102" t="n"/>
      <c r="L1485" s="102" t="n"/>
      <c r="M1485" s="102" t="n"/>
      <c r="N1485" s="102" t="n"/>
      <c r="O1485" s="102" t="n"/>
      <c r="P1485" s="102" t="n"/>
      <c r="Q1485" s="102" t="n"/>
      <c r="R1485" s="102" t="n"/>
      <c r="S1485" s="102" t="n"/>
      <c r="T1485" s="102" t="n"/>
      <c r="U1485" s="102" t="n"/>
      <c r="V1485" s="102" t="n"/>
      <c r="W1485" s="102" t="n"/>
      <c r="X1485" s="102" t="n"/>
      <c r="Y1485" s="102" t="n"/>
      <c r="Z1485" s="102" t="n"/>
      <c r="AA1485" s="102" t="n"/>
      <c r="AB1485" s="102" t="n"/>
      <c r="AC1485" s="102" t="n"/>
      <c r="AD1485" s="102" t="n"/>
      <c r="AE1485" s="102" t="n"/>
      <c r="AF1485" s="102" t="n"/>
      <c r="AG1485" s="102" t="n"/>
      <c r="AH1485" s="102" t="n"/>
      <c r="AI1485" s="102" t="n"/>
      <c r="AJ1485" s="102" t="n"/>
      <c r="AK1485" s="102" t="n"/>
      <c r="AL1485" s="102" t="n"/>
      <c r="AM1485" s="102" t="n"/>
      <c r="AN1485" s="102" t="n"/>
      <c r="AO1485" s="102" t="n"/>
      <c r="AP1485" s="102" t="n"/>
      <c r="AQ1485" s="102" t="n"/>
      <c r="AR1485" s="102" t="n"/>
    </row>
    <row r="1486">
      <c r="D1486" s="102" t="n"/>
      <c r="E1486" s="102" t="n"/>
      <c r="F1486" s="102" t="n"/>
      <c r="G1486" s="102" t="n"/>
      <c r="H1486" s="102" t="n"/>
      <c r="I1486" s="102" t="n"/>
      <c r="J1486" s="102" t="n"/>
      <c r="K1486" s="102" t="n"/>
      <c r="L1486" s="102" t="n"/>
      <c r="M1486" s="102" t="n"/>
      <c r="N1486" s="102" t="n"/>
      <c r="O1486" s="102" t="n"/>
      <c r="P1486" s="102" t="n"/>
      <c r="Q1486" s="102" t="n"/>
      <c r="R1486" s="102" t="n"/>
      <c r="S1486" s="102" t="n"/>
      <c r="T1486" s="102" t="n"/>
      <c r="U1486" s="102" t="n"/>
      <c r="V1486" s="102" t="n"/>
      <c r="W1486" s="102" t="n"/>
      <c r="X1486" s="102" t="n"/>
      <c r="Y1486" s="102" t="n"/>
      <c r="Z1486" s="102" t="n"/>
      <c r="AA1486" s="102" t="n"/>
      <c r="AB1486" s="102" t="n"/>
      <c r="AC1486" s="102" t="n"/>
      <c r="AD1486" s="102" t="n"/>
      <c r="AE1486" s="102" t="n"/>
      <c r="AF1486" s="102" t="n"/>
      <c r="AG1486" s="102" t="n"/>
      <c r="AH1486" s="102" t="n"/>
      <c r="AI1486" s="102" t="n"/>
      <c r="AJ1486" s="102" t="n"/>
      <c r="AK1486" s="102" t="n"/>
      <c r="AL1486" s="102" t="n"/>
      <c r="AM1486" s="102" t="n"/>
      <c r="AN1486" s="102" t="n"/>
      <c r="AO1486" s="102" t="n"/>
      <c r="AP1486" s="102" t="n"/>
      <c r="AQ1486" s="102" t="n"/>
      <c r="AR1486" s="102" t="n"/>
    </row>
    <row r="1487">
      <c r="D1487" s="103" t="n"/>
      <c r="E1487" s="103" t="n"/>
      <c r="F1487" s="103" t="n"/>
      <c r="G1487" s="103" t="n"/>
      <c r="H1487" s="103" t="n"/>
      <c r="I1487" s="103" t="n"/>
      <c r="J1487" s="103" t="n"/>
      <c r="K1487" s="103" t="n"/>
      <c r="L1487" s="103" t="n"/>
      <c r="M1487" s="103" t="n"/>
      <c r="N1487" s="103" t="n"/>
      <c r="O1487" s="103" t="n"/>
      <c r="P1487" s="103" t="n"/>
      <c r="Q1487" s="103" t="n"/>
      <c r="R1487" s="103" t="n"/>
      <c r="S1487" s="103" t="n"/>
      <c r="T1487" s="103" t="n"/>
      <c r="U1487" s="103" t="n"/>
      <c r="V1487" s="103" t="n"/>
      <c r="W1487" s="103" t="n"/>
      <c r="X1487" s="103" t="n"/>
      <c r="Y1487" s="103" t="n"/>
      <c r="Z1487" s="103" t="n"/>
      <c r="AA1487" s="103" t="n"/>
      <c r="AB1487" s="103" t="n"/>
      <c r="AC1487" s="103" t="n"/>
      <c r="AD1487" s="103" t="n"/>
      <c r="AE1487" s="103" t="n"/>
      <c r="AF1487" s="103" t="n"/>
      <c r="AG1487" s="103" t="n"/>
      <c r="AH1487" s="103" t="n"/>
      <c r="AI1487" s="103" t="n"/>
      <c r="AJ1487" s="103" t="n"/>
      <c r="AK1487" s="103" t="n"/>
      <c r="AL1487" s="103" t="n"/>
      <c r="AM1487" s="103" t="n"/>
      <c r="AN1487" s="103" t="n"/>
      <c r="AO1487" s="103" t="n"/>
      <c r="AP1487" s="103" t="n"/>
      <c r="AQ1487" s="103" t="n"/>
      <c r="AR1487" s="103" t="n"/>
    </row>
    <row r="1489">
      <c r="A1489" s="8">
        <f>IF(HSTECH!$C$41="","",HSTECH!$C$41)</f>
        <v/>
      </c>
      <c r="B1489" s="99">
        <f>IF($A1489="",0,COUNT($E1490:$AR1490))</f>
        <v/>
      </c>
      <c r="C1489" s="100">
        <f>IF($B1489=0,0,MAX($E1490:$AR1490))</f>
        <v/>
      </c>
      <c r="D1489" s="101">
        <f>BDS($A1489,FLD_HIST,"headers=y","startcol=1","endcol=7","dir=h","DVD_START_DT",HIST_FROM,"DVD_END_DT",HIST_TO)</f>
        <v/>
      </c>
      <c r="E1489" s="102" t="n"/>
      <c r="F1489" s="102" t="n"/>
      <c r="G1489" s="102" t="n"/>
      <c r="H1489" s="102" t="n"/>
      <c r="I1489" s="102" t="n"/>
      <c r="J1489" s="102" t="n"/>
      <c r="K1489" s="102" t="n"/>
      <c r="L1489" s="102" t="n"/>
      <c r="M1489" s="102" t="n"/>
      <c r="N1489" s="102" t="n"/>
      <c r="O1489" s="102" t="n"/>
      <c r="P1489" s="102" t="n"/>
      <c r="Q1489" s="102" t="n"/>
      <c r="R1489" s="102" t="n"/>
      <c r="S1489" s="102" t="n"/>
      <c r="T1489" s="102" t="n"/>
      <c r="U1489" s="102" t="n"/>
      <c r="V1489" s="102" t="n"/>
      <c r="W1489" s="102" t="n"/>
      <c r="X1489" s="102" t="n"/>
      <c r="Y1489" s="102" t="n"/>
      <c r="Z1489" s="102" t="n"/>
      <c r="AA1489" s="102" t="n"/>
      <c r="AB1489" s="102" t="n"/>
      <c r="AC1489" s="102" t="n"/>
      <c r="AD1489" s="102" t="n"/>
      <c r="AE1489" s="102" t="n"/>
      <c r="AF1489" s="102" t="n"/>
      <c r="AG1489" s="102" t="n"/>
      <c r="AH1489" s="102" t="n"/>
      <c r="AI1489" s="102" t="n"/>
      <c r="AJ1489" s="102" t="n"/>
      <c r="AK1489" s="102" t="n"/>
      <c r="AL1489" s="102" t="n"/>
      <c r="AM1489" s="102" t="n"/>
      <c r="AN1489" s="102" t="n"/>
      <c r="AO1489" s="102" t="n"/>
      <c r="AP1489" s="102" t="n"/>
      <c r="AQ1489" s="102" t="n"/>
      <c r="AR1489" s="102" t="n"/>
    </row>
    <row r="1490">
      <c r="D1490" s="102" t="n"/>
      <c r="E1490" s="102" t="n"/>
      <c r="F1490" s="102" t="n"/>
      <c r="G1490" s="102" t="n"/>
      <c r="H1490" s="102" t="n"/>
      <c r="I1490" s="102" t="n"/>
      <c r="J1490" s="102" t="n"/>
      <c r="K1490" s="102" t="n"/>
      <c r="L1490" s="102" t="n"/>
      <c r="M1490" s="102" t="n"/>
      <c r="N1490" s="102" t="n"/>
      <c r="O1490" s="102" t="n"/>
      <c r="P1490" s="102" t="n"/>
      <c r="Q1490" s="102" t="n"/>
      <c r="R1490" s="102" t="n"/>
      <c r="S1490" s="102" t="n"/>
      <c r="T1490" s="102" t="n"/>
      <c r="U1490" s="102" t="n"/>
      <c r="V1490" s="102" t="n"/>
      <c r="W1490" s="102" t="n"/>
      <c r="X1490" s="102" t="n"/>
      <c r="Y1490" s="102" t="n"/>
      <c r="Z1490" s="102" t="n"/>
      <c r="AA1490" s="102" t="n"/>
      <c r="AB1490" s="102" t="n"/>
      <c r="AC1490" s="102" t="n"/>
      <c r="AD1490" s="102" t="n"/>
      <c r="AE1490" s="102" t="n"/>
      <c r="AF1490" s="102" t="n"/>
      <c r="AG1490" s="102" t="n"/>
      <c r="AH1490" s="102" t="n"/>
      <c r="AI1490" s="102" t="n"/>
      <c r="AJ1490" s="102" t="n"/>
      <c r="AK1490" s="102" t="n"/>
      <c r="AL1490" s="102" t="n"/>
      <c r="AM1490" s="102" t="n"/>
      <c r="AN1490" s="102" t="n"/>
      <c r="AO1490" s="102" t="n"/>
      <c r="AP1490" s="102" t="n"/>
      <c r="AQ1490" s="102" t="n"/>
      <c r="AR1490" s="102" t="n"/>
    </row>
    <row r="1491">
      <c r="D1491" s="102" t="n"/>
      <c r="E1491" s="102" t="n"/>
      <c r="F1491" s="102" t="n"/>
      <c r="G1491" s="102" t="n"/>
      <c r="H1491" s="102" t="n"/>
      <c r="I1491" s="102" t="n"/>
      <c r="J1491" s="102" t="n"/>
      <c r="K1491" s="102" t="n"/>
      <c r="L1491" s="102" t="n"/>
      <c r="M1491" s="102" t="n"/>
      <c r="N1491" s="102" t="n"/>
      <c r="O1491" s="102" t="n"/>
      <c r="P1491" s="102" t="n"/>
      <c r="Q1491" s="102" t="n"/>
      <c r="R1491" s="102" t="n"/>
      <c r="S1491" s="102" t="n"/>
      <c r="T1491" s="102" t="n"/>
      <c r="U1491" s="102" t="n"/>
      <c r="V1491" s="102" t="n"/>
      <c r="W1491" s="102" t="n"/>
      <c r="X1491" s="102" t="n"/>
      <c r="Y1491" s="102" t="n"/>
      <c r="Z1491" s="102" t="n"/>
      <c r="AA1491" s="102" t="n"/>
      <c r="AB1491" s="102" t="n"/>
      <c r="AC1491" s="102" t="n"/>
      <c r="AD1491" s="102" t="n"/>
      <c r="AE1491" s="102" t="n"/>
      <c r="AF1491" s="102" t="n"/>
      <c r="AG1491" s="102" t="n"/>
      <c r="AH1491" s="102" t="n"/>
      <c r="AI1491" s="102" t="n"/>
      <c r="AJ1491" s="102" t="n"/>
      <c r="AK1491" s="102" t="n"/>
      <c r="AL1491" s="102" t="n"/>
      <c r="AM1491" s="102" t="n"/>
      <c r="AN1491" s="102" t="n"/>
      <c r="AO1491" s="102" t="n"/>
      <c r="AP1491" s="102" t="n"/>
      <c r="AQ1491" s="102" t="n"/>
      <c r="AR1491" s="102" t="n"/>
    </row>
    <row r="1492">
      <c r="D1492" s="102" t="n"/>
      <c r="E1492" s="102" t="n"/>
      <c r="F1492" s="102" t="n"/>
      <c r="G1492" s="102" t="n"/>
      <c r="H1492" s="102" t="n"/>
      <c r="I1492" s="102" t="n"/>
      <c r="J1492" s="102" t="n"/>
      <c r="K1492" s="102" t="n"/>
      <c r="L1492" s="102" t="n"/>
      <c r="M1492" s="102" t="n"/>
      <c r="N1492" s="102" t="n"/>
      <c r="O1492" s="102" t="n"/>
      <c r="P1492" s="102" t="n"/>
      <c r="Q1492" s="102" t="n"/>
      <c r="R1492" s="102" t="n"/>
      <c r="S1492" s="102" t="n"/>
      <c r="T1492" s="102" t="n"/>
      <c r="U1492" s="102" t="n"/>
      <c r="V1492" s="102" t="n"/>
      <c r="W1492" s="102" t="n"/>
      <c r="X1492" s="102" t="n"/>
      <c r="Y1492" s="102" t="n"/>
      <c r="Z1492" s="102" t="n"/>
      <c r="AA1492" s="102" t="n"/>
      <c r="AB1492" s="102" t="n"/>
      <c r="AC1492" s="102" t="n"/>
      <c r="AD1492" s="102" t="n"/>
      <c r="AE1492" s="102" t="n"/>
      <c r="AF1492" s="102" t="n"/>
      <c r="AG1492" s="102" t="n"/>
      <c r="AH1492" s="102" t="n"/>
      <c r="AI1492" s="102" t="n"/>
      <c r="AJ1492" s="102" t="n"/>
      <c r="AK1492" s="102" t="n"/>
      <c r="AL1492" s="102" t="n"/>
      <c r="AM1492" s="102" t="n"/>
      <c r="AN1492" s="102" t="n"/>
      <c r="AO1492" s="102" t="n"/>
      <c r="AP1492" s="102" t="n"/>
      <c r="AQ1492" s="102" t="n"/>
      <c r="AR1492" s="102" t="n"/>
    </row>
    <row r="1493">
      <c r="D1493" s="103" t="n"/>
      <c r="E1493" s="103" t="n"/>
      <c r="F1493" s="103" t="n"/>
      <c r="G1493" s="103" t="n"/>
      <c r="H1493" s="103" t="n"/>
      <c r="I1493" s="103" t="n"/>
      <c r="J1493" s="103" t="n"/>
      <c r="K1493" s="103" t="n"/>
      <c r="L1493" s="103" t="n"/>
      <c r="M1493" s="103" t="n"/>
      <c r="N1493" s="103" t="n"/>
      <c r="O1493" s="103" t="n"/>
      <c r="P1493" s="103" t="n"/>
      <c r="Q1493" s="103" t="n"/>
      <c r="R1493" s="103" t="n"/>
      <c r="S1493" s="103" t="n"/>
      <c r="T1493" s="103" t="n"/>
      <c r="U1493" s="103" t="n"/>
      <c r="V1493" s="103" t="n"/>
      <c r="W1493" s="103" t="n"/>
      <c r="X1493" s="103" t="n"/>
      <c r="Y1493" s="103" t="n"/>
      <c r="Z1493" s="103" t="n"/>
      <c r="AA1493" s="103" t="n"/>
      <c r="AB1493" s="103" t="n"/>
      <c r="AC1493" s="103" t="n"/>
      <c r="AD1493" s="103" t="n"/>
      <c r="AE1493" s="103" t="n"/>
      <c r="AF1493" s="103" t="n"/>
      <c r="AG1493" s="103" t="n"/>
      <c r="AH1493" s="103" t="n"/>
      <c r="AI1493" s="103" t="n"/>
      <c r="AJ1493" s="103" t="n"/>
      <c r="AK1493" s="103" t="n"/>
      <c r="AL1493" s="103" t="n"/>
      <c r="AM1493" s="103" t="n"/>
      <c r="AN1493" s="103" t="n"/>
      <c r="AO1493" s="103" t="n"/>
      <c r="AP1493" s="103" t="n"/>
      <c r="AQ1493" s="103" t="n"/>
      <c r="AR1493" s="103" t="n"/>
    </row>
    <row r="1496">
      <c r="A1496" s="2">
        <f>IF($A1489="","","   projections")</f>
        <v/>
      </c>
      <c r="B1496" s="99">
        <f>IF($A1489="",0,COUNT($E1497:$AR1497))</f>
        <v/>
      </c>
      <c r="C1496" s="100">
        <f>IF($B1496=0,0,MAX($E1497:$AR1497))</f>
        <v/>
      </c>
      <c r="D1496" s="101">
        <f>BDS($A1489,FLD_PROJ,"headers=y","startcol=1","endcol=3","dir=h")</f>
        <v/>
      </c>
      <c r="E1496" s="102" t="n"/>
      <c r="F1496" s="102" t="n"/>
      <c r="G1496" s="102" t="n"/>
      <c r="H1496" s="102" t="n"/>
      <c r="I1496" s="102" t="n"/>
      <c r="J1496" s="102" t="n"/>
      <c r="K1496" s="102" t="n"/>
      <c r="L1496" s="102" t="n"/>
      <c r="M1496" s="102" t="n"/>
      <c r="N1496" s="102" t="n"/>
      <c r="O1496" s="102" t="n"/>
      <c r="P1496" s="102" t="n"/>
      <c r="Q1496" s="102" t="n"/>
      <c r="R1496" s="102" t="n"/>
      <c r="S1496" s="102" t="n"/>
      <c r="T1496" s="102" t="n"/>
      <c r="U1496" s="102" t="n"/>
      <c r="V1496" s="102" t="n"/>
      <c r="W1496" s="102" t="n"/>
      <c r="X1496" s="102" t="n"/>
      <c r="Y1496" s="102" t="n"/>
      <c r="Z1496" s="102" t="n"/>
      <c r="AA1496" s="102" t="n"/>
      <c r="AB1496" s="102" t="n"/>
      <c r="AC1496" s="102" t="n"/>
      <c r="AD1496" s="102" t="n"/>
      <c r="AE1496" s="102" t="n"/>
      <c r="AF1496" s="102" t="n"/>
      <c r="AG1496" s="102" t="n"/>
      <c r="AH1496" s="102" t="n"/>
      <c r="AI1496" s="102" t="n"/>
      <c r="AJ1496" s="102" t="n"/>
      <c r="AK1496" s="102" t="n"/>
      <c r="AL1496" s="102" t="n"/>
      <c r="AM1496" s="102" t="n"/>
      <c r="AN1496" s="102" t="n"/>
      <c r="AO1496" s="102" t="n"/>
      <c r="AP1496" s="102" t="n"/>
      <c r="AQ1496" s="102" t="n"/>
      <c r="AR1496" s="102" t="n"/>
    </row>
    <row r="1497">
      <c r="D1497" s="102" t="n"/>
      <c r="E1497" s="102" t="n"/>
      <c r="F1497" s="102" t="n"/>
      <c r="G1497" s="102" t="n"/>
      <c r="H1497" s="102" t="n"/>
      <c r="I1497" s="102" t="n"/>
      <c r="J1497" s="102" t="n"/>
      <c r="K1497" s="102" t="n"/>
      <c r="L1497" s="102" t="n"/>
      <c r="M1497" s="102" t="n"/>
      <c r="N1497" s="102" t="n"/>
      <c r="O1497" s="102" t="n"/>
      <c r="P1497" s="102" t="n"/>
      <c r="Q1497" s="102" t="n"/>
      <c r="R1497" s="102" t="n"/>
      <c r="S1497" s="102" t="n"/>
      <c r="T1497" s="102" t="n"/>
      <c r="U1497" s="102" t="n"/>
      <c r="V1497" s="102" t="n"/>
      <c r="W1497" s="102" t="n"/>
      <c r="X1497" s="102" t="n"/>
      <c r="Y1497" s="102" t="n"/>
      <c r="Z1497" s="102" t="n"/>
      <c r="AA1497" s="102" t="n"/>
      <c r="AB1497" s="102" t="n"/>
      <c r="AC1497" s="102" t="n"/>
      <c r="AD1497" s="102" t="n"/>
      <c r="AE1497" s="102" t="n"/>
      <c r="AF1497" s="102" t="n"/>
      <c r="AG1497" s="102" t="n"/>
      <c r="AH1497" s="102" t="n"/>
      <c r="AI1497" s="102" t="n"/>
      <c r="AJ1497" s="102" t="n"/>
      <c r="AK1497" s="102" t="n"/>
      <c r="AL1497" s="102" t="n"/>
      <c r="AM1497" s="102" t="n"/>
      <c r="AN1497" s="102" t="n"/>
      <c r="AO1497" s="102" t="n"/>
      <c r="AP1497" s="102" t="n"/>
      <c r="AQ1497" s="102" t="n"/>
      <c r="AR1497" s="102" t="n"/>
    </row>
    <row r="1498">
      <c r="D1498" s="103" t="n"/>
      <c r="E1498" s="103" t="n"/>
      <c r="F1498" s="103" t="n"/>
      <c r="G1498" s="103" t="n"/>
      <c r="H1498" s="103" t="n"/>
      <c r="I1498" s="103" t="n"/>
      <c r="J1498" s="103" t="n"/>
      <c r="K1498" s="103" t="n"/>
      <c r="L1498" s="103" t="n"/>
      <c r="M1498" s="103" t="n"/>
      <c r="N1498" s="103" t="n"/>
      <c r="O1498" s="103" t="n"/>
      <c r="P1498" s="103" t="n"/>
      <c r="Q1498" s="103" t="n"/>
      <c r="R1498" s="103" t="n"/>
      <c r="S1498" s="103" t="n"/>
      <c r="T1498" s="103" t="n"/>
      <c r="U1498" s="103" t="n"/>
      <c r="V1498" s="103" t="n"/>
      <c r="W1498" s="103" t="n"/>
      <c r="X1498" s="103" t="n"/>
      <c r="Y1498" s="103" t="n"/>
      <c r="Z1498" s="103" t="n"/>
      <c r="AA1498" s="103" t="n"/>
      <c r="AB1498" s="103" t="n"/>
      <c r="AC1498" s="103" t="n"/>
      <c r="AD1498" s="103" t="n"/>
      <c r="AE1498" s="103" t="n"/>
      <c r="AF1498" s="103" t="n"/>
      <c r="AG1498" s="103" t="n"/>
      <c r="AH1498" s="103" t="n"/>
      <c r="AI1498" s="103" t="n"/>
      <c r="AJ1498" s="103" t="n"/>
      <c r="AK1498" s="103" t="n"/>
      <c r="AL1498" s="103" t="n"/>
      <c r="AM1498" s="103" t="n"/>
      <c r="AN1498" s="103" t="n"/>
      <c r="AO1498" s="103" t="n"/>
      <c r="AP1498" s="103" t="n"/>
      <c r="AQ1498" s="103" t="n"/>
      <c r="AR1498" s="103" t="n"/>
    </row>
    <row r="1500">
      <c r="A1500" s="8">
        <f>IF(HSTECH!$C$42="","",HSTECH!$C$42)</f>
        <v/>
      </c>
      <c r="B1500" s="99">
        <f>IF($A1500="",0,COUNT($E1501:$AR1501))</f>
        <v/>
      </c>
      <c r="C1500" s="100">
        <f>IF($B1500=0,0,MAX($E1501:$AR1501))</f>
        <v/>
      </c>
      <c r="D1500" s="101">
        <f>BDS($A1500,FLD_HIST,"headers=y","startcol=1","endcol=7","dir=h","DVD_START_DT",HIST_FROM,"DVD_END_DT",HIST_TO)</f>
        <v/>
      </c>
      <c r="E1500" s="102" t="n"/>
      <c r="F1500" s="102" t="n"/>
      <c r="G1500" s="102" t="n"/>
      <c r="H1500" s="102" t="n"/>
      <c r="I1500" s="102" t="n"/>
      <c r="J1500" s="102" t="n"/>
      <c r="K1500" s="102" t="n"/>
      <c r="L1500" s="102" t="n"/>
      <c r="M1500" s="102" t="n"/>
      <c r="N1500" s="102" t="n"/>
      <c r="O1500" s="102" t="n"/>
      <c r="P1500" s="102" t="n"/>
      <c r="Q1500" s="102" t="n"/>
      <c r="R1500" s="102" t="n"/>
      <c r="S1500" s="102" t="n"/>
      <c r="T1500" s="102" t="n"/>
      <c r="U1500" s="102" t="n"/>
      <c r="V1500" s="102" t="n"/>
      <c r="W1500" s="102" t="n"/>
      <c r="X1500" s="102" t="n"/>
      <c r="Y1500" s="102" t="n"/>
      <c r="Z1500" s="102" t="n"/>
      <c r="AA1500" s="102" t="n"/>
      <c r="AB1500" s="102" t="n"/>
      <c r="AC1500" s="102" t="n"/>
      <c r="AD1500" s="102" t="n"/>
      <c r="AE1500" s="102" t="n"/>
      <c r="AF1500" s="102" t="n"/>
      <c r="AG1500" s="102" t="n"/>
      <c r="AH1500" s="102" t="n"/>
      <c r="AI1500" s="102" t="n"/>
      <c r="AJ1500" s="102" t="n"/>
      <c r="AK1500" s="102" t="n"/>
      <c r="AL1500" s="102" t="n"/>
      <c r="AM1500" s="102" t="n"/>
      <c r="AN1500" s="102" t="n"/>
      <c r="AO1500" s="102" t="n"/>
      <c r="AP1500" s="102" t="n"/>
      <c r="AQ1500" s="102" t="n"/>
      <c r="AR1500" s="102" t="n"/>
    </row>
    <row r="1501">
      <c r="D1501" s="102" t="n"/>
      <c r="E1501" s="102" t="n"/>
      <c r="F1501" s="102" t="n"/>
      <c r="G1501" s="102" t="n"/>
      <c r="H1501" s="102" t="n"/>
      <c r="I1501" s="102" t="n"/>
      <c r="J1501" s="102" t="n"/>
      <c r="K1501" s="102" t="n"/>
      <c r="L1501" s="102" t="n"/>
      <c r="M1501" s="102" t="n"/>
      <c r="N1501" s="102" t="n"/>
      <c r="O1501" s="102" t="n"/>
      <c r="P1501" s="102" t="n"/>
      <c r="Q1501" s="102" t="n"/>
      <c r="R1501" s="102" t="n"/>
      <c r="S1501" s="102" t="n"/>
      <c r="T1501" s="102" t="n"/>
      <c r="U1501" s="102" t="n"/>
      <c r="V1501" s="102" t="n"/>
      <c r="W1501" s="102" t="n"/>
      <c r="X1501" s="102" t="n"/>
      <c r="Y1501" s="102" t="n"/>
      <c r="Z1501" s="102" t="n"/>
      <c r="AA1501" s="102" t="n"/>
      <c r="AB1501" s="102" t="n"/>
      <c r="AC1501" s="102" t="n"/>
      <c r="AD1501" s="102" t="n"/>
      <c r="AE1501" s="102" t="n"/>
      <c r="AF1501" s="102" t="n"/>
      <c r="AG1501" s="102" t="n"/>
      <c r="AH1501" s="102" t="n"/>
      <c r="AI1501" s="102" t="n"/>
      <c r="AJ1501" s="102" t="n"/>
      <c r="AK1501" s="102" t="n"/>
      <c r="AL1501" s="102" t="n"/>
      <c r="AM1501" s="102" t="n"/>
      <c r="AN1501" s="102" t="n"/>
      <c r="AO1501" s="102" t="n"/>
      <c r="AP1501" s="102" t="n"/>
      <c r="AQ1501" s="102" t="n"/>
      <c r="AR1501" s="102" t="n"/>
    </row>
    <row r="1502">
      <c r="D1502" s="102" t="n"/>
      <c r="E1502" s="102" t="n"/>
      <c r="F1502" s="102" t="n"/>
      <c r="G1502" s="102" t="n"/>
      <c r="H1502" s="102" t="n"/>
      <c r="I1502" s="102" t="n"/>
      <c r="J1502" s="102" t="n"/>
      <c r="K1502" s="102" t="n"/>
      <c r="L1502" s="102" t="n"/>
      <c r="M1502" s="102" t="n"/>
      <c r="N1502" s="102" t="n"/>
      <c r="O1502" s="102" t="n"/>
      <c r="P1502" s="102" t="n"/>
      <c r="Q1502" s="102" t="n"/>
      <c r="R1502" s="102" t="n"/>
      <c r="S1502" s="102" t="n"/>
      <c r="T1502" s="102" t="n"/>
      <c r="U1502" s="102" t="n"/>
      <c r="V1502" s="102" t="n"/>
      <c r="W1502" s="102" t="n"/>
      <c r="X1502" s="102" t="n"/>
      <c r="Y1502" s="102" t="n"/>
      <c r="Z1502" s="102" t="n"/>
      <c r="AA1502" s="102" t="n"/>
      <c r="AB1502" s="102" t="n"/>
      <c r="AC1502" s="102" t="n"/>
      <c r="AD1502" s="102" t="n"/>
      <c r="AE1502" s="102" t="n"/>
      <c r="AF1502" s="102" t="n"/>
      <c r="AG1502" s="102" t="n"/>
      <c r="AH1502" s="102" t="n"/>
      <c r="AI1502" s="102" t="n"/>
      <c r="AJ1502" s="102" t="n"/>
      <c r="AK1502" s="102" t="n"/>
      <c r="AL1502" s="102" t="n"/>
      <c r="AM1502" s="102" t="n"/>
      <c r="AN1502" s="102" t="n"/>
      <c r="AO1502" s="102" t="n"/>
      <c r="AP1502" s="102" t="n"/>
      <c r="AQ1502" s="102" t="n"/>
      <c r="AR1502" s="102" t="n"/>
    </row>
    <row r="1503">
      <c r="D1503" s="102" t="n"/>
      <c r="E1503" s="102" t="n"/>
      <c r="F1503" s="102" t="n"/>
      <c r="G1503" s="102" t="n"/>
      <c r="H1503" s="102" t="n"/>
      <c r="I1503" s="102" t="n"/>
      <c r="J1503" s="102" t="n"/>
      <c r="K1503" s="102" t="n"/>
      <c r="L1503" s="102" t="n"/>
      <c r="M1503" s="102" t="n"/>
      <c r="N1503" s="102" t="n"/>
      <c r="O1503" s="102" t="n"/>
      <c r="P1503" s="102" t="n"/>
      <c r="Q1503" s="102" t="n"/>
      <c r="R1503" s="102" t="n"/>
      <c r="S1503" s="102" t="n"/>
      <c r="T1503" s="102" t="n"/>
      <c r="U1503" s="102" t="n"/>
      <c r="V1503" s="102" t="n"/>
      <c r="W1503" s="102" t="n"/>
      <c r="X1503" s="102" t="n"/>
      <c r="Y1503" s="102" t="n"/>
      <c r="Z1503" s="102" t="n"/>
      <c r="AA1503" s="102" t="n"/>
      <c r="AB1503" s="102" t="n"/>
      <c r="AC1503" s="102" t="n"/>
      <c r="AD1503" s="102" t="n"/>
      <c r="AE1503" s="102" t="n"/>
      <c r="AF1503" s="102" t="n"/>
      <c r="AG1503" s="102" t="n"/>
      <c r="AH1503" s="102" t="n"/>
      <c r="AI1503" s="102" t="n"/>
      <c r="AJ1503" s="102" t="n"/>
      <c r="AK1503" s="102" t="n"/>
      <c r="AL1503" s="102" t="n"/>
      <c r="AM1503" s="102" t="n"/>
      <c r="AN1503" s="102" t="n"/>
      <c r="AO1503" s="102" t="n"/>
      <c r="AP1503" s="102" t="n"/>
      <c r="AQ1503" s="102" t="n"/>
      <c r="AR1503" s="102" t="n"/>
    </row>
    <row r="1504">
      <c r="D1504" s="103" t="n"/>
      <c r="E1504" s="103" t="n"/>
      <c r="F1504" s="103" t="n"/>
      <c r="G1504" s="103" t="n"/>
      <c r="H1504" s="103" t="n"/>
      <c r="I1504" s="103" t="n"/>
      <c r="J1504" s="103" t="n"/>
      <c r="K1504" s="103" t="n"/>
      <c r="L1504" s="103" t="n"/>
      <c r="M1504" s="103" t="n"/>
      <c r="N1504" s="103" t="n"/>
      <c r="O1504" s="103" t="n"/>
      <c r="P1504" s="103" t="n"/>
      <c r="Q1504" s="103" t="n"/>
      <c r="R1504" s="103" t="n"/>
      <c r="S1504" s="103" t="n"/>
      <c r="T1504" s="103" t="n"/>
      <c r="U1504" s="103" t="n"/>
      <c r="V1504" s="103" t="n"/>
      <c r="W1504" s="103" t="n"/>
      <c r="X1504" s="103" t="n"/>
      <c r="Y1504" s="103" t="n"/>
      <c r="Z1504" s="103" t="n"/>
      <c r="AA1504" s="103" t="n"/>
      <c r="AB1504" s="103" t="n"/>
      <c r="AC1504" s="103" t="n"/>
      <c r="AD1504" s="103" t="n"/>
      <c r="AE1504" s="103" t="n"/>
      <c r="AF1504" s="103" t="n"/>
      <c r="AG1504" s="103" t="n"/>
      <c r="AH1504" s="103" t="n"/>
      <c r="AI1504" s="103" t="n"/>
      <c r="AJ1504" s="103" t="n"/>
      <c r="AK1504" s="103" t="n"/>
      <c r="AL1504" s="103" t="n"/>
      <c r="AM1504" s="103" t="n"/>
      <c r="AN1504" s="103" t="n"/>
      <c r="AO1504" s="103" t="n"/>
      <c r="AP1504" s="103" t="n"/>
      <c r="AQ1504" s="103" t="n"/>
      <c r="AR1504" s="103" t="n"/>
    </row>
    <row r="1507">
      <c r="A1507" s="2">
        <f>IF($A1500="","","   projections")</f>
        <v/>
      </c>
      <c r="B1507" s="99">
        <f>IF($A1500="",0,COUNT($E1508:$AR1508))</f>
        <v/>
      </c>
      <c r="C1507" s="100">
        <f>IF($B1507=0,0,MAX($E1508:$AR1508))</f>
        <v/>
      </c>
      <c r="D1507" s="101">
        <f>BDS($A1500,FLD_PROJ,"headers=y","startcol=1","endcol=3","dir=h")</f>
        <v/>
      </c>
      <c r="E1507" s="102" t="n"/>
      <c r="F1507" s="102" t="n"/>
      <c r="G1507" s="102" t="n"/>
      <c r="H1507" s="102" t="n"/>
      <c r="I1507" s="102" t="n"/>
      <c r="J1507" s="102" t="n"/>
      <c r="K1507" s="102" t="n"/>
      <c r="L1507" s="102" t="n"/>
      <c r="M1507" s="102" t="n"/>
      <c r="N1507" s="102" t="n"/>
      <c r="O1507" s="102" t="n"/>
      <c r="P1507" s="102" t="n"/>
      <c r="Q1507" s="102" t="n"/>
      <c r="R1507" s="102" t="n"/>
      <c r="S1507" s="102" t="n"/>
      <c r="T1507" s="102" t="n"/>
      <c r="U1507" s="102" t="n"/>
      <c r="V1507" s="102" t="n"/>
      <c r="W1507" s="102" t="n"/>
      <c r="X1507" s="102" t="n"/>
      <c r="Y1507" s="102" t="n"/>
      <c r="Z1507" s="102" t="n"/>
      <c r="AA1507" s="102" t="n"/>
      <c r="AB1507" s="102" t="n"/>
      <c r="AC1507" s="102" t="n"/>
      <c r="AD1507" s="102" t="n"/>
      <c r="AE1507" s="102" t="n"/>
      <c r="AF1507" s="102" t="n"/>
      <c r="AG1507" s="102" t="n"/>
      <c r="AH1507" s="102" t="n"/>
      <c r="AI1507" s="102" t="n"/>
      <c r="AJ1507" s="102" t="n"/>
      <c r="AK1507" s="102" t="n"/>
      <c r="AL1507" s="102" t="n"/>
      <c r="AM1507" s="102" t="n"/>
      <c r="AN1507" s="102" t="n"/>
      <c r="AO1507" s="102" t="n"/>
      <c r="AP1507" s="102" t="n"/>
      <c r="AQ1507" s="102" t="n"/>
      <c r="AR1507" s="102" t="n"/>
    </row>
    <row r="1508">
      <c r="D1508" s="102" t="n"/>
      <c r="E1508" s="102" t="n"/>
      <c r="F1508" s="102" t="n"/>
      <c r="G1508" s="102" t="n"/>
      <c r="H1508" s="102" t="n"/>
      <c r="I1508" s="102" t="n"/>
      <c r="J1508" s="102" t="n"/>
      <c r="K1508" s="102" t="n"/>
      <c r="L1508" s="102" t="n"/>
      <c r="M1508" s="102" t="n"/>
      <c r="N1508" s="102" t="n"/>
      <c r="O1508" s="102" t="n"/>
      <c r="P1508" s="102" t="n"/>
      <c r="Q1508" s="102" t="n"/>
      <c r="R1508" s="102" t="n"/>
      <c r="S1508" s="102" t="n"/>
      <c r="T1508" s="102" t="n"/>
      <c r="U1508" s="102" t="n"/>
      <c r="V1508" s="102" t="n"/>
      <c r="W1508" s="102" t="n"/>
      <c r="X1508" s="102" t="n"/>
      <c r="Y1508" s="102" t="n"/>
      <c r="Z1508" s="102" t="n"/>
      <c r="AA1508" s="102" t="n"/>
      <c r="AB1508" s="102" t="n"/>
      <c r="AC1508" s="102" t="n"/>
      <c r="AD1508" s="102" t="n"/>
      <c r="AE1508" s="102" t="n"/>
      <c r="AF1508" s="102" t="n"/>
      <c r="AG1508" s="102" t="n"/>
      <c r="AH1508" s="102" t="n"/>
      <c r="AI1508" s="102" t="n"/>
      <c r="AJ1508" s="102" t="n"/>
      <c r="AK1508" s="102" t="n"/>
      <c r="AL1508" s="102" t="n"/>
      <c r="AM1508" s="102" t="n"/>
      <c r="AN1508" s="102" t="n"/>
      <c r="AO1508" s="102" t="n"/>
      <c r="AP1508" s="102" t="n"/>
      <c r="AQ1508" s="102" t="n"/>
      <c r="AR1508" s="102" t="n"/>
    </row>
    <row r="1509">
      <c r="D1509" s="103" t="n"/>
      <c r="E1509" s="103" t="n"/>
      <c r="F1509" s="103" t="n"/>
      <c r="G1509" s="103" t="n"/>
      <c r="H1509" s="103" t="n"/>
      <c r="I1509" s="103" t="n"/>
      <c r="J1509" s="103" t="n"/>
      <c r="K1509" s="103" t="n"/>
      <c r="L1509" s="103" t="n"/>
      <c r="M1509" s="103" t="n"/>
      <c r="N1509" s="103" t="n"/>
      <c r="O1509" s="103" t="n"/>
      <c r="P1509" s="103" t="n"/>
      <c r="Q1509" s="103" t="n"/>
      <c r="R1509" s="103" t="n"/>
      <c r="S1509" s="103" t="n"/>
      <c r="T1509" s="103" t="n"/>
      <c r="U1509" s="103" t="n"/>
      <c r="V1509" s="103" t="n"/>
      <c r="W1509" s="103" t="n"/>
      <c r="X1509" s="103" t="n"/>
      <c r="Y1509" s="103" t="n"/>
      <c r="Z1509" s="103" t="n"/>
      <c r="AA1509" s="103" t="n"/>
      <c r="AB1509" s="103" t="n"/>
      <c r="AC1509" s="103" t="n"/>
      <c r="AD1509" s="103" t="n"/>
      <c r="AE1509" s="103" t="n"/>
      <c r="AF1509" s="103" t="n"/>
      <c r="AG1509" s="103" t="n"/>
      <c r="AH1509" s="103" t="n"/>
      <c r="AI1509" s="103" t="n"/>
      <c r="AJ1509" s="103" t="n"/>
      <c r="AK1509" s="103" t="n"/>
      <c r="AL1509" s="103" t="n"/>
      <c r="AM1509" s="103" t="n"/>
      <c r="AN1509" s="103" t="n"/>
      <c r="AO1509" s="103" t="n"/>
      <c r="AP1509" s="103" t="n"/>
      <c r="AQ1509" s="103" t="n"/>
      <c r="AR1509" s="103" t="n"/>
    </row>
    <row r="1511">
      <c r="A1511" s="8">
        <f>IF(HSTECH!$C$43="","",HSTECH!$C$43)</f>
        <v/>
      </c>
      <c r="B1511" s="99">
        <f>IF($A1511="",0,COUNT($E1512:$AR1512))</f>
        <v/>
      </c>
      <c r="C1511" s="100">
        <f>IF($B1511=0,0,MAX($E1512:$AR1512))</f>
        <v/>
      </c>
      <c r="D1511" s="101">
        <f>BDS($A1511,FLD_HIST,"headers=y","startcol=1","endcol=7","dir=h","DVD_START_DT",HIST_FROM,"DVD_END_DT",HIST_TO)</f>
        <v/>
      </c>
      <c r="E1511" s="102" t="n"/>
      <c r="F1511" s="102" t="n"/>
      <c r="G1511" s="102" t="n"/>
      <c r="H1511" s="102" t="n"/>
      <c r="I1511" s="102" t="n"/>
      <c r="J1511" s="102" t="n"/>
      <c r="K1511" s="102" t="n"/>
      <c r="L1511" s="102" t="n"/>
      <c r="M1511" s="102" t="n"/>
      <c r="N1511" s="102" t="n"/>
      <c r="O1511" s="102" t="n"/>
      <c r="P1511" s="102" t="n"/>
      <c r="Q1511" s="102" t="n"/>
      <c r="R1511" s="102" t="n"/>
      <c r="S1511" s="102" t="n"/>
      <c r="T1511" s="102" t="n"/>
      <c r="U1511" s="102" t="n"/>
      <c r="V1511" s="102" t="n"/>
      <c r="W1511" s="102" t="n"/>
      <c r="X1511" s="102" t="n"/>
      <c r="Y1511" s="102" t="n"/>
      <c r="Z1511" s="102" t="n"/>
      <c r="AA1511" s="102" t="n"/>
      <c r="AB1511" s="102" t="n"/>
      <c r="AC1511" s="102" t="n"/>
      <c r="AD1511" s="102" t="n"/>
      <c r="AE1511" s="102" t="n"/>
      <c r="AF1511" s="102" t="n"/>
      <c r="AG1511" s="102" t="n"/>
      <c r="AH1511" s="102" t="n"/>
      <c r="AI1511" s="102" t="n"/>
      <c r="AJ1511" s="102" t="n"/>
      <c r="AK1511" s="102" t="n"/>
      <c r="AL1511" s="102" t="n"/>
      <c r="AM1511" s="102" t="n"/>
      <c r="AN1511" s="102" t="n"/>
      <c r="AO1511" s="102" t="n"/>
      <c r="AP1511" s="102" t="n"/>
      <c r="AQ1511" s="102" t="n"/>
      <c r="AR1511" s="102" t="n"/>
    </row>
    <row r="1512">
      <c r="D1512" s="102" t="n"/>
      <c r="E1512" s="102" t="n"/>
      <c r="F1512" s="102" t="n"/>
      <c r="G1512" s="102" t="n"/>
      <c r="H1512" s="102" t="n"/>
      <c r="I1512" s="102" t="n"/>
      <c r="J1512" s="102" t="n"/>
      <c r="K1512" s="102" t="n"/>
      <c r="L1512" s="102" t="n"/>
      <c r="M1512" s="102" t="n"/>
      <c r="N1512" s="102" t="n"/>
      <c r="O1512" s="102" t="n"/>
      <c r="P1512" s="102" t="n"/>
      <c r="Q1512" s="102" t="n"/>
      <c r="R1512" s="102" t="n"/>
      <c r="S1512" s="102" t="n"/>
      <c r="T1512" s="102" t="n"/>
      <c r="U1512" s="102" t="n"/>
      <c r="V1512" s="102" t="n"/>
      <c r="W1512" s="102" t="n"/>
      <c r="X1512" s="102" t="n"/>
      <c r="Y1512" s="102" t="n"/>
      <c r="Z1512" s="102" t="n"/>
      <c r="AA1512" s="102" t="n"/>
      <c r="AB1512" s="102" t="n"/>
      <c r="AC1512" s="102" t="n"/>
      <c r="AD1512" s="102" t="n"/>
      <c r="AE1512" s="102" t="n"/>
      <c r="AF1512" s="102" t="n"/>
      <c r="AG1512" s="102" t="n"/>
      <c r="AH1512" s="102" t="n"/>
      <c r="AI1512" s="102" t="n"/>
      <c r="AJ1512" s="102" t="n"/>
      <c r="AK1512" s="102" t="n"/>
      <c r="AL1512" s="102" t="n"/>
      <c r="AM1512" s="102" t="n"/>
      <c r="AN1512" s="102" t="n"/>
      <c r="AO1512" s="102" t="n"/>
      <c r="AP1512" s="102" t="n"/>
      <c r="AQ1512" s="102" t="n"/>
      <c r="AR1512" s="102" t="n"/>
    </row>
    <row r="1513">
      <c r="D1513" s="102" t="n"/>
      <c r="E1513" s="102" t="n"/>
      <c r="F1513" s="102" t="n"/>
      <c r="G1513" s="102" t="n"/>
      <c r="H1513" s="102" t="n"/>
      <c r="I1513" s="102" t="n"/>
      <c r="J1513" s="102" t="n"/>
      <c r="K1513" s="102" t="n"/>
      <c r="L1513" s="102" t="n"/>
      <c r="M1513" s="102" t="n"/>
      <c r="N1513" s="102" t="n"/>
      <c r="O1513" s="102" t="n"/>
      <c r="P1513" s="102" t="n"/>
      <c r="Q1513" s="102" t="n"/>
      <c r="R1513" s="102" t="n"/>
      <c r="S1513" s="102" t="n"/>
      <c r="T1513" s="102" t="n"/>
      <c r="U1513" s="102" t="n"/>
      <c r="V1513" s="102" t="n"/>
      <c r="W1513" s="102" t="n"/>
      <c r="X1513" s="102" t="n"/>
      <c r="Y1513" s="102" t="n"/>
      <c r="Z1513" s="102" t="n"/>
      <c r="AA1513" s="102" t="n"/>
      <c r="AB1513" s="102" t="n"/>
      <c r="AC1513" s="102" t="n"/>
      <c r="AD1513" s="102" t="n"/>
      <c r="AE1513" s="102" t="n"/>
      <c r="AF1513" s="102" t="n"/>
      <c r="AG1513" s="102" t="n"/>
      <c r="AH1513" s="102" t="n"/>
      <c r="AI1513" s="102" t="n"/>
      <c r="AJ1513" s="102" t="n"/>
      <c r="AK1513" s="102" t="n"/>
      <c r="AL1513" s="102" t="n"/>
      <c r="AM1513" s="102" t="n"/>
      <c r="AN1513" s="102" t="n"/>
      <c r="AO1513" s="102" t="n"/>
      <c r="AP1513" s="102" t="n"/>
      <c r="AQ1513" s="102" t="n"/>
      <c r="AR1513" s="102" t="n"/>
    </row>
    <row r="1514">
      <c r="D1514" s="102" t="n"/>
      <c r="E1514" s="102" t="n"/>
      <c r="F1514" s="102" t="n"/>
      <c r="G1514" s="102" t="n"/>
      <c r="H1514" s="102" t="n"/>
      <c r="I1514" s="102" t="n"/>
      <c r="J1514" s="102" t="n"/>
      <c r="K1514" s="102" t="n"/>
      <c r="L1514" s="102" t="n"/>
      <c r="M1514" s="102" t="n"/>
      <c r="N1514" s="102" t="n"/>
      <c r="O1514" s="102" t="n"/>
      <c r="P1514" s="102" t="n"/>
      <c r="Q1514" s="102" t="n"/>
      <c r="R1514" s="102" t="n"/>
      <c r="S1514" s="102" t="n"/>
      <c r="T1514" s="102" t="n"/>
      <c r="U1514" s="102" t="n"/>
      <c r="V1514" s="102" t="n"/>
      <c r="W1514" s="102" t="n"/>
      <c r="X1514" s="102" t="n"/>
      <c r="Y1514" s="102" t="n"/>
      <c r="Z1514" s="102" t="n"/>
      <c r="AA1514" s="102" t="n"/>
      <c r="AB1514" s="102" t="n"/>
      <c r="AC1514" s="102" t="n"/>
      <c r="AD1514" s="102" t="n"/>
      <c r="AE1514" s="102" t="n"/>
      <c r="AF1514" s="102" t="n"/>
      <c r="AG1514" s="102" t="n"/>
      <c r="AH1514" s="102" t="n"/>
      <c r="AI1514" s="102" t="n"/>
      <c r="AJ1514" s="102" t="n"/>
      <c r="AK1514" s="102" t="n"/>
      <c r="AL1514" s="102" t="n"/>
      <c r="AM1514" s="102" t="n"/>
      <c r="AN1514" s="102" t="n"/>
      <c r="AO1514" s="102" t="n"/>
      <c r="AP1514" s="102" t="n"/>
      <c r="AQ1514" s="102" t="n"/>
      <c r="AR1514" s="102" t="n"/>
    </row>
    <row r="1515">
      <c r="D1515" s="103" t="n"/>
      <c r="E1515" s="103" t="n"/>
      <c r="F1515" s="103" t="n"/>
      <c r="G1515" s="103" t="n"/>
      <c r="H1515" s="103" t="n"/>
      <c r="I1515" s="103" t="n"/>
      <c r="J1515" s="103" t="n"/>
      <c r="K1515" s="103" t="n"/>
      <c r="L1515" s="103" t="n"/>
      <c r="M1515" s="103" t="n"/>
      <c r="N1515" s="103" t="n"/>
      <c r="O1515" s="103" t="n"/>
      <c r="P1515" s="103" t="n"/>
      <c r="Q1515" s="103" t="n"/>
      <c r="R1515" s="103" t="n"/>
      <c r="S1515" s="103" t="n"/>
      <c r="T1515" s="103" t="n"/>
      <c r="U1515" s="103" t="n"/>
      <c r="V1515" s="103" t="n"/>
      <c r="W1515" s="103" t="n"/>
      <c r="X1515" s="103" t="n"/>
      <c r="Y1515" s="103" t="n"/>
      <c r="Z1515" s="103" t="n"/>
      <c r="AA1515" s="103" t="n"/>
      <c r="AB1515" s="103" t="n"/>
      <c r="AC1515" s="103" t="n"/>
      <c r="AD1515" s="103" t="n"/>
      <c r="AE1515" s="103" t="n"/>
      <c r="AF1515" s="103" t="n"/>
      <c r="AG1515" s="103" t="n"/>
      <c r="AH1515" s="103" t="n"/>
      <c r="AI1515" s="103" t="n"/>
      <c r="AJ1515" s="103" t="n"/>
      <c r="AK1515" s="103" t="n"/>
      <c r="AL1515" s="103" t="n"/>
      <c r="AM1515" s="103" t="n"/>
      <c r="AN1515" s="103" t="n"/>
      <c r="AO1515" s="103" t="n"/>
      <c r="AP1515" s="103" t="n"/>
      <c r="AQ1515" s="103" t="n"/>
      <c r="AR1515" s="103" t="n"/>
    </row>
    <row r="1518">
      <c r="A1518" s="2">
        <f>IF($A1511="","","   projections")</f>
        <v/>
      </c>
      <c r="B1518" s="99">
        <f>IF($A1511="",0,COUNT($E1519:$AR1519))</f>
        <v/>
      </c>
      <c r="C1518" s="100">
        <f>IF($B1518=0,0,MAX($E1519:$AR1519))</f>
        <v/>
      </c>
      <c r="D1518" s="101">
        <f>BDS($A1511,FLD_PROJ,"headers=y","startcol=1","endcol=3","dir=h")</f>
        <v/>
      </c>
      <c r="E1518" s="102" t="n"/>
      <c r="F1518" s="102" t="n"/>
      <c r="G1518" s="102" t="n"/>
      <c r="H1518" s="102" t="n"/>
      <c r="I1518" s="102" t="n"/>
      <c r="J1518" s="102" t="n"/>
      <c r="K1518" s="102" t="n"/>
      <c r="L1518" s="102" t="n"/>
      <c r="M1518" s="102" t="n"/>
      <c r="N1518" s="102" t="n"/>
      <c r="O1518" s="102" t="n"/>
      <c r="P1518" s="102" t="n"/>
      <c r="Q1518" s="102" t="n"/>
      <c r="R1518" s="102" t="n"/>
      <c r="S1518" s="102" t="n"/>
      <c r="T1518" s="102" t="n"/>
      <c r="U1518" s="102" t="n"/>
      <c r="V1518" s="102" t="n"/>
      <c r="W1518" s="102" t="n"/>
      <c r="X1518" s="102" t="n"/>
      <c r="Y1518" s="102" t="n"/>
      <c r="Z1518" s="102" t="n"/>
      <c r="AA1518" s="102" t="n"/>
      <c r="AB1518" s="102" t="n"/>
      <c r="AC1518" s="102" t="n"/>
      <c r="AD1518" s="102" t="n"/>
      <c r="AE1518" s="102" t="n"/>
      <c r="AF1518" s="102" t="n"/>
      <c r="AG1518" s="102" t="n"/>
      <c r="AH1518" s="102" t="n"/>
      <c r="AI1518" s="102" t="n"/>
      <c r="AJ1518" s="102" t="n"/>
      <c r="AK1518" s="102" t="n"/>
      <c r="AL1518" s="102" t="n"/>
      <c r="AM1518" s="102" t="n"/>
      <c r="AN1518" s="102" t="n"/>
      <c r="AO1518" s="102" t="n"/>
      <c r="AP1518" s="102" t="n"/>
      <c r="AQ1518" s="102" t="n"/>
      <c r="AR1518" s="102" t="n"/>
    </row>
    <row r="1519">
      <c r="D1519" s="102" t="n"/>
      <c r="E1519" s="102" t="n"/>
      <c r="F1519" s="102" t="n"/>
      <c r="G1519" s="102" t="n"/>
      <c r="H1519" s="102" t="n"/>
      <c r="I1519" s="102" t="n"/>
      <c r="J1519" s="102" t="n"/>
      <c r="K1519" s="102" t="n"/>
      <c r="L1519" s="102" t="n"/>
      <c r="M1519" s="102" t="n"/>
      <c r="N1519" s="102" t="n"/>
      <c r="O1519" s="102" t="n"/>
      <c r="P1519" s="102" t="n"/>
      <c r="Q1519" s="102" t="n"/>
      <c r="R1519" s="102" t="n"/>
      <c r="S1519" s="102" t="n"/>
      <c r="T1519" s="102" t="n"/>
      <c r="U1519" s="102" t="n"/>
      <c r="V1519" s="102" t="n"/>
      <c r="W1519" s="102" t="n"/>
      <c r="X1519" s="102" t="n"/>
      <c r="Y1519" s="102" t="n"/>
      <c r="Z1519" s="102" t="n"/>
      <c r="AA1519" s="102" t="n"/>
      <c r="AB1519" s="102" t="n"/>
      <c r="AC1519" s="102" t="n"/>
      <c r="AD1519" s="102" t="n"/>
      <c r="AE1519" s="102" t="n"/>
      <c r="AF1519" s="102" t="n"/>
      <c r="AG1519" s="102" t="n"/>
      <c r="AH1519" s="102" t="n"/>
      <c r="AI1519" s="102" t="n"/>
      <c r="AJ1519" s="102" t="n"/>
      <c r="AK1519" s="102" t="n"/>
      <c r="AL1519" s="102" t="n"/>
      <c r="AM1519" s="102" t="n"/>
      <c r="AN1519" s="102" t="n"/>
      <c r="AO1519" s="102" t="n"/>
      <c r="AP1519" s="102" t="n"/>
      <c r="AQ1519" s="102" t="n"/>
      <c r="AR1519" s="102" t="n"/>
    </row>
    <row r="1520">
      <c r="D1520" s="103" t="n"/>
      <c r="E1520" s="103" t="n"/>
      <c r="F1520" s="103" t="n"/>
      <c r="G1520" s="103" t="n"/>
      <c r="H1520" s="103" t="n"/>
      <c r="I1520" s="103" t="n"/>
      <c r="J1520" s="103" t="n"/>
      <c r="K1520" s="103" t="n"/>
      <c r="L1520" s="103" t="n"/>
      <c r="M1520" s="103" t="n"/>
      <c r="N1520" s="103" t="n"/>
      <c r="O1520" s="103" t="n"/>
      <c r="P1520" s="103" t="n"/>
      <c r="Q1520" s="103" t="n"/>
      <c r="R1520" s="103" t="n"/>
      <c r="S1520" s="103" t="n"/>
      <c r="T1520" s="103" t="n"/>
      <c r="U1520" s="103" t="n"/>
      <c r="V1520" s="103" t="n"/>
      <c r="W1520" s="103" t="n"/>
      <c r="X1520" s="103" t="n"/>
      <c r="Y1520" s="103" t="n"/>
      <c r="Z1520" s="103" t="n"/>
      <c r="AA1520" s="103" t="n"/>
      <c r="AB1520" s="103" t="n"/>
      <c r="AC1520" s="103" t="n"/>
      <c r="AD1520" s="103" t="n"/>
      <c r="AE1520" s="103" t="n"/>
      <c r="AF1520" s="103" t="n"/>
      <c r="AG1520" s="103" t="n"/>
      <c r="AH1520" s="103" t="n"/>
      <c r="AI1520" s="103" t="n"/>
      <c r="AJ1520" s="103" t="n"/>
      <c r="AK1520" s="103" t="n"/>
      <c r="AL1520" s="103" t="n"/>
      <c r="AM1520" s="103" t="n"/>
      <c r="AN1520" s="103" t="n"/>
      <c r="AO1520" s="103" t="n"/>
      <c r="AP1520" s="103" t="n"/>
      <c r="AQ1520" s="103" t="n"/>
      <c r="AR1520" s="103" t="n"/>
    </row>
    <row r="1522">
      <c r="A1522" s="8">
        <f>IF(HSTECH!$C$44="","",HSTECH!$C$44)</f>
        <v/>
      </c>
      <c r="B1522" s="99">
        <f>IF($A1522="",0,COUNT($E1523:$AR1523))</f>
        <v/>
      </c>
      <c r="C1522" s="100">
        <f>IF($B1522=0,0,MAX($E1523:$AR1523))</f>
        <v/>
      </c>
      <c r="D1522" s="101">
        <f>BDS($A1522,FLD_HIST,"headers=y","startcol=1","endcol=7","dir=h","DVD_START_DT",HIST_FROM,"DVD_END_DT",HIST_TO)</f>
        <v/>
      </c>
      <c r="E1522" s="102" t="n"/>
      <c r="F1522" s="102" t="n"/>
      <c r="G1522" s="102" t="n"/>
      <c r="H1522" s="102" t="n"/>
      <c r="I1522" s="102" t="n"/>
      <c r="J1522" s="102" t="n"/>
      <c r="K1522" s="102" t="n"/>
      <c r="L1522" s="102" t="n"/>
      <c r="M1522" s="102" t="n"/>
      <c r="N1522" s="102" t="n"/>
      <c r="O1522" s="102" t="n"/>
      <c r="P1522" s="102" t="n"/>
      <c r="Q1522" s="102" t="n"/>
      <c r="R1522" s="102" t="n"/>
      <c r="S1522" s="102" t="n"/>
      <c r="T1522" s="102" t="n"/>
      <c r="U1522" s="102" t="n"/>
      <c r="V1522" s="102" t="n"/>
      <c r="W1522" s="102" t="n"/>
      <c r="X1522" s="102" t="n"/>
      <c r="Y1522" s="102" t="n"/>
      <c r="Z1522" s="102" t="n"/>
      <c r="AA1522" s="102" t="n"/>
      <c r="AB1522" s="102" t="n"/>
      <c r="AC1522" s="102" t="n"/>
      <c r="AD1522" s="102" t="n"/>
      <c r="AE1522" s="102" t="n"/>
      <c r="AF1522" s="102" t="n"/>
      <c r="AG1522" s="102" t="n"/>
      <c r="AH1522" s="102" t="n"/>
      <c r="AI1522" s="102" t="n"/>
      <c r="AJ1522" s="102" t="n"/>
      <c r="AK1522" s="102" t="n"/>
      <c r="AL1522" s="102" t="n"/>
      <c r="AM1522" s="102" t="n"/>
      <c r="AN1522" s="102" t="n"/>
      <c r="AO1522" s="102" t="n"/>
      <c r="AP1522" s="102" t="n"/>
      <c r="AQ1522" s="102" t="n"/>
      <c r="AR1522" s="102" t="n"/>
    </row>
    <row r="1523">
      <c r="D1523" s="102" t="n"/>
      <c r="E1523" s="102" t="n"/>
      <c r="F1523" s="102" t="n"/>
      <c r="G1523" s="102" t="n"/>
      <c r="H1523" s="102" t="n"/>
      <c r="I1523" s="102" t="n"/>
      <c r="J1523" s="102" t="n"/>
      <c r="K1523" s="102" t="n"/>
      <c r="L1523" s="102" t="n"/>
      <c r="M1523" s="102" t="n"/>
      <c r="N1523" s="102" t="n"/>
      <c r="O1523" s="102" t="n"/>
      <c r="P1523" s="102" t="n"/>
      <c r="Q1523" s="102" t="n"/>
      <c r="R1523" s="102" t="n"/>
      <c r="S1523" s="102" t="n"/>
      <c r="T1523" s="102" t="n"/>
      <c r="U1523" s="102" t="n"/>
      <c r="V1523" s="102" t="n"/>
      <c r="W1523" s="102" t="n"/>
      <c r="X1523" s="102" t="n"/>
      <c r="Y1523" s="102" t="n"/>
      <c r="Z1523" s="102" t="n"/>
      <c r="AA1523" s="102" t="n"/>
      <c r="AB1523" s="102" t="n"/>
      <c r="AC1523" s="102" t="n"/>
      <c r="AD1523" s="102" t="n"/>
      <c r="AE1523" s="102" t="n"/>
      <c r="AF1523" s="102" t="n"/>
      <c r="AG1523" s="102" t="n"/>
      <c r="AH1523" s="102" t="n"/>
      <c r="AI1523" s="102" t="n"/>
      <c r="AJ1523" s="102" t="n"/>
      <c r="AK1523" s="102" t="n"/>
      <c r="AL1523" s="102" t="n"/>
      <c r="AM1523" s="102" t="n"/>
      <c r="AN1523" s="102" t="n"/>
      <c r="AO1523" s="102" t="n"/>
      <c r="AP1523" s="102" t="n"/>
      <c r="AQ1523" s="102" t="n"/>
      <c r="AR1523" s="102" t="n"/>
    </row>
    <row r="1524">
      <c r="D1524" s="102" t="n"/>
      <c r="E1524" s="102" t="n"/>
      <c r="F1524" s="102" t="n"/>
      <c r="G1524" s="102" t="n"/>
      <c r="H1524" s="102" t="n"/>
      <c r="I1524" s="102" t="n"/>
      <c r="J1524" s="102" t="n"/>
      <c r="K1524" s="102" t="n"/>
      <c r="L1524" s="102" t="n"/>
      <c r="M1524" s="102" t="n"/>
      <c r="N1524" s="102" t="n"/>
      <c r="O1524" s="102" t="n"/>
      <c r="P1524" s="102" t="n"/>
      <c r="Q1524" s="102" t="n"/>
      <c r="R1524" s="102" t="n"/>
      <c r="S1524" s="102" t="n"/>
      <c r="T1524" s="102" t="n"/>
      <c r="U1524" s="102" t="n"/>
      <c r="V1524" s="102" t="n"/>
      <c r="W1524" s="102" t="n"/>
      <c r="X1524" s="102" t="n"/>
      <c r="Y1524" s="102" t="n"/>
      <c r="Z1524" s="102" t="n"/>
      <c r="AA1524" s="102" t="n"/>
      <c r="AB1524" s="102" t="n"/>
      <c r="AC1524" s="102" t="n"/>
      <c r="AD1524" s="102" t="n"/>
      <c r="AE1524" s="102" t="n"/>
      <c r="AF1524" s="102" t="n"/>
      <c r="AG1524" s="102" t="n"/>
      <c r="AH1524" s="102" t="n"/>
      <c r="AI1524" s="102" t="n"/>
      <c r="AJ1524" s="102" t="n"/>
      <c r="AK1524" s="102" t="n"/>
      <c r="AL1524" s="102" t="n"/>
      <c r="AM1524" s="102" t="n"/>
      <c r="AN1524" s="102" t="n"/>
      <c r="AO1524" s="102" t="n"/>
      <c r="AP1524" s="102" t="n"/>
      <c r="AQ1524" s="102" t="n"/>
      <c r="AR1524" s="102" t="n"/>
    </row>
    <row r="1525">
      <c r="D1525" s="102" t="n"/>
      <c r="E1525" s="102" t="n"/>
      <c r="F1525" s="102" t="n"/>
      <c r="G1525" s="102" t="n"/>
      <c r="H1525" s="102" t="n"/>
      <c r="I1525" s="102" t="n"/>
      <c r="J1525" s="102" t="n"/>
      <c r="K1525" s="102" t="n"/>
      <c r="L1525" s="102" t="n"/>
      <c r="M1525" s="102" t="n"/>
      <c r="N1525" s="102" t="n"/>
      <c r="O1525" s="102" t="n"/>
      <c r="P1525" s="102" t="n"/>
      <c r="Q1525" s="102" t="n"/>
      <c r="R1525" s="102" t="n"/>
      <c r="S1525" s="102" t="n"/>
      <c r="T1525" s="102" t="n"/>
      <c r="U1525" s="102" t="n"/>
      <c r="V1525" s="102" t="n"/>
      <c r="W1525" s="102" t="n"/>
      <c r="X1525" s="102" t="n"/>
      <c r="Y1525" s="102" t="n"/>
      <c r="Z1525" s="102" t="n"/>
      <c r="AA1525" s="102" t="n"/>
      <c r="AB1525" s="102" t="n"/>
      <c r="AC1525" s="102" t="n"/>
      <c r="AD1525" s="102" t="n"/>
      <c r="AE1525" s="102" t="n"/>
      <c r="AF1525" s="102" t="n"/>
      <c r="AG1525" s="102" t="n"/>
      <c r="AH1525" s="102" t="n"/>
      <c r="AI1525" s="102" t="n"/>
      <c r="AJ1525" s="102" t="n"/>
      <c r="AK1525" s="102" t="n"/>
      <c r="AL1525" s="102" t="n"/>
      <c r="AM1525" s="102" t="n"/>
      <c r="AN1525" s="102" t="n"/>
      <c r="AO1525" s="102" t="n"/>
      <c r="AP1525" s="102" t="n"/>
      <c r="AQ1525" s="102" t="n"/>
      <c r="AR1525" s="102" t="n"/>
    </row>
    <row r="1526">
      <c r="D1526" s="103" t="n"/>
      <c r="E1526" s="103" t="n"/>
      <c r="F1526" s="103" t="n"/>
      <c r="G1526" s="103" t="n"/>
      <c r="H1526" s="103" t="n"/>
      <c r="I1526" s="103" t="n"/>
      <c r="J1526" s="103" t="n"/>
      <c r="K1526" s="103" t="n"/>
      <c r="L1526" s="103" t="n"/>
      <c r="M1526" s="103" t="n"/>
      <c r="N1526" s="103" t="n"/>
      <c r="O1526" s="103" t="n"/>
      <c r="P1526" s="103" t="n"/>
      <c r="Q1526" s="103" t="n"/>
      <c r="R1526" s="103" t="n"/>
      <c r="S1526" s="103" t="n"/>
      <c r="T1526" s="103" t="n"/>
      <c r="U1526" s="103" t="n"/>
      <c r="V1526" s="103" t="n"/>
      <c r="W1526" s="103" t="n"/>
      <c r="X1526" s="103" t="n"/>
      <c r="Y1526" s="103" t="n"/>
      <c r="Z1526" s="103" t="n"/>
      <c r="AA1526" s="103" t="n"/>
      <c r="AB1526" s="103" t="n"/>
      <c r="AC1526" s="103" t="n"/>
      <c r="AD1526" s="103" t="n"/>
      <c r="AE1526" s="103" t="n"/>
      <c r="AF1526" s="103" t="n"/>
      <c r="AG1526" s="103" t="n"/>
      <c r="AH1526" s="103" t="n"/>
      <c r="AI1526" s="103" t="n"/>
      <c r="AJ1526" s="103" t="n"/>
      <c r="AK1526" s="103" t="n"/>
      <c r="AL1526" s="103" t="n"/>
      <c r="AM1526" s="103" t="n"/>
      <c r="AN1526" s="103" t="n"/>
      <c r="AO1526" s="103" t="n"/>
      <c r="AP1526" s="103" t="n"/>
      <c r="AQ1526" s="103" t="n"/>
      <c r="AR1526" s="103" t="n"/>
    </row>
    <row r="1529">
      <c r="A1529" s="2">
        <f>IF($A1522="","","   projections")</f>
        <v/>
      </c>
      <c r="B1529" s="99">
        <f>IF($A1522="",0,COUNT($E1530:$AR1530))</f>
        <v/>
      </c>
      <c r="C1529" s="100">
        <f>IF($B1529=0,0,MAX($E1530:$AR1530))</f>
        <v/>
      </c>
      <c r="D1529" s="101">
        <f>BDS($A1522,FLD_PROJ,"headers=y","startcol=1","endcol=3","dir=h")</f>
        <v/>
      </c>
      <c r="E1529" s="102" t="n"/>
      <c r="F1529" s="102" t="n"/>
      <c r="G1529" s="102" t="n"/>
      <c r="H1529" s="102" t="n"/>
      <c r="I1529" s="102" t="n"/>
      <c r="J1529" s="102" t="n"/>
      <c r="K1529" s="102" t="n"/>
      <c r="L1529" s="102" t="n"/>
      <c r="M1529" s="102" t="n"/>
      <c r="N1529" s="102" t="n"/>
      <c r="O1529" s="102" t="n"/>
      <c r="P1529" s="102" t="n"/>
      <c r="Q1529" s="102" t="n"/>
      <c r="R1529" s="102" t="n"/>
      <c r="S1529" s="102" t="n"/>
      <c r="T1529" s="102" t="n"/>
      <c r="U1529" s="102" t="n"/>
      <c r="V1529" s="102" t="n"/>
      <c r="W1529" s="102" t="n"/>
      <c r="X1529" s="102" t="n"/>
      <c r="Y1529" s="102" t="n"/>
      <c r="Z1529" s="102" t="n"/>
      <c r="AA1529" s="102" t="n"/>
      <c r="AB1529" s="102" t="n"/>
      <c r="AC1529" s="102" t="n"/>
      <c r="AD1529" s="102" t="n"/>
      <c r="AE1529" s="102" t="n"/>
      <c r="AF1529" s="102" t="n"/>
      <c r="AG1529" s="102" t="n"/>
      <c r="AH1529" s="102" t="n"/>
      <c r="AI1529" s="102" t="n"/>
      <c r="AJ1529" s="102" t="n"/>
      <c r="AK1529" s="102" t="n"/>
      <c r="AL1529" s="102" t="n"/>
      <c r="AM1529" s="102" t="n"/>
      <c r="AN1529" s="102" t="n"/>
      <c r="AO1529" s="102" t="n"/>
      <c r="AP1529" s="102" t="n"/>
      <c r="AQ1529" s="102" t="n"/>
      <c r="AR1529" s="102" t="n"/>
    </row>
    <row r="1530">
      <c r="D1530" s="102" t="n"/>
      <c r="E1530" s="102" t="n"/>
      <c r="F1530" s="102" t="n"/>
      <c r="G1530" s="102" t="n"/>
      <c r="H1530" s="102" t="n"/>
      <c r="I1530" s="102" t="n"/>
      <c r="J1530" s="102" t="n"/>
      <c r="K1530" s="102" t="n"/>
      <c r="L1530" s="102" t="n"/>
      <c r="M1530" s="102" t="n"/>
      <c r="N1530" s="102" t="n"/>
      <c r="O1530" s="102" t="n"/>
      <c r="P1530" s="102" t="n"/>
      <c r="Q1530" s="102" t="n"/>
      <c r="R1530" s="102" t="n"/>
      <c r="S1530" s="102" t="n"/>
      <c r="T1530" s="102" t="n"/>
      <c r="U1530" s="102" t="n"/>
      <c r="V1530" s="102" t="n"/>
      <c r="W1530" s="102" t="n"/>
      <c r="X1530" s="102" t="n"/>
      <c r="Y1530" s="102" t="n"/>
      <c r="Z1530" s="102" t="n"/>
      <c r="AA1530" s="102" t="n"/>
      <c r="AB1530" s="102" t="n"/>
      <c r="AC1530" s="102" t="n"/>
      <c r="AD1530" s="102" t="n"/>
      <c r="AE1530" s="102" t="n"/>
      <c r="AF1530" s="102" t="n"/>
      <c r="AG1530" s="102" t="n"/>
      <c r="AH1530" s="102" t="n"/>
      <c r="AI1530" s="102" t="n"/>
      <c r="AJ1530" s="102" t="n"/>
      <c r="AK1530" s="102" t="n"/>
      <c r="AL1530" s="102" t="n"/>
      <c r="AM1530" s="102" t="n"/>
      <c r="AN1530" s="102" t="n"/>
      <c r="AO1530" s="102" t="n"/>
      <c r="AP1530" s="102" t="n"/>
      <c r="AQ1530" s="102" t="n"/>
      <c r="AR1530" s="102" t="n"/>
    </row>
    <row r="1531">
      <c r="D1531" s="103" t="n"/>
      <c r="E1531" s="103" t="n"/>
      <c r="F1531" s="103" t="n"/>
      <c r="G1531" s="103" t="n"/>
      <c r="H1531" s="103" t="n"/>
      <c r="I1531" s="103" t="n"/>
      <c r="J1531" s="103" t="n"/>
      <c r="K1531" s="103" t="n"/>
      <c r="L1531" s="103" t="n"/>
      <c r="M1531" s="103" t="n"/>
      <c r="N1531" s="103" t="n"/>
      <c r="O1531" s="103" t="n"/>
      <c r="P1531" s="103" t="n"/>
      <c r="Q1531" s="103" t="n"/>
      <c r="R1531" s="103" t="n"/>
      <c r="S1531" s="103" t="n"/>
      <c r="T1531" s="103" t="n"/>
      <c r="U1531" s="103" t="n"/>
      <c r="V1531" s="103" t="n"/>
      <c r="W1531" s="103" t="n"/>
      <c r="X1531" s="103" t="n"/>
      <c r="Y1531" s="103" t="n"/>
      <c r="Z1531" s="103" t="n"/>
      <c r="AA1531" s="103" t="n"/>
      <c r="AB1531" s="103" t="n"/>
      <c r="AC1531" s="103" t="n"/>
      <c r="AD1531" s="103" t="n"/>
      <c r="AE1531" s="103" t="n"/>
      <c r="AF1531" s="103" t="n"/>
      <c r="AG1531" s="103" t="n"/>
      <c r="AH1531" s="103" t="n"/>
      <c r="AI1531" s="103" t="n"/>
      <c r="AJ1531" s="103" t="n"/>
      <c r="AK1531" s="103" t="n"/>
      <c r="AL1531" s="103" t="n"/>
      <c r="AM1531" s="103" t="n"/>
      <c r="AN1531" s="103" t="n"/>
      <c r="AO1531" s="103" t="n"/>
      <c r="AP1531" s="103" t="n"/>
      <c r="AQ1531" s="103" t="n"/>
      <c r="AR1531" s="103" t="n"/>
    </row>
    <row r="1533">
      <c r="A1533" s="8">
        <f>IF(HSTECH!$C$45="","",HSTECH!$C$45)</f>
        <v/>
      </c>
      <c r="B1533" s="99">
        <f>IF($A1533="",0,COUNT($E1534:$AR1534))</f>
        <v/>
      </c>
      <c r="C1533" s="100">
        <f>IF($B1533=0,0,MAX($E1534:$AR1534))</f>
        <v/>
      </c>
      <c r="D1533" s="101">
        <f>BDS($A1533,FLD_HIST,"headers=y","startcol=1","endcol=7","dir=h","DVD_START_DT",HIST_FROM,"DVD_END_DT",HIST_TO)</f>
        <v/>
      </c>
      <c r="E1533" s="102" t="n"/>
      <c r="F1533" s="102" t="n"/>
      <c r="G1533" s="102" t="n"/>
      <c r="H1533" s="102" t="n"/>
      <c r="I1533" s="102" t="n"/>
      <c r="J1533" s="102" t="n"/>
      <c r="K1533" s="102" t="n"/>
      <c r="L1533" s="102" t="n"/>
      <c r="M1533" s="102" t="n"/>
      <c r="N1533" s="102" t="n"/>
      <c r="O1533" s="102" t="n"/>
      <c r="P1533" s="102" t="n"/>
      <c r="Q1533" s="102" t="n"/>
      <c r="R1533" s="102" t="n"/>
      <c r="S1533" s="102" t="n"/>
      <c r="T1533" s="102" t="n"/>
      <c r="U1533" s="102" t="n"/>
      <c r="V1533" s="102" t="n"/>
      <c r="W1533" s="102" t="n"/>
      <c r="X1533" s="102" t="n"/>
      <c r="Y1533" s="102" t="n"/>
      <c r="Z1533" s="102" t="n"/>
      <c r="AA1533" s="102" t="n"/>
      <c r="AB1533" s="102" t="n"/>
      <c r="AC1533" s="102" t="n"/>
      <c r="AD1533" s="102" t="n"/>
      <c r="AE1533" s="102" t="n"/>
      <c r="AF1533" s="102" t="n"/>
      <c r="AG1533" s="102" t="n"/>
      <c r="AH1533" s="102" t="n"/>
      <c r="AI1533" s="102" t="n"/>
      <c r="AJ1533" s="102" t="n"/>
      <c r="AK1533" s="102" t="n"/>
      <c r="AL1533" s="102" t="n"/>
      <c r="AM1533" s="102" t="n"/>
      <c r="AN1533" s="102" t="n"/>
      <c r="AO1533" s="102" t="n"/>
      <c r="AP1533" s="102" t="n"/>
      <c r="AQ1533" s="102" t="n"/>
      <c r="AR1533" s="102" t="n"/>
    </row>
    <row r="1534">
      <c r="D1534" s="102" t="n"/>
      <c r="E1534" s="102" t="n"/>
      <c r="F1534" s="102" t="n"/>
      <c r="G1534" s="102" t="n"/>
      <c r="H1534" s="102" t="n"/>
      <c r="I1534" s="102" t="n"/>
      <c r="J1534" s="102" t="n"/>
      <c r="K1534" s="102" t="n"/>
      <c r="L1534" s="102" t="n"/>
      <c r="M1534" s="102" t="n"/>
      <c r="N1534" s="102" t="n"/>
      <c r="O1534" s="102" t="n"/>
      <c r="P1534" s="102" t="n"/>
      <c r="Q1534" s="102" t="n"/>
      <c r="R1534" s="102" t="n"/>
      <c r="S1534" s="102" t="n"/>
      <c r="T1534" s="102" t="n"/>
      <c r="U1534" s="102" t="n"/>
      <c r="V1534" s="102" t="n"/>
      <c r="W1534" s="102" t="n"/>
      <c r="X1534" s="102" t="n"/>
      <c r="Y1534" s="102" t="n"/>
      <c r="Z1534" s="102" t="n"/>
      <c r="AA1534" s="102" t="n"/>
      <c r="AB1534" s="102" t="n"/>
      <c r="AC1534" s="102" t="n"/>
      <c r="AD1534" s="102" t="n"/>
      <c r="AE1534" s="102" t="n"/>
      <c r="AF1534" s="102" t="n"/>
      <c r="AG1534" s="102" t="n"/>
      <c r="AH1534" s="102" t="n"/>
      <c r="AI1534" s="102" t="n"/>
      <c r="AJ1534" s="102" t="n"/>
      <c r="AK1534" s="102" t="n"/>
      <c r="AL1534" s="102" t="n"/>
      <c r="AM1534" s="102" t="n"/>
      <c r="AN1534" s="102" t="n"/>
      <c r="AO1534" s="102" t="n"/>
      <c r="AP1534" s="102" t="n"/>
      <c r="AQ1534" s="102" t="n"/>
      <c r="AR1534" s="102" t="n"/>
    </row>
    <row r="1535">
      <c r="D1535" s="102" t="n"/>
      <c r="E1535" s="102" t="n"/>
      <c r="F1535" s="102" t="n"/>
      <c r="G1535" s="102" t="n"/>
      <c r="H1535" s="102" t="n"/>
      <c r="I1535" s="102" t="n"/>
      <c r="J1535" s="102" t="n"/>
      <c r="K1535" s="102" t="n"/>
      <c r="L1535" s="102" t="n"/>
      <c r="M1535" s="102" t="n"/>
      <c r="N1535" s="102" t="n"/>
      <c r="O1535" s="102" t="n"/>
      <c r="P1535" s="102" t="n"/>
      <c r="Q1535" s="102" t="n"/>
      <c r="R1535" s="102" t="n"/>
      <c r="S1535" s="102" t="n"/>
      <c r="T1535" s="102" t="n"/>
      <c r="U1535" s="102" t="n"/>
      <c r="V1535" s="102" t="n"/>
      <c r="W1535" s="102" t="n"/>
      <c r="X1535" s="102" t="n"/>
      <c r="Y1535" s="102" t="n"/>
      <c r="Z1535" s="102" t="n"/>
      <c r="AA1535" s="102" t="n"/>
      <c r="AB1535" s="102" t="n"/>
      <c r="AC1535" s="102" t="n"/>
      <c r="AD1535" s="102" t="n"/>
      <c r="AE1535" s="102" t="n"/>
      <c r="AF1535" s="102" t="n"/>
      <c r="AG1535" s="102" t="n"/>
      <c r="AH1535" s="102" t="n"/>
      <c r="AI1535" s="102" t="n"/>
      <c r="AJ1535" s="102" t="n"/>
      <c r="AK1535" s="102" t="n"/>
      <c r="AL1535" s="102" t="n"/>
      <c r="AM1535" s="102" t="n"/>
      <c r="AN1535" s="102" t="n"/>
      <c r="AO1535" s="102" t="n"/>
      <c r="AP1535" s="102" t="n"/>
      <c r="AQ1535" s="102" t="n"/>
      <c r="AR1535" s="102" t="n"/>
    </row>
    <row r="1536">
      <c r="D1536" s="102" t="n"/>
      <c r="E1536" s="102" t="n"/>
      <c r="F1536" s="102" t="n"/>
      <c r="G1536" s="102" t="n"/>
      <c r="H1536" s="102" t="n"/>
      <c r="I1536" s="102" t="n"/>
      <c r="J1536" s="102" t="n"/>
      <c r="K1536" s="102" t="n"/>
      <c r="L1536" s="102" t="n"/>
      <c r="M1536" s="102" t="n"/>
      <c r="N1536" s="102" t="n"/>
      <c r="O1536" s="102" t="n"/>
      <c r="P1536" s="102" t="n"/>
      <c r="Q1536" s="102" t="n"/>
      <c r="R1536" s="102" t="n"/>
      <c r="S1536" s="102" t="n"/>
      <c r="T1536" s="102" t="n"/>
      <c r="U1536" s="102" t="n"/>
      <c r="V1536" s="102" t="n"/>
      <c r="W1536" s="102" t="n"/>
      <c r="X1536" s="102" t="n"/>
      <c r="Y1536" s="102" t="n"/>
      <c r="Z1536" s="102" t="n"/>
      <c r="AA1536" s="102" t="n"/>
      <c r="AB1536" s="102" t="n"/>
      <c r="AC1536" s="102" t="n"/>
      <c r="AD1536" s="102" t="n"/>
      <c r="AE1536" s="102" t="n"/>
      <c r="AF1536" s="102" t="n"/>
      <c r="AG1536" s="102" t="n"/>
      <c r="AH1536" s="102" t="n"/>
      <c r="AI1536" s="102" t="n"/>
      <c r="AJ1536" s="102" t="n"/>
      <c r="AK1536" s="102" t="n"/>
      <c r="AL1536" s="102" t="n"/>
      <c r="AM1536" s="102" t="n"/>
      <c r="AN1536" s="102" t="n"/>
      <c r="AO1536" s="102" t="n"/>
      <c r="AP1536" s="102" t="n"/>
      <c r="AQ1536" s="102" t="n"/>
      <c r="AR1536" s="102" t="n"/>
    </row>
    <row r="1537">
      <c r="D1537" s="103" t="n"/>
      <c r="E1537" s="103" t="n"/>
      <c r="F1537" s="103" t="n"/>
      <c r="G1537" s="103" t="n"/>
      <c r="H1537" s="103" t="n"/>
      <c r="I1537" s="103" t="n"/>
      <c r="J1537" s="103" t="n"/>
      <c r="K1537" s="103" t="n"/>
      <c r="L1537" s="103" t="n"/>
      <c r="M1537" s="103" t="n"/>
      <c r="N1537" s="103" t="n"/>
      <c r="O1537" s="103" t="n"/>
      <c r="P1537" s="103" t="n"/>
      <c r="Q1537" s="103" t="n"/>
      <c r="R1537" s="103" t="n"/>
      <c r="S1537" s="103" t="n"/>
      <c r="T1537" s="103" t="n"/>
      <c r="U1537" s="103" t="n"/>
      <c r="V1537" s="103" t="n"/>
      <c r="W1537" s="103" t="n"/>
      <c r="X1537" s="103" t="n"/>
      <c r="Y1537" s="103" t="n"/>
      <c r="Z1537" s="103" t="n"/>
      <c r="AA1537" s="103" t="n"/>
      <c r="AB1537" s="103" t="n"/>
      <c r="AC1537" s="103" t="n"/>
      <c r="AD1537" s="103" t="n"/>
      <c r="AE1537" s="103" t="n"/>
      <c r="AF1537" s="103" t="n"/>
      <c r="AG1537" s="103" t="n"/>
      <c r="AH1537" s="103" t="n"/>
      <c r="AI1537" s="103" t="n"/>
      <c r="AJ1537" s="103" t="n"/>
      <c r="AK1537" s="103" t="n"/>
      <c r="AL1537" s="103" t="n"/>
      <c r="AM1537" s="103" t="n"/>
      <c r="AN1537" s="103" t="n"/>
      <c r="AO1537" s="103" t="n"/>
      <c r="AP1537" s="103" t="n"/>
      <c r="AQ1537" s="103" t="n"/>
      <c r="AR1537" s="103" t="n"/>
    </row>
    <row r="1540">
      <c r="A1540" s="2">
        <f>IF($A1533="","","   projections")</f>
        <v/>
      </c>
      <c r="B1540" s="99">
        <f>IF($A1533="",0,COUNT($E1541:$AR1541))</f>
        <v/>
      </c>
      <c r="C1540" s="100">
        <f>IF($B1540=0,0,MAX($E1541:$AR1541))</f>
        <v/>
      </c>
      <c r="D1540" s="101">
        <f>BDS($A1533,FLD_PROJ,"headers=y","startcol=1","endcol=3","dir=h")</f>
        <v/>
      </c>
      <c r="E1540" s="102" t="n"/>
      <c r="F1540" s="102" t="n"/>
      <c r="G1540" s="102" t="n"/>
      <c r="H1540" s="102" t="n"/>
      <c r="I1540" s="102" t="n"/>
      <c r="J1540" s="102" t="n"/>
      <c r="K1540" s="102" t="n"/>
      <c r="L1540" s="102" t="n"/>
      <c r="M1540" s="102" t="n"/>
      <c r="N1540" s="102" t="n"/>
      <c r="O1540" s="102" t="n"/>
      <c r="P1540" s="102" t="n"/>
      <c r="Q1540" s="102" t="n"/>
      <c r="R1540" s="102" t="n"/>
      <c r="S1540" s="102" t="n"/>
      <c r="T1540" s="102" t="n"/>
      <c r="U1540" s="102" t="n"/>
      <c r="V1540" s="102" t="n"/>
      <c r="W1540" s="102" t="n"/>
      <c r="X1540" s="102" t="n"/>
      <c r="Y1540" s="102" t="n"/>
      <c r="Z1540" s="102" t="n"/>
      <c r="AA1540" s="102" t="n"/>
      <c r="AB1540" s="102" t="n"/>
      <c r="AC1540" s="102" t="n"/>
      <c r="AD1540" s="102" t="n"/>
      <c r="AE1540" s="102" t="n"/>
      <c r="AF1540" s="102" t="n"/>
      <c r="AG1540" s="102" t="n"/>
      <c r="AH1540" s="102" t="n"/>
      <c r="AI1540" s="102" t="n"/>
      <c r="AJ1540" s="102" t="n"/>
      <c r="AK1540" s="102" t="n"/>
      <c r="AL1540" s="102" t="n"/>
      <c r="AM1540" s="102" t="n"/>
      <c r="AN1540" s="102" t="n"/>
      <c r="AO1540" s="102" t="n"/>
      <c r="AP1540" s="102" t="n"/>
      <c r="AQ1540" s="102" t="n"/>
      <c r="AR1540" s="102" t="n"/>
    </row>
    <row r="1541">
      <c r="D1541" s="102" t="n"/>
      <c r="E1541" s="102" t="n"/>
      <c r="F1541" s="102" t="n"/>
      <c r="G1541" s="102" t="n"/>
      <c r="H1541" s="102" t="n"/>
      <c r="I1541" s="102" t="n"/>
      <c r="J1541" s="102" t="n"/>
      <c r="K1541" s="102" t="n"/>
      <c r="L1541" s="102" t="n"/>
      <c r="M1541" s="102" t="n"/>
      <c r="N1541" s="102" t="n"/>
      <c r="O1541" s="102" t="n"/>
      <c r="P1541" s="102" t="n"/>
      <c r="Q1541" s="102" t="n"/>
      <c r="R1541" s="102" t="n"/>
      <c r="S1541" s="102" t="n"/>
      <c r="T1541" s="102" t="n"/>
      <c r="U1541" s="102" t="n"/>
      <c r="V1541" s="102" t="n"/>
      <c r="W1541" s="102" t="n"/>
      <c r="X1541" s="102" t="n"/>
      <c r="Y1541" s="102" t="n"/>
      <c r="Z1541" s="102" t="n"/>
      <c r="AA1541" s="102" t="n"/>
      <c r="AB1541" s="102" t="n"/>
      <c r="AC1541" s="102" t="n"/>
      <c r="AD1541" s="102" t="n"/>
      <c r="AE1541" s="102" t="n"/>
      <c r="AF1541" s="102" t="n"/>
      <c r="AG1541" s="102" t="n"/>
      <c r="AH1541" s="102" t="n"/>
      <c r="AI1541" s="102" t="n"/>
      <c r="AJ1541" s="102" t="n"/>
      <c r="AK1541" s="102" t="n"/>
      <c r="AL1541" s="102" t="n"/>
      <c r="AM1541" s="102" t="n"/>
      <c r="AN1541" s="102" t="n"/>
      <c r="AO1541" s="102" t="n"/>
      <c r="AP1541" s="102" t="n"/>
      <c r="AQ1541" s="102" t="n"/>
      <c r="AR1541" s="102" t="n"/>
    </row>
    <row r="1542">
      <c r="D1542" s="103" t="n"/>
      <c r="E1542" s="103" t="n"/>
      <c r="F1542" s="103" t="n"/>
      <c r="G1542" s="103" t="n"/>
      <c r="H1542" s="103" t="n"/>
      <c r="I1542" s="103" t="n"/>
      <c r="J1542" s="103" t="n"/>
      <c r="K1542" s="103" t="n"/>
      <c r="L1542" s="103" t="n"/>
      <c r="M1542" s="103" t="n"/>
      <c r="N1542" s="103" t="n"/>
      <c r="O1542" s="103" t="n"/>
      <c r="P1542" s="103" t="n"/>
      <c r="Q1542" s="103" t="n"/>
      <c r="R1542" s="103" t="n"/>
      <c r="S1542" s="103" t="n"/>
      <c r="T1542" s="103" t="n"/>
      <c r="U1542" s="103" t="n"/>
      <c r="V1542" s="103" t="n"/>
      <c r="W1542" s="103" t="n"/>
      <c r="X1542" s="103" t="n"/>
      <c r="Y1542" s="103" t="n"/>
      <c r="Z1542" s="103" t="n"/>
      <c r="AA1542" s="103" t="n"/>
      <c r="AB1542" s="103" t="n"/>
      <c r="AC1542" s="103" t="n"/>
      <c r="AD1542" s="103" t="n"/>
      <c r="AE1542" s="103" t="n"/>
      <c r="AF1542" s="103" t="n"/>
      <c r="AG1542" s="103" t="n"/>
      <c r="AH1542" s="103" t="n"/>
      <c r="AI1542" s="103" t="n"/>
      <c r="AJ1542" s="103" t="n"/>
      <c r="AK1542" s="103" t="n"/>
      <c r="AL1542" s="103" t="n"/>
      <c r="AM1542" s="103" t="n"/>
      <c r="AN1542" s="103" t="n"/>
      <c r="AO1542" s="103" t="n"/>
      <c r="AP1542" s="103" t="n"/>
      <c r="AQ1542" s="103" t="n"/>
      <c r="AR1542" s="103" t="n"/>
    </row>
    <row r="1544">
      <c r="A1544" s="8">
        <f>IF(HSTECH!$C$46="","",HSTECH!$C$46)</f>
        <v/>
      </c>
      <c r="B1544" s="99">
        <f>IF($A1544="",0,COUNT($E1545:$AR1545))</f>
        <v/>
      </c>
      <c r="C1544" s="100">
        <f>IF($B1544=0,0,MAX($E1545:$AR1545))</f>
        <v/>
      </c>
      <c r="D1544" s="101">
        <f>BDS($A1544,FLD_HIST,"headers=y","startcol=1","endcol=7","dir=h","DVD_START_DT",HIST_FROM,"DVD_END_DT",HIST_TO)</f>
        <v/>
      </c>
      <c r="E1544" s="102" t="n"/>
      <c r="F1544" s="102" t="n"/>
      <c r="G1544" s="102" t="n"/>
      <c r="H1544" s="102" t="n"/>
      <c r="I1544" s="102" t="n"/>
      <c r="J1544" s="102" t="n"/>
      <c r="K1544" s="102" t="n"/>
      <c r="L1544" s="102" t="n"/>
      <c r="M1544" s="102" t="n"/>
      <c r="N1544" s="102" t="n"/>
      <c r="O1544" s="102" t="n"/>
      <c r="P1544" s="102" t="n"/>
      <c r="Q1544" s="102" t="n"/>
      <c r="R1544" s="102" t="n"/>
      <c r="S1544" s="102" t="n"/>
      <c r="T1544" s="102" t="n"/>
      <c r="U1544" s="102" t="n"/>
      <c r="V1544" s="102" t="n"/>
      <c r="W1544" s="102" t="n"/>
      <c r="X1544" s="102" t="n"/>
      <c r="Y1544" s="102" t="n"/>
      <c r="Z1544" s="102" t="n"/>
      <c r="AA1544" s="102" t="n"/>
      <c r="AB1544" s="102" t="n"/>
      <c r="AC1544" s="102" t="n"/>
      <c r="AD1544" s="102" t="n"/>
      <c r="AE1544" s="102" t="n"/>
      <c r="AF1544" s="102" t="n"/>
      <c r="AG1544" s="102" t="n"/>
      <c r="AH1544" s="102" t="n"/>
      <c r="AI1544" s="102" t="n"/>
      <c r="AJ1544" s="102" t="n"/>
      <c r="AK1544" s="102" t="n"/>
      <c r="AL1544" s="102" t="n"/>
      <c r="AM1544" s="102" t="n"/>
      <c r="AN1544" s="102" t="n"/>
      <c r="AO1544" s="102" t="n"/>
      <c r="AP1544" s="102" t="n"/>
      <c r="AQ1544" s="102" t="n"/>
      <c r="AR1544" s="102" t="n"/>
    </row>
    <row r="1545">
      <c r="D1545" s="102" t="n"/>
      <c r="E1545" s="102" t="n"/>
      <c r="F1545" s="102" t="n"/>
      <c r="G1545" s="102" t="n"/>
      <c r="H1545" s="102" t="n"/>
      <c r="I1545" s="102" t="n"/>
      <c r="J1545" s="102" t="n"/>
      <c r="K1545" s="102" t="n"/>
      <c r="L1545" s="102" t="n"/>
      <c r="M1545" s="102" t="n"/>
      <c r="N1545" s="102" t="n"/>
      <c r="O1545" s="102" t="n"/>
      <c r="P1545" s="102" t="n"/>
      <c r="Q1545" s="102" t="n"/>
      <c r="R1545" s="102" t="n"/>
      <c r="S1545" s="102" t="n"/>
      <c r="T1545" s="102" t="n"/>
      <c r="U1545" s="102" t="n"/>
      <c r="V1545" s="102" t="n"/>
      <c r="W1545" s="102" t="n"/>
      <c r="X1545" s="102" t="n"/>
      <c r="Y1545" s="102" t="n"/>
      <c r="Z1545" s="102" t="n"/>
      <c r="AA1545" s="102" t="n"/>
      <c r="AB1545" s="102" t="n"/>
      <c r="AC1545" s="102" t="n"/>
      <c r="AD1545" s="102" t="n"/>
      <c r="AE1545" s="102" t="n"/>
      <c r="AF1545" s="102" t="n"/>
      <c r="AG1545" s="102" t="n"/>
      <c r="AH1545" s="102" t="n"/>
      <c r="AI1545" s="102" t="n"/>
      <c r="AJ1545" s="102" t="n"/>
      <c r="AK1545" s="102" t="n"/>
      <c r="AL1545" s="102" t="n"/>
      <c r="AM1545" s="102" t="n"/>
      <c r="AN1545" s="102" t="n"/>
      <c r="AO1545" s="102" t="n"/>
      <c r="AP1545" s="102" t="n"/>
      <c r="AQ1545" s="102" t="n"/>
      <c r="AR1545" s="102" t="n"/>
    </row>
    <row r="1546">
      <c r="D1546" s="102" t="n"/>
      <c r="E1546" s="102" t="n"/>
      <c r="F1546" s="102" t="n"/>
      <c r="G1546" s="102" t="n"/>
      <c r="H1546" s="102" t="n"/>
      <c r="I1546" s="102" t="n"/>
      <c r="J1546" s="102" t="n"/>
      <c r="K1546" s="102" t="n"/>
      <c r="L1546" s="102" t="n"/>
      <c r="M1546" s="102" t="n"/>
      <c r="N1546" s="102" t="n"/>
      <c r="O1546" s="102" t="n"/>
      <c r="P1546" s="102" t="n"/>
      <c r="Q1546" s="102" t="n"/>
      <c r="R1546" s="102" t="n"/>
      <c r="S1546" s="102" t="n"/>
      <c r="T1546" s="102" t="n"/>
      <c r="U1546" s="102" t="n"/>
      <c r="V1546" s="102" t="n"/>
      <c r="W1546" s="102" t="n"/>
      <c r="X1546" s="102" t="n"/>
      <c r="Y1546" s="102" t="n"/>
      <c r="Z1546" s="102" t="n"/>
      <c r="AA1546" s="102" t="n"/>
      <c r="AB1546" s="102" t="n"/>
      <c r="AC1546" s="102" t="n"/>
      <c r="AD1546" s="102" t="n"/>
      <c r="AE1546" s="102" t="n"/>
      <c r="AF1546" s="102" t="n"/>
      <c r="AG1546" s="102" t="n"/>
      <c r="AH1546" s="102" t="n"/>
      <c r="AI1546" s="102" t="n"/>
      <c r="AJ1546" s="102" t="n"/>
      <c r="AK1546" s="102" t="n"/>
      <c r="AL1546" s="102" t="n"/>
      <c r="AM1546" s="102" t="n"/>
      <c r="AN1546" s="102" t="n"/>
      <c r="AO1546" s="102" t="n"/>
      <c r="AP1546" s="102" t="n"/>
      <c r="AQ1546" s="102" t="n"/>
      <c r="AR1546" s="102" t="n"/>
    </row>
    <row r="1547">
      <c r="D1547" s="102" t="n"/>
      <c r="E1547" s="102" t="n"/>
      <c r="F1547" s="102" t="n"/>
      <c r="G1547" s="102" t="n"/>
      <c r="H1547" s="102" t="n"/>
      <c r="I1547" s="102" t="n"/>
      <c r="J1547" s="102" t="n"/>
      <c r="K1547" s="102" t="n"/>
      <c r="L1547" s="102" t="n"/>
      <c r="M1547" s="102" t="n"/>
      <c r="N1547" s="102" t="n"/>
      <c r="O1547" s="102" t="n"/>
      <c r="P1547" s="102" t="n"/>
      <c r="Q1547" s="102" t="n"/>
      <c r="R1547" s="102" t="n"/>
      <c r="S1547" s="102" t="n"/>
      <c r="T1547" s="102" t="n"/>
      <c r="U1547" s="102" t="n"/>
      <c r="V1547" s="102" t="n"/>
      <c r="W1547" s="102" t="n"/>
      <c r="X1547" s="102" t="n"/>
      <c r="Y1547" s="102" t="n"/>
      <c r="Z1547" s="102" t="n"/>
      <c r="AA1547" s="102" t="n"/>
      <c r="AB1547" s="102" t="n"/>
      <c r="AC1547" s="102" t="n"/>
      <c r="AD1547" s="102" t="n"/>
      <c r="AE1547" s="102" t="n"/>
      <c r="AF1547" s="102" t="n"/>
      <c r="AG1547" s="102" t="n"/>
      <c r="AH1547" s="102" t="n"/>
      <c r="AI1547" s="102" t="n"/>
      <c r="AJ1547" s="102" t="n"/>
      <c r="AK1547" s="102" t="n"/>
      <c r="AL1547" s="102" t="n"/>
      <c r="AM1547" s="102" t="n"/>
      <c r="AN1547" s="102" t="n"/>
      <c r="AO1547" s="102" t="n"/>
      <c r="AP1547" s="102" t="n"/>
      <c r="AQ1547" s="102" t="n"/>
      <c r="AR1547" s="102" t="n"/>
    </row>
    <row r="1548">
      <c r="D1548" s="103" t="n"/>
      <c r="E1548" s="103" t="n"/>
      <c r="F1548" s="103" t="n"/>
      <c r="G1548" s="103" t="n"/>
      <c r="H1548" s="103" t="n"/>
      <c r="I1548" s="103" t="n"/>
      <c r="J1548" s="103" t="n"/>
      <c r="K1548" s="103" t="n"/>
      <c r="L1548" s="103" t="n"/>
      <c r="M1548" s="103" t="n"/>
      <c r="N1548" s="103" t="n"/>
      <c r="O1548" s="103" t="n"/>
      <c r="P1548" s="103" t="n"/>
      <c r="Q1548" s="103" t="n"/>
      <c r="R1548" s="103" t="n"/>
      <c r="S1548" s="103" t="n"/>
      <c r="T1548" s="103" t="n"/>
      <c r="U1548" s="103" t="n"/>
      <c r="V1548" s="103" t="n"/>
      <c r="W1548" s="103" t="n"/>
      <c r="X1548" s="103" t="n"/>
      <c r="Y1548" s="103" t="n"/>
      <c r="Z1548" s="103" t="n"/>
      <c r="AA1548" s="103" t="n"/>
      <c r="AB1548" s="103" t="n"/>
      <c r="AC1548" s="103" t="n"/>
      <c r="AD1548" s="103" t="n"/>
      <c r="AE1548" s="103" t="n"/>
      <c r="AF1548" s="103" t="n"/>
      <c r="AG1548" s="103" t="n"/>
      <c r="AH1548" s="103" t="n"/>
      <c r="AI1548" s="103" t="n"/>
      <c r="AJ1548" s="103" t="n"/>
      <c r="AK1548" s="103" t="n"/>
      <c r="AL1548" s="103" t="n"/>
      <c r="AM1548" s="103" t="n"/>
      <c r="AN1548" s="103" t="n"/>
      <c r="AO1548" s="103" t="n"/>
      <c r="AP1548" s="103" t="n"/>
      <c r="AQ1548" s="103" t="n"/>
      <c r="AR1548" s="103" t="n"/>
    </row>
    <row r="1551">
      <c r="A1551" s="2">
        <f>IF($A1544="","","   projections")</f>
        <v/>
      </c>
      <c r="B1551" s="99">
        <f>IF($A1544="",0,COUNT($E1552:$AR1552))</f>
        <v/>
      </c>
      <c r="C1551" s="100">
        <f>IF($B1551=0,0,MAX($E1552:$AR1552))</f>
        <v/>
      </c>
      <c r="D1551" s="101">
        <f>BDS($A1544,FLD_PROJ,"headers=y","startcol=1","endcol=3","dir=h")</f>
        <v/>
      </c>
      <c r="E1551" s="102" t="n"/>
      <c r="F1551" s="102" t="n"/>
      <c r="G1551" s="102" t="n"/>
      <c r="H1551" s="102" t="n"/>
      <c r="I1551" s="102" t="n"/>
      <c r="J1551" s="102" t="n"/>
      <c r="K1551" s="102" t="n"/>
      <c r="L1551" s="102" t="n"/>
      <c r="M1551" s="102" t="n"/>
      <c r="N1551" s="102" t="n"/>
      <c r="O1551" s="102" t="n"/>
      <c r="P1551" s="102" t="n"/>
      <c r="Q1551" s="102" t="n"/>
      <c r="R1551" s="102" t="n"/>
      <c r="S1551" s="102" t="n"/>
      <c r="T1551" s="102" t="n"/>
      <c r="U1551" s="102" t="n"/>
      <c r="V1551" s="102" t="n"/>
      <c r="W1551" s="102" t="n"/>
      <c r="X1551" s="102" t="n"/>
      <c r="Y1551" s="102" t="n"/>
      <c r="Z1551" s="102" t="n"/>
      <c r="AA1551" s="102" t="n"/>
      <c r="AB1551" s="102" t="n"/>
      <c r="AC1551" s="102" t="n"/>
      <c r="AD1551" s="102" t="n"/>
      <c r="AE1551" s="102" t="n"/>
      <c r="AF1551" s="102" t="n"/>
      <c r="AG1551" s="102" t="n"/>
      <c r="AH1551" s="102" t="n"/>
      <c r="AI1551" s="102" t="n"/>
      <c r="AJ1551" s="102" t="n"/>
      <c r="AK1551" s="102" t="n"/>
      <c r="AL1551" s="102" t="n"/>
      <c r="AM1551" s="102" t="n"/>
      <c r="AN1551" s="102" t="n"/>
      <c r="AO1551" s="102" t="n"/>
      <c r="AP1551" s="102" t="n"/>
      <c r="AQ1551" s="102" t="n"/>
      <c r="AR1551" s="102" t="n"/>
    </row>
    <row r="1552">
      <c r="D1552" s="102" t="n"/>
      <c r="E1552" s="102" t="n"/>
      <c r="F1552" s="102" t="n"/>
      <c r="G1552" s="102" t="n"/>
      <c r="H1552" s="102" t="n"/>
      <c r="I1552" s="102" t="n"/>
      <c r="J1552" s="102" t="n"/>
      <c r="K1552" s="102" t="n"/>
      <c r="L1552" s="102" t="n"/>
      <c r="M1552" s="102" t="n"/>
      <c r="N1552" s="102" t="n"/>
      <c r="O1552" s="102" t="n"/>
      <c r="P1552" s="102" t="n"/>
      <c r="Q1552" s="102" t="n"/>
      <c r="R1552" s="102" t="n"/>
      <c r="S1552" s="102" t="n"/>
      <c r="T1552" s="102" t="n"/>
      <c r="U1552" s="102" t="n"/>
      <c r="V1552" s="102" t="n"/>
      <c r="W1552" s="102" t="n"/>
      <c r="X1552" s="102" t="n"/>
      <c r="Y1552" s="102" t="n"/>
      <c r="Z1552" s="102" t="n"/>
      <c r="AA1552" s="102" t="n"/>
      <c r="AB1552" s="102" t="n"/>
      <c r="AC1552" s="102" t="n"/>
      <c r="AD1552" s="102" t="n"/>
      <c r="AE1552" s="102" t="n"/>
      <c r="AF1552" s="102" t="n"/>
      <c r="AG1552" s="102" t="n"/>
      <c r="AH1552" s="102" t="n"/>
      <c r="AI1552" s="102" t="n"/>
      <c r="AJ1552" s="102" t="n"/>
      <c r="AK1552" s="102" t="n"/>
      <c r="AL1552" s="102" t="n"/>
      <c r="AM1552" s="102" t="n"/>
      <c r="AN1552" s="102" t="n"/>
      <c r="AO1552" s="102" t="n"/>
      <c r="AP1552" s="102" t="n"/>
      <c r="AQ1552" s="102" t="n"/>
      <c r="AR1552" s="102" t="n"/>
    </row>
    <row r="1553">
      <c r="D1553" s="103" t="n"/>
      <c r="E1553" s="103" t="n"/>
      <c r="F1553" s="103" t="n"/>
      <c r="G1553" s="103" t="n"/>
      <c r="H1553" s="103" t="n"/>
      <c r="I1553" s="103" t="n"/>
      <c r="J1553" s="103" t="n"/>
      <c r="K1553" s="103" t="n"/>
      <c r="L1553" s="103" t="n"/>
      <c r="M1553" s="103" t="n"/>
      <c r="N1553" s="103" t="n"/>
      <c r="O1553" s="103" t="n"/>
      <c r="P1553" s="103" t="n"/>
      <c r="Q1553" s="103" t="n"/>
      <c r="R1553" s="103" t="n"/>
      <c r="S1553" s="103" t="n"/>
      <c r="T1553" s="103" t="n"/>
      <c r="U1553" s="103" t="n"/>
      <c r="V1553" s="103" t="n"/>
      <c r="W1553" s="103" t="n"/>
      <c r="X1553" s="103" t="n"/>
      <c r="Y1553" s="103" t="n"/>
      <c r="Z1553" s="103" t="n"/>
      <c r="AA1553" s="103" t="n"/>
      <c r="AB1553" s="103" t="n"/>
      <c r="AC1553" s="103" t="n"/>
      <c r="AD1553" s="103" t="n"/>
      <c r="AE1553" s="103" t="n"/>
      <c r="AF1553" s="103" t="n"/>
      <c r="AG1553" s="103" t="n"/>
      <c r="AH1553" s="103" t="n"/>
      <c r="AI1553" s="103" t="n"/>
      <c r="AJ1553" s="103" t="n"/>
      <c r="AK1553" s="103" t="n"/>
      <c r="AL1553" s="103" t="n"/>
      <c r="AM1553" s="103" t="n"/>
      <c r="AN1553" s="103" t="n"/>
      <c r="AO1553" s="103" t="n"/>
      <c r="AP1553" s="103" t="n"/>
      <c r="AQ1553" s="103" t="n"/>
      <c r="AR1553" s="103" t="n"/>
    </row>
    <row r="1557">
      <c r="A1557" s="6" t="inlineStr">
        <is>
          <t>Hang Seng China Enterprises (HSCEI)</t>
        </is>
      </c>
      <c r="B1557" s="7" t="n"/>
      <c r="C1557" s="7" t="n"/>
      <c r="D1557" s="7" t="n"/>
      <c r="F1557" s="2">
        <f>SUMPRODUCT($B$1560:$B$2219)&amp;" events read   |   "&amp;COUNTA($AS$1560:$CF$2219)&amp;" beyond the window (must be 0)"</f>
        <v/>
      </c>
    </row>
    <row r="1558">
      <c r="A1558" s="23" t="inlineStr">
        <is>
          <t>Ticker</t>
        </is>
      </c>
      <c r="B1558" s="23" t="inlineStr">
        <is>
          <t>Events</t>
        </is>
      </c>
      <c r="C1558" s="23" t="inlineStr">
        <is>
          <t>Last ex</t>
        </is>
      </c>
      <c r="D1558" s="23" t="inlineStr">
        <is>
          <t>Bloomberg spill -&gt;</t>
        </is>
      </c>
    </row>
    <row r="1560">
      <c r="A1560" s="8">
        <f>IF(HSCEI!$C$7="","",HSCEI!$C$7)</f>
        <v/>
      </c>
      <c r="B1560" s="99">
        <f>IF($A1560="",0,COUNT($E1561:$AR1561))</f>
        <v/>
      </c>
      <c r="C1560" s="100">
        <f>IF($B1560=0,0,MAX($E1561:$AR1561))</f>
        <v/>
      </c>
      <c r="D1560" s="101">
        <f>BDS($A1560,FLD_HIST,"headers=y","startcol=1","endcol=7","dir=h","DVD_START_DT",HIST_FROM,"DVD_END_DT",HIST_TO)</f>
        <v/>
      </c>
      <c r="E1560" s="102" t="n"/>
      <c r="F1560" s="102" t="n"/>
      <c r="G1560" s="102" t="n"/>
      <c r="H1560" s="102" t="n"/>
      <c r="I1560" s="102" t="n"/>
      <c r="J1560" s="102" t="n"/>
      <c r="K1560" s="102" t="n"/>
      <c r="L1560" s="102" t="n"/>
      <c r="M1560" s="102" t="n"/>
      <c r="N1560" s="102" t="n"/>
      <c r="O1560" s="102" t="n"/>
      <c r="P1560" s="102" t="n"/>
      <c r="Q1560" s="102" t="n"/>
      <c r="R1560" s="102" t="n"/>
      <c r="S1560" s="102" t="n"/>
      <c r="T1560" s="102" t="n"/>
      <c r="U1560" s="102" t="n"/>
      <c r="V1560" s="102" t="n"/>
      <c r="W1560" s="102" t="n"/>
      <c r="X1560" s="102" t="n"/>
      <c r="Y1560" s="102" t="n"/>
      <c r="Z1560" s="102" t="n"/>
      <c r="AA1560" s="102" t="n"/>
      <c r="AB1560" s="102" t="n"/>
      <c r="AC1560" s="102" t="n"/>
      <c r="AD1560" s="102" t="n"/>
      <c r="AE1560" s="102" t="n"/>
      <c r="AF1560" s="102" t="n"/>
      <c r="AG1560" s="102" t="n"/>
      <c r="AH1560" s="102" t="n"/>
      <c r="AI1560" s="102" t="n"/>
      <c r="AJ1560" s="102" t="n"/>
      <c r="AK1560" s="102" t="n"/>
      <c r="AL1560" s="102" t="n"/>
      <c r="AM1560" s="102" t="n"/>
      <c r="AN1560" s="102" t="n"/>
      <c r="AO1560" s="102" t="n"/>
      <c r="AP1560" s="102" t="n"/>
      <c r="AQ1560" s="102" t="n"/>
      <c r="AR1560" s="102" t="n"/>
    </row>
    <row r="1561">
      <c r="D1561" s="102" t="n"/>
      <c r="E1561" s="102" t="n"/>
      <c r="F1561" s="102" t="n"/>
      <c r="G1561" s="102" t="n"/>
      <c r="H1561" s="102" t="n"/>
      <c r="I1561" s="102" t="n"/>
      <c r="J1561" s="102" t="n"/>
      <c r="K1561" s="102" t="n"/>
      <c r="L1561" s="102" t="n"/>
      <c r="M1561" s="102" t="n"/>
      <c r="N1561" s="102" t="n"/>
      <c r="O1561" s="102" t="n"/>
      <c r="P1561" s="102" t="n"/>
      <c r="Q1561" s="102" t="n"/>
      <c r="R1561" s="102" t="n"/>
      <c r="S1561" s="102" t="n"/>
      <c r="T1561" s="102" t="n"/>
      <c r="U1561" s="102" t="n"/>
      <c r="V1561" s="102" t="n"/>
      <c r="W1561" s="102" t="n"/>
      <c r="X1561" s="102" t="n"/>
      <c r="Y1561" s="102" t="n"/>
      <c r="Z1561" s="102" t="n"/>
      <c r="AA1561" s="102" t="n"/>
      <c r="AB1561" s="102" t="n"/>
      <c r="AC1561" s="102" t="n"/>
      <c r="AD1561" s="102" t="n"/>
      <c r="AE1561" s="102" t="n"/>
      <c r="AF1561" s="102" t="n"/>
      <c r="AG1561" s="102" t="n"/>
      <c r="AH1561" s="102" t="n"/>
      <c r="AI1561" s="102" t="n"/>
      <c r="AJ1561" s="102" t="n"/>
      <c r="AK1561" s="102" t="n"/>
      <c r="AL1561" s="102" t="n"/>
      <c r="AM1561" s="102" t="n"/>
      <c r="AN1561" s="102" t="n"/>
      <c r="AO1561" s="102" t="n"/>
      <c r="AP1561" s="102" t="n"/>
      <c r="AQ1561" s="102" t="n"/>
      <c r="AR1561" s="102" t="n"/>
    </row>
    <row r="1562">
      <c r="D1562" s="102" t="n"/>
      <c r="E1562" s="102" t="n"/>
      <c r="F1562" s="102" t="n"/>
      <c r="G1562" s="102" t="n"/>
      <c r="H1562" s="102" t="n"/>
      <c r="I1562" s="102" t="n"/>
      <c r="J1562" s="102" t="n"/>
      <c r="K1562" s="102" t="n"/>
      <c r="L1562" s="102" t="n"/>
      <c r="M1562" s="102" t="n"/>
      <c r="N1562" s="102" t="n"/>
      <c r="O1562" s="102" t="n"/>
      <c r="P1562" s="102" t="n"/>
      <c r="Q1562" s="102" t="n"/>
      <c r="R1562" s="102" t="n"/>
      <c r="S1562" s="102" t="n"/>
      <c r="T1562" s="102" t="n"/>
      <c r="U1562" s="102" t="n"/>
      <c r="V1562" s="102" t="n"/>
      <c r="W1562" s="102" t="n"/>
      <c r="X1562" s="102" t="n"/>
      <c r="Y1562" s="102" t="n"/>
      <c r="Z1562" s="102" t="n"/>
      <c r="AA1562" s="102" t="n"/>
      <c r="AB1562" s="102" t="n"/>
      <c r="AC1562" s="102" t="n"/>
      <c r="AD1562" s="102" t="n"/>
      <c r="AE1562" s="102" t="n"/>
      <c r="AF1562" s="102" t="n"/>
      <c r="AG1562" s="102" t="n"/>
      <c r="AH1562" s="102" t="n"/>
      <c r="AI1562" s="102" t="n"/>
      <c r="AJ1562" s="102" t="n"/>
      <c r="AK1562" s="102" t="n"/>
      <c r="AL1562" s="102" t="n"/>
      <c r="AM1562" s="102" t="n"/>
      <c r="AN1562" s="102" t="n"/>
      <c r="AO1562" s="102" t="n"/>
      <c r="AP1562" s="102" t="n"/>
      <c r="AQ1562" s="102" t="n"/>
      <c r="AR1562" s="102" t="n"/>
    </row>
    <row r="1563">
      <c r="D1563" s="102" t="n"/>
      <c r="E1563" s="102" t="n"/>
      <c r="F1563" s="102" t="n"/>
      <c r="G1563" s="102" t="n"/>
      <c r="H1563" s="102" t="n"/>
      <c r="I1563" s="102" t="n"/>
      <c r="J1563" s="102" t="n"/>
      <c r="K1563" s="102" t="n"/>
      <c r="L1563" s="102" t="n"/>
      <c r="M1563" s="102" t="n"/>
      <c r="N1563" s="102" t="n"/>
      <c r="O1563" s="102" t="n"/>
      <c r="P1563" s="102" t="n"/>
      <c r="Q1563" s="102" t="n"/>
      <c r="R1563" s="102" t="n"/>
      <c r="S1563" s="102" t="n"/>
      <c r="T1563" s="102" t="n"/>
      <c r="U1563" s="102" t="n"/>
      <c r="V1563" s="102" t="n"/>
      <c r="W1563" s="102" t="n"/>
      <c r="X1563" s="102" t="n"/>
      <c r="Y1563" s="102" t="n"/>
      <c r="Z1563" s="102" t="n"/>
      <c r="AA1563" s="102" t="n"/>
      <c r="AB1563" s="102" t="n"/>
      <c r="AC1563" s="102" t="n"/>
      <c r="AD1563" s="102" t="n"/>
      <c r="AE1563" s="102" t="n"/>
      <c r="AF1563" s="102" t="n"/>
      <c r="AG1563" s="102" t="n"/>
      <c r="AH1563" s="102" t="n"/>
      <c r="AI1563" s="102" t="n"/>
      <c r="AJ1563" s="102" t="n"/>
      <c r="AK1563" s="102" t="n"/>
      <c r="AL1563" s="102" t="n"/>
      <c r="AM1563" s="102" t="n"/>
      <c r="AN1563" s="102" t="n"/>
      <c r="AO1563" s="102" t="n"/>
      <c r="AP1563" s="102" t="n"/>
      <c r="AQ1563" s="102" t="n"/>
      <c r="AR1563" s="102" t="n"/>
    </row>
    <row r="1564">
      <c r="D1564" s="103" t="n"/>
      <c r="E1564" s="103" t="n"/>
      <c r="F1564" s="103" t="n"/>
      <c r="G1564" s="103" t="n"/>
      <c r="H1564" s="103" t="n"/>
      <c r="I1564" s="103" t="n"/>
      <c r="J1564" s="103" t="n"/>
      <c r="K1564" s="103" t="n"/>
      <c r="L1564" s="103" t="n"/>
      <c r="M1564" s="103" t="n"/>
      <c r="N1564" s="103" t="n"/>
      <c r="O1564" s="103" t="n"/>
      <c r="P1564" s="103" t="n"/>
      <c r="Q1564" s="103" t="n"/>
      <c r="R1564" s="103" t="n"/>
      <c r="S1564" s="103" t="n"/>
      <c r="T1564" s="103" t="n"/>
      <c r="U1564" s="103" t="n"/>
      <c r="V1564" s="103" t="n"/>
      <c r="W1564" s="103" t="n"/>
      <c r="X1564" s="103" t="n"/>
      <c r="Y1564" s="103" t="n"/>
      <c r="Z1564" s="103" t="n"/>
      <c r="AA1564" s="103" t="n"/>
      <c r="AB1564" s="103" t="n"/>
      <c r="AC1564" s="103" t="n"/>
      <c r="AD1564" s="103" t="n"/>
      <c r="AE1564" s="103" t="n"/>
      <c r="AF1564" s="103" t="n"/>
      <c r="AG1564" s="103" t="n"/>
      <c r="AH1564" s="103" t="n"/>
      <c r="AI1564" s="103" t="n"/>
      <c r="AJ1564" s="103" t="n"/>
      <c r="AK1564" s="103" t="n"/>
      <c r="AL1564" s="103" t="n"/>
      <c r="AM1564" s="103" t="n"/>
      <c r="AN1564" s="103" t="n"/>
      <c r="AO1564" s="103" t="n"/>
      <c r="AP1564" s="103" t="n"/>
      <c r="AQ1564" s="103" t="n"/>
      <c r="AR1564" s="103" t="n"/>
    </row>
    <row r="1567">
      <c r="A1567" s="2">
        <f>IF($A1560="","","   projections")</f>
        <v/>
      </c>
      <c r="B1567" s="99">
        <f>IF($A1560="",0,COUNT($E1568:$AR1568))</f>
        <v/>
      </c>
      <c r="C1567" s="100">
        <f>IF($B1567=0,0,MAX($E1568:$AR1568))</f>
        <v/>
      </c>
      <c r="D1567" s="101">
        <f>BDS($A1560,FLD_PROJ,"headers=y","startcol=1","endcol=3","dir=h")</f>
        <v/>
      </c>
      <c r="E1567" s="102" t="n"/>
      <c r="F1567" s="102" t="n"/>
      <c r="G1567" s="102" t="n"/>
      <c r="H1567" s="102" t="n"/>
      <c r="I1567" s="102" t="n"/>
      <c r="J1567" s="102" t="n"/>
      <c r="K1567" s="102" t="n"/>
      <c r="L1567" s="102" t="n"/>
      <c r="M1567" s="102" t="n"/>
      <c r="N1567" s="102" t="n"/>
      <c r="O1567" s="102" t="n"/>
      <c r="P1567" s="102" t="n"/>
      <c r="Q1567" s="102" t="n"/>
      <c r="R1567" s="102" t="n"/>
      <c r="S1567" s="102" t="n"/>
      <c r="T1567" s="102" t="n"/>
      <c r="U1567" s="102" t="n"/>
      <c r="V1567" s="102" t="n"/>
      <c r="W1567" s="102" t="n"/>
      <c r="X1567" s="102" t="n"/>
      <c r="Y1567" s="102" t="n"/>
      <c r="Z1567" s="102" t="n"/>
      <c r="AA1567" s="102" t="n"/>
      <c r="AB1567" s="102" t="n"/>
      <c r="AC1567" s="102" t="n"/>
      <c r="AD1567" s="102" t="n"/>
      <c r="AE1567" s="102" t="n"/>
      <c r="AF1567" s="102" t="n"/>
      <c r="AG1567" s="102" t="n"/>
      <c r="AH1567" s="102" t="n"/>
      <c r="AI1567" s="102" t="n"/>
      <c r="AJ1567" s="102" t="n"/>
      <c r="AK1567" s="102" t="n"/>
      <c r="AL1567" s="102" t="n"/>
      <c r="AM1567" s="102" t="n"/>
      <c r="AN1567" s="102" t="n"/>
      <c r="AO1567" s="102" t="n"/>
      <c r="AP1567" s="102" t="n"/>
      <c r="AQ1567" s="102" t="n"/>
      <c r="AR1567" s="102" t="n"/>
    </row>
    <row r="1568">
      <c r="D1568" s="102" t="n"/>
      <c r="E1568" s="102" t="n"/>
      <c r="F1568" s="102" t="n"/>
      <c r="G1568" s="102" t="n"/>
      <c r="H1568" s="102" t="n"/>
      <c r="I1568" s="102" t="n"/>
      <c r="J1568" s="102" t="n"/>
      <c r="K1568" s="102" t="n"/>
      <c r="L1568" s="102" t="n"/>
      <c r="M1568" s="102" t="n"/>
      <c r="N1568" s="102" t="n"/>
      <c r="O1568" s="102" t="n"/>
      <c r="P1568" s="102" t="n"/>
      <c r="Q1568" s="102" t="n"/>
      <c r="R1568" s="102" t="n"/>
      <c r="S1568" s="102" t="n"/>
      <c r="T1568" s="102" t="n"/>
      <c r="U1568" s="102" t="n"/>
      <c r="V1568" s="102" t="n"/>
      <c r="W1568" s="102" t="n"/>
      <c r="X1568" s="102" t="n"/>
      <c r="Y1568" s="102" t="n"/>
      <c r="Z1568" s="102" t="n"/>
      <c r="AA1568" s="102" t="n"/>
      <c r="AB1568" s="102" t="n"/>
      <c r="AC1568" s="102" t="n"/>
      <c r="AD1568" s="102" t="n"/>
      <c r="AE1568" s="102" t="n"/>
      <c r="AF1568" s="102" t="n"/>
      <c r="AG1568" s="102" t="n"/>
      <c r="AH1568" s="102" t="n"/>
      <c r="AI1568" s="102" t="n"/>
      <c r="AJ1568" s="102" t="n"/>
      <c r="AK1568" s="102" t="n"/>
      <c r="AL1568" s="102" t="n"/>
      <c r="AM1568" s="102" t="n"/>
      <c r="AN1568" s="102" t="n"/>
      <c r="AO1568" s="102" t="n"/>
      <c r="AP1568" s="102" t="n"/>
      <c r="AQ1568" s="102" t="n"/>
      <c r="AR1568" s="102" t="n"/>
    </row>
    <row r="1569">
      <c r="D1569" s="103" t="n"/>
      <c r="E1569" s="103" t="n"/>
      <c r="F1569" s="103" t="n"/>
      <c r="G1569" s="103" t="n"/>
      <c r="H1569" s="103" t="n"/>
      <c r="I1569" s="103" t="n"/>
      <c r="J1569" s="103" t="n"/>
      <c r="K1569" s="103" t="n"/>
      <c r="L1569" s="103" t="n"/>
      <c r="M1569" s="103" t="n"/>
      <c r="N1569" s="103" t="n"/>
      <c r="O1569" s="103" t="n"/>
      <c r="P1569" s="103" t="n"/>
      <c r="Q1569" s="103" t="n"/>
      <c r="R1569" s="103" t="n"/>
      <c r="S1569" s="103" t="n"/>
      <c r="T1569" s="103" t="n"/>
      <c r="U1569" s="103" t="n"/>
      <c r="V1569" s="103" t="n"/>
      <c r="W1569" s="103" t="n"/>
      <c r="X1569" s="103" t="n"/>
      <c r="Y1569" s="103" t="n"/>
      <c r="Z1569" s="103" t="n"/>
      <c r="AA1569" s="103" t="n"/>
      <c r="AB1569" s="103" t="n"/>
      <c r="AC1569" s="103" t="n"/>
      <c r="AD1569" s="103" t="n"/>
      <c r="AE1569" s="103" t="n"/>
      <c r="AF1569" s="103" t="n"/>
      <c r="AG1569" s="103" t="n"/>
      <c r="AH1569" s="103" t="n"/>
      <c r="AI1569" s="103" t="n"/>
      <c r="AJ1569" s="103" t="n"/>
      <c r="AK1569" s="103" t="n"/>
      <c r="AL1569" s="103" t="n"/>
      <c r="AM1569" s="103" t="n"/>
      <c r="AN1569" s="103" t="n"/>
      <c r="AO1569" s="103" t="n"/>
      <c r="AP1569" s="103" t="n"/>
      <c r="AQ1569" s="103" t="n"/>
      <c r="AR1569" s="103" t="n"/>
    </row>
    <row r="1571">
      <c r="A1571" s="8">
        <f>IF(HSCEI!$C$8="","",HSCEI!$C$8)</f>
        <v/>
      </c>
      <c r="B1571" s="99">
        <f>IF($A1571="",0,COUNT($E1572:$AR1572))</f>
        <v/>
      </c>
      <c r="C1571" s="100">
        <f>IF($B1571=0,0,MAX($E1572:$AR1572))</f>
        <v/>
      </c>
      <c r="D1571" s="101">
        <f>BDS($A1571,FLD_HIST,"headers=y","startcol=1","endcol=7","dir=h","DVD_START_DT",HIST_FROM,"DVD_END_DT",HIST_TO)</f>
        <v/>
      </c>
      <c r="E1571" s="102" t="n"/>
      <c r="F1571" s="102" t="n"/>
      <c r="G1571" s="102" t="n"/>
      <c r="H1571" s="102" t="n"/>
      <c r="I1571" s="102" t="n"/>
      <c r="J1571" s="102" t="n"/>
      <c r="K1571" s="102" t="n"/>
      <c r="L1571" s="102" t="n"/>
      <c r="M1571" s="102" t="n"/>
      <c r="N1571" s="102" t="n"/>
      <c r="O1571" s="102" t="n"/>
      <c r="P1571" s="102" t="n"/>
      <c r="Q1571" s="102" t="n"/>
      <c r="R1571" s="102" t="n"/>
      <c r="S1571" s="102" t="n"/>
      <c r="T1571" s="102" t="n"/>
      <c r="U1571" s="102" t="n"/>
      <c r="V1571" s="102" t="n"/>
      <c r="W1571" s="102" t="n"/>
      <c r="X1571" s="102" t="n"/>
      <c r="Y1571" s="102" t="n"/>
      <c r="Z1571" s="102" t="n"/>
      <c r="AA1571" s="102" t="n"/>
      <c r="AB1571" s="102" t="n"/>
      <c r="AC1571" s="102" t="n"/>
      <c r="AD1571" s="102" t="n"/>
      <c r="AE1571" s="102" t="n"/>
      <c r="AF1571" s="102" t="n"/>
      <c r="AG1571" s="102" t="n"/>
      <c r="AH1571" s="102" t="n"/>
      <c r="AI1571" s="102" t="n"/>
      <c r="AJ1571" s="102" t="n"/>
      <c r="AK1571" s="102" t="n"/>
      <c r="AL1571" s="102" t="n"/>
      <c r="AM1571" s="102" t="n"/>
      <c r="AN1571" s="102" t="n"/>
      <c r="AO1571" s="102" t="n"/>
      <c r="AP1571" s="102" t="n"/>
      <c r="AQ1571" s="102" t="n"/>
      <c r="AR1571" s="102" t="n"/>
    </row>
    <row r="1572">
      <c r="D1572" s="102" t="n"/>
      <c r="E1572" s="102" t="n"/>
      <c r="F1572" s="102" t="n"/>
      <c r="G1572" s="102" t="n"/>
      <c r="H1572" s="102" t="n"/>
      <c r="I1572" s="102" t="n"/>
      <c r="J1572" s="102" t="n"/>
      <c r="K1572" s="102" t="n"/>
      <c r="L1572" s="102" t="n"/>
      <c r="M1572" s="102" t="n"/>
      <c r="N1572" s="102" t="n"/>
      <c r="O1572" s="102" t="n"/>
      <c r="P1572" s="102" t="n"/>
      <c r="Q1572" s="102" t="n"/>
      <c r="R1572" s="102" t="n"/>
      <c r="S1572" s="102" t="n"/>
      <c r="T1572" s="102" t="n"/>
      <c r="U1572" s="102" t="n"/>
      <c r="V1572" s="102" t="n"/>
      <c r="W1572" s="102" t="n"/>
      <c r="X1572" s="102" t="n"/>
      <c r="Y1572" s="102" t="n"/>
      <c r="Z1572" s="102" t="n"/>
      <c r="AA1572" s="102" t="n"/>
      <c r="AB1572" s="102" t="n"/>
      <c r="AC1572" s="102" t="n"/>
      <c r="AD1572" s="102" t="n"/>
      <c r="AE1572" s="102" t="n"/>
      <c r="AF1572" s="102" t="n"/>
      <c r="AG1572" s="102" t="n"/>
      <c r="AH1572" s="102" t="n"/>
      <c r="AI1572" s="102" t="n"/>
      <c r="AJ1572" s="102" t="n"/>
      <c r="AK1572" s="102" t="n"/>
      <c r="AL1572" s="102" t="n"/>
      <c r="AM1572" s="102" t="n"/>
      <c r="AN1572" s="102" t="n"/>
      <c r="AO1572" s="102" t="n"/>
      <c r="AP1572" s="102" t="n"/>
      <c r="AQ1572" s="102" t="n"/>
      <c r="AR1572" s="102" t="n"/>
    </row>
    <row r="1573">
      <c r="D1573" s="102" t="n"/>
      <c r="E1573" s="102" t="n"/>
      <c r="F1573" s="102" t="n"/>
      <c r="G1573" s="102" t="n"/>
      <c r="H1573" s="102" t="n"/>
      <c r="I1573" s="102" t="n"/>
      <c r="J1573" s="102" t="n"/>
      <c r="K1573" s="102" t="n"/>
      <c r="L1573" s="102" t="n"/>
      <c r="M1573" s="102" t="n"/>
      <c r="N1573" s="102" t="n"/>
      <c r="O1573" s="102" t="n"/>
      <c r="P1573" s="102" t="n"/>
      <c r="Q1573" s="102" t="n"/>
      <c r="R1573" s="102" t="n"/>
      <c r="S1573" s="102" t="n"/>
      <c r="T1573" s="102" t="n"/>
      <c r="U1573" s="102" t="n"/>
      <c r="V1573" s="102" t="n"/>
      <c r="W1573" s="102" t="n"/>
      <c r="X1573" s="102" t="n"/>
      <c r="Y1573" s="102" t="n"/>
      <c r="Z1573" s="102" t="n"/>
      <c r="AA1573" s="102" t="n"/>
      <c r="AB1573" s="102" t="n"/>
      <c r="AC1573" s="102" t="n"/>
      <c r="AD1573" s="102" t="n"/>
      <c r="AE1573" s="102" t="n"/>
      <c r="AF1573" s="102" t="n"/>
      <c r="AG1573" s="102" t="n"/>
      <c r="AH1573" s="102" t="n"/>
      <c r="AI1573" s="102" t="n"/>
      <c r="AJ1573" s="102" t="n"/>
      <c r="AK1573" s="102" t="n"/>
      <c r="AL1573" s="102" t="n"/>
      <c r="AM1573" s="102" t="n"/>
      <c r="AN1573" s="102" t="n"/>
      <c r="AO1573" s="102" t="n"/>
      <c r="AP1573" s="102" t="n"/>
      <c r="AQ1573" s="102" t="n"/>
      <c r="AR1573" s="102" t="n"/>
    </row>
    <row r="1574">
      <c r="D1574" s="102" t="n"/>
      <c r="E1574" s="102" t="n"/>
      <c r="F1574" s="102" t="n"/>
      <c r="G1574" s="102" t="n"/>
      <c r="H1574" s="102" t="n"/>
      <c r="I1574" s="102" t="n"/>
      <c r="J1574" s="102" t="n"/>
      <c r="K1574" s="102" t="n"/>
      <c r="L1574" s="102" t="n"/>
      <c r="M1574" s="102" t="n"/>
      <c r="N1574" s="102" t="n"/>
      <c r="O1574" s="102" t="n"/>
      <c r="P1574" s="102" t="n"/>
      <c r="Q1574" s="102" t="n"/>
      <c r="R1574" s="102" t="n"/>
      <c r="S1574" s="102" t="n"/>
      <c r="T1574" s="102" t="n"/>
      <c r="U1574" s="102" t="n"/>
      <c r="V1574" s="102" t="n"/>
      <c r="W1574" s="102" t="n"/>
      <c r="X1574" s="102" t="n"/>
      <c r="Y1574" s="102" t="n"/>
      <c r="Z1574" s="102" t="n"/>
      <c r="AA1574" s="102" t="n"/>
      <c r="AB1574" s="102" t="n"/>
      <c r="AC1574" s="102" t="n"/>
      <c r="AD1574" s="102" t="n"/>
      <c r="AE1574" s="102" t="n"/>
      <c r="AF1574" s="102" t="n"/>
      <c r="AG1574" s="102" t="n"/>
      <c r="AH1574" s="102" t="n"/>
      <c r="AI1574" s="102" t="n"/>
      <c r="AJ1574" s="102" t="n"/>
      <c r="AK1574" s="102" t="n"/>
      <c r="AL1574" s="102" t="n"/>
      <c r="AM1574" s="102" t="n"/>
      <c r="AN1574" s="102" t="n"/>
      <c r="AO1574" s="102" t="n"/>
      <c r="AP1574" s="102" t="n"/>
      <c r="AQ1574" s="102" t="n"/>
      <c r="AR1574" s="102" t="n"/>
    </row>
    <row r="1575">
      <c r="D1575" s="103" t="n"/>
      <c r="E1575" s="103" t="n"/>
      <c r="F1575" s="103" t="n"/>
      <c r="G1575" s="103" t="n"/>
      <c r="H1575" s="103" t="n"/>
      <c r="I1575" s="103" t="n"/>
      <c r="J1575" s="103" t="n"/>
      <c r="K1575" s="103" t="n"/>
      <c r="L1575" s="103" t="n"/>
      <c r="M1575" s="103" t="n"/>
      <c r="N1575" s="103" t="n"/>
      <c r="O1575" s="103" t="n"/>
      <c r="P1575" s="103" t="n"/>
      <c r="Q1575" s="103" t="n"/>
      <c r="R1575" s="103" t="n"/>
      <c r="S1575" s="103" t="n"/>
      <c r="T1575" s="103" t="n"/>
      <c r="U1575" s="103" t="n"/>
      <c r="V1575" s="103" t="n"/>
      <c r="W1575" s="103" t="n"/>
      <c r="X1575" s="103" t="n"/>
      <c r="Y1575" s="103" t="n"/>
      <c r="Z1575" s="103" t="n"/>
      <c r="AA1575" s="103" t="n"/>
      <c r="AB1575" s="103" t="n"/>
      <c r="AC1575" s="103" t="n"/>
      <c r="AD1575" s="103" t="n"/>
      <c r="AE1575" s="103" t="n"/>
      <c r="AF1575" s="103" t="n"/>
      <c r="AG1575" s="103" t="n"/>
      <c r="AH1575" s="103" t="n"/>
      <c r="AI1575" s="103" t="n"/>
      <c r="AJ1575" s="103" t="n"/>
      <c r="AK1575" s="103" t="n"/>
      <c r="AL1575" s="103" t="n"/>
      <c r="AM1575" s="103" t="n"/>
      <c r="AN1575" s="103" t="n"/>
      <c r="AO1575" s="103" t="n"/>
      <c r="AP1575" s="103" t="n"/>
      <c r="AQ1575" s="103" t="n"/>
      <c r="AR1575" s="103" t="n"/>
    </row>
    <row r="1578">
      <c r="A1578" s="2">
        <f>IF($A1571="","","   projections")</f>
        <v/>
      </c>
      <c r="B1578" s="99">
        <f>IF($A1571="",0,COUNT($E1579:$AR1579))</f>
        <v/>
      </c>
      <c r="C1578" s="100">
        <f>IF($B1578=0,0,MAX($E1579:$AR1579))</f>
        <v/>
      </c>
      <c r="D1578" s="101">
        <f>BDS($A1571,FLD_PROJ,"headers=y","startcol=1","endcol=3","dir=h")</f>
        <v/>
      </c>
      <c r="E1578" s="102" t="n"/>
      <c r="F1578" s="102" t="n"/>
      <c r="G1578" s="102" t="n"/>
      <c r="H1578" s="102" t="n"/>
      <c r="I1578" s="102" t="n"/>
      <c r="J1578" s="102" t="n"/>
      <c r="K1578" s="102" t="n"/>
      <c r="L1578" s="102" t="n"/>
      <c r="M1578" s="102" t="n"/>
      <c r="N1578" s="102" t="n"/>
      <c r="O1578" s="102" t="n"/>
      <c r="P1578" s="102" t="n"/>
      <c r="Q1578" s="102" t="n"/>
      <c r="R1578" s="102" t="n"/>
      <c r="S1578" s="102" t="n"/>
      <c r="T1578" s="102" t="n"/>
      <c r="U1578" s="102" t="n"/>
      <c r="V1578" s="102" t="n"/>
      <c r="W1578" s="102" t="n"/>
      <c r="X1578" s="102" t="n"/>
      <c r="Y1578" s="102" t="n"/>
      <c r="Z1578" s="102" t="n"/>
      <c r="AA1578" s="102" t="n"/>
      <c r="AB1578" s="102" t="n"/>
      <c r="AC1578" s="102" t="n"/>
      <c r="AD1578" s="102" t="n"/>
      <c r="AE1578" s="102" t="n"/>
      <c r="AF1578" s="102" t="n"/>
      <c r="AG1578" s="102" t="n"/>
      <c r="AH1578" s="102" t="n"/>
      <c r="AI1578" s="102" t="n"/>
      <c r="AJ1578" s="102" t="n"/>
      <c r="AK1578" s="102" t="n"/>
      <c r="AL1578" s="102" t="n"/>
      <c r="AM1578" s="102" t="n"/>
      <c r="AN1578" s="102" t="n"/>
      <c r="AO1578" s="102" t="n"/>
      <c r="AP1578" s="102" t="n"/>
      <c r="AQ1578" s="102" t="n"/>
      <c r="AR1578" s="102" t="n"/>
    </row>
    <row r="1579">
      <c r="D1579" s="102" t="n"/>
      <c r="E1579" s="102" t="n"/>
      <c r="F1579" s="102" t="n"/>
      <c r="G1579" s="102" t="n"/>
      <c r="H1579" s="102" t="n"/>
      <c r="I1579" s="102" t="n"/>
      <c r="J1579" s="102" t="n"/>
      <c r="K1579" s="102" t="n"/>
      <c r="L1579" s="102" t="n"/>
      <c r="M1579" s="102" t="n"/>
      <c r="N1579" s="102" t="n"/>
      <c r="O1579" s="102" t="n"/>
      <c r="P1579" s="102" t="n"/>
      <c r="Q1579" s="102" t="n"/>
      <c r="R1579" s="102" t="n"/>
      <c r="S1579" s="102" t="n"/>
      <c r="T1579" s="102" t="n"/>
      <c r="U1579" s="102" t="n"/>
      <c r="V1579" s="102" t="n"/>
      <c r="W1579" s="102" t="n"/>
      <c r="X1579" s="102" t="n"/>
      <c r="Y1579" s="102" t="n"/>
      <c r="Z1579" s="102" t="n"/>
      <c r="AA1579" s="102" t="n"/>
      <c r="AB1579" s="102" t="n"/>
      <c r="AC1579" s="102" t="n"/>
      <c r="AD1579" s="102" t="n"/>
      <c r="AE1579" s="102" t="n"/>
      <c r="AF1579" s="102" t="n"/>
      <c r="AG1579" s="102" t="n"/>
      <c r="AH1579" s="102" t="n"/>
      <c r="AI1579" s="102" t="n"/>
      <c r="AJ1579" s="102" t="n"/>
      <c r="AK1579" s="102" t="n"/>
      <c r="AL1579" s="102" t="n"/>
      <c r="AM1579" s="102" t="n"/>
      <c r="AN1579" s="102" t="n"/>
      <c r="AO1579" s="102" t="n"/>
      <c r="AP1579" s="102" t="n"/>
      <c r="AQ1579" s="102" t="n"/>
      <c r="AR1579" s="102" t="n"/>
    </row>
    <row r="1580">
      <c r="D1580" s="103" t="n"/>
      <c r="E1580" s="103" t="n"/>
      <c r="F1580" s="103" t="n"/>
      <c r="G1580" s="103" t="n"/>
      <c r="H1580" s="103" t="n"/>
      <c r="I1580" s="103" t="n"/>
      <c r="J1580" s="103" t="n"/>
      <c r="K1580" s="103" t="n"/>
      <c r="L1580" s="103" t="n"/>
      <c r="M1580" s="103" t="n"/>
      <c r="N1580" s="103" t="n"/>
      <c r="O1580" s="103" t="n"/>
      <c r="P1580" s="103" t="n"/>
      <c r="Q1580" s="103" t="n"/>
      <c r="R1580" s="103" t="n"/>
      <c r="S1580" s="103" t="n"/>
      <c r="T1580" s="103" t="n"/>
      <c r="U1580" s="103" t="n"/>
      <c r="V1580" s="103" t="n"/>
      <c r="W1580" s="103" t="n"/>
      <c r="X1580" s="103" t="n"/>
      <c r="Y1580" s="103" t="n"/>
      <c r="Z1580" s="103" t="n"/>
      <c r="AA1580" s="103" t="n"/>
      <c r="AB1580" s="103" t="n"/>
      <c r="AC1580" s="103" t="n"/>
      <c r="AD1580" s="103" t="n"/>
      <c r="AE1580" s="103" t="n"/>
      <c r="AF1580" s="103" t="n"/>
      <c r="AG1580" s="103" t="n"/>
      <c r="AH1580" s="103" t="n"/>
      <c r="AI1580" s="103" t="n"/>
      <c r="AJ1580" s="103" t="n"/>
      <c r="AK1580" s="103" t="n"/>
      <c r="AL1580" s="103" t="n"/>
      <c r="AM1580" s="103" t="n"/>
      <c r="AN1580" s="103" t="n"/>
      <c r="AO1580" s="103" t="n"/>
      <c r="AP1580" s="103" t="n"/>
      <c r="AQ1580" s="103" t="n"/>
      <c r="AR1580" s="103" t="n"/>
    </row>
    <row r="1582">
      <c r="A1582" s="8">
        <f>IF(HSCEI!$C$9="","",HSCEI!$C$9)</f>
        <v/>
      </c>
      <c r="B1582" s="99">
        <f>IF($A1582="",0,COUNT($E1583:$AR1583))</f>
        <v/>
      </c>
      <c r="C1582" s="100">
        <f>IF($B1582=0,0,MAX($E1583:$AR1583))</f>
        <v/>
      </c>
      <c r="D1582" s="101">
        <f>BDS($A1582,FLD_HIST,"headers=y","startcol=1","endcol=7","dir=h","DVD_START_DT",HIST_FROM,"DVD_END_DT",HIST_TO)</f>
        <v/>
      </c>
      <c r="E1582" s="102" t="n"/>
      <c r="F1582" s="102" t="n"/>
      <c r="G1582" s="102" t="n"/>
      <c r="H1582" s="102" t="n"/>
      <c r="I1582" s="102" t="n"/>
      <c r="J1582" s="102" t="n"/>
      <c r="K1582" s="102" t="n"/>
      <c r="L1582" s="102" t="n"/>
      <c r="M1582" s="102" t="n"/>
      <c r="N1582" s="102" t="n"/>
      <c r="O1582" s="102" t="n"/>
      <c r="P1582" s="102" t="n"/>
      <c r="Q1582" s="102" t="n"/>
      <c r="R1582" s="102" t="n"/>
      <c r="S1582" s="102" t="n"/>
      <c r="T1582" s="102" t="n"/>
      <c r="U1582" s="102" t="n"/>
      <c r="V1582" s="102" t="n"/>
      <c r="W1582" s="102" t="n"/>
      <c r="X1582" s="102" t="n"/>
      <c r="Y1582" s="102" t="n"/>
      <c r="Z1582" s="102" t="n"/>
      <c r="AA1582" s="102" t="n"/>
      <c r="AB1582" s="102" t="n"/>
      <c r="AC1582" s="102" t="n"/>
      <c r="AD1582" s="102" t="n"/>
      <c r="AE1582" s="102" t="n"/>
      <c r="AF1582" s="102" t="n"/>
      <c r="AG1582" s="102" t="n"/>
      <c r="AH1582" s="102" t="n"/>
      <c r="AI1582" s="102" t="n"/>
      <c r="AJ1582" s="102" t="n"/>
      <c r="AK1582" s="102" t="n"/>
      <c r="AL1582" s="102" t="n"/>
      <c r="AM1582" s="102" t="n"/>
      <c r="AN1582" s="102" t="n"/>
      <c r="AO1582" s="102" t="n"/>
      <c r="AP1582" s="102" t="n"/>
      <c r="AQ1582" s="102" t="n"/>
      <c r="AR1582" s="102" t="n"/>
    </row>
    <row r="1583">
      <c r="D1583" s="102" t="n"/>
      <c r="E1583" s="102" t="n"/>
      <c r="F1583" s="102" t="n"/>
      <c r="G1583" s="102" t="n"/>
      <c r="H1583" s="102" t="n"/>
      <c r="I1583" s="102" t="n"/>
      <c r="J1583" s="102" t="n"/>
      <c r="K1583" s="102" t="n"/>
      <c r="L1583" s="102" t="n"/>
      <c r="M1583" s="102" t="n"/>
      <c r="N1583" s="102" t="n"/>
      <c r="O1583" s="102" t="n"/>
      <c r="P1583" s="102" t="n"/>
      <c r="Q1583" s="102" t="n"/>
      <c r="R1583" s="102" t="n"/>
      <c r="S1583" s="102" t="n"/>
      <c r="T1583" s="102" t="n"/>
      <c r="U1583" s="102" t="n"/>
      <c r="V1583" s="102" t="n"/>
      <c r="W1583" s="102" t="n"/>
      <c r="X1583" s="102" t="n"/>
      <c r="Y1583" s="102" t="n"/>
      <c r="Z1583" s="102" t="n"/>
      <c r="AA1583" s="102" t="n"/>
      <c r="AB1583" s="102" t="n"/>
      <c r="AC1583" s="102" t="n"/>
      <c r="AD1583" s="102" t="n"/>
      <c r="AE1583" s="102" t="n"/>
      <c r="AF1583" s="102" t="n"/>
      <c r="AG1583" s="102" t="n"/>
      <c r="AH1583" s="102" t="n"/>
      <c r="AI1583" s="102" t="n"/>
      <c r="AJ1583" s="102" t="n"/>
      <c r="AK1583" s="102" t="n"/>
      <c r="AL1583" s="102" t="n"/>
      <c r="AM1583" s="102" t="n"/>
      <c r="AN1583" s="102" t="n"/>
      <c r="AO1583" s="102" t="n"/>
      <c r="AP1583" s="102" t="n"/>
      <c r="AQ1583" s="102" t="n"/>
      <c r="AR1583" s="102" t="n"/>
    </row>
    <row r="1584">
      <c r="D1584" s="102" t="n"/>
      <c r="E1584" s="102" t="n"/>
      <c r="F1584" s="102" t="n"/>
      <c r="G1584" s="102" t="n"/>
      <c r="H1584" s="102" t="n"/>
      <c r="I1584" s="102" t="n"/>
      <c r="J1584" s="102" t="n"/>
      <c r="K1584" s="102" t="n"/>
      <c r="L1584" s="102" t="n"/>
      <c r="M1584" s="102" t="n"/>
      <c r="N1584" s="102" t="n"/>
      <c r="O1584" s="102" t="n"/>
      <c r="P1584" s="102" t="n"/>
      <c r="Q1584" s="102" t="n"/>
      <c r="R1584" s="102" t="n"/>
      <c r="S1584" s="102" t="n"/>
      <c r="T1584" s="102" t="n"/>
      <c r="U1584" s="102" t="n"/>
      <c r="V1584" s="102" t="n"/>
      <c r="W1584" s="102" t="n"/>
      <c r="X1584" s="102" t="n"/>
      <c r="Y1584" s="102" t="n"/>
      <c r="Z1584" s="102" t="n"/>
      <c r="AA1584" s="102" t="n"/>
      <c r="AB1584" s="102" t="n"/>
      <c r="AC1584" s="102" t="n"/>
      <c r="AD1584" s="102" t="n"/>
      <c r="AE1584" s="102" t="n"/>
      <c r="AF1584" s="102" t="n"/>
      <c r="AG1584" s="102" t="n"/>
      <c r="AH1584" s="102" t="n"/>
      <c r="AI1584" s="102" t="n"/>
      <c r="AJ1584" s="102" t="n"/>
      <c r="AK1584" s="102" t="n"/>
      <c r="AL1584" s="102" t="n"/>
      <c r="AM1584" s="102" t="n"/>
      <c r="AN1584" s="102" t="n"/>
      <c r="AO1584" s="102" t="n"/>
      <c r="AP1584" s="102" t="n"/>
      <c r="AQ1584" s="102" t="n"/>
      <c r="AR1584" s="102" t="n"/>
    </row>
    <row r="1585">
      <c r="D1585" s="102" t="n"/>
      <c r="E1585" s="102" t="n"/>
      <c r="F1585" s="102" t="n"/>
      <c r="G1585" s="102" t="n"/>
      <c r="H1585" s="102" t="n"/>
      <c r="I1585" s="102" t="n"/>
      <c r="J1585" s="102" t="n"/>
      <c r="K1585" s="102" t="n"/>
      <c r="L1585" s="102" t="n"/>
      <c r="M1585" s="102" t="n"/>
      <c r="N1585" s="102" t="n"/>
      <c r="O1585" s="102" t="n"/>
      <c r="P1585" s="102" t="n"/>
      <c r="Q1585" s="102" t="n"/>
      <c r="R1585" s="102" t="n"/>
      <c r="S1585" s="102" t="n"/>
      <c r="T1585" s="102" t="n"/>
      <c r="U1585" s="102" t="n"/>
      <c r="V1585" s="102" t="n"/>
      <c r="W1585" s="102" t="n"/>
      <c r="X1585" s="102" t="n"/>
      <c r="Y1585" s="102" t="n"/>
      <c r="Z1585" s="102" t="n"/>
      <c r="AA1585" s="102" t="n"/>
      <c r="AB1585" s="102" t="n"/>
      <c r="AC1585" s="102" t="n"/>
      <c r="AD1585" s="102" t="n"/>
      <c r="AE1585" s="102" t="n"/>
      <c r="AF1585" s="102" t="n"/>
      <c r="AG1585" s="102" t="n"/>
      <c r="AH1585" s="102" t="n"/>
      <c r="AI1585" s="102" t="n"/>
      <c r="AJ1585" s="102" t="n"/>
      <c r="AK1585" s="102" t="n"/>
      <c r="AL1585" s="102" t="n"/>
      <c r="AM1585" s="102" t="n"/>
      <c r="AN1585" s="102" t="n"/>
      <c r="AO1585" s="102" t="n"/>
      <c r="AP1585" s="102" t="n"/>
      <c r="AQ1585" s="102" t="n"/>
      <c r="AR1585" s="102" t="n"/>
    </row>
    <row r="1586">
      <c r="D1586" s="103" t="n"/>
      <c r="E1586" s="103" t="n"/>
      <c r="F1586" s="103" t="n"/>
      <c r="G1586" s="103" t="n"/>
      <c r="H1586" s="103" t="n"/>
      <c r="I1586" s="103" t="n"/>
      <c r="J1586" s="103" t="n"/>
      <c r="K1586" s="103" t="n"/>
      <c r="L1586" s="103" t="n"/>
      <c r="M1586" s="103" t="n"/>
      <c r="N1586" s="103" t="n"/>
      <c r="O1586" s="103" t="n"/>
      <c r="P1586" s="103" t="n"/>
      <c r="Q1586" s="103" t="n"/>
      <c r="R1586" s="103" t="n"/>
      <c r="S1586" s="103" t="n"/>
      <c r="T1586" s="103" t="n"/>
      <c r="U1586" s="103" t="n"/>
      <c r="V1586" s="103" t="n"/>
      <c r="W1586" s="103" t="n"/>
      <c r="X1586" s="103" t="n"/>
      <c r="Y1586" s="103" t="n"/>
      <c r="Z1586" s="103" t="n"/>
      <c r="AA1586" s="103" t="n"/>
      <c r="AB1586" s="103" t="n"/>
      <c r="AC1586" s="103" t="n"/>
      <c r="AD1586" s="103" t="n"/>
      <c r="AE1586" s="103" t="n"/>
      <c r="AF1586" s="103" t="n"/>
      <c r="AG1586" s="103" t="n"/>
      <c r="AH1586" s="103" t="n"/>
      <c r="AI1586" s="103" t="n"/>
      <c r="AJ1586" s="103" t="n"/>
      <c r="AK1586" s="103" t="n"/>
      <c r="AL1586" s="103" t="n"/>
      <c r="AM1586" s="103" t="n"/>
      <c r="AN1586" s="103" t="n"/>
      <c r="AO1586" s="103" t="n"/>
      <c r="AP1586" s="103" t="n"/>
      <c r="AQ1586" s="103" t="n"/>
      <c r="AR1586" s="103" t="n"/>
    </row>
    <row r="1589">
      <c r="A1589" s="2">
        <f>IF($A1582="","","   projections")</f>
        <v/>
      </c>
      <c r="B1589" s="99">
        <f>IF($A1582="",0,COUNT($E1590:$AR1590))</f>
        <v/>
      </c>
      <c r="C1589" s="100">
        <f>IF($B1589=0,0,MAX($E1590:$AR1590))</f>
        <v/>
      </c>
      <c r="D1589" s="101">
        <f>BDS($A1582,FLD_PROJ,"headers=y","startcol=1","endcol=3","dir=h")</f>
        <v/>
      </c>
      <c r="E1589" s="102" t="n"/>
      <c r="F1589" s="102" t="n"/>
      <c r="G1589" s="102" t="n"/>
      <c r="H1589" s="102" t="n"/>
      <c r="I1589" s="102" t="n"/>
      <c r="J1589" s="102" t="n"/>
      <c r="K1589" s="102" t="n"/>
      <c r="L1589" s="102" t="n"/>
      <c r="M1589" s="102" t="n"/>
      <c r="N1589" s="102" t="n"/>
      <c r="O1589" s="102" t="n"/>
      <c r="P1589" s="102" t="n"/>
      <c r="Q1589" s="102" t="n"/>
      <c r="R1589" s="102" t="n"/>
      <c r="S1589" s="102" t="n"/>
      <c r="T1589" s="102" t="n"/>
      <c r="U1589" s="102" t="n"/>
      <c r="V1589" s="102" t="n"/>
      <c r="W1589" s="102" t="n"/>
      <c r="X1589" s="102" t="n"/>
      <c r="Y1589" s="102" t="n"/>
      <c r="Z1589" s="102" t="n"/>
      <c r="AA1589" s="102" t="n"/>
      <c r="AB1589" s="102" t="n"/>
      <c r="AC1589" s="102" t="n"/>
      <c r="AD1589" s="102" t="n"/>
      <c r="AE1589" s="102" t="n"/>
      <c r="AF1589" s="102" t="n"/>
      <c r="AG1589" s="102" t="n"/>
      <c r="AH1589" s="102" t="n"/>
      <c r="AI1589" s="102" t="n"/>
      <c r="AJ1589" s="102" t="n"/>
      <c r="AK1589" s="102" t="n"/>
      <c r="AL1589" s="102" t="n"/>
      <c r="AM1589" s="102" t="n"/>
      <c r="AN1589" s="102" t="n"/>
      <c r="AO1589" s="102" t="n"/>
      <c r="AP1589" s="102" t="n"/>
      <c r="AQ1589" s="102" t="n"/>
      <c r="AR1589" s="102" t="n"/>
    </row>
    <row r="1590">
      <c r="D1590" s="102" t="n"/>
      <c r="E1590" s="102" t="n"/>
      <c r="F1590" s="102" t="n"/>
      <c r="G1590" s="102" t="n"/>
      <c r="H1590" s="102" t="n"/>
      <c r="I1590" s="102" t="n"/>
      <c r="J1590" s="102" t="n"/>
      <c r="K1590" s="102" t="n"/>
      <c r="L1590" s="102" t="n"/>
      <c r="M1590" s="102" t="n"/>
      <c r="N1590" s="102" t="n"/>
      <c r="O1590" s="102" t="n"/>
      <c r="P1590" s="102" t="n"/>
      <c r="Q1590" s="102" t="n"/>
      <c r="R1590" s="102" t="n"/>
      <c r="S1590" s="102" t="n"/>
      <c r="T1590" s="102" t="n"/>
      <c r="U1590" s="102" t="n"/>
      <c r="V1590" s="102" t="n"/>
      <c r="W1590" s="102" t="n"/>
      <c r="X1590" s="102" t="n"/>
      <c r="Y1590" s="102" t="n"/>
      <c r="Z1590" s="102" t="n"/>
      <c r="AA1590" s="102" t="n"/>
      <c r="AB1590" s="102" t="n"/>
      <c r="AC1590" s="102" t="n"/>
      <c r="AD1590" s="102" t="n"/>
      <c r="AE1590" s="102" t="n"/>
      <c r="AF1590" s="102" t="n"/>
      <c r="AG1590" s="102" t="n"/>
      <c r="AH1590" s="102" t="n"/>
      <c r="AI1590" s="102" t="n"/>
      <c r="AJ1590" s="102" t="n"/>
      <c r="AK1590" s="102" t="n"/>
      <c r="AL1590" s="102" t="n"/>
      <c r="AM1590" s="102" t="n"/>
      <c r="AN1590" s="102" t="n"/>
      <c r="AO1590" s="102" t="n"/>
      <c r="AP1590" s="102" t="n"/>
      <c r="AQ1590" s="102" t="n"/>
      <c r="AR1590" s="102" t="n"/>
    </row>
    <row r="1591">
      <c r="D1591" s="103" t="n"/>
      <c r="E1591" s="103" t="n"/>
      <c r="F1591" s="103" t="n"/>
      <c r="G1591" s="103" t="n"/>
      <c r="H1591" s="103" t="n"/>
      <c r="I1591" s="103" t="n"/>
      <c r="J1591" s="103" t="n"/>
      <c r="K1591" s="103" t="n"/>
      <c r="L1591" s="103" t="n"/>
      <c r="M1591" s="103" t="n"/>
      <c r="N1591" s="103" t="n"/>
      <c r="O1591" s="103" t="n"/>
      <c r="P1591" s="103" t="n"/>
      <c r="Q1591" s="103" t="n"/>
      <c r="R1591" s="103" t="n"/>
      <c r="S1591" s="103" t="n"/>
      <c r="T1591" s="103" t="n"/>
      <c r="U1591" s="103" t="n"/>
      <c r="V1591" s="103" t="n"/>
      <c r="W1591" s="103" t="n"/>
      <c r="X1591" s="103" t="n"/>
      <c r="Y1591" s="103" t="n"/>
      <c r="Z1591" s="103" t="n"/>
      <c r="AA1591" s="103" t="n"/>
      <c r="AB1591" s="103" t="n"/>
      <c r="AC1591" s="103" t="n"/>
      <c r="AD1591" s="103" t="n"/>
      <c r="AE1591" s="103" t="n"/>
      <c r="AF1591" s="103" t="n"/>
      <c r="AG1591" s="103" t="n"/>
      <c r="AH1591" s="103" t="n"/>
      <c r="AI1591" s="103" t="n"/>
      <c r="AJ1591" s="103" t="n"/>
      <c r="AK1591" s="103" t="n"/>
      <c r="AL1591" s="103" t="n"/>
      <c r="AM1591" s="103" t="n"/>
      <c r="AN1591" s="103" t="n"/>
      <c r="AO1591" s="103" t="n"/>
      <c r="AP1591" s="103" t="n"/>
      <c r="AQ1591" s="103" t="n"/>
      <c r="AR1591" s="103" t="n"/>
    </row>
    <row r="1593">
      <c r="A1593" s="8">
        <f>IF(HSCEI!$C$10="","",HSCEI!$C$10)</f>
        <v/>
      </c>
      <c r="B1593" s="99">
        <f>IF($A1593="",0,COUNT($E1594:$AR1594))</f>
        <v/>
      </c>
      <c r="C1593" s="100">
        <f>IF($B1593=0,0,MAX($E1594:$AR1594))</f>
        <v/>
      </c>
      <c r="D1593" s="101">
        <f>BDS($A1593,FLD_HIST,"headers=y","startcol=1","endcol=7","dir=h","DVD_START_DT",HIST_FROM,"DVD_END_DT",HIST_TO)</f>
        <v/>
      </c>
      <c r="E1593" s="102" t="n"/>
      <c r="F1593" s="102" t="n"/>
      <c r="G1593" s="102" t="n"/>
      <c r="H1593" s="102" t="n"/>
      <c r="I1593" s="102" t="n"/>
      <c r="J1593" s="102" t="n"/>
      <c r="K1593" s="102" t="n"/>
      <c r="L1593" s="102" t="n"/>
      <c r="M1593" s="102" t="n"/>
      <c r="N1593" s="102" t="n"/>
      <c r="O1593" s="102" t="n"/>
      <c r="P1593" s="102" t="n"/>
      <c r="Q1593" s="102" t="n"/>
      <c r="R1593" s="102" t="n"/>
      <c r="S1593" s="102" t="n"/>
      <c r="T1593" s="102" t="n"/>
      <c r="U1593" s="102" t="n"/>
      <c r="V1593" s="102" t="n"/>
      <c r="W1593" s="102" t="n"/>
      <c r="X1593" s="102" t="n"/>
      <c r="Y1593" s="102" t="n"/>
      <c r="Z1593" s="102" t="n"/>
      <c r="AA1593" s="102" t="n"/>
      <c r="AB1593" s="102" t="n"/>
      <c r="AC1593" s="102" t="n"/>
      <c r="AD1593" s="102" t="n"/>
      <c r="AE1593" s="102" t="n"/>
      <c r="AF1593" s="102" t="n"/>
      <c r="AG1593" s="102" t="n"/>
      <c r="AH1593" s="102" t="n"/>
      <c r="AI1593" s="102" t="n"/>
      <c r="AJ1593" s="102" t="n"/>
      <c r="AK1593" s="102" t="n"/>
      <c r="AL1593" s="102" t="n"/>
      <c r="AM1593" s="102" t="n"/>
      <c r="AN1593" s="102" t="n"/>
      <c r="AO1593" s="102" t="n"/>
      <c r="AP1593" s="102" t="n"/>
      <c r="AQ1593" s="102" t="n"/>
      <c r="AR1593" s="102" t="n"/>
    </row>
    <row r="1594">
      <c r="D1594" s="102" t="n"/>
      <c r="E1594" s="102" t="n"/>
      <c r="F1594" s="102" t="n"/>
      <c r="G1594" s="102" t="n"/>
      <c r="H1594" s="102" t="n"/>
      <c r="I1594" s="102" t="n"/>
      <c r="J1594" s="102" t="n"/>
      <c r="K1594" s="102" t="n"/>
      <c r="L1594" s="102" t="n"/>
      <c r="M1594" s="102" t="n"/>
      <c r="N1594" s="102" t="n"/>
      <c r="O1594" s="102" t="n"/>
      <c r="P1594" s="102" t="n"/>
      <c r="Q1594" s="102" t="n"/>
      <c r="R1594" s="102" t="n"/>
      <c r="S1594" s="102" t="n"/>
      <c r="T1594" s="102" t="n"/>
      <c r="U1594" s="102" t="n"/>
      <c r="V1594" s="102" t="n"/>
      <c r="W1594" s="102" t="n"/>
      <c r="X1594" s="102" t="n"/>
      <c r="Y1594" s="102" t="n"/>
      <c r="Z1594" s="102" t="n"/>
      <c r="AA1594" s="102" t="n"/>
      <c r="AB1594" s="102" t="n"/>
      <c r="AC1594" s="102" t="n"/>
      <c r="AD1594" s="102" t="n"/>
      <c r="AE1594" s="102" t="n"/>
      <c r="AF1594" s="102" t="n"/>
      <c r="AG1594" s="102" t="n"/>
      <c r="AH1594" s="102" t="n"/>
      <c r="AI1594" s="102" t="n"/>
      <c r="AJ1594" s="102" t="n"/>
      <c r="AK1594" s="102" t="n"/>
      <c r="AL1594" s="102" t="n"/>
      <c r="AM1594" s="102" t="n"/>
      <c r="AN1594" s="102" t="n"/>
      <c r="AO1594" s="102" t="n"/>
      <c r="AP1594" s="102" t="n"/>
      <c r="AQ1594" s="102" t="n"/>
      <c r="AR1594" s="102" t="n"/>
    </row>
    <row r="1595">
      <c r="D1595" s="102" t="n"/>
      <c r="E1595" s="102" t="n"/>
      <c r="F1595" s="102" t="n"/>
      <c r="G1595" s="102" t="n"/>
      <c r="H1595" s="102" t="n"/>
      <c r="I1595" s="102" t="n"/>
      <c r="J1595" s="102" t="n"/>
      <c r="K1595" s="102" t="n"/>
      <c r="L1595" s="102" t="n"/>
      <c r="M1595" s="102" t="n"/>
      <c r="N1595" s="102" t="n"/>
      <c r="O1595" s="102" t="n"/>
      <c r="P1595" s="102" t="n"/>
      <c r="Q1595" s="102" t="n"/>
      <c r="R1595" s="102" t="n"/>
      <c r="S1595" s="102" t="n"/>
      <c r="T1595" s="102" t="n"/>
      <c r="U1595" s="102" t="n"/>
      <c r="V1595" s="102" t="n"/>
      <c r="W1595" s="102" t="n"/>
      <c r="X1595" s="102" t="n"/>
      <c r="Y1595" s="102" t="n"/>
      <c r="Z1595" s="102" t="n"/>
      <c r="AA1595" s="102" t="n"/>
      <c r="AB1595" s="102" t="n"/>
      <c r="AC1595" s="102" t="n"/>
      <c r="AD1595" s="102" t="n"/>
      <c r="AE1595" s="102" t="n"/>
      <c r="AF1595" s="102" t="n"/>
      <c r="AG1595" s="102" t="n"/>
      <c r="AH1595" s="102" t="n"/>
      <c r="AI1595" s="102" t="n"/>
      <c r="AJ1595" s="102" t="n"/>
      <c r="AK1595" s="102" t="n"/>
      <c r="AL1595" s="102" t="n"/>
      <c r="AM1595" s="102" t="n"/>
      <c r="AN1595" s="102" t="n"/>
      <c r="AO1595" s="102" t="n"/>
      <c r="AP1595" s="102" t="n"/>
      <c r="AQ1595" s="102" t="n"/>
      <c r="AR1595" s="102" t="n"/>
    </row>
    <row r="1596">
      <c r="D1596" s="102" t="n"/>
      <c r="E1596" s="102" t="n"/>
      <c r="F1596" s="102" t="n"/>
      <c r="G1596" s="102" t="n"/>
      <c r="H1596" s="102" t="n"/>
      <c r="I1596" s="102" t="n"/>
      <c r="J1596" s="102" t="n"/>
      <c r="K1596" s="102" t="n"/>
      <c r="L1596" s="102" t="n"/>
      <c r="M1596" s="102" t="n"/>
      <c r="N1596" s="102" t="n"/>
      <c r="O1596" s="102" t="n"/>
      <c r="P1596" s="102" t="n"/>
      <c r="Q1596" s="102" t="n"/>
      <c r="R1596" s="102" t="n"/>
      <c r="S1596" s="102" t="n"/>
      <c r="T1596" s="102" t="n"/>
      <c r="U1596" s="102" t="n"/>
      <c r="V1596" s="102" t="n"/>
      <c r="W1596" s="102" t="n"/>
      <c r="X1596" s="102" t="n"/>
      <c r="Y1596" s="102" t="n"/>
      <c r="Z1596" s="102" t="n"/>
      <c r="AA1596" s="102" t="n"/>
      <c r="AB1596" s="102" t="n"/>
      <c r="AC1596" s="102" t="n"/>
      <c r="AD1596" s="102" t="n"/>
      <c r="AE1596" s="102" t="n"/>
      <c r="AF1596" s="102" t="n"/>
      <c r="AG1596" s="102" t="n"/>
      <c r="AH1596" s="102" t="n"/>
      <c r="AI1596" s="102" t="n"/>
      <c r="AJ1596" s="102" t="n"/>
      <c r="AK1596" s="102" t="n"/>
      <c r="AL1596" s="102" t="n"/>
      <c r="AM1596" s="102" t="n"/>
      <c r="AN1596" s="102" t="n"/>
      <c r="AO1596" s="102" t="n"/>
      <c r="AP1596" s="102" t="n"/>
      <c r="AQ1596" s="102" t="n"/>
      <c r="AR1596" s="102" t="n"/>
    </row>
    <row r="1597">
      <c r="D1597" s="103" t="n"/>
      <c r="E1597" s="103" t="n"/>
      <c r="F1597" s="103" t="n"/>
      <c r="G1597" s="103" t="n"/>
      <c r="H1597" s="103" t="n"/>
      <c r="I1597" s="103" t="n"/>
      <c r="J1597" s="103" t="n"/>
      <c r="K1597" s="103" t="n"/>
      <c r="L1597" s="103" t="n"/>
      <c r="M1597" s="103" t="n"/>
      <c r="N1597" s="103" t="n"/>
      <c r="O1597" s="103" t="n"/>
      <c r="P1597" s="103" t="n"/>
      <c r="Q1597" s="103" t="n"/>
      <c r="R1597" s="103" t="n"/>
      <c r="S1597" s="103" t="n"/>
      <c r="T1597" s="103" t="n"/>
      <c r="U1597" s="103" t="n"/>
      <c r="V1597" s="103" t="n"/>
      <c r="W1597" s="103" t="n"/>
      <c r="X1597" s="103" t="n"/>
      <c r="Y1597" s="103" t="n"/>
      <c r="Z1597" s="103" t="n"/>
      <c r="AA1597" s="103" t="n"/>
      <c r="AB1597" s="103" t="n"/>
      <c r="AC1597" s="103" t="n"/>
      <c r="AD1597" s="103" t="n"/>
      <c r="AE1597" s="103" t="n"/>
      <c r="AF1597" s="103" t="n"/>
      <c r="AG1597" s="103" t="n"/>
      <c r="AH1597" s="103" t="n"/>
      <c r="AI1597" s="103" t="n"/>
      <c r="AJ1597" s="103" t="n"/>
      <c r="AK1597" s="103" t="n"/>
      <c r="AL1597" s="103" t="n"/>
      <c r="AM1597" s="103" t="n"/>
      <c r="AN1597" s="103" t="n"/>
      <c r="AO1597" s="103" t="n"/>
      <c r="AP1597" s="103" t="n"/>
      <c r="AQ1597" s="103" t="n"/>
      <c r="AR1597" s="103" t="n"/>
    </row>
    <row r="1600">
      <c r="A1600" s="2">
        <f>IF($A1593="","","   projections")</f>
        <v/>
      </c>
      <c r="B1600" s="99">
        <f>IF($A1593="",0,COUNT($E1601:$AR1601))</f>
        <v/>
      </c>
      <c r="C1600" s="100">
        <f>IF($B1600=0,0,MAX($E1601:$AR1601))</f>
        <v/>
      </c>
      <c r="D1600" s="101">
        <f>BDS($A1593,FLD_PROJ,"headers=y","startcol=1","endcol=3","dir=h")</f>
        <v/>
      </c>
      <c r="E1600" s="102" t="n"/>
      <c r="F1600" s="102" t="n"/>
      <c r="G1600" s="102" t="n"/>
      <c r="H1600" s="102" t="n"/>
      <c r="I1600" s="102" t="n"/>
      <c r="J1600" s="102" t="n"/>
      <c r="K1600" s="102" t="n"/>
      <c r="L1600" s="102" t="n"/>
      <c r="M1600" s="102" t="n"/>
      <c r="N1600" s="102" t="n"/>
      <c r="O1600" s="102" t="n"/>
      <c r="P1600" s="102" t="n"/>
      <c r="Q1600" s="102" t="n"/>
      <c r="R1600" s="102" t="n"/>
      <c r="S1600" s="102" t="n"/>
      <c r="T1600" s="102" t="n"/>
      <c r="U1600" s="102" t="n"/>
      <c r="V1600" s="102" t="n"/>
      <c r="W1600" s="102" t="n"/>
      <c r="X1600" s="102" t="n"/>
      <c r="Y1600" s="102" t="n"/>
      <c r="Z1600" s="102" t="n"/>
      <c r="AA1600" s="102" t="n"/>
      <c r="AB1600" s="102" t="n"/>
      <c r="AC1600" s="102" t="n"/>
      <c r="AD1600" s="102" t="n"/>
      <c r="AE1600" s="102" t="n"/>
      <c r="AF1600" s="102" t="n"/>
      <c r="AG1600" s="102" t="n"/>
      <c r="AH1600" s="102" t="n"/>
      <c r="AI1600" s="102" t="n"/>
      <c r="AJ1600" s="102" t="n"/>
      <c r="AK1600" s="102" t="n"/>
      <c r="AL1600" s="102" t="n"/>
      <c r="AM1600" s="102" t="n"/>
      <c r="AN1600" s="102" t="n"/>
      <c r="AO1600" s="102" t="n"/>
      <c r="AP1600" s="102" t="n"/>
      <c r="AQ1600" s="102" t="n"/>
      <c r="AR1600" s="102" t="n"/>
    </row>
    <row r="1601">
      <c r="D1601" s="102" t="n"/>
      <c r="E1601" s="102" t="n"/>
      <c r="F1601" s="102" t="n"/>
      <c r="G1601" s="102" t="n"/>
      <c r="H1601" s="102" t="n"/>
      <c r="I1601" s="102" t="n"/>
      <c r="J1601" s="102" t="n"/>
      <c r="K1601" s="102" t="n"/>
      <c r="L1601" s="102" t="n"/>
      <c r="M1601" s="102" t="n"/>
      <c r="N1601" s="102" t="n"/>
      <c r="O1601" s="102" t="n"/>
      <c r="P1601" s="102" t="n"/>
      <c r="Q1601" s="102" t="n"/>
      <c r="R1601" s="102" t="n"/>
      <c r="S1601" s="102" t="n"/>
      <c r="T1601" s="102" t="n"/>
      <c r="U1601" s="102" t="n"/>
      <c r="V1601" s="102" t="n"/>
      <c r="W1601" s="102" t="n"/>
      <c r="X1601" s="102" t="n"/>
      <c r="Y1601" s="102" t="n"/>
      <c r="Z1601" s="102" t="n"/>
      <c r="AA1601" s="102" t="n"/>
      <c r="AB1601" s="102" t="n"/>
      <c r="AC1601" s="102" t="n"/>
      <c r="AD1601" s="102" t="n"/>
      <c r="AE1601" s="102" t="n"/>
      <c r="AF1601" s="102" t="n"/>
      <c r="AG1601" s="102" t="n"/>
      <c r="AH1601" s="102" t="n"/>
      <c r="AI1601" s="102" t="n"/>
      <c r="AJ1601" s="102" t="n"/>
      <c r="AK1601" s="102" t="n"/>
      <c r="AL1601" s="102" t="n"/>
      <c r="AM1601" s="102" t="n"/>
      <c r="AN1601" s="102" t="n"/>
      <c r="AO1601" s="102" t="n"/>
      <c r="AP1601" s="102" t="n"/>
      <c r="AQ1601" s="102" t="n"/>
      <c r="AR1601" s="102" t="n"/>
    </row>
    <row r="1602">
      <c r="D1602" s="103" t="n"/>
      <c r="E1602" s="103" t="n"/>
      <c r="F1602" s="103" t="n"/>
      <c r="G1602" s="103" t="n"/>
      <c r="H1602" s="103" t="n"/>
      <c r="I1602" s="103" t="n"/>
      <c r="J1602" s="103" t="n"/>
      <c r="K1602" s="103" t="n"/>
      <c r="L1602" s="103" t="n"/>
      <c r="M1602" s="103" t="n"/>
      <c r="N1602" s="103" t="n"/>
      <c r="O1602" s="103" t="n"/>
      <c r="P1602" s="103" t="n"/>
      <c r="Q1602" s="103" t="n"/>
      <c r="R1602" s="103" t="n"/>
      <c r="S1602" s="103" t="n"/>
      <c r="T1602" s="103" t="n"/>
      <c r="U1602" s="103" t="n"/>
      <c r="V1602" s="103" t="n"/>
      <c r="W1602" s="103" t="n"/>
      <c r="X1602" s="103" t="n"/>
      <c r="Y1602" s="103" t="n"/>
      <c r="Z1602" s="103" t="n"/>
      <c r="AA1602" s="103" t="n"/>
      <c r="AB1602" s="103" t="n"/>
      <c r="AC1602" s="103" t="n"/>
      <c r="AD1602" s="103" t="n"/>
      <c r="AE1602" s="103" t="n"/>
      <c r="AF1602" s="103" t="n"/>
      <c r="AG1602" s="103" t="n"/>
      <c r="AH1602" s="103" t="n"/>
      <c r="AI1602" s="103" t="n"/>
      <c r="AJ1602" s="103" t="n"/>
      <c r="AK1602" s="103" t="n"/>
      <c r="AL1602" s="103" t="n"/>
      <c r="AM1602" s="103" t="n"/>
      <c r="AN1602" s="103" t="n"/>
      <c r="AO1602" s="103" t="n"/>
      <c r="AP1602" s="103" t="n"/>
      <c r="AQ1602" s="103" t="n"/>
      <c r="AR1602" s="103" t="n"/>
    </row>
    <row r="1604">
      <c r="A1604" s="8">
        <f>IF(HSCEI!$C$11="","",HSCEI!$C$11)</f>
        <v/>
      </c>
      <c r="B1604" s="99">
        <f>IF($A1604="",0,COUNT($E1605:$AR1605))</f>
        <v/>
      </c>
      <c r="C1604" s="100">
        <f>IF($B1604=0,0,MAX($E1605:$AR1605))</f>
        <v/>
      </c>
      <c r="D1604" s="101">
        <f>BDS($A1604,FLD_HIST,"headers=y","startcol=1","endcol=7","dir=h","DVD_START_DT",HIST_FROM,"DVD_END_DT",HIST_TO)</f>
        <v/>
      </c>
      <c r="E1604" s="102" t="n"/>
      <c r="F1604" s="102" t="n"/>
      <c r="G1604" s="102" t="n"/>
      <c r="H1604" s="102" t="n"/>
      <c r="I1604" s="102" t="n"/>
      <c r="J1604" s="102" t="n"/>
      <c r="K1604" s="102" t="n"/>
      <c r="L1604" s="102" t="n"/>
      <c r="M1604" s="102" t="n"/>
      <c r="N1604" s="102" t="n"/>
      <c r="O1604" s="102" t="n"/>
      <c r="P1604" s="102" t="n"/>
      <c r="Q1604" s="102" t="n"/>
      <c r="R1604" s="102" t="n"/>
      <c r="S1604" s="102" t="n"/>
      <c r="T1604" s="102" t="n"/>
      <c r="U1604" s="102" t="n"/>
      <c r="V1604" s="102" t="n"/>
      <c r="W1604" s="102" t="n"/>
      <c r="X1604" s="102" t="n"/>
      <c r="Y1604" s="102" t="n"/>
      <c r="Z1604" s="102" t="n"/>
      <c r="AA1604" s="102" t="n"/>
      <c r="AB1604" s="102" t="n"/>
      <c r="AC1604" s="102" t="n"/>
      <c r="AD1604" s="102" t="n"/>
      <c r="AE1604" s="102" t="n"/>
      <c r="AF1604" s="102" t="n"/>
      <c r="AG1604" s="102" t="n"/>
      <c r="AH1604" s="102" t="n"/>
      <c r="AI1604" s="102" t="n"/>
      <c r="AJ1604" s="102" t="n"/>
      <c r="AK1604" s="102" t="n"/>
      <c r="AL1604" s="102" t="n"/>
      <c r="AM1604" s="102" t="n"/>
      <c r="AN1604" s="102" t="n"/>
      <c r="AO1604" s="102" t="n"/>
      <c r="AP1604" s="102" t="n"/>
      <c r="AQ1604" s="102" t="n"/>
      <c r="AR1604" s="102" t="n"/>
    </row>
    <row r="1605">
      <c r="D1605" s="102" t="n"/>
      <c r="E1605" s="102" t="n"/>
      <c r="F1605" s="102" t="n"/>
      <c r="G1605" s="102" t="n"/>
      <c r="H1605" s="102" t="n"/>
      <c r="I1605" s="102" t="n"/>
      <c r="J1605" s="102" t="n"/>
      <c r="K1605" s="102" t="n"/>
      <c r="L1605" s="102" t="n"/>
      <c r="M1605" s="102" t="n"/>
      <c r="N1605" s="102" t="n"/>
      <c r="O1605" s="102" t="n"/>
      <c r="P1605" s="102" t="n"/>
      <c r="Q1605" s="102" t="n"/>
      <c r="R1605" s="102" t="n"/>
      <c r="S1605" s="102" t="n"/>
      <c r="T1605" s="102" t="n"/>
      <c r="U1605" s="102" t="n"/>
      <c r="V1605" s="102" t="n"/>
      <c r="W1605" s="102" t="n"/>
      <c r="X1605" s="102" t="n"/>
      <c r="Y1605" s="102" t="n"/>
      <c r="Z1605" s="102" t="n"/>
      <c r="AA1605" s="102" t="n"/>
      <c r="AB1605" s="102" t="n"/>
      <c r="AC1605" s="102" t="n"/>
      <c r="AD1605" s="102" t="n"/>
      <c r="AE1605" s="102" t="n"/>
      <c r="AF1605" s="102" t="n"/>
      <c r="AG1605" s="102" t="n"/>
      <c r="AH1605" s="102" t="n"/>
      <c r="AI1605" s="102" t="n"/>
      <c r="AJ1605" s="102" t="n"/>
      <c r="AK1605" s="102" t="n"/>
      <c r="AL1605" s="102" t="n"/>
      <c r="AM1605" s="102" t="n"/>
      <c r="AN1605" s="102" t="n"/>
      <c r="AO1605" s="102" t="n"/>
      <c r="AP1605" s="102" t="n"/>
      <c r="AQ1605" s="102" t="n"/>
      <c r="AR1605" s="102" t="n"/>
    </row>
    <row r="1606">
      <c r="D1606" s="102" t="n"/>
      <c r="E1606" s="102" t="n"/>
      <c r="F1606" s="102" t="n"/>
      <c r="G1606" s="102" t="n"/>
      <c r="H1606" s="102" t="n"/>
      <c r="I1606" s="102" t="n"/>
      <c r="J1606" s="102" t="n"/>
      <c r="K1606" s="102" t="n"/>
      <c r="L1606" s="102" t="n"/>
      <c r="M1606" s="102" t="n"/>
      <c r="N1606" s="102" t="n"/>
      <c r="O1606" s="102" t="n"/>
      <c r="P1606" s="102" t="n"/>
      <c r="Q1606" s="102" t="n"/>
      <c r="R1606" s="102" t="n"/>
      <c r="S1606" s="102" t="n"/>
      <c r="T1606" s="102" t="n"/>
      <c r="U1606" s="102" t="n"/>
      <c r="V1606" s="102" t="n"/>
      <c r="W1606" s="102" t="n"/>
      <c r="X1606" s="102" t="n"/>
      <c r="Y1606" s="102" t="n"/>
      <c r="Z1606" s="102" t="n"/>
      <c r="AA1606" s="102" t="n"/>
      <c r="AB1606" s="102" t="n"/>
      <c r="AC1606" s="102" t="n"/>
      <c r="AD1606" s="102" t="n"/>
      <c r="AE1606" s="102" t="n"/>
      <c r="AF1606" s="102" t="n"/>
      <c r="AG1606" s="102" t="n"/>
      <c r="AH1606" s="102" t="n"/>
      <c r="AI1606" s="102" t="n"/>
      <c r="AJ1606" s="102" t="n"/>
      <c r="AK1606" s="102" t="n"/>
      <c r="AL1606" s="102" t="n"/>
      <c r="AM1606" s="102" t="n"/>
      <c r="AN1606" s="102" t="n"/>
      <c r="AO1606" s="102" t="n"/>
      <c r="AP1606" s="102" t="n"/>
      <c r="AQ1606" s="102" t="n"/>
      <c r="AR1606" s="102" t="n"/>
    </row>
    <row r="1607">
      <c r="D1607" s="102" t="n"/>
      <c r="E1607" s="102" t="n"/>
      <c r="F1607" s="102" t="n"/>
      <c r="G1607" s="102" t="n"/>
      <c r="H1607" s="102" t="n"/>
      <c r="I1607" s="102" t="n"/>
      <c r="J1607" s="102" t="n"/>
      <c r="K1607" s="102" t="n"/>
      <c r="L1607" s="102" t="n"/>
      <c r="M1607" s="102" t="n"/>
      <c r="N1607" s="102" t="n"/>
      <c r="O1607" s="102" t="n"/>
      <c r="P1607" s="102" t="n"/>
      <c r="Q1607" s="102" t="n"/>
      <c r="R1607" s="102" t="n"/>
      <c r="S1607" s="102" t="n"/>
      <c r="T1607" s="102" t="n"/>
      <c r="U1607" s="102" t="n"/>
      <c r="V1607" s="102" t="n"/>
      <c r="W1607" s="102" t="n"/>
      <c r="X1607" s="102" t="n"/>
      <c r="Y1607" s="102" t="n"/>
      <c r="Z1607" s="102" t="n"/>
      <c r="AA1607" s="102" t="n"/>
      <c r="AB1607" s="102" t="n"/>
      <c r="AC1607" s="102" t="n"/>
      <c r="AD1607" s="102" t="n"/>
      <c r="AE1607" s="102" t="n"/>
      <c r="AF1607" s="102" t="n"/>
      <c r="AG1607" s="102" t="n"/>
      <c r="AH1607" s="102" t="n"/>
      <c r="AI1607" s="102" t="n"/>
      <c r="AJ1607" s="102" t="n"/>
      <c r="AK1607" s="102" t="n"/>
      <c r="AL1607" s="102" t="n"/>
      <c r="AM1607" s="102" t="n"/>
      <c r="AN1607" s="102" t="n"/>
      <c r="AO1607" s="102" t="n"/>
      <c r="AP1607" s="102" t="n"/>
      <c r="AQ1607" s="102" t="n"/>
      <c r="AR1607" s="102" t="n"/>
    </row>
    <row r="1608">
      <c r="D1608" s="103" t="n"/>
      <c r="E1608" s="103" t="n"/>
      <c r="F1608" s="103" t="n"/>
      <c r="G1608" s="103" t="n"/>
      <c r="H1608" s="103" t="n"/>
      <c r="I1608" s="103" t="n"/>
      <c r="J1608" s="103" t="n"/>
      <c r="K1608" s="103" t="n"/>
      <c r="L1608" s="103" t="n"/>
      <c r="M1608" s="103" t="n"/>
      <c r="N1608" s="103" t="n"/>
      <c r="O1608" s="103" t="n"/>
      <c r="P1608" s="103" t="n"/>
      <c r="Q1608" s="103" t="n"/>
      <c r="R1608" s="103" t="n"/>
      <c r="S1608" s="103" t="n"/>
      <c r="T1608" s="103" t="n"/>
      <c r="U1608" s="103" t="n"/>
      <c r="V1608" s="103" t="n"/>
      <c r="W1608" s="103" t="n"/>
      <c r="X1608" s="103" t="n"/>
      <c r="Y1608" s="103" t="n"/>
      <c r="Z1608" s="103" t="n"/>
      <c r="AA1608" s="103" t="n"/>
      <c r="AB1608" s="103" t="n"/>
      <c r="AC1608" s="103" t="n"/>
      <c r="AD1608" s="103" t="n"/>
      <c r="AE1608" s="103" t="n"/>
      <c r="AF1608" s="103" t="n"/>
      <c r="AG1608" s="103" t="n"/>
      <c r="AH1608" s="103" t="n"/>
      <c r="AI1608" s="103" t="n"/>
      <c r="AJ1608" s="103" t="n"/>
      <c r="AK1608" s="103" t="n"/>
      <c r="AL1608" s="103" t="n"/>
      <c r="AM1608" s="103" t="n"/>
      <c r="AN1608" s="103" t="n"/>
      <c r="AO1608" s="103" t="n"/>
      <c r="AP1608" s="103" t="n"/>
      <c r="AQ1608" s="103" t="n"/>
      <c r="AR1608" s="103" t="n"/>
    </row>
    <row r="1611">
      <c r="A1611" s="2">
        <f>IF($A1604="","","   projections")</f>
        <v/>
      </c>
      <c r="B1611" s="99">
        <f>IF($A1604="",0,COUNT($E1612:$AR1612))</f>
        <v/>
      </c>
      <c r="C1611" s="100">
        <f>IF($B1611=0,0,MAX($E1612:$AR1612))</f>
        <v/>
      </c>
      <c r="D1611" s="101">
        <f>BDS($A1604,FLD_PROJ,"headers=y","startcol=1","endcol=3","dir=h")</f>
        <v/>
      </c>
      <c r="E1611" s="102" t="n"/>
      <c r="F1611" s="102" t="n"/>
      <c r="G1611" s="102" t="n"/>
      <c r="H1611" s="102" t="n"/>
      <c r="I1611" s="102" t="n"/>
      <c r="J1611" s="102" t="n"/>
      <c r="K1611" s="102" t="n"/>
      <c r="L1611" s="102" t="n"/>
      <c r="M1611" s="102" t="n"/>
      <c r="N1611" s="102" t="n"/>
      <c r="O1611" s="102" t="n"/>
      <c r="P1611" s="102" t="n"/>
      <c r="Q1611" s="102" t="n"/>
      <c r="R1611" s="102" t="n"/>
      <c r="S1611" s="102" t="n"/>
      <c r="T1611" s="102" t="n"/>
      <c r="U1611" s="102" t="n"/>
      <c r="V1611" s="102" t="n"/>
      <c r="W1611" s="102" t="n"/>
      <c r="X1611" s="102" t="n"/>
      <c r="Y1611" s="102" t="n"/>
      <c r="Z1611" s="102" t="n"/>
      <c r="AA1611" s="102" t="n"/>
      <c r="AB1611" s="102" t="n"/>
      <c r="AC1611" s="102" t="n"/>
      <c r="AD1611" s="102" t="n"/>
      <c r="AE1611" s="102" t="n"/>
      <c r="AF1611" s="102" t="n"/>
      <c r="AG1611" s="102" t="n"/>
      <c r="AH1611" s="102" t="n"/>
      <c r="AI1611" s="102" t="n"/>
      <c r="AJ1611" s="102" t="n"/>
      <c r="AK1611" s="102" t="n"/>
      <c r="AL1611" s="102" t="n"/>
      <c r="AM1611" s="102" t="n"/>
      <c r="AN1611" s="102" t="n"/>
      <c r="AO1611" s="102" t="n"/>
      <c r="AP1611" s="102" t="n"/>
      <c r="AQ1611" s="102" t="n"/>
      <c r="AR1611" s="102" t="n"/>
    </row>
    <row r="1612">
      <c r="D1612" s="102" t="n"/>
      <c r="E1612" s="102" t="n"/>
      <c r="F1612" s="102" t="n"/>
      <c r="G1612" s="102" t="n"/>
      <c r="H1612" s="102" t="n"/>
      <c r="I1612" s="102" t="n"/>
      <c r="J1612" s="102" t="n"/>
      <c r="K1612" s="102" t="n"/>
      <c r="L1612" s="102" t="n"/>
      <c r="M1612" s="102" t="n"/>
      <c r="N1612" s="102" t="n"/>
      <c r="O1612" s="102" t="n"/>
      <c r="P1612" s="102" t="n"/>
      <c r="Q1612" s="102" t="n"/>
      <c r="R1612" s="102" t="n"/>
      <c r="S1612" s="102" t="n"/>
      <c r="T1612" s="102" t="n"/>
      <c r="U1612" s="102" t="n"/>
      <c r="V1612" s="102" t="n"/>
      <c r="W1612" s="102" t="n"/>
      <c r="X1612" s="102" t="n"/>
      <c r="Y1612" s="102" t="n"/>
      <c r="Z1612" s="102" t="n"/>
      <c r="AA1612" s="102" t="n"/>
      <c r="AB1612" s="102" t="n"/>
      <c r="AC1612" s="102" t="n"/>
      <c r="AD1612" s="102" t="n"/>
      <c r="AE1612" s="102" t="n"/>
      <c r="AF1612" s="102" t="n"/>
      <c r="AG1612" s="102" t="n"/>
      <c r="AH1612" s="102" t="n"/>
      <c r="AI1612" s="102" t="n"/>
      <c r="AJ1612" s="102" t="n"/>
      <c r="AK1612" s="102" t="n"/>
      <c r="AL1612" s="102" t="n"/>
      <c r="AM1612" s="102" t="n"/>
      <c r="AN1612" s="102" t="n"/>
      <c r="AO1612" s="102" t="n"/>
      <c r="AP1612" s="102" t="n"/>
      <c r="AQ1612" s="102" t="n"/>
      <c r="AR1612" s="102" t="n"/>
    </row>
    <row r="1613">
      <c r="D1613" s="103" t="n"/>
      <c r="E1613" s="103" t="n"/>
      <c r="F1613" s="103" t="n"/>
      <c r="G1613" s="103" t="n"/>
      <c r="H1613" s="103" t="n"/>
      <c r="I1613" s="103" t="n"/>
      <c r="J1613" s="103" t="n"/>
      <c r="K1613" s="103" t="n"/>
      <c r="L1613" s="103" t="n"/>
      <c r="M1613" s="103" t="n"/>
      <c r="N1613" s="103" t="n"/>
      <c r="O1613" s="103" t="n"/>
      <c r="P1613" s="103" t="n"/>
      <c r="Q1613" s="103" t="n"/>
      <c r="R1613" s="103" t="n"/>
      <c r="S1613" s="103" t="n"/>
      <c r="T1613" s="103" t="n"/>
      <c r="U1613" s="103" t="n"/>
      <c r="V1613" s="103" t="n"/>
      <c r="W1613" s="103" t="n"/>
      <c r="X1613" s="103" t="n"/>
      <c r="Y1613" s="103" t="n"/>
      <c r="Z1613" s="103" t="n"/>
      <c r="AA1613" s="103" t="n"/>
      <c r="AB1613" s="103" t="n"/>
      <c r="AC1613" s="103" t="n"/>
      <c r="AD1613" s="103" t="n"/>
      <c r="AE1613" s="103" t="n"/>
      <c r="AF1613" s="103" t="n"/>
      <c r="AG1613" s="103" t="n"/>
      <c r="AH1613" s="103" t="n"/>
      <c r="AI1613" s="103" t="n"/>
      <c r="AJ1613" s="103" t="n"/>
      <c r="AK1613" s="103" t="n"/>
      <c r="AL1613" s="103" t="n"/>
      <c r="AM1613" s="103" t="n"/>
      <c r="AN1613" s="103" t="n"/>
      <c r="AO1613" s="103" t="n"/>
      <c r="AP1613" s="103" t="n"/>
      <c r="AQ1613" s="103" t="n"/>
      <c r="AR1613" s="103" t="n"/>
    </row>
    <row r="1615">
      <c r="A1615" s="8">
        <f>IF(HSCEI!$C$12="","",HSCEI!$C$12)</f>
        <v/>
      </c>
      <c r="B1615" s="99">
        <f>IF($A1615="",0,COUNT($E1616:$AR1616))</f>
        <v/>
      </c>
      <c r="C1615" s="100">
        <f>IF($B1615=0,0,MAX($E1616:$AR1616))</f>
        <v/>
      </c>
      <c r="D1615" s="101">
        <f>BDS($A1615,FLD_HIST,"headers=y","startcol=1","endcol=7","dir=h","DVD_START_DT",HIST_FROM,"DVD_END_DT",HIST_TO)</f>
        <v/>
      </c>
      <c r="E1615" s="102" t="n"/>
      <c r="F1615" s="102" t="n"/>
      <c r="G1615" s="102" t="n"/>
      <c r="H1615" s="102" t="n"/>
      <c r="I1615" s="102" t="n"/>
      <c r="J1615" s="102" t="n"/>
      <c r="K1615" s="102" t="n"/>
      <c r="L1615" s="102" t="n"/>
      <c r="M1615" s="102" t="n"/>
      <c r="N1615" s="102" t="n"/>
      <c r="O1615" s="102" t="n"/>
      <c r="P1615" s="102" t="n"/>
      <c r="Q1615" s="102" t="n"/>
      <c r="R1615" s="102" t="n"/>
      <c r="S1615" s="102" t="n"/>
      <c r="T1615" s="102" t="n"/>
      <c r="U1615" s="102" t="n"/>
      <c r="V1615" s="102" t="n"/>
      <c r="W1615" s="102" t="n"/>
      <c r="X1615" s="102" t="n"/>
      <c r="Y1615" s="102" t="n"/>
      <c r="Z1615" s="102" t="n"/>
      <c r="AA1615" s="102" t="n"/>
      <c r="AB1615" s="102" t="n"/>
      <c r="AC1615" s="102" t="n"/>
      <c r="AD1615" s="102" t="n"/>
      <c r="AE1615" s="102" t="n"/>
      <c r="AF1615" s="102" t="n"/>
      <c r="AG1615" s="102" t="n"/>
      <c r="AH1615" s="102" t="n"/>
      <c r="AI1615" s="102" t="n"/>
      <c r="AJ1615" s="102" t="n"/>
      <c r="AK1615" s="102" t="n"/>
      <c r="AL1615" s="102" t="n"/>
      <c r="AM1615" s="102" t="n"/>
      <c r="AN1615" s="102" t="n"/>
      <c r="AO1615" s="102" t="n"/>
      <c r="AP1615" s="102" t="n"/>
      <c r="AQ1615" s="102" t="n"/>
      <c r="AR1615" s="102" t="n"/>
    </row>
    <row r="1616">
      <c r="D1616" s="102" t="n"/>
      <c r="E1616" s="102" t="n"/>
      <c r="F1616" s="102" t="n"/>
      <c r="G1616" s="102" t="n"/>
      <c r="H1616" s="102" t="n"/>
      <c r="I1616" s="102" t="n"/>
      <c r="J1616" s="102" t="n"/>
      <c r="K1616" s="102" t="n"/>
      <c r="L1616" s="102" t="n"/>
      <c r="M1616" s="102" t="n"/>
      <c r="N1616" s="102" t="n"/>
      <c r="O1616" s="102" t="n"/>
      <c r="P1616" s="102" t="n"/>
      <c r="Q1616" s="102" t="n"/>
      <c r="R1616" s="102" t="n"/>
      <c r="S1616" s="102" t="n"/>
      <c r="T1616" s="102" t="n"/>
      <c r="U1616" s="102" t="n"/>
      <c r="V1616" s="102" t="n"/>
      <c r="W1616" s="102" t="n"/>
      <c r="X1616" s="102" t="n"/>
      <c r="Y1616" s="102" t="n"/>
      <c r="Z1616" s="102" t="n"/>
      <c r="AA1616" s="102" t="n"/>
      <c r="AB1616" s="102" t="n"/>
      <c r="AC1616" s="102" t="n"/>
      <c r="AD1616" s="102" t="n"/>
      <c r="AE1616" s="102" t="n"/>
      <c r="AF1616" s="102" t="n"/>
      <c r="AG1616" s="102" t="n"/>
      <c r="AH1616" s="102" t="n"/>
      <c r="AI1616" s="102" t="n"/>
      <c r="AJ1616" s="102" t="n"/>
      <c r="AK1616" s="102" t="n"/>
      <c r="AL1616" s="102" t="n"/>
      <c r="AM1616" s="102" t="n"/>
      <c r="AN1616" s="102" t="n"/>
      <c r="AO1616" s="102" t="n"/>
      <c r="AP1616" s="102" t="n"/>
      <c r="AQ1616" s="102" t="n"/>
      <c r="AR1616" s="102" t="n"/>
    </row>
    <row r="1617">
      <c r="D1617" s="102" t="n"/>
      <c r="E1617" s="102" t="n"/>
      <c r="F1617" s="102" t="n"/>
      <c r="G1617" s="102" t="n"/>
      <c r="H1617" s="102" t="n"/>
      <c r="I1617" s="102" t="n"/>
      <c r="J1617" s="102" t="n"/>
      <c r="K1617" s="102" t="n"/>
      <c r="L1617" s="102" t="n"/>
      <c r="M1617" s="102" t="n"/>
      <c r="N1617" s="102" t="n"/>
      <c r="O1617" s="102" t="n"/>
      <c r="P1617" s="102" t="n"/>
      <c r="Q1617" s="102" t="n"/>
      <c r="R1617" s="102" t="n"/>
      <c r="S1617" s="102" t="n"/>
      <c r="T1617" s="102" t="n"/>
      <c r="U1617" s="102" t="n"/>
      <c r="V1617" s="102" t="n"/>
      <c r="W1617" s="102" t="n"/>
      <c r="X1617" s="102" t="n"/>
      <c r="Y1617" s="102" t="n"/>
      <c r="Z1617" s="102" t="n"/>
      <c r="AA1617" s="102" t="n"/>
      <c r="AB1617" s="102" t="n"/>
      <c r="AC1617" s="102" t="n"/>
      <c r="AD1617" s="102" t="n"/>
      <c r="AE1617" s="102" t="n"/>
      <c r="AF1617" s="102" t="n"/>
      <c r="AG1617" s="102" t="n"/>
      <c r="AH1617" s="102" t="n"/>
      <c r="AI1617" s="102" t="n"/>
      <c r="AJ1617" s="102" t="n"/>
      <c r="AK1617" s="102" t="n"/>
      <c r="AL1617" s="102" t="n"/>
      <c r="AM1617" s="102" t="n"/>
      <c r="AN1617" s="102" t="n"/>
      <c r="AO1617" s="102" t="n"/>
      <c r="AP1617" s="102" t="n"/>
      <c r="AQ1617" s="102" t="n"/>
      <c r="AR1617" s="102" t="n"/>
    </row>
    <row r="1618">
      <c r="D1618" s="102" t="n"/>
      <c r="E1618" s="102" t="n"/>
      <c r="F1618" s="102" t="n"/>
      <c r="G1618" s="102" t="n"/>
      <c r="H1618" s="102" t="n"/>
      <c r="I1618" s="102" t="n"/>
      <c r="J1618" s="102" t="n"/>
      <c r="K1618" s="102" t="n"/>
      <c r="L1618" s="102" t="n"/>
      <c r="M1618" s="102" t="n"/>
      <c r="N1618" s="102" t="n"/>
      <c r="O1618" s="102" t="n"/>
      <c r="P1618" s="102" t="n"/>
      <c r="Q1618" s="102" t="n"/>
      <c r="R1618" s="102" t="n"/>
      <c r="S1618" s="102" t="n"/>
      <c r="T1618" s="102" t="n"/>
      <c r="U1618" s="102" t="n"/>
      <c r="V1618" s="102" t="n"/>
      <c r="W1618" s="102" t="n"/>
      <c r="X1618" s="102" t="n"/>
      <c r="Y1618" s="102" t="n"/>
      <c r="Z1618" s="102" t="n"/>
      <c r="AA1618" s="102" t="n"/>
      <c r="AB1618" s="102" t="n"/>
      <c r="AC1618" s="102" t="n"/>
      <c r="AD1618" s="102" t="n"/>
      <c r="AE1618" s="102" t="n"/>
      <c r="AF1618" s="102" t="n"/>
      <c r="AG1618" s="102" t="n"/>
      <c r="AH1618" s="102" t="n"/>
      <c r="AI1618" s="102" t="n"/>
      <c r="AJ1618" s="102" t="n"/>
      <c r="AK1618" s="102" t="n"/>
      <c r="AL1618" s="102" t="n"/>
      <c r="AM1618" s="102" t="n"/>
      <c r="AN1618" s="102" t="n"/>
      <c r="AO1618" s="102" t="n"/>
      <c r="AP1618" s="102" t="n"/>
      <c r="AQ1618" s="102" t="n"/>
      <c r="AR1618" s="102" t="n"/>
    </row>
    <row r="1619">
      <c r="D1619" s="103" t="n"/>
      <c r="E1619" s="103" t="n"/>
      <c r="F1619" s="103" t="n"/>
      <c r="G1619" s="103" t="n"/>
      <c r="H1619" s="103" t="n"/>
      <c r="I1619" s="103" t="n"/>
      <c r="J1619" s="103" t="n"/>
      <c r="K1619" s="103" t="n"/>
      <c r="L1619" s="103" t="n"/>
      <c r="M1619" s="103" t="n"/>
      <c r="N1619" s="103" t="n"/>
      <c r="O1619" s="103" t="n"/>
      <c r="P1619" s="103" t="n"/>
      <c r="Q1619" s="103" t="n"/>
      <c r="R1619" s="103" t="n"/>
      <c r="S1619" s="103" t="n"/>
      <c r="T1619" s="103" t="n"/>
      <c r="U1619" s="103" t="n"/>
      <c r="V1619" s="103" t="n"/>
      <c r="W1619" s="103" t="n"/>
      <c r="X1619" s="103" t="n"/>
      <c r="Y1619" s="103" t="n"/>
      <c r="Z1619" s="103" t="n"/>
      <c r="AA1619" s="103" t="n"/>
      <c r="AB1619" s="103" t="n"/>
      <c r="AC1619" s="103" t="n"/>
      <c r="AD1619" s="103" t="n"/>
      <c r="AE1619" s="103" t="n"/>
      <c r="AF1619" s="103" t="n"/>
      <c r="AG1619" s="103" t="n"/>
      <c r="AH1619" s="103" t="n"/>
      <c r="AI1619" s="103" t="n"/>
      <c r="AJ1619" s="103" t="n"/>
      <c r="AK1619" s="103" t="n"/>
      <c r="AL1619" s="103" t="n"/>
      <c r="AM1619" s="103" t="n"/>
      <c r="AN1619" s="103" t="n"/>
      <c r="AO1619" s="103" t="n"/>
      <c r="AP1619" s="103" t="n"/>
      <c r="AQ1619" s="103" t="n"/>
      <c r="AR1619" s="103" t="n"/>
    </row>
    <row r="1622">
      <c r="A1622" s="2">
        <f>IF($A1615="","","   projections")</f>
        <v/>
      </c>
      <c r="B1622" s="99">
        <f>IF($A1615="",0,COUNT($E1623:$AR1623))</f>
        <v/>
      </c>
      <c r="C1622" s="100">
        <f>IF($B1622=0,0,MAX($E1623:$AR1623))</f>
        <v/>
      </c>
      <c r="D1622" s="101">
        <f>BDS($A1615,FLD_PROJ,"headers=y","startcol=1","endcol=3","dir=h")</f>
        <v/>
      </c>
      <c r="E1622" s="102" t="n"/>
      <c r="F1622" s="102" t="n"/>
      <c r="G1622" s="102" t="n"/>
      <c r="H1622" s="102" t="n"/>
      <c r="I1622" s="102" t="n"/>
      <c r="J1622" s="102" t="n"/>
      <c r="K1622" s="102" t="n"/>
      <c r="L1622" s="102" t="n"/>
      <c r="M1622" s="102" t="n"/>
      <c r="N1622" s="102" t="n"/>
      <c r="O1622" s="102" t="n"/>
      <c r="P1622" s="102" t="n"/>
      <c r="Q1622" s="102" t="n"/>
      <c r="R1622" s="102" t="n"/>
      <c r="S1622" s="102" t="n"/>
      <c r="T1622" s="102" t="n"/>
      <c r="U1622" s="102" t="n"/>
      <c r="V1622" s="102" t="n"/>
      <c r="W1622" s="102" t="n"/>
      <c r="X1622" s="102" t="n"/>
      <c r="Y1622" s="102" t="n"/>
      <c r="Z1622" s="102" t="n"/>
      <c r="AA1622" s="102" t="n"/>
      <c r="AB1622" s="102" t="n"/>
      <c r="AC1622" s="102" t="n"/>
      <c r="AD1622" s="102" t="n"/>
      <c r="AE1622" s="102" t="n"/>
      <c r="AF1622" s="102" t="n"/>
      <c r="AG1622" s="102" t="n"/>
      <c r="AH1622" s="102" t="n"/>
      <c r="AI1622" s="102" t="n"/>
      <c r="AJ1622" s="102" t="n"/>
      <c r="AK1622" s="102" t="n"/>
      <c r="AL1622" s="102" t="n"/>
      <c r="AM1622" s="102" t="n"/>
      <c r="AN1622" s="102" t="n"/>
      <c r="AO1622" s="102" t="n"/>
      <c r="AP1622" s="102" t="n"/>
      <c r="AQ1622" s="102" t="n"/>
      <c r="AR1622" s="102" t="n"/>
    </row>
    <row r="1623">
      <c r="D1623" s="102" t="n"/>
      <c r="E1623" s="102" t="n"/>
      <c r="F1623" s="102" t="n"/>
      <c r="G1623" s="102" t="n"/>
      <c r="H1623" s="102" t="n"/>
      <c r="I1623" s="102" t="n"/>
      <c r="J1623" s="102" t="n"/>
      <c r="K1623" s="102" t="n"/>
      <c r="L1623" s="102" t="n"/>
      <c r="M1623" s="102" t="n"/>
      <c r="N1623" s="102" t="n"/>
      <c r="O1623" s="102" t="n"/>
      <c r="P1623" s="102" t="n"/>
      <c r="Q1623" s="102" t="n"/>
      <c r="R1623" s="102" t="n"/>
      <c r="S1623" s="102" t="n"/>
      <c r="T1623" s="102" t="n"/>
      <c r="U1623" s="102" t="n"/>
      <c r="V1623" s="102" t="n"/>
      <c r="W1623" s="102" t="n"/>
      <c r="X1623" s="102" t="n"/>
      <c r="Y1623" s="102" t="n"/>
      <c r="Z1623" s="102" t="n"/>
      <c r="AA1623" s="102" t="n"/>
      <c r="AB1623" s="102" t="n"/>
      <c r="AC1623" s="102" t="n"/>
      <c r="AD1623" s="102" t="n"/>
      <c r="AE1623" s="102" t="n"/>
      <c r="AF1623" s="102" t="n"/>
      <c r="AG1623" s="102" t="n"/>
      <c r="AH1623" s="102" t="n"/>
      <c r="AI1623" s="102" t="n"/>
      <c r="AJ1623" s="102" t="n"/>
      <c r="AK1623" s="102" t="n"/>
      <c r="AL1623" s="102" t="n"/>
      <c r="AM1623" s="102" t="n"/>
      <c r="AN1623" s="102" t="n"/>
      <c r="AO1623" s="102" t="n"/>
      <c r="AP1623" s="102" t="n"/>
      <c r="AQ1623" s="102" t="n"/>
      <c r="AR1623" s="102" t="n"/>
    </row>
    <row r="1624">
      <c r="D1624" s="103" t="n"/>
      <c r="E1624" s="103" t="n"/>
      <c r="F1624" s="103" t="n"/>
      <c r="G1624" s="103" t="n"/>
      <c r="H1624" s="103" t="n"/>
      <c r="I1624" s="103" t="n"/>
      <c r="J1624" s="103" t="n"/>
      <c r="K1624" s="103" t="n"/>
      <c r="L1624" s="103" t="n"/>
      <c r="M1624" s="103" t="n"/>
      <c r="N1624" s="103" t="n"/>
      <c r="O1624" s="103" t="n"/>
      <c r="P1624" s="103" t="n"/>
      <c r="Q1624" s="103" t="n"/>
      <c r="R1624" s="103" t="n"/>
      <c r="S1624" s="103" t="n"/>
      <c r="T1624" s="103" t="n"/>
      <c r="U1624" s="103" t="n"/>
      <c r="V1624" s="103" t="n"/>
      <c r="W1624" s="103" t="n"/>
      <c r="X1624" s="103" t="n"/>
      <c r="Y1624" s="103" t="n"/>
      <c r="Z1624" s="103" t="n"/>
      <c r="AA1624" s="103" t="n"/>
      <c r="AB1624" s="103" t="n"/>
      <c r="AC1624" s="103" t="n"/>
      <c r="AD1624" s="103" t="n"/>
      <c r="AE1624" s="103" t="n"/>
      <c r="AF1624" s="103" t="n"/>
      <c r="AG1624" s="103" t="n"/>
      <c r="AH1624" s="103" t="n"/>
      <c r="AI1624" s="103" t="n"/>
      <c r="AJ1624" s="103" t="n"/>
      <c r="AK1624" s="103" t="n"/>
      <c r="AL1624" s="103" t="n"/>
      <c r="AM1624" s="103" t="n"/>
      <c r="AN1624" s="103" t="n"/>
      <c r="AO1624" s="103" t="n"/>
      <c r="AP1624" s="103" t="n"/>
      <c r="AQ1624" s="103" t="n"/>
      <c r="AR1624" s="103" t="n"/>
    </row>
    <row r="1626">
      <c r="A1626" s="8">
        <f>IF(HSCEI!$C$13="","",HSCEI!$C$13)</f>
        <v/>
      </c>
      <c r="B1626" s="99">
        <f>IF($A1626="",0,COUNT($E1627:$AR1627))</f>
        <v/>
      </c>
      <c r="C1626" s="100">
        <f>IF($B1626=0,0,MAX($E1627:$AR1627))</f>
        <v/>
      </c>
      <c r="D1626" s="101">
        <f>BDS($A1626,FLD_HIST,"headers=y","startcol=1","endcol=7","dir=h","DVD_START_DT",HIST_FROM,"DVD_END_DT",HIST_TO)</f>
        <v/>
      </c>
      <c r="E1626" s="102" t="n"/>
      <c r="F1626" s="102" t="n"/>
      <c r="G1626" s="102" t="n"/>
      <c r="H1626" s="102" t="n"/>
      <c r="I1626" s="102" t="n"/>
      <c r="J1626" s="102" t="n"/>
      <c r="K1626" s="102" t="n"/>
      <c r="L1626" s="102" t="n"/>
      <c r="M1626" s="102" t="n"/>
      <c r="N1626" s="102" t="n"/>
      <c r="O1626" s="102" t="n"/>
      <c r="P1626" s="102" t="n"/>
      <c r="Q1626" s="102" t="n"/>
      <c r="R1626" s="102" t="n"/>
      <c r="S1626" s="102" t="n"/>
      <c r="T1626" s="102" t="n"/>
      <c r="U1626" s="102" t="n"/>
      <c r="V1626" s="102" t="n"/>
      <c r="W1626" s="102" t="n"/>
      <c r="X1626" s="102" t="n"/>
      <c r="Y1626" s="102" t="n"/>
      <c r="Z1626" s="102" t="n"/>
      <c r="AA1626" s="102" t="n"/>
      <c r="AB1626" s="102" t="n"/>
      <c r="AC1626" s="102" t="n"/>
      <c r="AD1626" s="102" t="n"/>
      <c r="AE1626" s="102" t="n"/>
      <c r="AF1626" s="102" t="n"/>
      <c r="AG1626" s="102" t="n"/>
      <c r="AH1626" s="102" t="n"/>
      <c r="AI1626" s="102" t="n"/>
      <c r="AJ1626" s="102" t="n"/>
      <c r="AK1626" s="102" t="n"/>
      <c r="AL1626" s="102" t="n"/>
      <c r="AM1626" s="102" t="n"/>
      <c r="AN1626" s="102" t="n"/>
      <c r="AO1626" s="102" t="n"/>
      <c r="AP1626" s="102" t="n"/>
      <c r="AQ1626" s="102" t="n"/>
      <c r="AR1626" s="102" t="n"/>
    </row>
    <row r="1627">
      <c r="D1627" s="102" t="n"/>
      <c r="E1627" s="102" t="n"/>
      <c r="F1627" s="102" t="n"/>
      <c r="G1627" s="102" t="n"/>
      <c r="H1627" s="102" t="n"/>
      <c r="I1627" s="102" t="n"/>
      <c r="J1627" s="102" t="n"/>
      <c r="K1627" s="102" t="n"/>
      <c r="L1627" s="102" t="n"/>
      <c r="M1627" s="102" t="n"/>
      <c r="N1627" s="102" t="n"/>
      <c r="O1627" s="102" t="n"/>
      <c r="P1627" s="102" t="n"/>
      <c r="Q1627" s="102" t="n"/>
      <c r="R1627" s="102" t="n"/>
      <c r="S1627" s="102" t="n"/>
      <c r="T1627" s="102" t="n"/>
      <c r="U1627" s="102" t="n"/>
      <c r="V1627" s="102" t="n"/>
      <c r="W1627" s="102" t="n"/>
      <c r="X1627" s="102" t="n"/>
      <c r="Y1627" s="102" t="n"/>
      <c r="Z1627" s="102" t="n"/>
      <c r="AA1627" s="102" t="n"/>
      <c r="AB1627" s="102" t="n"/>
      <c r="AC1627" s="102" t="n"/>
      <c r="AD1627" s="102" t="n"/>
      <c r="AE1627" s="102" t="n"/>
      <c r="AF1627" s="102" t="n"/>
      <c r="AG1627" s="102" t="n"/>
      <c r="AH1627" s="102" t="n"/>
      <c r="AI1627" s="102" t="n"/>
      <c r="AJ1627" s="102" t="n"/>
      <c r="AK1627" s="102" t="n"/>
      <c r="AL1627" s="102" t="n"/>
      <c r="AM1627" s="102" t="n"/>
      <c r="AN1627" s="102" t="n"/>
      <c r="AO1627" s="102" t="n"/>
      <c r="AP1627" s="102" t="n"/>
      <c r="AQ1627" s="102" t="n"/>
      <c r="AR1627" s="102" t="n"/>
    </row>
    <row r="1628">
      <c r="D1628" s="102" t="n"/>
      <c r="E1628" s="102" t="n"/>
      <c r="F1628" s="102" t="n"/>
      <c r="G1628" s="102" t="n"/>
      <c r="H1628" s="102" t="n"/>
      <c r="I1628" s="102" t="n"/>
      <c r="J1628" s="102" t="n"/>
      <c r="K1628" s="102" t="n"/>
      <c r="L1628" s="102" t="n"/>
      <c r="M1628" s="102" t="n"/>
      <c r="N1628" s="102" t="n"/>
      <c r="O1628" s="102" t="n"/>
      <c r="P1628" s="102" t="n"/>
      <c r="Q1628" s="102" t="n"/>
      <c r="R1628" s="102" t="n"/>
      <c r="S1628" s="102" t="n"/>
      <c r="T1628" s="102" t="n"/>
      <c r="U1628" s="102" t="n"/>
      <c r="V1628" s="102" t="n"/>
      <c r="W1628" s="102" t="n"/>
      <c r="X1628" s="102" t="n"/>
      <c r="Y1628" s="102" t="n"/>
      <c r="Z1628" s="102" t="n"/>
      <c r="AA1628" s="102" t="n"/>
      <c r="AB1628" s="102" t="n"/>
      <c r="AC1628" s="102" t="n"/>
      <c r="AD1628" s="102" t="n"/>
      <c r="AE1628" s="102" t="n"/>
      <c r="AF1628" s="102" t="n"/>
      <c r="AG1628" s="102" t="n"/>
      <c r="AH1628" s="102" t="n"/>
      <c r="AI1628" s="102" t="n"/>
      <c r="AJ1628" s="102" t="n"/>
      <c r="AK1628" s="102" t="n"/>
      <c r="AL1628" s="102" t="n"/>
      <c r="AM1628" s="102" t="n"/>
      <c r="AN1628" s="102" t="n"/>
      <c r="AO1628" s="102" t="n"/>
      <c r="AP1628" s="102" t="n"/>
      <c r="AQ1628" s="102" t="n"/>
      <c r="AR1628" s="102" t="n"/>
    </row>
    <row r="1629">
      <c r="D1629" s="102" t="n"/>
      <c r="E1629" s="102" t="n"/>
      <c r="F1629" s="102" t="n"/>
      <c r="G1629" s="102" t="n"/>
      <c r="H1629" s="102" t="n"/>
      <c r="I1629" s="102" t="n"/>
      <c r="J1629" s="102" t="n"/>
      <c r="K1629" s="102" t="n"/>
      <c r="L1629" s="102" t="n"/>
      <c r="M1629" s="102" t="n"/>
      <c r="N1629" s="102" t="n"/>
      <c r="O1629" s="102" t="n"/>
      <c r="P1629" s="102" t="n"/>
      <c r="Q1629" s="102" t="n"/>
      <c r="R1629" s="102" t="n"/>
      <c r="S1629" s="102" t="n"/>
      <c r="T1629" s="102" t="n"/>
      <c r="U1629" s="102" t="n"/>
      <c r="V1629" s="102" t="n"/>
      <c r="W1629" s="102" t="n"/>
      <c r="X1629" s="102" t="n"/>
      <c r="Y1629" s="102" t="n"/>
      <c r="Z1629" s="102" t="n"/>
      <c r="AA1629" s="102" t="n"/>
      <c r="AB1629" s="102" t="n"/>
      <c r="AC1629" s="102" t="n"/>
      <c r="AD1629" s="102" t="n"/>
      <c r="AE1629" s="102" t="n"/>
      <c r="AF1629" s="102" t="n"/>
      <c r="AG1629" s="102" t="n"/>
      <c r="AH1629" s="102" t="n"/>
      <c r="AI1629" s="102" t="n"/>
      <c r="AJ1629" s="102" t="n"/>
      <c r="AK1629" s="102" t="n"/>
      <c r="AL1629" s="102" t="n"/>
      <c r="AM1629" s="102" t="n"/>
      <c r="AN1629" s="102" t="n"/>
      <c r="AO1629" s="102" t="n"/>
      <c r="AP1629" s="102" t="n"/>
      <c r="AQ1629" s="102" t="n"/>
      <c r="AR1629" s="102" t="n"/>
    </row>
    <row r="1630">
      <c r="D1630" s="103" t="n"/>
      <c r="E1630" s="103" t="n"/>
      <c r="F1630" s="103" t="n"/>
      <c r="G1630" s="103" t="n"/>
      <c r="H1630" s="103" t="n"/>
      <c r="I1630" s="103" t="n"/>
      <c r="J1630" s="103" t="n"/>
      <c r="K1630" s="103" t="n"/>
      <c r="L1630" s="103" t="n"/>
      <c r="M1630" s="103" t="n"/>
      <c r="N1630" s="103" t="n"/>
      <c r="O1630" s="103" t="n"/>
      <c r="P1630" s="103" t="n"/>
      <c r="Q1630" s="103" t="n"/>
      <c r="R1630" s="103" t="n"/>
      <c r="S1630" s="103" t="n"/>
      <c r="T1630" s="103" t="n"/>
      <c r="U1630" s="103" t="n"/>
      <c r="V1630" s="103" t="n"/>
      <c r="W1630" s="103" t="n"/>
      <c r="X1630" s="103" t="n"/>
      <c r="Y1630" s="103" t="n"/>
      <c r="Z1630" s="103" t="n"/>
      <c r="AA1630" s="103" t="n"/>
      <c r="AB1630" s="103" t="n"/>
      <c r="AC1630" s="103" t="n"/>
      <c r="AD1630" s="103" t="n"/>
      <c r="AE1630" s="103" t="n"/>
      <c r="AF1630" s="103" t="n"/>
      <c r="AG1630" s="103" t="n"/>
      <c r="AH1630" s="103" t="n"/>
      <c r="AI1630" s="103" t="n"/>
      <c r="AJ1630" s="103" t="n"/>
      <c r="AK1630" s="103" t="n"/>
      <c r="AL1630" s="103" t="n"/>
      <c r="AM1630" s="103" t="n"/>
      <c r="AN1630" s="103" t="n"/>
      <c r="AO1630" s="103" t="n"/>
      <c r="AP1630" s="103" t="n"/>
      <c r="AQ1630" s="103" t="n"/>
      <c r="AR1630" s="103" t="n"/>
    </row>
    <row r="1633">
      <c r="A1633" s="2">
        <f>IF($A1626="","","   projections")</f>
        <v/>
      </c>
      <c r="B1633" s="99">
        <f>IF($A1626="",0,COUNT($E1634:$AR1634))</f>
        <v/>
      </c>
      <c r="C1633" s="100">
        <f>IF($B1633=0,0,MAX($E1634:$AR1634))</f>
        <v/>
      </c>
      <c r="D1633" s="101">
        <f>BDS($A1626,FLD_PROJ,"headers=y","startcol=1","endcol=3","dir=h")</f>
        <v/>
      </c>
      <c r="E1633" s="102" t="n"/>
      <c r="F1633" s="102" t="n"/>
      <c r="G1633" s="102" t="n"/>
      <c r="H1633" s="102" t="n"/>
      <c r="I1633" s="102" t="n"/>
      <c r="J1633" s="102" t="n"/>
      <c r="K1633" s="102" t="n"/>
      <c r="L1633" s="102" t="n"/>
      <c r="M1633" s="102" t="n"/>
      <c r="N1633" s="102" t="n"/>
      <c r="O1633" s="102" t="n"/>
      <c r="P1633" s="102" t="n"/>
      <c r="Q1633" s="102" t="n"/>
      <c r="R1633" s="102" t="n"/>
      <c r="S1633" s="102" t="n"/>
      <c r="T1633" s="102" t="n"/>
      <c r="U1633" s="102" t="n"/>
      <c r="V1633" s="102" t="n"/>
      <c r="W1633" s="102" t="n"/>
      <c r="X1633" s="102" t="n"/>
      <c r="Y1633" s="102" t="n"/>
      <c r="Z1633" s="102" t="n"/>
      <c r="AA1633" s="102" t="n"/>
      <c r="AB1633" s="102" t="n"/>
      <c r="AC1633" s="102" t="n"/>
      <c r="AD1633" s="102" t="n"/>
      <c r="AE1633" s="102" t="n"/>
      <c r="AF1633" s="102" t="n"/>
      <c r="AG1633" s="102" t="n"/>
      <c r="AH1633" s="102" t="n"/>
      <c r="AI1633" s="102" t="n"/>
      <c r="AJ1633" s="102" t="n"/>
      <c r="AK1633" s="102" t="n"/>
      <c r="AL1633" s="102" t="n"/>
      <c r="AM1633" s="102" t="n"/>
      <c r="AN1633" s="102" t="n"/>
      <c r="AO1633" s="102" t="n"/>
      <c r="AP1633" s="102" t="n"/>
      <c r="AQ1633" s="102" t="n"/>
      <c r="AR1633" s="102" t="n"/>
    </row>
    <row r="1634">
      <c r="D1634" s="102" t="n"/>
      <c r="E1634" s="102" t="n"/>
      <c r="F1634" s="102" t="n"/>
      <c r="G1634" s="102" t="n"/>
      <c r="H1634" s="102" t="n"/>
      <c r="I1634" s="102" t="n"/>
      <c r="J1634" s="102" t="n"/>
      <c r="K1634" s="102" t="n"/>
      <c r="L1634" s="102" t="n"/>
      <c r="M1634" s="102" t="n"/>
      <c r="N1634" s="102" t="n"/>
      <c r="O1634" s="102" t="n"/>
      <c r="P1634" s="102" t="n"/>
      <c r="Q1634" s="102" t="n"/>
      <c r="R1634" s="102" t="n"/>
      <c r="S1634" s="102" t="n"/>
      <c r="T1634" s="102" t="n"/>
      <c r="U1634" s="102" t="n"/>
      <c r="V1634" s="102" t="n"/>
      <c r="W1634" s="102" t="n"/>
      <c r="X1634" s="102" t="n"/>
      <c r="Y1634" s="102" t="n"/>
      <c r="Z1634" s="102" t="n"/>
      <c r="AA1634" s="102" t="n"/>
      <c r="AB1634" s="102" t="n"/>
      <c r="AC1634" s="102" t="n"/>
      <c r="AD1634" s="102" t="n"/>
      <c r="AE1634" s="102" t="n"/>
      <c r="AF1634" s="102" t="n"/>
      <c r="AG1634" s="102" t="n"/>
      <c r="AH1634" s="102" t="n"/>
      <c r="AI1634" s="102" t="n"/>
      <c r="AJ1634" s="102" t="n"/>
      <c r="AK1634" s="102" t="n"/>
      <c r="AL1634" s="102" t="n"/>
      <c r="AM1634" s="102" t="n"/>
      <c r="AN1634" s="102" t="n"/>
      <c r="AO1634" s="102" t="n"/>
      <c r="AP1634" s="102" t="n"/>
      <c r="AQ1634" s="102" t="n"/>
      <c r="AR1634" s="102" t="n"/>
    </row>
    <row r="1635">
      <c r="D1635" s="103" t="n"/>
      <c r="E1635" s="103" t="n"/>
      <c r="F1635" s="103" t="n"/>
      <c r="G1635" s="103" t="n"/>
      <c r="H1635" s="103" t="n"/>
      <c r="I1635" s="103" t="n"/>
      <c r="J1635" s="103" t="n"/>
      <c r="K1635" s="103" t="n"/>
      <c r="L1635" s="103" t="n"/>
      <c r="M1635" s="103" t="n"/>
      <c r="N1635" s="103" t="n"/>
      <c r="O1635" s="103" t="n"/>
      <c r="P1635" s="103" t="n"/>
      <c r="Q1635" s="103" t="n"/>
      <c r="R1635" s="103" t="n"/>
      <c r="S1635" s="103" t="n"/>
      <c r="T1635" s="103" t="n"/>
      <c r="U1635" s="103" t="n"/>
      <c r="V1635" s="103" t="n"/>
      <c r="W1635" s="103" t="n"/>
      <c r="X1635" s="103" t="n"/>
      <c r="Y1635" s="103" t="n"/>
      <c r="Z1635" s="103" t="n"/>
      <c r="AA1635" s="103" t="n"/>
      <c r="AB1635" s="103" t="n"/>
      <c r="AC1635" s="103" t="n"/>
      <c r="AD1635" s="103" t="n"/>
      <c r="AE1635" s="103" t="n"/>
      <c r="AF1635" s="103" t="n"/>
      <c r="AG1635" s="103" t="n"/>
      <c r="AH1635" s="103" t="n"/>
      <c r="AI1635" s="103" t="n"/>
      <c r="AJ1635" s="103" t="n"/>
      <c r="AK1635" s="103" t="n"/>
      <c r="AL1635" s="103" t="n"/>
      <c r="AM1635" s="103" t="n"/>
      <c r="AN1635" s="103" t="n"/>
      <c r="AO1635" s="103" t="n"/>
      <c r="AP1635" s="103" t="n"/>
      <c r="AQ1635" s="103" t="n"/>
      <c r="AR1635" s="103" t="n"/>
    </row>
    <row r="1637">
      <c r="A1637" s="8">
        <f>IF(HSCEI!$C$14="","",HSCEI!$C$14)</f>
        <v/>
      </c>
      <c r="B1637" s="99">
        <f>IF($A1637="",0,COUNT($E1638:$AR1638))</f>
        <v/>
      </c>
      <c r="C1637" s="100">
        <f>IF($B1637=0,0,MAX($E1638:$AR1638))</f>
        <v/>
      </c>
      <c r="D1637" s="101">
        <f>BDS($A1637,FLD_HIST,"headers=y","startcol=1","endcol=7","dir=h","DVD_START_DT",HIST_FROM,"DVD_END_DT",HIST_TO)</f>
        <v/>
      </c>
      <c r="E1637" s="102" t="n"/>
      <c r="F1637" s="102" t="n"/>
      <c r="G1637" s="102" t="n"/>
      <c r="H1637" s="102" t="n"/>
      <c r="I1637" s="102" t="n"/>
      <c r="J1637" s="102" t="n"/>
      <c r="K1637" s="102" t="n"/>
      <c r="L1637" s="102" t="n"/>
      <c r="M1637" s="102" t="n"/>
      <c r="N1637" s="102" t="n"/>
      <c r="O1637" s="102" t="n"/>
      <c r="P1637" s="102" t="n"/>
      <c r="Q1637" s="102" t="n"/>
      <c r="R1637" s="102" t="n"/>
      <c r="S1637" s="102" t="n"/>
      <c r="T1637" s="102" t="n"/>
      <c r="U1637" s="102" t="n"/>
      <c r="V1637" s="102" t="n"/>
      <c r="W1637" s="102" t="n"/>
      <c r="X1637" s="102" t="n"/>
      <c r="Y1637" s="102" t="n"/>
      <c r="Z1637" s="102" t="n"/>
      <c r="AA1637" s="102" t="n"/>
      <c r="AB1637" s="102" t="n"/>
      <c r="AC1637" s="102" t="n"/>
      <c r="AD1637" s="102" t="n"/>
      <c r="AE1637" s="102" t="n"/>
      <c r="AF1637" s="102" t="n"/>
      <c r="AG1637" s="102" t="n"/>
      <c r="AH1637" s="102" t="n"/>
      <c r="AI1637" s="102" t="n"/>
      <c r="AJ1637" s="102" t="n"/>
      <c r="AK1637" s="102" t="n"/>
      <c r="AL1637" s="102" t="n"/>
      <c r="AM1637" s="102" t="n"/>
      <c r="AN1637" s="102" t="n"/>
      <c r="AO1637" s="102" t="n"/>
      <c r="AP1637" s="102" t="n"/>
      <c r="AQ1637" s="102" t="n"/>
      <c r="AR1637" s="102" t="n"/>
    </row>
    <row r="1638">
      <c r="D1638" s="102" t="n"/>
      <c r="E1638" s="102" t="n"/>
      <c r="F1638" s="102" t="n"/>
      <c r="G1638" s="102" t="n"/>
      <c r="H1638" s="102" t="n"/>
      <c r="I1638" s="102" t="n"/>
      <c r="J1638" s="102" t="n"/>
      <c r="K1638" s="102" t="n"/>
      <c r="L1638" s="102" t="n"/>
      <c r="M1638" s="102" t="n"/>
      <c r="N1638" s="102" t="n"/>
      <c r="O1638" s="102" t="n"/>
      <c r="P1638" s="102" t="n"/>
      <c r="Q1638" s="102" t="n"/>
      <c r="R1638" s="102" t="n"/>
      <c r="S1638" s="102" t="n"/>
      <c r="T1638" s="102" t="n"/>
      <c r="U1638" s="102" t="n"/>
      <c r="V1638" s="102" t="n"/>
      <c r="W1638" s="102" t="n"/>
      <c r="X1638" s="102" t="n"/>
      <c r="Y1638" s="102" t="n"/>
      <c r="Z1638" s="102" t="n"/>
      <c r="AA1638" s="102" t="n"/>
      <c r="AB1638" s="102" t="n"/>
      <c r="AC1638" s="102" t="n"/>
      <c r="AD1638" s="102" t="n"/>
      <c r="AE1638" s="102" t="n"/>
      <c r="AF1638" s="102" t="n"/>
      <c r="AG1638" s="102" t="n"/>
      <c r="AH1638" s="102" t="n"/>
      <c r="AI1638" s="102" t="n"/>
      <c r="AJ1638" s="102" t="n"/>
      <c r="AK1638" s="102" t="n"/>
      <c r="AL1638" s="102" t="n"/>
      <c r="AM1638" s="102" t="n"/>
      <c r="AN1638" s="102" t="n"/>
      <c r="AO1638" s="102" t="n"/>
      <c r="AP1638" s="102" t="n"/>
      <c r="AQ1638" s="102" t="n"/>
      <c r="AR1638" s="102" t="n"/>
    </row>
    <row r="1639">
      <c r="D1639" s="102" t="n"/>
      <c r="E1639" s="102" t="n"/>
      <c r="F1639" s="102" t="n"/>
      <c r="G1639" s="102" t="n"/>
      <c r="H1639" s="102" t="n"/>
      <c r="I1639" s="102" t="n"/>
      <c r="J1639" s="102" t="n"/>
      <c r="K1639" s="102" t="n"/>
      <c r="L1639" s="102" t="n"/>
      <c r="M1639" s="102" t="n"/>
      <c r="N1639" s="102" t="n"/>
      <c r="O1639" s="102" t="n"/>
      <c r="P1639" s="102" t="n"/>
      <c r="Q1639" s="102" t="n"/>
      <c r="R1639" s="102" t="n"/>
      <c r="S1639" s="102" t="n"/>
      <c r="T1639" s="102" t="n"/>
      <c r="U1639" s="102" t="n"/>
      <c r="V1639" s="102" t="n"/>
      <c r="W1639" s="102" t="n"/>
      <c r="X1639" s="102" t="n"/>
      <c r="Y1639" s="102" t="n"/>
      <c r="Z1639" s="102" t="n"/>
      <c r="AA1639" s="102" t="n"/>
      <c r="AB1639" s="102" t="n"/>
      <c r="AC1639" s="102" t="n"/>
      <c r="AD1639" s="102" t="n"/>
      <c r="AE1639" s="102" t="n"/>
      <c r="AF1639" s="102" t="n"/>
      <c r="AG1639" s="102" t="n"/>
      <c r="AH1639" s="102" t="n"/>
      <c r="AI1639" s="102" t="n"/>
      <c r="AJ1639" s="102" t="n"/>
      <c r="AK1639" s="102" t="n"/>
      <c r="AL1639" s="102" t="n"/>
      <c r="AM1639" s="102" t="n"/>
      <c r="AN1639" s="102" t="n"/>
      <c r="AO1639" s="102" t="n"/>
      <c r="AP1639" s="102" t="n"/>
      <c r="AQ1639" s="102" t="n"/>
      <c r="AR1639" s="102" t="n"/>
    </row>
    <row r="1640">
      <c r="D1640" s="102" t="n"/>
      <c r="E1640" s="102" t="n"/>
      <c r="F1640" s="102" t="n"/>
      <c r="G1640" s="102" t="n"/>
      <c r="H1640" s="102" t="n"/>
      <c r="I1640" s="102" t="n"/>
      <c r="J1640" s="102" t="n"/>
      <c r="K1640" s="102" t="n"/>
      <c r="L1640" s="102" t="n"/>
      <c r="M1640" s="102" t="n"/>
      <c r="N1640" s="102" t="n"/>
      <c r="O1640" s="102" t="n"/>
      <c r="P1640" s="102" t="n"/>
      <c r="Q1640" s="102" t="n"/>
      <c r="R1640" s="102" t="n"/>
      <c r="S1640" s="102" t="n"/>
      <c r="T1640" s="102" t="n"/>
      <c r="U1640" s="102" t="n"/>
      <c r="V1640" s="102" t="n"/>
      <c r="W1640" s="102" t="n"/>
      <c r="X1640" s="102" t="n"/>
      <c r="Y1640" s="102" t="n"/>
      <c r="Z1640" s="102" t="n"/>
      <c r="AA1640" s="102" t="n"/>
      <c r="AB1640" s="102" t="n"/>
      <c r="AC1640" s="102" t="n"/>
      <c r="AD1640" s="102" t="n"/>
      <c r="AE1640" s="102" t="n"/>
      <c r="AF1640" s="102" t="n"/>
      <c r="AG1640" s="102" t="n"/>
      <c r="AH1640" s="102" t="n"/>
      <c r="AI1640" s="102" t="n"/>
      <c r="AJ1640" s="102" t="n"/>
      <c r="AK1640" s="102" t="n"/>
      <c r="AL1640" s="102" t="n"/>
      <c r="AM1640" s="102" t="n"/>
      <c r="AN1640" s="102" t="n"/>
      <c r="AO1640" s="102" t="n"/>
      <c r="AP1640" s="102" t="n"/>
      <c r="AQ1640" s="102" t="n"/>
      <c r="AR1640" s="102" t="n"/>
    </row>
    <row r="1641">
      <c r="D1641" s="103" t="n"/>
      <c r="E1641" s="103" t="n"/>
      <c r="F1641" s="103" t="n"/>
      <c r="G1641" s="103" t="n"/>
      <c r="H1641" s="103" t="n"/>
      <c r="I1641" s="103" t="n"/>
      <c r="J1641" s="103" t="n"/>
      <c r="K1641" s="103" t="n"/>
      <c r="L1641" s="103" t="n"/>
      <c r="M1641" s="103" t="n"/>
      <c r="N1641" s="103" t="n"/>
      <c r="O1641" s="103" t="n"/>
      <c r="P1641" s="103" t="n"/>
      <c r="Q1641" s="103" t="n"/>
      <c r="R1641" s="103" t="n"/>
      <c r="S1641" s="103" t="n"/>
      <c r="T1641" s="103" t="n"/>
      <c r="U1641" s="103" t="n"/>
      <c r="V1641" s="103" t="n"/>
      <c r="W1641" s="103" t="n"/>
      <c r="X1641" s="103" t="n"/>
      <c r="Y1641" s="103" t="n"/>
      <c r="Z1641" s="103" t="n"/>
      <c r="AA1641" s="103" t="n"/>
      <c r="AB1641" s="103" t="n"/>
      <c r="AC1641" s="103" t="n"/>
      <c r="AD1641" s="103" t="n"/>
      <c r="AE1641" s="103" t="n"/>
      <c r="AF1641" s="103" t="n"/>
      <c r="AG1641" s="103" t="n"/>
      <c r="AH1641" s="103" t="n"/>
      <c r="AI1641" s="103" t="n"/>
      <c r="AJ1641" s="103" t="n"/>
      <c r="AK1641" s="103" t="n"/>
      <c r="AL1641" s="103" t="n"/>
      <c r="AM1641" s="103" t="n"/>
      <c r="AN1641" s="103" t="n"/>
      <c r="AO1641" s="103" t="n"/>
      <c r="AP1641" s="103" t="n"/>
      <c r="AQ1641" s="103" t="n"/>
      <c r="AR1641" s="103" t="n"/>
    </row>
    <row r="1644">
      <c r="A1644" s="2">
        <f>IF($A1637="","","   projections")</f>
        <v/>
      </c>
      <c r="B1644" s="99">
        <f>IF($A1637="",0,COUNT($E1645:$AR1645))</f>
        <v/>
      </c>
      <c r="C1644" s="100">
        <f>IF($B1644=0,0,MAX($E1645:$AR1645))</f>
        <v/>
      </c>
      <c r="D1644" s="101">
        <f>BDS($A1637,FLD_PROJ,"headers=y","startcol=1","endcol=3","dir=h")</f>
        <v/>
      </c>
      <c r="E1644" s="102" t="n"/>
      <c r="F1644" s="102" t="n"/>
      <c r="G1644" s="102" t="n"/>
      <c r="H1644" s="102" t="n"/>
      <c r="I1644" s="102" t="n"/>
      <c r="J1644" s="102" t="n"/>
      <c r="K1644" s="102" t="n"/>
      <c r="L1644" s="102" t="n"/>
      <c r="M1644" s="102" t="n"/>
      <c r="N1644" s="102" t="n"/>
      <c r="O1644" s="102" t="n"/>
      <c r="P1644" s="102" t="n"/>
      <c r="Q1644" s="102" t="n"/>
      <c r="R1644" s="102" t="n"/>
      <c r="S1644" s="102" t="n"/>
      <c r="T1644" s="102" t="n"/>
      <c r="U1644" s="102" t="n"/>
      <c r="V1644" s="102" t="n"/>
      <c r="W1644" s="102" t="n"/>
      <c r="X1644" s="102" t="n"/>
      <c r="Y1644" s="102" t="n"/>
      <c r="Z1644" s="102" t="n"/>
      <c r="AA1644" s="102" t="n"/>
      <c r="AB1644" s="102" t="n"/>
      <c r="AC1644" s="102" t="n"/>
      <c r="AD1644" s="102" t="n"/>
      <c r="AE1644" s="102" t="n"/>
      <c r="AF1644" s="102" t="n"/>
      <c r="AG1644" s="102" t="n"/>
      <c r="AH1644" s="102" t="n"/>
      <c r="AI1644" s="102" t="n"/>
      <c r="AJ1644" s="102" t="n"/>
      <c r="AK1644" s="102" t="n"/>
      <c r="AL1644" s="102" t="n"/>
      <c r="AM1644" s="102" t="n"/>
      <c r="AN1644" s="102" t="n"/>
      <c r="AO1644" s="102" t="n"/>
      <c r="AP1644" s="102" t="n"/>
      <c r="AQ1644" s="102" t="n"/>
      <c r="AR1644" s="102" t="n"/>
    </row>
    <row r="1645">
      <c r="D1645" s="102" t="n"/>
      <c r="E1645" s="102" t="n"/>
      <c r="F1645" s="102" t="n"/>
      <c r="G1645" s="102" t="n"/>
      <c r="H1645" s="102" t="n"/>
      <c r="I1645" s="102" t="n"/>
      <c r="J1645" s="102" t="n"/>
      <c r="K1645" s="102" t="n"/>
      <c r="L1645" s="102" t="n"/>
      <c r="M1645" s="102" t="n"/>
      <c r="N1645" s="102" t="n"/>
      <c r="O1645" s="102" t="n"/>
      <c r="P1645" s="102" t="n"/>
      <c r="Q1645" s="102" t="n"/>
      <c r="R1645" s="102" t="n"/>
      <c r="S1645" s="102" t="n"/>
      <c r="T1645" s="102" t="n"/>
      <c r="U1645" s="102" t="n"/>
      <c r="V1645" s="102" t="n"/>
      <c r="W1645" s="102" t="n"/>
      <c r="X1645" s="102" t="n"/>
      <c r="Y1645" s="102" t="n"/>
      <c r="Z1645" s="102" t="n"/>
      <c r="AA1645" s="102" t="n"/>
      <c r="AB1645" s="102" t="n"/>
      <c r="AC1645" s="102" t="n"/>
      <c r="AD1645" s="102" t="n"/>
      <c r="AE1645" s="102" t="n"/>
      <c r="AF1645" s="102" t="n"/>
      <c r="AG1645" s="102" t="n"/>
      <c r="AH1645" s="102" t="n"/>
      <c r="AI1645" s="102" t="n"/>
      <c r="AJ1645" s="102" t="n"/>
      <c r="AK1645" s="102" t="n"/>
      <c r="AL1645" s="102" t="n"/>
      <c r="AM1645" s="102" t="n"/>
      <c r="AN1645" s="102" t="n"/>
      <c r="AO1645" s="102" t="n"/>
      <c r="AP1645" s="102" t="n"/>
      <c r="AQ1645" s="102" t="n"/>
      <c r="AR1645" s="102" t="n"/>
    </row>
    <row r="1646">
      <c r="D1646" s="103" t="n"/>
      <c r="E1646" s="103" t="n"/>
      <c r="F1646" s="103" t="n"/>
      <c r="G1646" s="103" t="n"/>
      <c r="H1646" s="103" t="n"/>
      <c r="I1646" s="103" t="n"/>
      <c r="J1646" s="103" t="n"/>
      <c r="K1646" s="103" t="n"/>
      <c r="L1646" s="103" t="n"/>
      <c r="M1646" s="103" t="n"/>
      <c r="N1646" s="103" t="n"/>
      <c r="O1646" s="103" t="n"/>
      <c r="P1646" s="103" t="n"/>
      <c r="Q1646" s="103" t="n"/>
      <c r="R1646" s="103" t="n"/>
      <c r="S1646" s="103" t="n"/>
      <c r="T1646" s="103" t="n"/>
      <c r="U1646" s="103" t="n"/>
      <c r="V1646" s="103" t="n"/>
      <c r="W1646" s="103" t="n"/>
      <c r="X1646" s="103" t="n"/>
      <c r="Y1646" s="103" t="n"/>
      <c r="Z1646" s="103" t="n"/>
      <c r="AA1646" s="103" t="n"/>
      <c r="AB1646" s="103" t="n"/>
      <c r="AC1646" s="103" t="n"/>
      <c r="AD1646" s="103" t="n"/>
      <c r="AE1646" s="103" t="n"/>
      <c r="AF1646" s="103" t="n"/>
      <c r="AG1646" s="103" t="n"/>
      <c r="AH1646" s="103" t="n"/>
      <c r="AI1646" s="103" t="n"/>
      <c r="AJ1646" s="103" t="n"/>
      <c r="AK1646" s="103" t="n"/>
      <c r="AL1646" s="103" t="n"/>
      <c r="AM1646" s="103" t="n"/>
      <c r="AN1646" s="103" t="n"/>
      <c r="AO1646" s="103" t="n"/>
      <c r="AP1646" s="103" t="n"/>
      <c r="AQ1646" s="103" t="n"/>
      <c r="AR1646" s="103" t="n"/>
    </row>
    <row r="1648">
      <c r="A1648" s="8">
        <f>IF(HSCEI!$C$15="","",HSCEI!$C$15)</f>
        <v/>
      </c>
      <c r="B1648" s="99">
        <f>IF($A1648="",0,COUNT($E1649:$AR1649))</f>
        <v/>
      </c>
      <c r="C1648" s="100">
        <f>IF($B1648=0,0,MAX($E1649:$AR1649))</f>
        <v/>
      </c>
      <c r="D1648" s="101">
        <f>BDS($A1648,FLD_HIST,"headers=y","startcol=1","endcol=7","dir=h","DVD_START_DT",HIST_FROM,"DVD_END_DT",HIST_TO)</f>
        <v/>
      </c>
      <c r="E1648" s="102" t="n"/>
      <c r="F1648" s="102" t="n"/>
      <c r="G1648" s="102" t="n"/>
      <c r="H1648" s="102" t="n"/>
      <c r="I1648" s="102" t="n"/>
      <c r="J1648" s="102" t="n"/>
      <c r="K1648" s="102" t="n"/>
      <c r="L1648" s="102" t="n"/>
      <c r="M1648" s="102" t="n"/>
      <c r="N1648" s="102" t="n"/>
      <c r="O1648" s="102" t="n"/>
      <c r="P1648" s="102" t="n"/>
      <c r="Q1648" s="102" t="n"/>
      <c r="R1648" s="102" t="n"/>
      <c r="S1648" s="102" t="n"/>
      <c r="T1648" s="102" t="n"/>
      <c r="U1648" s="102" t="n"/>
      <c r="V1648" s="102" t="n"/>
      <c r="W1648" s="102" t="n"/>
      <c r="X1648" s="102" t="n"/>
      <c r="Y1648" s="102" t="n"/>
      <c r="Z1648" s="102" t="n"/>
      <c r="AA1648" s="102" t="n"/>
      <c r="AB1648" s="102" t="n"/>
      <c r="AC1648" s="102" t="n"/>
      <c r="AD1648" s="102" t="n"/>
      <c r="AE1648" s="102" t="n"/>
      <c r="AF1648" s="102" t="n"/>
      <c r="AG1648" s="102" t="n"/>
      <c r="AH1648" s="102" t="n"/>
      <c r="AI1648" s="102" t="n"/>
      <c r="AJ1648" s="102" t="n"/>
      <c r="AK1648" s="102" t="n"/>
      <c r="AL1648" s="102" t="n"/>
      <c r="AM1648" s="102" t="n"/>
      <c r="AN1648" s="102" t="n"/>
      <c r="AO1648" s="102" t="n"/>
      <c r="AP1648" s="102" t="n"/>
      <c r="AQ1648" s="102" t="n"/>
      <c r="AR1648" s="102" t="n"/>
    </row>
    <row r="1649">
      <c r="D1649" s="102" t="n"/>
      <c r="E1649" s="102" t="n"/>
      <c r="F1649" s="102" t="n"/>
      <c r="G1649" s="102" t="n"/>
      <c r="H1649" s="102" t="n"/>
      <c r="I1649" s="102" t="n"/>
      <c r="J1649" s="102" t="n"/>
      <c r="K1649" s="102" t="n"/>
      <c r="L1649" s="102" t="n"/>
      <c r="M1649" s="102" t="n"/>
      <c r="N1649" s="102" t="n"/>
      <c r="O1649" s="102" t="n"/>
      <c r="P1649" s="102" t="n"/>
      <c r="Q1649" s="102" t="n"/>
      <c r="R1649" s="102" t="n"/>
      <c r="S1649" s="102" t="n"/>
      <c r="T1649" s="102" t="n"/>
      <c r="U1649" s="102" t="n"/>
      <c r="V1649" s="102" t="n"/>
      <c r="W1649" s="102" t="n"/>
      <c r="X1649" s="102" t="n"/>
      <c r="Y1649" s="102" t="n"/>
      <c r="Z1649" s="102" t="n"/>
      <c r="AA1649" s="102" t="n"/>
      <c r="AB1649" s="102" t="n"/>
      <c r="AC1649" s="102" t="n"/>
      <c r="AD1649" s="102" t="n"/>
      <c r="AE1649" s="102" t="n"/>
      <c r="AF1649" s="102" t="n"/>
      <c r="AG1649" s="102" t="n"/>
      <c r="AH1649" s="102" t="n"/>
      <c r="AI1649" s="102" t="n"/>
      <c r="AJ1649" s="102" t="n"/>
      <c r="AK1649" s="102" t="n"/>
      <c r="AL1649" s="102" t="n"/>
      <c r="AM1649" s="102" t="n"/>
      <c r="AN1649" s="102" t="n"/>
      <c r="AO1649" s="102" t="n"/>
      <c r="AP1649" s="102" t="n"/>
      <c r="AQ1649" s="102" t="n"/>
      <c r="AR1649" s="102" t="n"/>
    </row>
    <row r="1650">
      <c r="D1650" s="102" t="n"/>
      <c r="E1650" s="102" t="n"/>
      <c r="F1650" s="102" t="n"/>
      <c r="G1650" s="102" t="n"/>
      <c r="H1650" s="102" t="n"/>
      <c r="I1650" s="102" t="n"/>
      <c r="J1650" s="102" t="n"/>
      <c r="K1650" s="102" t="n"/>
      <c r="L1650" s="102" t="n"/>
      <c r="M1650" s="102" t="n"/>
      <c r="N1650" s="102" t="n"/>
      <c r="O1650" s="102" t="n"/>
      <c r="P1650" s="102" t="n"/>
      <c r="Q1650" s="102" t="n"/>
      <c r="R1650" s="102" t="n"/>
      <c r="S1650" s="102" t="n"/>
      <c r="T1650" s="102" t="n"/>
      <c r="U1650" s="102" t="n"/>
      <c r="V1650" s="102" t="n"/>
      <c r="W1650" s="102" t="n"/>
      <c r="X1650" s="102" t="n"/>
      <c r="Y1650" s="102" t="n"/>
      <c r="Z1650" s="102" t="n"/>
      <c r="AA1650" s="102" t="n"/>
      <c r="AB1650" s="102" t="n"/>
      <c r="AC1650" s="102" t="n"/>
      <c r="AD1650" s="102" t="n"/>
      <c r="AE1650" s="102" t="n"/>
      <c r="AF1650" s="102" t="n"/>
      <c r="AG1650" s="102" t="n"/>
      <c r="AH1650" s="102" t="n"/>
      <c r="AI1650" s="102" t="n"/>
      <c r="AJ1650" s="102" t="n"/>
      <c r="AK1650" s="102" t="n"/>
      <c r="AL1650" s="102" t="n"/>
      <c r="AM1650" s="102" t="n"/>
      <c r="AN1650" s="102" t="n"/>
      <c r="AO1650" s="102" t="n"/>
      <c r="AP1650" s="102" t="n"/>
      <c r="AQ1650" s="102" t="n"/>
      <c r="AR1650" s="102" t="n"/>
    </row>
    <row r="1651">
      <c r="D1651" s="102" t="n"/>
      <c r="E1651" s="102" t="n"/>
      <c r="F1651" s="102" t="n"/>
      <c r="G1651" s="102" t="n"/>
      <c r="H1651" s="102" t="n"/>
      <c r="I1651" s="102" t="n"/>
      <c r="J1651" s="102" t="n"/>
      <c r="K1651" s="102" t="n"/>
      <c r="L1651" s="102" t="n"/>
      <c r="M1651" s="102" t="n"/>
      <c r="N1651" s="102" t="n"/>
      <c r="O1651" s="102" t="n"/>
      <c r="P1651" s="102" t="n"/>
      <c r="Q1651" s="102" t="n"/>
      <c r="R1651" s="102" t="n"/>
      <c r="S1651" s="102" t="n"/>
      <c r="T1651" s="102" t="n"/>
      <c r="U1651" s="102" t="n"/>
      <c r="V1651" s="102" t="n"/>
      <c r="W1651" s="102" t="n"/>
      <c r="X1651" s="102" t="n"/>
      <c r="Y1651" s="102" t="n"/>
      <c r="Z1651" s="102" t="n"/>
      <c r="AA1651" s="102" t="n"/>
      <c r="AB1651" s="102" t="n"/>
      <c r="AC1651" s="102" t="n"/>
      <c r="AD1651" s="102" t="n"/>
      <c r="AE1651" s="102" t="n"/>
      <c r="AF1651" s="102" t="n"/>
      <c r="AG1651" s="102" t="n"/>
      <c r="AH1651" s="102" t="n"/>
      <c r="AI1651" s="102" t="n"/>
      <c r="AJ1651" s="102" t="n"/>
      <c r="AK1651" s="102" t="n"/>
      <c r="AL1651" s="102" t="n"/>
      <c r="AM1651" s="102" t="n"/>
      <c r="AN1651" s="102" t="n"/>
      <c r="AO1651" s="102" t="n"/>
      <c r="AP1651" s="102" t="n"/>
      <c r="AQ1651" s="102" t="n"/>
      <c r="AR1651" s="102" t="n"/>
    </row>
    <row r="1652">
      <c r="D1652" s="103" t="n"/>
      <c r="E1652" s="103" t="n"/>
      <c r="F1652" s="103" t="n"/>
      <c r="G1652" s="103" t="n"/>
      <c r="H1652" s="103" t="n"/>
      <c r="I1652" s="103" t="n"/>
      <c r="J1652" s="103" t="n"/>
      <c r="K1652" s="103" t="n"/>
      <c r="L1652" s="103" t="n"/>
      <c r="M1652" s="103" t="n"/>
      <c r="N1652" s="103" t="n"/>
      <c r="O1652" s="103" t="n"/>
      <c r="P1652" s="103" t="n"/>
      <c r="Q1652" s="103" t="n"/>
      <c r="R1652" s="103" t="n"/>
      <c r="S1652" s="103" t="n"/>
      <c r="T1652" s="103" t="n"/>
      <c r="U1652" s="103" t="n"/>
      <c r="V1652" s="103" t="n"/>
      <c r="W1652" s="103" t="n"/>
      <c r="X1652" s="103" t="n"/>
      <c r="Y1652" s="103" t="n"/>
      <c r="Z1652" s="103" t="n"/>
      <c r="AA1652" s="103" t="n"/>
      <c r="AB1652" s="103" t="n"/>
      <c r="AC1652" s="103" t="n"/>
      <c r="AD1652" s="103" t="n"/>
      <c r="AE1652" s="103" t="n"/>
      <c r="AF1652" s="103" t="n"/>
      <c r="AG1652" s="103" t="n"/>
      <c r="AH1652" s="103" t="n"/>
      <c r="AI1652" s="103" t="n"/>
      <c r="AJ1652" s="103" t="n"/>
      <c r="AK1652" s="103" t="n"/>
      <c r="AL1652" s="103" t="n"/>
      <c r="AM1652" s="103" t="n"/>
      <c r="AN1652" s="103" t="n"/>
      <c r="AO1652" s="103" t="n"/>
      <c r="AP1652" s="103" t="n"/>
      <c r="AQ1652" s="103" t="n"/>
      <c r="AR1652" s="103" t="n"/>
    </row>
    <row r="1655">
      <c r="A1655" s="2">
        <f>IF($A1648="","","   projections")</f>
        <v/>
      </c>
      <c r="B1655" s="99">
        <f>IF($A1648="",0,COUNT($E1656:$AR1656))</f>
        <v/>
      </c>
      <c r="C1655" s="100">
        <f>IF($B1655=0,0,MAX($E1656:$AR1656))</f>
        <v/>
      </c>
      <c r="D1655" s="101">
        <f>BDS($A1648,FLD_PROJ,"headers=y","startcol=1","endcol=3","dir=h")</f>
        <v/>
      </c>
      <c r="E1655" s="102" t="n"/>
      <c r="F1655" s="102" t="n"/>
      <c r="G1655" s="102" t="n"/>
      <c r="H1655" s="102" t="n"/>
      <c r="I1655" s="102" t="n"/>
      <c r="J1655" s="102" t="n"/>
      <c r="K1655" s="102" t="n"/>
      <c r="L1655" s="102" t="n"/>
      <c r="M1655" s="102" t="n"/>
      <c r="N1655" s="102" t="n"/>
      <c r="O1655" s="102" t="n"/>
      <c r="P1655" s="102" t="n"/>
      <c r="Q1655" s="102" t="n"/>
      <c r="R1655" s="102" t="n"/>
      <c r="S1655" s="102" t="n"/>
      <c r="T1655" s="102" t="n"/>
      <c r="U1655" s="102" t="n"/>
      <c r="V1655" s="102" t="n"/>
      <c r="W1655" s="102" t="n"/>
      <c r="X1655" s="102" t="n"/>
      <c r="Y1655" s="102" t="n"/>
      <c r="Z1655" s="102" t="n"/>
      <c r="AA1655" s="102" t="n"/>
      <c r="AB1655" s="102" t="n"/>
      <c r="AC1655" s="102" t="n"/>
      <c r="AD1655" s="102" t="n"/>
      <c r="AE1655" s="102" t="n"/>
      <c r="AF1655" s="102" t="n"/>
      <c r="AG1655" s="102" t="n"/>
      <c r="AH1655" s="102" t="n"/>
      <c r="AI1655" s="102" t="n"/>
      <c r="AJ1655" s="102" t="n"/>
      <c r="AK1655" s="102" t="n"/>
      <c r="AL1655" s="102" t="n"/>
      <c r="AM1655" s="102" t="n"/>
      <c r="AN1655" s="102" t="n"/>
      <c r="AO1655" s="102" t="n"/>
      <c r="AP1655" s="102" t="n"/>
      <c r="AQ1655" s="102" t="n"/>
      <c r="AR1655" s="102" t="n"/>
    </row>
    <row r="1656">
      <c r="D1656" s="102" t="n"/>
      <c r="E1656" s="102" t="n"/>
      <c r="F1656" s="102" t="n"/>
      <c r="G1656" s="102" t="n"/>
      <c r="H1656" s="102" t="n"/>
      <c r="I1656" s="102" t="n"/>
      <c r="J1656" s="102" t="n"/>
      <c r="K1656" s="102" t="n"/>
      <c r="L1656" s="102" t="n"/>
      <c r="M1656" s="102" t="n"/>
      <c r="N1656" s="102" t="n"/>
      <c r="O1656" s="102" t="n"/>
      <c r="P1656" s="102" t="n"/>
      <c r="Q1656" s="102" t="n"/>
      <c r="R1656" s="102" t="n"/>
      <c r="S1656" s="102" t="n"/>
      <c r="T1656" s="102" t="n"/>
      <c r="U1656" s="102" t="n"/>
      <c r="V1656" s="102" t="n"/>
      <c r="W1656" s="102" t="n"/>
      <c r="X1656" s="102" t="n"/>
      <c r="Y1656" s="102" t="n"/>
      <c r="Z1656" s="102" t="n"/>
      <c r="AA1656" s="102" t="n"/>
      <c r="AB1656" s="102" t="n"/>
      <c r="AC1656" s="102" t="n"/>
      <c r="AD1656" s="102" t="n"/>
      <c r="AE1656" s="102" t="n"/>
      <c r="AF1656" s="102" t="n"/>
      <c r="AG1656" s="102" t="n"/>
      <c r="AH1656" s="102" t="n"/>
      <c r="AI1656" s="102" t="n"/>
      <c r="AJ1656" s="102" t="n"/>
      <c r="AK1656" s="102" t="n"/>
      <c r="AL1656" s="102" t="n"/>
      <c r="AM1656" s="102" t="n"/>
      <c r="AN1656" s="102" t="n"/>
      <c r="AO1656" s="102" t="n"/>
      <c r="AP1656" s="102" t="n"/>
      <c r="AQ1656" s="102" t="n"/>
      <c r="AR1656" s="102" t="n"/>
    </row>
    <row r="1657">
      <c r="D1657" s="103" t="n"/>
      <c r="E1657" s="103" t="n"/>
      <c r="F1657" s="103" t="n"/>
      <c r="G1657" s="103" t="n"/>
      <c r="H1657" s="103" t="n"/>
      <c r="I1657" s="103" t="n"/>
      <c r="J1657" s="103" t="n"/>
      <c r="K1657" s="103" t="n"/>
      <c r="L1657" s="103" t="n"/>
      <c r="M1657" s="103" t="n"/>
      <c r="N1657" s="103" t="n"/>
      <c r="O1657" s="103" t="n"/>
      <c r="P1657" s="103" t="n"/>
      <c r="Q1657" s="103" t="n"/>
      <c r="R1657" s="103" t="n"/>
      <c r="S1657" s="103" t="n"/>
      <c r="T1657" s="103" t="n"/>
      <c r="U1657" s="103" t="n"/>
      <c r="V1657" s="103" t="n"/>
      <c r="W1657" s="103" t="n"/>
      <c r="X1657" s="103" t="n"/>
      <c r="Y1657" s="103" t="n"/>
      <c r="Z1657" s="103" t="n"/>
      <c r="AA1657" s="103" t="n"/>
      <c r="AB1657" s="103" t="n"/>
      <c r="AC1657" s="103" t="n"/>
      <c r="AD1657" s="103" t="n"/>
      <c r="AE1657" s="103" t="n"/>
      <c r="AF1657" s="103" t="n"/>
      <c r="AG1657" s="103" t="n"/>
      <c r="AH1657" s="103" t="n"/>
      <c r="AI1657" s="103" t="n"/>
      <c r="AJ1657" s="103" t="n"/>
      <c r="AK1657" s="103" t="n"/>
      <c r="AL1657" s="103" t="n"/>
      <c r="AM1657" s="103" t="n"/>
      <c r="AN1657" s="103" t="n"/>
      <c r="AO1657" s="103" t="n"/>
      <c r="AP1657" s="103" t="n"/>
      <c r="AQ1657" s="103" t="n"/>
      <c r="AR1657" s="103" t="n"/>
    </row>
    <row r="1659">
      <c r="A1659" s="8">
        <f>IF(HSCEI!$C$16="","",HSCEI!$C$16)</f>
        <v/>
      </c>
      <c r="B1659" s="99">
        <f>IF($A1659="",0,COUNT($E1660:$AR1660))</f>
        <v/>
      </c>
      <c r="C1659" s="100">
        <f>IF($B1659=0,0,MAX($E1660:$AR1660))</f>
        <v/>
      </c>
      <c r="D1659" s="101">
        <f>BDS($A1659,FLD_HIST,"headers=y","startcol=1","endcol=7","dir=h","DVD_START_DT",HIST_FROM,"DVD_END_DT",HIST_TO)</f>
        <v/>
      </c>
      <c r="E1659" s="102" t="n"/>
      <c r="F1659" s="102" t="n"/>
      <c r="G1659" s="102" t="n"/>
      <c r="H1659" s="102" t="n"/>
      <c r="I1659" s="102" t="n"/>
      <c r="J1659" s="102" t="n"/>
      <c r="K1659" s="102" t="n"/>
      <c r="L1659" s="102" t="n"/>
      <c r="M1659" s="102" t="n"/>
      <c r="N1659" s="102" t="n"/>
      <c r="O1659" s="102" t="n"/>
      <c r="P1659" s="102" t="n"/>
      <c r="Q1659" s="102" t="n"/>
      <c r="R1659" s="102" t="n"/>
      <c r="S1659" s="102" t="n"/>
      <c r="T1659" s="102" t="n"/>
      <c r="U1659" s="102" t="n"/>
      <c r="V1659" s="102" t="n"/>
      <c r="W1659" s="102" t="n"/>
      <c r="X1659" s="102" t="n"/>
      <c r="Y1659" s="102" t="n"/>
      <c r="Z1659" s="102" t="n"/>
      <c r="AA1659" s="102" t="n"/>
      <c r="AB1659" s="102" t="n"/>
      <c r="AC1659" s="102" t="n"/>
      <c r="AD1659" s="102" t="n"/>
      <c r="AE1659" s="102" t="n"/>
      <c r="AF1659" s="102" t="n"/>
      <c r="AG1659" s="102" t="n"/>
      <c r="AH1659" s="102" t="n"/>
      <c r="AI1659" s="102" t="n"/>
      <c r="AJ1659" s="102" t="n"/>
      <c r="AK1659" s="102" t="n"/>
      <c r="AL1659" s="102" t="n"/>
      <c r="AM1659" s="102" t="n"/>
      <c r="AN1659" s="102" t="n"/>
      <c r="AO1659" s="102" t="n"/>
      <c r="AP1659" s="102" t="n"/>
      <c r="AQ1659" s="102" t="n"/>
      <c r="AR1659" s="102" t="n"/>
    </row>
    <row r="1660">
      <c r="D1660" s="102" t="n"/>
      <c r="E1660" s="102" t="n"/>
      <c r="F1660" s="102" t="n"/>
      <c r="G1660" s="102" t="n"/>
      <c r="H1660" s="102" t="n"/>
      <c r="I1660" s="102" t="n"/>
      <c r="J1660" s="102" t="n"/>
      <c r="K1660" s="102" t="n"/>
      <c r="L1660" s="102" t="n"/>
      <c r="M1660" s="102" t="n"/>
      <c r="N1660" s="102" t="n"/>
      <c r="O1660" s="102" t="n"/>
      <c r="P1660" s="102" t="n"/>
      <c r="Q1660" s="102" t="n"/>
      <c r="R1660" s="102" t="n"/>
      <c r="S1660" s="102" t="n"/>
      <c r="T1660" s="102" t="n"/>
      <c r="U1660" s="102" t="n"/>
      <c r="V1660" s="102" t="n"/>
      <c r="W1660" s="102" t="n"/>
      <c r="X1660" s="102" t="n"/>
      <c r="Y1660" s="102" t="n"/>
      <c r="Z1660" s="102" t="n"/>
      <c r="AA1660" s="102" t="n"/>
      <c r="AB1660" s="102" t="n"/>
      <c r="AC1660" s="102" t="n"/>
      <c r="AD1660" s="102" t="n"/>
      <c r="AE1660" s="102" t="n"/>
      <c r="AF1660" s="102" t="n"/>
      <c r="AG1660" s="102" t="n"/>
      <c r="AH1660" s="102" t="n"/>
      <c r="AI1660" s="102" t="n"/>
      <c r="AJ1660" s="102" t="n"/>
      <c r="AK1660" s="102" t="n"/>
      <c r="AL1660" s="102" t="n"/>
      <c r="AM1660" s="102" t="n"/>
      <c r="AN1660" s="102" t="n"/>
      <c r="AO1660" s="102" t="n"/>
      <c r="AP1660" s="102" t="n"/>
      <c r="AQ1660" s="102" t="n"/>
      <c r="AR1660" s="102" t="n"/>
    </row>
    <row r="1661">
      <c r="D1661" s="102" t="n"/>
      <c r="E1661" s="102" t="n"/>
      <c r="F1661" s="102" t="n"/>
      <c r="G1661" s="102" t="n"/>
      <c r="H1661" s="102" t="n"/>
      <c r="I1661" s="102" t="n"/>
      <c r="J1661" s="102" t="n"/>
      <c r="K1661" s="102" t="n"/>
      <c r="L1661" s="102" t="n"/>
      <c r="M1661" s="102" t="n"/>
      <c r="N1661" s="102" t="n"/>
      <c r="O1661" s="102" t="n"/>
      <c r="P1661" s="102" t="n"/>
      <c r="Q1661" s="102" t="n"/>
      <c r="R1661" s="102" t="n"/>
      <c r="S1661" s="102" t="n"/>
      <c r="T1661" s="102" t="n"/>
      <c r="U1661" s="102" t="n"/>
      <c r="V1661" s="102" t="n"/>
      <c r="W1661" s="102" t="n"/>
      <c r="X1661" s="102" t="n"/>
      <c r="Y1661" s="102" t="n"/>
      <c r="Z1661" s="102" t="n"/>
      <c r="AA1661" s="102" t="n"/>
      <c r="AB1661" s="102" t="n"/>
      <c r="AC1661" s="102" t="n"/>
      <c r="AD1661" s="102" t="n"/>
      <c r="AE1661" s="102" t="n"/>
      <c r="AF1661" s="102" t="n"/>
      <c r="AG1661" s="102" t="n"/>
      <c r="AH1661" s="102" t="n"/>
      <c r="AI1661" s="102" t="n"/>
      <c r="AJ1661" s="102" t="n"/>
      <c r="AK1661" s="102" t="n"/>
      <c r="AL1661" s="102" t="n"/>
      <c r="AM1661" s="102" t="n"/>
      <c r="AN1661" s="102" t="n"/>
      <c r="AO1661" s="102" t="n"/>
      <c r="AP1661" s="102" t="n"/>
      <c r="AQ1661" s="102" t="n"/>
      <c r="AR1661" s="102" t="n"/>
    </row>
    <row r="1662">
      <c r="D1662" s="102" t="n"/>
      <c r="E1662" s="102" t="n"/>
      <c r="F1662" s="102" t="n"/>
      <c r="G1662" s="102" t="n"/>
      <c r="H1662" s="102" t="n"/>
      <c r="I1662" s="102" t="n"/>
      <c r="J1662" s="102" t="n"/>
      <c r="K1662" s="102" t="n"/>
      <c r="L1662" s="102" t="n"/>
      <c r="M1662" s="102" t="n"/>
      <c r="N1662" s="102" t="n"/>
      <c r="O1662" s="102" t="n"/>
      <c r="P1662" s="102" t="n"/>
      <c r="Q1662" s="102" t="n"/>
      <c r="R1662" s="102" t="n"/>
      <c r="S1662" s="102" t="n"/>
      <c r="T1662" s="102" t="n"/>
      <c r="U1662" s="102" t="n"/>
      <c r="V1662" s="102" t="n"/>
      <c r="W1662" s="102" t="n"/>
      <c r="X1662" s="102" t="n"/>
      <c r="Y1662" s="102" t="n"/>
      <c r="Z1662" s="102" t="n"/>
      <c r="AA1662" s="102" t="n"/>
      <c r="AB1662" s="102" t="n"/>
      <c r="AC1662" s="102" t="n"/>
      <c r="AD1662" s="102" t="n"/>
      <c r="AE1662" s="102" t="n"/>
      <c r="AF1662" s="102" t="n"/>
      <c r="AG1662" s="102" t="n"/>
      <c r="AH1662" s="102" t="n"/>
      <c r="AI1662" s="102" t="n"/>
      <c r="AJ1662" s="102" t="n"/>
      <c r="AK1662" s="102" t="n"/>
      <c r="AL1662" s="102" t="n"/>
      <c r="AM1662" s="102" t="n"/>
      <c r="AN1662" s="102" t="n"/>
      <c r="AO1662" s="102" t="n"/>
      <c r="AP1662" s="102" t="n"/>
      <c r="AQ1662" s="102" t="n"/>
      <c r="AR1662" s="102" t="n"/>
    </row>
    <row r="1663">
      <c r="D1663" s="103" t="n"/>
      <c r="E1663" s="103" t="n"/>
      <c r="F1663" s="103" t="n"/>
      <c r="G1663" s="103" t="n"/>
      <c r="H1663" s="103" t="n"/>
      <c r="I1663" s="103" t="n"/>
      <c r="J1663" s="103" t="n"/>
      <c r="K1663" s="103" t="n"/>
      <c r="L1663" s="103" t="n"/>
      <c r="M1663" s="103" t="n"/>
      <c r="N1663" s="103" t="n"/>
      <c r="O1663" s="103" t="n"/>
      <c r="P1663" s="103" t="n"/>
      <c r="Q1663" s="103" t="n"/>
      <c r="R1663" s="103" t="n"/>
      <c r="S1663" s="103" t="n"/>
      <c r="T1663" s="103" t="n"/>
      <c r="U1663" s="103" t="n"/>
      <c r="V1663" s="103" t="n"/>
      <c r="W1663" s="103" t="n"/>
      <c r="X1663" s="103" t="n"/>
      <c r="Y1663" s="103" t="n"/>
      <c r="Z1663" s="103" t="n"/>
      <c r="AA1663" s="103" t="n"/>
      <c r="AB1663" s="103" t="n"/>
      <c r="AC1663" s="103" t="n"/>
      <c r="AD1663" s="103" t="n"/>
      <c r="AE1663" s="103" t="n"/>
      <c r="AF1663" s="103" t="n"/>
      <c r="AG1663" s="103" t="n"/>
      <c r="AH1663" s="103" t="n"/>
      <c r="AI1663" s="103" t="n"/>
      <c r="AJ1663" s="103" t="n"/>
      <c r="AK1663" s="103" t="n"/>
      <c r="AL1663" s="103" t="n"/>
      <c r="AM1663" s="103" t="n"/>
      <c r="AN1663" s="103" t="n"/>
      <c r="AO1663" s="103" t="n"/>
      <c r="AP1663" s="103" t="n"/>
      <c r="AQ1663" s="103" t="n"/>
      <c r="AR1663" s="103" t="n"/>
    </row>
    <row r="1666">
      <c r="A1666" s="2">
        <f>IF($A1659="","","   projections")</f>
        <v/>
      </c>
      <c r="B1666" s="99">
        <f>IF($A1659="",0,COUNT($E1667:$AR1667))</f>
        <v/>
      </c>
      <c r="C1666" s="100">
        <f>IF($B1666=0,0,MAX($E1667:$AR1667))</f>
        <v/>
      </c>
      <c r="D1666" s="101">
        <f>BDS($A1659,FLD_PROJ,"headers=y","startcol=1","endcol=3","dir=h")</f>
        <v/>
      </c>
      <c r="E1666" s="102" t="n"/>
      <c r="F1666" s="102" t="n"/>
      <c r="G1666" s="102" t="n"/>
      <c r="H1666" s="102" t="n"/>
      <c r="I1666" s="102" t="n"/>
      <c r="J1666" s="102" t="n"/>
      <c r="K1666" s="102" t="n"/>
      <c r="L1666" s="102" t="n"/>
      <c r="M1666" s="102" t="n"/>
      <c r="N1666" s="102" t="n"/>
      <c r="O1666" s="102" t="n"/>
      <c r="P1666" s="102" t="n"/>
      <c r="Q1666" s="102" t="n"/>
      <c r="R1666" s="102" t="n"/>
      <c r="S1666" s="102" t="n"/>
      <c r="T1666" s="102" t="n"/>
      <c r="U1666" s="102" t="n"/>
      <c r="V1666" s="102" t="n"/>
      <c r="W1666" s="102" t="n"/>
      <c r="X1666" s="102" t="n"/>
      <c r="Y1666" s="102" t="n"/>
      <c r="Z1666" s="102" t="n"/>
      <c r="AA1666" s="102" t="n"/>
      <c r="AB1666" s="102" t="n"/>
      <c r="AC1666" s="102" t="n"/>
      <c r="AD1666" s="102" t="n"/>
      <c r="AE1666" s="102" t="n"/>
      <c r="AF1666" s="102" t="n"/>
      <c r="AG1666" s="102" t="n"/>
      <c r="AH1666" s="102" t="n"/>
      <c r="AI1666" s="102" t="n"/>
      <c r="AJ1666" s="102" t="n"/>
      <c r="AK1666" s="102" t="n"/>
      <c r="AL1666" s="102" t="n"/>
      <c r="AM1666" s="102" t="n"/>
      <c r="AN1666" s="102" t="n"/>
      <c r="AO1666" s="102" t="n"/>
      <c r="AP1666" s="102" t="n"/>
      <c r="AQ1666" s="102" t="n"/>
      <c r="AR1666" s="102" t="n"/>
    </row>
    <row r="1667">
      <c r="D1667" s="102" t="n"/>
      <c r="E1667" s="102" t="n"/>
      <c r="F1667" s="102" t="n"/>
      <c r="G1667" s="102" t="n"/>
      <c r="H1667" s="102" t="n"/>
      <c r="I1667" s="102" t="n"/>
      <c r="J1667" s="102" t="n"/>
      <c r="K1667" s="102" t="n"/>
      <c r="L1667" s="102" t="n"/>
      <c r="M1667" s="102" t="n"/>
      <c r="N1667" s="102" t="n"/>
      <c r="O1667" s="102" t="n"/>
      <c r="P1667" s="102" t="n"/>
      <c r="Q1667" s="102" t="n"/>
      <c r="R1667" s="102" t="n"/>
      <c r="S1667" s="102" t="n"/>
      <c r="T1667" s="102" t="n"/>
      <c r="U1667" s="102" t="n"/>
      <c r="V1667" s="102" t="n"/>
      <c r="W1667" s="102" t="n"/>
      <c r="X1667" s="102" t="n"/>
      <c r="Y1667" s="102" t="n"/>
      <c r="Z1667" s="102" t="n"/>
      <c r="AA1667" s="102" t="n"/>
      <c r="AB1667" s="102" t="n"/>
      <c r="AC1667" s="102" t="n"/>
      <c r="AD1667" s="102" t="n"/>
      <c r="AE1667" s="102" t="n"/>
      <c r="AF1667" s="102" t="n"/>
      <c r="AG1667" s="102" t="n"/>
      <c r="AH1667" s="102" t="n"/>
      <c r="AI1667" s="102" t="n"/>
      <c r="AJ1667" s="102" t="n"/>
      <c r="AK1667" s="102" t="n"/>
      <c r="AL1667" s="102" t="n"/>
      <c r="AM1667" s="102" t="n"/>
      <c r="AN1667" s="102" t="n"/>
      <c r="AO1667" s="102" t="n"/>
      <c r="AP1667" s="102" t="n"/>
      <c r="AQ1667" s="102" t="n"/>
      <c r="AR1667" s="102" t="n"/>
    </row>
    <row r="1668">
      <c r="D1668" s="103" t="n"/>
      <c r="E1668" s="103" t="n"/>
      <c r="F1668" s="103" t="n"/>
      <c r="G1668" s="103" t="n"/>
      <c r="H1668" s="103" t="n"/>
      <c r="I1668" s="103" t="n"/>
      <c r="J1668" s="103" t="n"/>
      <c r="K1668" s="103" t="n"/>
      <c r="L1668" s="103" t="n"/>
      <c r="M1668" s="103" t="n"/>
      <c r="N1668" s="103" t="n"/>
      <c r="O1668" s="103" t="n"/>
      <c r="P1668" s="103" t="n"/>
      <c r="Q1668" s="103" t="n"/>
      <c r="R1668" s="103" t="n"/>
      <c r="S1668" s="103" t="n"/>
      <c r="T1668" s="103" t="n"/>
      <c r="U1668" s="103" t="n"/>
      <c r="V1668" s="103" t="n"/>
      <c r="W1668" s="103" t="n"/>
      <c r="X1668" s="103" t="n"/>
      <c r="Y1668" s="103" t="n"/>
      <c r="Z1668" s="103" t="n"/>
      <c r="AA1668" s="103" t="n"/>
      <c r="AB1668" s="103" t="n"/>
      <c r="AC1668" s="103" t="n"/>
      <c r="AD1668" s="103" t="n"/>
      <c r="AE1668" s="103" t="n"/>
      <c r="AF1668" s="103" t="n"/>
      <c r="AG1668" s="103" t="n"/>
      <c r="AH1668" s="103" t="n"/>
      <c r="AI1668" s="103" t="n"/>
      <c r="AJ1668" s="103" t="n"/>
      <c r="AK1668" s="103" t="n"/>
      <c r="AL1668" s="103" t="n"/>
      <c r="AM1668" s="103" t="n"/>
      <c r="AN1668" s="103" t="n"/>
      <c r="AO1668" s="103" t="n"/>
      <c r="AP1668" s="103" t="n"/>
      <c r="AQ1668" s="103" t="n"/>
      <c r="AR1668" s="103" t="n"/>
    </row>
    <row r="1670">
      <c r="A1670" s="8">
        <f>IF(HSCEI!$C$17="","",HSCEI!$C$17)</f>
        <v/>
      </c>
      <c r="B1670" s="99">
        <f>IF($A1670="",0,COUNT($E1671:$AR1671))</f>
        <v/>
      </c>
      <c r="C1670" s="100">
        <f>IF($B1670=0,0,MAX($E1671:$AR1671))</f>
        <v/>
      </c>
      <c r="D1670" s="101">
        <f>BDS($A1670,FLD_HIST,"headers=y","startcol=1","endcol=7","dir=h","DVD_START_DT",HIST_FROM,"DVD_END_DT",HIST_TO)</f>
        <v/>
      </c>
      <c r="E1670" s="102" t="n"/>
      <c r="F1670" s="102" t="n"/>
      <c r="G1670" s="102" t="n"/>
      <c r="H1670" s="102" t="n"/>
      <c r="I1670" s="102" t="n"/>
      <c r="J1670" s="102" t="n"/>
      <c r="K1670" s="102" t="n"/>
      <c r="L1670" s="102" t="n"/>
      <c r="M1670" s="102" t="n"/>
      <c r="N1670" s="102" t="n"/>
      <c r="O1670" s="102" t="n"/>
      <c r="P1670" s="102" t="n"/>
      <c r="Q1670" s="102" t="n"/>
      <c r="R1670" s="102" t="n"/>
      <c r="S1670" s="102" t="n"/>
      <c r="T1670" s="102" t="n"/>
      <c r="U1670" s="102" t="n"/>
      <c r="V1670" s="102" t="n"/>
      <c r="W1670" s="102" t="n"/>
      <c r="X1670" s="102" t="n"/>
      <c r="Y1670" s="102" t="n"/>
      <c r="Z1670" s="102" t="n"/>
      <c r="AA1670" s="102" t="n"/>
      <c r="AB1670" s="102" t="n"/>
      <c r="AC1670" s="102" t="n"/>
      <c r="AD1670" s="102" t="n"/>
      <c r="AE1670" s="102" t="n"/>
      <c r="AF1670" s="102" t="n"/>
      <c r="AG1670" s="102" t="n"/>
      <c r="AH1670" s="102" t="n"/>
      <c r="AI1670" s="102" t="n"/>
      <c r="AJ1670" s="102" t="n"/>
      <c r="AK1670" s="102" t="n"/>
      <c r="AL1670" s="102" t="n"/>
      <c r="AM1670" s="102" t="n"/>
      <c r="AN1670" s="102" t="n"/>
      <c r="AO1670" s="102" t="n"/>
      <c r="AP1670" s="102" t="n"/>
      <c r="AQ1670" s="102" t="n"/>
      <c r="AR1670" s="102" t="n"/>
    </row>
    <row r="1671">
      <c r="D1671" s="102" t="n"/>
      <c r="E1671" s="102" t="n"/>
      <c r="F1671" s="102" t="n"/>
      <c r="G1671" s="102" t="n"/>
      <c r="H1671" s="102" t="n"/>
      <c r="I1671" s="102" t="n"/>
      <c r="J1671" s="102" t="n"/>
      <c r="K1671" s="102" t="n"/>
      <c r="L1671" s="102" t="n"/>
      <c r="M1671" s="102" t="n"/>
      <c r="N1671" s="102" t="n"/>
      <c r="O1671" s="102" t="n"/>
      <c r="P1671" s="102" t="n"/>
      <c r="Q1671" s="102" t="n"/>
      <c r="R1671" s="102" t="n"/>
      <c r="S1671" s="102" t="n"/>
      <c r="T1671" s="102" t="n"/>
      <c r="U1671" s="102" t="n"/>
      <c r="V1671" s="102" t="n"/>
      <c r="W1671" s="102" t="n"/>
      <c r="X1671" s="102" t="n"/>
      <c r="Y1671" s="102" t="n"/>
      <c r="Z1671" s="102" t="n"/>
      <c r="AA1671" s="102" t="n"/>
      <c r="AB1671" s="102" t="n"/>
      <c r="AC1671" s="102" t="n"/>
      <c r="AD1671" s="102" t="n"/>
      <c r="AE1671" s="102" t="n"/>
      <c r="AF1671" s="102" t="n"/>
      <c r="AG1671" s="102" t="n"/>
      <c r="AH1671" s="102" t="n"/>
      <c r="AI1671" s="102" t="n"/>
      <c r="AJ1671" s="102" t="n"/>
      <c r="AK1671" s="102" t="n"/>
      <c r="AL1671" s="102" t="n"/>
      <c r="AM1671" s="102" t="n"/>
      <c r="AN1671" s="102" t="n"/>
      <c r="AO1671" s="102" t="n"/>
      <c r="AP1671" s="102" t="n"/>
      <c r="AQ1671" s="102" t="n"/>
      <c r="AR1671" s="102" t="n"/>
    </row>
    <row r="1672">
      <c r="D1672" s="102" t="n"/>
      <c r="E1672" s="102" t="n"/>
      <c r="F1672" s="102" t="n"/>
      <c r="G1672" s="102" t="n"/>
      <c r="H1672" s="102" t="n"/>
      <c r="I1672" s="102" t="n"/>
      <c r="J1672" s="102" t="n"/>
      <c r="K1672" s="102" t="n"/>
      <c r="L1672" s="102" t="n"/>
      <c r="M1672" s="102" t="n"/>
      <c r="N1672" s="102" t="n"/>
      <c r="O1672" s="102" t="n"/>
      <c r="P1672" s="102" t="n"/>
      <c r="Q1672" s="102" t="n"/>
      <c r="R1672" s="102" t="n"/>
      <c r="S1672" s="102" t="n"/>
      <c r="T1672" s="102" t="n"/>
      <c r="U1672" s="102" t="n"/>
      <c r="V1672" s="102" t="n"/>
      <c r="W1672" s="102" t="n"/>
      <c r="X1672" s="102" t="n"/>
      <c r="Y1672" s="102" t="n"/>
      <c r="Z1672" s="102" t="n"/>
      <c r="AA1672" s="102" t="n"/>
      <c r="AB1672" s="102" t="n"/>
      <c r="AC1672" s="102" t="n"/>
      <c r="AD1672" s="102" t="n"/>
      <c r="AE1672" s="102" t="n"/>
      <c r="AF1672" s="102" t="n"/>
      <c r="AG1672" s="102" t="n"/>
      <c r="AH1672" s="102" t="n"/>
      <c r="AI1672" s="102" t="n"/>
      <c r="AJ1672" s="102" t="n"/>
      <c r="AK1672" s="102" t="n"/>
      <c r="AL1672" s="102" t="n"/>
      <c r="AM1672" s="102" t="n"/>
      <c r="AN1672" s="102" t="n"/>
      <c r="AO1672" s="102" t="n"/>
      <c r="AP1672" s="102" t="n"/>
      <c r="AQ1672" s="102" t="n"/>
      <c r="AR1672" s="102" t="n"/>
    </row>
    <row r="1673">
      <c r="D1673" s="102" t="n"/>
      <c r="E1673" s="102" t="n"/>
      <c r="F1673" s="102" t="n"/>
      <c r="G1673" s="102" t="n"/>
      <c r="H1673" s="102" t="n"/>
      <c r="I1673" s="102" t="n"/>
      <c r="J1673" s="102" t="n"/>
      <c r="K1673" s="102" t="n"/>
      <c r="L1673" s="102" t="n"/>
      <c r="M1673" s="102" t="n"/>
      <c r="N1673" s="102" t="n"/>
      <c r="O1673" s="102" t="n"/>
      <c r="P1673" s="102" t="n"/>
      <c r="Q1673" s="102" t="n"/>
      <c r="R1673" s="102" t="n"/>
      <c r="S1673" s="102" t="n"/>
      <c r="T1673" s="102" t="n"/>
      <c r="U1673" s="102" t="n"/>
      <c r="V1673" s="102" t="n"/>
      <c r="W1673" s="102" t="n"/>
      <c r="X1673" s="102" t="n"/>
      <c r="Y1673" s="102" t="n"/>
      <c r="Z1673" s="102" t="n"/>
      <c r="AA1673" s="102" t="n"/>
      <c r="AB1673" s="102" t="n"/>
      <c r="AC1673" s="102" t="n"/>
      <c r="AD1673" s="102" t="n"/>
      <c r="AE1673" s="102" t="n"/>
      <c r="AF1673" s="102" t="n"/>
      <c r="AG1673" s="102" t="n"/>
      <c r="AH1673" s="102" t="n"/>
      <c r="AI1673" s="102" t="n"/>
      <c r="AJ1673" s="102" t="n"/>
      <c r="AK1673" s="102" t="n"/>
      <c r="AL1673" s="102" t="n"/>
      <c r="AM1673" s="102" t="n"/>
      <c r="AN1673" s="102" t="n"/>
      <c r="AO1673" s="102" t="n"/>
      <c r="AP1673" s="102" t="n"/>
      <c r="AQ1673" s="102" t="n"/>
      <c r="AR1673" s="102" t="n"/>
    </row>
    <row r="1674">
      <c r="D1674" s="103" t="n"/>
      <c r="E1674" s="103" t="n"/>
      <c r="F1674" s="103" t="n"/>
      <c r="G1674" s="103" t="n"/>
      <c r="H1674" s="103" t="n"/>
      <c r="I1674" s="103" t="n"/>
      <c r="J1674" s="103" t="n"/>
      <c r="K1674" s="103" t="n"/>
      <c r="L1674" s="103" t="n"/>
      <c r="M1674" s="103" t="n"/>
      <c r="N1674" s="103" t="n"/>
      <c r="O1674" s="103" t="n"/>
      <c r="P1674" s="103" t="n"/>
      <c r="Q1674" s="103" t="n"/>
      <c r="R1674" s="103" t="n"/>
      <c r="S1674" s="103" t="n"/>
      <c r="T1674" s="103" t="n"/>
      <c r="U1674" s="103" t="n"/>
      <c r="V1674" s="103" t="n"/>
      <c r="W1674" s="103" t="n"/>
      <c r="X1674" s="103" t="n"/>
      <c r="Y1674" s="103" t="n"/>
      <c r="Z1674" s="103" t="n"/>
      <c r="AA1674" s="103" t="n"/>
      <c r="AB1674" s="103" t="n"/>
      <c r="AC1674" s="103" t="n"/>
      <c r="AD1674" s="103" t="n"/>
      <c r="AE1674" s="103" t="n"/>
      <c r="AF1674" s="103" t="n"/>
      <c r="AG1674" s="103" t="n"/>
      <c r="AH1674" s="103" t="n"/>
      <c r="AI1674" s="103" t="n"/>
      <c r="AJ1674" s="103" t="n"/>
      <c r="AK1674" s="103" t="n"/>
      <c r="AL1674" s="103" t="n"/>
      <c r="AM1674" s="103" t="n"/>
      <c r="AN1674" s="103" t="n"/>
      <c r="AO1674" s="103" t="n"/>
      <c r="AP1674" s="103" t="n"/>
      <c r="AQ1674" s="103" t="n"/>
      <c r="AR1674" s="103" t="n"/>
    </row>
    <row r="1677">
      <c r="A1677" s="2">
        <f>IF($A1670="","","   projections")</f>
        <v/>
      </c>
      <c r="B1677" s="99">
        <f>IF($A1670="",0,COUNT($E1678:$AR1678))</f>
        <v/>
      </c>
      <c r="C1677" s="100">
        <f>IF($B1677=0,0,MAX($E1678:$AR1678))</f>
        <v/>
      </c>
      <c r="D1677" s="101">
        <f>BDS($A1670,FLD_PROJ,"headers=y","startcol=1","endcol=3","dir=h")</f>
        <v/>
      </c>
      <c r="E1677" s="102" t="n"/>
      <c r="F1677" s="102" t="n"/>
      <c r="G1677" s="102" t="n"/>
      <c r="H1677" s="102" t="n"/>
      <c r="I1677" s="102" t="n"/>
      <c r="J1677" s="102" t="n"/>
      <c r="K1677" s="102" t="n"/>
      <c r="L1677" s="102" t="n"/>
      <c r="M1677" s="102" t="n"/>
      <c r="N1677" s="102" t="n"/>
      <c r="O1677" s="102" t="n"/>
      <c r="P1677" s="102" t="n"/>
      <c r="Q1677" s="102" t="n"/>
      <c r="R1677" s="102" t="n"/>
      <c r="S1677" s="102" t="n"/>
      <c r="T1677" s="102" t="n"/>
      <c r="U1677" s="102" t="n"/>
      <c r="V1677" s="102" t="n"/>
      <c r="W1677" s="102" t="n"/>
      <c r="X1677" s="102" t="n"/>
      <c r="Y1677" s="102" t="n"/>
      <c r="Z1677" s="102" t="n"/>
      <c r="AA1677" s="102" t="n"/>
      <c r="AB1677" s="102" t="n"/>
      <c r="AC1677" s="102" t="n"/>
      <c r="AD1677" s="102" t="n"/>
      <c r="AE1677" s="102" t="n"/>
      <c r="AF1677" s="102" t="n"/>
      <c r="AG1677" s="102" t="n"/>
      <c r="AH1677" s="102" t="n"/>
      <c r="AI1677" s="102" t="n"/>
      <c r="AJ1677" s="102" t="n"/>
      <c r="AK1677" s="102" t="n"/>
      <c r="AL1677" s="102" t="n"/>
      <c r="AM1677" s="102" t="n"/>
      <c r="AN1677" s="102" t="n"/>
      <c r="AO1677" s="102" t="n"/>
      <c r="AP1677" s="102" t="n"/>
      <c r="AQ1677" s="102" t="n"/>
      <c r="AR1677" s="102" t="n"/>
    </row>
    <row r="1678">
      <c r="D1678" s="102" t="n"/>
      <c r="E1678" s="102" t="n"/>
      <c r="F1678" s="102" t="n"/>
      <c r="G1678" s="102" t="n"/>
      <c r="H1678" s="102" t="n"/>
      <c r="I1678" s="102" t="n"/>
      <c r="J1678" s="102" t="n"/>
      <c r="K1678" s="102" t="n"/>
      <c r="L1678" s="102" t="n"/>
      <c r="M1678" s="102" t="n"/>
      <c r="N1678" s="102" t="n"/>
      <c r="O1678" s="102" t="n"/>
      <c r="P1678" s="102" t="n"/>
      <c r="Q1678" s="102" t="n"/>
      <c r="R1678" s="102" t="n"/>
      <c r="S1678" s="102" t="n"/>
      <c r="T1678" s="102" t="n"/>
      <c r="U1678" s="102" t="n"/>
      <c r="V1678" s="102" t="n"/>
      <c r="W1678" s="102" t="n"/>
      <c r="X1678" s="102" t="n"/>
      <c r="Y1678" s="102" t="n"/>
      <c r="Z1678" s="102" t="n"/>
      <c r="AA1678" s="102" t="n"/>
      <c r="AB1678" s="102" t="n"/>
      <c r="AC1678" s="102" t="n"/>
      <c r="AD1678" s="102" t="n"/>
      <c r="AE1678" s="102" t="n"/>
      <c r="AF1678" s="102" t="n"/>
      <c r="AG1678" s="102" t="n"/>
      <c r="AH1678" s="102" t="n"/>
      <c r="AI1678" s="102" t="n"/>
      <c r="AJ1678" s="102" t="n"/>
      <c r="AK1678" s="102" t="n"/>
      <c r="AL1678" s="102" t="n"/>
      <c r="AM1678" s="102" t="n"/>
      <c r="AN1678" s="102" t="n"/>
      <c r="AO1678" s="102" t="n"/>
      <c r="AP1678" s="102" t="n"/>
      <c r="AQ1678" s="102" t="n"/>
      <c r="AR1678" s="102" t="n"/>
    </row>
    <row r="1679">
      <c r="D1679" s="103" t="n"/>
      <c r="E1679" s="103" t="n"/>
      <c r="F1679" s="103" t="n"/>
      <c r="G1679" s="103" t="n"/>
      <c r="H1679" s="103" t="n"/>
      <c r="I1679" s="103" t="n"/>
      <c r="J1679" s="103" t="n"/>
      <c r="K1679" s="103" t="n"/>
      <c r="L1679" s="103" t="n"/>
      <c r="M1679" s="103" t="n"/>
      <c r="N1679" s="103" t="n"/>
      <c r="O1679" s="103" t="n"/>
      <c r="P1679" s="103" t="n"/>
      <c r="Q1679" s="103" t="n"/>
      <c r="R1679" s="103" t="n"/>
      <c r="S1679" s="103" t="n"/>
      <c r="T1679" s="103" t="n"/>
      <c r="U1679" s="103" t="n"/>
      <c r="V1679" s="103" t="n"/>
      <c r="W1679" s="103" t="n"/>
      <c r="X1679" s="103" t="n"/>
      <c r="Y1679" s="103" t="n"/>
      <c r="Z1679" s="103" t="n"/>
      <c r="AA1679" s="103" t="n"/>
      <c r="AB1679" s="103" t="n"/>
      <c r="AC1679" s="103" t="n"/>
      <c r="AD1679" s="103" t="n"/>
      <c r="AE1679" s="103" t="n"/>
      <c r="AF1679" s="103" t="n"/>
      <c r="AG1679" s="103" t="n"/>
      <c r="AH1679" s="103" t="n"/>
      <c r="AI1679" s="103" t="n"/>
      <c r="AJ1679" s="103" t="n"/>
      <c r="AK1679" s="103" t="n"/>
      <c r="AL1679" s="103" t="n"/>
      <c r="AM1679" s="103" t="n"/>
      <c r="AN1679" s="103" t="n"/>
      <c r="AO1679" s="103" t="n"/>
      <c r="AP1679" s="103" t="n"/>
      <c r="AQ1679" s="103" t="n"/>
      <c r="AR1679" s="103" t="n"/>
    </row>
    <row r="1681">
      <c r="A1681" s="8">
        <f>IF(HSCEI!$C$18="","",HSCEI!$C$18)</f>
        <v/>
      </c>
      <c r="B1681" s="99">
        <f>IF($A1681="",0,COUNT($E1682:$AR1682))</f>
        <v/>
      </c>
      <c r="C1681" s="100">
        <f>IF($B1681=0,0,MAX($E1682:$AR1682))</f>
        <v/>
      </c>
      <c r="D1681" s="101">
        <f>BDS($A1681,FLD_HIST,"headers=y","startcol=1","endcol=7","dir=h","DVD_START_DT",HIST_FROM,"DVD_END_DT",HIST_TO)</f>
        <v/>
      </c>
      <c r="E1681" s="102" t="n"/>
      <c r="F1681" s="102" t="n"/>
      <c r="G1681" s="102" t="n"/>
      <c r="H1681" s="102" t="n"/>
      <c r="I1681" s="102" t="n"/>
      <c r="J1681" s="102" t="n"/>
      <c r="K1681" s="102" t="n"/>
      <c r="L1681" s="102" t="n"/>
      <c r="M1681" s="102" t="n"/>
      <c r="N1681" s="102" t="n"/>
      <c r="O1681" s="102" t="n"/>
      <c r="P1681" s="102" t="n"/>
      <c r="Q1681" s="102" t="n"/>
      <c r="R1681" s="102" t="n"/>
      <c r="S1681" s="102" t="n"/>
      <c r="T1681" s="102" t="n"/>
      <c r="U1681" s="102" t="n"/>
      <c r="V1681" s="102" t="n"/>
      <c r="W1681" s="102" t="n"/>
      <c r="X1681" s="102" t="n"/>
      <c r="Y1681" s="102" t="n"/>
      <c r="Z1681" s="102" t="n"/>
      <c r="AA1681" s="102" t="n"/>
      <c r="AB1681" s="102" t="n"/>
      <c r="AC1681" s="102" t="n"/>
      <c r="AD1681" s="102" t="n"/>
      <c r="AE1681" s="102" t="n"/>
      <c r="AF1681" s="102" t="n"/>
      <c r="AG1681" s="102" t="n"/>
      <c r="AH1681" s="102" t="n"/>
      <c r="AI1681" s="102" t="n"/>
      <c r="AJ1681" s="102" t="n"/>
      <c r="AK1681" s="102" t="n"/>
      <c r="AL1681" s="102" t="n"/>
      <c r="AM1681" s="102" t="n"/>
      <c r="AN1681" s="102" t="n"/>
      <c r="AO1681" s="102" t="n"/>
      <c r="AP1681" s="102" t="n"/>
      <c r="AQ1681" s="102" t="n"/>
      <c r="AR1681" s="102" t="n"/>
    </row>
    <row r="1682">
      <c r="D1682" s="102" t="n"/>
      <c r="E1682" s="102" t="n"/>
      <c r="F1682" s="102" t="n"/>
      <c r="G1682" s="102" t="n"/>
      <c r="H1682" s="102" t="n"/>
      <c r="I1682" s="102" t="n"/>
      <c r="J1682" s="102" t="n"/>
      <c r="K1682" s="102" t="n"/>
      <c r="L1682" s="102" t="n"/>
      <c r="M1682" s="102" t="n"/>
      <c r="N1682" s="102" t="n"/>
      <c r="O1682" s="102" t="n"/>
      <c r="P1682" s="102" t="n"/>
      <c r="Q1682" s="102" t="n"/>
      <c r="R1682" s="102" t="n"/>
      <c r="S1682" s="102" t="n"/>
      <c r="T1682" s="102" t="n"/>
      <c r="U1682" s="102" t="n"/>
      <c r="V1682" s="102" t="n"/>
      <c r="W1682" s="102" t="n"/>
      <c r="X1682" s="102" t="n"/>
      <c r="Y1682" s="102" t="n"/>
      <c r="Z1682" s="102" t="n"/>
      <c r="AA1682" s="102" t="n"/>
      <c r="AB1682" s="102" t="n"/>
      <c r="AC1682" s="102" t="n"/>
      <c r="AD1682" s="102" t="n"/>
      <c r="AE1682" s="102" t="n"/>
      <c r="AF1682" s="102" t="n"/>
      <c r="AG1682" s="102" t="n"/>
      <c r="AH1682" s="102" t="n"/>
      <c r="AI1682" s="102" t="n"/>
      <c r="AJ1682" s="102" t="n"/>
      <c r="AK1682" s="102" t="n"/>
      <c r="AL1682" s="102" t="n"/>
      <c r="AM1682" s="102" t="n"/>
      <c r="AN1682" s="102" t="n"/>
      <c r="AO1682" s="102" t="n"/>
      <c r="AP1682" s="102" t="n"/>
      <c r="AQ1682" s="102" t="n"/>
      <c r="AR1682" s="102" t="n"/>
    </row>
    <row r="1683">
      <c r="D1683" s="102" t="n"/>
      <c r="E1683" s="102" t="n"/>
      <c r="F1683" s="102" t="n"/>
      <c r="G1683" s="102" t="n"/>
      <c r="H1683" s="102" t="n"/>
      <c r="I1683" s="102" t="n"/>
      <c r="J1683" s="102" t="n"/>
      <c r="K1683" s="102" t="n"/>
      <c r="L1683" s="102" t="n"/>
      <c r="M1683" s="102" t="n"/>
      <c r="N1683" s="102" t="n"/>
      <c r="O1683" s="102" t="n"/>
      <c r="P1683" s="102" t="n"/>
      <c r="Q1683" s="102" t="n"/>
      <c r="R1683" s="102" t="n"/>
      <c r="S1683" s="102" t="n"/>
      <c r="T1683" s="102" t="n"/>
      <c r="U1683" s="102" t="n"/>
      <c r="V1683" s="102" t="n"/>
      <c r="W1683" s="102" t="n"/>
      <c r="X1683" s="102" t="n"/>
      <c r="Y1683" s="102" t="n"/>
      <c r="Z1683" s="102" t="n"/>
      <c r="AA1683" s="102" t="n"/>
      <c r="AB1683" s="102" t="n"/>
      <c r="AC1683" s="102" t="n"/>
      <c r="AD1683" s="102" t="n"/>
      <c r="AE1683" s="102" t="n"/>
      <c r="AF1683" s="102" t="n"/>
      <c r="AG1683" s="102" t="n"/>
      <c r="AH1683" s="102" t="n"/>
      <c r="AI1683" s="102" t="n"/>
      <c r="AJ1683" s="102" t="n"/>
      <c r="AK1683" s="102" t="n"/>
      <c r="AL1683" s="102" t="n"/>
      <c r="AM1683" s="102" t="n"/>
      <c r="AN1683" s="102" t="n"/>
      <c r="AO1683" s="102" t="n"/>
      <c r="AP1683" s="102" t="n"/>
      <c r="AQ1683" s="102" t="n"/>
      <c r="AR1683" s="102" t="n"/>
    </row>
    <row r="1684">
      <c r="D1684" s="102" t="n"/>
      <c r="E1684" s="102" t="n"/>
      <c r="F1684" s="102" t="n"/>
      <c r="G1684" s="102" t="n"/>
      <c r="H1684" s="102" t="n"/>
      <c r="I1684" s="102" t="n"/>
      <c r="J1684" s="102" t="n"/>
      <c r="K1684" s="102" t="n"/>
      <c r="L1684" s="102" t="n"/>
      <c r="M1684" s="102" t="n"/>
      <c r="N1684" s="102" t="n"/>
      <c r="O1684" s="102" t="n"/>
      <c r="P1684" s="102" t="n"/>
      <c r="Q1684" s="102" t="n"/>
      <c r="R1684" s="102" t="n"/>
      <c r="S1684" s="102" t="n"/>
      <c r="T1684" s="102" t="n"/>
      <c r="U1684" s="102" t="n"/>
      <c r="V1684" s="102" t="n"/>
      <c r="W1684" s="102" t="n"/>
      <c r="X1684" s="102" t="n"/>
      <c r="Y1684" s="102" t="n"/>
      <c r="Z1684" s="102" t="n"/>
      <c r="AA1684" s="102" t="n"/>
      <c r="AB1684" s="102" t="n"/>
      <c r="AC1684" s="102" t="n"/>
      <c r="AD1684" s="102" t="n"/>
      <c r="AE1684" s="102" t="n"/>
      <c r="AF1684" s="102" t="n"/>
      <c r="AG1684" s="102" t="n"/>
      <c r="AH1684" s="102" t="n"/>
      <c r="AI1684" s="102" t="n"/>
      <c r="AJ1684" s="102" t="n"/>
      <c r="AK1684" s="102" t="n"/>
      <c r="AL1684" s="102" t="n"/>
      <c r="AM1684" s="102" t="n"/>
      <c r="AN1684" s="102" t="n"/>
      <c r="AO1684" s="102" t="n"/>
      <c r="AP1684" s="102" t="n"/>
      <c r="AQ1684" s="102" t="n"/>
      <c r="AR1684" s="102" t="n"/>
    </row>
    <row r="1685">
      <c r="D1685" s="103" t="n"/>
      <c r="E1685" s="103" t="n"/>
      <c r="F1685" s="103" t="n"/>
      <c r="G1685" s="103" t="n"/>
      <c r="H1685" s="103" t="n"/>
      <c r="I1685" s="103" t="n"/>
      <c r="J1685" s="103" t="n"/>
      <c r="K1685" s="103" t="n"/>
      <c r="L1685" s="103" t="n"/>
      <c r="M1685" s="103" t="n"/>
      <c r="N1685" s="103" t="n"/>
      <c r="O1685" s="103" t="n"/>
      <c r="P1685" s="103" t="n"/>
      <c r="Q1685" s="103" t="n"/>
      <c r="R1685" s="103" t="n"/>
      <c r="S1685" s="103" t="n"/>
      <c r="T1685" s="103" t="n"/>
      <c r="U1685" s="103" t="n"/>
      <c r="V1685" s="103" t="n"/>
      <c r="W1685" s="103" t="n"/>
      <c r="X1685" s="103" t="n"/>
      <c r="Y1685" s="103" t="n"/>
      <c r="Z1685" s="103" t="n"/>
      <c r="AA1685" s="103" t="n"/>
      <c r="AB1685" s="103" t="n"/>
      <c r="AC1685" s="103" t="n"/>
      <c r="AD1685" s="103" t="n"/>
      <c r="AE1685" s="103" t="n"/>
      <c r="AF1685" s="103" t="n"/>
      <c r="AG1685" s="103" t="n"/>
      <c r="AH1685" s="103" t="n"/>
      <c r="AI1685" s="103" t="n"/>
      <c r="AJ1685" s="103" t="n"/>
      <c r="AK1685" s="103" t="n"/>
      <c r="AL1685" s="103" t="n"/>
      <c r="AM1685" s="103" t="n"/>
      <c r="AN1685" s="103" t="n"/>
      <c r="AO1685" s="103" t="n"/>
      <c r="AP1685" s="103" t="n"/>
      <c r="AQ1685" s="103" t="n"/>
      <c r="AR1685" s="103" t="n"/>
    </row>
    <row r="1688">
      <c r="A1688" s="2">
        <f>IF($A1681="","","   projections")</f>
        <v/>
      </c>
      <c r="B1688" s="99">
        <f>IF($A1681="",0,COUNT($E1689:$AR1689))</f>
        <v/>
      </c>
      <c r="C1688" s="100">
        <f>IF($B1688=0,0,MAX($E1689:$AR1689))</f>
        <v/>
      </c>
      <c r="D1688" s="101">
        <f>BDS($A1681,FLD_PROJ,"headers=y","startcol=1","endcol=3","dir=h")</f>
        <v/>
      </c>
      <c r="E1688" s="102" t="n"/>
      <c r="F1688" s="102" t="n"/>
      <c r="G1688" s="102" t="n"/>
      <c r="H1688" s="102" t="n"/>
      <c r="I1688" s="102" t="n"/>
      <c r="J1688" s="102" t="n"/>
      <c r="K1688" s="102" t="n"/>
      <c r="L1688" s="102" t="n"/>
      <c r="M1688" s="102" t="n"/>
      <c r="N1688" s="102" t="n"/>
      <c r="O1688" s="102" t="n"/>
      <c r="P1688" s="102" t="n"/>
      <c r="Q1688" s="102" t="n"/>
      <c r="R1688" s="102" t="n"/>
      <c r="S1688" s="102" t="n"/>
      <c r="T1688" s="102" t="n"/>
      <c r="U1688" s="102" t="n"/>
      <c r="V1688" s="102" t="n"/>
      <c r="W1688" s="102" t="n"/>
      <c r="X1688" s="102" t="n"/>
      <c r="Y1688" s="102" t="n"/>
      <c r="Z1688" s="102" t="n"/>
      <c r="AA1688" s="102" t="n"/>
      <c r="AB1688" s="102" t="n"/>
      <c r="AC1688" s="102" t="n"/>
      <c r="AD1688" s="102" t="n"/>
      <c r="AE1688" s="102" t="n"/>
      <c r="AF1688" s="102" t="n"/>
      <c r="AG1688" s="102" t="n"/>
      <c r="AH1688" s="102" t="n"/>
      <c r="AI1688" s="102" t="n"/>
      <c r="AJ1688" s="102" t="n"/>
      <c r="AK1688" s="102" t="n"/>
      <c r="AL1688" s="102" t="n"/>
      <c r="AM1688" s="102" t="n"/>
      <c r="AN1688" s="102" t="n"/>
      <c r="AO1688" s="102" t="n"/>
      <c r="AP1688" s="102" t="n"/>
      <c r="AQ1688" s="102" t="n"/>
      <c r="AR1688" s="102" t="n"/>
    </row>
    <row r="1689">
      <c r="D1689" s="102" t="n"/>
      <c r="E1689" s="102" t="n"/>
      <c r="F1689" s="102" t="n"/>
      <c r="G1689" s="102" t="n"/>
      <c r="H1689" s="102" t="n"/>
      <c r="I1689" s="102" t="n"/>
      <c r="J1689" s="102" t="n"/>
      <c r="K1689" s="102" t="n"/>
      <c r="L1689" s="102" t="n"/>
      <c r="M1689" s="102" t="n"/>
      <c r="N1689" s="102" t="n"/>
      <c r="O1689" s="102" t="n"/>
      <c r="P1689" s="102" t="n"/>
      <c r="Q1689" s="102" t="n"/>
      <c r="R1689" s="102" t="n"/>
      <c r="S1689" s="102" t="n"/>
      <c r="T1689" s="102" t="n"/>
      <c r="U1689" s="102" t="n"/>
      <c r="V1689" s="102" t="n"/>
      <c r="W1689" s="102" t="n"/>
      <c r="X1689" s="102" t="n"/>
      <c r="Y1689" s="102" t="n"/>
      <c r="Z1689" s="102" t="n"/>
      <c r="AA1689" s="102" t="n"/>
      <c r="AB1689" s="102" t="n"/>
      <c r="AC1689" s="102" t="n"/>
      <c r="AD1689" s="102" t="n"/>
      <c r="AE1689" s="102" t="n"/>
      <c r="AF1689" s="102" t="n"/>
      <c r="AG1689" s="102" t="n"/>
      <c r="AH1689" s="102" t="n"/>
      <c r="AI1689" s="102" t="n"/>
      <c r="AJ1689" s="102" t="n"/>
      <c r="AK1689" s="102" t="n"/>
      <c r="AL1689" s="102" t="n"/>
      <c r="AM1689" s="102" t="n"/>
      <c r="AN1689" s="102" t="n"/>
      <c r="AO1689" s="102" t="n"/>
      <c r="AP1689" s="102" t="n"/>
      <c r="AQ1689" s="102" t="n"/>
      <c r="AR1689" s="102" t="n"/>
    </row>
    <row r="1690">
      <c r="D1690" s="103" t="n"/>
      <c r="E1690" s="103" t="n"/>
      <c r="F1690" s="103" t="n"/>
      <c r="G1690" s="103" t="n"/>
      <c r="H1690" s="103" t="n"/>
      <c r="I1690" s="103" t="n"/>
      <c r="J1690" s="103" t="n"/>
      <c r="K1690" s="103" t="n"/>
      <c r="L1690" s="103" t="n"/>
      <c r="M1690" s="103" t="n"/>
      <c r="N1690" s="103" t="n"/>
      <c r="O1690" s="103" t="n"/>
      <c r="P1690" s="103" t="n"/>
      <c r="Q1690" s="103" t="n"/>
      <c r="R1690" s="103" t="n"/>
      <c r="S1690" s="103" t="n"/>
      <c r="T1690" s="103" t="n"/>
      <c r="U1690" s="103" t="n"/>
      <c r="V1690" s="103" t="n"/>
      <c r="W1690" s="103" t="n"/>
      <c r="X1690" s="103" t="n"/>
      <c r="Y1690" s="103" t="n"/>
      <c r="Z1690" s="103" t="n"/>
      <c r="AA1690" s="103" t="n"/>
      <c r="AB1690" s="103" t="n"/>
      <c r="AC1690" s="103" t="n"/>
      <c r="AD1690" s="103" t="n"/>
      <c r="AE1690" s="103" t="n"/>
      <c r="AF1690" s="103" t="n"/>
      <c r="AG1690" s="103" t="n"/>
      <c r="AH1690" s="103" t="n"/>
      <c r="AI1690" s="103" t="n"/>
      <c r="AJ1690" s="103" t="n"/>
      <c r="AK1690" s="103" t="n"/>
      <c r="AL1690" s="103" t="n"/>
      <c r="AM1690" s="103" t="n"/>
      <c r="AN1690" s="103" t="n"/>
      <c r="AO1690" s="103" t="n"/>
      <c r="AP1690" s="103" t="n"/>
      <c r="AQ1690" s="103" t="n"/>
      <c r="AR1690" s="103" t="n"/>
    </row>
    <row r="1692">
      <c r="A1692" s="8">
        <f>IF(HSCEI!$C$19="","",HSCEI!$C$19)</f>
        <v/>
      </c>
      <c r="B1692" s="99">
        <f>IF($A1692="",0,COUNT($E1693:$AR1693))</f>
        <v/>
      </c>
      <c r="C1692" s="100">
        <f>IF($B1692=0,0,MAX($E1693:$AR1693))</f>
        <v/>
      </c>
      <c r="D1692" s="101">
        <f>BDS($A1692,FLD_HIST,"headers=y","startcol=1","endcol=7","dir=h","DVD_START_DT",HIST_FROM,"DVD_END_DT",HIST_TO)</f>
        <v/>
      </c>
      <c r="E1692" s="102" t="n"/>
      <c r="F1692" s="102" t="n"/>
      <c r="G1692" s="102" t="n"/>
      <c r="H1692" s="102" t="n"/>
      <c r="I1692" s="102" t="n"/>
      <c r="J1692" s="102" t="n"/>
      <c r="K1692" s="102" t="n"/>
      <c r="L1692" s="102" t="n"/>
      <c r="M1692" s="102" t="n"/>
      <c r="N1692" s="102" t="n"/>
      <c r="O1692" s="102" t="n"/>
      <c r="P1692" s="102" t="n"/>
      <c r="Q1692" s="102" t="n"/>
      <c r="R1692" s="102" t="n"/>
      <c r="S1692" s="102" t="n"/>
      <c r="T1692" s="102" t="n"/>
      <c r="U1692" s="102" t="n"/>
      <c r="V1692" s="102" t="n"/>
      <c r="W1692" s="102" t="n"/>
      <c r="X1692" s="102" t="n"/>
      <c r="Y1692" s="102" t="n"/>
      <c r="Z1692" s="102" t="n"/>
      <c r="AA1692" s="102" t="n"/>
      <c r="AB1692" s="102" t="n"/>
      <c r="AC1692" s="102" t="n"/>
      <c r="AD1692" s="102" t="n"/>
      <c r="AE1692" s="102" t="n"/>
      <c r="AF1692" s="102" t="n"/>
      <c r="AG1692" s="102" t="n"/>
      <c r="AH1692" s="102" t="n"/>
      <c r="AI1692" s="102" t="n"/>
      <c r="AJ1692" s="102" t="n"/>
      <c r="AK1692" s="102" t="n"/>
      <c r="AL1692" s="102" t="n"/>
      <c r="AM1692" s="102" t="n"/>
      <c r="AN1692" s="102" t="n"/>
      <c r="AO1692" s="102" t="n"/>
      <c r="AP1692" s="102" t="n"/>
      <c r="AQ1692" s="102" t="n"/>
      <c r="AR1692" s="102" t="n"/>
    </row>
    <row r="1693">
      <c r="D1693" s="102" t="n"/>
      <c r="E1693" s="102" t="n"/>
      <c r="F1693" s="102" t="n"/>
      <c r="G1693" s="102" t="n"/>
      <c r="H1693" s="102" t="n"/>
      <c r="I1693" s="102" t="n"/>
      <c r="J1693" s="102" t="n"/>
      <c r="K1693" s="102" t="n"/>
      <c r="L1693" s="102" t="n"/>
      <c r="M1693" s="102" t="n"/>
      <c r="N1693" s="102" t="n"/>
      <c r="O1693" s="102" t="n"/>
      <c r="P1693" s="102" t="n"/>
      <c r="Q1693" s="102" t="n"/>
      <c r="R1693" s="102" t="n"/>
      <c r="S1693" s="102" t="n"/>
      <c r="T1693" s="102" t="n"/>
      <c r="U1693" s="102" t="n"/>
      <c r="V1693" s="102" t="n"/>
      <c r="W1693" s="102" t="n"/>
      <c r="X1693" s="102" t="n"/>
      <c r="Y1693" s="102" t="n"/>
      <c r="Z1693" s="102" t="n"/>
      <c r="AA1693" s="102" t="n"/>
      <c r="AB1693" s="102" t="n"/>
      <c r="AC1693" s="102" t="n"/>
      <c r="AD1693" s="102" t="n"/>
      <c r="AE1693" s="102" t="n"/>
      <c r="AF1693" s="102" t="n"/>
      <c r="AG1693" s="102" t="n"/>
      <c r="AH1693" s="102" t="n"/>
      <c r="AI1693" s="102" t="n"/>
      <c r="AJ1693" s="102" t="n"/>
      <c r="AK1693" s="102" t="n"/>
      <c r="AL1693" s="102" t="n"/>
      <c r="AM1693" s="102" t="n"/>
      <c r="AN1693" s="102" t="n"/>
      <c r="AO1693" s="102" t="n"/>
      <c r="AP1693" s="102" t="n"/>
      <c r="AQ1693" s="102" t="n"/>
      <c r="AR1693" s="102" t="n"/>
    </row>
    <row r="1694">
      <c r="D1694" s="102" t="n"/>
      <c r="E1694" s="102" t="n"/>
      <c r="F1694" s="102" t="n"/>
      <c r="G1694" s="102" t="n"/>
      <c r="H1694" s="102" t="n"/>
      <c r="I1694" s="102" t="n"/>
      <c r="J1694" s="102" t="n"/>
      <c r="K1694" s="102" t="n"/>
      <c r="L1694" s="102" t="n"/>
      <c r="M1694" s="102" t="n"/>
      <c r="N1694" s="102" t="n"/>
      <c r="O1694" s="102" t="n"/>
      <c r="P1694" s="102" t="n"/>
      <c r="Q1694" s="102" t="n"/>
      <c r="R1694" s="102" t="n"/>
      <c r="S1694" s="102" t="n"/>
      <c r="T1694" s="102" t="n"/>
      <c r="U1694" s="102" t="n"/>
      <c r="V1694" s="102" t="n"/>
      <c r="W1694" s="102" t="n"/>
      <c r="X1694" s="102" t="n"/>
      <c r="Y1694" s="102" t="n"/>
      <c r="Z1694" s="102" t="n"/>
      <c r="AA1694" s="102" t="n"/>
      <c r="AB1694" s="102" t="n"/>
      <c r="AC1694" s="102" t="n"/>
      <c r="AD1694" s="102" t="n"/>
      <c r="AE1694" s="102" t="n"/>
      <c r="AF1694" s="102" t="n"/>
      <c r="AG1694" s="102" t="n"/>
      <c r="AH1694" s="102" t="n"/>
      <c r="AI1694" s="102" t="n"/>
      <c r="AJ1694" s="102" t="n"/>
      <c r="AK1694" s="102" t="n"/>
      <c r="AL1694" s="102" t="n"/>
      <c r="AM1694" s="102" t="n"/>
      <c r="AN1694" s="102" t="n"/>
      <c r="AO1694" s="102" t="n"/>
      <c r="AP1694" s="102" t="n"/>
      <c r="AQ1694" s="102" t="n"/>
      <c r="AR1694" s="102" t="n"/>
    </row>
    <row r="1695">
      <c r="D1695" s="102" t="n"/>
      <c r="E1695" s="102" t="n"/>
      <c r="F1695" s="102" t="n"/>
      <c r="G1695" s="102" t="n"/>
      <c r="H1695" s="102" t="n"/>
      <c r="I1695" s="102" t="n"/>
      <c r="J1695" s="102" t="n"/>
      <c r="K1695" s="102" t="n"/>
      <c r="L1695" s="102" t="n"/>
      <c r="M1695" s="102" t="n"/>
      <c r="N1695" s="102" t="n"/>
      <c r="O1695" s="102" t="n"/>
      <c r="P1695" s="102" t="n"/>
      <c r="Q1695" s="102" t="n"/>
      <c r="R1695" s="102" t="n"/>
      <c r="S1695" s="102" t="n"/>
      <c r="T1695" s="102" t="n"/>
      <c r="U1695" s="102" t="n"/>
      <c r="V1695" s="102" t="n"/>
      <c r="W1695" s="102" t="n"/>
      <c r="X1695" s="102" t="n"/>
      <c r="Y1695" s="102" t="n"/>
      <c r="Z1695" s="102" t="n"/>
      <c r="AA1695" s="102" t="n"/>
      <c r="AB1695" s="102" t="n"/>
      <c r="AC1695" s="102" t="n"/>
      <c r="AD1695" s="102" t="n"/>
      <c r="AE1695" s="102" t="n"/>
      <c r="AF1695" s="102" t="n"/>
      <c r="AG1695" s="102" t="n"/>
      <c r="AH1695" s="102" t="n"/>
      <c r="AI1695" s="102" t="n"/>
      <c r="AJ1695" s="102" t="n"/>
      <c r="AK1695" s="102" t="n"/>
      <c r="AL1695" s="102" t="n"/>
      <c r="AM1695" s="102" t="n"/>
      <c r="AN1695" s="102" t="n"/>
      <c r="AO1695" s="102" t="n"/>
      <c r="AP1695" s="102" t="n"/>
      <c r="AQ1695" s="102" t="n"/>
      <c r="AR1695" s="102" t="n"/>
    </row>
    <row r="1696">
      <c r="D1696" s="103" t="n"/>
      <c r="E1696" s="103" t="n"/>
      <c r="F1696" s="103" t="n"/>
      <c r="G1696" s="103" t="n"/>
      <c r="H1696" s="103" t="n"/>
      <c r="I1696" s="103" t="n"/>
      <c r="J1696" s="103" t="n"/>
      <c r="K1696" s="103" t="n"/>
      <c r="L1696" s="103" t="n"/>
      <c r="M1696" s="103" t="n"/>
      <c r="N1696" s="103" t="n"/>
      <c r="O1696" s="103" t="n"/>
      <c r="P1696" s="103" t="n"/>
      <c r="Q1696" s="103" t="n"/>
      <c r="R1696" s="103" t="n"/>
      <c r="S1696" s="103" t="n"/>
      <c r="T1696" s="103" t="n"/>
      <c r="U1696" s="103" t="n"/>
      <c r="V1696" s="103" t="n"/>
      <c r="W1696" s="103" t="n"/>
      <c r="X1696" s="103" t="n"/>
      <c r="Y1696" s="103" t="n"/>
      <c r="Z1696" s="103" t="n"/>
      <c r="AA1696" s="103" t="n"/>
      <c r="AB1696" s="103" t="n"/>
      <c r="AC1696" s="103" t="n"/>
      <c r="AD1696" s="103" t="n"/>
      <c r="AE1696" s="103" t="n"/>
      <c r="AF1696" s="103" t="n"/>
      <c r="AG1696" s="103" t="n"/>
      <c r="AH1696" s="103" t="n"/>
      <c r="AI1696" s="103" t="n"/>
      <c r="AJ1696" s="103" t="n"/>
      <c r="AK1696" s="103" t="n"/>
      <c r="AL1696" s="103" t="n"/>
      <c r="AM1696" s="103" t="n"/>
      <c r="AN1696" s="103" t="n"/>
      <c r="AO1696" s="103" t="n"/>
      <c r="AP1696" s="103" t="n"/>
      <c r="AQ1696" s="103" t="n"/>
      <c r="AR1696" s="103" t="n"/>
    </row>
    <row r="1699">
      <c r="A1699" s="2">
        <f>IF($A1692="","","   projections")</f>
        <v/>
      </c>
      <c r="B1699" s="99">
        <f>IF($A1692="",0,COUNT($E1700:$AR1700))</f>
        <v/>
      </c>
      <c r="C1699" s="100">
        <f>IF($B1699=0,0,MAX($E1700:$AR1700))</f>
        <v/>
      </c>
      <c r="D1699" s="101">
        <f>BDS($A1692,FLD_PROJ,"headers=y","startcol=1","endcol=3","dir=h")</f>
        <v/>
      </c>
      <c r="E1699" s="102" t="n"/>
      <c r="F1699" s="102" t="n"/>
      <c r="G1699" s="102" t="n"/>
      <c r="H1699" s="102" t="n"/>
      <c r="I1699" s="102" t="n"/>
      <c r="J1699" s="102" t="n"/>
      <c r="K1699" s="102" t="n"/>
      <c r="L1699" s="102" t="n"/>
      <c r="M1699" s="102" t="n"/>
      <c r="N1699" s="102" t="n"/>
      <c r="O1699" s="102" t="n"/>
      <c r="P1699" s="102" t="n"/>
      <c r="Q1699" s="102" t="n"/>
      <c r="R1699" s="102" t="n"/>
      <c r="S1699" s="102" t="n"/>
      <c r="T1699" s="102" t="n"/>
      <c r="U1699" s="102" t="n"/>
      <c r="V1699" s="102" t="n"/>
      <c r="W1699" s="102" t="n"/>
      <c r="X1699" s="102" t="n"/>
      <c r="Y1699" s="102" t="n"/>
      <c r="Z1699" s="102" t="n"/>
      <c r="AA1699" s="102" t="n"/>
      <c r="AB1699" s="102" t="n"/>
      <c r="AC1699" s="102" t="n"/>
      <c r="AD1699" s="102" t="n"/>
      <c r="AE1699" s="102" t="n"/>
      <c r="AF1699" s="102" t="n"/>
      <c r="AG1699" s="102" t="n"/>
      <c r="AH1699" s="102" t="n"/>
      <c r="AI1699" s="102" t="n"/>
      <c r="AJ1699" s="102" t="n"/>
      <c r="AK1699" s="102" t="n"/>
      <c r="AL1699" s="102" t="n"/>
      <c r="AM1699" s="102" t="n"/>
      <c r="AN1699" s="102" t="n"/>
      <c r="AO1699" s="102" t="n"/>
      <c r="AP1699" s="102" t="n"/>
      <c r="AQ1699" s="102" t="n"/>
      <c r="AR1699" s="102" t="n"/>
    </row>
    <row r="1700">
      <c r="D1700" s="102" t="n"/>
      <c r="E1700" s="102" t="n"/>
      <c r="F1700" s="102" t="n"/>
      <c r="G1700" s="102" t="n"/>
      <c r="H1700" s="102" t="n"/>
      <c r="I1700" s="102" t="n"/>
      <c r="J1700" s="102" t="n"/>
      <c r="K1700" s="102" t="n"/>
      <c r="L1700" s="102" t="n"/>
      <c r="M1700" s="102" t="n"/>
      <c r="N1700" s="102" t="n"/>
      <c r="O1700" s="102" t="n"/>
      <c r="P1700" s="102" t="n"/>
      <c r="Q1700" s="102" t="n"/>
      <c r="R1700" s="102" t="n"/>
      <c r="S1700" s="102" t="n"/>
      <c r="T1700" s="102" t="n"/>
      <c r="U1700" s="102" t="n"/>
      <c r="V1700" s="102" t="n"/>
      <c r="W1700" s="102" t="n"/>
      <c r="X1700" s="102" t="n"/>
      <c r="Y1700" s="102" t="n"/>
      <c r="Z1700" s="102" t="n"/>
      <c r="AA1700" s="102" t="n"/>
      <c r="AB1700" s="102" t="n"/>
      <c r="AC1700" s="102" t="n"/>
      <c r="AD1700" s="102" t="n"/>
      <c r="AE1700" s="102" t="n"/>
      <c r="AF1700" s="102" t="n"/>
      <c r="AG1700" s="102" t="n"/>
      <c r="AH1700" s="102" t="n"/>
      <c r="AI1700" s="102" t="n"/>
      <c r="AJ1700" s="102" t="n"/>
      <c r="AK1700" s="102" t="n"/>
      <c r="AL1700" s="102" t="n"/>
      <c r="AM1700" s="102" t="n"/>
      <c r="AN1700" s="102" t="n"/>
      <c r="AO1700" s="102" t="n"/>
      <c r="AP1700" s="102" t="n"/>
      <c r="AQ1700" s="102" t="n"/>
      <c r="AR1700" s="102" t="n"/>
    </row>
    <row r="1701">
      <c r="D1701" s="103" t="n"/>
      <c r="E1701" s="103" t="n"/>
      <c r="F1701" s="103" t="n"/>
      <c r="G1701" s="103" t="n"/>
      <c r="H1701" s="103" t="n"/>
      <c r="I1701" s="103" t="n"/>
      <c r="J1701" s="103" t="n"/>
      <c r="K1701" s="103" t="n"/>
      <c r="L1701" s="103" t="n"/>
      <c r="M1701" s="103" t="n"/>
      <c r="N1701" s="103" t="n"/>
      <c r="O1701" s="103" t="n"/>
      <c r="P1701" s="103" t="n"/>
      <c r="Q1701" s="103" t="n"/>
      <c r="R1701" s="103" t="n"/>
      <c r="S1701" s="103" t="n"/>
      <c r="T1701" s="103" t="n"/>
      <c r="U1701" s="103" t="n"/>
      <c r="V1701" s="103" t="n"/>
      <c r="W1701" s="103" t="n"/>
      <c r="X1701" s="103" t="n"/>
      <c r="Y1701" s="103" t="n"/>
      <c r="Z1701" s="103" t="n"/>
      <c r="AA1701" s="103" t="n"/>
      <c r="AB1701" s="103" t="n"/>
      <c r="AC1701" s="103" t="n"/>
      <c r="AD1701" s="103" t="n"/>
      <c r="AE1701" s="103" t="n"/>
      <c r="AF1701" s="103" t="n"/>
      <c r="AG1701" s="103" t="n"/>
      <c r="AH1701" s="103" t="n"/>
      <c r="AI1701" s="103" t="n"/>
      <c r="AJ1701" s="103" t="n"/>
      <c r="AK1701" s="103" t="n"/>
      <c r="AL1701" s="103" t="n"/>
      <c r="AM1701" s="103" t="n"/>
      <c r="AN1701" s="103" t="n"/>
      <c r="AO1701" s="103" t="n"/>
      <c r="AP1701" s="103" t="n"/>
      <c r="AQ1701" s="103" t="n"/>
      <c r="AR1701" s="103" t="n"/>
    </row>
    <row r="1703">
      <c r="A1703" s="8">
        <f>IF(HSCEI!$C$20="","",HSCEI!$C$20)</f>
        <v/>
      </c>
      <c r="B1703" s="99">
        <f>IF($A1703="",0,COUNT($E1704:$AR1704))</f>
        <v/>
      </c>
      <c r="C1703" s="100">
        <f>IF($B1703=0,0,MAX($E1704:$AR1704))</f>
        <v/>
      </c>
      <c r="D1703" s="101">
        <f>BDS($A1703,FLD_HIST,"headers=y","startcol=1","endcol=7","dir=h","DVD_START_DT",HIST_FROM,"DVD_END_DT",HIST_TO)</f>
        <v/>
      </c>
      <c r="E1703" s="102" t="n"/>
      <c r="F1703" s="102" t="n"/>
      <c r="G1703" s="102" t="n"/>
      <c r="H1703" s="102" t="n"/>
      <c r="I1703" s="102" t="n"/>
      <c r="J1703" s="102" t="n"/>
      <c r="K1703" s="102" t="n"/>
      <c r="L1703" s="102" t="n"/>
      <c r="M1703" s="102" t="n"/>
      <c r="N1703" s="102" t="n"/>
      <c r="O1703" s="102" t="n"/>
      <c r="P1703" s="102" t="n"/>
      <c r="Q1703" s="102" t="n"/>
      <c r="R1703" s="102" t="n"/>
      <c r="S1703" s="102" t="n"/>
      <c r="T1703" s="102" t="n"/>
      <c r="U1703" s="102" t="n"/>
      <c r="V1703" s="102" t="n"/>
      <c r="W1703" s="102" t="n"/>
      <c r="X1703" s="102" t="n"/>
      <c r="Y1703" s="102" t="n"/>
      <c r="Z1703" s="102" t="n"/>
      <c r="AA1703" s="102" t="n"/>
      <c r="AB1703" s="102" t="n"/>
      <c r="AC1703" s="102" t="n"/>
      <c r="AD1703" s="102" t="n"/>
      <c r="AE1703" s="102" t="n"/>
      <c r="AF1703" s="102" t="n"/>
      <c r="AG1703" s="102" t="n"/>
      <c r="AH1703" s="102" t="n"/>
      <c r="AI1703" s="102" t="n"/>
      <c r="AJ1703" s="102" t="n"/>
      <c r="AK1703" s="102" t="n"/>
      <c r="AL1703" s="102" t="n"/>
      <c r="AM1703" s="102" t="n"/>
      <c r="AN1703" s="102" t="n"/>
      <c r="AO1703" s="102" t="n"/>
      <c r="AP1703" s="102" t="n"/>
      <c r="AQ1703" s="102" t="n"/>
      <c r="AR1703" s="102" t="n"/>
    </row>
    <row r="1704">
      <c r="D1704" s="102" t="n"/>
      <c r="E1704" s="102" t="n"/>
      <c r="F1704" s="102" t="n"/>
      <c r="G1704" s="102" t="n"/>
      <c r="H1704" s="102" t="n"/>
      <c r="I1704" s="102" t="n"/>
      <c r="J1704" s="102" t="n"/>
      <c r="K1704" s="102" t="n"/>
      <c r="L1704" s="102" t="n"/>
      <c r="M1704" s="102" t="n"/>
      <c r="N1704" s="102" t="n"/>
      <c r="O1704" s="102" t="n"/>
      <c r="P1704" s="102" t="n"/>
      <c r="Q1704" s="102" t="n"/>
      <c r="R1704" s="102" t="n"/>
      <c r="S1704" s="102" t="n"/>
      <c r="T1704" s="102" t="n"/>
      <c r="U1704" s="102" t="n"/>
      <c r="V1704" s="102" t="n"/>
      <c r="W1704" s="102" t="n"/>
      <c r="X1704" s="102" t="n"/>
      <c r="Y1704" s="102" t="n"/>
      <c r="Z1704" s="102" t="n"/>
      <c r="AA1704" s="102" t="n"/>
      <c r="AB1704" s="102" t="n"/>
      <c r="AC1704" s="102" t="n"/>
      <c r="AD1704" s="102" t="n"/>
      <c r="AE1704" s="102" t="n"/>
      <c r="AF1704" s="102" t="n"/>
      <c r="AG1704" s="102" t="n"/>
      <c r="AH1704" s="102" t="n"/>
      <c r="AI1704" s="102" t="n"/>
      <c r="AJ1704" s="102" t="n"/>
      <c r="AK1704" s="102" t="n"/>
      <c r="AL1704" s="102" t="n"/>
      <c r="AM1704" s="102" t="n"/>
      <c r="AN1704" s="102" t="n"/>
      <c r="AO1704" s="102" t="n"/>
      <c r="AP1704" s="102" t="n"/>
      <c r="AQ1704" s="102" t="n"/>
      <c r="AR1704" s="102" t="n"/>
    </row>
    <row r="1705">
      <c r="D1705" s="102" t="n"/>
      <c r="E1705" s="102" t="n"/>
      <c r="F1705" s="102" t="n"/>
      <c r="G1705" s="102" t="n"/>
      <c r="H1705" s="102" t="n"/>
      <c r="I1705" s="102" t="n"/>
      <c r="J1705" s="102" t="n"/>
      <c r="K1705" s="102" t="n"/>
      <c r="L1705" s="102" t="n"/>
      <c r="M1705" s="102" t="n"/>
      <c r="N1705" s="102" t="n"/>
      <c r="O1705" s="102" t="n"/>
      <c r="P1705" s="102" t="n"/>
      <c r="Q1705" s="102" t="n"/>
      <c r="R1705" s="102" t="n"/>
      <c r="S1705" s="102" t="n"/>
      <c r="T1705" s="102" t="n"/>
      <c r="U1705" s="102" t="n"/>
      <c r="V1705" s="102" t="n"/>
      <c r="W1705" s="102" t="n"/>
      <c r="X1705" s="102" t="n"/>
      <c r="Y1705" s="102" t="n"/>
      <c r="Z1705" s="102" t="n"/>
      <c r="AA1705" s="102" t="n"/>
      <c r="AB1705" s="102" t="n"/>
      <c r="AC1705" s="102" t="n"/>
      <c r="AD1705" s="102" t="n"/>
      <c r="AE1705" s="102" t="n"/>
      <c r="AF1705" s="102" t="n"/>
      <c r="AG1705" s="102" t="n"/>
      <c r="AH1705" s="102" t="n"/>
      <c r="AI1705" s="102" t="n"/>
      <c r="AJ1705" s="102" t="n"/>
      <c r="AK1705" s="102" t="n"/>
      <c r="AL1705" s="102" t="n"/>
      <c r="AM1705" s="102" t="n"/>
      <c r="AN1705" s="102" t="n"/>
      <c r="AO1705" s="102" t="n"/>
      <c r="AP1705" s="102" t="n"/>
      <c r="AQ1705" s="102" t="n"/>
      <c r="AR1705" s="102" t="n"/>
    </row>
    <row r="1706">
      <c r="D1706" s="102" t="n"/>
      <c r="E1706" s="102" t="n"/>
      <c r="F1706" s="102" t="n"/>
      <c r="G1706" s="102" t="n"/>
      <c r="H1706" s="102" t="n"/>
      <c r="I1706" s="102" t="n"/>
      <c r="J1706" s="102" t="n"/>
      <c r="K1706" s="102" t="n"/>
      <c r="L1706" s="102" t="n"/>
      <c r="M1706" s="102" t="n"/>
      <c r="N1706" s="102" t="n"/>
      <c r="O1706" s="102" t="n"/>
      <c r="P1706" s="102" t="n"/>
      <c r="Q1706" s="102" t="n"/>
      <c r="R1706" s="102" t="n"/>
      <c r="S1706" s="102" t="n"/>
      <c r="T1706" s="102" t="n"/>
      <c r="U1706" s="102" t="n"/>
      <c r="V1706" s="102" t="n"/>
      <c r="W1706" s="102" t="n"/>
      <c r="X1706" s="102" t="n"/>
      <c r="Y1706" s="102" t="n"/>
      <c r="Z1706" s="102" t="n"/>
      <c r="AA1706" s="102" t="n"/>
      <c r="AB1706" s="102" t="n"/>
      <c r="AC1706" s="102" t="n"/>
      <c r="AD1706" s="102" t="n"/>
      <c r="AE1706" s="102" t="n"/>
      <c r="AF1706" s="102" t="n"/>
      <c r="AG1706" s="102" t="n"/>
      <c r="AH1706" s="102" t="n"/>
      <c r="AI1706" s="102" t="n"/>
      <c r="AJ1706" s="102" t="n"/>
      <c r="AK1706" s="102" t="n"/>
      <c r="AL1706" s="102" t="n"/>
      <c r="AM1706" s="102" t="n"/>
      <c r="AN1706" s="102" t="n"/>
      <c r="AO1706" s="102" t="n"/>
      <c r="AP1706" s="102" t="n"/>
      <c r="AQ1706" s="102" t="n"/>
      <c r="AR1706" s="102" t="n"/>
    </row>
    <row r="1707">
      <c r="D1707" s="103" t="n"/>
      <c r="E1707" s="103" t="n"/>
      <c r="F1707" s="103" t="n"/>
      <c r="G1707" s="103" t="n"/>
      <c r="H1707" s="103" t="n"/>
      <c r="I1707" s="103" t="n"/>
      <c r="J1707" s="103" t="n"/>
      <c r="K1707" s="103" t="n"/>
      <c r="L1707" s="103" t="n"/>
      <c r="M1707" s="103" t="n"/>
      <c r="N1707" s="103" t="n"/>
      <c r="O1707" s="103" t="n"/>
      <c r="P1707" s="103" t="n"/>
      <c r="Q1707" s="103" t="n"/>
      <c r="R1707" s="103" t="n"/>
      <c r="S1707" s="103" t="n"/>
      <c r="T1707" s="103" t="n"/>
      <c r="U1707" s="103" t="n"/>
      <c r="V1707" s="103" t="n"/>
      <c r="W1707" s="103" t="n"/>
      <c r="X1707" s="103" t="n"/>
      <c r="Y1707" s="103" t="n"/>
      <c r="Z1707" s="103" t="n"/>
      <c r="AA1707" s="103" t="n"/>
      <c r="AB1707" s="103" t="n"/>
      <c r="AC1707" s="103" t="n"/>
      <c r="AD1707" s="103" t="n"/>
      <c r="AE1707" s="103" t="n"/>
      <c r="AF1707" s="103" t="n"/>
      <c r="AG1707" s="103" t="n"/>
      <c r="AH1707" s="103" t="n"/>
      <c r="AI1707" s="103" t="n"/>
      <c r="AJ1707" s="103" t="n"/>
      <c r="AK1707" s="103" t="n"/>
      <c r="AL1707" s="103" t="n"/>
      <c r="AM1707" s="103" t="n"/>
      <c r="AN1707" s="103" t="n"/>
      <c r="AO1707" s="103" t="n"/>
      <c r="AP1707" s="103" t="n"/>
      <c r="AQ1707" s="103" t="n"/>
      <c r="AR1707" s="103" t="n"/>
    </row>
    <row r="1710">
      <c r="A1710" s="2">
        <f>IF($A1703="","","   projections")</f>
        <v/>
      </c>
      <c r="B1710" s="99">
        <f>IF($A1703="",0,COUNT($E1711:$AR1711))</f>
        <v/>
      </c>
      <c r="C1710" s="100">
        <f>IF($B1710=0,0,MAX($E1711:$AR1711))</f>
        <v/>
      </c>
      <c r="D1710" s="101">
        <f>BDS($A1703,FLD_PROJ,"headers=y","startcol=1","endcol=3","dir=h")</f>
        <v/>
      </c>
      <c r="E1710" s="102" t="n"/>
      <c r="F1710" s="102" t="n"/>
      <c r="G1710" s="102" t="n"/>
      <c r="H1710" s="102" t="n"/>
      <c r="I1710" s="102" t="n"/>
      <c r="J1710" s="102" t="n"/>
      <c r="K1710" s="102" t="n"/>
      <c r="L1710" s="102" t="n"/>
      <c r="M1710" s="102" t="n"/>
      <c r="N1710" s="102" t="n"/>
      <c r="O1710" s="102" t="n"/>
      <c r="P1710" s="102" t="n"/>
      <c r="Q1710" s="102" t="n"/>
      <c r="R1710" s="102" t="n"/>
      <c r="S1710" s="102" t="n"/>
      <c r="T1710" s="102" t="n"/>
      <c r="U1710" s="102" t="n"/>
      <c r="V1710" s="102" t="n"/>
      <c r="W1710" s="102" t="n"/>
      <c r="X1710" s="102" t="n"/>
      <c r="Y1710" s="102" t="n"/>
      <c r="Z1710" s="102" t="n"/>
      <c r="AA1710" s="102" t="n"/>
      <c r="AB1710" s="102" t="n"/>
      <c r="AC1710" s="102" t="n"/>
      <c r="AD1710" s="102" t="n"/>
      <c r="AE1710" s="102" t="n"/>
      <c r="AF1710" s="102" t="n"/>
      <c r="AG1710" s="102" t="n"/>
      <c r="AH1710" s="102" t="n"/>
      <c r="AI1710" s="102" t="n"/>
      <c r="AJ1710" s="102" t="n"/>
      <c r="AK1710" s="102" t="n"/>
      <c r="AL1710" s="102" t="n"/>
      <c r="AM1710" s="102" t="n"/>
      <c r="AN1710" s="102" t="n"/>
      <c r="AO1710" s="102" t="n"/>
      <c r="AP1710" s="102" t="n"/>
      <c r="AQ1710" s="102" t="n"/>
      <c r="AR1710" s="102" t="n"/>
    </row>
    <row r="1711">
      <c r="D1711" s="102" t="n"/>
      <c r="E1711" s="102" t="n"/>
      <c r="F1711" s="102" t="n"/>
      <c r="G1711" s="102" t="n"/>
      <c r="H1711" s="102" t="n"/>
      <c r="I1711" s="102" t="n"/>
      <c r="J1711" s="102" t="n"/>
      <c r="K1711" s="102" t="n"/>
      <c r="L1711" s="102" t="n"/>
      <c r="M1711" s="102" t="n"/>
      <c r="N1711" s="102" t="n"/>
      <c r="O1711" s="102" t="n"/>
      <c r="P1711" s="102" t="n"/>
      <c r="Q1711" s="102" t="n"/>
      <c r="R1711" s="102" t="n"/>
      <c r="S1711" s="102" t="n"/>
      <c r="T1711" s="102" t="n"/>
      <c r="U1711" s="102" t="n"/>
      <c r="V1711" s="102" t="n"/>
      <c r="W1711" s="102" t="n"/>
      <c r="X1711" s="102" t="n"/>
      <c r="Y1711" s="102" t="n"/>
      <c r="Z1711" s="102" t="n"/>
      <c r="AA1711" s="102" t="n"/>
      <c r="AB1711" s="102" t="n"/>
      <c r="AC1711" s="102" t="n"/>
      <c r="AD1711" s="102" t="n"/>
      <c r="AE1711" s="102" t="n"/>
      <c r="AF1711" s="102" t="n"/>
      <c r="AG1711" s="102" t="n"/>
      <c r="AH1711" s="102" t="n"/>
      <c r="AI1711" s="102" t="n"/>
      <c r="AJ1711" s="102" t="n"/>
      <c r="AK1711" s="102" t="n"/>
      <c r="AL1711" s="102" t="n"/>
      <c r="AM1711" s="102" t="n"/>
      <c r="AN1711" s="102" t="n"/>
      <c r="AO1711" s="102" t="n"/>
      <c r="AP1711" s="102" t="n"/>
      <c r="AQ1711" s="102" t="n"/>
      <c r="AR1711" s="102" t="n"/>
    </row>
    <row r="1712">
      <c r="D1712" s="103" t="n"/>
      <c r="E1712" s="103" t="n"/>
      <c r="F1712" s="103" t="n"/>
      <c r="G1712" s="103" t="n"/>
      <c r="H1712" s="103" t="n"/>
      <c r="I1712" s="103" t="n"/>
      <c r="J1712" s="103" t="n"/>
      <c r="K1712" s="103" t="n"/>
      <c r="L1712" s="103" t="n"/>
      <c r="M1712" s="103" t="n"/>
      <c r="N1712" s="103" t="n"/>
      <c r="O1712" s="103" t="n"/>
      <c r="P1712" s="103" t="n"/>
      <c r="Q1712" s="103" t="n"/>
      <c r="R1712" s="103" t="n"/>
      <c r="S1712" s="103" t="n"/>
      <c r="T1712" s="103" t="n"/>
      <c r="U1712" s="103" t="n"/>
      <c r="V1712" s="103" t="n"/>
      <c r="W1712" s="103" t="n"/>
      <c r="X1712" s="103" t="n"/>
      <c r="Y1712" s="103" t="n"/>
      <c r="Z1712" s="103" t="n"/>
      <c r="AA1712" s="103" t="n"/>
      <c r="AB1712" s="103" t="n"/>
      <c r="AC1712" s="103" t="n"/>
      <c r="AD1712" s="103" t="n"/>
      <c r="AE1712" s="103" t="n"/>
      <c r="AF1712" s="103" t="n"/>
      <c r="AG1712" s="103" t="n"/>
      <c r="AH1712" s="103" t="n"/>
      <c r="AI1712" s="103" t="n"/>
      <c r="AJ1712" s="103" t="n"/>
      <c r="AK1712" s="103" t="n"/>
      <c r="AL1712" s="103" t="n"/>
      <c r="AM1712" s="103" t="n"/>
      <c r="AN1712" s="103" t="n"/>
      <c r="AO1712" s="103" t="n"/>
      <c r="AP1712" s="103" t="n"/>
      <c r="AQ1712" s="103" t="n"/>
      <c r="AR1712" s="103" t="n"/>
    </row>
    <row r="1714">
      <c r="A1714" s="8">
        <f>IF(HSCEI!$C$21="","",HSCEI!$C$21)</f>
        <v/>
      </c>
      <c r="B1714" s="99">
        <f>IF($A1714="",0,COUNT($E1715:$AR1715))</f>
        <v/>
      </c>
      <c r="C1714" s="100">
        <f>IF($B1714=0,0,MAX($E1715:$AR1715))</f>
        <v/>
      </c>
      <c r="D1714" s="101">
        <f>BDS($A1714,FLD_HIST,"headers=y","startcol=1","endcol=7","dir=h","DVD_START_DT",HIST_FROM,"DVD_END_DT",HIST_TO)</f>
        <v/>
      </c>
      <c r="E1714" s="102" t="n"/>
      <c r="F1714" s="102" t="n"/>
      <c r="G1714" s="102" t="n"/>
      <c r="H1714" s="102" t="n"/>
      <c r="I1714" s="102" t="n"/>
      <c r="J1714" s="102" t="n"/>
      <c r="K1714" s="102" t="n"/>
      <c r="L1714" s="102" t="n"/>
      <c r="M1714" s="102" t="n"/>
      <c r="N1714" s="102" t="n"/>
      <c r="O1714" s="102" t="n"/>
      <c r="P1714" s="102" t="n"/>
      <c r="Q1714" s="102" t="n"/>
      <c r="R1714" s="102" t="n"/>
      <c r="S1714" s="102" t="n"/>
      <c r="T1714" s="102" t="n"/>
      <c r="U1714" s="102" t="n"/>
      <c r="V1714" s="102" t="n"/>
      <c r="W1714" s="102" t="n"/>
      <c r="X1714" s="102" t="n"/>
      <c r="Y1714" s="102" t="n"/>
      <c r="Z1714" s="102" t="n"/>
      <c r="AA1714" s="102" t="n"/>
      <c r="AB1714" s="102" t="n"/>
      <c r="AC1714" s="102" t="n"/>
      <c r="AD1714" s="102" t="n"/>
      <c r="AE1714" s="102" t="n"/>
      <c r="AF1714" s="102" t="n"/>
      <c r="AG1714" s="102" t="n"/>
      <c r="AH1714" s="102" t="n"/>
      <c r="AI1714" s="102" t="n"/>
      <c r="AJ1714" s="102" t="n"/>
      <c r="AK1714" s="102" t="n"/>
      <c r="AL1714" s="102" t="n"/>
      <c r="AM1714" s="102" t="n"/>
      <c r="AN1714" s="102" t="n"/>
      <c r="AO1714" s="102" t="n"/>
      <c r="AP1714" s="102" t="n"/>
      <c r="AQ1714" s="102" t="n"/>
      <c r="AR1714" s="102" t="n"/>
    </row>
    <row r="1715">
      <c r="D1715" s="102" t="n"/>
      <c r="E1715" s="102" t="n"/>
      <c r="F1715" s="102" t="n"/>
      <c r="G1715" s="102" t="n"/>
      <c r="H1715" s="102" t="n"/>
      <c r="I1715" s="102" t="n"/>
      <c r="J1715" s="102" t="n"/>
      <c r="K1715" s="102" t="n"/>
      <c r="L1715" s="102" t="n"/>
      <c r="M1715" s="102" t="n"/>
      <c r="N1715" s="102" t="n"/>
      <c r="O1715" s="102" t="n"/>
      <c r="P1715" s="102" t="n"/>
      <c r="Q1715" s="102" t="n"/>
      <c r="R1715" s="102" t="n"/>
      <c r="S1715" s="102" t="n"/>
      <c r="T1715" s="102" t="n"/>
      <c r="U1715" s="102" t="n"/>
      <c r="V1715" s="102" t="n"/>
      <c r="W1715" s="102" t="n"/>
      <c r="X1715" s="102" t="n"/>
      <c r="Y1715" s="102" t="n"/>
      <c r="Z1715" s="102" t="n"/>
      <c r="AA1715" s="102" t="n"/>
      <c r="AB1715" s="102" t="n"/>
      <c r="AC1715" s="102" t="n"/>
      <c r="AD1715" s="102" t="n"/>
      <c r="AE1715" s="102" t="n"/>
      <c r="AF1715" s="102" t="n"/>
      <c r="AG1715" s="102" t="n"/>
      <c r="AH1715" s="102" t="n"/>
      <c r="AI1715" s="102" t="n"/>
      <c r="AJ1715" s="102" t="n"/>
      <c r="AK1715" s="102" t="n"/>
      <c r="AL1715" s="102" t="n"/>
      <c r="AM1715" s="102" t="n"/>
      <c r="AN1715" s="102" t="n"/>
      <c r="AO1715" s="102" t="n"/>
      <c r="AP1715" s="102" t="n"/>
      <c r="AQ1715" s="102" t="n"/>
      <c r="AR1715" s="102" t="n"/>
    </row>
    <row r="1716">
      <c r="D1716" s="102" t="n"/>
      <c r="E1716" s="102" t="n"/>
      <c r="F1716" s="102" t="n"/>
      <c r="G1716" s="102" t="n"/>
      <c r="H1716" s="102" t="n"/>
      <c r="I1716" s="102" t="n"/>
      <c r="J1716" s="102" t="n"/>
      <c r="K1716" s="102" t="n"/>
      <c r="L1716" s="102" t="n"/>
      <c r="M1716" s="102" t="n"/>
      <c r="N1716" s="102" t="n"/>
      <c r="O1716" s="102" t="n"/>
      <c r="P1716" s="102" t="n"/>
      <c r="Q1716" s="102" t="n"/>
      <c r="R1716" s="102" t="n"/>
      <c r="S1716" s="102" t="n"/>
      <c r="T1716" s="102" t="n"/>
      <c r="U1716" s="102" t="n"/>
      <c r="V1716" s="102" t="n"/>
      <c r="W1716" s="102" t="n"/>
      <c r="X1716" s="102" t="n"/>
      <c r="Y1716" s="102" t="n"/>
      <c r="Z1716" s="102" t="n"/>
      <c r="AA1716" s="102" t="n"/>
      <c r="AB1716" s="102" t="n"/>
      <c r="AC1716" s="102" t="n"/>
      <c r="AD1716" s="102" t="n"/>
      <c r="AE1716" s="102" t="n"/>
      <c r="AF1716" s="102" t="n"/>
      <c r="AG1716" s="102" t="n"/>
      <c r="AH1716" s="102" t="n"/>
      <c r="AI1716" s="102" t="n"/>
      <c r="AJ1716" s="102" t="n"/>
      <c r="AK1716" s="102" t="n"/>
      <c r="AL1716" s="102" t="n"/>
      <c r="AM1716" s="102" t="n"/>
      <c r="AN1716" s="102" t="n"/>
      <c r="AO1716" s="102" t="n"/>
      <c r="AP1716" s="102" t="n"/>
      <c r="AQ1716" s="102" t="n"/>
      <c r="AR1716" s="102" t="n"/>
    </row>
    <row r="1717">
      <c r="D1717" s="102" t="n"/>
      <c r="E1717" s="102" t="n"/>
      <c r="F1717" s="102" t="n"/>
      <c r="G1717" s="102" t="n"/>
      <c r="H1717" s="102" t="n"/>
      <c r="I1717" s="102" t="n"/>
      <c r="J1717" s="102" t="n"/>
      <c r="K1717" s="102" t="n"/>
      <c r="L1717" s="102" t="n"/>
      <c r="M1717" s="102" t="n"/>
      <c r="N1717" s="102" t="n"/>
      <c r="O1717" s="102" t="n"/>
      <c r="P1717" s="102" t="n"/>
      <c r="Q1717" s="102" t="n"/>
      <c r="R1717" s="102" t="n"/>
      <c r="S1717" s="102" t="n"/>
      <c r="T1717" s="102" t="n"/>
      <c r="U1717" s="102" t="n"/>
      <c r="V1717" s="102" t="n"/>
      <c r="W1717" s="102" t="n"/>
      <c r="X1717" s="102" t="n"/>
      <c r="Y1717" s="102" t="n"/>
      <c r="Z1717" s="102" t="n"/>
      <c r="AA1717" s="102" t="n"/>
      <c r="AB1717" s="102" t="n"/>
      <c r="AC1717" s="102" t="n"/>
      <c r="AD1717" s="102" t="n"/>
      <c r="AE1717" s="102" t="n"/>
      <c r="AF1717" s="102" t="n"/>
      <c r="AG1717" s="102" t="n"/>
      <c r="AH1717" s="102" t="n"/>
      <c r="AI1717" s="102" t="n"/>
      <c r="AJ1717" s="102" t="n"/>
      <c r="AK1717" s="102" t="n"/>
      <c r="AL1717" s="102" t="n"/>
      <c r="AM1717" s="102" t="n"/>
      <c r="AN1717" s="102" t="n"/>
      <c r="AO1717" s="102" t="n"/>
      <c r="AP1717" s="102" t="n"/>
      <c r="AQ1717" s="102" t="n"/>
      <c r="AR1717" s="102" t="n"/>
    </row>
    <row r="1718">
      <c r="D1718" s="103" t="n"/>
      <c r="E1718" s="103" t="n"/>
      <c r="F1718" s="103" t="n"/>
      <c r="G1718" s="103" t="n"/>
      <c r="H1718" s="103" t="n"/>
      <c r="I1718" s="103" t="n"/>
      <c r="J1718" s="103" t="n"/>
      <c r="K1718" s="103" t="n"/>
      <c r="L1718" s="103" t="n"/>
      <c r="M1718" s="103" t="n"/>
      <c r="N1718" s="103" t="n"/>
      <c r="O1718" s="103" t="n"/>
      <c r="P1718" s="103" t="n"/>
      <c r="Q1718" s="103" t="n"/>
      <c r="R1718" s="103" t="n"/>
      <c r="S1718" s="103" t="n"/>
      <c r="T1718" s="103" t="n"/>
      <c r="U1718" s="103" t="n"/>
      <c r="V1718" s="103" t="n"/>
      <c r="W1718" s="103" t="n"/>
      <c r="X1718" s="103" t="n"/>
      <c r="Y1718" s="103" t="n"/>
      <c r="Z1718" s="103" t="n"/>
      <c r="AA1718" s="103" t="n"/>
      <c r="AB1718" s="103" t="n"/>
      <c r="AC1718" s="103" t="n"/>
      <c r="AD1718" s="103" t="n"/>
      <c r="AE1718" s="103" t="n"/>
      <c r="AF1718" s="103" t="n"/>
      <c r="AG1718" s="103" t="n"/>
      <c r="AH1718" s="103" t="n"/>
      <c r="AI1718" s="103" t="n"/>
      <c r="AJ1718" s="103" t="n"/>
      <c r="AK1718" s="103" t="n"/>
      <c r="AL1718" s="103" t="n"/>
      <c r="AM1718" s="103" t="n"/>
      <c r="AN1718" s="103" t="n"/>
      <c r="AO1718" s="103" t="n"/>
      <c r="AP1718" s="103" t="n"/>
      <c r="AQ1718" s="103" t="n"/>
      <c r="AR1718" s="103" t="n"/>
    </row>
    <row r="1721">
      <c r="A1721" s="2">
        <f>IF($A1714="","","   projections")</f>
        <v/>
      </c>
      <c r="B1721" s="99">
        <f>IF($A1714="",0,COUNT($E1722:$AR1722))</f>
        <v/>
      </c>
      <c r="C1721" s="100">
        <f>IF($B1721=0,0,MAX($E1722:$AR1722))</f>
        <v/>
      </c>
      <c r="D1721" s="101">
        <f>BDS($A1714,FLD_PROJ,"headers=y","startcol=1","endcol=3","dir=h")</f>
        <v/>
      </c>
      <c r="E1721" s="102" t="n"/>
      <c r="F1721" s="102" t="n"/>
      <c r="G1721" s="102" t="n"/>
      <c r="H1721" s="102" t="n"/>
      <c r="I1721" s="102" t="n"/>
      <c r="J1721" s="102" t="n"/>
      <c r="K1721" s="102" t="n"/>
      <c r="L1721" s="102" t="n"/>
      <c r="M1721" s="102" t="n"/>
      <c r="N1721" s="102" t="n"/>
      <c r="O1721" s="102" t="n"/>
      <c r="P1721" s="102" t="n"/>
      <c r="Q1721" s="102" t="n"/>
      <c r="R1721" s="102" t="n"/>
      <c r="S1721" s="102" t="n"/>
      <c r="T1721" s="102" t="n"/>
      <c r="U1721" s="102" t="n"/>
      <c r="V1721" s="102" t="n"/>
      <c r="W1721" s="102" t="n"/>
      <c r="X1721" s="102" t="n"/>
      <c r="Y1721" s="102" t="n"/>
      <c r="Z1721" s="102" t="n"/>
      <c r="AA1721" s="102" t="n"/>
      <c r="AB1721" s="102" t="n"/>
      <c r="AC1721" s="102" t="n"/>
      <c r="AD1721" s="102" t="n"/>
      <c r="AE1721" s="102" t="n"/>
      <c r="AF1721" s="102" t="n"/>
      <c r="AG1721" s="102" t="n"/>
      <c r="AH1721" s="102" t="n"/>
      <c r="AI1721" s="102" t="n"/>
      <c r="AJ1721" s="102" t="n"/>
      <c r="AK1721" s="102" t="n"/>
      <c r="AL1721" s="102" t="n"/>
      <c r="AM1721" s="102" t="n"/>
      <c r="AN1721" s="102" t="n"/>
      <c r="AO1721" s="102" t="n"/>
      <c r="AP1721" s="102" t="n"/>
      <c r="AQ1721" s="102" t="n"/>
      <c r="AR1721" s="102" t="n"/>
    </row>
    <row r="1722">
      <c r="D1722" s="102" t="n"/>
      <c r="E1722" s="102" t="n"/>
      <c r="F1722" s="102" t="n"/>
      <c r="G1722" s="102" t="n"/>
      <c r="H1722" s="102" t="n"/>
      <c r="I1722" s="102" t="n"/>
      <c r="J1722" s="102" t="n"/>
      <c r="K1722" s="102" t="n"/>
      <c r="L1722" s="102" t="n"/>
      <c r="M1722" s="102" t="n"/>
      <c r="N1722" s="102" t="n"/>
      <c r="O1722" s="102" t="n"/>
      <c r="P1722" s="102" t="n"/>
      <c r="Q1722" s="102" t="n"/>
      <c r="R1722" s="102" t="n"/>
      <c r="S1722" s="102" t="n"/>
      <c r="T1722" s="102" t="n"/>
      <c r="U1722" s="102" t="n"/>
      <c r="V1722" s="102" t="n"/>
      <c r="W1722" s="102" t="n"/>
      <c r="X1722" s="102" t="n"/>
      <c r="Y1722" s="102" t="n"/>
      <c r="Z1722" s="102" t="n"/>
      <c r="AA1722" s="102" t="n"/>
      <c r="AB1722" s="102" t="n"/>
      <c r="AC1722" s="102" t="n"/>
      <c r="AD1722" s="102" t="n"/>
      <c r="AE1722" s="102" t="n"/>
      <c r="AF1722" s="102" t="n"/>
      <c r="AG1722" s="102" t="n"/>
      <c r="AH1722" s="102" t="n"/>
      <c r="AI1722" s="102" t="n"/>
      <c r="AJ1722" s="102" t="n"/>
      <c r="AK1722" s="102" t="n"/>
      <c r="AL1722" s="102" t="n"/>
      <c r="AM1722" s="102" t="n"/>
      <c r="AN1722" s="102" t="n"/>
      <c r="AO1722" s="102" t="n"/>
      <c r="AP1722" s="102" t="n"/>
      <c r="AQ1722" s="102" t="n"/>
      <c r="AR1722" s="102" t="n"/>
    </row>
    <row r="1723">
      <c r="D1723" s="103" t="n"/>
      <c r="E1723" s="103" t="n"/>
      <c r="F1723" s="103" t="n"/>
      <c r="G1723" s="103" t="n"/>
      <c r="H1723" s="103" t="n"/>
      <c r="I1723" s="103" t="n"/>
      <c r="J1723" s="103" t="n"/>
      <c r="K1723" s="103" t="n"/>
      <c r="L1723" s="103" t="n"/>
      <c r="M1723" s="103" t="n"/>
      <c r="N1723" s="103" t="n"/>
      <c r="O1723" s="103" t="n"/>
      <c r="P1723" s="103" t="n"/>
      <c r="Q1723" s="103" t="n"/>
      <c r="R1723" s="103" t="n"/>
      <c r="S1723" s="103" t="n"/>
      <c r="T1723" s="103" t="n"/>
      <c r="U1723" s="103" t="n"/>
      <c r="V1723" s="103" t="n"/>
      <c r="W1723" s="103" t="n"/>
      <c r="X1723" s="103" t="n"/>
      <c r="Y1723" s="103" t="n"/>
      <c r="Z1723" s="103" t="n"/>
      <c r="AA1723" s="103" t="n"/>
      <c r="AB1723" s="103" t="n"/>
      <c r="AC1723" s="103" t="n"/>
      <c r="AD1723" s="103" t="n"/>
      <c r="AE1723" s="103" t="n"/>
      <c r="AF1723" s="103" t="n"/>
      <c r="AG1723" s="103" t="n"/>
      <c r="AH1723" s="103" t="n"/>
      <c r="AI1723" s="103" t="n"/>
      <c r="AJ1723" s="103" t="n"/>
      <c r="AK1723" s="103" t="n"/>
      <c r="AL1723" s="103" t="n"/>
      <c r="AM1723" s="103" t="n"/>
      <c r="AN1723" s="103" t="n"/>
      <c r="AO1723" s="103" t="n"/>
      <c r="AP1723" s="103" t="n"/>
      <c r="AQ1723" s="103" t="n"/>
      <c r="AR1723" s="103" t="n"/>
    </row>
    <row r="1725">
      <c r="A1725" s="8">
        <f>IF(HSCEI!$C$22="","",HSCEI!$C$22)</f>
        <v/>
      </c>
      <c r="B1725" s="99">
        <f>IF($A1725="",0,COUNT($E1726:$AR1726))</f>
        <v/>
      </c>
      <c r="C1725" s="100">
        <f>IF($B1725=0,0,MAX($E1726:$AR1726))</f>
        <v/>
      </c>
      <c r="D1725" s="101">
        <f>BDS($A1725,FLD_HIST,"headers=y","startcol=1","endcol=7","dir=h","DVD_START_DT",HIST_FROM,"DVD_END_DT",HIST_TO)</f>
        <v/>
      </c>
      <c r="E1725" s="102" t="n"/>
      <c r="F1725" s="102" t="n"/>
      <c r="G1725" s="102" t="n"/>
      <c r="H1725" s="102" t="n"/>
      <c r="I1725" s="102" t="n"/>
      <c r="J1725" s="102" t="n"/>
      <c r="K1725" s="102" t="n"/>
      <c r="L1725" s="102" t="n"/>
      <c r="M1725" s="102" t="n"/>
      <c r="N1725" s="102" t="n"/>
      <c r="O1725" s="102" t="n"/>
      <c r="P1725" s="102" t="n"/>
      <c r="Q1725" s="102" t="n"/>
      <c r="R1725" s="102" t="n"/>
      <c r="S1725" s="102" t="n"/>
      <c r="T1725" s="102" t="n"/>
      <c r="U1725" s="102" t="n"/>
      <c r="V1725" s="102" t="n"/>
      <c r="W1725" s="102" t="n"/>
      <c r="X1725" s="102" t="n"/>
      <c r="Y1725" s="102" t="n"/>
      <c r="Z1725" s="102" t="n"/>
      <c r="AA1725" s="102" t="n"/>
      <c r="AB1725" s="102" t="n"/>
      <c r="AC1725" s="102" t="n"/>
      <c r="AD1725" s="102" t="n"/>
      <c r="AE1725" s="102" t="n"/>
      <c r="AF1725" s="102" t="n"/>
      <c r="AG1725" s="102" t="n"/>
      <c r="AH1725" s="102" t="n"/>
      <c r="AI1725" s="102" t="n"/>
      <c r="AJ1725" s="102" t="n"/>
      <c r="AK1725" s="102" t="n"/>
      <c r="AL1725" s="102" t="n"/>
      <c r="AM1725" s="102" t="n"/>
      <c r="AN1725" s="102" t="n"/>
      <c r="AO1725" s="102" t="n"/>
      <c r="AP1725" s="102" t="n"/>
      <c r="AQ1725" s="102" t="n"/>
      <c r="AR1725" s="102" t="n"/>
    </row>
    <row r="1726">
      <c r="D1726" s="102" t="n"/>
      <c r="E1726" s="102" t="n"/>
      <c r="F1726" s="102" t="n"/>
      <c r="G1726" s="102" t="n"/>
      <c r="H1726" s="102" t="n"/>
      <c r="I1726" s="102" t="n"/>
      <c r="J1726" s="102" t="n"/>
      <c r="K1726" s="102" t="n"/>
      <c r="L1726" s="102" t="n"/>
      <c r="M1726" s="102" t="n"/>
      <c r="N1726" s="102" t="n"/>
      <c r="O1726" s="102" t="n"/>
      <c r="P1726" s="102" t="n"/>
      <c r="Q1726" s="102" t="n"/>
      <c r="R1726" s="102" t="n"/>
      <c r="S1726" s="102" t="n"/>
      <c r="T1726" s="102" t="n"/>
      <c r="U1726" s="102" t="n"/>
      <c r="V1726" s="102" t="n"/>
      <c r="W1726" s="102" t="n"/>
      <c r="X1726" s="102" t="n"/>
      <c r="Y1726" s="102" t="n"/>
      <c r="Z1726" s="102" t="n"/>
      <c r="AA1726" s="102" t="n"/>
      <c r="AB1726" s="102" t="n"/>
      <c r="AC1726" s="102" t="n"/>
      <c r="AD1726" s="102" t="n"/>
      <c r="AE1726" s="102" t="n"/>
      <c r="AF1726" s="102" t="n"/>
      <c r="AG1726" s="102" t="n"/>
      <c r="AH1726" s="102" t="n"/>
      <c r="AI1726" s="102" t="n"/>
      <c r="AJ1726" s="102" t="n"/>
      <c r="AK1726" s="102" t="n"/>
      <c r="AL1726" s="102" t="n"/>
      <c r="AM1726" s="102" t="n"/>
      <c r="AN1726" s="102" t="n"/>
      <c r="AO1726" s="102" t="n"/>
      <c r="AP1726" s="102" t="n"/>
      <c r="AQ1726" s="102" t="n"/>
      <c r="AR1726" s="102" t="n"/>
    </row>
    <row r="1727">
      <c r="D1727" s="102" t="n"/>
      <c r="E1727" s="102" t="n"/>
      <c r="F1727" s="102" t="n"/>
      <c r="G1727" s="102" t="n"/>
      <c r="H1727" s="102" t="n"/>
      <c r="I1727" s="102" t="n"/>
      <c r="J1727" s="102" t="n"/>
      <c r="K1727" s="102" t="n"/>
      <c r="L1727" s="102" t="n"/>
      <c r="M1727" s="102" t="n"/>
      <c r="N1727" s="102" t="n"/>
      <c r="O1727" s="102" t="n"/>
      <c r="P1727" s="102" t="n"/>
      <c r="Q1727" s="102" t="n"/>
      <c r="R1727" s="102" t="n"/>
      <c r="S1727" s="102" t="n"/>
      <c r="T1727" s="102" t="n"/>
      <c r="U1727" s="102" t="n"/>
      <c r="V1727" s="102" t="n"/>
      <c r="W1727" s="102" t="n"/>
      <c r="X1727" s="102" t="n"/>
      <c r="Y1727" s="102" t="n"/>
      <c r="Z1727" s="102" t="n"/>
      <c r="AA1727" s="102" t="n"/>
      <c r="AB1727" s="102" t="n"/>
      <c r="AC1727" s="102" t="n"/>
      <c r="AD1727" s="102" t="n"/>
      <c r="AE1727" s="102" t="n"/>
      <c r="AF1727" s="102" t="n"/>
      <c r="AG1727" s="102" t="n"/>
      <c r="AH1727" s="102" t="n"/>
      <c r="AI1727" s="102" t="n"/>
      <c r="AJ1727" s="102" t="n"/>
      <c r="AK1727" s="102" t="n"/>
      <c r="AL1727" s="102" t="n"/>
      <c r="AM1727" s="102" t="n"/>
      <c r="AN1727" s="102" t="n"/>
      <c r="AO1727" s="102" t="n"/>
      <c r="AP1727" s="102" t="n"/>
      <c r="AQ1727" s="102" t="n"/>
      <c r="AR1727" s="102" t="n"/>
    </row>
    <row r="1728">
      <c r="D1728" s="102" t="n"/>
      <c r="E1728" s="102" t="n"/>
      <c r="F1728" s="102" t="n"/>
      <c r="G1728" s="102" t="n"/>
      <c r="H1728" s="102" t="n"/>
      <c r="I1728" s="102" t="n"/>
      <c r="J1728" s="102" t="n"/>
      <c r="K1728" s="102" t="n"/>
      <c r="L1728" s="102" t="n"/>
      <c r="M1728" s="102" t="n"/>
      <c r="N1728" s="102" t="n"/>
      <c r="O1728" s="102" t="n"/>
      <c r="P1728" s="102" t="n"/>
      <c r="Q1728" s="102" t="n"/>
      <c r="R1728" s="102" t="n"/>
      <c r="S1728" s="102" t="n"/>
      <c r="T1728" s="102" t="n"/>
      <c r="U1728" s="102" t="n"/>
      <c r="V1728" s="102" t="n"/>
      <c r="W1728" s="102" t="n"/>
      <c r="X1728" s="102" t="n"/>
      <c r="Y1728" s="102" t="n"/>
      <c r="Z1728" s="102" t="n"/>
      <c r="AA1728" s="102" t="n"/>
      <c r="AB1728" s="102" t="n"/>
      <c r="AC1728" s="102" t="n"/>
      <c r="AD1728" s="102" t="n"/>
      <c r="AE1728" s="102" t="n"/>
      <c r="AF1728" s="102" t="n"/>
      <c r="AG1728" s="102" t="n"/>
      <c r="AH1728" s="102" t="n"/>
      <c r="AI1728" s="102" t="n"/>
      <c r="AJ1728" s="102" t="n"/>
      <c r="AK1728" s="102" t="n"/>
      <c r="AL1728" s="102" t="n"/>
      <c r="AM1728" s="102" t="n"/>
      <c r="AN1728" s="102" t="n"/>
      <c r="AO1728" s="102" t="n"/>
      <c r="AP1728" s="102" t="n"/>
      <c r="AQ1728" s="102" t="n"/>
      <c r="AR1728" s="102" t="n"/>
    </row>
    <row r="1729">
      <c r="D1729" s="103" t="n"/>
      <c r="E1729" s="103" t="n"/>
      <c r="F1729" s="103" t="n"/>
      <c r="G1729" s="103" t="n"/>
      <c r="H1729" s="103" t="n"/>
      <c r="I1729" s="103" t="n"/>
      <c r="J1729" s="103" t="n"/>
      <c r="K1729" s="103" t="n"/>
      <c r="L1729" s="103" t="n"/>
      <c r="M1729" s="103" t="n"/>
      <c r="N1729" s="103" t="n"/>
      <c r="O1729" s="103" t="n"/>
      <c r="P1729" s="103" t="n"/>
      <c r="Q1729" s="103" t="n"/>
      <c r="R1729" s="103" t="n"/>
      <c r="S1729" s="103" t="n"/>
      <c r="T1729" s="103" t="n"/>
      <c r="U1729" s="103" t="n"/>
      <c r="V1729" s="103" t="n"/>
      <c r="W1729" s="103" t="n"/>
      <c r="X1729" s="103" t="n"/>
      <c r="Y1729" s="103" t="n"/>
      <c r="Z1729" s="103" t="n"/>
      <c r="AA1729" s="103" t="n"/>
      <c r="AB1729" s="103" t="n"/>
      <c r="AC1729" s="103" t="n"/>
      <c r="AD1729" s="103" t="n"/>
      <c r="AE1729" s="103" t="n"/>
      <c r="AF1729" s="103" t="n"/>
      <c r="AG1729" s="103" t="n"/>
      <c r="AH1729" s="103" t="n"/>
      <c r="AI1729" s="103" t="n"/>
      <c r="AJ1729" s="103" t="n"/>
      <c r="AK1729" s="103" t="n"/>
      <c r="AL1729" s="103" t="n"/>
      <c r="AM1729" s="103" t="n"/>
      <c r="AN1729" s="103" t="n"/>
      <c r="AO1729" s="103" t="n"/>
      <c r="AP1729" s="103" t="n"/>
      <c r="AQ1729" s="103" t="n"/>
      <c r="AR1729" s="103" t="n"/>
    </row>
    <row r="1732">
      <c r="A1732" s="2">
        <f>IF($A1725="","","   projections")</f>
        <v/>
      </c>
      <c r="B1732" s="99">
        <f>IF($A1725="",0,COUNT($E1733:$AR1733))</f>
        <v/>
      </c>
      <c r="C1732" s="100">
        <f>IF($B1732=0,0,MAX($E1733:$AR1733))</f>
        <v/>
      </c>
      <c r="D1732" s="101">
        <f>BDS($A1725,FLD_PROJ,"headers=y","startcol=1","endcol=3","dir=h")</f>
        <v/>
      </c>
      <c r="E1732" s="102" t="n"/>
      <c r="F1732" s="102" t="n"/>
      <c r="G1732" s="102" t="n"/>
      <c r="H1732" s="102" t="n"/>
      <c r="I1732" s="102" t="n"/>
      <c r="J1732" s="102" t="n"/>
      <c r="K1732" s="102" t="n"/>
      <c r="L1732" s="102" t="n"/>
      <c r="M1732" s="102" t="n"/>
      <c r="N1732" s="102" t="n"/>
      <c r="O1732" s="102" t="n"/>
      <c r="P1732" s="102" t="n"/>
      <c r="Q1732" s="102" t="n"/>
      <c r="R1732" s="102" t="n"/>
      <c r="S1732" s="102" t="n"/>
      <c r="T1732" s="102" t="n"/>
      <c r="U1732" s="102" t="n"/>
      <c r="V1732" s="102" t="n"/>
      <c r="W1732" s="102" t="n"/>
      <c r="X1732" s="102" t="n"/>
      <c r="Y1732" s="102" t="n"/>
      <c r="Z1732" s="102" t="n"/>
      <c r="AA1732" s="102" t="n"/>
      <c r="AB1732" s="102" t="n"/>
      <c r="AC1732" s="102" t="n"/>
      <c r="AD1732" s="102" t="n"/>
      <c r="AE1732" s="102" t="n"/>
      <c r="AF1732" s="102" t="n"/>
      <c r="AG1732" s="102" t="n"/>
      <c r="AH1732" s="102" t="n"/>
      <c r="AI1732" s="102" t="n"/>
      <c r="AJ1732" s="102" t="n"/>
      <c r="AK1732" s="102" t="n"/>
      <c r="AL1732" s="102" t="n"/>
      <c r="AM1732" s="102" t="n"/>
      <c r="AN1732" s="102" t="n"/>
      <c r="AO1732" s="102" t="n"/>
      <c r="AP1732" s="102" t="n"/>
      <c r="AQ1732" s="102" t="n"/>
      <c r="AR1732" s="102" t="n"/>
    </row>
    <row r="1733">
      <c r="D1733" s="102" t="n"/>
      <c r="E1733" s="102" t="n"/>
      <c r="F1733" s="102" t="n"/>
      <c r="G1733" s="102" t="n"/>
      <c r="H1733" s="102" t="n"/>
      <c r="I1733" s="102" t="n"/>
      <c r="J1733" s="102" t="n"/>
      <c r="K1733" s="102" t="n"/>
      <c r="L1733" s="102" t="n"/>
      <c r="M1733" s="102" t="n"/>
      <c r="N1733" s="102" t="n"/>
      <c r="O1733" s="102" t="n"/>
      <c r="P1733" s="102" t="n"/>
      <c r="Q1733" s="102" t="n"/>
      <c r="R1733" s="102" t="n"/>
      <c r="S1733" s="102" t="n"/>
      <c r="T1733" s="102" t="n"/>
      <c r="U1733" s="102" t="n"/>
      <c r="V1733" s="102" t="n"/>
      <c r="W1733" s="102" t="n"/>
      <c r="X1733" s="102" t="n"/>
      <c r="Y1733" s="102" t="n"/>
      <c r="Z1733" s="102" t="n"/>
      <c r="AA1733" s="102" t="n"/>
      <c r="AB1733" s="102" t="n"/>
      <c r="AC1733" s="102" t="n"/>
      <c r="AD1733" s="102" t="n"/>
      <c r="AE1733" s="102" t="n"/>
      <c r="AF1733" s="102" t="n"/>
      <c r="AG1733" s="102" t="n"/>
      <c r="AH1733" s="102" t="n"/>
      <c r="AI1733" s="102" t="n"/>
      <c r="AJ1733" s="102" t="n"/>
      <c r="AK1733" s="102" t="n"/>
      <c r="AL1733" s="102" t="n"/>
      <c r="AM1733" s="102" t="n"/>
      <c r="AN1733" s="102" t="n"/>
      <c r="AO1733" s="102" t="n"/>
      <c r="AP1733" s="102" t="n"/>
      <c r="AQ1733" s="102" t="n"/>
      <c r="AR1733" s="102" t="n"/>
    </row>
    <row r="1734">
      <c r="D1734" s="103" t="n"/>
      <c r="E1734" s="103" t="n"/>
      <c r="F1734" s="103" t="n"/>
      <c r="G1734" s="103" t="n"/>
      <c r="H1734" s="103" t="n"/>
      <c r="I1734" s="103" t="n"/>
      <c r="J1734" s="103" t="n"/>
      <c r="K1734" s="103" t="n"/>
      <c r="L1734" s="103" t="n"/>
      <c r="M1734" s="103" t="n"/>
      <c r="N1734" s="103" t="n"/>
      <c r="O1734" s="103" t="n"/>
      <c r="P1734" s="103" t="n"/>
      <c r="Q1734" s="103" t="n"/>
      <c r="R1734" s="103" t="n"/>
      <c r="S1734" s="103" t="n"/>
      <c r="T1734" s="103" t="n"/>
      <c r="U1734" s="103" t="n"/>
      <c r="V1734" s="103" t="n"/>
      <c r="W1734" s="103" t="n"/>
      <c r="X1734" s="103" t="n"/>
      <c r="Y1734" s="103" t="n"/>
      <c r="Z1734" s="103" t="n"/>
      <c r="AA1734" s="103" t="n"/>
      <c r="AB1734" s="103" t="n"/>
      <c r="AC1734" s="103" t="n"/>
      <c r="AD1734" s="103" t="n"/>
      <c r="AE1734" s="103" t="n"/>
      <c r="AF1734" s="103" t="n"/>
      <c r="AG1734" s="103" t="n"/>
      <c r="AH1734" s="103" t="n"/>
      <c r="AI1734" s="103" t="n"/>
      <c r="AJ1734" s="103" t="n"/>
      <c r="AK1734" s="103" t="n"/>
      <c r="AL1734" s="103" t="n"/>
      <c r="AM1734" s="103" t="n"/>
      <c r="AN1734" s="103" t="n"/>
      <c r="AO1734" s="103" t="n"/>
      <c r="AP1734" s="103" t="n"/>
      <c r="AQ1734" s="103" t="n"/>
      <c r="AR1734" s="103" t="n"/>
    </row>
    <row r="1736">
      <c r="A1736" s="8">
        <f>IF(HSCEI!$C$23="","",HSCEI!$C$23)</f>
        <v/>
      </c>
      <c r="B1736" s="99">
        <f>IF($A1736="",0,COUNT($E1737:$AR1737))</f>
        <v/>
      </c>
      <c r="C1736" s="100">
        <f>IF($B1736=0,0,MAX($E1737:$AR1737))</f>
        <v/>
      </c>
      <c r="D1736" s="101">
        <f>BDS($A1736,FLD_HIST,"headers=y","startcol=1","endcol=7","dir=h","DVD_START_DT",HIST_FROM,"DVD_END_DT",HIST_TO)</f>
        <v/>
      </c>
      <c r="E1736" s="102" t="n"/>
      <c r="F1736" s="102" t="n"/>
      <c r="G1736" s="102" t="n"/>
      <c r="H1736" s="102" t="n"/>
      <c r="I1736" s="102" t="n"/>
      <c r="J1736" s="102" t="n"/>
      <c r="K1736" s="102" t="n"/>
      <c r="L1736" s="102" t="n"/>
      <c r="M1736" s="102" t="n"/>
      <c r="N1736" s="102" t="n"/>
      <c r="O1736" s="102" t="n"/>
      <c r="P1736" s="102" t="n"/>
      <c r="Q1736" s="102" t="n"/>
      <c r="R1736" s="102" t="n"/>
      <c r="S1736" s="102" t="n"/>
      <c r="T1736" s="102" t="n"/>
      <c r="U1736" s="102" t="n"/>
      <c r="V1736" s="102" t="n"/>
      <c r="W1736" s="102" t="n"/>
      <c r="X1736" s="102" t="n"/>
      <c r="Y1736" s="102" t="n"/>
      <c r="Z1736" s="102" t="n"/>
      <c r="AA1736" s="102" t="n"/>
      <c r="AB1736" s="102" t="n"/>
      <c r="AC1736" s="102" t="n"/>
      <c r="AD1736" s="102" t="n"/>
      <c r="AE1736" s="102" t="n"/>
      <c r="AF1736" s="102" t="n"/>
      <c r="AG1736" s="102" t="n"/>
      <c r="AH1736" s="102" t="n"/>
      <c r="AI1736" s="102" t="n"/>
      <c r="AJ1736" s="102" t="n"/>
      <c r="AK1736" s="102" t="n"/>
      <c r="AL1736" s="102" t="n"/>
      <c r="AM1736" s="102" t="n"/>
      <c r="AN1736" s="102" t="n"/>
      <c r="AO1736" s="102" t="n"/>
      <c r="AP1736" s="102" t="n"/>
      <c r="AQ1736" s="102" t="n"/>
      <c r="AR1736" s="102" t="n"/>
    </row>
    <row r="1737">
      <c r="D1737" s="102" t="n"/>
      <c r="E1737" s="102" t="n"/>
      <c r="F1737" s="102" t="n"/>
      <c r="G1737" s="102" t="n"/>
      <c r="H1737" s="102" t="n"/>
      <c r="I1737" s="102" t="n"/>
      <c r="J1737" s="102" t="n"/>
      <c r="K1737" s="102" t="n"/>
      <c r="L1737" s="102" t="n"/>
      <c r="M1737" s="102" t="n"/>
      <c r="N1737" s="102" t="n"/>
      <c r="O1737" s="102" t="n"/>
      <c r="P1737" s="102" t="n"/>
      <c r="Q1737" s="102" t="n"/>
      <c r="R1737" s="102" t="n"/>
      <c r="S1737" s="102" t="n"/>
      <c r="T1737" s="102" t="n"/>
      <c r="U1737" s="102" t="n"/>
      <c r="V1737" s="102" t="n"/>
      <c r="W1737" s="102" t="n"/>
      <c r="X1737" s="102" t="n"/>
      <c r="Y1737" s="102" t="n"/>
      <c r="Z1737" s="102" t="n"/>
      <c r="AA1737" s="102" t="n"/>
      <c r="AB1737" s="102" t="n"/>
      <c r="AC1737" s="102" t="n"/>
      <c r="AD1737" s="102" t="n"/>
      <c r="AE1737" s="102" t="n"/>
      <c r="AF1737" s="102" t="n"/>
      <c r="AG1737" s="102" t="n"/>
      <c r="AH1737" s="102" t="n"/>
      <c r="AI1737" s="102" t="n"/>
      <c r="AJ1737" s="102" t="n"/>
      <c r="AK1737" s="102" t="n"/>
      <c r="AL1737" s="102" t="n"/>
      <c r="AM1737" s="102" t="n"/>
      <c r="AN1737" s="102" t="n"/>
      <c r="AO1737" s="102" t="n"/>
      <c r="AP1737" s="102" t="n"/>
      <c r="AQ1737" s="102" t="n"/>
      <c r="AR1737" s="102" t="n"/>
    </row>
    <row r="1738">
      <c r="D1738" s="102" t="n"/>
      <c r="E1738" s="102" t="n"/>
      <c r="F1738" s="102" t="n"/>
      <c r="G1738" s="102" t="n"/>
      <c r="H1738" s="102" t="n"/>
      <c r="I1738" s="102" t="n"/>
      <c r="J1738" s="102" t="n"/>
      <c r="K1738" s="102" t="n"/>
      <c r="L1738" s="102" t="n"/>
      <c r="M1738" s="102" t="n"/>
      <c r="N1738" s="102" t="n"/>
      <c r="O1738" s="102" t="n"/>
      <c r="P1738" s="102" t="n"/>
      <c r="Q1738" s="102" t="n"/>
      <c r="R1738" s="102" t="n"/>
      <c r="S1738" s="102" t="n"/>
      <c r="T1738" s="102" t="n"/>
      <c r="U1738" s="102" t="n"/>
      <c r="V1738" s="102" t="n"/>
      <c r="W1738" s="102" t="n"/>
      <c r="X1738" s="102" t="n"/>
      <c r="Y1738" s="102" t="n"/>
      <c r="Z1738" s="102" t="n"/>
      <c r="AA1738" s="102" t="n"/>
      <c r="AB1738" s="102" t="n"/>
      <c r="AC1738" s="102" t="n"/>
      <c r="AD1738" s="102" t="n"/>
      <c r="AE1738" s="102" t="n"/>
      <c r="AF1738" s="102" t="n"/>
      <c r="AG1738" s="102" t="n"/>
      <c r="AH1738" s="102" t="n"/>
      <c r="AI1738" s="102" t="n"/>
      <c r="AJ1738" s="102" t="n"/>
      <c r="AK1738" s="102" t="n"/>
      <c r="AL1738" s="102" t="n"/>
      <c r="AM1738" s="102" t="n"/>
      <c r="AN1738" s="102" t="n"/>
      <c r="AO1738" s="102" t="n"/>
      <c r="AP1738" s="102" t="n"/>
      <c r="AQ1738" s="102" t="n"/>
      <c r="AR1738" s="102" t="n"/>
    </row>
    <row r="1739">
      <c r="D1739" s="102" t="n"/>
      <c r="E1739" s="102" t="n"/>
      <c r="F1739" s="102" t="n"/>
      <c r="G1739" s="102" t="n"/>
      <c r="H1739" s="102" t="n"/>
      <c r="I1739" s="102" t="n"/>
      <c r="J1739" s="102" t="n"/>
      <c r="K1739" s="102" t="n"/>
      <c r="L1739" s="102" t="n"/>
      <c r="M1739" s="102" t="n"/>
      <c r="N1739" s="102" t="n"/>
      <c r="O1739" s="102" t="n"/>
      <c r="P1739" s="102" t="n"/>
      <c r="Q1739" s="102" t="n"/>
      <c r="R1739" s="102" t="n"/>
      <c r="S1739" s="102" t="n"/>
      <c r="T1739" s="102" t="n"/>
      <c r="U1739" s="102" t="n"/>
      <c r="V1739" s="102" t="n"/>
      <c r="W1739" s="102" t="n"/>
      <c r="X1739" s="102" t="n"/>
      <c r="Y1739" s="102" t="n"/>
      <c r="Z1739" s="102" t="n"/>
      <c r="AA1739" s="102" t="n"/>
      <c r="AB1739" s="102" t="n"/>
      <c r="AC1739" s="102" t="n"/>
      <c r="AD1739" s="102" t="n"/>
      <c r="AE1739" s="102" t="n"/>
      <c r="AF1739" s="102" t="n"/>
      <c r="AG1739" s="102" t="n"/>
      <c r="AH1739" s="102" t="n"/>
      <c r="AI1739" s="102" t="n"/>
      <c r="AJ1739" s="102" t="n"/>
      <c r="AK1739" s="102" t="n"/>
      <c r="AL1739" s="102" t="n"/>
      <c r="AM1739" s="102" t="n"/>
      <c r="AN1739" s="102" t="n"/>
      <c r="AO1739" s="102" t="n"/>
      <c r="AP1739" s="102" t="n"/>
      <c r="AQ1739" s="102" t="n"/>
      <c r="AR1739" s="102" t="n"/>
    </row>
    <row r="1740">
      <c r="D1740" s="103" t="n"/>
      <c r="E1740" s="103" t="n"/>
      <c r="F1740" s="103" t="n"/>
      <c r="G1740" s="103" t="n"/>
      <c r="H1740" s="103" t="n"/>
      <c r="I1740" s="103" t="n"/>
      <c r="J1740" s="103" t="n"/>
      <c r="K1740" s="103" t="n"/>
      <c r="L1740" s="103" t="n"/>
      <c r="M1740" s="103" t="n"/>
      <c r="N1740" s="103" t="n"/>
      <c r="O1740" s="103" t="n"/>
      <c r="P1740" s="103" t="n"/>
      <c r="Q1740" s="103" t="n"/>
      <c r="R1740" s="103" t="n"/>
      <c r="S1740" s="103" t="n"/>
      <c r="T1740" s="103" t="n"/>
      <c r="U1740" s="103" t="n"/>
      <c r="V1740" s="103" t="n"/>
      <c r="W1740" s="103" t="n"/>
      <c r="X1740" s="103" t="n"/>
      <c r="Y1740" s="103" t="n"/>
      <c r="Z1740" s="103" t="n"/>
      <c r="AA1740" s="103" t="n"/>
      <c r="AB1740" s="103" t="n"/>
      <c r="AC1740" s="103" t="n"/>
      <c r="AD1740" s="103" t="n"/>
      <c r="AE1740" s="103" t="n"/>
      <c r="AF1740" s="103" t="n"/>
      <c r="AG1740" s="103" t="n"/>
      <c r="AH1740" s="103" t="n"/>
      <c r="AI1740" s="103" t="n"/>
      <c r="AJ1740" s="103" t="n"/>
      <c r="AK1740" s="103" t="n"/>
      <c r="AL1740" s="103" t="n"/>
      <c r="AM1740" s="103" t="n"/>
      <c r="AN1740" s="103" t="n"/>
      <c r="AO1740" s="103" t="n"/>
      <c r="AP1740" s="103" t="n"/>
      <c r="AQ1740" s="103" t="n"/>
      <c r="AR1740" s="103" t="n"/>
    </row>
    <row r="1743">
      <c r="A1743" s="2">
        <f>IF($A1736="","","   projections")</f>
        <v/>
      </c>
      <c r="B1743" s="99">
        <f>IF($A1736="",0,COUNT($E1744:$AR1744))</f>
        <v/>
      </c>
      <c r="C1743" s="100">
        <f>IF($B1743=0,0,MAX($E1744:$AR1744))</f>
        <v/>
      </c>
      <c r="D1743" s="101">
        <f>BDS($A1736,FLD_PROJ,"headers=y","startcol=1","endcol=3","dir=h")</f>
        <v/>
      </c>
      <c r="E1743" s="102" t="n"/>
      <c r="F1743" s="102" t="n"/>
      <c r="G1743" s="102" t="n"/>
      <c r="H1743" s="102" t="n"/>
      <c r="I1743" s="102" t="n"/>
      <c r="J1743" s="102" t="n"/>
      <c r="K1743" s="102" t="n"/>
      <c r="L1743" s="102" t="n"/>
      <c r="M1743" s="102" t="n"/>
      <c r="N1743" s="102" t="n"/>
      <c r="O1743" s="102" t="n"/>
      <c r="P1743" s="102" t="n"/>
      <c r="Q1743" s="102" t="n"/>
      <c r="R1743" s="102" t="n"/>
      <c r="S1743" s="102" t="n"/>
      <c r="T1743" s="102" t="n"/>
      <c r="U1743" s="102" t="n"/>
      <c r="V1743" s="102" t="n"/>
      <c r="W1743" s="102" t="n"/>
      <c r="X1743" s="102" t="n"/>
      <c r="Y1743" s="102" t="n"/>
      <c r="Z1743" s="102" t="n"/>
      <c r="AA1743" s="102" t="n"/>
      <c r="AB1743" s="102" t="n"/>
      <c r="AC1743" s="102" t="n"/>
      <c r="AD1743" s="102" t="n"/>
      <c r="AE1743" s="102" t="n"/>
      <c r="AF1743" s="102" t="n"/>
      <c r="AG1743" s="102" t="n"/>
      <c r="AH1743" s="102" t="n"/>
      <c r="AI1743" s="102" t="n"/>
      <c r="AJ1743" s="102" t="n"/>
      <c r="AK1743" s="102" t="n"/>
      <c r="AL1743" s="102" t="n"/>
      <c r="AM1743" s="102" t="n"/>
      <c r="AN1743" s="102" t="n"/>
      <c r="AO1743" s="102" t="n"/>
      <c r="AP1743" s="102" t="n"/>
      <c r="AQ1743" s="102" t="n"/>
      <c r="AR1743" s="102" t="n"/>
    </row>
    <row r="1744">
      <c r="D1744" s="102" t="n"/>
      <c r="E1744" s="102" t="n"/>
      <c r="F1744" s="102" t="n"/>
      <c r="G1744" s="102" t="n"/>
      <c r="H1744" s="102" t="n"/>
      <c r="I1744" s="102" t="n"/>
      <c r="J1744" s="102" t="n"/>
      <c r="K1744" s="102" t="n"/>
      <c r="L1744" s="102" t="n"/>
      <c r="M1744" s="102" t="n"/>
      <c r="N1744" s="102" t="n"/>
      <c r="O1744" s="102" t="n"/>
      <c r="P1744" s="102" t="n"/>
      <c r="Q1744" s="102" t="n"/>
      <c r="R1744" s="102" t="n"/>
      <c r="S1744" s="102" t="n"/>
      <c r="T1744" s="102" t="n"/>
      <c r="U1744" s="102" t="n"/>
      <c r="V1744" s="102" t="n"/>
      <c r="W1744" s="102" t="n"/>
      <c r="X1744" s="102" t="n"/>
      <c r="Y1744" s="102" t="n"/>
      <c r="Z1744" s="102" t="n"/>
      <c r="AA1744" s="102" t="n"/>
      <c r="AB1744" s="102" t="n"/>
      <c r="AC1744" s="102" t="n"/>
      <c r="AD1744" s="102" t="n"/>
      <c r="AE1744" s="102" t="n"/>
      <c r="AF1744" s="102" t="n"/>
      <c r="AG1744" s="102" t="n"/>
      <c r="AH1744" s="102" t="n"/>
      <c r="AI1744" s="102" t="n"/>
      <c r="AJ1744" s="102" t="n"/>
      <c r="AK1744" s="102" t="n"/>
      <c r="AL1744" s="102" t="n"/>
      <c r="AM1744" s="102" t="n"/>
      <c r="AN1744" s="102" t="n"/>
      <c r="AO1744" s="102" t="n"/>
      <c r="AP1744" s="102" t="n"/>
      <c r="AQ1744" s="102" t="n"/>
      <c r="AR1744" s="102" t="n"/>
    </row>
    <row r="1745">
      <c r="D1745" s="103" t="n"/>
      <c r="E1745" s="103" t="n"/>
      <c r="F1745" s="103" t="n"/>
      <c r="G1745" s="103" t="n"/>
      <c r="H1745" s="103" t="n"/>
      <c r="I1745" s="103" t="n"/>
      <c r="J1745" s="103" t="n"/>
      <c r="K1745" s="103" t="n"/>
      <c r="L1745" s="103" t="n"/>
      <c r="M1745" s="103" t="n"/>
      <c r="N1745" s="103" t="n"/>
      <c r="O1745" s="103" t="n"/>
      <c r="P1745" s="103" t="n"/>
      <c r="Q1745" s="103" t="n"/>
      <c r="R1745" s="103" t="n"/>
      <c r="S1745" s="103" t="n"/>
      <c r="T1745" s="103" t="n"/>
      <c r="U1745" s="103" t="n"/>
      <c r="V1745" s="103" t="n"/>
      <c r="W1745" s="103" t="n"/>
      <c r="X1745" s="103" t="n"/>
      <c r="Y1745" s="103" t="n"/>
      <c r="Z1745" s="103" t="n"/>
      <c r="AA1745" s="103" t="n"/>
      <c r="AB1745" s="103" t="n"/>
      <c r="AC1745" s="103" t="n"/>
      <c r="AD1745" s="103" t="n"/>
      <c r="AE1745" s="103" t="n"/>
      <c r="AF1745" s="103" t="n"/>
      <c r="AG1745" s="103" t="n"/>
      <c r="AH1745" s="103" t="n"/>
      <c r="AI1745" s="103" t="n"/>
      <c r="AJ1745" s="103" t="n"/>
      <c r="AK1745" s="103" t="n"/>
      <c r="AL1745" s="103" t="n"/>
      <c r="AM1745" s="103" t="n"/>
      <c r="AN1745" s="103" t="n"/>
      <c r="AO1745" s="103" t="n"/>
      <c r="AP1745" s="103" t="n"/>
      <c r="AQ1745" s="103" t="n"/>
      <c r="AR1745" s="103" t="n"/>
    </row>
    <row r="1747">
      <c r="A1747" s="8">
        <f>IF(HSCEI!$C$24="","",HSCEI!$C$24)</f>
        <v/>
      </c>
      <c r="B1747" s="99">
        <f>IF($A1747="",0,COUNT($E1748:$AR1748))</f>
        <v/>
      </c>
      <c r="C1747" s="100">
        <f>IF($B1747=0,0,MAX($E1748:$AR1748))</f>
        <v/>
      </c>
      <c r="D1747" s="101">
        <f>BDS($A1747,FLD_HIST,"headers=y","startcol=1","endcol=7","dir=h","DVD_START_DT",HIST_FROM,"DVD_END_DT",HIST_TO)</f>
        <v/>
      </c>
      <c r="E1747" s="102" t="n"/>
      <c r="F1747" s="102" t="n"/>
      <c r="G1747" s="102" t="n"/>
      <c r="H1747" s="102" t="n"/>
      <c r="I1747" s="102" t="n"/>
      <c r="J1747" s="102" t="n"/>
      <c r="K1747" s="102" t="n"/>
      <c r="L1747" s="102" t="n"/>
      <c r="M1747" s="102" t="n"/>
      <c r="N1747" s="102" t="n"/>
      <c r="O1747" s="102" t="n"/>
      <c r="P1747" s="102" t="n"/>
      <c r="Q1747" s="102" t="n"/>
      <c r="R1747" s="102" t="n"/>
      <c r="S1747" s="102" t="n"/>
      <c r="T1747" s="102" t="n"/>
      <c r="U1747" s="102" t="n"/>
      <c r="V1747" s="102" t="n"/>
      <c r="W1747" s="102" t="n"/>
      <c r="X1747" s="102" t="n"/>
      <c r="Y1747" s="102" t="n"/>
      <c r="Z1747" s="102" t="n"/>
      <c r="AA1747" s="102" t="n"/>
      <c r="AB1747" s="102" t="n"/>
      <c r="AC1747" s="102" t="n"/>
      <c r="AD1747" s="102" t="n"/>
      <c r="AE1747" s="102" t="n"/>
      <c r="AF1747" s="102" t="n"/>
      <c r="AG1747" s="102" t="n"/>
      <c r="AH1747" s="102" t="n"/>
      <c r="AI1747" s="102" t="n"/>
      <c r="AJ1747" s="102" t="n"/>
      <c r="AK1747" s="102" t="n"/>
      <c r="AL1747" s="102" t="n"/>
      <c r="AM1747" s="102" t="n"/>
      <c r="AN1747" s="102" t="n"/>
      <c r="AO1747" s="102" t="n"/>
      <c r="AP1747" s="102" t="n"/>
      <c r="AQ1747" s="102" t="n"/>
      <c r="AR1747" s="102" t="n"/>
    </row>
    <row r="1748">
      <c r="D1748" s="102" t="n"/>
      <c r="E1748" s="102" t="n"/>
      <c r="F1748" s="102" t="n"/>
      <c r="G1748" s="102" t="n"/>
      <c r="H1748" s="102" t="n"/>
      <c r="I1748" s="102" t="n"/>
      <c r="J1748" s="102" t="n"/>
      <c r="K1748" s="102" t="n"/>
      <c r="L1748" s="102" t="n"/>
      <c r="M1748" s="102" t="n"/>
      <c r="N1748" s="102" t="n"/>
      <c r="O1748" s="102" t="n"/>
      <c r="P1748" s="102" t="n"/>
      <c r="Q1748" s="102" t="n"/>
      <c r="R1748" s="102" t="n"/>
      <c r="S1748" s="102" t="n"/>
      <c r="T1748" s="102" t="n"/>
      <c r="U1748" s="102" t="n"/>
      <c r="V1748" s="102" t="n"/>
      <c r="W1748" s="102" t="n"/>
      <c r="X1748" s="102" t="n"/>
      <c r="Y1748" s="102" t="n"/>
      <c r="Z1748" s="102" t="n"/>
      <c r="AA1748" s="102" t="n"/>
      <c r="AB1748" s="102" t="n"/>
      <c r="AC1748" s="102" t="n"/>
      <c r="AD1748" s="102" t="n"/>
      <c r="AE1748" s="102" t="n"/>
      <c r="AF1748" s="102" t="n"/>
      <c r="AG1748" s="102" t="n"/>
      <c r="AH1748" s="102" t="n"/>
      <c r="AI1748" s="102" t="n"/>
      <c r="AJ1748" s="102" t="n"/>
      <c r="AK1748" s="102" t="n"/>
      <c r="AL1748" s="102" t="n"/>
      <c r="AM1748" s="102" t="n"/>
      <c r="AN1748" s="102" t="n"/>
      <c r="AO1748" s="102" t="n"/>
      <c r="AP1748" s="102" t="n"/>
      <c r="AQ1748" s="102" t="n"/>
      <c r="AR1748" s="102" t="n"/>
    </row>
    <row r="1749">
      <c r="D1749" s="102" t="n"/>
      <c r="E1749" s="102" t="n"/>
      <c r="F1749" s="102" t="n"/>
      <c r="G1749" s="102" t="n"/>
      <c r="H1749" s="102" t="n"/>
      <c r="I1749" s="102" t="n"/>
      <c r="J1749" s="102" t="n"/>
      <c r="K1749" s="102" t="n"/>
      <c r="L1749" s="102" t="n"/>
      <c r="M1749" s="102" t="n"/>
      <c r="N1749" s="102" t="n"/>
      <c r="O1749" s="102" t="n"/>
      <c r="P1749" s="102" t="n"/>
      <c r="Q1749" s="102" t="n"/>
      <c r="R1749" s="102" t="n"/>
      <c r="S1749" s="102" t="n"/>
      <c r="T1749" s="102" t="n"/>
      <c r="U1749" s="102" t="n"/>
      <c r="V1749" s="102" t="n"/>
      <c r="W1749" s="102" t="n"/>
      <c r="X1749" s="102" t="n"/>
      <c r="Y1749" s="102" t="n"/>
      <c r="Z1749" s="102" t="n"/>
      <c r="AA1749" s="102" t="n"/>
      <c r="AB1749" s="102" t="n"/>
      <c r="AC1749" s="102" t="n"/>
      <c r="AD1749" s="102" t="n"/>
      <c r="AE1749" s="102" t="n"/>
      <c r="AF1749" s="102" t="n"/>
      <c r="AG1749" s="102" t="n"/>
      <c r="AH1749" s="102" t="n"/>
      <c r="AI1749" s="102" t="n"/>
      <c r="AJ1749" s="102" t="n"/>
      <c r="AK1749" s="102" t="n"/>
      <c r="AL1749" s="102" t="n"/>
      <c r="AM1749" s="102" t="n"/>
      <c r="AN1749" s="102" t="n"/>
      <c r="AO1749" s="102" t="n"/>
      <c r="AP1749" s="102" t="n"/>
      <c r="AQ1749" s="102" t="n"/>
      <c r="AR1749" s="102" t="n"/>
    </row>
    <row r="1750">
      <c r="D1750" s="102" t="n"/>
      <c r="E1750" s="102" t="n"/>
      <c r="F1750" s="102" t="n"/>
      <c r="G1750" s="102" t="n"/>
      <c r="H1750" s="102" t="n"/>
      <c r="I1750" s="102" t="n"/>
      <c r="J1750" s="102" t="n"/>
      <c r="K1750" s="102" t="n"/>
      <c r="L1750" s="102" t="n"/>
      <c r="M1750" s="102" t="n"/>
      <c r="N1750" s="102" t="n"/>
      <c r="O1750" s="102" t="n"/>
      <c r="P1750" s="102" t="n"/>
      <c r="Q1750" s="102" t="n"/>
      <c r="R1750" s="102" t="n"/>
      <c r="S1750" s="102" t="n"/>
      <c r="T1750" s="102" t="n"/>
      <c r="U1750" s="102" t="n"/>
      <c r="V1750" s="102" t="n"/>
      <c r="W1750" s="102" t="n"/>
      <c r="X1750" s="102" t="n"/>
      <c r="Y1750" s="102" t="n"/>
      <c r="Z1750" s="102" t="n"/>
      <c r="AA1750" s="102" t="n"/>
      <c r="AB1750" s="102" t="n"/>
      <c r="AC1750" s="102" t="n"/>
      <c r="AD1750" s="102" t="n"/>
      <c r="AE1750" s="102" t="n"/>
      <c r="AF1750" s="102" t="n"/>
      <c r="AG1750" s="102" t="n"/>
      <c r="AH1750" s="102" t="n"/>
      <c r="AI1750" s="102" t="n"/>
      <c r="AJ1750" s="102" t="n"/>
      <c r="AK1750" s="102" t="n"/>
      <c r="AL1750" s="102" t="n"/>
      <c r="AM1750" s="102" t="n"/>
      <c r="AN1750" s="102" t="n"/>
      <c r="AO1750" s="102" t="n"/>
      <c r="AP1750" s="102" t="n"/>
      <c r="AQ1750" s="102" t="n"/>
      <c r="AR1750" s="102" t="n"/>
    </row>
    <row r="1751">
      <c r="D1751" s="103" t="n"/>
      <c r="E1751" s="103" t="n"/>
      <c r="F1751" s="103" t="n"/>
      <c r="G1751" s="103" t="n"/>
      <c r="H1751" s="103" t="n"/>
      <c r="I1751" s="103" t="n"/>
      <c r="J1751" s="103" t="n"/>
      <c r="K1751" s="103" t="n"/>
      <c r="L1751" s="103" t="n"/>
      <c r="M1751" s="103" t="n"/>
      <c r="N1751" s="103" t="n"/>
      <c r="O1751" s="103" t="n"/>
      <c r="P1751" s="103" t="n"/>
      <c r="Q1751" s="103" t="n"/>
      <c r="R1751" s="103" t="n"/>
      <c r="S1751" s="103" t="n"/>
      <c r="T1751" s="103" t="n"/>
      <c r="U1751" s="103" t="n"/>
      <c r="V1751" s="103" t="n"/>
      <c r="W1751" s="103" t="n"/>
      <c r="X1751" s="103" t="n"/>
      <c r="Y1751" s="103" t="n"/>
      <c r="Z1751" s="103" t="n"/>
      <c r="AA1751" s="103" t="n"/>
      <c r="AB1751" s="103" t="n"/>
      <c r="AC1751" s="103" t="n"/>
      <c r="AD1751" s="103" t="n"/>
      <c r="AE1751" s="103" t="n"/>
      <c r="AF1751" s="103" t="n"/>
      <c r="AG1751" s="103" t="n"/>
      <c r="AH1751" s="103" t="n"/>
      <c r="AI1751" s="103" t="n"/>
      <c r="AJ1751" s="103" t="n"/>
      <c r="AK1751" s="103" t="n"/>
      <c r="AL1751" s="103" t="n"/>
      <c r="AM1751" s="103" t="n"/>
      <c r="AN1751" s="103" t="n"/>
      <c r="AO1751" s="103" t="n"/>
      <c r="AP1751" s="103" t="n"/>
      <c r="AQ1751" s="103" t="n"/>
      <c r="AR1751" s="103" t="n"/>
    </row>
    <row r="1754">
      <c r="A1754" s="2">
        <f>IF($A1747="","","   projections")</f>
        <v/>
      </c>
      <c r="B1754" s="99">
        <f>IF($A1747="",0,COUNT($E1755:$AR1755))</f>
        <v/>
      </c>
      <c r="C1754" s="100">
        <f>IF($B1754=0,0,MAX($E1755:$AR1755))</f>
        <v/>
      </c>
      <c r="D1754" s="101">
        <f>BDS($A1747,FLD_PROJ,"headers=y","startcol=1","endcol=3","dir=h")</f>
        <v/>
      </c>
      <c r="E1754" s="102" t="n"/>
      <c r="F1754" s="102" t="n"/>
      <c r="G1754" s="102" t="n"/>
      <c r="H1754" s="102" t="n"/>
      <c r="I1754" s="102" t="n"/>
      <c r="J1754" s="102" t="n"/>
      <c r="K1754" s="102" t="n"/>
      <c r="L1754" s="102" t="n"/>
      <c r="M1754" s="102" t="n"/>
      <c r="N1754" s="102" t="n"/>
      <c r="O1754" s="102" t="n"/>
      <c r="P1754" s="102" t="n"/>
      <c r="Q1754" s="102" t="n"/>
      <c r="R1754" s="102" t="n"/>
      <c r="S1754" s="102" t="n"/>
      <c r="T1754" s="102" t="n"/>
      <c r="U1754" s="102" t="n"/>
      <c r="V1754" s="102" t="n"/>
      <c r="W1754" s="102" t="n"/>
      <c r="X1754" s="102" t="n"/>
      <c r="Y1754" s="102" t="n"/>
      <c r="Z1754" s="102" t="n"/>
      <c r="AA1754" s="102" t="n"/>
      <c r="AB1754" s="102" t="n"/>
      <c r="AC1754" s="102" t="n"/>
      <c r="AD1754" s="102" t="n"/>
      <c r="AE1754" s="102" t="n"/>
      <c r="AF1754" s="102" t="n"/>
      <c r="AG1754" s="102" t="n"/>
      <c r="AH1754" s="102" t="n"/>
      <c r="AI1754" s="102" t="n"/>
      <c r="AJ1754" s="102" t="n"/>
      <c r="AK1754" s="102" t="n"/>
      <c r="AL1754" s="102" t="n"/>
      <c r="AM1754" s="102" t="n"/>
      <c r="AN1754" s="102" t="n"/>
      <c r="AO1754" s="102" t="n"/>
      <c r="AP1754" s="102" t="n"/>
      <c r="AQ1754" s="102" t="n"/>
      <c r="AR1754" s="102" t="n"/>
    </row>
    <row r="1755">
      <c r="D1755" s="102" t="n"/>
      <c r="E1755" s="102" t="n"/>
      <c r="F1755" s="102" t="n"/>
      <c r="G1755" s="102" t="n"/>
      <c r="H1755" s="102" t="n"/>
      <c r="I1755" s="102" t="n"/>
      <c r="J1755" s="102" t="n"/>
      <c r="K1755" s="102" t="n"/>
      <c r="L1755" s="102" t="n"/>
      <c r="M1755" s="102" t="n"/>
      <c r="N1755" s="102" t="n"/>
      <c r="O1755" s="102" t="n"/>
      <c r="P1755" s="102" t="n"/>
      <c r="Q1755" s="102" t="n"/>
      <c r="R1755" s="102" t="n"/>
      <c r="S1755" s="102" t="n"/>
      <c r="T1755" s="102" t="n"/>
      <c r="U1755" s="102" t="n"/>
      <c r="V1755" s="102" t="n"/>
      <c r="W1755" s="102" t="n"/>
      <c r="X1755" s="102" t="n"/>
      <c r="Y1755" s="102" t="n"/>
      <c r="Z1755" s="102" t="n"/>
      <c r="AA1755" s="102" t="n"/>
      <c r="AB1755" s="102" t="n"/>
      <c r="AC1755" s="102" t="n"/>
      <c r="AD1755" s="102" t="n"/>
      <c r="AE1755" s="102" t="n"/>
      <c r="AF1755" s="102" t="n"/>
      <c r="AG1755" s="102" t="n"/>
      <c r="AH1755" s="102" t="n"/>
      <c r="AI1755" s="102" t="n"/>
      <c r="AJ1755" s="102" t="n"/>
      <c r="AK1755" s="102" t="n"/>
      <c r="AL1755" s="102" t="n"/>
      <c r="AM1755" s="102" t="n"/>
      <c r="AN1755" s="102" t="n"/>
      <c r="AO1755" s="102" t="n"/>
      <c r="AP1755" s="102" t="n"/>
      <c r="AQ1755" s="102" t="n"/>
      <c r="AR1755" s="102" t="n"/>
    </row>
    <row r="1756">
      <c r="D1756" s="103" t="n"/>
      <c r="E1756" s="103" t="n"/>
      <c r="F1756" s="103" t="n"/>
      <c r="G1756" s="103" t="n"/>
      <c r="H1756" s="103" t="n"/>
      <c r="I1756" s="103" t="n"/>
      <c r="J1756" s="103" t="n"/>
      <c r="K1756" s="103" t="n"/>
      <c r="L1756" s="103" t="n"/>
      <c r="M1756" s="103" t="n"/>
      <c r="N1756" s="103" t="n"/>
      <c r="O1756" s="103" t="n"/>
      <c r="P1756" s="103" t="n"/>
      <c r="Q1756" s="103" t="n"/>
      <c r="R1756" s="103" t="n"/>
      <c r="S1756" s="103" t="n"/>
      <c r="T1756" s="103" t="n"/>
      <c r="U1756" s="103" t="n"/>
      <c r="V1756" s="103" t="n"/>
      <c r="W1756" s="103" t="n"/>
      <c r="X1756" s="103" t="n"/>
      <c r="Y1756" s="103" t="n"/>
      <c r="Z1756" s="103" t="n"/>
      <c r="AA1756" s="103" t="n"/>
      <c r="AB1756" s="103" t="n"/>
      <c r="AC1756" s="103" t="n"/>
      <c r="AD1756" s="103" t="n"/>
      <c r="AE1756" s="103" t="n"/>
      <c r="AF1756" s="103" t="n"/>
      <c r="AG1756" s="103" t="n"/>
      <c r="AH1756" s="103" t="n"/>
      <c r="AI1756" s="103" t="n"/>
      <c r="AJ1756" s="103" t="n"/>
      <c r="AK1756" s="103" t="n"/>
      <c r="AL1756" s="103" t="n"/>
      <c r="AM1756" s="103" t="n"/>
      <c r="AN1756" s="103" t="n"/>
      <c r="AO1756" s="103" t="n"/>
      <c r="AP1756" s="103" t="n"/>
      <c r="AQ1756" s="103" t="n"/>
      <c r="AR1756" s="103" t="n"/>
    </row>
    <row r="1758">
      <c r="A1758" s="8">
        <f>IF(HSCEI!$C$25="","",HSCEI!$C$25)</f>
        <v/>
      </c>
      <c r="B1758" s="99">
        <f>IF($A1758="",0,COUNT($E1759:$AR1759))</f>
        <v/>
      </c>
      <c r="C1758" s="100">
        <f>IF($B1758=0,0,MAX($E1759:$AR1759))</f>
        <v/>
      </c>
      <c r="D1758" s="101">
        <f>BDS($A1758,FLD_HIST,"headers=y","startcol=1","endcol=7","dir=h","DVD_START_DT",HIST_FROM,"DVD_END_DT",HIST_TO)</f>
        <v/>
      </c>
      <c r="E1758" s="102" t="n"/>
      <c r="F1758" s="102" t="n"/>
      <c r="G1758" s="102" t="n"/>
      <c r="H1758" s="102" t="n"/>
      <c r="I1758" s="102" t="n"/>
      <c r="J1758" s="102" t="n"/>
      <c r="K1758" s="102" t="n"/>
      <c r="L1758" s="102" t="n"/>
      <c r="M1758" s="102" t="n"/>
      <c r="N1758" s="102" t="n"/>
      <c r="O1758" s="102" t="n"/>
      <c r="P1758" s="102" t="n"/>
      <c r="Q1758" s="102" t="n"/>
      <c r="R1758" s="102" t="n"/>
      <c r="S1758" s="102" t="n"/>
      <c r="T1758" s="102" t="n"/>
      <c r="U1758" s="102" t="n"/>
      <c r="V1758" s="102" t="n"/>
      <c r="W1758" s="102" t="n"/>
      <c r="X1758" s="102" t="n"/>
      <c r="Y1758" s="102" t="n"/>
      <c r="Z1758" s="102" t="n"/>
      <c r="AA1758" s="102" t="n"/>
      <c r="AB1758" s="102" t="n"/>
      <c r="AC1758" s="102" t="n"/>
      <c r="AD1758" s="102" t="n"/>
      <c r="AE1758" s="102" t="n"/>
      <c r="AF1758" s="102" t="n"/>
      <c r="AG1758" s="102" t="n"/>
      <c r="AH1758" s="102" t="n"/>
      <c r="AI1758" s="102" t="n"/>
      <c r="AJ1758" s="102" t="n"/>
      <c r="AK1758" s="102" t="n"/>
      <c r="AL1758" s="102" t="n"/>
      <c r="AM1758" s="102" t="n"/>
      <c r="AN1758" s="102" t="n"/>
      <c r="AO1758" s="102" t="n"/>
      <c r="AP1758" s="102" t="n"/>
      <c r="AQ1758" s="102" t="n"/>
      <c r="AR1758" s="102" t="n"/>
    </row>
    <row r="1759">
      <c r="D1759" s="102" t="n"/>
      <c r="E1759" s="102" t="n"/>
      <c r="F1759" s="102" t="n"/>
      <c r="G1759" s="102" t="n"/>
      <c r="H1759" s="102" t="n"/>
      <c r="I1759" s="102" t="n"/>
      <c r="J1759" s="102" t="n"/>
      <c r="K1759" s="102" t="n"/>
      <c r="L1759" s="102" t="n"/>
      <c r="M1759" s="102" t="n"/>
      <c r="N1759" s="102" t="n"/>
      <c r="O1759" s="102" t="n"/>
      <c r="P1759" s="102" t="n"/>
      <c r="Q1759" s="102" t="n"/>
      <c r="R1759" s="102" t="n"/>
      <c r="S1759" s="102" t="n"/>
      <c r="T1759" s="102" t="n"/>
      <c r="U1759" s="102" t="n"/>
      <c r="V1759" s="102" t="n"/>
      <c r="W1759" s="102" t="n"/>
      <c r="X1759" s="102" t="n"/>
      <c r="Y1759" s="102" t="n"/>
      <c r="Z1759" s="102" t="n"/>
      <c r="AA1759" s="102" t="n"/>
      <c r="AB1759" s="102" t="n"/>
      <c r="AC1759" s="102" t="n"/>
      <c r="AD1759" s="102" t="n"/>
      <c r="AE1759" s="102" t="n"/>
      <c r="AF1759" s="102" t="n"/>
      <c r="AG1759" s="102" t="n"/>
      <c r="AH1759" s="102" t="n"/>
      <c r="AI1759" s="102" t="n"/>
      <c r="AJ1759" s="102" t="n"/>
      <c r="AK1759" s="102" t="n"/>
      <c r="AL1759" s="102" t="n"/>
      <c r="AM1759" s="102" t="n"/>
      <c r="AN1759" s="102" t="n"/>
      <c r="AO1759" s="102" t="n"/>
      <c r="AP1759" s="102" t="n"/>
      <c r="AQ1759" s="102" t="n"/>
      <c r="AR1759" s="102" t="n"/>
    </row>
    <row r="1760">
      <c r="D1760" s="102" t="n"/>
      <c r="E1760" s="102" t="n"/>
      <c r="F1760" s="102" t="n"/>
      <c r="G1760" s="102" t="n"/>
      <c r="H1760" s="102" t="n"/>
      <c r="I1760" s="102" t="n"/>
      <c r="J1760" s="102" t="n"/>
      <c r="K1760" s="102" t="n"/>
      <c r="L1760" s="102" t="n"/>
      <c r="M1760" s="102" t="n"/>
      <c r="N1760" s="102" t="n"/>
      <c r="O1760" s="102" t="n"/>
      <c r="P1760" s="102" t="n"/>
      <c r="Q1760" s="102" t="n"/>
      <c r="R1760" s="102" t="n"/>
      <c r="S1760" s="102" t="n"/>
      <c r="T1760" s="102" t="n"/>
      <c r="U1760" s="102" t="n"/>
      <c r="V1760" s="102" t="n"/>
      <c r="W1760" s="102" t="n"/>
      <c r="X1760" s="102" t="n"/>
      <c r="Y1760" s="102" t="n"/>
      <c r="Z1760" s="102" t="n"/>
      <c r="AA1760" s="102" t="n"/>
      <c r="AB1760" s="102" t="n"/>
      <c r="AC1760" s="102" t="n"/>
      <c r="AD1760" s="102" t="n"/>
      <c r="AE1760" s="102" t="n"/>
      <c r="AF1760" s="102" t="n"/>
      <c r="AG1760" s="102" t="n"/>
      <c r="AH1760" s="102" t="n"/>
      <c r="AI1760" s="102" t="n"/>
      <c r="AJ1760" s="102" t="n"/>
      <c r="AK1760" s="102" t="n"/>
      <c r="AL1760" s="102" t="n"/>
      <c r="AM1760" s="102" t="n"/>
      <c r="AN1760" s="102" t="n"/>
      <c r="AO1760" s="102" t="n"/>
      <c r="AP1760" s="102" t="n"/>
      <c r="AQ1760" s="102" t="n"/>
      <c r="AR1760" s="102" t="n"/>
    </row>
    <row r="1761">
      <c r="D1761" s="102" t="n"/>
      <c r="E1761" s="102" t="n"/>
      <c r="F1761" s="102" t="n"/>
      <c r="G1761" s="102" t="n"/>
      <c r="H1761" s="102" t="n"/>
      <c r="I1761" s="102" t="n"/>
      <c r="J1761" s="102" t="n"/>
      <c r="K1761" s="102" t="n"/>
      <c r="L1761" s="102" t="n"/>
      <c r="M1761" s="102" t="n"/>
      <c r="N1761" s="102" t="n"/>
      <c r="O1761" s="102" t="n"/>
      <c r="P1761" s="102" t="n"/>
      <c r="Q1761" s="102" t="n"/>
      <c r="R1761" s="102" t="n"/>
      <c r="S1761" s="102" t="n"/>
      <c r="T1761" s="102" t="n"/>
      <c r="U1761" s="102" t="n"/>
      <c r="V1761" s="102" t="n"/>
      <c r="W1761" s="102" t="n"/>
      <c r="X1761" s="102" t="n"/>
      <c r="Y1761" s="102" t="n"/>
      <c r="Z1761" s="102" t="n"/>
      <c r="AA1761" s="102" t="n"/>
      <c r="AB1761" s="102" t="n"/>
      <c r="AC1761" s="102" t="n"/>
      <c r="AD1761" s="102" t="n"/>
      <c r="AE1761" s="102" t="n"/>
      <c r="AF1761" s="102" t="n"/>
      <c r="AG1761" s="102" t="n"/>
      <c r="AH1761" s="102" t="n"/>
      <c r="AI1761" s="102" t="n"/>
      <c r="AJ1761" s="102" t="n"/>
      <c r="AK1761" s="102" t="n"/>
      <c r="AL1761" s="102" t="n"/>
      <c r="AM1761" s="102" t="n"/>
      <c r="AN1761" s="102" t="n"/>
      <c r="AO1761" s="102" t="n"/>
      <c r="AP1761" s="102" t="n"/>
      <c r="AQ1761" s="102" t="n"/>
      <c r="AR1761" s="102" t="n"/>
    </row>
    <row r="1762">
      <c r="D1762" s="103" t="n"/>
      <c r="E1762" s="103" t="n"/>
      <c r="F1762" s="103" t="n"/>
      <c r="G1762" s="103" t="n"/>
      <c r="H1762" s="103" t="n"/>
      <c r="I1762" s="103" t="n"/>
      <c r="J1762" s="103" t="n"/>
      <c r="K1762" s="103" t="n"/>
      <c r="L1762" s="103" t="n"/>
      <c r="M1762" s="103" t="n"/>
      <c r="N1762" s="103" t="n"/>
      <c r="O1762" s="103" t="n"/>
      <c r="P1762" s="103" t="n"/>
      <c r="Q1762" s="103" t="n"/>
      <c r="R1762" s="103" t="n"/>
      <c r="S1762" s="103" t="n"/>
      <c r="T1762" s="103" t="n"/>
      <c r="U1762" s="103" t="n"/>
      <c r="V1762" s="103" t="n"/>
      <c r="W1762" s="103" t="n"/>
      <c r="X1762" s="103" t="n"/>
      <c r="Y1762" s="103" t="n"/>
      <c r="Z1762" s="103" t="n"/>
      <c r="AA1762" s="103" t="n"/>
      <c r="AB1762" s="103" t="n"/>
      <c r="AC1762" s="103" t="n"/>
      <c r="AD1762" s="103" t="n"/>
      <c r="AE1762" s="103" t="n"/>
      <c r="AF1762" s="103" t="n"/>
      <c r="AG1762" s="103" t="n"/>
      <c r="AH1762" s="103" t="n"/>
      <c r="AI1762" s="103" t="n"/>
      <c r="AJ1762" s="103" t="n"/>
      <c r="AK1762" s="103" t="n"/>
      <c r="AL1762" s="103" t="n"/>
      <c r="AM1762" s="103" t="n"/>
      <c r="AN1762" s="103" t="n"/>
      <c r="AO1762" s="103" t="n"/>
      <c r="AP1762" s="103" t="n"/>
      <c r="AQ1762" s="103" t="n"/>
      <c r="AR1762" s="103" t="n"/>
    </row>
    <row r="1765">
      <c r="A1765" s="2">
        <f>IF($A1758="","","   projections")</f>
        <v/>
      </c>
      <c r="B1765" s="99">
        <f>IF($A1758="",0,COUNT($E1766:$AR1766))</f>
        <v/>
      </c>
      <c r="C1765" s="100">
        <f>IF($B1765=0,0,MAX($E1766:$AR1766))</f>
        <v/>
      </c>
      <c r="D1765" s="101">
        <f>BDS($A1758,FLD_PROJ,"headers=y","startcol=1","endcol=3","dir=h")</f>
        <v/>
      </c>
      <c r="E1765" s="102" t="n"/>
      <c r="F1765" s="102" t="n"/>
      <c r="G1765" s="102" t="n"/>
      <c r="H1765" s="102" t="n"/>
      <c r="I1765" s="102" t="n"/>
      <c r="J1765" s="102" t="n"/>
      <c r="K1765" s="102" t="n"/>
      <c r="L1765" s="102" t="n"/>
      <c r="M1765" s="102" t="n"/>
      <c r="N1765" s="102" t="n"/>
      <c r="O1765" s="102" t="n"/>
      <c r="P1765" s="102" t="n"/>
      <c r="Q1765" s="102" t="n"/>
      <c r="R1765" s="102" t="n"/>
      <c r="S1765" s="102" t="n"/>
      <c r="T1765" s="102" t="n"/>
      <c r="U1765" s="102" t="n"/>
      <c r="V1765" s="102" t="n"/>
      <c r="W1765" s="102" t="n"/>
      <c r="X1765" s="102" t="n"/>
      <c r="Y1765" s="102" t="n"/>
      <c r="Z1765" s="102" t="n"/>
      <c r="AA1765" s="102" t="n"/>
      <c r="AB1765" s="102" t="n"/>
      <c r="AC1765" s="102" t="n"/>
      <c r="AD1765" s="102" t="n"/>
      <c r="AE1765" s="102" t="n"/>
      <c r="AF1765" s="102" t="n"/>
      <c r="AG1765" s="102" t="n"/>
      <c r="AH1765" s="102" t="n"/>
      <c r="AI1765" s="102" t="n"/>
      <c r="AJ1765" s="102" t="n"/>
      <c r="AK1765" s="102" t="n"/>
      <c r="AL1765" s="102" t="n"/>
      <c r="AM1765" s="102" t="n"/>
      <c r="AN1765" s="102" t="n"/>
      <c r="AO1765" s="102" t="n"/>
      <c r="AP1765" s="102" t="n"/>
      <c r="AQ1765" s="102" t="n"/>
      <c r="AR1765" s="102" t="n"/>
    </row>
    <row r="1766">
      <c r="D1766" s="102" t="n"/>
      <c r="E1766" s="102" t="n"/>
      <c r="F1766" s="102" t="n"/>
      <c r="G1766" s="102" t="n"/>
      <c r="H1766" s="102" t="n"/>
      <c r="I1766" s="102" t="n"/>
      <c r="J1766" s="102" t="n"/>
      <c r="K1766" s="102" t="n"/>
      <c r="L1766" s="102" t="n"/>
      <c r="M1766" s="102" t="n"/>
      <c r="N1766" s="102" t="n"/>
      <c r="O1766" s="102" t="n"/>
      <c r="P1766" s="102" t="n"/>
      <c r="Q1766" s="102" t="n"/>
      <c r="R1766" s="102" t="n"/>
      <c r="S1766" s="102" t="n"/>
      <c r="T1766" s="102" t="n"/>
      <c r="U1766" s="102" t="n"/>
      <c r="V1766" s="102" t="n"/>
      <c r="W1766" s="102" t="n"/>
      <c r="X1766" s="102" t="n"/>
      <c r="Y1766" s="102" t="n"/>
      <c r="Z1766" s="102" t="n"/>
      <c r="AA1766" s="102" t="n"/>
      <c r="AB1766" s="102" t="n"/>
      <c r="AC1766" s="102" t="n"/>
      <c r="AD1766" s="102" t="n"/>
      <c r="AE1766" s="102" t="n"/>
      <c r="AF1766" s="102" t="n"/>
      <c r="AG1766" s="102" t="n"/>
      <c r="AH1766" s="102" t="n"/>
      <c r="AI1766" s="102" t="n"/>
      <c r="AJ1766" s="102" t="n"/>
      <c r="AK1766" s="102" t="n"/>
      <c r="AL1766" s="102" t="n"/>
      <c r="AM1766" s="102" t="n"/>
      <c r="AN1766" s="102" t="n"/>
      <c r="AO1766" s="102" t="n"/>
      <c r="AP1766" s="102" t="n"/>
      <c r="AQ1766" s="102" t="n"/>
      <c r="AR1766" s="102" t="n"/>
    </row>
    <row r="1767">
      <c r="D1767" s="103" t="n"/>
      <c r="E1767" s="103" t="n"/>
      <c r="F1767" s="103" t="n"/>
      <c r="G1767" s="103" t="n"/>
      <c r="H1767" s="103" t="n"/>
      <c r="I1767" s="103" t="n"/>
      <c r="J1767" s="103" t="n"/>
      <c r="K1767" s="103" t="n"/>
      <c r="L1767" s="103" t="n"/>
      <c r="M1767" s="103" t="n"/>
      <c r="N1767" s="103" t="n"/>
      <c r="O1767" s="103" t="n"/>
      <c r="P1767" s="103" t="n"/>
      <c r="Q1767" s="103" t="n"/>
      <c r="R1767" s="103" t="n"/>
      <c r="S1767" s="103" t="n"/>
      <c r="T1767" s="103" t="n"/>
      <c r="U1767" s="103" t="n"/>
      <c r="V1767" s="103" t="n"/>
      <c r="W1767" s="103" t="n"/>
      <c r="X1767" s="103" t="n"/>
      <c r="Y1767" s="103" t="n"/>
      <c r="Z1767" s="103" t="n"/>
      <c r="AA1767" s="103" t="n"/>
      <c r="AB1767" s="103" t="n"/>
      <c r="AC1767" s="103" t="n"/>
      <c r="AD1767" s="103" t="n"/>
      <c r="AE1767" s="103" t="n"/>
      <c r="AF1767" s="103" t="n"/>
      <c r="AG1767" s="103" t="n"/>
      <c r="AH1767" s="103" t="n"/>
      <c r="AI1767" s="103" t="n"/>
      <c r="AJ1767" s="103" t="n"/>
      <c r="AK1767" s="103" t="n"/>
      <c r="AL1767" s="103" t="n"/>
      <c r="AM1767" s="103" t="n"/>
      <c r="AN1767" s="103" t="n"/>
      <c r="AO1767" s="103" t="n"/>
      <c r="AP1767" s="103" t="n"/>
      <c r="AQ1767" s="103" t="n"/>
      <c r="AR1767" s="103" t="n"/>
    </row>
    <row r="1769">
      <c r="A1769" s="8">
        <f>IF(HSCEI!$C$26="","",HSCEI!$C$26)</f>
        <v/>
      </c>
      <c r="B1769" s="99">
        <f>IF($A1769="",0,COUNT($E1770:$AR1770))</f>
        <v/>
      </c>
      <c r="C1769" s="100">
        <f>IF($B1769=0,0,MAX($E1770:$AR1770))</f>
        <v/>
      </c>
      <c r="D1769" s="101">
        <f>BDS($A1769,FLD_HIST,"headers=y","startcol=1","endcol=7","dir=h","DVD_START_DT",HIST_FROM,"DVD_END_DT",HIST_TO)</f>
        <v/>
      </c>
      <c r="E1769" s="102" t="n"/>
      <c r="F1769" s="102" t="n"/>
      <c r="G1769" s="102" t="n"/>
      <c r="H1769" s="102" t="n"/>
      <c r="I1769" s="102" t="n"/>
      <c r="J1769" s="102" t="n"/>
      <c r="K1769" s="102" t="n"/>
      <c r="L1769" s="102" t="n"/>
      <c r="M1769" s="102" t="n"/>
      <c r="N1769" s="102" t="n"/>
      <c r="O1769" s="102" t="n"/>
      <c r="P1769" s="102" t="n"/>
      <c r="Q1769" s="102" t="n"/>
      <c r="R1769" s="102" t="n"/>
      <c r="S1769" s="102" t="n"/>
      <c r="T1769" s="102" t="n"/>
      <c r="U1769" s="102" t="n"/>
      <c r="V1769" s="102" t="n"/>
      <c r="W1769" s="102" t="n"/>
      <c r="X1769" s="102" t="n"/>
      <c r="Y1769" s="102" t="n"/>
      <c r="Z1769" s="102" t="n"/>
      <c r="AA1769" s="102" t="n"/>
      <c r="AB1769" s="102" t="n"/>
      <c r="AC1769" s="102" t="n"/>
      <c r="AD1769" s="102" t="n"/>
      <c r="AE1769" s="102" t="n"/>
      <c r="AF1769" s="102" t="n"/>
      <c r="AG1769" s="102" t="n"/>
      <c r="AH1769" s="102" t="n"/>
      <c r="AI1769" s="102" t="n"/>
      <c r="AJ1769" s="102" t="n"/>
      <c r="AK1769" s="102" t="n"/>
      <c r="AL1769" s="102" t="n"/>
      <c r="AM1769" s="102" t="n"/>
      <c r="AN1769" s="102" t="n"/>
      <c r="AO1769" s="102" t="n"/>
      <c r="AP1769" s="102" t="n"/>
      <c r="AQ1769" s="102" t="n"/>
      <c r="AR1769" s="102" t="n"/>
    </row>
    <row r="1770">
      <c r="D1770" s="102" t="n"/>
      <c r="E1770" s="102" t="n"/>
      <c r="F1770" s="102" t="n"/>
      <c r="G1770" s="102" t="n"/>
      <c r="H1770" s="102" t="n"/>
      <c r="I1770" s="102" t="n"/>
      <c r="J1770" s="102" t="n"/>
      <c r="K1770" s="102" t="n"/>
      <c r="L1770" s="102" t="n"/>
      <c r="M1770" s="102" t="n"/>
      <c r="N1770" s="102" t="n"/>
      <c r="O1770" s="102" t="n"/>
      <c r="P1770" s="102" t="n"/>
      <c r="Q1770" s="102" t="n"/>
      <c r="R1770" s="102" t="n"/>
      <c r="S1770" s="102" t="n"/>
      <c r="T1770" s="102" t="n"/>
      <c r="U1770" s="102" t="n"/>
      <c r="V1770" s="102" t="n"/>
      <c r="W1770" s="102" t="n"/>
      <c r="X1770" s="102" t="n"/>
      <c r="Y1770" s="102" t="n"/>
      <c r="Z1770" s="102" t="n"/>
      <c r="AA1770" s="102" t="n"/>
      <c r="AB1770" s="102" t="n"/>
      <c r="AC1770" s="102" t="n"/>
      <c r="AD1770" s="102" t="n"/>
      <c r="AE1770" s="102" t="n"/>
      <c r="AF1770" s="102" t="n"/>
      <c r="AG1770" s="102" t="n"/>
      <c r="AH1770" s="102" t="n"/>
      <c r="AI1770" s="102" t="n"/>
      <c r="AJ1770" s="102" t="n"/>
      <c r="AK1770" s="102" t="n"/>
      <c r="AL1770" s="102" t="n"/>
      <c r="AM1770" s="102" t="n"/>
      <c r="AN1770" s="102" t="n"/>
      <c r="AO1770" s="102" t="n"/>
      <c r="AP1770" s="102" t="n"/>
      <c r="AQ1770" s="102" t="n"/>
      <c r="AR1770" s="102" t="n"/>
    </row>
    <row r="1771">
      <c r="D1771" s="102" t="n"/>
      <c r="E1771" s="102" t="n"/>
      <c r="F1771" s="102" t="n"/>
      <c r="G1771" s="102" t="n"/>
      <c r="H1771" s="102" t="n"/>
      <c r="I1771" s="102" t="n"/>
      <c r="J1771" s="102" t="n"/>
      <c r="K1771" s="102" t="n"/>
      <c r="L1771" s="102" t="n"/>
      <c r="M1771" s="102" t="n"/>
      <c r="N1771" s="102" t="n"/>
      <c r="O1771" s="102" t="n"/>
      <c r="P1771" s="102" t="n"/>
      <c r="Q1771" s="102" t="n"/>
      <c r="R1771" s="102" t="n"/>
      <c r="S1771" s="102" t="n"/>
      <c r="T1771" s="102" t="n"/>
      <c r="U1771" s="102" t="n"/>
      <c r="V1771" s="102" t="n"/>
      <c r="W1771" s="102" t="n"/>
      <c r="X1771" s="102" t="n"/>
      <c r="Y1771" s="102" t="n"/>
      <c r="Z1771" s="102" t="n"/>
      <c r="AA1771" s="102" t="n"/>
      <c r="AB1771" s="102" t="n"/>
      <c r="AC1771" s="102" t="n"/>
      <c r="AD1771" s="102" t="n"/>
      <c r="AE1771" s="102" t="n"/>
      <c r="AF1771" s="102" t="n"/>
      <c r="AG1771" s="102" t="n"/>
      <c r="AH1771" s="102" t="n"/>
      <c r="AI1771" s="102" t="n"/>
      <c r="AJ1771" s="102" t="n"/>
      <c r="AK1771" s="102" t="n"/>
      <c r="AL1771" s="102" t="n"/>
      <c r="AM1771" s="102" t="n"/>
      <c r="AN1771" s="102" t="n"/>
      <c r="AO1771" s="102" t="n"/>
      <c r="AP1771" s="102" t="n"/>
      <c r="AQ1771" s="102" t="n"/>
      <c r="AR1771" s="102" t="n"/>
    </row>
    <row r="1772">
      <c r="D1772" s="102" t="n"/>
      <c r="E1772" s="102" t="n"/>
      <c r="F1772" s="102" t="n"/>
      <c r="G1772" s="102" t="n"/>
      <c r="H1772" s="102" t="n"/>
      <c r="I1772" s="102" t="n"/>
      <c r="J1772" s="102" t="n"/>
      <c r="K1772" s="102" t="n"/>
      <c r="L1772" s="102" t="n"/>
      <c r="M1772" s="102" t="n"/>
      <c r="N1772" s="102" t="n"/>
      <c r="O1772" s="102" t="n"/>
      <c r="P1772" s="102" t="n"/>
      <c r="Q1772" s="102" t="n"/>
      <c r="R1772" s="102" t="n"/>
      <c r="S1772" s="102" t="n"/>
      <c r="T1772" s="102" t="n"/>
      <c r="U1772" s="102" t="n"/>
      <c r="V1772" s="102" t="n"/>
      <c r="W1772" s="102" t="n"/>
      <c r="X1772" s="102" t="n"/>
      <c r="Y1772" s="102" t="n"/>
      <c r="Z1772" s="102" t="n"/>
      <c r="AA1772" s="102" t="n"/>
      <c r="AB1772" s="102" t="n"/>
      <c r="AC1772" s="102" t="n"/>
      <c r="AD1772" s="102" t="n"/>
      <c r="AE1772" s="102" t="n"/>
      <c r="AF1772" s="102" t="n"/>
      <c r="AG1772" s="102" t="n"/>
      <c r="AH1772" s="102" t="n"/>
      <c r="AI1772" s="102" t="n"/>
      <c r="AJ1772" s="102" t="n"/>
      <c r="AK1772" s="102" t="n"/>
      <c r="AL1772" s="102" t="n"/>
      <c r="AM1772" s="102" t="n"/>
      <c r="AN1772" s="102" t="n"/>
      <c r="AO1772" s="102" t="n"/>
      <c r="AP1772" s="102" t="n"/>
      <c r="AQ1772" s="102" t="n"/>
      <c r="AR1772" s="102" t="n"/>
    </row>
    <row r="1773">
      <c r="D1773" s="103" t="n"/>
      <c r="E1773" s="103" t="n"/>
      <c r="F1773" s="103" t="n"/>
      <c r="G1773" s="103" t="n"/>
      <c r="H1773" s="103" t="n"/>
      <c r="I1773" s="103" t="n"/>
      <c r="J1773" s="103" t="n"/>
      <c r="K1773" s="103" t="n"/>
      <c r="L1773" s="103" t="n"/>
      <c r="M1773" s="103" t="n"/>
      <c r="N1773" s="103" t="n"/>
      <c r="O1773" s="103" t="n"/>
      <c r="P1773" s="103" t="n"/>
      <c r="Q1773" s="103" t="n"/>
      <c r="R1773" s="103" t="n"/>
      <c r="S1773" s="103" t="n"/>
      <c r="T1773" s="103" t="n"/>
      <c r="U1773" s="103" t="n"/>
      <c r="V1773" s="103" t="n"/>
      <c r="W1773" s="103" t="n"/>
      <c r="X1773" s="103" t="n"/>
      <c r="Y1773" s="103" t="n"/>
      <c r="Z1773" s="103" t="n"/>
      <c r="AA1773" s="103" t="n"/>
      <c r="AB1773" s="103" t="n"/>
      <c r="AC1773" s="103" t="n"/>
      <c r="AD1773" s="103" t="n"/>
      <c r="AE1773" s="103" t="n"/>
      <c r="AF1773" s="103" t="n"/>
      <c r="AG1773" s="103" t="n"/>
      <c r="AH1773" s="103" t="n"/>
      <c r="AI1773" s="103" t="n"/>
      <c r="AJ1773" s="103" t="n"/>
      <c r="AK1773" s="103" t="n"/>
      <c r="AL1773" s="103" t="n"/>
      <c r="AM1773" s="103" t="n"/>
      <c r="AN1773" s="103" t="n"/>
      <c r="AO1773" s="103" t="n"/>
      <c r="AP1773" s="103" t="n"/>
      <c r="AQ1773" s="103" t="n"/>
      <c r="AR1773" s="103" t="n"/>
    </row>
    <row r="1776">
      <c r="A1776" s="2">
        <f>IF($A1769="","","   projections")</f>
        <v/>
      </c>
      <c r="B1776" s="99">
        <f>IF($A1769="",0,COUNT($E1777:$AR1777))</f>
        <v/>
      </c>
      <c r="C1776" s="100">
        <f>IF($B1776=0,0,MAX($E1777:$AR1777))</f>
        <v/>
      </c>
      <c r="D1776" s="101">
        <f>BDS($A1769,FLD_PROJ,"headers=y","startcol=1","endcol=3","dir=h")</f>
        <v/>
      </c>
      <c r="E1776" s="102" t="n"/>
      <c r="F1776" s="102" t="n"/>
      <c r="G1776" s="102" t="n"/>
      <c r="H1776" s="102" t="n"/>
      <c r="I1776" s="102" t="n"/>
      <c r="J1776" s="102" t="n"/>
      <c r="K1776" s="102" t="n"/>
      <c r="L1776" s="102" t="n"/>
      <c r="M1776" s="102" t="n"/>
      <c r="N1776" s="102" t="n"/>
      <c r="O1776" s="102" t="n"/>
      <c r="P1776" s="102" t="n"/>
      <c r="Q1776" s="102" t="n"/>
      <c r="R1776" s="102" t="n"/>
      <c r="S1776" s="102" t="n"/>
      <c r="T1776" s="102" t="n"/>
      <c r="U1776" s="102" t="n"/>
      <c r="V1776" s="102" t="n"/>
      <c r="W1776" s="102" t="n"/>
      <c r="X1776" s="102" t="n"/>
      <c r="Y1776" s="102" t="n"/>
      <c r="Z1776" s="102" t="n"/>
      <c r="AA1776" s="102" t="n"/>
      <c r="AB1776" s="102" t="n"/>
      <c r="AC1776" s="102" t="n"/>
      <c r="AD1776" s="102" t="n"/>
      <c r="AE1776" s="102" t="n"/>
      <c r="AF1776" s="102" t="n"/>
      <c r="AG1776" s="102" t="n"/>
      <c r="AH1776" s="102" t="n"/>
      <c r="AI1776" s="102" t="n"/>
      <c r="AJ1776" s="102" t="n"/>
      <c r="AK1776" s="102" t="n"/>
      <c r="AL1776" s="102" t="n"/>
      <c r="AM1776" s="102" t="n"/>
      <c r="AN1776" s="102" t="n"/>
      <c r="AO1776" s="102" t="n"/>
      <c r="AP1776" s="102" t="n"/>
      <c r="AQ1776" s="102" t="n"/>
      <c r="AR1776" s="102" t="n"/>
    </row>
    <row r="1777">
      <c r="D1777" s="102" t="n"/>
      <c r="E1777" s="102" t="n"/>
      <c r="F1777" s="102" t="n"/>
      <c r="G1777" s="102" t="n"/>
      <c r="H1777" s="102" t="n"/>
      <c r="I1777" s="102" t="n"/>
      <c r="J1777" s="102" t="n"/>
      <c r="K1777" s="102" t="n"/>
      <c r="L1777" s="102" t="n"/>
      <c r="M1777" s="102" t="n"/>
      <c r="N1777" s="102" t="n"/>
      <c r="O1777" s="102" t="n"/>
      <c r="P1777" s="102" t="n"/>
      <c r="Q1777" s="102" t="n"/>
      <c r="R1777" s="102" t="n"/>
      <c r="S1777" s="102" t="n"/>
      <c r="T1777" s="102" t="n"/>
      <c r="U1777" s="102" t="n"/>
      <c r="V1777" s="102" t="n"/>
      <c r="W1777" s="102" t="n"/>
      <c r="X1777" s="102" t="n"/>
      <c r="Y1777" s="102" t="n"/>
      <c r="Z1777" s="102" t="n"/>
      <c r="AA1777" s="102" t="n"/>
      <c r="AB1777" s="102" t="n"/>
      <c r="AC1777" s="102" t="n"/>
      <c r="AD1777" s="102" t="n"/>
      <c r="AE1777" s="102" t="n"/>
      <c r="AF1777" s="102" t="n"/>
      <c r="AG1777" s="102" t="n"/>
      <c r="AH1777" s="102" t="n"/>
      <c r="AI1777" s="102" t="n"/>
      <c r="AJ1777" s="102" t="n"/>
      <c r="AK1777" s="102" t="n"/>
      <c r="AL1777" s="102" t="n"/>
      <c r="AM1777" s="102" t="n"/>
      <c r="AN1777" s="102" t="n"/>
      <c r="AO1777" s="102" t="n"/>
      <c r="AP1777" s="102" t="n"/>
      <c r="AQ1777" s="102" t="n"/>
      <c r="AR1777" s="102" t="n"/>
    </row>
    <row r="1778">
      <c r="D1778" s="103" t="n"/>
      <c r="E1778" s="103" t="n"/>
      <c r="F1778" s="103" t="n"/>
      <c r="G1778" s="103" t="n"/>
      <c r="H1778" s="103" t="n"/>
      <c r="I1778" s="103" t="n"/>
      <c r="J1778" s="103" t="n"/>
      <c r="K1778" s="103" t="n"/>
      <c r="L1778" s="103" t="n"/>
      <c r="M1778" s="103" t="n"/>
      <c r="N1778" s="103" t="n"/>
      <c r="O1778" s="103" t="n"/>
      <c r="P1778" s="103" t="n"/>
      <c r="Q1778" s="103" t="n"/>
      <c r="R1778" s="103" t="n"/>
      <c r="S1778" s="103" t="n"/>
      <c r="T1778" s="103" t="n"/>
      <c r="U1778" s="103" t="n"/>
      <c r="V1778" s="103" t="n"/>
      <c r="W1778" s="103" t="n"/>
      <c r="X1778" s="103" t="n"/>
      <c r="Y1778" s="103" t="n"/>
      <c r="Z1778" s="103" t="n"/>
      <c r="AA1778" s="103" t="n"/>
      <c r="AB1778" s="103" t="n"/>
      <c r="AC1778" s="103" t="n"/>
      <c r="AD1778" s="103" t="n"/>
      <c r="AE1778" s="103" t="n"/>
      <c r="AF1778" s="103" t="n"/>
      <c r="AG1778" s="103" t="n"/>
      <c r="AH1778" s="103" t="n"/>
      <c r="AI1778" s="103" t="n"/>
      <c r="AJ1778" s="103" t="n"/>
      <c r="AK1778" s="103" t="n"/>
      <c r="AL1778" s="103" t="n"/>
      <c r="AM1778" s="103" t="n"/>
      <c r="AN1778" s="103" t="n"/>
      <c r="AO1778" s="103" t="n"/>
      <c r="AP1778" s="103" t="n"/>
      <c r="AQ1778" s="103" t="n"/>
      <c r="AR1778" s="103" t="n"/>
    </row>
    <row r="1780">
      <c r="A1780" s="8">
        <f>IF(HSCEI!$C$27="","",HSCEI!$C$27)</f>
        <v/>
      </c>
      <c r="B1780" s="99">
        <f>IF($A1780="",0,COUNT($E1781:$AR1781))</f>
        <v/>
      </c>
      <c r="C1780" s="100">
        <f>IF($B1780=0,0,MAX($E1781:$AR1781))</f>
        <v/>
      </c>
      <c r="D1780" s="101">
        <f>BDS($A1780,FLD_HIST,"headers=y","startcol=1","endcol=7","dir=h","DVD_START_DT",HIST_FROM,"DVD_END_DT",HIST_TO)</f>
        <v/>
      </c>
      <c r="E1780" s="102" t="n"/>
      <c r="F1780" s="102" t="n"/>
      <c r="G1780" s="102" t="n"/>
      <c r="H1780" s="102" t="n"/>
      <c r="I1780" s="102" t="n"/>
      <c r="J1780" s="102" t="n"/>
      <c r="K1780" s="102" t="n"/>
      <c r="L1780" s="102" t="n"/>
      <c r="M1780" s="102" t="n"/>
      <c r="N1780" s="102" t="n"/>
      <c r="O1780" s="102" t="n"/>
      <c r="P1780" s="102" t="n"/>
      <c r="Q1780" s="102" t="n"/>
      <c r="R1780" s="102" t="n"/>
      <c r="S1780" s="102" t="n"/>
      <c r="T1780" s="102" t="n"/>
      <c r="U1780" s="102" t="n"/>
      <c r="V1780" s="102" t="n"/>
      <c r="W1780" s="102" t="n"/>
      <c r="X1780" s="102" t="n"/>
      <c r="Y1780" s="102" t="n"/>
      <c r="Z1780" s="102" t="n"/>
      <c r="AA1780" s="102" t="n"/>
      <c r="AB1780" s="102" t="n"/>
      <c r="AC1780" s="102" t="n"/>
      <c r="AD1780" s="102" t="n"/>
      <c r="AE1780" s="102" t="n"/>
      <c r="AF1780" s="102" t="n"/>
      <c r="AG1780" s="102" t="n"/>
      <c r="AH1780" s="102" t="n"/>
      <c r="AI1780" s="102" t="n"/>
      <c r="AJ1780" s="102" t="n"/>
      <c r="AK1780" s="102" t="n"/>
      <c r="AL1780" s="102" t="n"/>
      <c r="AM1780" s="102" t="n"/>
      <c r="AN1780" s="102" t="n"/>
      <c r="AO1780" s="102" t="n"/>
      <c r="AP1780" s="102" t="n"/>
      <c r="AQ1780" s="102" t="n"/>
      <c r="AR1780" s="102" t="n"/>
    </row>
    <row r="1781">
      <c r="D1781" s="102" t="n"/>
      <c r="E1781" s="102" t="n"/>
      <c r="F1781" s="102" t="n"/>
      <c r="G1781" s="102" t="n"/>
      <c r="H1781" s="102" t="n"/>
      <c r="I1781" s="102" t="n"/>
      <c r="J1781" s="102" t="n"/>
      <c r="K1781" s="102" t="n"/>
      <c r="L1781" s="102" t="n"/>
      <c r="M1781" s="102" t="n"/>
      <c r="N1781" s="102" t="n"/>
      <c r="O1781" s="102" t="n"/>
      <c r="P1781" s="102" t="n"/>
      <c r="Q1781" s="102" t="n"/>
      <c r="R1781" s="102" t="n"/>
      <c r="S1781" s="102" t="n"/>
      <c r="T1781" s="102" t="n"/>
      <c r="U1781" s="102" t="n"/>
      <c r="V1781" s="102" t="n"/>
      <c r="W1781" s="102" t="n"/>
      <c r="X1781" s="102" t="n"/>
      <c r="Y1781" s="102" t="n"/>
      <c r="Z1781" s="102" t="n"/>
      <c r="AA1781" s="102" t="n"/>
      <c r="AB1781" s="102" t="n"/>
      <c r="AC1781" s="102" t="n"/>
      <c r="AD1781" s="102" t="n"/>
      <c r="AE1781" s="102" t="n"/>
      <c r="AF1781" s="102" t="n"/>
      <c r="AG1781" s="102" t="n"/>
      <c r="AH1781" s="102" t="n"/>
      <c r="AI1781" s="102" t="n"/>
      <c r="AJ1781" s="102" t="n"/>
      <c r="AK1781" s="102" t="n"/>
      <c r="AL1781" s="102" t="n"/>
      <c r="AM1781" s="102" t="n"/>
      <c r="AN1781" s="102" t="n"/>
      <c r="AO1781" s="102" t="n"/>
      <c r="AP1781" s="102" t="n"/>
      <c r="AQ1781" s="102" t="n"/>
      <c r="AR1781" s="102" t="n"/>
    </row>
    <row r="1782">
      <c r="D1782" s="102" t="n"/>
      <c r="E1782" s="102" t="n"/>
      <c r="F1782" s="102" t="n"/>
      <c r="G1782" s="102" t="n"/>
      <c r="H1782" s="102" t="n"/>
      <c r="I1782" s="102" t="n"/>
      <c r="J1782" s="102" t="n"/>
      <c r="K1782" s="102" t="n"/>
      <c r="L1782" s="102" t="n"/>
      <c r="M1782" s="102" t="n"/>
      <c r="N1782" s="102" t="n"/>
      <c r="O1782" s="102" t="n"/>
      <c r="P1782" s="102" t="n"/>
      <c r="Q1782" s="102" t="n"/>
      <c r="R1782" s="102" t="n"/>
      <c r="S1782" s="102" t="n"/>
      <c r="T1782" s="102" t="n"/>
      <c r="U1782" s="102" t="n"/>
      <c r="V1782" s="102" t="n"/>
      <c r="W1782" s="102" t="n"/>
      <c r="X1782" s="102" t="n"/>
      <c r="Y1782" s="102" t="n"/>
      <c r="Z1782" s="102" t="n"/>
      <c r="AA1782" s="102" t="n"/>
      <c r="AB1782" s="102" t="n"/>
      <c r="AC1782" s="102" t="n"/>
      <c r="AD1782" s="102" t="n"/>
      <c r="AE1782" s="102" t="n"/>
      <c r="AF1782" s="102" t="n"/>
      <c r="AG1782" s="102" t="n"/>
      <c r="AH1782" s="102" t="n"/>
      <c r="AI1782" s="102" t="n"/>
      <c r="AJ1782" s="102" t="n"/>
      <c r="AK1782" s="102" t="n"/>
      <c r="AL1782" s="102" t="n"/>
      <c r="AM1782" s="102" t="n"/>
      <c r="AN1782" s="102" t="n"/>
      <c r="AO1782" s="102" t="n"/>
      <c r="AP1782" s="102" t="n"/>
      <c r="AQ1782" s="102" t="n"/>
      <c r="AR1782" s="102" t="n"/>
    </row>
    <row r="1783">
      <c r="D1783" s="102" t="n"/>
      <c r="E1783" s="102" t="n"/>
      <c r="F1783" s="102" t="n"/>
      <c r="G1783" s="102" t="n"/>
      <c r="H1783" s="102" t="n"/>
      <c r="I1783" s="102" t="n"/>
      <c r="J1783" s="102" t="n"/>
      <c r="K1783" s="102" t="n"/>
      <c r="L1783" s="102" t="n"/>
      <c r="M1783" s="102" t="n"/>
      <c r="N1783" s="102" t="n"/>
      <c r="O1783" s="102" t="n"/>
      <c r="P1783" s="102" t="n"/>
      <c r="Q1783" s="102" t="n"/>
      <c r="R1783" s="102" t="n"/>
      <c r="S1783" s="102" t="n"/>
      <c r="T1783" s="102" t="n"/>
      <c r="U1783" s="102" t="n"/>
      <c r="V1783" s="102" t="n"/>
      <c r="W1783" s="102" t="n"/>
      <c r="X1783" s="102" t="n"/>
      <c r="Y1783" s="102" t="n"/>
      <c r="Z1783" s="102" t="n"/>
      <c r="AA1783" s="102" t="n"/>
      <c r="AB1783" s="102" t="n"/>
      <c r="AC1783" s="102" t="n"/>
      <c r="AD1783" s="102" t="n"/>
      <c r="AE1783" s="102" t="n"/>
      <c r="AF1783" s="102" t="n"/>
      <c r="AG1783" s="102" t="n"/>
      <c r="AH1783" s="102" t="n"/>
      <c r="AI1783" s="102" t="n"/>
      <c r="AJ1783" s="102" t="n"/>
      <c r="AK1783" s="102" t="n"/>
      <c r="AL1783" s="102" t="n"/>
      <c r="AM1783" s="102" t="n"/>
      <c r="AN1783" s="102" t="n"/>
      <c r="AO1783" s="102" t="n"/>
      <c r="AP1783" s="102" t="n"/>
      <c r="AQ1783" s="102" t="n"/>
      <c r="AR1783" s="102" t="n"/>
    </row>
    <row r="1784">
      <c r="D1784" s="103" t="n"/>
      <c r="E1784" s="103" t="n"/>
      <c r="F1784" s="103" t="n"/>
      <c r="G1784" s="103" t="n"/>
      <c r="H1784" s="103" t="n"/>
      <c r="I1784" s="103" t="n"/>
      <c r="J1784" s="103" t="n"/>
      <c r="K1784" s="103" t="n"/>
      <c r="L1784" s="103" t="n"/>
      <c r="M1784" s="103" t="n"/>
      <c r="N1784" s="103" t="n"/>
      <c r="O1784" s="103" t="n"/>
      <c r="P1784" s="103" t="n"/>
      <c r="Q1784" s="103" t="n"/>
      <c r="R1784" s="103" t="n"/>
      <c r="S1784" s="103" t="n"/>
      <c r="T1784" s="103" t="n"/>
      <c r="U1784" s="103" t="n"/>
      <c r="V1784" s="103" t="n"/>
      <c r="W1784" s="103" t="n"/>
      <c r="X1784" s="103" t="n"/>
      <c r="Y1784" s="103" t="n"/>
      <c r="Z1784" s="103" t="n"/>
      <c r="AA1784" s="103" t="n"/>
      <c r="AB1784" s="103" t="n"/>
      <c r="AC1784" s="103" t="n"/>
      <c r="AD1784" s="103" t="n"/>
      <c r="AE1784" s="103" t="n"/>
      <c r="AF1784" s="103" t="n"/>
      <c r="AG1784" s="103" t="n"/>
      <c r="AH1784" s="103" t="n"/>
      <c r="AI1784" s="103" t="n"/>
      <c r="AJ1784" s="103" t="n"/>
      <c r="AK1784" s="103" t="n"/>
      <c r="AL1784" s="103" t="n"/>
      <c r="AM1784" s="103" t="n"/>
      <c r="AN1784" s="103" t="n"/>
      <c r="AO1784" s="103" t="n"/>
      <c r="AP1784" s="103" t="n"/>
      <c r="AQ1784" s="103" t="n"/>
      <c r="AR1784" s="103" t="n"/>
    </row>
    <row r="1787">
      <c r="A1787" s="2">
        <f>IF($A1780="","","   projections")</f>
        <v/>
      </c>
      <c r="B1787" s="99">
        <f>IF($A1780="",0,COUNT($E1788:$AR1788))</f>
        <v/>
      </c>
      <c r="C1787" s="100">
        <f>IF($B1787=0,0,MAX($E1788:$AR1788))</f>
        <v/>
      </c>
      <c r="D1787" s="101">
        <f>BDS($A1780,FLD_PROJ,"headers=y","startcol=1","endcol=3","dir=h")</f>
        <v/>
      </c>
      <c r="E1787" s="102" t="n"/>
      <c r="F1787" s="102" t="n"/>
      <c r="G1787" s="102" t="n"/>
      <c r="H1787" s="102" t="n"/>
      <c r="I1787" s="102" t="n"/>
      <c r="J1787" s="102" t="n"/>
      <c r="K1787" s="102" t="n"/>
      <c r="L1787" s="102" t="n"/>
      <c r="M1787" s="102" t="n"/>
      <c r="N1787" s="102" t="n"/>
      <c r="O1787" s="102" t="n"/>
      <c r="P1787" s="102" t="n"/>
      <c r="Q1787" s="102" t="n"/>
      <c r="R1787" s="102" t="n"/>
      <c r="S1787" s="102" t="n"/>
      <c r="T1787" s="102" t="n"/>
      <c r="U1787" s="102" t="n"/>
      <c r="V1787" s="102" t="n"/>
      <c r="W1787" s="102" t="n"/>
      <c r="X1787" s="102" t="n"/>
      <c r="Y1787" s="102" t="n"/>
      <c r="Z1787" s="102" t="n"/>
      <c r="AA1787" s="102" t="n"/>
      <c r="AB1787" s="102" t="n"/>
      <c r="AC1787" s="102" t="n"/>
      <c r="AD1787" s="102" t="n"/>
      <c r="AE1787" s="102" t="n"/>
      <c r="AF1787" s="102" t="n"/>
      <c r="AG1787" s="102" t="n"/>
      <c r="AH1787" s="102" t="n"/>
      <c r="AI1787" s="102" t="n"/>
      <c r="AJ1787" s="102" t="n"/>
      <c r="AK1787" s="102" t="n"/>
      <c r="AL1787" s="102" t="n"/>
      <c r="AM1787" s="102" t="n"/>
      <c r="AN1787" s="102" t="n"/>
      <c r="AO1787" s="102" t="n"/>
      <c r="AP1787" s="102" t="n"/>
      <c r="AQ1787" s="102" t="n"/>
      <c r="AR1787" s="102" t="n"/>
    </row>
    <row r="1788">
      <c r="D1788" s="102" t="n"/>
      <c r="E1788" s="102" t="n"/>
      <c r="F1788" s="102" t="n"/>
      <c r="G1788" s="102" t="n"/>
      <c r="H1788" s="102" t="n"/>
      <c r="I1788" s="102" t="n"/>
      <c r="J1788" s="102" t="n"/>
      <c r="K1788" s="102" t="n"/>
      <c r="L1788" s="102" t="n"/>
      <c r="M1788" s="102" t="n"/>
      <c r="N1788" s="102" t="n"/>
      <c r="O1788" s="102" t="n"/>
      <c r="P1788" s="102" t="n"/>
      <c r="Q1788" s="102" t="n"/>
      <c r="R1788" s="102" t="n"/>
      <c r="S1788" s="102" t="n"/>
      <c r="T1788" s="102" t="n"/>
      <c r="U1788" s="102" t="n"/>
      <c r="V1788" s="102" t="n"/>
      <c r="W1788" s="102" t="n"/>
      <c r="X1788" s="102" t="n"/>
      <c r="Y1788" s="102" t="n"/>
      <c r="Z1788" s="102" t="n"/>
      <c r="AA1788" s="102" t="n"/>
      <c r="AB1788" s="102" t="n"/>
      <c r="AC1788" s="102" t="n"/>
      <c r="AD1788" s="102" t="n"/>
      <c r="AE1788" s="102" t="n"/>
      <c r="AF1788" s="102" t="n"/>
      <c r="AG1788" s="102" t="n"/>
      <c r="AH1788" s="102" t="n"/>
      <c r="AI1788" s="102" t="n"/>
      <c r="AJ1788" s="102" t="n"/>
      <c r="AK1788" s="102" t="n"/>
      <c r="AL1788" s="102" t="n"/>
      <c r="AM1788" s="102" t="n"/>
      <c r="AN1788" s="102" t="n"/>
      <c r="AO1788" s="102" t="n"/>
      <c r="AP1788" s="102" t="n"/>
      <c r="AQ1788" s="102" t="n"/>
      <c r="AR1788" s="102" t="n"/>
    </row>
    <row r="1789">
      <c r="D1789" s="103" t="n"/>
      <c r="E1789" s="103" t="n"/>
      <c r="F1789" s="103" t="n"/>
      <c r="G1789" s="103" t="n"/>
      <c r="H1789" s="103" t="n"/>
      <c r="I1789" s="103" t="n"/>
      <c r="J1789" s="103" t="n"/>
      <c r="K1789" s="103" t="n"/>
      <c r="L1789" s="103" t="n"/>
      <c r="M1789" s="103" t="n"/>
      <c r="N1789" s="103" t="n"/>
      <c r="O1789" s="103" t="n"/>
      <c r="P1789" s="103" t="n"/>
      <c r="Q1789" s="103" t="n"/>
      <c r="R1789" s="103" t="n"/>
      <c r="S1789" s="103" t="n"/>
      <c r="T1789" s="103" t="n"/>
      <c r="U1789" s="103" t="n"/>
      <c r="V1789" s="103" t="n"/>
      <c r="W1789" s="103" t="n"/>
      <c r="X1789" s="103" t="n"/>
      <c r="Y1789" s="103" t="n"/>
      <c r="Z1789" s="103" t="n"/>
      <c r="AA1789" s="103" t="n"/>
      <c r="AB1789" s="103" t="n"/>
      <c r="AC1789" s="103" t="n"/>
      <c r="AD1789" s="103" t="n"/>
      <c r="AE1789" s="103" t="n"/>
      <c r="AF1789" s="103" t="n"/>
      <c r="AG1789" s="103" t="n"/>
      <c r="AH1789" s="103" t="n"/>
      <c r="AI1789" s="103" t="n"/>
      <c r="AJ1789" s="103" t="n"/>
      <c r="AK1789" s="103" t="n"/>
      <c r="AL1789" s="103" t="n"/>
      <c r="AM1789" s="103" t="n"/>
      <c r="AN1789" s="103" t="n"/>
      <c r="AO1789" s="103" t="n"/>
      <c r="AP1789" s="103" t="n"/>
      <c r="AQ1789" s="103" t="n"/>
      <c r="AR1789" s="103" t="n"/>
    </row>
    <row r="1791">
      <c r="A1791" s="8">
        <f>IF(HSCEI!$C$28="","",HSCEI!$C$28)</f>
        <v/>
      </c>
      <c r="B1791" s="99">
        <f>IF($A1791="",0,COUNT($E1792:$AR1792))</f>
        <v/>
      </c>
      <c r="C1791" s="100">
        <f>IF($B1791=0,0,MAX($E1792:$AR1792))</f>
        <v/>
      </c>
      <c r="D1791" s="101">
        <f>BDS($A1791,FLD_HIST,"headers=y","startcol=1","endcol=7","dir=h","DVD_START_DT",HIST_FROM,"DVD_END_DT",HIST_TO)</f>
        <v/>
      </c>
      <c r="E1791" s="102" t="n"/>
      <c r="F1791" s="102" t="n"/>
      <c r="G1791" s="102" t="n"/>
      <c r="H1791" s="102" t="n"/>
      <c r="I1791" s="102" t="n"/>
      <c r="J1791" s="102" t="n"/>
      <c r="K1791" s="102" t="n"/>
      <c r="L1791" s="102" t="n"/>
      <c r="M1791" s="102" t="n"/>
      <c r="N1791" s="102" t="n"/>
      <c r="O1791" s="102" t="n"/>
      <c r="P1791" s="102" t="n"/>
      <c r="Q1791" s="102" t="n"/>
      <c r="R1791" s="102" t="n"/>
      <c r="S1791" s="102" t="n"/>
      <c r="T1791" s="102" t="n"/>
      <c r="U1791" s="102" t="n"/>
      <c r="V1791" s="102" t="n"/>
      <c r="W1791" s="102" t="n"/>
      <c r="X1791" s="102" t="n"/>
      <c r="Y1791" s="102" t="n"/>
      <c r="Z1791" s="102" t="n"/>
      <c r="AA1791" s="102" t="n"/>
      <c r="AB1791" s="102" t="n"/>
      <c r="AC1791" s="102" t="n"/>
      <c r="AD1791" s="102" t="n"/>
      <c r="AE1791" s="102" t="n"/>
      <c r="AF1791" s="102" t="n"/>
      <c r="AG1791" s="102" t="n"/>
      <c r="AH1791" s="102" t="n"/>
      <c r="AI1791" s="102" t="n"/>
      <c r="AJ1791" s="102" t="n"/>
      <c r="AK1791" s="102" t="n"/>
      <c r="AL1791" s="102" t="n"/>
      <c r="AM1791" s="102" t="n"/>
      <c r="AN1791" s="102" t="n"/>
      <c r="AO1791" s="102" t="n"/>
      <c r="AP1791" s="102" t="n"/>
      <c r="AQ1791" s="102" t="n"/>
      <c r="AR1791" s="102" t="n"/>
    </row>
    <row r="1792">
      <c r="D1792" s="102" t="n"/>
      <c r="E1792" s="102" t="n"/>
      <c r="F1792" s="102" t="n"/>
      <c r="G1792" s="102" t="n"/>
      <c r="H1792" s="102" t="n"/>
      <c r="I1792" s="102" t="n"/>
      <c r="J1792" s="102" t="n"/>
      <c r="K1792" s="102" t="n"/>
      <c r="L1792" s="102" t="n"/>
      <c r="M1792" s="102" t="n"/>
      <c r="N1792" s="102" t="n"/>
      <c r="O1792" s="102" t="n"/>
      <c r="P1792" s="102" t="n"/>
      <c r="Q1792" s="102" t="n"/>
      <c r="R1792" s="102" t="n"/>
      <c r="S1792" s="102" t="n"/>
      <c r="T1792" s="102" t="n"/>
      <c r="U1792" s="102" t="n"/>
      <c r="V1792" s="102" t="n"/>
      <c r="W1792" s="102" t="n"/>
      <c r="X1792" s="102" t="n"/>
      <c r="Y1792" s="102" t="n"/>
      <c r="Z1792" s="102" t="n"/>
      <c r="AA1792" s="102" t="n"/>
      <c r="AB1792" s="102" t="n"/>
      <c r="AC1792" s="102" t="n"/>
      <c r="AD1792" s="102" t="n"/>
      <c r="AE1792" s="102" t="n"/>
      <c r="AF1792" s="102" t="n"/>
      <c r="AG1792" s="102" t="n"/>
      <c r="AH1792" s="102" t="n"/>
      <c r="AI1792" s="102" t="n"/>
      <c r="AJ1792" s="102" t="n"/>
      <c r="AK1792" s="102" t="n"/>
      <c r="AL1792" s="102" t="n"/>
      <c r="AM1792" s="102" t="n"/>
      <c r="AN1792" s="102" t="n"/>
      <c r="AO1792" s="102" t="n"/>
      <c r="AP1792" s="102" t="n"/>
      <c r="AQ1792" s="102" t="n"/>
      <c r="AR1792" s="102" t="n"/>
    </row>
    <row r="1793">
      <c r="D1793" s="102" t="n"/>
      <c r="E1793" s="102" t="n"/>
      <c r="F1793" s="102" t="n"/>
      <c r="G1793" s="102" t="n"/>
      <c r="H1793" s="102" t="n"/>
      <c r="I1793" s="102" t="n"/>
      <c r="J1793" s="102" t="n"/>
      <c r="K1793" s="102" t="n"/>
      <c r="L1793" s="102" t="n"/>
      <c r="M1793" s="102" t="n"/>
      <c r="N1793" s="102" t="n"/>
      <c r="O1793" s="102" t="n"/>
      <c r="P1793" s="102" t="n"/>
      <c r="Q1793" s="102" t="n"/>
      <c r="R1793" s="102" t="n"/>
      <c r="S1793" s="102" t="n"/>
      <c r="T1793" s="102" t="n"/>
      <c r="U1793" s="102" t="n"/>
      <c r="V1793" s="102" t="n"/>
      <c r="W1793" s="102" t="n"/>
      <c r="X1793" s="102" t="n"/>
      <c r="Y1793" s="102" t="n"/>
      <c r="Z1793" s="102" t="n"/>
      <c r="AA1793" s="102" t="n"/>
      <c r="AB1793" s="102" t="n"/>
      <c r="AC1793" s="102" t="n"/>
      <c r="AD1793" s="102" t="n"/>
      <c r="AE1793" s="102" t="n"/>
      <c r="AF1793" s="102" t="n"/>
      <c r="AG1793" s="102" t="n"/>
      <c r="AH1793" s="102" t="n"/>
      <c r="AI1793" s="102" t="n"/>
      <c r="AJ1793" s="102" t="n"/>
      <c r="AK1793" s="102" t="n"/>
      <c r="AL1793" s="102" t="n"/>
      <c r="AM1793" s="102" t="n"/>
      <c r="AN1793" s="102" t="n"/>
      <c r="AO1793" s="102" t="n"/>
      <c r="AP1793" s="102" t="n"/>
      <c r="AQ1793" s="102" t="n"/>
      <c r="AR1793" s="102" t="n"/>
    </row>
    <row r="1794">
      <c r="D1794" s="102" t="n"/>
      <c r="E1794" s="102" t="n"/>
      <c r="F1794" s="102" t="n"/>
      <c r="G1794" s="102" t="n"/>
      <c r="H1794" s="102" t="n"/>
      <c r="I1794" s="102" t="n"/>
      <c r="J1794" s="102" t="n"/>
      <c r="K1794" s="102" t="n"/>
      <c r="L1794" s="102" t="n"/>
      <c r="M1794" s="102" t="n"/>
      <c r="N1794" s="102" t="n"/>
      <c r="O1794" s="102" t="n"/>
      <c r="P1794" s="102" t="n"/>
      <c r="Q1794" s="102" t="n"/>
      <c r="R1794" s="102" t="n"/>
      <c r="S1794" s="102" t="n"/>
      <c r="T1794" s="102" t="n"/>
      <c r="U1794" s="102" t="n"/>
      <c r="V1794" s="102" t="n"/>
      <c r="W1794" s="102" t="n"/>
      <c r="X1794" s="102" t="n"/>
      <c r="Y1794" s="102" t="n"/>
      <c r="Z1794" s="102" t="n"/>
      <c r="AA1794" s="102" t="n"/>
      <c r="AB1794" s="102" t="n"/>
      <c r="AC1794" s="102" t="n"/>
      <c r="AD1794" s="102" t="n"/>
      <c r="AE1794" s="102" t="n"/>
      <c r="AF1794" s="102" t="n"/>
      <c r="AG1794" s="102" t="n"/>
      <c r="AH1794" s="102" t="n"/>
      <c r="AI1794" s="102" t="n"/>
      <c r="AJ1794" s="102" t="n"/>
      <c r="AK1794" s="102" t="n"/>
      <c r="AL1794" s="102" t="n"/>
      <c r="AM1794" s="102" t="n"/>
      <c r="AN1794" s="102" t="n"/>
      <c r="AO1794" s="102" t="n"/>
      <c r="AP1794" s="102" t="n"/>
      <c r="AQ1794" s="102" t="n"/>
      <c r="AR1794" s="102" t="n"/>
    </row>
    <row r="1795">
      <c r="D1795" s="103" t="n"/>
      <c r="E1795" s="103" t="n"/>
      <c r="F1795" s="103" t="n"/>
      <c r="G1795" s="103" t="n"/>
      <c r="H1795" s="103" t="n"/>
      <c r="I1795" s="103" t="n"/>
      <c r="J1795" s="103" t="n"/>
      <c r="K1795" s="103" t="n"/>
      <c r="L1795" s="103" t="n"/>
      <c r="M1795" s="103" t="n"/>
      <c r="N1795" s="103" t="n"/>
      <c r="O1795" s="103" t="n"/>
      <c r="P1795" s="103" t="n"/>
      <c r="Q1795" s="103" t="n"/>
      <c r="R1795" s="103" t="n"/>
      <c r="S1795" s="103" t="n"/>
      <c r="T1795" s="103" t="n"/>
      <c r="U1795" s="103" t="n"/>
      <c r="V1795" s="103" t="n"/>
      <c r="W1795" s="103" t="n"/>
      <c r="X1795" s="103" t="n"/>
      <c r="Y1795" s="103" t="n"/>
      <c r="Z1795" s="103" t="n"/>
      <c r="AA1795" s="103" t="n"/>
      <c r="AB1795" s="103" t="n"/>
      <c r="AC1795" s="103" t="n"/>
      <c r="AD1795" s="103" t="n"/>
      <c r="AE1795" s="103" t="n"/>
      <c r="AF1795" s="103" t="n"/>
      <c r="AG1795" s="103" t="n"/>
      <c r="AH1795" s="103" t="n"/>
      <c r="AI1795" s="103" t="n"/>
      <c r="AJ1795" s="103" t="n"/>
      <c r="AK1795" s="103" t="n"/>
      <c r="AL1795" s="103" t="n"/>
      <c r="AM1795" s="103" t="n"/>
      <c r="AN1795" s="103" t="n"/>
      <c r="AO1795" s="103" t="n"/>
      <c r="AP1795" s="103" t="n"/>
      <c r="AQ1795" s="103" t="n"/>
      <c r="AR1795" s="103" t="n"/>
    </row>
    <row r="1798">
      <c r="A1798" s="2">
        <f>IF($A1791="","","   projections")</f>
        <v/>
      </c>
      <c r="B1798" s="99">
        <f>IF($A1791="",0,COUNT($E1799:$AR1799))</f>
        <v/>
      </c>
      <c r="C1798" s="100">
        <f>IF($B1798=0,0,MAX($E1799:$AR1799))</f>
        <v/>
      </c>
      <c r="D1798" s="101">
        <f>BDS($A1791,FLD_PROJ,"headers=y","startcol=1","endcol=3","dir=h")</f>
        <v/>
      </c>
      <c r="E1798" s="102" t="n"/>
      <c r="F1798" s="102" t="n"/>
      <c r="G1798" s="102" t="n"/>
      <c r="H1798" s="102" t="n"/>
      <c r="I1798" s="102" t="n"/>
      <c r="J1798" s="102" t="n"/>
      <c r="K1798" s="102" t="n"/>
      <c r="L1798" s="102" t="n"/>
      <c r="M1798" s="102" t="n"/>
      <c r="N1798" s="102" t="n"/>
      <c r="O1798" s="102" t="n"/>
      <c r="P1798" s="102" t="n"/>
      <c r="Q1798" s="102" t="n"/>
      <c r="R1798" s="102" t="n"/>
      <c r="S1798" s="102" t="n"/>
      <c r="T1798" s="102" t="n"/>
      <c r="U1798" s="102" t="n"/>
      <c r="V1798" s="102" t="n"/>
      <c r="W1798" s="102" t="n"/>
      <c r="X1798" s="102" t="n"/>
      <c r="Y1798" s="102" t="n"/>
      <c r="Z1798" s="102" t="n"/>
      <c r="AA1798" s="102" t="n"/>
      <c r="AB1798" s="102" t="n"/>
      <c r="AC1798" s="102" t="n"/>
      <c r="AD1798" s="102" t="n"/>
      <c r="AE1798" s="102" t="n"/>
      <c r="AF1798" s="102" t="n"/>
      <c r="AG1798" s="102" t="n"/>
      <c r="AH1798" s="102" t="n"/>
      <c r="AI1798" s="102" t="n"/>
      <c r="AJ1798" s="102" t="n"/>
      <c r="AK1798" s="102" t="n"/>
      <c r="AL1798" s="102" t="n"/>
      <c r="AM1798" s="102" t="n"/>
      <c r="AN1798" s="102" t="n"/>
      <c r="AO1798" s="102" t="n"/>
      <c r="AP1798" s="102" t="n"/>
      <c r="AQ1798" s="102" t="n"/>
      <c r="AR1798" s="102" t="n"/>
    </row>
    <row r="1799">
      <c r="D1799" s="102" t="n"/>
      <c r="E1799" s="102" t="n"/>
      <c r="F1799" s="102" t="n"/>
      <c r="G1799" s="102" t="n"/>
      <c r="H1799" s="102" t="n"/>
      <c r="I1799" s="102" t="n"/>
      <c r="J1799" s="102" t="n"/>
      <c r="K1799" s="102" t="n"/>
      <c r="L1799" s="102" t="n"/>
      <c r="M1799" s="102" t="n"/>
      <c r="N1799" s="102" t="n"/>
      <c r="O1799" s="102" t="n"/>
      <c r="P1799" s="102" t="n"/>
      <c r="Q1799" s="102" t="n"/>
      <c r="R1799" s="102" t="n"/>
      <c r="S1799" s="102" t="n"/>
      <c r="T1799" s="102" t="n"/>
      <c r="U1799" s="102" t="n"/>
      <c r="V1799" s="102" t="n"/>
      <c r="W1799" s="102" t="n"/>
      <c r="X1799" s="102" t="n"/>
      <c r="Y1799" s="102" t="n"/>
      <c r="Z1799" s="102" t="n"/>
      <c r="AA1799" s="102" t="n"/>
      <c r="AB1799" s="102" t="n"/>
      <c r="AC1799" s="102" t="n"/>
      <c r="AD1799" s="102" t="n"/>
      <c r="AE1799" s="102" t="n"/>
      <c r="AF1799" s="102" t="n"/>
      <c r="AG1799" s="102" t="n"/>
      <c r="AH1799" s="102" t="n"/>
      <c r="AI1799" s="102" t="n"/>
      <c r="AJ1799" s="102" t="n"/>
      <c r="AK1799" s="102" t="n"/>
      <c r="AL1799" s="102" t="n"/>
      <c r="AM1799" s="102" t="n"/>
      <c r="AN1799" s="102" t="n"/>
      <c r="AO1799" s="102" t="n"/>
      <c r="AP1799" s="102" t="n"/>
      <c r="AQ1799" s="102" t="n"/>
      <c r="AR1799" s="102" t="n"/>
    </row>
    <row r="1800">
      <c r="D1800" s="103" t="n"/>
      <c r="E1800" s="103" t="n"/>
      <c r="F1800" s="103" t="n"/>
      <c r="G1800" s="103" t="n"/>
      <c r="H1800" s="103" t="n"/>
      <c r="I1800" s="103" t="n"/>
      <c r="J1800" s="103" t="n"/>
      <c r="K1800" s="103" t="n"/>
      <c r="L1800" s="103" t="n"/>
      <c r="M1800" s="103" t="n"/>
      <c r="N1800" s="103" t="n"/>
      <c r="O1800" s="103" t="n"/>
      <c r="P1800" s="103" t="n"/>
      <c r="Q1800" s="103" t="n"/>
      <c r="R1800" s="103" t="n"/>
      <c r="S1800" s="103" t="n"/>
      <c r="T1800" s="103" t="n"/>
      <c r="U1800" s="103" t="n"/>
      <c r="V1800" s="103" t="n"/>
      <c r="W1800" s="103" t="n"/>
      <c r="X1800" s="103" t="n"/>
      <c r="Y1800" s="103" t="n"/>
      <c r="Z1800" s="103" t="n"/>
      <c r="AA1800" s="103" t="n"/>
      <c r="AB1800" s="103" t="n"/>
      <c r="AC1800" s="103" t="n"/>
      <c r="AD1800" s="103" t="n"/>
      <c r="AE1800" s="103" t="n"/>
      <c r="AF1800" s="103" t="n"/>
      <c r="AG1800" s="103" t="n"/>
      <c r="AH1800" s="103" t="n"/>
      <c r="AI1800" s="103" t="n"/>
      <c r="AJ1800" s="103" t="n"/>
      <c r="AK1800" s="103" t="n"/>
      <c r="AL1800" s="103" t="n"/>
      <c r="AM1800" s="103" t="n"/>
      <c r="AN1800" s="103" t="n"/>
      <c r="AO1800" s="103" t="n"/>
      <c r="AP1800" s="103" t="n"/>
      <c r="AQ1800" s="103" t="n"/>
      <c r="AR1800" s="103" t="n"/>
    </row>
    <row r="1802">
      <c r="A1802" s="8">
        <f>IF(HSCEI!$C$29="","",HSCEI!$C$29)</f>
        <v/>
      </c>
      <c r="B1802" s="99">
        <f>IF($A1802="",0,COUNT($E1803:$AR1803))</f>
        <v/>
      </c>
      <c r="C1802" s="100">
        <f>IF($B1802=0,0,MAX($E1803:$AR1803))</f>
        <v/>
      </c>
      <c r="D1802" s="101">
        <f>BDS($A1802,FLD_HIST,"headers=y","startcol=1","endcol=7","dir=h","DVD_START_DT",HIST_FROM,"DVD_END_DT",HIST_TO)</f>
        <v/>
      </c>
      <c r="E1802" s="102" t="n"/>
      <c r="F1802" s="102" t="n"/>
      <c r="G1802" s="102" t="n"/>
      <c r="H1802" s="102" t="n"/>
      <c r="I1802" s="102" t="n"/>
      <c r="J1802" s="102" t="n"/>
      <c r="K1802" s="102" t="n"/>
      <c r="L1802" s="102" t="n"/>
      <c r="M1802" s="102" t="n"/>
      <c r="N1802" s="102" t="n"/>
      <c r="O1802" s="102" t="n"/>
      <c r="P1802" s="102" t="n"/>
      <c r="Q1802" s="102" t="n"/>
      <c r="R1802" s="102" t="n"/>
      <c r="S1802" s="102" t="n"/>
      <c r="T1802" s="102" t="n"/>
      <c r="U1802" s="102" t="n"/>
      <c r="V1802" s="102" t="n"/>
      <c r="W1802" s="102" t="n"/>
      <c r="X1802" s="102" t="n"/>
      <c r="Y1802" s="102" t="n"/>
      <c r="Z1802" s="102" t="n"/>
      <c r="AA1802" s="102" t="n"/>
      <c r="AB1802" s="102" t="n"/>
      <c r="AC1802" s="102" t="n"/>
      <c r="AD1802" s="102" t="n"/>
      <c r="AE1802" s="102" t="n"/>
      <c r="AF1802" s="102" t="n"/>
      <c r="AG1802" s="102" t="n"/>
      <c r="AH1802" s="102" t="n"/>
      <c r="AI1802" s="102" t="n"/>
      <c r="AJ1802" s="102" t="n"/>
      <c r="AK1802" s="102" t="n"/>
      <c r="AL1802" s="102" t="n"/>
      <c r="AM1802" s="102" t="n"/>
      <c r="AN1802" s="102" t="n"/>
      <c r="AO1802" s="102" t="n"/>
      <c r="AP1802" s="102" t="n"/>
      <c r="AQ1802" s="102" t="n"/>
      <c r="AR1802" s="102" t="n"/>
    </row>
    <row r="1803">
      <c r="D1803" s="102" t="n"/>
      <c r="E1803" s="102" t="n"/>
      <c r="F1803" s="102" t="n"/>
      <c r="G1803" s="102" t="n"/>
      <c r="H1803" s="102" t="n"/>
      <c r="I1803" s="102" t="n"/>
      <c r="J1803" s="102" t="n"/>
      <c r="K1803" s="102" t="n"/>
      <c r="L1803" s="102" t="n"/>
      <c r="M1803" s="102" t="n"/>
      <c r="N1803" s="102" t="n"/>
      <c r="O1803" s="102" t="n"/>
      <c r="P1803" s="102" t="n"/>
      <c r="Q1803" s="102" t="n"/>
      <c r="R1803" s="102" t="n"/>
      <c r="S1803" s="102" t="n"/>
      <c r="T1803" s="102" t="n"/>
      <c r="U1803" s="102" t="n"/>
      <c r="V1803" s="102" t="n"/>
      <c r="W1803" s="102" t="n"/>
      <c r="X1803" s="102" t="n"/>
      <c r="Y1803" s="102" t="n"/>
      <c r="Z1803" s="102" t="n"/>
      <c r="AA1803" s="102" t="n"/>
      <c r="AB1803" s="102" t="n"/>
      <c r="AC1803" s="102" t="n"/>
      <c r="AD1803" s="102" t="n"/>
      <c r="AE1803" s="102" t="n"/>
      <c r="AF1803" s="102" t="n"/>
      <c r="AG1803" s="102" t="n"/>
      <c r="AH1803" s="102" t="n"/>
      <c r="AI1803" s="102" t="n"/>
      <c r="AJ1803" s="102" t="n"/>
      <c r="AK1803" s="102" t="n"/>
      <c r="AL1803" s="102" t="n"/>
      <c r="AM1803" s="102" t="n"/>
      <c r="AN1803" s="102" t="n"/>
      <c r="AO1803" s="102" t="n"/>
      <c r="AP1803" s="102" t="n"/>
      <c r="AQ1803" s="102" t="n"/>
      <c r="AR1803" s="102" t="n"/>
    </row>
    <row r="1804">
      <c r="D1804" s="102" t="n"/>
      <c r="E1804" s="102" t="n"/>
      <c r="F1804" s="102" t="n"/>
      <c r="G1804" s="102" t="n"/>
      <c r="H1804" s="102" t="n"/>
      <c r="I1804" s="102" t="n"/>
      <c r="J1804" s="102" t="n"/>
      <c r="K1804" s="102" t="n"/>
      <c r="L1804" s="102" t="n"/>
      <c r="M1804" s="102" t="n"/>
      <c r="N1804" s="102" t="n"/>
      <c r="O1804" s="102" t="n"/>
      <c r="P1804" s="102" t="n"/>
      <c r="Q1804" s="102" t="n"/>
      <c r="R1804" s="102" t="n"/>
      <c r="S1804" s="102" t="n"/>
      <c r="T1804" s="102" t="n"/>
      <c r="U1804" s="102" t="n"/>
      <c r="V1804" s="102" t="n"/>
      <c r="W1804" s="102" t="n"/>
      <c r="X1804" s="102" t="n"/>
      <c r="Y1804" s="102" t="n"/>
      <c r="Z1804" s="102" t="n"/>
      <c r="AA1804" s="102" t="n"/>
      <c r="AB1804" s="102" t="n"/>
      <c r="AC1804" s="102" t="n"/>
      <c r="AD1804" s="102" t="n"/>
      <c r="AE1804" s="102" t="n"/>
      <c r="AF1804" s="102" t="n"/>
      <c r="AG1804" s="102" t="n"/>
      <c r="AH1804" s="102" t="n"/>
      <c r="AI1804" s="102" t="n"/>
      <c r="AJ1804" s="102" t="n"/>
      <c r="AK1804" s="102" t="n"/>
      <c r="AL1804" s="102" t="n"/>
      <c r="AM1804" s="102" t="n"/>
      <c r="AN1804" s="102" t="n"/>
      <c r="AO1804" s="102" t="n"/>
      <c r="AP1804" s="102" t="n"/>
      <c r="AQ1804" s="102" t="n"/>
      <c r="AR1804" s="102" t="n"/>
    </row>
    <row r="1805">
      <c r="D1805" s="102" t="n"/>
      <c r="E1805" s="102" t="n"/>
      <c r="F1805" s="102" t="n"/>
      <c r="G1805" s="102" t="n"/>
      <c r="H1805" s="102" t="n"/>
      <c r="I1805" s="102" t="n"/>
      <c r="J1805" s="102" t="n"/>
      <c r="K1805" s="102" t="n"/>
      <c r="L1805" s="102" t="n"/>
      <c r="M1805" s="102" t="n"/>
      <c r="N1805" s="102" t="n"/>
      <c r="O1805" s="102" t="n"/>
      <c r="P1805" s="102" t="n"/>
      <c r="Q1805" s="102" t="n"/>
      <c r="R1805" s="102" t="n"/>
      <c r="S1805" s="102" t="n"/>
      <c r="T1805" s="102" t="n"/>
      <c r="U1805" s="102" t="n"/>
      <c r="V1805" s="102" t="n"/>
      <c r="W1805" s="102" t="n"/>
      <c r="X1805" s="102" t="n"/>
      <c r="Y1805" s="102" t="n"/>
      <c r="Z1805" s="102" t="n"/>
      <c r="AA1805" s="102" t="n"/>
      <c r="AB1805" s="102" t="n"/>
      <c r="AC1805" s="102" t="n"/>
      <c r="AD1805" s="102" t="n"/>
      <c r="AE1805" s="102" t="n"/>
      <c r="AF1805" s="102" t="n"/>
      <c r="AG1805" s="102" t="n"/>
      <c r="AH1805" s="102" t="n"/>
      <c r="AI1805" s="102" t="n"/>
      <c r="AJ1805" s="102" t="n"/>
      <c r="AK1805" s="102" t="n"/>
      <c r="AL1805" s="102" t="n"/>
      <c r="AM1805" s="102" t="n"/>
      <c r="AN1805" s="102" t="n"/>
      <c r="AO1805" s="102" t="n"/>
      <c r="AP1805" s="102" t="n"/>
      <c r="AQ1805" s="102" t="n"/>
      <c r="AR1805" s="102" t="n"/>
    </row>
    <row r="1806">
      <c r="D1806" s="103" t="n"/>
      <c r="E1806" s="103" t="n"/>
      <c r="F1806" s="103" t="n"/>
      <c r="G1806" s="103" t="n"/>
      <c r="H1806" s="103" t="n"/>
      <c r="I1806" s="103" t="n"/>
      <c r="J1806" s="103" t="n"/>
      <c r="K1806" s="103" t="n"/>
      <c r="L1806" s="103" t="n"/>
      <c r="M1806" s="103" t="n"/>
      <c r="N1806" s="103" t="n"/>
      <c r="O1806" s="103" t="n"/>
      <c r="P1806" s="103" t="n"/>
      <c r="Q1806" s="103" t="n"/>
      <c r="R1806" s="103" t="n"/>
      <c r="S1806" s="103" t="n"/>
      <c r="T1806" s="103" t="n"/>
      <c r="U1806" s="103" t="n"/>
      <c r="V1806" s="103" t="n"/>
      <c r="W1806" s="103" t="n"/>
      <c r="X1806" s="103" t="n"/>
      <c r="Y1806" s="103" t="n"/>
      <c r="Z1806" s="103" t="n"/>
      <c r="AA1806" s="103" t="n"/>
      <c r="AB1806" s="103" t="n"/>
      <c r="AC1806" s="103" t="n"/>
      <c r="AD1806" s="103" t="n"/>
      <c r="AE1806" s="103" t="n"/>
      <c r="AF1806" s="103" t="n"/>
      <c r="AG1806" s="103" t="n"/>
      <c r="AH1806" s="103" t="n"/>
      <c r="AI1806" s="103" t="n"/>
      <c r="AJ1806" s="103" t="n"/>
      <c r="AK1806" s="103" t="n"/>
      <c r="AL1806" s="103" t="n"/>
      <c r="AM1806" s="103" t="n"/>
      <c r="AN1806" s="103" t="n"/>
      <c r="AO1806" s="103" t="n"/>
      <c r="AP1806" s="103" t="n"/>
      <c r="AQ1806" s="103" t="n"/>
      <c r="AR1806" s="103" t="n"/>
    </row>
    <row r="1809">
      <c r="A1809" s="2">
        <f>IF($A1802="","","   projections")</f>
        <v/>
      </c>
      <c r="B1809" s="99">
        <f>IF($A1802="",0,COUNT($E1810:$AR1810))</f>
        <v/>
      </c>
      <c r="C1809" s="100">
        <f>IF($B1809=0,0,MAX($E1810:$AR1810))</f>
        <v/>
      </c>
      <c r="D1809" s="101">
        <f>BDS($A1802,FLD_PROJ,"headers=y","startcol=1","endcol=3","dir=h")</f>
        <v/>
      </c>
      <c r="E1809" s="102" t="n"/>
      <c r="F1809" s="102" t="n"/>
      <c r="G1809" s="102" t="n"/>
      <c r="H1809" s="102" t="n"/>
      <c r="I1809" s="102" t="n"/>
      <c r="J1809" s="102" t="n"/>
      <c r="K1809" s="102" t="n"/>
      <c r="L1809" s="102" t="n"/>
      <c r="M1809" s="102" t="n"/>
      <c r="N1809" s="102" t="n"/>
      <c r="O1809" s="102" t="n"/>
      <c r="P1809" s="102" t="n"/>
      <c r="Q1809" s="102" t="n"/>
      <c r="R1809" s="102" t="n"/>
      <c r="S1809" s="102" t="n"/>
      <c r="T1809" s="102" t="n"/>
      <c r="U1809" s="102" t="n"/>
      <c r="V1809" s="102" t="n"/>
      <c r="W1809" s="102" t="n"/>
      <c r="X1809" s="102" t="n"/>
      <c r="Y1809" s="102" t="n"/>
      <c r="Z1809" s="102" t="n"/>
      <c r="AA1809" s="102" t="n"/>
      <c r="AB1809" s="102" t="n"/>
      <c r="AC1809" s="102" t="n"/>
      <c r="AD1809" s="102" t="n"/>
      <c r="AE1809" s="102" t="n"/>
      <c r="AF1809" s="102" t="n"/>
      <c r="AG1809" s="102" t="n"/>
      <c r="AH1809" s="102" t="n"/>
      <c r="AI1809" s="102" t="n"/>
      <c r="AJ1809" s="102" t="n"/>
      <c r="AK1809" s="102" t="n"/>
      <c r="AL1809" s="102" t="n"/>
      <c r="AM1809" s="102" t="n"/>
      <c r="AN1809" s="102" t="n"/>
      <c r="AO1809" s="102" t="n"/>
      <c r="AP1809" s="102" t="n"/>
      <c r="AQ1809" s="102" t="n"/>
      <c r="AR1809" s="102" t="n"/>
    </row>
    <row r="1810">
      <c r="D1810" s="102" t="n"/>
      <c r="E1810" s="102" t="n"/>
      <c r="F1810" s="102" t="n"/>
      <c r="G1810" s="102" t="n"/>
      <c r="H1810" s="102" t="n"/>
      <c r="I1810" s="102" t="n"/>
      <c r="J1810" s="102" t="n"/>
      <c r="K1810" s="102" t="n"/>
      <c r="L1810" s="102" t="n"/>
      <c r="M1810" s="102" t="n"/>
      <c r="N1810" s="102" t="n"/>
      <c r="O1810" s="102" t="n"/>
      <c r="P1810" s="102" t="n"/>
      <c r="Q1810" s="102" t="n"/>
      <c r="R1810" s="102" t="n"/>
      <c r="S1810" s="102" t="n"/>
      <c r="T1810" s="102" t="n"/>
      <c r="U1810" s="102" t="n"/>
      <c r="V1810" s="102" t="n"/>
      <c r="W1810" s="102" t="n"/>
      <c r="X1810" s="102" t="n"/>
      <c r="Y1810" s="102" t="n"/>
      <c r="Z1810" s="102" t="n"/>
      <c r="AA1810" s="102" t="n"/>
      <c r="AB1810" s="102" t="n"/>
      <c r="AC1810" s="102" t="n"/>
      <c r="AD1810" s="102" t="n"/>
      <c r="AE1810" s="102" t="n"/>
      <c r="AF1810" s="102" t="n"/>
      <c r="AG1810" s="102" t="n"/>
      <c r="AH1810" s="102" t="n"/>
      <c r="AI1810" s="102" t="n"/>
      <c r="AJ1810" s="102" t="n"/>
      <c r="AK1810" s="102" t="n"/>
      <c r="AL1810" s="102" t="n"/>
      <c r="AM1810" s="102" t="n"/>
      <c r="AN1810" s="102" t="n"/>
      <c r="AO1810" s="102" t="n"/>
      <c r="AP1810" s="102" t="n"/>
      <c r="AQ1810" s="102" t="n"/>
      <c r="AR1810" s="102" t="n"/>
    </row>
    <row r="1811">
      <c r="D1811" s="103" t="n"/>
      <c r="E1811" s="103" t="n"/>
      <c r="F1811" s="103" t="n"/>
      <c r="G1811" s="103" t="n"/>
      <c r="H1811" s="103" t="n"/>
      <c r="I1811" s="103" t="n"/>
      <c r="J1811" s="103" t="n"/>
      <c r="K1811" s="103" t="n"/>
      <c r="L1811" s="103" t="n"/>
      <c r="M1811" s="103" t="n"/>
      <c r="N1811" s="103" t="n"/>
      <c r="O1811" s="103" t="n"/>
      <c r="P1811" s="103" t="n"/>
      <c r="Q1811" s="103" t="n"/>
      <c r="R1811" s="103" t="n"/>
      <c r="S1811" s="103" t="n"/>
      <c r="T1811" s="103" t="n"/>
      <c r="U1811" s="103" t="n"/>
      <c r="V1811" s="103" t="n"/>
      <c r="W1811" s="103" t="n"/>
      <c r="X1811" s="103" t="n"/>
      <c r="Y1811" s="103" t="n"/>
      <c r="Z1811" s="103" t="n"/>
      <c r="AA1811" s="103" t="n"/>
      <c r="AB1811" s="103" t="n"/>
      <c r="AC1811" s="103" t="n"/>
      <c r="AD1811" s="103" t="n"/>
      <c r="AE1811" s="103" t="n"/>
      <c r="AF1811" s="103" t="n"/>
      <c r="AG1811" s="103" t="n"/>
      <c r="AH1811" s="103" t="n"/>
      <c r="AI1811" s="103" t="n"/>
      <c r="AJ1811" s="103" t="n"/>
      <c r="AK1811" s="103" t="n"/>
      <c r="AL1811" s="103" t="n"/>
      <c r="AM1811" s="103" t="n"/>
      <c r="AN1811" s="103" t="n"/>
      <c r="AO1811" s="103" t="n"/>
      <c r="AP1811" s="103" t="n"/>
      <c r="AQ1811" s="103" t="n"/>
      <c r="AR1811" s="103" t="n"/>
    </row>
    <row r="1813">
      <c r="A1813" s="8">
        <f>IF(HSCEI!$C$30="","",HSCEI!$C$30)</f>
        <v/>
      </c>
      <c r="B1813" s="99">
        <f>IF($A1813="",0,COUNT($E1814:$AR1814))</f>
        <v/>
      </c>
      <c r="C1813" s="100">
        <f>IF($B1813=0,0,MAX($E1814:$AR1814))</f>
        <v/>
      </c>
      <c r="D1813" s="101">
        <f>BDS($A1813,FLD_HIST,"headers=y","startcol=1","endcol=7","dir=h","DVD_START_DT",HIST_FROM,"DVD_END_DT",HIST_TO)</f>
        <v/>
      </c>
      <c r="E1813" s="102" t="n"/>
      <c r="F1813" s="102" t="n"/>
      <c r="G1813" s="102" t="n"/>
      <c r="H1813" s="102" t="n"/>
      <c r="I1813" s="102" t="n"/>
      <c r="J1813" s="102" t="n"/>
      <c r="K1813" s="102" t="n"/>
      <c r="L1813" s="102" t="n"/>
      <c r="M1813" s="102" t="n"/>
      <c r="N1813" s="102" t="n"/>
      <c r="O1813" s="102" t="n"/>
      <c r="P1813" s="102" t="n"/>
      <c r="Q1813" s="102" t="n"/>
      <c r="R1813" s="102" t="n"/>
      <c r="S1813" s="102" t="n"/>
      <c r="T1813" s="102" t="n"/>
      <c r="U1813" s="102" t="n"/>
      <c r="V1813" s="102" t="n"/>
      <c r="W1813" s="102" t="n"/>
      <c r="X1813" s="102" t="n"/>
      <c r="Y1813" s="102" t="n"/>
      <c r="Z1813" s="102" t="n"/>
      <c r="AA1813" s="102" t="n"/>
      <c r="AB1813" s="102" t="n"/>
      <c r="AC1813" s="102" t="n"/>
      <c r="AD1813" s="102" t="n"/>
      <c r="AE1813" s="102" t="n"/>
      <c r="AF1813" s="102" t="n"/>
      <c r="AG1813" s="102" t="n"/>
      <c r="AH1813" s="102" t="n"/>
      <c r="AI1813" s="102" t="n"/>
      <c r="AJ1813" s="102" t="n"/>
      <c r="AK1813" s="102" t="n"/>
      <c r="AL1813" s="102" t="n"/>
      <c r="AM1813" s="102" t="n"/>
      <c r="AN1813" s="102" t="n"/>
      <c r="AO1813" s="102" t="n"/>
      <c r="AP1813" s="102" t="n"/>
      <c r="AQ1813" s="102" t="n"/>
      <c r="AR1813" s="102" t="n"/>
    </row>
    <row r="1814">
      <c r="D1814" s="102" t="n"/>
      <c r="E1814" s="102" t="n"/>
      <c r="F1814" s="102" t="n"/>
      <c r="G1814" s="102" t="n"/>
      <c r="H1814" s="102" t="n"/>
      <c r="I1814" s="102" t="n"/>
      <c r="J1814" s="102" t="n"/>
      <c r="K1814" s="102" t="n"/>
      <c r="L1814" s="102" t="n"/>
      <c r="M1814" s="102" t="n"/>
      <c r="N1814" s="102" t="n"/>
      <c r="O1814" s="102" t="n"/>
      <c r="P1814" s="102" t="n"/>
      <c r="Q1814" s="102" t="n"/>
      <c r="R1814" s="102" t="n"/>
      <c r="S1814" s="102" t="n"/>
      <c r="T1814" s="102" t="n"/>
      <c r="U1814" s="102" t="n"/>
      <c r="V1814" s="102" t="n"/>
      <c r="W1814" s="102" t="n"/>
      <c r="X1814" s="102" t="n"/>
      <c r="Y1814" s="102" t="n"/>
      <c r="Z1814" s="102" t="n"/>
      <c r="AA1814" s="102" t="n"/>
      <c r="AB1814" s="102" t="n"/>
      <c r="AC1814" s="102" t="n"/>
      <c r="AD1814" s="102" t="n"/>
      <c r="AE1814" s="102" t="n"/>
      <c r="AF1814" s="102" t="n"/>
      <c r="AG1814" s="102" t="n"/>
      <c r="AH1814" s="102" t="n"/>
      <c r="AI1814" s="102" t="n"/>
      <c r="AJ1814" s="102" t="n"/>
      <c r="AK1814" s="102" t="n"/>
      <c r="AL1814" s="102" t="n"/>
      <c r="AM1814" s="102" t="n"/>
      <c r="AN1814" s="102" t="n"/>
      <c r="AO1814" s="102" t="n"/>
      <c r="AP1814" s="102" t="n"/>
      <c r="AQ1814" s="102" t="n"/>
      <c r="AR1814" s="102" t="n"/>
    </row>
    <row r="1815">
      <c r="D1815" s="102" t="n"/>
      <c r="E1815" s="102" t="n"/>
      <c r="F1815" s="102" t="n"/>
      <c r="G1815" s="102" t="n"/>
      <c r="H1815" s="102" t="n"/>
      <c r="I1815" s="102" t="n"/>
      <c r="J1815" s="102" t="n"/>
      <c r="K1815" s="102" t="n"/>
      <c r="L1815" s="102" t="n"/>
      <c r="M1815" s="102" t="n"/>
      <c r="N1815" s="102" t="n"/>
      <c r="O1815" s="102" t="n"/>
      <c r="P1815" s="102" t="n"/>
      <c r="Q1815" s="102" t="n"/>
      <c r="R1815" s="102" t="n"/>
      <c r="S1815" s="102" t="n"/>
      <c r="T1815" s="102" t="n"/>
      <c r="U1815" s="102" t="n"/>
      <c r="V1815" s="102" t="n"/>
      <c r="W1815" s="102" t="n"/>
      <c r="X1815" s="102" t="n"/>
      <c r="Y1815" s="102" t="n"/>
      <c r="Z1815" s="102" t="n"/>
      <c r="AA1815" s="102" t="n"/>
      <c r="AB1815" s="102" t="n"/>
      <c r="AC1815" s="102" t="n"/>
      <c r="AD1815" s="102" t="n"/>
      <c r="AE1815" s="102" t="n"/>
      <c r="AF1815" s="102" t="n"/>
      <c r="AG1815" s="102" t="n"/>
      <c r="AH1815" s="102" t="n"/>
      <c r="AI1815" s="102" t="n"/>
      <c r="AJ1815" s="102" t="n"/>
      <c r="AK1815" s="102" t="n"/>
      <c r="AL1815" s="102" t="n"/>
      <c r="AM1815" s="102" t="n"/>
      <c r="AN1815" s="102" t="n"/>
      <c r="AO1815" s="102" t="n"/>
      <c r="AP1815" s="102" t="n"/>
      <c r="AQ1815" s="102" t="n"/>
      <c r="AR1815" s="102" t="n"/>
    </row>
    <row r="1816">
      <c r="D1816" s="102" t="n"/>
      <c r="E1816" s="102" t="n"/>
      <c r="F1816" s="102" t="n"/>
      <c r="G1816" s="102" t="n"/>
      <c r="H1816" s="102" t="n"/>
      <c r="I1816" s="102" t="n"/>
      <c r="J1816" s="102" t="n"/>
      <c r="K1816" s="102" t="n"/>
      <c r="L1816" s="102" t="n"/>
      <c r="M1816" s="102" t="n"/>
      <c r="N1816" s="102" t="n"/>
      <c r="O1816" s="102" t="n"/>
      <c r="P1816" s="102" t="n"/>
      <c r="Q1816" s="102" t="n"/>
      <c r="R1816" s="102" t="n"/>
      <c r="S1816" s="102" t="n"/>
      <c r="T1816" s="102" t="n"/>
      <c r="U1816" s="102" t="n"/>
      <c r="V1816" s="102" t="n"/>
      <c r="W1816" s="102" t="n"/>
      <c r="X1816" s="102" t="n"/>
      <c r="Y1816" s="102" t="n"/>
      <c r="Z1816" s="102" t="n"/>
      <c r="AA1816" s="102" t="n"/>
      <c r="AB1816" s="102" t="n"/>
      <c r="AC1816" s="102" t="n"/>
      <c r="AD1816" s="102" t="n"/>
      <c r="AE1816" s="102" t="n"/>
      <c r="AF1816" s="102" t="n"/>
      <c r="AG1816" s="102" t="n"/>
      <c r="AH1816" s="102" t="n"/>
      <c r="AI1816" s="102" t="n"/>
      <c r="AJ1816" s="102" t="n"/>
      <c r="AK1816" s="102" t="n"/>
      <c r="AL1816" s="102" t="n"/>
      <c r="AM1816" s="102" t="n"/>
      <c r="AN1816" s="102" t="n"/>
      <c r="AO1816" s="102" t="n"/>
      <c r="AP1816" s="102" t="n"/>
      <c r="AQ1816" s="102" t="n"/>
      <c r="AR1816" s="102" t="n"/>
    </row>
    <row r="1817">
      <c r="D1817" s="103" t="n"/>
      <c r="E1817" s="103" t="n"/>
      <c r="F1817" s="103" t="n"/>
      <c r="G1817" s="103" t="n"/>
      <c r="H1817" s="103" t="n"/>
      <c r="I1817" s="103" t="n"/>
      <c r="J1817" s="103" t="n"/>
      <c r="K1817" s="103" t="n"/>
      <c r="L1817" s="103" t="n"/>
      <c r="M1817" s="103" t="n"/>
      <c r="N1817" s="103" t="n"/>
      <c r="O1817" s="103" t="n"/>
      <c r="P1817" s="103" t="n"/>
      <c r="Q1817" s="103" t="n"/>
      <c r="R1817" s="103" t="n"/>
      <c r="S1817" s="103" t="n"/>
      <c r="T1817" s="103" t="n"/>
      <c r="U1817" s="103" t="n"/>
      <c r="V1817" s="103" t="n"/>
      <c r="W1817" s="103" t="n"/>
      <c r="X1817" s="103" t="n"/>
      <c r="Y1817" s="103" t="n"/>
      <c r="Z1817" s="103" t="n"/>
      <c r="AA1817" s="103" t="n"/>
      <c r="AB1817" s="103" t="n"/>
      <c r="AC1817" s="103" t="n"/>
      <c r="AD1817" s="103" t="n"/>
      <c r="AE1817" s="103" t="n"/>
      <c r="AF1817" s="103" t="n"/>
      <c r="AG1817" s="103" t="n"/>
      <c r="AH1817" s="103" t="n"/>
      <c r="AI1817" s="103" t="n"/>
      <c r="AJ1817" s="103" t="n"/>
      <c r="AK1817" s="103" t="n"/>
      <c r="AL1817" s="103" t="n"/>
      <c r="AM1817" s="103" t="n"/>
      <c r="AN1817" s="103" t="n"/>
      <c r="AO1817" s="103" t="n"/>
      <c r="AP1817" s="103" t="n"/>
      <c r="AQ1817" s="103" t="n"/>
      <c r="AR1817" s="103" t="n"/>
    </row>
    <row r="1820">
      <c r="A1820" s="2">
        <f>IF($A1813="","","   projections")</f>
        <v/>
      </c>
      <c r="B1820" s="99">
        <f>IF($A1813="",0,COUNT($E1821:$AR1821))</f>
        <v/>
      </c>
      <c r="C1820" s="100">
        <f>IF($B1820=0,0,MAX($E1821:$AR1821))</f>
        <v/>
      </c>
      <c r="D1820" s="101">
        <f>BDS($A1813,FLD_PROJ,"headers=y","startcol=1","endcol=3","dir=h")</f>
        <v/>
      </c>
      <c r="E1820" s="102" t="n"/>
      <c r="F1820" s="102" t="n"/>
      <c r="G1820" s="102" t="n"/>
      <c r="H1820" s="102" t="n"/>
      <c r="I1820" s="102" t="n"/>
      <c r="J1820" s="102" t="n"/>
      <c r="K1820" s="102" t="n"/>
      <c r="L1820" s="102" t="n"/>
      <c r="M1820" s="102" t="n"/>
      <c r="N1820" s="102" t="n"/>
      <c r="O1820" s="102" t="n"/>
      <c r="P1820" s="102" t="n"/>
      <c r="Q1820" s="102" t="n"/>
      <c r="R1820" s="102" t="n"/>
      <c r="S1820" s="102" t="n"/>
      <c r="T1820" s="102" t="n"/>
      <c r="U1820" s="102" t="n"/>
      <c r="V1820" s="102" t="n"/>
      <c r="W1820" s="102" t="n"/>
      <c r="X1820" s="102" t="n"/>
      <c r="Y1820" s="102" t="n"/>
      <c r="Z1820" s="102" t="n"/>
      <c r="AA1820" s="102" t="n"/>
      <c r="AB1820" s="102" t="n"/>
      <c r="AC1820" s="102" t="n"/>
      <c r="AD1820" s="102" t="n"/>
      <c r="AE1820" s="102" t="n"/>
      <c r="AF1820" s="102" t="n"/>
      <c r="AG1820" s="102" t="n"/>
      <c r="AH1820" s="102" t="n"/>
      <c r="AI1820" s="102" t="n"/>
      <c r="AJ1820" s="102" t="n"/>
      <c r="AK1820" s="102" t="n"/>
      <c r="AL1820" s="102" t="n"/>
      <c r="AM1820" s="102" t="n"/>
      <c r="AN1820" s="102" t="n"/>
      <c r="AO1820" s="102" t="n"/>
      <c r="AP1820" s="102" t="n"/>
      <c r="AQ1820" s="102" t="n"/>
      <c r="AR1820" s="102" t="n"/>
    </row>
    <row r="1821">
      <c r="D1821" s="102" t="n"/>
      <c r="E1821" s="102" t="n"/>
      <c r="F1821" s="102" t="n"/>
      <c r="G1821" s="102" t="n"/>
      <c r="H1821" s="102" t="n"/>
      <c r="I1821" s="102" t="n"/>
      <c r="J1821" s="102" t="n"/>
      <c r="K1821" s="102" t="n"/>
      <c r="L1821" s="102" t="n"/>
      <c r="M1821" s="102" t="n"/>
      <c r="N1821" s="102" t="n"/>
      <c r="O1821" s="102" t="n"/>
      <c r="P1821" s="102" t="n"/>
      <c r="Q1821" s="102" t="n"/>
      <c r="R1821" s="102" t="n"/>
      <c r="S1821" s="102" t="n"/>
      <c r="T1821" s="102" t="n"/>
      <c r="U1821" s="102" t="n"/>
      <c r="V1821" s="102" t="n"/>
      <c r="W1821" s="102" t="n"/>
      <c r="X1821" s="102" t="n"/>
      <c r="Y1821" s="102" t="n"/>
      <c r="Z1821" s="102" t="n"/>
      <c r="AA1821" s="102" t="n"/>
      <c r="AB1821" s="102" t="n"/>
      <c r="AC1821" s="102" t="n"/>
      <c r="AD1821" s="102" t="n"/>
      <c r="AE1821" s="102" t="n"/>
      <c r="AF1821" s="102" t="n"/>
      <c r="AG1821" s="102" t="n"/>
      <c r="AH1821" s="102" t="n"/>
      <c r="AI1821" s="102" t="n"/>
      <c r="AJ1821" s="102" t="n"/>
      <c r="AK1821" s="102" t="n"/>
      <c r="AL1821" s="102" t="n"/>
      <c r="AM1821" s="102" t="n"/>
      <c r="AN1821" s="102" t="n"/>
      <c r="AO1821" s="102" t="n"/>
      <c r="AP1821" s="102" t="n"/>
      <c r="AQ1821" s="102" t="n"/>
      <c r="AR1821" s="102" t="n"/>
    </row>
    <row r="1822">
      <c r="D1822" s="103" t="n"/>
      <c r="E1822" s="103" t="n"/>
      <c r="F1822" s="103" t="n"/>
      <c r="G1822" s="103" t="n"/>
      <c r="H1822" s="103" t="n"/>
      <c r="I1822" s="103" t="n"/>
      <c r="J1822" s="103" t="n"/>
      <c r="K1822" s="103" t="n"/>
      <c r="L1822" s="103" t="n"/>
      <c r="M1822" s="103" t="n"/>
      <c r="N1822" s="103" t="n"/>
      <c r="O1822" s="103" t="n"/>
      <c r="P1822" s="103" t="n"/>
      <c r="Q1822" s="103" t="n"/>
      <c r="R1822" s="103" t="n"/>
      <c r="S1822" s="103" t="n"/>
      <c r="T1822" s="103" t="n"/>
      <c r="U1822" s="103" t="n"/>
      <c r="V1822" s="103" t="n"/>
      <c r="W1822" s="103" t="n"/>
      <c r="X1822" s="103" t="n"/>
      <c r="Y1822" s="103" t="n"/>
      <c r="Z1822" s="103" t="n"/>
      <c r="AA1822" s="103" t="n"/>
      <c r="AB1822" s="103" t="n"/>
      <c r="AC1822" s="103" t="n"/>
      <c r="AD1822" s="103" t="n"/>
      <c r="AE1822" s="103" t="n"/>
      <c r="AF1822" s="103" t="n"/>
      <c r="AG1822" s="103" t="n"/>
      <c r="AH1822" s="103" t="n"/>
      <c r="AI1822" s="103" t="n"/>
      <c r="AJ1822" s="103" t="n"/>
      <c r="AK1822" s="103" t="n"/>
      <c r="AL1822" s="103" t="n"/>
      <c r="AM1822" s="103" t="n"/>
      <c r="AN1822" s="103" t="n"/>
      <c r="AO1822" s="103" t="n"/>
      <c r="AP1822" s="103" t="n"/>
      <c r="AQ1822" s="103" t="n"/>
      <c r="AR1822" s="103" t="n"/>
    </row>
    <row r="1824">
      <c r="A1824" s="8">
        <f>IF(HSCEI!$C$31="","",HSCEI!$C$31)</f>
        <v/>
      </c>
      <c r="B1824" s="99">
        <f>IF($A1824="",0,COUNT($E1825:$AR1825))</f>
        <v/>
      </c>
      <c r="C1824" s="100">
        <f>IF($B1824=0,0,MAX($E1825:$AR1825))</f>
        <v/>
      </c>
      <c r="D1824" s="101">
        <f>BDS($A1824,FLD_HIST,"headers=y","startcol=1","endcol=7","dir=h","DVD_START_DT",HIST_FROM,"DVD_END_DT",HIST_TO)</f>
        <v/>
      </c>
      <c r="E1824" s="102" t="n"/>
      <c r="F1824" s="102" t="n"/>
      <c r="G1824" s="102" t="n"/>
      <c r="H1824" s="102" t="n"/>
      <c r="I1824" s="102" t="n"/>
      <c r="J1824" s="102" t="n"/>
      <c r="K1824" s="102" t="n"/>
      <c r="L1824" s="102" t="n"/>
      <c r="M1824" s="102" t="n"/>
      <c r="N1824" s="102" t="n"/>
      <c r="O1824" s="102" t="n"/>
      <c r="P1824" s="102" t="n"/>
      <c r="Q1824" s="102" t="n"/>
      <c r="R1824" s="102" t="n"/>
      <c r="S1824" s="102" t="n"/>
      <c r="T1824" s="102" t="n"/>
      <c r="U1824" s="102" t="n"/>
      <c r="V1824" s="102" t="n"/>
      <c r="W1824" s="102" t="n"/>
      <c r="X1824" s="102" t="n"/>
      <c r="Y1824" s="102" t="n"/>
      <c r="Z1824" s="102" t="n"/>
      <c r="AA1824" s="102" t="n"/>
      <c r="AB1824" s="102" t="n"/>
      <c r="AC1824" s="102" t="n"/>
      <c r="AD1824" s="102" t="n"/>
      <c r="AE1824" s="102" t="n"/>
      <c r="AF1824" s="102" t="n"/>
      <c r="AG1824" s="102" t="n"/>
      <c r="AH1824" s="102" t="n"/>
      <c r="AI1824" s="102" t="n"/>
      <c r="AJ1824" s="102" t="n"/>
      <c r="AK1824" s="102" t="n"/>
      <c r="AL1824" s="102" t="n"/>
      <c r="AM1824" s="102" t="n"/>
      <c r="AN1824" s="102" t="n"/>
      <c r="AO1824" s="102" t="n"/>
      <c r="AP1824" s="102" t="n"/>
      <c r="AQ1824" s="102" t="n"/>
      <c r="AR1824" s="102" t="n"/>
    </row>
    <row r="1825">
      <c r="D1825" s="102" t="n"/>
      <c r="E1825" s="102" t="n"/>
      <c r="F1825" s="102" t="n"/>
      <c r="G1825" s="102" t="n"/>
      <c r="H1825" s="102" t="n"/>
      <c r="I1825" s="102" t="n"/>
      <c r="J1825" s="102" t="n"/>
      <c r="K1825" s="102" t="n"/>
      <c r="L1825" s="102" t="n"/>
      <c r="M1825" s="102" t="n"/>
      <c r="N1825" s="102" t="n"/>
      <c r="O1825" s="102" t="n"/>
      <c r="P1825" s="102" t="n"/>
      <c r="Q1825" s="102" t="n"/>
      <c r="R1825" s="102" t="n"/>
      <c r="S1825" s="102" t="n"/>
      <c r="T1825" s="102" t="n"/>
      <c r="U1825" s="102" t="n"/>
      <c r="V1825" s="102" t="n"/>
      <c r="W1825" s="102" t="n"/>
      <c r="X1825" s="102" t="n"/>
      <c r="Y1825" s="102" t="n"/>
      <c r="Z1825" s="102" t="n"/>
      <c r="AA1825" s="102" t="n"/>
      <c r="AB1825" s="102" t="n"/>
      <c r="AC1825" s="102" t="n"/>
      <c r="AD1825" s="102" t="n"/>
      <c r="AE1825" s="102" t="n"/>
      <c r="AF1825" s="102" t="n"/>
      <c r="AG1825" s="102" t="n"/>
      <c r="AH1825" s="102" t="n"/>
      <c r="AI1825" s="102" t="n"/>
      <c r="AJ1825" s="102" t="n"/>
      <c r="AK1825" s="102" t="n"/>
      <c r="AL1825" s="102" t="n"/>
      <c r="AM1825" s="102" t="n"/>
      <c r="AN1825" s="102" t="n"/>
      <c r="AO1825" s="102" t="n"/>
      <c r="AP1825" s="102" t="n"/>
      <c r="AQ1825" s="102" t="n"/>
      <c r="AR1825" s="102" t="n"/>
    </row>
    <row r="1826">
      <c r="D1826" s="102" t="n"/>
      <c r="E1826" s="102" t="n"/>
      <c r="F1826" s="102" t="n"/>
      <c r="G1826" s="102" t="n"/>
      <c r="H1826" s="102" t="n"/>
      <c r="I1826" s="102" t="n"/>
      <c r="J1826" s="102" t="n"/>
      <c r="K1826" s="102" t="n"/>
      <c r="L1826" s="102" t="n"/>
      <c r="M1826" s="102" t="n"/>
      <c r="N1826" s="102" t="n"/>
      <c r="O1826" s="102" t="n"/>
      <c r="P1826" s="102" t="n"/>
      <c r="Q1826" s="102" t="n"/>
      <c r="R1826" s="102" t="n"/>
      <c r="S1826" s="102" t="n"/>
      <c r="T1826" s="102" t="n"/>
      <c r="U1826" s="102" t="n"/>
      <c r="V1826" s="102" t="n"/>
      <c r="W1826" s="102" t="n"/>
      <c r="X1826" s="102" t="n"/>
      <c r="Y1826" s="102" t="n"/>
      <c r="Z1826" s="102" t="n"/>
      <c r="AA1826" s="102" t="n"/>
      <c r="AB1826" s="102" t="n"/>
      <c r="AC1826" s="102" t="n"/>
      <c r="AD1826" s="102" t="n"/>
      <c r="AE1826" s="102" t="n"/>
      <c r="AF1826" s="102" t="n"/>
      <c r="AG1826" s="102" t="n"/>
      <c r="AH1826" s="102" t="n"/>
      <c r="AI1826" s="102" t="n"/>
      <c r="AJ1826" s="102" t="n"/>
      <c r="AK1826" s="102" t="n"/>
      <c r="AL1826" s="102" t="n"/>
      <c r="AM1826" s="102" t="n"/>
      <c r="AN1826" s="102" t="n"/>
      <c r="AO1826" s="102" t="n"/>
      <c r="AP1826" s="102" t="n"/>
      <c r="AQ1826" s="102" t="n"/>
      <c r="AR1826" s="102" t="n"/>
    </row>
    <row r="1827">
      <c r="D1827" s="102" t="n"/>
      <c r="E1827" s="102" t="n"/>
      <c r="F1827" s="102" t="n"/>
      <c r="G1827" s="102" t="n"/>
      <c r="H1827" s="102" t="n"/>
      <c r="I1827" s="102" t="n"/>
      <c r="J1827" s="102" t="n"/>
      <c r="K1827" s="102" t="n"/>
      <c r="L1827" s="102" t="n"/>
      <c r="M1827" s="102" t="n"/>
      <c r="N1827" s="102" t="n"/>
      <c r="O1827" s="102" t="n"/>
      <c r="P1827" s="102" t="n"/>
      <c r="Q1827" s="102" t="n"/>
      <c r="R1827" s="102" t="n"/>
      <c r="S1827" s="102" t="n"/>
      <c r="T1827" s="102" t="n"/>
      <c r="U1827" s="102" t="n"/>
      <c r="V1827" s="102" t="n"/>
      <c r="W1827" s="102" t="n"/>
      <c r="X1827" s="102" t="n"/>
      <c r="Y1827" s="102" t="n"/>
      <c r="Z1827" s="102" t="n"/>
      <c r="AA1827" s="102" t="n"/>
      <c r="AB1827" s="102" t="n"/>
      <c r="AC1827" s="102" t="n"/>
      <c r="AD1827" s="102" t="n"/>
      <c r="AE1827" s="102" t="n"/>
      <c r="AF1827" s="102" t="n"/>
      <c r="AG1827" s="102" t="n"/>
      <c r="AH1827" s="102" t="n"/>
      <c r="AI1827" s="102" t="n"/>
      <c r="AJ1827" s="102" t="n"/>
      <c r="AK1827" s="102" t="n"/>
      <c r="AL1827" s="102" t="n"/>
      <c r="AM1827" s="102" t="n"/>
      <c r="AN1827" s="102" t="n"/>
      <c r="AO1827" s="102" t="n"/>
      <c r="AP1827" s="102" t="n"/>
      <c r="AQ1827" s="102" t="n"/>
      <c r="AR1827" s="102" t="n"/>
    </row>
    <row r="1828">
      <c r="D1828" s="103" t="n"/>
      <c r="E1828" s="103" t="n"/>
      <c r="F1828" s="103" t="n"/>
      <c r="G1828" s="103" t="n"/>
      <c r="H1828" s="103" t="n"/>
      <c r="I1828" s="103" t="n"/>
      <c r="J1828" s="103" t="n"/>
      <c r="K1828" s="103" t="n"/>
      <c r="L1828" s="103" t="n"/>
      <c r="M1828" s="103" t="n"/>
      <c r="N1828" s="103" t="n"/>
      <c r="O1828" s="103" t="n"/>
      <c r="P1828" s="103" t="n"/>
      <c r="Q1828" s="103" t="n"/>
      <c r="R1828" s="103" t="n"/>
      <c r="S1828" s="103" t="n"/>
      <c r="T1828" s="103" t="n"/>
      <c r="U1828" s="103" t="n"/>
      <c r="V1828" s="103" t="n"/>
      <c r="W1828" s="103" t="n"/>
      <c r="X1828" s="103" t="n"/>
      <c r="Y1828" s="103" t="n"/>
      <c r="Z1828" s="103" t="n"/>
      <c r="AA1828" s="103" t="n"/>
      <c r="AB1828" s="103" t="n"/>
      <c r="AC1828" s="103" t="n"/>
      <c r="AD1828" s="103" t="n"/>
      <c r="AE1828" s="103" t="n"/>
      <c r="AF1828" s="103" t="n"/>
      <c r="AG1828" s="103" t="n"/>
      <c r="AH1828" s="103" t="n"/>
      <c r="AI1828" s="103" t="n"/>
      <c r="AJ1828" s="103" t="n"/>
      <c r="AK1828" s="103" t="n"/>
      <c r="AL1828" s="103" t="n"/>
      <c r="AM1828" s="103" t="n"/>
      <c r="AN1828" s="103" t="n"/>
      <c r="AO1828" s="103" t="n"/>
      <c r="AP1828" s="103" t="n"/>
      <c r="AQ1828" s="103" t="n"/>
      <c r="AR1828" s="103" t="n"/>
    </row>
    <row r="1831">
      <c r="A1831" s="2">
        <f>IF($A1824="","","   projections")</f>
        <v/>
      </c>
      <c r="B1831" s="99">
        <f>IF($A1824="",0,COUNT($E1832:$AR1832))</f>
        <v/>
      </c>
      <c r="C1831" s="100">
        <f>IF($B1831=0,0,MAX($E1832:$AR1832))</f>
        <v/>
      </c>
      <c r="D1831" s="101">
        <f>BDS($A1824,FLD_PROJ,"headers=y","startcol=1","endcol=3","dir=h")</f>
        <v/>
      </c>
      <c r="E1831" s="102" t="n"/>
      <c r="F1831" s="102" t="n"/>
      <c r="G1831" s="102" t="n"/>
      <c r="H1831" s="102" t="n"/>
      <c r="I1831" s="102" t="n"/>
      <c r="J1831" s="102" t="n"/>
      <c r="K1831" s="102" t="n"/>
      <c r="L1831" s="102" t="n"/>
      <c r="M1831" s="102" t="n"/>
      <c r="N1831" s="102" t="n"/>
      <c r="O1831" s="102" t="n"/>
      <c r="P1831" s="102" t="n"/>
      <c r="Q1831" s="102" t="n"/>
      <c r="R1831" s="102" t="n"/>
      <c r="S1831" s="102" t="n"/>
      <c r="T1831" s="102" t="n"/>
      <c r="U1831" s="102" t="n"/>
      <c r="V1831" s="102" t="n"/>
      <c r="W1831" s="102" t="n"/>
      <c r="X1831" s="102" t="n"/>
      <c r="Y1831" s="102" t="n"/>
      <c r="Z1831" s="102" t="n"/>
      <c r="AA1831" s="102" t="n"/>
      <c r="AB1831" s="102" t="n"/>
      <c r="AC1831" s="102" t="n"/>
      <c r="AD1831" s="102" t="n"/>
      <c r="AE1831" s="102" t="n"/>
      <c r="AF1831" s="102" t="n"/>
      <c r="AG1831" s="102" t="n"/>
      <c r="AH1831" s="102" t="n"/>
      <c r="AI1831" s="102" t="n"/>
      <c r="AJ1831" s="102" t="n"/>
      <c r="AK1831" s="102" t="n"/>
      <c r="AL1831" s="102" t="n"/>
      <c r="AM1831" s="102" t="n"/>
      <c r="AN1831" s="102" t="n"/>
      <c r="AO1831" s="102" t="n"/>
      <c r="AP1831" s="102" t="n"/>
      <c r="AQ1831" s="102" t="n"/>
      <c r="AR1831" s="102" t="n"/>
    </row>
    <row r="1832">
      <c r="D1832" s="102" t="n"/>
      <c r="E1832" s="102" t="n"/>
      <c r="F1832" s="102" t="n"/>
      <c r="G1832" s="102" t="n"/>
      <c r="H1832" s="102" t="n"/>
      <c r="I1832" s="102" t="n"/>
      <c r="J1832" s="102" t="n"/>
      <c r="K1832" s="102" t="n"/>
      <c r="L1832" s="102" t="n"/>
      <c r="M1832" s="102" t="n"/>
      <c r="N1832" s="102" t="n"/>
      <c r="O1832" s="102" t="n"/>
      <c r="P1832" s="102" t="n"/>
      <c r="Q1832" s="102" t="n"/>
      <c r="R1832" s="102" t="n"/>
      <c r="S1832" s="102" t="n"/>
      <c r="T1832" s="102" t="n"/>
      <c r="U1832" s="102" t="n"/>
      <c r="V1832" s="102" t="n"/>
      <c r="W1832" s="102" t="n"/>
      <c r="X1832" s="102" t="n"/>
      <c r="Y1832" s="102" t="n"/>
      <c r="Z1832" s="102" t="n"/>
      <c r="AA1832" s="102" t="n"/>
      <c r="AB1832" s="102" t="n"/>
      <c r="AC1832" s="102" t="n"/>
      <c r="AD1832" s="102" t="n"/>
      <c r="AE1832" s="102" t="n"/>
      <c r="AF1832" s="102" t="n"/>
      <c r="AG1832" s="102" t="n"/>
      <c r="AH1832" s="102" t="n"/>
      <c r="AI1832" s="102" t="n"/>
      <c r="AJ1832" s="102" t="n"/>
      <c r="AK1832" s="102" t="n"/>
      <c r="AL1832" s="102" t="n"/>
      <c r="AM1832" s="102" t="n"/>
      <c r="AN1832" s="102" t="n"/>
      <c r="AO1832" s="102" t="n"/>
      <c r="AP1832" s="102" t="n"/>
      <c r="AQ1832" s="102" t="n"/>
      <c r="AR1832" s="102" t="n"/>
    </row>
    <row r="1833">
      <c r="D1833" s="103" t="n"/>
      <c r="E1833" s="103" t="n"/>
      <c r="F1833" s="103" t="n"/>
      <c r="G1833" s="103" t="n"/>
      <c r="H1833" s="103" t="n"/>
      <c r="I1833" s="103" t="n"/>
      <c r="J1833" s="103" t="n"/>
      <c r="K1833" s="103" t="n"/>
      <c r="L1833" s="103" t="n"/>
      <c r="M1833" s="103" t="n"/>
      <c r="N1833" s="103" t="n"/>
      <c r="O1833" s="103" t="n"/>
      <c r="P1833" s="103" t="n"/>
      <c r="Q1833" s="103" t="n"/>
      <c r="R1833" s="103" t="n"/>
      <c r="S1833" s="103" t="n"/>
      <c r="T1833" s="103" t="n"/>
      <c r="U1833" s="103" t="n"/>
      <c r="V1833" s="103" t="n"/>
      <c r="W1833" s="103" t="n"/>
      <c r="X1833" s="103" t="n"/>
      <c r="Y1833" s="103" t="n"/>
      <c r="Z1833" s="103" t="n"/>
      <c r="AA1833" s="103" t="n"/>
      <c r="AB1833" s="103" t="n"/>
      <c r="AC1833" s="103" t="n"/>
      <c r="AD1833" s="103" t="n"/>
      <c r="AE1833" s="103" t="n"/>
      <c r="AF1833" s="103" t="n"/>
      <c r="AG1833" s="103" t="n"/>
      <c r="AH1833" s="103" t="n"/>
      <c r="AI1833" s="103" t="n"/>
      <c r="AJ1833" s="103" t="n"/>
      <c r="AK1833" s="103" t="n"/>
      <c r="AL1833" s="103" t="n"/>
      <c r="AM1833" s="103" t="n"/>
      <c r="AN1833" s="103" t="n"/>
      <c r="AO1833" s="103" t="n"/>
      <c r="AP1833" s="103" t="n"/>
      <c r="AQ1833" s="103" t="n"/>
      <c r="AR1833" s="103" t="n"/>
    </row>
    <row r="1835">
      <c r="A1835" s="8">
        <f>IF(HSCEI!$C$32="","",HSCEI!$C$32)</f>
        <v/>
      </c>
      <c r="B1835" s="99">
        <f>IF($A1835="",0,COUNT($E1836:$AR1836))</f>
        <v/>
      </c>
      <c r="C1835" s="100">
        <f>IF($B1835=0,0,MAX($E1836:$AR1836))</f>
        <v/>
      </c>
      <c r="D1835" s="101">
        <f>BDS($A1835,FLD_HIST,"headers=y","startcol=1","endcol=7","dir=h","DVD_START_DT",HIST_FROM,"DVD_END_DT",HIST_TO)</f>
        <v/>
      </c>
      <c r="E1835" s="102" t="n"/>
      <c r="F1835" s="102" t="n"/>
      <c r="G1835" s="102" t="n"/>
      <c r="H1835" s="102" t="n"/>
      <c r="I1835" s="102" t="n"/>
      <c r="J1835" s="102" t="n"/>
      <c r="K1835" s="102" t="n"/>
      <c r="L1835" s="102" t="n"/>
      <c r="M1835" s="102" t="n"/>
      <c r="N1835" s="102" t="n"/>
      <c r="O1835" s="102" t="n"/>
      <c r="P1835" s="102" t="n"/>
      <c r="Q1835" s="102" t="n"/>
      <c r="R1835" s="102" t="n"/>
      <c r="S1835" s="102" t="n"/>
      <c r="T1835" s="102" t="n"/>
      <c r="U1835" s="102" t="n"/>
      <c r="V1835" s="102" t="n"/>
      <c r="W1835" s="102" t="n"/>
      <c r="X1835" s="102" t="n"/>
      <c r="Y1835" s="102" t="n"/>
      <c r="Z1835" s="102" t="n"/>
      <c r="AA1835" s="102" t="n"/>
      <c r="AB1835" s="102" t="n"/>
      <c r="AC1835" s="102" t="n"/>
      <c r="AD1835" s="102" t="n"/>
      <c r="AE1835" s="102" t="n"/>
      <c r="AF1835" s="102" t="n"/>
      <c r="AG1835" s="102" t="n"/>
      <c r="AH1835" s="102" t="n"/>
      <c r="AI1835" s="102" t="n"/>
      <c r="AJ1835" s="102" t="n"/>
      <c r="AK1835" s="102" t="n"/>
      <c r="AL1835" s="102" t="n"/>
      <c r="AM1835" s="102" t="n"/>
      <c r="AN1835" s="102" t="n"/>
      <c r="AO1835" s="102" t="n"/>
      <c r="AP1835" s="102" t="n"/>
      <c r="AQ1835" s="102" t="n"/>
      <c r="AR1835" s="102" t="n"/>
    </row>
    <row r="1836">
      <c r="D1836" s="102" t="n"/>
      <c r="E1836" s="102" t="n"/>
      <c r="F1836" s="102" t="n"/>
      <c r="G1836" s="102" t="n"/>
      <c r="H1836" s="102" t="n"/>
      <c r="I1836" s="102" t="n"/>
      <c r="J1836" s="102" t="n"/>
      <c r="K1836" s="102" t="n"/>
      <c r="L1836" s="102" t="n"/>
      <c r="M1836" s="102" t="n"/>
      <c r="N1836" s="102" t="n"/>
      <c r="O1836" s="102" t="n"/>
      <c r="P1836" s="102" t="n"/>
      <c r="Q1836" s="102" t="n"/>
      <c r="R1836" s="102" t="n"/>
      <c r="S1836" s="102" t="n"/>
      <c r="T1836" s="102" t="n"/>
      <c r="U1836" s="102" t="n"/>
      <c r="V1836" s="102" t="n"/>
      <c r="W1836" s="102" t="n"/>
      <c r="X1836" s="102" t="n"/>
      <c r="Y1836" s="102" t="n"/>
      <c r="Z1836" s="102" t="n"/>
      <c r="AA1836" s="102" t="n"/>
      <c r="AB1836" s="102" t="n"/>
      <c r="AC1836" s="102" t="n"/>
      <c r="AD1836" s="102" t="n"/>
      <c r="AE1836" s="102" t="n"/>
      <c r="AF1836" s="102" t="n"/>
      <c r="AG1836" s="102" t="n"/>
      <c r="AH1836" s="102" t="n"/>
      <c r="AI1836" s="102" t="n"/>
      <c r="AJ1836" s="102" t="n"/>
      <c r="AK1836" s="102" t="n"/>
      <c r="AL1836" s="102" t="n"/>
      <c r="AM1836" s="102" t="n"/>
      <c r="AN1836" s="102" t="n"/>
      <c r="AO1836" s="102" t="n"/>
      <c r="AP1836" s="102" t="n"/>
      <c r="AQ1836" s="102" t="n"/>
      <c r="AR1836" s="102" t="n"/>
    </row>
    <row r="1837">
      <c r="D1837" s="102" t="n"/>
      <c r="E1837" s="102" t="n"/>
      <c r="F1837" s="102" t="n"/>
      <c r="G1837" s="102" t="n"/>
      <c r="H1837" s="102" t="n"/>
      <c r="I1837" s="102" t="n"/>
      <c r="J1837" s="102" t="n"/>
      <c r="K1837" s="102" t="n"/>
      <c r="L1837" s="102" t="n"/>
      <c r="M1837" s="102" t="n"/>
      <c r="N1837" s="102" t="n"/>
      <c r="O1837" s="102" t="n"/>
      <c r="P1837" s="102" t="n"/>
      <c r="Q1837" s="102" t="n"/>
      <c r="R1837" s="102" t="n"/>
      <c r="S1837" s="102" t="n"/>
      <c r="T1837" s="102" t="n"/>
      <c r="U1837" s="102" t="n"/>
      <c r="V1837" s="102" t="n"/>
      <c r="W1837" s="102" t="n"/>
      <c r="X1837" s="102" t="n"/>
      <c r="Y1837" s="102" t="n"/>
      <c r="Z1837" s="102" t="n"/>
      <c r="AA1837" s="102" t="n"/>
      <c r="AB1837" s="102" t="n"/>
      <c r="AC1837" s="102" t="n"/>
      <c r="AD1837" s="102" t="n"/>
      <c r="AE1837" s="102" t="n"/>
      <c r="AF1837" s="102" t="n"/>
      <c r="AG1837" s="102" t="n"/>
      <c r="AH1837" s="102" t="n"/>
      <c r="AI1837" s="102" t="n"/>
      <c r="AJ1837" s="102" t="n"/>
      <c r="AK1837" s="102" t="n"/>
      <c r="AL1837" s="102" t="n"/>
      <c r="AM1837" s="102" t="n"/>
      <c r="AN1837" s="102" t="n"/>
      <c r="AO1837" s="102" t="n"/>
      <c r="AP1837" s="102" t="n"/>
      <c r="AQ1837" s="102" t="n"/>
      <c r="AR1837" s="102" t="n"/>
    </row>
    <row r="1838">
      <c r="D1838" s="102" t="n"/>
      <c r="E1838" s="102" t="n"/>
      <c r="F1838" s="102" t="n"/>
      <c r="G1838" s="102" t="n"/>
      <c r="H1838" s="102" t="n"/>
      <c r="I1838" s="102" t="n"/>
      <c r="J1838" s="102" t="n"/>
      <c r="K1838" s="102" t="n"/>
      <c r="L1838" s="102" t="n"/>
      <c r="M1838" s="102" t="n"/>
      <c r="N1838" s="102" t="n"/>
      <c r="O1838" s="102" t="n"/>
      <c r="P1838" s="102" t="n"/>
      <c r="Q1838" s="102" t="n"/>
      <c r="R1838" s="102" t="n"/>
      <c r="S1838" s="102" t="n"/>
      <c r="T1838" s="102" t="n"/>
      <c r="U1838" s="102" t="n"/>
      <c r="V1838" s="102" t="n"/>
      <c r="W1838" s="102" t="n"/>
      <c r="X1838" s="102" t="n"/>
      <c r="Y1838" s="102" t="n"/>
      <c r="Z1838" s="102" t="n"/>
      <c r="AA1838" s="102" t="n"/>
      <c r="AB1838" s="102" t="n"/>
      <c r="AC1838" s="102" t="n"/>
      <c r="AD1838" s="102" t="n"/>
      <c r="AE1838" s="102" t="n"/>
      <c r="AF1838" s="102" t="n"/>
      <c r="AG1838" s="102" t="n"/>
      <c r="AH1838" s="102" t="n"/>
      <c r="AI1838" s="102" t="n"/>
      <c r="AJ1838" s="102" t="n"/>
      <c r="AK1838" s="102" t="n"/>
      <c r="AL1838" s="102" t="n"/>
      <c r="AM1838" s="102" t="n"/>
      <c r="AN1838" s="102" t="n"/>
      <c r="AO1838" s="102" t="n"/>
      <c r="AP1838" s="102" t="n"/>
      <c r="AQ1838" s="102" t="n"/>
      <c r="AR1838" s="102" t="n"/>
    </row>
    <row r="1839">
      <c r="D1839" s="103" t="n"/>
      <c r="E1839" s="103" t="n"/>
      <c r="F1839" s="103" t="n"/>
      <c r="G1839" s="103" t="n"/>
      <c r="H1839" s="103" t="n"/>
      <c r="I1839" s="103" t="n"/>
      <c r="J1839" s="103" t="n"/>
      <c r="K1839" s="103" t="n"/>
      <c r="L1839" s="103" t="n"/>
      <c r="M1839" s="103" t="n"/>
      <c r="N1839" s="103" t="n"/>
      <c r="O1839" s="103" t="n"/>
      <c r="P1839" s="103" t="n"/>
      <c r="Q1839" s="103" t="n"/>
      <c r="R1839" s="103" t="n"/>
      <c r="S1839" s="103" t="n"/>
      <c r="T1839" s="103" t="n"/>
      <c r="U1839" s="103" t="n"/>
      <c r="V1839" s="103" t="n"/>
      <c r="W1839" s="103" t="n"/>
      <c r="X1839" s="103" t="n"/>
      <c r="Y1839" s="103" t="n"/>
      <c r="Z1839" s="103" t="n"/>
      <c r="AA1839" s="103" t="n"/>
      <c r="AB1839" s="103" t="n"/>
      <c r="AC1839" s="103" t="n"/>
      <c r="AD1839" s="103" t="n"/>
      <c r="AE1839" s="103" t="n"/>
      <c r="AF1839" s="103" t="n"/>
      <c r="AG1839" s="103" t="n"/>
      <c r="AH1839" s="103" t="n"/>
      <c r="AI1839" s="103" t="n"/>
      <c r="AJ1839" s="103" t="n"/>
      <c r="AK1839" s="103" t="n"/>
      <c r="AL1839" s="103" t="n"/>
      <c r="AM1839" s="103" t="n"/>
      <c r="AN1839" s="103" t="n"/>
      <c r="AO1839" s="103" t="n"/>
      <c r="AP1839" s="103" t="n"/>
      <c r="AQ1839" s="103" t="n"/>
      <c r="AR1839" s="103" t="n"/>
    </row>
    <row r="1842">
      <c r="A1842" s="2">
        <f>IF($A1835="","","   projections")</f>
        <v/>
      </c>
      <c r="B1842" s="99">
        <f>IF($A1835="",0,COUNT($E1843:$AR1843))</f>
        <v/>
      </c>
      <c r="C1842" s="100">
        <f>IF($B1842=0,0,MAX($E1843:$AR1843))</f>
        <v/>
      </c>
      <c r="D1842" s="101">
        <f>BDS($A1835,FLD_PROJ,"headers=y","startcol=1","endcol=3","dir=h")</f>
        <v/>
      </c>
      <c r="E1842" s="102" t="n"/>
      <c r="F1842" s="102" t="n"/>
      <c r="G1842" s="102" t="n"/>
      <c r="H1842" s="102" t="n"/>
      <c r="I1842" s="102" t="n"/>
      <c r="J1842" s="102" t="n"/>
      <c r="K1842" s="102" t="n"/>
      <c r="L1842" s="102" t="n"/>
      <c r="M1842" s="102" t="n"/>
      <c r="N1842" s="102" t="n"/>
      <c r="O1842" s="102" t="n"/>
      <c r="P1842" s="102" t="n"/>
      <c r="Q1842" s="102" t="n"/>
      <c r="R1842" s="102" t="n"/>
      <c r="S1842" s="102" t="n"/>
      <c r="T1842" s="102" t="n"/>
      <c r="U1842" s="102" t="n"/>
      <c r="V1842" s="102" t="n"/>
      <c r="W1842" s="102" t="n"/>
      <c r="X1842" s="102" t="n"/>
      <c r="Y1842" s="102" t="n"/>
      <c r="Z1842" s="102" t="n"/>
      <c r="AA1842" s="102" t="n"/>
      <c r="AB1842" s="102" t="n"/>
      <c r="AC1842" s="102" t="n"/>
      <c r="AD1842" s="102" t="n"/>
      <c r="AE1842" s="102" t="n"/>
      <c r="AF1842" s="102" t="n"/>
      <c r="AG1842" s="102" t="n"/>
      <c r="AH1842" s="102" t="n"/>
      <c r="AI1842" s="102" t="n"/>
      <c r="AJ1842" s="102" t="n"/>
      <c r="AK1842" s="102" t="n"/>
      <c r="AL1842" s="102" t="n"/>
      <c r="AM1842" s="102" t="n"/>
      <c r="AN1842" s="102" t="n"/>
      <c r="AO1842" s="102" t="n"/>
      <c r="AP1842" s="102" t="n"/>
      <c r="AQ1842" s="102" t="n"/>
      <c r="AR1842" s="102" t="n"/>
    </row>
    <row r="1843">
      <c r="D1843" s="102" t="n"/>
      <c r="E1843" s="102" t="n"/>
      <c r="F1843" s="102" t="n"/>
      <c r="G1843" s="102" t="n"/>
      <c r="H1843" s="102" t="n"/>
      <c r="I1843" s="102" t="n"/>
      <c r="J1843" s="102" t="n"/>
      <c r="K1843" s="102" t="n"/>
      <c r="L1843" s="102" t="n"/>
      <c r="M1843" s="102" t="n"/>
      <c r="N1843" s="102" t="n"/>
      <c r="O1843" s="102" t="n"/>
      <c r="P1843" s="102" t="n"/>
      <c r="Q1843" s="102" t="n"/>
      <c r="R1843" s="102" t="n"/>
      <c r="S1843" s="102" t="n"/>
      <c r="T1843" s="102" t="n"/>
      <c r="U1843" s="102" t="n"/>
      <c r="V1843" s="102" t="n"/>
      <c r="W1843" s="102" t="n"/>
      <c r="X1843" s="102" t="n"/>
      <c r="Y1843" s="102" t="n"/>
      <c r="Z1843" s="102" t="n"/>
      <c r="AA1843" s="102" t="n"/>
      <c r="AB1843" s="102" t="n"/>
      <c r="AC1843" s="102" t="n"/>
      <c r="AD1843" s="102" t="n"/>
      <c r="AE1843" s="102" t="n"/>
      <c r="AF1843" s="102" t="n"/>
      <c r="AG1843" s="102" t="n"/>
      <c r="AH1843" s="102" t="n"/>
      <c r="AI1843" s="102" t="n"/>
      <c r="AJ1843" s="102" t="n"/>
      <c r="AK1843" s="102" t="n"/>
      <c r="AL1843" s="102" t="n"/>
      <c r="AM1843" s="102" t="n"/>
      <c r="AN1843" s="102" t="n"/>
      <c r="AO1843" s="102" t="n"/>
      <c r="AP1843" s="102" t="n"/>
      <c r="AQ1843" s="102" t="n"/>
      <c r="AR1843" s="102" t="n"/>
    </row>
    <row r="1844">
      <c r="D1844" s="103" t="n"/>
      <c r="E1844" s="103" t="n"/>
      <c r="F1844" s="103" t="n"/>
      <c r="G1844" s="103" t="n"/>
      <c r="H1844" s="103" t="n"/>
      <c r="I1844" s="103" t="n"/>
      <c r="J1844" s="103" t="n"/>
      <c r="K1844" s="103" t="n"/>
      <c r="L1844" s="103" t="n"/>
      <c r="M1844" s="103" t="n"/>
      <c r="N1844" s="103" t="n"/>
      <c r="O1844" s="103" t="n"/>
      <c r="P1844" s="103" t="n"/>
      <c r="Q1844" s="103" t="n"/>
      <c r="R1844" s="103" t="n"/>
      <c r="S1844" s="103" t="n"/>
      <c r="T1844" s="103" t="n"/>
      <c r="U1844" s="103" t="n"/>
      <c r="V1844" s="103" t="n"/>
      <c r="W1844" s="103" t="n"/>
      <c r="X1844" s="103" t="n"/>
      <c r="Y1844" s="103" t="n"/>
      <c r="Z1844" s="103" t="n"/>
      <c r="AA1844" s="103" t="n"/>
      <c r="AB1844" s="103" t="n"/>
      <c r="AC1844" s="103" t="n"/>
      <c r="AD1844" s="103" t="n"/>
      <c r="AE1844" s="103" t="n"/>
      <c r="AF1844" s="103" t="n"/>
      <c r="AG1844" s="103" t="n"/>
      <c r="AH1844" s="103" t="n"/>
      <c r="AI1844" s="103" t="n"/>
      <c r="AJ1844" s="103" t="n"/>
      <c r="AK1844" s="103" t="n"/>
      <c r="AL1844" s="103" t="n"/>
      <c r="AM1844" s="103" t="n"/>
      <c r="AN1844" s="103" t="n"/>
      <c r="AO1844" s="103" t="n"/>
      <c r="AP1844" s="103" t="n"/>
      <c r="AQ1844" s="103" t="n"/>
      <c r="AR1844" s="103" t="n"/>
    </row>
    <row r="1846">
      <c r="A1846" s="8">
        <f>IF(HSCEI!$C$33="","",HSCEI!$C$33)</f>
        <v/>
      </c>
      <c r="B1846" s="99">
        <f>IF($A1846="",0,COUNT($E1847:$AR1847))</f>
        <v/>
      </c>
      <c r="C1846" s="100">
        <f>IF($B1846=0,0,MAX($E1847:$AR1847))</f>
        <v/>
      </c>
      <c r="D1846" s="101">
        <f>BDS($A1846,FLD_HIST,"headers=y","startcol=1","endcol=7","dir=h","DVD_START_DT",HIST_FROM,"DVD_END_DT",HIST_TO)</f>
        <v/>
      </c>
      <c r="E1846" s="102" t="n"/>
      <c r="F1846" s="102" t="n"/>
      <c r="G1846" s="102" t="n"/>
      <c r="H1846" s="102" t="n"/>
      <c r="I1846" s="102" t="n"/>
      <c r="J1846" s="102" t="n"/>
      <c r="K1846" s="102" t="n"/>
      <c r="L1846" s="102" t="n"/>
      <c r="M1846" s="102" t="n"/>
      <c r="N1846" s="102" t="n"/>
      <c r="O1846" s="102" t="n"/>
      <c r="P1846" s="102" t="n"/>
      <c r="Q1846" s="102" t="n"/>
      <c r="R1846" s="102" t="n"/>
      <c r="S1846" s="102" t="n"/>
      <c r="T1846" s="102" t="n"/>
      <c r="U1846" s="102" t="n"/>
      <c r="V1846" s="102" t="n"/>
      <c r="W1846" s="102" t="n"/>
      <c r="X1846" s="102" t="n"/>
      <c r="Y1846" s="102" t="n"/>
      <c r="Z1846" s="102" t="n"/>
      <c r="AA1846" s="102" t="n"/>
      <c r="AB1846" s="102" t="n"/>
      <c r="AC1846" s="102" t="n"/>
      <c r="AD1846" s="102" t="n"/>
      <c r="AE1846" s="102" t="n"/>
      <c r="AF1846" s="102" t="n"/>
      <c r="AG1846" s="102" t="n"/>
      <c r="AH1846" s="102" t="n"/>
      <c r="AI1846" s="102" t="n"/>
      <c r="AJ1846" s="102" t="n"/>
      <c r="AK1846" s="102" t="n"/>
      <c r="AL1846" s="102" t="n"/>
      <c r="AM1846" s="102" t="n"/>
      <c r="AN1846" s="102" t="n"/>
      <c r="AO1846" s="102" t="n"/>
      <c r="AP1846" s="102" t="n"/>
      <c r="AQ1846" s="102" t="n"/>
      <c r="AR1846" s="102" t="n"/>
    </row>
    <row r="1847">
      <c r="D1847" s="102" t="n"/>
      <c r="E1847" s="102" t="n"/>
      <c r="F1847" s="102" t="n"/>
      <c r="G1847" s="102" t="n"/>
      <c r="H1847" s="102" t="n"/>
      <c r="I1847" s="102" t="n"/>
      <c r="J1847" s="102" t="n"/>
      <c r="K1847" s="102" t="n"/>
      <c r="L1847" s="102" t="n"/>
      <c r="M1847" s="102" t="n"/>
      <c r="N1847" s="102" t="n"/>
      <c r="O1847" s="102" t="n"/>
      <c r="P1847" s="102" t="n"/>
      <c r="Q1847" s="102" t="n"/>
      <c r="R1847" s="102" t="n"/>
      <c r="S1847" s="102" t="n"/>
      <c r="T1847" s="102" t="n"/>
      <c r="U1847" s="102" t="n"/>
      <c r="V1847" s="102" t="n"/>
      <c r="W1847" s="102" t="n"/>
      <c r="X1847" s="102" t="n"/>
      <c r="Y1847" s="102" t="n"/>
      <c r="Z1847" s="102" t="n"/>
      <c r="AA1847" s="102" t="n"/>
      <c r="AB1847" s="102" t="n"/>
      <c r="AC1847" s="102" t="n"/>
      <c r="AD1847" s="102" t="n"/>
      <c r="AE1847" s="102" t="n"/>
      <c r="AF1847" s="102" t="n"/>
      <c r="AG1847" s="102" t="n"/>
      <c r="AH1847" s="102" t="n"/>
      <c r="AI1847" s="102" t="n"/>
      <c r="AJ1847" s="102" t="n"/>
      <c r="AK1847" s="102" t="n"/>
      <c r="AL1847" s="102" t="n"/>
      <c r="AM1847" s="102" t="n"/>
      <c r="AN1847" s="102" t="n"/>
      <c r="AO1847" s="102" t="n"/>
      <c r="AP1847" s="102" t="n"/>
      <c r="AQ1847" s="102" t="n"/>
      <c r="AR1847" s="102" t="n"/>
    </row>
    <row r="1848">
      <c r="D1848" s="102" t="n"/>
      <c r="E1848" s="102" t="n"/>
      <c r="F1848" s="102" t="n"/>
      <c r="G1848" s="102" t="n"/>
      <c r="H1848" s="102" t="n"/>
      <c r="I1848" s="102" t="n"/>
      <c r="J1848" s="102" t="n"/>
      <c r="K1848" s="102" t="n"/>
      <c r="L1848" s="102" t="n"/>
      <c r="M1848" s="102" t="n"/>
      <c r="N1848" s="102" t="n"/>
      <c r="O1848" s="102" t="n"/>
      <c r="P1848" s="102" t="n"/>
      <c r="Q1848" s="102" t="n"/>
      <c r="R1848" s="102" t="n"/>
      <c r="S1848" s="102" t="n"/>
      <c r="T1848" s="102" t="n"/>
      <c r="U1848" s="102" t="n"/>
      <c r="V1848" s="102" t="n"/>
      <c r="W1848" s="102" t="n"/>
      <c r="X1848" s="102" t="n"/>
      <c r="Y1848" s="102" t="n"/>
      <c r="Z1848" s="102" t="n"/>
      <c r="AA1848" s="102" t="n"/>
      <c r="AB1848" s="102" t="n"/>
      <c r="AC1848" s="102" t="n"/>
      <c r="AD1848" s="102" t="n"/>
      <c r="AE1848" s="102" t="n"/>
      <c r="AF1848" s="102" t="n"/>
      <c r="AG1848" s="102" t="n"/>
      <c r="AH1848" s="102" t="n"/>
      <c r="AI1848" s="102" t="n"/>
      <c r="AJ1848" s="102" t="n"/>
      <c r="AK1848" s="102" t="n"/>
      <c r="AL1848" s="102" t="n"/>
      <c r="AM1848" s="102" t="n"/>
      <c r="AN1848" s="102" t="n"/>
      <c r="AO1848" s="102" t="n"/>
      <c r="AP1848" s="102" t="n"/>
      <c r="AQ1848" s="102" t="n"/>
      <c r="AR1848" s="102" t="n"/>
    </row>
    <row r="1849">
      <c r="D1849" s="102" t="n"/>
      <c r="E1849" s="102" t="n"/>
      <c r="F1849" s="102" t="n"/>
      <c r="G1849" s="102" t="n"/>
      <c r="H1849" s="102" t="n"/>
      <c r="I1849" s="102" t="n"/>
      <c r="J1849" s="102" t="n"/>
      <c r="K1849" s="102" t="n"/>
      <c r="L1849" s="102" t="n"/>
      <c r="M1849" s="102" t="n"/>
      <c r="N1849" s="102" t="n"/>
      <c r="O1849" s="102" t="n"/>
      <c r="P1849" s="102" t="n"/>
      <c r="Q1849" s="102" t="n"/>
      <c r="R1849" s="102" t="n"/>
      <c r="S1849" s="102" t="n"/>
      <c r="T1849" s="102" t="n"/>
      <c r="U1849" s="102" t="n"/>
      <c r="V1849" s="102" t="n"/>
      <c r="W1849" s="102" t="n"/>
      <c r="X1849" s="102" t="n"/>
      <c r="Y1849" s="102" t="n"/>
      <c r="Z1849" s="102" t="n"/>
      <c r="AA1849" s="102" t="n"/>
      <c r="AB1849" s="102" t="n"/>
      <c r="AC1849" s="102" t="n"/>
      <c r="AD1849" s="102" t="n"/>
      <c r="AE1849" s="102" t="n"/>
      <c r="AF1849" s="102" t="n"/>
      <c r="AG1849" s="102" t="n"/>
      <c r="AH1849" s="102" t="n"/>
      <c r="AI1849" s="102" t="n"/>
      <c r="AJ1849" s="102" t="n"/>
      <c r="AK1849" s="102" t="n"/>
      <c r="AL1849" s="102" t="n"/>
      <c r="AM1849" s="102" t="n"/>
      <c r="AN1849" s="102" t="n"/>
      <c r="AO1849" s="102" t="n"/>
      <c r="AP1849" s="102" t="n"/>
      <c r="AQ1849" s="102" t="n"/>
      <c r="AR1849" s="102" t="n"/>
    </row>
    <row r="1850">
      <c r="D1850" s="103" t="n"/>
      <c r="E1850" s="103" t="n"/>
      <c r="F1850" s="103" t="n"/>
      <c r="G1850" s="103" t="n"/>
      <c r="H1850" s="103" t="n"/>
      <c r="I1850" s="103" t="n"/>
      <c r="J1850" s="103" t="n"/>
      <c r="K1850" s="103" t="n"/>
      <c r="L1850" s="103" t="n"/>
      <c r="M1850" s="103" t="n"/>
      <c r="N1850" s="103" t="n"/>
      <c r="O1850" s="103" t="n"/>
      <c r="P1850" s="103" t="n"/>
      <c r="Q1850" s="103" t="n"/>
      <c r="R1850" s="103" t="n"/>
      <c r="S1850" s="103" t="n"/>
      <c r="T1850" s="103" t="n"/>
      <c r="U1850" s="103" t="n"/>
      <c r="V1850" s="103" t="n"/>
      <c r="W1850" s="103" t="n"/>
      <c r="X1850" s="103" t="n"/>
      <c r="Y1850" s="103" t="n"/>
      <c r="Z1850" s="103" t="n"/>
      <c r="AA1850" s="103" t="n"/>
      <c r="AB1850" s="103" t="n"/>
      <c r="AC1850" s="103" t="n"/>
      <c r="AD1850" s="103" t="n"/>
      <c r="AE1850" s="103" t="n"/>
      <c r="AF1850" s="103" t="n"/>
      <c r="AG1850" s="103" t="n"/>
      <c r="AH1850" s="103" t="n"/>
      <c r="AI1850" s="103" t="n"/>
      <c r="AJ1850" s="103" t="n"/>
      <c r="AK1850" s="103" t="n"/>
      <c r="AL1850" s="103" t="n"/>
      <c r="AM1850" s="103" t="n"/>
      <c r="AN1850" s="103" t="n"/>
      <c r="AO1850" s="103" t="n"/>
      <c r="AP1850" s="103" t="n"/>
      <c r="AQ1850" s="103" t="n"/>
      <c r="AR1850" s="103" t="n"/>
    </row>
    <row r="1853">
      <c r="A1853" s="2">
        <f>IF($A1846="","","   projections")</f>
        <v/>
      </c>
      <c r="B1853" s="99">
        <f>IF($A1846="",0,COUNT($E1854:$AR1854))</f>
        <v/>
      </c>
      <c r="C1853" s="100">
        <f>IF($B1853=0,0,MAX($E1854:$AR1854))</f>
        <v/>
      </c>
      <c r="D1853" s="101">
        <f>BDS($A1846,FLD_PROJ,"headers=y","startcol=1","endcol=3","dir=h")</f>
        <v/>
      </c>
      <c r="E1853" s="102" t="n"/>
      <c r="F1853" s="102" t="n"/>
      <c r="G1853" s="102" t="n"/>
      <c r="H1853" s="102" t="n"/>
      <c r="I1853" s="102" t="n"/>
      <c r="J1853" s="102" t="n"/>
      <c r="K1853" s="102" t="n"/>
      <c r="L1853" s="102" t="n"/>
      <c r="M1853" s="102" t="n"/>
      <c r="N1853" s="102" t="n"/>
      <c r="O1853" s="102" t="n"/>
      <c r="P1853" s="102" t="n"/>
      <c r="Q1853" s="102" t="n"/>
      <c r="R1853" s="102" t="n"/>
      <c r="S1853" s="102" t="n"/>
      <c r="T1853" s="102" t="n"/>
      <c r="U1853" s="102" t="n"/>
      <c r="V1853" s="102" t="n"/>
      <c r="W1853" s="102" t="n"/>
      <c r="X1853" s="102" t="n"/>
      <c r="Y1853" s="102" t="n"/>
      <c r="Z1853" s="102" t="n"/>
      <c r="AA1853" s="102" t="n"/>
      <c r="AB1853" s="102" t="n"/>
      <c r="AC1853" s="102" t="n"/>
      <c r="AD1853" s="102" t="n"/>
      <c r="AE1853" s="102" t="n"/>
      <c r="AF1853" s="102" t="n"/>
      <c r="AG1853" s="102" t="n"/>
      <c r="AH1853" s="102" t="n"/>
      <c r="AI1853" s="102" t="n"/>
      <c r="AJ1853" s="102" t="n"/>
      <c r="AK1853" s="102" t="n"/>
      <c r="AL1853" s="102" t="n"/>
      <c r="AM1853" s="102" t="n"/>
      <c r="AN1853" s="102" t="n"/>
      <c r="AO1853" s="102" t="n"/>
      <c r="AP1853" s="102" t="n"/>
      <c r="AQ1853" s="102" t="n"/>
      <c r="AR1853" s="102" t="n"/>
    </row>
    <row r="1854">
      <c r="D1854" s="102" t="n"/>
      <c r="E1854" s="102" t="n"/>
      <c r="F1854" s="102" t="n"/>
      <c r="G1854" s="102" t="n"/>
      <c r="H1854" s="102" t="n"/>
      <c r="I1854" s="102" t="n"/>
      <c r="J1854" s="102" t="n"/>
      <c r="K1854" s="102" t="n"/>
      <c r="L1854" s="102" t="n"/>
      <c r="M1854" s="102" t="n"/>
      <c r="N1854" s="102" t="n"/>
      <c r="O1854" s="102" t="n"/>
      <c r="P1854" s="102" t="n"/>
      <c r="Q1854" s="102" t="n"/>
      <c r="R1854" s="102" t="n"/>
      <c r="S1854" s="102" t="n"/>
      <c r="T1854" s="102" t="n"/>
      <c r="U1854" s="102" t="n"/>
      <c r="V1854" s="102" t="n"/>
      <c r="W1854" s="102" t="n"/>
      <c r="X1854" s="102" t="n"/>
      <c r="Y1854" s="102" t="n"/>
      <c r="Z1854" s="102" t="n"/>
      <c r="AA1854" s="102" t="n"/>
      <c r="AB1854" s="102" t="n"/>
      <c r="AC1854" s="102" t="n"/>
      <c r="AD1854" s="102" t="n"/>
      <c r="AE1854" s="102" t="n"/>
      <c r="AF1854" s="102" t="n"/>
      <c r="AG1854" s="102" t="n"/>
      <c r="AH1854" s="102" t="n"/>
      <c r="AI1854" s="102" t="n"/>
      <c r="AJ1854" s="102" t="n"/>
      <c r="AK1854" s="102" t="n"/>
      <c r="AL1854" s="102" t="n"/>
      <c r="AM1854" s="102" t="n"/>
      <c r="AN1854" s="102" t="n"/>
      <c r="AO1854" s="102" t="n"/>
      <c r="AP1854" s="102" t="n"/>
      <c r="AQ1854" s="102" t="n"/>
      <c r="AR1854" s="102" t="n"/>
    </row>
    <row r="1855">
      <c r="D1855" s="103" t="n"/>
      <c r="E1855" s="103" t="n"/>
      <c r="F1855" s="103" t="n"/>
      <c r="G1855" s="103" t="n"/>
      <c r="H1855" s="103" t="n"/>
      <c r="I1855" s="103" t="n"/>
      <c r="J1855" s="103" t="n"/>
      <c r="K1855" s="103" t="n"/>
      <c r="L1855" s="103" t="n"/>
      <c r="M1855" s="103" t="n"/>
      <c r="N1855" s="103" t="n"/>
      <c r="O1855" s="103" t="n"/>
      <c r="P1855" s="103" t="n"/>
      <c r="Q1855" s="103" t="n"/>
      <c r="R1855" s="103" t="n"/>
      <c r="S1855" s="103" t="n"/>
      <c r="T1855" s="103" t="n"/>
      <c r="U1855" s="103" t="n"/>
      <c r="V1855" s="103" t="n"/>
      <c r="W1855" s="103" t="n"/>
      <c r="X1855" s="103" t="n"/>
      <c r="Y1855" s="103" t="n"/>
      <c r="Z1855" s="103" t="n"/>
      <c r="AA1855" s="103" t="n"/>
      <c r="AB1855" s="103" t="n"/>
      <c r="AC1855" s="103" t="n"/>
      <c r="AD1855" s="103" t="n"/>
      <c r="AE1855" s="103" t="n"/>
      <c r="AF1855" s="103" t="n"/>
      <c r="AG1855" s="103" t="n"/>
      <c r="AH1855" s="103" t="n"/>
      <c r="AI1855" s="103" t="n"/>
      <c r="AJ1855" s="103" t="n"/>
      <c r="AK1855" s="103" t="n"/>
      <c r="AL1855" s="103" t="n"/>
      <c r="AM1855" s="103" t="n"/>
      <c r="AN1855" s="103" t="n"/>
      <c r="AO1855" s="103" t="n"/>
      <c r="AP1855" s="103" t="n"/>
      <c r="AQ1855" s="103" t="n"/>
      <c r="AR1855" s="103" t="n"/>
    </row>
    <row r="1857">
      <c r="A1857" s="8">
        <f>IF(HSCEI!$C$34="","",HSCEI!$C$34)</f>
        <v/>
      </c>
      <c r="B1857" s="99">
        <f>IF($A1857="",0,COUNT($E1858:$AR1858))</f>
        <v/>
      </c>
      <c r="C1857" s="100">
        <f>IF($B1857=0,0,MAX($E1858:$AR1858))</f>
        <v/>
      </c>
      <c r="D1857" s="101">
        <f>BDS($A1857,FLD_HIST,"headers=y","startcol=1","endcol=7","dir=h","DVD_START_DT",HIST_FROM,"DVD_END_DT",HIST_TO)</f>
        <v/>
      </c>
      <c r="E1857" s="102" t="n"/>
      <c r="F1857" s="102" t="n"/>
      <c r="G1857" s="102" t="n"/>
      <c r="H1857" s="102" t="n"/>
      <c r="I1857" s="102" t="n"/>
      <c r="J1857" s="102" t="n"/>
      <c r="K1857" s="102" t="n"/>
      <c r="L1857" s="102" t="n"/>
      <c r="M1857" s="102" t="n"/>
      <c r="N1857" s="102" t="n"/>
      <c r="O1857" s="102" t="n"/>
      <c r="P1857" s="102" t="n"/>
      <c r="Q1857" s="102" t="n"/>
      <c r="R1857" s="102" t="n"/>
      <c r="S1857" s="102" t="n"/>
      <c r="T1857" s="102" t="n"/>
      <c r="U1857" s="102" t="n"/>
      <c r="V1857" s="102" t="n"/>
      <c r="W1857" s="102" t="n"/>
      <c r="X1857" s="102" t="n"/>
      <c r="Y1857" s="102" t="n"/>
      <c r="Z1857" s="102" t="n"/>
      <c r="AA1857" s="102" t="n"/>
      <c r="AB1857" s="102" t="n"/>
      <c r="AC1857" s="102" t="n"/>
      <c r="AD1857" s="102" t="n"/>
      <c r="AE1857" s="102" t="n"/>
      <c r="AF1857" s="102" t="n"/>
      <c r="AG1857" s="102" t="n"/>
      <c r="AH1857" s="102" t="n"/>
      <c r="AI1857" s="102" t="n"/>
      <c r="AJ1857" s="102" t="n"/>
      <c r="AK1857" s="102" t="n"/>
      <c r="AL1857" s="102" t="n"/>
      <c r="AM1857" s="102" t="n"/>
      <c r="AN1857" s="102" t="n"/>
      <c r="AO1857" s="102" t="n"/>
      <c r="AP1857" s="102" t="n"/>
      <c r="AQ1857" s="102" t="n"/>
      <c r="AR1857" s="102" t="n"/>
    </row>
    <row r="1858">
      <c r="D1858" s="102" t="n"/>
      <c r="E1858" s="102" t="n"/>
      <c r="F1858" s="102" t="n"/>
      <c r="G1858" s="102" t="n"/>
      <c r="H1858" s="102" t="n"/>
      <c r="I1858" s="102" t="n"/>
      <c r="J1858" s="102" t="n"/>
      <c r="K1858" s="102" t="n"/>
      <c r="L1858" s="102" t="n"/>
      <c r="M1858" s="102" t="n"/>
      <c r="N1858" s="102" t="n"/>
      <c r="O1858" s="102" t="n"/>
      <c r="P1858" s="102" t="n"/>
      <c r="Q1858" s="102" t="n"/>
      <c r="R1858" s="102" t="n"/>
      <c r="S1858" s="102" t="n"/>
      <c r="T1858" s="102" t="n"/>
      <c r="U1858" s="102" t="n"/>
      <c r="V1858" s="102" t="n"/>
      <c r="W1858" s="102" t="n"/>
      <c r="X1858" s="102" t="n"/>
      <c r="Y1858" s="102" t="n"/>
      <c r="Z1858" s="102" t="n"/>
      <c r="AA1858" s="102" t="n"/>
      <c r="AB1858" s="102" t="n"/>
      <c r="AC1858" s="102" t="n"/>
      <c r="AD1858" s="102" t="n"/>
      <c r="AE1858" s="102" t="n"/>
      <c r="AF1858" s="102" t="n"/>
      <c r="AG1858" s="102" t="n"/>
      <c r="AH1858" s="102" t="n"/>
      <c r="AI1858" s="102" t="n"/>
      <c r="AJ1858" s="102" t="n"/>
      <c r="AK1858" s="102" t="n"/>
      <c r="AL1858" s="102" t="n"/>
      <c r="AM1858" s="102" t="n"/>
      <c r="AN1858" s="102" t="n"/>
      <c r="AO1858" s="102" t="n"/>
      <c r="AP1858" s="102" t="n"/>
      <c r="AQ1858" s="102" t="n"/>
      <c r="AR1858" s="102" t="n"/>
    </row>
    <row r="1859">
      <c r="D1859" s="102" t="n"/>
      <c r="E1859" s="102" t="n"/>
      <c r="F1859" s="102" t="n"/>
      <c r="G1859" s="102" t="n"/>
      <c r="H1859" s="102" t="n"/>
      <c r="I1859" s="102" t="n"/>
      <c r="J1859" s="102" t="n"/>
      <c r="K1859" s="102" t="n"/>
      <c r="L1859" s="102" t="n"/>
      <c r="M1859" s="102" t="n"/>
      <c r="N1859" s="102" t="n"/>
      <c r="O1859" s="102" t="n"/>
      <c r="P1859" s="102" t="n"/>
      <c r="Q1859" s="102" t="n"/>
      <c r="R1859" s="102" t="n"/>
      <c r="S1859" s="102" t="n"/>
      <c r="T1859" s="102" t="n"/>
      <c r="U1859" s="102" t="n"/>
      <c r="V1859" s="102" t="n"/>
      <c r="W1859" s="102" t="n"/>
      <c r="X1859" s="102" t="n"/>
      <c r="Y1859" s="102" t="n"/>
      <c r="Z1859" s="102" t="n"/>
      <c r="AA1859" s="102" t="n"/>
      <c r="AB1859" s="102" t="n"/>
      <c r="AC1859" s="102" t="n"/>
      <c r="AD1859" s="102" t="n"/>
      <c r="AE1859" s="102" t="n"/>
      <c r="AF1859" s="102" t="n"/>
      <c r="AG1859" s="102" t="n"/>
      <c r="AH1859" s="102" t="n"/>
      <c r="AI1859" s="102" t="n"/>
      <c r="AJ1859" s="102" t="n"/>
      <c r="AK1859" s="102" t="n"/>
      <c r="AL1859" s="102" t="n"/>
      <c r="AM1859" s="102" t="n"/>
      <c r="AN1859" s="102" t="n"/>
      <c r="AO1859" s="102" t="n"/>
      <c r="AP1859" s="102" t="n"/>
      <c r="AQ1859" s="102" t="n"/>
      <c r="AR1859" s="102" t="n"/>
    </row>
    <row r="1860">
      <c r="D1860" s="102" t="n"/>
      <c r="E1860" s="102" t="n"/>
      <c r="F1860" s="102" t="n"/>
      <c r="G1860" s="102" t="n"/>
      <c r="H1860" s="102" t="n"/>
      <c r="I1860" s="102" t="n"/>
      <c r="J1860" s="102" t="n"/>
      <c r="K1860" s="102" t="n"/>
      <c r="L1860" s="102" t="n"/>
      <c r="M1860" s="102" t="n"/>
      <c r="N1860" s="102" t="n"/>
      <c r="O1860" s="102" t="n"/>
      <c r="P1860" s="102" t="n"/>
      <c r="Q1860" s="102" t="n"/>
      <c r="R1860" s="102" t="n"/>
      <c r="S1860" s="102" t="n"/>
      <c r="T1860" s="102" t="n"/>
      <c r="U1860" s="102" t="n"/>
      <c r="V1860" s="102" t="n"/>
      <c r="W1860" s="102" t="n"/>
      <c r="X1860" s="102" t="n"/>
      <c r="Y1860" s="102" t="n"/>
      <c r="Z1860" s="102" t="n"/>
      <c r="AA1860" s="102" t="n"/>
      <c r="AB1860" s="102" t="n"/>
      <c r="AC1860" s="102" t="n"/>
      <c r="AD1860" s="102" t="n"/>
      <c r="AE1860" s="102" t="n"/>
      <c r="AF1860" s="102" t="n"/>
      <c r="AG1860" s="102" t="n"/>
      <c r="AH1860" s="102" t="n"/>
      <c r="AI1860" s="102" t="n"/>
      <c r="AJ1860" s="102" t="n"/>
      <c r="AK1860" s="102" t="n"/>
      <c r="AL1860" s="102" t="n"/>
      <c r="AM1860" s="102" t="n"/>
      <c r="AN1860" s="102" t="n"/>
      <c r="AO1860" s="102" t="n"/>
      <c r="AP1860" s="102" t="n"/>
      <c r="AQ1860" s="102" t="n"/>
      <c r="AR1860" s="102" t="n"/>
    </row>
    <row r="1861">
      <c r="D1861" s="103" t="n"/>
      <c r="E1861" s="103" t="n"/>
      <c r="F1861" s="103" t="n"/>
      <c r="G1861" s="103" t="n"/>
      <c r="H1861" s="103" t="n"/>
      <c r="I1861" s="103" t="n"/>
      <c r="J1861" s="103" t="n"/>
      <c r="K1861" s="103" t="n"/>
      <c r="L1861" s="103" t="n"/>
      <c r="M1861" s="103" t="n"/>
      <c r="N1861" s="103" t="n"/>
      <c r="O1861" s="103" t="n"/>
      <c r="P1861" s="103" t="n"/>
      <c r="Q1861" s="103" t="n"/>
      <c r="R1861" s="103" t="n"/>
      <c r="S1861" s="103" t="n"/>
      <c r="T1861" s="103" t="n"/>
      <c r="U1861" s="103" t="n"/>
      <c r="V1861" s="103" t="n"/>
      <c r="W1861" s="103" t="n"/>
      <c r="X1861" s="103" t="n"/>
      <c r="Y1861" s="103" t="n"/>
      <c r="Z1861" s="103" t="n"/>
      <c r="AA1861" s="103" t="n"/>
      <c r="AB1861" s="103" t="n"/>
      <c r="AC1861" s="103" t="n"/>
      <c r="AD1861" s="103" t="n"/>
      <c r="AE1861" s="103" t="n"/>
      <c r="AF1861" s="103" t="n"/>
      <c r="AG1861" s="103" t="n"/>
      <c r="AH1861" s="103" t="n"/>
      <c r="AI1861" s="103" t="n"/>
      <c r="AJ1861" s="103" t="n"/>
      <c r="AK1861" s="103" t="n"/>
      <c r="AL1861" s="103" t="n"/>
      <c r="AM1861" s="103" t="n"/>
      <c r="AN1861" s="103" t="n"/>
      <c r="AO1861" s="103" t="n"/>
      <c r="AP1861" s="103" t="n"/>
      <c r="AQ1861" s="103" t="n"/>
      <c r="AR1861" s="103" t="n"/>
    </row>
    <row r="1864">
      <c r="A1864" s="2">
        <f>IF($A1857="","","   projections")</f>
        <v/>
      </c>
      <c r="B1864" s="99">
        <f>IF($A1857="",0,COUNT($E1865:$AR1865))</f>
        <v/>
      </c>
      <c r="C1864" s="100">
        <f>IF($B1864=0,0,MAX($E1865:$AR1865))</f>
        <v/>
      </c>
      <c r="D1864" s="101">
        <f>BDS($A1857,FLD_PROJ,"headers=y","startcol=1","endcol=3","dir=h")</f>
        <v/>
      </c>
      <c r="E1864" s="102" t="n"/>
      <c r="F1864" s="102" t="n"/>
      <c r="G1864" s="102" t="n"/>
      <c r="H1864" s="102" t="n"/>
      <c r="I1864" s="102" t="n"/>
      <c r="J1864" s="102" t="n"/>
      <c r="K1864" s="102" t="n"/>
      <c r="L1864" s="102" t="n"/>
      <c r="M1864" s="102" t="n"/>
      <c r="N1864" s="102" t="n"/>
      <c r="O1864" s="102" t="n"/>
      <c r="P1864" s="102" t="n"/>
      <c r="Q1864" s="102" t="n"/>
      <c r="R1864" s="102" t="n"/>
      <c r="S1864" s="102" t="n"/>
      <c r="T1864" s="102" t="n"/>
      <c r="U1864" s="102" t="n"/>
      <c r="V1864" s="102" t="n"/>
      <c r="W1864" s="102" t="n"/>
      <c r="X1864" s="102" t="n"/>
      <c r="Y1864" s="102" t="n"/>
      <c r="Z1864" s="102" t="n"/>
      <c r="AA1864" s="102" t="n"/>
      <c r="AB1864" s="102" t="n"/>
      <c r="AC1864" s="102" t="n"/>
      <c r="AD1864" s="102" t="n"/>
      <c r="AE1864" s="102" t="n"/>
      <c r="AF1864" s="102" t="n"/>
      <c r="AG1864" s="102" t="n"/>
      <c r="AH1864" s="102" t="n"/>
      <c r="AI1864" s="102" t="n"/>
      <c r="AJ1864" s="102" t="n"/>
      <c r="AK1864" s="102" t="n"/>
      <c r="AL1864" s="102" t="n"/>
      <c r="AM1864" s="102" t="n"/>
      <c r="AN1864" s="102" t="n"/>
      <c r="AO1864" s="102" t="n"/>
      <c r="AP1864" s="102" t="n"/>
      <c r="AQ1864" s="102" t="n"/>
      <c r="AR1864" s="102" t="n"/>
    </row>
    <row r="1865">
      <c r="D1865" s="102" t="n"/>
      <c r="E1865" s="102" t="n"/>
      <c r="F1865" s="102" t="n"/>
      <c r="G1865" s="102" t="n"/>
      <c r="H1865" s="102" t="n"/>
      <c r="I1865" s="102" t="n"/>
      <c r="J1865" s="102" t="n"/>
      <c r="K1865" s="102" t="n"/>
      <c r="L1865" s="102" t="n"/>
      <c r="M1865" s="102" t="n"/>
      <c r="N1865" s="102" t="n"/>
      <c r="O1865" s="102" t="n"/>
      <c r="P1865" s="102" t="n"/>
      <c r="Q1865" s="102" t="n"/>
      <c r="R1865" s="102" t="n"/>
      <c r="S1865" s="102" t="n"/>
      <c r="T1865" s="102" t="n"/>
      <c r="U1865" s="102" t="n"/>
      <c r="V1865" s="102" t="n"/>
      <c r="W1865" s="102" t="n"/>
      <c r="X1865" s="102" t="n"/>
      <c r="Y1865" s="102" t="n"/>
      <c r="Z1865" s="102" t="n"/>
      <c r="AA1865" s="102" t="n"/>
      <c r="AB1865" s="102" t="n"/>
      <c r="AC1865" s="102" t="n"/>
      <c r="AD1865" s="102" t="n"/>
      <c r="AE1865" s="102" t="n"/>
      <c r="AF1865" s="102" t="n"/>
      <c r="AG1865" s="102" t="n"/>
      <c r="AH1865" s="102" t="n"/>
      <c r="AI1865" s="102" t="n"/>
      <c r="AJ1865" s="102" t="n"/>
      <c r="AK1865" s="102" t="n"/>
      <c r="AL1865" s="102" t="n"/>
      <c r="AM1865" s="102" t="n"/>
      <c r="AN1865" s="102" t="n"/>
      <c r="AO1865" s="102" t="n"/>
      <c r="AP1865" s="102" t="n"/>
      <c r="AQ1865" s="102" t="n"/>
      <c r="AR1865" s="102" t="n"/>
    </row>
    <row r="1866">
      <c r="D1866" s="103" t="n"/>
      <c r="E1866" s="103" t="n"/>
      <c r="F1866" s="103" t="n"/>
      <c r="G1866" s="103" t="n"/>
      <c r="H1866" s="103" t="n"/>
      <c r="I1866" s="103" t="n"/>
      <c r="J1866" s="103" t="n"/>
      <c r="K1866" s="103" t="n"/>
      <c r="L1866" s="103" t="n"/>
      <c r="M1866" s="103" t="n"/>
      <c r="N1866" s="103" t="n"/>
      <c r="O1866" s="103" t="n"/>
      <c r="P1866" s="103" t="n"/>
      <c r="Q1866" s="103" t="n"/>
      <c r="R1866" s="103" t="n"/>
      <c r="S1866" s="103" t="n"/>
      <c r="T1866" s="103" t="n"/>
      <c r="U1866" s="103" t="n"/>
      <c r="V1866" s="103" t="n"/>
      <c r="W1866" s="103" t="n"/>
      <c r="X1866" s="103" t="n"/>
      <c r="Y1866" s="103" t="n"/>
      <c r="Z1866" s="103" t="n"/>
      <c r="AA1866" s="103" t="n"/>
      <c r="AB1866" s="103" t="n"/>
      <c r="AC1866" s="103" t="n"/>
      <c r="AD1866" s="103" t="n"/>
      <c r="AE1866" s="103" t="n"/>
      <c r="AF1866" s="103" t="n"/>
      <c r="AG1866" s="103" t="n"/>
      <c r="AH1866" s="103" t="n"/>
      <c r="AI1866" s="103" t="n"/>
      <c r="AJ1866" s="103" t="n"/>
      <c r="AK1866" s="103" t="n"/>
      <c r="AL1866" s="103" t="n"/>
      <c r="AM1866" s="103" t="n"/>
      <c r="AN1866" s="103" t="n"/>
      <c r="AO1866" s="103" t="n"/>
      <c r="AP1866" s="103" t="n"/>
      <c r="AQ1866" s="103" t="n"/>
      <c r="AR1866" s="103" t="n"/>
    </row>
    <row r="1868">
      <c r="A1868" s="8">
        <f>IF(HSCEI!$C$35="","",HSCEI!$C$35)</f>
        <v/>
      </c>
      <c r="B1868" s="99">
        <f>IF($A1868="",0,COUNT($E1869:$AR1869))</f>
        <v/>
      </c>
      <c r="C1868" s="100">
        <f>IF($B1868=0,0,MAX($E1869:$AR1869))</f>
        <v/>
      </c>
      <c r="D1868" s="101">
        <f>BDS($A1868,FLD_HIST,"headers=y","startcol=1","endcol=7","dir=h","DVD_START_DT",HIST_FROM,"DVD_END_DT",HIST_TO)</f>
        <v/>
      </c>
      <c r="E1868" s="102" t="n"/>
      <c r="F1868" s="102" t="n"/>
      <c r="G1868" s="102" t="n"/>
      <c r="H1868" s="102" t="n"/>
      <c r="I1868" s="102" t="n"/>
      <c r="J1868" s="102" t="n"/>
      <c r="K1868" s="102" t="n"/>
      <c r="L1868" s="102" t="n"/>
      <c r="M1868" s="102" t="n"/>
      <c r="N1868" s="102" t="n"/>
      <c r="O1868" s="102" t="n"/>
      <c r="P1868" s="102" t="n"/>
      <c r="Q1868" s="102" t="n"/>
      <c r="R1868" s="102" t="n"/>
      <c r="S1868" s="102" t="n"/>
      <c r="T1868" s="102" t="n"/>
      <c r="U1868" s="102" t="n"/>
      <c r="V1868" s="102" t="n"/>
      <c r="W1868" s="102" t="n"/>
      <c r="X1868" s="102" t="n"/>
      <c r="Y1868" s="102" t="n"/>
      <c r="Z1868" s="102" t="n"/>
      <c r="AA1868" s="102" t="n"/>
      <c r="AB1868" s="102" t="n"/>
      <c r="AC1868" s="102" t="n"/>
      <c r="AD1868" s="102" t="n"/>
      <c r="AE1868" s="102" t="n"/>
      <c r="AF1868" s="102" t="n"/>
      <c r="AG1868" s="102" t="n"/>
      <c r="AH1868" s="102" t="n"/>
      <c r="AI1868" s="102" t="n"/>
      <c r="AJ1868" s="102" t="n"/>
      <c r="AK1868" s="102" t="n"/>
      <c r="AL1868" s="102" t="n"/>
      <c r="AM1868" s="102" t="n"/>
      <c r="AN1868" s="102" t="n"/>
      <c r="AO1868" s="102" t="n"/>
      <c r="AP1868" s="102" t="n"/>
      <c r="AQ1868" s="102" t="n"/>
      <c r="AR1868" s="102" t="n"/>
    </row>
    <row r="1869">
      <c r="D1869" s="102" t="n"/>
      <c r="E1869" s="102" t="n"/>
      <c r="F1869" s="102" t="n"/>
      <c r="G1869" s="102" t="n"/>
      <c r="H1869" s="102" t="n"/>
      <c r="I1869" s="102" t="n"/>
      <c r="J1869" s="102" t="n"/>
      <c r="K1869" s="102" t="n"/>
      <c r="L1869" s="102" t="n"/>
      <c r="M1869" s="102" t="n"/>
      <c r="N1869" s="102" t="n"/>
      <c r="O1869" s="102" t="n"/>
      <c r="P1869" s="102" t="n"/>
      <c r="Q1869" s="102" t="n"/>
      <c r="R1869" s="102" t="n"/>
      <c r="S1869" s="102" t="n"/>
      <c r="T1869" s="102" t="n"/>
      <c r="U1869" s="102" t="n"/>
      <c r="V1869" s="102" t="n"/>
      <c r="W1869" s="102" t="n"/>
      <c r="X1869" s="102" t="n"/>
      <c r="Y1869" s="102" t="n"/>
      <c r="Z1869" s="102" t="n"/>
      <c r="AA1869" s="102" t="n"/>
      <c r="AB1869" s="102" t="n"/>
      <c r="AC1869" s="102" t="n"/>
      <c r="AD1869" s="102" t="n"/>
      <c r="AE1869" s="102" t="n"/>
      <c r="AF1869" s="102" t="n"/>
      <c r="AG1869" s="102" t="n"/>
      <c r="AH1869" s="102" t="n"/>
      <c r="AI1869" s="102" t="n"/>
      <c r="AJ1869" s="102" t="n"/>
      <c r="AK1869" s="102" t="n"/>
      <c r="AL1869" s="102" t="n"/>
      <c r="AM1869" s="102" t="n"/>
      <c r="AN1869" s="102" t="n"/>
      <c r="AO1869" s="102" t="n"/>
      <c r="AP1869" s="102" t="n"/>
      <c r="AQ1869" s="102" t="n"/>
      <c r="AR1869" s="102" t="n"/>
    </row>
    <row r="1870">
      <c r="D1870" s="102" t="n"/>
      <c r="E1870" s="102" t="n"/>
      <c r="F1870" s="102" t="n"/>
      <c r="G1870" s="102" t="n"/>
      <c r="H1870" s="102" t="n"/>
      <c r="I1870" s="102" t="n"/>
      <c r="J1870" s="102" t="n"/>
      <c r="K1870" s="102" t="n"/>
      <c r="L1870" s="102" t="n"/>
      <c r="M1870" s="102" t="n"/>
      <c r="N1870" s="102" t="n"/>
      <c r="O1870" s="102" t="n"/>
      <c r="P1870" s="102" t="n"/>
      <c r="Q1870" s="102" t="n"/>
      <c r="R1870" s="102" t="n"/>
      <c r="S1870" s="102" t="n"/>
      <c r="T1870" s="102" t="n"/>
      <c r="U1870" s="102" t="n"/>
      <c r="V1870" s="102" t="n"/>
      <c r="W1870" s="102" t="n"/>
      <c r="X1870" s="102" t="n"/>
      <c r="Y1870" s="102" t="n"/>
      <c r="Z1870" s="102" t="n"/>
      <c r="AA1870" s="102" t="n"/>
      <c r="AB1870" s="102" t="n"/>
      <c r="AC1870" s="102" t="n"/>
      <c r="AD1870" s="102" t="n"/>
      <c r="AE1870" s="102" t="n"/>
      <c r="AF1870" s="102" t="n"/>
      <c r="AG1870" s="102" t="n"/>
      <c r="AH1870" s="102" t="n"/>
      <c r="AI1870" s="102" t="n"/>
      <c r="AJ1870" s="102" t="n"/>
      <c r="AK1870" s="102" t="n"/>
      <c r="AL1870" s="102" t="n"/>
      <c r="AM1870" s="102" t="n"/>
      <c r="AN1870" s="102" t="n"/>
      <c r="AO1870" s="102" t="n"/>
      <c r="AP1870" s="102" t="n"/>
      <c r="AQ1870" s="102" t="n"/>
      <c r="AR1870" s="102" t="n"/>
    </row>
    <row r="1871">
      <c r="D1871" s="102" t="n"/>
      <c r="E1871" s="102" t="n"/>
      <c r="F1871" s="102" t="n"/>
      <c r="G1871" s="102" t="n"/>
      <c r="H1871" s="102" t="n"/>
      <c r="I1871" s="102" t="n"/>
      <c r="J1871" s="102" t="n"/>
      <c r="K1871" s="102" t="n"/>
      <c r="L1871" s="102" t="n"/>
      <c r="M1871" s="102" t="n"/>
      <c r="N1871" s="102" t="n"/>
      <c r="O1871" s="102" t="n"/>
      <c r="P1871" s="102" t="n"/>
      <c r="Q1871" s="102" t="n"/>
      <c r="R1871" s="102" t="n"/>
      <c r="S1871" s="102" t="n"/>
      <c r="T1871" s="102" t="n"/>
      <c r="U1871" s="102" t="n"/>
      <c r="V1871" s="102" t="n"/>
      <c r="W1871" s="102" t="n"/>
      <c r="X1871" s="102" t="n"/>
      <c r="Y1871" s="102" t="n"/>
      <c r="Z1871" s="102" t="n"/>
      <c r="AA1871" s="102" t="n"/>
      <c r="AB1871" s="102" t="n"/>
      <c r="AC1871" s="102" t="n"/>
      <c r="AD1871" s="102" t="n"/>
      <c r="AE1871" s="102" t="n"/>
      <c r="AF1871" s="102" t="n"/>
      <c r="AG1871" s="102" t="n"/>
      <c r="AH1871" s="102" t="n"/>
      <c r="AI1871" s="102" t="n"/>
      <c r="AJ1871" s="102" t="n"/>
      <c r="AK1871" s="102" t="n"/>
      <c r="AL1871" s="102" t="n"/>
      <c r="AM1871" s="102" t="n"/>
      <c r="AN1871" s="102" t="n"/>
      <c r="AO1871" s="102" t="n"/>
      <c r="AP1871" s="102" t="n"/>
      <c r="AQ1871" s="102" t="n"/>
      <c r="AR1871" s="102" t="n"/>
    </row>
    <row r="1872">
      <c r="D1872" s="103" t="n"/>
      <c r="E1872" s="103" t="n"/>
      <c r="F1872" s="103" t="n"/>
      <c r="G1872" s="103" t="n"/>
      <c r="H1872" s="103" t="n"/>
      <c r="I1872" s="103" t="n"/>
      <c r="J1872" s="103" t="n"/>
      <c r="K1872" s="103" t="n"/>
      <c r="L1872" s="103" t="n"/>
      <c r="M1872" s="103" t="n"/>
      <c r="N1872" s="103" t="n"/>
      <c r="O1872" s="103" t="n"/>
      <c r="P1872" s="103" t="n"/>
      <c r="Q1872" s="103" t="n"/>
      <c r="R1872" s="103" t="n"/>
      <c r="S1872" s="103" t="n"/>
      <c r="T1872" s="103" t="n"/>
      <c r="U1872" s="103" t="n"/>
      <c r="V1872" s="103" t="n"/>
      <c r="W1872" s="103" t="n"/>
      <c r="X1872" s="103" t="n"/>
      <c r="Y1872" s="103" t="n"/>
      <c r="Z1872" s="103" t="n"/>
      <c r="AA1872" s="103" t="n"/>
      <c r="AB1872" s="103" t="n"/>
      <c r="AC1872" s="103" t="n"/>
      <c r="AD1872" s="103" t="n"/>
      <c r="AE1872" s="103" t="n"/>
      <c r="AF1872" s="103" t="n"/>
      <c r="AG1872" s="103" t="n"/>
      <c r="AH1872" s="103" t="n"/>
      <c r="AI1872" s="103" t="n"/>
      <c r="AJ1872" s="103" t="n"/>
      <c r="AK1872" s="103" t="n"/>
      <c r="AL1872" s="103" t="n"/>
      <c r="AM1872" s="103" t="n"/>
      <c r="AN1872" s="103" t="n"/>
      <c r="AO1872" s="103" t="n"/>
      <c r="AP1872" s="103" t="n"/>
      <c r="AQ1872" s="103" t="n"/>
      <c r="AR1872" s="103" t="n"/>
    </row>
    <row r="1875">
      <c r="A1875" s="2">
        <f>IF($A1868="","","   projections")</f>
        <v/>
      </c>
      <c r="B1875" s="99">
        <f>IF($A1868="",0,COUNT($E1876:$AR1876))</f>
        <v/>
      </c>
      <c r="C1875" s="100">
        <f>IF($B1875=0,0,MAX($E1876:$AR1876))</f>
        <v/>
      </c>
      <c r="D1875" s="101">
        <f>BDS($A1868,FLD_PROJ,"headers=y","startcol=1","endcol=3","dir=h")</f>
        <v/>
      </c>
      <c r="E1875" s="102" t="n"/>
      <c r="F1875" s="102" t="n"/>
      <c r="G1875" s="102" t="n"/>
      <c r="H1875" s="102" t="n"/>
      <c r="I1875" s="102" t="n"/>
      <c r="J1875" s="102" t="n"/>
      <c r="K1875" s="102" t="n"/>
      <c r="L1875" s="102" t="n"/>
      <c r="M1875" s="102" t="n"/>
      <c r="N1875" s="102" t="n"/>
      <c r="O1875" s="102" t="n"/>
      <c r="P1875" s="102" t="n"/>
      <c r="Q1875" s="102" t="n"/>
      <c r="R1875" s="102" t="n"/>
      <c r="S1875" s="102" t="n"/>
      <c r="T1875" s="102" t="n"/>
      <c r="U1875" s="102" t="n"/>
      <c r="V1875" s="102" t="n"/>
      <c r="W1875" s="102" t="n"/>
      <c r="X1875" s="102" t="n"/>
      <c r="Y1875" s="102" t="n"/>
      <c r="Z1875" s="102" t="n"/>
      <c r="AA1875" s="102" t="n"/>
      <c r="AB1875" s="102" t="n"/>
      <c r="AC1875" s="102" t="n"/>
      <c r="AD1875" s="102" t="n"/>
      <c r="AE1875" s="102" t="n"/>
      <c r="AF1875" s="102" t="n"/>
      <c r="AG1875" s="102" t="n"/>
      <c r="AH1875" s="102" t="n"/>
      <c r="AI1875" s="102" t="n"/>
      <c r="AJ1875" s="102" t="n"/>
      <c r="AK1875" s="102" t="n"/>
      <c r="AL1875" s="102" t="n"/>
      <c r="AM1875" s="102" t="n"/>
      <c r="AN1875" s="102" t="n"/>
      <c r="AO1875" s="102" t="n"/>
      <c r="AP1875" s="102" t="n"/>
      <c r="AQ1875" s="102" t="n"/>
      <c r="AR1875" s="102" t="n"/>
    </row>
    <row r="1876">
      <c r="D1876" s="102" t="n"/>
      <c r="E1876" s="102" t="n"/>
      <c r="F1876" s="102" t="n"/>
      <c r="G1876" s="102" t="n"/>
      <c r="H1876" s="102" t="n"/>
      <c r="I1876" s="102" t="n"/>
      <c r="J1876" s="102" t="n"/>
      <c r="K1876" s="102" t="n"/>
      <c r="L1876" s="102" t="n"/>
      <c r="M1876" s="102" t="n"/>
      <c r="N1876" s="102" t="n"/>
      <c r="O1876" s="102" t="n"/>
      <c r="P1876" s="102" t="n"/>
      <c r="Q1876" s="102" t="n"/>
      <c r="R1876" s="102" t="n"/>
      <c r="S1876" s="102" t="n"/>
      <c r="T1876" s="102" t="n"/>
      <c r="U1876" s="102" t="n"/>
      <c r="V1876" s="102" t="n"/>
      <c r="W1876" s="102" t="n"/>
      <c r="X1876" s="102" t="n"/>
      <c r="Y1876" s="102" t="n"/>
      <c r="Z1876" s="102" t="n"/>
      <c r="AA1876" s="102" t="n"/>
      <c r="AB1876" s="102" t="n"/>
      <c r="AC1876" s="102" t="n"/>
      <c r="AD1876" s="102" t="n"/>
      <c r="AE1876" s="102" t="n"/>
      <c r="AF1876" s="102" t="n"/>
      <c r="AG1876" s="102" t="n"/>
      <c r="AH1876" s="102" t="n"/>
      <c r="AI1876" s="102" t="n"/>
      <c r="AJ1876" s="102" t="n"/>
      <c r="AK1876" s="102" t="n"/>
      <c r="AL1876" s="102" t="n"/>
      <c r="AM1876" s="102" t="n"/>
      <c r="AN1876" s="102" t="n"/>
      <c r="AO1876" s="102" t="n"/>
      <c r="AP1876" s="102" t="n"/>
      <c r="AQ1876" s="102" t="n"/>
      <c r="AR1876" s="102" t="n"/>
    </row>
    <row r="1877">
      <c r="D1877" s="103" t="n"/>
      <c r="E1877" s="103" t="n"/>
      <c r="F1877" s="103" t="n"/>
      <c r="G1877" s="103" t="n"/>
      <c r="H1877" s="103" t="n"/>
      <c r="I1877" s="103" t="n"/>
      <c r="J1877" s="103" t="n"/>
      <c r="K1877" s="103" t="n"/>
      <c r="L1877" s="103" t="n"/>
      <c r="M1877" s="103" t="n"/>
      <c r="N1877" s="103" t="n"/>
      <c r="O1877" s="103" t="n"/>
      <c r="P1877" s="103" t="n"/>
      <c r="Q1877" s="103" t="n"/>
      <c r="R1877" s="103" t="n"/>
      <c r="S1877" s="103" t="n"/>
      <c r="T1877" s="103" t="n"/>
      <c r="U1877" s="103" t="n"/>
      <c r="V1877" s="103" t="n"/>
      <c r="W1877" s="103" t="n"/>
      <c r="X1877" s="103" t="n"/>
      <c r="Y1877" s="103" t="n"/>
      <c r="Z1877" s="103" t="n"/>
      <c r="AA1877" s="103" t="n"/>
      <c r="AB1877" s="103" t="n"/>
      <c r="AC1877" s="103" t="n"/>
      <c r="AD1877" s="103" t="n"/>
      <c r="AE1877" s="103" t="n"/>
      <c r="AF1877" s="103" t="n"/>
      <c r="AG1877" s="103" t="n"/>
      <c r="AH1877" s="103" t="n"/>
      <c r="AI1877" s="103" t="n"/>
      <c r="AJ1877" s="103" t="n"/>
      <c r="AK1877" s="103" t="n"/>
      <c r="AL1877" s="103" t="n"/>
      <c r="AM1877" s="103" t="n"/>
      <c r="AN1877" s="103" t="n"/>
      <c r="AO1877" s="103" t="n"/>
      <c r="AP1877" s="103" t="n"/>
      <c r="AQ1877" s="103" t="n"/>
      <c r="AR1877" s="103" t="n"/>
    </row>
    <row r="1879">
      <c r="A1879" s="8">
        <f>IF(HSCEI!$C$36="","",HSCEI!$C$36)</f>
        <v/>
      </c>
      <c r="B1879" s="99">
        <f>IF($A1879="",0,COUNT($E1880:$AR1880))</f>
        <v/>
      </c>
      <c r="C1879" s="100">
        <f>IF($B1879=0,0,MAX($E1880:$AR1880))</f>
        <v/>
      </c>
      <c r="D1879" s="101">
        <f>BDS($A1879,FLD_HIST,"headers=y","startcol=1","endcol=7","dir=h","DVD_START_DT",HIST_FROM,"DVD_END_DT",HIST_TO)</f>
        <v/>
      </c>
      <c r="E1879" s="102" t="n"/>
      <c r="F1879" s="102" t="n"/>
      <c r="G1879" s="102" t="n"/>
      <c r="H1879" s="102" t="n"/>
      <c r="I1879" s="102" t="n"/>
      <c r="J1879" s="102" t="n"/>
      <c r="K1879" s="102" t="n"/>
      <c r="L1879" s="102" t="n"/>
      <c r="M1879" s="102" t="n"/>
      <c r="N1879" s="102" t="n"/>
      <c r="O1879" s="102" t="n"/>
      <c r="P1879" s="102" t="n"/>
      <c r="Q1879" s="102" t="n"/>
      <c r="R1879" s="102" t="n"/>
      <c r="S1879" s="102" t="n"/>
      <c r="T1879" s="102" t="n"/>
      <c r="U1879" s="102" t="n"/>
      <c r="V1879" s="102" t="n"/>
      <c r="W1879" s="102" t="n"/>
      <c r="X1879" s="102" t="n"/>
      <c r="Y1879" s="102" t="n"/>
      <c r="Z1879" s="102" t="n"/>
      <c r="AA1879" s="102" t="n"/>
      <c r="AB1879" s="102" t="n"/>
      <c r="AC1879" s="102" t="n"/>
      <c r="AD1879" s="102" t="n"/>
      <c r="AE1879" s="102" t="n"/>
      <c r="AF1879" s="102" t="n"/>
      <c r="AG1879" s="102" t="n"/>
      <c r="AH1879" s="102" t="n"/>
      <c r="AI1879" s="102" t="n"/>
      <c r="AJ1879" s="102" t="n"/>
      <c r="AK1879" s="102" t="n"/>
      <c r="AL1879" s="102" t="n"/>
      <c r="AM1879" s="102" t="n"/>
      <c r="AN1879" s="102" t="n"/>
      <c r="AO1879" s="102" t="n"/>
      <c r="AP1879" s="102" t="n"/>
      <c r="AQ1879" s="102" t="n"/>
      <c r="AR1879" s="102" t="n"/>
    </row>
    <row r="1880">
      <c r="D1880" s="102" t="n"/>
      <c r="E1880" s="102" t="n"/>
      <c r="F1880" s="102" t="n"/>
      <c r="G1880" s="102" t="n"/>
      <c r="H1880" s="102" t="n"/>
      <c r="I1880" s="102" t="n"/>
      <c r="J1880" s="102" t="n"/>
      <c r="K1880" s="102" t="n"/>
      <c r="L1880" s="102" t="n"/>
      <c r="M1880" s="102" t="n"/>
      <c r="N1880" s="102" t="n"/>
      <c r="O1880" s="102" t="n"/>
      <c r="P1880" s="102" t="n"/>
      <c r="Q1880" s="102" t="n"/>
      <c r="R1880" s="102" t="n"/>
      <c r="S1880" s="102" t="n"/>
      <c r="T1880" s="102" t="n"/>
      <c r="U1880" s="102" t="n"/>
      <c r="V1880" s="102" t="n"/>
      <c r="W1880" s="102" t="n"/>
      <c r="X1880" s="102" t="n"/>
      <c r="Y1880" s="102" t="n"/>
      <c r="Z1880" s="102" t="n"/>
      <c r="AA1880" s="102" t="n"/>
      <c r="AB1880" s="102" t="n"/>
      <c r="AC1880" s="102" t="n"/>
      <c r="AD1880" s="102" t="n"/>
      <c r="AE1880" s="102" t="n"/>
      <c r="AF1880" s="102" t="n"/>
      <c r="AG1880" s="102" t="n"/>
      <c r="AH1880" s="102" t="n"/>
      <c r="AI1880" s="102" t="n"/>
      <c r="AJ1880" s="102" t="n"/>
      <c r="AK1880" s="102" t="n"/>
      <c r="AL1880" s="102" t="n"/>
      <c r="AM1880" s="102" t="n"/>
      <c r="AN1880" s="102" t="n"/>
      <c r="AO1880" s="102" t="n"/>
      <c r="AP1880" s="102" t="n"/>
      <c r="AQ1880" s="102" t="n"/>
      <c r="AR1880" s="102" t="n"/>
    </row>
    <row r="1881">
      <c r="D1881" s="102" t="n"/>
      <c r="E1881" s="102" t="n"/>
      <c r="F1881" s="102" t="n"/>
      <c r="G1881" s="102" t="n"/>
      <c r="H1881" s="102" t="n"/>
      <c r="I1881" s="102" t="n"/>
      <c r="J1881" s="102" t="n"/>
      <c r="K1881" s="102" t="n"/>
      <c r="L1881" s="102" t="n"/>
      <c r="M1881" s="102" t="n"/>
      <c r="N1881" s="102" t="n"/>
      <c r="O1881" s="102" t="n"/>
      <c r="P1881" s="102" t="n"/>
      <c r="Q1881" s="102" t="n"/>
      <c r="R1881" s="102" t="n"/>
      <c r="S1881" s="102" t="n"/>
      <c r="T1881" s="102" t="n"/>
      <c r="U1881" s="102" t="n"/>
      <c r="V1881" s="102" t="n"/>
      <c r="W1881" s="102" t="n"/>
      <c r="X1881" s="102" t="n"/>
      <c r="Y1881" s="102" t="n"/>
      <c r="Z1881" s="102" t="n"/>
      <c r="AA1881" s="102" t="n"/>
      <c r="AB1881" s="102" t="n"/>
      <c r="AC1881" s="102" t="n"/>
      <c r="AD1881" s="102" t="n"/>
      <c r="AE1881" s="102" t="n"/>
      <c r="AF1881" s="102" t="n"/>
      <c r="AG1881" s="102" t="n"/>
      <c r="AH1881" s="102" t="n"/>
      <c r="AI1881" s="102" t="n"/>
      <c r="AJ1881" s="102" t="n"/>
      <c r="AK1881" s="102" t="n"/>
      <c r="AL1881" s="102" t="n"/>
      <c r="AM1881" s="102" t="n"/>
      <c r="AN1881" s="102" t="n"/>
      <c r="AO1881" s="102" t="n"/>
      <c r="AP1881" s="102" t="n"/>
      <c r="AQ1881" s="102" t="n"/>
      <c r="AR1881" s="102" t="n"/>
    </row>
    <row r="1882">
      <c r="D1882" s="102" t="n"/>
      <c r="E1882" s="102" t="n"/>
      <c r="F1882" s="102" t="n"/>
      <c r="G1882" s="102" t="n"/>
      <c r="H1882" s="102" t="n"/>
      <c r="I1882" s="102" t="n"/>
      <c r="J1882" s="102" t="n"/>
      <c r="K1882" s="102" t="n"/>
      <c r="L1882" s="102" t="n"/>
      <c r="M1882" s="102" t="n"/>
      <c r="N1882" s="102" t="n"/>
      <c r="O1882" s="102" t="n"/>
      <c r="P1882" s="102" t="n"/>
      <c r="Q1882" s="102" t="n"/>
      <c r="R1882" s="102" t="n"/>
      <c r="S1882" s="102" t="n"/>
      <c r="T1882" s="102" t="n"/>
      <c r="U1882" s="102" t="n"/>
      <c r="V1882" s="102" t="n"/>
      <c r="W1882" s="102" t="n"/>
      <c r="X1882" s="102" t="n"/>
      <c r="Y1882" s="102" t="n"/>
      <c r="Z1882" s="102" t="n"/>
      <c r="AA1882" s="102" t="n"/>
      <c r="AB1882" s="102" t="n"/>
      <c r="AC1882" s="102" t="n"/>
      <c r="AD1882" s="102" t="n"/>
      <c r="AE1882" s="102" t="n"/>
      <c r="AF1882" s="102" t="n"/>
      <c r="AG1882" s="102" t="n"/>
      <c r="AH1882" s="102" t="n"/>
      <c r="AI1882" s="102" t="n"/>
      <c r="AJ1882" s="102" t="n"/>
      <c r="AK1882" s="102" t="n"/>
      <c r="AL1882" s="102" t="n"/>
      <c r="AM1882" s="102" t="n"/>
      <c r="AN1882" s="102" t="n"/>
      <c r="AO1882" s="102" t="n"/>
      <c r="AP1882" s="102" t="n"/>
      <c r="AQ1882" s="102" t="n"/>
      <c r="AR1882" s="102" t="n"/>
    </row>
    <row r="1883">
      <c r="D1883" s="103" t="n"/>
      <c r="E1883" s="103" t="n"/>
      <c r="F1883" s="103" t="n"/>
      <c r="G1883" s="103" t="n"/>
      <c r="H1883" s="103" t="n"/>
      <c r="I1883" s="103" t="n"/>
      <c r="J1883" s="103" t="n"/>
      <c r="K1883" s="103" t="n"/>
      <c r="L1883" s="103" t="n"/>
      <c r="M1883" s="103" t="n"/>
      <c r="N1883" s="103" t="n"/>
      <c r="O1883" s="103" t="n"/>
      <c r="P1883" s="103" t="n"/>
      <c r="Q1883" s="103" t="n"/>
      <c r="R1883" s="103" t="n"/>
      <c r="S1883" s="103" t="n"/>
      <c r="T1883" s="103" t="n"/>
      <c r="U1883" s="103" t="n"/>
      <c r="V1883" s="103" t="n"/>
      <c r="W1883" s="103" t="n"/>
      <c r="X1883" s="103" t="n"/>
      <c r="Y1883" s="103" t="n"/>
      <c r="Z1883" s="103" t="n"/>
      <c r="AA1883" s="103" t="n"/>
      <c r="AB1883" s="103" t="n"/>
      <c r="AC1883" s="103" t="n"/>
      <c r="AD1883" s="103" t="n"/>
      <c r="AE1883" s="103" t="n"/>
      <c r="AF1883" s="103" t="n"/>
      <c r="AG1883" s="103" t="n"/>
      <c r="AH1883" s="103" t="n"/>
      <c r="AI1883" s="103" t="n"/>
      <c r="AJ1883" s="103" t="n"/>
      <c r="AK1883" s="103" t="n"/>
      <c r="AL1883" s="103" t="n"/>
      <c r="AM1883" s="103" t="n"/>
      <c r="AN1883" s="103" t="n"/>
      <c r="AO1883" s="103" t="n"/>
      <c r="AP1883" s="103" t="n"/>
      <c r="AQ1883" s="103" t="n"/>
      <c r="AR1883" s="103" t="n"/>
    </row>
    <row r="1886">
      <c r="A1886" s="2">
        <f>IF($A1879="","","   projections")</f>
        <v/>
      </c>
      <c r="B1886" s="99">
        <f>IF($A1879="",0,COUNT($E1887:$AR1887))</f>
        <v/>
      </c>
      <c r="C1886" s="100">
        <f>IF($B1886=0,0,MAX($E1887:$AR1887))</f>
        <v/>
      </c>
      <c r="D1886" s="101">
        <f>BDS($A1879,FLD_PROJ,"headers=y","startcol=1","endcol=3","dir=h")</f>
        <v/>
      </c>
      <c r="E1886" s="102" t="n"/>
      <c r="F1886" s="102" t="n"/>
      <c r="G1886" s="102" t="n"/>
      <c r="H1886" s="102" t="n"/>
      <c r="I1886" s="102" t="n"/>
      <c r="J1886" s="102" t="n"/>
      <c r="K1886" s="102" t="n"/>
      <c r="L1886" s="102" t="n"/>
      <c r="M1886" s="102" t="n"/>
      <c r="N1886" s="102" t="n"/>
      <c r="O1886" s="102" t="n"/>
      <c r="P1886" s="102" t="n"/>
      <c r="Q1886" s="102" t="n"/>
      <c r="R1886" s="102" t="n"/>
      <c r="S1886" s="102" t="n"/>
      <c r="T1886" s="102" t="n"/>
      <c r="U1886" s="102" t="n"/>
      <c r="V1886" s="102" t="n"/>
      <c r="W1886" s="102" t="n"/>
      <c r="X1886" s="102" t="n"/>
      <c r="Y1886" s="102" t="n"/>
      <c r="Z1886" s="102" t="n"/>
      <c r="AA1886" s="102" t="n"/>
      <c r="AB1886" s="102" t="n"/>
      <c r="AC1886" s="102" t="n"/>
      <c r="AD1886" s="102" t="n"/>
      <c r="AE1886" s="102" t="n"/>
      <c r="AF1886" s="102" t="n"/>
      <c r="AG1886" s="102" t="n"/>
      <c r="AH1886" s="102" t="n"/>
      <c r="AI1886" s="102" t="n"/>
      <c r="AJ1886" s="102" t="n"/>
      <c r="AK1886" s="102" t="n"/>
      <c r="AL1886" s="102" t="n"/>
      <c r="AM1886" s="102" t="n"/>
      <c r="AN1886" s="102" t="n"/>
      <c r="AO1886" s="102" t="n"/>
      <c r="AP1886" s="102" t="n"/>
      <c r="AQ1886" s="102" t="n"/>
      <c r="AR1886" s="102" t="n"/>
    </row>
    <row r="1887">
      <c r="D1887" s="102" t="n"/>
      <c r="E1887" s="102" t="n"/>
      <c r="F1887" s="102" t="n"/>
      <c r="G1887" s="102" t="n"/>
      <c r="H1887" s="102" t="n"/>
      <c r="I1887" s="102" t="n"/>
      <c r="J1887" s="102" t="n"/>
      <c r="K1887" s="102" t="n"/>
      <c r="L1887" s="102" t="n"/>
      <c r="M1887" s="102" t="n"/>
      <c r="N1887" s="102" t="n"/>
      <c r="O1887" s="102" t="n"/>
      <c r="P1887" s="102" t="n"/>
      <c r="Q1887" s="102" t="n"/>
      <c r="R1887" s="102" t="n"/>
      <c r="S1887" s="102" t="n"/>
      <c r="T1887" s="102" t="n"/>
      <c r="U1887" s="102" t="n"/>
      <c r="V1887" s="102" t="n"/>
      <c r="W1887" s="102" t="n"/>
      <c r="X1887" s="102" t="n"/>
      <c r="Y1887" s="102" t="n"/>
      <c r="Z1887" s="102" t="n"/>
      <c r="AA1887" s="102" t="n"/>
      <c r="AB1887" s="102" t="n"/>
      <c r="AC1887" s="102" t="n"/>
      <c r="AD1887" s="102" t="n"/>
      <c r="AE1887" s="102" t="n"/>
      <c r="AF1887" s="102" t="n"/>
      <c r="AG1887" s="102" t="n"/>
      <c r="AH1887" s="102" t="n"/>
      <c r="AI1887" s="102" t="n"/>
      <c r="AJ1887" s="102" t="n"/>
      <c r="AK1887" s="102" t="n"/>
      <c r="AL1887" s="102" t="n"/>
      <c r="AM1887" s="102" t="n"/>
      <c r="AN1887" s="102" t="n"/>
      <c r="AO1887" s="102" t="n"/>
      <c r="AP1887" s="102" t="n"/>
      <c r="AQ1887" s="102" t="n"/>
      <c r="AR1887" s="102" t="n"/>
    </row>
    <row r="1888">
      <c r="D1888" s="103" t="n"/>
      <c r="E1888" s="103" t="n"/>
      <c r="F1888" s="103" t="n"/>
      <c r="G1888" s="103" t="n"/>
      <c r="H1888" s="103" t="n"/>
      <c r="I1888" s="103" t="n"/>
      <c r="J1888" s="103" t="n"/>
      <c r="K1888" s="103" t="n"/>
      <c r="L1888" s="103" t="n"/>
      <c r="M1888" s="103" t="n"/>
      <c r="N1888" s="103" t="n"/>
      <c r="O1888" s="103" t="n"/>
      <c r="P1888" s="103" t="n"/>
      <c r="Q1888" s="103" t="n"/>
      <c r="R1888" s="103" t="n"/>
      <c r="S1888" s="103" t="n"/>
      <c r="T1888" s="103" t="n"/>
      <c r="U1888" s="103" t="n"/>
      <c r="V1888" s="103" t="n"/>
      <c r="W1888" s="103" t="n"/>
      <c r="X1888" s="103" t="n"/>
      <c r="Y1888" s="103" t="n"/>
      <c r="Z1888" s="103" t="n"/>
      <c r="AA1888" s="103" t="n"/>
      <c r="AB1888" s="103" t="n"/>
      <c r="AC1888" s="103" t="n"/>
      <c r="AD1888" s="103" t="n"/>
      <c r="AE1888" s="103" t="n"/>
      <c r="AF1888" s="103" t="n"/>
      <c r="AG1888" s="103" t="n"/>
      <c r="AH1888" s="103" t="n"/>
      <c r="AI1888" s="103" t="n"/>
      <c r="AJ1888" s="103" t="n"/>
      <c r="AK1888" s="103" t="n"/>
      <c r="AL1888" s="103" t="n"/>
      <c r="AM1888" s="103" t="n"/>
      <c r="AN1888" s="103" t="n"/>
      <c r="AO1888" s="103" t="n"/>
      <c r="AP1888" s="103" t="n"/>
      <c r="AQ1888" s="103" t="n"/>
      <c r="AR1888" s="103" t="n"/>
    </row>
    <row r="1890">
      <c r="A1890" s="8">
        <f>IF(HSCEI!$C$37="","",HSCEI!$C$37)</f>
        <v/>
      </c>
      <c r="B1890" s="99">
        <f>IF($A1890="",0,COUNT($E1891:$AR1891))</f>
        <v/>
      </c>
      <c r="C1890" s="100">
        <f>IF($B1890=0,0,MAX($E1891:$AR1891))</f>
        <v/>
      </c>
      <c r="D1890" s="101">
        <f>BDS($A1890,FLD_HIST,"headers=y","startcol=1","endcol=7","dir=h","DVD_START_DT",HIST_FROM,"DVD_END_DT",HIST_TO)</f>
        <v/>
      </c>
      <c r="E1890" s="102" t="n"/>
      <c r="F1890" s="102" t="n"/>
      <c r="G1890" s="102" t="n"/>
      <c r="H1890" s="102" t="n"/>
      <c r="I1890" s="102" t="n"/>
      <c r="J1890" s="102" t="n"/>
      <c r="K1890" s="102" t="n"/>
      <c r="L1890" s="102" t="n"/>
      <c r="M1890" s="102" t="n"/>
      <c r="N1890" s="102" t="n"/>
      <c r="O1890" s="102" t="n"/>
      <c r="P1890" s="102" t="n"/>
      <c r="Q1890" s="102" t="n"/>
      <c r="R1890" s="102" t="n"/>
      <c r="S1890" s="102" t="n"/>
      <c r="T1890" s="102" t="n"/>
      <c r="U1890" s="102" t="n"/>
      <c r="V1890" s="102" t="n"/>
      <c r="W1890" s="102" t="n"/>
      <c r="X1890" s="102" t="n"/>
      <c r="Y1890" s="102" t="n"/>
      <c r="Z1890" s="102" t="n"/>
      <c r="AA1890" s="102" t="n"/>
      <c r="AB1890" s="102" t="n"/>
      <c r="AC1890" s="102" t="n"/>
      <c r="AD1890" s="102" t="n"/>
      <c r="AE1890" s="102" t="n"/>
      <c r="AF1890" s="102" t="n"/>
      <c r="AG1890" s="102" t="n"/>
      <c r="AH1890" s="102" t="n"/>
      <c r="AI1890" s="102" t="n"/>
      <c r="AJ1890" s="102" t="n"/>
      <c r="AK1890" s="102" t="n"/>
      <c r="AL1890" s="102" t="n"/>
      <c r="AM1890" s="102" t="n"/>
      <c r="AN1890" s="102" t="n"/>
      <c r="AO1890" s="102" t="n"/>
      <c r="AP1890" s="102" t="n"/>
      <c r="AQ1890" s="102" t="n"/>
      <c r="AR1890" s="102" t="n"/>
    </row>
    <row r="1891">
      <c r="D1891" s="102" t="n"/>
      <c r="E1891" s="102" t="n"/>
      <c r="F1891" s="102" t="n"/>
      <c r="G1891" s="102" t="n"/>
      <c r="H1891" s="102" t="n"/>
      <c r="I1891" s="102" t="n"/>
      <c r="J1891" s="102" t="n"/>
      <c r="K1891" s="102" t="n"/>
      <c r="L1891" s="102" t="n"/>
      <c r="M1891" s="102" t="n"/>
      <c r="N1891" s="102" t="n"/>
      <c r="O1891" s="102" t="n"/>
      <c r="P1891" s="102" t="n"/>
      <c r="Q1891" s="102" t="n"/>
      <c r="R1891" s="102" t="n"/>
      <c r="S1891" s="102" t="n"/>
      <c r="T1891" s="102" t="n"/>
      <c r="U1891" s="102" t="n"/>
      <c r="V1891" s="102" t="n"/>
      <c r="W1891" s="102" t="n"/>
      <c r="X1891" s="102" t="n"/>
      <c r="Y1891" s="102" t="n"/>
      <c r="Z1891" s="102" t="n"/>
      <c r="AA1891" s="102" t="n"/>
      <c r="AB1891" s="102" t="n"/>
      <c r="AC1891" s="102" t="n"/>
      <c r="AD1891" s="102" t="n"/>
      <c r="AE1891" s="102" t="n"/>
      <c r="AF1891" s="102" t="n"/>
      <c r="AG1891" s="102" t="n"/>
      <c r="AH1891" s="102" t="n"/>
      <c r="AI1891" s="102" t="n"/>
      <c r="AJ1891" s="102" t="n"/>
      <c r="AK1891" s="102" t="n"/>
      <c r="AL1891" s="102" t="n"/>
      <c r="AM1891" s="102" t="n"/>
      <c r="AN1891" s="102" t="n"/>
      <c r="AO1891" s="102" t="n"/>
      <c r="AP1891" s="102" t="n"/>
      <c r="AQ1891" s="102" t="n"/>
      <c r="AR1891" s="102" t="n"/>
    </row>
    <row r="1892">
      <c r="D1892" s="102" t="n"/>
      <c r="E1892" s="102" t="n"/>
      <c r="F1892" s="102" t="n"/>
      <c r="G1892" s="102" t="n"/>
      <c r="H1892" s="102" t="n"/>
      <c r="I1892" s="102" t="n"/>
      <c r="J1892" s="102" t="n"/>
      <c r="K1892" s="102" t="n"/>
      <c r="L1892" s="102" t="n"/>
      <c r="M1892" s="102" t="n"/>
      <c r="N1892" s="102" t="n"/>
      <c r="O1892" s="102" t="n"/>
      <c r="P1892" s="102" t="n"/>
      <c r="Q1892" s="102" t="n"/>
      <c r="R1892" s="102" t="n"/>
      <c r="S1892" s="102" t="n"/>
      <c r="T1892" s="102" t="n"/>
      <c r="U1892" s="102" t="n"/>
      <c r="V1892" s="102" t="n"/>
      <c r="W1892" s="102" t="n"/>
      <c r="X1892" s="102" t="n"/>
      <c r="Y1892" s="102" t="n"/>
      <c r="Z1892" s="102" t="n"/>
      <c r="AA1892" s="102" t="n"/>
      <c r="AB1892" s="102" t="n"/>
      <c r="AC1892" s="102" t="n"/>
      <c r="AD1892" s="102" t="n"/>
      <c r="AE1892" s="102" t="n"/>
      <c r="AF1892" s="102" t="n"/>
      <c r="AG1892" s="102" t="n"/>
      <c r="AH1892" s="102" t="n"/>
      <c r="AI1892" s="102" t="n"/>
      <c r="AJ1892" s="102" t="n"/>
      <c r="AK1892" s="102" t="n"/>
      <c r="AL1892" s="102" t="n"/>
      <c r="AM1892" s="102" t="n"/>
      <c r="AN1892" s="102" t="n"/>
      <c r="AO1892" s="102" t="n"/>
      <c r="AP1892" s="102" t="n"/>
      <c r="AQ1892" s="102" t="n"/>
      <c r="AR1892" s="102" t="n"/>
    </row>
    <row r="1893">
      <c r="D1893" s="102" t="n"/>
      <c r="E1893" s="102" t="n"/>
      <c r="F1893" s="102" t="n"/>
      <c r="G1893" s="102" t="n"/>
      <c r="H1893" s="102" t="n"/>
      <c r="I1893" s="102" t="n"/>
      <c r="J1893" s="102" t="n"/>
      <c r="K1893" s="102" t="n"/>
      <c r="L1893" s="102" t="n"/>
      <c r="M1893" s="102" t="n"/>
      <c r="N1893" s="102" t="n"/>
      <c r="O1893" s="102" t="n"/>
      <c r="P1893" s="102" t="n"/>
      <c r="Q1893" s="102" t="n"/>
      <c r="R1893" s="102" t="n"/>
      <c r="S1893" s="102" t="n"/>
      <c r="T1893" s="102" t="n"/>
      <c r="U1893" s="102" t="n"/>
      <c r="V1893" s="102" t="n"/>
      <c r="W1893" s="102" t="n"/>
      <c r="X1893" s="102" t="n"/>
      <c r="Y1893" s="102" t="n"/>
      <c r="Z1893" s="102" t="n"/>
      <c r="AA1893" s="102" t="n"/>
      <c r="AB1893" s="102" t="n"/>
      <c r="AC1893" s="102" t="n"/>
      <c r="AD1893" s="102" t="n"/>
      <c r="AE1893" s="102" t="n"/>
      <c r="AF1893" s="102" t="n"/>
      <c r="AG1893" s="102" t="n"/>
      <c r="AH1893" s="102" t="n"/>
      <c r="AI1893" s="102" t="n"/>
      <c r="AJ1893" s="102" t="n"/>
      <c r="AK1893" s="102" t="n"/>
      <c r="AL1893" s="102" t="n"/>
      <c r="AM1893" s="102" t="n"/>
      <c r="AN1893" s="102" t="n"/>
      <c r="AO1893" s="102" t="n"/>
      <c r="AP1893" s="102" t="n"/>
      <c r="AQ1893" s="102" t="n"/>
      <c r="AR1893" s="102" t="n"/>
    </row>
    <row r="1894">
      <c r="D1894" s="103" t="n"/>
      <c r="E1894" s="103" t="n"/>
      <c r="F1894" s="103" t="n"/>
      <c r="G1894" s="103" t="n"/>
      <c r="H1894" s="103" t="n"/>
      <c r="I1894" s="103" t="n"/>
      <c r="J1894" s="103" t="n"/>
      <c r="K1894" s="103" t="n"/>
      <c r="L1894" s="103" t="n"/>
      <c r="M1894" s="103" t="n"/>
      <c r="N1894" s="103" t="n"/>
      <c r="O1894" s="103" t="n"/>
      <c r="P1894" s="103" t="n"/>
      <c r="Q1894" s="103" t="n"/>
      <c r="R1894" s="103" t="n"/>
      <c r="S1894" s="103" t="n"/>
      <c r="T1894" s="103" t="n"/>
      <c r="U1894" s="103" t="n"/>
      <c r="V1894" s="103" t="n"/>
      <c r="W1894" s="103" t="n"/>
      <c r="X1894" s="103" t="n"/>
      <c r="Y1894" s="103" t="n"/>
      <c r="Z1894" s="103" t="n"/>
      <c r="AA1894" s="103" t="n"/>
      <c r="AB1894" s="103" t="n"/>
      <c r="AC1894" s="103" t="n"/>
      <c r="AD1894" s="103" t="n"/>
      <c r="AE1894" s="103" t="n"/>
      <c r="AF1894" s="103" t="n"/>
      <c r="AG1894" s="103" t="n"/>
      <c r="AH1894" s="103" t="n"/>
      <c r="AI1894" s="103" t="n"/>
      <c r="AJ1894" s="103" t="n"/>
      <c r="AK1894" s="103" t="n"/>
      <c r="AL1894" s="103" t="n"/>
      <c r="AM1894" s="103" t="n"/>
      <c r="AN1894" s="103" t="n"/>
      <c r="AO1894" s="103" t="n"/>
      <c r="AP1894" s="103" t="n"/>
      <c r="AQ1894" s="103" t="n"/>
      <c r="AR1894" s="103" t="n"/>
    </row>
    <row r="1897">
      <c r="A1897" s="2">
        <f>IF($A1890="","","   projections")</f>
        <v/>
      </c>
      <c r="B1897" s="99">
        <f>IF($A1890="",0,COUNT($E1898:$AR1898))</f>
        <v/>
      </c>
      <c r="C1897" s="100">
        <f>IF($B1897=0,0,MAX($E1898:$AR1898))</f>
        <v/>
      </c>
      <c r="D1897" s="101">
        <f>BDS($A1890,FLD_PROJ,"headers=y","startcol=1","endcol=3","dir=h")</f>
        <v/>
      </c>
      <c r="E1897" s="102" t="n"/>
      <c r="F1897" s="102" t="n"/>
      <c r="G1897" s="102" t="n"/>
      <c r="H1897" s="102" t="n"/>
      <c r="I1897" s="102" t="n"/>
      <c r="J1897" s="102" t="n"/>
      <c r="K1897" s="102" t="n"/>
      <c r="L1897" s="102" t="n"/>
      <c r="M1897" s="102" t="n"/>
      <c r="N1897" s="102" t="n"/>
      <c r="O1897" s="102" t="n"/>
      <c r="P1897" s="102" t="n"/>
      <c r="Q1897" s="102" t="n"/>
      <c r="R1897" s="102" t="n"/>
      <c r="S1897" s="102" t="n"/>
      <c r="T1897" s="102" t="n"/>
      <c r="U1897" s="102" t="n"/>
      <c r="V1897" s="102" t="n"/>
      <c r="W1897" s="102" t="n"/>
      <c r="X1897" s="102" t="n"/>
      <c r="Y1897" s="102" t="n"/>
      <c r="Z1897" s="102" t="n"/>
      <c r="AA1897" s="102" t="n"/>
      <c r="AB1897" s="102" t="n"/>
      <c r="AC1897" s="102" t="n"/>
      <c r="AD1897" s="102" t="n"/>
      <c r="AE1897" s="102" t="n"/>
      <c r="AF1897" s="102" t="n"/>
      <c r="AG1897" s="102" t="n"/>
      <c r="AH1897" s="102" t="n"/>
      <c r="AI1897" s="102" t="n"/>
      <c r="AJ1897" s="102" t="n"/>
      <c r="AK1897" s="102" t="n"/>
      <c r="AL1897" s="102" t="n"/>
      <c r="AM1897" s="102" t="n"/>
      <c r="AN1897" s="102" t="n"/>
      <c r="AO1897" s="102" t="n"/>
      <c r="AP1897" s="102" t="n"/>
      <c r="AQ1897" s="102" t="n"/>
      <c r="AR1897" s="102" t="n"/>
    </row>
    <row r="1898">
      <c r="D1898" s="102" t="n"/>
      <c r="E1898" s="102" t="n"/>
      <c r="F1898" s="102" t="n"/>
      <c r="G1898" s="102" t="n"/>
      <c r="H1898" s="102" t="n"/>
      <c r="I1898" s="102" t="n"/>
      <c r="J1898" s="102" t="n"/>
      <c r="K1898" s="102" t="n"/>
      <c r="L1898" s="102" t="n"/>
      <c r="M1898" s="102" t="n"/>
      <c r="N1898" s="102" t="n"/>
      <c r="O1898" s="102" t="n"/>
      <c r="P1898" s="102" t="n"/>
      <c r="Q1898" s="102" t="n"/>
      <c r="R1898" s="102" t="n"/>
      <c r="S1898" s="102" t="n"/>
      <c r="T1898" s="102" t="n"/>
      <c r="U1898" s="102" t="n"/>
      <c r="V1898" s="102" t="n"/>
      <c r="W1898" s="102" t="n"/>
      <c r="X1898" s="102" t="n"/>
      <c r="Y1898" s="102" t="n"/>
      <c r="Z1898" s="102" t="n"/>
      <c r="AA1898" s="102" t="n"/>
      <c r="AB1898" s="102" t="n"/>
      <c r="AC1898" s="102" t="n"/>
      <c r="AD1898" s="102" t="n"/>
      <c r="AE1898" s="102" t="n"/>
      <c r="AF1898" s="102" t="n"/>
      <c r="AG1898" s="102" t="n"/>
      <c r="AH1898" s="102" t="n"/>
      <c r="AI1898" s="102" t="n"/>
      <c r="AJ1898" s="102" t="n"/>
      <c r="AK1898" s="102" t="n"/>
      <c r="AL1898" s="102" t="n"/>
      <c r="AM1898" s="102" t="n"/>
      <c r="AN1898" s="102" t="n"/>
      <c r="AO1898" s="102" t="n"/>
      <c r="AP1898" s="102" t="n"/>
      <c r="AQ1898" s="102" t="n"/>
      <c r="AR1898" s="102" t="n"/>
    </row>
    <row r="1899">
      <c r="D1899" s="103" t="n"/>
      <c r="E1899" s="103" t="n"/>
      <c r="F1899" s="103" t="n"/>
      <c r="G1899" s="103" t="n"/>
      <c r="H1899" s="103" t="n"/>
      <c r="I1899" s="103" t="n"/>
      <c r="J1899" s="103" t="n"/>
      <c r="K1899" s="103" t="n"/>
      <c r="L1899" s="103" t="n"/>
      <c r="M1899" s="103" t="n"/>
      <c r="N1899" s="103" t="n"/>
      <c r="O1899" s="103" t="n"/>
      <c r="P1899" s="103" t="n"/>
      <c r="Q1899" s="103" t="n"/>
      <c r="R1899" s="103" t="n"/>
      <c r="S1899" s="103" t="n"/>
      <c r="T1899" s="103" t="n"/>
      <c r="U1899" s="103" t="n"/>
      <c r="V1899" s="103" t="n"/>
      <c r="W1899" s="103" t="n"/>
      <c r="X1899" s="103" t="n"/>
      <c r="Y1899" s="103" t="n"/>
      <c r="Z1899" s="103" t="n"/>
      <c r="AA1899" s="103" t="n"/>
      <c r="AB1899" s="103" t="n"/>
      <c r="AC1899" s="103" t="n"/>
      <c r="AD1899" s="103" t="n"/>
      <c r="AE1899" s="103" t="n"/>
      <c r="AF1899" s="103" t="n"/>
      <c r="AG1899" s="103" t="n"/>
      <c r="AH1899" s="103" t="n"/>
      <c r="AI1899" s="103" t="n"/>
      <c r="AJ1899" s="103" t="n"/>
      <c r="AK1899" s="103" t="n"/>
      <c r="AL1899" s="103" t="n"/>
      <c r="AM1899" s="103" t="n"/>
      <c r="AN1899" s="103" t="n"/>
      <c r="AO1899" s="103" t="n"/>
      <c r="AP1899" s="103" t="n"/>
      <c r="AQ1899" s="103" t="n"/>
      <c r="AR1899" s="103" t="n"/>
    </row>
    <row r="1901">
      <c r="A1901" s="8">
        <f>IF(HSCEI!$C$38="","",HSCEI!$C$38)</f>
        <v/>
      </c>
      <c r="B1901" s="99">
        <f>IF($A1901="",0,COUNT($E1902:$AR1902))</f>
        <v/>
      </c>
      <c r="C1901" s="100">
        <f>IF($B1901=0,0,MAX($E1902:$AR1902))</f>
        <v/>
      </c>
      <c r="D1901" s="101">
        <f>BDS($A1901,FLD_HIST,"headers=y","startcol=1","endcol=7","dir=h","DVD_START_DT",HIST_FROM,"DVD_END_DT",HIST_TO)</f>
        <v/>
      </c>
      <c r="E1901" s="102" t="n"/>
      <c r="F1901" s="102" t="n"/>
      <c r="G1901" s="102" t="n"/>
      <c r="H1901" s="102" t="n"/>
      <c r="I1901" s="102" t="n"/>
      <c r="J1901" s="102" t="n"/>
      <c r="K1901" s="102" t="n"/>
      <c r="L1901" s="102" t="n"/>
      <c r="M1901" s="102" t="n"/>
      <c r="N1901" s="102" t="n"/>
      <c r="O1901" s="102" t="n"/>
      <c r="P1901" s="102" t="n"/>
      <c r="Q1901" s="102" t="n"/>
      <c r="R1901" s="102" t="n"/>
      <c r="S1901" s="102" t="n"/>
      <c r="T1901" s="102" t="n"/>
      <c r="U1901" s="102" t="n"/>
      <c r="V1901" s="102" t="n"/>
      <c r="W1901" s="102" t="n"/>
      <c r="X1901" s="102" t="n"/>
      <c r="Y1901" s="102" t="n"/>
      <c r="Z1901" s="102" t="n"/>
      <c r="AA1901" s="102" t="n"/>
      <c r="AB1901" s="102" t="n"/>
      <c r="AC1901" s="102" t="n"/>
      <c r="AD1901" s="102" t="n"/>
      <c r="AE1901" s="102" t="n"/>
      <c r="AF1901" s="102" t="n"/>
      <c r="AG1901" s="102" t="n"/>
      <c r="AH1901" s="102" t="n"/>
      <c r="AI1901" s="102" t="n"/>
      <c r="AJ1901" s="102" t="n"/>
      <c r="AK1901" s="102" t="n"/>
      <c r="AL1901" s="102" t="n"/>
      <c r="AM1901" s="102" t="n"/>
      <c r="AN1901" s="102" t="n"/>
      <c r="AO1901" s="102" t="n"/>
      <c r="AP1901" s="102" t="n"/>
      <c r="AQ1901" s="102" t="n"/>
      <c r="AR1901" s="102" t="n"/>
    </row>
    <row r="1902">
      <c r="D1902" s="102" t="n"/>
      <c r="E1902" s="102" t="n"/>
      <c r="F1902" s="102" t="n"/>
      <c r="G1902" s="102" t="n"/>
      <c r="H1902" s="102" t="n"/>
      <c r="I1902" s="102" t="n"/>
      <c r="J1902" s="102" t="n"/>
      <c r="K1902" s="102" t="n"/>
      <c r="L1902" s="102" t="n"/>
      <c r="M1902" s="102" t="n"/>
      <c r="N1902" s="102" t="n"/>
      <c r="O1902" s="102" t="n"/>
      <c r="P1902" s="102" t="n"/>
      <c r="Q1902" s="102" t="n"/>
      <c r="R1902" s="102" t="n"/>
      <c r="S1902" s="102" t="n"/>
      <c r="T1902" s="102" t="n"/>
      <c r="U1902" s="102" t="n"/>
      <c r="V1902" s="102" t="n"/>
      <c r="W1902" s="102" t="n"/>
      <c r="X1902" s="102" t="n"/>
      <c r="Y1902" s="102" t="n"/>
      <c r="Z1902" s="102" t="n"/>
      <c r="AA1902" s="102" t="n"/>
      <c r="AB1902" s="102" t="n"/>
      <c r="AC1902" s="102" t="n"/>
      <c r="AD1902" s="102" t="n"/>
      <c r="AE1902" s="102" t="n"/>
      <c r="AF1902" s="102" t="n"/>
      <c r="AG1902" s="102" t="n"/>
      <c r="AH1902" s="102" t="n"/>
      <c r="AI1902" s="102" t="n"/>
      <c r="AJ1902" s="102" t="n"/>
      <c r="AK1902" s="102" t="n"/>
      <c r="AL1902" s="102" t="n"/>
      <c r="AM1902" s="102" t="n"/>
      <c r="AN1902" s="102" t="n"/>
      <c r="AO1902" s="102" t="n"/>
      <c r="AP1902" s="102" t="n"/>
      <c r="AQ1902" s="102" t="n"/>
      <c r="AR1902" s="102" t="n"/>
    </row>
    <row r="1903">
      <c r="D1903" s="102" t="n"/>
      <c r="E1903" s="102" t="n"/>
      <c r="F1903" s="102" t="n"/>
      <c r="G1903" s="102" t="n"/>
      <c r="H1903" s="102" t="n"/>
      <c r="I1903" s="102" t="n"/>
      <c r="J1903" s="102" t="n"/>
      <c r="K1903" s="102" t="n"/>
      <c r="L1903" s="102" t="n"/>
      <c r="M1903" s="102" t="n"/>
      <c r="N1903" s="102" t="n"/>
      <c r="O1903" s="102" t="n"/>
      <c r="P1903" s="102" t="n"/>
      <c r="Q1903" s="102" t="n"/>
      <c r="R1903" s="102" t="n"/>
      <c r="S1903" s="102" t="n"/>
      <c r="T1903" s="102" t="n"/>
      <c r="U1903" s="102" t="n"/>
      <c r="V1903" s="102" t="n"/>
      <c r="W1903" s="102" t="n"/>
      <c r="X1903" s="102" t="n"/>
      <c r="Y1903" s="102" t="n"/>
      <c r="Z1903" s="102" t="n"/>
      <c r="AA1903" s="102" t="n"/>
      <c r="AB1903" s="102" t="n"/>
      <c r="AC1903" s="102" t="n"/>
      <c r="AD1903" s="102" t="n"/>
      <c r="AE1903" s="102" t="n"/>
      <c r="AF1903" s="102" t="n"/>
      <c r="AG1903" s="102" t="n"/>
      <c r="AH1903" s="102" t="n"/>
      <c r="AI1903" s="102" t="n"/>
      <c r="AJ1903" s="102" t="n"/>
      <c r="AK1903" s="102" t="n"/>
      <c r="AL1903" s="102" t="n"/>
      <c r="AM1903" s="102" t="n"/>
      <c r="AN1903" s="102" t="n"/>
      <c r="AO1903" s="102" t="n"/>
      <c r="AP1903" s="102" t="n"/>
      <c r="AQ1903" s="102" t="n"/>
      <c r="AR1903" s="102" t="n"/>
    </row>
    <row r="1904">
      <c r="D1904" s="102" t="n"/>
      <c r="E1904" s="102" t="n"/>
      <c r="F1904" s="102" t="n"/>
      <c r="G1904" s="102" t="n"/>
      <c r="H1904" s="102" t="n"/>
      <c r="I1904" s="102" t="n"/>
      <c r="J1904" s="102" t="n"/>
      <c r="K1904" s="102" t="n"/>
      <c r="L1904" s="102" t="n"/>
      <c r="M1904" s="102" t="n"/>
      <c r="N1904" s="102" t="n"/>
      <c r="O1904" s="102" t="n"/>
      <c r="P1904" s="102" t="n"/>
      <c r="Q1904" s="102" t="n"/>
      <c r="R1904" s="102" t="n"/>
      <c r="S1904" s="102" t="n"/>
      <c r="T1904" s="102" t="n"/>
      <c r="U1904" s="102" t="n"/>
      <c r="V1904" s="102" t="n"/>
      <c r="W1904" s="102" t="n"/>
      <c r="X1904" s="102" t="n"/>
      <c r="Y1904" s="102" t="n"/>
      <c r="Z1904" s="102" t="n"/>
      <c r="AA1904" s="102" t="n"/>
      <c r="AB1904" s="102" t="n"/>
      <c r="AC1904" s="102" t="n"/>
      <c r="AD1904" s="102" t="n"/>
      <c r="AE1904" s="102" t="n"/>
      <c r="AF1904" s="102" t="n"/>
      <c r="AG1904" s="102" t="n"/>
      <c r="AH1904" s="102" t="n"/>
      <c r="AI1904" s="102" t="n"/>
      <c r="AJ1904" s="102" t="n"/>
      <c r="AK1904" s="102" t="n"/>
      <c r="AL1904" s="102" t="n"/>
      <c r="AM1904" s="102" t="n"/>
      <c r="AN1904" s="102" t="n"/>
      <c r="AO1904" s="102" t="n"/>
      <c r="AP1904" s="102" t="n"/>
      <c r="AQ1904" s="102" t="n"/>
      <c r="AR1904" s="102" t="n"/>
    </row>
    <row r="1905">
      <c r="D1905" s="103" t="n"/>
      <c r="E1905" s="103" t="n"/>
      <c r="F1905" s="103" t="n"/>
      <c r="G1905" s="103" t="n"/>
      <c r="H1905" s="103" t="n"/>
      <c r="I1905" s="103" t="n"/>
      <c r="J1905" s="103" t="n"/>
      <c r="K1905" s="103" t="n"/>
      <c r="L1905" s="103" t="n"/>
      <c r="M1905" s="103" t="n"/>
      <c r="N1905" s="103" t="n"/>
      <c r="O1905" s="103" t="n"/>
      <c r="P1905" s="103" t="n"/>
      <c r="Q1905" s="103" t="n"/>
      <c r="R1905" s="103" t="n"/>
      <c r="S1905" s="103" t="n"/>
      <c r="T1905" s="103" t="n"/>
      <c r="U1905" s="103" t="n"/>
      <c r="V1905" s="103" t="n"/>
      <c r="W1905" s="103" t="n"/>
      <c r="X1905" s="103" t="n"/>
      <c r="Y1905" s="103" t="n"/>
      <c r="Z1905" s="103" t="n"/>
      <c r="AA1905" s="103" t="n"/>
      <c r="AB1905" s="103" t="n"/>
      <c r="AC1905" s="103" t="n"/>
      <c r="AD1905" s="103" t="n"/>
      <c r="AE1905" s="103" t="n"/>
      <c r="AF1905" s="103" t="n"/>
      <c r="AG1905" s="103" t="n"/>
      <c r="AH1905" s="103" t="n"/>
      <c r="AI1905" s="103" t="n"/>
      <c r="AJ1905" s="103" t="n"/>
      <c r="AK1905" s="103" t="n"/>
      <c r="AL1905" s="103" t="n"/>
      <c r="AM1905" s="103" t="n"/>
      <c r="AN1905" s="103" t="n"/>
      <c r="AO1905" s="103" t="n"/>
      <c r="AP1905" s="103" t="n"/>
      <c r="AQ1905" s="103" t="n"/>
      <c r="AR1905" s="103" t="n"/>
    </row>
    <row r="1908">
      <c r="A1908" s="2">
        <f>IF($A1901="","","   projections")</f>
        <v/>
      </c>
      <c r="B1908" s="99">
        <f>IF($A1901="",0,COUNT($E1909:$AR1909))</f>
        <v/>
      </c>
      <c r="C1908" s="100">
        <f>IF($B1908=0,0,MAX($E1909:$AR1909))</f>
        <v/>
      </c>
      <c r="D1908" s="101">
        <f>BDS($A1901,FLD_PROJ,"headers=y","startcol=1","endcol=3","dir=h")</f>
        <v/>
      </c>
      <c r="E1908" s="102" t="n"/>
      <c r="F1908" s="102" t="n"/>
      <c r="G1908" s="102" t="n"/>
      <c r="H1908" s="102" t="n"/>
      <c r="I1908" s="102" t="n"/>
      <c r="J1908" s="102" t="n"/>
      <c r="K1908" s="102" t="n"/>
      <c r="L1908" s="102" t="n"/>
      <c r="M1908" s="102" t="n"/>
      <c r="N1908" s="102" t="n"/>
      <c r="O1908" s="102" t="n"/>
      <c r="P1908" s="102" t="n"/>
      <c r="Q1908" s="102" t="n"/>
      <c r="R1908" s="102" t="n"/>
      <c r="S1908" s="102" t="n"/>
      <c r="T1908" s="102" t="n"/>
      <c r="U1908" s="102" t="n"/>
      <c r="V1908" s="102" t="n"/>
      <c r="W1908" s="102" t="n"/>
      <c r="X1908" s="102" t="n"/>
      <c r="Y1908" s="102" t="n"/>
      <c r="Z1908" s="102" t="n"/>
      <c r="AA1908" s="102" t="n"/>
      <c r="AB1908" s="102" t="n"/>
      <c r="AC1908" s="102" t="n"/>
      <c r="AD1908" s="102" t="n"/>
      <c r="AE1908" s="102" t="n"/>
      <c r="AF1908" s="102" t="n"/>
      <c r="AG1908" s="102" t="n"/>
      <c r="AH1908" s="102" t="n"/>
      <c r="AI1908" s="102" t="n"/>
      <c r="AJ1908" s="102" t="n"/>
      <c r="AK1908" s="102" t="n"/>
      <c r="AL1908" s="102" t="n"/>
      <c r="AM1908" s="102" t="n"/>
      <c r="AN1908" s="102" t="n"/>
      <c r="AO1908" s="102" t="n"/>
      <c r="AP1908" s="102" t="n"/>
      <c r="AQ1908" s="102" t="n"/>
      <c r="AR1908" s="102" t="n"/>
    </row>
    <row r="1909">
      <c r="D1909" s="102" t="n"/>
      <c r="E1909" s="102" t="n"/>
      <c r="F1909" s="102" t="n"/>
      <c r="G1909" s="102" t="n"/>
      <c r="H1909" s="102" t="n"/>
      <c r="I1909" s="102" t="n"/>
      <c r="J1909" s="102" t="n"/>
      <c r="K1909" s="102" t="n"/>
      <c r="L1909" s="102" t="n"/>
      <c r="M1909" s="102" t="n"/>
      <c r="N1909" s="102" t="n"/>
      <c r="O1909" s="102" t="n"/>
      <c r="P1909" s="102" t="n"/>
      <c r="Q1909" s="102" t="n"/>
      <c r="R1909" s="102" t="n"/>
      <c r="S1909" s="102" t="n"/>
      <c r="T1909" s="102" t="n"/>
      <c r="U1909" s="102" t="n"/>
      <c r="V1909" s="102" t="n"/>
      <c r="W1909" s="102" t="n"/>
      <c r="X1909" s="102" t="n"/>
      <c r="Y1909" s="102" t="n"/>
      <c r="Z1909" s="102" t="n"/>
      <c r="AA1909" s="102" t="n"/>
      <c r="AB1909" s="102" t="n"/>
      <c r="AC1909" s="102" t="n"/>
      <c r="AD1909" s="102" t="n"/>
      <c r="AE1909" s="102" t="n"/>
      <c r="AF1909" s="102" t="n"/>
      <c r="AG1909" s="102" t="n"/>
      <c r="AH1909" s="102" t="n"/>
      <c r="AI1909" s="102" t="n"/>
      <c r="AJ1909" s="102" t="n"/>
      <c r="AK1909" s="102" t="n"/>
      <c r="AL1909" s="102" t="n"/>
      <c r="AM1909" s="102" t="n"/>
      <c r="AN1909" s="102" t="n"/>
      <c r="AO1909" s="102" t="n"/>
      <c r="AP1909" s="102" t="n"/>
      <c r="AQ1909" s="102" t="n"/>
      <c r="AR1909" s="102" t="n"/>
    </row>
    <row r="1910">
      <c r="D1910" s="103" t="n"/>
      <c r="E1910" s="103" t="n"/>
      <c r="F1910" s="103" t="n"/>
      <c r="G1910" s="103" t="n"/>
      <c r="H1910" s="103" t="n"/>
      <c r="I1910" s="103" t="n"/>
      <c r="J1910" s="103" t="n"/>
      <c r="K1910" s="103" t="n"/>
      <c r="L1910" s="103" t="n"/>
      <c r="M1910" s="103" t="n"/>
      <c r="N1910" s="103" t="n"/>
      <c r="O1910" s="103" t="n"/>
      <c r="P1910" s="103" t="n"/>
      <c r="Q1910" s="103" t="n"/>
      <c r="R1910" s="103" t="n"/>
      <c r="S1910" s="103" t="n"/>
      <c r="T1910" s="103" t="n"/>
      <c r="U1910" s="103" t="n"/>
      <c r="V1910" s="103" t="n"/>
      <c r="W1910" s="103" t="n"/>
      <c r="X1910" s="103" t="n"/>
      <c r="Y1910" s="103" t="n"/>
      <c r="Z1910" s="103" t="n"/>
      <c r="AA1910" s="103" t="n"/>
      <c r="AB1910" s="103" t="n"/>
      <c r="AC1910" s="103" t="n"/>
      <c r="AD1910" s="103" t="n"/>
      <c r="AE1910" s="103" t="n"/>
      <c r="AF1910" s="103" t="n"/>
      <c r="AG1910" s="103" t="n"/>
      <c r="AH1910" s="103" t="n"/>
      <c r="AI1910" s="103" t="n"/>
      <c r="AJ1910" s="103" t="n"/>
      <c r="AK1910" s="103" t="n"/>
      <c r="AL1910" s="103" t="n"/>
      <c r="AM1910" s="103" t="n"/>
      <c r="AN1910" s="103" t="n"/>
      <c r="AO1910" s="103" t="n"/>
      <c r="AP1910" s="103" t="n"/>
      <c r="AQ1910" s="103" t="n"/>
      <c r="AR1910" s="103" t="n"/>
    </row>
    <row r="1912">
      <c r="A1912" s="8">
        <f>IF(HSCEI!$C$39="","",HSCEI!$C$39)</f>
        <v/>
      </c>
      <c r="B1912" s="99">
        <f>IF($A1912="",0,COUNT($E1913:$AR1913))</f>
        <v/>
      </c>
      <c r="C1912" s="100">
        <f>IF($B1912=0,0,MAX($E1913:$AR1913))</f>
        <v/>
      </c>
      <c r="D1912" s="101">
        <f>BDS($A1912,FLD_HIST,"headers=y","startcol=1","endcol=7","dir=h","DVD_START_DT",HIST_FROM,"DVD_END_DT",HIST_TO)</f>
        <v/>
      </c>
      <c r="E1912" s="102" t="n"/>
      <c r="F1912" s="102" t="n"/>
      <c r="G1912" s="102" t="n"/>
      <c r="H1912" s="102" t="n"/>
      <c r="I1912" s="102" t="n"/>
      <c r="J1912" s="102" t="n"/>
      <c r="K1912" s="102" t="n"/>
      <c r="L1912" s="102" t="n"/>
      <c r="M1912" s="102" t="n"/>
      <c r="N1912" s="102" t="n"/>
      <c r="O1912" s="102" t="n"/>
      <c r="P1912" s="102" t="n"/>
      <c r="Q1912" s="102" t="n"/>
      <c r="R1912" s="102" t="n"/>
      <c r="S1912" s="102" t="n"/>
      <c r="T1912" s="102" t="n"/>
      <c r="U1912" s="102" t="n"/>
      <c r="V1912" s="102" t="n"/>
      <c r="W1912" s="102" t="n"/>
      <c r="X1912" s="102" t="n"/>
      <c r="Y1912" s="102" t="n"/>
      <c r="Z1912" s="102" t="n"/>
      <c r="AA1912" s="102" t="n"/>
      <c r="AB1912" s="102" t="n"/>
      <c r="AC1912" s="102" t="n"/>
      <c r="AD1912" s="102" t="n"/>
      <c r="AE1912" s="102" t="n"/>
      <c r="AF1912" s="102" t="n"/>
      <c r="AG1912" s="102" t="n"/>
      <c r="AH1912" s="102" t="n"/>
      <c r="AI1912" s="102" t="n"/>
      <c r="AJ1912" s="102" t="n"/>
      <c r="AK1912" s="102" t="n"/>
      <c r="AL1912" s="102" t="n"/>
      <c r="AM1912" s="102" t="n"/>
      <c r="AN1912" s="102" t="n"/>
      <c r="AO1912" s="102" t="n"/>
      <c r="AP1912" s="102" t="n"/>
      <c r="AQ1912" s="102" t="n"/>
      <c r="AR1912" s="102" t="n"/>
    </row>
    <row r="1913">
      <c r="D1913" s="102" t="n"/>
      <c r="E1913" s="102" t="n"/>
      <c r="F1913" s="102" t="n"/>
      <c r="G1913" s="102" t="n"/>
      <c r="H1913" s="102" t="n"/>
      <c r="I1913" s="102" t="n"/>
      <c r="J1913" s="102" t="n"/>
      <c r="K1913" s="102" t="n"/>
      <c r="L1913" s="102" t="n"/>
      <c r="M1913" s="102" t="n"/>
      <c r="N1913" s="102" t="n"/>
      <c r="O1913" s="102" t="n"/>
      <c r="P1913" s="102" t="n"/>
      <c r="Q1913" s="102" t="n"/>
      <c r="R1913" s="102" t="n"/>
      <c r="S1913" s="102" t="n"/>
      <c r="T1913" s="102" t="n"/>
      <c r="U1913" s="102" t="n"/>
      <c r="V1913" s="102" t="n"/>
      <c r="W1913" s="102" t="n"/>
      <c r="X1913" s="102" t="n"/>
      <c r="Y1913" s="102" t="n"/>
      <c r="Z1913" s="102" t="n"/>
      <c r="AA1913" s="102" t="n"/>
      <c r="AB1913" s="102" t="n"/>
      <c r="AC1913" s="102" t="n"/>
      <c r="AD1913" s="102" t="n"/>
      <c r="AE1913" s="102" t="n"/>
      <c r="AF1913" s="102" t="n"/>
      <c r="AG1913" s="102" t="n"/>
      <c r="AH1913" s="102" t="n"/>
      <c r="AI1913" s="102" t="n"/>
      <c r="AJ1913" s="102" t="n"/>
      <c r="AK1913" s="102" t="n"/>
      <c r="AL1913" s="102" t="n"/>
      <c r="AM1913" s="102" t="n"/>
      <c r="AN1913" s="102" t="n"/>
      <c r="AO1913" s="102" t="n"/>
      <c r="AP1913" s="102" t="n"/>
      <c r="AQ1913" s="102" t="n"/>
      <c r="AR1913" s="102" t="n"/>
    </row>
    <row r="1914">
      <c r="D1914" s="102" t="n"/>
      <c r="E1914" s="102" t="n"/>
      <c r="F1914" s="102" t="n"/>
      <c r="G1914" s="102" t="n"/>
      <c r="H1914" s="102" t="n"/>
      <c r="I1914" s="102" t="n"/>
      <c r="J1914" s="102" t="n"/>
      <c r="K1914" s="102" t="n"/>
      <c r="L1914" s="102" t="n"/>
      <c r="M1914" s="102" t="n"/>
      <c r="N1914" s="102" t="n"/>
      <c r="O1914" s="102" t="n"/>
      <c r="P1914" s="102" t="n"/>
      <c r="Q1914" s="102" t="n"/>
      <c r="R1914" s="102" t="n"/>
      <c r="S1914" s="102" t="n"/>
      <c r="T1914" s="102" t="n"/>
      <c r="U1914" s="102" t="n"/>
      <c r="V1914" s="102" t="n"/>
      <c r="W1914" s="102" t="n"/>
      <c r="X1914" s="102" t="n"/>
      <c r="Y1914" s="102" t="n"/>
      <c r="Z1914" s="102" t="n"/>
      <c r="AA1914" s="102" t="n"/>
      <c r="AB1914" s="102" t="n"/>
      <c r="AC1914" s="102" t="n"/>
      <c r="AD1914" s="102" t="n"/>
      <c r="AE1914" s="102" t="n"/>
      <c r="AF1914" s="102" t="n"/>
      <c r="AG1914" s="102" t="n"/>
      <c r="AH1914" s="102" t="n"/>
      <c r="AI1914" s="102" t="n"/>
      <c r="AJ1914" s="102" t="n"/>
      <c r="AK1914" s="102" t="n"/>
      <c r="AL1914" s="102" t="n"/>
      <c r="AM1914" s="102" t="n"/>
      <c r="AN1914" s="102" t="n"/>
      <c r="AO1914" s="102" t="n"/>
      <c r="AP1914" s="102" t="n"/>
      <c r="AQ1914" s="102" t="n"/>
      <c r="AR1914" s="102" t="n"/>
    </row>
    <row r="1915">
      <c r="D1915" s="102" t="n"/>
      <c r="E1915" s="102" t="n"/>
      <c r="F1915" s="102" t="n"/>
      <c r="G1915" s="102" t="n"/>
      <c r="H1915" s="102" t="n"/>
      <c r="I1915" s="102" t="n"/>
      <c r="J1915" s="102" t="n"/>
      <c r="K1915" s="102" t="n"/>
      <c r="L1915" s="102" t="n"/>
      <c r="M1915" s="102" t="n"/>
      <c r="N1915" s="102" t="n"/>
      <c r="O1915" s="102" t="n"/>
      <c r="P1915" s="102" t="n"/>
      <c r="Q1915" s="102" t="n"/>
      <c r="R1915" s="102" t="n"/>
      <c r="S1915" s="102" t="n"/>
      <c r="T1915" s="102" t="n"/>
      <c r="U1915" s="102" t="n"/>
      <c r="V1915" s="102" t="n"/>
      <c r="W1915" s="102" t="n"/>
      <c r="X1915" s="102" t="n"/>
      <c r="Y1915" s="102" t="n"/>
      <c r="Z1915" s="102" t="n"/>
      <c r="AA1915" s="102" t="n"/>
      <c r="AB1915" s="102" t="n"/>
      <c r="AC1915" s="102" t="n"/>
      <c r="AD1915" s="102" t="n"/>
      <c r="AE1915" s="102" t="n"/>
      <c r="AF1915" s="102" t="n"/>
      <c r="AG1915" s="102" t="n"/>
      <c r="AH1915" s="102" t="n"/>
      <c r="AI1915" s="102" t="n"/>
      <c r="AJ1915" s="102" t="n"/>
      <c r="AK1915" s="102" t="n"/>
      <c r="AL1915" s="102" t="n"/>
      <c r="AM1915" s="102" t="n"/>
      <c r="AN1915" s="102" t="n"/>
      <c r="AO1915" s="102" t="n"/>
      <c r="AP1915" s="102" t="n"/>
      <c r="AQ1915" s="102" t="n"/>
      <c r="AR1915" s="102" t="n"/>
    </row>
    <row r="1916">
      <c r="D1916" s="103" t="n"/>
      <c r="E1916" s="103" t="n"/>
      <c r="F1916" s="103" t="n"/>
      <c r="G1916" s="103" t="n"/>
      <c r="H1916" s="103" t="n"/>
      <c r="I1916" s="103" t="n"/>
      <c r="J1916" s="103" t="n"/>
      <c r="K1916" s="103" t="n"/>
      <c r="L1916" s="103" t="n"/>
      <c r="M1916" s="103" t="n"/>
      <c r="N1916" s="103" t="n"/>
      <c r="O1916" s="103" t="n"/>
      <c r="P1916" s="103" t="n"/>
      <c r="Q1916" s="103" t="n"/>
      <c r="R1916" s="103" t="n"/>
      <c r="S1916" s="103" t="n"/>
      <c r="T1916" s="103" t="n"/>
      <c r="U1916" s="103" t="n"/>
      <c r="V1916" s="103" t="n"/>
      <c r="W1916" s="103" t="n"/>
      <c r="X1916" s="103" t="n"/>
      <c r="Y1916" s="103" t="n"/>
      <c r="Z1916" s="103" t="n"/>
      <c r="AA1916" s="103" t="n"/>
      <c r="AB1916" s="103" t="n"/>
      <c r="AC1916" s="103" t="n"/>
      <c r="AD1916" s="103" t="n"/>
      <c r="AE1916" s="103" t="n"/>
      <c r="AF1916" s="103" t="n"/>
      <c r="AG1916" s="103" t="n"/>
      <c r="AH1916" s="103" t="n"/>
      <c r="AI1916" s="103" t="n"/>
      <c r="AJ1916" s="103" t="n"/>
      <c r="AK1916" s="103" t="n"/>
      <c r="AL1916" s="103" t="n"/>
      <c r="AM1916" s="103" t="n"/>
      <c r="AN1916" s="103" t="n"/>
      <c r="AO1916" s="103" t="n"/>
      <c r="AP1916" s="103" t="n"/>
      <c r="AQ1916" s="103" t="n"/>
      <c r="AR1916" s="103" t="n"/>
    </row>
    <row r="1919">
      <c r="A1919" s="2">
        <f>IF($A1912="","","   projections")</f>
        <v/>
      </c>
      <c r="B1919" s="99">
        <f>IF($A1912="",0,COUNT($E1920:$AR1920))</f>
        <v/>
      </c>
      <c r="C1919" s="100">
        <f>IF($B1919=0,0,MAX($E1920:$AR1920))</f>
        <v/>
      </c>
      <c r="D1919" s="101">
        <f>BDS($A1912,FLD_PROJ,"headers=y","startcol=1","endcol=3","dir=h")</f>
        <v/>
      </c>
      <c r="E1919" s="102" t="n"/>
      <c r="F1919" s="102" t="n"/>
      <c r="G1919" s="102" t="n"/>
      <c r="H1919" s="102" t="n"/>
      <c r="I1919" s="102" t="n"/>
      <c r="J1919" s="102" t="n"/>
      <c r="K1919" s="102" t="n"/>
      <c r="L1919" s="102" t="n"/>
      <c r="M1919" s="102" t="n"/>
      <c r="N1919" s="102" t="n"/>
      <c r="O1919" s="102" t="n"/>
      <c r="P1919" s="102" t="n"/>
      <c r="Q1919" s="102" t="n"/>
      <c r="R1919" s="102" t="n"/>
      <c r="S1919" s="102" t="n"/>
      <c r="T1919" s="102" t="n"/>
      <c r="U1919" s="102" t="n"/>
      <c r="V1919" s="102" t="n"/>
      <c r="W1919" s="102" t="n"/>
      <c r="X1919" s="102" t="n"/>
      <c r="Y1919" s="102" t="n"/>
      <c r="Z1919" s="102" t="n"/>
      <c r="AA1919" s="102" t="n"/>
      <c r="AB1919" s="102" t="n"/>
      <c r="AC1919" s="102" t="n"/>
      <c r="AD1919" s="102" t="n"/>
      <c r="AE1919" s="102" t="n"/>
      <c r="AF1919" s="102" t="n"/>
      <c r="AG1919" s="102" t="n"/>
      <c r="AH1919" s="102" t="n"/>
      <c r="AI1919" s="102" t="n"/>
      <c r="AJ1919" s="102" t="n"/>
      <c r="AK1919" s="102" t="n"/>
      <c r="AL1919" s="102" t="n"/>
      <c r="AM1919" s="102" t="n"/>
      <c r="AN1919" s="102" t="n"/>
      <c r="AO1919" s="102" t="n"/>
      <c r="AP1919" s="102" t="n"/>
      <c r="AQ1919" s="102" t="n"/>
      <c r="AR1919" s="102" t="n"/>
    </row>
    <row r="1920">
      <c r="D1920" s="102" t="n"/>
      <c r="E1920" s="102" t="n"/>
      <c r="F1920" s="102" t="n"/>
      <c r="G1920" s="102" t="n"/>
      <c r="H1920" s="102" t="n"/>
      <c r="I1920" s="102" t="n"/>
      <c r="J1920" s="102" t="n"/>
      <c r="K1920" s="102" t="n"/>
      <c r="L1920" s="102" t="n"/>
      <c r="M1920" s="102" t="n"/>
      <c r="N1920" s="102" t="n"/>
      <c r="O1920" s="102" t="n"/>
      <c r="P1920" s="102" t="n"/>
      <c r="Q1920" s="102" t="n"/>
      <c r="R1920" s="102" t="n"/>
      <c r="S1920" s="102" t="n"/>
      <c r="T1920" s="102" t="n"/>
      <c r="U1920" s="102" t="n"/>
      <c r="V1920" s="102" t="n"/>
      <c r="W1920" s="102" t="n"/>
      <c r="X1920" s="102" t="n"/>
      <c r="Y1920" s="102" t="n"/>
      <c r="Z1920" s="102" t="n"/>
      <c r="AA1920" s="102" t="n"/>
      <c r="AB1920" s="102" t="n"/>
      <c r="AC1920" s="102" t="n"/>
      <c r="AD1920" s="102" t="n"/>
      <c r="AE1920" s="102" t="n"/>
      <c r="AF1920" s="102" t="n"/>
      <c r="AG1920" s="102" t="n"/>
      <c r="AH1920" s="102" t="n"/>
      <c r="AI1920" s="102" t="n"/>
      <c r="AJ1920" s="102" t="n"/>
      <c r="AK1920" s="102" t="n"/>
      <c r="AL1920" s="102" t="n"/>
      <c r="AM1920" s="102" t="n"/>
      <c r="AN1920" s="102" t="n"/>
      <c r="AO1920" s="102" t="n"/>
      <c r="AP1920" s="102" t="n"/>
      <c r="AQ1920" s="102" t="n"/>
      <c r="AR1920" s="102" t="n"/>
    </row>
    <row r="1921">
      <c r="D1921" s="103" t="n"/>
      <c r="E1921" s="103" t="n"/>
      <c r="F1921" s="103" t="n"/>
      <c r="G1921" s="103" t="n"/>
      <c r="H1921" s="103" t="n"/>
      <c r="I1921" s="103" t="n"/>
      <c r="J1921" s="103" t="n"/>
      <c r="K1921" s="103" t="n"/>
      <c r="L1921" s="103" t="n"/>
      <c r="M1921" s="103" t="n"/>
      <c r="N1921" s="103" t="n"/>
      <c r="O1921" s="103" t="n"/>
      <c r="P1921" s="103" t="n"/>
      <c r="Q1921" s="103" t="n"/>
      <c r="R1921" s="103" t="n"/>
      <c r="S1921" s="103" t="n"/>
      <c r="T1921" s="103" t="n"/>
      <c r="U1921" s="103" t="n"/>
      <c r="V1921" s="103" t="n"/>
      <c r="W1921" s="103" t="n"/>
      <c r="X1921" s="103" t="n"/>
      <c r="Y1921" s="103" t="n"/>
      <c r="Z1921" s="103" t="n"/>
      <c r="AA1921" s="103" t="n"/>
      <c r="AB1921" s="103" t="n"/>
      <c r="AC1921" s="103" t="n"/>
      <c r="AD1921" s="103" t="n"/>
      <c r="AE1921" s="103" t="n"/>
      <c r="AF1921" s="103" t="n"/>
      <c r="AG1921" s="103" t="n"/>
      <c r="AH1921" s="103" t="n"/>
      <c r="AI1921" s="103" t="n"/>
      <c r="AJ1921" s="103" t="n"/>
      <c r="AK1921" s="103" t="n"/>
      <c r="AL1921" s="103" t="n"/>
      <c r="AM1921" s="103" t="n"/>
      <c r="AN1921" s="103" t="n"/>
      <c r="AO1921" s="103" t="n"/>
      <c r="AP1921" s="103" t="n"/>
      <c r="AQ1921" s="103" t="n"/>
      <c r="AR1921" s="103" t="n"/>
    </row>
    <row r="1923">
      <c r="A1923" s="8">
        <f>IF(HSCEI!$C$40="","",HSCEI!$C$40)</f>
        <v/>
      </c>
      <c r="B1923" s="99">
        <f>IF($A1923="",0,COUNT($E1924:$AR1924))</f>
        <v/>
      </c>
      <c r="C1923" s="100">
        <f>IF($B1923=0,0,MAX($E1924:$AR1924))</f>
        <v/>
      </c>
      <c r="D1923" s="101">
        <f>BDS($A1923,FLD_HIST,"headers=y","startcol=1","endcol=7","dir=h","DVD_START_DT",HIST_FROM,"DVD_END_DT",HIST_TO)</f>
        <v/>
      </c>
      <c r="E1923" s="102" t="n"/>
      <c r="F1923" s="102" t="n"/>
      <c r="G1923" s="102" t="n"/>
      <c r="H1923" s="102" t="n"/>
      <c r="I1923" s="102" t="n"/>
      <c r="J1923" s="102" t="n"/>
      <c r="K1923" s="102" t="n"/>
      <c r="L1923" s="102" t="n"/>
      <c r="M1923" s="102" t="n"/>
      <c r="N1923" s="102" t="n"/>
      <c r="O1923" s="102" t="n"/>
      <c r="P1923" s="102" t="n"/>
      <c r="Q1923" s="102" t="n"/>
      <c r="R1923" s="102" t="n"/>
      <c r="S1923" s="102" t="n"/>
      <c r="T1923" s="102" t="n"/>
      <c r="U1923" s="102" t="n"/>
      <c r="V1923" s="102" t="n"/>
      <c r="W1923" s="102" t="n"/>
      <c r="X1923" s="102" t="n"/>
      <c r="Y1923" s="102" t="n"/>
      <c r="Z1923" s="102" t="n"/>
      <c r="AA1923" s="102" t="n"/>
      <c r="AB1923" s="102" t="n"/>
      <c r="AC1923" s="102" t="n"/>
      <c r="AD1923" s="102" t="n"/>
      <c r="AE1923" s="102" t="n"/>
      <c r="AF1923" s="102" t="n"/>
      <c r="AG1923" s="102" t="n"/>
      <c r="AH1923" s="102" t="n"/>
      <c r="AI1923" s="102" t="n"/>
      <c r="AJ1923" s="102" t="n"/>
      <c r="AK1923" s="102" t="n"/>
      <c r="AL1923" s="102" t="n"/>
      <c r="AM1923" s="102" t="n"/>
      <c r="AN1923" s="102" t="n"/>
      <c r="AO1923" s="102" t="n"/>
      <c r="AP1923" s="102" t="n"/>
      <c r="AQ1923" s="102" t="n"/>
      <c r="AR1923" s="102" t="n"/>
    </row>
    <row r="1924">
      <c r="D1924" s="102" t="n"/>
      <c r="E1924" s="102" t="n"/>
      <c r="F1924" s="102" t="n"/>
      <c r="G1924" s="102" t="n"/>
      <c r="H1924" s="102" t="n"/>
      <c r="I1924" s="102" t="n"/>
      <c r="J1924" s="102" t="n"/>
      <c r="K1924" s="102" t="n"/>
      <c r="L1924" s="102" t="n"/>
      <c r="M1924" s="102" t="n"/>
      <c r="N1924" s="102" t="n"/>
      <c r="O1924" s="102" t="n"/>
      <c r="P1924" s="102" t="n"/>
      <c r="Q1924" s="102" t="n"/>
      <c r="R1924" s="102" t="n"/>
      <c r="S1924" s="102" t="n"/>
      <c r="T1924" s="102" t="n"/>
      <c r="U1924" s="102" t="n"/>
      <c r="V1924" s="102" t="n"/>
      <c r="W1924" s="102" t="n"/>
      <c r="X1924" s="102" t="n"/>
      <c r="Y1924" s="102" t="n"/>
      <c r="Z1924" s="102" t="n"/>
      <c r="AA1924" s="102" t="n"/>
      <c r="AB1924" s="102" t="n"/>
      <c r="AC1924" s="102" t="n"/>
      <c r="AD1924" s="102" t="n"/>
      <c r="AE1924" s="102" t="n"/>
      <c r="AF1924" s="102" t="n"/>
      <c r="AG1924" s="102" t="n"/>
      <c r="AH1924" s="102" t="n"/>
      <c r="AI1924" s="102" t="n"/>
      <c r="AJ1924" s="102" t="n"/>
      <c r="AK1924" s="102" t="n"/>
      <c r="AL1924" s="102" t="n"/>
      <c r="AM1924" s="102" t="n"/>
      <c r="AN1924" s="102" t="n"/>
      <c r="AO1924" s="102" t="n"/>
      <c r="AP1924" s="102" t="n"/>
      <c r="AQ1924" s="102" t="n"/>
      <c r="AR1924" s="102" t="n"/>
    </row>
    <row r="1925">
      <c r="D1925" s="102" t="n"/>
      <c r="E1925" s="102" t="n"/>
      <c r="F1925" s="102" t="n"/>
      <c r="G1925" s="102" t="n"/>
      <c r="H1925" s="102" t="n"/>
      <c r="I1925" s="102" t="n"/>
      <c r="J1925" s="102" t="n"/>
      <c r="K1925" s="102" t="n"/>
      <c r="L1925" s="102" t="n"/>
      <c r="M1925" s="102" t="n"/>
      <c r="N1925" s="102" t="n"/>
      <c r="O1925" s="102" t="n"/>
      <c r="P1925" s="102" t="n"/>
      <c r="Q1925" s="102" t="n"/>
      <c r="R1925" s="102" t="n"/>
      <c r="S1925" s="102" t="n"/>
      <c r="T1925" s="102" t="n"/>
      <c r="U1925" s="102" t="n"/>
      <c r="V1925" s="102" t="n"/>
      <c r="W1925" s="102" t="n"/>
      <c r="X1925" s="102" t="n"/>
      <c r="Y1925" s="102" t="n"/>
      <c r="Z1925" s="102" t="n"/>
      <c r="AA1925" s="102" t="n"/>
      <c r="AB1925" s="102" t="n"/>
      <c r="AC1925" s="102" t="n"/>
      <c r="AD1925" s="102" t="n"/>
      <c r="AE1925" s="102" t="n"/>
      <c r="AF1925" s="102" t="n"/>
      <c r="AG1925" s="102" t="n"/>
      <c r="AH1925" s="102" t="n"/>
      <c r="AI1925" s="102" t="n"/>
      <c r="AJ1925" s="102" t="n"/>
      <c r="AK1925" s="102" t="n"/>
      <c r="AL1925" s="102" t="n"/>
      <c r="AM1925" s="102" t="n"/>
      <c r="AN1925" s="102" t="n"/>
      <c r="AO1925" s="102" t="n"/>
      <c r="AP1925" s="102" t="n"/>
      <c r="AQ1925" s="102" t="n"/>
      <c r="AR1925" s="102" t="n"/>
    </row>
    <row r="1926">
      <c r="D1926" s="102" t="n"/>
      <c r="E1926" s="102" t="n"/>
      <c r="F1926" s="102" t="n"/>
      <c r="G1926" s="102" t="n"/>
      <c r="H1926" s="102" t="n"/>
      <c r="I1926" s="102" t="n"/>
      <c r="J1926" s="102" t="n"/>
      <c r="K1926" s="102" t="n"/>
      <c r="L1926" s="102" t="n"/>
      <c r="M1926" s="102" t="n"/>
      <c r="N1926" s="102" t="n"/>
      <c r="O1926" s="102" t="n"/>
      <c r="P1926" s="102" t="n"/>
      <c r="Q1926" s="102" t="n"/>
      <c r="R1926" s="102" t="n"/>
      <c r="S1926" s="102" t="n"/>
      <c r="T1926" s="102" t="n"/>
      <c r="U1926" s="102" t="n"/>
      <c r="V1926" s="102" t="n"/>
      <c r="W1926" s="102" t="n"/>
      <c r="X1926" s="102" t="n"/>
      <c r="Y1926" s="102" t="n"/>
      <c r="Z1926" s="102" t="n"/>
      <c r="AA1926" s="102" t="n"/>
      <c r="AB1926" s="102" t="n"/>
      <c r="AC1926" s="102" t="n"/>
      <c r="AD1926" s="102" t="n"/>
      <c r="AE1926" s="102" t="n"/>
      <c r="AF1926" s="102" t="n"/>
      <c r="AG1926" s="102" t="n"/>
      <c r="AH1926" s="102" t="n"/>
      <c r="AI1926" s="102" t="n"/>
      <c r="AJ1926" s="102" t="n"/>
      <c r="AK1926" s="102" t="n"/>
      <c r="AL1926" s="102" t="n"/>
      <c r="AM1926" s="102" t="n"/>
      <c r="AN1926" s="102" t="n"/>
      <c r="AO1926" s="102" t="n"/>
      <c r="AP1926" s="102" t="n"/>
      <c r="AQ1926" s="102" t="n"/>
      <c r="AR1926" s="102" t="n"/>
    </row>
    <row r="1927">
      <c r="D1927" s="103" t="n"/>
      <c r="E1927" s="103" t="n"/>
      <c r="F1927" s="103" t="n"/>
      <c r="G1927" s="103" t="n"/>
      <c r="H1927" s="103" t="n"/>
      <c r="I1927" s="103" t="n"/>
      <c r="J1927" s="103" t="n"/>
      <c r="K1927" s="103" t="n"/>
      <c r="L1927" s="103" t="n"/>
      <c r="M1927" s="103" t="n"/>
      <c r="N1927" s="103" t="n"/>
      <c r="O1927" s="103" t="n"/>
      <c r="P1927" s="103" t="n"/>
      <c r="Q1927" s="103" t="n"/>
      <c r="R1927" s="103" t="n"/>
      <c r="S1927" s="103" t="n"/>
      <c r="T1927" s="103" t="n"/>
      <c r="U1927" s="103" t="n"/>
      <c r="V1927" s="103" t="n"/>
      <c r="W1927" s="103" t="n"/>
      <c r="X1927" s="103" t="n"/>
      <c r="Y1927" s="103" t="n"/>
      <c r="Z1927" s="103" t="n"/>
      <c r="AA1927" s="103" t="n"/>
      <c r="AB1927" s="103" t="n"/>
      <c r="AC1927" s="103" t="n"/>
      <c r="AD1927" s="103" t="n"/>
      <c r="AE1927" s="103" t="n"/>
      <c r="AF1927" s="103" t="n"/>
      <c r="AG1927" s="103" t="n"/>
      <c r="AH1927" s="103" t="n"/>
      <c r="AI1927" s="103" t="n"/>
      <c r="AJ1927" s="103" t="n"/>
      <c r="AK1927" s="103" t="n"/>
      <c r="AL1927" s="103" t="n"/>
      <c r="AM1927" s="103" t="n"/>
      <c r="AN1927" s="103" t="n"/>
      <c r="AO1927" s="103" t="n"/>
      <c r="AP1927" s="103" t="n"/>
      <c r="AQ1927" s="103" t="n"/>
      <c r="AR1927" s="103" t="n"/>
    </row>
    <row r="1930">
      <c r="A1930" s="2">
        <f>IF($A1923="","","   projections")</f>
        <v/>
      </c>
      <c r="B1930" s="99">
        <f>IF($A1923="",0,COUNT($E1931:$AR1931))</f>
        <v/>
      </c>
      <c r="C1930" s="100">
        <f>IF($B1930=0,0,MAX($E1931:$AR1931))</f>
        <v/>
      </c>
      <c r="D1930" s="101">
        <f>BDS($A1923,FLD_PROJ,"headers=y","startcol=1","endcol=3","dir=h")</f>
        <v/>
      </c>
      <c r="E1930" s="102" t="n"/>
      <c r="F1930" s="102" t="n"/>
      <c r="G1930" s="102" t="n"/>
      <c r="H1930" s="102" t="n"/>
      <c r="I1930" s="102" t="n"/>
      <c r="J1930" s="102" t="n"/>
      <c r="K1930" s="102" t="n"/>
      <c r="L1930" s="102" t="n"/>
      <c r="M1930" s="102" t="n"/>
      <c r="N1930" s="102" t="n"/>
      <c r="O1930" s="102" t="n"/>
      <c r="P1930" s="102" t="n"/>
      <c r="Q1930" s="102" t="n"/>
      <c r="R1930" s="102" t="n"/>
      <c r="S1930" s="102" t="n"/>
      <c r="T1930" s="102" t="n"/>
      <c r="U1930" s="102" t="n"/>
      <c r="V1930" s="102" t="n"/>
      <c r="W1930" s="102" t="n"/>
      <c r="X1930" s="102" t="n"/>
      <c r="Y1930" s="102" t="n"/>
      <c r="Z1930" s="102" t="n"/>
      <c r="AA1930" s="102" t="n"/>
      <c r="AB1930" s="102" t="n"/>
      <c r="AC1930" s="102" t="n"/>
      <c r="AD1930" s="102" t="n"/>
      <c r="AE1930" s="102" t="n"/>
      <c r="AF1930" s="102" t="n"/>
      <c r="AG1930" s="102" t="n"/>
      <c r="AH1930" s="102" t="n"/>
      <c r="AI1930" s="102" t="n"/>
      <c r="AJ1930" s="102" t="n"/>
      <c r="AK1930" s="102" t="n"/>
      <c r="AL1930" s="102" t="n"/>
      <c r="AM1930" s="102" t="n"/>
      <c r="AN1930" s="102" t="n"/>
      <c r="AO1930" s="102" t="n"/>
      <c r="AP1930" s="102" t="n"/>
      <c r="AQ1930" s="102" t="n"/>
      <c r="AR1930" s="102" t="n"/>
    </row>
    <row r="1931">
      <c r="D1931" s="102" t="n"/>
      <c r="E1931" s="102" t="n"/>
      <c r="F1931" s="102" t="n"/>
      <c r="G1931" s="102" t="n"/>
      <c r="H1931" s="102" t="n"/>
      <c r="I1931" s="102" t="n"/>
      <c r="J1931" s="102" t="n"/>
      <c r="K1931" s="102" t="n"/>
      <c r="L1931" s="102" t="n"/>
      <c r="M1931" s="102" t="n"/>
      <c r="N1931" s="102" t="n"/>
      <c r="O1931" s="102" t="n"/>
      <c r="P1931" s="102" t="n"/>
      <c r="Q1931" s="102" t="n"/>
      <c r="R1931" s="102" t="n"/>
      <c r="S1931" s="102" t="n"/>
      <c r="T1931" s="102" t="n"/>
      <c r="U1931" s="102" t="n"/>
      <c r="V1931" s="102" t="n"/>
      <c r="W1931" s="102" t="n"/>
      <c r="X1931" s="102" t="n"/>
      <c r="Y1931" s="102" t="n"/>
      <c r="Z1931" s="102" t="n"/>
      <c r="AA1931" s="102" t="n"/>
      <c r="AB1931" s="102" t="n"/>
      <c r="AC1931" s="102" t="n"/>
      <c r="AD1931" s="102" t="n"/>
      <c r="AE1931" s="102" t="n"/>
      <c r="AF1931" s="102" t="n"/>
      <c r="AG1931" s="102" t="n"/>
      <c r="AH1931" s="102" t="n"/>
      <c r="AI1931" s="102" t="n"/>
      <c r="AJ1931" s="102" t="n"/>
      <c r="AK1931" s="102" t="n"/>
      <c r="AL1931" s="102" t="n"/>
      <c r="AM1931" s="102" t="n"/>
      <c r="AN1931" s="102" t="n"/>
      <c r="AO1931" s="102" t="n"/>
      <c r="AP1931" s="102" t="n"/>
      <c r="AQ1931" s="102" t="n"/>
      <c r="AR1931" s="102" t="n"/>
    </row>
    <row r="1932">
      <c r="D1932" s="103" t="n"/>
      <c r="E1932" s="103" t="n"/>
      <c r="F1932" s="103" t="n"/>
      <c r="G1932" s="103" t="n"/>
      <c r="H1932" s="103" t="n"/>
      <c r="I1932" s="103" t="n"/>
      <c r="J1932" s="103" t="n"/>
      <c r="K1932" s="103" t="n"/>
      <c r="L1932" s="103" t="n"/>
      <c r="M1932" s="103" t="n"/>
      <c r="N1932" s="103" t="n"/>
      <c r="O1932" s="103" t="n"/>
      <c r="P1932" s="103" t="n"/>
      <c r="Q1932" s="103" t="n"/>
      <c r="R1932" s="103" t="n"/>
      <c r="S1932" s="103" t="n"/>
      <c r="T1932" s="103" t="n"/>
      <c r="U1932" s="103" t="n"/>
      <c r="V1932" s="103" t="n"/>
      <c r="W1932" s="103" t="n"/>
      <c r="X1932" s="103" t="n"/>
      <c r="Y1932" s="103" t="n"/>
      <c r="Z1932" s="103" t="n"/>
      <c r="AA1932" s="103" t="n"/>
      <c r="AB1932" s="103" t="n"/>
      <c r="AC1932" s="103" t="n"/>
      <c r="AD1932" s="103" t="n"/>
      <c r="AE1932" s="103" t="n"/>
      <c r="AF1932" s="103" t="n"/>
      <c r="AG1932" s="103" t="n"/>
      <c r="AH1932" s="103" t="n"/>
      <c r="AI1932" s="103" t="n"/>
      <c r="AJ1932" s="103" t="n"/>
      <c r="AK1932" s="103" t="n"/>
      <c r="AL1932" s="103" t="n"/>
      <c r="AM1932" s="103" t="n"/>
      <c r="AN1932" s="103" t="n"/>
      <c r="AO1932" s="103" t="n"/>
      <c r="AP1932" s="103" t="n"/>
      <c r="AQ1932" s="103" t="n"/>
      <c r="AR1932" s="103" t="n"/>
    </row>
    <row r="1934">
      <c r="A1934" s="8">
        <f>IF(HSCEI!$C$41="","",HSCEI!$C$41)</f>
        <v/>
      </c>
      <c r="B1934" s="99">
        <f>IF($A1934="",0,COUNT($E1935:$AR1935))</f>
        <v/>
      </c>
      <c r="C1934" s="100">
        <f>IF($B1934=0,0,MAX($E1935:$AR1935))</f>
        <v/>
      </c>
      <c r="D1934" s="101">
        <f>BDS($A1934,FLD_HIST,"headers=y","startcol=1","endcol=7","dir=h","DVD_START_DT",HIST_FROM,"DVD_END_DT",HIST_TO)</f>
        <v/>
      </c>
      <c r="E1934" s="102" t="n"/>
      <c r="F1934" s="102" t="n"/>
      <c r="G1934" s="102" t="n"/>
      <c r="H1934" s="102" t="n"/>
      <c r="I1934" s="102" t="n"/>
      <c r="J1934" s="102" t="n"/>
      <c r="K1934" s="102" t="n"/>
      <c r="L1934" s="102" t="n"/>
      <c r="M1934" s="102" t="n"/>
      <c r="N1934" s="102" t="n"/>
      <c r="O1934" s="102" t="n"/>
      <c r="P1934" s="102" t="n"/>
      <c r="Q1934" s="102" t="n"/>
      <c r="R1934" s="102" t="n"/>
      <c r="S1934" s="102" t="n"/>
      <c r="T1934" s="102" t="n"/>
      <c r="U1934" s="102" t="n"/>
      <c r="V1934" s="102" t="n"/>
      <c r="W1934" s="102" t="n"/>
      <c r="X1934" s="102" t="n"/>
      <c r="Y1934" s="102" t="n"/>
      <c r="Z1934" s="102" t="n"/>
      <c r="AA1934" s="102" t="n"/>
      <c r="AB1934" s="102" t="n"/>
      <c r="AC1934" s="102" t="n"/>
      <c r="AD1934" s="102" t="n"/>
      <c r="AE1934" s="102" t="n"/>
      <c r="AF1934" s="102" t="n"/>
      <c r="AG1934" s="102" t="n"/>
      <c r="AH1934" s="102" t="n"/>
      <c r="AI1934" s="102" t="n"/>
      <c r="AJ1934" s="102" t="n"/>
      <c r="AK1934" s="102" t="n"/>
      <c r="AL1934" s="102" t="n"/>
      <c r="AM1934" s="102" t="n"/>
      <c r="AN1934" s="102" t="n"/>
      <c r="AO1934" s="102" t="n"/>
      <c r="AP1934" s="102" t="n"/>
      <c r="AQ1934" s="102" t="n"/>
      <c r="AR1934" s="102" t="n"/>
    </row>
    <row r="1935">
      <c r="D1935" s="102" t="n"/>
      <c r="E1935" s="102" t="n"/>
      <c r="F1935" s="102" t="n"/>
      <c r="G1935" s="102" t="n"/>
      <c r="H1935" s="102" t="n"/>
      <c r="I1935" s="102" t="n"/>
      <c r="J1935" s="102" t="n"/>
      <c r="K1935" s="102" t="n"/>
      <c r="L1935" s="102" t="n"/>
      <c r="M1935" s="102" t="n"/>
      <c r="N1935" s="102" t="n"/>
      <c r="O1935" s="102" t="n"/>
      <c r="P1935" s="102" t="n"/>
      <c r="Q1935" s="102" t="n"/>
      <c r="R1935" s="102" t="n"/>
      <c r="S1935" s="102" t="n"/>
      <c r="T1935" s="102" t="n"/>
      <c r="U1935" s="102" t="n"/>
      <c r="V1935" s="102" t="n"/>
      <c r="W1935" s="102" t="n"/>
      <c r="X1935" s="102" t="n"/>
      <c r="Y1935" s="102" t="n"/>
      <c r="Z1935" s="102" t="n"/>
      <c r="AA1935" s="102" t="n"/>
      <c r="AB1935" s="102" t="n"/>
      <c r="AC1935" s="102" t="n"/>
      <c r="AD1935" s="102" t="n"/>
      <c r="AE1935" s="102" t="n"/>
      <c r="AF1935" s="102" t="n"/>
      <c r="AG1935" s="102" t="n"/>
      <c r="AH1935" s="102" t="n"/>
      <c r="AI1935" s="102" t="n"/>
      <c r="AJ1935" s="102" t="n"/>
      <c r="AK1935" s="102" t="n"/>
      <c r="AL1935" s="102" t="n"/>
      <c r="AM1935" s="102" t="n"/>
      <c r="AN1935" s="102" t="n"/>
      <c r="AO1935" s="102" t="n"/>
      <c r="AP1935" s="102" t="n"/>
      <c r="AQ1935" s="102" t="n"/>
      <c r="AR1935" s="102" t="n"/>
    </row>
    <row r="1936">
      <c r="D1936" s="102" t="n"/>
      <c r="E1936" s="102" t="n"/>
      <c r="F1936" s="102" t="n"/>
      <c r="G1936" s="102" t="n"/>
      <c r="H1936" s="102" t="n"/>
      <c r="I1936" s="102" t="n"/>
      <c r="J1936" s="102" t="n"/>
      <c r="K1936" s="102" t="n"/>
      <c r="L1936" s="102" t="n"/>
      <c r="M1936" s="102" t="n"/>
      <c r="N1936" s="102" t="n"/>
      <c r="O1936" s="102" t="n"/>
      <c r="P1936" s="102" t="n"/>
      <c r="Q1936" s="102" t="n"/>
      <c r="R1936" s="102" t="n"/>
      <c r="S1936" s="102" t="n"/>
      <c r="T1936" s="102" t="n"/>
      <c r="U1936" s="102" t="n"/>
      <c r="V1936" s="102" t="n"/>
      <c r="W1936" s="102" t="n"/>
      <c r="X1936" s="102" t="n"/>
      <c r="Y1936" s="102" t="n"/>
      <c r="Z1936" s="102" t="n"/>
      <c r="AA1936" s="102" t="n"/>
      <c r="AB1936" s="102" t="n"/>
      <c r="AC1936" s="102" t="n"/>
      <c r="AD1936" s="102" t="n"/>
      <c r="AE1936" s="102" t="n"/>
      <c r="AF1936" s="102" t="n"/>
      <c r="AG1936" s="102" t="n"/>
      <c r="AH1936" s="102" t="n"/>
      <c r="AI1936" s="102" t="n"/>
      <c r="AJ1936" s="102" t="n"/>
      <c r="AK1936" s="102" t="n"/>
      <c r="AL1936" s="102" t="n"/>
      <c r="AM1936" s="102" t="n"/>
      <c r="AN1936" s="102" t="n"/>
      <c r="AO1936" s="102" t="n"/>
      <c r="AP1936" s="102" t="n"/>
      <c r="AQ1936" s="102" t="n"/>
      <c r="AR1936" s="102" t="n"/>
    </row>
    <row r="1937">
      <c r="D1937" s="102" t="n"/>
      <c r="E1937" s="102" t="n"/>
      <c r="F1937" s="102" t="n"/>
      <c r="G1937" s="102" t="n"/>
      <c r="H1937" s="102" t="n"/>
      <c r="I1937" s="102" t="n"/>
      <c r="J1937" s="102" t="n"/>
      <c r="K1937" s="102" t="n"/>
      <c r="L1937" s="102" t="n"/>
      <c r="M1937" s="102" t="n"/>
      <c r="N1937" s="102" t="n"/>
      <c r="O1937" s="102" t="n"/>
      <c r="P1937" s="102" t="n"/>
      <c r="Q1937" s="102" t="n"/>
      <c r="R1937" s="102" t="n"/>
      <c r="S1937" s="102" t="n"/>
      <c r="T1937" s="102" t="n"/>
      <c r="U1937" s="102" t="n"/>
      <c r="V1937" s="102" t="n"/>
      <c r="W1937" s="102" t="n"/>
      <c r="X1937" s="102" t="n"/>
      <c r="Y1937" s="102" t="n"/>
      <c r="Z1937" s="102" t="n"/>
      <c r="AA1937" s="102" t="n"/>
      <c r="AB1937" s="102" t="n"/>
      <c r="AC1937" s="102" t="n"/>
      <c r="AD1937" s="102" t="n"/>
      <c r="AE1937" s="102" t="n"/>
      <c r="AF1937" s="102" t="n"/>
      <c r="AG1937" s="102" t="n"/>
      <c r="AH1937" s="102" t="n"/>
      <c r="AI1937" s="102" t="n"/>
      <c r="AJ1937" s="102" t="n"/>
      <c r="AK1937" s="102" t="n"/>
      <c r="AL1937" s="102" t="n"/>
      <c r="AM1937" s="102" t="n"/>
      <c r="AN1937" s="102" t="n"/>
      <c r="AO1937" s="102" t="n"/>
      <c r="AP1937" s="102" t="n"/>
      <c r="AQ1937" s="102" t="n"/>
      <c r="AR1937" s="102" t="n"/>
    </row>
    <row r="1938">
      <c r="D1938" s="103" t="n"/>
      <c r="E1938" s="103" t="n"/>
      <c r="F1938" s="103" t="n"/>
      <c r="G1938" s="103" t="n"/>
      <c r="H1938" s="103" t="n"/>
      <c r="I1938" s="103" t="n"/>
      <c r="J1938" s="103" t="n"/>
      <c r="K1938" s="103" t="n"/>
      <c r="L1938" s="103" t="n"/>
      <c r="M1938" s="103" t="n"/>
      <c r="N1938" s="103" t="n"/>
      <c r="O1938" s="103" t="n"/>
      <c r="P1938" s="103" t="n"/>
      <c r="Q1938" s="103" t="n"/>
      <c r="R1938" s="103" t="n"/>
      <c r="S1938" s="103" t="n"/>
      <c r="T1938" s="103" t="n"/>
      <c r="U1938" s="103" t="n"/>
      <c r="V1938" s="103" t="n"/>
      <c r="W1938" s="103" t="n"/>
      <c r="X1938" s="103" t="n"/>
      <c r="Y1938" s="103" t="n"/>
      <c r="Z1938" s="103" t="n"/>
      <c r="AA1938" s="103" t="n"/>
      <c r="AB1938" s="103" t="n"/>
      <c r="AC1938" s="103" t="n"/>
      <c r="AD1938" s="103" t="n"/>
      <c r="AE1938" s="103" t="n"/>
      <c r="AF1938" s="103" t="n"/>
      <c r="AG1938" s="103" t="n"/>
      <c r="AH1938" s="103" t="n"/>
      <c r="AI1938" s="103" t="n"/>
      <c r="AJ1938" s="103" t="n"/>
      <c r="AK1938" s="103" t="n"/>
      <c r="AL1938" s="103" t="n"/>
      <c r="AM1938" s="103" t="n"/>
      <c r="AN1938" s="103" t="n"/>
      <c r="AO1938" s="103" t="n"/>
      <c r="AP1938" s="103" t="n"/>
      <c r="AQ1938" s="103" t="n"/>
      <c r="AR1938" s="103" t="n"/>
    </row>
    <row r="1941">
      <c r="A1941" s="2">
        <f>IF($A1934="","","   projections")</f>
        <v/>
      </c>
      <c r="B1941" s="99">
        <f>IF($A1934="",0,COUNT($E1942:$AR1942))</f>
        <v/>
      </c>
      <c r="C1941" s="100">
        <f>IF($B1941=0,0,MAX($E1942:$AR1942))</f>
        <v/>
      </c>
      <c r="D1941" s="101">
        <f>BDS($A1934,FLD_PROJ,"headers=y","startcol=1","endcol=3","dir=h")</f>
        <v/>
      </c>
      <c r="E1941" s="102" t="n"/>
      <c r="F1941" s="102" t="n"/>
      <c r="G1941" s="102" t="n"/>
      <c r="H1941" s="102" t="n"/>
      <c r="I1941" s="102" t="n"/>
      <c r="J1941" s="102" t="n"/>
      <c r="K1941" s="102" t="n"/>
      <c r="L1941" s="102" t="n"/>
      <c r="M1941" s="102" t="n"/>
      <c r="N1941" s="102" t="n"/>
      <c r="O1941" s="102" t="n"/>
      <c r="P1941" s="102" t="n"/>
      <c r="Q1941" s="102" t="n"/>
      <c r="R1941" s="102" t="n"/>
      <c r="S1941" s="102" t="n"/>
      <c r="T1941" s="102" t="n"/>
      <c r="U1941" s="102" t="n"/>
      <c r="V1941" s="102" t="n"/>
      <c r="W1941" s="102" t="n"/>
      <c r="X1941" s="102" t="n"/>
      <c r="Y1941" s="102" t="n"/>
      <c r="Z1941" s="102" t="n"/>
      <c r="AA1941" s="102" t="n"/>
      <c r="AB1941" s="102" t="n"/>
      <c r="AC1941" s="102" t="n"/>
      <c r="AD1941" s="102" t="n"/>
      <c r="AE1941" s="102" t="n"/>
      <c r="AF1941" s="102" t="n"/>
      <c r="AG1941" s="102" t="n"/>
      <c r="AH1941" s="102" t="n"/>
      <c r="AI1941" s="102" t="n"/>
      <c r="AJ1941" s="102" t="n"/>
      <c r="AK1941" s="102" t="n"/>
      <c r="AL1941" s="102" t="n"/>
      <c r="AM1941" s="102" t="n"/>
      <c r="AN1941" s="102" t="n"/>
      <c r="AO1941" s="102" t="n"/>
      <c r="AP1941" s="102" t="n"/>
      <c r="AQ1941" s="102" t="n"/>
      <c r="AR1941" s="102" t="n"/>
    </row>
    <row r="1942">
      <c r="D1942" s="102" t="n"/>
      <c r="E1942" s="102" t="n"/>
      <c r="F1942" s="102" t="n"/>
      <c r="G1942" s="102" t="n"/>
      <c r="H1942" s="102" t="n"/>
      <c r="I1942" s="102" t="n"/>
      <c r="J1942" s="102" t="n"/>
      <c r="K1942" s="102" t="n"/>
      <c r="L1942" s="102" t="n"/>
      <c r="M1942" s="102" t="n"/>
      <c r="N1942" s="102" t="n"/>
      <c r="O1942" s="102" t="n"/>
      <c r="P1942" s="102" t="n"/>
      <c r="Q1942" s="102" t="n"/>
      <c r="R1942" s="102" t="n"/>
      <c r="S1942" s="102" t="n"/>
      <c r="T1942" s="102" t="n"/>
      <c r="U1942" s="102" t="n"/>
      <c r="V1942" s="102" t="n"/>
      <c r="W1942" s="102" t="n"/>
      <c r="X1942" s="102" t="n"/>
      <c r="Y1942" s="102" t="n"/>
      <c r="Z1942" s="102" t="n"/>
      <c r="AA1942" s="102" t="n"/>
      <c r="AB1942" s="102" t="n"/>
      <c r="AC1942" s="102" t="n"/>
      <c r="AD1942" s="102" t="n"/>
      <c r="AE1942" s="102" t="n"/>
      <c r="AF1942" s="102" t="n"/>
      <c r="AG1942" s="102" t="n"/>
      <c r="AH1942" s="102" t="n"/>
      <c r="AI1942" s="102" t="n"/>
      <c r="AJ1942" s="102" t="n"/>
      <c r="AK1942" s="102" t="n"/>
      <c r="AL1942" s="102" t="n"/>
      <c r="AM1942" s="102" t="n"/>
      <c r="AN1942" s="102" t="n"/>
      <c r="AO1942" s="102" t="n"/>
      <c r="AP1942" s="102" t="n"/>
      <c r="AQ1942" s="102" t="n"/>
      <c r="AR1942" s="102" t="n"/>
    </row>
    <row r="1943">
      <c r="D1943" s="103" t="n"/>
      <c r="E1943" s="103" t="n"/>
      <c r="F1943" s="103" t="n"/>
      <c r="G1943" s="103" t="n"/>
      <c r="H1943" s="103" t="n"/>
      <c r="I1943" s="103" t="n"/>
      <c r="J1943" s="103" t="n"/>
      <c r="K1943" s="103" t="n"/>
      <c r="L1943" s="103" t="n"/>
      <c r="M1943" s="103" t="n"/>
      <c r="N1943" s="103" t="n"/>
      <c r="O1943" s="103" t="n"/>
      <c r="P1943" s="103" t="n"/>
      <c r="Q1943" s="103" t="n"/>
      <c r="R1943" s="103" t="n"/>
      <c r="S1943" s="103" t="n"/>
      <c r="T1943" s="103" t="n"/>
      <c r="U1943" s="103" t="n"/>
      <c r="V1943" s="103" t="n"/>
      <c r="W1943" s="103" t="n"/>
      <c r="X1943" s="103" t="n"/>
      <c r="Y1943" s="103" t="n"/>
      <c r="Z1943" s="103" t="n"/>
      <c r="AA1943" s="103" t="n"/>
      <c r="AB1943" s="103" t="n"/>
      <c r="AC1943" s="103" t="n"/>
      <c r="AD1943" s="103" t="n"/>
      <c r="AE1943" s="103" t="n"/>
      <c r="AF1943" s="103" t="n"/>
      <c r="AG1943" s="103" t="n"/>
      <c r="AH1943" s="103" t="n"/>
      <c r="AI1943" s="103" t="n"/>
      <c r="AJ1943" s="103" t="n"/>
      <c r="AK1943" s="103" t="n"/>
      <c r="AL1943" s="103" t="n"/>
      <c r="AM1943" s="103" t="n"/>
      <c r="AN1943" s="103" t="n"/>
      <c r="AO1943" s="103" t="n"/>
      <c r="AP1943" s="103" t="n"/>
      <c r="AQ1943" s="103" t="n"/>
      <c r="AR1943" s="103" t="n"/>
    </row>
    <row r="1945">
      <c r="A1945" s="8">
        <f>IF(HSCEI!$C$42="","",HSCEI!$C$42)</f>
        <v/>
      </c>
      <c r="B1945" s="99">
        <f>IF($A1945="",0,COUNT($E1946:$AR1946))</f>
        <v/>
      </c>
      <c r="C1945" s="100">
        <f>IF($B1945=0,0,MAX($E1946:$AR1946))</f>
        <v/>
      </c>
      <c r="D1945" s="101">
        <f>BDS($A1945,FLD_HIST,"headers=y","startcol=1","endcol=7","dir=h","DVD_START_DT",HIST_FROM,"DVD_END_DT",HIST_TO)</f>
        <v/>
      </c>
      <c r="E1945" s="102" t="n"/>
      <c r="F1945" s="102" t="n"/>
      <c r="G1945" s="102" t="n"/>
      <c r="H1945" s="102" t="n"/>
      <c r="I1945" s="102" t="n"/>
      <c r="J1945" s="102" t="n"/>
      <c r="K1945" s="102" t="n"/>
      <c r="L1945" s="102" t="n"/>
      <c r="M1945" s="102" t="n"/>
      <c r="N1945" s="102" t="n"/>
      <c r="O1945" s="102" t="n"/>
      <c r="P1945" s="102" t="n"/>
      <c r="Q1945" s="102" t="n"/>
      <c r="R1945" s="102" t="n"/>
      <c r="S1945" s="102" t="n"/>
      <c r="T1945" s="102" t="n"/>
      <c r="U1945" s="102" t="n"/>
      <c r="V1945" s="102" t="n"/>
      <c r="W1945" s="102" t="n"/>
      <c r="X1945" s="102" t="n"/>
      <c r="Y1945" s="102" t="n"/>
      <c r="Z1945" s="102" t="n"/>
      <c r="AA1945" s="102" t="n"/>
      <c r="AB1945" s="102" t="n"/>
      <c r="AC1945" s="102" t="n"/>
      <c r="AD1945" s="102" t="n"/>
      <c r="AE1945" s="102" t="n"/>
      <c r="AF1945" s="102" t="n"/>
      <c r="AG1945" s="102" t="n"/>
      <c r="AH1945" s="102" t="n"/>
      <c r="AI1945" s="102" t="n"/>
      <c r="AJ1945" s="102" t="n"/>
      <c r="AK1945" s="102" t="n"/>
      <c r="AL1945" s="102" t="n"/>
      <c r="AM1945" s="102" t="n"/>
      <c r="AN1945" s="102" t="n"/>
      <c r="AO1945" s="102" t="n"/>
      <c r="AP1945" s="102" t="n"/>
      <c r="AQ1945" s="102" t="n"/>
      <c r="AR1945" s="102" t="n"/>
    </row>
    <row r="1946">
      <c r="D1946" s="102" t="n"/>
      <c r="E1946" s="102" t="n"/>
      <c r="F1946" s="102" t="n"/>
      <c r="G1946" s="102" t="n"/>
      <c r="H1946" s="102" t="n"/>
      <c r="I1946" s="102" t="n"/>
      <c r="J1946" s="102" t="n"/>
      <c r="K1946" s="102" t="n"/>
      <c r="L1946" s="102" t="n"/>
      <c r="M1946" s="102" t="n"/>
      <c r="N1946" s="102" t="n"/>
      <c r="O1946" s="102" t="n"/>
      <c r="P1946" s="102" t="n"/>
      <c r="Q1946" s="102" t="n"/>
      <c r="R1946" s="102" t="n"/>
      <c r="S1946" s="102" t="n"/>
      <c r="T1946" s="102" t="n"/>
      <c r="U1946" s="102" t="n"/>
      <c r="V1946" s="102" t="n"/>
      <c r="W1946" s="102" t="n"/>
      <c r="X1946" s="102" t="n"/>
      <c r="Y1946" s="102" t="n"/>
      <c r="Z1946" s="102" t="n"/>
      <c r="AA1946" s="102" t="n"/>
      <c r="AB1946" s="102" t="n"/>
      <c r="AC1946" s="102" t="n"/>
      <c r="AD1946" s="102" t="n"/>
      <c r="AE1946" s="102" t="n"/>
      <c r="AF1946" s="102" t="n"/>
      <c r="AG1946" s="102" t="n"/>
      <c r="AH1946" s="102" t="n"/>
      <c r="AI1946" s="102" t="n"/>
      <c r="AJ1946" s="102" t="n"/>
      <c r="AK1946" s="102" t="n"/>
      <c r="AL1946" s="102" t="n"/>
      <c r="AM1946" s="102" t="n"/>
      <c r="AN1946" s="102" t="n"/>
      <c r="AO1946" s="102" t="n"/>
      <c r="AP1946" s="102" t="n"/>
      <c r="AQ1946" s="102" t="n"/>
      <c r="AR1946" s="102" t="n"/>
    </row>
    <row r="1947">
      <c r="D1947" s="102" t="n"/>
      <c r="E1947" s="102" t="n"/>
      <c r="F1947" s="102" t="n"/>
      <c r="G1947" s="102" t="n"/>
      <c r="H1947" s="102" t="n"/>
      <c r="I1947" s="102" t="n"/>
      <c r="J1947" s="102" t="n"/>
      <c r="K1947" s="102" t="n"/>
      <c r="L1947" s="102" t="n"/>
      <c r="M1947" s="102" t="n"/>
      <c r="N1947" s="102" t="n"/>
      <c r="O1947" s="102" t="n"/>
      <c r="P1947" s="102" t="n"/>
      <c r="Q1947" s="102" t="n"/>
      <c r="R1947" s="102" t="n"/>
      <c r="S1947" s="102" t="n"/>
      <c r="T1947" s="102" t="n"/>
      <c r="U1947" s="102" t="n"/>
      <c r="V1947" s="102" t="n"/>
      <c r="W1947" s="102" t="n"/>
      <c r="X1947" s="102" t="n"/>
      <c r="Y1947" s="102" t="n"/>
      <c r="Z1947" s="102" t="n"/>
      <c r="AA1947" s="102" t="n"/>
      <c r="AB1947" s="102" t="n"/>
      <c r="AC1947" s="102" t="n"/>
      <c r="AD1947" s="102" t="n"/>
      <c r="AE1947" s="102" t="n"/>
      <c r="AF1947" s="102" t="n"/>
      <c r="AG1947" s="102" t="n"/>
      <c r="AH1947" s="102" t="n"/>
      <c r="AI1947" s="102" t="n"/>
      <c r="AJ1947" s="102" t="n"/>
      <c r="AK1947" s="102" t="n"/>
      <c r="AL1947" s="102" t="n"/>
      <c r="AM1947" s="102" t="n"/>
      <c r="AN1947" s="102" t="n"/>
      <c r="AO1947" s="102" t="n"/>
      <c r="AP1947" s="102" t="n"/>
      <c r="AQ1947" s="102" t="n"/>
      <c r="AR1947" s="102" t="n"/>
    </row>
    <row r="1948">
      <c r="D1948" s="102" t="n"/>
      <c r="E1948" s="102" t="n"/>
      <c r="F1948" s="102" t="n"/>
      <c r="G1948" s="102" t="n"/>
      <c r="H1948" s="102" t="n"/>
      <c r="I1948" s="102" t="n"/>
      <c r="J1948" s="102" t="n"/>
      <c r="K1948" s="102" t="n"/>
      <c r="L1948" s="102" t="n"/>
      <c r="M1948" s="102" t="n"/>
      <c r="N1948" s="102" t="n"/>
      <c r="O1948" s="102" t="n"/>
      <c r="P1948" s="102" t="n"/>
      <c r="Q1948" s="102" t="n"/>
      <c r="R1948" s="102" t="n"/>
      <c r="S1948" s="102" t="n"/>
      <c r="T1948" s="102" t="n"/>
      <c r="U1948" s="102" t="n"/>
      <c r="V1948" s="102" t="n"/>
      <c r="W1948" s="102" t="n"/>
      <c r="X1948" s="102" t="n"/>
      <c r="Y1948" s="102" t="n"/>
      <c r="Z1948" s="102" t="n"/>
      <c r="AA1948" s="102" t="n"/>
      <c r="AB1948" s="102" t="n"/>
      <c r="AC1948" s="102" t="n"/>
      <c r="AD1948" s="102" t="n"/>
      <c r="AE1948" s="102" t="n"/>
      <c r="AF1948" s="102" t="n"/>
      <c r="AG1948" s="102" t="n"/>
      <c r="AH1948" s="102" t="n"/>
      <c r="AI1948" s="102" t="n"/>
      <c r="AJ1948" s="102" t="n"/>
      <c r="AK1948" s="102" t="n"/>
      <c r="AL1948" s="102" t="n"/>
      <c r="AM1948" s="102" t="n"/>
      <c r="AN1948" s="102" t="n"/>
      <c r="AO1948" s="102" t="n"/>
      <c r="AP1948" s="102" t="n"/>
      <c r="AQ1948" s="102" t="n"/>
      <c r="AR1948" s="102" t="n"/>
    </row>
    <row r="1949">
      <c r="D1949" s="103" t="n"/>
      <c r="E1949" s="103" t="n"/>
      <c r="F1949" s="103" t="n"/>
      <c r="G1949" s="103" t="n"/>
      <c r="H1949" s="103" t="n"/>
      <c r="I1949" s="103" t="n"/>
      <c r="J1949" s="103" t="n"/>
      <c r="K1949" s="103" t="n"/>
      <c r="L1949" s="103" t="n"/>
      <c r="M1949" s="103" t="n"/>
      <c r="N1949" s="103" t="n"/>
      <c r="O1949" s="103" t="n"/>
      <c r="P1949" s="103" t="n"/>
      <c r="Q1949" s="103" t="n"/>
      <c r="R1949" s="103" t="n"/>
      <c r="S1949" s="103" t="n"/>
      <c r="T1949" s="103" t="n"/>
      <c r="U1949" s="103" t="n"/>
      <c r="V1949" s="103" t="n"/>
      <c r="W1949" s="103" t="n"/>
      <c r="X1949" s="103" t="n"/>
      <c r="Y1949" s="103" t="n"/>
      <c r="Z1949" s="103" t="n"/>
      <c r="AA1949" s="103" t="n"/>
      <c r="AB1949" s="103" t="n"/>
      <c r="AC1949" s="103" t="n"/>
      <c r="AD1949" s="103" t="n"/>
      <c r="AE1949" s="103" t="n"/>
      <c r="AF1949" s="103" t="n"/>
      <c r="AG1949" s="103" t="n"/>
      <c r="AH1949" s="103" t="n"/>
      <c r="AI1949" s="103" t="n"/>
      <c r="AJ1949" s="103" t="n"/>
      <c r="AK1949" s="103" t="n"/>
      <c r="AL1949" s="103" t="n"/>
      <c r="AM1949" s="103" t="n"/>
      <c r="AN1949" s="103" t="n"/>
      <c r="AO1949" s="103" t="n"/>
      <c r="AP1949" s="103" t="n"/>
      <c r="AQ1949" s="103" t="n"/>
      <c r="AR1949" s="103" t="n"/>
    </row>
    <row r="1952">
      <c r="A1952" s="2">
        <f>IF($A1945="","","   projections")</f>
        <v/>
      </c>
      <c r="B1952" s="99">
        <f>IF($A1945="",0,COUNT($E1953:$AR1953))</f>
        <v/>
      </c>
      <c r="C1952" s="100">
        <f>IF($B1952=0,0,MAX($E1953:$AR1953))</f>
        <v/>
      </c>
      <c r="D1952" s="101">
        <f>BDS($A1945,FLD_PROJ,"headers=y","startcol=1","endcol=3","dir=h")</f>
        <v/>
      </c>
      <c r="E1952" s="102" t="n"/>
      <c r="F1952" s="102" t="n"/>
      <c r="G1952" s="102" t="n"/>
      <c r="H1952" s="102" t="n"/>
      <c r="I1952" s="102" t="n"/>
      <c r="J1952" s="102" t="n"/>
      <c r="K1952" s="102" t="n"/>
      <c r="L1952" s="102" t="n"/>
      <c r="M1952" s="102" t="n"/>
      <c r="N1952" s="102" t="n"/>
      <c r="O1952" s="102" t="n"/>
      <c r="P1952" s="102" t="n"/>
      <c r="Q1952" s="102" t="n"/>
      <c r="R1952" s="102" t="n"/>
      <c r="S1952" s="102" t="n"/>
      <c r="T1952" s="102" t="n"/>
      <c r="U1952" s="102" t="n"/>
      <c r="V1952" s="102" t="n"/>
      <c r="W1952" s="102" t="n"/>
      <c r="X1952" s="102" t="n"/>
      <c r="Y1952" s="102" t="n"/>
      <c r="Z1952" s="102" t="n"/>
      <c r="AA1952" s="102" t="n"/>
      <c r="AB1952" s="102" t="n"/>
      <c r="AC1952" s="102" t="n"/>
      <c r="AD1952" s="102" t="n"/>
      <c r="AE1952" s="102" t="n"/>
      <c r="AF1952" s="102" t="n"/>
      <c r="AG1952" s="102" t="n"/>
      <c r="AH1952" s="102" t="n"/>
      <c r="AI1952" s="102" t="n"/>
      <c r="AJ1952" s="102" t="n"/>
      <c r="AK1952" s="102" t="n"/>
      <c r="AL1952" s="102" t="n"/>
      <c r="AM1952" s="102" t="n"/>
      <c r="AN1952" s="102" t="n"/>
      <c r="AO1952" s="102" t="n"/>
      <c r="AP1952" s="102" t="n"/>
      <c r="AQ1952" s="102" t="n"/>
      <c r="AR1952" s="102" t="n"/>
    </row>
    <row r="1953">
      <c r="D1953" s="102" t="n"/>
      <c r="E1953" s="102" t="n"/>
      <c r="F1953" s="102" t="n"/>
      <c r="G1953" s="102" t="n"/>
      <c r="H1953" s="102" t="n"/>
      <c r="I1953" s="102" t="n"/>
      <c r="J1953" s="102" t="n"/>
      <c r="K1953" s="102" t="n"/>
      <c r="L1953" s="102" t="n"/>
      <c r="M1953" s="102" t="n"/>
      <c r="N1953" s="102" t="n"/>
      <c r="O1953" s="102" t="n"/>
      <c r="P1953" s="102" t="n"/>
      <c r="Q1953" s="102" t="n"/>
      <c r="R1953" s="102" t="n"/>
      <c r="S1953" s="102" t="n"/>
      <c r="T1953" s="102" t="n"/>
      <c r="U1953" s="102" t="n"/>
      <c r="V1953" s="102" t="n"/>
      <c r="W1953" s="102" t="n"/>
      <c r="X1953" s="102" t="n"/>
      <c r="Y1953" s="102" t="n"/>
      <c r="Z1953" s="102" t="n"/>
      <c r="AA1953" s="102" t="n"/>
      <c r="AB1953" s="102" t="n"/>
      <c r="AC1953" s="102" t="n"/>
      <c r="AD1953" s="102" t="n"/>
      <c r="AE1953" s="102" t="n"/>
      <c r="AF1953" s="102" t="n"/>
      <c r="AG1953" s="102" t="n"/>
      <c r="AH1953" s="102" t="n"/>
      <c r="AI1953" s="102" t="n"/>
      <c r="AJ1953" s="102" t="n"/>
      <c r="AK1953" s="102" t="n"/>
      <c r="AL1953" s="102" t="n"/>
      <c r="AM1953" s="102" t="n"/>
      <c r="AN1953" s="102" t="n"/>
      <c r="AO1953" s="102" t="n"/>
      <c r="AP1953" s="102" t="n"/>
      <c r="AQ1953" s="102" t="n"/>
      <c r="AR1953" s="102" t="n"/>
    </row>
    <row r="1954">
      <c r="D1954" s="103" t="n"/>
      <c r="E1954" s="103" t="n"/>
      <c r="F1954" s="103" t="n"/>
      <c r="G1954" s="103" t="n"/>
      <c r="H1954" s="103" t="n"/>
      <c r="I1954" s="103" t="n"/>
      <c r="J1954" s="103" t="n"/>
      <c r="K1954" s="103" t="n"/>
      <c r="L1954" s="103" t="n"/>
      <c r="M1954" s="103" t="n"/>
      <c r="N1954" s="103" t="n"/>
      <c r="O1954" s="103" t="n"/>
      <c r="P1954" s="103" t="n"/>
      <c r="Q1954" s="103" t="n"/>
      <c r="R1954" s="103" t="n"/>
      <c r="S1954" s="103" t="n"/>
      <c r="T1954" s="103" t="n"/>
      <c r="U1954" s="103" t="n"/>
      <c r="V1954" s="103" t="n"/>
      <c r="W1954" s="103" t="n"/>
      <c r="X1954" s="103" t="n"/>
      <c r="Y1954" s="103" t="n"/>
      <c r="Z1954" s="103" t="n"/>
      <c r="AA1954" s="103" t="n"/>
      <c r="AB1954" s="103" t="n"/>
      <c r="AC1954" s="103" t="n"/>
      <c r="AD1954" s="103" t="n"/>
      <c r="AE1954" s="103" t="n"/>
      <c r="AF1954" s="103" t="n"/>
      <c r="AG1954" s="103" t="n"/>
      <c r="AH1954" s="103" t="n"/>
      <c r="AI1954" s="103" t="n"/>
      <c r="AJ1954" s="103" t="n"/>
      <c r="AK1954" s="103" t="n"/>
      <c r="AL1954" s="103" t="n"/>
      <c r="AM1954" s="103" t="n"/>
      <c r="AN1954" s="103" t="n"/>
      <c r="AO1954" s="103" t="n"/>
      <c r="AP1954" s="103" t="n"/>
      <c r="AQ1954" s="103" t="n"/>
      <c r="AR1954" s="103" t="n"/>
    </row>
    <row r="1956">
      <c r="A1956" s="8">
        <f>IF(HSCEI!$C$43="","",HSCEI!$C$43)</f>
        <v/>
      </c>
      <c r="B1956" s="99">
        <f>IF($A1956="",0,COUNT($E1957:$AR1957))</f>
        <v/>
      </c>
      <c r="C1956" s="100">
        <f>IF($B1956=0,0,MAX($E1957:$AR1957))</f>
        <v/>
      </c>
      <c r="D1956" s="101">
        <f>BDS($A1956,FLD_HIST,"headers=y","startcol=1","endcol=7","dir=h","DVD_START_DT",HIST_FROM,"DVD_END_DT",HIST_TO)</f>
        <v/>
      </c>
      <c r="E1956" s="102" t="n"/>
      <c r="F1956" s="102" t="n"/>
      <c r="G1956" s="102" t="n"/>
      <c r="H1956" s="102" t="n"/>
      <c r="I1956" s="102" t="n"/>
      <c r="J1956" s="102" t="n"/>
      <c r="K1956" s="102" t="n"/>
      <c r="L1956" s="102" t="n"/>
      <c r="M1956" s="102" t="n"/>
      <c r="N1956" s="102" t="n"/>
      <c r="O1956" s="102" t="n"/>
      <c r="P1956" s="102" t="n"/>
      <c r="Q1956" s="102" t="n"/>
      <c r="R1956" s="102" t="n"/>
      <c r="S1956" s="102" t="n"/>
      <c r="T1956" s="102" t="n"/>
      <c r="U1956" s="102" t="n"/>
      <c r="V1956" s="102" t="n"/>
      <c r="W1956" s="102" t="n"/>
      <c r="X1956" s="102" t="n"/>
      <c r="Y1956" s="102" t="n"/>
      <c r="Z1956" s="102" t="n"/>
      <c r="AA1956" s="102" t="n"/>
      <c r="AB1956" s="102" t="n"/>
      <c r="AC1956" s="102" t="n"/>
      <c r="AD1956" s="102" t="n"/>
      <c r="AE1956" s="102" t="n"/>
      <c r="AF1956" s="102" t="n"/>
      <c r="AG1956" s="102" t="n"/>
      <c r="AH1956" s="102" t="n"/>
      <c r="AI1956" s="102" t="n"/>
      <c r="AJ1956" s="102" t="n"/>
      <c r="AK1956" s="102" t="n"/>
      <c r="AL1956" s="102" t="n"/>
      <c r="AM1956" s="102" t="n"/>
      <c r="AN1956" s="102" t="n"/>
      <c r="AO1956" s="102" t="n"/>
      <c r="AP1956" s="102" t="n"/>
      <c r="AQ1956" s="102" t="n"/>
      <c r="AR1956" s="102" t="n"/>
    </row>
    <row r="1957">
      <c r="D1957" s="102" t="n"/>
      <c r="E1957" s="102" t="n"/>
      <c r="F1957" s="102" t="n"/>
      <c r="G1957" s="102" t="n"/>
      <c r="H1957" s="102" t="n"/>
      <c r="I1957" s="102" t="n"/>
      <c r="J1957" s="102" t="n"/>
      <c r="K1957" s="102" t="n"/>
      <c r="L1957" s="102" t="n"/>
      <c r="M1957" s="102" t="n"/>
      <c r="N1957" s="102" t="n"/>
      <c r="O1957" s="102" t="n"/>
      <c r="P1957" s="102" t="n"/>
      <c r="Q1957" s="102" t="n"/>
      <c r="R1957" s="102" t="n"/>
      <c r="S1957" s="102" t="n"/>
      <c r="T1957" s="102" t="n"/>
      <c r="U1957" s="102" t="n"/>
      <c r="V1957" s="102" t="n"/>
      <c r="W1957" s="102" t="n"/>
      <c r="X1957" s="102" t="n"/>
      <c r="Y1957" s="102" t="n"/>
      <c r="Z1957" s="102" t="n"/>
      <c r="AA1957" s="102" t="n"/>
      <c r="AB1957" s="102" t="n"/>
      <c r="AC1957" s="102" t="n"/>
      <c r="AD1957" s="102" t="n"/>
      <c r="AE1957" s="102" t="n"/>
      <c r="AF1957" s="102" t="n"/>
      <c r="AG1957" s="102" t="n"/>
      <c r="AH1957" s="102" t="n"/>
      <c r="AI1957" s="102" t="n"/>
      <c r="AJ1957" s="102" t="n"/>
      <c r="AK1957" s="102" t="n"/>
      <c r="AL1957" s="102" t="n"/>
      <c r="AM1957" s="102" t="n"/>
      <c r="AN1957" s="102" t="n"/>
      <c r="AO1957" s="102" t="n"/>
      <c r="AP1957" s="102" t="n"/>
      <c r="AQ1957" s="102" t="n"/>
      <c r="AR1957" s="102" t="n"/>
    </row>
    <row r="1958">
      <c r="D1958" s="102" t="n"/>
      <c r="E1958" s="102" t="n"/>
      <c r="F1958" s="102" t="n"/>
      <c r="G1958" s="102" t="n"/>
      <c r="H1958" s="102" t="n"/>
      <c r="I1958" s="102" t="n"/>
      <c r="J1958" s="102" t="n"/>
      <c r="K1958" s="102" t="n"/>
      <c r="L1958" s="102" t="n"/>
      <c r="M1958" s="102" t="n"/>
      <c r="N1958" s="102" t="n"/>
      <c r="O1958" s="102" t="n"/>
      <c r="P1958" s="102" t="n"/>
      <c r="Q1958" s="102" t="n"/>
      <c r="R1958" s="102" t="n"/>
      <c r="S1958" s="102" t="n"/>
      <c r="T1958" s="102" t="n"/>
      <c r="U1958" s="102" t="n"/>
      <c r="V1958" s="102" t="n"/>
      <c r="W1958" s="102" t="n"/>
      <c r="X1958" s="102" t="n"/>
      <c r="Y1958" s="102" t="n"/>
      <c r="Z1958" s="102" t="n"/>
      <c r="AA1958" s="102" t="n"/>
      <c r="AB1958" s="102" t="n"/>
      <c r="AC1958" s="102" t="n"/>
      <c r="AD1958" s="102" t="n"/>
      <c r="AE1958" s="102" t="n"/>
      <c r="AF1958" s="102" t="n"/>
      <c r="AG1958" s="102" t="n"/>
      <c r="AH1958" s="102" t="n"/>
      <c r="AI1958" s="102" t="n"/>
      <c r="AJ1958" s="102" t="n"/>
      <c r="AK1958" s="102" t="n"/>
      <c r="AL1958" s="102" t="n"/>
      <c r="AM1958" s="102" t="n"/>
      <c r="AN1958" s="102" t="n"/>
      <c r="AO1958" s="102" t="n"/>
      <c r="AP1958" s="102" t="n"/>
      <c r="AQ1958" s="102" t="n"/>
      <c r="AR1958" s="102" t="n"/>
    </row>
    <row r="1959">
      <c r="D1959" s="102" t="n"/>
      <c r="E1959" s="102" t="n"/>
      <c r="F1959" s="102" t="n"/>
      <c r="G1959" s="102" t="n"/>
      <c r="H1959" s="102" t="n"/>
      <c r="I1959" s="102" t="n"/>
      <c r="J1959" s="102" t="n"/>
      <c r="K1959" s="102" t="n"/>
      <c r="L1959" s="102" t="n"/>
      <c r="M1959" s="102" t="n"/>
      <c r="N1959" s="102" t="n"/>
      <c r="O1959" s="102" t="n"/>
      <c r="P1959" s="102" t="n"/>
      <c r="Q1959" s="102" t="n"/>
      <c r="R1959" s="102" t="n"/>
      <c r="S1959" s="102" t="n"/>
      <c r="T1959" s="102" t="n"/>
      <c r="U1959" s="102" t="n"/>
      <c r="V1959" s="102" t="n"/>
      <c r="W1959" s="102" t="n"/>
      <c r="X1959" s="102" t="n"/>
      <c r="Y1959" s="102" t="n"/>
      <c r="Z1959" s="102" t="n"/>
      <c r="AA1959" s="102" t="n"/>
      <c r="AB1959" s="102" t="n"/>
      <c r="AC1959" s="102" t="n"/>
      <c r="AD1959" s="102" t="n"/>
      <c r="AE1959" s="102" t="n"/>
      <c r="AF1959" s="102" t="n"/>
      <c r="AG1959" s="102" t="n"/>
      <c r="AH1959" s="102" t="n"/>
      <c r="AI1959" s="102" t="n"/>
      <c r="AJ1959" s="102" t="n"/>
      <c r="AK1959" s="102" t="n"/>
      <c r="AL1959" s="102" t="n"/>
      <c r="AM1959" s="102" t="n"/>
      <c r="AN1959" s="102" t="n"/>
      <c r="AO1959" s="102" t="n"/>
      <c r="AP1959" s="102" t="n"/>
      <c r="AQ1959" s="102" t="n"/>
      <c r="AR1959" s="102" t="n"/>
    </row>
    <row r="1960">
      <c r="D1960" s="103" t="n"/>
      <c r="E1960" s="103" t="n"/>
      <c r="F1960" s="103" t="n"/>
      <c r="G1960" s="103" t="n"/>
      <c r="H1960" s="103" t="n"/>
      <c r="I1960" s="103" t="n"/>
      <c r="J1960" s="103" t="n"/>
      <c r="K1960" s="103" t="n"/>
      <c r="L1960" s="103" t="n"/>
      <c r="M1960" s="103" t="n"/>
      <c r="N1960" s="103" t="n"/>
      <c r="O1960" s="103" t="n"/>
      <c r="P1960" s="103" t="n"/>
      <c r="Q1960" s="103" t="n"/>
      <c r="R1960" s="103" t="n"/>
      <c r="S1960" s="103" t="n"/>
      <c r="T1960" s="103" t="n"/>
      <c r="U1960" s="103" t="n"/>
      <c r="V1960" s="103" t="n"/>
      <c r="W1960" s="103" t="n"/>
      <c r="X1960" s="103" t="n"/>
      <c r="Y1960" s="103" t="n"/>
      <c r="Z1960" s="103" t="n"/>
      <c r="AA1960" s="103" t="n"/>
      <c r="AB1960" s="103" t="n"/>
      <c r="AC1960" s="103" t="n"/>
      <c r="AD1960" s="103" t="n"/>
      <c r="AE1960" s="103" t="n"/>
      <c r="AF1960" s="103" t="n"/>
      <c r="AG1960" s="103" t="n"/>
      <c r="AH1960" s="103" t="n"/>
      <c r="AI1960" s="103" t="n"/>
      <c r="AJ1960" s="103" t="n"/>
      <c r="AK1960" s="103" t="n"/>
      <c r="AL1960" s="103" t="n"/>
      <c r="AM1960" s="103" t="n"/>
      <c r="AN1960" s="103" t="n"/>
      <c r="AO1960" s="103" t="n"/>
      <c r="AP1960" s="103" t="n"/>
      <c r="AQ1960" s="103" t="n"/>
      <c r="AR1960" s="103" t="n"/>
    </row>
    <row r="1963">
      <c r="A1963" s="2">
        <f>IF($A1956="","","   projections")</f>
        <v/>
      </c>
      <c r="B1963" s="99">
        <f>IF($A1956="",0,COUNT($E1964:$AR1964))</f>
        <v/>
      </c>
      <c r="C1963" s="100">
        <f>IF($B1963=0,0,MAX($E1964:$AR1964))</f>
        <v/>
      </c>
      <c r="D1963" s="101">
        <f>BDS($A1956,FLD_PROJ,"headers=y","startcol=1","endcol=3","dir=h")</f>
        <v/>
      </c>
      <c r="E1963" s="102" t="n"/>
      <c r="F1963" s="102" t="n"/>
      <c r="G1963" s="102" t="n"/>
      <c r="H1963" s="102" t="n"/>
      <c r="I1963" s="102" t="n"/>
      <c r="J1963" s="102" t="n"/>
      <c r="K1963" s="102" t="n"/>
      <c r="L1963" s="102" t="n"/>
      <c r="M1963" s="102" t="n"/>
      <c r="N1963" s="102" t="n"/>
      <c r="O1963" s="102" t="n"/>
      <c r="P1963" s="102" t="n"/>
      <c r="Q1963" s="102" t="n"/>
      <c r="R1963" s="102" t="n"/>
      <c r="S1963" s="102" t="n"/>
      <c r="T1963" s="102" t="n"/>
      <c r="U1963" s="102" t="n"/>
      <c r="V1963" s="102" t="n"/>
      <c r="W1963" s="102" t="n"/>
      <c r="X1963" s="102" t="n"/>
      <c r="Y1963" s="102" t="n"/>
      <c r="Z1963" s="102" t="n"/>
      <c r="AA1963" s="102" t="n"/>
      <c r="AB1963" s="102" t="n"/>
      <c r="AC1963" s="102" t="n"/>
      <c r="AD1963" s="102" t="n"/>
      <c r="AE1963" s="102" t="n"/>
      <c r="AF1963" s="102" t="n"/>
      <c r="AG1963" s="102" t="n"/>
      <c r="AH1963" s="102" t="n"/>
      <c r="AI1963" s="102" t="n"/>
      <c r="AJ1963" s="102" t="n"/>
      <c r="AK1963" s="102" t="n"/>
      <c r="AL1963" s="102" t="n"/>
      <c r="AM1963" s="102" t="n"/>
      <c r="AN1963" s="102" t="n"/>
      <c r="AO1963" s="102" t="n"/>
      <c r="AP1963" s="102" t="n"/>
      <c r="AQ1963" s="102" t="n"/>
      <c r="AR1963" s="102" t="n"/>
    </row>
    <row r="1964">
      <c r="D1964" s="102" t="n"/>
      <c r="E1964" s="102" t="n"/>
      <c r="F1964" s="102" t="n"/>
      <c r="G1964" s="102" t="n"/>
      <c r="H1964" s="102" t="n"/>
      <c r="I1964" s="102" t="n"/>
      <c r="J1964" s="102" t="n"/>
      <c r="K1964" s="102" t="n"/>
      <c r="L1964" s="102" t="n"/>
      <c r="M1964" s="102" t="n"/>
      <c r="N1964" s="102" t="n"/>
      <c r="O1964" s="102" t="n"/>
      <c r="P1964" s="102" t="n"/>
      <c r="Q1964" s="102" t="n"/>
      <c r="R1964" s="102" t="n"/>
      <c r="S1964" s="102" t="n"/>
      <c r="T1964" s="102" t="n"/>
      <c r="U1964" s="102" t="n"/>
      <c r="V1964" s="102" t="n"/>
      <c r="W1964" s="102" t="n"/>
      <c r="X1964" s="102" t="n"/>
      <c r="Y1964" s="102" t="n"/>
      <c r="Z1964" s="102" t="n"/>
      <c r="AA1964" s="102" t="n"/>
      <c r="AB1964" s="102" t="n"/>
      <c r="AC1964" s="102" t="n"/>
      <c r="AD1964" s="102" t="n"/>
      <c r="AE1964" s="102" t="n"/>
      <c r="AF1964" s="102" t="n"/>
      <c r="AG1964" s="102" t="n"/>
      <c r="AH1964" s="102" t="n"/>
      <c r="AI1964" s="102" t="n"/>
      <c r="AJ1964" s="102" t="n"/>
      <c r="AK1964" s="102" t="n"/>
      <c r="AL1964" s="102" t="n"/>
      <c r="AM1964" s="102" t="n"/>
      <c r="AN1964" s="102" t="n"/>
      <c r="AO1964" s="102" t="n"/>
      <c r="AP1964" s="102" t="n"/>
      <c r="AQ1964" s="102" t="n"/>
      <c r="AR1964" s="102" t="n"/>
    </row>
    <row r="1965">
      <c r="D1965" s="103" t="n"/>
      <c r="E1965" s="103" t="n"/>
      <c r="F1965" s="103" t="n"/>
      <c r="G1965" s="103" t="n"/>
      <c r="H1965" s="103" t="n"/>
      <c r="I1965" s="103" t="n"/>
      <c r="J1965" s="103" t="n"/>
      <c r="K1965" s="103" t="n"/>
      <c r="L1965" s="103" t="n"/>
      <c r="M1965" s="103" t="n"/>
      <c r="N1965" s="103" t="n"/>
      <c r="O1965" s="103" t="n"/>
      <c r="P1965" s="103" t="n"/>
      <c r="Q1965" s="103" t="n"/>
      <c r="R1965" s="103" t="n"/>
      <c r="S1965" s="103" t="n"/>
      <c r="T1965" s="103" t="n"/>
      <c r="U1965" s="103" t="n"/>
      <c r="V1965" s="103" t="n"/>
      <c r="W1965" s="103" t="n"/>
      <c r="X1965" s="103" t="n"/>
      <c r="Y1965" s="103" t="n"/>
      <c r="Z1965" s="103" t="n"/>
      <c r="AA1965" s="103" t="n"/>
      <c r="AB1965" s="103" t="n"/>
      <c r="AC1965" s="103" t="n"/>
      <c r="AD1965" s="103" t="n"/>
      <c r="AE1965" s="103" t="n"/>
      <c r="AF1965" s="103" t="n"/>
      <c r="AG1965" s="103" t="n"/>
      <c r="AH1965" s="103" t="n"/>
      <c r="AI1965" s="103" t="n"/>
      <c r="AJ1965" s="103" t="n"/>
      <c r="AK1965" s="103" t="n"/>
      <c r="AL1965" s="103" t="n"/>
      <c r="AM1965" s="103" t="n"/>
      <c r="AN1965" s="103" t="n"/>
      <c r="AO1965" s="103" t="n"/>
      <c r="AP1965" s="103" t="n"/>
      <c r="AQ1965" s="103" t="n"/>
      <c r="AR1965" s="103" t="n"/>
    </row>
    <row r="1967">
      <c r="A1967" s="8">
        <f>IF(HSCEI!$C$44="","",HSCEI!$C$44)</f>
        <v/>
      </c>
      <c r="B1967" s="99">
        <f>IF($A1967="",0,COUNT($E1968:$AR1968))</f>
        <v/>
      </c>
      <c r="C1967" s="100">
        <f>IF($B1967=0,0,MAX($E1968:$AR1968))</f>
        <v/>
      </c>
      <c r="D1967" s="101">
        <f>BDS($A1967,FLD_HIST,"headers=y","startcol=1","endcol=7","dir=h","DVD_START_DT",HIST_FROM,"DVD_END_DT",HIST_TO)</f>
        <v/>
      </c>
      <c r="E1967" s="102" t="n"/>
      <c r="F1967" s="102" t="n"/>
      <c r="G1967" s="102" t="n"/>
      <c r="H1967" s="102" t="n"/>
      <c r="I1967" s="102" t="n"/>
      <c r="J1967" s="102" t="n"/>
      <c r="K1967" s="102" t="n"/>
      <c r="L1967" s="102" t="n"/>
      <c r="M1967" s="102" t="n"/>
      <c r="N1967" s="102" t="n"/>
      <c r="O1967" s="102" t="n"/>
      <c r="P1967" s="102" t="n"/>
      <c r="Q1967" s="102" t="n"/>
      <c r="R1967" s="102" t="n"/>
      <c r="S1967" s="102" t="n"/>
      <c r="T1967" s="102" t="n"/>
      <c r="U1967" s="102" t="n"/>
      <c r="V1967" s="102" t="n"/>
      <c r="W1967" s="102" t="n"/>
      <c r="X1967" s="102" t="n"/>
      <c r="Y1967" s="102" t="n"/>
      <c r="Z1967" s="102" t="n"/>
      <c r="AA1967" s="102" t="n"/>
      <c r="AB1967" s="102" t="n"/>
      <c r="AC1967" s="102" t="n"/>
      <c r="AD1967" s="102" t="n"/>
      <c r="AE1967" s="102" t="n"/>
      <c r="AF1967" s="102" t="n"/>
      <c r="AG1967" s="102" t="n"/>
      <c r="AH1967" s="102" t="n"/>
      <c r="AI1967" s="102" t="n"/>
      <c r="AJ1967" s="102" t="n"/>
      <c r="AK1967" s="102" t="n"/>
      <c r="AL1967" s="102" t="n"/>
      <c r="AM1967" s="102" t="n"/>
      <c r="AN1967" s="102" t="n"/>
      <c r="AO1967" s="102" t="n"/>
      <c r="AP1967" s="102" t="n"/>
      <c r="AQ1967" s="102" t="n"/>
      <c r="AR1967" s="102" t="n"/>
    </row>
    <row r="1968">
      <c r="D1968" s="102" t="n"/>
      <c r="E1968" s="102" t="n"/>
      <c r="F1968" s="102" t="n"/>
      <c r="G1968" s="102" t="n"/>
      <c r="H1968" s="102" t="n"/>
      <c r="I1968" s="102" t="n"/>
      <c r="J1968" s="102" t="n"/>
      <c r="K1968" s="102" t="n"/>
      <c r="L1968" s="102" t="n"/>
      <c r="M1968" s="102" t="n"/>
      <c r="N1968" s="102" t="n"/>
      <c r="O1968" s="102" t="n"/>
      <c r="P1968" s="102" t="n"/>
      <c r="Q1968" s="102" t="n"/>
      <c r="R1968" s="102" t="n"/>
      <c r="S1968" s="102" t="n"/>
      <c r="T1968" s="102" t="n"/>
      <c r="U1968" s="102" t="n"/>
      <c r="V1968" s="102" t="n"/>
      <c r="W1968" s="102" t="n"/>
      <c r="X1968" s="102" t="n"/>
      <c r="Y1968" s="102" t="n"/>
      <c r="Z1968" s="102" t="n"/>
      <c r="AA1968" s="102" t="n"/>
      <c r="AB1968" s="102" t="n"/>
      <c r="AC1968" s="102" t="n"/>
      <c r="AD1968" s="102" t="n"/>
      <c r="AE1968" s="102" t="n"/>
      <c r="AF1968" s="102" t="n"/>
      <c r="AG1968" s="102" t="n"/>
      <c r="AH1968" s="102" t="n"/>
      <c r="AI1968" s="102" t="n"/>
      <c r="AJ1968" s="102" t="n"/>
      <c r="AK1968" s="102" t="n"/>
      <c r="AL1968" s="102" t="n"/>
      <c r="AM1968" s="102" t="n"/>
      <c r="AN1968" s="102" t="n"/>
      <c r="AO1968" s="102" t="n"/>
      <c r="AP1968" s="102" t="n"/>
      <c r="AQ1968" s="102" t="n"/>
      <c r="AR1968" s="102" t="n"/>
    </row>
    <row r="1969">
      <c r="D1969" s="102" t="n"/>
      <c r="E1969" s="102" t="n"/>
      <c r="F1969" s="102" t="n"/>
      <c r="G1969" s="102" t="n"/>
      <c r="H1969" s="102" t="n"/>
      <c r="I1969" s="102" t="n"/>
      <c r="J1969" s="102" t="n"/>
      <c r="K1969" s="102" t="n"/>
      <c r="L1969" s="102" t="n"/>
      <c r="M1969" s="102" t="n"/>
      <c r="N1969" s="102" t="n"/>
      <c r="O1969" s="102" t="n"/>
      <c r="P1969" s="102" t="n"/>
      <c r="Q1969" s="102" t="n"/>
      <c r="R1969" s="102" t="n"/>
      <c r="S1969" s="102" t="n"/>
      <c r="T1969" s="102" t="n"/>
      <c r="U1969" s="102" t="n"/>
      <c r="V1969" s="102" t="n"/>
      <c r="W1969" s="102" t="n"/>
      <c r="X1969" s="102" t="n"/>
      <c r="Y1969" s="102" t="n"/>
      <c r="Z1969" s="102" t="n"/>
      <c r="AA1969" s="102" t="n"/>
      <c r="AB1969" s="102" t="n"/>
      <c r="AC1969" s="102" t="n"/>
      <c r="AD1969" s="102" t="n"/>
      <c r="AE1969" s="102" t="n"/>
      <c r="AF1969" s="102" t="n"/>
      <c r="AG1969" s="102" t="n"/>
      <c r="AH1969" s="102" t="n"/>
      <c r="AI1969" s="102" t="n"/>
      <c r="AJ1969" s="102" t="n"/>
      <c r="AK1969" s="102" t="n"/>
      <c r="AL1969" s="102" t="n"/>
      <c r="AM1969" s="102" t="n"/>
      <c r="AN1969" s="102" t="n"/>
      <c r="AO1969" s="102" t="n"/>
      <c r="AP1969" s="102" t="n"/>
      <c r="AQ1969" s="102" t="n"/>
      <c r="AR1969" s="102" t="n"/>
    </row>
    <row r="1970">
      <c r="D1970" s="102" t="n"/>
      <c r="E1970" s="102" t="n"/>
      <c r="F1970" s="102" t="n"/>
      <c r="G1970" s="102" t="n"/>
      <c r="H1970" s="102" t="n"/>
      <c r="I1970" s="102" t="n"/>
      <c r="J1970" s="102" t="n"/>
      <c r="K1970" s="102" t="n"/>
      <c r="L1970" s="102" t="n"/>
      <c r="M1970" s="102" t="n"/>
      <c r="N1970" s="102" t="n"/>
      <c r="O1970" s="102" t="n"/>
      <c r="P1970" s="102" t="n"/>
      <c r="Q1970" s="102" t="n"/>
      <c r="R1970" s="102" t="n"/>
      <c r="S1970" s="102" t="n"/>
      <c r="T1970" s="102" t="n"/>
      <c r="U1970" s="102" t="n"/>
      <c r="V1970" s="102" t="n"/>
      <c r="W1970" s="102" t="n"/>
      <c r="X1970" s="102" t="n"/>
      <c r="Y1970" s="102" t="n"/>
      <c r="Z1970" s="102" t="n"/>
      <c r="AA1970" s="102" t="n"/>
      <c r="AB1970" s="102" t="n"/>
      <c r="AC1970" s="102" t="n"/>
      <c r="AD1970" s="102" t="n"/>
      <c r="AE1970" s="102" t="n"/>
      <c r="AF1970" s="102" t="n"/>
      <c r="AG1970" s="102" t="n"/>
      <c r="AH1970" s="102" t="n"/>
      <c r="AI1970" s="102" t="n"/>
      <c r="AJ1970" s="102" t="n"/>
      <c r="AK1970" s="102" t="n"/>
      <c r="AL1970" s="102" t="n"/>
      <c r="AM1970" s="102" t="n"/>
      <c r="AN1970" s="102" t="n"/>
      <c r="AO1970" s="102" t="n"/>
      <c r="AP1970" s="102" t="n"/>
      <c r="AQ1970" s="102" t="n"/>
      <c r="AR1970" s="102" t="n"/>
    </row>
    <row r="1971">
      <c r="D1971" s="103" t="n"/>
      <c r="E1971" s="103" t="n"/>
      <c r="F1971" s="103" t="n"/>
      <c r="G1971" s="103" t="n"/>
      <c r="H1971" s="103" t="n"/>
      <c r="I1971" s="103" t="n"/>
      <c r="J1971" s="103" t="n"/>
      <c r="K1971" s="103" t="n"/>
      <c r="L1971" s="103" t="n"/>
      <c r="M1971" s="103" t="n"/>
      <c r="N1971" s="103" t="n"/>
      <c r="O1971" s="103" t="n"/>
      <c r="P1971" s="103" t="n"/>
      <c r="Q1971" s="103" t="n"/>
      <c r="R1971" s="103" t="n"/>
      <c r="S1971" s="103" t="n"/>
      <c r="T1971" s="103" t="n"/>
      <c r="U1971" s="103" t="n"/>
      <c r="V1971" s="103" t="n"/>
      <c r="W1971" s="103" t="n"/>
      <c r="X1971" s="103" t="n"/>
      <c r="Y1971" s="103" t="n"/>
      <c r="Z1971" s="103" t="n"/>
      <c r="AA1971" s="103" t="n"/>
      <c r="AB1971" s="103" t="n"/>
      <c r="AC1971" s="103" t="n"/>
      <c r="AD1971" s="103" t="n"/>
      <c r="AE1971" s="103" t="n"/>
      <c r="AF1971" s="103" t="n"/>
      <c r="AG1971" s="103" t="n"/>
      <c r="AH1971" s="103" t="n"/>
      <c r="AI1971" s="103" t="n"/>
      <c r="AJ1971" s="103" t="n"/>
      <c r="AK1971" s="103" t="n"/>
      <c r="AL1971" s="103" t="n"/>
      <c r="AM1971" s="103" t="n"/>
      <c r="AN1971" s="103" t="n"/>
      <c r="AO1971" s="103" t="n"/>
      <c r="AP1971" s="103" t="n"/>
      <c r="AQ1971" s="103" t="n"/>
      <c r="AR1971" s="103" t="n"/>
    </row>
    <row r="1974">
      <c r="A1974" s="2">
        <f>IF($A1967="","","   projections")</f>
        <v/>
      </c>
      <c r="B1974" s="99">
        <f>IF($A1967="",0,COUNT($E1975:$AR1975))</f>
        <v/>
      </c>
      <c r="C1974" s="100">
        <f>IF($B1974=0,0,MAX($E1975:$AR1975))</f>
        <v/>
      </c>
      <c r="D1974" s="101">
        <f>BDS($A1967,FLD_PROJ,"headers=y","startcol=1","endcol=3","dir=h")</f>
        <v/>
      </c>
      <c r="E1974" s="102" t="n"/>
      <c r="F1974" s="102" t="n"/>
      <c r="G1974" s="102" t="n"/>
      <c r="H1974" s="102" t="n"/>
      <c r="I1974" s="102" t="n"/>
      <c r="J1974" s="102" t="n"/>
      <c r="K1974" s="102" t="n"/>
      <c r="L1974" s="102" t="n"/>
      <c r="M1974" s="102" t="n"/>
      <c r="N1974" s="102" t="n"/>
      <c r="O1974" s="102" t="n"/>
      <c r="P1974" s="102" t="n"/>
      <c r="Q1974" s="102" t="n"/>
      <c r="R1974" s="102" t="n"/>
      <c r="S1974" s="102" t="n"/>
      <c r="T1974" s="102" t="n"/>
      <c r="U1974" s="102" t="n"/>
      <c r="V1974" s="102" t="n"/>
      <c r="W1974" s="102" t="n"/>
      <c r="X1974" s="102" t="n"/>
      <c r="Y1974" s="102" t="n"/>
      <c r="Z1974" s="102" t="n"/>
      <c r="AA1974" s="102" t="n"/>
      <c r="AB1974" s="102" t="n"/>
      <c r="AC1974" s="102" t="n"/>
      <c r="AD1974" s="102" t="n"/>
      <c r="AE1974" s="102" t="n"/>
      <c r="AF1974" s="102" t="n"/>
      <c r="AG1974" s="102" t="n"/>
      <c r="AH1974" s="102" t="n"/>
      <c r="AI1974" s="102" t="n"/>
      <c r="AJ1974" s="102" t="n"/>
      <c r="AK1974" s="102" t="n"/>
      <c r="AL1974" s="102" t="n"/>
      <c r="AM1974" s="102" t="n"/>
      <c r="AN1974" s="102" t="n"/>
      <c r="AO1974" s="102" t="n"/>
      <c r="AP1974" s="102" t="n"/>
      <c r="AQ1974" s="102" t="n"/>
      <c r="AR1974" s="102" t="n"/>
    </row>
    <row r="1975">
      <c r="D1975" s="102" t="n"/>
      <c r="E1975" s="102" t="n"/>
      <c r="F1975" s="102" t="n"/>
      <c r="G1975" s="102" t="n"/>
      <c r="H1975" s="102" t="n"/>
      <c r="I1975" s="102" t="n"/>
      <c r="J1975" s="102" t="n"/>
      <c r="K1975" s="102" t="n"/>
      <c r="L1975" s="102" t="n"/>
      <c r="M1975" s="102" t="n"/>
      <c r="N1975" s="102" t="n"/>
      <c r="O1975" s="102" t="n"/>
      <c r="P1975" s="102" t="n"/>
      <c r="Q1975" s="102" t="n"/>
      <c r="R1975" s="102" t="n"/>
      <c r="S1975" s="102" t="n"/>
      <c r="T1975" s="102" t="n"/>
      <c r="U1975" s="102" t="n"/>
      <c r="V1975" s="102" t="n"/>
      <c r="W1975" s="102" t="n"/>
      <c r="X1975" s="102" t="n"/>
      <c r="Y1975" s="102" t="n"/>
      <c r="Z1975" s="102" t="n"/>
      <c r="AA1975" s="102" t="n"/>
      <c r="AB1975" s="102" t="n"/>
      <c r="AC1975" s="102" t="n"/>
      <c r="AD1975" s="102" t="n"/>
      <c r="AE1975" s="102" t="n"/>
      <c r="AF1975" s="102" t="n"/>
      <c r="AG1975" s="102" t="n"/>
      <c r="AH1975" s="102" t="n"/>
      <c r="AI1975" s="102" t="n"/>
      <c r="AJ1975" s="102" t="n"/>
      <c r="AK1975" s="102" t="n"/>
      <c r="AL1975" s="102" t="n"/>
      <c r="AM1975" s="102" t="n"/>
      <c r="AN1975" s="102" t="n"/>
      <c r="AO1975" s="102" t="n"/>
      <c r="AP1975" s="102" t="n"/>
      <c r="AQ1975" s="102" t="n"/>
      <c r="AR1975" s="102" t="n"/>
    </row>
    <row r="1976">
      <c r="D1976" s="103" t="n"/>
      <c r="E1976" s="103" t="n"/>
      <c r="F1976" s="103" t="n"/>
      <c r="G1976" s="103" t="n"/>
      <c r="H1976" s="103" t="n"/>
      <c r="I1976" s="103" t="n"/>
      <c r="J1976" s="103" t="n"/>
      <c r="K1976" s="103" t="n"/>
      <c r="L1976" s="103" t="n"/>
      <c r="M1976" s="103" t="n"/>
      <c r="N1976" s="103" t="n"/>
      <c r="O1976" s="103" t="n"/>
      <c r="P1976" s="103" t="n"/>
      <c r="Q1976" s="103" t="n"/>
      <c r="R1976" s="103" t="n"/>
      <c r="S1976" s="103" t="n"/>
      <c r="T1976" s="103" t="n"/>
      <c r="U1976" s="103" t="n"/>
      <c r="V1976" s="103" t="n"/>
      <c r="W1976" s="103" t="n"/>
      <c r="X1976" s="103" t="n"/>
      <c r="Y1976" s="103" t="n"/>
      <c r="Z1976" s="103" t="n"/>
      <c r="AA1976" s="103" t="n"/>
      <c r="AB1976" s="103" t="n"/>
      <c r="AC1976" s="103" t="n"/>
      <c r="AD1976" s="103" t="n"/>
      <c r="AE1976" s="103" t="n"/>
      <c r="AF1976" s="103" t="n"/>
      <c r="AG1976" s="103" t="n"/>
      <c r="AH1976" s="103" t="n"/>
      <c r="AI1976" s="103" t="n"/>
      <c r="AJ1976" s="103" t="n"/>
      <c r="AK1976" s="103" t="n"/>
      <c r="AL1976" s="103" t="n"/>
      <c r="AM1976" s="103" t="n"/>
      <c r="AN1976" s="103" t="n"/>
      <c r="AO1976" s="103" t="n"/>
      <c r="AP1976" s="103" t="n"/>
      <c r="AQ1976" s="103" t="n"/>
      <c r="AR1976" s="103" t="n"/>
    </row>
    <row r="1978">
      <c r="A1978" s="8">
        <f>IF(HSCEI!$C$45="","",HSCEI!$C$45)</f>
        <v/>
      </c>
      <c r="B1978" s="99">
        <f>IF($A1978="",0,COUNT($E1979:$AR1979))</f>
        <v/>
      </c>
      <c r="C1978" s="100">
        <f>IF($B1978=0,0,MAX($E1979:$AR1979))</f>
        <v/>
      </c>
      <c r="D1978" s="101">
        <f>BDS($A1978,FLD_HIST,"headers=y","startcol=1","endcol=7","dir=h","DVD_START_DT",HIST_FROM,"DVD_END_DT",HIST_TO)</f>
        <v/>
      </c>
      <c r="E1978" s="102" t="n"/>
      <c r="F1978" s="102" t="n"/>
      <c r="G1978" s="102" t="n"/>
      <c r="H1978" s="102" t="n"/>
      <c r="I1978" s="102" t="n"/>
      <c r="J1978" s="102" t="n"/>
      <c r="K1978" s="102" t="n"/>
      <c r="L1978" s="102" t="n"/>
      <c r="M1978" s="102" t="n"/>
      <c r="N1978" s="102" t="n"/>
      <c r="O1978" s="102" t="n"/>
      <c r="P1978" s="102" t="n"/>
      <c r="Q1978" s="102" t="n"/>
      <c r="R1978" s="102" t="n"/>
      <c r="S1978" s="102" t="n"/>
      <c r="T1978" s="102" t="n"/>
      <c r="U1978" s="102" t="n"/>
      <c r="V1978" s="102" t="n"/>
      <c r="W1978" s="102" t="n"/>
      <c r="X1978" s="102" t="n"/>
      <c r="Y1978" s="102" t="n"/>
      <c r="Z1978" s="102" t="n"/>
      <c r="AA1978" s="102" t="n"/>
      <c r="AB1978" s="102" t="n"/>
      <c r="AC1978" s="102" t="n"/>
      <c r="AD1978" s="102" t="n"/>
      <c r="AE1978" s="102" t="n"/>
      <c r="AF1978" s="102" t="n"/>
      <c r="AG1978" s="102" t="n"/>
      <c r="AH1978" s="102" t="n"/>
      <c r="AI1978" s="102" t="n"/>
      <c r="AJ1978" s="102" t="n"/>
      <c r="AK1978" s="102" t="n"/>
      <c r="AL1978" s="102" t="n"/>
      <c r="AM1978" s="102" t="n"/>
      <c r="AN1978" s="102" t="n"/>
      <c r="AO1978" s="102" t="n"/>
      <c r="AP1978" s="102" t="n"/>
      <c r="AQ1978" s="102" t="n"/>
      <c r="AR1978" s="102" t="n"/>
    </row>
    <row r="1979">
      <c r="D1979" s="102" t="n"/>
      <c r="E1979" s="102" t="n"/>
      <c r="F1979" s="102" t="n"/>
      <c r="G1979" s="102" t="n"/>
      <c r="H1979" s="102" t="n"/>
      <c r="I1979" s="102" t="n"/>
      <c r="J1979" s="102" t="n"/>
      <c r="K1979" s="102" t="n"/>
      <c r="L1979" s="102" t="n"/>
      <c r="M1979" s="102" t="n"/>
      <c r="N1979" s="102" t="n"/>
      <c r="O1979" s="102" t="n"/>
      <c r="P1979" s="102" t="n"/>
      <c r="Q1979" s="102" t="n"/>
      <c r="R1979" s="102" t="n"/>
      <c r="S1979" s="102" t="n"/>
      <c r="T1979" s="102" t="n"/>
      <c r="U1979" s="102" t="n"/>
      <c r="V1979" s="102" t="n"/>
      <c r="W1979" s="102" t="n"/>
      <c r="X1979" s="102" t="n"/>
      <c r="Y1979" s="102" t="n"/>
      <c r="Z1979" s="102" t="n"/>
      <c r="AA1979" s="102" t="n"/>
      <c r="AB1979" s="102" t="n"/>
      <c r="AC1979" s="102" t="n"/>
      <c r="AD1979" s="102" t="n"/>
      <c r="AE1979" s="102" t="n"/>
      <c r="AF1979" s="102" t="n"/>
      <c r="AG1979" s="102" t="n"/>
      <c r="AH1979" s="102" t="n"/>
      <c r="AI1979" s="102" t="n"/>
      <c r="AJ1979" s="102" t="n"/>
      <c r="AK1979" s="102" t="n"/>
      <c r="AL1979" s="102" t="n"/>
      <c r="AM1979" s="102" t="n"/>
      <c r="AN1979" s="102" t="n"/>
      <c r="AO1979" s="102" t="n"/>
      <c r="AP1979" s="102" t="n"/>
      <c r="AQ1979" s="102" t="n"/>
      <c r="AR1979" s="102" t="n"/>
    </row>
    <row r="1980">
      <c r="D1980" s="102" t="n"/>
      <c r="E1980" s="102" t="n"/>
      <c r="F1980" s="102" t="n"/>
      <c r="G1980" s="102" t="n"/>
      <c r="H1980" s="102" t="n"/>
      <c r="I1980" s="102" t="n"/>
      <c r="J1980" s="102" t="n"/>
      <c r="K1980" s="102" t="n"/>
      <c r="L1980" s="102" t="n"/>
      <c r="M1980" s="102" t="n"/>
      <c r="N1980" s="102" t="n"/>
      <c r="O1980" s="102" t="n"/>
      <c r="P1980" s="102" t="n"/>
      <c r="Q1980" s="102" t="n"/>
      <c r="R1980" s="102" t="n"/>
      <c r="S1980" s="102" t="n"/>
      <c r="T1980" s="102" t="n"/>
      <c r="U1980" s="102" t="n"/>
      <c r="V1980" s="102" t="n"/>
      <c r="W1980" s="102" t="n"/>
      <c r="X1980" s="102" t="n"/>
      <c r="Y1980" s="102" t="n"/>
      <c r="Z1980" s="102" t="n"/>
      <c r="AA1980" s="102" t="n"/>
      <c r="AB1980" s="102" t="n"/>
      <c r="AC1980" s="102" t="n"/>
      <c r="AD1980" s="102" t="n"/>
      <c r="AE1980" s="102" t="n"/>
      <c r="AF1980" s="102" t="n"/>
      <c r="AG1980" s="102" t="n"/>
      <c r="AH1980" s="102" t="n"/>
      <c r="AI1980" s="102" t="n"/>
      <c r="AJ1980" s="102" t="n"/>
      <c r="AK1980" s="102" t="n"/>
      <c r="AL1980" s="102" t="n"/>
      <c r="AM1980" s="102" t="n"/>
      <c r="AN1980" s="102" t="n"/>
      <c r="AO1980" s="102" t="n"/>
      <c r="AP1980" s="102" t="n"/>
      <c r="AQ1980" s="102" t="n"/>
      <c r="AR1980" s="102" t="n"/>
    </row>
    <row r="1981">
      <c r="D1981" s="102" t="n"/>
      <c r="E1981" s="102" t="n"/>
      <c r="F1981" s="102" t="n"/>
      <c r="G1981" s="102" t="n"/>
      <c r="H1981" s="102" t="n"/>
      <c r="I1981" s="102" t="n"/>
      <c r="J1981" s="102" t="n"/>
      <c r="K1981" s="102" t="n"/>
      <c r="L1981" s="102" t="n"/>
      <c r="M1981" s="102" t="n"/>
      <c r="N1981" s="102" t="n"/>
      <c r="O1981" s="102" t="n"/>
      <c r="P1981" s="102" t="n"/>
      <c r="Q1981" s="102" t="n"/>
      <c r="R1981" s="102" t="n"/>
      <c r="S1981" s="102" t="n"/>
      <c r="T1981" s="102" t="n"/>
      <c r="U1981" s="102" t="n"/>
      <c r="V1981" s="102" t="n"/>
      <c r="W1981" s="102" t="n"/>
      <c r="X1981" s="102" t="n"/>
      <c r="Y1981" s="102" t="n"/>
      <c r="Z1981" s="102" t="n"/>
      <c r="AA1981" s="102" t="n"/>
      <c r="AB1981" s="102" t="n"/>
      <c r="AC1981" s="102" t="n"/>
      <c r="AD1981" s="102" t="n"/>
      <c r="AE1981" s="102" t="n"/>
      <c r="AF1981" s="102" t="n"/>
      <c r="AG1981" s="102" t="n"/>
      <c r="AH1981" s="102" t="n"/>
      <c r="AI1981" s="102" t="n"/>
      <c r="AJ1981" s="102" t="n"/>
      <c r="AK1981" s="102" t="n"/>
      <c r="AL1981" s="102" t="n"/>
      <c r="AM1981" s="102" t="n"/>
      <c r="AN1981" s="102" t="n"/>
      <c r="AO1981" s="102" t="n"/>
      <c r="AP1981" s="102" t="n"/>
      <c r="AQ1981" s="102" t="n"/>
      <c r="AR1981" s="102" t="n"/>
    </row>
    <row r="1982">
      <c r="D1982" s="103" t="n"/>
      <c r="E1982" s="103" t="n"/>
      <c r="F1982" s="103" t="n"/>
      <c r="G1982" s="103" t="n"/>
      <c r="H1982" s="103" t="n"/>
      <c r="I1982" s="103" t="n"/>
      <c r="J1982" s="103" t="n"/>
      <c r="K1982" s="103" t="n"/>
      <c r="L1982" s="103" t="n"/>
      <c r="M1982" s="103" t="n"/>
      <c r="N1982" s="103" t="n"/>
      <c r="O1982" s="103" t="n"/>
      <c r="P1982" s="103" t="n"/>
      <c r="Q1982" s="103" t="n"/>
      <c r="R1982" s="103" t="n"/>
      <c r="S1982" s="103" t="n"/>
      <c r="T1982" s="103" t="n"/>
      <c r="U1982" s="103" t="n"/>
      <c r="V1982" s="103" t="n"/>
      <c r="W1982" s="103" t="n"/>
      <c r="X1982" s="103" t="n"/>
      <c r="Y1982" s="103" t="n"/>
      <c r="Z1982" s="103" t="n"/>
      <c r="AA1982" s="103" t="n"/>
      <c r="AB1982" s="103" t="n"/>
      <c r="AC1982" s="103" t="n"/>
      <c r="AD1982" s="103" t="n"/>
      <c r="AE1982" s="103" t="n"/>
      <c r="AF1982" s="103" t="n"/>
      <c r="AG1982" s="103" t="n"/>
      <c r="AH1982" s="103" t="n"/>
      <c r="AI1982" s="103" t="n"/>
      <c r="AJ1982" s="103" t="n"/>
      <c r="AK1982" s="103" t="n"/>
      <c r="AL1982" s="103" t="n"/>
      <c r="AM1982" s="103" t="n"/>
      <c r="AN1982" s="103" t="n"/>
      <c r="AO1982" s="103" t="n"/>
      <c r="AP1982" s="103" t="n"/>
      <c r="AQ1982" s="103" t="n"/>
      <c r="AR1982" s="103" t="n"/>
    </row>
    <row r="1985">
      <c r="A1985" s="2">
        <f>IF($A1978="","","   projections")</f>
        <v/>
      </c>
      <c r="B1985" s="99">
        <f>IF($A1978="",0,COUNT($E1986:$AR1986))</f>
        <v/>
      </c>
      <c r="C1985" s="100">
        <f>IF($B1985=0,0,MAX($E1986:$AR1986))</f>
        <v/>
      </c>
      <c r="D1985" s="101">
        <f>BDS($A1978,FLD_PROJ,"headers=y","startcol=1","endcol=3","dir=h")</f>
        <v/>
      </c>
      <c r="E1985" s="102" t="n"/>
      <c r="F1985" s="102" t="n"/>
      <c r="G1985" s="102" t="n"/>
      <c r="H1985" s="102" t="n"/>
      <c r="I1985" s="102" t="n"/>
      <c r="J1985" s="102" t="n"/>
      <c r="K1985" s="102" t="n"/>
      <c r="L1985" s="102" t="n"/>
      <c r="M1985" s="102" t="n"/>
      <c r="N1985" s="102" t="n"/>
      <c r="O1985" s="102" t="n"/>
      <c r="P1985" s="102" t="n"/>
      <c r="Q1985" s="102" t="n"/>
      <c r="R1985" s="102" t="n"/>
      <c r="S1985" s="102" t="n"/>
      <c r="T1985" s="102" t="n"/>
      <c r="U1985" s="102" t="n"/>
      <c r="V1985" s="102" t="n"/>
      <c r="W1985" s="102" t="n"/>
      <c r="X1985" s="102" t="n"/>
      <c r="Y1985" s="102" t="n"/>
      <c r="Z1985" s="102" t="n"/>
      <c r="AA1985" s="102" t="n"/>
      <c r="AB1985" s="102" t="n"/>
      <c r="AC1985" s="102" t="n"/>
      <c r="AD1985" s="102" t="n"/>
      <c r="AE1985" s="102" t="n"/>
      <c r="AF1985" s="102" t="n"/>
      <c r="AG1985" s="102" t="n"/>
      <c r="AH1985" s="102" t="n"/>
      <c r="AI1985" s="102" t="n"/>
      <c r="AJ1985" s="102" t="n"/>
      <c r="AK1985" s="102" t="n"/>
      <c r="AL1985" s="102" t="n"/>
      <c r="AM1985" s="102" t="n"/>
      <c r="AN1985" s="102" t="n"/>
      <c r="AO1985" s="102" t="n"/>
      <c r="AP1985" s="102" t="n"/>
      <c r="AQ1985" s="102" t="n"/>
      <c r="AR1985" s="102" t="n"/>
    </row>
    <row r="1986">
      <c r="D1986" s="102" t="n"/>
      <c r="E1986" s="102" t="n"/>
      <c r="F1986" s="102" t="n"/>
      <c r="G1986" s="102" t="n"/>
      <c r="H1986" s="102" t="n"/>
      <c r="I1986" s="102" t="n"/>
      <c r="J1986" s="102" t="n"/>
      <c r="K1986" s="102" t="n"/>
      <c r="L1986" s="102" t="n"/>
      <c r="M1986" s="102" t="n"/>
      <c r="N1986" s="102" t="n"/>
      <c r="O1986" s="102" t="n"/>
      <c r="P1986" s="102" t="n"/>
      <c r="Q1986" s="102" t="n"/>
      <c r="R1986" s="102" t="n"/>
      <c r="S1986" s="102" t="n"/>
      <c r="T1986" s="102" t="n"/>
      <c r="U1986" s="102" t="n"/>
      <c r="V1986" s="102" t="n"/>
      <c r="W1986" s="102" t="n"/>
      <c r="X1986" s="102" t="n"/>
      <c r="Y1986" s="102" t="n"/>
      <c r="Z1986" s="102" t="n"/>
      <c r="AA1986" s="102" t="n"/>
      <c r="AB1986" s="102" t="n"/>
      <c r="AC1986" s="102" t="n"/>
      <c r="AD1986" s="102" t="n"/>
      <c r="AE1986" s="102" t="n"/>
      <c r="AF1986" s="102" t="n"/>
      <c r="AG1986" s="102" t="n"/>
      <c r="AH1986" s="102" t="n"/>
      <c r="AI1986" s="102" t="n"/>
      <c r="AJ1986" s="102" t="n"/>
      <c r="AK1986" s="102" t="n"/>
      <c r="AL1986" s="102" t="n"/>
      <c r="AM1986" s="102" t="n"/>
      <c r="AN1986" s="102" t="n"/>
      <c r="AO1986" s="102" t="n"/>
      <c r="AP1986" s="102" t="n"/>
      <c r="AQ1986" s="102" t="n"/>
      <c r="AR1986" s="102" t="n"/>
    </row>
    <row r="1987">
      <c r="D1987" s="103" t="n"/>
      <c r="E1987" s="103" t="n"/>
      <c r="F1987" s="103" t="n"/>
      <c r="G1987" s="103" t="n"/>
      <c r="H1987" s="103" t="n"/>
      <c r="I1987" s="103" t="n"/>
      <c r="J1987" s="103" t="n"/>
      <c r="K1987" s="103" t="n"/>
      <c r="L1987" s="103" t="n"/>
      <c r="M1987" s="103" t="n"/>
      <c r="N1987" s="103" t="n"/>
      <c r="O1987" s="103" t="n"/>
      <c r="P1987" s="103" t="n"/>
      <c r="Q1987" s="103" t="n"/>
      <c r="R1987" s="103" t="n"/>
      <c r="S1987" s="103" t="n"/>
      <c r="T1987" s="103" t="n"/>
      <c r="U1987" s="103" t="n"/>
      <c r="V1987" s="103" t="n"/>
      <c r="W1987" s="103" t="n"/>
      <c r="X1987" s="103" t="n"/>
      <c r="Y1987" s="103" t="n"/>
      <c r="Z1987" s="103" t="n"/>
      <c r="AA1987" s="103" t="n"/>
      <c r="AB1987" s="103" t="n"/>
      <c r="AC1987" s="103" t="n"/>
      <c r="AD1987" s="103" t="n"/>
      <c r="AE1987" s="103" t="n"/>
      <c r="AF1987" s="103" t="n"/>
      <c r="AG1987" s="103" t="n"/>
      <c r="AH1987" s="103" t="n"/>
      <c r="AI1987" s="103" t="n"/>
      <c r="AJ1987" s="103" t="n"/>
      <c r="AK1987" s="103" t="n"/>
      <c r="AL1987" s="103" t="n"/>
      <c r="AM1987" s="103" t="n"/>
      <c r="AN1987" s="103" t="n"/>
      <c r="AO1987" s="103" t="n"/>
      <c r="AP1987" s="103" t="n"/>
      <c r="AQ1987" s="103" t="n"/>
      <c r="AR1987" s="103" t="n"/>
    </row>
    <row r="1989">
      <c r="A1989" s="8">
        <f>IF(HSCEI!$C$46="","",HSCEI!$C$46)</f>
        <v/>
      </c>
      <c r="B1989" s="99">
        <f>IF($A1989="",0,COUNT($E1990:$AR1990))</f>
        <v/>
      </c>
      <c r="C1989" s="100">
        <f>IF($B1989=0,0,MAX($E1990:$AR1990))</f>
        <v/>
      </c>
      <c r="D1989" s="101">
        <f>BDS($A1989,FLD_HIST,"headers=y","startcol=1","endcol=7","dir=h","DVD_START_DT",HIST_FROM,"DVD_END_DT",HIST_TO)</f>
        <v/>
      </c>
      <c r="E1989" s="102" t="n"/>
      <c r="F1989" s="102" t="n"/>
      <c r="G1989" s="102" t="n"/>
      <c r="H1989" s="102" t="n"/>
      <c r="I1989" s="102" t="n"/>
      <c r="J1989" s="102" t="n"/>
      <c r="K1989" s="102" t="n"/>
      <c r="L1989" s="102" t="n"/>
      <c r="M1989" s="102" t="n"/>
      <c r="N1989" s="102" t="n"/>
      <c r="O1989" s="102" t="n"/>
      <c r="P1989" s="102" t="n"/>
      <c r="Q1989" s="102" t="n"/>
      <c r="R1989" s="102" t="n"/>
      <c r="S1989" s="102" t="n"/>
      <c r="T1989" s="102" t="n"/>
      <c r="U1989" s="102" t="n"/>
      <c r="V1989" s="102" t="n"/>
      <c r="W1989" s="102" t="n"/>
      <c r="X1989" s="102" t="n"/>
      <c r="Y1989" s="102" t="n"/>
      <c r="Z1989" s="102" t="n"/>
      <c r="AA1989" s="102" t="n"/>
      <c r="AB1989" s="102" t="n"/>
      <c r="AC1989" s="102" t="n"/>
      <c r="AD1989" s="102" t="n"/>
      <c r="AE1989" s="102" t="n"/>
      <c r="AF1989" s="102" t="n"/>
      <c r="AG1989" s="102" t="n"/>
      <c r="AH1989" s="102" t="n"/>
      <c r="AI1989" s="102" t="n"/>
      <c r="AJ1989" s="102" t="n"/>
      <c r="AK1989" s="102" t="n"/>
      <c r="AL1989" s="102" t="n"/>
      <c r="AM1989" s="102" t="n"/>
      <c r="AN1989" s="102" t="n"/>
      <c r="AO1989" s="102" t="n"/>
      <c r="AP1989" s="102" t="n"/>
      <c r="AQ1989" s="102" t="n"/>
      <c r="AR1989" s="102" t="n"/>
    </row>
    <row r="1990">
      <c r="D1990" s="102" t="n"/>
      <c r="E1990" s="102" t="n"/>
      <c r="F1990" s="102" t="n"/>
      <c r="G1990" s="102" t="n"/>
      <c r="H1990" s="102" t="n"/>
      <c r="I1990" s="102" t="n"/>
      <c r="J1990" s="102" t="n"/>
      <c r="K1990" s="102" t="n"/>
      <c r="L1990" s="102" t="n"/>
      <c r="M1990" s="102" t="n"/>
      <c r="N1990" s="102" t="n"/>
      <c r="O1990" s="102" t="n"/>
      <c r="P1990" s="102" t="n"/>
      <c r="Q1990" s="102" t="n"/>
      <c r="R1990" s="102" t="n"/>
      <c r="S1990" s="102" t="n"/>
      <c r="T1990" s="102" t="n"/>
      <c r="U1990" s="102" t="n"/>
      <c r="V1990" s="102" t="n"/>
      <c r="W1990" s="102" t="n"/>
      <c r="X1990" s="102" t="n"/>
      <c r="Y1990" s="102" t="n"/>
      <c r="Z1990" s="102" t="n"/>
      <c r="AA1990" s="102" t="n"/>
      <c r="AB1990" s="102" t="n"/>
      <c r="AC1990" s="102" t="n"/>
      <c r="AD1990" s="102" t="n"/>
      <c r="AE1990" s="102" t="n"/>
      <c r="AF1990" s="102" t="n"/>
      <c r="AG1990" s="102" t="n"/>
      <c r="AH1990" s="102" t="n"/>
      <c r="AI1990" s="102" t="n"/>
      <c r="AJ1990" s="102" t="n"/>
      <c r="AK1990" s="102" t="n"/>
      <c r="AL1990" s="102" t="n"/>
      <c r="AM1990" s="102" t="n"/>
      <c r="AN1990" s="102" t="n"/>
      <c r="AO1990" s="102" t="n"/>
      <c r="AP1990" s="102" t="n"/>
      <c r="AQ1990" s="102" t="n"/>
      <c r="AR1990" s="102" t="n"/>
    </row>
    <row r="1991">
      <c r="D1991" s="102" t="n"/>
      <c r="E1991" s="102" t="n"/>
      <c r="F1991" s="102" t="n"/>
      <c r="G1991" s="102" t="n"/>
      <c r="H1991" s="102" t="n"/>
      <c r="I1991" s="102" t="n"/>
      <c r="J1991" s="102" t="n"/>
      <c r="K1991" s="102" t="n"/>
      <c r="L1991" s="102" t="n"/>
      <c r="M1991" s="102" t="n"/>
      <c r="N1991" s="102" t="n"/>
      <c r="O1991" s="102" t="n"/>
      <c r="P1991" s="102" t="n"/>
      <c r="Q1991" s="102" t="n"/>
      <c r="R1991" s="102" t="n"/>
      <c r="S1991" s="102" t="n"/>
      <c r="T1991" s="102" t="n"/>
      <c r="U1991" s="102" t="n"/>
      <c r="V1991" s="102" t="n"/>
      <c r="W1991" s="102" t="n"/>
      <c r="X1991" s="102" t="n"/>
      <c r="Y1991" s="102" t="n"/>
      <c r="Z1991" s="102" t="n"/>
      <c r="AA1991" s="102" t="n"/>
      <c r="AB1991" s="102" t="n"/>
      <c r="AC1991" s="102" t="n"/>
      <c r="AD1991" s="102" t="n"/>
      <c r="AE1991" s="102" t="n"/>
      <c r="AF1991" s="102" t="n"/>
      <c r="AG1991" s="102" t="n"/>
      <c r="AH1991" s="102" t="n"/>
      <c r="AI1991" s="102" t="n"/>
      <c r="AJ1991" s="102" t="n"/>
      <c r="AK1991" s="102" t="n"/>
      <c r="AL1991" s="102" t="n"/>
      <c r="AM1991" s="102" t="n"/>
      <c r="AN1991" s="102" t="n"/>
      <c r="AO1991" s="102" t="n"/>
      <c r="AP1991" s="102" t="n"/>
      <c r="AQ1991" s="102" t="n"/>
      <c r="AR1991" s="102" t="n"/>
    </row>
    <row r="1992">
      <c r="D1992" s="102" t="n"/>
      <c r="E1992" s="102" t="n"/>
      <c r="F1992" s="102" t="n"/>
      <c r="G1992" s="102" t="n"/>
      <c r="H1992" s="102" t="n"/>
      <c r="I1992" s="102" t="n"/>
      <c r="J1992" s="102" t="n"/>
      <c r="K1992" s="102" t="n"/>
      <c r="L1992" s="102" t="n"/>
      <c r="M1992" s="102" t="n"/>
      <c r="N1992" s="102" t="n"/>
      <c r="O1992" s="102" t="n"/>
      <c r="P1992" s="102" t="n"/>
      <c r="Q1992" s="102" t="n"/>
      <c r="R1992" s="102" t="n"/>
      <c r="S1992" s="102" t="n"/>
      <c r="T1992" s="102" t="n"/>
      <c r="U1992" s="102" t="n"/>
      <c r="V1992" s="102" t="n"/>
      <c r="W1992" s="102" t="n"/>
      <c r="X1992" s="102" t="n"/>
      <c r="Y1992" s="102" t="n"/>
      <c r="Z1992" s="102" t="n"/>
      <c r="AA1992" s="102" t="n"/>
      <c r="AB1992" s="102" t="n"/>
      <c r="AC1992" s="102" t="n"/>
      <c r="AD1992" s="102" t="n"/>
      <c r="AE1992" s="102" t="n"/>
      <c r="AF1992" s="102" t="n"/>
      <c r="AG1992" s="102" t="n"/>
      <c r="AH1992" s="102" t="n"/>
      <c r="AI1992" s="102" t="n"/>
      <c r="AJ1992" s="102" t="n"/>
      <c r="AK1992" s="102" t="n"/>
      <c r="AL1992" s="102" t="n"/>
      <c r="AM1992" s="102" t="n"/>
      <c r="AN1992" s="102" t="n"/>
      <c r="AO1992" s="102" t="n"/>
      <c r="AP1992" s="102" t="n"/>
      <c r="AQ1992" s="102" t="n"/>
      <c r="AR1992" s="102" t="n"/>
    </row>
    <row r="1993">
      <c r="D1993" s="103" t="n"/>
      <c r="E1993" s="103" t="n"/>
      <c r="F1993" s="103" t="n"/>
      <c r="G1993" s="103" t="n"/>
      <c r="H1993" s="103" t="n"/>
      <c r="I1993" s="103" t="n"/>
      <c r="J1993" s="103" t="n"/>
      <c r="K1993" s="103" t="n"/>
      <c r="L1993" s="103" t="n"/>
      <c r="M1993" s="103" t="n"/>
      <c r="N1993" s="103" t="n"/>
      <c r="O1993" s="103" t="n"/>
      <c r="P1993" s="103" t="n"/>
      <c r="Q1993" s="103" t="n"/>
      <c r="R1993" s="103" t="n"/>
      <c r="S1993" s="103" t="n"/>
      <c r="T1993" s="103" t="n"/>
      <c r="U1993" s="103" t="n"/>
      <c r="V1993" s="103" t="n"/>
      <c r="W1993" s="103" t="n"/>
      <c r="X1993" s="103" t="n"/>
      <c r="Y1993" s="103" t="n"/>
      <c r="Z1993" s="103" t="n"/>
      <c r="AA1993" s="103" t="n"/>
      <c r="AB1993" s="103" t="n"/>
      <c r="AC1993" s="103" t="n"/>
      <c r="AD1993" s="103" t="n"/>
      <c r="AE1993" s="103" t="n"/>
      <c r="AF1993" s="103" t="n"/>
      <c r="AG1993" s="103" t="n"/>
      <c r="AH1993" s="103" t="n"/>
      <c r="AI1993" s="103" t="n"/>
      <c r="AJ1993" s="103" t="n"/>
      <c r="AK1993" s="103" t="n"/>
      <c r="AL1993" s="103" t="n"/>
      <c r="AM1993" s="103" t="n"/>
      <c r="AN1993" s="103" t="n"/>
      <c r="AO1993" s="103" t="n"/>
      <c r="AP1993" s="103" t="n"/>
      <c r="AQ1993" s="103" t="n"/>
      <c r="AR1993" s="103" t="n"/>
    </row>
    <row r="1996">
      <c r="A1996" s="2">
        <f>IF($A1989="","","   projections")</f>
        <v/>
      </c>
      <c r="B1996" s="99">
        <f>IF($A1989="",0,COUNT($E1997:$AR1997))</f>
        <v/>
      </c>
      <c r="C1996" s="100">
        <f>IF($B1996=0,0,MAX($E1997:$AR1997))</f>
        <v/>
      </c>
      <c r="D1996" s="101">
        <f>BDS($A1989,FLD_PROJ,"headers=y","startcol=1","endcol=3","dir=h")</f>
        <v/>
      </c>
      <c r="E1996" s="102" t="n"/>
      <c r="F1996" s="102" t="n"/>
      <c r="G1996" s="102" t="n"/>
      <c r="H1996" s="102" t="n"/>
      <c r="I1996" s="102" t="n"/>
      <c r="J1996" s="102" t="n"/>
      <c r="K1996" s="102" t="n"/>
      <c r="L1996" s="102" t="n"/>
      <c r="M1996" s="102" t="n"/>
      <c r="N1996" s="102" t="n"/>
      <c r="O1996" s="102" t="n"/>
      <c r="P1996" s="102" t="n"/>
      <c r="Q1996" s="102" t="n"/>
      <c r="R1996" s="102" t="n"/>
      <c r="S1996" s="102" t="n"/>
      <c r="T1996" s="102" t="n"/>
      <c r="U1996" s="102" t="n"/>
      <c r="V1996" s="102" t="n"/>
      <c r="W1996" s="102" t="n"/>
      <c r="X1996" s="102" t="n"/>
      <c r="Y1996" s="102" t="n"/>
      <c r="Z1996" s="102" t="n"/>
      <c r="AA1996" s="102" t="n"/>
      <c r="AB1996" s="102" t="n"/>
      <c r="AC1996" s="102" t="n"/>
      <c r="AD1996" s="102" t="n"/>
      <c r="AE1996" s="102" t="n"/>
      <c r="AF1996" s="102" t="n"/>
      <c r="AG1996" s="102" t="n"/>
      <c r="AH1996" s="102" t="n"/>
      <c r="AI1996" s="102" t="n"/>
      <c r="AJ1996" s="102" t="n"/>
      <c r="AK1996" s="102" t="n"/>
      <c r="AL1996" s="102" t="n"/>
      <c r="AM1996" s="102" t="n"/>
      <c r="AN1996" s="102" t="n"/>
      <c r="AO1996" s="102" t="n"/>
      <c r="AP1996" s="102" t="n"/>
      <c r="AQ1996" s="102" t="n"/>
      <c r="AR1996" s="102" t="n"/>
    </row>
    <row r="1997">
      <c r="D1997" s="102" t="n"/>
      <c r="E1997" s="102" t="n"/>
      <c r="F1997" s="102" t="n"/>
      <c r="G1997" s="102" t="n"/>
      <c r="H1997" s="102" t="n"/>
      <c r="I1997" s="102" t="n"/>
      <c r="J1997" s="102" t="n"/>
      <c r="K1997" s="102" t="n"/>
      <c r="L1997" s="102" t="n"/>
      <c r="M1997" s="102" t="n"/>
      <c r="N1997" s="102" t="n"/>
      <c r="O1997" s="102" t="n"/>
      <c r="P1997" s="102" t="n"/>
      <c r="Q1997" s="102" t="n"/>
      <c r="R1997" s="102" t="n"/>
      <c r="S1997" s="102" t="n"/>
      <c r="T1997" s="102" t="n"/>
      <c r="U1997" s="102" t="n"/>
      <c r="V1997" s="102" t="n"/>
      <c r="W1997" s="102" t="n"/>
      <c r="X1997" s="102" t="n"/>
      <c r="Y1997" s="102" t="n"/>
      <c r="Z1997" s="102" t="n"/>
      <c r="AA1997" s="102" t="n"/>
      <c r="AB1997" s="102" t="n"/>
      <c r="AC1997" s="102" t="n"/>
      <c r="AD1997" s="102" t="n"/>
      <c r="AE1997" s="102" t="n"/>
      <c r="AF1997" s="102" t="n"/>
      <c r="AG1997" s="102" t="n"/>
      <c r="AH1997" s="102" t="n"/>
      <c r="AI1997" s="102" t="n"/>
      <c r="AJ1997" s="102" t="n"/>
      <c r="AK1997" s="102" t="n"/>
      <c r="AL1997" s="102" t="n"/>
      <c r="AM1997" s="102" t="n"/>
      <c r="AN1997" s="102" t="n"/>
      <c r="AO1997" s="102" t="n"/>
      <c r="AP1997" s="102" t="n"/>
      <c r="AQ1997" s="102" t="n"/>
      <c r="AR1997" s="102" t="n"/>
    </row>
    <row r="1998">
      <c r="D1998" s="103" t="n"/>
      <c r="E1998" s="103" t="n"/>
      <c r="F1998" s="103" t="n"/>
      <c r="G1998" s="103" t="n"/>
      <c r="H1998" s="103" t="n"/>
      <c r="I1998" s="103" t="n"/>
      <c r="J1998" s="103" t="n"/>
      <c r="K1998" s="103" t="n"/>
      <c r="L1998" s="103" t="n"/>
      <c r="M1998" s="103" t="n"/>
      <c r="N1998" s="103" t="n"/>
      <c r="O1998" s="103" t="n"/>
      <c r="P1998" s="103" t="n"/>
      <c r="Q1998" s="103" t="n"/>
      <c r="R1998" s="103" t="n"/>
      <c r="S1998" s="103" t="n"/>
      <c r="T1998" s="103" t="n"/>
      <c r="U1998" s="103" t="n"/>
      <c r="V1998" s="103" t="n"/>
      <c r="W1998" s="103" t="n"/>
      <c r="X1998" s="103" t="n"/>
      <c r="Y1998" s="103" t="n"/>
      <c r="Z1998" s="103" t="n"/>
      <c r="AA1998" s="103" t="n"/>
      <c r="AB1998" s="103" t="n"/>
      <c r="AC1998" s="103" t="n"/>
      <c r="AD1998" s="103" t="n"/>
      <c r="AE1998" s="103" t="n"/>
      <c r="AF1998" s="103" t="n"/>
      <c r="AG1998" s="103" t="n"/>
      <c r="AH1998" s="103" t="n"/>
      <c r="AI1998" s="103" t="n"/>
      <c r="AJ1998" s="103" t="n"/>
      <c r="AK1998" s="103" t="n"/>
      <c r="AL1998" s="103" t="n"/>
      <c r="AM1998" s="103" t="n"/>
      <c r="AN1998" s="103" t="n"/>
      <c r="AO1998" s="103" t="n"/>
      <c r="AP1998" s="103" t="n"/>
      <c r="AQ1998" s="103" t="n"/>
      <c r="AR1998" s="103" t="n"/>
    </row>
    <row r="2000">
      <c r="A2000" s="8">
        <f>IF(HSCEI!$C$47="","",HSCEI!$C$47)</f>
        <v/>
      </c>
      <c r="B2000" s="99">
        <f>IF($A2000="",0,COUNT($E2001:$AR2001))</f>
        <v/>
      </c>
      <c r="C2000" s="100">
        <f>IF($B2000=0,0,MAX($E2001:$AR2001))</f>
        <v/>
      </c>
      <c r="D2000" s="101">
        <f>BDS($A2000,FLD_HIST,"headers=y","startcol=1","endcol=7","dir=h","DVD_START_DT",HIST_FROM,"DVD_END_DT",HIST_TO)</f>
        <v/>
      </c>
      <c r="E2000" s="102" t="n"/>
      <c r="F2000" s="102" t="n"/>
      <c r="G2000" s="102" t="n"/>
      <c r="H2000" s="102" t="n"/>
      <c r="I2000" s="102" t="n"/>
      <c r="J2000" s="102" t="n"/>
      <c r="K2000" s="102" t="n"/>
      <c r="L2000" s="102" t="n"/>
      <c r="M2000" s="102" t="n"/>
      <c r="N2000" s="102" t="n"/>
      <c r="O2000" s="102" t="n"/>
      <c r="P2000" s="102" t="n"/>
      <c r="Q2000" s="102" t="n"/>
      <c r="R2000" s="102" t="n"/>
      <c r="S2000" s="102" t="n"/>
      <c r="T2000" s="102" t="n"/>
      <c r="U2000" s="102" t="n"/>
      <c r="V2000" s="102" t="n"/>
      <c r="W2000" s="102" t="n"/>
      <c r="X2000" s="102" t="n"/>
      <c r="Y2000" s="102" t="n"/>
      <c r="Z2000" s="102" t="n"/>
      <c r="AA2000" s="102" t="n"/>
      <c r="AB2000" s="102" t="n"/>
      <c r="AC2000" s="102" t="n"/>
      <c r="AD2000" s="102" t="n"/>
      <c r="AE2000" s="102" t="n"/>
      <c r="AF2000" s="102" t="n"/>
      <c r="AG2000" s="102" t="n"/>
      <c r="AH2000" s="102" t="n"/>
      <c r="AI2000" s="102" t="n"/>
      <c r="AJ2000" s="102" t="n"/>
      <c r="AK2000" s="102" t="n"/>
      <c r="AL2000" s="102" t="n"/>
      <c r="AM2000" s="102" t="n"/>
      <c r="AN2000" s="102" t="n"/>
      <c r="AO2000" s="102" t="n"/>
      <c r="AP2000" s="102" t="n"/>
      <c r="AQ2000" s="102" t="n"/>
      <c r="AR2000" s="102" t="n"/>
    </row>
    <row r="2001">
      <c r="D2001" s="102" t="n"/>
      <c r="E2001" s="102" t="n"/>
      <c r="F2001" s="102" t="n"/>
      <c r="G2001" s="102" t="n"/>
      <c r="H2001" s="102" t="n"/>
      <c r="I2001" s="102" t="n"/>
      <c r="J2001" s="102" t="n"/>
      <c r="K2001" s="102" t="n"/>
      <c r="L2001" s="102" t="n"/>
      <c r="M2001" s="102" t="n"/>
      <c r="N2001" s="102" t="n"/>
      <c r="O2001" s="102" t="n"/>
      <c r="P2001" s="102" t="n"/>
      <c r="Q2001" s="102" t="n"/>
      <c r="R2001" s="102" t="n"/>
      <c r="S2001" s="102" t="n"/>
      <c r="T2001" s="102" t="n"/>
      <c r="U2001" s="102" t="n"/>
      <c r="V2001" s="102" t="n"/>
      <c r="W2001" s="102" t="n"/>
      <c r="X2001" s="102" t="n"/>
      <c r="Y2001" s="102" t="n"/>
      <c r="Z2001" s="102" t="n"/>
      <c r="AA2001" s="102" t="n"/>
      <c r="AB2001" s="102" t="n"/>
      <c r="AC2001" s="102" t="n"/>
      <c r="AD2001" s="102" t="n"/>
      <c r="AE2001" s="102" t="n"/>
      <c r="AF2001" s="102" t="n"/>
      <c r="AG2001" s="102" t="n"/>
      <c r="AH2001" s="102" t="n"/>
      <c r="AI2001" s="102" t="n"/>
      <c r="AJ2001" s="102" t="n"/>
      <c r="AK2001" s="102" t="n"/>
      <c r="AL2001" s="102" t="n"/>
      <c r="AM2001" s="102" t="n"/>
      <c r="AN2001" s="102" t="n"/>
      <c r="AO2001" s="102" t="n"/>
      <c r="AP2001" s="102" t="n"/>
      <c r="AQ2001" s="102" t="n"/>
      <c r="AR2001" s="102" t="n"/>
    </row>
    <row r="2002">
      <c r="D2002" s="102" t="n"/>
      <c r="E2002" s="102" t="n"/>
      <c r="F2002" s="102" t="n"/>
      <c r="G2002" s="102" t="n"/>
      <c r="H2002" s="102" t="n"/>
      <c r="I2002" s="102" t="n"/>
      <c r="J2002" s="102" t="n"/>
      <c r="K2002" s="102" t="n"/>
      <c r="L2002" s="102" t="n"/>
      <c r="M2002" s="102" t="n"/>
      <c r="N2002" s="102" t="n"/>
      <c r="O2002" s="102" t="n"/>
      <c r="P2002" s="102" t="n"/>
      <c r="Q2002" s="102" t="n"/>
      <c r="R2002" s="102" t="n"/>
      <c r="S2002" s="102" t="n"/>
      <c r="T2002" s="102" t="n"/>
      <c r="U2002" s="102" t="n"/>
      <c r="V2002" s="102" t="n"/>
      <c r="W2002" s="102" t="n"/>
      <c r="X2002" s="102" t="n"/>
      <c r="Y2002" s="102" t="n"/>
      <c r="Z2002" s="102" t="n"/>
      <c r="AA2002" s="102" t="n"/>
      <c r="AB2002" s="102" t="n"/>
      <c r="AC2002" s="102" t="n"/>
      <c r="AD2002" s="102" t="n"/>
      <c r="AE2002" s="102" t="n"/>
      <c r="AF2002" s="102" t="n"/>
      <c r="AG2002" s="102" t="n"/>
      <c r="AH2002" s="102" t="n"/>
      <c r="AI2002" s="102" t="n"/>
      <c r="AJ2002" s="102" t="n"/>
      <c r="AK2002" s="102" t="n"/>
      <c r="AL2002" s="102" t="n"/>
      <c r="AM2002" s="102" t="n"/>
      <c r="AN2002" s="102" t="n"/>
      <c r="AO2002" s="102" t="n"/>
      <c r="AP2002" s="102" t="n"/>
      <c r="AQ2002" s="102" t="n"/>
      <c r="AR2002" s="102" t="n"/>
    </row>
    <row r="2003">
      <c r="D2003" s="102" t="n"/>
      <c r="E2003" s="102" t="n"/>
      <c r="F2003" s="102" t="n"/>
      <c r="G2003" s="102" t="n"/>
      <c r="H2003" s="102" t="n"/>
      <c r="I2003" s="102" t="n"/>
      <c r="J2003" s="102" t="n"/>
      <c r="K2003" s="102" t="n"/>
      <c r="L2003" s="102" t="n"/>
      <c r="M2003" s="102" t="n"/>
      <c r="N2003" s="102" t="n"/>
      <c r="O2003" s="102" t="n"/>
      <c r="P2003" s="102" t="n"/>
      <c r="Q2003" s="102" t="n"/>
      <c r="R2003" s="102" t="n"/>
      <c r="S2003" s="102" t="n"/>
      <c r="T2003" s="102" t="n"/>
      <c r="U2003" s="102" t="n"/>
      <c r="V2003" s="102" t="n"/>
      <c r="W2003" s="102" t="n"/>
      <c r="X2003" s="102" t="n"/>
      <c r="Y2003" s="102" t="n"/>
      <c r="Z2003" s="102" t="n"/>
      <c r="AA2003" s="102" t="n"/>
      <c r="AB2003" s="102" t="n"/>
      <c r="AC2003" s="102" t="n"/>
      <c r="AD2003" s="102" t="n"/>
      <c r="AE2003" s="102" t="n"/>
      <c r="AF2003" s="102" t="n"/>
      <c r="AG2003" s="102" t="n"/>
      <c r="AH2003" s="102" t="n"/>
      <c r="AI2003" s="102" t="n"/>
      <c r="AJ2003" s="102" t="n"/>
      <c r="AK2003" s="102" t="n"/>
      <c r="AL2003" s="102" t="n"/>
      <c r="AM2003" s="102" t="n"/>
      <c r="AN2003" s="102" t="n"/>
      <c r="AO2003" s="102" t="n"/>
      <c r="AP2003" s="102" t="n"/>
      <c r="AQ2003" s="102" t="n"/>
      <c r="AR2003" s="102" t="n"/>
    </row>
    <row r="2004">
      <c r="D2004" s="103" t="n"/>
      <c r="E2004" s="103" t="n"/>
      <c r="F2004" s="103" t="n"/>
      <c r="G2004" s="103" t="n"/>
      <c r="H2004" s="103" t="n"/>
      <c r="I2004" s="103" t="n"/>
      <c r="J2004" s="103" t="n"/>
      <c r="K2004" s="103" t="n"/>
      <c r="L2004" s="103" t="n"/>
      <c r="M2004" s="103" t="n"/>
      <c r="N2004" s="103" t="n"/>
      <c r="O2004" s="103" t="n"/>
      <c r="P2004" s="103" t="n"/>
      <c r="Q2004" s="103" t="n"/>
      <c r="R2004" s="103" t="n"/>
      <c r="S2004" s="103" t="n"/>
      <c r="T2004" s="103" t="n"/>
      <c r="U2004" s="103" t="n"/>
      <c r="V2004" s="103" t="n"/>
      <c r="W2004" s="103" t="n"/>
      <c r="X2004" s="103" t="n"/>
      <c r="Y2004" s="103" t="n"/>
      <c r="Z2004" s="103" t="n"/>
      <c r="AA2004" s="103" t="n"/>
      <c r="AB2004" s="103" t="n"/>
      <c r="AC2004" s="103" t="n"/>
      <c r="AD2004" s="103" t="n"/>
      <c r="AE2004" s="103" t="n"/>
      <c r="AF2004" s="103" t="n"/>
      <c r="AG2004" s="103" t="n"/>
      <c r="AH2004" s="103" t="n"/>
      <c r="AI2004" s="103" t="n"/>
      <c r="AJ2004" s="103" t="n"/>
      <c r="AK2004" s="103" t="n"/>
      <c r="AL2004" s="103" t="n"/>
      <c r="AM2004" s="103" t="n"/>
      <c r="AN2004" s="103" t="n"/>
      <c r="AO2004" s="103" t="n"/>
      <c r="AP2004" s="103" t="n"/>
      <c r="AQ2004" s="103" t="n"/>
      <c r="AR2004" s="103" t="n"/>
    </row>
    <row r="2007">
      <c r="A2007" s="2">
        <f>IF($A2000="","","   projections")</f>
        <v/>
      </c>
      <c r="B2007" s="99">
        <f>IF($A2000="",0,COUNT($E2008:$AR2008))</f>
        <v/>
      </c>
      <c r="C2007" s="100">
        <f>IF($B2007=0,0,MAX($E2008:$AR2008))</f>
        <v/>
      </c>
      <c r="D2007" s="101">
        <f>BDS($A2000,FLD_PROJ,"headers=y","startcol=1","endcol=3","dir=h")</f>
        <v/>
      </c>
      <c r="E2007" s="102" t="n"/>
      <c r="F2007" s="102" t="n"/>
      <c r="G2007" s="102" t="n"/>
      <c r="H2007" s="102" t="n"/>
      <c r="I2007" s="102" t="n"/>
      <c r="J2007" s="102" t="n"/>
      <c r="K2007" s="102" t="n"/>
      <c r="L2007" s="102" t="n"/>
      <c r="M2007" s="102" t="n"/>
      <c r="N2007" s="102" t="n"/>
      <c r="O2007" s="102" t="n"/>
      <c r="P2007" s="102" t="n"/>
      <c r="Q2007" s="102" t="n"/>
      <c r="R2007" s="102" t="n"/>
      <c r="S2007" s="102" t="n"/>
      <c r="T2007" s="102" t="n"/>
      <c r="U2007" s="102" t="n"/>
      <c r="V2007" s="102" t="n"/>
      <c r="W2007" s="102" t="n"/>
      <c r="X2007" s="102" t="n"/>
      <c r="Y2007" s="102" t="n"/>
      <c r="Z2007" s="102" t="n"/>
      <c r="AA2007" s="102" t="n"/>
      <c r="AB2007" s="102" t="n"/>
      <c r="AC2007" s="102" t="n"/>
      <c r="AD2007" s="102" t="n"/>
      <c r="AE2007" s="102" t="n"/>
      <c r="AF2007" s="102" t="n"/>
      <c r="AG2007" s="102" t="n"/>
      <c r="AH2007" s="102" t="n"/>
      <c r="AI2007" s="102" t="n"/>
      <c r="AJ2007" s="102" t="n"/>
      <c r="AK2007" s="102" t="n"/>
      <c r="AL2007" s="102" t="n"/>
      <c r="AM2007" s="102" t="n"/>
      <c r="AN2007" s="102" t="n"/>
      <c r="AO2007" s="102" t="n"/>
      <c r="AP2007" s="102" t="n"/>
      <c r="AQ2007" s="102" t="n"/>
      <c r="AR2007" s="102" t="n"/>
    </row>
    <row r="2008">
      <c r="D2008" s="102" t="n"/>
      <c r="E2008" s="102" t="n"/>
      <c r="F2008" s="102" t="n"/>
      <c r="G2008" s="102" t="n"/>
      <c r="H2008" s="102" t="n"/>
      <c r="I2008" s="102" t="n"/>
      <c r="J2008" s="102" t="n"/>
      <c r="K2008" s="102" t="n"/>
      <c r="L2008" s="102" t="n"/>
      <c r="M2008" s="102" t="n"/>
      <c r="N2008" s="102" t="n"/>
      <c r="O2008" s="102" t="n"/>
      <c r="P2008" s="102" t="n"/>
      <c r="Q2008" s="102" t="n"/>
      <c r="R2008" s="102" t="n"/>
      <c r="S2008" s="102" t="n"/>
      <c r="T2008" s="102" t="n"/>
      <c r="U2008" s="102" t="n"/>
      <c r="V2008" s="102" t="n"/>
      <c r="W2008" s="102" t="n"/>
      <c r="X2008" s="102" t="n"/>
      <c r="Y2008" s="102" t="n"/>
      <c r="Z2008" s="102" t="n"/>
      <c r="AA2008" s="102" t="n"/>
      <c r="AB2008" s="102" t="n"/>
      <c r="AC2008" s="102" t="n"/>
      <c r="AD2008" s="102" t="n"/>
      <c r="AE2008" s="102" t="n"/>
      <c r="AF2008" s="102" t="n"/>
      <c r="AG2008" s="102" t="n"/>
      <c r="AH2008" s="102" t="n"/>
      <c r="AI2008" s="102" t="n"/>
      <c r="AJ2008" s="102" t="n"/>
      <c r="AK2008" s="102" t="n"/>
      <c r="AL2008" s="102" t="n"/>
      <c r="AM2008" s="102" t="n"/>
      <c r="AN2008" s="102" t="n"/>
      <c r="AO2008" s="102" t="n"/>
      <c r="AP2008" s="102" t="n"/>
      <c r="AQ2008" s="102" t="n"/>
      <c r="AR2008" s="102" t="n"/>
    </row>
    <row r="2009">
      <c r="D2009" s="103" t="n"/>
      <c r="E2009" s="103" t="n"/>
      <c r="F2009" s="103" t="n"/>
      <c r="G2009" s="103" t="n"/>
      <c r="H2009" s="103" t="n"/>
      <c r="I2009" s="103" t="n"/>
      <c r="J2009" s="103" t="n"/>
      <c r="K2009" s="103" t="n"/>
      <c r="L2009" s="103" t="n"/>
      <c r="M2009" s="103" t="n"/>
      <c r="N2009" s="103" t="n"/>
      <c r="O2009" s="103" t="n"/>
      <c r="P2009" s="103" t="n"/>
      <c r="Q2009" s="103" t="n"/>
      <c r="R2009" s="103" t="n"/>
      <c r="S2009" s="103" t="n"/>
      <c r="T2009" s="103" t="n"/>
      <c r="U2009" s="103" t="n"/>
      <c r="V2009" s="103" t="n"/>
      <c r="W2009" s="103" t="n"/>
      <c r="X2009" s="103" t="n"/>
      <c r="Y2009" s="103" t="n"/>
      <c r="Z2009" s="103" t="n"/>
      <c r="AA2009" s="103" t="n"/>
      <c r="AB2009" s="103" t="n"/>
      <c r="AC2009" s="103" t="n"/>
      <c r="AD2009" s="103" t="n"/>
      <c r="AE2009" s="103" t="n"/>
      <c r="AF2009" s="103" t="n"/>
      <c r="AG2009" s="103" t="n"/>
      <c r="AH2009" s="103" t="n"/>
      <c r="AI2009" s="103" t="n"/>
      <c r="AJ2009" s="103" t="n"/>
      <c r="AK2009" s="103" t="n"/>
      <c r="AL2009" s="103" t="n"/>
      <c r="AM2009" s="103" t="n"/>
      <c r="AN2009" s="103" t="n"/>
      <c r="AO2009" s="103" t="n"/>
      <c r="AP2009" s="103" t="n"/>
      <c r="AQ2009" s="103" t="n"/>
      <c r="AR2009" s="103" t="n"/>
    </row>
    <row r="2011">
      <c r="A2011" s="8">
        <f>IF(HSCEI!$C$48="","",HSCEI!$C$48)</f>
        <v/>
      </c>
      <c r="B2011" s="99">
        <f>IF($A2011="",0,COUNT($E2012:$AR2012))</f>
        <v/>
      </c>
      <c r="C2011" s="100">
        <f>IF($B2011=0,0,MAX($E2012:$AR2012))</f>
        <v/>
      </c>
      <c r="D2011" s="101">
        <f>BDS($A2011,FLD_HIST,"headers=y","startcol=1","endcol=7","dir=h","DVD_START_DT",HIST_FROM,"DVD_END_DT",HIST_TO)</f>
        <v/>
      </c>
      <c r="E2011" s="102" t="n"/>
      <c r="F2011" s="102" t="n"/>
      <c r="G2011" s="102" t="n"/>
      <c r="H2011" s="102" t="n"/>
      <c r="I2011" s="102" t="n"/>
      <c r="J2011" s="102" t="n"/>
      <c r="K2011" s="102" t="n"/>
      <c r="L2011" s="102" t="n"/>
      <c r="M2011" s="102" t="n"/>
      <c r="N2011" s="102" t="n"/>
      <c r="O2011" s="102" t="n"/>
      <c r="P2011" s="102" t="n"/>
      <c r="Q2011" s="102" t="n"/>
      <c r="R2011" s="102" t="n"/>
      <c r="S2011" s="102" t="n"/>
      <c r="T2011" s="102" t="n"/>
      <c r="U2011" s="102" t="n"/>
      <c r="V2011" s="102" t="n"/>
      <c r="W2011" s="102" t="n"/>
      <c r="X2011" s="102" t="n"/>
      <c r="Y2011" s="102" t="n"/>
      <c r="Z2011" s="102" t="n"/>
      <c r="AA2011" s="102" t="n"/>
      <c r="AB2011" s="102" t="n"/>
      <c r="AC2011" s="102" t="n"/>
      <c r="AD2011" s="102" t="n"/>
      <c r="AE2011" s="102" t="n"/>
      <c r="AF2011" s="102" t="n"/>
      <c r="AG2011" s="102" t="n"/>
      <c r="AH2011" s="102" t="n"/>
      <c r="AI2011" s="102" t="n"/>
      <c r="AJ2011" s="102" t="n"/>
      <c r="AK2011" s="102" t="n"/>
      <c r="AL2011" s="102" t="n"/>
      <c r="AM2011" s="102" t="n"/>
      <c r="AN2011" s="102" t="n"/>
      <c r="AO2011" s="102" t="n"/>
      <c r="AP2011" s="102" t="n"/>
      <c r="AQ2011" s="102" t="n"/>
      <c r="AR2011" s="102" t="n"/>
    </row>
    <row r="2012">
      <c r="D2012" s="102" t="n"/>
      <c r="E2012" s="102" t="n"/>
      <c r="F2012" s="102" t="n"/>
      <c r="G2012" s="102" t="n"/>
      <c r="H2012" s="102" t="n"/>
      <c r="I2012" s="102" t="n"/>
      <c r="J2012" s="102" t="n"/>
      <c r="K2012" s="102" t="n"/>
      <c r="L2012" s="102" t="n"/>
      <c r="M2012" s="102" t="n"/>
      <c r="N2012" s="102" t="n"/>
      <c r="O2012" s="102" t="n"/>
      <c r="P2012" s="102" t="n"/>
      <c r="Q2012" s="102" t="n"/>
      <c r="R2012" s="102" t="n"/>
      <c r="S2012" s="102" t="n"/>
      <c r="T2012" s="102" t="n"/>
      <c r="U2012" s="102" t="n"/>
      <c r="V2012" s="102" t="n"/>
      <c r="W2012" s="102" t="n"/>
      <c r="X2012" s="102" t="n"/>
      <c r="Y2012" s="102" t="n"/>
      <c r="Z2012" s="102" t="n"/>
      <c r="AA2012" s="102" t="n"/>
      <c r="AB2012" s="102" t="n"/>
      <c r="AC2012" s="102" t="n"/>
      <c r="AD2012" s="102" t="n"/>
      <c r="AE2012" s="102" t="n"/>
      <c r="AF2012" s="102" t="n"/>
      <c r="AG2012" s="102" t="n"/>
      <c r="AH2012" s="102" t="n"/>
      <c r="AI2012" s="102" t="n"/>
      <c r="AJ2012" s="102" t="n"/>
      <c r="AK2012" s="102" t="n"/>
      <c r="AL2012" s="102" t="n"/>
      <c r="AM2012" s="102" t="n"/>
      <c r="AN2012" s="102" t="n"/>
      <c r="AO2012" s="102" t="n"/>
      <c r="AP2012" s="102" t="n"/>
      <c r="AQ2012" s="102" t="n"/>
      <c r="AR2012" s="102" t="n"/>
    </row>
    <row r="2013">
      <c r="D2013" s="102" t="n"/>
      <c r="E2013" s="102" t="n"/>
      <c r="F2013" s="102" t="n"/>
      <c r="G2013" s="102" t="n"/>
      <c r="H2013" s="102" t="n"/>
      <c r="I2013" s="102" t="n"/>
      <c r="J2013" s="102" t="n"/>
      <c r="K2013" s="102" t="n"/>
      <c r="L2013" s="102" t="n"/>
      <c r="M2013" s="102" t="n"/>
      <c r="N2013" s="102" t="n"/>
      <c r="O2013" s="102" t="n"/>
      <c r="P2013" s="102" t="n"/>
      <c r="Q2013" s="102" t="n"/>
      <c r="R2013" s="102" t="n"/>
      <c r="S2013" s="102" t="n"/>
      <c r="T2013" s="102" t="n"/>
      <c r="U2013" s="102" t="n"/>
      <c r="V2013" s="102" t="n"/>
      <c r="W2013" s="102" t="n"/>
      <c r="X2013" s="102" t="n"/>
      <c r="Y2013" s="102" t="n"/>
      <c r="Z2013" s="102" t="n"/>
      <c r="AA2013" s="102" t="n"/>
      <c r="AB2013" s="102" t="n"/>
      <c r="AC2013" s="102" t="n"/>
      <c r="AD2013" s="102" t="n"/>
      <c r="AE2013" s="102" t="n"/>
      <c r="AF2013" s="102" t="n"/>
      <c r="AG2013" s="102" t="n"/>
      <c r="AH2013" s="102" t="n"/>
      <c r="AI2013" s="102" t="n"/>
      <c r="AJ2013" s="102" t="n"/>
      <c r="AK2013" s="102" t="n"/>
      <c r="AL2013" s="102" t="n"/>
      <c r="AM2013" s="102" t="n"/>
      <c r="AN2013" s="102" t="n"/>
      <c r="AO2013" s="102" t="n"/>
      <c r="AP2013" s="102" t="n"/>
      <c r="AQ2013" s="102" t="n"/>
      <c r="AR2013" s="102" t="n"/>
    </row>
    <row r="2014">
      <c r="D2014" s="102" t="n"/>
      <c r="E2014" s="102" t="n"/>
      <c r="F2014" s="102" t="n"/>
      <c r="G2014" s="102" t="n"/>
      <c r="H2014" s="102" t="n"/>
      <c r="I2014" s="102" t="n"/>
      <c r="J2014" s="102" t="n"/>
      <c r="K2014" s="102" t="n"/>
      <c r="L2014" s="102" t="n"/>
      <c r="M2014" s="102" t="n"/>
      <c r="N2014" s="102" t="n"/>
      <c r="O2014" s="102" t="n"/>
      <c r="P2014" s="102" t="n"/>
      <c r="Q2014" s="102" t="n"/>
      <c r="R2014" s="102" t="n"/>
      <c r="S2014" s="102" t="n"/>
      <c r="T2014" s="102" t="n"/>
      <c r="U2014" s="102" t="n"/>
      <c r="V2014" s="102" t="n"/>
      <c r="W2014" s="102" t="n"/>
      <c r="X2014" s="102" t="n"/>
      <c r="Y2014" s="102" t="n"/>
      <c r="Z2014" s="102" t="n"/>
      <c r="AA2014" s="102" t="n"/>
      <c r="AB2014" s="102" t="n"/>
      <c r="AC2014" s="102" t="n"/>
      <c r="AD2014" s="102" t="n"/>
      <c r="AE2014" s="102" t="n"/>
      <c r="AF2014" s="102" t="n"/>
      <c r="AG2014" s="102" t="n"/>
      <c r="AH2014" s="102" t="n"/>
      <c r="AI2014" s="102" t="n"/>
      <c r="AJ2014" s="102" t="n"/>
      <c r="AK2014" s="102" t="n"/>
      <c r="AL2014" s="102" t="n"/>
      <c r="AM2014" s="102" t="n"/>
      <c r="AN2014" s="102" t="n"/>
      <c r="AO2014" s="102" t="n"/>
      <c r="AP2014" s="102" t="n"/>
      <c r="AQ2014" s="102" t="n"/>
      <c r="AR2014" s="102" t="n"/>
    </row>
    <row r="2015">
      <c r="D2015" s="103" t="n"/>
      <c r="E2015" s="103" t="n"/>
      <c r="F2015" s="103" t="n"/>
      <c r="G2015" s="103" t="n"/>
      <c r="H2015" s="103" t="n"/>
      <c r="I2015" s="103" t="n"/>
      <c r="J2015" s="103" t="n"/>
      <c r="K2015" s="103" t="n"/>
      <c r="L2015" s="103" t="n"/>
      <c r="M2015" s="103" t="n"/>
      <c r="N2015" s="103" t="n"/>
      <c r="O2015" s="103" t="n"/>
      <c r="P2015" s="103" t="n"/>
      <c r="Q2015" s="103" t="n"/>
      <c r="R2015" s="103" t="n"/>
      <c r="S2015" s="103" t="n"/>
      <c r="T2015" s="103" t="n"/>
      <c r="U2015" s="103" t="n"/>
      <c r="V2015" s="103" t="n"/>
      <c r="W2015" s="103" t="n"/>
      <c r="X2015" s="103" t="n"/>
      <c r="Y2015" s="103" t="n"/>
      <c r="Z2015" s="103" t="n"/>
      <c r="AA2015" s="103" t="n"/>
      <c r="AB2015" s="103" t="n"/>
      <c r="AC2015" s="103" t="n"/>
      <c r="AD2015" s="103" t="n"/>
      <c r="AE2015" s="103" t="n"/>
      <c r="AF2015" s="103" t="n"/>
      <c r="AG2015" s="103" t="n"/>
      <c r="AH2015" s="103" t="n"/>
      <c r="AI2015" s="103" t="n"/>
      <c r="AJ2015" s="103" t="n"/>
      <c r="AK2015" s="103" t="n"/>
      <c r="AL2015" s="103" t="n"/>
      <c r="AM2015" s="103" t="n"/>
      <c r="AN2015" s="103" t="n"/>
      <c r="AO2015" s="103" t="n"/>
      <c r="AP2015" s="103" t="n"/>
      <c r="AQ2015" s="103" t="n"/>
      <c r="AR2015" s="103" t="n"/>
    </row>
    <row r="2018">
      <c r="A2018" s="2">
        <f>IF($A2011="","","   projections")</f>
        <v/>
      </c>
      <c r="B2018" s="99">
        <f>IF($A2011="",0,COUNT($E2019:$AR2019))</f>
        <v/>
      </c>
      <c r="C2018" s="100">
        <f>IF($B2018=0,0,MAX($E2019:$AR2019))</f>
        <v/>
      </c>
      <c r="D2018" s="101">
        <f>BDS($A2011,FLD_PROJ,"headers=y","startcol=1","endcol=3","dir=h")</f>
        <v/>
      </c>
      <c r="E2018" s="102" t="n"/>
      <c r="F2018" s="102" t="n"/>
      <c r="G2018" s="102" t="n"/>
      <c r="H2018" s="102" t="n"/>
      <c r="I2018" s="102" t="n"/>
      <c r="J2018" s="102" t="n"/>
      <c r="K2018" s="102" t="n"/>
      <c r="L2018" s="102" t="n"/>
      <c r="M2018" s="102" t="n"/>
      <c r="N2018" s="102" t="n"/>
      <c r="O2018" s="102" t="n"/>
      <c r="P2018" s="102" t="n"/>
      <c r="Q2018" s="102" t="n"/>
      <c r="R2018" s="102" t="n"/>
      <c r="S2018" s="102" t="n"/>
      <c r="T2018" s="102" t="n"/>
      <c r="U2018" s="102" t="n"/>
      <c r="V2018" s="102" t="n"/>
      <c r="W2018" s="102" t="n"/>
      <c r="X2018" s="102" t="n"/>
      <c r="Y2018" s="102" t="n"/>
      <c r="Z2018" s="102" t="n"/>
      <c r="AA2018" s="102" t="n"/>
      <c r="AB2018" s="102" t="n"/>
      <c r="AC2018" s="102" t="n"/>
      <c r="AD2018" s="102" t="n"/>
      <c r="AE2018" s="102" t="n"/>
      <c r="AF2018" s="102" t="n"/>
      <c r="AG2018" s="102" t="n"/>
      <c r="AH2018" s="102" t="n"/>
      <c r="AI2018" s="102" t="n"/>
      <c r="AJ2018" s="102" t="n"/>
      <c r="AK2018" s="102" t="n"/>
      <c r="AL2018" s="102" t="n"/>
      <c r="AM2018" s="102" t="n"/>
      <c r="AN2018" s="102" t="n"/>
      <c r="AO2018" s="102" t="n"/>
      <c r="AP2018" s="102" t="n"/>
      <c r="AQ2018" s="102" t="n"/>
      <c r="AR2018" s="102" t="n"/>
    </row>
    <row r="2019">
      <c r="D2019" s="102" t="n"/>
      <c r="E2019" s="102" t="n"/>
      <c r="F2019" s="102" t="n"/>
      <c r="G2019" s="102" t="n"/>
      <c r="H2019" s="102" t="n"/>
      <c r="I2019" s="102" t="n"/>
      <c r="J2019" s="102" t="n"/>
      <c r="K2019" s="102" t="n"/>
      <c r="L2019" s="102" t="n"/>
      <c r="M2019" s="102" t="n"/>
      <c r="N2019" s="102" t="n"/>
      <c r="O2019" s="102" t="n"/>
      <c r="P2019" s="102" t="n"/>
      <c r="Q2019" s="102" t="n"/>
      <c r="R2019" s="102" t="n"/>
      <c r="S2019" s="102" t="n"/>
      <c r="T2019" s="102" t="n"/>
      <c r="U2019" s="102" t="n"/>
      <c r="V2019" s="102" t="n"/>
      <c r="W2019" s="102" t="n"/>
      <c r="X2019" s="102" t="n"/>
      <c r="Y2019" s="102" t="n"/>
      <c r="Z2019" s="102" t="n"/>
      <c r="AA2019" s="102" t="n"/>
      <c r="AB2019" s="102" t="n"/>
      <c r="AC2019" s="102" t="n"/>
      <c r="AD2019" s="102" t="n"/>
      <c r="AE2019" s="102" t="n"/>
      <c r="AF2019" s="102" t="n"/>
      <c r="AG2019" s="102" t="n"/>
      <c r="AH2019" s="102" t="n"/>
      <c r="AI2019" s="102" t="n"/>
      <c r="AJ2019" s="102" t="n"/>
      <c r="AK2019" s="102" t="n"/>
      <c r="AL2019" s="102" t="n"/>
      <c r="AM2019" s="102" t="n"/>
      <c r="AN2019" s="102" t="n"/>
      <c r="AO2019" s="102" t="n"/>
      <c r="AP2019" s="102" t="n"/>
      <c r="AQ2019" s="102" t="n"/>
      <c r="AR2019" s="102" t="n"/>
    </row>
    <row r="2020">
      <c r="D2020" s="103" t="n"/>
      <c r="E2020" s="103" t="n"/>
      <c r="F2020" s="103" t="n"/>
      <c r="G2020" s="103" t="n"/>
      <c r="H2020" s="103" t="n"/>
      <c r="I2020" s="103" t="n"/>
      <c r="J2020" s="103" t="n"/>
      <c r="K2020" s="103" t="n"/>
      <c r="L2020" s="103" t="n"/>
      <c r="M2020" s="103" t="n"/>
      <c r="N2020" s="103" t="n"/>
      <c r="O2020" s="103" t="n"/>
      <c r="P2020" s="103" t="n"/>
      <c r="Q2020" s="103" t="n"/>
      <c r="R2020" s="103" t="n"/>
      <c r="S2020" s="103" t="n"/>
      <c r="T2020" s="103" t="n"/>
      <c r="U2020" s="103" t="n"/>
      <c r="V2020" s="103" t="n"/>
      <c r="W2020" s="103" t="n"/>
      <c r="X2020" s="103" t="n"/>
      <c r="Y2020" s="103" t="n"/>
      <c r="Z2020" s="103" t="n"/>
      <c r="AA2020" s="103" t="n"/>
      <c r="AB2020" s="103" t="n"/>
      <c r="AC2020" s="103" t="n"/>
      <c r="AD2020" s="103" t="n"/>
      <c r="AE2020" s="103" t="n"/>
      <c r="AF2020" s="103" t="n"/>
      <c r="AG2020" s="103" t="n"/>
      <c r="AH2020" s="103" t="n"/>
      <c r="AI2020" s="103" t="n"/>
      <c r="AJ2020" s="103" t="n"/>
      <c r="AK2020" s="103" t="n"/>
      <c r="AL2020" s="103" t="n"/>
      <c r="AM2020" s="103" t="n"/>
      <c r="AN2020" s="103" t="n"/>
      <c r="AO2020" s="103" t="n"/>
      <c r="AP2020" s="103" t="n"/>
      <c r="AQ2020" s="103" t="n"/>
      <c r="AR2020" s="103" t="n"/>
    </row>
    <row r="2022">
      <c r="A2022" s="8">
        <f>IF(HSCEI!$C$49="","",HSCEI!$C$49)</f>
        <v/>
      </c>
      <c r="B2022" s="99">
        <f>IF($A2022="",0,COUNT($E2023:$AR2023))</f>
        <v/>
      </c>
      <c r="C2022" s="100">
        <f>IF($B2022=0,0,MAX($E2023:$AR2023))</f>
        <v/>
      </c>
      <c r="D2022" s="101">
        <f>BDS($A2022,FLD_HIST,"headers=y","startcol=1","endcol=7","dir=h","DVD_START_DT",HIST_FROM,"DVD_END_DT",HIST_TO)</f>
        <v/>
      </c>
      <c r="E2022" s="102" t="n"/>
      <c r="F2022" s="102" t="n"/>
      <c r="G2022" s="102" t="n"/>
      <c r="H2022" s="102" t="n"/>
      <c r="I2022" s="102" t="n"/>
      <c r="J2022" s="102" t="n"/>
      <c r="K2022" s="102" t="n"/>
      <c r="L2022" s="102" t="n"/>
      <c r="M2022" s="102" t="n"/>
      <c r="N2022" s="102" t="n"/>
      <c r="O2022" s="102" t="n"/>
      <c r="P2022" s="102" t="n"/>
      <c r="Q2022" s="102" t="n"/>
      <c r="R2022" s="102" t="n"/>
      <c r="S2022" s="102" t="n"/>
      <c r="T2022" s="102" t="n"/>
      <c r="U2022" s="102" t="n"/>
      <c r="V2022" s="102" t="n"/>
      <c r="W2022" s="102" t="n"/>
      <c r="X2022" s="102" t="n"/>
      <c r="Y2022" s="102" t="n"/>
      <c r="Z2022" s="102" t="n"/>
      <c r="AA2022" s="102" t="n"/>
      <c r="AB2022" s="102" t="n"/>
      <c r="AC2022" s="102" t="n"/>
      <c r="AD2022" s="102" t="n"/>
      <c r="AE2022" s="102" t="n"/>
      <c r="AF2022" s="102" t="n"/>
      <c r="AG2022" s="102" t="n"/>
      <c r="AH2022" s="102" t="n"/>
      <c r="AI2022" s="102" t="n"/>
      <c r="AJ2022" s="102" t="n"/>
      <c r="AK2022" s="102" t="n"/>
      <c r="AL2022" s="102" t="n"/>
      <c r="AM2022" s="102" t="n"/>
      <c r="AN2022" s="102" t="n"/>
      <c r="AO2022" s="102" t="n"/>
      <c r="AP2022" s="102" t="n"/>
      <c r="AQ2022" s="102" t="n"/>
      <c r="AR2022" s="102" t="n"/>
    </row>
    <row r="2023">
      <c r="D2023" s="102" t="n"/>
      <c r="E2023" s="102" t="n"/>
      <c r="F2023" s="102" t="n"/>
      <c r="G2023" s="102" t="n"/>
      <c r="H2023" s="102" t="n"/>
      <c r="I2023" s="102" t="n"/>
      <c r="J2023" s="102" t="n"/>
      <c r="K2023" s="102" t="n"/>
      <c r="L2023" s="102" t="n"/>
      <c r="M2023" s="102" t="n"/>
      <c r="N2023" s="102" t="n"/>
      <c r="O2023" s="102" t="n"/>
      <c r="P2023" s="102" t="n"/>
      <c r="Q2023" s="102" t="n"/>
      <c r="R2023" s="102" t="n"/>
      <c r="S2023" s="102" t="n"/>
      <c r="T2023" s="102" t="n"/>
      <c r="U2023" s="102" t="n"/>
      <c r="V2023" s="102" t="n"/>
      <c r="W2023" s="102" t="n"/>
      <c r="X2023" s="102" t="n"/>
      <c r="Y2023" s="102" t="n"/>
      <c r="Z2023" s="102" t="n"/>
      <c r="AA2023" s="102" t="n"/>
      <c r="AB2023" s="102" t="n"/>
      <c r="AC2023" s="102" t="n"/>
      <c r="AD2023" s="102" t="n"/>
      <c r="AE2023" s="102" t="n"/>
      <c r="AF2023" s="102" t="n"/>
      <c r="AG2023" s="102" t="n"/>
      <c r="AH2023" s="102" t="n"/>
      <c r="AI2023" s="102" t="n"/>
      <c r="AJ2023" s="102" t="n"/>
      <c r="AK2023" s="102" t="n"/>
      <c r="AL2023" s="102" t="n"/>
      <c r="AM2023" s="102" t="n"/>
      <c r="AN2023" s="102" t="n"/>
      <c r="AO2023" s="102" t="n"/>
      <c r="AP2023" s="102" t="n"/>
      <c r="AQ2023" s="102" t="n"/>
      <c r="AR2023" s="102" t="n"/>
    </row>
    <row r="2024">
      <c r="D2024" s="102" t="n"/>
      <c r="E2024" s="102" t="n"/>
      <c r="F2024" s="102" t="n"/>
      <c r="G2024" s="102" t="n"/>
      <c r="H2024" s="102" t="n"/>
      <c r="I2024" s="102" t="n"/>
      <c r="J2024" s="102" t="n"/>
      <c r="K2024" s="102" t="n"/>
      <c r="L2024" s="102" t="n"/>
      <c r="M2024" s="102" t="n"/>
      <c r="N2024" s="102" t="n"/>
      <c r="O2024" s="102" t="n"/>
      <c r="P2024" s="102" t="n"/>
      <c r="Q2024" s="102" t="n"/>
      <c r="R2024" s="102" t="n"/>
      <c r="S2024" s="102" t="n"/>
      <c r="T2024" s="102" t="n"/>
      <c r="U2024" s="102" t="n"/>
      <c r="V2024" s="102" t="n"/>
      <c r="W2024" s="102" t="n"/>
      <c r="X2024" s="102" t="n"/>
      <c r="Y2024" s="102" t="n"/>
      <c r="Z2024" s="102" t="n"/>
      <c r="AA2024" s="102" t="n"/>
      <c r="AB2024" s="102" t="n"/>
      <c r="AC2024" s="102" t="n"/>
      <c r="AD2024" s="102" t="n"/>
      <c r="AE2024" s="102" t="n"/>
      <c r="AF2024" s="102" t="n"/>
      <c r="AG2024" s="102" t="n"/>
      <c r="AH2024" s="102" t="n"/>
      <c r="AI2024" s="102" t="n"/>
      <c r="AJ2024" s="102" t="n"/>
      <c r="AK2024" s="102" t="n"/>
      <c r="AL2024" s="102" t="n"/>
      <c r="AM2024" s="102" t="n"/>
      <c r="AN2024" s="102" t="n"/>
      <c r="AO2024" s="102" t="n"/>
      <c r="AP2024" s="102" t="n"/>
      <c r="AQ2024" s="102" t="n"/>
      <c r="AR2024" s="102" t="n"/>
    </row>
    <row r="2025">
      <c r="D2025" s="102" t="n"/>
      <c r="E2025" s="102" t="n"/>
      <c r="F2025" s="102" t="n"/>
      <c r="G2025" s="102" t="n"/>
      <c r="H2025" s="102" t="n"/>
      <c r="I2025" s="102" t="n"/>
      <c r="J2025" s="102" t="n"/>
      <c r="K2025" s="102" t="n"/>
      <c r="L2025" s="102" t="n"/>
      <c r="M2025" s="102" t="n"/>
      <c r="N2025" s="102" t="n"/>
      <c r="O2025" s="102" t="n"/>
      <c r="P2025" s="102" t="n"/>
      <c r="Q2025" s="102" t="n"/>
      <c r="R2025" s="102" t="n"/>
      <c r="S2025" s="102" t="n"/>
      <c r="T2025" s="102" t="n"/>
      <c r="U2025" s="102" t="n"/>
      <c r="V2025" s="102" t="n"/>
      <c r="W2025" s="102" t="n"/>
      <c r="X2025" s="102" t="n"/>
      <c r="Y2025" s="102" t="n"/>
      <c r="Z2025" s="102" t="n"/>
      <c r="AA2025" s="102" t="n"/>
      <c r="AB2025" s="102" t="n"/>
      <c r="AC2025" s="102" t="n"/>
      <c r="AD2025" s="102" t="n"/>
      <c r="AE2025" s="102" t="n"/>
      <c r="AF2025" s="102" t="n"/>
      <c r="AG2025" s="102" t="n"/>
      <c r="AH2025" s="102" t="n"/>
      <c r="AI2025" s="102" t="n"/>
      <c r="AJ2025" s="102" t="n"/>
      <c r="AK2025" s="102" t="n"/>
      <c r="AL2025" s="102" t="n"/>
      <c r="AM2025" s="102" t="n"/>
      <c r="AN2025" s="102" t="n"/>
      <c r="AO2025" s="102" t="n"/>
      <c r="AP2025" s="102" t="n"/>
      <c r="AQ2025" s="102" t="n"/>
      <c r="AR2025" s="102" t="n"/>
    </row>
    <row r="2026">
      <c r="D2026" s="103" t="n"/>
      <c r="E2026" s="103" t="n"/>
      <c r="F2026" s="103" t="n"/>
      <c r="G2026" s="103" t="n"/>
      <c r="H2026" s="103" t="n"/>
      <c r="I2026" s="103" t="n"/>
      <c r="J2026" s="103" t="n"/>
      <c r="K2026" s="103" t="n"/>
      <c r="L2026" s="103" t="n"/>
      <c r="M2026" s="103" t="n"/>
      <c r="N2026" s="103" t="n"/>
      <c r="O2026" s="103" t="n"/>
      <c r="P2026" s="103" t="n"/>
      <c r="Q2026" s="103" t="n"/>
      <c r="R2026" s="103" t="n"/>
      <c r="S2026" s="103" t="n"/>
      <c r="T2026" s="103" t="n"/>
      <c r="U2026" s="103" t="n"/>
      <c r="V2026" s="103" t="n"/>
      <c r="W2026" s="103" t="n"/>
      <c r="X2026" s="103" t="n"/>
      <c r="Y2026" s="103" t="n"/>
      <c r="Z2026" s="103" t="n"/>
      <c r="AA2026" s="103" t="n"/>
      <c r="AB2026" s="103" t="n"/>
      <c r="AC2026" s="103" t="n"/>
      <c r="AD2026" s="103" t="n"/>
      <c r="AE2026" s="103" t="n"/>
      <c r="AF2026" s="103" t="n"/>
      <c r="AG2026" s="103" t="n"/>
      <c r="AH2026" s="103" t="n"/>
      <c r="AI2026" s="103" t="n"/>
      <c r="AJ2026" s="103" t="n"/>
      <c r="AK2026" s="103" t="n"/>
      <c r="AL2026" s="103" t="n"/>
      <c r="AM2026" s="103" t="n"/>
      <c r="AN2026" s="103" t="n"/>
      <c r="AO2026" s="103" t="n"/>
      <c r="AP2026" s="103" t="n"/>
      <c r="AQ2026" s="103" t="n"/>
      <c r="AR2026" s="103" t="n"/>
    </row>
    <row r="2029">
      <c r="A2029" s="2">
        <f>IF($A2022="","","   projections")</f>
        <v/>
      </c>
      <c r="B2029" s="99">
        <f>IF($A2022="",0,COUNT($E2030:$AR2030))</f>
        <v/>
      </c>
      <c r="C2029" s="100">
        <f>IF($B2029=0,0,MAX($E2030:$AR2030))</f>
        <v/>
      </c>
      <c r="D2029" s="101">
        <f>BDS($A2022,FLD_PROJ,"headers=y","startcol=1","endcol=3","dir=h")</f>
        <v/>
      </c>
      <c r="E2029" s="102" t="n"/>
      <c r="F2029" s="102" t="n"/>
      <c r="G2029" s="102" t="n"/>
      <c r="H2029" s="102" t="n"/>
      <c r="I2029" s="102" t="n"/>
      <c r="J2029" s="102" t="n"/>
      <c r="K2029" s="102" t="n"/>
      <c r="L2029" s="102" t="n"/>
      <c r="M2029" s="102" t="n"/>
      <c r="N2029" s="102" t="n"/>
      <c r="O2029" s="102" t="n"/>
      <c r="P2029" s="102" t="n"/>
      <c r="Q2029" s="102" t="n"/>
      <c r="R2029" s="102" t="n"/>
      <c r="S2029" s="102" t="n"/>
      <c r="T2029" s="102" t="n"/>
      <c r="U2029" s="102" t="n"/>
      <c r="V2029" s="102" t="n"/>
      <c r="W2029" s="102" t="n"/>
      <c r="X2029" s="102" t="n"/>
      <c r="Y2029" s="102" t="n"/>
      <c r="Z2029" s="102" t="n"/>
      <c r="AA2029" s="102" t="n"/>
      <c r="AB2029" s="102" t="n"/>
      <c r="AC2029" s="102" t="n"/>
      <c r="AD2029" s="102" t="n"/>
      <c r="AE2029" s="102" t="n"/>
      <c r="AF2029" s="102" t="n"/>
      <c r="AG2029" s="102" t="n"/>
      <c r="AH2029" s="102" t="n"/>
      <c r="AI2029" s="102" t="n"/>
      <c r="AJ2029" s="102" t="n"/>
      <c r="AK2029" s="102" t="n"/>
      <c r="AL2029" s="102" t="n"/>
      <c r="AM2029" s="102" t="n"/>
      <c r="AN2029" s="102" t="n"/>
      <c r="AO2029" s="102" t="n"/>
      <c r="AP2029" s="102" t="n"/>
      <c r="AQ2029" s="102" t="n"/>
      <c r="AR2029" s="102" t="n"/>
    </row>
    <row r="2030">
      <c r="D2030" s="102" t="n"/>
      <c r="E2030" s="102" t="n"/>
      <c r="F2030" s="102" t="n"/>
      <c r="G2030" s="102" t="n"/>
      <c r="H2030" s="102" t="n"/>
      <c r="I2030" s="102" t="n"/>
      <c r="J2030" s="102" t="n"/>
      <c r="K2030" s="102" t="n"/>
      <c r="L2030" s="102" t="n"/>
      <c r="M2030" s="102" t="n"/>
      <c r="N2030" s="102" t="n"/>
      <c r="O2030" s="102" t="n"/>
      <c r="P2030" s="102" t="n"/>
      <c r="Q2030" s="102" t="n"/>
      <c r="R2030" s="102" t="n"/>
      <c r="S2030" s="102" t="n"/>
      <c r="T2030" s="102" t="n"/>
      <c r="U2030" s="102" t="n"/>
      <c r="V2030" s="102" t="n"/>
      <c r="W2030" s="102" t="n"/>
      <c r="X2030" s="102" t="n"/>
      <c r="Y2030" s="102" t="n"/>
      <c r="Z2030" s="102" t="n"/>
      <c r="AA2030" s="102" t="n"/>
      <c r="AB2030" s="102" t="n"/>
      <c r="AC2030" s="102" t="n"/>
      <c r="AD2030" s="102" t="n"/>
      <c r="AE2030" s="102" t="n"/>
      <c r="AF2030" s="102" t="n"/>
      <c r="AG2030" s="102" t="n"/>
      <c r="AH2030" s="102" t="n"/>
      <c r="AI2030" s="102" t="n"/>
      <c r="AJ2030" s="102" t="n"/>
      <c r="AK2030" s="102" t="n"/>
      <c r="AL2030" s="102" t="n"/>
      <c r="AM2030" s="102" t="n"/>
      <c r="AN2030" s="102" t="n"/>
      <c r="AO2030" s="102" t="n"/>
      <c r="AP2030" s="102" t="n"/>
      <c r="AQ2030" s="102" t="n"/>
      <c r="AR2030" s="102" t="n"/>
    </row>
    <row r="2031">
      <c r="D2031" s="103" t="n"/>
      <c r="E2031" s="103" t="n"/>
      <c r="F2031" s="103" t="n"/>
      <c r="G2031" s="103" t="n"/>
      <c r="H2031" s="103" t="n"/>
      <c r="I2031" s="103" t="n"/>
      <c r="J2031" s="103" t="n"/>
      <c r="K2031" s="103" t="n"/>
      <c r="L2031" s="103" t="n"/>
      <c r="M2031" s="103" t="n"/>
      <c r="N2031" s="103" t="n"/>
      <c r="O2031" s="103" t="n"/>
      <c r="P2031" s="103" t="n"/>
      <c r="Q2031" s="103" t="n"/>
      <c r="R2031" s="103" t="n"/>
      <c r="S2031" s="103" t="n"/>
      <c r="T2031" s="103" t="n"/>
      <c r="U2031" s="103" t="n"/>
      <c r="V2031" s="103" t="n"/>
      <c r="W2031" s="103" t="n"/>
      <c r="X2031" s="103" t="n"/>
      <c r="Y2031" s="103" t="n"/>
      <c r="Z2031" s="103" t="n"/>
      <c r="AA2031" s="103" t="n"/>
      <c r="AB2031" s="103" t="n"/>
      <c r="AC2031" s="103" t="n"/>
      <c r="AD2031" s="103" t="n"/>
      <c r="AE2031" s="103" t="n"/>
      <c r="AF2031" s="103" t="n"/>
      <c r="AG2031" s="103" t="n"/>
      <c r="AH2031" s="103" t="n"/>
      <c r="AI2031" s="103" t="n"/>
      <c r="AJ2031" s="103" t="n"/>
      <c r="AK2031" s="103" t="n"/>
      <c r="AL2031" s="103" t="n"/>
      <c r="AM2031" s="103" t="n"/>
      <c r="AN2031" s="103" t="n"/>
      <c r="AO2031" s="103" t="n"/>
      <c r="AP2031" s="103" t="n"/>
      <c r="AQ2031" s="103" t="n"/>
      <c r="AR2031" s="103" t="n"/>
    </row>
    <row r="2033">
      <c r="A2033" s="8">
        <f>IF(HSCEI!$C$50="","",HSCEI!$C$50)</f>
        <v/>
      </c>
      <c r="B2033" s="99">
        <f>IF($A2033="",0,COUNT($E2034:$AR2034))</f>
        <v/>
      </c>
      <c r="C2033" s="100">
        <f>IF($B2033=0,0,MAX($E2034:$AR2034))</f>
        <v/>
      </c>
      <c r="D2033" s="101">
        <f>BDS($A2033,FLD_HIST,"headers=y","startcol=1","endcol=7","dir=h","DVD_START_DT",HIST_FROM,"DVD_END_DT",HIST_TO)</f>
        <v/>
      </c>
      <c r="E2033" s="102" t="n"/>
      <c r="F2033" s="102" t="n"/>
      <c r="G2033" s="102" t="n"/>
      <c r="H2033" s="102" t="n"/>
      <c r="I2033" s="102" t="n"/>
      <c r="J2033" s="102" t="n"/>
      <c r="K2033" s="102" t="n"/>
      <c r="L2033" s="102" t="n"/>
      <c r="M2033" s="102" t="n"/>
      <c r="N2033" s="102" t="n"/>
      <c r="O2033" s="102" t="n"/>
      <c r="P2033" s="102" t="n"/>
      <c r="Q2033" s="102" t="n"/>
      <c r="R2033" s="102" t="n"/>
      <c r="S2033" s="102" t="n"/>
      <c r="T2033" s="102" t="n"/>
      <c r="U2033" s="102" t="n"/>
      <c r="V2033" s="102" t="n"/>
      <c r="W2033" s="102" t="n"/>
      <c r="X2033" s="102" t="n"/>
      <c r="Y2033" s="102" t="n"/>
      <c r="Z2033" s="102" t="n"/>
      <c r="AA2033" s="102" t="n"/>
      <c r="AB2033" s="102" t="n"/>
      <c r="AC2033" s="102" t="n"/>
      <c r="AD2033" s="102" t="n"/>
      <c r="AE2033" s="102" t="n"/>
      <c r="AF2033" s="102" t="n"/>
      <c r="AG2033" s="102" t="n"/>
      <c r="AH2033" s="102" t="n"/>
      <c r="AI2033" s="102" t="n"/>
      <c r="AJ2033" s="102" t="n"/>
      <c r="AK2033" s="102" t="n"/>
      <c r="AL2033" s="102" t="n"/>
      <c r="AM2033" s="102" t="n"/>
      <c r="AN2033" s="102" t="n"/>
      <c r="AO2033" s="102" t="n"/>
      <c r="AP2033" s="102" t="n"/>
      <c r="AQ2033" s="102" t="n"/>
      <c r="AR2033" s="102" t="n"/>
    </row>
    <row r="2034">
      <c r="D2034" s="102" t="n"/>
      <c r="E2034" s="102" t="n"/>
      <c r="F2034" s="102" t="n"/>
      <c r="G2034" s="102" t="n"/>
      <c r="H2034" s="102" t="n"/>
      <c r="I2034" s="102" t="n"/>
      <c r="J2034" s="102" t="n"/>
      <c r="K2034" s="102" t="n"/>
      <c r="L2034" s="102" t="n"/>
      <c r="M2034" s="102" t="n"/>
      <c r="N2034" s="102" t="n"/>
      <c r="O2034" s="102" t="n"/>
      <c r="P2034" s="102" t="n"/>
      <c r="Q2034" s="102" t="n"/>
      <c r="R2034" s="102" t="n"/>
      <c r="S2034" s="102" t="n"/>
      <c r="T2034" s="102" t="n"/>
      <c r="U2034" s="102" t="n"/>
      <c r="V2034" s="102" t="n"/>
      <c r="W2034" s="102" t="n"/>
      <c r="X2034" s="102" t="n"/>
      <c r="Y2034" s="102" t="n"/>
      <c r="Z2034" s="102" t="n"/>
      <c r="AA2034" s="102" t="n"/>
      <c r="AB2034" s="102" t="n"/>
      <c r="AC2034" s="102" t="n"/>
      <c r="AD2034" s="102" t="n"/>
      <c r="AE2034" s="102" t="n"/>
      <c r="AF2034" s="102" t="n"/>
      <c r="AG2034" s="102" t="n"/>
      <c r="AH2034" s="102" t="n"/>
      <c r="AI2034" s="102" t="n"/>
      <c r="AJ2034" s="102" t="n"/>
      <c r="AK2034" s="102" t="n"/>
      <c r="AL2034" s="102" t="n"/>
      <c r="AM2034" s="102" t="n"/>
      <c r="AN2034" s="102" t="n"/>
      <c r="AO2034" s="102" t="n"/>
      <c r="AP2034" s="102" t="n"/>
      <c r="AQ2034" s="102" t="n"/>
      <c r="AR2034" s="102" t="n"/>
    </row>
    <row r="2035">
      <c r="D2035" s="102" t="n"/>
      <c r="E2035" s="102" t="n"/>
      <c r="F2035" s="102" t="n"/>
      <c r="G2035" s="102" t="n"/>
      <c r="H2035" s="102" t="n"/>
      <c r="I2035" s="102" t="n"/>
      <c r="J2035" s="102" t="n"/>
      <c r="K2035" s="102" t="n"/>
      <c r="L2035" s="102" t="n"/>
      <c r="M2035" s="102" t="n"/>
      <c r="N2035" s="102" t="n"/>
      <c r="O2035" s="102" t="n"/>
      <c r="P2035" s="102" t="n"/>
      <c r="Q2035" s="102" t="n"/>
      <c r="R2035" s="102" t="n"/>
      <c r="S2035" s="102" t="n"/>
      <c r="T2035" s="102" t="n"/>
      <c r="U2035" s="102" t="n"/>
      <c r="V2035" s="102" t="n"/>
      <c r="W2035" s="102" t="n"/>
      <c r="X2035" s="102" t="n"/>
      <c r="Y2035" s="102" t="n"/>
      <c r="Z2035" s="102" t="n"/>
      <c r="AA2035" s="102" t="n"/>
      <c r="AB2035" s="102" t="n"/>
      <c r="AC2035" s="102" t="n"/>
      <c r="AD2035" s="102" t="n"/>
      <c r="AE2035" s="102" t="n"/>
      <c r="AF2035" s="102" t="n"/>
      <c r="AG2035" s="102" t="n"/>
      <c r="AH2035" s="102" t="n"/>
      <c r="AI2035" s="102" t="n"/>
      <c r="AJ2035" s="102" t="n"/>
      <c r="AK2035" s="102" t="n"/>
      <c r="AL2035" s="102" t="n"/>
      <c r="AM2035" s="102" t="n"/>
      <c r="AN2035" s="102" t="n"/>
      <c r="AO2035" s="102" t="n"/>
      <c r="AP2035" s="102" t="n"/>
      <c r="AQ2035" s="102" t="n"/>
      <c r="AR2035" s="102" t="n"/>
    </row>
    <row r="2036">
      <c r="D2036" s="102" t="n"/>
      <c r="E2036" s="102" t="n"/>
      <c r="F2036" s="102" t="n"/>
      <c r="G2036" s="102" t="n"/>
      <c r="H2036" s="102" t="n"/>
      <c r="I2036" s="102" t="n"/>
      <c r="J2036" s="102" t="n"/>
      <c r="K2036" s="102" t="n"/>
      <c r="L2036" s="102" t="n"/>
      <c r="M2036" s="102" t="n"/>
      <c r="N2036" s="102" t="n"/>
      <c r="O2036" s="102" t="n"/>
      <c r="P2036" s="102" t="n"/>
      <c r="Q2036" s="102" t="n"/>
      <c r="R2036" s="102" t="n"/>
      <c r="S2036" s="102" t="n"/>
      <c r="T2036" s="102" t="n"/>
      <c r="U2036" s="102" t="n"/>
      <c r="V2036" s="102" t="n"/>
      <c r="W2036" s="102" t="n"/>
      <c r="X2036" s="102" t="n"/>
      <c r="Y2036" s="102" t="n"/>
      <c r="Z2036" s="102" t="n"/>
      <c r="AA2036" s="102" t="n"/>
      <c r="AB2036" s="102" t="n"/>
      <c r="AC2036" s="102" t="n"/>
      <c r="AD2036" s="102" t="n"/>
      <c r="AE2036" s="102" t="n"/>
      <c r="AF2036" s="102" t="n"/>
      <c r="AG2036" s="102" t="n"/>
      <c r="AH2036" s="102" t="n"/>
      <c r="AI2036" s="102" t="n"/>
      <c r="AJ2036" s="102" t="n"/>
      <c r="AK2036" s="102" t="n"/>
      <c r="AL2036" s="102" t="n"/>
      <c r="AM2036" s="102" t="n"/>
      <c r="AN2036" s="102" t="n"/>
      <c r="AO2036" s="102" t="n"/>
      <c r="AP2036" s="102" t="n"/>
      <c r="AQ2036" s="102" t="n"/>
      <c r="AR2036" s="102" t="n"/>
    </row>
    <row r="2037">
      <c r="D2037" s="103" t="n"/>
      <c r="E2037" s="103" t="n"/>
      <c r="F2037" s="103" t="n"/>
      <c r="G2037" s="103" t="n"/>
      <c r="H2037" s="103" t="n"/>
      <c r="I2037" s="103" t="n"/>
      <c r="J2037" s="103" t="n"/>
      <c r="K2037" s="103" t="n"/>
      <c r="L2037" s="103" t="n"/>
      <c r="M2037" s="103" t="n"/>
      <c r="N2037" s="103" t="n"/>
      <c r="O2037" s="103" t="n"/>
      <c r="P2037" s="103" t="n"/>
      <c r="Q2037" s="103" t="n"/>
      <c r="R2037" s="103" t="n"/>
      <c r="S2037" s="103" t="n"/>
      <c r="T2037" s="103" t="n"/>
      <c r="U2037" s="103" t="n"/>
      <c r="V2037" s="103" t="n"/>
      <c r="W2037" s="103" t="n"/>
      <c r="X2037" s="103" t="n"/>
      <c r="Y2037" s="103" t="n"/>
      <c r="Z2037" s="103" t="n"/>
      <c r="AA2037" s="103" t="n"/>
      <c r="AB2037" s="103" t="n"/>
      <c r="AC2037" s="103" t="n"/>
      <c r="AD2037" s="103" t="n"/>
      <c r="AE2037" s="103" t="n"/>
      <c r="AF2037" s="103" t="n"/>
      <c r="AG2037" s="103" t="n"/>
      <c r="AH2037" s="103" t="n"/>
      <c r="AI2037" s="103" t="n"/>
      <c r="AJ2037" s="103" t="n"/>
      <c r="AK2037" s="103" t="n"/>
      <c r="AL2037" s="103" t="n"/>
      <c r="AM2037" s="103" t="n"/>
      <c r="AN2037" s="103" t="n"/>
      <c r="AO2037" s="103" t="n"/>
      <c r="AP2037" s="103" t="n"/>
      <c r="AQ2037" s="103" t="n"/>
      <c r="AR2037" s="103" t="n"/>
    </row>
    <row r="2040">
      <c r="A2040" s="2">
        <f>IF($A2033="","","   projections")</f>
        <v/>
      </c>
      <c r="B2040" s="99">
        <f>IF($A2033="",0,COUNT($E2041:$AR2041))</f>
        <v/>
      </c>
      <c r="C2040" s="100">
        <f>IF($B2040=0,0,MAX($E2041:$AR2041))</f>
        <v/>
      </c>
      <c r="D2040" s="101">
        <f>BDS($A2033,FLD_PROJ,"headers=y","startcol=1","endcol=3","dir=h")</f>
        <v/>
      </c>
      <c r="E2040" s="102" t="n"/>
      <c r="F2040" s="102" t="n"/>
      <c r="G2040" s="102" t="n"/>
      <c r="H2040" s="102" t="n"/>
      <c r="I2040" s="102" t="n"/>
      <c r="J2040" s="102" t="n"/>
      <c r="K2040" s="102" t="n"/>
      <c r="L2040" s="102" t="n"/>
      <c r="M2040" s="102" t="n"/>
      <c r="N2040" s="102" t="n"/>
      <c r="O2040" s="102" t="n"/>
      <c r="P2040" s="102" t="n"/>
      <c r="Q2040" s="102" t="n"/>
      <c r="R2040" s="102" t="n"/>
      <c r="S2040" s="102" t="n"/>
      <c r="T2040" s="102" t="n"/>
      <c r="U2040" s="102" t="n"/>
      <c r="V2040" s="102" t="n"/>
      <c r="W2040" s="102" t="n"/>
      <c r="X2040" s="102" t="n"/>
      <c r="Y2040" s="102" t="n"/>
      <c r="Z2040" s="102" t="n"/>
      <c r="AA2040" s="102" t="n"/>
      <c r="AB2040" s="102" t="n"/>
      <c r="AC2040" s="102" t="n"/>
      <c r="AD2040" s="102" t="n"/>
      <c r="AE2040" s="102" t="n"/>
      <c r="AF2040" s="102" t="n"/>
      <c r="AG2040" s="102" t="n"/>
      <c r="AH2040" s="102" t="n"/>
      <c r="AI2040" s="102" t="n"/>
      <c r="AJ2040" s="102" t="n"/>
      <c r="AK2040" s="102" t="n"/>
      <c r="AL2040" s="102" t="n"/>
      <c r="AM2040" s="102" t="n"/>
      <c r="AN2040" s="102" t="n"/>
      <c r="AO2040" s="102" t="n"/>
      <c r="AP2040" s="102" t="n"/>
      <c r="AQ2040" s="102" t="n"/>
      <c r="AR2040" s="102" t="n"/>
    </row>
    <row r="2041">
      <c r="D2041" s="102" t="n"/>
      <c r="E2041" s="102" t="n"/>
      <c r="F2041" s="102" t="n"/>
      <c r="G2041" s="102" t="n"/>
      <c r="H2041" s="102" t="n"/>
      <c r="I2041" s="102" t="n"/>
      <c r="J2041" s="102" t="n"/>
      <c r="K2041" s="102" t="n"/>
      <c r="L2041" s="102" t="n"/>
      <c r="M2041" s="102" t="n"/>
      <c r="N2041" s="102" t="n"/>
      <c r="O2041" s="102" t="n"/>
      <c r="P2041" s="102" t="n"/>
      <c r="Q2041" s="102" t="n"/>
      <c r="R2041" s="102" t="n"/>
      <c r="S2041" s="102" t="n"/>
      <c r="T2041" s="102" t="n"/>
      <c r="U2041" s="102" t="n"/>
      <c r="V2041" s="102" t="n"/>
      <c r="W2041" s="102" t="n"/>
      <c r="X2041" s="102" t="n"/>
      <c r="Y2041" s="102" t="n"/>
      <c r="Z2041" s="102" t="n"/>
      <c r="AA2041" s="102" t="n"/>
      <c r="AB2041" s="102" t="n"/>
      <c r="AC2041" s="102" t="n"/>
      <c r="AD2041" s="102" t="n"/>
      <c r="AE2041" s="102" t="n"/>
      <c r="AF2041" s="102" t="n"/>
      <c r="AG2041" s="102" t="n"/>
      <c r="AH2041" s="102" t="n"/>
      <c r="AI2041" s="102" t="n"/>
      <c r="AJ2041" s="102" t="n"/>
      <c r="AK2041" s="102" t="n"/>
      <c r="AL2041" s="102" t="n"/>
      <c r="AM2041" s="102" t="n"/>
      <c r="AN2041" s="102" t="n"/>
      <c r="AO2041" s="102" t="n"/>
      <c r="AP2041" s="102" t="n"/>
      <c r="AQ2041" s="102" t="n"/>
      <c r="AR2041" s="102" t="n"/>
    </row>
    <row r="2042">
      <c r="D2042" s="103" t="n"/>
      <c r="E2042" s="103" t="n"/>
      <c r="F2042" s="103" t="n"/>
      <c r="G2042" s="103" t="n"/>
      <c r="H2042" s="103" t="n"/>
      <c r="I2042" s="103" t="n"/>
      <c r="J2042" s="103" t="n"/>
      <c r="K2042" s="103" t="n"/>
      <c r="L2042" s="103" t="n"/>
      <c r="M2042" s="103" t="n"/>
      <c r="N2042" s="103" t="n"/>
      <c r="O2042" s="103" t="n"/>
      <c r="P2042" s="103" t="n"/>
      <c r="Q2042" s="103" t="n"/>
      <c r="R2042" s="103" t="n"/>
      <c r="S2042" s="103" t="n"/>
      <c r="T2042" s="103" t="n"/>
      <c r="U2042" s="103" t="n"/>
      <c r="V2042" s="103" t="n"/>
      <c r="W2042" s="103" t="n"/>
      <c r="X2042" s="103" t="n"/>
      <c r="Y2042" s="103" t="n"/>
      <c r="Z2042" s="103" t="n"/>
      <c r="AA2042" s="103" t="n"/>
      <c r="AB2042" s="103" t="n"/>
      <c r="AC2042" s="103" t="n"/>
      <c r="AD2042" s="103" t="n"/>
      <c r="AE2042" s="103" t="n"/>
      <c r="AF2042" s="103" t="n"/>
      <c r="AG2042" s="103" t="n"/>
      <c r="AH2042" s="103" t="n"/>
      <c r="AI2042" s="103" t="n"/>
      <c r="AJ2042" s="103" t="n"/>
      <c r="AK2042" s="103" t="n"/>
      <c r="AL2042" s="103" t="n"/>
      <c r="AM2042" s="103" t="n"/>
      <c r="AN2042" s="103" t="n"/>
      <c r="AO2042" s="103" t="n"/>
      <c r="AP2042" s="103" t="n"/>
      <c r="AQ2042" s="103" t="n"/>
      <c r="AR2042" s="103" t="n"/>
    </row>
    <row r="2044">
      <c r="A2044" s="8">
        <f>IF(HSCEI!$C$51="","",HSCEI!$C$51)</f>
        <v/>
      </c>
      <c r="B2044" s="99">
        <f>IF($A2044="",0,COUNT($E2045:$AR2045))</f>
        <v/>
      </c>
      <c r="C2044" s="100">
        <f>IF($B2044=0,0,MAX($E2045:$AR2045))</f>
        <v/>
      </c>
      <c r="D2044" s="101">
        <f>BDS($A2044,FLD_HIST,"headers=y","startcol=1","endcol=7","dir=h","DVD_START_DT",HIST_FROM,"DVD_END_DT",HIST_TO)</f>
        <v/>
      </c>
      <c r="E2044" s="102" t="n"/>
      <c r="F2044" s="102" t="n"/>
      <c r="G2044" s="102" t="n"/>
      <c r="H2044" s="102" t="n"/>
      <c r="I2044" s="102" t="n"/>
      <c r="J2044" s="102" t="n"/>
      <c r="K2044" s="102" t="n"/>
      <c r="L2044" s="102" t="n"/>
      <c r="M2044" s="102" t="n"/>
      <c r="N2044" s="102" t="n"/>
      <c r="O2044" s="102" t="n"/>
      <c r="P2044" s="102" t="n"/>
      <c r="Q2044" s="102" t="n"/>
      <c r="R2044" s="102" t="n"/>
      <c r="S2044" s="102" t="n"/>
      <c r="T2044" s="102" t="n"/>
      <c r="U2044" s="102" t="n"/>
      <c r="V2044" s="102" t="n"/>
      <c r="W2044" s="102" t="n"/>
      <c r="X2044" s="102" t="n"/>
      <c r="Y2044" s="102" t="n"/>
      <c r="Z2044" s="102" t="n"/>
      <c r="AA2044" s="102" t="n"/>
      <c r="AB2044" s="102" t="n"/>
      <c r="AC2044" s="102" t="n"/>
      <c r="AD2044" s="102" t="n"/>
      <c r="AE2044" s="102" t="n"/>
      <c r="AF2044" s="102" t="n"/>
      <c r="AG2044" s="102" t="n"/>
      <c r="AH2044" s="102" t="n"/>
      <c r="AI2044" s="102" t="n"/>
      <c r="AJ2044" s="102" t="n"/>
      <c r="AK2044" s="102" t="n"/>
      <c r="AL2044" s="102" t="n"/>
      <c r="AM2044" s="102" t="n"/>
      <c r="AN2044" s="102" t="n"/>
      <c r="AO2044" s="102" t="n"/>
      <c r="AP2044" s="102" t="n"/>
      <c r="AQ2044" s="102" t="n"/>
      <c r="AR2044" s="102" t="n"/>
    </row>
    <row r="2045">
      <c r="D2045" s="102" t="n"/>
      <c r="E2045" s="102" t="n"/>
      <c r="F2045" s="102" t="n"/>
      <c r="G2045" s="102" t="n"/>
      <c r="H2045" s="102" t="n"/>
      <c r="I2045" s="102" t="n"/>
      <c r="J2045" s="102" t="n"/>
      <c r="K2045" s="102" t="n"/>
      <c r="L2045" s="102" t="n"/>
      <c r="M2045" s="102" t="n"/>
      <c r="N2045" s="102" t="n"/>
      <c r="O2045" s="102" t="n"/>
      <c r="P2045" s="102" t="n"/>
      <c r="Q2045" s="102" t="n"/>
      <c r="R2045" s="102" t="n"/>
      <c r="S2045" s="102" t="n"/>
      <c r="T2045" s="102" t="n"/>
      <c r="U2045" s="102" t="n"/>
      <c r="V2045" s="102" t="n"/>
      <c r="W2045" s="102" t="n"/>
      <c r="X2045" s="102" t="n"/>
      <c r="Y2045" s="102" t="n"/>
      <c r="Z2045" s="102" t="n"/>
      <c r="AA2045" s="102" t="n"/>
      <c r="AB2045" s="102" t="n"/>
      <c r="AC2045" s="102" t="n"/>
      <c r="AD2045" s="102" t="n"/>
      <c r="AE2045" s="102" t="n"/>
      <c r="AF2045" s="102" t="n"/>
      <c r="AG2045" s="102" t="n"/>
      <c r="AH2045" s="102" t="n"/>
      <c r="AI2045" s="102" t="n"/>
      <c r="AJ2045" s="102" t="n"/>
      <c r="AK2045" s="102" t="n"/>
      <c r="AL2045" s="102" t="n"/>
      <c r="AM2045" s="102" t="n"/>
      <c r="AN2045" s="102" t="n"/>
      <c r="AO2045" s="102" t="n"/>
      <c r="AP2045" s="102" t="n"/>
      <c r="AQ2045" s="102" t="n"/>
      <c r="AR2045" s="102" t="n"/>
    </row>
    <row r="2046">
      <c r="D2046" s="102" t="n"/>
      <c r="E2046" s="102" t="n"/>
      <c r="F2046" s="102" t="n"/>
      <c r="G2046" s="102" t="n"/>
      <c r="H2046" s="102" t="n"/>
      <c r="I2046" s="102" t="n"/>
      <c r="J2046" s="102" t="n"/>
      <c r="K2046" s="102" t="n"/>
      <c r="L2046" s="102" t="n"/>
      <c r="M2046" s="102" t="n"/>
      <c r="N2046" s="102" t="n"/>
      <c r="O2046" s="102" t="n"/>
      <c r="P2046" s="102" t="n"/>
      <c r="Q2046" s="102" t="n"/>
      <c r="R2046" s="102" t="n"/>
      <c r="S2046" s="102" t="n"/>
      <c r="T2046" s="102" t="n"/>
      <c r="U2046" s="102" t="n"/>
      <c r="V2046" s="102" t="n"/>
      <c r="W2046" s="102" t="n"/>
      <c r="X2046" s="102" t="n"/>
      <c r="Y2046" s="102" t="n"/>
      <c r="Z2046" s="102" t="n"/>
      <c r="AA2046" s="102" t="n"/>
      <c r="AB2046" s="102" t="n"/>
      <c r="AC2046" s="102" t="n"/>
      <c r="AD2046" s="102" t="n"/>
      <c r="AE2046" s="102" t="n"/>
      <c r="AF2046" s="102" t="n"/>
      <c r="AG2046" s="102" t="n"/>
      <c r="AH2046" s="102" t="n"/>
      <c r="AI2046" s="102" t="n"/>
      <c r="AJ2046" s="102" t="n"/>
      <c r="AK2046" s="102" t="n"/>
      <c r="AL2046" s="102" t="n"/>
      <c r="AM2046" s="102" t="n"/>
      <c r="AN2046" s="102" t="n"/>
      <c r="AO2046" s="102" t="n"/>
      <c r="AP2046" s="102" t="n"/>
      <c r="AQ2046" s="102" t="n"/>
      <c r="AR2046" s="102" t="n"/>
    </row>
    <row r="2047">
      <c r="D2047" s="102" t="n"/>
      <c r="E2047" s="102" t="n"/>
      <c r="F2047" s="102" t="n"/>
      <c r="G2047" s="102" t="n"/>
      <c r="H2047" s="102" t="n"/>
      <c r="I2047" s="102" t="n"/>
      <c r="J2047" s="102" t="n"/>
      <c r="K2047" s="102" t="n"/>
      <c r="L2047" s="102" t="n"/>
      <c r="M2047" s="102" t="n"/>
      <c r="N2047" s="102" t="n"/>
      <c r="O2047" s="102" t="n"/>
      <c r="P2047" s="102" t="n"/>
      <c r="Q2047" s="102" t="n"/>
      <c r="R2047" s="102" t="n"/>
      <c r="S2047" s="102" t="n"/>
      <c r="T2047" s="102" t="n"/>
      <c r="U2047" s="102" t="n"/>
      <c r="V2047" s="102" t="n"/>
      <c r="W2047" s="102" t="n"/>
      <c r="X2047" s="102" t="n"/>
      <c r="Y2047" s="102" t="n"/>
      <c r="Z2047" s="102" t="n"/>
      <c r="AA2047" s="102" t="n"/>
      <c r="AB2047" s="102" t="n"/>
      <c r="AC2047" s="102" t="n"/>
      <c r="AD2047" s="102" t="n"/>
      <c r="AE2047" s="102" t="n"/>
      <c r="AF2047" s="102" t="n"/>
      <c r="AG2047" s="102" t="n"/>
      <c r="AH2047" s="102" t="n"/>
      <c r="AI2047" s="102" t="n"/>
      <c r="AJ2047" s="102" t="n"/>
      <c r="AK2047" s="102" t="n"/>
      <c r="AL2047" s="102" t="n"/>
      <c r="AM2047" s="102" t="n"/>
      <c r="AN2047" s="102" t="n"/>
      <c r="AO2047" s="102" t="n"/>
      <c r="AP2047" s="102" t="n"/>
      <c r="AQ2047" s="102" t="n"/>
      <c r="AR2047" s="102" t="n"/>
    </row>
    <row r="2048">
      <c r="D2048" s="103" t="n"/>
      <c r="E2048" s="103" t="n"/>
      <c r="F2048" s="103" t="n"/>
      <c r="G2048" s="103" t="n"/>
      <c r="H2048" s="103" t="n"/>
      <c r="I2048" s="103" t="n"/>
      <c r="J2048" s="103" t="n"/>
      <c r="K2048" s="103" t="n"/>
      <c r="L2048" s="103" t="n"/>
      <c r="M2048" s="103" t="n"/>
      <c r="N2048" s="103" t="n"/>
      <c r="O2048" s="103" t="n"/>
      <c r="P2048" s="103" t="n"/>
      <c r="Q2048" s="103" t="n"/>
      <c r="R2048" s="103" t="n"/>
      <c r="S2048" s="103" t="n"/>
      <c r="T2048" s="103" t="n"/>
      <c r="U2048" s="103" t="n"/>
      <c r="V2048" s="103" t="n"/>
      <c r="W2048" s="103" t="n"/>
      <c r="X2048" s="103" t="n"/>
      <c r="Y2048" s="103" t="n"/>
      <c r="Z2048" s="103" t="n"/>
      <c r="AA2048" s="103" t="n"/>
      <c r="AB2048" s="103" t="n"/>
      <c r="AC2048" s="103" t="n"/>
      <c r="AD2048" s="103" t="n"/>
      <c r="AE2048" s="103" t="n"/>
      <c r="AF2048" s="103" t="n"/>
      <c r="AG2048" s="103" t="n"/>
      <c r="AH2048" s="103" t="n"/>
      <c r="AI2048" s="103" t="n"/>
      <c r="AJ2048" s="103" t="n"/>
      <c r="AK2048" s="103" t="n"/>
      <c r="AL2048" s="103" t="n"/>
      <c r="AM2048" s="103" t="n"/>
      <c r="AN2048" s="103" t="n"/>
      <c r="AO2048" s="103" t="n"/>
      <c r="AP2048" s="103" t="n"/>
      <c r="AQ2048" s="103" t="n"/>
      <c r="AR2048" s="103" t="n"/>
    </row>
    <row r="2051">
      <c r="A2051" s="2">
        <f>IF($A2044="","","   projections")</f>
        <v/>
      </c>
      <c r="B2051" s="99">
        <f>IF($A2044="",0,COUNT($E2052:$AR2052))</f>
        <v/>
      </c>
      <c r="C2051" s="100">
        <f>IF($B2051=0,0,MAX($E2052:$AR2052))</f>
        <v/>
      </c>
      <c r="D2051" s="101">
        <f>BDS($A2044,FLD_PROJ,"headers=y","startcol=1","endcol=3","dir=h")</f>
        <v/>
      </c>
      <c r="E2051" s="102" t="n"/>
      <c r="F2051" s="102" t="n"/>
      <c r="G2051" s="102" t="n"/>
      <c r="H2051" s="102" t="n"/>
      <c r="I2051" s="102" t="n"/>
      <c r="J2051" s="102" t="n"/>
      <c r="K2051" s="102" t="n"/>
      <c r="L2051" s="102" t="n"/>
      <c r="M2051" s="102" t="n"/>
      <c r="N2051" s="102" t="n"/>
      <c r="O2051" s="102" t="n"/>
      <c r="P2051" s="102" t="n"/>
      <c r="Q2051" s="102" t="n"/>
      <c r="R2051" s="102" t="n"/>
      <c r="S2051" s="102" t="n"/>
      <c r="T2051" s="102" t="n"/>
      <c r="U2051" s="102" t="n"/>
      <c r="V2051" s="102" t="n"/>
      <c r="W2051" s="102" t="n"/>
      <c r="X2051" s="102" t="n"/>
      <c r="Y2051" s="102" t="n"/>
      <c r="Z2051" s="102" t="n"/>
      <c r="AA2051" s="102" t="n"/>
      <c r="AB2051" s="102" t="n"/>
      <c r="AC2051" s="102" t="n"/>
      <c r="AD2051" s="102" t="n"/>
      <c r="AE2051" s="102" t="n"/>
      <c r="AF2051" s="102" t="n"/>
      <c r="AG2051" s="102" t="n"/>
      <c r="AH2051" s="102" t="n"/>
      <c r="AI2051" s="102" t="n"/>
      <c r="AJ2051" s="102" t="n"/>
      <c r="AK2051" s="102" t="n"/>
      <c r="AL2051" s="102" t="n"/>
      <c r="AM2051" s="102" t="n"/>
      <c r="AN2051" s="102" t="n"/>
      <c r="AO2051" s="102" t="n"/>
      <c r="AP2051" s="102" t="n"/>
      <c r="AQ2051" s="102" t="n"/>
      <c r="AR2051" s="102" t="n"/>
    </row>
    <row r="2052">
      <c r="D2052" s="102" t="n"/>
      <c r="E2052" s="102" t="n"/>
      <c r="F2052" s="102" t="n"/>
      <c r="G2052" s="102" t="n"/>
      <c r="H2052" s="102" t="n"/>
      <c r="I2052" s="102" t="n"/>
      <c r="J2052" s="102" t="n"/>
      <c r="K2052" s="102" t="n"/>
      <c r="L2052" s="102" t="n"/>
      <c r="M2052" s="102" t="n"/>
      <c r="N2052" s="102" t="n"/>
      <c r="O2052" s="102" t="n"/>
      <c r="P2052" s="102" t="n"/>
      <c r="Q2052" s="102" t="n"/>
      <c r="R2052" s="102" t="n"/>
      <c r="S2052" s="102" t="n"/>
      <c r="T2052" s="102" t="n"/>
      <c r="U2052" s="102" t="n"/>
      <c r="V2052" s="102" t="n"/>
      <c r="W2052" s="102" t="n"/>
      <c r="X2052" s="102" t="n"/>
      <c r="Y2052" s="102" t="n"/>
      <c r="Z2052" s="102" t="n"/>
      <c r="AA2052" s="102" t="n"/>
      <c r="AB2052" s="102" t="n"/>
      <c r="AC2052" s="102" t="n"/>
      <c r="AD2052" s="102" t="n"/>
      <c r="AE2052" s="102" t="n"/>
      <c r="AF2052" s="102" t="n"/>
      <c r="AG2052" s="102" t="n"/>
      <c r="AH2052" s="102" t="n"/>
      <c r="AI2052" s="102" t="n"/>
      <c r="AJ2052" s="102" t="n"/>
      <c r="AK2052" s="102" t="n"/>
      <c r="AL2052" s="102" t="n"/>
      <c r="AM2052" s="102" t="n"/>
      <c r="AN2052" s="102" t="n"/>
      <c r="AO2052" s="102" t="n"/>
      <c r="AP2052" s="102" t="n"/>
      <c r="AQ2052" s="102" t="n"/>
      <c r="AR2052" s="102" t="n"/>
    </row>
    <row r="2053">
      <c r="D2053" s="103" t="n"/>
      <c r="E2053" s="103" t="n"/>
      <c r="F2053" s="103" t="n"/>
      <c r="G2053" s="103" t="n"/>
      <c r="H2053" s="103" t="n"/>
      <c r="I2053" s="103" t="n"/>
      <c r="J2053" s="103" t="n"/>
      <c r="K2053" s="103" t="n"/>
      <c r="L2053" s="103" t="n"/>
      <c r="M2053" s="103" t="n"/>
      <c r="N2053" s="103" t="n"/>
      <c r="O2053" s="103" t="n"/>
      <c r="P2053" s="103" t="n"/>
      <c r="Q2053" s="103" t="n"/>
      <c r="R2053" s="103" t="n"/>
      <c r="S2053" s="103" t="n"/>
      <c r="T2053" s="103" t="n"/>
      <c r="U2053" s="103" t="n"/>
      <c r="V2053" s="103" t="n"/>
      <c r="W2053" s="103" t="n"/>
      <c r="X2053" s="103" t="n"/>
      <c r="Y2053" s="103" t="n"/>
      <c r="Z2053" s="103" t="n"/>
      <c r="AA2053" s="103" t="n"/>
      <c r="AB2053" s="103" t="n"/>
      <c r="AC2053" s="103" t="n"/>
      <c r="AD2053" s="103" t="n"/>
      <c r="AE2053" s="103" t="n"/>
      <c r="AF2053" s="103" t="n"/>
      <c r="AG2053" s="103" t="n"/>
      <c r="AH2053" s="103" t="n"/>
      <c r="AI2053" s="103" t="n"/>
      <c r="AJ2053" s="103" t="n"/>
      <c r="AK2053" s="103" t="n"/>
      <c r="AL2053" s="103" t="n"/>
      <c r="AM2053" s="103" t="n"/>
      <c r="AN2053" s="103" t="n"/>
      <c r="AO2053" s="103" t="n"/>
      <c r="AP2053" s="103" t="n"/>
      <c r="AQ2053" s="103" t="n"/>
      <c r="AR2053" s="103" t="n"/>
    </row>
    <row r="2055">
      <c r="A2055" s="8">
        <f>IF(HSCEI!$C$52="","",HSCEI!$C$52)</f>
        <v/>
      </c>
      <c r="B2055" s="99">
        <f>IF($A2055="",0,COUNT($E2056:$AR2056))</f>
        <v/>
      </c>
      <c r="C2055" s="100">
        <f>IF($B2055=0,0,MAX($E2056:$AR2056))</f>
        <v/>
      </c>
      <c r="D2055" s="101">
        <f>BDS($A2055,FLD_HIST,"headers=y","startcol=1","endcol=7","dir=h","DVD_START_DT",HIST_FROM,"DVD_END_DT",HIST_TO)</f>
        <v/>
      </c>
      <c r="E2055" s="102" t="n"/>
      <c r="F2055" s="102" t="n"/>
      <c r="G2055" s="102" t="n"/>
      <c r="H2055" s="102" t="n"/>
      <c r="I2055" s="102" t="n"/>
      <c r="J2055" s="102" t="n"/>
      <c r="K2055" s="102" t="n"/>
      <c r="L2055" s="102" t="n"/>
      <c r="M2055" s="102" t="n"/>
      <c r="N2055" s="102" t="n"/>
      <c r="O2055" s="102" t="n"/>
      <c r="P2055" s="102" t="n"/>
      <c r="Q2055" s="102" t="n"/>
      <c r="R2055" s="102" t="n"/>
      <c r="S2055" s="102" t="n"/>
      <c r="T2055" s="102" t="n"/>
      <c r="U2055" s="102" t="n"/>
      <c r="V2055" s="102" t="n"/>
      <c r="W2055" s="102" t="n"/>
      <c r="X2055" s="102" t="n"/>
      <c r="Y2055" s="102" t="n"/>
      <c r="Z2055" s="102" t="n"/>
      <c r="AA2055" s="102" t="n"/>
      <c r="AB2055" s="102" t="n"/>
      <c r="AC2055" s="102" t="n"/>
      <c r="AD2055" s="102" t="n"/>
      <c r="AE2055" s="102" t="n"/>
      <c r="AF2055" s="102" t="n"/>
      <c r="AG2055" s="102" t="n"/>
      <c r="AH2055" s="102" t="n"/>
      <c r="AI2055" s="102" t="n"/>
      <c r="AJ2055" s="102" t="n"/>
      <c r="AK2055" s="102" t="n"/>
      <c r="AL2055" s="102" t="n"/>
      <c r="AM2055" s="102" t="n"/>
      <c r="AN2055" s="102" t="n"/>
      <c r="AO2055" s="102" t="n"/>
      <c r="AP2055" s="102" t="n"/>
      <c r="AQ2055" s="102" t="n"/>
      <c r="AR2055" s="102" t="n"/>
    </row>
    <row r="2056">
      <c r="D2056" s="102" t="n"/>
      <c r="E2056" s="102" t="n"/>
      <c r="F2056" s="102" t="n"/>
      <c r="G2056" s="102" t="n"/>
      <c r="H2056" s="102" t="n"/>
      <c r="I2056" s="102" t="n"/>
      <c r="J2056" s="102" t="n"/>
      <c r="K2056" s="102" t="n"/>
      <c r="L2056" s="102" t="n"/>
      <c r="M2056" s="102" t="n"/>
      <c r="N2056" s="102" t="n"/>
      <c r="O2056" s="102" t="n"/>
      <c r="P2056" s="102" t="n"/>
      <c r="Q2056" s="102" t="n"/>
      <c r="R2056" s="102" t="n"/>
      <c r="S2056" s="102" t="n"/>
      <c r="T2056" s="102" t="n"/>
      <c r="U2056" s="102" t="n"/>
      <c r="V2056" s="102" t="n"/>
      <c r="W2056" s="102" t="n"/>
      <c r="X2056" s="102" t="n"/>
      <c r="Y2056" s="102" t="n"/>
      <c r="Z2056" s="102" t="n"/>
      <c r="AA2056" s="102" t="n"/>
      <c r="AB2056" s="102" t="n"/>
      <c r="AC2056" s="102" t="n"/>
      <c r="AD2056" s="102" t="n"/>
      <c r="AE2056" s="102" t="n"/>
      <c r="AF2056" s="102" t="n"/>
      <c r="AG2056" s="102" t="n"/>
      <c r="AH2056" s="102" t="n"/>
      <c r="AI2056" s="102" t="n"/>
      <c r="AJ2056" s="102" t="n"/>
      <c r="AK2056" s="102" t="n"/>
      <c r="AL2056" s="102" t="n"/>
      <c r="AM2056" s="102" t="n"/>
      <c r="AN2056" s="102" t="n"/>
      <c r="AO2056" s="102" t="n"/>
      <c r="AP2056" s="102" t="n"/>
      <c r="AQ2056" s="102" t="n"/>
      <c r="AR2056" s="102" t="n"/>
    </row>
    <row r="2057">
      <c r="D2057" s="102" t="n"/>
      <c r="E2057" s="102" t="n"/>
      <c r="F2057" s="102" t="n"/>
      <c r="G2057" s="102" t="n"/>
      <c r="H2057" s="102" t="n"/>
      <c r="I2057" s="102" t="n"/>
      <c r="J2057" s="102" t="n"/>
      <c r="K2057" s="102" t="n"/>
      <c r="L2057" s="102" t="n"/>
      <c r="M2057" s="102" t="n"/>
      <c r="N2057" s="102" t="n"/>
      <c r="O2057" s="102" t="n"/>
      <c r="P2057" s="102" t="n"/>
      <c r="Q2057" s="102" t="n"/>
      <c r="R2057" s="102" t="n"/>
      <c r="S2057" s="102" t="n"/>
      <c r="T2057" s="102" t="n"/>
      <c r="U2057" s="102" t="n"/>
      <c r="V2057" s="102" t="n"/>
      <c r="W2057" s="102" t="n"/>
      <c r="X2057" s="102" t="n"/>
      <c r="Y2057" s="102" t="n"/>
      <c r="Z2057" s="102" t="n"/>
      <c r="AA2057" s="102" t="n"/>
      <c r="AB2057" s="102" t="n"/>
      <c r="AC2057" s="102" t="n"/>
      <c r="AD2057" s="102" t="n"/>
      <c r="AE2057" s="102" t="n"/>
      <c r="AF2057" s="102" t="n"/>
      <c r="AG2057" s="102" t="n"/>
      <c r="AH2057" s="102" t="n"/>
      <c r="AI2057" s="102" t="n"/>
      <c r="AJ2057" s="102" t="n"/>
      <c r="AK2057" s="102" t="n"/>
      <c r="AL2057" s="102" t="n"/>
      <c r="AM2057" s="102" t="n"/>
      <c r="AN2057" s="102" t="n"/>
      <c r="AO2057" s="102" t="n"/>
      <c r="AP2057" s="102" t="n"/>
      <c r="AQ2057" s="102" t="n"/>
      <c r="AR2057" s="102" t="n"/>
    </row>
    <row r="2058">
      <c r="D2058" s="102" t="n"/>
      <c r="E2058" s="102" t="n"/>
      <c r="F2058" s="102" t="n"/>
      <c r="G2058" s="102" t="n"/>
      <c r="H2058" s="102" t="n"/>
      <c r="I2058" s="102" t="n"/>
      <c r="J2058" s="102" t="n"/>
      <c r="K2058" s="102" t="n"/>
      <c r="L2058" s="102" t="n"/>
      <c r="M2058" s="102" t="n"/>
      <c r="N2058" s="102" t="n"/>
      <c r="O2058" s="102" t="n"/>
      <c r="P2058" s="102" t="n"/>
      <c r="Q2058" s="102" t="n"/>
      <c r="R2058" s="102" t="n"/>
      <c r="S2058" s="102" t="n"/>
      <c r="T2058" s="102" t="n"/>
      <c r="U2058" s="102" t="n"/>
      <c r="V2058" s="102" t="n"/>
      <c r="W2058" s="102" t="n"/>
      <c r="X2058" s="102" t="n"/>
      <c r="Y2058" s="102" t="n"/>
      <c r="Z2058" s="102" t="n"/>
      <c r="AA2058" s="102" t="n"/>
      <c r="AB2058" s="102" t="n"/>
      <c r="AC2058" s="102" t="n"/>
      <c r="AD2058" s="102" t="n"/>
      <c r="AE2058" s="102" t="n"/>
      <c r="AF2058" s="102" t="n"/>
      <c r="AG2058" s="102" t="n"/>
      <c r="AH2058" s="102" t="n"/>
      <c r="AI2058" s="102" t="n"/>
      <c r="AJ2058" s="102" t="n"/>
      <c r="AK2058" s="102" t="n"/>
      <c r="AL2058" s="102" t="n"/>
      <c r="AM2058" s="102" t="n"/>
      <c r="AN2058" s="102" t="n"/>
      <c r="AO2058" s="102" t="n"/>
      <c r="AP2058" s="102" t="n"/>
      <c r="AQ2058" s="102" t="n"/>
      <c r="AR2058" s="102" t="n"/>
    </row>
    <row r="2059">
      <c r="D2059" s="103" t="n"/>
      <c r="E2059" s="103" t="n"/>
      <c r="F2059" s="103" t="n"/>
      <c r="G2059" s="103" t="n"/>
      <c r="H2059" s="103" t="n"/>
      <c r="I2059" s="103" t="n"/>
      <c r="J2059" s="103" t="n"/>
      <c r="K2059" s="103" t="n"/>
      <c r="L2059" s="103" t="n"/>
      <c r="M2059" s="103" t="n"/>
      <c r="N2059" s="103" t="n"/>
      <c r="O2059" s="103" t="n"/>
      <c r="P2059" s="103" t="n"/>
      <c r="Q2059" s="103" t="n"/>
      <c r="R2059" s="103" t="n"/>
      <c r="S2059" s="103" t="n"/>
      <c r="T2059" s="103" t="n"/>
      <c r="U2059" s="103" t="n"/>
      <c r="V2059" s="103" t="n"/>
      <c r="W2059" s="103" t="n"/>
      <c r="X2059" s="103" t="n"/>
      <c r="Y2059" s="103" t="n"/>
      <c r="Z2059" s="103" t="n"/>
      <c r="AA2059" s="103" t="n"/>
      <c r="AB2059" s="103" t="n"/>
      <c r="AC2059" s="103" t="n"/>
      <c r="AD2059" s="103" t="n"/>
      <c r="AE2059" s="103" t="n"/>
      <c r="AF2059" s="103" t="n"/>
      <c r="AG2059" s="103" t="n"/>
      <c r="AH2059" s="103" t="n"/>
      <c r="AI2059" s="103" t="n"/>
      <c r="AJ2059" s="103" t="n"/>
      <c r="AK2059" s="103" t="n"/>
      <c r="AL2059" s="103" t="n"/>
      <c r="AM2059" s="103" t="n"/>
      <c r="AN2059" s="103" t="n"/>
      <c r="AO2059" s="103" t="n"/>
      <c r="AP2059" s="103" t="n"/>
      <c r="AQ2059" s="103" t="n"/>
      <c r="AR2059" s="103" t="n"/>
    </row>
    <row r="2062">
      <c r="A2062" s="2">
        <f>IF($A2055="","","   projections")</f>
        <v/>
      </c>
      <c r="B2062" s="99">
        <f>IF($A2055="",0,COUNT($E2063:$AR2063))</f>
        <v/>
      </c>
      <c r="C2062" s="100">
        <f>IF($B2062=0,0,MAX($E2063:$AR2063))</f>
        <v/>
      </c>
      <c r="D2062" s="101">
        <f>BDS($A2055,FLD_PROJ,"headers=y","startcol=1","endcol=3","dir=h")</f>
        <v/>
      </c>
      <c r="E2062" s="102" t="n"/>
      <c r="F2062" s="102" t="n"/>
      <c r="G2062" s="102" t="n"/>
      <c r="H2062" s="102" t="n"/>
      <c r="I2062" s="102" t="n"/>
      <c r="J2062" s="102" t="n"/>
      <c r="K2062" s="102" t="n"/>
      <c r="L2062" s="102" t="n"/>
      <c r="M2062" s="102" t="n"/>
      <c r="N2062" s="102" t="n"/>
      <c r="O2062" s="102" t="n"/>
      <c r="P2062" s="102" t="n"/>
      <c r="Q2062" s="102" t="n"/>
      <c r="R2062" s="102" t="n"/>
      <c r="S2062" s="102" t="n"/>
      <c r="T2062" s="102" t="n"/>
      <c r="U2062" s="102" t="n"/>
      <c r="V2062" s="102" t="n"/>
      <c r="W2062" s="102" t="n"/>
      <c r="X2062" s="102" t="n"/>
      <c r="Y2062" s="102" t="n"/>
      <c r="Z2062" s="102" t="n"/>
      <c r="AA2062" s="102" t="n"/>
      <c r="AB2062" s="102" t="n"/>
      <c r="AC2062" s="102" t="n"/>
      <c r="AD2062" s="102" t="n"/>
      <c r="AE2062" s="102" t="n"/>
      <c r="AF2062" s="102" t="n"/>
      <c r="AG2062" s="102" t="n"/>
      <c r="AH2062" s="102" t="n"/>
      <c r="AI2062" s="102" t="n"/>
      <c r="AJ2062" s="102" t="n"/>
      <c r="AK2062" s="102" t="n"/>
      <c r="AL2062" s="102" t="n"/>
      <c r="AM2062" s="102" t="n"/>
      <c r="AN2062" s="102" t="n"/>
      <c r="AO2062" s="102" t="n"/>
      <c r="AP2062" s="102" t="n"/>
      <c r="AQ2062" s="102" t="n"/>
      <c r="AR2062" s="102" t="n"/>
    </row>
    <row r="2063">
      <c r="D2063" s="102" t="n"/>
      <c r="E2063" s="102" t="n"/>
      <c r="F2063" s="102" t="n"/>
      <c r="G2063" s="102" t="n"/>
      <c r="H2063" s="102" t="n"/>
      <c r="I2063" s="102" t="n"/>
      <c r="J2063" s="102" t="n"/>
      <c r="K2063" s="102" t="n"/>
      <c r="L2063" s="102" t="n"/>
      <c r="M2063" s="102" t="n"/>
      <c r="N2063" s="102" t="n"/>
      <c r="O2063" s="102" t="n"/>
      <c r="P2063" s="102" t="n"/>
      <c r="Q2063" s="102" t="n"/>
      <c r="R2063" s="102" t="n"/>
      <c r="S2063" s="102" t="n"/>
      <c r="T2063" s="102" t="n"/>
      <c r="U2063" s="102" t="n"/>
      <c r="V2063" s="102" t="n"/>
      <c r="W2063" s="102" t="n"/>
      <c r="X2063" s="102" t="n"/>
      <c r="Y2063" s="102" t="n"/>
      <c r="Z2063" s="102" t="n"/>
      <c r="AA2063" s="102" t="n"/>
      <c r="AB2063" s="102" t="n"/>
      <c r="AC2063" s="102" t="n"/>
      <c r="AD2063" s="102" t="n"/>
      <c r="AE2063" s="102" t="n"/>
      <c r="AF2063" s="102" t="n"/>
      <c r="AG2063" s="102" t="n"/>
      <c r="AH2063" s="102" t="n"/>
      <c r="AI2063" s="102" t="n"/>
      <c r="AJ2063" s="102" t="n"/>
      <c r="AK2063" s="102" t="n"/>
      <c r="AL2063" s="102" t="n"/>
      <c r="AM2063" s="102" t="n"/>
      <c r="AN2063" s="102" t="n"/>
      <c r="AO2063" s="102" t="n"/>
      <c r="AP2063" s="102" t="n"/>
      <c r="AQ2063" s="102" t="n"/>
      <c r="AR2063" s="102" t="n"/>
    </row>
    <row r="2064">
      <c r="D2064" s="103" t="n"/>
      <c r="E2064" s="103" t="n"/>
      <c r="F2064" s="103" t="n"/>
      <c r="G2064" s="103" t="n"/>
      <c r="H2064" s="103" t="n"/>
      <c r="I2064" s="103" t="n"/>
      <c r="J2064" s="103" t="n"/>
      <c r="K2064" s="103" t="n"/>
      <c r="L2064" s="103" t="n"/>
      <c r="M2064" s="103" t="n"/>
      <c r="N2064" s="103" t="n"/>
      <c r="O2064" s="103" t="n"/>
      <c r="P2064" s="103" t="n"/>
      <c r="Q2064" s="103" t="n"/>
      <c r="R2064" s="103" t="n"/>
      <c r="S2064" s="103" t="n"/>
      <c r="T2064" s="103" t="n"/>
      <c r="U2064" s="103" t="n"/>
      <c r="V2064" s="103" t="n"/>
      <c r="W2064" s="103" t="n"/>
      <c r="X2064" s="103" t="n"/>
      <c r="Y2064" s="103" t="n"/>
      <c r="Z2064" s="103" t="n"/>
      <c r="AA2064" s="103" t="n"/>
      <c r="AB2064" s="103" t="n"/>
      <c r="AC2064" s="103" t="n"/>
      <c r="AD2064" s="103" t="n"/>
      <c r="AE2064" s="103" t="n"/>
      <c r="AF2064" s="103" t="n"/>
      <c r="AG2064" s="103" t="n"/>
      <c r="AH2064" s="103" t="n"/>
      <c r="AI2064" s="103" t="n"/>
      <c r="AJ2064" s="103" t="n"/>
      <c r="AK2064" s="103" t="n"/>
      <c r="AL2064" s="103" t="n"/>
      <c r="AM2064" s="103" t="n"/>
      <c r="AN2064" s="103" t="n"/>
      <c r="AO2064" s="103" t="n"/>
      <c r="AP2064" s="103" t="n"/>
      <c r="AQ2064" s="103" t="n"/>
      <c r="AR2064" s="103" t="n"/>
    </row>
    <row r="2066">
      <c r="A2066" s="8">
        <f>IF(HSCEI!$C$53="","",HSCEI!$C$53)</f>
        <v/>
      </c>
      <c r="B2066" s="99">
        <f>IF($A2066="",0,COUNT($E2067:$AR2067))</f>
        <v/>
      </c>
      <c r="C2066" s="100">
        <f>IF($B2066=0,0,MAX($E2067:$AR2067))</f>
        <v/>
      </c>
      <c r="D2066" s="101">
        <f>BDS($A2066,FLD_HIST,"headers=y","startcol=1","endcol=7","dir=h","DVD_START_DT",HIST_FROM,"DVD_END_DT",HIST_TO)</f>
        <v/>
      </c>
      <c r="E2066" s="102" t="n"/>
      <c r="F2066" s="102" t="n"/>
      <c r="G2066" s="102" t="n"/>
      <c r="H2066" s="102" t="n"/>
      <c r="I2066" s="102" t="n"/>
      <c r="J2066" s="102" t="n"/>
      <c r="K2066" s="102" t="n"/>
      <c r="L2066" s="102" t="n"/>
      <c r="M2066" s="102" t="n"/>
      <c r="N2066" s="102" t="n"/>
      <c r="O2066" s="102" t="n"/>
      <c r="P2066" s="102" t="n"/>
      <c r="Q2066" s="102" t="n"/>
      <c r="R2066" s="102" t="n"/>
      <c r="S2066" s="102" t="n"/>
      <c r="T2066" s="102" t="n"/>
      <c r="U2066" s="102" t="n"/>
      <c r="V2066" s="102" t="n"/>
      <c r="W2066" s="102" t="n"/>
      <c r="X2066" s="102" t="n"/>
      <c r="Y2066" s="102" t="n"/>
      <c r="Z2066" s="102" t="n"/>
      <c r="AA2066" s="102" t="n"/>
      <c r="AB2066" s="102" t="n"/>
      <c r="AC2066" s="102" t="n"/>
      <c r="AD2066" s="102" t="n"/>
      <c r="AE2066" s="102" t="n"/>
      <c r="AF2066" s="102" t="n"/>
      <c r="AG2066" s="102" t="n"/>
      <c r="AH2066" s="102" t="n"/>
      <c r="AI2066" s="102" t="n"/>
      <c r="AJ2066" s="102" t="n"/>
      <c r="AK2066" s="102" t="n"/>
      <c r="AL2066" s="102" t="n"/>
      <c r="AM2066" s="102" t="n"/>
      <c r="AN2066" s="102" t="n"/>
      <c r="AO2066" s="102" t="n"/>
      <c r="AP2066" s="102" t="n"/>
      <c r="AQ2066" s="102" t="n"/>
      <c r="AR2066" s="102" t="n"/>
    </row>
    <row r="2067">
      <c r="D2067" s="102" t="n"/>
      <c r="E2067" s="102" t="n"/>
      <c r="F2067" s="102" t="n"/>
      <c r="G2067" s="102" t="n"/>
      <c r="H2067" s="102" t="n"/>
      <c r="I2067" s="102" t="n"/>
      <c r="J2067" s="102" t="n"/>
      <c r="K2067" s="102" t="n"/>
      <c r="L2067" s="102" t="n"/>
      <c r="M2067" s="102" t="n"/>
      <c r="N2067" s="102" t="n"/>
      <c r="O2067" s="102" t="n"/>
      <c r="P2067" s="102" t="n"/>
      <c r="Q2067" s="102" t="n"/>
      <c r="R2067" s="102" t="n"/>
      <c r="S2067" s="102" t="n"/>
      <c r="T2067" s="102" t="n"/>
      <c r="U2067" s="102" t="n"/>
      <c r="V2067" s="102" t="n"/>
      <c r="W2067" s="102" t="n"/>
      <c r="X2067" s="102" t="n"/>
      <c r="Y2067" s="102" t="n"/>
      <c r="Z2067" s="102" t="n"/>
      <c r="AA2067" s="102" t="n"/>
      <c r="AB2067" s="102" t="n"/>
      <c r="AC2067" s="102" t="n"/>
      <c r="AD2067" s="102" t="n"/>
      <c r="AE2067" s="102" t="n"/>
      <c r="AF2067" s="102" t="n"/>
      <c r="AG2067" s="102" t="n"/>
      <c r="AH2067" s="102" t="n"/>
      <c r="AI2067" s="102" t="n"/>
      <c r="AJ2067" s="102" t="n"/>
      <c r="AK2067" s="102" t="n"/>
      <c r="AL2067" s="102" t="n"/>
      <c r="AM2067" s="102" t="n"/>
      <c r="AN2067" s="102" t="n"/>
      <c r="AO2067" s="102" t="n"/>
      <c r="AP2067" s="102" t="n"/>
      <c r="AQ2067" s="102" t="n"/>
      <c r="AR2067" s="102" t="n"/>
    </row>
    <row r="2068">
      <c r="D2068" s="102" t="n"/>
      <c r="E2068" s="102" t="n"/>
      <c r="F2068" s="102" t="n"/>
      <c r="G2068" s="102" t="n"/>
      <c r="H2068" s="102" t="n"/>
      <c r="I2068" s="102" t="n"/>
      <c r="J2068" s="102" t="n"/>
      <c r="K2068" s="102" t="n"/>
      <c r="L2068" s="102" t="n"/>
      <c r="M2068" s="102" t="n"/>
      <c r="N2068" s="102" t="n"/>
      <c r="O2068" s="102" t="n"/>
      <c r="P2068" s="102" t="n"/>
      <c r="Q2068" s="102" t="n"/>
      <c r="R2068" s="102" t="n"/>
      <c r="S2068" s="102" t="n"/>
      <c r="T2068" s="102" t="n"/>
      <c r="U2068" s="102" t="n"/>
      <c r="V2068" s="102" t="n"/>
      <c r="W2068" s="102" t="n"/>
      <c r="X2068" s="102" t="n"/>
      <c r="Y2068" s="102" t="n"/>
      <c r="Z2068" s="102" t="n"/>
      <c r="AA2068" s="102" t="n"/>
      <c r="AB2068" s="102" t="n"/>
      <c r="AC2068" s="102" t="n"/>
      <c r="AD2068" s="102" t="n"/>
      <c r="AE2068" s="102" t="n"/>
      <c r="AF2068" s="102" t="n"/>
      <c r="AG2068" s="102" t="n"/>
      <c r="AH2068" s="102" t="n"/>
      <c r="AI2068" s="102" t="n"/>
      <c r="AJ2068" s="102" t="n"/>
      <c r="AK2068" s="102" t="n"/>
      <c r="AL2068" s="102" t="n"/>
      <c r="AM2068" s="102" t="n"/>
      <c r="AN2068" s="102" t="n"/>
      <c r="AO2068" s="102" t="n"/>
      <c r="AP2068" s="102" t="n"/>
      <c r="AQ2068" s="102" t="n"/>
      <c r="AR2068" s="102" t="n"/>
    </row>
    <row r="2069">
      <c r="D2069" s="102" t="n"/>
      <c r="E2069" s="102" t="n"/>
      <c r="F2069" s="102" t="n"/>
      <c r="G2069" s="102" t="n"/>
      <c r="H2069" s="102" t="n"/>
      <c r="I2069" s="102" t="n"/>
      <c r="J2069" s="102" t="n"/>
      <c r="K2069" s="102" t="n"/>
      <c r="L2069" s="102" t="n"/>
      <c r="M2069" s="102" t="n"/>
      <c r="N2069" s="102" t="n"/>
      <c r="O2069" s="102" t="n"/>
      <c r="P2069" s="102" t="n"/>
      <c r="Q2069" s="102" t="n"/>
      <c r="R2069" s="102" t="n"/>
      <c r="S2069" s="102" t="n"/>
      <c r="T2069" s="102" t="n"/>
      <c r="U2069" s="102" t="n"/>
      <c r="V2069" s="102" t="n"/>
      <c r="W2069" s="102" t="n"/>
      <c r="X2069" s="102" t="n"/>
      <c r="Y2069" s="102" t="n"/>
      <c r="Z2069" s="102" t="n"/>
      <c r="AA2069" s="102" t="n"/>
      <c r="AB2069" s="102" t="n"/>
      <c r="AC2069" s="102" t="n"/>
      <c r="AD2069" s="102" t="n"/>
      <c r="AE2069" s="102" t="n"/>
      <c r="AF2069" s="102" t="n"/>
      <c r="AG2069" s="102" t="n"/>
      <c r="AH2069" s="102" t="n"/>
      <c r="AI2069" s="102" t="n"/>
      <c r="AJ2069" s="102" t="n"/>
      <c r="AK2069" s="102" t="n"/>
      <c r="AL2069" s="102" t="n"/>
      <c r="AM2069" s="102" t="n"/>
      <c r="AN2069" s="102" t="n"/>
      <c r="AO2069" s="102" t="n"/>
      <c r="AP2069" s="102" t="n"/>
      <c r="AQ2069" s="102" t="n"/>
      <c r="AR2069" s="102" t="n"/>
    </row>
    <row r="2070">
      <c r="D2070" s="103" t="n"/>
      <c r="E2070" s="103" t="n"/>
      <c r="F2070" s="103" t="n"/>
      <c r="G2070" s="103" t="n"/>
      <c r="H2070" s="103" t="n"/>
      <c r="I2070" s="103" t="n"/>
      <c r="J2070" s="103" t="n"/>
      <c r="K2070" s="103" t="n"/>
      <c r="L2070" s="103" t="n"/>
      <c r="M2070" s="103" t="n"/>
      <c r="N2070" s="103" t="n"/>
      <c r="O2070" s="103" t="n"/>
      <c r="P2070" s="103" t="n"/>
      <c r="Q2070" s="103" t="n"/>
      <c r="R2070" s="103" t="n"/>
      <c r="S2070" s="103" t="n"/>
      <c r="T2070" s="103" t="n"/>
      <c r="U2070" s="103" t="n"/>
      <c r="V2070" s="103" t="n"/>
      <c r="W2070" s="103" t="n"/>
      <c r="X2070" s="103" t="n"/>
      <c r="Y2070" s="103" t="n"/>
      <c r="Z2070" s="103" t="n"/>
      <c r="AA2070" s="103" t="n"/>
      <c r="AB2070" s="103" t="n"/>
      <c r="AC2070" s="103" t="n"/>
      <c r="AD2070" s="103" t="n"/>
      <c r="AE2070" s="103" t="n"/>
      <c r="AF2070" s="103" t="n"/>
      <c r="AG2070" s="103" t="n"/>
      <c r="AH2070" s="103" t="n"/>
      <c r="AI2070" s="103" t="n"/>
      <c r="AJ2070" s="103" t="n"/>
      <c r="AK2070" s="103" t="n"/>
      <c r="AL2070" s="103" t="n"/>
      <c r="AM2070" s="103" t="n"/>
      <c r="AN2070" s="103" t="n"/>
      <c r="AO2070" s="103" t="n"/>
      <c r="AP2070" s="103" t="n"/>
      <c r="AQ2070" s="103" t="n"/>
      <c r="AR2070" s="103" t="n"/>
    </row>
    <row r="2073">
      <c r="A2073" s="2">
        <f>IF($A2066="","","   projections")</f>
        <v/>
      </c>
      <c r="B2073" s="99">
        <f>IF($A2066="",0,COUNT($E2074:$AR2074))</f>
        <v/>
      </c>
      <c r="C2073" s="100">
        <f>IF($B2073=0,0,MAX($E2074:$AR2074))</f>
        <v/>
      </c>
      <c r="D2073" s="101">
        <f>BDS($A2066,FLD_PROJ,"headers=y","startcol=1","endcol=3","dir=h")</f>
        <v/>
      </c>
      <c r="E2073" s="102" t="n"/>
      <c r="F2073" s="102" t="n"/>
      <c r="G2073" s="102" t="n"/>
      <c r="H2073" s="102" t="n"/>
      <c r="I2073" s="102" t="n"/>
      <c r="J2073" s="102" t="n"/>
      <c r="K2073" s="102" t="n"/>
      <c r="L2073" s="102" t="n"/>
      <c r="M2073" s="102" t="n"/>
      <c r="N2073" s="102" t="n"/>
      <c r="O2073" s="102" t="n"/>
      <c r="P2073" s="102" t="n"/>
      <c r="Q2073" s="102" t="n"/>
      <c r="R2073" s="102" t="n"/>
      <c r="S2073" s="102" t="n"/>
      <c r="T2073" s="102" t="n"/>
      <c r="U2073" s="102" t="n"/>
      <c r="V2073" s="102" t="n"/>
      <c r="W2073" s="102" t="n"/>
      <c r="X2073" s="102" t="n"/>
      <c r="Y2073" s="102" t="n"/>
      <c r="Z2073" s="102" t="n"/>
      <c r="AA2073" s="102" t="n"/>
      <c r="AB2073" s="102" t="n"/>
      <c r="AC2073" s="102" t="n"/>
      <c r="AD2073" s="102" t="n"/>
      <c r="AE2073" s="102" t="n"/>
      <c r="AF2073" s="102" t="n"/>
      <c r="AG2073" s="102" t="n"/>
      <c r="AH2073" s="102" t="n"/>
      <c r="AI2073" s="102" t="n"/>
      <c r="AJ2073" s="102" t="n"/>
      <c r="AK2073" s="102" t="n"/>
      <c r="AL2073" s="102" t="n"/>
      <c r="AM2073" s="102" t="n"/>
      <c r="AN2073" s="102" t="n"/>
      <c r="AO2073" s="102" t="n"/>
      <c r="AP2073" s="102" t="n"/>
      <c r="AQ2073" s="102" t="n"/>
      <c r="AR2073" s="102" t="n"/>
    </row>
    <row r="2074">
      <c r="D2074" s="102" t="n"/>
      <c r="E2074" s="102" t="n"/>
      <c r="F2074" s="102" t="n"/>
      <c r="G2074" s="102" t="n"/>
      <c r="H2074" s="102" t="n"/>
      <c r="I2074" s="102" t="n"/>
      <c r="J2074" s="102" t="n"/>
      <c r="K2074" s="102" t="n"/>
      <c r="L2074" s="102" t="n"/>
      <c r="M2074" s="102" t="n"/>
      <c r="N2074" s="102" t="n"/>
      <c r="O2074" s="102" t="n"/>
      <c r="P2074" s="102" t="n"/>
      <c r="Q2074" s="102" t="n"/>
      <c r="R2074" s="102" t="n"/>
      <c r="S2074" s="102" t="n"/>
      <c r="T2074" s="102" t="n"/>
      <c r="U2074" s="102" t="n"/>
      <c r="V2074" s="102" t="n"/>
      <c r="W2074" s="102" t="n"/>
      <c r="X2074" s="102" t="n"/>
      <c r="Y2074" s="102" t="n"/>
      <c r="Z2074" s="102" t="n"/>
      <c r="AA2074" s="102" t="n"/>
      <c r="AB2074" s="102" t="n"/>
      <c r="AC2074" s="102" t="n"/>
      <c r="AD2074" s="102" t="n"/>
      <c r="AE2074" s="102" t="n"/>
      <c r="AF2074" s="102" t="n"/>
      <c r="AG2074" s="102" t="n"/>
      <c r="AH2074" s="102" t="n"/>
      <c r="AI2074" s="102" t="n"/>
      <c r="AJ2074" s="102" t="n"/>
      <c r="AK2074" s="102" t="n"/>
      <c r="AL2074" s="102" t="n"/>
      <c r="AM2074" s="102" t="n"/>
      <c r="AN2074" s="102" t="n"/>
      <c r="AO2074" s="102" t="n"/>
      <c r="AP2074" s="102" t="n"/>
      <c r="AQ2074" s="102" t="n"/>
      <c r="AR2074" s="102" t="n"/>
    </row>
    <row r="2075">
      <c r="D2075" s="103" t="n"/>
      <c r="E2075" s="103" t="n"/>
      <c r="F2075" s="103" t="n"/>
      <c r="G2075" s="103" t="n"/>
      <c r="H2075" s="103" t="n"/>
      <c r="I2075" s="103" t="n"/>
      <c r="J2075" s="103" t="n"/>
      <c r="K2075" s="103" t="n"/>
      <c r="L2075" s="103" t="n"/>
      <c r="M2075" s="103" t="n"/>
      <c r="N2075" s="103" t="n"/>
      <c r="O2075" s="103" t="n"/>
      <c r="P2075" s="103" t="n"/>
      <c r="Q2075" s="103" t="n"/>
      <c r="R2075" s="103" t="n"/>
      <c r="S2075" s="103" t="n"/>
      <c r="T2075" s="103" t="n"/>
      <c r="U2075" s="103" t="n"/>
      <c r="V2075" s="103" t="n"/>
      <c r="W2075" s="103" t="n"/>
      <c r="X2075" s="103" t="n"/>
      <c r="Y2075" s="103" t="n"/>
      <c r="Z2075" s="103" t="n"/>
      <c r="AA2075" s="103" t="n"/>
      <c r="AB2075" s="103" t="n"/>
      <c r="AC2075" s="103" t="n"/>
      <c r="AD2075" s="103" t="n"/>
      <c r="AE2075" s="103" t="n"/>
      <c r="AF2075" s="103" t="n"/>
      <c r="AG2075" s="103" t="n"/>
      <c r="AH2075" s="103" t="n"/>
      <c r="AI2075" s="103" t="n"/>
      <c r="AJ2075" s="103" t="n"/>
      <c r="AK2075" s="103" t="n"/>
      <c r="AL2075" s="103" t="n"/>
      <c r="AM2075" s="103" t="n"/>
      <c r="AN2075" s="103" t="n"/>
      <c r="AO2075" s="103" t="n"/>
      <c r="AP2075" s="103" t="n"/>
      <c r="AQ2075" s="103" t="n"/>
      <c r="AR2075" s="103" t="n"/>
    </row>
    <row r="2077">
      <c r="A2077" s="8">
        <f>IF(HSCEI!$C$54="","",HSCEI!$C$54)</f>
        <v/>
      </c>
      <c r="B2077" s="99">
        <f>IF($A2077="",0,COUNT($E2078:$AR2078))</f>
        <v/>
      </c>
      <c r="C2077" s="100">
        <f>IF($B2077=0,0,MAX($E2078:$AR2078))</f>
        <v/>
      </c>
      <c r="D2077" s="101">
        <f>BDS($A2077,FLD_HIST,"headers=y","startcol=1","endcol=7","dir=h","DVD_START_DT",HIST_FROM,"DVD_END_DT",HIST_TO)</f>
        <v/>
      </c>
      <c r="E2077" s="102" t="n"/>
      <c r="F2077" s="102" t="n"/>
      <c r="G2077" s="102" t="n"/>
      <c r="H2077" s="102" t="n"/>
      <c r="I2077" s="102" t="n"/>
      <c r="J2077" s="102" t="n"/>
      <c r="K2077" s="102" t="n"/>
      <c r="L2077" s="102" t="n"/>
      <c r="M2077" s="102" t="n"/>
      <c r="N2077" s="102" t="n"/>
      <c r="O2077" s="102" t="n"/>
      <c r="P2077" s="102" t="n"/>
      <c r="Q2077" s="102" t="n"/>
      <c r="R2077" s="102" t="n"/>
      <c r="S2077" s="102" t="n"/>
      <c r="T2077" s="102" t="n"/>
      <c r="U2077" s="102" t="n"/>
      <c r="V2077" s="102" t="n"/>
      <c r="W2077" s="102" t="n"/>
      <c r="X2077" s="102" t="n"/>
      <c r="Y2077" s="102" t="n"/>
      <c r="Z2077" s="102" t="n"/>
      <c r="AA2077" s="102" t="n"/>
      <c r="AB2077" s="102" t="n"/>
      <c r="AC2077" s="102" t="n"/>
      <c r="AD2077" s="102" t="n"/>
      <c r="AE2077" s="102" t="n"/>
      <c r="AF2077" s="102" t="n"/>
      <c r="AG2077" s="102" t="n"/>
      <c r="AH2077" s="102" t="n"/>
      <c r="AI2077" s="102" t="n"/>
      <c r="AJ2077" s="102" t="n"/>
      <c r="AK2077" s="102" t="n"/>
      <c r="AL2077" s="102" t="n"/>
      <c r="AM2077" s="102" t="n"/>
      <c r="AN2077" s="102" t="n"/>
      <c r="AO2077" s="102" t="n"/>
      <c r="AP2077" s="102" t="n"/>
      <c r="AQ2077" s="102" t="n"/>
      <c r="AR2077" s="102" t="n"/>
    </row>
    <row r="2078">
      <c r="D2078" s="102" t="n"/>
      <c r="E2078" s="102" t="n"/>
      <c r="F2078" s="102" t="n"/>
      <c r="G2078" s="102" t="n"/>
      <c r="H2078" s="102" t="n"/>
      <c r="I2078" s="102" t="n"/>
      <c r="J2078" s="102" t="n"/>
      <c r="K2078" s="102" t="n"/>
      <c r="L2078" s="102" t="n"/>
      <c r="M2078" s="102" t="n"/>
      <c r="N2078" s="102" t="n"/>
      <c r="O2078" s="102" t="n"/>
      <c r="P2078" s="102" t="n"/>
      <c r="Q2078" s="102" t="n"/>
      <c r="R2078" s="102" t="n"/>
      <c r="S2078" s="102" t="n"/>
      <c r="T2078" s="102" t="n"/>
      <c r="U2078" s="102" t="n"/>
      <c r="V2078" s="102" t="n"/>
      <c r="W2078" s="102" t="n"/>
      <c r="X2078" s="102" t="n"/>
      <c r="Y2078" s="102" t="n"/>
      <c r="Z2078" s="102" t="n"/>
      <c r="AA2078" s="102" t="n"/>
      <c r="AB2078" s="102" t="n"/>
      <c r="AC2078" s="102" t="n"/>
      <c r="AD2078" s="102" t="n"/>
      <c r="AE2078" s="102" t="n"/>
      <c r="AF2078" s="102" t="n"/>
      <c r="AG2078" s="102" t="n"/>
      <c r="AH2078" s="102" t="n"/>
      <c r="AI2078" s="102" t="n"/>
      <c r="AJ2078" s="102" t="n"/>
      <c r="AK2078" s="102" t="n"/>
      <c r="AL2078" s="102" t="n"/>
      <c r="AM2078" s="102" t="n"/>
      <c r="AN2078" s="102" t="n"/>
      <c r="AO2078" s="102" t="n"/>
      <c r="AP2078" s="102" t="n"/>
      <c r="AQ2078" s="102" t="n"/>
      <c r="AR2078" s="102" t="n"/>
    </row>
    <row r="2079">
      <c r="D2079" s="102" t="n"/>
      <c r="E2079" s="102" t="n"/>
      <c r="F2079" s="102" t="n"/>
      <c r="G2079" s="102" t="n"/>
      <c r="H2079" s="102" t="n"/>
      <c r="I2079" s="102" t="n"/>
      <c r="J2079" s="102" t="n"/>
      <c r="K2079" s="102" t="n"/>
      <c r="L2079" s="102" t="n"/>
      <c r="M2079" s="102" t="n"/>
      <c r="N2079" s="102" t="n"/>
      <c r="O2079" s="102" t="n"/>
      <c r="P2079" s="102" t="n"/>
      <c r="Q2079" s="102" t="n"/>
      <c r="R2079" s="102" t="n"/>
      <c r="S2079" s="102" t="n"/>
      <c r="T2079" s="102" t="n"/>
      <c r="U2079" s="102" t="n"/>
      <c r="V2079" s="102" t="n"/>
      <c r="W2079" s="102" t="n"/>
      <c r="X2079" s="102" t="n"/>
      <c r="Y2079" s="102" t="n"/>
      <c r="Z2079" s="102" t="n"/>
      <c r="AA2079" s="102" t="n"/>
      <c r="AB2079" s="102" t="n"/>
      <c r="AC2079" s="102" t="n"/>
      <c r="AD2079" s="102" t="n"/>
      <c r="AE2079" s="102" t="n"/>
      <c r="AF2079" s="102" t="n"/>
      <c r="AG2079" s="102" t="n"/>
      <c r="AH2079" s="102" t="n"/>
      <c r="AI2079" s="102" t="n"/>
      <c r="AJ2079" s="102" t="n"/>
      <c r="AK2079" s="102" t="n"/>
      <c r="AL2079" s="102" t="n"/>
      <c r="AM2079" s="102" t="n"/>
      <c r="AN2079" s="102" t="n"/>
      <c r="AO2079" s="102" t="n"/>
      <c r="AP2079" s="102" t="n"/>
      <c r="AQ2079" s="102" t="n"/>
      <c r="AR2079" s="102" t="n"/>
    </row>
    <row r="2080">
      <c r="D2080" s="102" t="n"/>
      <c r="E2080" s="102" t="n"/>
      <c r="F2080" s="102" t="n"/>
      <c r="G2080" s="102" t="n"/>
      <c r="H2080" s="102" t="n"/>
      <c r="I2080" s="102" t="n"/>
      <c r="J2080" s="102" t="n"/>
      <c r="K2080" s="102" t="n"/>
      <c r="L2080" s="102" t="n"/>
      <c r="M2080" s="102" t="n"/>
      <c r="N2080" s="102" t="n"/>
      <c r="O2080" s="102" t="n"/>
      <c r="P2080" s="102" t="n"/>
      <c r="Q2080" s="102" t="n"/>
      <c r="R2080" s="102" t="n"/>
      <c r="S2080" s="102" t="n"/>
      <c r="T2080" s="102" t="n"/>
      <c r="U2080" s="102" t="n"/>
      <c r="V2080" s="102" t="n"/>
      <c r="W2080" s="102" t="n"/>
      <c r="X2080" s="102" t="n"/>
      <c r="Y2080" s="102" t="n"/>
      <c r="Z2080" s="102" t="n"/>
      <c r="AA2080" s="102" t="n"/>
      <c r="AB2080" s="102" t="n"/>
      <c r="AC2080" s="102" t="n"/>
      <c r="AD2080" s="102" t="n"/>
      <c r="AE2080" s="102" t="n"/>
      <c r="AF2080" s="102" t="n"/>
      <c r="AG2080" s="102" t="n"/>
      <c r="AH2080" s="102" t="n"/>
      <c r="AI2080" s="102" t="n"/>
      <c r="AJ2080" s="102" t="n"/>
      <c r="AK2080" s="102" t="n"/>
      <c r="AL2080" s="102" t="n"/>
      <c r="AM2080" s="102" t="n"/>
      <c r="AN2080" s="102" t="n"/>
      <c r="AO2080" s="102" t="n"/>
      <c r="AP2080" s="102" t="n"/>
      <c r="AQ2080" s="102" t="n"/>
      <c r="AR2080" s="102" t="n"/>
    </row>
    <row r="2081">
      <c r="D2081" s="103" t="n"/>
      <c r="E2081" s="103" t="n"/>
      <c r="F2081" s="103" t="n"/>
      <c r="G2081" s="103" t="n"/>
      <c r="H2081" s="103" t="n"/>
      <c r="I2081" s="103" t="n"/>
      <c r="J2081" s="103" t="n"/>
      <c r="K2081" s="103" t="n"/>
      <c r="L2081" s="103" t="n"/>
      <c r="M2081" s="103" t="n"/>
      <c r="N2081" s="103" t="n"/>
      <c r="O2081" s="103" t="n"/>
      <c r="P2081" s="103" t="n"/>
      <c r="Q2081" s="103" t="n"/>
      <c r="R2081" s="103" t="n"/>
      <c r="S2081" s="103" t="n"/>
      <c r="T2081" s="103" t="n"/>
      <c r="U2081" s="103" t="n"/>
      <c r="V2081" s="103" t="n"/>
      <c r="W2081" s="103" t="n"/>
      <c r="X2081" s="103" t="n"/>
      <c r="Y2081" s="103" t="n"/>
      <c r="Z2081" s="103" t="n"/>
      <c r="AA2081" s="103" t="n"/>
      <c r="AB2081" s="103" t="n"/>
      <c r="AC2081" s="103" t="n"/>
      <c r="AD2081" s="103" t="n"/>
      <c r="AE2081" s="103" t="n"/>
      <c r="AF2081" s="103" t="n"/>
      <c r="AG2081" s="103" t="n"/>
      <c r="AH2081" s="103" t="n"/>
      <c r="AI2081" s="103" t="n"/>
      <c r="AJ2081" s="103" t="n"/>
      <c r="AK2081" s="103" t="n"/>
      <c r="AL2081" s="103" t="n"/>
      <c r="AM2081" s="103" t="n"/>
      <c r="AN2081" s="103" t="n"/>
      <c r="AO2081" s="103" t="n"/>
      <c r="AP2081" s="103" t="n"/>
      <c r="AQ2081" s="103" t="n"/>
      <c r="AR2081" s="103" t="n"/>
    </row>
    <row r="2084">
      <c r="A2084" s="2">
        <f>IF($A2077="","","   projections")</f>
        <v/>
      </c>
      <c r="B2084" s="99">
        <f>IF($A2077="",0,COUNT($E2085:$AR2085))</f>
        <v/>
      </c>
      <c r="C2084" s="100">
        <f>IF($B2084=0,0,MAX($E2085:$AR2085))</f>
        <v/>
      </c>
      <c r="D2084" s="101">
        <f>BDS($A2077,FLD_PROJ,"headers=y","startcol=1","endcol=3","dir=h")</f>
        <v/>
      </c>
      <c r="E2084" s="102" t="n"/>
      <c r="F2084" s="102" t="n"/>
      <c r="G2084" s="102" t="n"/>
      <c r="H2084" s="102" t="n"/>
      <c r="I2084" s="102" t="n"/>
      <c r="J2084" s="102" t="n"/>
      <c r="K2084" s="102" t="n"/>
      <c r="L2084" s="102" t="n"/>
      <c r="M2084" s="102" t="n"/>
      <c r="N2084" s="102" t="n"/>
      <c r="O2084" s="102" t="n"/>
      <c r="P2084" s="102" t="n"/>
      <c r="Q2084" s="102" t="n"/>
      <c r="R2084" s="102" t="n"/>
      <c r="S2084" s="102" t="n"/>
      <c r="T2084" s="102" t="n"/>
      <c r="U2084" s="102" t="n"/>
      <c r="V2084" s="102" t="n"/>
      <c r="W2084" s="102" t="n"/>
      <c r="X2084" s="102" t="n"/>
      <c r="Y2084" s="102" t="n"/>
      <c r="Z2084" s="102" t="n"/>
      <c r="AA2084" s="102" t="n"/>
      <c r="AB2084" s="102" t="n"/>
      <c r="AC2084" s="102" t="n"/>
      <c r="AD2084" s="102" t="n"/>
      <c r="AE2084" s="102" t="n"/>
      <c r="AF2084" s="102" t="n"/>
      <c r="AG2084" s="102" t="n"/>
      <c r="AH2084" s="102" t="n"/>
      <c r="AI2084" s="102" t="n"/>
      <c r="AJ2084" s="102" t="n"/>
      <c r="AK2084" s="102" t="n"/>
      <c r="AL2084" s="102" t="n"/>
      <c r="AM2084" s="102" t="n"/>
      <c r="AN2084" s="102" t="n"/>
      <c r="AO2084" s="102" t="n"/>
      <c r="AP2084" s="102" t="n"/>
      <c r="AQ2084" s="102" t="n"/>
      <c r="AR2084" s="102" t="n"/>
    </row>
    <row r="2085">
      <c r="D2085" s="102" t="n"/>
      <c r="E2085" s="102" t="n"/>
      <c r="F2085" s="102" t="n"/>
      <c r="G2085" s="102" t="n"/>
      <c r="H2085" s="102" t="n"/>
      <c r="I2085" s="102" t="n"/>
      <c r="J2085" s="102" t="n"/>
      <c r="K2085" s="102" t="n"/>
      <c r="L2085" s="102" t="n"/>
      <c r="M2085" s="102" t="n"/>
      <c r="N2085" s="102" t="n"/>
      <c r="O2085" s="102" t="n"/>
      <c r="P2085" s="102" t="n"/>
      <c r="Q2085" s="102" t="n"/>
      <c r="R2085" s="102" t="n"/>
      <c r="S2085" s="102" t="n"/>
      <c r="T2085" s="102" t="n"/>
      <c r="U2085" s="102" t="n"/>
      <c r="V2085" s="102" t="n"/>
      <c r="W2085" s="102" t="n"/>
      <c r="X2085" s="102" t="n"/>
      <c r="Y2085" s="102" t="n"/>
      <c r="Z2085" s="102" t="n"/>
      <c r="AA2085" s="102" t="n"/>
      <c r="AB2085" s="102" t="n"/>
      <c r="AC2085" s="102" t="n"/>
      <c r="AD2085" s="102" t="n"/>
      <c r="AE2085" s="102" t="n"/>
      <c r="AF2085" s="102" t="n"/>
      <c r="AG2085" s="102" t="n"/>
      <c r="AH2085" s="102" t="n"/>
      <c r="AI2085" s="102" t="n"/>
      <c r="AJ2085" s="102" t="n"/>
      <c r="AK2085" s="102" t="n"/>
      <c r="AL2085" s="102" t="n"/>
      <c r="AM2085" s="102" t="n"/>
      <c r="AN2085" s="102" t="n"/>
      <c r="AO2085" s="102" t="n"/>
      <c r="AP2085" s="102" t="n"/>
      <c r="AQ2085" s="102" t="n"/>
      <c r="AR2085" s="102" t="n"/>
    </row>
    <row r="2086">
      <c r="D2086" s="103" t="n"/>
      <c r="E2086" s="103" t="n"/>
      <c r="F2086" s="103" t="n"/>
      <c r="G2086" s="103" t="n"/>
      <c r="H2086" s="103" t="n"/>
      <c r="I2086" s="103" t="n"/>
      <c r="J2086" s="103" t="n"/>
      <c r="K2086" s="103" t="n"/>
      <c r="L2086" s="103" t="n"/>
      <c r="M2086" s="103" t="n"/>
      <c r="N2086" s="103" t="n"/>
      <c r="O2086" s="103" t="n"/>
      <c r="P2086" s="103" t="n"/>
      <c r="Q2086" s="103" t="n"/>
      <c r="R2086" s="103" t="n"/>
      <c r="S2086" s="103" t="n"/>
      <c r="T2086" s="103" t="n"/>
      <c r="U2086" s="103" t="n"/>
      <c r="V2086" s="103" t="n"/>
      <c r="W2086" s="103" t="n"/>
      <c r="X2086" s="103" t="n"/>
      <c r="Y2086" s="103" t="n"/>
      <c r="Z2086" s="103" t="n"/>
      <c r="AA2086" s="103" t="n"/>
      <c r="AB2086" s="103" t="n"/>
      <c r="AC2086" s="103" t="n"/>
      <c r="AD2086" s="103" t="n"/>
      <c r="AE2086" s="103" t="n"/>
      <c r="AF2086" s="103" t="n"/>
      <c r="AG2086" s="103" t="n"/>
      <c r="AH2086" s="103" t="n"/>
      <c r="AI2086" s="103" t="n"/>
      <c r="AJ2086" s="103" t="n"/>
      <c r="AK2086" s="103" t="n"/>
      <c r="AL2086" s="103" t="n"/>
      <c r="AM2086" s="103" t="n"/>
      <c r="AN2086" s="103" t="n"/>
      <c r="AO2086" s="103" t="n"/>
      <c r="AP2086" s="103" t="n"/>
      <c r="AQ2086" s="103" t="n"/>
      <c r="AR2086" s="103" t="n"/>
    </row>
    <row r="2088">
      <c r="A2088" s="8">
        <f>IF(HSCEI!$C$55="","",HSCEI!$C$55)</f>
        <v/>
      </c>
      <c r="B2088" s="99">
        <f>IF($A2088="",0,COUNT($E2089:$AR2089))</f>
        <v/>
      </c>
      <c r="C2088" s="100">
        <f>IF($B2088=0,0,MAX($E2089:$AR2089))</f>
        <v/>
      </c>
      <c r="D2088" s="101">
        <f>BDS($A2088,FLD_HIST,"headers=y","startcol=1","endcol=7","dir=h","DVD_START_DT",HIST_FROM,"DVD_END_DT",HIST_TO)</f>
        <v/>
      </c>
      <c r="E2088" s="102" t="n"/>
      <c r="F2088" s="102" t="n"/>
      <c r="G2088" s="102" t="n"/>
      <c r="H2088" s="102" t="n"/>
      <c r="I2088" s="102" t="n"/>
      <c r="J2088" s="102" t="n"/>
      <c r="K2088" s="102" t="n"/>
      <c r="L2088" s="102" t="n"/>
      <c r="M2088" s="102" t="n"/>
      <c r="N2088" s="102" t="n"/>
      <c r="O2088" s="102" t="n"/>
      <c r="P2088" s="102" t="n"/>
      <c r="Q2088" s="102" t="n"/>
      <c r="R2088" s="102" t="n"/>
      <c r="S2088" s="102" t="n"/>
      <c r="T2088" s="102" t="n"/>
      <c r="U2088" s="102" t="n"/>
      <c r="V2088" s="102" t="n"/>
      <c r="W2088" s="102" t="n"/>
      <c r="X2088" s="102" t="n"/>
      <c r="Y2088" s="102" t="n"/>
      <c r="Z2088" s="102" t="n"/>
      <c r="AA2088" s="102" t="n"/>
      <c r="AB2088" s="102" t="n"/>
      <c r="AC2088" s="102" t="n"/>
      <c r="AD2088" s="102" t="n"/>
      <c r="AE2088" s="102" t="n"/>
      <c r="AF2088" s="102" t="n"/>
      <c r="AG2088" s="102" t="n"/>
      <c r="AH2088" s="102" t="n"/>
      <c r="AI2088" s="102" t="n"/>
      <c r="AJ2088" s="102" t="n"/>
      <c r="AK2088" s="102" t="n"/>
      <c r="AL2088" s="102" t="n"/>
      <c r="AM2088" s="102" t="n"/>
      <c r="AN2088" s="102" t="n"/>
      <c r="AO2088" s="102" t="n"/>
      <c r="AP2088" s="102" t="n"/>
      <c r="AQ2088" s="102" t="n"/>
      <c r="AR2088" s="102" t="n"/>
    </row>
    <row r="2089">
      <c r="D2089" s="102" t="n"/>
      <c r="E2089" s="102" t="n"/>
      <c r="F2089" s="102" t="n"/>
      <c r="G2089" s="102" t="n"/>
      <c r="H2089" s="102" t="n"/>
      <c r="I2089" s="102" t="n"/>
      <c r="J2089" s="102" t="n"/>
      <c r="K2089" s="102" t="n"/>
      <c r="L2089" s="102" t="n"/>
      <c r="M2089" s="102" t="n"/>
      <c r="N2089" s="102" t="n"/>
      <c r="O2089" s="102" t="n"/>
      <c r="P2089" s="102" t="n"/>
      <c r="Q2089" s="102" t="n"/>
      <c r="R2089" s="102" t="n"/>
      <c r="S2089" s="102" t="n"/>
      <c r="T2089" s="102" t="n"/>
      <c r="U2089" s="102" t="n"/>
      <c r="V2089" s="102" t="n"/>
      <c r="W2089" s="102" t="n"/>
      <c r="X2089" s="102" t="n"/>
      <c r="Y2089" s="102" t="n"/>
      <c r="Z2089" s="102" t="n"/>
      <c r="AA2089" s="102" t="n"/>
      <c r="AB2089" s="102" t="n"/>
      <c r="AC2089" s="102" t="n"/>
      <c r="AD2089" s="102" t="n"/>
      <c r="AE2089" s="102" t="n"/>
      <c r="AF2089" s="102" t="n"/>
      <c r="AG2089" s="102" t="n"/>
      <c r="AH2089" s="102" t="n"/>
      <c r="AI2089" s="102" t="n"/>
      <c r="AJ2089" s="102" t="n"/>
      <c r="AK2089" s="102" t="n"/>
      <c r="AL2089" s="102" t="n"/>
      <c r="AM2089" s="102" t="n"/>
      <c r="AN2089" s="102" t="n"/>
      <c r="AO2089" s="102" t="n"/>
      <c r="AP2089" s="102" t="n"/>
      <c r="AQ2089" s="102" t="n"/>
      <c r="AR2089" s="102" t="n"/>
    </row>
    <row r="2090">
      <c r="D2090" s="102" t="n"/>
      <c r="E2090" s="102" t="n"/>
      <c r="F2090" s="102" t="n"/>
      <c r="G2090" s="102" t="n"/>
      <c r="H2090" s="102" t="n"/>
      <c r="I2090" s="102" t="n"/>
      <c r="J2090" s="102" t="n"/>
      <c r="K2090" s="102" t="n"/>
      <c r="L2090" s="102" t="n"/>
      <c r="M2090" s="102" t="n"/>
      <c r="N2090" s="102" t="n"/>
      <c r="O2090" s="102" t="n"/>
      <c r="P2090" s="102" t="n"/>
      <c r="Q2090" s="102" t="n"/>
      <c r="R2090" s="102" t="n"/>
      <c r="S2090" s="102" t="n"/>
      <c r="T2090" s="102" t="n"/>
      <c r="U2090" s="102" t="n"/>
      <c r="V2090" s="102" t="n"/>
      <c r="W2090" s="102" t="n"/>
      <c r="X2090" s="102" t="n"/>
      <c r="Y2090" s="102" t="n"/>
      <c r="Z2090" s="102" t="n"/>
      <c r="AA2090" s="102" t="n"/>
      <c r="AB2090" s="102" t="n"/>
      <c r="AC2090" s="102" t="n"/>
      <c r="AD2090" s="102" t="n"/>
      <c r="AE2090" s="102" t="n"/>
      <c r="AF2090" s="102" t="n"/>
      <c r="AG2090" s="102" t="n"/>
      <c r="AH2090" s="102" t="n"/>
      <c r="AI2090" s="102" t="n"/>
      <c r="AJ2090" s="102" t="n"/>
      <c r="AK2090" s="102" t="n"/>
      <c r="AL2090" s="102" t="n"/>
      <c r="AM2090" s="102" t="n"/>
      <c r="AN2090" s="102" t="n"/>
      <c r="AO2090" s="102" t="n"/>
      <c r="AP2090" s="102" t="n"/>
      <c r="AQ2090" s="102" t="n"/>
      <c r="AR2090" s="102" t="n"/>
    </row>
    <row r="2091">
      <c r="D2091" s="102" t="n"/>
      <c r="E2091" s="102" t="n"/>
      <c r="F2091" s="102" t="n"/>
      <c r="G2091" s="102" t="n"/>
      <c r="H2091" s="102" t="n"/>
      <c r="I2091" s="102" t="n"/>
      <c r="J2091" s="102" t="n"/>
      <c r="K2091" s="102" t="n"/>
      <c r="L2091" s="102" t="n"/>
      <c r="M2091" s="102" t="n"/>
      <c r="N2091" s="102" t="n"/>
      <c r="O2091" s="102" t="n"/>
      <c r="P2091" s="102" t="n"/>
      <c r="Q2091" s="102" t="n"/>
      <c r="R2091" s="102" t="n"/>
      <c r="S2091" s="102" t="n"/>
      <c r="T2091" s="102" t="n"/>
      <c r="U2091" s="102" t="n"/>
      <c r="V2091" s="102" t="n"/>
      <c r="W2091" s="102" t="n"/>
      <c r="X2091" s="102" t="n"/>
      <c r="Y2091" s="102" t="n"/>
      <c r="Z2091" s="102" t="n"/>
      <c r="AA2091" s="102" t="n"/>
      <c r="AB2091" s="102" t="n"/>
      <c r="AC2091" s="102" t="n"/>
      <c r="AD2091" s="102" t="n"/>
      <c r="AE2091" s="102" t="n"/>
      <c r="AF2091" s="102" t="n"/>
      <c r="AG2091" s="102" t="n"/>
      <c r="AH2091" s="102" t="n"/>
      <c r="AI2091" s="102" t="n"/>
      <c r="AJ2091" s="102" t="n"/>
      <c r="AK2091" s="102" t="n"/>
      <c r="AL2091" s="102" t="n"/>
      <c r="AM2091" s="102" t="n"/>
      <c r="AN2091" s="102" t="n"/>
      <c r="AO2091" s="102" t="n"/>
      <c r="AP2091" s="102" t="n"/>
      <c r="AQ2091" s="102" t="n"/>
      <c r="AR2091" s="102" t="n"/>
    </row>
    <row r="2092">
      <c r="D2092" s="103" t="n"/>
      <c r="E2092" s="103" t="n"/>
      <c r="F2092" s="103" t="n"/>
      <c r="G2092" s="103" t="n"/>
      <c r="H2092" s="103" t="n"/>
      <c r="I2092" s="103" t="n"/>
      <c r="J2092" s="103" t="n"/>
      <c r="K2092" s="103" t="n"/>
      <c r="L2092" s="103" t="n"/>
      <c r="M2092" s="103" t="n"/>
      <c r="N2092" s="103" t="n"/>
      <c r="O2092" s="103" t="n"/>
      <c r="P2092" s="103" t="n"/>
      <c r="Q2092" s="103" t="n"/>
      <c r="R2092" s="103" t="n"/>
      <c r="S2092" s="103" t="n"/>
      <c r="T2092" s="103" t="n"/>
      <c r="U2092" s="103" t="n"/>
      <c r="V2092" s="103" t="n"/>
      <c r="W2092" s="103" t="n"/>
      <c r="X2092" s="103" t="n"/>
      <c r="Y2092" s="103" t="n"/>
      <c r="Z2092" s="103" t="n"/>
      <c r="AA2092" s="103" t="n"/>
      <c r="AB2092" s="103" t="n"/>
      <c r="AC2092" s="103" t="n"/>
      <c r="AD2092" s="103" t="n"/>
      <c r="AE2092" s="103" t="n"/>
      <c r="AF2092" s="103" t="n"/>
      <c r="AG2092" s="103" t="n"/>
      <c r="AH2092" s="103" t="n"/>
      <c r="AI2092" s="103" t="n"/>
      <c r="AJ2092" s="103" t="n"/>
      <c r="AK2092" s="103" t="n"/>
      <c r="AL2092" s="103" t="n"/>
      <c r="AM2092" s="103" t="n"/>
      <c r="AN2092" s="103" t="n"/>
      <c r="AO2092" s="103" t="n"/>
      <c r="AP2092" s="103" t="n"/>
      <c r="AQ2092" s="103" t="n"/>
      <c r="AR2092" s="103" t="n"/>
    </row>
    <row r="2095">
      <c r="A2095" s="2">
        <f>IF($A2088="","","   projections")</f>
        <v/>
      </c>
      <c r="B2095" s="99">
        <f>IF($A2088="",0,COUNT($E2096:$AR2096))</f>
        <v/>
      </c>
      <c r="C2095" s="100">
        <f>IF($B2095=0,0,MAX($E2096:$AR2096))</f>
        <v/>
      </c>
      <c r="D2095" s="101">
        <f>BDS($A2088,FLD_PROJ,"headers=y","startcol=1","endcol=3","dir=h")</f>
        <v/>
      </c>
      <c r="E2095" s="102" t="n"/>
      <c r="F2095" s="102" t="n"/>
      <c r="G2095" s="102" t="n"/>
      <c r="H2095" s="102" t="n"/>
      <c r="I2095" s="102" t="n"/>
      <c r="J2095" s="102" t="n"/>
      <c r="K2095" s="102" t="n"/>
      <c r="L2095" s="102" t="n"/>
      <c r="M2095" s="102" t="n"/>
      <c r="N2095" s="102" t="n"/>
      <c r="O2095" s="102" t="n"/>
      <c r="P2095" s="102" t="n"/>
      <c r="Q2095" s="102" t="n"/>
      <c r="R2095" s="102" t="n"/>
      <c r="S2095" s="102" t="n"/>
      <c r="T2095" s="102" t="n"/>
      <c r="U2095" s="102" t="n"/>
      <c r="V2095" s="102" t="n"/>
      <c r="W2095" s="102" t="n"/>
      <c r="X2095" s="102" t="n"/>
      <c r="Y2095" s="102" t="n"/>
      <c r="Z2095" s="102" t="n"/>
      <c r="AA2095" s="102" t="n"/>
      <c r="AB2095" s="102" t="n"/>
      <c r="AC2095" s="102" t="n"/>
      <c r="AD2095" s="102" t="n"/>
      <c r="AE2095" s="102" t="n"/>
      <c r="AF2095" s="102" t="n"/>
      <c r="AG2095" s="102" t="n"/>
      <c r="AH2095" s="102" t="n"/>
      <c r="AI2095" s="102" t="n"/>
      <c r="AJ2095" s="102" t="n"/>
      <c r="AK2095" s="102" t="n"/>
      <c r="AL2095" s="102" t="n"/>
      <c r="AM2095" s="102" t="n"/>
      <c r="AN2095" s="102" t="n"/>
      <c r="AO2095" s="102" t="n"/>
      <c r="AP2095" s="102" t="n"/>
      <c r="AQ2095" s="102" t="n"/>
      <c r="AR2095" s="102" t="n"/>
    </row>
    <row r="2096">
      <c r="D2096" s="102" t="n"/>
      <c r="E2096" s="102" t="n"/>
      <c r="F2096" s="102" t="n"/>
      <c r="G2096" s="102" t="n"/>
      <c r="H2096" s="102" t="n"/>
      <c r="I2096" s="102" t="n"/>
      <c r="J2096" s="102" t="n"/>
      <c r="K2096" s="102" t="n"/>
      <c r="L2096" s="102" t="n"/>
      <c r="M2096" s="102" t="n"/>
      <c r="N2096" s="102" t="n"/>
      <c r="O2096" s="102" t="n"/>
      <c r="P2096" s="102" t="n"/>
      <c r="Q2096" s="102" t="n"/>
      <c r="R2096" s="102" t="n"/>
      <c r="S2096" s="102" t="n"/>
      <c r="T2096" s="102" t="n"/>
      <c r="U2096" s="102" t="n"/>
      <c r="V2096" s="102" t="n"/>
      <c r="W2096" s="102" t="n"/>
      <c r="X2096" s="102" t="n"/>
      <c r="Y2096" s="102" t="n"/>
      <c r="Z2096" s="102" t="n"/>
      <c r="AA2096" s="102" t="n"/>
      <c r="AB2096" s="102" t="n"/>
      <c r="AC2096" s="102" t="n"/>
      <c r="AD2096" s="102" t="n"/>
      <c r="AE2096" s="102" t="n"/>
      <c r="AF2096" s="102" t="n"/>
      <c r="AG2096" s="102" t="n"/>
      <c r="AH2096" s="102" t="n"/>
      <c r="AI2096" s="102" t="n"/>
      <c r="AJ2096" s="102" t="n"/>
      <c r="AK2096" s="102" t="n"/>
      <c r="AL2096" s="102" t="n"/>
      <c r="AM2096" s="102" t="n"/>
      <c r="AN2096" s="102" t="n"/>
      <c r="AO2096" s="102" t="n"/>
      <c r="AP2096" s="102" t="n"/>
      <c r="AQ2096" s="102" t="n"/>
      <c r="AR2096" s="102" t="n"/>
    </row>
    <row r="2097">
      <c r="D2097" s="103" t="n"/>
      <c r="E2097" s="103" t="n"/>
      <c r="F2097" s="103" t="n"/>
      <c r="G2097" s="103" t="n"/>
      <c r="H2097" s="103" t="n"/>
      <c r="I2097" s="103" t="n"/>
      <c r="J2097" s="103" t="n"/>
      <c r="K2097" s="103" t="n"/>
      <c r="L2097" s="103" t="n"/>
      <c r="M2097" s="103" t="n"/>
      <c r="N2097" s="103" t="n"/>
      <c r="O2097" s="103" t="n"/>
      <c r="P2097" s="103" t="n"/>
      <c r="Q2097" s="103" t="n"/>
      <c r="R2097" s="103" t="n"/>
      <c r="S2097" s="103" t="n"/>
      <c r="T2097" s="103" t="n"/>
      <c r="U2097" s="103" t="n"/>
      <c r="V2097" s="103" t="n"/>
      <c r="W2097" s="103" t="n"/>
      <c r="X2097" s="103" t="n"/>
      <c r="Y2097" s="103" t="n"/>
      <c r="Z2097" s="103" t="n"/>
      <c r="AA2097" s="103" t="n"/>
      <c r="AB2097" s="103" t="n"/>
      <c r="AC2097" s="103" t="n"/>
      <c r="AD2097" s="103" t="n"/>
      <c r="AE2097" s="103" t="n"/>
      <c r="AF2097" s="103" t="n"/>
      <c r="AG2097" s="103" t="n"/>
      <c r="AH2097" s="103" t="n"/>
      <c r="AI2097" s="103" t="n"/>
      <c r="AJ2097" s="103" t="n"/>
      <c r="AK2097" s="103" t="n"/>
      <c r="AL2097" s="103" t="n"/>
      <c r="AM2097" s="103" t="n"/>
      <c r="AN2097" s="103" t="n"/>
      <c r="AO2097" s="103" t="n"/>
      <c r="AP2097" s="103" t="n"/>
      <c r="AQ2097" s="103" t="n"/>
      <c r="AR2097" s="103" t="n"/>
    </row>
    <row r="2099">
      <c r="A2099" s="8">
        <f>IF(HSCEI!$C$56="","",HSCEI!$C$56)</f>
        <v/>
      </c>
      <c r="B2099" s="99">
        <f>IF($A2099="",0,COUNT($E2100:$AR2100))</f>
        <v/>
      </c>
      <c r="C2099" s="100">
        <f>IF($B2099=0,0,MAX($E2100:$AR2100))</f>
        <v/>
      </c>
      <c r="D2099" s="101">
        <f>BDS($A2099,FLD_HIST,"headers=y","startcol=1","endcol=7","dir=h","DVD_START_DT",HIST_FROM,"DVD_END_DT",HIST_TO)</f>
        <v/>
      </c>
      <c r="E2099" s="102" t="n"/>
      <c r="F2099" s="102" t="n"/>
      <c r="G2099" s="102" t="n"/>
      <c r="H2099" s="102" t="n"/>
      <c r="I2099" s="102" t="n"/>
      <c r="J2099" s="102" t="n"/>
      <c r="K2099" s="102" t="n"/>
      <c r="L2099" s="102" t="n"/>
      <c r="M2099" s="102" t="n"/>
      <c r="N2099" s="102" t="n"/>
      <c r="O2099" s="102" t="n"/>
      <c r="P2099" s="102" t="n"/>
      <c r="Q2099" s="102" t="n"/>
      <c r="R2099" s="102" t="n"/>
      <c r="S2099" s="102" t="n"/>
      <c r="T2099" s="102" t="n"/>
      <c r="U2099" s="102" t="n"/>
      <c r="V2099" s="102" t="n"/>
      <c r="W2099" s="102" t="n"/>
      <c r="X2099" s="102" t="n"/>
      <c r="Y2099" s="102" t="n"/>
      <c r="Z2099" s="102" t="n"/>
      <c r="AA2099" s="102" t="n"/>
      <c r="AB2099" s="102" t="n"/>
      <c r="AC2099" s="102" t="n"/>
      <c r="AD2099" s="102" t="n"/>
      <c r="AE2099" s="102" t="n"/>
      <c r="AF2099" s="102" t="n"/>
      <c r="AG2099" s="102" t="n"/>
      <c r="AH2099" s="102" t="n"/>
      <c r="AI2099" s="102" t="n"/>
      <c r="AJ2099" s="102" t="n"/>
      <c r="AK2099" s="102" t="n"/>
      <c r="AL2099" s="102" t="n"/>
      <c r="AM2099" s="102" t="n"/>
      <c r="AN2099" s="102" t="n"/>
      <c r="AO2099" s="102" t="n"/>
      <c r="AP2099" s="102" t="n"/>
      <c r="AQ2099" s="102" t="n"/>
      <c r="AR2099" s="102" t="n"/>
    </row>
    <row r="2100">
      <c r="D2100" s="102" t="n"/>
      <c r="E2100" s="102" t="n"/>
      <c r="F2100" s="102" t="n"/>
      <c r="G2100" s="102" t="n"/>
      <c r="H2100" s="102" t="n"/>
      <c r="I2100" s="102" t="n"/>
      <c r="J2100" s="102" t="n"/>
      <c r="K2100" s="102" t="n"/>
      <c r="L2100" s="102" t="n"/>
      <c r="M2100" s="102" t="n"/>
      <c r="N2100" s="102" t="n"/>
      <c r="O2100" s="102" t="n"/>
      <c r="P2100" s="102" t="n"/>
      <c r="Q2100" s="102" t="n"/>
      <c r="R2100" s="102" t="n"/>
      <c r="S2100" s="102" t="n"/>
      <c r="T2100" s="102" t="n"/>
      <c r="U2100" s="102" t="n"/>
      <c r="V2100" s="102" t="n"/>
      <c r="W2100" s="102" t="n"/>
      <c r="X2100" s="102" t="n"/>
      <c r="Y2100" s="102" t="n"/>
      <c r="Z2100" s="102" t="n"/>
      <c r="AA2100" s="102" t="n"/>
      <c r="AB2100" s="102" t="n"/>
      <c r="AC2100" s="102" t="n"/>
      <c r="AD2100" s="102" t="n"/>
      <c r="AE2100" s="102" t="n"/>
      <c r="AF2100" s="102" t="n"/>
      <c r="AG2100" s="102" t="n"/>
      <c r="AH2100" s="102" t="n"/>
      <c r="AI2100" s="102" t="n"/>
      <c r="AJ2100" s="102" t="n"/>
      <c r="AK2100" s="102" t="n"/>
      <c r="AL2100" s="102" t="n"/>
      <c r="AM2100" s="102" t="n"/>
      <c r="AN2100" s="102" t="n"/>
      <c r="AO2100" s="102" t="n"/>
      <c r="AP2100" s="102" t="n"/>
      <c r="AQ2100" s="102" t="n"/>
      <c r="AR2100" s="102" t="n"/>
    </row>
    <row r="2101">
      <c r="D2101" s="102" t="n"/>
      <c r="E2101" s="102" t="n"/>
      <c r="F2101" s="102" t="n"/>
      <c r="G2101" s="102" t="n"/>
      <c r="H2101" s="102" t="n"/>
      <c r="I2101" s="102" t="n"/>
      <c r="J2101" s="102" t="n"/>
      <c r="K2101" s="102" t="n"/>
      <c r="L2101" s="102" t="n"/>
      <c r="M2101" s="102" t="n"/>
      <c r="N2101" s="102" t="n"/>
      <c r="O2101" s="102" t="n"/>
      <c r="P2101" s="102" t="n"/>
      <c r="Q2101" s="102" t="n"/>
      <c r="R2101" s="102" t="n"/>
      <c r="S2101" s="102" t="n"/>
      <c r="T2101" s="102" t="n"/>
      <c r="U2101" s="102" t="n"/>
      <c r="V2101" s="102" t="n"/>
      <c r="W2101" s="102" t="n"/>
      <c r="X2101" s="102" t="n"/>
      <c r="Y2101" s="102" t="n"/>
      <c r="Z2101" s="102" t="n"/>
      <c r="AA2101" s="102" t="n"/>
      <c r="AB2101" s="102" t="n"/>
      <c r="AC2101" s="102" t="n"/>
      <c r="AD2101" s="102" t="n"/>
      <c r="AE2101" s="102" t="n"/>
      <c r="AF2101" s="102" t="n"/>
      <c r="AG2101" s="102" t="n"/>
      <c r="AH2101" s="102" t="n"/>
      <c r="AI2101" s="102" t="n"/>
      <c r="AJ2101" s="102" t="n"/>
      <c r="AK2101" s="102" t="n"/>
      <c r="AL2101" s="102" t="n"/>
      <c r="AM2101" s="102" t="n"/>
      <c r="AN2101" s="102" t="n"/>
      <c r="AO2101" s="102" t="n"/>
      <c r="AP2101" s="102" t="n"/>
      <c r="AQ2101" s="102" t="n"/>
      <c r="AR2101" s="102" t="n"/>
    </row>
    <row r="2102">
      <c r="D2102" s="102" t="n"/>
      <c r="E2102" s="102" t="n"/>
      <c r="F2102" s="102" t="n"/>
      <c r="G2102" s="102" t="n"/>
      <c r="H2102" s="102" t="n"/>
      <c r="I2102" s="102" t="n"/>
      <c r="J2102" s="102" t="n"/>
      <c r="K2102" s="102" t="n"/>
      <c r="L2102" s="102" t="n"/>
      <c r="M2102" s="102" t="n"/>
      <c r="N2102" s="102" t="n"/>
      <c r="O2102" s="102" t="n"/>
      <c r="P2102" s="102" t="n"/>
      <c r="Q2102" s="102" t="n"/>
      <c r="R2102" s="102" t="n"/>
      <c r="S2102" s="102" t="n"/>
      <c r="T2102" s="102" t="n"/>
      <c r="U2102" s="102" t="n"/>
      <c r="V2102" s="102" t="n"/>
      <c r="W2102" s="102" t="n"/>
      <c r="X2102" s="102" t="n"/>
      <c r="Y2102" s="102" t="n"/>
      <c r="Z2102" s="102" t="n"/>
      <c r="AA2102" s="102" t="n"/>
      <c r="AB2102" s="102" t="n"/>
      <c r="AC2102" s="102" t="n"/>
      <c r="AD2102" s="102" t="n"/>
      <c r="AE2102" s="102" t="n"/>
      <c r="AF2102" s="102" t="n"/>
      <c r="AG2102" s="102" t="n"/>
      <c r="AH2102" s="102" t="n"/>
      <c r="AI2102" s="102" t="n"/>
      <c r="AJ2102" s="102" t="n"/>
      <c r="AK2102" s="102" t="n"/>
      <c r="AL2102" s="102" t="n"/>
      <c r="AM2102" s="102" t="n"/>
      <c r="AN2102" s="102" t="n"/>
      <c r="AO2102" s="102" t="n"/>
      <c r="AP2102" s="102" t="n"/>
      <c r="AQ2102" s="102" t="n"/>
      <c r="AR2102" s="102" t="n"/>
    </row>
    <row r="2103">
      <c r="D2103" s="103" t="n"/>
      <c r="E2103" s="103" t="n"/>
      <c r="F2103" s="103" t="n"/>
      <c r="G2103" s="103" t="n"/>
      <c r="H2103" s="103" t="n"/>
      <c r="I2103" s="103" t="n"/>
      <c r="J2103" s="103" t="n"/>
      <c r="K2103" s="103" t="n"/>
      <c r="L2103" s="103" t="n"/>
      <c r="M2103" s="103" t="n"/>
      <c r="N2103" s="103" t="n"/>
      <c r="O2103" s="103" t="n"/>
      <c r="P2103" s="103" t="n"/>
      <c r="Q2103" s="103" t="n"/>
      <c r="R2103" s="103" t="n"/>
      <c r="S2103" s="103" t="n"/>
      <c r="T2103" s="103" t="n"/>
      <c r="U2103" s="103" t="n"/>
      <c r="V2103" s="103" t="n"/>
      <c r="W2103" s="103" t="n"/>
      <c r="X2103" s="103" t="n"/>
      <c r="Y2103" s="103" t="n"/>
      <c r="Z2103" s="103" t="n"/>
      <c r="AA2103" s="103" t="n"/>
      <c r="AB2103" s="103" t="n"/>
      <c r="AC2103" s="103" t="n"/>
      <c r="AD2103" s="103" t="n"/>
      <c r="AE2103" s="103" t="n"/>
      <c r="AF2103" s="103" t="n"/>
      <c r="AG2103" s="103" t="n"/>
      <c r="AH2103" s="103" t="n"/>
      <c r="AI2103" s="103" t="n"/>
      <c r="AJ2103" s="103" t="n"/>
      <c r="AK2103" s="103" t="n"/>
      <c r="AL2103" s="103" t="n"/>
      <c r="AM2103" s="103" t="n"/>
      <c r="AN2103" s="103" t="n"/>
      <c r="AO2103" s="103" t="n"/>
      <c r="AP2103" s="103" t="n"/>
      <c r="AQ2103" s="103" t="n"/>
      <c r="AR2103" s="103" t="n"/>
    </row>
    <row r="2106">
      <c r="A2106" s="2">
        <f>IF($A2099="","","   projections")</f>
        <v/>
      </c>
      <c r="B2106" s="99">
        <f>IF($A2099="",0,COUNT($E2107:$AR2107))</f>
        <v/>
      </c>
      <c r="C2106" s="100">
        <f>IF($B2106=0,0,MAX($E2107:$AR2107))</f>
        <v/>
      </c>
      <c r="D2106" s="101">
        <f>BDS($A2099,FLD_PROJ,"headers=y","startcol=1","endcol=3","dir=h")</f>
        <v/>
      </c>
      <c r="E2106" s="102" t="n"/>
      <c r="F2106" s="102" t="n"/>
      <c r="G2106" s="102" t="n"/>
      <c r="H2106" s="102" t="n"/>
      <c r="I2106" s="102" t="n"/>
      <c r="J2106" s="102" t="n"/>
      <c r="K2106" s="102" t="n"/>
      <c r="L2106" s="102" t="n"/>
      <c r="M2106" s="102" t="n"/>
      <c r="N2106" s="102" t="n"/>
      <c r="O2106" s="102" t="n"/>
      <c r="P2106" s="102" t="n"/>
      <c r="Q2106" s="102" t="n"/>
      <c r="R2106" s="102" t="n"/>
      <c r="S2106" s="102" t="n"/>
      <c r="T2106" s="102" t="n"/>
      <c r="U2106" s="102" t="n"/>
      <c r="V2106" s="102" t="n"/>
      <c r="W2106" s="102" t="n"/>
      <c r="X2106" s="102" t="n"/>
      <c r="Y2106" s="102" t="n"/>
      <c r="Z2106" s="102" t="n"/>
      <c r="AA2106" s="102" t="n"/>
      <c r="AB2106" s="102" t="n"/>
      <c r="AC2106" s="102" t="n"/>
      <c r="AD2106" s="102" t="n"/>
      <c r="AE2106" s="102" t="n"/>
      <c r="AF2106" s="102" t="n"/>
      <c r="AG2106" s="102" t="n"/>
      <c r="AH2106" s="102" t="n"/>
      <c r="AI2106" s="102" t="n"/>
      <c r="AJ2106" s="102" t="n"/>
      <c r="AK2106" s="102" t="n"/>
      <c r="AL2106" s="102" t="n"/>
      <c r="AM2106" s="102" t="n"/>
      <c r="AN2106" s="102" t="n"/>
      <c r="AO2106" s="102" t="n"/>
      <c r="AP2106" s="102" t="n"/>
      <c r="AQ2106" s="102" t="n"/>
      <c r="AR2106" s="102" t="n"/>
    </row>
    <row r="2107">
      <c r="D2107" s="102" t="n"/>
      <c r="E2107" s="102" t="n"/>
      <c r="F2107" s="102" t="n"/>
      <c r="G2107" s="102" t="n"/>
      <c r="H2107" s="102" t="n"/>
      <c r="I2107" s="102" t="n"/>
      <c r="J2107" s="102" t="n"/>
      <c r="K2107" s="102" t="n"/>
      <c r="L2107" s="102" t="n"/>
      <c r="M2107" s="102" t="n"/>
      <c r="N2107" s="102" t="n"/>
      <c r="O2107" s="102" t="n"/>
      <c r="P2107" s="102" t="n"/>
      <c r="Q2107" s="102" t="n"/>
      <c r="R2107" s="102" t="n"/>
      <c r="S2107" s="102" t="n"/>
      <c r="T2107" s="102" t="n"/>
      <c r="U2107" s="102" t="n"/>
      <c r="V2107" s="102" t="n"/>
      <c r="W2107" s="102" t="n"/>
      <c r="X2107" s="102" t="n"/>
      <c r="Y2107" s="102" t="n"/>
      <c r="Z2107" s="102" t="n"/>
      <c r="AA2107" s="102" t="n"/>
      <c r="AB2107" s="102" t="n"/>
      <c r="AC2107" s="102" t="n"/>
      <c r="AD2107" s="102" t="n"/>
      <c r="AE2107" s="102" t="n"/>
      <c r="AF2107" s="102" t="n"/>
      <c r="AG2107" s="102" t="n"/>
      <c r="AH2107" s="102" t="n"/>
      <c r="AI2107" s="102" t="n"/>
      <c r="AJ2107" s="102" t="n"/>
      <c r="AK2107" s="102" t="n"/>
      <c r="AL2107" s="102" t="n"/>
      <c r="AM2107" s="102" t="n"/>
      <c r="AN2107" s="102" t="n"/>
      <c r="AO2107" s="102" t="n"/>
      <c r="AP2107" s="102" t="n"/>
      <c r="AQ2107" s="102" t="n"/>
      <c r="AR2107" s="102" t="n"/>
    </row>
    <row r="2108">
      <c r="D2108" s="103" t="n"/>
      <c r="E2108" s="103" t="n"/>
      <c r="F2108" s="103" t="n"/>
      <c r="G2108" s="103" t="n"/>
      <c r="H2108" s="103" t="n"/>
      <c r="I2108" s="103" t="n"/>
      <c r="J2108" s="103" t="n"/>
      <c r="K2108" s="103" t="n"/>
      <c r="L2108" s="103" t="n"/>
      <c r="M2108" s="103" t="n"/>
      <c r="N2108" s="103" t="n"/>
      <c r="O2108" s="103" t="n"/>
      <c r="P2108" s="103" t="n"/>
      <c r="Q2108" s="103" t="n"/>
      <c r="R2108" s="103" t="n"/>
      <c r="S2108" s="103" t="n"/>
      <c r="T2108" s="103" t="n"/>
      <c r="U2108" s="103" t="n"/>
      <c r="V2108" s="103" t="n"/>
      <c r="W2108" s="103" t="n"/>
      <c r="X2108" s="103" t="n"/>
      <c r="Y2108" s="103" t="n"/>
      <c r="Z2108" s="103" t="n"/>
      <c r="AA2108" s="103" t="n"/>
      <c r="AB2108" s="103" t="n"/>
      <c r="AC2108" s="103" t="n"/>
      <c r="AD2108" s="103" t="n"/>
      <c r="AE2108" s="103" t="n"/>
      <c r="AF2108" s="103" t="n"/>
      <c r="AG2108" s="103" t="n"/>
      <c r="AH2108" s="103" t="n"/>
      <c r="AI2108" s="103" t="n"/>
      <c r="AJ2108" s="103" t="n"/>
      <c r="AK2108" s="103" t="n"/>
      <c r="AL2108" s="103" t="n"/>
      <c r="AM2108" s="103" t="n"/>
      <c r="AN2108" s="103" t="n"/>
      <c r="AO2108" s="103" t="n"/>
      <c r="AP2108" s="103" t="n"/>
      <c r="AQ2108" s="103" t="n"/>
      <c r="AR2108" s="103" t="n"/>
    </row>
    <row r="2110">
      <c r="A2110" s="8">
        <f>IF(HSCEI!$C$57="","",HSCEI!$C$57)</f>
        <v/>
      </c>
      <c r="B2110" s="99">
        <f>IF($A2110="",0,COUNT($E2111:$AR2111))</f>
        <v/>
      </c>
      <c r="C2110" s="100">
        <f>IF($B2110=0,0,MAX($E2111:$AR2111))</f>
        <v/>
      </c>
      <c r="D2110" s="101">
        <f>BDS($A2110,FLD_HIST,"headers=y","startcol=1","endcol=7","dir=h","DVD_START_DT",HIST_FROM,"DVD_END_DT",HIST_TO)</f>
        <v/>
      </c>
      <c r="E2110" s="102" t="n"/>
      <c r="F2110" s="102" t="n"/>
      <c r="G2110" s="102" t="n"/>
      <c r="H2110" s="102" t="n"/>
      <c r="I2110" s="102" t="n"/>
      <c r="J2110" s="102" t="n"/>
      <c r="K2110" s="102" t="n"/>
      <c r="L2110" s="102" t="n"/>
      <c r="M2110" s="102" t="n"/>
      <c r="N2110" s="102" t="n"/>
      <c r="O2110" s="102" t="n"/>
      <c r="P2110" s="102" t="n"/>
      <c r="Q2110" s="102" t="n"/>
      <c r="R2110" s="102" t="n"/>
      <c r="S2110" s="102" t="n"/>
      <c r="T2110" s="102" t="n"/>
      <c r="U2110" s="102" t="n"/>
      <c r="V2110" s="102" t="n"/>
      <c r="W2110" s="102" t="n"/>
      <c r="X2110" s="102" t="n"/>
      <c r="Y2110" s="102" t="n"/>
      <c r="Z2110" s="102" t="n"/>
      <c r="AA2110" s="102" t="n"/>
      <c r="AB2110" s="102" t="n"/>
      <c r="AC2110" s="102" t="n"/>
      <c r="AD2110" s="102" t="n"/>
      <c r="AE2110" s="102" t="n"/>
      <c r="AF2110" s="102" t="n"/>
      <c r="AG2110" s="102" t="n"/>
      <c r="AH2110" s="102" t="n"/>
      <c r="AI2110" s="102" t="n"/>
      <c r="AJ2110" s="102" t="n"/>
      <c r="AK2110" s="102" t="n"/>
      <c r="AL2110" s="102" t="n"/>
      <c r="AM2110" s="102" t="n"/>
      <c r="AN2110" s="102" t="n"/>
      <c r="AO2110" s="102" t="n"/>
      <c r="AP2110" s="102" t="n"/>
      <c r="AQ2110" s="102" t="n"/>
      <c r="AR2110" s="102" t="n"/>
    </row>
    <row r="2111">
      <c r="D2111" s="102" t="n"/>
      <c r="E2111" s="102" t="n"/>
      <c r="F2111" s="102" t="n"/>
      <c r="G2111" s="102" t="n"/>
      <c r="H2111" s="102" t="n"/>
      <c r="I2111" s="102" t="n"/>
      <c r="J2111" s="102" t="n"/>
      <c r="K2111" s="102" t="n"/>
      <c r="L2111" s="102" t="n"/>
      <c r="M2111" s="102" t="n"/>
      <c r="N2111" s="102" t="n"/>
      <c r="O2111" s="102" t="n"/>
      <c r="P2111" s="102" t="n"/>
      <c r="Q2111" s="102" t="n"/>
      <c r="R2111" s="102" t="n"/>
      <c r="S2111" s="102" t="n"/>
      <c r="T2111" s="102" t="n"/>
      <c r="U2111" s="102" t="n"/>
      <c r="V2111" s="102" t="n"/>
      <c r="W2111" s="102" t="n"/>
      <c r="X2111" s="102" t="n"/>
      <c r="Y2111" s="102" t="n"/>
      <c r="Z2111" s="102" t="n"/>
      <c r="AA2111" s="102" t="n"/>
      <c r="AB2111" s="102" t="n"/>
      <c r="AC2111" s="102" t="n"/>
      <c r="AD2111" s="102" t="n"/>
      <c r="AE2111" s="102" t="n"/>
      <c r="AF2111" s="102" t="n"/>
      <c r="AG2111" s="102" t="n"/>
      <c r="AH2111" s="102" t="n"/>
      <c r="AI2111" s="102" t="n"/>
      <c r="AJ2111" s="102" t="n"/>
      <c r="AK2111" s="102" t="n"/>
      <c r="AL2111" s="102" t="n"/>
      <c r="AM2111" s="102" t="n"/>
      <c r="AN2111" s="102" t="n"/>
      <c r="AO2111" s="102" t="n"/>
      <c r="AP2111" s="102" t="n"/>
      <c r="AQ2111" s="102" t="n"/>
      <c r="AR2111" s="102" t="n"/>
    </row>
    <row r="2112">
      <c r="D2112" s="102" t="n"/>
      <c r="E2112" s="102" t="n"/>
      <c r="F2112" s="102" t="n"/>
      <c r="G2112" s="102" t="n"/>
      <c r="H2112" s="102" t="n"/>
      <c r="I2112" s="102" t="n"/>
      <c r="J2112" s="102" t="n"/>
      <c r="K2112" s="102" t="n"/>
      <c r="L2112" s="102" t="n"/>
      <c r="M2112" s="102" t="n"/>
      <c r="N2112" s="102" t="n"/>
      <c r="O2112" s="102" t="n"/>
      <c r="P2112" s="102" t="n"/>
      <c r="Q2112" s="102" t="n"/>
      <c r="R2112" s="102" t="n"/>
      <c r="S2112" s="102" t="n"/>
      <c r="T2112" s="102" t="n"/>
      <c r="U2112" s="102" t="n"/>
      <c r="V2112" s="102" t="n"/>
      <c r="W2112" s="102" t="n"/>
      <c r="X2112" s="102" t="n"/>
      <c r="Y2112" s="102" t="n"/>
      <c r="Z2112" s="102" t="n"/>
      <c r="AA2112" s="102" t="n"/>
      <c r="AB2112" s="102" t="n"/>
      <c r="AC2112" s="102" t="n"/>
      <c r="AD2112" s="102" t="n"/>
      <c r="AE2112" s="102" t="n"/>
      <c r="AF2112" s="102" t="n"/>
      <c r="AG2112" s="102" t="n"/>
      <c r="AH2112" s="102" t="n"/>
      <c r="AI2112" s="102" t="n"/>
      <c r="AJ2112" s="102" t="n"/>
      <c r="AK2112" s="102" t="n"/>
      <c r="AL2112" s="102" t="n"/>
      <c r="AM2112" s="102" t="n"/>
      <c r="AN2112" s="102" t="n"/>
      <c r="AO2112" s="102" t="n"/>
      <c r="AP2112" s="102" t="n"/>
      <c r="AQ2112" s="102" t="n"/>
      <c r="AR2112" s="102" t="n"/>
    </row>
    <row r="2113">
      <c r="D2113" s="102" t="n"/>
      <c r="E2113" s="102" t="n"/>
      <c r="F2113" s="102" t="n"/>
      <c r="G2113" s="102" t="n"/>
      <c r="H2113" s="102" t="n"/>
      <c r="I2113" s="102" t="n"/>
      <c r="J2113" s="102" t="n"/>
      <c r="K2113" s="102" t="n"/>
      <c r="L2113" s="102" t="n"/>
      <c r="M2113" s="102" t="n"/>
      <c r="N2113" s="102" t="n"/>
      <c r="O2113" s="102" t="n"/>
      <c r="P2113" s="102" t="n"/>
      <c r="Q2113" s="102" t="n"/>
      <c r="R2113" s="102" t="n"/>
      <c r="S2113" s="102" t="n"/>
      <c r="T2113" s="102" t="n"/>
      <c r="U2113" s="102" t="n"/>
      <c r="V2113" s="102" t="n"/>
      <c r="W2113" s="102" t="n"/>
      <c r="X2113" s="102" t="n"/>
      <c r="Y2113" s="102" t="n"/>
      <c r="Z2113" s="102" t="n"/>
      <c r="AA2113" s="102" t="n"/>
      <c r="AB2113" s="102" t="n"/>
      <c r="AC2113" s="102" t="n"/>
      <c r="AD2113" s="102" t="n"/>
      <c r="AE2113" s="102" t="n"/>
      <c r="AF2113" s="102" t="n"/>
      <c r="AG2113" s="102" t="n"/>
      <c r="AH2113" s="102" t="n"/>
      <c r="AI2113" s="102" t="n"/>
      <c r="AJ2113" s="102" t="n"/>
      <c r="AK2113" s="102" t="n"/>
      <c r="AL2113" s="102" t="n"/>
      <c r="AM2113" s="102" t="n"/>
      <c r="AN2113" s="102" t="n"/>
      <c r="AO2113" s="102" t="n"/>
      <c r="AP2113" s="102" t="n"/>
      <c r="AQ2113" s="102" t="n"/>
      <c r="AR2113" s="102" t="n"/>
    </row>
    <row r="2114">
      <c r="D2114" s="103" t="n"/>
      <c r="E2114" s="103" t="n"/>
      <c r="F2114" s="103" t="n"/>
      <c r="G2114" s="103" t="n"/>
      <c r="H2114" s="103" t="n"/>
      <c r="I2114" s="103" t="n"/>
      <c r="J2114" s="103" t="n"/>
      <c r="K2114" s="103" t="n"/>
      <c r="L2114" s="103" t="n"/>
      <c r="M2114" s="103" t="n"/>
      <c r="N2114" s="103" t="n"/>
      <c r="O2114" s="103" t="n"/>
      <c r="P2114" s="103" t="n"/>
      <c r="Q2114" s="103" t="n"/>
      <c r="R2114" s="103" t="n"/>
      <c r="S2114" s="103" t="n"/>
      <c r="T2114" s="103" t="n"/>
      <c r="U2114" s="103" t="n"/>
      <c r="V2114" s="103" t="n"/>
      <c r="W2114" s="103" t="n"/>
      <c r="X2114" s="103" t="n"/>
      <c r="Y2114" s="103" t="n"/>
      <c r="Z2114" s="103" t="n"/>
      <c r="AA2114" s="103" t="n"/>
      <c r="AB2114" s="103" t="n"/>
      <c r="AC2114" s="103" t="n"/>
      <c r="AD2114" s="103" t="n"/>
      <c r="AE2114" s="103" t="n"/>
      <c r="AF2114" s="103" t="n"/>
      <c r="AG2114" s="103" t="n"/>
      <c r="AH2114" s="103" t="n"/>
      <c r="AI2114" s="103" t="n"/>
      <c r="AJ2114" s="103" t="n"/>
      <c r="AK2114" s="103" t="n"/>
      <c r="AL2114" s="103" t="n"/>
      <c r="AM2114" s="103" t="n"/>
      <c r="AN2114" s="103" t="n"/>
      <c r="AO2114" s="103" t="n"/>
      <c r="AP2114" s="103" t="n"/>
      <c r="AQ2114" s="103" t="n"/>
      <c r="AR2114" s="103" t="n"/>
    </row>
    <row r="2117">
      <c r="A2117" s="2">
        <f>IF($A2110="","","   projections")</f>
        <v/>
      </c>
      <c r="B2117" s="99">
        <f>IF($A2110="",0,COUNT($E2118:$AR2118))</f>
        <v/>
      </c>
      <c r="C2117" s="100">
        <f>IF($B2117=0,0,MAX($E2118:$AR2118))</f>
        <v/>
      </c>
      <c r="D2117" s="101">
        <f>BDS($A2110,FLD_PROJ,"headers=y","startcol=1","endcol=3","dir=h")</f>
        <v/>
      </c>
      <c r="E2117" s="102" t="n"/>
      <c r="F2117" s="102" t="n"/>
      <c r="G2117" s="102" t="n"/>
      <c r="H2117" s="102" t="n"/>
      <c r="I2117" s="102" t="n"/>
      <c r="J2117" s="102" t="n"/>
      <c r="K2117" s="102" t="n"/>
      <c r="L2117" s="102" t="n"/>
      <c r="M2117" s="102" t="n"/>
      <c r="N2117" s="102" t="n"/>
      <c r="O2117" s="102" t="n"/>
      <c r="P2117" s="102" t="n"/>
      <c r="Q2117" s="102" t="n"/>
      <c r="R2117" s="102" t="n"/>
      <c r="S2117" s="102" t="n"/>
      <c r="T2117" s="102" t="n"/>
      <c r="U2117" s="102" t="n"/>
      <c r="V2117" s="102" t="n"/>
      <c r="W2117" s="102" t="n"/>
      <c r="X2117" s="102" t="n"/>
      <c r="Y2117" s="102" t="n"/>
      <c r="Z2117" s="102" t="n"/>
      <c r="AA2117" s="102" t="n"/>
      <c r="AB2117" s="102" t="n"/>
      <c r="AC2117" s="102" t="n"/>
      <c r="AD2117" s="102" t="n"/>
      <c r="AE2117" s="102" t="n"/>
      <c r="AF2117" s="102" t="n"/>
      <c r="AG2117" s="102" t="n"/>
      <c r="AH2117" s="102" t="n"/>
      <c r="AI2117" s="102" t="n"/>
      <c r="AJ2117" s="102" t="n"/>
      <c r="AK2117" s="102" t="n"/>
      <c r="AL2117" s="102" t="n"/>
      <c r="AM2117" s="102" t="n"/>
      <c r="AN2117" s="102" t="n"/>
      <c r="AO2117" s="102" t="n"/>
      <c r="AP2117" s="102" t="n"/>
      <c r="AQ2117" s="102" t="n"/>
      <c r="AR2117" s="102" t="n"/>
    </row>
    <row r="2118">
      <c r="D2118" s="102" t="n"/>
      <c r="E2118" s="102" t="n"/>
      <c r="F2118" s="102" t="n"/>
      <c r="G2118" s="102" t="n"/>
      <c r="H2118" s="102" t="n"/>
      <c r="I2118" s="102" t="n"/>
      <c r="J2118" s="102" t="n"/>
      <c r="K2118" s="102" t="n"/>
      <c r="L2118" s="102" t="n"/>
      <c r="M2118" s="102" t="n"/>
      <c r="N2118" s="102" t="n"/>
      <c r="O2118" s="102" t="n"/>
      <c r="P2118" s="102" t="n"/>
      <c r="Q2118" s="102" t="n"/>
      <c r="R2118" s="102" t="n"/>
      <c r="S2118" s="102" t="n"/>
      <c r="T2118" s="102" t="n"/>
      <c r="U2118" s="102" t="n"/>
      <c r="V2118" s="102" t="n"/>
      <c r="W2118" s="102" t="n"/>
      <c r="X2118" s="102" t="n"/>
      <c r="Y2118" s="102" t="n"/>
      <c r="Z2118" s="102" t="n"/>
      <c r="AA2118" s="102" t="n"/>
      <c r="AB2118" s="102" t="n"/>
      <c r="AC2118" s="102" t="n"/>
      <c r="AD2118" s="102" t="n"/>
      <c r="AE2118" s="102" t="n"/>
      <c r="AF2118" s="102" t="n"/>
      <c r="AG2118" s="102" t="n"/>
      <c r="AH2118" s="102" t="n"/>
      <c r="AI2118" s="102" t="n"/>
      <c r="AJ2118" s="102" t="n"/>
      <c r="AK2118" s="102" t="n"/>
      <c r="AL2118" s="102" t="n"/>
      <c r="AM2118" s="102" t="n"/>
      <c r="AN2118" s="102" t="n"/>
      <c r="AO2118" s="102" t="n"/>
      <c r="AP2118" s="102" t="n"/>
      <c r="AQ2118" s="102" t="n"/>
      <c r="AR2118" s="102" t="n"/>
    </row>
    <row r="2119">
      <c r="D2119" s="103" t="n"/>
      <c r="E2119" s="103" t="n"/>
      <c r="F2119" s="103" t="n"/>
      <c r="G2119" s="103" t="n"/>
      <c r="H2119" s="103" t="n"/>
      <c r="I2119" s="103" t="n"/>
      <c r="J2119" s="103" t="n"/>
      <c r="K2119" s="103" t="n"/>
      <c r="L2119" s="103" t="n"/>
      <c r="M2119" s="103" t="n"/>
      <c r="N2119" s="103" t="n"/>
      <c r="O2119" s="103" t="n"/>
      <c r="P2119" s="103" t="n"/>
      <c r="Q2119" s="103" t="n"/>
      <c r="R2119" s="103" t="n"/>
      <c r="S2119" s="103" t="n"/>
      <c r="T2119" s="103" t="n"/>
      <c r="U2119" s="103" t="n"/>
      <c r="V2119" s="103" t="n"/>
      <c r="W2119" s="103" t="n"/>
      <c r="X2119" s="103" t="n"/>
      <c r="Y2119" s="103" t="n"/>
      <c r="Z2119" s="103" t="n"/>
      <c r="AA2119" s="103" t="n"/>
      <c r="AB2119" s="103" t="n"/>
      <c r="AC2119" s="103" t="n"/>
      <c r="AD2119" s="103" t="n"/>
      <c r="AE2119" s="103" t="n"/>
      <c r="AF2119" s="103" t="n"/>
      <c r="AG2119" s="103" t="n"/>
      <c r="AH2119" s="103" t="n"/>
      <c r="AI2119" s="103" t="n"/>
      <c r="AJ2119" s="103" t="n"/>
      <c r="AK2119" s="103" t="n"/>
      <c r="AL2119" s="103" t="n"/>
      <c r="AM2119" s="103" t="n"/>
      <c r="AN2119" s="103" t="n"/>
      <c r="AO2119" s="103" t="n"/>
      <c r="AP2119" s="103" t="n"/>
      <c r="AQ2119" s="103" t="n"/>
      <c r="AR2119" s="103" t="n"/>
    </row>
    <row r="2121">
      <c r="A2121" s="8">
        <f>IF(HSCEI!$C$58="","",HSCEI!$C$58)</f>
        <v/>
      </c>
      <c r="B2121" s="99">
        <f>IF($A2121="",0,COUNT($E2122:$AR2122))</f>
        <v/>
      </c>
      <c r="C2121" s="100">
        <f>IF($B2121=0,0,MAX($E2122:$AR2122))</f>
        <v/>
      </c>
      <c r="D2121" s="101">
        <f>BDS($A2121,FLD_HIST,"headers=y","startcol=1","endcol=7","dir=h","DVD_START_DT",HIST_FROM,"DVD_END_DT",HIST_TO)</f>
        <v/>
      </c>
      <c r="E2121" s="102" t="n"/>
      <c r="F2121" s="102" t="n"/>
      <c r="G2121" s="102" t="n"/>
      <c r="H2121" s="102" t="n"/>
      <c r="I2121" s="102" t="n"/>
      <c r="J2121" s="102" t="n"/>
      <c r="K2121" s="102" t="n"/>
      <c r="L2121" s="102" t="n"/>
      <c r="M2121" s="102" t="n"/>
      <c r="N2121" s="102" t="n"/>
      <c r="O2121" s="102" t="n"/>
      <c r="P2121" s="102" t="n"/>
      <c r="Q2121" s="102" t="n"/>
      <c r="R2121" s="102" t="n"/>
      <c r="S2121" s="102" t="n"/>
      <c r="T2121" s="102" t="n"/>
      <c r="U2121" s="102" t="n"/>
      <c r="V2121" s="102" t="n"/>
      <c r="W2121" s="102" t="n"/>
      <c r="X2121" s="102" t="n"/>
      <c r="Y2121" s="102" t="n"/>
      <c r="Z2121" s="102" t="n"/>
      <c r="AA2121" s="102" t="n"/>
      <c r="AB2121" s="102" t="n"/>
      <c r="AC2121" s="102" t="n"/>
      <c r="AD2121" s="102" t="n"/>
      <c r="AE2121" s="102" t="n"/>
      <c r="AF2121" s="102" t="n"/>
      <c r="AG2121" s="102" t="n"/>
      <c r="AH2121" s="102" t="n"/>
      <c r="AI2121" s="102" t="n"/>
      <c r="AJ2121" s="102" t="n"/>
      <c r="AK2121" s="102" t="n"/>
      <c r="AL2121" s="102" t="n"/>
      <c r="AM2121" s="102" t="n"/>
      <c r="AN2121" s="102" t="n"/>
      <c r="AO2121" s="102" t="n"/>
      <c r="AP2121" s="102" t="n"/>
      <c r="AQ2121" s="102" t="n"/>
      <c r="AR2121" s="102" t="n"/>
    </row>
    <row r="2122">
      <c r="D2122" s="102" t="n"/>
      <c r="E2122" s="102" t="n"/>
      <c r="F2122" s="102" t="n"/>
      <c r="G2122" s="102" t="n"/>
      <c r="H2122" s="102" t="n"/>
      <c r="I2122" s="102" t="n"/>
      <c r="J2122" s="102" t="n"/>
      <c r="K2122" s="102" t="n"/>
      <c r="L2122" s="102" t="n"/>
      <c r="M2122" s="102" t="n"/>
      <c r="N2122" s="102" t="n"/>
      <c r="O2122" s="102" t="n"/>
      <c r="P2122" s="102" t="n"/>
      <c r="Q2122" s="102" t="n"/>
      <c r="R2122" s="102" t="n"/>
      <c r="S2122" s="102" t="n"/>
      <c r="T2122" s="102" t="n"/>
      <c r="U2122" s="102" t="n"/>
      <c r="V2122" s="102" t="n"/>
      <c r="W2122" s="102" t="n"/>
      <c r="X2122" s="102" t="n"/>
      <c r="Y2122" s="102" t="n"/>
      <c r="Z2122" s="102" t="n"/>
      <c r="AA2122" s="102" t="n"/>
      <c r="AB2122" s="102" t="n"/>
      <c r="AC2122" s="102" t="n"/>
      <c r="AD2122" s="102" t="n"/>
      <c r="AE2122" s="102" t="n"/>
      <c r="AF2122" s="102" t="n"/>
      <c r="AG2122" s="102" t="n"/>
      <c r="AH2122" s="102" t="n"/>
      <c r="AI2122" s="102" t="n"/>
      <c r="AJ2122" s="102" t="n"/>
      <c r="AK2122" s="102" t="n"/>
      <c r="AL2122" s="102" t="n"/>
      <c r="AM2122" s="102" t="n"/>
      <c r="AN2122" s="102" t="n"/>
      <c r="AO2122" s="102" t="n"/>
      <c r="AP2122" s="102" t="n"/>
      <c r="AQ2122" s="102" t="n"/>
      <c r="AR2122" s="102" t="n"/>
    </row>
    <row r="2123">
      <c r="D2123" s="102" t="n"/>
      <c r="E2123" s="102" t="n"/>
      <c r="F2123" s="102" t="n"/>
      <c r="G2123" s="102" t="n"/>
      <c r="H2123" s="102" t="n"/>
      <c r="I2123" s="102" t="n"/>
      <c r="J2123" s="102" t="n"/>
      <c r="K2123" s="102" t="n"/>
      <c r="L2123" s="102" t="n"/>
      <c r="M2123" s="102" t="n"/>
      <c r="N2123" s="102" t="n"/>
      <c r="O2123" s="102" t="n"/>
      <c r="P2123" s="102" t="n"/>
      <c r="Q2123" s="102" t="n"/>
      <c r="R2123" s="102" t="n"/>
      <c r="S2123" s="102" t="n"/>
      <c r="T2123" s="102" t="n"/>
      <c r="U2123" s="102" t="n"/>
      <c r="V2123" s="102" t="n"/>
      <c r="W2123" s="102" t="n"/>
      <c r="X2123" s="102" t="n"/>
      <c r="Y2123" s="102" t="n"/>
      <c r="Z2123" s="102" t="n"/>
      <c r="AA2123" s="102" t="n"/>
      <c r="AB2123" s="102" t="n"/>
      <c r="AC2123" s="102" t="n"/>
      <c r="AD2123" s="102" t="n"/>
      <c r="AE2123" s="102" t="n"/>
      <c r="AF2123" s="102" t="n"/>
      <c r="AG2123" s="102" t="n"/>
      <c r="AH2123" s="102" t="n"/>
      <c r="AI2123" s="102" t="n"/>
      <c r="AJ2123" s="102" t="n"/>
      <c r="AK2123" s="102" t="n"/>
      <c r="AL2123" s="102" t="n"/>
      <c r="AM2123" s="102" t="n"/>
      <c r="AN2123" s="102" t="n"/>
      <c r="AO2123" s="102" t="n"/>
      <c r="AP2123" s="102" t="n"/>
      <c r="AQ2123" s="102" t="n"/>
      <c r="AR2123" s="102" t="n"/>
    </row>
    <row r="2124">
      <c r="D2124" s="102" t="n"/>
      <c r="E2124" s="102" t="n"/>
      <c r="F2124" s="102" t="n"/>
      <c r="G2124" s="102" t="n"/>
      <c r="H2124" s="102" t="n"/>
      <c r="I2124" s="102" t="n"/>
      <c r="J2124" s="102" t="n"/>
      <c r="K2124" s="102" t="n"/>
      <c r="L2124" s="102" t="n"/>
      <c r="M2124" s="102" t="n"/>
      <c r="N2124" s="102" t="n"/>
      <c r="O2124" s="102" t="n"/>
      <c r="P2124" s="102" t="n"/>
      <c r="Q2124" s="102" t="n"/>
      <c r="R2124" s="102" t="n"/>
      <c r="S2124" s="102" t="n"/>
      <c r="T2124" s="102" t="n"/>
      <c r="U2124" s="102" t="n"/>
      <c r="V2124" s="102" t="n"/>
      <c r="W2124" s="102" t="n"/>
      <c r="X2124" s="102" t="n"/>
      <c r="Y2124" s="102" t="n"/>
      <c r="Z2124" s="102" t="n"/>
      <c r="AA2124" s="102" t="n"/>
      <c r="AB2124" s="102" t="n"/>
      <c r="AC2124" s="102" t="n"/>
      <c r="AD2124" s="102" t="n"/>
      <c r="AE2124" s="102" t="n"/>
      <c r="AF2124" s="102" t="n"/>
      <c r="AG2124" s="102" t="n"/>
      <c r="AH2124" s="102" t="n"/>
      <c r="AI2124" s="102" t="n"/>
      <c r="AJ2124" s="102" t="n"/>
      <c r="AK2124" s="102" t="n"/>
      <c r="AL2124" s="102" t="n"/>
      <c r="AM2124" s="102" t="n"/>
      <c r="AN2124" s="102" t="n"/>
      <c r="AO2124" s="102" t="n"/>
      <c r="AP2124" s="102" t="n"/>
      <c r="AQ2124" s="102" t="n"/>
      <c r="AR2124" s="102" t="n"/>
    </row>
    <row r="2125">
      <c r="D2125" s="103" t="n"/>
      <c r="E2125" s="103" t="n"/>
      <c r="F2125" s="103" t="n"/>
      <c r="G2125" s="103" t="n"/>
      <c r="H2125" s="103" t="n"/>
      <c r="I2125" s="103" t="n"/>
      <c r="J2125" s="103" t="n"/>
      <c r="K2125" s="103" t="n"/>
      <c r="L2125" s="103" t="n"/>
      <c r="M2125" s="103" t="n"/>
      <c r="N2125" s="103" t="n"/>
      <c r="O2125" s="103" t="n"/>
      <c r="P2125" s="103" t="n"/>
      <c r="Q2125" s="103" t="n"/>
      <c r="R2125" s="103" t="n"/>
      <c r="S2125" s="103" t="n"/>
      <c r="T2125" s="103" t="n"/>
      <c r="U2125" s="103" t="n"/>
      <c r="V2125" s="103" t="n"/>
      <c r="W2125" s="103" t="n"/>
      <c r="X2125" s="103" t="n"/>
      <c r="Y2125" s="103" t="n"/>
      <c r="Z2125" s="103" t="n"/>
      <c r="AA2125" s="103" t="n"/>
      <c r="AB2125" s="103" t="n"/>
      <c r="AC2125" s="103" t="n"/>
      <c r="AD2125" s="103" t="n"/>
      <c r="AE2125" s="103" t="n"/>
      <c r="AF2125" s="103" t="n"/>
      <c r="AG2125" s="103" t="n"/>
      <c r="AH2125" s="103" t="n"/>
      <c r="AI2125" s="103" t="n"/>
      <c r="AJ2125" s="103" t="n"/>
      <c r="AK2125" s="103" t="n"/>
      <c r="AL2125" s="103" t="n"/>
      <c r="AM2125" s="103" t="n"/>
      <c r="AN2125" s="103" t="n"/>
      <c r="AO2125" s="103" t="n"/>
      <c r="AP2125" s="103" t="n"/>
      <c r="AQ2125" s="103" t="n"/>
      <c r="AR2125" s="103" t="n"/>
    </row>
    <row r="2128">
      <c r="A2128" s="2">
        <f>IF($A2121="","","   projections")</f>
        <v/>
      </c>
      <c r="B2128" s="99">
        <f>IF($A2121="",0,COUNT($E2129:$AR2129))</f>
        <v/>
      </c>
      <c r="C2128" s="100">
        <f>IF($B2128=0,0,MAX($E2129:$AR2129))</f>
        <v/>
      </c>
      <c r="D2128" s="101">
        <f>BDS($A2121,FLD_PROJ,"headers=y","startcol=1","endcol=3","dir=h")</f>
        <v/>
      </c>
      <c r="E2128" s="102" t="n"/>
      <c r="F2128" s="102" t="n"/>
      <c r="G2128" s="102" t="n"/>
      <c r="H2128" s="102" t="n"/>
      <c r="I2128" s="102" t="n"/>
      <c r="J2128" s="102" t="n"/>
      <c r="K2128" s="102" t="n"/>
      <c r="L2128" s="102" t="n"/>
      <c r="M2128" s="102" t="n"/>
      <c r="N2128" s="102" t="n"/>
      <c r="O2128" s="102" t="n"/>
      <c r="P2128" s="102" t="n"/>
      <c r="Q2128" s="102" t="n"/>
      <c r="R2128" s="102" t="n"/>
      <c r="S2128" s="102" t="n"/>
      <c r="T2128" s="102" t="n"/>
      <c r="U2128" s="102" t="n"/>
      <c r="V2128" s="102" t="n"/>
      <c r="W2128" s="102" t="n"/>
      <c r="X2128" s="102" t="n"/>
      <c r="Y2128" s="102" t="n"/>
      <c r="Z2128" s="102" t="n"/>
      <c r="AA2128" s="102" t="n"/>
      <c r="AB2128" s="102" t="n"/>
      <c r="AC2128" s="102" t="n"/>
      <c r="AD2128" s="102" t="n"/>
      <c r="AE2128" s="102" t="n"/>
      <c r="AF2128" s="102" t="n"/>
      <c r="AG2128" s="102" t="n"/>
      <c r="AH2128" s="102" t="n"/>
      <c r="AI2128" s="102" t="n"/>
      <c r="AJ2128" s="102" t="n"/>
      <c r="AK2128" s="102" t="n"/>
      <c r="AL2128" s="102" t="n"/>
      <c r="AM2128" s="102" t="n"/>
      <c r="AN2128" s="102" t="n"/>
      <c r="AO2128" s="102" t="n"/>
      <c r="AP2128" s="102" t="n"/>
      <c r="AQ2128" s="102" t="n"/>
      <c r="AR2128" s="102" t="n"/>
    </row>
    <row r="2129">
      <c r="D2129" s="102" t="n"/>
      <c r="E2129" s="102" t="n"/>
      <c r="F2129" s="102" t="n"/>
      <c r="G2129" s="102" t="n"/>
      <c r="H2129" s="102" t="n"/>
      <c r="I2129" s="102" t="n"/>
      <c r="J2129" s="102" t="n"/>
      <c r="K2129" s="102" t="n"/>
      <c r="L2129" s="102" t="n"/>
      <c r="M2129" s="102" t="n"/>
      <c r="N2129" s="102" t="n"/>
      <c r="O2129" s="102" t="n"/>
      <c r="P2129" s="102" t="n"/>
      <c r="Q2129" s="102" t="n"/>
      <c r="R2129" s="102" t="n"/>
      <c r="S2129" s="102" t="n"/>
      <c r="T2129" s="102" t="n"/>
      <c r="U2129" s="102" t="n"/>
      <c r="V2129" s="102" t="n"/>
      <c r="W2129" s="102" t="n"/>
      <c r="X2129" s="102" t="n"/>
      <c r="Y2129" s="102" t="n"/>
      <c r="Z2129" s="102" t="n"/>
      <c r="AA2129" s="102" t="n"/>
      <c r="AB2129" s="102" t="n"/>
      <c r="AC2129" s="102" t="n"/>
      <c r="AD2129" s="102" t="n"/>
      <c r="AE2129" s="102" t="n"/>
      <c r="AF2129" s="102" t="n"/>
      <c r="AG2129" s="102" t="n"/>
      <c r="AH2129" s="102" t="n"/>
      <c r="AI2129" s="102" t="n"/>
      <c r="AJ2129" s="102" t="n"/>
      <c r="AK2129" s="102" t="n"/>
      <c r="AL2129" s="102" t="n"/>
      <c r="AM2129" s="102" t="n"/>
      <c r="AN2129" s="102" t="n"/>
      <c r="AO2129" s="102" t="n"/>
      <c r="AP2129" s="102" t="n"/>
      <c r="AQ2129" s="102" t="n"/>
      <c r="AR2129" s="102" t="n"/>
    </row>
    <row r="2130">
      <c r="D2130" s="103" t="n"/>
      <c r="E2130" s="103" t="n"/>
      <c r="F2130" s="103" t="n"/>
      <c r="G2130" s="103" t="n"/>
      <c r="H2130" s="103" t="n"/>
      <c r="I2130" s="103" t="n"/>
      <c r="J2130" s="103" t="n"/>
      <c r="K2130" s="103" t="n"/>
      <c r="L2130" s="103" t="n"/>
      <c r="M2130" s="103" t="n"/>
      <c r="N2130" s="103" t="n"/>
      <c r="O2130" s="103" t="n"/>
      <c r="P2130" s="103" t="n"/>
      <c r="Q2130" s="103" t="n"/>
      <c r="R2130" s="103" t="n"/>
      <c r="S2130" s="103" t="n"/>
      <c r="T2130" s="103" t="n"/>
      <c r="U2130" s="103" t="n"/>
      <c r="V2130" s="103" t="n"/>
      <c r="W2130" s="103" t="n"/>
      <c r="X2130" s="103" t="n"/>
      <c r="Y2130" s="103" t="n"/>
      <c r="Z2130" s="103" t="n"/>
      <c r="AA2130" s="103" t="n"/>
      <c r="AB2130" s="103" t="n"/>
      <c r="AC2130" s="103" t="n"/>
      <c r="AD2130" s="103" t="n"/>
      <c r="AE2130" s="103" t="n"/>
      <c r="AF2130" s="103" t="n"/>
      <c r="AG2130" s="103" t="n"/>
      <c r="AH2130" s="103" t="n"/>
      <c r="AI2130" s="103" t="n"/>
      <c r="AJ2130" s="103" t="n"/>
      <c r="AK2130" s="103" t="n"/>
      <c r="AL2130" s="103" t="n"/>
      <c r="AM2130" s="103" t="n"/>
      <c r="AN2130" s="103" t="n"/>
      <c r="AO2130" s="103" t="n"/>
      <c r="AP2130" s="103" t="n"/>
      <c r="AQ2130" s="103" t="n"/>
      <c r="AR2130" s="103" t="n"/>
    </row>
    <row r="2132">
      <c r="A2132" s="8">
        <f>IF(HSCEI!$C$59="","",HSCEI!$C$59)</f>
        <v/>
      </c>
      <c r="B2132" s="99">
        <f>IF($A2132="",0,COUNT($E2133:$AR2133))</f>
        <v/>
      </c>
      <c r="C2132" s="100">
        <f>IF($B2132=0,0,MAX($E2133:$AR2133))</f>
        <v/>
      </c>
      <c r="D2132" s="101">
        <f>BDS($A2132,FLD_HIST,"headers=y","startcol=1","endcol=7","dir=h","DVD_START_DT",HIST_FROM,"DVD_END_DT",HIST_TO)</f>
        <v/>
      </c>
      <c r="E2132" s="102" t="n"/>
      <c r="F2132" s="102" t="n"/>
      <c r="G2132" s="102" t="n"/>
      <c r="H2132" s="102" t="n"/>
      <c r="I2132" s="102" t="n"/>
      <c r="J2132" s="102" t="n"/>
      <c r="K2132" s="102" t="n"/>
      <c r="L2132" s="102" t="n"/>
      <c r="M2132" s="102" t="n"/>
      <c r="N2132" s="102" t="n"/>
      <c r="O2132" s="102" t="n"/>
      <c r="P2132" s="102" t="n"/>
      <c r="Q2132" s="102" t="n"/>
      <c r="R2132" s="102" t="n"/>
      <c r="S2132" s="102" t="n"/>
      <c r="T2132" s="102" t="n"/>
      <c r="U2132" s="102" t="n"/>
      <c r="V2132" s="102" t="n"/>
      <c r="W2132" s="102" t="n"/>
      <c r="X2132" s="102" t="n"/>
      <c r="Y2132" s="102" t="n"/>
      <c r="Z2132" s="102" t="n"/>
      <c r="AA2132" s="102" t="n"/>
      <c r="AB2132" s="102" t="n"/>
      <c r="AC2132" s="102" t="n"/>
      <c r="AD2132" s="102" t="n"/>
      <c r="AE2132" s="102" t="n"/>
      <c r="AF2132" s="102" t="n"/>
      <c r="AG2132" s="102" t="n"/>
      <c r="AH2132" s="102" t="n"/>
      <c r="AI2132" s="102" t="n"/>
      <c r="AJ2132" s="102" t="n"/>
      <c r="AK2132" s="102" t="n"/>
      <c r="AL2132" s="102" t="n"/>
      <c r="AM2132" s="102" t="n"/>
      <c r="AN2132" s="102" t="n"/>
      <c r="AO2132" s="102" t="n"/>
      <c r="AP2132" s="102" t="n"/>
      <c r="AQ2132" s="102" t="n"/>
      <c r="AR2132" s="102" t="n"/>
    </row>
    <row r="2133">
      <c r="D2133" s="102" t="n"/>
      <c r="E2133" s="102" t="n"/>
      <c r="F2133" s="102" t="n"/>
      <c r="G2133" s="102" t="n"/>
      <c r="H2133" s="102" t="n"/>
      <c r="I2133" s="102" t="n"/>
      <c r="J2133" s="102" t="n"/>
      <c r="K2133" s="102" t="n"/>
      <c r="L2133" s="102" t="n"/>
      <c r="M2133" s="102" t="n"/>
      <c r="N2133" s="102" t="n"/>
      <c r="O2133" s="102" t="n"/>
      <c r="P2133" s="102" t="n"/>
      <c r="Q2133" s="102" t="n"/>
      <c r="R2133" s="102" t="n"/>
      <c r="S2133" s="102" t="n"/>
      <c r="T2133" s="102" t="n"/>
      <c r="U2133" s="102" t="n"/>
      <c r="V2133" s="102" t="n"/>
      <c r="W2133" s="102" t="n"/>
      <c r="X2133" s="102" t="n"/>
      <c r="Y2133" s="102" t="n"/>
      <c r="Z2133" s="102" t="n"/>
      <c r="AA2133" s="102" t="n"/>
      <c r="AB2133" s="102" t="n"/>
      <c r="AC2133" s="102" t="n"/>
      <c r="AD2133" s="102" t="n"/>
      <c r="AE2133" s="102" t="n"/>
      <c r="AF2133" s="102" t="n"/>
      <c r="AG2133" s="102" t="n"/>
      <c r="AH2133" s="102" t="n"/>
      <c r="AI2133" s="102" t="n"/>
      <c r="AJ2133" s="102" t="n"/>
      <c r="AK2133" s="102" t="n"/>
      <c r="AL2133" s="102" t="n"/>
      <c r="AM2133" s="102" t="n"/>
      <c r="AN2133" s="102" t="n"/>
      <c r="AO2133" s="102" t="n"/>
      <c r="AP2133" s="102" t="n"/>
      <c r="AQ2133" s="102" t="n"/>
      <c r="AR2133" s="102" t="n"/>
    </row>
    <row r="2134">
      <c r="D2134" s="102" t="n"/>
      <c r="E2134" s="102" t="n"/>
      <c r="F2134" s="102" t="n"/>
      <c r="G2134" s="102" t="n"/>
      <c r="H2134" s="102" t="n"/>
      <c r="I2134" s="102" t="n"/>
      <c r="J2134" s="102" t="n"/>
      <c r="K2134" s="102" t="n"/>
      <c r="L2134" s="102" t="n"/>
      <c r="M2134" s="102" t="n"/>
      <c r="N2134" s="102" t="n"/>
      <c r="O2134" s="102" t="n"/>
      <c r="P2134" s="102" t="n"/>
      <c r="Q2134" s="102" t="n"/>
      <c r="R2134" s="102" t="n"/>
      <c r="S2134" s="102" t="n"/>
      <c r="T2134" s="102" t="n"/>
      <c r="U2134" s="102" t="n"/>
      <c r="V2134" s="102" t="n"/>
      <c r="W2134" s="102" t="n"/>
      <c r="X2134" s="102" t="n"/>
      <c r="Y2134" s="102" t="n"/>
      <c r="Z2134" s="102" t="n"/>
      <c r="AA2134" s="102" t="n"/>
      <c r="AB2134" s="102" t="n"/>
      <c r="AC2134" s="102" t="n"/>
      <c r="AD2134" s="102" t="n"/>
      <c r="AE2134" s="102" t="n"/>
      <c r="AF2134" s="102" t="n"/>
      <c r="AG2134" s="102" t="n"/>
      <c r="AH2134" s="102" t="n"/>
      <c r="AI2134" s="102" t="n"/>
      <c r="AJ2134" s="102" t="n"/>
      <c r="AK2134" s="102" t="n"/>
      <c r="AL2134" s="102" t="n"/>
      <c r="AM2134" s="102" t="n"/>
      <c r="AN2134" s="102" t="n"/>
      <c r="AO2134" s="102" t="n"/>
      <c r="AP2134" s="102" t="n"/>
      <c r="AQ2134" s="102" t="n"/>
      <c r="AR2134" s="102" t="n"/>
    </row>
    <row r="2135">
      <c r="D2135" s="102" t="n"/>
      <c r="E2135" s="102" t="n"/>
      <c r="F2135" s="102" t="n"/>
      <c r="G2135" s="102" t="n"/>
      <c r="H2135" s="102" t="n"/>
      <c r="I2135" s="102" t="n"/>
      <c r="J2135" s="102" t="n"/>
      <c r="K2135" s="102" t="n"/>
      <c r="L2135" s="102" t="n"/>
      <c r="M2135" s="102" t="n"/>
      <c r="N2135" s="102" t="n"/>
      <c r="O2135" s="102" t="n"/>
      <c r="P2135" s="102" t="n"/>
      <c r="Q2135" s="102" t="n"/>
      <c r="R2135" s="102" t="n"/>
      <c r="S2135" s="102" t="n"/>
      <c r="T2135" s="102" t="n"/>
      <c r="U2135" s="102" t="n"/>
      <c r="V2135" s="102" t="n"/>
      <c r="W2135" s="102" t="n"/>
      <c r="X2135" s="102" t="n"/>
      <c r="Y2135" s="102" t="n"/>
      <c r="Z2135" s="102" t="n"/>
      <c r="AA2135" s="102" t="n"/>
      <c r="AB2135" s="102" t="n"/>
      <c r="AC2135" s="102" t="n"/>
      <c r="AD2135" s="102" t="n"/>
      <c r="AE2135" s="102" t="n"/>
      <c r="AF2135" s="102" t="n"/>
      <c r="AG2135" s="102" t="n"/>
      <c r="AH2135" s="102" t="n"/>
      <c r="AI2135" s="102" t="n"/>
      <c r="AJ2135" s="102" t="n"/>
      <c r="AK2135" s="102" t="n"/>
      <c r="AL2135" s="102" t="n"/>
      <c r="AM2135" s="102" t="n"/>
      <c r="AN2135" s="102" t="n"/>
      <c r="AO2135" s="102" t="n"/>
      <c r="AP2135" s="102" t="n"/>
      <c r="AQ2135" s="102" t="n"/>
      <c r="AR2135" s="102" t="n"/>
    </row>
    <row r="2136">
      <c r="D2136" s="103" t="n"/>
      <c r="E2136" s="103" t="n"/>
      <c r="F2136" s="103" t="n"/>
      <c r="G2136" s="103" t="n"/>
      <c r="H2136" s="103" t="n"/>
      <c r="I2136" s="103" t="n"/>
      <c r="J2136" s="103" t="n"/>
      <c r="K2136" s="103" t="n"/>
      <c r="L2136" s="103" t="n"/>
      <c r="M2136" s="103" t="n"/>
      <c r="N2136" s="103" t="n"/>
      <c r="O2136" s="103" t="n"/>
      <c r="P2136" s="103" t="n"/>
      <c r="Q2136" s="103" t="n"/>
      <c r="R2136" s="103" t="n"/>
      <c r="S2136" s="103" t="n"/>
      <c r="T2136" s="103" t="n"/>
      <c r="U2136" s="103" t="n"/>
      <c r="V2136" s="103" t="n"/>
      <c r="W2136" s="103" t="n"/>
      <c r="X2136" s="103" t="n"/>
      <c r="Y2136" s="103" t="n"/>
      <c r="Z2136" s="103" t="n"/>
      <c r="AA2136" s="103" t="n"/>
      <c r="AB2136" s="103" t="n"/>
      <c r="AC2136" s="103" t="n"/>
      <c r="AD2136" s="103" t="n"/>
      <c r="AE2136" s="103" t="n"/>
      <c r="AF2136" s="103" t="n"/>
      <c r="AG2136" s="103" t="n"/>
      <c r="AH2136" s="103" t="n"/>
      <c r="AI2136" s="103" t="n"/>
      <c r="AJ2136" s="103" t="n"/>
      <c r="AK2136" s="103" t="n"/>
      <c r="AL2136" s="103" t="n"/>
      <c r="AM2136" s="103" t="n"/>
      <c r="AN2136" s="103" t="n"/>
      <c r="AO2136" s="103" t="n"/>
      <c r="AP2136" s="103" t="n"/>
      <c r="AQ2136" s="103" t="n"/>
      <c r="AR2136" s="103" t="n"/>
    </row>
    <row r="2139">
      <c r="A2139" s="2">
        <f>IF($A2132="","","   projections")</f>
        <v/>
      </c>
      <c r="B2139" s="99">
        <f>IF($A2132="",0,COUNT($E2140:$AR2140))</f>
        <v/>
      </c>
      <c r="C2139" s="100">
        <f>IF($B2139=0,0,MAX($E2140:$AR2140))</f>
        <v/>
      </c>
      <c r="D2139" s="101">
        <f>BDS($A2132,FLD_PROJ,"headers=y","startcol=1","endcol=3","dir=h")</f>
        <v/>
      </c>
      <c r="E2139" s="102" t="n"/>
      <c r="F2139" s="102" t="n"/>
      <c r="G2139" s="102" t="n"/>
      <c r="H2139" s="102" t="n"/>
      <c r="I2139" s="102" t="n"/>
      <c r="J2139" s="102" t="n"/>
      <c r="K2139" s="102" t="n"/>
      <c r="L2139" s="102" t="n"/>
      <c r="M2139" s="102" t="n"/>
      <c r="N2139" s="102" t="n"/>
      <c r="O2139" s="102" t="n"/>
      <c r="P2139" s="102" t="n"/>
      <c r="Q2139" s="102" t="n"/>
      <c r="R2139" s="102" t="n"/>
      <c r="S2139" s="102" t="n"/>
      <c r="T2139" s="102" t="n"/>
      <c r="U2139" s="102" t="n"/>
      <c r="V2139" s="102" t="n"/>
      <c r="W2139" s="102" t="n"/>
      <c r="X2139" s="102" t="n"/>
      <c r="Y2139" s="102" t="n"/>
      <c r="Z2139" s="102" t="n"/>
      <c r="AA2139" s="102" t="n"/>
      <c r="AB2139" s="102" t="n"/>
      <c r="AC2139" s="102" t="n"/>
      <c r="AD2139" s="102" t="n"/>
      <c r="AE2139" s="102" t="n"/>
      <c r="AF2139" s="102" t="n"/>
      <c r="AG2139" s="102" t="n"/>
      <c r="AH2139" s="102" t="n"/>
      <c r="AI2139" s="102" t="n"/>
      <c r="AJ2139" s="102" t="n"/>
      <c r="AK2139" s="102" t="n"/>
      <c r="AL2139" s="102" t="n"/>
      <c r="AM2139" s="102" t="n"/>
      <c r="AN2139" s="102" t="n"/>
      <c r="AO2139" s="102" t="n"/>
      <c r="AP2139" s="102" t="n"/>
      <c r="AQ2139" s="102" t="n"/>
      <c r="AR2139" s="102" t="n"/>
    </row>
    <row r="2140">
      <c r="D2140" s="102" t="n"/>
      <c r="E2140" s="102" t="n"/>
      <c r="F2140" s="102" t="n"/>
      <c r="G2140" s="102" t="n"/>
      <c r="H2140" s="102" t="n"/>
      <c r="I2140" s="102" t="n"/>
      <c r="J2140" s="102" t="n"/>
      <c r="K2140" s="102" t="n"/>
      <c r="L2140" s="102" t="n"/>
      <c r="M2140" s="102" t="n"/>
      <c r="N2140" s="102" t="n"/>
      <c r="O2140" s="102" t="n"/>
      <c r="P2140" s="102" t="n"/>
      <c r="Q2140" s="102" t="n"/>
      <c r="R2140" s="102" t="n"/>
      <c r="S2140" s="102" t="n"/>
      <c r="T2140" s="102" t="n"/>
      <c r="U2140" s="102" t="n"/>
      <c r="V2140" s="102" t="n"/>
      <c r="W2140" s="102" t="n"/>
      <c r="X2140" s="102" t="n"/>
      <c r="Y2140" s="102" t="n"/>
      <c r="Z2140" s="102" t="n"/>
      <c r="AA2140" s="102" t="n"/>
      <c r="AB2140" s="102" t="n"/>
      <c r="AC2140" s="102" t="n"/>
      <c r="AD2140" s="102" t="n"/>
      <c r="AE2140" s="102" t="n"/>
      <c r="AF2140" s="102" t="n"/>
      <c r="AG2140" s="102" t="n"/>
      <c r="AH2140" s="102" t="n"/>
      <c r="AI2140" s="102" t="n"/>
      <c r="AJ2140" s="102" t="n"/>
      <c r="AK2140" s="102" t="n"/>
      <c r="AL2140" s="102" t="n"/>
      <c r="AM2140" s="102" t="n"/>
      <c r="AN2140" s="102" t="n"/>
      <c r="AO2140" s="102" t="n"/>
      <c r="AP2140" s="102" t="n"/>
      <c r="AQ2140" s="102" t="n"/>
      <c r="AR2140" s="102" t="n"/>
    </row>
    <row r="2141">
      <c r="D2141" s="103" t="n"/>
      <c r="E2141" s="103" t="n"/>
      <c r="F2141" s="103" t="n"/>
      <c r="G2141" s="103" t="n"/>
      <c r="H2141" s="103" t="n"/>
      <c r="I2141" s="103" t="n"/>
      <c r="J2141" s="103" t="n"/>
      <c r="K2141" s="103" t="n"/>
      <c r="L2141" s="103" t="n"/>
      <c r="M2141" s="103" t="n"/>
      <c r="N2141" s="103" t="n"/>
      <c r="O2141" s="103" t="n"/>
      <c r="P2141" s="103" t="n"/>
      <c r="Q2141" s="103" t="n"/>
      <c r="R2141" s="103" t="n"/>
      <c r="S2141" s="103" t="n"/>
      <c r="T2141" s="103" t="n"/>
      <c r="U2141" s="103" t="n"/>
      <c r="V2141" s="103" t="n"/>
      <c r="W2141" s="103" t="n"/>
      <c r="X2141" s="103" t="n"/>
      <c r="Y2141" s="103" t="n"/>
      <c r="Z2141" s="103" t="n"/>
      <c r="AA2141" s="103" t="n"/>
      <c r="AB2141" s="103" t="n"/>
      <c r="AC2141" s="103" t="n"/>
      <c r="AD2141" s="103" t="n"/>
      <c r="AE2141" s="103" t="n"/>
      <c r="AF2141" s="103" t="n"/>
      <c r="AG2141" s="103" t="n"/>
      <c r="AH2141" s="103" t="n"/>
      <c r="AI2141" s="103" t="n"/>
      <c r="AJ2141" s="103" t="n"/>
      <c r="AK2141" s="103" t="n"/>
      <c r="AL2141" s="103" t="n"/>
      <c r="AM2141" s="103" t="n"/>
      <c r="AN2141" s="103" t="n"/>
      <c r="AO2141" s="103" t="n"/>
      <c r="AP2141" s="103" t="n"/>
      <c r="AQ2141" s="103" t="n"/>
      <c r="AR2141" s="103" t="n"/>
    </row>
    <row r="2143">
      <c r="A2143" s="8">
        <f>IF(HSCEI!$C$60="","",HSCEI!$C$60)</f>
        <v/>
      </c>
      <c r="B2143" s="99">
        <f>IF($A2143="",0,COUNT($E2144:$AR2144))</f>
        <v/>
      </c>
      <c r="C2143" s="100">
        <f>IF($B2143=0,0,MAX($E2144:$AR2144))</f>
        <v/>
      </c>
      <c r="D2143" s="101">
        <f>BDS($A2143,FLD_HIST,"headers=y","startcol=1","endcol=7","dir=h","DVD_START_DT",HIST_FROM,"DVD_END_DT",HIST_TO)</f>
        <v/>
      </c>
      <c r="E2143" s="102" t="n"/>
      <c r="F2143" s="102" t="n"/>
      <c r="G2143" s="102" t="n"/>
      <c r="H2143" s="102" t="n"/>
      <c r="I2143" s="102" t="n"/>
      <c r="J2143" s="102" t="n"/>
      <c r="K2143" s="102" t="n"/>
      <c r="L2143" s="102" t="n"/>
      <c r="M2143" s="102" t="n"/>
      <c r="N2143" s="102" t="n"/>
      <c r="O2143" s="102" t="n"/>
      <c r="P2143" s="102" t="n"/>
      <c r="Q2143" s="102" t="n"/>
      <c r="R2143" s="102" t="n"/>
      <c r="S2143" s="102" t="n"/>
      <c r="T2143" s="102" t="n"/>
      <c r="U2143" s="102" t="n"/>
      <c r="V2143" s="102" t="n"/>
      <c r="W2143" s="102" t="n"/>
      <c r="X2143" s="102" t="n"/>
      <c r="Y2143" s="102" t="n"/>
      <c r="Z2143" s="102" t="n"/>
      <c r="AA2143" s="102" t="n"/>
      <c r="AB2143" s="102" t="n"/>
      <c r="AC2143" s="102" t="n"/>
      <c r="AD2143" s="102" t="n"/>
      <c r="AE2143" s="102" t="n"/>
      <c r="AF2143" s="102" t="n"/>
      <c r="AG2143" s="102" t="n"/>
      <c r="AH2143" s="102" t="n"/>
      <c r="AI2143" s="102" t="n"/>
      <c r="AJ2143" s="102" t="n"/>
      <c r="AK2143" s="102" t="n"/>
      <c r="AL2143" s="102" t="n"/>
      <c r="AM2143" s="102" t="n"/>
      <c r="AN2143" s="102" t="n"/>
      <c r="AO2143" s="102" t="n"/>
      <c r="AP2143" s="102" t="n"/>
      <c r="AQ2143" s="102" t="n"/>
      <c r="AR2143" s="102" t="n"/>
    </row>
    <row r="2144">
      <c r="D2144" s="102" t="n"/>
      <c r="E2144" s="102" t="n"/>
      <c r="F2144" s="102" t="n"/>
      <c r="G2144" s="102" t="n"/>
      <c r="H2144" s="102" t="n"/>
      <c r="I2144" s="102" t="n"/>
      <c r="J2144" s="102" t="n"/>
      <c r="K2144" s="102" t="n"/>
      <c r="L2144" s="102" t="n"/>
      <c r="M2144" s="102" t="n"/>
      <c r="N2144" s="102" t="n"/>
      <c r="O2144" s="102" t="n"/>
      <c r="P2144" s="102" t="n"/>
      <c r="Q2144" s="102" t="n"/>
      <c r="R2144" s="102" t="n"/>
      <c r="S2144" s="102" t="n"/>
      <c r="T2144" s="102" t="n"/>
      <c r="U2144" s="102" t="n"/>
      <c r="V2144" s="102" t="n"/>
      <c r="W2144" s="102" t="n"/>
      <c r="X2144" s="102" t="n"/>
      <c r="Y2144" s="102" t="n"/>
      <c r="Z2144" s="102" t="n"/>
      <c r="AA2144" s="102" t="n"/>
      <c r="AB2144" s="102" t="n"/>
      <c r="AC2144" s="102" t="n"/>
      <c r="AD2144" s="102" t="n"/>
      <c r="AE2144" s="102" t="n"/>
      <c r="AF2144" s="102" t="n"/>
      <c r="AG2144" s="102" t="n"/>
      <c r="AH2144" s="102" t="n"/>
      <c r="AI2144" s="102" t="n"/>
      <c r="AJ2144" s="102" t="n"/>
      <c r="AK2144" s="102" t="n"/>
      <c r="AL2144" s="102" t="n"/>
      <c r="AM2144" s="102" t="n"/>
      <c r="AN2144" s="102" t="n"/>
      <c r="AO2144" s="102" t="n"/>
      <c r="AP2144" s="102" t="n"/>
      <c r="AQ2144" s="102" t="n"/>
      <c r="AR2144" s="102" t="n"/>
    </row>
    <row r="2145">
      <c r="D2145" s="102" t="n"/>
      <c r="E2145" s="102" t="n"/>
      <c r="F2145" s="102" t="n"/>
      <c r="G2145" s="102" t="n"/>
      <c r="H2145" s="102" t="n"/>
      <c r="I2145" s="102" t="n"/>
      <c r="J2145" s="102" t="n"/>
      <c r="K2145" s="102" t="n"/>
      <c r="L2145" s="102" t="n"/>
      <c r="M2145" s="102" t="n"/>
      <c r="N2145" s="102" t="n"/>
      <c r="O2145" s="102" t="n"/>
      <c r="P2145" s="102" t="n"/>
      <c r="Q2145" s="102" t="n"/>
      <c r="R2145" s="102" t="n"/>
      <c r="S2145" s="102" t="n"/>
      <c r="T2145" s="102" t="n"/>
      <c r="U2145" s="102" t="n"/>
      <c r="V2145" s="102" t="n"/>
      <c r="W2145" s="102" t="n"/>
      <c r="X2145" s="102" t="n"/>
      <c r="Y2145" s="102" t="n"/>
      <c r="Z2145" s="102" t="n"/>
      <c r="AA2145" s="102" t="n"/>
      <c r="AB2145" s="102" t="n"/>
      <c r="AC2145" s="102" t="n"/>
      <c r="AD2145" s="102" t="n"/>
      <c r="AE2145" s="102" t="n"/>
      <c r="AF2145" s="102" t="n"/>
      <c r="AG2145" s="102" t="n"/>
      <c r="AH2145" s="102" t="n"/>
      <c r="AI2145" s="102" t="n"/>
      <c r="AJ2145" s="102" t="n"/>
      <c r="AK2145" s="102" t="n"/>
      <c r="AL2145" s="102" t="n"/>
      <c r="AM2145" s="102" t="n"/>
      <c r="AN2145" s="102" t="n"/>
      <c r="AO2145" s="102" t="n"/>
      <c r="AP2145" s="102" t="n"/>
      <c r="AQ2145" s="102" t="n"/>
      <c r="AR2145" s="102" t="n"/>
    </row>
    <row r="2146">
      <c r="D2146" s="102" t="n"/>
      <c r="E2146" s="102" t="n"/>
      <c r="F2146" s="102" t="n"/>
      <c r="G2146" s="102" t="n"/>
      <c r="H2146" s="102" t="n"/>
      <c r="I2146" s="102" t="n"/>
      <c r="J2146" s="102" t="n"/>
      <c r="K2146" s="102" t="n"/>
      <c r="L2146" s="102" t="n"/>
      <c r="M2146" s="102" t="n"/>
      <c r="N2146" s="102" t="n"/>
      <c r="O2146" s="102" t="n"/>
      <c r="P2146" s="102" t="n"/>
      <c r="Q2146" s="102" t="n"/>
      <c r="R2146" s="102" t="n"/>
      <c r="S2146" s="102" t="n"/>
      <c r="T2146" s="102" t="n"/>
      <c r="U2146" s="102" t="n"/>
      <c r="V2146" s="102" t="n"/>
      <c r="W2146" s="102" t="n"/>
      <c r="X2146" s="102" t="n"/>
      <c r="Y2146" s="102" t="n"/>
      <c r="Z2146" s="102" t="n"/>
      <c r="AA2146" s="102" t="n"/>
      <c r="AB2146" s="102" t="n"/>
      <c r="AC2146" s="102" t="n"/>
      <c r="AD2146" s="102" t="n"/>
      <c r="AE2146" s="102" t="n"/>
      <c r="AF2146" s="102" t="n"/>
      <c r="AG2146" s="102" t="n"/>
      <c r="AH2146" s="102" t="n"/>
      <c r="AI2146" s="102" t="n"/>
      <c r="AJ2146" s="102" t="n"/>
      <c r="AK2146" s="102" t="n"/>
      <c r="AL2146" s="102" t="n"/>
      <c r="AM2146" s="102" t="n"/>
      <c r="AN2146" s="102" t="n"/>
      <c r="AO2146" s="102" t="n"/>
      <c r="AP2146" s="102" t="n"/>
      <c r="AQ2146" s="102" t="n"/>
      <c r="AR2146" s="102" t="n"/>
    </row>
    <row r="2147">
      <c r="D2147" s="103" t="n"/>
      <c r="E2147" s="103" t="n"/>
      <c r="F2147" s="103" t="n"/>
      <c r="G2147" s="103" t="n"/>
      <c r="H2147" s="103" t="n"/>
      <c r="I2147" s="103" t="n"/>
      <c r="J2147" s="103" t="n"/>
      <c r="K2147" s="103" t="n"/>
      <c r="L2147" s="103" t="n"/>
      <c r="M2147" s="103" t="n"/>
      <c r="N2147" s="103" t="n"/>
      <c r="O2147" s="103" t="n"/>
      <c r="P2147" s="103" t="n"/>
      <c r="Q2147" s="103" t="n"/>
      <c r="R2147" s="103" t="n"/>
      <c r="S2147" s="103" t="n"/>
      <c r="T2147" s="103" t="n"/>
      <c r="U2147" s="103" t="n"/>
      <c r="V2147" s="103" t="n"/>
      <c r="W2147" s="103" t="n"/>
      <c r="X2147" s="103" t="n"/>
      <c r="Y2147" s="103" t="n"/>
      <c r="Z2147" s="103" t="n"/>
      <c r="AA2147" s="103" t="n"/>
      <c r="AB2147" s="103" t="n"/>
      <c r="AC2147" s="103" t="n"/>
      <c r="AD2147" s="103" t="n"/>
      <c r="AE2147" s="103" t="n"/>
      <c r="AF2147" s="103" t="n"/>
      <c r="AG2147" s="103" t="n"/>
      <c r="AH2147" s="103" t="n"/>
      <c r="AI2147" s="103" t="n"/>
      <c r="AJ2147" s="103" t="n"/>
      <c r="AK2147" s="103" t="n"/>
      <c r="AL2147" s="103" t="n"/>
      <c r="AM2147" s="103" t="n"/>
      <c r="AN2147" s="103" t="n"/>
      <c r="AO2147" s="103" t="n"/>
      <c r="AP2147" s="103" t="n"/>
      <c r="AQ2147" s="103" t="n"/>
      <c r="AR2147" s="103" t="n"/>
    </row>
    <row r="2150">
      <c r="A2150" s="2">
        <f>IF($A2143="","","   projections")</f>
        <v/>
      </c>
      <c r="B2150" s="99">
        <f>IF($A2143="",0,COUNT($E2151:$AR2151))</f>
        <v/>
      </c>
      <c r="C2150" s="100">
        <f>IF($B2150=0,0,MAX($E2151:$AR2151))</f>
        <v/>
      </c>
      <c r="D2150" s="101">
        <f>BDS($A2143,FLD_PROJ,"headers=y","startcol=1","endcol=3","dir=h")</f>
        <v/>
      </c>
      <c r="E2150" s="102" t="n"/>
      <c r="F2150" s="102" t="n"/>
      <c r="G2150" s="102" t="n"/>
      <c r="H2150" s="102" t="n"/>
      <c r="I2150" s="102" t="n"/>
      <c r="J2150" s="102" t="n"/>
      <c r="K2150" s="102" t="n"/>
      <c r="L2150" s="102" t="n"/>
      <c r="M2150" s="102" t="n"/>
      <c r="N2150" s="102" t="n"/>
      <c r="O2150" s="102" t="n"/>
      <c r="P2150" s="102" t="n"/>
      <c r="Q2150" s="102" t="n"/>
      <c r="R2150" s="102" t="n"/>
      <c r="S2150" s="102" t="n"/>
      <c r="T2150" s="102" t="n"/>
      <c r="U2150" s="102" t="n"/>
      <c r="V2150" s="102" t="n"/>
      <c r="W2150" s="102" t="n"/>
      <c r="X2150" s="102" t="n"/>
      <c r="Y2150" s="102" t="n"/>
      <c r="Z2150" s="102" t="n"/>
      <c r="AA2150" s="102" t="n"/>
      <c r="AB2150" s="102" t="n"/>
      <c r="AC2150" s="102" t="n"/>
      <c r="AD2150" s="102" t="n"/>
      <c r="AE2150" s="102" t="n"/>
      <c r="AF2150" s="102" t="n"/>
      <c r="AG2150" s="102" t="n"/>
      <c r="AH2150" s="102" t="n"/>
      <c r="AI2150" s="102" t="n"/>
      <c r="AJ2150" s="102" t="n"/>
      <c r="AK2150" s="102" t="n"/>
      <c r="AL2150" s="102" t="n"/>
      <c r="AM2150" s="102" t="n"/>
      <c r="AN2150" s="102" t="n"/>
      <c r="AO2150" s="102" t="n"/>
      <c r="AP2150" s="102" t="n"/>
      <c r="AQ2150" s="102" t="n"/>
      <c r="AR2150" s="102" t="n"/>
    </row>
    <row r="2151">
      <c r="D2151" s="102" t="n"/>
      <c r="E2151" s="102" t="n"/>
      <c r="F2151" s="102" t="n"/>
      <c r="G2151" s="102" t="n"/>
      <c r="H2151" s="102" t="n"/>
      <c r="I2151" s="102" t="n"/>
      <c r="J2151" s="102" t="n"/>
      <c r="K2151" s="102" t="n"/>
      <c r="L2151" s="102" t="n"/>
      <c r="M2151" s="102" t="n"/>
      <c r="N2151" s="102" t="n"/>
      <c r="O2151" s="102" t="n"/>
      <c r="P2151" s="102" t="n"/>
      <c r="Q2151" s="102" t="n"/>
      <c r="R2151" s="102" t="n"/>
      <c r="S2151" s="102" t="n"/>
      <c r="T2151" s="102" t="n"/>
      <c r="U2151" s="102" t="n"/>
      <c r="V2151" s="102" t="n"/>
      <c r="W2151" s="102" t="n"/>
      <c r="X2151" s="102" t="n"/>
      <c r="Y2151" s="102" t="n"/>
      <c r="Z2151" s="102" t="n"/>
      <c r="AA2151" s="102" t="n"/>
      <c r="AB2151" s="102" t="n"/>
      <c r="AC2151" s="102" t="n"/>
      <c r="AD2151" s="102" t="n"/>
      <c r="AE2151" s="102" t="n"/>
      <c r="AF2151" s="102" t="n"/>
      <c r="AG2151" s="102" t="n"/>
      <c r="AH2151" s="102" t="n"/>
      <c r="AI2151" s="102" t="n"/>
      <c r="AJ2151" s="102" t="n"/>
      <c r="AK2151" s="102" t="n"/>
      <c r="AL2151" s="102" t="n"/>
      <c r="AM2151" s="102" t="n"/>
      <c r="AN2151" s="102" t="n"/>
      <c r="AO2151" s="102" t="n"/>
      <c r="AP2151" s="102" t="n"/>
      <c r="AQ2151" s="102" t="n"/>
      <c r="AR2151" s="102" t="n"/>
    </row>
    <row r="2152">
      <c r="D2152" s="103" t="n"/>
      <c r="E2152" s="103" t="n"/>
      <c r="F2152" s="103" t="n"/>
      <c r="G2152" s="103" t="n"/>
      <c r="H2152" s="103" t="n"/>
      <c r="I2152" s="103" t="n"/>
      <c r="J2152" s="103" t="n"/>
      <c r="K2152" s="103" t="n"/>
      <c r="L2152" s="103" t="n"/>
      <c r="M2152" s="103" t="n"/>
      <c r="N2152" s="103" t="n"/>
      <c r="O2152" s="103" t="n"/>
      <c r="P2152" s="103" t="n"/>
      <c r="Q2152" s="103" t="n"/>
      <c r="R2152" s="103" t="n"/>
      <c r="S2152" s="103" t="n"/>
      <c r="T2152" s="103" t="n"/>
      <c r="U2152" s="103" t="n"/>
      <c r="V2152" s="103" t="n"/>
      <c r="W2152" s="103" t="n"/>
      <c r="X2152" s="103" t="n"/>
      <c r="Y2152" s="103" t="n"/>
      <c r="Z2152" s="103" t="n"/>
      <c r="AA2152" s="103" t="n"/>
      <c r="AB2152" s="103" t="n"/>
      <c r="AC2152" s="103" t="n"/>
      <c r="AD2152" s="103" t="n"/>
      <c r="AE2152" s="103" t="n"/>
      <c r="AF2152" s="103" t="n"/>
      <c r="AG2152" s="103" t="n"/>
      <c r="AH2152" s="103" t="n"/>
      <c r="AI2152" s="103" t="n"/>
      <c r="AJ2152" s="103" t="n"/>
      <c r="AK2152" s="103" t="n"/>
      <c r="AL2152" s="103" t="n"/>
      <c r="AM2152" s="103" t="n"/>
      <c r="AN2152" s="103" t="n"/>
      <c r="AO2152" s="103" t="n"/>
      <c r="AP2152" s="103" t="n"/>
      <c r="AQ2152" s="103" t="n"/>
      <c r="AR2152" s="103" t="n"/>
    </row>
    <row r="2154">
      <c r="A2154" s="8">
        <f>IF(HSCEI!$C$61="","",HSCEI!$C$61)</f>
        <v/>
      </c>
      <c r="B2154" s="99">
        <f>IF($A2154="",0,COUNT($E2155:$AR2155))</f>
        <v/>
      </c>
      <c r="C2154" s="100">
        <f>IF($B2154=0,0,MAX($E2155:$AR2155))</f>
        <v/>
      </c>
      <c r="D2154" s="101">
        <f>BDS($A2154,FLD_HIST,"headers=y","startcol=1","endcol=7","dir=h","DVD_START_DT",HIST_FROM,"DVD_END_DT",HIST_TO)</f>
        <v/>
      </c>
      <c r="E2154" s="102" t="n"/>
      <c r="F2154" s="102" t="n"/>
      <c r="G2154" s="102" t="n"/>
      <c r="H2154" s="102" t="n"/>
      <c r="I2154" s="102" t="n"/>
      <c r="J2154" s="102" t="n"/>
      <c r="K2154" s="102" t="n"/>
      <c r="L2154" s="102" t="n"/>
      <c r="M2154" s="102" t="n"/>
      <c r="N2154" s="102" t="n"/>
      <c r="O2154" s="102" t="n"/>
      <c r="P2154" s="102" t="n"/>
      <c r="Q2154" s="102" t="n"/>
      <c r="R2154" s="102" t="n"/>
      <c r="S2154" s="102" t="n"/>
      <c r="T2154" s="102" t="n"/>
      <c r="U2154" s="102" t="n"/>
      <c r="V2154" s="102" t="n"/>
      <c r="W2154" s="102" t="n"/>
      <c r="X2154" s="102" t="n"/>
      <c r="Y2154" s="102" t="n"/>
      <c r="Z2154" s="102" t="n"/>
      <c r="AA2154" s="102" t="n"/>
      <c r="AB2154" s="102" t="n"/>
      <c r="AC2154" s="102" t="n"/>
      <c r="AD2154" s="102" t="n"/>
      <c r="AE2154" s="102" t="n"/>
      <c r="AF2154" s="102" t="n"/>
      <c r="AG2154" s="102" t="n"/>
      <c r="AH2154" s="102" t="n"/>
      <c r="AI2154" s="102" t="n"/>
      <c r="AJ2154" s="102" t="n"/>
      <c r="AK2154" s="102" t="n"/>
      <c r="AL2154" s="102" t="n"/>
      <c r="AM2154" s="102" t="n"/>
      <c r="AN2154" s="102" t="n"/>
      <c r="AO2154" s="102" t="n"/>
      <c r="AP2154" s="102" t="n"/>
      <c r="AQ2154" s="102" t="n"/>
      <c r="AR2154" s="102" t="n"/>
    </row>
    <row r="2155">
      <c r="D2155" s="102" t="n"/>
      <c r="E2155" s="102" t="n"/>
      <c r="F2155" s="102" t="n"/>
      <c r="G2155" s="102" t="n"/>
      <c r="H2155" s="102" t="n"/>
      <c r="I2155" s="102" t="n"/>
      <c r="J2155" s="102" t="n"/>
      <c r="K2155" s="102" t="n"/>
      <c r="L2155" s="102" t="n"/>
      <c r="M2155" s="102" t="n"/>
      <c r="N2155" s="102" t="n"/>
      <c r="O2155" s="102" t="n"/>
      <c r="P2155" s="102" t="n"/>
      <c r="Q2155" s="102" t="n"/>
      <c r="R2155" s="102" t="n"/>
      <c r="S2155" s="102" t="n"/>
      <c r="T2155" s="102" t="n"/>
      <c r="U2155" s="102" t="n"/>
      <c r="V2155" s="102" t="n"/>
      <c r="W2155" s="102" t="n"/>
      <c r="X2155" s="102" t="n"/>
      <c r="Y2155" s="102" t="n"/>
      <c r="Z2155" s="102" t="n"/>
      <c r="AA2155" s="102" t="n"/>
      <c r="AB2155" s="102" t="n"/>
      <c r="AC2155" s="102" t="n"/>
      <c r="AD2155" s="102" t="n"/>
      <c r="AE2155" s="102" t="n"/>
      <c r="AF2155" s="102" t="n"/>
      <c r="AG2155" s="102" t="n"/>
      <c r="AH2155" s="102" t="n"/>
      <c r="AI2155" s="102" t="n"/>
      <c r="AJ2155" s="102" t="n"/>
      <c r="AK2155" s="102" t="n"/>
      <c r="AL2155" s="102" t="n"/>
      <c r="AM2155" s="102" t="n"/>
      <c r="AN2155" s="102" t="n"/>
      <c r="AO2155" s="102" t="n"/>
      <c r="AP2155" s="102" t="n"/>
      <c r="AQ2155" s="102" t="n"/>
      <c r="AR2155" s="102" t="n"/>
    </row>
    <row r="2156">
      <c r="D2156" s="102" t="n"/>
      <c r="E2156" s="102" t="n"/>
      <c r="F2156" s="102" t="n"/>
      <c r="G2156" s="102" t="n"/>
      <c r="H2156" s="102" t="n"/>
      <c r="I2156" s="102" t="n"/>
      <c r="J2156" s="102" t="n"/>
      <c r="K2156" s="102" t="n"/>
      <c r="L2156" s="102" t="n"/>
      <c r="M2156" s="102" t="n"/>
      <c r="N2156" s="102" t="n"/>
      <c r="O2156" s="102" t="n"/>
      <c r="P2156" s="102" t="n"/>
      <c r="Q2156" s="102" t="n"/>
      <c r="R2156" s="102" t="n"/>
      <c r="S2156" s="102" t="n"/>
      <c r="T2156" s="102" t="n"/>
      <c r="U2156" s="102" t="n"/>
      <c r="V2156" s="102" t="n"/>
      <c r="W2156" s="102" t="n"/>
      <c r="X2156" s="102" t="n"/>
      <c r="Y2156" s="102" t="n"/>
      <c r="Z2156" s="102" t="n"/>
      <c r="AA2156" s="102" t="n"/>
      <c r="AB2156" s="102" t="n"/>
      <c r="AC2156" s="102" t="n"/>
      <c r="AD2156" s="102" t="n"/>
      <c r="AE2156" s="102" t="n"/>
      <c r="AF2156" s="102" t="n"/>
      <c r="AG2156" s="102" t="n"/>
      <c r="AH2156" s="102" t="n"/>
      <c r="AI2156" s="102" t="n"/>
      <c r="AJ2156" s="102" t="n"/>
      <c r="AK2156" s="102" t="n"/>
      <c r="AL2156" s="102" t="n"/>
      <c r="AM2156" s="102" t="n"/>
      <c r="AN2156" s="102" t="n"/>
      <c r="AO2156" s="102" t="n"/>
      <c r="AP2156" s="102" t="n"/>
      <c r="AQ2156" s="102" t="n"/>
      <c r="AR2156" s="102" t="n"/>
    </row>
    <row r="2157">
      <c r="D2157" s="102" t="n"/>
      <c r="E2157" s="102" t="n"/>
      <c r="F2157" s="102" t="n"/>
      <c r="G2157" s="102" t="n"/>
      <c r="H2157" s="102" t="n"/>
      <c r="I2157" s="102" t="n"/>
      <c r="J2157" s="102" t="n"/>
      <c r="K2157" s="102" t="n"/>
      <c r="L2157" s="102" t="n"/>
      <c r="M2157" s="102" t="n"/>
      <c r="N2157" s="102" t="n"/>
      <c r="O2157" s="102" t="n"/>
      <c r="P2157" s="102" t="n"/>
      <c r="Q2157" s="102" t="n"/>
      <c r="R2157" s="102" t="n"/>
      <c r="S2157" s="102" t="n"/>
      <c r="T2157" s="102" t="n"/>
      <c r="U2157" s="102" t="n"/>
      <c r="V2157" s="102" t="n"/>
      <c r="W2157" s="102" t="n"/>
      <c r="X2157" s="102" t="n"/>
      <c r="Y2157" s="102" t="n"/>
      <c r="Z2157" s="102" t="n"/>
      <c r="AA2157" s="102" t="n"/>
      <c r="AB2157" s="102" t="n"/>
      <c r="AC2157" s="102" t="n"/>
      <c r="AD2157" s="102" t="n"/>
      <c r="AE2157" s="102" t="n"/>
      <c r="AF2157" s="102" t="n"/>
      <c r="AG2157" s="102" t="n"/>
      <c r="AH2157" s="102" t="n"/>
      <c r="AI2157" s="102" t="n"/>
      <c r="AJ2157" s="102" t="n"/>
      <c r="AK2157" s="102" t="n"/>
      <c r="AL2157" s="102" t="n"/>
      <c r="AM2157" s="102" t="n"/>
      <c r="AN2157" s="102" t="n"/>
      <c r="AO2157" s="102" t="n"/>
      <c r="AP2157" s="102" t="n"/>
      <c r="AQ2157" s="102" t="n"/>
      <c r="AR2157" s="102" t="n"/>
    </row>
    <row r="2158">
      <c r="D2158" s="103" t="n"/>
      <c r="E2158" s="103" t="n"/>
      <c r="F2158" s="103" t="n"/>
      <c r="G2158" s="103" t="n"/>
      <c r="H2158" s="103" t="n"/>
      <c r="I2158" s="103" t="n"/>
      <c r="J2158" s="103" t="n"/>
      <c r="K2158" s="103" t="n"/>
      <c r="L2158" s="103" t="n"/>
      <c r="M2158" s="103" t="n"/>
      <c r="N2158" s="103" t="n"/>
      <c r="O2158" s="103" t="n"/>
      <c r="P2158" s="103" t="n"/>
      <c r="Q2158" s="103" t="n"/>
      <c r="R2158" s="103" t="n"/>
      <c r="S2158" s="103" t="n"/>
      <c r="T2158" s="103" t="n"/>
      <c r="U2158" s="103" t="n"/>
      <c r="V2158" s="103" t="n"/>
      <c r="W2158" s="103" t="n"/>
      <c r="X2158" s="103" t="n"/>
      <c r="Y2158" s="103" t="n"/>
      <c r="Z2158" s="103" t="n"/>
      <c r="AA2158" s="103" t="n"/>
      <c r="AB2158" s="103" t="n"/>
      <c r="AC2158" s="103" t="n"/>
      <c r="AD2158" s="103" t="n"/>
      <c r="AE2158" s="103" t="n"/>
      <c r="AF2158" s="103" t="n"/>
      <c r="AG2158" s="103" t="n"/>
      <c r="AH2158" s="103" t="n"/>
      <c r="AI2158" s="103" t="n"/>
      <c r="AJ2158" s="103" t="n"/>
      <c r="AK2158" s="103" t="n"/>
      <c r="AL2158" s="103" t="n"/>
      <c r="AM2158" s="103" t="n"/>
      <c r="AN2158" s="103" t="n"/>
      <c r="AO2158" s="103" t="n"/>
      <c r="AP2158" s="103" t="n"/>
      <c r="AQ2158" s="103" t="n"/>
      <c r="AR2158" s="103" t="n"/>
    </row>
    <row r="2161">
      <c r="A2161" s="2">
        <f>IF($A2154="","","   projections")</f>
        <v/>
      </c>
      <c r="B2161" s="99">
        <f>IF($A2154="",0,COUNT($E2162:$AR2162))</f>
        <v/>
      </c>
      <c r="C2161" s="100">
        <f>IF($B2161=0,0,MAX($E2162:$AR2162))</f>
        <v/>
      </c>
      <c r="D2161" s="101">
        <f>BDS($A2154,FLD_PROJ,"headers=y","startcol=1","endcol=3","dir=h")</f>
        <v/>
      </c>
      <c r="E2161" s="102" t="n"/>
      <c r="F2161" s="102" t="n"/>
      <c r="G2161" s="102" t="n"/>
      <c r="H2161" s="102" t="n"/>
      <c r="I2161" s="102" t="n"/>
      <c r="J2161" s="102" t="n"/>
      <c r="K2161" s="102" t="n"/>
      <c r="L2161" s="102" t="n"/>
      <c r="M2161" s="102" t="n"/>
      <c r="N2161" s="102" t="n"/>
      <c r="O2161" s="102" t="n"/>
      <c r="P2161" s="102" t="n"/>
      <c r="Q2161" s="102" t="n"/>
      <c r="R2161" s="102" t="n"/>
      <c r="S2161" s="102" t="n"/>
      <c r="T2161" s="102" t="n"/>
      <c r="U2161" s="102" t="n"/>
      <c r="V2161" s="102" t="n"/>
      <c r="W2161" s="102" t="n"/>
      <c r="X2161" s="102" t="n"/>
      <c r="Y2161" s="102" t="n"/>
      <c r="Z2161" s="102" t="n"/>
      <c r="AA2161" s="102" t="n"/>
      <c r="AB2161" s="102" t="n"/>
      <c r="AC2161" s="102" t="n"/>
      <c r="AD2161" s="102" t="n"/>
      <c r="AE2161" s="102" t="n"/>
      <c r="AF2161" s="102" t="n"/>
      <c r="AG2161" s="102" t="n"/>
      <c r="AH2161" s="102" t="n"/>
      <c r="AI2161" s="102" t="n"/>
      <c r="AJ2161" s="102" t="n"/>
      <c r="AK2161" s="102" t="n"/>
      <c r="AL2161" s="102" t="n"/>
      <c r="AM2161" s="102" t="n"/>
      <c r="AN2161" s="102" t="n"/>
      <c r="AO2161" s="102" t="n"/>
      <c r="AP2161" s="102" t="n"/>
      <c r="AQ2161" s="102" t="n"/>
      <c r="AR2161" s="102" t="n"/>
    </row>
    <row r="2162">
      <c r="D2162" s="102" t="n"/>
      <c r="E2162" s="102" t="n"/>
      <c r="F2162" s="102" t="n"/>
      <c r="G2162" s="102" t="n"/>
      <c r="H2162" s="102" t="n"/>
      <c r="I2162" s="102" t="n"/>
      <c r="J2162" s="102" t="n"/>
      <c r="K2162" s="102" t="n"/>
      <c r="L2162" s="102" t="n"/>
      <c r="M2162" s="102" t="n"/>
      <c r="N2162" s="102" t="n"/>
      <c r="O2162" s="102" t="n"/>
      <c r="P2162" s="102" t="n"/>
      <c r="Q2162" s="102" t="n"/>
      <c r="R2162" s="102" t="n"/>
      <c r="S2162" s="102" t="n"/>
      <c r="T2162" s="102" t="n"/>
      <c r="U2162" s="102" t="n"/>
      <c r="V2162" s="102" t="n"/>
      <c r="W2162" s="102" t="n"/>
      <c r="X2162" s="102" t="n"/>
      <c r="Y2162" s="102" t="n"/>
      <c r="Z2162" s="102" t="n"/>
      <c r="AA2162" s="102" t="n"/>
      <c r="AB2162" s="102" t="n"/>
      <c r="AC2162" s="102" t="n"/>
      <c r="AD2162" s="102" t="n"/>
      <c r="AE2162" s="102" t="n"/>
      <c r="AF2162" s="102" t="n"/>
      <c r="AG2162" s="102" t="n"/>
      <c r="AH2162" s="102" t="n"/>
      <c r="AI2162" s="102" t="n"/>
      <c r="AJ2162" s="102" t="n"/>
      <c r="AK2162" s="102" t="n"/>
      <c r="AL2162" s="102" t="n"/>
      <c r="AM2162" s="102" t="n"/>
      <c r="AN2162" s="102" t="n"/>
      <c r="AO2162" s="102" t="n"/>
      <c r="AP2162" s="102" t="n"/>
      <c r="AQ2162" s="102" t="n"/>
      <c r="AR2162" s="102" t="n"/>
    </row>
    <row r="2163">
      <c r="D2163" s="103" t="n"/>
      <c r="E2163" s="103" t="n"/>
      <c r="F2163" s="103" t="n"/>
      <c r="G2163" s="103" t="n"/>
      <c r="H2163" s="103" t="n"/>
      <c r="I2163" s="103" t="n"/>
      <c r="J2163" s="103" t="n"/>
      <c r="K2163" s="103" t="n"/>
      <c r="L2163" s="103" t="n"/>
      <c r="M2163" s="103" t="n"/>
      <c r="N2163" s="103" t="n"/>
      <c r="O2163" s="103" t="n"/>
      <c r="P2163" s="103" t="n"/>
      <c r="Q2163" s="103" t="n"/>
      <c r="R2163" s="103" t="n"/>
      <c r="S2163" s="103" t="n"/>
      <c r="T2163" s="103" t="n"/>
      <c r="U2163" s="103" t="n"/>
      <c r="V2163" s="103" t="n"/>
      <c r="W2163" s="103" t="n"/>
      <c r="X2163" s="103" t="n"/>
      <c r="Y2163" s="103" t="n"/>
      <c r="Z2163" s="103" t="n"/>
      <c r="AA2163" s="103" t="n"/>
      <c r="AB2163" s="103" t="n"/>
      <c r="AC2163" s="103" t="n"/>
      <c r="AD2163" s="103" t="n"/>
      <c r="AE2163" s="103" t="n"/>
      <c r="AF2163" s="103" t="n"/>
      <c r="AG2163" s="103" t="n"/>
      <c r="AH2163" s="103" t="n"/>
      <c r="AI2163" s="103" t="n"/>
      <c r="AJ2163" s="103" t="n"/>
      <c r="AK2163" s="103" t="n"/>
      <c r="AL2163" s="103" t="n"/>
      <c r="AM2163" s="103" t="n"/>
      <c r="AN2163" s="103" t="n"/>
      <c r="AO2163" s="103" t="n"/>
      <c r="AP2163" s="103" t="n"/>
      <c r="AQ2163" s="103" t="n"/>
      <c r="AR2163" s="103" t="n"/>
    </row>
    <row r="2165">
      <c r="A2165" s="8">
        <f>IF(HSCEI!$C$62="","",HSCEI!$C$62)</f>
        <v/>
      </c>
      <c r="B2165" s="99">
        <f>IF($A2165="",0,COUNT($E2166:$AR2166))</f>
        <v/>
      </c>
      <c r="C2165" s="100">
        <f>IF($B2165=0,0,MAX($E2166:$AR2166))</f>
        <v/>
      </c>
      <c r="D2165" s="101">
        <f>BDS($A2165,FLD_HIST,"headers=y","startcol=1","endcol=7","dir=h","DVD_START_DT",HIST_FROM,"DVD_END_DT",HIST_TO)</f>
        <v/>
      </c>
      <c r="E2165" s="102" t="n"/>
      <c r="F2165" s="102" t="n"/>
      <c r="G2165" s="102" t="n"/>
      <c r="H2165" s="102" t="n"/>
      <c r="I2165" s="102" t="n"/>
      <c r="J2165" s="102" t="n"/>
      <c r="K2165" s="102" t="n"/>
      <c r="L2165" s="102" t="n"/>
      <c r="M2165" s="102" t="n"/>
      <c r="N2165" s="102" t="n"/>
      <c r="O2165" s="102" t="n"/>
      <c r="P2165" s="102" t="n"/>
      <c r="Q2165" s="102" t="n"/>
      <c r="R2165" s="102" t="n"/>
      <c r="S2165" s="102" t="n"/>
      <c r="T2165" s="102" t="n"/>
      <c r="U2165" s="102" t="n"/>
      <c r="V2165" s="102" t="n"/>
      <c r="W2165" s="102" t="n"/>
      <c r="X2165" s="102" t="n"/>
      <c r="Y2165" s="102" t="n"/>
      <c r="Z2165" s="102" t="n"/>
      <c r="AA2165" s="102" t="n"/>
      <c r="AB2165" s="102" t="n"/>
      <c r="AC2165" s="102" t="n"/>
      <c r="AD2165" s="102" t="n"/>
      <c r="AE2165" s="102" t="n"/>
      <c r="AF2165" s="102" t="n"/>
      <c r="AG2165" s="102" t="n"/>
      <c r="AH2165" s="102" t="n"/>
      <c r="AI2165" s="102" t="n"/>
      <c r="AJ2165" s="102" t="n"/>
      <c r="AK2165" s="102" t="n"/>
      <c r="AL2165" s="102" t="n"/>
      <c r="AM2165" s="102" t="n"/>
      <c r="AN2165" s="102" t="n"/>
      <c r="AO2165" s="102" t="n"/>
      <c r="AP2165" s="102" t="n"/>
      <c r="AQ2165" s="102" t="n"/>
      <c r="AR2165" s="102" t="n"/>
    </row>
    <row r="2166">
      <c r="D2166" s="102" t="n"/>
      <c r="E2166" s="102" t="n"/>
      <c r="F2166" s="102" t="n"/>
      <c r="G2166" s="102" t="n"/>
      <c r="H2166" s="102" t="n"/>
      <c r="I2166" s="102" t="n"/>
      <c r="J2166" s="102" t="n"/>
      <c r="K2166" s="102" t="n"/>
      <c r="L2166" s="102" t="n"/>
      <c r="M2166" s="102" t="n"/>
      <c r="N2166" s="102" t="n"/>
      <c r="O2166" s="102" t="n"/>
      <c r="P2166" s="102" t="n"/>
      <c r="Q2166" s="102" t="n"/>
      <c r="R2166" s="102" t="n"/>
      <c r="S2166" s="102" t="n"/>
      <c r="T2166" s="102" t="n"/>
      <c r="U2166" s="102" t="n"/>
      <c r="V2166" s="102" t="n"/>
      <c r="W2166" s="102" t="n"/>
      <c r="X2166" s="102" t="n"/>
      <c r="Y2166" s="102" t="n"/>
      <c r="Z2166" s="102" t="n"/>
      <c r="AA2166" s="102" t="n"/>
      <c r="AB2166" s="102" t="n"/>
      <c r="AC2166" s="102" t="n"/>
      <c r="AD2166" s="102" t="n"/>
      <c r="AE2166" s="102" t="n"/>
      <c r="AF2166" s="102" t="n"/>
      <c r="AG2166" s="102" t="n"/>
      <c r="AH2166" s="102" t="n"/>
      <c r="AI2166" s="102" t="n"/>
      <c r="AJ2166" s="102" t="n"/>
      <c r="AK2166" s="102" t="n"/>
      <c r="AL2166" s="102" t="n"/>
      <c r="AM2166" s="102" t="n"/>
      <c r="AN2166" s="102" t="n"/>
      <c r="AO2166" s="102" t="n"/>
      <c r="AP2166" s="102" t="n"/>
      <c r="AQ2166" s="102" t="n"/>
      <c r="AR2166" s="102" t="n"/>
    </row>
    <row r="2167">
      <c r="D2167" s="102" t="n"/>
      <c r="E2167" s="102" t="n"/>
      <c r="F2167" s="102" t="n"/>
      <c r="G2167" s="102" t="n"/>
      <c r="H2167" s="102" t="n"/>
      <c r="I2167" s="102" t="n"/>
      <c r="J2167" s="102" t="n"/>
      <c r="K2167" s="102" t="n"/>
      <c r="L2167" s="102" t="n"/>
      <c r="M2167" s="102" t="n"/>
      <c r="N2167" s="102" t="n"/>
      <c r="O2167" s="102" t="n"/>
      <c r="P2167" s="102" t="n"/>
      <c r="Q2167" s="102" t="n"/>
      <c r="R2167" s="102" t="n"/>
      <c r="S2167" s="102" t="n"/>
      <c r="T2167" s="102" t="n"/>
      <c r="U2167" s="102" t="n"/>
      <c r="V2167" s="102" t="n"/>
      <c r="W2167" s="102" t="n"/>
      <c r="X2167" s="102" t="n"/>
      <c r="Y2167" s="102" t="n"/>
      <c r="Z2167" s="102" t="n"/>
      <c r="AA2167" s="102" t="n"/>
      <c r="AB2167" s="102" t="n"/>
      <c r="AC2167" s="102" t="n"/>
      <c r="AD2167" s="102" t="n"/>
      <c r="AE2167" s="102" t="n"/>
      <c r="AF2167" s="102" t="n"/>
      <c r="AG2167" s="102" t="n"/>
      <c r="AH2167" s="102" t="n"/>
      <c r="AI2167" s="102" t="n"/>
      <c r="AJ2167" s="102" t="n"/>
      <c r="AK2167" s="102" t="n"/>
      <c r="AL2167" s="102" t="n"/>
      <c r="AM2167" s="102" t="n"/>
      <c r="AN2167" s="102" t="n"/>
      <c r="AO2167" s="102" t="n"/>
      <c r="AP2167" s="102" t="n"/>
      <c r="AQ2167" s="102" t="n"/>
      <c r="AR2167" s="102" t="n"/>
    </row>
    <row r="2168">
      <c r="D2168" s="102" t="n"/>
      <c r="E2168" s="102" t="n"/>
      <c r="F2168" s="102" t="n"/>
      <c r="G2168" s="102" t="n"/>
      <c r="H2168" s="102" t="n"/>
      <c r="I2168" s="102" t="n"/>
      <c r="J2168" s="102" t="n"/>
      <c r="K2168" s="102" t="n"/>
      <c r="L2168" s="102" t="n"/>
      <c r="M2168" s="102" t="n"/>
      <c r="N2168" s="102" t="n"/>
      <c r="O2168" s="102" t="n"/>
      <c r="P2168" s="102" t="n"/>
      <c r="Q2168" s="102" t="n"/>
      <c r="R2168" s="102" t="n"/>
      <c r="S2168" s="102" t="n"/>
      <c r="T2168" s="102" t="n"/>
      <c r="U2168" s="102" t="n"/>
      <c r="V2168" s="102" t="n"/>
      <c r="W2168" s="102" t="n"/>
      <c r="X2168" s="102" t="n"/>
      <c r="Y2168" s="102" t="n"/>
      <c r="Z2168" s="102" t="n"/>
      <c r="AA2168" s="102" t="n"/>
      <c r="AB2168" s="102" t="n"/>
      <c r="AC2168" s="102" t="n"/>
      <c r="AD2168" s="102" t="n"/>
      <c r="AE2168" s="102" t="n"/>
      <c r="AF2168" s="102" t="n"/>
      <c r="AG2168" s="102" t="n"/>
      <c r="AH2168" s="102" t="n"/>
      <c r="AI2168" s="102" t="n"/>
      <c r="AJ2168" s="102" t="n"/>
      <c r="AK2168" s="102" t="n"/>
      <c r="AL2168" s="102" t="n"/>
      <c r="AM2168" s="102" t="n"/>
      <c r="AN2168" s="102" t="n"/>
      <c r="AO2168" s="102" t="n"/>
      <c r="AP2168" s="102" t="n"/>
      <c r="AQ2168" s="102" t="n"/>
      <c r="AR2168" s="102" t="n"/>
    </row>
    <row r="2169">
      <c r="D2169" s="103" t="n"/>
      <c r="E2169" s="103" t="n"/>
      <c r="F2169" s="103" t="n"/>
      <c r="G2169" s="103" t="n"/>
      <c r="H2169" s="103" t="n"/>
      <c r="I2169" s="103" t="n"/>
      <c r="J2169" s="103" t="n"/>
      <c r="K2169" s="103" t="n"/>
      <c r="L2169" s="103" t="n"/>
      <c r="M2169" s="103" t="n"/>
      <c r="N2169" s="103" t="n"/>
      <c r="O2169" s="103" t="n"/>
      <c r="P2169" s="103" t="n"/>
      <c r="Q2169" s="103" t="n"/>
      <c r="R2169" s="103" t="n"/>
      <c r="S2169" s="103" t="n"/>
      <c r="T2169" s="103" t="n"/>
      <c r="U2169" s="103" t="n"/>
      <c r="V2169" s="103" t="n"/>
      <c r="W2169" s="103" t="n"/>
      <c r="X2169" s="103" t="n"/>
      <c r="Y2169" s="103" t="n"/>
      <c r="Z2169" s="103" t="n"/>
      <c r="AA2169" s="103" t="n"/>
      <c r="AB2169" s="103" t="n"/>
      <c r="AC2169" s="103" t="n"/>
      <c r="AD2169" s="103" t="n"/>
      <c r="AE2169" s="103" t="n"/>
      <c r="AF2169" s="103" t="n"/>
      <c r="AG2169" s="103" t="n"/>
      <c r="AH2169" s="103" t="n"/>
      <c r="AI2169" s="103" t="n"/>
      <c r="AJ2169" s="103" t="n"/>
      <c r="AK2169" s="103" t="n"/>
      <c r="AL2169" s="103" t="n"/>
      <c r="AM2169" s="103" t="n"/>
      <c r="AN2169" s="103" t="n"/>
      <c r="AO2169" s="103" t="n"/>
      <c r="AP2169" s="103" t="n"/>
      <c r="AQ2169" s="103" t="n"/>
      <c r="AR2169" s="103" t="n"/>
    </row>
    <row r="2172">
      <c r="A2172" s="2">
        <f>IF($A2165="","","   projections")</f>
        <v/>
      </c>
      <c r="B2172" s="99">
        <f>IF($A2165="",0,COUNT($E2173:$AR2173))</f>
        <v/>
      </c>
      <c r="C2172" s="100">
        <f>IF($B2172=0,0,MAX($E2173:$AR2173))</f>
        <v/>
      </c>
      <c r="D2172" s="101">
        <f>BDS($A2165,FLD_PROJ,"headers=y","startcol=1","endcol=3","dir=h")</f>
        <v/>
      </c>
      <c r="E2172" s="102" t="n"/>
      <c r="F2172" s="102" t="n"/>
      <c r="G2172" s="102" t="n"/>
      <c r="H2172" s="102" t="n"/>
      <c r="I2172" s="102" t="n"/>
      <c r="J2172" s="102" t="n"/>
      <c r="K2172" s="102" t="n"/>
      <c r="L2172" s="102" t="n"/>
      <c r="M2172" s="102" t="n"/>
      <c r="N2172" s="102" t="n"/>
      <c r="O2172" s="102" t="n"/>
      <c r="P2172" s="102" t="n"/>
      <c r="Q2172" s="102" t="n"/>
      <c r="R2172" s="102" t="n"/>
      <c r="S2172" s="102" t="n"/>
      <c r="T2172" s="102" t="n"/>
      <c r="U2172" s="102" t="n"/>
      <c r="V2172" s="102" t="n"/>
      <c r="W2172" s="102" t="n"/>
      <c r="X2172" s="102" t="n"/>
      <c r="Y2172" s="102" t="n"/>
      <c r="Z2172" s="102" t="n"/>
      <c r="AA2172" s="102" t="n"/>
      <c r="AB2172" s="102" t="n"/>
      <c r="AC2172" s="102" t="n"/>
      <c r="AD2172" s="102" t="n"/>
      <c r="AE2172" s="102" t="n"/>
      <c r="AF2172" s="102" t="n"/>
      <c r="AG2172" s="102" t="n"/>
      <c r="AH2172" s="102" t="n"/>
      <c r="AI2172" s="102" t="n"/>
      <c r="AJ2172" s="102" t="n"/>
      <c r="AK2172" s="102" t="n"/>
      <c r="AL2172" s="102" t="n"/>
      <c r="AM2172" s="102" t="n"/>
      <c r="AN2172" s="102" t="n"/>
      <c r="AO2172" s="102" t="n"/>
      <c r="AP2172" s="102" t="n"/>
      <c r="AQ2172" s="102" t="n"/>
      <c r="AR2172" s="102" t="n"/>
    </row>
    <row r="2173">
      <c r="D2173" s="102" t="n"/>
      <c r="E2173" s="102" t="n"/>
      <c r="F2173" s="102" t="n"/>
      <c r="G2173" s="102" t="n"/>
      <c r="H2173" s="102" t="n"/>
      <c r="I2173" s="102" t="n"/>
      <c r="J2173" s="102" t="n"/>
      <c r="K2173" s="102" t="n"/>
      <c r="L2173" s="102" t="n"/>
      <c r="M2173" s="102" t="n"/>
      <c r="N2173" s="102" t="n"/>
      <c r="O2173" s="102" t="n"/>
      <c r="P2173" s="102" t="n"/>
      <c r="Q2173" s="102" t="n"/>
      <c r="R2173" s="102" t="n"/>
      <c r="S2173" s="102" t="n"/>
      <c r="T2173" s="102" t="n"/>
      <c r="U2173" s="102" t="n"/>
      <c r="V2173" s="102" t="n"/>
      <c r="W2173" s="102" t="n"/>
      <c r="X2173" s="102" t="n"/>
      <c r="Y2173" s="102" t="n"/>
      <c r="Z2173" s="102" t="n"/>
      <c r="AA2173" s="102" t="n"/>
      <c r="AB2173" s="102" t="n"/>
      <c r="AC2173" s="102" t="n"/>
      <c r="AD2173" s="102" t="n"/>
      <c r="AE2173" s="102" t="n"/>
      <c r="AF2173" s="102" t="n"/>
      <c r="AG2173" s="102" t="n"/>
      <c r="AH2173" s="102" t="n"/>
      <c r="AI2173" s="102" t="n"/>
      <c r="AJ2173" s="102" t="n"/>
      <c r="AK2173" s="102" t="n"/>
      <c r="AL2173" s="102" t="n"/>
      <c r="AM2173" s="102" t="n"/>
      <c r="AN2173" s="102" t="n"/>
      <c r="AO2173" s="102" t="n"/>
      <c r="AP2173" s="102" t="n"/>
      <c r="AQ2173" s="102" t="n"/>
      <c r="AR2173" s="102" t="n"/>
    </row>
    <row r="2174">
      <c r="D2174" s="103" t="n"/>
      <c r="E2174" s="103" t="n"/>
      <c r="F2174" s="103" t="n"/>
      <c r="G2174" s="103" t="n"/>
      <c r="H2174" s="103" t="n"/>
      <c r="I2174" s="103" t="n"/>
      <c r="J2174" s="103" t="n"/>
      <c r="K2174" s="103" t="n"/>
      <c r="L2174" s="103" t="n"/>
      <c r="M2174" s="103" t="n"/>
      <c r="N2174" s="103" t="n"/>
      <c r="O2174" s="103" t="n"/>
      <c r="P2174" s="103" t="n"/>
      <c r="Q2174" s="103" t="n"/>
      <c r="R2174" s="103" t="n"/>
      <c r="S2174" s="103" t="n"/>
      <c r="T2174" s="103" t="n"/>
      <c r="U2174" s="103" t="n"/>
      <c r="V2174" s="103" t="n"/>
      <c r="W2174" s="103" t="n"/>
      <c r="X2174" s="103" t="n"/>
      <c r="Y2174" s="103" t="n"/>
      <c r="Z2174" s="103" t="n"/>
      <c r="AA2174" s="103" t="n"/>
      <c r="AB2174" s="103" t="n"/>
      <c r="AC2174" s="103" t="n"/>
      <c r="AD2174" s="103" t="n"/>
      <c r="AE2174" s="103" t="n"/>
      <c r="AF2174" s="103" t="n"/>
      <c r="AG2174" s="103" t="n"/>
      <c r="AH2174" s="103" t="n"/>
      <c r="AI2174" s="103" t="n"/>
      <c r="AJ2174" s="103" t="n"/>
      <c r="AK2174" s="103" t="n"/>
      <c r="AL2174" s="103" t="n"/>
      <c r="AM2174" s="103" t="n"/>
      <c r="AN2174" s="103" t="n"/>
      <c r="AO2174" s="103" t="n"/>
      <c r="AP2174" s="103" t="n"/>
      <c r="AQ2174" s="103" t="n"/>
      <c r="AR2174" s="103" t="n"/>
    </row>
    <row r="2176">
      <c r="A2176" s="8">
        <f>IF(HSCEI!$C$63="","",HSCEI!$C$63)</f>
        <v/>
      </c>
      <c r="B2176" s="99">
        <f>IF($A2176="",0,COUNT($E2177:$AR2177))</f>
        <v/>
      </c>
      <c r="C2176" s="100">
        <f>IF($B2176=0,0,MAX($E2177:$AR2177))</f>
        <v/>
      </c>
      <c r="D2176" s="101">
        <f>BDS($A2176,FLD_HIST,"headers=y","startcol=1","endcol=7","dir=h","DVD_START_DT",HIST_FROM,"DVD_END_DT",HIST_TO)</f>
        <v/>
      </c>
      <c r="E2176" s="102" t="n"/>
      <c r="F2176" s="102" t="n"/>
      <c r="G2176" s="102" t="n"/>
      <c r="H2176" s="102" t="n"/>
      <c r="I2176" s="102" t="n"/>
      <c r="J2176" s="102" t="n"/>
      <c r="K2176" s="102" t="n"/>
      <c r="L2176" s="102" t="n"/>
      <c r="M2176" s="102" t="n"/>
      <c r="N2176" s="102" t="n"/>
      <c r="O2176" s="102" t="n"/>
      <c r="P2176" s="102" t="n"/>
      <c r="Q2176" s="102" t="n"/>
      <c r="R2176" s="102" t="n"/>
      <c r="S2176" s="102" t="n"/>
      <c r="T2176" s="102" t="n"/>
      <c r="U2176" s="102" t="n"/>
      <c r="V2176" s="102" t="n"/>
      <c r="W2176" s="102" t="n"/>
      <c r="X2176" s="102" t="n"/>
      <c r="Y2176" s="102" t="n"/>
      <c r="Z2176" s="102" t="n"/>
      <c r="AA2176" s="102" t="n"/>
      <c r="AB2176" s="102" t="n"/>
      <c r="AC2176" s="102" t="n"/>
      <c r="AD2176" s="102" t="n"/>
      <c r="AE2176" s="102" t="n"/>
      <c r="AF2176" s="102" t="n"/>
      <c r="AG2176" s="102" t="n"/>
      <c r="AH2176" s="102" t="n"/>
      <c r="AI2176" s="102" t="n"/>
      <c r="AJ2176" s="102" t="n"/>
      <c r="AK2176" s="102" t="n"/>
      <c r="AL2176" s="102" t="n"/>
      <c r="AM2176" s="102" t="n"/>
      <c r="AN2176" s="102" t="n"/>
      <c r="AO2176" s="102" t="n"/>
      <c r="AP2176" s="102" t="n"/>
      <c r="AQ2176" s="102" t="n"/>
      <c r="AR2176" s="102" t="n"/>
    </row>
    <row r="2177">
      <c r="D2177" s="102" t="n"/>
      <c r="E2177" s="102" t="n"/>
      <c r="F2177" s="102" t="n"/>
      <c r="G2177" s="102" t="n"/>
      <c r="H2177" s="102" t="n"/>
      <c r="I2177" s="102" t="n"/>
      <c r="J2177" s="102" t="n"/>
      <c r="K2177" s="102" t="n"/>
      <c r="L2177" s="102" t="n"/>
      <c r="M2177" s="102" t="n"/>
      <c r="N2177" s="102" t="n"/>
      <c r="O2177" s="102" t="n"/>
      <c r="P2177" s="102" t="n"/>
      <c r="Q2177" s="102" t="n"/>
      <c r="R2177" s="102" t="n"/>
      <c r="S2177" s="102" t="n"/>
      <c r="T2177" s="102" t="n"/>
      <c r="U2177" s="102" t="n"/>
      <c r="V2177" s="102" t="n"/>
      <c r="W2177" s="102" t="n"/>
      <c r="X2177" s="102" t="n"/>
      <c r="Y2177" s="102" t="n"/>
      <c r="Z2177" s="102" t="n"/>
      <c r="AA2177" s="102" t="n"/>
      <c r="AB2177" s="102" t="n"/>
      <c r="AC2177" s="102" t="n"/>
      <c r="AD2177" s="102" t="n"/>
      <c r="AE2177" s="102" t="n"/>
      <c r="AF2177" s="102" t="n"/>
      <c r="AG2177" s="102" t="n"/>
      <c r="AH2177" s="102" t="n"/>
      <c r="AI2177" s="102" t="n"/>
      <c r="AJ2177" s="102" t="n"/>
      <c r="AK2177" s="102" t="n"/>
      <c r="AL2177" s="102" t="n"/>
      <c r="AM2177" s="102" t="n"/>
      <c r="AN2177" s="102" t="n"/>
      <c r="AO2177" s="102" t="n"/>
      <c r="AP2177" s="102" t="n"/>
      <c r="AQ2177" s="102" t="n"/>
      <c r="AR2177" s="102" t="n"/>
    </row>
    <row r="2178">
      <c r="D2178" s="102" t="n"/>
      <c r="E2178" s="102" t="n"/>
      <c r="F2178" s="102" t="n"/>
      <c r="G2178" s="102" t="n"/>
      <c r="H2178" s="102" t="n"/>
      <c r="I2178" s="102" t="n"/>
      <c r="J2178" s="102" t="n"/>
      <c r="K2178" s="102" t="n"/>
      <c r="L2178" s="102" t="n"/>
      <c r="M2178" s="102" t="n"/>
      <c r="N2178" s="102" t="n"/>
      <c r="O2178" s="102" t="n"/>
      <c r="P2178" s="102" t="n"/>
      <c r="Q2178" s="102" t="n"/>
      <c r="R2178" s="102" t="n"/>
      <c r="S2178" s="102" t="n"/>
      <c r="T2178" s="102" t="n"/>
      <c r="U2178" s="102" t="n"/>
      <c r="V2178" s="102" t="n"/>
      <c r="W2178" s="102" t="n"/>
      <c r="X2178" s="102" t="n"/>
      <c r="Y2178" s="102" t="n"/>
      <c r="Z2178" s="102" t="n"/>
      <c r="AA2178" s="102" t="n"/>
      <c r="AB2178" s="102" t="n"/>
      <c r="AC2178" s="102" t="n"/>
      <c r="AD2178" s="102" t="n"/>
      <c r="AE2178" s="102" t="n"/>
      <c r="AF2178" s="102" t="n"/>
      <c r="AG2178" s="102" t="n"/>
      <c r="AH2178" s="102" t="n"/>
      <c r="AI2178" s="102" t="n"/>
      <c r="AJ2178" s="102" t="n"/>
      <c r="AK2178" s="102" t="n"/>
      <c r="AL2178" s="102" t="n"/>
      <c r="AM2178" s="102" t="n"/>
      <c r="AN2178" s="102" t="n"/>
      <c r="AO2178" s="102" t="n"/>
      <c r="AP2178" s="102" t="n"/>
      <c r="AQ2178" s="102" t="n"/>
      <c r="AR2178" s="102" t="n"/>
    </row>
    <row r="2179">
      <c r="D2179" s="102" t="n"/>
      <c r="E2179" s="102" t="n"/>
      <c r="F2179" s="102" t="n"/>
      <c r="G2179" s="102" t="n"/>
      <c r="H2179" s="102" t="n"/>
      <c r="I2179" s="102" t="n"/>
      <c r="J2179" s="102" t="n"/>
      <c r="K2179" s="102" t="n"/>
      <c r="L2179" s="102" t="n"/>
      <c r="M2179" s="102" t="n"/>
      <c r="N2179" s="102" t="n"/>
      <c r="O2179" s="102" t="n"/>
      <c r="P2179" s="102" t="n"/>
      <c r="Q2179" s="102" t="n"/>
      <c r="R2179" s="102" t="n"/>
      <c r="S2179" s="102" t="n"/>
      <c r="T2179" s="102" t="n"/>
      <c r="U2179" s="102" t="n"/>
      <c r="V2179" s="102" t="n"/>
      <c r="W2179" s="102" t="n"/>
      <c r="X2179" s="102" t="n"/>
      <c r="Y2179" s="102" t="n"/>
      <c r="Z2179" s="102" t="n"/>
      <c r="AA2179" s="102" t="n"/>
      <c r="AB2179" s="102" t="n"/>
      <c r="AC2179" s="102" t="n"/>
      <c r="AD2179" s="102" t="n"/>
      <c r="AE2179" s="102" t="n"/>
      <c r="AF2179" s="102" t="n"/>
      <c r="AG2179" s="102" t="n"/>
      <c r="AH2179" s="102" t="n"/>
      <c r="AI2179" s="102" t="n"/>
      <c r="AJ2179" s="102" t="n"/>
      <c r="AK2179" s="102" t="n"/>
      <c r="AL2179" s="102" t="n"/>
      <c r="AM2179" s="102" t="n"/>
      <c r="AN2179" s="102" t="n"/>
      <c r="AO2179" s="102" t="n"/>
      <c r="AP2179" s="102" t="n"/>
      <c r="AQ2179" s="102" t="n"/>
      <c r="AR2179" s="102" t="n"/>
    </row>
    <row r="2180">
      <c r="D2180" s="103" t="n"/>
      <c r="E2180" s="103" t="n"/>
      <c r="F2180" s="103" t="n"/>
      <c r="G2180" s="103" t="n"/>
      <c r="H2180" s="103" t="n"/>
      <c r="I2180" s="103" t="n"/>
      <c r="J2180" s="103" t="n"/>
      <c r="K2180" s="103" t="n"/>
      <c r="L2180" s="103" t="n"/>
      <c r="M2180" s="103" t="n"/>
      <c r="N2180" s="103" t="n"/>
      <c r="O2180" s="103" t="n"/>
      <c r="P2180" s="103" t="n"/>
      <c r="Q2180" s="103" t="n"/>
      <c r="R2180" s="103" t="n"/>
      <c r="S2180" s="103" t="n"/>
      <c r="T2180" s="103" t="n"/>
      <c r="U2180" s="103" t="n"/>
      <c r="V2180" s="103" t="n"/>
      <c r="W2180" s="103" t="n"/>
      <c r="X2180" s="103" t="n"/>
      <c r="Y2180" s="103" t="n"/>
      <c r="Z2180" s="103" t="n"/>
      <c r="AA2180" s="103" t="n"/>
      <c r="AB2180" s="103" t="n"/>
      <c r="AC2180" s="103" t="n"/>
      <c r="AD2180" s="103" t="n"/>
      <c r="AE2180" s="103" t="n"/>
      <c r="AF2180" s="103" t="n"/>
      <c r="AG2180" s="103" t="n"/>
      <c r="AH2180" s="103" t="n"/>
      <c r="AI2180" s="103" t="n"/>
      <c r="AJ2180" s="103" t="n"/>
      <c r="AK2180" s="103" t="n"/>
      <c r="AL2180" s="103" t="n"/>
      <c r="AM2180" s="103" t="n"/>
      <c r="AN2180" s="103" t="n"/>
      <c r="AO2180" s="103" t="n"/>
      <c r="AP2180" s="103" t="n"/>
      <c r="AQ2180" s="103" t="n"/>
      <c r="AR2180" s="103" t="n"/>
    </row>
    <row r="2183">
      <c r="A2183" s="2">
        <f>IF($A2176="","","   projections")</f>
        <v/>
      </c>
      <c r="B2183" s="99">
        <f>IF($A2176="",0,COUNT($E2184:$AR2184))</f>
        <v/>
      </c>
      <c r="C2183" s="100">
        <f>IF($B2183=0,0,MAX($E2184:$AR2184))</f>
        <v/>
      </c>
      <c r="D2183" s="101">
        <f>BDS($A2176,FLD_PROJ,"headers=y","startcol=1","endcol=3","dir=h")</f>
        <v/>
      </c>
      <c r="E2183" s="102" t="n"/>
      <c r="F2183" s="102" t="n"/>
      <c r="G2183" s="102" t="n"/>
      <c r="H2183" s="102" t="n"/>
      <c r="I2183" s="102" t="n"/>
      <c r="J2183" s="102" t="n"/>
      <c r="K2183" s="102" t="n"/>
      <c r="L2183" s="102" t="n"/>
      <c r="M2183" s="102" t="n"/>
      <c r="N2183" s="102" t="n"/>
      <c r="O2183" s="102" t="n"/>
      <c r="P2183" s="102" t="n"/>
      <c r="Q2183" s="102" t="n"/>
      <c r="R2183" s="102" t="n"/>
      <c r="S2183" s="102" t="n"/>
      <c r="T2183" s="102" t="n"/>
      <c r="U2183" s="102" t="n"/>
      <c r="V2183" s="102" t="n"/>
      <c r="W2183" s="102" t="n"/>
      <c r="X2183" s="102" t="n"/>
      <c r="Y2183" s="102" t="n"/>
      <c r="Z2183" s="102" t="n"/>
      <c r="AA2183" s="102" t="n"/>
      <c r="AB2183" s="102" t="n"/>
      <c r="AC2183" s="102" t="n"/>
      <c r="AD2183" s="102" t="n"/>
      <c r="AE2183" s="102" t="n"/>
      <c r="AF2183" s="102" t="n"/>
      <c r="AG2183" s="102" t="n"/>
      <c r="AH2183" s="102" t="n"/>
      <c r="AI2183" s="102" t="n"/>
      <c r="AJ2183" s="102" t="n"/>
      <c r="AK2183" s="102" t="n"/>
      <c r="AL2183" s="102" t="n"/>
      <c r="AM2183" s="102" t="n"/>
      <c r="AN2183" s="102" t="n"/>
      <c r="AO2183" s="102" t="n"/>
      <c r="AP2183" s="102" t="n"/>
      <c r="AQ2183" s="102" t="n"/>
      <c r="AR2183" s="102" t="n"/>
    </row>
    <row r="2184">
      <c r="D2184" s="102" t="n"/>
      <c r="E2184" s="102" t="n"/>
      <c r="F2184" s="102" t="n"/>
      <c r="G2184" s="102" t="n"/>
      <c r="H2184" s="102" t="n"/>
      <c r="I2184" s="102" t="n"/>
      <c r="J2184" s="102" t="n"/>
      <c r="K2184" s="102" t="n"/>
      <c r="L2184" s="102" t="n"/>
      <c r="M2184" s="102" t="n"/>
      <c r="N2184" s="102" t="n"/>
      <c r="O2184" s="102" t="n"/>
      <c r="P2184" s="102" t="n"/>
      <c r="Q2184" s="102" t="n"/>
      <c r="R2184" s="102" t="n"/>
      <c r="S2184" s="102" t="n"/>
      <c r="T2184" s="102" t="n"/>
      <c r="U2184" s="102" t="n"/>
      <c r="V2184" s="102" t="n"/>
      <c r="W2184" s="102" t="n"/>
      <c r="X2184" s="102" t="n"/>
      <c r="Y2184" s="102" t="n"/>
      <c r="Z2184" s="102" t="n"/>
      <c r="AA2184" s="102" t="n"/>
      <c r="AB2184" s="102" t="n"/>
      <c r="AC2184" s="102" t="n"/>
      <c r="AD2184" s="102" t="n"/>
      <c r="AE2184" s="102" t="n"/>
      <c r="AF2184" s="102" t="n"/>
      <c r="AG2184" s="102" t="n"/>
      <c r="AH2184" s="102" t="n"/>
      <c r="AI2184" s="102" t="n"/>
      <c r="AJ2184" s="102" t="n"/>
      <c r="AK2184" s="102" t="n"/>
      <c r="AL2184" s="102" t="n"/>
      <c r="AM2184" s="102" t="n"/>
      <c r="AN2184" s="102" t="n"/>
      <c r="AO2184" s="102" t="n"/>
      <c r="AP2184" s="102" t="n"/>
      <c r="AQ2184" s="102" t="n"/>
      <c r="AR2184" s="102" t="n"/>
    </row>
    <row r="2185">
      <c r="D2185" s="103" t="n"/>
      <c r="E2185" s="103" t="n"/>
      <c r="F2185" s="103" t="n"/>
      <c r="G2185" s="103" t="n"/>
      <c r="H2185" s="103" t="n"/>
      <c r="I2185" s="103" t="n"/>
      <c r="J2185" s="103" t="n"/>
      <c r="K2185" s="103" t="n"/>
      <c r="L2185" s="103" t="n"/>
      <c r="M2185" s="103" t="n"/>
      <c r="N2185" s="103" t="n"/>
      <c r="O2185" s="103" t="n"/>
      <c r="P2185" s="103" t="n"/>
      <c r="Q2185" s="103" t="n"/>
      <c r="R2185" s="103" t="n"/>
      <c r="S2185" s="103" t="n"/>
      <c r="T2185" s="103" t="n"/>
      <c r="U2185" s="103" t="n"/>
      <c r="V2185" s="103" t="n"/>
      <c r="W2185" s="103" t="n"/>
      <c r="X2185" s="103" t="n"/>
      <c r="Y2185" s="103" t="n"/>
      <c r="Z2185" s="103" t="n"/>
      <c r="AA2185" s="103" t="n"/>
      <c r="AB2185" s="103" t="n"/>
      <c r="AC2185" s="103" t="n"/>
      <c r="AD2185" s="103" t="n"/>
      <c r="AE2185" s="103" t="n"/>
      <c r="AF2185" s="103" t="n"/>
      <c r="AG2185" s="103" t="n"/>
      <c r="AH2185" s="103" t="n"/>
      <c r="AI2185" s="103" t="n"/>
      <c r="AJ2185" s="103" t="n"/>
      <c r="AK2185" s="103" t="n"/>
      <c r="AL2185" s="103" t="n"/>
      <c r="AM2185" s="103" t="n"/>
      <c r="AN2185" s="103" t="n"/>
      <c r="AO2185" s="103" t="n"/>
      <c r="AP2185" s="103" t="n"/>
      <c r="AQ2185" s="103" t="n"/>
      <c r="AR2185" s="103" t="n"/>
    </row>
    <row r="2187">
      <c r="A2187" s="8">
        <f>IF(HSCEI!$C$64="","",HSCEI!$C$64)</f>
        <v/>
      </c>
      <c r="B2187" s="99">
        <f>IF($A2187="",0,COUNT($E2188:$AR2188))</f>
        <v/>
      </c>
      <c r="C2187" s="100">
        <f>IF($B2187=0,0,MAX($E2188:$AR2188))</f>
        <v/>
      </c>
      <c r="D2187" s="101">
        <f>BDS($A2187,FLD_HIST,"headers=y","startcol=1","endcol=7","dir=h","DVD_START_DT",HIST_FROM,"DVD_END_DT",HIST_TO)</f>
        <v/>
      </c>
      <c r="E2187" s="102" t="n"/>
      <c r="F2187" s="102" t="n"/>
      <c r="G2187" s="102" t="n"/>
      <c r="H2187" s="102" t="n"/>
      <c r="I2187" s="102" t="n"/>
      <c r="J2187" s="102" t="n"/>
      <c r="K2187" s="102" t="n"/>
      <c r="L2187" s="102" t="n"/>
      <c r="M2187" s="102" t="n"/>
      <c r="N2187" s="102" t="n"/>
      <c r="O2187" s="102" t="n"/>
      <c r="P2187" s="102" t="n"/>
      <c r="Q2187" s="102" t="n"/>
      <c r="R2187" s="102" t="n"/>
      <c r="S2187" s="102" t="n"/>
      <c r="T2187" s="102" t="n"/>
      <c r="U2187" s="102" t="n"/>
      <c r="V2187" s="102" t="n"/>
      <c r="W2187" s="102" t="n"/>
      <c r="X2187" s="102" t="n"/>
      <c r="Y2187" s="102" t="n"/>
      <c r="Z2187" s="102" t="n"/>
      <c r="AA2187" s="102" t="n"/>
      <c r="AB2187" s="102" t="n"/>
      <c r="AC2187" s="102" t="n"/>
      <c r="AD2187" s="102" t="n"/>
      <c r="AE2187" s="102" t="n"/>
      <c r="AF2187" s="102" t="n"/>
      <c r="AG2187" s="102" t="n"/>
      <c r="AH2187" s="102" t="n"/>
      <c r="AI2187" s="102" t="n"/>
      <c r="AJ2187" s="102" t="n"/>
      <c r="AK2187" s="102" t="n"/>
      <c r="AL2187" s="102" t="n"/>
      <c r="AM2187" s="102" t="n"/>
      <c r="AN2187" s="102" t="n"/>
      <c r="AO2187" s="102" t="n"/>
      <c r="AP2187" s="102" t="n"/>
      <c r="AQ2187" s="102" t="n"/>
      <c r="AR2187" s="102" t="n"/>
    </row>
    <row r="2188">
      <c r="D2188" s="102" t="n"/>
      <c r="E2188" s="102" t="n"/>
      <c r="F2188" s="102" t="n"/>
      <c r="G2188" s="102" t="n"/>
      <c r="H2188" s="102" t="n"/>
      <c r="I2188" s="102" t="n"/>
      <c r="J2188" s="102" t="n"/>
      <c r="K2188" s="102" t="n"/>
      <c r="L2188" s="102" t="n"/>
      <c r="M2188" s="102" t="n"/>
      <c r="N2188" s="102" t="n"/>
      <c r="O2188" s="102" t="n"/>
      <c r="P2188" s="102" t="n"/>
      <c r="Q2188" s="102" t="n"/>
      <c r="R2188" s="102" t="n"/>
      <c r="S2188" s="102" t="n"/>
      <c r="T2188" s="102" t="n"/>
      <c r="U2188" s="102" t="n"/>
      <c r="V2188" s="102" t="n"/>
      <c r="W2188" s="102" t="n"/>
      <c r="X2188" s="102" t="n"/>
      <c r="Y2188" s="102" t="n"/>
      <c r="Z2188" s="102" t="n"/>
      <c r="AA2188" s="102" t="n"/>
      <c r="AB2188" s="102" t="n"/>
      <c r="AC2188" s="102" t="n"/>
      <c r="AD2188" s="102" t="n"/>
      <c r="AE2188" s="102" t="n"/>
      <c r="AF2188" s="102" t="n"/>
      <c r="AG2188" s="102" t="n"/>
      <c r="AH2188" s="102" t="n"/>
      <c r="AI2188" s="102" t="n"/>
      <c r="AJ2188" s="102" t="n"/>
      <c r="AK2188" s="102" t="n"/>
      <c r="AL2188" s="102" t="n"/>
      <c r="AM2188" s="102" t="n"/>
      <c r="AN2188" s="102" t="n"/>
      <c r="AO2188" s="102" t="n"/>
      <c r="AP2188" s="102" t="n"/>
      <c r="AQ2188" s="102" t="n"/>
      <c r="AR2188" s="102" t="n"/>
    </row>
    <row r="2189">
      <c r="D2189" s="102" t="n"/>
      <c r="E2189" s="102" t="n"/>
      <c r="F2189" s="102" t="n"/>
      <c r="G2189" s="102" t="n"/>
      <c r="H2189" s="102" t="n"/>
      <c r="I2189" s="102" t="n"/>
      <c r="J2189" s="102" t="n"/>
      <c r="K2189" s="102" t="n"/>
      <c r="L2189" s="102" t="n"/>
      <c r="M2189" s="102" t="n"/>
      <c r="N2189" s="102" t="n"/>
      <c r="O2189" s="102" t="n"/>
      <c r="P2189" s="102" t="n"/>
      <c r="Q2189" s="102" t="n"/>
      <c r="R2189" s="102" t="n"/>
      <c r="S2189" s="102" t="n"/>
      <c r="T2189" s="102" t="n"/>
      <c r="U2189" s="102" t="n"/>
      <c r="V2189" s="102" t="n"/>
      <c r="W2189" s="102" t="n"/>
      <c r="X2189" s="102" t="n"/>
      <c r="Y2189" s="102" t="n"/>
      <c r="Z2189" s="102" t="n"/>
      <c r="AA2189" s="102" t="n"/>
      <c r="AB2189" s="102" t="n"/>
      <c r="AC2189" s="102" t="n"/>
      <c r="AD2189" s="102" t="n"/>
      <c r="AE2189" s="102" t="n"/>
      <c r="AF2189" s="102" t="n"/>
      <c r="AG2189" s="102" t="n"/>
      <c r="AH2189" s="102" t="n"/>
      <c r="AI2189" s="102" t="n"/>
      <c r="AJ2189" s="102" t="n"/>
      <c r="AK2189" s="102" t="n"/>
      <c r="AL2189" s="102" t="n"/>
      <c r="AM2189" s="102" t="n"/>
      <c r="AN2189" s="102" t="n"/>
      <c r="AO2189" s="102" t="n"/>
      <c r="AP2189" s="102" t="n"/>
      <c r="AQ2189" s="102" t="n"/>
      <c r="AR2189" s="102" t="n"/>
    </row>
    <row r="2190">
      <c r="D2190" s="102" t="n"/>
      <c r="E2190" s="102" t="n"/>
      <c r="F2190" s="102" t="n"/>
      <c r="G2190" s="102" t="n"/>
      <c r="H2190" s="102" t="n"/>
      <c r="I2190" s="102" t="n"/>
      <c r="J2190" s="102" t="n"/>
      <c r="K2190" s="102" t="n"/>
      <c r="L2190" s="102" t="n"/>
      <c r="M2190" s="102" t="n"/>
      <c r="N2190" s="102" t="n"/>
      <c r="O2190" s="102" t="n"/>
      <c r="P2190" s="102" t="n"/>
      <c r="Q2190" s="102" t="n"/>
      <c r="R2190" s="102" t="n"/>
      <c r="S2190" s="102" t="n"/>
      <c r="T2190" s="102" t="n"/>
      <c r="U2190" s="102" t="n"/>
      <c r="V2190" s="102" t="n"/>
      <c r="W2190" s="102" t="n"/>
      <c r="X2190" s="102" t="n"/>
      <c r="Y2190" s="102" t="n"/>
      <c r="Z2190" s="102" t="n"/>
      <c r="AA2190" s="102" t="n"/>
      <c r="AB2190" s="102" t="n"/>
      <c r="AC2190" s="102" t="n"/>
      <c r="AD2190" s="102" t="n"/>
      <c r="AE2190" s="102" t="n"/>
      <c r="AF2190" s="102" t="n"/>
      <c r="AG2190" s="102" t="n"/>
      <c r="AH2190" s="102" t="n"/>
      <c r="AI2190" s="102" t="n"/>
      <c r="AJ2190" s="102" t="n"/>
      <c r="AK2190" s="102" t="n"/>
      <c r="AL2190" s="102" t="n"/>
      <c r="AM2190" s="102" t="n"/>
      <c r="AN2190" s="102" t="n"/>
      <c r="AO2190" s="102" t="n"/>
      <c r="AP2190" s="102" t="n"/>
      <c r="AQ2190" s="102" t="n"/>
      <c r="AR2190" s="102" t="n"/>
    </row>
    <row r="2191">
      <c r="D2191" s="103" t="n"/>
      <c r="E2191" s="103" t="n"/>
      <c r="F2191" s="103" t="n"/>
      <c r="G2191" s="103" t="n"/>
      <c r="H2191" s="103" t="n"/>
      <c r="I2191" s="103" t="n"/>
      <c r="J2191" s="103" t="n"/>
      <c r="K2191" s="103" t="n"/>
      <c r="L2191" s="103" t="n"/>
      <c r="M2191" s="103" t="n"/>
      <c r="N2191" s="103" t="n"/>
      <c r="O2191" s="103" t="n"/>
      <c r="P2191" s="103" t="n"/>
      <c r="Q2191" s="103" t="n"/>
      <c r="R2191" s="103" t="n"/>
      <c r="S2191" s="103" t="n"/>
      <c r="T2191" s="103" t="n"/>
      <c r="U2191" s="103" t="n"/>
      <c r="V2191" s="103" t="n"/>
      <c r="W2191" s="103" t="n"/>
      <c r="X2191" s="103" t="n"/>
      <c r="Y2191" s="103" t="n"/>
      <c r="Z2191" s="103" t="n"/>
      <c r="AA2191" s="103" t="n"/>
      <c r="AB2191" s="103" t="n"/>
      <c r="AC2191" s="103" t="n"/>
      <c r="AD2191" s="103" t="n"/>
      <c r="AE2191" s="103" t="n"/>
      <c r="AF2191" s="103" t="n"/>
      <c r="AG2191" s="103" t="n"/>
      <c r="AH2191" s="103" t="n"/>
      <c r="AI2191" s="103" t="n"/>
      <c r="AJ2191" s="103" t="n"/>
      <c r="AK2191" s="103" t="n"/>
      <c r="AL2191" s="103" t="n"/>
      <c r="AM2191" s="103" t="n"/>
      <c r="AN2191" s="103" t="n"/>
      <c r="AO2191" s="103" t="n"/>
      <c r="AP2191" s="103" t="n"/>
      <c r="AQ2191" s="103" t="n"/>
      <c r="AR2191" s="103" t="n"/>
    </row>
    <row r="2194">
      <c r="A2194" s="2">
        <f>IF($A2187="","","   projections")</f>
        <v/>
      </c>
      <c r="B2194" s="99">
        <f>IF($A2187="",0,COUNT($E2195:$AR2195))</f>
        <v/>
      </c>
      <c r="C2194" s="100">
        <f>IF($B2194=0,0,MAX($E2195:$AR2195))</f>
        <v/>
      </c>
      <c r="D2194" s="101">
        <f>BDS($A2187,FLD_PROJ,"headers=y","startcol=1","endcol=3","dir=h")</f>
        <v/>
      </c>
      <c r="E2194" s="102" t="n"/>
      <c r="F2194" s="102" t="n"/>
      <c r="G2194" s="102" t="n"/>
      <c r="H2194" s="102" t="n"/>
      <c r="I2194" s="102" t="n"/>
      <c r="J2194" s="102" t="n"/>
      <c r="K2194" s="102" t="n"/>
      <c r="L2194" s="102" t="n"/>
      <c r="M2194" s="102" t="n"/>
      <c r="N2194" s="102" t="n"/>
      <c r="O2194" s="102" t="n"/>
      <c r="P2194" s="102" t="n"/>
      <c r="Q2194" s="102" t="n"/>
      <c r="R2194" s="102" t="n"/>
      <c r="S2194" s="102" t="n"/>
      <c r="T2194" s="102" t="n"/>
      <c r="U2194" s="102" t="n"/>
      <c r="V2194" s="102" t="n"/>
      <c r="W2194" s="102" t="n"/>
      <c r="X2194" s="102" t="n"/>
      <c r="Y2194" s="102" t="n"/>
      <c r="Z2194" s="102" t="n"/>
      <c r="AA2194" s="102" t="n"/>
      <c r="AB2194" s="102" t="n"/>
      <c r="AC2194" s="102" t="n"/>
      <c r="AD2194" s="102" t="n"/>
      <c r="AE2194" s="102" t="n"/>
      <c r="AF2194" s="102" t="n"/>
      <c r="AG2194" s="102" t="n"/>
      <c r="AH2194" s="102" t="n"/>
      <c r="AI2194" s="102" t="n"/>
      <c r="AJ2194" s="102" t="n"/>
      <c r="AK2194" s="102" t="n"/>
      <c r="AL2194" s="102" t="n"/>
      <c r="AM2194" s="102" t="n"/>
      <c r="AN2194" s="102" t="n"/>
      <c r="AO2194" s="102" t="n"/>
      <c r="AP2194" s="102" t="n"/>
      <c r="AQ2194" s="102" t="n"/>
      <c r="AR2194" s="102" t="n"/>
    </row>
    <row r="2195">
      <c r="D2195" s="102" t="n"/>
      <c r="E2195" s="102" t="n"/>
      <c r="F2195" s="102" t="n"/>
      <c r="G2195" s="102" t="n"/>
      <c r="H2195" s="102" t="n"/>
      <c r="I2195" s="102" t="n"/>
      <c r="J2195" s="102" t="n"/>
      <c r="K2195" s="102" t="n"/>
      <c r="L2195" s="102" t="n"/>
      <c r="M2195" s="102" t="n"/>
      <c r="N2195" s="102" t="n"/>
      <c r="O2195" s="102" t="n"/>
      <c r="P2195" s="102" t="n"/>
      <c r="Q2195" s="102" t="n"/>
      <c r="R2195" s="102" t="n"/>
      <c r="S2195" s="102" t="n"/>
      <c r="T2195" s="102" t="n"/>
      <c r="U2195" s="102" t="n"/>
      <c r="V2195" s="102" t="n"/>
      <c r="W2195" s="102" t="n"/>
      <c r="X2195" s="102" t="n"/>
      <c r="Y2195" s="102" t="n"/>
      <c r="Z2195" s="102" t="n"/>
      <c r="AA2195" s="102" t="n"/>
      <c r="AB2195" s="102" t="n"/>
      <c r="AC2195" s="102" t="n"/>
      <c r="AD2195" s="102" t="n"/>
      <c r="AE2195" s="102" t="n"/>
      <c r="AF2195" s="102" t="n"/>
      <c r="AG2195" s="102" t="n"/>
      <c r="AH2195" s="102" t="n"/>
      <c r="AI2195" s="102" t="n"/>
      <c r="AJ2195" s="102" t="n"/>
      <c r="AK2195" s="102" t="n"/>
      <c r="AL2195" s="102" t="n"/>
      <c r="AM2195" s="102" t="n"/>
      <c r="AN2195" s="102" t="n"/>
      <c r="AO2195" s="102" t="n"/>
      <c r="AP2195" s="102" t="n"/>
      <c r="AQ2195" s="102" t="n"/>
      <c r="AR2195" s="102" t="n"/>
    </row>
    <row r="2196">
      <c r="D2196" s="103" t="n"/>
      <c r="E2196" s="103" t="n"/>
      <c r="F2196" s="103" t="n"/>
      <c r="G2196" s="103" t="n"/>
      <c r="H2196" s="103" t="n"/>
      <c r="I2196" s="103" t="n"/>
      <c r="J2196" s="103" t="n"/>
      <c r="K2196" s="103" t="n"/>
      <c r="L2196" s="103" t="n"/>
      <c r="M2196" s="103" t="n"/>
      <c r="N2196" s="103" t="n"/>
      <c r="O2196" s="103" t="n"/>
      <c r="P2196" s="103" t="n"/>
      <c r="Q2196" s="103" t="n"/>
      <c r="R2196" s="103" t="n"/>
      <c r="S2196" s="103" t="n"/>
      <c r="T2196" s="103" t="n"/>
      <c r="U2196" s="103" t="n"/>
      <c r="V2196" s="103" t="n"/>
      <c r="W2196" s="103" t="n"/>
      <c r="X2196" s="103" t="n"/>
      <c r="Y2196" s="103" t="n"/>
      <c r="Z2196" s="103" t="n"/>
      <c r="AA2196" s="103" t="n"/>
      <c r="AB2196" s="103" t="n"/>
      <c r="AC2196" s="103" t="n"/>
      <c r="AD2196" s="103" t="n"/>
      <c r="AE2196" s="103" t="n"/>
      <c r="AF2196" s="103" t="n"/>
      <c r="AG2196" s="103" t="n"/>
      <c r="AH2196" s="103" t="n"/>
      <c r="AI2196" s="103" t="n"/>
      <c r="AJ2196" s="103" t="n"/>
      <c r="AK2196" s="103" t="n"/>
      <c r="AL2196" s="103" t="n"/>
      <c r="AM2196" s="103" t="n"/>
      <c r="AN2196" s="103" t="n"/>
      <c r="AO2196" s="103" t="n"/>
      <c r="AP2196" s="103" t="n"/>
      <c r="AQ2196" s="103" t="n"/>
      <c r="AR2196" s="103" t="n"/>
    </row>
    <row r="2198">
      <c r="A2198" s="8">
        <f>IF(HSCEI!$C$65="","",HSCEI!$C$65)</f>
        <v/>
      </c>
      <c r="B2198" s="99">
        <f>IF($A2198="",0,COUNT($E2199:$AR2199))</f>
        <v/>
      </c>
      <c r="C2198" s="100">
        <f>IF($B2198=0,0,MAX($E2199:$AR2199))</f>
        <v/>
      </c>
      <c r="D2198" s="101">
        <f>BDS($A2198,FLD_HIST,"headers=y","startcol=1","endcol=7","dir=h","DVD_START_DT",HIST_FROM,"DVD_END_DT",HIST_TO)</f>
        <v/>
      </c>
      <c r="E2198" s="102" t="n"/>
      <c r="F2198" s="102" t="n"/>
      <c r="G2198" s="102" t="n"/>
      <c r="H2198" s="102" t="n"/>
      <c r="I2198" s="102" t="n"/>
      <c r="J2198" s="102" t="n"/>
      <c r="K2198" s="102" t="n"/>
      <c r="L2198" s="102" t="n"/>
      <c r="M2198" s="102" t="n"/>
      <c r="N2198" s="102" t="n"/>
      <c r="O2198" s="102" t="n"/>
      <c r="P2198" s="102" t="n"/>
      <c r="Q2198" s="102" t="n"/>
      <c r="R2198" s="102" t="n"/>
      <c r="S2198" s="102" t="n"/>
      <c r="T2198" s="102" t="n"/>
      <c r="U2198" s="102" t="n"/>
      <c r="V2198" s="102" t="n"/>
      <c r="W2198" s="102" t="n"/>
      <c r="X2198" s="102" t="n"/>
      <c r="Y2198" s="102" t="n"/>
      <c r="Z2198" s="102" t="n"/>
      <c r="AA2198" s="102" t="n"/>
      <c r="AB2198" s="102" t="n"/>
      <c r="AC2198" s="102" t="n"/>
      <c r="AD2198" s="102" t="n"/>
      <c r="AE2198" s="102" t="n"/>
      <c r="AF2198" s="102" t="n"/>
      <c r="AG2198" s="102" t="n"/>
      <c r="AH2198" s="102" t="n"/>
      <c r="AI2198" s="102" t="n"/>
      <c r="AJ2198" s="102" t="n"/>
      <c r="AK2198" s="102" t="n"/>
      <c r="AL2198" s="102" t="n"/>
      <c r="AM2198" s="102" t="n"/>
      <c r="AN2198" s="102" t="n"/>
      <c r="AO2198" s="102" t="n"/>
      <c r="AP2198" s="102" t="n"/>
      <c r="AQ2198" s="102" t="n"/>
      <c r="AR2198" s="102" t="n"/>
    </row>
    <row r="2199">
      <c r="D2199" s="102" t="n"/>
      <c r="E2199" s="102" t="n"/>
      <c r="F2199" s="102" t="n"/>
      <c r="G2199" s="102" t="n"/>
      <c r="H2199" s="102" t="n"/>
      <c r="I2199" s="102" t="n"/>
      <c r="J2199" s="102" t="n"/>
      <c r="K2199" s="102" t="n"/>
      <c r="L2199" s="102" t="n"/>
      <c r="M2199" s="102" t="n"/>
      <c r="N2199" s="102" t="n"/>
      <c r="O2199" s="102" t="n"/>
      <c r="P2199" s="102" t="n"/>
      <c r="Q2199" s="102" t="n"/>
      <c r="R2199" s="102" t="n"/>
      <c r="S2199" s="102" t="n"/>
      <c r="T2199" s="102" t="n"/>
      <c r="U2199" s="102" t="n"/>
      <c r="V2199" s="102" t="n"/>
      <c r="W2199" s="102" t="n"/>
      <c r="X2199" s="102" t="n"/>
      <c r="Y2199" s="102" t="n"/>
      <c r="Z2199" s="102" t="n"/>
      <c r="AA2199" s="102" t="n"/>
      <c r="AB2199" s="102" t="n"/>
      <c r="AC2199" s="102" t="n"/>
      <c r="AD2199" s="102" t="n"/>
      <c r="AE2199" s="102" t="n"/>
      <c r="AF2199" s="102" t="n"/>
      <c r="AG2199" s="102" t="n"/>
      <c r="AH2199" s="102" t="n"/>
      <c r="AI2199" s="102" t="n"/>
      <c r="AJ2199" s="102" t="n"/>
      <c r="AK2199" s="102" t="n"/>
      <c r="AL2199" s="102" t="n"/>
      <c r="AM2199" s="102" t="n"/>
      <c r="AN2199" s="102" t="n"/>
      <c r="AO2199" s="102" t="n"/>
      <c r="AP2199" s="102" t="n"/>
      <c r="AQ2199" s="102" t="n"/>
      <c r="AR2199" s="102" t="n"/>
    </row>
    <row r="2200">
      <c r="D2200" s="102" t="n"/>
      <c r="E2200" s="102" t="n"/>
      <c r="F2200" s="102" t="n"/>
      <c r="G2200" s="102" t="n"/>
      <c r="H2200" s="102" t="n"/>
      <c r="I2200" s="102" t="n"/>
      <c r="J2200" s="102" t="n"/>
      <c r="K2200" s="102" t="n"/>
      <c r="L2200" s="102" t="n"/>
      <c r="M2200" s="102" t="n"/>
      <c r="N2200" s="102" t="n"/>
      <c r="O2200" s="102" t="n"/>
      <c r="P2200" s="102" t="n"/>
      <c r="Q2200" s="102" t="n"/>
      <c r="R2200" s="102" t="n"/>
      <c r="S2200" s="102" t="n"/>
      <c r="T2200" s="102" t="n"/>
      <c r="U2200" s="102" t="n"/>
      <c r="V2200" s="102" t="n"/>
      <c r="W2200" s="102" t="n"/>
      <c r="X2200" s="102" t="n"/>
      <c r="Y2200" s="102" t="n"/>
      <c r="Z2200" s="102" t="n"/>
      <c r="AA2200" s="102" t="n"/>
      <c r="AB2200" s="102" t="n"/>
      <c r="AC2200" s="102" t="n"/>
      <c r="AD2200" s="102" t="n"/>
      <c r="AE2200" s="102" t="n"/>
      <c r="AF2200" s="102" t="n"/>
      <c r="AG2200" s="102" t="n"/>
      <c r="AH2200" s="102" t="n"/>
      <c r="AI2200" s="102" t="n"/>
      <c r="AJ2200" s="102" t="n"/>
      <c r="AK2200" s="102" t="n"/>
      <c r="AL2200" s="102" t="n"/>
      <c r="AM2200" s="102" t="n"/>
      <c r="AN2200" s="102" t="n"/>
      <c r="AO2200" s="102" t="n"/>
      <c r="AP2200" s="102" t="n"/>
      <c r="AQ2200" s="102" t="n"/>
      <c r="AR2200" s="102" t="n"/>
    </row>
    <row r="2201">
      <c r="D2201" s="102" t="n"/>
      <c r="E2201" s="102" t="n"/>
      <c r="F2201" s="102" t="n"/>
      <c r="G2201" s="102" t="n"/>
      <c r="H2201" s="102" t="n"/>
      <c r="I2201" s="102" t="n"/>
      <c r="J2201" s="102" t="n"/>
      <c r="K2201" s="102" t="n"/>
      <c r="L2201" s="102" t="n"/>
      <c r="M2201" s="102" t="n"/>
      <c r="N2201" s="102" t="n"/>
      <c r="O2201" s="102" t="n"/>
      <c r="P2201" s="102" t="n"/>
      <c r="Q2201" s="102" t="n"/>
      <c r="R2201" s="102" t="n"/>
      <c r="S2201" s="102" t="n"/>
      <c r="T2201" s="102" t="n"/>
      <c r="U2201" s="102" t="n"/>
      <c r="V2201" s="102" t="n"/>
      <c r="W2201" s="102" t="n"/>
      <c r="X2201" s="102" t="n"/>
      <c r="Y2201" s="102" t="n"/>
      <c r="Z2201" s="102" t="n"/>
      <c r="AA2201" s="102" t="n"/>
      <c r="AB2201" s="102" t="n"/>
      <c r="AC2201" s="102" t="n"/>
      <c r="AD2201" s="102" t="n"/>
      <c r="AE2201" s="102" t="n"/>
      <c r="AF2201" s="102" t="n"/>
      <c r="AG2201" s="102" t="n"/>
      <c r="AH2201" s="102" t="n"/>
      <c r="AI2201" s="102" t="n"/>
      <c r="AJ2201" s="102" t="n"/>
      <c r="AK2201" s="102" t="n"/>
      <c r="AL2201" s="102" t="n"/>
      <c r="AM2201" s="102" t="n"/>
      <c r="AN2201" s="102" t="n"/>
      <c r="AO2201" s="102" t="n"/>
      <c r="AP2201" s="102" t="n"/>
      <c r="AQ2201" s="102" t="n"/>
      <c r="AR2201" s="102" t="n"/>
    </row>
    <row r="2202">
      <c r="D2202" s="103" t="n"/>
      <c r="E2202" s="103" t="n"/>
      <c r="F2202" s="103" t="n"/>
      <c r="G2202" s="103" t="n"/>
      <c r="H2202" s="103" t="n"/>
      <c r="I2202" s="103" t="n"/>
      <c r="J2202" s="103" t="n"/>
      <c r="K2202" s="103" t="n"/>
      <c r="L2202" s="103" t="n"/>
      <c r="M2202" s="103" t="n"/>
      <c r="N2202" s="103" t="n"/>
      <c r="O2202" s="103" t="n"/>
      <c r="P2202" s="103" t="n"/>
      <c r="Q2202" s="103" t="n"/>
      <c r="R2202" s="103" t="n"/>
      <c r="S2202" s="103" t="n"/>
      <c r="T2202" s="103" t="n"/>
      <c r="U2202" s="103" t="n"/>
      <c r="V2202" s="103" t="n"/>
      <c r="W2202" s="103" t="n"/>
      <c r="X2202" s="103" t="n"/>
      <c r="Y2202" s="103" t="n"/>
      <c r="Z2202" s="103" t="n"/>
      <c r="AA2202" s="103" t="n"/>
      <c r="AB2202" s="103" t="n"/>
      <c r="AC2202" s="103" t="n"/>
      <c r="AD2202" s="103" t="n"/>
      <c r="AE2202" s="103" t="n"/>
      <c r="AF2202" s="103" t="n"/>
      <c r="AG2202" s="103" t="n"/>
      <c r="AH2202" s="103" t="n"/>
      <c r="AI2202" s="103" t="n"/>
      <c r="AJ2202" s="103" t="n"/>
      <c r="AK2202" s="103" t="n"/>
      <c r="AL2202" s="103" t="n"/>
      <c r="AM2202" s="103" t="n"/>
      <c r="AN2202" s="103" t="n"/>
      <c r="AO2202" s="103" t="n"/>
      <c r="AP2202" s="103" t="n"/>
      <c r="AQ2202" s="103" t="n"/>
      <c r="AR2202" s="103" t="n"/>
    </row>
    <row r="2205">
      <c r="A2205" s="2">
        <f>IF($A2198="","","   projections")</f>
        <v/>
      </c>
      <c r="B2205" s="99">
        <f>IF($A2198="",0,COUNT($E2206:$AR2206))</f>
        <v/>
      </c>
      <c r="C2205" s="100">
        <f>IF($B2205=0,0,MAX($E2206:$AR2206))</f>
        <v/>
      </c>
      <c r="D2205" s="101">
        <f>BDS($A2198,FLD_PROJ,"headers=y","startcol=1","endcol=3","dir=h")</f>
        <v/>
      </c>
      <c r="E2205" s="102" t="n"/>
      <c r="F2205" s="102" t="n"/>
      <c r="G2205" s="102" t="n"/>
      <c r="H2205" s="102" t="n"/>
      <c r="I2205" s="102" t="n"/>
      <c r="J2205" s="102" t="n"/>
      <c r="K2205" s="102" t="n"/>
      <c r="L2205" s="102" t="n"/>
      <c r="M2205" s="102" t="n"/>
      <c r="N2205" s="102" t="n"/>
      <c r="O2205" s="102" t="n"/>
      <c r="P2205" s="102" t="n"/>
      <c r="Q2205" s="102" t="n"/>
      <c r="R2205" s="102" t="n"/>
      <c r="S2205" s="102" t="n"/>
      <c r="T2205" s="102" t="n"/>
      <c r="U2205" s="102" t="n"/>
      <c r="V2205" s="102" t="n"/>
      <c r="W2205" s="102" t="n"/>
      <c r="X2205" s="102" t="n"/>
      <c r="Y2205" s="102" t="n"/>
      <c r="Z2205" s="102" t="n"/>
      <c r="AA2205" s="102" t="n"/>
      <c r="AB2205" s="102" t="n"/>
      <c r="AC2205" s="102" t="n"/>
      <c r="AD2205" s="102" t="n"/>
      <c r="AE2205" s="102" t="n"/>
      <c r="AF2205" s="102" t="n"/>
      <c r="AG2205" s="102" t="n"/>
      <c r="AH2205" s="102" t="n"/>
      <c r="AI2205" s="102" t="n"/>
      <c r="AJ2205" s="102" t="n"/>
      <c r="AK2205" s="102" t="n"/>
      <c r="AL2205" s="102" t="n"/>
      <c r="AM2205" s="102" t="n"/>
      <c r="AN2205" s="102" t="n"/>
      <c r="AO2205" s="102" t="n"/>
      <c r="AP2205" s="102" t="n"/>
      <c r="AQ2205" s="102" t="n"/>
      <c r="AR2205" s="102" t="n"/>
    </row>
    <row r="2206">
      <c r="D2206" s="102" t="n"/>
      <c r="E2206" s="102" t="n"/>
      <c r="F2206" s="102" t="n"/>
      <c r="G2206" s="102" t="n"/>
      <c r="H2206" s="102" t="n"/>
      <c r="I2206" s="102" t="n"/>
      <c r="J2206" s="102" t="n"/>
      <c r="K2206" s="102" t="n"/>
      <c r="L2206" s="102" t="n"/>
      <c r="M2206" s="102" t="n"/>
      <c r="N2206" s="102" t="n"/>
      <c r="O2206" s="102" t="n"/>
      <c r="P2206" s="102" t="n"/>
      <c r="Q2206" s="102" t="n"/>
      <c r="R2206" s="102" t="n"/>
      <c r="S2206" s="102" t="n"/>
      <c r="T2206" s="102" t="n"/>
      <c r="U2206" s="102" t="n"/>
      <c r="V2206" s="102" t="n"/>
      <c r="W2206" s="102" t="n"/>
      <c r="X2206" s="102" t="n"/>
      <c r="Y2206" s="102" t="n"/>
      <c r="Z2206" s="102" t="n"/>
      <c r="AA2206" s="102" t="n"/>
      <c r="AB2206" s="102" t="n"/>
      <c r="AC2206" s="102" t="n"/>
      <c r="AD2206" s="102" t="n"/>
      <c r="AE2206" s="102" t="n"/>
      <c r="AF2206" s="102" t="n"/>
      <c r="AG2206" s="102" t="n"/>
      <c r="AH2206" s="102" t="n"/>
      <c r="AI2206" s="102" t="n"/>
      <c r="AJ2206" s="102" t="n"/>
      <c r="AK2206" s="102" t="n"/>
      <c r="AL2206" s="102" t="n"/>
      <c r="AM2206" s="102" t="n"/>
      <c r="AN2206" s="102" t="n"/>
      <c r="AO2206" s="102" t="n"/>
      <c r="AP2206" s="102" t="n"/>
      <c r="AQ2206" s="102" t="n"/>
      <c r="AR2206" s="102" t="n"/>
    </row>
    <row r="2207">
      <c r="D2207" s="103" t="n"/>
      <c r="E2207" s="103" t="n"/>
      <c r="F2207" s="103" t="n"/>
      <c r="G2207" s="103" t="n"/>
      <c r="H2207" s="103" t="n"/>
      <c r="I2207" s="103" t="n"/>
      <c r="J2207" s="103" t="n"/>
      <c r="K2207" s="103" t="n"/>
      <c r="L2207" s="103" t="n"/>
      <c r="M2207" s="103" t="n"/>
      <c r="N2207" s="103" t="n"/>
      <c r="O2207" s="103" t="n"/>
      <c r="P2207" s="103" t="n"/>
      <c r="Q2207" s="103" t="n"/>
      <c r="R2207" s="103" t="n"/>
      <c r="S2207" s="103" t="n"/>
      <c r="T2207" s="103" t="n"/>
      <c r="U2207" s="103" t="n"/>
      <c r="V2207" s="103" t="n"/>
      <c r="W2207" s="103" t="n"/>
      <c r="X2207" s="103" t="n"/>
      <c r="Y2207" s="103" t="n"/>
      <c r="Z2207" s="103" t="n"/>
      <c r="AA2207" s="103" t="n"/>
      <c r="AB2207" s="103" t="n"/>
      <c r="AC2207" s="103" t="n"/>
      <c r="AD2207" s="103" t="n"/>
      <c r="AE2207" s="103" t="n"/>
      <c r="AF2207" s="103" t="n"/>
      <c r="AG2207" s="103" t="n"/>
      <c r="AH2207" s="103" t="n"/>
      <c r="AI2207" s="103" t="n"/>
      <c r="AJ2207" s="103" t="n"/>
      <c r="AK2207" s="103" t="n"/>
      <c r="AL2207" s="103" t="n"/>
      <c r="AM2207" s="103" t="n"/>
      <c r="AN2207" s="103" t="n"/>
      <c r="AO2207" s="103" t="n"/>
      <c r="AP2207" s="103" t="n"/>
      <c r="AQ2207" s="103" t="n"/>
      <c r="AR2207" s="103" t="n"/>
    </row>
    <row r="2209">
      <c r="A2209" s="8">
        <f>IF(HSCEI!$C$66="","",HSCEI!$C$66)</f>
        <v/>
      </c>
      <c r="B2209" s="99">
        <f>IF($A2209="",0,COUNT($E2210:$AR2210))</f>
        <v/>
      </c>
      <c r="C2209" s="100">
        <f>IF($B2209=0,0,MAX($E2210:$AR2210))</f>
        <v/>
      </c>
      <c r="D2209" s="101">
        <f>BDS($A2209,FLD_HIST,"headers=y","startcol=1","endcol=7","dir=h","DVD_START_DT",HIST_FROM,"DVD_END_DT",HIST_TO)</f>
        <v/>
      </c>
      <c r="E2209" s="102" t="n"/>
      <c r="F2209" s="102" t="n"/>
      <c r="G2209" s="102" t="n"/>
      <c r="H2209" s="102" t="n"/>
      <c r="I2209" s="102" t="n"/>
      <c r="J2209" s="102" t="n"/>
      <c r="K2209" s="102" t="n"/>
      <c r="L2209" s="102" t="n"/>
      <c r="M2209" s="102" t="n"/>
      <c r="N2209" s="102" t="n"/>
      <c r="O2209" s="102" t="n"/>
      <c r="P2209" s="102" t="n"/>
      <c r="Q2209" s="102" t="n"/>
      <c r="R2209" s="102" t="n"/>
      <c r="S2209" s="102" t="n"/>
      <c r="T2209" s="102" t="n"/>
      <c r="U2209" s="102" t="n"/>
      <c r="V2209" s="102" t="n"/>
      <c r="W2209" s="102" t="n"/>
      <c r="X2209" s="102" t="n"/>
      <c r="Y2209" s="102" t="n"/>
      <c r="Z2209" s="102" t="n"/>
      <c r="AA2209" s="102" t="n"/>
      <c r="AB2209" s="102" t="n"/>
      <c r="AC2209" s="102" t="n"/>
      <c r="AD2209" s="102" t="n"/>
      <c r="AE2209" s="102" t="n"/>
      <c r="AF2209" s="102" t="n"/>
      <c r="AG2209" s="102" t="n"/>
      <c r="AH2209" s="102" t="n"/>
      <c r="AI2209" s="102" t="n"/>
      <c r="AJ2209" s="102" t="n"/>
      <c r="AK2209" s="102" t="n"/>
      <c r="AL2209" s="102" t="n"/>
      <c r="AM2209" s="102" t="n"/>
      <c r="AN2209" s="102" t="n"/>
      <c r="AO2209" s="102" t="n"/>
      <c r="AP2209" s="102" t="n"/>
      <c r="AQ2209" s="102" t="n"/>
      <c r="AR2209" s="102" t="n"/>
    </row>
    <row r="2210">
      <c r="D2210" s="102" t="n"/>
      <c r="E2210" s="102" t="n"/>
      <c r="F2210" s="102" t="n"/>
      <c r="G2210" s="102" t="n"/>
      <c r="H2210" s="102" t="n"/>
      <c r="I2210" s="102" t="n"/>
      <c r="J2210" s="102" t="n"/>
      <c r="K2210" s="102" t="n"/>
      <c r="L2210" s="102" t="n"/>
      <c r="M2210" s="102" t="n"/>
      <c r="N2210" s="102" t="n"/>
      <c r="O2210" s="102" t="n"/>
      <c r="P2210" s="102" t="n"/>
      <c r="Q2210" s="102" t="n"/>
      <c r="R2210" s="102" t="n"/>
      <c r="S2210" s="102" t="n"/>
      <c r="T2210" s="102" t="n"/>
      <c r="U2210" s="102" t="n"/>
      <c r="V2210" s="102" t="n"/>
      <c r="W2210" s="102" t="n"/>
      <c r="X2210" s="102" t="n"/>
      <c r="Y2210" s="102" t="n"/>
      <c r="Z2210" s="102" t="n"/>
      <c r="AA2210" s="102" t="n"/>
      <c r="AB2210" s="102" t="n"/>
      <c r="AC2210" s="102" t="n"/>
      <c r="AD2210" s="102" t="n"/>
      <c r="AE2210" s="102" t="n"/>
      <c r="AF2210" s="102" t="n"/>
      <c r="AG2210" s="102" t="n"/>
      <c r="AH2210" s="102" t="n"/>
      <c r="AI2210" s="102" t="n"/>
      <c r="AJ2210" s="102" t="n"/>
      <c r="AK2210" s="102" t="n"/>
      <c r="AL2210" s="102" t="n"/>
      <c r="AM2210" s="102" t="n"/>
      <c r="AN2210" s="102" t="n"/>
      <c r="AO2210" s="102" t="n"/>
      <c r="AP2210" s="102" t="n"/>
      <c r="AQ2210" s="102" t="n"/>
      <c r="AR2210" s="102" t="n"/>
    </row>
    <row r="2211">
      <c r="D2211" s="102" t="n"/>
      <c r="E2211" s="102" t="n"/>
      <c r="F2211" s="102" t="n"/>
      <c r="G2211" s="102" t="n"/>
      <c r="H2211" s="102" t="n"/>
      <c r="I2211" s="102" t="n"/>
      <c r="J2211" s="102" t="n"/>
      <c r="K2211" s="102" t="n"/>
      <c r="L2211" s="102" t="n"/>
      <c r="M2211" s="102" t="n"/>
      <c r="N2211" s="102" t="n"/>
      <c r="O2211" s="102" t="n"/>
      <c r="P2211" s="102" t="n"/>
      <c r="Q2211" s="102" t="n"/>
      <c r="R2211" s="102" t="n"/>
      <c r="S2211" s="102" t="n"/>
      <c r="T2211" s="102" t="n"/>
      <c r="U2211" s="102" t="n"/>
      <c r="V2211" s="102" t="n"/>
      <c r="W2211" s="102" t="n"/>
      <c r="X2211" s="102" t="n"/>
      <c r="Y2211" s="102" t="n"/>
      <c r="Z2211" s="102" t="n"/>
      <c r="AA2211" s="102" t="n"/>
      <c r="AB2211" s="102" t="n"/>
      <c r="AC2211" s="102" t="n"/>
      <c r="AD2211" s="102" t="n"/>
      <c r="AE2211" s="102" t="n"/>
      <c r="AF2211" s="102" t="n"/>
      <c r="AG2211" s="102" t="n"/>
      <c r="AH2211" s="102" t="n"/>
      <c r="AI2211" s="102" t="n"/>
      <c r="AJ2211" s="102" t="n"/>
      <c r="AK2211" s="102" t="n"/>
      <c r="AL2211" s="102" t="n"/>
      <c r="AM2211" s="102" t="n"/>
      <c r="AN2211" s="102" t="n"/>
      <c r="AO2211" s="102" t="n"/>
      <c r="AP2211" s="102" t="n"/>
      <c r="AQ2211" s="102" t="n"/>
      <c r="AR2211" s="102" t="n"/>
    </row>
    <row r="2212">
      <c r="D2212" s="102" t="n"/>
      <c r="E2212" s="102" t="n"/>
      <c r="F2212" s="102" t="n"/>
      <c r="G2212" s="102" t="n"/>
      <c r="H2212" s="102" t="n"/>
      <c r="I2212" s="102" t="n"/>
      <c r="J2212" s="102" t="n"/>
      <c r="K2212" s="102" t="n"/>
      <c r="L2212" s="102" t="n"/>
      <c r="M2212" s="102" t="n"/>
      <c r="N2212" s="102" t="n"/>
      <c r="O2212" s="102" t="n"/>
      <c r="P2212" s="102" t="n"/>
      <c r="Q2212" s="102" t="n"/>
      <c r="R2212" s="102" t="n"/>
      <c r="S2212" s="102" t="n"/>
      <c r="T2212" s="102" t="n"/>
      <c r="U2212" s="102" t="n"/>
      <c r="V2212" s="102" t="n"/>
      <c r="W2212" s="102" t="n"/>
      <c r="X2212" s="102" t="n"/>
      <c r="Y2212" s="102" t="n"/>
      <c r="Z2212" s="102" t="n"/>
      <c r="AA2212" s="102" t="n"/>
      <c r="AB2212" s="102" t="n"/>
      <c r="AC2212" s="102" t="n"/>
      <c r="AD2212" s="102" t="n"/>
      <c r="AE2212" s="102" t="n"/>
      <c r="AF2212" s="102" t="n"/>
      <c r="AG2212" s="102" t="n"/>
      <c r="AH2212" s="102" t="n"/>
      <c r="AI2212" s="102" t="n"/>
      <c r="AJ2212" s="102" t="n"/>
      <c r="AK2212" s="102" t="n"/>
      <c r="AL2212" s="102" t="n"/>
      <c r="AM2212" s="102" t="n"/>
      <c r="AN2212" s="102" t="n"/>
      <c r="AO2212" s="102" t="n"/>
      <c r="AP2212" s="102" t="n"/>
      <c r="AQ2212" s="102" t="n"/>
      <c r="AR2212" s="102" t="n"/>
    </row>
    <row r="2213">
      <c r="D2213" s="103" t="n"/>
      <c r="E2213" s="103" t="n"/>
      <c r="F2213" s="103" t="n"/>
      <c r="G2213" s="103" t="n"/>
      <c r="H2213" s="103" t="n"/>
      <c r="I2213" s="103" t="n"/>
      <c r="J2213" s="103" t="n"/>
      <c r="K2213" s="103" t="n"/>
      <c r="L2213" s="103" t="n"/>
      <c r="M2213" s="103" t="n"/>
      <c r="N2213" s="103" t="n"/>
      <c r="O2213" s="103" t="n"/>
      <c r="P2213" s="103" t="n"/>
      <c r="Q2213" s="103" t="n"/>
      <c r="R2213" s="103" t="n"/>
      <c r="S2213" s="103" t="n"/>
      <c r="T2213" s="103" t="n"/>
      <c r="U2213" s="103" t="n"/>
      <c r="V2213" s="103" t="n"/>
      <c r="W2213" s="103" t="n"/>
      <c r="X2213" s="103" t="n"/>
      <c r="Y2213" s="103" t="n"/>
      <c r="Z2213" s="103" t="n"/>
      <c r="AA2213" s="103" t="n"/>
      <c r="AB2213" s="103" t="n"/>
      <c r="AC2213" s="103" t="n"/>
      <c r="AD2213" s="103" t="n"/>
      <c r="AE2213" s="103" t="n"/>
      <c r="AF2213" s="103" t="n"/>
      <c r="AG2213" s="103" t="n"/>
      <c r="AH2213" s="103" t="n"/>
      <c r="AI2213" s="103" t="n"/>
      <c r="AJ2213" s="103" t="n"/>
      <c r="AK2213" s="103" t="n"/>
      <c r="AL2213" s="103" t="n"/>
      <c r="AM2213" s="103" t="n"/>
      <c r="AN2213" s="103" t="n"/>
      <c r="AO2213" s="103" t="n"/>
      <c r="AP2213" s="103" t="n"/>
      <c r="AQ2213" s="103" t="n"/>
      <c r="AR2213" s="103" t="n"/>
    </row>
    <row r="2216">
      <c r="A2216" s="2">
        <f>IF($A2209="","","   projections")</f>
        <v/>
      </c>
      <c r="B2216" s="99">
        <f>IF($A2209="",0,COUNT($E2217:$AR2217))</f>
        <v/>
      </c>
      <c r="C2216" s="100">
        <f>IF($B2216=0,0,MAX($E2217:$AR2217))</f>
        <v/>
      </c>
      <c r="D2216" s="101">
        <f>BDS($A2209,FLD_PROJ,"headers=y","startcol=1","endcol=3","dir=h")</f>
        <v/>
      </c>
      <c r="E2216" s="102" t="n"/>
      <c r="F2216" s="102" t="n"/>
      <c r="G2216" s="102" t="n"/>
      <c r="H2216" s="102" t="n"/>
      <c r="I2216" s="102" t="n"/>
      <c r="J2216" s="102" t="n"/>
      <c r="K2216" s="102" t="n"/>
      <c r="L2216" s="102" t="n"/>
      <c r="M2216" s="102" t="n"/>
      <c r="N2216" s="102" t="n"/>
      <c r="O2216" s="102" t="n"/>
      <c r="P2216" s="102" t="n"/>
      <c r="Q2216" s="102" t="n"/>
      <c r="R2216" s="102" t="n"/>
      <c r="S2216" s="102" t="n"/>
      <c r="T2216" s="102" t="n"/>
      <c r="U2216" s="102" t="n"/>
      <c r="V2216" s="102" t="n"/>
      <c r="W2216" s="102" t="n"/>
      <c r="X2216" s="102" t="n"/>
      <c r="Y2216" s="102" t="n"/>
      <c r="Z2216" s="102" t="n"/>
      <c r="AA2216" s="102" t="n"/>
      <c r="AB2216" s="102" t="n"/>
      <c r="AC2216" s="102" t="n"/>
      <c r="AD2216" s="102" t="n"/>
      <c r="AE2216" s="102" t="n"/>
      <c r="AF2216" s="102" t="n"/>
      <c r="AG2216" s="102" t="n"/>
      <c r="AH2216" s="102" t="n"/>
      <c r="AI2216" s="102" t="n"/>
      <c r="AJ2216" s="102" t="n"/>
      <c r="AK2216" s="102" t="n"/>
      <c r="AL2216" s="102" t="n"/>
      <c r="AM2216" s="102" t="n"/>
      <c r="AN2216" s="102" t="n"/>
      <c r="AO2216" s="102" t="n"/>
      <c r="AP2216" s="102" t="n"/>
      <c r="AQ2216" s="102" t="n"/>
      <c r="AR2216" s="102" t="n"/>
    </row>
    <row r="2217">
      <c r="D2217" s="102" t="n"/>
      <c r="E2217" s="102" t="n"/>
      <c r="F2217" s="102" t="n"/>
      <c r="G2217" s="102" t="n"/>
      <c r="H2217" s="102" t="n"/>
      <c r="I2217" s="102" t="n"/>
      <c r="J2217" s="102" t="n"/>
      <c r="K2217" s="102" t="n"/>
      <c r="L2217" s="102" t="n"/>
      <c r="M2217" s="102" t="n"/>
      <c r="N2217" s="102" t="n"/>
      <c r="O2217" s="102" t="n"/>
      <c r="P2217" s="102" t="n"/>
      <c r="Q2217" s="102" t="n"/>
      <c r="R2217" s="102" t="n"/>
      <c r="S2217" s="102" t="n"/>
      <c r="T2217" s="102" t="n"/>
      <c r="U2217" s="102" t="n"/>
      <c r="V2217" s="102" t="n"/>
      <c r="W2217" s="102" t="n"/>
      <c r="X2217" s="102" t="n"/>
      <c r="Y2217" s="102" t="n"/>
      <c r="Z2217" s="102" t="n"/>
      <c r="AA2217" s="102" t="n"/>
      <c r="AB2217" s="102" t="n"/>
      <c r="AC2217" s="102" t="n"/>
      <c r="AD2217" s="102" t="n"/>
      <c r="AE2217" s="102" t="n"/>
      <c r="AF2217" s="102" t="n"/>
      <c r="AG2217" s="102" t="n"/>
      <c r="AH2217" s="102" t="n"/>
      <c r="AI2217" s="102" t="n"/>
      <c r="AJ2217" s="102" t="n"/>
      <c r="AK2217" s="102" t="n"/>
      <c r="AL2217" s="102" t="n"/>
      <c r="AM2217" s="102" t="n"/>
      <c r="AN2217" s="102" t="n"/>
      <c r="AO2217" s="102" t="n"/>
      <c r="AP2217" s="102" t="n"/>
      <c r="AQ2217" s="102" t="n"/>
      <c r="AR2217" s="102" t="n"/>
    </row>
    <row r="2218">
      <c r="D2218" s="103" t="n"/>
      <c r="E2218" s="103" t="n"/>
      <c r="F2218" s="103" t="n"/>
      <c r="G2218" s="103" t="n"/>
      <c r="H2218" s="103" t="n"/>
      <c r="I2218" s="103" t="n"/>
      <c r="J2218" s="103" t="n"/>
      <c r="K2218" s="103" t="n"/>
      <c r="L2218" s="103" t="n"/>
      <c r="M2218" s="103" t="n"/>
      <c r="N2218" s="103" t="n"/>
      <c r="O2218" s="103" t="n"/>
      <c r="P2218" s="103" t="n"/>
      <c r="Q2218" s="103" t="n"/>
      <c r="R2218" s="103" t="n"/>
      <c r="S2218" s="103" t="n"/>
      <c r="T2218" s="103" t="n"/>
      <c r="U2218" s="103" t="n"/>
      <c r="V2218" s="103" t="n"/>
      <c r="W2218" s="103" t="n"/>
      <c r="X2218" s="103" t="n"/>
      <c r="Y2218" s="103" t="n"/>
      <c r="Z2218" s="103" t="n"/>
      <c r="AA2218" s="103" t="n"/>
      <c r="AB2218" s="103" t="n"/>
      <c r="AC2218" s="103" t="n"/>
      <c r="AD2218" s="103" t="n"/>
      <c r="AE2218" s="103" t="n"/>
      <c r="AF2218" s="103" t="n"/>
      <c r="AG2218" s="103" t="n"/>
      <c r="AH2218" s="103" t="n"/>
      <c r="AI2218" s="103" t="n"/>
      <c r="AJ2218" s="103" t="n"/>
      <c r="AK2218" s="103" t="n"/>
      <c r="AL2218" s="103" t="n"/>
      <c r="AM2218" s="103" t="n"/>
      <c r="AN2218" s="103" t="n"/>
      <c r="AO2218" s="103" t="n"/>
      <c r="AP2218" s="103" t="n"/>
      <c r="AQ2218" s="103" t="n"/>
      <c r="AR2218" s="10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6A6A6"/>
    <outlinePr summaryBelow="1" summaryRight="1"/>
    <pageSetUpPr/>
  </sheetPr>
  <dimension ref="B1:K12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1" customWidth="1" min="4" max="4"/>
    <col width="10" customWidth="1" min="5" max="5"/>
    <col width="3" customWidth="1" min="6" max="6"/>
    <col width="11" customWidth="1" min="7" max="7"/>
    <col width="10" customWidth="1" min="8" max="8"/>
    <col width="3" customWidth="1" min="9" max="9"/>
    <col width="11" customWidth="1" min="10" max="10"/>
    <col width="10" customWidth="1" min="11" max="11"/>
  </cols>
  <sheetData>
    <row r="1">
      <c r="B1" s="1" t="inlineStr">
        <is>
          <t>FUND HISTORY - PER-STOCK 5-YEAR PULLS.  ENGINE TAB: NEVER EDIT.</t>
        </is>
      </c>
    </row>
    <row r="2">
      <c r="B2" s="2" t="inlineStr">
        <is>
          <t>Per stock: net debt/equity (BDH) and buyback yield (BQL). Fundamentals matches on the YEAR in the date column, so row order never matters.</t>
        </is>
      </c>
    </row>
    <row r="4">
      <c r="B4" s="2" t="inlineStr">
        <is>
          <t>BQL dates argument</t>
        </is>
      </c>
      <c r="C4" s="22">
        <f>"dates=range("&amp;TEXT(DATE(YEAR_Y-4,12,31),"yyyy-mm-dd")&amp;","&amp;TEXT(DATE(YEAR_Y-1,12,31),"yyyy-mm-dd")&amp;",frq=y)"</f>
        <v/>
      </c>
      <c r="D4" s="20" t="n"/>
      <c r="E4" s="21" t="n"/>
    </row>
    <row r="6">
      <c r="B6" s="6" t="inlineStr">
        <is>
          <t>Hang Seng Index (HSI)</t>
        </is>
      </c>
      <c r="C6" s="7" t="n"/>
      <c r="D6" s="10">
        <f>IF(COUNT($D$8:$D$607)&gt;0,"BDH shape OK - dates in column D",IF(COUNT($E$8:$E$607)&gt;0,"CHECK: BDH returned values but NO date column - tell Claude","BDH: nothing pulled yet"))</f>
        <v/>
      </c>
      <c r="E6" s="7" t="n"/>
      <c r="F6" s="7" t="n"/>
      <c r="G6" s="10">
        <f>IF(COUNT($G$8:$G$607)&gt;0,"BQL shape OK - dates in column G",IF(COUNT($H$8:$H$607)&gt;0,"CHECK: BQL returned values but NO date column - tell Claude","BQL: nothing pulled yet"))</f>
        <v/>
      </c>
      <c r="H6" s="7" t="n"/>
      <c r="J6" s="2">
        <f>IF(COUNT($J$8:$J$607)&gt;0,"PX shape OK - dates in column J",IF(COUNT($K$8:$K$607)&gt;0,"CHECK: PX returned values but NO date column - tell Claude","PX: nothing pulled yet"))</f>
        <v/>
      </c>
    </row>
    <row r="7">
      <c r="D7" s="2" t="inlineStr">
        <is>
          <t>net debt/equity (BDH)</t>
        </is>
      </c>
      <c r="G7" s="2" t="inlineStr">
        <is>
          <t>buyback yield (BQL)</t>
        </is>
      </c>
      <c r="J7" s="2" t="inlineStr">
        <is>
          <t>year-end price (BDH)</t>
        </is>
      </c>
    </row>
    <row r="8">
      <c r="B8" s="2">
        <f>IF(HSI!$C$7="","",HSI!$C$7)</f>
        <v/>
      </c>
      <c r="C8" s="2">
        <f>IF(PULL_FUND="N","",IF(HSI!$C$7="","",HSI!$C$7))</f>
        <v/>
      </c>
      <c r="D8" s="104">
        <f>BDH($C8,NDE_FIELD,"-5AY","","Per=Y","cols=2;rows=5")</f>
        <v/>
      </c>
      <c r="E8" s="105" t="n"/>
      <c r="G8" s="104">
        <f>BQL($C8,BUYBACK_QUERY,$C$4,"fill=prev","showheaders=f","showids=f")</f>
        <v/>
      </c>
      <c r="H8" s="105" t="n"/>
      <c r="J8" s="104">
        <f>BDH($C8,"PX_LAST","-5AY","","Per=Y","cols=2;rows=5")</f>
        <v/>
      </c>
      <c r="K8" s="106" t="n"/>
    </row>
    <row r="9">
      <c r="D9" s="102" t="n"/>
      <c r="E9" s="105" t="n"/>
      <c r="G9" s="102" t="n"/>
      <c r="H9" s="105" t="n"/>
      <c r="J9" s="102" t="n"/>
      <c r="K9" s="106" t="n"/>
    </row>
    <row r="10">
      <c r="D10" s="102" t="n"/>
      <c r="E10" s="105" t="n"/>
      <c r="G10" s="102" t="n"/>
      <c r="H10" s="105" t="n"/>
      <c r="J10" s="102" t="n"/>
      <c r="K10" s="106" t="n"/>
    </row>
    <row r="11">
      <c r="D11" s="102" t="n"/>
      <c r="E11" s="105" t="n"/>
      <c r="G11" s="102" t="n"/>
      <c r="H11" s="105" t="n"/>
      <c r="J11" s="102" t="n"/>
      <c r="K11" s="106" t="n"/>
    </row>
    <row r="12">
      <c r="D12" s="102" t="n"/>
      <c r="E12" s="105" t="n"/>
      <c r="G12" s="102" t="n"/>
      <c r="H12" s="105" t="n"/>
      <c r="J12" s="102" t="n"/>
      <c r="K12" s="106" t="n"/>
    </row>
    <row r="14">
      <c r="B14" s="2">
        <f>IF(HSI!$C$8="","",HSI!$C$8)</f>
        <v/>
      </c>
      <c r="C14" s="2">
        <f>IF(PULL_FUND="N","",IF(HSI!$C$8="","",HSI!$C$8))</f>
        <v/>
      </c>
      <c r="D14" s="104">
        <f>BDH($C14,NDE_FIELD,"-5AY","","Per=Y","cols=2;rows=5")</f>
        <v/>
      </c>
      <c r="E14" s="105" t="n"/>
      <c r="G14" s="104">
        <f>BQL($C14,BUYBACK_QUERY,$C$4,"fill=prev","showheaders=f","showids=f")</f>
        <v/>
      </c>
      <c r="H14" s="105" t="n"/>
      <c r="J14" s="104">
        <f>BDH($C14,"PX_LAST","-5AY","","Per=Y","cols=2;rows=5")</f>
        <v/>
      </c>
      <c r="K14" s="106" t="n"/>
    </row>
    <row r="15">
      <c r="D15" s="102" t="n"/>
      <c r="E15" s="105" t="n"/>
      <c r="G15" s="102" t="n"/>
      <c r="H15" s="105" t="n"/>
      <c r="J15" s="102" t="n"/>
      <c r="K15" s="106" t="n"/>
    </row>
    <row r="16">
      <c r="D16" s="102" t="n"/>
      <c r="E16" s="105" t="n"/>
      <c r="G16" s="102" t="n"/>
      <c r="H16" s="105" t="n"/>
      <c r="J16" s="102" t="n"/>
      <c r="K16" s="106" t="n"/>
    </row>
    <row r="17">
      <c r="D17" s="102" t="n"/>
      <c r="E17" s="105" t="n"/>
      <c r="G17" s="102" t="n"/>
      <c r="H17" s="105" t="n"/>
      <c r="J17" s="102" t="n"/>
      <c r="K17" s="106" t="n"/>
    </row>
    <row r="18">
      <c r="D18" s="102" t="n"/>
      <c r="E18" s="105" t="n"/>
      <c r="G18" s="102" t="n"/>
      <c r="H18" s="105" t="n"/>
      <c r="J18" s="102" t="n"/>
      <c r="K18" s="106" t="n"/>
    </row>
    <row r="20">
      <c r="B20" s="2">
        <f>IF(HSI!$C$9="","",HSI!$C$9)</f>
        <v/>
      </c>
      <c r="C20" s="2">
        <f>IF(PULL_FUND="N","",IF(HSI!$C$9="","",HSI!$C$9))</f>
        <v/>
      </c>
      <c r="D20" s="104">
        <f>BDH($C20,NDE_FIELD,"-5AY","","Per=Y","cols=2;rows=5")</f>
        <v/>
      </c>
      <c r="E20" s="105" t="n"/>
      <c r="G20" s="104">
        <f>BQL($C20,BUYBACK_QUERY,$C$4,"fill=prev","showheaders=f","showids=f")</f>
        <v/>
      </c>
      <c r="H20" s="105" t="n"/>
      <c r="J20" s="104">
        <f>BDH($C20,"PX_LAST","-5AY","","Per=Y","cols=2;rows=5")</f>
        <v/>
      </c>
      <c r="K20" s="106" t="n"/>
    </row>
    <row r="21">
      <c r="D21" s="102" t="n"/>
      <c r="E21" s="105" t="n"/>
      <c r="G21" s="102" t="n"/>
      <c r="H21" s="105" t="n"/>
      <c r="J21" s="102" t="n"/>
      <c r="K21" s="106" t="n"/>
    </row>
    <row r="22">
      <c r="D22" s="102" t="n"/>
      <c r="E22" s="105" t="n"/>
      <c r="G22" s="102" t="n"/>
      <c r="H22" s="105" t="n"/>
      <c r="J22" s="102" t="n"/>
      <c r="K22" s="106" t="n"/>
    </row>
    <row r="23">
      <c r="D23" s="102" t="n"/>
      <c r="E23" s="105" t="n"/>
      <c r="G23" s="102" t="n"/>
      <c r="H23" s="105" t="n"/>
      <c r="J23" s="102" t="n"/>
      <c r="K23" s="106" t="n"/>
    </row>
    <row r="24">
      <c r="D24" s="102" t="n"/>
      <c r="E24" s="105" t="n"/>
      <c r="G24" s="102" t="n"/>
      <c r="H24" s="105" t="n"/>
      <c r="J24" s="102" t="n"/>
      <c r="K24" s="106" t="n"/>
    </row>
    <row r="26">
      <c r="B26" s="2">
        <f>IF(HSI!$C$10="","",HSI!$C$10)</f>
        <v/>
      </c>
      <c r="C26" s="2">
        <f>IF(PULL_FUND="N","",IF(HSI!$C$10="","",HSI!$C$10))</f>
        <v/>
      </c>
      <c r="D26" s="104">
        <f>BDH($C26,NDE_FIELD,"-5AY","","Per=Y","cols=2;rows=5")</f>
        <v/>
      </c>
      <c r="E26" s="105" t="n"/>
      <c r="G26" s="104">
        <f>BQL($C26,BUYBACK_QUERY,$C$4,"fill=prev","showheaders=f","showids=f")</f>
        <v/>
      </c>
      <c r="H26" s="105" t="n"/>
      <c r="J26" s="104">
        <f>BDH($C26,"PX_LAST","-5AY","","Per=Y","cols=2;rows=5")</f>
        <v/>
      </c>
      <c r="K26" s="106" t="n"/>
    </row>
    <row r="27">
      <c r="D27" s="102" t="n"/>
      <c r="E27" s="105" t="n"/>
      <c r="G27" s="102" t="n"/>
      <c r="H27" s="105" t="n"/>
      <c r="J27" s="102" t="n"/>
      <c r="K27" s="106" t="n"/>
    </row>
    <row r="28">
      <c r="D28" s="102" t="n"/>
      <c r="E28" s="105" t="n"/>
      <c r="G28" s="102" t="n"/>
      <c r="H28" s="105" t="n"/>
      <c r="J28" s="102" t="n"/>
      <c r="K28" s="106" t="n"/>
    </row>
    <row r="29">
      <c r="D29" s="102" t="n"/>
      <c r="E29" s="105" t="n"/>
      <c r="G29" s="102" t="n"/>
      <c r="H29" s="105" t="n"/>
      <c r="J29" s="102" t="n"/>
      <c r="K29" s="106" t="n"/>
    </row>
    <row r="30">
      <c r="D30" s="102" t="n"/>
      <c r="E30" s="105" t="n"/>
      <c r="G30" s="102" t="n"/>
      <c r="H30" s="105" t="n"/>
      <c r="J30" s="102" t="n"/>
      <c r="K30" s="106" t="n"/>
    </row>
    <row r="32">
      <c r="B32" s="2">
        <f>IF(HSI!$C$11="","",HSI!$C$11)</f>
        <v/>
      </c>
      <c r="C32" s="2">
        <f>IF(PULL_FUND="N","",IF(HSI!$C$11="","",HSI!$C$11))</f>
        <v/>
      </c>
      <c r="D32" s="104">
        <f>BDH($C32,NDE_FIELD,"-5AY","","Per=Y","cols=2;rows=5")</f>
        <v/>
      </c>
      <c r="E32" s="105" t="n"/>
      <c r="G32" s="104">
        <f>BQL($C32,BUYBACK_QUERY,$C$4,"fill=prev","showheaders=f","showids=f")</f>
        <v/>
      </c>
      <c r="H32" s="105" t="n"/>
      <c r="J32" s="104">
        <f>BDH($C32,"PX_LAST","-5AY","","Per=Y","cols=2;rows=5")</f>
        <v/>
      </c>
      <c r="K32" s="106" t="n"/>
    </row>
    <row r="33">
      <c r="D33" s="102" t="n"/>
      <c r="E33" s="105" t="n"/>
      <c r="G33" s="102" t="n"/>
      <c r="H33" s="105" t="n"/>
      <c r="J33" s="102" t="n"/>
      <c r="K33" s="106" t="n"/>
    </row>
    <row r="34">
      <c r="D34" s="102" t="n"/>
      <c r="E34" s="105" t="n"/>
      <c r="G34" s="102" t="n"/>
      <c r="H34" s="105" t="n"/>
      <c r="J34" s="102" t="n"/>
      <c r="K34" s="106" t="n"/>
    </row>
    <row r="35">
      <c r="D35" s="102" t="n"/>
      <c r="E35" s="105" t="n"/>
      <c r="G35" s="102" t="n"/>
      <c r="H35" s="105" t="n"/>
      <c r="J35" s="102" t="n"/>
      <c r="K35" s="106" t="n"/>
    </row>
    <row r="36">
      <c r="D36" s="102" t="n"/>
      <c r="E36" s="105" t="n"/>
      <c r="G36" s="102" t="n"/>
      <c r="H36" s="105" t="n"/>
      <c r="J36" s="102" t="n"/>
      <c r="K36" s="106" t="n"/>
    </row>
    <row r="38">
      <c r="B38" s="2">
        <f>IF(HSI!$C$12="","",HSI!$C$12)</f>
        <v/>
      </c>
      <c r="C38" s="2">
        <f>IF(PULL_FUND="N","",IF(HSI!$C$12="","",HSI!$C$12))</f>
        <v/>
      </c>
      <c r="D38" s="104">
        <f>BDH($C38,NDE_FIELD,"-5AY","","Per=Y","cols=2;rows=5")</f>
        <v/>
      </c>
      <c r="E38" s="105" t="n"/>
      <c r="G38" s="104">
        <f>BQL($C38,BUYBACK_QUERY,$C$4,"fill=prev","showheaders=f","showids=f")</f>
        <v/>
      </c>
      <c r="H38" s="105" t="n"/>
      <c r="J38" s="104">
        <f>BDH($C38,"PX_LAST","-5AY","","Per=Y","cols=2;rows=5")</f>
        <v/>
      </c>
      <c r="K38" s="106" t="n"/>
    </row>
    <row r="39">
      <c r="D39" s="102" t="n"/>
      <c r="E39" s="105" t="n"/>
      <c r="G39" s="102" t="n"/>
      <c r="H39" s="105" t="n"/>
      <c r="J39" s="102" t="n"/>
      <c r="K39" s="106" t="n"/>
    </row>
    <row r="40">
      <c r="D40" s="102" t="n"/>
      <c r="E40" s="105" t="n"/>
      <c r="G40" s="102" t="n"/>
      <c r="H40" s="105" t="n"/>
      <c r="J40" s="102" t="n"/>
      <c r="K40" s="106" t="n"/>
    </row>
    <row r="41">
      <c r="D41" s="102" t="n"/>
      <c r="E41" s="105" t="n"/>
      <c r="G41" s="102" t="n"/>
      <c r="H41" s="105" t="n"/>
      <c r="J41" s="102" t="n"/>
      <c r="K41" s="106" t="n"/>
    </row>
    <row r="42">
      <c r="D42" s="102" t="n"/>
      <c r="E42" s="105" t="n"/>
      <c r="G42" s="102" t="n"/>
      <c r="H42" s="105" t="n"/>
      <c r="J42" s="102" t="n"/>
      <c r="K42" s="106" t="n"/>
    </row>
    <row r="44">
      <c r="B44" s="2">
        <f>IF(HSI!$C$13="","",HSI!$C$13)</f>
        <v/>
      </c>
      <c r="C44" s="2">
        <f>IF(PULL_FUND="N","",IF(HSI!$C$13="","",HSI!$C$13))</f>
        <v/>
      </c>
      <c r="D44" s="104">
        <f>BDH($C44,NDE_FIELD,"-5AY","","Per=Y","cols=2;rows=5")</f>
        <v/>
      </c>
      <c r="E44" s="105" t="n"/>
      <c r="G44" s="104">
        <f>BQL($C44,BUYBACK_QUERY,$C$4,"fill=prev","showheaders=f","showids=f")</f>
        <v/>
      </c>
      <c r="H44" s="105" t="n"/>
      <c r="J44" s="104">
        <f>BDH($C44,"PX_LAST","-5AY","","Per=Y","cols=2;rows=5")</f>
        <v/>
      </c>
      <c r="K44" s="106" t="n"/>
    </row>
    <row r="45">
      <c r="D45" s="102" t="n"/>
      <c r="E45" s="105" t="n"/>
      <c r="G45" s="102" t="n"/>
      <c r="H45" s="105" t="n"/>
      <c r="J45" s="102" t="n"/>
      <c r="K45" s="106" t="n"/>
    </row>
    <row r="46">
      <c r="D46" s="102" t="n"/>
      <c r="E46" s="105" t="n"/>
      <c r="G46" s="102" t="n"/>
      <c r="H46" s="105" t="n"/>
      <c r="J46" s="102" t="n"/>
      <c r="K46" s="106" t="n"/>
    </row>
    <row r="47">
      <c r="D47" s="102" t="n"/>
      <c r="E47" s="105" t="n"/>
      <c r="G47" s="102" t="n"/>
      <c r="H47" s="105" t="n"/>
      <c r="J47" s="102" t="n"/>
      <c r="K47" s="106" t="n"/>
    </row>
    <row r="48">
      <c r="D48" s="102" t="n"/>
      <c r="E48" s="105" t="n"/>
      <c r="G48" s="102" t="n"/>
      <c r="H48" s="105" t="n"/>
      <c r="J48" s="102" t="n"/>
      <c r="K48" s="106" t="n"/>
    </row>
    <row r="50">
      <c r="B50" s="2">
        <f>IF(HSI!$C$14="","",HSI!$C$14)</f>
        <v/>
      </c>
      <c r="C50" s="2">
        <f>IF(PULL_FUND="N","",IF(HSI!$C$14="","",HSI!$C$14))</f>
        <v/>
      </c>
      <c r="D50" s="104">
        <f>BDH($C50,NDE_FIELD,"-5AY","","Per=Y","cols=2;rows=5")</f>
        <v/>
      </c>
      <c r="E50" s="105" t="n"/>
      <c r="G50" s="104">
        <f>BQL($C50,BUYBACK_QUERY,$C$4,"fill=prev","showheaders=f","showids=f")</f>
        <v/>
      </c>
      <c r="H50" s="105" t="n"/>
      <c r="J50" s="104">
        <f>BDH($C50,"PX_LAST","-5AY","","Per=Y","cols=2;rows=5")</f>
        <v/>
      </c>
      <c r="K50" s="106" t="n"/>
    </row>
    <row r="51">
      <c r="D51" s="102" t="n"/>
      <c r="E51" s="105" t="n"/>
      <c r="G51" s="102" t="n"/>
      <c r="H51" s="105" t="n"/>
      <c r="J51" s="102" t="n"/>
      <c r="K51" s="106" t="n"/>
    </row>
    <row r="52">
      <c r="D52" s="102" t="n"/>
      <c r="E52" s="105" t="n"/>
      <c r="G52" s="102" t="n"/>
      <c r="H52" s="105" t="n"/>
      <c r="J52" s="102" t="n"/>
      <c r="K52" s="106" t="n"/>
    </row>
    <row r="53">
      <c r="D53" s="102" t="n"/>
      <c r="E53" s="105" t="n"/>
      <c r="G53" s="102" t="n"/>
      <c r="H53" s="105" t="n"/>
      <c r="J53" s="102" t="n"/>
      <c r="K53" s="106" t="n"/>
    </row>
    <row r="54">
      <c r="D54" s="102" t="n"/>
      <c r="E54" s="105" t="n"/>
      <c r="G54" s="102" t="n"/>
      <c r="H54" s="105" t="n"/>
      <c r="J54" s="102" t="n"/>
      <c r="K54" s="106" t="n"/>
    </row>
    <row r="56">
      <c r="B56" s="2">
        <f>IF(HSI!$C$15="","",HSI!$C$15)</f>
        <v/>
      </c>
      <c r="C56" s="2">
        <f>IF(PULL_FUND="N","",IF(HSI!$C$15="","",HSI!$C$15))</f>
        <v/>
      </c>
      <c r="D56" s="104">
        <f>BDH($C56,NDE_FIELD,"-5AY","","Per=Y","cols=2;rows=5")</f>
        <v/>
      </c>
      <c r="E56" s="105" t="n"/>
      <c r="G56" s="104">
        <f>BQL($C56,BUYBACK_QUERY,$C$4,"fill=prev","showheaders=f","showids=f")</f>
        <v/>
      </c>
      <c r="H56" s="105" t="n"/>
      <c r="J56" s="104">
        <f>BDH($C56,"PX_LAST","-5AY","","Per=Y","cols=2;rows=5")</f>
        <v/>
      </c>
      <c r="K56" s="106" t="n"/>
    </row>
    <row r="57">
      <c r="D57" s="102" t="n"/>
      <c r="E57" s="105" t="n"/>
      <c r="G57" s="102" t="n"/>
      <c r="H57" s="105" t="n"/>
      <c r="J57" s="102" t="n"/>
      <c r="K57" s="106" t="n"/>
    </row>
    <row r="58">
      <c r="D58" s="102" t="n"/>
      <c r="E58" s="105" t="n"/>
      <c r="G58" s="102" t="n"/>
      <c r="H58" s="105" t="n"/>
      <c r="J58" s="102" t="n"/>
      <c r="K58" s="106" t="n"/>
    </row>
    <row r="59">
      <c r="D59" s="102" t="n"/>
      <c r="E59" s="105" t="n"/>
      <c r="G59" s="102" t="n"/>
      <c r="H59" s="105" t="n"/>
      <c r="J59" s="102" t="n"/>
      <c r="K59" s="106" t="n"/>
    </row>
    <row r="60">
      <c r="D60" s="102" t="n"/>
      <c r="E60" s="105" t="n"/>
      <c r="G60" s="102" t="n"/>
      <c r="H60" s="105" t="n"/>
      <c r="J60" s="102" t="n"/>
      <c r="K60" s="106" t="n"/>
    </row>
    <row r="62">
      <c r="B62" s="2">
        <f>IF(HSI!$C$16="","",HSI!$C$16)</f>
        <v/>
      </c>
      <c r="C62" s="2">
        <f>IF(PULL_FUND="N","",IF(HSI!$C$16="","",HSI!$C$16))</f>
        <v/>
      </c>
      <c r="D62" s="104">
        <f>BDH($C62,NDE_FIELD,"-5AY","","Per=Y","cols=2;rows=5")</f>
        <v/>
      </c>
      <c r="E62" s="105" t="n"/>
      <c r="G62" s="104">
        <f>BQL($C62,BUYBACK_QUERY,$C$4,"fill=prev","showheaders=f","showids=f")</f>
        <v/>
      </c>
      <c r="H62" s="105" t="n"/>
      <c r="J62" s="104">
        <f>BDH($C62,"PX_LAST","-5AY","","Per=Y","cols=2;rows=5")</f>
        <v/>
      </c>
      <c r="K62" s="106" t="n"/>
    </row>
    <row r="63">
      <c r="D63" s="102" t="n"/>
      <c r="E63" s="105" t="n"/>
      <c r="G63" s="102" t="n"/>
      <c r="H63" s="105" t="n"/>
      <c r="J63" s="102" t="n"/>
      <c r="K63" s="106" t="n"/>
    </row>
    <row r="64">
      <c r="D64" s="102" t="n"/>
      <c r="E64" s="105" t="n"/>
      <c r="G64" s="102" t="n"/>
      <c r="H64" s="105" t="n"/>
      <c r="J64" s="102" t="n"/>
      <c r="K64" s="106" t="n"/>
    </row>
    <row r="65">
      <c r="D65" s="102" t="n"/>
      <c r="E65" s="105" t="n"/>
      <c r="G65" s="102" t="n"/>
      <c r="H65" s="105" t="n"/>
      <c r="J65" s="102" t="n"/>
      <c r="K65" s="106" t="n"/>
    </row>
    <row r="66">
      <c r="D66" s="102" t="n"/>
      <c r="E66" s="105" t="n"/>
      <c r="G66" s="102" t="n"/>
      <c r="H66" s="105" t="n"/>
      <c r="J66" s="102" t="n"/>
      <c r="K66" s="106" t="n"/>
    </row>
    <row r="68">
      <c r="B68" s="2">
        <f>IF(HSI!$C$17="","",HSI!$C$17)</f>
        <v/>
      </c>
      <c r="C68" s="2">
        <f>IF(PULL_FUND="N","",IF(HSI!$C$17="","",HSI!$C$17))</f>
        <v/>
      </c>
      <c r="D68" s="104">
        <f>BDH($C68,NDE_FIELD,"-5AY","","Per=Y","cols=2;rows=5")</f>
        <v/>
      </c>
      <c r="E68" s="105" t="n"/>
      <c r="G68" s="104">
        <f>BQL($C68,BUYBACK_QUERY,$C$4,"fill=prev","showheaders=f","showids=f")</f>
        <v/>
      </c>
      <c r="H68" s="105" t="n"/>
      <c r="J68" s="104">
        <f>BDH($C68,"PX_LAST","-5AY","","Per=Y","cols=2;rows=5")</f>
        <v/>
      </c>
      <c r="K68" s="106" t="n"/>
    </row>
    <row r="69">
      <c r="D69" s="102" t="n"/>
      <c r="E69" s="105" t="n"/>
      <c r="G69" s="102" t="n"/>
      <c r="H69" s="105" t="n"/>
      <c r="J69" s="102" t="n"/>
      <c r="K69" s="106" t="n"/>
    </row>
    <row r="70">
      <c r="D70" s="102" t="n"/>
      <c r="E70" s="105" t="n"/>
      <c r="G70" s="102" t="n"/>
      <c r="H70" s="105" t="n"/>
      <c r="J70" s="102" t="n"/>
      <c r="K70" s="106" t="n"/>
    </row>
    <row r="71">
      <c r="D71" s="102" t="n"/>
      <c r="E71" s="105" t="n"/>
      <c r="G71" s="102" t="n"/>
      <c r="H71" s="105" t="n"/>
      <c r="J71" s="102" t="n"/>
      <c r="K71" s="106" t="n"/>
    </row>
    <row r="72">
      <c r="D72" s="102" t="n"/>
      <c r="E72" s="105" t="n"/>
      <c r="G72" s="102" t="n"/>
      <c r="H72" s="105" t="n"/>
      <c r="J72" s="102" t="n"/>
      <c r="K72" s="106" t="n"/>
    </row>
    <row r="74">
      <c r="B74" s="2">
        <f>IF(HSI!$C$18="","",HSI!$C$18)</f>
        <v/>
      </c>
      <c r="C74" s="2">
        <f>IF(PULL_FUND="N","",IF(HSI!$C$18="","",HSI!$C$18))</f>
        <v/>
      </c>
      <c r="D74" s="104">
        <f>BDH($C74,NDE_FIELD,"-5AY","","Per=Y","cols=2;rows=5")</f>
        <v/>
      </c>
      <c r="E74" s="105" t="n"/>
      <c r="G74" s="104">
        <f>BQL($C74,BUYBACK_QUERY,$C$4,"fill=prev","showheaders=f","showids=f")</f>
        <v/>
      </c>
      <c r="H74" s="105" t="n"/>
      <c r="J74" s="104">
        <f>BDH($C74,"PX_LAST","-5AY","","Per=Y","cols=2;rows=5")</f>
        <v/>
      </c>
      <c r="K74" s="106" t="n"/>
    </row>
    <row r="75">
      <c r="D75" s="102" t="n"/>
      <c r="E75" s="105" t="n"/>
      <c r="G75" s="102" t="n"/>
      <c r="H75" s="105" t="n"/>
      <c r="J75" s="102" t="n"/>
      <c r="K75" s="106" t="n"/>
    </row>
    <row r="76">
      <c r="D76" s="102" t="n"/>
      <c r="E76" s="105" t="n"/>
      <c r="G76" s="102" t="n"/>
      <c r="H76" s="105" t="n"/>
      <c r="J76" s="102" t="n"/>
      <c r="K76" s="106" t="n"/>
    </row>
    <row r="77">
      <c r="D77" s="102" t="n"/>
      <c r="E77" s="105" t="n"/>
      <c r="G77" s="102" t="n"/>
      <c r="H77" s="105" t="n"/>
      <c r="J77" s="102" t="n"/>
      <c r="K77" s="106" t="n"/>
    </row>
    <row r="78">
      <c r="D78" s="102" t="n"/>
      <c r="E78" s="105" t="n"/>
      <c r="G78" s="102" t="n"/>
      <c r="H78" s="105" t="n"/>
      <c r="J78" s="102" t="n"/>
      <c r="K78" s="106" t="n"/>
    </row>
    <row r="80">
      <c r="B80" s="2">
        <f>IF(HSI!$C$19="","",HSI!$C$19)</f>
        <v/>
      </c>
      <c r="C80" s="2">
        <f>IF(PULL_FUND="N","",IF(HSI!$C$19="","",HSI!$C$19))</f>
        <v/>
      </c>
      <c r="D80" s="104">
        <f>BDH($C80,NDE_FIELD,"-5AY","","Per=Y","cols=2;rows=5")</f>
        <v/>
      </c>
      <c r="E80" s="105" t="n"/>
      <c r="G80" s="104">
        <f>BQL($C80,BUYBACK_QUERY,$C$4,"fill=prev","showheaders=f","showids=f")</f>
        <v/>
      </c>
      <c r="H80" s="105" t="n"/>
      <c r="J80" s="104">
        <f>BDH($C80,"PX_LAST","-5AY","","Per=Y","cols=2;rows=5")</f>
        <v/>
      </c>
      <c r="K80" s="106" t="n"/>
    </row>
    <row r="81">
      <c r="D81" s="102" t="n"/>
      <c r="E81" s="105" t="n"/>
      <c r="G81" s="102" t="n"/>
      <c r="H81" s="105" t="n"/>
      <c r="J81" s="102" t="n"/>
      <c r="K81" s="106" t="n"/>
    </row>
    <row r="82">
      <c r="D82" s="102" t="n"/>
      <c r="E82" s="105" t="n"/>
      <c r="G82" s="102" t="n"/>
      <c r="H82" s="105" t="n"/>
      <c r="J82" s="102" t="n"/>
      <c r="K82" s="106" t="n"/>
    </row>
    <row r="83">
      <c r="D83" s="102" t="n"/>
      <c r="E83" s="105" t="n"/>
      <c r="G83" s="102" t="n"/>
      <c r="H83" s="105" t="n"/>
      <c r="J83" s="102" t="n"/>
      <c r="K83" s="106" t="n"/>
    </row>
    <row r="84">
      <c r="D84" s="102" t="n"/>
      <c r="E84" s="105" t="n"/>
      <c r="G84" s="102" t="n"/>
      <c r="H84" s="105" t="n"/>
      <c r="J84" s="102" t="n"/>
      <c r="K84" s="106" t="n"/>
    </row>
    <row r="86">
      <c r="B86" s="2">
        <f>IF(HSI!$C$20="","",HSI!$C$20)</f>
        <v/>
      </c>
      <c r="C86" s="2">
        <f>IF(PULL_FUND="N","",IF(HSI!$C$20="","",HSI!$C$20))</f>
        <v/>
      </c>
      <c r="D86" s="104">
        <f>BDH($C86,NDE_FIELD,"-5AY","","Per=Y","cols=2;rows=5")</f>
        <v/>
      </c>
      <c r="E86" s="105" t="n"/>
      <c r="G86" s="104">
        <f>BQL($C86,BUYBACK_QUERY,$C$4,"fill=prev","showheaders=f","showids=f")</f>
        <v/>
      </c>
      <c r="H86" s="105" t="n"/>
      <c r="J86" s="104">
        <f>BDH($C86,"PX_LAST","-5AY","","Per=Y","cols=2;rows=5")</f>
        <v/>
      </c>
      <c r="K86" s="106" t="n"/>
    </row>
    <row r="87">
      <c r="D87" s="102" t="n"/>
      <c r="E87" s="105" t="n"/>
      <c r="G87" s="102" t="n"/>
      <c r="H87" s="105" t="n"/>
      <c r="J87" s="102" t="n"/>
      <c r="K87" s="106" t="n"/>
    </row>
    <row r="88">
      <c r="D88" s="102" t="n"/>
      <c r="E88" s="105" t="n"/>
      <c r="G88" s="102" t="n"/>
      <c r="H88" s="105" t="n"/>
      <c r="J88" s="102" t="n"/>
      <c r="K88" s="106" t="n"/>
    </row>
    <row r="89">
      <c r="D89" s="102" t="n"/>
      <c r="E89" s="105" t="n"/>
      <c r="G89" s="102" t="n"/>
      <c r="H89" s="105" t="n"/>
      <c r="J89" s="102" t="n"/>
      <c r="K89" s="106" t="n"/>
    </row>
    <row r="90">
      <c r="D90" s="102" t="n"/>
      <c r="E90" s="105" t="n"/>
      <c r="G90" s="102" t="n"/>
      <c r="H90" s="105" t="n"/>
      <c r="J90" s="102" t="n"/>
      <c r="K90" s="106" t="n"/>
    </row>
    <row r="92">
      <c r="B92" s="2">
        <f>IF(HSI!$C$21="","",HSI!$C$21)</f>
        <v/>
      </c>
      <c r="C92" s="2">
        <f>IF(PULL_FUND="N","",IF(HSI!$C$21="","",HSI!$C$21))</f>
        <v/>
      </c>
      <c r="D92" s="104">
        <f>BDH($C92,NDE_FIELD,"-5AY","","Per=Y","cols=2;rows=5")</f>
        <v/>
      </c>
      <c r="E92" s="105" t="n"/>
      <c r="G92" s="104">
        <f>BQL($C92,BUYBACK_QUERY,$C$4,"fill=prev","showheaders=f","showids=f")</f>
        <v/>
      </c>
      <c r="H92" s="105" t="n"/>
      <c r="J92" s="104">
        <f>BDH($C92,"PX_LAST","-5AY","","Per=Y","cols=2;rows=5")</f>
        <v/>
      </c>
      <c r="K92" s="106" t="n"/>
    </row>
    <row r="93">
      <c r="D93" s="102" t="n"/>
      <c r="E93" s="105" t="n"/>
      <c r="G93" s="102" t="n"/>
      <c r="H93" s="105" t="n"/>
      <c r="J93" s="102" t="n"/>
      <c r="K93" s="106" t="n"/>
    </row>
    <row r="94">
      <c r="D94" s="102" t="n"/>
      <c r="E94" s="105" t="n"/>
      <c r="G94" s="102" t="n"/>
      <c r="H94" s="105" t="n"/>
      <c r="J94" s="102" t="n"/>
      <c r="K94" s="106" t="n"/>
    </row>
    <row r="95">
      <c r="D95" s="102" t="n"/>
      <c r="E95" s="105" t="n"/>
      <c r="G95" s="102" t="n"/>
      <c r="H95" s="105" t="n"/>
      <c r="J95" s="102" t="n"/>
      <c r="K95" s="106" t="n"/>
    </row>
    <row r="96">
      <c r="D96" s="102" t="n"/>
      <c r="E96" s="105" t="n"/>
      <c r="G96" s="102" t="n"/>
      <c r="H96" s="105" t="n"/>
      <c r="J96" s="102" t="n"/>
      <c r="K96" s="106" t="n"/>
    </row>
    <row r="98">
      <c r="B98" s="2">
        <f>IF(HSI!$C$22="","",HSI!$C$22)</f>
        <v/>
      </c>
      <c r="C98" s="2">
        <f>IF(PULL_FUND="N","",IF(HSI!$C$22="","",HSI!$C$22))</f>
        <v/>
      </c>
      <c r="D98" s="104">
        <f>BDH($C98,NDE_FIELD,"-5AY","","Per=Y","cols=2;rows=5")</f>
        <v/>
      </c>
      <c r="E98" s="105" t="n"/>
      <c r="G98" s="104">
        <f>BQL($C98,BUYBACK_QUERY,$C$4,"fill=prev","showheaders=f","showids=f")</f>
        <v/>
      </c>
      <c r="H98" s="105" t="n"/>
      <c r="J98" s="104">
        <f>BDH($C98,"PX_LAST","-5AY","","Per=Y","cols=2;rows=5")</f>
        <v/>
      </c>
      <c r="K98" s="106" t="n"/>
    </row>
    <row r="99">
      <c r="D99" s="102" t="n"/>
      <c r="E99" s="105" t="n"/>
      <c r="G99" s="102" t="n"/>
      <c r="H99" s="105" t="n"/>
      <c r="J99" s="102" t="n"/>
      <c r="K99" s="106" t="n"/>
    </row>
    <row r="100">
      <c r="D100" s="102" t="n"/>
      <c r="E100" s="105" t="n"/>
      <c r="G100" s="102" t="n"/>
      <c r="H100" s="105" t="n"/>
      <c r="J100" s="102" t="n"/>
      <c r="K100" s="106" t="n"/>
    </row>
    <row r="101">
      <c r="D101" s="102" t="n"/>
      <c r="E101" s="105" t="n"/>
      <c r="G101" s="102" t="n"/>
      <c r="H101" s="105" t="n"/>
      <c r="J101" s="102" t="n"/>
      <c r="K101" s="106" t="n"/>
    </row>
    <row r="102">
      <c r="D102" s="102" t="n"/>
      <c r="E102" s="105" t="n"/>
      <c r="G102" s="102" t="n"/>
      <c r="H102" s="105" t="n"/>
      <c r="J102" s="102" t="n"/>
      <c r="K102" s="106" t="n"/>
    </row>
    <row r="104">
      <c r="B104" s="2">
        <f>IF(HSI!$C$23="","",HSI!$C$23)</f>
        <v/>
      </c>
      <c r="C104" s="2">
        <f>IF(PULL_FUND="N","",IF(HSI!$C$23="","",HSI!$C$23))</f>
        <v/>
      </c>
      <c r="D104" s="104">
        <f>BDH($C104,NDE_FIELD,"-5AY","","Per=Y","cols=2;rows=5")</f>
        <v/>
      </c>
      <c r="E104" s="105" t="n"/>
      <c r="G104" s="104">
        <f>BQL($C104,BUYBACK_QUERY,$C$4,"fill=prev","showheaders=f","showids=f")</f>
        <v/>
      </c>
      <c r="H104" s="105" t="n"/>
      <c r="J104" s="104">
        <f>BDH($C104,"PX_LAST","-5AY","","Per=Y","cols=2;rows=5")</f>
        <v/>
      </c>
      <c r="K104" s="106" t="n"/>
    </row>
    <row r="105">
      <c r="D105" s="102" t="n"/>
      <c r="E105" s="105" t="n"/>
      <c r="G105" s="102" t="n"/>
      <c r="H105" s="105" t="n"/>
      <c r="J105" s="102" t="n"/>
      <c r="K105" s="106" t="n"/>
    </row>
    <row r="106">
      <c r="D106" s="102" t="n"/>
      <c r="E106" s="105" t="n"/>
      <c r="G106" s="102" t="n"/>
      <c r="H106" s="105" t="n"/>
      <c r="J106" s="102" t="n"/>
      <c r="K106" s="106" t="n"/>
    </row>
    <row r="107">
      <c r="D107" s="102" t="n"/>
      <c r="E107" s="105" t="n"/>
      <c r="G107" s="102" t="n"/>
      <c r="H107" s="105" t="n"/>
      <c r="J107" s="102" t="n"/>
      <c r="K107" s="106" t="n"/>
    </row>
    <row r="108">
      <c r="D108" s="102" t="n"/>
      <c r="E108" s="105" t="n"/>
      <c r="G108" s="102" t="n"/>
      <c r="H108" s="105" t="n"/>
      <c r="J108" s="102" t="n"/>
      <c r="K108" s="106" t="n"/>
    </row>
    <row r="110">
      <c r="B110" s="2">
        <f>IF(HSI!$C$24="","",HSI!$C$24)</f>
        <v/>
      </c>
      <c r="C110" s="2">
        <f>IF(PULL_FUND="N","",IF(HSI!$C$24="","",HSI!$C$24))</f>
        <v/>
      </c>
      <c r="D110" s="104">
        <f>BDH($C110,NDE_FIELD,"-5AY","","Per=Y","cols=2;rows=5")</f>
        <v/>
      </c>
      <c r="E110" s="105" t="n"/>
      <c r="G110" s="104">
        <f>BQL($C110,BUYBACK_QUERY,$C$4,"fill=prev","showheaders=f","showids=f")</f>
        <v/>
      </c>
      <c r="H110" s="105" t="n"/>
      <c r="J110" s="104">
        <f>BDH($C110,"PX_LAST","-5AY","","Per=Y","cols=2;rows=5")</f>
        <v/>
      </c>
      <c r="K110" s="106" t="n"/>
    </row>
    <row r="111">
      <c r="D111" s="102" t="n"/>
      <c r="E111" s="105" t="n"/>
      <c r="G111" s="102" t="n"/>
      <c r="H111" s="105" t="n"/>
      <c r="J111" s="102" t="n"/>
      <c r="K111" s="106" t="n"/>
    </row>
    <row r="112">
      <c r="D112" s="102" t="n"/>
      <c r="E112" s="105" t="n"/>
      <c r="G112" s="102" t="n"/>
      <c r="H112" s="105" t="n"/>
      <c r="J112" s="102" t="n"/>
      <c r="K112" s="106" t="n"/>
    </row>
    <row r="113">
      <c r="D113" s="102" t="n"/>
      <c r="E113" s="105" t="n"/>
      <c r="G113" s="102" t="n"/>
      <c r="H113" s="105" t="n"/>
      <c r="J113" s="102" t="n"/>
      <c r="K113" s="106" t="n"/>
    </row>
    <row r="114">
      <c r="D114" s="102" t="n"/>
      <c r="E114" s="105" t="n"/>
      <c r="G114" s="102" t="n"/>
      <c r="H114" s="105" t="n"/>
      <c r="J114" s="102" t="n"/>
      <c r="K114" s="106" t="n"/>
    </row>
    <row r="116">
      <c r="B116" s="2">
        <f>IF(HSI!$C$25="","",HSI!$C$25)</f>
        <v/>
      </c>
      <c r="C116" s="2">
        <f>IF(PULL_FUND="N","",IF(HSI!$C$25="","",HSI!$C$25))</f>
        <v/>
      </c>
      <c r="D116" s="104">
        <f>BDH($C116,NDE_FIELD,"-5AY","","Per=Y","cols=2;rows=5")</f>
        <v/>
      </c>
      <c r="E116" s="105" t="n"/>
      <c r="G116" s="104">
        <f>BQL($C116,BUYBACK_QUERY,$C$4,"fill=prev","showheaders=f","showids=f")</f>
        <v/>
      </c>
      <c r="H116" s="105" t="n"/>
      <c r="J116" s="104">
        <f>BDH($C116,"PX_LAST","-5AY","","Per=Y","cols=2;rows=5")</f>
        <v/>
      </c>
      <c r="K116" s="106" t="n"/>
    </row>
    <row r="117">
      <c r="D117" s="102" t="n"/>
      <c r="E117" s="105" t="n"/>
      <c r="G117" s="102" t="n"/>
      <c r="H117" s="105" t="n"/>
      <c r="J117" s="102" t="n"/>
      <c r="K117" s="106" t="n"/>
    </row>
    <row r="118">
      <c r="D118" s="102" t="n"/>
      <c r="E118" s="105" t="n"/>
      <c r="G118" s="102" t="n"/>
      <c r="H118" s="105" t="n"/>
      <c r="J118" s="102" t="n"/>
      <c r="K118" s="106" t="n"/>
    </row>
    <row r="119">
      <c r="D119" s="102" t="n"/>
      <c r="E119" s="105" t="n"/>
      <c r="G119" s="102" t="n"/>
      <c r="H119" s="105" t="n"/>
      <c r="J119" s="102" t="n"/>
      <c r="K119" s="106" t="n"/>
    </row>
    <row r="120">
      <c r="D120" s="102" t="n"/>
      <c r="E120" s="105" t="n"/>
      <c r="G120" s="102" t="n"/>
      <c r="H120" s="105" t="n"/>
      <c r="J120" s="102" t="n"/>
      <c r="K120" s="106" t="n"/>
    </row>
    <row r="122">
      <c r="B122" s="2">
        <f>IF(HSI!$C$26="","",HSI!$C$26)</f>
        <v/>
      </c>
      <c r="C122" s="2">
        <f>IF(PULL_FUND="N","",IF(HSI!$C$26="","",HSI!$C$26))</f>
        <v/>
      </c>
      <c r="D122" s="104">
        <f>BDH($C122,NDE_FIELD,"-5AY","","Per=Y","cols=2;rows=5")</f>
        <v/>
      </c>
      <c r="E122" s="105" t="n"/>
      <c r="G122" s="104">
        <f>BQL($C122,BUYBACK_QUERY,$C$4,"fill=prev","showheaders=f","showids=f")</f>
        <v/>
      </c>
      <c r="H122" s="105" t="n"/>
      <c r="J122" s="104">
        <f>BDH($C122,"PX_LAST","-5AY","","Per=Y","cols=2;rows=5")</f>
        <v/>
      </c>
      <c r="K122" s="106" t="n"/>
    </row>
    <row r="123">
      <c r="D123" s="102" t="n"/>
      <c r="E123" s="105" t="n"/>
      <c r="G123" s="102" t="n"/>
      <c r="H123" s="105" t="n"/>
      <c r="J123" s="102" t="n"/>
      <c r="K123" s="106" t="n"/>
    </row>
    <row r="124">
      <c r="D124" s="102" t="n"/>
      <c r="E124" s="105" t="n"/>
      <c r="G124" s="102" t="n"/>
      <c r="H124" s="105" t="n"/>
      <c r="J124" s="102" t="n"/>
      <c r="K124" s="106" t="n"/>
    </row>
    <row r="125">
      <c r="D125" s="102" t="n"/>
      <c r="E125" s="105" t="n"/>
      <c r="G125" s="102" t="n"/>
      <c r="H125" s="105" t="n"/>
      <c r="J125" s="102" t="n"/>
      <c r="K125" s="106" t="n"/>
    </row>
    <row r="126">
      <c r="D126" s="102" t="n"/>
      <c r="E126" s="105" t="n"/>
      <c r="G126" s="102" t="n"/>
      <c r="H126" s="105" t="n"/>
      <c r="J126" s="102" t="n"/>
      <c r="K126" s="106" t="n"/>
    </row>
    <row r="128">
      <c r="B128" s="2">
        <f>IF(HSI!$C$27="","",HSI!$C$27)</f>
        <v/>
      </c>
      <c r="C128" s="2">
        <f>IF(PULL_FUND="N","",IF(HSI!$C$27="","",HSI!$C$27))</f>
        <v/>
      </c>
      <c r="D128" s="104">
        <f>BDH($C128,NDE_FIELD,"-5AY","","Per=Y","cols=2;rows=5")</f>
        <v/>
      </c>
      <c r="E128" s="105" t="n"/>
      <c r="G128" s="104">
        <f>BQL($C128,BUYBACK_QUERY,$C$4,"fill=prev","showheaders=f","showids=f")</f>
        <v/>
      </c>
      <c r="H128" s="105" t="n"/>
      <c r="J128" s="104">
        <f>BDH($C128,"PX_LAST","-5AY","","Per=Y","cols=2;rows=5")</f>
        <v/>
      </c>
      <c r="K128" s="106" t="n"/>
    </row>
    <row r="129">
      <c r="D129" s="102" t="n"/>
      <c r="E129" s="105" t="n"/>
      <c r="G129" s="102" t="n"/>
      <c r="H129" s="105" t="n"/>
      <c r="J129" s="102" t="n"/>
      <c r="K129" s="106" t="n"/>
    </row>
    <row r="130">
      <c r="D130" s="102" t="n"/>
      <c r="E130" s="105" t="n"/>
      <c r="G130" s="102" t="n"/>
      <c r="H130" s="105" t="n"/>
      <c r="J130" s="102" t="n"/>
      <c r="K130" s="106" t="n"/>
    </row>
    <row r="131">
      <c r="D131" s="102" t="n"/>
      <c r="E131" s="105" t="n"/>
      <c r="G131" s="102" t="n"/>
      <c r="H131" s="105" t="n"/>
      <c r="J131" s="102" t="n"/>
      <c r="K131" s="106" t="n"/>
    </row>
    <row r="132">
      <c r="D132" s="102" t="n"/>
      <c r="E132" s="105" t="n"/>
      <c r="G132" s="102" t="n"/>
      <c r="H132" s="105" t="n"/>
      <c r="J132" s="102" t="n"/>
      <c r="K132" s="106" t="n"/>
    </row>
    <row r="134">
      <c r="B134" s="2">
        <f>IF(HSI!$C$28="","",HSI!$C$28)</f>
        <v/>
      </c>
      <c r="C134" s="2">
        <f>IF(PULL_FUND="N","",IF(HSI!$C$28="","",HSI!$C$28))</f>
        <v/>
      </c>
      <c r="D134" s="104">
        <f>BDH($C134,NDE_FIELD,"-5AY","","Per=Y","cols=2;rows=5")</f>
        <v/>
      </c>
      <c r="E134" s="105" t="n"/>
      <c r="G134" s="104">
        <f>BQL($C134,BUYBACK_QUERY,$C$4,"fill=prev","showheaders=f","showids=f")</f>
        <v/>
      </c>
      <c r="H134" s="105" t="n"/>
      <c r="J134" s="104">
        <f>BDH($C134,"PX_LAST","-5AY","","Per=Y","cols=2;rows=5")</f>
        <v/>
      </c>
      <c r="K134" s="106" t="n"/>
    </row>
    <row r="135">
      <c r="D135" s="102" t="n"/>
      <c r="E135" s="105" t="n"/>
      <c r="G135" s="102" t="n"/>
      <c r="H135" s="105" t="n"/>
      <c r="J135" s="102" t="n"/>
      <c r="K135" s="106" t="n"/>
    </row>
    <row r="136">
      <c r="D136" s="102" t="n"/>
      <c r="E136" s="105" t="n"/>
      <c r="G136" s="102" t="n"/>
      <c r="H136" s="105" t="n"/>
      <c r="J136" s="102" t="n"/>
      <c r="K136" s="106" t="n"/>
    </row>
    <row r="137">
      <c r="D137" s="102" t="n"/>
      <c r="E137" s="105" t="n"/>
      <c r="G137" s="102" t="n"/>
      <c r="H137" s="105" t="n"/>
      <c r="J137" s="102" t="n"/>
      <c r="K137" s="106" t="n"/>
    </row>
    <row r="138">
      <c r="D138" s="102" t="n"/>
      <c r="E138" s="105" t="n"/>
      <c r="G138" s="102" t="n"/>
      <c r="H138" s="105" t="n"/>
      <c r="J138" s="102" t="n"/>
      <c r="K138" s="106" t="n"/>
    </row>
    <row r="140">
      <c r="B140" s="2">
        <f>IF(HSI!$C$29="","",HSI!$C$29)</f>
        <v/>
      </c>
      <c r="C140" s="2">
        <f>IF(PULL_FUND="N","",IF(HSI!$C$29="","",HSI!$C$29))</f>
        <v/>
      </c>
      <c r="D140" s="104">
        <f>BDH($C140,NDE_FIELD,"-5AY","","Per=Y","cols=2;rows=5")</f>
        <v/>
      </c>
      <c r="E140" s="105" t="n"/>
      <c r="G140" s="104">
        <f>BQL($C140,BUYBACK_QUERY,$C$4,"fill=prev","showheaders=f","showids=f")</f>
        <v/>
      </c>
      <c r="H140" s="105" t="n"/>
      <c r="J140" s="104">
        <f>BDH($C140,"PX_LAST","-5AY","","Per=Y","cols=2;rows=5")</f>
        <v/>
      </c>
      <c r="K140" s="106" t="n"/>
    </row>
    <row r="141">
      <c r="D141" s="102" t="n"/>
      <c r="E141" s="105" t="n"/>
      <c r="G141" s="102" t="n"/>
      <c r="H141" s="105" t="n"/>
      <c r="J141" s="102" t="n"/>
      <c r="K141" s="106" t="n"/>
    </row>
    <row r="142">
      <c r="D142" s="102" t="n"/>
      <c r="E142" s="105" t="n"/>
      <c r="G142" s="102" t="n"/>
      <c r="H142" s="105" t="n"/>
      <c r="J142" s="102" t="n"/>
      <c r="K142" s="106" t="n"/>
    </row>
    <row r="143">
      <c r="D143" s="102" t="n"/>
      <c r="E143" s="105" t="n"/>
      <c r="G143" s="102" t="n"/>
      <c r="H143" s="105" t="n"/>
      <c r="J143" s="102" t="n"/>
      <c r="K143" s="106" t="n"/>
    </row>
    <row r="144">
      <c r="D144" s="102" t="n"/>
      <c r="E144" s="105" t="n"/>
      <c r="G144" s="102" t="n"/>
      <c r="H144" s="105" t="n"/>
      <c r="J144" s="102" t="n"/>
      <c r="K144" s="106" t="n"/>
    </row>
    <row r="146">
      <c r="B146" s="2">
        <f>IF(HSI!$C$30="","",HSI!$C$30)</f>
        <v/>
      </c>
      <c r="C146" s="2">
        <f>IF(PULL_FUND="N","",IF(HSI!$C$30="","",HSI!$C$30))</f>
        <v/>
      </c>
      <c r="D146" s="104">
        <f>BDH($C146,NDE_FIELD,"-5AY","","Per=Y","cols=2;rows=5")</f>
        <v/>
      </c>
      <c r="E146" s="105" t="n"/>
      <c r="G146" s="104">
        <f>BQL($C146,BUYBACK_QUERY,$C$4,"fill=prev","showheaders=f","showids=f")</f>
        <v/>
      </c>
      <c r="H146" s="105" t="n"/>
      <c r="J146" s="104">
        <f>BDH($C146,"PX_LAST","-5AY","","Per=Y","cols=2;rows=5")</f>
        <v/>
      </c>
      <c r="K146" s="106" t="n"/>
    </row>
    <row r="147">
      <c r="D147" s="102" t="n"/>
      <c r="E147" s="105" t="n"/>
      <c r="G147" s="102" t="n"/>
      <c r="H147" s="105" t="n"/>
      <c r="J147" s="102" t="n"/>
      <c r="K147" s="106" t="n"/>
    </row>
    <row r="148">
      <c r="D148" s="102" t="n"/>
      <c r="E148" s="105" t="n"/>
      <c r="G148" s="102" t="n"/>
      <c r="H148" s="105" t="n"/>
      <c r="J148" s="102" t="n"/>
      <c r="K148" s="106" t="n"/>
    </row>
    <row r="149">
      <c r="D149" s="102" t="n"/>
      <c r="E149" s="105" t="n"/>
      <c r="G149" s="102" t="n"/>
      <c r="H149" s="105" t="n"/>
      <c r="J149" s="102" t="n"/>
      <c r="K149" s="106" t="n"/>
    </row>
    <row r="150">
      <c r="D150" s="102" t="n"/>
      <c r="E150" s="105" t="n"/>
      <c r="G150" s="102" t="n"/>
      <c r="H150" s="105" t="n"/>
      <c r="J150" s="102" t="n"/>
      <c r="K150" s="106" t="n"/>
    </row>
    <row r="152">
      <c r="B152" s="2">
        <f>IF(HSI!$C$31="","",HSI!$C$31)</f>
        <v/>
      </c>
      <c r="C152" s="2">
        <f>IF(PULL_FUND="N","",IF(HSI!$C$31="","",HSI!$C$31))</f>
        <v/>
      </c>
      <c r="D152" s="104">
        <f>BDH($C152,NDE_FIELD,"-5AY","","Per=Y","cols=2;rows=5")</f>
        <v/>
      </c>
      <c r="E152" s="105" t="n"/>
      <c r="G152" s="104">
        <f>BQL($C152,BUYBACK_QUERY,$C$4,"fill=prev","showheaders=f","showids=f")</f>
        <v/>
      </c>
      <c r="H152" s="105" t="n"/>
      <c r="J152" s="104">
        <f>BDH($C152,"PX_LAST","-5AY","","Per=Y","cols=2;rows=5")</f>
        <v/>
      </c>
      <c r="K152" s="106" t="n"/>
    </row>
    <row r="153">
      <c r="D153" s="102" t="n"/>
      <c r="E153" s="105" t="n"/>
      <c r="G153" s="102" t="n"/>
      <c r="H153" s="105" t="n"/>
      <c r="J153" s="102" t="n"/>
      <c r="K153" s="106" t="n"/>
    </row>
    <row r="154">
      <c r="D154" s="102" t="n"/>
      <c r="E154" s="105" t="n"/>
      <c r="G154" s="102" t="n"/>
      <c r="H154" s="105" t="n"/>
      <c r="J154" s="102" t="n"/>
      <c r="K154" s="106" t="n"/>
    </row>
    <row r="155">
      <c r="D155" s="102" t="n"/>
      <c r="E155" s="105" t="n"/>
      <c r="G155" s="102" t="n"/>
      <c r="H155" s="105" t="n"/>
      <c r="J155" s="102" t="n"/>
      <c r="K155" s="106" t="n"/>
    </row>
    <row r="156">
      <c r="D156" s="102" t="n"/>
      <c r="E156" s="105" t="n"/>
      <c r="G156" s="102" t="n"/>
      <c r="H156" s="105" t="n"/>
      <c r="J156" s="102" t="n"/>
      <c r="K156" s="106" t="n"/>
    </row>
    <row r="158">
      <c r="B158" s="2">
        <f>IF(HSI!$C$32="","",HSI!$C$32)</f>
        <v/>
      </c>
      <c r="C158" s="2">
        <f>IF(PULL_FUND="N","",IF(HSI!$C$32="","",HSI!$C$32))</f>
        <v/>
      </c>
      <c r="D158" s="104">
        <f>BDH($C158,NDE_FIELD,"-5AY","","Per=Y","cols=2;rows=5")</f>
        <v/>
      </c>
      <c r="E158" s="105" t="n"/>
      <c r="G158" s="104">
        <f>BQL($C158,BUYBACK_QUERY,$C$4,"fill=prev","showheaders=f","showids=f")</f>
        <v/>
      </c>
      <c r="H158" s="105" t="n"/>
      <c r="J158" s="104">
        <f>BDH($C158,"PX_LAST","-5AY","","Per=Y","cols=2;rows=5")</f>
        <v/>
      </c>
      <c r="K158" s="106" t="n"/>
    </row>
    <row r="159">
      <c r="D159" s="102" t="n"/>
      <c r="E159" s="105" t="n"/>
      <c r="G159" s="102" t="n"/>
      <c r="H159" s="105" t="n"/>
      <c r="J159" s="102" t="n"/>
      <c r="K159" s="106" t="n"/>
    </row>
    <row r="160">
      <c r="D160" s="102" t="n"/>
      <c r="E160" s="105" t="n"/>
      <c r="G160" s="102" t="n"/>
      <c r="H160" s="105" t="n"/>
      <c r="J160" s="102" t="n"/>
      <c r="K160" s="106" t="n"/>
    </row>
    <row r="161">
      <c r="D161" s="102" t="n"/>
      <c r="E161" s="105" t="n"/>
      <c r="G161" s="102" t="n"/>
      <c r="H161" s="105" t="n"/>
      <c r="J161" s="102" t="n"/>
      <c r="K161" s="106" t="n"/>
    </row>
    <row r="162">
      <c r="D162" s="102" t="n"/>
      <c r="E162" s="105" t="n"/>
      <c r="G162" s="102" t="n"/>
      <c r="H162" s="105" t="n"/>
      <c r="J162" s="102" t="n"/>
      <c r="K162" s="106" t="n"/>
    </row>
    <row r="164">
      <c r="B164" s="2">
        <f>IF(HSI!$C$33="","",HSI!$C$33)</f>
        <v/>
      </c>
      <c r="C164" s="2">
        <f>IF(PULL_FUND="N","",IF(HSI!$C$33="","",HSI!$C$33))</f>
        <v/>
      </c>
      <c r="D164" s="104">
        <f>BDH($C164,NDE_FIELD,"-5AY","","Per=Y","cols=2;rows=5")</f>
        <v/>
      </c>
      <c r="E164" s="105" t="n"/>
      <c r="G164" s="104">
        <f>BQL($C164,BUYBACK_QUERY,$C$4,"fill=prev","showheaders=f","showids=f")</f>
        <v/>
      </c>
      <c r="H164" s="105" t="n"/>
      <c r="J164" s="104">
        <f>BDH($C164,"PX_LAST","-5AY","","Per=Y","cols=2;rows=5")</f>
        <v/>
      </c>
      <c r="K164" s="106" t="n"/>
    </row>
    <row r="165">
      <c r="D165" s="102" t="n"/>
      <c r="E165" s="105" t="n"/>
      <c r="G165" s="102" t="n"/>
      <c r="H165" s="105" t="n"/>
      <c r="J165" s="102" t="n"/>
      <c r="K165" s="106" t="n"/>
    </row>
    <row r="166">
      <c r="D166" s="102" t="n"/>
      <c r="E166" s="105" t="n"/>
      <c r="G166" s="102" t="n"/>
      <c r="H166" s="105" t="n"/>
      <c r="J166" s="102" t="n"/>
      <c r="K166" s="106" t="n"/>
    </row>
    <row r="167">
      <c r="D167" s="102" t="n"/>
      <c r="E167" s="105" t="n"/>
      <c r="G167" s="102" t="n"/>
      <c r="H167" s="105" t="n"/>
      <c r="J167" s="102" t="n"/>
      <c r="K167" s="106" t="n"/>
    </row>
    <row r="168">
      <c r="D168" s="102" t="n"/>
      <c r="E168" s="105" t="n"/>
      <c r="G168" s="102" t="n"/>
      <c r="H168" s="105" t="n"/>
      <c r="J168" s="102" t="n"/>
      <c r="K168" s="106" t="n"/>
    </row>
    <row r="170">
      <c r="B170" s="2">
        <f>IF(HSI!$C$34="","",HSI!$C$34)</f>
        <v/>
      </c>
      <c r="C170" s="2">
        <f>IF(PULL_FUND="N","",IF(HSI!$C$34="","",HSI!$C$34))</f>
        <v/>
      </c>
      <c r="D170" s="104">
        <f>BDH($C170,NDE_FIELD,"-5AY","","Per=Y","cols=2;rows=5")</f>
        <v/>
      </c>
      <c r="E170" s="105" t="n"/>
      <c r="G170" s="104">
        <f>BQL($C170,BUYBACK_QUERY,$C$4,"fill=prev","showheaders=f","showids=f")</f>
        <v/>
      </c>
      <c r="H170" s="105" t="n"/>
      <c r="J170" s="104">
        <f>BDH($C170,"PX_LAST","-5AY","","Per=Y","cols=2;rows=5")</f>
        <v/>
      </c>
      <c r="K170" s="106" t="n"/>
    </row>
    <row r="171">
      <c r="D171" s="102" t="n"/>
      <c r="E171" s="105" t="n"/>
      <c r="G171" s="102" t="n"/>
      <c r="H171" s="105" t="n"/>
      <c r="J171" s="102" t="n"/>
      <c r="K171" s="106" t="n"/>
    </row>
    <row r="172">
      <c r="D172" s="102" t="n"/>
      <c r="E172" s="105" t="n"/>
      <c r="G172" s="102" t="n"/>
      <c r="H172" s="105" t="n"/>
      <c r="J172" s="102" t="n"/>
      <c r="K172" s="106" t="n"/>
    </row>
    <row r="173">
      <c r="D173" s="102" t="n"/>
      <c r="E173" s="105" t="n"/>
      <c r="G173" s="102" t="n"/>
      <c r="H173" s="105" t="n"/>
      <c r="J173" s="102" t="n"/>
      <c r="K173" s="106" t="n"/>
    </row>
    <row r="174">
      <c r="D174" s="102" t="n"/>
      <c r="E174" s="105" t="n"/>
      <c r="G174" s="102" t="n"/>
      <c r="H174" s="105" t="n"/>
      <c r="J174" s="102" t="n"/>
      <c r="K174" s="106" t="n"/>
    </row>
    <row r="176">
      <c r="B176" s="2">
        <f>IF(HSI!$C$35="","",HSI!$C$35)</f>
        <v/>
      </c>
      <c r="C176" s="2">
        <f>IF(PULL_FUND="N","",IF(HSI!$C$35="","",HSI!$C$35))</f>
        <v/>
      </c>
      <c r="D176" s="104">
        <f>BDH($C176,NDE_FIELD,"-5AY","","Per=Y","cols=2;rows=5")</f>
        <v/>
      </c>
      <c r="E176" s="105" t="n"/>
      <c r="G176" s="104">
        <f>BQL($C176,BUYBACK_QUERY,$C$4,"fill=prev","showheaders=f","showids=f")</f>
        <v/>
      </c>
      <c r="H176" s="105" t="n"/>
      <c r="J176" s="104">
        <f>BDH($C176,"PX_LAST","-5AY","","Per=Y","cols=2;rows=5")</f>
        <v/>
      </c>
      <c r="K176" s="106" t="n"/>
    </row>
    <row r="177">
      <c r="D177" s="102" t="n"/>
      <c r="E177" s="105" t="n"/>
      <c r="G177" s="102" t="n"/>
      <c r="H177" s="105" t="n"/>
      <c r="J177" s="102" t="n"/>
      <c r="K177" s="106" t="n"/>
    </row>
    <row r="178">
      <c r="D178" s="102" t="n"/>
      <c r="E178" s="105" t="n"/>
      <c r="G178" s="102" t="n"/>
      <c r="H178" s="105" t="n"/>
      <c r="J178" s="102" t="n"/>
      <c r="K178" s="106" t="n"/>
    </row>
    <row r="179">
      <c r="D179" s="102" t="n"/>
      <c r="E179" s="105" t="n"/>
      <c r="G179" s="102" t="n"/>
      <c r="H179" s="105" t="n"/>
      <c r="J179" s="102" t="n"/>
      <c r="K179" s="106" t="n"/>
    </row>
    <row r="180">
      <c r="D180" s="102" t="n"/>
      <c r="E180" s="105" t="n"/>
      <c r="G180" s="102" t="n"/>
      <c r="H180" s="105" t="n"/>
      <c r="J180" s="102" t="n"/>
      <c r="K180" s="106" t="n"/>
    </row>
    <row r="182">
      <c r="B182" s="2">
        <f>IF(HSI!$C$36="","",HSI!$C$36)</f>
        <v/>
      </c>
      <c r="C182" s="2">
        <f>IF(PULL_FUND="N","",IF(HSI!$C$36="","",HSI!$C$36))</f>
        <v/>
      </c>
      <c r="D182" s="104">
        <f>BDH($C182,NDE_FIELD,"-5AY","","Per=Y","cols=2;rows=5")</f>
        <v/>
      </c>
      <c r="E182" s="105" t="n"/>
      <c r="G182" s="104">
        <f>BQL($C182,BUYBACK_QUERY,$C$4,"fill=prev","showheaders=f","showids=f")</f>
        <v/>
      </c>
      <c r="H182" s="105" t="n"/>
      <c r="J182" s="104">
        <f>BDH($C182,"PX_LAST","-5AY","","Per=Y","cols=2;rows=5")</f>
        <v/>
      </c>
      <c r="K182" s="106" t="n"/>
    </row>
    <row r="183">
      <c r="D183" s="102" t="n"/>
      <c r="E183" s="105" t="n"/>
      <c r="G183" s="102" t="n"/>
      <c r="H183" s="105" t="n"/>
      <c r="J183" s="102" t="n"/>
      <c r="K183" s="106" t="n"/>
    </row>
    <row r="184">
      <c r="D184" s="102" t="n"/>
      <c r="E184" s="105" t="n"/>
      <c r="G184" s="102" t="n"/>
      <c r="H184" s="105" t="n"/>
      <c r="J184" s="102" t="n"/>
      <c r="K184" s="106" t="n"/>
    </row>
    <row r="185">
      <c r="D185" s="102" t="n"/>
      <c r="E185" s="105" t="n"/>
      <c r="G185" s="102" t="n"/>
      <c r="H185" s="105" t="n"/>
      <c r="J185" s="102" t="n"/>
      <c r="K185" s="106" t="n"/>
    </row>
    <row r="186">
      <c r="D186" s="102" t="n"/>
      <c r="E186" s="105" t="n"/>
      <c r="G186" s="102" t="n"/>
      <c r="H186" s="105" t="n"/>
      <c r="J186" s="102" t="n"/>
      <c r="K186" s="106" t="n"/>
    </row>
    <row r="188">
      <c r="B188" s="2">
        <f>IF(HSI!$C$37="","",HSI!$C$37)</f>
        <v/>
      </c>
      <c r="C188" s="2">
        <f>IF(PULL_FUND="N","",IF(HSI!$C$37="","",HSI!$C$37))</f>
        <v/>
      </c>
      <c r="D188" s="104">
        <f>BDH($C188,NDE_FIELD,"-5AY","","Per=Y","cols=2;rows=5")</f>
        <v/>
      </c>
      <c r="E188" s="105" t="n"/>
      <c r="G188" s="104">
        <f>BQL($C188,BUYBACK_QUERY,$C$4,"fill=prev","showheaders=f","showids=f")</f>
        <v/>
      </c>
      <c r="H188" s="105" t="n"/>
      <c r="J188" s="104">
        <f>BDH($C188,"PX_LAST","-5AY","","Per=Y","cols=2;rows=5")</f>
        <v/>
      </c>
      <c r="K188" s="106" t="n"/>
    </row>
    <row r="189">
      <c r="D189" s="102" t="n"/>
      <c r="E189" s="105" t="n"/>
      <c r="G189" s="102" t="n"/>
      <c r="H189" s="105" t="n"/>
      <c r="J189" s="102" t="n"/>
      <c r="K189" s="106" t="n"/>
    </row>
    <row r="190">
      <c r="D190" s="102" t="n"/>
      <c r="E190" s="105" t="n"/>
      <c r="G190" s="102" t="n"/>
      <c r="H190" s="105" t="n"/>
      <c r="J190" s="102" t="n"/>
      <c r="K190" s="106" t="n"/>
    </row>
    <row r="191">
      <c r="D191" s="102" t="n"/>
      <c r="E191" s="105" t="n"/>
      <c r="G191" s="102" t="n"/>
      <c r="H191" s="105" t="n"/>
      <c r="J191" s="102" t="n"/>
      <c r="K191" s="106" t="n"/>
    </row>
    <row r="192">
      <c r="D192" s="102" t="n"/>
      <c r="E192" s="105" t="n"/>
      <c r="G192" s="102" t="n"/>
      <c r="H192" s="105" t="n"/>
      <c r="J192" s="102" t="n"/>
      <c r="K192" s="106" t="n"/>
    </row>
    <row r="194">
      <c r="B194" s="2">
        <f>IF(HSI!$C$38="","",HSI!$C$38)</f>
        <v/>
      </c>
      <c r="C194" s="2">
        <f>IF(PULL_FUND="N","",IF(HSI!$C$38="","",HSI!$C$38))</f>
        <v/>
      </c>
      <c r="D194" s="104">
        <f>BDH($C194,NDE_FIELD,"-5AY","","Per=Y","cols=2;rows=5")</f>
        <v/>
      </c>
      <c r="E194" s="105" t="n"/>
      <c r="G194" s="104">
        <f>BQL($C194,BUYBACK_QUERY,$C$4,"fill=prev","showheaders=f","showids=f")</f>
        <v/>
      </c>
      <c r="H194" s="105" t="n"/>
      <c r="J194" s="104">
        <f>BDH($C194,"PX_LAST","-5AY","","Per=Y","cols=2;rows=5")</f>
        <v/>
      </c>
      <c r="K194" s="106" t="n"/>
    </row>
    <row r="195">
      <c r="D195" s="102" t="n"/>
      <c r="E195" s="105" t="n"/>
      <c r="G195" s="102" t="n"/>
      <c r="H195" s="105" t="n"/>
      <c r="J195" s="102" t="n"/>
      <c r="K195" s="106" t="n"/>
    </row>
    <row r="196">
      <c r="D196" s="102" t="n"/>
      <c r="E196" s="105" t="n"/>
      <c r="G196" s="102" t="n"/>
      <c r="H196" s="105" t="n"/>
      <c r="J196" s="102" t="n"/>
      <c r="K196" s="106" t="n"/>
    </row>
    <row r="197">
      <c r="D197" s="102" t="n"/>
      <c r="E197" s="105" t="n"/>
      <c r="G197" s="102" t="n"/>
      <c r="H197" s="105" t="n"/>
      <c r="J197" s="102" t="n"/>
      <c r="K197" s="106" t="n"/>
    </row>
    <row r="198">
      <c r="D198" s="102" t="n"/>
      <c r="E198" s="105" t="n"/>
      <c r="G198" s="102" t="n"/>
      <c r="H198" s="105" t="n"/>
      <c r="J198" s="102" t="n"/>
      <c r="K198" s="106" t="n"/>
    </row>
    <row r="200">
      <c r="B200" s="2">
        <f>IF(HSI!$C$39="","",HSI!$C$39)</f>
        <v/>
      </c>
      <c r="C200" s="2">
        <f>IF(PULL_FUND="N","",IF(HSI!$C$39="","",HSI!$C$39))</f>
        <v/>
      </c>
      <c r="D200" s="104">
        <f>BDH($C200,NDE_FIELD,"-5AY","","Per=Y","cols=2;rows=5")</f>
        <v/>
      </c>
      <c r="E200" s="105" t="n"/>
      <c r="G200" s="104">
        <f>BQL($C200,BUYBACK_QUERY,$C$4,"fill=prev","showheaders=f","showids=f")</f>
        <v/>
      </c>
      <c r="H200" s="105" t="n"/>
      <c r="J200" s="104">
        <f>BDH($C200,"PX_LAST","-5AY","","Per=Y","cols=2;rows=5")</f>
        <v/>
      </c>
      <c r="K200" s="106" t="n"/>
    </row>
    <row r="201">
      <c r="D201" s="102" t="n"/>
      <c r="E201" s="105" t="n"/>
      <c r="G201" s="102" t="n"/>
      <c r="H201" s="105" t="n"/>
      <c r="J201" s="102" t="n"/>
      <c r="K201" s="106" t="n"/>
    </row>
    <row r="202">
      <c r="D202" s="102" t="n"/>
      <c r="E202" s="105" t="n"/>
      <c r="G202" s="102" t="n"/>
      <c r="H202" s="105" t="n"/>
      <c r="J202" s="102" t="n"/>
      <c r="K202" s="106" t="n"/>
    </row>
    <row r="203">
      <c r="D203" s="102" t="n"/>
      <c r="E203" s="105" t="n"/>
      <c r="G203" s="102" t="n"/>
      <c r="H203" s="105" t="n"/>
      <c r="J203" s="102" t="n"/>
      <c r="K203" s="106" t="n"/>
    </row>
    <row r="204">
      <c r="D204" s="102" t="n"/>
      <c r="E204" s="105" t="n"/>
      <c r="G204" s="102" t="n"/>
      <c r="H204" s="105" t="n"/>
      <c r="J204" s="102" t="n"/>
      <c r="K204" s="106" t="n"/>
    </row>
    <row r="206">
      <c r="B206" s="2">
        <f>IF(HSI!$C$40="","",HSI!$C$40)</f>
        <v/>
      </c>
      <c r="C206" s="2">
        <f>IF(PULL_FUND="N","",IF(HSI!$C$40="","",HSI!$C$40))</f>
        <v/>
      </c>
      <c r="D206" s="104">
        <f>BDH($C206,NDE_FIELD,"-5AY","","Per=Y","cols=2;rows=5")</f>
        <v/>
      </c>
      <c r="E206" s="105" t="n"/>
      <c r="G206" s="104">
        <f>BQL($C206,BUYBACK_QUERY,$C$4,"fill=prev","showheaders=f","showids=f")</f>
        <v/>
      </c>
      <c r="H206" s="105" t="n"/>
      <c r="J206" s="104">
        <f>BDH($C206,"PX_LAST","-5AY","","Per=Y","cols=2;rows=5")</f>
        <v/>
      </c>
      <c r="K206" s="106" t="n"/>
    </row>
    <row r="207">
      <c r="D207" s="102" t="n"/>
      <c r="E207" s="105" t="n"/>
      <c r="G207" s="102" t="n"/>
      <c r="H207" s="105" t="n"/>
      <c r="J207" s="102" t="n"/>
      <c r="K207" s="106" t="n"/>
    </row>
    <row r="208">
      <c r="D208" s="102" t="n"/>
      <c r="E208" s="105" t="n"/>
      <c r="G208" s="102" t="n"/>
      <c r="H208" s="105" t="n"/>
      <c r="J208" s="102" t="n"/>
      <c r="K208" s="106" t="n"/>
    </row>
    <row r="209">
      <c r="D209" s="102" t="n"/>
      <c r="E209" s="105" t="n"/>
      <c r="G209" s="102" t="n"/>
      <c r="H209" s="105" t="n"/>
      <c r="J209" s="102" t="n"/>
      <c r="K209" s="106" t="n"/>
    </row>
    <row r="210">
      <c r="D210" s="102" t="n"/>
      <c r="E210" s="105" t="n"/>
      <c r="G210" s="102" t="n"/>
      <c r="H210" s="105" t="n"/>
      <c r="J210" s="102" t="n"/>
      <c r="K210" s="106" t="n"/>
    </row>
    <row r="212">
      <c r="B212" s="2">
        <f>IF(HSI!$C$41="","",HSI!$C$41)</f>
        <v/>
      </c>
      <c r="C212" s="2">
        <f>IF(PULL_FUND="N","",IF(HSI!$C$41="","",HSI!$C$41))</f>
        <v/>
      </c>
      <c r="D212" s="104">
        <f>BDH($C212,NDE_FIELD,"-5AY","","Per=Y","cols=2;rows=5")</f>
        <v/>
      </c>
      <c r="E212" s="105" t="n"/>
      <c r="G212" s="104">
        <f>BQL($C212,BUYBACK_QUERY,$C$4,"fill=prev","showheaders=f","showids=f")</f>
        <v/>
      </c>
      <c r="H212" s="105" t="n"/>
      <c r="J212" s="104">
        <f>BDH($C212,"PX_LAST","-5AY","","Per=Y","cols=2;rows=5")</f>
        <v/>
      </c>
      <c r="K212" s="106" t="n"/>
    </row>
    <row r="213">
      <c r="D213" s="102" t="n"/>
      <c r="E213" s="105" t="n"/>
      <c r="G213" s="102" t="n"/>
      <c r="H213" s="105" t="n"/>
      <c r="J213" s="102" t="n"/>
      <c r="K213" s="106" t="n"/>
    </row>
    <row r="214">
      <c r="D214" s="102" t="n"/>
      <c r="E214" s="105" t="n"/>
      <c r="G214" s="102" t="n"/>
      <c r="H214" s="105" t="n"/>
      <c r="J214" s="102" t="n"/>
      <c r="K214" s="106" t="n"/>
    </row>
    <row r="215">
      <c r="D215" s="102" t="n"/>
      <c r="E215" s="105" t="n"/>
      <c r="G215" s="102" t="n"/>
      <c r="H215" s="105" t="n"/>
      <c r="J215" s="102" t="n"/>
      <c r="K215" s="106" t="n"/>
    </row>
    <row r="216">
      <c r="D216" s="102" t="n"/>
      <c r="E216" s="105" t="n"/>
      <c r="G216" s="102" t="n"/>
      <c r="H216" s="105" t="n"/>
      <c r="J216" s="102" t="n"/>
      <c r="K216" s="106" t="n"/>
    </row>
    <row r="218">
      <c r="B218" s="2">
        <f>IF(HSI!$C$42="","",HSI!$C$42)</f>
        <v/>
      </c>
      <c r="C218" s="2">
        <f>IF(PULL_FUND="N","",IF(HSI!$C$42="","",HSI!$C$42))</f>
        <v/>
      </c>
      <c r="D218" s="104">
        <f>BDH($C218,NDE_FIELD,"-5AY","","Per=Y","cols=2;rows=5")</f>
        <v/>
      </c>
      <c r="E218" s="105" t="n"/>
      <c r="G218" s="104">
        <f>BQL($C218,BUYBACK_QUERY,$C$4,"fill=prev","showheaders=f","showids=f")</f>
        <v/>
      </c>
      <c r="H218" s="105" t="n"/>
      <c r="J218" s="104">
        <f>BDH($C218,"PX_LAST","-5AY","","Per=Y","cols=2;rows=5")</f>
        <v/>
      </c>
      <c r="K218" s="106" t="n"/>
    </row>
    <row r="219">
      <c r="D219" s="102" t="n"/>
      <c r="E219" s="105" t="n"/>
      <c r="G219" s="102" t="n"/>
      <c r="H219" s="105" t="n"/>
      <c r="J219" s="102" t="n"/>
      <c r="K219" s="106" t="n"/>
    </row>
    <row r="220">
      <c r="D220" s="102" t="n"/>
      <c r="E220" s="105" t="n"/>
      <c r="G220" s="102" t="n"/>
      <c r="H220" s="105" t="n"/>
      <c r="J220" s="102" t="n"/>
      <c r="K220" s="106" t="n"/>
    </row>
    <row r="221">
      <c r="D221" s="102" t="n"/>
      <c r="E221" s="105" t="n"/>
      <c r="G221" s="102" t="n"/>
      <c r="H221" s="105" t="n"/>
      <c r="J221" s="102" t="n"/>
      <c r="K221" s="106" t="n"/>
    </row>
    <row r="222">
      <c r="D222" s="102" t="n"/>
      <c r="E222" s="105" t="n"/>
      <c r="G222" s="102" t="n"/>
      <c r="H222" s="105" t="n"/>
      <c r="J222" s="102" t="n"/>
      <c r="K222" s="106" t="n"/>
    </row>
    <row r="224">
      <c r="B224" s="2">
        <f>IF(HSI!$C$43="","",HSI!$C$43)</f>
        <v/>
      </c>
      <c r="C224" s="2">
        <f>IF(PULL_FUND="N","",IF(HSI!$C$43="","",HSI!$C$43))</f>
        <v/>
      </c>
      <c r="D224" s="104">
        <f>BDH($C224,NDE_FIELD,"-5AY","","Per=Y","cols=2;rows=5")</f>
        <v/>
      </c>
      <c r="E224" s="105" t="n"/>
      <c r="G224" s="104">
        <f>BQL($C224,BUYBACK_QUERY,$C$4,"fill=prev","showheaders=f","showids=f")</f>
        <v/>
      </c>
      <c r="H224" s="105" t="n"/>
      <c r="J224" s="104">
        <f>BDH($C224,"PX_LAST","-5AY","","Per=Y","cols=2;rows=5")</f>
        <v/>
      </c>
      <c r="K224" s="106" t="n"/>
    </row>
    <row r="225">
      <c r="D225" s="102" t="n"/>
      <c r="E225" s="105" t="n"/>
      <c r="G225" s="102" t="n"/>
      <c r="H225" s="105" t="n"/>
      <c r="J225" s="102" t="n"/>
      <c r="K225" s="106" t="n"/>
    </row>
    <row r="226">
      <c r="D226" s="102" t="n"/>
      <c r="E226" s="105" t="n"/>
      <c r="G226" s="102" t="n"/>
      <c r="H226" s="105" t="n"/>
      <c r="J226" s="102" t="n"/>
      <c r="K226" s="106" t="n"/>
    </row>
    <row r="227">
      <c r="D227" s="102" t="n"/>
      <c r="E227" s="105" t="n"/>
      <c r="G227" s="102" t="n"/>
      <c r="H227" s="105" t="n"/>
      <c r="J227" s="102" t="n"/>
      <c r="K227" s="106" t="n"/>
    </row>
    <row r="228">
      <c r="D228" s="102" t="n"/>
      <c r="E228" s="105" t="n"/>
      <c r="G228" s="102" t="n"/>
      <c r="H228" s="105" t="n"/>
      <c r="J228" s="102" t="n"/>
      <c r="K228" s="106" t="n"/>
    </row>
    <row r="230">
      <c r="B230" s="2">
        <f>IF(HSI!$C$44="","",HSI!$C$44)</f>
        <v/>
      </c>
      <c r="C230" s="2">
        <f>IF(PULL_FUND="N","",IF(HSI!$C$44="","",HSI!$C$44))</f>
        <v/>
      </c>
      <c r="D230" s="104">
        <f>BDH($C230,NDE_FIELD,"-5AY","","Per=Y","cols=2;rows=5")</f>
        <v/>
      </c>
      <c r="E230" s="105" t="n"/>
      <c r="G230" s="104">
        <f>BQL($C230,BUYBACK_QUERY,$C$4,"fill=prev","showheaders=f","showids=f")</f>
        <v/>
      </c>
      <c r="H230" s="105" t="n"/>
      <c r="J230" s="104">
        <f>BDH($C230,"PX_LAST","-5AY","","Per=Y","cols=2;rows=5")</f>
        <v/>
      </c>
      <c r="K230" s="106" t="n"/>
    </row>
    <row r="231">
      <c r="D231" s="102" t="n"/>
      <c r="E231" s="105" t="n"/>
      <c r="G231" s="102" t="n"/>
      <c r="H231" s="105" t="n"/>
      <c r="J231" s="102" t="n"/>
      <c r="K231" s="106" t="n"/>
    </row>
    <row r="232">
      <c r="D232" s="102" t="n"/>
      <c r="E232" s="105" t="n"/>
      <c r="G232" s="102" t="n"/>
      <c r="H232" s="105" t="n"/>
      <c r="J232" s="102" t="n"/>
      <c r="K232" s="106" t="n"/>
    </row>
    <row r="233">
      <c r="D233" s="102" t="n"/>
      <c r="E233" s="105" t="n"/>
      <c r="G233" s="102" t="n"/>
      <c r="H233" s="105" t="n"/>
      <c r="J233" s="102" t="n"/>
      <c r="K233" s="106" t="n"/>
    </row>
    <row r="234">
      <c r="D234" s="102" t="n"/>
      <c r="E234" s="105" t="n"/>
      <c r="G234" s="102" t="n"/>
      <c r="H234" s="105" t="n"/>
      <c r="J234" s="102" t="n"/>
      <c r="K234" s="106" t="n"/>
    </row>
    <row r="236">
      <c r="B236" s="2">
        <f>IF(HSI!$C$45="","",HSI!$C$45)</f>
        <v/>
      </c>
      <c r="C236" s="2">
        <f>IF(PULL_FUND="N","",IF(HSI!$C$45="","",HSI!$C$45))</f>
        <v/>
      </c>
      <c r="D236" s="104">
        <f>BDH($C236,NDE_FIELD,"-5AY","","Per=Y","cols=2;rows=5")</f>
        <v/>
      </c>
      <c r="E236" s="105" t="n"/>
      <c r="G236" s="104">
        <f>BQL($C236,BUYBACK_QUERY,$C$4,"fill=prev","showheaders=f","showids=f")</f>
        <v/>
      </c>
      <c r="H236" s="105" t="n"/>
      <c r="J236" s="104">
        <f>BDH($C236,"PX_LAST","-5AY","","Per=Y","cols=2;rows=5")</f>
        <v/>
      </c>
      <c r="K236" s="106" t="n"/>
    </row>
    <row r="237">
      <c r="D237" s="102" t="n"/>
      <c r="E237" s="105" t="n"/>
      <c r="G237" s="102" t="n"/>
      <c r="H237" s="105" t="n"/>
      <c r="J237" s="102" t="n"/>
      <c r="K237" s="106" t="n"/>
    </row>
    <row r="238">
      <c r="D238" s="102" t="n"/>
      <c r="E238" s="105" t="n"/>
      <c r="G238" s="102" t="n"/>
      <c r="H238" s="105" t="n"/>
      <c r="J238" s="102" t="n"/>
      <c r="K238" s="106" t="n"/>
    </row>
    <row r="239">
      <c r="D239" s="102" t="n"/>
      <c r="E239" s="105" t="n"/>
      <c r="G239" s="102" t="n"/>
      <c r="H239" s="105" t="n"/>
      <c r="J239" s="102" t="n"/>
      <c r="K239" s="106" t="n"/>
    </row>
    <row r="240">
      <c r="D240" s="102" t="n"/>
      <c r="E240" s="105" t="n"/>
      <c r="G240" s="102" t="n"/>
      <c r="H240" s="105" t="n"/>
      <c r="J240" s="102" t="n"/>
      <c r="K240" s="106" t="n"/>
    </row>
    <row r="242">
      <c r="B242" s="2">
        <f>IF(HSI!$C$46="","",HSI!$C$46)</f>
        <v/>
      </c>
      <c r="C242" s="2">
        <f>IF(PULL_FUND="N","",IF(HSI!$C$46="","",HSI!$C$46))</f>
        <v/>
      </c>
      <c r="D242" s="104">
        <f>BDH($C242,NDE_FIELD,"-5AY","","Per=Y","cols=2;rows=5")</f>
        <v/>
      </c>
      <c r="E242" s="105" t="n"/>
      <c r="G242" s="104">
        <f>BQL($C242,BUYBACK_QUERY,$C$4,"fill=prev","showheaders=f","showids=f")</f>
        <v/>
      </c>
      <c r="H242" s="105" t="n"/>
      <c r="J242" s="104">
        <f>BDH($C242,"PX_LAST","-5AY","","Per=Y","cols=2;rows=5")</f>
        <v/>
      </c>
      <c r="K242" s="106" t="n"/>
    </row>
    <row r="243">
      <c r="D243" s="102" t="n"/>
      <c r="E243" s="105" t="n"/>
      <c r="G243" s="102" t="n"/>
      <c r="H243" s="105" t="n"/>
      <c r="J243" s="102" t="n"/>
      <c r="K243" s="106" t="n"/>
    </row>
    <row r="244">
      <c r="D244" s="102" t="n"/>
      <c r="E244" s="105" t="n"/>
      <c r="G244" s="102" t="n"/>
      <c r="H244" s="105" t="n"/>
      <c r="J244" s="102" t="n"/>
      <c r="K244" s="106" t="n"/>
    </row>
    <row r="245">
      <c r="D245" s="102" t="n"/>
      <c r="E245" s="105" t="n"/>
      <c r="G245" s="102" t="n"/>
      <c r="H245" s="105" t="n"/>
      <c r="J245" s="102" t="n"/>
      <c r="K245" s="106" t="n"/>
    </row>
    <row r="246">
      <c r="D246" s="102" t="n"/>
      <c r="E246" s="105" t="n"/>
      <c r="G246" s="102" t="n"/>
      <c r="H246" s="105" t="n"/>
      <c r="J246" s="102" t="n"/>
      <c r="K246" s="106" t="n"/>
    </row>
    <row r="248">
      <c r="B248" s="2">
        <f>IF(HSI!$C$47="","",HSI!$C$47)</f>
        <v/>
      </c>
      <c r="C248" s="2">
        <f>IF(PULL_FUND="N","",IF(HSI!$C$47="","",HSI!$C$47))</f>
        <v/>
      </c>
      <c r="D248" s="104">
        <f>BDH($C248,NDE_FIELD,"-5AY","","Per=Y","cols=2;rows=5")</f>
        <v/>
      </c>
      <c r="E248" s="105" t="n"/>
      <c r="G248" s="104">
        <f>BQL($C248,BUYBACK_QUERY,$C$4,"fill=prev","showheaders=f","showids=f")</f>
        <v/>
      </c>
      <c r="H248" s="105" t="n"/>
      <c r="J248" s="104">
        <f>BDH($C248,"PX_LAST","-5AY","","Per=Y","cols=2;rows=5")</f>
        <v/>
      </c>
      <c r="K248" s="106" t="n"/>
    </row>
    <row r="249">
      <c r="D249" s="102" t="n"/>
      <c r="E249" s="105" t="n"/>
      <c r="G249" s="102" t="n"/>
      <c r="H249" s="105" t="n"/>
      <c r="J249" s="102" t="n"/>
      <c r="K249" s="106" t="n"/>
    </row>
    <row r="250">
      <c r="D250" s="102" t="n"/>
      <c r="E250" s="105" t="n"/>
      <c r="G250" s="102" t="n"/>
      <c r="H250" s="105" t="n"/>
      <c r="J250" s="102" t="n"/>
      <c r="K250" s="106" t="n"/>
    </row>
    <row r="251">
      <c r="D251" s="102" t="n"/>
      <c r="E251" s="105" t="n"/>
      <c r="G251" s="102" t="n"/>
      <c r="H251" s="105" t="n"/>
      <c r="J251" s="102" t="n"/>
      <c r="K251" s="106" t="n"/>
    </row>
    <row r="252">
      <c r="D252" s="102" t="n"/>
      <c r="E252" s="105" t="n"/>
      <c r="G252" s="102" t="n"/>
      <c r="H252" s="105" t="n"/>
      <c r="J252" s="102" t="n"/>
      <c r="K252" s="106" t="n"/>
    </row>
    <row r="254">
      <c r="B254" s="2">
        <f>IF(HSI!$C$48="","",HSI!$C$48)</f>
        <v/>
      </c>
      <c r="C254" s="2">
        <f>IF(PULL_FUND="N","",IF(HSI!$C$48="","",HSI!$C$48))</f>
        <v/>
      </c>
      <c r="D254" s="104">
        <f>BDH($C254,NDE_FIELD,"-5AY","","Per=Y","cols=2;rows=5")</f>
        <v/>
      </c>
      <c r="E254" s="105" t="n"/>
      <c r="G254" s="104">
        <f>BQL($C254,BUYBACK_QUERY,$C$4,"fill=prev","showheaders=f","showids=f")</f>
        <v/>
      </c>
      <c r="H254" s="105" t="n"/>
      <c r="J254" s="104">
        <f>BDH($C254,"PX_LAST","-5AY","","Per=Y","cols=2;rows=5")</f>
        <v/>
      </c>
      <c r="K254" s="106" t="n"/>
    </row>
    <row r="255">
      <c r="D255" s="102" t="n"/>
      <c r="E255" s="105" t="n"/>
      <c r="G255" s="102" t="n"/>
      <c r="H255" s="105" t="n"/>
      <c r="J255" s="102" t="n"/>
      <c r="K255" s="106" t="n"/>
    </row>
    <row r="256">
      <c r="D256" s="102" t="n"/>
      <c r="E256" s="105" t="n"/>
      <c r="G256" s="102" t="n"/>
      <c r="H256" s="105" t="n"/>
      <c r="J256" s="102" t="n"/>
      <c r="K256" s="106" t="n"/>
    </row>
    <row r="257">
      <c r="D257" s="102" t="n"/>
      <c r="E257" s="105" t="n"/>
      <c r="G257" s="102" t="n"/>
      <c r="H257" s="105" t="n"/>
      <c r="J257" s="102" t="n"/>
      <c r="K257" s="106" t="n"/>
    </row>
    <row r="258">
      <c r="D258" s="102" t="n"/>
      <c r="E258" s="105" t="n"/>
      <c r="G258" s="102" t="n"/>
      <c r="H258" s="105" t="n"/>
      <c r="J258" s="102" t="n"/>
      <c r="K258" s="106" t="n"/>
    </row>
    <row r="260">
      <c r="B260" s="2">
        <f>IF(HSI!$C$49="","",HSI!$C$49)</f>
        <v/>
      </c>
      <c r="C260" s="2">
        <f>IF(PULL_FUND="N","",IF(HSI!$C$49="","",HSI!$C$49))</f>
        <v/>
      </c>
      <c r="D260" s="104">
        <f>BDH($C260,NDE_FIELD,"-5AY","","Per=Y","cols=2;rows=5")</f>
        <v/>
      </c>
      <c r="E260" s="105" t="n"/>
      <c r="G260" s="104">
        <f>BQL($C260,BUYBACK_QUERY,$C$4,"fill=prev","showheaders=f","showids=f")</f>
        <v/>
      </c>
      <c r="H260" s="105" t="n"/>
      <c r="J260" s="104">
        <f>BDH($C260,"PX_LAST","-5AY","","Per=Y","cols=2;rows=5")</f>
        <v/>
      </c>
      <c r="K260" s="106" t="n"/>
    </row>
    <row r="261">
      <c r="D261" s="102" t="n"/>
      <c r="E261" s="105" t="n"/>
      <c r="G261" s="102" t="n"/>
      <c r="H261" s="105" t="n"/>
      <c r="J261" s="102" t="n"/>
      <c r="K261" s="106" t="n"/>
    </row>
    <row r="262">
      <c r="D262" s="102" t="n"/>
      <c r="E262" s="105" t="n"/>
      <c r="G262" s="102" t="n"/>
      <c r="H262" s="105" t="n"/>
      <c r="J262" s="102" t="n"/>
      <c r="K262" s="106" t="n"/>
    </row>
    <row r="263">
      <c r="D263" s="102" t="n"/>
      <c r="E263" s="105" t="n"/>
      <c r="G263" s="102" t="n"/>
      <c r="H263" s="105" t="n"/>
      <c r="J263" s="102" t="n"/>
      <c r="K263" s="106" t="n"/>
    </row>
    <row r="264">
      <c r="D264" s="102" t="n"/>
      <c r="E264" s="105" t="n"/>
      <c r="G264" s="102" t="n"/>
      <c r="H264" s="105" t="n"/>
      <c r="J264" s="102" t="n"/>
      <c r="K264" s="106" t="n"/>
    </row>
    <row r="266">
      <c r="B266" s="2">
        <f>IF(HSI!$C$50="","",HSI!$C$50)</f>
        <v/>
      </c>
      <c r="C266" s="2">
        <f>IF(PULL_FUND="N","",IF(HSI!$C$50="","",HSI!$C$50))</f>
        <v/>
      </c>
      <c r="D266" s="104">
        <f>BDH($C266,NDE_FIELD,"-5AY","","Per=Y","cols=2;rows=5")</f>
        <v/>
      </c>
      <c r="E266" s="105" t="n"/>
      <c r="G266" s="104">
        <f>BQL($C266,BUYBACK_QUERY,$C$4,"fill=prev","showheaders=f","showids=f")</f>
        <v/>
      </c>
      <c r="H266" s="105" t="n"/>
      <c r="J266" s="104">
        <f>BDH($C266,"PX_LAST","-5AY","","Per=Y","cols=2;rows=5")</f>
        <v/>
      </c>
      <c r="K266" s="106" t="n"/>
    </row>
    <row r="267">
      <c r="D267" s="102" t="n"/>
      <c r="E267" s="105" t="n"/>
      <c r="G267" s="102" t="n"/>
      <c r="H267" s="105" t="n"/>
      <c r="J267" s="102" t="n"/>
      <c r="K267" s="106" t="n"/>
    </row>
    <row r="268">
      <c r="D268" s="102" t="n"/>
      <c r="E268" s="105" t="n"/>
      <c r="G268" s="102" t="n"/>
      <c r="H268" s="105" t="n"/>
      <c r="J268" s="102" t="n"/>
      <c r="K268" s="106" t="n"/>
    </row>
    <row r="269">
      <c r="D269" s="102" t="n"/>
      <c r="E269" s="105" t="n"/>
      <c r="G269" s="102" t="n"/>
      <c r="H269" s="105" t="n"/>
      <c r="J269" s="102" t="n"/>
      <c r="K269" s="106" t="n"/>
    </row>
    <row r="270">
      <c r="D270" s="102" t="n"/>
      <c r="E270" s="105" t="n"/>
      <c r="G270" s="102" t="n"/>
      <c r="H270" s="105" t="n"/>
      <c r="J270" s="102" t="n"/>
      <c r="K270" s="106" t="n"/>
    </row>
    <row r="272">
      <c r="B272" s="2">
        <f>IF(HSI!$C$51="","",HSI!$C$51)</f>
        <v/>
      </c>
      <c r="C272" s="2">
        <f>IF(PULL_FUND="N","",IF(HSI!$C$51="","",HSI!$C$51))</f>
        <v/>
      </c>
      <c r="D272" s="104">
        <f>BDH($C272,NDE_FIELD,"-5AY","","Per=Y","cols=2;rows=5")</f>
        <v/>
      </c>
      <c r="E272" s="105" t="n"/>
      <c r="G272" s="104">
        <f>BQL($C272,BUYBACK_QUERY,$C$4,"fill=prev","showheaders=f","showids=f")</f>
        <v/>
      </c>
      <c r="H272" s="105" t="n"/>
      <c r="J272" s="104">
        <f>BDH($C272,"PX_LAST","-5AY","","Per=Y","cols=2;rows=5")</f>
        <v/>
      </c>
      <c r="K272" s="106" t="n"/>
    </row>
    <row r="273">
      <c r="D273" s="102" t="n"/>
      <c r="E273" s="105" t="n"/>
      <c r="G273" s="102" t="n"/>
      <c r="H273" s="105" t="n"/>
      <c r="J273" s="102" t="n"/>
      <c r="K273" s="106" t="n"/>
    </row>
    <row r="274">
      <c r="D274" s="102" t="n"/>
      <c r="E274" s="105" t="n"/>
      <c r="G274" s="102" t="n"/>
      <c r="H274" s="105" t="n"/>
      <c r="J274" s="102" t="n"/>
      <c r="K274" s="106" t="n"/>
    </row>
    <row r="275">
      <c r="D275" s="102" t="n"/>
      <c r="E275" s="105" t="n"/>
      <c r="G275" s="102" t="n"/>
      <c r="H275" s="105" t="n"/>
      <c r="J275" s="102" t="n"/>
      <c r="K275" s="106" t="n"/>
    </row>
    <row r="276">
      <c r="D276" s="102" t="n"/>
      <c r="E276" s="105" t="n"/>
      <c r="G276" s="102" t="n"/>
      <c r="H276" s="105" t="n"/>
      <c r="J276" s="102" t="n"/>
      <c r="K276" s="106" t="n"/>
    </row>
    <row r="278">
      <c r="B278" s="2">
        <f>IF(HSI!$C$52="","",HSI!$C$52)</f>
        <v/>
      </c>
      <c r="C278" s="2">
        <f>IF(PULL_FUND="N","",IF(HSI!$C$52="","",HSI!$C$52))</f>
        <v/>
      </c>
      <c r="D278" s="104">
        <f>BDH($C278,NDE_FIELD,"-5AY","","Per=Y","cols=2;rows=5")</f>
        <v/>
      </c>
      <c r="E278" s="105" t="n"/>
      <c r="G278" s="104">
        <f>BQL($C278,BUYBACK_QUERY,$C$4,"fill=prev","showheaders=f","showids=f")</f>
        <v/>
      </c>
      <c r="H278" s="105" t="n"/>
      <c r="J278" s="104">
        <f>BDH($C278,"PX_LAST","-5AY","","Per=Y","cols=2;rows=5")</f>
        <v/>
      </c>
      <c r="K278" s="106" t="n"/>
    </row>
    <row r="279">
      <c r="D279" s="102" t="n"/>
      <c r="E279" s="105" t="n"/>
      <c r="G279" s="102" t="n"/>
      <c r="H279" s="105" t="n"/>
      <c r="J279" s="102" t="n"/>
      <c r="K279" s="106" t="n"/>
    </row>
    <row r="280">
      <c r="D280" s="102" t="n"/>
      <c r="E280" s="105" t="n"/>
      <c r="G280" s="102" t="n"/>
      <c r="H280" s="105" t="n"/>
      <c r="J280" s="102" t="n"/>
      <c r="K280" s="106" t="n"/>
    </row>
    <row r="281">
      <c r="D281" s="102" t="n"/>
      <c r="E281" s="105" t="n"/>
      <c r="G281" s="102" t="n"/>
      <c r="H281" s="105" t="n"/>
      <c r="J281" s="102" t="n"/>
      <c r="K281" s="106" t="n"/>
    </row>
    <row r="282">
      <c r="D282" s="102" t="n"/>
      <c r="E282" s="105" t="n"/>
      <c r="G282" s="102" t="n"/>
      <c r="H282" s="105" t="n"/>
      <c r="J282" s="102" t="n"/>
      <c r="K282" s="106" t="n"/>
    </row>
    <row r="284">
      <c r="B284" s="2">
        <f>IF(HSI!$C$53="","",HSI!$C$53)</f>
        <v/>
      </c>
      <c r="C284" s="2">
        <f>IF(PULL_FUND="N","",IF(HSI!$C$53="","",HSI!$C$53))</f>
        <v/>
      </c>
      <c r="D284" s="104">
        <f>BDH($C284,NDE_FIELD,"-5AY","","Per=Y","cols=2;rows=5")</f>
        <v/>
      </c>
      <c r="E284" s="105" t="n"/>
      <c r="G284" s="104">
        <f>BQL($C284,BUYBACK_QUERY,$C$4,"fill=prev","showheaders=f","showids=f")</f>
        <v/>
      </c>
      <c r="H284" s="105" t="n"/>
      <c r="J284" s="104">
        <f>BDH($C284,"PX_LAST","-5AY","","Per=Y","cols=2;rows=5")</f>
        <v/>
      </c>
      <c r="K284" s="106" t="n"/>
    </row>
    <row r="285">
      <c r="D285" s="102" t="n"/>
      <c r="E285" s="105" t="n"/>
      <c r="G285" s="102" t="n"/>
      <c r="H285" s="105" t="n"/>
      <c r="J285" s="102" t="n"/>
      <c r="K285" s="106" t="n"/>
    </row>
    <row r="286">
      <c r="D286" s="102" t="n"/>
      <c r="E286" s="105" t="n"/>
      <c r="G286" s="102" t="n"/>
      <c r="H286" s="105" t="n"/>
      <c r="J286" s="102" t="n"/>
      <c r="K286" s="106" t="n"/>
    </row>
    <row r="287">
      <c r="D287" s="102" t="n"/>
      <c r="E287" s="105" t="n"/>
      <c r="G287" s="102" t="n"/>
      <c r="H287" s="105" t="n"/>
      <c r="J287" s="102" t="n"/>
      <c r="K287" s="106" t="n"/>
    </row>
    <row r="288">
      <c r="D288" s="102" t="n"/>
      <c r="E288" s="105" t="n"/>
      <c r="G288" s="102" t="n"/>
      <c r="H288" s="105" t="n"/>
      <c r="J288" s="102" t="n"/>
      <c r="K288" s="106" t="n"/>
    </row>
    <row r="290">
      <c r="B290" s="2">
        <f>IF(HSI!$C$54="","",HSI!$C$54)</f>
        <v/>
      </c>
      <c r="C290" s="2">
        <f>IF(PULL_FUND="N","",IF(HSI!$C$54="","",HSI!$C$54))</f>
        <v/>
      </c>
      <c r="D290" s="104">
        <f>BDH($C290,NDE_FIELD,"-5AY","","Per=Y","cols=2;rows=5")</f>
        <v/>
      </c>
      <c r="E290" s="105" t="n"/>
      <c r="G290" s="104">
        <f>BQL($C290,BUYBACK_QUERY,$C$4,"fill=prev","showheaders=f","showids=f")</f>
        <v/>
      </c>
      <c r="H290" s="105" t="n"/>
      <c r="J290" s="104">
        <f>BDH($C290,"PX_LAST","-5AY","","Per=Y","cols=2;rows=5")</f>
        <v/>
      </c>
      <c r="K290" s="106" t="n"/>
    </row>
    <row r="291">
      <c r="D291" s="102" t="n"/>
      <c r="E291" s="105" t="n"/>
      <c r="G291" s="102" t="n"/>
      <c r="H291" s="105" t="n"/>
      <c r="J291" s="102" t="n"/>
      <c r="K291" s="106" t="n"/>
    </row>
    <row r="292">
      <c r="D292" s="102" t="n"/>
      <c r="E292" s="105" t="n"/>
      <c r="G292" s="102" t="n"/>
      <c r="H292" s="105" t="n"/>
      <c r="J292" s="102" t="n"/>
      <c r="K292" s="106" t="n"/>
    </row>
    <row r="293">
      <c r="D293" s="102" t="n"/>
      <c r="E293" s="105" t="n"/>
      <c r="G293" s="102" t="n"/>
      <c r="H293" s="105" t="n"/>
      <c r="J293" s="102" t="n"/>
      <c r="K293" s="106" t="n"/>
    </row>
    <row r="294">
      <c r="D294" s="102" t="n"/>
      <c r="E294" s="105" t="n"/>
      <c r="G294" s="102" t="n"/>
      <c r="H294" s="105" t="n"/>
      <c r="J294" s="102" t="n"/>
      <c r="K294" s="106" t="n"/>
    </row>
    <row r="296">
      <c r="B296" s="2">
        <f>IF(HSI!$C$55="","",HSI!$C$55)</f>
        <v/>
      </c>
      <c r="C296" s="2">
        <f>IF(PULL_FUND="N","",IF(HSI!$C$55="","",HSI!$C$55))</f>
        <v/>
      </c>
      <c r="D296" s="104">
        <f>BDH($C296,NDE_FIELD,"-5AY","","Per=Y","cols=2;rows=5")</f>
        <v/>
      </c>
      <c r="E296" s="105" t="n"/>
      <c r="G296" s="104">
        <f>BQL($C296,BUYBACK_QUERY,$C$4,"fill=prev","showheaders=f","showids=f")</f>
        <v/>
      </c>
      <c r="H296" s="105" t="n"/>
      <c r="J296" s="104">
        <f>BDH($C296,"PX_LAST","-5AY","","Per=Y","cols=2;rows=5")</f>
        <v/>
      </c>
      <c r="K296" s="106" t="n"/>
    </row>
    <row r="297">
      <c r="D297" s="102" t="n"/>
      <c r="E297" s="105" t="n"/>
      <c r="G297" s="102" t="n"/>
      <c r="H297" s="105" t="n"/>
      <c r="J297" s="102" t="n"/>
      <c r="K297" s="106" t="n"/>
    </row>
    <row r="298">
      <c r="D298" s="102" t="n"/>
      <c r="E298" s="105" t="n"/>
      <c r="G298" s="102" t="n"/>
      <c r="H298" s="105" t="n"/>
      <c r="J298" s="102" t="n"/>
      <c r="K298" s="106" t="n"/>
    </row>
    <row r="299">
      <c r="D299" s="102" t="n"/>
      <c r="E299" s="105" t="n"/>
      <c r="G299" s="102" t="n"/>
      <c r="H299" s="105" t="n"/>
      <c r="J299" s="102" t="n"/>
      <c r="K299" s="106" t="n"/>
    </row>
    <row r="300">
      <c r="D300" s="102" t="n"/>
      <c r="E300" s="105" t="n"/>
      <c r="G300" s="102" t="n"/>
      <c r="H300" s="105" t="n"/>
      <c r="J300" s="102" t="n"/>
      <c r="K300" s="106" t="n"/>
    </row>
    <row r="302">
      <c r="B302" s="2">
        <f>IF(HSI!$C$56="","",HSI!$C$56)</f>
        <v/>
      </c>
      <c r="C302" s="2">
        <f>IF(PULL_FUND="N","",IF(HSI!$C$56="","",HSI!$C$56))</f>
        <v/>
      </c>
      <c r="D302" s="104">
        <f>BDH($C302,NDE_FIELD,"-5AY","","Per=Y","cols=2;rows=5")</f>
        <v/>
      </c>
      <c r="E302" s="105" t="n"/>
      <c r="G302" s="104">
        <f>BQL($C302,BUYBACK_QUERY,$C$4,"fill=prev","showheaders=f","showids=f")</f>
        <v/>
      </c>
      <c r="H302" s="105" t="n"/>
      <c r="J302" s="104">
        <f>BDH($C302,"PX_LAST","-5AY","","Per=Y","cols=2;rows=5")</f>
        <v/>
      </c>
      <c r="K302" s="106" t="n"/>
    </row>
    <row r="303">
      <c r="D303" s="102" t="n"/>
      <c r="E303" s="105" t="n"/>
      <c r="G303" s="102" t="n"/>
      <c r="H303" s="105" t="n"/>
      <c r="J303" s="102" t="n"/>
      <c r="K303" s="106" t="n"/>
    </row>
    <row r="304">
      <c r="D304" s="102" t="n"/>
      <c r="E304" s="105" t="n"/>
      <c r="G304" s="102" t="n"/>
      <c r="H304" s="105" t="n"/>
      <c r="J304" s="102" t="n"/>
      <c r="K304" s="106" t="n"/>
    </row>
    <row r="305">
      <c r="D305" s="102" t="n"/>
      <c r="E305" s="105" t="n"/>
      <c r="G305" s="102" t="n"/>
      <c r="H305" s="105" t="n"/>
      <c r="J305" s="102" t="n"/>
      <c r="K305" s="106" t="n"/>
    </row>
    <row r="306">
      <c r="D306" s="102" t="n"/>
      <c r="E306" s="105" t="n"/>
      <c r="G306" s="102" t="n"/>
      <c r="H306" s="105" t="n"/>
      <c r="J306" s="102" t="n"/>
      <c r="K306" s="106" t="n"/>
    </row>
    <row r="308">
      <c r="B308" s="2">
        <f>IF(HSI!$C$57="","",HSI!$C$57)</f>
        <v/>
      </c>
      <c r="C308" s="2">
        <f>IF(PULL_FUND="N","",IF(HSI!$C$57="","",HSI!$C$57))</f>
        <v/>
      </c>
      <c r="D308" s="104">
        <f>BDH($C308,NDE_FIELD,"-5AY","","Per=Y","cols=2;rows=5")</f>
        <v/>
      </c>
      <c r="E308" s="105" t="n"/>
      <c r="G308" s="104">
        <f>BQL($C308,BUYBACK_QUERY,$C$4,"fill=prev","showheaders=f","showids=f")</f>
        <v/>
      </c>
      <c r="H308" s="105" t="n"/>
      <c r="J308" s="104">
        <f>BDH($C308,"PX_LAST","-5AY","","Per=Y","cols=2;rows=5")</f>
        <v/>
      </c>
      <c r="K308" s="106" t="n"/>
    </row>
    <row r="309">
      <c r="D309" s="102" t="n"/>
      <c r="E309" s="105" t="n"/>
      <c r="G309" s="102" t="n"/>
      <c r="H309" s="105" t="n"/>
      <c r="J309" s="102" t="n"/>
      <c r="K309" s="106" t="n"/>
    </row>
    <row r="310">
      <c r="D310" s="102" t="n"/>
      <c r="E310" s="105" t="n"/>
      <c r="G310" s="102" t="n"/>
      <c r="H310" s="105" t="n"/>
      <c r="J310" s="102" t="n"/>
      <c r="K310" s="106" t="n"/>
    </row>
    <row r="311">
      <c r="D311" s="102" t="n"/>
      <c r="E311" s="105" t="n"/>
      <c r="G311" s="102" t="n"/>
      <c r="H311" s="105" t="n"/>
      <c r="J311" s="102" t="n"/>
      <c r="K311" s="106" t="n"/>
    </row>
    <row r="312">
      <c r="D312" s="102" t="n"/>
      <c r="E312" s="105" t="n"/>
      <c r="G312" s="102" t="n"/>
      <c r="H312" s="105" t="n"/>
      <c r="J312" s="102" t="n"/>
      <c r="K312" s="106" t="n"/>
    </row>
    <row r="314">
      <c r="B314" s="2">
        <f>IF(HSI!$C$58="","",HSI!$C$58)</f>
        <v/>
      </c>
      <c r="C314" s="2">
        <f>IF(PULL_FUND="N","",IF(HSI!$C$58="","",HSI!$C$58))</f>
        <v/>
      </c>
      <c r="D314" s="104">
        <f>BDH($C314,NDE_FIELD,"-5AY","","Per=Y","cols=2;rows=5")</f>
        <v/>
      </c>
      <c r="E314" s="105" t="n"/>
      <c r="G314" s="104">
        <f>BQL($C314,BUYBACK_QUERY,$C$4,"fill=prev","showheaders=f","showids=f")</f>
        <v/>
      </c>
      <c r="H314" s="105" t="n"/>
      <c r="J314" s="104">
        <f>BDH($C314,"PX_LAST","-5AY","","Per=Y","cols=2;rows=5")</f>
        <v/>
      </c>
      <c r="K314" s="106" t="n"/>
    </row>
    <row r="315">
      <c r="D315" s="102" t="n"/>
      <c r="E315" s="105" t="n"/>
      <c r="G315" s="102" t="n"/>
      <c r="H315" s="105" t="n"/>
      <c r="J315" s="102" t="n"/>
      <c r="K315" s="106" t="n"/>
    </row>
    <row r="316">
      <c r="D316" s="102" t="n"/>
      <c r="E316" s="105" t="n"/>
      <c r="G316" s="102" t="n"/>
      <c r="H316" s="105" t="n"/>
      <c r="J316" s="102" t="n"/>
      <c r="K316" s="106" t="n"/>
    </row>
    <row r="317">
      <c r="D317" s="102" t="n"/>
      <c r="E317" s="105" t="n"/>
      <c r="G317" s="102" t="n"/>
      <c r="H317" s="105" t="n"/>
      <c r="J317" s="102" t="n"/>
      <c r="K317" s="106" t="n"/>
    </row>
    <row r="318">
      <c r="D318" s="102" t="n"/>
      <c r="E318" s="105" t="n"/>
      <c r="G318" s="102" t="n"/>
      <c r="H318" s="105" t="n"/>
      <c r="J318" s="102" t="n"/>
      <c r="K318" s="106" t="n"/>
    </row>
    <row r="320">
      <c r="B320" s="2">
        <f>IF(HSI!$C$59="","",HSI!$C$59)</f>
        <v/>
      </c>
      <c r="C320" s="2">
        <f>IF(PULL_FUND="N","",IF(HSI!$C$59="","",HSI!$C$59))</f>
        <v/>
      </c>
      <c r="D320" s="104">
        <f>BDH($C320,NDE_FIELD,"-5AY","","Per=Y","cols=2;rows=5")</f>
        <v/>
      </c>
      <c r="E320" s="105" t="n"/>
      <c r="G320" s="104">
        <f>BQL($C320,BUYBACK_QUERY,$C$4,"fill=prev","showheaders=f","showids=f")</f>
        <v/>
      </c>
      <c r="H320" s="105" t="n"/>
      <c r="J320" s="104">
        <f>BDH($C320,"PX_LAST","-5AY","","Per=Y","cols=2;rows=5")</f>
        <v/>
      </c>
      <c r="K320" s="106" t="n"/>
    </row>
    <row r="321">
      <c r="D321" s="102" t="n"/>
      <c r="E321" s="105" t="n"/>
      <c r="G321" s="102" t="n"/>
      <c r="H321" s="105" t="n"/>
      <c r="J321" s="102" t="n"/>
      <c r="K321" s="106" t="n"/>
    </row>
    <row r="322">
      <c r="D322" s="102" t="n"/>
      <c r="E322" s="105" t="n"/>
      <c r="G322" s="102" t="n"/>
      <c r="H322" s="105" t="n"/>
      <c r="J322" s="102" t="n"/>
      <c r="K322" s="106" t="n"/>
    </row>
    <row r="323">
      <c r="D323" s="102" t="n"/>
      <c r="E323" s="105" t="n"/>
      <c r="G323" s="102" t="n"/>
      <c r="H323" s="105" t="n"/>
      <c r="J323" s="102" t="n"/>
      <c r="K323" s="106" t="n"/>
    </row>
    <row r="324">
      <c r="D324" s="102" t="n"/>
      <c r="E324" s="105" t="n"/>
      <c r="G324" s="102" t="n"/>
      <c r="H324" s="105" t="n"/>
      <c r="J324" s="102" t="n"/>
      <c r="K324" s="106" t="n"/>
    </row>
    <row r="326">
      <c r="B326" s="2">
        <f>IF(HSI!$C$60="","",HSI!$C$60)</f>
        <v/>
      </c>
      <c r="C326" s="2">
        <f>IF(PULL_FUND="N","",IF(HSI!$C$60="","",HSI!$C$60))</f>
        <v/>
      </c>
      <c r="D326" s="104">
        <f>BDH($C326,NDE_FIELD,"-5AY","","Per=Y","cols=2;rows=5")</f>
        <v/>
      </c>
      <c r="E326" s="105" t="n"/>
      <c r="G326" s="104">
        <f>BQL($C326,BUYBACK_QUERY,$C$4,"fill=prev","showheaders=f","showids=f")</f>
        <v/>
      </c>
      <c r="H326" s="105" t="n"/>
      <c r="J326" s="104">
        <f>BDH($C326,"PX_LAST","-5AY","","Per=Y","cols=2;rows=5")</f>
        <v/>
      </c>
      <c r="K326" s="106" t="n"/>
    </row>
    <row r="327">
      <c r="D327" s="102" t="n"/>
      <c r="E327" s="105" t="n"/>
      <c r="G327" s="102" t="n"/>
      <c r="H327" s="105" t="n"/>
      <c r="J327" s="102" t="n"/>
      <c r="K327" s="106" t="n"/>
    </row>
    <row r="328">
      <c r="D328" s="102" t="n"/>
      <c r="E328" s="105" t="n"/>
      <c r="G328" s="102" t="n"/>
      <c r="H328" s="105" t="n"/>
      <c r="J328" s="102" t="n"/>
      <c r="K328" s="106" t="n"/>
    </row>
    <row r="329">
      <c r="D329" s="102" t="n"/>
      <c r="E329" s="105" t="n"/>
      <c r="G329" s="102" t="n"/>
      <c r="H329" s="105" t="n"/>
      <c r="J329" s="102" t="n"/>
      <c r="K329" s="106" t="n"/>
    </row>
    <row r="330">
      <c r="D330" s="102" t="n"/>
      <c r="E330" s="105" t="n"/>
      <c r="G330" s="102" t="n"/>
      <c r="H330" s="105" t="n"/>
      <c r="J330" s="102" t="n"/>
      <c r="K330" s="106" t="n"/>
    </row>
    <row r="332">
      <c r="B332" s="2">
        <f>IF(HSI!$C$61="","",HSI!$C$61)</f>
        <v/>
      </c>
      <c r="C332" s="2">
        <f>IF(PULL_FUND="N","",IF(HSI!$C$61="","",HSI!$C$61))</f>
        <v/>
      </c>
      <c r="D332" s="104">
        <f>BDH($C332,NDE_FIELD,"-5AY","","Per=Y","cols=2;rows=5")</f>
        <v/>
      </c>
      <c r="E332" s="105" t="n"/>
      <c r="G332" s="104">
        <f>BQL($C332,BUYBACK_QUERY,$C$4,"fill=prev","showheaders=f","showids=f")</f>
        <v/>
      </c>
      <c r="H332" s="105" t="n"/>
      <c r="J332" s="104">
        <f>BDH($C332,"PX_LAST","-5AY","","Per=Y","cols=2;rows=5")</f>
        <v/>
      </c>
      <c r="K332" s="106" t="n"/>
    </row>
    <row r="333">
      <c r="D333" s="102" t="n"/>
      <c r="E333" s="105" t="n"/>
      <c r="G333" s="102" t="n"/>
      <c r="H333" s="105" t="n"/>
      <c r="J333" s="102" t="n"/>
      <c r="K333" s="106" t="n"/>
    </row>
    <row r="334">
      <c r="D334" s="102" t="n"/>
      <c r="E334" s="105" t="n"/>
      <c r="G334" s="102" t="n"/>
      <c r="H334" s="105" t="n"/>
      <c r="J334" s="102" t="n"/>
      <c r="K334" s="106" t="n"/>
    </row>
    <row r="335">
      <c r="D335" s="102" t="n"/>
      <c r="E335" s="105" t="n"/>
      <c r="G335" s="102" t="n"/>
      <c r="H335" s="105" t="n"/>
      <c r="J335" s="102" t="n"/>
      <c r="K335" s="106" t="n"/>
    </row>
    <row r="336">
      <c r="D336" s="102" t="n"/>
      <c r="E336" s="105" t="n"/>
      <c r="G336" s="102" t="n"/>
      <c r="H336" s="105" t="n"/>
      <c r="J336" s="102" t="n"/>
      <c r="K336" s="106" t="n"/>
    </row>
    <row r="338">
      <c r="B338" s="2">
        <f>IF(HSI!$C$62="","",HSI!$C$62)</f>
        <v/>
      </c>
      <c r="C338" s="2">
        <f>IF(PULL_FUND="N","",IF(HSI!$C$62="","",HSI!$C$62))</f>
        <v/>
      </c>
      <c r="D338" s="104">
        <f>BDH($C338,NDE_FIELD,"-5AY","","Per=Y","cols=2;rows=5")</f>
        <v/>
      </c>
      <c r="E338" s="105" t="n"/>
      <c r="G338" s="104">
        <f>BQL($C338,BUYBACK_QUERY,$C$4,"fill=prev","showheaders=f","showids=f")</f>
        <v/>
      </c>
      <c r="H338" s="105" t="n"/>
      <c r="J338" s="104">
        <f>BDH($C338,"PX_LAST","-5AY","","Per=Y","cols=2;rows=5")</f>
        <v/>
      </c>
      <c r="K338" s="106" t="n"/>
    </row>
    <row r="339">
      <c r="D339" s="102" t="n"/>
      <c r="E339" s="105" t="n"/>
      <c r="G339" s="102" t="n"/>
      <c r="H339" s="105" t="n"/>
      <c r="J339" s="102" t="n"/>
      <c r="K339" s="106" t="n"/>
    </row>
    <row r="340">
      <c r="D340" s="102" t="n"/>
      <c r="E340" s="105" t="n"/>
      <c r="G340" s="102" t="n"/>
      <c r="H340" s="105" t="n"/>
      <c r="J340" s="102" t="n"/>
      <c r="K340" s="106" t="n"/>
    </row>
    <row r="341">
      <c r="D341" s="102" t="n"/>
      <c r="E341" s="105" t="n"/>
      <c r="G341" s="102" t="n"/>
      <c r="H341" s="105" t="n"/>
      <c r="J341" s="102" t="n"/>
      <c r="K341" s="106" t="n"/>
    </row>
    <row r="342">
      <c r="D342" s="102" t="n"/>
      <c r="E342" s="105" t="n"/>
      <c r="G342" s="102" t="n"/>
      <c r="H342" s="105" t="n"/>
      <c r="J342" s="102" t="n"/>
      <c r="K342" s="106" t="n"/>
    </row>
    <row r="344">
      <c r="B344" s="2">
        <f>IF(HSI!$C$63="","",HSI!$C$63)</f>
        <v/>
      </c>
      <c r="C344" s="2">
        <f>IF(PULL_FUND="N","",IF(HSI!$C$63="","",HSI!$C$63))</f>
        <v/>
      </c>
      <c r="D344" s="104">
        <f>BDH($C344,NDE_FIELD,"-5AY","","Per=Y","cols=2;rows=5")</f>
        <v/>
      </c>
      <c r="E344" s="105" t="n"/>
      <c r="G344" s="104">
        <f>BQL($C344,BUYBACK_QUERY,$C$4,"fill=prev","showheaders=f","showids=f")</f>
        <v/>
      </c>
      <c r="H344" s="105" t="n"/>
      <c r="J344" s="104">
        <f>BDH($C344,"PX_LAST","-5AY","","Per=Y","cols=2;rows=5")</f>
        <v/>
      </c>
      <c r="K344" s="106" t="n"/>
    </row>
    <row r="345">
      <c r="D345" s="102" t="n"/>
      <c r="E345" s="105" t="n"/>
      <c r="G345" s="102" t="n"/>
      <c r="H345" s="105" t="n"/>
      <c r="J345" s="102" t="n"/>
      <c r="K345" s="106" t="n"/>
    </row>
    <row r="346">
      <c r="D346" s="102" t="n"/>
      <c r="E346" s="105" t="n"/>
      <c r="G346" s="102" t="n"/>
      <c r="H346" s="105" t="n"/>
      <c r="J346" s="102" t="n"/>
      <c r="K346" s="106" t="n"/>
    </row>
    <row r="347">
      <c r="D347" s="102" t="n"/>
      <c r="E347" s="105" t="n"/>
      <c r="G347" s="102" t="n"/>
      <c r="H347" s="105" t="n"/>
      <c r="J347" s="102" t="n"/>
      <c r="K347" s="106" t="n"/>
    </row>
    <row r="348">
      <c r="D348" s="102" t="n"/>
      <c r="E348" s="105" t="n"/>
      <c r="G348" s="102" t="n"/>
      <c r="H348" s="105" t="n"/>
      <c r="J348" s="102" t="n"/>
      <c r="K348" s="106" t="n"/>
    </row>
    <row r="350">
      <c r="B350" s="2">
        <f>IF(HSI!$C$64="","",HSI!$C$64)</f>
        <v/>
      </c>
      <c r="C350" s="2">
        <f>IF(PULL_FUND="N","",IF(HSI!$C$64="","",HSI!$C$64))</f>
        <v/>
      </c>
      <c r="D350" s="104">
        <f>BDH($C350,NDE_FIELD,"-5AY","","Per=Y","cols=2;rows=5")</f>
        <v/>
      </c>
      <c r="E350" s="105" t="n"/>
      <c r="G350" s="104">
        <f>BQL($C350,BUYBACK_QUERY,$C$4,"fill=prev","showheaders=f","showids=f")</f>
        <v/>
      </c>
      <c r="H350" s="105" t="n"/>
      <c r="J350" s="104">
        <f>BDH($C350,"PX_LAST","-5AY","","Per=Y","cols=2;rows=5")</f>
        <v/>
      </c>
      <c r="K350" s="106" t="n"/>
    </row>
    <row r="351">
      <c r="D351" s="102" t="n"/>
      <c r="E351" s="105" t="n"/>
      <c r="G351" s="102" t="n"/>
      <c r="H351" s="105" t="n"/>
      <c r="J351" s="102" t="n"/>
      <c r="K351" s="106" t="n"/>
    </row>
    <row r="352">
      <c r="D352" s="102" t="n"/>
      <c r="E352" s="105" t="n"/>
      <c r="G352" s="102" t="n"/>
      <c r="H352" s="105" t="n"/>
      <c r="J352" s="102" t="n"/>
      <c r="K352" s="106" t="n"/>
    </row>
    <row r="353">
      <c r="D353" s="102" t="n"/>
      <c r="E353" s="105" t="n"/>
      <c r="G353" s="102" t="n"/>
      <c r="H353" s="105" t="n"/>
      <c r="J353" s="102" t="n"/>
      <c r="K353" s="106" t="n"/>
    </row>
    <row r="354">
      <c r="D354" s="102" t="n"/>
      <c r="E354" s="105" t="n"/>
      <c r="G354" s="102" t="n"/>
      <c r="H354" s="105" t="n"/>
      <c r="J354" s="102" t="n"/>
      <c r="K354" s="106" t="n"/>
    </row>
    <row r="356">
      <c r="B356" s="2">
        <f>IF(HSI!$C$65="","",HSI!$C$65)</f>
        <v/>
      </c>
      <c r="C356" s="2">
        <f>IF(PULL_FUND="N","",IF(HSI!$C$65="","",HSI!$C$65))</f>
        <v/>
      </c>
      <c r="D356" s="104">
        <f>BDH($C356,NDE_FIELD,"-5AY","","Per=Y","cols=2;rows=5")</f>
        <v/>
      </c>
      <c r="E356" s="105" t="n"/>
      <c r="G356" s="104">
        <f>BQL($C356,BUYBACK_QUERY,$C$4,"fill=prev","showheaders=f","showids=f")</f>
        <v/>
      </c>
      <c r="H356" s="105" t="n"/>
      <c r="J356" s="104">
        <f>BDH($C356,"PX_LAST","-5AY","","Per=Y","cols=2;rows=5")</f>
        <v/>
      </c>
      <c r="K356" s="106" t="n"/>
    </row>
    <row r="357">
      <c r="D357" s="102" t="n"/>
      <c r="E357" s="105" t="n"/>
      <c r="G357" s="102" t="n"/>
      <c r="H357" s="105" t="n"/>
      <c r="J357" s="102" t="n"/>
      <c r="K357" s="106" t="n"/>
    </row>
    <row r="358">
      <c r="D358" s="102" t="n"/>
      <c r="E358" s="105" t="n"/>
      <c r="G358" s="102" t="n"/>
      <c r="H358" s="105" t="n"/>
      <c r="J358" s="102" t="n"/>
      <c r="K358" s="106" t="n"/>
    </row>
    <row r="359">
      <c r="D359" s="102" t="n"/>
      <c r="E359" s="105" t="n"/>
      <c r="G359" s="102" t="n"/>
      <c r="H359" s="105" t="n"/>
      <c r="J359" s="102" t="n"/>
      <c r="K359" s="106" t="n"/>
    </row>
    <row r="360">
      <c r="D360" s="102" t="n"/>
      <c r="E360" s="105" t="n"/>
      <c r="G360" s="102" t="n"/>
      <c r="H360" s="105" t="n"/>
      <c r="J360" s="102" t="n"/>
      <c r="K360" s="106" t="n"/>
    </row>
    <row r="362">
      <c r="B362" s="2">
        <f>IF(HSI!$C$66="","",HSI!$C$66)</f>
        <v/>
      </c>
      <c r="C362" s="2">
        <f>IF(PULL_FUND="N","",IF(HSI!$C$66="","",HSI!$C$66))</f>
        <v/>
      </c>
      <c r="D362" s="104">
        <f>BDH($C362,NDE_FIELD,"-5AY","","Per=Y","cols=2;rows=5")</f>
        <v/>
      </c>
      <c r="E362" s="105" t="n"/>
      <c r="G362" s="104">
        <f>BQL($C362,BUYBACK_QUERY,$C$4,"fill=prev","showheaders=f","showids=f")</f>
        <v/>
      </c>
      <c r="H362" s="105" t="n"/>
      <c r="J362" s="104">
        <f>BDH($C362,"PX_LAST","-5AY","","Per=Y","cols=2;rows=5")</f>
        <v/>
      </c>
      <c r="K362" s="106" t="n"/>
    </row>
    <row r="363">
      <c r="D363" s="102" t="n"/>
      <c r="E363" s="105" t="n"/>
      <c r="G363" s="102" t="n"/>
      <c r="H363" s="105" t="n"/>
      <c r="J363" s="102" t="n"/>
      <c r="K363" s="106" t="n"/>
    </row>
    <row r="364">
      <c r="D364" s="102" t="n"/>
      <c r="E364" s="105" t="n"/>
      <c r="G364" s="102" t="n"/>
      <c r="H364" s="105" t="n"/>
      <c r="J364" s="102" t="n"/>
      <c r="K364" s="106" t="n"/>
    </row>
    <row r="365">
      <c r="D365" s="102" t="n"/>
      <c r="E365" s="105" t="n"/>
      <c r="G365" s="102" t="n"/>
      <c r="H365" s="105" t="n"/>
      <c r="J365" s="102" t="n"/>
      <c r="K365" s="106" t="n"/>
    </row>
    <row r="366">
      <c r="D366" s="102" t="n"/>
      <c r="E366" s="105" t="n"/>
      <c r="G366" s="102" t="n"/>
      <c r="H366" s="105" t="n"/>
      <c r="J366" s="102" t="n"/>
      <c r="K366" s="106" t="n"/>
    </row>
    <row r="368">
      <c r="B368" s="2">
        <f>IF(HSI!$C$67="","",HSI!$C$67)</f>
        <v/>
      </c>
      <c r="C368" s="2">
        <f>IF(PULL_FUND="N","",IF(HSI!$C$67="","",HSI!$C$67))</f>
        <v/>
      </c>
      <c r="D368" s="104">
        <f>BDH($C368,NDE_FIELD,"-5AY","","Per=Y","cols=2;rows=5")</f>
        <v/>
      </c>
      <c r="E368" s="105" t="n"/>
      <c r="G368" s="104">
        <f>BQL($C368,BUYBACK_QUERY,$C$4,"fill=prev","showheaders=f","showids=f")</f>
        <v/>
      </c>
      <c r="H368" s="105" t="n"/>
      <c r="J368" s="104">
        <f>BDH($C368,"PX_LAST","-5AY","","Per=Y","cols=2;rows=5")</f>
        <v/>
      </c>
      <c r="K368" s="106" t="n"/>
    </row>
    <row r="369">
      <c r="D369" s="102" t="n"/>
      <c r="E369" s="105" t="n"/>
      <c r="G369" s="102" t="n"/>
      <c r="H369" s="105" t="n"/>
      <c r="J369" s="102" t="n"/>
      <c r="K369" s="106" t="n"/>
    </row>
    <row r="370">
      <c r="D370" s="102" t="n"/>
      <c r="E370" s="105" t="n"/>
      <c r="G370" s="102" t="n"/>
      <c r="H370" s="105" t="n"/>
      <c r="J370" s="102" t="n"/>
      <c r="K370" s="106" t="n"/>
    </row>
    <row r="371">
      <c r="D371" s="102" t="n"/>
      <c r="E371" s="105" t="n"/>
      <c r="G371" s="102" t="n"/>
      <c r="H371" s="105" t="n"/>
      <c r="J371" s="102" t="n"/>
      <c r="K371" s="106" t="n"/>
    </row>
    <row r="372">
      <c r="D372" s="102" t="n"/>
      <c r="E372" s="105" t="n"/>
      <c r="G372" s="102" t="n"/>
      <c r="H372" s="105" t="n"/>
      <c r="J372" s="102" t="n"/>
      <c r="K372" s="106" t="n"/>
    </row>
    <row r="374">
      <c r="B374" s="2">
        <f>IF(HSI!$C$68="","",HSI!$C$68)</f>
        <v/>
      </c>
      <c r="C374" s="2">
        <f>IF(PULL_FUND="N","",IF(HSI!$C$68="","",HSI!$C$68))</f>
        <v/>
      </c>
      <c r="D374" s="104">
        <f>BDH($C374,NDE_FIELD,"-5AY","","Per=Y","cols=2;rows=5")</f>
        <v/>
      </c>
      <c r="E374" s="105" t="n"/>
      <c r="G374" s="104">
        <f>BQL($C374,BUYBACK_QUERY,$C$4,"fill=prev","showheaders=f","showids=f")</f>
        <v/>
      </c>
      <c r="H374" s="105" t="n"/>
      <c r="J374" s="104">
        <f>BDH($C374,"PX_LAST","-5AY","","Per=Y","cols=2;rows=5")</f>
        <v/>
      </c>
      <c r="K374" s="106" t="n"/>
    </row>
    <row r="375">
      <c r="D375" s="102" t="n"/>
      <c r="E375" s="105" t="n"/>
      <c r="G375" s="102" t="n"/>
      <c r="H375" s="105" t="n"/>
      <c r="J375" s="102" t="n"/>
      <c r="K375" s="106" t="n"/>
    </row>
    <row r="376">
      <c r="D376" s="102" t="n"/>
      <c r="E376" s="105" t="n"/>
      <c r="G376" s="102" t="n"/>
      <c r="H376" s="105" t="n"/>
      <c r="J376" s="102" t="n"/>
      <c r="K376" s="106" t="n"/>
    </row>
    <row r="377">
      <c r="D377" s="102" t="n"/>
      <c r="E377" s="105" t="n"/>
      <c r="G377" s="102" t="n"/>
      <c r="H377" s="105" t="n"/>
      <c r="J377" s="102" t="n"/>
      <c r="K377" s="106" t="n"/>
    </row>
    <row r="378">
      <c r="D378" s="102" t="n"/>
      <c r="E378" s="105" t="n"/>
      <c r="G378" s="102" t="n"/>
      <c r="H378" s="105" t="n"/>
      <c r="J378" s="102" t="n"/>
      <c r="K378" s="106" t="n"/>
    </row>
    <row r="380">
      <c r="B380" s="2">
        <f>IF(HSI!$C$69="","",HSI!$C$69)</f>
        <v/>
      </c>
      <c r="C380" s="2">
        <f>IF(PULL_FUND="N","",IF(HSI!$C$69="","",HSI!$C$69))</f>
        <v/>
      </c>
      <c r="D380" s="104">
        <f>BDH($C380,NDE_FIELD,"-5AY","","Per=Y","cols=2;rows=5")</f>
        <v/>
      </c>
      <c r="E380" s="105" t="n"/>
      <c r="G380" s="104">
        <f>BQL($C380,BUYBACK_QUERY,$C$4,"fill=prev","showheaders=f","showids=f")</f>
        <v/>
      </c>
      <c r="H380" s="105" t="n"/>
      <c r="J380" s="104">
        <f>BDH($C380,"PX_LAST","-5AY","","Per=Y","cols=2;rows=5")</f>
        <v/>
      </c>
      <c r="K380" s="106" t="n"/>
    </row>
    <row r="381">
      <c r="D381" s="102" t="n"/>
      <c r="E381" s="105" t="n"/>
      <c r="G381" s="102" t="n"/>
      <c r="H381" s="105" t="n"/>
      <c r="J381" s="102" t="n"/>
      <c r="K381" s="106" t="n"/>
    </row>
    <row r="382">
      <c r="D382" s="102" t="n"/>
      <c r="E382" s="105" t="n"/>
      <c r="G382" s="102" t="n"/>
      <c r="H382" s="105" t="n"/>
      <c r="J382" s="102" t="n"/>
      <c r="K382" s="106" t="n"/>
    </row>
    <row r="383">
      <c r="D383" s="102" t="n"/>
      <c r="E383" s="105" t="n"/>
      <c r="G383" s="102" t="n"/>
      <c r="H383" s="105" t="n"/>
      <c r="J383" s="102" t="n"/>
      <c r="K383" s="106" t="n"/>
    </row>
    <row r="384">
      <c r="D384" s="102" t="n"/>
      <c r="E384" s="105" t="n"/>
      <c r="G384" s="102" t="n"/>
      <c r="H384" s="105" t="n"/>
      <c r="J384" s="102" t="n"/>
      <c r="K384" s="106" t="n"/>
    </row>
    <row r="386">
      <c r="B386" s="2">
        <f>IF(HSI!$C$70="","",HSI!$C$70)</f>
        <v/>
      </c>
      <c r="C386" s="2">
        <f>IF(PULL_FUND="N","",IF(HSI!$C$70="","",HSI!$C$70))</f>
        <v/>
      </c>
      <c r="D386" s="104">
        <f>BDH($C386,NDE_FIELD,"-5AY","","Per=Y","cols=2;rows=5")</f>
        <v/>
      </c>
      <c r="E386" s="105" t="n"/>
      <c r="G386" s="104">
        <f>BQL($C386,BUYBACK_QUERY,$C$4,"fill=prev","showheaders=f","showids=f")</f>
        <v/>
      </c>
      <c r="H386" s="105" t="n"/>
      <c r="J386" s="104">
        <f>BDH($C386,"PX_LAST","-5AY","","Per=Y","cols=2;rows=5")</f>
        <v/>
      </c>
      <c r="K386" s="106" t="n"/>
    </row>
    <row r="387">
      <c r="D387" s="102" t="n"/>
      <c r="E387" s="105" t="n"/>
      <c r="G387" s="102" t="n"/>
      <c r="H387" s="105" t="n"/>
      <c r="J387" s="102" t="n"/>
      <c r="K387" s="106" t="n"/>
    </row>
    <row r="388">
      <c r="D388" s="102" t="n"/>
      <c r="E388" s="105" t="n"/>
      <c r="G388" s="102" t="n"/>
      <c r="H388" s="105" t="n"/>
      <c r="J388" s="102" t="n"/>
      <c r="K388" s="106" t="n"/>
    </row>
    <row r="389">
      <c r="D389" s="102" t="n"/>
      <c r="E389" s="105" t="n"/>
      <c r="G389" s="102" t="n"/>
      <c r="H389" s="105" t="n"/>
      <c r="J389" s="102" t="n"/>
      <c r="K389" s="106" t="n"/>
    </row>
    <row r="390">
      <c r="D390" s="102" t="n"/>
      <c r="E390" s="105" t="n"/>
      <c r="G390" s="102" t="n"/>
      <c r="H390" s="105" t="n"/>
      <c r="J390" s="102" t="n"/>
      <c r="K390" s="106" t="n"/>
    </row>
    <row r="392">
      <c r="B392" s="2">
        <f>IF(HSI!$C$71="","",HSI!$C$71)</f>
        <v/>
      </c>
      <c r="C392" s="2">
        <f>IF(PULL_FUND="N","",IF(HSI!$C$71="","",HSI!$C$71))</f>
        <v/>
      </c>
      <c r="D392" s="104">
        <f>BDH($C392,NDE_FIELD,"-5AY","","Per=Y","cols=2;rows=5")</f>
        <v/>
      </c>
      <c r="E392" s="105" t="n"/>
      <c r="G392" s="104">
        <f>BQL($C392,BUYBACK_QUERY,$C$4,"fill=prev","showheaders=f","showids=f")</f>
        <v/>
      </c>
      <c r="H392" s="105" t="n"/>
      <c r="J392" s="104">
        <f>BDH($C392,"PX_LAST","-5AY","","Per=Y","cols=2;rows=5")</f>
        <v/>
      </c>
      <c r="K392" s="106" t="n"/>
    </row>
    <row r="393">
      <c r="D393" s="102" t="n"/>
      <c r="E393" s="105" t="n"/>
      <c r="G393" s="102" t="n"/>
      <c r="H393" s="105" t="n"/>
      <c r="J393" s="102" t="n"/>
      <c r="K393" s="106" t="n"/>
    </row>
    <row r="394">
      <c r="D394" s="102" t="n"/>
      <c r="E394" s="105" t="n"/>
      <c r="G394" s="102" t="n"/>
      <c r="H394" s="105" t="n"/>
      <c r="J394" s="102" t="n"/>
      <c r="K394" s="106" t="n"/>
    </row>
    <row r="395">
      <c r="D395" s="102" t="n"/>
      <c r="E395" s="105" t="n"/>
      <c r="G395" s="102" t="n"/>
      <c r="H395" s="105" t="n"/>
      <c r="J395" s="102" t="n"/>
      <c r="K395" s="106" t="n"/>
    </row>
    <row r="396">
      <c r="D396" s="102" t="n"/>
      <c r="E396" s="105" t="n"/>
      <c r="G396" s="102" t="n"/>
      <c r="H396" s="105" t="n"/>
      <c r="J396" s="102" t="n"/>
      <c r="K396" s="106" t="n"/>
    </row>
    <row r="398">
      <c r="B398" s="2">
        <f>IF(HSI!$C$72="","",HSI!$C$72)</f>
        <v/>
      </c>
      <c r="C398" s="2">
        <f>IF(PULL_FUND="N","",IF(HSI!$C$72="","",HSI!$C$72))</f>
        <v/>
      </c>
      <c r="D398" s="104">
        <f>BDH($C398,NDE_FIELD,"-5AY","","Per=Y","cols=2;rows=5")</f>
        <v/>
      </c>
      <c r="E398" s="105" t="n"/>
      <c r="G398" s="104">
        <f>BQL($C398,BUYBACK_QUERY,$C$4,"fill=prev","showheaders=f","showids=f")</f>
        <v/>
      </c>
      <c r="H398" s="105" t="n"/>
      <c r="J398" s="104">
        <f>BDH($C398,"PX_LAST","-5AY","","Per=Y","cols=2;rows=5")</f>
        <v/>
      </c>
      <c r="K398" s="106" t="n"/>
    </row>
    <row r="399">
      <c r="D399" s="102" t="n"/>
      <c r="E399" s="105" t="n"/>
      <c r="G399" s="102" t="n"/>
      <c r="H399" s="105" t="n"/>
      <c r="J399" s="102" t="n"/>
      <c r="K399" s="106" t="n"/>
    </row>
    <row r="400">
      <c r="D400" s="102" t="n"/>
      <c r="E400" s="105" t="n"/>
      <c r="G400" s="102" t="n"/>
      <c r="H400" s="105" t="n"/>
      <c r="J400" s="102" t="n"/>
      <c r="K400" s="106" t="n"/>
    </row>
    <row r="401">
      <c r="D401" s="102" t="n"/>
      <c r="E401" s="105" t="n"/>
      <c r="G401" s="102" t="n"/>
      <c r="H401" s="105" t="n"/>
      <c r="J401" s="102" t="n"/>
      <c r="K401" s="106" t="n"/>
    </row>
    <row r="402">
      <c r="D402" s="102" t="n"/>
      <c r="E402" s="105" t="n"/>
      <c r="G402" s="102" t="n"/>
      <c r="H402" s="105" t="n"/>
      <c r="J402" s="102" t="n"/>
      <c r="K402" s="106" t="n"/>
    </row>
    <row r="404">
      <c r="B404" s="2">
        <f>IF(HSI!$C$73="","",HSI!$C$73)</f>
        <v/>
      </c>
      <c r="C404" s="2">
        <f>IF(PULL_FUND="N","",IF(HSI!$C$73="","",HSI!$C$73))</f>
        <v/>
      </c>
      <c r="D404" s="104">
        <f>BDH($C404,NDE_FIELD,"-5AY","","Per=Y","cols=2;rows=5")</f>
        <v/>
      </c>
      <c r="E404" s="105" t="n"/>
      <c r="G404" s="104">
        <f>BQL($C404,BUYBACK_QUERY,$C$4,"fill=prev","showheaders=f","showids=f")</f>
        <v/>
      </c>
      <c r="H404" s="105" t="n"/>
      <c r="J404" s="104">
        <f>BDH($C404,"PX_LAST","-5AY","","Per=Y","cols=2;rows=5")</f>
        <v/>
      </c>
      <c r="K404" s="106" t="n"/>
    </row>
    <row r="405">
      <c r="D405" s="102" t="n"/>
      <c r="E405" s="105" t="n"/>
      <c r="G405" s="102" t="n"/>
      <c r="H405" s="105" t="n"/>
      <c r="J405" s="102" t="n"/>
      <c r="K405" s="106" t="n"/>
    </row>
    <row r="406">
      <c r="D406" s="102" t="n"/>
      <c r="E406" s="105" t="n"/>
      <c r="G406" s="102" t="n"/>
      <c r="H406" s="105" t="n"/>
      <c r="J406" s="102" t="n"/>
      <c r="K406" s="106" t="n"/>
    </row>
    <row r="407">
      <c r="D407" s="102" t="n"/>
      <c r="E407" s="105" t="n"/>
      <c r="G407" s="102" t="n"/>
      <c r="H407" s="105" t="n"/>
      <c r="J407" s="102" t="n"/>
      <c r="K407" s="106" t="n"/>
    </row>
    <row r="408">
      <c r="D408" s="102" t="n"/>
      <c r="E408" s="105" t="n"/>
      <c r="G408" s="102" t="n"/>
      <c r="H408" s="105" t="n"/>
      <c r="J408" s="102" t="n"/>
      <c r="K408" s="106" t="n"/>
    </row>
    <row r="410">
      <c r="B410" s="2">
        <f>IF(HSI!$C$74="","",HSI!$C$74)</f>
        <v/>
      </c>
      <c r="C410" s="2">
        <f>IF(PULL_FUND="N","",IF(HSI!$C$74="","",HSI!$C$74))</f>
        <v/>
      </c>
      <c r="D410" s="104">
        <f>BDH($C410,NDE_FIELD,"-5AY","","Per=Y","cols=2;rows=5")</f>
        <v/>
      </c>
      <c r="E410" s="105" t="n"/>
      <c r="G410" s="104">
        <f>BQL($C410,BUYBACK_QUERY,$C$4,"fill=prev","showheaders=f","showids=f")</f>
        <v/>
      </c>
      <c r="H410" s="105" t="n"/>
      <c r="J410" s="104">
        <f>BDH($C410,"PX_LAST","-5AY","","Per=Y","cols=2;rows=5")</f>
        <v/>
      </c>
      <c r="K410" s="106" t="n"/>
    </row>
    <row r="411">
      <c r="D411" s="102" t="n"/>
      <c r="E411" s="105" t="n"/>
      <c r="G411" s="102" t="n"/>
      <c r="H411" s="105" t="n"/>
      <c r="J411" s="102" t="n"/>
      <c r="K411" s="106" t="n"/>
    </row>
    <row r="412">
      <c r="D412" s="102" t="n"/>
      <c r="E412" s="105" t="n"/>
      <c r="G412" s="102" t="n"/>
      <c r="H412" s="105" t="n"/>
      <c r="J412" s="102" t="n"/>
      <c r="K412" s="106" t="n"/>
    </row>
    <row r="413">
      <c r="D413" s="102" t="n"/>
      <c r="E413" s="105" t="n"/>
      <c r="G413" s="102" t="n"/>
      <c r="H413" s="105" t="n"/>
      <c r="J413" s="102" t="n"/>
      <c r="K413" s="106" t="n"/>
    </row>
    <row r="414">
      <c r="D414" s="102" t="n"/>
      <c r="E414" s="105" t="n"/>
      <c r="G414" s="102" t="n"/>
      <c r="H414" s="105" t="n"/>
      <c r="J414" s="102" t="n"/>
      <c r="K414" s="106" t="n"/>
    </row>
    <row r="416">
      <c r="B416" s="2">
        <f>IF(HSI!$C$75="","",HSI!$C$75)</f>
        <v/>
      </c>
      <c r="C416" s="2">
        <f>IF(PULL_FUND="N","",IF(HSI!$C$75="","",HSI!$C$75))</f>
        <v/>
      </c>
      <c r="D416" s="104">
        <f>BDH($C416,NDE_FIELD,"-5AY","","Per=Y","cols=2;rows=5")</f>
        <v/>
      </c>
      <c r="E416" s="105" t="n"/>
      <c r="G416" s="104">
        <f>BQL($C416,BUYBACK_QUERY,$C$4,"fill=prev","showheaders=f","showids=f")</f>
        <v/>
      </c>
      <c r="H416" s="105" t="n"/>
      <c r="J416" s="104">
        <f>BDH($C416,"PX_LAST","-5AY","","Per=Y","cols=2;rows=5")</f>
        <v/>
      </c>
      <c r="K416" s="106" t="n"/>
    </row>
    <row r="417">
      <c r="D417" s="102" t="n"/>
      <c r="E417" s="105" t="n"/>
      <c r="G417" s="102" t="n"/>
      <c r="H417" s="105" t="n"/>
      <c r="J417" s="102" t="n"/>
      <c r="K417" s="106" t="n"/>
    </row>
    <row r="418">
      <c r="D418" s="102" t="n"/>
      <c r="E418" s="105" t="n"/>
      <c r="G418" s="102" t="n"/>
      <c r="H418" s="105" t="n"/>
      <c r="J418" s="102" t="n"/>
      <c r="K418" s="106" t="n"/>
    </row>
    <row r="419">
      <c r="D419" s="102" t="n"/>
      <c r="E419" s="105" t="n"/>
      <c r="G419" s="102" t="n"/>
      <c r="H419" s="105" t="n"/>
      <c r="J419" s="102" t="n"/>
      <c r="K419" s="106" t="n"/>
    </row>
    <row r="420">
      <c r="D420" s="102" t="n"/>
      <c r="E420" s="105" t="n"/>
      <c r="G420" s="102" t="n"/>
      <c r="H420" s="105" t="n"/>
      <c r="J420" s="102" t="n"/>
      <c r="K420" s="106" t="n"/>
    </row>
    <row r="422">
      <c r="B422" s="2">
        <f>IF(HSI!$C$76="","",HSI!$C$76)</f>
        <v/>
      </c>
      <c r="C422" s="2">
        <f>IF(PULL_FUND="N","",IF(HSI!$C$76="","",HSI!$C$76))</f>
        <v/>
      </c>
      <c r="D422" s="104">
        <f>BDH($C422,NDE_FIELD,"-5AY","","Per=Y","cols=2;rows=5")</f>
        <v/>
      </c>
      <c r="E422" s="105" t="n"/>
      <c r="G422" s="104">
        <f>BQL($C422,BUYBACK_QUERY,$C$4,"fill=prev","showheaders=f","showids=f")</f>
        <v/>
      </c>
      <c r="H422" s="105" t="n"/>
      <c r="J422" s="104">
        <f>BDH($C422,"PX_LAST","-5AY","","Per=Y","cols=2;rows=5")</f>
        <v/>
      </c>
      <c r="K422" s="106" t="n"/>
    </row>
    <row r="423">
      <c r="D423" s="102" t="n"/>
      <c r="E423" s="105" t="n"/>
      <c r="G423" s="102" t="n"/>
      <c r="H423" s="105" t="n"/>
      <c r="J423" s="102" t="n"/>
      <c r="K423" s="106" t="n"/>
    </row>
    <row r="424">
      <c r="D424" s="102" t="n"/>
      <c r="E424" s="105" t="n"/>
      <c r="G424" s="102" t="n"/>
      <c r="H424" s="105" t="n"/>
      <c r="J424" s="102" t="n"/>
      <c r="K424" s="106" t="n"/>
    </row>
    <row r="425">
      <c r="D425" s="102" t="n"/>
      <c r="E425" s="105" t="n"/>
      <c r="G425" s="102" t="n"/>
      <c r="H425" s="105" t="n"/>
      <c r="J425" s="102" t="n"/>
      <c r="K425" s="106" t="n"/>
    </row>
    <row r="426">
      <c r="D426" s="102" t="n"/>
      <c r="E426" s="105" t="n"/>
      <c r="G426" s="102" t="n"/>
      <c r="H426" s="105" t="n"/>
      <c r="J426" s="102" t="n"/>
      <c r="K426" s="106" t="n"/>
    </row>
    <row r="428">
      <c r="B428" s="2">
        <f>IF(HSI!$C$77="","",HSI!$C$77)</f>
        <v/>
      </c>
      <c r="C428" s="2">
        <f>IF(PULL_FUND="N","",IF(HSI!$C$77="","",HSI!$C$77))</f>
        <v/>
      </c>
      <c r="D428" s="104">
        <f>BDH($C428,NDE_FIELD,"-5AY","","Per=Y","cols=2;rows=5")</f>
        <v/>
      </c>
      <c r="E428" s="105" t="n"/>
      <c r="G428" s="104">
        <f>BQL($C428,BUYBACK_QUERY,$C$4,"fill=prev","showheaders=f","showids=f")</f>
        <v/>
      </c>
      <c r="H428" s="105" t="n"/>
      <c r="J428" s="104">
        <f>BDH($C428,"PX_LAST","-5AY","","Per=Y","cols=2;rows=5")</f>
        <v/>
      </c>
      <c r="K428" s="106" t="n"/>
    </row>
    <row r="429">
      <c r="D429" s="102" t="n"/>
      <c r="E429" s="105" t="n"/>
      <c r="G429" s="102" t="n"/>
      <c r="H429" s="105" t="n"/>
      <c r="J429" s="102" t="n"/>
      <c r="K429" s="106" t="n"/>
    </row>
    <row r="430">
      <c r="D430" s="102" t="n"/>
      <c r="E430" s="105" t="n"/>
      <c r="G430" s="102" t="n"/>
      <c r="H430" s="105" t="n"/>
      <c r="J430" s="102" t="n"/>
      <c r="K430" s="106" t="n"/>
    </row>
    <row r="431">
      <c r="D431" s="102" t="n"/>
      <c r="E431" s="105" t="n"/>
      <c r="G431" s="102" t="n"/>
      <c r="H431" s="105" t="n"/>
      <c r="J431" s="102" t="n"/>
      <c r="K431" s="106" t="n"/>
    </row>
    <row r="432">
      <c r="D432" s="102" t="n"/>
      <c r="E432" s="105" t="n"/>
      <c r="G432" s="102" t="n"/>
      <c r="H432" s="105" t="n"/>
      <c r="J432" s="102" t="n"/>
      <c r="K432" s="106" t="n"/>
    </row>
    <row r="434">
      <c r="B434" s="2">
        <f>IF(HSI!$C$78="","",HSI!$C$78)</f>
        <v/>
      </c>
      <c r="C434" s="2">
        <f>IF(PULL_FUND="N","",IF(HSI!$C$78="","",HSI!$C$78))</f>
        <v/>
      </c>
      <c r="D434" s="104">
        <f>BDH($C434,NDE_FIELD,"-5AY","","Per=Y","cols=2;rows=5")</f>
        <v/>
      </c>
      <c r="E434" s="105" t="n"/>
      <c r="G434" s="104">
        <f>BQL($C434,BUYBACK_QUERY,$C$4,"fill=prev","showheaders=f","showids=f")</f>
        <v/>
      </c>
      <c r="H434" s="105" t="n"/>
      <c r="J434" s="104">
        <f>BDH($C434,"PX_LAST","-5AY","","Per=Y","cols=2;rows=5")</f>
        <v/>
      </c>
      <c r="K434" s="106" t="n"/>
    </row>
    <row r="435">
      <c r="D435" s="102" t="n"/>
      <c r="E435" s="105" t="n"/>
      <c r="G435" s="102" t="n"/>
      <c r="H435" s="105" t="n"/>
      <c r="J435" s="102" t="n"/>
      <c r="K435" s="106" t="n"/>
    </row>
    <row r="436">
      <c r="D436" s="102" t="n"/>
      <c r="E436" s="105" t="n"/>
      <c r="G436" s="102" t="n"/>
      <c r="H436" s="105" t="n"/>
      <c r="J436" s="102" t="n"/>
      <c r="K436" s="106" t="n"/>
    </row>
    <row r="437">
      <c r="D437" s="102" t="n"/>
      <c r="E437" s="105" t="n"/>
      <c r="G437" s="102" t="n"/>
      <c r="H437" s="105" t="n"/>
      <c r="J437" s="102" t="n"/>
      <c r="K437" s="106" t="n"/>
    </row>
    <row r="438">
      <c r="D438" s="102" t="n"/>
      <c r="E438" s="105" t="n"/>
      <c r="G438" s="102" t="n"/>
      <c r="H438" s="105" t="n"/>
      <c r="J438" s="102" t="n"/>
      <c r="K438" s="106" t="n"/>
    </row>
    <row r="440">
      <c r="B440" s="2">
        <f>IF(HSI!$C$79="","",HSI!$C$79)</f>
        <v/>
      </c>
      <c r="C440" s="2">
        <f>IF(PULL_FUND="N","",IF(HSI!$C$79="","",HSI!$C$79))</f>
        <v/>
      </c>
      <c r="D440" s="104">
        <f>BDH($C440,NDE_FIELD,"-5AY","","Per=Y","cols=2;rows=5")</f>
        <v/>
      </c>
      <c r="E440" s="105" t="n"/>
      <c r="G440" s="104">
        <f>BQL($C440,BUYBACK_QUERY,$C$4,"fill=prev","showheaders=f","showids=f")</f>
        <v/>
      </c>
      <c r="H440" s="105" t="n"/>
      <c r="J440" s="104">
        <f>BDH($C440,"PX_LAST","-5AY","","Per=Y","cols=2;rows=5")</f>
        <v/>
      </c>
      <c r="K440" s="106" t="n"/>
    </row>
    <row r="441">
      <c r="D441" s="102" t="n"/>
      <c r="E441" s="105" t="n"/>
      <c r="G441" s="102" t="n"/>
      <c r="H441" s="105" t="n"/>
      <c r="J441" s="102" t="n"/>
      <c r="K441" s="106" t="n"/>
    </row>
    <row r="442">
      <c r="D442" s="102" t="n"/>
      <c r="E442" s="105" t="n"/>
      <c r="G442" s="102" t="n"/>
      <c r="H442" s="105" t="n"/>
      <c r="J442" s="102" t="n"/>
      <c r="K442" s="106" t="n"/>
    </row>
    <row r="443">
      <c r="D443" s="102" t="n"/>
      <c r="E443" s="105" t="n"/>
      <c r="G443" s="102" t="n"/>
      <c r="H443" s="105" t="n"/>
      <c r="J443" s="102" t="n"/>
      <c r="K443" s="106" t="n"/>
    </row>
    <row r="444">
      <c r="D444" s="102" t="n"/>
      <c r="E444" s="105" t="n"/>
      <c r="G444" s="102" t="n"/>
      <c r="H444" s="105" t="n"/>
      <c r="J444" s="102" t="n"/>
      <c r="K444" s="106" t="n"/>
    </row>
    <row r="446">
      <c r="B446" s="2">
        <f>IF(HSI!$C$80="","",HSI!$C$80)</f>
        <v/>
      </c>
      <c r="C446" s="2">
        <f>IF(PULL_FUND="N","",IF(HSI!$C$80="","",HSI!$C$80))</f>
        <v/>
      </c>
      <c r="D446" s="104">
        <f>BDH($C446,NDE_FIELD,"-5AY","","Per=Y","cols=2;rows=5")</f>
        <v/>
      </c>
      <c r="E446" s="105" t="n"/>
      <c r="G446" s="104">
        <f>BQL($C446,BUYBACK_QUERY,$C$4,"fill=prev","showheaders=f","showids=f")</f>
        <v/>
      </c>
      <c r="H446" s="105" t="n"/>
      <c r="J446" s="104">
        <f>BDH($C446,"PX_LAST","-5AY","","Per=Y","cols=2;rows=5")</f>
        <v/>
      </c>
      <c r="K446" s="106" t="n"/>
    </row>
    <row r="447">
      <c r="D447" s="102" t="n"/>
      <c r="E447" s="105" t="n"/>
      <c r="G447" s="102" t="n"/>
      <c r="H447" s="105" t="n"/>
      <c r="J447" s="102" t="n"/>
      <c r="K447" s="106" t="n"/>
    </row>
    <row r="448">
      <c r="D448" s="102" t="n"/>
      <c r="E448" s="105" t="n"/>
      <c r="G448" s="102" t="n"/>
      <c r="H448" s="105" t="n"/>
      <c r="J448" s="102" t="n"/>
      <c r="K448" s="106" t="n"/>
    </row>
    <row r="449">
      <c r="D449" s="102" t="n"/>
      <c r="E449" s="105" t="n"/>
      <c r="G449" s="102" t="n"/>
      <c r="H449" s="105" t="n"/>
      <c r="J449" s="102" t="n"/>
      <c r="K449" s="106" t="n"/>
    </row>
    <row r="450">
      <c r="D450" s="102" t="n"/>
      <c r="E450" s="105" t="n"/>
      <c r="G450" s="102" t="n"/>
      <c r="H450" s="105" t="n"/>
      <c r="J450" s="102" t="n"/>
      <c r="K450" s="106" t="n"/>
    </row>
    <row r="452">
      <c r="B452" s="2">
        <f>IF(HSI!$C$81="","",HSI!$C$81)</f>
        <v/>
      </c>
      <c r="C452" s="2">
        <f>IF(PULL_FUND="N","",IF(HSI!$C$81="","",HSI!$C$81))</f>
        <v/>
      </c>
      <c r="D452" s="104">
        <f>BDH($C452,NDE_FIELD,"-5AY","","Per=Y","cols=2;rows=5")</f>
        <v/>
      </c>
      <c r="E452" s="105" t="n"/>
      <c r="G452" s="104">
        <f>BQL($C452,BUYBACK_QUERY,$C$4,"fill=prev","showheaders=f","showids=f")</f>
        <v/>
      </c>
      <c r="H452" s="105" t="n"/>
      <c r="J452" s="104">
        <f>BDH($C452,"PX_LAST","-5AY","","Per=Y","cols=2;rows=5")</f>
        <v/>
      </c>
      <c r="K452" s="106" t="n"/>
    </row>
    <row r="453">
      <c r="D453" s="102" t="n"/>
      <c r="E453" s="105" t="n"/>
      <c r="G453" s="102" t="n"/>
      <c r="H453" s="105" t="n"/>
      <c r="J453" s="102" t="n"/>
      <c r="K453" s="106" t="n"/>
    </row>
    <row r="454">
      <c r="D454" s="102" t="n"/>
      <c r="E454" s="105" t="n"/>
      <c r="G454" s="102" t="n"/>
      <c r="H454" s="105" t="n"/>
      <c r="J454" s="102" t="n"/>
      <c r="K454" s="106" t="n"/>
    </row>
    <row r="455">
      <c r="D455" s="102" t="n"/>
      <c r="E455" s="105" t="n"/>
      <c r="G455" s="102" t="n"/>
      <c r="H455" s="105" t="n"/>
      <c r="J455" s="102" t="n"/>
      <c r="K455" s="106" t="n"/>
    </row>
    <row r="456">
      <c r="D456" s="102" t="n"/>
      <c r="E456" s="105" t="n"/>
      <c r="G456" s="102" t="n"/>
      <c r="H456" s="105" t="n"/>
      <c r="J456" s="102" t="n"/>
      <c r="K456" s="106" t="n"/>
    </row>
    <row r="458">
      <c r="B458" s="2">
        <f>IF(HSI!$C$82="","",HSI!$C$82)</f>
        <v/>
      </c>
      <c r="C458" s="2">
        <f>IF(PULL_FUND="N","",IF(HSI!$C$82="","",HSI!$C$82))</f>
        <v/>
      </c>
      <c r="D458" s="104">
        <f>BDH($C458,NDE_FIELD,"-5AY","","Per=Y","cols=2;rows=5")</f>
        <v/>
      </c>
      <c r="E458" s="105" t="n"/>
      <c r="G458" s="104">
        <f>BQL($C458,BUYBACK_QUERY,$C$4,"fill=prev","showheaders=f","showids=f")</f>
        <v/>
      </c>
      <c r="H458" s="105" t="n"/>
      <c r="J458" s="104">
        <f>BDH($C458,"PX_LAST","-5AY","","Per=Y","cols=2;rows=5")</f>
        <v/>
      </c>
      <c r="K458" s="106" t="n"/>
    </row>
    <row r="459">
      <c r="D459" s="102" t="n"/>
      <c r="E459" s="105" t="n"/>
      <c r="G459" s="102" t="n"/>
      <c r="H459" s="105" t="n"/>
      <c r="J459" s="102" t="n"/>
      <c r="K459" s="106" t="n"/>
    </row>
    <row r="460">
      <c r="D460" s="102" t="n"/>
      <c r="E460" s="105" t="n"/>
      <c r="G460" s="102" t="n"/>
      <c r="H460" s="105" t="n"/>
      <c r="J460" s="102" t="n"/>
      <c r="K460" s="106" t="n"/>
    </row>
    <row r="461">
      <c r="D461" s="102" t="n"/>
      <c r="E461" s="105" t="n"/>
      <c r="G461" s="102" t="n"/>
      <c r="H461" s="105" t="n"/>
      <c r="J461" s="102" t="n"/>
      <c r="K461" s="106" t="n"/>
    </row>
    <row r="462">
      <c r="D462" s="102" t="n"/>
      <c r="E462" s="105" t="n"/>
      <c r="G462" s="102" t="n"/>
      <c r="H462" s="105" t="n"/>
      <c r="J462" s="102" t="n"/>
      <c r="K462" s="106" t="n"/>
    </row>
    <row r="464">
      <c r="B464" s="2">
        <f>IF(HSI!$C$83="","",HSI!$C$83)</f>
        <v/>
      </c>
      <c r="C464" s="2">
        <f>IF(PULL_FUND="N","",IF(HSI!$C$83="","",HSI!$C$83))</f>
        <v/>
      </c>
      <c r="D464" s="104">
        <f>BDH($C464,NDE_FIELD,"-5AY","","Per=Y","cols=2;rows=5")</f>
        <v/>
      </c>
      <c r="E464" s="105" t="n"/>
      <c r="G464" s="104">
        <f>BQL($C464,BUYBACK_QUERY,$C$4,"fill=prev","showheaders=f","showids=f")</f>
        <v/>
      </c>
      <c r="H464" s="105" t="n"/>
      <c r="J464" s="104">
        <f>BDH($C464,"PX_LAST","-5AY","","Per=Y","cols=2;rows=5")</f>
        <v/>
      </c>
      <c r="K464" s="106" t="n"/>
    </row>
    <row r="465">
      <c r="D465" s="102" t="n"/>
      <c r="E465" s="105" t="n"/>
      <c r="G465" s="102" t="n"/>
      <c r="H465" s="105" t="n"/>
      <c r="J465" s="102" t="n"/>
      <c r="K465" s="106" t="n"/>
    </row>
    <row r="466">
      <c r="D466" s="102" t="n"/>
      <c r="E466" s="105" t="n"/>
      <c r="G466" s="102" t="n"/>
      <c r="H466" s="105" t="n"/>
      <c r="J466" s="102" t="n"/>
      <c r="K466" s="106" t="n"/>
    </row>
    <row r="467">
      <c r="D467" s="102" t="n"/>
      <c r="E467" s="105" t="n"/>
      <c r="G467" s="102" t="n"/>
      <c r="H467" s="105" t="n"/>
      <c r="J467" s="102" t="n"/>
      <c r="K467" s="106" t="n"/>
    </row>
    <row r="468">
      <c r="D468" s="102" t="n"/>
      <c r="E468" s="105" t="n"/>
      <c r="G468" s="102" t="n"/>
      <c r="H468" s="105" t="n"/>
      <c r="J468" s="102" t="n"/>
      <c r="K468" s="106" t="n"/>
    </row>
    <row r="470">
      <c r="B470" s="2">
        <f>IF(HSI!$C$84="","",HSI!$C$84)</f>
        <v/>
      </c>
      <c r="C470" s="2">
        <f>IF(PULL_FUND="N","",IF(HSI!$C$84="","",HSI!$C$84))</f>
        <v/>
      </c>
      <c r="D470" s="104">
        <f>BDH($C470,NDE_FIELD,"-5AY","","Per=Y","cols=2;rows=5")</f>
        <v/>
      </c>
      <c r="E470" s="105" t="n"/>
      <c r="G470" s="104">
        <f>BQL($C470,BUYBACK_QUERY,$C$4,"fill=prev","showheaders=f","showids=f")</f>
        <v/>
      </c>
      <c r="H470" s="105" t="n"/>
      <c r="J470" s="104">
        <f>BDH($C470,"PX_LAST","-5AY","","Per=Y","cols=2;rows=5")</f>
        <v/>
      </c>
      <c r="K470" s="106" t="n"/>
    </row>
    <row r="471">
      <c r="D471" s="102" t="n"/>
      <c r="E471" s="105" t="n"/>
      <c r="G471" s="102" t="n"/>
      <c r="H471" s="105" t="n"/>
      <c r="J471" s="102" t="n"/>
      <c r="K471" s="106" t="n"/>
    </row>
    <row r="472">
      <c r="D472" s="102" t="n"/>
      <c r="E472" s="105" t="n"/>
      <c r="G472" s="102" t="n"/>
      <c r="H472" s="105" t="n"/>
      <c r="J472" s="102" t="n"/>
      <c r="K472" s="106" t="n"/>
    </row>
    <row r="473">
      <c r="D473" s="102" t="n"/>
      <c r="E473" s="105" t="n"/>
      <c r="G473" s="102" t="n"/>
      <c r="H473" s="105" t="n"/>
      <c r="J473" s="102" t="n"/>
      <c r="K473" s="106" t="n"/>
    </row>
    <row r="474">
      <c r="D474" s="102" t="n"/>
      <c r="E474" s="105" t="n"/>
      <c r="G474" s="102" t="n"/>
      <c r="H474" s="105" t="n"/>
      <c r="J474" s="102" t="n"/>
      <c r="K474" s="106" t="n"/>
    </row>
    <row r="476">
      <c r="B476" s="2">
        <f>IF(HSI!$C$85="","",HSI!$C$85)</f>
        <v/>
      </c>
      <c r="C476" s="2">
        <f>IF(PULL_FUND="N","",IF(HSI!$C$85="","",HSI!$C$85))</f>
        <v/>
      </c>
      <c r="D476" s="104">
        <f>BDH($C476,NDE_FIELD,"-5AY","","Per=Y","cols=2;rows=5")</f>
        <v/>
      </c>
      <c r="E476" s="105" t="n"/>
      <c r="G476" s="104">
        <f>BQL($C476,BUYBACK_QUERY,$C$4,"fill=prev","showheaders=f","showids=f")</f>
        <v/>
      </c>
      <c r="H476" s="105" t="n"/>
      <c r="J476" s="104">
        <f>BDH($C476,"PX_LAST","-5AY","","Per=Y","cols=2;rows=5")</f>
        <v/>
      </c>
      <c r="K476" s="106" t="n"/>
    </row>
    <row r="477">
      <c r="D477" s="102" t="n"/>
      <c r="E477" s="105" t="n"/>
      <c r="G477" s="102" t="n"/>
      <c r="H477" s="105" t="n"/>
      <c r="J477" s="102" t="n"/>
      <c r="K477" s="106" t="n"/>
    </row>
    <row r="478">
      <c r="D478" s="102" t="n"/>
      <c r="E478" s="105" t="n"/>
      <c r="G478" s="102" t="n"/>
      <c r="H478" s="105" t="n"/>
      <c r="J478" s="102" t="n"/>
      <c r="K478" s="106" t="n"/>
    </row>
    <row r="479">
      <c r="D479" s="102" t="n"/>
      <c r="E479" s="105" t="n"/>
      <c r="G479" s="102" t="n"/>
      <c r="H479" s="105" t="n"/>
      <c r="J479" s="102" t="n"/>
      <c r="K479" s="106" t="n"/>
    </row>
    <row r="480">
      <c r="D480" s="102" t="n"/>
      <c r="E480" s="105" t="n"/>
      <c r="G480" s="102" t="n"/>
      <c r="H480" s="105" t="n"/>
      <c r="J480" s="102" t="n"/>
      <c r="K480" s="106" t="n"/>
    </row>
    <row r="482">
      <c r="B482" s="2">
        <f>IF(HSI!$C$86="","",HSI!$C$86)</f>
        <v/>
      </c>
      <c r="C482" s="2">
        <f>IF(PULL_FUND="N","",IF(HSI!$C$86="","",HSI!$C$86))</f>
        <v/>
      </c>
      <c r="D482" s="104">
        <f>BDH($C482,NDE_FIELD,"-5AY","","Per=Y","cols=2;rows=5")</f>
        <v/>
      </c>
      <c r="E482" s="105" t="n"/>
      <c r="G482" s="104">
        <f>BQL($C482,BUYBACK_QUERY,$C$4,"fill=prev","showheaders=f","showids=f")</f>
        <v/>
      </c>
      <c r="H482" s="105" t="n"/>
      <c r="J482" s="104">
        <f>BDH($C482,"PX_LAST","-5AY","","Per=Y","cols=2;rows=5")</f>
        <v/>
      </c>
      <c r="K482" s="106" t="n"/>
    </row>
    <row r="483">
      <c r="D483" s="102" t="n"/>
      <c r="E483" s="105" t="n"/>
      <c r="G483" s="102" t="n"/>
      <c r="H483" s="105" t="n"/>
      <c r="J483" s="102" t="n"/>
      <c r="K483" s="106" t="n"/>
    </row>
    <row r="484">
      <c r="D484" s="102" t="n"/>
      <c r="E484" s="105" t="n"/>
      <c r="G484" s="102" t="n"/>
      <c r="H484" s="105" t="n"/>
      <c r="J484" s="102" t="n"/>
      <c r="K484" s="106" t="n"/>
    </row>
    <row r="485">
      <c r="D485" s="102" t="n"/>
      <c r="E485" s="105" t="n"/>
      <c r="G485" s="102" t="n"/>
      <c r="H485" s="105" t="n"/>
      <c r="J485" s="102" t="n"/>
      <c r="K485" s="106" t="n"/>
    </row>
    <row r="486">
      <c r="D486" s="102" t="n"/>
      <c r="E486" s="105" t="n"/>
      <c r="G486" s="102" t="n"/>
      <c r="H486" s="105" t="n"/>
      <c r="J486" s="102" t="n"/>
      <c r="K486" s="106" t="n"/>
    </row>
    <row r="488">
      <c r="B488" s="2">
        <f>IF(HSI!$C$87="","",HSI!$C$87)</f>
        <v/>
      </c>
      <c r="C488" s="2">
        <f>IF(PULL_FUND="N","",IF(HSI!$C$87="","",HSI!$C$87))</f>
        <v/>
      </c>
      <c r="D488" s="104">
        <f>BDH($C488,NDE_FIELD,"-5AY","","Per=Y","cols=2;rows=5")</f>
        <v/>
      </c>
      <c r="E488" s="105" t="n"/>
      <c r="G488" s="104">
        <f>BQL($C488,BUYBACK_QUERY,$C$4,"fill=prev","showheaders=f","showids=f")</f>
        <v/>
      </c>
      <c r="H488" s="105" t="n"/>
      <c r="J488" s="104">
        <f>BDH($C488,"PX_LAST","-5AY","","Per=Y","cols=2;rows=5")</f>
        <v/>
      </c>
      <c r="K488" s="106" t="n"/>
    </row>
    <row r="489">
      <c r="D489" s="102" t="n"/>
      <c r="E489" s="105" t="n"/>
      <c r="G489" s="102" t="n"/>
      <c r="H489" s="105" t="n"/>
      <c r="J489" s="102" t="n"/>
      <c r="K489" s="106" t="n"/>
    </row>
    <row r="490">
      <c r="D490" s="102" t="n"/>
      <c r="E490" s="105" t="n"/>
      <c r="G490" s="102" t="n"/>
      <c r="H490" s="105" t="n"/>
      <c r="J490" s="102" t="n"/>
      <c r="K490" s="106" t="n"/>
    </row>
    <row r="491">
      <c r="D491" s="102" t="n"/>
      <c r="E491" s="105" t="n"/>
      <c r="G491" s="102" t="n"/>
      <c r="H491" s="105" t="n"/>
      <c r="J491" s="102" t="n"/>
      <c r="K491" s="106" t="n"/>
    </row>
    <row r="492">
      <c r="D492" s="102" t="n"/>
      <c r="E492" s="105" t="n"/>
      <c r="G492" s="102" t="n"/>
      <c r="H492" s="105" t="n"/>
      <c r="J492" s="102" t="n"/>
      <c r="K492" s="106" t="n"/>
    </row>
    <row r="494">
      <c r="B494" s="2">
        <f>IF(HSI!$C$88="","",HSI!$C$88)</f>
        <v/>
      </c>
      <c r="C494" s="2">
        <f>IF(PULL_FUND="N","",IF(HSI!$C$88="","",HSI!$C$88))</f>
        <v/>
      </c>
      <c r="D494" s="104">
        <f>BDH($C494,NDE_FIELD,"-5AY","","Per=Y","cols=2;rows=5")</f>
        <v/>
      </c>
      <c r="E494" s="105" t="n"/>
      <c r="G494" s="104">
        <f>BQL($C494,BUYBACK_QUERY,$C$4,"fill=prev","showheaders=f","showids=f")</f>
        <v/>
      </c>
      <c r="H494" s="105" t="n"/>
      <c r="J494" s="104">
        <f>BDH($C494,"PX_LAST","-5AY","","Per=Y","cols=2;rows=5")</f>
        <v/>
      </c>
      <c r="K494" s="106" t="n"/>
    </row>
    <row r="495">
      <c r="D495" s="102" t="n"/>
      <c r="E495" s="105" t="n"/>
      <c r="G495" s="102" t="n"/>
      <c r="H495" s="105" t="n"/>
      <c r="J495" s="102" t="n"/>
      <c r="K495" s="106" t="n"/>
    </row>
    <row r="496">
      <c r="D496" s="102" t="n"/>
      <c r="E496" s="105" t="n"/>
      <c r="G496" s="102" t="n"/>
      <c r="H496" s="105" t="n"/>
      <c r="J496" s="102" t="n"/>
      <c r="K496" s="106" t="n"/>
    </row>
    <row r="497">
      <c r="D497" s="102" t="n"/>
      <c r="E497" s="105" t="n"/>
      <c r="G497" s="102" t="n"/>
      <c r="H497" s="105" t="n"/>
      <c r="J497" s="102" t="n"/>
      <c r="K497" s="106" t="n"/>
    </row>
    <row r="498">
      <c r="D498" s="102" t="n"/>
      <c r="E498" s="105" t="n"/>
      <c r="G498" s="102" t="n"/>
      <c r="H498" s="105" t="n"/>
      <c r="J498" s="102" t="n"/>
      <c r="K498" s="106" t="n"/>
    </row>
    <row r="500">
      <c r="B500" s="2">
        <f>IF(HSI!$C$89="","",HSI!$C$89)</f>
        <v/>
      </c>
      <c r="C500" s="2">
        <f>IF(PULL_FUND="N","",IF(HSI!$C$89="","",HSI!$C$89))</f>
        <v/>
      </c>
      <c r="D500" s="104">
        <f>BDH($C500,NDE_FIELD,"-5AY","","Per=Y","cols=2;rows=5")</f>
        <v/>
      </c>
      <c r="E500" s="105" t="n"/>
      <c r="G500" s="104">
        <f>BQL($C500,BUYBACK_QUERY,$C$4,"fill=prev","showheaders=f","showids=f")</f>
        <v/>
      </c>
      <c r="H500" s="105" t="n"/>
      <c r="J500" s="104">
        <f>BDH($C500,"PX_LAST","-5AY","","Per=Y","cols=2;rows=5")</f>
        <v/>
      </c>
      <c r="K500" s="106" t="n"/>
    </row>
    <row r="501">
      <c r="D501" s="102" t="n"/>
      <c r="E501" s="105" t="n"/>
      <c r="G501" s="102" t="n"/>
      <c r="H501" s="105" t="n"/>
      <c r="J501" s="102" t="n"/>
      <c r="K501" s="106" t="n"/>
    </row>
    <row r="502">
      <c r="D502" s="102" t="n"/>
      <c r="E502" s="105" t="n"/>
      <c r="G502" s="102" t="n"/>
      <c r="H502" s="105" t="n"/>
      <c r="J502" s="102" t="n"/>
      <c r="K502" s="106" t="n"/>
    </row>
    <row r="503">
      <c r="D503" s="102" t="n"/>
      <c r="E503" s="105" t="n"/>
      <c r="G503" s="102" t="n"/>
      <c r="H503" s="105" t="n"/>
      <c r="J503" s="102" t="n"/>
      <c r="K503" s="106" t="n"/>
    </row>
    <row r="504">
      <c r="D504" s="102" t="n"/>
      <c r="E504" s="105" t="n"/>
      <c r="G504" s="102" t="n"/>
      <c r="H504" s="105" t="n"/>
      <c r="J504" s="102" t="n"/>
      <c r="K504" s="106" t="n"/>
    </row>
    <row r="506">
      <c r="B506" s="2">
        <f>IF(HSI!$C$90="","",HSI!$C$90)</f>
        <v/>
      </c>
      <c r="C506" s="2">
        <f>IF(PULL_FUND="N","",IF(HSI!$C$90="","",HSI!$C$90))</f>
        <v/>
      </c>
      <c r="D506" s="104">
        <f>BDH($C506,NDE_FIELD,"-5AY","","Per=Y","cols=2;rows=5")</f>
        <v/>
      </c>
      <c r="E506" s="105" t="n"/>
      <c r="G506" s="104">
        <f>BQL($C506,BUYBACK_QUERY,$C$4,"fill=prev","showheaders=f","showids=f")</f>
        <v/>
      </c>
      <c r="H506" s="105" t="n"/>
      <c r="J506" s="104">
        <f>BDH($C506,"PX_LAST","-5AY","","Per=Y","cols=2;rows=5")</f>
        <v/>
      </c>
      <c r="K506" s="106" t="n"/>
    </row>
    <row r="507">
      <c r="D507" s="102" t="n"/>
      <c r="E507" s="105" t="n"/>
      <c r="G507" s="102" t="n"/>
      <c r="H507" s="105" t="n"/>
      <c r="J507" s="102" t="n"/>
      <c r="K507" s="106" t="n"/>
    </row>
    <row r="508">
      <c r="D508" s="102" t="n"/>
      <c r="E508" s="105" t="n"/>
      <c r="G508" s="102" t="n"/>
      <c r="H508" s="105" t="n"/>
      <c r="J508" s="102" t="n"/>
      <c r="K508" s="106" t="n"/>
    </row>
    <row r="509">
      <c r="D509" s="102" t="n"/>
      <c r="E509" s="105" t="n"/>
      <c r="G509" s="102" t="n"/>
      <c r="H509" s="105" t="n"/>
      <c r="J509" s="102" t="n"/>
      <c r="K509" s="106" t="n"/>
    </row>
    <row r="510">
      <c r="D510" s="102" t="n"/>
      <c r="E510" s="105" t="n"/>
      <c r="G510" s="102" t="n"/>
      <c r="H510" s="105" t="n"/>
      <c r="J510" s="102" t="n"/>
      <c r="K510" s="106" t="n"/>
    </row>
    <row r="512">
      <c r="B512" s="2">
        <f>IF(HSI!$C$91="","",HSI!$C$91)</f>
        <v/>
      </c>
      <c r="C512" s="2">
        <f>IF(PULL_FUND="N","",IF(HSI!$C$91="","",HSI!$C$91))</f>
        <v/>
      </c>
      <c r="D512" s="104">
        <f>BDH($C512,NDE_FIELD,"-5AY","","Per=Y","cols=2;rows=5")</f>
        <v/>
      </c>
      <c r="E512" s="105" t="n"/>
      <c r="G512" s="104">
        <f>BQL($C512,BUYBACK_QUERY,$C$4,"fill=prev","showheaders=f","showids=f")</f>
        <v/>
      </c>
      <c r="H512" s="105" t="n"/>
      <c r="J512" s="104">
        <f>BDH($C512,"PX_LAST","-5AY","","Per=Y","cols=2;rows=5")</f>
        <v/>
      </c>
      <c r="K512" s="106" t="n"/>
    </row>
    <row r="513">
      <c r="D513" s="102" t="n"/>
      <c r="E513" s="105" t="n"/>
      <c r="G513" s="102" t="n"/>
      <c r="H513" s="105" t="n"/>
      <c r="J513" s="102" t="n"/>
      <c r="K513" s="106" t="n"/>
    </row>
    <row r="514">
      <c r="D514" s="102" t="n"/>
      <c r="E514" s="105" t="n"/>
      <c r="G514" s="102" t="n"/>
      <c r="H514" s="105" t="n"/>
      <c r="J514" s="102" t="n"/>
      <c r="K514" s="106" t="n"/>
    </row>
    <row r="515">
      <c r="D515" s="102" t="n"/>
      <c r="E515" s="105" t="n"/>
      <c r="G515" s="102" t="n"/>
      <c r="H515" s="105" t="n"/>
      <c r="J515" s="102" t="n"/>
      <c r="K515" s="106" t="n"/>
    </row>
    <row r="516">
      <c r="D516" s="102" t="n"/>
      <c r="E516" s="105" t="n"/>
      <c r="G516" s="102" t="n"/>
      <c r="H516" s="105" t="n"/>
      <c r="J516" s="102" t="n"/>
      <c r="K516" s="106" t="n"/>
    </row>
    <row r="518">
      <c r="B518" s="2">
        <f>IF(HSI!$C$92="","",HSI!$C$92)</f>
        <v/>
      </c>
      <c r="C518" s="2">
        <f>IF(PULL_FUND="N","",IF(HSI!$C$92="","",HSI!$C$92))</f>
        <v/>
      </c>
      <c r="D518" s="104">
        <f>BDH($C518,NDE_FIELD,"-5AY","","Per=Y","cols=2;rows=5")</f>
        <v/>
      </c>
      <c r="E518" s="105" t="n"/>
      <c r="G518" s="104">
        <f>BQL($C518,BUYBACK_QUERY,$C$4,"fill=prev","showheaders=f","showids=f")</f>
        <v/>
      </c>
      <c r="H518" s="105" t="n"/>
      <c r="J518" s="104">
        <f>BDH($C518,"PX_LAST","-5AY","","Per=Y","cols=2;rows=5")</f>
        <v/>
      </c>
      <c r="K518" s="106" t="n"/>
    </row>
    <row r="519">
      <c r="D519" s="102" t="n"/>
      <c r="E519" s="105" t="n"/>
      <c r="G519" s="102" t="n"/>
      <c r="H519" s="105" t="n"/>
      <c r="J519" s="102" t="n"/>
      <c r="K519" s="106" t="n"/>
    </row>
    <row r="520">
      <c r="D520" s="102" t="n"/>
      <c r="E520" s="105" t="n"/>
      <c r="G520" s="102" t="n"/>
      <c r="H520" s="105" t="n"/>
      <c r="J520" s="102" t="n"/>
      <c r="K520" s="106" t="n"/>
    </row>
    <row r="521">
      <c r="D521" s="102" t="n"/>
      <c r="E521" s="105" t="n"/>
      <c r="G521" s="102" t="n"/>
      <c r="H521" s="105" t="n"/>
      <c r="J521" s="102" t="n"/>
      <c r="K521" s="106" t="n"/>
    </row>
    <row r="522">
      <c r="D522" s="102" t="n"/>
      <c r="E522" s="105" t="n"/>
      <c r="G522" s="102" t="n"/>
      <c r="H522" s="105" t="n"/>
      <c r="J522" s="102" t="n"/>
      <c r="K522" s="106" t="n"/>
    </row>
    <row r="524">
      <c r="B524" s="2">
        <f>IF(HSI!$C$93="","",HSI!$C$93)</f>
        <v/>
      </c>
      <c r="C524" s="2">
        <f>IF(PULL_FUND="N","",IF(HSI!$C$93="","",HSI!$C$93))</f>
        <v/>
      </c>
      <c r="D524" s="104">
        <f>BDH($C524,NDE_FIELD,"-5AY","","Per=Y","cols=2;rows=5")</f>
        <v/>
      </c>
      <c r="E524" s="105" t="n"/>
      <c r="G524" s="104">
        <f>BQL($C524,BUYBACK_QUERY,$C$4,"fill=prev","showheaders=f","showids=f")</f>
        <v/>
      </c>
      <c r="H524" s="105" t="n"/>
      <c r="J524" s="104">
        <f>BDH($C524,"PX_LAST","-5AY","","Per=Y","cols=2;rows=5")</f>
        <v/>
      </c>
      <c r="K524" s="106" t="n"/>
    </row>
    <row r="525">
      <c r="D525" s="102" t="n"/>
      <c r="E525" s="105" t="n"/>
      <c r="G525" s="102" t="n"/>
      <c r="H525" s="105" t="n"/>
      <c r="J525" s="102" t="n"/>
      <c r="K525" s="106" t="n"/>
    </row>
    <row r="526">
      <c r="D526" s="102" t="n"/>
      <c r="E526" s="105" t="n"/>
      <c r="G526" s="102" t="n"/>
      <c r="H526" s="105" t="n"/>
      <c r="J526" s="102" t="n"/>
      <c r="K526" s="106" t="n"/>
    </row>
    <row r="527">
      <c r="D527" s="102" t="n"/>
      <c r="E527" s="105" t="n"/>
      <c r="G527" s="102" t="n"/>
      <c r="H527" s="105" t="n"/>
      <c r="J527" s="102" t="n"/>
      <c r="K527" s="106" t="n"/>
    </row>
    <row r="528">
      <c r="D528" s="102" t="n"/>
      <c r="E528" s="105" t="n"/>
      <c r="G528" s="102" t="n"/>
      <c r="H528" s="105" t="n"/>
      <c r="J528" s="102" t="n"/>
      <c r="K528" s="106" t="n"/>
    </row>
    <row r="530">
      <c r="B530" s="2">
        <f>IF(HSI!$C$94="","",HSI!$C$94)</f>
        <v/>
      </c>
      <c r="C530" s="2">
        <f>IF(PULL_FUND="N","",IF(HSI!$C$94="","",HSI!$C$94))</f>
        <v/>
      </c>
      <c r="D530" s="104">
        <f>BDH($C530,NDE_FIELD,"-5AY","","Per=Y","cols=2;rows=5")</f>
        <v/>
      </c>
      <c r="E530" s="105" t="n"/>
      <c r="G530" s="104">
        <f>BQL($C530,BUYBACK_QUERY,$C$4,"fill=prev","showheaders=f","showids=f")</f>
        <v/>
      </c>
      <c r="H530" s="105" t="n"/>
      <c r="J530" s="104">
        <f>BDH($C530,"PX_LAST","-5AY","","Per=Y","cols=2;rows=5")</f>
        <v/>
      </c>
      <c r="K530" s="106" t="n"/>
    </row>
    <row r="531">
      <c r="D531" s="102" t="n"/>
      <c r="E531" s="105" t="n"/>
      <c r="G531" s="102" t="n"/>
      <c r="H531" s="105" t="n"/>
      <c r="J531" s="102" t="n"/>
      <c r="K531" s="106" t="n"/>
    </row>
    <row r="532">
      <c r="D532" s="102" t="n"/>
      <c r="E532" s="105" t="n"/>
      <c r="G532" s="102" t="n"/>
      <c r="H532" s="105" t="n"/>
      <c r="J532" s="102" t="n"/>
      <c r="K532" s="106" t="n"/>
    </row>
    <row r="533">
      <c r="D533" s="102" t="n"/>
      <c r="E533" s="105" t="n"/>
      <c r="G533" s="102" t="n"/>
      <c r="H533" s="105" t="n"/>
      <c r="J533" s="102" t="n"/>
      <c r="K533" s="106" t="n"/>
    </row>
    <row r="534">
      <c r="D534" s="102" t="n"/>
      <c r="E534" s="105" t="n"/>
      <c r="G534" s="102" t="n"/>
      <c r="H534" s="105" t="n"/>
      <c r="J534" s="102" t="n"/>
      <c r="K534" s="106" t="n"/>
    </row>
    <row r="536">
      <c r="B536" s="2">
        <f>IF(HSI!$C$95="","",HSI!$C$95)</f>
        <v/>
      </c>
      <c r="C536" s="2">
        <f>IF(PULL_FUND="N","",IF(HSI!$C$95="","",HSI!$C$95))</f>
        <v/>
      </c>
      <c r="D536" s="104">
        <f>BDH($C536,NDE_FIELD,"-5AY","","Per=Y","cols=2;rows=5")</f>
        <v/>
      </c>
      <c r="E536" s="105" t="n"/>
      <c r="G536" s="104">
        <f>BQL($C536,BUYBACK_QUERY,$C$4,"fill=prev","showheaders=f","showids=f")</f>
        <v/>
      </c>
      <c r="H536" s="105" t="n"/>
      <c r="J536" s="104">
        <f>BDH($C536,"PX_LAST","-5AY","","Per=Y","cols=2;rows=5")</f>
        <v/>
      </c>
      <c r="K536" s="106" t="n"/>
    </row>
    <row r="537">
      <c r="D537" s="102" t="n"/>
      <c r="E537" s="105" t="n"/>
      <c r="G537" s="102" t="n"/>
      <c r="H537" s="105" t="n"/>
      <c r="J537" s="102" t="n"/>
      <c r="K537" s="106" t="n"/>
    </row>
    <row r="538">
      <c r="D538" s="102" t="n"/>
      <c r="E538" s="105" t="n"/>
      <c r="G538" s="102" t="n"/>
      <c r="H538" s="105" t="n"/>
      <c r="J538" s="102" t="n"/>
      <c r="K538" s="106" t="n"/>
    </row>
    <row r="539">
      <c r="D539" s="102" t="n"/>
      <c r="E539" s="105" t="n"/>
      <c r="G539" s="102" t="n"/>
      <c r="H539" s="105" t="n"/>
      <c r="J539" s="102" t="n"/>
      <c r="K539" s="106" t="n"/>
    </row>
    <row r="540">
      <c r="D540" s="102" t="n"/>
      <c r="E540" s="105" t="n"/>
      <c r="G540" s="102" t="n"/>
      <c r="H540" s="105" t="n"/>
      <c r="J540" s="102" t="n"/>
      <c r="K540" s="106" t="n"/>
    </row>
    <row r="542">
      <c r="B542" s="2">
        <f>IF(HSI!$C$96="","",HSI!$C$96)</f>
        <v/>
      </c>
      <c r="C542" s="2">
        <f>IF(PULL_FUND="N","",IF(HSI!$C$96="","",HSI!$C$96))</f>
        <v/>
      </c>
      <c r="D542" s="104">
        <f>BDH($C542,NDE_FIELD,"-5AY","","Per=Y","cols=2;rows=5")</f>
        <v/>
      </c>
      <c r="E542" s="105" t="n"/>
      <c r="G542" s="104">
        <f>BQL($C542,BUYBACK_QUERY,$C$4,"fill=prev","showheaders=f","showids=f")</f>
        <v/>
      </c>
      <c r="H542" s="105" t="n"/>
      <c r="J542" s="104">
        <f>BDH($C542,"PX_LAST","-5AY","","Per=Y","cols=2;rows=5")</f>
        <v/>
      </c>
      <c r="K542" s="106" t="n"/>
    </row>
    <row r="543">
      <c r="D543" s="102" t="n"/>
      <c r="E543" s="105" t="n"/>
      <c r="G543" s="102" t="n"/>
      <c r="H543" s="105" t="n"/>
      <c r="J543" s="102" t="n"/>
      <c r="K543" s="106" t="n"/>
    </row>
    <row r="544">
      <c r="D544" s="102" t="n"/>
      <c r="E544" s="105" t="n"/>
      <c r="G544" s="102" t="n"/>
      <c r="H544" s="105" t="n"/>
      <c r="J544" s="102" t="n"/>
      <c r="K544" s="106" t="n"/>
    </row>
    <row r="545">
      <c r="D545" s="102" t="n"/>
      <c r="E545" s="105" t="n"/>
      <c r="G545" s="102" t="n"/>
      <c r="H545" s="105" t="n"/>
      <c r="J545" s="102" t="n"/>
      <c r="K545" s="106" t="n"/>
    </row>
    <row r="546">
      <c r="D546" s="102" t="n"/>
      <c r="E546" s="105" t="n"/>
      <c r="G546" s="102" t="n"/>
      <c r="H546" s="105" t="n"/>
      <c r="J546" s="102" t="n"/>
      <c r="K546" s="106" t="n"/>
    </row>
    <row r="548">
      <c r="B548" s="2">
        <f>IF(HSI!$C$97="","",HSI!$C$97)</f>
        <v/>
      </c>
      <c r="C548" s="2">
        <f>IF(PULL_FUND="N","",IF(HSI!$C$97="","",HSI!$C$97))</f>
        <v/>
      </c>
      <c r="D548" s="104">
        <f>BDH($C548,NDE_FIELD,"-5AY","","Per=Y","cols=2;rows=5")</f>
        <v/>
      </c>
      <c r="E548" s="105" t="n"/>
      <c r="G548" s="104">
        <f>BQL($C548,BUYBACK_QUERY,$C$4,"fill=prev","showheaders=f","showids=f")</f>
        <v/>
      </c>
      <c r="H548" s="105" t="n"/>
      <c r="J548" s="104">
        <f>BDH($C548,"PX_LAST","-5AY","","Per=Y","cols=2;rows=5")</f>
        <v/>
      </c>
      <c r="K548" s="106" t="n"/>
    </row>
    <row r="549">
      <c r="D549" s="102" t="n"/>
      <c r="E549" s="105" t="n"/>
      <c r="G549" s="102" t="n"/>
      <c r="H549" s="105" t="n"/>
      <c r="J549" s="102" t="n"/>
      <c r="K549" s="106" t="n"/>
    </row>
    <row r="550">
      <c r="D550" s="102" t="n"/>
      <c r="E550" s="105" t="n"/>
      <c r="G550" s="102" t="n"/>
      <c r="H550" s="105" t="n"/>
      <c r="J550" s="102" t="n"/>
      <c r="K550" s="106" t="n"/>
    </row>
    <row r="551">
      <c r="D551" s="102" t="n"/>
      <c r="E551" s="105" t="n"/>
      <c r="G551" s="102" t="n"/>
      <c r="H551" s="105" t="n"/>
      <c r="J551" s="102" t="n"/>
      <c r="K551" s="106" t="n"/>
    </row>
    <row r="552">
      <c r="D552" s="102" t="n"/>
      <c r="E552" s="105" t="n"/>
      <c r="G552" s="102" t="n"/>
      <c r="H552" s="105" t="n"/>
      <c r="J552" s="102" t="n"/>
      <c r="K552" s="106" t="n"/>
    </row>
    <row r="554">
      <c r="B554" s="2">
        <f>IF(HSI!$C$98="","",HSI!$C$98)</f>
        <v/>
      </c>
      <c r="C554" s="2">
        <f>IF(PULL_FUND="N","",IF(HSI!$C$98="","",HSI!$C$98))</f>
        <v/>
      </c>
      <c r="D554" s="104">
        <f>BDH($C554,NDE_FIELD,"-5AY","","Per=Y","cols=2;rows=5")</f>
        <v/>
      </c>
      <c r="E554" s="105" t="n"/>
      <c r="G554" s="104">
        <f>BQL($C554,BUYBACK_QUERY,$C$4,"fill=prev","showheaders=f","showids=f")</f>
        <v/>
      </c>
      <c r="H554" s="105" t="n"/>
      <c r="J554" s="104">
        <f>BDH($C554,"PX_LAST","-5AY","","Per=Y","cols=2;rows=5")</f>
        <v/>
      </c>
      <c r="K554" s="106" t="n"/>
    </row>
    <row r="555">
      <c r="D555" s="102" t="n"/>
      <c r="E555" s="105" t="n"/>
      <c r="G555" s="102" t="n"/>
      <c r="H555" s="105" t="n"/>
      <c r="J555" s="102" t="n"/>
      <c r="K555" s="106" t="n"/>
    </row>
    <row r="556">
      <c r="D556" s="102" t="n"/>
      <c r="E556" s="105" t="n"/>
      <c r="G556" s="102" t="n"/>
      <c r="H556" s="105" t="n"/>
      <c r="J556" s="102" t="n"/>
      <c r="K556" s="106" t="n"/>
    </row>
    <row r="557">
      <c r="D557" s="102" t="n"/>
      <c r="E557" s="105" t="n"/>
      <c r="G557" s="102" t="n"/>
      <c r="H557" s="105" t="n"/>
      <c r="J557" s="102" t="n"/>
      <c r="K557" s="106" t="n"/>
    </row>
    <row r="558">
      <c r="D558" s="102" t="n"/>
      <c r="E558" s="105" t="n"/>
      <c r="G558" s="102" t="n"/>
      <c r="H558" s="105" t="n"/>
      <c r="J558" s="102" t="n"/>
      <c r="K558" s="106" t="n"/>
    </row>
    <row r="560">
      <c r="B560" s="2">
        <f>IF(HSI!$C$99="","",HSI!$C$99)</f>
        <v/>
      </c>
      <c r="C560" s="2">
        <f>IF(PULL_FUND="N","",IF(HSI!$C$99="","",HSI!$C$99))</f>
        <v/>
      </c>
      <c r="D560" s="104">
        <f>BDH($C560,NDE_FIELD,"-5AY","","Per=Y","cols=2;rows=5")</f>
        <v/>
      </c>
      <c r="E560" s="105" t="n"/>
      <c r="G560" s="104">
        <f>BQL($C560,BUYBACK_QUERY,$C$4,"fill=prev","showheaders=f","showids=f")</f>
        <v/>
      </c>
      <c r="H560" s="105" t="n"/>
      <c r="J560" s="104">
        <f>BDH($C560,"PX_LAST","-5AY","","Per=Y","cols=2;rows=5")</f>
        <v/>
      </c>
      <c r="K560" s="106" t="n"/>
    </row>
    <row r="561">
      <c r="D561" s="102" t="n"/>
      <c r="E561" s="105" t="n"/>
      <c r="G561" s="102" t="n"/>
      <c r="H561" s="105" t="n"/>
      <c r="J561" s="102" t="n"/>
      <c r="K561" s="106" t="n"/>
    </row>
    <row r="562">
      <c r="D562" s="102" t="n"/>
      <c r="E562" s="105" t="n"/>
      <c r="G562" s="102" t="n"/>
      <c r="H562" s="105" t="n"/>
      <c r="J562" s="102" t="n"/>
      <c r="K562" s="106" t="n"/>
    </row>
    <row r="563">
      <c r="D563" s="102" t="n"/>
      <c r="E563" s="105" t="n"/>
      <c r="G563" s="102" t="n"/>
      <c r="H563" s="105" t="n"/>
      <c r="J563" s="102" t="n"/>
      <c r="K563" s="106" t="n"/>
    </row>
    <row r="564">
      <c r="D564" s="102" t="n"/>
      <c r="E564" s="105" t="n"/>
      <c r="G564" s="102" t="n"/>
      <c r="H564" s="105" t="n"/>
      <c r="J564" s="102" t="n"/>
      <c r="K564" s="106" t="n"/>
    </row>
    <row r="566">
      <c r="B566" s="2">
        <f>IF(HSI!$C$100="","",HSI!$C$100)</f>
        <v/>
      </c>
      <c r="C566" s="2">
        <f>IF(PULL_FUND="N","",IF(HSI!$C$100="","",HSI!$C$100))</f>
        <v/>
      </c>
      <c r="D566" s="104">
        <f>BDH($C566,NDE_FIELD,"-5AY","","Per=Y","cols=2;rows=5")</f>
        <v/>
      </c>
      <c r="E566" s="105" t="n"/>
      <c r="G566" s="104">
        <f>BQL($C566,BUYBACK_QUERY,$C$4,"fill=prev","showheaders=f","showids=f")</f>
        <v/>
      </c>
      <c r="H566" s="105" t="n"/>
      <c r="J566" s="104">
        <f>BDH($C566,"PX_LAST","-5AY","","Per=Y","cols=2;rows=5")</f>
        <v/>
      </c>
      <c r="K566" s="106" t="n"/>
    </row>
    <row r="567">
      <c r="D567" s="102" t="n"/>
      <c r="E567" s="105" t="n"/>
      <c r="G567" s="102" t="n"/>
      <c r="H567" s="105" t="n"/>
      <c r="J567" s="102" t="n"/>
      <c r="K567" s="106" t="n"/>
    </row>
    <row r="568">
      <c r="D568" s="102" t="n"/>
      <c r="E568" s="105" t="n"/>
      <c r="G568" s="102" t="n"/>
      <c r="H568" s="105" t="n"/>
      <c r="J568" s="102" t="n"/>
      <c r="K568" s="106" t="n"/>
    </row>
    <row r="569">
      <c r="D569" s="102" t="n"/>
      <c r="E569" s="105" t="n"/>
      <c r="G569" s="102" t="n"/>
      <c r="H569" s="105" t="n"/>
      <c r="J569" s="102" t="n"/>
      <c r="K569" s="106" t="n"/>
    </row>
    <row r="570">
      <c r="D570" s="102" t="n"/>
      <c r="E570" s="105" t="n"/>
      <c r="G570" s="102" t="n"/>
      <c r="H570" s="105" t="n"/>
      <c r="J570" s="102" t="n"/>
      <c r="K570" s="106" t="n"/>
    </row>
    <row r="572">
      <c r="B572" s="2">
        <f>IF(HSI!$C$101="","",HSI!$C$101)</f>
        <v/>
      </c>
      <c r="C572" s="2">
        <f>IF(PULL_FUND="N","",IF(HSI!$C$101="","",HSI!$C$101))</f>
        <v/>
      </c>
      <c r="D572" s="104">
        <f>BDH($C572,NDE_FIELD,"-5AY","","Per=Y","cols=2;rows=5")</f>
        <v/>
      </c>
      <c r="E572" s="105" t="n"/>
      <c r="G572" s="104">
        <f>BQL($C572,BUYBACK_QUERY,$C$4,"fill=prev","showheaders=f","showids=f")</f>
        <v/>
      </c>
      <c r="H572" s="105" t="n"/>
      <c r="J572" s="104">
        <f>BDH($C572,"PX_LAST","-5AY","","Per=Y","cols=2;rows=5")</f>
        <v/>
      </c>
      <c r="K572" s="106" t="n"/>
    </row>
    <row r="573">
      <c r="D573" s="102" t="n"/>
      <c r="E573" s="105" t="n"/>
      <c r="G573" s="102" t="n"/>
      <c r="H573" s="105" t="n"/>
      <c r="J573" s="102" t="n"/>
      <c r="K573" s="106" t="n"/>
    </row>
    <row r="574">
      <c r="D574" s="102" t="n"/>
      <c r="E574" s="105" t="n"/>
      <c r="G574" s="102" t="n"/>
      <c r="H574" s="105" t="n"/>
      <c r="J574" s="102" t="n"/>
      <c r="K574" s="106" t="n"/>
    </row>
    <row r="575">
      <c r="D575" s="102" t="n"/>
      <c r="E575" s="105" t="n"/>
      <c r="G575" s="102" t="n"/>
      <c r="H575" s="105" t="n"/>
      <c r="J575" s="102" t="n"/>
      <c r="K575" s="106" t="n"/>
    </row>
    <row r="576">
      <c r="D576" s="102" t="n"/>
      <c r="E576" s="105" t="n"/>
      <c r="G576" s="102" t="n"/>
      <c r="H576" s="105" t="n"/>
      <c r="J576" s="102" t="n"/>
      <c r="K576" s="106" t="n"/>
    </row>
    <row r="578">
      <c r="B578" s="2">
        <f>IF(HSI!$C$102="","",HSI!$C$102)</f>
        <v/>
      </c>
      <c r="C578" s="2">
        <f>IF(PULL_FUND="N","",IF(HSI!$C$102="","",HSI!$C$102))</f>
        <v/>
      </c>
      <c r="D578" s="104">
        <f>BDH($C578,NDE_FIELD,"-5AY","","Per=Y","cols=2;rows=5")</f>
        <v/>
      </c>
      <c r="E578" s="105" t="n"/>
      <c r="G578" s="104">
        <f>BQL($C578,BUYBACK_QUERY,$C$4,"fill=prev","showheaders=f","showids=f")</f>
        <v/>
      </c>
      <c r="H578" s="105" t="n"/>
      <c r="J578" s="104">
        <f>BDH($C578,"PX_LAST","-5AY","","Per=Y","cols=2;rows=5")</f>
        <v/>
      </c>
      <c r="K578" s="106" t="n"/>
    </row>
    <row r="579">
      <c r="D579" s="102" t="n"/>
      <c r="E579" s="105" t="n"/>
      <c r="G579" s="102" t="n"/>
      <c r="H579" s="105" t="n"/>
      <c r="J579" s="102" t="n"/>
      <c r="K579" s="106" t="n"/>
    </row>
    <row r="580">
      <c r="D580" s="102" t="n"/>
      <c r="E580" s="105" t="n"/>
      <c r="G580" s="102" t="n"/>
      <c r="H580" s="105" t="n"/>
      <c r="J580" s="102" t="n"/>
      <c r="K580" s="106" t="n"/>
    </row>
    <row r="581">
      <c r="D581" s="102" t="n"/>
      <c r="E581" s="105" t="n"/>
      <c r="G581" s="102" t="n"/>
      <c r="H581" s="105" t="n"/>
      <c r="J581" s="102" t="n"/>
      <c r="K581" s="106" t="n"/>
    </row>
    <row r="582">
      <c r="D582" s="102" t="n"/>
      <c r="E582" s="105" t="n"/>
      <c r="G582" s="102" t="n"/>
      <c r="H582" s="105" t="n"/>
      <c r="J582" s="102" t="n"/>
      <c r="K582" s="106" t="n"/>
    </row>
    <row r="584">
      <c r="B584" s="2">
        <f>IF(HSI!$C$103="","",HSI!$C$103)</f>
        <v/>
      </c>
      <c r="C584" s="2">
        <f>IF(PULL_FUND="N","",IF(HSI!$C$103="","",HSI!$C$103))</f>
        <v/>
      </c>
      <c r="D584" s="104">
        <f>BDH($C584,NDE_FIELD,"-5AY","","Per=Y","cols=2;rows=5")</f>
        <v/>
      </c>
      <c r="E584" s="105" t="n"/>
      <c r="G584" s="104">
        <f>BQL($C584,BUYBACK_QUERY,$C$4,"fill=prev","showheaders=f","showids=f")</f>
        <v/>
      </c>
      <c r="H584" s="105" t="n"/>
      <c r="J584" s="104">
        <f>BDH($C584,"PX_LAST","-5AY","","Per=Y","cols=2;rows=5")</f>
        <v/>
      </c>
      <c r="K584" s="106" t="n"/>
    </row>
    <row r="585">
      <c r="D585" s="102" t="n"/>
      <c r="E585" s="105" t="n"/>
      <c r="G585" s="102" t="n"/>
      <c r="H585" s="105" t="n"/>
      <c r="J585" s="102" t="n"/>
      <c r="K585" s="106" t="n"/>
    </row>
    <row r="586">
      <c r="D586" s="102" t="n"/>
      <c r="E586" s="105" t="n"/>
      <c r="G586" s="102" t="n"/>
      <c r="H586" s="105" t="n"/>
      <c r="J586" s="102" t="n"/>
      <c r="K586" s="106" t="n"/>
    </row>
    <row r="587">
      <c r="D587" s="102" t="n"/>
      <c r="E587" s="105" t="n"/>
      <c r="G587" s="102" t="n"/>
      <c r="H587" s="105" t="n"/>
      <c r="J587" s="102" t="n"/>
      <c r="K587" s="106" t="n"/>
    </row>
    <row r="588">
      <c r="D588" s="102" t="n"/>
      <c r="E588" s="105" t="n"/>
      <c r="G588" s="102" t="n"/>
      <c r="H588" s="105" t="n"/>
      <c r="J588" s="102" t="n"/>
      <c r="K588" s="106" t="n"/>
    </row>
    <row r="590">
      <c r="B590" s="2">
        <f>IF(HSI!$C$104="","",HSI!$C$104)</f>
        <v/>
      </c>
      <c r="C590" s="2">
        <f>IF(PULL_FUND="N","",IF(HSI!$C$104="","",HSI!$C$104))</f>
        <v/>
      </c>
      <c r="D590" s="104">
        <f>BDH($C590,NDE_FIELD,"-5AY","","Per=Y","cols=2;rows=5")</f>
        <v/>
      </c>
      <c r="E590" s="105" t="n"/>
      <c r="G590" s="104">
        <f>BQL($C590,BUYBACK_QUERY,$C$4,"fill=prev","showheaders=f","showids=f")</f>
        <v/>
      </c>
      <c r="H590" s="105" t="n"/>
      <c r="J590" s="104">
        <f>BDH($C590,"PX_LAST","-5AY","","Per=Y","cols=2;rows=5")</f>
        <v/>
      </c>
      <c r="K590" s="106" t="n"/>
    </row>
    <row r="591">
      <c r="D591" s="102" t="n"/>
      <c r="E591" s="105" t="n"/>
      <c r="G591" s="102" t="n"/>
      <c r="H591" s="105" t="n"/>
      <c r="J591" s="102" t="n"/>
      <c r="K591" s="106" t="n"/>
    </row>
    <row r="592">
      <c r="D592" s="102" t="n"/>
      <c r="E592" s="105" t="n"/>
      <c r="G592" s="102" t="n"/>
      <c r="H592" s="105" t="n"/>
      <c r="J592" s="102" t="n"/>
      <c r="K592" s="106" t="n"/>
    </row>
    <row r="593">
      <c r="D593" s="102" t="n"/>
      <c r="E593" s="105" t="n"/>
      <c r="G593" s="102" t="n"/>
      <c r="H593" s="105" t="n"/>
      <c r="J593" s="102" t="n"/>
      <c r="K593" s="106" t="n"/>
    </row>
    <row r="594">
      <c r="D594" s="102" t="n"/>
      <c r="E594" s="105" t="n"/>
      <c r="G594" s="102" t="n"/>
      <c r="H594" s="105" t="n"/>
      <c r="J594" s="102" t="n"/>
      <c r="K594" s="106" t="n"/>
    </row>
    <row r="596">
      <c r="B596" s="2">
        <f>IF(HSI!$C$105="","",HSI!$C$105)</f>
        <v/>
      </c>
      <c r="C596" s="2">
        <f>IF(PULL_FUND="N","",IF(HSI!$C$105="","",HSI!$C$105))</f>
        <v/>
      </c>
      <c r="D596" s="104">
        <f>BDH($C596,NDE_FIELD,"-5AY","","Per=Y","cols=2;rows=5")</f>
        <v/>
      </c>
      <c r="E596" s="105" t="n"/>
      <c r="G596" s="104">
        <f>BQL($C596,BUYBACK_QUERY,$C$4,"fill=prev","showheaders=f","showids=f")</f>
        <v/>
      </c>
      <c r="H596" s="105" t="n"/>
      <c r="J596" s="104">
        <f>BDH($C596,"PX_LAST","-5AY","","Per=Y","cols=2;rows=5")</f>
        <v/>
      </c>
      <c r="K596" s="106" t="n"/>
    </row>
    <row r="597">
      <c r="D597" s="102" t="n"/>
      <c r="E597" s="105" t="n"/>
      <c r="G597" s="102" t="n"/>
      <c r="H597" s="105" t="n"/>
      <c r="J597" s="102" t="n"/>
      <c r="K597" s="106" t="n"/>
    </row>
    <row r="598">
      <c r="D598" s="102" t="n"/>
      <c r="E598" s="105" t="n"/>
      <c r="G598" s="102" t="n"/>
      <c r="H598" s="105" t="n"/>
      <c r="J598" s="102" t="n"/>
      <c r="K598" s="106" t="n"/>
    </row>
    <row r="599">
      <c r="D599" s="102" t="n"/>
      <c r="E599" s="105" t="n"/>
      <c r="G599" s="102" t="n"/>
      <c r="H599" s="105" t="n"/>
      <c r="J599" s="102" t="n"/>
      <c r="K599" s="106" t="n"/>
    </row>
    <row r="600">
      <c r="D600" s="102" t="n"/>
      <c r="E600" s="105" t="n"/>
      <c r="G600" s="102" t="n"/>
      <c r="H600" s="105" t="n"/>
      <c r="J600" s="102" t="n"/>
      <c r="K600" s="106" t="n"/>
    </row>
    <row r="602">
      <c r="B602" s="2">
        <f>IF(HSI!$C$106="","",HSI!$C$106)</f>
        <v/>
      </c>
      <c r="C602" s="2">
        <f>IF(PULL_FUND="N","",IF(HSI!$C$106="","",HSI!$C$106))</f>
        <v/>
      </c>
      <c r="D602" s="104">
        <f>BDH($C602,NDE_FIELD,"-5AY","","Per=Y","cols=2;rows=5")</f>
        <v/>
      </c>
      <c r="E602" s="105" t="n"/>
      <c r="G602" s="104">
        <f>BQL($C602,BUYBACK_QUERY,$C$4,"fill=prev","showheaders=f","showids=f")</f>
        <v/>
      </c>
      <c r="H602" s="105" t="n"/>
      <c r="J602" s="104">
        <f>BDH($C602,"PX_LAST","-5AY","","Per=Y","cols=2;rows=5")</f>
        <v/>
      </c>
      <c r="K602" s="106" t="n"/>
    </row>
    <row r="603">
      <c r="D603" s="102" t="n"/>
      <c r="E603" s="105" t="n"/>
      <c r="G603" s="102" t="n"/>
      <c r="H603" s="105" t="n"/>
      <c r="J603" s="102" t="n"/>
      <c r="K603" s="106" t="n"/>
    </row>
    <row r="604">
      <c r="D604" s="102" t="n"/>
      <c r="E604" s="105" t="n"/>
      <c r="G604" s="102" t="n"/>
      <c r="H604" s="105" t="n"/>
      <c r="J604" s="102" t="n"/>
      <c r="K604" s="106" t="n"/>
    </row>
    <row r="605">
      <c r="D605" s="102" t="n"/>
      <c r="E605" s="105" t="n"/>
      <c r="G605" s="102" t="n"/>
      <c r="H605" s="105" t="n"/>
      <c r="J605" s="102" t="n"/>
      <c r="K605" s="106" t="n"/>
    </row>
    <row r="606">
      <c r="D606" s="102" t="n"/>
      <c r="E606" s="105" t="n"/>
      <c r="G606" s="102" t="n"/>
      <c r="H606" s="105" t="n"/>
      <c r="J606" s="102" t="n"/>
      <c r="K606" s="106" t="n"/>
    </row>
    <row r="610">
      <c r="B610" s="6" t="inlineStr">
        <is>
          <t>Hang Seng TECH Index (HSTECH)</t>
        </is>
      </c>
      <c r="C610" s="7" t="n"/>
      <c r="D610" s="10">
        <f>IF(COUNT($D$612:$D$851)&gt;0,"BDH shape OK - dates in column D",IF(COUNT($E$612:$E$851)&gt;0,"CHECK: BDH returned values but NO date column - tell Claude","BDH: nothing pulled yet"))</f>
        <v/>
      </c>
      <c r="E610" s="7" t="n"/>
      <c r="F610" s="7" t="n"/>
      <c r="G610" s="10">
        <f>IF(COUNT($G$612:$G$851)&gt;0,"BQL shape OK - dates in column G",IF(COUNT($H$612:$H$851)&gt;0,"CHECK: BQL returned values but NO date column - tell Claude","BQL: nothing pulled yet"))</f>
        <v/>
      </c>
      <c r="H610" s="7" t="n"/>
      <c r="J610" s="2">
        <f>IF(COUNT($J$612:$J$851)&gt;0,"PX shape OK - dates in column J",IF(COUNT($K$612:$K$851)&gt;0,"CHECK: PX returned values but NO date column - tell Claude","PX: nothing pulled yet"))</f>
        <v/>
      </c>
    </row>
    <row r="611">
      <c r="D611" s="2" t="inlineStr">
        <is>
          <t>net debt/equity (BDH)</t>
        </is>
      </c>
      <c r="G611" s="2" t="inlineStr">
        <is>
          <t>buyback yield (BQL)</t>
        </is>
      </c>
      <c r="J611" s="2" t="inlineStr">
        <is>
          <t>year-end price (BDH)</t>
        </is>
      </c>
    </row>
    <row r="612">
      <c r="B612" s="2">
        <f>IF(HSTECH!$C$7="","",HSTECH!$C$7)</f>
        <v/>
      </c>
      <c r="C612" s="2">
        <f>IF(PULL_FUND="N","",IF(HSTECH!$C$7="","",HSTECH!$C$7))</f>
        <v/>
      </c>
      <c r="D612" s="104">
        <f>BDH($C612,NDE_FIELD,"-5AY","","Per=Y","cols=2;rows=5")</f>
        <v/>
      </c>
      <c r="E612" s="105" t="n"/>
      <c r="G612" s="104">
        <f>BQL($C612,BUYBACK_QUERY,$C$4,"fill=prev","showheaders=f","showids=f")</f>
        <v/>
      </c>
      <c r="H612" s="105" t="n"/>
      <c r="J612" s="104">
        <f>BDH($C612,"PX_LAST","-5AY","","Per=Y","cols=2;rows=5")</f>
        <v/>
      </c>
      <c r="K612" s="106" t="n"/>
    </row>
    <row r="613">
      <c r="D613" s="102" t="n"/>
      <c r="E613" s="105" t="n"/>
      <c r="G613" s="102" t="n"/>
      <c r="H613" s="105" t="n"/>
      <c r="J613" s="102" t="n"/>
      <c r="K613" s="106" t="n"/>
    </row>
    <row r="614">
      <c r="D614" s="102" t="n"/>
      <c r="E614" s="105" t="n"/>
      <c r="G614" s="102" t="n"/>
      <c r="H614" s="105" t="n"/>
      <c r="J614" s="102" t="n"/>
      <c r="K614" s="106" t="n"/>
    </row>
    <row r="615">
      <c r="D615" s="102" t="n"/>
      <c r="E615" s="105" t="n"/>
      <c r="G615" s="102" t="n"/>
      <c r="H615" s="105" t="n"/>
      <c r="J615" s="102" t="n"/>
      <c r="K615" s="106" t="n"/>
    </row>
    <row r="616">
      <c r="D616" s="102" t="n"/>
      <c r="E616" s="105" t="n"/>
      <c r="G616" s="102" t="n"/>
      <c r="H616" s="105" t="n"/>
      <c r="J616" s="102" t="n"/>
      <c r="K616" s="106" t="n"/>
    </row>
    <row r="618">
      <c r="B618" s="2">
        <f>IF(HSTECH!$C$8="","",HSTECH!$C$8)</f>
        <v/>
      </c>
      <c r="C618" s="2">
        <f>IF(PULL_FUND="N","",IF(HSTECH!$C$8="","",HSTECH!$C$8))</f>
        <v/>
      </c>
      <c r="D618" s="104">
        <f>BDH($C618,NDE_FIELD,"-5AY","","Per=Y","cols=2;rows=5")</f>
        <v/>
      </c>
      <c r="E618" s="105" t="n"/>
      <c r="G618" s="104">
        <f>BQL($C618,BUYBACK_QUERY,$C$4,"fill=prev","showheaders=f","showids=f")</f>
        <v/>
      </c>
      <c r="H618" s="105" t="n"/>
      <c r="J618" s="104">
        <f>BDH($C618,"PX_LAST","-5AY","","Per=Y","cols=2;rows=5")</f>
        <v/>
      </c>
      <c r="K618" s="106" t="n"/>
    </row>
    <row r="619">
      <c r="D619" s="102" t="n"/>
      <c r="E619" s="105" t="n"/>
      <c r="G619" s="102" t="n"/>
      <c r="H619" s="105" t="n"/>
      <c r="J619" s="102" t="n"/>
      <c r="K619" s="106" t="n"/>
    </row>
    <row r="620">
      <c r="D620" s="102" t="n"/>
      <c r="E620" s="105" t="n"/>
      <c r="G620" s="102" t="n"/>
      <c r="H620" s="105" t="n"/>
      <c r="J620" s="102" t="n"/>
      <c r="K620" s="106" t="n"/>
    </row>
    <row r="621">
      <c r="D621" s="102" t="n"/>
      <c r="E621" s="105" t="n"/>
      <c r="G621" s="102" t="n"/>
      <c r="H621" s="105" t="n"/>
      <c r="J621" s="102" t="n"/>
      <c r="K621" s="106" t="n"/>
    </row>
    <row r="622">
      <c r="D622" s="102" t="n"/>
      <c r="E622" s="105" t="n"/>
      <c r="G622" s="102" t="n"/>
      <c r="H622" s="105" t="n"/>
      <c r="J622" s="102" t="n"/>
      <c r="K622" s="106" t="n"/>
    </row>
    <row r="624">
      <c r="B624" s="2">
        <f>IF(HSTECH!$C$9="","",HSTECH!$C$9)</f>
        <v/>
      </c>
      <c r="C624" s="2">
        <f>IF(PULL_FUND="N","",IF(HSTECH!$C$9="","",HSTECH!$C$9))</f>
        <v/>
      </c>
      <c r="D624" s="104">
        <f>BDH($C624,NDE_FIELD,"-5AY","","Per=Y","cols=2;rows=5")</f>
        <v/>
      </c>
      <c r="E624" s="105" t="n"/>
      <c r="G624" s="104">
        <f>BQL($C624,BUYBACK_QUERY,$C$4,"fill=prev","showheaders=f","showids=f")</f>
        <v/>
      </c>
      <c r="H624" s="105" t="n"/>
      <c r="J624" s="104">
        <f>BDH($C624,"PX_LAST","-5AY","","Per=Y","cols=2;rows=5")</f>
        <v/>
      </c>
      <c r="K624" s="106" t="n"/>
    </row>
    <row r="625">
      <c r="D625" s="102" t="n"/>
      <c r="E625" s="105" t="n"/>
      <c r="G625" s="102" t="n"/>
      <c r="H625" s="105" t="n"/>
      <c r="J625" s="102" t="n"/>
      <c r="K625" s="106" t="n"/>
    </row>
    <row r="626">
      <c r="D626" s="102" t="n"/>
      <c r="E626" s="105" t="n"/>
      <c r="G626" s="102" t="n"/>
      <c r="H626" s="105" t="n"/>
      <c r="J626" s="102" t="n"/>
      <c r="K626" s="106" t="n"/>
    </row>
    <row r="627">
      <c r="D627" s="102" t="n"/>
      <c r="E627" s="105" t="n"/>
      <c r="G627" s="102" t="n"/>
      <c r="H627" s="105" t="n"/>
      <c r="J627" s="102" t="n"/>
      <c r="K627" s="106" t="n"/>
    </row>
    <row r="628">
      <c r="D628" s="102" t="n"/>
      <c r="E628" s="105" t="n"/>
      <c r="G628" s="102" t="n"/>
      <c r="H628" s="105" t="n"/>
      <c r="J628" s="102" t="n"/>
      <c r="K628" s="106" t="n"/>
    </row>
    <row r="630">
      <c r="B630" s="2">
        <f>IF(HSTECH!$C$10="","",HSTECH!$C$10)</f>
        <v/>
      </c>
      <c r="C630" s="2">
        <f>IF(PULL_FUND="N","",IF(HSTECH!$C$10="","",HSTECH!$C$10))</f>
        <v/>
      </c>
      <c r="D630" s="104">
        <f>BDH($C630,NDE_FIELD,"-5AY","","Per=Y","cols=2;rows=5")</f>
        <v/>
      </c>
      <c r="E630" s="105" t="n"/>
      <c r="G630" s="104">
        <f>BQL($C630,BUYBACK_QUERY,$C$4,"fill=prev","showheaders=f","showids=f")</f>
        <v/>
      </c>
      <c r="H630" s="105" t="n"/>
      <c r="J630" s="104">
        <f>BDH($C630,"PX_LAST","-5AY","","Per=Y","cols=2;rows=5")</f>
        <v/>
      </c>
      <c r="K630" s="106" t="n"/>
    </row>
    <row r="631">
      <c r="D631" s="102" t="n"/>
      <c r="E631" s="105" t="n"/>
      <c r="G631" s="102" t="n"/>
      <c r="H631" s="105" t="n"/>
      <c r="J631" s="102" t="n"/>
      <c r="K631" s="106" t="n"/>
    </row>
    <row r="632">
      <c r="D632" s="102" t="n"/>
      <c r="E632" s="105" t="n"/>
      <c r="G632" s="102" t="n"/>
      <c r="H632" s="105" t="n"/>
      <c r="J632" s="102" t="n"/>
      <c r="K632" s="106" t="n"/>
    </row>
    <row r="633">
      <c r="D633" s="102" t="n"/>
      <c r="E633" s="105" t="n"/>
      <c r="G633" s="102" t="n"/>
      <c r="H633" s="105" t="n"/>
      <c r="J633" s="102" t="n"/>
      <c r="K633" s="106" t="n"/>
    </row>
    <row r="634">
      <c r="D634" s="102" t="n"/>
      <c r="E634" s="105" t="n"/>
      <c r="G634" s="102" t="n"/>
      <c r="H634" s="105" t="n"/>
      <c r="J634" s="102" t="n"/>
      <c r="K634" s="106" t="n"/>
    </row>
    <row r="636">
      <c r="B636" s="2">
        <f>IF(HSTECH!$C$11="","",HSTECH!$C$11)</f>
        <v/>
      </c>
      <c r="C636" s="2">
        <f>IF(PULL_FUND="N","",IF(HSTECH!$C$11="","",HSTECH!$C$11))</f>
        <v/>
      </c>
      <c r="D636" s="104">
        <f>BDH($C636,NDE_FIELD,"-5AY","","Per=Y","cols=2;rows=5")</f>
        <v/>
      </c>
      <c r="E636" s="105" t="n"/>
      <c r="G636" s="104">
        <f>BQL($C636,BUYBACK_QUERY,$C$4,"fill=prev","showheaders=f","showids=f")</f>
        <v/>
      </c>
      <c r="H636" s="105" t="n"/>
      <c r="J636" s="104">
        <f>BDH($C636,"PX_LAST","-5AY","","Per=Y","cols=2;rows=5")</f>
        <v/>
      </c>
      <c r="K636" s="106" t="n"/>
    </row>
    <row r="637">
      <c r="D637" s="102" t="n"/>
      <c r="E637" s="105" t="n"/>
      <c r="G637" s="102" t="n"/>
      <c r="H637" s="105" t="n"/>
      <c r="J637" s="102" t="n"/>
      <c r="K637" s="106" t="n"/>
    </row>
    <row r="638">
      <c r="D638" s="102" t="n"/>
      <c r="E638" s="105" t="n"/>
      <c r="G638" s="102" t="n"/>
      <c r="H638" s="105" t="n"/>
      <c r="J638" s="102" t="n"/>
      <c r="K638" s="106" t="n"/>
    </row>
    <row r="639">
      <c r="D639" s="102" t="n"/>
      <c r="E639" s="105" t="n"/>
      <c r="G639" s="102" t="n"/>
      <c r="H639" s="105" t="n"/>
      <c r="J639" s="102" t="n"/>
      <c r="K639" s="106" t="n"/>
    </row>
    <row r="640">
      <c r="D640" s="102" t="n"/>
      <c r="E640" s="105" t="n"/>
      <c r="G640" s="102" t="n"/>
      <c r="H640" s="105" t="n"/>
      <c r="J640" s="102" t="n"/>
      <c r="K640" s="106" t="n"/>
    </row>
    <row r="642">
      <c r="B642" s="2">
        <f>IF(HSTECH!$C$12="","",HSTECH!$C$12)</f>
        <v/>
      </c>
      <c r="C642" s="2">
        <f>IF(PULL_FUND="N","",IF(HSTECH!$C$12="","",HSTECH!$C$12))</f>
        <v/>
      </c>
      <c r="D642" s="104">
        <f>BDH($C642,NDE_FIELD,"-5AY","","Per=Y","cols=2;rows=5")</f>
        <v/>
      </c>
      <c r="E642" s="105" t="n"/>
      <c r="G642" s="104">
        <f>BQL($C642,BUYBACK_QUERY,$C$4,"fill=prev","showheaders=f","showids=f")</f>
        <v/>
      </c>
      <c r="H642" s="105" t="n"/>
      <c r="J642" s="104">
        <f>BDH($C642,"PX_LAST","-5AY","","Per=Y","cols=2;rows=5")</f>
        <v/>
      </c>
      <c r="K642" s="106" t="n"/>
    </row>
    <row r="643">
      <c r="D643" s="102" t="n"/>
      <c r="E643" s="105" t="n"/>
      <c r="G643" s="102" t="n"/>
      <c r="H643" s="105" t="n"/>
      <c r="J643" s="102" t="n"/>
      <c r="K643" s="106" t="n"/>
    </row>
    <row r="644">
      <c r="D644" s="102" t="n"/>
      <c r="E644" s="105" t="n"/>
      <c r="G644" s="102" t="n"/>
      <c r="H644" s="105" t="n"/>
      <c r="J644" s="102" t="n"/>
      <c r="K644" s="106" t="n"/>
    </row>
    <row r="645">
      <c r="D645" s="102" t="n"/>
      <c r="E645" s="105" t="n"/>
      <c r="G645" s="102" t="n"/>
      <c r="H645" s="105" t="n"/>
      <c r="J645" s="102" t="n"/>
      <c r="K645" s="106" t="n"/>
    </row>
    <row r="646">
      <c r="D646" s="102" t="n"/>
      <c r="E646" s="105" t="n"/>
      <c r="G646" s="102" t="n"/>
      <c r="H646" s="105" t="n"/>
      <c r="J646" s="102" t="n"/>
      <c r="K646" s="106" t="n"/>
    </row>
    <row r="648">
      <c r="B648" s="2">
        <f>IF(HSTECH!$C$13="","",HSTECH!$C$13)</f>
        <v/>
      </c>
      <c r="C648" s="2">
        <f>IF(PULL_FUND="N","",IF(HSTECH!$C$13="","",HSTECH!$C$13))</f>
        <v/>
      </c>
      <c r="D648" s="104">
        <f>BDH($C648,NDE_FIELD,"-5AY","","Per=Y","cols=2;rows=5")</f>
        <v/>
      </c>
      <c r="E648" s="105" t="n"/>
      <c r="G648" s="104">
        <f>BQL($C648,BUYBACK_QUERY,$C$4,"fill=prev","showheaders=f","showids=f")</f>
        <v/>
      </c>
      <c r="H648" s="105" t="n"/>
      <c r="J648" s="104">
        <f>BDH($C648,"PX_LAST","-5AY","","Per=Y","cols=2;rows=5")</f>
        <v/>
      </c>
      <c r="K648" s="106" t="n"/>
    </row>
    <row r="649">
      <c r="D649" s="102" t="n"/>
      <c r="E649" s="105" t="n"/>
      <c r="G649" s="102" t="n"/>
      <c r="H649" s="105" t="n"/>
      <c r="J649" s="102" t="n"/>
      <c r="K649" s="106" t="n"/>
    </row>
    <row r="650">
      <c r="D650" s="102" t="n"/>
      <c r="E650" s="105" t="n"/>
      <c r="G650" s="102" t="n"/>
      <c r="H650" s="105" t="n"/>
      <c r="J650" s="102" t="n"/>
      <c r="K650" s="106" t="n"/>
    </row>
    <row r="651">
      <c r="D651" s="102" t="n"/>
      <c r="E651" s="105" t="n"/>
      <c r="G651" s="102" t="n"/>
      <c r="H651" s="105" t="n"/>
      <c r="J651" s="102" t="n"/>
      <c r="K651" s="106" t="n"/>
    </row>
    <row r="652">
      <c r="D652" s="102" t="n"/>
      <c r="E652" s="105" t="n"/>
      <c r="G652" s="102" t="n"/>
      <c r="H652" s="105" t="n"/>
      <c r="J652" s="102" t="n"/>
      <c r="K652" s="106" t="n"/>
    </row>
    <row r="654">
      <c r="B654" s="2">
        <f>IF(HSTECH!$C$14="","",HSTECH!$C$14)</f>
        <v/>
      </c>
      <c r="C654" s="2">
        <f>IF(PULL_FUND="N","",IF(HSTECH!$C$14="","",HSTECH!$C$14))</f>
        <v/>
      </c>
      <c r="D654" s="104">
        <f>BDH($C654,NDE_FIELD,"-5AY","","Per=Y","cols=2;rows=5")</f>
        <v/>
      </c>
      <c r="E654" s="105" t="n"/>
      <c r="G654" s="104">
        <f>BQL($C654,BUYBACK_QUERY,$C$4,"fill=prev","showheaders=f","showids=f")</f>
        <v/>
      </c>
      <c r="H654" s="105" t="n"/>
      <c r="J654" s="104">
        <f>BDH($C654,"PX_LAST","-5AY","","Per=Y","cols=2;rows=5")</f>
        <v/>
      </c>
      <c r="K654" s="106" t="n"/>
    </row>
    <row r="655">
      <c r="D655" s="102" t="n"/>
      <c r="E655" s="105" t="n"/>
      <c r="G655" s="102" t="n"/>
      <c r="H655" s="105" t="n"/>
      <c r="J655" s="102" t="n"/>
      <c r="K655" s="106" t="n"/>
    </row>
    <row r="656">
      <c r="D656" s="102" t="n"/>
      <c r="E656" s="105" t="n"/>
      <c r="G656" s="102" t="n"/>
      <c r="H656" s="105" t="n"/>
      <c r="J656" s="102" t="n"/>
      <c r="K656" s="106" t="n"/>
    </row>
    <row r="657">
      <c r="D657" s="102" t="n"/>
      <c r="E657" s="105" t="n"/>
      <c r="G657" s="102" t="n"/>
      <c r="H657" s="105" t="n"/>
      <c r="J657" s="102" t="n"/>
      <c r="K657" s="106" t="n"/>
    </row>
    <row r="658">
      <c r="D658" s="102" t="n"/>
      <c r="E658" s="105" t="n"/>
      <c r="G658" s="102" t="n"/>
      <c r="H658" s="105" t="n"/>
      <c r="J658" s="102" t="n"/>
      <c r="K658" s="106" t="n"/>
    </row>
    <row r="660">
      <c r="B660" s="2">
        <f>IF(HSTECH!$C$15="","",HSTECH!$C$15)</f>
        <v/>
      </c>
      <c r="C660" s="2">
        <f>IF(PULL_FUND="N","",IF(HSTECH!$C$15="","",HSTECH!$C$15))</f>
        <v/>
      </c>
      <c r="D660" s="104">
        <f>BDH($C660,NDE_FIELD,"-5AY","","Per=Y","cols=2;rows=5")</f>
        <v/>
      </c>
      <c r="E660" s="105" t="n"/>
      <c r="G660" s="104">
        <f>BQL($C660,BUYBACK_QUERY,$C$4,"fill=prev","showheaders=f","showids=f")</f>
        <v/>
      </c>
      <c r="H660" s="105" t="n"/>
      <c r="J660" s="104">
        <f>BDH($C660,"PX_LAST","-5AY","","Per=Y","cols=2;rows=5")</f>
        <v/>
      </c>
      <c r="K660" s="106" t="n"/>
    </row>
    <row r="661">
      <c r="D661" s="102" t="n"/>
      <c r="E661" s="105" t="n"/>
      <c r="G661" s="102" t="n"/>
      <c r="H661" s="105" t="n"/>
      <c r="J661" s="102" t="n"/>
      <c r="K661" s="106" t="n"/>
    </row>
    <row r="662">
      <c r="D662" s="102" t="n"/>
      <c r="E662" s="105" t="n"/>
      <c r="G662" s="102" t="n"/>
      <c r="H662" s="105" t="n"/>
      <c r="J662" s="102" t="n"/>
      <c r="K662" s="106" t="n"/>
    </row>
    <row r="663">
      <c r="D663" s="102" t="n"/>
      <c r="E663" s="105" t="n"/>
      <c r="G663" s="102" t="n"/>
      <c r="H663" s="105" t="n"/>
      <c r="J663" s="102" t="n"/>
      <c r="K663" s="106" t="n"/>
    </row>
    <row r="664">
      <c r="D664" s="102" t="n"/>
      <c r="E664" s="105" t="n"/>
      <c r="G664" s="102" t="n"/>
      <c r="H664" s="105" t="n"/>
      <c r="J664" s="102" t="n"/>
      <c r="K664" s="106" t="n"/>
    </row>
    <row r="666">
      <c r="B666" s="2">
        <f>IF(HSTECH!$C$16="","",HSTECH!$C$16)</f>
        <v/>
      </c>
      <c r="C666" s="2">
        <f>IF(PULL_FUND="N","",IF(HSTECH!$C$16="","",HSTECH!$C$16))</f>
        <v/>
      </c>
      <c r="D666" s="104">
        <f>BDH($C666,NDE_FIELD,"-5AY","","Per=Y","cols=2;rows=5")</f>
        <v/>
      </c>
      <c r="E666" s="105" t="n"/>
      <c r="G666" s="104">
        <f>BQL($C666,BUYBACK_QUERY,$C$4,"fill=prev","showheaders=f","showids=f")</f>
        <v/>
      </c>
      <c r="H666" s="105" t="n"/>
      <c r="J666" s="104">
        <f>BDH($C666,"PX_LAST","-5AY","","Per=Y","cols=2;rows=5")</f>
        <v/>
      </c>
      <c r="K666" s="106" t="n"/>
    </row>
    <row r="667">
      <c r="D667" s="102" t="n"/>
      <c r="E667" s="105" t="n"/>
      <c r="G667" s="102" t="n"/>
      <c r="H667" s="105" t="n"/>
      <c r="J667" s="102" t="n"/>
      <c r="K667" s="106" t="n"/>
    </row>
    <row r="668">
      <c r="D668" s="102" t="n"/>
      <c r="E668" s="105" t="n"/>
      <c r="G668" s="102" t="n"/>
      <c r="H668" s="105" t="n"/>
      <c r="J668" s="102" t="n"/>
      <c r="K668" s="106" t="n"/>
    </row>
    <row r="669">
      <c r="D669" s="102" t="n"/>
      <c r="E669" s="105" t="n"/>
      <c r="G669" s="102" t="n"/>
      <c r="H669" s="105" t="n"/>
      <c r="J669" s="102" t="n"/>
      <c r="K669" s="106" t="n"/>
    </row>
    <row r="670">
      <c r="D670" s="102" t="n"/>
      <c r="E670" s="105" t="n"/>
      <c r="G670" s="102" t="n"/>
      <c r="H670" s="105" t="n"/>
      <c r="J670" s="102" t="n"/>
      <c r="K670" s="106" t="n"/>
    </row>
    <row r="672">
      <c r="B672" s="2">
        <f>IF(HSTECH!$C$17="","",HSTECH!$C$17)</f>
        <v/>
      </c>
      <c r="C672" s="2">
        <f>IF(PULL_FUND="N","",IF(HSTECH!$C$17="","",HSTECH!$C$17))</f>
        <v/>
      </c>
      <c r="D672" s="104">
        <f>BDH($C672,NDE_FIELD,"-5AY","","Per=Y","cols=2;rows=5")</f>
        <v/>
      </c>
      <c r="E672" s="105" t="n"/>
      <c r="G672" s="104">
        <f>BQL($C672,BUYBACK_QUERY,$C$4,"fill=prev","showheaders=f","showids=f")</f>
        <v/>
      </c>
      <c r="H672" s="105" t="n"/>
      <c r="J672" s="104">
        <f>BDH($C672,"PX_LAST","-5AY","","Per=Y","cols=2;rows=5")</f>
        <v/>
      </c>
      <c r="K672" s="106" t="n"/>
    </row>
    <row r="673">
      <c r="D673" s="102" t="n"/>
      <c r="E673" s="105" t="n"/>
      <c r="G673" s="102" t="n"/>
      <c r="H673" s="105" t="n"/>
      <c r="J673" s="102" t="n"/>
      <c r="K673" s="106" t="n"/>
    </row>
    <row r="674">
      <c r="D674" s="102" t="n"/>
      <c r="E674" s="105" t="n"/>
      <c r="G674" s="102" t="n"/>
      <c r="H674" s="105" t="n"/>
      <c r="J674" s="102" t="n"/>
      <c r="K674" s="106" t="n"/>
    </row>
    <row r="675">
      <c r="D675" s="102" t="n"/>
      <c r="E675" s="105" t="n"/>
      <c r="G675" s="102" t="n"/>
      <c r="H675" s="105" t="n"/>
      <c r="J675" s="102" t="n"/>
      <c r="K675" s="106" t="n"/>
    </row>
    <row r="676">
      <c r="D676" s="102" t="n"/>
      <c r="E676" s="105" t="n"/>
      <c r="G676" s="102" t="n"/>
      <c r="H676" s="105" t="n"/>
      <c r="J676" s="102" t="n"/>
      <c r="K676" s="106" t="n"/>
    </row>
    <row r="678">
      <c r="B678" s="2">
        <f>IF(HSTECH!$C$18="","",HSTECH!$C$18)</f>
        <v/>
      </c>
      <c r="C678" s="2">
        <f>IF(PULL_FUND="N","",IF(HSTECH!$C$18="","",HSTECH!$C$18))</f>
        <v/>
      </c>
      <c r="D678" s="104">
        <f>BDH($C678,NDE_FIELD,"-5AY","","Per=Y","cols=2;rows=5")</f>
        <v/>
      </c>
      <c r="E678" s="105" t="n"/>
      <c r="G678" s="104">
        <f>BQL($C678,BUYBACK_QUERY,$C$4,"fill=prev","showheaders=f","showids=f")</f>
        <v/>
      </c>
      <c r="H678" s="105" t="n"/>
      <c r="J678" s="104">
        <f>BDH($C678,"PX_LAST","-5AY","","Per=Y","cols=2;rows=5")</f>
        <v/>
      </c>
      <c r="K678" s="106" t="n"/>
    </row>
    <row r="679">
      <c r="D679" s="102" t="n"/>
      <c r="E679" s="105" t="n"/>
      <c r="G679" s="102" t="n"/>
      <c r="H679" s="105" t="n"/>
      <c r="J679" s="102" t="n"/>
      <c r="K679" s="106" t="n"/>
    </row>
    <row r="680">
      <c r="D680" s="102" t="n"/>
      <c r="E680" s="105" t="n"/>
      <c r="G680" s="102" t="n"/>
      <c r="H680" s="105" t="n"/>
      <c r="J680" s="102" t="n"/>
      <c r="K680" s="106" t="n"/>
    </row>
    <row r="681">
      <c r="D681" s="102" t="n"/>
      <c r="E681" s="105" t="n"/>
      <c r="G681" s="102" t="n"/>
      <c r="H681" s="105" t="n"/>
      <c r="J681" s="102" t="n"/>
      <c r="K681" s="106" t="n"/>
    </row>
    <row r="682">
      <c r="D682" s="102" t="n"/>
      <c r="E682" s="105" t="n"/>
      <c r="G682" s="102" t="n"/>
      <c r="H682" s="105" t="n"/>
      <c r="J682" s="102" t="n"/>
      <c r="K682" s="106" t="n"/>
    </row>
    <row r="684">
      <c r="B684" s="2">
        <f>IF(HSTECH!$C$19="","",HSTECH!$C$19)</f>
        <v/>
      </c>
      <c r="C684" s="2">
        <f>IF(PULL_FUND="N","",IF(HSTECH!$C$19="","",HSTECH!$C$19))</f>
        <v/>
      </c>
      <c r="D684" s="104">
        <f>BDH($C684,NDE_FIELD,"-5AY","","Per=Y","cols=2;rows=5")</f>
        <v/>
      </c>
      <c r="E684" s="105" t="n"/>
      <c r="G684" s="104">
        <f>BQL($C684,BUYBACK_QUERY,$C$4,"fill=prev","showheaders=f","showids=f")</f>
        <v/>
      </c>
      <c r="H684" s="105" t="n"/>
      <c r="J684" s="104">
        <f>BDH($C684,"PX_LAST","-5AY","","Per=Y","cols=2;rows=5")</f>
        <v/>
      </c>
      <c r="K684" s="106" t="n"/>
    </row>
    <row r="685">
      <c r="D685" s="102" t="n"/>
      <c r="E685" s="105" t="n"/>
      <c r="G685" s="102" t="n"/>
      <c r="H685" s="105" t="n"/>
      <c r="J685" s="102" t="n"/>
      <c r="K685" s="106" t="n"/>
    </row>
    <row r="686">
      <c r="D686" s="102" t="n"/>
      <c r="E686" s="105" t="n"/>
      <c r="G686" s="102" t="n"/>
      <c r="H686" s="105" t="n"/>
      <c r="J686" s="102" t="n"/>
      <c r="K686" s="106" t="n"/>
    </row>
    <row r="687">
      <c r="D687" s="102" t="n"/>
      <c r="E687" s="105" t="n"/>
      <c r="G687" s="102" t="n"/>
      <c r="H687" s="105" t="n"/>
      <c r="J687" s="102" t="n"/>
      <c r="K687" s="106" t="n"/>
    </row>
    <row r="688">
      <c r="D688" s="102" t="n"/>
      <c r="E688" s="105" t="n"/>
      <c r="G688" s="102" t="n"/>
      <c r="H688" s="105" t="n"/>
      <c r="J688" s="102" t="n"/>
      <c r="K688" s="106" t="n"/>
    </row>
    <row r="690">
      <c r="B690" s="2">
        <f>IF(HSTECH!$C$20="","",HSTECH!$C$20)</f>
        <v/>
      </c>
      <c r="C690" s="2">
        <f>IF(PULL_FUND="N","",IF(HSTECH!$C$20="","",HSTECH!$C$20))</f>
        <v/>
      </c>
      <c r="D690" s="104">
        <f>BDH($C690,NDE_FIELD,"-5AY","","Per=Y","cols=2;rows=5")</f>
        <v/>
      </c>
      <c r="E690" s="105" t="n"/>
      <c r="G690" s="104">
        <f>BQL($C690,BUYBACK_QUERY,$C$4,"fill=prev","showheaders=f","showids=f")</f>
        <v/>
      </c>
      <c r="H690" s="105" t="n"/>
      <c r="J690" s="104">
        <f>BDH($C690,"PX_LAST","-5AY","","Per=Y","cols=2;rows=5")</f>
        <v/>
      </c>
      <c r="K690" s="106" t="n"/>
    </row>
    <row r="691">
      <c r="D691" s="102" t="n"/>
      <c r="E691" s="105" t="n"/>
      <c r="G691" s="102" t="n"/>
      <c r="H691" s="105" t="n"/>
      <c r="J691" s="102" t="n"/>
      <c r="K691" s="106" t="n"/>
    </row>
    <row r="692">
      <c r="D692" s="102" t="n"/>
      <c r="E692" s="105" t="n"/>
      <c r="G692" s="102" t="n"/>
      <c r="H692" s="105" t="n"/>
      <c r="J692" s="102" t="n"/>
      <c r="K692" s="106" t="n"/>
    </row>
    <row r="693">
      <c r="D693" s="102" t="n"/>
      <c r="E693" s="105" t="n"/>
      <c r="G693" s="102" t="n"/>
      <c r="H693" s="105" t="n"/>
      <c r="J693" s="102" t="n"/>
      <c r="K693" s="106" t="n"/>
    </row>
    <row r="694">
      <c r="D694" s="102" t="n"/>
      <c r="E694" s="105" t="n"/>
      <c r="G694" s="102" t="n"/>
      <c r="H694" s="105" t="n"/>
      <c r="J694" s="102" t="n"/>
      <c r="K694" s="106" t="n"/>
    </row>
    <row r="696">
      <c r="B696" s="2">
        <f>IF(HSTECH!$C$21="","",HSTECH!$C$21)</f>
        <v/>
      </c>
      <c r="C696" s="2">
        <f>IF(PULL_FUND="N","",IF(HSTECH!$C$21="","",HSTECH!$C$21))</f>
        <v/>
      </c>
      <c r="D696" s="104">
        <f>BDH($C696,NDE_FIELD,"-5AY","","Per=Y","cols=2;rows=5")</f>
        <v/>
      </c>
      <c r="E696" s="105" t="n"/>
      <c r="G696" s="104">
        <f>BQL($C696,BUYBACK_QUERY,$C$4,"fill=prev","showheaders=f","showids=f")</f>
        <v/>
      </c>
      <c r="H696" s="105" t="n"/>
      <c r="J696" s="104">
        <f>BDH($C696,"PX_LAST","-5AY","","Per=Y","cols=2;rows=5")</f>
        <v/>
      </c>
      <c r="K696" s="106" t="n"/>
    </row>
    <row r="697">
      <c r="D697" s="102" t="n"/>
      <c r="E697" s="105" t="n"/>
      <c r="G697" s="102" t="n"/>
      <c r="H697" s="105" t="n"/>
      <c r="J697" s="102" t="n"/>
      <c r="K697" s="106" t="n"/>
    </row>
    <row r="698">
      <c r="D698" s="102" t="n"/>
      <c r="E698" s="105" t="n"/>
      <c r="G698" s="102" t="n"/>
      <c r="H698" s="105" t="n"/>
      <c r="J698" s="102" t="n"/>
      <c r="K698" s="106" t="n"/>
    </row>
    <row r="699">
      <c r="D699" s="102" t="n"/>
      <c r="E699" s="105" t="n"/>
      <c r="G699" s="102" t="n"/>
      <c r="H699" s="105" t="n"/>
      <c r="J699" s="102" t="n"/>
      <c r="K699" s="106" t="n"/>
    </row>
    <row r="700">
      <c r="D700" s="102" t="n"/>
      <c r="E700" s="105" t="n"/>
      <c r="G700" s="102" t="n"/>
      <c r="H700" s="105" t="n"/>
      <c r="J700" s="102" t="n"/>
      <c r="K700" s="106" t="n"/>
    </row>
    <row r="702">
      <c r="B702" s="2">
        <f>IF(HSTECH!$C$22="","",HSTECH!$C$22)</f>
        <v/>
      </c>
      <c r="C702" s="2">
        <f>IF(PULL_FUND="N","",IF(HSTECH!$C$22="","",HSTECH!$C$22))</f>
        <v/>
      </c>
      <c r="D702" s="104">
        <f>BDH($C702,NDE_FIELD,"-5AY","","Per=Y","cols=2;rows=5")</f>
        <v/>
      </c>
      <c r="E702" s="105" t="n"/>
      <c r="G702" s="104">
        <f>BQL($C702,BUYBACK_QUERY,$C$4,"fill=prev","showheaders=f","showids=f")</f>
        <v/>
      </c>
      <c r="H702" s="105" t="n"/>
      <c r="J702" s="104">
        <f>BDH($C702,"PX_LAST","-5AY","","Per=Y","cols=2;rows=5")</f>
        <v/>
      </c>
      <c r="K702" s="106" t="n"/>
    </row>
    <row r="703">
      <c r="D703" s="102" t="n"/>
      <c r="E703" s="105" t="n"/>
      <c r="G703" s="102" t="n"/>
      <c r="H703" s="105" t="n"/>
      <c r="J703" s="102" t="n"/>
      <c r="K703" s="106" t="n"/>
    </row>
    <row r="704">
      <c r="D704" s="102" t="n"/>
      <c r="E704" s="105" t="n"/>
      <c r="G704" s="102" t="n"/>
      <c r="H704" s="105" t="n"/>
      <c r="J704" s="102" t="n"/>
      <c r="K704" s="106" t="n"/>
    </row>
    <row r="705">
      <c r="D705" s="102" t="n"/>
      <c r="E705" s="105" t="n"/>
      <c r="G705" s="102" t="n"/>
      <c r="H705" s="105" t="n"/>
      <c r="J705" s="102" t="n"/>
      <c r="K705" s="106" t="n"/>
    </row>
    <row r="706">
      <c r="D706" s="102" t="n"/>
      <c r="E706" s="105" t="n"/>
      <c r="G706" s="102" t="n"/>
      <c r="H706" s="105" t="n"/>
      <c r="J706" s="102" t="n"/>
      <c r="K706" s="106" t="n"/>
    </row>
    <row r="708">
      <c r="B708" s="2">
        <f>IF(HSTECH!$C$23="","",HSTECH!$C$23)</f>
        <v/>
      </c>
      <c r="C708" s="2">
        <f>IF(PULL_FUND="N","",IF(HSTECH!$C$23="","",HSTECH!$C$23))</f>
        <v/>
      </c>
      <c r="D708" s="104">
        <f>BDH($C708,NDE_FIELD,"-5AY","","Per=Y","cols=2;rows=5")</f>
        <v/>
      </c>
      <c r="E708" s="105" t="n"/>
      <c r="G708" s="104">
        <f>BQL($C708,BUYBACK_QUERY,$C$4,"fill=prev","showheaders=f","showids=f")</f>
        <v/>
      </c>
      <c r="H708" s="105" t="n"/>
      <c r="J708" s="104">
        <f>BDH($C708,"PX_LAST","-5AY","","Per=Y","cols=2;rows=5")</f>
        <v/>
      </c>
      <c r="K708" s="106" t="n"/>
    </row>
    <row r="709">
      <c r="D709" s="102" t="n"/>
      <c r="E709" s="105" t="n"/>
      <c r="G709" s="102" t="n"/>
      <c r="H709" s="105" t="n"/>
      <c r="J709" s="102" t="n"/>
      <c r="K709" s="106" t="n"/>
    </row>
    <row r="710">
      <c r="D710" s="102" t="n"/>
      <c r="E710" s="105" t="n"/>
      <c r="G710" s="102" t="n"/>
      <c r="H710" s="105" t="n"/>
      <c r="J710" s="102" t="n"/>
      <c r="K710" s="106" t="n"/>
    </row>
    <row r="711">
      <c r="D711" s="102" t="n"/>
      <c r="E711" s="105" t="n"/>
      <c r="G711" s="102" t="n"/>
      <c r="H711" s="105" t="n"/>
      <c r="J711" s="102" t="n"/>
      <c r="K711" s="106" t="n"/>
    </row>
    <row r="712">
      <c r="D712" s="102" t="n"/>
      <c r="E712" s="105" t="n"/>
      <c r="G712" s="102" t="n"/>
      <c r="H712" s="105" t="n"/>
      <c r="J712" s="102" t="n"/>
      <c r="K712" s="106" t="n"/>
    </row>
    <row r="714">
      <c r="B714" s="2">
        <f>IF(HSTECH!$C$24="","",HSTECH!$C$24)</f>
        <v/>
      </c>
      <c r="C714" s="2">
        <f>IF(PULL_FUND="N","",IF(HSTECH!$C$24="","",HSTECH!$C$24))</f>
        <v/>
      </c>
      <c r="D714" s="104">
        <f>BDH($C714,NDE_FIELD,"-5AY","","Per=Y","cols=2;rows=5")</f>
        <v/>
      </c>
      <c r="E714" s="105" t="n"/>
      <c r="G714" s="104">
        <f>BQL($C714,BUYBACK_QUERY,$C$4,"fill=prev","showheaders=f","showids=f")</f>
        <v/>
      </c>
      <c r="H714" s="105" t="n"/>
      <c r="J714" s="104">
        <f>BDH($C714,"PX_LAST","-5AY","","Per=Y","cols=2;rows=5")</f>
        <v/>
      </c>
      <c r="K714" s="106" t="n"/>
    </row>
    <row r="715">
      <c r="D715" s="102" t="n"/>
      <c r="E715" s="105" t="n"/>
      <c r="G715" s="102" t="n"/>
      <c r="H715" s="105" t="n"/>
      <c r="J715" s="102" t="n"/>
      <c r="K715" s="106" t="n"/>
    </row>
    <row r="716">
      <c r="D716" s="102" t="n"/>
      <c r="E716" s="105" t="n"/>
      <c r="G716" s="102" t="n"/>
      <c r="H716" s="105" t="n"/>
      <c r="J716" s="102" t="n"/>
      <c r="K716" s="106" t="n"/>
    </row>
    <row r="717">
      <c r="D717" s="102" t="n"/>
      <c r="E717" s="105" t="n"/>
      <c r="G717" s="102" t="n"/>
      <c r="H717" s="105" t="n"/>
      <c r="J717" s="102" t="n"/>
      <c r="K717" s="106" t="n"/>
    </row>
    <row r="718">
      <c r="D718" s="102" t="n"/>
      <c r="E718" s="105" t="n"/>
      <c r="G718" s="102" t="n"/>
      <c r="H718" s="105" t="n"/>
      <c r="J718" s="102" t="n"/>
      <c r="K718" s="106" t="n"/>
    </row>
    <row r="720">
      <c r="B720" s="2">
        <f>IF(HSTECH!$C$25="","",HSTECH!$C$25)</f>
        <v/>
      </c>
      <c r="C720" s="2">
        <f>IF(PULL_FUND="N","",IF(HSTECH!$C$25="","",HSTECH!$C$25))</f>
        <v/>
      </c>
      <c r="D720" s="104">
        <f>BDH($C720,NDE_FIELD,"-5AY","","Per=Y","cols=2;rows=5")</f>
        <v/>
      </c>
      <c r="E720" s="105" t="n"/>
      <c r="G720" s="104">
        <f>BQL($C720,BUYBACK_QUERY,$C$4,"fill=prev","showheaders=f","showids=f")</f>
        <v/>
      </c>
      <c r="H720" s="105" t="n"/>
      <c r="J720" s="104">
        <f>BDH($C720,"PX_LAST","-5AY","","Per=Y","cols=2;rows=5")</f>
        <v/>
      </c>
      <c r="K720" s="106" t="n"/>
    </row>
    <row r="721">
      <c r="D721" s="102" t="n"/>
      <c r="E721" s="105" t="n"/>
      <c r="G721" s="102" t="n"/>
      <c r="H721" s="105" t="n"/>
      <c r="J721" s="102" t="n"/>
      <c r="K721" s="106" t="n"/>
    </row>
    <row r="722">
      <c r="D722" s="102" t="n"/>
      <c r="E722" s="105" t="n"/>
      <c r="G722" s="102" t="n"/>
      <c r="H722" s="105" t="n"/>
      <c r="J722" s="102" t="n"/>
      <c r="K722" s="106" t="n"/>
    </row>
    <row r="723">
      <c r="D723" s="102" t="n"/>
      <c r="E723" s="105" t="n"/>
      <c r="G723" s="102" t="n"/>
      <c r="H723" s="105" t="n"/>
      <c r="J723" s="102" t="n"/>
      <c r="K723" s="106" t="n"/>
    </row>
    <row r="724">
      <c r="D724" s="102" t="n"/>
      <c r="E724" s="105" t="n"/>
      <c r="G724" s="102" t="n"/>
      <c r="H724" s="105" t="n"/>
      <c r="J724" s="102" t="n"/>
      <c r="K724" s="106" t="n"/>
    </row>
    <row r="726">
      <c r="B726" s="2">
        <f>IF(HSTECH!$C$26="","",HSTECH!$C$26)</f>
        <v/>
      </c>
      <c r="C726" s="2">
        <f>IF(PULL_FUND="N","",IF(HSTECH!$C$26="","",HSTECH!$C$26))</f>
        <v/>
      </c>
      <c r="D726" s="104">
        <f>BDH($C726,NDE_FIELD,"-5AY","","Per=Y","cols=2;rows=5")</f>
        <v/>
      </c>
      <c r="E726" s="105" t="n"/>
      <c r="G726" s="104">
        <f>BQL($C726,BUYBACK_QUERY,$C$4,"fill=prev","showheaders=f","showids=f")</f>
        <v/>
      </c>
      <c r="H726" s="105" t="n"/>
      <c r="J726" s="104">
        <f>BDH($C726,"PX_LAST","-5AY","","Per=Y","cols=2;rows=5")</f>
        <v/>
      </c>
      <c r="K726" s="106" t="n"/>
    </row>
    <row r="727">
      <c r="D727" s="102" t="n"/>
      <c r="E727" s="105" t="n"/>
      <c r="G727" s="102" t="n"/>
      <c r="H727" s="105" t="n"/>
      <c r="J727" s="102" t="n"/>
      <c r="K727" s="106" t="n"/>
    </row>
    <row r="728">
      <c r="D728" s="102" t="n"/>
      <c r="E728" s="105" t="n"/>
      <c r="G728" s="102" t="n"/>
      <c r="H728" s="105" t="n"/>
      <c r="J728" s="102" t="n"/>
      <c r="K728" s="106" t="n"/>
    </row>
    <row r="729">
      <c r="D729" s="102" t="n"/>
      <c r="E729" s="105" t="n"/>
      <c r="G729" s="102" t="n"/>
      <c r="H729" s="105" t="n"/>
      <c r="J729" s="102" t="n"/>
      <c r="K729" s="106" t="n"/>
    </row>
    <row r="730">
      <c r="D730" s="102" t="n"/>
      <c r="E730" s="105" t="n"/>
      <c r="G730" s="102" t="n"/>
      <c r="H730" s="105" t="n"/>
      <c r="J730" s="102" t="n"/>
      <c r="K730" s="106" t="n"/>
    </row>
    <row r="732">
      <c r="B732" s="2">
        <f>IF(HSTECH!$C$27="","",HSTECH!$C$27)</f>
        <v/>
      </c>
      <c r="C732" s="2">
        <f>IF(PULL_FUND="N","",IF(HSTECH!$C$27="","",HSTECH!$C$27))</f>
        <v/>
      </c>
      <c r="D732" s="104">
        <f>BDH($C732,NDE_FIELD,"-5AY","","Per=Y","cols=2;rows=5")</f>
        <v/>
      </c>
      <c r="E732" s="105" t="n"/>
      <c r="G732" s="104">
        <f>BQL($C732,BUYBACK_QUERY,$C$4,"fill=prev","showheaders=f","showids=f")</f>
        <v/>
      </c>
      <c r="H732" s="105" t="n"/>
      <c r="J732" s="104">
        <f>BDH($C732,"PX_LAST","-5AY","","Per=Y","cols=2;rows=5")</f>
        <v/>
      </c>
      <c r="K732" s="106" t="n"/>
    </row>
    <row r="733">
      <c r="D733" s="102" t="n"/>
      <c r="E733" s="105" t="n"/>
      <c r="G733" s="102" t="n"/>
      <c r="H733" s="105" t="n"/>
      <c r="J733" s="102" t="n"/>
      <c r="K733" s="106" t="n"/>
    </row>
    <row r="734">
      <c r="D734" s="102" t="n"/>
      <c r="E734" s="105" t="n"/>
      <c r="G734" s="102" t="n"/>
      <c r="H734" s="105" t="n"/>
      <c r="J734" s="102" t="n"/>
      <c r="K734" s="106" t="n"/>
    </row>
    <row r="735">
      <c r="D735" s="102" t="n"/>
      <c r="E735" s="105" t="n"/>
      <c r="G735" s="102" t="n"/>
      <c r="H735" s="105" t="n"/>
      <c r="J735" s="102" t="n"/>
      <c r="K735" s="106" t="n"/>
    </row>
    <row r="736">
      <c r="D736" s="102" t="n"/>
      <c r="E736" s="105" t="n"/>
      <c r="G736" s="102" t="n"/>
      <c r="H736" s="105" t="n"/>
      <c r="J736" s="102" t="n"/>
      <c r="K736" s="106" t="n"/>
    </row>
    <row r="738">
      <c r="B738" s="2">
        <f>IF(HSTECH!$C$28="","",HSTECH!$C$28)</f>
        <v/>
      </c>
      <c r="C738" s="2">
        <f>IF(PULL_FUND="N","",IF(HSTECH!$C$28="","",HSTECH!$C$28))</f>
        <v/>
      </c>
      <c r="D738" s="104">
        <f>BDH($C738,NDE_FIELD,"-5AY","","Per=Y","cols=2;rows=5")</f>
        <v/>
      </c>
      <c r="E738" s="105" t="n"/>
      <c r="G738" s="104">
        <f>BQL($C738,BUYBACK_QUERY,$C$4,"fill=prev","showheaders=f","showids=f")</f>
        <v/>
      </c>
      <c r="H738" s="105" t="n"/>
      <c r="J738" s="104">
        <f>BDH($C738,"PX_LAST","-5AY","","Per=Y","cols=2;rows=5")</f>
        <v/>
      </c>
      <c r="K738" s="106" t="n"/>
    </row>
    <row r="739">
      <c r="D739" s="102" t="n"/>
      <c r="E739" s="105" t="n"/>
      <c r="G739" s="102" t="n"/>
      <c r="H739" s="105" t="n"/>
      <c r="J739" s="102" t="n"/>
      <c r="K739" s="106" t="n"/>
    </row>
    <row r="740">
      <c r="D740" s="102" t="n"/>
      <c r="E740" s="105" t="n"/>
      <c r="G740" s="102" t="n"/>
      <c r="H740" s="105" t="n"/>
      <c r="J740" s="102" t="n"/>
      <c r="K740" s="106" t="n"/>
    </row>
    <row r="741">
      <c r="D741" s="102" t="n"/>
      <c r="E741" s="105" t="n"/>
      <c r="G741" s="102" t="n"/>
      <c r="H741" s="105" t="n"/>
      <c r="J741" s="102" t="n"/>
      <c r="K741" s="106" t="n"/>
    </row>
    <row r="742">
      <c r="D742" s="102" t="n"/>
      <c r="E742" s="105" t="n"/>
      <c r="G742" s="102" t="n"/>
      <c r="H742" s="105" t="n"/>
      <c r="J742" s="102" t="n"/>
      <c r="K742" s="106" t="n"/>
    </row>
    <row r="744">
      <c r="B744" s="2">
        <f>IF(HSTECH!$C$29="","",HSTECH!$C$29)</f>
        <v/>
      </c>
      <c r="C744" s="2">
        <f>IF(PULL_FUND="N","",IF(HSTECH!$C$29="","",HSTECH!$C$29))</f>
        <v/>
      </c>
      <c r="D744" s="104">
        <f>BDH($C744,NDE_FIELD,"-5AY","","Per=Y","cols=2;rows=5")</f>
        <v/>
      </c>
      <c r="E744" s="105" t="n"/>
      <c r="G744" s="104">
        <f>BQL($C744,BUYBACK_QUERY,$C$4,"fill=prev","showheaders=f","showids=f")</f>
        <v/>
      </c>
      <c r="H744" s="105" t="n"/>
      <c r="J744" s="104">
        <f>BDH($C744,"PX_LAST","-5AY","","Per=Y","cols=2;rows=5")</f>
        <v/>
      </c>
      <c r="K744" s="106" t="n"/>
    </row>
    <row r="745">
      <c r="D745" s="102" t="n"/>
      <c r="E745" s="105" t="n"/>
      <c r="G745" s="102" t="n"/>
      <c r="H745" s="105" t="n"/>
      <c r="J745" s="102" t="n"/>
      <c r="K745" s="106" t="n"/>
    </row>
    <row r="746">
      <c r="D746" s="102" t="n"/>
      <c r="E746" s="105" t="n"/>
      <c r="G746" s="102" t="n"/>
      <c r="H746" s="105" t="n"/>
      <c r="J746" s="102" t="n"/>
      <c r="K746" s="106" t="n"/>
    </row>
    <row r="747">
      <c r="D747" s="102" t="n"/>
      <c r="E747" s="105" t="n"/>
      <c r="G747" s="102" t="n"/>
      <c r="H747" s="105" t="n"/>
      <c r="J747" s="102" t="n"/>
      <c r="K747" s="106" t="n"/>
    </row>
    <row r="748">
      <c r="D748" s="102" t="n"/>
      <c r="E748" s="105" t="n"/>
      <c r="G748" s="102" t="n"/>
      <c r="H748" s="105" t="n"/>
      <c r="J748" s="102" t="n"/>
      <c r="K748" s="106" t="n"/>
    </row>
    <row r="750">
      <c r="B750" s="2">
        <f>IF(HSTECH!$C$30="","",HSTECH!$C$30)</f>
        <v/>
      </c>
      <c r="C750" s="2">
        <f>IF(PULL_FUND="N","",IF(HSTECH!$C$30="","",HSTECH!$C$30))</f>
        <v/>
      </c>
      <c r="D750" s="104">
        <f>BDH($C750,NDE_FIELD,"-5AY","","Per=Y","cols=2;rows=5")</f>
        <v/>
      </c>
      <c r="E750" s="105" t="n"/>
      <c r="G750" s="104">
        <f>BQL($C750,BUYBACK_QUERY,$C$4,"fill=prev","showheaders=f","showids=f")</f>
        <v/>
      </c>
      <c r="H750" s="105" t="n"/>
      <c r="J750" s="104">
        <f>BDH($C750,"PX_LAST","-5AY","","Per=Y","cols=2;rows=5")</f>
        <v/>
      </c>
      <c r="K750" s="106" t="n"/>
    </row>
    <row r="751">
      <c r="D751" s="102" t="n"/>
      <c r="E751" s="105" t="n"/>
      <c r="G751" s="102" t="n"/>
      <c r="H751" s="105" t="n"/>
      <c r="J751" s="102" t="n"/>
      <c r="K751" s="106" t="n"/>
    </row>
    <row r="752">
      <c r="D752" s="102" t="n"/>
      <c r="E752" s="105" t="n"/>
      <c r="G752" s="102" t="n"/>
      <c r="H752" s="105" t="n"/>
      <c r="J752" s="102" t="n"/>
      <c r="K752" s="106" t="n"/>
    </row>
    <row r="753">
      <c r="D753" s="102" t="n"/>
      <c r="E753" s="105" t="n"/>
      <c r="G753" s="102" t="n"/>
      <c r="H753" s="105" t="n"/>
      <c r="J753" s="102" t="n"/>
      <c r="K753" s="106" t="n"/>
    </row>
    <row r="754">
      <c r="D754" s="102" t="n"/>
      <c r="E754" s="105" t="n"/>
      <c r="G754" s="102" t="n"/>
      <c r="H754" s="105" t="n"/>
      <c r="J754" s="102" t="n"/>
      <c r="K754" s="106" t="n"/>
    </row>
    <row r="756">
      <c r="B756" s="2">
        <f>IF(HSTECH!$C$31="","",HSTECH!$C$31)</f>
        <v/>
      </c>
      <c r="C756" s="2">
        <f>IF(PULL_FUND="N","",IF(HSTECH!$C$31="","",HSTECH!$C$31))</f>
        <v/>
      </c>
      <c r="D756" s="104">
        <f>BDH($C756,NDE_FIELD,"-5AY","","Per=Y","cols=2;rows=5")</f>
        <v/>
      </c>
      <c r="E756" s="105" t="n"/>
      <c r="G756" s="104">
        <f>BQL($C756,BUYBACK_QUERY,$C$4,"fill=prev","showheaders=f","showids=f")</f>
        <v/>
      </c>
      <c r="H756" s="105" t="n"/>
      <c r="J756" s="104">
        <f>BDH($C756,"PX_LAST","-5AY","","Per=Y","cols=2;rows=5")</f>
        <v/>
      </c>
      <c r="K756" s="106" t="n"/>
    </row>
    <row r="757">
      <c r="D757" s="102" t="n"/>
      <c r="E757" s="105" t="n"/>
      <c r="G757" s="102" t="n"/>
      <c r="H757" s="105" t="n"/>
      <c r="J757" s="102" t="n"/>
      <c r="K757" s="106" t="n"/>
    </row>
    <row r="758">
      <c r="D758" s="102" t="n"/>
      <c r="E758" s="105" t="n"/>
      <c r="G758" s="102" t="n"/>
      <c r="H758" s="105" t="n"/>
      <c r="J758" s="102" t="n"/>
      <c r="K758" s="106" t="n"/>
    </row>
    <row r="759">
      <c r="D759" s="102" t="n"/>
      <c r="E759" s="105" t="n"/>
      <c r="G759" s="102" t="n"/>
      <c r="H759" s="105" t="n"/>
      <c r="J759" s="102" t="n"/>
      <c r="K759" s="106" t="n"/>
    </row>
    <row r="760">
      <c r="D760" s="102" t="n"/>
      <c r="E760" s="105" t="n"/>
      <c r="G760" s="102" t="n"/>
      <c r="H760" s="105" t="n"/>
      <c r="J760" s="102" t="n"/>
      <c r="K760" s="106" t="n"/>
    </row>
    <row r="762">
      <c r="B762" s="2">
        <f>IF(HSTECH!$C$32="","",HSTECH!$C$32)</f>
        <v/>
      </c>
      <c r="C762" s="2">
        <f>IF(PULL_FUND="N","",IF(HSTECH!$C$32="","",HSTECH!$C$32))</f>
        <v/>
      </c>
      <c r="D762" s="104">
        <f>BDH($C762,NDE_FIELD,"-5AY","","Per=Y","cols=2;rows=5")</f>
        <v/>
      </c>
      <c r="E762" s="105" t="n"/>
      <c r="G762" s="104">
        <f>BQL($C762,BUYBACK_QUERY,$C$4,"fill=prev","showheaders=f","showids=f")</f>
        <v/>
      </c>
      <c r="H762" s="105" t="n"/>
      <c r="J762" s="104">
        <f>BDH($C762,"PX_LAST","-5AY","","Per=Y","cols=2;rows=5")</f>
        <v/>
      </c>
      <c r="K762" s="106" t="n"/>
    </row>
    <row r="763">
      <c r="D763" s="102" t="n"/>
      <c r="E763" s="105" t="n"/>
      <c r="G763" s="102" t="n"/>
      <c r="H763" s="105" t="n"/>
      <c r="J763" s="102" t="n"/>
      <c r="K763" s="106" t="n"/>
    </row>
    <row r="764">
      <c r="D764" s="102" t="n"/>
      <c r="E764" s="105" t="n"/>
      <c r="G764" s="102" t="n"/>
      <c r="H764" s="105" t="n"/>
      <c r="J764" s="102" t="n"/>
      <c r="K764" s="106" t="n"/>
    </row>
    <row r="765">
      <c r="D765" s="102" t="n"/>
      <c r="E765" s="105" t="n"/>
      <c r="G765" s="102" t="n"/>
      <c r="H765" s="105" t="n"/>
      <c r="J765" s="102" t="n"/>
      <c r="K765" s="106" t="n"/>
    </row>
    <row r="766">
      <c r="D766" s="102" t="n"/>
      <c r="E766" s="105" t="n"/>
      <c r="G766" s="102" t="n"/>
      <c r="H766" s="105" t="n"/>
      <c r="J766" s="102" t="n"/>
      <c r="K766" s="106" t="n"/>
    </row>
    <row r="768">
      <c r="B768" s="2">
        <f>IF(HSTECH!$C$33="","",HSTECH!$C$33)</f>
        <v/>
      </c>
      <c r="C768" s="2">
        <f>IF(PULL_FUND="N","",IF(HSTECH!$C$33="","",HSTECH!$C$33))</f>
        <v/>
      </c>
      <c r="D768" s="104">
        <f>BDH($C768,NDE_FIELD,"-5AY","","Per=Y","cols=2;rows=5")</f>
        <v/>
      </c>
      <c r="E768" s="105" t="n"/>
      <c r="G768" s="104">
        <f>BQL($C768,BUYBACK_QUERY,$C$4,"fill=prev","showheaders=f","showids=f")</f>
        <v/>
      </c>
      <c r="H768" s="105" t="n"/>
      <c r="J768" s="104">
        <f>BDH($C768,"PX_LAST","-5AY","","Per=Y","cols=2;rows=5")</f>
        <v/>
      </c>
      <c r="K768" s="106" t="n"/>
    </row>
    <row r="769">
      <c r="D769" s="102" t="n"/>
      <c r="E769" s="105" t="n"/>
      <c r="G769" s="102" t="n"/>
      <c r="H769" s="105" t="n"/>
      <c r="J769" s="102" t="n"/>
      <c r="K769" s="106" t="n"/>
    </row>
    <row r="770">
      <c r="D770" s="102" t="n"/>
      <c r="E770" s="105" t="n"/>
      <c r="G770" s="102" t="n"/>
      <c r="H770" s="105" t="n"/>
      <c r="J770" s="102" t="n"/>
      <c r="K770" s="106" t="n"/>
    </row>
    <row r="771">
      <c r="D771" s="102" t="n"/>
      <c r="E771" s="105" t="n"/>
      <c r="G771" s="102" t="n"/>
      <c r="H771" s="105" t="n"/>
      <c r="J771" s="102" t="n"/>
      <c r="K771" s="106" t="n"/>
    </row>
    <row r="772">
      <c r="D772" s="102" t="n"/>
      <c r="E772" s="105" t="n"/>
      <c r="G772" s="102" t="n"/>
      <c r="H772" s="105" t="n"/>
      <c r="J772" s="102" t="n"/>
      <c r="K772" s="106" t="n"/>
    </row>
    <row r="774">
      <c r="B774" s="2">
        <f>IF(HSTECH!$C$34="","",HSTECH!$C$34)</f>
        <v/>
      </c>
      <c r="C774" s="2">
        <f>IF(PULL_FUND="N","",IF(HSTECH!$C$34="","",HSTECH!$C$34))</f>
        <v/>
      </c>
      <c r="D774" s="104">
        <f>BDH($C774,NDE_FIELD,"-5AY","","Per=Y","cols=2;rows=5")</f>
        <v/>
      </c>
      <c r="E774" s="105" t="n"/>
      <c r="G774" s="104">
        <f>BQL($C774,BUYBACK_QUERY,$C$4,"fill=prev","showheaders=f","showids=f")</f>
        <v/>
      </c>
      <c r="H774" s="105" t="n"/>
      <c r="J774" s="104">
        <f>BDH($C774,"PX_LAST","-5AY","","Per=Y","cols=2;rows=5")</f>
        <v/>
      </c>
      <c r="K774" s="106" t="n"/>
    </row>
    <row r="775">
      <c r="D775" s="102" t="n"/>
      <c r="E775" s="105" t="n"/>
      <c r="G775" s="102" t="n"/>
      <c r="H775" s="105" t="n"/>
      <c r="J775" s="102" t="n"/>
      <c r="K775" s="106" t="n"/>
    </row>
    <row r="776">
      <c r="D776" s="102" t="n"/>
      <c r="E776" s="105" t="n"/>
      <c r="G776" s="102" t="n"/>
      <c r="H776" s="105" t="n"/>
      <c r="J776" s="102" t="n"/>
      <c r="K776" s="106" t="n"/>
    </row>
    <row r="777">
      <c r="D777" s="102" t="n"/>
      <c r="E777" s="105" t="n"/>
      <c r="G777" s="102" t="n"/>
      <c r="H777" s="105" t="n"/>
      <c r="J777" s="102" t="n"/>
      <c r="K777" s="106" t="n"/>
    </row>
    <row r="778">
      <c r="D778" s="102" t="n"/>
      <c r="E778" s="105" t="n"/>
      <c r="G778" s="102" t="n"/>
      <c r="H778" s="105" t="n"/>
      <c r="J778" s="102" t="n"/>
      <c r="K778" s="106" t="n"/>
    </row>
    <row r="780">
      <c r="B780" s="2">
        <f>IF(HSTECH!$C$35="","",HSTECH!$C$35)</f>
        <v/>
      </c>
      <c r="C780" s="2">
        <f>IF(PULL_FUND="N","",IF(HSTECH!$C$35="","",HSTECH!$C$35))</f>
        <v/>
      </c>
      <c r="D780" s="104">
        <f>BDH($C780,NDE_FIELD,"-5AY","","Per=Y","cols=2;rows=5")</f>
        <v/>
      </c>
      <c r="E780" s="105" t="n"/>
      <c r="G780" s="104">
        <f>BQL($C780,BUYBACK_QUERY,$C$4,"fill=prev","showheaders=f","showids=f")</f>
        <v/>
      </c>
      <c r="H780" s="105" t="n"/>
      <c r="J780" s="104">
        <f>BDH($C780,"PX_LAST","-5AY","","Per=Y","cols=2;rows=5")</f>
        <v/>
      </c>
      <c r="K780" s="106" t="n"/>
    </row>
    <row r="781">
      <c r="D781" s="102" t="n"/>
      <c r="E781" s="105" t="n"/>
      <c r="G781" s="102" t="n"/>
      <c r="H781" s="105" t="n"/>
      <c r="J781" s="102" t="n"/>
      <c r="K781" s="106" t="n"/>
    </row>
    <row r="782">
      <c r="D782" s="102" t="n"/>
      <c r="E782" s="105" t="n"/>
      <c r="G782" s="102" t="n"/>
      <c r="H782" s="105" t="n"/>
      <c r="J782" s="102" t="n"/>
      <c r="K782" s="106" t="n"/>
    </row>
    <row r="783">
      <c r="D783" s="102" t="n"/>
      <c r="E783" s="105" t="n"/>
      <c r="G783" s="102" t="n"/>
      <c r="H783" s="105" t="n"/>
      <c r="J783" s="102" t="n"/>
      <c r="K783" s="106" t="n"/>
    </row>
    <row r="784">
      <c r="D784" s="102" t="n"/>
      <c r="E784" s="105" t="n"/>
      <c r="G784" s="102" t="n"/>
      <c r="H784" s="105" t="n"/>
      <c r="J784" s="102" t="n"/>
      <c r="K784" s="106" t="n"/>
    </row>
    <row r="786">
      <c r="B786" s="2">
        <f>IF(HSTECH!$C$36="","",HSTECH!$C$36)</f>
        <v/>
      </c>
      <c r="C786" s="2">
        <f>IF(PULL_FUND="N","",IF(HSTECH!$C$36="","",HSTECH!$C$36))</f>
        <v/>
      </c>
      <c r="D786" s="104">
        <f>BDH($C786,NDE_FIELD,"-5AY","","Per=Y","cols=2;rows=5")</f>
        <v/>
      </c>
      <c r="E786" s="105" t="n"/>
      <c r="G786" s="104">
        <f>BQL($C786,BUYBACK_QUERY,$C$4,"fill=prev","showheaders=f","showids=f")</f>
        <v/>
      </c>
      <c r="H786" s="105" t="n"/>
      <c r="J786" s="104">
        <f>BDH($C786,"PX_LAST","-5AY","","Per=Y","cols=2;rows=5")</f>
        <v/>
      </c>
      <c r="K786" s="106" t="n"/>
    </row>
    <row r="787">
      <c r="D787" s="102" t="n"/>
      <c r="E787" s="105" t="n"/>
      <c r="G787" s="102" t="n"/>
      <c r="H787" s="105" t="n"/>
      <c r="J787" s="102" t="n"/>
      <c r="K787" s="106" t="n"/>
    </row>
    <row r="788">
      <c r="D788" s="102" t="n"/>
      <c r="E788" s="105" t="n"/>
      <c r="G788" s="102" t="n"/>
      <c r="H788" s="105" t="n"/>
      <c r="J788" s="102" t="n"/>
      <c r="K788" s="106" t="n"/>
    </row>
    <row r="789">
      <c r="D789" s="102" t="n"/>
      <c r="E789" s="105" t="n"/>
      <c r="G789" s="102" t="n"/>
      <c r="H789" s="105" t="n"/>
      <c r="J789" s="102" t="n"/>
      <c r="K789" s="106" t="n"/>
    </row>
    <row r="790">
      <c r="D790" s="102" t="n"/>
      <c r="E790" s="105" t="n"/>
      <c r="G790" s="102" t="n"/>
      <c r="H790" s="105" t="n"/>
      <c r="J790" s="102" t="n"/>
      <c r="K790" s="106" t="n"/>
    </row>
    <row r="792">
      <c r="B792" s="2">
        <f>IF(HSTECH!$C$37="","",HSTECH!$C$37)</f>
        <v/>
      </c>
      <c r="C792" s="2">
        <f>IF(PULL_FUND="N","",IF(HSTECH!$C$37="","",HSTECH!$C$37))</f>
        <v/>
      </c>
      <c r="D792" s="104">
        <f>BDH($C792,NDE_FIELD,"-5AY","","Per=Y","cols=2;rows=5")</f>
        <v/>
      </c>
      <c r="E792" s="105" t="n"/>
      <c r="G792" s="104">
        <f>BQL($C792,BUYBACK_QUERY,$C$4,"fill=prev","showheaders=f","showids=f")</f>
        <v/>
      </c>
      <c r="H792" s="105" t="n"/>
      <c r="J792" s="104">
        <f>BDH($C792,"PX_LAST","-5AY","","Per=Y","cols=2;rows=5")</f>
        <v/>
      </c>
      <c r="K792" s="106" t="n"/>
    </row>
    <row r="793">
      <c r="D793" s="102" t="n"/>
      <c r="E793" s="105" t="n"/>
      <c r="G793" s="102" t="n"/>
      <c r="H793" s="105" t="n"/>
      <c r="J793" s="102" t="n"/>
      <c r="K793" s="106" t="n"/>
    </row>
    <row r="794">
      <c r="D794" s="102" t="n"/>
      <c r="E794" s="105" t="n"/>
      <c r="G794" s="102" t="n"/>
      <c r="H794" s="105" t="n"/>
      <c r="J794" s="102" t="n"/>
      <c r="K794" s="106" t="n"/>
    </row>
    <row r="795">
      <c r="D795" s="102" t="n"/>
      <c r="E795" s="105" t="n"/>
      <c r="G795" s="102" t="n"/>
      <c r="H795" s="105" t="n"/>
      <c r="J795" s="102" t="n"/>
      <c r="K795" s="106" t="n"/>
    </row>
    <row r="796">
      <c r="D796" s="102" t="n"/>
      <c r="E796" s="105" t="n"/>
      <c r="G796" s="102" t="n"/>
      <c r="H796" s="105" t="n"/>
      <c r="J796" s="102" t="n"/>
      <c r="K796" s="106" t="n"/>
    </row>
    <row r="798">
      <c r="B798" s="2">
        <f>IF(HSTECH!$C$38="","",HSTECH!$C$38)</f>
        <v/>
      </c>
      <c r="C798" s="2">
        <f>IF(PULL_FUND="N","",IF(HSTECH!$C$38="","",HSTECH!$C$38))</f>
        <v/>
      </c>
      <c r="D798" s="104">
        <f>BDH($C798,NDE_FIELD,"-5AY","","Per=Y","cols=2;rows=5")</f>
        <v/>
      </c>
      <c r="E798" s="105" t="n"/>
      <c r="G798" s="104">
        <f>BQL($C798,BUYBACK_QUERY,$C$4,"fill=prev","showheaders=f","showids=f")</f>
        <v/>
      </c>
      <c r="H798" s="105" t="n"/>
      <c r="J798" s="104">
        <f>BDH($C798,"PX_LAST","-5AY","","Per=Y","cols=2;rows=5")</f>
        <v/>
      </c>
      <c r="K798" s="106" t="n"/>
    </row>
    <row r="799">
      <c r="D799" s="102" t="n"/>
      <c r="E799" s="105" t="n"/>
      <c r="G799" s="102" t="n"/>
      <c r="H799" s="105" t="n"/>
      <c r="J799" s="102" t="n"/>
      <c r="K799" s="106" t="n"/>
    </row>
    <row r="800">
      <c r="D800" s="102" t="n"/>
      <c r="E800" s="105" t="n"/>
      <c r="G800" s="102" t="n"/>
      <c r="H800" s="105" t="n"/>
      <c r="J800" s="102" t="n"/>
      <c r="K800" s="106" t="n"/>
    </row>
    <row r="801">
      <c r="D801" s="102" t="n"/>
      <c r="E801" s="105" t="n"/>
      <c r="G801" s="102" t="n"/>
      <c r="H801" s="105" t="n"/>
      <c r="J801" s="102" t="n"/>
      <c r="K801" s="106" t="n"/>
    </row>
    <row r="802">
      <c r="D802" s="102" t="n"/>
      <c r="E802" s="105" t="n"/>
      <c r="G802" s="102" t="n"/>
      <c r="H802" s="105" t="n"/>
      <c r="J802" s="102" t="n"/>
      <c r="K802" s="106" t="n"/>
    </row>
    <row r="804">
      <c r="B804" s="2">
        <f>IF(HSTECH!$C$39="","",HSTECH!$C$39)</f>
        <v/>
      </c>
      <c r="C804" s="2">
        <f>IF(PULL_FUND="N","",IF(HSTECH!$C$39="","",HSTECH!$C$39))</f>
        <v/>
      </c>
      <c r="D804" s="104">
        <f>BDH($C804,NDE_FIELD,"-5AY","","Per=Y","cols=2;rows=5")</f>
        <v/>
      </c>
      <c r="E804" s="105" t="n"/>
      <c r="G804" s="104">
        <f>BQL($C804,BUYBACK_QUERY,$C$4,"fill=prev","showheaders=f","showids=f")</f>
        <v/>
      </c>
      <c r="H804" s="105" t="n"/>
      <c r="J804" s="104">
        <f>BDH($C804,"PX_LAST","-5AY","","Per=Y","cols=2;rows=5")</f>
        <v/>
      </c>
      <c r="K804" s="106" t="n"/>
    </row>
    <row r="805">
      <c r="D805" s="102" t="n"/>
      <c r="E805" s="105" t="n"/>
      <c r="G805" s="102" t="n"/>
      <c r="H805" s="105" t="n"/>
      <c r="J805" s="102" t="n"/>
      <c r="K805" s="106" t="n"/>
    </row>
    <row r="806">
      <c r="D806" s="102" t="n"/>
      <c r="E806" s="105" t="n"/>
      <c r="G806" s="102" t="n"/>
      <c r="H806" s="105" t="n"/>
      <c r="J806" s="102" t="n"/>
      <c r="K806" s="106" t="n"/>
    </row>
    <row r="807">
      <c r="D807" s="102" t="n"/>
      <c r="E807" s="105" t="n"/>
      <c r="G807" s="102" t="n"/>
      <c r="H807" s="105" t="n"/>
      <c r="J807" s="102" t="n"/>
      <c r="K807" s="106" t="n"/>
    </row>
    <row r="808">
      <c r="D808" s="102" t="n"/>
      <c r="E808" s="105" t="n"/>
      <c r="G808" s="102" t="n"/>
      <c r="H808" s="105" t="n"/>
      <c r="J808" s="102" t="n"/>
      <c r="K808" s="106" t="n"/>
    </row>
    <row r="810">
      <c r="B810" s="2">
        <f>IF(HSTECH!$C$40="","",HSTECH!$C$40)</f>
        <v/>
      </c>
      <c r="C810" s="2">
        <f>IF(PULL_FUND="N","",IF(HSTECH!$C$40="","",HSTECH!$C$40))</f>
        <v/>
      </c>
      <c r="D810" s="104">
        <f>BDH($C810,NDE_FIELD,"-5AY","","Per=Y","cols=2;rows=5")</f>
        <v/>
      </c>
      <c r="E810" s="105" t="n"/>
      <c r="G810" s="104">
        <f>BQL($C810,BUYBACK_QUERY,$C$4,"fill=prev","showheaders=f","showids=f")</f>
        <v/>
      </c>
      <c r="H810" s="105" t="n"/>
      <c r="J810" s="104">
        <f>BDH($C810,"PX_LAST","-5AY","","Per=Y","cols=2;rows=5")</f>
        <v/>
      </c>
      <c r="K810" s="106" t="n"/>
    </row>
    <row r="811">
      <c r="D811" s="102" t="n"/>
      <c r="E811" s="105" t="n"/>
      <c r="G811" s="102" t="n"/>
      <c r="H811" s="105" t="n"/>
      <c r="J811" s="102" t="n"/>
      <c r="K811" s="106" t="n"/>
    </row>
    <row r="812">
      <c r="D812" s="102" t="n"/>
      <c r="E812" s="105" t="n"/>
      <c r="G812" s="102" t="n"/>
      <c r="H812" s="105" t="n"/>
      <c r="J812" s="102" t="n"/>
      <c r="K812" s="106" t="n"/>
    </row>
    <row r="813">
      <c r="D813" s="102" t="n"/>
      <c r="E813" s="105" t="n"/>
      <c r="G813" s="102" t="n"/>
      <c r="H813" s="105" t="n"/>
      <c r="J813" s="102" t="n"/>
      <c r="K813" s="106" t="n"/>
    </row>
    <row r="814">
      <c r="D814" s="102" t="n"/>
      <c r="E814" s="105" t="n"/>
      <c r="G814" s="102" t="n"/>
      <c r="H814" s="105" t="n"/>
      <c r="J814" s="102" t="n"/>
      <c r="K814" s="106" t="n"/>
    </row>
    <row r="816">
      <c r="B816" s="2">
        <f>IF(HSTECH!$C$41="","",HSTECH!$C$41)</f>
        <v/>
      </c>
      <c r="C816" s="2">
        <f>IF(PULL_FUND="N","",IF(HSTECH!$C$41="","",HSTECH!$C$41))</f>
        <v/>
      </c>
      <c r="D816" s="104">
        <f>BDH($C816,NDE_FIELD,"-5AY","","Per=Y","cols=2;rows=5")</f>
        <v/>
      </c>
      <c r="E816" s="105" t="n"/>
      <c r="G816" s="104">
        <f>BQL($C816,BUYBACK_QUERY,$C$4,"fill=prev","showheaders=f","showids=f")</f>
        <v/>
      </c>
      <c r="H816" s="105" t="n"/>
      <c r="J816" s="104">
        <f>BDH($C816,"PX_LAST","-5AY","","Per=Y","cols=2;rows=5")</f>
        <v/>
      </c>
      <c r="K816" s="106" t="n"/>
    </row>
    <row r="817">
      <c r="D817" s="102" t="n"/>
      <c r="E817" s="105" t="n"/>
      <c r="G817" s="102" t="n"/>
      <c r="H817" s="105" t="n"/>
      <c r="J817" s="102" t="n"/>
      <c r="K817" s="106" t="n"/>
    </row>
    <row r="818">
      <c r="D818" s="102" t="n"/>
      <c r="E818" s="105" t="n"/>
      <c r="G818" s="102" t="n"/>
      <c r="H818" s="105" t="n"/>
      <c r="J818" s="102" t="n"/>
      <c r="K818" s="106" t="n"/>
    </row>
    <row r="819">
      <c r="D819" s="102" t="n"/>
      <c r="E819" s="105" t="n"/>
      <c r="G819" s="102" t="n"/>
      <c r="H819" s="105" t="n"/>
      <c r="J819" s="102" t="n"/>
      <c r="K819" s="106" t="n"/>
    </row>
    <row r="820">
      <c r="D820" s="102" t="n"/>
      <c r="E820" s="105" t="n"/>
      <c r="G820" s="102" t="n"/>
      <c r="H820" s="105" t="n"/>
      <c r="J820" s="102" t="n"/>
      <c r="K820" s="106" t="n"/>
    </row>
    <row r="822">
      <c r="B822" s="2">
        <f>IF(HSTECH!$C$42="","",HSTECH!$C$42)</f>
        <v/>
      </c>
      <c r="C822" s="2">
        <f>IF(PULL_FUND="N","",IF(HSTECH!$C$42="","",HSTECH!$C$42))</f>
        <v/>
      </c>
      <c r="D822" s="104">
        <f>BDH($C822,NDE_FIELD,"-5AY","","Per=Y","cols=2;rows=5")</f>
        <v/>
      </c>
      <c r="E822" s="105" t="n"/>
      <c r="G822" s="104">
        <f>BQL($C822,BUYBACK_QUERY,$C$4,"fill=prev","showheaders=f","showids=f")</f>
        <v/>
      </c>
      <c r="H822" s="105" t="n"/>
      <c r="J822" s="104">
        <f>BDH($C822,"PX_LAST","-5AY","","Per=Y","cols=2;rows=5")</f>
        <v/>
      </c>
      <c r="K822" s="106" t="n"/>
    </row>
    <row r="823">
      <c r="D823" s="102" t="n"/>
      <c r="E823" s="105" t="n"/>
      <c r="G823" s="102" t="n"/>
      <c r="H823" s="105" t="n"/>
      <c r="J823" s="102" t="n"/>
      <c r="K823" s="106" t="n"/>
    </row>
    <row r="824">
      <c r="D824" s="102" t="n"/>
      <c r="E824" s="105" t="n"/>
      <c r="G824" s="102" t="n"/>
      <c r="H824" s="105" t="n"/>
      <c r="J824" s="102" t="n"/>
      <c r="K824" s="106" t="n"/>
    </row>
    <row r="825">
      <c r="D825" s="102" t="n"/>
      <c r="E825" s="105" t="n"/>
      <c r="G825" s="102" t="n"/>
      <c r="H825" s="105" t="n"/>
      <c r="J825" s="102" t="n"/>
      <c r="K825" s="106" t="n"/>
    </row>
    <row r="826">
      <c r="D826" s="102" t="n"/>
      <c r="E826" s="105" t="n"/>
      <c r="G826" s="102" t="n"/>
      <c r="H826" s="105" t="n"/>
      <c r="J826" s="102" t="n"/>
      <c r="K826" s="106" t="n"/>
    </row>
    <row r="828">
      <c r="B828" s="2">
        <f>IF(HSTECH!$C$43="","",HSTECH!$C$43)</f>
        <v/>
      </c>
      <c r="C828" s="2">
        <f>IF(PULL_FUND="N","",IF(HSTECH!$C$43="","",HSTECH!$C$43))</f>
        <v/>
      </c>
      <c r="D828" s="104">
        <f>BDH($C828,NDE_FIELD,"-5AY","","Per=Y","cols=2;rows=5")</f>
        <v/>
      </c>
      <c r="E828" s="105" t="n"/>
      <c r="G828" s="104">
        <f>BQL($C828,BUYBACK_QUERY,$C$4,"fill=prev","showheaders=f","showids=f")</f>
        <v/>
      </c>
      <c r="H828" s="105" t="n"/>
      <c r="J828" s="104">
        <f>BDH($C828,"PX_LAST","-5AY","","Per=Y","cols=2;rows=5")</f>
        <v/>
      </c>
      <c r="K828" s="106" t="n"/>
    </row>
    <row r="829">
      <c r="D829" s="102" t="n"/>
      <c r="E829" s="105" t="n"/>
      <c r="G829" s="102" t="n"/>
      <c r="H829" s="105" t="n"/>
      <c r="J829" s="102" t="n"/>
      <c r="K829" s="106" t="n"/>
    </row>
    <row r="830">
      <c r="D830" s="102" t="n"/>
      <c r="E830" s="105" t="n"/>
      <c r="G830" s="102" t="n"/>
      <c r="H830" s="105" t="n"/>
      <c r="J830" s="102" t="n"/>
      <c r="K830" s="106" t="n"/>
    </row>
    <row r="831">
      <c r="D831" s="102" t="n"/>
      <c r="E831" s="105" t="n"/>
      <c r="G831" s="102" t="n"/>
      <c r="H831" s="105" t="n"/>
      <c r="J831" s="102" t="n"/>
      <c r="K831" s="106" t="n"/>
    </row>
    <row r="832">
      <c r="D832" s="102" t="n"/>
      <c r="E832" s="105" t="n"/>
      <c r="G832" s="102" t="n"/>
      <c r="H832" s="105" t="n"/>
      <c r="J832" s="102" t="n"/>
      <c r="K832" s="106" t="n"/>
    </row>
    <row r="834">
      <c r="B834" s="2">
        <f>IF(HSTECH!$C$44="","",HSTECH!$C$44)</f>
        <v/>
      </c>
      <c r="C834" s="2">
        <f>IF(PULL_FUND="N","",IF(HSTECH!$C$44="","",HSTECH!$C$44))</f>
        <v/>
      </c>
      <c r="D834" s="104">
        <f>BDH($C834,NDE_FIELD,"-5AY","","Per=Y","cols=2;rows=5")</f>
        <v/>
      </c>
      <c r="E834" s="105" t="n"/>
      <c r="G834" s="104">
        <f>BQL($C834,BUYBACK_QUERY,$C$4,"fill=prev","showheaders=f","showids=f")</f>
        <v/>
      </c>
      <c r="H834" s="105" t="n"/>
      <c r="J834" s="104">
        <f>BDH($C834,"PX_LAST","-5AY","","Per=Y","cols=2;rows=5")</f>
        <v/>
      </c>
      <c r="K834" s="106" t="n"/>
    </row>
    <row r="835">
      <c r="D835" s="102" t="n"/>
      <c r="E835" s="105" t="n"/>
      <c r="G835" s="102" t="n"/>
      <c r="H835" s="105" t="n"/>
      <c r="J835" s="102" t="n"/>
      <c r="K835" s="106" t="n"/>
    </row>
    <row r="836">
      <c r="D836" s="102" t="n"/>
      <c r="E836" s="105" t="n"/>
      <c r="G836" s="102" t="n"/>
      <c r="H836" s="105" t="n"/>
      <c r="J836" s="102" t="n"/>
      <c r="K836" s="106" t="n"/>
    </row>
    <row r="837">
      <c r="D837" s="102" t="n"/>
      <c r="E837" s="105" t="n"/>
      <c r="G837" s="102" t="n"/>
      <c r="H837" s="105" t="n"/>
      <c r="J837" s="102" t="n"/>
      <c r="K837" s="106" t="n"/>
    </row>
    <row r="838">
      <c r="D838" s="102" t="n"/>
      <c r="E838" s="105" t="n"/>
      <c r="G838" s="102" t="n"/>
      <c r="H838" s="105" t="n"/>
      <c r="J838" s="102" t="n"/>
      <c r="K838" s="106" t="n"/>
    </row>
    <row r="840">
      <c r="B840" s="2">
        <f>IF(HSTECH!$C$45="","",HSTECH!$C$45)</f>
        <v/>
      </c>
      <c r="C840" s="2">
        <f>IF(PULL_FUND="N","",IF(HSTECH!$C$45="","",HSTECH!$C$45))</f>
        <v/>
      </c>
      <c r="D840" s="104">
        <f>BDH($C840,NDE_FIELD,"-5AY","","Per=Y","cols=2;rows=5")</f>
        <v/>
      </c>
      <c r="E840" s="105" t="n"/>
      <c r="G840" s="104">
        <f>BQL($C840,BUYBACK_QUERY,$C$4,"fill=prev","showheaders=f","showids=f")</f>
        <v/>
      </c>
      <c r="H840" s="105" t="n"/>
      <c r="J840" s="104">
        <f>BDH($C840,"PX_LAST","-5AY","","Per=Y","cols=2;rows=5")</f>
        <v/>
      </c>
      <c r="K840" s="106" t="n"/>
    </row>
    <row r="841">
      <c r="D841" s="102" t="n"/>
      <c r="E841" s="105" t="n"/>
      <c r="G841" s="102" t="n"/>
      <c r="H841" s="105" t="n"/>
      <c r="J841" s="102" t="n"/>
      <c r="K841" s="106" t="n"/>
    </row>
    <row r="842">
      <c r="D842" s="102" t="n"/>
      <c r="E842" s="105" t="n"/>
      <c r="G842" s="102" t="n"/>
      <c r="H842" s="105" t="n"/>
      <c r="J842" s="102" t="n"/>
      <c r="K842" s="106" t="n"/>
    </row>
    <row r="843">
      <c r="D843" s="102" t="n"/>
      <c r="E843" s="105" t="n"/>
      <c r="G843" s="102" t="n"/>
      <c r="H843" s="105" t="n"/>
      <c r="J843" s="102" t="n"/>
      <c r="K843" s="106" t="n"/>
    </row>
    <row r="844">
      <c r="D844" s="102" t="n"/>
      <c r="E844" s="105" t="n"/>
      <c r="G844" s="102" t="n"/>
      <c r="H844" s="105" t="n"/>
      <c r="J844" s="102" t="n"/>
      <c r="K844" s="106" t="n"/>
    </row>
    <row r="846">
      <c r="B846" s="2">
        <f>IF(HSTECH!$C$46="","",HSTECH!$C$46)</f>
        <v/>
      </c>
      <c r="C846" s="2">
        <f>IF(PULL_FUND="N","",IF(HSTECH!$C$46="","",HSTECH!$C$46))</f>
        <v/>
      </c>
      <c r="D846" s="104">
        <f>BDH($C846,NDE_FIELD,"-5AY","","Per=Y","cols=2;rows=5")</f>
        <v/>
      </c>
      <c r="E846" s="105" t="n"/>
      <c r="G846" s="104">
        <f>BQL($C846,BUYBACK_QUERY,$C$4,"fill=prev","showheaders=f","showids=f")</f>
        <v/>
      </c>
      <c r="H846" s="105" t="n"/>
      <c r="J846" s="104">
        <f>BDH($C846,"PX_LAST","-5AY","","Per=Y","cols=2;rows=5")</f>
        <v/>
      </c>
      <c r="K846" s="106" t="n"/>
    </row>
    <row r="847">
      <c r="D847" s="102" t="n"/>
      <c r="E847" s="105" t="n"/>
      <c r="G847" s="102" t="n"/>
      <c r="H847" s="105" t="n"/>
      <c r="J847" s="102" t="n"/>
      <c r="K847" s="106" t="n"/>
    </row>
    <row r="848">
      <c r="D848" s="102" t="n"/>
      <c r="E848" s="105" t="n"/>
      <c r="G848" s="102" t="n"/>
      <c r="H848" s="105" t="n"/>
      <c r="J848" s="102" t="n"/>
      <c r="K848" s="106" t="n"/>
    </row>
    <row r="849">
      <c r="D849" s="102" t="n"/>
      <c r="E849" s="105" t="n"/>
      <c r="G849" s="102" t="n"/>
      <c r="H849" s="105" t="n"/>
      <c r="J849" s="102" t="n"/>
      <c r="K849" s="106" t="n"/>
    </row>
    <row r="850">
      <c r="D850" s="102" t="n"/>
      <c r="E850" s="105" t="n"/>
      <c r="G850" s="102" t="n"/>
      <c r="H850" s="105" t="n"/>
      <c r="J850" s="102" t="n"/>
      <c r="K850" s="106" t="n"/>
    </row>
    <row r="854">
      <c r="B854" s="6" t="inlineStr">
        <is>
          <t>Hang Seng China Enterprises (HSCEI)</t>
        </is>
      </c>
      <c r="C854" s="7" t="n"/>
      <c r="D854" s="10">
        <f>IF(COUNT($D$856:$D$1215)&gt;0,"BDH shape OK - dates in column D",IF(COUNT($E$856:$E$1215)&gt;0,"CHECK: BDH returned values but NO date column - tell Claude","BDH: nothing pulled yet"))</f>
        <v/>
      </c>
      <c r="E854" s="7" t="n"/>
      <c r="F854" s="7" t="n"/>
      <c r="G854" s="10">
        <f>IF(COUNT($G$856:$G$1215)&gt;0,"BQL shape OK - dates in column G",IF(COUNT($H$856:$H$1215)&gt;0,"CHECK: BQL returned values but NO date column - tell Claude","BQL: nothing pulled yet"))</f>
        <v/>
      </c>
      <c r="H854" s="7" t="n"/>
      <c r="J854" s="2">
        <f>IF(COUNT($J$856:$J$1215)&gt;0,"PX shape OK - dates in column J",IF(COUNT($K$856:$K$1215)&gt;0,"CHECK: PX returned values but NO date column - tell Claude","PX: nothing pulled yet"))</f>
        <v/>
      </c>
    </row>
    <row r="855">
      <c r="D855" s="2" t="inlineStr">
        <is>
          <t>net debt/equity (BDH)</t>
        </is>
      </c>
      <c r="G855" s="2" t="inlineStr">
        <is>
          <t>buyback yield (BQL)</t>
        </is>
      </c>
      <c r="J855" s="2" t="inlineStr">
        <is>
          <t>year-end price (BDH)</t>
        </is>
      </c>
    </row>
    <row r="856">
      <c r="B856" s="2">
        <f>IF(HSCEI!$C$7="","",HSCEI!$C$7)</f>
        <v/>
      </c>
      <c r="C856" s="2">
        <f>IF(PULL_FUND="N","",IF(HSCEI!$C$7="","",HSCEI!$C$7))</f>
        <v/>
      </c>
      <c r="D856" s="104">
        <f>BDH($C856,NDE_FIELD,"-5AY","","Per=Y","cols=2;rows=5")</f>
        <v/>
      </c>
      <c r="E856" s="105" t="n"/>
      <c r="G856" s="104">
        <f>BQL($C856,BUYBACK_QUERY,$C$4,"fill=prev","showheaders=f","showids=f")</f>
        <v/>
      </c>
      <c r="H856" s="105" t="n"/>
      <c r="J856" s="104">
        <f>BDH($C856,"PX_LAST","-5AY","","Per=Y","cols=2;rows=5")</f>
        <v/>
      </c>
      <c r="K856" s="106" t="n"/>
    </row>
    <row r="857">
      <c r="D857" s="102" t="n"/>
      <c r="E857" s="105" t="n"/>
      <c r="G857" s="102" t="n"/>
      <c r="H857" s="105" t="n"/>
      <c r="J857" s="102" t="n"/>
      <c r="K857" s="106" t="n"/>
    </row>
    <row r="858">
      <c r="D858" s="102" t="n"/>
      <c r="E858" s="105" t="n"/>
      <c r="G858" s="102" t="n"/>
      <c r="H858" s="105" t="n"/>
      <c r="J858" s="102" t="n"/>
      <c r="K858" s="106" t="n"/>
    </row>
    <row r="859">
      <c r="D859" s="102" t="n"/>
      <c r="E859" s="105" t="n"/>
      <c r="G859" s="102" t="n"/>
      <c r="H859" s="105" t="n"/>
      <c r="J859" s="102" t="n"/>
      <c r="K859" s="106" t="n"/>
    </row>
    <row r="860">
      <c r="D860" s="102" t="n"/>
      <c r="E860" s="105" t="n"/>
      <c r="G860" s="102" t="n"/>
      <c r="H860" s="105" t="n"/>
      <c r="J860" s="102" t="n"/>
      <c r="K860" s="106" t="n"/>
    </row>
    <row r="862">
      <c r="B862" s="2">
        <f>IF(HSCEI!$C$8="","",HSCEI!$C$8)</f>
        <v/>
      </c>
      <c r="C862" s="2">
        <f>IF(PULL_FUND="N","",IF(HSCEI!$C$8="","",HSCEI!$C$8))</f>
        <v/>
      </c>
      <c r="D862" s="104">
        <f>BDH($C862,NDE_FIELD,"-5AY","","Per=Y","cols=2;rows=5")</f>
        <v/>
      </c>
      <c r="E862" s="105" t="n"/>
      <c r="G862" s="104">
        <f>BQL($C862,BUYBACK_QUERY,$C$4,"fill=prev","showheaders=f","showids=f")</f>
        <v/>
      </c>
      <c r="H862" s="105" t="n"/>
      <c r="J862" s="104">
        <f>BDH($C862,"PX_LAST","-5AY","","Per=Y","cols=2;rows=5")</f>
        <v/>
      </c>
      <c r="K862" s="106" t="n"/>
    </row>
    <row r="863">
      <c r="D863" s="102" t="n"/>
      <c r="E863" s="105" t="n"/>
      <c r="G863" s="102" t="n"/>
      <c r="H863" s="105" t="n"/>
      <c r="J863" s="102" t="n"/>
      <c r="K863" s="106" t="n"/>
    </row>
    <row r="864">
      <c r="D864" s="102" t="n"/>
      <c r="E864" s="105" t="n"/>
      <c r="G864" s="102" t="n"/>
      <c r="H864" s="105" t="n"/>
      <c r="J864" s="102" t="n"/>
      <c r="K864" s="106" t="n"/>
    </row>
    <row r="865">
      <c r="D865" s="102" t="n"/>
      <c r="E865" s="105" t="n"/>
      <c r="G865" s="102" t="n"/>
      <c r="H865" s="105" t="n"/>
      <c r="J865" s="102" t="n"/>
      <c r="K865" s="106" t="n"/>
    </row>
    <row r="866">
      <c r="D866" s="102" t="n"/>
      <c r="E866" s="105" t="n"/>
      <c r="G866" s="102" t="n"/>
      <c r="H866" s="105" t="n"/>
      <c r="J866" s="102" t="n"/>
      <c r="K866" s="106" t="n"/>
    </row>
    <row r="868">
      <c r="B868" s="2">
        <f>IF(HSCEI!$C$9="","",HSCEI!$C$9)</f>
        <v/>
      </c>
      <c r="C868" s="2">
        <f>IF(PULL_FUND="N","",IF(HSCEI!$C$9="","",HSCEI!$C$9))</f>
        <v/>
      </c>
      <c r="D868" s="104">
        <f>BDH($C868,NDE_FIELD,"-5AY","","Per=Y","cols=2;rows=5")</f>
        <v/>
      </c>
      <c r="E868" s="105" t="n"/>
      <c r="G868" s="104">
        <f>BQL($C868,BUYBACK_QUERY,$C$4,"fill=prev","showheaders=f","showids=f")</f>
        <v/>
      </c>
      <c r="H868" s="105" t="n"/>
      <c r="J868" s="104">
        <f>BDH($C868,"PX_LAST","-5AY","","Per=Y","cols=2;rows=5")</f>
        <v/>
      </c>
      <c r="K868" s="106" t="n"/>
    </row>
    <row r="869">
      <c r="D869" s="102" t="n"/>
      <c r="E869" s="105" t="n"/>
      <c r="G869" s="102" t="n"/>
      <c r="H869" s="105" t="n"/>
      <c r="J869" s="102" t="n"/>
      <c r="K869" s="106" t="n"/>
    </row>
    <row r="870">
      <c r="D870" s="102" t="n"/>
      <c r="E870" s="105" t="n"/>
      <c r="G870" s="102" t="n"/>
      <c r="H870" s="105" t="n"/>
      <c r="J870" s="102" t="n"/>
      <c r="K870" s="106" t="n"/>
    </row>
    <row r="871">
      <c r="D871" s="102" t="n"/>
      <c r="E871" s="105" t="n"/>
      <c r="G871" s="102" t="n"/>
      <c r="H871" s="105" t="n"/>
      <c r="J871" s="102" t="n"/>
      <c r="K871" s="106" t="n"/>
    </row>
    <row r="872">
      <c r="D872" s="102" t="n"/>
      <c r="E872" s="105" t="n"/>
      <c r="G872" s="102" t="n"/>
      <c r="H872" s="105" t="n"/>
      <c r="J872" s="102" t="n"/>
      <c r="K872" s="106" t="n"/>
    </row>
    <row r="874">
      <c r="B874" s="2">
        <f>IF(HSCEI!$C$10="","",HSCEI!$C$10)</f>
        <v/>
      </c>
      <c r="C874" s="2">
        <f>IF(PULL_FUND="N","",IF(HSCEI!$C$10="","",HSCEI!$C$10))</f>
        <v/>
      </c>
      <c r="D874" s="104">
        <f>BDH($C874,NDE_FIELD,"-5AY","","Per=Y","cols=2;rows=5")</f>
        <v/>
      </c>
      <c r="E874" s="105" t="n"/>
      <c r="G874" s="104">
        <f>BQL($C874,BUYBACK_QUERY,$C$4,"fill=prev","showheaders=f","showids=f")</f>
        <v/>
      </c>
      <c r="H874" s="105" t="n"/>
      <c r="J874" s="104">
        <f>BDH($C874,"PX_LAST","-5AY","","Per=Y","cols=2;rows=5")</f>
        <v/>
      </c>
      <c r="K874" s="106" t="n"/>
    </row>
    <row r="875">
      <c r="D875" s="102" t="n"/>
      <c r="E875" s="105" t="n"/>
      <c r="G875" s="102" t="n"/>
      <c r="H875" s="105" t="n"/>
      <c r="J875" s="102" t="n"/>
      <c r="K875" s="106" t="n"/>
    </row>
    <row r="876">
      <c r="D876" s="102" t="n"/>
      <c r="E876" s="105" t="n"/>
      <c r="G876" s="102" t="n"/>
      <c r="H876" s="105" t="n"/>
      <c r="J876" s="102" t="n"/>
      <c r="K876" s="106" t="n"/>
    </row>
    <row r="877">
      <c r="D877" s="102" t="n"/>
      <c r="E877" s="105" t="n"/>
      <c r="G877" s="102" t="n"/>
      <c r="H877" s="105" t="n"/>
      <c r="J877" s="102" t="n"/>
      <c r="K877" s="106" t="n"/>
    </row>
    <row r="878">
      <c r="D878" s="102" t="n"/>
      <c r="E878" s="105" t="n"/>
      <c r="G878" s="102" t="n"/>
      <c r="H878" s="105" t="n"/>
      <c r="J878" s="102" t="n"/>
      <c r="K878" s="106" t="n"/>
    </row>
    <row r="880">
      <c r="B880" s="2">
        <f>IF(HSCEI!$C$11="","",HSCEI!$C$11)</f>
        <v/>
      </c>
      <c r="C880" s="2">
        <f>IF(PULL_FUND="N","",IF(HSCEI!$C$11="","",HSCEI!$C$11))</f>
        <v/>
      </c>
      <c r="D880" s="104">
        <f>BDH($C880,NDE_FIELD,"-5AY","","Per=Y","cols=2;rows=5")</f>
        <v/>
      </c>
      <c r="E880" s="105" t="n"/>
      <c r="G880" s="104">
        <f>BQL($C880,BUYBACK_QUERY,$C$4,"fill=prev","showheaders=f","showids=f")</f>
        <v/>
      </c>
      <c r="H880" s="105" t="n"/>
      <c r="J880" s="104">
        <f>BDH($C880,"PX_LAST","-5AY","","Per=Y","cols=2;rows=5")</f>
        <v/>
      </c>
      <c r="K880" s="106" t="n"/>
    </row>
    <row r="881">
      <c r="D881" s="102" t="n"/>
      <c r="E881" s="105" t="n"/>
      <c r="G881" s="102" t="n"/>
      <c r="H881" s="105" t="n"/>
      <c r="J881" s="102" t="n"/>
      <c r="K881" s="106" t="n"/>
    </row>
    <row r="882">
      <c r="D882" s="102" t="n"/>
      <c r="E882" s="105" t="n"/>
      <c r="G882" s="102" t="n"/>
      <c r="H882" s="105" t="n"/>
      <c r="J882" s="102" t="n"/>
      <c r="K882" s="106" t="n"/>
    </row>
    <row r="883">
      <c r="D883" s="102" t="n"/>
      <c r="E883" s="105" t="n"/>
      <c r="G883" s="102" t="n"/>
      <c r="H883" s="105" t="n"/>
      <c r="J883" s="102" t="n"/>
      <c r="K883" s="106" t="n"/>
    </row>
    <row r="884">
      <c r="D884" s="102" t="n"/>
      <c r="E884" s="105" t="n"/>
      <c r="G884" s="102" t="n"/>
      <c r="H884" s="105" t="n"/>
      <c r="J884" s="102" t="n"/>
      <c r="K884" s="106" t="n"/>
    </row>
    <row r="886">
      <c r="B886" s="2">
        <f>IF(HSCEI!$C$12="","",HSCEI!$C$12)</f>
        <v/>
      </c>
      <c r="C886" s="2">
        <f>IF(PULL_FUND="N","",IF(HSCEI!$C$12="","",HSCEI!$C$12))</f>
        <v/>
      </c>
      <c r="D886" s="104">
        <f>BDH($C886,NDE_FIELD,"-5AY","","Per=Y","cols=2;rows=5")</f>
        <v/>
      </c>
      <c r="E886" s="105" t="n"/>
      <c r="G886" s="104">
        <f>BQL($C886,BUYBACK_QUERY,$C$4,"fill=prev","showheaders=f","showids=f")</f>
        <v/>
      </c>
      <c r="H886" s="105" t="n"/>
      <c r="J886" s="104">
        <f>BDH($C886,"PX_LAST","-5AY","","Per=Y","cols=2;rows=5")</f>
        <v/>
      </c>
      <c r="K886" s="106" t="n"/>
    </row>
    <row r="887">
      <c r="D887" s="102" t="n"/>
      <c r="E887" s="105" t="n"/>
      <c r="G887" s="102" t="n"/>
      <c r="H887" s="105" t="n"/>
      <c r="J887" s="102" t="n"/>
      <c r="K887" s="106" t="n"/>
    </row>
    <row r="888">
      <c r="D888" s="102" t="n"/>
      <c r="E888" s="105" t="n"/>
      <c r="G888" s="102" t="n"/>
      <c r="H888" s="105" t="n"/>
      <c r="J888" s="102" t="n"/>
      <c r="K888" s="106" t="n"/>
    </row>
    <row r="889">
      <c r="D889" s="102" t="n"/>
      <c r="E889" s="105" t="n"/>
      <c r="G889" s="102" t="n"/>
      <c r="H889" s="105" t="n"/>
      <c r="J889" s="102" t="n"/>
      <c r="K889" s="106" t="n"/>
    </row>
    <row r="890">
      <c r="D890" s="102" t="n"/>
      <c r="E890" s="105" t="n"/>
      <c r="G890" s="102" t="n"/>
      <c r="H890" s="105" t="n"/>
      <c r="J890" s="102" t="n"/>
      <c r="K890" s="106" t="n"/>
    </row>
    <row r="892">
      <c r="B892" s="2">
        <f>IF(HSCEI!$C$13="","",HSCEI!$C$13)</f>
        <v/>
      </c>
      <c r="C892" s="2">
        <f>IF(PULL_FUND="N","",IF(HSCEI!$C$13="","",HSCEI!$C$13))</f>
        <v/>
      </c>
      <c r="D892" s="104">
        <f>BDH($C892,NDE_FIELD,"-5AY","","Per=Y","cols=2;rows=5")</f>
        <v/>
      </c>
      <c r="E892" s="105" t="n"/>
      <c r="G892" s="104">
        <f>BQL($C892,BUYBACK_QUERY,$C$4,"fill=prev","showheaders=f","showids=f")</f>
        <v/>
      </c>
      <c r="H892" s="105" t="n"/>
      <c r="J892" s="104">
        <f>BDH($C892,"PX_LAST","-5AY","","Per=Y","cols=2;rows=5")</f>
        <v/>
      </c>
      <c r="K892" s="106" t="n"/>
    </row>
    <row r="893">
      <c r="D893" s="102" t="n"/>
      <c r="E893" s="105" t="n"/>
      <c r="G893" s="102" t="n"/>
      <c r="H893" s="105" t="n"/>
      <c r="J893" s="102" t="n"/>
      <c r="K893" s="106" t="n"/>
    </row>
    <row r="894">
      <c r="D894" s="102" t="n"/>
      <c r="E894" s="105" t="n"/>
      <c r="G894" s="102" t="n"/>
      <c r="H894" s="105" t="n"/>
      <c r="J894" s="102" t="n"/>
      <c r="K894" s="106" t="n"/>
    </row>
    <row r="895">
      <c r="D895" s="102" t="n"/>
      <c r="E895" s="105" t="n"/>
      <c r="G895" s="102" t="n"/>
      <c r="H895" s="105" t="n"/>
      <c r="J895" s="102" t="n"/>
      <c r="K895" s="106" t="n"/>
    </row>
    <row r="896">
      <c r="D896" s="102" t="n"/>
      <c r="E896" s="105" t="n"/>
      <c r="G896" s="102" t="n"/>
      <c r="H896" s="105" t="n"/>
      <c r="J896" s="102" t="n"/>
      <c r="K896" s="106" t="n"/>
    </row>
    <row r="898">
      <c r="B898" s="2">
        <f>IF(HSCEI!$C$14="","",HSCEI!$C$14)</f>
        <v/>
      </c>
      <c r="C898" s="2">
        <f>IF(PULL_FUND="N","",IF(HSCEI!$C$14="","",HSCEI!$C$14))</f>
        <v/>
      </c>
      <c r="D898" s="104">
        <f>BDH($C898,NDE_FIELD,"-5AY","","Per=Y","cols=2;rows=5")</f>
        <v/>
      </c>
      <c r="E898" s="105" t="n"/>
      <c r="G898" s="104">
        <f>BQL($C898,BUYBACK_QUERY,$C$4,"fill=prev","showheaders=f","showids=f")</f>
        <v/>
      </c>
      <c r="H898" s="105" t="n"/>
      <c r="J898" s="104">
        <f>BDH($C898,"PX_LAST","-5AY","","Per=Y","cols=2;rows=5")</f>
        <v/>
      </c>
      <c r="K898" s="106" t="n"/>
    </row>
    <row r="899">
      <c r="D899" s="102" t="n"/>
      <c r="E899" s="105" t="n"/>
      <c r="G899" s="102" t="n"/>
      <c r="H899" s="105" t="n"/>
      <c r="J899" s="102" t="n"/>
      <c r="K899" s="106" t="n"/>
    </row>
    <row r="900">
      <c r="D900" s="102" t="n"/>
      <c r="E900" s="105" t="n"/>
      <c r="G900" s="102" t="n"/>
      <c r="H900" s="105" t="n"/>
      <c r="J900" s="102" t="n"/>
      <c r="K900" s="106" t="n"/>
    </row>
    <row r="901">
      <c r="D901" s="102" t="n"/>
      <c r="E901" s="105" t="n"/>
      <c r="G901" s="102" t="n"/>
      <c r="H901" s="105" t="n"/>
      <c r="J901" s="102" t="n"/>
      <c r="K901" s="106" t="n"/>
    </row>
    <row r="902">
      <c r="D902" s="102" t="n"/>
      <c r="E902" s="105" t="n"/>
      <c r="G902" s="102" t="n"/>
      <c r="H902" s="105" t="n"/>
      <c r="J902" s="102" t="n"/>
      <c r="K902" s="106" t="n"/>
    </row>
    <row r="904">
      <c r="B904" s="2">
        <f>IF(HSCEI!$C$15="","",HSCEI!$C$15)</f>
        <v/>
      </c>
      <c r="C904" s="2">
        <f>IF(PULL_FUND="N","",IF(HSCEI!$C$15="","",HSCEI!$C$15))</f>
        <v/>
      </c>
      <c r="D904" s="104">
        <f>BDH($C904,NDE_FIELD,"-5AY","","Per=Y","cols=2;rows=5")</f>
        <v/>
      </c>
      <c r="E904" s="105" t="n"/>
      <c r="G904" s="104">
        <f>BQL($C904,BUYBACK_QUERY,$C$4,"fill=prev","showheaders=f","showids=f")</f>
        <v/>
      </c>
      <c r="H904" s="105" t="n"/>
      <c r="J904" s="104">
        <f>BDH($C904,"PX_LAST","-5AY","","Per=Y","cols=2;rows=5")</f>
        <v/>
      </c>
      <c r="K904" s="106" t="n"/>
    </row>
    <row r="905">
      <c r="D905" s="102" t="n"/>
      <c r="E905" s="105" t="n"/>
      <c r="G905" s="102" t="n"/>
      <c r="H905" s="105" t="n"/>
      <c r="J905" s="102" t="n"/>
      <c r="K905" s="106" t="n"/>
    </row>
    <row r="906">
      <c r="D906" s="102" t="n"/>
      <c r="E906" s="105" t="n"/>
      <c r="G906" s="102" t="n"/>
      <c r="H906" s="105" t="n"/>
      <c r="J906" s="102" t="n"/>
      <c r="K906" s="106" t="n"/>
    </row>
    <row r="907">
      <c r="D907" s="102" t="n"/>
      <c r="E907" s="105" t="n"/>
      <c r="G907" s="102" t="n"/>
      <c r="H907" s="105" t="n"/>
      <c r="J907" s="102" t="n"/>
      <c r="K907" s="106" t="n"/>
    </row>
    <row r="908">
      <c r="D908" s="102" t="n"/>
      <c r="E908" s="105" t="n"/>
      <c r="G908" s="102" t="n"/>
      <c r="H908" s="105" t="n"/>
      <c r="J908" s="102" t="n"/>
      <c r="K908" s="106" t="n"/>
    </row>
    <row r="910">
      <c r="B910" s="2">
        <f>IF(HSCEI!$C$16="","",HSCEI!$C$16)</f>
        <v/>
      </c>
      <c r="C910" s="2">
        <f>IF(PULL_FUND="N","",IF(HSCEI!$C$16="","",HSCEI!$C$16))</f>
        <v/>
      </c>
      <c r="D910" s="104">
        <f>BDH($C910,NDE_FIELD,"-5AY","","Per=Y","cols=2;rows=5")</f>
        <v/>
      </c>
      <c r="E910" s="105" t="n"/>
      <c r="G910" s="104">
        <f>BQL($C910,BUYBACK_QUERY,$C$4,"fill=prev","showheaders=f","showids=f")</f>
        <v/>
      </c>
      <c r="H910" s="105" t="n"/>
      <c r="J910" s="104">
        <f>BDH($C910,"PX_LAST","-5AY","","Per=Y","cols=2;rows=5")</f>
        <v/>
      </c>
      <c r="K910" s="106" t="n"/>
    </row>
    <row r="911">
      <c r="D911" s="102" t="n"/>
      <c r="E911" s="105" t="n"/>
      <c r="G911" s="102" t="n"/>
      <c r="H911" s="105" t="n"/>
      <c r="J911" s="102" t="n"/>
      <c r="K911" s="106" t="n"/>
    </row>
    <row r="912">
      <c r="D912" s="102" t="n"/>
      <c r="E912" s="105" t="n"/>
      <c r="G912" s="102" t="n"/>
      <c r="H912" s="105" t="n"/>
      <c r="J912" s="102" t="n"/>
      <c r="K912" s="106" t="n"/>
    </row>
    <row r="913">
      <c r="D913" s="102" t="n"/>
      <c r="E913" s="105" t="n"/>
      <c r="G913" s="102" t="n"/>
      <c r="H913" s="105" t="n"/>
      <c r="J913" s="102" t="n"/>
      <c r="K913" s="106" t="n"/>
    </row>
    <row r="914">
      <c r="D914" s="102" t="n"/>
      <c r="E914" s="105" t="n"/>
      <c r="G914" s="102" t="n"/>
      <c r="H914" s="105" t="n"/>
      <c r="J914" s="102" t="n"/>
      <c r="K914" s="106" t="n"/>
    </row>
    <row r="916">
      <c r="B916" s="2">
        <f>IF(HSCEI!$C$17="","",HSCEI!$C$17)</f>
        <v/>
      </c>
      <c r="C916" s="2">
        <f>IF(PULL_FUND="N","",IF(HSCEI!$C$17="","",HSCEI!$C$17))</f>
        <v/>
      </c>
      <c r="D916" s="104">
        <f>BDH($C916,NDE_FIELD,"-5AY","","Per=Y","cols=2;rows=5")</f>
        <v/>
      </c>
      <c r="E916" s="105" t="n"/>
      <c r="G916" s="104">
        <f>BQL($C916,BUYBACK_QUERY,$C$4,"fill=prev","showheaders=f","showids=f")</f>
        <v/>
      </c>
      <c r="H916" s="105" t="n"/>
      <c r="J916" s="104">
        <f>BDH($C916,"PX_LAST","-5AY","","Per=Y","cols=2;rows=5")</f>
        <v/>
      </c>
      <c r="K916" s="106" t="n"/>
    </row>
    <row r="917">
      <c r="D917" s="102" t="n"/>
      <c r="E917" s="105" t="n"/>
      <c r="G917" s="102" t="n"/>
      <c r="H917" s="105" t="n"/>
      <c r="J917" s="102" t="n"/>
      <c r="K917" s="106" t="n"/>
    </row>
    <row r="918">
      <c r="D918" s="102" t="n"/>
      <c r="E918" s="105" t="n"/>
      <c r="G918" s="102" t="n"/>
      <c r="H918" s="105" t="n"/>
      <c r="J918" s="102" t="n"/>
      <c r="K918" s="106" t="n"/>
    </row>
    <row r="919">
      <c r="D919" s="102" t="n"/>
      <c r="E919" s="105" t="n"/>
      <c r="G919" s="102" t="n"/>
      <c r="H919" s="105" t="n"/>
      <c r="J919" s="102" t="n"/>
      <c r="K919" s="106" t="n"/>
    </row>
    <row r="920">
      <c r="D920" s="102" t="n"/>
      <c r="E920" s="105" t="n"/>
      <c r="G920" s="102" t="n"/>
      <c r="H920" s="105" t="n"/>
      <c r="J920" s="102" t="n"/>
      <c r="K920" s="106" t="n"/>
    </row>
    <row r="922">
      <c r="B922" s="2">
        <f>IF(HSCEI!$C$18="","",HSCEI!$C$18)</f>
        <v/>
      </c>
      <c r="C922" s="2">
        <f>IF(PULL_FUND="N","",IF(HSCEI!$C$18="","",HSCEI!$C$18))</f>
        <v/>
      </c>
      <c r="D922" s="104">
        <f>BDH($C922,NDE_FIELD,"-5AY","","Per=Y","cols=2;rows=5")</f>
        <v/>
      </c>
      <c r="E922" s="105" t="n"/>
      <c r="G922" s="104">
        <f>BQL($C922,BUYBACK_QUERY,$C$4,"fill=prev","showheaders=f","showids=f")</f>
        <v/>
      </c>
      <c r="H922" s="105" t="n"/>
      <c r="J922" s="104">
        <f>BDH($C922,"PX_LAST","-5AY","","Per=Y","cols=2;rows=5")</f>
        <v/>
      </c>
      <c r="K922" s="106" t="n"/>
    </row>
    <row r="923">
      <c r="D923" s="102" t="n"/>
      <c r="E923" s="105" t="n"/>
      <c r="G923" s="102" t="n"/>
      <c r="H923" s="105" t="n"/>
      <c r="J923" s="102" t="n"/>
      <c r="K923" s="106" t="n"/>
    </row>
    <row r="924">
      <c r="D924" s="102" t="n"/>
      <c r="E924" s="105" t="n"/>
      <c r="G924" s="102" t="n"/>
      <c r="H924" s="105" t="n"/>
      <c r="J924" s="102" t="n"/>
      <c r="K924" s="106" t="n"/>
    </row>
    <row r="925">
      <c r="D925" s="102" t="n"/>
      <c r="E925" s="105" t="n"/>
      <c r="G925" s="102" t="n"/>
      <c r="H925" s="105" t="n"/>
      <c r="J925" s="102" t="n"/>
      <c r="K925" s="106" t="n"/>
    </row>
    <row r="926">
      <c r="D926" s="102" t="n"/>
      <c r="E926" s="105" t="n"/>
      <c r="G926" s="102" t="n"/>
      <c r="H926" s="105" t="n"/>
      <c r="J926" s="102" t="n"/>
      <c r="K926" s="106" t="n"/>
    </row>
    <row r="928">
      <c r="B928" s="2">
        <f>IF(HSCEI!$C$19="","",HSCEI!$C$19)</f>
        <v/>
      </c>
      <c r="C928" s="2">
        <f>IF(PULL_FUND="N","",IF(HSCEI!$C$19="","",HSCEI!$C$19))</f>
        <v/>
      </c>
      <c r="D928" s="104">
        <f>BDH($C928,NDE_FIELD,"-5AY","","Per=Y","cols=2;rows=5")</f>
        <v/>
      </c>
      <c r="E928" s="105" t="n"/>
      <c r="G928" s="104">
        <f>BQL($C928,BUYBACK_QUERY,$C$4,"fill=prev","showheaders=f","showids=f")</f>
        <v/>
      </c>
      <c r="H928" s="105" t="n"/>
      <c r="J928" s="104">
        <f>BDH($C928,"PX_LAST","-5AY","","Per=Y","cols=2;rows=5")</f>
        <v/>
      </c>
      <c r="K928" s="106" t="n"/>
    </row>
    <row r="929">
      <c r="D929" s="102" t="n"/>
      <c r="E929" s="105" t="n"/>
      <c r="G929" s="102" t="n"/>
      <c r="H929" s="105" t="n"/>
      <c r="J929" s="102" t="n"/>
      <c r="K929" s="106" t="n"/>
    </row>
    <row r="930">
      <c r="D930" s="102" t="n"/>
      <c r="E930" s="105" t="n"/>
      <c r="G930" s="102" t="n"/>
      <c r="H930" s="105" t="n"/>
      <c r="J930" s="102" t="n"/>
      <c r="K930" s="106" t="n"/>
    </row>
    <row r="931">
      <c r="D931" s="102" t="n"/>
      <c r="E931" s="105" t="n"/>
      <c r="G931" s="102" t="n"/>
      <c r="H931" s="105" t="n"/>
      <c r="J931" s="102" t="n"/>
      <c r="K931" s="106" t="n"/>
    </row>
    <row r="932">
      <c r="D932" s="102" t="n"/>
      <c r="E932" s="105" t="n"/>
      <c r="G932" s="102" t="n"/>
      <c r="H932" s="105" t="n"/>
      <c r="J932" s="102" t="n"/>
      <c r="K932" s="106" t="n"/>
    </row>
    <row r="934">
      <c r="B934" s="2">
        <f>IF(HSCEI!$C$20="","",HSCEI!$C$20)</f>
        <v/>
      </c>
      <c r="C934" s="2">
        <f>IF(PULL_FUND="N","",IF(HSCEI!$C$20="","",HSCEI!$C$20))</f>
        <v/>
      </c>
      <c r="D934" s="104">
        <f>BDH($C934,NDE_FIELD,"-5AY","","Per=Y","cols=2;rows=5")</f>
        <v/>
      </c>
      <c r="E934" s="105" t="n"/>
      <c r="G934" s="104">
        <f>BQL($C934,BUYBACK_QUERY,$C$4,"fill=prev","showheaders=f","showids=f")</f>
        <v/>
      </c>
      <c r="H934" s="105" t="n"/>
      <c r="J934" s="104">
        <f>BDH($C934,"PX_LAST","-5AY","","Per=Y","cols=2;rows=5")</f>
        <v/>
      </c>
      <c r="K934" s="106" t="n"/>
    </row>
    <row r="935">
      <c r="D935" s="102" t="n"/>
      <c r="E935" s="105" t="n"/>
      <c r="G935" s="102" t="n"/>
      <c r="H935" s="105" t="n"/>
      <c r="J935" s="102" t="n"/>
      <c r="K935" s="106" t="n"/>
    </row>
    <row r="936">
      <c r="D936" s="102" t="n"/>
      <c r="E936" s="105" t="n"/>
      <c r="G936" s="102" t="n"/>
      <c r="H936" s="105" t="n"/>
      <c r="J936" s="102" t="n"/>
      <c r="K936" s="106" t="n"/>
    </row>
    <row r="937">
      <c r="D937" s="102" t="n"/>
      <c r="E937" s="105" t="n"/>
      <c r="G937" s="102" t="n"/>
      <c r="H937" s="105" t="n"/>
      <c r="J937" s="102" t="n"/>
      <c r="K937" s="106" t="n"/>
    </row>
    <row r="938">
      <c r="D938" s="102" t="n"/>
      <c r="E938" s="105" t="n"/>
      <c r="G938" s="102" t="n"/>
      <c r="H938" s="105" t="n"/>
      <c r="J938" s="102" t="n"/>
      <c r="K938" s="106" t="n"/>
    </row>
    <row r="940">
      <c r="B940" s="2">
        <f>IF(HSCEI!$C$21="","",HSCEI!$C$21)</f>
        <v/>
      </c>
      <c r="C940" s="2">
        <f>IF(PULL_FUND="N","",IF(HSCEI!$C$21="","",HSCEI!$C$21))</f>
        <v/>
      </c>
      <c r="D940" s="104">
        <f>BDH($C940,NDE_FIELD,"-5AY","","Per=Y","cols=2;rows=5")</f>
        <v/>
      </c>
      <c r="E940" s="105" t="n"/>
      <c r="G940" s="104">
        <f>BQL($C940,BUYBACK_QUERY,$C$4,"fill=prev","showheaders=f","showids=f")</f>
        <v/>
      </c>
      <c r="H940" s="105" t="n"/>
      <c r="J940" s="104">
        <f>BDH($C940,"PX_LAST","-5AY","","Per=Y","cols=2;rows=5")</f>
        <v/>
      </c>
      <c r="K940" s="106" t="n"/>
    </row>
    <row r="941">
      <c r="D941" s="102" t="n"/>
      <c r="E941" s="105" t="n"/>
      <c r="G941" s="102" t="n"/>
      <c r="H941" s="105" t="n"/>
      <c r="J941" s="102" t="n"/>
      <c r="K941" s="106" t="n"/>
    </row>
    <row r="942">
      <c r="D942" s="102" t="n"/>
      <c r="E942" s="105" t="n"/>
      <c r="G942" s="102" t="n"/>
      <c r="H942" s="105" t="n"/>
      <c r="J942" s="102" t="n"/>
      <c r="K942" s="106" t="n"/>
    </row>
    <row r="943">
      <c r="D943" s="102" t="n"/>
      <c r="E943" s="105" t="n"/>
      <c r="G943" s="102" t="n"/>
      <c r="H943" s="105" t="n"/>
      <c r="J943" s="102" t="n"/>
      <c r="K943" s="106" t="n"/>
    </row>
    <row r="944">
      <c r="D944" s="102" t="n"/>
      <c r="E944" s="105" t="n"/>
      <c r="G944" s="102" t="n"/>
      <c r="H944" s="105" t="n"/>
      <c r="J944" s="102" t="n"/>
      <c r="K944" s="106" t="n"/>
    </row>
    <row r="946">
      <c r="B946" s="2">
        <f>IF(HSCEI!$C$22="","",HSCEI!$C$22)</f>
        <v/>
      </c>
      <c r="C946" s="2">
        <f>IF(PULL_FUND="N","",IF(HSCEI!$C$22="","",HSCEI!$C$22))</f>
        <v/>
      </c>
      <c r="D946" s="104">
        <f>BDH($C946,NDE_FIELD,"-5AY","","Per=Y","cols=2;rows=5")</f>
        <v/>
      </c>
      <c r="E946" s="105" t="n"/>
      <c r="G946" s="104">
        <f>BQL($C946,BUYBACK_QUERY,$C$4,"fill=prev","showheaders=f","showids=f")</f>
        <v/>
      </c>
      <c r="H946" s="105" t="n"/>
      <c r="J946" s="104">
        <f>BDH($C946,"PX_LAST","-5AY","","Per=Y","cols=2;rows=5")</f>
        <v/>
      </c>
      <c r="K946" s="106" t="n"/>
    </row>
    <row r="947">
      <c r="D947" s="102" t="n"/>
      <c r="E947" s="105" t="n"/>
      <c r="G947" s="102" t="n"/>
      <c r="H947" s="105" t="n"/>
      <c r="J947" s="102" t="n"/>
      <c r="K947" s="106" t="n"/>
    </row>
    <row r="948">
      <c r="D948" s="102" t="n"/>
      <c r="E948" s="105" t="n"/>
      <c r="G948" s="102" t="n"/>
      <c r="H948" s="105" t="n"/>
      <c r="J948" s="102" t="n"/>
      <c r="K948" s="106" t="n"/>
    </row>
    <row r="949">
      <c r="D949" s="102" t="n"/>
      <c r="E949" s="105" t="n"/>
      <c r="G949" s="102" t="n"/>
      <c r="H949" s="105" t="n"/>
      <c r="J949" s="102" t="n"/>
      <c r="K949" s="106" t="n"/>
    </row>
    <row r="950">
      <c r="D950" s="102" t="n"/>
      <c r="E950" s="105" t="n"/>
      <c r="G950" s="102" t="n"/>
      <c r="H950" s="105" t="n"/>
      <c r="J950" s="102" t="n"/>
      <c r="K950" s="106" t="n"/>
    </row>
    <row r="952">
      <c r="B952" s="2">
        <f>IF(HSCEI!$C$23="","",HSCEI!$C$23)</f>
        <v/>
      </c>
      <c r="C952" s="2">
        <f>IF(PULL_FUND="N","",IF(HSCEI!$C$23="","",HSCEI!$C$23))</f>
        <v/>
      </c>
      <c r="D952" s="104">
        <f>BDH($C952,NDE_FIELD,"-5AY","","Per=Y","cols=2;rows=5")</f>
        <v/>
      </c>
      <c r="E952" s="105" t="n"/>
      <c r="G952" s="104">
        <f>BQL($C952,BUYBACK_QUERY,$C$4,"fill=prev","showheaders=f","showids=f")</f>
        <v/>
      </c>
      <c r="H952" s="105" t="n"/>
      <c r="J952" s="104">
        <f>BDH($C952,"PX_LAST","-5AY","","Per=Y","cols=2;rows=5")</f>
        <v/>
      </c>
      <c r="K952" s="106" t="n"/>
    </row>
    <row r="953">
      <c r="D953" s="102" t="n"/>
      <c r="E953" s="105" t="n"/>
      <c r="G953" s="102" t="n"/>
      <c r="H953" s="105" t="n"/>
      <c r="J953" s="102" t="n"/>
      <c r="K953" s="106" t="n"/>
    </row>
    <row r="954">
      <c r="D954" s="102" t="n"/>
      <c r="E954" s="105" t="n"/>
      <c r="G954" s="102" t="n"/>
      <c r="H954" s="105" t="n"/>
      <c r="J954" s="102" t="n"/>
      <c r="K954" s="106" t="n"/>
    </row>
    <row r="955">
      <c r="D955" s="102" t="n"/>
      <c r="E955" s="105" t="n"/>
      <c r="G955" s="102" t="n"/>
      <c r="H955" s="105" t="n"/>
      <c r="J955" s="102" t="n"/>
      <c r="K955" s="106" t="n"/>
    </row>
    <row r="956">
      <c r="D956" s="102" t="n"/>
      <c r="E956" s="105" t="n"/>
      <c r="G956" s="102" t="n"/>
      <c r="H956" s="105" t="n"/>
      <c r="J956" s="102" t="n"/>
      <c r="K956" s="106" t="n"/>
    </row>
    <row r="958">
      <c r="B958" s="2">
        <f>IF(HSCEI!$C$24="","",HSCEI!$C$24)</f>
        <v/>
      </c>
      <c r="C958" s="2">
        <f>IF(PULL_FUND="N","",IF(HSCEI!$C$24="","",HSCEI!$C$24))</f>
        <v/>
      </c>
      <c r="D958" s="104">
        <f>BDH($C958,NDE_FIELD,"-5AY","","Per=Y","cols=2;rows=5")</f>
        <v/>
      </c>
      <c r="E958" s="105" t="n"/>
      <c r="G958" s="104">
        <f>BQL($C958,BUYBACK_QUERY,$C$4,"fill=prev","showheaders=f","showids=f")</f>
        <v/>
      </c>
      <c r="H958" s="105" t="n"/>
      <c r="J958" s="104">
        <f>BDH($C958,"PX_LAST","-5AY","","Per=Y","cols=2;rows=5")</f>
        <v/>
      </c>
      <c r="K958" s="106" t="n"/>
    </row>
    <row r="959">
      <c r="D959" s="102" t="n"/>
      <c r="E959" s="105" t="n"/>
      <c r="G959" s="102" t="n"/>
      <c r="H959" s="105" t="n"/>
      <c r="J959" s="102" t="n"/>
      <c r="K959" s="106" t="n"/>
    </row>
    <row r="960">
      <c r="D960" s="102" t="n"/>
      <c r="E960" s="105" t="n"/>
      <c r="G960" s="102" t="n"/>
      <c r="H960" s="105" t="n"/>
      <c r="J960" s="102" t="n"/>
      <c r="K960" s="106" t="n"/>
    </row>
    <row r="961">
      <c r="D961" s="102" t="n"/>
      <c r="E961" s="105" t="n"/>
      <c r="G961" s="102" t="n"/>
      <c r="H961" s="105" t="n"/>
      <c r="J961" s="102" t="n"/>
      <c r="K961" s="106" t="n"/>
    </row>
    <row r="962">
      <c r="D962" s="102" t="n"/>
      <c r="E962" s="105" t="n"/>
      <c r="G962" s="102" t="n"/>
      <c r="H962" s="105" t="n"/>
      <c r="J962" s="102" t="n"/>
      <c r="K962" s="106" t="n"/>
    </row>
    <row r="964">
      <c r="B964" s="2">
        <f>IF(HSCEI!$C$25="","",HSCEI!$C$25)</f>
        <v/>
      </c>
      <c r="C964" s="2">
        <f>IF(PULL_FUND="N","",IF(HSCEI!$C$25="","",HSCEI!$C$25))</f>
        <v/>
      </c>
      <c r="D964" s="104">
        <f>BDH($C964,NDE_FIELD,"-5AY","","Per=Y","cols=2;rows=5")</f>
        <v/>
      </c>
      <c r="E964" s="105" t="n"/>
      <c r="G964" s="104">
        <f>BQL($C964,BUYBACK_QUERY,$C$4,"fill=prev","showheaders=f","showids=f")</f>
        <v/>
      </c>
      <c r="H964" s="105" t="n"/>
      <c r="J964" s="104">
        <f>BDH($C964,"PX_LAST","-5AY","","Per=Y","cols=2;rows=5")</f>
        <v/>
      </c>
      <c r="K964" s="106" t="n"/>
    </row>
    <row r="965">
      <c r="D965" s="102" t="n"/>
      <c r="E965" s="105" t="n"/>
      <c r="G965" s="102" t="n"/>
      <c r="H965" s="105" t="n"/>
      <c r="J965" s="102" t="n"/>
      <c r="K965" s="106" t="n"/>
    </row>
    <row r="966">
      <c r="D966" s="102" t="n"/>
      <c r="E966" s="105" t="n"/>
      <c r="G966" s="102" t="n"/>
      <c r="H966" s="105" t="n"/>
      <c r="J966" s="102" t="n"/>
      <c r="K966" s="106" t="n"/>
    </row>
    <row r="967">
      <c r="D967" s="102" t="n"/>
      <c r="E967" s="105" t="n"/>
      <c r="G967" s="102" t="n"/>
      <c r="H967" s="105" t="n"/>
      <c r="J967" s="102" t="n"/>
      <c r="K967" s="106" t="n"/>
    </row>
    <row r="968">
      <c r="D968" s="102" t="n"/>
      <c r="E968" s="105" t="n"/>
      <c r="G968" s="102" t="n"/>
      <c r="H968" s="105" t="n"/>
      <c r="J968" s="102" t="n"/>
      <c r="K968" s="106" t="n"/>
    </row>
    <row r="970">
      <c r="B970" s="2">
        <f>IF(HSCEI!$C$26="","",HSCEI!$C$26)</f>
        <v/>
      </c>
      <c r="C970" s="2">
        <f>IF(PULL_FUND="N","",IF(HSCEI!$C$26="","",HSCEI!$C$26))</f>
        <v/>
      </c>
      <c r="D970" s="104">
        <f>BDH($C970,NDE_FIELD,"-5AY","","Per=Y","cols=2;rows=5")</f>
        <v/>
      </c>
      <c r="E970" s="105" t="n"/>
      <c r="G970" s="104">
        <f>BQL($C970,BUYBACK_QUERY,$C$4,"fill=prev","showheaders=f","showids=f")</f>
        <v/>
      </c>
      <c r="H970" s="105" t="n"/>
      <c r="J970" s="104">
        <f>BDH($C970,"PX_LAST","-5AY","","Per=Y","cols=2;rows=5")</f>
        <v/>
      </c>
      <c r="K970" s="106" t="n"/>
    </row>
    <row r="971">
      <c r="D971" s="102" t="n"/>
      <c r="E971" s="105" t="n"/>
      <c r="G971" s="102" t="n"/>
      <c r="H971" s="105" t="n"/>
      <c r="J971" s="102" t="n"/>
      <c r="K971" s="106" t="n"/>
    </row>
    <row r="972">
      <c r="D972" s="102" t="n"/>
      <c r="E972" s="105" t="n"/>
      <c r="G972" s="102" t="n"/>
      <c r="H972" s="105" t="n"/>
      <c r="J972" s="102" t="n"/>
      <c r="K972" s="106" t="n"/>
    </row>
    <row r="973">
      <c r="D973" s="102" t="n"/>
      <c r="E973" s="105" t="n"/>
      <c r="G973" s="102" t="n"/>
      <c r="H973" s="105" t="n"/>
      <c r="J973" s="102" t="n"/>
      <c r="K973" s="106" t="n"/>
    </row>
    <row r="974">
      <c r="D974" s="102" t="n"/>
      <c r="E974" s="105" t="n"/>
      <c r="G974" s="102" t="n"/>
      <c r="H974" s="105" t="n"/>
      <c r="J974" s="102" t="n"/>
      <c r="K974" s="106" t="n"/>
    </row>
    <row r="976">
      <c r="B976" s="2">
        <f>IF(HSCEI!$C$27="","",HSCEI!$C$27)</f>
        <v/>
      </c>
      <c r="C976" s="2">
        <f>IF(PULL_FUND="N","",IF(HSCEI!$C$27="","",HSCEI!$C$27))</f>
        <v/>
      </c>
      <c r="D976" s="104">
        <f>BDH($C976,NDE_FIELD,"-5AY","","Per=Y","cols=2;rows=5")</f>
        <v/>
      </c>
      <c r="E976" s="105" t="n"/>
      <c r="G976" s="104">
        <f>BQL($C976,BUYBACK_QUERY,$C$4,"fill=prev","showheaders=f","showids=f")</f>
        <v/>
      </c>
      <c r="H976" s="105" t="n"/>
      <c r="J976" s="104">
        <f>BDH($C976,"PX_LAST","-5AY","","Per=Y","cols=2;rows=5")</f>
        <v/>
      </c>
      <c r="K976" s="106" t="n"/>
    </row>
    <row r="977">
      <c r="D977" s="102" t="n"/>
      <c r="E977" s="105" t="n"/>
      <c r="G977" s="102" t="n"/>
      <c r="H977" s="105" t="n"/>
      <c r="J977" s="102" t="n"/>
      <c r="K977" s="106" t="n"/>
    </row>
    <row r="978">
      <c r="D978" s="102" t="n"/>
      <c r="E978" s="105" t="n"/>
      <c r="G978" s="102" t="n"/>
      <c r="H978" s="105" t="n"/>
      <c r="J978" s="102" t="n"/>
      <c r="K978" s="106" t="n"/>
    </row>
    <row r="979">
      <c r="D979" s="102" t="n"/>
      <c r="E979" s="105" t="n"/>
      <c r="G979" s="102" t="n"/>
      <c r="H979" s="105" t="n"/>
      <c r="J979" s="102" t="n"/>
      <c r="K979" s="106" t="n"/>
    </row>
    <row r="980">
      <c r="D980" s="102" t="n"/>
      <c r="E980" s="105" t="n"/>
      <c r="G980" s="102" t="n"/>
      <c r="H980" s="105" t="n"/>
      <c r="J980" s="102" t="n"/>
      <c r="K980" s="106" t="n"/>
    </row>
    <row r="982">
      <c r="B982" s="2">
        <f>IF(HSCEI!$C$28="","",HSCEI!$C$28)</f>
        <v/>
      </c>
      <c r="C982" s="2">
        <f>IF(PULL_FUND="N","",IF(HSCEI!$C$28="","",HSCEI!$C$28))</f>
        <v/>
      </c>
      <c r="D982" s="104">
        <f>BDH($C982,NDE_FIELD,"-5AY","","Per=Y","cols=2;rows=5")</f>
        <v/>
      </c>
      <c r="E982" s="105" t="n"/>
      <c r="G982" s="104">
        <f>BQL($C982,BUYBACK_QUERY,$C$4,"fill=prev","showheaders=f","showids=f")</f>
        <v/>
      </c>
      <c r="H982" s="105" t="n"/>
      <c r="J982" s="104">
        <f>BDH($C982,"PX_LAST","-5AY","","Per=Y","cols=2;rows=5")</f>
        <v/>
      </c>
      <c r="K982" s="106" t="n"/>
    </row>
    <row r="983">
      <c r="D983" s="102" t="n"/>
      <c r="E983" s="105" t="n"/>
      <c r="G983" s="102" t="n"/>
      <c r="H983" s="105" t="n"/>
      <c r="J983" s="102" t="n"/>
      <c r="K983" s="106" t="n"/>
    </row>
    <row r="984">
      <c r="D984" s="102" t="n"/>
      <c r="E984" s="105" t="n"/>
      <c r="G984" s="102" t="n"/>
      <c r="H984" s="105" t="n"/>
      <c r="J984" s="102" t="n"/>
      <c r="K984" s="106" t="n"/>
    </row>
    <row r="985">
      <c r="D985" s="102" t="n"/>
      <c r="E985" s="105" t="n"/>
      <c r="G985" s="102" t="n"/>
      <c r="H985" s="105" t="n"/>
      <c r="J985" s="102" t="n"/>
      <c r="K985" s="106" t="n"/>
    </row>
    <row r="986">
      <c r="D986" s="102" t="n"/>
      <c r="E986" s="105" t="n"/>
      <c r="G986" s="102" t="n"/>
      <c r="H986" s="105" t="n"/>
      <c r="J986" s="102" t="n"/>
      <c r="K986" s="106" t="n"/>
    </row>
    <row r="988">
      <c r="B988" s="2">
        <f>IF(HSCEI!$C$29="","",HSCEI!$C$29)</f>
        <v/>
      </c>
      <c r="C988" s="2">
        <f>IF(PULL_FUND="N","",IF(HSCEI!$C$29="","",HSCEI!$C$29))</f>
        <v/>
      </c>
      <c r="D988" s="104">
        <f>BDH($C988,NDE_FIELD,"-5AY","","Per=Y","cols=2;rows=5")</f>
        <v/>
      </c>
      <c r="E988" s="105" t="n"/>
      <c r="G988" s="104">
        <f>BQL($C988,BUYBACK_QUERY,$C$4,"fill=prev","showheaders=f","showids=f")</f>
        <v/>
      </c>
      <c r="H988" s="105" t="n"/>
      <c r="J988" s="104">
        <f>BDH($C988,"PX_LAST","-5AY","","Per=Y","cols=2;rows=5")</f>
        <v/>
      </c>
      <c r="K988" s="106" t="n"/>
    </row>
    <row r="989">
      <c r="D989" s="102" t="n"/>
      <c r="E989" s="105" t="n"/>
      <c r="G989" s="102" t="n"/>
      <c r="H989" s="105" t="n"/>
      <c r="J989" s="102" t="n"/>
      <c r="K989" s="106" t="n"/>
    </row>
    <row r="990">
      <c r="D990" s="102" t="n"/>
      <c r="E990" s="105" t="n"/>
      <c r="G990" s="102" t="n"/>
      <c r="H990" s="105" t="n"/>
      <c r="J990" s="102" t="n"/>
      <c r="K990" s="106" t="n"/>
    </row>
    <row r="991">
      <c r="D991" s="102" t="n"/>
      <c r="E991" s="105" t="n"/>
      <c r="G991" s="102" t="n"/>
      <c r="H991" s="105" t="n"/>
      <c r="J991" s="102" t="n"/>
      <c r="K991" s="106" t="n"/>
    </row>
    <row r="992">
      <c r="D992" s="102" t="n"/>
      <c r="E992" s="105" t="n"/>
      <c r="G992" s="102" t="n"/>
      <c r="H992" s="105" t="n"/>
      <c r="J992" s="102" t="n"/>
      <c r="K992" s="106" t="n"/>
    </row>
    <row r="994">
      <c r="B994" s="2">
        <f>IF(HSCEI!$C$30="","",HSCEI!$C$30)</f>
        <v/>
      </c>
      <c r="C994" s="2">
        <f>IF(PULL_FUND="N","",IF(HSCEI!$C$30="","",HSCEI!$C$30))</f>
        <v/>
      </c>
      <c r="D994" s="104">
        <f>BDH($C994,NDE_FIELD,"-5AY","","Per=Y","cols=2;rows=5")</f>
        <v/>
      </c>
      <c r="E994" s="105" t="n"/>
      <c r="G994" s="104">
        <f>BQL($C994,BUYBACK_QUERY,$C$4,"fill=prev","showheaders=f","showids=f")</f>
        <v/>
      </c>
      <c r="H994" s="105" t="n"/>
      <c r="J994" s="104">
        <f>BDH($C994,"PX_LAST","-5AY","","Per=Y","cols=2;rows=5")</f>
        <v/>
      </c>
      <c r="K994" s="106" t="n"/>
    </row>
    <row r="995">
      <c r="D995" s="102" t="n"/>
      <c r="E995" s="105" t="n"/>
      <c r="G995" s="102" t="n"/>
      <c r="H995" s="105" t="n"/>
      <c r="J995" s="102" t="n"/>
      <c r="K995" s="106" t="n"/>
    </row>
    <row r="996">
      <c r="D996" s="102" t="n"/>
      <c r="E996" s="105" t="n"/>
      <c r="G996" s="102" t="n"/>
      <c r="H996" s="105" t="n"/>
      <c r="J996" s="102" t="n"/>
      <c r="K996" s="106" t="n"/>
    </row>
    <row r="997">
      <c r="D997" s="102" t="n"/>
      <c r="E997" s="105" t="n"/>
      <c r="G997" s="102" t="n"/>
      <c r="H997" s="105" t="n"/>
      <c r="J997" s="102" t="n"/>
      <c r="K997" s="106" t="n"/>
    </row>
    <row r="998">
      <c r="D998" s="102" t="n"/>
      <c r="E998" s="105" t="n"/>
      <c r="G998" s="102" t="n"/>
      <c r="H998" s="105" t="n"/>
      <c r="J998" s="102" t="n"/>
      <c r="K998" s="106" t="n"/>
    </row>
    <row r="1000">
      <c r="B1000" s="2">
        <f>IF(HSCEI!$C$31="","",HSCEI!$C$31)</f>
        <v/>
      </c>
      <c r="C1000" s="2">
        <f>IF(PULL_FUND="N","",IF(HSCEI!$C$31="","",HSCEI!$C$31))</f>
        <v/>
      </c>
      <c r="D1000" s="104">
        <f>BDH($C1000,NDE_FIELD,"-5AY","","Per=Y","cols=2;rows=5")</f>
        <v/>
      </c>
      <c r="E1000" s="105" t="n"/>
      <c r="G1000" s="104">
        <f>BQL($C1000,BUYBACK_QUERY,$C$4,"fill=prev","showheaders=f","showids=f")</f>
        <v/>
      </c>
      <c r="H1000" s="105" t="n"/>
      <c r="J1000" s="104">
        <f>BDH($C1000,"PX_LAST","-5AY","","Per=Y","cols=2;rows=5")</f>
        <v/>
      </c>
      <c r="K1000" s="106" t="n"/>
    </row>
    <row r="1001">
      <c r="D1001" s="102" t="n"/>
      <c r="E1001" s="105" t="n"/>
      <c r="G1001" s="102" t="n"/>
      <c r="H1001" s="105" t="n"/>
      <c r="J1001" s="102" t="n"/>
      <c r="K1001" s="106" t="n"/>
    </row>
    <row r="1002">
      <c r="D1002" s="102" t="n"/>
      <c r="E1002" s="105" t="n"/>
      <c r="G1002" s="102" t="n"/>
      <c r="H1002" s="105" t="n"/>
      <c r="J1002" s="102" t="n"/>
      <c r="K1002" s="106" t="n"/>
    </row>
    <row r="1003">
      <c r="D1003" s="102" t="n"/>
      <c r="E1003" s="105" t="n"/>
      <c r="G1003" s="102" t="n"/>
      <c r="H1003" s="105" t="n"/>
      <c r="J1003" s="102" t="n"/>
      <c r="K1003" s="106" t="n"/>
    </row>
    <row r="1004">
      <c r="D1004" s="102" t="n"/>
      <c r="E1004" s="105" t="n"/>
      <c r="G1004" s="102" t="n"/>
      <c r="H1004" s="105" t="n"/>
      <c r="J1004" s="102" t="n"/>
      <c r="K1004" s="106" t="n"/>
    </row>
    <row r="1006">
      <c r="B1006" s="2">
        <f>IF(HSCEI!$C$32="","",HSCEI!$C$32)</f>
        <v/>
      </c>
      <c r="C1006" s="2">
        <f>IF(PULL_FUND="N","",IF(HSCEI!$C$32="","",HSCEI!$C$32))</f>
        <v/>
      </c>
      <c r="D1006" s="104">
        <f>BDH($C1006,NDE_FIELD,"-5AY","","Per=Y","cols=2;rows=5")</f>
        <v/>
      </c>
      <c r="E1006" s="105" t="n"/>
      <c r="G1006" s="104">
        <f>BQL($C1006,BUYBACK_QUERY,$C$4,"fill=prev","showheaders=f","showids=f")</f>
        <v/>
      </c>
      <c r="H1006" s="105" t="n"/>
      <c r="J1006" s="104">
        <f>BDH($C1006,"PX_LAST","-5AY","","Per=Y","cols=2;rows=5")</f>
        <v/>
      </c>
      <c r="K1006" s="106" t="n"/>
    </row>
    <row r="1007">
      <c r="D1007" s="102" t="n"/>
      <c r="E1007" s="105" t="n"/>
      <c r="G1007" s="102" t="n"/>
      <c r="H1007" s="105" t="n"/>
      <c r="J1007" s="102" t="n"/>
      <c r="K1007" s="106" t="n"/>
    </row>
    <row r="1008">
      <c r="D1008" s="102" t="n"/>
      <c r="E1008" s="105" t="n"/>
      <c r="G1008" s="102" t="n"/>
      <c r="H1008" s="105" t="n"/>
      <c r="J1008" s="102" t="n"/>
      <c r="K1008" s="106" t="n"/>
    </row>
    <row r="1009">
      <c r="D1009" s="102" t="n"/>
      <c r="E1009" s="105" t="n"/>
      <c r="G1009" s="102" t="n"/>
      <c r="H1009" s="105" t="n"/>
      <c r="J1009" s="102" t="n"/>
      <c r="K1009" s="106" t="n"/>
    </row>
    <row r="1010">
      <c r="D1010" s="102" t="n"/>
      <c r="E1010" s="105" t="n"/>
      <c r="G1010" s="102" t="n"/>
      <c r="H1010" s="105" t="n"/>
      <c r="J1010" s="102" t="n"/>
      <c r="K1010" s="106" t="n"/>
    </row>
    <row r="1012">
      <c r="B1012" s="2">
        <f>IF(HSCEI!$C$33="","",HSCEI!$C$33)</f>
        <v/>
      </c>
      <c r="C1012" s="2">
        <f>IF(PULL_FUND="N","",IF(HSCEI!$C$33="","",HSCEI!$C$33))</f>
        <v/>
      </c>
      <c r="D1012" s="104">
        <f>BDH($C1012,NDE_FIELD,"-5AY","","Per=Y","cols=2;rows=5")</f>
        <v/>
      </c>
      <c r="E1012" s="105" t="n"/>
      <c r="G1012" s="104">
        <f>BQL($C1012,BUYBACK_QUERY,$C$4,"fill=prev","showheaders=f","showids=f")</f>
        <v/>
      </c>
      <c r="H1012" s="105" t="n"/>
      <c r="J1012" s="104">
        <f>BDH($C1012,"PX_LAST","-5AY","","Per=Y","cols=2;rows=5")</f>
        <v/>
      </c>
      <c r="K1012" s="106" t="n"/>
    </row>
    <row r="1013">
      <c r="D1013" s="102" t="n"/>
      <c r="E1013" s="105" t="n"/>
      <c r="G1013" s="102" t="n"/>
      <c r="H1013" s="105" t="n"/>
      <c r="J1013" s="102" t="n"/>
      <c r="K1013" s="106" t="n"/>
    </row>
    <row r="1014">
      <c r="D1014" s="102" t="n"/>
      <c r="E1014" s="105" t="n"/>
      <c r="G1014" s="102" t="n"/>
      <c r="H1014" s="105" t="n"/>
      <c r="J1014" s="102" t="n"/>
      <c r="K1014" s="106" t="n"/>
    </row>
    <row r="1015">
      <c r="D1015" s="102" t="n"/>
      <c r="E1015" s="105" t="n"/>
      <c r="G1015" s="102" t="n"/>
      <c r="H1015" s="105" t="n"/>
      <c r="J1015" s="102" t="n"/>
      <c r="K1015" s="106" t="n"/>
    </row>
    <row r="1016">
      <c r="D1016" s="102" t="n"/>
      <c r="E1016" s="105" t="n"/>
      <c r="G1016" s="102" t="n"/>
      <c r="H1016" s="105" t="n"/>
      <c r="J1016" s="102" t="n"/>
      <c r="K1016" s="106" t="n"/>
    </row>
    <row r="1018">
      <c r="B1018" s="2">
        <f>IF(HSCEI!$C$34="","",HSCEI!$C$34)</f>
        <v/>
      </c>
      <c r="C1018" s="2">
        <f>IF(PULL_FUND="N","",IF(HSCEI!$C$34="","",HSCEI!$C$34))</f>
        <v/>
      </c>
      <c r="D1018" s="104">
        <f>BDH($C1018,NDE_FIELD,"-5AY","","Per=Y","cols=2;rows=5")</f>
        <v/>
      </c>
      <c r="E1018" s="105" t="n"/>
      <c r="G1018" s="104">
        <f>BQL($C1018,BUYBACK_QUERY,$C$4,"fill=prev","showheaders=f","showids=f")</f>
        <v/>
      </c>
      <c r="H1018" s="105" t="n"/>
      <c r="J1018" s="104">
        <f>BDH($C1018,"PX_LAST","-5AY","","Per=Y","cols=2;rows=5")</f>
        <v/>
      </c>
      <c r="K1018" s="106" t="n"/>
    </row>
    <row r="1019">
      <c r="D1019" s="102" t="n"/>
      <c r="E1019" s="105" t="n"/>
      <c r="G1019" s="102" t="n"/>
      <c r="H1019" s="105" t="n"/>
      <c r="J1019" s="102" t="n"/>
      <c r="K1019" s="106" t="n"/>
    </row>
    <row r="1020">
      <c r="D1020" s="102" t="n"/>
      <c r="E1020" s="105" t="n"/>
      <c r="G1020" s="102" t="n"/>
      <c r="H1020" s="105" t="n"/>
      <c r="J1020" s="102" t="n"/>
      <c r="K1020" s="106" t="n"/>
    </row>
    <row r="1021">
      <c r="D1021" s="102" t="n"/>
      <c r="E1021" s="105" t="n"/>
      <c r="G1021" s="102" t="n"/>
      <c r="H1021" s="105" t="n"/>
      <c r="J1021" s="102" t="n"/>
      <c r="K1021" s="106" t="n"/>
    </row>
    <row r="1022">
      <c r="D1022" s="102" t="n"/>
      <c r="E1022" s="105" t="n"/>
      <c r="G1022" s="102" t="n"/>
      <c r="H1022" s="105" t="n"/>
      <c r="J1022" s="102" t="n"/>
      <c r="K1022" s="106" t="n"/>
    </row>
    <row r="1024">
      <c r="B1024" s="2">
        <f>IF(HSCEI!$C$35="","",HSCEI!$C$35)</f>
        <v/>
      </c>
      <c r="C1024" s="2">
        <f>IF(PULL_FUND="N","",IF(HSCEI!$C$35="","",HSCEI!$C$35))</f>
        <v/>
      </c>
      <c r="D1024" s="104">
        <f>BDH($C1024,NDE_FIELD,"-5AY","","Per=Y","cols=2;rows=5")</f>
        <v/>
      </c>
      <c r="E1024" s="105" t="n"/>
      <c r="G1024" s="104">
        <f>BQL($C1024,BUYBACK_QUERY,$C$4,"fill=prev","showheaders=f","showids=f")</f>
        <v/>
      </c>
      <c r="H1024" s="105" t="n"/>
      <c r="J1024" s="104">
        <f>BDH($C1024,"PX_LAST","-5AY","","Per=Y","cols=2;rows=5")</f>
        <v/>
      </c>
      <c r="K1024" s="106" t="n"/>
    </row>
    <row r="1025">
      <c r="D1025" s="102" t="n"/>
      <c r="E1025" s="105" t="n"/>
      <c r="G1025" s="102" t="n"/>
      <c r="H1025" s="105" t="n"/>
      <c r="J1025" s="102" t="n"/>
      <c r="K1025" s="106" t="n"/>
    </row>
    <row r="1026">
      <c r="D1026" s="102" t="n"/>
      <c r="E1026" s="105" t="n"/>
      <c r="G1026" s="102" t="n"/>
      <c r="H1026" s="105" t="n"/>
      <c r="J1026" s="102" t="n"/>
      <c r="K1026" s="106" t="n"/>
    </row>
    <row r="1027">
      <c r="D1027" s="102" t="n"/>
      <c r="E1027" s="105" t="n"/>
      <c r="G1027" s="102" t="n"/>
      <c r="H1027" s="105" t="n"/>
      <c r="J1027" s="102" t="n"/>
      <c r="K1027" s="106" t="n"/>
    </row>
    <row r="1028">
      <c r="D1028" s="102" t="n"/>
      <c r="E1028" s="105" t="n"/>
      <c r="G1028" s="102" t="n"/>
      <c r="H1028" s="105" t="n"/>
      <c r="J1028" s="102" t="n"/>
      <c r="K1028" s="106" t="n"/>
    </row>
    <row r="1030">
      <c r="B1030" s="2">
        <f>IF(HSCEI!$C$36="","",HSCEI!$C$36)</f>
        <v/>
      </c>
      <c r="C1030" s="2">
        <f>IF(PULL_FUND="N","",IF(HSCEI!$C$36="","",HSCEI!$C$36))</f>
        <v/>
      </c>
      <c r="D1030" s="104">
        <f>BDH($C1030,NDE_FIELD,"-5AY","","Per=Y","cols=2;rows=5")</f>
        <v/>
      </c>
      <c r="E1030" s="105" t="n"/>
      <c r="G1030" s="104">
        <f>BQL($C1030,BUYBACK_QUERY,$C$4,"fill=prev","showheaders=f","showids=f")</f>
        <v/>
      </c>
      <c r="H1030" s="105" t="n"/>
      <c r="J1030" s="104">
        <f>BDH($C1030,"PX_LAST","-5AY","","Per=Y","cols=2;rows=5")</f>
        <v/>
      </c>
      <c r="K1030" s="106" t="n"/>
    </row>
    <row r="1031">
      <c r="D1031" s="102" t="n"/>
      <c r="E1031" s="105" t="n"/>
      <c r="G1031" s="102" t="n"/>
      <c r="H1031" s="105" t="n"/>
      <c r="J1031" s="102" t="n"/>
      <c r="K1031" s="106" t="n"/>
    </row>
    <row r="1032">
      <c r="D1032" s="102" t="n"/>
      <c r="E1032" s="105" t="n"/>
      <c r="G1032" s="102" t="n"/>
      <c r="H1032" s="105" t="n"/>
      <c r="J1032" s="102" t="n"/>
      <c r="K1032" s="106" t="n"/>
    </row>
    <row r="1033">
      <c r="D1033" s="102" t="n"/>
      <c r="E1033" s="105" t="n"/>
      <c r="G1033" s="102" t="n"/>
      <c r="H1033" s="105" t="n"/>
      <c r="J1033" s="102" t="n"/>
      <c r="K1033" s="106" t="n"/>
    </row>
    <row r="1034">
      <c r="D1034" s="102" t="n"/>
      <c r="E1034" s="105" t="n"/>
      <c r="G1034" s="102" t="n"/>
      <c r="H1034" s="105" t="n"/>
      <c r="J1034" s="102" t="n"/>
      <c r="K1034" s="106" t="n"/>
    </row>
    <row r="1036">
      <c r="B1036" s="2">
        <f>IF(HSCEI!$C$37="","",HSCEI!$C$37)</f>
        <v/>
      </c>
      <c r="C1036" s="2">
        <f>IF(PULL_FUND="N","",IF(HSCEI!$C$37="","",HSCEI!$C$37))</f>
        <v/>
      </c>
      <c r="D1036" s="104">
        <f>BDH($C1036,NDE_FIELD,"-5AY","","Per=Y","cols=2;rows=5")</f>
        <v/>
      </c>
      <c r="E1036" s="105" t="n"/>
      <c r="G1036" s="104">
        <f>BQL($C1036,BUYBACK_QUERY,$C$4,"fill=prev","showheaders=f","showids=f")</f>
        <v/>
      </c>
      <c r="H1036" s="105" t="n"/>
      <c r="J1036" s="104">
        <f>BDH($C1036,"PX_LAST","-5AY","","Per=Y","cols=2;rows=5")</f>
        <v/>
      </c>
      <c r="K1036" s="106" t="n"/>
    </row>
    <row r="1037">
      <c r="D1037" s="102" t="n"/>
      <c r="E1037" s="105" t="n"/>
      <c r="G1037" s="102" t="n"/>
      <c r="H1037" s="105" t="n"/>
      <c r="J1037" s="102" t="n"/>
      <c r="K1037" s="106" t="n"/>
    </row>
    <row r="1038">
      <c r="D1038" s="102" t="n"/>
      <c r="E1038" s="105" t="n"/>
      <c r="G1038" s="102" t="n"/>
      <c r="H1038" s="105" t="n"/>
      <c r="J1038" s="102" t="n"/>
      <c r="K1038" s="106" t="n"/>
    </row>
    <row r="1039">
      <c r="D1039" s="102" t="n"/>
      <c r="E1039" s="105" t="n"/>
      <c r="G1039" s="102" t="n"/>
      <c r="H1039" s="105" t="n"/>
      <c r="J1039" s="102" t="n"/>
      <c r="K1039" s="106" t="n"/>
    </row>
    <row r="1040">
      <c r="D1040" s="102" t="n"/>
      <c r="E1040" s="105" t="n"/>
      <c r="G1040" s="102" t="n"/>
      <c r="H1040" s="105" t="n"/>
      <c r="J1040" s="102" t="n"/>
      <c r="K1040" s="106" t="n"/>
    </row>
    <row r="1042">
      <c r="B1042" s="2">
        <f>IF(HSCEI!$C$38="","",HSCEI!$C$38)</f>
        <v/>
      </c>
      <c r="C1042" s="2">
        <f>IF(PULL_FUND="N","",IF(HSCEI!$C$38="","",HSCEI!$C$38))</f>
        <v/>
      </c>
      <c r="D1042" s="104">
        <f>BDH($C1042,NDE_FIELD,"-5AY","","Per=Y","cols=2;rows=5")</f>
        <v/>
      </c>
      <c r="E1042" s="105" t="n"/>
      <c r="G1042" s="104">
        <f>BQL($C1042,BUYBACK_QUERY,$C$4,"fill=prev","showheaders=f","showids=f")</f>
        <v/>
      </c>
      <c r="H1042" s="105" t="n"/>
      <c r="J1042" s="104">
        <f>BDH($C1042,"PX_LAST","-5AY","","Per=Y","cols=2;rows=5")</f>
        <v/>
      </c>
      <c r="K1042" s="106" t="n"/>
    </row>
    <row r="1043">
      <c r="D1043" s="102" t="n"/>
      <c r="E1043" s="105" t="n"/>
      <c r="G1043" s="102" t="n"/>
      <c r="H1043" s="105" t="n"/>
      <c r="J1043" s="102" t="n"/>
      <c r="K1043" s="106" t="n"/>
    </row>
    <row r="1044">
      <c r="D1044" s="102" t="n"/>
      <c r="E1044" s="105" t="n"/>
      <c r="G1044" s="102" t="n"/>
      <c r="H1044" s="105" t="n"/>
      <c r="J1044" s="102" t="n"/>
      <c r="K1044" s="106" t="n"/>
    </row>
    <row r="1045">
      <c r="D1045" s="102" t="n"/>
      <c r="E1045" s="105" t="n"/>
      <c r="G1045" s="102" t="n"/>
      <c r="H1045" s="105" t="n"/>
      <c r="J1045" s="102" t="n"/>
      <c r="K1045" s="106" t="n"/>
    </row>
    <row r="1046">
      <c r="D1046" s="102" t="n"/>
      <c r="E1046" s="105" t="n"/>
      <c r="G1046" s="102" t="n"/>
      <c r="H1046" s="105" t="n"/>
      <c r="J1046" s="102" t="n"/>
      <c r="K1046" s="106" t="n"/>
    </row>
    <row r="1048">
      <c r="B1048" s="2">
        <f>IF(HSCEI!$C$39="","",HSCEI!$C$39)</f>
        <v/>
      </c>
      <c r="C1048" s="2">
        <f>IF(PULL_FUND="N","",IF(HSCEI!$C$39="","",HSCEI!$C$39))</f>
        <v/>
      </c>
      <c r="D1048" s="104">
        <f>BDH($C1048,NDE_FIELD,"-5AY","","Per=Y","cols=2;rows=5")</f>
        <v/>
      </c>
      <c r="E1048" s="105" t="n"/>
      <c r="G1048" s="104">
        <f>BQL($C1048,BUYBACK_QUERY,$C$4,"fill=prev","showheaders=f","showids=f")</f>
        <v/>
      </c>
      <c r="H1048" s="105" t="n"/>
      <c r="J1048" s="104">
        <f>BDH($C1048,"PX_LAST","-5AY","","Per=Y","cols=2;rows=5")</f>
        <v/>
      </c>
      <c r="K1048" s="106" t="n"/>
    </row>
    <row r="1049">
      <c r="D1049" s="102" t="n"/>
      <c r="E1049" s="105" t="n"/>
      <c r="G1049" s="102" t="n"/>
      <c r="H1049" s="105" t="n"/>
      <c r="J1049" s="102" t="n"/>
      <c r="K1049" s="106" t="n"/>
    </row>
    <row r="1050">
      <c r="D1050" s="102" t="n"/>
      <c r="E1050" s="105" t="n"/>
      <c r="G1050" s="102" t="n"/>
      <c r="H1050" s="105" t="n"/>
      <c r="J1050" s="102" t="n"/>
      <c r="K1050" s="106" t="n"/>
    </row>
    <row r="1051">
      <c r="D1051" s="102" t="n"/>
      <c r="E1051" s="105" t="n"/>
      <c r="G1051" s="102" t="n"/>
      <c r="H1051" s="105" t="n"/>
      <c r="J1051" s="102" t="n"/>
      <c r="K1051" s="106" t="n"/>
    </row>
    <row r="1052">
      <c r="D1052" s="102" t="n"/>
      <c r="E1052" s="105" t="n"/>
      <c r="G1052" s="102" t="n"/>
      <c r="H1052" s="105" t="n"/>
      <c r="J1052" s="102" t="n"/>
      <c r="K1052" s="106" t="n"/>
    </row>
    <row r="1054">
      <c r="B1054" s="2">
        <f>IF(HSCEI!$C$40="","",HSCEI!$C$40)</f>
        <v/>
      </c>
      <c r="C1054" s="2">
        <f>IF(PULL_FUND="N","",IF(HSCEI!$C$40="","",HSCEI!$C$40))</f>
        <v/>
      </c>
      <c r="D1054" s="104">
        <f>BDH($C1054,NDE_FIELD,"-5AY","","Per=Y","cols=2;rows=5")</f>
        <v/>
      </c>
      <c r="E1054" s="105" t="n"/>
      <c r="G1054" s="104">
        <f>BQL($C1054,BUYBACK_QUERY,$C$4,"fill=prev","showheaders=f","showids=f")</f>
        <v/>
      </c>
      <c r="H1054" s="105" t="n"/>
      <c r="J1054" s="104">
        <f>BDH($C1054,"PX_LAST","-5AY","","Per=Y","cols=2;rows=5")</f>
        <v/>
      </c>
      <c r="K1054" s="106" t="n"/>
    </row>
    <row r="1055">
      <c r="D1055" s="102" t="n"/>
      <c r="E1055" s="105" t="n"/>
      <c r="G1055" s="102" t="n"/>
      <c r="H1055" s="105" t="n"/>
      <c r="J1055" s="102" t="n"/>
      <c r="K1055" s="106" t="n"/>
    </row>
    <row r="1056">
      <c r="D1056" s="102" t="n"/>
      <c r="E1056" s="105" t="n"/>
      <c r="G1056" s="102" t="n"/>
      <c r="H1056" s="105" t="n"/>
      <c r="J1056" s="102" t="n"/>
      <c r="K1056" s="106" t="n"/>
    </row>
    <row r="1057">
      <c r="D1057" s="102" t="n"/>
      <c r="E1057" s="105" t="n"/>
      <c r="G1057" s="102" t="n"/>
      <c r="H1057" s="105" t="n"/>
      <c r="J1057" s="102" t="n"/>
      <c r="K1057" s="106" t="n"/>
    </row>
    <row r="1058">
      <c r="D1058" s="102" t="n"/>
      <c r="E1058" s="105" t="n"/>
      <c r="G1058" s="102" t="n"/>
      <c r="H1058" s="105" t="n"/>
      <c r="J1058" s="102" t="n"/>
      <c r="K1058" s="106" t="n"/>
    </row>
    <row r="1060">
      <c r="B1060" s="2">
        <f>IF(HSCEI!$C$41="","",HSCEI!$C$41)</f>
        <v/>
      </c>
      <c r="C1060" s="2">
        <f>IF(PULL_FUND="N","",IF(HSCEI!$C$41="","",HSCEI!$C$41))</f>
        <v/>
      </c>
      <c r="D1060" s="104">
        <f>BDH($C1060,NDE_FIELD,"-5AY","","Per=Y","cols=2;rows=5")</f>
        <v/>
      </c>
      <c r="E1060" s="105" t="n"/>
      <c r="G1060" s="104">
        <f>BQL($C1060,BUYBACK_QUERY,$C$4,"fill=prev","showheaders=f","showids=f")</f>
        <v/>
      </c>
      <c r="H1060" s="105" t="n"/>
      <c r="J1060" s="104">
        <f>BDH($C1060,"PX_LAST","-5AY","","Per=Y","cols=2;rows=5")</f>
        <v/>
      </c>
      <c r="K1060" s="106" t="n"/>
    </row>
    <row r="1061">
      <c r="D1061" s="102" t="n"/>
      <c r="E1061" s="105" t="n"/>
      <c r="G1061" s="102" t="n"/>
      <c r="H1061" s="105" t="n"/>
      <c r="J1061" s="102" t="n"/>
      <c r="K1061" s="106" t="n"/>
    </row>
    <row r="1062">
      <c r="D1062" s="102" t="n"/>
      <c r="E1062" s="105" t="n"/>
      <c r="G1062" s="102" t="n"/>
      <c r="H1062" s="105" t="n"/>
      <c r="J1062" s="102" t="n"/>
      <c r="K1062" s="106" t="n"/>
    </row>
    <row r="1063">
      <c r="D1063" s="102" t="n"/>
      <c r="E1063" s="105" t="n"/>
      <c r="G1063" s="102" t="n"/>
      <c r="H1063" s="105" t="n"/>
      <c r="J1063" s="102" t="n"/>
      <c r="K1063" s="106" t="n"/>
    </row>
    <row r="1064">
      <c r="D1064" s="102" t="n"/>
      <c r="E1064" s="105" t="n"/>
      <c r="G1064" s="102" t="n"/>
      <c r="H1064" s="105" t="n"/>
      <c r="J1064" s="102" t="n"/>
      <c r="K1064" s="106" t="n"/>
    </row>
    <row r="1066">
      <c r="B1066" s="2">
        <f>IF(HSCEI!$C$42="","",HSCEI!$C$42)</f>
        <v/>
      </c>
      <c r="C1066" s="2">
        <f>IF(PULL_FUND="N","",IF(HSCEI!$C$42="","",HSCEI!$C$42))</f>
        <v/>
      </c>
      <c r="D1066" s="104">
        <f>BDH($C1066,NDE_FIELD,"-5AY","","Per=Y","cols=2;rows=5")</f>
        <v/>
      </c>
      <c r="E1066" s="105" t="n"/>
      <c r="G1066" s="104">
        <f>BQL($C1066,BUYBACK_QUERY,$C$4,"fill=prev","showheaders=f","showids=f")</f>
        <v/>
      </c>
      <c r="H1066" s="105" t="n"/>
      <c r="J1066" s="104">
        <f>BDH($C1066,"PX_LAST","-5AY","","Per=Y","cols=2;rows=5")</f>
        <v/>
      </c>
      <c r="K1066" s="106" t="n"/>
    </row>
    <row r="1067">
      <c r="D1067" s="102" t="n"/>
      <c r="E1067" s="105" t="n"/>
      <c r="G1067" s="102" t="n"/>
      <c r="H1067" s="105" t="n"/>
      <c r="J1067" s="102" t="n"/>
      <c r="K1067" s="106" t="n"/>
    </row>
    <row r="1068">
      <c r="D1068" s="102" t="n"/>
      <c r="E1068" s="105" t="n"/>
      <c r="G1068" s="102" t="n"/>
      <c r="H1068" s="105" t="n"/>
      <c r="J1068" s="102" t="n"/>
      <c r="K1068" s="106" t="n"/>
    </row>
    <row r="1069">
      <c r="D1069" s="102" t="n"/>
      <c r="E1069" s="105" t="n"/>
      <c r="G1069" s="102" t="n"/>
      <c r="H1069" s="105" t="n"/>
      <c r="J1069" s="102" t="n"/>
      <c r="K1069" s="106" t="n"/>
    </row>
    <row r="1070">
      <c r="D1070" s="102" t="n"/>
      <c r="E1070" s="105" t="n"/>
      <c r="G1070" s="102" t="n"/>
      <c r="H1070" s="105" t="n"/>
      <c r="J1070" s="102" t="n"/>
      <c r="K1070" s="106" t="n"/>
    </row>
    <row r="1072">
      <c r="B1072" s="2">
        <f>IF(HSCEI!$C$43="","",HSCEI!$C$43)</f>
        <v/>
      </c>
      <c r="C1072" s="2">
        <f>IF(PULL_FUND="N","",IF(HSCEI!$C$43="","",HSCEI!$C$43))</f>
        <v/>
      </c>
      <c r="D1072" s="104">
        <f>BDH($C1072,NDE_FIELD,"-5AY","","Per=Y","cols=2;rows=5")</f>
        <v/>
      </c>
      <c r="E1072" s="105" t="n"/>
      <c r="G1072" s="104">
        <f>BQL($C1072,BUYBACK_QUERY,$C$4,"fill=prev","showheaders=f","showids=f")</f>
        <v/>
      </c>
      <c r="H1072" s="105" t="n"/>
      <c r="J1072" s="104">
        <f>BDH($C1072,"PX_LAST","-5AY","","Per=Y","cols=2;rows=5")</f>
        <v/>
      </c>
      <c r="K1072" s="106" t="n"/>
    </row>
    <row r="1073">
      <c r="D1073" s="102" t="n"/>
      <c r="E1073" s="105" t="n"/>
      <c r="G1073" s="102" t="n"/>
      <c r="H1073" s="105" t="n"/>
      <c r="J1073" s="102" t="n"/>
      <c r="K1073" s="106" t="n"/>
    </row>
    <row r="1074">
      <c r="D1074" s="102" t="n"/>
      <c r="E1074" s="105" t="n"/>
      <c r="G1074" s="102" t="n"/>
      <c r="H1074" s="105" t="n"/>
      <c r="J1074" s="102" t="n"/>
      <c r="K1074" s="106" t="n"/>
    </row>
    <row r="1075">
      <c r="D1075" s="102" t="n"/>
      <c r="E1075" s="105" t="n"/>
      <c r="G1075" s="102" t="n"/>
      <c r="H1075" s="105" t="n"/>
      <c r="J1075" s="102" t="n"/>
      <c r="K1075" s="106" t="n"/>
    </row>
    <row r="1076">
      <c r="D1076" s="102" t="n"/>
      <c r="E1076" s="105" t="n"/>
      <c r="G1076" s="102" t="n"/>
      <c r="H1076" s="105" t="n"/>
      <c r="J1076" s="102" t="n"/>
      <c r="K1076" s="106" t="n"/>
    </row>
    <row r="1078">
      <c r="B1078" s="2">
        <f>IF(HSCEI!$C$44="","",HSCEI!$C$44)</f>
        <v/>
      </c>
      <c r="C1078" s="2">
        <f>IF(PULL_FUND="N","",IF(HSCEI!$C$44="","",HSCEI!$C$44))</f>
        <v/>
      </c>
      <c r="D1078" s="104">
        <f>BDH($C1078,NDE_FIELD,"-5AY","","Per=Y","cols=2;rows=5")</f>
        <v/>
      </c>
      <c r="E1078" s="105" t="n"/>
      <c r="G1078" s="104">
        <f>BQL($C1078,BUYBACK_QUERY,$C$4,"fill=prev","showheaders=f","showids=f")</f>
        <v/>
      </c>
      <c r="H1078" s="105" t="n"/>
      <c r="J1078" s="104">
        <f>BDH($C1078,"PX_LAST","-5AY","","Per=Y","cols=2;rows=5")</f>
        <v/>
      </c>
      <c r="K1078" s="106" t="n"/>
    </row>
    <row r="1079">
      <c r="D1079" s="102" t="n"/>
      <c r="E1079" s="105" t="n"/>
      <c r="G1079" s="102" t="n"/>
      <c r="H1079" s="105" t="n"/>
      <c r="J1079" s="102" t="n"/>
      <c r="K1079" s="106" t="n"/>
    </row>
    <row r="1080">
      <c r="D1080" s="102" t="n"/>
      <c r="E1080" s="105" t="n"/>
      <c r="G1080" s="102" t="n"/>
      <c r="H1080" s="105" t="n"/>
      <c r="J1080" s="102" t="n"/>
      <c r="K1080" s="106" t="n"/>
    </row>
    <row r="1081">
      <c r="D1081" s="102" t="n"/>
      <c r="E1081" s="105" t="n"/>
      <c r="G1081" s="102" t="n"/>
      <c r="H1081" s="105" t="n"/>
      <c r="J1081" s="102" t="n"/>
      <c r="K1081" s="106" t="n"/>
    </row>
    <row r="1082">
      <c r="D1082" s="102" t="n"/>
      <c r="E1082" s="105" t="n"/>
      <c r="G1082" s="102" t="n"/>
      <c r="H1082" s="105" t="n"/>
      <c r="J1082" s="102" t="n"/>
      <c r="K1082" s="106" t="n"/>
    </row>
    <row r="1084">
      <c r="B1084" s="2">
        <f>IF(HSCEI!$C$45="","",HSCEI!$C$45)</f>
        <v/>
      </c>
      <c r="C1084" s="2">
        <f>IF(PULL_FUND="N","",IF(HSCEI!$C$45="","",HSCEI!$C$45))</f>
        <v/>
      </c>
      <c r="D1084" s="104">
        <f>BDH($C1084,NDE_FIELD,"-5AY","","Per=Y","cols=2;rows=5")</f>
        <v/>
      </c>
      <c r="E1084" s="105" t="n"/>
      <c r="G1084" s="104">
        <f>BQL($C1084,BUYBACK_QUERY,$C$4,"fill=prev","showheaders=f","showids=f")</f>
        <v/>
      </c>
      <c r="H1084" s="105" t="n"/>
      <c r="J1084" s="104">
        <f>BDH($C1084,"PX_LAST","-5AY","","Per=Y","cols=2;rows=5")</f>
        <v/>
      </c>
      <c r="K1084" s="106" t="n"/>
    </row>
    <row r="1085">
      <c r="D1085" s="102" t="n"/>
      <c r="E1085" s="105" t="n"/>
      <c r="G1085" s="102" t="n"/>
      <c r="H1085" s="105" t="n"/>
      <c r="J1085" s="102" t="n"/>
      <c r="K1085" s="106" t="n"/>
    </row>
    <row r="1086">
      <c r="D1086" s="102" t="n"/>
      <c r="E1086" s="105" t="n"/>
      <c r="G1086" s="102" t="n"/>
      <c r="H1086" s="105" t="n"/>
      <c r="J1086" s="102" t="n"/>
      <c r="K1086" s="106" t="n"/>
    </row>
    <row r="1087">
      <c r="D1087" s="102" t="n"/>
      <c r="E1087" s="105" t="n"/>
      <c r="G1087" s="102" t="n"/>
      <c r="H1087" s="105" t="n"/>
      <c r="J1087" s="102" t="n"/>
      <c r="K1087" s="106" t="n"/>
    </row>
    <row r="1088">
      <c r="D1088" s="102" t="n"/>
      <c r="E1088" s="105" t="n"/>
      <c r="G1088" s="102" t="n"/>
      <c r="H1088" s="105" t="n"/>
      <c r="J1088" s="102" t="n"/>
      <c r="K1088" s="106" t="n"/>
    </row>
    <row r="1090">
      <c r="B1090" s="2">
        <f>IF(HSCEI!$C$46="","",HSCEI!$C$46)</f>
        <v/>
      </c>
      <c r="C1090" s="2">
        <f>IF(PULL_FUND="N","",IF(HSCEI!$C$46="","",HSCEI!$C$46))</f>
        <v/>
      </c>
      <c r="D1090" s="104">
        <f>BDH($C1090,NDE_FIELD,"-5AY","","Per=Y","cols=2;rows=5")</f>
        <v/>
      </c>
      <c r="E1090" s="105" t="n"/>
      <c r="G1090" s="104">
        <f>BQL($C1090,BUYBACK_QUERY,$C$4,"fill=prev","showheaders=f","showids=f")</f>
        <v/>
      </c>
      <c r="H1090" s="105" t="n"/>
      <c r="J1090" s="104">
        <f>BDH($C1090,"PX_LAST","-5AY","","Per=Y","cols=2;rows=5")</f>
        <v/>
      </c>
      <c r="K1090" s="106" t="n"/>
    </row>
    <row r="1091">
      <c r="D1091" s="102" t="n"/>
      <c r="E1091" s="105" t="n"/>
      <c r="G1091" s="102" t="n"/>
      <c r="H1091" s="105" t="n"/>
      <c r="J1091" s="102" t="n"/>
      <c r="K1091" s="106" t="n"/>
    </row>
    <row r="1092">
      <c r="D1092" s="102" t="n"/>
      <c r="E1092" s="105" t="n"/>
      <c r="G1092" s="102" t="n"/>
      <c r="H1092" s="105" t="n"/>
      <c r="J1092" s="102" t="n"/>
      <c r="K1092" s="106" t="n"/>
    </row>
    <row r="1093">
      <c r="D1093" s="102" t="n"/>
      <c r="E1093" s="105" t="n"/>
      <c r="G1093" s="102" t="n"/>
      <c r="H1093" s="105" t="n"/>
      <c r="J1093" s="102" t="n"/>
      <c r="K1093" s="106" t="n"/>
    </row>
    <row r="1094">
      <c r="D1094" s="102" t="n"/>
      <c r="E1094" s="105" t="n"/>
      <c r="G1094" s="102" t="n"/>
      <c r="H1094" s="105" t="n"/>
      <c r="J1094" s="102" t="n"/>
      <c r="K1094" s="106" t="n"/>
    </row>
    <row r="1096">
      <c r="B1096" s="2">
        <f>IF(HSCEI!$C$47="","",HSCEI!$C$47)</f>
        <v/>
      </c>
      <c r="C1096" s="2">
        <f>IF(PULL_FUND="N","",IF(HSCEI!$C$47="","",HSCEI!$C$47))</f>
        <v/>
      </c>
      <c r="D1096" s="104">
        <f>BDH($C1096,NDE_FIELD,"-5AY","","Per=Y","cols=2;rows=5")</f>
        <v/>
      </c>
      <c r="E1096" s="105" t="n"/>
      <c r="G1096" s="104">
        <f>BQL($C1096,BUYBACK_QUERY,$C$4,"fill=prev","showheaders=f","showids=f")</f>
        <v/>
      </c>
      <c r="H1096" s="105" t="n"/>
      <c r="J1096" s="104">
        <f>BDH($C1096,"PX_LAST","-5AY","","Per=Y","cols=2;rows=5")</f>
        <v/>
      </c>
      <c r="K1096" s="106" t="n"/>
    </row>
    <row r="1097">
      <c r="D1097" s="102" t="n"/>
      <c r="E1097" s="105" t="n"/>
      <c r="G1097" s="102" t="n"/>
      <c r="H1097" s="105" t="n"/>
      <c r="J1097" s="102" t="n"/>
      <c r="K1097" s="106" t="n"/>
    </row>
    <row r="1098">
      <c r="D1098" s="102" t="n"/>
      <c r="E1098" s="105" t="n"/>
      <c r="G1098" s="102" t="n"/>
      <c r="H1098" s="105" t="n"/>
      <c r="J1098" s="102" t="n"/>
      <c r="K1098" s="106" t="n"/>
    </row>
    <row r="1099">
      <c r="D1099" s="102" t="n"/>
      <c r="E1099" s="105" t="n"/>
      <c r="G1099" s="102" t="n"/>
      <c r="H1099" s="105" t="n"/>
      <c r="J1099" s="102" t="n"/>
      <c r="K1099" s="106" t="n"/>
    </row>
    <row r="1100">
      <c r="D1100" s="102" t="n"/>
      <c r="E1100" s="105" t="n"/>
      <c r="G1100" s="102" t="n"/>
      <c r="H1100" s="105" t="n"/>
      <c r="J1100" s="102" t="n"/>
      <c r="K1100" s="106" t="n"/>
    </row>
    <row r="1102">
      <c r="B1102" s="2">
        <f>IF(HSCEI!$C$48="","",HSCEI!$C$48)</f>
        <v/>
      </c>
      <c r="C1102" s="2">
        <f>IF(PULL_FUND="N","",IF(HSCEI!$C$48="","",HSCEI!$C$48))</f>
        <v/>
      </c>
      <c r="D1102" s="104">
        <f>BDH($C1102,NDE_FIELD,"-5AY","","Per=Y","cols=2;rows=5")</f>
        <v/>
      </c>
      <c r="E1102" s="105" t="n"/>
      <c r="G1102" s="104">
        <f>BQL($C1102,BUYBACK_QUERY,$C$4,"fill=prev","showheaders=f","showids=f")</f>
        <v/>
      </c>
      <c r="H1102" s="105" t="n"/>
      <c r="J1102" s="104">
        <f>BDH($C1102,"PX_LAST","-5AY","","Per=Y","cols=2;rows=5")</f>
        <v/>
      </c>
      <c r="K1102" s="106" t="n"/>
    </row>
    <row r="1103">
      <c r="D1103" s="102" t="n"/>
      <c r="E1103" s="105" t="n"/>
      <c r="G1103" s="102" t="n"/>
      <c r="H1103" s="105" t="n"/>
      <c r="J1103" s="102" t="n"/>
      <c r="K1103" s="106" t="n"/>
    </row>
    <row r="1104">
      <c r="D1104" s="102" t="n"/>
      <c r="E1104" s="105" t="n"/>
      <c r="G1104" s="102" t="n"/>
      <c r="H1104" s="105" t="n"/>
      <c r="J1104" s="102" t="n"/>
      <c r="K1104" s="106" t="n"/>
    </row>
    <row r="1105">
      <c r="D1105" s="102" t="n"/>
      <c r="E1105" s="105" t="n"/>
      <c r="G1105" s="102" t="n"/>
      <c r="H1105" s="105" t="n"/>
      <c r="J1105" s="102" t="n"/>
      <c r="K1105" s="106" t="n"/>
    </row>
    <row r="1106">
      <c r="D1106" s="102" t="n"/>
      <c r="E1106" s="105" t="n"/>
      <c r="G1106" s="102" t="n"/>
      <c r="H1106" s="105" t="n"/>
      <c r="J1106" s="102" t="n"/>
      <c r="K1106" s="106" t="n"/>
    </row>
    <row r="1108">
      <c r="B1108" s="2">
        <f>IF(HSCEI!$C$49="","",HSCEI!$C$49)</f>
        <v/>
      </c>
      <c r="C1108" s="2">
        <f>IF(PULL_FUND="N","",IF(HSCEI!$C$49="","",HSCEI!$C$49))</f>
        <v/>
      </c>
      <c r="D1108" s="104">
        <f>BDH($C1108,NDE_FIELD,"-5AY","","Per=Y","cols=2;rows=5")</f>
        <v/>
      </c>
      <c r="E1108" s="105" t="n"/>
      <c r="G1108" s="104">
        <f>BQL($C1108,BUYBACK_QUERY,$C$4,"fill=prev","showheaders=f","showids=f")</f>
        <v/>
      </c>
      <c r="H1108" s="105" t="n"/>
      <c r="J1108" s="104">
        <f>BDH($C1108,"PX_LAST","-5AY","","Per=Y","cols=2;rows=5")</f>
        <v/>
      </c>
      <c r="K1108" s="106" t="n"/>
    </row>
    <row r="1109">
      <c r="D1109" s="102" t="n"/>
      <c r="E1109" s="105" t="n"/>
      <c r="G1109" s="102" t="n"/>
      <c r="H1109" s="105" t="n"/>
      <c r="J1109" s="102" t="n"/>
      <c r="K1109" s="106" t="n"/>
    </row>
    <row r="1110">
      <c r="D1110" s="102" t="n"/>
      <c r="E1110" s="105" t="n"/>
      <c r="G1110" s="102" t="n"/>
      <c r="H1110" s="105" t="n"/>
      <c r="J1110" s="102" t="n"/>
      <c r="K1110" s="106" t="n"/>
    </row>
    <row r="1111">
      <c r="D1111" s="102" t="n"/>
      <c r="E1111" s="105" t="n"/>
      <c r="G1111" s="102" t="n"/>
      <c r="H1111" s="105" t="n"/>
      <c r="J1111" s="102" t="n"/>
      <c r="K1111" s="106" t="n"/>
    </row>
    <row r="1112">
      <c r="D1112" s="102" t="n"/>
      <c r="E1112" s="105" t="n"/>
      <c r="G1112" s="102" t="n"/>
      <c r="H1112" s="105" t="n"/>
      <c r="J1112" s="102" t="n"/>
      <c r="K1112" s="106" t="n"/>
    </row>
    <row r="1114">
      <c r="B1114" s="2">
        <f>IF(HSCEI!$C$50="","",HSCEI!$C$50)</f>
        <v/>
      </c>
      <c r="C1114" s="2">
        <f>IF(PULL_FUND="N","",IF(HSCEI!$C$50="","",HSCEI!$C$50))</f>
        <v/>
      </c>
      <c r="D1114" s="104">
        <f>BDH($C1114,NDE_FIELD,"-5AY","","Per=Y","cols=2;rows=5")</f>
        <v/>
      </c>
      <c r="E1114" s="105" t="n"/>
      <c r="G1114" s="104">
        <f>BQL($C1114,BUYBACK_QUERY,$C$4,"fill=prev","showheaders=f","showids=f")</f>
        <v/>
      </c>
      <c r="H1114" s="105" t="n"/>
      <c r="J1114" s="104">
        <f>BDH($C1114,"PX_LAST","-5AY","","Per=Y","cols=2;rows=5")</f>
        <v/>
      </c>
      <c r="K1114" s="106" t="n"/>
    </row>
    <row r="1115">
      <c r="D1115" s="102" t="n"/>
      <c r="E1115" s="105" t="n"/>
      <c r="G1115" s="102" t="n"/>
      <c r="H1115" s="105" t="n"/>
      <c r="J1115" s="102" t="n"/>
      <c r="K1115" s="106" t="n"/>
    </row>
    <row r="1116">
      <c r="D1116" s="102" t="n"/>
      <c r="E1116" s="105" t="n"/>
      <c r="G1116" s="102" t="n"/>
      <c r="H1116" s="105" t="n"/>
      <c r="J1116" s="102" t="n"/>
      <c r="K1116" s="106" t="n"/>
    </row>
    <row r="1117">
      <c r="D1117" s="102" t="n"/>
      <c r="E1117" s="105" t="n"/>
      <c r="G1117" s="102" t="n"/>
      <c r="H1117" s="105" t="n"/>
      <c r="J1117" s="102" t="n"/>
      <c r="K1117" s="106" t="n"/>
    </row>
    <row r="1118">
      <c r="D1118" s="102" t="n"/>
      <c r="E1118" s="105" t="n"/>
      <c r="G1118" s="102" t="n"/>
      <c r="H1118" s="105" t="n"/>
      <c r="J1118" s="102" t="n"/>
      <c r="K1118" s="106" t="n"/>
    </row>
    <row r="1120">
      <c r="B1120" s="2">
        <f>IF(HSCEI!$C$51="","",HSCEI!$C$51)</f>
        <v/>
      </c>
      <c r="C1120" s="2">
        <f>IF(PULL_FUND="N","",IF(HSCEI!$C$51="","",HSCEI!$C$51))</f>
        <v/>
      </c>
      <c r="D1120" s="104">
        <f>BDH($C1120,NDE_FIELD,"-5AY","","Per=Y","cols=2;rows=5")</f>
        <v/>
      </c>
      <c r="E1120" s="105" t="n"/>
      <c r="G1120" s="104">
        <f>BQL($C1120,BUYBACK_QUERY,$C$4,"fill=prev","showheaders=f","showids=f")</f>
        <v/>
      </c>
      <c r="H1120" s="105" t="n"/>
      <c r="J1120" s="104">
        <f>BDH($C1120,"PX_LAST","-5AY","","Per=Y","cols=2;rows=5")</f>
        <v/>
      </c>
      <c r="K1120" s="106" t="n"/>
    </row>
    <row r="1121">
      <c r="D1121" s="102" t="n"/>
      <c r="E1121" s="105" t="n"/>
      <c r="G1121" s="102" t="n"/>
      <c r="H1121" s="105" t="n"/>
      <c r="J1121" s="102" t="n"/>
      <c r="K1121" s="106" t="n"/>
    </row>
    <row r="1122">
      <c r="D1122" s="102" t="n"/>
      <c r="E1122" s="105" t="n"/>
      <c r="G1122" s="102" t="n"/>
      <c r="H1122" s="105" t="n"/>
      <c r="J1122" s="102" t="n"/>
      <c r="K1122" s="106" t="n"/>
    </row>
    <row r="1123">
      <c r="D1123" s="102" t="n"/>
      <c r="E1123" s="105" t="n"/>
      <c r="G1123" s="102" t="n"/>
      <c r="H1123" s="105" t="n"/>
      <c r="J1123" s="102" t="n"/>
      <c r="K1123" s="106" t="n"/>
    </row>
    <row r="1124">
      <c r="D1124" s="102" t="n"/>
      <c r="E1124" s="105" t="n"/>
      <c r="G1124" s="102" t="n"/>
      <c r="H1124" s="105" t="n"/>
      <c r="J1124" s="102" t="n"/>
      <c r="K1124" s="106" t="n"/>
    </row>
    <row r="1126">
      <c r="B1126" s="2">
        <f>IF(HSCEI!$C$52="","",HSCEI!$C$52)</f>
        <v/>
      </c>
      <c r="C1126" s="2">
        <f>IF(PULL_FUND="N","",IF(HSCEI!$C$52="","",HSCEI!$C$52))</f>
        <v/>
      </c>
      <c r="D1126" s="104">
        <f>BDH($C1126,NDE_FIELD,"-5AY","","Per=Y","cols=2;rows=5")</f>
        <v/>
      </c>
      <c r="E1126" s="105" t="n"/>
      <c r="G1126" s="104">
        <f>BQL($C1126,BUYBACK_QUERY,$C$4,"fill=prev","showheaders=f","showids=f")</f>
        <v/>
      </c>
      <c r="H1126" s="105" t="n"/>
      <c r="J1126" s="104">
        <f>BDH($C1126,"PX_LAST","-5AY","","Per=Y","cols=2;rows=5")</f>
        <v/>
      </c>
      <c r="K1126" s="106" t="n"/>
    </row>
    <row r="1127">
      <c r="D1127" s="102" t="n"/>
      <c r="E1127" s="105" t="n"/>
      <c r="G1127" s="102" t="n"/>
      <c r="H1127" s="105" t="n"/>
      <c r="J1127" s="102" t="n"/>
      <c r="K1127" s="106" t="n"/>
    </row>
    <row r="1128">
      <c r="D1128" s="102" t="n"/>
      <c r="E1128" s="105" t="n"/>
      <c r="G1128" s="102" t="n"/>
      <c r="H1128" s="105" t="n"/>
      <c r="J1128" s="102" t="n"/>
      <c r="K1128" s="106" t="n"/>
    </row>
    <row r="1129">
      <c r="D1129" s="102" t="n"/>
      <c r="E1129" s="105" t="n"/>
      <c r="G1129" s="102" t="n"/>
      <c r="H1129" s="105" t="n"/>
      <c r="J1129" s="102" t="n"/>
      <c r="K1129" s="106" t="n"/>
    </row>
    <row r="1130">
      <c r="D1130" s="102" t="n"/>
      <c r="E1130" s="105" t="n"/>
      <c r="G1130" s="102" t="n"/>
      <c r="H1130" s="105" t="n"/>
      <c r="J1130" s="102" t="n"/>
      <c r="K1130" s="106" t="n"/>
    </row>
    <row r="1132">
      <c r="B1132" s="2">
        <f>IF(HSCEI!$C$53="","",HSCEI!$C$53)</f>
        <v/>
      </c>
      <c r="C1132" s="2">
        <f>IF(PULL_FUND="N","",IF(HSCEI!$C$53="","",HSCEI!$C$53))</f>
        <v/>
      </c>
      <c r="D1132" s="104">
        <f>BDH($C1132,NDE_FIELD,"-5AY","","Per=Y","cols=2;rows=5")</f>
        <v/>
      </c>
      <c r="E1132" s="105" t="n"/>
      <c r="G1132" s="104">
        <f>BQL($C1132,BUYBACK_QUERY,$C$4,"fill=prev","showheaders=f","showids=f")</f>
        <v/>
      </c>
      <c r="H1132" s="105" t="n"/>
      <c r="J1132" s="104">
        <f>BDH($C1132,"PX_LAST","-5AY","","Per=Y","cols=2;rows=5")</f>
        <v/>
      </c>
      <c r="K1132" s="106" t="n"/>
    </row>
    <row r="1133">
      <c r="D1133" s="102" t="n"/>
      <c r="E1133" s="105" t="n"/>
      <c r="G1133" s="102" t="n"/>
      <c r="H1133" s="105" t="n"/>
      <c r="J1133" s="102" t="n"/>
      <c r="K1133" s="106" t="n"/>
    </row>
    <row r="1134">
      <c r="D1134" s="102" t="n"/>
      <c r="E1134" s="105" t="n"/>
      <c r="G1134" s="102" t="n"/>
      <c r="H1134" s="105" t="n"/>
      <c r="J1134" s="102" t="n"/>
      <c r="K1134" s="106" t="n"/>
    </row>
    <row r="1135">
      <c r="D1135" s="102" t="n"/>
      <c r="E1135" s="105" t="n"/>
      <c r="G1135" s="102" t="n"/>
      <c r="H1135" s="105" t="n"/>
      <c r="J1135" s="102" t="n"/>
      <c r="K1135" s="106" t="n"/>
    </row>
    <row r="1136">
      <c r="D1136" s="102" t="n"/>
      <c r="E1136" s="105" t="n"/>
      <c r="G1136" s="102" t="n"/>
      <c r="H1136" s="105" t="n"/>
      <c r="J1136" s="102" t="n"/>
      <c r="K1136" s="106" t="n"/>
    </row>
    <row r="1138">
      <c r="B1138" s="2">
        <f>IF(HSCEI!$C$54="","",HSCEI!$C$54)</f>
        <v/>
      </c>
      <c r="C1138" s="2">
        <f>IF(PULL_FUND="N","",IF(HSCEI!$C$54="","",HSCEI!$C$54))</f>
        <v/>
      </c>
      <c r="D1138" s="104">
        <f>BDH($C1138,NDE_FIELD,"-5AY","","Per=Y","cols=2;rows=5")</f>
        <v/>
      </c>
      <c r="E1138" s="105" t="n"/>
      <c r="G1138" s="104">
        <f>BQL($C1138,BUYBACK_QUERY,$C$4,"fill=prev","showheaders=f","showids=f")</f>
        <v/>
      </c>
      <c r="H1138" s="105" t="n"/>
      <c r="J1138" s="104">
        <f>BDH($C1138,"PX_LAST","-5AY","","Per=Y","cols=2;rows=5")</f>
        <v/>
      </c>
      <c r="K1138" s="106" t="n"/>
    </row>
    <row r="1139">
      <c r="D1139" s="102" t="n"/>
      <c r="E1139" s="105" t="n"/>
      <c r="G1139" s="102" t="n"/>
      <c r="H1139" s="105" t="n"/>
      <c r="J1139" s="102" t="n"/>
      <c r="K1139" s="106" t="n"/>
    </row>
    <row r="1140">
      <c r="D1140" s="102" t="n"/>
      <c r="E1140" s="105" t="n"/>
      <c r="G1140" s="102" t="n"/>
      <c r="H1140" s="105" t="n"/>
      <c r="J1140" s="102" t="n"/>
      <c r="K1140" s="106" t="n"/>
    </row>
    <row r="1141">
      <c r="D1141" s="102" t="n"/>
      <c r="E1141" s="105" t="n"/>
      <c r="G1141" s="102" t="n"/>
      <c r="H1141" s="105" t="n"/>
      <c r="J1141" s="102" t="n"/>
      <c r="K1141" s="106" t="n"/>
    </row>
    <row r="1142">
      <c r="D1142" s="102" t="n"/>
      <c r="E1142" s="105" t="n"/>
      <c r="G1142" s="102" t="n"/>
      <c r="H1142" s="105" t="n"/>
      <c r="J1142" s="102" t="n"/>
      <c r="K1142" s="106" t="n"/>
    </row>
    <row r="1144">
      <c r="B1144" s="2">
        <f>IF(HSCEI!$C$55="","",HSCEI!$C$55)</f>
        <v/>
      </c>
      <c r="C1144" s="2">
        <f>IF(PULL_FUND="N","",IF(HSCEI!$C$55="","",HSCEI!$C$55))</f>
        <v/>
      </c>
      <c r="D1144" s="104">
        <f>BDH($C1144,NDE_FIELD,"-5AY","","Per=Y","cols=2;rows=5")</f>
        <v/>
      </c>
      <c r="E1144" s="105" t="n"/>
      <c r="G1144" s="104">
        <f>BQL($C1144,BUYBACK_QUERY,$C$4,"fill=prev","showheaders=f","showids=f")</f>
        <v/>
      </c>
      <c r="H1144" s="105" t="n"/>
      <c r="J1144" s="104">
        <f>BDH($C1144,"PX_LAST","-5AY","","Per=Y","cols=2;rows=5")</f>
        <v/>
      </c>
      <c r="K1144" s="106" t="n"/>
    </row>
    <row r="1145">
      <c r="D1145" s="102" t="n"/>
      <c r="E1145" s="105" t="n"/>
      <c r="G1145" s="102" t="n"/>
      <c r="H1145" s="105" t="n"/>
      <c r="J1145" s="102" t="n"/>
      <c r="K1145" s="106" t="n"/>
    </row>
    <row r="1146">
      <c r="D1146" s="102" t="n"/>
      <c r="E1146" s="105" t="n"/>
      <c r="G1146" s="102" t="n"/>
      <c r="H1146" s="105" t="n"/>
      <c r="J1146" s="102" t="n"/>
      <c r="K1146" s="106" t="n"/>
    </row>
    <row r="1147">
      <c r="D1147" s="102" t="n"/>
      <c r="E1147" s="105" t="n"/>
      <c r="G1147" s="102" t="n"/>
      <c r="H1147" s="105" t="n"/>
      <c r="J1147" s="102" t="n"/>
      <c r="K1147" s="106" t="n"/>
    </row>
    <row r="1148">
      <c r="D1148" s="102" t="n"/>
      <c r="E1148" s="105" t="n"/>
      <c r="G1148" s="102" t="n"/>
      <c r="H1148" s="105" t="n"/>
      <c r="J1148" s="102" t="n"/>
      <c r="K1148" s="106" t="n"/>
    </row>
    <row r="1150">
      <c r="B1150" s="2">
        <f>IF(HSCEI!$C$56="","",HSCEI!$C$56)</f>
        <v/>
      </c>
      <c r="C1150" s="2">
        <f>IF(PULL_FUND="N","",IF(HSCEI!$C$56="","",HSCEI!$C$56))</f>
        <v/>
      </c>
      <c r="D1150" s="104">
        <f>BDH($C1150,NDE_FIELD,"-5AY","","Per=Y","cols=2;rows=5")</f>
        <v/>
      </c>
      <c r="E1150" s="105" t="n"/>
      <c r="G1150" s="104">
        <f>BQL($C1150,BUYBACK_QUERY,$C$4,"fill=prev","showheaders=f","showids=f")</f>
        <v/>
      </c>
      <c r="H1150" s="105" t="n"/>
      <c r="J1150" s="104">
        <f>BDH($C1150,"PX_LAST","-5AY","","Per=Y","cols=2;rows=5")</f>
        <v/>
      </c>
      <c r="K1150" s="106" t="n"/>
    </row>
    <row r="1151">
      <c r="D1151" s="102" t="n"/>
      <c r="E1151" s="105" t="n"/>
      <c r="G1151" s="102" t="n"/>
      <c r="H1151" s="105" t="n"/>
      <c r="J1151" s="102" t="n"/>
      <c r="K1151" s="106" t="n"/>
    </row>
    <row r="1152">
      <c r="D1152" s="102" t="n"/>
      <c r="E1152" s="105" t="n"/>
      <c r="G1152" s="102" t="n"/>
      <c r="H1152" s="105" t="n"/>
      <c r="J1152" s="102" t="n"/>
      <c r="K1152" s="106" t="n"/>
    </row>
    <row r="1153">
      <c r="D1153" s="102" t="n"/>
      <c r="E1153" s="105" t="n"/>
      <c r="G1153" s="102" t="n"/>
      <c r="H1153" s="105" t="n"/>
      <c r="J1153" s="102" t="n"/>
      <c r="K1153" s="106" t="n"/>
    </row>
    <row r="1154">
      <c r="D1154" s="102" t="n"/>
      <c r="E1154" s="105" t="n"/>
      <c r="G1154" s="102" t="n"/>
      <c r="H1154" s="105" t="n"/>
      <c r="J1154" s="102" t="n"/>
      <c r="K1154" s="106" t="n"/>
    </row>
    <row r="1156">
      <c r="B1156" s="2">
        <f>IF(HSCEI!$C$57="","",HSCEI!$C$57)</f>
        <v/>
      </c>
      <c r="C1156" s="2">
        <f>IF(PULL_FUND="N","",IF(HSCEI!$C$57="","",HSCEI!$C$57))</f>
        <v/>
      </c>
      <c r="D1156" s="104">
        <f>BDH($C1156,NDE_FIELD,"-5AY","","Per=Y","cols=2;rows=5")</f>
        <v/>
      </c>
      <c r="E1156" s="105" t="n"/>
      <c r="G1156" s="104">
        <f>BQL($C1156,BUYBACK_QUERY,$C$4,"fill=prev","showheaders=f","showids=f")</f>
        <v/>
      </c>
      <c r="H1156" s="105" t="n"/>
      <c r="J1156" s="104">
        <f>BDH($C1156,"PX_LAST","-5AY","","Per=Y","cols=2;rows=5")</f>
        <v/>
      </c>
      <c r="K1156" s="106" t="n"/>
    </row>
    <row r="1157">
      <c r="D1157" s="102" t="n"/>
      <c r="E1157" s="105" t="n"/>
      <c r="G1157" s="102" t="n"/>
      <c r="H1157" s="105" t="n"/>
      <c r="J1157" s="102" t="n"/>
      <c r="K1157" s="106" t="n"/>
    </row>
    <row r="1158">
      <c r="D1158" s="102" t="n"/>
      <c r="E1158" s="105" t="n"/>
      <c r="G1158" s="102" t="n"/>
      <c r="H1158" s="105" t="n"/>
      <c r="J1158" s="102" t="n"/>
      <c r="K1158" s="106" t="n"/>
    </row>
    <row r="1159">
      <c r="D1159" s="102" t="n"/>
      <c r="E1159" s="105" t="n"/>
      <c r="G1159" s="102" t="n"/>
      <c r="H1159" s="105" t="n"/>
      <c r="J1159" s="102" t="n"/>
      <c r="K1159" s="106" t="n"/>
    </row>
    <row r="1160">
      <c r="D1160" s="102" t="n"/>
      <c r="E1160" s="105" t="n"/>
      <c r="G1160" s="102" t="n"/>
      <c r="H1160" s="105" t="n"/>
      <c r="J1160" s="102" t="n"/>
      <c r="K1160" s="106" t="n"/>
    </row>
    <row r="1162">
      <c r="B1162" s="2">
        <f>IF(HSCEI!$C$58="","",HSCEI!$C$58)</f>
        <v/>
      </c>
      <c r="C1162" s="2">
        <f>IF(PULL_FUND="N","",IF(HSCEI!$C$58="","",HSCEI!$C$58))</f>
        <v/>
      </c>
      <c r="D1162" s="104">
        <f>BDH($C1162,NDE_FIELD,"-5AY","","Per=Y","cols=2;rows=5")</f>
        <v/>
      </c>
      <c r="E1162" s="105" t="n"/>
      <c r="G1162" s="104">
        <f>BQL($C1162,BUYBACK_QUERY,$C$4,"fill=prev","showheaders=f","showids=f")</f>
        <v/>
      </c>
      <c r="H1162" s="105" t="n"/>
      <c r="J1162" s="104">
        <f>BDH($C1162,"PX_LAST","-5AY","","Per=Y","cols=2;rows=5")</f>
        <v/>
      </c>
      <c r="K1162" s="106" t="n"/>
    </row>
    <row r="1163">
      <c r="D1163" s="102" t="n"/>
      <c r="E1163" s="105" t="n"/>
      <c r="G1163" s="102" t="n"/>
      <c r="H1163" s="105" t="n"/>
      <c r="J1163" s="102" t="n"/>
      <c r="K1163" s="106" t="n"/>
    </row>
    <row r="1164">
      <c r="D1164" s="102" t="n"/>
      <c r="E1164" s="105" t="n"/>
      <c r="G1164" s="102" t="n"/>
      <c r="H1164" s="105" t="n"/>
      <c r="J1164" s="102" t="n"/>
      <c r="K1164" s="106" t="n"/>
    </row>
    <row r="1165">
      <c r="D1165" s="102" t="n"/>
      <c r="E1165" s="105" t="n"/>
      <c r="G1165" s="102" t="n"/>
      <c r="H1165" s="105" t="n"/>
      <c r="J1165" s="102" t="n"/>
      <c r="K1165" s="106" t="n"/>
    </row>
    <row r="1166">
      <c r="D1166" s="102" t="n"/>
      <c r="E1166" s="105" t="n"/>
      <c r="G1166" s="102" t="n"/>
      <c r="H1166" s="105" t="n"/>
      <c r="J1166" s="102" t="n"/>
      <c r="K1166" s="106" t="n"/>
    </row>
    <row r="1168">
      <c r="B1168" s="2">
        <f>IF(HSCEI!$C$59="","",HSCEI!$C$59)</f>
        <v/>
      </c>
      <c r="C1168" s="2">
        <f>IF(PULL_FUND="N","",IF(HSCEI!$C$59="","",HSCEI!$C$59))</f>
        <v/>
      </c>
      <c r="D1168" s="104">
        <f>BDH($C1168,NDE_FIELD,"-5AY","","Per=Y","cols=2;rows=5")</f>
        <v/>
      </c>
      <c r="E1168" s="105" t="n"/>
      <c r="G1168" s="104">
        <f>BQL($C1168,BUYBACK_QUERY,$C$4,"fill=prev","showheaders=f","showids=f")</f>
        <v/>
      </c>
      <c r="H1168" s="105" t="n"/>
      <c r="J1168" s="104">
        <f>BDH($C1168,"PX_LAST","-5AY","","Per=Y","cols=2;rows=5")</f>
        <v/>
      </c>
      <c r="K1168" s="106" t="n"/>
    </row>
    <row r="1169">
      <c r="D1169" s="102" t="n"/>
      <c r="E1169" s="105" t="n"/>
      <c r="G1169" s="102" t="n"/>
      <c r="H1169" s="105" t="n"/>
      <c r="J1169" s="102" t="n"/>
      <c r="K1169" s="106" t="n"/>
    </row>
    <row r="1170">
      <c r="D1170" s="102" t="n"/>
      <c r="E1170" s="105" t="n"/>
      <c r="G1170" s="102" t="n"/>
      <c r="H1170" s="105" t="n"/>
      <c r="J1170" s="102" t="n"/>
      <c r="K1170" s="106" t="n"/>
    </row>
    <row r="1171">
      <c r="D1171" s="102" t="n"/>
      <c r="E1171" s="105" t="n"/>
      <c r="G1171" s="102" t="n"/>
      <c r="H1171" s="105" t="n"/>
      <c r="J1171" s="102" t="n"/>
      <c r="K1171" s="106" t="n"/>
    </row>
    <row r="1172">
      <c r="D1172" s="102" t="n"/>
      <c r="E1172" s="105" t="n"/>
      <c r="G1172" s="102" t="n"/>
      <c r="H1172" s="105" t="n"/>
      <c r="J1172" s="102" t="n"/>
      <c r="K1172" s="106" t="n"/>
    </row>
    <row r="1174">
      <c r="B1174" s="2">
        <f>IF(HSCEI!$C$60="","",HSCEI!$C$60)</f>
        <v/>
      </c>
      <c r="C1174" s="2">
        <f>IF(PULL_FUND="N","",IF(HSCEI!$C$60="","",HSCEI!$C$60))</f>
        <v/>
      </c>
      <c r="D1174" s="104">
        <f>BDH($C1174,NDE_FIELD,"-5AY","","Per=Y","cols=2;rows=5")</f>
        <v/>
      </c>
      <c r="E1174" s="105" t="n"/>
      <c r="G1174" s="104">
        <f>BQL($C1174,BUYBACK_QUERY,$C$4,"fill=prev","showheaders=f","showids=f")</f>
        <v/>
      </c>
      <c r="H1174" s="105" t="n"/>
      <c r="J1174" s="104">
        <f>BDH($C1174,"PX_LAST","-5AY","","Per=Y","cols=2;rows=5")</f>
        <v/>
      </c>
      <c r="K1174" s="106" t="n"/>
    </row>
    <row r="1175">
      <c r="D1175" s="102" t="n"/>
      <c r="E1175" s="105" t="n"/>
      <c r="G1175" s="102" t="n"/>
      <c r="H1175" s="105" t="n"/>
      <c r="J1175" s="102" t="n"/>
      <c r="K1175" s="106" t="n"/>
    </row>
    <row r="1176">
      <c r="D1176" s="102" t="n"/>
      <c r="E1176" s="105" t="n"/>
      <c r="G1176" s="102" t="n"/>
      <c r="H1176" s="105" t="n"/>
      <c r="J1176" s="102" t="n"/>
      <c r="K1176" s="106" t="n"/>
    </row>
    <row r="1177">
      <c r="D1177" s="102" t="n"/>
      <c r="E1177" s="105" t="n"/>
      <c r="G1177" s="102" t="n"/>
      <c r="H1177" s="105" t="n"/>
      <c r="J1177" s="102" t="n"/>
      <c r="K1177" s="106" t="n"/>
    </row>
    <row r="1178">
      <c r="D1178" s="102" t="n"/>
      <c r="E1178" s="105" t="n"/>
      <c r="G1178" s="102" t="n"/>
      <c r="H1178" s="105" t="n"/>
      <c r="J1178" s="102" t="n"/>
      <c r="K1178" s="106" t="n"/>
    </row>
    <row r="1180">
      <c r="B1180" s="2">
        <f>IF(HSCEI!$C$61="","",HSCEI!$C$61)</f>
        <v/>
      </c>
      <c r="C1180" s="2">
        <f>IF(PULL_FUND="N","",IF(HSCEI!$C$61="","",HSCEI!$C$61))</f>
        <v/>
      </c>
      <c r="D1180" s="104">
        <f>BDH($C1180,NDE_FIELD,"-5AY","","Per=Y","cols=2;rows=5")</f>
        <v/>
      </c>
      <c r="E1180" s="105" t="n"/>
      <c r="G1180" s="104">
        <f>BQL($C1180,BUYBACK_QUERY,$C$4,"fill=prev","showheaders=f","showids=f")</f>
        <v/>
      </c>
      <c r="H1180" s="105" t="n"/>
      <c r="J1180" s="104">
        <f>BDH($C1180,"PX_LAST","-5AY","","Per=Y","cols=2;rows=5")</f>
        <v/>
      </c>
      <c r="K1180" s="106" t="n"/>
    </row>
    <row r="1181">
      <c r="D1181" s="102" t="n"/>
      <c r="E1181" s="105" t="n"/>
      <c r="G1181" s="102" t="n"/>
      <c r="H1181" s="105" t="n"/>
      <c r="J1181" s="102" t="n"/>
      <c r="K1181" s="106" t="n"/>
    </row>
    <row r="1182">
      <c r="D1182" s="102" t="n"/>
      <c r="E1182" s="105" t="n"/>
      <c r="G1182" s="102" t="n"/>
      <c r="H1182" s="105" t="n"/>
      <c r="J1182" s="102" t="n"/>
      <c r="K1182" s="106" t="n"/>
    </row>
    <row r="1183">
      <c r="D1183" s="102" t="n"/>
      <c r="E1183" s="105" t="n"/>
      <c r="G1183" s="102" t="n"/>
      <c r="H1183" s="105" t="n"/>
      <c r="J1183" s="102" t="n"/>
      <c r="K1183" s="106" t="n"/>
    </row>
    <row r="1184">
      <c r="D1184" s="102" t="n"/>
      <c r="E1184" s="105" t="n"/>
      <c r="G1184" s="102" t="n"/>
      <c r="H1184" s="105" t="n"/>
      <c r="J1184" s="102" t="n"/>
      <c r="K1184" s="106" t="n"/>
    </row>
    <row r="1186">
      <c r="B1186" s="2">
        <f>IF(HSCEI!$C$62="","",HSCEI!$C$62)</f>
        <v/>
      </c>
      <c r="C1186" s="2">
        <f>IF(PULL_FUND="N","",IF(HSCEI!$C$62="","",HSCEI!$C$62))</f>
        <v/>
      </c>
      <c r="D1186" s="104">
        <f>BDH($C1186,NDE_FIELD,"-5AY","","Per=Y","cols=2;rows=5")</f>
        <v/>
      </c>
      <c r="E1186" s="105" t="n"/>
      <c r="G1186" s="104">
        <f>BQL($C1186,BUYBACK_QUERY,$C$4,"fill=prev","showheaders=f","showids=f")</f>
        <v/>
      </c>
      <c r="H1186" s="105" t="n"/>
      <c r="J1186" s="104">
        <f>BDH($C1186,"PX_LAST","-5AY","","Per=Y","cols=2;rows=5")</f>
        <v/>
      </c>
      <c r="K1186" s="106" t="n"/>
    </row>
    <row r="1187">
      <c r="D1187" s="102" t="n"/>
      <c r="E1187" s="105" t="n"/>
      <c r="G1187" s="102" t="n"/>
      <c r="H1187" s="105" t="n"/>
      <c r="J1187" s="102" t="n"/>
      <c r="K1187" s="106" t="n"/>
    </row>
    <row r="1188">
      <c r="D1188" s="102" t="n"/>
      <c r="E1188" s="105" t="n"/>
      <c r="G1188" s="102" t="n"/>
      <c r="H1188" s="105" t="n"/>
      <c r="J1188" s="102" t="n"/>
      <c r="K1188" s="106" t="n"/>
    </row>
    <row r="1189">
      <c r="D1189" s="102" t="n"/>
      <c r="E1189" s="105" t="n"/>
      <c r="G1189" s="102" t="n"/>
      <c r="H1189" s="105" t="n"/>
      <c r="J1189" s="102" t="n"/>
      <c r="K1189" s="106" t="n"/>
    </row>
    <row r="1190">
      <c r="D1190" s="102" t="n"/>
      <c r="E1190" s="105" t="n"/>
      <c r="G1190" s="102" t="n"/>
      <c r="H1190" s="105" t="n"/>
      <c r="J1190" s="102" t="n"/>
      <c r="K1190" s="106" t="n"/>
    </row>
    <row r="1192">
      <c r="B1192" s="2">
        <f>IF(HSCEI!$C$63="","",HSCEI!$C$63)</f>
        <v/>
      </c>
      <c r="C1192" s="2">
        <f>IF(PULL_FUND="N","",IF(HSCEI!$C$63="","",HSCEI!$C$63))</f>
        <v/>
      </c>
      <c r="D1192" s="104">
        <f>BDH($C1192,NDE_FIELD,"-5AY","","Per=Y","cols=2;rows=5")</f>
        <v/>
      </c>
      <c r="E1192" s="105" t="n"/>
      <c r="G1192" s="104">
        <f>BQL($C1192,BUYBACK_QUERY,$C$4,"fill=prev","showheaders=f","showids=f")</f>
        <v/>
      </c>
      <c r="H1192" s="105" t="n"/>
      <c r="J1192" s="104">
        <f>BDH($C1192,"PX_LAST","-5AY","","Per=Y","cols=2;rows=5")</f>
        <v/>
      </c>
      <c r="K1192" s="106" t="n"/>
    </row>
    <row r="1193">
      <c r="D1193" s="102" t="n"/>
      <c r="E1193" s="105" t="n"/>
      <c r="G1193" s="102" t="n"/>
      <c r="H1193" s="105" t="n"/>
      <c r="J1193" s="102" t="n"/>
      <c r="K1193" s="106" t="n"/>
    </row>
    <row r="1194">
      <c r="D1194" s="102" t="n"/>
      <c r="E1194" s="105" t="n"/>
      <c r="G1194" s="102" t="n"/>
      <c r="H1194" s="105" t="n"/>
      <c r="J1194" s="102" t="n"/>
      <c r="K1194" s="106" t="n"/>
    </row>
    <row r="1195">
      <c r="D1195" s="102" t="n"/>
      <c r="E1195" s="105" t="n"/>
      <c r="G1195" s="102" t="n"/>
      <c r="H1195" s="105" t="n"/>
      <c r="J1195" s="102" t="n"/>
      <c r="K1195" s="106" t="n"/>
    </row>
    <row r="1196">
      <c r="D1196" s="102" t="n"/>
      <c r="E1196" s="105" t="n"/>
      <c r="G1196" s="102" t="n"/>
      <c r="H1196" s="105" t="n"/>
      <c r="J1196" s="102" t="n"/>
      <c r="K1196" s="106" t="n"/>
    </row>
    <row r="1198">
      <c r="B1198" s="2">
        <f>IF(HSCEI!$C$64="","",HSCEI!$C$64)</f>
        <v/>
      </c>
      <c r="C1198" s="2">
        <f>IF(PULL_FUND="N","",IF(HSCEI!$C$64="","",HSCEI!$C$64))</f>
        <v/>
      </c>
      <c r="D1198" s="104">
        <f>BDH($C1198,NDE_FIELD,"-5AY","","Per=Y","cols=2;rows=5")</f>
        <v/>
      </c>
      <c r="E1198" s="105" t="n"/>
      <c r="G1198" s="104">
        <f>BQL($C1198,BUYBACK_QUERY,$C$4,"fill=prev","showheaders=f","showids=f")</f>
        <v/>
      </c>
      <c r="H1198" s="105" t="n"/>
      <c r="J1198" s="104">
        <f>BDH($C1198,"PX_LAST","-5AY","","Per=Y","cols=2;rows=5")</f>
        <v/>
      </c>
      <c r="K1198" s="106" t="n"/>
    </row>
    <row r="1199">
      <c r="D1199" s="102" t="n"/>
      <c r="E1199" s="105" t="n"/>
      <c r="G1199" s="102" t="n"/>
      <c r="H1199" s="105" t="n"/>
      <c r="J1199" s="102" t="n"/>
      <c r="K1199" s="106" t="n"/>
    </row>
    <row r="1200">
      <c r="D1200" s="102" t="n"/>
      <c r="E1200" s="105" t="n"/>
      <c r="G1200" s="102" t="n"/>
      <c r="H1200" s="105" t="n"/>
      <c r="J1200" s="102" t="n"/>
      <c r="K1200" s="106" t="n"/>
    </row>
    <row r="1201">
      <c r="D1201" s="102" t="n"/>
      <c r="E1201" s="105" t="n"/>
      <c r="G1201" s="102" t="n"/>
      <c r="H1201" s="105" t="n"/>
      <c r="J1201" s="102" t="n"/>
      <c r="K1201" s="106" t="n"/>
    </row>
    <row r="1202">
      <c r="D1202" s="102" t="n"/>
      <c r="E1202" s="105" t="n"/>
      <c r="G1202" s="102" t="n"/>
      <c r="H1202" s="105" t="n"/>
      <c r="J1202" s="102" t="n"/>
      <c r="K1202" s="106" t="n"/>
    </row>
    <row r="1204">
      <c r="B1204" s="2">
        <f>IF(HSCEI!$C$65="","",HSCEI!$C$65)</f>
        <v/>
      </c>
      <c r="C1204" s="2">
        <f>IF(PULL_FUND="N","",IF(HSCEI!$C$65="","",HSCEI!$C$65))</f>
        <v/>
      </c>
      <c r="D1204" s="104">
        <f>BDH($C1204,NDE_FIELD,"-5AY","","Per=Y","cols=2;rows=5")</f>
        <v/>
      </c>
      <c r="E1204" s="105" t="n"/>
      <c r="G1204" s="104">
        <f>BQL($C1204,BUYBACK_QUERY,$C$4,"fill=prev","showheaders=f","showids=f")</f>
        <v/>
      </c>
      <c r="H1204" s="105" t="n"/>
      <c r="J1204" s="104">
        <f>BDH($C1204,"PX_LAST","-5AY","","Per=Y","cols=2;rows=5")</f>
        <v/>
      </c>
      <c r="K1204" s="106" t="n"/>
    </row>
    <row r="1205">
      <c r="D1205" s="102" t="n"/>
      <c r="E1205" s="105" t="n"/>
      <c r="G1205" s="102" t="n"/>
      <c r="H1205" s="105" t="n"/>
      <c r="J1205" s="102" t="n"/>
      <c r="K1205" s="106" t="n"/>
    </row>
    <row r="1206">
      <c r="D1206" s="102" t="n"/>
      <c r="E1206" s="105" t="n"/>
      <c r="G1206" s="102" t="n"/>
      <c r="H1206" s="105" t="n"/>
      <c r="J1206" s="102" t="n"/>
      <c r="K1206" s="106" t="n"/>
    </row>
    <row r="1207">
      <c r="D1207" s="102" t="n"/>
      <c r="E1207" s="105" t="n"/>
      <c r="G1207" s="102" t="n"/>
      <c r="H1207" s="105" t="n"/>
      <c r="J1207" s="102" t="n"/>
      <c r="K1207" s="106" t="n"/>
    </row>
    <row r="1208">
      <c r="D1208" s="102" t="n"/>
      <c r="E1208" s="105" t="n"/>
      <c r="G1208" s="102" t="n"/>
      <c r="H1208" s="105" t="n"/>
      <c r="J1208" s="102" t="n"/>
      <c r="K1208" s="106" t="n"/>
    </row>
    <row r="1210">
      <c r="B1210" s="2">
        <f>IF(HSCEI!$C$66="","",HSCEI!$C$66)</f>
        <v/>
      </c>
      <c r="C1210" s="2">
        <f>IF(PULL_FUND="N","",IF(HSCEI!$C$66="","",HSCEI!$C$66))</f>
        <v/>
      </c>
      <c r="D1210" s="104">
        <f>BDH($C1210,NDE_FIELD,"-5AY","","Per=Y","cols=2;rows=5")</f>
        <v/>
      </c>
      <c r="E1210" s="105" t="n"/>
      <c r="G1210" s="104">
        <f>BQL($C1210,BUYBACK_QUERY,$C$4,"fill=prev","showheaders=f","showids=f")</f>
        <v/>
      </c>
      <c r="H1210" s="105" t="n"/>
      <c r="J1210" s="104">
        <f>BDH($C1210,"PX_LAST","-5AY","","Per=Y","cols=2;rows=5")</f>
        <v/>
      </c>
      <c r="K1210" s="106" t="n"/>
    </row>
    <row r="1211">
      <c r="D1211" s="102" t="n"/>
      <c r="E1211" s="105" t="n"/>
      <c r="G1211" s="102" t="n"/>
      <c r="H1211" s="105" t="n"/>
      <c r="J1211" s="102" t="n"/>
      <c r="K1211" s="106" t="n"/>
    </row>
    <row r="1212">
      <c r="D1212" s="102" t="n"/>
      <c r="E1212" s="105" t="n"/>
      <c r="G1212" s="102" t="n"/>
      <c r="H1212" s="105" t="n"/>
      <c r="J1212" s="102" t="n"/>
      <c r="K1212" s="106" t="n"/>
    </row>
    <row r="1213">
      <c r="D1213" s="102" t="n"/>
      <c r="E1213" s="105" t="n"/>
      <c r="G1213" s="102" t="n"/>
      <c r="H1213" s="105" t="n"/>
      <c r="J1213" s="102" t="n"/>
      <c r="K1213" s="106" t="n"/>
    </row>
    <row r="1214">
      <c r="D1214" s="102" t="n"/>
      <c r="E1214" s="105" t="n"/>
      <c r="G1214" s="102" t="n"/>
      <c r="H1214" s="105" t="n"/>
      <c r="J1214" s="102" t="n"/>
      <c r="K1214" s="106" t="n"/>
    </row>
  </sheetData>
  <mergeCells count="1">
    <mergeCell ref="C4:E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6A6A6"/>
    <outlinePr summaryBelow="1" summaryRight="1"/>
    <pageSetUpPr/>
  </sheetPr>
  <dimension ref="B1:GQ219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6" customWidth="1" min="95" max="95"/>
    <col width="6" customWidth="1" min="96" max="96"/>
    <col width="6" customWidth="1" min="97" max="97"/>
    <col width="6" customWidth="1" min="98" max="98"/>
    <col width="6" customWidth="1" min="99" max="99"/>
    <col width="6" customWidth="1" min="100" max="100"/>
    <col width="6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</cols>
  <sheetData>
    <row r="1">
      <c r="B1" s="1" t="inlineStr">
        <is>
          <t>EVENT GRIDS - THE ENGINE BEHIND PENDING AND FLOW.  NEVER EDIT.</t>
        </is>
      </c>
    </row>
    <row r="2">
      <c r="B2" s="2" t="inlineStr">
        <is>
          <t>One row per stock, one column per event: DPS grid, points grid, then packed codes (blank on purpose) that let Pending sort by date and Flow sum a single day.</t>
        </is>
      </c>
    </row>
    <row r="3">
      <c r="B3" s="2" t="inlineStr">
        <is>
          <t>Packed code = ex-date x 1e9 + has-amount x 1e8 + special x 1e7 + announced x 1e6 + stock number x 1000 + slot. Paste any code into the decoder to read it back.</t>
        </is>
      </c>
    </row>
    <row r="4">
      <c r="B4" s="2" t="inlineStr">
        <is>
          <t>Reads: Dvd Calendar + the data tabs.  Feeds: Pending and Flow.  The decoder's stock # counts down each index section here (column B names it); slot &lt;= the history width means a paid dividend, above it a projection.</t>
        </is>
      </c>
    </row>
    <row r="5">
      <c r="B5" s="2" t="inlineStr">
        <is>
          <t>Window from</t>
        </is>
      </c>
      <c r="D5" s="48">
        <f>MIN(DATE(YEAR_Y,1,1),VAL_DATE)</f>
        <v/>
      </c>
      <c r="F5" s="3" t="inlineStr">
        <is>
          <t>DECODER - paste a code:</t>
        </is>
      </c>
      <c r="H5" s="18" t="n"/>
    </row>
    <row r="6">
      <c r="B6" s="2" t="inlineStr">
        <is>
          <t>Window to</t>
        </is>
      </c>
      <c r="D6" s="48">
        <f>MAX(DATE(YEAR_Y,12,31),HORIZON_DT)</f>
        <v/>
      </c>
      <c r="F6" s="2" t="inlineStr">
        <is>
          <t>date / stock # / slot</t>
        </is>
      </c>
      <c r="H6" s="107">
        <f>IF($H$5="","",INT($H$5/1000000000))</f>
        <v/>
      </c>
      <c r="I6" s="108">
        <f>IF($H$5="","",INT(($H$5-INT($H$5/1000000)*1000000)/1000))</f>
        <v/>
      </c>
      <c r="J6" s="108">
        <f>IF($H$5="","",$H$5-INT($H$5/1000)*1000)</f>
        <v/>
      </c>
    </row>
    <row r="7">
      <c r="B7" s="2" t="inlineStr">
        <is>
          <t>Valuation (serial)</t>
        </is>
      </c>
      <c r="D7" s="109">
        <f>N(VAL_DATE)</f>
        <v/>
      </c>
      <c r="F7" s="2" t="inlineStr">
        <is>
          <t>amount? / special? / announced?</t>
        </is>
      </c>
      <c r="H7" s="108">
        <f>IF($H$5="","",INT(($H$5-INT($H$5/1000000000)*1000000000)/100000000))</f>
        <v/>
      </c>
      <c r="I7" s="108">
        <f>IF($H$5="","",INT(($H$5-INT($H$5/100000000)*100000000)/10000000))</f>
        <v/>
      </c>
      <c r="J7" s="108">
        <f>IF($H$5="","",INT(($H$5-INT($H$5/10000000)*10000000)/1000000))</f>
        <v/>
      </c>
    </row>
    <row r="8">
      <c r="B8" s="2" t="inlineStr">
        <is>
          <t>Realized counts to</t>
        </is>
      </c>
      <c r="D8" s="48">
        <f>MIN(VAL_DATE,DATE(YEAR_Y,12,31))</f>
        <v/>
      </c>
    </row>
    <row r="9">
      <c r="B9" s="2" t="inlineStr">
        <is>
          <t>Projected counts after</t>
        </is>
      </c>
      <c r="D9" s="48">
        <f>MAX(VAL_DATE,DATE(YEAR_Y,1,1)-1)</f>
        <v/>
      </c>
    </row>
    <row r="10">
      <c r="B10" s="6" t="inlineStr">
        <is>
          <t>Hang Seng Index (HSI)  -  DPS per event  (slots 1-40 history, 41-65 projections)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Q10" s="6" t="inlineStr">
        <is>
          <t>index points per event</t>
        </is>
      </c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E10" s="6" t="inlineStr">
        <is>
          <t>packed codes (blank on purpose - use the decoder)</t>
        </is>
      </c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</row>
    <row r="12">
      <c r="B12" s="2">
        <f>IF(HSI!$C$7="","",HSI!$C$7)</f>
        <v/>
      </c>
      <c r="C12" s="110">
        <f>IF(EE12="","",IF(ISNUMBER('Dvd Calendar'!$E$14)=FALSE,"",IF((('Dvd Calendar'!$E$16=TYPE1)*(TYPE1&lt;&gt;"")+('Dvd Calendar'!$E$16=TYPE2)*(TYPE2&lt;&gt;"")+('Dvd Calendar'!$E$16=TYPE3)*(TYPE3&lt;&gt;"")+('Dvd Calendar'!$E$16=TYPE4)*(TYPE4&lt;&gt;"")+('Dvd Calendar'!$E$16=SPECIAL_LBL)*(INC_SPECIALS="Y"))=0,"",'Dvd Calendar'!$E$14)))</f>
        <v/>
      </c>
      <c r="D12" s="110">
        <f>IF(EF12="","",IF(ISNUMBER('Dvd Calendar'!$F$14)=FALSE,"",IF((('Dvd Calendar'!$F$16=TYPE1)*(TYPE1&lt;&gt;"")+('Dvd Calendar'!$F$16=TYPE2)*(TYPE2&lt;&gt;"")+('Dvd Calendar'!$F$16=TYPE3)*(TYPE3&lt;&gt;"")+('Dvd Calendar'!$F$16=TYPE4)*(TYPE4&lt;&gt;"")+('Dvd Calendar'!$F$16=SPECIAL_LBL)*(INC_SPECIALS="Y"))=0,"",'Dvd Calendar'!$F$14)))</f>
        <v/>
      </c>
      <c r="E12" s="110">
        <f>IF(EG12="","",IF(ISNUMBER('Dvd Calendar'!$G$14)=FALSE,"",IF((('Dvd Calendar'!$G$16=TYPE1)*(TYPE1&lt;&gt;"")+('Dvd Calendar'!$G$16=TYPE2)*(TYPE2&lt;&gt;"")+('Dvd Calendar'!$G$16=TYPE3)*(TYPE3&lt;&gt;"")+('Dvd Calendar'!$G$16=TYPE4)*(TYPE4&lt;&gt;"")+('Dvd Calendar'!$G$16=SPECIAL_LBL)*(INC_SPECIALS="Y"))=0,"",'Dvd Calendar'!$G$14)))</f>
        <v/>
      </c>
      <c r="F12" s="110">
        <f>IF(EH12="","",IF(ISNUMBER('Dvd Calendar'!$H$14)=FALSE,"",IF((('Dvd Calendar'!$H$16=TYPE1)*(TYPE1&lt;&gt;"")+('Dvd Calendar'!$H$16=TYPE2)*(TYPE2&lt;&gt;"")+('Dvd Calendar'!$H$16=TYPE3)*(TYPE3&lt;&gt;"")+('Dvd Calendar'!$H$16=TYPE4)*(TYPE4&lt;&gt;"")+('Dvd Calendar'!$H$16=SPECIAL_LBL)*(INC_SPECIALS="Y"))=0,"",'Dvd Calendar'!$H$14)))</f>
        <v/>
      </c>
      <c r="G12" s="110">
        <f>IF(EI12="","",IF(ISNUMBER('Dvd Calendar'!$I$14)=FALSE,"",IF((('Dvd Calendar'!$I$16=TYPE1)*(TYPE1&lt;&gt;"")+('Dvd Calendar'!$I$16=TYPE2)*(TYPE2&lt;&gt;"")+('Dvd Calendar'!$I$16=TYPE3)*(TYPE3&lt;&gt;"")+('Dvd Calendar'!$I$16=TYPE4)*(TYPE4&lt;&gt;"")+('Dvd Calendar'!$I$16=SPECIAL_LBL)*(INC_SPECIALS="Y"))=0,"",'Dvd Calendar'!$I$14)))</f>
        <v/>
      </c>
      <c r="H12" s="110">
        <f>IF(EJ12="","",IF(ISNUMBER('Dvd Calendar'!$J$14)=FALSE,"",IF((('Dvd Calendar'!$J$16=TYPE1)*(TYPE1&lt;&gt;"")+('Dvd Calendar'!$J$16=TYPE2)*(TYPE2&lt;&gt;"")+('Dvd Calendar'!$J$16=TYPE3)*(TYPE3&lt;&gt;"")+('Dvd Calendar'!$J$16=TYPE4)*(TYPE4&lt;&gt;"")+('Dvd Calendar'!$J$16=SPECIAL_LBL)*(INC_SPECIALS="Y"))=0,"",'Dvd Calendar'!$J$14)))</f>
        <v/>
      </c>
      <c r="I12" s="110">
        <f>IF(EK12="","",IF(ISNUMBER('Dvd Calendar'!$K$14)=FALSE,"",IF((('Dvd Calendar'!$K$16=TYPE1)*(TYPE1&lt;&gt;"")+('Dvd Calendar'!$K$16=TYPE2)*(TYPE2&lt;&gt;"")+('Dvd Calendar'!$K$16=TYPE3)*(TYPE3&lt;&gt;"")+('Dvd Calendar'!$K$16=TYPE4)*(TYPE4&lt;&gt;"")+('Dvd Calendar'!$K$16=SPECIAL_LBL)*(INC_SPECIALS="Y"))=0,"",'Dvd Calendar'!$K$14)))</f>
        <v/>
      </c>
      <c r="J12" s="110">
        <f>IF(EL12="","",IF(ISNUMBER('Dvd Calendar'!$L$14)=FALSE,"",IF((('Dvd Calendar'!$L$16=TYPE1)*(TYPE1&lt;&gt;"")+('Dvd Calendar'!$L$16=TYPE2)*(TYPE2&lt;&gt;"")+('Dvd Calendar'!$L$16=TYPE3)*(TYPE3&lt;&gt;"")+('Dvd Calendar'!$L$16=TYPE4)*(TYPE4&lt;&gt;"")+('Dvd Calendar'!$L$16=SPECIAL_LBL)*(INC_SPECIALS="Y"))=0,"",'Dvd Calendar'!$L$14)))</f>
        <v/>
      </c>
      <c r="K12" s="110">
        <f>IF(EM12="","",IF(ISNUMBER('Dvd Calendar'!$M$14)=FALSE,"",IF((('Dvd Calendar'!$M$16=TYPE1)*(TYPE1&lt;&gt;"")+('Dvd Calendar'!$M$16=TYPE2)*(TYPE2&lt;&gt;"")+('Dvd Calendar'!$M$16=TYPE3)*(TYPE3&lt;&gt;"")+('Dvd Calendar'!$M$16=TYPE4)*(TYPE4&lt;&gt;"")+('Dvd Calendar'!$M$16=SPECIAL_LBL)*(INC_SPECIALS="Y"))=0,"",'Dvd Calendar'!$M$14)))</f>
        <v/>
      </c>
      <c r="L12" s="110">
        <f>IF(EN12="","",IF(ISNUMBER('Dvd Calendar'!$N$14)=FALSE,"",IF((('Dvd Calendar'!$N$16=TYPE1)*(TYPE1&lt;&gt;"")+('Dvd Calendar'!$N$16=TYPE2)*(TYPE2&lt;&gt;"")+('Dvd Calendar'!$N$16=TYPE3)*(TYPE3&lt;&gt;"")+('Dvd Calendar'!$N$16=TYPE4)*(TYPE4&lt;&gt;"")+('Dvd Calendar'!$N$16=SPECIAL_LBL)*(INC_SPECIALS="Y"))=0,"",'Dvd Calendar'!$N$14)))</f>
        <v/>
      </c>
      <c r="M12" s="110">
        <f>IF(EO12="","",IF(ISNUMBER('Dvd Calendar'!$O$14)=FALSE,"",IF((('Dvd Calendar'!$O$16=TYPE1)*(TYPE1&lt;&gt;"")+('Dvd Calendar'!$O$16=TYPE2)*(TYPE2&lt;&gt;"")+('Dvd Calendar'!$O$16=TYPE3)*(TYPE3&lt;&gt;"")+('Dvd Calendar'!$O$16=TYPE4)*(TYPE4&lt;&gt;"")+('Dvd Calendar'!$O$16=SPECIAL_LBL)*(INC_SPECIALS="Y"))=0,"",'Dvd Calendar'!$O$14)))</f>
        <v/>
      </c>
      <c r="N12" s="110">
        <f>IF(EP12="","",IF(ISNUMBER('Dvd Calendar'!$P$14)=FALSE,"",IF((('Dvd Calendar'!$P$16=TYPE1)*(TYPE1&lt;&gt;"")+('Dvd Calendar'!$P$16=TYPE2)*(TYPE2&lt;&gt;"")+('Dvd Calendar'!$P$16=TYPE3)*(TYPE3&lt;&gt;"")+('Dvd Calendar'!$P$16=TYPE4)*(TYPE4&lt;&gt;"")+('Dvd Calendar'!$P$16=SPECIAL_LBL)*(INC_SPECIALS="Y"))=0,"",'Dvd Calendar'!$P$14)))</f>
        <v/>
      </c>
      <c r="O12" s="110">
        <f>IF(EQ12="","",IF(ISNUMBER('Dvd Calendar'!$Q$14)=FALSE,"",IF((('Dvd Calendar'!$Q$16=TYPE1)*(TYPE1&lt;&gt;"")+('Dvd Calendar'!$Q$16=TYPE2)*(TYPE2&lt;&gt;"")+('Dvd Calendar'!$Q$16=TYPE3)*(TYPE3&lt;&gt;"")+('Dvd Calendar'!$Q$16=TYPE4)*(TYPE4&lt;&gt;"")+('Dvd Calendar'!$Q$16=SPECIAL_LBL)*(INC_SPECIALS="Y"))=0,"",'Dvd Calendar'!$Q$14)))</f>
        <v/>
      </c>
      <c r="P12" s="110">
        <f>IF(ER12="","",IF(ISNUMBER('Dvd Calendar'!$R$14)=FALSE,"",IF((('Dvd Calendar'!$R$16=TYPE1)*(TYPE1&lt;&gt;"")+('Dvd Calendar'!$R$16=TYPE2)*(TYPE2&lt;&gt;"")+('Dvd Calendar'!$R$16=TYPE3)*(TYPE3&lt;&gt;"")+('Dvd Calendar'!$R$16=TYPE4)*(TYPE4&lt;&gt;"")+('Dvd Calendar'!$R$16=SPECIAL_LBL)*(INC_SPECIALS="Y"))=0,"",'Dvd Calendar'!$R$14)))</f>
        <v/>
      </c>
      <c r="Q12" s="110">
        <f>IF(ES12="","",IF(ISNUMBER('Dvd Calendar'!$S$14)=FALSE,"",IF((('Dvd Calendar'!$S$16=TYPE1)*(TYPE1&lt;&gt;"")+('Dvd Calendar'!$S$16=TYPE2)*(TYPE2&lt;&gt;"")+('Dvd Calendar'!$S$16=TYPE3)*(TYPE3&lt;&gt;"")+('Dvd Calendar'!$S$16=TYPE4)*(TYPE4&lt;&gt;"")+('Dvd Calendar'!$S$16=SPECIAL_LBL)*(INC_SPECIALS="Y"))=0,"",'Dvd Calendar'!$S$14)))</f>
        <v/>
      </c>
      <c r="R12" s="110">
        <f>IF(ET12="","",IF(ISNUMBER('Dvd Calendar'!$T$14)=FALSE,"",IF((('Dvd Calendar'!$T$16=TYPE1)*(TYPE1&lt;&gt;"")+('Dvd Calendar'!$T$16=TYPE2)*(TYPE2&lt;&gt;"")+('Dvd Calendar'!$T$16=TYPE3)*(TYPE3&lt;&gt;"")+('Dvd Calendar'!$T$16=TYPE4)*(TYPE4&lt;&gt;"")+('Dvd Calendar'!$T$16=SPECIAL_LBL)*(INC_SPECIALS="Y"))=0,"",'Dvd Calendar'!$T$14)))</f>
        <v/>
      </c>
      <c r="S12" s="110">
        <f>IF(EU12="","",IF(ISNUMBER('Dvd Calendar'!$U$14)=FALSE,"",IF((('Dvd Calendar'!$U$16=TYPE1)*(TYPE1&lt;&gt;"")+('Dvd Calendar'!$U$16=TYPE2)*(TYPE2&lt;&gt;"")+('Dvd Calendar'!$U$16=TYPE3)*(TYPE3&lt;&gt;"")+('Dvd Calendar'!$U$16=TYPE4)*(TYPE4&lt;&gt;"")+('Dvd Calendar'!$U$16=SPECIAL_LBL)*(INC_SPECIALS="Y"))=0,"",'Dvd Calendar'!$U$14)))</f>
        <v/>
      </c>
      <c r="T12" s="110">
        <f>IF(EV12="","",IF(ISNUMBER('Dvd Calendar'!$V$14)=FALSE,"",IF((('Dvd Calendar'!$V$16=TYPE1)*(TYPE1&lt;&gt;"")+('Dvd Calendar'!$V$16=TYPE2)*(TYPE2&lt;&gt;"")+('Dvd Calendar'!$V$16=TYPE3)*(TYPE3&lt;&gt;"")+('Dvd Calendar'!$V$16=TYPE4)*(TYPE4&lt;&gt;"")+('Dvd Calendar'!$V$16=SPECIAL_LBL)*(INC_SPECIALS="Y"))=0,"",'Dvd Calendar'!$V$14)))</f>
        <v/>
      </c>
      <c r="U12" s="110">
        <f>IF(EW12="","",IF(ISNUMBER('Dvd Calendar'!$W$14)=FALSE,"",IF((('Dvd Calendar'!$W$16=TYPE1)*(TYPE1&lt;&gt;"")+('Dvd Calendar'!$W$16=TYPE2)*(TYPE2&lt;&gt;"")+('Dvd Calendar'!$W$16=TYPE3)*(TYPE3&lt;&gt;"")+('Dvd Calendar'!$W$16=TYPE4)*(TYPE4&lt;&gt;"")+('Dvd Calendar'!$W$16=SPECIAL_LBL)*(INC_SPECIALS="Y"))=0,"",'Dvd Calendar'!$W$14)))</f>
        <v/>
      </c>
      <c r="V12" s="110">
        <f>IF(EX12="","",IF(ISNUMBER('Dvd Calendar'!$X$14)=FALSE,"",IF((('Dvd Calendar'!$X$16=TYPE1)*(TYPE1&lt;&gt;"")+('Dvd Calendar'!$X$16=TYPE2)*(TYPE2&lt;&gt;"")+('Dvd Calendar'!$X$16=TYPE3)*(TYPE3&lt;&gt;"")+('Dvd Calendar'!$X$16=TYPE4)*(TYPE4&lt;&gt;"")+('Dvd Calendar'!$X$16=SPECIAL_LBL)*(INC_SPECIALS="Y"))=0,"",'Dvd Calendar'!$X$14)))</f>
        <v/>
      </c>
      <c r="W12" s="110">
        <f>IF(EY12="","",IF(ISNUMBER('Dvd Calendar'!$Y$14)=FALSE,"",IF((('Dvd Calendar'!$Y$16=TYPE1)*(TYPE1&lt;&gt;"")+('Dvd Calendar'!$Y$16=TYPE2)*(TYPE2&lt;&gt;"")+('Dvd Calendar'!$Y$16=TYPE3)*(TYPE3&lt;&gt;"")+('Dvd Calendar'!$Y$16=TYPE4)*(TYPE4&lt;&gt;"")+('Dvd Calendar'!$Y$16=SPECIAL_LBL)*(INC_SPECIALS="Y"))=0,"",'Dvd Calendar'!$Y$14)))</f>
        <v/>
      </c>
      <c r="X12" s="110">
        <f>IF(EZ12="","",IF(ISNUMBER('Dvd Calendar'!$Z$14)=FALSE,"",IF((('Dvd Calendar'!$Z$16=TYPE1)*(TYPE1&lt;&gt;"")+('Dvd Calendar'!$Z$16=TYPE2)*(TYPE2&lt;&gt;"")+('Dvd Calendar'!$Z$16=TYPE3)*(TYPE3&lt;&gt;"")+('Dvd Calendar'!$Z$16=TYPE4)*(TYPE4&lt;&gt;"")+('Dvd Calendar'!$Z$16=SPECIAL_LBL)*(INC_SPECIALS="Y"))=0,"",'Dvd Calendar'!$Z$14)))</f>
        <v/>
      </c>
      <c r="Y12" s="110">
        <f>IF(FA12="","",IF(ISNUMBER('Dvd Calendar'!$AA$14)=FALSE,"",IF((('Dvd Calendar'!$AA$16=TYPE1)*(TYPE1&lt;&gt;"")+('Dvd Calendar'!$AA$16=TYPE2)*(TYPE2&lt;&gt;"")+('Dvd Calendar'!$AA$16=TYPE3)*(TYPE3&lt;&gt;"")+('Dvd Calendar'!$AA$16=TYPE4)*(TYPE4&lt;&gt;"")+('Dvd Calendar'!$AA$16=SPECIAL_LBL)*(INC_SPECIALS="Y"))=0,"",'Dvd Calendar'!$AA$14)))</f>
        <v/>
      </c>
      <c r="Z12" s="110">
        <f>IF(FB12="","",IF(ISNUMBER('Dvd Calendar'!$AB$14)=FALSE,"",IF((('Dvd Calendar'!$AB$16=TYPE1)*(TYPE1&lt;&gt;"")+('Dvd Calendar'!$AB$16=TYPE2)*(TYPE2&lt;&gt;"")+('Dvd Calendar'!$AB$16=TYPE3)*(TYPE3&lt;&gt;"")+('Dvd Calendar'!$AB$16=TYPE4)*(TYPE4&lt;&gt;"")+('Dvd Calendar'!$AB$16=SPECIAL_LBL)*(INC_SPECIALS="Y"))=0,"",'Dvd Calendar'!$AB$14)))</f>
        <v/>
      </c>
      <c r="AA12" s="110">
        <f>IF(FC12="","",IF(ISNUMBER('Dvd Calendar'!$AC$14)=FALSE,"",IF((('Dvd Calendar'!$AC$16=TYPE1)*(TYPE1&lt;&gt;"")+('Dvd Calendar'!$AC$16=TYPE2)*(TYPE2&lt;&gt;"")+('Dvd Calendar'!$AC$16=TYPE3)*(TYPE3&lt;&gt;"")+('Dvd Calendar'!$AC$16=TYPE4)*(TYPE4&lt;&gt;"")+('Dvd Calendar'!$AC$16=SPECIAL_LBL)*(INC_SPECIALS="Y"))=0,"",'Dvd Calendar'!$AC$14)))</f>
        <v/>
      </c>
      <c r="AB12" s="110">
        <f>IF(FD12="","",IF(ISNUMBER('Dvd Calendar'!$AD$14)=FALSE,"",IF((('Dvd Calendar'!$AD$16=TYPE1)*(TYPE1&lt;&gt;"")+('Dvd Calendar'!$AD$16=TYPE2)*(TYPE2&lt;&gt;"")+('Dvd Calendar'!$AD$16=TYPE3)*(TYPE3&lt;&gt;"")+('Dvd Calendar'!$AD$16=TYPE4)*(TYPE4&lt;&gt;"")+('Dvd Calendar'!$AD$16=SPECIAL_LBL)*(INC_SPECIALS="Y"))=0,"",'Dvd Calendar'!$AD$14)))</f>
        <v/>
      </c>
      <c r="AC12" s="110">
        <f>IF(FE12="","",IF(ISNUMBER('Dvd Calendar'!$AE$14)=FALSE,"",IF((('Dvd Calendar'!$AE$16=TYPE1)*(TYPE1&lt;&gt;"")+('Dvd Calendar'!$AE$16=TYPE2)*(TYPE2&lt;&gt;"")+('Dvd Calendar'!$AE$16=TYPE3)*(TYPE3&lt;&gt;"")+('Dvd Calendar'!$AE$16=TYPE4)*(TYPE4&lt;&gt;"")+('Dvd Calendar'!$AE$16=SPECIAL_LBL)*(INC_SPECIALS="Y"))=0,"",'Dvd Calendar'!$AE$14)))</f>
        <v/>
      </c>
      <c r="AD12" s="110">
        <f>IF(FF12="","",IF(ISNUMBER('Dvd Calendar'!$AF$14)=FALSE,"",IF((('Dvd Calendar'!$AF$16=TYPE1)*(TYPE1&lt;&gt;"")+('Dvd Calendar'!$AF$16=TYPE2)*(TYPE2&lt;&gt;"")+('Dvd Calendar'!$AF$16=TYPE3)*(TYPE3&lt;&gt;"")+('Dvd Calendar'!$AF$16=TYPE4)*(TYPE4&lt;&gt;"")+('Dvd Calendar'!$AF$16=SPECIAL_LBL)*(INC_SPECIALS="Y"))=0,"",'Dvd Calendar'!$AF$14)))</f>
        <v/>
      </c>
      <c r="AE12" s="110">
        <f>IF(FG12="","",IF(ISNUMBER('Dvd Calendar'!$AG$14)=FALSE,"",IF((('Dvd Calendar'!$AG$16=TYPE1)*(TYPE1&lt;&gt;"")+('Dvd Calendar'!$AG$16=TYPE2)*(TYPE2&lt;&gt;"")+('Dvd Calendar'!$AG$16=TYPE3)*(TYPE3&lt;&gt;"")+('Dvd Calendar'!$AG$16=TYPE4)*(TYPE4&lt;&gt;"")+('Dvd Calendar'!$AG$16=SPECIAL_LBL)*(INC_SPECIALS="Y"))=0,"",'Dvd Calendar'!$AG$14)))</f>
        <v/>
      </c>
      <c r="AF12" s="110">
        <f>IF(FH12="","",IF(ISNUMBER('Dvd Calendar'!$AH$14)=FALSE,"",IF((('Dvd Calendar'!$AH$16=TYPE1)*(TYPE1&lt;&gt;"")+('Dvd Calendar'!$AH$16=TYPE2)*(TYPE2&lt;&gt;"")+('Dvd Calendar'!$AH$16=TYPE3)*(TYPE3&lt;&gt;"")+('Dvd Calendar'!$AH$16=TYPE4)*(TYPE4&lt;&gt;"")+('Dvd Calendar'!$AH$16=SPECIAL_LBL)*(INC_SPECIALS="Y"))=0,"",'Dvd Calendar'!$AH$14)))</f>
        <v/>
      </c>
      <c r="AG12" s="110">
        <f>IF(FI12="","",IF(ISNUMBER('Dvd Calendar'!$AI$14)=FALSE,"",IF((('Dvd Calendar'!$AI$16=TYPE1)*(TYPE1&lt;&gt;"")+('Dvd Calendar'!$AI$16=TYPE2)*(TYPE2&lt;&gt;"")+('Dvd Calendar'!$AI$16=TYPE3)*(TYPE3&lt;&gt;"")+('Dvd Calendar'!$AI$16=TYPE4)*(TYPE4&lt;&gt;"")+('Dvd Calendar'!$AI$16=SPECIAL_LBL)*(INC_SPECIALS="Y"))=0,"",'Dvd Calendar'!$AI$14)))</f>
        <v/>
      </c>
      <c r="AH12" s="110">
        <f>IF(FJ12="","",IF(ISNUMBER('Dvd Calendar'!$AJ$14)=FALSE,"",IF((('Dvd Calendar'!$AJ$16=TYPE1)*(TYPE1&lt;&gt;"")+('Dvd Calendar'!$AJ$16=TYPE2)*(TYPE2&lt;&gt;"")+('Dvd Calendar'!$AJ$16=TYPE3)*(TYPE3&lt;&gt;"")+('Dvd Calendar'!$AJ$16=TYPE4)*(TYPE4&lt;&gt;"")+('Dvd Calendar'!$AJ$16=SPECIAL_LBL)*(INC_SPECIALS="Y"))=0,"",'Dvd Calendar'!$AJ$14)))</f>
        <v/>
      </c>
      <c r="AI12" s="110">
        <f>IF(FK12="","",IF(ISNUMBER('Dvd Calendar'!$AK$14)=FALSE,"",IF((('Dvd Calendar'!$AK$16=TYPE1)*(TYPE1&lt;&gt;"")+('Dvd Calendar'!$AK$16=TYPE2)*(TYPE2&lt;&gt;"")+('Dvd Calendar'!$AK$16=TYPE3)*(TYPE3&lt;&gt;"")+('Dvd Calendar'!$AK$16=TYPE4)*(TYPE4&lt;&gt;"")+('Dvd Calendar'!$AK$16=SPECIAL_LBL)*(INC_SPECIALS="Y"))=0,"",'Dvd Calendar'!$AK$14)))</f>
        <v/>
      </c>
      <c r="AJ12" s="110">
        <f>IF(FL12="","",IF(ISNUMBER('Dvd Calendar'!$AL$14)=FALSE,"",IF((('Dvd Calendar'!$AL$16=TYPE1)*(TYPE1&lt;&gt;"")+('Dvd Calendar'!$AL$16=TYPE2)*(TYPE2&lt;&gt;"")+('Dvd Calendar'!$AL$16=TYPE3)*(TYPE3&lt;&gt;"")+('Dvd Calendar'!$AL$16=TYPE4)*(TYPE4&lt;&gt;"")+('Dvd Calendar'!$AL$16=SPECIAL_LBL)*(INC_SPECIALS="Y"))=0,"",'Dvd Calendar'!$AL$14)))</f>
        <v/>
      </c>
      <c r="AK12" s="110">
        <f>IF(FM12="","",IF(ISNUMBER('Dvd Calendar'!$AM$14)=FALSE,"",IF((('Dvd Calendar'!$AM$16=TYPE1)*(TYPE1&lt;&gt;"")+('Dvd Calendar'!$AM$16=TYPE2)*(TYPE2&lt;&gt;"")+('Dvd Calendar'!$AM$16=TYPE3)*(TYPE3&lt;&gt;"")+('Dvd Calendar'!$AM$16=TYPE4)*(TYPE4&lt;&gt;"")+('Dvd Calendar'!$AM$16=SPECIAL_LBL)*(INC_SPECIALS="Y"))=0,"",'Dvd Calendar'!$AM$14)))</f>
        <v/>
      </c>
      <c r="AL12" s="110">
        <f>IF(FN12="","",IF(ISNUMBER('Dvd Calendar'!$AN$14)=FALSE,"",IF((('Dvd Calendar'!$AN$16=TYPE1)*(TYPE1&lt;&gt;"")+('Dvd Calendar'!$AN$16=TYPE2)*(TYPE2&lt;&gt;"")+('Dvd Calendar'!$AN$16=TYPE3)*(TYPE3&lt;&gt;"")+('Dvd Calendar'!$AN$16=TYPE4)*(TYPE4&lt;&gt;"")+('Dvd Calendar'!$AN$16=SPECIAL_LBL)*(INC_SPECIALS="Y"))=0,"",'Dvd Calendar'!$AN$14)))</f>
        <v/>
      </c>
      <c r="AM12" s="110">
        <f>IF(FO12="","",IF(ISNUMBER('Dvd Calendar'!$AO$14)=FALSE,"",IF((('Dvd Calendar'!$AO$16=TYPE1)*(TYPE1&lt;&gt;"")+('Dvd Calendar'!$AO$16=TYPE2)*(TYPE2&lt;&gt;"")+('Dvd Calendar'!$AO$16=TYPE3)*(TYPE3&lt;&gt;"")+('Dvd Calendar'!$AO$16=TYPE4)*(TYPE4&lt;&gt;"")+('Dvd Calendar'!$AO$16=SPECIAL_LBL)*(INC_SPECIALS="Y"))=0,"",'Dvd Calendar'!$AO$14)))</f>
        <v/>
      </c>
      <c r="AN12" s="110">
        <f>IF(FP12="","",IF(ISNUMBER('Dvd Calendar'!$AP$14)=FALSE,"",IF((('Dvd Calendar'!$AP$16=TYPE1)*(TYPE1&lt;&gt;"")+('Dvd Calendar'!$AP$16=TYPE2)*(TYPE2&lt;&gt;"")+('Dvd Calendar'!$AP$16=TYPE3)*(TYPE3&lt;&gt;"")+('Dvd Calendar'!$AP$16=TYPE4)*(TYPE4&lt;&gt;"")+('Dvd Calendar'!$AP$16=SPECIAL_LBL)*(INC_SPECIALS="Y"))=0,"",'Dvd Calendar'!$AP$14)))</f>
        <v/>
      </c>
      <c r="AO12" s="110">
        <f>IF(FQ12="","",IF(ISNUMBER('Dvd Calendar'!$AQ$14)=FALSE,"",IF((('Dvd Calendar'!$AQ$16=TYPE1)*(TYPE1&lt;&gt;"")+('Dvd Calendar'!$AQ$16=TYPE2)*(TYPE2&lt;&gt;"")+('Dvd Calendar'!$AQ$16=TYPE3)*(TYPE3&lt;&gt;"")+('Dvd Calendar'!$AQ$16=TYPE4)*(TYPE4&lt;&gt;"")+('Dvd Calendar'!$AQ$16=SPECIAL_LBL)*(INC_SPECIALS="Y"))=0,"",'Dvd Calendar'!$AQ$14)))</f>
        <v/>
      </c>
      <c r="AP12" s="110">
        <f>IF(FR12="","",IF(ISNUMBER('Dvd Calendar'!$AR$14)=FALSE,"",IF((('Dvd Calendar'!$AR$16=TYPE1)*(TYPE1&lt;&gt;"")+('Dvd Calendar'!$AR$16=TYPE2)*(TYPE2&lt;&gt;"")+('Dvd Calendar'!$AR$16=TYPE3)*(TYPE3&lt;&gt;"")+('Dvd Calendar'!$AR$16=TYPE4)*(TYPE4&lt;&gt;"")+('Dvd Calendar'!$AR$16=SPECIAL_LBL)*(INC_SPECIALS="Y"))=0,"",'Dvd Calendar'!$AR$14)))</f>
        <v/>
      </c>
      <c r="AQ12" s="110">
        <f>IF(FS12="","",IF(ISNUMBER('Dvd Calendar'!$E$19)=FALSE,"",'Dvd Calendar'!$E$19))</f>
        <v/>
      </c>
      <c r="AR12" s="110">
        <f>IF(FT12="","",IF(ISNUMBER('Dvd Calendar'!$F$19)=FALSE,"",'Dvd Calendar'!$F$19))</f>
        <v/>
      </c>
      <c r="AS12" s="110">
        <f>IF(FU12="","",IF(ISNUMBER('Dvd Calendar'!$G$19)=FALSE,"",'Dvd Calendar'!$G$19))</f>
        <v/>
      </c>
      <c r="AT12" s="110">
        <f>IF(FV12="","",IF(ISNUMBER('Dvd Calendar'!$H$19)=FALSE,"",'Dvd Calendar'!$H$19))</f>
        <v/>
      </c>
      <c r="AU12" s="110">
        <f>IF(FW12="","",IF(ISNUMBER('Dvd Calendar'!$I$19)=FALSE,"",'Dvd Calendar'!$I$19))</f>
        <v/>
      </c>
      <c r="AV12" s="110">
        <f>IF(FX12="","",IF(ISNUMBER('Dvd Calendar'!$J$19)=FALSE,"",'Dvd Calendar'!$J$19))</f>
        <v/>
      </c>
      <c r="AW12" s="110">
        <f>IF(FY12="","",IF(ISNUMBER('Dvd Calendar'!$K$19)=FALSE,"",'Dvd Calendar'!$K$19))</f>
        <v/>
      </c>
      <c r="AX12" s="110">
        <f>IF(FZ12="","",IF(ISNUMBER('Dvd Calendar'!$L$19)=FALSE,"",'Dvd Calendar'!$L$19))</f>
        <v/>
      </c>
      <c r="AY12" s="110">
        <f>IF(GA12="","",IF(ISNUMBER('Dvd Calendar'!$M$19)=FALSE,"",'Dvd Calendar'!$M$19))</f>
        <v/>
      </c>
      <c r="AZ12" s="110">
        <f>IF(GB12="","",IF(ISNUMBER('Dvd Calendar'!$N$19)=FALSE,"",'Dvd Calendar'!$N$19))</f>
        <v/>
      </c>
      <c r="BA12" s="110">
        <f>IF(GC12="","",IF(ISNUMBER('Dvd Calendar'!$O$19)=FALSE,"",'Dvd Calendar'!$O$19))</f>
        <v/>
      </c>
      <c r="BB12" s="110">
        <f>IF(GD12="","",IF(ISNUMBER('Dvd Calendar'!$P$19)=FALSE,"",'Dvd Calendar'!$P$19))</f>
        <v/>
      </c>
      <c r="BC12" s="110">
        <f>IF(GE12="","",IF(ISNUMBER('Dvd Calendar'!$Q$19)=FALSE,"",'Dvd Calendar'!$Q$19))</f>
        <v/>
      </c>
      <c r="BD12" s="110">
        <f>IF(GF12="","",IF(ISNUMBER('Dvd Calendar'!$R$19)=FALSE,"",'Dvd Calendar'!$R$19))</f>
        <v/>
      </c>
      <c r="BE12" s="110">
        <f>IF(GG12="","",IF(ISNUMBER('Dvd Calendar'!$S$19)=FALSE,"",'Dvd Calendar'!$S$19))</f>
        <v/>
      </c>
      <c r="BF12" s="110">
        <f>IF(GH12="","",IF(ISNUMBER('Dvd Calendar'!$T$19)=FALSE,"",'Dvd Calendar'!$T$19))</f>
        <v/>
      </c>
      <c r="BG12" s="110">
        <f>IF(GI12="","",IF(ISNUMBER('Dvd Calendar'!$U$19)=FALSE,"",'Dvd Calendar'!$U$19))</f>
        <v/>
      </c>
      <c r="BH12" s="110">
        <f>IF(GJ12="","",IF(ISNUMBER('Dvd Calendar'!$V$19)=FALSE,"",'Dvd Calendar'!$V$19))</f>
        <v/>
      </c>
      <c r="BI12" s="110">
        <f>IF(GK12="","",IF(ISNUMBER('Dvd Calendar'!$W$19)=FALSE,"",'Dvd Calendar'!$W$19))</f>
        <v/>
      </c>
      <c r="BJ12" s="110">
        <f>IF(GL12="","",IF(ISNUMBER('Dvd Calendar'!$X$19)=FALSE,"",'Dvd Calendar'!$X$19))</f>
        <v/>
      </c>
      <c r="BK12" s="110">
        <f>IF(GM12="","",IF(ISNUMBER('Dvd Calendar'!$Y$19)=FALSE,"",'Dvd Calendar'!$Y$19))</f>
        <v/>
      </c>
      <c r="BL12" s="110">
        <f>IF(GN12="","",IF(ISNUMBER('Dvd Calendar'!$Z$19)=FALSE,"",'Dvd Calendar'!$Z$19))</f>
        <v/>
      </c>
      <c r="BM12" s="110">
        <f>IF(GO12="","",IF(ISNUMBER('Dvd Calendar'!$AA$19)=FALSE,"",'Dvd Calendar'!$AA$19))</f>
        <v/>
      </c>
      <c r="BN12" s="110">
        <f>IF(GP12="","",IF(ISNUMBER('Dvd Calendar'!$AB$19)=FALSE,"",'Dvd Calendar'!$AB$19))</f>
        <v/>
      </c>
      <c r="BO12" s="110">
        <f>IF(GQ12="","",IF(ISNUMBER('Dvd Calendar'!$AC$19)=FALSE,"",'Dvd Calendar'!$AC$19))</f>
        <v/>
      </c>
      <c r="BQ12" s="110">
        <f>IF(C12="","",IFERROR(C12*HSI!$B$7*HSI!$G$7/HSI!$B$3,""))</f>
        <v/>
      </c>
      <c r="BR12" s="110">
        <f>IF(D12="","",IFERROR(D12*HSI!$B$7*HSI!$G$7/HSI!$B$3,""))</f>
        <v/>
      </c>
      <c r="BS12" s="110">
        <f>IF(E12="","",IFERROR(E12*HSI!$B$7*HSI!$G$7/HSI!$B$3,""))</f>
        <v/>
      </c>
      <c r="BT12" s="110">
        <f>IF(F12="","",IFERROR(F12*HSI!$B$7*HSI!$G$7/HSI!$B$3,""))</f>
        <v/>
      </c>
      <c r="BU12" s="110">
        <f>IF(G12="","",IFERROR(G12*HSI!$B$7*HSI!$G$7/HSI!$B$3,""))</f>
        <v/>
      </c>
      <c r="BV12" s="110">
        <f>IF(H12="","",IFERROR(H12*HSI!$B$7*HSI!$G$7/HSI!$B$3,""))</f>
        <v/>
      </c>
      <c r="BW12" s="110">
        <f>IF(I12="","",IFERROR(I12*HSI!$B$7*HSI!$G$7/HSI!$B$3,""))</f>
        <v/>
      </c>
      <c r="BX12" s="110">
        <f>IF(J12="","",IFERROR(J12*HSI!$B$7*HSI!$G$7/HSI!$B$3,""))</f>
        <v/>
      </c>
      <c r="BY12" s="110">
        <f>IF(K12="","",IFERROR(K12*HSI!$B$7*HSI!$G$7/HSI!$B$3,""))</f>
        <v/>
      </c>
      <c r="BZ12" s="110">
        <f>IF(L12="","",IFERROR(L12*HSI!$B$7*HSI!$G$7/HSI!$B$3,""))</f>
        <v/>
      </c>
      <c r="CA12" s="110">
        <f>IF(M12="","",IFERROR(M12*HSI!$B$7*HSI!$G$7/HSI!$B$3,""))</f>
        <v/>
      </c>
      <c r="CB12" s="110">
        <f>IF(N12="","",IFERROR(N12*HSI!$B$7*HSI!$G$7/HSI!$B$3,""))</f>
        <v/>
      </c>
      <c r="CC12" s="110">
        <f>IF(O12="","",IFERROR(O12*HSI!$B$7*HSI!$G$7/HSI!$B$3,""))</f>
        <v/>
      </c>
      <c r="CD12" s="110">
        <f>IF(P12="","",IFERROR(P12*HSI!$B$7*HSI!$G$7/HSI!$B$3,""))</f>
        <v/>
      </c>
      <c r="CE12" s="110">
        <f>IF(Q12="","",IFERROR(Q12*HSI!$B$7*HSI!$G$7/HSI!$B$3,""))</f>
        <v/>
      </c>
      <c r="CF12" s="110">
        <f>IF(R12="","",IFERROR(R12*HSI!$B$7*HSI!$G$7/HSI!$B$3,""))</f>
        <v/>
      </c>
      <c r="CG12" s="110">
        <f>IF(S12="","",IFERROR(S12*HSI!$B$7*HSI!$G$7/HSI!$B$3,""))</f>
        <v/>
      </c>
      <c r="CH12" s="110">
        <f>IF(T12="","",IFERROR(T12*HSI!$B$7*HSI!$G$7/HSI!$B$3,""))</f>
        <v/>
      </c>
      <c r="CI12" s="110">
        <f>IF(U12="","",IFERROR(U12*HSI!$B$7*HSI!$G$7/HSI!$B$3,""))</f>
        <v/>
      </c>
      <c r="CJ12" s="110">
        <f>IF(V12="","",IFERROR(V12*HSI!$B$7*HSI!$G$7/HSI!$B$3,""))</f>
        <v/>
      </c>
      <c r="CK12" s="110">
        <f>IF(W12="","",IFERROR(W12*HSI!$B$7*HSI!$G$7/HSI!$B$3,""))</f>
        <v/>
      </c>
      <c r="CL12" s="110">
        <f>IF(X12="","",IFERROR(X12*HSI!$B$7*HSI!$G$7/HSI!$B$3,""))</f>
        <v/>
      </c>
      <c r="CM12" s="110">
        <f>IF(Y12="","",IFERROR(Y12*HSI!$B$7*HSI!$G$7/HSI!$B$3,""))</f>
        <v/>
      </c>
      <c r="CN12" s="110">
        <f>IF(Z12="","",IFERROR(Z12*HSI!$B$7*HSI!$G$7/HSI!$B$3,""))</f>
        <v/>
      </c>
      <c r="CO12" s="110">
        <f>IF(AA12="","",IFERROR(AA12*HSI!$B$7*HSI!$G$7/HSI!$B$3,""))</f>
        <v/>
      </c>
      <c r="CP12" s="110">
        <f>IF(AB12="","",IFERROR(AB12*HSI!$B$7*HSI!$G$7/HSI!$B$3,""))</f>
        <v/>
      </c>
      <c r="CQ12" s="110">
        <f>IF(AC12="","",IFERROR(AC12*HSI!$B$7*HSI!$G$7/HSI!$B$3,""))</f>
        <v/>
      </c>
      <c r="CR12" s="110">
        <f>IF(AD12="","",IFERROR(AD12*HSI!$B$7*HSI!$G$7/HSI!$B$3,""))</f>
        <v/>
      </c>
      <c r="CS12" s="110">
        <f>IF(AE12="","",IFERROR(AE12*HSI!$B$7*HSI!$G$7/HSI!$B$3,""))</f>
        <v/>
      </c>
      <c r="CT12" s="110">
        <f>IF(AF12="","",IFERROR(AF12*HSI!$B$7*HSI!$G$7/HSI!$B$3,""))</f>
        <v/>
      </c>
      <c r="CU12" s="110">
        <f>IF(AG12="","",IFERROR(AG12*HSI!$B$7*HSI!$G$7/HSI!$B$3,""))</f>
        <v/>
      </c>
      <c r="CV12" s="110">
        <f>IF(AH12="","",IFERROR(AH12*HSI!$B$7*HSI!$G$7/HSI!$B$3,""))</f>
        <v/>
      </c>
      <c r="CW12" s="110">
        <f>IF(AI12="","",IFERROR(AI12*HSI!$B$7*HSI!$G$7/HSI!$B$3,""))</f>
        <v/>
      </c>
      <c r="CX12" s="110">
        <f>IF(AJ12="","",IFERROR(AJ12*HSI!$B$7*HSI!$G$7/HSI!$B$3,""))</f>
        <v/>
      </c>
      <c r="CY12" s="110">
        <f>IF(AK12="","",IFERROR(AK12*HSI!$B$7*HSI!$G$7/HSI!$B$3,""))</f>
        <v/>
      </c>
      <c r="CZ12" s="110">
        <f>IF(AL12="","",IFERROR(AL12*HSI!$B$7*HSI!$G$7/HSI!$B$3,""))</f>
        <v/>
      </c>
      <c r="DA12" s="110">
        <f>IF(AM12="","",IFERROR(AM12*HSI!$B$7*HSI!$G$7/HSI!$B$3,""))</f>
        <v/>
      </c>
      <c r="DB12" s="110">
        <f>IF(AN12="","",IFERROR(AN12*HSI!$B$7*HSI!$G$7/HSI!$B$3,""))</f>
        <v/>
      </c>
      <c r="DC12" s="110">
        <f>IF(AO12="","",IFERROR(AO12*HSI!$B$7*HSI!$G$7/HSI!$B$3,""))</f>
        <v/>
      </c>
      <c r="DD12" s="110">
        <f>IF(AP12="","",IFERROR(AP12*HSI!$B$7*HSI!$G$7/HSI!$B$3,""))</f>
        <v/>
      </c>
      <c r="DE12" s="110">
        <f>IF(AQ12="","",IFERROR(AQ12*HSI!$B$7*HSI!$G$7/HSI!$B$3,""))</f>
        <v/>
      </c>
      <c r="DF12" s="110">
        <f>IF(AR12="","",IFERROR(AR12*HSI!$B$7*HSI!$G$7/HSI!$B$3,""))</f>
        <v/>
      </c>
      <c r="DG12" s="110">
        <f>IF(AS12="","",IFERROR(AS12*HSI!$B$7*HSI!$G$7/HSI!$B$3,""))</f>
        <v/>
      </c>
      <c r="DH12" s="110">
        <f>IF(AT12="","",IFERROR(AT12*HSI!$B$7*HSI!$G$7/HSI!$B$3,""))</f>
        <v/>
      </c>
      <c r="DI12" s="110">
        <f>IF(AU12="","",IFERROR(AU12*HSI!$B$7*HSI!$G$7/HSI!$B$3,""))</f>
        <v/>
      </c>
      <c r="DJ12" s="110">
        <f>IF(AV12="","",IFERROR(AV12*HSI!$B$7*HSI!$G$7/HSI!$B$3,""))</f>
        <v/>
      </c>
      <c r="DK12" s="110">
        <f>IF(AW12="","",IFERROR(AW12*HSI!$B$7*HSI!$G$7/HSI!$B$3,""))</f>
        <v/>
      </c>
      <c r="DL12" s="110">
        <f>IF(AX12="","",IFERROR(AX12*HSI!$B$7*HSI!$G$7/HSI!$B$3,""))</f>
        <v/>
      </c>
      <c r="DM12" s="110">
        <f>IF(AY12="","",IFERROR(AY12*HSI!$B$7*HSI!$G$7/HSI!$B$3,""))</f>
        <v/>
      </c>
      <c r="DN12" s="110">
        <f>IF(AZ12="","",IFERROR(AZ12*HSI!$B$7*HSI!$G$7/HSI!$B$3,""))</f>
        <v/>
      </c>
      <c r="DO12" s="110">
        <f>IF(BA12="","",IFERROR(BA12*HSI!$B$7*HSI!$G$7/HSI!$B$3,""))</f>
        <v/>
      </c>
      <c r="DP12" s="110">
        <f>IF(BB12="","",IFERROR(BB12*HSI!$B$7*HSI!$G$7/HSI!$B$3,""))</f>
        <v/>
      </c>
      <c r="DQ12" s="110">
        <f>IF(BC12="","",IFERROR(BC12*HSI!$B$7*HSI!$G$7/HSI!$B$3,""))</f>
        <v/>
      </c>
      <c r="DR12" s="110">
        <f>IF(BD12="","",IFERROR(BD12*HSI!$B$7*HSI!$G$7/HSI!$B$3,""))</f>
        <v/>
      </c>
      <c r="DS12" s="110">
        <f>IF(BE12="","",IFERROR(BE12*HSI!$B$7*HSI!$G$7/HSI!$B$3,""))</f>
        <v/>
      </c>
      <c r="DT12" s="110">
        <f>IF(BF12="","",IFERROR(BF12*HSI!$B$7*HSI!$G$7/HSI!$B$3,""))</f>
        <v/>
      </c>
      <c r="DU12" s="110">
        <f>IF(BG12="","",IFERROR(BG12*HSI!$B$7*HSI!$G$7/HSI!$B$3,""))</f>
        <v/>
      </c>
      <c r="DV12" s="110">
        <f>IF(BH12="","",IFERROR(BH12*HSI!$B$7*HSI!$G$7/HSI!$B$3,""))</f>
        <v/>
      </c>
      <c r="DW12" s="110">
        <f>IF(BI12="","",IFERROR(BI12*HSI!$B$7*HSI!$G$7/HSI!$B$3,""))</f>
        <v/>
      </c>
      <c r="DX12" s="110">
        <f>IF(BJ12="","",IFERROR(BJ12*HSI!$B$7*HSI!$G$7/HSI!$B$3,""))</f>
        <v/>
      </c>
      <c r="DY12" s="110">
        <f>IF(BK12="","",IFERROR(BK12*HSI!$B$7*HSI!$G$7/HSI!$B$3,""))</f>
        <v/>
      </c>
      <c r="DZ12" s="110">
        <f>IF(BL12="","",IFERROR(BL12*HSI!$B$7*HSI!$G$7/HSI!$B$3,""))</f>
        <v/>
      </c>
      <c r="EA12" s="110">
        <f>IF(BM12="","",IFERROR(BM12*HSI!$B$7*HSI!$G$7/HSI!$B$3,""))</f>
        <v/>
      </c>
      <c r="EB12" s="110">
        <f>IF(BN12="","",IFERROR(BN12*HSI!$B$7*HSI!$G$7/HSI!$B$3,""))</f>
        <v/>
      </c>
      <c r="EC12" s="110">
        <f>IF(BO12="","",IFERROR(BO12*HSI!$B$7*HSI!$G$7/HSI!$B$3,""))</f>
        <v/>
      </c>
      <c r="EE12" s="39">
        <f>IF(N('Dvd Calendar'!$E$11)=0,"",IF(('Dvd Calendar'!$E$11&gt;=GRID_FROM)*('Dvd Calendar'!$E$11&lt;=GRID_TO)*((('Dvd Calendar'!$E$11&lt;=VAL_DATE)+(COUNTIF('Dvd Calendar'!$E$18:$AR$18,'Dvd Calendar'!$E$11)=0))&gt;0)=0,"",'Dvd Calendar'!$E$11*1000000000+ISNUMBER('Dvd Calendar'!$E$14)*100000000+('Dvd Calendar'!$E$16=SPECIAL_LBL)*10000000+(N('Dvd Calendar'!$E$10)&gt;0)*(N('Dvd Calendar'!$E$10)&lt;=VAL_SERIAL)*1000000+1*1000+1))</f>
        <v/>
      </c>
      <c r="EF12" s="39">
        <f>IF(N('Dvd Calendar'!$F$11)=0,"",IF(('Dvd Calendar'!$F$11&gt;=GRID_FROM)*('Dvd Calendar'!$F$11&lt;=GRID_TO)*((('Dvd Calendar'!$F$11&lt;=VAL_DATE)+(COUNTIF('Dvd Calendar'!$E$18:$AR$18,'Dvd Calendar'!$F$11)=0))&gt;0)=0,"",'Dvd Calendar'!$F$11*1000000000+ISNUMBER('Dvd Calendar'!$F$14)*100000000+('Dvd Calendar'!$F$16=SPECIAL_LBL)*10000000+(N('Dvd Calendar'!$F$10)&gt;0)*(N('Dvd Calendar'!$F$10)&lt;=VAL_SERIAL)*1000000+1*1000+2))</f>
        <v/>
      </c>
      <c r="EG12" s="39">
        <f>IF(N('Dvd Calendar'!$G$11)=0,"",IF(('Dvd Calendar'!$G$11&gt;=GRID_FROM)*('Dvd Calendar'!$G$11&lt;=GRID_TO)*((('Dvd Calendar'!$G$11&lt;=VAL_DATE)+(COUNTIF('Dvd Calendar'!$E$18:$AR$18,'Dvd Calendar'!$G$11)=0))&gt;0)=0,"",'Dvd Calendar'!$G$11*1000000000+ISNUMBER('Dvd Calendar'!$G$14)*100000000+('Dvd Calendar'!$G$16=SPECIAL_LBL)*10000000+(N('Dvd Calendar'!$G$10)&gt;0)*(N('Dvd Calendar'!$G$10)&lt;=VAL_SERIAL)*1000000+1*1000+3))</f>
        <v/>
      </c>
      <c r="EH12" s="39">
        <f>IF(N('Dvd Calendar'!$H$11)=0,"",IF(('Dvd Calendar'!$H$11&gt;=GRID_FROM)*('Dvd Calendar'!$H$11&lt;=GRID_TO)*((('Dvd Calendar'!$H$11&lt;=VAL_DATE)+(COUNTIF('Dvd Calendar'!$E$18:$AR$18,'Dvd Calendar'!$H$11)=0))&gt;0)=0,"",'Dvd Calendar'!$H$11*1000000000+ISNUMBER('Dvd Calendar'!$H$14)*100000000+('Dvd Calendar'!$H$16=SPECIAL_LBL)*10000000+(N('Dvd Calendar'!$H$10)&gt;0)*(N('Dvd Calendar'!$H$10)&lt;=VAL_SERIAL)*1000000+1*1000+4))</f>
        <v/>
      </c>
      <c r="EI12" s="39">
        <f>IF(N('Dvd Calendar'!$I$11)=0,"",IF(('Dvd Calendar'!$I$11&gt;=GRID_FROM)*('Dvd Calendar'!$I$11&lt;=GRID_TO)*((('Dvd Calendar'!$I$11&lt;=VAL_DATE)+(COUNTIF('Dvd Calendar'!$E$18:$AR$18,'Dvd Calendar'!$I$11)=0))&gt;0)=0,"",'Dvd Calendar'!$I$11*1000000000+ISNUMBER('Dvd Calendar'!$I$14)*100000000+('Dvd Calendar'!$I$16=SPECIAL_LBL)*10000000+(N('Dvd Calendar'!$I$10)&gt;0)*(N('Dvd Calendar'!$I$10)&lt;=VAL_SERIAL)*1000000+1*1000+5))</f>
        <v/>
      </c>
      <c r="EJ12" s="39">
        <f>IF(N('Dvd Calendar'!$J$11)=0,"",IF(('Dvd Calendar'!$J$11&gt;=GRID_FROM)*('Dvd Calendar'!$J$11&lt;=GRID_TO)*((('Dvd Calendar'!$J$11&lt;=VAL_DATE)+(COUNTIF('Dvd Calendar'!$E$18:$AR$18,'Dvd Calendar'!$J$11)=0))&gt;0)=0,"",'Dvd Calendar'!$J$11*1000000000+ISNUMBER('Dvd Calendar'!$J$14)*100000000+('Dvd Calendar'!$J$16=SPECIAL_LBL)*10000000+(N('Dvd Calendar'!$J$10)&gt;0)*(N('Dvd Calendar'!$J$10)&lt;=VAL_SERIAL)*1000000+1*1000+6))</f>
        <v/>
      </c>
      <c r="EK12" s="39">
        <f>IF(N('Dvd Calendar'!$K$11)=0,"",IF(('Dvd Calendar'!$K$11&gt;=GRID_FROM)*('Dvd Calendar'!$K$11&lt;=GRID_TO)*((('Dvd Calendar'!$K$11&lt;=VAL_DATE)+(COUNTIF('Dvd Calendar'!$E$18:$AR$18,'Dvd Calendar'!$K$11)=0))&gt;0)=0,"",'Dvd Calendar'!$K$11*1000000000+ISNUMBER('Dvd Calendar'!$K$14)*100000000+('Dvd Calendar'!$K$16=SPECIAL_LBL)*10000000+(N('Dvd Calendar'!$K$10)&gt;0)*(N('Dvd Calendar'!$K$10)&lt;=VAL_SERIAL)*1000000+1*1000+7))</f>
        <v/>
      </c>
      <c r="EL12" s="39">
        <f>IF(N('Dvd Calendar'!$L$11)=0,"",IF(('Dvd Calendar'!$L$11&gt;=GRID_FROM)*('Dvd Calendar'!$L$11&lt;=GRID_TO)*((('Dvd Calendar'!$L$11&lt;=VAL_DATE)+(COUNTIF('Dvd Calendar'!$E$18:$AR$18,'Dvd Calendar'!$L$11)=0))&gt;0)=0,"",'Dvd Calendar'!$L$11*1000000000+ISNUMBER('Dvd Calendar'!$L$14)*100000000+('Dvd Calendar'!$L$16=SPECIAL_LBL)*10000000+(N('Dvd Calendar'!$L$10)&gt;0)*(N('Dvd Calendar'!$L$10)&lt;=VAL_SERIAL)*1000000+1*1000+8))</f>
        <v/>
      </c>
      <c r="EM12" s="39">
        <f>IF(N('Dvd Calendar'!$M$11)=0,"",IF(('Dvd Calendar'!$M$11&gt;=GRID_FROM)*('Dvd Calendar'!$M$11&lt;=GRID_TO)*((('Dvd Calendar'!$M$11&lt;=VAL_DATE)+(COUNTIF('Dvd Calendar'!$E$18:$AR$18,'Dvd Calendar'!$M$11)=0))&gt;0)=0,"",'Dvd Calendar'!$M$11*1000000000+ISNUMBER('Dvd Calendar'!$M$14)*100000000+('Dvd Calendar'!$M$16=SPECIAL_LBL)*10000000+(N('Dvd Calendar'!$M$10)&gt;0)*(N('Dvd Calendar'!$M$10)&lt;=VAL_SERIAL)*1000000+1*1000+9))</f>
        <v/>
      </c>
      <c r="EN12" s="39">
        <f>IF(N('Dvd Calendar'!$N$11)=0,"",IF(('Dvd Calendar'!$N$11&gt;=GRID_FROM)*('Dvd Calendar'!$N$11&lt;=GRID_TO)*((('Dvd Calendar'!$N$11&lt;=VAL_DATE)+(COUNTIF('Dvd Calendar'!$E$18:$AR$18,'Dvd Calendar'!$N$11)=0))&gt;0)=0,"",'Dvd Calendar'!$N$11*1000000000+ISNUMBER('Dvd Calendar'!$N$14)*100000000+('Dvd Calendar'!$N$16=SPECIAL_LBL)*10000000+(N('Dvd Calendar'!$N$10)&gt;0)*(N('Dvd Calendar'!$N$10)&lt;=VAL_SERIAL)*1000000+1*1000+10))</f>
        <v/>
      </c>
      <c r="EO12" s="39">
        <f>IF(N('Dvd Calendar'!$O$11)=0,"",IF(('Dvd Calendar'!$O$11&gt;=GRID_FROM)*('Dvd Calendar'!$O$11&lt;=GRID_TO)*((('Dvd Calendar'!$O$11&lt;=VAL_DATE)+(COUNTIF('Dvd Calendar'!$E$18:$AR$18,'Dvd Calendar'!$O$11)=0))&gt;0)=0,"",'Dvd Calendar'!$O$11*1000000000+ISNUMBER('Dvd Calendar'!$O$14)*100000000+('Dvd Calendar'!$O$16=SPECIAL_LBL)*10000000+(N('Dvd Calendar'!$O$10)&gt;0)*(N('Dvd Calendar'!$O$10)&lt;=VAL_SERIAL)*1000000+1*1000+11))</f>
        <v/>
      </c>
      <c r="EP12" s="39">
        <f>IF(N('Dvd Calendar'!$P$11)=0,"",IF(('Dvd Calendar'!$P$11&gt;=GRID_FROM)*('Dvd Calendar'!$P$11&lt;=GRID_TO)*((('Dvd Calendar'!$P$11&lt;=VAL_DATE)+(COUNTIF('Dvd Calendar'!$E$18:$AR$18,'Dvd Calendar'!$P$11)=0))&gt;0)=0,"",'Dvd Calendar'!$P$11*1000000000+ISNUMBER('Dvd Calendar'!$P$14)*100000000+('Dvd Calendar'!$P$16=SPECIAL_LBL)*10000000+(N('Dvd Calendar'!$P$10)&gt;0)*(N('Dvd Calendar'!$P$10)&lt;=VAL_SERIAL)*1000000+1*1000+12))</f>
        <v/>
      </c>
      <c r="EQ12" s="39">
        <f>IF(N('Dvd Calendar'!$Q$11)=0,"",IF(('Dvd Calendar'!$Q$11&gt;=GRID_FROM)*('Dvd Calendar'!$Q$11&lt;=GRID_TO)*((('Dvd Calendar'!$Q$11&lt;=VAL_DATE)+(COUNTIF('Dvd Calendar'!$E$18:$AR$18,'Dvd Calendar'!$Q$11)=0))&gt;0)=0,"",'Dvd Calendar'!$Q$11*1000000000+ISNUMBER('Dvd Calendar'!$Q$14)*100000000+('Dvd Calendar'!$Q$16=SPECIAL_LBL)*10000000+(N('Dvd Calendar'!$Q$10)&gt;0)*(N('Dvd Calendar'!$Q$10)&lt;=VAL_SERIAL)*1000000+1*1000+13))</f>
        <v/>
      </c>
      <c r="ER12" s="39">
        <f>IF(N('Dvd Calendar'!$R$11)=0,"",IF(('Dvd Calendar'!$R$11&gt;=GRID_FROM)*('Dvd Calendar'!$R$11&lt;=GRID_TO)*((('Dvd Calendar'!$R$11&lt;=VAL_DATE)+(COUNTIF('Dvd Calendar'!$E$18:$AR$18,'Dvd Calendar'!$R$11)=0))&gt;0)=0,"",'Dvd Calendar'!$R$11*1000000000+ISNUMBER('Dvd Calendar'!$R$14)*100000000+('Dvd Calendar'!$R$16=SPECIAL_LBL)*10000000+(N('Dvd Calendar'!$R$10)&gt;0)*(N('Dvd Calendar'!$R$10)&lt;=VAL_SERIAL)*1000000+1*1000+14))</f>
        <v/>
      </c>
      <c r="ES12" s="39">
        <f>IF(N('Dvd Calendar'!$S$11)=0,"",IF(('Dvd Calendar'!$S$11&gt;=GRID_FROM)*('Dvd Calendar'!$S$11&lt;=GRID_TO)*((('Dvd Calendar'!$S$11&lt;=VAL_DATE)+(COUNTIF('Dvd Calendar'!$E$18:$AR$18,'Dvd Calendar'!$S$11)=0))&gt;0)=0,"",'Dvd Calendar'!$S$11*1000000000+ISNUMBER('Dvd Calendar'!$S$14)*100000000+('Dvd Calendar'!$S$16=SPECIAL_LBL)*10000000+(N('Dvd Calendar'!$S$10)&gt;0)*(N('Dvd Calendar'!$S$10)&lt;=VAL_SERIAL)*1000000+1*1000+15))</f>
        <v/>
      </c>
      <c r="ET12" s="39">
        <f>IF(N('Dvd Calendar'!$T$11)=0,"",IF(('Dvd Calendar'!$T$11&gt;=GRID_FROM)*('Dvd Calendar'!$T$11&lt;=GRID_TO)*((('Dvd Calendar'!$T$11&lt;=VAL_DATE)+(COUNTIF('Dvd Calendar'!$E$18:$AR$18,'Dvd Calendar'!$T$11)=0))&gt;0)=0,"",'Dvd Calendar'!$T$11*1000000000+ISNUMBER('Dvd Calendar'!$T$14)*100000000+('Dvd Calendar'!$T$16=SPECIAL_LBL)*10000000+(N('Dvd Calendar'!$T$10)&gt;0)*(N('Dvd Calendar'!$T$10)&lt;=VAL_SERIAL)*1000000+1*1000+16))</f>
        <v/>
      </c>
      <c r="EU12" s="39">
        <f>IF(N('Dvd Calendar'!$U$11)=0,"",IF(('Dvd Calendar'!$U$11&gt;=GRID_FROM)*('Dvd Calendar'!$U$11&lt;=GRID_TO)*((('Dvd Calendar'!$U$11&lt;=VAL_DATE)+(COUNTIF('Dvd Calendar'!$E$18:$AR$18,'Dvd Calendar'!$U$11)=0))&gt;0)=0,"",'Dvd Calendar'!$U$11*1000000000+ISNUMBER('Dvd Calendar'!$U$14)*100000000+('Dvd Calendar'!$U$16=SPECIAL_LBL)*10000000+(N('Dvd Calendar'!$U$10)&gt;0)*(N('Dvd Calendar'!$U$10)&lt;=VAL_SERIAL)*1000000+1*1000+17))</f>
        <v/>
      </c>
      <c r="EV12" s="39">
        <f>IF(N('Dvd Calendar'!$V$11)=0,"",IF(('Dvd Calendar'!$V$11&gt;=GRID_FROM)*('Dvd Calendar'!$V$11&lt;=GRID_TO)*((('Dvd Calendar'!$V$11&lt;=VAL_DATE)+(COUNTIF('Dvd Calendar'!$E$18:$AR$18,'Dvd Calendar'!$V$11)=0))&gt;0)=0,"",'Dvd Calendar'!$V$11*1000000000+ISNUMBER('Dvd Calendar'!$V$14)*100000000+('Dvd Calendar'!$V$16=SPECIAL_LBL)*10000000+(N('Dvd Calendar'!$V$10)&gt;0)*(N('Dvd Calendar'!$V$10)&lt;=VAL_SERIAL)*1000000+1*1000+18))</f>
        <v/>
      </c>
      <c r="EW12" s="39">
        <f>IF(N('Dvd Calendar'!$W$11)=0,"",IF(('Dvd Calendar'!$W$11&gt;=GRID_FROM)*('Dvd Calendar'!$W$11&lt;=GRID_TO)*((('Dvd Calendar'!$W$11&lt;=VAL_DATE)+(COUNTIF('Dvd Calendar'!$E$18:$AR$18,'Dvd Calendar'!$W$11)=0))&gt;0)=0,"",'Dvd Calendar'!$W$11*1000000000+ISNUMBER('Dvd Calendar'!$W$14)*100000000+('Dvd Calendar'!$W$16=SPECIAL_LBL)*10000000+(N('Dvd Calendar'!$W$10)&gt;0)*(N('Dvd Calendar'!$W$10)&lt;=VAL_SERIAL)*1000000+1*1000+19))</f>
        <v/>
      </c>
      <c r="EX12" s="39">
        <f>IF(N('Dvd Calendar'!$X$11)=0,"",IF(('Dvd Calendar'!$X$11&gt;=GRID_FROM)*('Dvd Calendar'!$X$11&lt;=GRID_TO)*((('Dvd Calendar'!$X$11&lt;=VAL_DATE)+(COUNTIF('Dvd Calendar'!$E$18:$AR$18,'Dvd Calendar'!$X$11)=0))&gt;0)=0,"",'Dvd Calendar'!$X$11*1000000000+ISNUMBER('Dvd Calendar'!$X$14)*100000000+('Dvd Calendar'!$X$16=SPECIAL_LBL)*10000000+(N('Dvd Calendar'!$X$10)&gt;0)*(N('Dvd Calendar'!$X$10)&lt;=VAL_SERIAL)*1000000+1*1000+20))</f>
        <v/>
      </c>
      <c r="EY12" s="39">
        <f>IF(N('Dvd Calendar'!$Y$11)=0,"",IF(('Dvd Calendar'!$Y$11&gt;=GRID_FROM)*('Dvd Calendar'!$Y$11&lt;=GRID_TO)*((('Dvd Calendar'!$Y$11&lt;=VAL_DATE)+(COUNTIF('Dvd Calendar'!$E$18:$AR$18,'Dvd Calendar'!$Y$11)=0))&gt;0)=0,"",'Dvd Calendar'!$Y$11*1000000000+ISNUMBER('Dvd Calendar'!$Y$14)*100000000+('Dvd Calendar'!$Y$16=SPECIAL_LBL)*10000000+(N('Dvd Calendar'!$Y$10)&gt;0)*(N('Dvd Calendar'!$Y$10)&lt;=VAL_SERIAL)*1000000+1*1000+21))</f>
        <v/>
      </c>
      <c r="EZ12" s="39">
        <f>IF(N('Dvd Calendar'!$Z$11)=0,"",IF(('Dvd Calendar'!$Z$11&gt;=GRID_FROM)*('Dvd Calendar'!$Z$11&lt;=GRID_TO)*((('Dvd Calendar'!$Z$11&lt;=VAL_DATE)+(COUNTIF('Dvd Calendar'!$E$18:$AR$18,'Dvd Calendar'!$Z$11)=0))&gt;0)=0,"",'Dvd Calendar'!$Z$11*1000000000+ISNUMBER('Dvd Calendar'!$Z$14)*100000000+('Dvd Calendar'!$Z$16=SPECIAL_LBL)*10000000+(N('Dvd Calendar'!$Z$10)&gt;0)*(N('Dvd Calendar'!$Z$10)&lt;=VAL_SERIAL)*1000000+1*1000+22))</f>
        <v/>
      </c>
      <c r="FA12" s="39">
        <f>IF(N('Dvd Calendar'!$AA$11)=0,"",IF(('Dvd Calendar'!$AA$11&gt;=GRID_FROM)*('Dvd Calendar'!$AA$11&lt;=GRID_TO)*((('Dvd Calendar'!$AA$11&lt;=VAL_DATE)+(COUNTIF('Dvd Calendar'!$E$18:$AR$18,'Dvd Calendar'!$AA$11)=0))&gt;0)=0,"",'Dvd Calendar'!$AA$11*1000000000+ISNUMBER('Dvd Calendar'!$AA$14)*100000000+('Dvd Calendar'!$AA$16=SPECIAL_LBL)*10000000+(N('Dvd Calendar'!$AA$10)&gt;0)*(N('Dvd Calendar'!$AA$10)&lt;=VAL_SERIAL)*1000000+1*1000+23))</f>
        <v/>
      </c>
      <c r="FB12" s="39">
        <f>IF(N('Dvd Calendar'!$AB$11)=0,"",IF(('Dvd Calendar'!$AB$11&gt;=GRID_FROM)*('Dvd Calendar'!$AB$11&lt;=GRID_TO)*((('Dvd Calendar'!$AB$11&lt;=VAL_DATE)+(COUNTIF('Dvd Calendar'!$E$18:$AR$18,'Dvd Calendar'!$AB$11)=0))&gt;0)=0,"",'Dvd Calendar'!$AB$11*1000000000+ISNUMBER('Dvd Calendar'!$AB$14)*100000000+('Dvd Calendar'!$AB$16=SPECIAL_LBL)*10000000+(N('Dvd Calendar'!$AB$10)&gt;0)*(N('Dvd Calendar'!$AB$10)&lt;=VAL_SERIAL)*1000000+1*1000+24))</f>
        <v/>
      </c>
      <c r="FC12" s="39">
        <f>IF(N('Dvd Calendar'!$AC$11)=0,"",IF(('Dvd Calendar'!$AC$11&gt;=GRID_FROM)*('Dvd Calendar'!$AC$11&lt;=GRID_TO)*((('Dvd Calendar'!$AC$11&lt;=VAL_DATE)+(COUNTIF('Dvd Calendar'!$E$18:$AR$18,'Dvd Calendar'!$AC$11)=0))&gt;0)=0,"",'Dvd Calendar'!$AC$11*1000000000+ISNUMBER('Dvd Calendar'!$AC$14)*100000000+('Dvd Calendar'!$AC$16=SPECIAL_LBL)*10000000+(N('Dvd Calendar'!$AC$10)&gt;0)*(N('Dvd Calendar'!$AC$10)&lt;=VAL_SERIAL)*1000000+1*1000+25))</f>
        <v/>
      </c>
      <c r="FD12" s="39">
        <f>IF(N('Dvd Calendar'!$AD$11)=0,"",IF(('Dvd Calendar'!$AD$11&gt;=GRID_FROM)*('Dvd Calendar'!$AD$11&lt;=GRID_TO)*((('Dvd Calendar'!$AD$11&lt;=VAL_DATE)+(COUNTIF('Dvd Calendar'!$E$18:$AR$18,'Dvd Calendar'!$AD$11)=0))&gt;0)=0,"",'Dvd Calendar'!$AD$11*1000000000+ISNUMBER('Dvd Calendar'!$AD$14)*100000000+('Dvd Calendar'!$AD$16=SPECIAL_LBL)*10000000+(N('Dvd Calendar'!$AD$10)&gt;0)*(N('Dvd Calendar'!$AD$10)&lt;=VAL_SERIAL)*1000000+1*1000+26))</f>
        <v/>
      </c>
      <c r="FE12" s="39">
        <f>IF(N('Dvd Calendar'!$AE$11)=0,"",IF(('Dvd Calendar'!$AE$11&gt;=GRID_FROM)*('Dvd Calendar'!$AE$11&lt;=GRID_TO)*((('Dvd Calendar'!$AE$11&lt;=VAL_DATE)+(COUNTIF('Dvd Calendar'!$E$18:$AR$18,'Dvd Calendar'!$AE$11)=0))&gt;0)=0,"",'Dvd Calendar'!$AE$11*1000000000+ISNUMBER('Dvd Calendar'!$AE$14)*100000000+('Dvd Calendar'!$AE$16=SPECIAL_LBL)*10000000+(N('Dvd Calendar'!$AE$10)&gt;0)*(N('Dvd Calendar'!$AE$10)&lt;=VAL_SERIAL)*1000000+1*1000+27))</f>
        <v/>
      </c>
      <c r="FF12" s="39">
        <f>IF(N('Dvd Calendar'!$AF$11)=0,"",IF(('Dvd Calendar'!$AF$11&gt;=GRID_FROM)*('Dvd Calendar'!$AF$11&lt;=GRID_TO)*((('Dvd Calendar'!$AF$11&lt;=VAL_DATE)+(COUNTIF('Dvd Calendar'!$E$18:$AR$18,'Dvd Calendar'!$AF$11)=0))&gt;0)=0,"",'Dvd Calendar'!$AF$11*1000000000+ISNUMBER('Dvd Calendar'!$AF$14)*100000000+('Dvd Calendar'!$AF$16=SPECIAL_LBL)*10000000+(N('Dvd Calendar'!$AF$10)&gt;0)*(N('Dvd Calendar'!$AF$10)&lt;=VAL_SERIAL)*1000000+1*1000+28))</f>
        <v/>
      </c>
      <c r="FG12" s="39">
        <f>IF(N('Dvd Calendar'!$AG$11)=0,"",IF(('Dvd Calendar'!$AG$11&gt;=GRID_FROM)*('Dvd Calendar'!$AG$11&lt;=GRID_TO)*((('Dvd Calendar'!$AG$11&lt;=VAL_DATE)+(COUNTIF('Dvd Calendar'!$E$18:$AR$18,'Dvd Calendar'!$AG$11)=0))&gt;0)=0,"",'Dvd Calendar'!$AG$11*1000000000+ISNUMBER('Dvd Calendar'!$AG$14)*100000000+('Dvd Calendar'!$AG$16=SPECIAL_LBL)*10000000+(N('Dvd Calendar'!$AG$10)&gt;0)*(N('Dvd Calendar'!$AG$10)&lt;=VAL_SERIAL)*1000000+1*1000+29))</f>
        <v/>
      </c>
      <c r="FH12" s="39">
        <f>IF(N('Dvd Calendar'!$AH$11)=0,"",IF(('Dvd Calendar'!$AH$11&gt;=GRID_FROM)*('Dvd Calendar'!$AH$11&lt;=GRID_TO)*((('Dvd Calendar'!$AH$11&lt;=VAL_DATE)+(COUNTIF('Dvd Calendar'!$E$18:$AR$18,'Dvd Calendar'!$AH$11)=0))&gt;0)=0,"",'Dvd Calendar'!$AH$11*1000000000+ISNUMBER('Dvd Calendar'!$AH$14)*100000000+('Dvd Calendar'!$AH$16=SPECIAL_LBL)*10000000+(N('Dvd Calendar'!$AH$10)&gt;0)*(N('Dvd Calendar'!$AH$10)&lt;=VAL_SERIAL)*1000000+1*1000+30))</f>
        <v/>
      </c>
      <c r="FI12" s="39">
        <f>IF(N('Dvd Calendar'!$AI$11)=0,"",IF(('Dvd Calendar'!$AI$11&gt;=GRID_FROM)*('Dvd Calendar'!$AI$11&lt;=GRID_TO)*((('Dvd Calendar'!$AI$11&lt;=VAL_DATE)+(COUNTIF('Dvd Calendar'!$E$18:$AR$18,'Dvd Calendar'!$AI$11)=0))&gt;0)=0,"",'Dvd Calendar'!$AI$11*1000000000+ISNUMBER('Dvd Calendar'!$AI$14)*100000000+('Dvd Calendar'!$AI$16=SPECIAL_LBL)*10000000+(N('Dvd Calendar'!$AI$10)&gt;0)*(N('Dvd Calendar'!$AI$10)&lt;=VAL_SERIAL)*1000000+1*1000+31))</f>
        <v/>
      </c>
      <c r="FJ12" s="39">
        <f>IF(N('Dvd Calendar'!$AJ$11)=0,"",IF(('Dvd Calendar'!$AJ$11&gt;=GRID_FROM)*('Dvd Calendar'!$AJ$11&lt;=GRID_TO)*((('Dvd Calendar'!$AJ$11&lt;=VAL_DATE)+(COUNTIF('Dvd Calendar'!$E$18:$AR$18,'Dvd Calendar'!$AJ$11)=0))&gt;0)=0,"",'Dvd Calendar'!$AJ$11*1000000000+ISNUMBER('Dvd Calendar'!$AJ$14)*100000000+('Dvd Calendar'!$AJ$16=SPECIAL_LBL)*10000000+(N('Dvd Calendar'!$AJ$10)&gt;0)*(N('Dvd Calendar'!$AJ$10)&lt;=VAL_SERIAL)*1000000+1*1000+32))</f>
        <v/>
      </c>
      <c r="FK12" s="39">
        <f>IF(N('Dvd Calendar'!$AK$11)=0,"",IF(('Dvd Calendar'!$AK$11&gt;=GRID_FROM)*('Dvd Calendar'!$AK$11&lt;=GRID_TO)*((('Dvd Calendar'!$AK$11&lt;=VAL_DATE)+(COUNTIF('Dvd Calendar'!$E$18:$AR$18,'Dvd Calendar'!$AK$11)=0))&gt;0)=0,"",'Dvd Calendar'!$AK$11*1000000000+ISNUMBER('Dvd Calendar'!$AK$14)*100000000+('Dvd Calendar'!$AK$16=SPECIAL_LBL)*10000000+(N('Dvd Calendar'!$AK$10)&gt;0)*(N('Dvd Calendar'!$AK$10)&lt;=VAL_SERIAL)*1000000+1*1000+33))</f>
        <v/>
      </c>
      <c r="FL12" s="39">
        <f>IF(N('Dvd Calendar'!$AL$11)=0,"",IF(('Dvd Calendar'!$AL$11&gt;=GRID_FROM)*('Dvd Calendar'!$AL$11&lt;=GRID_TO)*((('Dvd Calendar'!$AL$11&lt;=VAL_DATE)+(COUNTIF('Dvd Calendar'!$E$18:$AR$18,'Dvd Calendar'!$AL$11)=0))&gt;0)=0,"",'Dvd Calendar'!$AL$11*1000000000+ISNUMBER('Dvd Calendar'!$AL$14)*100000000+('Dvd Calendar'!$AL$16=SPECIAL_LBL)*10000000+(N('Dvd Calendar'!$AL$10)&gt;0)*(N('Dvd Calendar'!$AL$10)&lt;=VAL_SERIAL)*1000000+1*1000+34))</f>
        <v/>
      </c>
      <c r="FM12" s="39">
        <f>IF(N('Dvd Calendar'!$AM$11)=0,"",IF(('Dvd Calendar'!$AM$11&gt;=GRID_FROM)*('Dvd Calendar'!$AM$11&lt;=GRID_TO)*((('Dvd Calendar'!$AM$11&lt;=VAL_DATE)+(COUNTIF('Dvd Calendar'!$E$18:$AR$18,'Dvd Calendar'!$AM$11)=0))&gt;0)=0,"",'Dvd Calendar'!$AM$11*1000000000+ISNUMBER('Dvd Calendar'!$AM$14)*100000000+('Dvd Calendar'!$AM$16=SPECIAL_LBL)*10000000+(N('Dvd Calendar'!$AM$10)&gt;0)*(N('Dvd Calendar'!$AM$10)&lt;=VAL_SERIAL)*1000000+1*1000+35))</f>
        <v/>
      </c>
      <c r="FN12" s="39">
        <f>IF(N('Dvd Calendar'!$AN$11)=0,"",IF(('Dvd Calendar'!$AN$11&gt;=GRID_FROM)*('Dvd Calendar'!$AN$11&lt;=GRID_TO)*((('Dvd Calendar'!$AN$11&lt;=VAL_DATE)+(COUNTIF('Dvd Calendar'!$E$18:$AR$18,'Dvd Calendar'!$AN$11)=0))&gt;0)=0,"",'Dvd Calendar'!$AN$11*1000000000+ISNUMBER('Dvd Calendar'!$AN$14)*100000000+('Dvd Calendar'!$AN$16=SPECIAL_LBL)*10000000+(N('Dvd Calendar'!$AN$10)&gt;0)*(N('Dvd Calendar'!$AN$10)&lt;=VAL_SERIAL)*1000000+1*1000+36))</f>
        <v/>
      </c>
      <c r="FO12" s="39">
        <f>IF(N('Dvd Calendar'!$AO$11)=0,"",IF(('Dvd Calendar'!$AO$11&gt;=GRID_FROM)*('Dvd Calendar'!$AO$11&lt;=GRID_TO)*((('Dvd Calendar'!$AO$11&lt;=VAL_DATE)+(COUNTIF('Dvd Calendar'!$E$18:$AR$18,'Dvd Calendar'!$AO$11)=0))&gt;0)=0,"",'Dvd Calendar'!$AO$11*1000000000+ISNUMBER('Dvd Calendar'!$AO$14)*100000000+('Dvd Calendar'!$AO$16=SPECIAL_LBL)*10000000+(N('Dvd Calendar'!$AO$10)&gt;0)*(N('Dvd Calendar'!$AO$10)&lt;=VAL_SERIAL)*1000000+1*1000+37))</f>
        <v/>
      </c>
      <c r="FP12" s="39">
        <f>IF(N('Dvd Calendar'!$AP$11)=0,"",IF(('Dvd Calendar'!$AP$11&gt;=GRID_FROM)*('Dvd Calendar'!$AP$11&lt;=GRID_TO)*((('Dvd Calendar'!$AP$11&lt;=VAL_DATE)+(COUNTIF('Dvd Calendar'!$E$18:$AR$18,'Dvd Calendar'!$AP$11)=0))&gt;0)=0,"",'Dvd Calendar'!$AP$11*1000000000+ISNUMBER('Dvd Calendar'!$AP$14)*100000000+('Dvd Calendar'!$AP$16=SPECIAL_LBL)*10000000+(N('Dvd Calendar'!$AP$10)&gt;0)*(N('Dvd Calendar'!$AP$10)&lt;=VAL_SERIAL)*1000000+1*1000+38))</f>
        <v/>
      </c>
      <c r="FQ12" s="39">
        <f>IF(N('Dvd Calendar'!$AQ$11)=0,"",IF(('Dvd Calendar'!$AQ$11&gt;=GRID_FROM)*('Dvd Calendar'!$AQ$11&lt;=GRID_TO)*((('Dvd Calendar'!$AQ$11&lt;=VAL_DATE)+(COUNTIF('Dvd Calendar'!$E$18:$AR$18,'Dvd Calendar'!$AQ$11)=0))&gt;0)=0,"",'Dvd Calendar'!$AQ$11*1000000000+ISNUMBER('Dvd Calendar'!$AQ$14)*100000000+('Dvd Calendar'!$AQ$16=SPECIAL_LBL)*10000000+(N('Dvd Calendar'!$AQ$10)&gt;0)*(N('Dvd Calendar'!$AQ$10)&lt;=VAL_SERIAL)*1000000+1*1000+39))</f>
        <v/>
      </c>
      <c r="FR12" s="39">
        <f>IF(N('Dvd Calendar'!$AR$11)=0,"",IF(('Dvd Calendar'!$AR$11&gt;=GRID_FROM)*('Dvd Calendar'!$AR$11&lt;=GRID_TO)*((('Dvd Calendar'!$AR$11&lt;=VAL_DATE)+(COUNTIF('Dvd Calendar'!$E$18:$AR$18,'Dvd Calendar'!$AR$11)=0))&gt;0)=0,"",'Dvd Calendar'!$AR$11*1000000000+ISNUMBER('Dvd Calendar'!$AR$14)*100000000+('Dvd Calendar'!$AR$16=SPECIAL_LBL)*10000000+(N('Dvd Calendar'!$AR$10)&gt;0)*(N('Dvd Calendar'!$AR$10)&lt;=VAL_SERIAL)*1000000+1*1000+40))</f>
        <v/>
      </c>
      <c r="FS12" s="39">
        <f>IF(N('Dvd Calendar'!$E$18)=0,"",IF(('Dvd Calendar'!$E$18&gt;=GRID_FROM)*('Dvd Calendar'!$E$18&lt;=GRID_TO)*('Dvd Calendar'!$E$18&gt;VAL_DATE)=0,"",'Dvd Calendar'!$E$18*1000000000+ISNUMBER('Dvd Calendar'!$E$19)*100000000+0*10000000+(N('Dvd Calendar'!$E$17)&gt;0)*(N('Dvd Calendar'!$E$17)&lt;=VAL_SERIAL)*1000000+1*1000+41))</f>
        <v/>
      </c>
      <c r="FT12" s="39">
        <f>IF(N('Dvd Calendar'!$F$18)=0,"",IF(('Dvd Calendar'!$F$18&gt;=GRID_FROM)*('Dvd Calendar'!$F$18&lt;=GRID_TO)*('Dvd Calendar'!$F$18&gt;VAL_DATE)=0,"",'Dvd Calendar'!$F$18*1000000000+ISNUMBER('Dvd Calendar'!$F$19)*100000000+0*10000000+(N('Dvd Calendar'!$F$17)&gt;0)*(N('Dvd Calendar'!$F$17)&lt;=VAL_SERIAL)*1000000+1*1000+42))</f>
        <v/>
      </c>
      <c r="FU12" s="39">
        <f>IF(N('Dvd Calendar'!$G$18)=0,"",IF(('Dvd Calendar'!$G$18&gt;=GRID_FROM)*('Dvd Calendar'!$G$18&lt;=GRID_TO)*('Dvd Calendar'!$G$18&gt;VAL_DATE)=0,"",'Dvd Calendar'!$G$18*1000000000+ISNUMBER('Dvd Calendar'!$G$19)*100000000+0*10000000+(N('Dvd Calendar'!$G$17)&gt;0)*(N('Dvd Calendar'!$G$17)&lt;=VAL_SERIAL)*1000000+1*1000+43))</f>
        <v/>
      </c>
      <c r="FV12" s="39">
        <f>IF(N('Dvd Calendar'!$H$18)=0,"",IF(('Dvd Calendar'!$H$18&gt;=GRID_FROM)*('Dvd Calendar'!$H$18&lt;=GRID_TO)*('Dvd Calendar'!$H$18&gt;VAL_DATE)=0,"",'Dvd Calendar'!$H$18*1000000000+ISNUMBER('Dvd Calendar'!$H$19)*100000000+0*10000000+(N('Dvd Calendar'!$H$17)&gt;0)*(N('Dvd Calendar'!$H$17)&lt;=VAL_SERIAL)*1000000+1*1000+44))</f>
        <v/>
      </c>
      <c r="FW12" s="39">
        <f>IF(N('Dvd Calendar'!$I$18)=0,"",IF(('Dvd Calendar'!$I$18&gt;=GRID_FROM)*('Dvd Calendar'!$I$18&lt;=GRID_TO)*('Dvd Calendar'!$I$18&gt;VAL_DATE)=0,"",'Dvd Calendar'!$I$18*1000000000+ISNUMBER('Dvd Calendar'!$I$19)*100000000+0*10000000+(N('Dvd Calendar'!$I$17)&gt;0)*(N('Dvd Calendar'!$I$17)&lt;=VAL_SERIAL)*1000000+1*1000+45))</f>
        <v/>
      </c>
      <c r="FX12" s="39">
        <f>IF(N('Dvd Calendar'!$J$18)=0,"",IF(('Dvd Calendar'!$J$18&gt;=GRID_FROM)*('Dvd Calendar'!$J$18&lt;=GRID_TO)*('Dvd Calendar'!$J$18&gt;VAL_DATE)=0,"",'Dvd Calendar'!$J$18*1000000000+ISNUMBER('Dvd Calendar'!$J$19)*100000000+0*10000000+(N('Dvd Calendar'!$J$17)&gt;0)*(N('Dvd Calendar'!$J$17)&lt;=VAL_SERIAL)*1000000+1*1000+46))</f>
        <v/>
      </c>
      <c r="FY12" s="39">
        <f>IF(N('Dvd Calendar'!$K$18)=0,"",IF(('Dvd Calendar'!$K$18&gt;=GRID_FROM)*('Dvd Calendar'!$K$18&lt;=GRID_TO)*('Dvd Calendar'!$K$18&gt;VAL_DATE)=0,"",'Dvd Calendar'!$K$18*1000000000+ISNUMBER('Dvd Calendar'!$K$19)*100000000+0*10000000+(N('Dvd Calendar'!$K$17)&gt;0)*(N('Dvd Calendar'!$K$17)&lt;=VAL_SERIAL)*1000000+1*1000+47))</f>
        <v/>
      </c>
      <c r="FZ12" s="39">
        <f>IF(N('Dvd Calendar'!$L$18)=0,"",IF(('Dvd Calendar'!$L$18&gt;=GRID_FROM)*('Dvd Calendar'!$L$18&lt;=GRID_TO)*('Dvd Calendar'!$L$18&gt;VAL_DATE)=0,"",'Dvd Calendar'!$L$18*1000000000+ISNUMBER('Dvd Calendar'!$L$19)*100000000+0*10000000+(N('Dvd Calendar'!$L$17)&gt;0)*(N('Dvd Calendar'!$L$17)&lt;=VAL_SERIAL)*1000000+1*1000+48))</f>
        <v/>
      </c>
      <c r="GA12" s="39">
        <f>IF(N('Dvd Calendar'!$M$18)=0,"",IF(('Dvd Calendar'!$M$18&gt;=GRID_FROM)*('Dvd Calendar'!$M$18&lt;=GRID_TO)*('Dvd Calendar'!$M$18&gt;VAL_DATE)=0,"",'Dvd Calendar'!$M$18*1000000000+ISNUMBER('Dvd Calendar'!$M$19)*100000000+0*10000000+(N('Dvd Calendar'!$M$17)&gt;0)*(N('Dvd Calendar'!$M$17)&lt;=VAL_SERIAL)*1000000+1*1000+49))</f>
        <v/>
      </c>
      <c r="GB12" s="39">
        <f>IF(N('Dvd Calendar'!$N$18)=0,"",IF(('Dvd Calendar'!$N$18&gt;=GRID_FROM)*('Dvd Calendar'!$N$18&lt;=GRID_TO)*('Dvd Calendar'!$N$18&gt;VAL_DATE)=0,"",'Dvd Calendar'!$N$18*1000000000+ISNUMBER('Dvd Calendar'!$N$19)*100000000+0*10000000+(N('Dvd Calendar'!$N$17)&gt;0)*(N('Dvd Calendar'!$N$17)&lt;=VAL_SERIAL)*1000000+1*1000+50))</f>
        <v/>
      </c>
      <c r="GC12" s="39">
        <f>IF(N('Dvd Calendar'!$O$18)=0,"",IF(('Dvd Calendar'!$O$18&gt;=GRID_FROM)*('Dvd Calendar'!$O$18&lt;=GRID_TO)*('Dvd Calendar'!$O$18&gt;VAL_DATE)=0,"",'Dvd Calendar'!$O$18*1000000000+ISNUMBER('Dvd Calendar'!$O$19)*100000000+0*10000000+(N('Dvd Calendar'!$O$17)&gt;0)*(N('Dvd Calendar'!$O$17)&lt;=VAL_SERIAL)*1000000+1*1000+51))</f>
        <v/>
      </c>
      <c r="GD12" s="39">
        <f>IF(N('Dvd Calendar'!$P$18)=0,"",IF(('Dvd Calendar'!$P$18&gt;=GRID_FROM)*('Dvd Calendar'!$P$18&lt;=GRID_TO)*('Dvd Calendar'!$P$18&gt;VAL_DATE)=0,"",'Dvd Calendar'!$P$18*1000000000+ISNUMBER('Dvd Calendar'!$P$19)*100000000+0*10000000+(N('Dvd Calendar'!$P$17)&gt;0)*(N('Dvd Calendar'!$P$17)&lt;=VAL_SERIAL)*1000000+1*1000+52))</f>
        <v/>
      </c>
      <c r="GE12" s="39">
        <f>IF(N('Dvd Calendar'!$Q$18)=0,"",IF(('Dvd Calendar'!$Q$18&gt;=GRID_FROM)*('Dvd Calendar'!$Q$18&lt;=GRID_TO)*('Dvd Calendar'!$Q$18&gt;VAL_DATE)=0,"",'Dvd Calendar'!$Q$18*1000000000+ISNUMBER('Dvd Calendar'!$Q$19)*100000000+0*10000000+(N('Dvd Calendar'!$Q$17)&gt;0)*(N('Dvd Calendar'!$Q$17)&lt;=VAL_SERIAL)*1000000+1*1000+53))</f>
        <v/>
      </c>
      <c r="GF12" s="39">
        <f>IF(N('Dvd Calendar'!$R$18)=0,"",IF(('Dvd Calendar'!$R$18&gt;=GRID_FROM)*('Dvd Calendar'!$R$18&lt;=GRID_TO)*('Dvd Calendar'!$R$18&gt;VAL_DATE)=0,"",'Dvd Calendar'!$R$18*1000000000+ISNUMBER('Dvd Calendar'!$R$19)*100000000+0*10000000+(N('Dvd Calendar'!$R$17)&gt;0)*(N('Dvd Calendar'!$R$17)&lt;=VAL_SERIAL)*1000000+1*1000+54))</f>
        <v/>
      </c>
      <c r="GG12" s="39">
        <f>IF(N('Dvd Calendar'!$S$18)=0,"",IF(('Dvd Calendar'!$S$18&gt;=GRID_FROM)*('Dvd Calendar'!$S$18&lt;=GRID_TO)*('Dvd Calendar'!$S$18&gt;VAL_DATE)=0,"",'Dvd Calendar'!$S$18*1000000000+ISNUMBER('Dvd Calendar'!$S$19)*100000000+0*10000000+(N('Dvd Calendar'!$S$17)&gt;0)*(N('Dvd Calendar'!$S$17)&lt;=VAL_SERIAL)*1000000+1*1000+55))</f>
        <v/>
      </c>
      <c r="GH12" s="39">
        <f>IF(N('Dvd Calendar'!$T$18)=0,"",IF(('Dvd Calendar'!$T$18&gt;=GRID_FROM)*('Dvd Calendar'!$T$18&lt;=GRID_TO)*('Dvd Calendar'!$T$18&gt;VAL_DATE)=0,"",'Dvd Calendar'!$T$18*1000000000+ISNUMBER('Dvd Calendar'!$T$19)*100000000+0*10000000+(N('Dvd Calendar'!$T$17)&gt;0)*(N('Dvd Calendar'!$T$17)&lt;=VAL_SERIAL)*1000000+1*1000+56))</f>
        <v/>
      </c>
      <c r="GI12" s="39">
        <f>IF(N('Dvd Calendar'!$U$18)=0,"",IF(('Dvd Calendar'!$U$18&gt;=GRID_FROM)*('Dvd Calendar'!$U$18&lt;=GRID_TO)*('Dvd Calendar'!$U$18&gt;VAL_DATE)=0,"",'Dvd Calendar'!$U$18*1000000000+ISNUMBER('Dvd Calendar'!$U$19)*100000000+0*10000000+(N('Dvd Calendar'!$U$17)&gt;0)*(N('Dvd Calendar'!$U$17)&lt;=VAL_SERIAL)*1000000+1*1000+57))</f>
        <v/>
      </c>
      <c r="GJ12" s="39">
        <f>IF(N('Dvd Calendar'!$V$18)=0,"",IF(('Dvd Calendar'!$V$18&gt;=GRID_FROM)*('Dvd Calendar'!$V$18&lt;=GRID_TO)*('Dvd Calendar'!$V$18&gt;VAL_DATE)=0,"",'Dvd Calendar'!$V$18*1000000000+ISNUMBER('Dvd Calendar'!$V$19)*100000000+0*10000000+(N('Dvd Calendar'!$V$17)&gt;0)*(N('Dvd Calendar'!$V$17)&lt;=VAL_SERIAL)*1000000+1*1000+58))</f>
        <v/>
      </c>
      <c r="GK12" s="39">
        <f>IF(N('Dvd Calendar'!$W$18)=0,"",IF(('Dvd Calendar'!$W$18&gt;=GRID_FROM)*('Dvd Calendar'!$W$18&lt;=GRID_TO)*('Dvd Calendar'!$W$18&gt;VAL_DATE)=0,"",'Dvd Calendar'!$W$18*1000000000+ISNUMBER('Dvd Calendar'!$W$19)*100000000+0*10000000+(N('Dvd Calendar'!$W$17)&gt;0)*(N('Dvd Calendar'!$W$17)&lt;=VAL_SERIAL)*1000000+1*1000+59))</f>
        <v/>
      </c>
      <c r="GL12" s="39">
        <f>IF(N('Dvd Calendar'!$X$18)=0,"",IF(('Dvd Calendar'!$X$18&gt;=GRID_FROM)*('Dvd Calendar'!$X$18&lt;=GRID_TO)*('Dvd Calendar'!$X$18&gt;VAL_DATE)=0,"",'Dvd Calendar'!$X$18*1000000000+ISNUMBER('Dvd Calendar'!$X$19)*100000000+0*10000000+(N('Dvd Calendar'!$X$17)&gt;0)*(N('Dvd Calendar'!$X$17)&lt;=VAL_SERIAL)*1000000+1*1000+60))</f>
        <v/>
      </c>
      <c r="GM12" s="39">
        <f>IF(N('Dvd Calendar'!$Y$18)=0,"",IF(('Dvd Calendar'!$Y$18&gt;=GRID_FROM)*('Dvd Calendar'!$Y$18&lt;=GRID_TO)*('Dvd Calendar'!$Y$18&gt;VAL_DATE)=0,"",'Dvd Calendar'!$Y$18*1000000000+ISNUMBER('Dvd Calendar'!$Y$19)*100000000+0*10000000+(N('Dvd Calendar'!$Y$17)&gt;0)*(N('Dvd Calendar'!$Y$17)&lt;=VAL_SERIAL)*1000000+1*1000+61))</f>
        <v/>
      </c>
      <c r="GN12" s="39">
        <f>IF(N('Dvd Calendar'!$Z$18)=0,"",IF(('Dvd Calendar'!$Z$18&gt;=GRID_FROM)*('Dvd Calendar'!$Z$18&lt;=GRID_TO)*('Dvd Calendar'!$Z$18&gt;VAL_DATE)=0,"",'Dvd Calendar'!$Z$18*1000000000+ISNUMBER('Dvd Calendar'!$Z$19)*100000000+0*10000000+(N('Dvd Calendar'!$Z$17)&gt;0)*(N('Dvd Calendar'!$Z$17)&lt;=VAL_SERIAL)*1000000+1*1000+62))</f>
        <v/>
      </c>
      <c r="GO12" s="39">
        <f>IF(N('Dvd Calendar'!$AA$18)=0,"",IF(('Dvd Calendar'!$AA$18&gt;=GRID_FROM)*('Dvd Calendar'!$AA$18&lt;=GRID_TO)*('Dvd Calendar'!$AA$18&gt;VAL_DATE)=0,"",'Dvd Calendar'!$AA$18*1000000000+ISNUMBER('Dvd Calendar'!$AA$19)*100000000+0*10000000+(N('Dvd Calendar'!$AA$17)&gt;0)*(N('Dvd Calendar'!$AA$17)&lt;=VAL_SERIAL)*1000000+1*1000+63))</f>
        <v/>
      </c>
      <c r="GP12" s="39">
        <f>IF(N('Dvd Calendar'!$AB$18)=0,"",IF(('Dvd Calendar'!$AB$18&gt;=GRID_FROM)*('Dvd Calendar'!$AB$18&lt;=GRID_TO)*('Dvd Calendar'!$AB$18&gt;VAL_DATE)=0,"",'Dvd Calendar'!$AB$18*1000000000+ISNUMBER('Dvd Calendar'!$AB$19)*100000000+0*10000000+(N('Dvd Calendar'!$AB$17)&gt;0)*(N('Dvd Calendar'!$AB$17)&lt;=VAL_SERIAL)*1000000+1*1000+64))</f>
        <v/>
      </c>
      <c r="GQ12" s="39">
        <f>IF(N('Dvd Calendar'!$AC$18)=0,"",IF(('Dvd Calendar'!$AC$18&gt;=GRID_FROM)*('Dvd Calendar'!$AC$18&lt;=GRID_TO)*('Dvd Calendar'!$AC$18&gt;VAL_DATE)=0,"",'Dvd Calendar'!$AC$18*1000000000+ISNUMBER('Dvd Calendar'!$AC$19)*100000000+0*10000000+(N('Dvd Calendar'!$AC$17)&gt;0)*(N('Dvd Calendar'!$AC$17)&lt;=VAL_SERIAL)*1000000+1*1000+65))</f>
        <v/>
      </c>
    </row>
    <row r="13">
      <c r="B13" s="2">
        <f>IF(HSI!$C$8="","",HSI!$C$8)</f>
        <v/>
      </c>
      <c r="C13" s="110">
        <f>IF(EE13="","",IF(ISNUMBER('Dvd Calendar'!$E$25)=FALSE,"",IF((('Dvd Calendar'!$E$27=TYPE1)*(TYPE1&lt;&gt;"")+('Dvd Calendar'!$E$27=TYPE2)*(TYPE2&lt;&gt;"")+('Dvd Calendar'!$E$27=TYPE3)*(TYPE3&lt;&gt;"")+('Dvd Calendar'!$E$27=TYPE4)*(TYPE4&lt;&gt;"")+('Dvd Calendar'!$E$27=SPECIAL_LBL)*(INC_SPECIALS="Y"))=0,"",'Dvd Calendar'!$E$25)))</f>
        <v/>
      </c>
      <c r="D13" s="110">
        <f>IF(EF13="","",IF(ISNUMBER('Dvd Calendar'!$F$25)=FALSE,"",IF((('Dvd Calendar'!$F$27=TYPE1)*(TYPE1&lt;&gt;"")+('Dvd Calendar'!$F$27=TYPE2)*(TYPE2&lt;&gt;"")+('Dvd Calendar'!$F$27=TYPE3)*(TYPE3&lt;&gt;"")+('Dvd Calendar'!$F$27=TYPE4)*(TYPE4&lt;&gt;"")+('Dvd Calendar'!$F$27=SPECIAL_LBL)*(INC_SPECIALS="Y"))=0,"",'Dvd Calendar'!$F$25)))</f>
        <v/>
      </c>
      <c r="E13" s="110">
        <f>IF(EG13="","",IF(ISNUMBER('Dvd Calendar'!$G$25)=FALSE,"",IF((('Dvd Calendar'!$G$27=TYPE1)*(TYPE1&lt;&gt;"")+('Dvd Calendar'!$G$27=TYPE2)*(TYPE2&lt;&gt;"")+('Dvd Calendar'!$G$27=TYPE3)*(TYPE3&lt;&gt;"")+('Dvd Calendar'!$G$27=TYPE4)*(TYPE4&lt;&gt;"")+('Dvd Calendar'!$G$27=SPECIAL_LBL)*(INC_SPECIALS="Y"))=0,"",'Dvd Calendar'!$G$25)))</f>
        <v/>
      </c>
      <c r="F13" s="110">
        <f>IF(EH13="","",IF(ISNUMBER('Dvd Calendar'!$H$25)=FALSE,"",IF((('Dvd Calendar'!$H$27=TYPE1)*(TYPE1&lt;&gt;"")+('Dvd Calendar'!$H$27=TYPE2)*(TYPE2&lt;&gt;"")+('Dvd Calendar'!$H$27=TYPE3)*(TYPE3&lt;&gt;"")+('Dvd Calendar'!$H$27=TYPE4)*(TYPE4&lt;&gt;"")+('Dvd Calendar'!$H$27=SPECIAL_LBL)*(INC_SPECIALS="Y"))=0,"",'Dvd Calendar'!$H$25)))</f>
        <v/>
      </c>
      <c r="G13" s="110">
        <f>IF(EI13="","",IF(ISNUMBER('Dvd Calendar'!$I$25)=FALSE,"",IF((('Dvd Calendar'!$I$27=TYPE1)*(TYPE1&lt;&gt;"")+('Dvd Calendar'!$I$27=TYPE2)*(TYPE2&lt;&gt;"")+('Dvd Calendar'!$I$27=TYPE3)*(TYPE3&lt;&gt;"")+('Dvd Calendar'!$I$27=TYPE4)*(TYPE4&lt;&gt;"")+('Dvd Calendar'!$I$27=SPECIAL_LBL)*(INC_SPECIALS="Y"))=0,"",'Dvd Calendar'!$I$25)))</f>
        <v/>
      </c>
      <c r="H13" s="110">
        <f>IF(EJ13="","",IF(ISNUMBER('Dvd Calendar'!$J$25)=FALSE,"",IF((('Dvd Calendar'!$J$27=TYPE1)*(TYPE1&lt;&gt;"")+('Dvd Calendar'!$J$27=TYPE2)*(TYPE2&lt;&gt;"")+('Dvd Calendar'!$J$27=TYPE3)*(TYPE3&lt;&gt;"")+('Dvd Calendar'!$J$27=TYPE4)*(TYPE4&lt;&gt;"")+('Dvd Calendar'!$J$27=SPECIAL_LBL)*(INC_SPECIALS="Y"))=0,"",'Dvd Calendar'!$J$25)))</f>
        <v/>
      </c>
      <c r="I13" s="110">
        <f>IF(EK13="","",IF(ISNUMBER('Dvd Calendar'!$K$25)=FALSE,"",IF((('Dvd Calendar'!$K$27=TYPE1)*(TYPE1&lt;&gt;"")+('Dvd Calendar'!$K$27=TYPE2)*(TYPE2&lt;&gt;"")+('Dvd Calendar'!$K$27=TYPE3)*(TYPE3&lt;&gt;"")+('Dvd Calendar'!$K$27=TYPE4)*(TYPE4&lt;&gt;"")+('Dvd Calendar'!$K$27=SPECIAL_LBL)*(INC_SPECIALS="Y"))=0,"",'Dvd Calendar'!$K$25)))</f>
        <v/>
      </c>
      <c r="J13" s="110">
        <f>IF(EL13="","",IF(ISNUMBER('Dvd Calendar'!$L$25)=FALSE,"",IF((('Dvd Calendar'!$L$27=TYPE1)*(TYPE1&lt;&gt;"")+('Dvd Calendar'!$L$27=TYPE2)*(TYPE2&lt;&gt;"")+('Dvd Calendar'!$L$27=TYPE3)*(TYPE3&lt;&gt;"")+('Dvd Calendar'!$L$27=TYPE4)*(TYPE4&lt;&gt;"")+('Dvd Calendar'!$L$27=SPECIAL_LBL)*(INC_SPECIALS="Y"))=0,"",'Dvd Calendar'!$L$25)))</f>
        <v/>
      </c>
      <c r="K13" s="110">
        <f>IF(EM13="","",IF(ISNUMBER('Dvd Calendar'!$M$25)=FALSE,"",IF((('Dvd Calendar'!$M$27=TYPE1)*(TYPE1&lt;&gt;"")+('Dvd Calendar'!$M$27=TYPE2)*(TYPE2&lt;&gt;"")+('Dvd Calendar'!$M$27=TYPE3)*(TYPE3&lt;&gt;"")+('Dvd Calendar'!$M$27=TYPE4)*(TYPE4&lt;&gt;"")+('Dvd Calendar'!$M$27=SPECIAL_LBL)*(INC_SPECIALS="Y"))=0,"",'Dvd Calendar'!$M$25)))</f>
        <v/>
      </c>
      <c r="L13" s="110">
        <f>IF(EN13="","",IF(ISNUMBER('Dvd Calendar'!$N$25)=FALSE,"",IF((('Dvd Calendar'!$N$27=TYPE1)*(TYPE1&lt;&gt;"")+('Dvd Calendar'!$N$27=TYPE2)*(TYPE2&lt;&gt;"")+('Dvd Calendar'!$N$27=TYPE3)*(TYPE3&lt;&gt;"")+('Dvd Calendar'!$N$27=TYPE4)*(TYPE4&lt;&gt;"")+('Dvd Calendar'!$N$27=SPECIAL_LBL)*(INC_SPECIALS="Y"))=0,"",'Dvd Calendar'!$N$25)))</f>
        <v/>
      </c>
      <c r="M13" s="110">
        <f>IF(EO13="","",IF(ISNUMBER('Dvd Calendar'!$O$25)=FALSE,"",IF((('Dvd Calendar'!$O$27=TYPE1)*(TYPE1&lt;&gt;"")+('Dvd Calendar'!$O$27=TYPE2)*(TYPE2&lt;&gt;"")+('Dvd Calendar'!$O$27=TYPE3)*(TYPE3&lt;&gt;"")+('Dvd Calendar'!$O$27=TYPE4)*(TYPE4&lt;&gt;"")+('Dvd Calendar'!$O$27=SPECIAL_LBL)*(INC_SPECIALS="Y"))=0,"",'Dvd Calendar'!$O$25)))</f>
        <v/>
      </c>
      <c r="N13" s="110">
        <f>IF(EP13="","",IF(ISNUMBER('Dvd Calendar'!$P$25)=FALSE,"",IF((('Dvd Calendar'!$P$27=TYPE1)*(TYPE1&lt;&gt;"")+('Dvd Calendar'!$P$27=TYPE2)*(TYPE2&lt;&gt;"")+('Dvd Calendar'!$P$27=TYPE3)*(TYPE3&lt;&gt;"")+('Dvd Calendar'!$P$27=TYPE4)*(TYPE4&lt;&gt;"")+('Dvd Calendar'!$P$27=SPECIAL_LBL)*(INC_SPECIALS="Y"))=0,"",'Dvd Calendar'!$P$25)))</f>
        <v/>
      </c>
      <c r="O13" s="110">
        <f>IF(EQ13="","",IF(ISNUMBER('Dvd Calendar'!$Q$25)=FALSE,"",IF((('Dvd Calendar'!$Q$27=TYPE1)*(TYPE1&lt;&gt;"")+('Dvd Calendar'!$Q$27=TYPE2)*(TYPE2&lt;&gt;"")+('Dvd Calendar'!$Q$27=TYPE3)*(TYPE3&lt;&gt;"")+('Dvd Calendar'!$Q$27=TYPE4)*(TYPE4&lt;&gt;"")+('Dvd Calendar'!$Q$27=SPECIAL_LBL)*(INC_SPECIALS="Y"))=0,"",'Dvd Calendar'!$Q$25)))</f>
        <v/>
      </c>
      <c r="P13" s="110">
        <f>IF(ER13="","",IF(ISNUMBER('Dvd Calendar'!$R$25)=FALSE,"",IF((('Dvd Calendar'!$R$27=TYPE1)*(TYPE1&lt;&gt;"")+('Dvd Calendar'!$R$27=TYPE2)*(TYPE2&lt;&gt;"")+('Dvd Calendar'!$R$27=TYPE3)*(TYPE3&lt;&gt;"")+('Dvd Calendar'!$R$27=TYPE4)*(TYPE4&lt;&gt;"")+('Dvd Calendar'!$R$27=SPECIAL_LBL)*(INC_SPECIALS="Y"))=0,"",'Dvd Calendar'!$R$25)))</f>
        <v/>
      </c>
      <c r="Q13" s="110">
        <f>IF(ES13="","",IF(ISNUMBER('Dvd Calendar'!$S$25)=FALSE,"",IF((('Dvd Calendar'!$S$27=TYPE1)*(TYPE1&lt;&gt;"")+('Dvd Calendar'!$S$27=TYPE2)*(TYPE2&lt;&gt;"")+('Dvd Calendar'!$S$27=TYPE3)*(TYPE3&lt;&gt;"")+('Dvd Calendar'!$S$27=TYPE4)*(TYPE4&lt;&gt;"")+('Dvd Calendar'!$S$27=SPECIAL_LBL)*(INC_SPECIALS="Y"))=0,"",'Dvd Calendar'!$S$25)))</f>
        <v/>
      </c>
      <c r="R13" s="110">
        <f>IF(ET13="","",IF(ISNUMBER('Dvd Calendar'!$T$25)=FALSE,"",IF((('Dvd Calendar'!$T$27=TYPE1)*(TYPE1&lt;&gt;"")+('Dvd Calendar'!$T$27=TYPE2)*(TYPE2&lt;&gt;"")+('Dvd Calendar'!$T$27=TYPE3)*(TYPE3&lt;&gt;"")+('Dvd Calendar'!$T$27=TYPE4)*(TYPE4&lt;&gt;"")+('Dvd Calendar'!$T$27=SPECIAL_LBL)*(INC_SPECIALS="Y"))=0,"",'Dvd Calendar'!$T$25)))</f>
        <v/>
      </c>
      <c r="S13" s="110">
        <f>IF(EU13="","",IF(ISNUMBER('Dvd Calendar'!$U$25)=FALSE,"",IF((('Dvd Calendar'!$U$27=TYPE1)*(TYPE1&lt;&gt;"")+('Dvd Calendar'!$U$27=TYPE2)*(TYPE2&lt;&gt;"")+('Dvd Calendar'!$U$27=TYPE3)*(TYPE3&lt;&gt;"")+('Dvd Calendar'!$U$27=TYPE4)*(TYPE4&lt;&gt;"")+('Dvd Calendar'!$U$27=SPECIAL_LBL)*(INC_SPECIALS="Y"))=0,"",'Dvd Calendar'!$U$25)))</f>
        <v/>
      </c>
      <c r="T13" s="110">
        <f>IF(EV13="","",IF(ISNUMBER('Dvd Calendar'!$V$25)=FALSE,"",IF((('Dvd Calendar'!$V$27=TYPE1)*(TYPE1&lt;&gt;"")+('Dvd Calendar'!$V$27=TYPE2)*(TYPE2&lt;&gt;"")+('Dvd Calendar'!$V$27=TYPE3)*(TYPE3&lt;&gt;"")+('Dvd Calendar'!$V$27=TYPE4)*(TYPE4&lt;&gt;"")+('Dvd Calendar'!$V$27=SPECIAL_LBL)*(INC_SPECIALS="Y"))=0,"",'Dvd Calendar'!$V$25)))</f>
        <v/>
      </c>
      <c r="U13" s="110">
        <f>IF(EW13="","",IF(ISNUMBER('Dvd Calendar'!$W$25)=FALSE,"",IF((('Dvd Calendar'!$W$27=TYPE1)*(TYPE1&lt;&gt;"")+('Dvd Calendar'!$W$27=TYPE2)*(TYPE2&lt;&gt;"")+('Dvd Calendar'!$W$27=TYPE3)*(TYPE3&lt;&gt;"")+('Dvd Calendar'!$W$27=TYPE4)*(TYPE4&lt;&gt;"")+('Dvd Calendar'!$W$27=SPECIAL_LBL)*(INC_SPECIALS="Y"))=0,"",'Dvd Calendar'!$W$25)))</f>
        <v/>
      </c>
      <c r="V13" s="110">
        <f>IF(EX13="","",IF(ISNUMBER('Dvd Calendar'!$X$25)=FALSE,"",IF((('Dvd Calendar'!$X$27=TYPE1)*(TYPE1&lt;&gt;"")+('Dvd Calendar'!$X$27=TYPE2)*(TYPE2&lt;&gt;"")+('Dvd Calendar'!$X$27=TYPE3)*(TYPE3&lt;&gt;"")+('Dvd Calendar'!$X$27=TYPE4)*(TYPE4&lt;&gt;"")+('Dvd Calendar'!$X$27=SPECIAL_LBL)*(INC_SPECIALS="Y"))=0,"",'Dvd Calendar'!$X$25)))</f>
        <v/>
      </c>
      <c r="W13" s="110">
        <f>IF(EY13="","",IF(ISNUMBER('Dvd Calendar'!$Y$25)=FALSE,"",IF((('Dvd Calendar'!$Y$27=TYPE1)*(TYPE1&lt;&gt;"")+('Dvd Calendar'!$Y$27=TYPE2)*(TYPE2&lt;&gt;"")+('Dvd Calendar'!$Y$27=TYPE3)*(TYPE3&lt;&gt;"")+('Dvd Calendar'!$Y$27=TYPE4)*(TYPE4&lt;&gt;"")+('Dvd Calendar'!$Y$27=SPECIAL_LBL)*(INC_SPECIALS="Y"))=0,"",'Dvd Calendar'!$Y$25)))</f>
        <v/>
      </c>
      <c r="X13" s="110">
        <f>IF(EZ13="","",IF(ISNUMBER('Dvd Calendar'!$Z$25)=FALSE,"",IF((('Dvd Calendar'!$Z$27=TYPE1)*(TYPE1&lt;&gt;"")+('Dvd Calendar'!$Z$27=TYPE2)*(TYPE2&lt;&gt;"")+('Dvd Calendar'!$Z$27=TYPE3)*(TYPE3&lt;&gt;"")+('Dvd Calendar'!$Z$27=TYPE4)*(TYPE4&lt;&gt;"")+('Dvd Calendar'!$Z$27=SPECIAL_LBL)*(INC_SPECIALS="Y"))=0,"",'Dvd Calendar'!$Z$25)))</f>
        <v/>
      </c>
      <c r="Y13" s="110">
        <f>IF(FA13="","",IF(ISNUMBER('Dvd Calendar'!$AA$25)=FALSE,"",IF((('Dvd Calendar'!$AA$27=TYPE1)*(TYPE1&lt;&gt;"")+('Dvd Calendar'!$AA$27=TYPE2)*(TYPE2&lt;&gt;"")+('Dvd Calendar'!$AA$27=TYPE3)*(TYPE3&lt;&gt;"")+('Dvd Calendar'!$AA$27=TYPE4)*(TYPE4&lt;&gt;"")+('Dvd Calendar'!$AA$27=SPECIAL_LBL)*(INC_SPECIALS="Y"))=0,"",'Dvd Calendar'!$AA$25)))</f>
        <v/>
      </c>
      <c r="Z13" s="110">
        <f>IF(FB13="","",IF(ISNUMBER('Dvd Calendar'!$AB$25)=FALSE,"",IF((('Dvd Calendar'!$AB$27=TYPE1)*(TYPE1&lt;&gt;"")+('Dvd Calendar'!$AB$27=TYPE2)*(TYPE2&lt;&gt;"")+('Dvd Calendar'!$AB$27=TYPE3)*(TYPE3&lt;&gt;"")+('Dvd Calendar'!$AB$27=TYPE4)*(TYPE4&lt;&gt;"")+('Dvd Calendar'!$AB$27=SPECIAL_LBL)*(INC_SPECIALS="Y"))=0,"",'Dvd Calendar'!$AB$25)))</f>
        <v/>
      </c>
      <c r="AA13" s="110">
        <f>IF(FC13="","",IF(ISNUMBER('Dvd Calendar'!$AC$25)=FALSE,"",IF((('Dvd Calendar'!$AC$27=TYPE1)*(TYPE1&lt;&gt;"")+('Dvd Calendar'!$AC$27=TYPE2)*(TYPE2&lt;&gt;"")+('Dvd Calendar'!$AC$27=TYPE3)*(TYPE3&lt;&gt;"")+('Dvd Calendar'!$AC$27=TYPE4)*(TYPE4&lt;&gt;"")+('Dvd Calendar'!$AC$27=SPECIAL_LBL)*(INC_SPECIALS="Y"))=0,"",'Dvd Calendar'!$AC$25)))</f>
        <v/>
      </c>
      <c r="AB13" s="110">
        <f>IF(FD13="","",IF(ISNUMBER('Dvd Calendar'!$AD$25)=FALSE,"",IF((('Dvd Calendar'!$AD$27=TYPE1)*(TYPE1&lt;&gt;"")+('Dvd Calendar'!$AD$27=TYPE2)*(TYPE2&lt;&gt;"")+('Dvd Calendar'!$AD$27=TYPE3)*(TYPE3&lt;&gt;"")+('Dvd Calendar'!$AD$27=TYPE4)*(TYPE4&lt;&gt;"")+('Dvd Calendar'!$AD$27=SPECIAL_LBL)*(INC_SPECIALS="Y"))=0,"",'Dvd Calendar'!$AD$25)))</f>
        <v/>
      </c>
      <c r="AC13" s="110">
        <f>IF(FE13="","",IF(ISNUMBER('Dvd Calendar'!$AE$25)=FALSE,"",IF((('Dvd Calendar'!$AE$27=TYPE1)*(TYPE1&lt;&gt;"")+('Dvd Calendar'!$AE$27=TYPE2)*(TYPE2&lt;&gt;"")+('Dvd Calendar'!$AE$27=TYPE3)*(TYPE3&lt;&gt;"")+('Dvd Calendar'!$AE$27=TYPE4)*(TYPE4&lt;&gt;"")+('Dvd Calendar'!$AE$27=SPECIAL_LBL)*(INC_SPECIALS="Y"))=0,"",'Dvd Calendar'!$AE$25)))</f>
        <v/>
      </c>
      <c r="AD13" s="110">
        <f>IF(FF13="","",IF(ISNUMBER('Dvd Calendar'!$AF$25)=FALSE,"",IF((('Dvd Calendar'!$AF$27=TYPE1)*(TYPE1&lt;&gt;"")+('Dvd Calendar'!$AF$27=TYPE2)*(TYPE2&lt;&gt;"")+('Dvd Calendar'!$AF$27=TYPE3)*(TYPE3&lt;&gt;"")+('Dvd Calendar'!$AF$27=TYPE4)*(TYPE4&lt;&gt;"")+('Dvd Calendar'!$AF$27=SPECIAL_LBL)*(INC_SPECIALS="Y"))=0,"",'Dvd Calendar'!$AF$25)))</f>
        <v/>
      </c>
      <c r="AE13" s="110">
        <f>IF(FG13="","",IF(ISNUMBER('Dvd Calendar'!$AG$25)=FALSE,"",IF((('Dvd Calendar'!$AG$27=TYPE1)*(TYPE1&lt;&gt;"")+('Dvd Calendar'!$AG$27=TYPE2)*(TYPE2&lt;&gt;"")+('Dvd Calendar'!$AG$27=TYPE3)*(TYPE3&lt;&gt;"")+('Dvd Calendar'!$AG$27=TYPE4)*(TYPE4&lt;&gt;"")+('Dvd Calendar'!$AG$27=SPECIAL_LBL)*(INC_SPECIALS="Y"))=0,"",'Dvd Calendar'!$AG$25)))</f>
        <v/>
      </c>
      <c r="AF13" s="110">
        <f>IF(FH13="","",IF(ISNUMBER('Dvd Calendar'!$AH$25)=FALSE,"",IF((('Dvd Calendar'!$AH$27=TYPE1)*(TYPE1&lt;&gt;"")+('Dvd Calendar'!$AH$27=TYPE2)*(TYPE2&lt;&gt;"")+('Dvd Calendar'!$AH$27=TYPE3)*(TYPE3&lt;&gt;"")+('Dvd Calendar'!$AH$27=TYPE4)*(TYPE4&lt;&gt;"")+('Dvd Calendar'!$AH$27=SPECIAL_LBL)*(INC_SPECIALS="Y"))=0,"",'Dvd Calendar'!$AH$25)))</f>
        <v/>
      </c>
      <c r="AG13" s="110">
        <f>IF(FI13="","",IF(ISNUMBER('Dvd Calendar'!$AI$25)=FALSE,"",IF((('Dvd Calendar'!$AI$27=TYPE1)*(TYPE1&lt;&gt;"")+('Dvd Calendar'!$AI$27=TYPE2)*(TYPE2&lt;&gt;"")+('Dvd Calendar'!$AI$27=TYPE3)*(TYPE3&lt;&gt;"")+('Dvd Calendar'!$AI$27=TYPE4)*(TYPE4&lt;&gt;"")+('Dvd Calendar'!$AI$27=SPECIAL_LBL)*(INC_SPECIALS="Y"))=0,"",'Dvd Calendar'!$AI$25)))</f>
        <v/>
      </c>
      <c r="AH13" s="110">
        <f>IF(FJ13="","",IF(ISNUMBER('Dvd Calendar'!$AJ$25)=FALSE,"",IF((('Dvd Calendar'!$AJ$27=TYPE1)*(TYPE1&lt;&gt;"")+('Dvd Calendar'!$AJ$27=TYPE2)*(TYPE2&lt;&gt;"")+('Dvd Calendar'!$AJ$27=TYPE3)*(TYPE3&lt;&gt;"")+('Dvd Calendar'!$AJ$27=TYPE4)*(TYPE4&lt;&gt;"")+('Dvd Calendar'!$AJ$27=SPECIAL_LBL)*(INC_SPECIALS="Y"))=0,"",'Dvd Calendar'!$AJ$25)))</f>
        <v/>
      </c>
      <c r="AI13" s="110">
        <f>IF(FK13="","",IF(ISNUMBER('Dvd Calendar'!$AK$25)=FALSE,"",IF((('Dvd Calendar'!$AK$27=TYPE1)*(TYPE1&lt;&gt;"")+('Dvd Calendar'!$AK$27=TYPE2)*(TYPE2&lt;&gt;"")+('Dvd Calendar'!$AK$27=TYPE3)*(TYPE3&lt;&gt;"")+('Dvd Calendar'!$AK$27=TYPE4)*(TYPE4&lt;&gt;"")+('Dvd Calendar'!$AK$27=SPECIAL_LBL)*(INC_SPECIALS="Y"))=0,"",'Dvd Calendar'!$AK$25)))</f>
        <v/>
      </c>
      <c r="AJ13" s="110">
        <f>IF(FL13="","",IF(ISNUMBER('Dvd Calendar'!$AL$25)=FALSE,"",IF((('Dvd Calendar'!$AL$27=TYPE1)*(TYPE1&lt;&gt;"")+('Dvd Calendar'!$AL$27=TYPE2)*(TYPE2&lt;&gt;"")+('Dvd Calendar'!$AL$27=TYPE3)*(TYPE3&lt;&gt;"")+('Dvd Calendar'!$AL$27=TYPE4)*(TYPE4&lt;&gt;"")+('Dvd Calendar'!$AL$27=SPECIAL_LBL)*(INC_SPECIALS="Y"))=0,"",'Dvd Calendar'!$AL$25)))</f>
        <v/>
      </c>
      <c r="AK13" s="110">
        <f>IF(FM13="","",IF(ISNUMBER('Dvd Calendar'!$AM$25)=FALSE,"",IF((('Dvd Calendar'!$AM$27=TYPE1)*(TYPE1&lt;&gt;"")+('Dvd Calendar'!$AM$27=TYPE2)*(TYPE2&lt;&gt;"")+('Dvd Calendar'!$AM$27=TYPE3)*(TYPE3&lt;&gt;"")+('Dvd Calendar'!$AM$27=TYPE4)*(TYPE4&lt;&gt;"")+('Dvd Calendar'!$AM$27=SPECIAL_LBL)*(INC_SPECIALS="Y"))=0,"",'Dvd Calendar'!$AM$25)))</f>
        <v/>
      </c>
      <c r="AL13" s="110">
        <f>IF(FN13="","",IF(ISNUMBER('Dvd Calendar'!$AN$25)=FALSE,"",IF((('Dvd Calendar'!$AN$27=TYPE1)*(TYPE1&lt;&gt;"")+('Dvd Calendar'!$AN$27=TYPE2)*(TYPE2&lt;&gt;"")+('Dvd Calendar'!$AN$27=TYPE3)*(TYPE3&lt;&gt;"")+('Dvd Calendar'!$AN$27=TYPE4)*(TYPE4&lt;&gt;"")+('Dvd Calendar'!$AN$27=SPECIAL_LBL)*(INC_SPECIALS="Y"))=0,"",'Dvd Calendar'!$AN$25)))</f>
        <v/>
      </c>
      <c r="AM13" s="110">
        <f>IF(FO13="","",IF(ISNUMBER('Dvd Calendar'!$AO$25)=FALSE,"",IF((('Dvd Calendar'!$AO$27=TYPE1)*(TYPE1&lt;&gt;"")+('Dvd Calendar'!$AO$27=TYPE2)*(TYPE2&lt;&gt;"")+('Dvd Calendar'!$AO$27=TYPE3)*(TYPE3&lt;&gt;"")+('Dvd Calendar'!$AO$27=TYPE4)*(TYPE4&lt;&gt;"")+('Dvd Calendar'!$AO$27=SPECIAL_LBL)*(INC_SPECIALS="Y"))=0,"",'Dvd Calendar'!$AO$25)))</f>
        <v/>
      </c>
      <c r="AN13" s="110">
        <f>IF(FP13="","",IF(ISNUMBER('Dvd Calendar'!$AP$25)=FALSE,"",IF((('Dvd Calendar'!$AP$27=TYPE1)*(TYPE1&lt;&gt;"")+('Dvd Calendar'!$AP$27=TYPE2)*(TYPE2&lt;&gt;"")+('Dvd Calendar'!$AP$27=TYPE3)*(TYPE3&lt;&gt;"")+('Dvd Calendar'!$AP$27=TYPE4)*(TYPE4&lt;&gt;"")+('Dvd Calendar'!$AP$27=SPECIAL_LBL)*(INC_SPECIALS="Y"))=0,"",'Dvd Calendar'!$AP$25)))</f>
        <v/>
      </c>
      <c r="AO13" s="110">
        <f>IF(FQ13="","",IF(ISNUMBER('Dvd Calendar'!$AQ$25)=FALSE,"",IF((('Dvd Calendar'!$AQ$27=TYPE1)*(TYPE1&lt;&gt;"")+('Dvd Calendar'!$AQ$27=TYPE2)*(TYPE2&lt;&gt;"")+('Dvd Calendar'!$AQ$27=TYPE3)*(TYPE3&lt;&gt;"")+('Dvd Calendar'!$AQ$27=TYPE4)*(TYPE4&lt;&gt;"")+('Dvd Calendar'!$AQ$27=SPECIAL_LBL)*(INC_SPECIALS="Y"))=0,"",'Dvd Calendar'!$AQ$25)))</f>
        <v/>
      </c>
      <c r="AP13" s="110">
        <f>IF(FR13="","",IF(ISNUMBER('Dvd Calendar'!$AR$25)=FALSE,"",IF((('Dvd Calendar'!$AR$27=TYPE1)*(TYPE1&lt;&gt;"")+('Dvd Calendar'!$AR$27=TYPE2)*(TYPE2&lt;&gt;"")+('Dvd Calendar'!$AR$27=TYPE3)*(TYPE3&lt;&gt;"")+('Dvd Calendar'!$AR$27=TYPE4)*(TYPE4&lt;&gt;"")+('Dvd Calendar'!$AR$27=SPECIAL_LBL)*(INC_SPECIALS="Y"))=0,"",'Dvd Calendar'!$AR$25)))</f>
        <v/>
      </c>
      <c r="AQ13" s="110">
        <f>IF(FS13="","",IF(ISNUMBER('Dvd Calendar'!$E$30)=FALSE,"",'Dvd Calendar'!$E$30))</f>
        <v/>
      </c>
      <c r="AR13" s="110">
        <f>IF(FT13="","",IF(ISNUMBER('Dvd Calendar'!$F$30)=FALSE,"",'Dvd Calendar'!$F$30))</f>
        <v/>
      </c>
      <c r="AS13" s="110">
        <f>IF(FU13="","",IF(ISNUMBER('Dvd Calendar'!$G$30)=FALSE,"",'Dvd Calendar'!$G$30))</f>
        <v/>
      </c>
      <c r="AT13" s="110">
        <f>IF(FV13="","",IF(ISNUMBER('Dvd Calendar'!$H$30)=FALSE,"",'Dvd Calendar'!$H$30))</f>
        <v/>
      </c>
      <c r="AU13" s="110">
        <f>IF(FW13="","",IF(ISNUMBER('Dvd Calendar'!$I$30)=FALSE,"",'Dvd Calendar'!$I$30))</f>
        <v/>
      </c>
      <c r="AV13" s="110">
        <f>IF(FX13="","",IF(ISNUMBER('Dvd Calendar'!$J$30)=FALSE,"",'Dvd Calendar'!$J$30))</f>
        <v/>
      </c>
      <c r="AW13" s="110">
        <f>IF(FY13="","",IF(ISNUMBER('Dvd Calendar'!$K$30)=FALSE,"",'Dvd Calendar'!$K$30))</f>
        <v/>
      </c>
      <c r="AX13" s="110">
        <f>IF(FZ13="","",IF(ISNUMBER('Dvd Calendar'!$L$30)=FALSE,"",'Dvd Calendar'!$L$30))</f>
        <v/>
      </c>
      <c r="AY13" s="110">
        <f>IF(GA13="","",IF(ISNUMBER('Dvd Calendar'!$M$30)=FALSE,"",'Dvd Calendar'!$M$30))</f>
        <v/>
      </c>
      <c r="AZ13" s="110">
        <f>IF(GB13="","",IF(ISNUMBER('Dvd Calendar'!$N$30)=FALSE,"",'Dvd Calendar'!$N$30))</f>
        <v/>
      </c>
      <c r="BA13" s="110">
        <f>IF(GC13="","",IF(ISNUMBER('Dvd Calendar'!$O$30)=FALSE,"",'Dvd Calendar'!$O$30))</f>
        <v/>
      </c>
      <c r="BB13" s="110">
        <f>IF(GD13="","",IF(ISNUMBER('Dvd Calendar'!$P$30)=FALSE,"",'Dvd Calendar'!$P$30))</f>
        <v/>
      </c>
      <c r="BC13" s="110">
        <f>IF(GE13="","",IF(ISNUMBER('Dvd Calendar'!$Q$30)=FALSE,"",'Dvd Calendar'!$Q$30))</f>
        <v/>
      </c>
      <c r="BD13" s="110">
        <f>IF(GF13="","",IF(ISNUMBER('Dvd Calendar'!$R$30)=FALSE,"",'Dvd Calendar'!$R$30))</f>
        <v/>
      </c>
      <c r="BE13" s="110">
        <f>IF(GG13="","",IF(ISNUMBER('Dvd Calendar'!$S$30)=FALSE,"",'Dvd Calendar'!$S$30))</f>
        <v/>
      </c>
      <c r="BF13" s="110">
        <f>IF(GH13="","",IF(ISNUMBER('Dvd Calendar'!$T$30)=FALSE,"",'Dvd Calendar'!$T$30))</f>
        <v/>
      </c>
      <c r="BG13" s="110">
        <f>IF(GI13="","",IF(ISNUMBER('Dvd Calendar'!$U$30)=FALSE,"",'Dvd Calendar'!$U$30))</f>
        <v/>
      </c>
      <c r="BH13" s="110">
        <f>IF(GJ13="","",IF(ISNUMBER('Dvd Calendar'!$V$30)=FALSE,"",'Dvd Calendar'!$V$30))</f>
        <v/>
      </c>
      <c r="BI13" s="110">
        <f>IF(GK13="","",IF(ISNUMBER('Dvd Calendar'!$W$30)=FALSE,"",'Dvd Calendar'!$W$30))</f>
        <v/>
      </c>
      <c r="BJ13" s="110">
        <f>IF(GL13="","",IF(ISNUMBER('Dvd Calendar'!$X$30)=FALSE,"",'Dvd Calendar'!$X$30))</f>
        <v/>
      </c>
      <c r="BK13" s="110">
        <f>IF(GM13="","",IF(ISNUMBER('Dvd Calendar'!$Y$30)=FALSE,"",'Dvd Calendar'!$Y$30))</f>
        <v/>
      </c>
      <c r="BL13" s="110">
        <f>IF(GN13="","",IF(ISNUMBER('Dvd Calendar'!$Z$30)=FALSE,"",'Dvd Calendar'!$Z$30))</f>
        <v/>
      </c>
      <c r="BM13" s="110">
        <f>IF(GO13="","",IF(ISNUMBER('Dvd Calendar'!$AA$30)=FALSE,"",'Dvd Calendar'!$AA$30))</f>
        <v/>
      </c>
      <c r="BN13" s="110">
        <f>IF(GP13="","",IF(ISNUMBER('Dvd Calendar'!$AB$30)=FALSE,"",'Dvd Calendar'!$AB$30))</f>
        <v/>
      </c>
      <c r="BO13" s="110">
        <f>IF(GQ13="","",IF(ISNUMBER('Dvd Calendar'!$AC$30)=FALSE,"",'Dvd Calendar'!$AC$30))</f>
        <v/>
      </c>
      <c r="BQ13" s="110">
        <f>IF(C13="","",IFERROR(C13*HSI!$B$8*HSI!$G$8/HSI!$B$3,""))</f>
        <v/>
      </c>
      <c r="BR13" s="110">
        <f>IF(D13="","",IFERROR(D13*HSI!$B$8*HSI!$G$8/HSI!$B$3,""))</f>
        <v/>
      </c>
      <c r="BS13" s="110">
        <f>IF(E13="","",IFERROR(E13*HSI!$B$8*HSI!$G$8/HSI!$B$3,""))</f>
        <v/>
      </c>
      <c r="BT13" s="110">
        <f>IF(F13="","",IFERROR(F13*HSI!$B$8*HSI!$G$8/HSI!$B$3,""))</f>
        <v/>
      </c>
      <c r="BU13" s="110">
        <f>IF(G13="","",IFERROR(G13*HSI!$B$8*HSI!$G$8/HSI!$B$3,""))</f>
        <v/>
      </c>
      <c r="BV13" s="110">
        <f>IF(H13="","",IFERROR(H13*HSI!$B$8*HSI!$G$8/HSI!$B$3,""))</f>
        <v/>
      </c>
      <c r="BW13" s="110">
        <f>IF(I13="","",IFERROR(I13*HSI!$B$8*HSI!$G$8/HSI!$B$3,""))</f>
        <v/>
      </c>
      <c r="BX13" s="110">
        <f>IF(J13="","",IFERROR(J13*HSI!$B$8*HSI!$G$8/HSI!$B$3,""))</f>
        <v/>
      </c>
      <c r="BY13" s="110">
        <f>IF(K13="","",IFERROR(K13*HSI!$B$8*HSI!$G$8/HSI!$B$3,""))</f>
        <v/>
      </c>
      <c r="BZ13" s="110">
        <f>IF(L13="","",IFERROR(L13*HSI!$B$8*HSI!$G$8/HSI!$B$3,""))</f>
        <v/>
      </c>
      <c r="CA13" s="110">
        <f>IF(M13="","",IFERROR(M13*HSI!$B$8*HSI!$G$8/HSI!$B$3,""))</f>
        <v/>
      </c>
      <c r="CB13" s="110">
        <f>IF(N13="","",IFERROR(N13*HSI!$B$8*HSI!$G$8/HSI!$B$3,""))</f>
        <v/>
      </c>
      <c r="CC13" s="110">
        <f>IF(O13="","",IFERROR(O13*HSI!$B$8*HSI!$G$8/HSI!$B$3,""))</f>
        <v/>
      </c>
      <c r="CD13" s="110">
        <f>IF(P13="","",IFERROR(P13*HSI!$B$8*HSI!$G$8/HSI!$B$3,""))</f>
        <v/>
      </c>
      <c r="CE13" s="110">
        <f>IF(Q13="","",IFERROR(Q13*HSI!$B$8*HSI!$G$8/HSI!$B$3,""))</f>
        <v/>
      </c>
      <c r="CF13" s="110">
        <f>IF(R13="","",IFERROR(R13*HSI!$B$8*HSI!$G$8/HSI!$B$3,""))</f>
        <v/>
      </c>
      <c r="CG13" s="110">
        <f>IF(S13="","",IFERROR(S13*HSI!$B$8*HSI!$G$8/HSI!$B$3,""))</f>
        <v/>
      </c>
      <c r="CH13" s="110">
        <f>IF(T13="","",IFERROR(T13*HSI!$B$8*HSI!$G$8/HSI!$B$3,""))</f>
        <v/>
      </c>
      <c r="CI13" s="110">
        <f>IF(U13="","",IFERROR(U13*HSI!$B$8*HSI!$G$8/HSI!$B$3,""))</f>
        <v/>
      </c>
      <c r="CJ13" s="110">
        <f>IF(V13="","",IFERROR(V13*HSI!$B$8*HSI!$G$8/HSI!$B$3,""))</f>
        <v/>
      </c>
      <c r="CK13" s="110">
        <f>IF(W13="","",IFERROR(W13*HSI!$B$8*HSI!$G$8/HSI!$B$3,""))</f>
        <v/>
      </c>
      <c r="CL13" s="110">
        <f>IF(X13="","",IFERROR(X13*HSI!$B$8*HSI!$G$8/HSI!$B$3,""))</f>
        <v/>
      </c>
      <c r="CM13" s="110">
        <f>IF(Y13="","",IFERROR(Y13*HSI!$B$8*HSI!$G$8/HSI!$B$3,""))</f>
        <v/>
      </c>
      <c r="CN13" s="110">
        <f>IF(Z13="","",IFERROR(Z13*HSI!$B$8*HSI!$G$8/HSI!$B$3,""))</f>
        <v/>
      </c>
      <c r="CO13" s="110">
        <f>IF(AA13="","",IFERROR(AA13*HSI!$B$8*HSI!$G$8/HSI!$B$3,""))</f>
        <v/>
      </c>
      <c r="CP13" s="110">
        <f>IF(AB13="","",IFERROR(AB13*HSI!$B$8*HSI!$G$8/HSI!$B$3,""))</f>
        <v/>
      </c>
      <c r="CQ13" s="110">
        <f>IF(AC13="","",IFERROR(AC13*HSI!$B$8*HSI!$G$8/HSI!$B$3,""))</f>
        <v/>
      </c>
      <c r="CR13" s="110">
        <f>IF(AD13="","",IFERROR(AD13*HSI!$B$8*HSI!$G$8/HSI!$B$3,""))</f>
        <v/>
      </c>
      <c r="CS13" s="110">
        <f>IF(AE13="","",IFERROR(AE13*HSI!$B$8*HSI!$G$8/HSI!$B$3,""))</f>
        <v/>
      </c>
      <c r="CT13" s="110">
        <f>IF(AF13="","",IFERROR(AF13*HSI!$B$8*HSI!$G$8/HSI!$B$3,""))</f>
        <v/>
      </c>
      <c r="CU13" s="110">
        <f>IF(AG13="","",IFERROR(AG13*HSI!$B$8*HSI!$G$8/HSI!$B$3,""))</f>
        <v/>
      </c>
      <c r="CV13" s="110">
        <f>IF(AH13="","",IFERROR(AH13*HSI!$B$8*HSI!$G$8/HSI!$B$3,""))</f>
        <v/>
      </c>
      <c r="CW13" s="110">
        <f>IF(AI13="","",IFERROR(AI13*HSI!$B$8*HSI!$G$8/HSI!$B$3,""))</f>
        <v/>
      </c>
      <c r="CX13" s="110">
        <f>IF(AJ13="","",IFERROR(AJ13*HSI!$B$8*HSI!$G$8/HSI!$B$3,""))</f>
        <v/>
      </c>
      <c r="CY13" s="110">
        <f>IF(AK13="","",IFERROR(AK13*HSI!$B$8*HSI!$G$8/HSI!$B$3,""))</f>
        <v/>
      </c>
      <c r="CZ13" s="110">
        <f>IF(AL13="","",IFERROR(AL13*HSI!$B$8*HSI!$G$8/HSI!$B$3,""))</f>
        <v/>
      </c>
      <c r="DA13" s="110">
        <f>IF(AM13="","",IFERROR(AM13*HSI!$B$8*HSI!$G$8/HSI!$B$3,""))</f>
        <v/>
      </c>
      <c r="DB13" s="110">
        <f>IF(AN13="","",IFERROR(AN13*HSI!$B$8*HSI!$G$8/HSI!$B$3,""))</f>
        <v/>
      </c>
      <c r="DC13" s="110">
        <f>IF(AO13="","",IFERROR(AO13*HSI!$B$8*HSI!$G$8/HSI!$B$3,""))</f>
        <v/>
      </c>
      <c r="DD13" s="110">
        <f>IF(AP13="","",IFERROR(AP13*HSI!$B$8*HSI!$G$8/HSI!$B$3,""))</f>
        <v/>
      </c>
      <c r="DE13" s="110">
        <f>IF(AQ13="","",IFERROR(AQ13*HSI!$B$8*HSI!$G$8/HSI!$B$3,""))</f>
        <v/>
      </c>
      <c r="DF13" s="110">
        <f>IF(AR13="","",IFERROR(AR13*HSI!$B$8*HSI!$G$8/HSI!$B$3,""))</f>
        <v/>
      </c>
      <c r="DG13" s="110">
        <f>IF(AS13="","",IFERROR(AS13*HSI!$B$8*HSI!$G$8/HSI!$B$3,""))</f>
        <v/>
      </c>
      <c r="DH13" s="110">
        <f>IF(AT13="","",IFERROR(AT13*HSI!$B$8*HSI!$G$8/HSI!$B$3,""))</f>
        <v/>
      </c>
      <c r="DI13" s="110">
        <f>IF(AU13="","",IFERROR(AU13*HSI!$B$8*HSI!$G$8/HSI!$B$3,""))</f>
        <v/>
      </c>
      <c r="DJ13" s="110">
        <f>IF(AV13="","",IFERROR(AV13*HSI!$B$8*HSI!$G$8/HSI!$B$3,""))</f>
        <v/>
      </c>
      <c r="DK13" s="110">
        <f>IF(AW13="","",IFERROR(AW13*HSI!$B$8*HSI!$G$8/HSI!$B$3,""))</f>
        <v/>
      </c>
      <c r="DL13" s="110">
        <f>IF(AX13="","",IFERROR(AX13*HSI!$B$8*HSI!$G$8/HSI!$B$3,""))</f>
        <v/>
      </c>
      <c r="DM13" s="110">
        <f>IF(AY13="","",IFERROR(AY13*HSI!$B$8*HSI!$G$8/HSI!$B$3,""))</f>
        <v/>
      </c>
      <c r="DN13" s="110">
        <f>IF(AZ13="","",IFERROR(AZ13*HSI!$B$8*HSI!$G$8/HSI!$B$3,""))</f>
        <v/>
      </c>
      <c r="DO13" s="110">
        <f>IF(BA13="","",IFERROR(BA13*HSI!$B$8*HSI!$G$8/HSI!$B$3,""))</f>
        <v/>
      </c>
      <c r="DP13" s="110">
        <f>IF(BB13="","",IFERROR(BB13*HSI!$B$8*HSI!$G$8/HSI!$B$3,""))</f>
        <v/>
      </c>
      <c r="DQ13" s="110">
        <f>IF(BC13="","",IFERROR(BC13*HSI!$B$8*HSI!$G$8/HSI!$B$3,""))</f>
        <v/>
      </c>
      <c r="DR13" s="110">
        <f>IF(BD13="","",IFERROR(BD13*HSI!$B$8*HSI!$G$8/HSI!$B$3,""))</f>
        <v/>
      </c>
      <c r="DS13" s="110">
        <f>IF(BE13="","",IFERROR(BE13*HSI!$B$8*HSI!$G$8/HSI!$B$3,""))</f>
        <v/>
      </c>
      <c r="DT13" s="110">
        <f>IF(BF13="","",IFERROR(BF13*HSI!$B$8*HSI!$G$8/HSI!$B$3,""))</f>
        <v/>
      </c>
      <c r="DU13" s="110">
        <f>IF(BG13="","",IFERROR(BG13*HSI!$B$8*HSI!$G$8/HSI!$B$3,""))</f>
        <v/>
      </c>
      <c r="DV13" s="110">
        <f>IF(BH13="","",IFERROR(BH13*HSI!$B$8*HSI!$G$8/HSI!$B$3,""))</f>
        <v/>
      </c>
      <c r="DW13" s="110">
        <f>IF(BI13="","",IFERROR(BI13*HSI!$B$8*HSI!$G$8/HSI!$B$3,""))</f>
        <v/>
      </c>
      <c r="DX13" s="110">
        <f>IF(BJ13="","",IFERROR(BJ13*HSI!$B$8*HSI!$G$8/HSI!$B$3,""))</f>
        <v/>
      </c>
      <c r="DY13" s="110">
        <f>IF(BK13="","",IFERROR(BK13*HSI!$B$8*HSI!$G$8/HSI!$B$3,""))</f>
        <v/>
      </c>
      <c r="DZ13" s="110">
        <f>IF(BL13="","",IFERROR(BL13*HSI!$B$8*HSI!$G$8/HSI!$B$3,""))</f>
        <v/>
      </c>
      <c r="EA13" s="110">
        <f>IF(BM13="","",IFERROR(BM13*HSI!$B$8*HSI!$G$8/HSI!$B$3,""))</f>
        <v/>
      </c>
      <c r="EB13" s="110">
        <f>IF(BN13="","",IFERROR(BN13*HSI!$B$8*HSI!$G$8/HSI!$B$3,""))</f>
        <v/>
      </c>
      <c r="EC13" s="110">
        <f>IF(BO13="","",IFERROR(BO13*HSI!$B$8*HSI!$G$8/HSI!$B$3,""))</f>
        <v/>
      </c>
      <c r="EE13" s="39">
        <f>IF(N('Dvd Calendar'!$E$22)=0,"",IF(('Dvd Calendar'!$E$22&gt;=GRID_FROM)*('Dvd Calendar'!$E$22&lt;=GRID_TO)*((('Dvd Calendar'!$E$22&lt;=VAL_DATE)+(COUNTIF('Dvd Calendar'!$E$29:$AR$29,'Dvd Calendar'!$E$22)=0))&gt;0)=0,"",'Dvd Calendar'!$E$22*1000000000+ISNUMBER('Dvd Calendar'!$E$25)*100000000+('Dvd Calendar'!$E$27=SPECIAL_LBL)*10000000+(N('Dvd Calendar'!$E$21)&gt;0)*(N('Dvd Calendar'!$E$21)&lt;=VAL_SERIAL)*1000000+2*1000+1))</f>
        <v/>
      </c>
      <c r="EF13" s="39">
        <f>IF(N('Dvd Calendar'!$F$22)=0,"",IF(('Dvd Calendar'!$F$22&gt;=GRID_FROM)*('Dvd Calendar'!$F$22&lt;=GRID_TO)*((('Dvd Calendar'!$F$22&lt;=VAL_DATE)+(COUNTIF('Dvd Calendar'!$E$29:$AR$29,'Dvd Calendar'!$F$22)=0))&gt;0)=0,"",'Dvd Calendar'!$F$22*1000000000+ISNUMBER('Dvd Calendar'!$F$25)*100000000+('Dvd Calendar'!$F$27=SPECIAL_LBL)*10000000+(N('Dvd Calendar'!$F$21)&gt;0)*(N('Dvd Calendar'!$F$21)&lt;=VAL_SERIAL)*1000000+2*1000+2))</f>
        <v/>
      </c>
      <c r="EG13" s="39">
        <f>IF(N('Dvd Calendar'!$G$22)=0,"",IF(('Dvd Calendar'!$G$22&gt;=GRID_FROM)*('Dvd Calendar'!$G$22&lt;=GRID_TO)*((('Dvd Calendar'!$G$22&lt;=VAL_DATE)+(COUNTIF('Dvd Calendar'!$E$29:$AR$29,'Dvd Calendar'!$G$22)=0))&gt;0)=0,"",'Dvd Calendar'!$G$22*1000000000+ISNUMBER('Dvd Calendar'!$G$25)*100000000+('Dvd Calendar'!$G$27=SPECIAL_LBL)*10000000+(N('Dvd Calendar'!$G$21)&gt;0)*(N('Dvd Calendar'!$G$21)&lt;=VAL_SERIAL)*1000000+2*1000+3))</f>
        <v/>
      </c>
      <c r="EH13" s="39">
        <f>IF(N('Dvd Calendar'!$H$22)=0,"",IF(('Dvd Calendar'!$H$22&gt;=GRID_FROM)*('Dvd Calendar'!$H$22&lt;=GRID_TO)*((('Dvd Calendar'!$H$22&lt;=VAL_DATE)+(COUNTIF('Dvd Calendar'!$E$29:$AR$29,'Dvd Calendar'!$H$22)=0))&gt;0)=0,"",'Dvd Calendar'!$H$22*1000000000+ISNUMBER('Dvd Calendar'!$H$25)*100000000+('Dvd Calendar'!$H$27=SPECIAL_LBL)*10000000+(N('Dvd Calendar'!$H$21)&gt;0)*(N('Dvd Calendar'!$H$21)&lt;=VAL_SERIAL)*1000000+2*1000+4))</f>
        <v/>
      </c>
      <c r="EI13" s="39">
        <f>IF(N('Dvd Calendar'!$I$22)=0,"",IF(('Dvd Calendar'!$I$22&gt;=GRID_FROM)*('Dvd Calendar'!$I$22&lt;=GRID_TO)*((('Dvd Calendar'!$I$22&lt;=VAL_DATE)+(COUNTIF('Dvd Calendar'!$E$29:$AR$29,'Dvd Calendar'!$I$22)=0))&gt;0)=0,"",'Dvd Calendar'!$I$22*1000000000+ISNUMBER('Dvd Calendar'!$I$25)*100000000+('Dvd Calendar'!$I$27=SPECIAL_LBL)*10000000+(N('Dvd Calendar'!$I$21)&gt;0)*(N('Dvd Calendar'!$I$21)&lt;=VAL_SERIAL)*1000000+2*1000+5))</f>
        <v/>
      </c>
      <c r="EJ13" s="39">
        <f>IF(N('Dvd Calendar'!$J$22)=0,"",IF(('Dvd Calendar'!$J$22&gt;=GRID_FROM)*('Dvd Calendar'!$J$22&lt;=GRID_TO)*((('Dvd Calendar'!$J$22&lt;=VAL_DATE)+(COUNTIF('Dvd Calendar'!$E$29:$AR$29,'Dvd Calendar'!$J$22)=0))&gt;0)=0,"",'Dvd Calendar'!$J$22*1000000000+ISNUMBER('Dvd Calendar'!$J$25)*100000000+('Dvd Calendar'!$J$27=SPECIAL_LBL)*10000000+(N('Dvd Calendar'!$J$21)&gt;0)*(N('Dvd Calendar'!$J$21)&lt;=VAL_SERIAL)*1000000+2*1000+6))</f>
        <v/>
      </c>
      <c r="EK13" s="39">
        <f>IF(N('Dvd Calendar'!$K$22)=0,"",IF(('Dvd Calendar'!$K$22&gt;=GRID_FROM)*('Dvd Calendar'!$K$22&lt;=GRID_TO)*((('Dvd Calendar'!$K$22&lt;=VAL_DATE)+(COUNTIF('Dvd Calendar'!$E$29:$AR$29,'Dvd Calendar'!$K$22)=0))&gt;0)=0,"",'Dvd Calendar'!$K$22*1000000000+ISNUMBER('Dvd Calendar'!$K$25)*100000000+('Dvd Calendar'!$K$27=SPECIAL_LBL)*10000000+(N('Dvd Calendar'!$K$21)&gt;0)*(N('Dvd Calendar'!$K$21)&lt;=VAL_SERIAL)*1000000+2*1000+7))</f>
        <v/>
      </c>
      <c r="EL13" s="39">
        <f>IF(N('Dvd Calendar'!$L$22)=0,"",IF(('Dvd Calendar'!$L$22&gt;=GRID_FROM)*('Dvd Calendar'!$L$22&lt;=GRID_TO)*((('Dvd Calendar'!$L$22&lt;=VAL_DATE)+(COUNTIF('Dvd Calendar'!$E$29:$AR$29,'Dvd Calendar'!$L$22)=0))&gt;0)=0,"",'Dvd Calendar'!$L$22*1000000000+ISNUMBER('Dvd Calendar'!$L$25)*100000000+('Dvd Calendar'!$L$27=SPECIAL_LBL)*10000000+(N('Dvd Calendar'!$L$21)&gt;0)*(N('Dvd Calendar'!$L$21)&lt;=VAL_SERIAL)*1000000+2*1000+8))</f>
        <v/>
      </c>
      <c r="EM13" s="39">
        <f>IF(N('Dvd Calendar'!$M$22)=0,"",IF(('Dvd Calendar'!$M$22&gt;=GRID_FROM)*('Dvd Calendar'!$M$22&lt;=GRID_TO)*((('Dvd Calendar'!$M$22&lt;=VAL_DATE)+(COUNTIF('Dvd Calendar'!$E$29:$AR$29,'Dvd Calendar'!$M$22)=0))&gt;0)=0,"",'Dvd Calendar'!$M$22*1000000000+ISNUMBER('Dvd Calendar'!$M$25)*100000000+('Dvd Calendar'!$M$27=SPECIAL_LBL)*10000000+(N('Dvd Calendar'!$M$21)&gt;0)*(N('Dvd Calendar'!$M$21)&lt;=VAL_SERIAL)*1000000+2*1000+9))</f>
        <v/>
      </c>
      <c r="EN13" s="39">
        <f>IF(N('Dvd Calendar'!$N$22)=0,"",IF(('Dvd Calendar'!$N$22&gt;=GRID_FROM)*('Dvd Calendar'!$N$22&lt;=GRID_TO)*((('Dvd Calendar'!$N$22&lt;=VAL_DATE)+(COUNTIF('Dvd Calendar'!$E$29:$AR$29,'Dvd Calendar'!$N$22)=0))&gt;0)=0,"",'Dvd Calendar'!$N$22*1000000000+ISNUMBER('Dvd Calendar'!$N$25)*100000000+('Dvd Calendar'!$N$27=SPECIAL_LBL)*10000000+(N('Dvd Calendar'!$N$21)&gt;0)*(N('Dvd Calendar'!$N$21)&lt;=VAL_SERIAL)*1000000+2*1000+10))</f>
        <v/>
      </c>
      <c r="EO13" s="39">
        <f>IF(N('Dvd Calendar'!$O$22)=0,"",IF(('Dvd Calendar'!$O$22&gt;=GRID_FROM)*('Dvd Calendar'!$O$22&lt;=GRID_TO)*((('Dvd Calendar'!$O$22&lt;=VAL_DATE)+(COUNTIF('Dvd Calendar'!$E$29:$AR$29,'Dvd Calendar'!$O$22)=0))&gt;0)=0,"",'Dvd Calendar'!$O$22*1000000000+ISNUMBER('Dvd Calendar'!$O$25)*100000000+('Dvd Calendar'!$O$27=SPECIAL_LBL)*10000000+(N('Dvd Calendar'!$O$21)&gt;0)*(N('Dvd Calendar'!$O$21)&lt;=VAL_SERIAL)*1000000+2*1000+11))</f>
        <v/>
      </c>
      <c r="EP13" s="39">
        <f>IF(N('Dvd Calendar'!$P$22)=0,"",IF(('Dvd Calendar'!$P$22&gt;=GRID_FROM)*('Dvd Calendar'!$P$22&lt;=GRID_TO)*((('Dvd Calendar'!$P$22&lt;=VAL_DATE)+(COUNTIF('Dvd Calendar'!$E$29:$AR$29,'Dvd Calendar'!$P$22)=0))&gt;0)=0,"",'Dvd Calendar'!$P$22*1000000000+ISNUMBER('Dvd Calendar'!$P$25)*100000000+('Dvd Calendar'!$P$27=SPECIAL_LBL)*10000000+(N('Dvd Calendar'!$P$21)&gt;0)*(N('Dvd Calendar'!$P$21)&lt;=VAL_SERIAL)*1000000+2*1000+12))</f>
        <v/>
      </c>
      <c r="EQ13" s="39">
        <f>IF(N('Dvd Calendar'!$Q$22)=0,"",IF(('Dvd Calendar'!$Q$22&gt;=GRID_FROM)*('Dvd Calendar'!$Q$22&lt;=GRID_TO)*((('Dvd Calendar'!$Q$22&lt;=VAL_DATE)+(COUNTIF('Dvd Calendar'!$E$29:$AR$29,'Dvd Calendar'!$Q$22)=0))&gt;0)=0,"",'Dvd Calendar'!$Q$22*1000000000+ISNUMBER('Dvd Calendar'!$Q$25)*100000000+('Dvd Calendar'!$Q$27=SPECIAL_LBL)*10000000+(N('Dvd Calendar'!$Q$21)&gt;0)*(N('Dvd Calendar'!$Q$21)&lt;=VAL_SERIAL)*1000000+2*1000+13))</f>
        <v/>
      </c>
      <c r="ER13" s="39">
        <f>IF(N('Dvd Calendar'!$R$22)=0,"",IF(('Dvd Calendar'!$R$22&gt;=GRID_FROM)*('Dvd Calendar'!$R$22&lt;=GRID_TO)*((('Dvd Calendar'!$R$22&lt;=VAL_DATE)+(COUNTIF('Dvd Calendar'!$E$29:$AR$29,'Dvd Calendar'!$R$22)=0))&gt;0)=0,"",'Dvd Calendar'!$R$22*1000000000+ISNUMBER('Dvd Calendar'!$R$25)*100000000+('Dvd Calendar'!$R$27=SPECIAL_LBL)*10000000+(N('Dvd Calendar'!$R$21)&gt;0)*(N('Dvd Calendar'!$R$21)&lt;=VAL_SERIAL)*1000000+2*1000+14))</f>
        <v/>
      </c>
      <c r="ES13" s="39">
        <f>IF(N('Dvd Calendar'!$S$22)=0,"",IF(('Dvd Calendar'!$S$22&gt;=GRID_FROM)*('Dvd Calendar'!$S$22&lt;=GRID_TO)*((('Dvd Calendar'!$S$22&lt;=VAL_DATE)+(COUNTIF('Dvd Calendar'!$E$29:$AR$29,'Dvd Calendar'!$S$22)=0))&gt;0)=0,"",'Dvd Calendar'!$S$22*1000000000+ISNUMBER('Dvd Calendar'!$S$25)*100000000+('Dvd Calendar'!$S$27=SPECIAL_LBL)*10000000+(N('Dvd Calendar'!$S$21)&gt;0)*(N('Dvd Calendar'!$S$21)&lt;=VAL_SERIAL)*1000000+2*1000+15))</f>
        <v/>
      </c>
      <c r="ET13" s="39">
        <f>IF(N('Dvd Calendar'!$T$22)=0,"",IF(('Dvd Calendar'!$T$22&gt;=GRID_FROM)*('Dvd Calendar'!$T$22&lt;=GRID_TO)*((('Dvd Calendar'!$T$22&lt;=VAL_DATE)+(COUNTIF('Dvd Calendar'!$E$29:$AR$29,'Dvd Calendar'!$T$22)=0))&gt;0)=0,"",'Dvd Calendar'!$T$22*1000000000+ISNUMBER('Dvd Calendar'!$T$25)*100000000+('Dvd Calendar'!$T$27=SPECIAL_LBL)*10000000+(N('Dvd Calendar'!$T$21)&gt;0)*(N('Dvd Calendar'!$T$21)&lt;=VAL_SERIAL)*1000000+2*1000+16))</f>
        <v/>
      </c>
      <c r="EU13" s="39">
        <f>IF(N('Dvd Calendar'!$U$22)=0,"",IF(('Dvd Calendar'!$U$22&gt;=GRID_FROM)*('Dvd Calendar'!$U$22&lt;=GRID_TO)*((('Dvd Calendar'!$U$22&lt;=VAL_DATE)+(COUNTIF('Dvd Calendar'!$E$29:$AR$29,'Dvd Calendar'!$U$22)=0))&gt;0)=0,"",'Dvd Calendar'!$U$22*1000000000+ISNUMBER('Dvd Calendar'!$U$25)*100000000+('Dvd Calendar'!$U$27=SPECIAL_LBL)*10000000+(N('Dvd Calendar'!$U$21)&gt;0)*(N('Dvd Calendar'!$U$21)&lt;=VAL_SERIAL)*1000000+2*1000+17))</f>
        <v/>
      </c>
      <c r="EV13" s="39">
        <f>IF(N('Dvd Calendar'!$V$22)=0,"",IF(('Dvd Calendar'!$V$22&gt;=GRID_FROM)*('Dvd Calendar'!$V$22&lt;=GRID_TO)*((('Dvd Calendar'!$V$22&lt;=VAL_DATE)+(COUNTIF('Dvd Calendar'!$E$29:$AR$29,'Dvd Calendar'!$V$22)=0))&gt;0)=0,"",'Dvd Calendar'!$V$22*1000000000+ISNUMBER('Dvd Calendar'!$V$25)*100000000+('Dvd Calendar'!$V$27=SPECIAL_LBL)*10000000+(N('Dvd Calendar'!$V$21)&gt;0)*(N('Dvd Calendar'!$V$21)&lt;=VAL_SERIAL)*1000000+2*1000+18))</f>
        <v/>
      </c>
      <c r="EW13" s="39">
        <f>IF(N('Dvd Calendar'!$W$22)=0,"",IF(('Dvd Calendar'!$W$22&gt;=GRID_FROM)*('Dvd Calendar'!$W$22&lt;=GRID_TO)*((('Dvd Calendar'!$W$22&lt;=VAL_DATE)+(COUNTIF('Dvd Calendar'!$E$29:$AR$29,'Dvd Calendar'!$W$22)=0))&gt;0)=0,"",'Dvd Calendar'!$W$22*1000000000+ISNUMBER('Dvd Calendar'!$W$25)*100000000+('Dvd Calendar'!$W$27=SPECIAL_LBL)*10000000+(N('Dvd Calendar'!$W$21)&gt;0)*(N('Dvd Calendar'!$W$21)&lt;=VAL_SERIAL)*1000000+2*1000+19))</f>
        <v/>
      </c>
      <c r="EX13" s="39">
        <f>IF(N('Dvd Calendar'!$X$22)=0,"",IF(('Dvd Calendar'!$X$22&gt;=GRID_FROM)*('Dvd Calendar'!$X$22&lt;=GRID_TO)*((('Dvd Calendar'!$X$22&lt;=VAL_DATE)+(COUNTIF('Dvd Calendar'!$E$29:$AR$29,'Dvd Calendar'!$X$22)=0))&gt;0)=0,"",'Dvd Calendar'!$X$22*1000000000+ISNUMBER('Dvd Calendar'!$X$25)*100000000+('Dvd Calendar'!$X$27=SPECIAL_LBL)*10000000+(N('Dvd Calendar'!$X$21)&gt;0)*(N('Dvd Calendar'!$X$21)&lt;=VAL_SERIAL)*1000000+2*1000+20))</f>
        <v/>
      </c>
      <c r="EY13" s="39">
        <f>IF(N('Dvd Calendar'!$Y$22)=0,"",IF(('Dvd Calendar'!$Y$22&gt;=GRID_FROM)*('Dvd Calendar'!$Y$22&lt;=GRID_TO)*((('Dvd Calendar'!$Y$22&lt;=VAL_DATE)+(COUNTIF('Dvd Calendar'!$E$29:$AR$29,'Dvd Calendar'!$Y$22)=0))&gt;0)=0,"",'Dvd Calendar'!$Y$22*1000000000+ISNUMBER('Dvd Calendar'!$Y$25)*100000000+('Dvd Calendar'!$Y$27=SPECIAL_LBL)*10000000+(N('Dvd Calendar'!$Y$21)&gt;0)*(N('Dvd Calendar'!$Y$21)&lt;=VAL_SERIAL)*1000000+2*1000+21))</f>
        <v/>
      </c>
      <c r="EZ13" s="39">
        <f>IF(N('Dvd Calendar'!$Z$22)=0,"",IF(('Dvd Calendar'!$Z$22&gt;=GRID_FROM)*('Dvd Calendar'!$Z$22&lt;=GRID_TO)*((('Dvd Calendar'!$Z$22&lt;=VAL_DATE)+(COUNTIF('Dvd Calendar'!$E$29:$AR$29,'Dvd Calendar'!$Z$22)=0))&gt;0)=0,"",'Dvd Calendar'!$Z$22*1000000000+ISNUMBER('Dvd Calendar'!$Z$25)*100000000+('Dvd Calendar'!$Z$27=SPECIAL_LBL)*10000000+(N('Dvd Calendar'!$Z$21)&gt;0)*(N('Dvd Calendar'!$Z$21)&lt;=VAL_SERIAL)*1000000+2*1000+22))</f>
        <v/>
      </c>
      <c r="FA13" s="39">
        <f>IF(N('Dvd Calendar'!$AA$22)=0,"",IF(('Dvd Calendar'!$AA$22&gt;=GRID_FROM)*('Dvd Calendar'!$AA$22&lt;=GRID_TO)*((('Dvd Calendar'!$AA$22&lt;=VAL_DATE)+(COUNTIF('Dvd Calendar'!$E$29:$AR$29,'Dvd Calendar'!$AA$22)=0))&gt;0)=0,"",'Dvd Calendar'!$AA$22*1000000000+ISNUMBER('Dvd Calendar'!$AA$25)*100000000+('Dvd Calendar'!$AA$27=SPECIAL_LBL)*10000000+(N('Dvd Calendar'!$AA$21)&gt;0)*(N('Dvd Calendar'!$AA$21)&lt;=VAL_SERIAL)*1000000+2*1000+23))</f>
        <v/>
      </c>
      <c r="FB13" s="39">
        <f>IF(N('Dvd Calendar'!$AB$22)=0,"",IF(('Dvd Calendar'!$AB$22&gt;=GRID_FROM)*('Dvd Calendar'!$AB$22&lt;=GRID_TO)*((('Dvd Calendar'!$AB$22&lt;=VAL_DATE)+(COUNTIF('Dvd Calendar'!$E$29:$AR$29,'Dvd Calendar'!$AB$22)=0))&gt;0)=0,"",'Dvd Calendar'!$AB$22*1000000000+ISNUMBER('Dvd Calendar'!$AB$25)*100000000+('Dvd Calendar'!$AB$27=SPECIAL_LBL)*10000000+(N('Dvd Calendar'!$AB$21)&gt;0)*(N('Dvd Calendar'!$AB$21)&lt;=VAL_SERIAL)*1000000+2*1000+24))</f>
        <v/>
      </c>
      <c r="FC13" s="39">
        <f>IF(N('Dvd Calendar'!$AC$22)=0,"",IF(('Dvd Calendar'!$AC$22&gt;=GRID_FROM)*('Dvd Calendar'!$AC$22&lt;=GRID_TO)*((('Dvd Calendar'!$AC$22&lt;=VAL_DATE)+(COUNTIF('Dvd Calendar'!$E$29:$AR$29,'Dvd Calendar'!$AC$22)=0))&gt;0)=0,"",'Dvd Calendar'!$AC$22*1000000000+ISNUMBER('Dvd Calendar'!$AC$25)*100000000+('Dvd Calendar'!$AC$27=SPECIAL_LBL)*10000000+(N('Dvd Calendar'!$AC$21)&gt;0)*(N('Dvd Calendar'!$AC$21)&lt;=VAL_SERIAL)*1000000+2*1000+25))</f>
        <v/>
      </c>
      <c r="FD13" s="39">
        <f>IF(N('Dvd Calendar'!$AD$22)=0,"",IF(('Dvd Calendar'!$AD$22&gt;=GRID_FROM)*('Dvd Calendar'!$AD$22&lt;=GRID_TO)*((('Dvd Calendar'!$AD$22&lt;=VAL_DATE)+(COUNTIF('Dvd Calendar'!$E$29:$AR$29,'Dvd Calendar'!$AD$22)=0))&gt;0)=0,"",'Dvd Calendar'!$AD$22*1000000000+ISNUMBER('Dvd Calendar'!$AD$25)*100000000+('Dvd Calendar'!$AD$27=SPECIAL_LBL)*10000000+(N('Dvd Calendar'!$AD$21)&gt;0)*(N('Dvd Calendar'!$AD$21)&lt;=VAL_SERIAL)*1000000+2*1000+26))</f>
        <v/>
      </c>
      <c r="FE13" s="39">
        <f>IF(N('Dvd Calendar'!$AE$22)=0,"",IF(('Dvd Calendar'!$AE$22&gt;=GRID_FROM)*('Dvd Calendar'!$AE$22&lt;=GRID_TO)*((('Dvd Calendar'!$AE$22&lt;=VAL_DATE)+(COUNTIF('Dvd Calendar'!$E$29:$AR$29,'Dvd Calendar'!$AE$22)=0))&gt;0)=0,"",'Dvd Calendar'!$AE$22*1000000000+ISNUMBER('Dvd Calendar'!$AE$25)*100000000+('Dvd Calendar'!$AE$27=SPECIAL_LBL)*10000000+(N('Dvd Calendar'!$AE$21)&gt;0)*(N('Dvd Calendar'!$AE$21)&lt;=VAL_SERIAL)*1000000+2*1000+27))</f>
        <v/>
      </c>
      <c r="FF13" s="39">
        <f>IF(N('Dvd Calendar'!$AF$22)=0,"",IF(('Dvd Calendar'!$AF$22&gt;=GRID_FROM)*('Dvd Calendar'!$AF$22&lt;=GRID_TO)*((('Dvd Calendar'!$AF$22&lt;=VAL_DATE)+(COUNTIF('Dvd Calendar'!$E$29:$AR$29,'Dvd Calendar'!$AF$22)=0))&gt;0)=0,"",'Dvd Calendar'!$AF$22*1000000000+ISNUMBER('Dvd Calendar'!$AF$25)*100000000+('Dvd Calendar'!$AF$27=SPECIAL_LBL)*10000000+(N('Dvd Calendar'!$AF$21)&gt;0)*(N('Dvd Calendar'!$AF$21)&lt;=VAL_SERIAL)*1000000+2*1000+28))</f>
        <v/>
      </c>
      <c r="FG13" s="39">
        <f>IF(N('Dvd Calendar'!$AG$22)=0,"",IF(('Dvd Calendar'!$AG$22&gt;=GRID_FROM)*('Dvd Calendar'!$AG$22&lt;=GRID_TO)*((('Dvd Calendar'!$AG$22&lt;=VAL_DATE)+(COUNTIF('Dvd Calendar'!$E$29:$AR$29,'Dvd Calendar'!$AG$22)=0))&gt;0)=0,"",'Dvd Calendar'!$AG$22*1000000000+ISNUMBER('Dvd Calendar'!$AG$25)*100000000+('Dvd Calendar'!$AG$27=SPECIAL_LBL)*10000000+(N('Dvd Calendar'!$AG$21)&gt;0)*(N('Dvd Calendar'!$AG$21)&lt;=VAL_SERIAL)*1000000+2*1000+29))</f>
        <v/>
      </c>
      <c r="FH13" s="39">
        <f>IF(N('Dvd Calendar'!$AH$22)=0,"",IF(('Dvd Calendar'!$AH$22&gt;=GRID_FROM)*('Dvd Calendar'!$AH$22&lt;=GRID_TO)*((('Dvd Calendar'!$AH$22&lt;=VAL_DATE)+(COUNTIF('Dvd Calendar'!$E$29:$AR$29,'Dvd Calendar'!$AH$22)=0))&gt;0)=0,"",'Dvd Calendar'!$AH$22*1000000000+ISNUMBER('Dvd Calendar'!$AH$25)*100000000+('Dvd Calendar'!$AH$27=SPECIAL_LBL)*10000000+(N('Dvd Calendar'!$AH$21)&gt;0)*(N('Dvd Calendar'!$AH$21)&lt;=VAL_SERIAL)*1000000+2*1000+30))</f>
        <v/>
      </c>
      <c r="FI13" s="39">
        <f>IF(N('Dvd Calendar'!$AI$22)=0,"",IF(('Dvd Calendar'!$AI$22&gt;=GRID_FROM)*('Dvd Calendar'!$AI$22&lt;=GRID_TO)*((('Dvd Calendar'!$AI$22&lt;=VAL_DATE)+(COUNTIF('Dvd Calendar'!$E$29:$AR$29,'Dvd Calendar'!$AI$22)=0))&gt;0)=0,"",'Dvd Calendar'!$AI$22*1000000000+ISNUMBER('Dvd Calendar'!$AI$25)*100000000+('Dvd Calendar'!$AI$27=SPECIAL_LBL)*10000000+(N('Dvd Calendar'!$AI$21)&gt;0)*(N('Dvd Calendar'!$AI$21)&lt;=VAL_SERIAL)*1000000+2*1000+31))</f>
        <v/>
      </c>
      <c r="FJ13" s="39">
        <f>IF(N('Dvd Calendar'!$AJ$22)=0,"",IF(('Dvd Calendar'!$AJ$22&gt;=GRID_FROM)*('Dvd Calendar'!$AJ$22&lt;=GRID_TO)*((('Dvd Calendar'!$AJ$22&lt;=VAL_DATE)+(COUNTIF('Dvd Calendar'!$E$29:$AR$29,'Dvd Calendar'!$AJ$22)=0))&gt;0)=0,"",'Dvd Calendar'!$AJ$22*1000000000+ISNUMBER('Dvd Calendar'!$AJ$25)*100000000+('Dvd Calendar'!$AJ$27=SPECIAL_LBL)*10000000+(N('Dvd Calendar'!$AJ$21)&gt;0)*(N('Dvd Calendar'!$AJ$21)&lt;=VAL_SERIAL)*1000000+2*1000+32))</f>
        <v/>
      </c>
      <c r="FK13" s="39">
        <f>IF(N('Dvd Calendar'!$AK$22)=0,"",IF(('Dvd Calendar'!$AK$22&gt;=GRID_FROM)*('Dvd Calendar'!$AK$22&lt;=GRID_TO)*((('Dvd Calendar'!$AK$22&lt;=VAL_DATE)+(COUNTIF('Dvd Calendar'!$E$29:$AR$29,'Dvd Calendar'!$AK$22)=0))&gt;0)=0,"",'Dvd Calendar'!$AK$22*1000000000+ISNUMBER('Dvd Calendar'!$AK$25)*100000000+('Dvd Calendar'!$AK$27=SPECIAL_LBL)*10000000+(N('Dvd Calendar'!$AK$21)&gt;0)*(N('Dvd Calendar'!$AK$21)&lt;=VAL_SERIAL)*1000000+2*1000+33))</f>
        <v/>
      </c>
      <c r="FL13" s="39">
        <f>IF(N('Dvd Calendar'!$AL$22)=0,"",IF(('Dvd Calendar'!$AL$22&gt;=GRID_FROM)*('Dvd Calendar'!$AL$22&lt;=GRID_TO)*((('Dvd Calendar'!$AL$22&lt;=VAL_DATE)+(COUNTIF('Dvd Calendar'!$E$29:$AR$29,'Dvd Calendar'!$AL$22)=0))&gt;0)=0,"",'Dvd Calendar'!$AL$22*1000000000+ISNUMBER('Dvd Calendar'!$AL$25)*100000000+('Dvd Calendar'!$AL$27=SPECIAL_LBL)*10000000+(N('Dvd Calendar'!$AL$21)&gt;0)*(N('Dvd Calendar'!$AL$21)&lt;=VAL_SERIAL)*1000000+2*1000+34))</f>
        <v/>
      </c>
      <c r="FM13" s="39">
        <f>IF(N('Dvd Calendar'!$AM$22)=0,"",IF(('Dvd Calendar'!$AM$22&gt;=GRID_FROM)*('Dvd Calendar'!$AM$22&lt;=GRID_TO)*((('Dvd Calendar'!$AM$22&lt;=VAL_DATE)+(COUNTIF('Dvd Calendar'!$E$29:$AR$29,'Dvd Calendar'!$AM$22)=0))&gt;0)=0,"",'Dvd Calendar'!$AM$22*1000000000+ISNUMBER('Dvd Calendar'!$AM$25)*100000000+('Dvd Calendar'!$AM$27=SPECIAL_LBL)*10000000+(N('Dvd Calendar'!$AM$21)&gt;0)*(N('Dvd Calendar'!$AM$21)&lt;=VAL_SERIAL)*1000000+2*1000+35))</f>
        <v/>
      </c>
      <c r="FN13" s="39">
        <f>IF(N('Dvd Calendar'!$AN$22)=0,"",IF(('Dvd Calendar'!$AN$22&gt;=GRID_FROM)*('Dvd Calendar'!$AN$22&lt;=GRID_TO)*((('Dvd Calendar'!$AN$22&lt;=VAL_DATE)+(COUNTIF('Dvd Calendar'!$E$29:$AR$29,'Dvd Calendar'!$AN$22)=0))&gt;0)=0,"",'Dvd Calendar'!$AN$22*1000000000+ISNUMBER('Dvd Calendar'!$AN$25)*100000000+('Dvd Calendar'!$AN$27=SPECIAL_LBL)*10000000+(N('Dvd Calendar'!$AN$21)&gt;0)*(N('Dvd Calendar'!$AN$21)&lt;=VAL_SERIAL)*1000000+2*1000+36))</f>
        <v/>
      </c>
      <c r="FO13" s="39">
        <f>IF(N('Dvd Calendar'!$AO$22)=0,"",IF(('Dvd Calendar'!$AO$22&gt;=GRID_FROM)*('Dvd Calendar'!$AO$22&lt;=GRID_TO)*((('Dvd Calendar'!$AO$22&lt;=VAL_DATE)+(COUNTIF('Dvd Calendar'!$E$29:$AR$29,'Dvd Calendar'!$AO$22)=0))&gt;0)=0,"",'Dvd Calendar'!$AO$22*1000000000+ISNUMBER('Dvd Calendar'!$AO$25)*100000000+('Dvd Calendar'!$AO$27=SPECIAL_LBL)*10000000+(N('Dvd Calendar'!$AO$21)&gt;0)*(N('Dvd Calendar'!$AO$21)&lt;=VAL_SERIAL)*1000000+2*1000+37))</f>
        <v/>
      </c>
      <c r="FP13" s="39">
        <f>IF(N('Dvd Calendar'!$AP$22)=0,"",IF(('Dvd Calendar'!$AP$22&gt;=GRID_FROM)*('Dvd Calendar'!$AP$22&lt;=GRID_TO)*((('Dvd Calendar'!$AP$22&lt;=VAL_DATE)+(COUNTIF('Dvd Calendar'!$E$29:$AR$29,'Dvd Calendar'!$AP$22)=0))&gt;0)=0,"",'Dvd Calendar'!$AP$22*1000000000+ISNUMBER('Dvd Calendar'!$AP$25)*100000000+('Dvd Calendar'!$AP$27=SPECIAL_LBL)*10000000+(N('Dvd Calendar'!$AP$21)&gt;0)*(N('Dvd Calendar'!$AP$21)&lt;=VAL_SERIAL)*1000000+2*1000+38))</f>
        <v/>
      </c>
      <c r="FQ13" s="39">
        <f>IF(N('Dvd Calendar'!$AQ$22)=0,"",IF(('Dvd Calendar'!$AQ$22&gt;=GRID_FROM)*('Dvd Calendar'!$AQ$22&lt;=GRID_TO)*((('Dvd Calendar'!$AQ$22&lt;=VAL_DATE)+(COUNTIF('Dvd Calendar'!$E$29:$AR$29,'Dvd Calendar'!$AQ$22)=0))&gt;0)=0,"",'Dvd Calendar'!$AQ$22*1000000000+ISNUMBER('Dvd Calendar'!$AQ$25)*100000000+('Dvd Calendar'!$AQ$27=SPECIAL_LBL)*10000000+(N('Dvd Calendar'!$AQ$21)&gt;0)*(N('Dvd Calendar'!$AQ$21)&lt;=VAL_SERIAL)*1000000+2*1000+39))</f>
        <v/>
      </c>
      <c r="FR13" s="39">
        <f>IF(N('Dvd Calendar'!$AR$22)=0,"",IF(('Dvd Calendar'!$AR$22&gt;=GRID_FROM)*('Dvd Calendar'!$AR$22&lt;=GRID_TO)*((('Dvd Calendar'!$AR$22&lt;=VAL_DATE)+(COUNTIF('Dvd Calendar'!$E$29:$AR$29,'Dvd Calendar'!$AR$22)=0))&gt;0)=0,"",'Dvd Calendar'!$AR$22*1000000000+ISNUMBER('Dvd Calendar'!$AR$25)*100000000+('Dvd Calendar'!$AR$27=SPECIAL_LBL)*10000000+(N('Dvd Calendar'!$AR$21)&gt;0)*(N('Dvd Calendar'!$AR$21)&lt;=VAL_SERIAL)*1000000+2*1000+40))</f>
        <v/>
      </c>
      <c r="FS13" s="39">
        <f>IF(N('Dvd Calendar'!$E$29)=0,"",IF(('Dvd Calendar'!$E$29&gt;=GRID_FROM)*('Dvd Calendar'!$E$29&lt;=GRID_TO)*('Dvd Calendar'!$E$29&gt;VAL_DATE)=0,"",'Dvd Calendar'!$E$29*1000000000+ISNUMBER('Dvd Calendar'!$E$30)*100000000+0*10000000+(N('Dvd Calendar'!$E$28)&gt;0)*(N('Dvd Calendar'!$E$28)&lt;=VAL_SERIAL)*1000000+2*1000+41))</f>
        <v/>
      </c>
      <c r="FT13" s="39">
        <f>IF(N('Dvd Calendar'!$F$29)=0,"",IF(('Dvd Calendar'!$F$29&gt;=GRID_FROM)*('Dvd Calendar'!$F$29&lt;=GRID_TO)*('Dvd Calendar'!$F$29&gt;VAL_DATE)=0,"",'Dvd Calendar'!$F$29*1000000000+ISNUMBER('Dvd Calendar'!$F$30)*100000000+0*10000000+(N('Dvd Calendar'!$F$28)&gt;0)*(N('Dvd Calendar'!$F$28)&lt;=VAL_SERIAL)*1000000+2*1000+42))</f>
        <v/>
      </c>
      <c r="FU13" s="39">
        <f>IF(N('Dvd Calendar'!$G$29)=0,"",IF(('Dvd Calendar'!$G$29&gt;=GRID_FROM)*('Dvd Calendar'!$G$29&lt;=GRID_TO)*('Dvd Calendar'!$G$29&gt;VAL_DATE)=0,"",'Dvd Calendar'!$G$29*1000000000+ISNUMBER('Dvd Calendar'!$G$30)*100000000+0*10000000+(N('Dvd Calendar'!$G$28)&gt;0)*(N('Dvd Calendar'!$G$28)&lt;=VAL_SERIAL)*1000000+2*1000+43))</f>
        <v/>
      </c>
      <c r="FV13" s="39">
        <f>IF(N('Dvd Calendar'!$H$29)=0,"",IF(('Dvd Calendar'!$H$29&gt;=GRID_FROM)*('Dvd Calendar'!$H$29&lt;=GRID_TO)*('Dvd Calendar'!$H$29&gt;VAL_DATE)=0,"",'Dvd Calendar'!$H$29*1000000000+ISNUMBER('Dvd Calendar'!$H$30)*100000000+0*10000000+(N('Dvd Calendar'!$H$28)&gt;0)*(N('Dvd Calendar'!$H$28)&lt;=VAL_SERIAL)*1000000+2*1000+44))</f>
        <v/>
      </c>
      <c r="FW13" s="39">
        <f>IF(N('Dvd Calendar'!$I$29)=0,"",IF(('Dvd Calendar'!$I$29&gt;=GRID_FROM)*('Dvd Calendar'!$I$29&lt;=GRID_TO)*('Dvd Calendar'!$I$29&gt;VAL_DATE)=0,"",'Dvd Calendar'!$I$29*1000000000+ISNUMBER('Dvd Calendar'!$I$30)*100000000+0*10000000+(N('Dvd Calendar'!$I$28)&gt;0)*(N('Dvd Calendar'!$I$28)&lt;=VAL_SERIAL)*1000000+2*1000+45))</f>
        <v/>
      </c>
      <c r="FX13" s="39">
        <f>IF(N('Dvd Calendar'!$J$29)=0,"",IF(('Dvd Calendar'!$J$29&gt;=GRID_FROM)*('Dvd Calendar'!$J$29&lt;=GRID_TO)*('Dvd Calendar'!$J$29&gt;VAL_DATE)=0,"",'Dvd Calendar'!$J$29*1000000000+ISNUMBER('Dvd Calendar'!$J$30)*100000000+0*10000000+(N('Dvd Calendar'!$J$28)&gt;0)*(N('Dvd Calendar'!$J$28)&lt;=VAL_SERIAL)*1000000+2*1000+46))</f>
        <v/>
      </c>
      <c r="FY13" s="39">
        <f>IF(N('Dvd Calendar'!$K$29)=0,"",IF(('Dvd Calendar'!$K$29&gt;=GRID_FROM)*('Dvd Calendar'!$K$29&lt;=GRID_TO)*('Dvd Calendar'!$K$29&gt;VAL_DATE)=0,"",'Dvd Calendar'!$K$29*1000000000+ISNUMBER('Dvd Calendar'!$K$30)*100000000+0*10000000+(N('Dvd Calendar'!$K$28)&gt;0)*(N('Dvd Calendar'!$K$28)&lt;=VAL_SERIAL)*1000000+2*1000+47))</f>
        <v/>
      </c>
      <c r="FZ13" s="39">
        <f>IF(N('Dvd Calendar'!$L$29)=0,"",IF(('Dvd Calendar'!$L$29&gt;=GRID_FROM)*('Dvd Calendar'!$L$29&lt;=GRID_TO)*('Dvd Calendar'!$L$29&gt;VAL_DATE)=0,"",'Dvd Calendar'!$L$29*1000000000+ISNUMBER('Dvd Calendar'!$L$30)*100000000+0*10000000+(N('Dvd Calendar'!$L$28)&gt;0)*(N('Dvd Calendar'!$L$28)&lt;=VAL_SERIAL)*1000000+2*1000+48))</f>
        <v/>
      </c>
      <c r="GA13" s="39">
        <f>IF(N('Dvd Calendar'!$M$29)=0,"",IF(('Dvd Calendar'!$M$29&gt;=GRID_FROM)*('Dvd Calendar'!$M$29&lt;=GRID_TO)*('Dvd Calendar'!$M$29&gt;VAL_DATE)=0,"",'Dvd Calendar'!$M$29*1000000000+ISNUMBER('Dvd Calendar'!$M$30)*100000000+0*10000000+(N('Dvd Calendar'!$M$28)&gt;0)*(N('Dvd Calendar'!$M$28)&lt;=VAL_SERIAL)*1000000+2*1000+49))</f>
        <v/>
      </c>
      <c r="GB13" s="39">
        <f>IF(N('Dvd Calendar'!$N$29)=0,"",IF(('Dvd Calendar'!$N$29&gt;=GRID_FROM)*('Dvd Calendar'!$N$29&lt;=GRID_TO)*('Dvd Calendar'!$N$29&gt;VAL_DATE)=0,"",'Dvd Calendar'!$N$29*1000000000+ISNUMBER('Dvd Calendar'!$N$30)*100000000+0*10000000+(N('Dvd Calendar'!$N$28)&gt;0)*(N('Dvd Calendar'!$N$28)&lt;=VAL_SERIAL)*1000000+2*1000+50))</f>
        <v/>
      </c>
      <c r="GC13" s="39">
        <f>IF(N('Dvd Calendar'!$O$29)=0,"",IF(('Dvd Calendar'!$O$29&gt;=GRID_FROM)*('Dvd Calendar'!$O$29&lt;=GRID_TO)*('Dvd Calendar'!$O$29&gt;VAL_DATE)=0,"",'Dvd Calendar'!$O$29*1000000000+ISNUMBER('Dvd Calendar'!$O$30)*100000000+0*10000000+(N('Dvd Calendar'!$O$28)&gt;0)*(N('Dvd Calendar'!$O$28)&lt;=VAL_SERIAL)*1000000+2*1000+51))</f>
        <v/>
      </c>
      <c r="GD13" s="39">
        <f>IF(N('Dvd Calendar'!$P$29)=0,"",IF(('Dvd Calendar'!$P$29&gt;=GRID_FROM)*('Dvd Calendar'!$P$29&lt;=GRID_TO)*('Dvd Calendar'!$P$29&gt;VAL_DATE)=0,"",'Dvd Calendar'!$P$29*1000000000+ISNUMBER('Dvd Calendar'!$P$30)*100000000+0*10000000+(N('Dvd Calendar'!$P$28)&gt;0)*(N('Dvd Calendar'!$P$28)&lt;=VAL_SERIAL)*1000000+2*1000+52))</f>
        <v/>
      </c>
      <c r="GE13" s="39">
        <f>IF(N('Dvd Calendar'!$Q$29)=0,"",IF(('Dvd Calendar'!$Q$29&gt;=GRID_FROM)*('Dvd Calendar'!$Q$29&lt;=GRID_TO)*('Dvd Calendar'!$Q$29&gt;VAL_DATE)=0,"",'Dvd Calendar'!$Q$29*1000000000+ISNUMBER('Dvd Calendar'!$Q$30)*100000000+0*10000000+(N('Dvd Calendar'!$Q$28)&gt;0)*(N('Dvd Calendar'!$Q$28)&lt;=VAL_SERIAL)*1000000+2*1000+53))</f>
        <v/>
      </c>
      <c r="GF13" s="39">
        <f>IF(N('Dvd Calendar'!$R$29)=0,"",IF(('Dvd Calendar'!$R$29&gt;=GRID_FROM)*('Dvd Calendar'!$R$29&lt;=GRID_TO)*('Dvd Calendar'!$R$29&gt;VAL_DATE)=0,"",'Dvd Calendar'!$R$29*1000000000+ISNUMBER('Dvd Calendar'!$R$30)*100000000+0*10000000+(N('Dvd Calendar'!$R$28)&gt;0)*(N('Dvd Calendar'!$R$28)&lt;=VAL_SERIAL)*1000000+2*1000+54))</f>
        <v/>
      </c>
      <c r="GG13" s="39">
        <f>IF(N('Dvd Calendar'!$S$29)=0,"",IF(('Dvd Calendar'!$S$29&gt;=GRID_FROM)*('Dvd Calendar'!$S$29&lt;=GRID_TO)*('Dvd Calendar'!$S$29&gt;VAL_DATE)=0,"",'Dvd Calendar'!$S$29*1000000000+ISNUMBER('Dvd Calendar'!$S$30)*100000000+0*10000000+(N('Dvd Calendar'!$S$28)&gt;0)*(N('Dvd Calendar'!$S$28)&lt;=VAL_SERIAL)*1000000+2*1000+55))</f>
        <v/>
      </c>
      <c r="GH13" s="39">
        <f>IF(N('Dvd Calendar'!$T$29)=0,"",IF(('Dvd Calendar'!$T$29&gt;=GRID_FROM)*('Dvd Calendar'!$T$29&lt;=GRID_TO)*('Dvd Calendar'!$T$29&gt;VAL_DATE)=0,"",'Dvd Calendar'!$T$29*1000000000+ISNUMBER('Dvd Calendar'!$T$30)*100000000+0*10000000+(N('Dvd Calendar'!$T$28)&gt;0)*(N('Dvd Calendar'!$T$28)&lt;=VAL_SERIAL)*1000000+2*1000+56))</f>
        <v/>
      </c>
      <c r="GI13" s="39">
        <f>IF(N('Dvd Calendar'!$U$29)=0,"",IF(('Dvd Calendar'!$U$29&gt;=GRID_FROM)*('Dvd Calendar'!$U$29&lt;=GRID_TO)*('Dvd Calendar'!$U$29&gt;VAL_DATE)=0,"",'Dvd Calendar'!$U$29*1000000000+ISNUMBER('Dvd Calendar'!$U$30)*100000000+0*10000000+(N('Dvd Calendar'!$U$28)&gt;0)*(N('Dvd Calendar'!$U$28)&lt;=VAL_SERIAL)*1000000+2*1000+57))</f>
        <v/>
      </c>
      <c r="GJ13" s="39">
        <f>IF(N('Dvd Calendar'!$V$29)=0,"",IF(('Dvd Calendar'!$V$29&gt;=GRID_FROM)*('Dvd Calendar'!$V$29&lt;=GRID_TO)*('Dvd Calendar'!$V$29&gt;VAL_DATE)=0,"",'Dvd Calendar'!$V$29*1000000000+ISNUMBER('Dvd Calendar'!$V$30)*100000000+0*10000000+(N('Dvd Calendar'!$V$28)&gt;0)*(N('Dvd Calendar'!$V$28)&lt;=VAL_SERIAL)*1000000+2*1000+58))</f>
        <v/>
      </c>
      <c r="GK13" s="39">
        <f>IF(N('Dvd Calendar'!$W$29)=0,"",IF(('Dvd Calendar'!$W$29&gt;=GRID_FROM)*('Dvd Calendar'!$W$29&lt;=GRID_TO)*('Dvd Calendar'!$W$29&gt;VAL_DATE)=0,"",'Dvd Calendar'!$W$29*1000000000+ISNUMBER('Dvd Calendar'!$W$30)*100000000+0*10000000+(N('Dvd Calendar'!$W$28)&gt;0)*(N('Dvd Calendar'!$W$28)&lt;=VAL_SERIAL)*1000000+2*1000+59))</f>
        <v/>
      </c>
      <c r="GL13" s="39">
        <f>IF(N('Dvd Calendar'!$X$29)=0,"",IF(('Dvd Calendar'!$X$29&gt;=GRID_FROM)*('Dvd Calendar'!$X$29&lt;=GRID_TO)*('Dvd Calendar'!$X$29&gt;VAL_DATE)=0,"",'Dvd Calendar'!$X$29*1000000000+ISNUMBER('Dvd Calendar'!$X$30)*100000000+0*10000000+(N('Dvd Calendar'!$X$28)&gt;0)*(N('Dvd Calendar'!$X$28)&lt;=VAL_SERIAL)*1000000+2*1000+60))</f>
        <v/>
      </c>
      <c r="GM13" s="39">
        <f>IF(N('Dvd Calendar'!$Y$29)=0,"",IF(('Dvd Calendar'!$Y$29&gt;=GRID_FROM)*('Dvd Calendar'!$Y$29&lt;=GRID_TO)*('Dvd Calendar'!$Y$29&gt;VAL_DATE)=0,"",'Dvd Calendar'!$Y$29*1000000000+ISNUMBER('Dvd Calendar'!$Y$30)*100000000+0*10000000+(N('Dvd Calendar'!$Y$28)&gt;0)*(N('Dvd Calendar'!$Y$28)&lt;=VAL_SERIAL)*1000000+2*1000+61))</f>
        <v/>
      </c>
      <c r="GN13" s="39">
        <f>IF(N('Dvd Calendar'!$Z$29)=0,"",IF(('Dvd Calendar'!$Z$29&gt;=GRID_FROM)*('Dvd Calendar'!$Z$29&lt;=GRID_TO)*('Dvd Calendar'!$Z$29&gt;VAL_DATE)=0,"",'Dvd Calendar'!$Z$29*1000000000+ISNUMBER('Dvd Calendar'!$Z$30)*100000000+0*10000000+(N('Dvd Calendar'!$Z$28)&gt;0)*(N('Dvd Calendar'!$Z$28)&lt;=VAL_SERIAL)*1000000+2*1000+62))</f>
        <v/>
      </c>
      <c r="GO13" s="39">
        <f>IF(N('Dvd Calendar'!$AA$29)=0,"",IF(('Dvd Calendar'!$AA$29&gt;=GRID_FROM)*('Dvd Calendar'!$AA$29&lt;=GRID_TO)*('Dvd Calendar'!$AA$29&gt;VAL_DATE)=0,"",'Dvd Calendar'!$AA$29*1000000000+ISNUMBER('Dvd Calendar'!$AA$30)*100000000+0*10000000+(N('Dvd Calendar'!$AA$28)&gt;0)*(N('Dvd Calendar'!$AA$28)&lt;=VAL_SERIAL)*1000000+2*1000+63))</f>
        <v/>
      </c>
      <c r="GP13" s="39">
        <f>IF(N('Dvd Calendar'!$AB$29)=0,"",IF(('Dvd Calendar'!$AB$29&gt;=GRID_FROM)*('Dvd Calendar'!$AB$29&lt;=GRID_TO)*('Dvd Calendar'!$AB$29&gt;VAL_DATE)=0,"",'Dvd Calendar'!$AB$29*1000000000+ISNUMBER('Dvd Calendar'!$AB$30)*100000000+0*10000000+(N('Dvd Calendar'!$AB$28)&gt;0)*(N('Dvd Calendar'!$AB$28)&lt;=VAL_SERIAL)*1000000+2*1000+64))</f>
        <v/>
      </c>
      <c r="GQ13" s="39">
        <f>IF(N('Dvd Calendar'!$AC$29)=0,"",IF(('Dvd Calendar'!$AC$29&gt;=GRID_FROM)*('Dvd Calendar'!$AC$29&lt;=GRID_TO)*('Dvd Calendar'!$AC$29&gt;VAL_DATE)=0,"",'Dvd Calendar'!$AC$29*1000000000+ISNUMBER('Dvd Calendar'!$AC$30)*100000000+0*10000000+(N('Dvd Calendar'!$AC$28)&gt;0)*(N('Dvd Calendar'!$AC$28)&lt;=VAL_SERIAL)*1000000+2*1000+65))</f>
        <v/>
      </c>
    </row>
    <row r="14">
      <c r="B14" s="2">
        <f>IF(HSI!$C$9="","",HSI!$C$9)</f>
        <v/>
      </c>
      <c r="C14" s="110">
        <f>IF(EE14="","",IF(ISNUMBER('Dvd Calendar'!$E$36)=FALSE,"",IF((('Dvd Calendar'!$E$38=TYPE1)*(TYPE1&lt;&gt;"")+('Dvd Calendar'!$E$38=TYPE2)*(TYPE2&lt;&gt;"")+('Dvd Calendar'!$E$38=TYPE3)*(TYPE3&lt;&gt;"")+('Dvd Calendar'!$E$38=TYPE4)*(TYPE4&lt;&gt;"")+('Dvd Calendar'!$E$38=SPECIAL_LBL)*(INC_SPECIALS="Y"))=0,"",'Dvd Calendar'!$E$36)))</f>
        <v/>
      </c>
      <c r="D14" s="110">
        <f>IF(EF14="","",IF(ISNUMBER('Dvd Calendar'!$F$36)=FALSE,"",IF((('Dvd Calendar'!$F$38=TYPE1)*(TYPE1&lt;&gt;"")+('Dvd Calendar'!$F$38=TYPE2)*(TYPE2&lt;&gt;"")+('Dvd Calendar'!$F$38=TYPE3)*(TYPE3&lt;&gt;"")+('Dvd Calendar'!$F$38=TYPE4)*(TYPE4&lt;&gt;"")+('Dvd Calendar'!$F$38=SPECIAL_LBL)*(INC_SPECIALS="Y"))=0,"",'Dvd Calendar'!$F$36)))</f>
        <v/>
      </c>
      <c r="E14" s="110">
        <f>IF(EG14="","",IF(ISNUMBER('Dvd Calendar'!$G$36)=FALSE,"",IF((('Dvd Calendar'!$G$38=TYPE1)*(TYPE1&lt;&gt;"")+('Dvd Calendar'!$G$38=TYPE2)*(TYPE2&lt;&gt;"")+('Dvd Calendar'!$G$38=TYPE3)*(TYPE3&lt;&gt;"")+('Dvd Calendar'!$G$38=TYPE4)*(TYPE4&lt;&gt;"")+('Dvd Calendar'!$G$38=SPECIAL_LBL)*(INC_SPECIALS="Y"))=0,"",'Dvd Calendar'!$G$36)))</f>
        <v/>
      </c>
      <c r="F14" s="110">
        <f>IF(EH14="","",IF(ISNUMBER('Dvd Calendar'!$H$36)=FALSE,"",IF((('Dvd Calendar'!$H$38=TYPE1)*(TYPE1&lt;&gt;"")+('Dvd Calendar'!$H$38=TYPE2)*(TYPE2&lt;&gt;"")+('Dvd Calendar'!$H$38=TYPE3)*(TYPE3&lt;&gt;"")+('Dvd Calendar'!$H$38=TYPE4)*(TYPE4&lt;&gt;"")+('Dvd Calendar'!$H$38=SPECIAL_LBL)*(INC_SPECIALS="Y"))=0,"",'Dvd Calendar'!$H$36)))</f>
        <v/>
      </c>
      <c r="G14" s="110">
        <f>IF(EI14="","",IF(ISNUMBER('Dvd Calendar'!$I$36)=FALSE,"",IF((('Dvd Calendar'!$I$38=TYPE1)*(TYPE1&lt;&gt;"")+('Dvd Calendar'!$I$38=TYPE2)*(TYPE2&lt;&gt;"")+('Dvd Calendar'!$I$38=TYPE3)*(TYPE3&lt;&gt;"")+('Dvd Calendar'!$I$38=TYPE4)*(TYPE4&lt;&gt;"")+('Dvd Calendar'!$I$38=SPECIAL_LBL)*(INC_SPECIALS="Y"))=0,"",'Dvd Calendar'!$I$36)))</f>
        <v/>
      </c>
      <c r="H14" s="110">
        <f>IF(EJ14="","",IF(ISNUMBER('Dvd Calendar'!$J$36)=FALSE,"",IF((('Dvd Calendar'!$J$38=TYPE1)*(TYPE1&lt;&gt;"")+('Dvd Calendar'!$J$38=TYPE2)*(TYPE2&lt;&gt;"")+('Dvd Calendar'!$J$38=TYPE3)*(TYPE3&lt;&gt;"")+('Dvd Calendar'!$J$38=TYPE4)*(TYPE4&lt;&gt;"")+('Dvd Calendar'!$J$38=SPECIAL_LBL)*(INC_SPECIALS="Y"))=0,"",'Dvd Calendar'!$J$36)))</f>
        <v/>
      </c>
      <c r="I14" s="110">
        <f>IF(EK14="","",IF(ISNUMBER('Dvd Calendar'!$K$36)=FALSE,"",IF((('Dvd Calendar'!$K$38=TYPE1)*(TYPE1&lt;&gt;"")+('Dvd Calendar'!$K$38=TYPE2)*(TYPE2&lt;&gt;"")+('Dvd Calendar'!$K$38=TYPE3)*(TYPE3&lt;&gt;"")+('Dvd Calendar'!$K$38=TYPE4)*(TYPE4&lt;&gt;"")+('Dvd Calendar'!$K$38=SPECIAL_LBL)*(INC_SPECIALS="Y"))=0,"",'Dvd Calendar'!$K$36)))</f>
        <v/>
      </c>
      <c r="J14" s="110">
        <f>IF(EL14="","",IF(ISNUMBER('Dvd Calendar'!$L$36)=FALSE,"",IF((('Dvd Calendar'!$L$38=TYPE1)*(TYPE1&lt;&gt;"")+('Dvd Calendar'!$L$38=TYPE2)*(TYPE2&lt;&gt;"")+('Dvd Calendar'!$L$38=TYPE3)*(TYPE3&lt;&gt;"")+('Dvd Calendar'!$L$38=TYPE4)*(TYPE4&lt;&gt;"")+('Dvd Calendar'!$L$38=SPECIAL_LBL)*(INC_SPECIALS="Y"))=0,"",'Dvd Calendar'!$L$36)))</f>
        <v/>
      </c>
      <c r="K14" s="110">
        <f>IF(EM14="","",IF(ISNUMBER('Dvd Calendar'!$M$36)=FALSE,"",IF((('Dvd Calendar'!$M$38=TYPE1)*(TYPE1&lt;&gt;"")+('Dvd Calendar'!$M$38=TYPE2)*(TYPE2&lt;&gt;"")+('Dvd Calendar'!$M$38=TYPE3)*(TYPE3&lt;&gt;"")+('Dvd Calendar'!$M$38=TYPE4)*(TYPE4&lt;&gt;"")+('Dvd Calendar'!$M$38=SPECIAL_LBL)*(INC_SPECIALS="Y"))=0,"",'Dvd Calendar'!$M$36)))</f>
        <v/>
      </c>
      <c r="L14" s="110">
        <f>IF(EN14="","",IF(ISNUMBER('Dvd Calendar'!$N$36)=FALSE,"",IF((('Dvd Calendar'!$N$38=TYPE1)*(TYPE1&lt;&gt;"")+('Dvd Calendar'!$N$38=TYPE2)*(TYPE2&lt;&gt;"")+('Dvd Calendar'!$N$38=TYPE3)*(TYPE3&lt;&gt;"")+('Dvd Calendar'!$N$38=TYPE4)*(TYPE4&lt;&gt;"")+('Dvd Calendar'!$N$38=SPECIAL_LBL)*(INC_SPECIALS="Y"))=0,"",'Dvd Calendar'!$N$36)))</f>
        <v/>
      </c>
      <c r="M14" s="110">
        <f>IF(EO14="","",IF(ISNUMBER('Dvd Calendar'!$O$36)=FALSE,"",IF((('Dvd Calendar'!$O$38=TYPE1)*(TYPE1&lt;&gt;"")+('Dvd Calendar'!$O$38=TYPE2)*(TYPE2&lt;&gt;"")+('Dvd Calendar'!$O$38=TYPE3)*(TYPE3&lt;&gt;"")+('Dvd Calendar'!$O$38=TYPE4)*(TYPE4&lt;&gt;"")+('Dvd Calendar'!$O$38=SPECIAL_LBL)*(INC_SPECIALS="Y"))=0,"",'Dvd Calendar'!$O$36)))</f>
        <v/>
      </c>
      <c r="N14" s="110">
        <f>IF(EP14="","",IF(ISNUMBER('Dvd Calendar'!$P$36)=FALSE,"",IF((('Dvd Calendar'!$P$38=TYPE1)*(TYPE1&lt;&gt;"")+('Dvd Calendar'!$P$38=TYPE2)*(TYPE2&lt;&gt;"")+('Dvd Calendar'!$P$38=TYPE3)*(TYPE3&lt;&gt;"")+('Dvd Calendar'!$P$38=TYPE4)*(TYPE4&lt;&gt;"")+('Dvd Calendar'!$P$38=SPECIAL_LBL)*(INC_SPECIALS="Y"))=0,"",'Dvd Calendar'!$P$36)))</f>
        <v/>
      </c>
      <c r="O14" s="110">
        <f>IF(EQ14="","",IF(ISNUMBER('Dvd Calendar'!$Q$36)=FALSE,"",IF((('Dvd Calendar'!$Q$38=TYPE1)*(TYPE1&lt;&gt;"")+('Dvd Calendar'!$Q$38=TYPE2)*(TYPE2&lt;&gt;"")+('Dvd Calendar'!$Q$38=TYPE3)*(TYPE3&lt;&gt;"")+('Dvd Calendar'!$Q$38=TYPE4)*(TYPE4&lt;&gt;"")+('Dvd Calendar'!$Q$38=SPECIAL_LBL)*(INC_SPECIALS="Y"))=0,"",'Dvd Calendar'!$Q$36)))</f>
        <v/>
      </c>
      <c r="P14" s="110">
        <f>IF(ER14="","",IF(ISNUMBER('Dvd Calendar'!$R$36)=FALSE,"",IF((('Dvd Calendar'!$R$38=TYPE1)*(TYPE1&lt;&gt;"")+('Dvd Calendar'!$R$38=TYPE2)*(TYPE2&lt;&gt;"")+('Dvd Calendar'!$R$38=TYPE3)*(TYPE3&lt;&gt;"")+('Dvd Calendar'!$R$38=TYPE4)*(TYPE4&lt;&gt;"")+('Dvd Calendar'!$R$38=SPECIAL_LBL)*(INC_SPECIALS="Y"))=0,"",'Dvd Calendar'!$R$36)))</f>
        <v/>
      </c>
      <c r="Q14" s="110">
        <f>IF(ES14="","",IF(ISNUMBER('Dvd Calendar'!$S$36)=FALSE,"",IF((('Dvd Calendar'!$S$38=TYPE1)*(TYPE1&lt;&gt;"")+('Dvd Calendar'!$S$38=TYPE2)*(TYPE2&lt;&gt;"")+('Dvd Calendar'!$S$38=TYPE3)*(TYPE3&lt;&gt;"")+('Dvd Calendar'!$S$38=TYPE4)*(TYPE4&lt;&gt;"")+('Dvd Calendar'!$S$38=SPECIAL_LBL)*(INC_SPECIALS="Y"))=0,"",'Dvd Calendar'!$S$36)))</f>
        <v/>
      </c>
      <c r="R14" s="110">
        <f>IF(ET14="","",IF(ISNUMBER('Dvd Calendar'!$T$36)=FALSE,"",IF((('Dvd Calendar'!$T$38=TYPE1)*(TYPE1&lt;&gt;"")+('Dvd Calendar'!$T$38=TYPE2)*(TYPE2&lt;&gt;"")+('Dvd Calendar'!$T$38=TYPE3)*(TYPE3&lt;&gt;"")+('Dvd Calendar'!$T$38=TYPE4)*(TYPE4&lt;&gt;"")+('Dvd Calendar'!$T$38=SPECIAL_LBL)*(INC_SPECIALS="Y"))=0,"",'Dvd Calendar'!$T$36)))</f>
        <v/>
      </c>
      <c r="S14" s="110">
        <f>IF(EU14="","",IF(ISNUMBER('Dvd Calendar'!$U$36)=FALSE,"",IF((('Dvd Calendar'!$U$38=TYPE1)*(TYPE1&lt;&gt;"")+('Dvd Calendar'!$U$38=TYPE2)*(TYPE2&lt;&gt;"")+('Dvd Calendar'!$U$38=TYPE3)*(TYPE3&lt;&gt;"")+('Dvd Calendar'!$U$38=TYPE4)*(TYPE4&lt;&gt;"")+('Dvd Calendar'!$U$38=SPECIAL_LBL)*(INC_SPECIALS="Y"))=0,"",'Dvd Calendar'!$U$36)))</f>
        <v/>
      </c>
      <c r="T14" s="110">
        <f>IF(EV14="","",IF(ISNUMBER('Dvd Calendar'!$V$36)=FALSE,"",IF((('Dvd Calendar'!$V$38=TYPE1)*(TYPE1&lt;&gt;"")+('Dvd Calendar'!$V$38=TYPE2)*(TYPE2&lt;&gt;"")+('Dvd Calendar'!$V$38=TYPE3)*(TYPE3&lt;&gt;"")+('Dvd Calendar'!$V$38=TYPE4)*(TYPE4&lt;&gt;"")+('Dvd Calendar'!$V$38=SPECIAL_LBL)*(INC_SPECIALS="Y"))=0,"",'Dvd Calendar'!$V$36)))</f>
        <v/>
      </c>
      <c r="U14" s="110">
        <f>IF(EW14="","",IF(ISNUMBER('Dvd Calendar'!$W$36)=FALSE,"",IF((('Dvd Calendar'!$W$38=TYPE1)*(TYPE1&lt;&gt;"")+('Dvd Calendar'!$W$38=TYPE2)*(TYPE2&lt;&gt;"")+('Dvd Calendar'!$W$38=TYPE3)*(TYPE3&lt;&gt;"")+('Dvd Calendar'!$W$38=TYPE4)*(TYPE4&lt;&gt;"")+('Dvd Calendar'!$W$38=SPECIAL_LBL)*(INC_SPECIALS="Y"))=0,"",'Dvd Calendar'!$W$36)))</f>
        <v/>
      </c>
      <c r="V14" s="110">
        <f>IF(EX14="","",IF(ISNUMBER('Dvd Calendar'!$X$36)=FALSE,"",IF((('Dvd Calendar'!$X$38=TYPE1)*(TYPE1&lt;&gt;"")+('Dvd Calendar'!$X$38=TYPE2)*(TYPE2&lt;&gt;"")+('Dvd Calendar'!$X$38=TYPE3)*(TYPE3&lt;&gt;"")+('Dvd Calendar'!$X$38=TYPE4)*(TYPE4&lt;&gt;"")+('Dvd Calendar'!$X$38=SPECIAL_LBL)*(INC_SPECIALS="Y"))=0,"",'Dvd Calendar'!$X$36)))</f>
        <v/>
      </c>
      <c r="W14" s="110">
        <f>IF(EY14="","",IF(ISNUMBER('Dvd Calendar'!$Y$36)=FALSE,"",IF((('Dvd Calendar'!$Y$38=TYPE1)*(TYPE1&lt;&gt;"")+('Dvd Calendar'!$Y$38=TYPE2)*(TYPE2&lt;&gt;"")+('Dvd Calendar'!$Y$38=TYPE3)*(TYPE3&lt;&gt;"")+('Dvd Calendar'!$Y$38=TYPE4)*(TYPE4&lt;&gt;"")+('Dvd Calendar'!$Y$38=SPECIAL_LBL)*(INC_SPECIALS="Y"))=0,"",'Dvd Calendar'!$Y$36)))</f>
        <v/>
      </c>
      <c r="X14" s="110">
        <f>IF(EZ14="","",IF(ISNUMBER('Dvd Calendar'!$Z$36)=FALSE,"",IF((('Dvd Calendar'!$Z$38=TYPE1)*(TYPE1&lt;&gt;"")+('Dvd Calendar'!$Z$38=TYPE2)*(TYPE2&lt;&gt;"")+('Dvd Calendar'!$Z$38=TYPE3)*(TYPE3&lt;&gt;"")+('Dvd Calendar'!$Z$38=TYPE4)*(TYPE4&lt;&gt;"")+('Dvd Calendar'!$Z$38=SPECIAL_LBL)*(INC_SPECIALS="Y"))=0,"",'Dvd Calendar'!$Z$36)))</f>
        <v/>
      </c>
      <c r="Y14" s="110">
        <f>IF(FA14="","",IF(ISNUMBER('Dvd Calendar'!$AA$36)=FALSE,"",IF((('Dvd Calendar'!$AA$38=TYPE1)*(TYPE1&lt;&gt;"")+('Dvd Calendar'!$AA$38=TYPE2)*(TYPE2&lt;&gt;"")+('Dvd Calendar'!$AA$38=TYPE3)*(TYPE3&lt;&gt;"")+('Dvd Calendar'!$AA$38=TYPE4)*(TYPE4&lt;&gt;"")+('Dvd Calendar'!$AA$38=SPECIAL_LBL)*(INC_SPECIALS="Y"))=0,"",'Dvd Calendar'!$AA$36)))</f>
        <v/>
      </c>
      <c r="Z14" s="110">
        <f>IF(FB14="","",IF(ISNUMBER('Dvd Calendar'!$AB$36)=FALSE,"",IF((('Dvd Calendar'!$AB$38=TYPE1)*(TYPE1&lt;&gt;"")+('Dvd Calendar'!$AB$38=TYPE2)*(TYPE2&lt;&gt;"")+('Dvd Calendar'!$AB$38=TYPE3)*(TYPE3&lt;&gt;"")+('Dvd Calendar'!$AB$38=TYPE4)*(TYPE4&lt;&gt;"")+('Dvd Calendar'!$AB$38=SPECIAL_LBL)*(INC_SPECIALS="Y"))=0,"",'Dvd Calendar'!$AB$36)))</f>
        <v/>
      </c>
      <c r="AA14" s="110">
        <f>IF(FC14="","",IF(ISNUMBER('Dvd Calendar'!$AC$36)=FALSE,"",IF((('Dvd Calendar'!$AC$38=TYPE1)*(TYPE1&lt;&gt;"")+('Dvd Calendar'!$AC$38=TYPE2)*(TYPE2&lt;&gt;"")+('Dvd Calendar'!$AC$38=TYPE3)*(TYPE3&lt;&gt;"")+('Dvd Calendar'!$AC$38=TYPE4)*(TYPE4&lt;&gt;"")+('Dvd Calendar'!$AC$38=SPECIAL_LBL)*(INC_SPECIALS="Y"))=0,"",'Dvd Calendar'!$AC$36)))</f>
        <v/>
      </c>
      <c r="AB14" s="110">
        <f>IF(FD14="","",IF(ISNUMBER('Dvd Calendar'!$AD$36)=FALSE,"",IF((('Dvd Calendar'!$AD$38=TYPE1)*(TYPE1&lt;&gt;"")+('Dvd Calendar'!$AD$38=TYPE2)*(TYPE2&lt;&gt;"")+('Dvd Calendar'!$AD$38=TYPE3)*(TYPE3&lt;&gt;"")+('Dvd Calendar'!$AD$38=TYPE4)*(TYPE4&lt;&gt;"")+('Dvd Calendar'!$AD$38=SPECIAL_LBL)*(INC_SPECIALS="Y"))=0,"",'Dvd Calendar'!$AD$36)))</f>
        <v/>
      </c>
      <c r="AC14" s="110">
        <f>IF(FE14="","",IF(ISNUMBER('Dvd Calendar'!$AE$36)=FALSE,"",IF((('Dvd Calendar'!$AE$38=TYPE1)*(TYPE1&lt;&gt;"")+('Dvd Calendar'!$AE$38=TYPE2)*(TYPE2&lt;&gt;"")+('Dvd Calendar'!$AE$38=TYPE3)*(TYPE3&lt;&gt;"")+('Dvd Calendar'!$AE$38=TYPE4)*(TYPE4&lt;&gt;"")+('Dvd Calendar'!$AE$38=SPECIAL_LBL)*(INC_SPECIALS="Y"))=0,"",'Dvd Calendar'!$AE$36)))</f>
        <v/>
      </c>
      <c r="AD14" s="110">
        <f>IF(FF14="","",IF(ISNUMBER('Dvd Calendar'!$AF$36)=FALSE,"",IF((('Dvd Calendar'!$AF$38=TYPE1)*(TYPE1&lt;&gt;"")+('Dvd Calendar'!$AF$38=TYPE2)*(TYPE2&lt;&gt;"")+('Dvd Calendar'!$AF$38=TYPE3)*(TYPE3&lt;&gt;"")+('Dvd Calendar'!$AF$38=TYPE4)*(TYPE4&lt;&gt;"")+('Dvd Calendar'!$AF$38=SPECIAL_LBL)*(INC_SPECIALS="Y"))=0,"",'Dvd Calendar'!$AF$36)))</f>
        <v/>
      </c>
      <c r="AE14" s="110">
        <f>IF(FG14="","",IF(ISNUMBER('Dvd Calendar'!$AG$36)=FALSE,"",IF((('Dvd Calendar'!$AG$38=TYPE1)*(TYPE1&lt;&gt;"")+('Dvd Calendar'!$AG$38=TYPE2)*(TYPE2&lt;&gt;"")+('Dvd Calendar'!$AG$38=TYPE3)*(TYPE3&lt;&gt;"")+('Dvd Calendar'!$AG$38=TYPE4)*(TYPE4&lt;&gt;"")+('Dvd Calendar'!$AG$38=SPECIAL_LBL)*(INC_SPECIALS="Y"))=0,"",'Dvd Calendar'!$AG$36)))</f>
        <v/>
      </c>
      <c r="AF14" s="110">
        <f>IF(FH14="","",IF(ISNUMBER('Dvd Calendar'!$AH$36)=FALSE,"",IF((('Dvd Calendar'!$AH$38=TYPE1)*(TYPE1&lt;&gt;"")+('Dvd Calendar'!$AH$38=TYPE2)*(TYPE2&lt;&gt;"")+('Dvd Calendar'!$AH$38=TYPE3)*(TYPE3&lt;&gt;"")+('Dvd Calendar'!$AH$38=TYPE4)*(TYPE4&lt;&gt;"")+('Dvd Calendar'!$AH$38=SPECIAL_LBL)*(INC_SPECIALS="Y"))=0,"",'Dvd Calendar'!$AH$36)))</f>
        <v/>
      </c>
      <c r="AG14" s="110">
        <f>IF(FI14="","",IF(ISNUMBER('Dvd Calendar'!$AI$36)=FALSE,"",IF((('Dvd Calendar'!$AI$38=TYPE1)*(TYPE1&lt;&gt;"")+('Dvd Calendar'!$AI$38=TYPE2)*(TYPE2&lt;&gt;"")+('Dvd Calendar'!$AI$38=TYPE3)*(TYPE3&lt;&gt;"")+('Dvd Calendar'!$AI$38=TYPE4)*(TYPE4&lt;&gt;"")+('Dvd Calendar'!$AI$38=SPECIAL_LBL)*(INC_SPECIALS="Y"))=0,"",'Dvd Calendar'!$AI$36)))</f>
        <v/>
      </c>
      <c r="AH14" s="110">
        <f>IF(FJ14="","",IF(ISNUMBER('Dvd Calendar'!$AJ$36)=FALSE,"",IF((('Dvd Calendar'!$AJ$38=TYPE1)*(TYPE1&lt;&gt;"")+('Dvd Calendar'!$AJ$38=TYPE2)*(TYPE2&lt;&gt;"")+('Dvd Calendar'!$AJ$38=TYPE3)*(TYPE3&lt;&gt;"")+('Dvd Calendar'!$AJ$38=TYPE4)*(TYPE4&lt;&gt;"")+('Dvd Calendar'!$AJ$38=SPECIAL_LBL)*(INC_SPECIALS="Y"))=0,"",'Dvd Calendar'!$AJ$36)))</f>
        <v/>
      </c>
      <c r="AI14" s="110">
        <f>IF(FK14="","",IF(ISNUMBER('Dvd Calendar'!$AK$36)=FALSE,"",IF((('Dvd Calendar'!$AK$38=TYPE1)*(TYPE1&lt;&gt;"")+('Dvd Calendar'!$AK$38=TYPE2)*(TYPE2&lt;&gt;"")+('Dvd Calendar'!$AK$38=TYPE3)*(TYPE3&lt;&gt;"")+('Dvd Calendar'!$AK$38=TYPE4)*(TYPE4&lt;&gt;"")+('Dvd Calendar'!$AK$38=SPECIAL_LBL)*(INC_SPECIALS="Y"))=0,"",'Dvd Calendar'!$AK$36)))</f>
        <v/>
      </c>
      <c r="AJ14" s="110">
        <f>IF(FL14="","",IF(ISNUMBER('Dvd Calendar'!$AL$36)=FALSE,"",IF((('Dvd Calendar'!$AL$38=TYPE1)*(TYPE1&lt;&gt;"")+('Dvd Calendar'!$AL$38=TYPE2)*(TYPE2&lt;&gt;"")+('Dvd Calendar'!$AL$38=TYPE3)*(TYPE3&lt;&gt;"")+('Dvd Calendar'!$AL$38=TYPE4)*(TYPE4&lt;&gt;"")+('Dvd Calendar'!$AL$38=SPECIAL_LBL)*(INC_SPECIALS="Y"))=0,"",'Dvd Calendar'!$AL$36)))</f>
        <v/>
      </c>
      <c r="AK14" s="110">
        <f>IF(FM14="","",IF(ISNUMBER('Dvd Calendar'!$AM$36)=FALSE,"",IF((('Dvd Calendar'!$AM$38=TYPE1)*(TYPE1&lt;&gt;"")+('Dvd Calendar'!$AM$38=TYPE2)*(TYPE2&lt;&gt;"")+('Dvd Calendar'!$AM$38=TYPE3)*(TYPE3&lt;&gt;"")+('Dvd Calendar'!$AM$38=TYPE4)*(TYPE4&lt;&gt;"")+('Dvd Calendar'!$AM$38=SPECIAL_LBL)*(INC_SPECIALS="Y"))=0,"",'Dvd Calendar'!$AM$36)))</f>
        <v/>
      </c>
      <c r="AL14" s="110">
        <f>IF(FN14="","",IF(ISNUMBER('Dvd Calendar'!$AN$36)=FALSE,"",IF((('Dvd Calendar'!$AN$38=TYPE1)*(TYPE1&lt;&gt;"")+('Dvd Calendar'!$AN$38=TYPE2)*(TYPE2&lt;&gt;"")+('Dvd Calendar'!$AN$38=TYPE3)*(TYPE3&lt;&gt;"")+('Dvd Calendar'!$AN$38=TYPE4)*(TYPE4&lt;&gt;"")+('Dvd Calendar'!$AN$38=SPECIAL_LBL)*(INC_SPECIALS="Y"))=0,"",'Dvd Calendar'!$AN$36)))</f>
        <v/>
      </c>
      <c r="AM14" s="110">
        <f>IF(FO14="","",IF(ISNUMBER('Dvd Calendar'!$AO$36)=FALSE,"",IF((('Dvd Calendar'!$AO$38=TYPE1)*(TYPE1&lt;&gt;"")+('Dvd Calendar'!$AO$38=TYPE2)*(TYPE2&lt;&gt;"")+('Dvd Calendar'!$AO$38=TYPE3)*(TYPE3&lt;&gt;"")+('Dvd Calendar'!$AO$38=TYPE4)*(TYPE4&lt;&gt;"")+('Dvd Calendar'!$AO$38=SPECIAL_LBL)*(INC_SPECIALS="Y"))=0,"",'Dvd Calendar'!$AO$36)))</f>
        <v/>
      </c>
      <c r="AN14" s="110">
        <f>IF(FP14="","",IF(ISNUMBER('Dvd Calendar'!$AP$36)=FALSE,"",IF((('Dvd Calendar'!$AP$38=TYPE1)*(TYPE1&lt;&gt;"")+('Dvd Calendar'!$AP$38=TYPE2)*(TYPE2&lt;&gt;"")+('Dvd Calendar'!$AP$38=TYPE3)*(TYPE3&lt;&gt;"")+('Dvd Calendar'!$AP$38=TYPE4)*(TYPE4&lt;&gt;"")+('Dvd Calendar'!$AP$38=SPECIAL_LBL)*(INC_SPECIALS="Y"))=0,"",'Dvd Calendar'!$AP$36)))</f>
        <v/>
      </c>
      <c r="AO14" s="110">
        <f>IF(FQ14="","",IF(ISNUMBER('Dvd Calendar'!$AQ$36)=FALSE,"",IF((('Dvd Calendar'!$AQ$38=TYPE1)*(TYPE1&lt;&gt;"")+('Dvd Calendar'!$AQ$38=TYPE2)*(TYPE2&lt;&gt;"")+('Dvd Calendar'!$AQ$38=TYPE3)*(TYPE3&lt;&gt;"")+('Dvd Calendar'!$AQ$38=TYPE4)*(TYPE4&lt;&gt;"")+('Dvd Calendar'!$AQ$38=SPECIAL_LBL)*(INC_SPECIALS="Y"))=0,"",'Dvd Calendar'!$AQ$36)))</f>
        <v/>
      </c>
      <c r="AP14" s="110">
        <f>IF(FR14="","",IF(ISNUMBER('Dvd Calendar'!$AR$36)=FALSE,"",IF((('Dvd Calendar'!$AR$38=TYPE1)*(TYPE1&lt;&gt;"")+('Dvd Calendar'!$AR$38=TYPE2)*(TYPE2&lt;&gt;"")+('Dvd Calendar'!$AR$38=TYPE3)*(TYPE3&lt;&gt;"")+('Dvd Calendar'!$AR$38=TYPE4)*(TYPE4&lt;&gt;"")+('Dvd Calendar'!$AR$38=SPECIAL_LBL)*(INC_SPECIALS="Y"))=0,"",'Dvd Calendar'!$AR$36)))</f>
        <v/>
      </c>
      <c r="AQ14" s="110">
        <f>IF(FS14="","",IF(ISNUMBER('Dvd Calendar'!$E$41)=FALSE,"",'Dvd Calendar'!$E$41))</f>
        <v/>
      </c>
      <c r="AR14" s="110">
        <f>IF(FT14="","",IF(ISNUMBER('Dvd Calendar'!$F$41)=FALSE,"",'Dvd Calendar'!$F$41))</f>
        <v/>
      </c>
      <c r="AS14" s="110">
        <f>IF(FU14="","",IF(ISNUMBER('Dvd Calendar'!$G$41)=FALSE,"",'Dvd Calendar'!$G$41))</f>
        <v/>
      </c>
      <c r="AT14" s="110">
        <f>IF(FV14="","",IF(ISNUMBER('Dvd Calendar'!$H$41)=FALSE,"",'Dvd Calendar'!$H$41))</f>
        <v/>
      </c>
      <c r="AU14" s="110">
        <f>IF(FW14="","",IF(ISNUMBER('Dvd Calendar'!$I$41)=FALSE,"",'Dvd Calendar'!$I$41))</f>
        <v/>
      </c>
      <c r="AV14" s="110">
        <f>IF(FX14="","",IF(ISNUMBER('Dvd Calendar'!$J$41)=FALSE,"",'Dvd Calendar'!$J$41))</f>
        <v/>
      </c>
      <c r="AW14" s="110">
        <f>IF(FY14="","",IF(ISNUMBER('Dvd Calendar'!$K$41)=FALSE,"",'Dvd Calendar'!$K$41))</f>
        <v/>
      </c>
      <c r="AX14" s="110">
        <f>IF(FZ14="","",IF(ISNUMBER('Dvd Calendar'!$L$41)=FALSE,"",'Dvd Calendar'!$L$41))</f>
        <v/>
      </c>
      <c r="AY14" s="110">
        <f>IF(GA14="","",IF(ISNUMBER('Dvd Calendar'!$M$41)=FALSE,"",'Dvd Calendar'!$M$41))</f>
        <v/>
      </c>
      <c r="AZ14" s="110">
        <f>IF(GB14="","",IF(ISNUMBER('Dvd Calendar'!$N$41)=FALSE,"",'Dvd Calendar'!$N$41))</f>
        <v/>
      </c>
      <c r="BA14" s="110">
        <f>IF(GC14="","",IF(ISNUMBER('Dvd Calendar'!$O$41)=FALSE,"",'Dvd Calendar'!$O$41))</f>
        <v/>
      </c>
      <c r="BB14" s="110">
        <f>IF(GD14="","",IF(ISNUMBER('Dvd Calendar'!$P$41)=FALSE,"",'Dvd Calendar'!$P$41))</f>
        <v/>
      </c>
      <c r="BC14" s="110">
        <f>IF(GE14="","",IF(ISNUMBER('Dvd Calendar'!$Q$41)=FALSE,"",'Dvd Calendar'!$Q$41))</f>
        <v/>
      </c>
      <c r="BD14" s="110">
        <f>IF(GF14="","",IF(ISNUMBER('Dvd Calendar'!$R$41)=FALSE,"",'Dvd Calendar'!$R$41))</f>
        <v/>
      </c>
      <c r="BE14" s="110">
        <f>IF(GG14="","",IF(ISNUMBER('Dvd Calendar'!$S$41)=FALSE,"",'Dvd Calendar'!$S$41))</f>
        <v/>
      </c>
      <c r="BF14" s="110">
        <f>IF(GH14="","",IF(ISNUMBER('Dvd Calendar'!$T$41)=FALSE,"",'Dvd Calendar'!$T$41))</f>
        <v/>
      </c>
      <c r="BG14" s="110">
        <f>IF(GI14="","",IF(ISNUMBER('Dvd Calendar'!$U$41)=FALSE,"",'Dvd Calendar'!$U$41))</f>
        <v/>
      </c>
      <c r="BH14" s="110">
        <f>IF(GJ14="","",IF(ISNUMBER('Dvd Calendar'!$V$41)=FALSE,"",'Dvd Calendar'!$V$41))</f>
        <v/>
      </c>
      <c r="BI14" s="110">
        <f>IF(GK14="","",IF(ISNUMBER('Dvd Calendar'!$W$41)=FALSE,"",'Dvd Calendar'!$W$41))</f>
        <v/>
      </c>
      <c r="BJ14" s="110">
        <f>IF(GL14="","",IF(ISNUMBER('Dvd Calendar'!$X$41)=FALSE,"",'Dvd Calendar'!$X$41))</f>
        <v/>
      </c>
      <c r="BK14" s="110">
        <f>IF(GM14="","",IF(ISNUMBER('Dvd Calendar'!$Y$41)=FALSE,"",'Dvd Calendar'!$Y$41))</f>
        <v/>
      </c>
      <c r="BL14" s="110">
        <f>IF(GN14="","",IF(ISNUMBER('Dvd Calendar'!$Z$41)=FALSE,"",'Dvd Calendar'!$Z$41))</f>
        <v/>
      </c>
      <c r="BM14" s="110">
        <f>IF(GO14="","",IF(ISNUMBER('Dvd Calendar'!$AA$41)=FALSE,"",'Dvd Calendar'!$AA$41))</f>
        <v/>
      </c>
      <c r="BN14" s="110">
        <f>IF(GP14="","",IF(ISNUMBER('Dvd Calendar'!$AB$41)=FALSE,"",'Dvd Calendar'!$AB$41))</f>
        <v/>
      </c>
      <c r="BO14" s="110">
        <f>IF(GQ14="","",IF(ISNUMBER('Dvd Calendar'!$AC$41)=FALSE,"",'Dvd Calendar'!$AC$41))</f>
        <v/>
      </c>
      <c r="BQ14" s="110">
        <f>IF(C14="","",IFERROR(C14*HSI!$B$9*HSI!$G$9/HSI!$B$3,""))</f>
        <v/>
      </c>
      <c r="BR14" s="110">
        <f>IF(D14="","",IFERROR(D14*HSI!$B$9*HSI!$G$9/HSI!$B$3,""))</f>
        <v/>
      </c>
      <c r="BS14" s="110">
        <f>IF(E14="","",IFERROR(E14*HSI!$B$9*HSI!$G$9/HSI!$B$3,""))</f>
        <v/>
      </c>
      <c r="BT14" s="110">
        <f>IF(F14="","",IFERROR(F14*HSI!$B$9*HSI!$G$9/HSI!$B$3,""))</f>
        <v/>
      </c>
      <c r="BU14" s="110">
        <f>IF(G14="","",IFERROR(G14*HSI!$B$9*HSI!$G$9/HSI!$B$3,""))</f>
        <v/>
      </c>
      <c r="BV14" s="110">
        <f>IF(H14="","",IFERROR(H14*HSI!$B$9*HSI!$G$9/HSI!$B$3,""))</f>
        <v/>
      </c>
      <c r="BW14" s="110">
        <f>IF(I14="","",IFERROR(I14*HSI!$B$9*HSI!$G$9/HSI!$B$3,""))</f>
        <v/>
      </c>
      <c r="BX14" s="110">
        <f>IF(J14="","",IFERROR(J14*HSI!$B$9*HSI!$G$9/HSI!$B$3,""))</f>
        <v/>
      </c>
      <c r="BY14" s="110">
        <f>IF(K14="","",IFERROR(K14*HSI!$B$9*HSI!$G$9/HSI!$B$3,""))</f>
        <v/>
      </c>
      <c r="BZ14" s="110">
        <f>IF(L14="","",IFERROR(L14*HSI!$B$9*HSI!$G$9/HSI!$B$3,""))</f>
        <v/>
      </c>
      <c r="CA14" s="110">
        <f>IF(M14="","",IFERROR(M14*HSI!$B$9*HSI!$G$9/HSI!$B$3,""))</f>
        <v/>
      </c>
      <c r="CB14" s="110">
        <f>IF(N14="","",IFERROR(N14*HSI!$B$9*HSI!$G$9/HSI!$B$3,""))</f>
        <v/>
      </c>
      <c r="CC14" s="110">
        <f>IF(O14="","",IFERROR(O14*HSI!$B$9*HSI!$G$9/HSI!$B$3,""))</f>
        <v/>
      </c>
      <c r="CD14" s="110">
        <f>IF(P14="","",IFERROR(P14*HSI!$B$9*HSI!$G$9/HSI!$B$3,""))</f>
        <v/>
      </c>
      <c r="CE14" s="110">
        <f>IF(Q14="","",IFERROR(Q14*HSI!$B$9*HSI!$G$9/HSI!$B$3,""))</f>
        <v/>
      </c>
      <c r="CF14" s="110">
        <f>IF(R14="","",IFERROR(R14*HSI!$B$9*HSI!$G$9/HSI!$B$3,""))</f>
        <v/>
      </c>
      <c r="CG14" s="110">
        <f>IF(S14="","",IFERROR(S14*HSI!$B$9*HSI!$G$9/HSI!$B$3,""))</f>
        <v/>
      </c>
      <c r="CH14" s="110">
        <f>IF(T14="","",IFERROR(T14*HSI!$B$9*HSI!$G$9/HSI!$B$3,""))</f>
        <v/>
      </c>
      <c r="CI14" s="110">
        <f>IF(U14="","",IFERROR(U14*HSI!$B$9*HSI!$G$9/HSI!$B$3,""))</f>
        <v/>
      </c>
      <c r="CJ14" s="110">
        <f>IF(V14="","",IFERROR(V14*HSI!$B$9*HSI!$G$9/HSI!$B$3,""))</f>
        <v/>
      </c>
      <c r="CK14" s="110">
        <f>IF(W14="","",IFERROR(W14*HSI!$B$9*HSI!$G$9/HSI!$B$3,""))</f>
        <v/>
      </c>
      <c r="CL14" s="110">
        <f>IF(X14="","",IFERROR(X14*HSI!$B$9*HSI!$G$9/HSI!$B$3,""))</f>
        <v/>
      </c>
      <c r="CM14" s="110">
        <f>IF(Y14="","",IFERROR(Y14*HSI!$B$9*HSI!$G$9/HSI!$B$3,""))</f>
        <v/>
      </c>
      <c r="CN14" s="110">
        <f>IF(Z14="","",IFERROR(Z14*HSI!$B$9*HSI!$G$9/HSI!$B$3,""))</f>
        <v/>
      </c>
      <c r="CO14" s="110">
        <f>IF(AA14="","",IFERROR(AA14*HSI!$B$9*HSI!$G$9/HSI!$B$3,""))</f>
        <v/>
      </c>
      <c r="CP14" s="110">
        <f>IF(AB14="","",IFERROR(AB14*HSI!$B$9*HSI!$G$9/HSI!$B$3,""))</f>
        <v/>
      </c>
      <c r="CQ14" s="110">
        <f>IF(AC14="","",IFERROR(AC14*HSI!$B$9*HSI!$G$9/HSI!$B$3,""))</f>
        <v/>
      </c>
      <c r="CR14" s="110">
        <f>IF(AD14="","",IFERROR(AD14*HSI!$B$9*HSI!$G$9/HSI!$B$3,""))</f>
        <v/>
      </c>
      <c r="CS14" s="110">
        <f>IF(AE14="","",IFERROR(AE14*HSI!$B$9*HSI!$G$9/HSI!$B$3,""))</f>
        <v/>
      </c>
      <c r="CT14" s="110">
        <f>IF(AF14="","",IFERROR(AF14*HSI!$B$9*HSI!$G$9/HSI!$B$3,""))</f>
        <v/>
      </c>
      <c r="CU14" s="110">
        <f>IF(AG14="","",IFERROR(AG14*HSI!$B$9*HSI!$G$9/HSI!$B$3,""))</f>
        <v/>
      </c>
      <c r="CV14" s="110">
        <f>IF(AH14="","",IFERROR(AH14*HSI!$B$9*HSI!$G$9/HSI!$B$3,""))</f>
        <v/>
      </c>
      <c r="CW14" s="110">
        <f>IF(AI14="","",IFERROR(AI14*HSI!$B$9*HSI!$G$9/HSI!$B$3,""))</f>
        <v/>
      </c>
      <c r="CX14" s="110">
        <f>IF(AJ14="","",IFERROR(AJ14*HSI!$B$9*HSI!$G$9/HSI!$B$3,""))</f>
        <v/>
      </c>
      <c r="CY14" s="110">
        <f>IF(AK14="","",IFERROR(AK14*HSI!$B$9*HSI!$G$9/HSI!$B$3,""))</f>
        <v/>
      </c>
      <c r="CZ14" s="110">
        <f>IF(AL14="","",IFERROR(AL14*HSI!$B$9*HSI!$G$9/HSI!$B$3,""))</f>
        <v/>
      </c>
      <c r="DA14" s="110">
        <f>IF(AM14="","",IFERROR(AM14*HSI!$B$9*HSI!$G$9/HSI!$B$3,""))</f>
        <v/>
      </c>
      <c r="DB14" s="110">
        <f>IF(AN14="","",IFERROR(AN14*HSI!$B$9*HSI!$G$9/HSI!$B$3,""))</f>
        <v/>
      </c>
      <c r="DC14" s="110">
        <f>IF(AO14="","",IFERROR(AO14*HSI!$B$9*HSI!$G$9/HSI!$B$3,""))</f>
        <v/>
      </c>
      <c r="DD14" s="110">
        <f>IF(AP14="","",IFERROR(AP14*HSI!$B$9*HSI!$G$9/HSI!$B$3,""))</f>
        <v/>
      </c>
      <c r="DE14" s="110">
        <f>IF(AQ14="","",IFERROR(AQ14*HSI!$B$9*HSI!$G$9/HSI!$B$3,""))</f>
        <v/>
      </c>
      <c r="DF14" s="110">
        <f>IF(AR14="","",IFERROR(AR14*HSI!$B$9*HSI!$G$9/HSI!$B$3,""))</f>
        <v/>
      </c>
      <c r="DG14" s="110">
        <f>IF(AS14="","",IFERROR(AS14*HSI!$B$9*HSI!$G$9/HSI!$B$3,""))</f>
        <v/>
      </c>
      <c r="DH14" s="110">
        <f>IF(AT14="","",IFERROR(AT14*HSI!$B$9*HSI!$G$9/HSI!$B$3,""))</f>
        <v/>
      </c>
      <c r="DI14" s="110">
        <f>IF(AU14="","",IFERROR(AU14*HSI!$B$9*HSI!$G$9/HSI!$B$3,""))</f>
        <v/>
      </c>
      <c r="DJ14" s="110">
        <f>IF(AV14="","",IFERROR(AV14*HSI!$B$9*HSI!$G$9/HSI!$B$3,""))</f>
        <v/>
      </c>
      <c r="DK14" s="110">
        <f>IF(AW14="","",IFERROR(AW14*HSI!$B$9*HSI!$G$9/HSI!$B$3,""))</f>
        <v/>
      </c>
      <c r="DL14" s="110">
        <f>IF(AX14="","",IFERROR(AX14*HSI!$B$9*HSI!$G$9/HSI!$B$3,""))</f>
        <v/>
      </c>
      <c r="DM14" s="110">
        <f>IF(AY14="","",IFERROR(AY14*HSI!$B$9*HSI!$G$9/HSI!$B$3,""))</f>
        <v/>
      </c>
      <c r="DN14" s="110">
        <f>IF(AZ14="","",IFERROR(AZ14*HSI!$B$9*HSI!$G$9/HSI!$B$3,""))</f>
        <v/>
      </c>
      <c r="DO14" s="110">
        <f>IF(BA14="","",IFERROR(BA14*HSI!$B$9*HSI!$G$9/HSI!$B$3,""))</f>
        <v/>
      </c>
      <c r="DP14" s="110">
        <f>IF(BB14="","",IFERROR(BB14*HSI!$B$9*HSI!$G$9/HSI!$B$3,""))</f>
        <v/>
      </c>
      <c r="DQ14" s="110">
        <f>IF(BC14="","",IFERROR(BC14*HSI!$B$9*HSI!$G$9/HSI!$B$3,""))</f>
        <v/>
      </c>
      <c r="DR14" s="110">
        <f>IF(BD14="","",IFERROR(BD14*HSI!$B$9*HSI!$G$9/HSI!$B$3,""))</f>
        <v/>
      </c>
      <c r="DS14" s="110">
        <f>IF(BE14="","",IFERROR(BE14*HSI!$B$9*HSI!$G$9/HSI!$B$3,""))</f>
        <v/>
      </c>
      <c r="DT14" s="110">
        <f>IF(BF14="","",IFERROR(BF14*HSI!$B$9*HSI!$G$9/HSI!$B$3,""))</f>
        <v/>
      </c>
      <c r="DU14" s="110">
        <f>IF(BG14="","",IFERROR(BG14*HSI!$B$9*HSI!$G$9/HSI!$B$3,""))</f>
        <v/>
      </c>
      <c r="DV14" s="110">
        <f>IF(BH14="","",IFERROR(BH14*HSI!$B$9*HSI!$G$9/HSI!$B$3,""))</f>
        <v/>
      </c>
      <c r="DW14" s="110">
        <f>IF(BI14="","",IFERROR(BI14*HSI!$B$9*HSI!$G$9/HSI!$B$3,""))</f>
        <v/>
      </c>
      <c r="DX14" s="110">
        <f>IF(BJ14="","",IFERROR(BJ14*HSI!$B$9*HSI!$G$9/HSI!$B$3,""))</f>
        <v/>
      </c>
      <c r="DY14" s="110">
        <f>IF(BK14="","",IFERROR(BK14*HSI!$B$9*HSI!$G$9/HSI!$B$3,""))</f>
        <v/>
      </c>
      <c r="DZ14" s="110">
        <f>IF(BL14="","",IFERROR(BL14*HSI!$B$9*HSI!$G$9/HSI!$B$3,""))</f>
        <v/>
      </c>
      <c r="EA14" s="110">
        <f>IF(BM14="","",IFERROR(BM14*HSI!$B$9*HSI!$G$9/HSI!$B$3,""))</f>
        <v/>
      </c>
      <c r="EB14" s="110">
        <f>IF(BN14="","",IFERROR(BN14*HSI!$B$9*HSI!$G$9/HSI!$B$3,""))</f>
        <v/>
      </c>
      <c r="EC14" s="110">
        <f>IF(BO14="","",IFERROR(BO14*HSI!$B$9*HSI!$G$9/HSI!$B$3,""))</f>
        <v/>
      </c>
      <c r="EE14" s="39">
        <f>IF(N('Dvd Calendar'!$E$33)=0,"",IF(('Dvd Calendar'!$E$33&gt;=GRID_FROM)*('Dvd Calendar'!$E$33&lt;=GRID_TO)*((('Dvd Calendar'!$E$33&lt;=VAL_DATE)+(COUNTIF('Dvd Calendar'!$E$40:$AR$40,'Dvd Calendar'!$E$33)=0))&gt;0)=0,"",'Dvd Calendar'!$E$33*1000000000+ISNUMBER('Dvd Calendar'!$E$36)*100000000+('Dvd Calendar'!$E$38=SPECIAL_LBL)*10000000+(N('Dvd Calendar'!$E$32)&gt;0)*(N('Dvd Calendar'!$E$32)&lt;=VAL_SERIAL)*1000000+3*1000+1))</f>
        <v/>
      </c>
      <c r="EF14" s="39">
        <f>IF(N('Dvd Calendar'!$F$33)=0,"",IF(('Dvd Calendar'!$F$33&gt;=GRID_FROM)*('Dvd Calendar'!$F$33&lt;=GRID_TO)*((('Dvd Calendar'!$F$33&lt;=VAL_DATE)+(COUNTIF('Dvd Calendar'!$E$40:$AR$40,'Dvd Calendar'!$F$33)=0))&gt;0)=0,"",'Dvd Calendar'!$F$33*1000000000+ISNUMBER('Dvd Calendar'!$F$36)*100000000+('Dvd Calendar'!$F$38=SPECIAL_LBL)*10000000+(N('Dvd Calendar'!$F$32)&gt;0)*(N('Dvd Calendar'!$F$32)&lt;=VAL_SERIAL)*1000000+3*1000+2))</f>
        <v/>
      </c>
      <c r="EG14" s="39">
        <f>IF(N('Dvd Calendar'!$G$33)=0,"",IF(('Dvd Calendar'!$G$33&gt;=GRID_FROM)*('Dvd Calendar'!$G$33&lt;=GRID_TO)*((('Dvd Calendar'!$G$33&lt;=VAL_DATE)+(COUNTIF('Dvd Calendar'!$E$40:$AR$40,'Dvd Calendar'!$G$33)=0))&gt;0)=0,"",'Dvd Calendar'!$G$33*1000000000+ISNUMBER('Dvd Calendar'!$G$36)*100000000+('Dvd Calendar'!$G$38=SPECIAL_LBL)*10000000+(N('Dvd Calendar'!$G$32)&gt;0)*(N('Dvd Calendar'!$G$32)&lt;=VAL_SERIAL)*1000000+3*1000+3))</f>
        <v/>
      </c>
      <c r="EH14" s="39">
        <f>IF(N('Dvd Calendar'!$H$33)=0,"",IF(('Dvd Calendar'!$H$33&gt;=GRID_FROM)*('Dvd Calendar'!$H$33&lt;=GRID_TO)*((('Dvd Calendar'!$H$33&lt;=VAL_DATE)+(COUNTIF('Dvd Calendar'!$E$40:$AR$40,'Dvd Calendar'!$H$33)=0))&gt;0)=0,"",'Dvd Calendar'!$H$33*1000000000+ISNUMBER('Dvd Calendar'!$H$36)*100000000+('Dvd Calendar'!$H$38=SPECIAL_LBL)*10000000+(N('Dvd Calendar'!$H$32)&gt;0)*(N('Dvd Calendar'!$H$32)&lt;=VAL_SERIAL)*1000000+3*1000+4))</f>
        <v/>
      </c>
      <c r="EI14" s="39">
        <f>IF(N('Dvd Calendar'!$I$33)=0,"",IF(('Dvd Calendar'!$I$33&gt;=GRID_FROM)*('Dvd Calendar'!$I$33&lt;=GRID_TO)*((('Dvd Calendar'!$I$33&lt;=VAL_DATE)+(COUNTIF('Dvd Calendar'!$E$40:$AR$40,'Dvd Calendar'!$I$33)=0))&gt;0)=0,"",'Dvd Calendar'!$I$33*1000000000+ISNUMBER('Dvd Calendar'!$I$36)*100000000+('Dvd Calendar'!$I$38=SPECIAL_LBL)*10000000+(N('Dvd Calendar'!$I$32)&gt;0)*(N('Dvd Calendar'!$I$32)&lt;=VAL_SERIAL)*1000000+3*1000+5))</f>
        <v/>
      </c>
      <c r="EJ14" s="39">
        <f>IF(N('Dvd Calendar'!$J$33)=0,"",IF(('Dvd Calendar'!$J$33&gt;=GRID_FROM)*('Dvd Calendar'!$J$33&lt;=GRID_TO)*((('Dvd Calendar'!$J$33&lt;=VAL_DATE)+(COUNTIF('Dvd Calendar'!$E$40:$AR$40,'Dvd Calendar'!$J$33)=0))&gt;0)=0,"",'Dvd Calendar'!$J$33*1000000000+ISNUMBER('Dvd Calendar'!$J$36)*100000000+('Dvd Calendar'!$J$38=SPECIAL_LBL)*10000000+(N('Dvd Calendar'!$J$32)&gt;0)*(N('Dvd Calendar'!$J$32)&lt;=VAL_SERIAL)*1000000+3*1000+6))</f>
        <v/>
      </c>
      <c r="EK14" s="39">
        <f>IF(N('Dvd Calendar'!$K$33)=0,"",IF(('Dvd Calendar'!$K$33&gt;=GRID_FROM)*('Dvd Calendar'!$K$33&lt;=GRID_TO)*((('Dvd Calendar'!$K$33&lt;=VAL_DATE)+(COUNTIF('Dvd Calendar'!$E$40:$AR$40,'Dvd Calendar'!$K$33)=0))&gt;0)=0,"",'Dvd Calendar'!$K$33*1000000000+ISNUMBER('Dvd Calendar'!$K$36)*100000000+('Dvd Calendar'!$K$38=SPECIAL_LBL)*10000000+(N('Dvd Calendar'!$K$32)&gt;0)*(N('Dvd Calendar'!$K$32)&lt;=VAL_SERIAL)*1000000+3*1000+7))</f>
        <v/>
      </c>
      <c r="EL14" s="39">
        <f>IF(N('Dvd Calendar'!$L$33)=0,"",IF(('Dvd Calendar'!$L$33&gt;=GRID_FROM)*('Dvd Calendar'!$L$33&lt;=GRID_TO)*((('Dvd Calendar'!$L$33&lt;=VAL_DATE)+(COUNTIF('Dvd Calendar'!$E$40:$AR$40,'Dvd Calendar'!$L$33)=0))&gt;0)=0,"",'Dvd Calendar'!$L$33*1000000000+ISNUMBER('Dvd Calendar'!$L$36)*100000000+('Dvd Calendar'!$L$38=SPECIAL_LBL)*10000000+(N('Dvd Calendar'!$L$32)&gt;0)*(N('Dvd Calendar'!$L$32)&lt;=VAL_SERIAL)*1000000+3*1000+8))</f>
        <v/>
      </c>
      <c r="EM14" s="39">
        <f>IF(N('Dvd Calendar'!$M$33)=0,"",IF(('Dvd Calendar'!$M$33&gt;=GRID_FROM)*('Dvd Calendar'!$M$33&lt;=GRID_TO)*((('Dvd Calendar'!$M$33&lt;=VAL_DATE)+(COUNTIF('Dvd Calendar'!$E$40:$AR$40,'Dvd Calendar'!$M$33)=0))&gt;0)=0,"",'Dvd Calendar'!$M$33*1000000000+ISNUMBER('Dvd Calendar'!$M$36)*100000000+('Dvd Calendar'!$M$38=SPECIAL_LBL)*10000000+(N('Dvd Calendar'!$M$32)&gt;0)*(N('Dvd Calendar'!$M$32)&lt;=VAL_SERIAL)*1000000+3*1000+9))</f>
        <v/>
      </c>
      <c r="EN14" s="39">
        <f>IF(N('Dvd Calendar'!$N$33)=0,"",IF(('Dvd Calendar'!$N$33&gt;=GRID_FROM)*('Dvd Calendar'!$N$33&lt;=GRID_TO)*((('Dvd Calendar'!$N$33&lt;=VAL_DATE)+(COUNTIF('Dvd Calendar'!$E$40:$AR$40,'Dvd Calendar'!$N$33)=0))&gt;0)=0,"",'Dvd Calendar'!$N$33*1000000000+ISNUMBER('Dvd Calendar'!$N$36)*100000000+('Dvd Calendar'!$N$38=SPECIAL_LBL)*10000000+(N('Dvd Calendar'!$N$32)&gt;0)*(N('Dvd Calendar'!$N$32)&lt;=VAL_SERIAL)*1000000+3*1000+10))</f>
        <v/>
      </c>
      <c r="EO14" s="39">
        <f>IF(N('Dvd Calendar'!$O$33)=0,"",IF(('Dvd Calendar'!$O$33&gt;=GRID_FROM)*('Dvd Calendar'!$O$33&lt;=GRID_TO)*((('Dvd Calendar'!$O$33&lt;=VAL_DATE)+(COUNTIF('Dvd Calendar'!$E$40:$AR$40,'Dvd Calendar'!$O$33)=0))&gt;0)=0,"",'Dvd Calendar'!$O$33*1000000000+ISNUMBER('Dvd Calendar'!$O$36)*100000000+('Dvd Calendar'!$O$38=SPECIAL_LBL)*10000000+(N('Dvd Calendar'!$O$32)&gt;0)*(N('Dvd Calendar'!$O$32)&lt;=VAL_SERIAL)*1000000+3*1000+11))</f>
        <v/>
      </c>
      <c r="EP14" s="39">
        <f>IF(N('Dvd Calendar'!$P$33)=0,"",IF(('Dvd Calendar'!$P$33&gt;=GRID_FROM)*('Dvd Calendar'!$P$33&lt;=GRID_TO)*((('Dvd Calendar'!$P$33&lt;=VAL_DATE)+(COUNTIF('Dvd Calendar'!$E$40:$AR$40,'Dvd Calendar'!$P$33)=0))&gt;0)=0,"",'Dvd Calendar'!$P$33*1000000000+ISNUMBER('Dvd Calendar'!$P$36)*100000000+('Dvd Calendar'!$P$38=SPECIAL_LBL)*10000000+(N('Dvd Calendar'!$P$32)&gt;0)*(N('Dvd Calendar'!$P$32)&lt;=VAL_SERIAL)*1000000+3*1000+12))</f>
        <v/>
      </c>
      <c r="EQ14" s="39">
        <f>IF(N('Dvd Calendar'!$Q$33)=0,"",IF(('Dvd Calendar'!$Q$33&gt;=GRID_FROM)*('Dvd Calendar'!$Q$33&lt;=GRID_TO)*((('Dvd Calendar'!$Q$33&lt;=VAL_DATE)+(COUNTIF('Dvd Calendar'!$E$40:$AR$40,'Dvd Calendar'!$Q$33)=0))&gt;0)=0,"",'Dvd Calendar'!$Q$33*1000000000+ISNUMBER('Dvd Calendar'!$Q$36)*100000000+('Dvd Calendar'!$Q$38=SPECIAL_LBL)*10000000+(N('Dvd Calendar'!$Q$32)&gt;0)*(N('Dvd Calendar'!$Q$32)&lt;=VAL_SERIAL)*1000000+3*1000+13))</f>
        <v/>
      </c>
      <c r="ER14" s="39">
        <f>IF(N('Dvd Calendar'!$R$33)=0,"",IF(('Dvd Calendar'!$R$33&gt;=GRID_FROM)*('Dvd Calendar'!$R$33&lt;=GRID_TO)*((('Dvd Calendar'!$R$33&lt;=VAL_DATE)+(COUNTIF('Dvd Calendar'!$E$40:$AR$40,'Dvd Calendar'!$R$33)=0))&gt;0)=0,"",'Dvd Calendar'!$R$33*1000000000+ISNUMBER('Dvd Calendar'!$R$36)*100000000+('Dvd Calendar'!$R$38=SPECIAL_LBL)*10000000+(N('Dvd Calendar'!$R$32)&gt;0)*(N('Dvd Calendar'!$R$32)&lt;=VAL_SERIAL)*1000000+3*1000+14))</f>
        <v/>
      </c>
      <c r="ES14" s="39">
        <f>IF(N('Dvd Calendar'!$S$33)=0,"",IF(('Dvd Calendar'!$S$33&gt;=GRID_FROM)*('Dvd Calendar'!$S$33&lt;=GRID_TO)*((('Dvd Calendar'!$S$33&lt;=VAL_DATE)+(COUNTIF('Dvd Calendar'!$E$40:$AR$40,'Dvd Calendar'!$S$33)=0))&gt;0)=0,"",'Dvd Calendar'!$S$33*1000000000+ISNUMBER('Dvd Calendar'!$S$36)*100000000+('Dvd Calendar'!$S$38=SPECIAL_LBL)*10000000+(N('Dvd Calendar'!$S$32)&gt;0)*(N('Dvd Calendar'!$S$32)&lt;=VAL_SERIAL)*1000000+3*1000+15))</f>
        <v/>
      </c>
      <c r="ET14" s="39">
        <f>IF(N('Dvd Calendar'!$T$33)=0,"",IF(('Dvd Calendar'!$T$33&gt;=GRID_FROM)*('Dvd Calendar'!$T$33&lt;=GRID_TO)*((('Dvd Calendar'!$T$33&lt;=VAL_DATE)+(COUNTIF('Dvd Calendar'!$E$40:$AR$40,'Dvd Calendar'!$T$33)=0))&gt;0)=0,"",'Dvd Calendar'!$T$33*1000000000+ISNUMBER('Dvd Calendar'!$T$36)*100000000+('Dvd Calendar'!$T$38=SPECIAL_LBL)*10000000+(N('Dvd Calendar'!$T$32)&gt;0)*(N('Dvd Calendar'!$T$32)&lt;=VAL_SERIAL)*1000000+3*1000+16))</f>
        <v/>
      </c>
      <c r="EU14" s="39">
        <f>IF(N('Dvd Calendar'!$U$33)=0,"",IF(('Dvd Calendar'!$U$33&gt;=GRID_FROM)*('Dvd Calendar'!$U$33&lt;=GRID_TO)*((('Dvd Calendar'!$U$33&lt;=VAL_DATE)+(COUNTIF('Dvd Calendar'!$E$40:$AR$40,'Dvd Calendar'!$U$33)=0))&gt;0)=0,"",'Dvd Calendar'!$U$33*1000000000+ISNUMBER('Dvd Calendar'!$U$36)*100000000+('Dvd Calendar'!$U$38=SPECIAL_LBL)*10000000+(N('Dvd Calendar'!$U$32)&gt;0)*(N('Dvd Calendar'!$U$32)&lt;=VAL_SERIAL)*1000000+3*1000+17))</f>
        <v/>
      </c>
      <c r="EV14" s="39">
        <f>IF(N('Dvd Calendar'!$V$33)=0,"",IF(('Dvd Calendar'!$V$33&gt;=GRID_FROM)*('Dvd Calendar'!$V$33&lt;=GRID_TO)*((('Dvd Calendar'!$V$33&lt;=VAL_DATE)+(COUNTIF('Dvd Calendar'!$E$40:$AR$40,'Dvd Calendar'!$V$33)=0))&gt;0)=0,"",'Dvd Calendar'!$V$33*1000000000+ISNUMBER('Dvd Calendar'!$V$36)*100000000+('Dvd Calendar'!$V$38=SPECIAL_LBL)*10000000+(N('Dvd Calendar'!$V$32)&gt;0)*(N('Dvd Calendar'!$V$32)&lt;=VAL_SERIAL)*1000000+3*1000+18))</f>
        <v/>
      </c>
      <c r="EW14" s="39">
        <f>IF(N('Dvd Calendar'!$W$33)=0,"",IF(('Dvd Calendar'!$W$33&gt;=GRID_FROM)*('Dvd Calendar'!$W$33&lt;=GRID_TO)*((('Dvd Calendar'!$W$33&lt;=VAL_DATE)+(COUNTIF('Dvd Calendar'!$E$40:$AR$40,'Dvd Calendar'!$W$33)=0))&gt;0)=0,"",'Dvd Calendar'!$W$33*1000000000+ISNUMBER('Dvd Calendar'!$W$36)*100000000+('Dvd Calendar'!$W$38=SPECIAL_LBL)*10000000+(N('Dvd Calendar'!$W$32)&gt;0)*(N('Dvd Calendar'!$W$32)&lt;=VAL_SERIAL)*1000000+3*1000+19))</f>
        <v/>
      </c>
      <c r="EX14" s="39">
        <f>IF(N('Dvd Calendar'!$X$33)=0,"",IF(('Dvd Calendar'!$X$33&gt;=GRID_FROM)*('Dvd Calendar'!$X$33&lt;=GRID_TO)*((('Dvd Calendar'!$X$33&lt;=VAL_DATE)+(COUNTIF('Dvd Calendar'!$E$40:$AR$40,'Dvd Calendar'!$X$33)=0))&gt;0)=0,"",'Dvd Calendar'!$X$33*1000000000+ISNUMBER('Dvd Calendar'!$X$36)*100000000+('Dvd Calendar'!$X$38=SPECIAL_LBL)*10000000+(N('Dvd Calendar'!$X$32)&gt;0)*(N('Dvd Calendar'!$X$32)&lt;=VAL_SERIAL)*1000000+3*1000+20))</f>
        <v/>
      </c>
      <c r="EY14" s="39">
        <f>IF(N('Dvd Calendar'!$Y$33)=0,"",IF(('Dvd Calendar'!$Y$33&gt;=GRID_FROM)*('Dvd Calendar'!$Y$33&lt;=GRID_TO)*((('Dvd Calendar'!$Y$33&lt;=VAL_DATE)+(COUNTIF('Dvd Calendar'!$E$40:$AR$40,'Dvd Calendar'!$Y$33)=0))&gt;0)=0,"",'Dvd Calendar'!$Y$33*1000000000+ISNUMBER('Dvd Calendar'!$Y$36)*100000000+('Dvd Calendar'!$Y$38=SPECIAL_LBL)*10000000+(N('Dvd Calendar'!$Y$32)&gt;0)*(N('Dvd Calendar'!$Y$32)&lt;=VAL_SERIAL)*1000000+3*1000+21))</f>
        <v/>
      </c>
      <c r="EZ14" s="39">
        <f>IF(N('Dvd Calendar'!$Z$33)=0,"",IF(('Dvd Calendar'!$Z$33&gt;=GRID_FROM)*('Dvd Calendar'!$Z$33&lt;=GRID_TO)*((('Dvd Calendar'!$Z$33&lt;=VAL_DATE)+(COUNTIF('Dvd Calendar'!$E$40:$AR$40,'Dvd Calendar'!$Z$33)=0))&gt;0)=0,"",'Dvd Calendar'!$Z$33*1000000000+ISNUMBER('Dvd Calendar'!$Z$36)*100000000+('Dvd Calendar'!$Z$38=SPECIAL_LBL)*10000000+(N('Dvd Calendar'!$Z$32)&gt;0)*(N('Dvd Calendar'!$Z$32)&lt;=VAL_SERIAL)*1000000+3*1000+22))</f>
        <v/>
      </c>
      <c r="FA14" s="39">
        <f>IF(N('Dvd Calendar'!$AA$33)=0,"",IF(('Dvd Calendar'!$AA$33&gt;=GRID_FROM)*('Dvd Calendar'!$AA$33&lt;=GRID_TO)*((('Dvd Calendar'!$AA$33&lt;=VAL_DATE)+(COUNTIF('Dvd Calendar'!$E$40:$AR$40,'Dvd Calendar'!$AA$33)=0))&gt;0)=0,"",'Dvd Calendar'!$AA$33*1000000000+ISNUMBER('Dvd Calendar'!$AA$36)*100000000+('Dvd Calendar'!$AA$38=SPECIAL_LBL)*10000000+(N('Dvd Calendar'!$AA$32)&gt;0)*(N('Dvd Calendar'!$AA$32)&lt;=VAL_SERIAL)*1000000+3*1000+23))</f>
        <v/>
      </c>
      <c r="FB14" s="39">
        <f>IF(N('Dvd Calendar'!$AB$33)=0,"",IF(('Dvd Calendar'!$AB$33&gt;=GRID_FROM)*('Dvd Calendar'!$AB$33&lt;=GRID_TO)*((('Dvd Calendar'!$AB$33&lt;=VAL_DATE)+(COUNTIF('Dvd Calendar'!$E$40:$AR$40,'Dvd Calendar'!$AB$33)=0))&gt;0)=0,"",'Dvd Calendar'!$AB$33*1000000000+ISNUMBER('Dvd Calendar'!$AB$36)*100000000+('Dvd Calendar'!$AB$38=SPECIAL_LBL)*10000000+(N('Dvd Calendar'!$AB$32)&gt;0)*(N('Dvd Calendar'!$AB$32)&lt;=VAL_SERIAL)*1000000+3*1000+24))</f>
        <v/>
      </c>
      <c r="FC14" s="39">
        <f>IF(N('Dvd Calendar'!$AC$33)=0,"",IF(('Dvd Calendar'!$AC$33&gt;=GRID_FROM)*('Dvd Calendar'!$AC$33&lt;=GRID_TO)*((('Dvd Calendar'!$AC$33&lt;=VAL_DATE)+(COUNTIF('Dvd Calendar'!$E$40:$AR$40,'Dvd Calendar'!$AC$33)=0))&gt;0)=0,"",'Dvd Calendar'!$AC$33*1000000000+ISNUMBER('Dvd Calendar'!$AC$36)*100000000+('Dvd Calendar'!$AC$38=SPECIAL_LBL)*10000000+(N('Dvd Calendar'!$AC$32)&gt;0)*(N('Dvd Calendar'!$AC$32)&lt;=VAL_SERIAL)*1000000+3*1000+25))</f>
        <v/>
      </c>
      <c r="FD14" s="39">
        <f>IF(N('Dvd Calendar'!$AD$33)=0,"",IF(('Dvd Calendar'!$AD$33&gt;=GRID_FROM)*('Dvd Calendar'!$AD$33&lt;=GRID_TO)*((('Dvd Calendar'!$AD$33&lt;=VAL_DATE)+(COUNTIF('Dvd Calendar'!$E$40:$AR$40,'Dvd Calendar'!$AD$33)=0))&gt;0)=0,"",'Dvd Calendar'!$AD$33*1000000000+ISNUMBER('Dvd Calendar'!$AD$36)*100000000+('Dvd Calendar'!$AD$38=SPECIAL_LBL)*10000000+(N('Dvd Calendar'!$AD$32)&gt;0)*(N('Dvd Calendar'!$AD$32)&lt;=VAL_SERIAL)*1000000+3*1000+26))</f>
        <v/>
      </c>
      <c r="FE14" s="39">
        <f>IF(N('Dvd Calendar'!$AE$33)=0,"",IF(('Dvd Calendar'!$AE$33&gt;=GRID_FROM)*('Dvd Calendar'!$AE$33&lt;=GRID_TO)*((('Dvd Calendar'!$AE$33&lt;=VAL_DATE)+(COUNTIF('Dvd Calendar'!$E$40:$AR$40,'Dvd Calendar'!$AE$33)=0))&gt;0)=0,"",'Dvd Calendar'!$AE$33*1000000000+ISNUMBER('Dvd Calendar'!$AE$36)*100000000+('Dvd Calendar'!$AE$38=SPECIAL_LBL)*10000000+(N('Dvd Calendar'!$AE$32)&gt;0)*(N('Dvd Calendar'!$AE$32)&lt;=VAL_SERIAL)*1000000+3*1000+27))</f>
        <v/>
      </c>
      <c r="FF14" s="39">
        <f>IF(N('Dvd Calendar'!$AF$33)=0,"",IF(('Dvd Calendar'!$AF$33&gt;=GRID_FROM)*('Dvd Calendar'!$AF$33&lt;=GRID_TO)*((('Dvd Calendar'!$AF$33&lt;=VAL_DATE)+(COUNTIF('Dvd Calendar'!$E$40:$AR$40,'Dvd Calendar'!$AF$33)=0))&gt;0)=0,"",'Dvd Calendar'!$AF$33*1000000000+ISNUMBER('Dvd Calendar'!$AF$36)*100000000+('Dvd Calendar'!$AF$38=SPECIAL_LBL)*10000000+(N('Dvd Calendar'!$AF$32)&gt;0)*(N('Dvd Calendar'!$AF$32)&lt;=VAL_SERIAL)*1000000+3*1000+28))</f>
        <v/>
      </c>
      <c r="FG14" s="39">
        <f>IF(N('Dvd Calendar'!$AG$33)=0,"",IF(('Dvd Calendar'!$AG$33&gt;=GRID_FROM)*('Dvd Calendar'!$AG$33&lt;=GRID_TO)*((('Dvd Calendar'!$AG$33&lt;=VAL_DATE)+(COUNTIF('Dvd Calendar'!$E$40:$AR$40,'Dvd Calendar'!$AG$33)=0))&gt;0)=0,"",'Dvd Calendar'!$AG$33*1000000000+ISNUMBER('Dvd Calendar'!$AG$36)*100000000+('Dvd Calendar'!$AG$38=SPECIAL_LBL)*10000000+(N('Dvd Calendar'!$AG$32)&gt;0)*(N('Dvd Calendar'!$AG$32)&lt;=VAL_SERIAL)*1000000+3*1000+29))</f>
        <v/>
      </c>
      <c r="FH14" s="39">
        <f>IF(N('Dvd Calendar'!$AH$33)=0,"",IF(('Dvd Calendar'!$AH$33&gt;=GRID_FROM)*('Dvd Calendar'!$AH$33&lt;=GRID_TO)*((('Dvd Calendar'!$AH$33&lt;=VAL_DATE)+(COUNTIF('Dvd Calendar'!$E$40:$AR$40,'Dvd Calendar'!$AH$33)=0))&gt;0)=0,"",'Dvd Calendar'!$AH$33*1000000000+ISNUMBER('Dvd Calendar'!$AH$36)*100000000+('Dvd Calendar'!$AH$38=SPECIAL_LBL)*10000000+(N('Dvd Calendar'!$AH$32)&gt;0)*(N('Dvd Calendar'!$AH$32)&lt;=VAL_SERIAL)*1000000+3*1000+30))</f>
        <v/>
      </c>
      <c r="FI14" s="39">
        <f>IF(N('Dvd Calendar'!$AI$33)=0,"",IF(('Dvd Calendar'!$AI$33&gt;=GRID_FROM)*('Dvd Calendar'!$AI$33&lt;=GRID_TO)*((('Dvd Calendar'!$AI$33&lt;=VAL_DATE)+(COUNTIF('Dvd Calendar'!$E$40:$AR$40,'Dvd Calendar'!$AI$33)=0))&gt;0)=0,"",'Dvd Calendar'!$AI$33*1000000000+ISNUMBER('Dvd Calendar'!$AI$36)*100000000+('Dvd Calendar'!$AI$38=SPECIAL_LBL)*10000000+(N('Dvd Calendar'!$AI$32)&gt;0)*(N('Dvd Calendar'!$AI$32)&lt;=VAL_SERIAL)*1000000+3*1000+31))</f>
        <v/>
      </c>
      <c r="FJ14" s="39">
        <f>IF(N('Dvd Calendar'!$AJ$33)=0,"",IF(('Dvd Calendar'!$AJ$33&gt;=GRID_FROM)*('Dvd Calendar'!$AJ$33&lt;=GRID_TO)*((('Dvd Calendar'!$AJ$33&lt;=VAL_DATE)+(COUNTIF('Dvd Calendar'!$E$40:$AR$40,'Dvd Calendar'!$AJ$33)=0))&gt;0)=0,"",'Dvd Calendar'!$AJ$33*1000000000+ISNUMBER('Dvd Calendar'!$AJ$36)*100000000+('Dvd Calendar'!$AJ$38=SPECIAL_LBL)*10000000+(N('Dvd Calendar'!$AJ$32)&gt;0)*(N('Dvd Calendar'!$AJ$32)&lt;=VAL_SERIAL)*1000000+3*1000+32))</f>
        <v/>
      </c>
      <c r="FK14" s="39">
        <f>IF(N('Dvd Calendar'!$AK$33)=0,"",IF(('Dvd Calendar'!$AK$33&gt;=GRID_FROM)*('Dvd Calendar'!$AK$33&lt;=GRID_TO)*((('Dvd Calendar'!$AK$33&lt;=VAL_DATE)+(COUNTIF('Dvd Calendar'!$E$40:$AR$40,'Dvd Calendar'!$AK$33)=0))&gt;0)=0,"",'Dvd Calendar'!$AK$33*1000000000+ISNUMBER('Dvd Calendar'!$AK$36)*100000000+('Dvd Calendar'!$AK$38=SPECIAL_LBL)*10000000+(N('Dvd Calendar'!$AK$32)&gt;0)*(N('Dvd Calendar'!$AK$32)&lt;=VAL_SERIAL)*1000000+3*1000+33))</f>
        <v/>
      </c>
      <c r="FL14" s="39">
        <f>IF(N('Dvd Calendar'!$AL$33)=0,"",IF(('Dvd Calendar'!$AL$33&gt;=GRID_FROM)*('Dvd Calendar'!$AL$33&lt;=GRID_TO)*((('Dvd Calendar'!$AL$33&lt;=VAL_DATE)+(COUNTIF('Dvd Calendar'!$E$40:$AR$40,'Dvd Calendar'!$AL$33)=0))&gt;0)=0,"",'Dvd Calendar'!$AL$33*1000000000+ISNUMBER('Dvd Calendar'!$AL$36)*100000000+('Dvd Calendar'!$AL$38=SPECIAL_LBL)*10000000+(N('Dvd Calendar'!$AL$32)&gt;0)*(N('Dvd Calendar'!$AL$32)&lt;=VAL_SERIAL)*1000000+3*1000+34))</f>
        <v/>
      </c>
      <c r="FM14" s="39">
        <f>IF(N('Dvd Calendar'!$AM$33)=0,"",IF(('Dvd Calendar'!$AM$33&gt;=GRID_FROM)*('Dvd Calendar'!$AM$33&lt;=GRID_TO)*((('Dvd Calendar'!$AM$33&lt;=VAL_DATE)+(COUNTIF('Dvd Calendar'!$E$40:$AR$40,'Dvd Calendar'!$AM$33)=0))&gt;0)=0,"",'Dvd Calendar'!$AM$33*1000000000+ISNUMBER('Dvd Calendar'!$AM$36)*100000000+('Dvd Calendar'!$AM$38=SPECIAL_LBL)*10000000+(N('Dvd Calendar'!$AM$32)&gt;0)*(N('Dvd Calendar'!$AM$32)&lt;=VAL_SERIAL)*1000000+3*1000+35))</f>
        <v/>
      </c>
      <c r="FN14" s="39">
        <f>IF(N('Dvd Calendar'!$AN$33)=0,"",IF(('Dvd Calendar'!$AN$33&gt;=GRID_FROM)*('Dvd Calendar'!$AN$33&lt;=GRID_TO)*((('Dvd Calendar'!$AN$33&lt;=VAL_DATE)+(COUNTIF('Dvd Calendar'!$E$40:$AR$40,'Dvd Calendar'!$AN$33)=0))&gt;0)=0,"",'Dvd Calendar'!$AN$33*1000000000+ISNUMBER('Dvd Calendar'!$AN$36)*100000000+('Dvd Calendar'!$AN$38=SPECIAL_LBL)*10000000+(N('Dvd Calendar'!$AN$32)&gt;0)*(N('Dvd Calendar'!$AN$32)&lt;=VAL_SERIAL)*1000000+3*1000+36))</f>
        <v/>
      </c>
      <c r="FO14" s="39">
        <f>IF(N('Dvd Calendar'!$AO$33)=0,"",IF(('Dvd Calendar'!$AO$33&gt;=GRID_FROM)*('Dvd Calendar'!$AO$33&lt;=GRID_TO)*((('Dvd Calendar'!$AO$33&lt;=VAL_DATE)+(COUNTIF('Dvd Calendar'!$E$40:$AR$40,'Dvd Calendar'!$AO$33)=0))&gt;0)=0,"",'Dvd Calendar'!$AO$33*1000000000+ISNUMBER('Dvd Calendar'!$AO$36)*100000000+('Dvd Calendar'!$AO$38=SPECIAL_LBL)*10000000+(N('Dvd Calendar'!$AO$32)&gt;0)*(N('Dvd Calendar'!$AO$32)&lt;=VAL_SERIAL)*1000000+3*1000+37))</f>
        <v/>
      </c>
      <c r="FP14" s="39">
        <f>IF(N('Dvd Calendar'!$AP$33)=0,"",IF(('Dvd Calendar'!$AP$33&gt;=GRID_FROM)*('Dvd Calendar'!$AP$33&lt;=GRID_TO)*((('Dvd Calendar'!$AP$33&lt;=VAL_DATE)+(COUNTIF('Dvd Calendar'!$E$40:$AR$40,'Dvd Calendar'!$AP$33)=0))&gt;0)=0,"",'Dvd Calendar'!$AP$33*1000000000+ISNUMBER('Dvd Calendar'!$AP$36)*100000000+('Dvd Calendar'!$AP$38=SPECIAL_LBL)*10000000+(N('Dvd Calendar'!$AP$32)&gt;0)*(N('Dvd Calendar'!$AP$32)&lt;=VAL_SERIAL)*1000000+3*1000+38))</f>
        <v/>
      </c>
      <c r="FQ14" s="39">
        <f>IF(N('Dvd Calendar'!$AQ$33)=0,"",IF(('Dvd Calendar'!$AQ$33&gt;=GRID_FROM)*('Dvd Calendar'!$AQ$33&lt;=GRID_TO)*((('Dvd Calendar'!$AQ$33&lt;=VAL_DATE)+(COUNTIF('Dvd Calendar'!$E$40:$AR$40,'Dvd Calendar'!$AQ$33)=0))&gt;0)=0,"",'Dvd Calendar'!$AQ$33*1000000000+ISNUMBER('Dvd Calendar'!$AQ$36)*100000000+('Dvd Calendar'!$AQ$38=SPECIAL_LBL)*10000000+(N('Dvd Calendar'!$AQ$32)&gt;0)*(N('Dvd Calendar'!$AQ$32)&lt;=VAL_SERIAL)*1000000+3*1000+39))</f>
        <v/>
      </c>
      <c r="FR14" s="39">
        <f>IF(N('Dvd Calendar'!$AR$33)=0,"",IF(('Dvd Calendar'!$AR$33&gt;=GRID_FROM)*('Dvd Calendar'!$AR$33&lt;=GRID_TO)*((('Dvd Calendar'!$AR$33&lt;=VAL_DATE)+(COUNTIF('Dvd Calendar'!$E$40:$AR$40,'Dvd Calendar'!$AR$33)=0))&gt;0)=0,"",'Dvd Calendar'!$AR$33*1000000000+ISNUMBER('Dvd Calendar'!$AR$36)*100000000+('Dvd Calendar'!$AR$38=SPECIAL_LBL)*10000000+(N('Dvd Calendar'!$AR$32)&gt;0)*(N('Dvd Calendar'!$AR$32)&lt;=VAL_SERIAL)*1000000+3*1000+40))</f>
        <v/>
      </c>
      <c r="FS14" s="39">
        <f>IF(N('Dvd Calendar'!$E$40)=0,"",IF(('Dvd Calendar'!$E$40&gt;=GRID_FROM)*('Dvd Calendar'!$E$40&lt;=GRID_TO)*('Dvd Calendar'!$E$40&gt;VAL_DATE)=0,"",'Dvd Calendar'!$E$40*1000000000+ISNUMBER('Dvd Calendar'!$E$41)*100000000+0*10000000+(N('Dvd Calendar'!$E$39)&gt;0)*(N('Dvd Calendar'!$E$39)&lt;=VAL_SERIAL)*1000000+3*1000+41))</f>
        <v/>
      </c>
      <c r="FT14" s="39">
        <f>IF(N('Dvd Calendar'!$F$40)=0,"",IF(('Dvd Calendar'!$F$40&gt;=GRID_FROM)*('Dvd Calendar'!$F$40&lt;=GRID_TO)*('Dvd Calendar'!$F$40&gt;VAL_DATE)=0,"",'Dvd Calendar'!$F$40*1000000000+ISNUMBER('Dvd Calendar'!$F$41)*100000000+0*10000000+(N('Dvd Calendar'!$F$39)&gt;0)*(N('Dvd Calendar'!$F$39)&lt;=VAL_SERIAL)*1000000+3*1000+42))</f>
        <v/>
      </c>
      <c r="FU14" s="39">
        <f>IF(N('Dvd Calendar'!$G$40)=0,"",IF(('Dvd Calendar'!$G$40&gt;=GRID_FROM)*('Dvd Calendar'!$G$40&lt;=GRID_TO)*('Dvd Calendar'!$G$40&gt;VAL_DATE)=0,"",'Dvd Calendar'!$G$40*1000000000+ISNUMBER('Dvd Calendar'!$G$41)*100000000+0*10000000+(N('Dvd Calendar'!$G$39)&gt;0)*(N('Dvd Calendar'!$G$39)&lt;=VAL_SERIAL)*1000000+3*1000+43))</f>
        <v/>
      </c>
      <c r="FV14" s="39">
        <f>IF(N('Dvd Calendar'!$H$40)=0,"",IF(('Dvd Calendar'!$H$40&gt;=GRID_FROM)*('Dvd Calendar'!$H$40&lt;=GRID_TO)*('Dvd Calendar'!$H$40&gt;VAL_DATE)=0,"",'Dvd Calendar'!$H$40*1000000000+ISNUMBER('Dvd Calendar'!$H$41)*100000000+0*10000000+(N('Dvd Calendar'!$H$39)&gt;0)*(N('Dvd Calendar'!$H$39)&lt;=VAL_SERIAL)*1000000+3*1000+44))</f>
        <v/>
      </c>
      <c r="FW14" s="39">
        <f>IF(N('Dvd Calendar'!$I$40)=0,"",IF(('Dvd Calendar'!$I$40&gt;=GRID_FROM)*('Dvd Calendar'!$I$40&lt;=GRID_TO)*('Dvd Calendar'!$I$40&gt;VAL_DATE)=0,"",'Dvd Calendar'!$I$40*1000000000+ISNUMBER('Dvd Calendar'!$I$41)*100000000+0*10000000+(N('Dvd Calendar'!$I$39)&gt;0)*(N('Dvd Calendar'!$I$39)&lt;=VAL_SERIAL)*1000000+3*1000+45))</f>
        <v/>
      </c>
      <c r="FX14" s="39">
        <f>IF(N('Dvd Calendar'!$J$40)=0,"",IF(('Dvd Calendar'!$J$40&gt;=GRID_FROM)*('Dvd Calendar'!$J$40&lt;=GRID_TO)*('Dvd Calendar'!$J$40&gt;VAL_DATE)=0,"",'Dvd Calendar'!$J$40*1000000000+ISNUMBER('Dvd Calendar'!$J$41)*100000000+0*10000000+(N('Dvd Calendar'!$J$39)&gt;0)*(N('Dvd Calendar'!$J$39)&lt;=VAL_SERIAL)*1000000+3*1000+46))</f>
        <v/>
      </c>
      <c r="FY14" s="39">
        <f>IF(N('Dvd Calendar'!$K$40)=0,"",IF(('Dvd Calendar'!$K$40&gt;=GRID_FROM)*('Dvd Calendar'!$K$40&lt;=GRID_TO)*('Dvd Calendar'!$K$40&gt;VAL_DATE)=0,"",'Dvd Calendar'!$K$40*1000000000+ISNUMBER('Dvd Calendar'!$K$41)*100000000+0*10000000+(N('Dvd Calendar'!$K$39)&gt;0)*(N('Dvd Calendar'!$K$39)&lt;=VAL_SERIAL)*1000000+3*1000+47))</f>
        <v/>
      </c>
      <c r="FZ14" s="39">
        <f>IF(N('Dvd Calendar'!$L$40)=0,"",IF(('Dvd Calendar'!$L$40&gt;=GRID_FROM)*('Dvd Calendar'!$L$40&lt;=GRID_TO)*('Dvd Calendar'!$L$40&gt;VAL_DATE)=0,"",'Dvd Calendar'!$L$40*1000000000+ISNUMBER('Dvd Calendar'!$L$41)*100000000+0*10000000+(N('Dvd Calendar'!$L$39)&gt;0)*(N('Dvd Calendar'!$L$39)&lt;=VAL_SERIAL)*1000000+3*1000+48))</f>
        <v/>
      </c>
      <c r="GA14" s="39">
        <f>IF(N('Dvd Calendar'!$M$40)=0,"",IF(('Dvd Calendar'!$M$40&gt;=GRID_FROM)*('Dvd Calendar'!$M$40&lt;=GRID_TO)*('Dvd Calendar'!$M$40&gt;VAL_DATE)=0,"",'Dvd Calendar'!$M$40*1000000000+ISNUMBER('Dvd Calendar'!$M$41)*100000000+0*10000000+(N('Dvd Calendar'!$M$39)&gt;0)*(N('Dvd Calendar'!$M$39)&lt;=VAL_SERIAL)*1000000+3*1000+49))</f>
        <v/>
      </c>
      <c r="GB14" s="39">
        <f>IF(N('Dvd Calendar'!$N$40)=0,"",IF(('Dvd Calendar'!$N$40&gt;=GRID_FROM)*('Dvd Calendar'!$N$40&lt;=GRID_TO)*('Dvd Calendar'!$N$40&gt;VAL_DATE)=0,"",'Dvd Calendar'!$N$40*1000000000+ISNUMBER('Dvd Calendar'!$N$41)*100000000+0*10000000+(N('Dvd Calendar'!$N$39)&gt;0)*(N('Dvd Calendar'!$N$39)&lt;=VAL_SERIAL)*1000000+3*1000+50))</f>
        <v/>
      </c>
      <c r="GC14" s="39">
        <f>IF(N('Dvd Calendar'!$O$40)=0,"",IF(('Dvd Calendar'!$O$40&gt;=GRID_FROM)*('Dvd Calendar'!$O$40&lt;=GRID_TO)*('Dvd Calendar'!$O$40&gt;VAL_DATE)=0,"",'Dvd Calendar'!$O$40*1000000000+ISNUMBER('Dvd Calendar'!$O$41)*100000000+0*10000000+(N('Dvd Calendar'!$O$39)&gt;0)*(N('Dvd Calendar'!$O$39)&lt;=VAL_SERIAL)*1000000+3*1000+51))</f>
        <v/>
      </c>
      <c r="GD14" s="39">
        <f>IF(N('Dvd Calendar'!$P$40)=0,"",IF(('Dvd Calendar'!$P$40&gt;=GRID_FROM)*('Dvd Calendar'!$P$40&lt;=GRID_TO)*('Dvd Calendar'!$P$40&gt;VAL_DATE)=0,"",'Dvd Calendar'!$P$40*1000000000+ISNUMBER('Dvd Calendar'!$P$41)*100000000+0*10000000+(N('Dvd Calendar'!$P$39)&gt;0)*(N('Dvd Calendar'!$P$39)&lt;=VAL_SERIAL)*1000000+3*1000+52))</f>
        <v/>
      </c>
      <c r="GE14" s="39">
        <f>IF(N('Dvd Calendar'!$Q$40)=0,"",IF(('Dvd Calendar'!$Q$40&gt;=GRID_FROM)*('Dvd Calendar'!$Q$40&lt;=GRID_TO)*('Dvd Calendar'!$Q$40&gt;VAL_DATE)=0,"",'Dvd Calendar'!$Q$40*1000000000+ISNUMBER('Dvd Calendar'!$Q$41)*100000000+0*10000000+(N('Dvd Calendar'!$Q$39)&gt;0)*(N('Dvd Calendar'!$Q$39)&lt;=VAL_SERIAL)*1000000+3*1000+53))</f>
        <v/>
      </c>
      <c r="GF14" s="39">
        <f>IF(N('Dvd Calendar'!$R$40)=0,"",IF(('Dvd Calendar'!$R$40&gt;=GRID_FROM)*('Dvd Calendar'!$R$40&lt;=GRID_TO)*('Dvd Calendar'!$R$40&gt;VAL_DATE)=0,"",'Dvd Calendar'!$R$40*1000000000+ISNUMBER('Dvd Calendar'!$R$41)*100000000+0*10000000+(N('Dvd Calendar'!$R$39)&gt;0)*(N('Dvd Calendar'!$R$39)&lt;=VAL_SERIAL)*1000000+3*1000+54))</f>
        <v/>
      </c>
      <c r="GG14" s="39">
        <f>IF(N('Dvd Calendar'!$S$40)=0,"",IF(('Dvd Calendar'!$S$40&gt;=GRID_FROM)*('Dvd Calendar'!$S$40&lt;=GRID_TO)*('Dvd Calendar'!$S$40&gt;VAL_DATE)=0,"",'Dvd Calendar'!$S$40*1000000000+ISNUMBER('Dvd Calendar'!$S$41)*100000000+0*10000000+(N('Dvd Calendar'!$S$39)&gt;0)*(N('Dvd Calendar'!$S$39)&lt;=VAL_SERIAL)*1000000+3*1000+55))</f>
        <v/>
      </c>
      <c r="GH14" s="39">
        <f>IF(N('Dvd Calendar'!$T$40)=0,"",IF(('Dvd Calendar'!$T$40&gt;=GRID_FROM)*('Dvd Calendar'!$T$40&lt;=GRID_TO)*('Dvd Calendar'!$T$40&gt;VAL_DATE)=0,"",'Dvd Calendar'!$T$40*1000000000+ISNUMBER('Dvd Calendar'!$T$41)*100000000+0*10000000+(N('Dvd Calendar'!$T$39)&gt;0)*(N('Dvd Calendar'!$T$39)&lt;=VAL_SERIAL)*1000000+3*1000+56))</f>
        <v/>
      </c>
      <c r="GI14" s="39">
        <f>IF(N('Dvd Calendar'!$U$40)=0,"",IF(('Dvd Calendar'!$U$40&gt;=GRID_FROM)*('Dvd Calendar'!$U$40&lt;=GRID_TO)*('Dvd Calendar'!$U$40&gt;VAL_DATE)=0,"",'Dvd Calendar'!$U$40*1000000000+ISNUMBER('Dvd Calendar'!$U$41)*100000000+0*10000000+(N('Dvd Calendar'!$U$39)&gt;0)*(N('Dvd Calendar'!$U$39)&lt;=VAL_SERIAL)*1000000+3*1000+57))</f>
        <v/>
      </c>
      <c r="GJ14" s="39">
        <f>IF(N('Dvd Calendar'!$V$40)=0,"",IF(('Dvd Calendar'!$V$40&gt;=GRID_FROM)*('Dvd Calendar'!$V$40&lt;=GRID_TO)*('Dvd Calendar'!$V$40&gt;VAL_DATE)=0,"",'Dvd Calendar'!$V$40*1000000000+ISNUMBER('Dvd Calendar'!$V$41)*100000000+0*10000000+(N('Dvd Calendar'!$V$39)&gt;0)*(N('Dvd Calendar'!$V$39)&lt;=VAL_SERIAL)*1000000+3*1000+58))</f>
        <v/>
      </c>
      <c r="GK14" s="39">
        <f>IF(N('Dvd Calendar'!$W$40)=0,"",IF(('Dvd Calendar'!$W$40&gt;=GRID_FROM)*('Dvd Calendar'!$W$40&lt;=GRID_TO)*('Dvd Calendar'!$W$40&gt;VAL_DATE)=0,"",'Dvd Calendar'!$W$40*1000000000+ISNUMBER('Dvd Calendar'!$W$41)*100000000+0*10000000+(N('Dvd Calendar'!$W$39)&gt;0)*(N('Dvd Calendar'!$W$39)&lt;=VAL_SERIAL)*1000000+3*1000+59))</f>
        <v/>
      </c>
      <c r="GL14" s="39">
        <f>IF(N('Dvd Calendar'!$X$40)=0,"",IF(('Dvd Calendar'!$X$40&gt;=GRID_FROM)*('Dvd Calendar'!$X$40&lt;=GRID_TO)*('Dvd Calendar'!$X$40&gt;VAL_DATE)=0,"",'Dvd Calendar'!$X$40*1000000000+ISNUMBER('Dvd Calendar'!$X$41)*100000000+0*10000000+(N('Dvd Calendar'!$X$39)&gt;0)*(N('Dvd Calendar'!$X$39)&lt;=VAL_SERIAL)*1000000+3*1000+60))</f>
        <v/>
      </c>
      <c r="GM14" s="39">
        <f>IF(N('Dvd Calendar'!$Y$40)=0,"",IF(('Dvd Calendar'!$Y$40&gt;=GRID_FROM)*('Dvd Calendar'!$Y$40&lt;=GRID_TO)*('Dvd Calendar'!$Y$40&gt;VAL_DATE)=0,"",'Dvd Calendar'!$Y$40*1000000000+ISNUMBER('Dvd Calendar'!$Y$41)*100000000+0*10000000+(N('Dvd Calendar'!$Y$39)&gt;0)*(N('Dvd Calendar'!$Y$39)&lt;=VAL_SERIAL)*1000000+3*1000+61))</f>
        <v/>
      </c>
      <c r="GN14" s="39">
        <f>IF(N('Dvd Calendar'!$Z$40)=0,"",IF(('Dvd Calendar'!$Z$40&gt;=GRID_FROM)*('Dvd Calendar'!$Z$40&lt;=GRID_TO)*('Dvd Calendar'!$Z$40&gt;VAL_DATE)=0,"",'Dvd Calendar'!$Z$40*1000000000+ISNUMBER('Dvd Calendar'!$Z$41)*100000000+0*10000000+(N('Dvd Calendar'!$Z$39)&gt;0)*(N('Dvd Calendar'!$Z$39)&lt;=VAL_SERIAL)*1000000+3*1000+62))</f>
        <v/>
      </c>
      <c r="GO14" s="39">
        <f>IF(N('Dvd Calendar'!$AA$40)=0,"",IF(('Dvd Calendar'!$AA$40&gt;=GRID_FROM)*('Dvd Calendar'!$AA$40&lt;=GRID_TO)*('Dvd Calendar'!$AA$40&gt;VAL_DATE)=0,"",'Dvd Calendar'!$AA$40*1000000000+ISNUMBER('Dvd Calendar'!$AA$41)*100000000+0*10000000+(N('Dvd Calendar'!$AA$39)&gt;0)*(N('Dvd Calendar'!$AA$39)&lt;=VAL_SERIAL)*1000000+3*1000+63))</f>
        <v/>
      </c>
      <c r="GP14" s="39">
        <f>IF(N('Dvd Calendar'!$AB$40)=0,"",IF(('Dvd Calendar'!$AB$40&gt;=GRID_FROM)*('Dvd Calendar'!$AB$40&lt;=GRID_TO)*('Dvd Calendar'!$AB$40&gt;VAL_DATE)=0,"",'Dvd Calendar'!$AB$40*1000000000+ISNUMBER('Dvd Calendar'!$AB$41)*100000000+0*10000000+(N('Dvd Calendar'!$AB$39)&gt;0)*(N('Dvd Calendar'!$AB$39)&lt;=VAL_SERIAL)*1000000+3*1000+64))</f>
        <v/>
      </c>
      <c r="GQ14" s="39">
        <f>IF(N('Dvd Calendar'!$AC$40)=0,"",IF(('Dvd Calendar'!$AC$40&gt;=GRID_FROM)*('Dvd Calendar'!$AC$40&lt;=GRID_TO)*('Dvd Calendar'!$AC$40&gt;VAL_DATE)=0,"",'Dvd Calendar'!$AC$40*1000000000+ISNUMBER('Dvd Calendar'!$AC$41)*100000000+0*10000000+(N('Dvd Calendar'!$AC$39)&gt;0)*(N('Dvd Calendar'!$AC$39)&lt;=VAL_SERIAL)*1000000+3*1000+65))</f>
        <v/>
      </c>
    </row>
    <row r="15">
      <c r="B15" s="2">
        <f>IF(HSI!$C$10="","",HSI!$C$10)</f>
        <v/>
      </c>
      <c r="C15" s="110">
        <f>IF(EE15="","",IF(ISNUMBER('Dvd Calendar'!$E$47)=FALSE,"",IF((('Dvd Calendar'!$E$49=TYPE1)*(TYPE1&lt;&gt;"")+('Dvd Calendar'!$E$49=TYPE2)*(TYPE2&lt;&gt;"")+('Dvd Calendar'!$E$49=TYPE3)*(TYPE3&lt;&gt;"")+('Dvd Calendar'!$E$49=TYPE4)*(TYPE4&lt;&gt;"")+('Dvd Calendar'!$E$49=SPECIAL_LBL)*(INC_SPECIALS="Y"))=0,"",'Dvd Calendar'!$E$47)))</f>
        <v/>
      </c>
      <c r="D15" s="110">
        <f>IF(EF15="","",IF(ISNUMBER('Dvd Calendar'!$F$47)=FALSE,"",IF((('Dvd Calendar'!$F$49=TYPE1)*(TYPE1&lt;&gt;"")+('Dvd Calendar'!$F$49=TYPE2)*(TYPE2&lt;&gt;"")+('Dvd Calendar'!$F$49=TYPE3)*(TYPE3&lt;&gt;"")+('Dvd Calendar'!$F$49=TYPE4)*(TYPE4&lt;&gt;"")+('Dvd Calendar'!$F$49=SPECIAL_LBL)*(INC_SPECIALS="Y"))=0,"",'Dvd Calendar'!$F$47)))</f>
        <v/>
      </c>
      <c r="E15" s="110">
        <f>IF(EG15="","",IF(ISNUMBER('Dvd Calendar'!$G$47)=FALSE,"",IF((('Dvd Calendar'!$G$49=TYPE1)*(TYPE1&lt;&gt;"")+('Dvd Calendar'!$G$49=TYPE2)*(TYPE2&lt;&gt;"")+('Dvd Calendar'!$G$49=TYPE3)*(TYPE3&lt;&gt;"")+('Dvd Calendar'!$G$49=TYPE4)*(TYPE4&lt;&gt;"")+('Dvd Calendar'!$G$49=SPECIAL_LBL)*(INC_SPECIALS="Y"))=0,"",'Dvd Calendar'!$G$47)))</f>
        <v/>
      </c>
      <c r="F15" s="110">
        <f>IF(EH15="","",IF(ISNUMBER('Dvd Calendar'!$H$47)=FALSE,"",IF((('Dvd Calendar'!$H$49=TYPE1)*(TYPE1&lt;&gt;"")+('Dvd Calendar'!$H$49=TYPE2)*(TYPE2&lt;&gt;"")+('Dvd Calendar'!$H$49=TYPE3)*(TYPE3&lt;&gt;"")+('Dvd Calendar'!$H$49=TYPE4)*(TYPE4&lt;&gt;"")+('Dvd Calendar'!$H$49=SPECIAL_LBL)*(INC_SPECIALS="Y"))=0,"",'Dvd Calendar'!$H$47)))</f>
        <v/>
      </c>
      <c r="G15" s="110">
        <f>IF(EI15="","",IF(ISNUMBER('Dvd Calendar'!$I$47)=FALSE,"",IF((('Dvd Calendar'!$I$49=TYPE1)*(TYPE1&lt;&gt;"")+('Dvd Calendar'!$I$49=TYPE2)*(TYPE2&lt;&gt;"")+('Dvd Calendar'!$I$49=TYPE3)*(TYPE3&lt;&gt;"")+('Dvd Calendar'!$I$49=TYPE4)*(TYPE4&lt;&gt;"")+('Dvd Calendar'!$I$49=SPECIAL_LBL)*(INC_SPECIALS="Y"))=0,"",'Dvd Calendar'!$I$47)))</f>
        <v/>
      </c>
      <c r="H15" s="110">
        <f>IF(EJ15="","",IF(ISNUMBER('Dvd Calendar'!$J$47)=FALSE,"",IF((('Dvd Calendar'!$J$49=TYPE1)*(TYPE1&lt;&gt;"")+('Dvd Calendar'!$J$49=TYPE2)*(TYPE2&lt;&gt;"")+('Dvd Calendar'!$J$49=TYPE3)*(TYPE3&lt;&gt;"")+('Dvd Calendar'!$J$49=TYPE4)*(TYPE4&lt;&gt;"")+('Dvd Calendar'!$J$49=SPECIAL_LBL)*(INC_SPECIALS="Y"))=0,"",'Dvd Calendar'!$J$47)))</f>
        <v/>
      </c>
      <c r="I15" s="110">
        <f>IF(EK15="","",IF(ISNUMBER('Dvd Calendar'!$K$47)=FALSE,"",IF((('Dvd Calendar'!$K$49=TYPE1)*(TYPE1&lt;&gt;"")+('Dvd Calendar'!$K$49=TYPE2)*(TYPE2&lt;&gt;"")+('Dvd Calendar'!$K$49=TYPE3)*(TYPE3&lt;&gt;"")+('Dvd Calendar'!$K$49=TYPE4)*(TYPE4&lt;&gt;"")+('Dvd Calendar'!$K$49=SPECIAL_LBL)*(INC_SPECIALS="Y"))=0,"",'Dvd Calendar'!$K$47)))</f>
        <v/>
      </c>
      <c r="J15" s="110">
        <f>IF(EL15="","",IF(ISNUMBER('Dvd Calendar'!$L$47)=FALSE,"",IF((('Dvd Calendar'!$L$49=TYPE1)*(TYPE1&lt;&gt;"")+('Dvd Calendar'!$L$49=TYPE2)*(TYPE2&lt;&gt;"")+('Dvd Calendar'!$L$49=TYPE3)*(TYPE3&lt;&gt;"")+('Dvd Calendar'!$L$49=TYPE4)*(TYPE4&lt;&gt;"")+('Dvd Calendar'!$L$49=SPECIAL_LBL)*(INC_SPECIALS="Y"))=0,"",'Dvd Calendar'!$L$47)))</f>
        <v/>
      </c>
      <c r="K15" s="110">
        <f>IF(EM15="","",IF(ISNUMBER('Dvd Calendar'!$M$47)=FALSE,"",IF((('Dvd Calendar'!$M$49=TYPE1)*(TYPE1&lt;&gt;"")+('Dvd Calendar'!$M$49=TYPE2)*(TYPE2&lt;&gt;"")+('Dvd Calendar'!$M$49=TYPE3)*(TYPE3&lt;&gt;"")+('Dvd Calendar'!$M$49=TYPE4)*(TYPE4&lt;&gt;"")+('Dvd Calendar'!$M$49=SPECIAL_LBL)*(INC_SPECIALS="Y"))=0,"",'Dvd Calendar'!$M$47)))</f>
        <v/>
      </c>
      <c r="L15" s="110">
        <f>IF(EN15="","",IF(ISNUMBER('Dvd Calendar'!$N$47)=FALSE,"",IF((('Dvd Calendar'!$N$49=TYPE1)*(TYPE1&lt;&gt;"")+('Dvd Calendar'!$N$49=TYPE2)*(TYPE2&lt;&gt;"")+('Dvd Calendar'!$N$49=TYPE3)*(TYPE3&lt;&gt;"")+('Dvd Calendar'!$N$49=TYPE4)*(TYPE4&lt;&gt;"")+('Dvd Calendar'!$N$49=SPECIAL_LBL)*(INC_SPECIALS="Y"))=0,"",'Dvd Calendar'!$N$47)))</f>
        <v/>
      </c>
      <c r="M15" s="110">
        <f>IF(EO15="","",IF(ISNUMBER('Dvd Calendar'!$O$47)=FALSE,"",IF((('Dvd Calendar'!$O$49=TYPE1)*(TYPE1&lt;&gt;"")+('Dvd Calendar'!$O$49=TYPE2)*(TYPE2&lt;&gt;"")+('Dvd Calendar'!$O$49=TYPE3)*(TYPE3&lt;&gt;"")+('Dvd Calendar'!$O$49=TYPE4)*(TYPE4&lt;&gt;"")+('Dvd Calendar'!$O$49=SPECIAL_LBL)*(INC_SPECIALS="Y"))=0,"",'Dvd Calendar'!$O$47)))</f>
        <v/>
      </c>
      <c r="N15" s="110">
        <f>IF(EP15="","",IF(ISNUMBER('Dvd Calendar'!$P$47)=FALSE,"",IF((('Dvd Calendar'!$P$49=TYPE1)*(TYPE1&lt;&gt;"")+('Dvd Calendar'!$P$49=TYPE2)*(TYPE2&lt;&gt;"")+('Dvd Calendar'!$P$49=TYPE3)*(TYPE3&lt;&gt;"")+('Dvd Calendar'!$P$49=TYPE4)*(TYPE4&lt;&gt;"")+('Dvd Calendar'!$P$49=SPECIAL_LBL)*(INC_SPECIALS="Y"))=0,"",'Dvd Calendar'!$P$47)))</f>
        <v/>
      </c>
      <c r="O15" s="110">
        <f>IF(EQ15="","",IF(ISNUMBER('Dvd Calendar'!$Q$47)=FALSE,"",IF((('Dvd Calendar'!$Q$49=TYPE1)*(TYPE1&lt;&gt;"")+('Dvd Calendar'!$Q$49=TYPE2)*(TYPE2&lt;&gt;"")+('Dvd Calendar'!$Q$49=TYPE3)*(TYPE3&lt;&gt;"")+('Dvd Calendar'!$Q$49=TYPE4)*(TYPE4&lt;&gt;"")+('Dvd Calendar'!$Q$49=SPECIAL_LBL)*(INC_SPECIALS="Y"))=0,"",'Dvd Calendar'!$Q$47)))</f>
        <v/>
      </c>
      <c r="P15" s="110">
        <f>IF(ER15="","",IF(ISNUMBER('Dvd Calendar'!$R$47)=FALSE,"",IF((('Dvd Calendar'!$R$49=TYPE1)*(TYPE1&lt;&gt;"")+('Dvd Calendar'!$R$49=TYPE2)*(TYPE2&lt;&gt;"")+('Dvd Calendar'!$R$49=TYPE3)*(TYPE3&lt;&gt;"")+('Dvd Calendar'!$R$49=TYPE4)*(TYPE4&lt;&gt;"")+('Dvd Calendar'!$R$49=SPECIAL_LBL)*(INC_SPECIALS="Y"))=0,"",'Dvd Calendar'!$R$47)))</f>
        <v/>
      </c>
      <c r="Q15" s="110">
        <f>IF(ES15="","",IF(ISNUMBER('Dvd Calendar'!$S$47)=FALSE,"",IF((('Dvd Calendar'!$S$49=TYPE1)*(TYPE1&lt;&gt;"")+('Dvd Calendar'!$S$49=TYPE2)*(TYPE2&lt;&gt;"")+('Dvd Calendar'!$S$49=TYPE3)*(TYPE3&lt;&gt;"")+('Dvd Calendar'!$S$49=TYPE4)*(TYPE4&lt;&gt;"")+('Dvd Calendar'!$S$49=SPECIAL_LBL)*(INC_SPECIALS="Y"))=0,"",'Dvd Calendar'!$S$47)))</f>
        <v/>
      </c>
      <c r="R15" s="110">
        <f>IF(ET15="","",IF(ISNUMBER('Dvd Calendar'!$T$47)=FALSE,"",IF((('Dvd Calendar'!$T$49=TYPE1)*(TYPE1&lt;&gt;"")+('Dvd Calendar'!$T$49=TYPE2)*(TYPE2&lt;&gt;"")+('Dvd Calendar'!$T$49=TYPE3)*(TYPE3&lt;&gt;"")+('Dvd Calendar'!$T$49=TYPE4)*(TYPE4&lt;&gt;"")+('Dvd Calendar'!$T$49=SPECIAL_LBL)*(INC_SPECIALS="Y"))=0,"",'Dvd Calendar'!$T$47)))</f>
        <v/>
      </c>
      <c r="S15" s="110">
        <f>IF(EU15="","",IF(ISNUMBER('Dvd Calendar'!$U$47)=FALSE,"",IF((('Dvd Calendar'!$U$49=TYPE1)*(TYPE1&lt;&gt;"")+('Dvd Calendar'!$U$49=TYPE2)*(TYPE2&lt;&gt;"")+('Dvd Calendar'!$U$49=TYPE3)*(TYPE3&lt;&gt;"")+('Dvd Calendar'!$U$49=TYPE4)*(TYPE4&lt;&gt;"")+('Dvd Calendar'!$U$49=SPECIAL_LBL)*(INC_SPECIALS="Y"))=0,"",'Dvd Calendar'!$U$47)))</f>
        <v/>
      </c>
      <c r="T15" s="110">
        <f>IF(EV15="","",IF(ISNUMBER('Dvd Calendar'!$V$47)=FALSE,"",IF((('Dvd Calendar'!$V$49=TYPE1)*(TYPE1&lt;&gt;"")+('Dvd Calendar'!$V$49=TYPE2)*(TYPE2&lt;&gt;"")+('Dvd Calendar'!$V$49=TYPE3)*(TYPE3&lt;&gt;"")+('Dvd Calendar'!$V$49=TYPE4)*(TYPE4&lt;&gt;"")+('Dvd Calendar'!$V$49=SPECIAL_LBL)*(INC_SPECIALS="Y"))=0,"",'Dvd Calendar'!$V$47)))</f>
        <v/>
      </c>
      <c r="U15" s="110">
        <f>IF(EW15="","",IF(ISNUMBER('Dvd Calendar'!$W$47)=FALSE,"",IF((('Dvd Calendar'!$W$49=TYPE1)*(TYPE1&lt;&gt;"")+('Dvd Calendar'!$W$49=TYPE2)*(TYPE2&lt;&gt;"")+('Dvd Calendar'!$W$49=TYPE3)*(TYPE3&lt;&gt;"")+('Dvd Calendar'!$W$49=TYPE4)*(TYPE4&lt;&gt;"")+('Dvd Calendar'!$W$49=SPECIAL_LBL)*(INC_SPECIALS="Y"))=0,"",'Dvd Calendar'!$W$47)))</f>
        <v/>
      </c>
      <c r="V15" s="110">
        <f>IF(EX15="","",IF(ISNUMBER('Dvd Calendar'!$X$47)=FALSE,"",IF((('Dvd Calendar'!$X$49=TYPE1)*(TYPE1&lt;&gt;"")+('Dvd Calendar'!$X$49=TYPE2)*(TYPE2&lt;&gt;"")+('Dvd Calendar'!$X$49=TYPE3)*(TYPE3&lt;&gt;"")+('Dvd Calendar'!$X$49=TYPE4)*(TYPE4&lt;&gt;"")+('Dvd Calendar'!$X$49=SPECIAL_LBL)*(INC_SPECIALS="Y"))=0,"",'Dvd Calendar'!$X$47)))</f>
        <v/>
      </c>
      <c r="W15" s="110">
        <f>IF(EY15="","",IF(ISNUMBER('Dvd Calendar'!$Y$47)=FALSE,"",IF((('Dvd Calendar'!$Y$49=TYPE1)*(TYPE1&lt;&gt;"")+('Dvd Calendar'!$Y$49=TYPE2)*(TYPE2&lt;&gt;"")+('Dvd Calendar'!$Y$49=TYPE3)*(TYPE3&lt;&gt;"")+('Dvd Calendar'!$Y$49=TYPE4)*(TYPE4&lt;&gt;"")+('Dvd Calendar'!$Y$49=SPECIAL_LBL)*(INC_SPECIALS="Y"))=0,"",'Dvd Calendar'!$Y$47)))</f>
        <v/>
      </c>
      <c r="X15" s="110">
        <f>IF(EZ15="","",IF(ISNUMBER('Dvd Calendar'!$Z$47)=FALSE,"",IF((('Dvd Calendar'!$Z$49=TYPE1)*(TYPE1&lt;&gt;"")+('Dvd Calendar'!$Z$49=TYPE2)*(TYPE2&lt;&gt;"")+('Dvd Calendar'!$Z$49=TYPE3)*(TYPE3&lt;&gt;"")+('Dvd Calendar'!$Z$49=TYPE4)*(TYPE4&lt;&gt;"")+('Dvd Calendar'!$Z$49=SPECIAL_LBL)*(INC_SPECIALS="Y"))=0,"",'Dvd Calendar'!$Z$47)))</f>
        <v/>
      </c>
      <c r="Y15" s="110">
        <f>IF(FA15="","",IF(ISNUMBER('Dvd Calendar'!$AA$47)=FALSE,"",IF((('Dvd Calendar'!$AA$49=TYPE1)*(TYPE1&lt;&gt;"")+('Dvd Calendar'!$AA$49=TYPE2)*(TYPE2&lt;&gt;"")+('Dvd Calendar'!$AA$49=TYPE3)*(TYPE3&lt;&gt;"")+('Dvd Calendar'!$AA$49=TYPE4)*(TYPE4&lt;&gt;"")+('Dvd Calendar'!$AA$49=SPECIAL_LBL)*(INC_SPECIALS="Y"))=0,"",'Dvd Calendar'!$AA$47)))</f>
        <v/>
      </c>
      <c r="Z15" s="110">
        <f>IF(FB15="","",IF(ISNUMBER('Dvd Calendar'!$AB$47)=FALSE,"",IF((('Dvd Calendar'!$AB$49=TYPE1)*(TYPE1&lt;&gt;"")+('Dvd Calendar'!$AB$49=TYPE2)*(TYPE2&lt;&gt;"")+('Dvd Calendar'!$AB$49=TYPE3)*(TYPE3&lt;&gt;"")+('Dvd Calendar'!$AB$49=TYPE4)*(TYPE4&lt;&gt;"")+('Dvd Calendar'!$AB$49=SPECIAL_LBL)*(INC_SPECIALS="Y"))=0,"",'Dvd Calendar'!$AB$47)))</f>
        <v/>
      </c>
      <c r="AA15" s="110">
        <f>IF(FC15="","",IF(ISNUMBER('Dvd Calendar'!$AC$47)=FALSE,"",IF((('Dvd Calendar'!$AC$49=TYPE1)*(TYPE1&lt;&gt;"")+('Dvd Calendar'!$AC$49=TYPE2)*(TYPE2&lt;&gt;"")+('Dvd Calendar'!$AC$49=TYPE3)*(TYPE3&lt;&gt;"")+('Dvd Calendar'!$AC$49=TYPE4)*(TYPE4&lt;&gt;"")+('Dvd Calendar'!$AC$49=SPECIAL_LBL)*(INC_SPECIALS="Y"))=0,"",'Dvd Calendar'!$AC$47)))</f>
        <v/>
      </c>
      <c r="AB15" s="110">
        <f>IF(FD15="","",IF(ISNUMBER('Dvd Calendar'!$AD$47)=FALSE,"",IF((('Dvd Calendar'!$AD$49=TYPE1)*(TYPE1&lt;&gt;"")+('Dvd Calendar'!$AD$49=TYPE2)*(TYPE2&lt;&gt;"")+('Dvd Calendar'!$AD$49=TYPE3)*(TYPE3&lt;&gt;"")+('Dvd Calendar'!$AD$49=TYPE4)*(TYPE4&lt;&gt;"")+('Dvd Calendar'!$AD$49=SPECIAL_LBL)*(INC_SPECIALS="Y"))=0,"",'Dvd Calendar'!$AD$47)))</f>
        <v/>
      </c>
      <c r="AC15" s="110">
        <f>IF(FE15="","",IF(ISNUMBER('Dvd Calendar'!$AE$47)=FALSE,"",IF((('Dvd Calendar'!$AE$49=TYPE1)*(TYPE1&lt;&gt;"")+('Dvd Calendar'!$AE$49=TYPE2)*(TYPE2&lt;&gt;"")+('Dvd Calendar'!$AE$49=TYPE3)*(TYPE3&lt;&gt;"")+('Dvd Calendar'!$AE$49=TYPE4)*(TYPE4&lt;&gt;"")+('Dvd Calendar'!$AE$49=SPECIAL_LBL)*(INC_SPECIALS="Y"))=0,"",'Dvd Calendar'!$AE$47)))</f>
        <v/>
      </c>
      <c r="AD15" s="110">
        <f>IF(FF15="","",IF(ISNUMBER('Dvd Calendar'!$AF$47)=FALSE,"",IF((('Dvd Calendar'!$AF$49=TYPE1)*(TYPE1&lt;&gt;"")+('Dvd Calendar'!$AF$49=TYPE2)*(TYPE2&lt;&gt;"")+('Dvd Calendar'!$AF$49=TYPE3)*(TYPE3&lt;&gt;"")+('Dvd Calendar'!$AF$49=TYPE4)*(TYPE4&lt;&gt;"")+('Dvd Calendar'!$AF$49=SPECIAL_LBL)*(INC_SPECIALS="Y"))=0,"",'Dvd Calendar'!$AF$47)))</f>
        <v/>
      </c>
      <c r="AE15" s="110">
        <f>IF(FG15="","",IF(ISNUMBER('Dvd Calendar'!$AG$47)=FALSE,"",IF((('Dvd Calendar'!$AG$49=TYPE1)*(TYPE1&lt;&gt;"")+('Dvd Calendar'!$AG$49=TYPE2)*(TYPE2&lt;&gt;"")+('Dvd Calendar'!$AG$49=TYPE3)*(TYPE3&lt;&gt;"")+('Dvd Calendar'!$AG$49=TYPE4)*(TYPE4&lt;&gt;"")+('Dvd Calendar'!$AG$49=SPECIAL_LBL)*(INC_SPECIALS="Y"))=0,"",'Dvd Calendar'!$AG$47)))</f>
        <v/>
      </c>
      <c r="AF15" s="110">
        <f>IF(FH15="","",IF(ISNUMBER('Dvd Calendar'!$AH$47)=FALSE,"",IF((('Dvd Calendar'!$AH$49=TYPE1)*(TYPE1&lt;&gt;"")+('Dvd Calendar'!$AH$49=TYPE2)*(TYPE2&lt;&gt;"")+('Dvd Calendar'!$AH$49=TYPE3)*(TYPE3&lt;&gt;"")+('Dvd Calendar'!$AH$49=TYPE4)*(TYPE4&lt;&gt;"")+('Dvd Calendar'!$AH$49=SPECIAL_LBL)*(INC_SPECIALS="Y"))=0,"",'Dvd Calendar'!$AH$47)))</f>
        <v/>
      </c>
      <c r="AG15" s="110">
        <f>IF(FI15="","",IF(ISNUMBER('Dvd Calendar'!$AI$47)=FALSE,"",IF((('Dvd Calendar'!$AI$49=TYPE1)*(TYPE1&lt;&gt;"")+('Dvd Calendar'!$AI$49=TYPE2)*(TYPE2&lt;&gt;"")+('Dvd Calendar'!$AI$49=TYPE3)*(TYPE3&lt;&gt;"")+('Dvd Calendar'!$AI$49=TYPE4)*(TYPE4&lt;&gt;"")+('Dvd Calendar'!$AI$49=SPECIAL_LBL)*(INC_SPECIALS="Y"))=0,"",'Dvd Calendar'!$AI$47)))</f>
        <v/>
      </c>
      <c r="AH15" s="110">
        <f>IF(FJ15="","",IF(ISNUMBER('Dvd Calendar'!$AJ$47)=FALSE,"",IF((('Dvd Calendar'!$AJ$49=TYPE1)*(TYPE1&lt;&gt;"")+('Dvd Calendar'!$AJ$49=TYPE2)*(TYPE2&lt;&gt;"")+('Dvd Calendar'!$AJ$49=TYPE3)*(TYPE3&lt;&gt;"")+('Dvd Calendar'!$AJ$49=TYPE4)*(TYPE4&lt;&gt;"")+('Dvd Calendar'!$AJ$49=SPECIAL_LBL)*(INC_SPECIALS="Y"))=0,"",'Dvd Calendar'!$AJ$47)))</f>
        <v/>
      </c>
      <c r="AI15" s="110">
        <f>IF(FK15="","",IF(ISNUMBER('Dvd Calendar'!$AK$47)=FALSE,"",IF((('Dvd Calendar'!$AK$49=TYPE1)*(TYPE1&lt;&gt;"")+('Dvd Calendar'!$AK$49=TYPE2)*(TYPE2&lt;&gt;"")+('Dvd Calendar'!$AK$49=TYPE3)*(TYPE3&lt;&gt;"")+('Dvd Calendar'!$AK$49=TYPE4)*(TYPE4&lt;&gt;"")+('Dvd Calendar'!$AK$49=SPECIAL_LBL)*(INC_SPECIALS="Y"))=0,"",'Dvd Calendar'!$AK$47)))</f>
        <v/>
      </c>
      <c r="AJ15" s="110">
        <f>IF(FL15="","",IF(ISNUMBER('Dvd Calendar'!$AL$47)=FALSE,"",IF((('Dvd Calendar'!$AL$49=TYPE1)*(TYPE1&lt;&gt;"")+('Dvd Calendar'!$AL$49=TYPE2)*(TYPE2&lt;&gt;"")+('Dvd Calendar'!$AL$49=TYPE3)*(TYPE3&lt;&gt;"")+('Dvd Calendar'!$AL$49=TYPE4)*(TYPE4&lt;&gt;"")+('Dvd Calendar'!$AL$49=SPECIAL_LBL)*(INC_SPECIALS="Y"))=0,"",'Dvd Calendar'!$AL$47)))</f>
        <v/>
      </c>
      <c r="AK15" s="110">
        <f>IF(FM15="","",IF(ISNUMBER('Dvd Calendar'!$AM$47)=FALSE,"",IF((('Dvd Calendar'!$AM$49=TYPE1)*(TYPE1&lt;&gt;"")+('Dvd Calendar'!$AM$49=TYPE2)*(TYPE2&lt;&gt;"")+('Dvd Calendar'!$AM$49=TYPE3)*(TYPE3&lt;&gt;"")+('Dvd Calendar'!$AM$49=TYPE4)*(TYPE4&lt;&gt;"")+('Dvd Calendar'!$AM$49=SPECIAL_LBL)*(INC_SPECIALS="Y"))=0,"",'Dvd Calendar'!$AM$47)))</f>
        <v/>
      </c>
      <c r="AL15" s="110">
        <f>IF(FN15="","",IF(ISNUMBER('Dvd Calendar'!$AN$47)=FALSE,"",IF((('Dvd Calendar'!$AN$49=TYPE1)*(TYPE1&lt;&gt;"")+('Dvd Calendar'!$AN$49=TYPE2)*(TYPE2&lt;&gt;"")+('Dvd Calendar'!$AN$49=TYPE3)*(TYPE3&lt;&gt;"")+('Dvd Calendar'!$AN$49=TYPE4)*(TYPE4&lt;&gt;"")+('Dvd Calendar'!$AN$49=SPECIAL_LBL)*(INC_SPECIALS="Y"))=0,"",'Dvd Calendar'!$AN$47)))</f>
        <v/>
      </c>
      <c r="AM15" s="110">
        <f>IF(FO15="","",IF(ISNUMBER('Dvd Calendar'!$AO$47)=FALSE,"",IF((('Dvd Calendar'!$AO$49=TYPE1)*(TYPE1&lt;&gt;"")+('Dvd Calendar'!$AO$49=TYPE2)*(TYPE2&lt;&gt;"")+('Dvd Calendar'!$AO$49=TYPE3)*(TYPE3&lt;&gt;"")+('Dvd Calendar'!$AO$49=TYPE4)*(TYPE4&lt;&gt;"")+('Dvd Calendar'!$AO$49=SPECIAL_LBL)*(INC_SPECIALS="Y"))=0,"",'Dvd Calendar'!$AO$47)))</f>
        <v/>
      </c>
      <c r="AN15" s="110">
        <f>IF(FP15="","",IF(ISNUMBER('Dvd Calendar'!$AP$47)=FALSE,"",IF((('Dvd Calendar'!$AP$49=TYPE1)*(TYPE1&lt;&gt;"")+('Dvd Calendar'!$AP$49=TYPE2)*(TYPE2&lt;&gt;"")+('Dvd Calendar'!$AP$49=TYPE3)*(TYPE3&lt;&gt;"")+('Dvd Calendar'!$AP$49=TYPE4)*(TYPE4&lt;&gt;"")+('Dvd Calendar'!$AP$49=SPECIAL_LBL)*(INC_SPECIALS="Y"))=0,"",'Dvd Calendar'!$AP$47)))</f>
        <v/>
      </c>
      <c r="AO15" s="110">
        <f>IF(FQ15="","",IF(ISNUMBER('Dvd Calendar'!$AQ$47)=FALSE,"",IF((('Dvd Calendar'!$AQ$49=TYPE1)*(TYPE1&lt;&gt;"")+('Dvd Calendar'!$AQ$49=TYPE2)*(TYPE2&lt;&gt;"")+('Dvd Calendar'!$AQ$49=TYPE3)*(TYPE3&lt;&gt;"")+('Dvd Calendar'!$AQ$49=TYPE4)*(TYPE4&lt;&gt;"")+('Dvd Calendar'!$AQ$49=SPECIAL_LBL)*(INC_SPECIALS="Y"))=0,"",'Dvd Calendar'!$AQ$47)))</f>
        <v/>
      </c>
      <c r="AP15" s="110">
        <f>IF(FR15="","",IF(ISNUMBER('Dvd Calendar'!$AR$47)=FALSE,"",IF((('Dvd Calendar'!$AR$49=TYPE1)*(TYPE1&lt;&gt;"")+('Dvd Calendar'!$AR$49=TYPE2)*(TYPE2&lt;&gt;"")+('Dvd Calendar'!$AR$49=TYPE3)*(TYPE3&lt;&gt;"")+('Dvd Calendar'!$AR$49=TYPE4)*(TYPE4&lt;&gt;"")+('Dvd Calendar'!$AR$49=SPECIAL_LBL)*(INC_SPECIALS="Y"))=0,"",'Dvd Calendar'!$AR$47)))</f>
        <v/>
      </c>
      <c r="AQ15" s="110">
        <f>IF(FS15="","",IF(ISNUMBER('Dvd Calendar'!$E$52)=FALSE,"",'Dvd Calendar'!$E$52))</f>
        <v/>
      </c>
      <c r="AR15" s="110">
        <f>IF(FT15="","",IF(ISNUMBER('Dvd Calendar'!$F$52)=FALSE,"",'Dvd Calendar'!$F$52))</f>
        <v/>
      </c>
      <c r="AS15" s="110">
        <f>IF(FU15="","",IF(ISNUMBER('Dvd Calendar'!$G$52)=FALSE,"",'Dvd Calendar'!$G$52))</f>
        <v/>
      </c>
      <c r="AT15" s="110">
        <f>IF(FV15="","",IF(ISNUMBER('Dvd Calendar'!$H$52)=FALSE,"",'Dvd Calendar'!$H$52))</f>
        <v/>
      </c>
      <c r="AU15" s="110">
        <f>IF(FW15="","",IF(ISNUMBER('Dvd Calendar'!$I$52)=FALSE,"",'Dvd Calendar'!$I$52))</f>
        <v/>
      </c>
      <c r="AV15" s="110">
        <f>IF(FX15="","",IF(ISNUMBER('Dvd Calendar'!$J$52)=FALSE,"",'Dvd Calendar'!$J$52))</f>
        <v/>
      </c>
      <c r="AW15" s="110">
        <f>IF(FY15="","",IF(ISNUMBER('Dvd Calendar'!$K$52)=FALSE,"",'Dvd Calendar'!$K$52))</f>
        <v/>
      </c>
      <c r="AX15" s="110">
        <f>IF(FZ15="","",IF(ISNUMBER('Dvd Calendar'!$L$52)=FALSE,"",'Dvd Calendar'!$L$52))</f>
        <v/>
      </c>
      <c r="AY15" s="110">
        <f>IF(GA15="","",IF(ISNUMBER('Dvd Calendar'!$M$52)=FALSE,"",'Dvd Calendar'!$M$52))</f>
        <v/>
      </c>
      <c r="AZ15" s="110">
        <f>IF(GB15="","",IF(ISNUMBER('Dvd Calendar'!$N$52)=FALSE,"",'Dvd Calendar'!$N$52))</f>
        <v/>
      </c>
      <c r="BA15" s="110">
        <f>IF(GC15="","",IF(ISNUMBER('Dvd Calendar'!$O$52)=FALSE,"",'Dvd Calendar'!$O$52))</f>
        <v/>
      </c>
      <c r="BB15" s="110">
        <f>IF(GD15="","",IF(ISNUMBER('Dvd Calendar'!$P$52)=FALSE,"",'Dvd Calendar'!$P$52))</f>
        <v/>
      </c>
      <c r="BC15" s="110">
        <f>IF(GE15="","",IF(ISNUMBER('Dvd Calendar'!$Q$52)=FALSE,"",'Dvd Calendar'!$Q$52))</f>
        <v/>
      </c>
      <c r="BD15" s="110">
        <f>IF(GF15="","",IF(ISNUMBER('Dvd Calendar'!$R$52)=FALSE,"",'Dvd Calendar'!$R$52))</f>
        <v/>
      </c>
      <c r="BE15" s="110">
        <f>IF(GG15="","",IF(ISNUMBER('Dvd Calendar'!$S$52)=FALSE,"",'Dvd Calendar'!$S$52))</f>
        <v/>
      </c>
      <c r="BF15" s="110">
        <f>IF(GH15="","",IF(ISNUMBER('Dvd Calendar'!$T$52)=FALSE,"",'Dvd Calendar'!$T$52))</f>
        <v/>
      </c>
      <c r="BG15" s="110">
        <f>IF(GI15="","",IF(ISNUMBER('Dvd Calendar'!$U$52)=FALSE,"",'Dvd Calendar'!$U$52))</f>
        <v/>
      </c>
      <c r="BH15" s="110">
        <f>IF(GJ15="","",IF(ISNUMBER('Dvd Calendar'!$V$52)=FALSE,"",'Dvd Calendar'!$V$52))</f>
        <v/>
      </c>
      <c r="BI15" s="110">
        <f>IF(GK15="","",IF(ISNUMBER('Dvd Calendar'!$W$52)=FALSE,"",'Dvd Calendar'!$W$52))</f>
        <v/>
      </c>
      <c r="BJ15" s="110">
        <f>IF(GL15="","",IF(ISNUMBER('Dvd Calendar'!$X$52)=FALSE,"",'Dvd Calendar'!$X$52))</f>
        <v/>
      </c>
      <c r="BK15" s="110">
        <f>IF(GM15="","",IF(ISNUMBER('Dvd Calendar'!$Y$52)=FALSE,"",'Dvd Calendar'!$Y$52))</f>
        <v/>
      </c>
      <c r="BL15" s="110">
        <f>IF(GN15="","",IF(ISNUMBER('Dvd Calendar'!$Z$52)=FALSE,"",'Dvd Calendar'!$Z$52))</f>
        <v/>
      </c>
      <c r="BM15" s="110">
        <f>IF(GO15="","",IF(ISNUMBER('Dvd Calendar'!$AA$52)=FALSE,"",'Dvd Calendar'!$AA$52))</f>
        <v/>
      </c>
      <c r="BN15" s="110">
        <f>IF(GP15="","",IF(ISNUMBER('Dvd Calendar'!$AB$52)=FALSE,"",'Dvd Calendar'!$AB$52))</f>
        <v/>
      </c>
      <c r="BO15" s="110">
        <f>IF(GQ15="","",IF(ISNUMBER('Dvd Calendar'!$AC$52)=FALSE,"",'Dvd Calendar'!$AC$52))</f>
        <v/>
      </c>
      <c r="BQ15" s="110">
        <f>IF(C15="","",IFERROR(C15*HSI!$B$10*HSI!$G$10/HSI!$B$3,""))</f>
        <v/>
      </c>
      <c r="BR15" s="110">
        <f>IF(D15="","",IFERROR(D15*HSI!$B$10*HSI!$G$10/HSI!$B$3,""))</f>
        <v/>
      </c>
      <c r="BS15" s="110">
        <f>IF(E15="","",IFERROR(E15*HSI!$B$10*HSI!$G$10/HSI!$B$3,""))</f>
        <v/>
      </c>
      <c r="BT15" s="110">
        <f>IF(F15="","",IFERROR(F15*HSI!$B$10*HSI!$G$10/HSI!$B$3,""))</f>
        <v/>
      </c>
      <c r="BU15" s="110">
        <f>IF(G15="","",IFERROR(G15*HSI!$B$10*HSI!$G$10/HSI!$B$3,""))</f>
        <v/>
      </c>
      <c r="BV15" s="110">
        <f>IF(H15="","",IFERROR(H15*HSI!$B$10*HSI!$G$10/HSI!$B$3,""))</f>
        <v/>
      </c>
      <c r="BW15" s="110">
        <f>IF(I15="","",IFERROR(I15*HSI!$B$10*HSI!$G$10/HSI!$B$3,""))</f>
        <v/>
      </c>
      <c r="BX15" s="110">
        <f>IF(J15="","",IFERROR(J15*HSI!$B$10*HSI!$G$10/HSI!$B$3,""))</f>
        <v/>
      </c>
      <c r="BY15" s="110">
        <f>IF(K15="","",IFERROR(K15*HSI!$B$10*HSI!$G$10/HSI!$B$3,""))</f>
        <v/>
      </c>
      <c r="BZ15" s="110">
        <f>IF(L15="","",IFERROR(L15*HSI!$B$10*HSI!$G$10/HSI!$B$3,""))</f>
        <v/>
      </c>
      <c r="CA15" s="110">
        <f>IF(M15="","",IFERROR(M15*HSI!$B$10*HSI!$G$10/HSI!$B$3,""))</f>
        <v/>
      </c>
      <c r="CB15" s="110">
        <f>IF(N15="","",IFERROR(N15*HSI!$B$10*HSI!$G$10/HSI!$B$3,""))</f>
        <v/>
      </c>
      <c r="CC15" s="110">
        <f>IF(O15="","",IFERROR(O15*HSI!$B$10*HSI!$G$10/HSI!$B$3,""))</f>
        <v/>
      </c>
      <c r="CD15" s="110">
        <f>IF(P15="","",IFERROR(P15*HSI!$B$10*HSI!$G$10/HSI!$B$3,""))</f>
        <v/>
      </c>
      <c r="CE15" s="110">
        <f>IF(Q15="","",IFERROR(Q15*HSI!$B$10*HSI!$G$10/HSI!$B$3,""))</f>
        <v/>
      </c>
      <c r="CF15" s="110">
        <f>IF(R15="","",IFERROR(R15*HSI!$B$10*HSI!$G$10/HSI!$B$3,""))</f>
        <v/>
      </c>
      <c r="CG15" s="110">
        <f>IF(S15="","",IFERROR(S15*HSI!$B$10*HSI!$G$10/HSI!$B$3,""))</f>
        <v/>
      </c>
      <c r="CH15" s="110">
        <f>IF(T15="","",IFERROR(T15*HSI!$B$10*HSI!$G$10/HSI!$B$3,""))</f>
        <v/>
      </c>
      <c r="CI15" s="110">
        <f>IF(U15="","",IFERROR(U15*HSI!$B$10*HSI!$G$10/HSI!$B$3,""))</f>
        <v/>
      </c>
      <c r="CJ15" s="110">
        <f>IF(V15="","",IFERROR(V15*HSI!$B$10*HSI!$G$10/HSI!$B$3,""))</f>
        <v/>
      </c>
      <c r="CK15" s="110">
        <f>IF(W15="","",IFERROR(W15*HSI!$B$10*HSI!$G$10/HSI!$B$3,""))</f>
        <v/>
      </c>
      <c r="CL15" s="110">
        <f>IF(X15="","",IFERROR(X15*HSI!$B$10*HSI!$G$10/HSI!$B$3,""))</f>
        <v/>
      </c>
      <c r="CM15" s="110">
        <f>IF(Y15="","",IFERROR(Y15*HSI!$B$10*HSI!$G$10/HSI!$B$3,""))</f>
        <v/>
      </c>
      <c r="CN15" s="110">
        <f>IF(Z15="","",IFERROR(Z15*HSI!$B$10*HSI!$G$10/HSI!$B$3,""))</f>
        <v/>
      </c>
      <c r="CO15" s="110">
        <f>IF(AA15="","",IFERROR(AA15*HSI!$B$10*HSI!$G$10/HSI!$B$3,""))</f>
        <v/>
      </c>
      <c r="CP15" s="110">
        <f>IF(AB15="","",IFERROR(AB15*HSI!$B$10*HSI!$G$10/HSI!$B$3,""))</f>
        <v/>
      </c>
      <c r="CQ15" s="110">
        <f>IF(AC15="","",IFERROR(AC15*HSI!$B$10*HSI!$G$10/HSI!$B$3,""))</f>
        <v/>
      </c>
      <c r="CR15" s="110">
        <f>IF(AD15="","",IFERROR(AD15*HSI!$B$10*HSI!$G$10/HSI!$B$3,""))</f>
        <v/>
      </c>
      <c r="CS15" s="110">
        <f>IF(AE15="","",IFERROR(AE15*HSI!$B$10*HSI!$G$10/HSI!$B$3,""))</f>
        <v/>
      </c>
      <c r="CT15" s="110">
        <f>IF(AF15="","",IFERROR(AF15*HSI!$B$10*HSI!$G$10/HSI!$B$3,""))</f>
        <v/>
      </c>
      <c r="CU15" s="110">
        <f>IF(AG15="","",IFERROR(AG15*HSI!$B$10*HSI!$G$10/HSI!$B$3,""))</f>
        <v/>
      </c>
      <c r="CV15" s="110">
        <f>IF(AH15="","",IFERROR(AH15*HSI!$B$10*HSI!$G$10/HSI!$B$3,""))</f>
        <v/>
      </c>
      <c r="CW15" s="110">
        <f>IF(AI15="","",IFERROR(AI15*HSI!$B$10*HSI!$G$10/HSI!$B$3,""))</f>
        <v/>
      </c>
      <c r="CX15" s="110">
        <f>IF(AJ15="","",IFERROR(AJ15*HSI!$B$10*HSI!$G$10/HSI!$B$3,""))</f>
        <v/>
      </c>
      <c r="CY15" s="110">
        <f>IF(AK15="","",IFERROR(AK15*HSI!$B$10*HSI!$G$10/HSI!$B$3,""))</f>
        <v/>
      </c>
      <c r="CZ15" s="110">
        <f>IF(AL15="","",IFERROR(AL15*HSI!$B$10*HSI!$G$10/HSI!$B$3,""))</f>
        <v/>
      </c>
      <c r="DA15" s="110">
        <f>IF(AM15="","",IFERROR(AM15*HSI!$B$10*HSI!$G$10/HSI!$B$3,""))</f>
        <v/>
      </c>
      <c r="DB15" s="110">
        <f>IF(AN15="","",IFERROR(AN15*HSI!$B$10*HSI!$G$10/HSI!$B$3,""))</f>
        <v/>
      </c>
      <c r="DC15" s="110">
        <f>IF(AO15="","",IFERROR(AO15*HSI!$B$10*HSI!$G$10/HSI!$B$3,""))</f>
        <v/>
      </c>
      <c r="DD15" s="110">
        <f>IF(AP15="","",IFERROR(AP15*HSI!$B$10*HSI!$G$10/HSI!$B$3,""))</f>
        <v/>
      </c>
      <c r="DE15" s="110">
        <f>IF(AQ15="","",IFERROR(AQ15*HSI!$B$10*HSI!$G$10/HSI!$B$3,""))</f>
        <v/>
      </c>
      <c r="DF15" s="110">
        <f>IF(AR15="","",IFERROR(AR15*HSI!$B$10*HSI!$G$10/HSI!$B$3,""))</f>
        <v/>
      </c>
      <c r="DG15" s="110">
        <f>IF(AS15="","",IFERROR(AS15*HSI!$B$10*HSI!$G$10/HSI!$B$3,""))</f>
        <v/>
      </c>
      <c r="DH15" s="110">
        <f>IF(AT15="","",IFERROR(AT15*HSI!$B$10*HSI!$G$10/HSI!$B$3,""))</f>
        <v/>
      </c>
      <c r="DI15" s="110">
        <f>IF(AU15="","",IFERROR(AU15*HSI!$B$10*HSI!$G$10/HSI!$B$3,""))</f>
        <v/>
      </c>
      <c r="DJ15" s="110">
        <f>IF(AV15="","",IFERROR(AV15*HSI!$B$10*HSI!$G$10/HSI!$B$3,""))</f>
        <v/>
      </c>
      <c r="DK15" s="110">
        <f>IF(AW15="","",IFERROR(AW15*HSI!$B$10*HSI!$G$10/HSI!$B$3,""))</f>
        <v/>
      </c>
      <c r="DL15" s="110">
        <f>IF(AX15="","",IFERROR(AX15*HSI!$B$10*HSI!$G$10/HSI!$B$3,""))</f>
        <v/>
      </c>
      <c r="DM15" s="110">
        <f>IF(AY15="","",IFERROR(AY15*HSI!$B$10*HSI!$G$10/HSI!$B$3,""))</f>
        <v/>
      </c>
      <c r="DN15" s="110">
        <f>IF(AZ15="","",IFERROR(AZ15*HSI!$B$10*HSI!$G$10/HSI!$B$3,""))</f>
        <v/>
      </c>
      <c r="DO15" s="110">
        <f>IF(BA15="","",IFERROR(BA15*HSI!$B$10*HSI!$G$10/HSI!$B$3,""))</f>
        <v/>
      </c>
      <c r="DP15" s="110">
        <f>IF(BB15="","",IFERROR(BB15*HSI!$B$10*HSI!$G$10/HSI!$B$3,""))</f>
        <v/>
      </c>
      <c r="DQ15" s="110">
        <f>IF(BC15="","",IFERROR(BC15*HSI!$B$10*HSI!$G$10/HSI!$B$3,""))</f>
        <v/>
      </c>
      <c r="DR15" s="110">
        <f>IF(BD15="","",IFERROR(BD15*HSI!$B$10*HSI!$G$10/HSI!$B$3,""))</f>
        <v/>
      </c>
      <c r="DS15" s="110">
        <f>IF(BE15="","",IFERROR(BE15*HSI!$B$10*HSI!$G$10/HSI!$B$3,""))</f>
        <v/>
      </c>
      <c r="DT15" s="110">
        <f>IF(BF15="","",IFERROR(BF15*HSI!$B$10*HSI!$G$10/HSI!$B$3,""))</f>
        <v/>
      </c>
      <c r="DU15" s="110">
        <f>IF(BG15="","",IFERROR(BG15*HSI!$B$10*HSI!$G$10/HSI!$B$3,""))</f>
        <v/>
      </c>
      <c r="DV15" s="110">
        <f>IF(BH15="","",IFERROR(BH15*HSI!$B$10*HSI!$G$10/HSI!$B$3,""))</f>
        <v/>
      </c>
      <c r="DW15" s="110">
        <f>IF(BI15="","",IFERROR(BI15*HSI!$B$10*HSI!$G$10/HSI!$B$3,""))</f>
        <v/>
      </c>
      <c r="DX15" s="110">
        <f>IF(BJ15="","",IFERROR(BJ15*HSI!$B$10*HSI!$G$10/HSI!$B$3,""))</f>
        <v/>
      </c>
      <c r="DY15" s="110">
        <f>IF(BK15="","",IFERROR(BK15*HSI!$B$10*HSI!$G$10/HSI!$B$3,""))</f>
        <v/>
      </c>
      <c r="DZ15" s="110">
        <f>IF(BL15="","",IFERROR(BL15*HSI!$B$10*HSI!$G$10/HSI!$B$3,""))</f>
        <v/>
      </c>
      <c r="EA15" s="110">
        <f>IF(BM15="","",IFERROR(BM15*HSI!$B$10*HSI!$G$10/HSI!$B$3,""))</f>
        <v/>
      </c>
      <c r="EB15" s="110">
        <f>IF(BN15="","",IFERROR(BN15*HSI!$B$10*HSI!$G$10/HSI!$B$3,""))</f>
        <v/>
      </c>
      <c r="EC15" s="110">
        <f>IF(BO15="","",IFERROR(BO15*HSI!$B$10*HSI!$G$10/HSI!$B$3,""))</f>
        <v/>
      </c>
      <c r="EE15" s="39">
        <f>IF(N('Dvd Calendar'!$E$44)=0,"",IF(('Dvd Calendar'!$E$44&gt;=GRID_FROM)*('Dvd Calendar'!$E$44&lt;=GRID_TO)*((('Dvd Calendar'!$E$44&lt;=VAL_DATE)+(COUNTIF('Dvd Calendar'!$E$51:$AR$51,'Dvd Calendar'!$E$44)=0))&gt;0)=0,"",'Dvd Calendar'!$E$44*1000000000+ISNUMBER('Dvd Calendar'!$E$47)*100000000+('Dvd Calendar'!$E$49=SPECIAL_LBL)*10000000+(N('Dvd Calendar'!$E$43)&gt;0)*(N('Dvd Calendar'!$E$43)&lt;=VAL_SERIAL)*1000000+4*1000+1))</f>
        <v/>
      </c>
      <c r="EF15" s="39">
        <f>IF(N('Dvd Calendar'!$F$44)=0,"",IF(('Dvd Calendar'!$F$44&gt;=GRID_FROM)*('Dvd Calendar'!$F$44&lt;=GRID_TO)*((('Dvd Calendar'!$F$44&lt;=VAL_DATE)+(COUNTIF('Dvd Calendar'!$E$51:$AR$51,'Dvd Calendar'!$F$44)=0))&gt;0)=0,"",'Dvd Calendar'!$F$44*1000000000+ISNUMBER('Dvd Calendar'!$F$47)*100000000+('Dvd Calendar'!$F$49=SPECIAL_LBL)*10000000+(N('Dvd Calendar'!$F$43)&gt;0)*(N('Dvd Calendar'!$F$43)&lt;=VAL_SERIAL)*1000000+4*1000+2))</f>
        <v/>
      </c>
      <c r="EG15" s="39">
        <f>IF(N('Dvd Calendar'!$G$44)=0,"",IF(('Dvd Calendar'!$G$44&gt;=GRID_FROM)*('Dvd Calendar'!$G$44&lt;=GRID_TO)*((('Dvd Calendar'!$G$44&lt;=VAL_DATE)+(COUNTIF('Dvd Calendar'!$E$51:$AR$51,'Dvd Calendar'!$G$44)=0))&gt;0)=0,"",'Dvd Calendar'!$G$44*1000000000+ISNUMBER('Dvd Calendar'!$G$47)*100000000+('Dvd Calendar'!$G$49=SPECIAL_LBL)*10000000+(N('Dvd Calendar'!$G$43)&gt;0)*(N('Dvd Calendar'!$G$43)&lt;=VAL_SERIAL)*1000000+4*1000+3))</f>
        <v/>
      </c>
      <c r="EH15" s="39">
        <f>IF(N('Dvd Calendar'!$H$44)=0,"",IF(('Dvd Calendar'!$H$44&gt;=GRID_FROM)*('Dvd Calendar'!$H$44&lt;=GRID_TO)*((('Dvd Calendar'!$H$44&lt;=VAL_DATE)+(COUNTIF('Dvd Calendar'!$E$51:$AR$51,'Dvd Calendar'!$H$44)=0))&gt;0)=0,"",'Dvd Calendar'!$H$44*1000000000+ISNUMBER('Dvd Calendar'!$H$47)*100000000+('Dvd Calendar'!$H$49=SPECIAL_LBL)*10000000+(N('Dvd Calendar'!$H$43)&gt;0)*(N('Dvd Calendar'!$H$43)&lt;=VAL_SERIAL)*1000000+4*1000+4))</f>
        <v/>
      </c>
      <c r="EI15" s="39">
        <f>IF(N('Dvd Calendar'!$I$44)=0,"",IF(('Dvd Calendar'!$I$44&gt;=GRID_FROM)*('Dvd Calendar'!$I$44&lt;=GRID_TO)*((('Dvd Calendar'!$I$44&lt;=VAL_DATE)+(COUNTIF('Dvd Calendar'!$E$51:$AR$51,'Dvd Calendar'!$I$44)=0))&gt;0)=0,"",'Dvd Calendar'!$I$44*1000000000+ISNUMBER('Dvd Calendar'!$I$47)*100000000+('Dvd Calendar'!$I$49=SPECIAL_LBL)*10000000+(N('Dvd Calendar'!$I$43)&gt;0)*(N('Dvd Calendar'!$I$43)&lt;=VAL_SERIAL)*1000000+4*1000+5))</f>
        <v/>
      </c>
      <c r="EJ15" s="39">
        <f>IF(N('Dvd Calendar'!$J$44)=0,"",IF(('Dvd Calendar'!$J$44&gt;=GRID_FROM)*('Dvd Calendar'!$J$44&lt;=GRID_TO)*((('Dvd Calendar'!$J$44&lt;=VAL_DATE)+(COUNTIF('Dvd Calendar'!$E$51:$AR$51,'Dvd Calendar'!$J$44)=0))&gt;0)=0,"",'Dvd Calendar'!$J$44*1000000000+ISNUMBER('Dvd Calendar'!$J$47)*100000000+('Dvd Calendar'!$J$49=SPECIAL_LBL)*10000000+(N('Dvd Calendar'!$J$43)&gt;0)*(N('Dvd Calendar'!$J$43)&lt;=VAL_SERIAL)*1000000+4*1000+6))</f>
        <v/>
      </c>
      <c r="EK15" s="39">
        <f>IF(N('Dvd Calendar'!$K$44)=0,"",IF(('Dvd Calendar'!$K$44&gt;=GRID_FROM)*('Dvd Calendar'!$K$44&lt;=GRID_TO)*((('Dvd Calendar'!$K$44&lt;=VAL_DATE)+(COUNTIF('Dvd Calendar'!$E$51:$AR$51,'Dvd Calendar'!$K$44)=0))&gt;0)=0,"",'Dvd Calendar'!$K$44*1000000000+ISNUMBER('Dvd Calendar'!$K$47)*100000000+('Dvd Calendar'!$K$49=SPECIAL_LBL)*10000000+(N('Dvd Calendar'!$K$43)&gt;0)*(N('Dvd Calendar'!$K$43)&lt;=VAL_SERIAL)*1000000+4*1000+7))</f>
        <v/>
      </c>
      <c r="EL15" s="39">
        <f>IF(N('Dvd Calendar'!$L$44)=0,"",IF(('Dvd Calendar'!$L$44&gt;=GRID_FROM)*('Dvd Calendar'!$L$44&lt;=GRID_TO)*((('Dvd Calendar'!$L$44&lt;=VAL_DATE)+(COUNTIF('Dvd Calendar'!$E$51:$AR$51,'Dvd Calendar'!$L$44)=0))&gt;0)=0,"",'Dvd Calendar'!$L$44*1000000000+ISNUMBER('Dvd Calendar'!$L$47)*100000000+('Dvd Calendar'!$L$49=SPECIAL_LBL)*10000000+(N('Dvd Calendar'!$L$43)&gt;0)*(N('Dvd Calendar'!$L$43)&lt;=VAL_SERIAL)*1000000+4*1000+8))</f>
        <v/>
      </c>
      <c r="EM15" s="39">
        <f>IF(N('Dvd Calendar'!$M$44)=0,"",IF(('Dvd Calendar'!$M$44&gt;=GRID_FROM)*('Dvd Calendar'!$M$44&lt;=GRID_TO)*((('Dvd Calendar'!$M$44&lt;=VAL_DATE)+(COUNTIF('Dvd Calendar'!$E$51:$AR$51,'Dvd Calendar'!$M$44)=0))&gt;0)=0,"",'Dvd Calendar'!$M$44*1000000000+ISNUMBER('Dvd Calendar'!$M$47)*100000000+('Dvd Calendar'!$M$49=SPECIAL_LBL)*10000000+(N('Dvd Calendar'!$M$43)&gt;0)*(N('Dvd Calendar'!$M$43)&lt;=VAL_SERIAL)*1000000+4*1000+9))</f>
        <v/>
      </c>
      <c r="EN15" s="39">
        <f>IF(N('Dvd Calendar'!$N$44)=0,"",IF(('Dvd Calendar'!$N$44&gt;=GRID_FROM)*('Dvd Calendar'!$N$44&lt;=GRID_TO)*((('Dvd Calendar'!$N$44&lt;=VAL_DATE)+(COUNTIF('Dvd Calendar'!$E$51:$AR$51,'Dvd Calendar'!$N$44)=0))&gt;0)=0,"",'Dvd Calendar'!$N$44*1000000000+ISNUMBER('Dvd Calendar'!$N$47)*100000000+('Dvd Calendar'!$N$49=SPECIAL_LBL)*10000000+(N('Dvd Calendar'!$N$43)&gt;0)*(N('Dvd Calendar'!$N$43)&lt;=VAL_SERIAL)*1000000+4*1000+10))</f>
        <v/>
      </c>
      <c r="EO15" s="39">
        <f>IF(N('Dvd Calendar'!$O$44)=0,"",IF(('Dvd Calendar'!$O$44&gt;=GRID_FROM)*('Dvd Calendar'!$O$44&lt;=GRID_TO)*((('Dvd Calendar'!$O$44&lt;=VAL_DATE)+(COUNTIF('Dvd Calendar'!$E$51:$AR$51,'Dvd Calendar'!$O$44)=0))&gt;0)=0,"",'Dvd Calendar'!$O$44*1000000000+ISNUMBER('Dvd Calendar'!$O$47)*100000000+('Dvd Calendar'!$O$49=SPECIAL_LBL)*10000000+(N('Dvd Calendar'!$O$43)&gt;0)*(N('Dvd Calendar'!$O$43)&lt;=VAL_SERIAL)*1000000+4*1000+11))</f>
        <v/>
      </c>
      <c r="EP15" s="39">
        <f>IF(N('Dvd Calendar'!$P$44)=0,"",IF(('Dvd Calendar'!$P$44&gt;=GRID_FROM)*('Dvd Calendar'!$P$44&lt;=GRID_TO)*((('Dvd Calendar'!$P$44&lt;=VAL_DATE)+(COUNTIF('Dvd Calendar'!$E$51:$AR$51,'Dvd Calendar'!$P$44)=0))&gt;0)=0,"",'Dvd Calendar'!$P$44*1000000000+ISNUMBER('Dvd Calendar'!$P$47)*100000000+('Dvd Calendar'!$P$49=SPECIAL_LBL)*10000000+(N('Dvd Calendar'!$P$43)&gt;0)*(N('Dvd Calendar'!$P$43)&lt;=VAL_SERIAL)*1000000+4*1000+12))</f>
        <v/>
      </c>
      <c r="EQ15" s="39">
        <f>IF(N('Dvd Calendar'!$Q$44)=0,"",IF(('Dvd Calendar'!$Q$44&gt;=GRID_FROM)*('Dvd Calendar'!$Q$44&lt;=GRID_TO)*((('Dvd Calendar'!$Q$44&lt;=VAL_DATE)+(COUNTIF('Dvd Calendar'!$E$51:$AR$51,'Dvd Calendar'!$Q$44)=0))&gt;0)=0,"",'Dvd Calendar'!$Q$44*1000000000+ISNUMBER('Dvd Calendar'!$Q$47)*100000000+('Dvd Calendar'!$Q$49=SPECIAL_LBL)*10000000+(N('Dvd Calendar'!$Q$43)&gt;0)*(N('Dvd Calendar'!$Q$43)&lt;=VAL_SERIAL)*1000000+4*1000+13))</f>
        <v/>
      </c>
      <c r="ER15" s="39">
        <f>IF(N('Dvd Calendar'!$R$44)=0,"",IF(('Dvd Calendar'!$R$44&gt;=GRID_FROM)*('Dvd Calendar'!$R$44&lt;=GRID_TO)*((('Dvd Calendar'!$R$44&lt;=VAL_DATE)+(COUNTIF('Dvd Calendar'!$E$51:$AR$51,'Dvd Calendar'!$R$44)=0))&gt;0)=0,"",'Dvd Calendar'!$R$44*1000000000+ISNUMBER('Dvd Calendar'!$R$47)*100000000+('Dvd Calendar'!$R$49=SPECIAL_LBL)*10000000+(N('Dvd Calendar'!$R$43)&gt;0)*(N('Dvd Calendar'!$R$43)&lt;=VAL_SERIAL)*1000000+4*1000+14))</f>
        <v/>
      </c>
      <c r="ES15" s="39">
        <f>IF(N('Dvd Calendar'!$S$44)=0,"",IF(('Dvd Calendar'!$S$44&gt;=GRID_FROM)*('Dvd Calendar'!$S$44&lt;=GRID_TO)*((('Dvd Calendar'!$S$44&lt;=VAL_DATE)+(COUNTIF('Dvd Calendar'!$E$51:$AR$51,'Dvd Calendar'!$S$44)=0))&gt;0)=0,"",'Dvd Calendar'!$S$44*1000000000+ISNUMBER('Dvd Calendar'!$S$47)*100000000+('Dvd Calendar'!$S$49=SPECIAL_LBL)*10000000+(N('Dvd Calendar'!$S$43)&gt;0)*(N('Dvd Calendar'!$S$43)&lt;=VAL_SERIAL)*1000000+4*1000+15))</f>
        <v/>
      </c>
      <c r="ET15" s="39">
        <f>IF(N('Dvd Calendar'!$T$44)=0,"",IF(('Dvd Calendar'!$T$44&gt;=GRID_FROM)*('Dvd Calendar'!$T$44&lt;=GRID_TO)*((('Dvd Calendar'!$T$44&lt;=VAL_DATE)+(COUNTIF('Dvd Calendar'!$E$51:$AR$51,'Dvd Calendar'!$T$44)=0))&gt;0)=0,"",'Dvd Calendar'!$T$44*1000000000+ISNUMBER('Dvd Calendar'!$T$47)*100000000+('Dvd Calendar'!$T$49=SPECIAL_LBL)*10000000+(N('Dvd Calendar'!$T$43)&gt;0)*(N('Dvd Calendar'!$T$43)&lt;=VAL_SERIAL)*1000000+4*1000+16))</f>
        <v/>
      </c>
      <c r="EU15" s="39">
        <f>IF(N('Dvd Calendar'!$U$44)=0,"",IF(('Dvd Calendar'!$U$44&gt;=GRID_FROM)*('Dvd Calendar'!$U$44&lt;=GRID_TO)*((('Dvd Calendar'!$U$44&lt;=VAL_DATE)+(COUNTIF('Dvd Calendar'!$E$51:$AR$51,'Dvd Calendar'!$U$44)=0))&gt;0)=0,"",'Dvd Calendar'!$U$44*1000000000+ISNUMBER('Dvd Calendar'!$U$47)*100000000+('Dvd Calendar'!$U$49=SPECIAL_LBL)*10000000+(N('Dvd Calendar'!$U$43)&gt;0)*(N('Dvd Calendar'!$U$43)&lt;=VAL_SERIAL)*1000000+4*1000+17))</f>
        <v/>
      </c>
      <c r="EV15" s="39">
        <f>IF(N('Dvd Calendar'!$V$44)=0,"",IF(('Dvd Calendar'!$V$44&gt;=GRID_FROM)*('Dvd Calendar'!$V$44&lt;=GRID_TO)*((('Dvd Calendar'!$V$44&lt;=VAL_DATE)+(COUNTIF('Dvd Calendar'!$E$51:$AR$51,'Dvd Calendar'!$V$44)=0))&gt;0)=0,"",'Dvd Calendar'!$V$44*1000000000+ISNUMBER('Dvd Calendar'!$V$47)*100000000+('Dvd Calendar'!$V$49=SPECIAL_LBL)*10000000+(N('Dvd Calendar'!$V$43)&gt;0)*(N('Dvd Calendar'!$V$43)&lt;=VAL_SERIAL)*1000000+4*1000+18))</f>
        <v/>
      </c>
      <c r="EW15" s="39">
        <f>IF(N('Dvd Calendar'!$W$44)=0,"",IF(('Dvd Calendar'!$W$44&gt;=GRID_FROM)*('Dvd Calendar'!$W$44&lt;=GRID_TO)*((('Dvd Calendar'!$W$44&lt;=VAL_DATE)+(COUNTIF('Dvd Calendar'!$E$51:$AR$51,'Dvd Calendar'!$W$44)=0))&gt;0)=0,"",'Dvd Calendar'!$W$44*1000000000+ISNUMBER('Dvd Calendar'!$W$47)*100000000+('Dvd Calendar'!$W$49=SPECIAL_LBL)*10000000+(N('Dvd Calendar'!$W$43)&gt;0)*(N('Dvd Calendar'!$W$43)&lt;=VAL_SERIAL)*1000000+4*1000+19))</f>
        <v/>
      </c>
      <c r="EX15" s="39">
        <f>IF(N('Dvd Calendar'!$X$44)=0,"",IF(('Dvd Calendar'!$X$44&gt;=GRID_FROM)*('Dvd Calendar'!$X$44&lt;=GRID_TO)*((('Dvd Calendar'!$X$44&lt;=VAL_DATE)+(COUNTIF('Dvd Calendar'!$E$51:$AR$51,'Dvd Calendar'!$X$44)=0))&gt;0)=0,"",'Dvd Calendar'!$X$44*1000000000+ISNUMBER('Dvd Calendar'!$X$47)*100000000+('Dvd Calendar'!$X$49=SPECIAL_LBL)*10000000+(N('Dvd Calendar'!$X$43)&gt;0)*(N('Dvd Calendar'!$X$43)&lt;=VAL_SERIAL)*1000000+4*1000+20))</f>
        <v/>
      </c>
      <c r="EY15" s="39">
        <f>IF(N('Dvd Calendar'!$Y$44)=0,"",IF(('Dvd Calendar'!$Y$44&gt;=GRID_FROM)*('Dvd Calendar'!$Y$44&lt;=GRID_TO)*((('Dvd Calendar'!$Y$44&lt;=VAL_DATE)+(COUNTIF('Dvd Calendar'!$E$51:$AR$51,'Dvd Calendar'!$Y$44)=0))&gt;0)=0,"",'Dvd Calendar'!$Y$44*1000000000+ISNUMBER('Dvd Calendar'!$Y$47)*100000000+('Dvd Calendar'!$Y$49=SPECIAL_LBL)*10000000+(N('Dvd Calendar'!$Y$43)&gt;0)*(N('Dvd Calendar'!$Y$43)&lt;=VAL_SERIAL)*1000000+4*1000+21))</f>
        <v/>
      </c>
      <c r="EZ15" s="39">
        <f>IF(N('Dvd Calendar'!$Z$44)=0,"",IF(('Dvd Calendar'!$Z$44&gt;=GRID_FROM)*('Dvd Calendar'!$Z$44&lt;=GRID_TO)*((('Dvd Calendar'!$Z$44&lt;=VAL_DATE)+(COUNTIF('Dvd Calendar'!$E$51:$AR$51,'Dvd Calendar'!$Z$44)=0))&gt;0)=0,"",'Dvd Calendar'!$Z$44*1000000000+ISNUMBER('Dvd Calendar'!$Z$47)*100000000+('Dvd Calendar'!$Z$49=SPECIAL_LBL)*10000000+(N('Dvd Calendar'!$Z$43)&gt;0)*(N('Dvd Calendar'!$Z$43)&lt;=VAL_SERIAL)*1000000+4*1000+22))</f>
        <v/>
      </c>
      <c r="FA15" s="39">
        <f>IF(N('Dvd Calendar'!$AA$44)=0,"",IF(('Dvd Calendar'!$AA$44&gt;=GRID_FROM)*('Dvd Calendar'!$AA$44&lt;=GRID_TO)*((('Dvd Calendar'!$AA$44&lt;=VAL_DATE)+(COUNTIF('Dvd Calendar'!$E$51:$AR$51,'Dvd Calendar'!$AA$44)=0))&gt;0)=0,"",'Dvd Calendar'!$AA$44*1000000000+ISNUMBER('Dvd Calendar'!$AA$47)*100000000+('Dvd Calendar'!$AA$49=SPECIAL_LBL)*10000000+(N('Dvd Calendar'!$AA$43)&gt;0)*(N('Dvd Calendar'!$AA$43)&lt;=VAL_SERIAL)*1000000+4*1000+23))</f>
        <v/>
      </c>
      <c r="FB15" s="39">
        <f>IF(N('Dvd Calendar'!$AB$44)=0,"",IF(('Dvd Calendar'!$AB$44&gt;=GRID_FROM)*('Dvd Calendar'!$AB$44&lt;=GRID_TO)*((('Dvd Calendar'!$AB$44&lt;=VAL_DATE)+(COUNTIF('Dvd Calendar'!$E$51:$AR$51,'Dvd Calendar'!$AB$44)=0))&gt;0)=0,"",'Dvd Calendar'!$AB$44*1000000000+ISNUMBER('Dvd Calendar'!$AB$47)*100000000+('Dvd Calendar'!$AB$49=SPECIAL_LBL)*10000000+(N('Dvd Calendar'!$AB$43)&gt;0)*(N('Dvd Calendar'!$AB$43)&lt;=VAL_SERIAL)*1000000+4*1000+24))</f>
        <v/>
      </c>
      <c r="FC15" s="39">
        <f>IF(N('Dvd Calendar'!$AC$44)=0,"",IF(('Dvd Calendar'!$AC$44&gt;=GRID_FROM)*('Dvd Calendar'!$AC$44&lt;=GRID_TO)*((('Dvd Calendar'!$AC$44&lt;=VAL_DATE)+(COUNTIF('Dvd Calendar'!$E$51:$AR$51,'Dvd Calendar'!$AC$44)=0))&gt;0)=0,"",'Dvd Calendar'!$AC$44*1000000000+ISNUMBER('Dvd Calendar'!$AC$47)*100000000+('Dvd Calendar'!$AC$49=SPECIAL_LBL)*10000000+(N('Dvd Calendar'!$AC$43)&gt;0)*(N('Dvd Calendar'!$AC$43)&lt;=VAL_SERIAL)*1000000+4*1000+25))</f>
        <v/>
      </c>
      <c r="FD15" s="39">
        <f>IF(N('Dvd Calendar'!$AD$44)=0,"",IF(('Dvd Calendar'!$AD$44&gt;=GRID_FROM)*('Dvd Calendar'!$AD$44&lt;=GRID_TO)*((('Dvd Calendar'!$AD$44&lt;=VAL_DATE)+(COUNTIF('Dvd Calendar'!$E$51:$AR$51,'Dvd Calendar'!$AD$44)=0))&gt;0)=0,"",'Dvd Calendar'!$AD$44*1000000000+ISNUMBER('Dvd Calendar'!$AD$47)*100000000+('Dvd Calendar'!$AD$49=SPECIAL_LBL)*10000000+(N('Dvd Calendar'!$AD$43)&gt;0)*(N('Dvd Calendar'!$AD$43)&lt;=VAL_SERIAL)*1000000+4*1000+26))</f>
        <v/>
      </c>
      <c r="FE15" s="39">
        <f>IF(N('Dvd Calendar'!$AE$44)=0,"",IF(('Dvd Calendar'!$AE$44&gt;=GRID_FROM)*('Dvd Calendar'!$AE$44&lt;=GRID_TO)*((('Dvd Calendar'!$AE$44&lt;=VAL_DATE)+(COUNTIF('Dvd Calendar'!$E$51:$AR$51,'Dvd Calendar'!$AE$44)=0))&gt;0)=0,"",'Dvd Calendar'!$AE$44*1000000000+ISNUMBER('Dvd Calendar'!$AE$47)*100000000+('Dvd Calendar'!$AE$49=SPECIAL_LBL)*10000000+(N('Dvd Calendar'!$AE$43)&gt;0)*(N('Dvd Calendar'!$AE$43)&lt;=VAL_SERIAL)*1000000+4*1000+27))</f>
        <v/>
      </c>
      <c r="FF15" s="39">
        <f>IF(N('Dvd Calendar'!$AF$44)=0,"",IF(('Dvd Calendar'!$AF$44&gt;=GRID_FROM)*('Dvd Calendar'!$AF$44&lt;=GRID_TO)*((('Dvd Calendar'!$AF$44&lt;=VAL_DATE)+(COUNTIF('Dvd Calendar'!$E$51:$AR$51,'Dvd Calendar'!$AF$44)=0))&gt;0)=0,"",'Dvd Calendar'!$AF$44*1000000000+ISNUMBER('Dvd Calendar'!$AF$47)*100000000+('Dvd Calendar'!$AF$49=SPECIAL_LBL)*10000000+(N('Dvd Calendar'!$AF$43)&gt;0)*(N('Dvd Calendar'!$AF$43)&lt;=VAL_SERIAL)*1000000+4*1000+28))</f>
        <v/>
      </c>
      <c r="FG15" s="39">
        <f>IF(N('Dvd Calendar'!$AG$44)=0,"",IF(('Dvd Calendar'!$AG$44&gt;=GRID_FROM)*('Dvd Calendar'!$AG$44&lt;=GRID_TO)*((('Dvd Calendar'!$AG$44&lt;=VAL_DATE)+(COUNTIF('Dvd Calendar'!$E$51:$AR$51,'Dvd Calendar'!$AG$44)=0))&gt;0)=0,"",'Dvd Calendar'!$AG$44*1000000000+ISNUMBER('Dvd Calendar'!$AG$47)*100000000+('Dvd Calendar'!$AG$49=SPECIAL_LBL)*10000000+(N('Dvd Calendar'!$AG$43)&gt;0)*(N('Dvd Calendar'!$AG$43)&lt;=VAL_SERIAL)*1000000+4*1000+29))</f>
        <v/>
      </c>
      <c r="FH15" s="39">
        <f>IF(N('Dvd Calendar'!$AH$44)=0,"",IF(('Dvd Calendar'!$AH$44&gt;=GRID_FROM)*('Dvd Calendar'!$AH$44&lt;=GRID_TO)*((('Dvd Calendar'!$AH$44&lt;=VAL_DATE)+(COUNTIF('Dvd Calendar'!$E$51:$AR$51,'Dvd Calendar'!$AH$44)=0))&gt;0)=0,"",'Dvd Calendar'!$AH$44*1000000000+ISNUMBER('Dvd Calendar'!$AH$47)*100000000+('Dvd Calendar'!$AH$49=SPECIAL_LBL)*10000000+(N('Dvd Calendar'!$AH$43)&gt;0)*(N('Dvd Calendar'!$AH$43)&lt;=VAL_SERIAL)*1000000+4*1000+30))</f>
        <v/>
      </c>
      <c r="FI15" s="39">
        <f>IF(N('Dvd Calendar'!$AI$44)=0,"",IF(('Dvd Calendar'!$AI$44&gt;=GRID_FROM)*('Dvd Calendar'!$AI$44&lt;=GRID_TO)*((('Dvd Calendar'!$AI$44&lt;=VAL_DATE)+(COUNTIF('Dvd Calendar'!$E$51:$AR$51,'Dvd Calendar'!$AI$44)=0))&gt;0)=0,"",'Dvd Calendar'!$AI$44*1000000000+ISNUMBER('Dvd Calendar'!$AI$47)*100000000+('Dvd Calendar'!$AI$49=SPECIAL_LBL)*10000000+(N('Dvd Calendar'!$AI$43)&gt;0)*(N('Dvd Calendar'!$AI$43)&lt;=VAL_SERIAL)*1000000+4*1000+31))</f>
        <v/>
      </c>
      <c r="FJ15" s="39">
        <f>IF(N('Dvd Calendar'!$AJ$44)=0,"",IF(('Dvd Calendar'!$AJ$44&gt;=GRID_FROM)*('Dvd Calendar'!$AJ$44&lt;=GRID_TO)*((('Dvd Calendar'!$AJ$44&lt;=VAL_DATE)+(COUNTIF('Dvd Calendar'!$E$51:$AR$51,'Dvd Calendar'!$AJ$44)=0))&gt;0)=0,"",'Dvd Calendar'!$AJ$44*1000000000+ISNUMBER('Dvd Calendar'!$AJ$47)*100000000+('Dvd Calendar'!$AJ$49=SPECIAL_LBL)*10000000+(N('Dvd Calendar'!$AJ$43)&gt;0)*(N('Dvd Calendar'!$AJ$43)&lt;=VAL_SERIAL)*1000000+4*1000+32))</f>
        <v/>
      </c>
      <c r="FK15" s="39">
        <f>IF(N('Dvd Calendar'!$AK$44)=0,"",IF(('Dvd Calendar'!$AK$44&gt;=GRID_FROM)*('Dvd Calendar'!$AK$44&lt;=GRID_TO)*((('Dvd Calendar'!$AK$44&lt;=VAL_DATE)+(COUNTIF('Dvd Calendar'!$E$51:$AR$51,'Dvd Calendar'!$AK$44)=0))&gt;0)=0,"",'Dvd Calendar'!$AK$44*1000000000+ISNUMBER('Dvd Calendar'!$AK$47)*100000000+('Dvd Calendar'!$AK$49=SPECIAL_LBL)*10000000+(N('Dvd Calendar'!$AK$43)&gt;0)*(N('Dvd Calendar'!$AK$43)&lt;=VAL_SERIAL)*1000000+4*1000+33))</f>
        <v/>
      </c>
      <c r="FL15" s="39">
        <f>IF(N('Dvd Calendar'!$AL$44)=0,"",IF(('Dvd Calendar'!$AL$44&gt;=GRID_FROM)*('Dvd Calendar'!$AL$44&lt;=GRID_TO)*((('Dvd Calendar'!$AL$44&lt;=VAL_DATE)+(COUNTIF('Dvd Calendar'!$E$51:$AR$51,'Dvd Calendar'!$AL$44)=0))&gt;0)=0,"",'Dvd Calendar'!$AL$44*1000000000+ISNUMBER('Dvd Calendar'!$AL$47)*100000000+('Dvd Calendar'!$AL$49=SPECIAL_LBL)*10000000+(N('Dvd Calendar'!$AL$43)&gt;0)*(N('Dvd Calendar'!$AL$43)&lt;=VAL_SERIAL)*1000000+4*1000+34))</f>
        <v/>
      </c>
      <c r="FM15" s="39">
        <f>IF(N('Dvd Calendar'!$AM$44)=0,"",IF(('Dvd Calendar'!$AM$44&gt;=GRID_FROM)*('Dvd Calendar'!$AM$44&lt;=GRID_TO)*((('Dvd Calendar'!$AM$44&lt;=VAL_DATE)+(COUNTIF('Dvd Calendar'!$E$51:$AR$51,'Dvd Calendar'!$AM$44)=0))&gt;0)=0,"",'Dvd Calendar'!$AM$44*1000000000+ISNUMBER('Dvd Calendar'!$AM$47)*100000000+('Dvd Calendar'!$AM$49=SPECIAL_LBL)*10000000+(N('Dvd Calendar'!$AM$43)&gt;0)*(N('Dvd Calendar'!$AM$43)&lt;=VAL_SERIAL)*1000000+4*1000+35))</f>
        <v/>
      </c>
      <c r="FN15" s="39">
        <f>IF(N('Dvd Calendar'!$AN$44)=0,"",IF(('Dvd Calendar'!$AN$44&gt;=GRID_FROM)*('Dvd Calendar'!$AN$44&lt;=GRID_TO)*((('Dvd Calendar'!$AN$44&lt;=VAL_DATE)+(COUNTIF('Dvd Calendar'!$E$51:$AR$51,'Dvd Calendar'!$AN$44)=0))&gt;0)=0,"",'Dvd Calendar'!$AN$44*1000000000+ISNUMBER('Dvd Calendar'!$AN$47)*100000000+('Dvd Calendar'!$AN$49=SPECIAL_LBL)*10000000+(N('Dvd Calendar'!$AN$43)&gt;0)*(N('Dvd Calendar'!$AN$43)&lt;=VAL_SERIAL)*1000000+4*1000+36))</f>
        <v/>
      </c>
      <c r="FO15" s="39">
        <f>IF(N('Dvd Calendar'!$AO$44)=0,"",IF(('Dvd Calendar'!$AO$44&gt;=GRID_FROM)*('Dvd Calendar'!$AO$44&lt;=GRID_TO)*((('Dvd Calendar'!$AO$44&lt;=VAL_DATE)+(COUNTIF('Dvd Calendar'!$E$51:$AR$51,'Dvd Calendar'!$AO$44)=0))&gt;0)=0,"",'Dvd Calendar'!$AO$44*1000000000+ISNUMBER('Dvd Calendar'!$AO$47)*100000000+('Dvd Calendar'!$AO$49=SPECIAL_LBL)*10000000+(N('Dvd Calendar'!$AO$43)&gt;0)*(N('Dvd Calendar'!$AO$43)&lt;=VAL_SERIAL)*1000000+4*1000+37))</f>
        <v/>
      </c>
      <c r="FP15" s="39">
        <f>IF(N('Dvd Calendar'!$AP$44)=0,"",IF(('Dvd Calendar'!$AP$44&gt;=GRID_FROM)*('Dvd Calendar'!$AP$44&lt;=GRID_TO)*((('Dvd Calendar'!$AP$44&lt;=VAL_DATE)+(COUNTIF('Dvd Calendar'!$E$51:$AR$51,'Dvd Calendar'!$AP$44)=0))&gt;0)=0,"",'Dvd Calendar'!$AP$44*1000000000+ISNUMBER('Dvd Calendar'!$AP$47)*100000000+('Dvd Calendar'!$AP$49=SPECIAL_LBL)*10000000+(N('Dvd Calendar'!$AP$43)&gt;0)*(N('Dvd Calendar'!$AP$43)&lt;=VAL_SERIAL)*1000000+4*1000+38))</f>
        <v/>
      </c>
      <c r="FQ15" s="39">
        <f>IF(N('Dvd Calendar'!$AQ$44)=0,"",IF(('Dvd Calendar'!$AQ$44&gt;=GRID_FROM)*('Dvd Calendar'!$AQ$44&lt;=GRID_TO)*((('Dvd Calendar'!$AQ$44&lt;=VAL_DATE)+(COUNTIF('Dvd Calendar'!$E$51:$AR$51,'Dvd Calendar'!$AQ$44)=0))&gt;0)=0,"",'Dvd Calendar'!$AQ$44*1000000000+ISNUMBER('Dvd Calendar'!$AQ$47)*100000000+('Dvd Calendar'!$AQ$49=SPECIAL_LBL)*10000000+(N('Dvd Calendar'!$AQ$43)&gt;0)*(N('Dvd Calendar'!$AQ$43)&lt;=VAL_SERIAL)*1000000+4*1000+39))</f>
        <v/>
      </c>
      <c r="FR15" s="39">
        <f>IF(N('Dvd Calendar'!$AR$44)=0,"",IF(('Dvd Calendar'!$AR$44&gt;=GRID_FROM)*('Dvd Calendar'!$AR$44&lt;=GRID_TO)*((('Dvd Calendar'!$AR$44&lt;=VAL_DATE)+(COUNTIF('Dvd Calendar'!$E$51:$AR$51,'Dvd Calendar'!$AR$44)=0))&gt;0)=0,"",'Dvd Calendar'!$AR$44*1000000000+ISNUMBER('Dvd Calendar'!$AR$47)*100000000+('Dvd Calendar'!$AR$49=SPECIAL_LBL)*10000000+(N('Dvd Calendar'!$AR$43)&gt;0)*(N('Dvd Calendar'!$AR$43)&lt;=VAL_SERIAL)*1000000+4*1000+40))</f>
        <v/>
      </c>
      <c r="FS15" s="39">
        <f>IF(N('Dvd Calendar'!$E$51)=0,"",IF(('Dvd Calendar'!$E$51&gt;=GRID_FROM)*('Dvd Calendar'!$E$51&lt;=GRID_TO)*('Dvd Calendar'!$E$51&gt;VAL_DATE)=0,"",'Dvd Calendar'!$E$51*1000000000+ISNUMBER('Dvd Calendar'!$E$52)*100000000+0*10000000+(N('Dvd Calendar'!$E$50)&gt;0)*(N('Dvd Calendar'!$E$50)&lt;=VAL_SERIAL)*1000000+4*1000+41))</f>
        <v/>
      </c>
      <c r="FT15" s="39">
        <f>IF(N('Dvd Calendar'!$F$51)=0,"",IF(('Dvd Calendar'!$F$51&gt;=GRID_FROM)*('Dvd Calendar'!$F$51&lt;=GRID_TO)*('Dvd Calendar'!$F$51&gt;VAL_DATE)=0,"",'Dvd Calendar'!$F$51*1000000000+ISNUMBER('Dvd Calendar'!$F$52)*100000000+0*10000000+(N('Dvd Calendar'!$F$50)&gt;0)*(N('Dvd Calendar'!$F$50)&lt;=VAL_SERIAL)*1000000+4*1000+42))</f>
        <v/>
      </c>
      <c r="FU15" s="39">
        <f>IF(N('Dvd Calendar'!$G$51)=0,"",IF(('Dvd Calendar'!$G$51&gt;=GRID_FROM)*('Dvd Calendar'!$G$51&lt;=GRID_TO)*('Dvd Calendar'!$G$51&gt;VAL_DATE)=0,"",'Dvd Calendar'!$G$51*1000000000+ISNUMBER('Dvd Calendar'!$G$52)*100000000+0*10000000+(N('Dvd Calendar'!$G$50)&gt;0)*(N('Dvd Calendar'!$G$50)&lt;=VAL_SERIAL)*1000000+4*1000+43))</f>
        <v/>
      </c>
      <c r="FV15" s="39">
        <f>IF(N('Dvd Calendar'!$H$51)=0,"",IF(('Dvd Calendar'!$H$51&gt;=GRID_FROM)*('Dvd Calendar'!$H$51&lt;=GRID_TO)*('Dvd Calendar'!$H$51&gt;VAL_DATE)=0,"",'Dvd Calendar'!$H$51*1000000000+ISNUMBER('Dvd Calendar'!$H$52)*100000000+0*10000000+(N('Dvd Calendar'!$H$50)&gt;0)*(N('Dvd Calendar'!$H$50)&lt;=VAL_SERIAL)*1000000+4*1000+44))</f>
        <v/>
      </c>
      <c r="FW15" s="39">
        <f>IF(N('Dvd Calendar'!$I$51)=0,"",IF(('Dvd Calendar'!$I$51&gt;=GRID_FROM)*('Dvd Calendar'!$I$51&lt;=GRID_TO)*('Dvd Calendar'!$I$51&gt;VAL_DATE)=0,"",'Dvd Calendar'!$I$51*1000000000+ISNUMBER('Dvd Calendar'!$I$52)*100000000+0*10000000+(N('Dvd Calendar'!$I$50)&gt;0)*(N('Dvd Calendar'!$I$50)&lt;=VAL_SERIAL)*1000000+4*1000+45))</f>
        <v/>
      </c>
      <c r="FX15" s="39">
        <f>IF(N('Dvd Calendar'!$J$51)=0,"",IF(('Dvd Calendar'!$J$51&gt;=GRID_FROM)*('Dvd Calendar'!$J$51&lt;=GRID_TO)*('Dvd Calendar'!$J$51&gt;VAL_DATE)=0,"",'Dvd Calendar'!$J$51*1000000000+ISNUMBER('Dvd Calendar'!$J$52)*100000000+0*10000000+(N('Dvd Calendar'!$J$50)&gt;0)*(N('Dvd Calendar'!$J$50)&lt;=VAL_SERIAL)*1000000+4*1000+46))</f>
        <v/>
      </c>
      <c r="FY15" s="39">
        <f>IF(N('Dvd Calendar'!$K$51)=0,"",IF(('Dvd Calendar'!$K$51&gt;=GRID_FROM)*('Dvd Calendar'!$K$51&lt;=GRID_TO)*('Dvd Calendar'!$K$51&gt;VAL_DATE)=0,"",'Dvd Calendar'!$K$51*1000000000+ISNUMBER('Dvd Calendar'!$K$52)*100000000+0*10000000+(N('Dvd Calendar'!$K$50)&gt;0)*(N('Dvd Calendar'!$K$50)&lt;=VAL_SERIAL)*1000000+4*1000+47))</f>
        <v/>
      </c>
      <c r="FZ15" s="39">
        <f>IF(N('Dvd Calendar'!$L$51)=0,"",IF(('Dvd Calendar'!$L$51&gt;=GRID_FROM)*('Dvd Calendar'!$L$51&lt;=GRID_TO)*('Dvd Calendar'!$L$51&gt;VAL_DATE)=0,"",'Dvd Calendar'!$L$51*1000000000+ISNUMBER('Dvd Calendar'!$L$52)*100000000+0*10000000+(N('Dvd Calendar'!$L$50)&gt;0)*(N('Dvd Calendar'!$L$50)&lt;=VAL_SERIAL)*1000000+4*1000+48))</f>
        <v/>
      </c>
      <c r="GA15" s="39">
        <f>IF(N('Dvd Calendar'!$M$51)=0,"",IF(('Dvd Calendar'!$M$51&gt;=GRID_FROM)*('Dvd Calendar'!$M$51&lt;=GRID_TO)*('Dvd Calendar'!$M$51&gt;VAL_DATE)=0,"",'Dvd Calendar'!$M$51*1000000000+ISNUMBER('Dvd Calendar'!$M$52)*100000000+0*10000000+(N('Dvd Calendar'!$M$50)&gt;0)*(N('Dvd Calendar'!$M$50)&lt;=VAL_SERIAL)*1000000+4*1000+49))</f>
        <v/>
      </c>
      <c r="GB15" s="39">
        <f>IF(N('Dvd Calendar'!$N$51)=0,"",IF(('Dvd Calendar'!$N$51&gt;=GRID_FROM)*('Dvd Calendar'!$N$51&lt;=GRID_TO)*('Dvd Calendar'!$N$51&gt;VAL_DATE)=0,"",'Dvd Calendar'!$N$51*1000000000+ISNUMBER('Dvd Calendar'!$N$52)*100000000+0*10000000+(N('Dvd Calendar'!$N$50)&gt;0)*(N('Dvd Calendar'!$N$50)&lt;=VAL_SERIAL)*1000000+4*1000+50))</f>
        <v/>
      </c>
      <c r="GC15" s="39">
        <f>IF(N('Dvd Calendar'!$O$51)=0,"",IF(('Dvd Calendar'!$O$51&gt;=GRID_FROM)*('Dvd Calendar'!$O$51&lt;=GRID_TO)*('Dvd Calendar'!$O$51&gt;VAL_DATE)=0,"",'Dvd Calendar'!$O$51*1000000000+ISNUMBER('Dvd Calendar'!$O$52)*100000000+0*10000000+(N('Dvd Calendar'!$O$50)&gt;0)*(N('Dvd Calendar'!$O$50)&lt;=VAL_SERIAL)*1000000+4*1000+51))</f>
        <v/>
      </c>
      <c r="GD15" s="39">
        <f>IF(N('Dvd Calendar'!$P$51)=0,"",IF(('Dvd Calendar'!$P$51&gt;=GRID_FROM)*('Dvd Calendar'!$P$51&lt;=GRID_TO)*('Dvd Calendar'!$P$51&gt;VAL_DATE)=0,"",'Dvd Calendar'!$P$51*1000000000+ISNUMBER('Dvd Calendar'!$P$52)*100000000+0*10000000+(N('Dvd Calendar'!$P$50)&gt;0)*(N('Dvd Calendar'!$P$50)&lt;=VAL_SERIAL)*1000000+4*1000+52))</f>
        <v/>
      </c>
      <c r="GE15" s="39">
        <f>IF(N('Dvd Calendar'!$Q$51)=0,"",IF(('Dvd Calendar'!$Q$51&gt;=GRID_FROM)*('Dvd Calendar'!$Q$51&lt;=GRID_TO)*('Dvd Calendar'!$Q$51&gt;VAL_DATE)=0,"",'Dvd Calendar'!$Q$51*1000000000+ISNUMBER('Dvd Calendar'!$Q$52)*100000000+0*10000000+(N('Dvd Calendar'!$Q$50)&gt;0)*(N('Dvd Calendar'!$Q$50)&lt;=VAL_SERIAL)*1000000+4*1000+53))</f>
        <v/>
      </c>
      <c r="GF15" s="39">
        <f>IF(N('Dvd Calendar'!$R$51)=0,"",IF(('Dvd Calendar'!$R$51&gt;=GRID_FROM)*('Dvd Calendar'!$R$51&lt;=GRID_TO)*('Dvd Calendar'!$R$51&gt;VAL_DATE)=0,"",'Dvd Calendar'!$R$51*1000000000+ISNUMBER('Dvd Calendar'!$R$52)*100000000+0*10000000+(N('Dvd Calendar'!$R$50)&gt;0)*(N('Dvd Calendar'!$R$50)&lt;=VAL_SERIAL)*1000000+4*1000+54))</f>
        <v/>
      </c>
      <c r="GG15" s="39">
        <f>IF(N('Dvd Calendar'!$S$51)=0,"",IF(('Dvd Calendar'!$S$51&gt;=GRID_FROM)*('Dvd Calendar'!$S$51&lt;=GRID_TO)*('Dvd Calendar'!$S$51&gt;VAL_DATE)=0,"",'Dvd Calendar'!$S$51*1000000000+ISNUMBER('Dvd Calendar'!$S$52)*100000000+0*10000000+(N('Dvd Calendar'!$S$50)&gt;0)*(N('Dvd Calendar'!$S$50)&lt;=VAL_SERIAL)*1000000+4*1000+55))</f>
        <v/>
      </c>
      <c r="GH15" s="39">
        <f>IF(N('Dvd Calendar'!$T$51)=0,"",IF(('Dvd Calendar'!$T$51&gt;=GRID_FROM)*('Dvd Calendar'!$T$51&lt;=GRID_TO)*('Dvd Calendar'!$T$51&gt;VAL_DATE)=0,"",'Dvd Calendar'!$T$51*1000000000+ISNUMBER('Dvd Calendar'!$T$52)*100000000+0*10000000+(N('Dvd Calendar'!$T$50)&gt;0)*(N('Dvd Calendar'!$T$50)&lt;=VAL_SERIAL)*1000000+4*1000+56))</f>
        <v/>
      </c>
      <c r="GI15" s="39">
        <f>IF(N('Dvd Calendar'!$U$51)=0,"",IF(('Dvd Calendar'!$U$51&gt;=GRID_FROM)*('Dvd Calendar'!$U$51&lt;=GRID_TO)*('Dvd Calendar'!$U$51&gt;VAL_DATE)=0,"",'Dvd Calendar'!$U$51*1000000000+ISNUMBER('Dvd Calendar'!$U$52)*100000000+0*10000000+(N('Dvd Calendar'!$U$50)&gt;0)*(N('Dvd Calendar'!$U$50)&lt;=VAL_SERIAL)*1000000+4*1000+57))</f>
        <v/>
      </c>
      <c r="GJ15" s="39">
        <f>IF(N('Dvd Calendar'!$V$51)=0,"",IF(('Dvd Calendar'!$V$51&gt;=GRID_FROM)*('Dvd Calendar'!$V$51&lt;=GRID_TO)*('Dvd Calendar'!$V$51&gt;VAL_DATE)=0,"",'Dvd Calendar'!$V$51*1000000000+ISNUMBER('Dvd Calendar'!$V$52)*100000000+0*10000000+(N('Dvd Calendar'!$V$50)&gt;0)*(N('Dvd Calendar'!$V$50)&lt;=VAL_SERIAL)*1000000+4*1000+58))</f>
        <v/>
      </c>
      <c r="GK15" s="39">
        <f>IF(N('Dvd Calendar'!$W$51)=0,"",IF(('Dvd Calendar'!$W$51&gt;=GRID_FROM)*('Dvd Calendar'!$W$51&lt;=GRID_TO)*('Dvd Calendar'!$W$51&gt;VAL_DATE)=0,"",'Dvd Calendar'!$W$51*1000000000+ISNUMBER('Dvd Calendar'!$W$52)*100000000+0*10000000+(N('Dvd Calendar'!$W$50)&gt;0)*(N('Dvd Calendar'!$W$50)&lt;=VAL_SERIAL)*1000000+4*1000+59))</f>
        <v/>
      </c>
      <c r="GL15" s="39">
        <f>IF(N('Dvd Calendar'!$X$51)=0,"",IF(('Dvd Calendar'!$X$51&gt;=GRID_FROM)*('Dvd Calendar'!$X$51&lt;=GRID_TO)*('Dvd Calendar'!$X$51&gt;VAL_DATE)=0,"",'Dvd Calendar'!$X$51*1000000000+ISNUMBER('Dvd Calendar'!$X$52)*100000000+0*10000000+(N('Dvd Calendar'!$X$50)&gt;0)*(N('Dvd Calendar'!$X$50)&lt;=VAL_SERIAL)*1000000+4*1000+60))</f>
        <v/>
      </c>
      <c r="GM15" s="39">
        <f>IF(N('Dvd Calendar'!$Y$51)=0,"",IF(('Dvd Calendar'!$Y$51&gt;=GRID_FROM)*('Dvd Calendar'!$Y$51&lt;=GRID_TO)*('Dvd Calendar'!$Y$51&gt;VAL_DATE)=0,"",'Dvd Calendar'!$Y$51*1000000000+ISNUMBER('Dvd Calendar'!$Y$52)*100000000+0*10000000+(N('Dvd Calendar'!$Y$50)&gt;0)*(N('Dvd Calendar'!$Y$50)&lt;=VAL_SERIAL)*1000000+4*1000+61))</f>
        <v/>
      </c>
      <c r="GN15" s="39">
        <f>IF(N('Dvd Calendar'!$Z$51)=0,"",IF(('Dvd Calendar'!$Z$51&gt;=GRID_FROM)*('Dvd Calendar'!$Z$51&lt;=GRID_TO)*('Dvd Calendar'!$Z$51&gt;VAL_DATE)=0,"",'Dvd Calendar'!$Z$51*1000000000+ISNUMBER('Dvd Calendar'!$Z$52)*100000000+0*10000000+(N('Dvd Calendar'!$Z$50)&gt;0)*(N('Dvd Calendar'!$Z$50)&lt;=VAL_SERIAL)*1000000+4*1000+62))</f>
        <v/>
      </c>
      <c r="GO15" s="39">
        <f>IF(N('Dvd Calendar'!$AA$51)=0,"",IF(('Dvd Calendar'!$AA$51&gt;=GRID_FROM)*('Dvd Calendar'!$AA$51&lt;=GRID_TO)*('Dvd Calendar'!$AA$51&gt;VAL_DATE)=0,"",'Dvd Calendar'!$AA$51*1000000000+ISNUMBER('Dvd Calendar'!$AA$52)*100000000+0*10000000+(N('Dvd Calendar'!$AA$50)&gt;0)*(N('Dvd Calendar'!$AA$50)&lt;=VAL_SERIAL)*1000000+4*1000+63))</f>
        <v/>
      </c>
      <c r="GP15" s="39">
        <f>IF(N('Dvd Calendar'!$AB$51)=0,"",IF(('Dvd Calendar'!$AB$51&gt;=GRID_FROM)*('Dvd Calendar'!$AB$51&lt;=GRID_TO)*('Dvd Calendar'!$AB$51&gt;VAL_DATE)=0,"",'Dvd Calendar'!$AB$51*1000000000+ISNUMBER('Dvd Calendar'!$AB$52)*100000000+0*10000000+(N('Dvd Calendar'!$AB$50)&gt;0)*(N('Dvd Calendar'!$AB$50)&lt;=VAL_SERIAL)*1000000+4*1000+64))</f>
        <v/>
      </c>
      <c r="GQ15" s="39">
        <f>IF(N('Dvd Calendar'!$AC$51)=0,"",IF(('Dvd Calendar'!$AC$51&gt;=GRID_FROM)*('Dvd Calendar'!$AC$51&lt;=GRID_TO)*('Dvd Calendar'!$AC$51&gt;VAL_DATE)=0,"",'Dvd Calendar'!$AC$51*1000000000+ISNUMBER('Dvd Calendar'!$AC$52)*100000000+0*10000000+(N('Dvd Calendar'!$AC$50)&gt;0)*(N('Dvd Calendar'!$AC$50)&lt;=VAL_SERIAL)*1000000+4*1000+65))</f>
        <v/>
      </c>
    </row>
    <row r="16">
      <c r="B16" s="2">
        <f>IF(HSI!$C$11="","",HSI!$C$11)</f>
        <v/>
      </c>
      <c r="C16" s="110">
        <f>IF(EE16="","",IF(ISNUMBER('Dvd Calendar'!$E$58)=FALSE,"",IF((('Dvd Calendar'!$E$60=TYPE1)*(TYPE1&lt;&gt;"")+('Dvd Calendar'!$E$60=TYPE2)*(TYPE2&lt;&gt;"")+('Dvd Calendar'!$E$60=TYPE3)*(TYPE3&lt;&gt;"")+('Dvd Calendar'!$E$60=TYPE4)*(TYPE4&lt;&gt;"")+('Dvd Calendar'!$E$60=SPECIAL_LBL)*(INC_SPECIALS="Y"))=0,"",'Dvd Calendar'!$E$58)))</f>
        <v/>
      </c>
      <c r="D16" s="110">
        <f>IF(EF16="","",IF(ISNUMBER('Dvd Calendar'!$F$58)=FALSE,"",IF((('Dvd Calendar'!$F$60=TYPE1)*(TYPE1&lt;&gt;"")+('Dvd Calendar'!$F$60=TYPE2)*(TYPE2&lt;&gt;"")+('Dvd Calendar'!$F$60=TYPE3)*(TYPE3&lt;&gt;"")+('Dvd Calendar'!$F$60=TYPE4)*(TYPE4&lt;&gt;"")+('Dvd Calendar'!$F$60=SPECIAL_LBL)*(INC_SPECIALS="Y"))=0,"",'Dvd Calendar'!$F$58)))</f>
        <v/>
      </c>
      <c r="E16" s="110">
        <f>IF(EG16="","",IF(ISNUMBER('Dvd Calendar'!$G$58)=FALSE,"",IF((('Dvd Calendar'!$G$60=TYPE1)*(TYPE1&lt;&gt;"")+('Dvd Calendar'!$G$60=TYPE2)*(TYPE2&lt;&gt;"")+('Dvd Calendar'!$G$60=TYPE3)*(TYPE3&lt;&gt;"")+('Dvd Calendar'!$G$60=TYPE4)*(TYPE4&lt;&gt;"")+('Dvd Calendar'!$G$60=SPECIAL_LBL)*(INC_SPECIALS="Y"))=0,"",'Dvd Calendar'!$G$58)))</f>
        <v/>
      </c>
      <c r="F16" s="110">
        <f>IF(EH16="","",IF(ISNUMBER('Dvd Calendar'!$H$58)=FALSE,"",IF((('Dvd Calendar'!$H$60=TYPE1)*(TYPE1&lt;&gt;"")+('Dvd Calendar'!$H$60=TYPE2)*(TYPE2&lt;&gt;"")+('Dvd Calendar'!$H$60=TYPE3)*(TYPE3&lt;&gt;"")+('Dvd Calendar'!$H$60=TYPE4)*(TYPE4&lt;&gt;"")+('Dvd Calendar'!$H$60=SPECIAL_LBL)*(INC_SPECIALS="Y"))=0,"",'Dvd Calendar'!$H$58)))</f>
        <v/>
      </c>
      <c r="G16" s="110">
        <f>IF(EI16="","",IF(ISNUMBER('Dvd Calendar'!$I$58)=FALSE,"",IF((('Dvd Calendar'!$I$60=TYPE1)*(TYPE1&lt;&gt;"")+('Dvd Calendar'!$I$60=TYPE2)*(TYPE2&lt;&gt;"")+('Dvd Calendar'!$I$60=TYPE3)*(TYPE3&lt;&gt;"")+('Dvd Calendar'!$I$60=TYPE4)*(TYPE4&lt;&gt;"")+('Dvd Calendar'!$I$60=SPECIAL_LBL)*(INC_SPECIALS="Y"))=0,"",'Dvd Calendar'!$I$58)))</f>
        <v/>
      </c>
      <c r="H16" s="110">
        <f>IF(EJ16="","",IF(ISNUMBER('Dvd Calendar'!$J$58)=FALSE,"",IF((('Dvd Calendar'!$J$60=TYPE1)*(TYPE1&lt;&gt;"")+('Dvd Calendar'!$J$60=TYPE2)*(TYPE2&lt;&gt;"")+('Dvd Calendar'!$J$60=TYPE3)*(TYPE3&lt;&gt;"")+('Dvd Calendar'!$J$60=TYPE4)*(TYPE4&lt;&gt;"")+('Dvd Calendar'!$J$60=SPECIAL_LBL)*(INC_SPECIALS="Y"))=0,"",'Dvd Calendar'!$J$58)))</f>
        <v/>
      </c>
      <c r="I16" s="110">
        <f>IF(EK16="","",IF(ISNUMBER('Dvd Calendar'!$K$58)=FALSE,"",IF((('Dvd Calendar'!$K$60=TYPE1)*(TYPE1&lt;&gt;"")+('Dvd Calendar'!$K$60=TYPE2)*(TYPE2&lt;&gt;"")+('Dvd Calendar'!$K$60=TYPE3)*(TYPE3&lt;&gt;"")+('Dvd Calendar'!$K$60=TYPE4)*(TYPE4&lt;&gt;"")+('Dvd Calendar'!$K$60=SPECIAL_LBL)*(INC_SPECIALS="Y"))=0,"",'Dvd Calendar'!$K$58)))</f>
        <v/>
      </c>
      <c r="J16" s="110">
        <f>IF(EL16="","",IF(ISNUMBER('Dvd Calendar'!$L$58)=FALSE,"",IF((('Dvd Calendar'!$L$60=TYPE1)*(TYPE1&lt;&gt;"")+('Dvd Calendar'!$L$60=TYPE2)*(TYPE2&lt;&gt;"")+('Dvd Calendar'!$L$60=TYPE3)*(TYPE3&lt;&gt;"")+('Dvd Calendar'!$L$60=TYPE4)*(TYPE4&lt;&gt;"")+('Dvd Calendar'!$L$60=SPECIAL_LBL)*(INC_SPECIALS="Y"))=0,"",'Dvd Calendar'!$L$58)))</f>
        <v/>
      </c>
      <c r="K16" s="110">
        <f>IF(EM16="","",IF(ISNUMBER('Dvd Calendar'!$M$58)=FALSE,"",IF((('Dvd Calendar'!$M$60=TYPE1)*(TYPE1&lt;&gt;"")+('Dvd Calendar'!$M$60=TYPE2)*(TYPE2&lt;&gt;"")+('Dvd Calendar'!$M$60=TYPE3)*(TYPE3&lt;&gt;"")+('Dvd Calendar'!$M$60=TYPE4)*(TYPE4&lt;&gt;"")+('Dvd Calendar'!$M$60=SPECIAL_LBL)*(INC_SPECIALS="Y"))=0,"",'Dvd Calendar'!$M$58)))</f>
        <v/>
      </c>
      <c r="L16" s="110">
        <f>IF(EN16="","",IF(ISNUMBER('Dvd Calendar'!$N$58)=FALSE,"",IF((('Dvd Calendar'!$N$60=TYPE1)*(TYPE1&lt;&gt;"")+('Dvd Calendar'!$N$60=TYPE2)*(TYPE2&lt;&gt;"")+('Dvd Calendar'!$N$60=TYPE3)*(TYPE3&lt;&gt;"")+('Dvd Calendar'!$N$60=TYPE4)*(TYPE4&lt;&gt;"")+('Dvd Calendar'!$N$60=SPECIAL_LBL)*(INC_SPECIALS="Y"))=0,"",'Dvd Calendar'!$N$58)))</f>
        <v/>
      </c>
      <c r="M16" s="110">
        <f>IF(EO16="","",IF(ISNUMBER('Dvd Calendar'!$O$58)=FALSE,"",IF((('Dvd Calendar'!$O$60=TYPE1)*(TYPE1&lt;&gt;"")+('Dvd Calendar'!$O$60=TYPE2)*(TYPE2&lt;&gt;"")+('Dvd Calendar'!$O$60=TYPE3)*(TYPE3&lt;&gt;"")+('Dvd Calendar'!$O$60=TYPE4)*(TYPE4&lt;&gt;"")+('Dvd Calendar'!$O$60=SPECIAL_LBL)*(INC_SPECIALS="Y"))=0,"",'Dvd Calendar'!$O$58)))</f>
        <v/>
      </c>
      <c r="N16" s="110">
        <f>IF(EP16="","",IF(ISNUMBER('Dvd Calendar'!$P$58)=FALSE,"",IF((('Dvd Calendar'!$P$60=TYPE1)*(TYPE1&lt;&gt;"")+('Dvd Calendar'!$P$60=TYPE2)*(TYPE2&lt;&gt;"")+('Dvd Calendar'!$P$60=TYPE3)*(TYPE3&lt;&gt;"")+('Dvd Calendar'!$P$60=TYPE4)*(TYPE4&lt;&gt;"")+('Dvd Calendar'!$P$60=SPECIAL_LBL)*(INC_SPECIALS="Y"))=0,"",'Dvd Calendar'!$P$58)))</f>
        <v/>
      </c>
      <c r="O16" s="110">
        <f>IF(EQ16="","",IF(ISNUMBER('Dvd Calendar'!$Q$58)=FALSE,"",IF((('Dvd Calendar'!$Q$60=TYPE1)*(TYPE1&lt;&gt;"")+('Dvd Calendar'!$Q$60=TYPE2)*(TYPE2&lt;&gt;"")+('Dvd Calendar'!$Q$60=TYPE3)*(TYPE3&lt;&gt;"")+('Dvd Calendar'!$Q$60=TYPE4)*(TYPE4&lt;&gt;"")+('Dvd Calendar'!$Q$60=SPECIAL_LBL)*(INC_SPECIALS="Y"))=0,"",'Dvd Calendar'!$Q$58)))</f>
        <v/>
      </c>
      <c r="P16" s="110">
        <f>IF(ER16="","",IF(ISNUMBER('Dvd Calendar'!$R$58)=FALSE,"",IF((('Dvd Calendar'!$R$60=TYPE1)*(TYPE1&lt;&gt;"")+('Dvd Calendar'!$R$60=TYPE2)*(TYPE2&lt;&gt;"")+('Dvd Calendar'!$R$60=TYPE3)*(TYPE3&lt;&gt;"")+('Dvd Calendar'!$R$60=TYPE4)*(TYPE4&lt;&gt;"")+('Dvd Calendar'!$R$60=SPECIAL_LBL)*(INC_SPECIALS="Y"))=0,"",'Dvd Calendar'!$R$58)))</f>
        <v/>
      </c>
      <c r="Q16" s="110">
        <f>IF(ES16="","",IF(ISNUMBER('Dvd Calendar'!$S$58)=FALSE,"",IF((('Dvd Calendar'!$S$60=TYPE1)*(TYPE1&lt;&gt;"")+('Dvd Calendar'!$S$60=TYPE2)*(TYPE2&lt;&gt;"")+('Dvd Calendar'!$S$60=TYPE3)*(TYPE3&lt;&gt;"")+('Dvd Calendar'!$S$60=TYPE4)*(TYPE4&lt;&gt;"")+('Dvd Calendar'!$S$60=SPECIAL_LBL)*(INC_SPECIALS="Y"))=0,"",'Dvd Calendar'!$S$58)))</f>
        <v/>
      </c>
      <c r="R16" s="110">
        <f>IF(ET16="","",IF(ISNUMBER('Dvd Calendar'!$T$58)=FALSE,"",IF((('Dvd Calendar'!$T$60=TYPE1)*(TYPE1&lt;&gt;"")+('Dvd Calendar'!$T$60=TYPE2)*(TYPE2&lt;&gt;"")+('Dvd Calendar'!$T$60=TYPE3)*(TYPE3&lt;&gt;"")+('Dvd Calendar'!$T$60=TYPE4)*(TYPE4&lt;&gt;"")+('Dvd Calendar'!$T$60=SPECIAL_LBL)*(INC_SPECIALS="Y"))=0,"",'Dvd Calendar'!$T$58)))</f>
        <v/>
      </c>
      <c r="S16" s="110">
        <f>IF(EU16="","",IF(ISNUMBER('Dvd Calendar'!$U$58)=FALSE,"",IF((('Dvd Calendar'!$U$60=TYPE1)*(TYPE1&lt;&gt;"")+('Dvd Calendar'!$U$60=TYPE2)*(TYPE2&lt;&gt;"")+('Dvd Calendar'!$U$60=TYPE3)*(TYPE3&lt;&gt;"")+('Dvd Calendar'!$U$60=TYPE4)*(TYPE4&lt;&gt;"")+('Dvd Calendar'!$U$60=SPECIAL_LBL)*(INC_SPECIALS="Y"))=0,"",'Dvd Calendar'!$U$58)))</f>
        <v/>
      </c>
      <c r="T16" s="110">
        <f>IF(EV16="","",IF(ISNUMBER('Dvd Calendar'!$V$58)=FALSE,"",IF((('Dvd Calendar'!$V$60=TYPE1)*(TYPE1&lt;&gt;"")+('Dvd Calendar'!$V$60=TYPE2)*(TYPE2&lt;&gt;"")+('Dvd Calendar'!$V$60=TYPE3)*(TYPE3&lt;&gt;"")+('Dvd Calendar'!$V$60=TYPE4)*(TYPE4&lt;&gt;"")+('Dvd Calendar'!$V$60=SPECIAL_LBL)*(INC_SPECIALS="Y"))=0,"",'Dvd Calendar'!$V$58)))</f>
        <v/>
      </c>
      <c r="U16" s="110">
        <f>IF(EW16="","",IF(ISNUMBER('Dvd Calendar'!$W$58)=FALSE,"",IF((('Dvd Calendar'!$W$60=TYPE1)*(TYPE1&lt;&gt;"")+('Dvd Calendar'!$W$60=TYPE2)*(TYPE2&lt;&gt;"")+('Dvd Calendar'!$W$60=TYPE3)*(TYPE3&lt;&gt;"")+('Dvd Calendar'!$W$60=TYPE4)*(TYPE4&lt;&gt;"")+('Dvd Calendar'!$W$60=SPECIAL_LBL)*(INC_SPECIALS="Y"))=0,"",'Dvd Calendar'!$W$58)))</f>
        <v/>
      </c>
      <c r="V16" s="110">
        <f>IF(EX16="","",IF(ISNUMBER('Dvd Calendar'!$X$58)=FALSE,"",IF((('Dvd Calendar'!$X$60=TYPE1)*(TYPE1&lt;&gt;"")+('Dvd Calendar'!$X$60=TYPE2)*(TYPE2&lt;&gt;"")+('Dvd Calendar'!$X$60=TYPE3)*(TYPE3&lt;&gt;"")+('Dvd Calendar'!$X$60=TYPE4)*(TYPE4&lt;&gt;"")+('Dvd Calendar'!$X$60=SPECIAL_LBL)*(INC_SPECIALS="Y"))=0,"",'Dvd Calendar'!$X$58)))</f>
        <v/>
      </c>
      <c r="W16" s="110">
        <f>IF(EY16="","",IF(ISNUMBER('Dvd Calendar'!$Y$58)=FALSE,"",IF((('Dvd Calendar'!$Y$60=TYPE1)*(TYPE1&lt;&gt;"")+('Dvd Calendar'!$Y$60=TYPE2)*(TYPE2&lt;&gt;"")+('Dvd Calendar'!$Y$60=TYPE3)*(TYPE3&lt;&gt;"")+('Dvd Calendar'!$Y$60=TYPE4)*(TYPE4&lt;&gt;"")+('Dvd Calendar'!$Y$60=SPECIAL_LBL)*(INC_SPECIALS="Y"))=0,"",'Dvd Calendar'!$Y$58)))</f>
        <v/>
      </c>
      <c r="X16" s="110">
        <f>IF(EZ16="","",IF(ISNUMBER('Dvd Calendar'!$Z$58)=FALSE,"",IF((('Dvd Calendar'!$Z$60=TYPE1)*(TYPE1&lt;&gt;"")+('Dvd Calendar'!$Z$60=TYPE2)*(TYPE2&lt;&gt;"")+('Dvd Calendar'!$Z$60=TYPE3)*(TYPE3&lt;&gt;"")+('Dvd Calendar'!$Z$60=TYPE4)*(TYPE4&lt;&gt;"")+('Dvd Calendar'!$Z$60=SPECIAL_LBL)*(INC_SPECIALS="Y"))=0,"",'Dvd Calendar'!$Z$58)))</f>
        <v/>
      </c>
      <c r="Y16" s="110">
        <f>IF(FA16="","",IF(ISNUMBER('Dvd Calendar'!$AA$58)=FALSE,"",IF((('Dvd Calendar'!$AA$60=TYPE1)*(TYPE1&lt;&gt;"")+('Dvd Calendar'!$AA$60=TYPE2)*(TYPE2&lt;&gt;"")+('Dvd Calendar'!$AA$60=TYPE3)*(TYPE3&lt;&gt;"")+('Dvd Calendar'!$AA$60=TYPE4)*(TYPE4&lt;&gt;"")+('Dvd Calendar'!$AA$60=SPECIAL_LBL)*(INC_SPECIALS="Y"))=0,"",'Dvd Calendar'!$AA$58)))</f>
        <v/>
      </c>
      <c r="Z16" s="110">
        <f>IF(FB16="","",IF(ISNUMBER('Dvd Calendar'!$AB$58)=FALSE,"",IF((('Dvd Calendar'!$AB$60=TYPE1)*(TYPE1&lt;&gt;"")+('Dvd Calendar'!$AB$60=TYPE2)*(TYPE2&lt;&gt;"")+('Dvd Calendar'!$AB$60=TYPE3)*(TYPE3&lt;&gt;"")+('Dvd Calendar'!$AB$60=TYPE4)*(TYPE4&lt;&gt;"")+('Dvd Calendar'!$AB$60=SPECIAL_LBL)*(INC_SPECIALS="Y"))=0,"",'Dvd Calendar'!$AB$58)))</f>
        <v/>
      </c>
      <c r="AA16" s="110">
        <f>IF(FC16="","",IF(ISNUMBER('Dvd Calendar'!$AC$58)=FALSE,"",IF((('Dvd Calendar'!$AC$60=TYPE1)*(TYPE1&lt;&gt;"")+('Dvd Calendar'!$AC$60=TYPE2)*(TYPE2&lt;&gt;"")+('Dvd Calendar'!$AC$60=TYPE3)*(TYPE3&lt;&gt;"")+('Dvd Calendar'!$AC$60=TYPE4)*(TYPE4&lt;&gt;"")+('Dvd Calendar'!$AC$60=SPECIAL_LBL)*(INC_SPECIALS="Y"))=0,"",'Dvd Calendar'!$AC$58)))</f>
        <v/>
      </c>
      <c r="AB16" s="110">
        <f>IF(FD16="","",IF(ISNUMBER('Dvd Calendar'!$AD$58)=FALSE,"",IF((('Dvd Calendar'!$AD$60=TYPE1)*(TYPE1&lt;&gt;"")+('Dvd Calendar'!$AD$60=TYPE2)*(TYPE2&lt;&gt;"")+('Dvd Calendar'!$AD$60=TYPE3)*(TYPE3&lt;&gt;"")+('Dvd Calendar'!$AD$60=TYPE4)*(TYPE4&lt;&gt;"")+('Dvd Calendar'!$AD$60=SPECIAL_LBL)*(INC_SPECIALS="Y"))=0,"",'Dvd Calendar'!$AD$58)))</f>
        <v/>
      </c>
      <c r="AC16" s="110">
        <f>IF(FE16="","",IF(ISNUMBER('Dvd Calendar'!$AE$58)=FALSE,"",IF((('Dvd Calendar'!$AE$60=TYPE1)*(TYPE1&lt;&gt;"")+('Dvd Calendar'!$AE$60=TYPE2)*(TYPE2&lt;&gt;"")+('Dvd Calendar'!$AE$60=TYPE3)*(TYPE3&lt;&gt;"")+('Dvd Calendar'!$AE$60=TYPE4)*(TYPE4&lt;&gt;"")+('Dvd Calendar'!$AE$60=SPECIAL_LBL)*(INC_SPECIALS="Y"))=0,"",'Dvd Calendar'!$AE$58)))</f>
        <v/>
      </c>
      <c r="AD16" s="110">
        <f>IF(FF16="","",IF(ISNUMBER('Dvd Calendar'!$AF$58)=FALSE,"",IF((('Dvd Calendar'!$AF$60=TYPE1)*(TYPE1&lt;&gt;"")+('Dvd Calendar'!$AF$60=TYPE2)*(TYPE2&lt;&gt;"")+('Dvd Calendar'!$AF$60=TYPE3)*(TYPE3&lt;&gt;"")+('Dvd Calendar'!$AF$60=TYPE4)*(TYPE4&lt;&gt;"")+('Dvd Calendar'!$AF$60=SPECIAL_LBL)*(INC_SPECIALS="Y"))=0,"",'Dvd Calendar'!$AF$58)))</f>
        <v/>
      </c>
      <c r="AE16" s="110">
        <f>IF(FG16="","",IF(ISNUMBER('Dvd Calendar'!$AG$58)=FALSE,"",IF((('Dvd Calendar'!$AG$60=TYPE1)*(TYPE1&lt;&gt;"")+('Dvd Calendar'!$AG$60=TYPE2)*(TYPE2&lt;&gt;"")+('Dvd Calendar'!$AG$60=TYPE3)*(TYPE3&lt;&gt;"")+('Dvd Calendar'!$AG$60=TYPE4)*(TYPE4&lt;&gt;"")+('Dvd Calendar'!$AG$60=SPECIAL_LBL)*(INC_SPECIALS="Y"))=0,"",'Dvd Calendar'!$AG$58)))</f>
        <v/>
      </c>
      <c r="AF16" s="110">
        <f>IF(FH16="","",IF(ISNUMBER('Dvd Calendar'!$AH$58)=FALSE,"",IF((('Dvd Calendar'!$AH$60=TYPE1)*(TYPE1&lt;&gt;"")+('Dvd Calendar'!$AH$60=TYPE2)*(TYPE2&lt;&gt;"")+('Dvd Calendar'!$AH$60=TYPE3)*(TYPE3&lt;&gt;"")+('Dvd Calendar'!$AH$60=TYPE4)*(TYPE4&lt;&gt;"")+('Dvd Calendar'!$AH$60=SPECIAL_LBL)*(INC_SPECIALS="Y"))=0,"",'Dvd Calendar'!$AH$58)))</f>
        <v/>
      </c>
      <c r="AG16" s="110">
        <f>IF(FI16="","",IF(ISNUMBER('Dvd Calendar'!$AI$58)=FALSE,"",IF((('Dvd Calendar'!$AI$60=TYPE1)*(TYPE1&lt;&gt;"")+('Dvd Calendar'!$AI$60=TYPE2)*(TYPE2&lt;&gt;"")+('Dvd Calendar'!$AI$60=TYPE3)*(TYPE3&lt;&gt;"")+('Dvd Calendar'!$AI$60=TYPE4)*(TYPE4&lt;&gt;"")+('Dvd Calendar'!$AI$60=SPECIAL_LBL)*(INC_SPECIALS="Y"))=0,"",'Dvd Calendar'!$AI$58)))</f>
        <v/>
      </c>
      <c r="AH16" s="110">
        <f>IF(FJ16="","",IF(ISNUMBER('Dvd Calendar'!$AJ$58)=FALSE,"",IF((('Dvd Calendar'!$AJ$60=TYPE1)*(TYPE1&lt;&gt;"")+('Dvd Calendar'!$AJ$60=TYPE2)*(TYPE2&lt;&gt;"")+('Dvd Calendar'!$AJ$60=TYPE3)*(TYPE3&lt;&gt;"")+('Dvd Calendar'!$AJ$60=TYPE4)*(TYPE4&lt;&gt;"")+('Dvd Calendar'!$AJ$60=SPECIAL_LBL)*(INC_SPECIALS="Y"))=0,"",'Dvd Calendar'!$AJ$58)))</f>
        <v/>
      </c>
      <c r="AI16" s="110">
        <f>IF(FK16="","",IF(ISNUMBER('Dvd Calendar'!$AK$58)=FALSE,"",IF((('Dvd Calendar'!$AK$60=TYPE1)*(TYPE1&lt;&gt;"")+('Dvd Calendar'!$AK$60=TYPE2)*(TYPE2&lt;&gt;"")+('Dvd Calendar'!$AK$60=TYPE3)*(TYPE3&lt;&gt;"")+('Dvd Calendar'!$AK$60=TYPE4)*(TYPE4&lt;&gt;"")+('Dvd Calendar'!$AK$60=SPECIAL_LBL)*(INC_SPECIALS="Y"))=0,"",'Dvd Calendar'!$AK$58)))</f>
        <v/>
      </c>
      <c r="AJ16" s="110">
        <f>IF(FL16="","",IF(ISNUMBER('Dvd Calendar'!$AL$58)=FALSE,"",IF((('Dvd Calendar'!$AL$60=TYPE1)*(TYPE1&lt;&gt;"")+('Dvd Calendar'!$AL$60=TYPE2)*(TYPE2&lt;&gt;"")+('Dvd Calendar'!$AL$60=TYPE3)*(TYPE3&lt;&gt;"")+('Dvd Calendar'!$AL$60=TYPE4)*(TYPE4&lt;&gt;"")+('Dvd Calendar'!$AL$60=SPECIAL_LBL)*(INC_SPECIALS="Y"))=0,"",'Dvd Calendar'!$AL$58)))</f>
        <v/>
      </c>
      <c r="AK16" s="110">
        <f>IF(FM16="","",IF(ISNUMBER('Dvd Calendar'!$AM$58)=FALSE,"",IF((('Dvd Calendar'!$AM$60=TYPE1)*(TYPE1&lt;&gt;"")+('Dvd Calendar'!$AM$60=TYPE2)*(TYPE2&lt;&gt;"")+('Dvd Calendar'!$AM$60=TYPE3)*(TYPE3&lt;&gt;"")+('Dvd Calendar'!$AM$60=TYPE4)*(TYPE4&lt;&gt;"")+('Dvd Calendar'!$AM$60=SPECIAL_LBL)*(INC_SPECIALS="Y"))=0,"",'Dvd Calendar'!$AM$58)))</f>
        <v/>
      </c>
      <c r="AL16" s="110">
        <f>IF(FN16="","",IF(ISNUMBER('Dvd Calendar'!$AN$58)=FALSE,"",IF((('Dvd Calendar'!$AN$60=TYPE1)*(TYPE1&lt;&gt;"")+('Dvd Calendar'!$AN$60=TYPE2)*(TYPE2&lt;&gt;"")+('Dvd Calendar'!$AN$60=TYPE3)*(TYPE3&lt;&gt;"")+('Dvd Calendar'!$AN$60=TYPE4)*(TYPE4&lt;&gt;"")+('Dvd Calendar'!$AN$60=SPECIAL_LBL)*(INC_SPECIALS="Y"))=0,"",'Dvd Calendar'!$AN$58)))</f>
        <v/>
      </c>
      <c r="AM16" s="110">
        <f>IF(FO16="","",IF(ISNUMBER('Dvd Calendar'!$AO$58)=FALSE,"",IF((('Dvd Calendar'!$AO$60=TYPE1)*(TYPE1&lt;&gt;"")+('Dvd Calendar'!$AO$60=TYPE2)*(TYPE2&lt;&gt;"")+('Dvd Calendar'!$AO$60=TYPE3)*(TYPE3&lt;&gt;"")+('Dvd Calendar'!$AO$60=TYPE4)*(TYPE4&lt;&gt;"")+('Dvd Calendar'!$AO$60=SPECIAL_LBL)*(INC_SPECIALS="Y"))=0,"",'Dvd Calendar'!$AO$58)))</f>
        <v/>
      </c>
      <c r="AN16" s="110">
        <f>IF(FP16="","",IF(ISNUMBER('Dvd Calendar'!$AP$58)=FALSE,"",IF((('Dvd Calendar'!$AP$60=TYPE1)*(TYPE1&lt;&gt;"")+('Dvd Calendar'!$AP$60=TYPE2)*(TYPE2&lt;&gt;"")+('Dvd Calendar'!$AP$60=TYPE3)*(TYPE3&lt;&gt;"")+('Dvd Calendar'!$AP$60=TYPE4)*(TYPE4&lt;&gt;"")+('Dvd Calendar'!$AP$60=SPECIAL_LBL)*(INC_SPECIALS="Y"))=0,"",'Dvd Calendar'!$AP$58)))</f>
        <v/>
      </c>
      <c r="AO16" s="110">
        <f>IF(FQ16="","",IF(ISNUMBER('Dvd Calendar'!$AQ$58)=FALSE,"",IF((('Dvd Calendar'!$AQ$60=TYPE1)*(TYPE1&lt;&gt;"")+('Dvd Calendar'!$AQ$60=TYPE2)*(TYPE2&lt;&gt;"")+('Dvd Calendar'!$AQ$60=TYPE3)*(TYPE3&lt;&gt;"")+('Dvd Calendar'!$AQ$60=TYPE4)*(TYPE4&lt;&gt;"")+('Dvd Calendar'!$AQ$60=SPECIAL_LBL)*(INC_SPECIALS="Y"))=0,"",'Dvd Calendar'!$AQ$58)))</f>
        <v/>
      </c>
      <c r="AP16" s="110">
        <f>IF(FR16="","",IF(ISNUMBER('Dvd Calendar'!$AR$58)=FALSE,"",IF((('Dvd Calendar'!$AR$60=TYPE1)*(TYPE1&lt;&gt;"")+('Dvd Calendar'!$AR$60=TYPE2)*(TYPE2&lt;&gt;"")+('Dvd Calendar'!$AR$60=TYPE3)*(TYPE3&lt;&gt;"")+('Dvd Calendar'!$AR$60=TYPE4)*(TYPE4&lt;&gt;"")+('Dvd Calendar'!$AR$60=SPECIAL_LBL)*(INC_SPECIALS="Y"))=0,"",'Dvd Calendar'!$AR$58)))</f>
        <v/>
      </c>
      <c r="AQ16" s="110">
        <f>IF(FS16="","",IF(ISNUMBER('Dvd Calendar'!$E$63)=FALSE,"",'Dvd Calendar'!$E$63))</f>
        <v/>
      </c>
      <c r="AR16" s="110">
        <f>IF(FT16="","",IF(ISNUMBER('Dvd Calendar'!$F$63)=FALSE,"",'Dvd Calendar'!$F$63))</f>
        <v/>
      </c>
      <c r="AS16" s="110">
        <f>IF(FU16="","",IF(ISNUMBER('Dvd Calendar'!$G$63)=FALSE,"",'Dvd Calendar'!$G$63))</f>
        <v/>
      </c>
      <c r="AT16" s="110">
        <f>IF(FV16="","",IF(ISNUMBER('Dvd Calendar'!$H$63)=FALSE,"",'Dvd Calendar'!$H$63))</f>
        <v/>
      </c>
      <c r="AU16" s="110">
        <f>IF(FW16="","",IF(ISNUMBER('Dvd Calendar'!$I$63)=FALSE,"",'Dvd Calendar'!$I$63))</f>
        <v/>
      </c>
      <c r="AV16" s="110">
        <f>IF(FX16="","",IF(ISNUMBER('Dvd Calendar'!$J$63)=FALSE,"",'Dvd Calendar'!$J$63))</f>
        <v/>
      </c>
      <c r="AW16" s="110">
        <f>IF(FY16="","",IF(ISNUMBER('Dvd Calendar'!$K$63)=FALSE,"",'Dvd Calendar'!$K$63))</f>
        <v/>
      </c>
      <c r="AX16" s="110">
        <f>IF(FZ16="","",IF(ISNUMBER('Dvd Calendar'!$L$63)=FALSE,"",'Dvd Calendar'!$L$63))</f>
        <v/>
      </c>
      <c r="AY16" s="110">
        <f>IF(GA16="","",IF(ISNUMBER('Dvd Calendar'!$M$63)=FALSE,"",'Dvd Calendar'!$M$63))</f>
        <v/>
      </c>
      <c r="AZ16" s="110">
        <f>IF(GB16="","",IF(ISNUMBER('Dvd Calendar'!$N$63)=FALSE,"",'Dvd Calendar'!$N$63))</f>
        <v/>
      </c>
      <c r="BA16" s="110">
        <f>IF(GC16="","",IF(ISNUMBER('Dvd Calendar'!$O$63)=FALSE,"",'Dvd Calendar'!$O$63))</f>
        <v/>
      </c>
      <c r="BB16" s="110">
        <f>IF(GD16="","",IF(ISNUMBER('Dvd Calendar'!$P$63)=FALSE,"",'Dvd Calendar'!$P$63))</f>
        <v/>
      </c>
      <c r="BC16" s="110">
        <f>IF(GE16="","",IF(ISNUMBER('Dvd Calendar'!$Q$63)=FALSE,"",'Dvd Calendar'!$Q$63))</f>
        <v/>
      </c>
      <c r="BD16" s="110">
        <f>IF(GF16="","",IF(ISNUMBER('Dvd Calendar'!$R$63)=FALSE,"",'Dvd Calendar'!$R$63))</f>
        <v/>
      </c>
      <c r="BE16" s="110">
        <f>IF(GG16="","",IF(ISNUMBER('Dvd Calendar'!$S$63)=FALSE,"",'Dvd Calendar'!$S$63))</f>
        <v/>
      </c>
      <c r="BF16" s="110">
        <f>IF(GH16="","",IF(ISNUMBER('Dvd Calendar'!$T$63)=FALSE,"",'Dvd Calendar'!$T$63))</f>
        <v/>
      </c>
      <c r="BG16" s="110">
        <f>IF(GI16="","",IF(ISNUMBER('Dvd Calendar'!$U$63)=FALSE,"",'Dvd Calendar'!$U$63))</f>
        <v/>
      </c>
      <c r="BH16" s="110">
        <f>IF(GJ16="","",IF(ISNUMBER('Dvd Calendar'!$V$63)=FALSE,"",'Dvd Calendar'!$V$63))</f>
        <v/>
      </c>
      <c r="BI16" s="110">
        <f>IF(GK16="","",IF(ISNUMBER('Dvd Calendar'!$W$63)=FALSE,"",'Dvd Calendar'!$W$63))</f>
        <v/>
      </c>
      <c r="BJ16" s="110">
        <f>IF(GL16="","",IF(ISNUMBER('Dvd Calendar'!$X$63)=FALSE,"",'Dvd Calendar'!$X$63))</f>
        <v/>
      </c>
      <c r="BK16" s="110">
        <f>IF(GM16="","",IF(ISNUMBER('Dvd Calendar'!$Y$63)=FALSE,"",'Dvd Calendar'!$Y$63))</f>
        <v/>
      </c>
      <c r="BL16" s="110">
        <f>IF(GN16="","",IF(ISNUMBER('Dvd Calendar'!$Z$63)=FALSE,"",'Dvd Calendar'!$Z$63))</f>
        <v/>
      </c>
      <c r="BM16" s="110">
        <f>IF(GO16="","",IF(ISNUMBER('Dvd Calendar'!$AA$63)=FALSE,"",'Dvd Calendar'!$AA$63))</f>
        <v/>
      </c>
      <c r="BN16" s="110">
        <f>IF(GP16="","",IF(ISNUMBER('Dvd Calendar'!$AB$63)=FALSE,"",'Dvd Calendar'!$AB$63))</f>
        <v/>
      </c>
      <c r="BO16" s="110">
        <f>IF(GQ16="","",IF(ISNUMBER('Dvd Calendar'!$AC$63)=FALSE,"",'Dvd Calendar'!$AC$63))</f>
        <v/>
      </c>
      <c r="BQ16" s="110">
        <f>IF(C16="","",IFERROR(C16*HSI!$B$11*HSI!$G$11/HSI!$B$3,""))</f>
        <v/>
      </c>
      <c r="BR16" s="110">
        <f>IF(D16="","",IFERROR(D16*HSI!$B$11*HSI!$G$11/HSI!$B$3,""))</f>
        <v/>
      </c>
      <c r="BS16" s="110">
        <f>IF(E16="","",IFERROR(E16*HSI!$B$11*HSI!$G$11/HSI!$B$3,""))</f>
        <v/>
      </c>
      <c r="BT16" s="110">
        <f>IF(F16="","",IFERROR(F16*HSI!$B$11*HSI!$G$11/HSI!$B$3,""))</f>
        <v/>
      </c>
      <c r="BU16" s="110">
        <f>IF(G16="","",IFERROR(G16*HSI!$B$11*HSI!$G$11/HSI!$B$3,""))</f>
        <v/>
      </c>
      <c r="BV16" s="110">
        <f>IF(H16="","",IFERROR(H16*HSI!$B$11*HSI!$G$11/HSI!$B$3,""))</f>
        <v/>
      </c>
      <c r="BW16" s="110">
        <f>IF(I16="","",IFERROR(I16*HSI!$B$11*HSI!$G$11/HSI!$B$3,""))</f>
        <v/>
      </c>
      <c r="BX16" s="110">
        <f>IF(J16="","",IFERROR(J16*HSI!$B$11*HSI!$G$11/HSI!$B$3,""))</f>
        <v/>
      </c>
      <c r="BY16" s="110">
        <f>IF(K16="","",IFERROR(K16*HSI!$B$11*HSI!$G$11/HSI!$B$3,""))</f>
        <v/>
      </c>
      <c r="BZ16" s="110">
        <f>IF(L16="","",IFERROR(L16*HSI!$B$11*HSI!$G$11/HSI!$B$3,""))</f>
        <v/>
      </c>
      <c r="CA16" s="110">
        <f>IF(M16="","",IFERROR(M16*HSI!$B$11*HSI!$G$11/HSI!$B$3,""))</f>
        <v/>
      </c>
      <c r="CB16" s="110">
        <f>IF(N16="","",IFERROR(N16*HSI!$B$11*HSI!$G$11/HSI!$B$3,""))</f>
        <v/>
      </c>
      <c r="CC16" s="110">
        <f>IF(O16="","",IFERROR(O16*HSI!$B$11*HSI!$G$11/HSI!$B$3,""))</f>
        <v/>
      </c>
      <c r="CD16" s="110">
        <f>IF(P16="","",IFERROR(P16*HSI!$B$11*HSI!$G$11/HSI!$B$3,""))</f>
        <v/>
      </c>
      <c r="CE16" s="110">
        <f>IF(Q16="","",IFERROR(Q16*HSI!$B$11*HSI!$G$11/HSI!$B$3,""))</f>
        <v/>
      </c>
      <c r="CF16" s="110">
        <f>IF(R16="","",IFERROR(R16*HSI!$B$11*HSI!$G$11/HSI!$B$3,""))</f>
        <v/>
      </c>
      <c r="CG16" s="110">
        <f>IF(S16="","",IFERROR(S16*HSI!$B$11*HSI!$G$11/HSI!$B$3,""))</f>
        <v/>
      </c>
      <c r="CH16" s="110">
        <f>IF(T16="","",IFERROR(T16*HSI!$B$11*HSI!$G$11/HSI!$B$3,""))</f>
        <v/>
      </c>
      <c r="CI16" s="110">
        <f>IF(U16="","",IFERROR(U16*HSI!$B$11*HSI!$G$11/HSI!$B$3,""))</f>
        <v/>
      </c>
      <c r="CJ16" s="110">
        <f>IF(V16="","",IFERROR(V16*HSI!$B$11*HSI!$G$11/HSI!$B$3,""))</f>
        <v/>
      </c>
      <c r="CK16" s="110">
        <f>IF(W16="","",IFERROR(W16*HSI!$B$11*HSI!$G$11/HSI!$B$3,""))</f>
        <v/>
      </c>
      <c r="CL16" s="110">
        <f>IF(X16="","",IFERROR(X16*HSI!$B$11*HSI!$G$11/HSI!$B$3,""))</f>
        <v/>
      </c>
      <c r="CM16" s="110">
        <f>IF(Y16="","",IFERROR(Y16*HSI!$B$11*HSI!$G$11/HSI!$B$3,""))</f>
        <v/>
      </c>
      <c r="CN16" s="110">
        <f>IF(Z16="","",IFERROR(Z16*HSI!$B$11*HSI!$G$11/HSI!$B$3,""))</f>
        <v/>
      </c>
      <c r="CO16" s="110">
        <f>IF(AA16="","",IFERROR(AA16*HSI!$B$11*HSI!$G$11/HSI!$B$3,""))</f>
        <v/>
      </c>
      <c r="CP16" s="110">
        <f>IF(AB16="","",IFERROR(AB16*HSI!$B$11*HSI!$G$11/HSI!$B$3,""))</f>
        <v/>
      </c>
      <c r="CQ16" s="110">
        <f>IF(AC16="","",IFERROR(AC16*HSI!$B$11*HSI!$G$11/HSI!$B$3,""))</f>
        <v/>
      </c>
      <c r="CR16" s="110">
        <f>IF(AD16="","",IFERROR(AD16*HSI!$B$11*HSI!$G$11/HSI!$B$3,""))</f>
        <v/>
      </c>
      <c r="CS16" s="110">
        <f>IF(AE16="","",IFERROR(AE16*HSI!$B$11*HSI!$G$11/HSI!$B$3,""))</f>
        <v/>
      </c>
      <c r="CT16" s="110">
        <f>IF(AF16="","",IFERROR(AF16*HSI!$B$11*HSI!$G$11/HSI!$B$3,""))</f>
        <v/>
      </c>
      <c r="CU16" s="110">
        <f>IF(AG16="","",IFERROR(AG16*HSI!$B$11*HSI!$G$11/HSI!$B$3,""))</f>
        <v/>
      </c>
      <c r="CV16" s="110">
        <f>IF(AH16="","",IFERROR(AH16*HSI!$B$11*HSI!$G$11/HSI!$B$3,""))</f>
        <v/>
      </c>
      <c r="CW16" s="110">
        <f>IF(AI16="","",IFERROR(AI16*HSI!$B$11*HSI!$G$11/HSI!$B$3,""))</f>
        <v/>
      </c>
      <c r="CX16" s="110">
        <f>IF(AJ16="","",IFERROR(AJ16*HSI!$B$11*HSI!$G$11/HSI!$B$3,""))</f>
        <v/>
      </c>
      <c r="CY16" s="110">
        <f>IF(AK16="","",IFERROR(AK16*HSI!$B$11*HSI!$G$11/HSI!$B$3,""))</f>
        <v/>
      </c>
      <c r="CZ16" s="110">
        <f>IF(AL16="","",IFERROR(AL16*HSI!$B$11*HSI!$G$11/HSI!$B$3,""))</f>
        <v/>
      </c>
      <c r="DA16" s="110">
        <f>IF(AM16="","",IFERROR(AM16*HSI!$B$11*HSI!$G$11/HSI!$B$3,""))</f>
        <v/>
      </c>
      <c r="DB16" s="110">
        <f>IF(AN16="","",IFERROR(AN16*HSI!$B$11*HSI!$G$11/HSI!$B$3,""))</f>
        <v/>
      </c>
      <c r="DC16" s="110">
        <f>IF(AO16="","",IFERROR(AO16*HSI!$B$11*HSI!$G$11/HSI!$B$3,""))</f>
        <v/>
      </c>
      <c r="DD16" s="110">
        <f>IF(AP16="","",IFERROR(AP16*HSI!$B$11*HSI!$G$11/HSI!$B$3,""))</f>
        <v/>
      </c>
      <c r="DE16" s="110">
        <f>IF(AQ16="","",IFERROR(AQ16*HSI!$B$11*HSI!$G$11/HSI!$B$3,""))</f>
        <v/>
      </c>
      <c r="DF16" s="110">
        <f>IF(AR16="","",IFERROR(AR16*HSI!$B$11*HSI!$G$11/HSI!$B$3,""))</f>
        <v/>
      </c>
      <c r="DG16" s="110">
        <f>IF(AS16="","",IFERROR(AS16*HSI!$B$11*HSI!$G$11/HSI!$B$3,""))</f>
        <v/>
      </c>
      <c r="DH16" s="110">
        <f>IF(AT16="","",IFERROR(AT16*HSI!$B$11*HSI!$G$11/HSI!$B$3,""))</f>
        <v/>
      </c>
      <c r="DI16" s="110">
        <f>IF(AU16="","",IFERROR(AU16*HSI!$B$11*HSI!$G$11/HSI!$B$3,""))</f>
        <v/>
      </c>
      <c r="DJ16" s="110">
        <f>IF(AV16="","",IFERROR(AV16*HSI!$B$11*HSI!$G$11/HSI!$B$3,""))</f>
        <v/>
      </c>
      <c r="DK16" s="110">
        <f>IF(AW16="","",IFERROR(AW16*HSI!$B$11*HSI!$G$11/HSI!$B$3,""))</f>
        <v/>
      </c>
      <c r="DL16" s="110">
        <f>IF(AX16="","",IFERROR(AX16*HSI!$B$11*HSI!$G$11/HSI!$B$3,""))</f>
        <v/>
      </c>
      <c r="DM16" s="110">
        <f>IF(AY16="","",IFERROR(AY16*HSI!$B$11*HSI!$G$11/HSI!$B$3,""))</f>
        <v/>
      </c>
      <c r="DN16" s="110">
        <f>IF(AZ16="","",IFERROR(AZ16*HSI!$B$11*HSI!$G$11/HSI!$B$3,""))</f>
        <v/>
      </c>
      <c r="DO16" s="110">
        <f>IF(BA16="","",IFERROR(BA16*HSI!$B$11*HSI!$G$11/HSI!$B$3,""))</f>
        <v/>
      </c>
      <c r="DP16" s="110">
        <f>IF(BB16="","",IFERROR(BB16*HSI!$B$11*HSI!$G$11/HSI!$B$3,""))</f>
        <v/>
      </c>
      <c r="DQ16" s="110">
        <f>IF(BC16="","",IFERROR(BC16*HSI!$B$11*HSI!$G$11/HSI!$B$3,""))</f>
        <v/>
      </c>
      <c r="DR16" s="110">
        <f>IF(BD16="","",IFERROR(BD16*HSI!$B$11*HSI!$G$11/HSI!$B$3,""))</f>
        <v/>
      </c>
      <c r="DS16" s="110">
        <f>IF(BE16="","",IFERROR(BE16*HSI!$B$11*HSI!$G$11/HSI!$B$3,""))</f>
        <v/>
      </c>
      <c r="DT16" s="110">
        <f>IF(BF16="","",IFERROR(BF16*HSI!$B$11*HSI!$G$11/HSI!$B$3,""))</f>
        <v/>
      </c>
      <c r="DU16" s="110">
        <f>IF(BG16="","",IFERROR(BG16*HSI!$B$11*HSI!$G$11/HSI!$B$3,""))</f>
        <v/>
      </c>
      <c r="DV16" s="110">
        <f>IF(BH16="","",IFERROR(BH16*HSI!$B$11*HSI!$G$11/HSI!$B$3,""))</f>
        <v/>
      </c>
      <c r="DW16" s="110">
        <f>IF(BI16="","",IFERROR(BI16*HSI!$B$11*HSI!$G$11/HSI!$B$3,""))</f>
        <v/>
      </c>
      <c r="DX16" s="110">
        <f>IF(BJ16="","",IFERROR(BJ16*HSI!$B$11*HSI!$G$11/HSI!$B$3,""))</f>
        <v/>
      </c>
      <c r="DY16" s="110">
        <f>IF(BK16="","",IFERROR(BK16*HSI!$B$11*HSI!$G$11/HSI!$B$3,""))</f>
        <v/>
      </c>
      <c r="DZ16" s="110">
        <f>IF(BL16="","",IFERROR(BL16*HSI!$B$11*HSI!$G$11/HSI!$B$3,""))</f>
        <v/>
      </c>
      <c r="EA16" s="110">
        <f>IF(BM16="","",IFERROR(BM16*HSI!$B$11*HSI!$G$11/HSI!$B$3,""))</f>
        <v/>
      </c>
      <c r="EB16" s="110">
        <f>IF(BN16="","",IFERROR(BN16*HSI!$B$11*HSI!$G$11/HSI!$B$3,""))</f>
        <v/>
      </c>
      <c r="EC16" s="110">
        <f>IF(BO16="","",IFERROR(BO16*HSI!$B$11*HSI!$G$11/HSI!$B$3,""))</f>
        <v/>
      </c>
      <c r="EE16" s="39">
        <f>IF(N('Dvd Calendar'!$E$55)=0,"",IF(('Dvd Calendar'!$E$55&gt;=GRID_FROM)*('Dvd Calendar'!$E$55&lt;=GRID_TO)*((('Dvd Calendar'!$E$55&lt;=VAL_DATE)+(COUNTIF('Dvd Calendar'!$E$62:$AR$62,'Dvd Calendar'!$E$55)=0))&gt;0)=0,"",'Dvd Calendar'!$E$55*1000000000+ISNUMBER('Dvd Calendar'!$E$58)*100000000+('Dvd Calendar'!$E$60=SPECIAL_LBL)*10000000+(N('Dvd Calendar'!$E$54)&gt;0)*(N('Dvd Calendar'!$E$54)&lt;=VAL_SERIAL)*1000000+5*1000+1))</f>
        <v/>
      </c>
      <c r="EF16" s="39">
        <f>IF(N('Dvd Calendar'!$F$55)=0,"",IF(('Dvd Calendar'!$F$55&gt;=GRID_FROM)*('Dvd Calendar'!$F$55&lt;=GRID_TO)*((('Dvd Calendar'!$F$55&lt;=VAL_DATE)+(COUNTIF('Dvd Calendar'!$E$62:$AR$62,'Dvd Calendar'!$F$55)=0))&gt;0)=0,"",'Dvd Calendar'!$F$55*1000000000+ISNUMBER('Dvd Calendar'!$F$58)*100000000+('Dvd Calendar'!$F$60=SPECIAL_LBL)*10000000+(N('Dvd Calendar'!$F$54)&gt;0)*(N('Dvd Calendar'!$F$54)&lt;=VAL_SERIAL)*1000000+5*1000+2))</f>
        <v/>
      </c>
      <c r="EG16" s="39">
        <f>IF(N('Dvd Calendar'!$G$55)=0,"",IF(('Dvd Calendar'!$G$55&gt;=GRID_FROM)*('Dvd Calendar'!$G$55&lt;=GRID_TO)*((('Dvd Calendar'!$G$55&lt;=VAL_DATE)+(COUNTIF('Dvd Calendar'!$E$62:$AR$62,'Dvd Calendar'!$G$55)=0))&gt;0)=0,"",'Dvd Calendar'!$G$55*1000000000+ISNUMBER('Dvd Calendar'!$G$58)*100000000+('Dvd Calendar'!$G$60=SPECIAL_LBL)*10000000+(N('Dvd Calendar'!$G$54)&gt;0)*(N('Dvd Calendar'!$G$54)&lt;=VAL_SERIAL)*1000000+5*1000+3))</f>
        <v/>
      </c>
      <c r="EH16" s="39">
        <f>IF(N('Dvd Calendar'!$H$55)=0,"",IF(('Dvd Calendar'!$H$55&gt;=GRID_FROM)*('Dvd Calendar'!$H$55&lt;=GRID_TO)*((('Dvd Calendar'!$H$55&lt;=VAL_DATE)+(COUNTIF('Dvd Calendar'!$E$62:$AR$62,'Dvd Calendar'!$H$55)=0))&gt;0)=0,"",'Dvd Calendar'!$H$55*1000000000+ISNUMBER('Dvd Calendar'!$H$58)*100000000+('Dvd Calendar'!$H$60=SPECIAL_LBL)*10000000+(N('Dvd Calendar'!$H$54)&gt;0)*(N('Dvd Calendar'!$H$54)&lt;=VAL_SERIAL)*1000000+5*1000+4))</f>
        <v/>
      </c>
      <c r="EI16" s="39">
        <f>IF(N('Dvd Calendar'!$I$55)=0,"",IF(('Dvd Calendar'!$I$55&gt;=GRID_FROM)*('Dvd Calendar'!$I$55&lt;=GRID_TO)*((('Dvd Calendar'!$I$55&lt;=VAL_DATE)+(COUNTIF('Dvd Calendar'!$E$62:$AR$62,'Dvd Calendar'!$I$55)=0))&gt;0)=0,"",'Dvd Calendar'!$I$55*1000000000+ISNUMBER('Dvd Calendar'!$I$58)*100000000+('Dvd Calendar'!$I$60=SPECIAL_LBL)*10000000+(N('Dvd Calendar'!$I$54)&gt;0)*(N('Dvd Calendar'!$I$54)&lt;=VAL_SERIAL)*1000000+5*1000+5))</f>
        <v/>
      </c>
      <c r="EJ16" s="39">
        <f>IF(N('Dvd Calendar'!$J$55)=0,"",IF(('Dvd Calendar'!$J$55&gt;=GRID_FROM)*('Dvd Calendar'!$J$55&lt;=GRID_TO)*((('Dvd Calendar'!$J$55&lt;=VAL_DATE)+(COUNTIF('Dvd Calendar'!$E$62:$AR$62,'Dvd Calendar'!$J$55)=0))&gt;0)=0,"",'Dvd Calendar'!$J$55*1000000000+ISNUMBER('Dvd Calendar'!$J$58)*100000000+('Dvd Calendar'!$J$60=SPECIAL_LBL)*10000000+(N('Dvd Calendar'!$J$54)&gt;0)*(N('Dvd Calendar'!$J$54)&lt;=VAL_SERIAL)*1000000+5*1000+6))</f>
        <v/>
      </c>
      <c r="EK16" s="39">
        <f>IF(N('Dvd Calendar'!$K$55)=0,"",IF(('Dvd Calendar'!$K$55&gt;=GRID_FROM)*('Dvd Calendar'!$K$55&lt;=GRID_TO)*((('Dvd Calendar'!$K$55&lt;=VAL_DATE)+(COUNTIF('Dvd Calendar'!$E$62:$AR$62,'Dvd Calendar'!$K$55)=0))&gt;0)=0,"",'Dvd Calendar'!$K$55*1000000000+ISNUMBER('Dvd Calendar'!$K$58)*100000000+('Dvd Calendar'!$K$60=SPECIAL_LBL)*10000000+(N('Dvd Calendar'!$K$54)&gt;0)*(N('Dvd Calendar'!$K$54)&lt;=VAL_SERIAL)*1000000+5*1000+7))</f>
        <v/>
      </c>
      <c r="EL16" s="39">
        <f>IF(N('Dvd Calendar'!$L$55)=0,"",IF(('Dvd Calendar'!$L$55&gt;=GRID_FROM)*('Dvd Calendar'!$L$55&lt;=GRID_TO)*((('Dvd Calendar'!$L$55&lt;=VAL_DATE)+(COUNTIF('Dvd Calendar'!$E$62:$AR$62,'Dvd Calendar'!$L$55)=0))&gt;0)=0,"",'Dvd Calendar'!$L$55*1000000000+ISNUMBER('Dvd Calendar'!$L$58)*100000000+('Dvd Calendar'!$L$60=SPECIAL_LBL)*10000000+(N('Dvd Calendar'!$L$54)&gt;0)*(N('Dvd Calendar'!$L$54)&lt;=VAL_SERIAL)*1000000+5*1000+8))</f>
        <v/>
      </c>
      <c r="EM16" s="39">
        <f>IF(N('Dvd Calendar'!$M$55)=0,"",IF(('Dvd Calendar'!$M$55&gt;=GRID_FROM)*('Dvd Calendar'!$M$55&lt;=GRID_TO)*((('Dvd Calendar'!$M$55&lt;=VAL_DATE)+(COUNTIF('Dvd Calendar'!$E$62:$AR$62,'Dvd Calendar'!$M$55)=0))&gt;0)=0,"",'Dvd Calendar'!$M$55*1000000000+ISNUMBER('Dvd Calendar'!$M$58)*100000000+('Dvd Calendar'!$M$60=SPECIAL_LBL)*10000000+(N('Dvd Calendar'!$M$54)&gt;0)*(N('Dvd Calendar'!$M$54)&lt;=VAL_SERIAL)*1000000+5*1000+9))</f>
        <v/>
      </c>
      <c r="EN16" s="39">
        <f>IF(N('Dvd Calendar'!$N$55)=0,"",IF(('Dvd Calendar'!$N$55&gt;=GRID_FROM)*('Dvd Calendar'!$N$55&lt;=GRID_TO)*((('Dvd Calendar'!$N$55&lt;=VAL_DATE)+(COUNTIF('Dvd Calendar'!$E$62:$AR$62,'Dvd Calendar'!$N$55)=0))&gt;0)=0,"",'Dvd Calendar'!$N$55*1000000000+ISNUMBER('Dvd Calendar'!$N$58)*100000000+('Dvd Calendar'!$N$60=SPECIAL_LBL)*10000000+(N('Dvd Calendar'!$N$54)&gt;0)*(N('Dvd Calendar'!$N$54)&lt;=VAL_SERIAL)*1000000+5*1000+10))</f>
        <v/>
      </c>
      <c r="EO16" s="39">
        <f>IF(N('Dvd Calendar'!$O$55)=0,"",IF(('Dvd Calendar'!$O$55&gt;=GRID_FROM)*('Dvd Calendar'!$O$55&lt;=GRID_TO)*((('Dvd Calendar'!$O$55&lt;=VAL_DATE)+(COUNTIF('Dvd Calendar'!$E$62:$AR$62,'Dvd Calendar'!$O$55)=0))&gt;0)=0,"",'Dvd Calendar'!$O$55*1000000000+ISNUMBER('Dvd Calendar'!$O$58)*100000000+('Dvd Calendar'!$O$60=SPECIAL_LBL)*10000000+(N('Dvd Calendar'!$O$54)&gt;0)*(N('Dvd Calendar'!$O$54)&lt;=VAL_SERIAL)*1000000+5*1000+11))</f>
        <v/>
      </c>
      <c r="EP16" s="39">
        <f>IF(N('Dvd Calendar'!$P$55)=0,"",IF(('Dvd Calendar'!$P$55&gt;=GRID_FROM)*('Dvd Calendar'!$P$55&lt;=GRID_TO)*((('Dvd Calendar'!$P$55&lt;=VAL_DATE)+(COUNTIF('Dvd Calendar'!$E$62:$AR$62,'Dvd Calendar'!$P$55)=0))&gt;0)=0,"",'Dvd Calendar'!$P$55*1000000000+ISNUMBER('Dvd Calendar'!$P$58)*100000000+('Dvd Calendar'!$P$60=SPECIAL_LBL)*10000000+(N('Dvd Calendar'!$P$54)&gt;0)*(N('Dvd Calendar'!$P$54)&lt;=VAL_SERIAL)*1000000+5*1000+12))</f>
        <v/>
      </c>
      <c r="EQ16" s="39">
        <f>IF(N('Dvd Calendar'!$Q$55)=0,"",IF(('Dvd Calendar'!$Q$55&gt;=GRID_FROM)*('Dvd Calendar'!$Q$55&lt;=GRID_TO)*((('Dvd Calendar'!$Q$55&lt;=VAL_DATE)+(COUNTIF('Dvd Calendar'!$E$62:$AR$62,'Dvd Calendar'!$Q$55)=0))&gt;0)=0,"",'Dvd Calendar'!$Q$55*1000000000+ISNUMBER('Dvd Calendar'!$Q$58)*100000000+('Dvd Calendar'!$Q$60=SPECIAL_LBL)*10000000+(N('Dvd Calendar'!$Q$54)&gt;0)*(N('Dvd Calendar'!$Q$54)&lt;=VAL_SERIAL)*1000000+5*1000+13))</f>
        <v/>
      </c>
      <c r="ER16" s="39">
        <f>IF(N('Dvd Calendar'!$R$55)=0,"",IF(('Dvd Calendar'!$R$55&gt;=GRID_FROM)*('Dvd Calendar'!$R$55&lt;=GRID_TO)*((('Dvd Calendar'!$R$55&lt;=VAL_DATE)+(COUNTIF('Dvd Calendar'!$E$62:$AR$62,'Dvd Calendar'!$R$55)=0))&gt;0)=0,"",'Dvd Calendar'!$R$55*1000000000+ISNUMBER('Dvd Calendar'!$R$58)*100000000+('Dvd Calendar'!$R$60=SPECIAL_LBL)*10000000+(N('Dvd Calendar'!$R$54)&gt;0)*(N('Dvd Calendar'!$R$54)&lt;=VAL_SERIAL)*1000000+5*1000+14))</f>
        <v/>
      </c>
      <c r="ES16" s="39">
        <f>IF(N('Dvd Calendar'!$S$55)=0,"",IF(('Dvd Calendar'!$S$55&gt;=GRID_FROM)*('Dvd Calendar'!$S$55&lt;=GRID_TO)*((('Dvd Calendar'!$S$55&lt;=VAL_DATE)+(COUNTIF('Dvd Calendar'!$E$62:$AR$62,'Dvd Calendar'!$S$55)=0))&gt;0)=0,"",'Dvd Calendar'!$S$55*1000000000+ISNUMBER('Dvd Calendar'!$S$58)*100000000+('Dvd Calendar'!$S$60=SPECIAL_LBL)*10000000+(N('Dvd Calendar'!$S$54)&gt;0)*(N('Dvd Calendar'!$S$54)&lt;=VAL_SERIAL)*1000000+5*1000+15))</f>
        <v/>
      </c>
      <c r="ET16" s="39">
        <f>IF(N('Dvd Calendar'!$T$55)=0,"",IF(('Dvd Calendar'!$T$55&gt;=GRID_FROM)*('Dvd Calendar'!$T$55&lt;=GRID_TO)*((('Dvd Calendar'!$T$55&lt;=VAL_DATE)+(COUNTIF('Dvd Calendar'!$E$62:$AR$62,'Dvd Calendar'!$T$55)=0))&gt;0)=0,"",'Dvd Calendar'!$T$55*1000000000+ISNUMBER('Dvd Calendar'!$T$58)*100000000+('Dvd Calendar'!$T$60=SPECIAL_LBL)*10000000+(N('Dvd Calendar'!$T$54)&gt;0)*(N('Dvd Calendar'!$T$54)&lt;=VAL_SERIAL)*1000000+5*1000+16))</f>
        <v/>
      </c>
      <c r="EU16" s="39">
        <f>IF(N('Dvd Calendar'!$U$55)=0,"",IF(('Dvd Calendar'!$U$55&gt;=GRID_FROM)*('Dvd Calendar'!$U$55&lt;=GRID_TO)*((('Dvd Calendar'!$U$55&lt;=VAL_DATE)+(COUNTIF('Dvd Calendar'!$E$62:$AR$62,'Dvd Calendar'!$U$55)=0))&gt;0)=0,"",'Dvd Calendar'!$U$55*1000000000+ISNUMBER('Dvd Calendar'!$U$58)*100000000+('Dvd Calendar'!$U$60=SPECIAL_LBL)*10000000+(N('Dvd Calendar'!$U$54)&gt;0)*(N('Dvd Calendar'!$U$54)&lt;=VAL_SERIAL)*1000000+5*1000+17))</f>
        <v/>
      </c>
      <c r="EV16" s="39">
        <f>IF(N('Dvd Calendar'!$V$55)=0,"",IF(('Dvd Calendar'!$V$55&gt;=GRID_FROM)*('Dvd Calendar'!$V$55&lt;=GRID_TO)*((('Dvd Calendar'!$V$55&lt;=VAL_DATE)+(COUNTIF('Dvd Calendar'!$E$62:$AR$62,'Dvd Calendar'!$V$55)=0))&gt;0)=0,"",'Dvd Calendar'!$V$55*1000000000+ISNUMBER('Dvd Calendar'!$V$58)*100000000+('Dvd Calendar'!$V$60=SPECIAL_LBL)*10000000+(N('Dvd Calendar'!$V$54)&gt;0)*(N('Dvd Calendar'!$V$54)&lt;=VAL_SERIAL)*1000000+5*1000+18))</f>
        <v/>
      </c>
      <c r="EW16" s="39">
        <f>IF(N('Dvd Calendar'!$W$55)=0,"",IF(('Dvd Calendar'!$W$55&gt;=GRID_FROM)*('Dvd Calendar'!$W$55&lt;=GRID_TO)*((('Dvd Calendar'!$W$55&lt;=VAL_DATE)+(COUNTIF('Dvd Calendar'!$E$62:$AR$62,'Dvd Calendar'!$W$55)=0))&gt;0)=0,"",'Dvd Calendar'!$W$55*1000000000+ISNUMBER('Dvd Calendar'!$W$58)*100000000+('Dvd Calendar'!$W$60=SPECIAL_LBL)*10000000+(N('Dvd Calendar'!$W$54)&gt;0)*(N('Dvd Calendar'!$W$54)&lt;=VAL_SERIAL)*1000000+5*1000+19))</f>
        <v/>
      </c>
      <c r="EX16" s="39">
        <f>IF(N('Dvd Calendar'!$X$55)=0,"",IF(('Dvd Calendar'!$X$55&gt;=GRID_FROM)*('Dvd Calendar'!$X$55&lt;=GRID_TO)*((('Dvd Calendar'!$X$55&lt;=VAL_DATE)+(COUNTIF('Dvd Calendar'!$E$62:$AR$62,'Dvd Calendar'!$X$55)=0))&gt;0)=0,"",'Dvd Calendar'!$X$55*1000000000+ISNUMBER('Dvd Calendar'!$X$58)*100000000+('Dvd Calendar'!$X$60=SPECIAL_LBL)*10000000+(N('Dvd Calendar'!$X$54)&gt;0)*(N('Dvd Calendar'!$X$54)&lt;=VAL_SERIAL)*1000000+5*1000+20))</f>
        <v/>
      </c>
      <c r="EY16" s="39">
        <f>IF(N('Dvd Calendar'!$Y$55)=0,"",IF(('Dvd Calendar'!$Y$55&gt;=GRID_FROM)*('Dvd Calendar'!$Y$55&lt;=GRID_TO)*((('Dvd Calendar'!$Y$55&lt;=VAL_DATE)+(COUNTIF('Dvd Calendar'!$E$62:$AR$62,'Dvd Calendar'!$Y$55)=0))&gt;0)=0,"",'Dvd Calendar'!$Y$55*1000000000+ISNUMBER('Dvd Calendar'!$Y$58)*100000000+('Dvd Calendar'!$Y$60=SPECIAL_LBL)*10000000+(N('Dvd Calendar'!$Y$54)&gt;0)*(N('Dvd Calendar'!$Y$54)&lt;=VAL_SERIAL)*1000000+5*1000+21))</f>
        <v/>
      </c>
      <c r="EZ16" s="39">
        <f>IF(N('Dvd Calendar'!$Z$55)=0,"",IF(('Dvd Calendar'!$Z$55&gt;=GRID_FROM)*('Dvd Calendar'!$Z$55&lt;=GRID_TO)*((('Dvd Calendar'!$Z$55&lt;=VAL_DATE)+(COUNTIF('Dvd Calendar'!$E$62:$AR$62,'Dvd Calendar'!$Z$55)=0))&gt;0)=0,"",'Dvd Calendar'!$Z$55*1000000000+ISNUMBER('Dvd Calendar'!$Z$58)*100000000+('Dvd Calendar'!$Z$60=SPECIAL_LBL)*10000000+(N('Dvd Calendar'!$Z$54)&gt;0)*(N('Dvd Calendar'!$Z$54)&lt;=VAL_SERIAL)*1000000+5*1000+22))</f>
        <v/>
      </c>
      <c r="FA16" s="39">
        <f>IF(N('Dvd Calendar'!$AA$55)=0,"",IF(('Dvd Calendar'!$AA$55&gt;=GRID_FROM)*('Dvd Calendar'!$AA$55&lt;=GRID_TO)*((('Dvd Calendar'!$AA$55&lt;=VAL_DATE)+(COUNTIF('Dvd Calendar'!$E$62:$AR$62,'Dvd Calendar'!$AA$55)=0))&gt;0)=0,"",'Dvd Calendar'!$AA$55*1000000000+ISNUMBER('Dvd Calendar'!$AA$58)*100000000+('Dvd Calendar'!$AA$60=SPECIAL_LBL)*10000000+(N('Dvd Calendar'!$AA$54)&gt;0)*(N('Dvd Calendar'!$AA$54)&lt;=VAL_SERIAL)*1000000+5*1000+23))</f>
        <v/>
      </c>
      <c r="FB16" s="39">
        <f>IF(N('Dvd Calendar'!$AB$55)=0,"",IF(('Dvd Calendar'!$AB$55&gt;=GRID_FROM)*('Dvd Calendar'!$AB$55&lt;=GRID_TO)*((('Dvd Calendar'!$AB$55&lt;=VAL_DATE)+(COUNTIF('Dvd Calendar'!$E$62:$AR$62,'Dvd Calendar'!$AB$55)=0))&gt;0)=0,"",'Dvd Calendar'!$AB$55*1000000000+ISNUMBER('Dvd Calendar'!$AB$58)*100000000+('Dvd Calendar'!$AB$60=SPECIAL_LBL)*10000000+(N('Dvd Calendar'!$AB$54)&gt;0)*(N('Dvd Calendar'!$AB$54)&lt;=VAL_SERIAL)*1000000+5*1000+24))</f>
        <v/>
      </c>
      <c r="FC16" s="39">
        <f>IF(N('Dvd Calendar'!$AC$55)=0,"",IF(('Dvd Calendar'!$AC$55&gt;=GRID_FROM)*('Dvd Calendar'!$AC$55&lt;=GRID_TO)*((('Dvd Calendar'!$AC$55&lt;=VAL_DATE)+(COUNTIF('Dvd Calendar'!$E$62:$AR$62,'Dvd Calendar'!$AC$55)=0))&gt;0)=0,"",'Dvd Calendar'!$AC$55*1000000000+ISNUMBER('Dvd Calendar'!$AC$58)*100000000+('Dvd Calendar'!$AC$60=SPECIAL_LBL)*10000000+(N('Dvd Calendar'!$AC$54)&gt;0)*(N('Dvd Calendar'!$AC$54)&lt;=VAL_SERIAL)*1000000+5*1000+25))</f>
        <v/>
      </c>
      <c r="FD16" s="39">
        <f>IF(N('Dvd Calendar'!$AD$55)=0,"",IF(('Dvd Calendar'!$AD$55&gt;=GRID_FROM)*('Dvd Calendar'!$AD$55&lt;=GRID_TO)*((('Dvd Calendar'!$AD$55&lt;=VAL_DATE)+(COUNTIF('Dvd Calendar'!$E$62:$AR$62,'Dvd Calendar'!$AD$55)=0))&gt;0)=0,"",'Dvd Calendar'!$AD$55*1000000000+ISNUMBER('Dvd Calendar'!$AD$58)*100000000+('Dvd Calendar'!$AD$60=SPECIAL_LBL)*10000000+(N('Dvd Calendar'!$AD$54)&gt;0)*(N('Dvd Calendar'!$AD$54)&lt;=VAL_SERIAL)*1000000+5*1000+26))</f>
        <v/>
      </c>
      <c r="FE16" s="39">
        <f>IF(N('Dvd Calendar'!$AE$55)=0,"",IF(('Dvd Calendar'!$AE$55&gt;=GRID_FROM)*('Dvd Calendar'!$AE$55&lt;=GRID_TO)*((('Dvd Calendar'!$AE$55&lt;=VAL_DATE)+(COUNTIF('Dvd Calendar'!$E$62:$AR$62,'Dvd Calendar'!$AE$55)=0))&gt;0)=0,"",'Dvd Calendar'!$AE$55*1000000000+ISNUMBER('Dvd Calendar'!$AE$58)*100000000+('Dvd Calendar'!$AE$60=SPECIAL_LBL)*10000000+(N('Dvd Calendar'!$AE$54)&gt;0)*(N('Dvd Calendar'!$AE$54)&lt;=VAL_SERIAL)*1000000+5*1000+27))</f>
        <v/>
      </c>
      <c r="FF16" s="39">
        <f>IF(N('Dvd Calendar'!$AF$55)=0,"",IF(('Dvd Calendar'!$AF$55&gt;=GRID_FROM)*('Dvd Calendar'!$AF$55&lt;=GRID_TO)*((('Dvd Calendar'!$AF$55&lt;=VAL_DATE)+(COUNTIF('Dvd Calendar'!$E$62:$AR$62,'Dvd Calendar'!$AF$55)=0))&gt;0)=0,"",'Dvd Calendar'!$AF$55*1000000000+ISNUMBER('Dvd Calendar'!$AF$58)*100000000+('Dvd Calendar'!$AF$60=SPECIAL_LBL)*10000000+(N('Dvd Calendar'!$AF$54)&gt;0)*(N('Dvd Calendar'!$AF$54)&lt;=VAL_SERIAL)*1000000+5*1000+28))</f>
        <v/>
      </c>
      <c r="FG16" s="39">
        <f>IF(N('Dvd Calendar'!$AG$55)=0,"",IF(('Dvd Calendar'!$AG$55&gt;=GRID_FROM)*('Dvd Calendar'!$AG$55&lt;=GRID_TO)*((('Dvd Calendar'!$AG$55&lt;=VAL_DATE)+(COUNTIF('Dvd Calendar'!$E$62:$AR$62,'Dvd Calendar'!$AG$55)=0))&gt;0)=0,"",'Dvd Calendar'!$AG$55*1000000000+ISNUMBER('Dvd Calendar'!$AG$58)*100000000+('Dvd Calendar'!$AG$60=SPECIAL_LBL)*10000000+(N('Dvd Calendar'!$AG$54)&gt;0)*(N('Dvd Calendar'!$AG$54)&lt;=VAL_SERIAL)*1000000+5*1000+29))</f>
        <v/>
      </c>
      <c r="FH16" s="39">
        <f>IF(N('Dvd Calendar'!$AH$55)=0,"",IF(('Dvd Calendar'!$AH$55&gt;=GRID_FROM)*('Dvd Calendar'!$AH$55&lt;=GRID_TO)*((('Dvd Calendar'!$AH$55&lt;=VAL_DATE)+(COUNTIF('Dvd Calendar'!$E$62:$AR$62,'Dvd Calendar'!$AH$55)=0))&gt;0)=0,"",'Dvd Calendar'!$AH$55*1000000000+ISNUMBER('Dvd Calendar'!$AH$58)*100000000+('Dvd Calendar'!$AH$60=SPECIAL_LBL)*10000000+(N('Dvd Calendar'!$AH$54)&gt;0)*(N('Dvd Calendar'!$AH$54)&lt;=VAL_SERIAL)*1000000+5*1000+30))</f>
        <v/>
      </c>
      <c r="FI16" s="39">
        <f>IF(N('Dvd Calendar'!$AI$55)=0,"",IF(('Dvd Calendar'!$AI$55&gt;=GRID_FROM)*('Dvd Calendar'!$AI$55&lt;=GRID_TO)*((('Dvd Calendar'!$AI$55&lt;=VAL_DATE)+(COUNTIF('Dvd Calendar'!$E$62:$AR$62,'Dvd Calendar'!$AI$55)=0))&gt;0)=0,"",'Dvd Calendar'!$AI$55*1000000000+ISNUMBER('Dvd Calendar'!$AI$58)*100000000+('Dvd Calendar'!$AI$60=SPECIAL_LBL)*10000000+(N('Dvd Calendar'!$AI$54)&gt;0)*(N('Dvd Calendar'!$AI$54)&lt;=VAL_SERIAL)*1000000+5*1000+31))</f>
        <v/>
      </c>
      <c r="FJ16" s="39">
        <f>IF(N('Dvd Calendar'!$AJ$55)=0,"",IF(('Dvd Calendar'!$AJ$55&gt;=GRID_FROM)*('Dvd Calendar'!$AJ$55&lt;=GRID_TO)*((('Dvd Calendar'!$AJ$55&lt;=VAL_DATE)+(COUNTIF('Dvd Calendar'!$E$62:$AR$62,'Dvd Calendar'!$AJ$55)=0))&gt;0)=0,"",'Dvd Calendar'!$AJ$55*1000000000+ISNUMBER('Dvd Calendar'!$AJ$58)*100000000+('Dvd Calendar'!$AJ$60=SPECIAL_LBL)*10000000+(N('Dvd Calendar'!$AJ$54)&gt;0)*(N('Dvd Calendar'!$AJ$54)&lt;=VAL_SERIAL)*1000000+5*1000+32))</f>
        <v/>
      </c>
      <c r="FK16" s="39">
        <f>IF(N('Dvd Calendar'!$AK$55)=0,"",IF(('Dvd Calendar'!$AK$55&gt;=GRID_FROM)*('Dvd Calendar'!$AK$55&lt;=GRID_TO)*((('Dvd Calendar'!$AK$55&lt;=VAL_DATE)+(COUNTIF('Dvd Calendar'!$E$62:$AR$62,'Dvd Calendar'!$AK$55)=0))&gt;0)=0,"",'Dvd Calendar'!$AK$55*1000000000+ISNUMBER('Dvd Calendar'!$AK$58)*100000000+('Dvd Calendar'!$AK$60=SPECIAL_LBL)*10000000+(N('Dvd Calendar'!$AK$54)&gt;0)*(N('Dvd Calendar'!$AK$54)&lt;=VAL_SERIAL)*1000000+5*1000+33))</f>
        <v/>
      </c>
      <c r="FL16" s="39">
        <f>IF(N('Dvd Calendar'!$AL$55)=0,"",IF(('Dvd Calendar'!$AL$55&gt;=GRID_FROM)*('Dvd Calendar'!$AL$55&lt;=GRID_TO)*((('Dvd Calendar'!$AL$55&lt;=VAL_DATE)+(COUNTIF('Dvd Calendar'!$E$62:$AR$62,'Dvd Calendar'!$AL$55)=0))&gt;0)=0,"",'Dvd Calendar'!$AL$55*1000000000+ISNUMBER('Dvd Calendar'!$AL$58)*100000000+('Dvd Calendar'!$AL$60=SPECIAL_LBL)*10000000+(N('Dvd Calendar'!$AL$54)&gt;0)*(N('Dvd Calendar'!$AL$54)&lt;=VAL_SERIAL)*1000000+5*1000+34))</f>
        <v/>
      </c>
      <c r="FM16" s="39">
        <f>IF(N('Dvd Calendar'!$AM$55)=0,"",IF(('Dvd Calendar'!$AM$55&gt;=GRID_FROM)*('Dvd Calendar'!$AM$55&lt;=GRID_TO)*((('Dvd Calendar'!$AM$55&lt;=VAL_DATE)+(COUNTIF('Dvd Calendar'!$E$62:$AR$62,'Dvd Calendar'!$AM$55)=0))&gt;0)=0,"",'Dvd Calendar'!$AM$55*1000000000+ISNUMBER('Dvd Calendar'!$AM$58)*100000000+('Dvd Calendar'!$AM$60=SPECIAL_LBL)*10000000+(N('Dvd Calendar'!$AM$54)&gt;0)*(N('Dvd Calendar'!$AM$54)&lt;=VAL_SERIAL)*1000000+5*1000+35))</f>
        <v/>
      </c>
      <c r="FN16" s="39">
        <f>IF(N('Dvd Calendar'!$AN$55)=0,"",IF(('Dvd Calendar'!$AN$55&gt;=GRID_FROM)*('Dvd Calendar'!$AN$55&lt;=GRID_TO)*((('Dvd Calendar'!$AN$55&lt;=VAL_DATE)+(COUNTIF('Dvd Calendar'!$E$62:$AR$62,'Dvd Calendar'!$AN$55)=0))&gt;0)=0,"",'Dvd Calendar'!$AN$55*1000000000+ISNUMBER('Dvd Calendar'!$AN$58)*100000000+('Dvd Calendar'!$AN$60=SPECIAL_LBL)*10000000+(N('Dvd Calendar'!$AN$54)&gt;0)*(N('Dvd Calendar'!$AN$54)&lt;=VAL_SERIAL)*1000000+5*1000+36))</f>
        <v/>
      </c>
      <c r="FO16" s="39">
        <f>IF(N('Dvd Calendar'!$AO$55)=0,"",IF(('Dvd Calendar'!$AO$55&gt;=GRID_FROM)*('Dvd Calendar'!$AO$55&lt;=GRID_TO)*((('Dvd Calendar'!$AO$55&lt;=VAL_DATE)+(COUNTIF('Dvd Calendar'!$E$62:$AR$62,'Dvd Calendar'!$AO$55)=0))&gt;0)=0,"",'Dvd Calendar'!$AO$55*1000000000+ISNUMBER('Dvd Calendar'!$AO$58)*100000000+('Dvd Calendar'!$AO$60=SPECIAL_LBL)*10000000+(N('Dvd Calendar'!$AO$54)&gt;0)*(N('Dvd Calendar'!$AO$54)&lt;=VAL_SERIAL)*1000000+5*1000+37))</f>
        <v/>
      </c>
      <c r="FP16" s="39">
        <f>IF(N('Dvd Calendar'!$AP$55)=0,"",IF(('Dvd Calendar'!$AP$55&gt;=GRID_FROM)*('Dvd Calendar'!$AP$55&lt;=GRID_TO)*((('Dvd Calendar'!$AP$55&lt;=VAL_DATE)+(COUNTIF('Dvd Calendar'!$E$62:$AR$62,'Dvd Calendar'!$AP$55)=0))&gt;0)=0,"",'Dvd Calendar'!$AP$55*1000000000+ISNUMBER('Dvd Calendar'!$AP$58)*100000000+('Dvd Calendar'!$AP$60=SPECIAL_LBL)*10000000+(N('Dvd Calendar'!$AP$54)&gt;0)*(N('Dvd Calendar'!$AP$54)&lt;=VAL_SERIAL)*1000000+5*1000+38))</f>
        <v/>
      </c>
      <c r="FQ16" s="39">
        <f>IF(N('Dvd Calendar'!$AQ$55)=0,"",IF(('Dvd Calendar'!$AQ$55&gt;=GRID_FROM)*('Dvd Calendar'!$AQ$55&lt;=GRID_TO)*((('Dvd Calendar'!$AQ$55&lt;=VAL_DATE)+(COUNTIF('Dvd Calendar'!$E$62:$AR$62,'Dvd Calendar'!$AQ$55)=0))&gt;0)=0,"",'Dvd Calendar'!$AQ$55*1000000000+ISNUMBER('Dvd Calendar'!$AQ$58)*100000000+('Dvd Calendar'!$AQ$60=SPECIAL_LBL)*10000000+(N('Dvd Calendar'!$AQ$54)&gt;0)*(N('Dvd Calendar'!$AQ$54)&lt;=VAL_SERIAL)*1000000+5*1000+39))</f>
        <v/>
      </c>
      <c r="FR16" s="39">
        <f>IF(N('Dvd Calendar'!$AR$55)=0,"",IF(('Dvd Calendar'!$AR$55&gt;=GRID_FROM)*('Dvd Calendar'!$AR$55&lt;=GRID_TO)*((('Dvd Calendar'!$AR$55&lt;=VAL_DATE)+(COUNTIF('Dvd Calendar'!$E$62:$AR$62,'Dvd Calendar'!$AR$55)=0))&gt;0)=0,"",'Dvd Calendar'!$AR$55*1000000000+ISNUMBER('Dvd Calendar'!$AR$58)*100000000+('Dvd Calendar'!$AR$60=SPECIAL_LBL)*10000000+(N('Dvd Calendar'!$AR$54)&gt;0)*(N('Dvd Calendar'!$AR$54)&lt;=VAL_SERIAL)*1000000+5*1000+40))</f>
        <v/>
      </c>
      <c r="FS16" s="39">
        <f>IF(N('Dvd Calendar'!$E$62)=0,"",IF(('Dvd Calendar'!$E$62&gt;=GRID_FROM)*('Dvd Calendar'!$E$62&lt;=GRID_TO)*('Dvd Calendar'!$E$62&gt;VAL_DATE)=0,"",'Dvd Calendar'!$E$62*1000000000+ISNUMBER('Dvd Calendar'!$E$63)*100000000+0*10000000+(N('Dvd Calendar'!$E$61)&gt;0)*(N('Dvd Calendar'!$E$61)&lt;=VAL_SERIAL)*1000000+5*1000+41))</f>
        <v/>
      </c>
      <c r="FT16" s="39">
        <f>IF(N('Dvd Calendar'!$F$62)=0,"",IF(('Dvd Calendar'!$F$62&gt;=GRID_FROM)*('Dvd Calendar'!$F$62&lt;=GRID_TO)*('Dvd Calendar'!$F$62&gt;VAL_DATE)=0,"",'Dvd Calendar'!$F$62*1000000000+ISNUMBER('Dvd Calendar'!$F$63)*100000000+0*10000000+(N('Dvd Calendar'!$F$61)&gt;0)*(N('Dvd Calendar'!$F$61)&lt;=VAL_SERIAL)*1000000+5*1000+42))</f>
        <v/>
      </c>
      <c r="FU16" s="39">
        <f>IF(N('Dvd Calendar'!$G$62)=0,"",IF(('Dvd Calendar'!$G$62&gt;=GRID_FROM)*('Dvd Calendar'!$G$62&lt;=GRID_TO)*('Dvd Calendar'!$G$62&gt;VAL_DATE)=0,"",'Dvd Calendar'!$G$62*1000000000+ISNUMBER('Dvd Calendar'!$G$63)*100000000+0*10000000+(N('Dvd Calendar'!$G$61)&gt;0)*(N('Dvd Calendar'!$G$61)&lt;=VAL_SERIAL)*1000000+5*1000+43))</f>
        <v/>
      </c>
      <c r="FV16" s="39">
        <f>IF(N('Dvd Calendar'!$H$62)=0,"",IF(('Dvd Calendar'!$H$62&gt;=GRID_FROM)*('Dvd Calendar'!$H$62&lt;=GRID_TO)*('Dvd Calendar'!$H$62&gt;VAL_DATE)=0,"",'Dvd Calendar'!$H$62*1000000000+ISNUMBER('Dvd Calendar'!$H$63)*100000000+0*10000000+(N('Dvd Calendar'!$H$61)&gt;0)*(N('Dvd Calendar'!$H$61)&lt;=VAL_SERIAL)*1000000+5*1000+44))</f>
        <v/>
      </c>
      <c r="FW16" s="39">
        <f>IF(N('Dvd Calendar'!$I$62)=0,"",IF(('Dvd Calendar'!$I$62&gt;=GRID_FROM)*('Dvd Calendar'!$I$62&lt;=GRID_TO)*('Dvd Calendar'!$I$62&gt;VAL_DATE)=0,"",'Dvd Calendar'!$I$62*1000000000+ISNUMBER('Dvd Calendar'!$I$63)*100000000+0*10000000+(N('Dvd Calendar'!$I$61)&gt;0)*(N('Dvd Calendar'!$I$61)&lt;=VAL_SERIAL)*1000000+5*1000+45))</f>
        <v/>
      </c>
      <c r="FX16" s="39">
        <f>IF(N('Dvd Calendar'!$J$62)=0,"",IF(('Dvd Calendar'!$J$62&gt;=GRID_FROM)*('Dvd Calendar'!$J$62&lt;=GRID_TO)*('Dvd Calendar'!$J$62&gt;VAL_DATE)=0,"",'Dvd Calendar'!$J$62*1000000000+ISNUMBER('Dvd Calendar'!$J$63)*100000000+0*10000000+(N('Dvd Calendar'!$J$61)&gt;0)*(N('Dvd Calendar'!$J$61)&lt;=VAL_SERIAL)*1000000+5*1000+46))</f>
        <v/>
      </c>
      <c r="FY16" s="39">
        <f>IF(N('Dvd Calendar'!$K$62)=0,"",IF(('Dvd Calendar'!$K$62&gt;=GRID_FROM)*('Dvd Calendar'!$K$62&lt;=GRID_TO)*('Dvd Calendar'!$K$62&gt;VAL_DATE)=0,"",'Dvd Calendar'!$K$62*1000000000+ISNUMBER('Dvd Calendar'!$K$63)*100000000+0*10000000+(N('Dvd Calendar'!$K$61)&gt;0)*(N('Dvd Calendar'!$K$61)&lt;=VAL_SERIAL)*1000000+5*1000+47))</f>
        <v/>
      </c>
      <c r="FZ16" s="39">
        <f>IF(N('Dvd Calendar'!$L$62)=0,"",IF(('Dvd Calendar'!$L$62&gt;=GRID_FROM)*('Dvd Calendar'!$L$62&lt;=GRID_TO)*('Dvd Calendar'!$L$62&gt;VAL_DATE)=0,"",'Dvd Calendar'!$L$62*1000000000+ISNUMBER('Dvd Calendar'!$L$63)*100000000+0*10000000+(N('Dvd Calendar'!$L$61)&gt;0)*(N('Dvd Calendar'!$L$61)&lt;=VAL_SERIAL)*1000000+5*1000+48))</f>
        <v/>
      </c>
      <c r="GA16" s="39">
        <f>IF(N('Dvd Calendar'!$M$62)=0,"",IF(('Dvd Calendar'!$M$62&gt;=GRID_FROM)*('Dvd Calendar'!$M$62&lt;=GRID_TO)*('Dvd Calendar'!$M$62&gt;VAL_DATE)=0,"",'Dvd Calendar'!$M$62*1000000000+ISNUMBER('Dvd Calendar'!$M$63)*100000000+0*10000000+(N('Dvd Calendar'!$M$61)&gt;0)*(N('Dvd Calendar'!$M$61)&lt;=VAL_SERIAL)*1000000+5*1000+49))</f>
        <v/>
      </c>
      <c r="GB16" s="39">
        <f>IF(N('Dvd Calendar'!$N$62)=0,"",IF(('Dvd Calendar'!$N$62&gt;=GRID_FROM)*('Dvd Calendar'!$N$62&lt;=GRID_TO)*('Dvd Calendar'!$N$62&gt;VAL_DATE)=0,"",'Dvd Calendar'!$N$62*1000000000+ISNUMBER('Dvd Calendar'!$N$63)*100000000+0*10000000+(N('Dvd Calendar'!$N$61)&gt;0)*(N('Dvd Calendar'!$N$61)&lt;=VAL_SERIAL)*1000000+5*1000+50))</f>
        <v/>
      </c>
      <c r="GC16" s="39">
        <f>IF(N('Dvd Calendar'!$O$62)=0,"",IF(('Dvd Calendar'!$O$62&gt;=GRID_FROM)*('Dvd Calendar'!$O$62&lt;=GRID_TO)*('Dvd Calendar'!$O$62&gt;VAL_DATE)=0,"",'Dvd Calendar'!$O$62*1000000000+ISNUMBER('Dvd Calendar'!$O$63)*100000000+0*10000000+(N('Dvd Calendar'!$O$61)&gt;0)*(N('Dvd Calendar'!$O$61)&lt;=VAL_SERIAL)*1000000+5*1000+51))</f>
        <v/>
      </c>
      <c r="GD16" s="39">
        <f>IF(N('Dvd Calendar'!$P$62)=0,"",IF(('Dvd Calendar'!$P$62&gt;=GRID_FROM)*('Dvd Calendar'!$P$62&lt;=GRID_TO)*('Dvd Calendar'!$P$62&gt;VAL_DATE)=0,"",'Dvd Calendar'!$P$62*1000000000+ISNUMBER('Dvd Calendar'!$P$63)*100000000+0*10000000+(N('Dvd Calendar'!$P$61)&gt;0)*(N('Dvd Calendar'!$P$61)&lt;=VAL_SERIAL)*1000000+5*1000+52))</f>
        <v/>
      </c>
      <c r="GE16" s="39">
        <f>IF(N('Dvd Calendar'!$Q$62)=0,"",IF(('Dvd Calendar'!$Q$62&gt;=GRID_FROM)*('Dvd Calendar'!$Q$62&lt;=GRID_TO)*('Dvd Calendar'!$Q$62&gt;VAL_DATE)=0,"",'Dvd Calendar'!$Q$62*1000000000+ISNUMBER('Dvd Calendar'!$Q$63)*100000000+0*10000000+(N('Dvd Calendar'!$Q$61)&gt;0)*(N('Dvd Calendar'!$Q$61)&lt;=VAL_SERIAL)*1000000+5*1000+53))</f>
        <v/>
      </c>
      <c r="GF16" s="39">
        <f>IF(N('Dvd Calendar'!$R$62)=0,"",IF(('Dvd Calendar'!$R$62&gt;=GRID_FROM)*('Dvd Calendar'!$R$62&lt;=GRID_TO)*('Dvd Calendar'!$R$62&gt;VAL_DATE)=0,"",'Dvd Calendar'!$R$62*1000000000+ISNUMBER('Dvd Calendar'!$R$63)*100000000+0*10000000+(N('Dvd Calendar'!$R$61)&gt;0)*(N('Dvd Calendar'!$R$61)&lt;=VAL_SERIAL)*1000000+5*1000+54))</f>
        <v/>
      </c>
      <c r="GG16" s="39">
        <f>IF(N('Dvd Calendar'!$S$62)=0,"",IF(('Dvd Calendar'!$S$62&gt;=GRID_FROM)*('Dvd Calendar'!$S$62&lt;=GRID_TO)*('Dvd Calendar'!$S$62&gt;VAL_DATE)=0,"",'Dvd Calendar'!$S$62*1000000000+ISNUMBER('Dvd Calendar'!$S$63)*100000000+0*10000000+(N('Dvd Calendar'!$S$61)&gt;0)*(N('Dvd Calendar'!$S$61)&lt;=VAL_SERIAL)*1000000+5*1000+55))</f>
        <v/>
      </c>
      <c r="GH16" s="39">
        <f>IF(N('Dvd Calendar'!$T$62)=0,"",IF(('Dvd Calendar'!$T$62&gt;=GRID_FROM)*('Dvd Calendar'!$T$62&lt;=GRID_TO)*('Dvd Calendar'!$T$62&gt;VAL_DATE)=0,"",'Dvd Calendar'!$T$62*1000000000+ISNUMBER('Dvd Calendar'!$T$63)*100000000+0*10000000+(N('Dvd Calendar'!$T$61)&gt;0)*(N('Dvd Calendar'!$T$61)&lt;=VAL_SERIAL)*1000000+5*1000+56))</f>
        <v/>
      </c>
      <c r="GI16" s="39">
        <f>IF(N('Dvd Calendar'!$U$62)=0,"",IF(('Dvd Calendar'!$U$62&gt;=GRID_FROM)*('Dvd Calendar'!$U$62&lt;=GRID_TO)*('Dvd Calendar'!$U$62&gt;VAL_DATE)=0,"",'Dvd Calendar'!$U$62*1000000000+ISNUMBER('Dvd Calendar'!$U$63)*100000000+0*10000000+(N('Dvd Calendar'!$U$61)&gt;0)*(N('Dvd Calendar'!$U$61)&lt;=VAL_SERIAL)*1000000+5*1000+57))</f>
        <v/>
      </c>
      <c r="GJ16" s="39">
        <f>IF(N('Dvd Calendar'!$V$62)=0,"",IF(('Dvd Calendar'!$V$62&gt;=GRID_FROM)*('Dvd Calendar'!$V$62&lt;=GRID_TO)*('Dvd Calendar'!$V$62&gt;VAL_DATE)=0,"",'Dvd Calendar'!$V$62*1000000000+ISNUMBER('Dvd Calendar'!$V$63)*100000000+0*10000000+(N('Dvd Calendar'!$V$61)&gt;0)*(N('Dvd Calendar'!$V$61)&lt;=VAL_SERIAL)*1000000+5*1000+58))</f>
        <v/>
      </c>
      <c r="GK16" s="39">
        <f>IF(N('Dvd Calendar'!$W$62)=0,"",IF(('Dvd Calendar'!$W$62&gt;=GRID_FROM)*('Dvd Calendar'!$W$62&lt;=GRID_TO)*('Dvd Calendar'!$W$62&gt;VAL_DATE)=0,"",'Dvd Calendar'!$W$62*1000000000+ISNUMBER('Dvd Calendar'!$W$63)*100000000+0*10000000+(N('Dvd Calendar'!$W$61)&gt;0)*(N('Dvd Calendar'!$W$61)&lt;=VAL_SERIAL)*1000000+5*1000+59))</f>
        <v/>
      </c>
      <c r="GL16" s="39">
        <f>IF(N('Dvd Calendar'!$X$62)=0,"",IF(('Dvd Calendar'!$X$62&gt;=GRID_FROM)*('Dvd Calendar'!$X$62&lt;=GRID_TO)*('Dvd Calendar'!$X$62&gt;VAL_DATE)=0,"",'Dvd Calendar'!$X$62*1000000000+ISNUMBER('Dvd Calendar'!$X$63)*100000000+0*10000000+(N('Dvd Calendar'!$X$61)&gt;0)*(N('Dvd Calendar'!$X$61)&lt;=VAL_SERIAL)*1000000+5*1000+60))</f>
        <v/>
      </c>
      <c r="GM16" s="39">
        <f>IF(N('Dvd Calendar'!$Y$62)=0,"",IF(('Dvd Calendar'!$Y$62&gt;=GRID_FROM)*('Dvd Calendar'!$Y$62&lt;=GRID_TO)*('Dvd Calendar'!$Y$62&gt;VAL_DATE)=0,"",'Dvd Calendar'!$Y$62*1000000000+ISNUMBER('Dvd Calendar'!$Y$63)*100000000+0*10000000+(N('Dvd Calendar'!$Y$61)&gt;0)*(N('Dvd Calendar'!$Y$61)&lt;=VAL_SERIAL)*1000000+5*1000+61))</f>
        <v/>
      </c>
      <c r="GN16" s="39">
        <f>IF(N('Dvd Calendar'!$Z$62)=0,"",IF(('Dvd Calendar'!$Z$62&gt;=GRID_FROM)*('Dvd Calendar'!$Z$62&lt;=GRID_TO)*('Dvd Calendar'!$Z$62&gt;VAL_DATE)=0,"",'Dvd Calendar'!$Z$62*1000000000+ISNUMBER('Dvd Calendar'!$Z$63)*100000000+0*10000000+(N('Dvd Calendar'!$Z$61)&gt;0)*(N('Dvd Calendar'!$Z$61)&lt;=VAL_SERIAL)*1000000+5*1000+62))</f>
        <v/>
      </c>
      <c r="GO16" s="39">
        <f>IF(N('Dvd Calendar'!$AA$62)=0,"",IF(('Dvd Calendar'!$AA$62&gt;=GRID_FROM)*('Dvd Calendar'!$AA$62&lt;=GRID_TO)*('Dvd Calendar'!$AA$62&gt;VAL_DATE)=0,"",'Dvd Calendar'!$AA$62*1000000000+ISNUMBER('Dvd Calendar'!$AA$63)*100000000+0*10000000+(N('Dvd Calendar'!$AA$61)&gt;0)*(N('Dvd Calendar'!$AA$61)&lt;=VAL_SERIAL)*1000000+5*1000+63))</f>
        <v/>
      </c>
      <c r="GP16" s="39">
        <f>IF(N('Dvd Calendar'!$AB$62)=0,"",IF(('Dvd Calendar'!$AB$62&gt;=GRID_FROM)*('Dvd Calendar'!$AB$62&lt;=GRID_TO)*('Dvd Calendar'!$AB$62&gt;VAL_DATE)=0,"",'Dvd Calendar'!$AB$62*1000000000+ISNUMBER('Dvd Calendar'!$AB$63)*100000000+0*10000000+(N('Dvd Calendar'!$AB$61)&gt;0)*(N('Dvd Calendar'!$AB$61)&lt;=VAL_SERIAL)*1000000+5*1000+64))</f>
        <v/>
      </c>
      <c r="GQ16" s="39">
        <f>IF(N('Dvd Calendar'!$AC$62)=0,"",IF(('Dvd Calendar'!$AC$62&gt;=GRID_FROM)*('Dvd Calendar'!$AC$62&lt;=GRID_TO)*('Dvd Calendar'!$AC$62&gt;VAL_DATE)=0,"",'Dvd Calendar'!$AC$62*1000000000+ISNUMBER('Dvd Calendar'!$AC$63)*100000000+0*10000000+(N('Dvd Calendar'!$AC$61)&gt;0)*(N('Dvd Calendar'!$AC$61)&lt;=VAL_SERIAL)*1000000+5*1000+65))</f>
        <v/>
      </c>
    </row>
    <row r="17">
      <c r="B17" s="2">
        <f>IF(HSI!$C$12="","",HSI!$C$12)</f>
        <v/>
      </c>
      <c r="C17" s="110">
        <f>IF(EE17="","",IF(ISNUMBER('Dvd Calendar'!$E$69)=FALSE,"",IF((('Dvd Calendar'!$E$71=TYPE1)*(TYPE1&lt;&gt;"")+('Dvd Calendar'!$E$71=TYPE2)*(TYPE2&lt;&gt;"")+('Dvd Calendar'!$E$71=TYPE3)*(TYPE3&lt;&gt;"")+('Dvd Calendar'!$E$71=TYPE4)*(TYPE4&lt;&gt;"")+('Dvd Calendar'!$E$71=SPECIAL_LBL)*(INC_SPECIALS="Y"))=0,"",'Dvd Calendar'!$E$69)))</f>
        <v/>
      </c>
      <c r="D17" s="110">
        <f>IF(EF17="","",IF(ISNUMBER('Dvd Calendar'!$F$69)=FALSE,"",IF((('Dvd Calendar'!$F$71=TYPE1)*(TYPE1&lt;&gt;"")+('Dvd Calendar'!$F$71=TYPE2)*(TYPE2&lt;&gt;"")+('Dvd Calendar'!$F$71=TYPE3)*(TYPE3&lt;&gt;"")+('Dvd Calendar'!$F$71=TYPE4)*(TYPE4&lt;&gt;"")+('Dvd Calendar'!$F$71=SPECIAL_LBL)*(INC_SPECIALS="Y"))=0,"",'Dvd Calendar'!$F$69)))</f>
        <v/>
      </c>
      <c r="E17" s="110">
        <f>IF(EG17="","",IF(ISNUMBER('Dvd Calendar'!$G$69)=FALSE,"",IF((('Dvd Calendar'!$G$71=TYPE1)*(TYPE1&lt;&gt;"")+('Dvd Calendar'!$G$71=TYPE2)*(TYPE2&lt;&gt;"")+('Dvd Calendar'!$G$71=TYPE3)*(TYPE3&lt;&gt;"")+('Dvd Calendar'!$G$71=TYPE4)*(TYPE4&lt;&gt;"")+('Dvd Calendar'!$G$71=SPECIAL_LBL)*(INC_SPECIALS="Y"))=0,"",'Dvd Calendar'!$G$69)))</f>
        <v/>
      </c>
      <c r="F17" s="110">
        <f>IF(EH17="","",IF(ISNUMBER('Dvd Calendar'!$H$69)=FALSE,"",IF((('Dvd Calendar'!$H$71=TYPE1)*(TYPE1&lt;&gt;"")+('Dvd Calendar'!$H$71=TYPE2)*(TYPE2&lt;&gt;"")+('Dvd Calendar'!$H$71=TYPE3)*(TYPE3&lt;&gt;"")+('Dvd Calendar'!$H$71=TYPE4)*(TYPE4&lt;&gt;"")+('Dvd Calendar'!$H$71=SPECIAL_LBL)*(INC_SPECIALS="Y"))=0,"",'Dvd Calendar'!$H$69)))</f>
        <v/>
      </c>
      <c r="G17" s="110">
        <f>IF(EI17="","",IF(ISNUMBER('Dvd Calendar'!$I$69)=FALSE,"",IF((('Dvd Calendar'!$I$71=TYPE1)*(TYPE1&lt;&gt;"")+('Dvd Calendar'!$I$71=TYPE2)*(TYPE2&lt;&gt;"")+('Dvd Calendar'!$I$71=TYPE3)*(TYPE3&lt;&gt;"")+('Dvd Calendar'!$I$71=TYPE4)*(TYPE4&lt;&gt;"")+('Dvd Calendar'!$I$71=SPECIAL_LBL)*(INC_SPECIALS="Y"))=0,"",'Dvd Calendar'!$I$69)))</f>
        <v/>
      </c>
      <c r="H17" s="110">
        <f>IF(EJ17="","",IF(ISNUMBER('Dvd Calendar'!$J$69)=FALSE,"",IF((('Dvd Calendar'!$J$71=TYPE1)*(TYPE1&lt;&gt;"")+('Dvd Calendar'!$J$71=TYPE2)*(TYPE2&lt;&gt;"")+('Dvd Calendar'!$J$71=TYPE3)*(TYPE3&lt;&gt;"")+('Dvd Calendar'!$J$71=TYPE4)*(TYPE4&lt;&gt;"")+('Dvd Calendar'!$J$71=SPECIAL_LBL)*(INC_SPECIALS="Y"))=0,"",'Dvd Calendar'!$J$69)))</f>
        <v/>
      </c>
      <c r="I17" s="110">
        <f>IF(EK17="","",IF(ISNUMBER('Dvd Calendar'!$K$69)=FALSE,"",IF((('Dvd Calendar'!$K$71=TYPE1)*(TYPE1&lt;&gt;"")+('Dvd Calendar'!$K$71=TYPE2)*(TYPE2&lt;&gt;"")+('Dvd Calendar'!$K$71=TYPE3)*(TYPE3&lt;&gt;"")+('Dvd Calendar'!$K$71=TYPE4)*(TYPE4&lt;&gt;"")+('Dvd Calendar'!$K$71=SPECIAL_LBL)*(INC_SPECIALS="Y"))=0,"",'Dvd Calendar'!$K$69)))</f>
        <v/>
      </c>
      <c r="J17" s="110">
        <f>IF(EL17="","",IF(ISNUMBER('Dvd Calendar'!$L$69)=FALSE,"",IF((('Dvd Calendar'!$L$71=TYPE1)*(TYPE1&lt;&gt;"")+('Dvd Calendar'!$L$71=TYPE2)*(TYPE2&lt;&gt;"")+('Dvd Calendar'!$L$71=TYPE3)*(TYPE3&lt;&gt;"")+('Dvd Calendar'!$L$71=TYPE4)*(TYPE4&lt;&gt;"")+('Dvd Calendar'!$L$71=SPECIAL_LBL)*(INC_SPECIALS="Y"))=0,"",'Dvd Calendar'!$L$69)))</f>
        <v/>
      </c>
      <c r="K17" s="110">
        <f>IF(EM17="","",IF(ISNUMBER('Dvd Calendar'!$M$69)=FALSE,"",IF((('Dvd Calendar'!$M$71=TYPE1)*(TYPE1&lt;&gt;"")+('Dvd Calendar'!$M$71=TYPE2)*(TYPE2&lt;&gt;"")+('Dvd Calendar'!$M$71=TYPE3)*(TYPE3&lt;&gt;"")+('Dvd Calendar'!$M$71=TYPE4)*(TYPE4&lt;&gt;"")+('Dvd Calendar'!$M$71=SPECIAL_LBL)*(INC_SPECIALS="Y"))=0,"",'Dvd Calendar'!$M$69)))</f>
        <v/>
      </c>
      <c r="L17" s="110">
        <f>IF(EN17="","",IF(ISNUMBER('Dvd Calendar'!$N$69)=FALSE,"",IF((('Dvd Calendar'!$N$71=TYPE1)*(TYPE1&lt;&gt;"")+('Dvd Calendar'!$N$71=TYPE2)*(TYPE2&lt;&gt;"")+('Dvd Calendar'!$N$71=TYPE3)*(TYPE3&lt;&gt;"")+('Dvd Calendar'!$N$71=TYPE4)*(TYPE4&lt;&gt;"")+('Dvd Calendar'!$N$71=SPECIAL_LBL)*(INC_SPECIALS="Y"))=0,"",'Dvd Calendar'!$N$69)))</f>
        <v/>
      </c>
      <c r="M17" s="110">
        <f>IF(EO17="","",IF(ISNUMBER('Dvd Calendar'!$O$69)=FALSE,"",IF((('Dvd Calendar'!$O$71=TYPE1)*(TYPE1&lt;&gt;"")+('Dvd Calendar'!$O$71=TYPE2)*(TYPE2&lt;&gt;"")+('Dvd Calendar'!$O$71=TYPE3)*(TYPE3&lt;&gt;"")+('Dvd Calendar'!$O$71=TYPE4)*(TYPE4&lt;&gt;"")+('Dvd Calendar'!$O$71=SPECIAL_LBL)*(INC_SPECIALS="Y"))=0,"",'Dvd Calendar'!$O$69)))</f>
        <v/>
      </c>
      <c r="N17" s="110">
        <f>IF(EP17="","",IF(ISNUMBER('Dvd Calendar'!$P$69)=FALSE,"",IF((('Dvd Calendar'!$P$71=TYPE1)*(TYPE1&lt;&gt;"")+('Dvd Calendar'!$P$71=TYPE2)*(TYPE2&lt;&gt;"")+('Dvd Calendar'!$P$71=TYPE3)*(TYPE3&lt;&gt;"")+('Dvd Calendar'!$P$71=TYPE4)*(TYPE4&lt;&gt;"")+('Dvd Calendar'!$P$71=SPECIAL_LBL)*(INC_SPECIALS="Y"))=0,"",'Dvd Calendar'!$P$69)))</f>
        <v/>
      </c>
      <c r="O17" s="110">
        <f>IF(EQ17="","",IF(ISNUMBER('Dvd Calendar'!$Q$69)=FALSE,"",IF((('Dvd Calendar'!$Q$71=TYPE1)*(TYPE1&lt;&gt;"")+('Dvd Calendar'!$Q$71=TYPE2)*(TYPE2&lt;&gt;"")+('Dvd Calendar'!$Q$71=TYPE3)*(TYPE3&lt;&gt;"")+('Dvd Calendar'!$Q$71=TYPE4)*(TYPE4&lt;&gt;"")+('Dvd Calendar'!$Q$71=SPECIAL_LBL)*(INC_SPECIALS="Y"))=0,"",'Dvd Calendar'!$Q$69)))</f>
        <v/>
      </c>
      <c r="P17" s="110">
        <f>IF(ER17="","",IF(ISNUMBER('Dvd Calendar'!$R$69)=FALSE,"",IF((('Dvd Calendar'!$R$71=TYPE1)*(TYPE1&lt;&gt;"")+('Dvd Calendar'!$R$71=TYPE2)*(TYPE2&lt;&gt;"")+('Dvd Calendar'!$R$71=TYPE3)*(TYPE3&lt;&gt;"")+('Dvd Calendar'!$R$71=TYPE4)*(TYPE4&lt;&gt;"")+('Dvd Calendar'!$R$71=SPECIAL_LBL)*(INC_SPECIALS="Y"))=0,"",'Dvd Calendar'!$R$69)))</f>
        <v/>
      </c>
      <c r="Q17" s="110">
        <f>IF(ES17="","",IF(ISNUMBER('Dvd Calendar'!$S$69)=FALSE,"",IF((('Dvd Calendar'!$S$71=TYPE1)*(TYPE1&lt;&gt;"")+('Dvd Calendar'!$S$71=TYPE2)*(TYPE2&lt;&gt;"")+('Dvd Calendar'!$S$71=TYPE3)*(TYPE3&lt;&gt;"")+('Dvd Calendar'!$S$71=TYPE4)*(TYPE4&lt;&gt;"")+('Dvd Calendar'!$S$71=SPECIAL_LBL)*(INC_SPECIALS="Y"))=0,"",'Dvd Calendar'!$S$69)))</f>
        <v/>
      </c>
      <c r="R17" s="110">
        <f>IF(ET17="","",IF(ISNUMBER('Dvd Calendar'!$T$69)=FALSE,"",IF((('Dvd Calendar'!$T$71=TYPE1)*(TYPE1&lt;&gt;"")+('Dvd Calendar'!$T$71=TYPE2)*(TYPE2&lt;&gt;"")+('Dvd Calendar'!$T$71=TYPE3)*(TYPE3&lt;&gt;"")+('Dvd Calendar'!$T$71=TYPE4)*(TYPE4&lt;&gt;"")+('Dvd Calendar'!$T$71=SPECIAL_LBL)*(INC_SPECIALS="Y"))=0,"",'Dvd Calendar'!$T$69)))</f>
        <v/>
      </c>
      <c r="S17" s="110">
        <f>IF(EU17="","",IF(ISNUMBER('Dvd Calendar'!$U$69)=FALSE,"",IF((('Dvd Calendar'!$U$71=TYPE1)*(TYPE1&lt;&gt;"")+('Dvd Calendar'!$U$71=TYPE2)*(TYPE2&lt;&gt;"")+('Dvd Calendar'!$U$71=TYPE3)*(TYPE3&lt;&gt;"")+('Dvd Calendar'!$U$71=TYPE4)*(TYPE4&lt;&gt;"")+('Dvd Calendar'!$U$71=SPECIAL_LBL)*(INC_SPECIALS="Y"))=0,"",'Dvd Calendar'!$U$69)))</f>
        <v/>
      </c>
      <c r="T17" s="110">
        <f>IF(EV17="","",IF(ISNUMBER('Dvd Calendar'!$V$69)=FALSE,"",IF((('Dvd Calendar'!$V$71=TYPE1)*(TYPE1&lt;&gt;"")+('Dvd Calendar'!$V$71=TYPE2)*(TYPE2&lt;&gt;"")+('Dvd Calendar'!$V$71=TYPE3)*(TYPE3&lt;&gt;"")+('Dvd Calendar'!$V$71=TYPE4)*(TYPE4&lt;&gt;"")+('Dvd Calendar'!$V$71=SPECIAL_LBL)*(INC_SPECIALS="Y"))=0,"",'Dvd Calendar'!$V$69)))</f>
        <v/>
      </c>
      <c r="U17" s="110">
        <f>IF(EW17="","",IF(ISNUMBER('Dvd Calendar'!$W$69)=FALSE,"",IF((('Dvd Calendar'!$W$71=TYPE1)*(TYPE1&lt;&gt;"")+('Dvd Calendar'!$W$71=TYPE2)*(TYPE2&lt;&gt;"")+('Dvd Calendar'!$W$71=TYPE3)*(TYPE3&lt;&gt;"")+('Dvd Calendar'!$W$71=TYPE4)*(TYPE4&lt;&gt;"")+('Dvd Calendar'!$W$71=SPECIAL_LBL)*(INC_SPECIALS="Y"))=0,"",'Dvd Calendar'!$W$69)))</f>
        <v/>
      </c>
      <c r="V17" s="110">
        <f>IF(EX17="","",IF(ISNUMBER('Dvd Calendar'!$X$69)=FALSE,"",IF((('Dvd Calendar'!$X$71=TYPE1)*(TYPE1&lt;&gt;"")+('Dvd Calendar'!$X$71=TYPE2)*(TYPE2&lt;&gt;"")+('Dvd Calendar'!$X$71=TYPE3)*(TYPE3&lt;&gt;"")+('Dvd Calendar'!$X$71=TYPE4)*(TYPE4&lt;&gt;"")+('Dvd Calendar'!$X$71=SPECIAL_LBL)*(INC_SPECIALS="Y"))=0,"",'Dvd Calendar'!$X$69)))</f>
        <v/>
      </c>
      <c r="W17" s="110">
        <f>IF(EY17="","",IF(ISNUMBER('Dvd Calendar'!$Y$69)=FALSE,"",IF((('Dvd Calendar'!$Y$71=TYPE1)*(TYPE1&lt;&gt;"")+('Dvd Calendar'!$Y$71=TYPE2)*(TYPE2&lt;&gt;"")+('Dvd Calendar'!$Y$71=TYPE3)*(TYPE3&lt;&gt;"")+('Dvd Calendar'!$Y$71=TYPE4)*(TYPE4&lt;&gt;"")+('Dvd Calendar'!$Y$71=SPECIAL_LBL)*(INC_SPECIALS="Y"))=0,"",'Dvd Calendar'!$Y$69)))</f>
        <v/>
      </c>
      <c r="X17" s="110">
        <f>IF(EZ17="","",IF(ISNUMBER('Dvd Calendar'!$Z$69)=FALSE,"",IF((('Dvd Calendar'!$Z$71=TYPE1)*(TYPE1&lt;&gt;"")+('Dvd Calendar'!$Z$71=TYPE2)*(TYPE2&lt;&gt;"")+('Dvd Calendar'!$Z$71=TYPE3)*(TYPE3&lt;&gt;"")+('Dvd Calendar'!$Z$71=TYPE4)*(TYPE4&lt;&gt;"")+('Dvd Calendar'!$Z$71=SPECIAL_LBL)*(INC_SPECIALS="Y"))=0,"",'Dvd Calendar'!$Z$69)))</f>
        <v/>
      </c>
      <c r="Y17" s="110">
        <f>IF(FA17="","",IF(ISNUMBER('Dvd Calendar'!$AA$69)=FALSE,"",IF((('Dvd Calendar'!$AA$71=TYPE1)*(TYPE1&lt;&gt;"")+('Dvd Calendar'!$AA$71=TYPE2)*(TYPE2&lt;&gt;"")+('Dvd Calendar'!$AA$71=TYPE3)*(TYPE3&lt;&gt;"")+('Dvd Calendar'!$AA$71=TYPE4)*(TYPE4&lt;&gt;"")+('Dvd Calendar'!$AA$71=SPECIAL_LBL)*(INC_SPECIALS="Y"))=0,"",'Dvd Calendar'!$AA$69)))</f>
        <v/>
      </c>
      <c r="Z17" s="110">
        <f>IF(FB17="","",IF(ISNUMBER('Dvd Calendar'!$AB$69)=FALSE,"",IF((('Dvd Calendar'!$AB$71=TYPE1)*(TYPE1&lt;&gt;"")+('Dvd Calendar'!$AB$71=TYPE2)*(TYPE2&lt;&gt;"")+('Dvd Calendar'!$AB$71=TYPE3)*(TYPE3&lt;&gt;"")+('Dvd Calendar'!$AB$71=TYPE4)*(TYPE4&lt;&gt;"")+('Dvd Calendar'!$AB$71=SPECIAL_LBL)*(INC_SPECIALS="Y"))=0,"",'Dvd Calendar'!$AB$69)))</f>
        <v/>
      </c>
      <c r="AA17" s="110">
        <f>IF(FC17="","",IF(ISNUMBER('Dvd Calendar'!$AC$69)=FALSE,"",IF((('Dvd Calendar'!$AC$71=TYPE1)*(TYPE1&lt;&gt;"")+('Dvd Calendar'!$AC$71=TYPE2)*(TYPE2&lt;&gt;"")+('Dvd Calendar'!$AC$71=TYPE3)*(TYPE3&lt;&gt;"")+('Dvd Calendar'!$AC$71=TYPE4)*(TYPE4&lt;&gt;"")+('Dvd Calendar'!$AC$71=SPECIAL_LBL)*(INC_SPECIALS="Y"))=0,"",'Dvd Calendar'!$AC$69)))</f>
        <v/>
      </c>
      <c r="AB17" s="110">
        <f>IF(FD17="","",IF(ISNUMBER('Dvd Calendar'!$AD$69)=FALSE,"",IF((('Dvd Calendar'!$AD$71=TYPE1)*(TYPE1&lt;&gt;"")+('Dvd Calendar'!$AD$71=TYPE2)*(TYPE2&lt;&gt;"")+('Dvd Calendar'!$AD$71=TYPE3)*(TYPE3&lt;&gt;"")+('Dvd Calendar'!$AD$71=TYPE4)*(TYPE4&lt;&gt;"")+('Dvd Calendar'!$AD$71=SPECIAL_LBL)*(INC_SPECIALS="Y"))=0,"",'Dvd Calendar'!$AD$69)))</f>
        <v/>
      </c>
      <c r="AC17" s="110">
        <f>IF(FE17="","",IF(ISNUMBER('Dvd Calendar'!$AE$69)=FALSE,"",IF((('Dvd Calendar'!$AE$71=TYPE1)*(TYPE1&lt;&gt;"")+('Dvd Calendar'!$AE$71=TYPE2)*(TYPE2&lt;&gt;"")+('Dvd Calendar'!$AE$71=TYPE3)*(TYPE3&lt;&gt;"")+('Dvd Calendar'!$AE$71=TYPE4)*(TYPE4&lt;&gt;"")+('Dvd Calendar'!$AE$71=SPECIAL_LBL)*(INC_SPECIALS="Y"))=0,"",'Dvd Calendar'!$AE$69)))</f>
        <v/>
      </c>
      <c r="AD17" s="110">
        <f>IF(FF17="","",IF(ISNUMBER('Dvd Calendar'!$AF$69)=FALSE,"",IF((('Dvd Calendar'!$AF$71=TYPE1)*(TYPE1&lt;&gt;"")+('Dvd Calendar'!$AF$71=TYPE2)*(TYPE2&lt;&gt;"")+('Dvd Calendar'!$AF$71=TYPE3)*(TYPE3&lt;&gt;"")+('Dvd Calendar'!$AF$71=TYPE4)*(TYPE4&lt;&gt;"")+('Dvd Calendar'!$AF$71=SPECIAL_LBL)*(INC_SPECIALS="Y"))=0,"",'Dvd Calendar'!$AF$69)))</f>
        <v/>
      </c>
      <c r="AE17" s="110">
        <f>IF(FG17="","",IF(ISNUMBER('Dvd Calendar'!$AG$69)=FALSE,"",IF((('Dvd Calendar'!$AG$71=TYPE1)*(TYPE1&lt;&gt;"")+('Dvd Calendar'!$AG$71=TYPE2)*(TYPE2&lt;&gt;"")+('Dvd Calendar'!$AG$71=TYPE3)*(TYPE3&lt;&gt;"")+('Dvd Calendar'!$AG$71=TYPE4)*(TYPE4&lt;&gt;"")+('Dvd Calendar'!$AG$71=SPECIAL_LBL)*(INC_SPECIALS="Y"))=0,"",'Dvd Calendar'!$AG$69)))</f>
        <v/>
      </c>
      <c r="AF17" s="110">
        <f>IF(FH17="","",IF(ISNUMBER('Dvd Calendar'!$AH$69)=FALSE,"",IF((('Dvd Calendar'!$AH$71=TYPE1)*(TYPE1&lt;&gt;"")+('Dvd Calendar'!$AH$71=TYPE2)*(TYPE2&lt;&gt;"")+('Dvd Calendar'!$AH$71=TYPE3)*(TYPE3&lt;&gt;"")+('Dvd Calendar'!$AH$71=TYPE4)*(TYPE4&lt;&gt;"")+('Dvd Calendar'!$AH$71=SPECIAL_LBL)*(INC_SPECIALS="Y"))=0,"",'Dvd Calendar'!$AH$69)))</f>
        <v/>
      </c>
      <c r="AG17" s="110">
        <f>IF(FI17="","",IF(ISNUMBER('Dvd Calendar'!$AI$69)=FALSE,"",IF((('Dvd Calendar'!$AI$71=TYPE1)*(TYPE1&lt;&gt;"")+('Dvd Calendar'!$AI$71=TYPE2)*(TYPE2&lt;&gt;"")+('Dvd Calendar'!$AI$71=TYPE3)*(TYPE3&lt;&gt;"")+('Dvd Calendar'!$AI$71=TYPE4)*(TYPE4&lt;&gt;"")+('Dvd Calendar'!$AI$71=SPECIAL_LBL)*(INC_SPECIALS="Y"))=0,"",'Dvd Calendar'!$AI$69)))</f>
        <v/>
      </c>
      <c r="AH17" s="110">
        <f>IF(FJ17="","",IF(ISNUMBER('Dvd Calendar'!$AJ$69)=FALSE,"",IF((('Dvd Calendar'!$AJ$71=TYPE1)*(TYPE1&lt;&gt;"")+('Dvd Calendar'!$AJ$71=TYPE2)*(TYPE2&lt;&gt;"")+('Dvd Calendar'!$AJ$71=TYPE3)*(TYPE3&lt;&gt;"")+('Dvd Calendar'!$AJ$71=TYPE4)*(TYPE4&lt;&gt;"")+('Dvd Calendar'!$AJ$71=SPECIAL_LBL)*(INC_SPECIALS="Y"))=0,"",'Dvd Calendar'!$AJ$69)))</f>
        <v/>
      </c>
      <c r="AI17" s="110">
        <f>IF(FK17="","",IF(ISNUMBER('Dvd Calendar'!$AK$69)=FALSE,"",IF((('Dvd Calendar'!$AK$71=TYPE1)*(TYPE1&lt;&gt;"")+('Dvd Calendar'!$AK$71=TYPE2)*(TYPE2&lt;&gt;"")+('Dvd Calendar'!$AK$71=TYPE3)*(TYPE3&lt;&gt;"")+('Dvd Calendar'!$AK$71=TYPE4)*(TYPE4&lt;&gt;"")+('Dvd Calendar'!$AK$71=SPECIAL_LBL)*(INC_SPECIALS="Y"))=0,"",'Dvd Calendar'!$AK$69)))</f>
        <v/>
      </c>
      <c r="AJ17" s="110">
        <f>IF(FL17="","",IF(ISNUMBER('Dvd Calendar'!$AL$69)=FALSE,"",IF((('Dvd Calendar'!$AL$71=TYPE1)*(TYPE1&lt;&gt;"")+('Dvd Calendar'!$AL$71=TYPE2)*(TYPE2&lt;&gt;"")+('Dvd Calendar'!$AL$71=TYPE3)*(TYPE3&lt;&gt;"")+('Dvd Calendar'!$AL$71=TYPE4)*(TYPE4&lt;&gt;"")+('Dvd Calendar'!$AL$71=SPECIAL_LBL)*(INC_SPECIALS="Y"))=0,"",'Dvd Calendar'!$AL$69)))</f>
        <v/>
      </c>
      <c r="AK17" s="110">
        <f>IF(FM17="","",IF(ISNUMBER('Dvd Calendar'!$AM$69)=FALSE,"",IF((('Dvd Calendar'!$AM$71=TYPE1)*(TYPE1&lt;&gt;"")+('Dvd Calendar'!$AM$71=TYPE2)*(TYPE2&lt;&gt;"")+('Dvd Calendar'!$AM$71=TYPE3)*(TYPE3&lt;&gt;"")+('Dvd Calendar'!$AM$71=TYPE4)*(TYPE4&lt;&gt;"")+('Dvd Calendar'!$AM$71=SPECIAL_LBL)*(INC_SPECIALS="Y"))=0,"",'Dvd Calendar'!$AM$69)))</f>
        <v/>
      </c>
      <c r="AL17" s="110">
        <f>IF(FN17="","",IF(ISNUMBER('Dvd Calendar'!$AN$69)=FALSE,"",IF((('Dvd Calendar'!$AN$71=TYPE1)*(TYPE1&lt;&gt;"")+('Dvd Calendar'!$AN$71=TYPE2)*(TYPE2&lt;&gt;"")+('Dvd Calendar'!$AN$71=TYPE3)*(TYPE3&lt;&gt;"")+('Dvd Calendar'!$AN$71=TYPE4)*(TYPE4&lt;&gt;"")+('Dvd Calendar'!$AN$71=SPECIAL_LBL)*(INC_SPECIALS="Y"))=0,"",'Dvd Calendar'!$AN$69)))</f>
        <v/>
      </c>
      <c r="AM17" s="110">
        <f>IF(FO17="","",IF(ISNUMBER('Dvd Calendar'!$AO$69)=FALSE,"",IF((('Dvd Calendar'!$AO$71=TYPE1)*(TYPE1&lt;&gt;"")+('Dvd Calendar'!$AO$71=TYPE2)*(TYPE2&lt;&gt;"")+('Dvd Calendar'!$AO$71=TYPE3)*(TYPE3&lt;&gt;"")+('Dvd Calendar'!$AO$71=TYPE4)*(TYPE4&lt;&gt;"")+('Dvd Calendar'!$AO$71=SPECIAL_LBL)*(INC_SPECIALS="Y"))=0,"",'Dvd Calendar'!$AO$69)))</f>
        <v/>
      </c>
      <c r="AN17" s="110">
        <f>IF(FP17="","",IF(ISNUMBER('Dvd Calendar'!$AP$69)=FALSE,"",IF((('Dvd Calendar'!$AP$71=TYPE1)*(TYPE1&lt;&gt;"")+('Dvd Calendar'!$AP$71=TYPE2)*(TYPE2&lt;&gt;"")+('Dvd Calendar'!$AP$71=TYPE3)*(TYPE3&lt;&gt;"")+('Dvd Calendar'!$AP$71=TYPE4)*(TYPE4&lt;&gt;"")+('Dvd Calendar'!$AP$71=SPECIAL_LBL)*(INC_SPECIALS="Y"))=0,"",'Dvd Calendar'!$AP$69)))</f>
        <v/>
      </c>
      <c r="AO17" s="110">
        <f>IF(FQ17="","",IF(ISNUMBER('Dvd Calendar'!$AQ$69)=FALSE,"",IF((('Dvd Calendar'!$AQ$71=TYPE1)*(TYPE1&lt;&gt;"")+('Dvd Calendar'!$AQ$71=TYPE2)*(TYPE2&lt;&gt;"")+('Dvd Calendar'!$AQ$71=TYPE3)*(TYPE3&lt;&gt;"")+('Dvd Calendar'!$AQ$71=TYPE4)*(TYPE4&lt;&gt;"")+('Dvd Calendar'!$AQ$71=SPECIAL_LBL)*(INC_SPECIALS="Y"))=0,"",'Dvd Calendar'!$AQ$69)))</f>
        <v/>
      </c>
      <c r="AP17" s="110">
        <f>IF(FR17="","",IF(ISNUMBER('Dvd Calendar'!$AR$69)=FALSE,"",IF((('Dvd Calendar'!$AR$71=TYPE1)*(TYPE1&lt;&gt;"")+('Dvd Calendar'!$AR$71=TYPE2)*(TYPE2&lt;&gt;"")+('Dvd Calendar'!$AR$71=TYPE3)*(TYPE3&lt;&gt;"")+('Dvd Calendar'!$AR$71=TYPE4)*(TYPE4&lt;&gt;"")+('Dvd Calendar'!$AR$71=SPECIAL_LBL)*(INC_SPECIALS="Y"))=0,"",'Dvd Calendar'!$AR$69)))</f>
        <v/>
      </c>
      <c r="AQ17" s="110">
        <f>IF(FS17="","",IF(ISNUMBER('Dvd Calendar'!$E$74)=FALSE,"",'Dvd Calendar'!$E$74))</f>
        <v/>
      </c>
      <c r="AR17" s="110">
        <f>IF(FT17="","",IF(ISNUMBER('Dvd Calendar'!$F$74)=FALSE,"",'Dvd Calendar'!$F$74))</f>
        <v/>
      </c>
      <c r="AS17" s="110">
        <f>IF(FU17="","",IF(ISNUMBER('Dvd Calendar'!$G$74)=FALSE,"",'Dvd Calendar'!$G$74))</f>
        <v/>
      </c>
      <c r="AT17" s="110">
        <f>IF(FV17="","",IF(ISNUMBER('Dvd Calendar'!$H$74)=FALSE,"",'Dvd Calendar'!$H$74))</f>
        <v/>
      </c>
      <c r="AU17" s="110">
        <f>IF(FW17="","",IF(ISNUMBER('Dvd Calendar'!$I$74)=FALSE,"",'Dvd Calendar'!$I$74))</f>
        <v/>
      </c>
      <c r="AV17" s="110">
        <f>IF(FX17="","",IF(ISNUMBER('Dvd Calendar'!$J$74)=FALSE,"",'Dvd Calendar'!$J$74))</f>
        <v/>
      </c>
      <c r="AW17" s="110">
        <f>IF(FY17="","",IF(ISNUMBER('Dvd Calendar'!$K$74)=FALSE,"",'Dvd Calendar'!$K$74))</f>
        <v/>
      </c>
      <c r="AX17" s="110">
        <f>IF(FZ17="","",IF(ISNUMBER('Dvd Calendar'!$L$74)=FALSE,"",'Dvd Calendar'!$L$74))</f>
        <v/>
      </c>
      <c r="AY17" s="110">
        <f>IF(GA17="","",IF(ISNUMBER('Dvd Calendar'!$M$74)=FALSE,"",'Dvd Calendar'!$M$74))</f>
        <v/>
      </c>
      <c r="AZ17" s="110">
        <f>IF(GB17="","",IF(ISNUMBER('Dvd Calendar'!$N$74)=FALSE,"",'Dvd Calendar'!$N$74))</f>
        <v/>
      </c>
      <c r="BA17" s="110">
        <f>IF(GC17="","",IF(ISNUMBER('Dvd Calendar'!$O$74)=FALSE,"",'Dvd Calendar'!$O$74))</f>
        <v/>
      </c>
      <c r="BB17" s="110">
        <f>IF(GD17="","",IF(ISNUMBER('Dvd Calendar'!$P$74)=FALSE,"",'Dvd Calendar'!$P$74))</f>
        <v/>
      </c>
      <c r="BC17" s="110">
        <f>IF(GE17="","",IF(ISNUMBER('Dvd Calendar'!$Q$74)=FALSE,"",'Dvd Calendar'!$Q$74))</f>
        <v/>
      </c>
      <c r="BD17" s="110">
        <f>IF(GF17="","",IF(ISNUMBER('Dvd Calendar'!$R$74)=FALSE,"",'Dvd Calendar'!$R$74))</f>
        <v/>
      </c>
      <c r="BE17" s="110">
        <f>IF(GG17="","",IF(ISNUMBER('Dvd Calendar'!$S$74)=FALSE,"",'Dvd Calendar'!$S$74))</f>
        <v/>
      </c>
      <c r="BF17" s="110">
        <f>IF(GH17="","",IF(ISNUMBER('Dvd Calendar'!$T$74)=FALSE,"",'Dvd Calendar'!$T$74))</f>
        <v/>
      </c>
      <c r="BG17" s="110">
        <f>IF(GI17="","",IF(ISNUMBER('Dvd Calendar'!$U$74)=FALSE,"",'Dvd Calendar'!$U$74))</f>
        <v/>
      </c>
      <c r="BH17" s="110">
        <f>IF(GJ17="","",IF(ISNUMBER('Dvd Calendar'!$V$74)=FALSE,"",'Dvd Calendar'!$V$74))</f>
        <v/>
      </c>
      <c r="BI17" s="110">
        <f>IF(GK17="","",IF(ISNUMBER('Dvd Calendar'!$W$74)=FALSE,"",'Dvd Calendar'!$W$74))</f>
        <v/>
      </c>
      <c r="BJ17" s="110">
        <f>IF(GL17="","",IF(ISNUMBER('Dvd Calendar'!$X$74)=FALSE,"",'Dvd Calendar'!$X$74))</f>
        <v/>
      </c>
      <c r="BK17" s="110">
        <f>IF(GM17="","",IF(ISNUMBER('Dvd Calendar'!$Y$74)=FALSE,"",'Dvd Calendar'!$Y$74))</f>
        <v/>
      </c>
      <c r="BL17" s="110">
        <f>IF(GN17="","",IF(ISNUMBER('Dvd Calendar'!$Z$74)=FALSE,"",'Dvd Calendar'!$Z$74))</f>
        <v/>
      </c>
      <c r="BM17" s="110">
        <f>IF(GO17="","",IF(ISNUMBER('Dvd Calendar'!$AA$74)=FALSE,"",'Dvd Calendar'!$AA$74))</f>
        <v/>
      </c>
      <c r="BN17" s="110">
        <f>IF(GP17="","",IF(ISNUMBER('Dvd Calendar'!$AB$74)=FALSE,"",'Dvd Calendar'!$AB$74))</f>
        <v/>
      </c>
      <c r="BO17" s="110">
        <f>IF(GQ17="","",IF(ISNUMBER('Dvd Calendar'!$AC$74)=FALSE,"",'Dvd Calendar'!$AC$74))</f>
        <v/>
      </c>
      <c r="BQ17" s="110">
        <f>IF(C17="","",IFERROR(C17*HSI!$B$12*HSI!$G$12/HSI!$B$3,""))</f>
        <v/>
      </c>
      <c r="BR17" s="110">
        <f>IF(D17="","",IFERROR(D17*HSI!$B$12*HSI!$G$12/HSI!$B$3,""))</f>
        <v/>
      </c>
      <c r="BS17" s="110">
        <f>IF(E17="","",IFERROR(E17*HSI!$B$12*HSI!$G$12/HSI!$B$3,""))</f>
        <v/>
      </c>
      <c r="BT17" s="110">
        <f>IF(F17="","",IFERROR(F17*HSI!$B$12*HSI!$G$12/HSI!$B$3,""))</f>
        <v/>
      </c>
      <c r="BU17" s="110">
        <f>IF(G17="","",IFERROR(G17*HSI!$B$12*HSI!$G$12/HSI!$B$3,""))</f>
        <v/>
      </c>
      <c r="BV17" s="110">
        <f>IF(H17="","",IFERROR(H17*HSI!$B$12*HSI!$G$12/HSI!$B$3,""))</f>
        <v/>
      </c>
      <c r="BW17" s="110">
        <f>IF(I17="","",IFERROR(I17*HSI!$B$12*HSI!$G$12/HSI!$B$3,""))</f>
        <v/>
      </c>
      <c r="BX17" s="110">
        <f>IF(J17="","",IFERROR(J17*HSI!$B$12*HSI!$G$12/HSI!$B$3,""))</f>
        <v/>
      </c>
      <c r="BY17" s="110">
        <f>IF(K17="","",IFERROR(K17*HSI!$B$12*HSI!$G$12/HSI!$B$3,""))</f>
        <v/>
      </c>
      <c r="BZ17" s="110">
        <f>IF(L17="","",IFERROR(L17*HSI!$B$12*HSI!$G$12/HSI!$B$3,""))</f>
        <v/>
      </c>
      <c r="CA17" s="110">
        <f>IF(M17="","",IFERROR(M17*HSI!$B$12*HSI!$G$12/HSI!$B$3,""))</f>
        <v/>
      </c>
      <c r="CB17" s="110">
        <f>IF(N17="","",IFERROR(N17*HSI!$B$12*HSI!$G$12/HSI!$B$3,""))</f>
        <v/>
      </c>
      <c r="CC17" s="110">
        <f>IF(O17="","",IFERROR(O17*HSI!$B$12*HSI!$G$12/HSI!$B$3,""))</f>
        <v/>
      </c>
      <c r="CD17" s="110">
        <f>IF(P17="","",IFERROR(P17*HSI!$B$12*HSI!$G$12/HSI!$B$3,""))</f>
        <v/>
      </c>
      <c r="CE17" s="110">
        <f>IF(Q17="","",IFERROR(Q17*HSI!$B$12*HSI!$G$12/HSI!$B$3,""))</f>
        <v/>
      </c>
      <c r="CF17" s="110">
        <f>IF(R17="","",IFERROR(R17*HSI!$B$12*HSI!$G$12/HSI!$B$3,""))</f>
        <v/>
      </c>
      <c r="CG17" s="110">
        <f>IF(S17="","",IFERROR(S17*HSI!$B$12*HSI!$G$12/HSI!$B$3,""))</f>
        <v/>
      </c>
      <c r="CH17" s="110">
        <f>IF(T17="","",IFERROR(T17*HSI!$B$12*HSI!$G$12/HSI!$B$3,""))</f>
        <v/>
      </c>
      <c r="CI17" s="110">
        <f>IF(U17="","",IFERROR(U17*HSI!$B$12*HSI!$G$12/HSI!$B$3,""))</f>
        <v/>
      </c>
      <c r="CJ17" s="110">
        <f>IF(V17="","",IFERROR(V17*HSI!$B$12*HSI!$G$12/HSI!$B$3,""))</f>
        <v/>
      </c>
      <c r="CK17" s="110">
        <f>IF(W17="","",IFERROR(W17*HSI!$B$12*HSI!$G$12/HSI!$B$3,""))</f>
        <v/>
      </c>
      <c r="CL17" s="110">
        <f>IF(X17="","",IFERROR(X17*HSI!$B$12*HSI!$G$12/HSI!$B$3,""))</f>
        <v/>
      </c>
      <c r="CM17" s="110">
        <f>IF(Y17="","",IFERROR(Y17*HSI!$B$12*HSI!$G$12/HSI!$B$3,""))</f>
        <v/>
      </c>
      <c r="CN17" s="110">
        <f>IF(Z17="","",IFERROR(Z17*HSI!$B$12*HSI!$G$12/HSI!$B$3,""))</f>
        <v/>
      </c>
      <c r="CO17" s="110">
        <f>IF(AA17="","",IFERROR(AA17*HSI!$B$12*HSI!$G$12/HSI!$B$3,""))</f>
        <v/>
      </c>
      <c r="CP17" s="110">
        <f>IF(AB17="","",IFERROR(AB17*HSI!$B$12*HSI!$G$12/HSI!$B$3,""))</f>
        <v/>
      </c>
      <c r="CQ17" s="110">
        <f>IF(AC17="","",IFERROR(AC17*HSI!$B$12*HSI!$G$12/HSI!$B$3,""))</f>
        <v/>
      </c>
      <c r="CR17" s="110">
        <f>IF(AD17="","",IFERROR(AD17*HSI!$B$12*HSI!$G$12/HSI!$B$3,""))</f>
        <v/>
      </c>
      <c r="CS17" s="110">
        <f>IF(AE17="","",IFERROR(AE17*HSI!$B$12*HSI!$G$12/HSI!$B$3,""))</f>
        <v/>
      </c>
      <c r="CT17" s="110">
        <f>IF(AF17="","",IFERROR(AF17*HSI!$B$12*HSI!$G$12/HSI!$B$3,""))</f>
        <v/>
      </c>
      <c r="CU17" s="110">
        <f>IF(AG17="","",IFERROR(AG17*HSI!$B$12*HSI!$G$12/HSI!$B$3,""))</f>
        <v/>
      </c>
      <c r="CV17" s="110">
        <f>IF(AH17="","",IFERROR(AH17*HSI!$B$12*HSI!$G$12/HSI!$B$3,""))</f>
        <v/>
      </c>
      <c r="CW17" s="110">
        <f>IF(AI17="","",IFERROR(AI17*HSI!$B$12*HSI!$G$12/HSI!$B$3,""))</f>
        <v/>
      </c>
      <c r="CX17" s="110">
        <f>IF(AJ17="","",IFERROR(AJ17*HSI!$B$12*HSI!$G$12/HSI!$B$3,""))</f>
        <v/>
      </c>
      <c r="CY17" s="110">
        <f>IF(AK17="","",IFERROR(AK17*HSI!$B$12*HSI!$G$12/HSI!$B$3,""))</f>
        <v/>
      </c>
      <c r="CZ17" s="110">
        <f>IF(AL17="","",IFERROR(AL17*HSI!$B$12*HSI!$G$12/HSI!$B$3,""))</f>
        <v/>
      </c>
      <c r="DA17" s="110">
        <f>IF(AM17="","",IFERROR(AM17*HSI!$B$12*HSI!$G$12/HSI!$B$3,""))</f>
        <v/>
      </c>
      <c r="DB17" s="110">
        <f>IF(AN17="","",IFERROR(AN17*HSI!$B$12*HSI!$G$12/HSI!$B$3,""))</f>
        <v/>
      </c>
      <c r="DC17" s="110">
        <f>IF(AO17="","",IFERROR(AO17*HSI!$B$12*HSI!$G$12/HSI!$B$3,""))</f>
        <v/>
      </c>
      <c r="DD17" s="110">
        <f>IF(AP17="","",IFERROR(AP17*HSI!$B$12*HSI!$G$12/HSI!$B$3,""))</f>
        <v/>
      </c>
      <c r="DE17" s="110">
        <f>IF(AQ17="","",IFERROR(AQ17*HSI!$B$12*HSI!$G$12/HSI!$B$3,""))</f>
        <v/>
      </c>
      <c r="DF17" s="110">
        <f>IF(AR17="","",IFERROR(AR17*HSI!$B$12*HSI!$G$12/HSI!$B$3,""))</f>
        <v/>
      </c>
      <c r="DG17" s="110">
        <f>IF(AS17="","",IFERROR(AS17*HSI!$B$12*HSI!$G$12/HSI!$B$3,""))</f>
        <v/>
      </c>
      <c r="DH17" s="110">
        <f>IF(AT17="","",IFERROR(AT17*HSI!$B$12*HSI!$G$12/HSI!$B$3,""))</f>
        <v/>
      </c>
      <c r="DI17" s="110">
        <f>IF(AU17="","",IFERROR(AU17*HSI!$B$12*HSI!$G$12/HSI!$B$3,""))</f>
        <v/>
      </c>
      <c r="DJ17" s="110">
        <f>IF(AV17="","",IFERROR(AV17*HSI!$B$12*HSI!$G$12/HSI!$B$3,""))</f>
        <v/>
      </c>
      <c r="DK17" s="110">
        <f>IF(AW17="","",IFERROR(AW17*HSI!$B$12*HSI!$G$12/HSI!$B$3,""))</f>
        <v/>
      </c>
      <c r="DL17" s="110">
        <f>IF(AX17="","",IFERROR(AX17*HSI!$B$12*HSI!$G$12/HSI!$B$3,""))</f>
        <v/>
      </c>
      <c r="DM17" s="110">
        <f>IF(AY17="","",IFERROR(AY17*HSI!$B$12*HSI!$G$12/HSI!$B$3,""))</f>
        <v/>
      </c>
      <c r="DN17" s="110">
        <f>IF(AZ17="","",IFERROR(AZ17*HSI!$B$12*HSI!$G$12/HSI!$B$3,""))</f>
        <v/>
      </c>
      <c r="DO17" s="110">
        <f>IF(BA17="","",IFERROR(BA17*HSI!$B$12*HSI!$G$12/HSI!$B$3,""))</f>
        <v/>
      </c>
      <c r="DP17" s="110">
        <f>IF(BB17="","",IFERROR(BB17*HSI!$B$12*HSI!$G$12/HSI!$B$3,""))</f>
        <v/>
      </c>
      <c r="DQ17" s="110">
        <f>IF(BC17="","",IFERROR(BC17*HSI!$B$12*HSI!$G$12/HSI!$B$3,""))</f>
        <v/>
      </c>
      <c r="DR17" s="110">
        <f>IF(BD17="","",IFERROR(BD17*HSI!$B$12*HSI!$G$12/HSI!$B$3,""))</f>
        <v/>
      </c>
      <c r="DS17" s="110">
        <f>IF(BE17="","",IFERROR(BE17*HSI!$B$12*HSI!$G$12/HSI!$B$3,""))</f>
        <v/>
      </c>
      <c r="DT17" s="110">
        <f>IF(BF17="","",IFERROR(BF17*HSI!$B$12*HSI!$G$12/HSI!$B$3,""))</f>
        <v/>
      </c>
      <c r="DU17" s="110">
        <f>IF(BG17="","",IFERROR(BG17*HSI!$B$12*HSI!$G$12/HSI!$B$3,""))</f>
        <v/>
      </c>
      <c r="DV17" s="110">
        <f>IF(BH17="","",IFERROR(BH17*HSI!$B$12*HSI!$G$12/HSI!$B$3,""))</f>
        <v/>
      </c>
      <c r="DW17" s="110">
        <f>IF(BI17="","",IFERROR(BI17*HSI!$B$12*HSI!$G$12/HSI!$B$3,""))</f>
        <v/>
      </c>
      <c r="DX17" s="110">
        <f>IF(BJ17="","",IFERROR(BJ17*HSI!$B$12*HSI!$G$12/HSI!$B$3,""))</f>
        <v/>
      </c>
      <c r="DY17" s="110">
        <f>IF(BK17="","",IFERROR(BK17*HSI!$B$12*HSI!$G$12/HSI!$B$3,""))</f>
        <v/>
      </c>
      <c r="DZ17" s="110">
        <f>IF(BL17="","",IFERROR(BL17*HSI!$B$12*HSI!$G$12/HSI!$B$3,""))</f>
        <v/>
      </c>
      <c r="EA17" s="110">
        <f>IF(BM17="","",IFERROR(BM17*HSI!$B$12*HSI!$G$12/HSI!$B$3,""))</f>
        <v/>
      </c>
      <c r="EB17" s="110">
        <f>IF(BN17="","",IFERROR(BN17*HSI!$B$12*HSI!$G$12/HSI!$B$3,""))</f>
        <v/>
      </c>
      <c r="EC17" s="110">
        <f>IF(BO17="","",IFERROR(BO17*HSI!$B$12*HSI!$G$12/HSI!$B$3,""))</f>
        <v/>
      </c>
      <c r="EE17" s="39">
        <f>IF(N('Dvd Calendar'!$E$66)=0,"",IF(('Dvd Calendar'!$E$66&gt;=GRID_FROM)*('Dvd Calendar'!$E$66&lt;=GRID_TO)*((('Dvd Calendar'!$E$66&lt;=VAL_DATE)+(COUNTIF('Dvd Calendar'!$E$73:$AR$73,'Dvd Calendar'!$E$66)=0))&gt;0)=0,"",'Dvd Calendar'!$E$66*1000000000+ISNUMBER('Dvd Calendar'!$E$69)*100000000+('Dvd Calendar'!$E$71=SPECIAL_LBL)*10000000+(N('Dvd Calendar'!$E$65)&gt;0)*(N('Dvd Calendar'!$E$65)&lt;=VAL_SERIAL)*1000000+6*1000+1))</f>
        <v/>
      </c>
      <c r="EF17" s="39">
        <f>IF(N('Dvd Calendar'!$F$66)=0,"",IF(('Dvd Calendar'!$F$66&gt;=GRID_FROM)*('Dvd Calendar'!$F$66&lt;=GRID_TO)*((('Dvd Calendar'!$F$66&lt;=VAL_DATE)+(COUNTIF('Dvd Calendar'!$E$73:$AR$73,'Dvd Calendar'!$F$66)=0))&gt;0)=0,"",'Dvd Calendar'!$F$66*1000000000+ISNUMBER('Dvd Calendar'!$F$69)*100000000+('Dvd Calendar'!$F$71=SPECIAL_LBL)*10000000+(N('Dvd Calendar'!$F$65)&gt;0)*(N('Dvd Calendar'!$F$65)&lt;=VAL_SERIAL)*1000000+6*1000+2))</f>
        <v/>
      </c>
      <c r="EG17" s="39">
        <f>IF(N('Dvd Calendar'!$G$66)=0,"",IF(('Dvd Calendar'!$G$66&gt;=GRID_FROM)*('Dvd Calendar'!$G$66&lt;=GRID_TO)*((('Dvd Calendar'!$G$66&lt;=VAL_DATE)+(COUNTIF('Dvd Calendar'!$E$73:$AR$73,'Dvd Calendar'!$G$66)=0))&gt;0)=0,"",'Dvd Calendar'!$G$66*1000000000+ISNUMBER('Dvd Calendar'!$G$69)*100000000+('Dvd Calendar'!$G$71=SPECIAL_LBL)*10000000+(N('Dvd Calendar'!$G$65)&gt;0)*(N('Dvd Calendar'!$G$65)&lt;=VAL_SERIAL)*1000000+6*1000+3))</f>
        <v/>
      </c>
      <c r="EH17" s="39">
        <f>IF(N('Dvd Calendar'!$H$66)=0,"",IF(('Dvd Calendar'!$H$66&gt;=GRID_FROM)*('Dvd Calendar'!$H$66&lt;=GRID_TO)*((('Dvd Calendar'!$H$66&lt;=VAL_DATE)+(COUNTIF('Dvd Calendar'!$E$73:$AR$73,'Dvd Calendar'!$H$66)=0))&gt;0)=0,"",'Dvd Calendar'!$H$66*1000000000+ISNUMBER('Dvd Calendar'!$H$69)*100000000+('Dvd Calendar'!$H$71=SPECIAL_LBL)*10000000+(N('Dvd Calendar'!$H$65)&gt;0)*(N('Dvd Calendar'!$H$65)&lt;=VAL_SERIAL)*1000000+6*1000+4))</f>
        <v/>
      </c>
      <c r="EI17" s="39">
        <f>IF(N('Dvd Calendar'!$I$66)=0,"",IF(('Dvd Calendar'!$I$66&gt;=GRID_FROM)*('Dvd Calendar'!$I$66&lt;=GRID_TO)*((('Dvd Calendar'!$I$66&lt;=VAL_DATE)+(COUNTIF('Dvd Calendar'!$E$73:$AR$73,'Dvd Calendar'!$I$66)=0))&gt;0)=0,"",'Dvd Calendar'!$I$66*1000000000+ISNUMBER('Dvd Calendar'!$I$69)*100000000+('Dvd Calendar'!$I$71=SPECIAL_LBL)*10000000+(N('Dvd Calendar'!$I$65)&gt;0)*(N('Dvd Calendar'!$I$65)&lt;=VAL_SERIAL)*1000000+6*1000+5))</f>
        <v/>
      </c>
      <c r="EJ17" s="39">
        <f>IF(N('Dvd Calendar'!$J$66)=0,"",IF(('Dvd Calendar'!$J$66&gt;=GRID_FROM)*('Dvd Calendar'!$J$66&lt;=GRID_TO)*((('Dvd Calendar'!$J$66&lt;=VAL_DATE)+(COUNTIF('Dvd Calendar'!$E$73:$AR$73,'Dvd Calendar'!$J$66)=0))&gt;0)=0,"",'Dvd Calendar'!$J$66*1000000000+ISNUMBER('Dvd Calendar'!$J$69)*100000000+('Dvd Calendar'!$J$71=SPECIAL_LBL)*10000000+(N('Dvd Calendar'!$J$65)&gt;0)*(N('Dvd Calendar'!$J$65)&lt;=VAL_SERIAL)*1000000+6*1000+6))</f>
        <v/>
      </c>
      <c r="EK17" s="39">
        <f>IF(N('Dvd Calendar'!$K$66)=0,"",IF(('Dvd Calendar'!$K$66&gt;=GRID_FROM)*('Dvd Calendar'!$K$66&lt;=GRID_TO)*((('Dvd Calendar'!$K$66&lt;=VAL_DATE)+(COUNTIF('Dvd Calendar'!$E$73:$AR$73,'Dvd Calendar'!$K$66)=0))&gt;0)=0,"",'Dvd Calendar'!$K$66*1000000000+ISNUMBER('Dvd Calendar'!$K$69)*100000000+('Dvd Calendar'!$K$71=SPECIAL_LBL)*10000000+(N('Dvd Calendar'!$K$65)&gt;0)*(N('Dvd Calendar'!$K$65)&lt;=VAL_SERIAL)*1000000+6*1000+7))</f>
        <v/>
      </c>
      <c r="EL17" s="39">
        <f>IF(N('Dvd Calendar'!$L$66)=0,"",IF(('Dvd Calendar'!$L$66&gt;=GRID_FROM)*('Dvd Calendar'!$L$66&lt;=GRID_TO)*((('Dvd Calendar'!$L$66&lt;=VAL_DATE)+(COUNTIF('Dvd Calendar'!$E$73:$AR$73,'Dvd Calendar'!$L$66)=0))&gt;0)=0,"",'Dvd Calendar'!$L$66*1000000000+ISNUMBER('Dvd Calendar'!$L$69)*100000000+('Dvd Calendar'!$L$71=SPECIAL_LBL)*10000000+(N('Dvd Calendar'!$L$65)&gt;0)*(N('Dvd Calendar'!$L$65)&lt;=VAL_SERIAL)*1000000+6*1000+8))</f>
        <v/>
      </c>
      <c r="EM17" s="39">
        <f>IF(N('Dvd Calendar'!$M$66)=0,"",IF(('Dvd Calendar'!$M$66&gt;=GRID_FROM)*('Dvd Calendar'!$M$66&lt;=GRID_TO)*((('Dvd Calendar'!$M$66&lt;=VAL_DATE)+(COUNTIF('Dvd Calendar'!$E$73:$AR$73,'Dvd Calendar'!$M$66)=0))&gt;0)=0,"",'Dvd Calendar'!$M$66*1000000000+ISNUMBER('Dvd Calendar'!$M$69)*100000000+('Dvd Calendar'!$M$71=SPECIAL_LBL)*10000000+(N('Dvd Calendar'!$M$65)&gt;0)*(N('Dvd Calendar'!$M$65)&lt;=VAL_SERIAL)*1000000+6*1000+9))</f>
        <v/>
      </c>
      <c r="EN17" s="39">
        <f>IF(N('Dvd Calendar'!$N$66)=0,"",IF(('Dvd Calendar'!$N$66&gt;=GRID_FROM)*('Dvd Calendar'!$N$66&lt;=GRID_TO)*((('Dvd Calendar'!$N$66&lt;=VAL_DATE)+(COUNTIF('Dvd Calendar'!$E$73:$AR$73,'Dvd Calendar'!$N$66)=0))&gt;0)=0,"",'Dvd Calendar'!$N$66*1000000000+ISNUMBER('Dvd Calendar'!$N$69)*100000000+('Dvd Calendar'!$N$71=SPECIAL_LBL)*10000000+(N('Dvd Calendar'!$N$65)&gt;0)*(N('Dvd Calendar'!$N$65)&lt;=VAL_SERIAL)*1000000+6*1000+10))</f>
        <v/>
      </c>
      <c r="EO17" s="39">
        <f>IF(N('Dvd Calendar'!$O$66)=0,"",IF(('Dvd Calendar'!$O$66&gt;=GRID_FROM)*('Dvd Calendar'!$O$66&lt;=GRID_TO)*((('Dvd Calendar'!$O$66&lt;=VAL_DATE)+(COUNTIF('Dvd Calendar'!$E$73:$AR$73,'Dvd Calendar'!$O$66)=0))&gt;0)=0,"",'Dvd Calendar'!$O$66*1000000000+ISNUMBER('Dvd Calendar'!$O$69)*100000000+('Dvd Calendar'!$O$71=SPECIAL_LBL)*10000000+(N('Dvd Calendar'!$O$65)&gt;0)*(N('Dvd Calendar'!$O$65)&lt;=VAL_SERIAL)*1000000+6*1000+11))</f>
        <v/>
      </c>
      <c r="EP17" s="39">
        <f>IF(N('Dvd Calendar'!$P$66)=0,"",IF(('Dvd Calendar'!$P$66&gt;=GRID_FROM)*('Dvd Calendar'!$P$66&lt;=GRID_TO)*((('Dvd Calendar'!$P$66&lt;=VAL_DATE)+(COUNTIF('Dvd Calendar'!$E$73:$AR$73,'Dvd Calendar'!$P$66)=0))&gt;0)=0,"",'Dvd Calendar'!$P$66*1000000000+ISNUMBER('Dvd Calendar'!$P$69)*100000000+('Dvd Calendar'!$P$71=SPECIAL_LBL)*10000000+(N('Dvd Calendar'!$P$65)&gt;0)*(N('Dvd Calendar'!$P$65)&lt;=VAL_SERIAL)*1000000+6*1000+12))</f>
        <v/>
      </c>
      <c r="EQ17" s="39">
        <f>IF(N('Dvd Calendar'!$Q$66)=0,"",IF(('Dvd Calendar'!$Q$66&gt;=GRID_FROM)*('Dvd Calendar'!$Q$66&lt;=GRID_TO)*((('Dvd Calendar'!$Q$66&lt;=VAL_DATE)+(COUNTIF('Dvd Calendar'!$E$73:$AR$73,'Dvd Calendar'!$Q$66)=0))&gt;0)=0,"",'Dvd Calendar'!$Q$66*1000000000+ISNUMBER('Dvd Calendar'!$Q$69)*100000000+('Dvd Calendar'!$Q$71=SPECIAL_LBL)*10000000+(N('Dvd Calendar'!$Q$65)&gt;0)*(N('Dvd Calendar'!$Q$65)&lt;=VAL_SERIAL)*1000000+6*1000+13))</f>
        <v/>
      </c>
      <c r="ER17" s="39">
        <f>IF(N('Dvd Calendar'!$R$66)=0,"",IF(('Dvd Calendar'!$R$66&gt;=GRID_FROM)*('Dvd Calendar'!$R$66&lt;=GRID_TO)*((('Dvd Calendar'!$R$66&lt;=VAL_DATE)+(COUNTIF('Dvd Calendar'!$E$73:$AR$73,'Dvd Calendar'!$R$66)=0))&gt;0)=0,"",'Dvd Calendar'!$R$66*1000000000+ISNUMBER('Dvd Calendar'!$R$69)*100000000+('Dvd Calendar'!$R$71=SPECIAL_LBL)*10000000+(N('Dvd Calendar'!$R$65)&gt;0)*(N('Dvd Calendar'!$R$65)&lt;=VAL_SERIAL)*1000000+6*1000+14))</f>
        <v/>
      </c>
      <c r="ES17" s="39">
        <f>IF(N('Dvd Calendar'!$S$66)=0,"",IF(('Dvd Calendar'!$S$66&gt;=GRID_FROM)*('Dvd Calendar'!$S$66&lt;=GRID_TO)*((('Dvd Calendar'!$S$66&lt;=VAL_DATE)+(COUNTIF('Dvd Calendar'!$E$73:$AR$73,'Dvd Calendar'!$S$66)=0))&gt;0)=0,"",'Dvd Calendar'!$S$66*1000000000+ISNUMBER('Dvd Calendar'!$S$69)*100000000+('Dvd Calendar'!$S$71=SPECIAL_LBL)*10000000+(N('Dvd Calendar'!$S$65)&gt;0)*(N('Dvd Calendar'!$S$65)&lt;=VAL_SERIAL)*1000000+6*1000+15))</f>
        <v/>
      </c>
      <c r="ET17" s="39">
        <f>IF(N('Dvd Calendar'!$T$66)=0,"",IF(('Dvd Calendar'!$T$66&gt;=GRID_FROM)*('Dvd Calendar'!$T$66&lt;=GRID_TO)*((('Dvd Calendar'!$T$66&lt;=VAL_DATE)+(COUNTIF('Dvd Calendar'!$E$73:$AR$73,'Dvd Calendar'!$T$66)=0))&gt;0)=0,"",'Dvd Calendar'!$T$66*1000000000+ISNUMBER('Dvd Calendar'!$T$69)*100000000+('Dvd Calendar'!$T$71=SPECIAL_LBL)*10000000+(N('Dvd Calendar'!$T$65)&gt;0)*(N('Dvd Calendar'!$T$65)&lt;=VAL_SERIAL)*1000000+6*1000+16))</f>
        <v/>
      </c>
      <c r="EU17" s="39">
        <f>IF(N('Dvd Calendar'!$U$66)=0,"",IF(('Dvd Calendar'!$U$66&gt;=GRID_FROM)*('Dvd Calendar'!$U$66&lt;=GRID_TO)*((('Dvd Calendar'!$U$66&lt;=VAL_DATE)+(COUNTIF('Dvd Calendar'!$E$73:$AR$73,'Dvd Calendar'!$U$66)=0))&gt;0)=0,"",'Dvd Calendar'!$U$66*1000000000+ISNUMBER('Dvd Calendar'!$U$69)*100000000+('Dvd Calendar'!$U$71=SPECIAL_LBL)*10000000+(N('Dvd Calendar'!$U$65)&gt;0)*(N('Dvd Calendar'!$U$65)&lt;=VAL_SERIAL)*1000000+6*1000+17))</f>
        <v/>
      </c>
      <c r="EV17" s="39">
        <f>IF(N('Dvd Calendar'!$V$66)=0,"",IF(('Dvd Calendar'!$V$66&gt;=GRID_FROM)*('Dvd Calendar'!$V$66&lt;=GRID_TO)*((('Dvd Calendar'!$V$66&lt;=VAL_DATE)+(COUNTIF('Dvd Calendar'!$E$73:$AR$73,'Dvd Calendar'!$V$66)=0))&gt;0)=0,"",'Dvd Calendar'!$V$66*1000000000+ISNUMBER('Dvd Calendar'!$V$69)*100000000+('Dvd Calendar'!$V$71=SPECIAL_LBL)*10000000+(N('Dvd Calendar'!$V$65)&gt;0)*(N('Dvd Calendar'!$V$65)&lt;=VAL_SERIAL)*1000000+6*1000+18))</f>
        <v/>
      </c>
      <c r="EW17" s="39">
        <f>IF(N('Dvd Calendar'!$W$66)=0,"",IF(('Dvd Calendar'!$W$66&gt;=GRID_FROM)*('Dvd Calendar'!$W$66&lt;=GRID_TO)*((('Dvd Calendar'!$W$66&lt;=VAL_DATE)+(COUNTIF('Dvd Calendar'!$E$73:$AR$73,'Dvd Calendar'!$W$66)=0))&gt;0)=0,"",'Dvd Calendar'!$W$66*1000000000+ISNUMBER('Dvd Calendar'!$W$69)*100000000+('Dvd Calendar'!$W$71=SPECIAL_LBL)*10000000+(N('Dvd Calendar'!$W$65)&gt;0)*(N('Dvd Calendar'!$W$65)&lt;=VAL_SERIAL)*1000000+6*1000+19))</f>
        <v/>
      </c>
      <c r="EX17" s="39">
        <f>IF(N('Dvd Calendar'!$X$66)=0,"",IF(('Dvd Calendar'!$X$66&gt;=GRID_FROM)*('Dvd Calendar'!$X$66&lt;=GRID_TO)*((('Dvd Calendar'!$X$66&lt;=VAL_DATE)+(COUNTIF('Dvd Calendar'!$E$73:$AR$73,'Dvd Calendar'!$X$66)=0))&gt;0)=0,"",'Dvd Calendar'!$X$66*1000000000+ISNUMBER('Dvd Calendar'!$X$69)*100000000+('Dvd Calendar'!$X$71=SPECIAL_LBL)*10000000+(N('Dvd Calendar'!$X$65)&gt;0)*(N('Dvd Calendar'!$X$65)&lt;=VAL_SERIAL)*1000000+6*1000+20))</f>
        <v/>
      </c>
      <c r="EY17" s="39">
        <f>IF(N('Dvd Calendar'!$Y$66)=0,"",IF(('Dvd Calendar'!$Y$66&gt;=GRID_FROM)*('Dvd Calendar'!$Y$66&lt;=GRID_TO)*((('Dvd Calendar'!$Y$66&lt;=VAL_DATE)+(COUNTIF('Dvd Calendar'!$E$73:$AR$73,'Dvd Calendar'!$Y$66)=0))&gt;0)=0,"",'Dvd Calendar'!$Y$66*1000000000+ISNUMBER('Dvd Calendar'!$Y$69)*100000000+('Dvd Calendar'!$Y$71=SPECIAL_LBL)*10000000+(N('Dvd Calendar'!$Y$65)&gt;0)*(N('Dvd Calendar'!$Y$65)&lt;=VAL_SERIAL)*1000000+6*1000+21))</f>
        <v/>
      </c>
      <c r="EZ17" s="39">
        <f>IF(N('Dvd Calendar'!$Z$66)=0,"",IF(('Dvd Calendar'!$Z$66&gt;=GRID_FROM)*('Dvd Calendar'!$Z$66&lt;=GRID_TO)*((('Dvd Calendar'!$Z$66&lt;=VAL_DATE)+(COUNTIF('Dvd Calendar'!$E$73:$AR$73,'Dvd Calendar'!$Z$66)=0))&gt;0)=0,"",'Dvd Calendar'!$Z$66*1000000000+ISNUMBER('Dvd Calendar'!$Z$69)*100000000+('Dvd Calendar'!$Z$71=SPECIAL_LBL)*10000000+(N('Dvd Calendar'!$Z$65)&gt;0)*(N('Dvd Calendar'!$Z$65)&lt;=VAL_SERIAL)*1000000+6*1000+22))</f>
        <v/>
      </c>
      <c r="FA17" s="39">
        <f>IF(N('Dvd Calendar'!$AA$66)=0,"",IF(('Dvd Calendar'!$AA$66&gt;=GRID_FROM)*('Dvd Calendar'!$AA$66&lt;=GRID_TO)*((('Dvd Calendar'!$AA$66&lt;=VAL_DATE)+(COUNTIF('Dvd Calendar'!$E$73:$AR$73,'Dvd Calendar'!$AA$66)=0))&gt;0)=0,"",'Dvd Calendar'!$AA$66*1000000000+ISNUMBER('Dvd Calendar'!$AA$69)*100000000+('Dvd Calendar'!$AA$71=SPECIAL_LBL)*10000000+(N('Dvd Calendar'!$AA$65)&gt;0)*(N('Dvd Calendar'!$AA$65)&lt;=VAL_SERIAL)*1000000+6*1000+23))</f>
        <v/>
      </c>
      <c r="FB17" s="39">
        <f>IF(N('Dvd Calendar'!$AB$66)=0,"",IF(('Dvd Calendar'!$AB$66&gt;=GRID_FROM)*('Dvd Calendar'!$AB$66&lt;=GRID_TO)*((('Dvd Calendar'!$AB$66&lt;=VAL_DATE)+(COUNTIF('Dvd Calendar'!$E$73:$AR$73,'Dvd Calendar'!$AB$66)=0))&gt;0)=0,"",'Dvd Calendar'!$AB$66*1000000000+ISNUMBER('Dvd Calendar'!$AB$69)*100000000+('Dvd Calendar'!$AB$71=SPECIAL_LBL)*10000000+(N('Dvd Calendar'!$AB$65)&gt;0)*(N('Dvd Calendar'!$AB$65)&lt;=VAL_SERIAL)*1000000+6*1000+24))</f>
        <v/>
      </c>
      <c r="FC17" s="39">
        <f>IF(N('Dvd Calendar'!$AC$66)=0,"",IF(('Dvd Calendar'!$AC$66&gt;=GRID_FROM)*('Dvd Calendar'!$AC$66&lt;=GRID_TO)*((('Dvd Calendar'!$AC$66&lt;=VAL_DATE)+(COUNTIF('Dvd Calendar'!$E$73:$AR$73,'Dvd Calendar'!$AC$66)=0))&gt;0)=0,"",'Dvd Calendar'!$AC$66*1000000000+ISNUMBER('Dvd Calendar'!$AC$69)*100000000+('Dvd Calendar'!$AC$71=SPECIAL_LBL)*10000000+(N('Dvd Calendar'!$AC$65)&gt;0)*(N('Dvd Calendar'!$AC$65)&lt;=VAL_SERIAL)*1000000+6*1000+25))</f>
        <v/>
      </c>
      <c r="FD17" s="39">
        <f>IF(N('Dvd Calendar'!$AD$66)=0,"",IF(('Dvd Calendar'!$AD$66&gt;=GRID_FROM)*('Dvd Calendar'!$AD$66&lt;=GRID_TO)*((('Dvd Calendar'!$AD$66&lt;=VAL_DATE)+(COUNTIF('Dvd Calendar'!$E$73:$AR$73,'Dvd Calendar'!$AD$66)=0))&gt;0)=0,"",'Dvd Calendar'!$AD$66*1000000000+ISNUMBER('Dvd Calendar'!$AD$69)*100000000+('Dvd Calendar'!$AD$71=SPECIAL_LBL)*10000000+(N('Dvd Calendar'!$AD$65)&gt;0)*(N('Dvd Calendar'!$AD$65)&lt;=VAL_SERIAL)*1000000+6*1000+26))</f>
        <v/>
      </c>
      <c r="FE17" s="39">
        <f>IF(N('Dvd Calendar'!$AE$66)=0,"",IF(('Dvd Calendar'!$AE$66&gt;=GRID_FROM)*('Dvd Calendar'!$AE$66&lt;=GRID_TO)*((('Dvd Calendar'!$AE$66&lt;=VAL_DATE)+(COUNTIF('Dvd Calendar'!$E$73:$AR$73,'Dvd Calendar'!$AE$66)=0))&gt;0)=0,"",'Dvd Calendar'!$AE$66*1000000000+ISNUMBER('Dvd Calendar'!$AE$69)*100000000+('Dvd Calendar'!$AE$71=SPECIAL_LBL)*10000000+(N('Dvd Calendar'!$AE$65)&gt;0)*(N('Dvd Calendar'!$AE$65)&lt;=VAL_SERIAL)*1000000+6*1000+27))</f>
        <v/>
      </c>
      <c r="FF17" s="39">
        <f>IF(N('Dvd Calendar'!$AF$66)=0,"",IF(('Dvd Calendar'!$AF$66&gt;=GRID_FROM)*('Dvd Calendar'!$AF$66&lt;=GRID_TO)*((('Dvd Calendar'!$AF$66&lt;=VAL_DATE)+(COUNTIF('Dvd Calendar'!$E$73:$AR$73,'Dvd Calendar'!$AF$66)=0))&gt;0)=0,"",'Dvd Calendar'!$AF$66*1000000000+ISNUMBER('Dvd Calendar'!$AF$69)*100000000+('Dvd Calendar'!$AF$71=SPECIAL_LBL)*10000000+(N('Dvd Calendar'!$AF$65)&gt;0)*(N('Dvd Calendar'!$AF$65)&lt;=VAL_SERIAL)*1000000+6*1000+28))</f>
        <v/>
      </c>
      <c r="FG17" s="39">
        <f>IF(N('Dvd Calendar'!$AG$66)=0,"",IF(('Dvd Calendar'!$AG$66&gt;=GRID_FROM)*('Dvd Calendar'!$AG$66&lt;=GRID_TO)*((('Dvd Calendar'!$AG$66&lt;=VAL_DATE)+(COUNTIF('Dvd Calendar'!$E$73:$AR$73,'Dvd Calendar'!$AG$66)=0))&gt;0)=0,"",'Dvd Calendar'!$AG$66*1000000000+ISNUMBER('Dvd Calendar'!$AG$69)*100000000+('Dvd Calendar'!$AG$71=SPECIAL_LBL)*10000000+(N('Dvd Calendar'!$AG$65)&gt;0)*(N('Dvd Calendar'!$AG$65)&lt;=VAL_SERIAL)*1000000+6*1000+29))</f>
        <v/>
      </c>
      <c r="FH17" s="39">
        <f>IF(N('Dvd Calendar'!$AH$66)=0,"",IF(('Dvd Calendar'!$AH$66&gt;=GRID_FROM)*('Dvd Calendar'!$AH$66&lt;=GRID_TO)*((('Dvd Calendar'!$AH$66&lt;=VAL_DATE)+(COUNTIF('Dvd Calendar'!$E$73:$AR$73,'Dvd Calendar'!$AH$66)=0))&gt;0)=0,"",'Dvd Calendar'!$AH$66*1000000000+ISNUMBER('Dvd Calendar'!$AH$69)*100000000+('Dvd Calendar'!$AH$71=SPECIAL_LBL)*10000000+(N('Dvd Calendar'!$AH$65)&gt;0)*(N('Dvd Calendar'!$AH$65)&lt;=VAL_SERIAL)*1000000+6*1000+30))</f>
        <v/>
      </c>
      <c r="FI17" s="39">
        <f>IF(N('Dvd Calendar'!$AI$66)=0,"",IF(('Dvd Calendar'!$AI$66&gt;=GRID_FROM)*('Dvd Calendar'!$AI$66&lt;=GRID_TO)*((('Dvd Calendar'!$AI$66&lt;=VAL_DATE)+(COUNTIF('Dvd Calendar'!$E$73:$AR$73,'Dvd Calendar'!$AI$66)=0))&gt;0)=0,"",'Dvd Calendar'!$AI$66*1000000000+ISNUMBER('Dvd Calendar'!$AI$69)*100000000+('Dvd Calendar'!$AI$71=SPECIAL_LBL)*10000000+(N('Dvd Calendar'!$AI$65)&gt;0)*(N('Dvd Calendar'!$AI$65)&lt;=VAL_SERIAL)*1000000+6*1000+31))</f>
        <v/>
      </c>
      <c r="FJ17" s="39">
        <f>IF(N('Dvd Calendar'!$AJ$66)=0,"",IF(('Dvd Calendar'!$AJ$66&gt;=GRID_FROM)*('Dvd Calendar'!$AJ$66&lt;=GRID_TO)*((('Dvd Calendar'!$AJ$66&lt;=VAL_DATE)+(COUNTIF('Dvd Calendar'!$E$73:$AR$73,'Dvd Calendar'!$AJ$66)=0))&gt;0)=0,"",'Dvd Calendar'!$AJ$66*1000000000+ISNUMBER('Dvd Calendar'!$AJ$69)*100000000+('Dvd Calendar'!$AJ$71=SPECIAL_LBL)*10000000+(N('Dvd Calendar'!$AJ$65)&gt;0)*(N('Dvd Calendar'!$AJ$65)&lt;=VAL_SERIAL)*1000000+6*1000+32))</f>
        <v/>
      </c>
      <c r="FK17" s="39">
        <f>IF(N('Dvd Calendar'!$AK$66)=0,"",IF(('Dvd Calendar'!$AK$66&gt;=GRID_FROM)*('Dvd Calendar'!$AK$66&lt;=GRID_TO)*((('Dvd Calendar'!$AK$66&lt;=VAL_DATE)+(COUNTIF('Dvd Calendar'!$E$73:$AR$73,'Dvd Calendar'!$AK$66)=0))&gt;0)=0,"",'Dvd Calendar'!$AK$66*1000000000+ISNUMBER('Dvd Calendar'!$AK$69)*100000000+('Dvd Calendar'!$AK$71=SPECIAL_LBL)*10000000+(N('Dvd Calendar'!$AK$65)&gt;0)*(N('Dvd Calendar'!$AK$65)&lt;=VAL_SERIAL)*1000000+6*1000+33))</f>
        <v/>
      </c>
      <c r="FL17" s="39">
        <f>IF(N('Dvd Calendar'!$AL$66)=0,"",IF(('Dvd Calendar'!$AL$66&gt;=GRID_FROM)*('Dvd Calendar'!$AL$66&lt;=GRID_TO)*((('Dvd Calendar'!$AL$66&lt;=VAL_DATE)+(COUNTIF('Dvd Calendar'!$E$73:$AR$73,'Dvd Calendar'!$AL$66)=0))&gt;0)=0,"",'Dvd Calendar'!$AL$66*1000000000+ISNUMBER('Dvd Calendar'!$AL$69)*100000000+('Dvd Calendar'!$AL$71=SPECIAL_LBL)*10000000+(N('Dvd Calendar'!$AL$65)&gt;0)*(N('Dvd Calendar'!$AL$65)&lt;=VAL_SERIAL)*1000000+6*1000+34))</f>
        <v/>
      </c>
      <c r="FM17" s="39">
        <f>IF(N('Dvd Calendar'!$AM$66)=0,"",IF(('Dvd Calendar'!$AM$66&gt;=GRID_FROM)*('Dvd Calendar'!$AM$66&lt;=GRID_TO)*((('Dvd Calendar'!$AM$66&lt;=VAL_DATE)+(COUNTIF('Dvd Calendar'!$E$73:$AR$73,'Dvd Calendar'!$AM$66)=0))&gt;0)=0,"",'Dvd Calendar'!$AM$66*1000000000+ISNUMBER('Dvd Calendar'!$AM$69)*100000000+('Dvd Calendar'!$AM$71=SPECIAL_LBL)*10000000+(N('Dvd Calendar'!$AM$65)&gt;0)*(N('Dvd Calendar'!$AM$65)&lt;=VAL_SERIAL)*1000000+6*1000+35))</f>
        <v/>
      </c>
      <c r="FN17" s="39">
        <f>IF(N('Dvd Calendar'!$AN$66)=0,"",IF(('Dvd Calendar'!$AN$66&gt;=GRID_FROM)*('Dvd Calendar'!$AN$66&lt;=GRID_TO)*((('Dvd Calendar'!$AN$66&lt;=VAL_DATE)+(COUNTIF('Dvd Calendar'!$E$73:$AR$73,'Dvd Calendar'!$AN$66)=0))&gt;0)=0,"",'Dvd Calendar'!$AN$66*1000000000+ISNUMBER('Dvd Calendar'!$AN$69)*100000000+('Dvd Calendar'!$AN$71=SPECIAL_LBL)*10000000+(N('Dvd Calendar'!$AN$65)&gt;0)*(N('Dvd Calendar'!$AN$65)&lt;=VAL_SERIAL)*1000000+6*1000+36))</f>
        <v/>
      </c>
      <c r="FO17" s="39">
        <f>IF(N('Dvd Calendar'!$AO$66)=0,"",IF(('Dvd Calendar'!$AO$66&gt;=GRID_FROM)*('Dvd Calendar'!$AO$66&lt;=GRID_TO)*((('Dvd Calendar'!$AO$66&lt;=VAL_DATE)+(COUNTIF('Dvd Calendar'!$E$73:$AR$73,'Dvd Calendar'!$AO$66)=0))&gt;0)=0,"",'Dvd Calendar'!$AO$66*1000000000+ISNUMBER('Dvd Calendar'!$AO$69)*100000000+('Dvd Calendar'!$AO$71=SPECIAL_LBL)*10000000+(N('Dvd Calendar'!$AO$65)&gt;0)*(N('Dvd Calendar'!$AO$65)&lt;=VAL_SERIAL)*1000000+6*1000+37))</f>
        <v/>
      </c>
      <c r="FP17" s="39">
        <f>IF(N('Dvd Calendar'!$AP$66)=0,"",IF(('Dvd Calendar'!$AP$66&gt;=GRID_FROM)*('Dvd Calendar'!$AP$66&lt;=GRID_TO)*((('Dvd Calendar'!$AP$66&lt;=VAL_DATE)+(COUNTIF('Dvd Calendar'!$E$73:$AR$73,'Dvd Calendar'!$AP$66)=0))&gt;0)=0,"",'Dvd Calendar'!$AP$66*1000000000+ISNUMBER('Dvd Calendar'!$AP$69)*100000000+('Dvd Calendar'!$AP$71=SPECIAL_LBL)*10000000+(N('Dvd Calendar'!$AP$65)&gt;0)*(N('Dvd Calendar'!$AP$65)&lt;=VAL_SERIAL)*1000000+6*1000+38))</f>
        <v/>
      </c>
      <c r="FQ17" s="39">
        <f>IF(N('Dvd Calendar'!$AQ$66)=0,"",IF(('Dvd Calendar'!$AQ$66&gt;=GRID_FROM)*('Dvd Calendar'!$AQ$66&lt;=GRID_TO)*((('Dvd Calendar'!$AQ$66&lt;=VAL_DATE)+(COUNTIF('Dvd Calendar'!$E$73:$AR$73,'Dvd Calendar'!$AQ$66)=0))&gt;0)=0,"",'Dvd Calendar'!$AQ$66*1000000000+ISNUMBER('Dvd Calendar'!$AQ$69)*100000000+('Dvd Calendar'!$AQ$71=SPECIAL_LBL)*10000000+(N('Dvd Calendar'!$AQ$65)&gt;0)*(N('Dvd Calendar'!$AQ$65)&lt;=VAL_SERIAL)*1000000+6*1000+39))</f>
        <v/>
      </c>
      <c r="FR17" s="39">
        <f>IF(N('Dvd Calendar'!$AR$66)=0,"",IF(('Dvd Calendar'!$AR$66&gt;=GRID_FROM)*('Dvd Calendar'!$AR$66&lt;=GRID_TO)*((('Dvd Calendar'!$AR$66&lt;=VAL_DATE)+(COUNTIF('Dvd Calendar'!$E$73:$AR$73,'Dvd Calendar'!$AR$66)=0))&gt;0)=0,"",'Dvd Calendar'!$AR$66*1000000000+ISNUMBER('Dvd Calendar'!$AR$69)*100000000+('Dvd Calendar'!$AR$71=SPECIAL_LBL)*10000000+(N('Dvd Calendar'!$AR$65)&gt;0)*(N('Dvd Calendar'!$AR$65)&lt;=VAL_SERIAL)*1000000+6*1000+40))</f>
        <v/>
      </c>
      <c r="FS17" s="39">
        <f>IF(N('Dvd Calendar'!$E$73)=0,"",IF(('Dvd Calendar'!$E$73&gt;=GRID_FROM)*('Dvd Calendar'!$E$73&lt;=GRID_TO)*('Dvd Calendar'!$E$73&gt;VAL_DATE)=0,"",'Dvd Calendar'!$E$73*1000000000+ISNUMBER('Dvd Calendar'!$E$74)*100000000+0*10000000+(N('Dvd Calendar'!$E$72)&gt;0)*(N('Dvd Calendar'!$E$72)&lt;=VAL_SERIAL)*1000000+6*1000+41))</f>
        <v/>
      </c>
      <c r="FT17" s="39">
        <f>IF(N('Dvd Calendar'!$F$73)=0,"",IF(('Dvd Calendar'!$F$73&gt;=GRID_FROM)*('Dvd Calendar'!$F$73&lt;=GRID_TO)*('Dvd Calendar'!$F$73&gt;VAL_DATE)=0,"",'Dvd Calendar'!$F$73*1000000000+ISNUMBER('Dvd Calendar'!$F$74)*100000000+0*10000000+(N('Dvd Calendar'!$F$72)&gt;0)*(N('Dvd Calendar'!$F$72)&lt;=VAL_SERIAL)*1000000+6*1000+42))</f>
        <v/>
      </c>
      <c r="FU17" s="39">
        <f>IF(N('Dvd Calendar'!$G$73)=0,"",IF(('Dvd Calendar'!$G$73&gt;=GRID_FROM)*('Dvd Calendar'!$G$73&lt;=GRID_TO)*('Dvd Calendar'!$G$73&gt;VAL_DATE)=0,"",'Dvd Calendar'!$G$73*1000000000+ISNUMBER('Dvd Calendar'!$G$74)*100000000+0*10000000+(N('Dvd Calendar'!$G$72)&gt;0)*(N('Dvd Calendar'!$G$72)&lt;=VAL_SERIAL)*1000000+6*1000+43))</f>
        <v/>
      </c>
      <c r="FV17" s="39">
        <f>IF(N('Dvd Calendar'!$H$73)=0,"",IF(('Dvd Calendar'!$H$73&gt;=GRID_FROM)*('Dvd Calendar'!$H$73&lt;=GRID_TO)*('Dvd Calendar'!$H$73&gt;VAL_DATE)=0,"",'Dvd Calendar'!$H$73*1000000000+ISNUMBER('Dvd Calendar'!$H$74)*100000000+0*10000000+(N('Dvd Calendar'!$H$72)&gt;0)*(N('Dvd Calendar'!$H$72)&lt;=VAL_SERIAL)*1000000+6*1000+44))</f>
        <v/>
      </c>
      <c r="FW17" s="39">
        <f>IF(N('Dvd Calendar'!$I$73)=0,"",IF(('Dvd Calendar'!$I$73&gt;=GRID_FROM)*('Dvd Calendar'!$I$73&lt;=GRID_TO)*('Dvd Calendar'!$I$73&gt;VAL_DATE)=0,"",'Dvd Calendar'!$I$73*1000000000+ISNUMBER('Dvd Calendar'!$I$74)*100000000+0*10000000+(N('Dvd Calendar'!$I$72)&gt;0)*(N('Dvd Calendar'!$I$72)&lt;=VAL_SERIAL)*1000000+6*1000+45))</f>
        <v/>
      </c>
      <c r="FX17" s="39">
        <f>IF(N('Dvd Calendar'!$J$73)=0,"",IF(('Dvd Calendar'!$J$73&gt;=GRID_FROM)*('Dvd Calendar'!$J$73&lt;=GRID_TO)*('Dvd Calendar'!$J$73&gt;VAL_DATE)=0,"",'Dvd Calendar'!$J$73*1000000000+ISNUMBER('Dvd Calendar'!$J$74)*100000000+0*10000000+(N('Dvd Calendar'!$J$72)&gt;0)*(N('Dvd Calendar'!$J$72)&lt;=VAL_SERIAL)*1000000+6*1000+46))</f>
        <v/>
      </c>
      <c r="FY17" s="39">
        <f>IF(N('Dvd Calendar'!$K$73)=0,"",IF(('Dvd Calendar'!$K$73&gt;=GRID_FROM)*('Dvd Calendar'!$K$73&lt;=GRID_TO)*('Dvd Calendar'!$K$73&gt;VAL_DATE)=0,"",'Dvd Calendar'!$K$73*1000000000+ISNUMBER('Dvd Calendar'!$K$74)*100000000+0*10000000+(N('Dvd Calendar'!$K$72)&gt;0)*(N('Dvd Calendar'!$K$72)&lt;=VAL_SERIAL)*1000000+6*1000+47))</f>
        <v/>
      </c>
      <c r="FZ17" s="39">
        <f>IF(N('Dvd Calendar'!$L$73)=0,"",IF(('Dvd Calendar'!$L$73&gt;=GRID_FROM)*('Dvd Calendar'!$L$73&lt;=GRID_TO)*('Dvd Calendar'!$L$73&gt;VAL_DATE)=0,"",'Dvd Calendar'!$L$73*1000000000+ISNUMBER('Dvd Calendar'!$L$74)*100000000+0*10000000+(N('Dvd Calendar'!$L$72)&gt;0)*(N('Dvd Calendar'!$L$72)&lt;=VAL_SERIAL)*1000000+6*1000+48))</f>
        <v/>
      </c>
      <c r="GA17" s="39">
        <f>IF(N('Dvd Calendar'!$M$73)=0,"",IF(('Dvd Calendar'!$M$73&gt;=GRID_FROM)*('Dvd Calendar'!$M$73&lt;=GRID_TO)*('Dvd Calendar'!$M$73&gt;VAL_DATE)=0,"",'Dvd Calendar'!$M$73*1000000000+ISNUMBER('Dvd Calendar'!$M$74)*100000000+0*10000000+(N('Dvd Calendar'!$M$72)&gt;0)*(N('Dvd Calendar'!$M$72)&lt;=VAL_SERIAL)*1000000+6*1000+49))</f>
        <v/>
      </c>
      <c r="GB17" s="39">
        <f>IF(N('Dvd Calendar'!$N$73)=0,"",IF(('Dvd Calendar'!$N$73&gt;=GRID_FROM)*('Dvd Calendar'!$N$73&lt;=GRID_TO)*('Dvd Calendar'!$N$73&gt;VAL_DATE)=0,"",'Dvd Calendar'!$N$73*1000000000+ISNUMBER('Dvd Calendar'!$N$74)*100000000+0*10000000+(N('Dvd Calendar'!$N$72)&gt;0)*(N('Dvd Calendar'!$N$72)&lt;=VAL_SERIAL)*1000000+6*1000+50))</f>
        <v/>
      </c>
      <c r="GC17" s="39">
        <f>IF(N('Dvd Calendar'!$O$73)=0,"",IF(('Dvd Calendar'!$O$73&gt;=GRID_FROM)*('Dvd Calendar'!$O$73&lt;=GRID_TO)*('Dvd Calendar'!$O$73&gt;VAL_DATE)=0,"",'Dvd Calendar'!$O$73*1000000000+ISNUMBER('Dvd Calendar'!$O$74)*100000000+0*10000000+(N('Dvd Calendar'!$O$72)&gt;0)*(N('Dvd Calendar'!$O$72)&lt;=VAL_SERIAL)*1000000+6*1000+51))</f>
        <v/>
      </c>
      <c r="GD17" s="39">
        <f>IF(N('Dvd Calendar'!$P$73)=0,"",IF(('Dvd Calendar'!$P$73&gt;=GRID_FROM)*('Dvd Calendar'!$P$73&lt;=GRID_TO)*('Dvd Calendar'!$P$73&gt;VAL_DATE)=0,"",'Dvd Calendar'!$P$73*1000000000+ISNUMBER('Dvd Calendar'!$P$74)*100000000+0*10000000+(N('Dvd Calendar'!$P$72)&gt;0)*(N('Dvd Calendar'!$P$72)&lt;=VAL_SERIAL)*1000000+6*1000+52))</f>
        <v/>
      </c>
      <c r="GE17" s="39">
        <f>IF(N('Dvd Calendar'!$Q$73)=0,"",IF(('Dvd Calendar'!$Q$73&gt;=GRID_FROM)*('Dvd Calendar'!$Q$73&lt;=GRID_TO)*('Dvd Calendar'!$Q$73&gt;VAL_DATE)=0,"",'Dvd Calendar'!$Q$73*1000000000+ISNUMBER('Dvd Calendar'!$Q$74)*100000000+0*10000000+(N('Dvd Calendar'!$Q$72)&gt;0)*(N('Dvd Calendar'!$Q$72)&lt;=VAL_SERIAL)*1000000+6*1000+53))</f>
        <v/>
      </c>
      <c r="GF17" s="39">
        <f>IF(N('Dvd Calendar'!$R$73)=0,"",IF(('Dvd Calendar'!$R$73&gt;=GRID_FROM)*('Dvd Calendar'!$R$73&lt;=GRID_TO)*('Dvd Calendar'!$R$73&gt;VAL_DATE)=0,"",'Dvd Calendar'!$R$73*1000000000+ISNUMBER('Dvd Calendar'!$R$74)*100000000+0*10000000+(N('Dvd Calendar'!$R$72)&gt;0)*(N('Dvd Calendar'!$R$72)&lt;=VAL_SERIAL)*1000000+6*1000+54))</f>
        <v/>
      </c>
      <c r="GG17" s="39">
        <f>IF(N('Dvd Calendar'!$S$73)=0,"",IF(('Dvd Calendar'!$S$73&gt;=GRID_FROM)*('Dvd Calendar'!$S$73&lt;=GRID_TO)*('Dvd Calendar'!$S$73&gt;VAL_DATE)=0,"",'Dvd Calendar'!$S$73*1000000000+ISNUMBER('Dvd Calendar'!$S$74)*100000000+0*10000000+(N('Dvd Calendar'!$S$72)&gt;0)*(N('Dvd Calendar'!$S$72)&lt;=VAL_SERIAL)*1000000+6*1000+55))</f>
        <v/>
      </c>
      <c r="GH17" s="39">
        <f>IF(N('Dvd Calendar'!$T$73)=0,"",IF(('Dvd Calendar'!$T$73&gt;=GRID_FROM)*('Dvd Calendar'!$T$73&lt;=GRID_TO)*('Dvd Calendar'!$T$73&gt;VAL_DATE)=0,"",'Dvd Calendar'!$T$73*1000000000+ISNUMBER('Dvd Calendar'!$T$74)*100000000+0*10000000+(N('Dvd Calendar'!$T$72)&gt;0)*(N('Dvd Calendar'!$T$72)&lt;=VAL_SERIAL)*1000000+6*1000+56))</f>
        <v/>
      </c>
      <c r="GI17" s="39">
        <f>IF(N('Dvd Calendar'!$U$73)=0,"",IF(('Dvd Calendar'!$U$73&gt;=GRID_FROM)*('Dvd Calendar'!$U$73&lt;=GRID_TO)*('Dvd Calendar'!$U$73&gt;VAL_DATE)=0,"",'Dvd Calendar'!$U$73*1000000000+ISNUMBER('Dvd Calendar'!$U$74)*100000000+0*10000000+(N('Dvd Calendar'!$U$72)&gt;0)*(N('Dvd Calendar'!$U$72)&lt;=VAL_SERIAL)*1000000+6*1000+57))</f>
        <v/>
      </c>
      <c r="GJ17" s="39">
        <f>IF(N('Dvd Calendar'!$V$73)=0,"",IF(('Dvd Calendar'!$V$73&gt;=GRID_FROM)*('Dvd Calendar'!$V$73&lt;=GRID_TO)*('Dvd Calendar'!$V$73&gt;VAL_DATE)=0,"",'Dvd Calendar'!$V$73*1000000000+ISNUMBER('Dvd Calendar'!$V$74)*100000000+0*10000000+(N('Dvd Calendar'!$V$72)&gt;0)*(N('Dvd Calendar'!$V$72)&lt;=VAL_SERIAL)*1000000+6*1000+58))</f>
        <v/>
      </c>
      <c r="GK17" s="39">
        <f>IF(N('Dvd Calendar'!$W$73)=0,"",IF(('Dvd Calendar'!$W$73&gt;=GRID_FROM)*('Dvd Calendar'!$W$73&lt;=GRID_TO)*('Dvd Calendar'!$W$73&gt;VAL_DATE)=0,"",'Dvd Calendar'!$W$73*1000000000+ISNUMBER('Dvd Calendar'!$W$74)*100000000+0*10000000+(N('Dvd Calendar'!$W$72)&gt;0)*(N('Dvd Calendar'!$W$72)&lt;=VAL_SERIAL)*1000000+6*1000+59))</f>
        <v/>
      </c>
      <c r="GL17" s="39">
        <f>IF(N('Dvd Calendar'!$X$73)=0,"",IF(('Dvd Calendar'!$X$73&gt;=GRID_FROM)*('Dvd Calendar'!$X$73&lt;=GRID_TO)*('Dvd Calendar'!$X$73&gt;VAL_DATE)=0,"",'Dvd Calendar'!$X$73*1000000000+ISNUMBER('Dvd Calendar'!$X$74)*100000000+0*10000000+(N('Dvd Calendar'!$X$72)&gt;0)*(N('Dvd Calendar'!$X$72)&lt;=VAL_SERIAL)*1000000+6*1000+60))</f>
        <v/>
      </c>
      <c r="GM17" s="39">
        <f>IF(N('Dvd Calendar'!$Y$73)=0,"",IF(('Dvd Calendar'!$Y$73&gt;=GRID_FROM)*('Dvd Calendar'!$Y$73&lt;=GRID_TO)*('Dvd Calendar'!$Y$73&gt;VAL_DATE)=0,"",'Dvd Calendar'!$Y$73*1000000000+ISNUMBER('Dvd Calendar'!$Y$74)*100000000+0*10000000+(N('Dvd Calendar'!$Y$72)&gt;0)*(N('Dvd Calendar'!$Y$72)&lt;=VAL_SERIAL)*1000000+6*1000+61))</f>
        <v/>
      </c>
      <c r="GN17" s="39">
        <f>IF(N('Dvd Calendar'!$Z$73)=0,"",IF(('Dvd Calendar'!$Z$73&gt;=GRID_FROM)*('Dvd Calendar'!$Z$73&lt;=GRID_TO)*('Dvd Calendar'!$Z$73&gt;VAL_DATE)=0,"",'Dvd Calendar'!$Z$73*1000000000+ISNUMBER('Dvd Calendar'!$Z$74)*100000000+0*10000000+(N('Dvd Calendar'!$Z$72)&gt;0)*(N('Dvd Calendar'!$Z$72)&lt;=VAL_SERIAL)*1000000+6*1000+62))</f>
        <v/>
      </c>
      <c r="GO17" s="39">
        <f>IF(N('Dvd Calendar'!$AA$73)=0,"",IF(('Dvd Calendar'!$AA$73&gt;=GRID_FROM)*('Dvd Calendar'!$AA$73&lt;=GRID_TO)*('Dvd Calendar'!$AA$73&gt;VAL_DATE)=0,"",'Dvd Calendar'!$AA$73*1000000000+ISNUMBER('Dvd Calendar'!$AA$74)*100000000+0*10000000+(N('Dvd Calendar'!$AA$72)&gt;0)*(N('Dvd Calendar'!$AA$72)&lt;=VAL_SERIAL)*1000000+6*1000+63))</f>
        <v/>
      </c>
      <c r="GP17" s="39">
        <f>IF(N('Dvd Calendar'!$AB$73)=0,"",IF(('Dvd Calendar'!$AB$73&gt;=GRID_FROM)*('Dvd Calendar'!$AB$73&lt;=GRID_TO)*('Dvd Calendar'!$AB$73&gt;VAL_DATE)=0,"",'Dvd Calendar'!$AB$73*1000000000+ISNUMBER('Dvd Calendar'!$AB$74)*100000000+0*10000000+(N('Dvd Calendar'!$AB$72)&gt;0)*(N('Dvd Calendar'!$AB$72)&lt;=VAL_SERIAL)*1000000+6*1000+64))</f>
        <v/>
      </c>
      <c r="GQ17" s="39">
        <f>IF(N('Dvd Calendar'!$AC$73)=0,"",IF(('Dvd Calendar'!$AC$73&gt;=GRID_FROM)*('Dvd Calendar'!$AC$73&lt;=GRID_TO)*('Dvd Calendar'!$AC$73&gt;VAL_DATE)=0,"",'Dvd Calendar'!$AC$73*1000000000+ISNUMBER('Dvd Calendar'!$AC$74)*100000000+0*10000000+(N('Dvd Calendar'!$AC$72)&gt;0)*(N('Dvd Calendar'!$AC$72)&lt;=VAL_SERIAL)*1000000+6*1000+65))</f>
        <v/>
      </c>
    </row>
    <row r="18">
      <c r="B18" s="2">
        <f>IF(HSI!$C$13="","",HSI!$C$13)</f>
        <v/>
      </c>
      <c r="C18" s="110">
        <f>IF(EE18="","",IF(ISNUMBER('Dvd Calendar'!$E$80)=FALSE,"",IF((('Dvd Calendar'!$E$82=TYPE1)*(TYPE1&lt;&gt;"")+('Dvd Calendar'!$E$82=TYPE2)*(TYPE2&lt;&gt;"")+('Dvd Calendar'!$E$82=TYPE3)*(TYPE3&lt;&gt;"")+('Dvd Calendar'!$E$82=TYPE4)*(TYPE4&lt;&gt;"")+('Dvd Calendar'!$E$82=SPECIAL_LBL)*(INC_SPECIALS="Y"))=0,"",'Dvd Calendar'!$E$80)))</f>
        <v/>
      </c>
      <c r="D18" s="110">
        <f>IF(EF18="","",IF(ISNUMBER('Dvd Calendar'!$F$80)=FALSE,"",IF((('Dvd Calendar'!$F$82=TYPE1)*(TYPE1&lt;&gt;"")+('Dvd Calendar'!$F$82=TYPE2)*(TYPE2&lt;&gt;"")+('Dvd Calendar'!$F$82=TYPE3)*(TYPE3&lt;&gt;"")+('Dvd Calendar'!$F$82=TYPE4)*(TYPE4&lt;&gt;"")+('Dvd Calendar'!$F$82=SPECIAL_LBL)*(INC_SPECIALS="Y"))=0,"",'Dvd Calendar'!$F$80)))</f>
        <v/>
      </c>
      <c r="E18" s="110">
        <f>IF(EG18="","",IF(ISNUMBER('Dvd Calendar'!$G$80)=FALSE,"",IF((('Dvd Calendar'!$G$82=TYPE1)*(TYPE1&lt;&gt;"")+('Dvd Calendar'!$G$82=TYPE2)*(TYPE2&lt;&gt;"")+('Dvd Calendar'!$G$82=TYPE3)*(TYPE3&lt;&gt;"")+('Dvd Calendar'!$G$82=TYPE4)*(TYPE4&lt;&gt;"")+('Dvd Calendar'!$G$82=SPECIAL_LBL)*(INC_SPECIALS="Y"))=0,"",'Dvd Calendar'!$G$80)))</f>
        <v/>
      </c>
      <c r="F18" s="110">
        <f>IF(EH18="","",IF(ISNUMBER('Dvd Calendar'!$H$80)=FALSE,"",IF((('Dvd Calendar'!$H$82=TYPE1)*(TYPE1&lt;&gt;"")+('Dvd Calendar'!$H$82=TYPE2)*(TYPE2&lt;&gt;"")+('Dvd Calendar'!$H$82=TYPE3)*(TYPE3&lt;&gt;"")+('Dvd Calendar'!$H$82=TYPE4)*(TYPE4&lt;&gt;"")+('Dvd Calendar'!$H$82=SPECIAL_LBL)*(INC_SPECIALS="Y"))=0,"",'Dvd Calendar'!$H$80)))</f>
        <v/>
      </c>
      <c r="G18" s="110">
        <f>IF(EI18="","",IF(ISNUMBER('Dvd Calendar'!$I$80)=FALSE,"",IF((('Dvd Calendar'!$I$82=TYPE1)*(TYPE1&lt;&gt;"")+('Dvd Calendar'!$I$82=TYPE2)*(TYPE2&lt;&gt;"")+('Dvd Calendar'!$I$82=TYPE3)*(TYPE3&lt;&gt;"")+('Dvd Calendar'!$I$82=TYPE4)*(TYPE4&lt;&gt;"")+('Dvd Calendar'!$I$82=SPECIAL_LBL)*(INC_SPECIALS="Y"))=0,"",'Dvd Calendar'!$I$80)))</f>
        <v/>
      </c>
      <c r="H18" s="110">
        <f>IF(EJ18="","",IF(ISNUMBER('Dvd Calendar'!$J$80)=FALSE,"",IF((('Dvd Calendar'!$J$82=TYPE1)*(TYPE1&lt;&gt;"")+('Dvd Calendar'!$J$82=TYPE2)*(TYPE2&lt;&gt;"")+('Dvd Calendar'!$J$82=TYPE3)*(TYPE3&lt;&gt;"")+('Dvd Calendar'!$J$82=TYPE4)*(TYPE4&lt;&gt;"")+('Dvd Calendar'!$J$82=SPECIAL_LBL)*(INC_SPECIALS="Y"))=0,"",'Dvd Calendar'!$J$80)))</f>
        <v/>
      </c>
      <c r="I18" s="110">
        <f>IF(EK18="","",IF(ISNUMBER('Dvd Calendar'!$K$80)=FALSE,"",IF((('Dvd Calendar'!$K$82=TYPE1)*(TYPE1&lt;&gt;"")+('Dvd Calendar'!$K$82=TYPE2)*(TYPE2&lt;&gt;"")+('Dvd Calendar'!$K$82=TYPE3)*(TYPE3&lt;&gt;"")+('Dvd Calendar'!$K$82=TYPE4)*(TYPE4&lt;&gt;"")+('Dvd Calendar'!$K$82=SPECIAL_LBL)*(INC_SPECIALS="Y"))=0,"",'Dvd Calendar'!$K$80)))</f>
        <v/>
      </c>
      <c r="J18" s="110">
        <f>IF(EL18="","",IF(ISNUMBER('Dvd Calendar'!$L$80)=FALSE,"",IF((('Dvd Calendar'!$L$82=TYPE1)*(TYPE1&lt;&gt;"")+('Dvd Calendar'!$L$82=TYPE2)*(TYPE2&lt;&gt;"")+('Dvd Calendar'!$L$82=TYPE3)*(TYPE3&lt;&gt;"")+('Dvd Calendar'!$L$82=TYPE4)*(TYPE4&lt;&gt;"")+('Dvd Calendar'!$L$82=SPECIAL_LBL)*(INC_SPECIALS="Y"))=0,"",'Dvd Calendar'!$L$80)))</f>
        <v/>
      </c>
      <c r="K18" s="110">
        <f>IF(EM18="","",IF(ISNUMBER('Dvd Calendar'!$M$80)=FALSE,"",IF((('Dvd Calendar'!$M$82=TYPE1)*(TYPE1&lt;&gt;"")+('Dvd Calendar'!$M$82=TYPE2)*(TYPE2&lt;&gt;"")+('Dvd Calendar'!$M$82=TYPE3)*(TYPE3&lt;&gt;"")+('Dvd Calendar'!$M$82=TYPE4)*(TYPE4&lt;&gt;"")+('Dvd Calendar'!$M$82=SPECIAL_LBL)*(INC_SPECIALS="Y"))=0,"",'Dvd Calendar'!$M$80)))</f>
        <v/>
      </c>
      <c r="L18" s="110">
        <f>IF(EN18="","",IF(ISNUMBER('Dvd Calendar'!$N$80)=FALSE,"",IF((('Dvd Calendar'!$N$82=TYPE1)*(TYPE1&lt;&gt;"")+('Dvd Calendar'!$N$82=TYPE2)*(TYPE2&lt;&gt;"")+('Dvd Calendar'!$N$82=TYPE3)*(TYPE3&lt;&gt;"")+('Dvd Calendar'!$N$82=TYPE4)*(TYPE4&lt;&gt;"")+('Dvd Calendar'!$N$82=SPECIAL_LBL)*(INC_SPECIALS="Y"))=0,"",'Dvd Calendar'!$N$80)))</f>
        <v/>
      </c>
      <c r="M18" s="110">
        <f>IF(EO18="","",IF(ISNUMBER('Dvd Calendar'!$O$80)=FALSE,"",IF((('Dvd Calendar'!$O$82=TYPE1)*(TYPE1&lt;&gt;"")+('Dvd Calendar'!$O$82=TYPE2)*(TYPE2&lt;&gt;"")+('Dvd Calendar'!$O$82=TYPE3)*(TYPE3&lt;&gt;"")+('Dvd Calendar'!$O$82=TYPE4)*(TYPE4&lt;&gt;"")+('Dvd Calendar'!$O$82=SPECIAL_LBL)*(INC_SPECIALS="Y"))=0,"",'Dvd Calendar'!$O$80)))</f>
        <v/>
      </c>
      <c r="N18" s="110">
        <f>IF(EP18="","",IF(ISNUMBER('Dvd Calendar'!$P$80)=FALSE,"",IF((('Dvd Calendar'!$P$82=TYPE1)*(TYPE1&lt;&gt;"")+('Dvd Calendar'!$P$82=TYPE2)*(TYPE2&lt;&gt;"")+('Dvd Calendar'!$P$82=TYPE3)*(TYPE3&lt;&gt;"")+('Dvd Calendar'!$P$82=TYPE4)*(TYPE4&lt;&gt;"")+('Dvd Calendar'!$P$82=SPECIAL_LBL)*(INC_SPECIALS="Y"))=0,"",'Dvd Calendar'!$P$80)))</f>
        <v/>
      </c>
      <c r="O18" s="110">
        <f>IF(EQ18="","",IF(ISNUMBER('Dvd Calendar'!$Q$80)=FALSE,"",IF((('Dvd Calendar'!$Q$82=TYPE1)*(TYPE1&lt;&gt;"")+('Dvd Calendar'!$Q$82=TYPE2)*(TYPE2&lt;&gt;"")+('Dvd Calendar'!$Q$82=TYPE3)*(TYPE3&lt;&gt;"")+('Dvd Calendar'!$Q$82=TYPE4)*(TYPE4&lt;&gt;"")+('Dvd Calendar'!$Q$82=SPECIAL_LBL)*(INC_SPECIALS="Y"))=0,"",'Dvd Calendar'!$Q$80)))</f>
        <v/>
      </c>
      <c r="P18" s="110">
        <f>IF(ER18="","",IF(ISNUMBER('Dvd Calendar'!$R$80)=FALSE,"",IF((('Dvd Calendar'!$R$82=TYPE1)*(TYPE1&lt;&gt;"")+('Dvd Calendar'!$R$82=TYPE2)*(TYPE2&lt;&gt;"")+('Dvd Calendar'!$R$82=TYPE3)*(TYPE3&lt;&gt;"")+('Dvd Calendar'!$R$82=TYPE4)*(TYPE4&lt;&gt;"")+('Dvd Calendar'!$R$82=SPECIAL_LBL)*(INC_SPECIALS="Y"))=0,"",'Dvd Calendar'!$R$80)))</f>
        <v/>
      </c>
      <c r="Q18" s="110">
        <f>IF(ES18="","",IF(ISNUMBER('Dvd Calendar'!$S$80)=FALSE,"",IF((('Dvd Calendar'!$S$82=TYPE1)*(TYPE1&lt;&gt;"")+('Dvd Calendar'!$S$82=TYPE2)*(TYPE2&lt;&gt;"")+('Dvd Calendar'!$S$82=TYPE3)*(TYPE3&lt;&gt;"")+('Dvd Calendar'!$S$82=TYPE4)*(TYPE4&lt;&gt;"")+('Dvd Calendar'!$S$82=SPECIAL_LBL)*(INC_SPECIALS="Y"))=0,"",'Dvd Calendar'!$S$80)))</f>
        <v/>
      </c>
      <c r="R18" s="110">
        <f>IF(ET18="","",IF(ISNUMBER('Dvd Calendar'!$T$80)=FALSE,"",IF((('Dvd Calendar'!$T$82=TYPE1)*(TYPE1&lt;&gt;"")+('Dvd Calendar'!$T$82=TYPE2)*(TYPE2&lt;&gt;"")+('Dvd Calendar'!$T$82=TYPE3)*(TYPE3&lt;&gt;"")+('Dvd Calendar'!$T$82=TYPE4)*(TYPE4&lt;&gt;"")+('Dvd Calendar'!$T$82=SPECIAL_LBL)*(INC_SPECIALS="Y"))=0,"",'Dvd Calendar'!$T$80)))</f>
        <v/>
      </c>
      <c r="S18" s="110">
        <f>IF(EU18="","",IF(ISNUMBER('Dvd Calendar'!$U$80)=FALSE,"",IF((('Dvd Calendar'!$U$82=TYPE1)*(TYPE1&lt;&gt;"")+('Dvd Calendar'!$U$82=TYPE2)*(TYPE2&lt;&gt;"")+('Dvd Calendar'!$U$82=TYPE3)*(TYPE3&lt;&gt;"")+('Dvd Calendar'!$U$82=TYPE4)*(TYPE4&lt;&gt;"")+('Dvd Calendar'!$U$82=SPECIAL_LBL)*(INC_SPECIALS="Y"))=0,"",'Dvd Calendar'!$U$80)))</f>
        <v/>
      </c>
      <c r="T18" s="110">
        <f>IF(EV18="","",IF(ISNUMBER('Dvd Calendar'!$V$80)=FALSE,"",IF((('Dvd Calendar'!$V$82=TYPE1)*(TYPE1&lt;&gt;"")+('Dvd Calendar'!$V$82=TYPE2)*(TYPE2&lt;&gt;"")+('Dvd Calendar'!$V$82=TYPE3)*(TYPE3&lt;&gt;"")+('Dvd Calendar'!$V$82=TYPE4)*(TYPE4&lt;&gt;"")+('Dvd Calendar'!$V$82=SPECIAL_LBL)*(INC_SPECIALS="Y"))=0,"",'Dvd Calendar'!$V$80)))</f>
        <v/>
      </c>
      <c r="U18" s="110">
        <f>IF(EW18="","",IF(ISNUMBER('Dvd Calendar'!$W$80)=FALSE,"",IF((('Dvd Calendar'!$W$82=TYPE1)*(TYPE1&lt;&gt;"")+('Dvd Calendar'!$W$82=TYPE2)*(TYPE2&lt;&gt;"")+('Dvd Calendar'!$W$82=TYPE3)*(TYPE3&lt;&gt;"")+('Dvd Calendar'!$W$82=TYPE4)*(TYPE4&lt;&gt;"")+('Dvd Calendar'!$W$82=SPECIAL_LBL)*(INC_SPECIALS="Y"))=0,"",'Dvd Calendar'!$W$80)))</f>
        <v/>
      </c>
      <c r="V18" s="110">
        <f>IF(EX18="","",IF(ISNUMBER('Dvd Calendar'!$X$80)=FALSE,"",IF((('Dvd Calendar'!$X$82=TYPE1)*(TYPE1&lt;&gt;"")+('Dvd Calendar'!$X$82=TYPE2)*(TYPE2&lt;&gt;"")+('Dvd Calendar'!$X$82=TYPE3)*(TYPE3&lt;&gt;"")+('Dvd Calendar'!$X$82=TYPE4)*(TYPE4&lt;&gt;"")+('Dvd Calendar'!$X$82=SPECIAL_LBL)*(INC_SPECIALS="Y"))=0,"",'Dvd Calendar'!$X$80)))</f>
        <v/>
      </c>
      <c r="W18" s="110">
        <f>IF(EY18="","",IF(ISNUMBER('Dvd Calendar'!$Y$80)=FALSE,"",IF((('Dvd Calendar'!$Y$82=TYPE1)*(TYPE1&lt;&gt;"")+('Dvd Calendar'!$Y$82=TYPE2)*(TYPE2&lt;&gt;"")+('Dvd Calendar'!$Y$82=TYPE3)*(TYPE3&lt;&gt;"")+('Dvd Calendar'!$Y$82=TYPE4)*(TYPE4&lt;&gt;"")+('Dvd Calendar'!$Y$82=SPECIAL_LBL)*(INC_SPECIALS="Y"))=0,"",'Dvd Calendar'!$Y$80)))</f>
        <v/>
      </c>
      <c r="X18" s="110">
        <f>IF(EZ18="","",IF(ISNUMBER('Dvd Calendar'!$Z$80)=FALSE,"",IF((('Dvd Calendar'!$Z$82=TYPE1)*(TYPE1&lt;&gt;"")+('Dvd Calendar'!$Z$82=TYPE2)*(TYPE2&lt;&gt;"")+('Dvd Calendar'!$Z$82=TYPE3)*(TYPE3&lt;&gt;"")+('Dvd Calendar'!$Z$82=TYPE4)*(TYPE4&lt;&gt;"")+('Dvd Calendar'!$Z$82=SPECIAL_LBL)*(INC_SPECIALS="Y"))=0,"",'Dvd Calendar'!$Z$80)))</f>
        <v/>
      </c>
      <c r="Y18" s="110">
        <f>IF(FA18="","",IF(ISNUMBER('Dvd Calendar'!$AA$80)=FALSE,"",IF((('Dvd Calendar'!$AA$82=TYPE1)*(TYPE1&lt;&gt;"")+('Dvd Calendar'!$AA$82=TYPE2)*(TYPE2&lt;&gt;"")+('Dvd Calendar'!$AA$82=TYPE3)*(TYPE3&lt;&gt;"")+('Dvd Calendar'!$AA$82=TYPE4)*(TYPE4&lt;&gt;"")+('Dvd Calendar'!$AA$82=SPECIAL_LBL)*(INC_SPECIALS="Y"))=0,"",'Dvd Calendar'!$AA$80)))</f>
        <v/>
      </c>
      <c r="Z18" s="110">
        <f>IF(FB18="","",IF(ISNUMBER('Dvd Calendar'!$AB$80)=FALSE,"",IF((('Dvd Calendar'!$AB$82=TYPE1)*(TYPE1&lt;&gt;"")+('Dvd Calendar'!$AB$82=TYPE2)*(TYPE2&lt;&gt;"")+('Dvd Calendar'!$AB$82=TYPE3)*(TYPE3&lt;&gt;"")+('Dvd Calendar'!$AB$82=TYPE4)*(TYPE4&lt;&gt;"")+('Dvd Calendar'!$AB$82=SPECIAL_LBL)*(INC_SPECIALS="Y"))=0,"",'Dvd Calendar'!$AB$80)))</f>
        <v/>
      </c>
      <c r="AA18" s="110">
        <f>IF(FC18="","",IF(ISNUMBER('Dvd Calendar'!$AC$80)=FALSE,"",IF((('Dvd Calendar'!$AC$82=TYPE1)*(TYPE1&lt;&gt;"")+('Dvd Calendar'!$AC$82=TYPE2)*(TYPE2&lt;&gt;"")+('Dvd Calendar'!$AC$82=TYPE3)*(TYPE3&lt;&gt;"")+('Dvd Calendar'!$AC$82=TYPE4)*(TYPE4&lt;&gt;"")+('Dvd Calendar'!$AC$82=SPECIAL_LBL)*(INC_SPECIALS="Y"))=0,"",'Dvd Calendar'!$AC$80)))</f>
        <v/>
      </c>
      <c r="AB18" s="110">
        <f>IF(FD18="","",IF(ISNUMBER('Dvd Calendar'!$AD$80)=FALSE,"",IF((('Dvd Calendar'!$AD$82=TYPE1)*(TYPE1&lt;&gt;"")+('Dvd Calendar'!$AD$82=TYPE2)*(TYPE2&lt;&gt;"")+('Dvd Calendar'!$AD$82=TYPE3)*(TYPE3&lt;&gt;"")+('Dvd Calendar'!$AD$82=TYPE4)*(TYPE4&lt;&gt;"")+('Dvd Calendar'!$AD$82=SPECIAL_LBL)*(INC_SPECIALS="Y"))=0,"",'Dvd Calendar'!$AD$80)))</f>
        <v/>
      </c>
      <c r="AC18" s="110">
        <f>IF(FE18="","",IF(ISNUMBER('Dvd Calendar'!$AE$80)=FALSE,"",IF((('Dvd Calendar'!$AE$82=TYPE1)*(TYPE1&lt;&gt;"")+('Dvd Calendar'!$AE$82=TYPE2)*(TYPE2&lt;&gt;"")+('Dvd Calendar'!$AE$82=TYPE3)*(TYPE3&lt;&gt;"")+('Dvd Calendar'!$AE$82=TYPE4)*(TYPE4&lt;&gt;"")+('Dvd Calendar'!$AE$82=SPECIAL_LBL)*(INC_SPECIALS="Y"))=0,"",'Dvd Calendar'!$AE$80)))</f>
        <v/>
      </c>
      <c r="AD18" s="110">
        <f>IF(FF18="","",IF(ISNUMBER('Dvd Calendar'!$AF$80)=FALSE,"",IF((('Dvd Calendar'!$AF$82=TYPE1)*(TYPE1&lt;&gt;"")+('Dvd Calendar'!$AF$82=TYPE2)*(TYPE2&lt;&gt;"")+('Dvd Calendar'!$AF$82=TYPE3)*(TYPE3&lt;&gt;"")+('Dvd Calendar'!$AF$82=TYPE4)*(TYPE4&lt;&gt;"")+('Dvd Calendar'!$AF$82=SPECIAL_LBL)*(INC_SPECIALS="Y"))=0,"",'Dvd Calendar'!$AF$80)))</f>
        <v/>
      </c>
      <c r="AE18" s="110">
        <f>IF(FG18="","",IF(ISNUMBER('Dvd Calendar'!$AG$80)=FALSE,"",IF((('Dvd Calendar'!$AG$82=TYPE1)*(TYPE1&lt;&gt;"")+('Dvd Calendar'!$AG$82=TYPE2)*(TYPE2&lt;&gt;"")+('Dvd Calendar'!$AG$82=TYPE3)*(TYPE3&lt;&gt;"")+('Dvd Calendar'!$AG$82=TYPE4)*(TYPE4&lt;&gt;"")+('Dvd Calendar'!$AG$82=SPECIAL_LBL)*(INC_SPECIALS="Y"))=0,"",'Dvd Calendar'!$AG$80)))</f>
        <v/>
      </c>
      <c r="AF18" s="110">
        <f>IF(FH18="","",IF(ISNUMBER('Dvd Calendar'!$AH$80)=FALSE,"",IF((('Dvd Calendar'!$AH$82=TYPE1)*(TYPE1&lt;&gt;"")+('Dvd Calendar'!$AH$82=TYPE2)*(TYPE2&lt;&gt;"")+('Dvd Calendar'!$AH$82=TYPE3)*(TYPE3&lt;&gt;"")+('Dvd Calendar'!$AH$82=TYPE4)*(TYPE4&lt;&gt;"")+('Dvd Calendar'!$AH$82=SPECIAL_LBL)*(INC_SPECIALS="Y"))=0,"",'Dvd Calendar'!$AH$80)))</f>
        <v/>
      </c>
      <c r="AG18" s="110">
        <f>IF(FI18="","",IF(ISNUMBER('Dvd Calendar'!$AI$80)=FALSE,"",IF((('Dvd Calendar'!$AI$82=TYPE1)*(TYPE1&lt;&gt;"")+('Dvd Calendar'!$AI$82=TYPE2)*(TYPE2&lt;&gt;"")+('Dvd Calendar'!$AI$82=TYPE3)*(TYPE3&lt;&gt;"")+('Dvd Calendar'!$AI$82=TYPE4)*(TYPE4&lt;&gt;"")+('Dvd Calendar'!$AI$82=SPECIAL_LBL)*(INC_SPECIALS="Y"))=0,"",'Dvd Calendar'!$AI$80)))</f>
        <v/>
      </c>
      <c r="AH18" s="110">
        <f>IF(FJ18="","",IF(ISNUMBER('Dvd Calendar'!$AJ$80)=FALSE,"",IF((('Dvd Calendar'!$AJ$82=TYPE1)*(TYPE1&lt;&gt;"")+('Dvd Calendar'!$AJ$82=TYPE2)*(TYPE2&lt;&gt;"")+('Dvd Calendar'!$AJ$82=TYPE3)*(TYPE3&lt;&gt;"")+('Dvd Calendar'!$AJ$82=TYPE4)*(TYPE4&lt;&gt;"")+('Dvd Calendar'!$AJ$82=SPECIAL_LBL)*(INC_SPECIALS="Y"))=0,"",'Dvd Calendar'!$AJ$80)))</f>
        <v/>
      </c>
      <c r="AI18" s="110">
        <f>IF(FK18="","",IF(ISNUMBER('Dvd Calendar'!$AK$80)=FALSE,"",IF((('Dvd Calendar'!$AK$82=TYPE1)*(TYPE1&lt;&gt;"")+('Dvd Calendar'!$AK$82=TYPE2)*(TYPE2&lt;&gt;"")+('Dvd Calendar'!$AK$82=TYPE3)*(TYPE3&lt;&gt;"")+('Dvd Calendar'!$AK$82=TYPE4)*(TYPE4&lt;&gt;"")+('Dvd Calendar'!$AK$82=SPECIAL_LBL)*(INC_SPECIALS="Y"))=0,"",'Dvd Calendar'!$AK$80)))</f>
        <v/>
      </c>
      <c r="AJ18" s="110">
        <f>IF(FL18="","",IF(ISNUMBER('Dvd Calendar'!$AL$80)=FALSE,"",IF((('Dvd Calendar'!$AL$82=TYPE1)*(TYPE1&lt;&gt;"")+('Dvd Calendar'!$AL$82=TYPE2)*(TYPE2&lt;&gt;"")+('Dvd Calendar'!$AL$82=TYPE3)*(TYPE3&lt;&gt;"")+('Dvd Calendar'!$AL$82=TYPE4)*(TYPE4&lt;&gt;"")+('Dvd Calendar'!$AL$82=SPECIAL_LBL)*(INC_SPECIALS="Y"))=0,"",'Dvd Calendar'!$AL$80)))</f>
        <v/>
      </c>
      <c r="AK18" s="110">
        <f>IF(FM18="","",IF(ISNUMBER('Dvd Calendar'!$AM$80)=FALSE,"",IF((('Dvd Calendar'!$AM$82=TYPE1)*(TYPE1&lt;&gt;"")+('Dvd Calendar'!$AM$82=TYPE2)*(TYPE2&lt;&gt;"")+('Dvd Calendar'!$AM$82=TYPE3)*(TYPE3&lt;&gt;"")+('Dvd Calendar'!$AM$82=TYPE4)*(TYPE4&lt;&gt;"")+('Dvd Calendar'!$AM$82=SPECIAL_LBL)*(INC_SPECIALS="Y"))=0,"",'Dvd Calendar'!$AM$80)))</f>
        <v/>
      </c>
      <c r="AL18" s="110">
        <f>IF(FN18="","",IF(ISNUMBER('Dvd Calendar'!$AN$80)=FALSE,"",IF((('Dvd Calendar'!$AN$82=TYPE1)*(TYPE1&lt;&gt;"")+('Dvd Calendar'!$AN$82=TYPE2)*(TYPE2&lt;&gt;"")+('Dvd Calendar'!$AN$82=TYPE3)*(TYPE3&lt;&gt;"")+('Dvd Calendar'!$AN$82=TYPE4)*(TYPE4&lt;&gt;"")+('Dvd Calendar'!$AN$82=SPECIAL_LBL)*(INC_SPECIALS="Y"))=0,"",'Dvd Calendar'!$AN$80)))</f>
        <v/>
      </c>
      <c r="AM18" s="110">
        <f>IF(FO18="","",IF(ISNUMBER('Dvd Calendar'!$AO$80)=FALSE,"",IF((('Dvd Calendar'!$AO$82=TYPE1)*(TYPE1&lt;&gt;"")+('Dvd Calendar'!$AO$82=TYPE2)*(TYPE2&lt;&gt;"")+('Dvd Calendar'!$AO$82=TYPE3)*(TYPE3&lt;&gt;"")+('Dvd Calendar'!$AO$82=TYPE4)*(TYPE4&lt;&gt;"")+('Dvd Calendar'!$AO$82=SPECIAL_LBL)*(INC_SPECIALS="Y"))=0,"",'Dvd Calendar'!$AO$80)))</f>
        <v/>
      </c>
      <c r="AN18" s="110">
        <f>IF(FP18="","",IF(ISNUMBER('Dvd Calendar'!$AP$80)=FALSE,"",IF((('Dvd Calendar'!$AP$82=TYPE1)*(TYPE1&lt;&gt;"")+('Dvd Calendar'!$AP$82=TYPE2)*(TYPE2&lt;&gt;"")+('Dvd Calendar'!$AP$82=TYPE3)*(TYPE3&lt;&gt;"")+('Dvd Calendar'!$AP$82=TYPE4)*(TYPE4&lt;&gt;"")+('Dvd Calendar'!$AP$82=SPECIAL_LBL)*(INC_SPECIALS="Y"))=0,"",'Dvd Calendar'!$AP$80)))</f>
        <v/>
      </c>
      <c r="AO18" s="110">
        <f>IF(FQ18="","",IF(ISNUMBER('Dvd Calendar'!$AQ$80)=FALSE,"",IF((('Dvd Calendar'!$AQ$82=TYPE1)*(TYPE1&lt;&gt;"")+('Dvd Calendar'!$AQ$82=TYPE2)*(TYPE2&lt;&gt;"")+('Dvd Calendar'!$AQ$82=TYPE3)*(TYPE3&lt;&gt;"")+('Dvd Calendar'!$AQ$82=TYPE4)*(TYPE4&lt;&gt;"")+('Dvd Calendar'!$AQ$82=SPECIAL_LBL)*(INC_SPECIALS="Y"))=0,"",'Dvd Calendar'!$AQ$80)))</f>
        <v/>
      </c>
      <c r="AP18" s="110">
        <f>IF(FR18="","",IF(ISNUMBER('Dvd Calendar'!$AR$80)=FALSE,"",IF((('Dvd Calendar'!$AR$82=TYPE1)*(TYPE1&lt;&gt;"")+('Dvd Calendar'!$AR$82=TYPE2)*(TYPE2&lt;&gt;"")+('Dvd Calendar'!$AR$82=TYPE3)*(TYPE3&lt;&gt;"")+('Dvd Calendar'!$AR$82=TYPE4)*(TYPE4&lt;&gt;"")+('Dvd Calendar'!$AR$82=SPECIAL_LBL)*(INC_SPECIALS="Y"))=0,"",'Dvd Calendar'!$AR$80)))</f>
        <v/>
      </c>
      <c r="AQ18" s="110">
        <f>IF(FS18="","",IF(ISNUMBER('Dvd Calendar'!$E$85)=FALSE,"",'Dvd Calendar'!$E$85))</f>
        <v/>
      </c>
      <c r="AR18" s="110">
        <f>IF(FT18="","",IF(ISNUMBER('Dvd Calendar'!$F$85)=FALSE,"",'Dvd Calendar'!$F$85))</f>
        <v/>
      </c>
      <c r="AS18" s="110">
        <f>IF(FU18="","",IF(ISNUMBER('Dvd Calendar'!$G$85)=FALSE,"",'Dvd Calendar'!$G$85))</f>
        <v/>
      </c>
      <c r="AT18" s="110">
        <f>IF(FV18="","",IF(ISNUMBER('Dvd Calendar'!$H$85)=FALSE,"",'Dvd Calendar'!$H$85))</f>
        <v/>
      </c>
      <c r="AU18" s="110">
        <f>IF(FW18="","",IF(ISNUMBER('Dvd Calendar'!$I$85)=FALSE,"",'Dvd Calendar'!$I$85))</f>
        <v/>
      </c>
      <c r="AV18" s="110">
        <f>IF(FX18="","",IF(ISNUMBER('Dvd Calendar'!$J$85)=FALSE,"",'Dvd Calendar'!$J$85))</f>
        <v/>
      </c>
      <c r="AW18" s="110">
        <f>IF(FY18="","",IF(ISNUMBER('Dvd Calendar'!$K$85)=FALSE,"",'Dvd Calendar'!$K$85))</f>
        <v/>
      </c>
      <c r="AX18" s="110">
        <f>IF(FZ18="","",IF(ISNUMBER('Dvd Calendar'!$L$85)=FALSE,"",'Dvd Calendar'!$L$85))</f>
        <v/>
      </c>
      <c r="AY18" s="110">
        <f>IF(GA18="","",IF(ISNUMBER('Dvd Calendar'!$M$85)=FALSE,"",'Dvd Calendar'!$M$85))</f>
        <v/>
      </c>
      <c r="AZ18" s="110">
        <f>IF(GB18="","",IF(ISNUMBER('Dvd Calendar'!$N$85)=FALSE,"",'Dvd Calendar'!$N$85))</f>
        <v/>
      </c>
      <c r="BA18" s="110">
        <f>IF(GC18="","",IF(ISNUMBER('Dvd Calendar'!$O$85)=FALSE,"",'Dvd Calendar'!$O$85))</f>
        <v/>
      </c>
      <c r="BB18" s="110">
        <f>IF(GD18="","",IF(ISNUMBER('Dvd Calendar'!$P$85)=FALSE,"",'Dvd Calendar'!$P$85))</f>
        <v/>
      </c>
      <c r="BC18" s="110">
        <f>IF(GE18="","",IF(ISNUMBER('Dvd Calendar'!$Q$85)=FALSE,"",'Dvd Calendar'!$Q$85))</f>
        <v/>
      </c>
      <c r="BD18" s="110">
        <f>IF(GF18="","",IF(ISNUMBER('Dvd Calendar'!$R$85)=FALSE,"",'Dvd Calendar'!$R$85))</f>
        <v/>
      </c>
      <c r="BE18" s="110">
        <f>IF(GG18="","",IF(ISNUMBER('Dvd Calendar'!$S$85)=FALSE,"",'Dvd Calendar'!$S$85))</f>
        <v/>
      </c>
      <c r="BF18" s="110">
        <f>IF(GH18="","",IF(ISNUMBER('Dvd Calendar'!$T$85)=FALSE,"",'Dvd Calendar'!$T$85))</f>
        <v/>
      </c>
      <c r="BG18" s="110">
        <f>IF(GI18="","",IF(ISNUMBER('Dvd Calendar'!$U$85)=FALSE,"",'Dvd Calendar'!$U$85))</f>
        <v/>
      </c>
      <c r="BH18" s="110">
        <f>IF(GJ18="","",IF(ISNUMBER('Dvd Calendar'!$V$85)=FALSE,"",'Dvd Calendar'!$V$85))</f>
        <v/>
      </c>
      <c r="BI18" s="110">
        <f>IF(GK18="","",IF(ISNUMBER('Dvd Calendar'!$W$85)=FALSE,"",'Dvd Calendar'!$W$85))</f>
        <v/>
      </c>
      <c r="BJ18" s="110">
        <f>IF(GL18="","",IF(ISNUMBER('Dvd Calendar'!$X$85)=FALSE,"",'Dvd Calendar'!$X$85))</f>
        <v/>
      </c>
      <c r="BK18" s="110">
        <f>IF(GM18="","",IF(ISNUMBER('Dvd Calendar'!$Y$85)=FALSE,"",'Dvd Calendar'!$Y$85))</f>
        <v/>
      </c>
      <c r="BL18" s="110">
        <f>IF(GN18="","",IF(ISNUMBER('Dvd Calendar'!$Z$85)=FALSE,"",'Dvd Calendar'!$Z$85))</f>
        <v/>
      </c>
      <c r="BM18" s="110">
        <f>IF(GO18="","",IF(ISNUMBER('Dvd Calendar'!$AA$85)=FALSE,"",'Dvd Calendar'!$AA$85))</f>
        <v/>
      </c>
      <c r="BN18" s="110">
        <f>IF(GP18="","",IF(ISNUMBER('Dvd Calendar'!$AB$85)=FALSE,"",'Dvd Calendar'!$AB$85))</f>
        <v/>
      </c>
      <c r="BO18" s="110">
        <f>IF(GQ18="","",IF(ISNUMBER('Dvd Calendar'!$AC$85)=FALSE,"",'Dvd Calendar'!$AC$85))</f>
        <v/>
      </c>
      <c r="BQ18" s="110">
        <f>IF(C18="","",IFERROR(C18*HSI!$B$13*HSI!$G$13/HSI!$B$3,""))</f>
        <v/>
      </c>
      <c r="BR18" s="110">
        <f>IF(D18="","",IFERROR(D18*HSI!$B$13*HSI!$G$13/HSI!$B$3,""))</f>
        <v/>
      </c>
      <c r="BS18" s="110">
        <f>IF(E18="","",IFERROR(E18*HSI!$B$13*HSI!$G$13/HSI!$B$3,""))</f>
        <v/>
      </c>
      <c r="BT18" s="110">
        <f>IF(F18="","",IFERROR(F18*HSI!$B$13*HSI!$G$13/HSI!$B$3,""))</f>
        <v/>
      </c>
      <c r="BU18" s="110">
        <f>IF(G18="","",IFERROR(G18*HSI!$B$13*HSI!$G$13/HSI!$B$3,""))</f>
        <v/>
      </c>
      <c r="BV18" s="110">
        <f>IF(H18="","",IFERROR(H18*HSI!$B$13*HSI!$G$13/HSI!$B$3,""))</f>
        <v/>
      </c>
      <c r="BW18" s="110">
        <f>IF(I18="","",IFERROR(I18*HSI!$B$13*HSI!$G$13/HSI!$B$3,""))</f>
        <v/>
      </c>
      <c r="BX18" s="110">
        <f>IF(J18="","",IFERROR(J18*HSI!$B$13*HSI!$G$13/HSI!$B$3,""))</f>
        <v/>
      </c>
      <c r="BY18" s="110">
        <f>IF(K18="","",IFERROR(K18*HSI!$B$13*HSI!$G$13/HSI!$B$3,""))</f>
        <v/>
      </c>
      <c r="BZ18" s="110">
        <f>IF(L18="","",IFERROR(L18*HSI!$B$13*HSI!$G$13/HSI!$B$3,""))</f>
        <v/>
      </c>
      <c r="CA18" s="110">
        <f>IF(M18="","",IFERROR(M18*HSI!$B$13*HSI!$G$13/HSI!$B$3,""))</f>
        <v/>
      </c>
      <c r="CB18" s="110">
        <f>IF(N18="","",IFERROR(N18*HSI!$B$13*HSI!$G$13/HSI!$B$3,""))</f>
        <v/>
      </c>
      <c r="CC18" s="110">
        <f>IF(O18="","",IFERROR(O18*HSI!$B$13*HSI!$G$13/HSI!$B$3,""))</f>
        <v/>
      </c>
      <c r="CD18" s="110">
        <f>IF(P18="","",IFERROR(P18*HSI!$B$13*HSI!$G$13/HSI!$B$3,""))</f>
        <v/>
      </c>
      <c r="CE18" s="110">
        <f>IF(Q18="","",IFERROR(Q18*HSI!$B$13*HSI!$G$13/HSI!$B$3,""))</f>
        <v/>
      </c>
      <c r="CF18" s="110">
        <f>IF(R18="","",IFERROR(R18*HSI!$B$13*HSI!$G$13/HSI!$B$3,""))</f>
        <v/>
      </c>
      <c r="CG18" s="110">
        <f>IF(S18="","",IFERROR(S18*HSI!$B$13*HSI!$G$13/HSI!$B$3,""))</f>
        <v/>
      </c>
      <c r="CH18" s="110">
        <f>IF(T18="","",IFERROR(T18*HSI!$B$13*HSI!$G$13/HSI!$B$3,""))</f>
        <v/>
      </c>
      <c r="CI18" s="110">
        <f>IF(U18="","",IFERROR(U18*HSI!$B$13*HSI!$G$13/HSI!$B$3,""))</f>
        <v/>
      </c>
      <c r="CJ18" s="110">
        <f>IF(V18="","",IFERROR(V18*HSI!$B$13*HSI!$G$13/HSI!$B$3,""))</f>
        <v/>
      </c>
      <c r="CK18" s="110">
        <f>IF(W18="","",IFERROR(W18*HSI!$B$13*HSI!$G$13/HSI!$B$3,""))</f>
        <v/>
      </c>
      <c r="CL18" s="110">
        <f>IF(X18="","",IFERROR(X18*HSI!$B$13*HSI!$G$13/HSI!$B$3,""))</f>
        <v/>
      </c>
      <c r="CM18" s="110">
        <f>IF(Y18="","",IFERROR(Y18*HSI!$B$13*HSI!$G$13/HSI!$B$3,""))</f>
        <v/>
      </c>
      <c r="CN18" s="110">
        <f>IF(Z18="","",IFERROR(Z18*HSI!$B$13*HSI!$G$13/HSI!$B$3,""))</f>
        <v/>
      </c>
      <c r="CO18" s="110">
        <f>IF(AA18="","",IFERROR(AA18*HSI!$B$13*HSI!$G$13/HSI!$B$3,""))</f>
        <v/>
      </c>
      <c r="CP18" s="110">
        <f>IF(AB18="","",IFERROR(AB18*HSI!$B$13*HSI!$G$13/HSI!$B$3,""))</f>
        <v/>
      </c>
      <c r="CQ18" s="110">
        <f>IF(AC18="","",IFERROR(AC18*HSI!$B$13*HSI!$G$13/HSI!$B$3,""))</f>
        <v/>
      </c>
      <c r="CR18" s="110">
        <f>IF(AD18="","",IFERROR(AD18*HSI!$B$13*HSI!$G$13/HSI!$B$3,""))</f>
        <v/>
      </c>
      <c r="CS18" s="110">
        <f>IF(AE18="","",IFERROR(AE18*HSI!$B$13*HSI!$G$13/HSI!$B$3,""))</f>
        <v/>
      </c>
      <c r="CT18" s="110">
        <f>IF(AF18="","",IFERROR(AF18*HSI!$B$13*HSI!$G$13/HSI!$B$3,""))</f>
        <v/>
      </c>
      <c r="CU18" s="110">
        <f>IF(AG18="","",IFERROR(AG18*HSI!$B$13*HSI!$G$13/HSI!$B$3,""))</f>
        <v/>
      </c>
      <c r="CV18" s="110">
        <f>IF(AH18="","",IFERROR(AH18*HSI!$B$13*HSI!$G$13/HSI!$B$3,""))</f>
        <v/>
      </c>
      <c r="CW18" s="110">
        <f>IF(AI18="","",IFERROR(AI18*HSI!$B$13*HSI!$G$13/HSI!$B$3,""))</f>
        <v/>
      </c>
      <c r="CX18" s="110">
        <f>IF(AJ18="","",IFERROR(AJ18*HSI!$B$13*HSI!$G$13/HSI!$B$3,""))</f>
        <v/>
      </c>
      <c r="CY18" s="110">
        <f>IF(AK18="","",IFERROR(AK18*HSI!$B$13*HSI!$G$13/HSI!$B$3,""))</f>
        <v/>
      </c>
      <c r="CZ18" s="110">
        <f>IF(AL18="","",IFERROR(AL18*HSI!$B$13*HSI!$G$13/HSI!$B$3,""))</f>
        <v/>
      </c>
      <c r="DA18" s="110">
        <f>IF(AM18="","",IFERROR(AM18*HSI!$B$13*HSI!$G$13/HSI!$B$3,""))</f>
        <v/>
      </c>
      <c r="DB18" s="110">
        <f>IF(AN18="","",IFERROR(AN18*HSI!$B$13*HSI!$G$13/HSI!$B$3,""))</f>
        <v/>
      </c>
      <c r="DC18" s="110">
        <f>IF(AO18="","",IFERROR(AO18*HSI!$B$13*HSI!$G$13/HSI!$B$3,""))</f>
        <v/>
      </c>
      <c r="DD18" s="110">
        <f>IF(AP18="","",IFERROR(AP18*HSI!$B$13*HSI!$G$13/HSI!$B$3,""))</f>
        <v/>
      </c>
      <c r="DE18" s="110">
        <f>IF(AQ18="","",IFERROR(AQ18*HSI!$B$13*HSI!$G$13/HSI!$B$3,""))</f>
        <v/>
      </c>
      <c r="DF18" s="110">
        <f>IF(AR18="","",IFERROR(AR18*HSI!$B$13*HSI!$G$13/HSI!$B$3,""))</f>
        <v/>
      </c>
      <c r="DG18" s="110">
        <f>IF(AS18="","",IFERROR(AS18*HSI!$B$13*HSI!$G$13/HSI!$B$3,""))</f>
        <v/>
      </c>
      <c r="DH18" s="110">
        <f>IF(AT18="","",IFERROR(AT18*HSI!$B$13*HSI!$G$13/HSI!$B$3,""))</f>
        <v/>
      </c>
      <c r="DI18" s="110">
        <f>IF(AU18="","",IFERROR(AU18*HSI!$B$13*HSI!$G$13/HSI!$B$3,""))</f>
        <v/>
      </c>
      <c r="DJ18" s="110">
        <f>IF(AV18="","",IFERROR(AV18*HSI!$B$13*HSI!$G$13/HSI!$B$3,""))</f>
        <v/>
      </c>
      <c r="DK18" s="110">
        <f>IF(AW18="","",IFERROR(AW18*HSI!$B$13*HSI!$G$13/HSI!$B$3,""))</f>
        <v/>
      </c>
      <c r="DL18" s="110">
        <f>IF(AX18="","",IFERROR(AX18*HSI!$B$13*HSI!$G$13/HSI!$B$3,""))</f>
        <v/>
      </c>
      <c r="DM18" s="110">
        <f>IF(AY18="","",IFERROR(AY18*HSI!$B$13*HSI!$G$13/HSI!$B$3,""))</f>
        <v/>
      </c>
      <c r="DN18" s="110">
        <f>IF(AZ18="","",IFERROR(AZ18*HSI!$B$13*HSI!$G$13/HSI!$B$3,""))</f>
        <v/>
      </c>
      <c r="DO18" s="110">
        <f>IF(BA18="","",IFERROR(BA18*HSI!$B$13*HSI!$G$13/HSI!$B$3,""))</f>
        <v/>
      </c>
      <c r="DP18" s="110">
        <f>IF(BB18="","",IFERROR(BB18*HSI!$B$13*HSI!$G$13/HSI!$B$3,""))</f>
        <v/>
      </c>
      <c r="DQ18" s="110">
        <f>IF(BC18="","",IFERROR(BC18*HSI!$B$13*HSI!$G$13/HSI!$B$3,""))</f>
        <v/>
      </c>
      <c r="DR18" s="110">
        <f>IF(BD18="","",IFERROR(BD18*HSI!$B$13*HSI!$G$13/HSI!$B$3,""))</f>
        <v/>
      </c>
      <c r="DS18" s="110">
        <f>IF(BE18="","",IFERROR(BE18*HSI!$B$13*HSI!$G$13/HSI!$B$3,""))</f>
        <v/>
      </c>
      <c r="DT18" s="110">
        <f>IF(BF18="","",IFERROR(BF18*HSI!$B$13*HSI!$G$13/HSI!$B$3,""))</f>
        <v/>
      </c>
      <c r="DU18" s="110">
        <f>IF(BG18="","",IFERROR(BG18*HSI!$B$13*HSI!$G$13/HSI!$B$3,""))</f>
        <v/>
      </c>
      <c r="DV18" s="110">
        <f>IF(BH18="","",IFERROR(BH18*HSI!$B$13*HSI!$G$13/HSI!$B$3,""))</f>
        <v/>
      </c>
      <c r="DW18" s="110">
        <f>IF(BI18="","",IFERROR(BI18*HSI!$B$13*HSI!$G$13/HSI!$B$3,""))</f>
        <v/>
      </c>
      <c r="DX18" s="110">
        <f>IF(BJ18="","",IFERROR(BJ18*HSI!$B$13*HSI!$G$13/HSI!$B$3,""))</f>
        <v/>
      </c>
      <c r="DY18" s="110">
        <f>IF(BK18="","",IFERROR(BK18*HSI!$B$13*HSI!$G$13/HSI!$B$3,""))</f>
        <v/>
      </c>
      <c r="DZ18" s="110">
        <f>IF(BL18="","",IFERROR(BL18*HSI!$B$13*HSI!$G$13/HSI!$B$3,""))</f>
        <v/>
      </c>
      <c r="EA18" s="110">
        <f>IF(BM18="","",IFERROR(BM18*HSI!$B$13*HSI!$G$13/HSI!$B$3,""))</f>
        <v/>
      </c>
      <c r="EB18" s="110">
        <f>IF(BN18="","",IFERROR(BN18*HSI!$B$13*HSI!$G$13/HSI!$B$3,""))</f>
        <v/>
      </c>
      <c r="EC18" s="110">
        <f>IF(BO18="","",IFERROR(BO18*HSI!$B$13*HSI!$G$13/HSI!$B$3,""))</f>
        <v/>
      </c>
      <c r="EE18" s="39">
        <f>IF(N('Dvd Calendar'!$E$77)=0,"",IF(('Dvd Calendar'!$E$77&gt;=GRID_FROM)*('Dvd Calendar'!$E$77&lt;=GRID_TO)*((('Dvd Calendar'!$E$77&lt;=VAL_DATE)+(COUNTIF('Dvd Calendar'!$E$84:$AR$84,'Dvd Calendar'!$E$77)=0))&gt;0)=0,"",'Dvd Calendar'!$E$77*1000000000+ISNUMBER('Dvd Calendar'!$E$80)*100000000+('Dvd Calendar'!$E$82=SPECIAL_LBL)*10000000+(N('Dvd Calendar'!$E$76)&gt;0)*(N('Dvd Calendar'!$E$76)&lt;=VAL_SERIAL)*1000000+7*1000+1))</f>
        <v/>
      </c>
      <c r="EF18" s="39">
        <f>IF(N('Dvd Calendar'!$F$77)=0,"",IF(('Dvd Calendar'!$F$77&gt;=GRID_FROM)*('Dvd Calendar'!$F$77&lt;=GRID_TO)*((('Dvd Calendar'!$F$77&lt;=VAL_DATE)+(COUNTIF('Dvd Calendar'!$E$84:$AR$84,'Dvd Calendar'!$F$77)=0))&gt;0)=0,"",'Dvd Calendar'!$F$77*1000000000+ISNUMBER('Dvd Calendar'!$F$80)*100000000+('Dvd Calendar'!$F$82=SPECIAL_LBL)*10000000+(N('Dvd Calendar'!$F$76)&gt;0)*(N('Dvd Calendar'!$F$76)&lt;=VAL_SERIAL)*1000000+7*1000+2))</f>
        <v/>
      </c>
      <c r="EG18" s="39">
        <f>IF(N('Dvd Calendar'!$G$77)=0,"",IF(('Dvd Calendar'!$G$77&gt;=GRID_FROM)*('Dvd Calendar'!$G$77&lt;=GRID_TO)*((('Dvd Calendar'!$G$77&lt;=VAL_DATE)+(COUNTIF('Dvd Calendar'!$E$84:$AR$84,'Dvd Calendar'!$G$77)=0))&gt;0)=0,"",'Dvd Calendar'!$G$77*1000000000+ISNUMBER('Dvd Calendar'!$G$80)*100000000+('Dvd Calendar'!$G$82=SPECIAL_LBL)*10000000+(N('Dvd Calendar'!$G$76)&gt;0)*(N('Dvd Calendar'!$G$76)&lt;=VAL_SERIAL)*1000000+7*1000+3))</f>
        <v/>
      </c>
      <c r="EH18" s="39">
        <f>IF(N('Dvd Calendar'!$H$77)=0,"",IF(('Dvd Calendar'!$H$77&gt;=GRID_FROM)*('Dvd Calendar'!$H$77&lt;=GRID_TO)*((('Dvd Calendar'!$H$77&lt;=VAL_DATE)+(COUNTIF('Dvd Calendar'!$E$84:$AR$84,'Dvd Calendar'!$H$77)=0))&gt;0)=0,"",'Dvd Calendar'!$H$77*1000000000+ISNUMBER('Dvd Calendar'!$H$80)*100000000+('Dvd Calendar'!$H$82=SPECIAL_LBL)*10000000+(N('Dvd Calendar'!$H$76)&gt;0)*(N('Dvd Calendar'!$H$76)&lt;=VAL_SERIAL)*1000000+7*1000+4))</f>
        <v/>
      </c>
      <c r="EI18" s="39">
        <f>IF(N('Dvd Calendar'!$I$77)=0,"",IF(('Dvd Calendar'!$I$77&gt;=GRID_FROM)*('Dvd Calendar'!$I$77&lt;=GRID_TO)*((('Dvd Calendar'!$I$77&lt;=VAL_DATE)+(COUNTIF('Dvd Calendar'!$E$84:$AR$84,'Dvd Calendar'!$I$77)=0))&gt;0)=0,"",'Dvd Calendar'!$I$77*1000000000+ISNUMBER('Dvd Calendar'!$I$80)*100000000+('Dvd Calendar'!$I$82=SPECIAL_LBL)*10000000+(N('Dvd Calendar'!$I$76)&gt;0)*(N('Dvd Calendar'!$I$76)&lt;=VAL_SERIAL)*1000000+7*1000+5))</f>
        <v/>
      </c>
      <c r="EJ18" s="39">
        <f>IF(N('Dvd Calendar'!$J$77)=0,"",IF(('Dvd Calendar'!$J$77&gt;=GRID_FROM)*('Dvd Calendar'!$J$77&lt;=GRID_TO)*((('Dvd Calendar'!$J$77&lt;=VAL_DATE)+(COUNTIF('Dvd Calendar'!$E$84:$AR$84,'Dvd Calendar'!$J$77)=0))&gt;0)=0,"",'Dvd Calendar'!$J$77*1000000000+ISNUMBER('Dvd Calendar'!$J$80)*100000000+('Dvd Calendar'!$J$82=SPECIAL_LBL)*10000000+(N('Dvd Calendar'!$J$76)&gt;0)*(N('Dvd Calendar'!$J$76)&lt;=VAL_SERIAL)*1000000+7*1000+6))</f>
        <v/>
      </c>
      <c r="EK18" s="39">
        <f>IF(N('Dvd Calendar'!$K$77)=0,"",IF(('Dvd Calendar'!$K$77&gt;=GRID_FROM)*('Dvd Calendar'!$K$77&lt;=GRID_TO)*((('Dvd Calendar'!$K$77&lt;=VAL_DATE)+(COUNTIF('Dvd Calendar'!$E$84:$AR$84,'Dvd Calendar'!$K$77)=0))&gt;0)=0,"",'Dvd Calendar'!$K$77*1000000000+ISNUMBER('Dvd Calendar'!$K$80)*100000000+('Dvd Calendar'!$K$82=SPECIAL_LBL)*10000000+(N('Dvd Calendar'!$K$76)&gt;0)*(N('Dvd Calendar'!$K$76)&lt;=VAL_SERIAL)*1000000+7*1000+7))</f>
        <v/>
      </c>
      <c r="EL18" s="39">
        <f>IF(N('Dvd Calendar'!$L$77)=0,"",IF(('Dvd Calendar'!$L$77&gt;=GRID_FROM)*('Dvd Calendar'!$L$77&lt;=GRID_TO)*((('Dvd Calendar'!$L$77&lt;=VAL_DATE)+(COUNTIF('Dvd Calendar'!$E$84:$AR$84,'Dvd Calendar'!$L$77)=0))&gt;0)=0,"",'Dvd Calendar'!$L$77*1000000000+ISNUMBER('Dvd Calendar'!$L$80)*100000000+('Dvd Calendar'!$L$82=SPECIAL_LBL)*10000000+(N('Dvd Calendar'!$L$76)&gt;0)*(N('Dvd Calendar'!$L$76)&lt;=VAL_SERIAL)*1000000+7*1000+8))</f>
        <v/>
      </c>
      <c r="EM18" s="39">
        <f>IF(N('Dvd Calendar'!$M$77)=0,"",IF(('Dvd Calendar'!$M$77&gt;=GRID_FROM)*('Dvd Calendar'!$M$77&lt;=GRID_TO)*((('Dvd Calendar'!$M$77&lt;=VAL_DATE)+(COUNTIF('Dvd Calendar'!$E$84:$AR$84,'Dvd Calendar'!$M$77)=0))&gt;0)=0,"",'Dvd Calendar'!$M$77*1000000000+ISNUMBER('Dvd Calendar'!$M$80)*100000000+('Dvd Calendar'!$M$82=SPECIAL_LBL)*10000000+(N('Dvd Calendar'!$M$76)&gt;0)*(N('Dvd Calendar'!$M$76)&lt;=VAL_SERIAL)*1000000+7*1000+9))</f>
        <v/>
      </c>
      <c r="EN18" s="39">
        <f>IF(N('Dvd Calendar'!$N$77)=0,"",IF(('Dvd Calendar'!$N$77&gt;=GRID_FROM)*('Dvd Calendar'!$N$77&lt;=GRID_TO)*((('Dvd Calendar'!$N$77&lt;=VAL_DATE)+(COUNTIF('Dvd Calendar'!$E$84:$AR$84,'Dvd Calendar'!$N$77)=0))&gt;0)=0,"",'Dvd Calendar'!$N$77*1000000000+ISNUMBER('Dvd Calendar'!$N$80)*100000000+('Dvd Calendar'!$N$82=SPECIAL_LBL)*10000000+(N('Dvd Calendar'!$N$76)&gt;0)*(N('Dvd Calendar'!$N$76)&lt;=VAL_SERIAL)*1000000+7*1000+10))</f>
        <v/>
      </c>
      <c r="EO18" s="39">
        <f>IF(N('Dvd Calendar'!$O$77)=0,"",IF(('Dvd Calendar'!$O$77&gt;=GRID_FROM)*('Dvd Calendar'!$O$77&lt;=GRID_TO)*((('Dvd Calendar'!$O$77&lt;=VAL_DATE)+(COUNTIF('Dvd Calendar'!$E$84:$AR$84,'Dvd Calendar'!$O$77)=0))&gt;0)=0,"",'Dvd Calendar'!$O$77*1000000000+ISNUMBER('Dvd Calendar'!$O$80)*100000000+('Dvd Calendar'!$O$82=SPECIAL_LBL)*10000000+(N('Dvd Calendar'!$O$76)&gt;0)*(N('Dvd Calendar'!$O$76)&lt;=VAL_SERIAL)*1000000+7*1000+11))</f>
        <v/>
      </c>
      <c r="EP18" s="39">
        <f>IF(N('Dvd Calendar'!$P$77)=0,"",IF(('Dvd Calendar'!$P$77&gt;=GRID_FROM)*('Dvd Calendar'!$P$77&lt;=GRID_TO)*((('Dvd Calendar'!$P$77&lt;=VAL_DATE)+(COUNTIF('Dvd Calendar'!$E$84:$AR$84,'Dvd Calendar'!$P$77)=0))&gt;0)=0,"",'Dvd Calendar'!$P$77*1000000000+ISNUMBER('Dvd Calendar'!$P$80)*100000000+('Dvd Calendar'!$P$82=SPECIAL_LBL)*10000000+(N('Dvd Calendar'!$P$76)&gt;0)*(N('Dvd Calendar'!$P$76)&lt;=VAL_SERIAL)*1000000+7*1000+12))</f>
        <v/>
      </c>
      <c r="EQ18" s="39">
        <f>IF(N('Dvd Calendar'!$Q$77)=0,"",IF(('Dvd Calendar'!$Q$77&gt;=GRID_FROM)*('Dvd Calendar'!$Q$77&lt;=GRID_TO)*((('Dvd Calendar'!$Q$77&lt;=VAL_DATE)+(COUNTIF('Dvd Calendar'!$E$84:$AR$84,'Dvd Calendar'!$Q$77)=0))&gt;0)=0,"",'Dvd Calendar'!$Q$77*1000000000+ISNUMBER('Dvd Calendar'!$Q$80)*100000000+('Dvd Calendar'!$Q$82=SPECIAL_LBL)*10000000+(N('Dvd Calendar'!$Q$76)&gt;0)*(N('Dvd Calendar'!$Q$76)&lt;=VAL_SERIAL)*1000000+7*1000+13))</f>
        <v/>
      </c>
      <c r="ER18" s="39">
        <f>IF(N('Dvd Calendar'!$R$77)=0,"",IF(('Dvd Calendar'!$R$77&gt;=GRID_FROM)*('Dvd Calendar'!$R$77&lt;=GRID_TO)*((('Dvd Calendar'!$R$77&lt;=VAL_DATE)+(COUNTIF('Dvd Calendar'!$E$84:$AR$84,'Dvd Calendar'!$R$77)=0))&gt;0)=0,"",'Dvd Calendar'!$R$77*1000000000+ISNUMBER('Dvd Calendar'!$R$80)*100000000+('Dvd Calendar'!$R$82=SPECIAL_LBL)*10000000+(N('Dvd Calendar'!$R$76)&gt;0)*(N('Dvd Calendar'!$R$76)&lt;=VAL_SERIAL)*1000000+7*1000+14))</f>
        <v/>
      </c>
      <c r="ES18" s="39">
        <f>IF(N('Dvd Calendar'!$S$77)=0,"",IF(('Dvd Calendar'!$S$77&gt;=GRID_FROM)*('Dvd Calendar'!$S$77&lt;=GRID_TO)*((('Dvd Calendar'!$S$77&lt;=VAL_DATE)+(COUNTIF('Dvd Calendar'!$E$84:$AR$84,'Dvd Calendar'!$S$77)=0))&gt;0)=0,"",'Dvd Calendar'!$S$77*1000000000+ISNUMBER('Dvd Calendar'!$S$80)*100000000+('Dvd Calendar'!$S$82=SPECIAL_LBL)*10000000+(N('Dvd Calendar'!$S$76)&gt;0)*(N('Dvd Calendar'!$S$76)&lt;=VAL_SERIAL)*1000000+7*1000+15))</f>
        <v/>
      </c>
      <c r="ET18" s="39">
        <f>IF(N('Dvd Calendar'!$T$77)=0,"",IF(('Dvd Calendar'!$T$77&gt;=GRID_FROM)*('Dvd Calendar'!$T$77&lt;=GRID_TO)*((('Dvd Calendar'!$T$77&lt;=VAL_DATE)+(COUNTIF('Dvd Calendar'!$E$84:$AR$84,'Dvd Calendar'!$T$77)=0))&gt;0)=0,"",'Dvd Calendar'!$T$77*1000000000+ISNUMBER('Dvd Calendar'!$T$80)*100000000+('Dvd Calendar'!$T$82=SPECIAL_LBL)*10000000+(N('Dvd Calendar'!$T$76)&gt;0)*(N('Dvd Calendar'!$T$76)&lt;=VAL_SERIAL)*1000000+7*1000+16))</f>
        <v/>
      </c>
      <c r="EU18" s="39">
        <f>IF(N('Dvd Calendar'!$U$77)=0,"",IF(('Dvd Calendar'!$U$77&gt;=GRID_FROM)*('Dvd Calendar'!$U$77&lt;=GRID_TO)*((('Dvd Calendar'!$U$77&lt;=VAL_DATE)+(COUNTIF('Dvd Calendar'!$E$84:$AR$84,'Dvd Calendar'!$U$77)=0))&gt;0)=0,"",'Dvd Calendar'!$U$77*1000000000+ISNUMBER('Dvd Calendar'!$U$80)*100000000+('Dvd Calendar'!$U$82=SPECIAL_LBL)*10000000+(N('Dvd Calendar'!$U$76)&gt;0)*(N('Dvd Calendar'!$U$76)&lt;=VAL_SERIAL)*1000000+7*1000+17))</f>
        <v/>
      </c>
      <c r="EV18" s="39">
        <f>IF(N('Dvd Calendar'!$V$77)=0,"",IF(('Dvd Calendar'!$V$77&gt;=GRID_FROM)*('Dvd Calendar'!$V$77&lt;=GRID_TO)*((('Dvd Calendar'!$V$77&lt;=VAL_DATE)+(COUNTIF('Dvd Calendar'!$E$84:$AR$84,'Dvd Calendar'!$V$77)=0))&gt;0)=0,"",'Dvd Calendar'!$V$77*1000000000+ISNUMBER('Dvd Calendar'!$V$80)*100000000+('Dvd Calendar'!$V$82=SPECIAL_LBL)*10000000+(N('Dvd Calendar'!$V$76)&gt;0)*(N('Dvd Calendar'!$V$76)&lt;=VAL_SERIAL)*1000000+7*1000+18))</f>
        <v/>
      </c>
      <c r="EW18" s="39">
        <f>IF(N('Dvd Calendar'!$W$77)=0,"",IF(('Dvd Calendar'!$W$77&gt;=GRID_FROM)*('Dvd Calendar'!$W$77&lt;=GRID_TO)*((('Dvd Calendar'!$W$77&lt;=VAL_DATE)+(COUNTIF('Dvd Calendar'!$E$84:$AR$84,'Dvd Calendar'!$W$77)=0))&gt;0)=0,"",'Dvd Calendar'!$W$77*1000000000+ISNUMBER('Dvd Calendar'!$W$80)*100000000+('Dvd Calendar'!$W$82=SPECIAL_LBL)*10000000+(N('Dvd Calendar'!$W$76)&gt;0)*(N('Dvd Calendar'!$W$76)&lt;=VAL_SERIAL)*1000000+7*1000+19))</f>
        <v/>
      </c>
      <c r="EX18" s="39">
        <f>IF(N('Dvd Calendar'!$X$77)=0,"",IF(('Dvd Calendar'!$X$77&gt;=GRID_FROM)*('Dvd Calendar'!$X$77&lt;=GRID_TO)*((('Dvd Calendar'!$X$77&lt;=VAL_DATE)+(COUNTIF('Dvd Calendar'!$E$84:$AR$84,'Dvd Calendar'!$X$77)=0))&gt;0)=0,"",'Dvd Calendar'!$X$77*1000000000+ISNUMBER('Dvd Calendar'!$X$80)*100000000+('Dvd Calendar'!$X$82=SPECIAL_LBL)*10000000+(N('Dvd Calendar'!$X$76)&gt;0)*(N('Dvd Calendar'!$X$76)&lt;=VAL_SERIAL)*1000000+7*1000+20))</f>
        <v/>
      </c>
      <c r="EY18" s="39">
        <f>IF(N('Dvd Calendar'!$Y$77)=0,"",IF(('Dvd Calendar'!$Y$77&gt;=GRID_FROM)*('Dvd Calendar'!$Y$77&lt;=GRID_TO)*((('Dvd Calendar'!$Y$77&lt;=VAL_DATE)+(COUNTIF('Dvd Calendar'!$E$84:$AR$84,'Dvd Calendar'!$Y$77)=0))&gt;0)=0,"",'Dvd Calendar'!$Y$77*1000000000+ISNUMBER('Dvd Calendar'!$Y$80)*100000000+('Dvd Calendar'!$Y$82=SPECIAL_LBL)*10000000+(N('Dvd Calendar'!$Y$76)&gt;0)*(N('Dvd Calendar'!$Y$76)&lt;=VAL_SERIAL)*1000000+7*1000+21))</f>
        <v/>
      </c>
      <c r="EZ18" s="39">
        <f>IF(N('Dvd Calendar'!$Z$77)=0,"",IF(('Dvd Calendar'!$Z$77&gt;=GRID_FROM)*('Dvd Calendar'!$Z$77&lt;=GRID_TO)*((('Dvd Calendar'!$Z$77&lt;=VAL_DATE)+(COUNTIF('Dvd Calendar'!$E$84:$AR$84,'Dvd Calendar'!$Z$77)=0))&gt;0)=0,"",'Dvd Calendar'!$Z$77*1000000000+ISNUMBER('Dvd Calendar'!$Z$80)*100000000+('Dvd Calendar'!$Z$82=SPECIAL_LBL)*10000000+(N('Dvd Calendar'!$Z$76)&gt;0)*(N('Dvd Calendar'!$Z$76)&lt;=VAL_SERIAL)*1000000+7*1000+22))</f>
        <v/>
      </c>
      <c r="FA18" s="39">
        <f>IF(N('Dvd Calendar'!$AA$77)=0,"",IF(('Dvd Calendar'!$AA$77&gt;=GRID_FROM)*('Dvd Calendar'!$AA$77&lt;=GRID_TO)*((('Dvd Calendar'!$AA$77&lt;=VAL_DATE)+(COUNTIF('Dvd Calendar'!$E$84:$AR$84,'Dvd Calendar'!$AA$77)=0))&gt;0)=0,"",'Dvd Calendar'!$AA$77*1000000000+ISNUMBER('Dvd Calendar'!$AA$80)*100000000+('Dvd Calendar'!$AA$82=SPECIAL_LBL)*10000000+(N('Dvd Calendar'!$AA$76)&gt;0)*(N('Dvd Calendar'!$AA$76)&lt;=VAL_SERIAL)*1000000+7*1000+23))</f>
        <v/>
      </c>
      <c r="FB18" s="39">
        <f>IF(N('Dvd Calendar'!$AB$77)=0,"",IF(('Dvd Calendar'!$AB$77&gt;=GRID_FROM)*('Dvd Calendar'!$AB$77&lt;=GRID_TO)*((('Dvd Calendar'!$AB$77&lt;=VAL_DATE)+(COUNTIF('Dvd Calendar'!$E$84:$AR$84,'Dvd Calendar'!$AB$77)=0))&gt;0)=0,"",'Dvd Calendar'!$AB$77*1000000000+ISNUMBER('Dvd Calendar'!$AB$80)*100000000+('Dvd Calendar'!$AB$82=SPECIAL_LBL)*10000000+(N('Dvd Calendar'!$AB$76)&gt;0)*(N('Dvd Calendar'!$AB$76)&lt;=VAL_SERIAL)*1000000+7*1000+24))</f>
        <v/>
      </c>
      <c r="FC18" s="39">
        <f>IF(N('Dvd Calendar'!$AC$77)=0,"",IF(('Dvd Calendar'!$AC$77&gt;=GRID_FROM)*('Dvd Calendar'!$AC$77&lt;=GRID_TO)*((('Dvd Calendar'!$AC$77&lt;=VAL_DATE)+(COUNTIF('Dvd Calendar'!$E$84:$AR$84,'Dvd Calendar'!$AC$77)=0))&gt;0)=0,"",'Dvd Calendar'!$AC$77*1000000000+ISNUMBER('Dvd Calendar'!$AC$80)*100000000+('Dvd Calendar'!$AC$82=SPECIAL_LBL)*10000000+(N('Dvd Calendar'!$AC$76)&gt;0)*(N('Dvd Calendar'!$AC$76)&lt;=VAL_SERIAL)*1000000+7*1000+25))</f>
        <v/>
      </c>
      <c r="FD18" s="39">
        <f>IF(N('Dvd Calendar'!$AD$77)=0,"",IF(('Dvd Calendar'!$AD$77&gt;=GRID_FROM)*('Dvd Calendar'!$AD$77&lt;=GRID_TO)*((('Dvd Calendar'!$AD$77&lt;=VAL_DATE)+(COUNTIF('Dvd Calendar'!$E$84:$AR$84,'Dvd Calendar'!$AD$77)=0))&gt;0)=0,"",'Dvd Calendar'!$AD$77*1000000000+ISNUMBER('Dvd Calendar'!$AD$80)*100000000+('Dvd Calendar'!$AD$82=SPECIAL_LBL)*10000000+(N('Dvd Calendar'!$AD$76)&gt;0)*(N('Dvd Calendar'!$AD$76)&lt;=VAL_SERIAL)*1000000+7*1000+26))</f>
        <v/>
      </c>
      <c r="FE18" s="39">
        <f>IF(N('Dvd Calendar'!$AE$77)=0,"",IF(('Dvd Calendar'!$AE$77&gt;=GRID_FROM)*('Dvd Calendar'!$AE$77&lt;=GRID_TO)*((('Dvd Calendar'!$AE$77&lt;=VAL_DATE)+(COUNTIF('Dvd Calendar'!$E$84:$AR$84,'Dvd Calendar'!$AE$77)=0))&gt;0)=0,"",'Dvd Calendar'!$AE$77*1000000000+ISNUMBER('Dvd Calendar'!$AE$80)*100000000+('Dvd Calendar'!$AE$82=SPECIAL_LBL)*10000000+(N('Dvd Calendar'!$AE$76)&gt;0)*(N('Dvd Calendar'!$AE$76)&lt;=VAL_SERIAL)*1000000+7*1000+27))</f>
        <v/>
      </c>
      <c r="FF18" s="39">
        <f>IF(N('Dvd Calendar'!$AF$77)=0,"",IF(('Dvd Calendar'!$AF$77&gt;=GRID_FROM)*('Dvd Calendar'!$AF$77&lt;=GRID_TO)*((('Dvd Calendar'!$AF$77&lt;=VAL_DATE)+(COUNTIF('Dvd Calendar'!$E$84:$AR$84,'Dvd Calendar'!$AF$77)=0))&gt;0)=0,"",'Dvd Calendar'!$AF$77*1000000000+ISNUMBER('Dvd Calendar'!$AF$80)*100000000+('Dvd Calendar'!$AF$82=SPECIAL_LBL)*10000000+(N('Dvd Calendar'!$AF$76)&gt;0)*(N('Dvd Calendar'!$AF$76)&lt;=VAL_SERIAL)*1000000+7*1000+28))</f>
        <v/>
      </c>
      <c r="FG18" s="39">
        <f>IF(N('Dvd Calendar'!$AG$77)=0,"",IF(('Dvd Calendar'!$AG$77&gt;=GRID_FROM)*('Dvd Calendar'!$AG$77&lt;=GRID_TO)*((('Dvd Calendar'!$AG$77&lt;=VAL_DATE)+(COUNTIF('Dvd Calendar'!$E$84:$AR$84,'Dvd Calendar'!$AG$77)=0))&gt;0)=0,"",'Dvd Calendar'!$AG$77*1000000000+ISNUMBER('Dvd Calendar'!$AG$80)*100000000+('Dvd Calendar'!$AG$82=SPECIAL_LBL)*10000000+(N('Dvd Calendar'!$AG$76)&gt;0)*(N('Dvd Calendar'!$AG$76)&lt;=VAL_SERIAL)*1000000+7*1000+29))</f>
        <v/>
      </c>
      <c r="FH18" s="39">
        <f>IF(N('Dvd Calendar'!$AH$77)=0,"",IF(('Dvd Calendar'!$AH$77&gt;=GRID_FROM)*('Dvd Calendar'!$AH$77&lt;=GRID_TO)*((('Dvd Calendar'!$AH$77&lt;=VAL_DATE)+(COUNTIF('Dvd Calendar'!$E$84:$AR$84,'Dvd Calendar'!$AH$77)=0))&gt;0)=0,"",'Dvd Calendar'!$AH$77*1000000000+ISNUMBER('Dvd Calendar'!$AH$80)*100000000+('Dvd Calendar'!$AH$82=SPECIAL_LBL)*10000000+(N('Dvd Calendar'!$AH$76)&gt;0)*(N('Dvd Calendar'!$AH$76)&lt;=VAL_SERIAL)*1000000+7*1000+30))</f>
        <v/>
      </c>
      <c r="FI18" s="39">
        <f>IF(N('Dvd Calendar'!$AI$77)=0,"",IF(('Dvd Calendar'!$AI$77&gt;=GRID_FROM)*('Dvd Calendar'!$AI$77&lt;=GRID_TO)*((('Dvd Calendar'!$AI$77&lt;=VAL_DATE)+(COUNTIF('Dvd Calendar'!$E$84:$AR$84,'Dvd Calendar'!$AI$77)=0))&gt;0)=0,"",'Dvd Calendar'!$AI$77*1000000000+ISNUMBER('Dvd Calendar'!$AI$80)*100000000+('Dvd Calendar'!$AI$82=SPECIAL_LBL)*10000000+(N('Dvd Calendar'!$AI$76)&gt;0)*(N('Dvd Calendar'!$AI$76)&lt;=VAL_SERIAL)*1000000+7*1000+31))</f>
        <v/>
      </c>
      <c r="FJ18" s="39">
        <f>IF(N('Dvd Calendar'!$AJ$77)=0,"",IF(('Dvd Calendar'!$AJ$77&gt;=GRID_FROM)*('Dvd Calendar'!$AJ$77&lt;=GRID_TO)*((('Dvd Calendar'!$AJ$77&lt;=VAL_DATE)+(COUNTIF('Dvd Calendar'!$E$84:$AR$84,'Dvd Calendar'!$AJ$77)=0))&gt;0)=0,"",'Dvd Calendar'!$AJ$77*1000000000+ISNUMBER('Dvd Calendar'!$AJ$80)*100000000+('Dvd Calendar'!$AJ$82=SPECIAL_LBL)*10000000+(N('Dvd Calendar'!$AJ$76)&gt;0)*(N('Dvd Calendar'!$AJ$76)&lt;=VAL_SERIAL)*1000000+7*1000+32))</f>
        <v/>
      </c>
      <c r="FK18" s="39">
        <f>IF(N('Dvd Calendar'!$AK$77)=0,"",IF(('Dvd Calendar'!$AK$77&gt;=GRID_FROM)*('Dvd Calendar'!$AK$77&lt;=GRID_TO)*((('Dvd Calendar'!$AK$77&lt;=VAL_DATE)+(COUNTIF('Dvd Calendar'!$E$84:$AR$84,'Dvd Calendar'!$AK$77)=0))&gt;0)=0,"",'Dvd Calendar'!$AK$77*1000000000+ISNUMBER('Dvd Calendar'!$AK$80)*100000000+('Dvd Calendar'!$AK$82=SPECIAL_LBL)*10000000+(N('Dvd Calendar'!$AK$76)&gt;0)*(N('Dvd Calendar'!$AK$76)&lt;=VAL_SERIAL)*1000000+7*1000+33))</f>
        <v/>
      </c>
      <c r="FL18" s="39">
        <f>IF(N('Dvd Calendar'!$AL$77)=0,"",IF(('Dvd Calendar'!$AL$77&gt;=GRID_FROM)*('Dvd Calendar'!$AL$77&lt;=GRID_TO)*((('Dvd Calendar'!$AL$77&lt;=VAL_DATE)+(COUNTIF('Dvd Calendar'!$E$84:$AR$84,'Dvd Calendar'!$AL$77)=0))&gt;0)=0,"",'Dvd Calendar'!$AL$77*1000000000+ISNUMBER('Dvd Calendar'!$AL$80)*100000000+('Dvd Calendar'!$AL$82=SPECIAL_LBL)*10000000+(N('Dvd Calendar'!$AL$76)&gt;0)*(N('Dvd Calendar'!$AL$76)&lt;=VAL_SERIAL)*1000000+7*1000+34))</f>
        <v/>
      </c>
      <c r="FM18" s="39">
        <f>IF(N('Dvd Calendar'!$AM$77)=0,"",IF(('Dvd Calendar'!$AM$77&gt;=GRID_FROM)*('Dvd Calendar'!$AM$77&lt;=GRID_TO)*((('Dvd Calendar'!$AM$77&lt;=VAL_DATE)+(COUNTIF('Dvd Calendar'!$E$84:$AR$84,'Dvd Calendar'!$AM$77)=0))&gt;0)=0,"",'Dvd Calendar'!$AM$77*1000000000+ISNUMBER('Dvd Calendar'!$AM$80)*100000000+('Dvd Calendar'!$AM$82=SPECIAL_LBL)*10000000+(N('Dvd Calendar'!$AM$76)&gt;0)*(N('Dvd Calendar'!$AM$76)&lt;=VAL_SERIAL)*1000000+7*1000+35))</f>
        <v/>
      </c>
      <c r="FN18" s="39">
        <f>IF(N('Dvd Calendar'!$AN$77)=0,"",IF(('Dvd Calendar'!$AN$77&gt;=GRID_FROM)*('Dvd Calendar'!$AN$77&lt;=GRID_TO)*((('Dvd Calendar'!$AN$77&lt;=VAL_DATE)+(COUNTIF('Dvd Calendar'!$E$84:$AR$84,'Dvd Calendar'!$AN$77)=0))&gt;0)=0,"",'Dvd Calendar'!$AN$77*1000000000+ISNUMBER('Dvd Calendar'!$AN$80)*100000000+('Dvd Calendar'!$AN$82=SPECIAL_LBL)*10000000+(N('Dvd Calendar'!$AN$76)&gt;0)*(N('Dvd Calendar'!$AN$76)&lt;=VAL_SERIAL)*1000000+7*1000+36))</f>
        <v/>
      </c>
      <c r="FO18" s="39">
        <f>IF(N('Dvd Calendar'!$AO$77)=0,"",IF(('Dvd Calendar'!$AO$77&gt;=GRID_FROM)*('Dvd Calendar'!$AO$77&lt;=GRID_TO)*((('Dvd Calendar'!$AO$77&lt;=VAL_DATE)+(COUNTIF('Dvd Calendar'!$E$84:$AR$84,'Dvd Calendar'!$AO$77)=0))&gt;0)=0,"",'Dvd Calendar'!$AO$77*1000000000+ISNUMBER('Dvd Calendar'!$AO$80)*100000000+('Dvd Calendar'!$AO$82=SPECIAL_LBL)*10000000+(N('Dvd Calendar'!$AO$76)&gt;0)*(N('Dvd Calendar'!$AO$76)&lt;=VAL_SERIAL)*1000000+7*1000+37))</f>
        <v/>
      </c>
      <c r="FP18" s="39">
        <f>IF(N('Dvd Calendar'!$AP$77)=0,"",IF(('Dvd Calendar'!$AP$77&gt;=GRID_FROM)*('Dvd Calendar'!$AP$77&lt;=GRID_TO)*((('Dvd Calendar'!$AP$77&lt;=VAL_DATE)+(COUNTIF('Dvd Calendar'!$E$84:$AR$84,'Dvd Calendar'!$AP$77)=0))&gt;0)=0,"",'Dvd Calendar'!$AP$77*1000000000+ISNUMBER('Dvd Calendar'!$AP$80)*100000000+('Dvd Calendar'!$AP$82=SPECIAL_LBL)*10000000+(N('Dvd Calendar'!$AP$76)&gt;0)*(N('Dvd Calendar'!$AP$76)&lt;=VAL_SERIAL)*1000000+7*1000+38))</f>
        <v/>
      </c>
      <c r="FQ18" s="39">
        <f>IF(N('Dvd Calendar'!$AQ$77)=0,"",IF(('Dvd Calendar'!$AQ$77&gt;=GRID_FROM)*('Dvd Calendar'!$AQ$77&lt;=GRID_TO)*((('Dvd Calendar'!$AQ$77&lt;=VAL_DATE)+(COUNTIF('Dvd Calendar'!$E$84:$AR$84,'Dvd Calendar'!$AQ$77)=0))&gt;0)=0,"",'Dvd Calendar'!$AQ$77*1000000000+ISNUMBER('Dvd Calendar'!$AQ$80)*100000000+('Dvd Calendar'!$AQ$82=SPECIAL_LBL)*10000000+(N('Dvd Calendar'!$AQ$76)&gt;0)*(N('Dvd Calendar'!$AQ$76)&lt;=VAL_SERIAL)*1000000+7*1000+39))</f>
        <v/>
      </c>
      <c r="FR18" s="39">
        <f>IF(N('Dvd Calendar'!$AR$77)=0,"",IF(('Dvd Calendar'!$AR$77&gt;=GRID_FROM)*('Dvd Calendar'!$AR$77&lt;=GRID_TO)*((('Dvd Calendar'!$AR$77&lt;=VAL_DATE)+(COUNTIF('Dvd Calendar'!$E$84:$AR$84,'Dvd Calendar'!$AR$77)=0))&gt;0)=0,"",'Dvd Calendar'!$AR$77*1000000000+ISNUMBER('Dvd Calendar'!$AR$80)*100000000+('Dvd Calendar'!$AR$82=SPECIAL_LBL)*10000000+(N('Dvd Calendar'!$AR$76)&gt;0)*(N('Dvd Calendar'!$AR$76)&lt;=VAL_SERIAL)*1000000+7*1000+40))</f>
        <v/>
      </c>
      <c r="FS18" s="39">
        <f>IF(N('Dvd Calendar'!$E$84)=0,"",IF(('Dvd Calendar'!$E$84&gt;=GRID_FROM)*('Dvd Calendar'!$E$84&lt;=GRID_TO)*('Dvd Calendar'!$E$84&gt;VAL_DATE)=0,"",'Dvd Calendar'!$E$84*1000000000+ISNUMBER('Dvd Calendar'!$E$85)*100000000+0*10000000+(N('Dvd Calendar'!$E$83)&gt;0)*(N('Dvd Calendar'!$E$83)&lt;=VAL_SERIAL)*1000000+7*1000+41))</f>
        <v/>
      </c>
      <c r="FT18" s="39">
        <f>IF(N('Dvd Calendar'!$F$84)=0,"",IF(('Dvd Calendar'!$F$84&gt;=GRID_FROM)*('Dvd Calendar'!$F$84&lt;=GRID_TO)*('Dvd Calendar'!$F$84&gt;VAL_DATE)=0,"",'Dvd Calendar'!$F$84*1000000000+ISNUMBER('Dvd Calendar'!$F$85)*100000000+0*10000000+(N('Dvd Calendar'!$F$83)&gt;0)*(N('Dvd Calendar'!$F$83)&lt;=VAL_SERIAL)*1000000+7*1000+42))</f>
        <v/>
      </c>
      <c r="FU18" s="39">
        <f>IF(N('Dvd Calendar'!$G$84)=0,"",IF(('Dvd Calendar'!$G$84&gt;=GRID_FROM)*('Dvd Calendar'!$G$84&lt;=GRID_TO)*('Dvd Calendar'!$G$84&gt;VAL_DATE)=0,"",'Dvd Calendar'!$G$84*1000000000+ISNUMBER('Dvd Calendar'!$G$85)*100000000+0*10000000+(N('Dvd Calendar'!$G$83)&gt;0)*(N('Dvd Calendar'!$G$83)&lt;=VAL_SERIAL)*1000000+7*1000+43))</f>
        <v/>
      </c>
      <c r="FV18" s="39">
        <f>IF(N('Dvd Calendar'!$H$84)=0,"",IF(('Dvd Calendar'!$H$84&gt;=GRID_FROM)*('Dvd Calendar'!$H$84&lt;=GRID_TO)*('Dvd Calendar'!$H$84&gt;VAL_DATE)=0,"",'Dvd Calendar'!$H$84*1000000000+ISNUMBER('Dvd Calendar'!$H$85)*100000000+0*10000000+(N('Dvd Calendar'!$H$83)&gt;0)*(N('Dvd Calendar'!$H$83)&lt;=VAL_SERIAL)*1000000+7*1000+44))</f>
        <v/>
      </c>
      <c r="FW18" s="39">
        <f>IF(N('Dvd Calendar'!$I$84)=0,"",IF(('Dvd Calendar'!$I$84&gt;=GRID_FROM)*('Dvd Calendar'!$I$84&lt;=GRID_TO)*('Dvd Calendar'!$I$84&gt;VAL_DATE)=0,"",'Dvd Calendar'!$I$84*1000000000+ISNUMBER('Dvd Calendar'!$I$85)*100000000+0*10000000+(N('Dvd Calendar'!$I$83)&gt;0)*(N('Dvd Calendar'!$I$83)&lt;=VAL_SERIAL)*1000000+7*1000+45))</f>
        <v/>
      </c>
      <c r="FX18" s="39">
        <f>IF(N('Dvd Calendar'!$J$84)=0,"",IF(('Dvd Calendar'!$J$84&gt;=GRID_FROM)*('Dvd Calendar'!$J$84&lt;=GRID_TO)*('Dvd Calendar'!$J$84&gt;VAL_DATE)=0,"",'Dvd Calendar'!$J$84*1000000000+ISNUMBER('Dvd Calendar'!$J$85)*100000000+0*10000000+(N('Dvd Calendar'!$J$83)&gt;0)*(N('Dvd Calendar'!$J$83)&lt;=VAL_SERIAL)*1000000+7*1000+46))</f>
        <v/>
      </c>
      <c r="FY18" s="39">
        <f>IF(N('Dvd Calendar'!$K$84)=0,"",IF(('Dvd Calendar'!$K$84&gt;=GRID_FROM)*('Dvd Calendar'!$K$84&lt;=GRID_TO)*('Dvd Calendar'!$K$84&gt;VAL_DATE)=0,"",'Dvd Calendar'!$K$84*1000000000+ISNUMBER('Dvd Calendar'!$K$85)*100000000+0*10000000+(N('Dvd Calendar'!$K$83)&gt;0)*(N('Dvd Calendar'!$K$83)&lt;=VAL_SERIAL)*1000000+7*1000+47))</f>
        <v/>
      </c>
      <c r="FZ18" s="39">
        <f>IF(N('Dvd Calendar'!$L$84)=0,"",IF(('Dvd Calendar'!$L$84&gt;=GRID_FROM)*('Dvd Calendar'!$L$84&lt;=GRID_TO)*('Dvd Calendar'!$L$84&gt;VAL_DATE)=0,"",'Dvd Calendar'!$L$84*1000000000+ISNUMBER('Dvd Calendar'!$L$85)*100000000+0*10000000+(N('Dvd Calendar'!$L$83)&gt;0)*(N('Dvd Calendar'!$L$83)&lt;=VAL_SERIAL)*1000000+7*1000+48))</f>
        <v/>
      </c>
      <c r="GA18" s="39">
        <f>IF(N('Dvd Calendar'!$M$84)=0,"",IF(('Dvd Calendar'!$M$84&gt;=GRID_FROM)*('Dvd Calendar'!$M$84&lt;=GRID_TO)*('Dvd Calendar'!$M$84&gt;VAL_DATE)=0,"",'Dvd Calendar'!$M$84*1000000000+ISNUMBER('Dvd Calendar'!$M$85)*100000000+0*10000000+(N('Dvd Calendar'!$M$83)&gt;0)*(N('Dvd Calendar'!$M$83)&lt;=VAL_SERIAL)*1000000+7*1000+49))</f>
        <v/>
      </c>
      <c r="GB18" s="39">
        <f>IF(N('Dvd Calendar'!$N$84)=0,"",IF(('Dvd Calendar'!$N$84&gt;=GRID_FROM)*('Dvd Calendar'!$N$84&lt;=GRID_TO)*('Dvd Calendar'!$N$84&gt;VAL_DATE)=0,"",'Dvd Calendar'!$N$84*1000000000+ISNUMBER('Dvd Calendar'!$N$85)*100000000+0*10000000+(N('Dvd Calendar'!$N$83)&gt;0)*(N('Dvd Calendar'!$N$83)&lt;=VAL_SERIAL)*1000000+7*1000+50))</f>
        <v/>
      </c>
      <c r="GC18" s="39">
        <f>IF(N('Dvd Calendar'!$O$84)=0,"",IF(('Dvd Calendar'!$O$84&gt;=GRID_FROM)*('Dvd Calendar'!$O$84&lt;=GRID_TO)*('Dvd Calendar'!$O$84&gt;VAL_DATE)=0,"",'Dvd Calendar'!$O$84*1000000000+ISNUMBER('Dvd Calendar'!$O$85)*100000000+0*10000000+(N('Dvd Calendar'!$O$83)&gt;0)*(N('Dvd Calendar'!$O$83)&lt;=VAL_SERIAL)*1000000+7*1000+51))</f>
        <v/>
      </c>
      <c r="GD18" s="39">
        <f>IF(N('Dvd Calendar'!$P$84)=0,"",IF(('Dvd Calendar'!$P$84&gt;=GRID_FROM)*('Dvd Calendar'!$P$84&lt;=GRID_TO)*('Dvd Calendar'!$P$84&gt;VAL_DATE)=0,"",'Dvd Calendar'!$P$84*1000000000+ISNUMBER('Dvd Calendar'!$P$85)*100000000+0*10000000+(N('Dvd Calendar'!$P$83)&gt;0)*(N('Dvd Calendar'!$P$83)&lt;=VAL_SERIAL)*1000000+7*1000+52))</f>
        <v/>
      </c>
      <c r="GE18" s="39">
        <f>IF(N('Dvd Calendar'!$Q$84)=0,"",IF(('Dvd Calendar'!$Q$84&gt;=GRID_FROM)*('Dvd Calendar'!$Q$84&lt;=GRID_TO)*('Dvd Calendar'!$Q$84&gt;VAL_DATE)=0,"",'Dvd Calendar'!$Q$84*1000000000+ISNUMBER('Dvd Calendar'!$Q$85)*100000000+0*10000000+(N('Dvd Calendar'!$Q$83)&gt;0)*(N('Dvd Calendar'!$Q$83)&lt;=VAL_SERIAL)*1000000+7*1000+53))</f>
        <v/>
      </c>
      <c r="GF18" s="39">
        <f>IF(N('Dvd Calendar'!$R$84)=0,"",IF(('Dvd Calendar'!$R$84&gt;=GRID_FROM)*('Dvd Calendar'!$R$84&lt;=GRID_TO)*('Dvd Calendar'!$R$84&gt;VAL_DATE)=0,"",'Dvd Calendar'!$R$84*1000000000+ISNUMBER('Dvd Calendar'!$R$85)*100000000+0*10000000+(N('Dvd Calendar'!$R$83)&gt;0)*(N('Dvd Calendar'!$R$83)&lt;=VAL_SERIAL)*1000000+7*1000+54))</f>
        <v/>
      </c>
      <c r="GG18" s="39">
        <f>IF(N('Dvd Calendar'!$S$84)=0,"",IF(('Dvd Calendar'!$S$84&gt;=GRID_FROM)*('Dvd Calendar'!$S$84&lt;=GRID_TO)*('Dvd Calendar'!$S$84&gt;VAL_DATE)=0,"",'Dvd Calendar'!$S$84*1000000000+ISNUMBER('Dvd Calendar'!$S$85)*100000000+0*10000000+(N('Dvd Calendar'!$S$83)&gt;0)*(N('Dvd Calendar'!$S$83)&lt;=VAL_SERIAL)*1000000+7*1000+55))</f>
        <v/>
      </c>
      <c r="GH18" s="39">
        <f>IF(N('Dvd Calendar'!$T$84)=0,"",IF(('Dvd Calendar'!$T$84&gt;=GRID_FROM)*('Dvd Calendar'!$T$84&lt;=GRID_TO)*('Dvd Calendar'!$T$84&gt;VAL_DATE)=0,"",'Dvd Calendar'!$T$84*1000000000+ISNUMBER('Dvd Calendar'!$T$85)*100000000+0*10000000+(N('Dvd Calendar'!$T$83)&gt;0)*(N('Dvd Calendar'!$T$83)&lt;=VAL_SERIAL)*1000000+7*1000+56))</f>
        <v/>
      </c>
      <c r="GI18" s="39">
        <f>IF(N('Dvd Calendar'!$U$84)=0,"",IF(('Dvd Calendar'!$U$84&gt;=GRID_FROM)*('Dvd Calendar'!$U$84&lt;=GRID_TO)*('Dvd Calendar'!$U$84&gt;VAL_DATE)=0,"",'Dvd Calendar'!$U$84*1000000000+ISNUMBER('Dvd Calendar'!$U$85)*100000000+0*10000000+(N('Dvd Calendar'!$U$83)&gt;0)*(N('Dvd Calendar'!$U$83)&lt;=VAL_SERIAL)*1000000+7*1000+57))</f>
        <v/>
      </c>
      <c r="GJ18" s="39">
        <f>IF(N('Dvd Calendar'!$V$84)=0,"",IF(('Dvd Calendar'!$V$84&gt;=GRID_FROM)*('Dvd Calendar'!$V$84&lt;=GRID_TO)*('Dvd Calendar'!$V$84&gt;VAL_DATE)=0,"",'Dvd Calendar'!$V$84*1000000000+ISNUMBER('Dvd Calendar'!$V$85)*100000000+0*10000000+(N('Dvd Calendar'!$V$83)&gt;0)*(N('Dvd Calendar'!$V$83)&lt;=VAL_SERIAL)*1000000+7*1000+58))</f>
        <v/>
      </c>
      <c r="GK18" s="39">
        <f>IF(N('Dvd Calendar'!$W$84)=0,"",IF(('Dvd Calendar'!$W$84&gt;=GRID_FROM)*('Dvd Calendar'!$W$84&lt;=GRID_TO)*('Dvd Calendar'!$W$84&gt;VAL_DATE)=0,"",'Dvd Calendar'!$W$84*1000000000+ISNUMBER('Dvd Calendar'!$W$85)*100000000+0*10000000+(N('Dvd Calendar'!$W$83)&gt;0)*(N('Dvd Calendar'!$W$83)&lt;=VAL_SERIAL)*1000000+7*1000+59))</f>
        <v/>
      </c>
      <c r="GL18" s="39">
        <f>IF(N('Dvd Calendar'!$X$84)=0,"",IF(('Dvd Calendar'!$X$84&gt;=GRID_FROM)*('Dvd Calendar'!$X$84&lt;=GRID_TO)*('Dvd Calendar'!$X$84&gt;VAL_DATE)=0,"",'Dvd Calendar'!$X$84*1000000000+ISNUMBER('Dvd Calendar'!$X$85)*100000000+0*10000000+(N('Dvd Calendar'!$X$83)&gt;0)*(N('Dvd Calendar'!$X$83)&lt;=VAL_SERIAL)*1000000+7*1000+60))</f>
        <v/>
      </c>
      <c r="GM18" s="39">
        <f>IF(N('Dvd Calendar'!$Y$84)=0,"",IF(('Dvd Calendar'!$Y$84&gt;=GRID_FROM)*('Dvd Calendar'!$Y$84&lt;=GRID_TO)*('Dvd Calendar'!$Y$84&gt;VAL_DATE)=0,"",'Dvd Calendar'!$Y$84*1000000000+ISNUMBER('Dvd Calendar'!$Y$85)*100000000+0*10000000+(N('Dvd Calendar'!$Y$83)&gt;0)*(N('Dvd Calendar'!$Y$83)&lt;=VAL_SERIAL)*1000000+7*1000+61))</f>
        <v/>
      </c>
      <c r="GN18" s="39">
        <f>IF(N('Dvd Calendar'!$Z$84)=0,"",IF(('Dvd Calendar'!$Z$84&gt;=GRID_FROM)*('Dvd Calendar'!$Z$84&lt;=GRID_TO)*('Dvd Calendar'!$Z$84&gt;VAL_DATE)=0,"",'Dvd Calendar'!$Z$84*1000000000+ISNUMBER('Dvd Calendar'!$Z$85)*100000000+0*10000000+(N('Dvd Calendar'!$Z$83)&gt;0)*(N('Dvd Calendar'!$Z$83)&lt;=VAL_SERIAL)*1000000+7*1000+62))</f>
        <v/>
      </c>
      <c r="GO18" s="39">
        <f>IF(N('Dvd Calendar'!$AA$84)=0,"",IF(('Dvd Calendar'!$AA$84&gt;=GRID_FROM)*('Dvd Calendar'!$AA$84&lt;=GRID_TO)*('Dvd Calendar'!$AA$84&gt;VAL_DATE)=0,"",'Dvd Calendar'!$AA$84*1000000000+ISNUMBER('Dvd Calendar'!$AA$85)*100000000+0*10000000+(N('Dvd Calendar'!$AA$83)&gt;0)*(N('Dvd Calendar'!$AA$83)&lt;=VAL_SERIAL)*1000000+7*1000+63))</f>
        <v/>
      </c>
      <c r="GP18" s="39">
        <f>IF(N('Dvd Calendar'!$AB$84)=0,"",IF(('Dvd Calendar'!$AB$84&gt;=GRID_FROM)*('Dvd Calendar'!$AB$84&lt;=GRID_TO)*('Dvd Calendar'!$AB$84&gt;VAL_DATE)=0,"",'Dvd Calendar'!$AB$84*1000000000+ISNUMBER('Dvd Calendar'!$AB$85)*100000000+0*10000000+(N('Dvd Calendar'!$AB$83)&gt;0)*(N('Dvd Calendar'!$AB$83)&lt;=VAL_SERIAL)*1000000+7*1000+64))</f>
        <v/>
      </c>
      <c r="GQ18" s="39">
        <f>IF(N('Dvd Calendar'!$AC$84)=0,"",IF(('Dvd Calendar'!$AC$84&gt;=GRID_FROM)*('Dvd Calendar'!$AC$84&lt;=GRID_TO)*('Dvd Calendar'!$AC$84&gt;VAL_DATE)=0,"",'Dvd Calendar'!$AC$84*1000000000+ISNUMBER('Dvd Calendar'!$AC$85)*100000000+0*10000000+(N('Dvd Calendar'!$AC$83)&gt;0)*(N('Dvd Calendar'!$AC$83)&lt;=VAL_SERIAL)*1000000+7*1000+65))</f>
        <v/>
      </c>
    </row>
    <row r="19">
      <c r="B19" s="2">
        <f>IF(HSI!$C$14="","",HSI!$C$14)</f>
        <v/>
      </c>
      <c r="C19" s="110">
        <f>IF(EE19="","",IF(ISNUMBER('Dvd Calendar'!$E$91)=FALSE,"",IF((('Dvd Calendar'!$E$93=TYPE1)*(TYPE1&lt;&gt;"")+('Dvd Calendar'!$E$93=TYPE2)*(TYPE2&lt;&gt;"")+('Dvd Calendar'!$E$93=TYPE3)*(TYPE3&lt;&gt;"")+('Dvd Calendar'!$E$93=TYPE4)*(TYPE4&lt;&gt;"")+('Dvd Calendar'!$E$93=SPECIAL_LBL)*(INC_SPECIALS="Y"))=0,"",'Dvd Calendar'!$E$91)))</f>
        <v/>
      </c>
      <c r="D19" s="110">
        <f>IF(EF19="","",IF(ISNUMBER('Dvd Calendar'!$F$91)=FALSE,"",IF((('Dvd Calendar'!$F$93=TYPE1)*(TYPE1&lt;&gt;"")+('Dvd Calendar'!$F$93=TYPE2)*(TYPE2&lt;&gt;"")+('Dvd Calendar'!$F$93=TYPE3)*(TYPE3&lt;&gt;"")+('Dvd Calendar'!$F$93=TYPE4)*(TYPE4&lt;&gt;"")+('Dvd Calendar'!$F$93=SPECIAL_LBL)*(INC_SPECIALS="Y"))=0,"",'Dvd Calendar'!$F$91)))</f>
        <v/>
      </c>
      <c r="E19" s="110">
        <f>IF(EG19="","",IF(ISNUMBER('Dvd Calendar'!$G$91)=FALSE,"",IF((('Dvd Calendar'!$G$93=TYPE1)*(TYPE1&lt;&gt;"")+('Dvd Calendar'!$G$93=TYPE2)*(TYPE2&lt;&gt;"")+('Dvd Calendar'!$G$93=TYPE3)*(TYPE3&lt;&gt;"")+('Dvd Calendar'!$G$93=TYPE4)*(TYPE4&lt;&gt;"")+('Dvd Calendar'!$G$93=SPECIAL_LBL)*(INC_SPECIALS="Y"))=0,"",'Dvd Calendar'!$G$91)))</f>
        <v/>
      </c>
      <c r="F19" s="110">
        <f>IF(EH19="","",IF(ISNUMBER('Dvd Calendar'!$H$91)=FALSE,"",IF((('Dvd Calendar'!$H$93=TYPE1)*(TYPE1&lt;&gt;"")+('Dvd Calendar'!$H$93=TYPE2)*(TYPE2&lt;&gt;"")+('Dvd Calendar'!$H$93=TYPE3)*(TYPE3&lt;&gt;"")+('Dvd Calendar'!$H$93=TYPE4)*(TYPE4&lt;&gt;"")+('Dvd Calendar'!$H$93=SPECIAL_LBL)*(INC_SPECIALS="Y"))=0,"",'Dvd Calendar'!$H$91)))</f>
        <v/>
      </c>
      <c r="G19" s="110">
        <f>IF(EI19="","",IF(ISNUMBER('Dvd Calendar'!$I$91)=FALSE,"",IF((('Dvd Calendar'!$I$93=TYPE1)*(TYPE1&lt;&gt;"")+('Dvd Calendar'!$I$93=TYPE2)*(TYPE2&lt;&gt;"")+('Dvd Calendar'!$I$93=TYPE3)*(TYPE3&lt;&gt;"")+('Dvd Calendar'!$I$93=TYPE4)*(TYPE4&lt;&gt;"")+('Dvd Calendar'!$I$93=SPECIAL_LBL)*(INC_SPECIALS="Y"))=0,"",'Dvd Calendar'!$I$91)))</f>
        <v/>
      </c>
      <c r="H19" s="110">
        <f>IF(EJ19="","",IF(ISNUMBER('Dvd Calendar'!$J$91)=FALSE,"",IF((('Dvd Calendar'!$J$93=TYPE1)*(TYPE1&lt;&gt;"")+('Dvd Calendar'!$J$93=TYPE2)*(TYPE2&lt;&gt;"")+('Dvd Calendar'!$J$93=TYPE3)*(TYPE3&lt;&gt;"")+('Dvd Calendar'!$J$93=TYPE4)*(TYPE4&lt;&gt;"")+('Dvd Calendar'!$J$93=SPECIAL_LBL)*(INC_SPECIALS="Y"))=0,"",'Dvd Calendar'!$J$91)))</f>
        <v/>
      </c>
      <c r="I19" s="110">
        <f>IF(EK19="","",IF(ISNUMBER('Dvd Calendar'!$K$91)=FALSE,"",IF((('Dvd Calendar'!$K$93=TYPE1)*(TYPE1&lt;&gt;"")+('Dvd Calendar'!$K$93=TYPE2)*(TYPE2&lt;&gt;"")+('Dvd Calendar'!$K$93=TYPE3)*(TYPE3&lt;&gt;"")+('Dvd Calendar'!$K$93=TYPE4)*(TYPE4&lt;&gt;"")+('Dvd Calendar'!$K$93=SPECIAL_LBL)*(INC_SPECIALS="Y"))=0,"",'Dvd Calendar'!$K$91)))</f>
        <v/>
      </c>
      <c r="J19" s="110">
        <f>IF(EL19="","",IF(ISNUMBER('Dvd Calendar'!$L$91)=FALSE,"",IF((('Dvd Calendar'!$L$93=TYPE1)*(TYPE1&lt;&gt;"")+('Dvd Calendar'!$L$93=TYPE2)*(TYPE2&lt;&gt;"")+('Dvd Calendar'!$L$93=TYPE3)*(TYPE3&lt;&gt;"")+('Dvd Calendar'!$L$93=TYPE4)*(TYPE4&lt;&gt;"")+('Dvd Calendar'!$L$93=SPECIAL_LBL)*(INC_SPECIALS="Y"))=0,"",'Dvd Calendar'!$L$91)))</f>
        <v/>
      </c>
      <c r="K19" s="110">
        <f>IF(EM19="","",IF(ISNUMBER('Dvd Calendar'!$M$91)=FALSE,"",IF((('Dvd Calendar'!$M$93=TYPE1)*(TYPE1&lt;&gt;"")+('Dvd Calendar'!$M$93=TYPE2)*(TYPE2&lt;&gt;"")+('Dvd Calendar'!$M$93=TYPE3)*(TYPE3&lt;&gt;"")+('Dvd Calendar'!$M$93=TYPE4)*(TYPE4&lt;&gt;"")+('Dvd Calendar'!$M$93=SPECIAL_LBL)*(INC_SPECIALS="Y"))=0,"",'Dvd Calendar'!$M$91)))</f>
        <v/>
      </c>
      <c r="L19" s="110">
        <f>IF(EN19="","",IF(ISNUMBER('Dvd Calendar'!$N$91)=FALSE,"",IF((('Dvd Calendar'!$N$93=TYPE1)*(TYPE1&lt;&gt;"")+('Dvd Calendar'!$N$93=TYPE2)*(TYPE2&lt;&gt;"")+('Dvd Calendar'!$N$93=TYPE3)*(TYPE3&lt;&gt;"")+('Dvd Calendar'!$N$93=TYPE4)*(TYPE4&lt;&gt;"")+('Dvd Calendar'!$N$93=SPECIAL_LBL)*(INC_SPECIALS="Y"))=0,"",'Dvd Calendar'!$N$91)))</f>
        <v/>
      </c>
      <c r="M19" s="110">
        <f>IF(EO19="","",IF(ISNUMBER('Dvd Calendar'!$O$91)=FALSE,"",IF((('Dvd Calendar'!$O$93=TYPE1)*(TYPE1&lt;&gt;"")+('Dvd Calendar'!$O$93=TYPE2)*(TYPE2&lt;&gt;"")+('Dvd Calendar'!$O$93=TYPE3)*(TYPE3&lt;&gt;"")+('Dvd Calendar'!$O$93=TYPE4)*(TYPE4&lt;&gt;"")+('Dvd Calendar'!$O$93=SPECIAL_LBL)*(INC_SPECIALS="Y"))=0,"",'Dvd Calendar'!$O$91)))</f>
        <v/>
      </c>
      <c r="N19" s="110">
        <f>IF(EP19="","",IF(ISNUMBER('Dvd Calendar'!$P$91)=FALSE,"",IF((('Dvd Calendar'!$P$93=TYPE1)*(TYPE1&lt;&gt;"")+('Dvd Calendar'!$P$93=TYPE2)*(TYPE2&lt;&gt;"")+('Dvd Calendar'!$P$93=TYPE3)*(TYPE3&lt;&gt;"")+('Dvd Calendar'!$P$93=TYPE4)*(TYPE4&lt;&gt;"")+('Dvd Calendar'!$P$93=SPECIAL_LBL)*(INC_SPECIALS="Y"))=0,"",'Dvd Calendar'!$P$91)))</f>
        <v/>
      </c>
      <c r="O19" s="110">
        <f>IF(EQ19="","",IF(ISNUMBER('Dvd Calendar'!$Q$91)=FALSE,"",IF((('Dvd Calendar'!$Q$93=TYPE1)*(TYPE1&lt;&gt;"")+('Dvd Calendar'!$Q$93=TYPE2)*(TYPE2&lt;&gt;"")+('Dvd Calendar'!$Q$93=TYPE3)*(TYPE3&lt;&gt;"")+('Dvd Calendar'!$Q$93=TYPE4)*(TYPE4&lt;&gt;"")+('Dvd Calendar'!$Q$93=SPECIAL_LBL)*(INC_SPECIALS="Y"))=0,"",'Dvd Calendar'!$Q$91)))</f>
        <v/>
      </c>
      <c r="P19" s="110">
        <f>IF(ER19="","",IF(ISNUMBER('Dvd Calendar'!$R$91)=FALSE,"",IF((('Dvd Calendar'!$R$93=TYPE1)*(TYPE1&lt;&gt;"")+('Dvd Calendar'!$R$93=TYPE2)*(TYPE2&lt;&gt;"")+('Dvd Calendar'!$R$93=TYPE3)*(TYPE3&lt;&gt;"")+('Dvd Calendar'!$R$93=TYPE4)*(TYPE4&lt;&gt;"")+('Dvd Calendar'!$R$93=SPECIAL_LBL)*(INC_SPECIALS="Y"))=0,"",'Dvd Calendar'!$R$91)))</f>
        <v/>
      </c>
      <c r="Q19" s="110">
        <f>IF(ES19="","",IF(ISNUMBER('Dvd Calendar'!$S$91)=FALSE,"",IF((('Dvd Calendar'!$S$93=TYPE1)*(TYPE1&lt;&gt;"")+('Dvd Calendar'!$S$93=TYPE2)*(TYPE2&lt;&gt;"")+('Dvd Calendar'!$S$93=TYPE3)*(TYPE3&lt;&gt;"")+('Dvd Calendar'!$S$93=TYPE4)*(TYPE4&lt;&gt;"")+('Dvd Calendar'!$S$93=SPECIAL_LBL)*(INC_SPECIALS="Y"))=0,"",'Dvd Calendar'!$S$91)))</f>
        <v/>
      </c>
      <c r="R19" s="110">
        <f>IF(ET19="","",IF(ISNUMBER('Dvd Calendar'!$T$91)=FALSE,"",IF((('Dvd Calendar'!$T$93=TYPE1)*(TYPE1&lt;&gt;"")+('Dvd Calendar'!$T$93=TYPE2)*(TYPE2&lt;&gt;"")+('Dvd Calendar'!$T$93=TYPE3)*(TYPE3&lt;&gt;"")+('Dvd Calendar'!$T$93=TYPE4)*(TYPE4&lt;&gt;"")+('Dvd Calendar'!$T$93=SPECIAL_LBL)*(INC_SPECIALS="Y"))=0,"",'Dvd Calendar'!$T$91)))</f>
        <v/>
      </c>
      <c r="S19" s="110">
        <f>IF(EU19="","",IF(ISNUMBER('Dvd Calendar'!$U$91)=FALSE,"",IF((('Dvd Calendar'!$U$93=TYPE1)*(TYPE1&lt;&gt;"")+('Dvd Calendar'!$U$93=TYPE2)*(TYPE2&lt;&gt;"")+('Dvd Calendar'!$U$93=TYPE3)*(TYPE3&lt;&gt;"")+('Dvd Calendar'!$U$93=TYPE4)*(TYPE4&lt;&gt;"")+('Dvd Calendar'!$U$93=SPECIAL_LBL)*(INC_SPECIALS="Y"))=0,"",'Dvd Calendar'!$U$91)))</f>
        <v/>
      </c>
      <c r="T19" s="110">
        <f>IF(EV19="","",IF(ISNUMBER('Dvd Calendar'!$V$91)=FALSE,"",IF((('Dvd Calendar'!$V$93=TYPE1)*(TYPE1&lt;&gt;"")+('Dvd Calendar'!$V$93=TYPE2)*(TYPE2&lt;&gt;"")+('Dvd Calendar'!$V$93=TYPE3)*(TYPE3&lt;&gt;"")+('Dvd Calendar'!$V$93=TYPE4)*(TYPE4&lt;&gt;"")+('Dvd Calendar'!$V$93=SPECIAL_LBL)*(INC_SPECIALS="Y"))=0,"",'Dvd Calendar'!$V$91)))</f>
        <v/>
      </c>
      <c r="U19" s="110">
        <f>IF(EW19="","",IF(ISNUMBER('Dvd Calendar'!$W$91)=FALSE,"",IF((('Dvd Calendar'!$W$93=TYPE1)*(TYPE1&lt;&gt;"")+('Dvd Calendar'!$W$93=TYPE2)*(TYPE2&lt;&gt;"")+('Dvd Calendar'!$W$93=TYPE3)*(TYPE3&lt;&gt;"")+('Dvd Calendar'!$W$93=TYPE4)*(TYPE4&lt;&gt;"")+('Dvd Calendar'!$W$93=SPECIAL_LBL)*(INC_SPECIALS="Y"))=0,"",'Dvd Calendar'!$W$91)))</f>
        <v/>
      </c>
      <c r="V19" s="110">
        <f>IF(EX19="","",IF(ISNUMBER('Dvd Calendar'!$X$91)=FALSE,"",IF((('Dvd Calendar'!$X$93=TYPE1)*(TYPE1&lt;&gt;"")+('Dvd Calendar'!$X$93=TYPE2)*(TYPE2&lt;&gt;"")+('Dvd Calendar'!$X$93=TYPE3)*(TYPE3&lt;&gt;"")+('Dvd Calendar'!$X$93=TYPE4)*(TYPE4&lt;&gt;"")+('Dvd Calendar'!$X$93=SPECIAL_LBL)*(INC_SPECIALS="Y"))=0,"",'Dvd Calendar'!$X$91)))</f>
        <v/>
      </c>
      <c r="W19" s="110">
        <f>IF(EY19="","",IF(ISNUMBER('Dvd Calendar'!$Y$91)=FALSE,"",IF((('Dvd Calendar'!$Y$93=TYPE1)*(TYPE1&lt;&gt;"")+('Dvd Calendar'!$Y$93=TYPE2)*(TYPE2&lt;&gt;"")+('Dvd Calendar'!$Y$93=TYPE3)*(TYPE3&lt;&gt;"")+('Dvd Calendar'!$Y$93=TYPE4)*(TYPE4&lt;&gt;"")+('Dvd Calendar'!$Y$93=SPECIAL_LBL)*(INC_SPECIALS="Y"))=0,"",'Dvd Calendar'!$Y$91)))</f>
        <v/>
      </c>
      <c r="X19" s="110">
        <f>IF(EZ19="","",IF(ISNUMBER('Dvd Calendar'!$Z$91)=FALSE,"",IF((('Dvd Calendar'!$Z$93=TYPE1)*(TYPE1&lt;&gt;"")+('Dvd Calendar'!$Z$93=TYPE2)*(TYPE2&lt;&gt;"")+('Dvd Calendar'!$Z$93=TYPE3)*(TYPE3&lt;&gt;"")+('Dvd Calendar'!$Z$93=TYPE4)*(TYPE4&lt;&gt;"")+('Dvd Calendar'!$Z$93=SPECIAL_LBL)*(INC_SPECIALS="Y"))=0,"",'Dvd Calendar'!$Z$91)))</f>
        <v/>
      </c>
      <c r="Y19" s="110">
        <f>IF(FA19="","",IF(ISNUMBER('Dvd Calendar'!$AA$91)=FALSE,"",IF((('Dvd Calendar'!$AA$93=TYPE1)*(TYPE1&lt;&gt;"")+('Dvd Calendar'!$AA$93=TYPE2)*(TYPE2&lt;&gt;"")+('Dvd Calendar'!$AA$93=TYPE3)*(TYPE3&lt;&gt;"")+('Dvd Calendar'!$AA$93=TYPE4)*(TYPE4&lt;&gt;"")+('Dvd Calendar'!$AA$93=SPECIAL_LBL)*(INC_SPECIALS="Y"))=0,"",'Dvd Calendar'!$AA$91)))</f>
        <v/>
      </c>
      <c r="Z19" s="110">
        <f>IF(FB19="","",IF(ISNUMBER('Dvd Calendar'!$AB$91)=FALSE,"",IF((('Dvd Calendar'!$AB$93=TYPE1)*(TYPE1&lt;&gt;"")+('Dvd Calendar'!$AB$93=TYPE2)*(TYPE2&lt;&gt;"")+('Dvd Calendar'!$AB$93=TYPE3)*(TYPE3&lt;&gt;"")+('Dvd Calendar'!$AB$93=TYPE4)*(TYPE4&lt;&gt;"")+('Dvd Calendar'!$AB$93=SPECIAL_LBL)*(INC_SPECIALS="Y"))=0,"",'Dvd Calendar'!$AB$91)))</f>
        <v/>
      </c>
      <c r="AA19" s="110">
        <f>IF(FC19="","",IF(ISNUMBER('Dvd Calendar'!$AC$91)=FALSE,"",IF((('Dvd Calendar'!$AC$93=TYPE1)*(TYPE1&lt;&gt;"")+('Dvd Calendar'!$AC$93=TYPE2)*(TYPE2&lt;&gt;"")+('Dvd Calendar'!$AC$93=TYPE3)*(TYPE3&lt;&gt;"")+('Dvd Calendar'!$AC$93=TYPE4)*(TYPE4&lt;&gt;"")+('Dvd Calendar'!$AC$93=SPECIAL_LBL)*(INC_SPECIALS="Y"))=0,"",'Dvd Calendar'!$AC$91)))</f>
        <v/>
      </c>
      <c r="AB19" s="110">
        <f>IF(FD19="","",IF(ISNUMBER('Dvd Calendar'!$AD$91)=FALSE,"",IF((('Dvd Calendar'!$AD$93=TYPE1)*(TYPE1&lt;&gt;"")+('Dvd Calendar'!$AD$93=TYPE2)*(TYPE2&lt;&gt;"")+('Dvd Calendar'!$AD$93=TYPE3)*(TYPE3&lt;&gt;"")+('Dvd Calendar'!$AD$93=TYPE4)*(TYPE4&lt;&gt;"")+('Dvd Calendar'!$AD$93=SPECIAL_LBL)*(INC_SPECIALS="Y"))=0,"",'Dvd Calendar'!$AD$91)))</f>
        <v/>
      </c>
      <c r="AC19" s="110">
        <f>IF(FE19="","",IF(ISNUMBER('Dvd Calendar'!$AE$91)=FALSE,"",IF((('Dvd Calendar'!$AE$93=TYPE1)*(TYPE1&lt;&gt;"")+('Dvd Calendar'!$AE$93=TYPE2)*(TYPE2&lt;&gt;"")+('Dvd Calendar'!$AE$93=TYPE3)*(TYPE3&lt;&gt;"")+('Dvd Calendar'!$AE$93=TYPE4)*(TYPE4&lt;&gt;"")+('Dvd Calendar'!$AE$93=SPECIAL_LBL)*(INC_SPECIALS="Y"))=0,"",'Dvd Calendar'!$AE$91)))</f>
        <v/>
      </c>
      <c r="AD19" s="110">
        <f>IF(FF19="","",IF(ISNUMBER('Dvd Calendar'!$AF$91)=FALSE,"",IF((('Dvd Calendar'!$AF$93=TYPE1)*(TYPE1&lt;&gt;"")+('Dvd Calendar'!$AF$93=TYPE2)*(TYPE2&lt;&gt;"")+('Dvd Calendar'!$AF$93=TYPE3)*(TYPE3&lt;&gt;"")+('Dvd Calendar'!$AF$93=TYPE4)*(TYPE4&lt;&gt;"")+('Dvd Calendar'!$AF$93=SPECIAL_LBL)*(INC_SPECIALS="Y"))=0,"",'Dvd Calendar'!$AF$91)))</f>
        <v/>
      </c>
      <c r="AE19" s="110">
        <f>IF(FG19="","",IF(ISNUMBER('Dvd Calendar'!$AG$91)=FALSE,"",IF((('Dvd Calendar'!$AG$93=TYPE1)*(TYPE1&lt;&gt;"")+('Dvd Calendar'!$AG$93=TYPE2)*(TYPE2&lt;&gt;"")+('Dvd Calendar'!$AG$93=TYPE3)*(TYPE3&lt;&gt;"")+('Dvd Calendar'!$AG$93=TYPE4)*(TYPE4&lt;&gt;"")+('Dvd Calendar'!$AG$93=SPECIAL_LBL)*(INC_SPECIALS="Y"))=0,"",'Dvd Calendar'!$AG$91)))</f>
        <v/>
      </c>
      <c r="AF19" s="110">
        <f>IF(FH19="","",IF(ISNUMBER('Dvd Calendar'!$AH$91)=FALSE,"",IF((('Dvd Calendar'!$AH$93=TYPE1)*(TYPE1&lt;&gt;"")+('Dvd Calendar'!$AH$93=TYPE2)*(TYPE2&lt;&gt;"")+('Dvd Calendar'!$AH$93=TYPE3)*(TYPE3&lt;&gt;"")+('Dvd Calendar'!$AH$93=TYPE4)*(TYPE4&lt;&gt;"")+('Dvd Calendar'!$AH$93=SPECIAL_LBL)*(INC_SPECIALS="Y"))=0,"",'Dvd Calendar'!$AH$91)))</f>
        <v/>
      </c>
      <c r="AG19" s="110">
        <f>IF(FI19="","",IF(ISNUMBER('Dvd Calendar'!$AI$91)=FALSE,"",IF((('Dvd Calendar'!$AI$93=TYPE1)*(TYPE1&lt;&gt;"")+('Dvd Calendar'!$AI$93=TYPE2)*(TYPE2&lt;&gt;"")+('Dvd Calendar'!$AI$93=TYPE3)*(TYPE3&lt;&gt;"")+('Dvd Calendar'!$AI$93=TYPE4)*(TYPE4&lt;&gt;"")+('Dvd Calendar'!$AI$93=SPECIAL_LBL)*(INC_SPECIALS="Y"))=0,"",'Dvd Calendar'!$AI$91)))</f>
        <v/>
      </c>
      <c r="AH19" s="110">
        <f>IF(FJ19="","",IF(ISNUMBER('Dvd Calendar'!$AJ$91)=FALSE,"",IF((('Dvd Calendar'!$AJ$93=TYPE1)*(TYPE1&lt;&gt;"")+('Dvd Calendar'!$AJ$93=TYPE2)*(TYPE2&lt;&gt;"")+('Dvd Calendar'!$AJ$93=TYPE3)*(TYPE3&lt;&gt;"")+('Dvd Calendar'!$AJ$93=TYPE4)*(TYPE4&lt;&gt;"")+('Dvd Calendar'!$AJ$93=SPECIAL_LBL)*(INC_SPECIALS="Y"))=0,"",'Dvd Calendar'!$AJ$91)))</f>
        <v/>
      </c>
      <c r="AI19" s="110">
        <f>IF(FK19="","",IF(ISNUMBER('Dvd Calendar'!$AK$91)=FALSE,"",IF((('Dvd Calendar'!$AK$93=TYPE1)*(TYPE1&lt;&gt;"")+('Dvd Calendar'!$AK$93=TYPE2)*(TYPE2&lt;&gt;"")+('Dvd Calendar'!$AK$93=TYPE3)*(TYPE3&lt;&gt;"")+('Dvd Calendar'!$AK$93=TYPE4)*(TYPE4&lt;&gt;"")+('Dvd Calendar'!$AK$93=SPECIAL_LBL)*(INC_SPECIALS="Y"))=0,"",'Dvd Calendar'!$AK$91)))</f>
        <v/>
      </c>
      <c r="AJ19" s="110">
        <f>IF(FL19="","",IF(ISNUMBER('Dvd Calendar'!$AL$91)=FALSE,"",IF((('Dvd Calendar'!$AL$93=TYPE1)*(TYPE1&lt;&gt;"")+('Dvd Calendar'!$AL$93=TYPE2)*(TYPE2&lt;&gt;"")+('Dvd Calendar'!$AL$93=TYPE3)*(TYPE3&lt;&gt;"")+('Dvd Calendar'!$AL$93=TYPE4)*(TYPE4&lt;&gt;"")+('Dvd Calendar'!$AL$93=SPECIAL_LBL)*(INC_SPECIALS="Y"))=0,"",'Dvd Calendar'!$AL$91)))</f>
        <v/>
      </c>
      <c r="AK19" s="110">
        <f>IF(FM19="","",IF(ISNUMBER('Dvd Calendar'!$AM$91)=FALSE,"",IF((('Dvd Calendar'!$AM$93=TYPE1)*(TYPE1&lt;&gt;"")+('Dvd Calendar'!$AM$93=TYPE2)*(TYPE2&lt;&gt;"")+('Dvd Calendar'!$AM$93=TYPE3)*(TYPE3&lt;&gt;"")+('Dvd Calendar'!$AM$93=TYPE4)*(TYPE4&lt;&gt;"")+('Dvd Calendar'!$AM$93=SPECIAL_LBL)*(INC_SPECIALS="Y"))=0,"",'Dvd Calendar'!$AM$91)))</f>
        <v/>
      </c>
      <c r="AL19" s="110">
        <f>IF(FN19="","",IF(ISNUMBER('Dvd Calendar'!$AN$91)=FALSE,"",IF((('Dvd Calendar'!$AN$93=TYPE1)*(TYPE1&lt;&gt;"")+('Dvd Calendar'!$AN$93=TYPE2)*(TYPE2&lt;&gt;"")+('Dvd Calendar'!$AN$93=TYPE3)*(TYPE3&lt;&gt;"")+('Dvd Calendar'!$AN$93=TYPE4)*(TYPE4&lt;&gt;"")+('Dvd Calendar'!$AN$93=SPECIAL_LBL)*(INC_SPECIALS="Y"))=0,"",'Dvd Calendar'!$AN$91)))</f>
        <v/>
      </c>
      <c r="AM19" s="110">
        <f>IF(FO19="","",IF(ISNUMBER('Dvd Calendar'!$AO$91)=FALSE,"",IF((('Dvd Calendar'!$AO$93=TYPE1)*(TYPE1&lt;&gt;"")+('Dvd Calendar'!$AO$93=TYPE2)*(TYPE2&lt;&gt;"")+('Dvd Calendar'!$AO$93=TYPE3)*(TYPE3&lt;&gt;"")+('Dvd Calendar'!$AO$93=TYPE4)*(TYPE4&lt;&gt;"")+('Dvd Calendar'!$AO$93=SPECIAL_LBL)*(INC_SPECIALS="Y"))=0,"",'Dvd Calendar'!$AO$91)))</f>
        <v/>
      </c>
      <c r="AN19" s="110">
        <f>IF(FP19="","",IF(ISNUMBER('Dvd Calendar'!$AP$91)=FALSE,"",IF((('Dvd Calendar'!$AP$93=TYPE1)*(TYPE1&lt;&gt;"")+('Dvd Calendar'!$AP$93=TYPE2)*(TYPE2&lt;&gt;"")+('Dvd Calendar'!$AP$93=TYPE3)*(TYPE3&lt;&gt;"")+('Dvd Calendar'!$AP$93=TYPE4)*(TYPE4&lt;&gt;"")+('Dvd Calendar'!$AP$93=SPECIAL_LBL)*(INC_SPECIALS="Y"))=0,"",'Dvd Calendar'!$AP$91)))</f>
        <v/>
      </c>
      <c r="AO19" s="110">
        <f>IF(FQ19="","",IF(ISNUMBER('Dvd Calendar'!$AQ$91)=FALSE,"",IF((('Dvd Calendar'!$AQ$93=TYPE1)*(TYPE1&lt;&gt;"")+('Dvd Calendar'!$AQ$93=TYPE2)*(TYPE2&lt;&gt;"")+('Dvd Calendar'!$AQ$93=TYPE3)*(TYPE3&lt;&gt;"")+('Dvd Calendar'!$AQ$93=TYPE4)*(TYPE4&lt;&gt;"")+('Dvd Calendar'!$AQ$93=SPECIAL_LBL)*(INC_SPECIALS="Y"))=0,"",'Dvd Calendar'!$AQ$91)))</f>
        <v/>
      </c>
      <c r="AP19" s="110">
        <f>IF(FR19="","",IF(ISNUMBER('Dvd Calendar'!$AR$91)=FALSE,"",IF((('Dvd Calendar'!$AR$93=TYPE1)*(TYPE1&lt;&gt;"")+('Dvd Calendar'!$AR$93=TYPE2)*(TYPE2&lt;&gt;"")+('Dvd Calendar'!$AR$93=TYPE3)*(TYPE3&lt;&gt;"")+('Dvd Calendar'!$AR$93=TYPE4)*(TYPE4&lt;&gt;"")+('Dvd Calendar'!$AR$93=SPECIAL_LBL)*(INC_SPECIALS="Y"))=0,"",'Dvd Calendar'!$AR$91)))</f>
        <v/>
      </c>
      <c r="AQ19" s="110">
        <f>IF(FS19="","",IF(ISNUMBER('Dvd Calendar'!$E$96)=FALSE,"",'Dvd Calendar'!$E$96))</f>
        <v/>
      </c>
      <c r="AR19" s="110">
        <f>IF(FT19="","",IF(ISNUMBER('Dvd Calendar'!$F$96)=FALSE,"",'Dvd Calendar'!$F$96))</f>
        <v/>
      </c>
      <c r="AS19" s="110">
        <f>IF(FU19="","",IF(ISNUMBER('Dvd Calendar'!$G$96)=FALSE,"",'Dvd Calendar'!$G$96))</f>
        <v/>
      </c>
      <c r="AT19" s="110">
        <f>IF(FV19="","",IF(ISNUMBER('Dvd Calendar'!$H$96)=FALSE,"",'Dvd Calendar'!$H$96))</f>
        <v/>
      </c>
      <c r="AU19" s="110">
        <f>IF(FW19="","",IF(ISNUMBER('Dvd Calendar'!$I$96)=FALSE,"",'Dvd Calendar'!$I$96))</f>
        <v/>
      </c>
      <c r="AV19" s="110">
        <f>IF(FX19="","",IF(ISNUMBER('Dvd Calendar'!$J$96)=FALSE,"",'Dvd Calendar'!$J$96))</f>
        <v/>
      </c>
      <c r="AW19" s="110">
        <f>IF(FY19="","",IF(ISNUMBER('Dvd Calendar'!$K$96)=FALSE,"",'Dvd Calendar'!$K$96))</f>
        <v/>
      </c>
      <c r="AX19" s="110">
        <f>IF(FZ19="","",IF(ISNUMBER('Dvd Calendar'!$L$96)=FALSE,"",'Dvd Calendar'!$L$96))</f>
        <v/>
      </c>
      <c r="AY19" s="110">
        <f>IF(GA19="","",IF(ISNUMBER('Dvd Calendar'!$M$96)=FALSE,"",'Dvd Calendar'!$M$96))</f>
        <v/>
      </c>
      <c r="AZ19" s="110">
        <f>IF(GB19="","",IF(ISNUMBER('Dvd Calendar'!$N$96)=FALSE,"",'Dvd Calendar'!$N$96))</f>
        <v/>
      </c>
      <c r="BA19" s="110">
        <f>IF(GC19="","",IF(ISNUMBER('Dvd Calendar'!$O$96)=FALSE,"",'Dvd Calendar'!$O$96))</f>
        <v/>
      </c>
      <c r="BB19" s="110">
        <f>IF(GD19="","",IF(ISNUMBER('Dvd Calendar'!$P$96)=FALSE,"",'Dvd Calendar'!$P$96))</f>
        <v/>
      </c>
      <c r="BC19" s="110">
        <f>IF(GE19="","",IF(ISNUMBER('Dvd Calendar'!$Q$96)=FALSE,"",'Dvd Calendar'!$Q$96))</f>
        <v/>
      </c>
      <c r="BD19" s="110">
        <f>IF(GF19="","",IF(ISNUMBER('Dvd Calendar'!$R$96)=FALSE,"",'Dvd Calendar'!$R$96))</f>
        <v/>
      </c>
      <c r="BE19" s="110">
        <f>IF(GG19="","",IF(ISNUMBER('Dvd Calendar'!$S$96)=FALSE,"",'Dvd Calendar'!$S$96))</f>
        <v/>
      </c>
      <c r="BF19" s="110">
        <f>IF(GH19="","",IF(ISNUMBER('Dvd Calendar'!$T$96)=FALSE,"",'Dvd Calendar'!$T$96))</f>
        <v/>
      </c>
      <c r="BG19" s="110">
        <f>IF(GI19="","",IF(ISNUMBER('Dvd Calendar'!$U$96)=FALSE,"",'Dvd Calendar'!$U$96))</f>
        <v/>
      </c>
      <c r="BH19" s="110">
        <f>IF(GJ19="","",IF(ISNUMBER('Dvd Calendar'!$V$96)=FALSE,"",'Dvd Calendar'!$V$96))</f>
        <v/>
      </c>
      <c r="BI19" s="110">
        <f>IF(GK19="","",IF(ISNUMBER('Dvd Calendar'!$W$96)=FALSE,"",'Dvd Calendar'!$W$96))</f>
        <v/>
      </c>
      <c r="BJ19" s="110">
        <f>IF(GL19="","",IF(ISNUMBER('Dvd Calendar'!$X$96)=FALSE,"",'Dvd Calendar'!$X$96))</f>
        <v/>
      </c>
      <c r="BK19" s="110">
        <f>IF(GM19="","",IF(ISNUMBER('Dvd Calendar'!$Y$96)=FALSE,"",'Dvd Calendar'!$Y$96))</f>
        <v/>
      </c>
      <c r="BL19" s="110">
        <f>IF(GN19="","",IF(ISNUMBER('Dvd Calendar'!$Z$96)=FALSE,"",'Dvd Calendar'!$Z$96))</f>
        <v/>
      </c>
      <c r="BM19" s="110">
        <f>IF(GO19="","",IF(ISNUMBER('Dvd Calendar'!$AA$96)=FALSE,"",'Dvd Calendar'!$AA$96))</f>
        <v/>
      </c>
      <c r="BN19" s="110">
        <f>IF(GP19="","",IF(ISNUMBER('Dvd Calendar'!$AB$96)=FALSE,"",'Dvd Calendar'!$AB$96))</f>
        <v/>
      </c>
      <c r="BO19" s="110">
        <f>IF(GQ19="","",IF(ISNUMBER('Dvd Calendar'!$AC$96)=FALSE,"",'Dvd Calendar'!$AC$96))</f>
        <v/>
      </c>
      <c r="BQ19" s="110">
        <f>IF(C19="","",IFERROR(C19*HSI!$B$14*HSI!$G$14/HSI!$B$3,""))</f>
        <v/>
      </c>
      <c r="BR19" s="110">
        <f>IF(D19="","",IFERROR(D19*HSI!$B$14*HSI!$G$14/HSI!$B$3,""))</f>
        <v/>
      </c>
      <c r="BS19" s="110">
        <f>IF(E19="","",IFERROR(E19*HSI!$B$14*HSI!$G$14/HSI!$B$3,""))</f>
        <v/>
      </c>
      <c r="BT19" s="110">
        <f>IF(F19="","",IFERROR(F19*HSI!$B$14*HSI!$G$14/HSI!$B$3,""))</f>
        <v/>
      </c>
      <c r="BU19" s="110">
        <f>IF(G19="","",IFERROR(G19*HSI!$B$14*HSI!$G$14/HSI!$B$3,""))</f>
        <v/>
      </c>
      <c r="BV19" s="110">
        <f>IF(H19="","",IFERROR(H19*HSI!$B$14*HSI!$G$14/HSI!$B$3,""))</f>
        <v/>
      </c>
      <c r="BW19" s="110">
        <f>IF(I19="","",IFERROR(I19*HSI!$B$14*HSI!$G$14/HSI!$B$3,""))</f>
        <v/>
      </c>
      <c r="BX19" s="110">
        <f>IF(J19="","",IFERROR(J19*HSI!$B$14*HSI!$G$14/HSI!$B$3,""))</f>
        <v/>
      </c>
      <c r="BY19" s="110">
        <f>IF(K19="","",IFERROR(K19*HSI!$B$14*HSI!$G$14/HSI!$B$3,""))</f>
        <v/>
      </c>
      <c r="BZ19" s="110">
        <f>IF(L19="","",IFERROR(L19*HSI!$B$14*HSI!$G$14/HSI!$B$3,""))</f>
        <v/>
      </c>
      <c r="CA19" s="110">
        <f>IF(M19="","",IFERROR(M19*HSI!$B$14*HSI!$G$14/HSI!$B$3,""))</f>
        <v/>
      </c>
      <c r="CB19" s="110">
        <f>IF(N19="","",IFERROR(N19*HSI!$B$14*HSI!$G$14/HSI!$B$3,""))</f>
        <v/>
      </c>
      <c r="CC19" s="110">
        <f>IF(O19="","",IFERROR(O19*HSI!$B$14*HSI!$G$14/HSI!$B$3,""))</f>
        <v/>
      </c>
      <c r="CD19" s="110">
        <f>IF(P19="","",IFERROR(P19*HSI!$B$14*HSI!$G$14/HSI!$B$3,""))</f>
        <v/>
      </c>
      <c r="CE19" s="110">
        <f>IF(Q19="","",IFERROR(Q19*HSI!$B$14*HSI!$G$14/HSI!$B$3,""))</f>
        <v/>
      </c>
      <c r="CF19" s="110">
        <f>IF(R19="","",IFERROR(R19*HSI!$B$14*HSI!$G$14/HSI!$B$3,""))</f>
        <v/>
      </c>
      <c r="CG19" s="110">
        <f>IF(S19="","",IFERROR(S19*HSI!$B$14*HSI!$G$14/HSI!$B$3,""))</f>
        <v/>
      </c>
      <c r="CH19" s="110">
        <f>IF(T19="","",IFERROR(T19*HSI!$B$14*HSI!$G$14/HSI!$B$3,""))</f>
        <v/>
      </c>
      <c r="CI19" s="110">
        <f>IF(U19="","",IFERROR(U19*HSI!$B$14*HSI!$G$14/HSI!$B$3,""))</f>
        <v/>
      </c>
      <c r="CJ19" s="110">
        <f>IF(V19="","",IFERROR(V19*HSI!$B$14*HSI!$G$14/HSI!$B$3,""))</f>
        <v/>
      </c>
      <c r="CK19" s="110">
        <f>IF(W19="","",IFERROR(W19*HSI!$B$14*HSI!$G$14/HSI!$B$3,""))</f>
        <v/>
      </c>
      <c r="CL19" s="110">
        <f>IF(X19="","",IFERROR(X19*HSI!$B$14*HSI!$G$14/HSI!$B$3,""))</f>
        <v/>
      </c>
      <c r="CM19" s="110">
        <f>IF(Y19="","",IFERROR(Y19*HSI!$B$14*HSI!$G$14/HSI!$B$3,""))</f>
        <v/>
      </c>
      <c r="CN19" s="110">
        <f>IF(Z19="","",IFERROR(Z19*HSI!$B$14*HSI!$G$14/HSI!$B$3,""))</f>
        <v/>
      </c>
      <c r="CO19" s="110">
        <f>IF(AA19="","",IFERROR(AA19*HSI!$B$14*HSI!$G$14/HSI!$B$3,""))</f>
        <v/>
      </c>
      <c r="CP19" s="110">
        <f>IF(AB19="","",IFERROR(AB19*HSI!$B$14*HSI!$G$14/HSI!$B$3,""))</f>
        <v/>
      </c>
      <c r="CQ19" s="110">
        <f>IF(AC19="","",IFERROR(AC19*HSI!$B$14*HSI!$G$14/HSI!$B$3,""))</f>
        <v/>
      </c>
      <c r="CR19" s="110">
        <f>IF(AD19="","",IFERROR(AD19*HSI!$B$14*HSI!$G$14/HSI!$B$3,""))</f>
        <v/>
      </c>
      <c r="CS19" s="110">
        <f>IF(AE19="","",IFERROR(AE19*HSI!$B$14*HSI!$G$14/HSI!$B$3,""))</f>
        <v/>
      </c>
      <c r="CT19" s="110">
        <f>IF(AF19="","",IFERROR(AF19*HSI!$B$14*HSI!$G$14/HSI!$B$3,""))</f>
        <v/>
      </c>
      <c r="CU19" s="110">
        <f>IF(AG19="","",IFERROR(AG19*HSI!$B$14*HSI!$G$14/HSI!$B$3,""))</f>
        <v/>
      </c>
      <c r="CV19" s="110">
        <f>IF(AH19="","",IFERROR(AH19*HSI!$B$14*HSI!$G$14/HSI!$B$3,""))</f>
        <v/>
      </c>
      <c r="CW19" s="110">
        <f>IF(AI19="","",IFERROR(AI19*HSI!$B$14*HSI!$G$14/HSI!$B$3,""))</f>
        <v/>
      </c>
      <c r="CX19" s="110">
        <f>IF(AJ19="","",IFERROR(AJ19*HSI!$B$14*HSI!$G$14/HSI!$B$3,""))</f>
        <v/>
      </c>
      <c r="CY19" s="110">
        <f>IF(AK19="","",IFERROR(AK19*HSI!$B$14*HSI!$G$14/HSI!$B$3,""))</f>
        <v/>
      </c>
      <c r="CZ19" s="110">
        <f>IF(AL19="","",IFERROR(AL19*HSI!$B$14*HSI!$G$14/HSI!$B$3,""))</f>
        <v/>
      </c>
      <c r="DA19" s="110">
        <f>IF(AM19="","",IFERROR(AM19*HSI!$B$14*HSI!$G$14/HSI!$B$3,""))</f>
        <v/>
      </c>
      <c r="DB19" s="110">
        <f>IF(AN19="","",IFERROR(AN19*HSI!$B$14*HSI!$G$14/HSI!$B$3,""))</f>
        <v/>
      </c>
      <c r="DC19" s="110">
        <f>IF(AO19="","",IFERROR(AO19*HSI!$B$14*HSI!$G$14/HSI!$B$3,""))</f>
        <v/>
      </c>
      <c r="DD19" s="110">
        <f>IF(AP19="","",IFERROR(AP19*HSI!$B$14*HSI!$G$14/HSI!$B$3,""))</f>
        <v/>
      </c>
      <c r="DE19" s="110">
        <f>IF(AQ19="","",IFERROR(AQ19*HSI!$B$14*HSI!$G$14/HSI!$B$3,""))</f>
        <v/>
      </c>
      <c r="DF19" s="110">
        <f>IF(AR19="","",IFERROR(AR19*HSI!$B$14*HSI!$G$14/HSI!$B$3,""))</f>
        <v/>
      </c>
      <c r="DG19" s="110">
        <f>IF(AS19="","",IFERROR(AS19*HSI!$B$14*HSI!$G$14/HSI!$B$3,""))</f>
        <v/>
      </c>
      <c r="DH19" s="110">
        <f>IF(AT19="","",IFERROR(AT19*HSI!$B$14*HSI!$G$14/HSI!$B$3,""))</f>
        <v/>
      </c>
      <c r="DI19" s="110">
        <f>IF(AU19="","",IFERROR(AU19*HSI!$B$14*HSI!$G$14/HSI!$B$3,""))</f>
        <v/>
      </c>
      <c r="DJ19" s="110">
        <f>IF(AV19="","",IFERROR(AV19*HSI!$B$14*HSI!$G$14/HSI!$B$3,""))</f>
        <v/>
      </c>
      <c r="DK19" s="110">
        <f>IF(AW19="","",IFERROR(AW19*HSI!$B$14*HSI!$G$14/HSI!$B$3,""))</f>
        <v/>
      </c>
      <c r="DL19" s="110">
        <f>IF(AX19="","",IFERROR(AX19*HSI!$B$14*HSI!$G$14/HSI!$B$3,""))</f>
        <v/>
      </c>
      <c r="DM19" s="110">
        <f>IF(AY19="","",IFERROR(AY19*HSI!$B$14*HSI!$G$14/HSI!$B$3,""))</f>
        <v/>
      </c>
      <c r="DN19" s="110">
        <f>IF(AZ19="","",IFERROR(AZ19*HSI!$B$14*HSI!$G$14/HSI!$B$3,""))</f>
        <v/>
      </c>
      <c r="DO19" s="110">
        <f>IF(BA19="","",IFERROR(BA19*HSI!$B$14*HSI!$G$14/HSI!$B$3,""))</f>
        <v/>
      </c>
      <c r="DP19" s="110">
        <f>IF(BB19="","",IFERROR(BB19*HSI!$B$14*HSI!$G$14/HSI!$B$3,""))</f>
        <v/>
      </c>
      <c r="DQ19" s="110">
        <f>IF(BC19="","",IFERROR(BC19*HSI!$B$14*HSI!$G$14/HSI!$B$3,""))</f>
        <v/>
      </c>
      <c r="DR19" s="110">
        <f>IF(BD19="","",IFERROR(BD19*HSI!$B$14*HSI!$G$14/HSI!$B$3,""))</f>
        <v/>
      </c>
      <c r="DS19" s="110">
        <f>IF(BE19="","",IFERROR(BE19*HSI!$B$14*HSI!$G$14/HSI!$B$3,""))</f>
        <v/>
      </c>
      <c r="DT19" s="110">
        <f>IF(BF19="","",IFERROR(BF19*HSI!$B$14*HSI!$G$14/HSI!$B$3,""))</f>
        <v/>
      </c>
      <c r="DU19" s="110">
        <f>IF(BG19="","",IFERROR(BG19*HSI!$B$14*HSI!$G$14/HSI!$B$3,""))</f>
        <v/>
      </c>
      <c r="DV19" s="110">
        <f>IF(BH19="","",IFERROR(BH19*HSI!$B$14*HSI!$G$14/HSI!$B$3,""))</f>
        <v/>
      </c>
      <c r="DW19" s="110">
        <f>IF(BI19="","",IFERROR(BI19*HSI!$B$14*HSI!$G$14/HSI!$B$3,""))</f>
        <v/>
      </c>
      <c r="DX19" s="110">
        <f>IF(BJ19="","",IFERROR(BJ19*HSI!$B$14*HSI!$G$14/HSI!$B$3,""))</f>
        <v/>
      </c>
      <c r="DY19" s="110">
        <f>IF(BK19="","",IFERROR(BK19*HSI!$B$14*HSI!$G$14/HSI!$B$3,""))</f>
        <v/>
      </c>
      <c r="DZ19" s="110">
        <f>IF(BL19="","",IFERROR(BL19*HSI!$B$14*HSI!$G$14/HSI!$B$3,""))</f>
        <v/>
      </c>
      <c r="EA19" s="110">
        <f>IF(BM19="","",IFERROR(BM19*HSI!$B$14*HSI!$G$14/HSI!$B$3,""))</f>
        <v/>
      </c>
      <c r="EB19" s="110">
        <f>IF(BN19="","",IFERROR(BN19*HSI!$B$14*HSI!$G$14/HSI!$B$3,""))</f>
        <v/>
      </c>
      <c r="EC19" s="110">
        <f>IF(BO19="","",IFERROR(BO19*HSI!$B$14*HSI!$G$14/HSI!$B$3,""))</f>
        <v/>
      </c>
      <c r="EE19" s="39">
        <f>IF(N('Dvd Calendar'!$E$88)=0,"",IF(('Dvd Calendar'!$E$88&gt;=GRID_FROM)*('Dvd Calendar'!$E$88&lt;=GRID_TO)*((('Dvd Calendar'!$E$88&lt;=VAL_DATE)+(COUNTIF('Dvd Calendar'!$E$95:$AR$95,'Dvd Calendar'!$E$88)=0))&gt;0)=0,"",'Dvd Calendar'!$E$88*1000000000+ISNUMBER('Dvd Calendar'!$E$91)*100000000+('Dvd Calendar'!$E$93=SPECIAL_LBL)*10000000+(N('Dvd Calendar'!$E$87)&gt;0)*(N('Dvd Calendar'!$E$87)&lt;=VAL_SERIAL)*1000000+8*1000+1))</f>
        <v/>
      </c>
      <c r="EF19" s="39">
        <f>IF(N('Dvd Calendar'!$F$88)=0,"",IF(('Dvd Calendar'!$F$88&gt;=GRID_FROM)*('Dvd Calendar'!$F$88&lt;=GRID_TO)*((('Dvd Calendar'!$F$88&lt;=VAL_DATE)+(COUNTIF('Dvd Calendar'!$E$95:$AR$95,'Dvd Calendar'!$F$88)=0))&gt;0)=0,"",'Dvd Calendar'!$F$88*1000000000+ISNUMBER('Dvd Calendar'!$F$91)*100000000+('Dvd Calendar'!$F$93=SPECIAL_LBL)*10000000+(N('Dvd Calendar'!$F$87)&gt;0)*(N('Dvd Calendar'!$F$87)&lt;=VAL_SERIAL)*1000000+8*1000+2))</f>
        <v/>
      </c>
      <c r="EG19" s="39">
        <f>IF(N('Dvd Calendar'!$G$88)=0,"",IF(('Dvd Calendar'!$G$88&gt;=GRID_FROM)*('Dvd Calendar'!$G$88&lt;=GRID_TO)*((('Dvd Calendar'!$G$88&lt;=VAL_DATE)+(COUNTIF('Dvd Calendar'!$E$95:$AR$95,'Dvd Calendar'!$G$88)=0))&gt;0)=0,"",'Dvd Calendar'!$G$88*1000000000+ISNUMBER('Dvd Calendar'!$G$91)*100000000+('Dvd Calendar'!$G$93=SPECIAL_LBL)*10000000+(N('Dvd Calendar'!$G$87)&gt;0)*(N('Dvd Calendar'!$G$87)&lt;=VAL_SERIAL)*1000000+8*1000+3))</f>
        <v/>
      </c>
      <c r="EH19" s="39">
        <f>IF(N('Dvd Calendar'!$H$88)=0,"",IF(('Dvd Calendar'!$H$88&gt;=GRID_FROM)*('Dvd Calendar'!$H$88&lt;=GRID_TO)*((('Dvd Calendar'!$H$88&lt;=VAL_DATE)+(COUNTIF('Dvd Calendar'!$E$95:$AR$95,'Dvd Calendar'!$H$88)=0))&gt;0)=0,"",'Dvd Calendar'!$H$88*1000000000+ISNUMBER('Dvd Calendar'!$H$91)*100000000+('Dvd Calendar'!$H$93=SPECIAL_LBL)*10000000+(N('Dvd Calendar'!$H$87)&gt;0)*(N('Dvd Calendar'!$H$87)&lt;=VAL_SERIAL)*1000000+8*1000+4))</f>
        <v/>
      </c>
      <c r="EI19" s="39">
        <f>IF(N('Dvd Calendar'!$I$88)=0,"",IF(('Dvd Calendar'!$I$88&gt;=GRID_FROM)*('Dvd Calendar'!$I$88&lt;=GRID_TO)*((('Dvd Calendar'!$I$88&lt;=VAL_DATE)+(COUNTIF('Dvd Calendar'!$E$95:$AR$95,'Dvd Calendar'!$I$88)=0))&gt;0)=0,"",'Dvd Calendar'!$I$88*1000000000+ISNUMBER('Dvd Calendar'!$I$91)*100000000+('Dvd Calendar'!$I$93=SPECIAL_LBL)*10000000+(N('Dvd Calendar'!$I$87)&gt;0)*(N('Dvd Calendar'!$I$87)&lt;=VAL_SERIAL)*1000000+8*1000+5))</f>
        <v/>
      </c>
      <c r="EJ19" s="39">
        <f>IF(N('Dvd Calendar'!$J$88)=0,"",IF(('Dvd Calendar'!$J$88&gt;=GRID_FROM)*('Dvd Calendar'!$J$88&lt;=GRID_TO)*((('Dvd Calendar'!$J$88&lt;=VAL_DATE)+(COUNTIF('Dvd Calendar'!$E$95:$AR$95,'Dvd Calendar'!$J$88)=0))&gt;0)=0,"",'Dvd Calendar'!$J$88*1000000000+ISNUMBER('Dvd Calendar'!$J$91)*100000000+('Dvd Calendar'!$J$93=SPECIAL_LBL)*10000000+(N('Dvd Calendar'!$J$87)&gt;0)*(N('Dvd Calendar'!$J$87)&lt;=VAL_SERIAL)*1000000+8*1000+6))</f>
        <v/>
      </c>
      <c r="EK19" s="39">
        <f>IF(N('Dvd Calendar'!$K$88)=0,"",IF(('Dvd Calendar'!$K$88&gt;=GRID_FROM)*('Dvd Calendar'!$K$88&lt;=GRID_TO)*((('Dvd Calendar'!$K$88&lt;=VAL_DATE)+(COUNTIF('Dvd Calendar'!$E$95:$AR$95,'Dvd Calendar'!$K$88)=0))&gt;0)=0,"",'Dvd Calendar'!$K$88*1000000000+ISNUMBER('Dvd Calendar'!$K$91)*100000000+('Dvd Calendar'!$K$93=SPECIAL_LBL)*10000000+(N('Dvd Calendar'!$K$87)&gt;0)*(N('Dvd Calendar'!$K$87)&lt;=VAL_SERIAL)*1000000+8*1000+7))</f>
        <v/>
      </c>
      <c r="EL19" s="39">
        <f>IF(N('Dvd Calendar'!$L$88)=0,"",IF(('Dvd Calendar'!$L$88&gt;=GRID_FROM)*('Dvd Calendar'!$L$88&lt;=GRID_TO)*((('Dvd Calendar'!$L$88&lt;=VAL_DATE)+(COUNTIF('Dvd Calendar'!$E$95:$AR$95,'Dvd Calendar'!$L$88)=0))&gt;0)=0,"",'Dvd Calendar'!$L$88*1000000000+ISNUMBER('Dvd Calendar'!$L$91)*100000000+('Dvd Calendar'!$L$93=SPECIAL_LBL)*10000000+(N('Dvd Calendar'!$L$87)&gt;0)*(N('Dvd Calendar'!$L$87)&lt;=VAL_SERIAL)*1000000+8*1000+8))</f>
        <v/>
      </c>
      <c r="EM19" s="39">
        <f>IF(N('Dvd Calendar'!$M$88)=0,"",IF(('Dvd Calendar'!$M$88&gt;=GRID_FROM)*('Dvd Calendar'!$M$88&lt;=GRID_TO)*((('Dvd Calendar'!$M$88&lt;=VAL_DATE)+(COUNTIF('Dvd Calendar'!$E$95:$AR$95,'Dvd Calendar'!$M$88)=0))&gt;0)=0,"",'Dvd Calendar'!$M$88*1000000000+ISNUMBER('Dvd Calendar'!$M$91)*100000000+('Dvd Calendar'!$M$93=SPECIAL_LBL)*10000000+(N('Dvd Calendar'!$M$87)&gt;0)*(N('Dvd Calendar'!$M$87)&lt;=VAL_SERIAL)*1000000+8*1000+9))</f>
        <v/>
      </c>
      <c r="EN19" s="39">
        <f>IF(N('Dvd Calendar'!$N$88)=0,"",IF(('Dvd Calendar'!$N$88&gt;=GRID_FROM)*('Dvd Calendar'!$N$88&lt;=GRID_TO)*((('Dvd Calendar'!$N$88&lt;=VAL_DATE)+(COUNTIF('Dvd Calendar'!$E$95:$AR$95,'Dvd Calendar'!$N$88)=0))&gt;0)=0,"",'Dvd Calendar'!$N$88*1000000000+ISNUMBER('Dvd Calendar'!$N$91)*100000000+('Dvd Calendar'!$N$93=SPECIAL_LBL)*10000000+(N('Dvd Calendar'!$N$87)&gt;0)*(N('Dvd Calendar'!$N$87)&lt;=VAL_SERIAL)*1000000+8*1000+10))</f>
        <v/>
      </c>
      <c r="EO19" s="39">
        <f>IF(N('Dvd Calendar'!$O$88)=0,"",IF(('Dvd Calendar'!$O$88&gt;=GRID_FROM)*('Dvd Calendar'!$O$88&lt;=GRID_TO)*((('Dvd Calendar'!$O$88&lt;=VAL_DATE)+(COUNTIF('Dvd Calendar'!$E$95:$AR$95,'Dvd Calendar'!$O$88)=0))&gt;0)=0,"",'Dvd Calendar'!$O$88*1000000000+ISNUMBER('Dvd Calendar'!$O$91)*100000000+('Dvd Calendar'!$O$93=SPECIAL_LBL)*10000000+(N('Dvd Calendar'!$O$87)&gt;0)*(N('Dvd Calendar'!$O$87)&lt;=VAL_SERIAL)*1000000+8*1000+11))</f>
        <v/>
      </c>
      <c r="EP19" s="39">
        <f>IF(N('Dvd Calendar'!$P$88)=0,"",IF(('Dvd Calendar'!$P$88&gt;=GRID_FROM)*('Dvd Calendar'!$P$88&lt;=GRID_TO)*((('Dvd Calendar'!$P$88&lt;=VAL_DATE)+(COUNTIF('Dvd Calendar'!$E$95:$AR$95,'Dvd Calendar'!$P$88)=0))&gt;0)=0,"",'Dvd Calendar'!$P$88*1000000000+ISNUMBER('Dvd Calendar'!$P$91)*100000000+('Dvd Calendar'!$P$93=SPECIAL_LBL)*10000000+(N('Dvd Calendar'!$P$87)&gt;0)*(N('Dvd Calendar'!$P$87)&lt;=VAL_SERIAL)*1000000+8*1000+12))</f>
        <v/>
      </c>
      <c r="EQ19" s="39">
        <f>IF(N('Dvd Calendar'!$Q$88)=0,"",IF(('Dvd Calendar'!$Q$88&gt;=GRID_FROM)*('Dvd Calendar'!$Q$88&lt;=GRID_TO)*((('Dvd Calendar'!$Q$88&lt;=VAL_DATE)+(COUNTIF('Dvd Calendar'!$E$95:$AR$95,'Dvd Calendar'!$Q$88)=0))&gt;0)=0,"",'Dvd Calendar'!$Q$88*1000000000+ISNUMBER('Dvd Calendar'!$Q$91)*100000000+('Dvd Calendar'!$Q$93=SPECIAL_LBL)*10000000+(N('Dvd Calendar'!$Q$87)&gt;0)*(N('Dvd Calendar'!$Q$87)&lt;=VAL_SERIAL)*1000000+8*1000+13))</f>
        <v/>
      </c>
      <c r="ER19" s="39">
        <f>IF(N('Dvd Calendar'!$R$88)=0,"",IF(('Dvd Calendar'!$R$88&gt;=GRID_FROM)*('Dvd Calendar'!$R$88&lt;=GRID_TO)*((('Dvd Calendar'!$R$88&lt;=VAL_DATE)+(COUNTIF('Dvd Calendar'!$E$95:$AR$95,'Dvd Calendar'!$R$88)=0))&gt;0)=0,"",'Dvd Calendar'!$R$88*1000000000+ISNUMBER('Dvd Calendar'!$R$91)*100000000+('Dvd Calendar'!$R$93=SPECIAL_LBL)*10000000+(N('Dvd Calendar'!$R$87)&gt;0)*(N('Dvd Calendar'!$R$87)&lt;=VAL_SERIAL)*1000000+8*1000+14))</f>
        <v/>
      </c>
      <c r="ES19" s="39">
        <f>IF(N('Dvd Calendar'!$S$88)=0,"",IF(('Dvd Calendar'!$S$88&gt;=GRID_FROM)*('Dvd Calendar'!$S$88&lt;=GRID_TO)*((('Dvd Calendar'!$S$88&lt;=VAL_DATE)+(COUNTIF('Dvd Calendar'!$E$95:$AR$95,'Dvd Calendar'!$S$88)=0))&gt;0)=0,"",'Dvd Calendar'!$S$88*1000000000+ISNUMBER('Dvd Calendar'!$S$91)*100000000+('Dvd Calendar'!$S$93=SPECIAL_LBL)*10000000+(N('Dvd Calendar'!$S$87)&gt;0)*(N('Dvd Calendar'!$S$87)&lt;=VAL_SERIAL)*1000000+8*1000+15))</f>
        <v/>
      </c>
      <c r="ET19" s="39">
        <f>IF(N('Dvd Calendar'!$T$88)=0,"",IF(('Dvd Calendar'!$T$88&gt;=GRID_FROM)*('Dvd Calendar'!$T$88&lt;=GRID_TO)*((('Dvd Calendar'!$T$88&lt;=VAL_DATE)+(COUNTIF('Dvd Calendar'!$E$95:$AR$95,'Dvd Calendar'!$T$88)=0))&gt;0)=0,"",'Dvd Calendar'!$T$88*1000000000+ISNUMBER('Dvd Calendar'!$T$91)*100000000+('Dvd Calendar'!$T$93=SPECIAL_LBL)*10000000+(N('Dvd Calendar'!$T$87)&gt;0)*(N('Dvd Calendar'!$T$87)&lt;=VAL_SERIAL)*1000000+8*1000+16))</f>
        <v/>
      </c>
      <c r="EU19" s="39">
        <f>IF(N('Dvd Calendar'!$U$88)=0,"",IF(('Dvd Calendar'!$U$88&gt;=GRID_FROM)*('Dvd Calendar'!$U$88&lt;=GRID_TO)*((('Dvd Calendar'!$U$88&lt;=VAL_DATE)+(COUNTIF('Dvd Calendar'!$E$95:$AR$95,'Dvd Calendar'!$U$88)=0))&gt;0)=0,"",'Dvd Calendar'!$U$88*1000000000+ISNUMBER('Dvd Calendar'!$U$91)*100000000+('Dvd Calendar'!$U$93=SPECIAL_LBL)*10000000+(N('Dvd Calendar'!$U$87)&gt;0)*(N('Dvd Calendar'!$U$87)&lt;=VAL_SERIAL)*1000000+8*1000+17))</f>
        <v/>
      </c>
      <c r="EV19" s="39">
        <f>IF(N('Dvd Calendar'!$V$88)=0,"",IF(('Dvd Calendar'!$V$88&gt;=GRID_FROM)*('Dvd Calendar'!$V$88&lt;=GRID_TO)*((('Dvd Calendar'!$V$88&lt;=VAL_DATE)+(COUNTIF('Dvd Calendar'!$E$95:$AR$95,'Dvd Calendar'!$V$88)=0))&gt;0)=0,"",'Dvd Calendar'!$V$88*1000000000+ISNUMBER('Dvd Calendar'!$V$91)*100000000+('Dvd Calendar'!$V$93=SPECIAL_LBL)*10000000+(N('Dvd Calendar'!$V$87)&gt;0)*(N('Dvd Calendar'!$V$87)&lt;=VAL_SERIAL)*1000000+8*1000+18))</f>
        <v/>
      </c>
      <c r="EW19" s="39">
        <f>IF(N('Dvd Calendar'!$W$88)=0,"",IF(('Dvd Calendar'!$W$88&gt;=GRID_FROM)*('Dvd Calendar'!$W$88&lt;=GRID_TO)*((('Dvd Calendar'!$W$88&lt;=VAL_DATE)+(COUNTIF('Dvd Calendar'!$E$95:$AR$95,'Dvd Calendar'!$W$88)=0))&gt;0)=0,"",'Dvd Calendar'!$W$88*1000000000+ISNUMBER('Dvd Calendar'!$W$91)*100000000+('Dvd Calendar'!$W$93=SPECIAL_LBL)*10000000+(N('Dvd Calendar'!$W$87)&gt;0)*(N('Dvd Calendar'!$W$87)&lt;=VAL_SERIAL)*1000000+8*1000+19))</f>
        <v/>
      </c>
      <c r="EX19" s="39">
        <f>IF(N('Dvd Calendar'!$X$88)=0,"",IF(('Dvd Calendar'!$X$88&gt;=GRID_FROM)*('Dvd Calendar'!$X$88&lt;=GRID_TO)*((('Dvd Calendar'!$X$88&lt;=VAL_DATE)+(COUNTIF('Dvd Calendar'!$E$95:$AR$95,'Dvd Calendar'!$X$88)=0))&gt;0)=0,"",'Dvd Calendar'!$X$88*1000000000+ISNUMBER('Dvd Calendar'!$X$91)*100000000+('Dvd Calendar'!$X$93=SPECIAL_LBL)*10000000+(N('Dvd Calendar'!$X$87)&gt;0)*(N('Dvd Calendar'!$X$87)&lt;=VAL_SERIAL)*1000000+8*1000+20))</f>
        <v/>
      </c>
      <c r="EY19" s="39">
        <f>IF(N('Dvd Calendar'!$Y$88)=0,"",IF(('Dvd Calendar'!$Y$88&gt;=GRID_FROM)*('Dvd Calendar'!$Y$88&lt;=GRID_TO)*((('Dvd Calendar'!$Y$88&lt;=VAL_DATE)+(COUNTIF('Dvd Calendar'!$E$95:$AR$95,'Dvd Calendar'!$Y$88)=0))&gt;0)=0,"",'Dvd Calendar'!$Y$88*1000000000+ISNUMBER('Dvd Calendar'!$Y$91)*100000000+('Dvd Calendar'!$Y$93=SPECIAL_LBL)*10000000+(N('Dvd Calendar'!$Y$87)&gt;0)*(N('Dvd Calendar'!$Y$87)&lt;=VAL_SERIAL)*1000000+8*1000+21))</f>
        <v/>
      </c>
      <c r="EZ19" s="39">
        <f>IF(N('Dvd Calendar'!$Z$88)=0,"",IF(('Dvd Calendar'!$Z$88&gt;=GRID_FROM)*('Dvd Calendar'!$Z$88&lt;=GRID_TO)*((('Dvd Calendar'!$Z$88&lt;=VAL_DATE)+(COUNTIF('Dvd Calendar'!$E$95:$AR$95,'Dvd Calendar'!$Z$88)=0))&gt;0)=0,"",'Dvd Calendar'!$Z$88*1000000000+ISNUMBER('Dvd Calendar'!$Z$91)*100000000+('Dvd Calendar'!$Z$93=SPECIAL_LBL)*10000000+(N('Dvd Calendar'!$Z$87)&gt;0)*(N('Dvd Calendar'!$Z$87)&lt;=VAL_SERIAL)*1000000+8*1000+22))</f>
        <v/>
      </c>
      <c r="FA19" s="39">
        <f>IF(N('Dvd Calendar'!$AA$88)=0,"",IF(('Dvd Calendar'!$AA$88&gt;=GRID_FROM)*('Dvd Calendar'!$AA$88&lt;=GRID_TO)*((('Dvd Calendar'!$AA$88&lt;=VAL_DATE)+(COUNTIF('Dvd Calendar'!$E$95:$AR$95,'Dvd Calendar'!$AA$88)=0))&gt;0)=0,"",'Dvd Calendar'!$AA$88*1000000000+ISNUMBER('Dvd Calendar'!$AA$91)*100000000+('Dvd Calendar'!$AA$93=SPECIAL_LBL)*10000000+(N('Dvd Calendar'!$AA$87)&gt;0)*(N('Dvd Calendar'!$AA$87)&lt;=VAL_SERIAL)*1000000+8*1000+23))</f>
        <v/>
      </c>
      <c r="FB19" s="39">
        <f>IF(N('Dvd Calendar'!$AB$88)=0,"",IF(('Dvd Calendar'!$AB$88&gt;=GRID_FROM)*('Dvd Calendar'!$AB$88&lt;=GRID_TO)*((('Dvd Calendar'!$AB$88&lt;=VAL_DATE)+(COUNTIF('Dvd Calendar'!$E$95:$AR$95,'Dvd Calendar'!$AB$88)=0))&gt;0)=0,"",'Dvd Calendar'!$AB$88*1000000000+ISNUMBER('Dvd Calendar'!$AB$91)*100000000+('Dvd Calendar'!$AB$93=SPECIAL_LBL)*10000000+(N('Dvd Calendar'!$AB$87)&gt;0)*(N('Dvd Calendar'!$AB$87)&lt;=VAL_SERIAL)*1000000+8*1000+24))</f>
        <v/>
      </c>
      <c r="FC19" s="39">
        <f>IF(N('Dvd Calendar'!$AC$88)=0,"",IF(('Dvd Calendar'!$AC$88&gt;=GRID_FROM)*('Dvd Calendar'!$AC$88&lt;=GRID_TO)*((('Dvd Calendar'!$AC$88&lt;=VAL_DATE)+(COUNTIF('Dvd Calendar'!$E$95:$AR$95,'Dvd Calendar'!$AC$88)=0))&gt;0)=0,"",'Dvd Calendar'!$AC$88*1000000000+ISNUMBER('Dvd Calendar'!$AC$91)*100000000+('Dvd Calendar'!$AC$93=SPECIAL_LBL)*10000000+(N('Dvd Calendar'!$AC$87)&gt;0)*(N('Dvd Calendar'!$AC$87)&lt;=VAL_SERIAL)*1000000+8*1000+25))</f>
        <v/>
      </c>
      <c r="FD19" s="39">
        <f>IF(N('Dvd Calendar'!$AD$88)=0,"",IF(('Dvd Calendar'!$AD$88&gt;=GRID_FROM)*('Dvd Calendar'!$AD$88&lt;=GRID_TO)*((('Dvd Calendar'!$AD$88&lt;=VAL_DATE)+(COUNTIF('Dvd Calendar'!$E$95:$AR$95,'Dvd Calendar'!$AD$88)=0))&gt;0)=0,"",'Dvd Calendar'!$AD$88*1000000000+ISNUMBER('Dvd Calendar'!$AD$91)*100000000+('Dvd Calendar'!$AD$93=SPECIAL_LBL)*10000000+(N('Dvd Calendar'!$AD$87)&gt;0)*(N('Dvd Calendar'!$AD$87)&lt;=VAL_SERIAL)*1000000+8*1000+26))</f>
        <v/>
      </c>
      <c r="FE19" s="39">
        <f>IF(N('Dvd Calendar'!$AE$88)=0,"",IF(('Dvd Calendar'!$AE$88&gt;=GRID_FROM)*('Dvd Calendar'!$AE$88&lt;=GRID_TO)*((('Dvd Calendar'!$AE$88&lt;=VAL_DATE)+(COUNTIF('Dvd Calendar'!$E$95:$AR$95,'Dvd Calendar'!$AE$88)=0))&gt;0)=0,"",'Dvd Calendar'!$AE$88*1000000000+ISNUMBER('Dvd Calendar'!$AE$91)*100000000+('Dvd Calendar'!$AE$93=SPECIAL_LBL)*10000000+(N('Dvd Calendar'!$AE$87)&gt;0)*(N('Dvd Calendar'!$AE$87)&lt;=VAL_SERIAL)*1000000+8*1000+27))</f>
        <v/>
      </c>
      <c r="FF19" s="39">
        <f>IF(N('Dvd Calendar'!$AF$88)=0,"",IF(('Dvd Calendar'!$AF$88&gt;=GRID_FROM)*('Dvd Calendar'!$AF$88&lt;=GRID_TO)*((('Dvd Calendar'!$AF$88&lt;=VAL_DATE)+(COUNTIF('Dvd Calendar'!$E$95:$AR$95,'Dvd Calendar'!$AF$88)=0))&gt;0)=0,"",'Dvd Calendar'!$AF$88*1000000000+ISNUMBER('Dvd Calendar'!$AF$91)*100000000+('Dvd Calendar'!$AF$93=SPECIAL_LBL)*10000000+(N('Dvd Calendar'!$AF$87)&gt;0)*(N('Dvd Calendar'!$AF$87)&lt;=VAL_SERIAL)*1000000+8*1000+28))</f>
        <v/>
      </c>
      <c r="FG19" s="39">
        <f>IF(N('Dvd Calendar'!$AG$88)=0,"",IF(('Dvd Calendar'!$AG$88&gt;=GRID_FROM)*('Dvd Calendar'!$AG$88&lt;=GRID_TO)*((('Dvd Calendar'!$AG$88&lt;=VAL_DATE)+(COUNTIF('Dvd Calendar'!$E$95:$AR$95,'Dvd Calendar'!$AG$88)=0))&gt;0)=0,"",'Dvd Calendar'!$AG$88*1000000000+ISNUMBER('Dvd Calendar'!$AG$91)*100000000+('Dvd Calendar'!$AG$93=SPECIAL_LBL)*10000000+(N('Dvd Calendar'!$AG$87)&gt;0)*(N('Dvd Calendar'!$AG$87)&lt;=VAL_SERIAL)*1000000+8*1000+29))</f>
        <v/>
      </c>
      <c r="FH19" s="39">
        <f>IF(N('Dvd Calendar'!$AH$88)=0,"",IF(('Dvd Calendar'!$AH$88&gt;=GRID_FROM)*('Dvd Calendar'!$AH$88&lt;=GRID_TO)*((('Dvd Calendar'!$AH$88&lt;=VAL_DATE)+(COUNTIF('Dvd Calendar'!$E$95:$AR$95,'Dvd Calendar'!$AH$88)=0))&gt;0)=0,"",'Dvd Calendar'!$AH$88*1000000000+ISNUMBER('Dvd Calendar'!$AH$91)*100000000+('Dvd Calendar'!$AH$93=SPECIAL_LBL)*10000000+(N('Dvd Calendar'!$AH$87)&gt;0)*(N('Dvd Calendar'!$AH$87)&lt;=VAL_SERIAL)*1000000+8*1000+30))</f>
        <v/>
      </c>
      <c r="FI19" s="39">
        <f>IF(N('Dvd Calendar'!$AI$88)=0,"",IF(('Dvd Calendar'!$AI$88&gt;=GRID_FROM)*('Dvd Calendar'!$AI$88&lt;=GRID_TO)*((('Dvd Calendar'!$AI$88&lt;=VAL_DATE)+(COUNTIF('Dvd Calendar'!$E$95:$AR$95,'Dvd Calendar'!$AI$88)=0))&gt;0)=0,"",'Dvd Calendar'!$AI$88*1000000000+ISNUMBER('Dvd Calendar'!$AI$91)*100000000+('Dvd Calendar'!$AI$93=SPECIAL_LBL)*10000000+(N('Dvd Calendar'!$AI$87)&gt;0)*(N('Dvd Calendar'!$AI$87)&lt;=VAL_SERIAL)*1000000+8*1000+31))</f>
        <v/>
      </c>
      <c r="FJ19" s="39">
        <f>IF(N('Dvd Calendar'!$AJ$88)=0,"",IF(('Dvd Calendar'!$AJ$88&gt;=GRID_FROM)*('Dvd Calendar'!$AJ$88&lt;=GRID_TO)*((('Dvd Calendar'!$AJ$88&lt;=VAL_DATE)+(COUNTIF('Dvd Calendar'!$E$95:$AR$95,'Dvd Calendar'!$AJ$88)=0))&gt;0)=0,"",'Dvd Calendar'!$AJ$88*1000000000+ISNUMBER('Dvd Calendar'!$AJ$91)*100000000+('Dvd Calendar'!$AJ$93=SPECIAL_LBL)*10000000+(N('Dvd Calendar'!$AJ$87)&gt;0)*(N('Dvd Calendar'!$AJ$87)&lt;=VAL_SERIAL)*1000000+8*1000+32))</f>
        <v/>
      </c>
      <c r="FK19" s="39">
        <f>IF(N('Dvd Calendar'!$AK$88)=0,"",IF(('Dvd Calendar'!$AK$88&gt;=GRID_FROM)*('Dvd Calendar'!$AK$88&lt;=GRID_TO)*((('Dvd Calendar'!$AK$88&lt;=VAL_DATE)+(COUNTIF('Dvd Calendar'!$E$95:$AR$95,'Dvd Calendar'!$AK$88)=0))&gt;0)=0,"",'Dvd Calendar'!$AK$88*1000000000+ISNUMBER('Dvd Calendar'!$AK$91)*100000000+('Dvd Calendar'!$AK$93=SPECIAL_LBL)*10000000+(N('Dvd Calendar'!$AK$87)&gt;0)*(N('Dvd Calendar'!$AK$87)&lt;=VAL_SERIAL)*1000000+8*1000+33))</f>
        <v/>
      </c>
      <c r="FL19" s="39">
        <f>IF(N('Dvd Calendar'!$AL$88)=0,"",IF(('Dvd Calendar'!$AL$88&gt;=GRID_FROM)*('Dvd Calendar'!$AL$88&lt;=GRID_TO)*((('Dvd Calendar'!$AL$88&lt;=VAL_DATE)+(COUNTIF('Dvd Calendar'!$E$95:$AR$95,'Dvd Calendar'!$AL$88)=0))&gt;0)=0,"",'Dvd Calendar'!$AL$88*1000000000+ISNUMBER('Dvd Calendar'!$AL$91)*100000000+('Dvd Calendar'!$AL$93=SPECIAL_LBL)*10000000+(N('Dvd Calendar'!$AL$87)&gt;0)*(N('Dvd Calendar'!$AL$87)&lt;=VAL_SERIAL)*1000000+8*1000+34))</f>
        <v/>
      </c>
      <c r="FM19" s="39">
        <f>IF(N('Dvd Calendar'!$AM$88)=0,"",IF(('Dvd Calendar'!$AM$88&gt;=GRID_FROM)*('Dvd Calendar'!$AM$88&lt;=GRID_TO)*((('Dvd Calendar'!$AM$88&lt;=VAL_DATE)+(COUNTIF('Dvd Calendar'!$E$95:$AR$95,'Dvd Calendar'!$AM$88)=0))&gt;0)=0,"",'Dvd Calendar'!$AM$88*1000000000+ISNUMBER('Dvd Calendar'!$AM$91)*100000000+('Dvd Calendar'!$AM$93=SPECIAL_LBL)*10000000+(N('Dvd Calendar'!$AM$87)&gt;0)*(N('Dvd Calendar'!$AM$87)&lt;=VAL_SERIAL)*1000000+8*1000+35))</f>
        <v/>
      </c>
      <c r="FN19" s="39">
        <f>IF(N('Dvd Calendar'!$AN$88)=0,"",IF(('Dvd Calendar'!$AN$88&gt;=GRID_FROM)*('Dvd Calendar'!$AN$88&lt;=GRID_TO)*((('Dvd Calendar'!$AN$88&lt;=VAL_DATE)+(COUNTIF('Dvd Calendar'!$E$95:$AR$95,'Dvd Calendar'!$AN$88)=0))&gt;0)=0,"",'Dvd Calendar'!$AN$88*1000000000+ISNUMBER('Dvd Calendar'!$AN$91)*100000000+('Dvd Calendar'!$AN$93=SPECIAL_LBL)*10000000+(N('Dvd Calendar'!$AN$87)&gt;0)*(N('Dvd Calendar'!$AN$87)&lt;=VAL_SERIAL)*1000000+8*1000+36))</f>
        <v/>
      </c>
      <c r="FO19" s="39">
        <f>IF(N('Dvd Calendar'!$AO$88)=0,"",IF(('Dvd Calendar'!$AO$88&gt;=GRID_FROM)*('Dvd Calendar'!$AO$88&lt;=GRID_TO)*((('Dvd Calendar'!$AO$88&lt;=VAL_DATE)+(COUNTIF('Dvd Calendar'!$E$95:$AR$95,'Dvd Calendar'!$AO$88)=0))&gt;0)=0,"",'Dvd Calendar'!$AO$88*1000000000+ISNUMBER('Dvd Calendar'!$AO$91)*100000000+('Dvd Calendar'!$AO$93=SPECIAL_LBL)*10000000+(N('Dvd Calendar'!$AO$87)&gt;0)*(N('Dvd Calendar'!$AO$87)&lt;=VAL_SERIAL)*1000000+8*1000+37))</f>
        <v/>
      </c>
      <c r="FP19" s="39">
        <f>IF(N('Dvd Calendar'!$AP$88)=0,"",IF(('Dvd Calendar'!$AP$88&gt;=GRID_FROM)*('Dvd Calendar'!$AP$88&lt;=GRID_TO)*((('Dvd Calendar'!$AP$88&lt;=VAL_DATE)+(COUNTIF('Dvd Calendar'!$E$95:$AR$95,'Dvd Calendar'!$AP$88)=0))&gt;0)=0,"",'Dvd Calendar'!$AP$88*1000000000+ISNUMBER('Dvd Calendar'!$AP$91)*100000000+('Dvd Calendar'!$AP$93=SPECIAL_LBL)*10000000+(N('Dvd Calendar'!$AP$87)&gt;0)*(N('Dvd Calendar'!$AP$87)&lt;=VAL_SERIAL)*1000000+8*1000+38))</f>
        <v/>
      </c>
      <c r="FQ19" s="39">
        <f>IF(N('Dvd Calendar'!$AQ$88)=0,"",IF(('Dvd Calendar'!$AQ$88&gt;=GRID_FROM)*('Dvd Calendar'!$AQ$88&lt;=GRID_TO)*((('Dvd Calendar'!$AQ$88&lt;=VAL_DATE)+(COUNTIF('Dvd Calendar'!$E$95:$AR$95,'Dvd Calendar'!$AQ$88)=0))&gt;0)=0,"",'Dvd Calendar'!$AQ$88*1000000000+ISNUMBER('Dvd Calendar'!$AQ$91)*100000000+('Dvd Calendar'!$AQ$93=SPECIAL_LBL)*10000000+(N('Dvd Calendar'!$AQ$87)&gt;0)*(N('Dvd Calendar'!$AQ$87)&lt;=VAL_SERIAL)*1000000+8*1000+39))</f>
        <v/>
      </c>
      <c r="FR19" s="39">
        <f>IF(N('Dvd Calendar'!$AR$88)=0,"",IF(('Dvd Calendar'!$AR$88&gt;=GRID_FROM)*('Dvd Calendar'!$AR$88&lt;=GRID_TO)*((('Dvd Calendar'!$AR$88&lt;=VAL_DATE)+(COUNTIF('Dvd Calendar'!$E$95:$AR$95,'Dvd Calendar'!$AR$88)=0))&gt;0)=0,"",'Dvd Calendar'!$AR$88*1000000000+ISNUMBER('Dvd Calendar'!$AR$91)*100000000+('Dvd Calendar'!$AR$93=SPECIAL_LBL)*10000000+(N('Dvd Calendar'!$AR$87)&gt;0)*(N('Dvd Calendar'!$AR$87)&lt;=VAL_SERIAL)*1000000+8*1000+40))</f>
        <v/>
      </c>
      <c r="FS19" s="39">
        <f>IF(N('Dvd Calendar'!$E$95)=0,"",IF(('Dvd Calendar'!$E$95&gt;=GRID_FROM)*('Dvd Calendar'!$E$95&lt;=GRID_TO)*('Dvd Calendar'!$E$95&gt;VAL_DATE)=0,"",'Dvd Calendar'!$E$95*1000000000+ISNUMBER('Dvd Calendar'!$E$96)*100000000+0*10000000+(N('Dvd Calendar'!$E$94)&gt;0)*(N('Dvd Calendar'!$E$94)&lt;=VAL_SERIAL)*1000000+8*1000+41))</f>
        <v/>
      </c>
      <c r="FT19" s="39">
        <f>IF(N('Dvd Calendar'!$F$95)=0,"",IF(('Dvd Calendar'!$F$95&gt;=GRID_FROM)*('Dvd Calendar'!$F$95&lt;=GRID_TO)*('Dvd Calendar'!$F$95&gt;VAL_DATE)=0,"",'Dvd Calendar'!$F$95*1000000000+ISNUMBER('Dvd Calendar'!$F$96)*100000000+0*10000000+(N('Dvd Calendar'!$F$94)&gt;0)*(N('Dvd Calendar'!$F$94)&lt;=VAL_SERIAL)*1000000+8*1000+42))</f>
        <v/>
      </c>
      <c r="FU19" s="39">
        <f>IF(N('Dvd Calendar'!$G$95)=0,"",IF(('Dvd Calendar'!$G$95&gt;=GRID_FROM)*('Dvd Calendar'!$G$95&lt;=GRID_TO)*('Dvd Calendar'!$G$95&gt;VAL_DATE)=0,"",'Dvd Calendar'!$G$95*1000000000+ISNUMBER('Dvd Calendar'!$G$96)*100000000+0*10000000+(N('Dvd Calendar'!$G$94)&gt;0)*(N('Dvd Calendar'!$G$94)&lt;=VAL_SERIAL)*1000000+8*1000+43))</f>
        <v/>
      </c>
      <c r="FV19" s="39">
        <f>IF(N('Dvd Calendar'!$H$95)=0,"",IF(('Dvd Calendar'!$H$95&gt;=GRID_FROM)*('Dvd Calendar'!$H$95&lt;=GRID_TO)*('Dvd Calendar'!$H$95&gt;VAL_DATE)=0,"",'Dvd Calendar'!$H$95*1000000000+ISNUMBER('Dvd Calendar'!$H$96)*100000000+0*10000000+(N('Dvd Calendar'!$H$94)&gt;0)*(N('Dvd Calendar'!$H$94)&lt;=VAL_SERIAL)*1000000+8*1000+44))</f>
        <v/>
      </c>
      <c r="FW19" s="39">
        <f>IF(N('Dvd Calendar'!$I$95)=0,"",IF(('Dvd Calendar'!$I$95&gt;=GRID_FROM)*('Dvd Calendar'!$I$95&lt;=GRID_TO)*('Dvd Calendar'!$I$95&gt;VAL_DATE)=0,"",'Dvd Calendar'!$I$95*1000000000+ISNUMBER('Dvd Calendar'!$I$96)*100000000+0*10000000+(N('Dvd Calendar'!$I$94)&gt;0)*(N('Dvd Calendar'!$I$94)&lt;=VAL_SERIAL)*1000000+8*1000+45))</f>
        <v/>
      </c>
      <c r="FX19" s="39">
        <f>IF(N('Dvd Calendar'!$J$95)=0,"",IF(('Dvd Calendar'!$J$95&gt;=GRID_FROM)*('Dvd Calendar'!$J$95&lt;=GRID_TO)*('Dvd Calendar'!$J$95&gt;VAL_DATE)=0,"",'Dvd Calendar'!$J$95*1000000000+ISNUMBER('Dvd Calendar'!$J$96)*100000000+0*10000000+(N('Dvd Calendar'!$J$94)&gt;0)*(N('Dvd Calendar'!$J$94)&lt;=VAL_SERIAL)*1000000+8*1000+46))</f>
        <v/>
      </c>
      <c r="FY19" s="39">
        <f>IF(N('Dvd Calendar'!$K$95)=0,"",IF(('Dvd Calendar'!$K$95&gt;=GRID_FROM)*('Dvd Calendar'!$K$95&lt;=GRID_TO)*('Dvd Calendar'!$K$95&gt;VAL_DATE)=0,"",'Dvd Calendar'!$K$95*1000000000+ISNUMBER('Dvd Calendar'!$K$96)*100000000+0*10000000+(N('Dvd Calendar'!$K$94)&gt;0)*(N('Dvd Calendar'!$K$94)&lt;=VAL_SERIAL)*1000000+8*1000+47))</f>
        <v/>
      </c>
      <c r="FZ19" s="39">
        <f>IF(N('Dvd Calendar'!$L$95)=0,"",IF(('Dvd Calendar'!$L$95&gt;=GRID_FROM)*('Dvd Calendar'!$L$95&lt;=GRID_TO)*('Dvd Calendar'!$L$95&gt;VAL_DATE)=0,"",'Dvd Calendar'!$L$95*1000000000+ISNUMBER('Dvd Calendar'!$L$96)*100000000+0*10000000+(N('Dvd Calendar'!$L$94)&gt;0)*(N('Dvd Calendar'!$L$94)&lt;=VAL_SERIAL)*1000000+8*1000+48))</f>
        <v/>
      </c>
      <c r="GA19" s="39">
        <f>IF(N('Dvd Calendar'!$M$95)=0,"",IF(('Dvd Calendar'!$M$95&gt;=GRID_FROM)*('Dvd Calendar'!$M$95&lt;=GRID_TO)*('Dvd Calendar'!$M$95&gt;VAL_DATE)=0,"",'Dvd Calendar'!$M$95*1000000000+ISNUMBER('Dvd Calendar'!$M$96)*100000000+0*10000000+(N('Dvd Calendar'!$M$94)&gt;0)*(N('Dvd Calendar'!$M$94)&lt;=VAL_SERIAL)*1000000+8*1000+49))</f>
        <v/>
      </c>
      <c r="GB19" s="39">
        <f>IF(N('Dvd Calendar'!$N$95)=0,"",IF(('Dvd Calendar'!$N$95&gt;=GRID_FROM)*('Dvd Calendar'!$N$95&lt;=GRID_TO)*('Dvd Calendar'!$N$95&gt;VAL_DATE)=0,"",'Dvd Calendar'!$N$95*1000000000+ISNUMBER('Dvd Calendar'!$N$96)*100000000+0*10000000+(N('Dvd Calendar'!$N$94)&gt;0)*(N('Dvd Calendar'!$N$94)&lt;=VAL_SERIAL)*1000000+8*1000+50))</f>
        <v/>
      </c>
      <c r="GC19" s="39">
        <f>IF(N('Dvd Calendar'!$O$95)=0,"",IF(('Dvd Calendar'!$O$95&gt;=GRID_FROM)*('Dvd Calendar'!$O$95&lt;=GRID_TO)*('Dvd Calendar'!$O$95&gt;VAL_DATE)=0,"",'Dvd Calendar'!$O$95*1000000000+ISNUMBER('Dvd Calendar'!$O$96)*100000000+0*10000000+(N('Dvd Calendar'!$O$94)&gt;0)*(N('Dvd Calendar'!$O$94)&lt;=VAL_SERIAL)*1000000+8*1000+51))</f>
        <v/>
      </c>
      <c r="GD19" s="39">
        <f>IF(N('Dvd Calendar'!$P$95)=0,"",IF(('Dvd Calendar'!$P$95&gt;=GRID_FROM)*('Dvd Calendar'!$P$95&lt;=GRID_TO)*('Dvd Calendar'!$P$95&gt;VAL_DATE)=0,"",'Dvd Calendar'!$P$95*1000000000+ISNUMBER('Dvd Calendar'!$P$96)*100000000+0*10000000+(N('Dvd Calendar'!$P$94)&gt;0)*(N('Dvd Calendar'!$P$94)&lt;=VAL_SERIAL)*1000000+8*1000+52))</f>
        <v/>
      </c>
      <c r="GE19" s="39">
        <f>IF(N('Dvd Calendar'!$Q$95)=0,"",IF(('Dvd Calendar'!$Q$95&gt;=GRID_FROM)*('Dvd Calendar'!$Q$95&lt;=GRID_TO)*('Dvd Calendar'!$Q$95&gt;VAL_DATE)=0,"",'Dvd Calendar'!$Q$95*1000000000+ISNUMBER('Dvd Calendar'!$Q$96)*100000000+0*10000000+(N('Dvd Calendar'!$Q$94)&gt;0)*(N('Dvd Calendar'!$Q$94)&lt;=VAL_SERIAL)*1000000+8*1000+53))</f>
        <v/>
      </c>
      <c r="GF19" s="39">
        <f>IF(N('Dvd Calendar'!$R$95)=0,"",IF(('Dvd Calendar'!$R$95&gt;=GRID_FROM)*('Dvd Calendar'!$R$95&lt;=GRID_TO)*('Dvd Calendar'!$R$95&gt;VAL_DATE)=0,"",'Dvd Calendar'!$R$95*1000000000+ISNUMBER('Dvd Calendar'!$R$96)*100000000+0*10000000+(N('Dvd Calendar'!$R$94)&gt;0)*(N('Dvd Calendar'!$R$94)&lt;=VAL_SERIAL)*1000000+8*1000+54))</f>
        <v/>
      </c>
      <c r="GG19" s="39">
        <f>IF(N('Dvd Calendar'!$S$95)=0,"",IF(('Dvd Calendar'!$S$95&gt;=GRID_FROM)*('Dvd Calendar'!$S$95&lt;=GRID_TO)*('Dvd Calendar'!$S$95&gt;VAL_DATE)=0,"",'Dvd Calendar'!$S$95*1000000000+ISNUMBER('Dvd Calendar'!$S$96)*100000000+0*10000000+(N('Dvd Calendar'!$S$94)&gt;0)*(N('Dvd Calendar'!$S$94)&lt;=VAL_SERIAL)*1000000+8*1000+55))</f>
        <v/>
      </c>
      <c r="GH19" s="39">
        <f>IF(N('Dvd Calendar'!$T$95)=0,"",IF(('Dvd Calendar'!$T$95&gt;=GRID_FROM)*('Dvd Calendar'!$T$95&lt;=GRID_TO)*('Dvd Calendar'!$T$95&gt;VAL_DATE)=0,"",'Dvd Calendar'!$T$95*1000000000+ISNUMBER('Dvd Calendar'!$T$96)*100000000+0*10000000+(N('Dvd Calendar'!$T$94)&gt;0)*(N('Dvd Calendar'!$T$94)&lt;=VAL_SERIAL)*1000000+8*1000+56))</f>
        <v/>
      </c>
      <c r="GI19" s="39">
        <f>IF(N('Dvd Calendar'!$U$95)=0,"",IF(('Dvd Calendar'!$U$95&gt;=GRID_FROM)*('Dvd Calendar'!$U$95&lt;=GRID_TO)*('Dvd Calendar'!$U$95&gt;VAL_DATE)=0,"",'Dvd Calendar'!$U$95*1000000000+ISNUMBER('Dvd Calendar'!$U$96)*100000000+0*10000000+(N('Dvd Calendar'!$U$94)&gt;0)*(N('Dvd Calendar'!$U$94)&lt;=VAL_SERIAL)*1000000+8*1000+57))</f>
        <v/>
      </c>
      <c r="GJ19" s="39">
        <f>IF(N('Dvd Calendar'!$V$95)=0,"",IF(('Dvd Calendar'!$V$95&gt;=GRID_FROM)*('Dvd Calendar'!$V$95&lt;=GRID_TO)*('Dvd Calendar'!$V$95&gt;VAL_DATE)=0,"",'Dvd Calendar'!$V$95*1000000000+ISNUMBER('Dvd Calendar'!$V$96)*100000000+0*10000000+(N('Dvd Calendar'!$V$94)&gt;0)*(N('Dvd Calendar'!$V$94)&lt;=VAL_SERIAL)*1000000+8*1000+58))</f>
        <v/>
      </c>
      <c r="GK19" s="39">
        <f>IF(N('Dvd Calendar'!$W$95)=0,"",IF(('Dvd Calendar'!$W$95&gt;=GRID_FROM)*('Dvd Calendar'!$W$95&lt;=GRID_TO)*('Dvd Calendar'!$W$95&gt;VAL_DATE)=0,"",'Dvd Calendar'!$W$95*1000000000+ISNUMBER('Dvd Calendar'!$W$96)*100000000+0*10000000+(N('Dvd Calendar'!$W$94)&gt;0)*(N('Dvd Calendar'!$W$94)&lt;=VAL_SERIAL)*1000000+8*1000+59))</f>
        <v/>
      </c>
      <c r="GL19" s="39">
        <f>IF(N('Dvd Calendar'!$X$95)=0,"",IF(('Dvd Calendar'!$X$95&gt;=GRID_FROM)*('Dvd Calendar'!$X$95&lt;=GRID_TO)*('Dvd Calendar'!$X$95&gt;VAL_DATE)=0,"",'Dvd Calendar'!$X$95*1000000000+ISNUMBER('Dvd Calendar'!$X$96)*100000000+0*10000000+(N('Dvd Calendar'!$X$94)&gt;0)*(N('Dvd Calendar'!$X$94)&lt;=VAL_SERIAL)*1000000+8*1000+60))</f>
        <v/>
      </c>
      <c r="GM19" s="39">
        <f>IF(N('Dvd Calendar'!$Y$95)=0,"",IF(('Dvd Calendar'!$Y$95&gt;=GRID_FROM)*('Dvd Calendar'!$Y$95&lt;=GRID_TO)*('Dvd Calendar'!$Y$95&gt;VAL_DATE)=0,"",'Dvd Calendar'!$Y$95*1000000000+ISNUMBER('Dvd Calendar'!$Y$96)*100000000+0*10000000+(N('Dvd Calendar'!$Y$94)&gt;0)*(N('Dvd Calendar'!$Y$94)&lt;=VAL_SERIAL)*1000000+8*1000+61))</f>
        <v/>
      </c>
      <c r="GN19" s="39">
        <f>IF(N('Dvd Calendar'!$Z$95)=0,"",IF(('Dvd Calendar'!$Z$95&gt;=GRID_FROM)*('Dvd Calendar'!$Z$95&lt;=GRID_TO)*('Dvd Calendar'!$Z$95&gt;VAL_DATE)=0,"",'Dvd Calendar'!$Z$95*1000000000+ISNUMBER('Dvd Calendar'!$Z$96)*100000000+0*10000000+(N('Dvd Calendar'!$Z$94)&gt;0)*(N('Dvd Calendar'!$Z$94)&lt;=VAL_SERIAL)*1000000+8*1000+62))</f>
        <v/>
      </c>
      <c r="GO19" s="39">
        <f>IF(N('Dvd Calendar'!$AA$95)=0,"",IF(('Dvd Calendar'!$AA$95&gt;=GRID_FROM)*('Dvd Calendar'!$AA$95&lt;=GRID_TO)*('Dvd Calendar'!$AA$95&gt;VAL_DATE)=0,"",'Dvd Calendar'!$AA$95*1000000000+ISNUMBER('Dvd Calendar'!$AA$96)*100000000+0*10000000+(N('Dvd Calendar'!$AA$94)&gt;0)*(N('Dvd Calendar'!$AA$94)&lt;=VAL_SERIAL)*1000000+8*1000+63))</f>
        <v/>
      </c>
      <c r="GP19" s="39">
        <f>IF(N('Dvd Calendar'!$AB$95)=0,"",IF(('Dvd Calendar'!$AB$95&gt;=GRID_FROM)*('Dvd Calendar'!$AB$95&lt;=GRID_TO)*('Dvd Calendar'!$AB$95&gt;VAL_DATE)=0,"",'Dvd Calendar'!$AB$95*1000000000+ISNUMBER('Dvd Calendar'!$AB$96)*100000000+0*10000000+(N('Dvd Calendar'!$AB$94)&gt;0)*(N('Dvd Calendar'!$AB$94)&lt;=VAL_SERIAL)*1000000+8*1000+64))</f>
        <v/>
      </c>
      <c r="GQ19" s="39">
        <f>IF(N('Dvd Calendar'!$AC$95)=0,"",IF(('Dvd Calendar'!$AC$95&gt;=GRID_FROM)*('Dvd Calendar'!$AC$95&lt;=GRID_TO)*('Dvd Calendar'!$AC$95&gt;VAL_DATE)=0,"",'Dvd Calendar'!$AC$95*1000000000+ISNUMBER('Dvd Calendar'!$AC$96)*100000000+0*10000000+(N('Dvd Calendar'!$AC$94)&gt;0)*(N('Dvd Calendar'!$AC$94)&lt;=VAL_SERIAL)*1000000+8*1000+65))</f>
        <v/>
      </c>
    </row>
    <row r="20">
      <c r="B20" s="2">
        <f>IF(HSI!$C$15="","",HSI!$C$15)</f>
        <v/>
      </c>
      <c r="C20" s="110">
        <f>IF(EE20="","",IF(ISNUMBER('Dvd Calendar'!$E$102)=FALSE,"",IF((('Dvd Calendar'!$E$104=TYPE1)*(TYPE1&lt;&gt;"")+('Dvd Calendar'!$E$104=TYPE2)*(TYPE2&lt;&gt;"")+('Dvd Calendar'!$E$104=TYPE3)*(TYPE3&lt;&gt;"")+('Dvd Calendar'!$E$104=TYPE4)*(TYPE4&lt;&gt;"")+('Dvd Calendar'!$E$104=SPECIAL_LBL)*(INC_SPECIALS="Y"))=0,"",'Dvd Calendar'!$E$102)))</f>
        <v/>
      </c>
      <c r="D20" s="110">
        <f>IF(EF20="","",IF(ISNUMBER('Dvd Calendar'!$F$102)=FALSE,"",IF((('Dvd Calendar'!$F$104=TYPE1)*(TYPE1&lt;&gt;"")+('Dvd Calendar'!$F$104=TYPE2)*(TYPE2&lt;&gt;"")+('Dvd Calendar'!$F$104=TYPE3)*(TYPE3&lt;&gt;"")+('Dvd Calendar'!$F$104=TYPE4)*(TYPE4&lt;&gt;"")+('Dvd Calendar'!$F$104=SPECIAL_LBL)*(INC_SPECIALS="Y"))=0,"",'Dvd Calendar'!$F$102)))</f>
        <v/>
      </c>
      <c r="E20" s="110">
        <f>IF(EG20="","",IF(ISNUMBER('Dvd Calendar'!$G$102)=FALSE,"",IF((('Dvd Calendar'!$G$104=TYPE1)*(TYPE1&lt;&gt;"")+('Dvd Calendar'!$G$104=TYPE2)*(TYPE2&lt;&gt;"")+('Dvd Calendar'!$G$104=TYPE3)*(TYPE3&lt;&gt;"")+('Dvd Calendar'!$G$104=TYPE4)*(TYPE4&lt;&gt;"")+('Dvd Calendar'!$G$104=SPECIAL_LBL)*(INC_SPECIALS="Y"))=0,"",'Dvd Calendar'!$G$102)))</f>
        <v/>
      </c>
      <c r="F20" s="110">
        <f>IF(EH20="","",IF(ISNUMBER('Dvd Calendar'!$H$102)=FALSE,"",IF((('Dvd Calendar'!$H$104=TYPE1)*(TYPE1&lt;&gt;"")+('Dvd Calendar'!$H$104=TYPE2)*(TYPE2&lt;&gt;"")+('Dvd Calendar'!$H$104=TYPE3)*(TYPE3&lt;&gt;"")+('Dvd Calendar'!$H$104=TYPE4)*(TYPE4&lt;&gt;"")+('Dvd Calendar'!$H$104=SPECIAL_LBL)*(INC_SPECIALS="Y"))=0,"",'Dvd Calendar'!$H$102)))</f>
        <v/>
      </c>
      <c r="G20" s="110">
        <f>IF(EI20="","",IF(ISNUMBER('Dvd Calendar'!$I$102)=FALSE,"",IF((('Dvd Calendar'!$I$104=TYPE1)*(TYPE1&lt;&gt;"")+('Dvd Calendar'!$I$104=TYPE2)*(TYPE2&lt;&gt;"")+('Dvd Calendar'!$I$104=TYPE3)*(TYPE3&lt;&gt;"")+('Dvd Calendar'!$I$104=TYPE4)*(TYPE4&lt;&gt;"")+('Dvd Calendar'!$I$104=SPECIAL_LBL)*(INC_SPECIALS="Y"))=0,"",'Dvd Calendar'!$I$102)))</f>
        <v/>
      </c>
      <c r="H20" s="110">
        <f>IF(EJ20="","",IF(ISNUMBER('Dvd Calendar'!$J$102)=FALSE,"",IF((('Dvd Calendar'!$J$104=TYPE1)*(TYPE1&lt;&gt;"")+('Dvd Calendar'!$J$104=TYPE2)*(TYPE2&lt;&gt;"")+('Dvd Calendar'!$J$104=TYPE3)*(TYPE3&lt;&gt;"")+('Dvd Calendar'!$J$104=TYPE4)*(TYPE4&lt;&gt;"")+('Dvd Calendar'!$J$104=SPECIAL_LBL)*(INC_SPECIALS="Y"))=0,"",'Dvd Calendar'!$J$102)))</f>
        <v/>
      </c>
      <c r="I20" s="110">
        <f>IF(EK20="","",IF(ISNUMBER('Dvd Calendar'!$K$102)=FALSE,"",IF((('Dvd Calendar'!$K$104=TYPE1)*(TYPE1&lt;&gt;"")+('Dvd Calendar'!$K$104=TYPE2)*(TYPE2&lt;&gt;"")+('Dvd Calendar'!$K$104=TYPE3)*(TYPE3&lt;&gt;"")+('Dvd Calendar'!$K$104=TYPE4)*(TYPE4&lt;&gt;"")+('Dvd Calendar'!$K$104=SPECIAL_LBL)*(INC_SPECIALS="Y"))=0,"",'Dvd Calendar'!$K$102)))</f>
        <v/>
      </c>
      <c r="J20" s="110">
        <f>IF(EL20="","",IF(ISNUMBER('Dvd Calendar'!$L$102)=FALSE,"",IF((('Dvd Calendar'!$L$104=TYPE1)*(TYPE1&lt;&gt;"")+('Dvd Calendar'!$L$104=TYPE2)*(TYPE2&lt;&gt;"")+('Dvd Calendar'!$L$104=TYPE3)*(TYPE3&lt;&gt;"")+('Dvd Calendar'!$L$104=TYPE4)*(TYPE4&lt;&gt;"")+('Dvd Calendar'!$L$104=SPECIAL_LBL)*(INC_SPECIALS="Y"))=0,"",'Dvd Calendar'!$L$102)))</f>
        <v/>
      </c>
      <c r="K20" s="110">
        <f>IF(EM20="","",IF(ISNUMBER('Dvd Calendar'!$M$102)=FALSE,"",IF((('Dvd Calendar'!$M$104=TYPE1)*(TYPE1&lt;&gt;"")+('Dvd Calendar'!$M$104=TYPE2)*(TYPE2&lt;&gt;"")+('Dvd Calendar'!$M$104=TYPE3)*(TYPE3&lt;&gt;"")+('Dvd Calendar'!$M$104=TYPE4)*(TYPE4&lt;&gt;"")+('Dvd Calendar'!$M$104=SPECIAL_LBL)*(INC_SPECIALS="Y"))=0,"",'Dvd Calendar'!$M$102)))</f>
        <v/>
      </c>
      <c r="L20" s="110">
        <f>IF(EN20="","",IF(ISNUMBER('Dvd Calendar'!$N$102)=FALSE,"",IF((('Dvd Calendar'!$N$104=TYPE1)*(TYPE1&lt;&gt;"")+('Dvd Calendar'!$N$104=TYPE2)*(TYPE2&lt;&gt;"")+('Dvd Calendar'!$N$104=TYPE3)*(TYPE3&lt;&gt;"")+('Dvd Calendar'!$N$104=TYPE4)*(TYPE4&lt;&gt;"")+('Dvd Calendar'!$N$104=SPECIAL_LBL)*(INC_SPECIALS="Y"))=0,"",'Dvd Calendar'!$N$102)))</f>
        <v/>
      </c>
      <c r="M20" s="110">
        <f>IF(EO20="","",IF(ISNUMBER('Dvd Calendar'!$O$102)=FALSE,"",IF((('Dvd Calendar'!$O$104=TYPE1)*(TYPE1&lt;&gt;"")+('Dvd Calendar'!$O$104=TYPE2)*(TYPE2&lt;&gt;"")+('Dvd Calendar'!$O$104=TYPE3)*(TYPE3&lt;&gt;"")+('Dvd Calendar'!$O$104=TYPE4)*(TYPE4&lt;&gt;"")+('Dvd Calendar'!$O$104=SPECIAL_LBL)*(INC_SPECIALS="Y"))=0,"",'Dvd Calendar'!$O$102)))</f>
        <v/>
      </c>
      <c r="N20" s="110">
        <f>IF(EP20="","",IF(ISNUMBER('Dvd Calendar'!$P$102)=FALSE,"",IF((('Dvd Calendar'!$P$104=TYPE1)*(TYPE1&lt;&gt;"")+('Dvd Calendar'!$P$104=TYPE2)*(TYPE2&lt;&gt;"")+('Dvd Calendar'!$P$104=TYPE3)*(TYPE3&lt;&gt;"")+('Dvd Calendar'!$P$104=TYPE4)*(TYPE4&lt;&gt;"")+('Dvd Calendar'!$P$104=SPECIAL_LBL)*(INC_SPECIALS="Y"))=0,"",'Dvd Calendar'!$P$102)))</f>
        <v/>
      </c>
      <c r="O20" s="110">
        <f>IF(EQ20="","",IF(ISNUMBER('Dvd Calendar'!$Q$102)=FALSE,"",IF((('Dvd Calendar'!$Q$104=TYPE1)*(TYPE1&lt;&gt;"")+('Dvd Calendar'!$Q$104=TYPE2)*(TYPE2&lt;&gt;"")+('Dvd Calendar'!$Q$104=TYPE3)*(TYPE3&lt;&gt;"")+('Dvd Calendar'!$Q$104=TYPE4)*(TYPE4&lt;&gt;"")+('Dvd Calendar'!$Q$104=SPECIAL_LBL)*(INC_SPECIALS="Y"))=0,"",'Dvd Calendar'!$Q$102)))</f>
        <v/>
      </c>
      <c r="P20" s="110">
        <f>IF(ER20="","",IF(ISNUMBER('Dvd Calendar'!$R$102)=FALSE,"",IF((('Dvd Calendar'!$R$104=TYPE1)*(TYPE1&lt;&gt;"")+('Dvd Calendar'!$R$104=TYPE2)*(TYPE2&lt;&gt;"")+('Dvd Calendar'!$R$104=TYPE3)*(TYPE3&lt;&gt;"")+('Dvd Calendar'!$R$104=TYPE4)*(TYPE4&lt;&gt;"")+('Dvd Calendar'!$R$104=SPECIAL_LBL)*(INC_SPECIALS="Y"))=0,"",'Dvd Calendar'!$R$102)))</f>
        <v/>
      </c>
      <c r="Q20" s="110">
        <f>IF(ES20="","",IF(ISNUMBER('Dvd Calendar'!$S$102)=FALSE,"",IF((('Dvd Calendar'!$S$104=TYPE1)*(TYPE1&lt;&gt;"")+('Dvd Calendar'!$S$104=TYPE2)*(TYPE2&lt;&gt;"")+('Dvd Calendar'!$S$104=TYPE3)*(TYPE3&lt;&gt;"")+('Dvd Calendar'!$S$104=TYPE4)*(TYPE4&lt;&gt;"")+('Dvd Calendar'!$S$104=SPECIAL_LBL)*(INC_SPECIALS="Y"))=0,"",'Dvd Calendar'!$S$102)))</f>
        <v/>
      </c>
      <c r="R20" s="110">
        <f>IF(ET20="","",IF(ISNUMBER('Dvd Calendar'!$T$102)=FALSE,"",IF((('Dvd Calendar'!$T$104=TYPE1)*(TYPE1&lt;&gt;"")+('Dvd Calendar'!$T$104=TYPE2)*(TYPE2&lt;&gt;"")+('Dvd Calendar'!$T$104=TYPE3)*(TYPE3&lt;&gt;"")+('Dvd Calendar'!$T$104=TYPE4)*(TYPE4&lt;&gt;"")+('Dvd Calendar'!$T$104=SPECIAL_LBL)*(INC_SPECIALS="Y"))=0,"",'Dvd Calendar'!$T$102)))</f>
        <v/>
      </c>
      <c r="S20" s="110">
        <f>IF(EU20="","",IF(ISNUMBER('Dvd Calendar'!$U$102)=FALSE,"",IF((('Dvd Calendar'!$U$104=TYPE1)*(TYPE1&lt;&gt;"")+('Dvd Calendar'!$U$104=TYPE2)*(TYPE2&lt;&gt;"")+('Dvd Calendar'!$U$104=TYPE3)*(TYPE3&lt;&gt;"")+('Dvd Calendar'!$U$104=TYPE4)*(TYPE4&lt;&gt;"")+('Dvd Calendar'!$U$104=SPECIAL_LBL)*(INC_SPECIALS="Y"))=0,"",'Dvd Calendar'!$U$102)))</f>
        <v/>
      </c>
      <c r="T20" s="110">
        <f>IF(EV20="","",IF(ISNUMBER('Dvd Calendar'!$V$102)=FALSE,"",IF((('Dvd Calendar'!$V$104=TYPE1)*(TYPE1&lt;&gt;"")+('Dvd Calendar'!$V$104=TYPE2)*(TYPE2&lt;&gt;"")+('Dvd Calendar'!$V$104=TYPE3)*(TYPE3&lt;&gt;"")+('Dvd Calendar'!$V$104=TYPE4)*(TYPE4&lt;&gt;"")+('Dvd Calendar'!$V$104=SPECIAL_LBL)*(INC_SPECIALS="Y"))=0,"",'Dvd Calendar'!$V$102)))</f>
        <v/>
      </c>
      <c r="U20" s="110">
        <f>IF(EW20="","",IF(ISNUMBER('Dvd Calendar'!$W$102)=FALSE,"",IF((('Dvd Calendar'!$W$104=TYPE1)*(TYPE1&lt;&gt;"")+('Dvd Calendar'!$W$104=TYPE2)*(TYPE2&lt;&gt;"")+('Dvd Calendar'!$W$104=TYPE3)*(TYPE3&lt;&gt;"")+('Dvd Calendar'!$W$104=TYPE4)*(TYPE4&lt;&gt;"")+('Dvd Calendar'!$W$104=SPECIAL_LBL)*(INC_SPECIALS="Y"))=0,"",'Dvd Calendar'!$W$102)))</f>
        <v/>
      </c>
      <c r="V20" s="110">
        <f>IF(EX20="","",IF(ISNUMBER('Dvd Calendar'!$X$102)=FALSE,"",IF((('Dvd Calendar'!$X$104=TYPE1)*(TYPE1&lt;&gt;"")+('Dvd Calendar'!$X$104=TYPE2)*(TYPE2&lt;&gt;"")+('Dvd Calendar'!$X$104=TYPE3)*(TYPE3&lt;&gt;"")+('Dvd Calendar'!$X$104=TYPE4)*(TYPE4&lt;&gt;"")+('Dvd Calendar'!$X$104=SPECIAL_LBL)*(INC_SPECIALS="Y"))=0,"",'Dvd Calendar'!$X$102)))</f>
        <v/>
      </c>
      <c r="W20" s="110">
        <f>IF(EY20="","",IF(ISNUMBER('Dvd Calendar'!$Y$102)=FALSE,"",IF((('Dvd Calendar'!$Y$104=TYPE1)*(TYPE1&lt;&gt;"")+('Dvd Calendar'!$Y$104=TYPE2)*(TYPE2&lt;&gt;"")+('Dvd Calendar'!$Y$104=TYPE3)*(TYPE3&lt;&gt;"")+('Dvd Calendar'!$Y$104=TYPE4)*(TYPE4&lt;&gt;"")+('Dvd Calendar'!$Y$104=SPECIAL_LBL)*(INC_SPECIALS="Y"))=0,"",'Dvd Calendar'!$Y$102)))</f>
        <v/>
      </c>
      <c r="X20" s="110">
        <f>IF(EZ20="","",IF(ISNUMBER('Dvd Calendar'!$Z$102)=FALSE,"",IF((('Dvd Calendar'!$Z$104=TYPE1)*(TYPE1&lt;&gt;"")+('Dvd Calendar'!$Z$104=TYPE2)*(TYPE2&lt;&gt;"")+('Dvd Calendar'!$Z$104=TYPE3)*(TYPE3&lt;&gt;"")+('Dvd Calendar'!$Z$104=TYPE4)*(TYPE4&lt;&gt;"")+('Dvd Calendar'!$Z$104=SPECIAL_LBL)*(INC_SPECIALS="Y"))=0,"",'Dvd Calendar'!$Z$102)))</f>
        <v/>
      </c>
      <c r="Y20" s="110">
        <f>IF(FA20="","",IF(ISNUMBER('Dvd Calendar'!$AA$102)=FALSE,"",IF((('Dvd Calendar'!$AA$104=TYPE1)*(TYPE1&lt;&gt;"")+('Dvd Calendar'!$AA$104=TYPE2)*(TYPE2&lt;&gt;"")+('Dvd Calendar'!$AA$104=TYPE3)*(TYPE3&lt;&gt;"")+('Dvd Calendar'!$AA$104=TYPE4)*(TYPE4&lt;&gt;"")+('Dvd Calendar'!$AA$104=SPECIAL_LBL)*(INC_SPECIALS="Y"))=0,"",'Dvd Calendar'!$AA$102)))</f>
        <v/>
      </c>
      <c r="Z20" s="110">
        <f>IF(FB20="","",IF(ISNUMBER('Dvd Calendar'!$AB$102)=FALSE,"",IF((('Dvd Calendar'!$AB$104=TYPE1)*(TYPE1&lt;&gt;"")+('Dvd Calendar'!$AB$104=TYPE2)*(TYPE2&lt;&gt;"")+('Dvd Calendar'!$AB$104=TYPE3)*(TYPE3&lt;&gt;"")+('Dvd Calendar'!$AB$104=TYPE4)*(TYPE4&lt;&gt;"")+('Dvd Calendar'!$AB$104=SPECIAL_LBL)*(INC_SPECIALS="Y"))=0,"",'Dvd Calendar'!$AB$102)))</f>
        <v/>
      </c>
      <c r="AA20" s="110">
        <f>IF(FC20="","",IF(ISNUMBER('Dvd Calendar'!$AC$102)=FALSE,"",IF((('Dvd Calendar'!$AC$104=TYPE1)*(TYPE1&lt;&gt;"")+('Dvd Calendar'!$AC$104=TYPE2)*(TYPE2&lt;&gt;"")+('Dvd Calendar'!$AC$104=TYPE3)*(TYPE3&lt;&gt;"")+('Dvd Calendar'!$AC$104=TYPE4)*(TYPE4&lt;&gt;"")+('Dvd Calendar'!$AC$104=SPECIAL_LBL)*(INC_SPECIALS="Y"))=0,"",'Dvd Calendar'!$AC$102)))</f>
        <v/>
      </c>
      <c r="AB20" s="110">
        <f>IF(FD20="","",IF(ISNUMBER('Dvd Calendar'!$AD$102)=FALSE,"",IF((('Dvd Calendar'!$AD$104=TYPE1)*(TYPE1&lt;&gt;"")+('Dvd Calendar'!$AD$104=TYPE2)*(TYPE2&lt;&gt;"")+('Dvd Calendar'!$AD$104=TYPE3)*(TYPE3&lt;&gt;"")+('Dvd Calendar'!$AD$104=TYPE4)*(TYPE4&lt;&gt;"")+('Dvd Calendar'!$AD$104=SPECIAL_LBL)*(INC_SPECIALS="Y"))=0,"",'Dvd Calendar'!$AD$102)))</f>
        <v/>
      </c>
      <c r="AC20" s="110">
        <f>IF(FE20="","",IF(ISNUMBER('Dvd Calendar'!$AE$102)=FALSE,"",IF((('Dvd Calendar'!$AE$104=TYPE1)*(TYPE1&lt;&gt;"")+('Dvd Calendar'!$AE$104=TYPE2)*(TYPE2&lt;&gt;"")+('Dvd Calendar'!$AE$104=TYPE3)*(TYPE3&lt;&gt;"")+('Dvd Calendar'!$AE$104=TYPE4)*(TYPE4&lt;&gt;"")+('Dvd Calendar'!$AE$104=SPECIAL_LBL)*(INC_SPECIALS="Y"))=0,"",'Dvd Calendar'!$AE$102)))</f>
        <v/>
      </c>
      <c r="AD20" s="110">
        <f>IF(FF20="","",IF(ISNUMBER('Dvd Calendar'!$AF$102)=FALSE,"",IF((('Dvd Calendar'!$AF$104=TYPE1)*(TYPE1&lt;&gt;"")+('Dvd Calendar'!$AF$104=TYPE2)*(TYPE2&lt;&gt;"")+('Dvd Calendar'!$AF$104=TYPE3)*(TYPE3&lt;&gt;"")+('Dvd Calendar'!$AF$104=TYPE4)*(TYPE4&lt;&gt;"")+('Dvd Calendar'!$AF$104=SPECIAL_LBL)*(INC_SPECIALS="Y"))=0,"",'Dvd Calendar'!$AF$102)))</f>
        <v/>
      </c>
      <c r="AE20" s="110">
        <f>IF(FG20="","",IF(ISNUMBER('Dvd Calendar'!$AG$102)=FALSE,"",IF((('Dvd Calendar'!$AG$104=TYPE1)*(TYPE1&lt;&gt;"")+('Dvd Calendar'!$AG$104=TYPE2)*(TYPE2&lt;&gt;"")+('Dvd Calendar'!$AG$104=TYPE3)*(TYPE3&lt;&gt;"")+('Dvd Calendar'!$AG$104=TYPE4)*(TYPE4&lt;&gt;"")+('Dvd Calendar'!$AG$104=SPECIAL_LBL)*(INC_SPECIALS="Y"))=0,"",'Dvd Calendar'!$AG$102)))</f>
        <v/>
      </c>
      <c r="AF20" s="110">
        <f>IF(FH20="","",IF(ISNUMBER('Dvd Calendar'!$AH$102)=FALSE,"",IF((('Dvd Calendar'!$AH$104=TYPE1)*(TYPE1&lt;&gt;"")+('Dvd Calendar'!$AH$104=TYPE2)*(TYPE2&lt;&gt;"")+('Dvd Calendar'!$AH$104=TYPE3)*(TYPE3&lt;&gt;"")+('Dvd Calendar'!$AH$104=TYPE4)*(TYPE4&lt;&gt;"")+('Dvd Calendar'!$AH$104=SPECIAL_LBL)*(INC_SPECIALS="Y"))=0,"",'Dvd Calendar'!$AH$102)))</f>
        <v/>
      </c>
      <c r="AG20" s="110">
        <f>IF(FI20="","",IF(ISNUMBER('Dvd Calendar'!$AI$102)=FALSE,"",IF((('Dvd Calendar'!$AI$104=TYPE1)*(TYPE1&lt;&gt;"")+('Dvd Calendar'!$AI$104=TYPE2)*(TYPE2&lt;&gt;"")+('Dvd Calendar'!$AI$104=TYPE3)*(TYPE3&lt;&gt;"")+('Dvd Calendar'!$AI$104=TYPE4)*(TYPE4&lt;&gt;"")+('Dvd Calendar'!$AI$104=SPECIAL_LBL)*(INC_SPECIALS="Y"))=0,"",'Dvd Calendar'!$AI$102)))</f>
        <v/>
      </c>
      <c r="AH20" s="110">
        <f>IF(FJ20="","",IF(ISNUMBER('Dvd Calendar'!$AJ$102)=FALSE,"",IF((('Dvd Calendar'!$AJ$104=TYPE1)*(TYPE1&lt;&gt;"")+('Dvd Calendar'!$AJ$104=TYPE2)*(TYPE2&lt;&gt;"")+('Dvd Calendar'!$AJ$104=TYPE3)*(TYPE3&lt;&gt;"")+('Dvd Calendar'!$AJ$104=TYPE4)*(TYPE4&lt;&gt;"")+('Dvd Calendar'!$AJ$104=SPECIAL_LBL)*(INC_SPECIALS="Y"))=0,"",'Dvd Calendar'!$AJ$102)))</f>
        <v/>
      </c>
      <c r="AI20" s="110">
        <f>IF(FK20="","",IF(ISNUMBER('Dvd Calendar'!$AK$102)=FALSE,"",IF((('Dvd Calendar'!$AK$104=TYPE1)*(TYPE1&lt;&gt;"")+('Dvd Calendar'!$AK$104=TYPE2)*(TYPE2&lt;&gt;"")+('Dvd Calendar'!$AK$104=TYPE3)*(TYPE3&lt;&gt;"")+('Dvd Calendar'!$AK$104=TYPE4)*(TYPE4&lt;&gt;"")+('Dvd Calendar'!$AK$104=SPECIAL_LBL)*(INC_SPECIALS="Y"))=0,"",'Dvd Calendar'!$AK$102)))</f>
        <v/>
      </c>
      <c r="AJ20" s="110">
        <f>IF(FL20="","",IF(ISNUMBER('Dvd Calendar'!$AL$102)=FALSE,"",IF((('Dvd Calendar'!$AL$104=TYPE1)*(TYPE1&lt;&gt;"")+('Dvd Calendar'!$AL$104=TYPE2)*(TYPE2&lt;&gt;"")+('Dvd Calendar'!$AL$104=TYPE3)*(TYPE3&lt;&gt;"")+('Dvd Calendar'!$AL$104=TYPE4)*(TYPE4&lt;&gt;"")+('Dvd Calendar'!$AL$104=SPECIAL_LBL)*(INC_SPECIALS="Y"))=0,"",'Dvd Calendar'!$AL$102)))</f>
        <v/>
      </c>
      <c r="AK20" s="110">
        <f>IF(FM20="","",IF(ISNUMBER('Dvd Calendar'!$AM$102)=FALSE,"",IF((('Dvd Calendar'!$AM$104=TYPE1)*(TYPE1&lt;&gt;"")+('Dvd Calendar'!$AM$104=TYPE2)*(TYPE2&lt;&gt;"")+('Dvd Calendar'!$AM$104=TYPE3)*(TYPE3&lt;&gt;"")+('Dvd Calendar'!$AM$104=TYPE4)*(TYPE4&lt;&gt;"")+('Dvd Calendar'!$AM$104=SPECIAL_LBL)*(INC_SPECIALS="Y"))=0,"",'Dvd Calendar'!$AM$102)))</f>
        <v/>
      </c>
      <c r="AL20" s="110">
        <f>IF(FN20="","",IF(ISNUMBER('Dvd Calendar'!$AN$102)=FALSE,"",IF((('Dvd Calendar'!$AN$104=TYPE1)*(TYPE1&lt;&gt;"")+('Dvd Calendar'!$AN$104=TYPE2)*(TYPE2&lt;&gt;"")+('Dvd Calendar'!$AN$104=TYPE3)*(TYPE3&lt;&gt;"")+('Dvd Calendar'!$AN$104=TYPE4)*(TYPE4&lt;&gt;"")+('Dvd Calendar'!$AN$104=SPECIAL_LBL)*(INC_SPECIALS="Y"))=0,"",'Dvd Calendar'!$AN$102)))</f>
        <v/>
      </c>
      <c r="AM20" s="110">
        <f>IF(FO20="","",IF(ISNUMBER('Dvd Calendar'!$AO$102)=FALSE,"",IF((('Dvd Calendar'!$AO$104=TYPE1)*(TYPE1&lt;&gt;"")+('Dvd Calendar'!$AO$104=TYPE2)*(TYPE2&lt;&gt;"")+('Dvd Calendar'!$AO$104=TYPE3)*(TYPE3&lt;&gt;"")+('Dvd Calendar'!$AO$104=TYPE4)*(TYPE4&lt;&gt;"")+('Dvd Calendar'!$AO$104=SPECIAL_LBL)*(INC_SPECIALS="Y"))=0,"",'Dvd Calendar'!$AO$102)))</f>
        <v/>
      </c>
      <c r="AN20" s="110">
        <f>IF(FP20="","",IF(ISNUMBER('Dvd Calendar'!$AP$102)=FALSE,"",IF((('Dvd Calendar'!$AP$104=TYPE1)*(TYPE1&lt;&gt;"")+('Dvd Calendar'!$AP$104=TYPE2)*(TYPE2&lt;&gt;"")+('Dvd Calendar'!$AP$104=TYPE3)*(TYPE3&lt;&gt;"")+('Dvd Calendar'!$AP$104=TYPE4)*(TYPE4&lt;&gt;"")+('Dvd Calendar'!$AP$104=SPECIAL_LBL)*(INC_SPECIALS="Y"))=0,"",'Dvd Calendar'!$AP$102)))</f>
        <v/>
      </c>
      <c r="AO20" s="110">
        <f>IF(FQ20="","",IF(ISNUMBER('Dvd Calendar'!$AQ$102)=FALSE,"",IF((('Dvd Calendar'!$AQ$104=TYPE1)*(TYPE1&lt;&gt;"")+('Dvd Calendar'!$AQ$104=TYPE2)*(TYPE2&lt;&gt;"")+('Dvd Calendar'!$AQ$104=TYPE3)*(TYPE3&lt;&gt;"")+('Dvd Calendar'!$AQ$104=TYPE4)*(TYPE4&lt;&gt;"")+('Dvd Calendar'!$AQ$104=SPECIAL_LBL)*(INC_SPECIALS="Y"))=0,"",'Dvd Calendar'!$AQ$102)))</f>
        <v/>
      </c>
      <c r="AP20" s="110">
        <f>IF(FR20="","",IF(ISNUMBER('Dvd Calendar'!$AR$102)=FALSE,"",IF((('Dvd Calendar'!$AR$104=TYPE1)*(TYPE1&lt;&gt;"")+('Dvd Calendar'!$AR$104=TYPE2)*(TYPE2&lt;&gt;"")+('Dvd Calendar'!$AR$104=TYPE3)*(TYPE3&lt;&gt;"")+('Dvd Calendar'!$AR$104=TYPE4)*(TYPE4&lt;&gt;"")+('Dvd Calendar'!$AR$104=SPECIAL_LBL)*(INC_SPECIALS="Y"))=0,"",'Dvd Calendar'!$AR$102)))</f>
        <v/>
      </c>
      <c r="AQ20" s="110">
        <f>IF(FS20="","",IF(ISNUMBER('Dvd Calendar'!$E$107)=FALSE,"",'Dvd Calendar'!$E$107))</f>
        <v/>
      </c>
      <c r="AR20" s="110">
        <f>IF(FT20="","",IF(ISNUMBER('Dvd Calendar'!$F$107)=FALSE,"",'Dvd Calendar'!$F$107))</f>
        <v/>
      </c>
      <c r="AS20" s="110">
        <f>IF(FU20="","",IF(ISNUMBER('Dvd Calendar'!$G$107)=FALSE,"",'Dvd Calendar'!$G$107))</f>
        <v/>
      </c>
      <c r="AT20" s="110">
        <f>IF(FV20="","",IF(ISNUMBER('Dvd Calendar'!$H$107)=FALSE,"",'Dvd Calendar'!$H$107))</f>
        <v/>
      </c>
      <c r="AU20" s="110">
        <f>IF(FW20="","",IF(ISNUMBER('Dvd Calendar'!$I$107)=FALSE,"",'Dvd Calendar'!$I$107))</f>
        <v/>
      </c>
      <c r="AV20" s="110">
        <f>IF(FX20="","",IF(ISNUMBER('Dvd Calendar'!$J$107)=FALSE,"",'Dvd Calendar'!$J$107))</f>
        <v/>
      </c>
      <c r="AW20" s="110">
        <f>IF(FY20="","",IF(ISNUMBER('Dvd Calendar'!$K$107)=FALSE,"",'Dvd Calendar'!$K$107))</f>
        <v/>
      </c>
      <c r="AX20" s="110">
        <f>IF(FZ20="","",IF(ISNUMBER('Dvd Calendar'!$L$107)=FALSE,"",'Dvd Calendar'!$L$107))</f>
        <v/>
      </c>
      <c r="AY20" s="110">
        <f>IF(GA20="","",IF(ISNUMBER('Dvd Calendar'!$M$107)=FALSE,"",'Dvd Calendar'!$M$107))</f>
        <v/>
      </c>
      <c r="AZ20" s="110">
        <f>IF(GB20="","",IF(ISNUMBER('Dvd Calendar'!$N$107)=FALSE,"",'Dvd Calendar'!$N$107))</f>
        <v/>
      </c>
      <c r="BA20" s="110">
        <f>IF(GC20="","",IF(ISNUMBER('Dvd Calendar'!$O$107)=FALSE,"",'Dvd Calendar'!$O$107))</f>
        <v/>
      </c>
      <c r="BB20" s="110">
        <f>IF(GD20="","",IF(ISNUMBER('Dvd Calendar'!$P$107)=FALSE,"",'Dvd Calendar'!$P$107))</f>
        <v/>
      </c>
      <c r="BC20" s="110">
        <f>IF(GE20="","",IF(ISNUMBER('Dvd Calendar'!$Q$107)=FALSE,"",'Dvd Calendar'!$Q$107))</f>
        <v/>
      </c>
      <c r="BD20" s="110">
        <f>IF(GF20="","",IF(ISNUMBER('Dvd Calendar'!$R$107)=FALSE,"",'Dvd Calendar'!$R$107))</f>
        <v/>
      </c>
      <c r="BE20" s="110">
        <f>IF(GG20="","",IF(ISNUMBER('Dvd Calendar'!$S$107)=FALSE,"",'Dvd Calendar'!$S$107))</f>
        <v/>
      </c>
      <c r="BF20" s="110">
        <f>IF(GH20="","",IF(ISNUMBER('Dvd Calendar'!$T$107)=FALSE,"",'Dvd Calendar'!$T$107))</f>
        <v/>
      </c>
      <c r="BG20" s="110">
        <f>IF(GI20="","",IF(ISNUMBER('Dvd Calendar'!$U$107)=FALSE,"",'Dvd Calendar'!$U$107))</f>
        <v/>
      </c>
      <c r="BH20" s="110">
        <f>IF(GJ20="","",IF(ISNUMBER('Dvd Calendar'!$V$107)=FALSE,"",'Dvd Calendar'!$V$107))</f>
        <v/>
      </c>
      <c r="BI20" s="110">
        <f>IF(GK20="","",IF(ISNUMBER('Dvd Calendar'!$W$107)=FALSE,"",'Dvd Calendar'!$W$107))</f>
        <v/>
      </c>
      <c r="BJ20" s="110">
        <f>IF(GL20="","",IF(ISNUMBER('Dvd Calendar'!$X$107)=FALSE,"",'Dvd Calendar'!$X$107))</f>
        <v/>
      </c>
      <c r="BK20" s="110">
        <f>IF(GM20="","",IF(ISNUMBER('Dvd Calendar'!$Y$107)=FALSE,"",'Dvd Calendar'!$Y$107))</f>
        <v/>
      </c>
      <c r="BL20" s="110">
        <f>IF(GN20="","",IF(ISNUMBER('Dvd Calendar'!$Z$107)=FALSE,"",'Dvd Calendar'!$Z$107))</f>
        <v/>
      </c>
      <c r="BM20" s="110">
        <f>IF(GO20="","",IF(ISNUMBER('Dvd Calendar'!$AA$107)=FALSE,"",'Dvd Calendar'!$AA$107))</f>
        <v/>
      </c>
      <c r="BN20" s="110">
        <f>IF(GP20="","",IF(ISNUMBER('Dvd Calendar'!$AB$107)=FALSE,"",'Dvd Calendar'!$AB$107))</f>
        <v/>
      </c>
      <c r="BO20" s="110">
        <f>IF(GQ20="","",IF(ISNUMBER('Dvd Calendar'!$AC$107)=FALSE,"",'Dvd Calendar'!$AC$107))</f>
        <v/>
      </c>
      <c r="BQ20" s="110">
        <f>IF(C20="","",IFERROR(C20*HSI!$B$15*HSI!$G$15/HSI!$B$3,""))</f>
        <v/>
      </c>
      <c r="BR20" s="110">
        <f>IF(D20="","",IFERROR(D20*HSI!$B$15*HSI!$G$15/HSI!$B$3,""))</f>
        <v/>
      </c>
      <c r="BS20" s="110">
        <f>IF(E20="","",IFERROR(E20*HSI!$B$15*HSI!$G$15/HSI!$B$3,""))</f>
        <v/>
      </c>
      <c r="BT20" s="110">
        <f>IF(F20="","",IFERROR(F20*HSI!$B$15*HSI!$G$15/HSI!$B$3,""))</f>
        <v/>
      </c>
      <c r="BU20" s="110">
        <f>IF(G20="","",IFERROR(G20*HSI!$B$15*HSI!$G$15/HSI!$B$3,""))</f>
        <v/>
      </c>
      <c r="BV20" s="110">
        <f>IF(H20="","",IFERROR(H20*HSI!$B$15*HSI!$G$15/HSI!$B$3,""))</f>
        <v/>
      </c>
      <c r="BW20" s="110">
        <f>IF(I20="","",IFERROR(I20*HSI!$B$15*HSI!$G$15/HSI!$B$3,""))</f>
        <v/>
      </c>
      <c r="BX20" s="110">
        <f>IF(J20="","",IFERROR(J20*HSI!$B$15*HSI!$G$15/HSI!$B$3,""))</f>
        <v/>
      </c>
      <c r="BY20" s="110">
        <f>IF(K20="","",IFERROR(K20*HSI!$B$15*HSI!$G$15/HSI!$B$3,""))</f>
        <v/>
      </c>
      <c r="BZ20" s="110">
        <f>IF(L20="","",IFERROR(L20*HSI!$B$15*HSI!$G$15/HSI!$B$3,""))</f>
        <v/>
      </c>
      <c r="CA20" s="110">
        <f>IF(M20="","",IFERROR(M20*HSI!$B$15*HSI!$G$15/HSI!$B$3,""))</f>
        <v/>
      </c>
      <c r="CB20" s="110">
        <f>IF(N20="","",IFERROR(N20*HSI!$B$15*HSI!$G$15/HSI!$B$3,""))</f>
        <v/>
      </c>
      <c r="CC20" s="110">
        <f>IF(O20="","",IFERROR(O20*HSI!$B$15*HSI!$G$15/HSI!$B$3,""))</f>
        <v/>
      </c>
      <c r="CD20" s="110">
        <f>IF(P20="","",IFERROR(P20*HSI!$B$15*HSI!$G$15/HSI!$B$3,""))</f>
        <v/>
      </c>
      <c r="CE20" s="110">
        <f>IF(Q20="","",IFERROR(Q20*HSI!$B$15*HSI!$G$15/HSI!$B$3,""))</f>
        <v/>
      </c>
      <c r="CF20" s="110">
        <f>IF(R20="","",IFERROR(R20*HSI!$B$15*HSI!$G$15/HSI!$B$3,""))</f>
        <v/>
      </c>
      <c r="CG20" s="110">
        <f>IF(S20="","",IFERROR(S20*HSI!$B$15*HSI!$G$15/HSI!$B$3,""))</f>
        <v/>
      </c>
      <c r="CH20" s="110">
        <f>IF(T20="","",IFERROR(T20*HSI!$B$15*HSI!$G$15/HSI!$B$3,""))</f>
        <v/>
      </c>
      <c r="CI20" s="110">
        <f>IF(U20="","",IFERROR(U20*HSI!$B$15*HSI!$G$15/HSI!$B$3,""))</f>
        <v/>
      </c>
      <c r="CJ20" s="110">
        <f>IF(V20="","",IFERROR(V20*HSI!$B$15*HSI!$G$15/HSI!$B$3,""))</f>
        <v/>
      </c>
      <c r="CK20" s="110">
        <f>IF(W20="","",IFERROR(W20*HSI!$B$15*HSI!$G$15/HSI!$B$3,""))</f>
        <v/>
      </c>
      <c r="CL20" s="110">
        <f>IF(X20="","",IFERROR(X20*HSI!$B$15*HSI!$G$15/HSI!$B$3,""))</f>
        <v/>
      </c>
      <c r="CM20" s="110">
        <f>IF(Y20="","",IFERROR(Y20*HSI!$B$15*HSI!$G$15/HSI!$B$3,""))</f>
        <v/>
      </c>
      <c r="CN20" s="110">
        <f>IF(Z20="","",IFERROR(Z20*HSI!$B$15*HSI!$G$15/HSI!$B$3,""))</f>
        <v/>
      </c>
      <c r="CO20" s="110">
        <f>IF(AA20="","",IFERROR(AA20*HSI!$B$15*HSI!$G$15/HSI!$B$3,""))</f>
        <v/>
      </c>
      <c r="CP20" s="110">
        <f>IF(AB20="","",IFERROR(AB20*HSI!$B$15*HSI!$G$15/HSI!$B$3,""))</f>
        <v/>
      </c>
      <c r="CQ20" s="110">
        <f>IF(AC20="","",IFERROR(AC20*HSI!$B$15*HSI!$G$15/HSI!$B$3,""))</f>
        <v/>
      </c>
      <c r="CR20" s="110">
        <f>IF(AD20="","",IFERROR(AD20*HSI!$B$15*HSI!$G$15/HSI!$B$3,""))</f>
        <v/>
      </c>
      <c r="CS20" s="110">
        <f>IF(AE20="","",IFERROR(AE20*HSI!$B$15*HSI!$G$15/HSI!$B$3,""))</f>
        <v/>
      </c>
      <c r="CT20" s="110">
        <f>IF(AF20="","",IFERROR(AF20*HSI!$B$15*HSI!$G$15/HSI!$B$3,""))</f>
        <v/>
      </c>
      <c r="CU20" s="110">
        <f>IF(AG20="","",IFERROR(AG20*HSI!$B$15*HSI!$G$15/HSI!$B$3,""))</f>
        <v/>
      </c>
      <c r="CV20" s="110">
        <f>IF(AH20="","",IFERROR(AH20*HSI!$B$15*HSI!$G$15/HSI!$B$3,""))</f>
        <v/>
      </c>
      <c r="CW20" s="110">
        <f>IF(AI20="","",IFERROR(AI20*HSI!$B$15*HSI!$G$15/HSI!$B$3,""))</f>
        <v/>
      </c>
      <c r="CX20" s="110">
        <f>IF(AJ20="","",IFERROR(AJ20*HSI!$B$15*HSI!$G$15/HSI!$B$3,""))</f>
        <v/>
      </c>
      <c r="CY20" s="110">
        <f>IF(AK20="","",IFERROR(AK20*HSI!$B$15*HSI!$G$15/HSI!$B$3,""))</f>
        <v/>
      </c>
      <c r="CZ20" s="110">
        <f>IF(AL20="","",IFERROR(AL20*HSI!$B$15*HSI!$G$15/HSI!$B$3,""))</f>
        <v/>
      </c>
      <c r="DA20" s="110">
        <f>IF(AM20="","",IFERROR(AM20*HSI!$B$15*HSI!$G$15/HSI!$B$3,""))</f>
        <v/>
      </c>
      <c r="DB20" s="110">
        <f>IF(AN20="","",IFERROR(AN20*HSI!$B$15*HSI!$G$15/HSI!$B$3,""))</f>
        <v/>
      </c>
      <c r="DC20" s="110">
        <f>IF(AO20="","",IFERROR(AO20*HSI!$B$15*HSI!$G$15/HSI!$B$3,""))</f>
        <v/>
      </c>
      <c r="DD20" s="110">
        <f>IF(AP20="","",IFERROR(AP20*HSI!$B$15*HSI!$G$15/HSI!$B$3,""))</f>
        <v/>
      </c>
      <c r="DE20" s="110">
        <f>IF(AQ20="","",IFERROR(AQ20*HSI!$B$15*HSI!$G$15/HSI!$B$3,""))</f>
        <v/>
      </c>
      <c r="DF20" s="110">
        <f>IF(AR20="","",IFERROR(AR20*HSI!$B$15*HSI!$G$15/HSI!$B$3,""))</f>
        <v/>
      </c>
      <c r="DG20" s="110">
        <f>IF(AS20="","",IFERROR(AS20*HSI!$B$15*HSI!$G$15/HSI!$B$3,""))</f>
        <v/>
      </c>
      <c r="DH20" s="110">
        <f>IF(AT20="","",IFERROR(AT20*HSI!$B$15*HSI!$G$15/HSI!$B$3,""))</f>
        <v/>
      </c>
      <c r="DI20" s="110">
        <f>IF(AU20="","",IFERROR(AU20*HSI!$B$15*HSI!$G$15/HSI!$B$3,""))</f>
        <v/>
      </c>
      <c r="DJ20" s="110">
        <f>IF(AV20="","",IFERROR(AV20*HSI!$B$15*HSI!$G$15/HSI!$B$3,""))</f>
        <v/>
      </c>
      <c r="DK20" s="110">
        <f>IF(AW20="","",IFERROR(AW20*HSI!$B$15*HSI!$G$15/HSI!$B$3,""))</f>
        <v/>
      </c>
      <c r="DL20" s="110">
        <f>IF(AX20="","",IFERROR(AX20*HSI!$B$15*HSI!$G$15/HSI!$B$3,""))</f>
        <v/>
      </c>
      <c r="DM20" s="110">
        <f>IF(AY20="","",IFERROR(AY20*HSI!$B$15*HSI!$G$15/HSI!$B$3,""))</f>
        <v/>
      </c>
      <c r="DN20" s="110">
        <f>IF(AZ20="","",IFERROR(AZ20*HSI!$B$15*HSI!$G$15/HSI!$B$3,""))</f>
        <v/>
      </c>
      <c r="DO20" s="110">
        <f>IF(BA20="","",IFERROR(BA20*HSI!$B$15*HSI!$G$15/HSI!$B$3,""))</f>
        <v/>
      </c>
      <c r="DP20" s="110">
        <f>IF(BB20="","",IFERROR(BB20*HSI!$B$15*HSI!$G$15/HSI!$B$3,""))</f>
        <v/>
      </c>
      <c r="DQ20" s="110">
        <f>IF(BC20="","",IFERROR(BC20*HSI!$B$15*HSI!$G$15/HSI!$B$3,""))</f>
        <v/>
      </c>
      <c r="DR20" s="110">
        <f>IF(BD20="","",IFERROR(BD20*HSI!$B$15*HSI!$G$15/HSI!$B$3,""))</f>
        <v/>
      </c>
      <c r="DS20" s="110">
        <f>IF(BE20="","",IFERROR(BE20*HSI!$B$15*HSI!$G$15/HSI!$B$3,""))</f>
        <v/>
      </c>
      <c r="DT20" s="110">
        <f>IF(BF20="","",IFERROR(BF20*HSI!$B$15*HSI!$G$15/HSI!$B$3,""))</f>
        <v/>
      </c>
      <c r="DU20" s="110">
        <f>IF(BG20="","",IFERROR(BG20*HSI!$B$15*HSI!$G$15/HSI!$B$3,""))</f>
        <v/>
      </c>
      <c r="DV20" s="110">
        <f>IF(BH20="","",IFERROR(BH20*HSI!$B$15*HSI!$G$15/HSI!$B$3,""))</f>
        <v/>
      </c>
      <c r="DW20" s="110">
        <f>IF(BI20="","",IFERROR(BI20*HSI!$B$15*HSI!$G$15/HSI!$B$3,""))</f>
        <v/>
      </c>
      <c r="DX20" s="110">
        <f>IF(BJ20="","",IFERROR(BJ20*HSI!$B$15*HSI!$G$15/HSI!$B$3,""))</f>
        <v/>
      </c>
      <c r="DY20" s="110">
        <f>IF(BK20="","",IFERROR(BK20*HSI!$B$15*HSI!$G$15/HSI!$B$3,""))</f>
        <v/>
      </c>
      <c r="DZ20" s="110">
        <f>IF(BL20="","",IFERROR(BL20*HSI!$B$15*HSI!$G$15/HSI!$B$3,""))</f>
        <v/>
      </c>
      <c r="EA20" s="110">
        <f>IF(BM20="","",IFERROR(BM20*HSI!$B$15*HSI!$G$15/HSI!$B$3,""))</f>
        <v/>
      </c>
      <c r="EB20" s="110">
        <f>IF(BN20="","",IFERROR(BN20*HSI!$B$15*HSI!$G$15/HSI!$B$3,""))</f>
        <v/>
      </c>
      <c r="EC20" s="110">
        <f>IF(BO20="","",IFERROR(BO20*HSI!$B$15*HSI!$G$15/HSI!$B$3,""))</f>
        <v/>
      </c>
      <c r="EE20" s="39">
        <f>IF(N('Dvd Calendar'!$E$99)=0,"",IF(('Dvd Calendar'!$E$99&gt;=GRID_FROM)*('Dvd Calendar'!$E$99&lt;=GRID_TO)*((('Dvd Calendar'!$E$99&lt;=VAL_DATE)+(COUNTIF('Dvd Calendar'!$E$106:$AR$106,'Dvd Calendar'!$E$99)=0))&gt;0)=0,"",'Dvd Calendar'!$E$99*1000000000+ISNUMBER('Dvd Calendar'!$E$102)*100000000+('Dvd Calendar'!$E$104=SPECIAL_LBL)*10000000+(N('Dvd Calendar'!$E$98)&gt;0)*(N('Dvd Calendar'!$E$98)&lt;=VAL_SERIAL)*1000000+9*1000+1))</f>
        <v/>
      </c>
      <c r="EF20" s="39">
        <f>IF(N('Dvd Calendar'!$F$99)=0,"",IF(('Dvd Calendar'!$F$99&gt;=GRID_FROM)*('Dvd Calendar'!$F$99&lt;=GRID_TO)*((('Dvd Calendar'!$F$99&lt;=VAL_DATE)+(COUNTIF('Dvd Calendar'!$E$106:$AR$106,'Dvd Calendar'!$F$99)=0))&gt;0)=0,"",'Dvd Calendar'!$F$99*1000000000+ISNUMBER('Dvd Calendar'!$F$102)*100000000+('Dvd Calendar'!$F$104=SPECIAL_LBL)*10000000+(N('Dvd Calendar'!$F$98)&gt;0)*(N('Dvd Calendar'!$F$98)&lt;=VAL_SERIAL)*1000000+9*1000+2))</f>
        <v/>
      </c>
      <c r="EG20" s="39">
        <f>IF(N('Dvd Calendar'!$G$99)=0,"",IF(('Dvd Calendar'!$G$99&gt;=GRID_FROM)*('Dvd Calendar'!$G$99&lt;=GRID_TO)*((('Dvd Calendar'!$G$99&lt;=VAL_DATE)+(COUNTIF('Dvd Calendar'!$E$106:$AR$106,'Dvd Calendar'!$G$99)=0))&gt;0)=0,"",'Dvd Calendar'!$G$99*1000000000+ISNUMBER('Dvd Calendar'!$G$102)*100000000+('Dvd Calendar'!$G$104=SPECIAL_LBL)*10000000+(N('Dvd Calendar'!$G$98)&gt;0)*(N('Dvd Calendar'!$G$98)&lt;=VAL_SERIAL)*1000000+9*1000+3))</f>
        <v/>
      </c>
      <c r="EH20" s="39">
        <f>IF(N('Dvd Calendar'!$H$99)=0,"",IF(('Dvd Calendar'!$H$99&gt;=GRID_FROM)*('Dvd Calendar'!$H$99&lt;=GRID_TO)*((('Dvd Calendar'!$H$99&lt;=VAL_DATE)+(COUNTIF('Dvd Calendar'!$E$106:$AR$106,'Dvd Calendar'!$H$99)=0))&gt;0)=0,"",'Dvd Calendar'!$H$99*1000000000+ISNUMBER('Dvd Calendar'!$H$102)*100000000+('Dvd Calendar'!$H$104=SPECIAL_LBL)*10000000+(N('Dvd Calendar'!$H$98)&gt;0)*(N('Dvd Calendar'!$H$98)&lt;=VAL_SERIAL)*1000000+9*1000+4))</f>
        <v/>
      </c>
      <c r="EI20" s="39">
        <f>IF(N('Dvd Calendar'!$I$99)=0,"",IF(('Dvd Calendar'!$I$99&gt;=GRID_FROM)*('Dvd Calendar'!$I$99&lt;=GRID_TO)*((('Dvd Calendar'!$I$99&lt;=VAL_DATE)+(COUNTIF('Dvd Calendar'!$E$106:$AR$106,'Dvd Calendar'!$I$99)=0))&gt;0)=0,"",'Dvd Calendar'!$I$99*1000000000+ISNUMBER('Dvd Calendar'!$I$102)*100000000+('Dvd Calendar'!$I$104=SPECIAL_LBL)*10000000+(N('Dvd Calendar'!$I$98)&gt;0)*(N('Dvd Calendar'!$I$98)&lt;=VAL_SERIAL)*1000000+9*1000+5))</f>
        <v/>
      </c>
      <c r="EJ20" s="39">
        <f>IF(N('Dvd Calendar'!$J$99)=0,"",IF(('Dvd Calendar'!$J$99&gt;=GRID_FROM)*('Dvd Calendar'!$J$99&lt;=GRID_TO)*((('Dvd Calendar'!$J$99&lt;=VAL_DATE)+(COUNTIF('Dvd Calendar'!$E$106:$AR$106,'Dvd Calendar'!$J$99)=0))&gt;0)=0,"",'Dvd Calendar'!$J$99*1000000000+ISNUMBER('Dvd Calendar'!$J$102)*100000000+('Dvd Calendar'!$J$104=SPECIAL_LBL)*10000000+(N('Dvd Calendar'!$J$98)&gt;0)*(N('Dvd Calendar'!$J$98)&lt;=VAL_SERIAL)*1000000+9*1000+6))</f>
        <v/>
      </c>
      <c r="EK20" s="39">
        <f>IF(N('Dvd Calendar'!$K$99)=0,"",IF(('Dvd Calendar'!$K$99&gt;=GRID_FROM)*('Dvd Calendar'!$K$99&lt;=GRID_TO)*((('Dvd Calendar'!$K$99&lt;=VAL_DATE)+(COUNTIF('Dvd Calendar'!$E$106:$AR$106,'Dvd Calendar'!$K$99)=0))&gt;0)=0,"",'Dvd Calendar'!$K$99*1000000000+ISNUMBER('Dvd Calendar'!$K$102)*100000000+('Dvd Calendar'!$K$104=SPECIAL_LBL)*10000000+(N('Dvd Calendar'!$K$98)&gt;0)*(N('Dvd Calendar'!$K$98)&lt;=VAL_SERIAL)*1000000+9*1000+7))</f>
        <v/>
      </c>
      <c r="EL20" s="39">
        <f>IF(N('Dvd Calendar'!$L$99)=0,"",IF(('Dvd Calendar'!$L$99&gt;=GRID_FROM)*('Dvd Calendar'!$L$99&lt;=GRID_TO)*((('Dvd Calendar'!$L$99&lt;=VAL_DATE)+(COUNTIF('Dvd Calendar'!$E$106:$AR$106,'Dvd Calendar'!$L$99)=0))&gt;0)=0,"",'Dvd Calendar'!$L$99*1000000000+ISNUMBER('Dvd Calendar'!$L$102)*100000000+('Dvd Calendar'!$L$104=SPECIAL_LBL)*10000000+(N('Dvd Calendar'!$L$98)&gt;0)*(N('Dvd Calendar'!$L$98)&lt;=VAL_SERIAL)*1000000+9*1000+8))</f>
        <v/>
      </c>
      <c r="EM20" s="39">
        <f>IF(N('Dvd Calendar'!$M$99)=0,"",IF(('Dvd Calendar'!$M$99&gt;=GRID_FROM)*('Dvd Calendar'!$M$99&lt;=GRID_TO)*((('Dvd Calendar'!$M$99&lt;=VAL_DATE)+(COUNTIF('Dvd Calendar'!$E$106:$AR$106,'Dvd Calendar'!$M$99)=0))&gt;0)=0,"",'Dvd Calendar'!$M$99*1000000000+ISNUMBER('Dvd Calendar'!$M$102)*100000000+('Dvd Calendar'!$M$104=SPECIAL_LBL)*10000000+(N('Dvd Calendar'!$M$98)&gt;0)*(N('Dvd Calendar'!$M$98)&lt;=VAL_SERIAL)*1000000+9*1000+9))</f>
        <v/>
      </c>
      <c r="EN20" s="39">
        <f>IF(N('Dvd Calendar'!$N$99)=0,"",IF(('Dvd Calendar'!$N$99&gt;=GRID_FROM)*('Dvd Calendar'!$N$99&lt;=GRID_TO)*((('Dvd Calendar'!$N$99&lt;=VAL_DATE)+(COUNTIF('Dvd Calendar'!$E$106:$AR$106,'Dvd Calendar'!$N$99)=0))&gt;0)=0,"",'Dvd Calendar'!$N$99*1000000000+ISNUMBER('Dvd Calendar'!$N$102)*100000000+('Dvd Calendar'!$N$104=SPECIAL_LBL)*10000000+(N('Dvd Calendar'!$N$98)&gt;0)*(N('Dvd Calendar'!$N$98)&lt;=VAL_SERIAL)*1000000+9*1000+10))</f>
        <v/>
      </c>
      <c r="EO20" s="39">
        <f>IF(N('Dvd Calendar'!$O$99)=0,"",IF(('Dvd Calendar'!$O$99&gt;=GRID_FROM)*('Dvd Calendar'!$O$99&lt;=GRID_TO)*((('Dvd Calendar'!$O$99&lt;=VAL_DATE)+(COUNTIF('Dvd Calendar'!$E$106:$AR$106,'Dvd Calendar'!$O$99)=0))&gt;0)=0,"",'Dvd Calendar'!$O$99*1000000000+ISNUMBER('Dvd Calendar'!$O$102)*100000000+('Dvd Calendar'!$O$104=SPECIAL_LBL)*10000000+(N('Dvd Calendar'!$O$98)&gt;0)*(N('Dvd Calendar'!$O$98)&lt;=VAL_SERIAL)*1000000+9*1000+11))</f>
        <v/>
      </c>
      <c r="EP20" s="39">
        <f>IF(N('Dvd Calendar'!$P$99)=0,"",IF(('Dvd Calendar'!$P$99&gt;=GRID_FROM)*('Dvd Calendar'!$P$99&lt;=GRID_TO)*((('Dvd Calendar'!$P$99&lt;=VAL_DATE)+(COUNTIF('Dvd Calendar'!$E$106:$AR$106,'Dvd Calendar'!$P$99)=0))&gt;0)=0,"",'Dvd Calendar'!$P$99*1000000000+ISNUMBER('Dvd Calendar'!$P$102)*100000000+('Dvd Calendar'!$P$104=SPECIAL_LBL)*10000000+(N('Dvd Calendar'!$P$98)&gt;0)*(N('Dvd Calendar'!$P$98)&lt;=VAL_SERIAL)*1000000+9*1000+12))</f>
        <v/>
      </c>
      <c r="EQ20" s="39">
        <f>IF(N('Dvd Calendar'!$Q$99)=0,"",IF(('Dvd Calendar'!$Q$99&gt;=GRID_FROM)*('Dvd Calendar'!$Q$99&lt;=GRID_TO)*((('Dvd Calendar'!$Q$99&lt;=VAL_DATE)+(COUNTIF('Dvd Calendar'!$E$106:$AR$106,'Dvd Calendar'!$Q$99)=0))&gt;0)=0,"",'Dvd Calendar'!$Q$99*1000000000+ISNUMBER('Dvd Calendar'!$Q$102)*100000000+('Dvd Calendar'!$Q$104=SPECIAL_LBL)*10000000+(N('Dvd Calendar'!$Q$98)&gt;0)*(N('Dvd Calendar'!$Q$98)&lt;=VAL_SERIAL)*1000000+9*1000+13))</f>
        <v/>
      </c>
      <c r="ER20" s="39">
        <f>IF(N('Dvd Calendar'!$R$99)=0,"",IF(('Dvd Calendar'!$R$99&gt;=GRID_FROM)*('Dvd Calendar'!$R$99&lt;=GRID_TO)*((('Dvd Calendar'!$R$99&lt;=VAL_DATE)+(COUNTIF('Dvd Calendar'!$E$106:$AR$106,'Dvd Calendar'!$R$99)=0))&gt;0)=0,"",'Dvd Calendar'!$R$99*1000000000+ISNUMBER('Dvd Calendar'!$R$102)*100000000+('Dvd Calendar'!$R$104=SPECIAL_LBL)*10000000+(N('Dvd Calendar'!$R$98)&gt;0)*(N('Dvd Calendar'!$R$98)&lt;=VAL_SERIAL)*1000000+9*1000+14))</f>
        <v/>
      </c>
      <c r="ES20" s="39">
        <f>IF(N('Dvd Calendar'!$S$99)=0,"",IF(('Dvd Calendar'!$S$99&gt;=GRID_FROM)*('Dvd Calendar'!$S$99&lt;=GRID_TO)*((('Dvd Calendar'!$S$99&lt;=VAL_DATE)+(COUNTIF('Dvd Calendar'!$E$106:$AR$106,'Dvd Calendar'!$S$99)=0))&gt;0)=0,"",'Dvd Calendar'!$S$99*1000000000+ISNUMBER('Dvd Calendar'!$S$102)*100000000+('Dvd Calendar'!$S$104=SPECIAL_LBL)*10000000+(N('Dvd Calendar'!$S$98)&gt;0)*(N('Dvd Calendar'!$S$98)&lt;=VAL_SERIAL)*1000000+9*1000+15))</f>
        <v/>
      </c>
      <c r="ET20" s="39">
        <f>IF(N('Dvd Calendar'!$T$99)=0,"",IF(('Dvd Calendar'!$T$99&gt;=GRID_FROM)*('Dvd Calendar'!$T$99&lt;=GRID_TO)*((('Dvd Calendar'!$T$99&lt;=VAL_DATE)+(COUNTIF('Dvd Calendar'!$E$106:$AR$106,'Dvd Calendar'!$T$99)=0))&gt;0)=0,"",'Dvd Calendar'!$T$99*1000000000+ISNUMBER('Dvd Calendar'!$T$102)*100000000+('Dvd Calendar'!$T$104=SPECIAL_LBL)*10000000+(N('Dvd Calendar'!$T$98)&gt;0)*(N('Dvd Calendar'!$T$98)&lt;=VAL_SERIAL)*1000000+9*1000+16))</f>
        <v/>
      </c>
      <c r="EU20" s="39">
        <f>IF(N('Dvd Calendar'!$U$99)=0,"",IF(('Dvd Calendar'!$U$99&gt;=GRID_FROM)*('Dvd Calendar'!$U$99&lt;=GRID_TO)*((('Dvd Calendar'!$U$99&lt;=VAL_DATE)+(COUNTIF('Dvd Calendar'!$E$106:$AR$106,'Dvd Calendar'!$U$99)=0))&gt;0)=0,"",'Dvd Calendar'!$U$99*1000000000+ISNUMBER('Dvd Calendar'!$U$102)*100000000+('Dvd Calendar'!$U$104=SPECIAL_LBL)*10000000+(N('Dvd Calendar'!$U$98)&gt;0)*(N('Dvd Calendar'!$U$98)&lt;=VAL_SERIAL)*1000000+9*1000+17))</f>
        <v/>
      </c>
      <c r="EV20" s="39">
        <f>IF(N('Dvd Calendar'!$V$99)=0,"",IF(('Dvd Calendar'!$V$99&gt;=GRID_FROM)*('Dvd Calendar'!$V$99&lt;=GRID_TO)*((('Dvd Calendar'!$V$99&lt;=VAL_DATE)+(COUNTIF('Dvd Calendar'!$E$106:$AR$106,'Dvd Calendar'!$V$99)=0))&gt;0)=0,"",'Dvd Calendar'!$V$99*1000000000+ISNUMBER('Dvd Calendar'!$V$102)*100000000+('Dvd Calendar'!$V$104=SPECIAL_LBL)*10000000+(N('Dvd Calendar'!$V$98)&gt;0)*(N('Dvd Calendar'!$V$98)&lt;=VAL_SERIAL)*1000000+9*1000+18))</f>
        <v/>
      </c>
      <c r="EW20" s="39">
        <f>IF(N('Dvd Calendar'!$W$99)=0,"",IF(('Dvd Calendar'!$W$99&gt;=GRID_FROM)*('Dvd Calendar'!$W$99&lt;=GRID_TO)*((('Dvd Calendar'!$W$99&lt;=VAL_DATE)+(COUNTIF('Dvd Calendar'!$E$106:$AR$106,'Dvd Calendar'!$W$99)=0))&gt;0)=0,"",'Dvd Calendar'!$W$99*1000000000+ISNUMBER('Dvd Calendar'!$W$102)*100000000+('Dvd Calendar'!$W$104=SPECIAL_LBL)*10000000+(N('Dvd Calendar'!$W$98)&gt;0)*(N('Dvd Calendar'!$W$98)&lt;=VAL_SERIAL)*1000000+9*1000+19))</f>
        <v/>
      </c>
      <c r="EX20" s="39">
        <f>IF(N('Dvd Calendar'!$X$99)=0,"",IF(('Dvd Calendar'!$X$99&gt;=GRID_FROM)*('Dvd Calendar'!$X$99&lt;=GRID_TO)*((('Dvd Calendar'!$X$99&lt;=VAL_DATE)+(COUNTIF('Dvd Calendar'!$E$106:$AR$106,'Dvd Calendar'!$X$99)=0))&gt;0)=0,"",'Dvd Calendar'!$X$99*1000000000+ISNUMBER('Dvd Calendar'!$X$102)*100000000+('Dvd Calendar'!$X$104=SPECIAL_LBL)*10000000+(N('Dvd Calendar'!$X$98)&gt;0)*(N('Dvd Calendar'!$X$98)&lt;=VAL_SERIAL)*1000000+9*1000+20))</f>
        <v/>
      </c>
      <c r="EY20" s="39">
        <f>IF(N('Dvd Calendar'!$Y$99)=0,"",IF(('Dvd Calendar'!$Y$99&gt;=GRID_FROM)*('Dvd Calendar'!$Y$99&lt;=GRID_TO)*((('Dvd Calendar'!$Y$99&lt;=VAL_DATE)+(COUNTIF('Dvd Calendar'!$E$106:$AR$106,'Dvd Calendar'!$Y$99)=0))&gt;0)=0,"",'Dvd Calendar'!$Y$99*1000000000+ISNUMBER('Dvd Calendar'!$Y$102)*100000000+('Dvd Calendar'!$Y$104=SPECIAL_LBL)*10000000+(N('Dvd Calendar'!$Y$98)&gt;0)*(N('Dvd Calendar'!$Y$98)&lt;=VAL_SERIAL)*1000000+9*1000+21))</f>
        <v/>
      </c>
      <c r="EZ20" s="39">
        <f>IF(N('Dvd Calendar'!$Z$99)=0,"",IF(('Dvd Calendar'!$Z$99&gt;=GRID_FROM)*('Dvd Calendar'!$Z$99&lt;=GRID_TO)*((('Dvd Calendar'!$Z$99&lt;=VAL_DATE)+(COUNTIF('Dvd Calendar'!$E$106:$AR$106,'Dvd Calendar'!$Z$99)=0))&gt;0)=0,"",'Dvd Calendar'!$Z$99*1000000000+ISNUMBER('Dvd Calendar'!$Z$102)*100000000+('Dvd Calendar'!$Z$104=SPECIAL_LBL)*10000000+(N('Dvd Calendar'!$Z$98)&gt;0)*(N('Dvd Calendar'!$Z$98)&lt;=VAL_SERIAL)*1000000+9*1000+22))</f>
        <v/>
      </c>
      <c r="FA20" s="39">
        <f>IF(N('Dvd Calendar'!$AA$99)=0,"",IF(('Dvd Calendar'!$AA$99&gt;=GRID_FROM)*('Dvd Calendar'!$AA$99&lt;=GRID_TO)*((('Dvd Calendar'!$AA$99&lt;=VAL_DATE)+(COUNTIF('Dvd Calendar'!$E$106:$AR$106,'Dvd Calendar'!$AA$99)=0))&gt;0)=0,"",'Dvd Calendar'!$AA$99*1000000000+ISNUMBER('Dvd Calendar'!$AA$102)*100000000+('Dvd Calendar'!$AA$104=SPECIAL_LBL)*10000000+(N('Dvd Calendar'!$AA$98)&gt;0)*(N('Dvd Calendar'!$AA$98)&lt;=VAL_SERIAL)*1000000+9*1000+23))</f>
        <v/>
      </c>
      <c r="FB20" s="39">
        <f>IF(N('Dvd Calendar'!$AB$99)=0,"",IF(('Dvd Calendar'!$AB$99&gt;=GRID_FROM)*('Dvd Calendar'!$AB$99&lt;=GRID_TO)*((('Dvd Calendar'!$AB$99&lt;=VAL_DATE)+(COUNTIF('Dvd Calendar'!$E$106:$AR$106,'Dvd Calendar'!$AB$99)=0))&gt;0)=0,"",'Dvd Calendar'!$AB$99*1000000000+ISNUMBER('Dvd Calendar'!$AB$102)*100000000+('Dvd Calendar'!$AB$104=SPECIAL_LBL)*10000000+(N('Dvd Calendar'!$AB$98)&gt;0)*(N('Dvd Calendar'!$AB$98)&lt;=VAL_SERIAL)*1000000+9*1000+24))</f>
        <v/>
      </c>
      <c r="FC20" s="39">
        <f>IF(N('Dvd Calendar'!$AC$99)=0,"",IF(('Dvd Calendar'!$AC$99&gt;=GRID_FROM)*('Dvd Calendar'!$AC$99&lt;=GRID_TO)*((('Dvd Calendar'!$AC$99&lt;=VAL_DATE)+(COUNTIF('Dvd Calendar'!$E$106:$AR$106,'Dvd Calendar'!$AC$99)=0))&gt;0)=0,"",'Dvd Calendar'!$AC$99*1000000000+ISNUMBER('Dvd Calendar'!$AC$102)*100000000+('Dvd Calendar'!$AC$104=SPECIAL_LBL)*10000000+(N('Dvd Calendar'!$AC$98)&gt;0)*(N('Dvd Calendar'!$AC$98)&lt;=VAL_SERIAL)*1000000+9*1000+25))</f>
        <v/>
      </c>
      <c r="FD20" s="39">
        <f>IF(N('Dvd Calendar'!$AD$99)=0,"",IF(('Dvd Calendar'!$AD$99&gt;=GRID_FROM)*('Dvd Calendar'!$AD$99&lt;=GRID_TO)*((('Dvd Calendar'!$AD$99&lt;=VAL_DATE)+(COUNTIF('Dvd Calendar'!$E$106:$AR$106,'Dvd Calendar'!$AD$99)=0))&gt;0)=0,"",'Dvd Calendar'!$AD$99*1000000000+ISNUMBER('Dvd Calendar'!$AD$102)*100000000+('Dvd Calendar'!$AD$104=SPECIAL_LBL)*10000000+(N('Dvd Calendar'!$AD$98)&gt;0)*(N('Dvd Calendar'!$AD$98)&lt;=VAL_SERIAL)*1000000+9*1000+26))</f>
        <v/>
      </c>
      <c r="FE20" s="39">
        <f>IF(N('Dvd Calendar'!$AE$99)=0,"",IF(('Dvd Calendar'!$AE$99&gt;=GRID_FROM)*('Dvd Calendar'!$AE$99&lt;=GRID_TO)*((('Dvd Calendar'!$AE$99&lt;=VAL_DATE)+(COUNTIF('Dvd Calendar'!$E$106:$AR$106,'Dvd Calendar'!$AE$99)=0))&gt;0)=0,"",'Dvd Calendar'!$AE$99*1000000000+ISNUMBER('Dvd Calendar'!$AE$102)*100000000+('Dvd Calendar'!$AE$104=SPECIAL_LBL)*10000000+(N('Dvd Calendar'!$AE$98)&gt;0)*(N('Dvd Calendar'!$AE$98)&lt;=VAL_SERIAL)*1000000+9*1000+27))</f>
        <v/>
      </c>
      <c r="FF20" s="39">
        <f>IF(N('Dvd Calendar'!$AF$99)=0,"",IF(('Dvd Calendar'!$AF$99&gt;=GRID_FROM)*('Dvd Calendar'!$AF$99&lt;=GRID_TO)*((('Dvd Calendar'!$AF$99&lt;=VAL_DATE)+(COUNTIF('Dvd Calendar'!$E$106:$AR$106,'Dvd Calendar'!$AF$99)=0))&gt;0)=0,"",'Dvd Calendar'!$AF$99*1000000000+ISNUMBER('Dvd Calendar'!$AF$102)*100000000+('Dvd Calendar'!$AF$104=SPECIAL_LBL)*10000000+(N('Dvd Calendar'!$AF$98)&gt;0)*(N('Dvd Calendar'!$AF$98)&lt;=VAL_SERIAL)*1000000+9*1000+28))</f>
        <v/>
      </c>
      <c r="FG20" s="39">
        <f>IF(N('Dvd Calendar'!$AG$99)=0,"",IF(('Dvd Calendar'!$AG$99&gt;=GRID_FROM)*('Dvd Calendar'!$AG$99&lt;=GRID_TO)*((('Dvd Calendar'!$AG$99&lt;=VAL_DATE)+(COUNTIF('Dvd Calendar'!$E$106:$AR$106,'Dvd Calendar'!$AG$99)=0))&gt;0)=0,"",'Dvd Calendar'!$AG$99*1000000000+ISNUMBER('Dvd Calendar'!$AG$102)*100000000+('Dvd Calendar'!$AG$104=SPECIAL_LBL)*10000000+(N('Dvd Calendar'!$AG$98)&gt;0)*(N('Dvd Calendar'!$AG$98)&lt;=VAL_SERIAL)*1000000+9*1000+29))</f>
        <v/>
      </c>
      <c r="FH20" s="39">
        <f>IF(N('Dvd Calendar'!$AH$99)=0,"",IF(('Dvd Calendar'!$AH$99&gt;=GRID_FROM)*('Dvd Calendar'!$AH$99&lt;=GRID_TO)*((('Dvd Calendar'!$AH$99&lt;=VAL_DATE)+(COUNTIF('Dvd Calendar'!$E$106:$AR$106,'Dvd Calendar'!$AH$99)=0))&gt;0)=0,"",'Dvd Calendar'!$AH$99*1000000000+ISNUMBER('Dvd Calendar'!$AH$102)*100000000+('Dvd Calendar'!$AH$104=SPECIAL_LBL)*10000000+(N('Dvd Calendar'!$AH$98)&gt;0)*(N('Dvd Calendar'!$AH$98)&lt;=VAL_SERIAL)*1000000+9*1000+30))</f>
        <v/>
      </c>
      <c r="FI20" s="39">
        <f>IF(N('Dvd Calendar'!$AI$99)=0,"",IF(('Dvd Calendar'!$AI$99&gt;=GRID_FROM)*('Dvd Calendar'!$AI$99&lt;=GRID_TO)*((('Dvd Calendar'!$AI$99&lt;=VAL_DATE)+(COUNTIF('Dvd Calendar'!$E$106:$AR$106,'Dvd Calendar'!$AI$99)=0))&gt;0)=0,"",'Dvd Calendar'!$AI$99*1000000000+ISNUMBER('Dvd Calendar'!$AI$102)*100000000+('Dvd Calendar'!$AI$104=SPECIAL_LBL)*10000000+(N('Dvd Calendar'!$AI$98)&gt;0)*(N('Dvd Calendar'!$AI$98)&lt;=VAL_SERIAL)*1000000+9*1000+31))</f>
        <v/>
      </c>
      <c r="FJ20" s="39">
        <f>IF(N('Dvd Calendar'!$AJ$99)=0,"",IF(('Dvd Calendar'!$AJ$99&gt;=GRID_FROM)*('Dvd Calendar'!$AJ$99&lt;=GRID_TO)*((('Dvd Calendar'!$AJ$99&lt;=VAL_DATE)+(COUNTIF('Dvd Calendar'!$E$106:$AR$106,'Dvd Calendar'!$AJ$99)=0))&gt;0)=0,"",'Dvd Calendar'!$AJ$99*1000000000+ISNUMBER('Dvd Calendar'!$AJ$102)*100000000+('Dvd Calendar'!$AJ$104=SPECIAL_LBL)*10000000+(N('Dvd Calendar'!$AJ$98)&gt;0)*(N('Dvd Calendar'!$AJ$98)&lt;=VAL_SERIAL)*1000000+9*1000+32))</f>
        <v/>
      </c>
      <c r="FK20" s="39">
        <f>IF(N('Dvd Calendar'!$AK$99)=0,"",IF(('Dvd Calendar'!$AK$99&gt;=GRID_FROM)*('Dvd Calendar'!$AK$99&lt;=GRID_TO)*((('Dvd Calendar'!$AK$99&lt;=VAL_DATE)+(COUNTIF('Dvd Calendar'!$E$106:$AR$106,'Dvd Calendar'!$AK$99)=0))&gt;0)=0,"",'Dvd Calendar'!$AK$99*1000000000+ISNUMBER('Dvd Calendar'!$AK$102)*100000000+('Dvd Calendar'!$AK$104=SPECIAL_LBL)*10000000+(N('Dvd Calendar'!$AK$98)&gt;0)*(N('Dvd Calendar'!$AK$98)&lt;=VAL_SERIAL)*1000000+9*1000+33))</f>
        <v/>
      </c>
      <c r="FL20" s="39">
        <f>IF(N('Dvd Calendar'!$AL$99)=0,"",IF(('Dvd Calendar'!$AL$99&gt;=GRID_FROM)*('Dvd Calendar'!$AL$99&lt;=GRID_TO)*((('Dvd Calendar'!$AL$99&lt;=VAL_DATE)+(COUNTIF('Dvd Calendar'!$E$106:$AR$106,'Dvd Calendar'!$AL$99)=0))&gt;0)=0,"",'Dvd Calendar'!$AL$99*1000000000+ISNUMBER('Dvd Calendar'!$AL$102)*100000000+('Dvd Calendar'!$AL$104=SPECIAL_LBL)*10000000+(N('Dvd Calendar'!$AL$98)&gt;0)*(N('Dvd Calendar'!$AL$98)&lt;=VAL_SERIAL)*1000000+9*1000+34))</f>
        <v/>
      </c>
      <c r="FM20" s="39">
        <f>IF(N('Dvd Calendar'!$AM$99)=0,"",IF(('Dvd Calendar'!$AM$99&gt;=GRID_FROM)*('Dvd Calendar'!$AM$99&lt;=GRID_TO)*((('Dvd Calendar'!$AM$99&lt;=VAL_DATE)+(COUNTIF('Dvd Calendar'!$E$106:$AR$106,'Dvd Calendar'!$AM$99)=0))&gt;0)=0,"",'Dvd Calendar'!$AM$99*1000000000+ISNUMBER('Dvd Calendar'!$AM$102)*100000000+('Dvd Calendar'!$AM$104=SPECIAL_LBL)*10000000+(N('Dvd Calendar'!$AM$98)&gt;0)*(N('Dvd Calendar'!$AM$98)&lt;=VAL_SERIAL)*1000000+9*1000+35))</f>
        <v/>
      </c>
      <c r="FN20" s="39">
        <f>IF(N('Dvd Calendar'!$AN$99)=0,"",IF(('Dvd Calendar'!$AN$99&gt;=GRID_FROM)*('Dvd Calendar'!$AN$99&lt;=GRID_TO)*((('Dvd Calendar'!$AN$99&lt;=VAL_DATE)+(COUNTIF('Dvd Calendar'!$E$106:$AR$106,'Dvd Calendar'!$AN$99)=0))&gt;0)=0,"",'Dvd Calendar'!$AN$99*1000000000+ISNUMBER('Dvd Calendar'!$AN$102)*100000000+('Dvd Calendar'!$AN$104=SPECIAL_LBL)*10000000+(N('Dvd Calendar'!$AN$98)&gt;0)*(N('Dvd Calendar'!$AN$98)&lt;=VAL_SERIAL)*1000000+9*1000+36))</f>
        <v/>
      </c>
      <c r="FO20" s="39">
        <f>IF(N('Dvd Calendar'!$AO$99)=0,"",IF(('Dvd Calendar'!$AO$99&gt;=GRID_FROM)*('Dvd Calendar'!$AO$99&lt;=GRID_TO)*((('Dvd Calendar'!$AO$99&lt;=VAL_DATE)+(COUNTIF('Dvd Calendar'!$E$106:$AR$106,'Dvd Calendar'!$AO$99)=0))&gt;0)=0,"",'Dvd Calendar'!$AO$99*1000000000+ISNUMBER('Dvd Calendar'!$AO$102)*100000000+('Dvd Calendar'!$AO$104=SPECIAL_LBL)*10000000+(N('Dvd Calendar'!$AO$98)&gt;0)*(N('Dvd Calendar'!$AO$98)&lt;=VAL_SERIAL)*1000000+9*1000+37))</f>
        <v/>
      </c>
      <c r="FP20" s="39">
        <f>IF(N('Dvd Calendar'!$AP$99)=0,"",IF(('Dvd Calendar'!$AP$99&gt;=GRID_FROM)*('Dvd Calendar'!$AP$99&lt;=GRID_TO)*((('Dvd Calendar'!$AP$99&lt;=VAL_DATE)+(COUNTIF('Dvd Calendar'!$E$106:$AR$106,'Dvd Calendar'!$AP$99)=0))&gt;0)=0,"",'Dvd Calendar'!$AP$99*1000000000+ISNUMBER('Dvd Calendar'!$AP$102)*100000000+('Dvd Calendar'!$AP$104=SPECIAL_LBL)*10000000+(N('Dvd Calendar'!$AP$98)&gt;0)*(N('Dvd Calendar'!$AP$98)&lt;=VAL_SERIAL)*1000000+9*1000+38))</f>
        <v/>
      </c>
      <c r="FQ20" s="39">
        <f>IF(N('Dvd Calendar'!$AQ$99)=0,"",IF(('Dvd Calendar'!$AQ$99&gt;=GRID_FROM)*('Dvd Calendar'!$AQ$99&lt;=GRID_TO)*((('Dvd Calendar'!$AQ$99&lt;=VAL_DATE)+(COUNTIF('Dvd Calendar'!$E$106:$AR$106,'Dvd Calendar'!$AQ$99)=0))&gt;0)=0,"",'Dvd Calendar'!$AQ$99*1000000000+ISNUMBER('Dvd Calendar'!$AQ$102)*100000000+('Dvd Calendar'!$AQ$104=SPECIAL_LBL)*10000000+(N('Dvd Calendar'!$AQ$98)&gt;0)*(N('Dvd Calendar'!$AQ$98)&lt;=VAL_SERIAL)*1000000+9*1000+39))</f>
        <v/>
      </c>
      <c r="FR20" s="39">
        <f>IF(N('Dvd Calendar'!$AR$99)=0,"",IF(('Dvd Calendar'!$AR$99&gt;=GRID_FROM)*('Dvd Calendar'!$AR$99&lt;=GRID_TO)*((('Dvd Calendar'!$AR$99&lt;=VAL_DATE)+(COUNTIF('Dvd Calendar'!$E$106:$AR$106,'Dvd Calendar'!$AR$99)=0))&gt;0)=0,"",'Dvd Calendar'!$AR$99*1000000000+ISNUMBER('Dvd Calendar'!$AR$102)*100000000+('Dvd Calendar'!$AR$104=SPECIAL_LBL)*10000000+(N('Dvd Calendar'!$AR$98)&gt;0)*(N('Dvd Calendar'!$AR$98)&lt;=VAL_SERIAL)*1000000+9*1000+40))</f>
        <v/>
      </c>
      <c r="FS20" s="39">
        <f>IF(N('Dvd Calendar'!$E$106)=0,"",IF(('Dvd Calendar'!$E$106&gt;=GRID_FROM)*('Dvd Calendar'!$E$106&lt;=GRID_TO)*('Dvd Calendar'!$E$106&gt;VAL_DATE)=0,"",'Dvd Calendar'!$E$106*1000000000+ISNUMBER('Dvd Calendar'!$E$107)*100000000+0*10000000+(N('Dvd Calendar'!$E$105)&gt;0)*(N('Dvd Calendar'!$E$105)&lt;=VAL_SERIAL)*1000000+9*1000+41))</f>
        <v/>
      </c>
      <c r="FT20" s="39">
        <f>IF(N('Dvd Calendar'!$F$106)=0,"",IF(('Dvd Calendar'!$F$106&gt;=GRID_FROM)*('Dvd Calendar'!$F$106&lt;=GRID_TO)*('Dvd Calendar'!$F$106&gt;VAL_DATE)=0,"",'Dvd Calendar'!$F$106*1000000000+ISNUMBER('Dvd Calendar'!$F$107)*100000000+0*10000000+(N('Dvd Calendar'!$F$105)&gt;0)*(N('Dvd Calendar'!$F$105)&lt;=VAL_SERIAL)*1000000+9*1000+42))</f>
        <v/>
      </c>
      <c r="FU20" s="39">
        <f>IF(N('Dvd Calendar'!$G$106)=0,"",IF(('Dvd Calendar'!$G$106&gt;=GRID_FROM)*('Dvd Calendar'!$G$106&lt;=GRID_TO)*('Dvd Calendar'!$G$106&gt;VAL_DATE)=0,"",'Dvd Calendar'!$G$106*1000000000+ISNUMBER('Dvd Calendar'!$G$107)*100000000+0*10000000+(N('Dvd Calendar'!$G$105)&gt;0)*(N('Dvd Calendar'!$G$105)&lt;=VAL_SERIAL)*1000000+9*1000+43))</f>
        <v/>
      </c>
      <c r="FV20" s="39">
        <f>IF(N('Dvd Calendar'!$H$106)=0,"",IF(('Dvd Calendar'!$H$106&gt;=GRID_FROM)*('Dvd Calendar'!$H$106&lt;=GRID_TO)*('Dvd Calendar'!$H$106&gt;VAL_DATE)=0,"",'Dvd Calendar'!$H$106*1000000000+ISNUMBER('Dvd Calendar'!$H$107)*100000000+0*10000000+(N('Dvd Calendar'!$H$105)&gt;0)*(N('Dvd Calendar'!$H$105)&lt;=VAL_SERIAL)*1000000+9*1000+44))</f>
        <v/>
      </c>
      <c r="FW20" s="39">
        <f>IF(N('Dvd Calendar'!$I$106)=0,"",IF(('Dvd Calendar'!$I$106&gt;=GRID_FROM)*('Dvd Calendar'!$I$106&lt;=GRID_TO)*('Dvd Calendar'!$I$106&gt;VAL_DATE)=0,"",'Dvd Calendar'!$I$106*1000000000+ISNUMBER('Dvd Calendar'!$I$107)*100000000+0*10000000+(N('Dvd Calendar'!$I$105)&gt;0)*(N('Dvd Calendar'!$I$105)&lt;=VAL_SERIAL)*1000000+9*1000+45))</f>
        <v/>
      </c>
      <c r="FX20" s="39">
        <f>IF(N('Dvd Calendar'!$J$106)=0,"",IF(('Dvd Calendar'!$J$106&gt;=GRID_FROM)*('Dvd Calendar'!$J$106&lt;=GRID_TO)*('Dvd Calendar'!$J$106&gt;VAL_DATE)=0,"",'Dvd Calendar'!$J$106*1000000000+ISNUMBER('Dvd Calendar'!$J$107)*100000000+0*10000000+(N('Dvd Calendar'!$J$105)&gt;0)*(N('Dvd Calendar'!$J$105)&lt;=VAL_SERIAL)*1000000+9*1000+46))</f>
        <v/>
      </c>
      <c r="FY20" s="39">
        <f>IF(N('Dvd Calendar'!$K$106)=0,"",IF(('Dvd Calendar'!$K$106&gt;=GRID_FROM)*('Dvd Calendar'!$K$106&lt;=GRID_TO)*('Dvd Calendar'!$K$106&gt;VAL_DATE)=0,"",'Dvd Calendar'!$K$106*1000000000+ISNUMBER('Dvd Calendar'!$K$107)*100000000+0*10000000+(N('Dvd Calendar'!$K$105)&gt;0)*(N('Dvd Calendar'!$K$105)&lt;=VAL_SERIAL)*1000000+9*1000+47))</f>
        <v/>
      </c>
      <c r="FZ20" s="39">
        <f>IF(N('Dvd Calendar'!$L$106)=0,"",IF(('Dvd Calendar'!$L$106&gt;=GRID_FROM)*('Dvd Calendar'!$L$106&lt;=GRID_TO)*('Dvd Calendar'!$L$106&gt;VAL_DATE)=0,"",'Dvd Calendar'!$L$106*1000000000+ISNUMBER('Dvd Calendar'!$L$107)*100000000+0*10000000+(N('Dvd Calendar'!$L$105)&gt;0)*(N('Dvd Calendar'!$L$105)&lt;=VAL_SERIAL)*1000000+9*1000+48))</f>
        <v/>
      </c>
      <c r="GA20" s="39">
        <f>IF(N('Dvd Calendar'!$M$106)=0,"",IF(('Dvd Calendar'!$M$106&gt;=GRID_FROM)*('Dvd Calendar'!$M$106&lt;=GRID_TO)*('Dvd Calendar'!$M$106&gt;VAL_DATE)=0,"",'Dvd Calendar'!$M$106*1000000000+ISNUMBER('Dvd Calendar'!$M$107)*100000000+0*10000000+(N('Dvd Calendar'!$M$105)&gt;0)*(N('Dvd Calendar'!$M$105)&lt;=VAL_SERIAL)*1000000+9*1000+49))</f>
        <v/>
      </c>
      <c r="GB20" s="39">
        <f>IF(N('Dvd Calendar'!$N$106)=0,"",IF(('Dvd Calendar'!$N$106&gt;=GRID_FROM)*('Dvd Calendar'!$N$106&lt;=GRID_TO)*('Dvd Calendar'!$N$106&gt;VAL_DATE)=0,"",'Dvd Calendar'!$N$106*1000000000+ISNUMBER('Dvd Calendar'!$N$107)*100000000+0*10000000+(N('Dvd Calendar'!$N$105)&gt;0)*(N('Dvd Calendar'!$N$105)&lt;=VAL_SERIAL)*1000000+9*1000+50))</f>
        <v/>
      </c>
      <c r="GC20" s="39">
        <f>IF(N('Dvd Calendar'!$O$106)=0,"",IF(('Dvd Calendar'!$O$106&gt;=GRID_FROM)*('Dvd Calendar'!$O$106&lt;=GRID_TO)*('Dvd Calendar'!$O$106&gt;VAL_DATE)=0,"",'Dvd Calendar'!$O$106*1000000000+ISNUMBER('Dvd Calendar'!$O$107)*100000000+0*10000000+(N('Dvd Calendar'!$O$105)&gt;0)*(N('Dvd Calendar'!$O$105)&lt;=VAL_SERIAL)*1000000+9*1000+51))</f>
        <v/>
      </c>
      <c r="GD20" s="39">
        <f>IF(N('Dvd Calendar'!$P$106)=0,"",IF(('Dvd Calendar'!$P$106&gt;=GRID_FROM)*('Dvd Calendar'!$P$106&lt;=GRID_TO)*('Dvd Calendar'!$P$106&gt;VAL_DATE)=0,"",'Dvd Calendar'!$P$106*1000000000+ISNUMBER('Dvd Calendar'!$P$107)*100000000+0*10000000+(N('Dvd Calendar'!$P$105)&gt;0)*(N('Dvd Calendar'!$P$105)&lt;=VAL_SERIAL)*1000000+9*1000+52))</f>
        <v/>
      </c>
      <c r="GE20" s="39">
        <f>IF(N('Dvd Calendar'!$Q$106)=0,"",IF(('Dvd Calendar'!$Q$106&gt;=GRID_FROM)*('Dvd Calendar'!$Q$106&lt;=GRID_TO)*('Dvd Calendar'!$Q$106&gt;VAL_DATE)=0,"",'Dvd Calendar'!$Q$106*1000000000+ISNUMBER('Dvd Calendar'!$Q$107)*100000000+0*10000000+(N('Dvd Calendar'!$Q$105)&gt;0)*(N('Dvd Calendar'!$Q$105)&lt;=VAL_SERIAL)*1000000+9*1000+53))</f>
        <v/>
      </c>
      <c r="GF20" s="39">
        <f>IF(N('Dvd Calendar'!$R$106)=0,"",IF(('Dvd Calendar'!$R$106&gt;=GRID_FROM)*('Dvd Calendar'!$R$106&lt;=GRID_TO)*('Dvd Calendar'!$R$106&gt;VAL_DATE)=0,"",'Dvd Calendar'!$R$106*1000000000+ISNUMBER('Dvd Calendar'!$R$107)*100000000+0*10000000+(N('Dvd Calendar'!$R$105)&gt;0)*(N('Dvd Calendar'!$R$105)&lt;=VAL_SERIAL)*1000000+9*1000+54))</f>
        <v/>
      </c>
      <c r="GG20" s="39">
        <f>IF(N('Dvd Calendar'!$S$106)=0,"",IF(('Dvd Calendar'!$S$106&gt;=GRID_FROM)*('Dvd Calendar'!$S$106&lt;=GRID_TO)*('Dvd Calendar'!$S$106&gt;VAL_DATE)=0,"",'Dvd Calendar'!$S$106*1000000000+ISNUMBER('Dvd Calendar'!$S$107)*100000000+0*10000000+(N('Dvd Calendar'!$S$105)&gt;0)*(N('Dvd Calendar'!$S$105)&lt;=VAL_SERIAL)*1000000+9*1000+55))</f>
        <v/>
      </c>
      <c r="GH20" s="39">
        <f>IF(N('Dvd Calendar'!$T$106)=0,"",IF(('Dvd Calendar'!$T$106&gt;=GRID_FROM)*('Dvd Calendar'!$T$106&lt;=GRID_TO)*('Dvd Calendar'!$T$106&gt;VAL_DATE)=0,"",'Dvd Calendar'!$T$106*1000000000+ISNUMBER('Dvd Calendar'!$T$107)*100000000+0*10000000+(N('Dvd Calendar'!$T$105)&gt;0)*(N('Dvd Calendar'!$T$105)&lt;=VAL_SERIAL)*1000000+9*1000+56))</f>
        <v/>
      </c>
      <c r="GI20" s="39">
        <f>IF(N('Dvd Calendar'!$U$106)=0,"",IF(('Dvd Calendar'!$U$106&gt;=GRID_FROM)*('Dvd Calendar'!$U$106&lt;=GRID_TO)*('Dvd Calendar'!$U$106&gt;VAL_DATE)=0,"",'Dvd Calendar'!$U$106*1000000000+ISNUMBER('Dvd Calendar'!$U$107)*100000000+0*10000000+(N('Dvd Calendar'!$U$105)&gt;0)*(N('Dvd Calendar'!$U$105)&lt;=VAL_SERIAL)*1000000+9*1000+57))</f>
        <v/>
      </c>
      <c r="GJ20" s="39">
        <f>IF(N('Dvd Calendar'!$V$106)=0,"",IF(('Dvd Calendar'!$V$106&gt;=GRID_FROM)*('Dvd Calendar'!$V$106&lt;=GRID_TO)*('Dvd Calendar'!$V$106&gt;VAL_DATE)=0,"",'Dvd Calendar'!$V$106*1000000000+ISNUMBER('Dvd Calendar'!$V$107)*100000000+0*10000000+(N('Dvd Calendar'!$V$105)&gt;0)*(N('Dvd Calendar'!$V$105)&lt;=VAL_SERIAL)*1000000+9*1000+58))</f>
        <v/>
      </c>
      <c r="GK20" s="39">
        <f>IF(N('Dvd Calendar'!$W$106)=0,"",IF(('Dvd Calendar'!$W$106&gt;=GRID_FROM)*('Dvd Calendar'!$W$106&lt;=GRID_TO)*('Dvd Calendar'!$W$106&gt;VAL_DATE)=0,"",'Dvd Calendar'!$W$106*1000000000+ISNUMBER('Dvd Calendar'!$W$107)*100000000+0*10000000+(N('Dvd Calendar'!$W$105)&gt;0)*(N('Dvd Calendar'!$W$105)&lt;=VAL_SERIAL)*1000000+9*1000+59))</f>
        <v/>
      </c>
      <c r="GL20" s="39">
        <f>IF(N('Dvd Calendar'!$X$106)=0,"",IF(('Dvd Calendar'!$X$106&gt;=GRID_FROM)*('Dvd Calendar'!$X$106&lt;=GRID_TO)*('Dvd Calendar'!$X$106&gt;VAL_DATE)=0,"",'Dvd Calendar'!$X$106*1000000000+ISNUMBER('Dvd Calendar'!$X$107)*100000000+0*10000000+(N('Dvd Calendar'!$X$105)&gt;0)*(N('Dvd Calendar'!$X$105)&lt;=VAL_SERIAL)*1000000+9*1000+60))</f>
        <v/>
      </c>
      <c r="GM20" s="39">
        <f>IF(N('Dvd Calendar'!$Y$106)=0,"",IF(('Dvd Calendar'!$Y$106&gt;=GRID_FROM)*('Dvd Calendar'!$Y$106&lt;=GRID_TO)*('Dvd Calendar'!$Y$106&gt;VAL_DATE)=0,"",'Dvd Calendar'!$Y$106*1000000000+ISNUMBER('Dvd Calendar'!$Y$107)*100000000+0*10000000+(N('Dvd Calendar'!$Y$105)&gt;0)*(N('Dvd Calendar'!$Y$105)&lt;=VAL_SERIAL)*1000000+9*1000+61))</f>
        <v/>
      </c>
      <c r="GN20" s="39">
        <f>IF(N('Dvd Calendar'!$Z$106)=0,"",IF(('Dvd Calendar'!$Z$106&gt;=GRID_FROM)*('Dvd Calendar'!$Z$106&lt;=GRID_TO)*('Dvd Calendar'!$Z$106&gt;VAL_DATE)=0,"",'Dvd Calendar'!$Z$106*1000000000+ISNUMBER('Dvd Calendar'!$Z$107)*100000000+0*10000000+(N('Dvd Calendar'!$Z$105)&gt;0)*(N('Dvd Calendar'!$Z$105)&lt;=VAL_SERIAL)*1000000+9*1000+62))</f>
        <v/>
      </c>
      <c r="GO20" s="39">
        <f>IF(N('Dvd Calendar'!$AA$106)=0,"",IF(('Dvd Calendar'!$AA$106&gt;=GRID_FROM)*('Dvd Calendar'!$AA$106&lt;=GRID_TO)*('Dvd Calendar'!$AA$106&gt;VAL_DATE)=0,"",'Dvd Calendar'!$AA$106*1000000000+ISNUMBER('Dvd Calendar'!$AA$107)*100000000+0*10000000+(N('Dvd Calendar'!$AA$105)&gt;0)*(N('Dvd Calendar'!$AA$105)&lt;=VAL_SERIAL)*1000000+9*1000+63))</f>
        <v/>
      </c>
      <c r="GP20" s="39">
        <f>IF(N('Dvd Calendar'!$AB$106)=0,"",IF(('Dvd Calendar'!$AB$106&gt;=GRID_FROM)*('Dvd Calendar'!$AB$106&lt;=GRID_TO)*('Dvd Calendar'!$AB$106&gt;VAL_DATE)=0,"",'Dvd Calendar'!$AB$106*1000000000+ISNUMBER('Dvd Calendar'!$AB$107)*100000000+0*10000000+(N('Dvd Calendar'!$AB$105)&gt;0)*(N('Dvd Calendar'!$AB$105)&lt;=VAL_SERIAL)*1000000+9*1000+64))</f>
        <v/>
      </c>
      <c r="GQ20" s="39">
        <f>IF(N('Dvd Calendar'!$AC$106)=0,"",IF(('Dvd Calendar'!$AC$106&gt;=GRID_FROM)*('Dvd Calendar'!$AC$106&lt;=GRID_TO)*('Dvd Calendar'!$AC$106&gt;VAL_DATE)=0,"",'Dvd Calendar'!$AC$106*1000000000+ISNUMBER('Dvd Calendar'!$AC$107)*100000000+0*10000000+(N('Dvd Calendar'!$AC$105)&gt;0)*(N('Dvd Calendar'!$AC$105)&lt;=VAL_SERIAL)*1000000+9*1000+65))</f>
        <v/>
      </c>
    </row>
    <row r="21">
      <c r="B21" s="2">
        <f>IF(HSI!$C$16="","",HSI!$C$16)</f>
        <v/>
      </c>
      <c r="C21" s="110">
        <f>IF(EE21="","",IF(ISNUMBER('Dvd Calendar'!$E$113)=FALSE,"",IF((('Dvd Calendar'!$E$115=TYPE1)*(TYPE1&lt;&gt;"")+('Dvd Calendar'!$E$115=TYPE2)*(TYPE2&lt;&gt;"")+('Dvd Calendar'!$E$115=TYPE3)*(TYPE3&lt;&gt;"")+('Dvd Calendar'!$E$115=TYPE4)*(TYPE4&lt;&gt;"")+('Dvd Calendar'!$E$115=SPECIAL_LBL)*(INC_SPECIALS="Y"))=0,"",'Dvd Calendar'!$E$113)))</f>
        <v/>
      </c>
      <c r="D21" s="110">
        <f>IF(EF21="","",IF(ISNUMBER('Dvd Calendar'!$F$113)=FALSE,"",IF((('Dvd Calendar'!$F$115=TYPE1)*(TYPE1&lt;&gt;"")+('Dvd Calendar'!$F$115=TYPE2)*(TYPE2&lt;&gt;"")+('Dvd Calendar'!$F$115=TYPE3)*(TYPE3&lt;&gt;"")+('Dvd Calendar'!$F$115=TYPE4)*(TYPE4&lt;&gt;"")+('Dvd Calendar'!$F$115=SPECIAL_LBL)*(INC_SPECIALS="Y"))=0,"",'Dvd Calendar'!$F$113)))</f>
        <v/>
      </c>
      <c r="E21" s="110">
        <f>IF(EG21="","",IF(ISNUMBER('Dvd Calendar'!$G$113)=FALSE,"",IF((('Dvd Calendar'!$G$115=TYPE1)*(TYPE1&lt;&gt;"")+('Dvd Calendar'!$G$115=TYPE2)*(TYPE2&lt;&gt;"")+('Dvd Calendar'!$G$115=TYPE3)*(TYPE3&lt;&gt;"")+('Dvd Calendar'!$G$115=TYPE4)*(TYPE4&lt;&gt;"")+('Dvd Calendar'!$G$115=SPECIAL_LBL)*(INC_SPECIALS="Y"))=0,"",'Dvd Calendar'!$G$113)))</f>
        <v/>
      </c>
      <c r="F21" s="110">
        <f>IF(EH21="","",IF(ISNUMBER('Dvd Calendar'!$H$113)=FALSE,"",IF((('Dvd Calendar'!$H$115=TYPE1)*(TYPE1&lt;&gt;"")+('Dvd Calendar'!$H$115=TYPE2)*(TYPE2&lt;&gt;"")+('Dvd Calendar'!$H$115=TYPE3)*(TYPE3&lt;&gt;"")+('Dvd Calendar'!$H$115=TYPE4)*(TYPE4&lt;&gt;"")+('Dvd Calendar'!$H$115=SPECIAL_LBL)*(INC_SPECIALS="Y"))=0,"",'Dvd Calendar'!$H$113)))</f>
        <v/>
      </c>
      <c r="G21" s="110">
        <f>IF(EI21="","",IF(ISNUMBER('Dvd Calendar'!$I$113)=FALSE,"",IF((('Dvd Calendar'!$I$115=TYPE1)*(TYPE1&lt;&gt;"")+('Dvd Calendar'!$I$115=TYPE2)*(TYPE2&lt;&gt;"")+('Dvd Calendar'!$I$115=TYPE3)*(TYPE3&lt;&gt;"")+('Dvd Calendar'!$I$115=TYPE4)*(TYPE4&lt;&gt;"")+('Dvd Calendar'!$I$115=SPECIAL_LBL)*(INC_SPECIALS="Y"))=0,"",'Dvd Calendar'!$I$113)))</f>
        <v/>
      </c>
      <c r="H21" s="110">
        <f>IF(EJ21="","",IF(ISNUMBER('Dvd Calendar'!$J$113)=FALSE,"",IF((('Dvd Calendar'!$J$115=TYPE1)*(TYPE1&lt;&gt;"")+('Dvd Calendar'!$J$115=TYPE2)*(TYPE2&lt;&gt;"")+('Dvd Calendar'!$J$115=TYPE3)*(TYPE3&lt;&gt;"")+('Dvd Calendar'!$J$115=TYPE4)*(TYPE4&lt;&gt;"")+('Dvd Calendar'!$J$115=SPECIAL_LBL)*(INC_SPECIALS="Y"))=0,"",'Dvd Calendar'!$J$113)))</f>
        <v/>
      </c>
      <c r="I21" s="110">
        <f>IF(EK21="","",IF(ISNUMBER('Dvd Calendar'!$K$113)=FALSE,"",IF((('Dvd Calendar'!$K$115=TYPE1)*(TYPE1&lt;&gt;"")+('Dvd Calendar'!$K$115=TYPE2)*(TYPE2&lt;&gt;"")+('Dvd Calendar'!$K$115=TYPE3)*(TYPE3&lt;&gt;"")+('Dvd Calendar'!$K$115=TYPE4)*(TYPE4&lt;&gt;"")+('Dvd Calendar'!$K$115=SPECIAL_LBL)*(INC_SPECIALS="Y"))=0,"",'Dvd Calendar'!$K$113)))</f>
        <v/>
      </c>
      <c r="J21" s="110">
        <f>IF(EL21="","",IF(ISNUMBER('Dvd Calendar'!$L$113)=FALSE,"",IF((('Dvd Calendar'!$L$115=TYPE1)*(TYPE1&lt;&gt;"")+('Dvd Calendar'!$L$115=TYPE2)*(TYPE2&lt;&gt;"")+('Dvd Calendar'!$L$115=TYPE3)*(TYPE3&lt;&gt;"")+('Dvd Calendar'!$L$115=TYPE4)*(TYPE4&lt;&gt;"")+('Dvd Calendar'!$L$115=SPECIAL_LBL)*(INC_SPECIALS="Y"))=0,"",'Dvd Calendar'!$L$113)))</f>
        <v/>
      </c>
      <c r="K21" s="110">
        <f>IF(EM21="","",IF(ISNUMBER('Dvd Calendar'!$M$113)=FALSE,"",IF((('Dvd Calendar'!$M$115=TYPE1)*(TYPE1&lt;&gt;"")+('Dvd Calendar'!$M$115=TYPE2)*(TYPE2&lt;&gt;"")+('Dvd Calendar'!$M$115=TYPE3)*(TYPE3&lt;&gt;"")+('Dvd Calendar'!$M$115=TYPE4)*(TYPE4&lt;&gt;"")+('Dvd Calendar'!$M$115=SPECIAL_LBL)*(INC_SPECIALS="Y"))=0,"",'Dvd Calendar'!$M$113)))</f>
        <v/>
      </c>
      <c r="L21" s="110">
        <f>IF(EN21="","",IF(ISNUMBER('Dvd Calendar'!$N$113)=FALSE,"",IF((('Dvd Calendar'!$N$115=TYPE1)*(TYPE1&lt;&gt;"")+('Dvd Calendar'!$N$115=TYPE2)*(TYPE2&lt;&gt;"")+('Dvd Calendar'!$N$115=TYPE3)*(TYPE3&lt;&gt;"")+('Dvd Calendar'!$N$115=TYPE4)*(TYPE4&lt;&gt;"")+('Dvd Calendar'!$N$115=SPECIAL_LBL)*(INC_SPECIALS="Y"))=0,"",'Dvd Calendar'!$N$113)))</f>
        <v/>
      </c>
      <c r="M21" s="110">
        <f>IF(EO21="","",IF(ISNUMBER('Dvd Calendar'!$O$113)=FALSE,"",IF((('Dvd Calendar'!$O$115=TYPE1)*(TYPE1&lt;&gt;"")+('Dvd Calendar'!$O$115=TYPE2)*(TYPE2&lt;&gt;"")+('Dvd Calendar'!$O$115=TYPE3)*(TYPE3&lt;&gt;"")+('Dvd Calendar'!$O$115=TYPE4)*(TYPE4&lt;&gt;"")+('Dvd Calendar'!$O$115=SPECIAL_LBL)*(INC_SPECIALS="Y"))=0,"",'Dvd Calendar'!$O$113)))</f>
        <v/>
      </c>
      <c r="N21" s="110">
        <f>IF(EP21="","",IF(ISNUMBER('Dvd Calendar'!$P$113)=FALSE,"",IF((('Dvd Calendar'!$P$115=TYPE1)*(TYPE1&lt;&gt;"")+('Dvd Calendar'!$P$115=TYPE2)*(TYPE2&lt;&gt;"")+('Dvd Calendar'!$P$115=TYPE3)*(TYPE3&lt;&gt;"")+('Dvd Calendar'!$P$115=TYPE4)*(TYPE4&lt;&gt;"")+('Dvd Calendar'!$P$115=SPECIAL_LBL)*(INC_SPECIALS="Y"))=0,"",'Dvd Calendar'!$P$113)))</f>
        <v/>
      </c>
      <c r="O21" s="110">
        <f>IF(EQ21="","",IF(ISNUMBER('Dvd Calendar'!$Q$113)=FALSE,"",IF((('Dvd Calendar'!$Q$115=TYPE1)*(TYPE1&lt;&gt;"")+('Dvd Calendar'!$Q$115=TYPE2)*(TYPE2&lt;&gt;"")+('Dvd Calendar'!$Q$115=TYPE3)*(TYPE3&lt;&gt;"")+('Dvd Calendar'!$Q$115=TYPE4)*(TYPE4&lt;&gt;"")+('Dvd Calendar'!$Q$115=SPECIAL_LBL)*(INC_SPECIALS="Y"))=0,"",'Dvd Calendar'!$Q$113)))</f>
        <v/>
      </c>
      <c r="P21" s="110">
        <f>IF(ER21="","",IF(ISNUMBER('Dvd Calendar'!$R$113)=FALSE,"",IF((('Dvd Calendar'!$R$115=TYPE1)*(TYPE1&lt;&gt;"")+('Dvd Calendar'!$R$115=TYPE2)*(TYPE2&lt;&gt;"")+('Dvd Calendar'!$R$115=TYPE3)*(TYPE3&lt;&gt;"")+('Dvd Calendar'!$R$115=TYPE4)*(TYPE4&lt;&gt;"")+('Dvd Calendar'!$R$115=SPECIAL_LBL)*(INC_SPECIALS="Y"))=0,"",'Dvd Calendar'!$R$113)))</f>
        <v/>
      </c>
      <c r="Q21" s="110">
        <f>IF(ES21="","",IF(ISNUMBER('Dvd Calendar'!$S$113)=FALSE,"",IF((('Dvd Calendar'!$S$115=TYPE1)*(TYPE1&lt;&gt;"")+('Dvd Calendar'!$S$115=TYPE2)*(TYPE2&lt;&gt;"")+('Dvd Calendar'!$S$115=TYPE3)*(TYPE3&lt;&gt;"")+('Dvd Calendar'!$S$115=TYPE4)*(TYPE4&lt;&gt;"")+('Dvd Calendar'!$S$115=SPECIAL_LBL)*(INC_SPECIALS="Y"))=0,"",'Dvd Calendar'!$S$113)))</f>
        <v/>
      </c>
      <c r="R21" s="110">
        <f>IF(ET21="","",IF(ISNUMBER('Dvd Calendar'!$T$113)=FALSE,"",IF((('Dvd Calendar'!$T$115=TYPE1)*(TYPE1&lt;&gt;"")+('Dvd Calendar'!$T$115=TYPE2)*(TYPE2&lt;&gt;"")+('Dvd Calendar'!$T$115=TYPE3)*(TYPE3&lt;&gt;"")+('Dvd Calendar'!$T$115=TYPE4)*(TYPE4&lt;&gt;"")+('Dvd Calendar'!$T$115=SPECIAL_LBL)*(INC_SPECIALS="Y"))=0,"",'Dvd Calendar'!$T$113)))</f>
        <v/>
      </c>
      <c r="S21" s="110">
        <f>IF(EU21="","",IF(ISNUMBER('Dvd Calendar'!$U$113)=FALSE,"",IF((('Dvd Calendar'!$U$115=TYPE1)*(TYPE1&lt;&gt;"")+('Dvd Calendar'!$U$115=TYPE2)*(TYPE2&lt;&gt;"")+('Dvd Calendar'!$U$115=TYPE3)*(TYPE3&lt;&gt;"")+('Dvd Calendar'!$U$115=TYPE4)*(TYPE4&lt;&gt;"")+('Dvd Calendar'!$U$115=SPECIAL_LBL)*(INC_SPECIALS="Y"))=0,"",'Dvd Calendar'!$U$113)))</f>
        <v/>
      </c>
      <c r="T21" s="110">
        <f>IF(EV21="","",IF(ISNUMBER('Dvd Calendar'!$V$113)=FALSE,"",IF((('Dvd Calendar'!$V$115=TYPE1)*(TYPE1&lt;&gt;"")+('Dvd Calendar'!$V$115=TYPE2)*(TYPE2&lt;&gt;"")+('Dvd Calendar'!$V$115=TYPE3)*(TYPE3&lt;&gt;"")+('Dvd Calendar'!$V$115=TYPE4)*(TYPE4&lt;&gt;"")+('Dvd Calendar'!$V$115=SPECIAL_LBL)*(INC_SPECIALS="Y"))=0,"",'Dvd Calendar'!$V$113)))</f>
        <v/>
      </c>
      <c r="U21" s="110">
        <f>IF(EW21="","",IF(ISNUMBER('Dvd Calendar'!$W$113)=FALSE,"",IF((('Dvd Calendar'!$W$115=TYPE1)*(TYPE1&lt;&gt;"")+('Dvd Calendar'!$W$115=TYPE2)*(TYPE2&lt;&gt;"")+('Dvd Calendar'!$W$115=TYPE3)*(TYPE3&lt;&gt;"")+('Dvd Calendar'!$W$115=TYPE4)*(TYPE4&lt;&gt;"")+('Dvd Calendar'!$W$115=SPECIAL_LBL)*(INC_SPECIALS="Y"))=0,"",'Dvd Calendar'!$W$113)))</f>
        <v/>
      </c>
      <c r="V21" s="110">
        <f>IF(EX21="","",IF(ISNUMBER('Dvd Calendar'!$X$113)=FALSE,"",IF((('Dvd Calendar'!$X$115=TYPE1)*(TYPE1&lt;&gt;"")+('Dvd Calendar'!$X$115=TYPE2)*(TYPE2&lt;&gt;"")+('Dvd Calendar'!$X$115=TYPE3)*(TYPE3&lt;&gt;"")+('Dvd Calendar'!$X$115=TYPE4)*(TYPE4&lt;&gt;"")+('Dvd Calendar'!$X$115=SPECIAL_LBL)*(INC_SPECIALS="Y"))=0,"",'Dvd Calendar'!$X$113)))</f>
        <v/>
      </c>
      <c r="W21" s="110">
        <f>IF(EY21="","",IF(ISNUMBER('Dvd Calendar'!$Y$113)=FALSE,"",IF((('Dvd Calendar'!$Y$115=TYPE1)*(TYPE1&lt;&gt;"")+('Dvd Calendar'!$Y$115=TYPE2)*(TYPE2&lt;&gt;"")+('Dvd Calendar'!$Y$115=TYPE3)*(TYPE3&lt;&gt;"")+('Dvd Calendar'!$Y$115=TYPE4)*(TYPE4&lt;&gt;"")+('Dvd Calendar'!$Y$115=SPECIAL_LBL)*(INC_SPECIALS="Y"))=0,"",'Dvd Calendar'!$Y$113)))</f>
        <v/>
      </c>
      <c r="X21" s="110">
        <f>IF(EZ21="","",IF(ISNUMBER('Dvd Calendar'!$Z$113)=FALSE,"",IF((('Dvd Calendar'!$Z$115=TYPE1)*(TYPE1&lt;&gt;"")+('Dvd Calendar'!$Z$115=TYPE2)*(TYPE2&lt;&gt;"")+('Dvd Calendar'!$Z$115=TYPE3)*(TYPE3&lt;&gt;"")+('Dvd Calendar'!$Z$115=TYPE4)*(TYPE4&lt;&gt;"")+('Dvd Calendar'!$Z$115=SPECIAL_LBL)*(INC_SPECIALS="Y"))=0,"",'Dvd Calendar'!$Z$113)))</f>
        <v/>
      </c>
      <c r="Y21" s="110">
        <f>IF(FA21="","",IF(ISNUMBER('Dvd Calendar'!$AA$113)=FALSE,"",IF((('Dvd Calendar'!$AA$115=TYPE1)*(TYPE1&lt;&gt;"")+('Dvd Calendar'!$AA$115=TYPE2)*(TYPE2&lt;&gt;"")+('Dvd Calendar'!$AA$115=TYPE3)*(TYPE3&lt;&gt;"")+('Dvd Calendar'!$AA$115=TYPE4)*(TYPE4&lt;&gt;"")+('Dvd Calendar'!$AA$115=SPECIAL_LBL)*(INC_SPECIALS="Y"))=0,"",'Dvd Calendar'!$AA$113)))</f>
        <v/>
      </c>
      <c r="Z21" s="110">
        <f>IF(FB21="","",IF(ISNUMBER('Dvd Calendar'!$AB$113)=FALSE,"",IF((('Dvd Calendar'!$AB$115=TYPE1)*(TYPE1&lt;&gt;"")+('Dvd Calendar'!$AB$115=TYPE2)*(TYPE2&lt;&gt;"")+('Dvd Calendar'!$AB$115=TYPE3)*(TYPE3&lt;&gt;"")+('Dvd Calendar'!$AB$115=TYPE4)*(TYPE4&lt;&gt;"")+('Dvd Calendar'!$AB$115=SPECIAL_LBL)*(INC_SPECIALS="Y"))=0,"",'Dvd Calendar'!$AB$113)))</f>
        <v/>
      </c>
      <c r="AA21" s="110">
        <f>IF(FC21="","",IF(ISNUMBER('Dvd Calendar'!$AC$113)=FALSE,"",IF((('Dvd Calendar'!$AC$115=TYPE1)*(TYPE1&lt;&gt;"")+('Dvd Calendar'!$AC$115=TYPE2)*(TYPE2&lt;&gt;"")+('Dvd Calendar'!$AC$115=TYPE3)*(TYPE3&lt;&gt;"")+('Dvd Calendar'!$AC$115=TYPE4)*(TYPE4&lt;&gt;"")+('Dvd Calendar'!$AC$115=SPECIAL_LBL)*(INC_SPECIALS="Y"))=0,"",'Dvd Calendar'!$AC$113)))</f>
        <v/>
      </c>
      <c r="AB21" s="110">
        <f>IF(FD21="","",IF(ISNUMBER('Dvd Calendar'!$AD$113)=FALSE,"",IF((('Dvd Calendar'!$AD$115=TYPE1)*(TYPE1&lt;&gt;"")+('Dvd Calendar'!$AD$115=TYPE2)*(TYPE2&lt;&gt;"")+('Dvd Calendar'!$AD$115=TYPE3)*(TYPE3&lt;&gt;"")+('Dvd Calendar'!$AD$115=TYPE4)*(TYPE4&lt;&gt;"")+('Dvd Calendar'!$AD$115=SPECIAL_LBL)*(INC_SPECIALS="Y"))=0,"",'Dvd Calendar'!$AD$113)))</f>
        <v/>
      </c>
      <c r="AC21" s="110">
        <f>IF(FE21="","",IF(ISNUMBER('Dvd Calendar'!$AE$113)=FALSE,"",IF((('Dvd Calendar'!$AE$115=TYPE1)*(TYPE1&lt;&gt;"")+('Dvd Calendar'!$AE$115=TYPE2)*(TYPE2&lt;&gt;"")+('Dvd Calendar'!$AE$115=TYPE3)*(TYPE3&lt;&gt;"")+('Dvd Calendar'!$AE$115=TYPE4)*(TYPE4&lt;&gt;"")+('Dvd Calendar'!$AE$115=SPECIAL_LBL)*(INC_SPECIALS="Y"))=0,"",'Dvd Calendar'!$AE$113)))</f>
        <v/>
      </c>
      <c r="AD21" s="110">
        <f>IF(FF21="","",IF(ISNUMBER('Dvd Calendar'!$AF$113)=FALSE,"",IF((('Dvd Calendar'!$AF$115=TYPE1)*(TYPE1&lt;&gt;"")+('Dvd Calendar'!$AF$115=TYPE2)*(TYPE2&lt;&gt;"")+('Dvd Calendar'!$AF$115=TYPE3)*(TYPE3&lt;&gt;"")+('Dvd Calendar'!$AF$115=TYPE4)*(TYPE4&lt;&gt;"")+('Dvd Calendar'!$AF$115=SPECIAL_LBL)*(INC_SPECIALS="Y"))=0,"",'Dvd Calendar'!$AF$113)))</f>
        <v/>
      </c>
      <c r="AE21" s="110">
        <f>IF(FG21="","",IF(ISNUMBER('Dvd Calendar'!$AG$113)=FALSE,"",IF((('Dvd Calendar'!$AG$115=TYPE1)*(TYPE1&lt;&gt;"")+('Dvd Calendar'!$AG$115=TYPE2)*(TYPE2&lt;&gt;"")+('Dvd Calendar'!$AG$115=TYPE3)*(TYPE3&lt;&gt;"")+('Dvd Calendar'!$AG$115=TYPE4)*(TYPE4&lt;&gt;"")+('Dvd Calendar'!$AG$115=SPECIAL_LBL)*(INC_SPECIALS="Y"))=0,"",'Dvd Calendar'!$AG$113)))</f>
        <v/>
      </c>
      <c r="AF21" s="110">
        <f>IF(FH21="","",IF(ISNUMBER('Dvd Calendar'!$AH$113)=FALSE,"",IF((('Dvd Calendar'!$AH$115=TYPE1)*(TYPE1&lt;&gt;"")+('Dvd Calendar'!$AH$115=TYPE2)*(TYPE2&lt;&gt;"")+('Dvd Calendar'!$AH$115=TYPE3)*(TYPE3&lt;&gt;"")+('Dvd Calendar'!$AH$115=TYPE4)*(TYPE4&lt;&gt;"")+('Dvd Calendar'!$AH$115=SPECIAL_LBL)*(INC_SPECIALS="Y"))=0,"",'Dvd Calendar'!$AH$113)))</f>
        <v/>
      </c>
      <c r="AG21" s="110">
        <f>IF(FI21="","",IF(ISNUMBER('Dvd Calendar'!$AI$113)=FALSE,"",IF((('Dvd Calendar'!$AI$115=TYPE1)*(TYPE1&lt;&gt;"")+('Dvd Calendar'!$AI$115=TYPE2)*(TYPE2&lt;&gt;"")+('Dvd Calendar'!$AI$115=TYPE3)*(TYPE3&lt;&gt;"")+('Dvd Calendar'!$AI$115=TYPE4)*(TYPE4&lt;&gt;"")+('Dvd Calendar'!$AI$115=SPECIAL_LBL)*(INC_SPECIALS="Y"))=0,"",'Dvd Calendar'!$AI$113)))</f>
        <v/>
      </c>
      <c r="AH21" s="110">
        <f>IF(FJ21="","",IF(ISNUMBER('Dvd Calendar'!$AJ$113)=FALSE,"",IF((('Dvd Calendar'!$AJ$115=TYPE1)*(TYPE1&lt;&gt;"")+('Dvd Calendar'!$AJ$115=TYPE2)*(TYPE2&lt;&gt;"")+('Dvd Calendar'!$AJ$115=TYPE3)*(TYPE3&lt;&gt;"")+('Dvd Calendar'!$AJ$115=TYPE4)*(TYPE4&lt;&gt;"")+('Dvd Calendar'!$AJ$115=SPECIAL_LBL)*(INC_SPECIALS="Y"))=0,"",'Dvd Calendar'!$AJ$113)))</f>
        <v/>
      </c>
      <c r="AI21" s="110">
        <f>IF(FK21="","",IF(ISNUMBER('Dvd Calendar'!$AK$113)=FALSE,"",IF((('Dvd Calendar'!$AK$115=TYPE1)*(TYPE1&lt;&gt;"")+('Dvd Calendar'!$AK$115=TYPE2)*(TYPE2&lt;&gt;"")+('Dvd Calendar'!$AK$115=TYPE3)*(TYPE3&lt;&gt;"")+('Dvd Calendar'!$AK$115=TYPE4)*(TYPE4&lt;&gt;"")+('Dvd Calendar'!$AK$115=SPECIAL_LBL)*(INC_SPECIALS="Y"))=0,"",'Dvd Calendar'!$AK$113)))</f>
        <v/>
      </c>
      <c r="AJ21" s="110">
        <f>IF(FL21="","",IF(ISNUMBER('Dvd Calendar'!$AL$113)=FALSE,"",IF((('Dvd Calendar'!$AL$115=TYPE1)*(TYPE1&lt;&gt;"")+('Dvd Calendar'!$AL$115=TYPE2)*(TYPE2&lt;&gt;"")+('Dvd Calendar'!$AL$115=TYPE3)*(TYPE3&lt;&gt;"")+('Dvd Calendar'!$AL$115=TYPE4)*(TYPE4&lt;&gt;"")+('Dvd Calendar'!$AL$115=SPECIAL_LBL)*(INC_SPECIALS="Y"))=0,"",'Dvd Calendar'!$AL$113)))</f>
        <v/>
      </c>
      <c r="AK21" s="110">
        <f>IF(FM21="","",IF(ISNUMBER('Dvd Calendar'!$AM$113)=FALSE,"",IF((('Dvd Calendar'!$AM$115=TYPE1)*(TYPE1&lt;&gt;"")+('Dvd Calendar'!$AM$115=TYPE2)*(TYPE2&lt;&gt;"")+('Dvd Calendar'!$AM$115=TYPE3)*(TYPE3&lt;&gt;"")+('Dvd Calendar'!$AM$115=TYPE4)*(TYPE4&lt;&gt;"")+('Dvd Calendar'!$AM$115=SPECIAL_LBL)*(INC_SPECIALS="Y"))=0,"",'Dvd Calendar'!$AM$113)))</f>
        <v/>
      </c>
      <c r="AL21" s="110">
        <f>IF(FN21="","",IF(ISNUMBER('Dvd Calendar'!$AN$113)=FALSE,"",IF((('Dvd Calendar'!$AN$115=TYPE1)*(TYPE1&lt;&gt;"")+('Dvd Calendar'!$AN$115=TYPE2)*(TYPE2&lt;&gt;"")+('Dvd Calendar'!$AN$115=TYPE3)*(TYPE3&lt;&gt;"")+('Dvd Calendar'!$AN$115=TYPE4)*(TYPE4&lt;&gt;"")+('Dvd Calendar'!$AN$115=SPECIAL_LBL)*(INC_SPECIALS="Y"))=0,"",'Dvd Calendar'!$AN$113)))</f>
        <v/>
      </c>
      <c r="AM21" s="110">
        <f>IF(FO21="","",IF(ISNUMBER('Dvd Calendar'!$AO$113)=FALSE,"",IF((('Dvd Calendar'!$AO$115=TYPE1)*(TYPE1&lt;&gt;"")+('Dvd Calendar'!$AO$115=TYPE2)*(TYPE2&lt;&gt;"")+('Dvd Calendar'!$AO$115=TYPE3)*(TYPE3&lt;&gt;"")+('Dvd Calendar'!$AO$115=TYPE4)*(TYPE4&lt;&gt;"")+('Dvd Calendar'!$AO$115=SPECIAL_LBL)*(INC_SPECIALS="Y"))=0,"",'Dvd Calendar'!$AO$113)))</f>
        <v/>
      </c>
      <c r="AN21" s="110">
        <f>IF(FP21="","",IF(ISNUMBER('Dvd Calendar'!$AP$113)=FALSE,"",IF((('Dvd Calendar'!$AP$115=TYPE1)*(TYPE1&lt;&gt;"")+('Dvd Calendar'!$AP$115=TYPE2)*(TYPE2&lt;&gt;"")+('Dvd Calendar'!$AP$115=TYPE3)*(TYPE3&lt;&gt;"")+('Dvd Calendar'!$AP$115=TYPE4)*(TYPE4&lt;&gt;"")+('Dvd Calendar'!$AP$115=SPECIAL_LBL)*(INC_SPECIALS="Y"))=0,"",'Dvd Calendar'!$AP$113)))</f>
        <v/>
      </c>
      <c r="AO21" s="110">
        <f>IF(FQ21="","",IF(ISNUMBER('Dvd Calendar'!$AQ$113)=FALSE,"",IF((('Dvd Calendar'!$AQ$115=TYPE1)*(TYPE1&lt;&gt;"")+('Dvd Calendar'!$AQ$115=TYPE2)*(TYPE2&lt;&gt;"")+('Dvd Calendar'!$AQ$115=TYPE3)*(TYPE3&lt;&gt;"")+('Dvd Calendar'!$AQ$115=TYPE4)*(TYPE4&lt;&gt;"")+('Dvd Calendar'!$AQ$115=SPECIAL_LBL)*(INC_SPECIALS="Y"))=0,"",'Dvd Calendar'!$AQ$113)))</f>
        <v/>
      </c>
      <c r="AP21" s="110">
        <f>IF(FR21="","",IF(ISNUMBER('Dvd Calendar'!$AR$113)=FALSE,"",IF((('Dvd Calendar'!$AR$115=TYPE1)*(TYPE1&lt;&gt;"")+('Dvd Calendar'!$AR$115=TYPE2)*(TYPE2&lt;&gt;"")+('Dvd Calendar'!$AR$115=TYPE3)*(TYPE3&lt;&gt;"")+('Dvd Calendar'!$AR$115=TYPE4)*(TYPE4&lt;&gt;"")+('Dvd Calendar'!$AR$115=SPECIAL_LBL)*(INC_SPECIALS="Y"))=0,"",'Dvd Calendar'!$AR$113)))</f>
        <v/>
      </c>
      <c r="AQ21" s="110">
        <f>IF(FS21="","",IF(ISNUMBER('Dvd Calendar'!$E$118)=FALSE,"",'Dvd Calendar'!$E$118))</f>
        <v/>
      </c>
      <c r="AR21" s="110">
        <f>IF(FT21="","",IF(ISNUMBER('Dvd Calendar'!$F$118)=FALSE,"",'Dvd Calendar'!$F$118))</f>
        <v/>
      </c>
      <c r="AS21" s="110">
        <f>IF(FU21="","",IF(ISNUMBER('Dvd Calendar'!$G$118)=FALSE,"",'Dvd Calendar'!$G$118))</f>
        <v/>
      </c>
      <c r="AT21" s="110">
        <f>IF(FV21="","",IF(ISNUMBER('Dvd Calendar'!$H$118)=FALSE,"",'Dvd Calendar'!$H$118))</f>
        <v/>
      </c>
      <c r="AU21" s="110">
        <f>IF(FW21="","",IF(ISNUMBER('Dvd Calendar'!$I$118)=FALSE,"",'Dvd Calendar'!$I$118))</f>
        <v/>
      </c>
      <c r="AV21" s="110">
        <f>IF(FX21="","",IF(ISNUMBER('Dvd Calendar'!$J$118)=FALSE,"",'Dvd Calendar'!$J$118))</f>
        <v/>
      </c>
      <c r="AW21" s="110">
        <f>IF(FY21="","",IF(ISNUMBER('Dvd Calendar'!$K$118)=FALSE,"",'Dvd Calendar'!$K$118))</f>
        <v/>
      </c>
      <c r="AX21" s="110">
        <f>IF(FZ21="","",IF(ISNUMBER('Dvd Calendar'!$L$118)=FALSE,"",'Dvd Calendar'!$L$118))</f>
        <v/>
      </c>
      <c r="AY21" s="110">
        <f>IF(GA21="","",IF(ISNUMBER('Dvd Calendar'!$M$118)=FALSE,"",'Dvd Calendar'!$M$118))</f>
        <v/>
      </c>
      <c r="AZ21" s="110">
        <f>IF(GB21="","",IF(ISNUMBER('Dvd Calendar'!$N$118)=FALSE,"",'Dvd Calendar'!$N$118))</f>
        <v/>
      </c>
      <c r="BA21" s="110">
        <f>IF(GC21="","",IF(ISNUMBER('Dvd Calendar'!$O$118)=FALSE,"",'Dvd Calendar'!$O$118))</f>
        <v/>
      </c>
      <c r="BB21" s="110">
        <f>IF(GD21="","",IF(ISNUMBER('Dvd Calendar'!$P$118)=FALSE,"",'Dvd Calendar'!$P$118))</f>
        <v/>
      </c>
      <c r="BC21" s="110">
        <f>IF(GE21="","",IF(ISNUMBER('Dvd Calendar'!$Q$118)=FALSE,"",'Dvd Calendar'!$Q$118))</f>
        <v/>
      </c>
      <c r="BD21" s="110">
        <f>IF(GF21="","",IF(ISNUMBER('Dvd Calendar'!$R$118)=FALSE,"",'Dvd Calendar'!$R$118))</f>
        <v/>
      </c>
      <c r="BE21" s="110">
        <f>IF(GG21="","",IF(ISNUMBER('Dvd Calendar'!$S$118)=FALSE,"",'Dvd Calendar'!$S$118))</f>
        <v/>
      </c>
      <c r="BF21" s="110">
        <f>IF(GH21="","",IF(ISNUMBER('Dvd Calendar'!$T$118)=FALSE,"",'Dvd Calendar'!$T$118))</f>
        <v/>
      </c>
      <c r="BG21" s="110">
        <f>IF(GI21="","",IF(ISNUMBER('Dvd Calendar'!$U$118)=FALSE,"",'Dvd Calendar'!$U$118))</f>
        <v/>
      </c>
      <c r="BH21" s="110">
        <f>IF(GJ21="","",IF(ISNUMBER('Dvd Calendar'!$V$118)=FALSE,"",'Dvd Calendar'!$V$118))</f>
        <v/>
      </c>
      <c r="BI21" s="110">
        <f>IF(GK21="","",IF(ISNUMBER('Dvd Calendar'!$W$118)=FALSE,"",'Dvd Calendar'!$W$118))</f>
        <v/>
      </c>
      <c r="BJ21" s="110">
        <f>IF(GL21="","",IF(ISNUMBER('Dvd Calendar'!$X$118)=FALSE,"",'Dvd Calendar'!$X$118))</f>
        <v/>
      </c>
      <c r="BK21" s="110">
        <f>IF(GM21="","",IF(ISNUMBER('Dvd Calendar'!$Y$118)=FALSE,"",'Dvd Calendar'!$Y$118))</f>
        <v/>
      </c>
      <c r="BL21" s="110">
        <f>IF(GN21="","",IF(ISNUMBER('Dvd Calendar'!$Z$118)=FALSE,"",'Dvd Calendar'!$Z$118))</f>
        <v/>
      </c>
      <c r="BM21" s="110">
        <f>IF(GO21="","",IF(ISNUMBER('Dvd Calendar'!$AA$118)=FALSE,"",'Dvd Calendar'!$AA$118))</f>
        <v/>
      </c>
      <c r="BN21" s="110">
        <f>IF(GP21="","",IF(ISNUMBER('Dvd Calendar'!$AB$118)=FALSE,"",'Dvd Calendar'!$AB$118))</f>
        <v/>
      </c>
      <c r="BO21" s="110">
        <f>IF(GQ21="","",IF(ISNUMBER('Dvd Calendar'!$AC$118)=FALSE,"",'Dvd Calendar'!$AC$118))</f>
        <v/>
      </c>
      <c r="BQ21" s="110">
        <f>IF(C21="","",IFERROR(C21*HSI!$B$16*HSI!$G$16/HSI!$B$3,""))</f>
        <v/>
      </c>
      <c r="BR21" s="110">
        <f>IF(D21="","",IFERROR(D21*HSI!$B$16*HSI!$G$16/HSI!$B$3,""))</f>
        <v/>
      </c>
      <c r="BS21" s="110">
        <f>IF(E21="","",IFERROR(E21*HSI!$B$16*HSI!$G$16/HSI!$B$3,""))</f>
        <v/>
      </c>
      <c r="BT21" s="110">
        <f>IF(F21="","",IFERROR(F21*HSI!$B$16*HSI!$G$16/HSI!$B$3,""))</f>
        <v/>
      </c>
      <c r="BU21" s="110">
        <f>IF(G21="","",IFERROR(G21*HSI!$B$16*HSI!$G$16/HSI!$B$3,""))</f>
        <v/>
      </c>
      <c r="BV21" s="110">
        <f>IF(H21="","",IFERROR(H21*HSI!$B$16*HSI!$G$16/HSI!$B$3,""))</f>
        <v/>
      </c>
      <c r="BW21" s="110">
        <f>IF(I21="","",IFERROR(I21*HSI!$B$16*HSI!$G$16/HSI!$B$3,""))</f>
        <v/>
      </c>
      <c r="BX21" s="110">
        <f>IF(J21="","",IFERROR(J21*HSI!$B$16*HSI!$G$16/HSI!$B$3,""))</f>
        <v/>
      </c>
      <c r="BY21" s="110">
        <f>IF(K21="","",IFERROR(K21*HSI!$B$16*HSI!$G$16/HSI!$B$3,""))</f>
        <v/>
      </c>
      <c r="BZ21" s="110">
        <f>IF(L21="","",IFERROR(L21*HSI!$B$16*HSI!$G$16/HSI!$B$3,""))</f>
        <v/>
      </c>
      <c r="CA21" s="110">
        <f>IF(M21="","",IFERROR(M21*HSI!$B$16*HSI!$G$16/HSI!$B$3,""))</f>
        <v/>
      </c>
      <c r="CB21" s="110">
        <f>IF(N21="","",IFERROR(N21*HSI!$B$16*HSI!$G$16/HSI!$B$3,""))</f>
        <v/>
      </c>
      <c r="CC21" s="110">
        <f>IF(O21="","",IFERROR(O21*HSI!$B$16*HSI!$G$16/HSI!$B$3,""))</f>
        <v/>
      </c>
      <c r="CD21" s="110">
        <f>IF(P21="","",IFERROR(P21*HSI!$B$16*HSI!$G$16/HSI!$B$3,""))</f>
        <v/>
      </c>
      <c r="CE21" s="110">
        <f>IF(Q21="","",IFERROR(Q21*HSI!$B$16*HSI!$G$16/HSI!$B$3,""))</f>
        <v/>
      </c>
      <c r="CF21" s="110">
        <f>IF(R21="","",IFERROR(R21*HSI!$B$16*HSI!$G$16/HSI!$B$3,""))</f>
        <v/>
      </c>
      <c r="CG21" s="110">
        <f>IF(S21="","",IFERROR(S21*HSI!$B$16*HSI!$G$16/HSI!$B$3,""))</f>
        <v/>
      </c>
      <c r="CH21" s="110">
        <f>IF(T21="","",IFERROR(T21*HSI!$B$16*HSI!$G$16/HSI!$B$3,""))</f>
        <v/>
      </c>
      <c r="CI21" s="110">
        <f>IF(U21="","",IFERROR(U21*HSI!$B$16*HSI!$G$16/HSI!$B$3,""))</f>
        <v/>
      </c>
      <c r="CJ21" s="110">
        <f>IF(V21="","",IFERROR(V21*HSI!$B$16*HSI!$G$16/HSI!$B$3,""))</f>
        <v/>
      </c>
      <c r="CK21" s="110">
        <f>IF(W21="","",IFERROR(W21*HSI!$B$16*HSI!$G$16/HSI!$B$3,""))</f>
        <v/>
      </c>
      <c r="CL21" s="110">
        <f>IF(X21="","",IFERROR(X21*HSI!$B$16*HSI!$G$16/HSI!$B$3,""))</f>
        <v/>
      </c>
      <c r="CM21" s="110">
        <f>IF(Y21="","",IFERROR(Y21*HSI!$B$16*HSI!$G$16/HSI!$B$3,""))</f>
        <v/>
      </c>
      <c r="CN21" s="110">
        <f>IF(Z21="","",IFERROR(Z21*HSI!$B$16*HSI!$G$16/HSI!$B$3,""))</f>
        <v/>
      </c>
      <c r="CO21" s="110">
        <f>IF(AA21="","",IFERROR(AA21*HSI!$B$16*HSI!$G$16/HSI!$B$3,""))</f>
        <v/>
      </c>
      <c r="CP21" s="110">
        <f>IF(AB21="","",IFERROR(AB21*HSI!$B$16*HSI!$G$16/HSI!$B$3,""))</f>
        <v/>
      </c>
      <c r="CQ21" s="110">
        <f>IF(AC21="","",IFERROR(AC21*HSI!$B$16*HSI!$G$16/HSI!$B$3,""))</f>
        <v/>
      </c>
      <c r="CR21" s="110">
        <f>IF(AD21="","",IFERROR(AD21*HSI!$B$16*HSI!$G$16/HSI!$B$3,""))</f>
        <v/>
      </c>
      <c r="CS21" s="110">
        <f>IF(AE21="","",IFERROR(AE21*HSI!$B$16*HSI!$G$16/HSI!$B$3,""))</f>
        <v/>
      </c>
      <c r="CT21" s="110">
        <f>IF(AF21="","",IFERROR(AF21*HSI!$B$16*HSI!$G$16/HSI!$B$3,""))</f>
        <v/>
      </c>
      <c r="CU21" s="110">
        <f>IF(AG21="","",IFERROR(AG21*HSI!$B$16*HSI!$G$16/HSI!$B$3,""))</f>
        <v/>
      </c>
      <c r="CV21" s="110">
        <f>IF(AH21="","",IFERROR(AH21*HSI!$B$16*HSI!$G$16/HSI!$B$3,""))</f>
        <v/>
      </c>
      <c r="CW21" s="110">
        <f>IF(AI21="","",IFERROR(AI21*HSI!$B$16*HSI!$G$16/HSI!$B$3,""))</f>
        <v/>
      </c>
      <c r="CX21" s="110">
        <f>IF(AJ21="","",IFERROR(AJ21*HSI!$B$16*HSI!$G$16/HSI!$B$3,""))</f>
        <v/>
      </c>
      <c r="CY21" s="110">
        <f>IF(AK21="","",IFERROR(AK21*HSI!$B$16*HSI!$G$16/HSI!$B$3,""))</f>
        <v/>
      </c>
      <c r="CZ21" s="110">
        <f>IF(AL21="","",IFERROR(AL21*HSI!$B$16*HSI!$G$16/HSI!$B$3,""))</f>
        <v/>
      </c>
      <c r="DA21" s="110">
        <f>IF(AM21="","",IFERROR(AM21*HSI!$B$16*HSI!$G$16/HSI!$B$3,""))</f>
        <v/>
      </c>
      <c r="DB21" s="110">
        <f>IF(AN21="","",IFERROR(AN21*HSI!$B$16*HSI!$G$16/HSI!$B$3,""))</f>
        <v/>
      </c>
      <c r="DC21" s="110">
        <f>IF(AO21="","",IFERROR(AO21*HSI!$B$16*HSI!$G$16/HSI!$B$3,""))</f>
        <v/>
      </c>
      <c r="DD21" s="110">
        <f>IF(AP21="","",IFERROR(AP21*HSI!$B$16*HSI!$G$16/HSI!$B$3,""))</f>
        <v/>
      </c>
      <c r="DE21" s="110">
        <f>IF(AQ21="","",IFERROR(AQ21*HSI!$B$16*HSI!$G$16/HSI!$B$3,""))</f>
        <v/>
      </c>
      <c r="DF21" s="110">
        <f>IF(AR21="","",IFERROR(AR21*HSI!$B$16*HSI!$G$16/HSI!$B$3,""))</f>
        <v/>
      </c>
      <c r="DG21" s="110">
        <f>IF(AS21="","",IFERROR(AS21*HSI!$B$16*HSI!$G$16/HSI!$B$3,""))</f>
        <v/>
      </c>
      <c r="DH21" s="110">
        <f>IF(AT21="","",IFERROR(AT21*HSI!$B$16*HSI!$G$16/HSI!$B$3,""))</f>
        <v/>
      </c>
      <c r="DI21" s="110">
        <f>IF(AU21="","",IFERROR(AU21*HSI!$B$16*HSI!$G$16/HSI!$B$3,""))</f>
        <v/>
      </c>
      <c r="DJ21" s="110">
        <f>IF(AV21="","",IFERROR(AV21*HSI!$B$16*HSI!$G$16/HSI!$B$3,""))</f>
        <v/>
      </c>
      <c r="DK21" s="110">
        <f>IF(AW21="","",IFERROR(AW21*HSI!$B$16*HSI!$G$16/HSI!$B$3,""))</f>
        <v/>
      </c>
      <c r="DL21" s="110">
        <f>IF(AX21="","",IFERROR(AX21*HSI!$B$16*HSI!$G$16/HSI!$B$3,""))</f>
        <v/>
      </c>
      <c r="DM21" s="110">
        <f>IF(AY21="","",IFERROR(AY21*HSI!$B$16*HSI!$G$16/HSI!$B$3,""))</f>
        <v/>
      </c>
      <c r="DN21" s="110">
        <f>IF(AZ21="","",IFERROR(AZ21*HSI!$B$16*HSI!$G$16/HSI!$B$3,""))</f>
        <v/>
      </c>
      <c r="DO21" s="110">
        <f>IF(BA21="","",IFERROR(BA21*HSI!$B$16*HSI!$G$16/HSI!$B$3,""))</f>
        <v/>
      </c>
      <c r="DP21" s="110">
        <f>IF(BB21="","",IFERROR(BB21*HSI!$B$16*HSI!$G$16/HSI!$B$3,""))</f>
        <v/>
      </c>
      <c r="DQ21" s="110">
        <f>IF(BC21="","",IFERROR(BC21*HSI!$B$16*HSI!$G$16/HSI!$B$3,""))</f>
        <v/>
      </c>
      <c r="DR21" s="110">
        <f>IF(BD21="","",IFERROR(BD21*HSI!$B$16*HSI!$G$16/HSI!$B$3,""))</f>
        <v/>
      </c>
      <c r="DS21" s="110">
        <f>IF(BE21="","",IFERROR(BE21*HSI!$B$16*HSI!$G$16/HSI!$B$3,""))</f>
        <v/>
      </c>
      <c r="DT21" s="110">
        <f>IF(BF21="","",IFERROR(BF21*HSI!$B$16*HSI!$G$16/HSI!$B$3,""))</f>
        <v/>
      </c>
      <c r="DU21" s="110">
        <f>IF(BG21="","",IFERROR(BG21*HSI!$B$16*HSI!$G$16/HSI!$B$3,""))</f>
        <v/>
      </c>
      <c r="DV21" s="110">
        <f>IF(BH21="","",IFERROR(BH21*HSI!$B$16*HSI!$G$16/HSI!$B$3,""))</f>
        <v/>
      </c>
      <c r="DW21" s="110">
        <f>IF(BI21="","",IFERROR(BI21*HSI!$B$16*HSI!$G$16/HSI!$B$3,""))</f>
        <v/>
      </c>
      <c r="DX21" s="110">
        <f>IF(BJ21="","",IFERROR(BJ21*HSI!$B$16*HSI!$G$16/HSI!$B$3,""))</f>
        <v/>
      </c>
      <c r="DY21" s="110">
        <f>IF(BK21="","",IFERROR(BK21*HSI!$B$16*HSI!$G$16/HSI!$B$3,""))</f>
        <v/>
      </c>
      <c r="DZ21" s="110">
        <f>IF(BL21="","",IFERROR(BL21*HSI!$B$16*HSI!$G$16/HSI!$B$3,""))</f>
        <v/>
      </c>
      <c r="EA21" s="110">
        <f>IF(BM21="","",IFERROR(BM21*HSI!$B$16*HSI!$G$16/HSI!$B$3,""))</f>
        <v/>
      </c>
      <c r="EB21" s="110">
        <f>IF(BN21="","",IFERROR(BN21*HSI!$B$16*HSI!$G$16/HSI!$B$3,""))</f>
        <v/>
      </c>
      <c r="EC21" s="110">
        <f>IF(BO21="","",IFERROR(BO21*HSI!$B$16*HSI!$G$16/HSI!$B$3,""))</f>
        <v/>
      </c>
      <c r="EE21" s="39">
        <f>IF(N('Dvd Calendar'!$E$110)=0,"",IF(('Dvd Calendar'!$E$110&gt;=GRID_FROM)*('Dvd Calendar'!$E$110&lt;=GRID_TO)*((('Dvd Calendar'!$E$110&lt;=VAL_DATE)+(COUNTIF('Dvd Calendar'!$E$117:$AR$117,'Dvd Calendar'!$E$110)=0))&gt;0)=0,"",'Dvd Calendar'!$E$110*1000000000+ISNUMBER('Dvd Calendar'!$E$113)*100000000+('Dvd Calendar'!$E$115=SPECIAL_LBL)*10000000+(N('Dvd Calendar'!$E$109)&gt;0)*(N('Dvd Calendar'!$E$109)&lt;=VAL_SERIAL)*1000000+10*1000+1))</f>
        <v/>
      </c>
      <c r="EF21" s="39">
        <f>IF(N('Dvd Calendar'!$F$110)=0,"",IF(('Dvd Calendar'!$F$110&gt;=GRID_FROM)*('Dvd Calendar'!$F$110&lt;=GRID_TO)*((('Dvd Calendar'!$F$110&lt;=VAL_DATE)+(COUNTIF('Dvd Calendar'!$E$117:$AR$117,'Dvd Calendar'!$F$110)=0))&gt;0)=0,"",'Dvd Calendar'!$F$110*1000000000+ISNUMBER('Dvd Calendar'!$F$113)*100000000+('Dvd Calendar'!$F$115=SPECIAL_LBL)*10000000+(N('Dvd Calendar'!$F$109)&gt;0)*(N('Dvd Calendar'!$F$109)&lt;=VAL_SERIAL)*1000000+10*1000+2))</f>
        <v/>
      </c>
      <c r="EG21" s="39">
        <f>IF(N('Dvd Calendar'!$G$110)=0,"",IF(('Dvd Calendar'!$G$110&gt;=GRID_FROM)*('Dvd Calendar'!$G$110&lt;=GRID_TO)*((('Dvd Calendar'!$G$110&lt;=VAL_DATE)+(COUNTIF('Dvd Calendar'!$E$117:$AR$117,'Dvd Calendar'!$G$110)=0))&gt;0)=0,"",'Dvd Calendar'!$G$110*1000000000+ISNUMBER('Dvd Calendar'!$G$113)*100000000+('Dvd Calendar'!$G$115=SPECIAL_LBL)*10000000+(N('Dvd Calendar'!$G$109)&gt;0)*(N('Dvd Calendar'!$G$109)&lt;=VAL_SERIAL)*1000000+10*1000+3))</f>
        <v/>
      </c>
      <c r="EH21" s="39">
        <f>IF(N('Dvd Calendar'!$H$110)=0,"",IF(('Dvd Calendar'!$H$110&gt;=GRID_FROM)*('Dvd Calendar'!$H$110&lt;=GRID_TO)*((('Dvd Calendar'!$H$110&lt;=VAL_DATE)+(COUNTIF('Dvd Calendar'!$E$117:$AR$117,'Dvd Calendar'!$H$110)=0))&gt;0)=0,"",'Dvd Calendar'!$H$110*1000000000+ISNUMBER('Dvd Calendar'!$H$113)*100000000+('Dvd Calendar'!$H$115=SPECIAL_LBL)*10000000+(N('Dvd Calendar'!$H$109)&gt;0)*(N('Dvd Calendar'!$H$109)&lt;=VAL_SERIAL)*1000000+10*1000+4))</f>
        <v/>
      </c>
      <c r="EI21" s="39">
        <f>IF(N('Dvd Calendar'!$I$110)=0,"",IF(('Dvd Calendar'!$I$110&gt;=GRID_FROM)*('Dvd Calendar'!$I$110&lt;=GRID_TO)*((('Dvd Calendar'!$I$110&lt;=VAL_DATE)+(COUNTIF('Dvd Calendar'!$E$117:$AR$117,'Dvd Calendar'!$I$110)=0))&gt;0)=0,"",'Dvd Calendar'!$I$110*1000000000+ISNUMBER('Dvd Calendar'!$I$113)*100000000+('Dvd Calendar'!$I$115=SPECIAL_LBL)*10000000+(N('Dvd Calendar'!$I$109)&gt;0)*(N('Dvd Calendar'!$I$109)&lt;=VAL_SERIAL)*1000000+10*1000+5))</f>
        <v/>
      </c>
      <c r="EJ21" s="39">
        <f>IF(N('Dvd Calendar'!$J$110)=0,"",IF(('Dvd Calendar'!$J$110&gt;=GRID_FROM)*('Dvd Calendar'!$J$110&lt;=GRID_TO)*((('Dvd Calendar'!$J$110&lt;=VAL_DATE)+(COUNTIF('Dvd Calendar'!$E$117:$AR$117,'Dvd Calendar'!$J$110)=0))&gt;0)=0,"",'Dvd Calendar'!$J$110*1000000000+ISNUMBER('Dvd Calendar'!$J$113)*100000000+('Dvd Calendar'!$J$115=SPECIAL_LBL)*10000000+(N('Dvd Calendar'!$J$109)&gt;0)*(N('Dvd Calendar'!$J$109)&lt;=VAL_SERIAL)*1000000+10*1000+6))</f>
        <v/>
      </c>
      <c r="EK21" s="39">
        <f>IF(N('Dvd Calendar'!$K$110)=0,"",IF(('Dvd Calendar'!$K$110&gt;=GRID_FROM)*('Dvd Calendar'!$K$110&lt;=GRID_TO)*((('Dvd Calendar'!$K$110&lt;=VAL_DATE)+(COUNTIF('Dvd Calendar'!$E$117:$AR$117,'Dvd Calendar'!$K$110)=0))&gt;0)=0,"",'Dvd Calendar'!$K$110*1000000000+ISNUMBER('Dvd Calendar'!$K$113)*100000000+('Dvd Calendar'!$K$115=SPECIAL_LBL)*10000000+(N('Dvd Calendar'!$K$109)&gt;0)*(N('Dvd Calendar'!$K$109)&lt;=VAL_SERIAL)*1000000+10*1000+7))</f>
        <v/>
      </c>
      <c r="EL21" s="39">
        <f>IF(N('Dvd Calendar'!$L$110)=0,"",IF(('Dvd Calendar'!$L$110&gt;=GRID_FROM)*('Dvd Calendar'!$L$110&lt;=GRID_TO)*((('Dvd Calendar'!$L$110&lt;=VAL_DATE)+(COUNTIF('Dvd Calendar'!$E$117:$AR$117,'Dvd Calendar'!$L$110)=0))&gt;0)=0,"",'Dvd Calendar'!$L$110*1000000000+ISNUMBER('Dvd Calendar'!$L$113)*100000000+('Dvd Calendar'!$L$115=SPECIAL_LBL)*10000000+(N('Dvd Calendar'!$L$109)&gt;0)*(N('Dvd Calendar'!$L$109)&lt;=VAL_SERIAL)*1000000+10*1000+8))</f>
        <v/>
      </c>
      <c r="EM21" s="39">
        <f>IF(N('Dvd Calendar'!$M$110)=0,"",IF(('Dvd Calendar'!$M$110&gt;=GRID_FROM)*('Dvd Calendar'!$M$110&lt;=GRID_TO)*((('Dvd Calendar'!$M$110&lt;=VAL_DATE)+(COUNTIF('Dvd Calendar'!$E$117:$AR$117,'Dvd Calendar'!$M$110)=0))&gt;0)=0,"",'Dvd Calendar'!$M$110*1000000000+ISNUMBER('Dvd Calendar'!$M$113)*100000000+('Dvd Calendar'!$M$115=SPECIAL_LBL)*10000000+(N('Dvd Calendar'!$M$109)&gt;0)*(N('Dvd Calendar'!$M$109)&lt;=VAL_SERIAL)*1000000+10*1000+9))</f>
        <v/>
      </c>
      <c r="EN21" s="39">
        <f>IF(N('Dvd Calendar'!$N$110)=0,"",IF(('Dvd Calendar'!$N$110&gt;=GRID_FROM)*('Dvd Calendar'!$N$110&lt;=GRID_TO)*((('Dvd Calendar'!$N$110&lt;=VAL_DATE)+(COUNTIF('Dvd Calendar'!$E$117:$AR$117,'Dvd Calendar'!$N$110)=0))&gt;0)=0,"",'Dvd Calendar'!$N$110*1000000000+ISNUMBER('Dvd Calendar'!$N$113)*100000000+('Dvd Calendar'!$N$115=SPECIAL_LBL)*10000000+(N('Dvd Calendar'!$N$109)&gt;0)*(N('Dvd Calendar'!$N$109)&lt;=VAL_SERIAL)*1000000+10*1000+10))</f>
        <v/>
      </c>
      <c r="EO21" s="39">
        <f>IF(N('Dvd Calendar'!$O$110)=0,"",IF(('Dvd Calendar'!$O$110&gt;=GRID_FROM)*('Dvd Calendar'!$O$110&lt;=GRID_TO)*((('Dvd Calendar'!$O$110&lt;=VAL_DATE)+(COUNTIF('Dvd Calendar'!$E$117:$AR$117,'Dvd Calendar'!$O$110)=0))&gt;0)=0,"",'Dvd Calendar'!$O$110*1000000000+ISNUMBER('Dvd Calendar'!$O$113)*100000000+('Dvd Calendar'!$O$115=SPECIAL_LBL)*10000000+(N('Dvd Calendar'!$O$109)&gt;0)*(N('Dvd Calendar'!$O$109)&lt;=VAL_SERIAL)*1000000+10*1000+11))</f>
        <v/>
      </c>
      <c r="EP21" s="39">
        <f>IF(N('Dvd Calendar'!$P$110)=0,"",IF(('Dvd Calendar'!$P$110&gt;=GRID_FROM)*('Dvd Calendar'!$P$110&lt;=GRID_TO)*((('Dvd Calendar'!$P$110&lt;=VAL_DATE)+(COUNTIF('Dvd Calendar'!$E$117:$AR$117,'Dvd Calendar'!$P$110)=0))&gt;0)=0,"",'Dvd Calendar'!$P$110*1000000000+ISNUMBER('Dvd Calendar'!$P$113)*100000000+('Dvd Calendar'!$P$115=SPECIAL_LBL)*10000000+(N('Dvd Calendar'!$P$109)&gt;0)*(N('Dvd Calendar'!$P$109)&lt;=VAL_SERIAL)*1000000+10*1000+12))</f>
        <v/>
      </c>
      <c r="EQ21" s="39">
        <f>IF(N('Dvd Calendar'!$Q$110)=0,"",IF(('Dvd Calendar'!$Q$110&gt;=GRID_FROM)*('Dvd Calendar'!$Q$110&lt;=GRID_TO)*((('Dvd Calendar'!$Q$110&lt;=VAL_DATE)+(COUNTIF('Dvd Calendar'!$E$117:$AR$117,'Dvd Calendar'!$Q$110)=0))&gt;0)=0,"",'Dvd Calendar'!$Q$110*1000000000+ISNUMBER('Dvd Calendar'!$Q$113)*100000000+('Dvd Calendar'!$Q$115=SPECIAL_LBL)*10000000+(N('Dvd Calendar'!$Q$109)&gt;0)*(N('Dvd Calendar'!$Q$109)&lt;=VAL_SERIAL)*1000000+10*1000+13))</f>
        <v/>
      </c>
      <c r="ER21" s="39">
        <f>IF(N('Dvd Calendar'!$R$110)=0,"",IF(('Dvd Calendar'!$R$110&gt;=GRID_FROM)*('Dvd Calendar'!$R$110&lt;=GRID_TO)*((('Dvd Calendar'!$R$110&lt;=VAL_DATE)+(COUNTIF('Dvd Calendar'!$E$117:$AR$117,'Dvd Calendar'!$R$110)=0))&gt;0)=0,"",'Dvd Calendar'!$R$110*1000000000+ISNUMBER('Dvd Calendar'!$R$113)*100000000+('Dvd Calendar'!$R$115=SPECIAL_LBL)*10000000+(N('Dvd Calendar'!$R$109)&gt;0)*(N('Dvd Calendar'!$R$109)&lt;=VAL_SERIAL)*1000000+10*1000+14))</f>
        <v/>
      </c>
      <c r="ES21" s="39">
        <f>IF(N('Dvd Calendar'!$S$110)=0,"",IF(('Dvd Calendar'!$S$110&gt;=GRID_FROM)*('Dvd Calendar'!$S$110&lt;=GRID_TO)*((('Dvd Calendar'!$S$110&lt;=VAL_DATE)+(COUNTIF('Dvd Calendar'!$E$117:$AR$117,'Dvd Calendar'!$S$110)=0))&gt;0)=0,"",'Dvd Calendar'!$S$110*1000000000+ISNUMBER('Dvd Calendar'!$S$113)*100000000+('Dvd Calendar'!$S$115=SPECIAL_LBL)*10000000+(N('Dvd Calendar'!$S$109)&gt;0)*(N('Dvd Calendar'!$S$109)&lt;=VAL_SERIAL)*1000000+10*1000+15))</f>
        <v/>
      </c>
      <c r="ET21" s="39">
        <f>IF(N('Dvd Calendar'!$T$110)=0,"",IF(('Dvd Calendar'!$T$110&gt;=GRID_FROM)*('Dvd Calendar'!$T$110&lt;=GRID_TO)*((('Dvd Calendar'!$T$110&lt;=VAL_DATE)+(COUNTIF('Dvd Calendar'!$E$117:$AR$117,'Dvd Calendar'!$T$110)=0))&gt;0)=0,"",'Dvd Calendar'!$T$110*1000000000+ISNUMBER('Dvd Calendar'!$T$113)*100000000+('Dvd Calendar'!$T$115=SPECIAL_LBL)*10000000+(N('Dvd Calendar'!$T$109)&gt;0)*(N('Dvd Calendar'!$T$109)&lt;=VAL_SERIAL)*1000000+10*1000+16))</f>
        <v/>
      </c>
      <c r="EU21" s="39">
        <f>IF(N('Dvd Calendar'!$U$110)=0,"",IF(('Dvd Calendar'!$U$110&gt;=GRID_FROM)*('Dvd Calendar'!$U$110&lt;=GRID_TO)*((('Dvd Calendar'!$U$110&lt;=VAL_DATE)+(COUNTIF('Dvd Calendar'!$E$117:$AR$117,'Dvd Calendar'!$U$110)=0))&gt;0)=0,"",'Dvd Calendar'!$U$110*1000000000+ISNUMBER('Dvd Calendar'!$U$113)*100000000+('Dvd Calendar'!$U$115=SPECIAL_LBL)*10000000+(N('Dvd Calendar'!$U$109)&gt;0)*(N('Dvd Calendar'!$U$109)&lt;=VAL_SERIAL)*1000000+10*1000+17))</f>
        <v/>
      </c>
      <c r="EV21" s="39">
        <f>IF(N('Dvd Calendar'!$V$110)=0,"",IF(('Dvd Calendar'!$V$110&gt;=GRID_FROM)*('Dvd Calendar'!$V$110&lt;=GRID_TO)*((('Dvd Calendar'!$V$110&lt;=VAL_DATE)+(COUNTIF('Dvd Calendar'!$E$117:$AR$117,'Dvd Calendar'!$V$110)=0))&gt;0)=0,"",'Dvd Calendar'!$V$110*1000000000+ISNUMBER('Dvd Calendar'!$V$113)*100000000+('Dvd Calendar'!$V$115=SPECIAL_LBL)*10000000+(N('Dvd Calendar'!$V$109)&gt;0)*(N('Dvd Calendar'!$V$109)&lt;=VAL_SERIAL)*1000000+10*1000+18))</f>
        <v/>
      </c>
      <c r="EW21" s="39">
        <f>IF(N('Dvd Calendar'!$W$110)=0,"",IF(('Dvd Calendar'!$W$110&gt;=GRID_FROM)*('Dvd Calendar'!$W$110&lt;=GRID_TO)*((('Dvd Calendar'!$W$110&lt;=VAL_DATE)+(COUNTIF('Dvd Calendar'!$E$117:$AR$117,'Dvd Calendar'!$W$110)=0))&gt;0)=0,"",'Dvd Calendar'!$W$110*1000000000+ISNUMBER('Dvd Calendar'!$W$113)*100000000+('Dvd Calendar'!$W$115=SPECIAL_LBL)*10000000+(N('Dvd Calendar'!$W$109)&gt;0)*(N('Dvd Calendar'!$W$109)&lt;=VAL_SERIAL)*1000000+10*1000+19))</f>
        <v/>
      </c>
      <c r="EX21" s="39">
        <f>IF(N('Dvd Calendar'!$X$110)=0,"",IF(('Dvd Calendar'!$X$110&gt;=GRID_FROM)*('Dvd Calendar'!$X$110&lt;=GRID_TO)*((('Dvd Calendar'!$X$110&lt;=VAL_DATE)+(COUNTIF('Dvd Calendar'!$E$117:$AR$117,'Dvd Calendar'!$X$110)=0))&gt;0)=0,"",'Dvd Calendar'!$X$110*1000000000+ISNUMBER('Dvd Calendar'!$X$113)*100000000+('Dvd Calendar'!$X$115=SPECIAL_LBL)*10000000+(N('Dvd Calendar'!$X$109)&gt;0)*(N('Dvd Calendar'!$X$109)&lt;=VAL_SERIAL)*1000000+10*1000+20))</f>
        <v/>
      </c>
      <c r="EY21" s="39">
        <f>IF(N('Dvd Calendar'!$Y$110)=0,"",IF(('Dvd Calendar'!$Y$110&gt;=GRID_FROM)*('Dvd Calendar'!$Y$110&lt;=GRID_TO)*((('Dvd Calendar'!$Y$110&lt;=VAL_DATE)+(COUNTIF('Dvd Calendar'!$E$117:$AR$117,'Dvd Calendar'!$Y$110)=0))&gt;0)=0,"",'Dvd Calendar'!$Y$110*1000000000+ISNUMBER('Dvd Calendar'!$Y$113)*100000000+('Dvd Calendar'!$Y$115=SPECIAL_LBL)*10000000+(N('Dvd Calendar'!$Y$109)&gt;0)*(N('Dvd Calendar'!$Y$109)&lt;=VAL_SERIAL)*1000000+10*1000+21))</f>
        <v/>
      </c>
      <c r="EZ21" s="39">
        <f>IF(N('Dvd Calendar'!$Z$110)=0,"",IF(('Dvd Calendar'!$Z$110&gt;=GRID_FROM)*('Dvd Calendar'!$Z$110&lt;=GRID_TO)*((('Dvd Calendar'!$Z$110&lt;=VAL_DATE)+(COUNTIF('Dvd Calendar'!$E$117:$AR$117,'Dvd Calendar'!$Z$110)=0))&gt;0)=0,"",'Dvd Calendar'!$Z$110*1000000000+ISNUMBER('Dvd Calendar'!$Z$113)*100000000+('Dvd Calendar'!$Z$115=SPECIAL_LBL)*10000000+(N('Dvd Calendar'!$Z$109)&gt;0)*(N('Dvd Calendar'!$Z$109)&lt;=VAL_SERIAL)*1000000+10*1000+22))</f>
        <v/>
      </c>
      <c r="FA21" s="39">
        <f>IF(N('Dvd Calendar'!$AA$110)=0,"",IF(('Dvd Calendar'!$AA$110&gt;=GRID_FROM)*('Dvd Calendar'!$AA$110&lt;=GRID_TO)*((('Dvd Calendar'!$AA$110&lt;=VAL_DATE)+(COUNTIF('Dvd Calendar'!$E$117:$AR$117,'Dvd Calendar'!$AA$110)=0))&gt;0)=0,"",'Dvd Calendar'!$AA$110*1000000000+ISNUMBER('Dvd Calendar'!$AA$113)*100000000+('Dvd Calendar'!$AA$115=SPECIAL_LBL)*10000000+(N('Dvd Calendar'!$AA$109)&gt;0)*(N('Dvd Calendar'!$AA$109)&lt;=VAL_SERIAL)*1000000+10*1000+23))</f>
        <v/>
      </c>
      <c r="FB21" s="39">
        <f>IF(N('Dvd Calendar'!$AB$110)=0,"",IF(('Dvd Calendar'!$AB$110&gt;=GRID_FROM)*('Dvd Calendar'!$AB$110&lt;=GRID_TO)*((('Dvd Calendar'!$AB$110&lt;=VAL_DATE)+(COUNTIF('Dvd Calendar'!$E$117:$AR$117,'Dvd Calendar'!$AB$110)=0))&gt;0)=0,"",'Dvd Calendar'!$AB$110*1000000000+ISNUMBER('Dvd Calendar'!$AB$113)*100000000+('Dvd Calendar'!$AB$115=SPECIAL_LBL)*10000000+(N('Dvd Calendar'!$AB$109)&gt;0)*(N('Dvd Calendar'!$AB$109)&lt;=VAL_SERIAL)*1000000+10*1000+24))</f>
        <v/>
      </c>
      <c r="FC21" s="39">
        <f>IF(N('Dvd Calendar'!$AC$110)=0,"",IF(('Dvd Calendar'!$AC$110&gt;=GRID_FROM)*('Dvd Calendar'!$AC$110&lt;=GRID_TO)*((('Dvd Calendar'!$AC$110&lt;=VAL_DATE)+(COUNTIF('Dvd Calendar'!$E$117:$AR$117,'Dvd Calendar'!$AC$110)=0))&gt;0)=0,"",'Dvd Calendar'!$AC$110*1000000000+ISNUMBER('Dvd Calendar'!$AC$113)*100000000+('Dvd Calendar'!$AC$115=SPECIAL_LBL)*10000000+(N('Dvd Calendar'!$AC$109)&gt;0)*(N('Dvd Calendar'!$AC$109)&lt;=VAL_SERIAL)*1000000+10*1000+25))</f>
        <v/>
      </c>
      <c r="FD21" s="39">
        <f>IF(N('Dvd Calendar'!$AD$110)=0,"",IF(('Dvd Calendar'!$AD$110&gt;=GRID_FROM)*('Dvd Calendar'!$AD$110&lt;=GRID_TO)*((('Dvd Calendar'!$AD$110&lt;=VAL_DATE)+(COUNTIF('Dvd Calendar'!$E$117:$AR$117,'Dvd Calendar'!$AD$110)=0))&gt;0)=0,"",'Dvd Calendar'!$AD$110*1000000000+ISNUMBER('Dvd Calendar'!$AD$113)*100000000+('Dvd Calendar'!$AD$115=SPECIAL_LBL)*10000000+(N('Dvd Calendar'!$AD$109)&gt;0)*(N('Dvd Calendar'!$AD$109)&lt;=VAL_SERIAL)*1000000+10*1000+26))</f>
        <v/>
      </c>
      <c r="FE21" s="39">
        <f>IF(N('Dvd Calendar'!$AE$110)=0,"",IF(('Dvd Calendar'!$AE$110&gt;=GRID_FROM)*('Dvd Calendar'!$AE$110&lt;=GRID_TO)*((('Dvd Calendar'!$AE$110&lt;=VAL_DATE)+(COUNTIF('Dvd Calendar'!$E$117:$AR$117,'Dvd Calendar'!$AE$110)=0))&gt;0)=0,"",'Dvd Calendar'!$AE$110*1000000000+ISNUMBER('Dvd Calendar'!$AE$113)*100000000+('Dvd Calendar'!$AE$115=SPECIAL_LBL)*10000000+(N('Dvd Calendar'!$AE$109)&gt;0)*(N('Dvd Calendar'!$AE$109)&lt;=VAL_SERIAL)*1000000+10*1000+27))</f>
        <v/>
      </c>
      <c r="FF21" s="39">
        <f>IF(N('Dvd Calendar'!$AF$110)=0,"",IF(('Dvd Calendar'!$AF$110&gt;=GRID_FROM)*('Dvd Calendar'!$AF$110&lt;=GRID_TO)*((('Dvd Calendar'!$AF$110&lt;=VAL_DATE)+(COUNTIF('Dvd Calendar'!$E$117:$AR$117,'Dvd Calendar'!$AF$110)=0))&gt;0)=0,"",'Dvd Calendar'!$AF$110*1000000000+ISNUMBER('Dvd Calendar'!$AF$113)*100000000+('Dvd Calendar'!$AF$115=SPECIAL_LBL)*10000000+(N('Dvd Calendar'!$AF$109)&gt;0)*(N('Dvd Calendar'!$AF$109)&lt;=VAL_SERIAL)*1000000+10*1000+28))</f>
        <v/>
      </c>
      <c r="FG21" s="39">
        <f>IF(N('Dvd Calendar'!$AG$110)=0,"",IF(('Dvd Calendar'!$AG$110&gt;=GRID_FROM)*('Dvd Calendar'!$AG$110&lt;=GRID_TO)*((('Dvd Calendar'!$AG$110&lt;=VAL_DATE)+(COUNTIF('Dvd Calendar'!$E$117:$AR$117,'Dvd Calendar'!$AG$110)=0))&gt;0)=0,"",'Dvd Calendar'!$AG$110*1000000000+ISNUMBER('Dvd Calendar'!$AG$113)*100000000+('Dvd Calendar'!$AG$115=SPECIAL_LBL)*10000000+(N('Dvd Calendar'!$AG$109)&gt;0)*(N('Dvd Calendar'!$AG$109)&lt;=VAL_SERIAL)*1000000+10*1000+29))</f>
        <v/>
      </c>
      <c r="FH21" s="39">
        <f>IF(N('Dvd Calendar'!$AH$110)=0,"",IF(('Dvd Calendar'!$AH$110&gt;=GRID_FROM)*('Dvd Calendar'!$AH$110&lt;=GRID_TO)*((('Dvd Calendar'!$AH$110&lt;=VAL_DATE)+(COUNTIF('Dvd Calendar'!$E$117:$AR$117,'Dvd Calendar'!$AH$110)=0))&gt;0)=0,"",'Dvd Calendar'!$AH$110*1000000000+ISNUMBER('Dvd Calendar'!$AH$113)*100000000+('Dvd Calendar'!$AH$115=SPECIAL_LBL)*10000000+(N('Dvd Calendar'!$AH$109)&gt;0)*(N('Dvd Calendar'!$AH$109)&lt;=VAL_SERIAL)*1000000+10*1000+30))</f>
        <v/>
      </c>
      <c r="FI21" s="39">
        <f>IF(N('Dvd Calendar'!$AI$110)=0,"",IF(('Dvd Calendar'!$AI$110&gt;=GRID_FROM)*('Dvd Calendar'!$AI$110&lt;=GRID_TO)*((('Dvd Calendar'!$AI$110&lt;=VAL_DATE)+(COUNTIF('Dvd Calendar'!$E$117:$AR$117,'Dvd Calendar'!$AI$110)=0))&gt;0)=0,"",'Dvd Calendar'!$AI$110*1000000000+ISNUMBER('Dvd Calendar'!$AI$113)*100000000+('Dvd Calendar'!$AI$115=SPECIAL_LBL)*10000000+(N('Dvd Calendar'!$AI$109)&gt;0)*(N('Dvd Calendar'!$AI$109)&lt;=VAL_SERIAL)*1000000+10*1000+31))</f>
        <v/>
      </c>
      <c r="FJ21" s="39">
        <f>IF(N('Dvd Calendar'!$AJ$110)=0,"",IF(('Dvd Calendar'!$AJ$110&gt;=GRID_FROM)*('Dvd Calendar'!$AJ$110&lt;=GRID_TO)*((('Dvd Calendar'!$AJ$110&lt;=VAL_DATE)+(COUNTIF('Dvd Calendar'!$E$117:$AR$117,'Dvd Calendar'!$AJ$110)=0))&gt;0)=0,"",'Dvd Calendar'!$AJ$110*1000000000+ISNUMBER('Dvd Calendar'!$AJ$113)*100000000+('Dvd Calendar'!$AJ$115=SPECIAL_LBL)*10000000+(N('Dvd Calendar'!$AJ$109)&gt;0)*(N('Dvd Calendar'!$AJ$109)&lt;=VAL_SERIAL)*1000000+10*1000+32))</f>
        <v/>
      </c>
      <c r="FK21" s="39">
        <f>IF(N('Dvd Calendar'!$AK$110)=0,"",IF(('Dvd Calendar'!$AK$110&gt;=GRID_FROM)*('Dvd Calendar'!$AK$110&lt;=GRID_TO)*((('Dvd Calendar'!$AK$110&lt;=VAL_DATE)+(COUNTIF('Dvd Calendar'!$E$117:$AR$117,'Dvd Calendar'!$AK$110)=0))&gt;0)=0,"",'Dvd Calendar'!$AK$110*1000000000+ISNUMBER('Dvd Calendar'!$AK$113)*100000000+('Dvd Calendar'!$AK$115=SPECIAL_LBL)*10000000+(N('Dvd Calendar'!$AK$109)&gt;0)*(N('Dvd Calendar'!$AK$109)&lt;=VAL_SERIAL)*1000000+10*1000+33))</f>
        <v/>
      </c>
      <c r="FL21" s="39">
        <f>IF(N('Dvd Calendar'!$AL$110)=0,"",IF(('Dvd Calendar'!$AL$110&gt;=GRID_FROM)*('Dvd Calendar'!$AL$110&lt;=GRID_TO)*((('Dvd Calendar'!$AL$110&lt;=VAL_DATE)+(COUNTIF('Dvd Calendar'!$E$117:$AR$117,'Dvd Calendar'!$AL$110)=0))&gt;0)=0,"",'Dvd Calendar'!$AL$110*1000000000+ISNUMBER('Dvd Calendar'!$AL$113)*100000000+('Dvd Calendar'!$AL$115=SPECIAL_LBL)*10000000+(N('Dvd Calendar'!$AL$109)&gt;0)*(N('Dvd Calendar'!$AL$109)&lt;=VAL_SERIAL)*1000000+10*1000+34))</f>
        <v/>
      </c>
      <c r="FM21" s="39">
        <f>IF(N('Dvd Calendar'!$AM$110)=0,"",IF(('Dvd Calendar'!$AM$110&gt;=GRID_FROM)*('Dvd Calendar'!$AM$110&lt;=GRID_TO)*((('Dvd Calendar'!$AM$110&lt;=VAL_DATE)+(COUNTIF('Dvd Calendar'!$E$117:$AR$117,'Dvd Calendar'!$AM$110)=0))&gt;0)=0,"",'Dvd Calendar'!$AM$110*1000000000+ISNUMBER('Dvd Calendar'!$AM$113)*100000000+('Dvd Calendar'!$AM$115=SPECIAL_LBL)*10000000+(N('Dvd Calendar'!$AM$109)&gt;0)*(N('Dvd Calendar'!$AM$109)&lt;=VAL_SERIAL)*1000000+10*1000+35))</f>
        <v/>
      </c>
      <c r="FN21" s="39">
        <f>IF(N('Dvd Calendar'!$AN$110)=0,"",IF(('Dvd Calendar'!$AN$110&gt;=GRID_FROM)*('Dvd Calendar'!$AN$110&lt;=GRID_TO)*((('Dvd Calendar'!$AN$110&lt;=VAL_DATE)+(COUNTIF('Dvd Calendar'!$E$117:$AR$117,'Dvd Calendar'!$AN$110)=0))&gt;0)=0,"",'Dvd Calendar'!$AN$110*1000000000+ISNUMBER('Dvd Calendar'!$AN$113)*100000000+('Dvd Calendar'!$AN$115=SPECIAL_LBL)*10000000+(N('Dvd Calendar'!$AN$109)&gt;0)*(N('Dvd Calendar'!$AN$109)&lt;=VAL_SERIAL)*1000000+10*1000+36))</f>
        <v/>
      </c>
      <c r="FO21" s="39">
        <f>IF(N('Dvd Calendar'!$AO$110)=0,"",IF(('Dvd Calendar'!$AO$110&gt;=GRID_FROM)*('Dvd Calendar'!$AO$110&lt;=GRID_TO)*((('Dvd Calendar'!$AO$110&lt;=VAL_DATE)+(COUNTIF('Dvd Calendar'!$E$117:$AR$117,'Dvd Calendar'!$AO$110)=0))&gt;0)=0,"",'Dvd Calendar'!$AO$110*1000000000+ISNUMBER('Dvd Calendar'!$AO$113)*100000000+('Dvd Calendar'!$AO$115=SPECIAL_LBL)*10000000+(N('Dvd Calendar'!$AO$109)&gt;0)*(N('Dvd Calendar'!$AO$109)&lt;=VAL_SERIAL)*1000000+10*1000+37))</f>
        <v/>
      </c>
      <c r="FP21" s="39">
        <f>IF(N('Dvd Calendar'!$AP$110)=0,"",IF(('Dvd Calendar'!$AP$110&gt;=GRID_FROM)*('Dvd Calendar'!$AP$110&lt;=GRID_TO)*((('Dvd Calendar'!$AP$110&lt;=VAL_DATE)+(COUNTIF('Dvd Calendar'!$E$117:$AR$117,'Dvd Calendar'!$AP$110)=0))&gt;0)=0,"",'Dvd Calendar'!$AP$110*1000000000+ISNUMBER('Dvd Calendar'!$AP$113)*100000000+('Dvd Calendar'!$AP$115=SPECIAL_LBL)*10000000+(N('Dvd Calendar'!$AP$109)&gt;0)*(N('Dvd Calendar'!$AP$109)&lt;=VAL_SERIAL)*1000000+10*1000+38))</f>
        <v/>
      </c>
      <c r="FQ21" s="39">
        <f>IF(N('Dvd Calendar'!$AQ$110)=0,"",IF(('Dvd Calendar'!$AQ$110&gt;=GRID_FROM)*('Dvd Calendar'!$AQ$110&lt;=GRID_TO)*((('Dvd Calendar'!$AQ$110&lt;=VAL_DATE)+(COUNTIF('Dvd Calendar'!$E$117:$AR$117,'Dvd Calendar'!$AQ$110)=0))&gt;0)=0,"",'Dvd Calendar'!$AQ$110*1000000000+ISNUMBER('Dvd Calendar'!$AQ$113)*100000000+('Dvd Calendar'!$AQ$115=SPECIAL_LBL)*10000000+(N('Dvd Calendar'!$AQ$109)&gt;0)*(N('Dvd Calendar'!$AQ$109)&lt;=VAL_SERIAL)*1000000+10*1000+39))</f>
        <v/>
      </c>
      <c r="FR21" s="39">
        <f>IF(N('Dvd Calendar'!$AR$110)=0,"",IF(('Dvd Calendar'!$AR$110&gt;=GRID_FROM)*('Dvd Calendar'!$AR$110&lt;=GRID_TO)*((('Dvd Calendar'!$AR$110&lt;=VAL_DATE)+(COUNTIF('Dvd Calendar'!$E$117:$AR$117,'Dvd Calendar'!$AR$110)=0))&gt;0)=0,"",'Dvd Calendar'!$AR$110*1000000000+ISNUMBER('Dvd Calendar'!$AR$113)*100000000+('Dvd Calendar'!$AR$115=SPECIAL_LBL)*10000000+(N('Dvd Calendar'!$AR$109)&gt;0)*(N('Dvd Calendar'!$AR$109)&lt;=VAL_SERIAL)*1000000+10*1000+40))</f>
        <v/>
      </c>
      <c r="FS21" s="39">
        <f>IF(N('Dvd Calendar'!$E$117)=0,"",IF(('Dvd Calendar'!$E$117&gt;=GRID_FROM)*('Dvd Calendar'!$E$117&lt;=GRID_TO)*('Dvd Calendar'!$E$117&gt;VAL_DATE)=0,"",'Dvd Calendar'!$E$117*1000000000+ISNUMBER('Dvd Calendar'!$E$118)*100000000+0*10000000+(N('Dvd Calendar'!$E$116)&gt;0)*(N('Dvd Calendar'!$E$116)&lt;=VAL_SERIAL)*1000000+10*1000+41))</f>
        <v/>
      </c>
      <c r="FT21" s="39">
        <f>IF(N('Dvd Calendar'!$F$117)=0,"",IF(('Dvd Calendar'!$F$117&gt;=GRID_FROM)*('Dvd Calendar'!$F$117&lt;=GRID_TO)*('Dvd Calendar'!$F$117&gt;VAL_DATE)=0,"",'Dvd Calendar'!$F$117*1000000000+ISNUMBER('Dvd Calendar'!$F$118)*100000000+0*10000000+(N('Dvd Calendar'!$F$116)&gt;0)*(N('Dvd Calendar'!$F$116)&lt;=VAL_SERIAL)*1000000+10*1000+42))</f>
        <v/>
      </c>
      <c r="FU21" s="39">
        <f>IF(N('Dvd Calendar'!$G$117)=0,"",IF(('Dvd Calendar'!$G$117&gt;=GRID_FROM)*('Dvd Calendar'!$G$117&lt;=GRID_TO)*('Dvd Calendar'!$G$117&gt;VAL_DATE)=0,"",'Dvd Calendar'!$G$117*1000000000+ISNUMBER('Dvd Calendar'!$G$118)*100000000+0*10000000+(N('Dvd Calendar'!$G$116)&gt;0)*(N('Dvd Calendar'!$G$116)&lt;=VAL_SERIAL)*1000000+10*1000+43))</f>
        <v/>
      </c>
      <c r="FV21" s="39">
        <f>IF(N('Dvd Calendar'!$H$117)=0,"",IF(('Dvd Calendar'!$H$117&gt;=GRID_FROM)*('Dvd Calendar'!$H$117&lt;=GRID_TO)*('Dvd Calendar'!$H$117&gt;VAL_DATE)=0,"",'Dvd Calendar'!$H$117*1000000000+ISNUMBER('Dvd Calendar'!$H$118)*100000000+0*10000000+(N('Dvd Calendar'!$H$116)&gt;0)*(N('Dvd Calendar'!$H$116)&lt;=VAL_SERIAL)*1000000+10*1000+44))</f>
        <v/>
      </c>
      <c r="FW21" s="39">
        <f>IF(N('Dvd Calendar'!$I$117)=0,"",IF(('Dvd Calendar'!$I$117&gt;=GRID_FROM)*('Dvd Calendar'!$I$117&lt;=GRID_TO)*('Dvd Calendar'!$I$117&gt;VAL_DATE)=0,"",'Dvd Calendar'!$I$117*1000000000+ISNUMBER('Dvd Calendar'!$I$118)*100000000+0*10000000+(N('Dvd Calendar'!$I$116)&gt;0)*(N('Dvd Calendar'!$I$116)&lt;=VAL_SERIAL)*1000000+10*1000+45))</f>
        <v/>
      </c>
      <c r="FX21" s="39">
        <f>IF(N('Dvd Calendar'!$J$117)=0,"",IF(('Dvd Calendar'!$J$117&gt;=GRID_FROM)*('Dvd Calendar'!$J$117&lt;=GRID_TO)*('Dvd Calendar'!$J$117&gt;VAL_DATE)=0,"",'Dvd Calendar'!$J$117*1000000000+ISNUMBER('Dvd Calendar'!$J$118)*100000000+0*10000000+(N('Dvd Calendar'!$J$116)&gt;0)*(N('Dvd Calendar'!$J$116)&lt;=VAL_SERIAL)*1000000+10*1000+46))</f>
        <v/>
      </c>
      <c r="FY21" s="39">
        <f>IF(N('Dvd Calendar'!$K$117)=0,"",IF(('Dvd Calendar'!$K$117&gt;=GRID_FROM)*('Dvd Calendar'!$K$117&lt;=GRID_TO)*('Dvd Calendar'!$K$117&gt;VAL_DATE)=0,"",'Dvd Calendar'!$K$117*1000000000+ISNUMBER('Dvd Calendar'!$K$118)*100000000+0*10000000+(N('Dvd Calendar'!$K$116)&gt;0)*(N('Dvd Calendar'!$K$116)&lt;=VAL_SERIAL)*1000000+10*1000+47))</f>
        <v/>
      </c>
      <c r="FZ21" s="39">
        <f>IF(N('Dvd Calendar'!$L$117)=0,"",IF(('Dvd Calendar'!$L$117&gt;=GRID_FROM)*('Dvd Calendar'!$L$117&lt;=GRID_TO)*('Dvd Calendar'!$L$117&gt;VAL_DATE)=0,"",'Dvd Calendar'!$L$117*1000000000+ISNUMBER('Dvd Calendar'!$L$118)*100000000+0*10000000+(N('Dvd Calendar'!$L$116)&gt;0)*(N('Dvd Calendar'!$L$116)&lt;=VAL_SERIAL)*1000000+10*1000+48))</f>
        <v/>
      </c>
      <c r="GA21" s="39">
        <f>IF(N('Dvd Calendar'!$M$117)=0,"",IF(('Dvd Calendar'!$M$117&gt;=GRID_FROM)*('Dvd Calendar'!$M$117&lt;=GRID_TO)*('Dvd Calendar'!$M$117&gt;VAL_DATE)=0,"",'Dvd Calendar'!$M$117*1000000000+ISNUMBER('Dvd Calendar'!$M$118)*100000000+0*10000000+(N('Dvd Calendar'!$M$116)&gt;0)*(N('Dvd Calendar'!$M$116)&lt;=VAL_SERIAL)*1000000+10*1000+49))</f>
        <v/>
      </c>
      <c r="GB21" s="39">
        <f>IF(N('Dvd Calendar'!$N$117)=0,"",IF(('Dvd Calendar'!$N$117&gt;=GRID_FROM)*('Dvd Calendar'!$N$117&lt;=GRID_TO)*('Dvd Calendar'!$N$117&gt;VAL_DATE)=0,"",'Dvd Calendar'!$N$117*1000000000+ISNUMBER('Dvd Calendar'!$N$118)*100000000+0*10000000+(N('Dvd Calendar'!$N$116)&gt;0)*(N('Dvd Calendar'!$N$116)&lt;=VAL_SERIAL)*1000000+10*1000+50))</f>
        <v/>
      </c>
      <c r="GC21" s="39">
        <f>IF(N('Dvd Calendar'!$O$117)=0,"",IF(('Dvd Calendar'!$O$117&gt;=GRID_FROM)*('Dvd Calendar'!$O$117&lt;=GRID_TO)*('Dvd Calendar'!$O$117&gt;VAL_DATE)=0,"",'Dvd Calendar'!$O$117*1000000000+ISNUMBER('Dvd Calendar'!$O$118)*100000000+0*10000000+(N('Dvd Calendar'!$O$116)&gt;0)*(N('Dvd Calendar'!$O$116)&lt;=VAL_SERIAL)*1000000+10*1000+51))</f>
        <v/>
      </c>
      <c r="GD21" s="39">
        <f>IF(N('Dvd Calendar'!$P$117)=0,"",IF(('Dvd Calendar'!$P$117&gt;=GRID_FROM)*('Dvd Calendar'!$P$117&lt;=GRID_TO)*('Dvd Calendar'!$P$117&gt;VAL_DATE)=0,"",'Dvd Calendar'!$P$117*1000000000+ISNUMBER('Dvd Calendar'!$P$118)*100000000+0*10000000+(N('Dvd Calendar'!$P$116)&gt;0)*(N('Dvd Calendar'!$P$116)&lt;=VAL_SERIAL)*1000000+10*1000+52))</f>
        <v/>
      </c>
      <c r="GE21" s="39">
        <f>IF(N('Dvd Calendar'!$Q$117)=0,"",IF(('Dvd Calendar'!$Q$117&gt;=GRID_FROM)*('Dvd Calendar'!$Q$117&lt;=GRID_TO)*('Dvd Calendar'!$Q$117&gt;VAL_DATE)=0,"",'Dvd Calendar'!$Q$117*1000000000+ISNUMBER('Dvd Calendar'!$Q$118)*100000000+0*10000000+(N('Dvd Calendar'!$Q$116)&gt;0)*(N('Dvd Calendar'!$Q$116)&lt;=VAL_SERIAL)*1000000+10*1000+53))</f>
        <v/>
      </c>
      <c r="GF21" s="39">
        <f>IF(N('Dvd Calendar'!$R$117)=0,"",IF(('Dvd Calendar'!$R$117&gt;=GRID_FROM)*('Dvd Calendar'!$R$117&lt;=GRID_TO)*('Dvd Calendar'!$R$117&gt;VAL_DATE)=0,"",'Dvd Calendar'!$R$117*1000000000+ISNUMBER('Dvd Calendar'!$R$118)*100000000+0*10000000+(N('Dvd Calendar'!$R$116)&gt;0)*(N('Dvd Calendar'!$R$116)&lt;=VAL_SERIAL)*1000000+10*1000+54))</f>
        <v/>
      </c>
      <c r="GG21" s="39">
        <f>IF(N('Dvd Calendar'!$S$117)=0,"",IF(('Dvd Calendar'!$S$117&gt;=GRID_FROM)*('Dvd Calendar'!$S$117&lt;=GRID_TO)*('Dvd Calendar'!$S$117&gt;VAL_DATE)=0,"",'Dvd Calendar'!$S$117*1000000000+ISNUMBER('Dvd Calendar'!$S$118)*100000000+0*10000000+(N('Dvd Calendar'!$S$116)&gt;0)*(N('Dvd Calendar'!$S$116)&lt;=VAL_SERIAL)*1000000+10*1000+55))</f>
        <v/>
      </c>
      <c r="GH21" s="39">
        <f>IF(N('Dvd Calendar'!$T$117)=0,"",IF(('Dvd Calendar'!$T$117&gt;=GRID_FROM)*('Dvd Calendar'!$T$117&lt;=GRID_TO)*('Dvd Calendar'!$T$117&gt;VAL_DATE)=0,"",'Dvd Calendar'!$T$117*1000000000+ISNUMBER('Dvd Calendar'!$T$118)*100000000+0*10000000+(N('Dvd Calendar'!$T$116)&gt;0)*(N('Dvd Calendar'!$T$116)&lt;=VAL_SERIAL)*1000000+10*1000+56))</f>
        <v/>
      </c>
      <c r="GI21" s="39">
        <f>IF(N('Dvd Calendar'!$U$117)=0,"",IF(('Dvd Calendar'!$U$117&gt;=GRID_FROM)*('Dvd Calendar'!$U$117&lt;=GRID_TO)*('Dvd Calendar'!$U$117&gt;VAL_DATE)=0,"",'Dvd Calendar'!$U$117*1000000000+ISNUMBER('Dvd Calendar'!$U$118)*100000000+0*10000000+(N('Dvd Calendar'!$U$116)&gt;0)*(N('Dvd Calendar'!$U$116)&lt;=VAL_SERIAL)*1000000+10*1000+57))</f>
        <v/>
      </c>
      <c r="GJ21" s="39">
        <f>IF(N('Dvd Calendar'!$V$117)=0,"",IF(('Dvd Calendar'!$V$117&gt;=GRID_FROM)*('Dvd Calendar'!$V$117&lt;=GRID_TO)*('Dvd Calendar'!$V$117&gt;VAL_DATE)=0,"",'Dvd Calendar'!$V$117*1000000000+ISNUMBER('Dvd Calendar'!$V$118)*100000000+0*10000000+(N('Dvd Calendar'!$V$116)&gt;0)*(N('Dvd Calendar'!$V$116)&lt;=VAL_SERIAL)*1000000+10*1000+58))</f>
        <v/>
      </c>
      <c r="GK21" s="39">
        <f>IF(N('Dvd Calendar'!$W$117)=0,"",IF(('Dvd Calendar'!$W$117&gt;=GRID_FROM)*('Dvd Calendar'!$W$117&lt;=GRID_TO)*('Dvd Calendar'!$W$117&gt;VAL_DATE)=0,"",'Dvd Calendar'!$W$117*1000000000+ISNUMBER('Dvd Calendar'!$W$118)*100000000+0*10000000+(N('Dvd Calendar'!$W$116)&gt;0)*(N('Dvd Calendar'!$W$116)&lt;=VAL_SERIAL)*1000000+10*1000+59))</f>
        <v/>
      </c>
      <c r="GL21" s="39">
        <f>IF(N('Dvd Calendar'!$X$117)=0,"",IF(('Dvd Calendar'!$X$117&gt;=GRID_FROM)*('Dvd Calendar'!$X$117&lt;=GRID_TO)*('Dvd Calendar'!$X$117&gt;VAL_DATE)=0,"",'Dvd Calendar'!$X$117*1000000000+ISNUMBER('Dvd Calendar'!$X$118)*100000000+0*10000000+(N('Dvd Calendar'!$X$116)&gt;0)*(N('Dvd Calendar'!$X$116)&lt;=VAL_SERIAL)*1000000+10*1000+60))</f>
        <v/>
      </c>
      <c r="GM21" s="39">
        <f>IF(N('Dvd Calendar'!$Y$117)=0,"",IF(('Dvd Calendar'!$Y$117&gt;=GRID_FROM)*('Dvd Calendar'!$Y$117&lt;=GRID_TO)*('Dvd Calendar'!$Y$117&gt;VAL_DATE)=0,"",'Dvd Calendar'!$Y$117*1000000000+ISNUMBER('Dvd Calendar'!$Y$118)*100000000+0*10000000+(N('Dvd Calendar'!$Y$116)&gt;0)*(N('Dvd Calendar'!$Y$116)&lt;=VAL_SERIAL)*1000000+10*1000+61))</f>
        <v/>
      </c>
      <c r="GN21" s="39">
        <f>IF(N('Dvd Calendar'!$Z$117)=0,"",IF(('Dvd Calendar'!$Z$117&gt;=GRID_FROM)*('Dvd Calendar'!$Z$117&lt;=GRID_TO)*('Dvd Calendar'!$Z$117&gt;VAL_DATE)=0,"",'Dvd Calendar'!$Z$117*1000000000+ISNUMBER('Dvd Calendar'!$Z$118)*100000000+0*10000000+(N('Dvd Calendar'!$Z$116)&gt;0)*(N('Dvd Calendar'!$Z$116)&lt;=VAL_SERIAL)*1000000+10*1000+62))</f>
        <v/>
      </c>
      <c r="GO21" s="39">
        <f>IF(N('Dvd Calendar'!$AA$117)=0,"",IF(('Dvd Calendar'!$AA$117&gt;=GRID_FROM)*('Dvd Calendar'!$AA$117&lt;=GRID_TO)*('Dvd Calendar'!$AA$117&gt;VAL_DATE)=0,"",'Dvd Calendar'!$AA$117*1000000000+ISNUMBER('Dvd Calendar'!$AA$118)*100000000+0*10000000+(N('Dvd Calendar'!$AA$116)&gt;0)*(N('Dvd Calendar'!$AA$116)&lt;=VAL_SERIAL)*1000000+10*1000+63))</f>
        <v/>
      </c>
      <c r="GP21" s="39">
        <f>IF(N('Dvd Calendar'!$AB$117)=0,"",IF(('Dvd Calendar'!$AB$117&gt;=GRID_FROM)*('Dvd Calendar'!$AB$117&lt;=GRID_TO)*('Dvd Calendar'!$AB$117&gt;VAL_DATE)=0,"",'Dvd Calendar'!$AB$117*1000000000+ISNUMBER('Dvd Calendar'!$AB$118)*100000000+0*10000000+(N('Dvd Calendar'!$AB$116)&gt;0)*(N('Dvd Calendar'!$AB$116)&lt;=VAL_SERIAL)*1000000+10*1000+64))</f>
        <v/>
      </c>
      <c r="GQ21" s="39">
        <f>IF(N('Dvd Calendar'!$AC$117)=0,"",IF(('Dvd Calendar'!$AC$117&gt;=GRID_FROM)*('Dvd Calendar'!$AC$117&lt;=GRID_TO)*('Dvd Calendar'!$AC$117&gt;VAL_DATE)=0,"",'Dvd Calendar'!$AC$117*1000000000+ISNUMBER('Dvd Calendar'!$AC$118)*100000000+0*10000000+(N('Dvd Calendar'!$AC$116)&gt;0)*(N('Dvd Calendar'!$AC$116)&lt;=VAL_SERIAL)*1000000+10*1000+65))</f>
        <v/>
      </c>
    </row>
    <row r="22">
      <c r="B22" s="2">
        <f>IF(HSI!$C$17="","",HSI!$C$17)</f>
        <v/>
      </c>
      <c r="C22" s="110">
        <f>IF(EE22="","",IF(ISNUMBER('Dvd Calendar'!$E$124)=FALSE,"",IF((('Dvd Calendar'!$E$126=TYPE1)*(TYPE1&lt;&gt;"")+('Dvd Calendar'!$E$126=TYPE2)*(TYPE2&lt;&gt;"")+('Dvd Calendar'!$E$126=TYPE3)*(TYPE3&lt;&gt;"")+('Dvd Calendar'!$E$126=TYPE4)*(TYPE4&lt;&gt;"")+('Dvd Calendar'!$E$126=SPECIAL_LBL)*(INC_SPECIALS="Y"))=0,"",'Dvd Calendar'!$E$124)))</f>
        <v/>
      </c>
      <c r="D22" s="110">
        <f>IF(EF22="","",IF(ISNUMBER('Dvd Calendar'!$F$124)=FALSE,"",IF((('Dvd Calendar'!$F$126=TYPE1)*(TYPE1&lt;&gt;"")+('Dvd Calendar'!$F$126=TYPE2)*(TYPE2&lt;&gt;"")+('Dvd Calendar'!$F$126=TYPE3)*(TYPE3&lt;&gt;"")+('Dvd Calendar'!$F$126=TYPE4)*(TYPE4&lt;&gt;"")+('Dvd Calendar'!$F$126=SPECIAL_LBL)*(INC_SPECIALS="Y"))=0,"",'Dvd Calendar'!$F$124)))</f>
        <v/>
      </c>
      <c r="E22" s="110">
        <f>IF(EG22="","",IF(ISNUMBER('Dvd Calendar'!$G$124)=FALSE,"",IF((('Dvd Calendar'!$G$126=TYPE1)*(TYPE1&lt;&gt;"")+('Dvd Calendar'!$G$126=TYPE2)*(TYPE2&lt;&gt;"")+('Dvd Calendar'!$G$126=TYPE3)*(TYPE3&lt;&gt;"")+('Dvd Calendar'!$G$126=TYPE4)*(TYPE4&lt;&gt;"")+('Dvd Calendar'!$G$126=SPECIAL_LBL)*(INC_SPECIALS="Y"))=0,"",'Dvd Calendar'!$G$124)))</f>
        <v/>
      </c>
      <c r="F22" s="110">
        <f>IF(EH22="","",IF(ISNUMBER('Dvd Calendar'!$H$124)=FALSE,"",IF((('Dvd Calendar'!$H$126=TYPE1)*(TYPE1&lt;&gt;"")+('Dvd Calendar'!$H$126=TYPE2)*(TYPE2&lt;&gt;"")+('Dvd Calendar'!$H$126=TYPE3)*(TYPE3&lt;&gt;"")+('Dvd Calendar'!$H$126=TYPE4)*(TYPE4&lt;&gt;"")+('Dvd Calendar'!$H$126=SPECIAL_LBL)*(INC_SPECIALS="Y"))=0,"",'Dvd Calendar'!$H$124)))</f>
        <v/>
      </c>
      <c r="G22" s="110">
        <f>IF(EI22="","",IF(ISNUMBER('Dvd Calendar'!$I$124)=FALSE,"",IF((('Dvd Calendar'!$I$126=TYPE1)*(TYPE1&lt;&gt;"")+('Dvd Calendar'!$I$126=TYPE2)*(TYPE2&lt;&gt;"")+('Dvd Calendar'!$I$126=TYPE3)*(TYPE3&lt;&gt;"")+('Dvd Calendar'!$I$126=TYPE4)*(TYPE4&lt;&gt;"")+('Dvd Calendar'!$I$126=SPECIAL_LBL)*(INC_SPECIALS="Y"))=0,"",'Dvd Calendar'!$I$124)))</f>
        <v/>
      </c>
      <c r="H22" s="110">
        <f>IF(EJ22="","",IF(ISNUMBER('Dvd Calendar'!$J$124)=FALSE,"",IF((('Dvd Calendar'!$J$126=TYPE1)*(TYPE1&lt;&gt;"")+('Dvd Calendar'!$J$126=TYPE2)*(TYPE2&lt;&gt;"")+('Dvd Calendar'!$J$126=TYPE3)*(TYPE3&lt;&gt;"")+('Dvd Calendar'!$J$126=TYPE4)*(TYPE4&lt;&gt;"")+('Dvd Calendar'!$J$126=SPECIAL_LBL)*(INC_SPECIALS="Y"))=0,"",'Dvd Calendar'!$J$124)))</f>
        <v/>
      </c>
      <c r="I22" s="110">
        <f>IF(EK22="","",IF(ISNUMBER('Dvd Calendar'!$K$124)=FALSE,"",IF((('Dvd Calendar'!$K$126=TYPE1)*(TYPE1&lt;&gt;"")+('Dvd Calendar'!$K$126=TYPE2)*(TYPE2&lt;&gt;"")+('Dvd Calendar'!$K$126=TYPE3)*(TYPE3&lt;&gt;"")+('Dvd Calendar'!$K$126=TYPE4)*(TYPE4&lt;&gt;"")+('Dvd Calendar'!$K$126=SPECIAL_LBL)*(INC_SPECIALS="Y"))=0,"",'Dvd Calendar'!$K$124)))</f>
        <v/>
      </c>
      <c r="J22" s="110">
        <f>IF(EL22="","",IF(ISNUMBER('Dvd Calendar'!$L$124)=FALSE,"",IF((('Dvd Calendar'!$L$126=TYPE1)*(TYPE1&lt;&gt;"")+('Dvd Calendar'!$L$126=TYPE2)*(TYPE2&lt;&gt;"")+('Dvd Calendar'!$L$126=TYPE3)*(TYPE3&lt;&gt;"")+('Dvd Calendar'!$L$126=TYPE4)*(TYPE4&lt;&gt;"")+('Dvd Calendar'!$L$126=SPECIAL_LBL)*(INC_SPECIALS="Y"))=0,"",'Dvd Calendar'!$L$124)))</f>
        <v/>
      </c>
      <c r="K22" s="110">
        <f>IF(EM22="","",IF(ISNUMBER('Dvd Calendar'!$M$124)=FALSE,"",IF((('Dvd Calendar'!$M$126=TYPE1)*(TYPE1&lt;&gt;"")+('Dvd Calendar'!$M$126=TYPE2)*(TYPE2&lt;&gt;"")+('Dvd Calendar'!$M$126=TYPE3)*(TYPE3&lt;&gt;"")+('Dvd Calendar'!$M$126=TYPE4)*(TYPE4&lt;&gt;"")+('Dvd Calendar'!$M$126=SPECIAL_LBL)*(INC_SPECIALS="Y"))=0,"",'Dvd Calendar'!$M$124)))</f>
        <v/>
      </c>
      <c r="L22" s="110">
        <f>IF(EN22="","",IF(ISNUMBER('Dvd Calendar'!$N$124)=FALSE,"",IF((('Dvd Calendar'!$N$126=TYPE1)*(TYPE1&lt;&gt;"")+('Dvd Calendar'!$N$126=TYPE2)*(TYPE2&lt;&gt;"")+('Dvd Calendar'!$N$126=TYPE3)*(TYPE3&lt;&gt;"")+('Dvd Calendar'!$N$126=TYPE4)*(TYPE4&lt;&gt;"")+('Dvd Calendar'!$N$126=SPECIAL_LBL)*(INC_SPECIALS="Y"))=0,"",'Dvd Calendar'!$N$124)))</f>
        <v/>
      </c>
      <c r="M22" s="110">
        <f>IF(EO22="","",IF(ISNUMBER('Dvd Calendar'!$O$124)=FALSE,"",IF((('Dvd Calendar'!$O$126=TYPE1)*(TYPE1&lt;&gt;"")+('Dvd Calendar'!$O$126=TYPE2)*(TYPE2&lt;&gt;"")+('Dvd Calendar'!$O$126=TYPE3)*(TYPE3&lt;&gt;"")+('Dvd Calendar'!$O$126=TYPE4)*(TYPE4&lt;&gt;"")+('Dvd Calendar'!$O$126=SPECIAL_LBL)*(INC_SPECIALS="Y"))=0,"",'Dvd Calendar'!$O$124)))</f>
        <v/>
      </c>
      <c r="N22" s="110">
        <f>IF(EP22="","",IF(ISNUMBER('Dvd Calendar'!$P$124)=FALSE,"",IF((('Dvd Calendar'!$P$126=TYPE1)*(TYPE1&lt;&gt;"")+('Dvd Calendar'!$P$126=TYPE2)*(TYPE2&lt;&gt;"")+('Dvd Calendar'!$P$126=TYPE3)*(TYPE3&lt;&gt;"")+('Dvd Calendar'!$P$126=TYPE4)*(TYPE4&lt;&gt;"")+('Dvd Calendar'!$P$126=SPECIAL_LBL)*(INC_SPECIALS="Y"))=0,"",'Dvd Calendar'!$P$124)))</f>
        <v/>
      </c>
      <c r="O22" s="110">
        <f>IF(EQ22="","",IF(ISNUMBER('Dvd Calendar'!$Q$124)=FALSE,"",IF((('Dvd Calendar'!$Q$126=TYPE1)*(TYPE1&lt;&gt;"")+('Dvd Calendar'!$Q$126=TYPE2)*(TYPE2&lt;&gt;"")+('Dvd Calendar'!$Q$126=TYPE3)*(TYPE3&lt;&gt;"")+('Dvd Calendar'!$Q$126=TYPE4)*(TYPE4&lt;&gt;"")+('Dvd Calendar'!$Q$126=SPECIAL_LBL)*(INC_SPECIALS="Y"))=0,"",'Dvd Calendar'!$Q$124)))</f>
        <v/>
      </c>
      <c r="P22" s="110">
        <f>IF(ER22="","",IF(ISNUMBER('Dvd Calendar'!$R$124)=FALSE,"",IF((('Dvd Calendar'!$R$126=TYPE1)*(TYPE1&lt;&gt;"")+('Dvd Calendar'!$R$126=TYPE2)*(TYPE2&lt;&gt;"")+('Dvd Calendar'!$R$126=TYPE3)*(TYPE3&lt;&gt;"")+('Dvd Calendar'!$R$126=TYPE4)*(TYPE4&lt;&gt;"")+('Dvd Calendar'!$R$126=SPECIAL_LBL)*(INC_SPECIALS="Y"))=0,"",'Dvd Calendar'!$R$124)))</f>
        <v/>
      </c>
      <c r="Q22" s="110">
        <f>IF(ES22="","",IF(ISNUMBER('Dvd Calendar'!$S$124)=FALSE,"",IF((('Dvd Calendar'!$S$126=TYPE1)*(TYPE1&lt;&gt;"")+('Dvd Calendar'!$S$126=TYPE2)*(TYPE2&lt;&gt;"")+('Dvd Calendar'!$S$126=TYPE3)*(TYPE3&lt;&gt;"")+('Dvd Calendar'!$S$126=TYPE4)*(TYPE4&lt;&gt;"")+('Dvd Calendar'!$S$126=SPECIAL_LBL)*(INC_SPECIALS="Y"))=0,"",'Dvd Calendar'!$S$124)))</f>
        <v/>
      </c>
      <c r="R22" s="110">
        <f>IF(ET22="","",IF(ISNUMBER('Dvd Calendar'!$T$124)=FALSE,"",IF((('Dvd Calendar'!$T$126=TYPE1)*(TYPE1&lt;&gt;"")+('Dvd Calendar'!$T$126=TYPE2)*(TYPE2&lt;&gt;"")+('Dvd Calendar'!$T$126=TYPE3)*(TYPE3&lt;&gt;"")+('Dvd Calendar'!$T$126=TYPE4)*(TYPE4&lt;&gt;"")+('Dvd Calendar'!$T$126=SPECIAL_LBL)*(INC_SPECIALS="Y"))=0,"",'Dvd Calendar'!$T$124)))</f>
        <v/>
      </c>
      <c r="S22" s="110">
        <f>IF(EU22="","",IF(ISNUMBER('Dvd Calendar'!$U$124)=FALSE,"",IF((('Dvd Calendar'!$U$126=TYPE1)*(TYPE1&lt;&gt;"")+('Dvd Calendar'!$U$126=TYPE2)*(TYPE2&lt;&gt;"")+('Dvd Calendar'!$U$126=TYPE3)*(TYPE3&lt;&gt;"")+('Dvd Calendar'!$U$126=TYPE4)*(TYPE4&lt;&gt;"")+('Dvd Calendar'!$U$126=SPECIAL_LBL)*(INC_SPECIALS="Y"))=0,"",'Dvd Calendar'!$U$124)))</f>
        <v/>
      </c>
      <c r="T22" s="110">
        <f>IF(EV22="","",IF(ISNUMBER('Dvd Calendar'!$V$124)=FALSE,"",IF((('Dvd Calendar'!$V$126=TYPE1)*(TYPE1&lt;&gt;"")+('Dvd Calendar'!$V$126=TYPE2)*(TYPE2&lt;&gt;"")+('Dvd Calendar'!$V$126=TYPE3)*(TYPE3&lt;&gt;"")+('Dvd Calendar'!$V$126=TYPE4)*(TYPE4&lt;&gt;"")+('Dvd Calendar'!$V$126=SPECIAL_LBL)*(INC_SPECIALS="Y"))=0,"",'Dvd Calendar'!$V$124)))</f>
        <v/>
      </c>
      <c r="U22" s="110">
        <f>IF(EW22="","",IF(ISNUMBER('Dvd Calendar'!$W$124)=FALSE,"",IF((('Dvd Calendar'!$W$126=TYPE1)*(TYPE1&lt;&gt;"")+('Dvd Calendar'!$W$126=TYPE2)*(TYPE2&lt;&gt;"")+('Dvd Calendar'!$W$126=TYPE3)*(TYPE3&lt;&gt;"")+('Dvd Calendar'!$W$126=TYPE4)*(TYPE4&lt;&gt;"")+('Dvd Calendar'!$W$126=SPECIAL_LBL)*(INC_SPECIALS="Y"))=0,"",'Dvd Calendar'!$W$124)))</f>
        <v/>
      </c>
      <c r="V22" s="110">
        <f>IF(EX22="","",IF(ISNUMBER('Dvd Calendar'!$X$124)=FALSE,"",IF((('Dvd Calendar'!$X$126=TYPE1)*(TYPE1&lt;&gt;"")+('Dvd Calendar'!$X$126=TYPE2)*(TYPE2&lt;&gt;"")+('Dvd Calendar'!$X$126=TYPE3)*(TYPE3&lt;&gt;"")+('Dvd Calendar'!$X$126=TYPE4)*(TYPE4&lt;&gt;"")+('Dvd Calendar'!$X$126=SPECIAL_LBL)*(INC_SPECIALS="Y"))=0,"",'Dvd Calendar'!$X$124)))</f>
        <v/>
      </c>
      <c r="W22" s="110">
        <f>IF(EY22="","",IF(ISNUMBER('Dvd Calendar'!$Y$124)=FALSE,"",IF((('Dvd Calendar'!$Y$126=TYPE1)*(TYPE1&lt;&gt;"")+('Dvd Calendar'!$Y$126=TYPE2)*(TYPE2&lt;&gt;"")+('Dvd Calendar'!$Y$126=TYPE3)*(TYPE3&lt;&gt;"")+('Dvd Calendar'!$Y$126=TYPE4)*(TYPE4&lt;&gt;"")+('Dvd Calendar'!$Y$126=SPECIAL_LBL)*(INC_SPECIALS="Y"))=0,"",'Dvd Calendar'!$Y$124)))</f>
        <v/>
      </c>
      <c r="X22" s="110">
        <f>IF(EZ22="","",IF(ISNUMBER('Dvd Calendar'!$Z$124)=FALSE,"",IF((('Dvd Calendar'!$Z$126=TYPE1)*(TYPE1&lt;&gt;"")+('Dvd Calendar'!$Z$126=TYPE2)*(TYPE2&lt;&gt;"")+('Dvd Calendar'!$Z$126=TYPE3)*(TYPE3&lt;&gt;"")+('Dvd Calendar'!$Z$126=TYPE4)*(TYPE4&lt;&gt;"")+('Dvd Calendar'!$Z$126=SPECIAL_LBL)*(INC_SPECIALS="Y"))=0,"",'Dvd Calendar'!$Z$124)))</f>
        <v/>
      </c>
      <c r="Y22" s="110">
        <f>IF(FA22="","",IF(ISNUMBER('Dvd Calendar'!$AA$124)=FALSE,"",IF((('Dvd Calendar'!$AA$126=TYPE1)*(TYPE1&lt;&gt;"")+('Dvd Calendar'!$AA$126=TYPE2)*(TYPE2&lt;&gt;"")+('Dvd Calendar'!$AA$126=TYPE3)*(TYPE3&lt;&gt;"")+('Dvd Calendar'!$AA$126=TYPE4)*(TYPE4&lt;&gt;"")+('Dvd Calendar'!$AA$126=SPECIAL_LBL)*(INC_SPECIALS="Y"))=0,"",'Dvd Calendar'!$AA$124)))</f>
        <v/>
      </c>
      <c r="Z22" s="110">
        <f>IF(FB22="","",IF(ISNUMBER('Dvd Calendar'!$AB$124)=FALSE,"",IF((('Dvd Calendar'!$AB$126=TYPE1)*(TYPE1&lt;&gt;"")+('Dvd Calendar'!$AB$126=TYPE2)*(TYPE2&lt;&gt;"")+('Dvd Calendar'!$AB$126=TYPE3)*(TYPE3&lt;&gt;"")+('Dvd Calendar'!$AB$126=TYPE4)*(TYPE4&lt;&gt;"")+('Dvd Calendar'!$AB$126=SPECIAL_LBL)*(INC_SPECIALS="Y"))=0,"",'Dvd Calendar'!$AB$124)))</f>
        <v/>
      </c>
      <c r="AA22" s="110">
        <f>IF(FC22="","",IF(ISNUMBER('Dvd Calendar'!$AC$124)=FALSE,"",IF((('Dvd Calendar'!$AC$126=TYPE1)*(TYPE1&lt;&gt;"")+('Dvd Calendar'!$AC$126=TYPE2)*(TYPE2&lt;&gt;"")+('Dvd Calendar'!$AC$126=TYPE3)*(TYPE3&lt;&gt;"")+('Dvd Calendar'!$AC$126=TYPE4)*(TYPE4&lt;&gt;"")+('Dvd Calendar'!$AC$126=SPECIAL_LBL)*(INC_SPECIALS="Y"))=0,"",'Dvd Calendar'!$AC$124)))</f>
        <v/>
      </c>
      <c r="AB22" s="110">
        <f>IF(FD22="","",IF(ISNUMBER('Dvd Calendar'!$AD$124)=FALSE,"",IF((('Dvd Calendar'!$AD$126=TYPE1)*(TYPE1&lt;&gt;"")+('Dvd Calendar'!$AD$126=TYPE2)*(TYPE2&lt;&gt;"")+('Dvd Calendar'!$AD$126=TYPE3)*(TYPE3&lt;&gt;"")+('Dvd Calendar'!$AD$126=TYPE4)*(TYPE4&lt;&gt;"")+('Dvd Calendar'!$AD$126=SPECIAL_LBL)*(INC_SPECIALS="Y"))=0,"",'Dvd Calendar'!$AD$124)))</f>
        <v/>
      </c>
      <c r="AC22" s="110">
        <f>IF(FE22="","",IF(ISNUMBER('Dvd Calendar'!$AE$124)=FALSE,"",IF((('Dvd Calendar'!$AE$126=TYPE1)*(TYPE1&lt;&gt;"")+('Dvd Calendar'!$AE$126=TYPE2)*(TYPE2&lt;&gt;"")+('Dvd Calendar'!$AE$126=TYPE3)*(TYPE3&lt;&gt;"")+('Dvd Calendar'!$AE$126=TYPE4)*(TYPE4&lt;&gt;"")+('Dvd Calendar'!$AE$126=SPECIAL_LBL)*(INC_SPECIALS="Y"))=0,"",'Dvd Calendar'!$AE$124)))</f>
        <v/>
      </c>
      <c r="AD22" s="110">
        <f>IF(FF22="","",IF(ISNUMBER('Dvd Calendar'!$AF$124)=FALSE,"",IF((('Dvd Calendar'!$AF$126=TYPE1)*(TYPE1&lt;&gt;"")+('Dvd Calendar'!$AF$126=TYPE2)*(TYPE2&lt;&gt;"")+('Dvd Calendar'!$AF$126=TYPE3)*(TYPE3&lt;&gt;"")+('Dvd Calendar'!$AF$126=TYPE4)*(TYPE4&lt;&gt;"")+('Dvd Calendar'!$AF$126=SPECIAL_LBL)*(INC_SPECIALS="Y"))=0,"",'Dvd Calendar'!$AF$124)))</f>
        <v/>
      </c>
      <c r="AE22" s="110">
        <f>IF(FG22="","",IF(ISNUMBER('Dvd Calendar'!$AG$124)=FALSE,"",IF((('Dvd Calendar'!$AG$126=TYPE1)*(TYPE1&lt;&gt;"")+('Dvd Calendar'!$AG$126=TYPE2)*(TYPE2&lt;&gt;"")+('Dvd Calendar'!$AG$126=TYPE3)*(TYPE3&lt;&gt;"")+('Dvd Calendar'!$AG$126=TYPE4)*(TYPE4&lt;&gt;"")+('Dvd Calendar'!$AG$126=SPECIAL_LBL)*(INC_SPECIALS="Y"))=0,"",'Dvd Calendar'!$AG$124)))</f>
        <v/>
      </c>
      <c r="AF22" s="110">
        <f>IF(FH22="","",IF(ISNUMBER('Dvd Calendar'!$AH$124)=FALSE,"",IF((('Dvd Calendar'!$AH$126=TYPE1)*(TYPE1&lt;&gt;"")+('Dvd Calendar'!$AH$126=TYPE2)*(TYPE2&lt;&gt;"")+('Dvd Calendar'!$AH$126=TYPE3)*(TYPE3&lt;&gt;"")+('Dvd Calendar'!$AH$126=TYPE4)*(TYPE4&lt;&gt;"")+('Dvd Calendar'!$AH$126=SPECIAL_LBL)*(INC_SPECIALS="Y"))=0,"",'Dvd Calendar'!$AH$124)))</f>
        <v/>
      </c>
      <c r="AG22" s="110">
        <f>IF(FI22="","",IF(ISNUMBER('Dvd Calendar'!$AI$124)=FALSE,"",IF((('Dvd Calendar'!$AI$126=TYPE1)*(TYPE1&lt;&gt;"")+('Dvd Calendar'!$AI$126=TYPE2)*(TYPE2&lt;&gt;"")+('Dvd Calendar'!$AI$126=TYPE3)*(TYPE3&lt;&gt;"")+('Dvd Calendar'!$AI$126=TYPE4)*(TYPE4&lt;&gt;"")+('Dvd Calendar'!$AI$126=SPECIAL_LBL)*(INC_SPECIALS="Y"))=0,"",'Dvd Calendar'!$AI$124)))</f>
        <v/>
      </c>
      <c r="AH22" s="110">
        <f>IF(FJ22="","",IF(ISNUMBER('Dvd Calendar'!$AJ$124)=FALSE,"",IF((('Dvd Calendar'!$AJ$126=TYPE1)*(TYPE1&lt;&gt;"")+('Dvd Calendar'!$AJ$126=TYPE2)*(TYPE2&lt;&gt;"")+('Dvd Calendar'!$AJ$126=TYPE3)*(TYPE3&lt;&gt;"")+('Dvd Calendar'!$AJ$126=TYPE4)*(TYPE4&lt;&gt;"")+('Dvd Calendar'!$AJ$126=SPECIAL_LBL)*(INC_SPECIALS="Y"))=0,"",'Dvd Calendar'!$AJ$124)))</f>
        <v/>
      </c>
      <c r="AI22" s="110">
        <f>IF(FK22="","",IF(ISNUMBER('Dvd Calendar'!$AK$124)=FALSE,"",IF((('Dvd Calendar'!$AK$126=TYPE1)*(TYPE1&lt;&gt;"")+('Dvd Calendar'!$AK$126=TYPE2)*(TYPE2&lt;&gt;"")+('Dvd Calendar'!$AK$126=TYPE3)*(TYPE3&lt;&gt;"")+('Dvd Calendar'!$AK$126=TYPE4)*(TYPE4&lt;&gt;"")+('Dvd Calendar'!$AK$126=SPECIAL_LBL)*(INC_SPECIALS="Y"))=0,"",'Dvd Calendar'!$AK$124)))</f>
        <v/>
      </c>
      <c r="AJ22" s="110">
        <f>IF(FL22="","",IF(ISNUMBER('Dvd Calendar'!$AL$124)=FALSE,"",IF((('Dvd Calendar'!$AL$126=TYPE1)*(TYPE1&lt;&gt;"")+('Dvd Calendar'!$AL$126=TYPE2)*(TYPE2&lt;&gt;"")+('Dvd Calendar'!$AL$126=TYPE3)*(TYPE3&lt;&gt;"")+('Dvd Calendar'!$AL$126=TYPE4)*(TYPE4&lt;&gt;"")+('Dvd Calendar'!$AL$126=SPECIAL_LBL)*(INC_SPECIALS="Y"))=0,"",'Dvd Calendar'!$AL$124)))</f>
        <v/>
      </c>
      <c r="AK22" s="110">
        <f>IF(FM22="","",IF(ISNUMBER('Dvd Calendar'!$AM$124)=FALSE,"",IF((('Dvd Calendar'!$AM$126=TYPE1)*(TYPE1&lt;&gt;"")+('Dvd Calendar'!$AM$126=TYPE2)*(TYPE2&lt;&gt;"")+('Dvd Calendar'!$AM$126=TYPE3)*(TYPE3&lt;&gt;"")+('Dvd Calendar'!$AM$126=TYPE4)*(TYPE4&lt;&gt;"")+('Dvd Calendar'!$AM$126=SPECIAL_LBL)*(INC_SPECIALS="Y"))=0,"",'Dvd Calendar'!$AM$124)))</f>
        <v/>
      </c>
      <c r="AL22" s="110">
        <f>IF(FN22="","",IF(ISNUMBER('Dvd Calendar'!$AN$124)=FALSE,"",IF((('Dvd Calendar'!$AN$126=TYPE1)*(TYPE1&lt;&gt;"")+('Dvd Calendar'!$AN$126=TYPE2)*(TYPE2&lt;&gt;"")+('Dvd Calendar'!$AN$126=TYPE3)*(TYPE3&lt;&gt;"")+('Dvd Calendar'!$AN$126=TYPE4)*(TYPE4&lt;&gt;"")+('Dvd Calendar'!$AN$126=SPECIAL_LBL)*(INC_SPECIALS="Y"))=0,"",'Dvd Calendar'!$AN$124)))</f>
        <v/>
      </c>
      <c r="AM22" s="110">
        <f>IF(FO22="","",IF(ISNUMBER('Dvd Calendar'!$AO$124)=FALSE,"",IF((('Dvd Calendar'!$AO$126=TYPE1)*(TYPE1&lt;&gt;"")+('Dvd Calendar'!$AO$126=TYPE2)*(TYPE2&lt;&gt;"")+('Dvd Calendar'!$AO$126=TYPE3)*(TYPE3&lt;&gt;"")+('Dvd Calendar'!$AO$126=TYPE4)*(TYPE4&lt;&gt;"")+('Dvd Calendar'!$AO$126=SPECIAL_LBL)*(INC_SPECIALS="Y"))=0,"",'Dvd Calendar'!$AO$124)))</f>
        <v/>
      </c>
      <c r="AN22" s="110">
        <f>IF(FP22="","",IF(ISNUMBER('Dvd Calendar'!$AP$124)=FALSE,"",IF((('Dvd Calendar'!$AP$126=TYPE1)*(TYPE1&lt;&gt;"")+('Dvd Calendar'!$AP$126=TYPE2)*(TYPE2&lt;&gt;"")+('Dvd Calendar'!$AP$126=TYPE3)*(TYPE3&lt;&gt;"")+('Dvd Calendar'!$AP$126=TYPE4)*(TYPE4&lt;&gt;"")+('Dvd Calendar'!$AP$126=SPECIAL_LBL)*(INC_SPECIALS="Y"))=0,"",'Dvd Calendar'!$AP$124)))</f>
        <v/>
      </c>
      <c r="AO22" s="110">
        <f>IF(FQ22="","",IF(ISNUMBER('Dvd Calendar'!$AQ$124)=FALSE,"",IF((('Dvd Calendar'!$AQ$126=TYPE1)*(TYPE1&lt;&gt;"")+('Dvd Calendar'!$AQ$126=TYPE2)*(TYPE2&lt;&gt;"")+('Dvd Calendar'!$AQ$126=TYPE3)*(TYPE3&lt;&gt;"")+('Dvd Calendar'!$AQ$126=TYPE4)*(TYPE4&lt;&gt;"")+('Dvd Calendar'!$AQ$126=SPECIAL_LBL)*(INC_SPECIALS="Y"))=0,"",'Dvd Calendar'!$AQ$124)))</f>
        <v/>
      </c>
      <c r="AP22" s="110">
        <f>IF(FR22="","",IF(ISNUMBER('Dvd Calendar'!$AR$124)=FALSE,"",IF((('Dvd Calendar'!$AR$126=TYPE1)*(TYPE1&lt;&gt;"")+('Dvd Calendar'!$AR$126=TYPE2)*(TYPE2&lt;&gt;"")+('Dvd Calendar'!$AR$126=TYPE3)*(TYPE3&lt;&gt;"")+('Dvd Calendar'!$AR$126=TYPE4)*(TYPE4&lt;&gt;"")+('Dvd Calendar'!$AR$126=SPECIAL_LBL)*(INC_SPECIALS="Y"))=0,"",'Dvd Calendar'!$AR$124)))</f>
        <v/>
      </c>
      <c r="AQ22" s="110">
        <f>IF(FS22="","",IF(ISNUMBER('Dvd Calendar'!$E$129)=FALSE,"",'Dvd Calendar'!$E$129))</f>
        <v/>
      </c>
      <c r="AR22" s="110">
        <f>IF(FT22="","",IF(ISNUMBER('Dvd Calendar'!$F$129)=FALSE,"",'Dvd Calendar'!$F$129))</f>
        <v/>
      </c>
      <c r="AS22" s="110">
        <f>IF(FU22="","",IF(ISNUMBER('Dvd Calendar'!$G$129)=FALSE,"",'Dvd Calendar'!$G$129))</f>
        <v/>
      </c>
      <c r="AT22" s="110">
        <f>IF(FV22="","",IF(ISNUMBER('Dvd Calendar'!$H$129)=FALSE,"",'Dvd Calendar'!$H$129))</f>
        <v/>
      </c>
      <c r="AU22" s="110">
        <f>IF(FW22="","",IF(ISNUMBER('Dvd Calendar'!$I$129)=FALSE,"",'Dvd Calendar'!$I$129))</f>
        <v/>
      </c>
      <c r="AV22" s="110">
        <f>IF(FX22="","",IF(ISNUMBER('Dvd Calendar'!$J$129)=FALSE,"",'Dvd Calendar'!$J$129))</f>
        <v/>
      </c>
      <c r="AW22" s="110">
        <f>IF(FY22="","",IF(ISNUMBER('Dvd Calendar'!$K$129)=FALSE,"",'Dvd Calendar'!$K$129))</f>
        <v/>
      </c>
      <c r="AX22" s="110">
        <f>IF(FZ22="","",IF(ISNUMBER('Dvd Calendar'!$L$129)=FALSE,"",'Dvd Calendar'!$L$129))</f>
        <v/>
      </c>
      <c r="AY22" s="110">
        <f>IF(GA22="","",IF(ISNUMBER('Dvd Calendar'!$M$129)=FALSE,"",'Dvd Calendar'!$M$129))</f>
        <v/>
      </c>
      <c r="AZ22" s="110">
        <f>IF(GB22="","",IF(ISNUMBER('Dvd Calendar'!$N$129)=FALSE,"",'Dvd Calendar'!$N$129))</f>
        <v/>
      </c>
      <c r="BA22" s="110">
        <f>IF(GC22="","",IF(ISNUMBER('Dvd Calendar'!$O$129)=FALSE,"",'Dvd Calendar'!$O$129))</f>
        <v/>
      </c>
      <c r="BB22" s="110">
        <f>IF(GD22="","",IF(ISNUMBER('Dvd Calendar'!$P$129)=FALSE,"",'Dvd Calendar'!$P$129))</f>
        <v/>
      </c>
      <c r="BC22" s="110">
        <f>IF(GE22="","",IF(ISNUMBER('Dvd Calendar'!$Q$129)=FALSE,"",'Dvd Calendar'!$Q$129))</f>
        <v/>
      </c>
      <c r="BD22" s="110">
        <f>IF(GF22="","",IF(ISNUMBER('Dvd Calendar'!$R$129)=FALSE,"",'Dvd Calendar'!$R$129))</f>
        <v/>
      </c>
      <c r="BE22" s="110">
        <f>IF(GG22="","",IF(ISNUMBER('Dvd Calendar'!$S$129)=FALSE,"",'Dvd Calendar'!$S$129))</f>
        <v/>
      </c>
      <c r="BF22" s="110">
        <f>IF(GH22="","",IF(ISNUMBER('Dvd Calendar'!$T$129)=FALSE,"",'Dvd Calendar'!$T$129))</f>
        <v/>
      </c>
      <c r="BG22" s="110">
        <f>IF(GI22="","",IF(ISNUMBER('Dvd Calendar'!$U$129)=FALSE,"",'Dvd Calendar'!$U$129))</f>
        <v/>
      </c>
      <c r="BH22" s="110">
        <f>IF(GJ22="","",IF(ISNUMBER('Dvd Calendar'!$V$129)=FALSE,"",'Dvd Calendar'!$V$129))</f>
        <v/>
      </c>
      <c r="BI22" s="110">
        <f>IF(GK22="","",IF(ISNUMBER('Dvd Calendar'!$W$129)=FALSE,"",'Dvd Calendar'!$W$129))</f>
        <v/>
      </c>
      <c r="BJ22" s="110">
        <f>IF(GL22="","",IF(ISNUMBER('Dvd Calendar'!$X$129)=FALSE,"",'Dvd Calendar'!$X$129))</f>
        <v/>
      </c>
      <c r="BK22" s="110">
        <f>IF(GM22="","",IF(ISNUMBER('Dvd Calendar'!$Y$129)=FALSE,"",'Dvd Calendar'!$Y$129))</f>
        <v/>
      </c>
      <c r="BL22" s="110">
        <f>IF(GN22="","",IF(ISNUMBER('Dvd Calendar'!$Z$129)=FALSE,"",'Dvd Calendar'!$Z$129))</f>
        <v/>
      </c>
      <c r="BM22" s="110">
        <f>IF(GO22="","",IF(ISNUMBER('Dvd Calendar'!$AA$129)=FALSE,"",'Dvd Calendar'!$AA$129))</f>
        <v/>
      </c>
      <c r="BN22" s="110">
        <f>IF(GP22="","",IF(ISNUMBER('Dvd Calendar'!$AB$129)=FALSE,"",'Dvd Calendar'!$AB$129))</f>
        <v/>
      </c>
      <c r="BO22" s="110">
        <f>IF(GQ22="","",IF(ISNUMBER('Dvd Calendar'!$AC$129)=FALSE,"",'Dvd Calendar'!$AC$129))</f>
        <v/>
      </c>
      <c r="BQ22" s="110">
        <f>IF(C22="","",IFERROR(C22*HSI!$B$17*HSI!$G$17/HSI!$B$3,""))</f>
        <v/>
      </c>
      <c r="BR22" s="110">
        <f>IF(D22="","",IFERROR(D22*HSI!$B$17*HSI!$G$17/HSI!$B$3,""))</f>
        <v/>
      </c>
      <c r="BS22" s="110">
        <f>IF(E22="","",IFERROR(E22*HSI!$B$17*HSI!$G$17/HSI!$B$3,""))</f>
        <v/>
      </c>
      <c r="BT22" s="110">
        <f>IF(F22="","",IFERROR(F22*HSI!$B$17*HSI!$G$17/HSI!$B$3,""))</f>
        <v/>
      </c>
      <c r="BU22" s="110">
        <f>IF(G22="","",IFERROR(G22*HSI!$B$17*HSI!$G$17/HSI!$B$3,""))</f>
        <v/>
      </c>
      <c r="BV22" s="110">
        <f>IF(H22="","",IFERROR(H22*HSI!$B$17*HSI!$G$17/HSI!$B$3,""))</f>
        <v/>
      </c>
      <c r="BW22" s="110">
        <f>IF(I22="","",IFERROR(I22*HSI!$B$17*HSI!$G$17/HSI!$B$3,""))</f>
        <v/>
      </c>
      <c r="BX22" s="110">
        <f>IF(J22="","",IFERROR(J22*HSI!$B$17*HSI!$G$17/HSI!$B$3,""))</f>
        <v/>
      </c>
      <c r="BY22" s="110">
        <f>IF(K22="","",IFERROR(K22*HSI!$B$17*HSI!$G$17/HSI!$B$3,""))</f>
        <v/>
      </c>
      <c r="BZ22" s="110">
        <f>IF(L22="","",IFERROR(L22*HSI!$B$17*HSI!$G$17/HSI!$B$3,""))</f>
        <v/>
      </c>
      <c r="CA22" s="110">
        <f>IF(M22="","",IFERROR(M22*HSI!$B$17*HSI!$G$17/HSI!$B$3,""))</f>
        <v/>
      </c>
      <c r="CB22" s="110">
        <f>IF(N22="","",IFERROR(N22*HSI!$B$17*HSI!$G$17/HSI!$B$3,""))</f>
        <v/>
      </c>
      <c r="CC22" s="110">
        <f>IF(O22="","",IFERROR(O22*HSI!$B$17*HSI!$G$17/HSI!$B$3,""))</f>
        <v/>
      </c>
      <c r="CD22" s="110">
        <f>IF(P22="","",IFERROR(P22*HSI!$B$17*HSI!$G$17/HSI!$B$3,""))</f>
        <v/>
      </c>
      <c r="CE22" s="110">
        <f>IF(Q22="","",IFERROR(Q22*HSI!$B$17*HSI!$G$17/HSI!$B$3,""))</f>
        <v/>
      </c>
      <c r="CF22" s="110">
        <f>IF(R22="","",IFERROR(R22*HSI!$B$17*HSI!$G$17/HSI!$B$3,""))</f>
        <v/>
      </c>
      <c r="CG22" s="110">
        <f>IF(S22="","",IFERROR(S22*HSI!$B$17*HSI!$G$17/HSI!$B$3,""))</f>
        <v/>
      </c>
      <c r="CH22" s="110">
        <f>IF(T22="","",IFERROR(T22*HSI!$B$17*HSI!$G$17/HSI!$B$3,""))</f>
        <v/>
      </c>
      <c r="CI22" s="110">
        <f>IF(U22="","",IFERROR(U22*HSI!$B$17*HSI!$G$17/HSI!$B$3,""))</f>
        <v/>
      </c>
      <c r="CJ22" s="110">
        <f>IF(V22="","",IFERROR(V22*HSI!$B$17*HSI!$G$17/HSI!$B$3,""))</f>
        <v/>
      </c>
      <c r="CK22" s="110">
        <f>IF(W22="","",IFERROR(W22*HSI!$B$17*HSI!$G$17/HSI!$B$3,""))</f>
        <v/>
      </c>
      <c r="CL22" s="110">
        <f>IF(X22="","",IFERROR(X22*HSI!$B$17*HSI!$G$17/HSI!$B$3,""))</f>
        <v/>
      </c>
      <c r="CM22" s="110">
        <f>IF(Y22="","",IFERROR(Y22*HSI!$B$17*HSI!$G$17/HSI!$B$3,""))</f>
        <v/>
      </c>
      <c r="CN22" s="110">
        <f>IF(Z22="","",IFERROR(Z22*HSI!$B$17*HSI!$G$17/HSI!$B$3,""))</f>
        <v/>
      </c>
      <c r="CO22" s="110">
        <f>IF(AA22="","",IFERROR(AA22*HSI!$B$17*HSI!$G$17/HSI!$B$3,""))</f>
        <v/>
      </c>
      <c r="CP22" s="110">
        <f>IF(AB22="","",IFERROR(AB22*HSI!$B$17*HSI!$G$17/HSI!$B$3,""))</f>
        <v/>
      </c>
      <c r="CQ22" s="110">
        <f>IF(AC22="","",IFERROR(AC22*HSI!$B$17*HSI!$G$17/HSI!$B$3,""))</f>
        <v/>
      </c>
      <c r="CR22" s="110">
        <f>IF(AD22="","",IFERROR(AD22*HSI!$B$17*HSI!$G$17/HSI!$B$3,""))</f>
        <v/>
      </c>
      <c r="CS22" s="110">
        <f>IF(AE22="","",IFERROR(AE22*HSI!$B$17*HSI!$G$17/HSI!$B$3,""))</f>
        <v/>
      </c>
      <c r="CT22" s="110">
        <f>IF(AF22="","",IFERROR(AF22*HSI!$B$17*HSI!$G$17/HSI!$B$3,""))</f>
        <v/>
      </c>
      <c r="CU22" s="110">
        <f>IF(AG22="","",IFERROR(AG22*HSI!$B$17*HSI!$G$17/HSI!$B$3,""))</f>
        <v/>
      </c>
      <c r="CV22" s="110">
        <f>IF(AH22="","",IFERROR(AH22*HSI!$B$17*HSI!$G$17/HSI!$B$3,""))</f>
        <v/>
      </c>
      <c r="CW22" s="110">
        <f>IF(AI22="","",IFERROR(AI22*HSI!$B$17*HSI!$G$17/HSI!$B$3,""))</f>
        <v/>
      </c>
      <c r="CX22" s="110">
        <f>IF(AJ22="","",IFERROR(AJ22*HSI!$B$17*HSI!$G$17/HSI!$B$3,""))</f>
        <v/>
      </c>
      <c r="CY22" s="110">
        <f>IF(AK22="","",IFERROR(AK22*HSI!$B$17*HSI!$G$17/HSI!$B$3,""))</f>
        <v/>
      </c>
      <c r="CZ22" s="110">
        <f>IF(AL22="","",IFERROR(AL22*HSI!$B$17*HSI!$G$17/HSI!$B$3,""))</f>
        <v/>
      </c>
      <c r="DA22" s="110">
        <f>IF(AM22="","",IFERROR(AM22*HSI!$B$17*HSI!$G$17/HSI!$B$3,""))</f>
        <v/>
      </c>
      <c r="DB22" s="110">
        <f>IF(AN22="","",IFERROR(AN22*HSI!$B$17*HSI!$G$17/HSI!$B$3,""))</f>
        <v/>
      </c>
      <c r="DC22" s="110">
        <f>IF(AO22="","",IFERROR(AO22*HSI!$B$17*HSI!$G$17/HSI!$B$3,""))</f>
        <v/>
      </c>
      <c r="DD22" s="110">
        <f>IF(AP22="","",IFERROR(AP22*HSI!$B$17*HSI!$G$17/HSI!$B$3,""))</f>
        <v/>
      </c>
      <c r="DE22" s="110">
        <f>IF(AQ22="","",IFERROR(AQ22*HSI!$B$17*HSI!$G$17/HSI!$B$3,""))</f>
        <v/>
      </c>
      <c r="DF22" s="110">
        <f>IF(AR22="","",IFERROR(AR22*HSI!$B$17*HSI!$G$17/HSI!$B$3,""))</f>
        <v/>
      </c>
      <c r="DG22" s="110">
        <f>IF(AS22="","",IFERROR(AS22*HSI!$B$17*HSI!$G$17/HSI!$B$3,""))</f>
        <v/>
      </c>
      <c r="DH22" s="110">
        <f>IF(AT22="","",IFERROR(AT22*HSI!$B$17*HSI!$G$17/HSI!$B$3,""))</f>
        <v/>
      </c>
      <c r="DI22" s="110">
        <f>IF(AU22="","",IFERROR(AU22*HSI!$B$17*HSI!$G$17/HSI!$B$3,""))</f>
        <v/>
      </c>
      <c r="DJ22" s="110">
        <f>IF(AV22="","",IFERROR(AV22*HSI!$B$17*HSI!$G$17/HSI!$B$3,""))</f>
        <v/>
      </c>
      <c r="DK22" s="110">
        <f>IF(AW22="","",IFERROR(AW22*HSI!$B$17*HSI!$G$17/HSI!$B$3,""))</f>
        <v/>
      </c>
      <c r="DL22" s="110">
        <f>IF(AX22="","",IFERROR(AX22*HSI!$B$17*HSI!$G$17/HSI!$B$3,""))</f>
        <v/>
      </c>
      <c r="DM22" s="110">
        <f>IF(AY22="","",IFERROR(AY22*HSI!$B$17*HSI!$G$17/HSI!$B$3,""))</f>
        <v/>
      </c>
      <c r="DN22" s="110">
        <f>IF(AZ22="","",IFERROR(AZ22*HSI!$B$17*HSI!$G$17/HSI!$B$3,""))</f>
        <v/>
      </c>
      <c r="DO22" s="110">
        <f>IF(BA22="","",IFERROR(BA22*HSI!$B$17*HSI!$G$17/HSI!$B$3,""))</f>
        <v/>
      </c>
      <c r="DP22" s="110">
        <f>IF(BB22="","",IFERROR(BB22*HSI!$B$17*HSI!$G$17/HSI!$B$3,""))</f>
        <v/>
      </c>
      <c r="DQ22" s="110">
        <f>IF(BC22="","",IFERROR(BC22*HSI!$B$17*HSI!$G$17/HSI!$B$3,""))</f>
        <v/>
      </c>
      <c r="DR22" s="110">
        <f>IF(BD22="","",IFERROR(BD22*HSI!$B$17*HSI!$G$17/HSI!$B$3,""))</f>
        <v/>
      </c>
      <c r="DS22" s="110">
        <f>IF(BE22="","",IFERROR(BE22*HSI!$B$17*HSI!$G$17/HSI!$B$3,""))</f>
        <v/>
      </c>
      <c r="DT22" s="110">
        <f>IF(BF22="","",IFERROR(BF22*HSI!$B$17*HSI!$G$17/HSI!$B$3,""))</f>
        <v/>
      </c>
      <c r="DU22" s="110">
        <f>IF(BG22="","",IFERROR(BG22*HSI!$B$17*HSI!$G$17/HSI!$B$3,""))</f>
        <v/>
      </c>
      <c r="DV22" s="110">
        <f>IF(BH22="","",IFERROR(BH22*HSI!$B$17*HSI!$G$17/HSI!$B$3,""))</f>
        <v/>
      </c>
      <c r="DW22" s="110">
        <f>IF(BI22="","",IFERROR(BI22*HSI!$B$17*HSI!$G$17/HSI!$B$3,""))</f>
        <v/>
      </c>
      <c r="DX22" s="110">
        <f>IF(BJ22="","",IFERROR(BJ22*HSI!$B$17*HSI!$G$17/HSI!$B$3,""))</f>
        <v/>
      </c>
      <c r="DY22" s="110">
        <f>IF(BK22="","",IFERROR(BK22*HSI!$B$17*HSI!$G$17/HSI!$B$3,""))</f>
        <v/>
      </c>
      <c r="DZ22" s="110">
        <f>IF(BL22="","",IFERROR(BL22*HSI!$B$17*HSI!$G$17/HSI!$B$3,""))</f>
        <v/>
      </c>
      <c r="EA22" s="110">
        <f>IF(BM22="","",IFERROR(BM22*HSI!$B$17*HSI!$G$17/HSI!$B$3,""))</f>
        <v/>
      </c>
      <c r="EB22" s="110">
        <f>IF(BN22="","",IFERROR(BN22*HSI!$B$17*HSI!$G$17/HSI!$B$3,""))</f>
        <v/>
      </c>
      <c r="EC22" s="110">
        <f>IF(BO22="","",IFERROR(BO22*HSI!$B$17*HSI!$G$17/HSI!$B$3,""))</f>
        <v/>
      </c>
      <c r="EE22" s="39">
        <f>IF(N('Dvd Calendar'!$E$121)=0,"",IF(('Dvd Calendar'!$E$121&gt;=GRID_FROM)*('Dvd Calendar'!$E$121&lt;=GRID_TO)*((('Dvd Calendar'!$E$121&lt;=VAL_DATE)+(COUNTIF('Dvd Calendar'!$E$128:$AR$128,'Dvd Calendar'!$E$121)=0))&gt;0)=0,"",'Dvd Calendar'!$E$121*1000000000+ISNUMBER('Dvd Calendar'!$E$124)*100000000+('Dvd Calendar'!$E$126=SPECIAL_LBL)*10000000+(N('Dvd Calendar'!$E$120)&gt;0)*(N('Dvd Calendar'!$E$120)&lt;=VAL_SERIAL)*1000000+11*1000+1))</f>
        <v/>
      </c>
      <c r="EF22" s="39">
        <f>IF(N('Dvd Calendar'!$F$121)=0,"",IF(('Dvd Calendar'!$F$121&gt;=GRID_FROM)*('Dvd Calendar'!$F$121&lt;=GRID_TO)*((('Dvd Calendar'!$F$121&lt;=VAL_DATE)+(COUNTIF('Dvd Calendar'!$E$128:$AR$128,'Dvd Calendar'!$F$121)=0))&gt;0)=0,"",'Dvd Calendar'!$F$121*1000000000+ISNUMBER('Dvd Calendar'!$F$124)*100000000+('Dvd Calendar'!$F$126=SPECIAL_LBL)*10000000+(N('Dvd Calendar'!$F$120)&gt;0)*(N('Dvd Calendar'!$F$120)&lt;=VAL_SERIAL)*1000000+11*1000+2))</f>
        <v/>
      </c>
      <c r="EG22" s="39">
        <f>IF(N('Dvd Calendar'!$G$121)=0,"",IF(('Dvd Calendar'!$G$121&gt;=GRID_FROM)*('Dvd Calendar'!$G$121&lt;=GRID_TO)*((('Dvd Calendar'!$G$121&lt;=VAL_DATE)+(COUNTIF('Dvd Calendar'!$E$128:$AR$128,'Dvd Calendar'!$G$121)=0))&gt;0)=0,"",'Dvd Calendar'!$G$121*1000000000+ISNUMBER('Dvd Calendar'!$G$124)*100000000+('Dvd Calendar'!$G$126=SPECIAL_LBL)*10000000+(N('Dvd Calendar'!$G$120)&gt;0)*(N('Dvd Calendar'!$G$120)&lt;=VAL_SERIAL)*1000000+11*1000+3))</f>
        <v/>
      </c>
      <c r="EH22" s="39">
        <f>IF(N('Dvd Calendar'!$H$121)=0,"",IF(('Dvd Calendar'!$H$121&gt;=GRID_FROM)*('Dvd Calendar'!$H$121&lt;=GRID_TO)*((('Dvd Calendar'!$H$121&lt;=VAL_DATE)+(COUNTIF('Dvd Calendar'!$E$128:$AR$128,'Dvd Calendar'!$H$121)=0))&gt;0)=0,"",'Dvd Calendar'!$H$121*1000000000+ISNUMBER('Dvd Calendar'!$H$124)*100000000+('Dvd Calendar'!$H$126=SPECIAL_LBL)*10000000+(N('Dvd Calendar'!$H$120)&gt;0)*(N('Dvd Calendar'!$H$120)&lt;=VAL_SERIAL)*1000000+11*1000+4))</f>
        <v/>
      </c>
      <c r="EI22" s="39">
        <f>IF(N('Dvd Calendar'!$I$121)=0,"",IF(('Dvd Calendar'!$I$121&gt;=GRID_FROM)*('Dvd Calendar'!$I$121&lt;=GRID_TO)*((('Dvd Calendar'!$I$121&lt;=VAL_DATE)+(COUNTIF('Dvd Calendar'!$E$128:$AR$128,'Dvd Calendar'!$I$121)=0))&gt;0)=0,"",'Dvd Calendar'!$I$121*1000000000+ISNUMBER('Dvd Calendar'!$I$124)*100000000+('Dvd Calendar'!$I$126=SPECIAL_LBL)*10000000+(N('Dvd Calendar'!$I$120)&gt;0)*(N('Dvd Calendar'!$I$120)&lt;=VAL_SERIAL)*1000000+11*1000+5))</f>
        <v/>
      </c>
      <c r="EJ22" s="39">
        <f>IF(N('Dvd Calendar'!$J$121)=0,"",IF(('Dvd Calendar'!$J$121&gt;=GRID_FROM)*('Dvd Calendar'!$J$121&lt;=GRID_TO)*((('Dvd Calendar'!$J$121&lt;=VAL_DATE)+(COUNTIF('Dvd Calendar'!$E$128:$AR$128,'Dvd Calendar'!$J$121)=0))&gt;0)=0,"",'Dvd Calendar'!$J$121*1000000000+ISNUMBER('Dvd Calendar'!$J$124)*100000000+('Dvd Calendar'!$J$126=SPECIAL_LBL)*10000000+(N('Dvd Calendar'!$J$120)&gt;0)*(N('Dvd Calendar'!$J$120)&lt;=VAL_SERIAL)*1000000+11*1000+6))</f>
        <v/>
      </c>
      <c r="EK22" s="39">
        <f>IF(N('Dvd Calendar'!$K$121)=0,"",IF(('Dvd Calendar'!$K$121&gt;=GRID_FROM)*('Dvd Calendar'!$K$121&lt;=GRID_TO)*((('Dvd Calendar'!$K$121&lt;=VAL_DATE)+(COUNTIF('Dvd Calendar'!$E$128:$AR$128,'Dvd Calendar'!$K$121)=0))&gt;0)=0,"",'Dvd Calendar'!$K$121*1000000000+ISNUMBER('Dvd Calendar'!$K$124)*100000000+('Dvd Calendar'!$K$126=SPECIAL_LBL)*10000000+(N('Dvd Calendar'!$K$120)&gt;0)*(N('Dvd Calendar'!$K$120)&lt;=VAL_SERIAL)*1000000+11*1000+7))</f>
        <v/>
      </c>
      <c r="EL22" s="39">
        <f>IF(N('Dvd Calendar'!$L$121)=0,"",IF(('Dvd Calendar'!$L$121&gt;=GRID_FROM)*('Dvd Calendar'!$L$121&lt;=GRID_TO)*((('Dvd Calendar'!$L$121&lt;=VAL_DATE)+(COUNTIF('Dvd Calendar'!$E$128:$AR$128,'Dvd Calendar'!$L$121)=0))&gt;0)=0,"",'Dvd Calendar'!$L$121*1000000000+ISNUMBER('Dvd Calendar'!$L$124)*100000000+('Dvd Calendar'!$L$126=SPECIAL_LBL)*10000000+(N('Dvd Calendar'!$L$120)&gt;0)*(N('Dvd Calendar'!$L$120)&lt;=VAL_SERIAL)*1000000+11*1000+8))</f>
        <v/>
      </c>
      <c r="EM22" s="39">
        <f>IF(N('Dvd Calendar'!$M$121)=0,"",IF(('Dvd Calendar'!$M$121&gt;=GRID_FROM)*('Dvd Calendar'!$M$121&lt;=GRID_TO)*((('Dvd Calendar'!$M$121&lt;=VAL_DATE)+(COUNTIF('Dvd Calendar'!$E$128:$AR$128,'Dvd Calendar'!$M$121)=0))&gt;0)=0,"",'Dvd Calendar'!$M$121*1000000000+ISNUMBER('Dvd Calendar'!$M$124)*100000000+('Dvd Calendar'!$M$126=SPECIAL_LBL)*10000000+(N('Dvd Calendar'!$M$120)&gt;0)*(N('Dvd Calendar'!$M$120)&lt;=VAL_SERIAL)*1000000+11*1000+9))</f>
        <v/>
      </c>
      <c r="EN22" s="39">
        <f>IF(N('Dvd Calendar'!$N$121)=0,"",IF(('Dvd Calendar'!$N$121&gt;=GRID_FROM)*('Dvd Calendar'!$N$121&lt;=GRID_TO)*((('Dvd Calendar'!$N$121&lt;=VAL_DATE)+(COUNTIF('Dvd Calendar'!$E$128:$AR$128,'Dvd Calendar'!$N$121)=0))&gt;0)=0,"",'Dvd Calendar'!$N$121*1000000000+ISNUMBER('Dvd Calendar'!$N$124)*100000000+('Dvd Calendar'!$N$126=SPECIAL_LBL)*10000000+(N('Dvd Calendar'!$N$120)&gt;0)*(N('Dvd Calendar'!$N$120)&lt;=VAL_SERIAL)*1000000+11*1000+10))</f>
        <v/>
      </c>
      <c r="EO22" s="39">
        <f>IF(N('Dvd Calendar'!$O$121)=0,"",IF(('Dvd Calendar'!$O$121&gt;=GRID_FROM)*('Dvd Calendar'!$O$121&lt;=GRID_TO)*((('Dvd Calendar'!$O$121&lt;=VAL_DATE)+(COUNTIF('Dvd Calendar'!$E$128:$AR$128,'Dvd Calendar'!$O$121)=0))&gt;0)=0,"",'Dvd Calendar'!$O$121*1000000000+ISNUMBER('Dvd Calendar'!$O$124)*100000000+('Dvd Calendar'!$O$126=SPECIAL_LBL)*10000000+(N('Dvd Calendar'!$O$120)&gt;0)*(N('Dvd Calendar'!$O$120)&lt;=VAL_SERIAL)*1000000+11*1000+11))</f>
        <v/>
      </c>
      <c r="EP22" s="39">
        <f>IF(N('Dvd Calendar'!$P$121)=0,"",IF(('Dvd Calendar'!$P$121&gt;=GRID_FROM)*('Dvd Calendar'!$P$121&lt;=GRID_TO)*((('Dvd Calendar'!$P$121&lt;=VAL_DATE)+(COUNTIF('Dvd Calendar'!$E$128:$AR$128,'Dvd Calendar'!$P$121)=0))&gt;0)=0,"",'Dvd Calendar'!$P$121*1000000000+ISNUMBER('Dvd Calendar'!$P$124)*100000000+('Dvd Calendar'!$P$126=SPECIAL_LBL)*10000000+(N('Dvd Calendar'!$P$120)&gt;0)*(N('Dvd Calendar'!$P$120)&lt;=VAL_SERIAL)*1000000+11*1000+12))</f>
        <v/>
      </c>
      <c r="EQ22" s="39">
        <f>IF(N('Dvd Calendar'!$Q$121)=0,"",IF(('Dvd Calendar'!$Q$121&gt;=GRID_FROM)*('Dvd Calendar'!$Q$121&lt;=GRID_TO)*((('Dvd Calendar'!$Q$121&lt;=VAL_DATE)+(COUNTIF('Dvd Calendar'!$E$128:$AR$128,'Dvd Calendar'!$Q$121)=0))&gt;0)=0,"",'Dvd Calendar'!$Q$121*1000000000+ISNUMBER('Dvd Calendar'!$Q$124)*100000000+('Dvd Calendar'!$Q$126=SPECIAL_LBL)*10000000+(N('Dvd Calendar'!$Q$120)&gt;0)*(N('Dvd Calendar'!$Q$120)&lt;=VAL_SERIAL)*1000000+11*1000+13))</f>
        <v/>
      </c>
      <c r="ER22" s="39">
        <f>IF(N('Dvd Calendar'!$R$121)=0,"",IF(('Dvd Calendar'!$R$121&gt;=GRID_FROM)*('Dvd Calendar'!$R$121&lt;=GRID_TO)*((('Dvd Calendar'!$R$121&lt;=VAL_DATE)+(COUNTIF('Dvd Calendar'!$E$128:$AR$128,'Dvd Calendar'!$R$121)=0))&gt;0)=0,"",'Dvd Calendar'!$R$121*1000000000+ISNUMBER('Dvd Calendar'!$R$124)*100000000+('Dvd Calendar'!$R$126=SPECIAL_LBL)*10000000+(N('Dvd Calendar'!$R$120)&gt;0)*(N('Dvd Calendar'!$R$120)&lt;=VAL_SERIAL)*1000000+11*1000+14))</f>
        <v/>
      </c>
      <c r="ES22" s="39">
        <f>IF(N('Dvd Calendar'!$S$121)=0,"",IF(('Dvd Calendar'!$S$121&gt;=GRID_FROM)*('Dvd Calendar'!$S$121&lt;=GRID_TO)*((('Dvd Calendar'!$S$121&lt;=VAL_DATE)+(COUNTIF('Dvd Calendar'!$E$128:$AR$128,'Dvd Calendar'!$S$121)=0))&gt;0)=0,"",'Dvd Calendar'!$S$121*1000000000+ISNUMBER('Dvd Calendar'!$S$124)*100000000+('Dvd Calendar'!$S$126=SPECIAL_LBL)*10000000+(N('Dvd Calendar'!$S$120)&gt;0)*(N('Dvd Calendar'!$S$120)&lt;=VAL_SERIAL)*1000000+11*1000+15))</f>
        <v/>
      </c>
      <c r="ET22" s="39">
        <f>IF(N('Dvd Calendar'!$T$121)=0,"",IF(('Dvd Calendar'!$T$121&gt;=GRID_FROM)*('Dvd Calendar'!$T$121&lt;=GRID_TO)*((('Dvd Calendar'!$T$121&lt;=VAL_DATE)+(COUNTIF('Dvd Calendar'!$E$128:$AR$128,'Dvd Calendar'!$T$121)=0))&gt;0)=0,"",'Dvd Calendar'!$T$121*1000000000+ISNUMBER('Dvd Calendar'!$T$124)*100000000+('Dvd Calendar'!$T$126=SPECIAL_LBL)*10000000+(N('Dvd Calendar'!$T$120)&gt;0)*(N('Dvd Calendar'!$T$120)&lt;=VAL_SERIAL)*1000000+11*1000+16))</f>
        <v/>
      </c>
      <c r="EU22" s="39">
        <f>IF(N('Dvd Calendar'!$U$121)=0,"",IF(('Dvd Calendar'!$U$121&gt;=GRID_FROM)*('Dvd Calendar'!$U$121&lt;=GRID_TO)*((('Dvd Calendar'!$U$121&lt;=VAL_DATE)+(COUNTIF('Dvd Calendar'!$E$128:$AR$128,'Dvd Calendar'!$U$121)=0))&gt;0)=0,"",'Dvd Calendar'!$U$121*1000000000+ISNUMBER('Dvd Calendar'!$U$124)*100000000+('Dvd Calendar'!$U$126=SPECIAL_LBL)*10000000+(N('Dvd Calendar'!$U$120)&gt;0)*(N('Dvd Calendar'!$U$120)&lt;=VAL_SERIAL)*1000000+11*1000+17))</f>
        <v/>
      </c>
      <c r="EV22" s="39">
        <f>IF(N('Dvd Calendar'!$V$121)=0,"",IF(('Dvd Calendar'!$V$121&gt;=GRID_FROM)*('Dvd Calendar'!$V$121&lt;=GRID_TO)*((('Dvd Calendar'!$V$121&lt;=VAL_DATE)+(COUNTIF('Dvd Calendar'!$E$128:$AR$128,'Dvd Calendar'!$V$121)=0))&gt;0)=0,"",'Dvd Calendar'!$V$121*1000000000+ISNUMBER('Dvd Calendar'!$V$124)*100000000+('Dvd Calendar'!$V$126=SPECIAL_LBL)*10000000+(N('Dvd Calendar'!$V$120)&gt;0)*(N('Dvd Calendar'!$V$120)&lt;=VAL_SERIAL)*1000000+11*1000+18))</f>
        <v/>
      </c>
      <c r="EW22" s="39">
        <f>IF(N('Dvd Calendar'!$W$121)=0,"",IF(('Dvd Calendar'!$W$121&gt;=GRID_FROM)*('Dvd Calendar'!$W$121&lt;=GRID_TO)*((('Dvd Calendar'!$W$121&lt;=VAL_DATE)+(COUNTIF('Dvd Calendar'!$E$128:$AR$128,'Dvd Calendar'!$W$121)=0))&gt;0)=0,"",'Dvd Calendar'!$W$121*1000000000+ISNUMBER('Dvd Calendar'!$W$124)*100000000+('Dvd Calendar'!$W$126=SPECIAL_LBL)*10000000+(N('Dvd Calendar'!$W$120)&gt;0)*(N('Dvd Calendar'!$W$120)&lt;=VAL_SERIAL)*1000000+11*1000+19))</f>
        <v/>
      </c>
      <c r="EX22" s="39">
        <f>IF(N('Dvd Calendar'!$X$121)=0,"",IF(('Dvd Calendar'!$X$121&gt;=GRID_FROM)*('Dvd Calendar'!$X$121&lt;=GRID_TO)*((('Dvd Calendar'!$X$121&lt;=VAL_DATE)+(COUNTIF('Dvd Calendar'!$E$128:$AR$128,'Dvd Calendar'!$X$121)=0))&gt;0)=0,"",'Dvd Calendar'!$X$121*1000000000+ISNUMBER('Dvd Calendar'!$X$124)*100000000+('Dvd Calendar'!$X$126=SPECIAL_LBL)*10000000+(N('Dvd Calendar'!$X$120)&gt;0)*(N('Dvd Calendar'!$X$120)&lt;=VAL_SERIAL)*1000000+11*1000+20))</f>
        <v/>
      </c>
      <c r="EY22" s="39">
        <f>IF(N('Dvd Calendar'!$Y$121)=0,"",IF(('Dvd Calendar'!$Y$121&gt;=GRID_FROM)*('Dvd Calendar'!$Y$121&lt;=GRID_TO)*((('Dvd Calendar'!$Y$121&lt;=VAL_DATE)+(COUNTIF('Dvd Calendar'!$E$128:$AR$128,'Dvd Calendar'!$Y$121)=0))&gt;0)=0,"",'Dvd Calendar'!$Y$121*1000000000+ISNUMBER('Dvd Calendar'!$Y$124)*100000000+('Dvd Calendar'!$Y$126=SPECIAL_LBL)*10000000+(N('Dvd Calendar'!$Y$120)&gt;0)*(N('Dvd Calendar'!$Y$120)&lt;=VAL_SERIAL)*1000000+11*1000+21))</f>
        <v/>
      </c>
      <c r="EZ22" s="39">
        <f>IF(N('Dvd Calendar'!$Z$121)=0,"",IF(('Dvd Calendar'!$Z$121&gt;=GRID_FROM)*('Dvd Calendar'!$Z$121&lt;=GRID_TO)*((('Dvd Calendar'!$Z$121&lt;=VAL_DATE)+(COUNTIF('Dvd Calendar'!$E$128:$AR$128,'Dvd Calendar'!$Z$121)=0))&gt;0)=0,"",'Dvd Calendar'!$Z$121*1000000000+ISNUMBER('Dvd Calendar'!$Z$124)*100000000+('Dvd Calendar'!$Z$126=SPECIAL_LBL)*10000000+(N('Dvd Calendar'!$Z$120)&gt;0)*(N('Dvd Calendar'!$Z$120)&lt;=VAL_SERIAL)*1000000+11*1000+22))</f>
        <v/>
      </c>
      <c r="FA22" s="39">
        <f>IF(N('Dvd Calendar'!$AA$121)=0,"",IF(('Dvd Calendar'!$AA$121&gt;=GRID_FROM)*('Dvd Calendar'!$AA$121&lt;=GRID_TO)*((('Dvd Calendar'!$AA$121&lt;=VAL_DATE)+(COUNTIF('Dvd Calendar'!$E$128:$AR$128,'Dvd Calendar'!$AA$121)=0))&gt;0)=0,"",'Dvd Calendar'!$AA$121*1000000000+ISNUMBER('Dvd Calendar'!$AA$124)*100000000+('Dvd Calendar'!$AA$126=SPECIAL_LBL)*10000000+(N('Dvd Calendar'!$AA$120)&gt;0)*(N('Dvd Calendar'!$AA$120)&lt;=VAL_SERIAL)*1000000+11*1000+23))</f>
        <v/>
      </c>
      <c r="FB22" s="39">
        <f>IF(N('Dvd Calendar'!$AB$121)=0,"",IF(('Dvd Calendar'!$AB$121&gt;=GRID_FROM)*('Dvd Calendar'!$AB$121&lt;=GRID_TO)*((('Dvd Calendar'!$AB$121&lt;=VAL_DATE)+(COUNTIF('Dvd Calendar'!$E$128:$AR$128,'Dvd Calendar'!$AB$121)=0))&gt;0)=0,"",'Dvd Calendar'!$AB$121*1000000000+ISNUMBER('Dvd Calendar'!$AB$124)*100000000+('Dvd Calendar'!$AB$126=SPECIAL_LBL)*10000000+(N('Dvd Calendar'!$AB$120)&gt;0)*(N('Dvd Calendar'!$AB$120)&lt;=VAL_SERIAL)*1000000+11*1000+24))</f>
        <v/>
      </c>
      <c r="FC22" s="39">
        <f>IF(N('Dvd Calendar'!$AC$121)=0,"",IF(('Dvd Calendar'!$AC$121&gt;=GRID_FROM)*('Dvd Calendar'!$AC$121&lt;=GRID_TO)*((('Dvd Calendar'!$AC$121&lt;=VAL_DATE)+(COUNTIF('Dvd Calendar'!$E$128:$AR$128,'Dvd Calendar'!$AC$121)=0))&gt;0)=0,"",'Dvd Calendar'!$AC$121*1000000000+ISNUMBER('Dvd Calendar'!$AC$124)*100000000+('Dvd Calendar'!$AC$126=SPECIAL_LBL)*10000000+(N('Dvd Calendar'!$AC$120)&gt;0)*(N('Dvd Calendar'!$AC$120)&lt;=VAL_SERIAL)*1000000+11*1000+25))</f>
        <v/>
      </c>
      <c r="FD22" s="39">
        <f>IF(N('Dvd Calendar'!$AD$121)=0,"",IF(('Dvd Calendar'!$AD$121&gt;=GRID_FROM)*('Dvd Calendar'!$AD$121&lt;=GRID_TO)*((('Dvd Calendar'!$AD$121&lt;=VAL_DATE)+(COUNTIF('Dvd Calendar'!$E$128:$AR$128,'Dvd Calendar'!$AD$121)=0))&gt;0)=0,"",'Dvd Calendar'!$AD$121*1000000000+ISNUMBER('Dvd Calendar'!$AD$124)*100000000+('Dvd Calendar'!$AD$126=SPECIAL_LBL)*10000000+(N('Dvd Calendar'!$AD$120)&gt;0)*(N('Dvd Calendar'!$AD$120)&lt;=VAL_SERIAL)*1000000+11*1000+26))</f>
        <v/>
      </c>
      <c r="FE22" s="39">
        <f>IF(N('Dvd Calendar'!$AE$121)=0,"",IF(('Dvd Calendar'!$AE$121&gt;=GRID_FROM)*('Dvd Calendar'!$AE$121&lt;=GRID_TO)*((('Dvd Calendar'!$AE$121&lt;=VAL_DATE)+(COUNTIF('Dvd Calendar'!$E$128:$AR$128,'Dvd Calendar'!$AE$121)=0))&gt;0)=0,"",'Dvd Calendar'!$AE$121*1000000000+ISNUMBER('Dvd Calendar'!$AE$124)*100000000+('Dvd Calendar'!$AE$126=SPECIAL_LBL)*10000000+(N('Dvd Calendar'!$AE$120)&gt;0)*(N('Dvd Calendar'!$AE$120)&lt;=VAL_SERIAL)*1000000+11*1000+27))</f>
        <v/>
      </c>
      <c r="FF22" s="39">
        <f>IF(N('Dvd Calendar'!$AF$121)=0,"",IF(('Dvd Calendar'!$AF$121&gt;=GRID_FROM)*('Dvd Calendar'!$AF$121&lt;=GRID_TO)*((('Dvd Calendar'!$AF$121&lt;=VAL_DATE)+(COUNTIF('Dvd Calendar'!$E$128:$AR$128,'Dvd Calendar'!$AF$121)=0))&gt;0)=0,"",'Dvd Calendar'!$AF$121*1000000000+ISNUMBER('Dvd Calendar'!$AF$124)*100000000+('Dvd Calendar'!$AF$126=SPECIAL_LBL)*10000000+(N('Dvd Calendar'!$AF$120)&gt;0)*(N('Dvd Calendar'!$AF$120)&lt;=VAL_SERIAL)*1000000+11*1000+28))</f>
        <v/>
      </c>
      <c r="FG22" s="39">
        <f>IF(N('Dvd Calendar'!$AG$121)=0,"",IF(('Dvd Calendar'!$AG$121&gt;=GRID_FROM)*('Dvd Calendar'!$AG$121&lt;=GRID_TO)*((('Dvd Calendar'!$AG$121&lt;=VAL_DATE)+(COUNTIF('Dvd Calendar'!$E$128:$AR$128,'Dvd Calendar'!$AG$121)=0))&gt;0)=0,"",'Dvd Calendar'!$AG$121*1000000000+ISNUMBER('Dvd Calendar'!$AG$124)*100000000+('Dvd Calendar'!$AG$126=SPECIAL_LBL)*10000000+(N('Dvd Calendar'!$AG$120)&gt;0)*(N('Dvd Calendar'!$AG$120)&lt;=VAL_SERIAL)*1000000+11*1000+29))</f>
        <v/>
      </c>
      <c r="FH22" s="39">
        <f>IF(N('Dvd Calendar'!$AH$121)=0,"",IF(('Dvd Calendar'!$AH$121&gt;=GRID_FROM)*('Dvd Calendar'!$AH$121&lt;=GRID_TO)*((('Dvd Calendar'!$AH$121&lt;=VAL_DATE)+(COUNTIF('Dvd Calendar'!$E$128:$AR$128,'Dvd Calendar'!$AH$121)=0))&gt;0)=0,"",'Dvd Calendar'!$AH$121*1000000000+ISNUMBER('Dvd Calendar'!$AH$124)*100000000+('Dvd Calendar'!$AH$126=SPECIAL_LBL)*10000000+(N('Dvd Calendar'!$AH$120)&gt;0)*(N('Dvd Calendar'!$AH$120)&lt;=VAL_SERIAL)*1000000+11*1000+30))</f>
        <v/>
      </c>
      <c r="FI22" s="39">
        <f>IF(N('Dvd Calendar'!$AI$121)=0,"",IF(('Dvd Calendar'!$AI$121&gt;=GRID_FROM)*('Dvd Calendar'!$AI$121&lt;=GRID_TO)*((('Dvd Calendar'!$AI$121&lt;=VAL_DATE)+(COUNTIF('Dvd Calendar'!$E$128:$AR$128,'Dvd Calendar'!$AI$121)=0))&gt;0)=0,"",'Dvd Calendar'!$AI$121*1000000000+ISNUMBER('Dvd Calendar'!$AI$124)*100000000+('Dvd Calendar'!$AI$126=SPECIAL_LBL)*10000000+(N('Dvd Calendar'!$AI$120)&gt;0)*(N('Dvd Calendar'!$AI$120)&lt;=VAL_SERIAL)*1000000+11*1000+31))</f>
        <v/>
      </c>
      <c r="FJ22" s="39">
        <f>IF(N('Dvd Calendar'!$AJ$121)=0,"",IF(('Dvd Calendar'!$AJ$121&gt;=GRID_FROM)*('Dvd Calendar'!$AJ$121&lt;=GRID_TO)*((('Dvd Calendar'!$AJ$121&lt;=VAL_DATE)+(COUNTIF('Dvd Calendar'!$E$128:$AR$128,'Dvd Calendar'!$AJ$121)=0))&gt;0)=0,"",'Dvd Calendar'!$AJ$121*1000000000+ISNUMBER('Dvd Calendar'!$AJ$124)*100000000+('Dvd Calendar'!$AJ$126=SPECIAL_LBL)*10000000+(N('Dvd Calendar'!$AJ$120)&gt;0)*(N('Dvd Calendar'!$AJ$120)&lt;=VAL_SERIAL)*1000000+11*1000+32))</f>
        <v/>
      </c>
      <c r="FK22" s="39">
        <f>IF(N('Dvd Calendar'!$AK$121)=0,"",IF(('Dvd Calendar'!$AK$121&gt;=GRID_FROM)*('Dvd Calendar'!$AK$121&lt;=GRID_TO)*((('Dvd Calendar'!$AK$121&lt;=VAL_DATE)+(COUNTIF('Dvd Calendar'!$E$128:$AR$128,'Dvd Calendar'!$AK$121)=0))&gt;0)=0,"",'Dvd Calendar'!$AK$121*1000000000+ISNUMBER('Dvd Calendar'!$AK$124)*100000000+('Dvd Calendar'!$AK$126=SPECIAL_LBL)*10000000+(N('Dvd Calendar'!$AK$120)&gt;0)*(N('Dvd Calendar'!$AK$120)&lt;=VAL_SERIAL)*1000000+11*1000+33))</f>
        <v/>
      </c>
      <c r="FL22" s="39">
        <f>IF(N('Dvd Calendar'!$AL$121)=0,"",IF(('Dvd Calendar'!$AL$121&gt;=GRID_FROM)*('Dvd Calendar'!$AL$121&lt;=GRID_TO)*((('Dvd Calendar'!$AL$121&lt;=VAL_DATE)+(COUNTIF('Dvd Calendar'!$E$128:$AR$128,'Dvd Calendar'!$AL$121)=0))&gt;0)=0,"",'Dvd Calendar'!$AL$121*1000000000+ISNUMBER('Dvd Calendar'!$AL$124)*100000000+('Dvd Calendar'!$AL$126=SPECIAL_LBL)*10000000+(N('Dvd Calendar'!$AL$120)&gt;0)*(N('Dvd Calendar'!$AL$120)&lt;=VAL_SERIAL)*1000000+11*1000+34))</f>
        <v/>
      </c>
      <c r="FM22" s="39">
        <f>IF(N('Dvd Calendar'!$AM$121)=0,"",IF(('Dvd Calendar'!$AM$121&gt;=GRID_FROM)*('Dvd Calendar'!$AM$121&lt;=GRID_TO)*((('Dvd Calendar'!$AM$121&lt;=VAL_DATE)+(COUNTIF('Dvd Calendar'!$E$128:$AR$128,'Dvd Calendar'!$AM$121)=0))&gt;0)=0,"",'Dvd Calendar'!$AM$121*1000000000+ISNUMBER('Dvd Calendar'!$AM$124)*100000000+('Dvd Calendar'!$AM$126=SPECIAL_LBL)*10000000+(N('Dvd Calendar'!$AM$120)&gt;0)*(N('Dvd Calendar'!$AM$120)&lt;=VAL_SERIAL)*1000000+11*1000+35))</f>
        <v/>
      </c>
      <c r="FN22" s="39">
        <f>IF(N('Dvd Calendar'!$AN$121)=0,"",IF(('Dvd Calendar'!$AN$121&gt;=GRID_FROM)*('Dvd Calendar'!$AN$121&lt;=GRID_TO)*((('Dvd Calendar'!$AN$121&lt;=VAL_DATE)+(COUNTIF('Dvd Calendar'!$E$128:$AR$128,'Dvd Calendar'!$AN$121)=0))&gt;0)=0,"",'Dvd Calendar'!$AN$121*1000000000+ISNUMBER('Dvd Calendar'!$AN$124)*100000000+('Dvd Calendar'!$AN$126=SPECIAL_LBL)*10000000+(N('Dvd Calendar'!$AN$120)&gt;0)*(N('Dvd Calendar'!$AN$120)&lt;=VAL_SERIAL)*1000000+11*1000+36))</f>
        <v/>
      </c>
      <c r="FO22" s="39">
        <f>IF(N('Dvd Calendar'!$AO$121)=0,"",IF(('Dvd Calendar'!$AO$121&gt;=GRID_FROM)*('Dvd Calendar'!$AO$121&lt;=GRID_TO)*((('Dvd Calendar'!$AO$121&lt;=VAL_DATE)+(COUNTIF('Dvd Calendar'!$E$128:$AR$128,'Dvd Calendar'!$AO$121)=0))&gt;0)=0,"",'Dvd Calendar'!$AO$121*1000000000+ISNUMBER('Dvd Calendar'!$AO$124)*100000000+('Dvd Calendar'!$AO$126=SPECIAL_LBL)*10000000+(N('Dvd Calendar'!$AO$120)&gt;0)*(N('Dvd Calendar'!$AO$120)&lt;=VAL_SERIAL)*1000000+11*1000+37))</f>
        <v/>
      </c>
      <c r="FP22" s="39">
        <f>IF(N('Dvd Calendar'!$AP$121)=0,"",IF(('Dvd Calendar'!$AP$121&gt;=GRID_FROM)*('Dvd Calendar'!$AP$121&lt;=GRID_TO)*((('Dvd Calendar'!$AP$121&lt;=VAL_DATE)+(COUNTIF('Dvd Calendar'!$E$128:$AR$128,'Dvd Calendar'!$AP$121)=0))&gt;0)=0,"",'Dvd Calendar'!$AP$121*1000000000+ISNUMBER('Dvd Calendar'!$AP$124)*100000000+('Dvd Calendar'!$AP$126=SPECIAL_LBL)*10000000+(N('Dvd Calendar'!$AP$120)&gt;0)*(N('Dvd Calendar'!$AP$120)&lt;=VAL_SERIAL)*1000000+11*1000+38))</f>
        <v/>
      </c>
      <c r="FQ22" s="39">
        <f>IF(N('Dvd Calendar'!$AQ$121)=0,"",IF(('Dvd Calendar'!$AQ$121&gt;=GRID_FROM)*('Dvd Calendar'!$AQ$121&lt;=GRID_TO)*((('Dvd Calendar'!$AQ$121&lt;=VAL_DATE)+(COUNTIF('Dvd Calendar'!$E$128:$AR$128,'Dvd Calendar'!$AQ$121)=0))&gt;0)=0,"",'Dvd Calendar'!$AQ$121*1000000000+ISNUMBER('Dvd Calendar'!$AQ$124)*100000000+('Dvd Calendar'!$AQ$126=SPECIAL_LBL)*10000000+(N('Dvd Calendar'!$AQ$120)&gt;0)*(N('Dvd Calendar'!$AQ$120)&lt;=VAL_SERIAL)*1000000+11*1000+39))</f>
        <v/>
      </c>
      <c r="FR22" s="39">
        <f>IF(N('Dvd Calendar'!$AR$121)=0,"",IF(('Dvd Calendar'!$AR$121&gt;=GRID_FROM)*('Dvd Calendar'!$AR$121&lt;=GRID_TO)*((('Dvd Calendar'!$AR$121&lt;=VAL_DATE)+(COUNTIF('Dvd Calendar'!$E$128:$AR$128,'Dvd Calendar'!$AR$121)=0))&gt;0)=0,"",'Dvd Calendar'!$AR$121*1000000000+ISNUMBER('Dvd Calendar'!$AR$124)*100000000+('Dvd Calendar'!$AR$126=SPECIAL_LBL)*10000000+(N('Dvd Calendar'!$AR$120)&gt;0)*(N('Dvd Calendar'!$AR$120)&lt;=VAL_SERIAL)*1000000+11*1000+40))</f>
        <v/>
      </c>
      <c r="FS22" s="39">
        <f>IF(N('Dvd Calendar'!$E$128)=0,"",IF(('Dvd Calendar'!$E$128&gt;=GRID_FROM)*('Dvd Calendar'!$E$128&lt;=GRID_TO)*('Dvd Calendar'!$E$128&gt;VAL_DATE)=0,"",'Dvd Calendar'!$E$128*1000000000+ISNUMBER('Dvd Calendar'!$E$129)*100000000+0*10000000+(N('Dvd Calendar'!$E$127)&gt;0)*(N('Dvd Calendar'!$E$127)&lt;=VAL_SERIAL)*1000000+11*1000+41))</f>
        <v/>
      </c>
      <c r="FT22" s="39">
        <f>IF(N('Dvd Calendar'!$F$128)=0,"",IF(('Dvd Calendar'!$F$128&gt;=GRID_FROM)*('Dvd Calendar'!$F$128&lt;=GRID_TO)*('Dvd Calendar'!$F$128&gt;VAL_DATE)=0,"",'Dvd Calendar'!$F$128*1000000000+ISNUMBER('Dvd Calendar'!$F$129)*100000000+0*10000000+(N('Dvd Calendar'!$F$127)&gt;0)*(N('Dvd Calendar'!$F$127)&lt;=VAL_SERIAL)*1000000+11*1000+42))</f>
        <v/>
      </c>
      <c r="FU22" s="39">
        <f>IF(N('Dvd Calendar'!$G$128)=0,"",IF(('Dvd Calendar'!$G$128&gt;=GRID_FROM)*('Dvd Calendar'!$G$128&lt;=GRID_TO)*('Dvd Calendar'!$G$128&gt;VAL_DATE)=0,"",'Dvd Calendar'!$G$128*1000000000+ISNUMBER('Dvd Calendar'!$G$129)*100000000+0*10000000+(N('Dvd Calendar'!$G$127)&gt;0)*(N('Dvd Calendar'!$G$127)&lt;=VAL_SERIAL)*1000000+11*1000+43))</f>
        <v/>
      </c>
      <c r="FV22" s="39">
        <f>IF(N('Dvd Calendar'!$H$128)=0,"",IF(('Dvd Calendar'!$H$128&gt;=GRID_FROM)*('Dvd Calendar'!$H$128&lt;=GRID_TO)*('Dvd Calendar'!$H$128&gt;VAL_DATE)=0,"",'Dvd Calendar'!$H$128*1000000000+ISNUMBER('Dvd Calendar'!$H$129)*100000000+0*10000000+(N('Dvd Calendar'!$H$127)&gt;0)*(N('Dvd Calendar'!$H$127)&lt;=VAL_SERIAL)*1000000+11*1000+44))</f>
        <v/>
      </c>
      <c r="FW22" s="39">
        <f>IF(N('Dvd Calendar'!$I$128)=0,"",IF(('Dvd Calendar'!$I$128&gt;=GRID_FROM)*('Dvd Calendar'!$I$128&lt;=GRID_TO)*('Dvd Calendar'!$I$128&gt;VAL_DATE)=0,"",'Dvd Calendar'!$I$128*1000000000+ISNUMBER('Dvd Calendar'!$I$129)*100000000+0*10000000+(N('Dvd Calendar'!$I$127)&gt;0)*(N('Dvd Calendar'!$I$127)&lt;=VAL_SERIAL)*1000000+11*1000+45))</f>
        <v/>
      </c>
      <c r="FX22" s="39">
        <f>IF(N('Dvd Calendar'!$J$128)=0,"",IF(('Dvd Calendar'!$J$128&gt;=GRID_FROM)*('Dvd Calendar'!$J$128&lt;=GRID_TO)*('Dvd Calendar'!$J$128&gt;VAL_DATE)=0,"",'Dvd Calendar'!$J$128*1000000000+ISNUMBER('Dvd Calendar'!$J$129)*100000000+0*10000000+(N('Dvd Calendar'!$J$127)&gt;0)*(N('Dvd Calendar'!$J$127)&lt;=VAL_SERIAL)*1000000+11*1000+46))</f>
        <v/>
      </c>
      <c r="FY22" s="39">
        <f>IF(N('Dvd Calendar'!$K$128)=0,"",IF(('Dvd Calendar'!$K$128&gt;=GRID_FROM)*('Dvd Calendar'!$K$128&lt;=GRID_TO)*('Dvd Calendar'!$K$128&gt;VAL_DATE)=0,"",'Dvd Calendar'!$K$128*1000000000+ISNUMBER('Dvd Calendar'!$K$129)*100000000+0*10000000+(N('Dvd Calendar'!$K$127)&gt;0)*(N('Dvd Calendar'!$K$127)&lt;=VAL_SERIAL)*1000000+11*1000+47))</f>
        <v/>
      </c>
      <c r="FZ22" s="39">
        <f>IF(N('Dvd Calendar'!$L$128)=0,"",IF(('Dvd Calendar'!$L$128&gt;=GRID_FROM)*('Dvd Calendar'!$L$128&lt;=GRID_TO)*('Dvd Calendar'!$L$128&gt;VAL_DATE)=0,"",'Dvd Calendar'!$L$128*1000000000+ISNUMBER('Dvd Calendar'!$L$129)*100000000+0*10000000+(N('Dvd Calendar'!$L$127)&gt;0)*(N('Dvd Calendar'!$L$127)&lt;=VAL_SERIAL)*1000000+11*1000+48))</f>
        <v/>
      </c>
      <c r="GA22" s="39">
        <f>IF(N('Dvd Calendar'!$M$128)=0,"",IF(('Dvd Calendar'!$M$128&gt;=GRID_FROM)*('Dvd Calendar'!$M$128&lt;=GRID_TO)*('Dvd Calendar'!$M$128&gt;VAL_DATE)=0,"",'Dvd Calendar'!$M$128*1000000000+ISNUMBER('Dvd Calendar'!$M$129)*100000000+0*10000000+(N('Dvd Calendar'!$M$127)&gt;0)*(N('Dvd Calendar'!$M$127)&lt;=VAL_SERIAL)*1000000+11*1000+49))</f>
        <v/>
      </c>
      <c r="GB22" s="39">
        <f>IF(N('Dvd Calendar'!$N$128)=0,"",IF(('Dvd Calendar'!$N$128&gt;=GRID_FROM)*('Dvd Calendar'!$N$128&lt;=GRID_TO)*('Dvd Calendar'!$N$128&gt;VAL_DATE)=0,"",'Dvd Calendar'!$N$128*1000000000+ISNUMBER('Dvd Calendar'!$N$129)*100000000+0*10000000+(N('Dvd Calendar'!$N$127)&gt;0)*(N('Dvd Calendar'!$N$127)&lt;=VAL_SERIAL)*1000000+11*1000+50))</f>
        <v/>
      </c>
      <c r="GC22" s="39">
        <f>IF(N('Dvd Calendar'!$O$128)=0,"",IF(('Dvd Calendar'!$O$128&gt;=GRID_FROM)*('Dvd Calendar'!$O$128&lt;=GRID_TO)*('Dvd Calendar'!$O$128&gt;VAL_DATE)=0,"",'Dvd Calendar'!$O$128*1000000000+ISNUMBER('Dvd Calendar'!$O$129)*100000000+0*10000000+(N('Dvd Calendar'!$O$127)&gt;0)*(N('Dvd Calendar'!$O$127)&lt;=VAL_SERIAL)*1000000+11*1000+51))</f>
        <v/>
      </c>
      <c r="GD22" s="39">
        <f>IF(N('Dvd Calendar'!$P$128)=0,"",IF(('Dvd Calendar'!$P$128&gt;=GRID_FROM)*('Dvd Calendar'!$P$128&lt;=GRID_TO)*('Dvd Calendar'!$P$128&gt;VAL_DATE)=0,"",'Dvd Calendar'!$P$128*1000000000+ISNUMBER('Dvd Calendar'!$P$129)*100000000+0*10000000+(N('Dvd Calendar'!$P$127)&gt;0)*(N('Dvd Calendar'!$P$127)&lt;=VAL_SERIAL)*1000000+11*1000+52))</f>
        <v/>
      </c>
      <c r="GE22" s="39">
        <f>IF(N('Dvd Calendar'!$Q$128)=0,"",IF(('Dvd Calendar'!$Q$128&gt;=GRID_FROM)*('Dvd Calendar'!$Q$128&lt;=GRID_TO)*('Dvd Calendar'!$Q$128&gt;VAL_DATE)=0,"",'Dvd Calendar'!$Q$128*1000000000+ISNUMBER('Dvd Calendar'!$Q$129)*100000000+0*10000000+(N('Dvd Calendar'!$Q$127)&gt;0)*(N('Dvd Calendar'!$Q$127)&lt;=VAL_SERIAL)*1000000+11*1000+53))</f>
        <v/>
      </c>
      <c r="GF22" s="39">
        <f>IF(N('Dvd Calendar'!$R$128)=0,"",IF(('Dvd Calendar'!$R$128&gt;=GRID_FROM)*('Dvd Calendar'!$R$128&lt;=GRID_TO)*('Dvd Calendar'!$R$128&gt;VAL_DATE)=0,"",'Dvd Calendar'!$R$128*1000000000+ISNUMBER('Dvd Calendar'!$R$129)*100000000+0*10000000+(N('Dvd Calendar'!$R$127)&gt;0)*(N('Dvd Calendar'!$R$127)&lt;=VAL_SERIAL)*1000000+11*1000+54))</f>
        <v/>
      </c>
      <c r="GG22" s="39">
        <f>IF(N('Dvd Calendar'!$S$128)=0,"",IF(('Dvd Calendar'!$S$128&gt;=GRID_FROM)*('Dvd Calendar'!$S$128&lt;=GRID_TO)*('Dvd Calendar'!$S$128&gt;VAL_DATE)=0,"",'Dvd Calendar'!$S$128*1000000000+ISNUMBER('Dvd Calendar'!$S$129)*100000000+0*10000000+(N('Dvd Calendar'!$S$127)&gt;0)*(N('Dvd Calendar'!$S$127)&lt;=VAL_SERIAL)*1000000+11*1000+55))</f>
        <v/>
      </c>
      <c r="GH22" s="39">
        <f>IF(N('Dvd Calendar'!$T$128)=0,"",IF(('Dvd Calendar'!$T$128&gt;=GRID_FROM)*('Dvd Calendar'!$T$128&lt;=GRID_TO)*('Dvd Calendar'!$T$128&gt;VAL_DATE)=0,"",'Dvd Calendar'!$T$128*1000000000+ISNUMBER('Dvd Calendar'!$T$129)*100000000+0*10000000+(N('Dvd Calendar'!$T$127)&gt;0)*(N('Dvd Calendar'!$T$127)&lt;=VAL_SERIAL)*1000000+11*1000+56))</f>
        <v/>
      </c>
      <c r="GI22" s="39">
        <f>IF(N('Dvd Calendar'!$U$128)=0,"",IF(('Dvd Calendar'!$U$128&gt;=GRID_FROM)*('Dvd Calendar'!$U$128&lt;=GRID_TO)*('Dvd Calendar'!$U$128&gt;VAL_DATE)=0,"",'Dvd Calendar'!$U$128*1000000000+ISNUMBER('Dvd Calendar'!$U$129)*100000000+0*10000000+(N('Dvd Calendar'!$U$127)&gt;0)*(N('Dvd Calendar'!$U$127)&lt;=VAL_SERIAL)*1000000+11*1000+57))</f>
        <v/>
      </c>
      <c r="GJ22" s="39">
        <f>IF(N('Dvd Calendar'!$V$128)=0,"",IF(('Dvd Calendar'!$V$128&gt;=GRID_FROM)*('Dvd Calendar'!$V$128&lt;=GRID_TO)*('Dvd Calendar'!$V$128&gt;VAL_DATE)=0,"",'Dvd Calendar'!$V$128*1000000000+ISNUMBER('Dvd Calendar'!$V$129)*100000000+0*10000000+(N('Dvd Calendar'!$V$127)&gt;0)*(N('Dvd Calendar'!$V$127)&lt;=VAL_SERIAL)*1000000+11*1000+58))</f>
        <v/>
      </c>
      <c r="GK22" s="39">
        <f>IF(N('Dvd Calendar'!$W$128)=0,"",IF(('Dvd Calendar'!$W$128&gt;=GRID_FROM)*('Dvd Calendar'!$W$128&lt;=GRID_TO)*('Dvd Calendar'!$W$128&gt;VAL_DATE)=0,"",'Dvd Calendar'!$W$128*1000000000+ISNUMBER('Dvd Calendar'!$W$129)*100000000+0*10000000+(N('Dvd Calendar'!$W$127)&gt;0)*(N('Dvd Calendar'!$W$127)&lt;=VAL_SERIAL)*1000000+11*1000+59))</f>
        <v/>
      </c>
      <c r="GL22" s="39">
        <f>IF(N('Dvd Calendar'!$X$128)=0,"",IF(('Dvd Calendar'!$X$128&gt;=GRID_FROM)*('Dvd Calendar'!$X$128&lt;=GRID_TO)*('Dvd Calendar'!$X$128&gt;VAL_DATE)=0,"",'Dvd Calendar'!$X$128*1000000000+ISNUMBER('Dvd Calendar'!$X$129)*100000000+0*10000000+(N('Dvd Calendar'!$X$127)&gt;0)*(N('Dvd Calendar'!$X$127)&lt;=VAL_SERIAL)*1000000+11*1000+60))</f>
        <v/>
      </c>
      <c r="GM22" s="39">
        <f>IF(N('Dvd Calendar'!$Y$128)=0,"",IF(('Dvd Calendar'!$Y$128&gt;=GRID_FROM)*('Dvd Calendar'!$Y$128&lt;=GRID_TO)*('Dvd Calendar'!$Y$128&gt;VAL_DATE)=0,"",'Dvd Calendar'!$Y$128*1000000000+ISNUMBER('Dvd Calendar'!$Y$129)*100000000+0*10000000+(N('Dvd Calendar'!$Y$127)&gt;0)*(N('Dvd Calendar'!$Y$127)&lt;=VAL_SERIAL)*1000000+11*1000+61))</f>
        <v/>
      </c>
      <c r="GN22" s="39">
        <f>IF(N('Dvd Calendar'!$Z$128)=0,"",IF(('Dvd Calendar'!$Z$128&gt;=GRID_FROM)*('Dvd Calendar'!$Z$128&lt;=GRID_TO)*('Dvd Calendar'!$Z$128&gt;VAL_DATE)=0,"",'Dvd Calendar'!$Z$128*1000000000+ISNUMBER('Dvd Calendar'!$Z$129)*100000000+0*10000000+(N('Dvd Calendar'!$Z$127)&gt;0)*(N('Dvd Calendar'!$Z$127)&lt;=VAL_SERIAL)*1000000+11*1000+62))</f>
        <v/>
      </c>
      <c r="GO22" s="39">
        <f>IF(N('Dvd Calendar'!$AA$128)=0,"",IF(('Dvd Calendar'!$AA$128&gt;=GRID_FROM)*('Dvd Calendar'!$AA$128&lt;=GRID_TO)*('Dvd Calendar'!$AA$128&gt;VAL_DATE)=0,"",'Dvd Calendar'!$AA$128*1000000000+ISNUMBER('Dvd Calendar'!$AA$129)*100000000+0*10000000+(N('Dvd Calendar'!$AA$127)&gt;0)*(N('Dvd Calendar'!$AA$127)&lt;=VAL_SERIAL)*1000000+11*1000+63))</f>
        <v/>
      </c>
      <c r="GP22" s="39">
        <f>IF(N('Dvd Calendar'!$AB$128)=0,"",IF(('Dvd Calendar'!$AB$128&gt;=GRID_FROM)*('Dvd Calendar'!$AB$128&lt;=GRID_TO)*('Dvd Calendar'!$AB$128&gt;VAL_DATE)=0,"",'Dvd Calendar'!$AB$128*1000000000+ISNUMBER('Dvd Calendar'!$AB$129)*100000000+0*10000000+(N('Dvd Calendar'!$AB$127)&gt;0)*(N('Dvd Calendar'!$AB$127)&lt;=VAL_SERIAL)*1000000+11*1000+64))</f>
        <v/>
      </c>
      <c r="GQ22" s="39">
        <f>IF(N('Dvd Calendar'!$AC$128)=0,"",IF(('Dvd Calendar'!$AC$128&gt;=GRID_FROM)*('Dvd Calendar'!$AC$128&lt;=GRID_TO)*('Dvd Calendar'!$AC$128&gt;VAL_DATE)=0,"",'Dvd Calendar'!$AC$128*1000000000+ISNUMBER('Dvd Calendar'!$AC$129)*100000000+0*10000000+(N('Dvd Calendar'!$AC$127)&gt;0)*(N('Dvd Calendar'!$AC$127)&lt;=VAL_SERIAL)*1000000+11*1000+65))</f>
        <v/>
      </c>
    </row>
    <row r="23">
      <c r="B23" s="2">
        <f>IF(HSI!$C$18="","",HSI!$C$18)</f>
        <v/>
      </c>
      <c r="C23" s="110">
        <f>IF(EE23="","",IF(ISNUMBER('Dvd Calendar'!$E$135)=FALSE,"",IF((('Dvd Calendar'!$E$137=TYPE1)*(TYPE1&lt;&gt;"")+('Dvd Calendar'!$E$137=TYPE2)*(TYPE2&lt;&gt;"")+('Dvd Calendar'!$E$137=TYPE3)*(TYPE3&lt;&gt;"")+('Dvd Calendar'!$E$137=TYPE4)*(TYPE4&lt;&gt;"")+('Dvd Calendar'!$E$137=SPECIAL_LBL)*(INC_SPECIALS="Y"))=0,"",'Dvd Calendar'!$E$135)))</f>
        <v/>
      </c>
      <c r="D23" s="110">
        <f>IF(EF23="","",IF(ISNUMBER('Dvd Calendar'!$F$135)=FALSE,"",IF((('Dvd Calendar'!$F$137=TYPE1)*(TYPE1&lt;&gt;"")+('Dvd Calendar'!$F$137=TYPE2)*(TYPE2&lt;&gt;"")+('Dvd Calendar'!$F$137=TYPE3)*(TYPE3&lt;&gt;"")+('Dvd Calendar'!$F$137=TYPE4)*(TYPE4&lt;&gt;"")+('Dvd Calendar'!$F$137=SPECIAL_LBL)*(INC_SPECIALS="Y"))=0,"",'Dvd Calendar'!$F$135)))</f>
        <v/>
      </c>
      <c r="E23" s="110">
        <f>IF(EG23="","",IF(ISNUMBER('Dvd Calendar'!$G$135)=FALSE,"",IF((('Dvd Calendar'!$G$137=TYPE1)*(TYPE1&lt;&gt;"")+('Dvd Calendar'!$G$137=TYPE2)*(TYPE2&lt;&gt;"")+('Dvd Calendar'!$G$137=TYPE3)*(TYPE3&lt;&gt;"")+('Dvd Calendar'!$G$137=TYPE4)*(TYPE4&lt;&gt;"")+('Dvd Calendar'!$G$137=SPECIAL_LBL)*(INC_SPECIALS="Y"))=0,"",'Dvd Calendar'!$G$135)))</f>
        <v/>
      </c>
      <c r="F23" s="110">
        <f>IF(EH23="","",IF(ISNUMBER('Dvd Calendar'!$H$135)=FALSE,"",IF((('Dvd Calendar'!$H$137=TYPE1)*(TYPE1&lt;&gt;"")+('Dvd Calendar'!$H$137=TYPE2)*(TYPE2&lt;&gt;"")+('Dvd Calendar'!$H$137=TYPE3)*(TYPE3&lt;&gt;"")+('Dvd Calendar'!$H$137=TYPE4)*(TYPE4&lt;&gt;"")+('Dvd Calendar'!$H$137=SPECIAL_LBL)*(INC_SPECIALS="Y"))=0,"",'Dvd Calendar'!$H$135)))</f>
        <v/>
      </c>
      <c r="G23" s="110">
        <f>IF(EI23="","",IF(ISNUMBER('Dvd Calendar'!$I$135)=FALSE,"",IF((('Dvd Calendar'!$I$137=TYPE1)*(TYPE1&lt;&gt;"")+('Dvd Calendar'!$I$137=TYPE2)*(TYPE2&lt;&gt;"")+('Dvd Calendar'!$I$137=TYPE3)*(TYPE3&lt;&gt;"")+('Dvd Calendar'!$I$137=TYPE4)*(TYPE4&lt;&gt;"")+('Dvd Calendar'!$I$137=SPECIAL_LBL)*(INC_SPECIALS="Y"))=0,"",'Dvd Calendar'!$I$135)))</f>
        <v/>
      </c>
      <c r="H23" s="110">
        <f>IF(EJ23="","",IF(ISNUMBER('Dvd Calendar'!$J$135)=FALSE,"",IF((('Dvd Calendar'!$J$137=TYPE1)*(TYPE1&lt;&gt;"")+('Dvd Calendar'!$J$137=TYPE2)*(TYPE2&lt;&gt;"")+('Dvd Calendar'!$J$137=TYPE3)*(TYPE3&lt;&gt;"")+('Dvd Calendar'!$J$137=TYPE4)*(TYPE4&lt;&gt;"")+('Dvd Calendar'!$J$137=SPECIAL_LBL)*(INC_SPECIALS="Y"))=0,"",'Dvd Calendar'!$J$135)))</f>
        <v/>
      </c>
      <c r="I23" s="110">
        <f>IF(EK23="","",IF(ISNUMBER('Dvd Calendar'!$K$135)=FALSE,"",IF((('Dvd Calendar'!$K$137=TYPE1)*(TYPE1&lt;&gt;"")+('Dvd Calendar'!$K$137=TYPE2)*(TYPE2&lt;&gt;"")+('Dvd Calendar'!$K$137=TYPE3)*(TYPE3&lt;&gt;"")+('Dvd Calendar'!$K$137=TYPE4)*(TYPE4&lt;&gt;"")+('Dvd Calendar'!$K$137=SPECIAL_LBL)*(INC_SPECIALS="Y"))=0,"",'Dvd Calendar'!$K$135)))</f>
        <v/>
      </c>
      <c r="J23" s="110">
        <f>IF(EL23="","",IF(ISNUMBER('Dvd Calendar'!$L$135)=FALSE,"",IF((('Dvd Calendar'!$L$137=TYPE1)*(TYPE1&lt;&gt;"")+('Dvd Calendar'!$L$137=TYPE2)*(TYPE2&lt;&gt;"")+('Dvd Calendar'!$L$137=TYPE3)*(TYPE3&lt;&gt;"")+('Dvd Calendar'!$L$137=TYPE4)*(TYPE4&lt;&gt;"")+('Dvd Calendar'!$L$137=SPECIAL_LBL)*(INC_SPECIALS="Y"))=0,"",'Dvd Calendar'!$L$135)))</f>
        <v/>
      </c>
      <c r="K23" s="110">
        <f>IF(EM23="","",IF(ISNUMBER('Dvd Calendar'!$M$135)=FALSE,"",IF((('Dvd Calendar'!$M$137=TYPE1)*(TYPE1&lt;&gt;"")+('Dvd Calendar'!$M$137=TYPE2)*(TYPE2&lt;&gt;"")+('Dvd Calendar'!$M$137=TYPE3)*(TYPE3&lt;&gt;"")+('Dvd Calendar'!$M$137=TYPE4)*(TYPE4&lt;&gt;"")+('Dvd Calendar'!$M$137=SPECIAL_LBL)*(INC_SPECIALS="Y"))=0,"",'Dvd Calendar'!$M$135)))</f>
        <v/>
      </c>
      <c r="L23" s="110">
        <f>IF(EN23="","",IF(ISNUMBER('Dvd Calendar'!$N$135)=FALSE,"",IF((('Dvd Calendar'!$N$137=TYPE1)*(TYPE1&lt;&gt;"")+('Dvd Calendar'!$N$137=TYPE2)*(TYPE2&lt;&gt;"")+('Dvd Calendar'!$N$137=TYPE3)*(TYPE3&lt;&gt;"")+('Dvd Calendar'!$N$137=TYPE4)*(TYPE4&lt;&gt;"")+('Dvd Calendar'!$N$137=SPECIAL_LBL)*(INC_SPECIALS="Y"))=0,"",'Dvd Calendar'!$N$135)))</f>
        <v/>
      </c>
      <c r="M23" s="110">
        <f>IF(EO23="","",IF(ISNUMBER('Dvd Calendar'!$O$135)=FALSE,"",IF((('Dvd Calendar'!$O$137=TYPE1)*(TYPE1&lt;&gt;"")+('Dvd Calendar'!$O$137=TYPE2)*(TYPE2&lt;&gt;"")+('Dvd Calendar'!$O$137=TYPE3)*(TYPE3&lt;&gt;"")+('Dvd Calendar'!$O$137=TYPE4)*(TYPE4&lt;&gt;"")+('Dvd Calendar'!$O$137=SPECIAL_LBL)*(INC_SPECIALS="Y"))=0,"",'Dvd Calendar'!$O$135)))</f>
        <v/>
      </c>
      <c r="N23" s="110">
        <f>IF(EP23="","",IF(ISNUMBER('Dvd Calendar'!$P$135)=FALSE,"",IF((('Dvd Calendar'!$P$137=TYPE1)*(TYPE1&lt;&gt;"")+('Dvd Calendar'!$P$137=TYPE2)*(TYPE2&lt;&gt;"")+('Dvd Calendar'!$P$137=TYPE3)*(TYPE3&lt;&gt;"")+('Dvd Calendar'!$P$137=TYPE4)*(TYPE4&lt;&gt;"")+('Dvd Calendar'!$P$137=SPECIAL_LBL)*(INC_SPECIALS="Y"))=0,"",'Dvd Calendar'!$P$135)))</f>
        <v/>
      </c>
      <c r="O23" s="110">
        <f>IF(EQ23="","",IF(ISNUMBER('Dvd Calendar'!$Q$135)=FALSE,"",IF((('Dvd Calendar'!$Q$137=TYPE1)*(TYPE1&lt;&gt;"")+('Dvd Calendar'!$Q$137=TYPE2)*(TYPE2&lt;&gt;"")+('Dvd Calendar'!$Q$137=TYPE3)*(TYPE3&lt;&gt;"")+('Dvd Calendar'!$Q$137=TYPE4)*(TYPE4&lt;&gt;"")+('Dvd Calendar'!$Q$137=SPECIAL_LBL)*(INC_SPECIALS="Y"))=0,"",'Dvd Calendar'!$Q$135)))</f>
        <v/>
      </c>
      <c r="P23" s="110">
        <f>IF(ER23="","",IF(ISNUMBER('Dvd Calendar'!$R$135)=FALSE,"",IF((('Dvd Calendar'!$R$137=TYPE1)*(TYPE1&lt;&gt;"")+('Dvd Calendar'!$R$137=TYPE2)*(TYPE2&lt;&gt;"")+('Dvd Calendar'!$R$137=TYPE3)*(TYPE3&lt;&gt;"")+('Dvd Calendar'!$R$137=TYPE4)*(TYPE4&lt;&gt;"")+('Dvd Calendar'!$R$137=SPECIAL_LBL)*(INC_SPECIALS="Y"))=0,"",'Dvd Calendar'!$R$135)))</f>
        <v/>
      </c>
      <c r="Q23" s="110">
        <f>IF(ES23="","",IF(ISNUMBER('Dvd Calendar'!$S$135)=FALSE,"",IF((('Dvd Calendar'!$S$137=TYPE1)*(TYPE1&lt;&gt;"")+('Dvd Calendar'!$S$137=TYPE2)*(TYPE2&lt;&gt;"")+('Dvd Calendar'!$S$137=TYPE3)*(TYPE3&lt;&gt;"")+('Dvd Calendar'!$S$137=TYPE4)*(TYPE4&lt;&gt;"")+('Dvd Calendar'!$S$137=SPECIAL_LBL)*(INC_SPECIALS="Y"))=0,"",'Dvd Calendar'!$S$135)))</f>
        <v/>
      </c>
      <c r="R23" s="110">
        <f>IF(ET23="","",IF(ISNUMBER('Dvd Calendar'!$T$135)=FALSE,"",IF((('Dvd Calendar'!$T$137=TYPE1)*(TYPE1&lt;&gt;"")+('Dvd Calendar'!$T$137=TYPE2)*(TYPE2&lt;&gt;"")+('Dvd Calendar'!$T$137=TYPE3)*(TYPE3&lt;&gt;"")+('Dvd Calendar'!$T$137=TYPE4)*(TYPE4&lt;&gt;"")+('Dvd Calendar'!$T$137=SPECIAL_LBL)*(INC_SPECIALS="Y"))=0,"",'Dvd Calendar'!$T$135)))</f>
        <v/>
      </c>
      <c r="S23" s="110">
        <f>IF(EU23="","",IF(ISNUMBER('Dvd Calendar'!$U$135)=FALSE,"",IF((('Dvd Calendar'!$U$137=TYPE1)*(TYPE1&lt;&gt;"")+('Dvd Calendar'!$U$137=TYPE2)*(TYPE2&lt;&gt;"")+('Dvd Calendar'!$U$137=TYPE3)*(TYPE3&lt;&gt;"")+('Dvd Calendar'!$U$137=TYPE4)*(TYPE4&lt;&gt;"")+('Dvd Calendar'!$U$137=SPECIAL_LBL)*(INC_SPECIALS="Y"))=0,"",'Dvd Calendar'!$U$135)))</f>
        <v/>
      </c>
      <c r="T23" s="110">
        <f>IF(EV23="","",IF(ISNUMBER('Dvd Calendar'!$V$135)=FALSE,"",IF((('Dvd Calendar'!$V$137=TYPE1)*(TYPE1&lt;&gt;"")+('Dvd Calendar'!$V$137=TYPE2)*(TYPE2&lt;&gt;"")+('Dvd Calendar'!$V$137=TYPE3)*(TYPE3&lt;&gt;"")+('Dvd Calendar'!$V$137=TYPE4)*(TYPE4&lt;&gt;"")+('Dvd Calendar'!$V$137=SPECIAL_LBL)*(INC_SPECIALS="Y"))=0,"",'Dvd Calendar'!$V$135)))</f>
        <v/>
      </c>
      <c r="U23" s="110">
        <f>IF(EW23="","",IF(ISNUMBER('Dvd Calendar'!$W$135)=FALSE,"",IF((('Dvd Calendar'!$W$137=TYPE1)*(TYPE1&lt;&gt;"")+('Dvd Calendar'!$W$137=TYPE2)*(TYPE2&lt;&gt;"")+('Dvd Calendar'!$W$137=TYPE3)*(TYPE3&lt;&gt;"")+('Dvd Calendar'!$W$137=TYPE4)*(TYPE4&lt;&gt;"")+('Dvd Calendar'!$W$137=SPECIAL_LBL)*(INC_SPECIALS="Y"))=0,"",'Dvd Calendar'!$W$135)))</f>
        <v/>
      </c>
      <c r="V23" s="110">
        <f>IF(EX23="","",IF(ISNUMBER('Dvd Calendar'!$X$135)=FALSE,"",IF((('Dvd Calendar'!$X$137=TYPE1)*(TYPE1&lt;&gt;"")+('Dvd Calendar'!$X$137=TYPE2)*(TYPE2&lt;&gt;"")+('Dvd Calendar'!$X$137=TYPE3)*(TYPE3&lt;&gt;"")+('Dvd Calendar'!$X$137=TYPE4)*(TYPE4&lt;&gt;"")+('Dvd Calendar'!$X$137=SPECIAL_LBL)*(INC_SPECIALS="Y"))=0,"",'Dvd Calendar'!$X$135)))</f>
        <v/>
      </c>
      <c r="W23" s="110">
        <f>IF(EY23="","",IF(ISNUMBER('Dvd Calendar'!$Y$135)=FALSE,"",IF((('Dvd Calendar'!$Y$137=TYPE1)*(TYPE1&lt;&gt;"")+('Dvd Calendar'!$Y$137=TYPE2)*(TYPE2&lt;&gt;"")+('Dvd Calendar'!$Y$137=TYPE3)*(TYPE3&lt;&gt;"")+('Dvd Calendar'!$Y$137=TYPE4)*(TYPE4&lt;&gt;"")+('Dvd Calendar'!$Y$137=SPECIAL_LBL)*(INC_SPECIALS="Y"))=0,"",'Dvd Calendar'!$Y$135)))</f>
        <v/>
      </c>
      <c r="X23" s="110">
        <f>IF(EZ23="","",IF(ISNUMBER('Dvd Calendar'!$Z$135)=FALSE,"",IF((('Dvd Calendar'!$Z$137=TYPE1)*(TYPE1&lt;&gt;"")+('Dvd Calendar'!$Z$137=TYPE2)*(TYPE2&lt;&gt;"")+('Dvd Calendar'!$Z$137=TYPE3)*(TYPE3&lt;&gt;"")+('Dvd Calendar'!$Z$137=TYPE4)*(TYPE4&lt;&gt;"")+('Dvd Calendar'!$Z$137=SPECIAL_LBL)*(INC_SPECIALS="Y"))=0,"",'Dvd Calendar'!$Z$135)))</f>
        <v/>
      </c>
      <c r="Y23" s="110">
        <f>IF(FA23="","",IF(ISNUMBER('Dvd Calendar'!$AA$135)=FALSE,"",IF((('Dvd Calendar'!$AA$137=TYPE1)*(TYPE1&lt;&gt;"")+('Dvd Calendar'!$AA$137=TYPE2)*(TYPE2&lt;&gt;"")+('Dvd Calendar'!$AA$137=TYPE3)*(TYPE3&lt;&gt;"")+('Dvd Calendar'!$AA$137=TYPE4)*(TYPE4&lt;&gt;"")+('Dvd Calendar'!$AA$137=SPECIAL_LBL)*(INC_SPECIALS="Y"))=0,"",'Dvd Calendar'!$AA$135)))</f>
        <v/>
      </c>
      <c r="Z23" s="110">
        <f>IF(FB23="","",IF(ISNUMBER('Dvd Calendar'!$AB$135)=FALSE,"",IF((('Dvd Calendar'!$AB$137=TYPE1)*(TYPE1&lt;&gt;"")+('Dvd Calendar'!$AB$137=TYPE2)*(TYPE2&lt;&gt;"")+('Dvd Calendar'!$AB$137=TYPE3)*(TYPE3&lt;&gt;"")+('Dvd Calendar'!$AB$137=TYPE4)*(TYPE4&lt;&gt;"")+('Dvd Calendar'!$AB$137=SPECIAL_LBL)*(INC_SPECIALS="Y"))=0,"",'Dvd Calendar'!$AB$135)))</f>
        <v/>
      </c>
      <c r="AA23" s="110">
        <f>IF(FC23="","",IF(ISNUMBER('Dvd Calendar'!$AC$135)=FALSE,"",IF((('Dvd Calendar'!$AC$137=TYPE1)*(TYPE1&lt;&gt;"")+('Dvd Calendar'!$AC$137=TYPE2)*(TYPE2&lt;&gt;"")+('Dvd Calendar'!$AC$137=TYPE3)*(TYPE3&lt;&gt;"")+('Dvd Calendar'!$AC$137=TYPE4)*(TYPE4&lt;&gt;"")+('Dvd Calendar'!$AC$137=SPECIAL_LBL)*(INC_SPECIALS="Y"))=0,"",'Dvd Calendar'!$AC$135)))</f>
        <v/>
      </c>
      <c r="AB23" s="110">
        <f>IF(FD23="","",IF(ISNUMBER('Dvd Calendar'!$AD$135)=FALSE,"",IF((('Dvd Calendar'!$AD$137=TYPE1)*(TYPE1&lt;&gt;"")+('Dvd Calendar'!$AD$137=TYPE2)*(TYPE2&lt;&gt;"")+('Dvd Calendar'!$AD$137=TYPE3)*(TYPE3&lt;&gt;"")+('Dvd Calendar'!$AD$137=TYPE4)*(TYPE4&lt;&gt;"")+('Dvd Calendar'!$AD$137=SPECIAL_LBL)*(INC_SPECIALS="Y"))=0,"",'Dvd Calendar'!$AD$135)))</f>
        <v/>
      </c>
      <c r="AC23" s="110">
        <f>IF(FE23="","",IF(ISNUMBER('Dvd Calendar'!$AE$135)=FALSE,"",IF((('Dvd Calendar'!$AE$137=TYPE1)*(TYPE1&lt;&gt;"")+('Dvd Calendar'!$AE$137=TYPE2)*(TYPE2&lt;&gt;"")+('Dvd Calendar'!$AE$137=TYPE3)*(TYPE3&lt;&gt;"")+('Dvd Calendar'!$AE$137=TYPE4)*(TYPE4&lt;&gt;"")+('Dvd Calendar'!$AE$137=SPECIAL_LBL)*(INC_SPECIALS="Y"))=0,"",'Dvd Calendar'!$AE$135)))</f>
        <v/>
      </c>
      <c r="AD23" s="110">
        <f>IF(FF23="","",IF(ISNUMBER('Dvd Calendar'!$AF$135)=FALSE,"",IF((('Dvd Calendar'!$AF$137=TYPE1)*(TYPE1&lt;&gt;"")+('Dvd Calendar'!$AF$137=TYPE2)*(TYPE2&lt;&gt;"")+('Dvd Calendar'!$AF$137=TYPE3)*(TYPE3&lt;&gt;"")+('Dvd Calendar'!$AF$137=TYPE4)*(TYPE4&lt;&gt;"")+('Dvd Calendar'!$AF$137=SPECIAL_LBL)*(INC_SPECIALS="Y"))=0,"",'Dvd Calendar'!$AF$135)))</f>
        <v/>
      </c>
      <c r="AE23" s="110">
        <f>IF(FG23="","",IF(ISNUMBER('Dvd Calendar'!$AG$135)=FALSE,"",IF((('Dvd Calendar'!$AG$137=TYPE1)*(TYPE1&lt;&gt;"")+('Dvd Calendar'!$AG$137=TYPE2)*(TYPE2&lt;&gt;"")+('Dvd Calendar'!$AG$137=TYPE3)*(TYPE3&lt;&gt;"")+('Dvd Calendar'!$AG$137=TYPE4)*(TYPE4&lt;&gt;"")+('Dvd Calendar'!$AG$137=SPECIAL_LBL)*(INC_SPECIALS="Y"))=0,"",'Dvd Calendar'!$AG$135)))</f>
        <v/>
      </c>
      <c r="AF23" s="110">
        <f>IF(FH23="","",IF(ISNUMBER('Dvd Calendar'!$AH$135)=FALSE,"",IF((('Dvd Calendar'!$AH$137=TYPE1)*(TYPE1&lt;&gt;"")+('Dvd Calendar'!$AH$137=TYPE2)*(TYPE2&lt;&gt;"")+('Dvd Calendar'!$AH$137=TYPE3)*(TYPE3&lt;&gt;"")+('Dvd Calendar'!$AH$137=TYPE4)*(TYPE4&lt;&gt;"")+('Dvd Calendar'!$AH$137=SPECIAL_LBL)*(INC_SPECIALS="Y"))=0,"",'Dvd Calendar'!$AH$135)))</f>
        <v/>
      </c>
      <c r="AG23" s="110">
        <f>IF(FI23="","",IF(ISNUMBER('Dvd Calendar'!$AI$135)=FALSE,"",IF((('Dvd Calendar'!$AI$137=TYPE1)*(TYPE1&lt;&gt;"")+('Dvd Calendar'!$AI$137=TYPE2)*(TYPE2&lt;&gt;"")+('Dvd Calendar'!$AI$137=TYPE3)*(TYPE3&lt;&gt;"")+('Dvd Calendar'!$AI$137=TYPE4)*(TYPE4&lt;&gt;"")+('Dvd Calendar'!$AI$137=SPECIAL_LBL)*(INC_SPECIALS="Y"))=0,"",'Dvd Calendar'!$AI$135)))</f>
        <v/>
      </c>
      <c r="AH23" s="110">
        <f>IF(FJ23="","",IF(ISNUMBER('Dvd Calendar'!$AJ$135)=FALSE,"",IF((('Dvd Calendar'!$AJ$137=TYPE1)*(TYPE1&lt;&gt;"")+('Dvd Calendar'!$AJ$137=TYPE2)*(TYPE2&lt;&gt;"")+('Dvd Calendar'!$AJ$137=TYPE3)*(TYPE3&lt;&gt;"")+('Dvd Calendar'!$AJ$137=TYPE4)*(TYPE4&lt;&gt;"")+('Dvd Calendar'!$AJ$137=SPECIAL_LBL)*(INC_SPECIALS="Y"))=0,"",'Dvd Calendar'!$AJ$135)))</f>
        <v/>
      </c>
      <c r="AI23" s="110">
        <f>IF(FK23="","",IF(ISNUMBER('Dvd Calendar'!$AK$135)=FALSE,"",IF((('Dvd Calendar'!$AK$137=TYPE1)*(TYPE1&lt;&gt;"")+('Dvd Calendar'!$AK$137=TYPE2)*(TYPE2&lt;&gt;"")+('Dvd Calendar'!$AK$137=TYPE3)*(TYPE3&lt;&gt;"")+('Dvd Calendar'!$AK$137=TYPE4)*(TYPE4&lt;&gt;"")+('Dvd Calendar'!$AK$137=SPECIAL_LBL)*(INC_SPECIALS="Y"))=0,"",'Dvd Calendar'!$AK$135)))</f>
        <v/>
      </c>
      <c r="AJ23" s="110">
        <f>IF(FL23="","",IF(ISNUMBER('Dvd Calendar'!$AL$135)=FALSE,"",IF((('Dvd Calendar'!$AL$137=TYPE1)*(TYPE1&lt;&gt;"")+('Dvd Calendar'!$AL$137=TYPE2)*(TYPE2&lt;&gt;"")+('Dvd Calendar'!$AL$137=TYPE3)*(TYPE3&lt;&gt;"")+('Dvd Calendar'!$AL$137=TYPE4)*(TYPE4&lt;&gt;"")+('Dvd Calendar'!$AL$137=SPECIAL_LBL)*(INC_SPECIALS="Y"))=0,"",'Dvd Calendar'!$AL$135)))</f>
        <v/>
      </c>
      <c r="AK23" s="110">
        <f>IF(FM23="","",IF(ISNUMBER('Dvd Calendar'!$AM$135)=FALSE,"",IF((('Dvd Calendar'!$AM$137=TYPE1)*(TYPE1&lt;&gt;"")+('Dvd Calendar'!$AM$137=TYPE2)*(TYPE2&lt;&gt;"")+('Dvd Calendar'!$AM$137=TYPE3)*(TYPE3&lt;&gt;"")+('Dvd Calendar'!$AM$137=TYPE4)*(TYPE4&lt;&gt;"")+('Dvd Calendar'!$AM$137=SPECIAL_LBL)*(INC_SPECIALS="Y"))=0,"",'Dvd Calendar'!$AM$135)))</f>
        <v/>
      </c>
      <c r="AL23" s="110">
        <f>IF(FN23="","",IF(ISNUMBER('Dvd Calendar'!$AN$135)=FALSE,"",IF((('Dvd Calendar'!$AN$137=TYPE1)*(TYPE1&lt;&gt;"")+('Dvd Calendar'!$AN$137=TYPE2)*(TYPE2&lt;&gt;"")+('Dvd Calendar'!$AN$137=TYPE3)*(TYPE3&lt;&gt;"")+('Dvd Calendar'!$AN$137=TYPE4)*(TYPE4&lt;&gt;"")+('Dvd Calendar'!$AN$137=SPECIAL_LBL)*(INC_SPECIALS="Y"))=0,"",'Dvd Calendar'!$AN$135)))</f>
        <v/>
      </c>
      <c r="AM23" s="110">
        <f>IF(FO23="","",IF(ISNUMBER('Dvd Calendar'!$AO$135)=FALSE,"",IF((('Dvd Calendar'!$AO$137=TYPE1)*(TYPE1&lt;&gt;"")+('Dvd Calendar'!$AO$137=TYPE2)*(TYPE2&lt;&gt;"")+('Dvd Calendar'!$AO$137=TYPE3)*(TYPE3&lt;&gt;"")+('Dvd Calendar'!$AO$137=TYPE4)*(TYPE4&lt;&gt;"")+('Dvd Calendar'!$AO$137=SPECIAL_LBL)*(INC_SPECIALS="Y"))=0,"",'Dvd Calendar'!$AO$135)))</f>
        <v/>
      </c>
      <c r="AN23" s="110">
        <f>IF(FP23="","",IF(ISNUMBER('Dvd Calendar'!$AP$135)=FALSE,"",IF((('Dvd Calendar'!$AP$137=TYPE1)*(TYPE1&lt;&gt;"")+('Dvd Calendar'!$AP$137=TYPE2)*(TYPE2&lt;&gt;"")+('Dvd Calendar'!$AP$137=TYPE3)*(TYPE3&lt;&gt;"")+('Dvd Calendar'!$AP$137=TYPE4)*(TYPE4&lt;&gt;"")+('Dvd Calendar'!$AP$137=SPECIAL_LBL)*(INC_SPECIALS="Y"))=0,"",'Dvd Calendar'!$AP$135)))</f>
        <v/>
      </c>
      <c r="AO23" s="110">
        <f>IF(FQ23="","",IF(ISNUMBER('Dvd Calendar'!$AQ$135)=FALSE,"",IF((('Dvd Calendar'!$AQ$137=TYPE1)*(TYPE1&lt;&gt;"")+('Dvd Calendar'!$AQ$137=TYPE2)*(TYPE2&lt;&gt;"")+('Dvd Calendar'!$AQ$137=TYPE3)*(TYPE3&lt;&gt;"")+('Dvd Calendar'!$AQ$137=TYPE4)*(TYPE4&lt;&gt;"")+('Dvd Calendar'!$AQ$137=SPECIAL_LBL)*(INC_SPECIALS="Y"))=0,"",'Dvd Calendar'!$AQ$135)))</f>
        <v/>
      </c>
      <c r="AP23" s="110">
        <f>IF(FR23="","",IF(ISNUMBER('Dvd Calendar'!$AR$135)=FALSE,"",IF((('Dvd Calendar'!$AR$137=TYPE1)*(TYPE1&lt;&gt;"")+('Dvd Calendar'!$AR$137=TYPE2)*(TYPE2&lt;&gt;"")+('Dvd Calendar'!$AR$137=TYPE3)*(TYPE3&lt;&gt;"")+('Dvd Calendar'!$AR$137=TYPE4)*(TYPE4&lt;&gt;"")+('Dvd Calendar'!$AR$137=SPECIAL_LBL)*(INC_SPECIALS="Y"))=0,"",'Dvd Calendar'!$AR$135)))</f>
        <v/>
      </c>
      <c r="AQ23" s="110">
        <f>IF(FS23="","",IF(ISNUMBER('Dvd Calendar'!$E$140)=FALSE,"",'Dvd Calendar'!$E$140))</f>
        <v/>
      </c>
      <c r="AR23" s="110">
        <f>IF(FT23="","",IF(ISNUMBER('Dvd Calendar'!$F$140)=FALSE,"",'Dvd Calendar'!$F$140))</f>
        <v/>
      </c>
      <c r="AS23" s="110">
        <f>IF(FU23="","",IF(ISNUMBER('Dvd Calendar'!$G$140)=FALSE,"",'Dvd Calendar'!$G$140))</f>
        <v/>
      </c>
      <c r="AT23" s="110">
        <f>IF(FV23="","",IF(ISNUMBER('Dvd Calendar'!$H$140)=FALSE,"",'Dvd Calendar'!$H$140))</f>
        <v/>
      </c>
      <c r="AU23" s="110">
        <f>IF(FW23="","",IF(ISNUMBER('Dvd Calendar'!$I$140)=FALSE,"",'Dvd Calendar'!$I$140))</f>
        <v/>
      </c>
      <c r="AV23" s="110">
        <f>IF(FX23="","",IF(ISNUMBER('Dvd Calendar'!$J$140)=FALSE,"",'Dvd Calendar'!$J$140))</f>
        <v/>
      </c>
      <c r="AW23" s="110">
        <f>IF(FY23="","",IF(ISNUMBER('Dvd Calendar'!$K$140)=FALSE,"",'Dvd Calendar'!$K$140))</f>
        <v/>
      </c>
      <c r="AX23" s="110">
        <f>IF(FZ23="","",IF(ISNUMBER('Dvd Calendar'!$L$140)=FALSE,"",'Dvd Calendar'!$L$140))</f>
        <v/>
      </c>
      <c r="AY23" s="110">
        <f>IF(GA23="","",IF(ISNUMBER('Dvd Calendar'!$M$140)=FALSE,"",'Dvd Calendar'!$M$140))</f>
        <v/>
      </c>
      <c r="AZ23" s="110">
        <f>IF(GB23="","",IF(ISNUMBER('Dvd Calendar'!$N$140)=FALSE,"",'Dvd Calendar'!$N$140))</f>
        <v/>
      </c>
      <c r="BA23" s="110">
        <f>IF(GC23="","",IF(ISNUMBER('Dvd Calendar'!$O$140)=FALSE,"",'Dvd Calendar'!$O$140))</f>
        <v/>
      </c>
      <c r="BB23" s="110">
        <f>IF(GD23="","",IF(ISNUMBER('Dvd Calendar'!$P$140)=FALSE,"",'Dvd Calendar'!$P$140))</f>
        <v/>
      </c>
      <c r="BC23" s="110">
        <f>IF(GE23="","",IF(ISNUMBER('Dvd Calendar'!$Q$140)=FALSE,"",'Dvd Calendar'!$Q$140))</f>
        <v/>
      </c>
      <c r="BD23" s="110">
        <f>IF(GF23="","",IF(ISNUMBER('Dvd Calendar'!$R$140)=FALSE,"",'Dvd Calendar'!$R$140))</f>
        <v/>
      </c>
      <c r="BE23" s="110">
        <f>IF(GG23="","",IF(ISNUMBER('Dvd Calendar'!$S$140)=FALSE,"",'Dvd Calendar'!$S$140))</f>
        <v/>
      </c>
      <c r="BF23" s="110">
        <f>IF(GH23="","",IF(ISNUMBER('Dvd Calendar'!$T$140)=FALSE,"",'Dvd Calendar'!$T$140))</f>
        <v/>
      </c>
      <c r="BG23" s="110">
        <f>IF(GI23="","",IF(ISNUMBER('Dvd Calendar'!$U$140)=FALSE,"",'Dvd Calendar'!$U$140))</f>
        <v/>
      </c>
      <c r="BH23" s="110">
        <f>IF(GJ23="","",IF(ISNUMBER('Dvd Calendar'!$V$140)=FALSE,"",'Dvd Calendar'!$V$140))</f>
        <v/>
      </c>
      <c r="BI23" s="110">
        <f>IF(GK23="","",IF(ISNUMBER('Dvd Calendar'!$W$140)=FALSE,"",'Dvd Calendar'!$W$140))</f>
        <v/>
      </c>
      <c r="BJ23" s="110">
        <f>IF(GL23="","",IF(ISNUMBER('Dvd Calendar'!$X$140)=FALSE,"",'Dvd Calendar'!$X$140))</f>
        <v/>
      </c>
      <c r="BK23" s="110">
        <f>IF(GM23="","",IF(ISNUMBER('Dvd Calendar'!$Y$140)=FALSE,"",'Dvd Calendar'!$Y$140))</f>
        <v/>
      </c>
      <c r="BL23" s="110">
        <f>IF(GN23="","",IF(ISNUMBER('Dvd Calendar'!$Z$140)=FALSE,"",'Dvd Calendar'!$Z$140))</f>
        <v/>
      </c>
      <c r="BM23" s="110">
        <f>IF(GO23="","",IF(ISNUMBER('Dvd Calendar'!$AA$140)=FALSE,"",'Dvd Calendar'!$AA$140))</f>
        <v/>
      </c>
      <c r="BN23" s="110">
        <f>IF(GP23="","",IF(ISNUMBER('Dvd Calendar'!$AB$140)=FALSE,"",'Dvd Calendar'!$AB$140))</f>
        <v/>
      </c>
      <c r="BO23" s="110">
        <f>IF(GQ23="","",IF(ISNUMBER('Dvd Calendar'!$AC$140)=FALSE,"",'Dvd Calendar'!$AC$140))</f>
        <v/>
      </c>
      <c r="BQ23" s="110">
        <f>IF(C23="","",IFERROR(C23*HSI!$B$18*HSI!$G$18/HSI!$B$3,""))</f>
        <v/>
      </c>
      <c r="BR23" s="110">
        <f>IF(D23="","",IFERROR(D23*HSI!$B$18*HSI!$G$18/HSI!$B$3,""))</f>
        <v/>
      </c>
      <c r="BS23" s="110">
        <f>IF(E23="","",IFERROR(E23*HSI!$B$18*HSI!$G$18/HSI!$B$3,""))</f>
        <v/>
      </c>
      <c r="BT23" s="110">
        <f>IF(F23="","",IFERROR(F23*HSI!$B$18*HSI!$G$18/HSI!$B$3,""))</f>
        <v/>
      </c>
      <c r="BU23" s="110">
        <f>IF(G23="","",IFERROR(G23*HSI!$B$18*HSI!$G$18/HSI!$B$3,""))</f>
        <v/>
      </c>
      <c r="BV23" s="110">
        <f>IF(H23="","",IFERROR(H23*HSI!$B$18*HSI!$G$18/HSI!$B$3,""))</f>
        <v/>
      </c>
      <c r="BW23" s="110">
        <f>IF(I23="","",IFERROR(I23*HSI!$B$18*HSI!$G$18/HSI!$B$3,""))</f>
        <v/>
      </c>
      <c r="BX23" s="110">
        <f>IF(J23="","",IFERROR(J23*HSI!$B$18*HSI!$G$18/HSI!$B$3,""))</f>
        <v/>
      </c>
      <c r="BY23" s="110">
        <f>IF(K23="","",IFERROR(K23*HSI!$B$18*HSI!$G$18/HSI!$B$3,""))</f>
        <v/>
      </c>
      <c r="BZ23" s="110">
        <f>IF(L23="","",IFERROR(L23*HSI!$B$18*HSI!$G$18/HSI!$B$3,""))</f>
        <v/>
      </c>
      <c r="CA23" s="110">
        <f>IF(M23="","",IFERROR(M23*HSI!$B$18*HSI!$G$18/HSI!$B$3,""))</f>
        <v/>
      </c>
      <c r="CB23" s="110">
        <f>IF(N23="","",IFERROR(N23*HSI!$B$18*HSI!$G$18/HSI!$B$3,""))</f>
        <v/>
      </c>
      <c r="CC23" s="110">
        <f>IF(O23="","",IFERROR(O23*HSI!$B$18*HSI!$G$18/HSI!$B$3,""))</f>
        <v/>
      </c>
      <c r="CD23" s="110">
        <f>IF(P23="","",IFERROR(P23*HSI!$B$18*HSI!$G$18/HSI!$B$3,""))</f>
        <v/>
      </c>
      <c r="CE23" s="110">
        <f>IF(Q23="","",IFERROR(Q23*HSI!$B$18*HSI!$G$18/HSI!$B$3,""))</f>
        <v/>
      </c>
      <c r="CF23" s="110">
        <f>IF(R23="","",IFERROR(R23*HSI!$B$18*HSI!$G$18/HSI!$B$3,""))</f>
        <v/>
      </c>
      <c r="CG23" s="110">
        <f>IF(S23="","",IFERROR(S23*HSI!$B$18*HSI!$G$18/HSI!$B$3,""))</f>
        <v/>
      </c>
      <c r="CH23" s="110">
        <f>IF(T23="","",IFERROR(T23*HSI!$B$18*HSI!$G$18/HSI!$B$3,""))</f>
        <v/>
      </c>
      <c r="CI23" s="110">
        <f>IF(U23="","",IFERROR(U23*HSI!$B$18*HSI!$G$18/HSI!$B$3,""))</f>
        <v/>
      </c>
      <c r="CJ23" s="110">
        <f>IF(V23="","",IFERROR(V23*HSI!$B$18*HSI!$G$18/HSI!$B$3,""))</f>
        <v/>
      </c>
      <c r="CK23" s="110">
        <f>IF(W23="","",IFERROR(W23*HSI!$B$18*HSI!$G$18/HSI!$B$3,""))</f>
        <v/>
      </c>
      <c r="CL23" s="110">
        <f>IF(X23="","",IFERROR(X23*HSI!$B$18*HSI!$G$18/HSI!$B$3,""))</f>
        <v/>
      </c>
      <c r="CM23" s="110">
        <f>IF(Y23="","",IFERROR(Y23*HSI!$B$18*HSI!$G$18/HSI!$B$3,""))</f>
        <v/>
      </c>
      <c r="CN23" s="110">
        <f>IF(Z23="","",IFERROR(Z23*HSI!$B$18*HSI!$G$18/HSI!$B$3,""))</f>
        <v/>
      </c>
      <c r="CO23" s="110">
        <f>IF(AA23="","",IFERROR(AA23*HSI!$B$18*HSI!$G$18/HSI!$B$3,""))</f>
        <v/>
      </c>
      <c r="CP23" s="110">
        <f>IF(AB23="","",IFERROR(AB23*HSI!$B$18*HSI!$G$18/HSI!$B$3,""))</f>
        <v/>
      </c>
      <c r="CQ23" s="110">
        <f>IF(AC23="","",IFERROR(AC23*HSI!$B$18*HSI!$G$18/HSI!$B$3,""))</f>
        <v/>
      </c>
      <c r="CR23" s="110">
        <f>IF(AD23="","",IFERROR(AD23*HSI!$B$18*HSI!$G$18/HSI!$B$3,""))</f>
        <v/>
      </c>
      <c r="CS23" s="110">
        <f>IF(AE23="","",IFERROR(AE23*HSI!$B$18*HSI!$G$18/HSI!$B$3,""))</f>
        <v/>
      </c>
      <c r="CT23" s="110">
        <f>IF(AF23="","",IFERROR(AF23*HSI!$B$18*HSI!$G$18/HSI!$B$3,""))</f>
        <v/>
      </c>
      <c r="CU23" s="110">
        <f>IF(AG23="","",IFERROR(AG23*HSI!$B$18*HSI!$G$18/HSI!$B$3,""))</f>
        <v/>
      </c>
      <c r="CV23" s="110">
        <f>IF(AH23="","",IFERROR(AH23*HSI!$B$18*HSI!$G$18/HSI!$B$3,""))</f>
        <v/>
      </c>
      <c r="CW23" s="110">
        <f>IF(AI23="","",IFERROR(AI23*HSI!$B$18*HSI!$G$18/HSI!$B$3,""))</f>
        <v/>
      </c>
      <c r="CX23" s="110">
        <f>IF(AJ23="","",IFERROR(AJ23*HSI!$B$18*HSI!$G$18/HSI!$B$3,""))</f>
        <v/>
      </c>
      <c r="CY23" s="110">
        <f>IF(AK23="","",IFERROR(AK23*HSI!$B$18*HSI!$G$18/HSI!$B$3,""))</f>
        <v/>
      </c>
      <c r="CZ23" s="110">
        <f>IF(AL23="","",IFERROR(AL23*HSI!$B$18*HSI!$G$18/HSI!$B$3,""))</f>
        <v/>
      </c>
      <c r="DA23" s="110">
        <f>IF(AM23="","",IFERROR(AM23*HSI!$B$18*HSI!$G$18/HSI!$B$3,""))</f>
        <v/>
      </c>
      <c r="DB23" s="110">
        <f>IF(AN23="","",IFERROR(AN23*HSI!$B$18*HSI!$G$18/HSI!$B$3,""))</f>
        <v/>
      </c>
      <c r="DC23" s="110">
        <f>IF(AO23="","",IFERROR(AO23*HSI!$B$18*HSI!$G$18/HSI!$B$3,""))</f>
        <v/>
      </c>
      <c r="DD23" s="110">
        <f>IF(AP23="","",IFERROR(AP23*HSI!$B$18*HSI!$G$18/HSI!$B$3,""))</f>
        <v/>
      </c>
      <c r="DE23" s="110">
        <f>IF(AQ23="","",IFERROR(AQ23*HSI!$B$18*HSI!$G$18/HSI!$B$3,""))</f>
        <v/>
      </c>
      <c r="DF23" s="110">
        <f>IF(AR23="","",IFERROR(AR23*HSI!$B$18*HSI!$G$18/HSI!$B$3,""))</f>
        <v/>
      </c>
      <c r="DG23" s="110">
        <f>IF(AS23="","",IFERROR(AS23*HSI!$B$18*HSI!$G$18/HSI!$B$3,""))</f>
        <v/>
      </c>
      <c r="DH23" s="110">
        <f>IF(AT23="","",IFERROR(AT23*HSI!$B$18*HSI!$G$18/HSI!$B$3,""))</f>
        <v/>
      </c>
      <c r="DI23" s="110">
        <f>IF(AU23="","",IFERROR(AU23*HSI!$B$18*HSI!$G$18/HSI!$B$3,""))</f>
        <v/>
      </c>
      <c r="DJ23" s="110">
        <f>IF(AV23="","",IFERROR(AV23*HSI!$B$18*HSI!$G$18/HSI!$B$3,""))</f>
        <v/>
      </c>
      <c r="DK23" s="110">
        <f>IF(AW23="","",IFERROR(AW23*HSI!$B$18*HSI!$G$18/HSI!$B$3,""))</f>
        <v/>
      </c>
      <c r="DL23" s="110">
        <f>IF(AX23="","",IFERROR(AX23*HSI!$B$18*HSI!$G$18/HSI!$B$3,""))</f>
        <v/>
      </c>
      <c r="DM23" s="110">
        <f>IF(AY23="","",IFERROR(AY23*HSI!$B$18*HSI!$G$18/HSI!$B$3,""))</f>
        <v/>
      </c>
      <c r="DN23" s="110">
        <f>IF(AZ23="","",IFERROR(AZ23*HSI!$B$18*HSI!$G$18/HSI!$B$3,""))</f>
        <v/>
      </c>
      <c r="DO23" s="110">
        <f>IF(BA23="","",IFERROR(BA23*HSI!$B$18*HSI!$G$18/HSI!$B$3,""))</f>
        <v/>
      </c>
      <c r="DP23" s="110">
        <f>IF(BB23="","",IFERROR(BB23*HSI!$B$18*HSI!$G$18/HSI!$B$3,""))</f>
        <v/>
      </c>
      <c r="DQ23" s="110">
        <f>IF(BC23="","",IFERROR(BC23*HSI!$B$18*HSI!$G$18/HSI!$B$3,""))</f>
        <v/>
      </c>
      <c r="DR23" s="110">
        <f>IF(BD23="","",IFERROR(BD23*HSI!$B$18*HSI!$G$18/HSI!$B$3,""))</f>
        <v/>
      </c>
      <c r="DS23" s="110">
        <f>IF(BE23="","",IFERROR(BE23*HSI!$B$18*HSI!$G$18/HSI!$B$3,""))</f>
        <v/>
      </c>
      <c r="DT23" s="110">
        <f>IF(BF23="","",IFERROR(BF23*HSI!$B$18*HSI!$G$18/HSI!$B$3,""))</f>
        <v/>
      </c>
      <c r="DU23" s="110">
        <f>IF(BG23="","",IFERROR(BG23*HSI!$B$18*HSI!$G$18/HSI!$B$3,""))</f>
        <v/>
      </c>
      <c r="DV23" s="110">
        <f>IF(BH23="","",IFERROR(BH23*HSI!$B$18*HSI!$G$18/HSI!$B$3,""))</f>
        <v/>
      </c>
      <c r="DW23" s="110">
        <f>IF(BI23="","",IFERROR(BI23*HSI!$B$18*HSI!$G$18/HSI!$B$3,""))</f>
        <v/>
      </c>
      <c r="DX23" s="110">
        <f>IF(BJ23="","",IFERROR(BJ23*HSI!$B$18*HSI!$G$18/HSI!$B$3,""))</f>
        <v/>
      </c>
      <c r="DY23" s="110">
        <f>IF(BK23="","",IFERROR(BK23*HSI!$B$18*HSI!$G$18/HSI!$B$3,""))</f>
        <v/>
      </c>
      <c r="DZ23" s="110">
        <f>IF(BL23="","",IFERROR(BL23*HSI!$B$18*HSI!$G$18/HSI!$B$3,""))</f>
        <v/>
      </c>
      <c r="EA23" s="110">
        <f>IF(BM23="","",IFERROR(BM23*HSI!$B$18*HSI!$G$18/HSI!$B$3,""))</f>
        <v/>
      </c>
      <c r="EB23" s="110">
        <f>IF(BN23="","",IFERROR(BN23*HSI!$B$18*HSI!$G$18/HSI!$B$3,""))</f>
        <v/>
      </c>
      <c r="EC23" s="110">
        <f>IF(BO23="","",IFERROR(BO23*HSI!$B$18*HSI!$G$18/HSI!$B$3,""))</f>
        <v/>
      </c>
      <c r="EE23" s="39">
        <f>IF(N('Dvd Calendar'!$E$132)=0,"",IF(('Dvd Calendar'!$E$132&gt;=GRID_FROM)*('Dvd Calendar'!$E$132&lt;=GRID_TO)*((('Dvd Calendar'!$E$132&lt;=VAL_DATE)+(COUNTIF('Dvd Calendar'!$E$139:$AR$139,'Dvd Calendar'!$E$132)=0))&gt;0)=0,"",'Dvd Calendar'!$E$132*1000000000+ISNUMBER('Dvd Calendar'!$E$135)*100000000+('Dvd Calendar'!$E$137=SPECIAL_LBL)*10000000+(N('Dvd Calendar'!$E$131)&gt;0)*(N('Dvd Calendar'!$E$131)&lt;=VAL_SERIAL)*1000000+12*1000+1))</f>
        <v/>
      </c>
      <c r="EF23" s="39">
        <f>IF(N('Dvd Calendar'!$F$132)=0,"",IF(('Dvd Calendar'!$F$132&gt;=GRID_FROM)*('Dvd Calendar'!$F$132&lt;=GRID_TO)*((('Dvd Calendar'!$F$132&lt;=VAL_DATE)+(COUNTIF('Dvd Calendar'!$E$139:$AR$139,'Dvd Calendar'!$F$132)=0))&gt;0)=0,"",'Dvd Calendar'!$F$132*1000000000+ISNUMBER('Dvd Calendar'!$F$135)*100000000+('Dvd Calendar'!$F$137=SPECIAL_LBL)*10000000+(N('Dvd Calendar'!$F$131)&gt;0)*(N('Dvd Calendar'!$F$131)&lt;=VAL_SERIAL)*1000000+12*1000+2))</f>
        <v/>
      </c>
      <c r="EG23" s="39">
        <f>IF(N('Dvd Calendar'!$G$132)=0,"",IF(('Dvd Calendar'!$G$132&gt;=GRID_FROM)*('Dvd Calendar'!$G$132&lt;=GRID_TO)*((('Dvd Calendar'!$G$132&lt;=VAL_DATE)+(COUNTIF('Dvd Calendar'!$E$139:$AR$139,'Dvd Calendar'!$G$132)=0))&gt;0)=0,"",'Dvd Calendar'!$G$132*1000000000+ISNUMBER('Dvd Calendar'!$G$135)*100000000+('Dvd Calendar'!$G$137=SPECIAL_LBL)*10000000+(N('Dvd Calendar'!$G$131)&gt;0)*(N('Dvd Calendar'!$G$131)&lt;=VAL_SERIAL)*1000000+12*1000+3))</f>
        <v/>
      </c>
      <c r="EH23" s="39">
        <f>IF(N('Dvd Calendar'!$H$132)=0,"",IF(('Dvd Calendar'!$H$132&gt;=GRID_FROM)*('Dvd Calendar'!$H$132&lt;=GRID_TO)*((('Dvd Calendar'!$H$132&lt;=VAL_DATE)+(COUNTIF('Dvd Calendar'!$E$139:$AR$139,'Dvd Calendar'!$H$132)=0))&gt;0)=0,"",'Dvd Calendar'!$H$132*1000000000+ISNUMBER('Dvd Calendar'!$H$135)*100000000+('Dvd Calendar'!$H$137=SPECIAL_LBL)*10000000+(N('Dvd Calendar'!$H$131)&gt;0)*(N('Dvd Calendar'!$H$131)&lt;=VAL_SERIAL)*1000000+12*1000+4))</f>
        <v/>
      </c>
      <c r="EI23" s="39">
        <f>IF(N('Dvd Calendar'!$I$132)=0,"",IF(('Dvd Calendar'!$I$132&gt;=GRID_FROM)*('Dvd Calendar'!$I$132&lt;=GRID_TO)*((('Dvd Calendar'!$I$132&lt;=VAL_DATE)+(COUNTIF('Dvd Calendar'!$E$139:$AR$139,'Dvd Calendar'!$I$132)=0))&gt;0)=0,"",'Dvd Calendar'!$I$132*1000000000+ISNUMBER('Dvd Calendar'!$I$135)*100000000+('Dvd Calendar'!$I$137=SPECIAL_LBL)*10000000+(N('Dvd Calendar'!$I$131)&gt;0)*(N('Dvd Calendar'!$I$131)&lt;=VAL_SERIAL)*1000000+12*1000+5))</f>
        <v/>
      </c>
      <c r="EJ23" s="39">
        <f>IF(N('Dvd Calendar'!$J$132)=0,"",IF(('Dvd Calendar'!$J$132&gt;=GRID_FROM)*('Dvd Calendar'!$J$132&lt;=GRID_TO)*((('Dvd Calendar'!$J$132&lt;=VAL_DATE)+(COUNTIF('Dvd Calendar'!$E$139:$AR$139,'Dvd Calendar'!$J$132)=0))&gt;0)=0,"",'Dvd Calendar'!$J$132*1000000000+ISNUMBER('Dvd Calendar'!$J$135)*100000000+('Dvd Calendar'!$J$137=SPECIAL_LBL)*10000000+(N('Dvd Calendar'!$J$131)&gt;0)*(N('Dvd Calendar'!$J$131)&lt;=VAL_SERIAL)*1000000+12*1000+6))</f>
        <v/>
      </c>
      <c r="EK23" s="39">
        <f>IF(N('Dvd Calendar'!$K$132)=0,"",IF(('Dvd Calendar'!$K$132&gt;=GRID_FROM)*('Dvd Calendar'!$K$132&lt;=GRID_TO)*((('Dvd Calendar'!$K$132&lt;=VAL_DATE)+(COUNTIF('Dvd Calendar'!$E$139:$AR$139,'Dvd Calendar'!$K$132)=0))&gt;0)=0,"",'Dvd Calendar'!$K$132*1000000000+ISNUMBER('Dvd Calendar'!$K$135)*100000000+('Dvd Calendar'!$K$137=SPECIAL_LBL)*10000000+(N('Dvd Calendar'!$K$131)&gt;0)*(N('Dvd Calendar'!$K$131)&lt;=VAL_SERIAL)*1000000+12*1000+7))</f>
        <v/>
      </c>
      <c r="EL23" s="39">
        <f>IF(N('Dvd Calendar'!$L$132)=0,"",IF(('Dvd Calendar'!$L$132&gt;=GRID_FROM)*('Dvd Calendar'!$L$132&lt;=GRID_TO)*((('Dvd Calendar'!$L$132&lt;=VAL_DATE)+(COUNTIF('Dvd Calendar'!$E$139:$AR$139,'Dvd Calendar'!$L$132)=0))&gt;0)=0,"",'Dvd Calendar'!$L$132*1000000000+ISNUMBER('Dvd Calendar'!$L$135)*100000000+('Dvd Calendar'!$L$137=SPECIAL_LBL)*10000000+(N('Dvd Calendar'!$L$131)&gt;0)*(N('Dvd Calendar'!$L$131)&lt;=VAL_SERIAL)*1000000+12*1000+8))</f>
        <v/>
      </c>
      <c r="EM23" s="39">
        <f>IF(N('Dvd Calendar'!$M$132)=0,"",IF(('Dvd Calendar'!$M$132&gt;=GRID_FROM)*('Dvd Calendar'!$M$132&lt;=GRID_TO)*((('Dvd Calendar'!$M$132&lt;=VAL_DATE)+(COUNTIF('Dvd Calendar'!$E$139:$AR$139,'Dvd Calendar'!$M$132)=0))&gt;0)=0,"",'Dvd Calendar'!$M$132*1000000000+ISNUMBER('Dvd Calendar'!$M$135)*100000000+('Dvd Calendar'!$M$137=SPECIAL_LBL)*10000000+(N('Dvd Calendar'!$M$131)&gt;0)*(N('Dvd Calendar'!$M$131)&lt;=VAL_SERIAL)*1000000+12*1000+9))</f>
        <v/>
      </c>
      <c r="EN23" s="39">
        <f>IF(N('Dvd Calendar'!$N$132)=0,"",IF(('Dvd Calendar'!$N$132&gt;=GRID_FROM)*('Dvd Calendar'!$N$132&lt;=GRID_TO)*((('Dvd Calendar'!$N$132&lt;=VAL_DATE)+(COUNTIF('Dvd Calendar'!$E$139:$AR$139,'Dvd Calendar'!$N$132)=0))&gt;0)=0,"",'Dvd Calendar'!$N$132*1000000000+ISNUMBER('Dvd Calendar'!$N$135)*100000000+('Dvd Calendar'!$N$137=SPECIAL_LBL)*10000000+(N('Dvd Calendar'!$N$131)&gt;0)*(N('Dvd Calendar'!$N$131)&lt;=VAL_SERIAL)*1000000+12*1000+10))</f>
        <v/>
      </c>
      <c r="EO23" s="39">
        <f>IF(N('Dvd Calendar'!$O$132)=0,"",IF(('Dvd Calendar'!$O$132&gt;=GRID_FROM)*('Dvd Calendar'!$O$132&lt;=GRID_TO)*((('Dvd Calendar'!$O$132&lt;=VAL_DATE)+(COUNTIF('Dvd Calendar'!$E$139:$AR$139,'Dvd Calendar'!$O$132)=0))&gt;0)=0,"",'Dvd Calendar'!$O$132*1000000000+ISNUMBER('Dvd Calendar'!$O$135)*100000000+('Dvd Calendar'!$O$137=SPECIAL_LBL)*10000000+(N('Dvd Calendar'!$O$131)&gt;0)*(N('Dvd Calendar'!$O$131)&lt;=VAL_SERIAL)*1000000+12*1000+11))</f>
        <v/>
      </c>
      <c r="EP23" s="39">
        <f>IF(N('Dvd Calendar'!$P$132)=0,"",IF(('Dvd Calendar'!$P$132&gt;=GRID_FROM)*('Dvd Calendar'!$P$132&lt;=GRID_TO)*((('Dvd Calendar'!$P$132&lt;=VAL_DATE)+(COUNTIF('Dvd Calendar'!$E$139:$AR$139,'Dvd Calendar'!$P$132)=0))&gt;0)=0,"",'Dvd Calendar'!$P$132*1000000000+ISNUMBER('Dvd Calendar'!$P$135)*100000000+('Dvd Calendar'!$P$137=SPECIAL_LBL)*10000000+(N('Dvd Calendar'!$P$131)&gt;0)*(N('Dvd Calendar'!$P$131)&lt;=VAL_SERIAL)*1000000+12*1000+12))</f>
        <v/>
      </c>
      <c r="EQ23" s="39">
        <f>IF(N('Dvd Calendar'!$Q$132)=0,"",IF(('Dvd Calendar'!$Q$132&gt;=GRID_FROM)*('Dvd Calendar'!$Q$132&lt;=GRID_TO)*((('Dvd Calendar'!$Q$132&lt;=VAL_DATE)+(COUNTIF('Dvd Calendar'!$E$139:$AR$139,'Dvd Calendar'!$Q$132)=0))&gt;0)=0,"",'Dvd Calendar'!$Q$132*1000000000+ISNUMBER('Dvd Calendar'!$Q$135)*100000000+('Dvd Calendar'!$Q$137=SPECIAL_LBL)*10000000+(N('Dvd Calendar'!$Q$131)&gt;0)*(N('Dvd Calendar'!$Q$131)&lt;=VAL_SERIAL)*1000000+12*1000+13))</f>
        <v/>
      </c>
      <c r="ER23" s="39">
        <f>IF(N('Dvd Calendar'!$R$132)=0,"",IF(('Dvd Calendar'!$R$132&gt;=GRID_FROM)*('Dvd Calendar'!$R$132&lt;=GRID_TO)*((('Dvd Calendar'!$R$132&lt;=VAL_DATE)+(COUNTIF('Dvd Calendar'!$E$139:$AR$139,'Dvd Calendar'!$R$132)=0))&gt;0)=0,"",'Dvd Calendar'!$R$132*1000000000+ISNUMBER('Dvd Calendar'!$R$135)*100000000+('Dvd Calendar'!$R$137=SPECIAL_LBL)*10000000+(N('Dvd Calendar'!$R$131)&gt;0)*(N('Dvd Calendar'!$R$131)&lt;=VAL_SERIAL)*1000000+12*1000+14))</f>
        <v/>
      </c>
      <c r="ES23" s="39">
        <f>IF(N('Dvd Calendar'!$S$132)=0,"",IF(('Dvd Calendar'!$S$132&gt;=GRID_FROM)*('Dvd Calendar'!$S$132&lt;=GRID_TO)*((('Dvd Calendar'!$S$132&lt;=VAL_DATE)+(COUNTIF('Dvd Calendar'!$E$139:$AR$139,'Dvd Calendar'!$S$132)=0))&gt;0)=0,"",'Dvd Calendar'!$S$132*1000000000+ISNUMBER('Dvd Calendar'!$S$135)*100000000+('Dvd Calendar'!$S$137=SPECIAL_LBL)*10000000+(N('Dvd Calendar'!$S$131)&gt;0)*(N('Dvd Calendar'!$S$131)&lt;=VAL_SERIAL)*1000000+12*1000+15))</f>
        <v/>
      </c>
      <c r="ET23" s="39">
        <f>IF(N('Dvd Calendar'!$T$132)=0,"",IF(('Dvd Calendar'!$T$132&gt;=GRID_FROM)*('Dvd Calendar'!$T$132&lt;=GRID_TO)*((('Dvd Calendar'!$T$132&lt;=VAL_DATE)+(COUNTIF('Dvd Calendar'!$E$139:$AR$139,'Dvd Calendar'!$T$132)=0))&gt;0)=0,"",'Dvd Calendar'!$T$132*1000000000+ISNUMBER('Dvd Calendar'!$T$135)*100000000+('Dvd Calendar'!$T$137=SPECIAL_LBL)*10000000+(N('Dvd Calendar'!$T$131)&gt;0)*(N('Dvd Calendar'!$T$131)&lt;=VAL_SERIAL)*1000000+12*1000+16))</f>
        <v/>
      </c>
      <c r="EU23" s="39">
        <f>IF(N('Dvd Calendar'!$U$132)=0,"",IF(('Dvd Calendar'!$U$132&gt;=GRID_FROM)*('Dvd Calendar'!$U$132&lt;=GRID_TO)*((('Dvd Calendar'!$U$132&lt;=VAL_DATE)+(COUNTIF('Dvd Calendar'!$E$139:$AR$139,'Dvd Calendar'!$U$132)=0))&gt;0)=0,"",'Dvd Calendar'!$U$132*1000000000+ISNUMBER('Dvd Calendar'!$U$135)*100000000+('Dvd Calendar'!$U$137=SPECIAL_LBL)*10000000+(N('Dvd Calendar'!$U$131)&gt;0)*(N('Dvd Calendar'!$U$131)&lt;=VAL_SERIAL)*1000000+12*1000+17))</f>
        <v/>
      </c>
      <c r="EV23" s="39">
        <f>IF(N('Dvd Calendar'!$V$132)=0,"",IF(('Dvd Calendar'!$V$132&gt;=GRID_FROM)*('Dvd Calendar'!$V$132&lt;=GRID_TO)*((('Dvd Calendar'!$V$132&lt;=VAL_DATE)+(COUNTIF('Dvd Calendar'!$E$139:$AR$139,'Dvd Calendar'!$V$132)=0))&gt;0)=0,"",'Dvd Calendar'!$V$132*1000000000+ISNUMBER('Dvd Calendar'!$V$135)*100000000+('Dvd Calendar'!$V$137=SPECIAL_LBL)*10000000+(N('Dvd Calendar'!$V$131)&gt;0)*(N('Dvd Calendar'!$V$131)&lt;=VAL_SERIAL)*1000000+12*1000+18))</f>
        <v/>
      </c>
      <c r="EW23" s="39">
        <f>IF(N('Dvd Calendar'!$W$132)=0,"",IF(('Dvd Calendar'!$W$132&gt;=GRID_FROM)*('Dvd Calendar'!$W$132&lt;=GRID_TO)*((('Dvd Calendar'!$W$132&lt;=VAL_DATE)+(COUNTIF('Dvd Calendar'!$E$139:$AR$139,'Dvd Calendar'!$W$132)=0))&gt;0)=0,"",'Dvd Calendar'!$W$132*1000000000+ISNUMBER('Dvd Calendar'!$W$135)*100000000+('Dvd Calendar'!$W$137=SPECIAL_LBL)*10000000+(N('Dvd Calendar'!$W$131)&gt;0)*(N('Dvd Calendar'!$W$131)&lt;=VAL_SERIAL)*1000000+12*1000+19))</f>
        <v/>
      </c>
      <c r="EX23" s="39">
        <f>IF(N('Dvd Calendar'!$X$132)=0,"",IF(('Dvd Calendar'!$X$132&gt;=GRID_FROM)*('Dvd Calendar'!$X$132&lt;=GRID_TO)*((('Dvd Calendar'!$X$132&lt;=VAL_DATE)+(COUNTIF('Dvd Calendar'!$E$139:$AR$139,'Dvd Calendar'!$X$132)=0))&gt;0)=0,"",'Dvd Calendar'!$X$132*1000000000+ISNUMBER('Dvd Calendar'!$X$135)*100000000+('Dvd Calendar'!$X$137=SPECIAL_LBL)*10000000+(N('Dvd Calendar'!$X$131)&gt;0)*(N('Dvd Calendar'!$X$131)&lt;=VAL_SERIAL)*1000000+12*1000+20))</f>
        <v/>
      </c>
      <c r="EY23" s="39">
        <f>IF(N('Dvd Calendar'!$Y$132)=0,"",IF(('Dvd Calendar'!$Y$132&gt;=GRID_FROM)*('Dvd Calendar'!$Y$132&lt;=GRID_TO)*((('Dvd Calendar'!$Y$132&lt;=VAL_DATE)+(COUNTIF('Dvd Calendar'!$E$139:$AR$139,'Dvd Calendar'!$Y$132)=0))&gt;0)=0,"",'Dvd Calendar'!$Y$132*1000000000+ISNUMBER('Dvd Calendar'!$Y$135)*100000000+('Dvd Calendar'!$Y$137=SPECIAL_LBL)*10000000+(N('Dvd Calendar'!$Y$131)&gt;0)*(N('Dvd Calendar'!$Y$131)&lt;=VAL_SERIAL)*1000000+12*1000+21))</f>
        <v/>
      </c>
      <c r="EZ23" s="39">
        <f>IF(N('Dvd Calendar'!$Z$132)=0,"",IF(('Dvd Calendar'!$Z$132&gt;=GRID_FROM)*('Dvd Calendar'!$Z$132&lt;=GRID_TO)*((('Dvd Calendar'!$Z$132&lt;=VAL_DATE)+(COUNTIF('Dvd Calendar'!$E$139:$AR$139,'Dvd Calendar'!$Z$132)=0))&gt;0)=0,"",'Dvd Calendar'!$Z$132*1000000000+ISNUMBER('Dvd Calendar'!$Z$135)*100000000+('Dvd Calendar'!$Z$137=SPECIAL_LBL)*10000000+(N('Dvd Calendar'!$Z$131)&gt;0)*(N('Dvd Calendar'!$Z$131)&lt;=VAL_SERIAL)*1000000+12*1000+22))</f>
        <v/>
      </c>
      <c r="FA23" s="39">
        <f>IF(N('Dvd Calendar'!$AA$132)=0,"",IF(('Dvd Calendar'!$AA$132&gt;=GRID_FROM)*('Dvd Calendar'!$AA$132&lt;=GRID_TO)*((('Dvd Calendar'!$AA$132&lt;=VAL_DATE)+(COUNTIF('Dvd Calendar'!$E$139:$AR$139,'Dvd Calendar'!$AA$132)=0))&gt;0)=0,"",'Dvd Calendar'!$AA$132*1000000000+ISNUMBER('Dvd Calendar'!$AA$135)*100000000+('Dvd Calendar'!$AA$137=SPECIAL_LBL)*10000000+(N('Dvd Calendar'!$AA$131)&gt;0)*(N('Dvd Calendar'!$AA$131)&lt;=VAL_SERIAL)*1000000+12*1000+23))</f>
        <v/>
      </c>
      <c r="FB23" s="39">
        <f>IF(N('Dvd Calendar'!$AB$132)=0,"",IF(('Dvd Calendar'!$AB$132&gt;=GRID_FROM)*('Dvd Calendar'!$AB$132&lt;=GRID_TO)*((('Dvd Calendar'!$AB$132&lt;=VAL_DATE)+(COUNTIF('Dvd Calendar'!$E$139:$AR$139,'Dvd Calendar'!$AB$132)=0))&gt;0)=0,"",'Dvd Calendar'!$AB$132*1000000000+ISNUMBER('Dvd Calendar'!$AB$135)*100000000+('Dvd Calendar'!$AB$137=SPECIAL_LBL)*10000000+(N('Dvd Calendar'!$AB$131)&gt;0)*(N('Dvd Calendar'!$AB$131)&lt;=VAL_SERIAL)*1000000+12*1000+24))</f>
        <v/>
      </c>
      <c r="FC23" s="39">
        <f>IF(N('Dvd Calendar'!$AC$132)=0,"",IF(('Dvd Calendar'!$AC$132&gt;=GRID_FROM)*('Dvd Calendar'!$AC$132&lt;=GRID_TO)*((('Dvd Calendar'!$AC$132&lt;=VAL_DATE)+(COUNTIF('Dvd Calendar'!$E$139:$AR$139,'Dvd Calendar'!$AC$132)=0))&gt;0)=0,"",'Dvd Calendar'!$AC$132*1000000000+ISNUMBER('Dvd Calendar'!$AC$135)*100000000+('Dvd Calendar'!$AC$137=SPECIAL_LBL)*10000000+(N('Dvd Calendar'!$AC$131)&gt;0)*(N('Dvd Calendar'!$AC$131)&lt;=VAL_SERIAL)*1000000+12*1000+25))</f>
        <v/>
      </c>
      <c r="FD23" s="39">
        <f>IF(N('Dvd Calendar'!$AD$132)=0,"",IF(('Dvd Calendar'!$AD$132&gt;=GRID_FROM)*('Dvd Calendar'!$AD$132&lt;=GRID_TO)*((('Dvd Calendar'!$AD$132&lt;=VAL_DATE)+(COUNTIF('Dvd Calendar'!$E$139:$AR$139,'Dvd Calendar'!$AD$132)=0))&gt;0)=0,"",'Dvd Calendar'!$AD$132*1000000000+ISNUMBER('Dvd Calendar'!$AD$135)*100000000+('Dvd Calendar'!$AD$137=SPECIAL_LBL)*10000000+(N('Dvd Calendar'!$AD$131)&gt;0)*(N('Dvd Calendar'!$AD$131)&lt;=VAL_SERIAL)*1000000+12*1000+26))</f>
        <v/>
      </c>
      <c r="FE23" s="39">
        <f>IF(N('Dvd Calendar'!$AE$132)=0,"",IF(('Dvd Calendar'!$AE$132&gt;=GRID_FROM)*('Dvd Calendar'!$AE$132&lt;=GRID_TO)*((('Dvd Calendar'!$AE$132&lt;=VAL_DATE)+(COUNTIF('Dvd Calendar'!$E$139:$AR$139,'Dvd Calendar'!$AE$132)=0))&gt;0)=0,"",'Dvd Calendar'!$AE$132*1000000000+ISNUMBER('Dvd Calendar'!$AE$135)*100000000+('Dvd Calendar'!$AE$137=SPECIAL_LBL)*10000000+(N('Dvd Calendar'!$AE$131)&gt;0)*(N('Dvd Calendar'!$AE$131)&lt;=VAL_SERIAL)*1000000+12*1000+27))</f>
        <v/>
      </c>
      <c r="FF23" s="39">
        <f>IF(N('Dvd Calendar'!$AF$132)=0,"",IF(('Dvd Calendar'!$AF$132&gt;=GRID_FROM)*('Dvd Calendar'!$AF$132&lt;=GRID_TO)*((('Dvd Calendar'!$AF$132&lt;=VAL_DATE)+(COUNTIF('Dvd Calendar'!$E$139:$AR$139,'Dvd Calendar'!$AF$132)=0))&gt;0)=0,"",'Dvd Calendar'!$AF$132*1000000000+ISNUMBER('Dvd Calendar'!$AF$135)*100000000+('Dvd Calendar'!$AF$137=SPECIAL_LBL)*10000000+(N('Dvd Calendar'!$AF$131)&gt;0)*(N('Dvd Calendar'!$AF$131)&lt;=VAL_SERIAL)*1000000+12*1000+28))</f>
        <v/>
      </c>
      <c r="FG23" s="39">
        <f>IF(N('Dvd Calendar'!$AG$132)=0,"",IF(('Dvd Calendar'!$AG$132&gt;=GRID_FROM)*('Dvd Calendar'!$AG$132&lt;=GRID_TO)*((('Dvd Calendar'!$AG$132&lt;=VAL_DATE)+(COUNTIF('Dvd Calendar'!$E$139:$AR$139,'Dvd Calendar'!$AG$132)=0))&gt;0)=0,"",'Dvd Calendar'!$AG$132*1000000000+ISNUMBER('Dvd Calendar'!$AG$135)*100000000+('Dvd Calendar'!$AG$137=SPECIAL_LBL)*10000000+(N('Dvd Calendar'!$AG$131)&gt;0)*(N('Dvd Calendar'!$AG$131)&lt;=VAL_SERIAL)*1000000+12*1000+29))</f>
        <v/>
      </c>
      <c r="FH23" s="39">
        <f>IF(N('Dvd Calendar'!$AH$132)=0,"",IF(('Dvd Calendar'!$AH$132&gt;=GRID_FROM)*('Dvd Calendar'!$AH$132&lt;=GRID_TO)*((('Dvd Calendar'!$AH$132&lt;=VAL_DATE)+(COUNTIF('Dvd Calendar'!$E$139:$AR$139,'Dvd Calendar'!$AH$132)=0))&gt;0)=0,"",'Dvd Calendar'!$AH$132*1000000000+ISNUMBER('Dvd Calendar'!$AH$135)*100000000+('Dvd Calendar'!$AH$137=SPECIAL_LBL)*10000000+(N('Dvd Calendar'!$AH$131)&gt;0)*(N('Dvd Calendar'!$AH$131)&lt;=VAL_SERIAL)*1000000+12*1000+30))</f>
        <v/>
      </c>
      <c r="FI23" s="39">
        <f>IF(N('Dvd Calendar'!$AI$132)=0,"",IF(('Dvd Calendar'!$AI$132&gt;=GRID_FROM)*('Dvd Calendar'!$AI$132&lt;=GRID_TO)*((('Dvd Calendar'!$AI$132&lt;=VAL_DATE)+(COUNTIF('Dvd Calendar'!$E$139:$AR$139,'Dvd Calendar'!$AI$132)=0))&gt;0)=0,"",'Dvd Calendar'!$AI$132*1000000000+ISNUMBER('Dvd Calendar'!$AI$135)*100000000+('Dvd Calendar'!$AI$137=SPECIAL_LBL)*10000000+(N('Dvd Calendar'!$AI$131)&gt;0)*(N('Dvd Calendar'!$AI$131)&lt;=VAL_SERIAL)*1000000+12*1000+31))</f>
        <v/>
      </c>
      <c r="FJ23" s="39">
        <f>IF(N('Dvd Calendar'!$AJ$132)=0,"",IF(('Dvd Calendar'!$AJ$132&gt;=GRID_FROM)*('Dvd Calendar'!$AJ$132&lt;=GRID_TO)*((('Dvd Calendar'!$AJ$132&lt;=VAL_DATE)+(COUNTIF('Dvd Calendar'!$E$139:$AR$139,'Dvd Calendar'!$AJ$132)=0))&gt;0)=0,"",'Dvd Calendar'!$AJ$132*1000000000+ISNUMBER('Dvd Calendar'!$AJ$135)*100000000+('Dvd Calendar'!$AJ$137=SPECIAL_LBL)*10000000+(N('Dvd Calendar'!$AJ$131)&gt;0)*(N('Dvd Calendar'!$AJ$131)&lt;=VAL_SERIAL)*1000000+12*1000+32))</f>
        <v/>
      </c>
      <c r="FK23" s="39">
        <f>IF(N('Dvd Calendar'!$AK$132)=0,"",IF(('Dvd Calendar'!$AK$132&gt;=GRID_FROM)*('Dvd Calendar'!$AK$132&lt;=GRID_TO)*((('Dvd Calendar'!$AK$132&lt;=VAL_DATE)+(COUNTIF('Dvd Calendar'!$E$139:$AR$139,'Dvd Calendar'!$AK$132)=0))&gt;0)=0,"",'Dvd Calendar'!$AK$132*1000000000+ISNUMBER('Dvd Calendar'!$AK$135)*100000000+('Dvd Calendar'!$AK$137=SPECIAL_LBL)*10000000+(N('Dvd Calendar'!$AK$131)&gt;0)*(N('Dvd Calendar'!$AK$131)&lt;=VAL_SERIAL)*1000000+12*1000+33))</f>
        <v/>
      </c>
      <c r="FL23" s="39">
        <f>IF(N('Dvd Calendar'!$AL$132)=0,"",IF(('Dvd Calendar'!$AL$132&gt;=GRID_FROM)*('Dvd Calendar'!$AL$132&lt;=GRID_TO)*((('Dvd Calendar'!$AL$132&lt;=VAL_DATE)+(COUNTIF('Dvd Calendar'!$E$139:$AR$139,'Dvd Calendar'!$AL$132)=0))&gt;0)=0,"",'Dvd Calendar'!$AL$132*1000000000+ISNUMBER('Dvd Calendar'!$AL$135)*100000000+('Dvd Calendar'!$AL$137=SPECIAL_LBL)*10000000+(N('Dvd Calendar'!$AL$131)&gt;0)*(N('Dvd Calendar'!$AL$131)&lt;=VAL_SERIAL)*1000000+12*1000+34))</f>
        <v/>
      </c>
      <c r="FM23" s="39">
        <f>IF(N('Dvd Calendar'!$AM$132)=0,"",IF(('Dvd Calendar'!$AM$132&gt;=GRID_FROM)*('Dvd Calendar'!$AM$132&lt;=GRID_TO)*((('Dvd Calendar'!$AM$132&lt;=VAL_DATE)+(COUNTIF('Dvd Calendar'!$E$139:$AR$139,'Dvd Calendar'!$AM$132)=0))&gt;0)=0,"",'Dvd Calendar'!$AM$132*1000000000+ISNUMBER('Dvd Calendar'!$AM$135)*100000000+('Dvd Calendar'!$AM$137=SPECIAL_LBL)*10000000+(N('Dvd Calendar'!$AM$131)&gt;0)*(N('Dvd Calendar'!$AM$131)&lt;=VAL_SERIAL)*1000000+12*1000+35))</f>
        <v/>
      </c>
      <c r="FN23" s="39">
        <f>IF(N('Dvd Calendar'!$AN$132)=0,"",IF(('Dvd Calendar'!$AN$132&gt;=GRID_FROM)*('Dvd Calendar'!$AN$132&lt;=GRID_TO)*((('Dvd Calendar'!$AN$132&lt;=VAL_DATE)+(COUNTIF('Dvd Calendar'!$E$139:$AR$139,'Dvd Calendar'!$AN$132)=0))&gt;0)=0,"",'Dvd Calendar'!$AN$132*1000000000+ISNUMBER('Dvd Calendar'!$AN$135)*100000000+('Dvd Calendar'!$AN$137=SPECIAL_LBL)*10000000+(N('Dvd Calendar'!$AN$131)&gt;0)*(N('Dvd Calendar'!$AN$131)&lt;=VAL_SERIAL)*1000000+12*1000+36))</f>
        <v/>
      </c>
      <c r="FO23" s="39">
        <f>IF(N('Dvd Calendar'!$AO$132)=0,"",IF(('Dvd Calendar'!$AO$132&gt;=GRID_FROM)*('Dvd Calendar'!$AO$132&lt;=GRID_TO)*((('Dvd Calendar'!$AO$132&lt;=VAL_DATE)+(COUNTIF('Dvd Calendar'!$E$139:$AR$139,'Dvd Calendar'!$AO$132)=0))&gt;0)=0,"",'Dvd Calendar'!$AO$132*1000000000+ISNUMBER('Dvd Calendar'!$AO$135)*100000000+('Dvd Calendar'!$AO$137=SPECIAL_LBL)*10000000+(N('Dvd Calendar'!$AO$131)&gt;0)*(N('Dvd Calendar'!$AO$131)&lt;=VAL_SERIAL)*1000000+12*1000+37))</f>
        <v/>
      </c>
      <c r="FP23" s="39">
        <f>IF(N('Dvd Calendar'!$AP$132)=0,"",IF(('Dvd Calendar'!$AP$132&gt;=GRID_FROM)*('Dvd Calendar'!$AP$132&lt;=GRID_TO)*((('Dvd Calendar'!$AP$132&lt;=VAL_DATE)+(COUNTIF('Dvd Calendar'!$E$139:$AR$139,'Dvd Calendar'!$AP$132)=0))&gt;0)=0,"",'Dvd Calendar'!$AP$132*1000000000+ISNUMBER('Dvd Calendar'!$AP$135)*100000000+('Dvd Calendar'!$AP$137=SPECIAL_LBL)*10000000+(N('Dvd Calendar'!$AP$131)&gt;0)*(N('Dvd Calendar'!$AP$131)&lt;=VAL_SERIAL)*1000000+12*1000+38))</f>
        <v/>
      </c>
      <c r="FQ23" s="39">
        <f>IF(N('Dvd Calendar'!$AQ$132)=0,"",IF(('Dvd Calendar'!$AQ$132&gt;=GRID_FROM)*('Dvd Calendar'!$AQ$132&lt;=GRID_TO)*((('Dvd Calendar'!$AQ$132&lt;=VAL_DATE)+(COUNTIF('Dvd Calendar'!$E$139:$AR$139,'Dvd Calendar'!$AQ$132)=0))&gt;0)=0,"",'Dvd Calendar'!$AQ$132*1000000000+ISNUMBER('Dvd Calendar'!$AQ$135)*100000000+('Dvd Calendar'!$AQ$137=SPECIAL_LBL)*10000000+(N('Dvd Calendar'!$AQ$131)&gt;0)*(N('Dvd Calendar'!$AQ$131)&lt;=VAL_SERIAL)*1000000+12*1000+39))</f>
        <v/>
      </c>
      <c r="FR23" s="39">
        <f>IF(N('Dvd Calendar'!$AR$132)=0,"",IF(('Dvd Calendar'!$AR$132&gt;=GRID_FROM)*('Dvd Calendar'!$AR$132&lt;=GRID_TO)*((('Dvd Calendar'!$AR$132&lt;=VAL_DATE)+(COUNTIF('Dvd Calendar'!$E$139:$AR$139,'Dvd Calendar'!$AR$132)=0))&gt;0)=0,"",'Dvd Calendar'!$AR$132*1000000000+ISNUMBER('Dvd Calendar'!$AR$135)*100000000+('Dvd Calendar'!$AR$137=SPECIAL_LBL)*10000000+(N('Dvd Calendar'!$AR$131)&gt;0)*(N('Dvd Calendar'!$AR$131)&lt;=VAL_SERIAL)*1000000+12*1000+40))</f>
        <v/>
      </c>
      <c r="FS23" s="39">
        <f>IF(N('Dvd Calendar'!$E$139)=0,"",IF(('Dvd Calendar'!$E$139&gt;=GRID_FROM)*('Dvd Calendar'!$E$139&lt;=GRID_TO)*('Dvd Calendar'!$E$139&gt;VAL_DATE)=0,"",'Dvd Calendar'!$E$139*1000000000+ISNUMBER('Dvd Calendar'!$E$140)*100000000+0*10000000+(N('Dvd Calendar'!$E$138)&gt;0)*(N('Dvd Calendar'!$E$138)&lt;=VAL_SERIAL)*1000000+12*1000+41))</f>
        <v/>
      </c>
      <c r="FT23" s="39">
        <f>IF(N('Dvd Calendar'!$F$139)=0,"",IF(('Dvd Calendar'!$F$139&gt;=GRID_FROM)*('Dvd Calendar'!$F$139&lt;=GRID_TO)*('Dvd Calendar'!$F$139&gt;VAL_DATE)=0,"",'Dvd Calendar'!$F$139*1000000000+ISNUMBER('Dvd Calendar'!$F$140)*100000000+0*10000000+(N('Dvd Calendar'!$F$138)&gt;0)*(N('Dvd Calendar'!$F$138)&lt;=VAL_SERIAL)*1000000+12*1000+42))</f>
        <v/>
      </c>
      <c r="FU23" s="39">
        <f>IF(N('Dvd Calendar'!$G$139)=0,"",IF(('Dvd Calendar'!$G$139&gt;=GRID_FROM)*('Dvd Calendar'!$G$139&lt;=GRID_TO)*('Dvd Calendar'!$G$139&gt;VAL_DATE)=0,"",'Dvd Calendar'!$G$139*1000000000+ISNUMBER('Dvd Calendar'!$G$140)*100000000+0*10000000+(N('Dvd Calendar'!$G$138)&gt;0)*(N('Dvd Calendar'!$G$138)&lt;=VAL_SERIAL)*1000000+12*1000+43))</f>
        <v/>
      </c>
      <c r="FV23" s="39">
        <f>IF(N('Dvd Calendar'!$H$139)=0,"",IF(('Dvd Calendar'!$H$139&gt;=GRID_FROM)*('Dvd Calendar'!$H$139&lt;=GRID_TO)*('Dvd Calendar'!$H$139&gt;VAL_DATE)=0,"",'Dvd Calendar'!$H$139*1000000000+ISNUMBER('Dvd Calendar'!$H$140)*100000000+0*10000000+(N('Dvd Calendar'!$H$138)&gt;0)*(N('Dvd Calendar'!$H$138)&lt;=VAL_SERIAL)*1000000+12*1000+44))</f>
        <v/>
      </c>
      <c r="FW23" s="39">
        <f>IF(N('Dvd Calendar'!$I$139)=0,"",IF(('Dvd Calendar'!$I$139&gt;=GRID_FROM)*('Dvd Calendar'!$I$139&lt;=GRID_TO)*('Dvd Calendar'!$I$139&gt;VAL_DATE)=0,"",'Dvd Calendar'!$I$139*1000000000+ISNUMBER('Dvd Calendar'!$I$140)*100000000+0*10000000+(N('Dvd Calendar'!$I$138)&gt;0)*(N('Dvd Calendar'!$I$138)&lt;=VAL_SERIAL)*1000000+12*1000+45))</f>
        <v/>
      </c>
      <c r="FX23" s="39">
        <f>IF(N('Dvd Calendar'!$J$139)=0,"",IF(('Dvd Calendar'!$J$139&gt;=GRID_FROM)*('Dvd Calendar'!$J$139&lt;=GRID_TO)*('Dvd Calendar'!$J$139&gt;VAL_DATE)=0,"",'Dvd Calendar'!$J$139*1000000000+ISNUMBER('Dvd Calendar'!$J$140)*100000000+0*10000000+(N('Dvd Calendar'!$J$138)&gt;0)*(N('Dvd Calendar'!$J$138)&lt;=VAL_SERIAL)*1000000+12*1000+46))</f>
        <v/>
      </c>
      <c r="FY23" s="39">
        <f>IF(N('Dvd Calendar'!$K$139)=0,"",IF(('Dvd Calendar'!$K$139&gt;=GRID_FROM)*('Dvd Calendar'!$K$139&lt;=GRID_TO)*('Dvd Calendar'!$K$139&gt;VAL_DATE)=0,"",'Dvd Calendar'!$K$139*1000000000+ISNUMBER('Dvd Calendar'!$K$140)*100000000+0*10000000+(N('Dvd Calendar'!$K$138)&gt;0)*(N('Dvd Calendar'!$K$138)&lt;=VAL_SERIAL)*1000000+12*1000+47))</f>
        <v/>
      </c>
      <c r="FZ23" s="39">
        <f>IF(N('Dvd Calendar'!$L$139)=0,"",IF(('Dvd Calendar'!$L$139&gt;=GRID_FROM)*('Dvd Calendar'!$L$139&lt;=GRID_TO)*('Dvd Calendar'!$L$139&gt;VAL_DATE)=0,"",'Dvd Calendar'!$L$139*1000000000+ISNUMBER('Dvd Calendar'!$L$140)*100000000+0*10000000+(N('Dvd Calendar'!$L$138)&gt;0)*(N('Dvd Calendar'!$L$138)&lt;=VAL_SERIAL)*1000000+12*1000+48))</f>
        <v/>
      </c>
      <c r="GA23" s="39">
        <f>IF(N('Dvd Calendar'!$M$139)=0,"",IF(('Dvd Calendar'!$M$139&gt;=GRID_FROM)*('Dvd Calendar'!$M$139&lt;=GRID_TO)*('Dvd Calendar'!$M$139&gt;VAL_DATE)=0,"",'Dvd Calendar'!$M$139*1000000000+ISNUMBER('Dvd Calendar'!$M$140)*100000000+0*10000000+(N('Dvd Calendar'!$M$138)&gt;0)*(N('Dvd Calendar'!$M$138)&lt;=VAL_SERIAL)*1000000+12*1000+49))</f>
        <v/>
      </c>
      <c r="GB23" s="39">
        <f>IF(N('Dvd Calendar'!$N$139)=0,"",IF(('Dvd Calendar'!$N$139&gt;=GRID_FROM)*('Dvd Calendar'!$N$139&lt;=GRID_TO)*('Dvd Calendar'!$N$139&gt;VAL_DATE)=0,"",'Dvd Calendar'!$N$139*1000000000+ISNUMBER('Dvd Calendar'!$N$140)*100000000+0*10000000+(N('Dvd Calendar'!$N$138)&gt;0)*(N('Dvd Calendar'!$N$138)&lt;=VAL_SERIAL)*1000000+12*1000+50))</f>
        <v/>
      </c>
      <c r="GC23" s="39">
        <f>IF(N('Dvd Calendar'!$O$139)=0,"",IF(('Dvd Calendar'!$O$139&gt;=GRID_FROM)*('Dvd Calendar'!$O$139&lt;=GRID_TO)*('Dvd Calendar'!$O$139&gt;VAL_DATE)=0,"",'Dvd Calendar'!$O$139*1000000000+ISNUMBER('Dvd Calendar'!$O$140)*100000000+0*10000000+(N('Dvd Calendar'!$O$138)&gt;0)*(N('Dvd Calendar'!$O$138)&lt;=VAL_SERIAL)*1000000+12*1000+51))</f>
        <v/>
      </c>
      <c r="GD23" s="39">
        <f>IF(N('Dvd Calendar'!$P$139)=0,"",IF(('Dvd Calendar'!$P$139&gt;=GRID_FROM)*('Dvd Calendar'!$P$139&lt;=GRID_TO)*('Dvd Calendar'!$P$139&gt;VAL_DATE)=0,"",'Dvd Calendar'!$P$139*1000000000+ISNUMBER('Dvd Calendar'!$P$140)*100000000+0*10000000+(N('Dvd Calendar'!$P$138)&gt;0)*(N('Dvd Calendar'!$P$138)&lt;=VAL_SERIAL)*1000000+12*1000+52))</f>
        <v/>
      </c>
      <c r="GE23" s="39">
        <f>IF(N('Dvd Calendar'!$Q$139)=0,"",IF(('Dvd Calendar'!$Q$139&gt;=GRID_FROM)*('Dvd Calendar'!$Q$139&lt;=GRID_TO)*('Dvd Calendar'!$Q$139&gt;VAL_DATE)=0,"",'Dvd Calendar'!$Q$139*1000000000+ISNUMBER('Dvd Calendar'!$Q$140)*100000000+0*10000000+(N('Dvd Calendar'!$Q$138)&gt;0)*(N('Dvd Calendar'!$Q$138)&lt;=VAL_SERIAL)*1000000+12*1000+53))</f>
        <v/>
      </c>
      <c r="GF23" s="39">
        <f>IF(N('Dvd Calendar'!$R$139)=0,"",IF(('Dvd Calendar'!$R$139&gt;=GRID_FROM)*('Dvd Calendar'!$R$139&lt;=GRID_TO)*('Dvd Calendar'!$R$139&gt;VAL_DATE)=0,"",'Dvd Calendar'!$R$139*1000000000+ISNUMBER('Dvd Calendar'!$R$140)*100000000+0*10000000+(N('Dvd Calendar'!$R$138)&gt;0)*(N('Dvd Calendar'!$R$138)&lt;=VAL_SERIAL)*1000000+12*1000+54))</f>
        <v/>
      </c>
      <c r="GG23" s="39">
        <f>IF(N('Dvd Calendar'!$S$139)=0,"",IF(('Dvd Calendar'!$S$139&gt;=GRID_FROM)*('Dvd Calendar'!$S$139&lt;=GRID_TO)*('Dvd Calendar'!$S$139&gt;VAL_DATE)=0,"",'Dvd Calendar'!$S$139*1000000000+ISNUMBER('Dvd Calendar'!$S$140)*100000000+0*10000000+(N('Dvd Calendar'!$S$138)&gt;0)*(N('Dvd Calendar'!$S$138)&lt;=VAL_SERIAL)*1000000+12*1000+55))</f>
        <v/>
      </c>
      <c r="GH23" s="39">
        <f>IF(N('Dvd Calendar'!$T$139)=0,"",IF(('Dvd Calendar'!$T$139&gt;=GRID_FROM)*('Dvd Calendar'!$T$139&lt;=GRID_TO)*('Dvd Calendar'!$T$139&gt;VAL_DATE)=0,"",'Dvd Calendar'!$T$139*1000000000+ISNUMBER('Dvd Calendar'!$T$140)*100000000+0*10000000+(N('Dvd Calendar'!$T$138)&gt;0)*(N('Dvd Calendar'!$T$138)&lt;=VAL_SERIAL)*1000000+12*1000+56))</f>
        <v/>
      </c>
      <c r="GI23" s="39">
        <f>IF(N('Dvd Calendar'!$U$139)=0,"",IF(('Dvd Calendar'!$U$139&gt;=GRID_FROM)*('Dvd Calendar'!$U$139&lt;=GRID_TO)*('Dvd Calendar'!$U$139&gt;VAL_DATE)=0,"",'Dvd Calendar'!$U$139*1000000000+ISNUMBER('Dvd Calendar'!$U$140)*100000000+0*10000000+(N('Dvd Calendar'!$U$138)&gt;0)*(N('Dvd Calendar'!$U$138)&lt;=VAL_SERIAL)*1000000+12*1000+57))</f>
        <v/>
      </c>
      <c r="GJ23" s="39">
        <f>IF(N('Dvd Calendar'!$V$139)=0,"",IF(('Dvd Calendar'!$V$139&gt;=GRID_FROM)*('Dvd Calendar'!$V$139&lt;=GRID_TO)*('Dvd Calendar'!$V$139&gt;VAL_DATE)=0,"",'Dvd Calendar'!$V$139*1000000000+ISNUMBER('Dvd Calendar'!$V$140)*100000000+0*10000000+(N('Dvd Calendar'!$V$138)&gt;0)*(N('Dvd Calendar'!$V$138)&lt;=VAL_SERIAL)*1000000+12*1000+58))</f>
        <v/>
      </c>
      <c r="GK23" s="39">
        <f>IF(N('Dvd Calendar'!$W$139)=0,"",IF(('Dvd Calendar'!$W$139&gt;=GRID_FROM)*('Dvd Calendar'!$W$139&lt;=GRID_TO)*('Dvd Calendar'!$W$139&gt;VAL_DATE)=0,"",'Dvd Calendar'!$W$139*1000000000+ISNUMBER('Dvd Calendar'!$W$140)*100000000+0*10000000+(N('Dvd Calendar'!$W$138)&gt;0)*(N('Dvd Calendar'!$W$138)&lt;=VAL_SERIAL)*1000000+12*1000+59))</f>
        <v/>
      </c>
      <c r="GL23" s="39">
        <f>IF(N('Dvd Calendar'!$X$139)=0,"",IF(('Dvd Calendar'!$X$139&gt;=GRID_FROM)*('Dvd Calendar'!$X$139&lt;=GRID_TO)*('Dvd Calendar'!$X$139&gt;VAL_DATE)=0,"",'Dvd Calendar'!$X$139*1000000000+ISNUMBER('Dvd Calendar'!$X$140)*100000000+0*10000000+(N('Dvd Calendar'!$X$138)&gt;0)*(N('Dvd Calendar'!$X$138)&lt;=VAL_SERIAL)*1000000+12*1000+60))</f>
        <v/>
      </c>
      <c r="GM23" s="39">
        <f>IF(N('Dvd Calendar'!$Y$139)=0,"",IF(('Dvd Calendar'!$Y$139&gt;=GRID_FROM)*('Dvd Calendar'!$Y$139&lt;=GRID_TO)*('Dvd Calendar'!$Y$139&gt;VAL_DATE)=0,"",'Dvd Calendar'!$Y$139*1000000000+ISNUMBER('Dvd Calendar'!$Y$140)*100000000+0*10000000+(N('Dvd Calendar'!$Y$138)&gt;0)*(N('Dvd Calendar'!$Y$138)&lt;=VAL_SERIAL)*1000000+12*1000+61))</f>
        <v/>
      </c>
      <c r="GN23" s="39">
        <f>IF(N('Dvd Calendar'!$Z$139)=0,"",IF(('Dvd Calendar'!$Z$139&gt;=GRID_FROM)*('Dvd Calendar'!$Z$139&lt;=GRID_TO)*('Dvd Calendar'!$Z$139&gt;VAL_DATE)=0,"",'Dvd Calendar'!$Z$139*1000000000+ISNUMBER('Dvd Calendar'!$Z$140)*100000000+0*10000000+(N('Dvd Calendar'!$Z$138)&gt;0)*(N('Dvd Calendar'!$Z$138)&lt;=VAL_SERIAL)*1000000+12*1000+62))</f>
        <v/>
      </c>
      <c r="GO23" s="39">
        <f>IF(N('Dvd Calendar'!$AA$139)=0,"",IF(('Dvd Calendar'!$AA$139&gt;=GRID_FROM)*('Dvd Calendar'!$AA$139&lt;=GRID_TO)*('Dvd Calendar'!$AA$139&gt;VAL_DATE)=0,"",'Dvd Calendar'!$AA$139*1000000000+ISNUMBER('Dvd Calendar'!$AA$140)*100000000+0*10000000+(N('Dvd Calendar'!$AA$138)&gt;0)*(N('Dvd Calendar'!$AA$138)&lt;=VAL_SERIAL)*1000000+12*1000+63))</f>
        <v/>
      </c>
      <c r="GP23" s="39">
        <f>IF(N('Dvd Calendar'!$AB$139)=0,"",IF(('Dvd Calendar'!$AB$139&gt;=GRID_FROM)*('Dvd Calendar'!$AB$139&lt;=GRID_TO)*('Dvd Calendar'!$AB$139&gt;VAL_DATE)=0,"",'Dvd Calendar'!$AB$139*1000000000+ISNUMBER('Dvd Calendar'!$AB$140)*100000000+0*10000000+(N('Dvd Calendar'!$AB$138)&gt;0)*(N('Dvd Calendar'!$AB$138)&lt;=VAL_SERIAL)*1000000+12*1000+64))</f>
        <v/>
      </c>
      <c r="GQ23" s="39">
        <f>IF(N('Dvd Calendar'!$AC$139)=0,"",IF(('Dvd Calendar'!$AC$139&gt;=GRID_FROM)*('Dvd Calendar'!$AC$139&lt;=GRID_TO)*('Dvd Calendar'!$AC$139&gt;VAL_DATE)=0,"",'Dvd Calendar'!$AC$139*1000000000+ISNUMBER('Dvd Calendar'!$AC$140)*100000000+0*10000000+(N('Dvd Calendar'!$AC$138)&gt;0)*(N('Dvd Calendar'!$AC$138)&lt;=VAL_SERIAL)*1000000+12*1000+65))</f>
        <v/>
      </c>
    </row>
    <row r="24">
      <c r="B24" s="2">
        <f>IF(HSI!$C$19="","",HSI!$C$19)</f>
        <v/>
      </c>
      <c r="C24" s="110">
        <f>IF(EE24="","",IF(ISNUMBER('Dvd Calendar'!$E$146)=FALSE,"",IF((('Dvd Calendar'!$E$148=TYPE1)*(TYPE1&lt;&gt;"")+('Dvd Calendar'!$E$148=TYPE2)*(TYPE2&lt;&gt;"")+('Dvd Calendar'!$E$148=TYPE3)*(TYPE3&lt;&gt;"")+('Dvd Calendar'!$E$148=TYPE4)*(TYPE4&lt;&gt;"")+('Dvd Calendar'!$E$148=SPECIAL_LBL)*(INC_SPECIALS="Y"))=0,"",'Dvd Calendar'!$E$146)))</f>
        <v/>
      </c>
      <c r="D24" s="110">
        <f>IF(EF24="","",IF(ISNUMBER('Dvd Calendar'!$F$146)=FALSE,"",IF((('Dvd Calendar'!$F$148=TYPE1)*(TYPE1&lt;&gt;"")+('Dvd Calendar'!$F$148=TYPE2)*(TYPE2&lt;&gt;"")+('Dvd Calendar'!$F$148=TYPE3)*(TYPE3&lt;&gt;"")+('Dvd Calendar'!$F$148=TYPE4)*(TYPE4&lt;&gt;"")+('Dvd Calendar'!$F$148=SPECIAL_LBL)*(INC_SPECIALS="Y"))=0,"",'Dvd Calendar'!$F$146)))</f>
        <v/>
      </c>
      <c r="E24" s="110">
        <f>IF(EG24="","",IF(ISNUMBER('Dvd Calendar'!$G$146)=FALSE,"",IF((('Dvd Calendar'!$G$148=TYPE1)*(TYPE1&lt;&gt;"")+('Dvd Calendar'!$G$148=TYPE2)*(TYPE2&lt;&gt;"")+('Dvd Calendar'!$G$148=TYPE3)*(TYPE3&lt;&gt;"")+('Dvd Calendar'!$G$148=TYPE4)*(TYPE4&lt;&gt;"")+('Dvd Calendar'!$G$148=SPECIAL_LBL)*(INC_SPECIALS="Y"))=0,"",'Dvd Calendar'!$G$146)))</f>
        <v/>
      </c>
      <c r="F24" s="110">
        <f>IF(EH24="","",IF(ISNUMBER('Dvd Calendar'!$H$146)=FALSE,"",IF((('Dvd Calendar'!$H$148=TYPE1)*(TYPE1&lt;&gt;"")+('Dvd Calendar'!$H$148=TYPE2)*(TYPE2&lt;&gt;"")+('Dvd Calendar'!$H$148=TYPE3)*(TYPE3&lt;&gt;"")+('Dvd Calendar'!$H$148=TYPE4)*(TYPE4&lt;&gt;"")+('Dvd Calendar'!$H$148=SPECIAL_LBL)*(INC_SPECIALS="Y"))=0,"",'Dvd Calendar'!$H$146)))</f>
        <v/>
      </c>
      <c r="G24" s="110">
        <f>IF(EI24="","",IF(ISNUMBER('Dvd Calendar'!$I$146)=FALSE,"",IF((('Dvd Calendar'!$I$148=TYPE1)*(TYPE1&lt;&gt;"")+('Dvd Calendar'!$I$148=TYPE2)*(TYPE2&lt;&gt;"")+('Dvd Calendar'!$I$148=TYPE3)*(TYPE3&lt;&gt;"")+('Dvd Calendar'!$I$148=TYPE4)*(TYPE4&lt;&gt;"")+('Dvd Calendar'!$I$148=SPECIAL_LBL)*(INC_SPECIALS="Y"))=0,"",'Dvd Calendar'!$I$146)))</f>
        <v/>
      </c>
      <c r="H24" s="110">
        <f>IF(EJ24="","",IF(ISNUMBER('Dvd Calendar'!$J$146)=FALSE,"",IF((('Dvd Calendar'!$J$148=TYPE1)*(TYPE1&lt;&gt;"")+('Dvd Calendar'!$J$148=TYPE2)*(TYPE2&lt;&gt;"")+('Dvd Calendar'!$J$148=TYPE3)*(TYPE3&lt;&gt;"")+('Dvd Calendar'!$J$148=TYPE4)*(TYPE4&lt;&gt;"")+('Dvd Calendar'!$J$148=SPECIAL_LBL)*(INC_SPECIALS="Y"))=0,"",'Dvd Calendar'!$J$146)))</f>
        <v/>
      </c>
      <c r="I24" s="110">
        <f>IF(EK24="","",IF(ISNUMBER('Dvd Calendar'!$K$146)=FALSE,"",IF((('Dvd Calendar'!$K$148=TYPE1)*(TYPE1&lt;&gt;"")+('Dvd Calendar'!$K$148=TYPE2)*(TYPE2&lt;&gt;"")+('Dvd Calendar'!$K$148=TYPE3)*(TYPE3&lt;&gt;"")+('Dvd Calendar'!$K$148=TYPE4)*(TYPE4&lt;&gt;"")+('Dvd Calendar'!$K$148=SPECIAL_LBL)*(INC_SPECIALS="Y"))=0,"",'Dvd Calendar'!$K$146)))</f>
        <v/>
      </c>
      <c r="J24" s="110">
        <f>IF(EL24="","",IF(ISNUMBER('Dvd Calendar'!$L$146)=FALSE,"",IF((('Dvd Calendar'!$L$148=TYPE1)*(TYPE1&lt;&gt;"")+('Dvd Calendar'!$L$148=TYPE2)*(TYPE2&lt;&gt;"")+('Dvd Calendar'!$L$148=TYPE3)*(TYPE3&lt;&gt;"")+('Dvd Calendar'!$L$148=TYPE4)*(TYPE4&lt;&gt;"")+('Dvd Calendar'!$L$148=SPECIAL_LBL)*(INC_SPECIALS="Y"))=0,"",'Dvd Calendar'!$L$146)))</f>
        <v/>
      </c>
      <c r="K24" s="110">
        <f>IF(EM24="","",IF(ISNUMBER('Dvd Calendar'!$M$146)=FALSE,"",IF((('Dvd Calendar'!$M$148=TYPE1)*(TYPE1&lt;&gt;"")+('Dvd Calendar'!$M$148=TYPE2)*(TYPE2&lt;&gt;"")+('Dvd Calendar'!$M$148=TYPE3)*(TYPE3&lt;&gt;"")+('Dvd Calendar'!$M$148=TYPE4)*(TYPE4&lt;&gt;"")+('Dvd Calendar'!$M$148=SPECIAL_LBL)*(INC_SPECIALS="Y"))=0,"",'Dvd Calendar'!$M$146)))</f>
        <v/>
      </c>
      <c r="L24" s="110">
        <f>IF(EN24="","",IF(ISNUMBER('Dvd Calendar'!$N$146)=FALSE,"",IF((('Dvd Calendar'!$N$148=TYPE1)*(TYPE1&lt;&gt;"")+('Dvd Calendar'!$N$148=TYPE2)*(TYPE2&lt;&gt;"")+('Dvd Calendar'!$N$148=TYPE3)*(TYPE3&lt;&gt;"")+('Dvd Calendar'!$N$148=TYPE4)*(TYPE4&lt;&gt;"")+('Dvd Calendar'!$N$148=SPECIAL_LBL)*(INC_SPECIALS="Y"))=0,"",'Dvd Calendar'!$N$146)))</f>
        <v/>
      </c>
      <c r="M24" s="110">
        <f>IF(EO24="","",IF(ISNUMBER('Dvd Calendar'!$O$146)=FALSE,"",IF((('Dvd Calendar'!$O$148=TYPE1)*(TYPE1&lt;&gt;"")+('Dvd Calendar'!$O$148=TYPE2)*(TYPE2&lt;&gt;"")+('Dvd Calendar'!$O$148=TYPE3)*(TYPE3&lt;&gt;"")+('Dvd Calendar'!$O$148=TYPE4)*(TYPE4&lt;&gt;"")+('Dvd Calendar'!$O$148=SPECIAL_LBL)*(INC_SPECIALS="Y"))=0,"",'Dvd Calendar'!$O$146)))</f>
        <v/>
      </c>
      <c r="N24" s="110">
        <f>IF(EP24="","",IF(ISNUMBER('Dvd Calendar'!$P$146)=FALSE,"",IF((('Dvd Calendar'!$P$148=TYPE1)*(TYPE1&lt;&gt;"")+('Dvd Calendar'!$P$148=TYPE2)*(TYPE2&lt;&gt;"")+('Dvd Calendar'!$P$148=TYPE3)*(TYPE3&lt;&gt;"")+('Dvd Calendar'!$P$148=TYPE4)*(TYPE4&lt;&gt;"")+('Dvd Calendar'!$P$148=SPECIAL_LBL)*(INC_SPECIALS="Y"))=0,"",'Dvd Calendar'!$P$146)))</f>
        <v/>
      </c>
      <c r="O24" s="110">
        <f>IF(EQ24="","",IF(ISNUMBER('Dvd Calendar'!$Q$146)=FALSE,"",IF((('Dvd Calendar'!$Q$148=TYPE1)*(TYPE1&lt;&gt;"")+('Dvd Calendar'!$Q$148=TYPE2)*(TYPE2&lt;&gt;"")+('Dvd Calendar'!$Q$148=TYPE3)*(TYPE3&lt;&gt;"")+('Dvd Calendar'!$Q$148=TYPE4)*(TYPE4&lt;&gt;"")+('Dvd Calendar'!$Q$148=SPECIAL_LBL)*(INC_SPECIALS="Y"))=0,"",'Dvd Calendar'!$Q$146)))</f>
        <v/>
      </c>
      <c r="P24" s="110">
        <f>IF(ER24="","",IF(ISNUMBER('Dvd Calendar'!$R$146)=FALSE,"",IF((('Dvd Calendar'!$R$148=TYPE1)*(TYPE1&lt;&gt;"")+('Dvd Calendar'!$R$148=TYPE2)*(TYPE2&lt;&gt;"")+('Dvd Calendar'!$R$148=TYPE3)*(TYPE3&lt;&gt;"")+('Dvd Calendar'!$R$148=TYPE4)*(TYPE4&lt;&gt;"")+('Dvd Calendar'!$R$148=SPECIAL_LBL)*(INC_SPECIALS="Y"))=0,"",'Dvd Calendar'!$R$146)))</f>
        <v/>
      </c>
      <c r="Q24" s="110">
        <f>IF(ES24="","",IF(ISNUMBER('Dvd Calendar'!$S$146)=FALSE,"",IF((('Dvd Calendar'!$S$148=TYPE1)*(TYPE1&lt;&gt;"")+('Dvd Calendar'!$S$148=TYPE2)*(TYPE2&lt;&gt;"")+('Dvd Calendar'!$S$148=TYPE3)*(TYPE3&lt;&gt;"")+('Dvd Calendar'!$S$148=TYPE4)*(TYPE4&lt;&gt;"")+('Dvd Calendar'!$S$148=SPECIAL_LBL)*(INC_SPECIALS="Y"))=0,"",'Dvd Calendar'!$S$146)))</f>
        <v/>
      </c>
      <c r="R24" s="110">
        <f>IF(ET24="","",IF(ISNUMBER('Dvd Calendar'!$T$146)=FALSE,"",IF((('Dvd Calendar'!$T$148=TYPE1)*(TYPE1&lt;&gt;"")+('Dvd Calendar'!$T$148=TYPE2)*(TYPE2&lt;&gt;"")+('Dvd Calendar'!$T$148=TYPE3)*(TYPE3&lt;&gt;"")+('Dvd Calendar'!$T$148=TYPE4)*(TYPE4&lt;&gt;"")+('Dvd Calendar'!$T$148=SPECIAL_LBL)*(INC_SPECIALS="Y"))=0,"",'Dvd Calendar'!$T$146)))</f>
        <v/>
      </c>
      <c r="S24" s="110">
        <f>IF(EU24="","",IF(ISNUMBER('Dvd Calendar'!$U$146)=FALSE,"",IF((('Dvd Calendar'!$U$148=TYPE1)*(TYPE1&lt;&gt;"")+('Dvd Calendar'!$U$148=TYPE2)*(TYPE2&lt;&gt;"")+('Dvd Calendar'!$U$148=TYPE3)*(TYPE3&lt;&gt;"")+('Dvd Calendar'!$U$148=TYPE4)*(TYPE4&lt;&gt;"")+('Dvd Calendar'!$U$148=SPECIAL_LBL)*(INC_SPECIALS="Y"))=0,"",'Dvd Calendar'!$U$146)))</f>
        <v/>
      </c>
      <c r="T24" s="110">
        <f>IF(EV24="","",IF(ISNUMBER('Dvd Calendar'!$V$146)=FALSE,"",IF((('Dvd Calendar'!$V$148=TYPE1)*(TYPE1&lt;&gt;"")+('Dvd Calendar'!$V$148=TYPE2)*(TYPE2&lt;&gt;"")+('Dvd Calendar'!$V$148=TYPE3)*(TYPE3&lt;&gt;"")+('Dvd Calendar'!$V$148=TYPE4)*(TYPE4&lt;&gt;"")+('Dvd Calendar'!$V$148=SPECIAL_LBL)*(INC_SPECIALS="Y"))=0,"",'Dvd Calendar'!$V$146)))</f>
        <v/>
      </c>
      <c r="U24" s="110">
        <f>IF(EW24="","",IF(ISNUMBER('Dvd Calendar'!$W$146)=FALSE,"",IF((('Dvd Calendar'!$W$148=TYPE1)*(TYPE1&lt;&gt;"")+('Dvd Calendar'!$W$148=TYPE2)*(TYPE2&lt;&gt;"")+('Dvd Calendar'!$W$148=TYPE3)*(TYPE3&lt;&gt;"")+('Dvd Calendar'!$W$148=TYPE4)*(TYPE4&lt;&gt;"")+('Dvd Calendar'!$W$148=SPECIAL_LBL)*(INC_SPECIALS="Y"))=0,"",'Dvd Calendar'!$W$146)))</f>
        <v/>
      </c>
      <c r="V24" s="110">
        <f>IF(EX24="","",IF(ISNUMBER('Dvd Calendar'!$X$146)=FALSE,"",IF((('Dvd Calendar'!$X$148=TYPE1)*(TYPE1&lt;&gt;"")+('Dvd Calendar'!$X$148=TYPE2)*(TYPE2&lt;&gt;"")+('Dvd Calendar'!$X$148=TYPE3)*(TYPE3&lt;&gt;"")+('Dvd Calendar'!$X$148=TYPE4)*(TYPE4&lt;&gt;"")+('Dvd Calendar'!$X$148=SPECIAL_LBL)*(INC_SPECIALS="Y"))=0,"",'Dvd Calendar'!$X$146)))</f>
        <v/>
      </c>
      <c r="W24" s="110">
        <f>IF(EY24="","",IF(ISNUMBER('Dvd Calendar'!$Y$146)=FALSE,"",IF((('Dvd Calendar'!$Y$148=TYPE1)*(TYPE1&lt;&gt;"")+('Dvd Calendar'!$Y$148=TYPE2)*(TYPE2&lt;&gt;"")+('Dvd Calendar'!$Y$148=TYPE3)*(TYPE3&lt;&gt;"")+('Dvd Calendar'!$Y$148=TYPE4)*(TYPE4&lt;&gt;"")+('Dvd Calendar'!$Y$148=SPECIAL_LBL)*(INC_SPECIALS="Y"))=0,"",'Dvd Calendar'!$Y$146)))</f>
        <v/>
      </c>
      <c r="X24" s="110">
        <f>IF(EZ24="","",IF(ISNUMBER('Dvd Calendar'!$Z$146)=FALSE,"",IF((('Dvd Calendar'!$Z$148=TYPE1)*(TYPE1&lt;&gt;"")+('Dvd Calendar'!$Z$148=TYPE2)*(TYPE2&lt;&gt;"")+('Dvd Calendar'!$Z$148=TYPE3)*(TYPE3&lt;&gt;"")+('Dvd Calendar'!$Z$148=TYPE4)*(TYPE4&lt;&gt;"")+('Dvd Calendar'!$Z$148=SPECIAL_LBL)*(INC_SPECIALS="Y"))=0,"",'Dvd Calendar'!$Z$146)))</f>
        <v/>
      </c>
      <c r="Y24" s="110">
        <f>IF(FA24="","",IF(ISNUMBER('Dvd Calendar'!$AA$146)=FALSE,"",IF((('Dvd Calendar'!$AA$148=TYPE1)*(TYPE1&lt;&gt;"")+('Dvd Calendar'!$AA$148=TYPE2)*(TYPE2&lt;&gt;"")+('Dvd Calendar'!$AA$148=TYPE3)*(TYPE3&lt;&gt;"")+('Dvd Calendar'!$AA$148=TYPE4)*(TYPE4&lt;&gt;"")+('Dvd Calendar'!$AA$148=SPECIAL_LBL)*(INC_SPECIALS="Y"))=0,"",'Dvd Calendar'!$AA$146)))</f>
        <v/>
      </c>
      <c r="Z24" s="110">
        <f>IF(FB24="","",IF(ISNUMBER('Dvd Calendar'!$AB$146)=FALSE,"",IF((('Dvd Calendar'!$AB$148=TYPE1)*(TYPE1&lt;&gt;"")+('Dvd Calendar'!$AB$148=TYPE2)*(TYPE2&lt;&gt;"")+('Dvd Calendar'!$AB$148=TYPE3)*(TYPE3&lt;&gt;"")+('Dvd Calendar'!$AB$148=TYPE4)*(TYPE4&lt;&gt;"")+('Dvd Calendar'!$AB$148=SPECIAL_LBL)*(INC_SPECIALS="Y"))=0,"",'Dvd Calendar'!$AB$146)))</f>
        <v/>
      </c>
      <c r="AA24" s="110">
        <f>IF(FC24="","",IF(ISNUMBER('Dvd Calendar'!$AC$146)=FALSE,"",IF((('Dvd Calendar'!$AC$148=TYPE1)*(TYPE1&lt;&gt;"")+('Dvd Calendar'!$AC$148=TYPE2)*(TYPE2&lt;&gt;"")+('Dvd Calendar'!$AC$148=TYPE3)*(TYPE3&lt;&gt;"")+('Dvd Calendar'!$AC$148=TYPE4)*(TYPE4&lt;&gt;"")+('Dvd Calendar'!$AC$148=SPECIAL_LBL)*(INC_SPECIALS="Y"))=0,"",'Dvd Calendar'!$AC$146)))</f>
        <v/>
      </c>
      <c r="AB24" s="110">
        <f>IF(FD24="","",IF(ISNUMBER('Dvd Calendar'!$AD$146)=FALSE,"",IF((('Dvd Calendar'!$AD$148=TYPE1)*(TYPE1&lt;&gt;"")+('Dvd Calendar'!$AD$148=TYPE2)*(TYPE2&lt;&gt;"")+('Dvd Calendar'!$AD$148=TYPE3)*(TYPE3&lt;&gt;"")+('Dvd Calendar'!$AD$148=TYPE4)*(TYPE4&lt;&gt;"")+('Dvd Calendar'!$AD$148=SPECIAL_LBL)*(INC_SPECIALS="Y"))=0,"",'Dvd Calendar'!$AD$146)))</f>
        <v/>
      </c>
      <c r="AC24" s="110">
        <f>IF(FE24="","",IF(ISNUMBER('Dvd Calendar'!$AE$146)=FALSE,"",IF((('Dvd Calendar'!$AE$148=TYPE1)*(TYPE1&lt;&gt;"")+('Dvd Calendar'!$AE$148=TYPE2)*(TYPE2&lt;&gt;"")+('Dvd Calendar'!$AE$148=TYPE3)*(TYPE3&lt;&gt;"")+('Dvd Calendar'!$AE$148=TYPE4)*(TYPE4&lt;&gt;"")+('Dvd Calendar'!$AE$148=SPECIAL_LBL)*(INC_SPECIALS="Y"))=0,"",'Dvd Calendar'!$AE$146)))</f>
        <v/>
      </c>
      <c r="AD24" s="110">
        <f>IF(FF24="","",IF(ISNUMBER('Dvd Calendar'!$AF$146)=FALSE,"",IF((('Dvd Calendar'!$AF$148=TYPE1)*(TYPE1&lt;&gt;"")+('Dvd Calendar'!$AF$148=TYPE2)*(TYPE2&lt;&gt;"")+('Dvd Calendar'!$AF$148=TYPE3)*(TYPE3&lt;&gt;"")+('Dvd Calendar'!$AF$148=TYPE4)*(TYPE4&lt;&gt;"")+('Dvd Calendar'!$AF$148=SPECIAL_LBL)*(INC_SPECIALS="Y"))=0,"",'Dvd Calendar'!$AF$146)))</f>
        <v/>
      </c>
      <c r="AE24" s="110">
        <f>IF(FG24="","",IF(ISNUMBER('Dvd Calendar'!$AG$146)=FALSE,"",IF((('Dvd Calendar'!$AG$148=TYPE1)*(TYPE1&lt;&gt;"")+('Dvd Calendar'!$AG$148=TYPE2)*(TYPE2&lt;&gt;"")+('Dvd Calendar'!$AG$148=TYPE3)*(TYPE3&lt;&gt;"")+('Dvd Calendar'!$AG$148=TYPE4)*(TYPE4&lt;&gt;"")+('Dvd Calendar'!$AG$148=SPECIAL_LBL)*(INC_SPECIALS="Y"))=0,"",'Dvd Calendar'!$AG$146)))</f>
        <v/>
      </c>
      <c r="AF24" s="110">
        <f>IF(FH24="","",IF(ISNUMBER('Dvd Calendar'!$AH$146)=FALSE,"",IF((('Dvd Calendar'!$AH$148=TYPE1)*(TYPE1&lt;&gt;"")+('Dvd Calendar'!$AH$148=TYPE2)*(TYPE2&lt;&gt;"")+('Dvd Calendar'!$AH$148=TYPE3)*(TYPE3&lt;&gt;"")+('Dvd Calendar'!$AH$148=TYPE4)*(TYPE4&lt;&gt;"")+('Dvd Calendar'!$AH$148=SPECIAL_LBL)*(INC_SPECIALS="Y"))=0,"",'Dvd Calendar'!$AH$146)))</f>
        <v/>
      </c>
      <c r="AG24" s="110">
        <f>IF(FI24="","",IF(ISNUMBER('Dvd Calendar'!$AI$146)=FALSE,"",IF((('Dvd Calendar'!$AI$148=TYPE1)*(TYPE1&lt;&gt;"")+('Dvd Calendar'!$AI$148=TYPE2)*(TYPE2&lt;&gt;"")+('Dvd Calendar'!$AI$148=TYPE3)*(TYPE3&lt;&gt;"")+('Dvd Calendar'!$AI$148=TYPE4)*(TYPE4&lt;&gt;"")+('Dvd Calendar'!$AI$148=SPECIAL_LBL)*(INC_SPECIALS="Y"))=0,"",'Dvd Calendar'!$AI$146)))</f>
        <v/>
      </c>
      <c r="AH24" s="110">
        <f>IF(FJ24="","",IF(ISNUMBER('Dvd Calendar'!$AJ$146)=FALSE,"",IF((('Dvd Calendar'!$AJ$148=TYPE1)*(TYPE1&lt;&gt;"")+('Dvd Calendar'!$AJ$148=TYPE2)*(TYPE2&lt;&gt;"")+('Dvd Calendar'!$AJ$148=TYPE3)*(TYPE3&lt;&gt;"")+('Dvd Calendar'!$AJ$148=TYPE4)*(TYPE4&lt;&gt;"")+('Dvd Calendar'!$AJ$148=SPECIAL_LBL)*(INC_SPECIALS="Y"))=0,"",'Dvd Calendar'!$AJ$146)))</f>
        <v/>
      </c>
      <c r="AI24" s="110">
        <f>IF(FK24="","",IF(ISNUMBER('Dvd Calendar'!$AK$146)=FALSE,"",IF((('Dvd Calendar'!$AK$148=TYPE1)*(TYPE1&lt;&gt;"")+('Dvd Calendar'!$AK$148=TYPE2)*(TYPE2&lt;&gt;"")+('Dvd Calendar'!$AK$148=TYPE3)*(TYPE3&lt;&gt;"")+('Dvd Calendar'!$AK$148=TYPE4)*(TYPE4&lt;&gt;"")+('Dvd Calendar'!$AK$148=SPECIAL_LBL)*(INC_SPECIALS="Y"))=0,"",'Dvd Calendar'!$AK$146)))</f>
        <v/>
      </c>
      <c r="AJ24" s="110">
        <f>IF(FL24="","",IF(ISNUMBER('Dvd Calendar'!$AL$146)=FALSE,"",IF((('Dvd Calendar'!$AL$148=TYPE1)*(TYPE1&lt;&gt;"")+('Dvd Calendar'!$AL$148=TYPE2)*(TYPE2&lt;&gt;"")+('Dvd Calendar'!$AL$148=TYPE3)*(TYPE3&lt;&gt;"")+('Dvd Calendar'!$AL$148=TYPE4)*(TYPE4&lt;&gt;"")+('Dvd Calendar'!$AL$148=SPECIAL_LBL)*(INC_SPECIALS="Y"))=0,"",'Dvd Calendar'!$AL$146)))</f>
        <v/>
      </c>
      <c r="AK24" s="110">
        <f>IF(FM24="","",IF(ISNUMBER('Dvd Calendar'!$AM$146)=FALSE,"",IF((('Dvd Calendar'!$AM$148=TYPE1)*(TYPE1&lt;&gt;"")+('Dvd Calendar'!$AM$148=TYPE2)*(TYPE2&lt;&gt;"")+('Dvd Calendar'!$AM$148=TYPE3)*(TYPE3&lt;&gt;"")+('Dvd Calendar'!$AM$148=TYPE4)*(TYPE4&lt;&gt;"")+('Dvd Calendar'!$AM$148=SPECIAL_LBL)*(INC_SPECIALS="Y"))=0,"",'Dvd Calendar'!$AM$146)))</f>
        <v/>
      </c>
      <c r="AL24" s="110">
        <f>IF(FN24="","",IF(ISNUMBER('Dvd Calendar'!$AN$146)=FALSE,"",IF((('Dvd Calendar'!$AN$148=TYPE1)*(TYPE1&lt;&gt;"")+('Dvd Calendar'!$AN$148=TYPE2)*(TYPE2&lt;&gt;"")+('Dvd Calendar'!$AN$148=TYPE3)*(TYPE3&lt;&gt;"")+('Dvd Calendar'!$AN$148=TYPE4)*(TYPE4&lt;&gt;"")+('Dvd Calendar'!$AN$148=SPECIAL_LBL)*(INC_SPECIALS="Y"))=0,"",'Dvd Calendar'!$AN$146)))</f>
        <v/>
      </c>
      <c r="AM24" s="110">
        <f>IF(FO24="","",IF(ISNUMBER('Dvd Calendar'!$AO$146)=FALSE,"",IF((('Dvd Calendar'!$AO$148=TYPE1)*(TYPE1&lt;&gt;"")+('Dvd Calendar'!$AO$148=TYPE2)*(TYPE2&lt;&gt;"")+('Dvd Calendar'!$AO$148=TYPE3)*(TYPE3&lt;&gt;"")+('Dvd Calendar'!$AO$148=TYPE4)*(TYPE4&lt;&gt;"")+('Dvd Calendar'!$AO$148=SPECIAL_LBL)*(INC_SPECIALS="Y"))=0,"",'Dvd Calendar'!$AO$146)))</f>
        <v/>
      </c>
      <c r="AN24" s="110">
        <f>IF(FP24="","",IF(ISNUMBER('Dvd Calendar'!$AP$146)=FALSE,"",IF((('Dvd Calendar'!$AP$148=TYPE1)*(TYPE1&lt;&gt;"")+('Dvd Calendar'!$AP$148=TYPE2)*(TYPE2&lt;&gt;"")+('Dvd Calendar'!$AP$148=TYPE3)*(TYPE3&lt;&gt;"")+('Dvd Calendar'!$AP$148=TYPE4)*(TYPE4&lt;&gt;"")+('Dvd Calendar'!$AP$148=SPECIAL_LBL)*(INC_SPECIALS="Y"))=0,"",'Dvd Calendar'!$AP$146)))</f>
        <v/>
      </c>
      <c r="AO24" s="110">
        <f>IF(FQ24="","",IF(ISNUMBER('Dvd Calendar'!$AQ$146)=FALSE,"",IF((('Dvd Calendar'!$AQ$148=TYPE1)*(TYPE1&lt;&gt;"")+('Dvd Calendar'!$AQ$148=TYPE2)*(TYPE2&lt;&gt;"")+('Dvd Calendar'!$AQ$148=TYPE3)*(TYPE3&lt;&gt;"")+('Dvd Calendar'!$AQ$148=TYPE4)*(TYPE4&lt;&gt;"")+('Dvd Calendar'!$AQ$148=SPECIAL_LBL)*(INC_SPECIALS="Y"))=0,"",'Dvd Calendar'!$AQ$146)))</f>
        <v/>
      </c>
      <c r="AP24" s="110">
        <f>IF(FR24="","",IF(ISNUMBER('Dvd Calendar'!$AR$146)=FALSE,"",IF((('Dvd Calendar'!$AR$148=TYPE1)*(TYPE1&lt;&gt;"")+('Dvd Calendar'!$AR$148=TYPE2)*(TYPE2&lt;&gt;"")+('Dvd Calendar'!$AR$148=TYPE3)*(TYPE3&lt;&gt;"")+('Dvd Calendar'!$AR$148=TYPE4)*(TYPE4&lt;&gt;"")+('Dvd Calendar'!$AR$148=SPECIAL_LBL)*(INC_SPECIALS="Y"))=0,"",'Dvd Calendar'!$AR$146)))</f>
        <v/>
      </c>
      <c r="AQ24" s="110">
        <f>IF(FS24="","",IF(ISNUMBER('Dvd Calendar'!$E$151)=FALSE,"",'Dvd Calendar'!$E$151))</f>
        <v/>
      </c>
      <c r="AR24" s="110">
        <f>IF(FT24="","",IF(ISNUMBER('Dvd Calendar'!$F$151)=FALSE,"",'Dvd Calendar'!$F$151))</f>
        <v/>
      </c>
      <c r="AS24" s="110">
        <f>IF(FU24="","",IF(ISNUMBER('Dvd Calendar'!$G$151)=FALSE,"",'Dvd Calendar'!$G$151))</f>
        <v/>
      </c>
      <c r="AT24" s="110">
        <f>IF(FV24="","",IF(ISNUMBER('Dvd Calendar'!$H$151)=FALSE,"",'Dvd Calendar'!$H$151))</f>
        <v/>
      </c>
      <c r="AU24" s="110">
        <f>IF(FW24="","",IF(ISNUMBER('Dvd Calendar'!$I$151)=FALSE,"",'Dvd Calendar'!$I$151))</f>
        <v/>
      </c>
      <c r="AV24" s="110">
        <f>IF(FX24="","",IF(ISNUMBER('Dvd Calendar'!$J$151)=FALSE,"",'Dvd Calendar'!$J$151))</f>
        <v/>
      </c>
      <c r="AW24" s="110">
        <f>IF(FY24="","",IF(ISNUMBER('Dvd Calendar'!$K$151)=FALSE,"",'Dvd Calendar'!$K$151))</f>
        <v/>
      </c>
      <c r="AX24" s="110">
        <f>IF(FZ24="","",IF(ISNUMBER('Dvd Calendar'!$L$151)=FALSE,"",'Dvd Calendar'!$L$151))</f>
        <v/>
      </c>
      <c r="AY24" s="110">
        <f>IF(GA24="","",IF(ISNUMBER('Dvd Calendar'!$M$151)=FALSE,"",'Dvd Calendar'!$M$151))</f>
        <v/>
      </c>
      <c r="AZ24" s="110">
        <f>IF(GB24="","",IF(ISNUMBER('Dvd Calendar'!$N$151)=FALSE,"",'Dvd Calendar'!$N$151))</f>
        <v/>
      </c>
      <c r="BA24" s="110">
        <f>IF(GC24="","",IF(ISNUMBER('Dvd Calendar'!$O$151)=FALSE,"",'Dvd Calendar'!$O$151))</f>
        <v/>
      </c>
      <c r="BB24" s="110">
        <f>IF(GD24="","",IF(ISNUMBER('Dvd Calendar'!$P$151)=FALSE,"",'Dvd Calendar'!$P$151))</f>
        <v/>
      </c>
      <c r="BC24" s="110">
        <f>IF(GE24="","",IF(ISNUMBER('Dvd Calendar'!$Q$151)=FALSE,"",'Dvd Calendar'!$Q$151))</f>
        <v/>
      </c>
      <c r="BD24" s="110">
        <f>IF(GF24="","",IF(ISNUMBER('Dvd Calendar'!$R$151)=FALSE,"",'Dvd Calendar'!$R$151))</f>
        <v/>
      </c>
      <c r="BE24" s="110">
        <f>IF(GG24="","",IF(ISNUMBER('Dvd Calendar'!$S$151)=FALSE,"",'Dvd Calendar'!$S$151))</f>
        <v/>
      </c>
      <c r="BF24" s="110">
        <f>IF(GH24="","",IF(ISNUMBER('Dvd Calendar'!$T$151)=FALSE,"",'Dvd Calendar'!$T$151))</f>
        <v/>
      </c>
      <c r="BG24" s="110">
        <f>IF(GI24="","",IF(ISNUMBER('Dvd Calendar'!$U$151)=FALSE,"",'Dvd Calendar'!$U$151))</f>
        <v/>
      </c>
      <c r="BH24" s="110">
        <f>IF(GJ24="","",IF(ISNUMBER('Dvd Calendar'!$V$151)=FALSE,"",'Dvd Calendar'!$V$151))</f>
        <v/>
      </c>
      <c r="BI24" s="110">
        <f>IF(GK24="","",IF(ISNUMBER('Dvd Calendar'!$W$151)=FALSE,"",'Dvd Calendar'!$W$151))</f>
        <v/>
      </c>
      <c r="BJ24" s="110">
        <f>IF(GL24="","",IF(ISNUMBER('Dvd Calendar'!$X$151)=FALSE,"",'Dvd Calendar'!$X$151))</f>
        <v/>
      </c>
      <c r="BK24" s="110">
        <f>IF(GM24="","",IF(ISNUMBER('Dvd Calendar'!$Y$151)=FALSE,"",'Dvd Calendar'!$Y$151))</f>
        <v/>
      </c>
      <c r="BL24" s="110">
        <f>IF(GN24="","",IF(ISNUMBER('Dvd Calendar'!$Z$151)=FALSE,"",'Dvd Calendar'!$Z$151))</f>
        <v/>
      </c>
      <c r="BM24" s="110">
        <f>IF(GO24="","",IF(ISNUMBER('Dvd Calendar'!$AA$151)=FALSE,"",'Dvd Calendar'!$AA$151))</f>
        <v/>
      </c>
      <c r="BN24" s="110">
        <f>IF(GP24="","",IF(ISNUMBER('Dvd Calendar'!$AB$151)=FALSE,"",'Dvd Calendar'!$AB$151))</f>
        <v/>
      </c>
      <c r="BO24" s="110">
        <f>IF(GQ24="","",IF(ISNUMBER('Dvd Calendar'!$AC$151)=FALSE,"",'Dvd Calendar'!$AC$151))</f>
        <v/>
      </c>
      <c r="BQ24" s="110">
        <f>IF(C24="","",IFERROR(C24*HSI!$B$19*HSI!$G$19/HSI!$B$3,""))</f>
        <v/>
      </c>
      <c r="BR24" s="110">
        <f>IF(D24="","",IFERROR(D24*HSI!$B$19*HSI!$G$19/HSI!$B$3,""))</f>
        <v/>
      </c>
      <c r="BS24" s="110">
        <f>IF(E24="","",IFERROR(E24*HSI!$B$19*HSI!$G$19/HSI!$B$3,""))</f>
        <v/>
      </c>
      <c r="BT24" s="110">
        <f>IF(F24="","",IFERROR(F24*HSI!$B$19*HSI!$G$19/HSI!$B$3,""))</f>
        <v/>
      </c>
      <c r="BU24" s="110">
        <f>IF(G24="","",IFERROR(G24*HSI!$B$19*HSI!$G$19/HSI!$B$3,""))</f>
        <v/>
      </c>
      <c r="BV24" s="110">
        <f>IF(H24="","",IFERROR(H24*HSI!$B$19*HSI!$G$19/HSI!$B$3,""))</f>
        <v/>
      </c>
      <c r="BW24" s="110">
        <f>IF(I24="","",IFERROR(I24*HSI!$B$19*HSI!$G$19/HSI!$B$3,""))</f>
        <v/>
      </c>
      <c r="BX24" s="110">
        <f>IF(J24="","",IFERROR(J24*HSI!$B$19*HSI!$G$19/HSI!$B$3,""))</f>
        <v/>
      </c>
      <c r="BY24" s="110">
        <f>IF(K24="","",IFERROR(K24*HSI!$B$19*HSI!$G$19/HSI!$B$3,""))</f>
        <v/>
      </c>
      <c r="BZ24" s="110">
        <f>IF(L24="","",IFERROR(L24*HSI!$B$19*HSI!$G$19/HSI!$B$3,""))</f>
        <v/>
      </c>
      <c r="CA24" s="110">
        <f>IF(M24="","",IFERROR(M24*HSI!$B$19*HSI!$G$19/HSI!$B$3,""))</f>
        <v/>
      </c>
      <c r="CB24" s="110">
        <f>IF(N24="","",IFERROR(N24*HSI!$B$19*HSI!$G$19/HSI!$B$3,""))</f>
        <v/>
      </c>
      <c r="CC24" s="110">
        <f>IF(O24="","",IFERROR(O24*HSI!$B$19*HSI!$G$19/HSI!$B$3,""))</f>
        <v/>
      </c>
      <c r="CD24" s="110">
        <f>IF(P24="","",IFERROR(P24*HSI!$B$19*HSI!$G$19/HSI!$B$3,""))</f>
        <v/>
      </c>
      <c r="CE24" s="110">
        <f>IF(Q24="","",IFERROR(Q24*HSI!$B$19*HSI!$G$19/HSI!$B$3,""))</f>
        <v/>
      </c>
      <c r="CF24" s="110">
        <f>IF(R24="","",IFERROR(R24*HSI!$B$19*HSI!$G$19/HSI!$B$3,""))</f>
        <v/>
      </c>
      <c r="CG24" s="110">
        <f>IF(S24="","",IFERROR(S24*HSI!$B$19*HSI!$G$19/HSI!$B$3,""))</f>
        <v/>
      </c>
      <c r="CH24" s="110">
        <f>IF(T24="","",IFERROR(T24*HSI!$B$19*HSI!$G$19/HSI!$B$3,""))</f>
        <v/>
      </c>
      <c r="CI24" s="110">
        <f>IF(U24="","",IFERROR(U24*HSI!$B$19*HSI!$G$19/HSI!$B$3,""))</f>
        <v/>
      </c>
      <c r="CJ24" s="110">
        <f>IF(V24="","",IFERROR(V24*HSI!$B$19*HSI!$G$19/HSI!$B$3,""))</f>
        <v/>
      </c>
      <c r="CK24" s="110">
        <f>IF(W24="","",IFERROR(W24*HSI!$B$19*HSI!$G$19/HSI!$B$3,""))</f>
        <v/>
      </c>
      <c r="CL24" s="110">
        <f>IF(X24="","",IFERROR(X24*HSI!$B$19*HSI!$G$19/HSI!$B$3,""))</f>
        <v/>
      </c>
      <c r="CM24" s="110">
        <f>IF(Y24="","",IFERROR(Y24*HSI!$B$19*HSI!$G$19/HSI!$B$3,""))</f>
        <v/>
      </c>
      <c r="CN24" s="110">
        <f>IF(Z24="","",IFERROR(Z24*HSI!$B$19*HSI!$G$19/HSI!$B$3,""))</f>
        <v/>
      </c>
      <c r="CO24" s="110">
        <f>IF(AA24="","",IFERROR(AA24*HSI!$B$19*HSI!$G$19/HSI!$B$3,""))</f>
        <v/>
      </c>
      <c r="CP24" s="110">
        <f>IF(AB24="","",IFERROR(AB24*HSI!$B$19*HSI!$G$19/HSI!$B$3,""))</f>
        <v/>
      </c>
      <c r="CQ24" s="110">
        <f>IF(AC24="","",IFERROR(AC24*HSI!$B$19*HSI!$G$19/HSI!$B$3,""))</f>
        <v/>
      </c>
      <c r="CR24" s="110">
        <f>IF(AD24="","",IFERROR(AD24*HSI!$B$19*HSI!$G$19/HSI!$B$3,""))</f>
        <v/>
      </c>
      <c r="CS24" s="110">
        <f>IF(AE24="","",IFERROR(AE24*HSI!$B$19*HSI!$G$19/HSI!$B$3,""))</f>
        <v/>
      </c>
      <c r="CT24" s="110">
        <f>IF(AF24="","",IFERROR(AF24*HSI!$B$19*HSI!$G$19/HSI!$B$3,""))</f>
        <v/>
      </c>
      <c r="CU24" s="110">
        <f>IF(AG24="","",IFERROR(AG24*HSI!$B$19*HSI!$G$19/HSI!$B$3,""))</f>
        <v/>
      </c>
      <c r="CV24" s="110">
        <f>IF(AH24="","",IFERROR(AH24*HSI!$B$19*HSI!$G$19/HSI!$B$3,""))</f>
        <v/>
      </c>
      <c r="CW24" s="110">
        <f>IF(AI24="","",IFERROR(AI24*HSI!$B$19*HSI!$G$19/HSI!$B$3,""))</f>
        <v/>
      </c>
      <c r="CX24" s="110">
        <f>IF(AJ24="","",IFERROR(AJ24*HSI!$B$19*HSI!$G$19/HSI!$B$3,""))</f>
        <v/>
      </c>
      <c r="CY24" s="110">
        <f>IF(AK24="","",IFERROR(AK24*HSI!$B$19*HSI!$G$19/HSI!$B$3,""))</f>
        <v/>
      </c>
      <c r="CZ24" s="110">
        <f>IF(AL24="","",IFERROR(AL24*HSI!$B$19*HSI!$G$19/HSI!$B$3,""))</f>
        <v/>
      </c>
      <c r="DA24" s="110">
        <f>IF(AM24="","",IFERROR(AM24*HSI!$B$19*HSI!$G$19/HSI!$B$3,""))</f>
        <v/>
      </c>
      <c r="DB24" s="110">
        <f>IF(AN24="","",IFERROR(AN24*HSI!$B$19*HSI!$G$19/HSI!$B$3,""))</f>
        <v/>
      </c>
      <c r="DC24" s="110">
        <f>IF(AO24="","",IFERROR(AO24*HSI!$B$19*HSI!$G$19/HSI!$B$3,""))</f>
        <v/>
      </c>
      <c r="DD24" s="110">
        <f>IF(AP24="","",IFERROR(AP24*HSI!$B$19*HSI!$G$19/HSI!$B$3,""))</f>
        <v/>
      </c>
      <c r="DE24" s="110">
        <f>IF(AQ24="","",IFERROR(AQ24*HSI!$B$19*HSI!$G$19/HSI!$B$3,""))</f>
        <v/>
      </c>
      <c r="DF24" s="110">
        <f>IF(AR24="","",IFERROR(AR24*HSI!$B$19*HSI!$G$19/HSI!$B$3,""))</f>
        <v/>
      </c>
      <c r="DG24" s="110">
        <f>IF(AS24="","",IFERROR(AS24*HSI!$B$19*HSI!$G$19/HSI!$B$3,""))</f>
        <v/>
      </c>
      <c r="DH24" s="110">
        <f>IF(AT24="","",IFERROR(AT24*HSI!$B$19*HSI!$G$19/HSI!$B$3,""))</f>
        <v/>
      </c>
      <c r="DI24" s="110">
        <f>IF(AU24="","",IFERROR(AU24*HSI!$B$19*HSI!$G$19/HSI!$B$3,""))</f>
        <v/>
      </c>
      <c r="DJ24" s="110">
        <f>IF(AV24="","",IFERROR(AV24*HSI!$B$19*HSI!$G$19/HSI!$B$3,""))</f>
        <v/>
      </c>
      <c r="DK24" s="110">
        <f>IF(AW24="","",IFERROR(AW24*HSI!$B$19*HSI!$G$19/HSI!$B$3,""))</f>
        <v/>
      </c>
      <c r="DL24" s="110">
        <f>IF(AX24="","",IFERROR(AX24*HSI!$B$19*HSI!$G$19/HSI!$B$3,""))</f>
        <v/>
      </c>
      <c r="DM24" s="110">
        <f>IF(AY24="","",IFERROR(AY24*HSI!$B$19*HSI!$G$19/HSI!$B$3,""))</f>
        <v/>
      </c>
      <c r="DN24" s="110">
        <f>IF(AZ24="","",IFERROR(AZ24*HSI!$B$19*HSI!$G$19/HSI!$B$3,""))</f>
        <v/>
      </c>
      <c r="DO24" s="110">
        <f>IF(BA24="","",IFERROR(BA24*HSI!$B$19*HSI!$G$19/HSI!$B$3,""))</f>
        <v/>
      </c>
      <c r="DP24" s="110">
        <f>IF(BB24="","",IFERROR(BB24*HSI!$B$19*HSI!$G$19/HSI!$B$3,""))</f>
        <v/>
      </c>
      <c r="DQ24" s="110">
        <f>IF(BC24="","",IFERROR(BC24*HSI!$B$19*HSI!$G$19/HSI!$B$3,""))</f>
        <v/>
      </c>
      <c r="DR24" s="110">
        <f>IF(BD24="","",IFERROR(BD24*HSI!$B$19*HSI!$G$19/HSI!$B$3,""))</f>
        <v/>
      </c>
      <c r="DS24" s="110">
        <f>IF(BE24="","",IFERROR(BE24*HSI!$B$19*HSI!$G$19/HSI!$B$3,""))</f>
        <v/>
      </c>
      <c r="DT24" s="110">
        <f>IF(BF24="","",IFERROR(BF24*HSI!$B$19*HSI!$G$19/HSI!$B$3,""))</f>
        <v/>
      </c>
      <c r="DU24" s="110">
        <f>IF(BG24="","",IFERROR(BG24*HSI!$B$19*HSI!$G$19/HSI!$B$3,""))</f>
        <v/>
      </c>
      <c r="DV24" s="110">
        <f>IF(BH24="","",IFERROR(BH24*HSI!$B$19*HSI!$G$19/HSI!$B$3,""))</f>
        <v/>
      </c>
      <c r="DW24" s="110">
        <f>IF(BI24="","",IFERROR(BI24*HSI!$B$19*HSI!$G$19/HSI!$B$3,""))</f>
        <v/>
      </c>
      <c r="DX24" s="110">
        <f>IF(BJ24="","",IFERROR(BJ24*HSI!$B$19*HSI!$G$19/HSI!$B$3,""))</f>
        <v/>
      </c>
      <c r="DY24" s="110">
        <f>IF(BK24="","",IFERROR(BK24*HSI!$B$19*HSI!$G$19/HSI!$B$3,""))</f>
        <v/>
      </c>
      <c r="DZ24" s="110">
        <f>IF(BL24="","",IFERROR(BL24*HSI!$B$19*HSI!$G$19/HSI!$B$3,""))</f>
        <v/>
      </c>
      <c r="EA24" s="110">
        <f>IF(BM24="","",IFERROR(BM24*HSI!$B$19*HSI!$G$19/HSI!$B$3,""))</f>
        <v/>
      </c>
      <c r="EB24" s="110">
        <f>IF(BN24="","",IFERROR(BN24*HSI!$B$19*HSI!$G$19/HSI!$B$3,""))</f>
        <v/>
      </c>
      <c r="EC24" s="110">
        <f>IF(BO24="","",IFERROR(BO24*HSI!$B$19*HSI!$G$19/HSI!$B$3,""))</f>
        <v/>
      </c>
      <c r="EE24" s="39">
        <f>IF(N('Dvd Calendar'!$E$143)=0,"",IF(('Dvd Calendar'!$E$143&gt;=GRID_FROM)*('Dvd Calendar'!$E$143&lt;=GRID_TO)*((('Dvd Calendar'!$E$143&lt;=VAL_DATE)+(COUNTIF('Dvd Calendar'!$E$150:$AR$150,'Dvd Calendar'!$E$143)=0))&gt;0)=0,"",'Dvd Calendar'!$E$143*1000000000+ISNUMBER('Dvd Calendar'!$E$146)*100000000+('Dvd Calendar'!$E$148=SPECIAL_LBL)*10000000+(N('Dvd Calendar'!$E$142)&gt;0)*(N('Dvd Calendar'!$E$142)&lt;=VAL_SERIAL)*1000000+13*1000+1))</f>
        <v/>
      </c>
      <c r="EF24" s="39">
        <f>IF(N('Dvd Calendar'!$F$143)=0,"",IF(('Dvd Calendar'!$F$143&gt;=GRID_FROM)*('Dvd Calendar'!$F$143&lt;=GRID_TO)*((('Dvd Calendar'!$F$143&lt;=VAL_DATE)+(COUNTIF('Dvd Calendar'!$E$150:$AR$150,'Dvd Calendar'!$F$143)=0))&gt;0)=0,"",'Dvd Calendar'!$F$143*1000000000+ISNUMBER('Dvd Calendar'!$F$146)*100000000+('Dvd Calendar'!$F$148=SPECIAL_LBL)*10000000+(N('Dvd Calendar'!$F$142)&gt;0)*(N('Dvd Calendar'!$F$142)&lt;=VAL_SERIAL)*1000000+13*1000+2))</f>
        <v/>
      </c>
      <c r="EG24" s="39">
        <f>IF(N('Dvd Calendar'!$G$143)=0,"",IF(('Dvd Calendar'!$G$143&gt;=GRID_FROM)*('Dvd Calendar'!$G$143&lt;=GRID_TO)*((('Dvd Calendar'!$G$143&lt;=VAL_DATE)+(COUNTIF('Dvd Calendar'!$E$150:$AR$150,'Dvd Calendar'!$G$143)=0))&gt;0)=0,"",'Dvd Calendar'!$G$143*1000000000+ISNUMBER('Dvd Calendar'!$G$146)*100000000+('Dvd Calendar'!$G$148=SPECIAL_LBL)*10000000+(N('Dvd Calendar'!$G$142)&gt;0)*(N('Dvd Calendar'!$G$142)&lt;=VAL_SERIAL)*1000000+13*1000+3))</f>
        <v/>
      </c>
      <c r="EH24" s="39">
        <f>IF(N('Dvd Calendar'!$H$143)=0,"",IF(('Dvd Calendar'!$H$143&gt;=GRID_FROM)*('Dvd Calendar'!$H$143&lt;=GRID_TO)*((('Dvd Calendar'!$H$143&lt;=VAL_DATE)+(COUNTIF('Dvd Calendar'!$E$150:$AR$150,'Dvd Calendar'!$H$143)=0))&gt;0)=0,"",'Dvd Calendar'!$H$143*1000000000+ISNUMBER('Dvd Calendar'!$H$146)*100000000+('Dvd Calendar'!$H$148=SPECIAL_LBL)*10000000+(N('Dvd Calendar'!$H$142)&gt;0)*(N('Dvd Calendar'!$H$142)&lt;=VAL_SERIAL)*1000000+13*1000+4))</f>
        <v/>
      </c>
      <c r="EI24" s="39">
        <f>IF(N('Dvd Calendar'!$I$143)=0,"",IF(('Dvd Calendar'!$I$143&gt;=GRID_FROM)*('Dvd Calendar'!$I$143&lt;=GRID_TO)*((('Dvd Calendar'!$I$143&lt;=VAL_DATE)+(COUNTIF('Dvd Calendar'!$E$150:$AR$150,'Dvd Calendar'!$I$143)=0))&gt;0)=0,"",'Dvd Calendar'!$I$143*1000000000+ISNUMBER('Dvd Calendar'!$I$146)*100000000+('Dvd Calendar'!$I$148=SPECIAL_LBL)*10000000+(N('Dvd Calendar'!$I$142)&gt;0)*(N('Dvd Calendar'!$I$142)&lt;=VAL_SERIAL)*1000000+13*1000+5))</f>
        <v/>
      </c>
      <c r="EJ24" s="39">
        <f>IF(N('Dvd Calendar'!$J$143)=0,"",IF(('Dvd Calendar'!$J$143&gt;=GRID_FROM)*('Dvd Calendar'!$J$143&lt;=GRID_TO)*((('Dvd Calendar'!$J$143&lt;=VAL_DATE)+(COUNTIF('Dvd Calendar'!$E$150:$AR$150,'Dvd Calendar'!$J$143)=0))&gt;0)=0,"",'Dvd Calendar'!$J$143*1000000000+ISNUMBER('Dvd Calendar'!$J$146)*100000000+('Dvd Calendar'!$J$148=SPECIAL_LBL)*10000000+(N('Dvd Calendar'!$J$142)&gt;0)*(N('Dvd Calendar'!$J$142)&lt;=VAL_SERIAL)*1000000+13*1000+6))</f>
        <v/>
      </c>
      <c r="EK24" s="39">
        <f>IF(N('Dvd Calendar'!$K$143)=0,"",IF(('Dvd Calendar'!$K$143&gt;=GRID_FROM)*('Dvd Calendar'!$K$143&lt;=GRID_TO)*((('Dvd Calendar'!$K$143&lt;=VAL_DATE)+(COUNTIF('Dvd Calendar'!$E$150:$AR$150,'Dvd Calendar'!$K$143)=0))&gt;0)=0,"",'Dvd Calendar'!$K$143*1000000000+ISNUMBER('Dvd Calendar'!$K$146)*100000000+('Dvd Calendar'!$K$148=SPECIAL_LBL)*10000000+(N('Dvd Calendar'!$K$142)&gt;0)*(N('Dvd Calendar'!$K$142)&lt;=VAL_SERIAL)*1000000+13*1000+7))</f>
        <v/>
      </c>
      <c r="EL24" s="39">
        <f>IF(N('Dvd Calendar'!$L$143)=0,"",IF(('Dvd Calendar'!$L$143&gt;=GRID_FROM)*('Dvd Calendar'!$L$143&lt;=GRID_TO)*((('Dvd Calendar'!$L$143&lt;=VAL_DATE)+(COUNTIF('Dvd Calendar'!$E$150:$AR$150,'Dvd Calendar'!$L$143)=0))&gt;0)=0,"",'Dvd Calendar'!$L$143*1000000000+ISNUMBER('Dvd Calendar'!$L$146)*100000000+('Dvd Calendar'!$L$148=SPECIAL_LBL)*10000000+(N('Dvd Calendar'!$L$142)&gt;0)*(N('Dvd Calendar'!$L$142)&lt;=VAL_SERIAL)*1000000+13*1000+8))</f>
        <v/>
      </c>
      <c r="EM24" s="39">
        <f>IF(N('Dvd Calendar'!$M$143)=0,"",IF(('Dvd Calendar'!$M$143&gt;=GRID_FROM)*('Dvd Calendar'!$M$143&lt;=GRID_TO)*((('Dvd Calendar'!$M$143&lt;=VAL_DATE)+(COUNTIF('Dvd Calendar'!$E$150:$AR$150,'Dvd Calendar'!$M$143)=0))&gt;0)=0,"",'Dvd Calendar'!$M$143*1000000000+ISNUMBER('Dvd Calendar'!$M$146)*100000000+('Dvd Calendar'!$M$148=SPECIAL_LBL)*10000000+(N('Dvd Calendar'!$M$142)&gt;0)*(N('Dvd Calendar'!$M$142)&lt;=VAL_SERIAL)*1000000+13*1000+9))</f>
        <v/>
      </c>
      <c r="EN24" s="39">
        <f>IF(N('Dvd Calendar'!$N$143)=0,"",IF(('Dvd Calendar'!$N$143&gt;=GRID_FROM)*('Dvd Calendar'!$N$143&lt;=GRID_TO)*((('Dvd Calendar'!$N$143&lt;=VAL_DATE)+(COUNTIF('Dvd Calendar'!$E$150:$AR$150,'Dvd Calendar'!$N$143)=0))&gt;0)=0,"",'Dvd Calendar'!$N$143*1000000000+ISNUMBER('Dvd Calendar'!$N$146)*100000000+('Dvd Calendar'!$N$148=SPECIAL_LBL)*10000000+(N('Dvd Calendar'!$N$142)&gt;0)*(N('Dvd Calendar'!$N$142)&lt;=VAL_SERIAL)*1000000+13*1000+10))</f>
        <v/>
      </c>
      <c r="EO24" s="39">
        <f>IF(N('Dvd Calendar'!$O$143)=0,"",IF(('Dvd Calendar'!$O$143&gt;=GRID_FROM)*('Dvd Calendar'!$O$143&lt;=GRID_TO)*((('Dvd Calendar'!$O$143&lt;=VAL_DATE)+(COUNTIF('Dvd Calendar'!$E$150:$AR$150,'Dvd Calendar'!$O$143)=0))&gt;0)=0,"",'Dvd Calendar'!$O$143*1000000000+ISNUMBER('Dvd Calendar'!$O$146)*100000000+('Dvd Calendar'!$O$148=SPECIAL_LBL)*10000000+(N('Dvd Calendar'!$O$142)&gt;0)*(N('Dvd Calendar'!$O$142)&lt;=VAL_SERIAL)*1000000+13*1000+11))</f>
        <v/>
      </c>
      <c r="EP24" s="39">
        <f>IF(N('Dvd Calendar'!$P$143)=0,"",IF(('Dvd Calendar'!$P$143&gt;=GRID_FROM)*('Dvd Calendar'!$P$143&lt;=GRID_TO)*((('Dvd Calendar'!$P$143&lt;=VAL_DATE)+(COUNTIF('Dvd Calendar'!$E$150:$AR$150,'Dvd Calendar'!$P$143)=0))&gt;0)=0,"",'Dvd Calendar'!$P$143*1000000000+ISNUMBER('Dvd Calendar'!$P$146)*100000000+('Dvd Calendar'!$P$148=SPECIAL_LBL)*10000000+(N('Dvd Calendar'!$P$142)&gt;0)*(N('Dvd Calendar'!$P$142)&lt;=VAL_SERIAL)*1000000+13*1000+12))</f>
        <v/>
      </c>
      <c r="EQ24" s="39">
        <f>IF(N('Dvd Calendar'!$Q$143)=0,"",IF(('Dvd Calendar'!$Q$143&gt;=GRID_FROM)*('Dvd Calendar'!$Q$143&lt;=GRID_TO)*((('Dvd Calendar'!$Q$143&lt;=VAL_DATE)+(COUNTIF('Dvd Calendar'!$E$150:$AR$150,'Dvd Calendar'!$Q$143)=0))&gt;0)=0,"",'Dvd Calendar'!$Q$143*1000000000+ISNUMBER('Dvd Calendar'!$Q$146)*100000000+('Dvd Calendar'!$Q$148=SPECIAL_LBL)*10000000+(N('Dvd Calendar'!$Q$142)&gt;0)*(N('Dvd Calendar'!$Q$142)&lt;=VAL_SERIAL)*1000000+13*1000+13))</f>
        <v/>
      </c>
      <c r="ER24" s="39">
        <f>IF(N('Dvd Calendar'!$R$143)=0,"",IF(('Dvd Calendar'!$R$143&gt;=GRID_FROM)*('Dvd Calendar'!$R$143&lt;=GRID_TO)*((('Dvd Calendar'!$R$143&lt;=VAL_DATE)+(COUNTIF('Dvd Calendar'!$E$150:$AR$150,'Dvd Calendar'!$R$143)=0))&gt;0)=0,"",'Dvd Calendar'!$R$143*1000000000+ISNUMBER('Dvd Calendar'!$R$146)*100000000+('Dvd Calendar'!$R$148=SPECIAL_LBL)*10000000+(N('Dvd Calendar'!$R$142)&gt;0)*(N('Dvd Calendar'!$R$142)&lt;=VAL_SERIAL)*1000000+13*1000+14))</f>
        <v/>
      </c>
      <c r="ES24" s="39">
        <f>IF(N('Dvd Calendar'!$S$143)=0,"",IF(('Dvd Calendar'!$S$143&gt;=GRID_FROM)*('Dvd Calendar'!$S$143&lt;=GRID_TO)*((('Dvd Calendar'!$S$143&lt;=VAL_DATE)+(COUNTIF('Dvd Calendar'!$E$150:$AR$150,'Dvd Calendar'!$S$143)=0))&gt;0)=0,"",'Dvd Calendar'!$S$143*1000000000+ISNUMBER('Dvd Calendar'!$S$146)*100000000+('Dvd Calendar'!$S$148=SPECIAL_LBL)*10000000+(N('Dvd Calendar'!$S$142)&gt;0)*(N('Dvd Calendar'!$S$142)&lt;=VAL_SERIAL)*1000000+13*1000+15))</f>
        <v/>
      </c>
      <c r="ET24" s="39">
        <f>IF(N('Dvd Calendar'!$T$143)=0,"",IF(('Dvd Calendar'!$T$143&gt;=GRID_FROM)*('Dvd Calendar'!$T$143&lt;=GRID_TO)*((('Dvd Calendar'!$T$143&lt;=VAL_DATE)+(COUNTIF('Dvd Calendar'!$E$150:$AR$150,'Dvd Calendar'!$T$143)=0))&gt;0)=0,"",'Dvd Calendar'!$T$143*1000000000+ISNUMBER('Dvd Calendar'!$T$146)*100000000+('Dvd Calendar'!$T$148=SPECIAL_LBL)*10000000+(N('Dvd Calendar'!$T$142)&gt;0)*(N('Dvd Calendar'!$T$142)&lt;=VAL_SERIAL)*1000000+13*1000+16))</f>
        <v/>
      </c>
      <c r="EU24" s="39">
        <f>IF(N('Dvd Calendar'!$U$143)=0,"",IF(('Dvd Calendar'!$U$143&gt;=GRID_FROM)*('Dvd Calendar'!$U$143&lt;=GRID_TO)*((('Dvd Calendar'!$U$143&lt;=VAL_DATE)+(COUNTIF('Dvd Calendar'!$E$150:$AR$150,'Dvd Calendar'!$U$143)=0))&gt;0)=0,"",'Dvd Calendar'!$U$143*1000000000+ISNUMBER('Dvd Calendar'!$U$146)*100000000+('Dvd Calendar'!$U$148=SPECIAL_LBL)*10000000+(N('Dvd Calendar'!$U$142)&gt;0)*(N('Dvd Calendar'!$U$142)&lt;=VAL_SERIAL)*1000000+13*1000+17))</f>
        <v/>
      </c>
      <c r="EV24" s="39">
        <f>IF(N('Dvd Calendar'!$V$143)=0,"",IF(('Dvd Calendar'!$V$143&gt;=GRID_FROM)*('Dvd Calendar'!$V$143&lt;=GRID_TO)*((('Dvd Calendar'!$V$143&lt;=VAL_DATE)+(COUNTIF('Dvd Calendar'!$E$150:$AR$150,'Dvd Calendar'!$V$143)=0))&gt;0)=0,"",'Dvd Calendar'!$V$143*1000000000+ISNUMBER('Dvd Calendar'!$V$146)*100000000+('Dvd Calendar'!$V$148=SPECIAL_LBL)*10000000+(N('Dvd Calendar'!$V$142)&gt;0)*(N('Dvd Calendar'!$V$142)&lt;=VAL_SERIAL)*1000000+13*1000+18))</f>
        <v/>
      </c>
      <c r="EW24" s="39">
        <f>IF(N('Dvd Calendar'!$W$143)=0,"",IF(('Dvd Calendar'!$W$143&gt;=GRID_FROM)*('Dvd Calendar'!$W$143&lt;=GRID_TO)*((('Dvd Calendar'!$W$143&lt;=VAL_DATE)+(COUNTIF('Dvd Calendar'!$E$150:$AR$150,'Dvd Calendar'!$W$143)=0))&gt;0)=0,"",'Dvd Calendar'!$W$143*1000000000+ISNUMBER('Dvd Calendar'!$W$146)*100000000+('Dvd Calendar'!$W$148=SPECIAL_LBL)*10000000+(N('Dvd Calendar'!$W$142)&gt;0)*(N('Dvd Calendar'!$W$142)&lt;=VAL_SERIAL)*1000000+13*1000+19))</f>
        <v/>
      </c>
      <c r="EX24" s="39">
        <f>IF(N('Dvd Calendar'!$X$143)=0,"",IF(('Dvd Calendar'!$X$143&gt;=GRID_FROM)*('Dvd Calendar'!$X$143&lt;=GRID_TO)*((('Dvd Calendar'!$X$143&lt;=VAL_DATE)+(COUNTIF('Dvd Calendar'!$E$150:$AR$150,'Dvd Calendar'!$X$143)=0))&gt;0)=0,"",'Dvd Calendar'!$X$143*1000000000+ISNUMBER('Dvd Calendar'!$X$146)*100000000+('Dvd Calendar'!$X$148=SPECIAL_LBL)*10000000+(N('Dvd Calendar'!$X$142)&gt;0)*(N('Dvd Calendar'!$X$142)&lt;=VAL_SERIAL)*1000000+13*1000+20))</f>
        <v/>
      </c>
      <c r="EY24" s="39">
        <f>IF(N('Dvd Calendar'!$Y$143)=0,"",IF(('Dvd Calendar'!$Y$143&gt;=GRID_FROM)*('Dvd Calendar'!$Y$143&lt;=GRID_TO)*((('Dvd Calendar'!$Y$143&lt;=VAL_DATE)+(COUNTIF('Dvd Calendar'!$E$150:$AR$150,'Dvd Calendar'!$Y$143)=0))&gt;0)=0,"",'Dvd Calendar'!$Y$143*1000000000+ISNUMBER('Dvd Calendar'!$Y$146)*100000000+('Dvd Calendar'!$Y$148=SPECIAL_LBL)*10000000+(N('Dvd Calendar'!$Y$142)&gt;0)*(N('Dvd Calendar'!$Y$142)&lt;=VAL_SERIAL)*1000000+13*1000+21))</f>
        <v/>
      </c>
      <c r="EZ24" s="39">
        <f>IF(N('Dvd Calendar'!$Z$143)=0,"",IF(('Dvd Calendar'!$Z$143&gt;=GRID_FROM)*('Dvd Calendar'!$Z$143&lt;=GRID_TO)*((('Dvd Calendar'!$Z$143&lt;=VAL_DATE)+(COUNTIF('Dvd Calendar'!$E$150:$AR$150,'Dvd Calendar'!$Z$143)=0))&gt;0)=0,"",'Dvd Calendar'!$Z$143*1000000000+ISNUMBER('Dvd Calendar'!$Z$146)*100000000+('Dvd Calendar'!$Z$148=SPECIAL_LBL)*10000000+(N('Dvd Calendar'!$Z$142)&gt;0)*(N('Dvd Calendar'!$Z$142)&lt;=VAL_SERIAL)*1000000+13*1000+22))</f>
        <v/>
      </c>
      <c r="FA24" s="39">
        <f>IF(N('Dvd Calendar'!$AA$143)=0,"",IF(('Dvd Calendar'!$AA$143&gt;=GRID_FROM)*('Dvd Calendar'!$AA$143&lt;=GRID_TO)*((('Dvd Calendar'!$AA$143&lt;=VAL_DATE)+(COUNTIF('Dvd Calendar'!$E$150:$AR$150,'Dvd Calendar'!$AA$143)=0))&gt;0)=0,"",'Dvd Calendar'!$AA$143*1000000000+ISNUMBER('Dvd Calendar'!$AA$146)*100000000+('Dvd Calendar'!$AA$148=SPECIAL_LBL)*10000000+(N('Dvd Calendar'!$AA$142)&gt;0)*(N('Dvd Calendar'!$AA$142)&lt;=VAL_SERIAL)*1000000+13*1000+23))</f>
        <v/>
      </c>
      <c r="FB24" s="39">
        <f>IF(N('Dvd Calendar'!$AB$143)=0,"",IF(('Dvd Calendar'!$AB$143&gt;=GRID_FROM)*('Dvd Calendar'!$AB$143&lt;=GRID_TO)*((('Dvd Calendar'!$AB$143&lt;=VAL_DATE)+(COUNTIF('Dvd Calendar'!$E$150:$AR$150,'Dvd Calendar'!$AB$143)=0))&gt;0)=0,"",'Dvd Calendar'!$AB$143*1000000000+ISNUMBER('Dvd Calendar'!$AB$146)*100000000+('Dvd Calendar'!$AB$148=SPECIAL_LBL)*10000000+(N('Dvd Calendar'!$AB$142)&gt;0)*(N('Dvd Calendar'!$AB$142)&lt;=VAL_SERIAL)*1000000+13*1000+24))</f>
        <v/>
      </c>
      <c r="FC24" s="39">
        <f>IF(N('Dvd Calendar'!$AC$143)=0,"",IF(('Dvd Calendar'!$AC$143&gt;=GRID_FROM)*('Dvd Calendar'!$AC$143&lt;=GRID_TO)*((('Dvd Calendar'!$AC$143&lt;=VAL_DATE)+(COUNTIF('Dvd Calendar'!$E$150:$AR$150,'Dvd Calendar'!$AC$143)=0))&gt;0)=0,"",'Dvd Calendar'!$AC$143*1000000000+ISNUMBER('Dvd Calendar'!$AC$146)*100000000+('Dvd Calendar'!$AC$148=SPECIAL_LBL)*10000000+(N('Dvd Calendar'!$AC$142)&gt;0)*(N('Dvd Calendar'!$AC$142)&lt;=VAL_SERIAL)*1000000+13*1000+25))</f>
        <v/>
      </c>
      <c r="FD24" s="39">
        <f>IF(N('Dvd Calendar'!$AD$143)=0,"",IF(('Dvd Calendar'!$AD$143&gt;=GRID_FROM)*('Dvd Calendar'!$AD$143&lt;=GRID_TO)*((('Dvd Calendar'!$AD$143&lt;=VAL_DATE)+(COUNTIF('Dvd Calendar'!$E$150:$AR$150,'Dvd Calendar'!$AD$143)=0))&gt;0)=0,"",'Dvd Calendar'!$AD$143*1000000000+ISNUMBER('Dvd Calendar'!$AD$146)*100000000+('Dvd Calendar'!$AD$148=SPECIAL_LBL)*10000000+(N('Dvd Calendar'!$AD$142)&gt;0)*(N('Dvd Calendar'!$AD$142)&lt;=VAL_SERIAL)*1000000+13*1000+26))</f>
        <v/>
      </c>
      <c r="FE24" s="39">
        <f>IF(N('Dvd Calendar'!$AE$143)=0,"",IF(('Dvd Calendar'!$AE$143&gt;=GRID_FROM)*('Dvd Calendar'!$AE$143&lt;=GRID_TO)*((('Dvd Calendar'!$AE$143&lt;=VAL_DATE)+(COUNTIF('Dvd Calendar'!$E$150:$AR$150,'Dvd Calendar'!$AE$143)=0))&gt;0)=0,"",'Dvd Calendar'!$AE$143*1000000000+ISNUMBER('Dvd Calendar'!$AE$146)*100000000+('Dvd Calendar'!$AE$148=SPECIAL_LBL)*10000000+(N('Dvd Calendar'!$AE$142)&gt;0)*(N('Dvd Calendar'!$AE$142)&lt;=VAL_SERIAL)*1000000+13*1000+27))</f>
        <v/>
      </c>
      <c r="FF24" s="39">
        <f>IF(N('Dvd Calendar'!$AF$143)=0,"",IF(('Dvd Calendar'!$AF$143&gt;=GRID_FROM)*('Dvd Calendar'!$AF$143&lt;=GRID_TO)*((('Dvd Calendar'!$AF$143&lt;=VAL_DATE)+(COUNTIF('Dvd Calendar'!$E$150:$AR$150,'Dvd Calendar'!$AF$143)=0))&gt;0)=0,"",'Dvd Calendar'!$AF$143*1000000000+ISNUMBER('Dvd Calendar'!$AF$146)*100000000+('Dvd Calendar'!$AF$148=SPECIAL_LBL)*10000000+(N('Dvd Calendar'!$AF$142)&gt;0)*(N('Dvd Calendar'!$AF$142)&lt;=VAL_SERIAL)*1000000+13*1000+28))</f>
        <v/>
      </c>
      <c r="FG24" s="39">
        <f>IF(N('Dvd Calendar'!$AG$143)=0,"",IF(('Dvd Calendar'!$AG$143&gt;=GRID_FROM)*('Dvd Calendar'!$AG$143&lt;=GRID_TO)*((('Dvd Calendar'!$AG$143&lt;=VAL_DATE)+(COUNTIF('Dvd Calendar'!$E$150:$AR$150,'Dvd Calendar'!$AG$143)=0))&gt;0)=0,"",'Dvd Calendar'!$AG$143*1000000000+ISNUMBER('Dvd Calendar'!$AG$146)*100000000+('Dvd Calendar'!$AG$148=SPECIAL_LBL)*10000000+(N('Dvd Calendar'!$AG$142)&gt;0)*(N('Dvd Calendar'!$AG$142)&lt;=VAL_SERIAL)*1000000+13*1000+29))</f>
        <v/>
      </c>
      <c r="FH24" s="39">
        <f>IF(N('Dvd Calendar'!$AH$143)=0,"",IF(('Dvd Calendar'!$AH$143&gt;=GRID_FROM)*('Dvd Calendar'!$AH$143&lt;=GRID_TO)*((('Dvd Calendar'!$AH$143&lt;=VAL_DATE)+(COUNTIF('Dvd Calendar'!$E$150:$AR$150,'Dvd Calendar'!$AH$143)=0))&gt;0)=0,"",'Dvd Calendar'!$AH$143*1000000000+ISNUMBER('Dvd Calendar'!$AH$146)*100000000+('Dvd Calendar'!$AH$148=SPECIAL_LBL)*10000000+(N('Dvd Calendar'!$AH$142)&gt;0)*(N('Dvd Calendar'!$AH$142)&lt;=VAL_SERIAL)*1000000+13*1000+30))</f>
        <v/>
      </c>
      <c r="FI24" s="39">
        <f>IF(N('Dvd Calendar'!$AI$143)=0,"",IF(('Dvd Calendar'!$AI$143&gt;=GRID_FROM)*('Dvd Calendar'!$AI$143&lt;=GRID_TO)*((('Dvd Calendar'!$AI$143&lt;=VAL_DATE)+(COUNTIF('Dvd Calendar'!$E$150:$AR$150,'Dvd Calendar'!$AI$143)=0))&gt;0)=0,"",'Dvd Calendar'!$AI$143*1000000000+ISNUMBER('Dvd Calendar'!$AI$146)*100000000+('Dvd Calendar'!$AI$148=SPECIAL_LBL)*10000000+(N('Dvd Calendar'!$AI$142)&gt;0)*(N('Dvd Calendar'!$AI$142)&lt;=VAL_SERIAL)*1000000+13*1000+31))</f>
        <v/>
      </c>
      <c r="FJ24" s="39">
        <f>IF(N('Dvd Calendar'!$AJ$143)=0,"",IF(('Dvd Calendar'!$AJ$143&gt;=GRID_FROM)*('Dvd Calendar'!$AJ$143&lt;=GRID_TO)*((('Dvd Calendar'!$AJ$143&lt;=VAL_DATE)+(COUNTIF('Dvd Calendar'!$E$150:$AR$150,'Dvd Calendar'!$AJ$143)=0))&gt;0)=0,"",'Dvd Calendar'!$AJ$143*1000000000+ISNUMBER('Dvd Calendar'!$AJ$146)*100000000+('Dvd Calendar'!$AJ$148=SPECIAL_LBL)*10000000+(N('Dvd Calendar'!$AJ$142)&gt;0)*(N('Dvd Calendar'!$AJ$142)&lt;=VAL_SERIAL)*1000000+13*1000+32))</f>
        <v/>
      </c>
      <c r="FK24" s="39">
        <f>IF(N('Dvd Calendar'!$AK$143)=0,"",IF(('Dvd Calendar'!$AK$143&gt;=GRID_FROM)*('Dvd Calendar'!$AK$143&lt;=GRID_TO)*((('Dvd Calendar'!$AK$143&lt;=VAL_DATE)+(COUNTIF('Dvd Calendar'!$E$150:$AR$150,'Dvd Calendar'!$AK$143)=0))&gt;0)=0,"",'Dvd Calendar'!$AK$143*1000000000+ISNUMBER('Dvd Calendar'!$AK$146)*100000000+('Dvd Calendar'!$AK$148=SPECIAL_LBL)*10000000+(N('Dvd Calendar'!$AK$142)&gt;0)*(N('Dvd Calendar'!$AK$142)&lt;=VAL_SERIAL)*1000000+13*1000+33))</f>
        <v/>
      </c>
      <c r="FL24" s="39">
        <f>IF(N('Dvd Calendar'!$AL$143)=0,"",IF(('Dvd Calendar'!$AL$143&gt;=GRID_FROM)*('Dvd Calendar'!$AL$143&lt;=GRID_TO)*((('Dvd Calendar'!$AL$143&lt;=VAL_DATE)+(COUNTIF('Dvd Calendar'!$E$150:$AR$150,'Dvd Calendar'!$AL$143)=0))&gt;0)=0,"",'Dvd Calendar'!$AL$143*1000000000+ISNUMBER('Dvd Calendar'!$AL$146)*100000000+('Dvd Calendar'!$AL$148=SPECIAL_LBL)*10000000+(N('Dvd Calendar'!$AL$142)&gt;0)*(N('Dvd Calendar'!$AL$142)&lt;=VAL_SERIAL)*1000000+13*1000+34))</f>
        <v/>
      </c>
      <c r="FM24" s="39">
        <f>IF(N('Dvd Calendar'!$AM$143)=0,"",IF(('Dvd Calendar'!$AM$143&gt;=GRID_FROM)*('Dvd Calendar'!$AM$143&lt;=GRID_TO)*((('Dvd Calendar'!$AM$143&lt;=VAL_DATE)+(COUNTIF('Dvd Calendar'!$E$150:$AR$150,'Dvd Calendar'!$AM$143)=0))&gt;0)=0,"",'Dvd Calendar'!$AM$143*1000000000+ISNUMBER('Dvd Calendar'!$AM$146)*100000000+('Dvd Calendar'!$AM$148=SPECIAL_LBL)*10000000+(N('Dvd Calendar'!$AM$142)&gt;0)*(N('Dvd Calendar'!$AM$142)&lt;=VAL_SERIAL)*1000000+13*1000+35))</f>
        <v/>
      </c>
      <c r="FN24" s="39">
        <f>IF(N('Dvd Calendar'!$AN$143)=0,"",IF(('Dvd Calendar'!$AN$143&gt;=GRID_FROM)*('Dvd Calendar'!$AN$143&lt;=GRID_TO)*((('Dvd Calendar'!$AN$143&lt;=VAL_DATE)+(COUNTIF('Dvd Calendar'!$E$150:$AR$150,'Dvd Calendar'!$AN$143)=0))&gt;0)=0,"",'Dvd Calendar'!$AN$143*1000000000+ISNUMBER('Dvd Calendar'!$AN$146)*100000000+('Dvd Calendar'!$AN$148=SPECIAL_LBL)*10000000+(N('Dvd Calendar'!$AN$142)&gt;0)*(N('Dvd Calendar'!$AN$142)&lt;=VAL_SERIAL)*1000000+13*1000+36))</f>
        <v/>
      </c>
      <c r="FO24" s="39">
        <f>IF(N('Dvd Calendar'!$AO$143)=0,"",IF(('Dvd Calendar'!$AO$143&gt;=GRID_FROM)*('Dvd Calendar'!$AO$143&lt;=GRID_TO)*((('Dvd Calendar'!$AO$143&lt;=VAL_DATE)+(COUNTIF('Dvd Calendar'!$E$150:$AR$150,'Dvd Calendar'!$AO$143)=0))&gt;0)=0,"",'Dvd Calendar'!$AO$143*1000000000+ISNUMBER('Dvd Calendar'!$AO$146)*100000000+('Dvd Calendar'!$AO$148=SPECIAL_LBL)*10000000+(N('Dvd Calendar'!$AO$142)&gt;0)*(N('Dvd Calendar'!$AO$142)&lt;=VAL_SERIAL)*1000000+13*1000+37))</f>
        <v/>
      </c>
      <c r="FP24" s="39">
        <f>IF(N('Dvd Calendar'!$AP$143)=0,"",IF(('Dvd Calendar'!$AP$143&gt;=GRID_FROM)*('Dvd Calendar'!$AP$143&lt;=GRID_TO)*((('Dvd Calendar'!$AP$143&lt;=VAL_DATE)+(COUNTIF('Dvd Calendar'!$E$150:$AR$150,'Dvd Calendar'!$AP$143)=0))&gt;0)=0,"",'Dvd Calendar'!$AP$143*1000000000+ISNUMBER('Dvd Calendar'!$AP$146)*100000000+('Dvd Calendar'!$AP$148=SPECIAL_LBL)*10000000+(N('Dvd Calendar'!$AP$142)&gt;0)*(N('Dvd Calendar'!$AP$142)&lt;=VAL_SERIAL)*1000000+13*1000+38))</f>
        <v/>
      </c>
      <c r="FQ24" s="39">
        <f>IF(N('Dvd Calendar'!$AQ$143)=0,"",IF(('Dvd Calendar'!$AQ$143&gt;=GRID_FROM)*('Dvd Calendar'!$AQ$143&lt;=GRID_TO)*((('Dvd Calendar'!$AQ$143&lt;=VAL_DATE)+(COUNTIF('Dvd Calendar'!$E$150:$AR$150,'Dvd Calendar'!$AQ$143)=0))&gt;0)=0,"",'Dvd Calendar'!$AQ$143*1000000000+ISNUMBER('Dvd Calendar'!$AQ$146)*100000000+('Dvd Calendar'!$AQ$148=SPECIAL_LBL)*10000000+(N('Dvd Calendar'!$AQ$142)&gt;0)*(N('Dvd Calendar'!$AQ$142)&lt;=VAL_SERIAL)*1000000+13*1000+39))</f>
        <v/>
      </c>
      <c r="FR24" s="39">
        <f>IF(N('Dvd Calendar'!$AR$143)=0,"",IF(('Dvd Calendar'!$AR$143&gt;=GRID_FROM)*('Dvd Calendar'!$AR$143&lt;=GRID_TO)*((('Dvd Calendar'!$AR$143&lt;=VAL_DATE)+(COUNTIF('Dvd Calendar'!$E$150:$AR$150,'Dvd Calendar'!$AR$143)=0))&gt;0)=0,"",'Dvd Calendar'!$AR$143*1000000000+ISNUMBER('Dvd Calendar'!$AR$146)*100000000+('Dvd Calendar'!$AR$148=SPECIAL_LBL)*10000000+(N('Dvd Calendar'!$AR$142)&gt;0)*(N('Dvd Calendar'!$AR$142)&lt;=VAL_SERIAL)*1000000+13*1000+40))</f>
        <v/>
      </c>
      <c r="FS24" s="39">
        <f>IF(N('Dvd Calendar'!$E$150)=0,"",IF(('Dvd Calendar'!$E$150&gt;=GRID_FROM)*('Dvd Calendar'!$E$150&lt;=GRID_TO)*('Dvd Calendar'!$E$150&gt;VAL_DATE)=0,"",'Dvd Calendar'!$E$150*1000000000+ISNUMBER('Dvd Calendar'!$E$151)*100000000+0*10000000+(N('Dvd Calendar'!$E$149)&gt;0)*(N('Dvd Calendar'!$E$149)&lt;=VAL_SERIAL)*1000000+13*1000+41))</f>
        <v/>
      </c>
      <c r="FT24" s="39">
        <f>IF(N('Dvd Calendar'!$F$150)=0,"",IF(('Dvd Calendar'!$F$150&gt;=GRID_FROM)*('Dvd Calendar'!$F$150&lt;=GRID_TO)*('Dvd Calendar'!$F$150&gt;VAL_DATE)=0,"",'Dvd Calendar'!$F$150*1000000000+ISNUMBER('Dvd Calendar'!$F$151)*100000000+0*10000000+(N('Dvd Calendar'!$F$149)&gt;0)*(N('Dvd Calendar'!$F$149)&lt;=VAL_SERIAL)*1000000+13*1000+42))</f>
        <v/>
      </c>
      <c r="FU24" s="39">
        <f>IF(N('Dvd Calendar'!$G$150)=0,"",IF(('Dvd Calendar'!$G$150&gt;=GRID_FROM)*('Dvd Calendar'!$G$150&lt;=GRID_TO)*('Dvd Calendar'!$G$150&gt;VAL_DATE)=0,"",'Dvd Calendar'!$G$150*1000000000+ISNUMBER('Dvd Calendar'!$G$151)*100000000+0*10000000+(N('Dvd Calendar'!$G$149)&gt;0)*(N('Dvd Calendar'!$G$149)&lt;=VAL_SERIAL)*1000000+13*1000+43))</f>
        <v/>
      </c>
      <c r="FV24" s="39">
        <f>IF(N('Dvd Calendar'!$H$150)=0,"",IF(('Dvd Calendar'!$H$150&gt;=GRID_FROM)*('Dvd Calendar'!$H$150&lt;=GRID_TO)*('Dvd Calendar'!$H$150&gt;VAL_DATE)=0,"",'Dvd Calendar'!$H$150*1000000000+ISNUMBER('Dvd Calendar'!$H$151)*100000000+0*10000000+(N('Dvd Calendar'!$H$149)&gt;0)*(N('Dvd Calendar'!$H$149)&lt;=VAL_SERIAL)*1000000+13*1000+44))</f>
        <v/>
      </c>
      <c r="FW24" s="39">
        <f>IF(N('Dvd Calendar'!$I$150)=0,"",IF(('Dvd Calendar'!$I$150&gt;=GRID_FROM)*('Dvd Calendar'!$I$150&lt;=GRID_TO)*('Dvd Calendar'!$I$150&gt;VAL_DATE)=0,"",'Dvd Calendar'!$I$150*1000000000+ISNUMBER('Dvd Calendar'!$I$151)*100000000+0*10000000+(N('Dvd Calendar'!$I$149)&gt;0)*(N('Dvd Calendar'!$I$149)&lt;=VAL_SERIAL)*1000000+13*1000+45))</f>
        <v/>
      </c>
      <c r="FX24" s="39">
        <f>IF(N('Dvd Calendar'!$J$150)=0,"",IF(('Dvd Calendar'!$J$150&gt;=GRID_FROM)*('Dvd Calendar'!$J$150&lt;=GRID_TO)*('Dvd Calendar'!$J$150&gt;VAL_DATE)=0,"",'Dvd Calendar'!$J$150*1000000000+ISNUMBER('Dvd Calendar'!$J$151)*100000000+0*10000000+(N('Dvd Calendar'!$J$149)&gt;0)*(N('Dvd Calendar'!$J$149)&lt;=VAL_SERIAL)*1000000+13*1000+46))</f>
        <v/>
      </c>
      <c r="FY24" s="39">
        <f>IF(N('Dvd Calendar'!$K$150)=0,"",IF(('Dvd Calendar'!$K$150&gt;=GRID_FROM)*('Dvd Calendar'!$K$150&lt;=GRID_TO)*('Dvd Calendar'!$K$150&gt;VAL_DATE)=0,"",'Dvd Calendar'!$K$150*1000000000+ISNUMBER('Dvd Calendar'!$K$151)*100000000+0*10000000+(N('Dvd Calendar'!$K$149)&gt;0)*(N('Dvd Calendar'!$K$149)&lt;=VAL_SERIAL)*1000000+13*1000+47))</f>
        <v/>
      </c>
      <c r="FZ24" s="39">
        <f>IF(N('Dvd Calendar'!$L$150)=0,"",IF(('Dvd Calendar'!$L$150&gt;=GRID_FROM)*('Dvd Calendar'!$L$150&lt;=GRID_TO)*('Dvd Calendar'!$L$150&gt;VAL_DATE)=0,"",'Dvd Calendar'!$L$150*1000000000+ISNUMBER('Dvd Calendar'!$L$151)*100000000+0*10000000+(N('Dvd Calendar'!$L$149)&gt;0)*(N('Dvd Calendar'!$L$149)&lt;=VAL_SERIAL)*1000000+13*1000+48))</f>
        <v/>
      </c>
      <c r="GA24" s="39">
        <f>IF(N('Dvd Calendar'!$M$150)=0,"",IF(('Dvd Calendar'!$M$150&gt;=GRID_FROM)*('Dvd Calendar'!$M$150&lt;=GRID_TO)*('Dvd Calendar'!$M$150&gt;VAL_DATE)=0,"",'Dvd Calendar'!$M$150*1000000000+ISNUMBER('Dvd Calendar'!$M$151)*100000000+0*10000000+(N('Dvd Calendar'!$M$149)&gt;0)*(N('Dvd Calendar'!$M$149)&lt;=VAL_SERIAL)*1000000+13*1000+49))</f>
        <v/>
      </c>
      <c r="GB24" s="39">
        <f>IF(N('Dvd Calendar'!$N$150)=0,"",IF(('Dvd Calendar'!$N$150&gt;=GRID_FROM)*('Dvd Calendar'!$N$150&lt;=GRID_TO)*('Dvd Calendar'!$N$150&gt;VAL_DATE)=0,"",'Dvd Calendar'!$N$150*1000000000+ISNUMBER('Dvd Calendar'!$N$151)*100000000+0*10000000+(N('Dvd Calendar'!$N$149)&gt;0)*(N('Dvd Calendar'!$N$149)&lt;=VAL_SERIAL)*1000000+13*1000+50))</f>
        <v/>
      </c>
      <c r="GC24" s="39">
        <f>IF(N('Dvd Calendar'!$O$150)=0,"",IF(('Dvd Calendar'!$O$150&gt;=GRID_FROM)*('Dvd Calendar'!$O$150&lt;=GRID_TO)*('Dvd Calendar'!$O$150&gt;VAL_DATE)=0,"",'Dvd Calendar'!$O$150*1000000000+ISNUMBER('Dvd Calendar'!$O$151)*100000000+0*10000000+(N('Dvd Calendar'!$O$149)&gt;0)*(N('Dvd Calendar'!$O$149)&lt;=VAL_SERIAL)*1000000+13*1000+51))</f>
        <v/>
      </c>
      <c r="GD24" s="39">
        <f>IF(N('Dvd Calendar'!$P$150)=0,"",IF(('Dvd Calendar'!$P$150&gt;=GRID_FROM)*('Dvd Calendar'!$P$150&lt;=GRID_TO)*('Dvd Calendar'!$P$150&gt;VAL_DATE)=0,"",'Dvd Calendar'!$P$150*1000000000+ISNUMBER('Dvd Calendar'!$P$151)*100000000+0*10000000+(N('Dvd Calendar'!$P$149)&gt;0)*(N('Dvd Calendar'!$P$149)&lt;=VAL_SERIAL)*1000000+13*1000+52))</f>
        <v/>
      </c>
      <c r="GE24" s="39">
        <f>IF(N('Dvd Calendar'!$Q$150)=0,"",IF(('Dvd Calendar'!$Q$150&gt;=GRID_FROM)*('Dvd Calendar'!$Q$150&lt;=GRID_TO)*('Dvd Calendar'!$Q$150&gt;VAL_DATE)=0,"",'Dvd Calendar'!$Q$150*1000000000+ISNUMBER('Dvd Calendar'!$Q$151)*100000000+0*10000000+(N('Dvd Calendar'!$Q$149)&gt;0)*(N('Dvd Calendar'!$Q$149)&lt;=VAL_SERIAL)*1000000+13*1000+53))</f>
        <v/>
      </c>
      <c r="GF24" s="39">
        <f>IF(N('Dvd Calendar'!$R$150)=0,"",IF(('Dvd Calendar'!$R$150&gt;=GRID_FROM)*('Dvd Calendar'!$R$150&lt;=GRID_TO)*('Dvd Calendar'!$R$150&gt;VAL_DATE)=0,"",'Dvd Calendar'!$R$150*1000000000+ISNUMBER('Dvd Calendar'!$R$151)*100000000+0*10000000+(N('Dvd Calendar'!$R$149)&gt;0)*(N('Dvd Calendar'!$R$149)&lt;=VAL_SERIAL)*1000000+13*1000+54))</f>
        <v/>
      </c>
      <c r="GG24" s="39">
        <f>IF(N('Dvd Calendar'!$S$150)=0,"",IF(('Dvd Calendar'!$S$150&gt;=GRID_FROM)*('Dvd Calendar'!$S$150&lt;=GRID_TO)*('Dvd Calendar'!$S$150&gt;VAL_DATE)=0,"",'Dvd Calendar'!$S$150*1000000000+ISNUMBER('Dvd Calendar'!$S$151)*100000000+0*10000000+(N('Dvd Calendar'!$S$149)&gt;0)*(N('Dvd Calendar'!$S$149)&lt;=VAL_SERIAL)*1000000+13*1000+55))</f>
        <v/>
      </c>
      <c r="GH24" s="39">
        <f>IF(N('Dvd Calendar'!$T$150)=0,"",IF(('Dvd Calendar'!$T$150&gt;=GRID_FROM)*('Dvd Calendar'!$T$150&lt;=GRID_TO)*('Dvd Calendar'!$T$150&gt;VAL_DATE)=0,"",'Dvd Calendar'!$T$150*1000000000+ISNUMBER('Dvd Calendar'!$T$151)*100000000+0*10000000+(N('Dvd Calendar'!$T$149)&gt;0)*(N('Dvd Calendar'!$T$149)&lt;=VAL_SERIAL)*1000000+13*1000+56))</f>
        <v/>
      </c>
      <c r="GI24" s="39">
        <f>IF(N('Dvd Calendar'!$U$150)=0,"",IF(('Dvd Calendar'!$U$150&gt;=GRID_FROM)*('Dvd Calendar'!$U$150&lt;=GRID_TO)*('Dvd Calendar'!$U$150&gt;VAL_DATE)=0,"",'Dvd Calendar'!$U$150*1000000000+ISNUMBER('Dvd Calendar'!$U$151)*100000000+0*10000000+(N('Dvd Calendar'!$U$149)&gt;0)*(N('Dvd Calendar'!$U$149)&lt;=VAL_SERIAL)*1000000+13*1000+57))</f>
        <v/>
      </c>
      <c r="GJ24" s="39">
        <f>IF(N('Dvd Calendar'!$V$150)=0,"",IF(('Dvd Calendar'!$V$150&gt;=GRID_FROM)*('Dvd Calendar'!$V$150&lt;=GRID_TO)*('Dvd Calendar'!$V$150&gt;VAL_DATE)=0,"",'Dvd Calendar'!$V$150*1000000000+ISNUMBER('Dvd Calendar'!$V$151)*100000000+0*10000000+(N('Dvd Calendar'!$V$149)&gt;0)*(N('Dvd Calendar'!$V$149)&lt;=VAL_SERIAL)*1000000+13*1000+58))</f>
        <v/>
      </c>
      <c r="GK24" s="39">
        <f>IF(N('Dvd Calendar'!$W$150)=0,"",IF(('Dvd Calendar'!$W$150&gt;=GRID_FROM)*('Dvd Calendar'!$W$150&lt;=GRID_TO)*('Dvd Calendar'!$W$150&gt;VAL_DATE)=0,"",'Dvd Calendar'!$W$150*1000000000+ISNUMBER('Dvd Calendar'!$W$151)*100000000+0*10000000+(N('Dvd Calendar'!$W$149)&gt;0)*(N('Dvd Calendar'!$W$149)&lt;=VAL_SERIAL)*1000000+13*1000+59))</f>
        <v/>
      </c>
      <c r="GL24" s="39">
        <f>IF(N('Dvd Calendar'!$X$150)=0,"",IF(('Dvd Calendar'!$X$150&gt;=GRID_FROM)*('Dvd Calendar'!$X$150&lt;=GRID_TO)*('Dvd Calendar'!$X$150&gt;VAL_DATE)=0,"",'Dvd Calendar'!$X$150*1000000000+ISNUMBER('Dvd Calendar'!$X$151)*100000000+0*10000000+(N('Dvd Calendar'!$X$149)&gt;0)*(N('Dvd Calendar'!$X$149)&lt;=VAL_SERIAL)*1000000+13*1000+60))</f>
        <v/>
      </c>
      <c r="GM24" s="39">
        <f>IF(N('Dvd Calendar'!$Y$150)=0,"",IF(('Dvd Calendar'!$Y$150&gt;=GRID_FROM)*('Dvd Calendar'!$Y$150&lt;=GRID_TO)*('Dvd Calendar'!$Y$150&gt;VAL_DATE)=0,"",'Dvd Calendar'!$Y$150*1000000000+ISNUMBER('Dvd Calendar'!$Y$151)*100000000+0*10000000+(N('Dvd Calendar'!$Y$149)&gt;0)*(N('Dvd Calendar'!$Y$149)&lt;=VAL_SERIAL)*1000000+13*1000+61))</f>
        <v/>
      </c>
      <c r="GN24" s="39">
        <f>IF(N('Dvd Calendar'!$Z$150)=0,"",IF(('Dvd Calendar'!$Z$150&gt;=GRID_FROM)*('Dvd Calendar'!$Z$150&lt;=GRID_TO)*('Dvd Calendar'!$Z$150&gt;VAL_DATE)=0,"",'Dvd Calendar'!$Z$150*1000000000+ISNUMBER('Dvd Calendar'!$Z$151)*100000000+0*10000000+(N('Dvd Calendar'!$Z$149)&gt;0)*(N('Dvd Calendar'!$Z$149)&lt;=VAL_SERIAL)*1000000+13*1000+62))</f>
        <v/>
      </c>
      <c r="GO24" s="39">
        <f>IF(N('Dvd Calendar'!$AA$150)=0,"",IF(('Dvd Calendar'!$AA$150&gt;=GRID_FROM)*('Dvd Calendar'!$AA$150&lt;=GRID_TO)*('Dvd Calendar'!$AA$150&gt;VAL_DATE)=0,"",'Dvd Calendar'!$AA$150*1000000000+ISNUMBER('Dvd Calendar'!$AA$151)*100000000+0*10000000+(N('Dvd Calendar'!$AA$149)&gt;0)*(N('Dvd Calendar'!$AA$149)&lt;=VAL_SERIAL)*1000000+13*1000+63))</f>
        <v/>
      </c>
      <c r="GP24" s="39">
        <f>IF(N('Dvd Calendar'!$AB$150)=0,"",IF(('Dvd Calendar'!$AB$150&gt;=GRID_FROM)*('Dvd Calendar'!$AB$150&lt;=GRID_TO)*('Dvd Calendar'!$AB$150&gt;VAL_DATE)=0,"",'Dvd Calendar'!$AB$150*1000000000+ISNUMBER('Dvd Calendar'!$AB$151)*100000000+0*10000000+(N('Dvd Calendar'!$AB$149)&gt;0)*(N('Dvd Calendar'!$AB$149)&lt;=VAL_SERIAL)*1000000+13*1000+64))</f>
        <v/>
      </c>
      <c r="GQ24" s="39">
        <f>IF(N('Dvd Calendar'!$AC$150)=0,"",IF(('Dvd Calendar'!$AC$150&gt;=GRID_FROM)*('Dvd Calendar'!$AC$150&lt;=GRID_TO)*('Dvd Calendar'!$AC$150&gt;VAL_DATE)=0,"",'Dvd Calendar'!$AC$150*1000000000+ISNUMBER('Dvd Calendar'!$AC$151)*100000000+0*10000000+(N('Dvd Calendar'!$AC$149)&gt;0)*(N('Dvd Calendar'!$AC$149)&lt;=VAL_SERIAL)*1000000+13*1000+65))</f>
        <v/>
      </c>
    </row>
    <row r="25">
      <c r="B25" s="2">
        <f>IF(HSI!$C$20="","",HSI!$C$20)</f>
        <v/>
      </c>
      <c r="C25" s="110">
        <f>IF(EE25="","",IF(ISNUMBER('Dvd Calendar'!$E$157)=FALSE,"",IF((('Dvd Calendar'!$E$159=TYPE1)*(TYPE1&lt;&gt;"")+('Dvd Calendar'!$E$159=TYPE2)*(TYPE2&lt;&gt;"")+('Dvd Calendar'!$E$159=TYPE3)*(TYPE3&lt;&gt;"")+('Dvd Calendar'!$E$159=TYPE4)*(TYPE4&lt;&gt;"")+('Dvd Calendar'!$E$159=SPECIAL_LBL)*(INC_SPECIALS="Y"))=0,"",'Dvd Calendar'!$E$157)))</f>
        <v/>
      </c>
      <c r="D25" s="110">
        <f>IF(EF25="","",IF(ISNUMBER('Dvd Calendar'!$F$157)=FALSE,"",IF((('Dvd Calendar'!$F$159=TYPE1)*(TYPE1&lt;&gt;"")+('Dvd Calendar'!$F$159=TYPE2)*(TYPE2&lt;&gt;"")+('Dvd Calendar'!$F$159=TYPE3)*(TYPE3&lt;&gt;"")+('Dvd Calendar'!$F$159=TYPE4)*(TYPE4&lt;&gt;"")+('Dvd Calendar'!$F$159=SPECIAL_LBL)*(INC_SPECIALS="Y"))=0,"",'Dvd Calendar'!$F$157)))</f>
        <v/>
      </c>
      <c r="E25" s="110">
        <f>IF(EG25="","",IF(ISNUMBER('Dvd Calendar'!$G$157)=FALSE,"",IF((('Dvd Calendar'!$G$159=TYPE1)*(TYPE1&lt;&gt;"")+('Dvd Calendar'!$G$159=TYPE2)*(TYPE2&lt;&gt;"")+('Dvd Calendar'!$G$159=TYPE3)*(TYPE3&lt;&gt;"")+('Dvd Calendar'!$G$159=TYPE4)*(TYPE4&lt;&gt;"")+('Dvd Calendar'!$G$159=SPECIAL_LBL)*(INC_SPECIALS="Y"))=0,"",'Dvd Calendar'!$G$157)))</f>
        <v/>
      </c>
      <c r="F25" s="110">
        <f>IF(EH25="","",IF(ISNUMBER('Dvd Calendar'!$H$157)=FALSE,"",IF((('Dvd Calendar'!$H$159=TYPE1)*(TYPE1&lt;&gt;"")+('Dvd Calendar'!$H$159=TYPE2)*(TYPE2&lt;&gt;"")+('Dvd Calendar'!$H$159=TYPE3)*(TYPE3&lt;&gt;"")+('Dvd Calendar'!$H$159=TYPE4)*(TYPE4&lt;&gt;"")+('Dvd Calendar'!$H$159=SPECIAL_LBL)*(INC_SPECIALS="Y"))=0,"",'Dvd Calendar'!$H$157)))</f>
        <v/>
      </c>
      <c r="G25" s="110">
        <f>IF(EI25="","",IF(ISNUMBER('Dvd Calendar'!$I$157)=FALSE,"",IF((('Dvd Calendar'!$I$159=TYPE1)*(TYPE1&lt;&gt;"")+('Dvd Calendar'!$I$159=TYPE2)*(TYPE2&lt;&gt;"")+('Dvd Calendar'!$I$159=TYPE3)*(TYPE3&lt;&gt;"")+('Dvd Calendar'!$I$159=TYPE4)*(TYPE4&lt;&gt;"")+('Dvd Calendar'!$I$159=SPECIAL_LBL)*(INC_SPECIALS="Y"))=0,"",'Dvd Calendar'!$I$157)))</f>
        <v/>
      </c>
      <c r="H25" s="110">
        <f>IF(EJ25="","",IF(ISNUMBER('Dvd Calendar'!$J$157)=FALSE,"",IF((('Dvd Calendar'!$J$159=TYPE1)*(TYPE1&lt;&gt;"")+('Dvd Calendar'!$J$159=TYPE2)*(TYPE2&lt;&gt;"")+('Dvd Calendar'!$J$159=TYPE3)*(TYPE3&lt;&gt;"")+('Dvd Calendar'!$J$159=TYPE4)*(TYPE4&lt;&gt;"")+('Dvd Calendar'!$J$159=SPECIAL_LBL)*(INC_SPECIALS="Y"))=0,"",'Dvd Calendar'!$J$157)))</f>
        <v/>
      </c>
      <c r="I25" s="110">
        <f>IF(EK25="","",IF(ISNUMBER('Dvd Calendar'!$K$157)=FALSE,"",IF((('Dvd Calendar'!$K$159=TYPE1)*(TYPE1&lt;&gt;"")+('Dvd Calendar'!$K$159=TYPE2)*(TYPE2&lt;&gt;"")+('Dvd Calendar'!$K$159=TYPE3)*(TYPE3&lt;&gt;"")+('Dvd Calendar'!$K$159=TYPE4)*(TYPE4&lt;&gt;"")+('Dvd Calendar'!$K$159=SPECIAL_LBL)*(INC_SPECIALS="Y"))=0,"",'Dvd Calendar'!$K$157)))</f>
        <v/>
      </c>
      <c r="J25" s="110">
        <f>IF(EL25="","",IF(ISNUMBER('Dvd Calendar'!$L$157)=FALSE,"",IF((('Dvd Calendar'!$L$159=TYPE1)*(TYPE1&lt;&gt;"")+('Dvd Calendar'!$L$159=TYPE2)*(TYPE2&lt;&gt;"")+('Dvd Calendar'!$L$159=TYPE3)*(TYPE3&lt;&gt;"")+('Dvd Calendar'!$L$159=TYPE4)*(TYPE4&lt;&gt;"")+('Dvd Calendar'!$L$159=SPECIAL_LBL)*(INC_SPECIALS="Y"))=0,"",'Dvd Calendar'!$L$157)))</f>
        <v/>
      </c>
      <c r="K25" s="110">
        <f>IF(EM25="","",IF(ISNUMBER('Dvd Calendar'!$M$157)=FALSE,"",IF((('Dvd Calendar'!$M$159=TYPE1)*(TYPE1&lt;&gt;"")+('Dvd Calendar'!$M$159=TYPE2)*(TYPE2&lt;&gt;"")+('Dvd Calendar'!$M$159=TYPE3)*(TYPE3&lt;&gt;"")+('Dvd Calendar'!$M$159=TYPE4)*(TYPE4&lt;&gt;"")+('Dvd Calendar'!$M$159=SPECIAL_LBL)*(INC_SPECIALS="Y"))=0,"",'Dvd Calendar'!$M$157)))</f>
        <v/>
      </c>
      <c r="L25" s="110">
        <f>IF(EN25="","",IF(ISNUMBER('Dvd Calendar'!$N$157)=FALSE,"",IF((('Dvd Calendar'!$N$159=TYPE1)*(TYPE1&lt;&gt;"")+('Dvd Calendar'!$N$159=TYPE2)*(TYPE2&lt;&gt;"")+('Dvd Calendar'!$N$159=TYPE3)*(TYPE3&lt;&gt;"")+('Dvd Calendar'!$N$159=TYPE4)*(TYPE4&lt;&gt;"")+('Dvd Calendar'!$N$159=SPECIAL_LBL)*(INC_SPECIALS="Y"))=0,"",'Dvd Calendar'!$N$157)))</f>
        <v/>
      </c>
      <c r="M25" s="110">
        <f>IF(EO25="","",IF(ISNUMBER('Dvd Calendar'!$O$157)=FALSE,"",IF((('Dvd Calendar'!$O$159=TYPE1)*(TYPE1&lt;&gt;"")+('Dvd Calendar'!$O$159=TYPE2)*(TYPE2&lt;&gt;"")+('Dvd Calendar'!$O$159=TYPE3)*(TYPE3&lt;&gt;"")+('Dvd Calendar'!$O$159=TYPE4)*(TYPE4&lt;&gt;"")+('Dvd Calendar'!$O$159=SPECIAL_LBL)*(INC_SPECIALS="Y"))=0,"",'Dvd Calendar'!$O$157)))</f>
        <v/>
      </c>
      <c r="N25" s="110">
        <f>IF(EP25="","",IF(ISNUMBER('Dvd Calendar'!$P$157)=FALSE,"",IF((('Dvd Calendar'!$P$159=TYPE1)*(TYPE1&lt;&gt;"")+('Dvd Calendar'!$P$159=TYPE2)*(TYPE2&lt;&gt;"")+('Dvd Calendar'!$P$159=TYPE3)*(TYPE3&lt;&gt;"")+('Dvd Calendar'!$P$159=TYPE4)*(TYPE4&lt;&gt;"")+('Dvd Calendar'!$P$159=SPECIAL_LBL)*(INC_SPECIALS="Y"))=0,"",'Dvd Calendar'!$P$157)))</f>
        <v/>
      </c>
      <c r="O25" s="110">
        <f>IF(EQ25="","",IF(ISNUMBER('Dvd Calendar'!$Q$157)=FALSE,"",IF((('Dvd Calendar'!$Q$159=TYPE1)*(TYPE1&lt;&gt;"")+('Dvd Calendar'!$Q$159=TYPE2)*(TYPE2&lt;&gt;"")+('Dvd Calendar'!$Q$159=TYPE3)*(TYPE3&lt;&gt;"")+('Dvd Calendar'!$Q$159=TYPE4)*(TYPE4&lt;&gt;"")+('Dvd Calendar'!$Q$159=SPECIAL_LBL)*(INC_SPECIALS="Y"))=0,"",'Dvd Calendar'!$Q$157)))</f>
        <v/>
      </c>
      <c r="P25" s="110">
        <f>IF(ER25="","",IF(ISNUMBER('Dvd Calendar'!$R$157)=FALSE,"",IF((('Dvd Calendar'!$R$159=TYPE1)*(TYPE1&lt;&gt;"")+('Dvd Calendar'!$R$159=TYPE2)*(TYPE2&lt;&gt;"")+('Dvd Calendar'!$R$159=TYPE3)*(TYPE3&lt;&gt;"")+('Dvd Calendar'!$R$159=TYPE4)*(TYPE4&lt;&gt;"")+('Dvd Calendar'!$R$159=SPECIAL_LBL)*(INC_SPECIALS="Y"))=0,"",'Dvd Calendar'!$R$157)))</f>
        <v/>
      </c>
      <c r="Q25" s="110">
        <f>IF(ES25="","",IF(ISNUMBER('Dvd Calendar'!$S$157)=FALSE,"",IF((('Dvd Calendar'!$S$159=TYPE1)*(TYPE1&lt;&gt;"")+('Dvd Calendar'!$S$159=TYPE2)*(TYPE2&lt;&gt;"")+('Dvd Calendar'!$S$159=TYPE3)*(TYPE3&lt;&gt;"")+('Dvd Calendar'!$S$159=TYPE4)*(TYPE4&lt;&gt;"")+('Dvd Calendar'!$S$159=SPECIAL_LBL)*(INC_SPECIALS="Y"))=0,"",'Dvd Calendar'!$S$157)))</f>
        <v/>
      </c>
      <c r="R25" s="110">
        <f>IF(ET25="","",IF(ISNUMBER('Dvd Calendar'!$T$157)=FALSE,"",IF((('Dvd Calendar'!$T$159=TYPE1)*(TYPE1&lt;&gt;"")+('Dvd Calendar'!$T$159=TYPE2)*(TYPE2&lt;&gt;"")+('Dvd Calendar'!$T$159=TYPE3)*(TYPE3&lt;&gt;"")+('Dvd Calendar'!$T$159=TYPE4)*(TYPE4&lt;&gt;"")+('Dvd Calendar'!$T$159=SPECIAL_LBL)*(INC_SPECIALS="Y"))=0,"",'Dvd Calendar'!$T$157)))</f>
        <v/>
      </c>
      <c r="S25" s="110">
        <f>IF(EU25="","",IF(ISNUMBER('Dvd Calendar'!$U$157)=FALSE,"",IF((('Dvd Calendar'!$U$159=TYPE1)*(TYPE1&lt;&gt;"")+('Dvd Calendar'!$U$159=TYPE2)*(TYPE2&lt;&gt;"")+('Dvd Calendar'!$U$159=TYPE3)*(TYPE3&lt;&gt;"")+('Dvd Calendar'!$U$159=TYPE4)*(TYPE4&lt;&gt;"")+('Dvd Calendar'!$U$159=SPECIAL_LBL)*(INC_SPECIALS="Y"))=0,"",'Dvd Calendar'!$U$157)))</f>
        <v/>
      </c>
      <c r="T25" s="110">
        <f>IF(EV25="","",IF(ISNUMBER('Dvd Calendar'!$V$157)=FALSE,"",IF((('Dvd Calendar'!$V$159=TYPE1)*(TYPE1&lt;&gt;"")+('Dvd Calendar'!$V$159=TYPE2)*(TYPE2&lt;&gt;"")+('Dvd Calendar'!$V$159=TYPE3)*(TYPE3&lt;&gt;"")+('Dvd Calendar'!$V$159=TYPE4)*(TYPE4&lt;&gt;"")+('Dvd Calendar'!$V$159=SPECIAL_LBL)*(INC_SPECIALS="Y"))=0,"",'Dvd Calendar'!$V$157)))</f>
        <v/>
      </c>
      <c r="U25" s="110">
        <f>IF(EW25="","",IF(ISNUMBER('Dvd Calendar'!$W$157)=FALSE,"",IF((('Dvd Calendar'!$W$159=TYPE1)*(TYPE1&lt;&gt;"")+('Dvd Calendar'!$W$159=TYPE2)*(TYPE2&lt;&gt;"")+('Dvd Calendar'!$W$159=TYPE3)*(TYPE3&lt;&gt;"")+('Dvd Calendar'!$W$159=TYPE4)*(TYPE4&lt;&gt;"")+('Dvd Calendar'!$W$159=SPECIAL_LBL)*(INC_SPECIALS="Y"))=0,"",'Dvd Calendar'!$W$157)))</f>
        <v/>
      </c>
      <c r="V25" s="110">
        <f>IF(EX25="","",IF(ISNUMBER('Dvd Calendar'!$X$157)=FALSE,"",IF((('Dvd Calendar'!$X$159=TYPE1)*(TYPE1&lt;&gt;"")+('Dvd Calendar'!$X$159=TYPE2)*(TYPE2&lt;&gt;"")+('Dvd Calendar'!$X$159=TYPE3)*(TYPE3&lt;&gt;"")+('Dvd Calendar'!$X$159=TYPE4)*(TYPE4&lt;&gt;"")+('Dvd Calendar'!$X$159=SPECIAL_LBL)*(INC_SPECIALS="Y"))=0,"",'Dvd Calendar'!$X$157)))</f>
        <v/>
      </c>
      <c r="W25" s="110">
        <f>IF(EY25="","",IF(ISNUMBER('Dvd Calendar'!$Y$157)=FALSE,"",IF((('Dvd Calendar'!$Y$159=TYPE1)*(TYPE1&lt;&gt;"")+('Dvd Calendar'!$Y$159=TYPE2)*(TYPE2&lt;&gt;"")+('Dvd Calendar'!$Y$159=TYPE3)*(TYPE3&lt;&gt;"")+('Dvd Calendar'!$Y$159=TYPE4)*(TYPE4&lt;&gt;"")+('Dvd Calendar'!$Y$159=SPECIAL_LBL)*(INC_SPECIALS="Y"))=0,"",'Dvd Calendar'!$Y$157)))</f>
        <v/>
      </c>
      <c r="X25" s="110">
        <f>IF(EZ25="","",IF(ISNUMBER('Dvd Calendar'!$Z$157)=FALSE,"",IF((('Dvd Calendar'!$Z$159=TYPE1)*(TYPE1&lt;&gt;"")+('Dvd Calendar'!$Z$159=TYPE2)*(TYPE2&lt;&gt;"")+('Dvd Calendar'!$Z$159=TYPE3)*(TYPE3&lt;&gt;"")+('Dvd Calendar'!$Z$159=TYPE4)*(TYPE4&lt;&gt;"")+('Dvd Calendar'!$Z$159=SPECIAL_LBL)*(INC_SPECIALS="Y"))=0,"",'Dvd Calendar'!$Z$157)))</f>
        <v/>
      </c>
      <c r="Y25" s="110">
        <f>IF(FA25="","",IF(ISNUMBER('Dvd Calendar'!$AA$157)=FALSE,"",IF((('Dvd Calendar'!$AA$159=TYPE1)*(TYPE1&lt;&gt;"")+('Dvd Calendar'!$AA$159=TYPE2)*(TYPE2&lt;&gt;"")+('Dvd Calendar'!$AA$159=TYPE3)*(TYPE3&lt;&gt;"")+('Dvd Calendar'!$AA$159=TYPE4)*(TYPE4&lt;&gt;"")+('Dvd Calendar'!$AA$159=SPECIAL_LBL)*(INC_SPECIALS="Y"))=0,"",'Dvd Calendar'!$AA$157)))</f>
        <v/>
      </c>
      <c r="Z25" s="110">
        <f>IF(FB25="","",IF(ISNUMBER('Dvd Calendar'!$AB$157)=FALSE,"",IF((('Dvd Calendar'!$AB$159=TYPE1)*(TYPE1&lt;&gt;"")+('Dvd Calendar'!$AB$159=TYPE2)*(TYPE2&lt;&gt;"")+('Dvd Calendar'!$AB$159=TYPE3)*(TYPE3&lt;&gt;"")+('Dvd Calendar'!$AB$159=TYPE4)*(TYPE4&lt;&gt;"")+('Dvd Calendar'!$AB$159=SPECIAL_LBL)*(INC_SPECIALS="Y"))=0,"",'Dvd Calendar'!$AB$157)))</f>
        <v/>
      </c>
      <c r="AA25" s="110">
        <f>IF(FC25="","",IF(ISNUMBER('Dvd Calendar'!$AC$157)=FALSE,"",IF((('Dvd Calendar'!$AC$159=TYPE1)*(TYPE1&lt;&gt;"")+('Dvd Calendar'!$AC$159=TYPE2)*(TYPE2&lt;&gt;"")+('Dvd Calendar'!$AC$159=TYPE3)*(TYPE3&lt;&gt;"")+('Dvd Calendar'!$AC$159=TYPE4)*(TYPE4&lt;&gt;"")+('Dvd Calendar'!$AC$159=SPECIAL_LBL)*(INC_SPECIALS="Y"))=0,"",'Dvd Calendar'!$AC$157)))</f>
        <v/>
      </c>
      <c r="AB25" s="110">
        <f>IF(FD25="","",IF(ISNUMBER('Dvd Calendar'!$AD$157)=FALSE,"",IF((('Dvd Calendar'!$AD$159=TYPE1)*(TYPE1&lt;&gt;"")+('Dvd Calendar'!$AD$159=TYPE2)*(TYPE2&lt;&gt;"")+('Dvd Calendar'!$AD$159=TYPE3)*(TYPE3&lt;&gt;"")+('Dvd Calendar'!$AD$159=TYPE4)*(TYPE4&lt;&gt;"")+('Dvd Calendar'!$AD$159=SPECIAL_LBL)*(INC_SPECIALS="Y"))=0,"",'Dvd Calendar'!$AD$157)))</f>
        <v/>
      </c>
      <c r="AC25" s="110">
        <f>IF(FE25="","",IF(ISNUMBER('Dvd Calendar'!$AE$157)=FALSE,"",IF((('Dvd Calendar'!$AE$159=TYPE1)*(TYPE1&lt;&gt;"")+('Dvd Calendar'!$AE$159=TYPE2)*(TYPE2&lt;&gt;"")+('Dvd Calendar'!$AE$159=TYPE3)*(TYPE3&lt;&gt;"")+('Dvd Calendar'!$AE$159=TYPE4)*(TYPE4&lt;&gt;"")+('Dvd Calendar'!$AE$159=SPECIAL_LBL)*(INC_SPECIALS="Y"))=0,"",'Dvd Calendar'!$AE$157)))</f>
        <v/>
      </c>
      <c r="AD25" s="110">
        <f>IF(FF25="","",IF(ISNUMBER('Dvd Calendar'!$AF$157)=FALSE,"",IF((('Dvd Calendar'!$AF$159=TYPE1)*(TYPE1&lt;&gt;"")+('Dvd Calendar'!$AF$159=TYPE2)*(TYPE2&lt;&gt;"")+('Dvd Calendar'!$AF$159=TYPE3)*(TYPE3&lt;&gt;"")+('Dvd Calendar'!$AF$159=TYPE4)*(TYPE4&lt;&gt;"")+('Dvd Calendar'!$AF$159=SPECIAL_LBL)*(INC_SPECIALS="Y"))=0,"",'Dvd Calendar'!$AF$157)))</f>
        <v/>
      </c>
      <c r="AE25" s="110">
        <f>IF(FG25="","",IF(ISNUMBER('Dvd Calendar'!$AG$157)=FALSE,"",IF((('Dvd Calendar'!$AG$159=TYPE1)*(TYPE1&lt;&gt;"")+('Dvd Calendar'!$AG$159=TYPE2)*(TYPE2&lt;&gt;"")+('Dvd Calendar'!$AG$159=TYPE3)*(TYPE3&lt;&gt;"")+('Dvd Calendar'!$AG$159=TYPE4)*(TYPE4&lt;&gt;"")+('Dvd Calendar'!$AG$159=SPECIAL_LBL)*(INC_SPECIALS="Y"))=0,"",'Dvd Calendar'!$AG$157)))</f>
        <v/>
      </c>
      <c r="AF25" s="110">
        <f>IF(FH25="","",IF(ISNUMBER('Dvd Calendar'!$AH$157)=FALSE,"",IF((('Dvd Calendar'!$AH$159=TYPE1)*(TYPE1&lt;&gt;"")+('Dvd Calendar'!$AH$159=TYPE2)*(TYPE2&lt;&gt;"")+('Dvd Calendar'!$AH$159=TYPE3)*(TYPE3&lt;&gt;"")+('Dvd Calendar'!$AH$159=TYPE4)*(TYPE4&lt;&gt;"")+('Dvd Calendar'!$AH$159=SPECIAL_LBL)*(INC_SPECIALS="Y"))=0,"",'Dvd Calendar'!$AH$157)))</f>
        <v/>
      </c>
      <c r="AG25" s="110">
        <f>IF(FI25="","",IF(ISNUMBER('Dvd Calendar'!$AI$157)=FALSE,"",IF((('Dvd Calendar'!$AI$159=TYPE1)*(TYPE1&lt;&gt;"")+('Dvd Calendar'!$AI$159=TYPE2)*(TYPE2&lt;&gt;"")+('Dvd Calendar'!$AI$159=TYPE3)*(TYPE3&lt;&gt;"")+('Dvd Calendar'!$AI$159=TYPE4)*(TYPE4&lt;&gt;"")+('Dvd Calendar'!$AI$159=SPECIAL_LBL)*(INC_SPECIALS="Y"))=0,"",'Dvd Calendar'!$AI$157)))</f>
        <v/>
      </c>
      <c r="AH25" s="110">
        <f>IF(FJ25="","",IF(ISNUMBER('Dvd Calendar'!$AJ$157)=FALSE,"",IF((('Dvd Calendar'!$AJ$159=TYPE1)*(TYPE1&lt;&gt;"")+('Dvd Calendar'!$AJ$159=TYPE2)*(TYPE2&lt;&gt;"")+('Dvd Calendar'!$AJ$159=TYPE3)*(TYPE3&lt;&gt;"")+('Dvd Calendar'!$AJ$159=TYPE4)*(TYPE4&lt;&gt;"")+('Dvd Calendar'!$AJ$159=SPECIAL_LBL)*(INC_SPECIALS="Y"))=0,"",'Dvd Calendar'!$AJ$157)))</f>
        <v/>
      </c>
      <c r="AI25" s="110">
        <f>IF(FK25="","",IF(ISNUMBER('Dvd Calendar'!$AK$157)=FALSE,"",IF((('Dvd Calendar'!$AK$159=TYPE1)*(TYPE1&lt;&gt;"")+('Dvd Calendar'!$AK$159=TYPE2)*(TYPE2&lt;&gt;"")+('Dvd Calendar'!$AK$159=TYPE3)*(TYPE3&lt;&gt;"")+('Dvd Calendar'!$AK$159=TYPE4)*(TYPE4&lt;&gt;"")+('Dvd Calendar'!$AK$159=SPECIAL_LBL)*(INC_SPECIALS="Y"))=0,"",'Dvd Calendar'!$AK$157)))</f>
        <v/>
      </c>
      <c r="AJ25" s="110">
        <f>IF(FL25="","",IF(ISNUMBER('Dvd Calendar'!$AL$157)=FALSE,"",IF((('Dvd Calendar'!$AL$159=TYPE1)*(TYPE1&lt;&gt;"")+('Dvd Calendar'!$AL$159=TYPE2)*(TYPE2&lt;&gt;"")+('Dvd Calendar'!$AL$159=TYPE3)*(TYPE3&lt;&gt;"")+('Dvd Calendar'!$AL$159=TYPE4)*(TYPE4&lt;&gt;"")+('Dvd Calendar'!$AL$159=SPECIAL_LBL)*(INC_SPECIALS="Y"))=0,"",'Dvd Calendar'!$AL$157)))</f>
        <v/>
      </c>
      <c r="AK25" s="110">
        <f>IF(FM25="","",IF(ISNUMBER('Dvd Calendar'!$AM$157)=FALSE,"",IF((('Dvd Calendar'!$AM$159=TYPE1)*(TYPE1&lt;&gt;"")+('Dvd Calendar'!$AM$159=TYPE2)*(TYPE2&lt;&gt;"")+('Dvd Calendar'!$AM$159=TYPE3)*(TYPE3&lt;&gt;"")+('Dvd Calendar'!$AM$159=TYPE4)*(TYPE4&lt;&gt;"")+('Dvd Calendar'!$AM$159=SPECIAL_LBL)*(INC_SPECIALS="Y"))=0,"",'Dvd Calendar'!$AM$157)))</f>
        <v/>
      </c>
      <c r="AL25" s="110">
        <f>IF(FN25="","",IF(ISNUMBER('Dvd Calendar'!$AN$157)=FALSE,"",IF((('Dvd Calendar'!$AN$159=TYPE1)*(TYPE1&lt;&gt;"")+('Dvd Calendar'!$AN$159=TYPE2)*(TYPE2&lt;&gt;"")+('Dvd Calendar'!$AN$159=TYPE3)*(TYPE3&lt;&gt;"")+('Dvd Calendar'!$AN$159=TYPE4)*(TYPE4&lt;&gt;"")+('Dvd Calendar'!$AN$159=SPECIAL_LBL)*(INC_SPECIALS="Y"))=0,"",'Dvd Calendar'!$AN$157)))</f>
        <v/>
      </c>
      <c r="AM25" s="110">
        <f>IF(FO25="","",IF(ISNUMBER('Dvd Calendar'!$AO$157)=FALSE,"",IF((('Dvd Calendar'!$AO$159=TYPE1)*(TYPE1&lt;&gt;"")+('Dvd Calendar'!$AO$159=TYPE2)*(TYPE2&lt;&gt;"")+('Dvd Calendar'!$AO$159=TYPE3)*(TYPE3&lt;&gt;"")+('Dvd Calendar'!$AO$159=TYPE4)*(TYPE4&lt;&gt;"")+('Dvd Calendar'!$AO$159=SPECIAL_LBL)*(INC_SPECIALS="Y"))=0,"",'Dvd Calendar'!$AO$157)))</f>
        <v/>
      </c>
      <c r="AN25" s="110">
        <f>IF(FP25="","",IF(ISNUMBER('Dvd Calendar'!$AP$157)=FALSE,"",IF((('Dvd Calendar'!$AP$159=TYPE1)*(TYPE1&lt;&gt;"")+('Dvd Calendar'!$AP$159=TYPE2)*(TYPE2&lt;&gt;"")+('Dvd Calendar'!$AP$159=TYPE3)*(TYPE3&lt;&gt;"")+('Dvd Calendar'!$AP$159=TYPE4)*(TYPE4&lt;&gt;"")+('Dvd Calendar'!$AP$159=SPECIAL_LBL)*(INC_SPECIALS="Y"))=0,"",'Dvd Calendar'!$AP$157)))</f>
        <v/>
      </c>
      <c r="AO25" s="110">
        <f>IF(FQ25="","",IF(ISNUMBER('Dvd Calendar'!$AQ$157)=FALSE,"",IF((('Dvd Calendar'!$AQ$159=TYPE1)*(TYPE1&lt;&gt;"")+('Dvd Calendar'!$AQ$159=TYPE2)*(TYPE2&lt;&gt;"")+('Dvd Calendar'!$AQ$159=TYPE3)*(TYPE3&lt;&gt;"")+('Dvd Calendar'!$AQ$159=TYPE4)*(TYPE4&lt;&gt;"")+('Dvd Calendar'!$AQ$159=SPECIAL_LBL)*(INC_SPECIALS="Y"))=0,"",'Dvd Calendar'!$AQ$157)))</f>
        <v/>
      </c>
      <c r="AP25" s="110">
        <f>IF(FR25="","",IF(ISNUMBER('Dvd Calendar'!$AR$157)=FALSE,"",IF((('Dvd Calendar'!$AR$159=TYPE1)*(TYPE1&lt;&gt;"")+('Dvd Calendar'!$AR$159=TYPE2)*(TYPE2&lt;&gt;"")+('Dvd Calendar'!$AR$159=TYPE3)*(TYPE3&lt;&gt;"")+('Dvd Calendar'!$AR$159=TYPE4)*(TYPE4&lt;&gt;"")+('Dvd Calendar'!$AR$159=SPECIAL_LBL)*(INC_SPECIALS="Y"))=0,"",'Dvd Calendar'!$AR$157)))</f>
        <v/>
      </c>
      <c r="AQ25" s="110">
        <f>IF(FS25="","",IF(ISNUMBER('Dvd Calendar'!$E$162)=FALSE,"",'Dvd Calendar'!$E$162))</f>
        <v/>
      </c>
      <c r="AR25" s="110">
        <f>IF(FT25="","",IF(ISNUMBER('Dvd Calendar'!$F$162)=FALSE,"",'Dvd Calendar'!$F$162))</f>
        <v/>
      </c>
      <c r="AS25" s="110">
        <f>IF(FU25="","",IF(ISNUMBER('Dvd Calendar'!$G$162)=FALSE,"",'Dvd Calendar'!$G$162))</f>
        <v/>
      </c>
      <c r="AT25" s="110">
        <f>IF(FV25="","",IF(ISNUMBER('Dvd Calendar'!$H$162)=FALSE,"",'Dvd Calendar'!$H$162))</f>
        <v/>
      </c>
      <c r="AU25" s="110">
        <f>IF(FW25="","",IF(ISNUMBER('Dvd Calendar'!$I$162)=FALSE,"",'Dvd Calendar'!$I$162))</f>
        <v/>
      </c>
      <c r="AV25" s="110">
        <f>IF(FX25="","",IF(ISNUMBER('Dvd Calendar'!$J$162)=FALSE,"",'Dvd Calendar'!$J$162))</f>
        <v/>
      </c>
      <c r="AW25" s="110">
        <f>IF(FY25="","",IF(ISNUMBER('Dvd Calendar'!$K$162)=FALSE,"",'Dvd Calendar'!$K$162))</f>
        <v/>
      </c>
      <c r="AX25" s="110">
        <f>IF(FZ25="","",IF(ISNUMBER('Dvd Calendar'!$L$162)=FALSE,"",'Dvd Calendar'!$L$162))</f>
        <v/>
      </c>
      <c r="AY25" s="110">
        <f>IF(GA25="","",IF(ISNUMBER('Dvd Calendar'!$M$162)=FALSE,"",'Dvd Calendar'!$M$162))</f>
        <v/>
      </c>
      <c r="AZ25" s="110">
        <f>IF(GB25="","",IF(ISNUMBER('Dvd Calendar'!$N$162)=FALSE,"",'Dvd Calendar'!$N$162))</f>
        <v/>
      </c>
      <c r="BA25" s="110">
        <f>IF(GC25="","",IF(ISNUMBER('Dvd Calendar'!$O$162)=FALSE,"",'Dvd Calendar'!$O$162))</f>
        <v/>
      </c>
      <c r="BB25" s="110">
        <f>IF(GD25="","",IF(ISNUMBER('Dvd Calendar'!$P$162)=FALSE,"",'Dvd Calendar'!$P$162))</f>
        <v/>
      </c>
      <c r="BC25" s="110">
        <f>IF(GE25="","",IF(ISNUMBER('Dvd Calendar'!$Q$162)=FALSE,"",'Dvd Calendar'!$Q$162))</f>
        <v/>
      </c>
      <c r="BD25" s="110">
        <f>IF(GF25="","",IF(ISNUMBER('Dvd Calendar'!$R$162)=FALSE,"",'Dvd Calendar'!$R$162))</f>
        <v/>
      </c>
      <c r="BE25" s="110">
        <f>IF(GG25="","",IF(ISNUMBER('Dvd Calendar'!$S$162)=FALSE,"",'Dvd Calendar'!$S$162))</f>
        <v/>
      </c>
      <c r="BF25" s="110">
        <f>IF(GH25="","",IF(ISNUMBER('Dvd Calendar'!$T$162)=FALSE,"",'Dvd Calendar'!$T$162))</f>
        <v/>
      </c>
      <c r="BG25" s="110">
        <f>IF(GI25="","",IF(ISNUMBER('Dvd Calendar'!$U$162)=FALSE,"",'Dvd Calendar'!$U$162))</f>
        <v/>
      </c>
      <c r="BH25" s="110">
        <f>IF(GJ25="","",IF(ISNUMBER('Dvd Calendar'!$V$162)=FALSE,"",'Dvd Calendar'!$V$162))</f>
        <v/>
      </c>
      <c r="BI25" s="110">
        <f>IF(GK25="","",IF(ISNUMBER('Dvd Calendar'!$W$162)=FALSE,"",'Dvd Calendar'!$W$162))</f>
        <v/>
      </c>
      <c r="BJ25" s="110">
        <f>IF(GL25="","",IF(ISNUMBER('Dvd Calendar'!$X$162)=FALSE,"",'Dvd Calendar'!$X$162))</f>
        <v/>
      </c>
      <c r="BK25" s="110">
        <f>IF(GM25="","",IF(ISNUMBER('Dvd Calendar'!$Y$162)=FALSE,"",'Dvd Calendar'!$Y$162))</f>
        <v/>
      </c>
      <c r="BL25" s="110">
        <f>IF(GN25="","",IF(ISNUMBER('Dvd Calendar'!$Z$162)=FALSE,"",'Dvd Calendar'!$Z$162))</f>
        <v/>
      </c>
      <c r="BM25" s="110">
        <f>IF(GO25="","",IF(ISNUMBER('Dvd Calendar'!$AA$162)=FALSE,"",'Dvd Calendar'!$AA$162))</f>
        <v/>
      </c>
      <c r="BN25" s="110">
        <f>IF(GP25="","",IF(ISNUMBER('Dvd Calendar'!$AB$162)=FALSE,"",'Dvd Calendar'!$AB$162))</f>
        <v/>
      </c>
      <c r="BO25" s="110">
        <f>IF(GQ25="","",IF(ISNUMBER('Dvd Calendar'!$AC$162)=FALSE,"",'Dvd Calendar'!$AC$162))</f>
        <v/>
      </c>
      <c r="BQ25" s="110">
        <f>IF(C25="","",IFERROR(C25*HSI!$B$20*HSI!$G$20/HSI!$B$3,""))</f>
        <v/>
      </c>
      <c r="BR25" s="110">
        <f>IF(D25="","",IFERROR(D25*HSI!$B$20*HSI!$G$20/HSI!$B$3,""))</f>
        <v/>
      </c>
      <c r="BS25" s="110">
        <f>IF(E25="","",IFERROR(E25*HSI!$B$20*HSI!$G$20/HSI!$B$3,""))</f>
        <v/>
      </c>
      <c r="BT25" s="110">
        <f>IF(F25="","",IFERROR(F25*HSI!$B$20*HSI!$G$20/HSI!$B$3,""))</f>
        <v/>
      </c>
      <c r="BU25" s="110">
        <f>IF(G25="","",IFERROR(G25*HSI!$B$20*HSI!$G$20/HSI!$B$3,""))</f>
        <v/>
      </c>
      <c r="BV25" s="110">
        <f>IF(H25="","",IFERROR(H25*HSI!$B$20*HSI!$G$20/HSI!$B$3,""))</f>
        <v/>
      </c>
      <c r="BW25" s="110">
        <f>IF(I25="","",IFERROR(I25*HSI!$B$20*HSI!$G$20/HSI!$B$3,""))</f>
        <v/>
      </c>
      <c r="BX25" s="110">
        <f>IF(J25="","",IFERROR(J25*HSI!$B$20*HSI!$G$20/HSI!$B$3,""))</f>
        <v/>
      </c>
      <c r="BY25" s="110">
        <f>IF(K25="","",IFERROR(K25*HSI!$B$20*HSI!$G$20/HSI!$B$3,""))</f>
        <v/>
      </c>
      <c r="BZ25" s="110">
        <f>IF(L25="","",IFERROR(L25*HSI!$B$20*HSI!$G$20/HSI!$B$3,""))</f>
        <v/>
      </c>
      <c r="CA25" s="110">
        <f>IF(M25="","",IFERROR(M25*HSI!$B$20*HSI!$G$20/HSI!$B$3,""))</f>
        <v/>
      </c>
      <c r="CB25" s="110">
        <f>IF(N25="","",IFERROR(N25*HSI!$B$20*HSI!$G$20/HSI!$B$3,""))</f>
        <v/>
      </c>
      <c r="CC25" s="110">
        <f>IF(O25="","",IFERROR(O25*HSI!$B$20*HSI!$G$20/HSI!$B$3,""))</f>
        <v/>
      </c>
      <c r="CD25" s="110">
        <f>IF(P25="","",IFERROR(P25*HSI!$B$20*HSI!$G$20/HSI!$B$3,""))</f>
        <v/>
      </c>
      <c r="CE25" s="110">
        <f>IF(Q25="","",IFERROR(Q25*HSI!$B$20*HSI!$G$20/HSI!$B$3,""))</f>
        <v/>
      </c>
      <c r="CF25" s="110">
        <f>IF(R25="","",IFERROR(R25*HSI!$B$20*HSI!$G$20/HSI!$B$3,""))</f>
        <v/>
      </c>
      <c r="CG25" s="110">
        <f>IF(S25="","",IFERROR(S25*HSI!$B$20*HSI!$G$20/HSI!$B$3,""))</f>
        <v/>
      </c>
      <c r="CH25" s="110">
        <f>IF(T25="","",IFERROR(T25*HSI!$B$20*HSI!$G$20/HSI!$B$3,""))</f>
        <v/>
      </c>
      <c r="CI25" s="110">
        <f>IF(U25="","",IFERROR(U25*HSI!$B$20*HSI!$G$20/HSI!$B$3,""))</f>
        <v/>
      </c>
      <c r="CJ25" s="110">
        <f>IF(V25="","",IFERROR(V25*HSI!$B$20*HSI!$G$20/HSI!$B$3,""))</f>
        <v/>
      </c>
      <c r="CK25" s="110">
        <f>IF(W25="","",IFERROR(W25*HSI!$B$20*HSI!$G$20/HSI!$B$3,""))</f>
        <v/>
      </c>
      <c r="CL25" s="110">
        <f>IF(X25="","",IFERROR(X25*HSI!$B$20*HSI!$G$20/HSI!$B$3,""))</f>
        <v/>
      </c>
      <c r="CM25" s="110">
        <f>IF(Y25="","",IFERROR(Y25*HSI!$B$20*HSI!$G$20/HSI!$B$3,""))</f>
        <v/>
      </c>
      <c r="CN25" s="110">
        <f>IF(Z25="","",IFERROR(Z25*HSI!$B$20*HSI!$G$20/HSI!$B$3,""))</f>
        <v/>
      </c>
      <c r="CO25" s="110">
        <f>IF(AA25="","",IFERROR(AA25*HSI!$B$20*HSI!$G$20/HSI!$B$3,""))</f>
        <v/>
      </c>
      <c r="CP25" s="110">
        <f>IF(AB25="","",IFERROR(AB25*HSI!$B$20*HSI!$G$20/HSI!$B$3,""))</f>
        <v/>
      </c>
      <c r="CQ25" s="110">
        <f>IF(AC25="","",IFERROR(AC25*HSI!$B$20*HSI!$G$20/HSI!$B$3,""))</f>
        <v/>
      </c>
      <c r="CR25" s="110">
        <f>IF(AD25="","",IFERROR(AD25*HSI!$B$20*HSI!$G$20/HSI!$B$3,""))</f>
        <v/>
      </c>
      <c r="CS25" s="110">
        <f>IF(AE25="","",IFERROR(AE25*HSI!$B$20*HSI!$G$20/HSI!$B$3,""))</f>
        <v/>
      </c>
      <c r="CT25" s="110">
        <f>IF(AF25="","",IFERROR(AF25*HSI!$B$20*HSI!$G$20/HSI!$B$3,""))</f>
        <v/>
      </c>
      <c r="CU25" s="110">
        <f>IF(AG25="","",IFERROR(AG25*HSI!$B$20*HSI!$G$20/HSI!$B$3,""))</f>
        <v/>
      </c>
      <c r="CV25" s="110">
        <f>IF(AH25="","",IFERROR(AH25*HSI!$B$20*HSI!$G$20/HSI!$B$3,""))</f>
        <v/>
      </c>
      <c r="CW25" s="110">
        <f>IF(AI25="","",IFERROR(AI25*HSI!$B$20*HSI!$G$20/HSI!$B$3,""))</f>
        <v/>
      </c>
      <c r="CX25" s="110">
        <f>IF(AJ25="","",IFERROR(AJ25*HSI!$B$20*HSI!$G$20/HSI!$B$3,""))</f>
        <v/>
      </c>
      <c r="CY25" s="110">
        <f>IF(AK25="","",IFERROR(AK25*HSI!$B$20*HSI!$G$20/HSI!$B$3,""))</f>
        <v/>
      </c>
      <c r="CZ25" s="110">
        <f>IF(AL25="","",IFERROR(AL25*HSI!$B$20*HSI!$G$20/HSI!$B$3,""))</f>
        <v/>
      </c>
      <c r="DA25" s="110">
        <f>IF(AM25="","",IFERROR(AM25*HSI!$B$20*HSI!$G$20/HSI!$B$3,""))</f>
        <v/>
      </c>
      <c r="DB25" s="110">
        <f>IF(AN25="","",IFERROR(AN25*HSI!$B$20*HSI!$G$20/HSI!$B$3,""))</f>
        <v/>
      </c>
      <c r="DC25" s="110">
        <f>IF(AO25="","",IFERROR(AO25*HSI!$B$20*HSI!$G$20/HSI!$B$3,""))</f>
        <v/>
      </c>
      <c r="DD25" s="110">
        <f>IF(AP25="","",IFERROR(AP25*HSI!$B$20*HSI!$G$20/HSI!$B$3,""))</f>
        <v/>
      </c>
      <c r="DE25" s="110">
        <f>IF(AQ25="","",IFERROR(AQ25*HSI!$B$20*HSI!$G$20/HSI!$B$3,""))</f>
        <v/>
      </c>
      <c r="DF25" s="110">
        <f>IF(AR25="","",IFERROR(AR25*HSI!$B$20*HSI!$G$20/HSI!$B$3,""))</f>
        <v/>
      </c>
      <c r="DG25" s="110">
        <f>IF(AS25="","",IFERROR(AS25*HSI!$B$20*HSI!$G$20/HSI!$B$3,""))</f>
        <v/>
      </c>
      <c r="DH25" s="110">
        <f>IF(AT25="","",IFERROR(AT25*HSI!$B$20*HSI!$G$20/HSI!$B$3,""))</f>
        <v/>
      </c>
      <c r="DI25" s="110">
        <f>IF(AU25="","",IFERROR(AU25*HSI!$B$20*HSI!$G$20/HSI!$B$3,""))</f>
        <v/>
      </c>
      <c r="DJ25" s="110">
        <f>IF(AV25="","",IFERROR(AV25*HSI!$B$20*HSI!$G$20/HSI!$B$3,""))</f>
        <v/>
      </c>
      <c r="DK25" s="110">
        <f>IF(AW25="","",IFERROR(AW25*HSI!$B$20*HSI!$G$20/HSI!$B$3,""))</f>
        <v/>
      </c>
      <c r="DL25" s="110">
        <f>IF(AX25="","",IFERROR(AX25*HSI!$B$20*HSI!$G$20/HSI!$B$3,""))</f>
        <v/>
      </c>
      <c r="DM25" s="110">
        <f>IF(AY25="","",IFERROR(AY25*HSI!$B$20*HSI!$G$20/HSI!$B$3,""))</f>
        <v/>
      </c>
      <c r="DN25" s="110">
        <f>IF(AZ25="","",IFERROR(AZ25*HSI!$B$20*HSI!$G$20/HSI!$B$3,""))</f>
        <v/>
      </c>
      <c r="DO25" s="110">
        <f>IF(BA25="","",IFERROR(BA25*HSI!$B$20*HSI!$G$20/HSI!$B$3,""))</f>
        <v/>
      </c>
      <c r="DP25" s="110">
        <f>IF(BB25="","",IFERROR(BB25*HSI!$B$20*HSI!$G$20/HSI!$B$3,""))</f>
        <v/>
      </c>
      <c r="DQ25" s="110">
        <f>IF(BC25="","",IFERROR(BC25*HSI!$B$20*HSI!$G$20/HSI!$B$3,""))</f>
        <v/>
      </c>
      <c r="DR25" s="110">
        <f>IF(BD25="","",IFERROR(BD25*HSI!$B$20*HSI!$G$20/HSI!$B$3,""))</f>
        <v/>
      </c>
      <c r="DS25" s="110">
        <f>IF(BE25="","",IFERROR(BE25*HSI!$B$20*HSI!$G$20/HSI!$B$3,""))</f>
        <v/>
      </c>
      <c r="DT25" s="110">
        <f>IF(BF25="","",IFERROR(BF25*HSI!$B$20*HSI!$G$20/HSI!$B$3,""))</f>
        <v/>
      </c>
      <c r="DU25" s="110">
        <f>IF(BG25="","",IFERROR(BG25*HSI!$B$20*HSI!$G$20/HSI!$B$3,""))</f>
        <v/>
      </c>
      <c r="DV25" s="110">
        <f>IF(BH25="","",IFERROR(BH25*HSI!$B$20*HSI!$G$20/HSI!$B$3,""))</f>
        <v/>
      </c>
      <c r="DW25" s="110">
        <f>IF(BI25="","",IFERROR(BI25*HSI!$B$20*HSI!$G$20/HSI!$B$3,""))</f>
        <v/>
      </c>
      <c r="DX25" s="110">
        <f>IF(BJ25="","",IFERROR(BJ25*HSI!$B$20*HSI!$G$20/HSI!$B$3,""))</f>
        <v/>
      </c>
      <c r="DY25" s="110">
        <f>IF(BK25="","",IFERROR(BK25*HSI!$B$20*HSI!$G$20/HSI!$B$3,""))</f>
        <v/>
      </c>
      <c r="DZ25" s="110">
        <f>IF(BL25="","",IFERROR(BL25*HSI!$B$20*HSI!$G$20/HSI!$B$3,""))</f>
        <v/>
      </c>
      <c r="EA25" s="110">
        <f>IF(BM25="","",IFERROR(BM25*HSI!$B$20*HSI!$G$20/HSI!$B$3,""))</f>
        <v/>
      </c>
      <c r="EB25" s="110">
        <f>IF(BN25="","",IFERROR(BN25*HSI!$B$20*HSI!$G$20/HSI!$B$3,""))</f>
        <v/>
      </c>
      <c r="EC25" s="110">
        <f>IF(BO25="","",IFERROR(BO25*HSI!$B$20*HSI!$G$20/HSI!$B$3,""))</f>
        <v/>
      </c>
      <c r="EE25" s="39">
        <f>IF(N('Dvd Calendar'!$E$154)=0,"",IF(('Dvd Calendar'!$E$154&gt;=GRID_FROM)*('Dvd Calendar'!$E$154&lt;=GRID_TO)*((('Dvd Calendar'!$E$154&lt;=VAL_DATE)+(COUNTIF('Dvd Calendar'!$E$161:$AR$161,'Dvd Calendar'!$E$154)=0))&gt;0)=0,"",'Dvd Calendar'!$E$154*1000000000+ISNUMBER('Dvd Calendar'!$E$157)*100000000+('Dvd Calendar'!$E$159=SPECIAL_LBL)*10000000+(N('Dvd Calendar'!$E$153)&gt;0)*(N('Dvd Calendar'!$E$153)&lt;=VAL_SERIAL)*1000000+14*1000+1))</f>
        <v/>
      </c>
      <c r="EF25" s="39">
        <f>IF(N('Dvd Calendar'!$F$154)=0,"",IF(('Dvd Calendar'!$F$154&gt;=GRID_FROM)*('Dvd Calendar'!$F$154&lt;=GRID_TO)*((('Dvd Calendar'!$F$154&lt;=VAL_DATE)+(COUNTIF('Dvd Calendar'!$E$161:$AR$161,'Dvd Calendar'!$F$154)=0))&gt;0)=0,"",'Dvd Calendar'!$F$154*1000000000+ISNUMBER('Dvd Calendar'!$F$157)*100000000+('Dvd Calendar'!$F$159=SPECIAL_LBL)*10000000+(N('Dvd Calendar'!$F$153)&gt;0)*(N('Dvd Calendar'!$F$153)&lt;=VAL_SERIAL)*1000000+14*1000+2))</f>
        <v/>
      </c>
      <c r="EG25" s="39">
        <f>IF(N('Dvd Calendar'!$G$154)=0,"",IF(('Dvd Calendar'!$G$154&gt;=GRID_FROM)*('Dvd Calendar'!$G$154&lt;=GRID_TO)*((('Dvd Calendar'!$G$154&lt;=VAL_DATE)+(COUNTIF('Dvd Calendar'!$E$161:$AR$161,'Dvd Calendar'!$G$154)=0))&gt;0)=0,"",'Dvd Calendar'!$G$154*1000000000+ISNUMBER('Dvd Calendar'!$G$157)*100000000+('Dvd Calendar'!$G$159=SPECIAL_LBL)*10000000+(N('Dvd Calendar'!$G$153)&gt;0)*(N('Dvd Calendar'!$G$153)&lt;=VAL_SERIAL)*1000000+14*1000+3))</f>
        <v/>
      </c>
      <c r="EH25" s="39">
        <f>IF(N('Dvd Calendar'!$H$154)=0,"",IF(('Dvd Calendar'!$H$154&gt;=GRID_FROM)*('Dvd Calendar'!$H$154&lt;=GRID_TO)*((('Dvd Calendar'!$H$154&lt;=VAL_DATE)+(COUNTIF('Dvd Calendar'!$E$161:$AR$161,'Dvd Calendar'!$H$154)=0))&gt;0)=0,"",'Dvd Calendar'!$H$154*1000000000+ISNUMBER('Dvd Calendar'!$H$157)*100000000+('Dvd Calendar'!$H$159=SPECIAL_LBL)*10000000+(N('Dvd Calendar'!$H$153)&gt;0)*(N('Dvd Calendar'!$H$153)&lt;=VAL_SERIAL)*1000000+14*1000+4))</f>
        <v/>
      </c>
      <c r="EI25" s="39">
        <f>IF(N('Dvd Calendar'!$I$154)=0,"",IF(('Dvd Calendar'!$I$154&gt;=GRID_FROM)*('Dvd Calendar'!$I$154&lt;=GRID_TO)*((('Dvd Calendar'!$I$154&lt;=VAL_DATE)+(COUNTIF('Dvd Calendar'!$E$161:$AR$161,'Dvd Calendar'!$I$154)=0))&gt;0)=0,"",'Dvd Calendar'!$I$154*1000000000+ISNUMBER('Dvd Calendar'!$I$157)*100000000+('Dvd Calendar'!$I$159=SPECIAL_LBL)*10000000+(N('Dvd Calendar'!$I$153)&gt;0)*(N('Dvd Calendar'!$I$153)&lt;=VAL_SERIAL)*1000000+14*1000+5))</f>
        <v/>
      </c>
      <c r="EJ25" s="39">
        <f>IF(N('Dvd Calendar'!$J$154)=0,"",IF(('Dvd Calendar'!$J$154&gt;=GRID_FROM)*('Dvd Calendar'!$J$154&lt;=GRID_TO)*((('Dvd Calendar'!$J$154&lt;=VAL_DATE)+(COUNTIF('Dvd Calendar'!$E$161:$AR$161,'Dvd Calendar'!$J$154)=0))&gt;0)=0,"",'Dvd Calendar'!$J$154*1000000000+ISNUMBER('Dvd Calendar'!$J$157)*100000000+('Dvd Calendar'!$J$159=SPECIAL_LBL)*10000000+(N('Dvd Calendar'!$J$153)&gt;0)*(N('Dvd Calendar'!$J$153)&lt;=VAL_SERIAL)*1000000+14*1000+6))</f>
        <v/>
      </c>
      <c r="EK25" s="39">
        <f>IF(N('Dvd Calendar'!$K$154)=0,"",IF(('Dvd Calendar'!$K$154&gt;=GRID_FROM)*('Dvd Calendar'!$K$154&lt;=GRID_TO)*((('Dvd Calendar'!$K$154&lt;=VAL_DATE)+(COUNTIF('Dvd Calendar'!$E$161:$AR$161,'Dvd Calendar'!$K$154)=0))&gt;0)=0,"",'Dvd Calendar'!$K$154*1000000000+ISNUMBER('Dvd Calendar'!$K$157)*100000000+('Dvd Calendar'!$K$159=SPECIAL_LBL)*10000000+(N('Dvd Calendar'!$K$153)&gt;0)*(N('Dvd Calendar'!$K$153)&lt;=VAL_SERIAL)*1000000+14*1000+7))</f>
        <v/>
      </c>
      <c r="EL25" s="39">
        <f>IF(N('Dvd Calendar'!$L$154)=0,"",IF(('Dvd Calendar'!$L$154&gt;=GRID_FROM)*('Dvd Calendar'!$L$154&lt;=GRID_TO)*((('Dvd Calendar'!$L$154&lt;=VAL_DATE)+(COUNTIF('Dvd Calendar'!$E$161:$AR$161,'Dvd Calendar'!$L$154)=0))&gt;0)=0,"",'Dvd Calendar'!$L$154*1000000000+ISNUMBER('Dvd Calendar'!$L$157)*100000000+('Dvd Calendar'!$L$159=SPECIAL_LBL)*10000000+(N('Dvd Calendar'!$L$153)&gt;0)*(N('Dvd Calendar'!$L$153)&lt;=VAL_SERIAL)*1000000+14*1000+8))</f>
        <v/>
      </c>
      <c r="EM25" s="39">
        <f>IF(N('Dvd Calendar'!$M$154)=0,"",IF(('Dvd Calendar'!$M$154&gt;=GRID_FROM)*('Dvd Calendar'!$M$154&lt;=GRID_TO)*((('Dvd Calendar'!$M$154&lt;=VAL_DATE)+(COUNTIF('Dvd Calendar'!$E$161:$AR$161,'Dvd Calendar'!$M$154)=0))&gt;0)=0,"",'Dvd Calendar'!$M$154*1000000000+ISNUMBER('Dvd Calendar'!$M$157)*100000000+('Dvd Calendar'!$M$159=SPECIAL_LBL)*10000000+(N('Dvd Calendar'!$M$153)&gt;0)*(N('Dvd Calendar'!$M$153)&lt;=VAL_SERIAL)*1000000+14*1000+9))</f>
        <v/>
      </c>
      <c r="EN25" s="39">
        <f>IF(N('Dvd Calendar'!$N$154)=0,"",IF(('Dvd Calendar'!$N$154&gt;=GRID_FROM)*('Dvd Calendar'!$N$154&lt;=GRID_TO)*((('Dvd Calendar'!$N$154&lt;=VAL_DATE)+(COUNTIF('Dvd Calendar'!$E$161:$AR$161,'Dvd Calendar'!$N$154)=0))&gt;0)=0,"",'Dvd Calendar'!$N$154*1000000000+ISNUMBER('Dvd Calendar'!$N$157)*100000000+('Dvd Calendar'!$N$159=SPECIAL_LBL)*10000000+(N('Dvd Calendar'!$N$153)&gt;0)*(N('Dvd Calendar'!$N$153)&lt;=VAL_SERIAL)*1000000+14*1000+10))</f>
        <v/>
      </c>
      <c r="EO25" s="39">
        <f>IF(N('Dvd Calendar'!$O$154)=0,"",IF(('Dvd Calendar'!$O$154&gt;=GRID_FROM)*('Dvd Calendar'!$O$154&lt;=GRID_TO)*((('Dvd Calendar'!$O$154&lt;=VAL_DATE)+(COUNTIF('Dvd Calendar'!$E$161:$AR$161,'Dvd Calendar'!$O$154)=0))&gt;0)=0,"",'Dvd Calendar'!$O$154*1000000000+ISNUMBER('Dvd Calendar'!$O$157)*100000000+('Dvd Calendar'!$O$159=SPECIAL_LBL)*10000000+(N('Dvd Calendar'!$O$153)&gt;0)*(N('Dvd Calendar'!$O$153)&lt;=VAL_SERIAL)*1000000+14*1000+11))</f>
        <v/>
      </c>
      <c r="EP25" s="39">
        <f>IF(N('Dvd Calendar'!$P$154)=0,"",IF(('Dvd Calendar'!$P$154&gt;=GRID_FROM)*('Dvd Calendar'!$P$154&lt;=GRID_TO)*((('Dvd Calendar'!$P$154&lt;=VAL_DATE)+(COUNTIF('Dvd Calendar'!$E$161:$AR$161,'Dvd Calendar'!$P$154)=0))&gt;0)=0,"",'Dvd Calendar'!$P$154*1000000000+ISNUMBER('Dvd Calendar'!$P$157)*100000000+('Dvd Calendar'!$P$159=SPECIAL_LBL)*10000000+(N('Dvd Calendar'!$P$153)&gt;0)*(N('Dvd Calendar'!$P$153)&lt;=VAL_SERIAL)*1000000+14*1000+12))</f>
        <v/>
      </c>
      <c r="EQ25" s="39">
        <f>IF(N('Dvd Calendar'!$Q$154)=0,"",IF(('Dvd Calendar'!$Q$154&gt;=GRID_FROM)*('Dvd Calendar'!$Q$154&lt;=GRID_TO)*((('Dvd Calendar'!$Q$154&lt;=VAL_DATE)+(COUNTIF('Dvd Calendar'!$E$161:$AR$161,'Dvd Calendar'!$Q$154)=0))&gt;0)=0,"",'Dvd Calendar'!$Q$154*1000000000+ISNUMBER('Dvd Calendar'!$Q$157)*100000000+('Dvd Calendar'!$Q$159=SPECIAL_LBL)*10000000+(N('Dvd Calendar'!$Q$153)&gt;0)*(N('Dvd Calendar'!$Q$153)&lt;=VAL_SERIAL)*1000000+14*1000+13))</f>
        <v/>
      </c>
      <c r="ER25" s="39">
        <f>IF(N('Dvd Calendar'!$R$154)=0,"",IF(('Dvd Calendar'!$R$154&gt;=GRID_FROM)*('Dvd Calendar'!$R$154&lt;=GRID_TO)*((('Dvd Calendar'!$R$154&lt;=VAL_DATE)+(COUNTIF('Dvd Calendar'!$E$161:$AR$161,'Dvd Calendar'!$R$154)=0))&gt;0)=0,"",'Dvd Calendar'!$R$154*1000000000+ISNUMBER('Dvd Calendar'!$R$157)*100000000+('Dvd Calendar'!$R$159=SPECIAL_LBL)*10000000+(N('Dvd Calendar'!$R$153)&gt;0)*(N('Dvd Calendar'!$R$153)&lt;=VAL_SERIAL)*1000000+14*1000+14))</f>
        <v/>
      </c>
      <c r="ES25" s="39">
        <f>IF(N('Dvd Calendar'!$S$154)=0,"",IF(('Dvd Calendar'!$S$154&gt;=GRID_FROM)*('Dvd Calendar'!$S$154&lt;=GRID_TO)*((('Dvd Calendar'!$S$154&lt;=VAL_DATE)+(COUNTIF('Dvd Calendar'!$E$161:$AR$161,'Dvd Calendar'!$S$154)=0))&gt;0)=0,"",'Dvd Calendar'!$S$154*1000000000+ISNUMBER('Dvd Calendar'!$S$157)*100000000+('Dvd Calendar'!$S$159=SPECIAL_LBL)*10000000+(N('Dvd Calendar'!$S$153)&gt;0)*(N('Dvd Calendar'!$S$153)&lt;=VAL_SERIAL)*1000000+14*1000+15))</f>
        <v/>
      </c>
      <c r="ET25" s="39">
        <f>IF(N('Dvd Calendar'!$T$154)=0,"",IF(('Dvd Calendar'!$T$154&gt;=GRID_FROM)*('Dvd Calendar'!$T$154&lt;=GRID_TO)*((('Dvd Calendar'!$T$154&lt;=VAL_DATE)+(COUNTIF('Dvd Calendar'!$E$161:$AR$161,'Dvd Calendar'!$T$154)=0))&gt;0)=0,"",'Dvd Calendar'!$T$154*1000000000+ISNUMBER('Dvd Calendar'!$T$157)*100000000+('Dvd Calendar'!$T$159=SPECIAL_LBL)*10000000+(N('Dvd Calendar'!$T$153)&gt;0)*(N('Dvd Calendar'!$T$153)&lt;=VAL_SERIAL)*1000000+14*1000+16))</f>
        <v/>
      </c>
      <c r="EU25" s="39">
        <f>IF(N('Dvd Calendar'!$U$154)=0,"",IF(('Dvd Calendar'!$U$154&gt;=GRID_FROM)*('Dvd Calendar'!$U$154&lt;=GRID_TO)*((('Dvd Calendar'!$U$154&lt;=VAL_DATE)+(COUNTIF('Dvd Calendar'!$E$161:$AR$161,'Dvd Calendar'!$U$154)=0))&gt;0)=0,"",'Dvd Calendar'!$U$154*1000000000+ISNUMBER('Dvd Calendar'!$U$157)*100000000+('Dvd Calendar'!$U$159=SPECIAL_LBL)*10000000+(N('Dvd Calendar'!$U$153)&gt;0)*(N('Dvd Calendar'!$U$153)&lt;=VAL_SERIAL)*1000000+14*1000+17))</f>
        <v/>
      </c>
      <c r="EV25" s="39">
        <f>IF(N('Dvd Calendar'!$V$154)=0,"",IF(('Dvd Calendar'!$V$154&gt;=GRID_FROM)*('Dvd Calendar'!$V$154&lt;=GRID_TO)*((('Dvd Calendar'!$V$154&lt;=VAL_DATE)+(COUNTIF('Dvd Calendar'!$E$161:$AR$161,'Dvd Calendar'!$V$154)=0))&gt;0)=0,"",'Dvd Calendar'!$V$154*1000000000+ISNUMBER('Dvd Calendar'!$V$157)*100000000+('Dvd Calendar'!$V$159=SPECIAL_LBL)*10000000+(N('Dvd Calendar'!$V$153)&gt;0)*(N('Dvd Calendar'!$V$153)&lt;=VAL_SERIAL)*1000000+14*1000+18))</f>
        <v/>
      </c>
      <c r="EW25" s="39">
        <f>IF(N('Dvd Calendar'!$W$154)=0,"",IF(('Dvd Calendar'!$W$154&gt;=GRID_FROM)*('Dvd Calendar'!$W$154&lt;=GRID_TO)*((('Dvd Calendar'!$W$154&lt;=VAL_DATE)+(COUNTIF('Dvd Calendar'!$E$161:$AR$161,'Dvd Calendar'!$W$154)=0))&gt;0)=0,"",'Dvd Calendar'!$W$154*1000000000+ISNUMBER('Dvd Calendar'!$W$157)*100000000+('Dvd Calendar'!$W$159=SPECIAL_LBL)*10000000+(N('Dvd Calendar'!$W$153)&gt;0)*(N('Dvd Calendar'!$W$153)&lt;=VAL_SERIAL)*1000000+14*1000+19))</f>
        <v/>
      </c>
      <c r="EX25" s="39">
        <f>IF(N('Dvd Calendar'!$X$154)=0,"",IF(('Dvd Calendar'!$X$154&gt;=GRID_FROM)*('Dvd Calendar'!$X$154&lt;=GRID_TO)*((('Dvd Calendar'!$X$154&lt;=VAL_DATE)+(COUNTIF('Dvd Calendar'!$E$161:$AR$161,'Dvd Calendar'!$X$154)=0))&gt;0)=0,"",'Dvd Calendar'!$X$154*1000000000+ISNUMBER('Dvd Calendar'!$X$157)*100000000+('Dvd Calendar'!$X$159=SPECIAL_LBL)*10000000+(N('Dvd Calendar'!$X$153)&gt;0)*(N('Dvd Calendar'!$X$153)&lt;=VAL_SERIAL)*1000000+14*1000+20))</f>
        <v/>
      </c>
      <c r="EY25" s="39">
        <f>IF(N('Dvd Calendar'!$Y$154)=0,"",IF(('Dvd Calendar'!$Y$154&gt;=GRID_FROM)*('Dvd Calendar'!$Y$154&lt;=GRID_TO)*((('Dvd Calendar'!$Y$154&lt;=VAL_DATE)+(COUNTIF('Dvd Calendar'!$E$161:$AR$161,'Dvd Calendar'!$Y$154)=0))&gt;0)=0,"",'Dvd Calendar'!$Y$154*1000000000+ISNUMBER('Dvd Calendar'!$Y$157)*100000000+('Dvd Calendar'!$Y$159=SPECIAL_LBL)*10000000+(N('Dvd Calendar'!$Y$153)&gt;0)*(N('Dvd Calendar'!$Y$153)&lt;=VAL_SERIAL)*1000000+14*1000+21))</f>
        <v/>
      </c>
      <c r="EZ25" s="39">
        <f>IF(N('Dvd Calendar'!$Z$154)=0,"",IF(('Dvd Calendar'!$Z$154&gt;=GRID_FROM)*('Dvd Calendar'!$Z$154&lt;=GRID_TO)*((('Dvd Calendar'!$Z$154&lt;=VAL_DATE)+(COUNTIF('Dvd Calendar'!$E$161:$AR$161,'Dvd Calendar'!$Z$154)=0))&gt;0)=0,"",'Dvd Calendar'!$Z$154*1000000000+ISNUMBER('Dvd Calendar'!$Z$157)*100000000+('Dvd Calendar'!$Z$159=SPECIAL_LBL)*10000000+(N('Dvd Calendar'!$Z$153)&gt;0)*(N('Dvd Calendar'!$Z$153)&lt;=VAL_SERIAL)*1000000+14*1000+22))</f>
        <v/>
      </c>
      <c r="FA25" s="39">
        <f>IF(N('Dvd Calendar'!$AA$154)=0,"",IF(('Dvd Calendar'!$AA$154&gt;=GRID_FROM)*('Dvd Calendar'!$AA$154&lt;=GRID_TO)*((('Dvd Calendar'!$AA$154&lt;=VAL_DATE)+(COUNTIF('Dvd Calendar'!$E$161:$AR$161,'Dvd Calendar'!$AA$154)=0))&gt;0)=0,"",'Dvd Calendar'!$AA$154*1000000000+ISNUMBER('Dvd Calendar'!$AA$157)*100000000+('Dvd Calendar'!$AA$159=SPECIAL_LBL)*10000000+(N('Dvd Calendar'!$AA$153)&gt;0)*(N('Dvd Calendar'!$AA$153)&lt;=VAL_SERIAL)*1000000+14*1000+23))</f>
        <v/>
      </c>
      <c r="FB25" s="39">
        <f>IF(N('Dvd Calendar'!$AB$154)=0,"",IF(('Dvd Calendar'!$AB$154&gt;=GRID_FROM)*('Dvd Calendar'!$AB$154&lt;=GRID_TO)*((('Dvd Calendar'!$AB$154&lt;=VAL_DATE)+(COUNTIF('Dvd Calendar'!$E$161:$AR$161,'Dvd Calendar'!$AB$154)=0))&gt;0)=0,"",'Dvd Calendar'!$AB$154*1000000000+ISNUMBER('Dvd Calendar'!$AB$157)*100000000+('Dvd Calendar'!$AB$159=SPECIAL_LBL)*10000000+(N('Dvd Calendar'!$AB$153)&gt;0)*(N('Dvd Calendar'!$AB$153)&lt;=VAL_SERIAL)*1000000+14*1000+24))</f>
        <v/>
      </c>
      <c r="FC25" s="39">
        <f>IF(N('Dvd Calendar'!$AC$154)=0,"",IF(('Dvd Calendar'!$AC$154&gt;=GRID_FROM)*('Dvd Calendar'!$AC$154&lt;=GRID_TO)*((('Dvd Calendar'!$AC$154&lt;=VAL_DATE)+(COUNTIF('Dvd Calendar'!$E$161:$AR$161,'Dvd Calendar'!$AC$154)=0))&gt;0)=0,"",'Dvd Calendar'!$AC$154*1000000000+ISNUMBER('Dvd Calendar'!$AC$157)*100000000+('Dvd Calendar'!$AC$159=SPECIAL_LBL)*10000000+(N('Dvd Calendar'!$AC$153)&gt;0)*(N('Dvd Calendar'!$AC$153)&lt;=VAL_SERIAL)*1000000+14*1000+25))</f>
        <v/>
      </c>
      <c r="FD25" s="39">
        <f>IF(N('Dvd Calendar'!$AD$154)=0,"",IF(('Dvd Calendar'!$AD$154&gt;=GRID_FROM)*('Dvd Calendar'!$AD$154&lt;=GRID_TO)*((('Dvd Calendar'!$AD$154&lt;=VAL_DATE)+(COUNTIF('Dvd Calendar'!$E$161:$AR$161,'Dvd Calendar'!$AD$154)=0))&gt;0)=0,"",'Dvd Calendar'!$AD$154*1000000000+ISNUMBER('Dvd Calendar'!$AD$157)*100000000+('Dvd Calendar'!$AD$159=SPECIAL_LBL)*10000000+(N('Dvd Calendar'!$AD$153)&gt;0)*(N('Dvd Calendar'!$AD$153)&lt;=VAL_SERIAL)*1000000+14*1000+26))</f>
        <v/>
      </c>
      <c r="FE25" s="39">
        <f>IF(N('Dvd Calendar'!$AE$154)=0,"",IF(('Dvd Calendar'!$AE$154&gt;=GRID_FROM)*('Dvd Calendar'!$AE$154&lt;=GRID_TO)*((('Dvd Calendar'!$AE$154&lt;=VAL_DATE)+(COUNTIF('Dvd Calendar'!$E$161:$AR$161,'Dvd Calendar'!$AE$154)=0))&gt;0)=0,"",'Dvd Calendar'!$AE$154*1000000000+ISNUMBER('Dvd Calendar'!$AE$157)*100000000+('Dvd Calendar'!$AE$159=SPECIAL_LBL)*10000000+(N('Dvd Calendar'!$AE$153)&gt;0)*(N('Dvd Calendar'!$AE$153)&lt;=VAL_SERIAL)*1000000+14*1000+27))</f>
        <v/>
      </c>
      <c r="FF25" s="39">
        <f>IF(N('Dvd Calendar'!$AF$154)=0,"",IF(('Dvd Calendar'!$AF$154&gt;=GRID_FROM)*('Dvd Calendar'!$AF$154&lt;=GRID_TO)*((('Dvd Calendar'!$AF$154&lt;=VAL_DATE)+(COUNTIF('Dvd Calendar'!$E$161:$AR$161,'Dvd Calendar'!$AF$154)=0))&gt;0)=0,"",'Dvd Calendar'!$AF$154*1000000000+ISNUMBER('Dvd Calendar'!$AF$157)*100000000+('Dvd Calendar'!$AF$159=SPECIAL_LBL)*10000000+(N('Dvd Calendar'!$AF$153)&gt;0)*(N('Dvd Calendar'!$AF$153)&lt;=VAL_SERIAL)*1000000+14*1000+28))</f>
        <v/>
      </c>
      <c r="FG25" s="39">
        <f>IF(N('Dvd Calendar'!$AG$154)=0,"",IF(('Dvd Calendar'!$AG$154&gt;=GRID_FROM)*('Dvd Calendar'!$AG$154&lt;=GRID_TO)*((('Dvd Calendar'!$AG$154&lt;=VAL_DATE)+(COUNTIF('Dvd Calendar'!$E$161:$AR$161,'Dvd Calendar'!$AG$154)=0))&gt;0)=0,"",'Dvd Calendar'!$AG$154*1000000000+ISNUMBER('Dvd Calendar'!$AG$157)*100000000+('Dvd Calendar'!$AG$159=SPECIAL_LBL)*10000000+(N('Dvd Calendar'!$AG$153)&gt;0)*(N('Dvd Calendar'!$AG$153)&lt;=VAL_SERIAL)*1000000+14*1000+29))</f>
        <v/>
      </c>
      <c r="FH25" s="39">
        <f>IF(N('Dvd Calendar'!$AH$154)=0,"",IF(('Dvd Calendar'!$AH$154&gt;=GRID_FROM)*('Dvd Calendar'!$AH$154&lt;=GRID_TO)*((('Dvd Calendar'!$AH$154&lt;=VAL_DATE)+(COUNTIF('Dvd Calendar'!$E$161:$AR$161,'Dvd Calendar'!$AH$154)=0))&gt;0)=0,"",'Dvd Calendar'!$AH$154*1000000000+ISNUMBER('Dvd Calendar'!$AH$157)*100000000+('Dvd Calendar'!$AH$159=SPECIAL_LBL)*10000000+(N('Dvd Calendar'!$AH$153)&gt;0)*(N('Dvd Calendar'!$AH$153)&lt;=VAL_SERIAL)*1000000+14*1000+30))</f>
        <v/>
      </c>
      <c r="FI25" s="39">
        <f>IF(N('Dvd Calendar'!$AI$154)=0,"",IF(('Dvd Calendar'!$AI$154&gt;=GRID_FROM)*('Dvd Calendar'!$AI$154&lt;=GRID_TO)*((('Dvd Calendar'!$AI$154&lt;=VAL_DATE)+(COUNTIF('Dvd Calendar'!$E$161:$AR$161,'Dvd Calendar'!$AI$154)=0))&gt;0)=0,"",'Dvd Calendar'!$AI$154*1000000000+ISNUMBER('Dvd Calendar'!$AI$157)*100000000+('Dvd Calendar'!$AI$159=SPECIAL_LBL)*10000000+(N('Dvd Calendar'!$AI$153)&gt;0)*(N('Dvd Calendar'!$AI$153)&lt;=VAL_SERIAL)*1000000+14*1000+31))</f>
        <v/>
      </c>
      <c r="FJ25" s="39">
        <f>IF(N('Dvd Calendar'!$AJ$154)=0,"",IF(('Dvd Calendar'!$AJ$154&gt;=GRID_FROM)*('Dvd Calendar'!$AJ$154&lt;=GRID_TO)*((('Dvd Calendar'!$AJ$154&lt;=VAL_DATE)+(COUNTIF('Dvd Calendar'!$E$161:$AR$161,'Dvd Calendar'!$AJ$154)=0))&gt;0)=0,"",'Dvd Calendar'!$AJ$154*1000000000+ISNUMBER('Dvd Calendar'!$AJ$157)*100000000+('Dvd Calendar'!$AJ$159=SPECIAL_LBL)*10000000+(N('Dvd Calendar'!$AJ$153)&gt;0)*(N('Dvd Calendar'!$AJ$153)&lt;=VAL_SERIAL)*1000000+14*1000+32))</f>
        <v/>
      </c>
      <c r="FK25" s="39">
        <f>IF(N('Dvd Calendar'!$AK$154)=0,"",IF(('Dvd Calendar'!$AK$154&gt;=GRID_FROM)*('Dvd Calendar'!$AK$154&lt;=GRID_TO)*((('Dvd Calendar'!$AK$154&lt;=VAL_DATE)+(COUNTIF('Dvd Calendar'!$E$161:$AR$161,'Dvd Calendar'!$AK$154)=0))&gt;0)=0,"",'Dvd Calendar'!$AK$154*1000000000+ISNUMBER('Dvd Calendar'!$AK$157)*100000000+('Dvd Calendar'!$AK$159=SPECIAL_LBL)*10000000+(N('Dvd Calendar'!$AK$153)&gt;0)*(N('Dvd Calendar'!$AK$153)&lt;=VAL_SERIAL)*1000000+14*1000+33))</f>
        <v/>
      </c>
      <c r="FL25" s="39">
        <f>IF(N('Dvd Calendar'!$AL$154)=0,"",IF(('Dvd Calendar'!$AL$154&gt;=GRID_FROM)*('Dvd Calendar'!$AL$154&lt;=GRID_TO)*((('Dvd Calendar'!$AL$154&lt;=VAL_DATE)+(COUNTIF('Dvd Calendar'!$E$161:$AR$161,'Dvd Calendar'!$AL$154)=0))&gt;0)=0,"",'Dvd Calendar'!$AL$154*1000000000+ISNUMBER('Dvd Calendar'!$AL$157)*100000000+('Dvd Calendar'!$AL$159=SPECIAL_LBL)*10000000+(N('Dvd Calendar'!$AL$153)&gt;0)*(N('Dvd Calendar'!$AL$153)&lt;=VAL_SERIAL)*1000000+14*1000+34))</f>
        <v/>
      </c>
      <c r="FM25" s="39">
        <f>IF(N('Dvd Calendar'!$AM$154)=0,"",IF(('Dvd Calendar'!$AM$154&gt;=GRID_FROM)*('Dvd Calendar'!$AM$154&lt;=GRID_TO)*((('Dvd Calendar'!$AM$154&lt;=VAL_DATE)+(COUNTIF('Dvd Calendar'!$E$161:$AR$161,'Dvd Calendar'!$AM$154)=0))&gt;0)=0,"",'Dvd Calendar'!$AM$154*1000000000+ISNUMBER('Dvd Calendar'!$AM$157)*100000000+('Dvd Calendar'!$AM$159=SPECIAL_LBL)*10000000+(N('Dvd Calendar'!$AM$153)&gt;0)*(N('Dvd Calendar'!$AM$153)&lt;=VAL_SERIAL)*1000000+14*1000+35))</f>
        <v/>
      </c>
      <c r="FN25" s="39">
        <f>IF(N('Dvd Calendar'!$AN$154)=0,"",IF(('Dvd Calendar'!$AN$154&gt;=GRID_FROM)*('Dvd Calendar'!$AN$154&lt;=GRID_TO)*((('Dvd Calendar'!$AN$154&lt;=VAL_DATE)+(COUNTIF('Dvd Calendar'!$E$161:$AR$161,'Dvd Calendar'!$AN$154)=0))&gt;0)=0,"",'Dvd Calendar'!$AN$154*1000000000+ISNUMBER('Dvd Calendar'!$AN$157)*100000000+('Dvd Calendar'!$AN$159=SPECIAL_LBL)*10000000+(N('Dvd Calendar'!$AN$153)&gt;0)*(N('Dvd Calendar'!$AN$153)&lt;=VAL_SERIAL)*1000000+14*1000+36))</f>
        <v/>
      </c>
      <c r="FO25" s="39">
        <f>IF(N('Dvd Calendar'!$AO$154)=0,"",IF(('Dvd Calendar'!$AO$154&gt;=GRID_FROM)*('Dvd Calendar'!$AO$154&lt;=GRID_TO)*((('Dvd Calendar'!$AO$154&lt;=VAL_DATE)+(COUNTIF('Dvd Calendar'!$E$161:$AR$161,'Dvd Calendar'!$AO$154)=0))&gt;0)=0,"",'Dvd Calendar'!$AO$154*1000000000+ISNUMBER('Dvd Calendar'!$AO$157)*100000000+('Dvd Calendar'!$AO$159=SPECIAL_LBL)*10000000+(N('Dvd Calendar'!$AO$153)&gt;0)*(N('Dvd Calendar'!$AO$153)&lt;=VAL_SERIAL)*1000000+14*1000+37))</f>
        <v/>
      </c>
      <c r="FP25" s="39">
        <f>IF(N('Dvd Calendar'!$AP$154)=0,"",IF(('Dvd Calendar'!$AP$154&gt;=GRID_FROM)*('Dvd Calendar'!$AP$154&lt;=GRID_TO)*((('Dvd Calendar'!$AP$154&lt;=VAL_DATE)+(COUNTIF('Dvd Calendar'!$E$161:$AR$161,'Dvd Calendar'!$AP$154)=0))&gt;0)=0,"",'Dvd Calendar'!$AP$154*1000000000+ISNUMBER('Dvd Calendar'!$AP$157)*100000000+('Dvd Calendar'!$AP$159=SPECIAL_LBL)*10000000+(N('Dvd Calendar'!$AP$153)&gt;0)*(N('Dvd Calendar'!$AP$153)&lt;=VAL_SERIAL)*1000000+14*1000+38))</f>
        <v/>
      </c>
      <c r="FQ25" s="39">
        <f>IF(N('Dvd Calendar'!$AQ$154)=0,"",IF(('Dvd Calendar'!$AQ$154&gt;=GRID_FROM)*('Dvd Calendar'!$AQ$154&lt;=GRID_TO)*((('Dvd Calendar'!$AQ$154&lt;=VAL_DATE)+(COUNTIF('Dvd Calendar'!$E$161:$AR$161,'Dvd Calendar'!$AQ$154)=0))&gt;0)=0,"",'Dvd Calendar'!$AQ$154*1000000000+ISNUMBER('Dvd Calendar'!$AQ$157)*100000000+('Dvd Calendar'!$AQ$159=SPECIAL_LBL)*10000000+(N('Dvd Calendar'!$AQ$153)&gt;0)*(N('Dvd Calendar'!$AQ$153)&lt;=VAL_SERIAL)*1000000+14*1000+39))</f>
        <v/>
      </c>
      <c r="FR25" s="39">
        <f>IF(N('Dvd Calendar'!$AR$154)=0,"",IF(('Dvd Calendar'!$AR$154&gt;=GRID_FROM)*('Dvd Calendar'!$AR$154&lt;=GRID_TO)*((('Dvd Calendar'!$AR$154&lt;=VAL_DATE)+(COUNTIF('Dvd Calendar'!$E$161:$AR$161,'Dvd Calendar'!$AR$154)=0))&gt;0)=0,"",'Dvd Calendar'!$AR$154*1000000000+ISNUMBER('Dvd Calendar'!$AR$157)*100000000+('Dvd Calendar'!$AR$159=SPECIAL_LBL)*10000000+(N('Dvd Calendar'!$AR$153)&gt;0)*(N('Dvd Calendar'!$AR$153)&lt;=VAL_SERIAL)*1000000+14*1000+40))</f>
        <v/>
      </c>
      <c r="FS25" s="39">
        <f>IF(N('Dvd Calendar'!$E$161)=0,"",IF(('Dvd Calendar'!$E$161&gt;=GRID_FROM)*('Dvd Calendar'!$E$161&lt;=GRID_TO)*('Dvd Calendar'!$E$161&gt;VAL_DATE)=0,"",'Dvd Calendar'!$E$161*1000000000+ISNUMBER('Dvd Calendar'!$E$162)*100000000+0*10000000+(N('Dvd Calendar'!$E$160)&gt;0)*(N('Dvd Calendar'!$E$160)&lt;=VAL_SERIAL)*1000000+14*1000+41))</f>
        <v/>
      </c>
      <c r="FT25" s="39">
        <f>IF(N('Dvd Calendar'!$F$161)=0,"",IF(('Dvd Calendar'!$F$161&gt;=GRID_FROM)*('Dvd Calendar'!$F$161&lt;=GRID_TO)*('Dvd Calendar'!$F$161&gt;VAL_DATE)=0,"",'Dvd Calendar'!$F$161*1000000000+ISNUMBER('Dvd Calendar'!$F$162)*100000000+0*10000000+(N('Dvd Calendar'!$F$160)&gt;0)*(N('Dvd Calendar'!$F$160)&lt;=VAL_SERIAL)*1000000+14*1000+42))</f>
        <v/>
      </c>
      <c r="FU25" s="39">
        <f>IF(N('Dvd Calendar'!$G$161)=0,"",IF(('Dvd Calendar'!$G$161&gt;=GRID_FROM)*('Dvd Calendar'!$G$161&lt;=GRID_TO)*('Dvd Calendar'!$G$161&gt;VAL_DATE)=0,"",'Dvd Calendar'!$G$161*1000000000+ISNUMBER('Dvd Calendar'!$G$162)*100000000+0*10000000+(N('Dvd Calendar'!$G$160)&gt;0)*(N('Dvd Calendar'!$G$160)&lt;=VAL_SERIAL)*1000000+14*1000+43))</f>
        <v/>
      </c>
      <c r="FV25" s="39">
        <f>IF(N('Dvd Calendar'!$H$161)=0,"",IF(('Dvd Calendar'!$H$161&gt;=GRID_FROM)*('Dvd Calendar'!$H$161&lt;=GRID_TO)*('Dvd Calendar'!$H$161&gt;VAL_DATE)=0,"",'Dvd Calendar'!$H$161*1000000000+ISNUMBER('Dvd Calendar'!$H$162)*100000000+0*10000000+(N('Dvd Calendar'!$H$160)&gt;0)*(N('Dvd Calendar'!$H$160)&lt;=VAL_SERIAL)*1000000+14*1000+44))</f>
        <v/>
      </c>
      <c r="FW25" s="39">
        <f>IF(N('Dvd Calendar'!$I$161)=0,"",IF(('Dvd Calendar'!$I$161&gt;=GRID_FROM)*('Dvd Calendar'!$I$161&lt;=GRID_TO)*('Dvd Calendar'!$I$161&gt;VAL_DATE)=0,"",'Dvd Calendar'!$I$161*1000000000+ISNUMBER('Dvd Calendar'!$I$162)*100000000+0*10000000+(N('Dvd Calendar'!$I$160)&gt;0)*(N('Dvd Calendar'!$I$160)&lt;=VAL_SERIAL)*1000000+14*1000+45))</f>
        <v/>
      </c>
      <c r="FX25" s="39">
        <f>IF(N('Dvd Calendar'!$J$161)=0,"",IF(('Dvd Calendar'!$J$161&gt;=GRID_FROM)*('Dvd Calendar'!$J$161&lt;=GRID_TO)*('Dvd Calendar'!$J$161&gt;VAL_DATE)=0,"",'Dvd Calendar'!$J$161*1000000000+ISNUMBER('Dvd Calendar'!$J$162)*100000000+0*10000000+(N('Dvd Calendar'!$J$160)&gt;0)*(N('Dvd Calendar'!$J$160)&lt;=VAL_SERIAL)*1000000+14*1000+46))</f>
        <v/>
      </c>
      <c r="FY25" s="39">
        <f>IF(N('Dvd Calendar'!$K$161)=0,"",IF(('Dvd Calendar'!$K$161&gt;=GRID_FROM)*('Dvd Calendar'!$K$161&lt;=GRID_TO)*('Dvd Calendar'!$K$161&gt;VAL_DATE)=0,"",'Dvd Calendar'!$K$161*1000000000+ISNUMBER('Dvd Calendar'!$K$162)*100000000+0*10000000+(N('Dvd Calendar'!$K$160)&gt;0)*(N('Dvd Calendar'!$K$160)&lt;=VAL_SERIAL)*1000000+14*1000+47))</f>
        <v/>
      </c>
      <c r="FZ25" s="39">
        <f>IF(N('Dvd Calendar'!$L$161)=0,"",IF(('Dvd Calendar'!$L$161&gt;=GRID_FROM)*('Dvd Calendar'!$L$161&lt;=GRID_TO)*('Dvd Calendar'!$L$161&gt;VAL_DATE)=0,"",'Dvd Calendar'!$L$161*1000000000+ISNUMBER('Dvd Calendar'!$L$162)*100000000+0*10000000+(N('Dvd Calendar'!$L$160)&gt;0)*(N('Dvd Calendar'!$L$160)&lt;=VAL_SERIAL)*1000000+14*1000+48))</f>
        <v/>
      </c>
      <c r="GA25" s="39">
        <f>IF(N('Dvd Calendar'!$M$161)=0,"",IF(('Dvd Calendar'!$M$161&gt;=GRID_FROM)*('Dvd Calendar'!$M$161&lt;=GRID_TO)*('Dvd Calendar'!$M$161&gt;VAL_DATE)=0,"",'Dvd Calendar'!$M$161*1000000000+ISNUMBER('Dvd Calendar'!$M$162)*100000000+0*10000000+(N('Dvd Calendar'!$M$160)&gt;0)*(N('Dvd Calendar'!$M$160)&lt;=VAL_SERIAL)*1000000+14*1000+49))</f>
        <v/>
      </c>
      <c r="GB25" s="39">
        <f>IF(N('Dvd Calendar'!$N$161)=0,"",IF(('Dvd Calendar'!$N$161&gt;=GRID_FROM)*('Dvd Calendar'!$N$161&lt;=GRID_TO)*('Dvd Calendar'!$N$161&gt;VAL_DATE)=0,"",'Dvd Calendar'!$N$161*1000000000+ISNUMBER('Dvd Calendar'!$N$162)*100000000+0*10000000+(N('Dvd Calendar'!$N$160)&gt;0)*(N('Dvd Calendar'!$N$160)&lt;=VAL_SERIAL)*1000000+14*1000+50))</f>
        <v/>
      </c>
      <c r="GC25" s="39">
        <f>IF(N('Dvd Calendar'!$O$161)=0,"",IF(('Dvd Calendar'!$O$161&gt;=GRID_FROM)*('Dvd Calendar'!$O$161&lt;=GRID_TO)*('Dvd Calendar'!$O$161&gt;VAL_DATE)=0,"",'Dvd Calendar'!$O$161*1000000000+ISNUMBER('Dvd Calendar'!$O$162)*100000000+0*10000000+(N('Dvd Calendar'!$O$160)&gt;0)*(N('Dvd Calendar'!$O$160)&lt;=VAL_SERIAL)*1000000+14*1000+51))</f>
        <v/>
      </c>
      <c r="GD25" s="39">
        <f>IF(N('Dvd Calendar'!$P$161)=0,"",IF(('Dvd Calendar'!$P$161&gt;=GRID_FROM)*('Dvd Calendar'!$P$161&lt;=GRID_TO)*('Dvd Calendar'!$P$161&gt;VAL_DATE)=0,"",'Dvd Calendar'!$P$161*1000000000+ISNUMBER('Dvd Calendar'!$P$162)*100000000+0*10000000+(N('Dvd Calendar'!$P$160)&gt;0)*(N('Dvd Calendar'!$P$160)&lt;=VAL_SERIAL)*1000000+14*1000+52))</f>
        <v/>
      </c>
      <c r="GE25" s="39">
        <f>IF(N('Dvd Calendar'!$Q$161)=0,"",IF(('Dvd Calendar'!$Q$161&gt;=GRID_FROM)*('Dvd Calendar'!$Q$161&lt;=GRID_TO)*('Dvd Calendar'!$Q$161&gt;VAL_DATE)=0,"",'Dvd Calendar'!$Q$161*1000000000+ISNUMBER('Dvd Calendar'!$Q$162)*100000000+0*10000000+(N('Dvd Calendar'!$Q$160)&gt;0)*(N('Dvd Calendar'!$Q$160)&lt;=VAL_SERIAL)*1000000+14*1000+53))</f>
        <v/>
      </c>
      <c r="GF25" s="39">
        <f>IF(N('Dvd Calendar'!$R$161)=0,"",IF(('Dvd Calendar'!$R$161&gt;=GRID_FROM)*('Dvd Calendar'!$R$161&lt;=GRID_TO)*('Dvd Calendar'!$R$161&gt;VAL_DATE)=0,"",'Dvd Calendar'!$R$161*1000000000+ISNUMBER('Dvd Calendar'!$R$162)*100000000+0*10000000+(N('Dvd Calendar'!$R$160)&gt;0)*(N('Dvd Calendar'!$R$160)&lt;=VAL_SERIAL)*1000000+14*1000+54))</f>
        <v/>
      </c>
      <c r="GG25" s="39">
        <f>IF(N('Dvd Calendar'!$S$161)=0,"",IF(('Dvd Calendar'!$S$161&gt;=GRID_FROM)*('Dvd Calendar'!$S$161&lt;=GRID_TO)*('Dvd Calendar'!$S$161&gt;VAL_DATE)=0,"",'Dvd Calendar'!$S$161*1000000000+ISNUMBER('Dvd Calendar'!$S$162)*100000000+0*10000000+(N('Dvd Calendar'!$S$160)&gt;0)*(N('Dvd Calendar'!$S$160)&lt;=VAL_SERIAL)*1000000+14*1000+55))</f>
        <v/>
      </c>
      <c r="GH25" s="39">
        <f>IF(N('Dvd Calendar'!$T$161)=0,"",IF(('Dvd Calendar'!$T$161&gt;=GRID_FROM)*('Dvd Calendar'!$T$161&lt;=GRID_TO)*('Dvd Calendar'!$T$161&gt;VAL_DATE)=0,"",'Dvd Calendar'!$T$161*1000000000+ISNUMBER('Dvd Calendar'!$T$162)*100000000+0*10000000+(N('Dvd Calendar'!$T$160)&gt;0)*(N('Dvd Calendar'!$T$160)&lt;=VAL_SERIAL)*1000000+14*1000+56))</f>
        <v/>
      </c>
      <c r="GI25" s="39">
        <f>IF(N('Dvd Calendar'!$U$161)=0,"",IF(('Dvd Calendar'!$U$161&gt;=GRID_FROM)*('Dvd Calendar'!$U$161&lt;=GRID_TO)*('Dvd Calendar'!$U$161&gt;VAL_DATE)=0,"",'Dvd Calendar'!$U$161*1000000000+ISNUMBER('Dvd Calendar'!$U$162)*100000000+0*10000000+(N('Dvd Calendar'!$U$160)&gt;0)*(N('Dvd Calendar'!$U$160)&lt;=VAL_SERIAL)*1000000+14*1000+57))</f>
        <v/>
      </c>
      <c r="GJ25" s="39">
        <f>IF(N('Dvd Calendar'!$V$161)=0,"",IF(('Dvd Calendar'!$V$161&gt;=GRID_FROM)*('Dvd Calendar'!$V$161&lt;=GRID_TO)*('Dvd Calendar'!$V$161&gt;VAL_DATE)=0,"",'Dvd Calendar'!$V$161*1000000000+ISNUMBER('Dvd Calendar'!$V$162)*100000000+0*10000000+(N('Dvd Calendar'!$V$160)&gt;0)*(N('Dvd Calendar'!$V$160)&lt;=VAL_SERIAL)*1000000+14*1000+58))</f>
        <v/>
      </c>
      <c r="GK25" s="39">
        <f>IF(N('Dvd Calendar'!$W$161)=0,"",IF(('Dvd Calendar'!$W$161&gt;=GRID_FROM)*('Dvd Calendar'!$W$161&lt;=GRID_TO)*('Dvd Calendar'!$W$161&gt;VAL_DATE)=0,"",'Dvd Calendar'!$W$161*1000000000+ISNUMBER('Dvd Calendar'!$W$162)*100000000+0*10000000+(N('Dvd Calendar'!$W$160)&gt;0)*(N('Dvd Calendar'!$W$160)&lt;=VAL_SERIAL)*1000000+14*1000+59))</f>
        <v/>
      </c>
      <c r="GL25" s="39">
        <f>IF(N('Dvd Calendar'!$X$161)=0,"",IF(('Dvd Calendar'!$X$161&gt;=GRID_FROM)*('Dvd Calendar'!$X$161&lt;=GRID_TO)*('Dvd Calendar'!$X$161&gt;VAL_DATE)=0,"",'Dvd Calendar'!$X$161*1000000000+ISNUMBER('Dvd Calendar'!$X$162)*100000000+0*10000000+(N('Dvd Calendar'!$X$160)&gt;0)*(N('Dvd Calendar'!$X$160)&lt;=VAL_SERIAL)*1000000+14*1000+60))</f>
        <v/>
      </c>
      <c r="GM25" s="39">
        <f>IF(N('Dvd Calendar'!$Y$161)=0,"",IF(('Dvd Calendar'!$Y$161&gt;=GRID_FROM)*('Dvd Calendar'!$Y$161&lt;=GRID_TO)*('Dvd Calendar'!$Y$161&gt;VAL_DATE)=0,"",'Dvd Calendar'!$Y$161*1000000000+ISNUMBER('Dvd Calendar'!$Y$162)*100000000+0*10000000+(N('Dvd Calendar'!$Y$160)&gt;0)*(N('Dvd Calendar'!$Y$160)&lt;=VAL_SERIAL)*1000000+14*1000+61))</f>
        <v/>
      </c>
      <c r="GN25" s="39">
        <f>IF(N('Dvd Calendar'!$Z$161)=0,"",IF(('Dvd Calendar'!$Z$161&gt;=GRID_FROM)*('Dvd Calendar'!$Z$161&lt;=GRID_TO)*('Dvd Calendar'!$Z$161&gt;VAL_DATE)=0,"",'Dvd Calendar'!$Z$161*1000000000+ISNUMBER('Dvd Calendar'!$Z$162)*100000000+0*10000000+(N('Dvd Calendar'!$Z$160)&gt;0)*(N('Dvd Calendar'!$Z$160)&lt;=VAL_SERIAL)*1000000+14*1000+62))</f>
        <v/>
      </c>
      <c r="GO25" s="39">
        <f>IF(N('Dvd Calendar'!$AA$161)=0,"",IF(('Dvd Calendar'!$AA$161&gt;=GRID_FROM)*('Dvd Calendar'!$AA$161&lt;=GRID_TO)*('Dvd Calendar'!$AA$161&gt;VAL_DATE)=0,"",'Dvd Calendar'!$AA$161*1000000000+ISNUMBER('Dvd Calendar'!$AA$162)*100000000+0*10000000+(N('Dvd Calendar'!$AA$160)&gt;0)*(N('Dvd Calendar'!$AA$160)&lt;=VAL_SERIAL)*1000000+14*1000+63))</f>
        <v/>
      </c>
      <c r="GP25" s="39">
        <f>IF(N('Dvd Calendar'!$AB$161)=0,"",IF(('Dvd Calendar'!$AB$161&gt;=GRID_FROM)*('Dvd Calendar'!$AB$161&lt;=GRID_TO)*('Dvd Calendar'!$AB$161&gt;VAL_DATE)=0,"",'Dvd Calendar'!$AB$161*1000000000+ISNUMBER('Dvd Calendar'!$AB$162)*100000000+0*10000000+(N('Dvd Calendar'!$AB$160)&gt;0)*(N('Dvd Calendar'!$AB$160)&lt;=VAL_SERIAL)*1000000+14*1000+64))</f>
        <v/>
      </c>
      <c r="GQ25" s="39">
        <f>IF(N('Dvd Calendar'!$AC$161)=0,"",IF(('Dvd Calendar'!$AC$161&gt;=GRID_FROM)*('Dvd Calendar'!$AC$161&lt;=GRID_TO)*('Dvd Calendar'!$AC$161&gt;VAL_DATE)=0,"",'Dvd Calendar'!$AC$161*1000000000+ISNUMBER('Dvd Calendar'!$AC$162)*100000000+0*10000000+(N('Dvd Calendar'!$AC$160)&gt;0)*(N('Dvd Calendar'!$AC$160)&lt;=VAL_SERIAL)*1000000+14*1000+65))</f>
        <v/>
      </c>
    </row>
    <row r="26">
      <c r="B26" s="2">
        <f>IF(HSI!$C$21="","",HSI!$C$21)</f>
        <v/>
      </c>
      <c r="C26" s="110">
        <f>IF(EE26="","",IF(ISNUMBER('Dvd Calendar'!$E$168)=FALSE,"",IF((('Dvd Calendar'!$E$170=TYPE1)*(TYPE1&lt;&gt;"")+('Dvd Calendar'!$E$170=TYPE2)*(TYPE2&lt;&gt;"")+('Dvd Calendar'!$E$170=TYPE3)*(TYPE3&lt;&gt;"")+('Dvd Calendar'!$E$170=TYPE4)*(TYPE4&lt;&gt;"")+('Dvd Calendar'!$E$170=SPECIAL_LBL)*(INC_SPECIALS="Y"))=0,"",'Dvd Calendar'!$E$168)))</f>
        <v/>
      </c>
      <c r="D26" s="110">
        <f>IF(EF26="","",IF(ISNUMBER('Dvd Calendar'!$F$168)=FALSE,"",IF((('Dvd Calendar'!$F$170=TYPE1)*(TYPE1&lt;&gt;"")+('Dvd Calendar'!$F$170=TYPE2)*(TYPE2&lt;&gt;"")+('Dvd Calendar'!$F$170=TYPE3)*(TYPE3&lt;&gt;"")+('Dvd Calendar'!$F$170=TYPE4)*(TYPE4&lt;&gt;"")+('Dvd Calendar'!$F$170=SPECIAL_LBL)*(INC_SPECIALS="Y"))=0,"",'Dvd Calendar'!$F$168)))</f>
        <v/>
      </c>
      <c r="E26" s="110">
        <f>IF(EG26="","",IF(ISNUMBER('Dvd Calendar'!$G$168)=FALSE,"",IF((('Dvd Calendar'!$G$170=TYPE1)*(TYPE1&lt;&gt;"")+('Dvd Calendar'!$G$170=TYPE2)*(TYPE2&lt;&gt;"")+('Dvd Calendar'!$G$170=TYPE3)*(TYPE3&lt;&gt;"")+('Dvd Calendar'!$G$170=TYPE4)*(TYPE4&lt;&gt;"")+('Dvd Calendar'!$G$170=SPECIAL_LBL)*(INC_SPECIALS="Y"))=0,"",'Dvd Calendar'!$G$168)))</f>
        <v/>
      </c>
      <c r="F26" s="110">
        <f>IF(EH26="","",IF(ISNUMBER('Dvd Calendar'!$H$168)=FALSE,"",IF((('Dvd Calendar'!$H$170=TYPE1)*(TYPE1&lt;&gt;"")+('Dvd Calendar'!$H$170=TYPE2)*(TYPE2&lt;&gt;"")+('Dvd Calendar'!$H$170=TYPE3)*(TYPE3&lt;&gt;"")+('Dvd Calendar'!$H$170=TYPE4)*(TYPE4&lt;&gt;"")+('Dvd Calendar'!$H$170=SPECIAL_LBL)*(INC_SPECIALS="Y"))=0,"",'Dvd Calendar'!$H$168)))</f>
        <v/>
      </c>
      <c r="G26" s="110">
        <f>IF(EI26="","",IF(ISNUMBER('Dvd Calendar'!$I$168)=FALSE,"",IF((('Dvd Calendar'!$I$170=TYPE1)*(TYPE1&lt;&gt;"")+('Dvd Calendar'!$I$170=TYPE2)*(TYPE2&lt;&gt;"")+('Dvd Calendar'!$I$170=TYPE3)*(TYPE3&lt;&gt;"")+('Dvd Calendar'!$I$170=TYPE4)*(TYPE4&lt;&gt;"")+('Dvd Calendar'!$I$170=SPECIAL_LBL)*(INC_SPECIALS="Y"))=0,"",'Dvd Calendar'!$I$168)))</f>
        <v/>
      </c>
      <c r="H26" s="110">
        <f>IF(EJ26="","",IF(ISNUMBER('Dvd Calendar'!$J$168)=FALSE,"",IF((('Dvd Calendar'!$J$170=TYPE1)*(TYPE1&lt;&gt;"")+('Dvd Calendar'!$J$170=TYPE2)*(TYPE2&lt;&gt;"")+('Dvd Calendar'!$J$170=TYPE3)*(TYPE3&lt;&gt;"")+('Dvd Calendar'!$J$170=TYPE4)*(TYPE4&lt;&gt;"")+('Dvd Calendar'!$J$170=SPECIAL_LBL)*(INC_SPECIALS="Y"))=0,"",'Dvd Calendar'!$J$168)))</f>
        <v/>
      </c>
      <c r="I26" s="110">
        <f>IF(EK26="","",IF(ISNUMBER('Dvd Calendar'!$K$168)=FALSE,"",IF((('Dvd Calendar'!$K$170=TYPE1)*(TYPE1&lt;&gt;"")+('Dvd Calendar'!$K$170=TYPE2)*(TYPE2&lt;&gt;"")+('Dvd Calendar'!$K$170=TYPE3)*(TYPE3&lt;&gt;"")+('Dvd Calendar'!$K$170=TYPE4)*(TYPE4&lt;&gt;"")+('Dvd Calendar'!$K$170=SPECIAL_LBL)*(INC_SPECIALS="Y"))=0,"",'Dvd Calendar'!$K$168)))</f>
        <v/>
      </c>
      <c r="J26" s="110">
        <f>IF(EL26="","",IF(ISNUMBER('Dvd Calendar'!$L$168)=FALSE,"",IF((('Dvd Calendar'!$L$170=TYPE1)*(TYPE1&lt;&gt;"")+('Dvd Calendar'!$L$170=TYPE2)*(TYPE2&lt;&gt;"")+('Dvd Calendar'!$L$170=TYPE3)*(TYPE3&lt;&gt;"")+('Dvd Calendar'!$L$170=TYPE4)*(TYPE4&lt;&gt;"")+('Dvd Calendar'!$L$170=SPECIAL_LBL)*(INC_SPECIALS="Y"))=0,"",'Dvd Calendar'!$L$168)))</f>
        <v/>
      </c>
      <c r="K26" s="110">
        <f>IF(EM26="","",IF(ISNUMBER('Dvd Calendar'!$M$168)=FALSE,"",IF((('Dvd Calendar'!$M$170=TYPE1)*(TYPE1&lt;&gt;"")+('Dvd Calendar'!$M$170=TYPE2)*(TYPE2&lt;&gt;"")+('Dvd Calendar'!$M$170=TYPE3)*(TYPE3&lt;&gt;"")+('Dvd Calendar'!$M$170=TYPE4)*(TYPE4&lt;&gt;"")+('Dvd Calendar'!$M$170=SPECIAL_LBL)*(INC_SPECIALS="Y"))=0,"",'Dvd Calendar'!$M$168)))</f>
        <v/>
      </c>
      <c r="L26" s="110">
        <f>IF(EN26="","",IF(ISNUMBER('Dvd Calendar'!$N$168)=FALSE,"",IF((('Dvd Calendar'!$N$170=TYPE1)*(TYPE1&lt;&gt;"")+('Dvd Calendar'!$N$170=TYPE2)*(TYPE2&lt;&gt;"")+('Dvd Calendar'!$N$170=TYPE3)*(TYPE3&lt;&gt;"")+('Dvd Calendar'!$N$170=TYPE4)*(TYPE4&lt;&gt;"")+('Dvd Calendar'!$N$170=SPECIAL_LBL)*(INC_SPECIALS="Y"))=0,"",'Dvd Calendar'!$N$168)))</f>
        <v/>
      </c>
      <c r="M26" s="110">
        <f>IF(EO26="","",IF(ISNUMBER('Dvd Calendar'!$O$168)=FALSE,"",IF((('Dvd Calendar'!$O$170=TYPE1)*(TYPE1&lt;&gt;"")+('Dvd Calendar'!$O$170=TYPE2)*(TYPE2&lt;&gt;"")+('Dvd Calendar'!$O$170=TYPE3)*(TYPE3&lt;&gt;"")+('Dvd Calendar'!$O$170=TYPE4)*(TYPE4&lt;&gt;"")+('Dvd Calendar'!$O$170=SPECIAL_LBL)*(INC_SPECIALS="Y"))=0,"",'Dvd Calendar'!$O$168)))</f>
        <v/>
      </c>
      <c r="N26" s="110">
        <f>IF(EP26="","",IF(ISNUMBER('Dvd Calendar'!$P$168)=FALSE,"",IF((('Dvd Calendar'!$P$170=TYPE1)*(TYPE1&lt;&gt;"")+('Dvd Calendar'!$P$170=TYPE2)*(TYPE2&lt;&gt;"")+('Dvd Calendar'!$P$170=TYPE3)*(TYPE3&lt;&gt;"")+('Dvd Calendar'!$P$170=TYPE4)*(TYPE4&lt;&gt;"")+('Dvd Calendar'!$P$170=SPECIAL_LBL)*(INC_SPECIALS="Y"))=0,"",'Dvd Calendar'!$P$168)))</f>
        <v/>
      </c>
      <c r="O26" s="110">
        <f>IF(EQ26="","",IF(ISNUMBER('Dvd Calendar'!$Q$168)=FALSE,"",IF((('Dvd Calendar'!$Q$170=TYPE1)*(TYPE1&lt;&gt;"")+('Dvd Calendar'!$Q$170=TYPE2)*(TYPE2&lt;&gt;"")+('Dvd Calendar'!$Q$170=TYPE3)*(TYPE3&lt;&gt;"")+('Dvd Calendar'!$Q$170=TYPE4)*(TYPE4&lt;&gt;"")+('Dvd Calendar'!$Q$170=SPECIAL_LBL)*(INC_SPECIALS="Y"))=0,"",'Dvd Calendar'!$Q$168)))</f>
        <v/>
      </c>
      <c r="P26" s="110">
        <f>IF(ER26="","",IF(ISNUMBER('Dvd Calendar'!$R$168)=FALSE,"",IF((('Dvd Calendar'!$R$170=TYPE1)*(TYPE1&lt;&gt;"")+('Dvd Calendar'!$R$170=TYPE2)*(TYPE2&lt;&gt;"")+('Dvd Calendar'!$R$170=TYPE3)*(TYPE3&lt;&gt;"")+('Dvd Calendar'!$R$170=TYPE4)*(TYPE4&lt;&gt;"")+('Dvd Calendar'!$R$170=SPECIAL_LBL)*(INC_SPECIALS="Y"))=0,"",'Dvd Calendar'!$R$168)))</f>
        <v/>
      </c>
      <c r="Q26" s="110">
        <f>IF(ES26="","",IF(ISNUMBER('Dvd Calendar'!$S$168)=FALSE,"",IF((('Dvd Calendar'!$S$170=TYPE1)*(TYPE1&lt;&gt;"")+('Dvd Calendar'!$S$170=TYPE2)*(TYPE2&lt;&gt;"")+('Dvd Calendar'!$S$170=TYPE3)*(TYPE3&lt;&gt;"")+('Dvd Calendar'!$S$170=TYPE4)*(TYPE4&lt;&gt;"")+('Dvd Calendar'!$S$170=SPECIAL_LBL)*(INC_SPECIALS="Y"))=0,"",'Dvd Calendar'!$S$168)))</f>
        <v/>
      </c>
      <c r="R26" s="110">
        <f>IF(ET26="","",IF(ISNUMBER('Dvd Calendar'!$T$168)=FALSE,"",IF((('Dvd Calendar'!$T$170=TYPE1)*(TYPE1&lt;&gt;"")+('Dvd Calendar'!$T$170=TYPE2)*(TYPE2&lt;&gt;"")+('Dvd Calendar'!$T$170=TYPE3)*(TYPE3&lt;&gt;"")+('Dvd Calendar'!$T$170=TYPE4)*(TYPE4&lt;&gt;"")+('Dvd Calendar'!$T$170=SPECIAL_LBL)*(INC_SPECIALS="Y"))=0,"",'Dvd Calendar'!$T$168)))</f>
        <v/>
      </c>
      <c r="S26" s="110">
        <f>IF(EU26="","",IF(ISNUMBER('Dvd Calendar'!$U$168)=FALSE,"",IF((('Dvd Calendar'!$U$170=TYPE1)*(TYPE1&lt;&gt;"")+('Dvd Calendar'!$U$170=TYPE2)*(TYPE2&lt;&gt;"")+('Dvd Calendar'!$U$170=TYPE3)*(TYPE3&lt;&gt;"")+('Dvd Calendar'!$U$170=TYPE4)*(TYPE4&lt;&gt;"")+('Dvd Calendar'!$U$170=SPECIAL_LBL)*(INC_SPECIALS="Y"))=0,"",'Dvd Calendar'!$U$168)))</f>
        <v/>
      </c>
      <c r="T26" s="110">
        <f>IF(EV26="","",IF(ISNUMBER('Dvd Calendar'!$V$168)=FALSE,"",IF((('Dvd Calendar'!$V$170=TYPE1)*(TYPE1&lt;&gt;"")+('Dvd Calendar'!$V$170=TYPE2)*(TYPE2&lt;&gt;"")+('Dvd Calendar'!$V$170=TYPE3)*(TYPE3&lt;&gt;"")+('Dvd Calendar'!$V$170=TYPE4)*(TYPE4&lt;&gt;"")+('Dvd Calendar'!$V$170=SPECIAL_LBL)*(INC_SPECIALS="Y"))=0,"",'Dvd Calendar'!$V$168)))</f>
        <v/>
      </c>
      <c r="U26" s="110">
        <f>IF(EW26="","",IF(ISNUMBER('Dvd Calendar'!$W$168)=FALSE,"",IF((('Dvd Calendar'!$W$170=TYPE1)*(TYPE1&lt;&gt;"")+('Dvd Calendar'!$W$170=TYPE2)*(TYPE2&lt;&gt;"")+('Dvd Calendar'!$W$170=TYPE3)*(TYPE3&lt;&gt;"")+('Dvd Calendar'!$W$170=TYPE4)*(TYPE4&lt;&gt;"")+('Dvd Calendar'!$W$170=SPECIAL_LBL)*(INC_SPECIALS="Y"))=0,"",'Dvd Calendar'!$W$168)))</f>
        <v/>
      </c>
      <c r="V26" s="110">
        <f>IF(EX26="","",IF(ISNUMBER('Dvd Calendar'!$X$168)=FALSE,"",IF((('Dvd Calendar'!$X$170=TYPE1)*(TYPE1&lt;&gt;"")+('Dvd Calendar'!$X$170=TYPE2)*(TYPE2&lt;&gt;"")+('Dvd Calendar'!$X$170=TYPE3)*(TYPE3&lt;&gt;"")+('Dvd Calendar'!$X$170=TYPE4)*(TYPE4&lt;&gt;"")+('Dvd Calendar'!$X$170=SPECIAL_LBL)*(INC_SPECIALS="Y"))=0,"",'Dvd Calendar'!$X$168)))</f>
        <v/>
      </c>
      <c r="W26" s="110">
        <f>IF(EY26="","",IF(ISNUMBER('Dvd Calendar'!$Y$168)=FALSE,"",IF((('Dvd Calendar'!$Y$170=TYPE1)*(TYPE1&lt;&gt;"")+('Dvd Calendar'!$Y$170=TYPE2)*(TYPE2&lt;&gt;"")+('Dvd Calendar'!$Y$170=TYPE3)*(TYPE3&lt;&gt;"")+('Dvd Calendar'!$Y$170=TYPE4)*(TYPE4&lt;&gt;"")+('Dvd Calendar'!$Y$170=SPECIAL_LBL)*(INC_SPECIALS="Y"))=0,"",'Dvd Calendar'!$Y$168)))</f>
        <v/>
      </c>
      <c r="X26" s="110">
        <f>IF(EZ26="","",IF(ISNUMBER('Dvd Calendar'!$Z$168)=FALSE,"",IF((('Dvd Calendar'!$Z$170=TYPE1)*(TYPE1&lt;&gt;"")+('Dvd Calendar'!$Z$170=TYPE2)*(TYPE2&lt;&gt;"")+('Dvd Calendar'!$Z$170=TYPE3)*(TYPE3&lt;&gt;"")+('Dvd Calendar'!$Z$170=TYPE4)*(TYPE4&lt;&gt;"")+('Dvd Calendar'!$Z$170=SPECIAL_LBL)*(INC_SPECIALS="Y"))=0,"",'Dvd Calendar'!$Z$168)))</f>
        <v/>
      </c>
      <c r="Y26" s="110">
        <f>IF(FA26="","",IF(ISNUMBER('Dvd Calendar'!$AA$168)=FALSE,"",IF((('Dvd Calendar'!$AA$170=TYPE1)*(TYPE1&lt;&gt;"")+('Dvd Calendar'!$AA$170=TYPE2)*(TYPE2&lt;&gt;"")+('Dvd Calendar'!$AA$170=TYPE3)*(TYPE3&lt;&gt;"")+('Dvd Calendar'!$AA$170=TYPE4)*(TYPE4&lt;&gt;"")+('Dvd Calendar'!$AA$170=SPECIAL_LBL)*(INC_SPECIALS="Y"))=0,"",'Dvd Calendar'!$AA$168)))</f>
        <v/>
      </c>
      <c r="Z26" s="110">
        <f>IF(FB26="","",IF(ISNUMBER('Dvd Calendar'!$AB$168)=FALSE,"",IF((('Dvd Calendar'!$AB$170=TYPE1)*(TYPE1&lt;&gt;"")+('Dvd Calendar'!$AB$170=TYPE2)*(TYPE2&lt;&gt;"")+('Dvd Calendar'!$AB$170=TYPE3)*(TYPE3&lt;&gt;"")+('Dvd Calendar'!$AB$170=TYPE4)*(TYPE4&lt;&gt;"")+('Dvd Calendar'!$AB$170=SPECIAL_LBL)*(INC_SPECIALS="Y"))=0,"",'Dvd Calendar'!$AB$168)))</f>
        <v/>
      </c>
      <c r="AA26" s="110">
        <f>IF(FC26="","",IF(ISNUMBER('Dvd Calendar'!$AC$168)=FALSE,"",IF((('Dvd Calendar'!$AC$170=TYPE1)*(TYPE1&lt;&gt;"")+('Dvd Calendar'!$AC$170=TYPE2)*(TYPE2&lt;&gt;"")+('Dvd Calendar'!$AC$170=TYPE3)*(TYPE3&lt;&gt;"")+('Dvd Calendar'!$AC$170=TYPE4)*(TYPE4&lt;&gt;"")+('Dvd Calendar'!$AC$170=SPECIAL_LBL)*(INC_SPECIALS="Y"))=0,"",'Dvd Calendar'!$AC$168)))</f>
        <v/>
      </c>
      <c r="AB26" s="110">
        <f>IF(FD26="","",IF(ISNUMBER('Dvd Calendar'!$AD$168)=FALSE,"",IF((('Dvd Calendar'!$AD$170=TYPE1)*(TYPE1&lt;&gt;"")+('Dvd Calendar'!$AD$170=TYPE2)*(TYPE2&lt;&gt;"")+('Dvd Calendar'!$AD$170=TYPE3)*(TYPE3&lt;&gt;"")+('Dvd Calendar'!$AD$170=TYPE4)*(TYPE4&lt;&gt;"")+('Dvd Calendar'!$AD$170=SPECIAL_LBL)*(INC_SPECIALS="Y"))=0,"",'Dvd Calendar'!$AD$168)))</f>
        <v/>
      </c>
      <c r="AC26" s="110">
        <f>IF(FE26="","",IF(ISNUMBER('Dvd Calendar'!$AE$168)=FALSE,"",IF((('Dvd Calendar'!$AE$170=TYPE1)*(TYPE1&lt;&gt;"")+('Dvd Calendar'!$AE$170=TYPE2)*(TYPE2&lt;&gt;"")+('Dvd Calendar'!$AE$170=TYPE3)*(TYPE3&lt;&gt;"")+('Dvd Calendar'!$AE$170=TYPE4)*(TYPE4&lt;&gt;"")+('Dvd Calendar'!$AE$170=SPECIAL_LBL)*(INC_SPECIALS="Y"))=0,"",'Dvd Calendar'!$AE$168)))</f>
        <v/>
      </c>
      <c r="AD26" s="110">
        <f>IF(FF26="","",IF(ISNUMBER('Dvd Calendar'!$AF$168)=FALSE,"",IF((('Dvd Calendar'!$AF$170=TYPE1)*(TYPE1&lt;&gt;"")+('Dvd Calendar'!$AF$170=TYPE2)*(TYPE2&lt;&gt;"")+('Dvd Calendar'!$AF$170=TYPE3)*(TYPE3&lt;&gt;"")+('Dvd Calendar'!$AF$170=TYPE4)*(TYPE4&lt;&gt;"")+('Dvd Calendar'!$AF$170=SPECIAL_LBL)*(INC_SPECIALS="Y"))=0,"",'Dvd Calendar'!$AF$168)))</f>
        <v/>
      </c>
      <c r="AE26" s="110">
        <f>IF(FG26="","",IF(ISNUMBER('Dvd Calendar'!$AG$168)=FALSE,"",IF((('Dvd Calendar'!$AG$170=TYPE1)*(TYPE1&lt;&gt;"")+('Dvd Calendar'!$AG$170=TYPE2)*(TYPE2&lt;&gt;"")+('Dvd Calendar'!$AG$170=TYPE3)*(TYPE3&lt;&gt;"")+('Dvd Calendar'!$AG$170=TYPE4)*(TYPE4&lt;&gt;"")+('Dvd Calendar'!$AG$170=SPECIAL_LBL)*(INC_SPECIALS="Y"))=0,"",'Dvd Calendar'!$AG$168)))</f>
        <v/>
      </c>
      <c r="AF26" s="110">
        <f>IF(FH26="","",IF(ISNUMBER('Dvd Calendar'!$AH$168)=FALSE,"",IF((('Dvd Calendar'!$AH$170=TYPE1)*(TYPE1&lt;&gt;"")+('Dvd Calendar'!$AH$170=TYPE2)*(TYPE2&lt;&gt;"")+('Dvd Calendar'!$AH$170=TYPE3)*(TYPE3&lt;&gt;"")+('Dvd Calendar'!$AH$170=TYPE4)*(TYPE4&lt;&gt;"")+('Dvd Calendar'!$AH$170=SPECIAL_LBL)*(INC_SPECIALS="Y"))=0,"",'Dvd Calendar'!$AH$168)))</f>
        <v/>
      </c>
      <c r="AG26" s="110">
        <f>IF(FI26="","",IF(ISNUMBER('Dvd Calendar'!$AI$168)=FALSE,"",IF((('Dvd Calendar'!$AI$170=TYPE1)*(TYPE1&lt;&gt;"")+('Dvd Calendar'!$AI$170=TYPE2)*(TYPE2&lt;&gt;"")+('Dvd Calendar'!$AI$170=TYPE3)*(TYPE3&lt;&gt;"")+('Dvd Calendar'!$AI$170=TYPE4)*(TYPE4&lt;&gt;"")+('Dvd Calendar'!$AI$170=SPECIAL_LBL)*(INC_SPECIALS="Y"))=0,"",'Dvd Calendar'!$AI$168)))</f>
        <v/>
      </c>
      <c r="AH26" s="110">
        <f>IF(FJ26="","",IF(ISNUMBER('Dvd Calendar'!$AJ$168)=FALSE,"",IF((('Dvd Calendar'!$AJ$170=TYPE1)*(TYPE1&lt;&gt;"")+('Dvd Calendar'!$AJ$170=TYPE2)*(TYPE2&lt;&gt;"")+('Dvd Calendar'!$AJ$170=TYPE3)*(TYPE3&lt;&gt;"")+('Dvd Calendar'!$AJ$170=TYPE4)*(TYPE4&lt;&gt;"")+('Dvd Calendar'!$AJ$170=SPECIAL_LBL)*(INC_SPECIALS="Y"))=0,"",'Dvd Calendar'!$AJ$168)))</f>
        <v/>
      </c>
      <c r="AI26" s="110">
        <f>IF(FK26="","",IF(ISNUMBER('Dvd Calendar'!$AK$168)=FALSE,"",IF((('Dvd Calendar'!$AK$170=TYPE1)*(TYPE1&lt;&gt;"")+('Dvd Calendar'!$AK$170=TYPE2)*(TYPE2&lt;&gt;"")+('Dvd Calendar'!$AK$170=TYPE3)*(TYPE3&lt;&gt;"")+('Dvd Calendar'!$AK$170=TYPE4)*(TYPE4&lt;&gt;"")+('Dvd Calendar'!$AK$170=SPECIAL_LBL)*(INC_SPECIALS="Y"))=0,"",'Dvd Calendar'!$AK$168)))</f>
        <v/>
      </c>
      <c r="AJ26" s="110">
        <f>IF(FL26="","",IF(ISNUMBER('Dvd Calendar'!$AL$168)=FALSE,"",IF((('Dvd Calendar'!$AL$170=TYPE1)*(TYPE1&lt;&gt;"")+('Dvd Calendar'!$AL$170=TYPE2)*(TYPE2&lt;&gt;"")+('Dvd Calendar'!$AL$170=TYPE3)*(TYPE3&lt;&gt;"")+('Dvd Calendar'!$AL$170=TYPE4)*(TYPE4&lt;&gt;"")+('Dvd Calendar'!$AL$170=SPECIAL_LBL)*(INC_SPECIALS="Y"))=0,"",'Dvd Calendar'!$AL$168)))</f>
        <v/>
      </c>
      <c r="AK26" s="110">
        <f>IF(FM26="","",IF(ISNUMBER('Dvd Calendar'!$AM$168)=FALSE,"",IF((('Dvd Calendar'!$AM$170=TYPE1)*(TYPE1&lt;&gt;"")+('Dvd Calendar'!$AM$170=TYPE2)*(TYPE2&lt;&gt;"")+('Dvd Calendar'!$AM$170=TYPE3)*(TYPE3&lt;&gt;"")+('Dvd Calendar'!$AM$170=TYPE4)*(TYPE4&lt;&gt;"")+('Dvd Calendar'!$AM$170=SPECIAL_LBL)*(INC_SPECIALS="Y"))=0,"",'Dvd Calendar'!$AM$168)))</f>
        <v/>
      </c>
      <c r="AL26" s="110">
        <f>IF(FN26="","",IF(ISNUMBER('Dvd Calendar'!$AN$168)=FALSE,"",IF((('Dvd Calendar'!$AN$170=TYPE1)*(TYPE1&lt;&gt;"")+('Dvd Calendar'!$AN$170=TYPE2)*(TYPE2&lt;&gt;"")+('Dvd Calendar'!$AN$170=TYPE3)*(TYPE3&lt;&gt;"")+('Dvd Calendar'!$AN$170=TYPE4)*(TYPE4&lt;&gt;"")+('Dvd Calendar'!$AN$170=SPECIAL_LBL)*(INC_SPECIALS="Y"))=0,"",'Dvd Calendar'!$AN$168)))</f>
        <v/>
      </c>
      <c r="AM26" s="110">
        <f>IF(FO26="","",IF(ISNUMBER('Dvd Calendar'!$AO$168)=FALSE,"",IF((('Dvd Calendar'!$AO$170=TYPE1)*(TYPE1&lt;&gt;"")+('Dvd Calendar'!$AO$170=TYPE2)*(TYPE2&lt;&gt;"")+('Dvd Calendar'!$AO$170=TYPE3)*(TYPE3&lt;&gt;"")+('Dvd Calendar'!$AO$170=TYPE4)*(TYPE4&lt;&gt;"")+('Dvd Calendar'!$AO$170=SPECIAL_LBL)*(INC_SPECIALS="Y"))=0,"",'Dvd Calendar'!$AO$168)))</f>
        <v/>
      </c>
      <c r="AN26" s="110">
        <f>IF(FP26="","",IF(ISNUMBER('Dvd Calendar'!$AP$168)=FALSE,"",IF((('Dvd Calendar'!$AP$170=TYPE1)*(TYPE1&lt;&gt;"")+('Dvd Calendar'!$AP$170=TYPE2)*(TYPE2&lt;&gt;"")+('Dvd Calendar'!$AP$170=TYPE3)*(TYPE3&lt;&gt;"")+('Dvd Calendar'!$AP$170=TYPE4)*(TYPE4&lt;&gt;"")+('Dvd Calendar'!$AP$170=SPECIAL_LBL)*(INC_SPECIALS="Y"))=0,"",'Dvd Calendar'!$AP$168)))</f>
        <v/>
      </c>
      <c r="AO26" s="110">
        <f>IF(FQ26="","",IF(ISNUMBER('Dvd Calendar'!$AQ$168)=FALSE,"",IF((('Dvd Calendar'!$AQ$170=TYPE1)*(TYPE1&lt;&gt;"")+('Dvd Calendar'!$AQ$170=TYPE2)*(TYPE2&lt;&gt;"")+('Dvd Calendar'!$AQ$170=TYPE3)*(TYPE3&lt;&gt;"")+('Dvd Calendar'!$AQ$170=TYPE4)*(TYPE4&lt;&gt;"")+('Dvd Calendar'!$AQ$170=SPECIAL_LBL)*(INC_SPECIALS="Y"))=0,"",'Dvd Calendar'!$AQ$168)))</f>
        <v/>
      </c>
      <c r="AP26" s="110">
        <f>IF(FR26="","",IF(ISNUMBER('Dvd Calendar'!$AR$168)=FALSE,"",IF((('Dvd Calendar'!$AR$170=TYPE1)*(TYPE1&lt;&gt;"")+('Dvd Calendar'!$AR$170=TYPE2)*(TYPE2&lt;&gt;"")+('Dvd Calendar'!$AR$170=TYPE3)*(TYPE3&lt;&gt;"")+('Dvd Calendar'!$AR$170=TYPE4)*(TYPE4&lt;&gt;"")+('Dvd Calendar'!$AR$170=SPECIAL_LBL)*(INC_SPECIALS="Y"))=0,"",'Dvd Calendar'!$AR$168)))</f>
        <v/>
      </c>
      <c r="AQ26" s="110">
        <f>IF(FS26="","",IF(ISNUMBER('Dvd Calendar'!$E$173)=FALSE,"",'Dvd Calendar'!$E$173))</f>
        <v/>
      </c>
      <c r="AR26" s="110">
        <f>IF(FT26="","",IF(ISNUMBER('Dvd Calendar'!$F$173)=FALSE,"",'Dvd Calendar'!$F$173))</f>
        <v/>
      </c>
      <c r="AS26" s="110">
        <f>IF(FU26="","",IF(ISNUMBER('Dvd Calendar'!$G$173)=FALSE,"",'Dvd Calendar'!$G$173))</f>
        <v/>
      </c>
      <c r="AT26" s="110">
        <f>IF(FV26="","",IF(ISNUMBER('Dvd Calendar'!$H$173)=FALSE,"",'Dvd Calendar'!$H$173))</f>
        <v/>
      </c>
      <c r="AU26" s="110">
        <f>IF(FW26="","",IF(ISNUMBER('Dvd Calendar'!$I$173)=FALSE,"",'Dvd Calendar'!$I$173))</f>
        <v/>
      </c>
      <c r="AV26" s="110">
        <f>IF(FX26="","",IF(ISNUMBER('Dvd Calendar'!$J$173)=FALSE,"",'Dvd Calendar'!$J$173))</f>
        <v/>
      </c>
      <c r="AW26" s="110">
        <f>IF(FY26="","",IF(ISNUMBER('Dvd Calendar'!$K$173)=FALSE,"",'Dvd Calendar'!$K$173))</f>
        <v/>
      </c>
      <c r="AX26" s="110">
        <f>IF(FZ26="","",IF(ISNUMBER('Dvd Calendar'!$L$173)=FALSE,"",'Dvd Calendar'!$L$173))</f>
        <v/>
      </c>
      <c r="AY26" s="110">
        <f>IF(GA26="","",IF(ISNUMBER('Dvd Calendar'!$M$173)=FALSE,"",'Dvd Calendar'!$M$173))</f>
        <v/>
      </c>
      <c r="AZ26" s="110">
        <f>IF(GB26="","",IF(ISNUMBER('Dvd Calendar'!$N$173)=FALSE,"",'Dvd Calendar'!$N$173))</f>
        <v/>
      </c>
      <c r="BA26" s="110">
        <f>IF(GC26="","",IF(ISNUMBER('Dvd Calendar'!$O$173)=FALSE,"",'Dvd Calendar'!$O$173))</f>
        <v/>
      </c>
      <c r="BB26" s="110">
        <f>IF(GD26="","",IF(ISNUMBER('Dvd Calendar'!$P$173)=FALSE,"",'Dvd Calendar'!$P$173))</f>
        <v/>
      </c>
      <c r="BC26" s="110">
        <f>IF(GE26="","",IF(ISNUMBER('Dvd Calendar'!$Q$173)=FALSE,"",'Dvd Calendar'!$Q$173))</f>
        <v/>
      </c>
      <c r="BD26" s="110">
        <f>IF(GF26="","",IF(ISNUMBER('Dvd Calendar'!$R$173)=FALSE,"",'Dvd Calendar'!$R$173))</f>
        <v/>
      </c>
      <c r="BE26" s="110">
        <f>IF(GG26="","",IF(ISNUMBER('Dvd Calendar'!$S$173)=FALSE,"",'Dvd Calendar'!$S$173))</f>
        <v/>
      </c>
      <c r="BF26" s="110">
        <f>IF(GH26="","",IF(ISNUMBER('Dvd Calendar'!$T$173)=FALSE,"",'Dvd Calendar'!$T$173))</f>
        <v/>
      </c>
      <c r="BG26" s="110">
        <f>IF(GI26="","",IF(ISNUMBER('Dvd Calendar'!$U$173)=FALSE,"",'Dvd Calendar'!$U$173))</f>
        <v/>
      </c>
      <c r="BH26" s="110">
        <f>IF(GJ26="","",IF(ISNUMBER('Dvd Calendar'!$V$173)=FALSE,"",'Dvd Calendar'!$V$173))</f>
        <v/>
      </c>
      <c r="BI26" s="110">
        <f>IF(GK26="","",IF(ISNUMBER('Dvd Calendar'!$W$173)=FALSE,"",'Dvd Calendar'!$W$173))</f>
        <v/>
      </c>
      <c r="BJ26" s="110">
        <f>IF(GL26="","",IF(ISNUMBER('Dvd Calendar'!$X$173)=FALSE,"",'Dvd Calendar'!$X$173))</f>
        <v/>
      </c>
      <c r="BK26" s="110">
        <f>IF(GM26="","",IF(ISNUMBER('Dvd Calendar'!$Y$173)=FALSE,"",'Dvd Calendar'!$Y$173))</f>
        <v/>
      </c>
      <c r="BL26" s="110">
        <f>IF(GN26="","",IF(ISNUMBER('Dvd Calendar'!$Z$173)=FALSE,"",'Dvd Calendar'!$Z$173))</f>
        <v/>
      </c>
      <c r="BM26" s="110">
        <f>IF(GO26="","",IF(ISNUMBER('Dvd Calendar'!$AA$173)=FALSE,"",'Dvd Calendar'!$AA$173))</f>
        <v/>
      </c>
      <c r="BN26" s="110">
        <f>IF(GP26="","",IF(ISNUMBER('Dvd Calendar'!$AB$173)=FALSE,"",'Dvd Calendar'!$AB$173))</f>
        <v/>
      </c>
      <c r="BO26" s="110">
        <f>IF(GQ26="","",IF(ISNUMBER('Dvd Calendar'!$AC$173)=FALSE,"",'Dvd Calendar'!$AC$173))</f>
        <v/>
      </c>
      <c r="BQ26" s="110">
        <f>IF(C26="","",IFERROR(C26*HSI!$B$21*HSI!$G$21/HSI!$B$3,""))</f>
        <v/>
      </c>
      <c r="BR26" s="110">
        <f>IF(D26="","",IFERROR(D26*HSI!$B$21*HSI!$G$21/HSI!$B$3,""))</f>
        <v/>
      </c>
      <c r="BS26" s="110">
        <f>IF(E26="","",IFERROR(E26*HSI!$B$21*HSI!$G$21/HSI!$B$3,""))</f>
        <v/>
      </c>
      <c r="BT26" s="110">
        <f>IF(F26="","",IFERROR(F26*HSI!$B$21*HSI!$G$21/HSI!$B$3,""))</f>
        <v/>
      </c>
      <c r="BU26" s="110">
        <f>IF(G26="","",IFERROR(G26*HSI!$B$21*HSI!$G$21/HSI!$B$3,""))</f>
        <v/>
      </c>
      <c r="BV26" s="110">
        <f>IF(H26="","",IFERROR(H26*HSI!$B$21*HSI!$G$21/HSI!$B$3,""))</f>
        <v/>
      </c>
      <c r="BW26" s="110">
        <f>IF(I26="","",IFERROR(I26*HSI!$B$21*HSI!$G$21/HSI!$B$3,""))</f>
        <v/>
      </c>
      <c r="BX26" s="110">
        <f>IF(J26="","",IFERROR(J26*HSI!$B$21*HSI!$G$21/HSI!$B$3,""))</f>
        <v/>
      </c>
      <c r="BY26" s="110">
        <f>IF(K26="","",IFERROR(K26*HSI!$B$21*HSI!$G$21/HSI!$B$3,""))</f>
        <v/>
      </c>
      <c r="BZ26" s="110">
        <f>IF(L26="","",IFERROR(L26*HSI!$B$21*HSI!$G$21/HSI!$B$3,""))</f>
        <v/>
      </c>
      <c r="CA26" s="110">
        <f>IF(M26="","",IFERROR(M26*HSI!$B$21*HSI!$G$21/HSI!$B$3,""))</f>
        <v/>
      </c>
      <c r="CB26" s="110">
        <f>IF(N26="","",IFERROR(N26*HSI!$B$21*HSI!$G$21/HSI!$B$3,""))</f>
        <v/>
      </c>
      <c r="CC26" s="110">
        <f>IF(O26="","",IFERROR(O26*HSI!$B$21*HSI!$G$21/HSI!$B$3,""))</f>
        <v/>
      </c>
      <c r="CD26" s="110">
        <f>IF(P26="","",IFERROR(P26*HSI!$B$21*HSI!$G$21/HSI!$B$3,""))</f>
        <v/>
      </c>
      <c r="CE26" s="110">
        <f>IF(Q26="","",IFERROR(Q26*HSI!$B$21*HSI!$G$21/HSI!$B$3,""))</f>
        <v/>
      </c>
      <c r="CF26" s="110">
        <f>IF(R26="","",IFERROR(R26*HSI!$B$21*HSI!$G$21/HSI!$B$3,""))</f>
        <v/>
      </c>
      <c r="CG26" s="110">
        <f>IF(S26="","",IFERROR(S26*HSI!$B$21*HSI!$G$21/HSI!$B$3,""))</f>
        <v/>
      </c>
      <c r="CH26" s="110">
        <f>IF(T26="","",IFERROR(T26*HSI!$B$21*HSI!$G$21/HSI!$B$3,""))</f>
        <v/>
      </c>
      <c r="CI26" s="110">
        <f>IF(U26="","",IFERROR(U26*HSI!$B$21*HSI!$G$21/HSI!$B$3,""))</f>
        <v/>
      </c>
      <c r="CJ26" s="110">
        <f>IF(V26="","",IFERROR(V26*HSI!$B$21*HSI!$G$21/HSI!$B$3,""))</f>
        <v/>
      </c>
      <c r="CK26" s="110">
        <f>IF(W26="","",IFERROR(W26*HSI!$B$21*HSI!$G$21/HSI!$B$3,""))</f>
        <v/>
      </c>
      <c r="CL26" s="110">
        <f>IF(X26="","",IFERROR(X26*HSI!$B$21*HSI!$G$21/HSI!$B$3,""))</f>
        <v/>
      </c>
      <c r="CM26" s="110">
        <f>IF(Y26="","",IFERROR(Y26*HSI!$B$21*HSI!$G$21/HSI!$B$3,""))</f>
        <v/>
      </c>
      <c r="CN26" s="110">
        <f>IF(Z26="","",IFERROR(Z26*HSI!$B$21*HSI!$G$21/HSI!$B$3,""))</f>
        <v/>
      </c>
      <c r="CO26" s="110">
        <f>IF(AA26="","",IFERROR(AA26*HSI!$B$21*HSI!$G$21/HSI!$B$3,""))</f>
        <v/>
      </c>
      <c r="CP26" s="110">
        <f>IF(AB26="","",IFERROR(AB26*HSI!$B$21*HSI!$G$21/HSI!$B$3,""))</f>
        <v/>
      </c>
      <c r="CQ26" s="110">
        <f>IF(AC26="","",IFERROR(AC26*HSI!$B$21*HSI!$G$21/HSI!$B$3,""))</f>
        <v/>
      </c>
      <c r="CR26" s="110">
        <f>IF(AD26="","",IFERROR(AD26*HSI!$B$21*HSI!$G$21/HSI!$B$3,""))</f>
        <v/>
      </c>
      <c r="CS26" s="110">
        <f>IF(AE26="","",IFERROR(AE26*HSI!$B$21*HSI!$G$21/HSI!$B$3,""))</f>
        <v/>
      </c>
      <c r="CT26" s="110">
        <f>IF(AF26="","",IFERROR(AF26*HSI!$B$21*HSI!$G$21/HSI!$B$3,""))</f>
        <v/>
      </c>
      <c r="CU26" s="110">
        <f>IF(AG26="","",IFERROR(AG26*HSI!$B$21*HSI!$G$21/HSI!$B$3,""))</f>
        <v/>
      </c>
      <c r="CV26" s="110">
        <f>IF(AH26="","",IFERROR(AH26*HSI!$B$21*HSI!$G$21/HSI!$B$3,""))</f>
        <v/>
      </c>
      <c r="CW26" s="110">
        <f>IF(AI26="","",IFERROR(AI26*HSI!$B$21*HSI!$G$21/HSI!$B$3,""))</f>
        <v/>
      </c>
      <c r="CX26" s="110">
        <f>IF(AJ26="","",IFERROR(AJ26*HSI!$B$21*HSI!$G$21/HSI!$B$3,""))</f>
        <v/>
      </c>
      <c r="CY26" s="110">
        <f>IF(AK26="","",IFERROR(AK26*HSI!$B$21*HSI!$G$21/HSI!$B$3,""))</f>
        <v/>
      </c>
      <c r="CZ26" s="110">
        <f>IF(AL26="","",IFERROR(AL26*HSI!$B$21*HSI!$G$21/HSI!$B$3,""))</f>
        <v/>
      </c>
      <c r="DA26" s="110">
        <f>IF(AM26="","",IFERROR(AM26*HSI!$B$21*HSI!$G$21/HSI!$B$3,""))</f>
        <v/>
      </c>
      <c r="DB26" s="110">
        <f>IF(AN26="","",IFERROR(AN26*HSI!$B$21*HSI!$G$21/HSI!$B$3,""))</f>
        <v/>
      </c>
      <c r="DC26" s="110">
        <f>IF(AO26="","",IFERROR(AO26*HSI!$B$21*HSI!$G$21/HSI!$B$3,""))</f>
        <v/>
      </c>
      <c r="DD26" s="110">
        <f>IF(AP26="","",IFERROR(AP26*HSI!$B$21*HSI!$G$21/HSI!$B$3,""))</f>
        <v/>
      </c>
      <c r="DE26" s="110">
        <f>IF(AQ26="","",IFERROR(AQ26*HSI!$B$21*HSI!$G$21/HSI!$B$3,""))</f>
        <v/>
      </c>
      <c r="DF26" s="110">
        <f>IF(AR26="","",IFERROR(AR26*HSI!$B$21*HSI!$G$21/HSI!$B$3,""))</f>
        <v/>
      </c>
      <c r="DG26" s="110">
        <f>IF(AS26="","",IFERROR(AS26*HSI!$B$21*HSI!$G$21/HSI!$B$3,""))</f>
        <v/>
      </c>
      <c r="DH26" s="110">
        <f>IF(AT26="","",IFERROR(AT26*HSI!$B$21*HSI!$G$21/HSI!$B$3,""))</f>
        <v/>
      </c>
      <c r="DI26" s="110">
        <f>IF(AU26="","",IFERROR(AU26*HSI!$B$21*HSI!$G$21/HSI!$B$3,""))</f>
        <v/>
      </c>
      <c r="DJ26" s="110">
        <f>IF(AV26="","",IFERROR(AV26*HSI!$B$21*HSI!$G$21/HSI!$B$3,""))</f>
        <v/>
      </c>
      <c r="DK26" s="110">
        <f>IF(AW26="","",IFERROR(AW26*HSI!$B$21*HSI!$G$21/HSI!$B$3,""))</f>
        <v/>
      </c>
      <c r="DL26" s="110">
        <f>IF(AX26="","",IFERROR(AX26*HSI!$B$21*HSI!$G$21/HSI!$B$3,""))</f>
        <v/>
      </c>
      <c r="DM26" s="110">
        <f>IF(AY26="","",IFERROR(AY26*HSI!$B$21*HSI!$G$21/HSI!$B$3,""))</f>
        <v/>
      </c>
      <c r="DN26" s="110">
        <f>IF(AZ26="","",IFERROR(AZ26*HSI!$B$21*HSI!$G$21/HSI!$B$3,""))</f>
        <v/>
      </c>
      <c r="DO26" s="110">
        <f>IF(BA26="","",IFERROR(BA26*HSI!$B$21*HSI!$G$21/HSI!$B$3,""))</f>
        <v/>
      </c>
      <c r="DP26" s="110">
        <f>IF(BB26="","",IFERROR(BB26*HSI!$B$21*HSI!$G$21/HSI!$B$3,""))</f>
        <v/>
      </c>
      <c r="DQ26" s="110">
        <f>IF(BC26="","",IFERROR(BC26*HSI!$B$21*HSI!$G$21/HSI!$B$3,""))</f>
        <v/>
      </c>
      <c r="DR26" s="110">
        <f>IF(BD26="","",IFERROR(BD26*HSI!$B$21*HSI!$G$21/HSI!$B$3,""))</f>
        <v/>
      </c>
      <c r="DS26" s="110">
        <f>IF(BE26="","",IFERROR(BE26*HSI!$B$21*HSI!$G$21/HSI!$B$3,""))</f>
        <v/>
      </c>
      <c r="DT26" s="110">
        <f>IF(BF26="","",IFERROR(BF26*HSI!$B$21*HSI!$G$21/HSI!$B$3,""))</f>
        <v/>
      </c>
      <c r="DU26" s="110">
        <f>IF(BG26="","",IFERROR(BG26*HSI!$B$21*HSI!$G$21/HSI!$B$3,""))</f>
        <v/>
      </c>
      <c r="DV26" s="110">
        <f>IF(BH26="","",IFERROR(BH26*HSI!$B$21*HSI!$G$21/HSI!$B$3,""))</f>
        <v/>
      </c>
      <c r="DW26" s="110">
        <f>IF(BI26="","",IFERROR(BI26*HSI!$B$21*HSI!$G$21/HSI!$B$3,""))</f>
        <v/>
      </c>
      <c r="DX26" s="110">
        <f>IF(BJ26="","",IFERROR(BJ26*HSI!$B$21*HSI!$G$21/HSI!$B$3,""))</f>
        <v/>
      </c>
      <c r="DY26" s="110">
        <f>IF(BK26="","",IFERROR(BK26*HSI!$B$21*HSI!$G$21/HSI!$B$3,""))</f>
        <v/>
      </c>
      <c r="DZ26" s="110">
        <f>IF(BL26="","",IFERROR(BL26*HSI!$B$21*HSI!$G$21/HSI!$B$3,""))</f>
        <v/>
      </c>
      <c r="EA26" s="110">
        <f>IF(BM26="","",IFERROR(BM26*HSI!$B$21*HSI!$G$21/HSI!$B$3,""))</f>
        <v/>
      </c>
      <c r="EB26" s="110">
        <f>IF(BN26="","",IFERROR(BN26*HSI!$B$21*HSI!$G$21/HSI!$B$3,""))</f>
        <v/>
      </c>
      <c r="EC26" s="110">
        <f>IF(BO26="","",IFERROR(BO26*HSI!$B$21*HSI!$G$21/HSI!$B$3,""))</f>
        <v/>
      </c>
      <c r="EE26" s="39">
        <f>IF(N('Dvd Calendar'!$E$165)=0,"",IF(('Dvd Calendar'!$E$165&gt;=GRID_FROM)*('Dvd Calendar'!$E$165&lt;=GRID_TO)*((('Dvd Calendar'!$E$165&lt;=VAL_DATE)+(COUNTIF('Dvd Calendar'!$E$172:$AR$172,'Dvd Calendar'!$E$165)=0))&gt;0)=0,"",'Dvd Calendar'!$E$165*1000000000+ISNUMBER('Dvd Calendar'!$E$168)*100000000+('Dvd Calendar'!$E$170=SPECIAL_LBL)*10000000+(N('Dvd Calendar'!$E$164)&gt;0)*(N('Dvd Calendar'!$E$164)&lt;=VAL_SERIAL)*1000000+15*1000+1))</f>
        <v/>
      </c>
      <c r="EF26" s="39">
        <f>IF(N('Dvd Calendar'!$F$165)=0,"",IF(('Dvd Calendar'!$F$165&gt;=GRID_FROM)*('Dvd Calendar'!$F$165&lt;=GRID_TO)*((('Dvd Calendar'!$F$165&lt;=VAL_DATE)+(COUNTIF('Dvd Calendar'!$E$172:$AR$172,'Dvd Calendar'!$F$165)=0))&gt;0)=0,"",'Dvd Calendar'!$F$165*1000000000+ISNUMBER('Dvd Calendar'!$F$168)*100000000+('Dvd Calendar'!$F$170=SPECIAL_LBL)*10000000+(N('Dvd Calendar'!$F$164)&gt;0)*(N('Dvd Calendar'!$F$164)&lt;=VAL_SERIAL)*1000000+15*1000+2))</f>
        <v/>
      </c>
      <c r="EG26" s="39">
        <f>IF(N('Dvd Calendar'!$G$165)=0,"",IF(('Dvd Calendar'!$G$165&gt;=GRID_FROM)*('Dvd Calendar'!$G$165&lt;=GRID_TO)*((('Dvd Calendar'!$G$165&lt;=VAL_DATE)+(COUNTIF('Dvd Calendar'!$E$172:$AR$172,'Dvd Calendar'!$G$165)=0))&gt;0)=0,"",'Dvd Calendar'!$G$165*1000000000+ISNUMBER('Dvd Calendar'!$G$168)*100000000+('Dvd Calendar'!$G$170=SPECIAL_LBL)*10000000+(N('Dvd Calendar'!$G$164)&gt;0)*(N('Dvd Calendar'!$G$164)&lt;=VAL_SERIAL)*1000000+15*1000+3))</f>
        <v/>
      </c>
      <c r="EH26" s="39">
        <f>IF(N('Dvd Calendar'!$H$165)=0,"",IF(('Dvd Calendar'!$H$165&gt;=GRID_FROM)*('Dvd Calendar'!$H$165&lt;=GRID_TO)*((('Dvd Calendar'!$H$165&lt;=VAL_DATE)+(COUNTIF('Dvd Calendar'!$E$172:$AR$172,'Dvd Calendar'!$H$165)=0))&gt;0)=0,"",'Dvd Calendar'!$H$165*1000000000+ISNUMBER('Dvd Calendar'!$H$168)*100000000+('Dvd Calendar'!$H$170=SPECIAL_LBL)*10000000+(N('Dvd Calendar'!$H$164)&gt;0)*(N('Dvd Calendar'!$H$164)&lt;=VAL_SERIAL)*1000000+15*1000+4))</f>
        <v/>
      </c>
      <c r="EI26" s="39">
        <f>IF(N('Dvd Calendar'!$I$165)=0,"",IF(('Dvd Calendar'!$I$165&gt;=GRID_FROM)*('Dvd Calendar'!$I$165&lt;=GRID_TO)*((('Dvd Calendar'!$I$165&lt;=VAL_DATE)+(COUNTIF('Dvd Calendar'!$E$172:$AR$172,'Dvd Calendar'!$I$165)=0))&gt;0)=0,"",'Dvd Calendar'!$I$165*1000000000+ISNUMBER('Dvd Calendar'!$I$168)*100000000+('Dvd Calendar'!$I$170=SPECIAL_LBL)*10000000+(N('Dvd Calendar'!$I$164)&gt;0)*(N('Dvd Calendar'!$I$164)&lt;=VAL_SERIAL)*1000000+15*1000+5))</f>
        <v/>
      </c>
      <c r="EJ26" s="39">
        <f>IF(N('Dvd Calendar'!$J$165)=0,"",IF(('Dvd Calendar'!$J$165&gt;=GRID_FROM)*('Dvd Calendar'!$J$165&lt;=GRID_TO)*((('Dvd Calendar'!$J$165&lt;=VAL_DATE)+(COUNTIF('Dvd Calendar'!$E$172:$AR$172,'Dvd Calendar'!$J$165)=0))&gt;0)=0,"",'Dvd Calendar'!$J$165*1000000000+ISNUMBER('Dvd Calendar'!$J$168)*100000000+('Dvd Calendar'!$J$170=SPECIAL_LBL)*10000000+(N('Dvd Calendar'!$J$164)&gt;0)*(N('Dvd Calendar'!$J$164)&lt;=VAL_SERIAL)*1000000+15*1000+6))</f>
        <v/>
      </c>
      <c r="EK26" s="39">
        <f>IF(N('Dvd Calendar'!$K$165)=0,"",IF(('Dvd Calendar'!$K$165&gt;=GRID_FROM)*('Dvd Calendar'!$K$165&lt;=GRID_TO)*((('Dvd Calendar'!$K$165&lt;=VAL_DATE)+(COUNTIF('Dvd Calendar'!$E$172:$AR$172,'Dvd Calendar'!$K$165)=0))&gt;0)=0,"",'Dvd Calendar'!$K$165*1000000000+ISNUMBER('Dvd Calendar'!$K$168)*100000000+('Dvd Calendar'!$K$170=SPECIAL_LBL)*10000000+(N('Dvd Calendar'!$K$164)&gt;0)*(N('Dvd Calendar'!$K$164)&lt;=VAL_SERIAL)*1000000+15*1000+7))</f>
        <v/>
      </c>
      <c r="EL26" s="39">
        <f>IF(N('Dvd Calendar'!$L$165)=0,"",IF(('Dvd Calendar'!$L$165&gt;=GRID_FROM)*('Dvd Calendar'!$L$165&lt;=GRID_TO)*((('Dvd Calendar'!$L$165&lt;=VAL_DATE)+(COUNTIF('Dvd Calendar'!$E$172:$AR$172,'Dvd Calendar'!$L$165)=0))&gt;0)=0,"",'Dvd Calendar'!$L$165*1000000000+ISNUMBER('Dvd Calendar'!$L$168)*100000000+('Dvd Calendar'!$L$170=SPECIAL_LBL)*10000000+(N('Dvd Calendar'!$L$164)&gt;0)*(N('Dvd Calendar'!$L$164)&lt;=VAL_SERIAL)*1000000+15*1000+8))</f>
        <v/>
      </c>
      <c r="EM26" s="39">
        <f>IF(N('Dvd Calendar'!$M$165)=0,"",IF(('Dvd Calendar'!$M$165&gt;=GRID_FROM)*('Dvd Calendar'!$M$165&lt;=GRID_TO)*((('Dvd Calendar'!$M$165&lt;=VAL_DATE)+(COUNTIF('Dvd Calendar'!$E$172:$AR$172,'Dvd Calendar'!$M$165)=0))&gt;0)=0,"",'Dvd Calendar'!$M$165*1000000000+ISNUMBER('Dvd Calendar'!$M$168)*100000000+('Dvd Calendar'!$M$170=SPECIAL_LBL)*10000000+(N('Dvd Calendar'!$M$164)&gt;0)*(N('Dvd Calendar'!$M$164)&lt;=VAL_SERIAL)*1000000+15*1000+9))</f>
        <v/>
      </c>
      <c r="EN26" s="39">
        <f>IF(N('Dvd Calendar'!$N$165)=0,"",IF(('Dvd Calendar'!$N$165&gt;=GRID_FROM)*('Dvd Calendar'!$N$165&lt;=GRID_TO)*((('Dvd Calendar'!$N$165&lt;=VAL_DATE)+(COUNTIF('Dvd Calendar'!$E$172:$AR$172,'Dvd Calendar'!$N$165)=0))&gt;0)=0,"",'Dvd Calendar'!$N$165*1000000000+ISNUMBER('Dvd Calendar'!$N$168)*100000000+('Dvd Calendar'!$N$170=SPECIAL_LBL)*10000000+(N('Dvd Calendar'!$N$164)&gt;0)*(N('Dvd Calendar'!$N$164)&lt;=VAL_SERIAL)*1000000+15*1000+10))</f>
        <v/>
      </c>
      <c r="EO26" s="39">
        <f>IF(N('Dvd Calendar'!$O$165)=0,"",IF(('Dvd Calendar'!$O$165&gt;=GRID_FROM)*('Dvd Calendar'!$O$165&lt;=GRID_TO)*((('Dvd Calendar'!$O$165&lt;=VAL_DATE)+(COUNTIF('Dvd Calendar'!$E$172:$AR$172,'Dvd Calendar'!$O$165)=0))&gt;0)=0,"",'Dvd Calendar'!$O$165*1000000000+ISNUMBER('Dvd Calendar'!$O$168)*100000000+('Dvd Calendar'!$O$170=SPECIAL_LBL)*10000000+(N('Dvd Calendar'!$O$164)&gt;0)*(N('Dvd Calendar'!$O$164)&lt;=VAL_SERIAL)*1000000+15*1000+11))</f>
        <v/>
      </c>
      <c r="EP26" s="39">
        <f>IF(N('Dvd Calendar'!$P$165)=0,"",IF(('Dvd Calendar'!$P$165&gt;=GRID_FROM)*('Dvd Calendar'!$P$165&lt;=GRID_TO)*((('Dvd Calendar'!$P$165&lt;=VAL_DATE)+(COUNTIF('Dvd Calendar'!$E$172:$AR$172,'Dvd Calendar'!$P$165)=0))&gt;0)=0,"",'Dvd Calendar'!$P$165*1000000000+ISNUMBER('Dvd Calendar'!$P$168)*100000000+('Dvd Calendar'!$P$170=SPECIAL_LBL)*10000000+(N('Dvd Calendar'!$P$164)&gt;0)*(N('Dvd Calendar'!$P$164)&lt;=VAL_SERIAL)*1000000+15*1000+12))</f>
        <v/>
      </c>
      <c r="EQ26" s="39">
        <f>IF(N('Dvd Calendar'!$Q$165)=0,"",IF(('Dvd Calendar'!$Q$165&gt;=GRID_FROM)*('Dvd Calendar'!$Q$165&lt;=GRID_TO)*((('Dvd Calendar'!$Q$165&lt;=VAL_DATE)+(COUNTIF('Dvd Calendar'!$E$172:$AR$172,'Dvd Calendar'!$Q$165)=0))&gt;0)=0,"",'Dvd Calendar'!$Q$165*1000000000+ISNUMBER('Dvd Calendar'!$Q$168)*100000000+('Dvd Calendar'!$Q$170=SPECIAL_LBL)*10000000+(N('Dvd Calendar'!$Q$164)&gt;0)*(N('Dvd Calendar'!$Q$164)&lt;=VAL_SERIAL)*1000000+15*1000+13))</f>
        <v/>
      </c>
      <c r="ER26" s="39">
        <f>IF(N('Dvd Calendar'!$R$165)=0,"",IF(('Dvd Calendar'!$R$165&gt;=GRID_FROM)*('Dvd Calendar'!$R$165&lt;=GRID_TO)*((('Dvd Calendar'!$R$165&lt;=VAL_DATE)+(COUNTIF('Dvd Calendar'!$E$172:$AR$172,'Dvd Calendar'!$R$165)=0))&gt;0)=0,"",'Dvd Calendar'!$R$165*1000000000+ISNUMBER('Dvd Calendar'!$R$168)*100000000+('Dvd Calendar'!$R$170=SPECIAL_LBL)*10000000+(N('Dvd Calendar'!$R$164)&gt;0)*(N('Dvd Calendar'!$R$164)&lt;=VAL_SERIAL)*1000000+15*1000+14))</f>
        <v/>
      </c>
      <c r="ES26" s="39">
        <f>IF(N('Dvd Calendar'!$S$165)=0,"",IF(('Dvd Calendar'!$S$165&gt;=GRID_FROM)*('Dvd Calendar'!$S$165&lt;=GRID_TO)*((('Dvd Calendar'!$S$165&lt;=VAL_DATE)+(COUNTIF('Dvd Calendar'!$E$172:$AR$172,'Dvd Calendar'!$S$165)=0))&gt;0)=0,"",'Dvd Calendar'!$S$165*1000000000+ISNUMBER('Dvd Calendar'!$S$168)*100000000+('Dvd Calendar'!$S$170=SPECIAL_LBL)*10000000+(N('Dvd Calendar'!$S$164)&gt;0)*(N('Dvd Calendar'!$S$164)&lt;=VAL_SERIAL)*1000000+15*1000+15))</f>
        <v/>
      </c>
      <c r="ET26" s="39">
        <f>IF(N('Dvd Calendar'!$T$165)=0,"",IF(('Dvd Calendar'!$T$165&gt;=GRID_FROM)*('Dvd Calendar'!$T$165&lt;=GRID_TO)*((('Dvd Calendar'!$T$165&lt;=VAL_DATE)+(COUNTIF('Dvd Calendar'!$E$172:$AR$172,'Dvd Calendar'!$T$165)=0))&gt;0)=0,"",'Dvd Calendar'!$T$165*1000000000+ISNUMBER('Dvd Calendar'!$T$168)*100000000+('Dvd Calendar'!$T$170=SPECIAL_LBL)*10000000+(N('Dvd Calendar'!$T$164)&gt;0)*(N('Dvd Calendar'!$T$164)&lt;=VAL_SERIAL)*1000000+15*1000+16))</f>
        <v/>
      </c>
      <c r="EU26" s="39">
        <f>IF(N('Dvd Calendar'!$U$165)=0,"",IF(('Dvd Calendar'!$U$165&gt;=GRID_FROM)*('Dvd Calendar'!$U$165&lt;=GRID_TO)*((('Dvd Calendar'!$U$165&lt;=VAL_DATE)+(COUNTIF('Dvd Calendar'!$E$172:$AR$172,'Dvd Calendar'!$U$165)=0))&gt;0)=0,"",'Dvd Calendar'!$U$165*1000000000+ISNUMBER('Dvd Calendar'!$U$168)*100000000+('Dvd Calendar'!$U$170=SPECIAL_LBL)*10000000+(N('Dvd Calendar'!$U$164)&gt;0)*(N('Dvd Calendar'!$U$164)&lt;=VAL_SERIAL)*1000000+15*1000+17))</f>
        <v/>
      </c>
      <c r="EV26" s="39">
        <f>IF(N('Dvd Calendar'!$V$165)=0,"",IF(('Dvd Calendar'!$V$165&gt;=GRID_FROM)*('Dvd Calendar'!$V$165&lt;=GRID_TO)*((('Dvd Calendar'!$V$165&lt;=VAL_DATE)+(COUNTIF('Dvd Calendar'!$E$172:$AR$172,'Dvd Calendar'!$V$165)=0))&gt;0)=0,"",'Dvd Calendar'!$V$165*1000000000+ISNUMBER('Dvd Calendar'!$V$168)*100000000+('Dvd Calendar'!$V$170=SPECIAL_LBL)*10000000+(N('Dvd Calendar'!$V$164)&gt;0)*(N('Dvd Calendar'!$V$164)&lt;=VAL_SERIAL)*1000000+15*1000+18))</f>
        <v/>
      </c>
      <c r="EW26" s="39">
        <f>IF(N('Dvd Calendar'!$W$165)=0,"",IF(('Dvd Calendar'!$W$165&gt;=GRID_FROM)*('Dvd Calendar'!$W$165&lt;=GRID_TO)*((('Dvd Calendar'!$W$165&lt;=VAL_DATE)+(COUNTIF('Dvd Calendar'!$E$172:$AR$172,'Dvd Calendar'!$W$165)=0))&gt;0)=0,"",'Dvd Calendar'!$W$165*1000000000+ISNUMBER('Dvd Calendar'!$W$168)*100000000+('Dvd Calendar'!$W$170=SPECIAL_LBL)*10000000+(N('Dvd Calendar'!$W$164)&gt;0)*(N('Dvd Calendar'!$W$164)&lt;=VAL_SERIAL)*1000000+15*1000+19))</f>
        <v/>
      </c>
      <c r="EX26" s="39">
        <f>IF(N('Dvd Calendar'!$X$165)=0,"",IF(('Dvd Calendar'!$X$165&gt;=GRID_FROM)*('Dvd Calendar'!$X$165&lt;=GRID_TO)*((('Dvd Calendar'!$X$165&lt;=VAL_DATE)+(COUNTIF('Dvd Calendar'!$E$172:$AR$172,'Dvd Calendar'!$X$165)=0))&gt;0)=0,"",'Dvd Calendar'!$X$165*1000000000+ISNUMBER('Dvd Calendar'!$X$168)*100000000+('Dvd Calendar'!$X$170=SPECIAL_LBL)*10000000+(N('Dvd Calendar'!$X$164)&gt;0)*(N('Dvd Calendar'!$X$164)&lt;=VAL_SERIAL)*1000000+15*1000+20))</f>
        <v/>
      </c>
      <c r="EY26" s="39">
        <f>IF(N('Dvd Calendar'!$Y$165)=0,"",IF(('Dvd Calendar'!$Y$165&gt;=GRID_FROM)*('Dvd Calendar'!$Y$165&lt;=GRID_TO)*((('Dvd Calendar'!$Y$165&lt;=VAL_DATE)+(COUNTIF('Dvd Calendar'!$E$172:$AR$172,'Dvd Calendar'!$Y$165)=0))&gt;0)=0,"",'Dvd Calendar'!$Y$165*1000000000+ISNUMBER('Dvd Calendar'!$Y$168)*100000000+('Dvd Calendar'!$Y$170=SPECIAL_LBL)*10000000+(N('Dvd Calendar'!$Y$164)&gt;0)*(N('Dvd Calendar'!$Y$164)&lt;=VAL_SERIAL)*1000000+15*1000+21))</f>
        <v/>
      </c>
      <c r="EZ26" s="39">
        <f>IF(N('Dvd Calendar'!$Z$165)=0,"",IF(('Dvd Calendar'!$Z$165&gt;=GRID_FROM)*('Dvd Calendar'!$Z$165&lt;=GRID_TO)*((('Dvd Calendar'!$Z$165&lt;=VAL_DATE)+(COUNTIF('Dvd Calendar'!$E$172:$AR$172,'Dvd Calendar'!$Z$165)=0))&gt;0)=0,"",'Dvd Calendar'!$Z$165*1000000000+ISNUMBER('Dvd Calendar'!$Z$168)*100000000+('Dvd Calendar'!$Z$170=SPECIAL_LBL)*10000000+(N('Dvd Calendar'!$Z$164)&gt;0)*(N('Dvd Calendar'!$Z$164)&lt;=VAL_SERIAL)*1000000+15*1000+22))</f>
        <v/>
      </c>
      <c r="FA26" s="39">
        <f>IF(N('Dvd Calendar'!$AA$165)=0,"",IF(('Dvd Calendar'!$AA$165&gt;=GRID_FROM)*('Dvd Calendar'!$AA$165&lt;=GRID_TO)*((('Dvd Calendar'!$AA$165&lt;=VAL_DATE)+(COUNTIF('Dvd Calendar'!$E$172:$AR$172,'Dvd Calendar'!$AA$165)=0))&gt;0)=0,"",'Dvd Calendar'!$AA$165*1000000000+ISNUMBER('Dvd Calendar'!$AA$168)*100000000+('Dvd Calendar'!$AA$170=SPECIAL_LBL)*10000000+(N('Dvd Calendar'!$AA$164)&gt;0)*(N('Dvd Calendar'!$AA$164)&lt;=VAL_SERIAL)*1000000+15*1000+23))</f>
        <v/>
      </c>
      <c r="FB26" s="39">
        <f>IF(N('Dvd Calendar'!$AB$165)=0,"",IF(('Dvd Calendar'!$AB$165&gt;=GRID_FROM)*('Dvd Calendar'!$AB$165&lt;=GRID_TO)*((('Dvd Calendar'!$AB$165&lt;=VAL_DATE)+(COUNTIF('Dvd Calendar'!$E$172:$AR$172,'Dvd Calendar'!$AB$165)=0))&gt;0)=0,"",'Dvd Calendar'!$AB$165*1000000000+ISNUMBER('Dvd Calendar'!$AB$168)*100000000+('Dvd Calendar'!$AB$170=SPECIAL_LBL)*10000000+(N('Dvd Calendar'!$AB$164)&gt;0)*(N('Dvd Calendar'!$AB$164)&lt;=VAL_SERIAL)*1000000+15*1000+24))</f>
        <v/>
      </c>
      <c r="FC26" s="39">
        <f>IF(N('Dvd Calendar'!$AC$165)=0,"",IF(('Dvd Calendar'!$AC$165&gt;=GRID_FROM)*('Dvd Calendar'!$AC$165&lt;=GRID_TO)*((('Dvd Calendar'!$AC$165&lt;=VAL_DATE)+(COUNTIF('Dvd Calendar'!$E$172:$AR$172,'Dvd Calendar'!$AC$165)=0))&gt;0)=0,"",'Dvd Calendar'!$AC$165*1000000000+ISNUMBER('Dvd Calendar'!$AC$168)*100000000+('Dvd Calendar'!$AC$170=SPECIAL_LBL)*10000000+(N('Dvd Calendar'!$AC$164)&gt;0)*(N('Dvd Calendar'!$AC$164)&lt;=VAL_SERIAL)*1000000+15*1000+25))</f>
        <v/>
      </c>
      <c r="FD26" s="39">
        <f>IF(N('Dvd Calendar'!$AD$165)=0,"",IF(('Dvd Calendar'!$AD$165&gt;=GRID_FROM)*('Dvd Calendar'!$AD$165&lt;=GRID_TO)*((('Dvd Calendar'!$AD$165&lt;=VAL_DATE)+(COUNTIF('Dvd Calendar'!$E$172:$AR$172,'Dvd Calendar'!$AD$165)=0))&gt;0)=0,"",'Dvd Calendar'!$AD$165*1000000000+ISNUMBER('Dvd Calendar'!$AD$168)*100000000+('Dvd Calendar'!$AD$170=SPECIAL_LBL)*10000000+(N('Dvd Calendar'!$AD$164)&gt;0)*(N('Dvd Calendar'!$AD$164)&lt;=VAL_SERIAL)*1000000+15*1000+26))</f>
        <v/>
      </c>
      <c r="FE26" s="39">
        <f>IF(N('Dvd Calendar'!$AE$165)=0,"",IF(('Dvd Calendar'!$AE$165&gt;=GRID_FROM)*('Dvd Calendar'!$AE$165&lt;=GRID_TO)*((('Dvd Calendar'!$AE$165&lt;=VAL_DATE)+(COUNTIF('Dvd Calendar'!$E$172:$AR$172,'Dvd Calendar'!$AE$165)=0))&gt;0)=0,"",'Dvd Calendar'!$AE$165*1000000000+ISNUMBER('Dvd Calendar'!$AE$168)*100000000+('Dvd Calendar'!$AE$170=SPECIAL_LBL)*10000000+(N('Dvd Calendar'!$AE$164)&gt;0)*(N('Dvd Calendar'!$AE$164)&lt;=VAL_SERIAL)*1000000+15*1000+27))</f>
        <v/>
      </c>
      <c r="FF26" s="39">
        <f>IF(N('Dvd Calendar'!$AF$165)=0,"",IF(('Dvd Calendar'!$AF$165&gt;=GRID_FROM)*('Dvd Calendar'!$AF$165&lt;=GRID_TO)*((('Dvd Calendar'!$AF$165&lt;=VAL_DATE)+(COUNTIF('Dvd Calendar'!$E$172:$AR$172,'Dvd Calendar'!$AF$165)=0))&gt;0)=0,"",'Dvd Calendar'!$AF$165*1000000000+ISNUMBER('Dvd Calendar'!$AF$168)*100000000+('Dvd Calendar'!$AF$170=SPECIAL_LBL)*10000000+(N('Dvd Calendar'!$AF$164)&gt;0)*(N('Dvd Calendar'!$AF$164)&lt;=VAL_SERIAL)*1000000+15*1000+28))</f>
        <v/>
      </c>
      <c r="FG26" s="39">
        <f>IF(N('Dvd Calendar'!$AG$165)=0,"",IF(('Dvd Calendar'!$AG$165&gt;=GRID_FROM)*('Dvd Calendar'!$AG$165&lt;=GRID_TO)*((('Dvd Calendar'!$AG$165&lt;=VAL_DATE)+(COUNTIF('Dvd Calendar'!$E$172:$AR$172,'Dvd Calendar'!$AG$165)=0))&gt;0)=0,"",'Dvd Calendar'!$AG$165*1000000000+ISNUMBER('Dvd Calendar'!$AG$168)*100000000+('Dvd Calendar'!$AG$170=SPECIAL_LBL)*10000000+(N('Dvd Calendar'!$AG$164)&gt;0)*(N('Dvd Calendar'!$AG$164)&lt;=VAL_SERIAL)*1000000+15*1000+29))</f>
        <v/>
      </c>
      <c r="FH26" s="39">
        <f>IF(N('Dvd Calendar'!$AH$165)=0,"",IF(('Dvd Calendar'!$AH$165&gt;=GRID_FROM)*('Dvd Calendar'!$AH$165&lt;=GRID_TO)*((('Dvd Calendar'!$AH$165&lt;=VAL_DATE)+(COUNTIF('Dvd Calendar'!$E$172:$AR$172,'Dvd Calendar'!$AH$165)=0))&gt;0)=0,"",'Dvd Calendar'!$AH$165*1000000000+ISNUMBER('Dvd Calendar'!$AH$168)*100000000+('Dvd Calendar'!$AH$170=SPECIAL_LBL)*10000000+(N('Dvd Calendar'!$AH$164)&gt;0)*(N('Dvd Calendar'!$AH$164)&lt;=VAL_SERIAL)*1000000+15*1000+30))</f>
        <v/>
      </c>
      <c r="FI26" s="39">
        <f>IF(N('Dvd Calendar'!$AI$165)=0,"",IF(('Dvd Calendar'!$AI$165&gt;=GRID_FROM)*('Dvd Calendar'!$AI$165&lt;=GRID_TO)*((('Dvd Calendar'!$AI$165&lt;=VAL_DATE)+(COUNTIF('Dvd Calendar'!$E$172:$AR$172,'Dvd Calendar'!$AI$165)=0))&gt;0)=0,"",'Dvd Calendar'!$AI$165*1000000000+ISNUMBER('Dvd Calendar'!$AI$168)*100000000+('Dvd Calendar'!$AI$170=SPECIAL_LBL)*10000000+(N('Dvd Calendar'!$AI$164)&gt;0)*(N('Dvd Calendar'!$AI$164)&lt;=VAL_SERIAL)*1000000+15*1000+31))</f>
        <v/>
      </c>
      <c r="FJ26" s="39">
        <f>IF(N('Dvd Calendar'!$AJ$165)=0,"",IF(('Dvd Calendar'!$AJ$165&gt;=GRID_FROM)*('Dvd Calendar'!$AJ$165&lt;=GRID_TO)*((('Dvd Calendar'!$AJ$165&lt;=VAL_DATE)+(COUNTIF('Dvd Calendar'!$E$172:$AR$172,'Dvd Calendar'!$AJ$165)=0))&gt;0)=0,"",'Dvd Calendar'!$AJ$165*1000000000+ISNUMBER('Dvd Calendar'!$AJ$168)*100000000+('Dvd Calendar'!$AJ$170=SPECIAL_LBL)*10000000+(N('Dvd Calendar'!$AJ$164)&gt;0)*(N('Dvd Calendar'!$AJ$164)&lt;=VAL_SERIAL)*1000000+15*1000+32))</f>
        <v/>
      </c>
      <c r="FK26" s="39">
        <f>IF(N('Dvd Calendar'!$AK$165)=0,"",IF(('Dvd Calendar'!$AK$165&gt;=GRID_FROM)*('Dvd Calendar'!$AK$165&lt;=GRID_TO)*((('Dvd Calendar'!$AK$165&lt;=VAL_DATE)+(COUNTIF('Dvd Calendar'!$E$172:$AR$172,'Dvd Calendar'!$AK$165)=0))&gt;0)=0,"",'Dvd Calendar'!$AK$165*1000000000+ISNUMBER('Dvd Calendar'!$AK$168)*100000000+('Dvd Calendar'!$AK$170=SPECIAL_LBL)*10000000+(N('Dvd Calendar'!$AK$164)&gt;0)*(N('Dvd Calendar'!$AK$164)&lt;=VAL_SERIAL)*1000000+15*1000+33))</f>
        <v/>
      </c>
      <c r="FL26" s="39">
        <f>IF(N('Dvd Calendar'!$AL$165)=0,"",IF(('Dvd Calendar'!$AL$165&gt;=GRID_FROM)*('Dvd Calendar'!$AL$165&lt;=GRID_TO)*((('Dvd Calendar'!$AL$165&lt;=VAL_DATE)+(COUNTIF('Dvd Calendar'!$E$172:$AR$172,'Dvd Calendar'!$AL$165)=0))&gt;0)=0,"",'Dvd Calendar'!$AL$165*1000000000+ISNUMBER('Dvd Calendar'!$AL$168)*100000000+('Dvd Calendar'!$AL$170=SPECIAL_LBL)*10000000+(N('Dvd Calendar'!$AL$164)&gt;0)*(N('Dvd Calendar'!$AL$164)&lt;=VAL_SERIAL)*1000000+15*1000+34))</f>
        <v/>
      </c>
      <c r="FM26" s="39">
        <f>IF(N('Dvd Calendar'!$AM$165)=0,"",IF(('Dvd Calendar'!$AM$165&gt;=GRID_FROM)*('Dvd Calendar'!$AM$165&lt;=GRID_TO)*((('Dvd Calendar'!$AM$165&lt;=VAL_DATE)+(COUNTIF('Dvd Calendar'!$E$172:$AR$172,'Dvd Calendar'!$AM$165)=0))&gt;0)=0,"",'Dvd Calendar'!$AM$165*1000000000+ISNUMBER('Dvd Calendar'!$AM$168)*100000000+('Dvd Calendar'!$AM$170=SPECIAL_LBL)*10000000+(N('Dvd Calendar'!$AM$164)&gt;0)*(N('Dvd Calendar'!$AM$164)&lt;=VAL_SERIAL)*1000000+15*1000+35))</f>
        <v/>
      </c>
      <c r="FN26" s="39">
        <f>IF(N('Dvd Calendar'!$AN$165)=0,"",IF(('Dvd Calendar'!$AN$165&gt;=GRID_FROM)*('Dvd Calendar'!$AN$165&lt;=GRID_TO)*((('Dvd Calendar'!$AN$165&lt;=VAL_DATE)+(COUNTIF('Dvd Calendar'!$E$172:$AR$172,'Dvd Calendar'!$AN$165)=0))&gt;0)=0,"",'Dvd Calendar'!$AN$165*1000000000+ISNUMBER('Dvd Calendar'!$AN$168)*100000000+('Dvd Calendar'!$AN$170=SPECIAL_LBL)*10000000+(N('Dvd Calendar'!$AN$164)&gt;0)*(N('Dvd Calendar'!$AN$164)&lt;=VAL_SERIAL)*1000000+15*1000+36))</f>
        <v/>
      </c>
      <c r="FO26" s="39">
        <f>IF(N('Dvd Calendar'!$AO$165)=0,"",IF(('Dvd Calendar'!$AO$165&gt;=GRID_FROM)*('Dvd Calendar'!$AO$165&lt;=GRID_TO)*((('Dvd Calendar'!$AO$165&lt;=VAL_DATE)+(COUNTIF('Dvd Calendar'!$E$172:$AR$172,'Dvd Calendar'!$AO$165)=0))&gt;0)=0,"",'Dvd Calendar'!$AO$165*1000000000+ISNUMBER('Dvd Calendar'!$AO$168)*100000000+('Dvd Calendar'!$AO$170=SPECIAL_LBL)*10000000+(N('Dvd Calendar'!$AO$164)&gt;0)*(N('Dvd Calendar'!$AO$164)&lt;=VAL_SERIAL)*1000000+15*1000+37))</f>
        <v/>
      </c>
      <c r="FP26" s="39">
        <f>IF(N('Dvd Calendar'!$AP$165)=0,"",IF(('Dvd Calendar'!$AP$165&gt;=GRID_FROM)*('Dvd Calendar'!$AP$165&lt;=GRID_TO)*((('Dvd Calendar'!$AP$165&lt;=VAL_DATE)+(COUNTIF('Dvd Calendar'!$E$172:$AR$172,'Dvd Calendar'!$AP$165)=0))&gt;0)=0,"",'Dvd Calendar'!$AP$165*1000000000+ISNUMBER('Dvd Calendar'!$AP$168)*100000000+('Dvd Calendar'!$AP$170=SPECIAL_LBL)*10000000+(N('Dvd Calendar'!$AP$164)&gt;0)*(N('Dvd Calendar'!$AP$164)&lt;=VAL_SERIAL)*1000000+15*1000+38))</f>
        <v/>
      </c>
      <c r="FQ26" s="39">
        <f>IF(N('Dvd Calendar'!$AQ$165)=0,"",IF(('Dvd Calendar'!$AQ$165&gt;=GRID_FROM)*('Dvd Calendar'!$AQ$165&lt;=GRID_TO)*((('Dvd Calendar'!$AQ$165&lt;=VAL_DATE)+(COUNTIF('Dvd Calendar'!$E$172:$AR$172,'Dvd Calendar'!$AQ$165)=0))&gt;0)=0,"",'Dvd Calendar'!$AQ$165*1000000000+ISNUMBER('Dvd Calendar'!$AQ$168)*100000000+('Dvd Calendar'!$AQ$170=SPECIAL_LBL)*10000000+(N('Dvd Calendar'!$AQ$164)&gt;0)*(N('Dvd Calendar'!$AQ$164)&lt;=VAL_SERIAL)*1000000+15*1000+39))</f>
        <v/>
      </c>
      <c r="FR26" s="39">
        <f>IF(N('Dvd Calendar'!$AR$165)=0,"",IF(('Dvd Calendar'!$AR$165&gt;=GRID_FROM)*('Dvd Calendar'!$AR$165&lt;=GRID_TO)*((('Dvd Calendar'!$AR$165&lt;=VAL_DATE)+(COUNTIF('Dvd Calendar'!$E$172:$AR$172,'Dvd Calendar'!$AR$165)=0))&gt;0)=0,"",'Dvd Calendar'!$AR$165*1000000000+ISNUMBER('Dvd Calendar'!$AR$168)*100000000+('Dvd Calendar'!$AR$170=SPECIAL_LBL)*10000000+(N('Dvd Calendar'!$AR$164)&gt;0)*(N('Dvd Calendar'!$AR$164)&lt;=VAL_SERIAL)*1000000+15*1000+40))</f>
        <v/>
      </c>
      <c r="FS26" s="39">
        <f>IF(N('Dvd Calendar'!$E$172)=0,"",IF(('Dvd Calendar'!$E$172&gt;=GRID_FROM)*('Dvd Calendar'!$E$172&lt;=GRID_TO)*('Dvd Calendar'!$E$172&gt;VAL_DATE)=0,"",'Dvd Calendar'!$E$172*1000000000+ISNUMBER('Dvd Calendar'!$E$173)*100000000+0*10000000+(N('Dvd Calendar'!$E$171)&gt;0)*(N('Dvd Calendar'!$E$171)&lt;=VAL_SERIAL)*1000000+15*1000+41))</f>
        <v/>
      </c>
      <c r="FT26" s="39">
        <f>IF(N('Dvd Calendar'!$F$172)=0,"",IF(('Dvd Calendar'!$F$172&gt;=GRID_FROM)*('Dvd Calendar'!$F$172&lt;=GRID_TO)*('Dvd Calendar'!$F$172&gt;VAL_DATE)=0,"",'Dvd Calendar'!$F$172*1000000000+ISNUMBER('Dvd Calendar'!$F$173)*100000000+0*10000000+(N('Dvd Calendar'!$F$171)&gt;0)*(N('Dvd Calendar'!$F$171)&lt;=VAL_SERIAL)*1000000+15*1000+42))</f>
        <v/>
      </c>
      <c r="FU26" s="39">
        <f>IF(N('Dvd Calendar'!$G$172)=0,"",IF(('Dvd Calendar'!$G$172&gt;=GRID_FROM)*('Dvd Calendar'!$G$172&lt;=GRID_TO)*('Dvd Calendar'!$G$172&gt;VAL_DATE)=0,"",'Dvd Calendar'!$G$172*1000000000+ISNUMBER('Dvd Calendar'!$G$173)*100000000+0*10000000+(N('Dvd Calendar'!$G$171)&gt;0)*(N('Dvd Calendar'!$G$171)&lt;=VAL_SERIAL)*1000000+15*1000+43))</f>
        <v/>
      </c>
      <c r="FV26" s="39">
        <f>IF(N('Dvd Calendar'!$H$172)=0,"",IF(('Dvd Calendar'!$H$172&gt;=GRID_FROM)*('Dvd Calendar'!$H$172&lt;=GRID_TO)*('Dvd Calendar'!$H$172&gt;VAL_DATE)=0,"",'Dvd Calendar'!$H$172*1000000000+ISNUMBER('Dvd Calendar'!$H$173)*100000000+0*10000000+(N('Dvd Calendar'!$H$171)&gt;0)*(N('Dvd Calendar'!$H$171)&lt;=VAL_SERIAL)*1000000+15*1000+44))</f>
        <v/>
      </c>
      <c r="FW26" s="39">
        <f>IF(N('Dvd Calendar'!$I$172)=0,"",IF(('Dvd Calendar'!$I$172&gt;=GRID_FROM)*('Dvd Calendar'!$I$172&lt;=GRID_TO)*('Dvd Calendar'!$I$172&gt;VAL_DATE)=0,"",'Dvd Calendar'!$I$172*1000000000+ISNUMBER('Dvd Calendar'!$I$173)*100000000+0*10000000+(N('Dvd Calendar'!$I$171)&gt;0)*(N('Dvd Calendar'!$I$171)&lt;=VAL_SERIAL)*1000000+15*1000+45))</f>
        <v/>
      </c>
      <c r="FX26" s="39">
        <f>IF(N('Dvd Calendar'!$J$172)=0,"",IF(('Dvd Calendar'!$J$172&gt;=GRID_FROM)*('Dvd Calendar'!$J$172&lt;=GRID_TO)*('Dvd Calendar'!$J$172&gt;VAL_DATE)=0,"",'Dvd Calendar'!$J$172*1000000000+ISNUMBER('Dvd Calendar'!$J$173)*100000000+0*10000000+(N('Dvd Calendar'!$J$171)&gt;0)*(N('Dvd Calendar'!$J$171)&lt;=VAL_SERIAL)*1000000+15*1000+46))</f>
        <v/>
      </c>
      <c r="FY26" s="39">
        <f>IF(N('Dvd Calendar'!$K$172)=0,"",IF(('Dvd Calendar'!$K$172&gt;=GRID_FROM)*('Dvd Calendar'!$K$172&lt;=GRID_TO)*('Dvd Calendar'!$K$172&gt;VAL_DATE)=0,"",'Dvd Calendar'!$K$172*1000000000+ISNUMBER('Dvd Calendar'!$K$173)*100000000+0*10000000+(N('Dvd Calendar'!$K$171)&gt;0)*(N('Dvd Calendar'!$K$171)&lt;=VAL_SERIAL)*1000000+15*1000+47))</f>
        <v/>
      </c>
      <c r="FZ26" s="39">
        <f>IF(N('Dvd Calendar'!$L$172)=0,"",IF(('Dvd Calendar'!$L$172&gt;=GRID_FROM)*('Dvd Calendar'!$L$172&lt;=GRID_TO)*('Dvd Calendar'!$L$172&gt;VAL_DATE)=0,"",'Dvd Calendar'!$L$172*1000000000+ISNUMBER('Dvd Calendar'!$L$173)*100000000+0*10000000+(N('Dvd Calendar'!$L$171)&gt;0)*(N('Dvd Calendar'!$L$171)&lt;=VAL_SERIAL)*1000000+15*1000+48))</f>
        <v/>
      </c>
      <c r="GA26" s="39">
        <f>IF(N('Dvd Calendar'!$M$172)=0,"",IF(('Dvd Calendar'!$M$172&gt;=GRID_FROM)*('Dvd Calendar'!$M$172&lt;=GRID_TO)*('Dvd Calendar'!$M$172&gt;VAL_DATE)=0,"",'Dvd Calendar'!$M$172*1000000000+ISNUMBER('Dvd Calendar'!$M$173)*100000000+0*10000000+(N('Dvd Calendar'!$M$171)&gt;0)*(N('Dvd Calendar'!$M$171)&lt;=VAL_SERIAL)*1000000+15*1000+49))</f>
        <v/>
      </c>
      <c r="GB26" s="39">
        <f>IF(N('Dvd Calendar'!$N$172)=0,"",IF(('Dvd Calendar'!$N$172&gt;=GRID_FROM)*('Dvd Calendar'!$N$172&lt;=GRID_TO)*('Dvd Calendar'!$N$172&gt;VAL_DATE)=0,"",'Dvd Calendar'!$N$172*1000000000+ISNUMBER('Dvd Calendar'!$N$173)*100000000+0*10000000+(N('Dvd Calendar'!$N$171)&gt;0)*(N('Dvd Calendar'!$N$171)&lt;=VAL_SERIAL)*1000000+15*1000+50))</f>
        <v/>
      </c>
      <c r="GC26" s="39">
        <f>IF(N('Dvd Calendar'!$O$172)=0,"",IF(('Dvd Calendar'!$O$172&gt;=GRID_FROM)*('Dvd Calendar'!$O$172&lt;=GRID_TO)*('Dvd Calendar'!$O$172&gt;VAL_DATE)=0,"",'Dvd Calendar'!$O$172*1000000000+ISNUMBER('Dvd Calendar'!$O$173)*100000000+0*10000000+(N('Dvd Calendar'!$O$171)&gt;0)*(N('Dvd Calendar'!$O$171)&lt;=VAL_SERIAL)*1000000+15*1000+51))</f>
        <v/>
      </c>
      <c r="GD26" s="39">
        <f>IF(N('Dvd Calendar'!$P$172)=0,"",IF(('Dvd Calendar'!$P$172&gt;=GRID_FROM)*('Dvd Calendar'!$P$172&lt;=GRID_TO)*('Dvd Calendar'!$P$172&gt;VAL_DATE)=0,"",'Dvd Calendar'!$P$172*1000000000+ISNUMBER('Dvd Calendar'!$P$173)*100000000+0*10000000+(N('Dvd Calendar'!$P$171)&gt;0)*(N('Dvd Calendar'!$P$171)&lt;=VAL_SERIAL)*1000000+15*1000+52))</f>
        <v/>
      </c>
      <c r="GE26" s="39">
        <f>IF(N('Dvd Calendar'!$Q$172)=0,"",IF(('Dvd Calendar'!$Q$172&gt;=GRID_FROM)*('Dvd Calendar'!$Q$172&lt;=GRID_TO)*('Dvd Calendar'!$Q$172&gt;VAL_DATE)=0,"",'Dvd Calendar'!$Q$172*1000000000+ISNUMBER('Dvd Calendar'!$Q$173)*100000000+0*10000000+(N('Dvd Calendar'!$Q$171)&gt;0)*(N('Dvd Calendar'!$Q$171)&lt;=VAL_SERIAL)*1000000+15*1000+53))</f>
        <v/>
      </c>
      <c r="GF26" s="39">
        <f>IF(N('Dvd Calendar'!$R$172)=0,"",IF(('Dvd Calendar'!$R$172&gt;=GRID_FROM)*('Dvd Calendar'!$R$172&lt;=GRID_TO)*('Dvd Calendar'!$R$172&gt;VAL_DATE)=0,"",'Dvd Calendar'!$R$172*1000000000+ISNUMBER('Dvd Calendar'!$R$173)*100000000+0*10000000+(N('Dvd Calendar'!$R$171)&gt;0)*(N('Dvd Calendar'!$R$171)&lt;=VAL_SERIAL)*1000000+15*1000+54))</f>
        <v/>
      </c>
      <c r="GG26" s="39">
        <f>IF(N('Dvd Calendar'!$S$172)=0,"",IF(('Dvd Calendar'!$S$172&gt;=GRID_FROM)*('Dvd Calendar'!$S$172&lt;=GRID_TO)*('Dvd Calendar'!$S$172&gt;VAL_DATE)=0,"",'Dvd Calendar'!$S$172*1000000000+ISNUMBER('Dvd Calendar'!$S$173)*100000000+0*10000000+(N('Dvd Calendar'!$S$171)&gt;0)*(N('Dvd Calendar'!$S$171)&lt;=VAL_SERIAL)*1000000+15*1000+55))</f>
        <v/>
      </c>
      <c r="GH26" s="39">
        <f>IF(N('Dvd Calendar'!$T$172)=0,"",IF(('Dvd Calendar'!$T$172&gt;=GRID_FROM)*('Dvd Calendar'!$T$172&lt;=GRID_TO)*('Dvd Calendar'!$T$172&gt;VAL_DATE)=0,"",'Dvd Calendar'!$T$172*1000000000+ISNUMBER('Dvd Calendar'!$T$173)*100000000+0*10000000+(N('Dvd Calendar'!$T$171)&gt;0)*(N('Dvd Calendar'!$T$171)&lt;=VAL_SERIAL)*1000000+15*1000+56))</f>
        <v/>
      </c>
      <c r="GI26" s="39">
        <f>IF(N('Dvd Calendar'!$U$172)=0,"",IF(('Dvd Calendar'!$U$172&gt;=GRID_FROM)*('Dvd Calendar'!$U$172&lt;=GRID_TO)*('Dvd Calendar'!$U$172&gt;VAL_DATE)=0,"",'Dvd Calendar'!$U$172*1000000000+ISNUMBER('Dvd Calendar'!$U$173)*100000000+0*10000000+(N('Dvd Calendar'!$U$171)&gt;0)*(N('Dvd Calendar'!$U$171)&lt;=VAL_SERIAL)*1000000+15*1000+57))</f>
        <v/>
      </c>
      <c r="GJ26" s="39">
        <f>IF(N('Dvd Calendar'!$V$172)=0,"",IF(('Dvd Calendar'!$V$172&gt;=GRID_FROM)*('Dvd Calendar'!$V$172&lt;=GRID_TO)*('Dvd Calendar'!$V$172&gt;VAL_DATE)=0,"",'Dvd Calendar'!$V$172*1000000000+ISNUMBER('Dvd Calendar'!$V$173)*100000000+0*10000000+(N('Dvd Calendar'!$V$171)&gt;0)*(N('Dvd Calendar'!$V$171)&lt;=VAL_SERIAL)*1000000+15*1000+58))</f>
        <v/>
      </c>
      <c r="GK26" s="39">
        <f>IF(N('Dvd Calendar'!$W$172)=0,"",IF(('Dvd Calendar'!$W$172&gt;=GRID_FROM)*('Dvd Calendar'!$W$172&lt;=GRID_TO)*('Dvd Calendar'!$W$172&gt;VAL_DATE)=0,"",'Dvd Calendar'!$W$172*1000000000+ISNUMBER('Dvd Calendar'!$W$173)*100000000+0*10000000+(N('Dvd Calendar'!$W$171)&gt;0)*(N('Dvd Calendar'!$W$171)&lt;=VAL_SERIAL)*1000000+15*1000+59))</f>
        <v/>
      </c>
      <c r="GL26" s="39">
        <f>IF(N('Dvd Calendar'!$X$172)=0,"",IF(('Dvd Calendar'!$X$172&gt;=GRID_FROM)*('Dvd Calendar'!$X$172&lt;=GRID_TO)*('Dvd Calendar'!$X$172&gt;VAL_DATE)=0,"",'Dvd Calendar'!$X$172*1000000000+ISNUMBER('Dvd Calendar'!$X$173)*100000000+0*10000000+(N('Dvd Calendar'!$X$171)&gt;0)*(N('Dvd Calendar'!$X$171)&lt;=VAL_SERIAL)*1000000+15*1000+60))</f>
        <v/>
      </c>
      <c r="GM26" s="39">
        <f>IF(N('Dvd Calendar'!$Y$172)=0,"",IF(('Dvd Calendar'!$Y$172&gt;=GRID_FROM)*('Dvd Calendar'!$Y$172&lt;=GRID_TO)*('Dvd Calendar'!$Y$172&gt;VAL_DATE)=0,"",'Dvd Calendar'!$Y$172*1000000000+ISNUMBER('Dvd Calendar'!$Y$173)*100000000+0*10000000+(N('Dvd Calendar'!$Y$171)&gt;0)*(N('Dvd Calendar'!$Y$171)&lt;=VAL_SERIAL)*1000000+15*1000+61))</f>
        <v/>
      </c>
      <c r="GN26" s="39">
        <f>IF(N('Dvd Calendar'!$Z$172)=0,"",IF(('Dvd Calendar'!$Z$172&gt;=GRID_FROM)*('Dvd Calendar'!$Z$172&lt;=GRID_TO)*('Dvd Calendar'!$Z$172&gt;VAL_DATE)=0,"",'Dvd Calendar'!$Z$172*1000000000+ISNUMBER('Dvd Calendar'!$Z$173)*100000000+0*10000000+(N('Dvd Calendar'!$Z$171)&gt;0)*(N('Dvd Calendar'!$Z$171)&lt;=VAL_SERIAL)*1000000+15*1000+62))</f>
        <v/>
      </c>
      <c r="GO26" s="39">
        <f>IF(N('Dvd Calendar'!$AA$172)=0,"",IF(('Dvd Calendar'!$AA$172&gt;=GRID_FROM)*('Dvd Calendar'!$AA$172&lt;=GRID_TO)*('Dvd Calendar'!$AA$172&gt;VAL_DATE)=0,"",'Dvd Calendar'!$AA$172*1000000000+ISNUMBER('Dvd Calendar'!$AA$173)*100000000+0*10000000+(N('Dvd Calendar'!$AA$171)&gt;0)*(N('Dvd Calendar'!$AA$171)&lt;=VAL_SERIAL)*1000000+15*1000+63))</f>
        <v/>
      </c>
      <c r="GP26" s="39">
        <f>IF(N('Dvd Calendar'!$AB$172)=0,"",IF(('Dvd Calendar'!$AB$172&gt;=GRID_FROM)*('Dvd Calendar'!$AB$172&lt;=GRID_TO)*('Dvd Calendar'!$AB$172&gt;VAL_DATE)=0,"",'Dvd Calendar'!$AB$172*1000000000+ISNUMBER('Dvd Calendar'!$AB$173)*100000000+0*10000000+(N('Dvd Calendar'!$AB$171)&gt;0)*(N('Dvd Calendar'!$AB$171)&lt;=VAL_SERIAL)*1000000+15*1000+64))</f>
        <v/>
      </c>
      <c r="GQ26" s="39">
        <f>IF(N('Dvd Calendar'!$AC$172)=0,"",IF(('Dvd Calendar'!$AC$172&gt;=GRID_FROM)*('Dvd Calendar'!$AC$172&lt;=GRID_TO)*('Dvd Calendar'!$AC$172&gt;VAL_DATE)=0,"",'Dvd Calendar'!$AC$172*1000000000+ISNUMBER('Dvd Calendar'!$AC$173)*100000000+0*10000000+(N('Dvd Calendar'!$AC$171)&gt;0)*(N('Dvd Calendar'!$AC$171)&lt;=VAL_SERIAL)*1000000+15*1000+65))</f>
        <v/>
      </c>
    </row>
    <row r="27">
      <c r="B27" s="2">
        <f>IF(HSI!$C$22="","",HSI!$C$22)</f>
        <v/>
      </c>
      <c r="C27" s="110">
        <f>IF(EE27="","",IF(ISNUMBER('Dvd Calendar'!$E$179)=FALSE,"",IF((('Dvd Calendar'!$E$181=TYPE1)*(TYPE1&lt;&gt;"")+('Dvd Calendar'!$E$181=TYPE2)*(TYPE2&lt;&gt;"")+('Dvd Calendar'!$E$181=TYPE3)*(TYPE3&lt;&gt;"")+('Dvd Calendar'!$E$181=TYPE4)*(TYPE4&lt;&gt;"")+('Dvd Calendar'!$E$181=SPECIAL_LBL)*(INC_SPECIALS="Y"))=0,"",'Dvd Calendar'!$E$179)))</f>
        <v/>
      </c>
      <c r="D27" s="110">
        <f>IF(EF27="","",IF(ISNUMBER('Dvd Calendar'!$F$179)=FALSE,"",IF((('Dvd Calendar'!$F$181=TYPE1)*(TYPE1&lt;&gt;"")+('Dvd Calendar'!$F$181=TYPE2)*(TYPE2&lt;&gt;"")+('Dvd Calendar'!$F$181=TYPE3)*(TYPE3&lt;&gt;"")+('Dvd Calendar'!$F$181=TYPE4)*(TYPE4&lt;&gt;"")+('Dvd Calendar'!$F$181=SPECIAL_LBL)*(INC_SPECIALS="Y"))=0,"",'Dvd Calendar'!$F$179)))</f>
        <v/>
      </c>
      <c r="E27" s="110">
        <f>IF(EG27="","",IF(ISNUMBER('Dvd Calendar'!$G$179)=FALSE,"",IF((('Dvd Calendar'!$G$181=TYPE1)*(TYPE1&lt;&gt;"")+('Dvd Calendar'!$G$181=TYPE2)*(TYPE2&lt;&gt;"")+('Dvd Calendar'!$G$181=TYPE3)*(TYPE3&lt;&gt;"")+('Dvd Calendar'!$G$181=TYPE4)*(TYPE4&lt;&gt;"")+('Dvd Calendar'!$G$181=SPECIAL_LBL)*(INC_SPECIALS="Y"))=0,"",'Dvd Calendar'!$G$179)))</f>
        <v/>
      </c>
      <c r="F27" s="110">
        <f>IF(EH27="","",IF(ISNUMBER('Dvd Calendar'!$H$179)=FALSE,"",IF((('Dvd Calendar'!$H$181=TYPE1)*(TYPE1&lt;&gt;"")+('Dvd Calendar'!$H$181=TYPE2)*(TYPE2&lt;&gt;"")+('Dvd Calendar'!$H$181=TYPE3)*(TYPE3&lt;&gt;"")+('Dvd Calendar'!$H$181=TYPE4)*(TYPE4&lt;&gt;"")+('Dvd Calendar'!$H$181=SPECIAL_LBL)*(INC_SPECIALS="Y"))=0,"",'Dvd Calendar'!$H$179)))</f>
        <v/>
      </c>
      <c r="G27" s="110">
        <f>IF(EI27="","",IF(ISNUMBER('Dvd Calendar'!$I$179)=FALSE,"",IF((('Dvd Calendar'!$I$181=TYPE1)*(TYPE1&lt;&gt;"")+('Dvd Calendar'!$I$181=TYPE2)*(TYPE2&lt;&gt;"")+('Dvd Calendar'!$I$181=TYPE3)*(TYPE3&lt;&gt;"")+('Dvd Calendar'!$I$181=TYPE4)*(TYPE4&lt;&gt;"")+('Dvd Calendar'!$I$181=SPECIAL_LBL)*(INC_SPECIALS="Y"))=0,"",'Dvd Calendar'!$I$179)))</f>
        <v/>
      </c>
      <c r="H27" s="110">
        <f>IF(EJ27="","",IF(ISNUMBER('Dvd Calendar'!$J$179)=FALSE,"",IF((('Dvd Calendar'!$J$181=TYPE1)*(TYPE1&lt;&gt;"")+('Dvd Calendar'!$J$181=TYPE2)*(TYPE2&lt;&gt;"")+('Dvd Calendar'!$J$181=TYPE3)*(TYPE3&lt;&gt;"")+('Dvd Calendar'!$J$181=TYPE4)*(TYPE4&lt;&gt;"")+('Dvd Calendar'!$J$181=SPECIAL_LBL)*(INC_SPECIALS="Y"))=0,"",'Dvd Calendar'!$J$179)))</f>
        <v/>
      </c>
      <c r="I27" s="110">
        <f>IF(EK27="","",IF(ISNUMBER('Dvd Calendar'!$K$179)=FALSE,"",IF((('Dvd Calendar'!$K$181=TYPE1)*(TYPE1&lt;&gt;"")+('Dvd Calendar'!$K$181=TYPE2)*(TYPE2&lt;&gt;"")+('Dvd Calendar'!$K$181=TYPE3)*(TYPE3&lt;&gt;"")+('Dvd Calendar'!$K$181=TYPE4)*(TYPE4&lt;&gt;"")+('Dvd Calendar'!$K$181=SPECIAL_LBL)*(INC_SPECIALS="Y"))=0,"",'Dvd Calendar'!$K$179)))</f>
        <v/>
      </c>
      <c r="J27" s="110">
        <f>IF(EL27="","",IF(ISNUMBER('Dvd Calendar'!$L$179)=FALSE,"",IF((('Dvd Calendar'!$L$181=TYPE1)*(TYPE1&lt;&gt;"")+('Dvd Calendar'!$L$181=TYPE2)*(TYPE2&lt;&gt;"")+('Dvd Calendar'!$L$181=TYPE3)*(TYPE3&lt;&gt;"")+('Dvd Calendar'!$L$181=TYPE4)*(TYPE4&lt;&gt;"")+('Dvd Calendar'!$L$181=SPECIAL_LBL)*(INC_SPECIALS="Y"))=0,"",'Dvd Calendar'!$L$179)))</f>
        <v/>
      </c>
      <c r="K27" s="110">
        <f>IF(EM27="","",IF(ISNUMBER('Dvd Calendar'!$M$179)=FALSE,"",IF((('Dvd Calendar'!$M$181=TYPE1)*(TYPE1&lt;&gt;"")+('Dvd Calendar'!$M$181=TYPE2)*(TYPE2&lt;&gt;"")+('Dvd Calendar'!$M$181=TYPE3)*(TYPE3&lt;&gt;"")+('Dvd Calendar'!$M$181=TYPE4)*(TYPE4&lt;&gt;"")+('Dvd Calendar'!$M$181=SPECIAL_LBL)*(INC_SPECIALS="Y"))=0,"",'Dvd Calendar'!$M$179)))</f>
        <v/>
      </c>
      <c r="L27" s="110">
        <f>IF(EN27="","",IF(ISNUMBER('Dvd Calendar'!$N$179)=FALSE,"",IF((('Dvd Calendar'!$N$181=TYPE1)*(TYPE1&lt;&gt;"")+('Dvd Calendar'!$N$181=TYPE2)*(TYPE2&lt;&gt;"")+('Dvd Calendar'!$N$181=TYPE3)*(TYPE3&lt;&gt;"")+('Dvd Calendar'!$N$181=TYPE4)*(TYPE4&lt;&gt;"")+('Dvd Calendar'!$N$181=SPECIAL_LBL)*(INC_SPECIALS="Y"))=0,"",'Dvd Calendar'!$N$179)))</f>
        <v/>
      </c>
      <c r="M27" s="110">
        <f>IF(EO27="","",IF(ISNUMBER('Dvd Calendar'!$O$179)=FALSE,"",IF((('Dvd Calendar'!$O$181=TYPE1)*(TYPE1&lt;&gt;"")+('Dvd Calendar'!$O$181=TYPE2)*(TYPE2&lt;&gt;"")+('Dvd Calendar'!$O$181=TYPE3)*(TYPE3&lt;&gt;"")+('Dvd Calendar'!$O$181=TYPE4)*(TYPE4&lt;&gt;"")+('Dvd Calendar'!$O$181=SPECIAL_LBL)*(INC_SPECIALS="Y"))=0,"",'Dvd Calendar'!$O$179)))</f>
        <v/>
      </c>
      <c r="N27" s="110">
        <f>IF(EP27="","",IF(ISNUMBER('Dvd Calendar'!$P$179)=FALSE,"",IF((('Dvd Calendar'!$P$181=TYPE1)*(TYPE1&lt;&gt;"")+('Dvd Calendar'!$P$181=TYPE2)*(TYPE2&lt;&gt;"")+('Dvd Calendar'!$P$181=TYPE3)*(TYPE3&lt;&gt;"")+('Dvd Calendar'!$P$181=TYPE4)*(TYPE4&lt;&gt;"")+('Dvd Calendar'!$P$181=SPECIAL_LBL)*(INC_SPECIALS="Y"))=0,"",'Dvd Calendar'!$P$179)))</f>
        <v/>
      </c>
      <c r="O27" s="110">
        <f>IF(EQ27="","",IF(ISNUMBER('Dvd Calendar'!$Q$179)=FALSE,"",IF((('Dvd Calendar'!$Q$181=TYPE1)*(TYPE1&lt;&gt;"")+('Dvd Calendar'!$Q$181=TYPE2)*(TYPE2&lt;&gt;"")+('Dvd Calendar'!$Q$181=TYPE3)*(TYPE3&lt;&gt;"")+('Dvd Calendar'!$Q$181=TYPE4)*(TYPE4&lt;&gt;"")+('Dvd Calendar'!$Q$181=SPECIAL_LBL)*(INC_SPECIALS="Y"))=0,"",'Dvd Calendar'!$Q$179)))</f>
        <v/>
      </c>
      <c r="P27" s="110">
        <f>IF(ER27="","",IF(ISNUMBER('Dvd Calendar'!$R$179)=FALSE,"",IF((('Dvd Calendar'!$R$181=TYPE1)*(TYPE1&lt;&gt;"")+('Dvd Calendar'!$R$181=TYPE2)*(TYPE2&lt;&gt;"")+('Dvd Calendar'!$R$181=TYPE3)*(TYPE3&lt;&gt;"")+('Dvd Calendar'!$R$181=TYPE4)*(TYPE4&lt;&gt;"")+('Dvd Calendar'!$R$181=SPECIAL_LBL)*(INC_SPECIALS="Y"))=0,"",'Dvd Calendar'!$R$179)))</f>
        <v/>
      </c>
      <c r="Q27" s="110">
        <f>IF(ES27="","",IF(ISNUMBER('Dvd Calendar'!$S$179)=FALSE,"",IF((('Dvd Calendar'!$S$181=TYPE1)*(TYPE1&lt;&gt;"")+('Dvd Calendar'!$S$181=TYPE2)*(TYPE2&lt;&gt;"")+('Dvd Calendar'!$S$181=TYPE3)*(TYPE3&lt;&gt;"")+('Dvd Calendar'!$S$181=TYPE4)*(TYPE4&lt;&gt;"")+('Dvd Calendar'!$S$181=SPECIAL_LBL)*(INC_SPECIALS="Y"))=0,"",'Dvd Calendar'!$S$179)))</f>
        <v/>
      </c>
      <c r="R27" s="110">
        <f>IF(ET27="","",IF(ISNUMBER('Dvd Calendar'!$T$179)=FALSE,"",IF((('Dvd Calendar'!$T$181=TYPE1)*(TYPE1&lt;&gt;"")+('Dvd Calendar'!$T$181=TYPE2)*(TYPE2&lt;&gt;"")+('Dvd Calendar'!$T$181=TYPE3)*(TYPE3&lt;&gt;"")+('Dvd Calendar'!$T$181=TYPE4)*(TYPE4&lt;&gt;"")+('Dvd Calendar'!$T$181=SPECIAL_LBL)*(INC_SPECIALS="Y"))=0,"",'Dvd Calendar'!$T$179)))</f>
        <v/>
      </c>
      <c r="S27" s="110">
        <f>IF(EU27="","",IF(ISNUMBER('Dvd Calendar'!$U$179)=FALSE,"",IF((('Dvd Calendar'!$U$181=TYPE1)*(TYPE1&lt;&gt;"")+('Dvd Calendar'!$U$181=TYPE2)*(TYPE2&lt;&gt;"")+('Dvd Calendar'!$U$181=TYPE3)*(TYPE3&lt;&gt;"")+('Dvd Calendar'!$U$181=TYPE4)*(TYPE4&lt;&gt;"")+('Dvd Calendar'!$U$181=SPECIAL_LBL)*(INC_SPECIALS="Y"))=0,"",'Dvd Calendar'!$U$179)))</f>
        <v/>
      </c>
      <c r="T27" s="110">
        <f>IF(EV27="","",IF(ISNUMBER('Dvd Calendar'!$V$179)=FALSE,"",IF((('Dvd Calendar'!$V$181=TYPE1)*(TYPE1&lt;&gt;"")+('Dvd Calendar'!$V$181=TYPE2)*(TYPE2&lt;&gt;"")+('Dvd Calendar'!$V$181=TYPE3)*(TYPE3&lt;&gt;"")+('Dvd Calendar'!$V$181=TYPE4)*(TYPE4&lt;&gt;"")+('Dvd Calendar'!$V$181=SPECIAL_LBL)*(INC_SPECIALS="Y"))=0,"",'Dvd Calendar'!$V$179)))</f>
        <v/>
      </c>
      <c r="U27" s="110">
        <f>IF(EW27="","",IF(ISNUMBER('Dvd Calendar'!$W$179)=FALSE,"",IF((('Dvd Calendar'!$W$181=TYPE1)*(TYPE1&lt;&gt;"")+('Dvd Calendar'!$W$181=TYPE2)*(TYPE2&lt;&gt;"")+('Dvd Calendar'!$W$181=TYPE3)*(TYPE3&lt;&gt;"")+('Dvd Calendar'!$W$181=TYPE4)*(TYPE4&lt;&gt;"")+('Dvd Calendar'!$W$181=SPECIAL_LBL)*(INC_SPECIALS="Y"))=0,"",'Dvd Calendar'!$W$179)))</f>
        <v/>
      </c>
      <c r="V27" s="110">
        <f>IF(EX27="","",IF(ISNUMBER('Dvd Calendar'!$X$179)=FALSE,"",IF((('Dvd Calendar'!$X$181=TYPE1)*(TYPE1&lt;&gt;"")+('Dvd Calendar'!$X$181=TYPE2)*(TYPE2&lt;&gt;"")+('Dvd Calendar'!$X$181=TYPE3)*(TYPE3&lt;&gt;"")+('Dvd Calendar'!$X$181=TYPE4)*(TYPE4&lt;&gt;"")+('Dvd Calendar'!$X$181=SPECIAL_LBL)*(INC_SPECIALS="Y"))=0,"",'Dvd Calendar'!$X$179)))</f>
        <v/>
      </c>
      <c r="W27" s="110">
        <f>IF(EY27="","",IF(ISNUMBER('Dvd Calendar'!$Y$179)=FALSE,"",IF((('Dvd Calendar'!$Y$181=TYPE1)*(TYPE1&lt;&gt;"")+('Dvd Calendar'!$Y$181=TYPE2)*(TYPE2&lt;&gt;"")+('Dvd Calendar'!$Y$181=TYPE3)*(TYPE3&lt;&gt;"")+('Dvd Calendar'!$Y$181=TYPE4)*(TYPE4&lt;&gt;"")+('Dvd Calendar'!$Y$181=SPECIAL_LBL)*(INC_SPECIALS="Y"))=0,"",'Dvd Calendar'!$Y$179)))</f>
        <v/>
      </c>
      <c r="X27" s="110">
        <f>IF(EZ27="","",IF(ISNUMBER('Dvd Calendar'!$Z$179)=FALSE,"",IF((('Dvd Calendar'!$Z$181=TYPE1)*(TYPE1&lt;&gt;"")+('Dvd Calendar'!$Z$181=TYPE2)*(TYPE2&lt;&gt;"")+('Dvd Calendar'!$Z$181=TYPE3)*(TYPE3&lt;&gt;"")+('Dvd Calendar'!$Z$181=TYPE4)*(TYPE4&lt;&gt;"")+('Dvd Calendar'!$Z$181=SPECIAL_LBL)*(INC_SPECIALS="Y"))=0,"",'Dvd Calendar'!$Z$179)))</f>
        <v/>
      </c>
      <c r="Y27" s="110">
        <f>IF(FA27="","",IF(ISNUMBER('Dvd Calendar'!$AA$179)=FALSE,"",IF((('Dvd Calendar'!$AA$181=TYPE1)*(TYPE1&lt;&gt;"")+('Dvd Calendar'!$AA$181=TYPE2)*(TYPE2&lt;&gt;"")+('Dvd Calendar'!$AA$181=TYPE3)*(TYPE3&lt;&gt;"")+('Dvd Calendar'!$AA$181=TYPE4)*(TYPE4&lt;&gt;"")+('Dvd Calendar'!$AA$181=SPECIAL_LBL)*(INC_SPECIALS="Y"))=0,"",'Dvd Calendar'!$AA$179)))</f>
        <v/>
      </c>
      <c r="Z27" s="110">
        <f>IF(FB27="","",IF(ISNUMBER('Dvd Calendar'!$AB$179)=FALSE,"",IF((('Dvd Calendar'!$AB$181=TYPE1)*(TYPE1&lt;&gt;"")+('Dvd Calendar'!$AB$181=TYPE2)*(TYPE2&lt;&gt;"")+('Dvd Calendar'!$AB$181=TYPE3)*(TYPE3&lt;&gt;"")+('Dvd Calendar'!$AB$181=TYPE4)*(TYPE4&lt;&gt;"")+('Dvd Calendar'!$AB$181=SPECIAL_LBL)*(INC_SPECIALS="Y"))=0,"",'Dvd Calendar'!$AB$179)))</f>
        <v/>
      </c>
      <c r="AA27" s="110">
        <f>IF(FC27="","",IF(ISNUMBER('Dvd Calendar'!$AC$179)=FALSE,"",IF((('Dvd Calendar'!$AC$181=TYPE1)*(TYPE1&lt;&gt;"")+('Dvd Calendar'!$AC$181=TYPE2)*(TYPE2&lt;&gt;"")+('Dvd Calendar'!$AC$181=TYPE3)*(TYPE3&lt;&gt;"")+('Dvd Calendar'!$AC$181=TYPE4)*(TYPE4&lt;&gt;"")+('Dvd Calendar'!$AC$181=SPECIAL_LBL)*(INC_SPECIALS="Y"))=0,"",'Dvd Calendar'!$AC$179)))</f>
        <v/>
      </c>
      <c r="AB27" s="110">
        <f>IF(FD27="","",IF(ISNUMBER('Dvd Calendar'!$AD$179)=FALSE,"",IF((('Dvd Calendar'!$AD$181=TYPE1)*(TYPE1&lt;&gt;"")+('Dvd Calendar'!$AD$181=TYPE2)*(TYPE2&lt;&gt;"")+('Dvd Calendar'!$AD$181=TYPE3)*(TYPE3&lt;&gt;"")+('Dvd Calendar'!$AD$181=TYPE4)*(TYPE4&lt;&gt;"")+('Dvd Calendar'!$AD$181=SPECIAL_LBL)*(INC_SPECIALS="Y"))=0,"",'Dvd Calendar'!$AD$179)))</f>
        <v/>
      </c>
      <c r="AC27" s="110">
        <f>IF(FE27="","",IF(ISNUMBER('Dvd Calendar'!$AE$179)=FALSE,"",IF((('Dvd Calendar'!$AE$181=TYPE1)*(TYPE1&lt;&gt;"")+('Dvd Calendar'!$AE$181=TYPE2)*(TYPE2&lt;&gt;"")+('Dvd Calendar'!$AE$181=TYPE3)*(TYPE3&lt;&gt;"")+('Dvd Calendar'!$AE$181=TYPE4)*(TYPE4&lt;&gt;"")+('Dvd Calendar'!$AE$181=SPECIAL_LBL)*(INC_SPECIALS="Y"))=0,"",'Dvd Calendar'!$AE$179)))</f>
        <v/>
      </c>
      <c r="AD27" s="110">
        <f>IF(FF27="","",IF(ISNUMBER('Dvd Calendar'!$AF$179)=FALSE,"",IF((('Dvd Calendar'!$AF$181=TYPE1)*(TYPE1&lt;&gt;"")+('Dvd Calendar'!$AF$181=TYPE2)*(TYPE2&lt;&gt;"")+('Dvd Calendar'!$AF$181=TYPE3)*(TYPE3&lt;&gt;"")+('Dvd Calendar'!$AF$181=TYPE4)*(TYPE4&lt;&gt;"")+('Dvd Calendar'!$AF$181=SPECIAL_LBL)*(INC_SPECIALS="Y"))=0,"",'Dvd Calendar'!$AF$179)))</f>
        <v/>
      </c>
      <c r="AE27" s="110">
        <f>IF(FG27="","",IF(ISNUMBER('Dvd Calendar'!$AG$179)=FALSE,"",IF((('Dvd Calendar'!$AG$181=TYPE1)*(TYPE1&lt;&gt;"")+('Dvd Calendar'!$AG$181=TYPE2)*(TYPE2&lt;&gt;"")+('Dvd Calendar'!$AG$181=TYPE3)*(TYPE3&lt;&gt;"")+('Dvd Calendar'!$AG$181=TYPE4)*(TYPE4&lt;&gt;"")+('Dvd Calendar'!$AG$181=SPECIAL_LBL)*(INC_SPECIALS="Y"))=0,"",'Dvd Calendar'!$AG$179)))</f>
        <v/>
      </c>
      <c r="AF27" s="110">
        <f>IF(FH27="","",IF(ISNUMBER('Dvd Calendar'!$AH$179)=FALSE,"",IF((('Dvd Calendar'!$AH$181=TYPE1)*(TYPE1&lt;&gt;"")+('Dvd Calendar'!$AH$181=TYPE2)*(TYPE2&lt;&gt;"")+('Dvd Calendar'!$AH$181=TYPE3)*(TYPE3&lt;&gt;"")+('Dvd Calendar'!$AH$181=TYPE4)*(TYPE4&lt;&gt;"")+('Dvd Calendar'!$AH$181=SPECIAL_LBL)*(INC_SPECIALS="Y"))=0,"",'Dvd Calendar'!$AH$179)))</f>
        <v/>
      </c>
      <c r="AG27" s="110">
        <f>IF(FI27="","",IF(ISNUMBER('Dvd Calendar'!$AI$179)=FALSE,"",IF((('Dvd Calendar'!$AI$181=TYPE1)*(TYPE1&lt;&gt;"")+('Dvd Calendar'!$AI$181=TYPE2)*(TYPE2&lt;&gt;"")+('Dvd Calendar'!$AI$181=TYPE3)*(TYPE3&lt;&gt;"")+('Dvd Calendar'!$AI$181=TYPE4)*(TYPE4&lt;&gt;"")+('Dvd Calendar'!$AI$181=SPECIAL_LBL)*(INC_SPECIALS="Y"))=0,"",'Dvd Calendar'!$AI$179)))</f>
        <v/>
      </c>
      <c r="AH27" s="110">
        <f>IF(FJ27="","",IF(ISNUMBER('Dvd Calendar'!$AJ$179)=FALSE,"",IF((('Dvd Calendar'!$AJ$181=TYPE1)*(TYPE1&lt;&gt;"")+('Dvd Calendar'!$AJ$181=TYPE2)*(TYPE2&lt;&gt;"")+('Dvd Calendar'!$AJ$181=TYPE3)*(TYPE3&lt;&gt;"")+('Dvd Calendar'!$AJ$181=TYPE4)*(TYPE4&lt;&gt;"")+('Dvd Calendar'!$AJ$181=SPECIAL_LBL)*(INC_SPECIALS="Y"))=0,"",'Dvd Calendar'!$AJ$179)))</f>
        <v/>
      </c>
      <c r="AI27" s="110">
        <f>IF(FK27="","",IF(ISNUMBER('Dvd Calendar'!$AK$179)=FALSE,"",IF((('Dvd Calendar'!$AK$181=TYPE1)*(TYPE1&lt;&gt;"")+('Dvd Calendar'!$AK$181=TYPE2)*(TYPE2&lt;&gt;"")+('Dvd Calendar'!$AK$181=TYPE3)*(TYPE3&lt;&gt;"")+('Dvd Calendar'!$AK$181=TYPE4)*(TYPE4&lt;&gt;"")+('Dvd Calendar'!$AK$181=SPECIAL_LBL)*(INC_SPECIALS="Y"))=0,"",'Dvd Calendar'!$AK$179)))</f>
        <v/>
      </c>
      <c r="AJ27" s="110">
        <f>IF(FL27="","",IF(ISNUMBER('Dvd Calendar'!$AL$179)=FALSE,"",IF((('Dvd Calendar'!$AL$181=TYPE1)*(TYPE1&lt;&gt;"")+('Dvd Calendar'!$AL$181=TYPE2)*(TYPE2&lt;&gt;"")+('Dvd Calendar'!$AL$181=TYPE3)*(TYPE3&lt;&gt;"")+('Dvd Calendar'!$AL$181=TYPE4)*(TYPE4&lt;&gt;"")+('Dvd Calendar'!$AL$181=SPECIAL_LBL)*(INC_SPECIALS="Y"))=0,"",'Dvd Calendar'!$AL$179)))</f>
        <v/>
      </c>
      <c r="AK27" s="110">
        <f>IF(FM27="","",IF(ISNUMBER('Dvd Calendar'!$AM$179)=FALSE,"",IF((('Dvd Calendar'!$AM$181=TYPE1)*(TYPE1&lt;&gt;"")+('Dvd Calendar'!$AM$181=TYPE2)*(TYPE2&lt;&gt;"")+('Dvd Calendar'!$AM$181=TYPE3)*(TYPE3&lt;&gt;"")+('Dvd Calendar'!$AM$181=TYPE4)*(TYPE4&lt;&gt;"")+('Dvd Calendar'!$AM$181=SPECIAL_LBL)*(INC_SPECIALS="Y"))=0,"",'Dvd Calendar'!$AM$179)))</f>
        <v/>
      </c>
      <c r="AL27" s="110">
        <f>IF(FN27="","",IF(ISNUMBER('Dvd Calendar'!$AN$179)=FALSE,"",IF((('Dvd Calendar'!$AN$181=TYPE1)*(TYPE1&lt;&gt;"")+('Dvd Calendar'!$AN$181=TYPE2)*(TYPE2&lt;&gt;"")+('Dvd Calendar'!$AN$181=TYPE3)*(TYPE3&lt;&gt;"")+('Dvd Calendar'!$AN$181=TYPE4)*(TYPE4&lt;&gt;"")+('Dvd Calendar'!$AN$181=SPECIAL_LBL)*(INC_SPECIALS="Y"))=0,"",'Dvd Calendar'!$AN$179)))</f>
        <v/>
      </c>
      <c r="AM27" s="110">
        <f>IF(FO27="","",IF(ISNUMBER('Dvd Calendar'!$AO$179)=FALSE,"",IF((('Dvd Calendar'!$AO$181=TYPE1)*(TYPE1&lt;&gt;"")+('Dvd Calendar'!$AO$181=TYPE2)*(TYPE2&lt;&gt;"")+('Dvd Calendar'!$AO$181=TYPE3)*(TYPE3&lt;&gt;"")+('Dvd Calendar'!$AO$181=TYPE4)*(TYPE4&lt;&gt;"")+('Dvd Calendar'!$AO$181=SPECIAL_LBL)*(INC_SPECIALS="Y"))=0,"",'Dvd Calendar'!$AO$179)))</f>
        <v/>
      </c>
      <c r="AN27" s="110">
        <f>IF(FP27="","",IF(ISNUMBER('Dvd Calendar'!$AP$179)=FALSE,"",IF((('Dvd Calendar'!$AP$181=TYPE1)*(TYPE1&lt;&gt;"")+('Dvd Calendar'!$AP$181=TYPE2)*(TYPE2&lt;&gt;"")+('Dvd Calendar'!$AP$181=TYPE3)*(TYPE3&lt;&gt;"")+('Dvd Calendar'!$AP$181=TYPE4)*(TYPE4&lt;&gt;"")+('Dvd Calendar'!$AP$181=SPECIAL_LBL)*(INC_SPECIALS="Y"))=0,"",'Dvd Calendar'!$AP$179)))</f>
        <v/>
      </c>
      <c r="AO27" s="110">
        <f>IF(FQ27="","",IF(ISNUMBER('Dvd Calendar'!$AQ$179)=FALSE,"",IF((('Dvd Calendar'!$AQ$181=TYPE1)*(TYPE1&lt;&gt;"")+('Dvd Calendar'!$AQ$181=TYPE2)*(TYPE2&lt;&gt;"")+('Dvd Calendar'!$AQ$181=TYPE3)*(TYPE3&lt;&gt;"")+('Dvd Calendar'!$AQ$181=TYPE4)*(TYPE4&lt;&gt;"")+('Dvd Calendar'!$AQ$181=SPECIAL_LBL)*(INC_SPECIALS="Y"))=0,"",'Dvd Calendar'!$AQ$179)))</f>
        <v/>
      </c>
      <c r="AP27" s="110">
        <f>IF(FR27="","",IF(ISNUMBER('Dvd Calendar'!$AR$179)=FALSE,"",IF((('Dvd Calendar'!$AR$181=TYPE1)*(TYPE1&lt;&gt;"")+('Dvd Calendar'!$AR$181=TYPE2)*(TYPE2&lt;&gt;"")+('Dvd Calendar'!$AR$181=TYPE3)*(TYPE3&lt;&gt;"")+('Dvd Calendar'!$AR$181=TYPE4)*(TYPE4&lt;&gt;"")+('Dvd Calendar'!$AR$181=SPECIAL_LBL)*(INC_SPECIALS="Y"))=0,"",'Dvd Calendar'!$AR$179)))</f>
        <v/>
      </c>
      <c r="AQ27" s="110">
        <f>IF(FS27="","",IF(ISNUMBER('Dvd Calendar'!$E$184)=FALSE,"",'Dvd Calendar'!$E$184))</f>
        <v/>
      </c>
      <c r="AR27" s="110">
        <f>IF(FT27="","",IF(ISNUMBER('Dvd Calendar'!$F$184)=FALSE,"",'Dvd Calendar'!$F$184))</f>
        <v/>
      </c>
      <c r="AS27" s="110">
        <f>IF(FU27="","",IF(ISNUMBER('Dvd Calendar'!$G$184)=FALSE,"",'Dvd Calendar'!$G$184))</f>
        <v/>
      </c>
      <c r="AT27" s="110">
        <f>IF(FV27="","",IF(ISNUMBER('Dvd Calendar'!$H$184)=FALSE,"",'Dvd Calendar'!$H$184))</f>
        <v/>
      </c>
      <c r="AU27" s="110">
        <f>IF(FW27="","",IF(ISNUMBER('Dvd Calendar'!$I$184)=FALSE,"",'Dvd Calendar'!$I$184))</f>
        <v/>
      </c>
      <c r="AV27" s="110">
        <f>IF(FX27="","",IF(ISNUMBER('Dvd Calendar'!$J$184)=FALSE,"",'Dvd Calendar'!$J$184))</f>
        <v/>
      </c>
      <c r="AW27" s="110">
        <f>IF(FY27="","",IF(ISNUMBER('Dvd Calendar'!$K$184)=FALSE,"",'Dvd Calendar'!$K$184))</f>
        <v/>
      </c>
      <c r="AX27" s="110">
        <f>IF(FZ27="","",IF(ISNUMBER('Dvd Calendar'!$L$184)=FALSE,"",'Dvd Calendar'!$L$184))</f>
        <v/>
      </c>
      <c r="AY27" s="110">
        <f>IF(GA27="","",IF(ISNUMBER('Dvd Calendar'!$M$184)=FALSE,"",'Dvd Calendar'!$M$184))</f>
        <v/>
      </c>
      <c r="AZ27" s="110">
        <f>IF(GB27="","",IF(ISNUMBER('Dvd Calendar'!$N$184)=FALSE,"",'Dvd Calendar'!$N$184))</f>
        <v/>
      </c>
      <c r="BA27" s="110">
        <f>IF(GC27="","",IF(ISNUMBER('Dvd Calendar'!$O$184)=FALSE,"",'Dvd Calendar'!$O$184))</f>
        <v/>
      </c>
      <c r="BB27" s="110">
        <f>IF(GD27="","",IF(ISNUMBER('Dvd Calendar'!$P$184)=FALSE,"",'Dvd Calendar'!$P$184))</f>
        <v/>
      </c>
      <c r="BC27" s="110">
        <f>IF(GE27="","",IF(ISNUMBER('Dvd Calendar'!$Q$184)=FALSE,"",'Dvd Calendar'!$Q$184))</f>
        <v/>
      </c>
      <c r="BD27" s="110">
        <f>IF(GF27="","",IF(ISNUMBER('Dvd Calendar'!$R$184)=FALSE,"",'Dvd Calendar'!$R$184))</f>
        <v/>
      </c>
      <c r="BE27" s="110">
        <f>IF(GG27="","",IF(ISNUMBER('Dvd Calendar'!$S$184)=FALSE,"",'Dvd Calendar'!$S$184))</f>
        <v/>
      </c>
      <c r="BF27" s="110">
        <f>IF(GH27="","",IF(ISNUMBER('Dvd Calendar'!$T$184)=FALSE,"",'Dvd Calendar'!$T$184))</f>
        <v/>
      </c>
      <c r="BG27" s="110">
        <f>IF(GI27="","",IF(ISNUMBER('Dvd Calendar'!$U$184)=FALSE,"",'Dvd Calendar'!$U$184))</f>
        <v/>
      </c>
      <c r="BH27" s="110">
        <f>IF(GJ27="","",IF(ISNUMBER('Dvd Calendar'!$V$184)=FALSE,"",'Dvd Calendar'!$V$184))</f>
        <v/>
      </c>
      <c r="BI27" s="110">
        <f>IF(GK27="","",IF(ISNUMBER('Dvd Calendar'!$W$184)=FALSE,"",'Dvd Calendar'!$W$184))</f>
        <v/>
      </c>
      <c r="BJ27" s="110">
        <f>IF(GL27="","",IF(ISNUMBER('Dvd Calendar'!$X$184)=FALSE,"",'Dvd Calendar'!$X$184))</f>
        <v/>
      </c>
      <c r="BK27" s="110">
        <f>IF(GM27="","",IF(ISNUMBER('Dvd Calendar'!$Y$184)=FALSE,"",'Dvd Calendar'!$Y$184))</f>
        <v/>
      </c>
      <c r="BL27" s="110">
        <f>IF(GN27="","",IF(ISNUMBER('Dvd Calendar'!$Z$184)=FALSE,"",'Dvd Calendar'!$Z$184))</f>
        <v/>
      </c>
      <c r="BM27" s="110">
        <f>IF(GO27="","",IF(ISNUMBER('Dvd Calendar'!$AA$184)=FALSE,"",'Dvd Calendar'!$AA$184))</f>
        <v/>
      </c>
      <c r="BN27" s="110">
        <f>IF(GP27="","",IF(ISNUMBER('Dvd Calendar'!$AB$184)=FALSE,"",'Dvd Calendar'!$AB$184))</f>
        <v/>
      </c>
      <c r="BO27" s="110">
        <f>IF(GQ27="","",IF(ISNUMBER('Dvd Calendar'!$AC$184)=FALSE,"",'Dvd Calendar'!$AC$184))</f>
        <v/>
      </c>
      <c r="BQ27" s="110">
        <f>IF(C27="","",IFERROR(C27*HSI!$B$22*HSI!$G$22/HSI!$B$3,""))</f>
        <v/>
      </c>
      <c r="BR27" s="110">
        <f>IF(D27="","",IFERROR(D27*HSI!$B$22*HSI!$G$22/HSI!$B$3,""))</f>
        <v/>
      </c>
      <c r="BS27" s="110">
        <f>IF(E27="","",IFERROR(E27*HSI!$B$22*HSI!$G$22/HSI!$B$3,""))</f>
        <v/>
      </c>
      <c r="BT27" s="110">
        <f>IF(F27="","",IFERROR(F27*HSI!$B$22*HSI!$G$22/HSI!$B$3,""))</f>
        <v/>
      </c>
      <c r="BU27" s="110">
        <f>IF(G27="","",IFERROR(G27*HSI!$B$22*HSI!$G$22/HSI!$B$3,""))</f>
        <v/>
      </c>
      <c r="BV27" s="110">
        <f>IF(H27="","",IFERROR(H27*HSI!$B$22*HSI!$G$22/HSI!$B$3,""))</f>
        <v/>
      </c>
      <c r="BW27" s="110">
        <f>IF(I27="","",IFERROR(I27*HSI!$B$22*HSI!$G$22/HSI!$B$3,""))</f>
        <v/>
      </c>
      <c r="BX27" s="110">
        <f>IF(J27="","",IFERROR(J27*HSI!$B$22*HSI!$G$22/HSI!$B$3,""))</f>
        <v/>
      </c>
      <c r="BY27" s="110">
        <f>IF(K27="","",IFERROR(K27*HSI!$B$22*HSI!$G$22/HSI!$B$3,""))</f>
        <v/>
      </c>
      <c r="BZ27" s="110">
        <f>IF(L27="","",IFERROR(L27*HSI!$B$22*HSI!$G$22/HSI!$B$3,""))</f>
        <v/>
      </c>
      <c r="CA27" s="110">
        <f>IF(M27="","",IFERROR(M27*HSI!$B$22*HSI!$G$22/HSI!$B$3,""))</f>
        <v/>
      </c>
      <c r="CB27" s="110">
        <f>IF(N27="","",IFERROR(N27*HSI!$B$22*HSI!$G$22/HSI!$B$3,""))</f>
        <v/>
      </c>
      <c r="CC27" s="110">
        <f>IF(O27="","",IFERROR(O27*HSI!$B$22*HSI!$G$22/HSI!$B$3,""))</f>
        <v/>
      </c>
      <c r="CD27" s="110">
        <f>IF(P27="","",IFERROR(P27*HSI!$B$22*HSI!$G$22/HSI!$B$3,""))</f>
        <v/>
      </c>
      <c r="CE27" s="110">
        <f>IF(Q27="","",IFERROR(Q27*HSI!$B$22*HSI!$G$22/HSI!$B$3,""))</f>
        <v/>
      </c>
      <c r="CF27" s="110">
        <f>IF(R27="","",IFERROR(R27*HSI!$B$22*HSI!$G$22/HSI!$B$3,""))</f>
        <v/>
      </c>
      <c r="CG27" s="110">
        <f>IF(S27="","",IFERROR(S27*HSI!$B$22*HSI!$G$22/HSI!$B$3,""))</f>
        <v/>
      </c>
      <c r="CH27" s="110">
        <f>IF(T27="","",IFERROR(T27*HSI!$B$22*HSI!$G$22/HSI!$B$3,""))</f>
        <v/>
      </c>
      <c r="CI27" s="110">
        <f>IF(U27="","",IFERROR(U27*HSI!$B$22*HSI!$G$22/HSI!$B$3,""))</f>
        <v/>
      </c>
      <c r="CJ27" s="110">
        <f>IF(V27="","",IFERROR(V27*HSI!$B$22*HSI!$G$22/HSI!$B$3,""))</f>
        <v/>
      </c>
      <c r="CK27" s="110">
        <f>IF(W27="","",IFERROR(W27*HSI!$B$22*HSI!$G$22/HSI!$B$3,""))</f>
        <v/>
      </c>
      <c r="CL27" s="110">
        <f>IF(X27="","",IFERROR(X27*HSI!$B$22*HSI!$G$22/HSI!$B$3,""))</f>
        <v/>
      </c>
      <c r="CM27" s="110">
        <f>IF(Y27="","",IFERROR(Y27*HSI!$B$22*HSI!$G$22/HSI!$B$3,""))</f>
        <v/>
      </c>
      <c r="CN27" s="110">
        <f>IF(Z27="","",IFERROR(Z27*HSI!$B$22*HSI!$G$22/HSI!$B$3,""))</f>
        <v/>
      </c>
      <c r="CO27" s="110">
        <f>IF(AA27="","",IFERROR(AA27*HSI!$B$22*HSI!$G$22/HSI!$B$3,""))</f>
        <v/>
      </c>
      <c r="CP27" s="110">
        <f>IF(AB27="","",IFERROR(AB27*HSI!$B$22*HSI!$G$22/HSI!$B$3,""))</f>
        <v/>
      </c>
      <c r="CQ27" s="110">
        <f>IF(AC27="","",IFERROR(AC27*HSI!$B$22*HSI!$G$22/HSI!$B$3,""))</f>
        <v/>
      </c>
      <c r="CR27" s="110">
        <f>IF(AD27="","",IFERROR(AD27*HSI!$B$22*HSI!$G$22/HSI!$B$3,""))</f>
        <v/>
      </c>
      <c r="CS27" s="110">
        <f>IF(AE27="","",IFERROR(AE27*HSI!$B$22*HSI!$G$22/HSI!$B$3,""))</f>
        <v/>
      </c>
      <c r="CT27" s="110">
        <f>IF(AF27="","",IFERROR(AF27*HSI!$B$22*HSI!$G$22/HSI!$B$3,""))</f>
        <v/>
      </c>
      <c r="CU27" s="110">
        <f>IF(AG27="","",IFERROR(AG27*HSI!$B$22*HSI!$G$22/HSI!$B$3,""))</f>
        <v/>
      </c>
      <c r="CV27" s="110">
        <f>IF(AH27="","",IFERROR(AH27*HSI!$B$22*HSI!$G$22/HSI!$B$3,""))</f>
        <v/>
      </c>
      <c r="CW27" s="110">
        <f>IF(AI27="","",IFERROR(AI27*HSI!$B$22*HSI!$G$22/HSI!$B$3,""))</f>
        <v/>
      </c>
      <c r="CX27" s="110">
        <f>IF(AJ27="","",IFERROR(AJ27*HSI!$B$22*HSI!$G$22/HSI!$B$3,""))</f>
        <v/>
      </c>
      <c r="CY27" s="110">
        <f>IF(AK27="","",IFERROR(AK27*HSI!$B$22*HSI!$G$22/HSI!$B$3,""))</f>
        <v/>
      </c>
      <c r="CZ27" s="110">
        <f>IF(AL27="","",IFERROR(AL27*HSI!$B$22*HSI!$G$22/HSI!$B$3,""))</f>
        <v/>
      </c>
      <c r="DA27" s="110">
        <f>IF(AM27="","",IFERROR(AM27*HSI!$B$22*HSI!$G$22/HSI!$B$3,""))</f>
        <v/>
      </c>
      <c r="DB27" s="110">
        <f>IF(AN27="","",IFERROR(AN27*HSI!$B$22*HSI!$G$22/HSI!$B$3,""))</f>
        <v/>
      </c>
      <c r="DC27" s="110">
        <f>IF(AO27="","",IFERROR(AO27*HSI!$B$22*HSI!$G$22/HSI!$B$3,""))</f>
        <v/>
      </c>
      <c r="DD27" s="110">
        <f>IF(AP27="","",IFERROR(AP27*HSI!$B$22*HSI!$G$22/HSI!$B$3,""))</f>
        <v/>
      </c>
      <c r="DE27" s="110">
        <f>IF(AQ27="","",IFERROR(AQ27*HSI!$B$22*HSI!$G$22/HSI!$B$3,""))</f>
        <v/>
      </c>
      <c r="DF27" s="110">
        <f>IF(AR27="","",IFERROR(AR27*HSI!$B$22*HSI!$G$22/HSI!$B$3,""))</f>
        <v/>
      </c>
      <c r="DG27" s="110">
        <f>IF(AS27="","",IFERROR(AS27*HSI!$B$22*HSI!$G$22/HSI!$B$3,""))</f>
        <v/>
      </c>
      <c r="DH27" s="110">
        <f>IF(AT27="","",IFERROR(AT27*HSI!$B$22*HSI!$G$22/HSI!$B$3,""))</f>
        <v/>
      </c>
      <c r="DI27" s="110">
        <f>IF(AU27="","",IFERROR(AU27*HSI!$B$22*HSI!$G$22/HSI!$B$3,""))</f>
        <v/>
      </c>
      <c r="DJ27" s="110">
        <f>IF(AV27="","",IFERROR(AV27*HSI!$B$22*HSI!$G$22/HSI!$B$3,""))</f>
        <v/>
      </c>
      <c r="DK27" s="110">
        <f>IF(AW27="","",IFERROR(AW27*HSI!$B$22*HSI!$G$22/HSI!$B$3,""))</f>
        <v/>
      </c>
      <c r="DL27" s="110">
        <f>IF(AX27="","",IFERROR(AX27*HSI!$B$22*HSI!$G$22/HSI!$B$3,""))</f>
        <v/>
      </c>
      <c r="DM27" s="110">
        <f>IF(AY27="","",IFERROR(AY27*HSI!$B$22*HSI!$G$22/HSI!$B$3,""))</f>
        <v/>
      </c>
      <c r="DN27" s="110">
        <f>IF(AZ27="","",IFERROR(AZ27*HSI!$B$22*HSI!$G$22/HSI!$B$3,""))</f>
        <v/>
      </c>
      <c r="DO27" s="110">
        <f>IF(BA27="","",IFERROR(BA27*HSI!$B$22*HSI!$G$22/HSI!$B$3,""))</f>
        <v/>
      </c>
      <c r="DP27" s="110">
        <f>IF(BB27="","",IFERROR(BB27*HSI!$B$22*HSI!$G$22/HSI!$B$3,""))</f>
        <v/>
      </c>
      <c r="DQ27" s="110">
        <f>IF(BC27="","",IFERROR(BC27*HSI!$B$22*HSI!$G$22/HSI!$B$3,""))</f>
        <v/>
      </c>
      <c r="DR27" s="110">
        <f>IF(BD27="","",IFERROR(BD27*HSI!$B$22*HSI!$G$22/HSI!$B$3,""))</f>
        <v/>
      </c>
      <c r="DS27" s="110">
        <f>IF(BE27="","",IFERROR(BE27*HSI!$B$22*HSI!$G$22/HSI!$B$3,""))</f>
        <v/>
      </c>
      <c r="DT27" s="110">
        <f>IF(BF27="","",IFERROR(BF27*HSI!$B$22*HSI!$G$22/HSI!$B$3,""))</f>
        <v/>
      </c>
      <c r="DU27" s="110">
        <f>IF(BG27="","",IFERROR(BG27*HSI!$B$22*HSI!$G$22/HSI!$B$3,""))</f>
        <v/>
      </c>
      <c r="DV27" s="110">
        <f>IF(BH27="","",IFERROR(BH27*HSI!$B$22*HSI!$G$22/HSI!$B$3,""))</f>
        <v/>
      </c>
      <c r="DW27" s="110">
        <f>IF(BI27="","",IFERROR(BI27*HSI!$B$22*HSI!$G$22/HSI!$B$3,""))</f>
        <v/>
      </c>
      <c r="DX27" s="110">
        <f>IF(BJ27="","",IFERROR(BJ27*HSI!$B$22*HSI!$G$22/HSI!$B$3,""))</f>
        <v/>
      </c>
      <c r="DY27" s="110">
        <f>IF(BK27="","",IFERROR(BK27*HSI!$B$22*HSI!$G$22/HSI!$B$3,""))</f>
        <v/>
      </c>
      <c r="DZ27" s="110">
        <f>IF(BL27="","",IFERROR(BL27*HSI!$B$22*HSI!$G$22/HSI!$B$3,""))</f>
        <v/>
      </c>
      <c r="EA27" s="110">
        <f>IF(BM27="","",IFERROR(BM27*HSI!$B$22*HSI!$G$22/HSI!$B$3,""))</f>
        <v/>
      </c>
      <c r="EB27" s="110">
        <f>IF(BN27="","",IFERROR(BN27*HSI!$B$22*HSI!$G$22/HSI!$B$3,""))</f>
        <v/>
      </c>
      <c r="EC27" s="110">
        <f>IF(BO27="","",IFERROR(BO27*HSI!$B$22*HSI!$G$22/HSI!$B$3,""))</f>
        <v/>
      </c>
      <c r="EE27" s="39">
        <f>IF(N('Dvd Calendar'!$E$176)=0,"",IF(('Dvd Calendar'!$E$176&gt;=GRID_FROM)*('Dvd Calendar'!$E$176&lt;=GRID_TO)*((('Dvd Calendar'!$E$176&lt;=VAL_DATE)+(COUNTIF('Dvd Calendar'!$E$183:$AR$183,'Dvd Calendar'!$E$176)=0))&gt;0)=0,"",'Dvd Calendar'!$E$176*1000000000+ISNUMBER('Dvd Calendar'!$E$179)*100000000+('Dvd Calendar'!$E$181=SPECIAL_LBL)*10000000+(N('Dvd Calendar'!$E$175)&gt;0)*(N('Dvd Calendar'!$E$175)&lt;=VAL_SERIAL)*1000000+16*1000+1))</f>
        <v/>
      </c>
      <c r="EF27" s="39">
        <f>IF(N('Dvd Calendar'!$F$176)=0,"",IF(('Dvd Calendar'!$F$176&gt;=GRID_FROM)*('Dvd Calendar'!$F$176&lt;=GRID_TO)*((('Dvd Calendar'!$F$176&lt;=VAL_DATE)+(COUNTIF('Dvd Calendar'!$E$183:$AR$183,'Dvd Calendar'!$F$176)=0))&gt;0)=0,"",'Dvd Calendar'!$F$176*1000000000+ISNUMBER('Dvd Calendar'!$F$179)*100000000+('Dvd Calendar'!$F$181=SPECIAL_LBL)*10000000+(N('Dvd Calendar'!$F$175)&gt;0)*(N('Dvd Calendar'!$F$175)&lt;=VAL_SERIAL)*1000000+16*1000+2))</f>
        <v/>
      </c>
      <c r="EG27" s="39">
        <f>IF(N('Dvd Calendar'!$G$176)=0,"",IF(('Dvd Calendar'!$G$176&gt;=GRID_FROM)*('Dvd Calendar'!$G$176&lt;=GRID_TO)*((('Dvd Calendar'!$G$176&lt;=VAL_DATE)+(COUNTIF('Dvd Calendar'!$E$183:$AR$183,'Dvd Calendar'!$G$176)=0))&gt;0)=0,"",'Dvd Calendar'!$G$176*1000000000+ISNUMBER('Dvd Calendar'!$G$179)*100000000+('Dvd Calendar'!$G$181=SPECIAL_LBL)*10000000+(N('Dvd Calendar'!$G$175)&gt;0)*(N('Dvd Calendar'!$G$175)&lt;=VAL_SERIAL)*1000000+16*1000+3))</f>
        <v/>
      </c>
      <c r="EH27" s="39">
        <f>IF(N('Dvd Calendar'!$H$176)=0,"",IF(('Dvd Calendar'!$H$176&gt;=GRID_FROM)*('Dvd Calendar'!$H$176&lt;=GRID_TO)*((('Dvd Calendar'!$H$176&lt;=VAL_DATE)+(COUNTIF('Dvd Calendar'!$E$183:$AR$183,'Dvd Calendar'!$H$176)=0))&gt;0)=0,"",'Dvd Calendar'!$H$176*1000000000+ISNUMBER('Dvd Calendar'!$H$179)*100000000+('Dvd Calendar'!$H$181=SPECIAL_LBL)*10000000+(N('Dvd Calendar'!$H$175)&gt;0)*(N('Dvd Calendar'!$H$175)&lt;=VAL_SERIAL)*1000000+16*1000+4))</f>
        <v/>
      </c>
      <c r="EI27" s="39">
        <f>IF(N('Dvd Calendar'!$I$176)=0,"",IF(('Dvd Calendar'!$I$176&gt;=GRID_FROM)*('Dvd Calendar'!$I$176&lt;=GRID_TO)*((('Dvd Calendar'!$I$176&lt;=VAL_DATE)+(COUNTIF('Dvd Calendar'!$E$183:$AR$183,'Dvd Calendar'!$I$176)=0))&gt;0)=0,"",'Dvd Calendar'!$I$176*1000000000+ISNUMBER('Dvd Calendar'!$I$179)*100000000+('Dvd Calendar'!$I$181=SPECIAL_LBL)*10000000+(N('Dvd Calendar'!$I$175)&gt;0)*(N('Dvd Calendar'!$I$175)&lt;=VAL_SERIAL)*1000000+16*1000+5))</f>
        <v/>
      </c>
      <c r="EJ27" s="39">
        <f>IF(N('Dvd Calendar'!$J$176)=0,"",IF(('Dvd Calendar'!$J$176&gt;=GRID_FROM)*('Dvd Calendar'!$J$176&lt;=GRID_TO)*((('Dvd Calendar'!$J$176&lt;=VAL_DATE)+(COUNTIF('Dvd Calendar'!$E$183:$AR$183,'Dvd Calendar'!$J$176)=0))&gt;0)=0,"",'Dvd Calendar'!$J$176*1000000000+ISNUMBER('Dvd Calendar'!$J$179)*100000000+('Dvd Calendar'!$J$181=SPECIAL_LBL)*10000000+(N('Dvd Calendar'!$J$175)&gt;0)*(N('Dvd Calendar'!$J$175)&lt;=VAL_SERIAL)*1000000+16*1000+6))</f>
        <v/>
      </c>
      <c r="EK27" s="39">
        <f>IF(N('Dvd Calendar'!$K$176)=0,"",IF(('Dvd Calendar'!$K$176&gt;=GRID_FROM)*('Dvd Calendar'!$K$176&lt;=GRID_TO)*((('Dvd Calendar'!$K$176&lt;=VAL_DATE)+(COUNTIF('Dvd Calendar'!$E$183:$AR$183,'Dvd Calendar'!$K$176)=0))&gt;0)=0,"",'Dvd Calendar'!$K$176*1000000000+ISNUMBER('Dvd Calendar'!$K$179)*100000000+('Dvd Calendar'!$K$181=SPECIAL_LBL)*10000000+(N('Dvd Calendar'!$K$175)&gt;0)*(N('Dvd Calendar'!$K$175)&lt;=VAL_SERIAL)*1000000+16*1000+7))</f>
        <v/>
      </c>
      <c r="EL27" s="39">
        <f>IF(N('Dvd Calendar'!$L$176)=0,"",IF(('Dvd Calendar'!$L$176&gt;=GRID_FROM)*('Dvd Calendar'!$L$176&lt;=GRID_TO)*((('Dvd Calendar'!$L$176&lt;=VAL_DATE)+(COUNTIF('Dvd Calendar'!$E$183:$AR$183,'Dvd Calendar'!$L$176)=0))&gt;0)=0,"",'Dvd Calendar'!$L$176*1000000000+ISNUMBER('Dvd Calendar'!$L$179)*100000000+('Dvd Calendar'!$L$181=SPECIAL_LBL)*10000000+(N('Dvd Calendar'!$L$175)&gt;0)*(N('Dvd Calendar'!$L$175)&lt;=VAL_SERIAL)*1000000+16*1000+8))</f>
        <v/>
      </c>
      <c r="EM27" s="39">
        <f>IF(N('Dvd Calendar'!$M$176)=0,"",IF(('Dvd Calendar'!$M$176&gt;=GRID_FROM)*('Dvd Calendar'!$M$176&lt;=GRID_TO)*((('Dvd Calendar'!$M$176&lt;=VAL_DATE)+(COUNTIF('Dvd Calendar'!$E$183:$AR$183,'Dvd Calendar'!$M$176)=0))&gt;0)=0,"",'Dvd Calendar'!$M$176*1000000000+ISNUMBER('Dvd Calendar'!$M$179)*100000000+('Dvd Calendar'!$M$181=SPECIAL_LBL)*10000000+(N('Dvd Calendar'!$M$175)&gt;0)*(N('Dvd Calendar'!$M$175)&lt;=VAL_SERIAL)*1000000+16*1000+9))</f>
        <v/>
      </c>
      <c r="EN27" s="39">
        <f>IF(N('Dvd Calendar'!$N$176)=0,"",IF(('Dvd Calendar'!$N$176&gt;=GRID_FROM)*('Dvd Calendar'!$N$176&lt;=GRID_TO)*((('Dvd Calendar'!$N$176&lt;=VAL_DATE)+(COUNTIF('Dvd Calendar'!$E$183:$AR$183,'Dvd Calendar'!$N$176)=0))&gt;0)=0,"",'Dvd Calendar'!$N$176*1000000000+ISNUMBER('Dvd Calendar'!$N$179)*100000000+('Dvd Calendar'!$N$181=SPECIAL_LBL)*10000000+(N('Dvd Calendar'!$N$175)&gt;0)*(N('Dvd Calendar'!$N$175)&lt;=VAL_SERIAL)*1000000+16*1000+10))</f>
        <v/>
      </c>
      <c r="EO27" s="39">
        <f>IF(N('Dvd Calendar'!$O$176)=0,"",IF(('Dvd Calendar'!$O$176&gt;=GRID_FROM)*('Dvd Calendar'!$O$176&lt;=GRID_TO)*((('Dvd Calendar'!$O$176&lt;=VAL_DATE)+(COUNTIF('Dvd Calendar'!$E$183:$AR$183,'Dvd Calendar'!$O$176)=0))&gt;0)=0,"",'Dvd Calendar'!$O$176*1000000000+ISNUMBER('Dvd Calendar'!$O$179)*100000000+('Dvd Calendar'!$O$181=SPECIAL_LBL)*10000000+(N('Dvd Calendar'!$O$175)&gt;0)*(N('Dvd Calendar'!$O$175)&lt;=VAL_SERIAL)*1000000+16*1000+11))</f>
        <v/>
      </c>
      <c r="EP27" s="39">
        <f>IF(N('Dvd Calendar'!$P$176)=0,"",IF(('Dvd Calendar'!$P$176&gt;=GRID_FROM)*('Dvd Calendar'!$P$176&lt;=GRID_TO)*((('Dvd Calendar'!$P$176&lt;=VAL_DATE)+(COUNTIF('Dvd Calendar'!$E$183:$AR$183,'Dvd Calendar'!$P$176)=0))&gt;0)=0,"",'Dvd Calendar'!$P$176*1000000000+ISNUMBER('Dvd Calendar'!$P$179)*100000000+('Dvd Calendar'!$P$181=SPECIAL_LBL)*10000000+(N('Dvd Calendar'!$P$175)&gt;0)*(N('Dvd Calendar'!$P$175)&lt;=VAL_SERIAL)*1000000+16*1000+12))</f>
        <v/>
      </c>
      <c r="EQ27" s="39">
        <f>IF(N('Dvd Calendar'!$Q$176)=0,"",IF(('Dvd Calendar'!$Q$176&gt;=GRID_FROM)*('Dvd Calendar'!$Q$176&lt;=GRID_TO)*((('Dvd Calendar'!$Q$176&lt;=VAL_DATE)+(COUNTIF('Dvd Calendar'!$E$183:$AR$183,'Dvd Calendar'!$Q$176)=0))&gt;0)=0,"",'Dvd Calendar'!$Q$176*1000000000+ISNUMBER('Dvd Calendar'!$Q$179)*100000000+('Dvd Calendar'!$Q$181=SPECIAL_LBL)*10000000+(N('Dvd Calendar'!$Q$175)&gt;0)*(N('Dvd Calendar'!$Q$175)&lt;=VAL_SERIAL)*1000000+16*1000+13))</f>
        <v/>
      </c>
      <c r="ER27" s="39">
        <f>IF(N('Dvd Calendar'!$R$176)=0,"",IF(('Dvd Calendar'!$R$176&gt;=GRID_FROM)*('Dvd Calendar'!$R$176&lt;=GRID_TO)*((('Dvd Calendar'!$R$176&lt;=VAL_DATE)+(COUNTIF('Dvd Calendar'!$E$183:$AR$183,'Dvd Calendar'!$R$176)=0))&gt;0)=0,"",'Dvd Calendar'!$R$176*1000000000+ISNUMBER('Dvd Calendar'!$R$179)*100000000+('Dvd Calendar'!$R$181=SPECIAL_LBL)*10000000+(N('Dvd Calendar'!$R$175)&gt;0)*(N('Dvd Calendar'!$R$175)&lt;=VAL_SERIAL)*1000000+16*1000+14))</f>
        <v/>
      </c>
      <c r="ES27" s="39">
        <f>IF(N('Dvd Calendar'!$S$176)=0,"",IF(('Dvd Calendar'!$S$176&gt;=GRID_FROM)*('Dvd Calendar'!$S$176&lt;=GRID_TO)*((('Dvd Calendar'!$S$176&lt;=VAL_DATE)+(COUNTIF('Dvd Calendar'!$E$183:$AR$183,'Dvd Calendar'!$S$176)=0))&gt;0)=0,"",'Dvd Calendar'!$S$176*1000000000+ISNUMBER('Dvd Calendar'!$S$179)*100000000+('Dvd Calendar'!$S$181=SPECIAL_LBL)*10000000+(N('Dvd Calendar'!$S$175)&gt;0)*(N('Dvd Calendar'!$S$175)&lt;=VAL_SERIAL)*1000000+16*1000+15))</f>
        <v/>
      </c>
      <c r="ET27" s="39">
        <f>IF(N('Dvd Calendar'!$T$176)=0,"",IF(('Dvd Calendar'!$T$176&gt;=GRID_FROM)*('Dvd Calendar'!$T$176&lt;=GRID_TO)*((('Dvd Calendar'!$T$176&lt;=VAL_DATE)+(COUNTIF('Dvd Calendar'!$E$183:$AR$183,'Dvd Calendar'!$T$176)=0))&gt;0)=0,"",'Dvd Calendar'!$T$176*1000000000+ISNUMBER('Dvd Calendar'!$T$179)*100000000+('Dvd Calendar'!$T$181=SPECIAL_LBL)*10000000+(N('Dvd Calendar'!$T$175)&gt;0)*(N('Dvd Calendar'!$T$175)&lt;=VAL_SERIAL)*1000000+16*1000+16))</f>
        <v/>
      </c>
      <c r="EU27" s="39">
        <f>IF(N('Dvd Calendar'!$U$176)=0,"",IF(('Dvd Calendar'!$U$176&gt;=GRID_FROM)*('Dvd Calendar'!$U$176&lt;=GRID_TO)*((('Dvd Calendar'!$U$176&lt;=VAL_DATE)+(COUNTIF('Dvd Calendar'!$E$183:$AR$183,'Dvd Calendar'!$U$176)=0))&gt;0)=0,"",'Dvd Calendar'!$U$176*1000000000+ISNUMBER('Dvd Calendar'!$U$179)*100000000+('Dvd Calendar'!$U$181=SPECIAL_LBL)*10000000+(N('Dvd Calendar'!$U$175)&gt;0)*(N('Dvd Calendar'!$U$175)&lt;=VAL_SERIAL)*1000000+16*1000+17))</f>
        <v/>
      </c>
      <c r="EV27" s="39">
        <f>IF(N('Dvd Calendar'!$V$176)=0,"",IF(('Dvd Calendar'!$V$176&gt;=GRID_FROM)*('Dvd Calendar'!$V$176&lt;=GRID_TO)*((('Dvd Calendar'!$V$176&lt;=VAL_DATE)+(COUNTIF('Dvd Calendar'!$E$183:$AR$183,'Dvd Calendar'!$V$176)=0))&gt;0)=0,"",'Dvd Calendar'!$V$176*1000000000+ISNUMBER('Dvd Calendar'!$V$179)*100000000+('Dvd Calendar'!$V$181=SPECIAL_LBL)*10000000+(N('Dvd Calendar'!$V$175)&gt;0)*(N('Dvd Calendar'!$V$175)&lt;=VAL_SERIAL)*1000000+16*1000+18))</f>
        <v/>
      </c>
      <c r="EW27" s="39">
        <f>IF(N('Dvd Calendar'!$W$176)=0,"",IF(('Dvd Calendar'!$W$176&gt;=GRID_FROM)*('Dvd Calendar'!$W$176&lt;=GRID_TO)*((('Dvd Calendar'!$W$176&lt;=VAL_DATE)+(COUNTIF('Dvd Calendar'!$E$183:$AR$183,'Dvd Calendar'!$W$176)=0))&gt;0)=0,"",'Dvd Calendar'!$W$176*1000000000+ISNUMBER('Dvd Calendar'!$W$179)*100000000+('Dvd Calendar'!$W$181=SPECIAL_LBL)*10000000+(N('Dvd Calendar'!$W$175)&gt;0)*(N('Dvd Calendar'!$W$175)&lt;=VAL_SERIAL)*1000000+16*1000+19))</f>
        <v/>
      </c>
      <c r="EX27" s="39">
        <f>IF(N('Dvd Calendar'!$X$176)=0,"",IF(('Dvd Calendar'!$X$176&gt;=GRID_FROM)*('Dvd Calendar'!$X$176&lt;=GRID_TO)*((('Dvd Calendar'!$X$176&lt;=VAL_DATE)+(COUNTIF('Dvd Calendar'!$E$183:$AR$183,'Dvd Calendar'!$X$176)=0))&gt;0)=0,"",'Dvd Calendar'!$X$176*1000000000+ISNUMBER('Dvd Calendar'!$X$179)*100000000+('Dvd Calendar'!$X$181=SPECIAL_LBL)*10000000+(N('Dvd Calendar'!$X$175)&gt;0)*(N('Dvd Calendar'!$X$175)&lt;=VAL_SERIAL)*1000000+16*1000+20))</f>
        <v/>
      </c>
      <c r="EY27" s="39">
        <f>IF(N('Dvd Calendar'!$Y$176)=0,"",IF(('Dvd Calendar'!$Y$176&gt;=GRID_FROM)*('Dvd Calendar'!$Y$176&lt;=GRID_TO)*((('Dvd Calendar'!$Y$176&lt;=VAL_DATE)+(COUNTIF('Dvd Calendar'!$E$183:$AR$183,'Dvd Calendar'!$Y$176)=0))&gt;0)=0,"",'Dvd Calendar'!$Y$176*1000000000+ISNUMBER('Dvd Calendar'!$Y$179)*100000000+('Dvd Calendar'!$Y$181=SPECIAL_LBL)*10000000+(N('Dvd Calendar'!$Y$175)&gt;0)*(N('Dvd Calendar'!$Y$175)&lt;=VAL_SERIAL)*1000000+16*1000+21))</f>
        <v/>
      </c>
      <c r="EZ27" s="39">
        <f>IF(N('Dvd Calendar'!$Z$176)=0,"",IF(('Dvd Calendar'!$Z$176&gt;=GRID_FROM)*('Dvd Calendar'!$Z$176&lt;=GRID_TO)*((('Dvd Calendar'!$Z$176&lt;=VAL_DATE)+(COUNTIF('Dvd Calendar'!$E$183:$AR$183,'Dvd Calendar'!$Z$176)=0))&gt;0)=0,"",'Dvd Calendar'!$Z$176*1000000000+ISNUMBER('Dvd Calendar'!$Z$179)*100000000+('Dvd Calendar'!$Z$181=SPECIAL_LBL)*10000000+(N('Dvd Calendar'!$Z$175)&gt;0)*(N('Dvd Calendar'!$Z$175)&lt;=VAL_SERIAL)*1000000+16*1000+22))</f>
        <v/>
      </c>
      <c r="FA27" s="39">
        <f>IF(N('Dvd Calendar'!$AA$176)=0,"",IF(('Dvd Calendar'!$AA$176&gt;=GRID_FROM)*('Dvd Calendar'!$AA$176&lt;=GRID_TO)*((('Dvd Calendar'!$AA$176&lt;=VAL_DATE)+(COUNTIF('Dvd Calendar'!$E$183:$AR$183,'Dvd Calendar'!$AA$176)=0))&gt;0)=0,"",'Dvd Calendar'!$AA$176*1000000000+ISNUMBER('Dvd Calendar'!$AA$179)*100000000+('Dvd Calendar'!$AA$181=SPECIAL_LBL)*10000000+(N('Dvd Calendar'!$AA$175)&gt;0)*(N('Dvd Calendar'!$AA$175)&lt;=VAL_SERIAL)*1000000+16*1000+23))</f>
        <v/>
      </c>
      <c r="FB27" s="39">
        <f>IF(N('Dvd Calendar'!$AB$176)=0,"",IF(('Dvd Calendar'!$AB$176&gt;=GRID_FROM)*('Dvd Calendar'!$AB$176&lt;=GRID_TO)*((('Dvd Calendar'!$AB$176&lt;=VAL_DATE)+(COUNTIF('Dvd Calendar'!$E$183:$AR$183,'Dvd Calendar'!$AB$176)=0))&gt;0)=0,"",'Dvd Calendar'!$AB$176*1000000000+ISNUMBER('Dvd Calendar'!$AB$179)*100000000+('Dvd Calendar'!$AB$181=SPECIAL_LBL)*10000000+(N('Dvd Calendar'!$AB$175)&gt;0)*(N('Dvd Calendar'!$AB$175)&lt;=VAL_SERIAL)*1000000+16*1000+24))</f>
        <v/>
      </c>
      <c r="FC27" s="39">
        <f>IF(N('Dvd Calendar'!$AC$176)=0,"",IF(('Dvd Calendar'!$AC$176&gt;=GRID_FROM)*('Dvd Calendar'!$AC$176&lt;=GRID_TO)*((('Dvd Calendar'!$AC$176&lt;=VAL_DATE)+(COUNTIF('Dvd Calendar'!$E$183:$AR$183,'Dvd Calendar'!$AC$176)=0))&gt;0)=0,"",'Dvd Calendar'!$AC$176*1000000000+ISNUMBER('Dvd Calendar'!$AC$179)*100000000+('Dvd Calendar'!$AC$181=SPECIAL_LBL)*10000000+(N('Dvd Calendar'!$AC$175)&gt;0)*(N('Dvd Calendar'!$AC$175)&lt;=VAL_SERIAL)*1000000+16*1000+25))</f>
        <v/>
      </c>
      <c r="FD27" s="39">
        <f>IF(N('Dvd Calendar'!$AD$176)=0,"",IF(('Dvd Calendar'!$AD$176&gt;=GRID_FROM)*('Dvd Calendar'!$AD$176&lt;=GRID_TO)*((('Dvd Calendar'!$AD$176&lt;=VAL_DATE)+(COUNTIF('Dvd Calendar'!$E$183:$AR$183,'Dvd Calendar'!$AD$176)=0))&gt;0)=0,"",'Dvd Calendar'!$AD$176*1000000000+ISNUMBER('Dvd Calendar'!$AD$179)*100000000+('Dvd Calendar'!$AD$181=SPECIAL_LBL)*10000000+(N('Dvd Calendar'!$AD$175)&gt;0)*(N('Dvd Calendar'!$AD$175)&lt;=VAL_SERIAL)*1000000+16*1000+26))</f>
        <v/>
      </c>
      <c r="FE27" s="39">
        <f>IF(N('Dvd Calendar'!$AE$176)=0,"",IF(('Dvd Calendar'!$AE$176&gt;=GRID_FROM)*('Dvd Calendar'!$AE$176&lt;=GRID_TO)*((('Dvd Calendar'!$AE$176&lt;=VAL_DATE)+(COUNTIF('Dvd Calendar'!$E$183:$AR$183,'Dvd Calendar'!$AE$176)=0))&gt;0)=0,"",'Dvd Calendar'!$AE$176*1000000000+ISNUMBER('Dvd Calendar'!$AE$179)*100000000+('Dvd Calendar'!$AE$181=SPECIAL_LBL)*10000000+(N('Dvd Calendar'!$AE$175)&gt;0)*(N('Dvd Calendar'!$AE$175)&lt;=VAL_SERIAL)*1000000+16*1000+27))</f>
        <v/>
      </c>
      <c r="FF27" s="39">
        <f>IF(N('Dvd Calendar'!$AF$176)=0,"",IF(('Dvd Calendar'!$AF$176&gt;=GRID_FROM)*('Dvd Calendar'!$AF$176&lt;=GRID_TO)*((('Dvd Calendar'!$AF$176&lt;=VAL_DATE)+(COUNTIF('Dvd Calendar'!$E$183:$AR$183,'Dvd Calendar'!$AF$176)=0))&gt;0)=0,"",'Dvd Calendar'!$AF$176*1000000000+ISNUMBER('Dvd Calendar'!$AF$179)*100000000+('Dvd Calendar'!$AF$181=SPECIAL_LBL)*10000000+(N('Dvd Calendar'!$AF$175)&gt;0)*(N('Dvd Calendar'!$AF$175)&lt;=VAL_SERIAL)*1000000+16*1000+28))</f>
        <v/>
      </c>
      <c r="FG27" s="39">
        <f>IF(N('Dvd Calendar'!$AG$176)=0,"",IF(('Dvd Calendar'!$AG$176&gt;=GRID_FROM)*('Dvd Calendar'!$AG$176&lt;=GRID_TO)*((('Dvd Calendar'!$AG$176&lt;=VAL_DATE)+(COUNTIF('Dvd Calendar'!$E$183:$AR$183,'Dvd Calendar'!$AG$176)=0))&gt;0)=0,"",'Dvd Calendar'!$AG$176*1000000000+ISNUMBER('Dvd Calendar'!$AG$179)*100000000+('Dvd Calendar'!$AG$181=SPECIAL_LBL)*10000000+(N('Dvd Calendar'!$AG$175)&gt;0)*(N('Dvd Calendar'!$AG$175)&lt;=VAL_SERIAL)*1000000+16*1000+29))</f>
        <v/>
      </c>
      <c r="FH27" s="39">
        <f>IF(N('Dvd Calendar'!$AH$176)=0,"",IF(('Dvd Calendar'!$AH$176&gt;=GRID_FROM)*('Dvd Calendar'!$AH$176&lt;=GRID_TO)*((('Dvd Calendar'!$AH$176&lt;=VAL_DATE)+(COUNTIF('Dvd Calendar'!$E$183:$AR$183,'Dvd Calendar'!$AH$176)=0))&gt;0)=0,"",'Dvd Calendar'!$AH$176*1000000000+ISNUMBER('Dvd Calendar'!$AH$179)*100000000+('Dvd Calendar'!$AH$181=SPECIAL_LBL)*10000000+(N('Dvd Calendar'!$AH$175)&gt;0)*(N('Dvd Calendar'!$AH$175)&lt;=VAL_SERIAL)*1000000+16*1000+30))</f>
        <v/>
      </c>
      <c r="FI27" s="39">
        <f>IF(N('Dvd Calendar'!$AI$176)=0,"",IF(('Dvd Calendar'!$AI$176&gt;=GRID_FROM)*('Dvd Calendar'!$AI$176&lt;=GRID_TO)*((('Dvd Calendar'!$AI$176&lt;=VAL_DATE)+(COUNTIF('Dvd Calendar'!$E$183:$AR$183,'Dvd Calendar'!$AI$176)=0))&gt;0)=0,"",'Dvd Calendar'!$AI$176*1000000000+ISNUMBER('Dvd Calendar'!$AI$179)*100000000+('Dvd Calendar'!$AI$181=SPECIAL_LBL)*10000000+(N('Dvd Calendar'!$AI$175)&gt;0)*(N('Dvd Calendar'!$AI$175)&lt;=VAL_SERIAL)*1000000+16*1000+31))</f>
        <v/>
      </c>
      <c r="FJ27" s="39">
        <f>IF(N('Dvd Calendar'!$AJ$176)=0,"",IF(('Dvd Calendar'!$AJ$176&gt;=GRID_FROM)*('Dvd Calendar'!$AJ$176&lt;=GRID_TO)*((('Dvd Calendar'!$AJ$176&lt;=VAL_DATE)+(COUNTIF('Dvd Calendar'!$E$183:$AR$183,'Dvd Calendar'!$AJ$176)=0))&gt;0)=0,"",'Dvd Calendar'!$AJ$176*1000000000+ISNUMBER('Dvd Calendar'!$AJ$179)*100000000+('Dvd Calendar'!$AJ$181=SPECIAL_LBL)*10000000+(N('Dvd Calendar'!$AJ$175)&gt;0)*(N('Dvd Calendar'!$AJ$175)&lt;=VAL_SERIAL)*1000000+16*1000+32))</f>
        <v/>
      </c>
      <c r="FK27" s="39">
        <f>IF(N('Dvd Calendar'!$AK$176)=0,"",IF(('Dvd Calendar'!$AK$176&gt;=GRID_FROM)*('Dvd Calendar'!$AK$176&lt;=GRID_TO)*((('Dvd Calendar'!$AK$176&lt;=VAL_DATE)+(COUNTIF('Dvd Calendar'!$E$183:$AR$183,'Dvd Calendar'!$AK$176)=0))&gt;0)=0,"",'Dvd Calendar'!$AK$176*1000000000+ISNUMBER('Dvd Calendar'!$AK$179)*100000000+('Dvd Calendar'!$AK$181=SPECIAL_LBL)*10000000+(N('Dvd Calendar'!$AK$175)&gt;0)*(N('Dvd Calendar'!$AK$175)&lt;=VAL_SERIAL)*1000000+16*1000+33))</f>
        <v/>
      </c>
      <c r="FL27" s="39">
        <f>IF(N('Dvd Calendar'!$AL$176)=0,"",IF(('Dvd Calendar'!$AL$176&gt;=GRID_FROM)*('Dvd Calendar'!$AL$176&lt;=GRID_TO)*((('Dvd Calendar'!$AL$176&lt;=VAL_DATE)+(COUNTIF('Dvd Calendar'!$E$183:$AR$183,'Dvd Calendar'!$AL$176)=0))&gt;0)=0,"",'Dvd Calendar'!$AL$176*1000000000+ISNUMBER('Dvd Calendar'!$AL$179)*100000000+('Dvd Calendar'!$AL$181=SPECIAL_LBL)*10000000+(N('Dvd Calendar'!$AL$175)&gt;0)*(N('Dvd Calendar'!$AL$175)&lt;=VAL_SERIAL)*1000000+16*1000+34))</f>
        <v/>
      </c>
      <c r="FM27" s="39">
        <f>IF(N('Dvd Calendar'!$AM$176)=0,"",IF(('Dvd Calendar'!$AM$176&gt;=GRID_FROM)*('Dvd Calendar'!$AM$176&lt;=GRID_TO)*((('Dvd Calendar'!$AM$176&lt;=VAL_DATE)+(COUNTIF('Dvd Calendar'!$E$183:$AR$183,'Dvd Calendar'!$AM$176)=0))&gt;0)=0,"",'Dvd Calendar'!$AM$176*1000000000+ISNUMBER('Dvd Calendar'!$AM$179)*100000000+('Dvd Calendar'!$AM$181=SPECIAL_LBL)*10000000+(N('Dvd Calendar'!$AM$175)&gt;0)*(N('Dvd Calendar'!$AM$175)&lt;=VAL_SERIAL)*1000000+16*1000+35))</f>
        <v/>
      </c>
      <c r="FN27" s="39">
        <f>IF(N('Dvd Calendar'!$AN$176)=0,"",IF(('Dvd Calendar'!$AN$176&gt;=GRID_FROM)*('Dvd Calendar'!$AN$176&lt;=GRID_TO)*((('Dvd Calendar'!$AN$176&lt;=VAL_DATE)+(COUNTIF('Dvd Calendar'!$E$183:$AR$183,'Dvd Calendar'!$AN$176)=0))&gt;0)=0,"",'Dvd Calendar'!$AN$176*1000000000+ISNUMBER('Dvd Calendar'!$AN$179)*100000000+('Dvd Calendar'!$AN$181=SPECIAL_LBL)*10000000+(N('Dvd Calendar'!$AN$175)&gt;0)*(N('Dvd Calendar'!$AN$175)&lt;=VAL_SERIAL)*1000000+16*1000+36))</f>
        <v/>
      </c>
      <c r="FO27" s="39">
        <f>IF(N('Dvd Calendar'!$AO$176)=0,"",IF(('Dvd Calendar'!$AO$176&gt;=GRID_FROM)*('Dvd Calendar'!$AO$176&lt;=GRID_TO)*((('Dvd Calendar'!$AO$176&lt;=VAL_DATE)+(COUNTIF('Dvd Calendar'!$E$183:$AR$183,'Dvd Calendar'!$AO$176)=0))&gt;0)=0,"",'Dvd Calendar'!$AO$176*1000000000+ISNUMBER('Dvd Calendar'!$AO$179)*100000000+('Dvd Calendar'!$AO$181=SPECIAL_LBL)*10000000+(N('Dvd Calendar'!$AO$175)&gt;0)*(N('Dvd Calendar'!$AO$175)&lt;=VAL_SERIAL)*1000000+16*1000+37))</f>
        <v/>
      </c>
      <c r="FP27" s="39">
        <f>IF(N('Dvd Calendar'!$AP$176)=0,"",IF(('Dvd Calendar'!$AP$176&gt;=GRID_FROM)*('Dvd Calendar'!$AP$176&lt;=GRID_TO)*((('Dvd Calendar'!$AP$176&lt;=VAL_DATE)+(COUNTIF('Dvd Calendar'!$E$183:$AR$183,'Dvd Calendar'!$AP$176)=0))&gt;0)=0,"",'Dvd Calendar'!$AP$176*1000000000+ISNUMBER('Dvd Calendar'!$AP$179)*100000000+('Dvd Calendar'!$AP$181=SPECIAL_LBL)*10000000+(N('Dvd Calendar'!$AP$175)&gt;0)*(N('Dvd Calendar'!$AP$175)&lt;=VAL_SERIAL)*1000000+16*1000+38))</f>
        <v/>
      </c>
      <c r="FQ27" s="39">
        <f>IF(N('Dvd Calendar'!$AQ$176)=0,"",IF(('Dvd Calendar'!$AQ$176&gt;=GRID_FROM)*('Dvd Calendar'!$AQ$176&lt;=GRID_TO)*((('Dvd Calendar'!$AQ$176&lt;=VAL_DATE)+(COUNTIF('Dvd Calendar'!$E$183:$AR$183,'Dvd Calendar'!$AQ$176)=0))&gt;0)=0,"",'Dvd Calendar'!$AQ$176*1000000000+ISNUMBER('Dvd Calendar'!$AQ$179)*100000000+('Dvd Calendar'!$AQ$181=SPECIAL_LBL)*10000000+(N('Dvd Calendar'!$AQ$175)&gt;0)*(N('Dvd Calendar'!$AQ$175)&lt;=VAL_SERIAL)*1000000+16*1000+39))</f>
        <v/>
      </c>
      <c r="FR27" s="39">
        <f>IF(N('Dvd Calendar'!$AR$176)=0,"",IF(('Dvd Calendar'!$AR$176&gt;=GRID_FROM)*('Dvd Calendar'!$AR$176&lt;=GRID_TO)*((('Dvd Calendar'!$AR$176&lt;=VAL_DATE)+(COUNTIF('Dvd Calendar'!$E$183:$AR$183,'Dvd Calendar'!$AR$176)=0))&gt;0)=0,"",'Dvd Calendar'!$AR$176*1000000000+ISNUMBER('Dvd Calendar'!$AR$179)*100000000+('Dvd Calendar'!$AR$181=SPECIAL_LBL)*10000000+(N('Dvd Calendar'!$AR$175)&gt;0)*(N('Dvd Calendar'!$AR$175)&lt;=VAL_SERIAL)*1000000+16*1000+40))</f>
        <v/>
      </c>
      <c r="FS27" s="39">
        <f>IF(N('Dvd Calendar'!$E$183)=0,"",IF(('Dvd Calendar'!$E$183&gt;=GRID_FROM)*('Dvd Calendar'!$E$183&lt;=GRID_TO)*('Dvd Calendar'!$E$183&gt;VAL_DATE)=0,"",'Dvd Calendar'!$E$183*1000000000+ISNUMBER('Dvd Calendar'!$E$184)*100000000+0*10000000+(N('Dvd Calendar'!$E$182)&gt;0)*(N('Dvd Calendar'!$E$182)&lt;=VAL_SERIAL)*1000000+16*1000+41))</f>
        <v/>
      </c>
      <c r="FT27" s="39">
        <f>IF(N('Dvd Calendar'!$F$183)=0,"",IF(('Dvd Calendar'!$F$183&gt;=GRID_FROM)*('Dvd Calendar'!$F$183&lt;=GRID_TO)*('Dvd Calendar'!$F$183&gt;VAL_DATE)=0,"",'Dvd Calendar'!$F$183*1000000000+ISNUMBER('Dvd Calendar'!$F$184)*100000000+0*10000000+(N('Dvd Calendar'!$F$182)&gt;0)*(N('Dvd Calendar'!$F$182)&lt;=VAL_SERIAL)*1000000+16*1000+42))</f>
        <v/>
      </c>
      <c r="FU27" s="39">
        <f>IF(N('Dvd Calendar'!$G$183)=0,"",IF(('Dvd Calendar'!$G$183&gt;=GRID_FROM)*('Dvd Calendar'!$G$183&lt;=GRID_TO)*('Dvd Calendar'!$G$183&gt;VAL_DATE)=0,"",'Dvd Calendar'!$G$183*1000000000+ISNUMBER('Dvd Calendar'!$G$184)*100000000+0*10000000+(N('Dvd Calendar'!$G$182)&gt;0)*(N('Dvd Calendar'!$G$182)&lt;=VAL_SERIAL)*1000000+16*1000+43))</f>
        <v/>
      </c>
      <c r="FV27" s="39">
        <f>IF(N('Dvd Calendar'!$H$183)=0,"",IF(('Dvd Calendar'!$H$183&gt;=GRID_FROM)*('Dvd Calendar'!$H$183&lt;=GRID_TO)*('Dvd Calendar'!$H$183&gt;VAL_DATE)=0,"",'Dvd Calendar'!$H$183*1000000000+ISNUMBER('Dvd Calendar'!$H$184)*100000000+0*10000000+(N('Dvd Calendar'!$H$182)&gt;0)*(N('Dvd Calendar'!$H$182)&lt;=VAL_SERIAL)*1000000+16*1000+44))</f>
        <v/>
      </c>
      <c r="FW27" s="39">
        <f>IF(N('Dvd Calendar'!$I$183)=0,"",IF(('Dvd Calendar'!$I$183&gt;=GRID_FROM)*('Dvd Calendar'!$I$183&lt;=GRID_TO)*('Dvd Calendar'!$I$183&gt;VAL_DATE)=0,"",'Dvd Calendar'!$I$183*1000000000+ISNUMBER('Dvd Calendar'!$I$184)*100000000+0*10000000+(N('Dvd Calendar'!$I$182)&gt;0)*(N('Dvd Calendar'!$I$182)&lt;=VAL_SERIAL)*1000000+16*1000+45))</f>
        <v/>
      </c>
      <c r="FX27" s="39">
        <f>IF(N('Dvd Calendar'!$J$183)=0,"",IF(('Dvd Calendar'!$J$183&gt;=GRID_FROM)*('Dvd Calendar'!$J$183&lt;=GRID_TO)*('Dvd Calendar'!$J$183&gt;VAL_DATE)=0,"",'Dvd Calendar'!$J$183*1000000000+ISNUMBER('Dvd Calendar'!$J$184)*100000000+0*10000000+(N('Dvd Calendar'!$J$182)&gt;0)*(N('Dvd Calendar'!$J$182)&lt;=VAL_SERIAL)*1000000+16*1000+46))</f>
        <v/>
      </c>
      <c r="FY27" s="39">
        <f>IF(N('Dvd Calendar'!$K$183)=0,"",IF(('Dvd Calendar'!$K$183&gt;=GRID_FROM)*('Dvd Calendar'!$K$183&lt;=GRID_TO)*('Dvd Calendar'!$K$183&gt;VAL_DATE)=0,"",'Dvd Calendar'!$K$183*1000000000+ISNUMBER('Dvd Calendar'!$K$184)*100000000+0*10000000+(N('Dvd Calendar'!$K$182)&gt;0)*(N('Dvd Calendar'!$K$182)&lt;=VAL_SERIAL)*1000000+16*1000+47))</f>
        <v/>
      </c>
      <c r="FZ27" s="39">
        <f>IF(N('Dvd Calendar'!$L$183)=0,"",IF(('Dvd Calendar'!$L$183&gt;=GRID_FROM)*('Dvd Calendar'!$L$183&lt;=GRID_TO)*('Dvd Calendar'!$L$183&gt;VAL_DATE)=0,"",'Dvd Calendar'!$L$183*1000000000+ISNUMBER('Dvd Calendar'!$L$184)*100000000+0*10000000+(N('Dvd Calendar'!$L$182)&gt;0)*(N('Dvd Calendar'!$L$182)&lt;=VAL_SERIAL)*1000000+16*1000+48))</f>
        <v/>
      </c>
      <c r="GA27" s="39">
        <f>IF(N('Dvd Calendar'!$M$183)=0,"",IF(('Dvd Calendar'!$M$183&gt;=GRID_FROM)*('Dvd Calendar'!$M$183&lt;=GRID_TO)*('Dvd Calendar'!$M$183&gt;VAL_DATE)=0,"",'Dvd Calendar'!$M$183*1000000000+ISNUMBER('Dvd Calendar'!$M$184)*100000000+0*10000000+(N('Dvd Calendar'!$M$182)&gt;0)*(N('Dvd Calendar'!$M$182)&lt;=VAL_SERIAL)*1000000+16*1000+49))</f>
        <v/>
      </c>
      <c r="GB27" s="39">
        <f>IF(N('Dvd Calendar'!$N$183)=0,"",IF(('Dvd Calendar'!$N$183&gt;=GRID_FROM)*('Dvd Calendar'!$N$183&lt;=GRID_TO)*('Dvd Calendar'!$N$183&gt;VAL_DATE)=0,"",'Dvd Calendar'!$N$183*1000000000+ISNUMBER('Dvd Calendar'!$N$184)*100000000+0*10000000+(N('Dvd Calendar'!$N$182)&gt;0)*(N('Dvd Calendar'!$N$182)&lt;=VAL_SERIAL)*1000000+16*1000+50))</f>
        <v/>
      </c>
      <c r="GC27" s="39">
        <f>IF(N('Dvd Calendar'!$O$183)=0,"",IF(('Dvd Calendar'!$O$183&gt;=GRID_FROM)*('Dvd Calendar'!$O$183&lt;=GRID_TO)*('Dvd Calendar'!$O$183&gt;VAL_DATE)=0,"",'Dvd Calendar'!$O$183*1000000000+ISNUMBER('Dvd Calendar'!$O$184)*100000000+0*10000000+(N('Dvd Calendar'!$O$182)&gt;0)*(N('Dvd Calendar'!$O$182)&lt;=VAL_SERIAL)*1000000+16*1000+51))</f>
        <v/>
      </c>
      <c r="GD27" s="39">
        <f>IF(N('Dvd Calendar'!$P$183)=0,"",IF(('Dvd Calendar'!$P$183&gt;=GRID_FROM)*('Dvd Calendar'!$P$183&lt;=GRID_TO)*('Dvd Calendar'!$P$183&gt;VAL_DATE)=0,"",'Dvd Calendar'!$P$183*1000000000+ISNUMBER('Dvd Calendar'!$P$184)*100000000+0*10000000+(N('Dvd Calendar'!$P$182)&gt;0)*(N('Dvd Calendar'!$P$182)&lt;=VAL_SERIAL)*1000000+16*1000+52))</f>
        <v/>
      </c>
      <c r="GE27" s="39">
        <f>IF(N('Dvd Calendar'!$Q$183)=0,"",IF(('Dvd Calendar'!$Q$183&gt;=GRID_FROM)*('Dvd Calendar'!$Q$183&lt;=GRID_TO)*('Dvd Calendar'!$Q$183&gt;VAL_DATE)=0,"",'Dvd Calendar'!$Q$183*1000000000+ISNUMBER('Dvd Calendar'!$Q$184)*100000000+0*10000000+(N('Dvd Calendar'!$Q$182)&gt;0)*(N('Dvd Calendar'!$Q$182)&lt;=VAL_SERIAL)*1000000+16*1000+53))</f>
        <v/>
      </c>
      <c r="GF27" s="39">
        <f>IF(N('Dvd Calendar'!$R$183)=0,"",IF(('Dvd Calendar'!$R$183&gt;=GRID_FROM)*('Dvd Calendar'!$R$183&lt;=GRID_TO)*('Dvd Calendar'!$R$183&gt;VAL_DATE)=0,"",'Dvd Calendar'!$R$183*1000000000+ISNUMBER('Dvd Calendar'!$R$184)*100000000+0*10000000+(N('Dvd Calendar'!$R$182)&gt;0)*(N('Dvd Calendar'!$R$182)&lt;=VAL_SERIAL)*1000000+16*1000+54))</f>
        <v/>
      </c>
      <c r="GG27" s="39">
        <f>IF(N('Dvd Calendar'!$S$183)=0,"",IF(('Dvd Calendar'!$S$183&gt;=GRID_FROM)*('Dvd Calendar'!$S$183&lt;=GRID_TO)*('Dvd Calendar'!$S$183&gt;VAL_DATE)=0,"",'Dvd Calendar'!$S$183*1000000000+ISNUMBER('Dvd Calendar'!$S$184)*100000000+0*10000000+(N('Dvd Calendar'!$S$182)&gt;0)*(N('Dvd Calendar'!$S$182)&lt;=VAL_SERIAL)*1000000+16*1000+55))</f>
        <v/>
      </c>
      <c r="GH27" s="39">
        <f>IF(N('Dvd Calendar'!$T$183)=0,"",IF(('Dvd Calendar'!$T$183&gt;=GRID_FROM)*('Dvd Calendar'!$T$183&lt;=GRID_TO)*('Dvd Calendar'!$T$183&gt;VAL_DATE)=0,"",'Dvd Calendar'!$T$183*1000000000+ISNUMBER('Dvd Calendar'!$T$184)*100000000+0*10000000+(N('Dvd Calendar'!$T$182)&gt;0)*(N('Dvd Calendar'!$T$182)&lt;=VAL_SERIAL)*1000000+16*1000+56))</f>
        <v/>
      </c>
      <c r="GI27" s="39">
        <f>IF(N('Dvd Calendar'!$U$183)=0,"",IF(('Dvd Calendar'!$U$183&gt;=GRID_FROM)*('Dvd Calendar'!$U$183&lt;=GRID_TO)*('Dvd Calendar'!$U$183&gt;VAL_DATE)=0,"",'Dvd Calendar'!$U$183*1000000000+ISNUMBER('Dvd Calendar'!$U$184)*100000000+0*10000000+(N('Dvd Calendar'!$U$182)&gt;0)*(N('Dvd Calendar'!$U$182)&lt;=VAL_SERIAL)*1000000+16*1000+57))</f>
        <v/>
      </c>
      <c r="GJ27" s="39">
        <f>IF(N('Dvd Calendar'!$V$183)=0,"",IF(('Dvd Calendar'!$V$183&gt;=GRID_FROM)*('Dvd Calendar'!$V$183&lt;=GRID_TO)*('Dvd Calendar'!$V$183&gt;VAL_DATE)=0,"",'Dvd Calendar'!$V$183*1000000000+ISNUMBER('Dvd Calendar'!$V$184)*100000000+0*10000000+(N('Dvd Calendar'!$V$182)&gt;0)*(N('Dvd Calendar'!$V$182)&lt;=VAL_SERIAL)*1000000+16*1000+58))</f>
        <v/>
      </c>
      <c r="GK27" s="39">
        <f>IF(N('Dvd Calendar'!$W$183)=0,"",IF(('Dvd Calendar'!$W$183&gt;=GRID_FROM)*('Dvd Calendar'!$W$183&lt;=GRID_TO)*('Dvd Calendar'!$W$183&gt;VAL_DATE)=0,"",'Dvd Calendar'!$W$183*1000000000+ISNUMBER('Dvd Calendar'!$W$184)*100000000+0*10000000+(N('Dvd Calendar'!$W$182)&gt;0)*(N('Dvd Calendar'!$W$182)&lt;=VAL_SERIAL)*1000000+16*1000+59))</f>
        <v/>
      </c>
      <c r="GL27" s="39">
        <f>IF(N('Dvd Calendar'!$X$183)=0,"",IF(('Dvd Calendar'!$X$183&gt;=GRID_FROM)*('Dvd Calendar'!$X$183&lt;=GRID_TO)*('Dvd Calendar'!$X$183&gt;VAL_DATE)=0,"",'Dvd Calendar'!$X$183*1000000000+ISNUMBER('Dvd Calendar'!$X$184)*100000000+0*10000000+(N('Dvd Calendar'!$X$182)&gt;0)*(N('Dvd Calendar'!$X$182)&lt;=VAL_SERIAL)*1000000+16*1000+60))</f>
        <v/>
      </c>
      <c r="GM27" s="39">
        <f>IF(N('Dvd Calendar'!$Y$183)=0,"",IF(('Dvd Calendar'!$Y$183&gt;=GRID_FROM)*('Dvd Calendar'!$Y$183&lt;=GRID_TO)*('Dvd Calendar'!$Y$183&gt;VAL_DATE)=0,"",'Dvd Calendar'!$Y$183*1000000000+ISNUMBER('Dvd Calendar'!$Y$184)*100000000+0*10000000+(N('Dvd Calendar'!$Y$182)&gt;0)*(N('Dvd Calendar'!$Y$182)&lt;=VAL_SERIAL)*1000000+16*1000+61))</f>
        <v/>
      </c>
      <c r="GN27" s="39">
        <f>IF(N('Dvd Calendar'!$Z$183)=0,"",IF(('Dvd Calendar'!$Z$183&gt;=GRID_FROM)*('Dvd Calendar'!$Z$183&lt;=GRID_TO)*('Dvd Calendar'!$Z$183&gt;VAL_DATE)=0,"",'Dvd Calendar'!$Z$183*1000000000+ISNUMBER('Dvd Calendar'!$Z$184)*100000000+0*10000000+(N('Dvd Calendar'!$Z$182)&gt;0)*(N('Dvd Calendar'!$Z$182)&lt;=VAL_SERIAL)*1000000+16*1000+62))</f>
        <v/>
      </c>
      <c r="GO27" s="39">
        <f>IF(N('Dvd Calendar'!$AA$183)=0,"",IF(('Dvd Calendar'!$AA$183&gt;=GRID_FROM)*('Dvd Calendar'!$AA$183&lt;=GRID_TO)*('Dvd Calendar'!$AA$183&gt;VAL_DATE)=0,"",'Dvd Calendar'!$AA$183*1000000000+ISNUMBER('Dvd Calendar'!$AA$184)*100000000+0*10000000+(N('Dvd Calendar'!$AA$182)&gt;0)*(N('Dvd Calendar'!$AA$182)&lt;=VAL_SERIAL)*1000000+16*1000+63))</f>
        <v/>
      </c>
      <c r="GP27" s="39">
        <f>IF(N('Dvd Calendar'!$AB$183)=0,"",IF(('Dvd Calendar'!$AB$183&gt;=GRID_FROM)*('Dvd Calendar'!$AB$183&lt;=GRID_TO)*('Dvd Calendar'!$AB$183&gt;VAL_DATE)=0,"",'Dvd Calendar'!$AB$183*1000000000+ISNUMBER('Dvd Calendar'!$AB$184)*100000000+0*10000000+(N('Dvd Calendar'!$AB$182)&gt;0)*(N('Dvd Calendar'!$AB$182)&lt;=VAL_SERIAL)*1000000+16*1000+64))</f>
        <v/>
      </c>
      <c r="GQ27" s="39">
        <f>IF(N('Dvd Calendar'!$AC$183)=0,"",IF(('Dvd Calendar'!$AC$183&gt;=GRID_FROM)*('Dvd Calendar'!$AC$183&lt;=GRID_TO)*('Dvd Calendar'!$AC$183&gt;VAL_DATE)=0,"",'Dvd Calendar'!$AC$183*1000000000+ISNUMBER('Dvd Calendar'!$AC$184)*100000000+0*10000000+(N('Dvd Calendar'!$AC$182)&gt;0)*(N('Dvd Calendar'!$AC$182)&lt;=VAL_SERIAL)*1000000+16*1000+65))</f>
        <v/>
      </c>
    </row>
    <row r="28">
      <c r="B28" s="2">
        <f>IF(HSI!$C$23="","",HSI!$C$23)</f>
        <v/>
      </c>
      <c r="C28" s="110">
        <f>IF(EE28="","",IF(ISNUMBER('Dvd Calendar'!$E$190)=FALSE,"",IF((('Dvd Calendar'!$E$192=TYPE1)*(TYPE1&lt;&gt;"")+('Dvd Calendar'!$E$192=TYPE2)*(TYPE2&lt;&gt;"")+('Dvd Calendar'!$E$192=TYPE3)*(TYPE3&lt;&gt;"")+('Dvd Calendar'!$E$192=TYPE4)*(TYPE4&lt;&gt;"")+('Dvd Calendar'!$E$192=SPECIAL_LBL)*(INC_SPECIALS="Y"))=0,"",'Dvd Calendar'!$E$190)))</f>
        <v/>
      </c>
      <c r="D28" s="110">
        <f>IF(EF28="","",IF(ISNUMBER('Dvd Calendar'!$F$190)=FALSE,"",IF((('Dvd Calendar'!$F$192=TYPE1)*(TYPE1&lt;&gt;"")+('Dvd Calendar'!$F$192=TYPE2)*(TYPE2&lt;&gt;"")+('Dvd Calendar'!$F$192=TYPE3)*(TYPE3&lt;&gt;"")+('Dvd Calendar'!$F$192=TYPE4)*(TYPE4&lt;&gt;"")+('Dvd Calendar'!$F$192=SPECIAL_LBL)*(INC_SPECIALS="Y"))=0,"",'Dvd Calendar'!$F$190)))</f>
        <v/>
      </c>
      <c r="E28" s="110">
        <f>IF(EG28="","",IF(ISNUMBER('Dvd Calendar'!$G$190)=FALSE,"",IF((('Dvd Calendar'!$G$192=TYPE1)*(TYPE1&lt;&gt;"")+('Dvd Calendar'!$G$192=TYPE2)*(TYPE2&lt;&gt;"")+('Dvd Calendar'!$G$192=TYPE3)*(TYPE3&lt;&gt;"")+('Dvd Calendar'!$G$192=TYPE4)*(TYPE4&lt;&gt;"")+('Dvd Calendar'!$G$192=SPECIAL_LBL)*(INC_SPECIALS="Y"))=0,"",'Dvd Calendar'!$G$190)))</f>
        <v/>
      </c>
      <c r="F28" s="110">
        <f>IF(EH28="","",IF(ISNUMBER('Dvd Calendar'!$H$190)=FALSE,"",IF((('Dvd Calendar'!$H$192=TYPE1)*(TYPE1&lt;&gt;"")+('Dvd Calendar'!$H$192=TYPE2)*(TYPE2&lt;&gt;"")+('Dvd Calendar'!$H$192=TYPE3)*(TYPE3&lt;&gt;"")+('Dvd Calendar'!$H$192=TYPE4)*(TYPE4&lt;&gt;"")+('Dvd Calendar'!$H$192=SPECIAL_LBL)*(INC_SPECIALS="Y"))=0,"",'Dvd Calendar'!$H$190)))</f>
        <v/>
      </c>
      <c r="G28" s="110">
        <f>IF(EI28="","",IF(ISNUMBER('Dvd Calendar'!$I$190)=FALSE,"",IF((('Dvd Calendar'!$I$192=TYPE1)*(TYPE1&lt;&gt;"")+('Dvd Calendar'!$I$192=TYPE2)*(TYPE2&lt;&gt;"")+('Dvd Calendar'!$I$192=TYPE3)*(TYPE3&lt;&gt;"")+('Dvd Calendar'!$I$192=TYPE4)*(TYPE4&lt;&gt;"")+('Dvd Calendar'!$I$192=SPECIAL_LBL)*(INC_SPECIALS="Y"))=0,"",'Dvd Calendar'!$I$190)))</f>
        <v/>
      </c>
      <c r="H28" s="110">
        <f>IF(EJ28="","",IF(ISNUMBER('Dvd Calendar'!$J$190)=FALSE,"",IF((('Dvd Calendar'!$J$192=TYPE1)*(TYPE1&lt;&gt;"")+('Dvd Calendar'!$J$192=TYPE2)*(TYPE2&lt;&gt;"")+('Dvd Calendar'!$J$192=TYPE3)*(TYPE3&lt;&gt;"")+('Dvd Calendar'!$J$192=TYPE4)*(TYPE4&lt;&gt;"")+('Dvd Calendar'!$J$192=SPECIAL_LBL)*(INC_SPECIALS="Y"))=0,"",'Dvd Calendar'!$J$190)))</f>
        <v/>
      </c>
      <c r="I28" s="110">
        <f>IF(EK28="","",IF(ISNUMBER('Dvd Calendar'!$K$190)=FALSE,"",IF((('Dvd Calendar'!$K$192=TYPE1)*(TYPE1&lt;&gt;"")+('Dvd Calendar'!$K$192=TYPE2)*(TYPE2&lt;&gt;"")+('Dvd Calendar'!$K$192=TYPE3)*(TYPE3&lt;&gt;"")+('Dvd Calendar'!$K$192=TYPE4)*(TYPE4&lt;&gt;"")+('Dvd Calendar'!$K$192=SPECIAL_LBL)*(INC_SPECIALS="Y"))=0,"",'Dvd Calendar'!$K$190)))</f>
        <v/>
      </c>
      <c r="J28" s="110">
        <f>IF(EL28="","",IF(ISNUMBER('Dvd Calendar'!$L$190)=FALSE,"",IF((('Dvd Calendar'!$L$192=TYPE1)*(TYPE1&lt;&gt;"")+('Dvd Calendar'!$L$192=TYPE2)*(TYPE2&lt;&gt;"")+('Dvd Calendar'!$L$192=TYPE3)*(TYPE3&lt;&gt;"")+('Dvd Calendar'!$L$192=TYPE4)*(TYPE4&lt;&gt;"")+('Dvd Calendar'!$L$192=SPECIAL_LBL)*(INC_SPECIALS="Y"))=0,"",'Dvd Calendar'!$L$190)))</f>
        <v/>
      </c>
      <c r="K28" s="110">
        <f>IF(EM28="","",IF(ISNUMBER('Dvd Calendar'!$M$190)=FALSE,"",IF((('Dvd Calendar'!$M$192=TYPE1)*(TYPE1&lt;&gt;"")+('Dvd Calendar'!$M$192=TYPE2)*(TYPE2&lt;&gt;"")+('Dvd Calendar'!$M$192=TYPE3)*(TYPE3&lt;&gt;"")+('Dvd Calendar'!$M$192=TYPE4)*(TYPE4&lt;&gt;"")+('Dvd Calendar'!$M$192=SPECIAL_LBL)*(INC_SPECIALS="Y"))=0,"",'Dvd Calendar'!$M$190)))</f>
        <v/>
      </c>
      <c r="L28" s="110">
        <f>IF(EN28="","",IF(ISNUMBER('Dvd Calendar'!$N$190)=FALSE,"",IF((('Dvd Calendar'!$N$192=TYPE1)*(TYPE1&lt;&gt;"")+('Dvd Calendar'!$N$192=TYPE2)*(TYPE2&lt;&gt;"")+('Dvd Calendar'!$N$192=TYPE3)*(TYPE3&lt;&gt;"")+('Dvd Calendar'!$N$192=TYPE4)*(TYPE4&lt;&gt;"")+('Dvd Calendar'!$N$192=SPECIAL_LBL)*(INC_SPECIALS="Y"))=0,"",'Dvd Calendar'!$N$190)))</f>
        <v/>
      </c>
      <c r="M28" s="110">
        <f>IF(EO28="","",IF(ISNUMBER('Dvd Calendar'!$O$190)=FALSE,"",IF((('Dvd Calendar'!$O$192=TYPE1)*(TYPE1&lt;&gt;"")+('Dvd Calendar'!$O$192=TYPE2)*(TYPE2&lt;&gt;"")+('Dvd Calendar'!$O$192=TYPE3)*(TYPE3&lt;&gt;"")+('Dvd Calendar'!$O$192=TYPE4)*(TYPE4&lt;&gt;"")+('Dvd Calendar'!$O$192=SPECIAL_LBL)*(INC_SPECIALS="Y"))=0,"",'Dvd Calendar'!$O$190)))</f>
        <v/>
      </c>
      <c r="N28" s="110">
        <f>IF(EP28="","",IF(ISNUMBER('Dvd Calendar'!$P$190)=FALSE,"",IF((('Dvd Calendar'!$P$192=TYPE1)*(TYPE1&lt;&gt;"")+('Dvd Calendar'!$P$192=TYPE2)*(TYPE2&lt;&gt;"")+('Dvd Calendar'!$P$192=TYPE3)*(TYPE3&lt;&gt;"")+('Dvd Calendar'!$P$192=TYPE4)*(TYPE4&lt;&gt;"")+('Dvd Calendar'!$P$192=SPECIAL_LBL)*(INC_SPECIALS="Y"))=0,"",'Dvd Calendar'!$P$190)))</f>
        <v/>
      </c>
      <c r="O28" s="110">
        <f>IF(EQ28="","",IF(ISNUMBER('Dvd Calendar'!$Q$190)=FALSE,"",IF((('Dvd Calendar'!$Q$192=TYPE1)*(TYPE1&lt;&gt;"")+('Dvd Calendar'!$Q$192=TYPE2)*(TYPE2&lt;&gt;"")+('Dvd Calendar'!$Q$192=TYPE3)*(TYPE3&lt;&gt;"")+('Dvd Calendar'!$Q$192=TYPE4)*(TYPE4&lt;&gt;"")+('Dvd Calendar'!$Q$192=SPECIAL_LBL)*(INC_SPECIALS="Y"))=0,"",'Dvd Calendar'!$Q$190)))</f>
        <v/>
      </c>
      <c r="P28" s="110">
        <f>IF(ER28="","",IF(ISNUMBER('Dvd Calendar'!$R$190)=FALSE,"",IF((('Dvd Calendar'!$R$192=TYPE1)*(TYPE1&lt;&gt;"")+('Dvd Calendar'!$R$192=TYPE2)*(TYPE2&lt;&gt;"")+('Dvd Calendar'!$R$192=TYPE3)*(TYPE3&lt;&gt;"")+('Dvd Calendar'!$R$192=TYPE4)*(TYPE4&lt;&gt;"")+('Dvd Calendar'!$R$192=SPECIAL_LBL)*(INC_SPECIALS="Y"))=0,"",'Dvd Calendar'!$R$190)))</f>
        <v/>
      </c>
      <c r="Q28" s="110">
        <f>IF(ES28="","",IF(ISNUMBER('Dvd Calendar'!$S$190)=FALSE,"",IF((('Dvd Calendar'!$S$192=TYPE1)*(TYPE1&lt;&gt;"")+('Dvd Calendar'!$S$192=TYPE2)*(TYPE2&lt;&gt;"")+('Dvd Calendar'!$S$192=TYPE3)*(TYPE3&lt;&gt;"")+('Dvd Calendar'!$S$192=TYPE4)*(TYPE4&lt;&gt;"")+('Dvd Calendar'!$S$192=SPECIAL_LBL)*(INC_SPECIALS="Y"))=0,"",'Dvd Calendar'!$S$190)))</f>
        <v/>
      </c>
      <c r="R28" s="110">
        <f>IF(ET28="","",IF(ISNUMBER('Dvd Calendar'!$T$190)=FALSE,"",IF((('Dvd Calendar'!$T$192=TYPE1)*(TYPE1&lt;&gt;"")+('Dvd Calendar'!$T$192=TYPE2)*(TYPE2&lt;&gt;"")+('Dvd Calendar'!$T$192=TYPE3)*(TYPE3&lt;&gt;"")+('Dvd Calendar'!$T$192=TYPE4)*(TYPE4&lt;&gt;"")+('Dvd Calendar'!$T$192=SPECIAL_LBL)*(INC_SPECIALS="Y"))=0,"",'Dvd Calendar'!$T$190)))</f>
        <v/>
      </c>
      <c r="S28" s="110">
        <f>IF(EU28="","",IF(ISNUMBER('Dvd Calendar'!$U$190)=FALSE,"",IF((('Dvd Calendar'!$U$192=TYPE1)*(TYPE1&lt;&gt;"")+('Dvd Calendar'!$U$192=TYPE2)*(TYPE2&lt;&gt;"")+('Dvd Calendar'!$U$192=TYPE3)*(TYPE3&lt;&gt;"")+('Dvd Calendar'!$U$192=TYPE4)*(TYPE4&lt;&gt;"")+('Dvd Calendar'!$U$192=SPECIAL_LBL)*(INC_SPECIALS="Y"))=0,"",'Dvd Calendar'!$U$190)))</f>
        <v/>
      </c>
      <c r="T28" s="110">
        <f>IF(EV28="","",IF(ISNUMBER('Dvd Calendar'!$V$190)=FALSE,"",IF((('Dvd Calendar'!$V$192=TYPE1)*(TYPE1&lt;&gt;"")+('Dvd Calendar'!$V$192=TYPE2)*(TYPE2&lt;&gt;"")+('Dvd Calendar'!$V$192=TYPE3)*(TYPE3&lt;&gt;"")+('Dvd Calendar'!$V$192=TYPE4)*(TYPE4&lt;&gt;"")+('Dvd Calendar'!$V$192=SPECIAL_LBL)*(INC_SPECIALS="Y"))=0,"",'Dvd Calendar'!$V$190)))</f>
        <v/>
      </c>
      <c r="U28" s="110">
        <f>IF(EW28="","",IF(ISNUMBER('Dvd Calendar'!$W$190)=FALSE,"",IF((('Dvd Calendar'!$W$192=TYPE1)*(TYPE1&lt;&gt;"")+('Dvd Calendar'!$W$192=TYPE2)*(TYPE2&lt;&gt;"")+('Dvd Calendar'!$W$192=TYPE3)*(TYPE3&lt;&gt;"")+('Dvd Calendar'!$W$192=TYPE4)*(TYPE4&lt;&gt;"")+('Dvd Calendar'!$W$192=SPECIAL_LBL)*(INC_SPECIALS="Y"))=0,"",'Dvd Calendar'!$W$190)))</f>
        <v/>
      </c>
      <c r="V28" s="110">
        <f>IF(EX28="","",IF(ISNUMBER('Dvd Calendar'!$X$190)=FALSE,"",IF((('Dvd Calendar'!$X$192=TYPE1)*(TYPE1&lt;&gt;"")+('Dvd Calendar'!$X$192=TYPE2)*(TYPE2&lt;&gt;"")+('Dvd Calendar'!$X$192=TYPE3)*(TYPE3&lt;&gt;"")+('Dvd Calendar'!$X$192=TYPE4)*(TYPE4&lt;&gt;"")+('Dvd Calendar'!$X$192=SPECIAL_LBL)*(INC_SPECIALS="Y"))=0,"",'Dvd Calendar'!$X$190)))</f>
        <v/>
      </c>
      <c r="W28" s="110">
        <f>IF(EY28="","",IF(ISNUMBER('Dvd Calendar'!$Y$190)=FALSE,"",IF((('Dvd Calendar'!$Y$192=TYPE1)*(TYPE1&lt;&gt;"")+('Dvd Calendar'!$Y$192=TYPE2)*(TYPE2&lt;&gt;"")+('Dvd Calendar'!$Y$192=TYPE3)*(TYPE3&lt;&gt;"")+('Dvd Calendar'!$Y$192=TYPE4)*(TYPE4&lt;&gt;"")+('Dvd Calendar'!$Y$192=SPECIAL_LBL)*(INC_SPECIALS="Y"))=0,"",'Dvd Calendar'!$Y$190)))</f>
        <v/>
      </c>
      <c r="X28" s="110">
        <f>IF(EZ28="","",IF(ISNUMBER('Dvd Calendar'!$Z$190)=FALSE,"",IF((('Dvd Calendar'!$Z$192=TYPE1)*(TYPE1&lt;&gt;"")+('Dvd Calendar'!$Z$192=TYPE2)*(TYPE2&lt;&gt;"")+('Dvd Calendar'!$Z$192=TYPE3)*(TYPE3&lt;&gt;"")+('Dvd Calendar'!$Z$192=TYPE4)*(TYPE4&lt;&gt;"")+('Dvd Calendar'!$Z$192=SPECIAL_LBL)*(INC_SPECIALS="Y"))=0,"",'Dvd Calendar'!$Z$190)))</f>
        <v/>
      </c>
      <c r="Y28" s="110">
        <f>IF(FA28="","",IF(ISNUMBER('Dvd Calendar'!$AA$190)=FALSE,"",IF((('Dvd Calendar'!$AA$192=TYPE1)*(TYPE1&lt;&gt;"")+('Dvd Calendar'!$AA$192=TYPE2)*(TYPE2&lt;&gt;"")+('Dvd Calendar'!$AA$192=TYPE3)*(TYPE3&lt;&gt;"")+('Dvd Calendar'!$AA$192=TYPE4)*(TYPE4&lt;&gt;"")+('Dvd Calendar'!$AA$192=SPECIAL_LBL)*(INC_SPECIALS="Y"))=0,"",'Dvd Calendar'!$AA$190)))</f>
        <v/>
      </c>
      <c r="Z28" s="110">
        <f>IF(FB28="","",IF(ISNUMBER('Dvd Calendar'!$AB$190)=FALSE,"",IF((('Dvd Calendar'!$AB$192=TYPE1)*(TYPE1&lt;&gt;"")+('Dvd Calendar'!$AB$192=TYPE2)*(TYPE2&lt;&gt;"")+('Dvd Calendar'!$AB$192=TYPE3)*(TYPE3&lt;&gt;"")+('Dvd Calendar'!$AB$192=TYPE4)*(TYPE4&lt;&gt;"")+('Dvd Calendar'!$AB$192=SPECIAL_LBL)*(INC_SPECIALS="Y"))=0,"",'Dvd Calendar'!$AB$190)))</f>
        <v/>
      </c>
      <c r="AA28" s="110">
        <f>IF(FC28="","",IF(ISNUMBER('Dvd Calendar'!$AC$190)=FALSE,"",IF((('Dvd Calendar'!$AC$192=TYPE1)*(TYPE1&lt;&gt;"")+('Dvd Calendar'!$AC$192=TYPE2)*(TYPE2&lt;&gt;"")+('Dvd Calendar'!$AC$192=TYPE3)*(TYPE3&lt;&gt;"")+('Dvd Calendar'!$AC$192=TYPE4)*(TYPE4&lt;&gt;"")+('Dvd Calendar'!$AC$192=SPECIAL_LBL)*(INC_SPECIALS="Y"))=0,"",'Dvd Calendar'!$AC$190)))</f>
        <v/>
      </c>
      <c r="AB28" s="110">
        <f>IF(FD28="","",IF(ISNUMBER('Dvd Calendar'!$AD$190)=FALSE,"",IF((('Dvd Calendar'!$AD$192=TYPE1)*(TYPE1&lt;&gt;"")+('Dvd Calendar'!$AD$192=TYPE2)*(TYPE2&lt;&gt;"")+('Dvd Calendar'!$AD$192=TYPE3)*(TYPE3&lt;&gt;"")+('Dvd Calendar'!$AD$192=TYPE4)*(TYPE4&lt;&gt;"")+('Dvd Calendar'!$AD$192=SPECIAL_LBL)*(INC_SPECIALS="Y"))=0,"",'Dvd Calendar'!$AD$190)))</f>
        <v/>
      </c>
      <c r="AC28" s="110">
        <f>IF(FE28="","",IF(ISNUMBER('Dvd Calendar'!$AE$190)=FALSE,"",IF((('Dvd Calendar'!$AE$192=TYPE1)*(TYPE1&lt;&gt;"")+('Dvd Calendar'!$AE$192=TYPE2)*(TYPE2&lt;&gt;"")+('Dvd Calendar'!$AE$192=TYPE3)*(TYPE3&lt;&gt;"")+('Dvd Calendar'!$AE$192=TYPE4)*(TYPE4&lt;&gt;"")+('Dvd Calendar'!$AE$192=SPECIAL_LBL)*(INC_SPECIALS="Y"))=0,"",'Dvd Calendar'!$AE$190)))</f>
        <v/>
      </c>
      <c r="AD28" s="110">
        <f>IF(FF28="","",IF(ISNUMBER('Dvd Calendar'!$AF$190)=FALSE,"",IF((('Dvd Calendar'!$AF$192=TYPE1)*(TYPE1&lt;&gt;"")+('Dvd Calendar'!$AF$192=TYPE2)*(TYPE2&lt;&gt;"")+('Dvd Calendar'!$AF$192=TYPE3)*(TYPE3&lt;&gt;"")+('Dvd Calendar'!$AF$192=TYPE4)*(TYPE4&lt;&gt;"")+('Dvd Calendar'!$AF$192=SPECIAL_LBL)*(INC_SPECIALS="Y"))=0,"",'Dvd Calendar'!$AF$190)))</f>
        <v/>
      </c>
      <c r="AE28" s="110">
        <f>IF(FG28="","",IF(ISNUMBER('Dvd Calendar'!$AG$190)=FALSE,"",IF((('Dvd Calendar'!$AG$192=TYPE1)*(TYPE1&lt;&gt;"")+('Dvd Calendar'!$AG$192=TYPE2)*(TYPE2&lt;&gt;"")+('Dvd Calendar'!$AG$192=TYPE3)*(TYPE3&lt;&gt;"")+('Dvd Calendar'!$AG$192=TYPE4)*(TYPE4&lt;&gt;"")+('Dvd Calendar'!$AG$192=SPECIAL_LBL)*(INC_SPECIALS="Y"))=0,"",'Dvd Calendar'!$AG$190)))</f>
        <v/>
      </c>
      <c r="AF28" s="110">
        <f>IF(FH28="","",IF(ISNUMBER('Dvd Calendar'!$AH$190)=FALSE,"",IF((('Dvd Calendar'!$AH$192=TYPE1)*(TYPE1&lt;&gt;"")+('Dvd Calendar'!$AH$192=TYPE2)*(TYPE2&lt;&gt;"")+('Dvd Calendar'!$AH$192=TYPE3)*(TYPE3&lt;&gt;"")+('Dvd Calendar'!$AH$192=TYPE4)*(TYPE4&lt;&gt;"")+('Dvd Calendar'!$AH$192=SPECIAL_LBL)*(INC_SPECIALS="Y"))=0,"",'Dvd Calendar'!$AH$190)))</f>
        <v/>
      </c>
      <c r="AG28" s="110">
        <f>IF(FI28="","",IF(ISNUMBER('Dvd Calendar'!$AI$190)=FALSE,"",IF((('Dvd Calendar'!$AI$192=TYPE1)*(TYPE1&lt;&gt;"")+('Dvd Calendar'!$AI$192=TYPE2)*(TYPE2&lt;&gt;"")+('Dvd Calendar'!$AI$192=TYPE3)*(TYPE3&lt;&gt;"")+('Dvd Calendar'!$AI$192=TYPE4)*(TYPE4&lt;&gt;"")+('Dvd Calendar'!$AI$192=SPECIAL_LBL)*(INC_SPECIALS="Y"))=0,"",'Dvd Calendar'!$AI$190)))</f>
        <v/>
      </c>
      <c r="AH28" s="110">
        <f>IF(FJ28="","",IF(ISNUMBER('Dvd Calendar'!$AJ$190)=FALSE,"",IF((('Dvd Calendar'!$AJ$192=TYPE1)*(TYPE1&lt;&gt;"")+('Dvd Calendar'!$AJ$192=TYPE2)*(TYPE2&lt;&gt;"")+('Dvd Calendar'!$AJ$192=TYPE3)*(TYPE3&lt;&gt;"")+('Dvd Calendar'!$AJ$192=TYPE4)*(TYPE4&lt;&gt;"")+('Dvd Calendar'!$AJ$192=SPECIAL_LBL)*(INC_SPECIALS="Y"))=0,"",'Dvd Calendar'!$AJ$190)))</f>
        <v/>
      </c>
      <c r="AI28" s="110">
        <f>IF(FK28="","",IF(ISNUMBER('Dvd Calendar'!$AK$190)=FALSE,"",IF((('Dvd Calendar'!$AK$192=TYPE1)*(TYPE1&lt;&gt;"")+('Dvd Calendar'!$AK$192=TYPE2)*(TYPE2&lt;&gt;"")+('Dvd Calendar'!$AK$192=TYPE3)*(TYPE3&lt;&gt;"")+('Dvd Calendar'!$AK$192=TYPE4)*(TYPE4&lt;&gt;"")+('Dvd Calendar'!$AK$192=SPECIAL_LBL)*(INC_SPECIALS="Y"))=0,"",'Dvd Calendar'!$AK$190)))</f>
        <v/>
      </c>
      <c r="AJ28" s="110">
        <f>IF(FL28="","",IF(ISNUMBER('Dvd Calendar'!$AL$190)=FALSE,"",IF((('Dvd Calendar'!$AL$192=TYPE1)*(TYPE1&lt;&gt;"")+('Dvd Calendar'!$AL$192=TYPE2)*(TYPE2&lt;&gt;"")+('Dvd Calendar'!$AL$192=TYPE3)*(TYPE3&lt;&gt;"")+('Dvd Calendar'!$AL$192=TYPE4)*(TYPE4&lt;&gt;"")+('Dvd Calendar'!$AL$192=SPECIAL_LBL)*(INC_SPECIALS="Y"))=0,"",'Dvd Calendar'!$AL$190)))</f>
        <v/>
      </c>
      <c r="AK28" s="110">
        <f>IF(FM28="","",IF(ISNUMBER('Dvd Calendar'!$AM$190)=FALSE,"",IF((('Dvd Calendar'!$AM$192=TYPE1)*(TYPE1&lt;&gt;"")+('Dvd Calendar'!$AM$192=TYPE2)*(TYPE2&lt;&gt;"")+('Dvd Calendar'!$AM$192=TYPE3)*(TYPE3&lt;&gt;"")+('Dvd Calendar'!$AM$192=TYPE4)*(TYPE4&lt;&gt;"")+('Dvd Calendar'!$AM$192=SPECIAL_LBL)*(INC_SPECIALS="Y"))=0,"",'Dvd Calendar'!$AM$190)))</f>
        <v/>
      </c>
      <c r="AL28" s="110">
        <f>IF(FN28="","",IF(ISNUMBER('Dvd Calendar'!$AN$190)=FALSE,"",IF((('Dvd Calendar'!$AN$192=TYPE1)*(TYPE1&lt;&gt;"")+('Dvd Calendar'!$AN$192=TYPE2)*(TYPE2&lt;&gt;"")+('Dvd Calendar'!$AN$192=TYPE3)*(TYPE3&lt;&gt;"")+('Dvd Calendar'!$AN$192=TYPE4)*(TYPE4&lt;&gt;"")+('Dvd Calendar'!$AN$192=SPECIAL_LBL)*(INC_SPECIALS="Y"))=0,"",'Dvd Calendar'!$AN$190)))</f>
        <v/>
      </c>
      <c r="AM28" s="110">
        <f>IF(FO28="","",IF(ISNUMBER('Dvd Calendar'!$AO$190)=FALSE,"",IF((('Dvd Calendar'!$AO$192=TYPE1)*(TYPE1&lt;&gt;"")+('Dvd Calendar'!$AO$192=TYPE2)*(TYPE2&lt;&gt;"")+('Dvd Calendar'!$AO$192=TYPE3)*(TYPE3&lt;&gt;"")+('Dvd Calendar'!$AO$192=TYPE4)*(TYPE4&lt;&gt;"")+('Dvd Calendar'!$AO$192=SPECIAL_LBL)*(INC_SPECIALS="Y"))=0,"",'Dvd Calendar'!$AO$190)))</f>
        <v/>
      </c>
      <c r="AN28" s="110">
        <f>IF(FP28="","",IF(ISNUMBER('Dvd Calendar'!$AP$190)=FALSE,"",IF((('Dvd Calendar'!$AP$192=TYPE1)*(TYPE1&lt;&gt;"")+('Dvd Calendar'!$AP$192=TYPE2)*(TYPE2&lt;&gt;"")+('Dvd Calendar'!$AP$192=TYPE3)*(TYPE3&lt;&gt;"")+('Dvd Calendar'!$AP$192=TYPE4)*(TYPE4&lt;&gt;"")+('Dvd Calendar'!$AP$192=SPECIAL_LBL)*(INC_SPECIALS="Y"))=0,"",'Dvd Calendar'!$AP$190)))</f>
        <v/>
      </c>
      <c r="AO28" s="110">
        <f>IF(FQ28="","",IF(ISNUMBER('Dvd Calendar'!$AQ$190)=FALSE,"",IF((('Dvd Calendar'!$AQ$192=TYPE1)*(TYPE1&lt;&gt;"")+('Dvd Calendar'!$AQ$192=TYPE2)*(TYPE2&lt;&gt;"")+('Dvd Calendar'!$AQ$192=TYPE3)*(TYPE3&lt;&gt;"")+('Dvd Calendar'!$AQ$192=TYPE4)*(TYPE4&lt;&gt;"")+('Dvd Calendar'!$AQ$192=SPECIAL_LBL)*(INC_SPECIALS="Y"))=0,"",'Dvd Calendar'!$AQ$190)))</f>
        <v/>
      </c>
      <c r="AP28" s="110">
        <f>IF(FR28="","",IF(ISNUMBER('Dvd Calendar'!$AR$190)=FALSE,"",IF((('Dvd Calendar'!$AR$192=TYPE1)*(TYPE1&lt;&gt;"")+('Dvd Calendar'!$AR$192=TYPE2)*(TYPE2&lt;&gt;"")+('Dvd Calendar'!$AR$192=TYPE3)*(TYPE3&lt;&gt;"")+('Dvd Calendar'!$AR$192=TYPE4)*(TYPE4&lt;&gt;"")+('Dvd Calendar'!$AR$192=SPECIAL_LBL)*(INC_SPECIALS="Y"))=0,"",'Dvd Calendar'!$AR$190)))</f>
        <v/>
      </c>
      <c r="AQ28" s="110">
        <f>IF(FS28="","",IF(ISNUMBER('Dvd Calendar'!$E$195)=FALSE,"",'Dvd Calendar'!$E$195))</f>
        <v/>
      </c>
      <c r="AR28" s="110">
        <f>IF(FT28="","",IF(ISNUMBER('Dvd Calendar'!$F$195)=FALSE,"",'Dvd Calendar'!$F$195))</f>
        <v/>
      </c>
      <c r="AS28" s="110">
        <f>IF(FU28="","",IF(ISNUMBER('Dvd Calendar'!$G$195)=FALSE,"",'Dvd Calendar'!$G$195))</f>
        <v/>
      </c>
      <c r="AT28" s="110">
        <f>IF(FV28="","",IF(ISNUMBER('Dvd Calendar'!$H$195)=FALSE,"",'Dvd Calendar'!$H$195))</f>
        <v/>
      </c>
      <c r="AU28" s="110">
        <f>IF(FW28="","",IF(ISNUMBER('Dvd Calendar'!$I$195)=FALSE,"",'Dvd Calendar'!$I$195))</f>
        <v/>
      </c>
      <c r="AV28" s="110">
        <f>IF(FX28="","",IF(ISNUMBER('Dvd Calendar'!$J$195)=FALSE,"",'Dvd Calendar'!$J$195))</f>
        <v/>
      </c>
      <c r="AW28" s="110">
        <f>IF(FY28="","",IF(ISNUMBER('Dvd Calendar'!$K$195)=FALSE,"",'Dvd Calendar'!$K$195))</f>
        <v/>
      </c>
      <c r="AX28" s="110">
        <f>IF(FZ28="","",IF(ISNUMBER('Dvd Calendar'!$L$195)=FALSE,"",'Dvd Calendar'!$L$195))</f>
        <v/>
      </c>
      <c r="AY28" s="110">
        <f>IF(GA28="","",IF(ISNUMBER('Dvd Calendar'!$M$195)=FALSE,"",'Dvd Calendar'!$M$195))</f>
        <v/>
      </c>
      <c r="AZ28" s="110">
        <f>IF(GB28="","",IF(ISNUMBER('Dvd Calendar'!$N$195)=FALSE,"",'Dvd Calendar'!$N$195))</f>
        <v/>
      </c>
      <c r="BA28" s="110">
        <f>IF(GC28="","",IF(ISNUMBER('Dvd Calendar'!$O$195)=FALSE,"",'Dvd Calendar'!$O$195))</f>
        <v/>
      </c>
      <c r="BB28" s="110">
        <f>IF(GD28="","",IF(ISNUMBER('Dvd Calendar'!$P$195)=FALSE,"",'Dvd Calendar'!$P$195))</f>
        <v/>
      </c>
      <c r="BC28" s="110">
        <f>IF(GE28="","",IF(ISNUMBER('Dvd Calendar'!$Q$195)=FALSE,"",'Dvd Calendar'!$Q$195))</f>
        <v/>
      </c>
      <c r="BD28" s="110">
        <f>IF(GF28="","",IF(ISNUMBER('Dvd Calendar'!$R$195)=FALSE,"",'Dvd Calendar'!$R$195))</f>
        <v/>
      </c>
      <c r="BE28" s="110">
        <f>IF(GG28="","",IF(ISNUMBER('Dvd Calendar'!$S$195)=FALSE,"",'Dvd Calendar'!$S$195))</f>
        <v/>
      </c>
      <c r="BF28" s="110">
        <f>IF(GH28="","",IF(ISNUMBER('Dvd Calendar'!$T$195)=FALSE,"",'Dvd Calendar'!$T$195))</f>
        <v/>
      </c>
      <c r="BG28" s="110">
        <f>IF(GI28="","",IF(ISNUMBER('Dvd Calendar'!$U$195)=FALSE,"",'Dvd Calendar'!$U$195))</f>
        <v/>
      </c>
      <c r="BH28" s="110">
        <f>IF(GJ28="","",IF(ISNUMBER('Dvd Calendar'!$V$195)=FALSE,"",'Dvd Calendar'!$V$195))</f>
        <v/>
      </c>
      <c r="BI28" s="110">
        <f>IF(GK28="","",IF(ISNUMBER('Dvd Calendar'!$W$195)=FALSE,"",'Dvd Calendar'!$W$195))</f>
        <v/>
      </c>
      <c r="BJ28" s="110">
        <f>IF(GL28="","",IF(ISNUMBER('Dvd Calendar'!$X$195)=FALSE,"",'Dvd Calendar'!$X$195))</f>
        <v/>
      </c>
      <c r="BK28" s="110">
        <f>IF(GM28="","",IF(ISNUMBER('Dvd Calendar'!$Y$195)=FALSE,"",'Dvd Calendar'!$Y$195))</f>
        <v/>
      </c>
      <c r="BL28" s="110">
        <f>IF(GN28="","",IF(ISNUMBER('Dvd Calendar'!$Z$195)=FALSE,"",'Dvd Calendar'!$Z$195))</f>
        <v/>
      </c>
      <c r="BM28" s="110">
        <f>IF(GO28="","",IF(ISNUMBER('Dvd Calendar'!$AA$195)=FALSE,"",'Dvd Calendar'!$AA$195))</f>
        <v/>
      </c>
      <c r="BN28" s="110">
        <f>IF(GP28="","",IF(ISNUMBER('Dvd Calendar'!$AB$195)=FALSE,"",'Dvd Calendar'!$AB$195))</f>
        <v/>
      </c>
      <c r="BO28" s="110">
        <f>IF(GQ28="","",IF(ISNUMBER('Dvd Calendar'!$AC$195)=FALSE,"",'Dvd Calendar'!$AC$195))</f>
        <v/>
      </c>
      <c r="BQ28" s="110">
        <f>IF(C28="","",IFERROR(C28*HSI!$B$23*HSI!$G$23/HSI!$B$3,""))</f>
        <v/>
      </c>
      <c r="BR28" s="110">
        <f>IF(D28="","",IFERROR(D28*HSI!$B$23*HSI!$G$23/HSI!$B$3,""))</f>
        <v/>
      </c>
      <c r="BS28" s="110">
        <f>IF(E28="","",IFERROR(E28*HSI!$B$23*HSI!$G$23/HSI!$B$3,""))</f>
        <v/>
      </c>
      <c r="BT28" s="110">
        <f>IF(F28="","",IFERROR(F28*HSI!$B$23*HSI!$G$23/HSI!$B$3,""))</f>
        <v/>
      </c>
      <c r="BU28" s="110">
        <f>IF(G28="","",IFERROR(G28*HSI!$B$23*HSI!$G$23/HSI!$B$3,""))</f>
        <v/>
      </c>
      <c r="BV28" s="110">
        <f>IF(H28="","",IFERROR(H28*HSI!$B$23*HSI!$G$23/HSI!$B$3,""))</f>
        <v/>
      </c>
      <c r="BW28" s="110">
        <f>IF(I28="","",IFERROR(I28*HSI!$B$23*HSI!$G$23/HSI!$B$3,""))</f>
        <v/>
      </c>
      <c r="BX28" s="110">
        <f>IF(J28="","",IFERROR(J28*HSI!$B$23*HSI!$G$23/HSI!$B$3,""))</f>
        <v/>
      </c>
      <c r="BY28" s="110">
        <f>IF(K28="","",IFERROR(K28*HSI!$B$23*HSI!$G$23/HSI!$B$3,""))</f>
        <v/>
      </c>
      <c r="BZ28" s="110">
        <f>IF(L28="","",IFERROR(L28*HSI!$B$23*HSI!$G$23/HSI!$B$3,""))</f>
        <v/>
      </c>
      <c r="CA28" s="110">
        <f>IF(M28="","",IFERROR(M28*HSI!$B$23*HSI!$G$23/HSI!$B$3,""))</f>
        <v/>
      </c>
      <c r="CB28" s="110">
        <f>IF(N28="","",IFERROR(N28*HSI!$B$23*HSI!$G$23/HSI!$B$3,""))</f>
        <v/>
      </c>
      <c r="CC28" s="110">
        <f>IF(O28="","",IFERROR(O28*HSI!$B$23*HSI!$G$23/HSI!$B$3,""))</f>
        <v/>
      </c>
      <c r="CD28" s="110">
        <f>IF(P28="","",IFERROR(P28*HSI!$B$23*HSI!$G$23/HSI!$B$3,""))</f>
        <v/>
      </c>
      <c r="CE28" s="110">
        <f>IF(Q28="","",IFERROR(Q28*HSI!$B$23*HSI!$G$23/HSI!$B$3,""))</f>
        <v/>
      </c>
      <c r="CF28" s="110">
        <f>IF(R28="","",IFERROR(R28*HSI!$B$23*HSI!$G$23/HSI!$B$3,""))</f>
        <v/>
      </c>
      <c r="CG28" s="110">
        <f>IF(S28="","",IFERROR(S28*HSI!$B$23*HSI!$G$23/HSI!$B$3,""))</f>
        <v/>
      </c>
      <c r="CH28" s="110">
        <f>IF(T28="","",IFERROR(T28*HSI!$B$23*HSI!$G$23/HSI!$B$3,""))</f>
        <v/>
      </c>
      <c r="CI28" s="110">
        <f>IF(U28="","",IFERROR(U28*HSI!$B$23*HSI!$G$23/HSI!$B$3,""))</f>
        <v/>
      </c>
      <c r="CJ28" s="110">
        <f>IF(V28="","",IFERROR(V28*HSI!$B$23*HSI!$G$23/HSI!$B$3,""))</f>
        <v/>
      </c>
      <c r="CK28" s="110">
        <f>IF(W28="","",IFERROR(W28*HSI!$B$23*HSI!$G$23/HSI!$B$3,""))</f>
        <v/>
      </c>
      <c r="CL28" s="110">
        <f>IF(X28="","",IFERROR(X28*HSI!$B$23*HSI!$G$23/HSI!$B$3,""))</f>
        <v/>
      </c>
      <c r="CM28" s="110">
        <f>IF(Y28="","",IFERROR(Y28*HSI!$B$23*HSI!$G$23/HSI!$B$3,""))</f>
        <v/>
      </c>
      <c r="CN28" s="110">
        <f>IF(Z28="","",IFERROR(Z28*HSI!$B$23*HSI!$G$23/HSI!$B$3,""))</f>
        <v/>
      </c>
      <c r="CO28" s="110">
        <f>IF(AA28="","",IFERROR(AA28*HSI!$B$23*HSI!$G$23/HSI!$B$3,""))</f>
        <v/>
      </c>
      <c r="CP28" s="110">
        <f>IF(AB28="","",IFERROR(AB28*HSI!$B$23*HSI!$G$23/HSI!$B$3,""))</f>
        <v/>
      </c>
      <c r="CQ28" s="110">
        <f>IF(AC28="","",IFERROR(AC28*HSI!$B$23*HSI!$G$23/HSI!$B$3,""))</f>
        <v/>
      </c>
      <c r="CR28" s="110">
        <f>IF(AD28="","",IFERROR(AD28*HSI!$B$23*HSI!$G$23/HSI!$B$3,""))</f>
        <v/>
      </c>
      <c r="CS28" s="110">
        <f>IF(AE28="","",IFERROR(AE28*HSI!$B$23*HSI!$G$23/HSI!$B$3,""))</f>
        <v/>
      </c>
      <c r="CT28" s="110">
        <f>IF(AF28="","",IFERROR(AF28*HSI!$B$23*HSI!$G$23/HSI!$B$3,""))</f>
        <v/>
      </c>
      <c r="CU28" s="110">
        <f>IF(AG28="","",IFERROR(AG28*HSI!$B$23*HSI!$G$23/HSI!$B$3,""))</f>
        <v/>
      </c>
      <c r="CV28" s="110">
        <f>IF(AH28="","",IFERROR(AH28*HSI!$B$23*HSI!$G$23/HSI!$B$3,""))</f>
        <v/>
      </c>
      <c r="CW28" s="110">
        <f>IF(AI28="","",IFERROR(AI28*HSI!$B$23*HSI!$G$23/HSI!$B$3,""))</f>
        <v/>
      </c>
      <c r="CX28" s="110">
        <f>IF(AJ28="","",IFERROR(AJ28*HSI!$B$23*HSI!$G$23/HSI!$B$3,""))</f>
        <v/>
      </c>
      <c r="CY28" s="110">
        <f>IF(AK28="","",IFERROR(AK28*HSI!$B$23*HSI!$G$23/HSI!$B$3,""))</f>
        <v/>
      </c>
      <c r="CZ28" s="110">
        <f>IF(AL28="","",IFERROR(AL28*HSI!$B$23*HSI!$G$23/HSI!$B$3,""))</f>
        <v/>
      </c>
      <c r="DA28" s="110">
        <f>IF(AM28="","",IFERROR(AM28*HSI!$B$23*HSI!$G$23/HSI!$B$3,""))</f>
        <v/>
      </c>
      <c r="DB28" s="110">
        <f>IF(AN28="","",IFERROR(AN28*HSI!$B$23*HSI!$G$23/HSI!$B$3,""))</f>
        <v/>
      </c>
      <c r="DC28" s="110">
        <f>IF(AO28="","",IFERROR(AO28*HSI!$B$23*HSI!$G$23/HSI!$B$3,""))</f>
        <v/>
      </c>
      <c r="DD28" s="110">
        <f>IF(AP28="","",IFERROR(AP28*HSI!$B$23*HSI!$G$23/HSI!$B$3,""))</f>
        <v/>
      </c>
      <c r="DE28" s="110">
        <f>IF(AQ28="","",IFERROR(AQ28*HSI!$B$23*HSI!$G$23/HSI!$B$3,""))</f>
        <v/>
      </c>
      <c r="DF28" s="110">
        <f>IF(AR28="","",IFERROR(AR28*HSI!$B$23*HSI!$G$23/HSI!$B$3,""))</f>
        <v/>
      </c>
      <c r="DG28" s="110">
        <f>IF(AS28="","",IFERROR(AS28*HSI!$B$23*HSI!$G$23/HSI!$B$3,""))</f>
        <v/>
      </c>
      <c r="DH28" s="110">
        <f>IF(AT28="","",IFERROR(AT28*HSI!$B$23*HSI!$G$23/HSI!$B$3,""))</f>
        <v/>
      </c>
      <c r="DI28" s="110">
        <f>IF(AU28="","",IFERROR(AU28*HSI!$B$23*HSI!$G$23/HSI!$B$3,""))</f>
        <v/>
      </c>
      <c r="DJ28" s="110">
        <f>IF(AV28="","",IFERROR(AV28*HSI!$B$23*HSI!$G$23/HSI!$B$3,""))</f>
        <v/>
      </c>
      <c r="DK28" s="110">
        <f>IF(AW28="","",IFERROR(AW28*HSI!$B$23*HSI!$G$23/HSI!$B$3,""))</f>
        <v/>
      </c>
      <c r="DL28" s="110">
        <f>IF(AX28="","",IFERROR(AX28*HSI!$B$23*HSI!$G$23/HSI!$B$3,""))</f>
        <v/>
      </c>
      <c r="DM28" s="110">
        <f>IF(AY28="","",IFERROR(AY28*HSI!$B$23*HSI!$G$23/HSI!$B$3,""))</f>
        <v/>
      </c>
      <c r="DN28" s="110">
        <f>IF(AZ28="","",IFERROR(AZ28*HSI!$B$23*HSI!$G$23/HSI!$B$3,""))</f>
        <v/>
      </c>
      <c r="DO28" s="110">
        <f>IF(BA28="","",IFERROR(BA28*HSI!$B$23*HSI!$G$23/HSI!$B$3,""))</f>
        <v/>
      </c>
      <c r="DP28" s="110">
        <f>IF(BB28="","",IFERROR(BB28*HSI!$B$23*HSI!$G$23/HSI!$B$3,""))</f>
        <v/>
      </c>
      <c r="DQ28" s="110">
        <f>IF(BC28="","",IFERROR(BC28*HSI!$B$23*HSI!$G$23/HSI!$B$3,""))</f>
        <v/>
      </c>
      <c r="DR28" s="110">
        <f>IF(BD28="","",IFERROR(BD28*HSI!$B$23*HSI!$G$23/HSI!$B$3,""))</f>
        <v/>
      </c>
      <c r="DS28" s="110">
        <f>IF(BE28="","",IFERROR(BE28*HSI!$B$23*HSI!$G$23/HSI!$B$3,""))</f>
        <v/>
      </c>
      <c r="DT28" s="110">
        <f>IF(BF28="","",IFERROR(BF28*HSI!$B$23*HSI!$G$23/HSI!$B$3,""))</f>
        <v/>
      </c>
      <c r="DU28" s="110">
        <f>IF(BG28="","",IFERROR(BG28*HSI!$B$23*HSI!$G$23/HSI!$B$3,""))</f>
        <v/>
      </c>
      <c r="DV28" s="110">
        <f>IF(BH28="","",IFERROR(BH28*HSI!$B$23*HSI!$G$23/HSI!$B$3,""))</f>
        <v/>
      </c>
      <c r="DW28" s="110">
        <f>IF(BI28="","",IFERROR(BI28*HSI!$B$23*HSI!$G$23/HSI!$B$3,""))</f>
        <v/>
      </c>
      <c r="DX28" s="110">
        <f>IF(BJ28="","",IFERROR(BJ28*HSI!$B$23*HSI!$G$23/HSI!$B$3,""))</f>
        <v/>
      </c>
      <c r="DY28" s="110">
        <f>IF(BK28="","",IFERROR(BK28*HSI!$B$23*HSI!$G$23/HSI!$B$3,""))</f>
        <v/>
      </c>
      <c r="DZ28" s="110">
        <f>IF(BL28="","",IFERROR(BL28*HSI!$B$23*HSI!$G$23/HSI!$B$3,""))</f>
        <v/>
      </c>
      <c r="EA28" s="110">
        <f>IF(BM28="","",IFERROR(BM28*HSI!$B$23*HSI!$G$23/HSI!$B$3,""))</f>
        <v/>
      </c>
      <c r="EB28" s="110">
        <f>IF(BN28="","",IFERROR(BN28*HSI!$B$23*HSI!$G$23/HSI!$B$3,""))</f>
        <v/>
      </c>
      <c r="EC28" s="110">
        <f>IF(BO28="","",IFERROR(BO28*HSI!$B$23*HSI!$G$23/HSI!$B$3,""))</f>
        <v/>
      </c>
      <c r="EE28" s="39">
        <f>IF(N('Dvd Calendar'!$E$187)=0,"",IF(('Dvd Calendar'!$E$187&gt;=GRID_FROM)*('Dvd Calendar'!$E$187&lt;=GRID_TO)*((('Dvd Calendar'!$E$187&lt;=VAL_DATE)+(COUNTIF('Dvd Calendar'!$E$194:$AR$194,'Dvd Calendar'!$E$187)=0))&gt;0)=0,"",'Dvd Calendar'!$E$187*1000000000+ISNUMBER('Dvd Calendar'!$E$190)*100000000+('Dvd Calendar'!$E$192=SPECIAL_LBL)*10000000+(N('Dvd Calendar'!$E$186)&gt;0)*(N('Dvd Calendar'!$E$186)&lt;=VAL_SERIAL)*1000000+17*1000+1))</f>
        <v/>
      </c>
      <c r="EF28" s="39">
        <f>IF(N('Dvd Calendar'!$F$187)=0,"",IF(('Dvd Calendar'!$F$187&gt;=GRID_FROM)*('Dvd Calendar'!$F$187&lt;=GRID_TO)*((('Dvd Calendar'!$F$187&lt;=VAL_DATE)+(COUNTIF('Dvd Calendar'!$E$194:$AR$194,'Dvd Calendar'!$F$187)=0))&gt;0)=0,"",'Dvd Calendar'!$F$187*1000000000+ISNUMBER('Dvd Calendar'!$F$190)*100000000+('Dvd Calendar'!$F$192=SPECIAL_LBL)*10000000+(N('Dvd Calendar'!$F$186)&gt;0)*(N('Dvd Calendar'!$F$186)&lt;=VAL_SERIAL)*1000000+17*1000+2))</f>
        <v/>
      </c>
      <c r="EG28" s="39">
        <f>IF(N('Dvd Calendar'!$G$187)=0,"",IF(('Dvd Calendar'!$G$187&gt;=GRID_FROM)*('Dvd Calendar'!$G$187&lt;=GRID_TO)*((('Dvd Calendar'!$G$187&lt;=VAL_DATE)+(COUNTIF('Dvd Calendar'!$E$194:$AR$194,'Dvd Calendar'!$G$187)=0))&gt;0)=0,"",'Dvd Calendar'!$G$187*1000000000+ISNUMBER('Dvd Calendar'!$G$190)*100000000+('Dvd Calendar'!$G$192=SPECIAL_LBL)*10000000+(N('Dvd Calendar'!$G$186)&gt;0)*(N('Dvd Calendar'!$G$186)&lt;=VAL_SERIAL)*1000000+17*1000+3))</f>
        <v/>
      </c>
      <c r="EH28" s="39">
        <f>IF(N('Dvd Calendar'!$H$187)=0,"",IF(('Dvd Calendar'!$H$187&gt;=GRID_FROM)*('Dvd Calendar'!$H$187&lt;=GRID_TO)*((('Dvd Calendar'!$H$187&lt;=VAL_DATE)+(COUNTIF('Dvd Calendar'!$E$194:$AR$194,'Dvd Calendar'!$H$187)=0))&gt;0)=0,"",'Dvd Calendar'!$H$187*1000000000+ISNUMBER('Dvd Calendar'!$H$190)*100000000+('Dvd Calendar'!$H$192=SPECIAL_LBL)*10000000+(N('Dvd Calendar'!$H$186)&gt;0)*(N('Dvd Calendar'!$H$186)&lt;=VAL_SERIAL)*1000000+17*1000+4))</f>
        <v/>
      </c>
      <c r="EI28" s="39">
        <f>IF(N('Dvd Calendar'!$I$187)=0,"",IF(('Dvd Calendar'!$I$187&gt;=GRID_FROM)*('Dvd Calendar'!$I$187&lt;=GRID_TO)*((('Dvd Calendar'!$I$187&lt;=VAL_DATE)+(COUNTIF('Dvd Calendar'!$E$194:$AR$194,'Dvd Calendar'!$I$187)=0))&gt;0)=0,"",'Dvd Calendar'!$I$187*1000000000+ISNUMBER('Dvd Calendar'!$I$190)*100000000+('Dvd Calendar'!$I$192=SPECIAL_LBL)*10000000+(N('Dvd Calendar'!$I$186)&gt;0)*(N('Dvd Calendar'!$I$186)&lt;=VAL_SERIAL)*1000000+17*1000+5))</f>
        <v/>
      </c>
      <c r="EJ28" s="39">
        <f>IF(N('Dvd Calendar'!$J$187)=0,"",IF(('Dvd Calendar'!$J$187&gt;=GRID_FROM)*('Dvd Calendar'!$J$187&lt;=GRID_TO)*((('Dvd Calendar'!$J$187&lt;=VAL_DATE)+(COUNTIF('Dvd Calendar'!$E$194:$AR$194,'Dvd Calendar'!$J$187)=0))&gt;0)=0,"",'Dvd Calendar'!$J$187*1000000000+ISNUMBER('Dvd Calendar'!$J$190)*100000000+('Dvd Calendar'!$J$192=SPECIAL_LBL)*10000000+(N('Dvd Calendar'!$J$186)&gt;0)*(N('Dvd Calendar'!$J$186)&lt;=VAL_SERIAL)*1000000+17*1000+6))</f>
        <v/>
      </c>
      <c r="EK28" s="39">
        <f>IF(N('Dvd Calendar'!$K$187)=0,"",IF(('Dvd Calendar'!$K$187&gt;=GRID_FROM)*('Dvd Calendar'!$K$187&lt;=GRID_TO)*((('Dvd Calendar'!$K$187&lt;=VAL_DATE)+(COUNTIF('Dvd Calendar'!$E$194:$AR$194,'Dvd Calendar'!$K$187)=0))&gt;0)=0,"",'Dvd Calendar'!$K$187*1000000000+ISNUMBER('Dvd Calendar'!$K$190)*100000000+('Dvd Calendar'!$K$192=SPECIAL_LBL)*10000000+(N('Dvd Calendar'!$K$186)&gt;0)*(N('Dvd Calendar'!$K$186)&lt;=VAL_SERIAL)*1000000+17*1000+7))</f>
        <v/>
      </c>
      <c r="EL28" s="39">
        <f>IF(N('Dvd Calendar'!$L$187)=0,"",IF(('Dvd Calendar'!$L$187&gt;=GRID_FROM)*('Dvd Calendar'!$L$187&lt;=GRID_TO)*((('Dvd Calendar'!$L$187&lt;=VAL_DATE)+(COUNTIF('Dvd Calendar'!$E$194:$AR$194,'Dvd Calendar'!$L$187)=0))&gt;0)=0,"",'Dvd Calendar'!$L$187*1000000000+ISNUMBER('Dvd Calendar'!$L$190)*100000000+('Dvd Calendar'!$L$192=SPECIAL_LBL)*10000000+(N('Dvd Calendar'!$L$186)&gt;0)*(N('Dvd Calendar'!$L$186)&lt;=VAL_SERIAL)*1000000+17*1000+8))</f>
        <v/>
      </c>
      <c r="EM28" s="39">
        <f>IF(N('Dvd Calendar'!$M$187)=0,"",IF(('Dvd Calendar'!$M$187&gt;=GRID_FROM)*('Dvd Calendar'!$M$187&lt;=GRID_TO)*((('Dvd Calendar'!$M$187&lt;=VAL_DATE)+(COUNTIF('Dvd Calendar'!$E$194:$AR$194,'Dvd Calendar'!$M$187)=0))&gt;0)=0,"",'Dvd Calendar'!$M$187*1000000000+ISNUMBER('Dvd Calendar'!$M$190)*100000000+('Dvd Calendar'!$M$192=SPECIAL_LBL)*10000000+(N('Dvd Calendar'!$M$186)&gt;0)*(N('Dvd Calendar'!$M$186)&lt;=VAL_SERIAL)*1000000+17*1000+9))</f>
        <v/>
      </c>
      <c r="EN28" s="39">
        <f>IF(N('Dvd Calendar'!$N$187)=0,"",IF(('Dvd Calendar'!$N$187&gt;=GRID_FROM)*('Dvd Calendar'!$N$187&lt;=GRID_TO)*((('Dvd Calendar'!$N$187&lt;=VAL_DATE)+(COUNTIF('Dvd Calendar'!$E$194:$AR$194,'Dvd Calendar'!$N$187)=0))&gt;0)=0,"",'Dvd Calendar'!$N$187*1000000000+ISNUMBER('Dvd Calendar'!$N$190)*100000000+('Dvd Calendar'!$N$192=SPECIAL_LBL)*10000000+(N('Dvd Calendar'!$N$186)&gt;0)*(N('Dvd Calendar'!$N$186)&lt;=VAL_SERIAL)*1000000+17*1000+10))</f>
        <v/>
      </c>
      <c r="EO28" s="39">
        <f>IF(N('Dvd Calendar'!$O$187)=0,"",IF(('Dvd Calendar'!$O$187&gt;=GRID_FROM)*('Dvd Calendar'!$O$187&lt;=GRID_TO)*((('Dvd Calendar'!$O$187&lt;=VAL_DATE)+(COUNTIF('Dvd Calendar'!$E$194:$AR$194,'Dvd Calendar'!$O$187)=0))&gt;0)=0,"",'Dvd Calendar'!$O$187*1000000000+ISNUMBER('Dvd Calendar'!$O$190)*100000000+('Dvd Calendar'!$O$192=SPECIAL_LBL)*10000000+(N('Dvd Calendar'!$O$186)&gt;0)*(N('Dvd Calendar'!$O$186)&lt;=VAL_SERIAL)*1000000+17*1000+11))</f>
        <v/>
      </c>
      <c r="EP28" s="39">
        <f>IF(N('Dvd Calendar'!$P$187)=0,"",IF(('Dvd Calendar'!$P$187&gt;=GRID_FROM)*('Dvd Calendar'!$P$187&lt;=GRID_TO)*((('Dvd Calendar'!$P$187&lt;=VAL_DATE)+(COUNTIF('Dvd Calendar'!$E$194:$AR$194,'Dvd Calendar'!$P$187)=0))&gt;0)=0,"",'Dvd Calendar'!$P$187*1000000000+ISNUMBER('Dvd Calendar'!$P$190)*100000000+('Dvd Calendar'!$P$192=SPECIAL_LBL)*10000000+(N('Dvd Calendar'!$P$186)&gt;0)*(N('Dvd Calendar'!$P$186)&lt;=VAL_SERIAL)*1000000+17*1000+12))</f>
        <v/>
      </c>
      <c r="EQ28" s="39">
        <f>IF(N('Dvd Calendar'!$Q$187)=0,"",IF(('Dvd Calendar'!$Q$187&gt;=GRID_FROM)*('Dvd Calendar'!$Q$187&lt;=GRID_TO)*((('Dvd Calendar'!$Q$187&lt;=VAL_DATE)+(COUNTIF('Dvd Calendar'!$E$194:$AR$194,'Dvd Calendar'!$Q$187)=0))&gt;0)=0,"",'Dvd Calendar'!$Q$187*1000000000+ISNUMBER('Dvd Calendar'!$Q$190)*100000000+('Dvd Calendar'!$Q$192=SPECIAL_LBL)*10000000+(N('Dvd Calendar'!$Q$186)&gt;0)*(N('Dvd Calendar'!$Q$186)&lt;=VAL_SERIAL)*1000000+17*1000+13))</f>
        <v/>
      </c>
      <c r="ER28" s="39">
        <f>IF(N('Dvd Calendar'!$R$187)=0,"",IF(('Dvd Calendar'!$R$187&gt;=GRID_FROM)*('Dvd Calendar'!$R$187&lt;=GRID_TO)*((('Dvd Calendar'!$R$187&lt;=VAL_DATE)+(COUNTIF('Dvd Calendar'!$E$194:$AR$194,'Dvd Calendar'!$R$187)=0))&gt;0)=0,"",'Dvd Calendar'!$R$187*1000000000+ISNUMBER('Dvd Calendar'!$R$190)*100000000+('Dvd Calendar'!$R$192=SPECIAL_LBL)*10000000+(N('Dvd Calendar'!$R$186)&gt;0)*(N('Dvd Calendar'!$R$186)&lt;=VAL_SERIAL)*1000000+17*1000+14))</f>
        <v/>
      </c>
      <c r="ES28" s="39">
        <f>IF(N('Dvd Calendar'!$S$187)=0,"",IF(('Dvd Calendar'!$S$187&gt;=GRID_FROM)*('Dvd Calendar'!$S$187&lt;=GRID_TO)*((('Dvd Calendar'!$S$187&lt;=VAL_DATE)+(COUNTIF('Dvd Calendar'!$E$194:$AR$194,'Dvd Calendar'!$S$187)=0))&gt;0)=0,"",'Dvd Calendar'!$S$187*1000000000+ISNUMBER('Dvd Calendar'!$S$190)*100000000+('Dvd Calendar'!$S$192=SPECIAL_LBL)*10000000+(N('Dvd Calendar'!$S$186)&gt;0)*(N('Dvd Calendar'!$S$186)&lt;=VAL_SERIAL)*1000000+17*1000+15))</f>
        <v/>
      </c>
      <c r="ET28" s="39">
        <f>IF(N('Dvd Calendar'!$T$187)=0,"",IF(('Dvd Calendar'!$T$187&gt;=GRID_FROM)*('Dvd Calendar'!$T$187&lt;=GRID_TO)*((('Dvd Calendar'!$T$187&lt;=VAL_DATE)+(COUNTIF('Dvd Calendar'!$E$194:$AR$194,'Dvd Calendar'!$T$187)=0))&gt;0)=0,"",'Dvd Calendar'!$T$187*1000000000+ISNUMBER('Dvd Calendar'!$T$190)*100000000+('Dvd Calendar'!$T$192=SPECIAL_LBL)*10000000+(N('Dvd Calendar'!$T$186)&gt;0)*(N('Dvd Calendar'!$T$186)&lt;=VAL_SERIAL)*1000000+17*1000+16))</f>
        <v/>
      </c>
      <c r="EU28" s="39">
        <f>IF(N('Dvd Calendar'!$U$187)=0,"",IF(('Dvd Calendar'!$U$187&gt;=GRID_FROM)*('Dvd Calendar'!$U$187&lt;=GRID_TO)*((('Dvd Calendar'!$U$187&lt;=VAL_DATE)+(COUNTIF('Dvd Calendar'!$E$194:$AR$194,'Dvd Calendar'!$U$187)=0))&gt;0)=0,"",'Dvd Calendar'!$U$187*1000000000+ISNUMBER('Dvd Calendar'!$U$190)*100000000+('Dvd Calendar'!$U$192=SPECIAL_LBL)*10000000+(N('Dvd Calendar'!$U$186)&gt;0)*(N('Dvd Calendar'!$U$186)&lt;=VAL_SERIAL)*1000000+17*1000+17))</f>
        <v/>
      </c>
      <c r="EV28" s="39">
        <f>IF(N('Dvd Calendar'!$V$187)=0,"",IF(('Dvd Calendar'!$V$187&gt;=GRID_FROM)*('Dvd Calendar'!$V$187&lt;=GRID_TO)*((('Dvd Calendar'!$V$187&lt;=VAL_DATE)+(COUNTIF('Dvd Calendar'!$E$194:$AR$194,'Dvd Calendar'!$V$187)=0))&gt;0)=0,"",'Dvd Calendar'!$V$187*1000000000+ISNUMBER('Dvd Calendar'!$V$190)*100000000+('Dvd Calendar'!$V$192=SPECIAL_LBL)*10000000+(N('Dvd Calendar'!$V$186)&gt;0)*(N('Dvd Calendar'!$V$186)&lt;=VAL_SERIAL)*1000000+17*1000+18))</f>
        <v/>
      </c>
      <c r="EW28" s="39">
        <f>IF(N('Dvd Calendar'!$W$187)=0,"",IF(('Dvd Calendar'!$W$187&gt;=GRID_FROM)*('Dvd Calendar'!$W$187&lt;=GRID_TO)*((('Dvd Calendar'!$W$187&lt;=VAL_DATE)+(COUNTIF('Dvd Calendar'!$E$194:$AR$194,'Dvd Calendar'!$W$187)=0))&gt;0)=0,"",'Dvd Calendar'!$W$187*1000000000+ISNUMBER('Dvd Calendar'!$W$190)*100000000+('Dvd Calendar'!$W$192=SPECIAL_LBL)*10000000+(N('Dvd Calendar'!$W$186)&gt;0)*(N('Dvd Calendar'!$W$186)&lt;=VAL_SERIAL)*1000000+17*1000+19))</f>
        <v/>
      </c>
      <c r="EX28" s="39">
        <f>IF(N('Dvd Calendar'!$X$187)=0,"",IF(('Dvd Calendar'!$X$187&gt;=GRID_FROM)*('Dvd Calendar'!$X$187&lt;=GRID_TO)*((('Dvd Calendar'!$X$187&lt;=VAL_DATE)+(COUNTIF('Dvd Calendar'!$E$194:$AR$194,'Dvd Calendar'!$X$187)=0))&gt;0)=0,"",'Dvd Calendar'!$X$187*1000000000+ISNUMBER('Dvd Calendar'!$X$190)*100000000+('Dvd Calendar'!$X$192=SPECIAL_LBL)*10000000+(N('Dvd Calendar'!$X$186)&gt;0)*(N('Dvd Calendar'!$X$186)&lt;=VAL_SERIAL)*1000000+17*1000+20))</f>
        <v/>
      </c>
      <c r="EY28" s="39">
        <f>IF(N('Dvd Calendar'!$Y$187)=0,"",IF(('Dvd Calendar'!$Y$187&gt;=GRID_FROM)*('Dvd Calendar'!$Y$187&lt;=GRID_TO)*((('Dvd Calendar'!$Y$187&lt;=VAL_DATE)+(COUNTIF('Dvd Calendar'!$E$194:$AR$194,'Dvd Calendar'!$Y$187)=0))&gt;0)=0,"",'Dvd Calendar'!$Y$187*1000000000+ISNUMBER('Dvd Calendar'!$Y$190)*100000000+('Dvd Calendar'!$Y$192=SPECIAL_LBL)*10000000+(N('Dvd Calendar'!$Y$186)&gt;0)*(N('Dvd Calendar'!$Y$186)&lt;=VAL_SERIAL)*1000000+17*1000+21))</f>
        <v/>
      </c>
      <c r="EZ28" s="39">
        <f>IF(N('Dvd Calendar'!$Z$187)=0,"",IF(('Dvd Calendar'!$Z$187&gt;=GRID_FROM)*('Dvd Calendar'!$Z$187&lt;=GRID_TO)*((('Dvd Calendar'!$Z$187&lt;=VAL_DATE)+(COUNTIF('Dvd Calendar'!$E$194:$AR$194,'Dvd Calendar'!$Z$187)=0))&gt;0)=0,"",'Dvd Calendar'!$Z$187*1000000000+ISNUMBER('Dvd Calendar'!$Z$190)*100000000+('Dvd Calendar'!$Z$192=SPECIAL_LBL)*10000000+(N('Dvd Calendar'!$Z$186)&gt;0)*(N('Dvd Calendar'!$Z$186)&lt;=VAL_SERIAL)*1000000+17*1000+22))</f>
        <v/>
      </c>
      <c r="FA28" s="39">
        <f>IF(N('Dvd Calendar'!$AA$187)=0,"",IF(('Dvd Calendar'!$AA$187&gt;=GRID_FROM)*('Dvd Calendar'!$AA$187&lt;=GRID_TO)*((('Dvd Calendar'!$AA$187&lt;=VAL_DATE)+(COUNTIF('Dvd Calendar'!$E$194:$AR$194,'Dvd Calendar'!$AA$187)=0))&gt;0)=0,"",'Dvd Calendar'!$AA$187*1000000000+ISNUMBER('Dvd Calendar'!$AA$190)*100000000+('Dvd Calendar'!$AA$192=SPECIAL_LBL)*10000000+(N('Dvd Calendar'!$AA$186)&gt;0)*(N('Dvd Calendar'!$AA$186)&lt;=VAL_SERIAL)*1000000+17*1000+23))</f>
        <v/>
      </c>
      <c r="FB28" s="39">
        <f>IF(N('Dvd Calendar'!$AB$187)=0,"",IF(('Dvd Calendar'!$AB$187&gt;=GRID_FROM)*('Dvd Calendar'!$AB$187&lt;=GRID_TO)*((('Dvd Calendar'!$AB$187&lt;=VAL_DATE)+(COUNTIF('Dvd Calendar'!$E$194:$AR$194,'Dvd Calendar'!$AB$187)=0))&gt;0)=0,"",'Dvd Calendar'!$AB$187*1000000000+ISNUMBER('Dvd Calendar'!$AB$190)*100000000+('Dvd Calendar'!$AB$192=SPECIAL_LBL)*10000000+(N('Dvd Calendar'!$AB$186)&gt;0)*(N('Dvd Calendar'!$AB$186)&lt;=VAL_SERIAL)*1000000+17*1000+24))</f>
        <v/>
      </c>
      <c r="FC28" s="39">
        <f>IF(N('Dvd Calendar'!$AC$187)=0,"",IF(('Dvd Calendar'!$AC$187&gt;=GRID_FROM)*('Dvd Calendar'!$AC$187&lt;=GRID_TO)*((('Dvd Calendar'!$AC$187&lt;=VAL_DATE)+(COUNTIF('Dvd Calendar'!$E$194:$AR$194,'Dvd Calendar'!$AC$187)=0))&gt;0)=0,"",'Dvd Calendar'!$AC$187*1000000000+ISNUMBER('Dvd Calendar'!$AC$190)*100000000+('Dvd Calendar'!$AC$192=SPECIAL_LBL)*10000000+(N('Dvd Calendar'!$AC$186)&gt;0)*(N('Dvd Calendar'!$AC$186)&lt;=VAL_SERIAL)*1000000+17*1000+25))</f>
        <v/>
      </c>
      <c r="FD28" s="39">
        <f>IF(N('Dvd Calendar'!$AD$187)=0,"",IF(('Dvd Calendar'!$AD$187&gt;=GRID_FROM)*('Dvd Calendar'!$AD$187&lt;=GRID_TO)*((('Dvd Calendar'!$AD$187&lt;=VAL_DATE)+(COUNTIF('Dvd Calendar'!$E$194:$AR$194,'Dvd Calendar'!$AD$187)=0))&gt;0)=0,"",'Dvd Calendar'!$AD$187*1000000000+ISNUMBER('Dvd Calendar'!$AD$190)*100000000+('Dvd Calendar'!$AD$192=SPECIAL_LBL)*10000000+(N('Dvd Calendar'!$AD$186)&gt;0)*(N('Dvd Calendar'!$AD$186)&lt;=VAL_SERIAL)*1000000+17*1000+26))</f>
        <v/>
      </c>
      <c r="FE28" s="39">
        <f>IF(N('Dvd Calendar'!$AE$187)=0,"",IF(('Dvd Calendar'!$AE$187&gt;=GRID_FROM)*('Dvd Calendar'!$AE$187&lt;=GRID_TO)*((('Dvd Calendar'!$AE$187&lt;=VAL_DATE)+(COUNTIF('Dvd Calendar'!$E$194:$AR$194,'Dvd Calendar'!$AE$187)=0))&gt;0)=0,"",'Dvd Calendar'!$AE$187*1000000000+ISNUMBER('Dvd Calendar'!$AE$190)*100000000+('Dvd Calendar'!$AE$192=SPECIAL_LBL)*10000000+(N('Dvd Calendar'!$AE$186)&gt;0)*(N('Dvd Calendar'!$AE$186)&lt;=VAL_SERIAL)*1000000+17*1000+27))</f>
        <v/>
      </c>
      <c r="FF28" s="39">
        <f>IF(N('Dvd Calendar'!$AF$187)=0,"",IF(('Dvd Calendar'!$AF$187&gt;=GRID_FROM)*('Dvd Calendar'!$AF$187&lt;=GRID_TO)*((('Dvd Calendar'!$AF$187&lt;=VAL_DATE)+(COUNTIF('Dvd Calendar'!$E$194:$AR$194,'Dvd Calendar'!$AF$187)=0))&gt;0)=0,"",'Dvd Calendar'!$AF$187*1000000000+ISNUMBER('Dvd Calendar'!$AF$190)*100000000+('Dvd Calendar'!$AF$192=SPECIAL_LBL)*10000000+(N('Dvd Calendar'!$AF$186)&gt;0)*(N('Dvd Calendar'!$AF$186)&lt;=VAL_SERIAL)*1000000+17*1000+28))</f>
        <v/>
      </c>
      <c r="FG28" s="39">
        <f>IF(N('Dvd Calendar'!$AG$187)=0,"",IF(('Dvd Calendar'!$AG$187&gt;=GRID_FROM)*('Dvd Calendar'!$AG$187&lt;=GRID_TO)*((('Dvd Calendar'!$AG$187&lt;=VAL_DATE)+(COUNTIF('Dvd Calendar'!$E$194:$AR$194,'Dvd Calendar'!$AG$187)=0))&gt;0)=0,"",'Dvd Calendar'!$AG$187*1000000000+ISNUMBER('Dvd Calendar'!$AG$190)*100000000+('Dvd Calendar'!$AG$192=SPECIAL_LBL)*10000000+(N('Dvd Calendar'!$AG$186)&gt;0)*(N('Dvd Calendar'!$AG$186)&lt;=VAL_SERIAL)*1000000+17*1000+29))</f>
        <v/>
      </c>
      <c r="FH28" s="39">
        <f>IF(N('Dvd Calendar'!$AH$187)=0,"",IF(('Dvd Calendar'!$AH$187&gt;=GRID_FROM)*('Dvd Calendar'!$AH$187&lt;=GRID_TO)*((('Dvd Calendar'!$AH$187&lt;=VAL_DATE)+(COUNTIF('Dvd Calendar'!$E$194:$AR$194,'Dvd Calendar'!$AH$187)=0))&gt;0)=0,"",'Dvd Calendar'!$AH$187*1000000000+ISNUMBER('Dvd Calendar'!$AH$190)*100000000+('Dvd Calendar'!$AH$192=SPECIAL_LBL)*10000000+(N('Dvd Calendar'!$AH$186)&gt;0)*(N('Dvd Calendar'!$AH$186)&lt;=VAL_SERIAL)*1000000+17*1000+30))</f>
        <v/>
      </c>
      <c r="FI28" s="39">
        <f>IF(N('Dvd Calendar'!$AI$187)=0,"",IF(('Dvd Calendar'!$AI$187&gt;=GRID_FROM)*('Dvd Calendar'!$AI$187&lt;=GRID_TO)*((('Dvd Calendar'!$AI$187&lt;=VAL_DATE)+(COUNTIF('Dvd Calendar'!$E$194:$AR$194,'Dvd Calendar'!$AI$187)=0))&gt;0)=0,"",'Dvd Calendar'!$AI$187*1000000000+ISNUMBER('Dvd Calendar'!$AI$190)*100000000+('Dvd Calendar'!$AI$192=SPECIAL_LBL)*10000000+(N('Dvd Calendar'!$AI$186)&gt;0)*(N('Dvd Calendar'!$AI$186)&lt;=VAL_SERIAL)*1000000+17*1000+31))</f>
        <v/>
      </c>
      <c r="FJ28" s="39">
        <f>IF(N('Dvd Calendar'!$AJ$187)=0,"",IF(('Dvd Calendar'!$AJ$187&gt;=GRID_FROM)*('Dvd Calendar'!$AJ$187&lt;=GRID_TO)*((('Dvd Calendar'!$AJ$187&lt;=VAL_DATE)+(COUNTIF('Dvd Calendar'!$E$194:$AR$194,'Dvd Calendar'!$AJ$187)=0))&gt;0)=0,"",'Dvd Calendar'!$AJ$187*1000000000+ISNUMBER('Dvd Calendar'!$AJ$190)*100000000+('Dvd Calendar'!$AJ$192=SPECIAL_LBL)*10000000+(N('Dvd Calendar'!$AJ$186)&gt;0)*(N('Dvd Calendar'!$AJ$186)&lt;=VAL_SERIAL)*1000000+17*1000+32))</f>
        <v/>
      </c>
      <c r="FK28" s="39">
        <f>IF(N('Dvd Calendar'!$AK$187)=0,"",IF(('Dvd Calendar'!$AK$187&gt;=GRID_FROM)*('Dvd Calendar'!$AK$187&lt;=GRID_TO)*((('Dvd Calendar'!$AK$187&lt;=VAL_DATE)+(COUNTIF('Dvd Calendar'!$E$194:$AR$194,'Dvd Calendar'!$AK$187)=0))&gt;0)=0,"",'Dvd Calendar'!$AK$187*1000000000+ISNUMBER('Dvd Calendar'!$AK$190)*100000000+('Dvd Calendar'!$AK$192=SPECIAL_LBL)*10000000+(N('Dvd Calendar'!$AK$186)&gt;0)*(N('Dvd Calendar'!$AK$186)&lt;=VAL_SERIAL)*1000000+17*1000+33))</f>
        <v/>
      </c>
      <c r="FL28" s="39">
        <f>IF(N('Dvd Calendar'!$AL$187)=0,"",IF(('Dvd Calendar'!$AL$187&gt;=GRID_FROM)*('Dvd Calendar'!$AL$187&lt;=GRID_TO)*((('Dvd Calendar'!$AL$187&lt;=VAL_DATE)+(COUNTIF('Dvd Calendar'!$E$194:$AR$194,'Dvd Calendar'!$AL$187)=0))&gt;0)=0,"",'Dvd Calendar'!$AL$187*1000000000+ISNUMBER('Dvd Calendar'!$AL$190)*100000000+('Dvd Calendar'!$AL$192=SPECIAL_LBL)*10000000+(N('Dvd Calendar'!$AL$186)&gt;0)*(N('Dvd Calendar'!$AL$186)&lt;=VAL_SERIAL)*1000000+17*1000+34))</f>
        <v/>
      </c>
      <c r="FM28" s="39">
        <f>IF(N('Dvd Calendar'!$AM$187)=0,"",IF(('Dvd Calendar'!$AM$187&gt;=GRID_FROM)*('Dvd Calendar'!$AM$187&lt;=GRID_TO)*((('Dvd Calendar'!$AM$187&lt;=VAL_DATE)+(COUNTIF('Dvd Calendar'!$E$194:$AR$194,'Dvd Calendar'!$AM$187)=0))&gt;0)=0,"",'Dvd Calendar'!$AM$187*1000000000+ISNUMBER('Dvd Calendar'!$AM$190)*100000000+('Dvd Calendar'!$AM$192=SPECIAL_LBL)*10000000+(N('Dvd Calendar'!$AM$186)&gt;0)*(N('Dvd Calendar'!$AM$186)&lt;=VAL_SERIAL)*1000000+17*1000+35))</f>
        <v/>
      </c>
      <c r="FN28" s="39">
        <f>IF(N('Dvd Calendar'!$AN$187)=0,"",IF(('Dvd Calendar'!$AN$187&gt;=GRID_FROM)*('Dvd Calendar'!$AN$187&lt;=GRID_TO)*((('Dvd Calendar'!$AN$187&lt;=VAL_DATE)+(COUNTIF('Dvd Calendar'!$E$194:$AR$194,'Dvd Calendar'!$AN$187)=0))&gt;0)=0,"",'Dvd Calendar'!$AN$187*1000000000+ISNUMBER('Dvd Calendar'!$AN$190)*100000000+('Dvd Calendar'!$AN$192=SPECIAL_LBL)*10000000+(N('Dvd Calendar'!$AN$186)&gt;0)*(N('Dvd Calendar'!$AN$186)&lt;=VAL_SERIAL)*1000000+17*1000+36))</f>
        <v/>
      </c>
      <c r="FO28" s="39">
        <f>IF(N('Dvd Calendar'!$AO$187)=0,"",IF(('Dvd Calendar'!$AO$187&gt;=GRID_FROM)*('Dvd Calendar'!$AO$187&lt;=GRID_TO)*((('Dvd Calendar'!$AO$187&lt;=VAL_DATE)+(COUNTIF('Dvd Calendar'!$E$194:$AR$194,'Dvd Calendar'!$AO$187)=0))&gt;0)=0,"",'Dvd Calendar'!$AO$187*1000000000+ISNUMBER('Dvd Calendar'!$AO$190)*100000000+('Dvd Calendar'!$AO$192=SPECIAL_LBL)*10000000+(N('Dvd Calendar'!$AO$186)&gt;0)*(N('Dvd Calendar'!$AO$186)&lt;=VAL_SERIAL)*1000000+17*1000+37))</f>
        <v/>
      </c>
      <c r="FP28" s="39">
        <f>IF(N('Dvd Calendar'!$AP$187)=0,"",IF(('Dvd Calendar'!$AP$187&gt;=GRID_FROM)*('Dvd Calendar'!$AP$187&lt;=GRID_TO)*((('Dvd Calendar'!$AP$187&lt;=VAL_DATE)+(COUNTIF('Dvd Calendar'!$E$194:$AR$194,'Dvd Calendar'!$AP$187)=0))&gt;0)=0,"",'Dvd Calendar'!$AP$187*1000000000+ISNUMBER('Dvd Calendar'!$AP$190)*100000000+('Dvd Calendar'!$AP$192=SPECIAL_LBL)*10000000+(N('Dvd Calendar'!$AP$186)&gt;0)*(N('Dvd Calendar'!$AP$186)&lt;=VAL_SERIAL)*1000000+17*1000+38))</f>
        <v/>
      </c>
      <c r="FQ28" s="39">
        <f>IF(N('Dvd Calendar'!$AQ$187)=0,"",IF(('Dvd Calendar'!$AQ$187&gt;=GRID_FROM)*('Dvd Calendar'!$AQ$187&lt;=GRID_TO)*((('Dvd Calendar'!$AQ$187&lt;=VAL_DATE)+(COUNTIF('Dvd Calendar'!$E$194:$AR$194,'Dvd Calendar'!$AQ$187)=0))&gt;0)=0,"",'Dvd Calendar'!$AQ$187*1000000000+ISNUMBER('Dvd Calendar'!$AQ$190)*100000000+('Dvd Calendar'!$AQ$192=SPECIAL_LBL)*10000000+(N('Dvd Calendar'!$AQ$186)&gt;0)*(N('Dvd Calendar'!$AQ$186)&lt;=VAL_SERIAL)*1000000+17*1000+39))</f>
        <v/>
      </c>
      <c r="FR28" s="39">
        <f>IF(N('Dvd Calendar'!$AR$187)=0,"",IF(('Dvd Calendar'!$AR$187&gt;=GRID_FROM)*('Dvd Calendar'!$AR$187&lt;=GRID_TO)*((('Dvd Calendar'!$AR$187&lt;=VAL_DATE)+(COUNTIF('Dvd Calendar'!$E$194:$AR$194,'Dvd Calendar'!$AR$187)=0))&gt;0)=0,"",'Dvd Calendar'!$AR$187*1000000000+ISNUMBER('Dvd Calendar'!$AR$190)*100000000+('Dvd Calendar'!$AR$192=SPECIAL_LBL)*10000000+(N('Dvd Calendar'!$AR$186)&gt;0)*(N('Dvd Calendar'!$AR$186)&lt;=VAL_SERIAL)*1000000+17*1000+40))</f>
        <v/>
      </c>
      <c r="FS28" s="39">
        <f>IF(N('Dvd Calendar'!$E$194)=0,"",IF(('Dvd Calendar'!$E$194&gt;=GRID_FROM)*('Dvd Calendar'!$E$194&lt;=GRID_TO)*('Dvd Calendar'!$E$194&gt;VAL_DATE)=0,"",'Dvd Calendar'!$E$194*1000000000+ISNUMBER('Dvd Calendar'!$E$195)*100000000+0*10000000+(N('Dvd Calendar'!$E$193)&gt;0)*(N('Dvd Calendar'!$E$193)&lt;=VAL_SERIAL)*1000000+17*1000+41))</f>
        <v/>
      </c>
      <c r="FT28" s="39">
        <f>IF(N('Dvd Calendar'!$F$194)=0,"",IF(('Dvd Calendar'!$F$194&gt;=GRID_FROM)*('Dvd Calendar'!$F$194&lt;=GRID_TO)*('Dvd Calendar'!$F$194&gt;VAL_DATE)=0,"",'Dvd Calendar'!$F$194*1000000000+ISNUMBER('Dvd Calendar'!$F$195)*100000000+0*10000000+(N('Dvd Calendar'!$F$193)&gt;0)*(N('Dvd Calendar'!$F$193)&lt;=VAL_SERIAL)*1000000+17*1000+42))</f>
        <v/>
      </c>
      <c r="FU28" s="39">
        <f>IF(N('Dvd Calendar'!$G$194)=0,"",IF(('Dvd Calendar'!$G$194&gt;=GRID_FROM)*('Dvd Calendar'!$G$194&lt;=GRID_TO)*('Dvd Calendar'!$G$194&gt;VAL_DATE)=0,"",'Dvd Calendar'!$G$194*1000000000+ISNUMBER('Dvd Calendar'!$G$195)*100000000+0*10000000+(N('Dvd Calendar'!$G$193)&gt;0)*(N('Dvd Calendar'!$G$193)&lt;=VAL_SERIAL)*1000000+17*1000+43))</f>
        <v/>
      </c>
      <c r="FV28" s="39">
        <f>IF(N('Dvd Calendar'!$H$194)=0,"",IF(('Dvd Calendar'!$H$194&gt;=GRID_FROM)*('Dvd Calendar'!$H$194&lt;=GRID_TO)*('Dvd Calendar'!$H$194&gt;VAL_DATE)=0,"",'Dvd Calendar'!$H$194*1000000000+ISNUMBER('Dvd Calendar'!$H$195)*100000000+0*10000000+(N('Dvd Calendar'!$H$193)&gt;0)*(N('Dvd Calendar'!$H$193)&lt;=VAL_SERIAL)*1000000+17*1000+44))</f>
        <v/>
      </c>
      <c r="FW28" s="39">
        <f>IF(N('Dvd Calendar'!$I$194)=0,"",IF(('Dvd Calendar'!$I$194&gt;=GRID_FROM)*('Dvd Calendar'!$I$194&lt;=GRID_TO)*('Dvd Calendar'!$I$194&gt;VAL_DATE)=0,"",'Dvd Calendar'!$I$194*1000000000+ISNUMBER('Dvd Calendar'!$I$195)*100000000+0*10000000+(N('Dvd Calendar'!$I$193)&gt;0)*(N('Dvd Calendar'!$I$193)&lt;=VAL_SERIAL)*1000000+17*1000+45))</f>
        <v/>
      </c>
      <c r="FX28" s="39">
        <f>IF(N('Dvd Calendar'!$J$194)=0,"",IF(('Dvd Calendar'!$J$194&gt;=GRID_FROM)*('Dvd Calendar'!$J$194&lt;=GRID_TO)*('Dvd Calendar'!$J$194&gt;VAL_DATE)=0,"",'Dvd Calendar'!$J$194*1000000000+ISNUMBER('Dvd Calendar'!$J$195)*100000000+0*10000000+(N('Dvd Calendar'!$J$193)&gt;0)*(N('Dvd Calendar'!$J$193)&lt;=VAL_SERIAL)*1000000+17*1000+46))</f>
        <v/>
      </c>
      <c r="FY28" s="39">
        <f>IF(N('Dvd Calendar'!$K$194)=0,"",IF(('Dvd Calendar'!$K$194&gt;=GRID_FROM)*('Dvd Calendar'!$K$194&lt;=GRID_TO)*('Dvd Calendar'!$K$194&gt;VAL_DATE)=0,"",'Dvd Calendar'!$K$194*1000000000+ISNUMBER('Dvd Calendar'!$K$195)*100000000+0*10000000+(N('Dvd Calendar'!$K$193)&gt;0)*(N('Dvd Calendar'!$K$193)&lt;=VAL_SERIAL)*1000000+17*1000+47))</f>
        <v/>
      </c>
      <c r="FZ28" s="39">
        <f>IF(N('Dvd Calendar'!$L$194)=0,"",IF(('Dvd Calendar'!$L$194&gt;=GRID_FROM)*('Dvd Calendar'!$L$194&lt;=GRID_TO)*('Dvd Calendar'!$L$194&gt;VAL_DATE)=0,"",'Dvd Calendar'!$L$194*1000000000+ISNUMBER('Dvd Calendar'!$L$195)*100000000+0*10000000+(N('Dvd Calendar'!$L$193)&gt;0)*(N('Dvd Calendar'!$L$193)&lt;=VAL_SERIAL)*1000000+17*1000+48))</f>
        <v/>
      </c>
      <c r="GA28" s="39">
        <f>IF(N('Dvd Calendar'!$M$194)=0,"",IF(('Dvd Calendar'!$M$194&gt;=GRID_FROM)*('Dvd Calendar'!$M$194&lt;=GRID_TO)*('Dvd Calendar'!$M$194&gt;VAL_DATE)=0,"",'Dvd Calendar'!$M$194*1000000000+ISNUMBER('Dvd Calendar'!$M$195)*100000000+0*10000000+(N('Dvd Calendar'!$M$193)&gt;0)*(N('Dvd Calendar'!$M$193)&lt;=VAL_SERIAL)*1000000+17*1000+49))</f>
        <v/>
      </c>
      <c r="GB28" s="39">
        <f>IF(N('Dvd Calendar'!$N$194)=0,"",IF(('Dvd Calendar'!$N$194&gt;=GRID_FROM)*('Dvd Calendar'!$N$194&lt;=GRID_TO)*('Dvd Calendar'!$N$194&gt;VAL_DATE)=0,"",'Dvd Calendar'!$N$194*1000000000+ISNUMBER('Dvd Calendar'!$N$195)*100000000+0*10000000+(N('Dvd Calendar'!$N$193)&gt;0)*(N('Dvd Calendar'!$N$193)&lt;=VAL_SERIAL)*1000000+17*1000+50))</f>
        <v/>
      </c>
      <c r="GC28" s="39">
        <f>IF(N('Dvd Calendar'!$O$194)=0,"",IF(('Dvd Calendar'!$O$194&gt;=GRID_FROM)*('Dvd Calendar'!$O$194&lt;=GRID_TO)*('Dvd Calendar'!$O$194&gt;VAL_DATE)=0,"",'Dvd Calendar'!$O$194*1000000000+ISNUMBER('Dvd Calendar'!$O$195)*100000000+0*10000000+(N('Dvd Calendar'!$O$193)&gt;0)*(N('Dvd Calendar'!$O$193)&lt;=VAL_SERIAL)*1000000+17*1000+51))</f>
        <v/>
      </c>
      <c r="GD28" s="39">
        <f>IF(N('Dvd Calendar'!$P$194)=0,"",IF(('Dvd Calendar'!$P$194&gt;=GRID_FROM)*('Dvd Calendar'!$P$194&lt;=GRID_TO)*('Dvd Calendar'!$P$194&gt;VAL_DATE)=0,"",'Dvd Calendar'!$P$194*1000000000+ISNUMBER('Dvd Calendar'!$P$195)*100000000+0*10000000+(N('Dvd Calendar'!$P$193)&gt;0)*(N('Dvd Calendar'!$P$193)&lt;=VAL_SERIAL)*1000000+17*1000+52))</f>
        <v/>
      </c>
      <c r="GE28" s="39">
        <f>IF(N('Dvd Calendar'!$Q$194)=0,"",IF(('Dvd Calendar'!$Q$194&gt;=GRID_FROM)*('Dvd Calendar'!$Q$194&lt;=GRID_TO)*('Dvd Calendar'!$Q$194&gt;VAL_DATE)=0,"",'Dvd Calendar'!$Q$194*1000000000+ISNUMBER('Dvd Calendar'!$Q$195)*100000000+0*10000000+(N('Dvd Calendar'!$Q$193)&gt;0)*(N('Dvd Calendar'!$Q$193)&lt;=VAL_SERIAL)*1000000+17*1000+53))</f>
        <v/>
      </c>
      <c r="GF28" s="39">
        <f>IF(N('Dvd Calendar'!$R$194)=0,"",IF(('Dvd Calendar'!$R$194&gt;=GRID_FROM)*('Dvd Calendar'!$R$194&lt;=GRID_TO)*('Dvd Calendar'!$R$194&gt;VAL_DATE)=0,"",'Dvd Calendar'!$R$194*1000000000+ISNUMBER('Dvd Calendar'!$R$195)*100000000+0*10000000+(N('Dvd Calendar'!$R$193)&gt;0)*(N('Dvd Calendar'!$R$193)&lt;=VAL_SERIAL)*1000000+17*1000+54))</f>
        <v/>
      </c>
      <c r="GG28" s="39">
        <f>IF(N('Dvd Calendar'!$S$194)=0,"",IF(('Dvd Calendar'!$S$194&gt;=GRID_FROM)*('Dvd Calendar'!$S$194&lt;=GRID_TO)*('Dvd Calendar'!$S$194&gt;VAL_DATE)=0,"",'Dvd Calendar'!$S$194*1000000000+ISNUMBER('Dvd Calendar'!$S$195)*100000000+0*10000000+(N('Dvd Calendar'!$S$193)&gt;0)*(N('Dvd Calendar'!$S$193)&lt;=VAL_SERIAL)*1000000+17*1000+55))</f>
        <v/>
      </c>
      <c r="GH28" s="39">
        <f>IF(N('Dvd Calendar'!$T$194)=0,"",IF(('Dvd Calendar'!$T$194&gt;=GRID_FROM)*('Dvd Calendar'!$T$194&lt;=GRID_TO)*('Dvd Calendar'!$T$194&gt;VAL_DATE)=0,"",'Dvd Calendar'!$T$194*1000000000+ISNUMBER('Dvd Calendar'!$T$195)*100000000+0*10000000+(N('Dvd Calendar'!$T$193)&gt;0)*(N('Dvd Calendar'!$T$193)&lt;=VAL_SERIAL)*1000000+17*1000+56))</f>
        <v/>
      </c>
      <c r="GI28" s="39">
        <f>IF(N('Dvd Calendar'!$U$194)=0,"",IF(('Dvd Calendar'!$U$194&gt;=GRID_FROM)*('Dvd Calendar'!$U$194&lt;=GRID_TO)*('Dvd Calendar'!$U$194&gt;VAL_DATE)=0,"",'Dvd Calendar'!$U$194*1000000000+ISNUMBER('Dvd Calendar'!$U$195)*100000000+0*10000000+(N('Dvd Calendar'!$U$193)&gt;0)*(N('Dvd Calendar'!$U$193)&lt;=VAL_SERIAL)*1000000+17*1000+57))</f>
        <v/>
      </c>
      <c r="GJ28" s="39">
        <f>IF(N('Dvd Calendar'!$V$194)=0,"",IF(('Dvd Calendar'!$V$194&gt;=GRID_FROM)*('Dvd Calendar'!$V$194&lt;=GRID_TO)*('Dvd Calendar'!$V$194&gt;VAL_DATE)=0,"",'Dvd Calendar'!$V$194*1000000000+ISNUMBER('Dvd Calendar'!$V$195)*100000000+0*10000000+(N('Dvd Calendar'!$V$193)&gt;0)*(N('Dvd Calendar'!$V$193)&lt;=VAL_SERIAL)*1000000+17*1000+58))</f>
        <v/>
      </c>
      <c r="GK28" s="39">
        <f>IF(N('Dvd Calendar'!$W$194)=0,"",IF(('Dvd Calendar'!$W$194&gt;=GRID_FROM)*('Dvd Calendar'!$W$194&lt;=GRID_TO)*('Dvd Calendar'!$W$194&gt;VAL_DATE)=0,"",'Dvd Calendar'!$W$194*1000000000+ISNUMBER('Dvd Calendar'!$W$195)*100000000+0*10000000+(N('Dvd Calendar'!$W$193)&gt;0)*(N('Dvd Calendar'!$W$193)&lt;=VAL_SERIAL)*1000000+17*1000+59))</f>
        <v/>
      </c>
      <c r="GL28" s="39">
        <f>IF(N('Dvd Calendar'!$X$194)=0,"",IF(('Dvd Calendar'!$X$194&gt;=GRID_FROM)*('Dvd Calendar'!$X$194&lt;=GRID_TO)*('Dvd Calendar'!$X$194&gt;VAL_DATE)=0,"",'Dvd Calendar'!$X$194*1000000000+ISNUMBER('Dvd Calendar'!$X$195)*100000000+0*10000000+(N('Dvd Calendar'!$X$193)&gt;0)*(N('Dvd Calendar'!$X$193)&lt;=VAL_SERIAL)*1000000+17*1000+60))</f>
        <v/>
      </c>
      <c r="GM28" s="39">
        <f>IF(N('Dvd Calendar'!$Y$194)=0,"",IF(('Dvd Calendar'!$Y$194&gt;=GRID_FROM)*('Dvd Calendar'!$Y$194&lt;=GRID_TO)*('Dvd Calendar'!$Y$194&gt;VAL_DATE)=0,"",'Dvd Calendar'!$Y$194*1000000000+ISNUMBER('Dvd Calendar'!$Y$195)*100000000+0*10000000+(N('Dvd Calendar'!$Y$193)&gt;0)*(N('Dvd Calendar'!$Y$193)&lt;=VAL_SERIAL)*1000000+17*1000+61))</f>
        <v/>
      </c>
      <c r="GN28" s="39">
        <f>IF(N('Dvd Calendar'!$Z$194)=0,"",IF(('Dvd Calendar'!$Z$194&gt;=GRID_FROM)*('Dvd Calendar'!$Z$194&lt;=GRID_TO)*('Dvd Calendar'!$Z$194&gt;VAL_DATE)=0,"",'Dvd Calendar'!$Z$194*1000000000+ISNUMBER('Dvd Calendar'!$Z$195)*100000000+0*10000000+(N('Dvd Calendar'!$Z$193)&gt;0)*(N('Dvd Calendar'!$Z$193)&lt;=VAL_SERIAL)*1000000+17*1000+62))</f>
        <v/>
      </c>
      <c r="GO28" s="39">
        <f>IF(N('Dvd Calendar'!$AA$194)=0,"",IF(('Dvd Calendar'!$AA$194&gt;=GRID_FROM)*('Dvd Calendar'!$AA$194&lt;=GRID_TO)*('Dvd Calendar'!$AA$194&gt;VAL_DATE)=0,"",'Dvd Calendar'!$AA$194*1000000000+ISNUMBER('Dvd Calendar'!$AA$195)*100000000+0*10000000+(N('Dvd Calendar'!$AA$193)&gt;0)*(N('Dvd Calendar'!$AA$193)&lt;=VAL_SERIAL)*1000000+17*1000+63))</f>
        <v/>
      </c>
      <c r="GP28" s="39">
        <f>IF(N('Dvd Calendar'!$AB$194)=0,"",IF(('Dvd Calendar'!$AB$194&gt;=GRID_FROM)*('Dvd Calendar'!$AB$194&lt;=GRID_TO)*('Dvd Calendar'!$AB$194&gt;VAL_DATE)=0,"",'Dvd Calendar'!$AB$194*1000000000+ISNUMBER('Dvd Calendar'!$AB$195)*100000000+0*10000000+(N('Dvd Calendar'!$AB$193)&gt;0)*(N('Dvd Calendar'!$AB$193)&lt;=VAL_SERIAL)*1000000+17*1000+64))</f>
        <v/>
      </c>
      <c r="GQ28" s="39">
        <f>IF(N('Dvd Calendar'!$AC$194)=0,"",IF(('Dvd Calendar'!$AC$194&gt;=GRID_FROM)*('Dvd Calendar'!$AC$194&lt;=GRID_TO)*('Dvd Calendar'!$AC$194&gt;VAL_DATE)=0,"",'Dvd Calendar'!$AC$194*1000000000+ISNUMBER('Dvd Calendar'!$AC$195)*100000000+0*10000000+(N('Dvd Calendar'!$AC$193)&gt;0)*(N('Dvd Calendar'!$AC$193)&lt;=VAL_SERIAL)*1000000+17*1000+65))</f>
        <v/>
      </c>
    </row>
    <row r="29">
      <c r="B29" s="2">
        <f>IF(HSI!$C$24="","",HSI!$C$24)</f>
        <v/>
      </c>
      <c r="C29" s="110">
        <f>IF(EE29="","",IF(ISNUMBER('Dvd Calendar'!$E$201)=FALSE,"",IF((('Dvd Calendar'!$E$203=TYPE1)*(TYPE1&lt;&gt;"")+('Dvd Calendar'!$E$203=TYPE2)*(TYPE2&lt;&gt;"")+('Dvd Calendar'!$E$203=TYPE3)*(TYPE3&lt;&gt;"")+('Dvd Calendar'!$E$203=TYPE4)*(TYPE4&lt;&gt;"")+('Dvd Calendar'!$E$203=SPECIAL_LBL)*(INC_SPECIALS="Y"))=0,"",'Dvd Calendar'!$E$201)))</f>
        <v/>
      </c>
      <c r="D29" s="110">
        <f>IF(EF29="","",IF(ISNUMBER('Dvd Calendar'!$F$201)=FALSE,"",IF((('Dvd Calendar'!$F$203=TYPE1)*(TYPE1&lt;&gt;"")+('Dvd Calendar'!$F$203=TYPE2)*(TYPE2&lt;&gt;"")+('Dvd Calendar'!$F$203=TYPE3)*(TYPE3&lt;&gt;"")+('Dvd Calendar'!$F$203=TYPE4)*(TYPE4&lt;&gt;"")+('Dvd Calendar'!$F$203=SPECIAL_LBL)*(INC_SPECIALS="Y"))=0,"",'Dvd Calendar'!$F$201)))</f>
        <v/>
      </c>
      <c r="E29" s="110">
        <f>IF(EG29="","",IF(ISNUMBER('Dvd Calendar'!$G$201)=FALSE,"",IF((('Dvd Calendar'!$G$203=TYPE1)*(TYPE1&lt;&gt;"")+('Dvd Calendar'!$G$203=TYPE2)*(TYPE2&lt;&gt;"")+('Dvd Calendar'!$G$203=TYPE3)*(TYPE3&lt;&gt;"")+('Dvd Calendar'!$G$203=TYPE4)*(TYPE4&lt;&gt;"")+('Dvd Calendar'!$G$203=SPECIAL_LBL)*(INC_SPECIALS="Y"))=0,"",'Dvd Calendar'!$G$201)))</f>
        <v/>
      </c>
      <c r="F29" s="110">
        <f>IF(EH29="","",IF(ISNUMBER('Dvd Calendar'!$H$201)=FALSE,"",IF((('Dvd Calendar'!$H$203=TYPE1)*(TYPE1&lt;&gt;"")+('Dvd Calendar'!$H$203=TYPE2)*(TYPE2&lt;&gt;"")+('Dvd Calendar'!$H$203=TYPE3)*(TYPE3&lt;&gt;"")+('Dvd Calendar'!$H$203=TYPE4)*(TYPE4&lt;&gt;"")+('Dvd Calendar'!$H$203=SPECIAL_LBL)*(INC_SPECIALS="Y"))=0,"",'Dvd Calendar'!$H$201)))</f>
        <v/>
      </c>
      <c r="G29" s="110">
        <f>IF(EI29="","",IF(ISNUMBER('Dvd Calendar'!$I$201)=FALSE,"",IF((('Dvd Calendar'!$I$203=TYPE1)*(TYPE1&lt;&gt;"")+('Dvd Calendar'!$I$203=TYPE2)*(TYPE2&lt;&gt;"")+('Dvd Calendar'!$I$203=TYPE3)*(TYPE3&lt;&gt;"")+('Dvd Calendar'!$I$203=TYPE4)*(TYPE4&lt;&gt;"")+('Dvd Calendar'!$I$203=SPECIAL_LBL)*(INC_SPECIALS="Y"))=0,"",'Dvd Calendar'!$I$201)))</f>
        <v/>
      </c>
      <c r="H29" s="110">
        <f>IF(EJ29="","",IF(ISNUMBER('Dvd Calendar'!$J$201)=FALSE,"",IF((('Dvd Calendar'!$J$203=TYPE1)*(TYPE1&lt;&gt;"")+('Dvd Calendar'!$J$203=TYPE2)*(TYPE2&lt;&gt;"")+('Dvd Calendar'!$J$203=TYPE3)*(TYPE3&lt;&gt;"")+('Dvd Calendar'!$J$203=TYPE4)*(TYPE4&lt;&gt;"")+('Dvd Calendar'!$J$203=SPECIAL_LBL)*(INC_SPECIALS="Y"))=0,"",'Dvd Calendar'!$J$201)))</f>
        <v/>
      </c>
      <c r="I29" s="110">
        <f>IF(EK29="","",IF(ISNUMBER('Dvd Calendar'!$K$201)=FALSE,"",IF((('Dvd Calendar'!$K$203=TYPE1)*(TYPE1&lt;&gt;"")+('Dvd Calendar'!$K$203=TYPE2)*(TYPE2&lt;&gt;"")+('Dvd Calendar'!$K$203=TYPE3)*(TYPE3&lt;&gt;"")+('Dvd Calendar'!$K$203=TYPE4)*(TYPE4&lt;&gt;"")+('Dvd Calendar'!$K$203=SPECIAL_LBL)*(INC_SPECIALS="Y"))=0,"",'Dvd Calendar'!$K$201)))</f>
        <v/>
      </c>
      <c r="J29" s="110">
        <f>IF(EL29="","",IF(ISNUMBER('Dvd Calendar'!$L$201)=FALSE,"",IF((('Dvd Calendar'!$L$203=TYPE1)*(TYPE1&lt;&gt;"")+('Dvd Calendar'!$L$203=TYPE2)*(TYPE2&lt;&gt;"")+('Dvd Calendar'!$L$203=TYPE3)*(TYPE3&lt;&gt;"")+('Dvd Calendar'!$L$203=TYPE4)*(TYPE4&lt;&gt;"")+('Dvd Calendar'!$L$203=SPECIAL_LBL)*(INC_SPECIALS="Y"))=0,"",'Dvd Calendar'!$L$201)))</f>
        <v/>
      </c>
      <c r="K29" s="110">
        <f>IF(EM29="","",IF(ISNUMBER('Dvd Calendar'!$M$201)=FALSE,"",IF((('Dvd Calendar'!$M$203=TYPE1)*(TYPE1&lt;&gt;"")+('Dvd Calendar'!$M$203=TYPE2)*(TYPE2&lt;&gt;"")+('Dvd Calendar'!$M$203=TYPE3)*(TYPE3&lt;&gt;"")+('Dvd Calendar'!$M$203=TYPE4)*(TYPE4&lt;&gt;"")+('Dvd Calendar'!$M$203=SPECIAL_LBL)*(INC_SPECIALS="Y"))=0,"",'Dvd Calendar'!$M$201)))</f>
        <v/>
      </c>
      <c r="L29" s="110">
        <f>IF(EN29="","",IF(ISNUMBER('Dvd Calendar'!$N$201)=FALSE,"",IF((('Dvd Calendar'!$N$203=TYPE1)*(TYPE1&lt;&gt;"")+('Dvd Calendar'!$N$203=TYPE2)*(TYPE2&lt;&gt;"")+('Dvd Calendar'!$N$203=TYPE3)*(TYPE3&lt;&gt;"")+('Dvd Calendar'!$N$203=TYPE4)*(TYPE4&lt;&gt;"")+('Dvd Calendar'!$N$203=SPECIAL_LBL)*(INC_SPECIALS="Y"))=0,"",'Dvd Calendar'!$N$201)))</f>
        <v/>
      </c>
      <c r="M29" s="110">
        <f>IF(EO29="","",IF(ISNUMBER('Dvd Calendar'!$O$201)=FALSE,"",IF((('Dvd Calendar'!$O$203=TYPE1)*(TYPE1&lt;&gt;"")+('Dvd Calendar'!$O$203=TYPE2)*(TYPE2&lt;&gt;"")+('Dvd Calendar'!$O$203=TYPE3)*(TYPE3&lt;&gt;"")+('Dvd Calendar'!$O$203=TYPE4)*(TYPE4&lt;&gt;"")+('Dvd Calendar'!$O$203=SPECIAL_LBL)*(INC_SPECIALS="Y"))=0,"",'Dvd Calendar'!$O$201)))</f>
        <v/>
      </c>
      <c r="N29" s="110">
        <f>IF(EP29="","",IF(ISNUMBER('Dvd Calendar'!$P$201)=FALSE,"",IF((('Dvd Calendar'!$P$203=TYPE1)*(TYPE1&lt;&gt;"")+('Dvd Calendar'!$P$203=TYPE2)*(TYPE2&lt;&gt;"")+('Dvd Calendar'!$P$203=TYPE3)*(TYPE3&lt;&gt;"")+('Dvd Calendar'!$P$203=TYPE4)*(TYPE4&lt;&gt;"")+('Dvd Calendar'!$P$203=SPECIAL_LBL)*(INC_SPECIALS="Y"))=0,"",'Dvd Calendar'!$P$201)))</f>
        <v/>
      </c>
      <c r="O29" s="110">
        <f>IF(EQ29="","",IF(ISNUMBER('Dvd Calendar'!$Q$201)=FALSE,"",IF((('Dvd Calendar'!$Q$203=TYPE1)*(TYPE1&lt;&gt;"")+('Dvd Calendar'!$Q$203=TYPE2)*(TYPE2&lt;&gt;"")+('Dvd Calendar'!$Q$203=TYPE3)*(TYPE3&lt;&gt;"")+('Dvd Calendar'!$Q$203=TYPE4)*(TYPE4&lt;&gt;"")+('Dvd Calendar'!$Q$203=SPECIAL_LBL)*(INC_SPECIALS="Y"))=0,"",'Dvd Calendar'!$Q$201)))</f>
        <v/>
      </c>
      <c r="P29" s="110">
        <f>IF(ER29="","",IF(ISNUMBER('Dvd Calendar'!$R$201)=FALSE,"",IF((('Dvd Calendar'!$R$203=TYPE1)*(TYPE1&lt;&gt;"")+('Dvd Calendar'!$R$203=TYPE2)*(TYPE2&lt;&gt;"")+('Dvd Calendar'!$R$203=TYPE3)*(TYPE3&lt;&gt;"")+('Dvd Calendar'!$R$203=TYPE4)*(TYPE4&lt;&gt;"")+('Dvd Calendar'!$R$203=SPECIAL_LBL)*(INC_SPECIALS="Y"))=0,"",'Dvd Calendar'!$R$201)))</f>
        <v/>
      </c>
      <c r="Q29" s="110">
        <f>IF(ES29="","",IF(ISNUMBER('Dvd Calendar'!$S$201)=FALSE,"",IF((('Dvd Calendar'!$S$203=TYPE1)*(TYPE1&lt;&gt;"")+('Dvd Calendar'!$S$203=TYPE2)*(TYPE2&lt;&gt;"")+('Dvd Calendar'!$S$203=TYPE3)*(TYPE3&lt;&gt;"")+('Dvd Calendar'!$S$203=TYPE4)*(TYPE4&lt;&gt;"")+('Dvd Calendar'!$S$203=SPECIAL_LBL)*(INC_SPECIALS="Y"))=0,"",'Dvd Calendar'!$S$201)))</f>
        <v/>
      </c>
      <c r="R29" s="110">
        <f>IF(ET29="","",IF(ISNUMBER('Dvd Calendar'!$T$201)=FALSE,"",IF((('Dvd Calendar'!$T$203=TYPE1)*(TYPE1&lt;&gt;"")+('Dvd Calendar'!$T$203=TYPE2)*(TYPE2&lt;&gt;"")+('Dvd Calendar'!$T$203=TYPE3)*(TYPE3&lt;&gt;"")+('Dvd Calendar'!$T$203=TYPE4)*(TYPE4&lt;&gt;"")+('Dvd Calendar'!$T$203=SPECIAL_LBL)*(INC_SPECIALS="Y"))=0,"",'Dvd Calendar'!$T$201)))</f>
        <v/>
      </c>
      <c r="S29" s="110">
        <f>IF(EU29="","",IF(ISNUMBER('Dvd Calendar'!$U$201)=FALSE,"",IF((('Dvd Calendar'!$U$203=TYPE1)*(TYPE1&lt;&gt;"")+('Dvd Calendar'!$U$203=TYPE2)*(TYPE2&lt;&gt;"")+('Dvd Calendar'!$U$203=TYPE3)*(TYPE3&lt;&gt;"")+('Dvd Calendar'!$U$203=TYPE4)*(TYPE4&lt;&gt;"")+('Dvd Calendar'!$U$203=SPECIAL_LBL)*(INC_SPECIALS="Y"))=0,"",'Dvd Calendar'!$U$201)))</f>
        <v/>
      </c>
      <c r="T29" s="110">
        <f>IF(EV29="","",IF(ISNUMBER('Dvd Calendar'!$V$201)=FALSE,"",IF((('Dvd Calendar'!$V$203=TYPE1)*(TYPE1&lt;&gt;"")+('Dvd Calendar'!$V$203=TYPE2)*(TYPE2&lt;&gt;"")+('Dvd Calendar'!$V$203=TYPE3)*(TYPE3&lt;&gt;"")+('Dvd Calendar'!$V$203=TYPE4)*(TYPE4&lt;&gt;"")+('Dvd Calendar'!$V$203=SPECIAL_LBL)*(INC_SPECIALS="Y"))=0,"",'Dvd Calendar'!$V$201)))</f>
        <v/>
      </c>
      <c r="U29" s="110">
        <f>IF(EW29="","",IF(ISNUMBER('Dvd Calendar'!$W$201)=FALSE,"",IF((('Dvd Calendar'!$W$203=TYPE1)*(TYPE1&lt;&gt;"")+('Dvd Calendar'!$W$203=TYPE2)*(TYPE2&lt;&gt;"")+('Dvd Calendar'!$W$203=TYPE3)*(TYPE3&lt;&gt;"")+('Dvd Calendar'!$W$203=TYPE4)*(TYPE4&lt;&gt;"")+('Dvd Calendar'!$W$203=SPECIAL_LBL)*(INC_SPECIALS="Y"))=0,"",'Dvd Calendar'!$W$201)))</f>
        <v/>
      </c>
      <c r="V29" s="110">
        <f>IF(EX29="","",IF(ISNUMBER('Dvd Calendar'!$X$201)=FALSE,"",IF((('Dvd Calendar'!$X$203=TYPE1)*(TYPE1&lt;&gt;"")+('Dvd Calendar'!$X$203=TYPE2)*(TYPE2&lt;&gt;"")+('Dvd Calendar'!$X$203=TYPE3)*(TYPE3&lt;&gt;"")+('Dvd Calendar'!$X$203=TYPE4)*(TYPE4&lt;&gt;"")+('Dvd Calendar'!$X$203=SPECIAL_LBL)*(INC_SPECIALS="Y"))=0,"",'Dvd Calendar'!$X$201)))</f>
        <v/>
      </c>
      <c r="W29" s="110">
        <f>IF(EY29="","",IF(ISNUMBER('Dvd Calendar'!$Y$201)=FALSE,"",IF((('Dvd Calendar'!$Y$203=TYPE1)*(TYPE1&lt;&gt;"")+('Dvd Calendar'!$Y$203=TYPE2)*(TYPE2&lt;&gt;"")+('Dvd Calendar'!$Y$203=TYPE3)*(TYPE3&lt;&gt;"")+('Dvd Calendar'!$Y$203=TYPE4)*(TYPE4&lt;&gt;"")+('Dvd Calendar'!$Y$203=SPECIAL_LBL)*(INC_SPECIALS="Y"))=0,"",'Dvd Calendar'!$Y$201)))</f>
        <v/>
      </c>
      <c r="X29" s="110">
        <f>IF(EZ29="","",IF(ISNUMBER('Dvd Calendar'!$Z$201)=FALSE,"",IF((('Dvd Calendar'!$Z$203=TYPE1)*(TYPE1&lt;&gt;"")+('Dvd Calendar'!$Z$203=TYPE2)*(TYPE2&lt;&gt;"")+('Dvd Calendar'!$Z$203=TYPE3)*(TYPE3&lt;&gt;"")+('Dvd Calendar'!$Z$203=TYPE4)*(TYPE4&lt;&gt;"")+('Dvd Calendar'!$Z$203=SPECIAL_LBL)*(INC_SPECIALS="Y"))=0,"",'Dvd Calendar'!$Z$201)))</f>
        <v/>
      </c>
      <c r="Y29" s="110">
        <f>IF(FA29="","",IF(ISNUMBER('Dvd Calendar'!$AA$201)=FALSE,"",IF((('Dvd Calendar'!$AA$203=TYPE1)*(TYPE1&lt;&gt;"")+('Dvd Calendar'!$AA$203=TYPE2)*(TYPE2&lt;&gt;"")+('Dvd Calendar'!$AA$203=TYPE3)*(TYPE3&lt;&gt;"")+('Dvd Calendar'!$AA$203=TYPE4)*(TYPE4&lt;&gt;"")+('Dvd Calendar'!$AA$203=SPECIAL_LBL)*(INC_SPECIALS="Y"))=0,"",'Dvd Calendar'!$AA$201)))</f>
        <v/>
      </c>
      <c r="Z29" s="110">
        <f>IF(FB29="","",IF(ISNUMBER('Dvd Calendar'!$AB$201)=FALSE,"",IF((('Dvd Calendar'!$AB$203=TYPE1)*(TYPE1&lt;&gt;"")+('Dvd Calendar'!$AB$203=TYPE2)*(TYPE2&lt;&gt;"")+('Dvd Calendar'!$AB$203=TYPE3)*(TYPE3&lt;&gt;"")+('Dvd Calendar'!$AB$203=TYPE4)*(TYPE4&lt;&gt;"")+('Dvd Calendar'!$AB$203=SPECIAL_LBL)*(INC_SPECIALS="Y"))=0,"",'Dvd Calendar'!$AB$201)))</f>
        <v/>
      </c>
      <c r="AA29" s="110">
        <f>IF(FC29="","",IF(ISNUMBER('Dvd Calendar'!$AC$201)=FALSE,"",IF((('Dvd Calendar'!$AC$203=TYPE1)*(TYPE1&lt;&gt;"")+('Dvd Calendar'!$AC$203=TYPE2)*(TYPE2&lt;&gt;"")+('Dvd Calendar'!$AC$203=TYPE3)*(TYPE3&lt;&gt;"")+('Dvd Calendar'!$AC$203=TYPE4)*(TYPE4&lt;&gt;"")+('Dvd Calendar'!$AC$203=SPECIAL_LBL)*(INC_SPECIALS="Y"))=0,"",'Dvd Calendar'!$AC$201)))</f>
        <v/>
      </c>
      <c r="AB29" s="110">
        <f>IF(FD29="","",IF(ISNUMBER('Dvd Calendar'!$AD$201)=FALSE,"",IF((('Dvd Calendar'!$AD$203=TYPE1)*(TYPE1&lt;&gt;"")+('Dvd Calendar'!$AD$203=TYPE2)*(TYPE2&lt;&gt;"")+('Dvd Calendar'!$AD$203=TYPE3)*(TYPE3&lt;&gt;"")+('Dvd Calendar'!$AD$203=TYPE4)*(TYPE4&lt;&gt;"")+('Dvd Calendar'!$AD$203=SPECIAL_LBL)*(INC_SPECIALS="Y"))=0,"",'Dvd Calendar'!$AD$201)))</f>
        <v/>
      </c>
      <c r="AC29" s="110">
        <f>IF(FE29="","",IF(ISNUMBER('Dvd Calendar'!$AE$201)=FALSE,"",IF((('Dvd Calendar'!$AE$203=TYPE1)*(TYPE1&lt;&gt;"")+('Dvd Calendar'!$AE$203=TYPE2)*(TYPE2&lt;&gt;"")+('Dvd Calendar'!$AE$203=TYPE3)*(TYPE3&lt;&gt;"")+('Dvd Calendar'!$AE$203=TYPE4)*(TYPE4&lt;&gt;"")+('Dvd Calendar'!$AE$203=SPECIAL_LBL)*(INC_SPECIALS="Y"))=0,"",'Dvd Calendar'!$AE$201)))</f>
        <v/>
      </c>
      <c r="AD29" s="110">
        <f>IF(FF29="","",IF(ISNUMBER('Dvd Calendar'!$AF$201)=FALSE,"",IF((('Dvd Calendar'!$AF$203=TYPE1)*(TYPE1&lt;&gt;"")+('Dvd Calendar'!$AF$203=TYPE2)*(TYPE2&lt;&gt;"")+('Dvd Calendar'!$AF$203=TYPE3)*(TYPE3&lt;&gt;"")+('Dvd Calendar'!$AF$203=TYPE4)*(TYPE4&lt;&gt;"")+('Dvd Calendar'!$AF$203=SPECIAL_LBL)*(INC_SPECIALS="Y"))=0,"",'Dvd Calendar'!$AF$201)))</f>
        <v/>
      </c>
      <c r="AE29" s="110">
        <f>IF(FG29="","",IF(ISNUMBER('Dvd Calendar'!$AG$201)=FALSE,"",IF((('Dvd Calendar'!$AG$203=TYPE1)*(TYPE1&lt;&gt;"")+('Dvd Calendar'!$AG$203=TYPE2)*(TYPE2&lt;&gt;"")+('Dvd Calendar'!$AG$203=TYPE3)*(TYPE3&lt;&gt;"")+('Dvd Calendar'!$AG$203=TYPE4)*(TYPE4&lt;&gt;"")+('Dvd Calendar'!$AG$203=SPECIAL_LBL)*(INC_SPECIALS="Y"))=0,"",'Dvd Calendar'!$AG$201)))</f>
        <v/>
      </c>
      <c r="AF29" s="110">
        <f>IF(FH29="","",IF(ISNUMBER('Dvd Calendar'!$AH$201)=FALSE,"",IF((('Dvd Calendar'!$AH$203=TYPE1)*(TYPE1&lt;&gt;"")+('Dvd Calendar'!$AH$203=TYPE2)*(TYPE2&lt;&gt;"")+('Dvd Calendar'!$AH$203=TYPE3)*(TYPE3&lt;&gt;"")+('Dvd Calendar'!$AH$203=TYPE4)*(TYPE4&lt;&gt;"")+('Dvd Calendar'!$AH$203=SPECIAL_LBL)*(INC_SPECIALS="Y"))=0,"",'Dvd Calendar'!$AH$201)))</f>
        <v/>
      </c>
      <c r="AG29" s="110">
        <f>IF(FI29="","",IF(ISNUMBER('Dvd Calendar'!$AI$201)=FALSE,"",IF((('Dvd Calendar'!$AI$203=TYPE1)*(TYPE1&lt;&gt;"")+('Dvd Calendar'!$AI$203=TYPE2)*(TYPE2&lt;&gt;"")+('Dvd Calendar'!$AI$203=TYPE3)*(TYPE3&lt;&gt;"")+('Dvd Calendar'!$AI$203=TYPE4)*(TYPE4&lt;&gt;"")+('Dvd Calendar'!$AI$203=SPECIAL_LBL)*(INC_SPECIALS="Y"))=0,"",'Dvd Calendar'!$AI$201)))</f>
        <v/>
      </c>
      <c r="AH29" s="110">
        <f>IF(FJ29="","",IF(ISNUMBER('Dvd Calendar'!$AJ$201)=FALSE,"",IF((('Dvd Calendar'!$AJ$203=TYPE1)*(TYPE1&lt;&gt;"")+('Dvd Calendar'!$AJ$203=TYPE2)*(TYPE2&lt;&gt;"")+('Dvd Calendar'!$AJ$203=TYPE3)*(TYPE3&lt;&gt;"")+('Dvd Calendar'!$AJ$203=TYPE4)*(TYPE4&lt;&gt;"")+('Dvd Calendar'!$AJ$203=SPECIAL_LBL)*(INC_SPECIALS="Y"))=0,"",'Dvd Calendar'!$AJ$201)))</f>
        <v/>
      </c>
      <c r="AI29" s="110">
        <f>IF(FK29="","",IF(ISNUMBER('Dvd Calendar'!$AK$201)=FALSE,"",IF((('Dvd Calendar'!$AK$203=TYPE1)*(TYPE1&lt;&gt;"")+('Dvd Calendar'!$AK$203=TYPE2)*(TYPE2&lt;&gt;"")+('Dvd Calendar'!$AK$203=TYPE3)*(TYPE3&lt;&gt;"")+('Dvd Calendar'!$AK$203=TYPE4)*(TYPE4&lt;&gt;"")+('Dvd Calendar'!$AK$203=SPECIAL_LBL)*(INC_SPECIALS="Y"))=0,"",'Dvd Calendar'!$AK$201)))</f>
        <v/>
      </c>
      <c r="AJ29" s="110">
        <f>IF(FL29="","",IF(ISNUMBER('Dvd Calendar'!$AL$201)=FALSE,"",IF((('Dvd Calendar'!$AL$203=TYPE1)*(TYPE1&lt;&gt;"")+('Dvd Calendar'!$AL$203=TYPE2)*(TYPE2&lt;&gt;"")+('Dvd Calendar'!$AL$203=TYPE3)*(TYPE3&lt;&gt;"")+('Dvd Calendar'!$AL$203=TYPE4)*(TYPE4&lt;&gt;"")+('Dvd Calendar'!$AL$203=SPECIAL_LBL)*(INC_SPECIALS="Y"))=0,"",'Dvd Calendar'!$AL$201)))</f>
        <v/>
      </c>
      <c r="AK29" s="110">
        <f>IF(FM29="","",IF(ISNUMBER('Dvd Calendar'!$AM$201)=FALSE,"",IF((('Dvd Calendar'!$AM$203=TYPE1)*(TYPE1&lt;&gt;"")+('Dvd Calendar'!$AM$203=TYPE2)*(TYPE2&lt;&gt;"")+('Dvd Calendar'!$AM$203=TYPE3)*(TYPE3&lt;&gt;"")+('Dvd Calendar'!$AM$203=TYPE4)*(TYPE4&lt;&gt;"")+('Dvd Calendar'!$AM$203=SPECIAL_LBL)*(INC_SPECIALS="Y"))=0,"",'Dvd Calendar'!$AM$201)))</f>
        <v/>
      </c>
      <c r="AL29" s="110">
        <f>IF(FN29="","",IF(ISNUMBER('Dvd Calendar'!$AN$201)=FALSE,"",IF((('Dvd Calendar'!$AN$203=TYPE1)*(TYPE1&lt;&gt;"")+('Dvd Calendar'!$AN$203=TYPE2)*(TYPE2&lt;&gt;"")+('Dvd Calendar'!$AN$203=TYPE3)*(TYPE3&lt;&gt;"")+('Dvd Calendar'!$AN$203=TYPE4)*(TYPE4&lt;&gt;"")+('Dvd Calendar'!$AN$203=SPECIAL_LBL)*(INC_SPECIALS="Y"))=0,"",'Dvd Calendar'!$AN$201)))</f>
        <v/>
      </c>
      <c r="AM29" s="110">
        <f>IF(FO29="","",IF(ISNUMBER('Dvd Calendar'!$AO$201)=FALSE,"",IF((('Dvd Calendar'!$AO$203=TYPE1)*(TYPE1&lt;&gt;"")+('Dvd Calendar'!$AO$203=TYPE2)*(TYPE2&lt;&gt;"")+('Dvd Calendar'!$AO$203=TYPE3)*(TYPE3&lt;&gt;"")+('Dvd Calendar'!$AO$203=TYPE4)*(TYPE4&lt;&gt;"")+('Dvd Calendar'!$AO$203=SPECIAL_LBL)*(INC_SPECIALS="Y"))=0,"",'Dvd Calendar'!$AO$201)))</f>
        <v/>
      </c>
      <c r="AN29" s="110">
        <f>IF(FP29="","",IF(ISNUMBER('Dvd Calendar'!$AP$201)=FALSE,"",IF((('Dvd Calendar'!$AP$203=TYPE1)*(TYPE1&lt;&gt;"")+('Dvd Calendar'!$AP$203=TYPE2)*(TYPE2&lt;&gt;"")+('Dvd Calendar'!$AP$203=TYPE3)*(TYPE3&lt;&gt;"")+('Dvd Calendar'!$AP$203=TYPE4)*(TYPE4&lt;&gt;"")+('Dvd Calendar'!$AP$203=SPECIAL_LBL)*(INC_SPECIALS="Y"))=0,"",'Dvd Calendar'!$AP$201)))</f>
        <v/>
      </c>
      <c r="AO29" s="110">
        <f>IF(FQ29="","",IF(ISNUMBER('Dvd Calendar'!$AQ$201)=FALSE,"",IF((('Dvd Calendar'!$AQ$203=TYPE1)*(TYPE1&lt;&gt;"")+('Dvd Calendar'!$AQ$203=TYPE2)*(TYPE2&lt;&gt;"")+('Dvd Calendar'!$AQ$203=TYPE3)*(TYPE3&lt;&gt;"")+('Dvd Calendar'!$AQ$203=TYPE4)*(TYPE4&lt;&gt;"")+('Dvd Calendar'!$AQ$203=SPECIAL_LBL)*(INC_SPECIALS="Y"))=0,"",'Dvd Calendar'!$AQ$201)))</f>
        <v/>
      </c>
      <c r="AP29" s="110">
        <f>IF(FR29="","",IF(ISNUMBER('Dvd Calendar'!$AR$201)=FALSE,"",IF((('Dvd Calendar'!$AR$203=TYPE1)*(TYPE1&lt;&gt;"")+('Dvd Calendar'!$AR$203=TYPE2)*(TYPE2&lt;&gt;"")+('Dvd Calendar'!$AR$203=TYPE3)*(TYPE3&lt;&gt;"")+('Dvd Calendar'!$AR$203=TYPE4)*(TYPE4&lt;&gt;"")+('Dvd Calendar'!$AR$203=SPECIAL_LBL)*(INC_SPECIALS="Y"))=0,"",'Dvd Calendar'!$AR$201)))</f>
        <v/>
      </c>
      <c r="AQ29" s="110">
        <f>IF(FS29="","",IF(ISNUMBER('Dvd Calendar'!$E$206)=FALSE,"",'Dvd Calendar'!$E$206))</f>
        <v/>
      </c>
      <c r="AR29" s="110">
        <f>IF(FT29="","",IF(ISNUMBER('Dvd Calendar'!$F$206)=FALSE,"",'Dvd Calendar'!$F$206))</f>
        <v/>
      </c>
      <c r="AS29" s="110">
        <f>IF(FU29="","",IF(ISNUMBER('Dvd Calendar'!$G$206)=FALSE,"",'Dvd Calendar'!$G$206))</f>
        <v/>
      </c>
      <c r="AT29" s="110">
        <f>IF(FV29="","",IF(ISNUMBER('Dvd Calendar'!$H$206)=FALSE,"",'Dvd Calendar'!$H$206))</f>
        <v/>
      </c>
      <c r="AU29" s="110">
        <f>IF(FW29="","",IF(ISNUMBER('Dvd Calendar'!$I$206)=FALSE,"",'Dvd Calendar'!$I$206))</f>
        <v/>
      </c>
      <c r="AV29" s="110">
        <f>IF(FX29="","",IF(ISNUMBER('Dvd Calendar'!$J$206)=FALSE,"",'Dvd Calendar'!$J$206))</f>
        <v/>
      </c>
      <c r="AW29" s="110">
        <f>IF(FY29="","",IF(ISNUMBER('Dvd Calendar'!$K$206)=FALSE,"",'Dvd Calendar'!$K$206))</f>
        <v/>
      </c>
      <c r="AX29" s="110">
        <f>IF(FZ29="","",IF(ISNUMBER('Dvd Calendar'!$L$206)=FALSE,"",'Dvd Calendar'!$L$206))</f>
        <v/>
      </c>
      <c r="AY29" s="110">
        <f>IF(GA29="","",IF(ISNUMBER('Dvd Calendar'!$M$206)=FALSE,"",'Dvd Calendar'!$M$206))</f>
        <v/>
      </c>
      <c r="AZ29" s="110">
        <f>IF(GB29="","",IF(ISNUMBER('Dvd Calendar'!$N$206)=FALSE,"",'Dvd Calendar'!$N$206))</f>
        <v/>
      </c>
      <c r="BA29" s="110">
        <f>IF(GC29="","",IF(ISNUMBER('Dvd Calendar'!$O$206)=FALSE,"",'Dvd Calendar'!$O$206))</f>
        <v/>
      </c>
      <c r="BB29" s="110">
        <f>IF(GD29="","",IF(ISNUMBER('Dvd Calendar'!$P$206)=FALSE,"",'Dvd Calendar'!$P$206))</f>
        <v/>
      </c>
      <c r="BC29" s="110">
        <f>IF(GE29="","",IF(ISNUMBER('Dvd Calendar'!$Q$206)=FALSE,"",'Dvd Calendar'!$Q$206))</f>
        <v/>
      </c>
      <c r="BD29" s="110">
        <f>IF(GF29="","",IF(ISNUMBER('Dvd Calendar'!$R$206)=FALSE,"",'Dvd Calendar'!$R$206))</f>
        <v/>
      </c>
      <c r="BE29" s="110">
        <f>IF(GG29="","",IF(ISNUMBER('Dvd Calendar'!$S$206)=FALSE,"",'Dvd Calendar'!$S$206))</f>
        <v/>
      </c>
      <c r="BF29" s="110">
        <f>IF(GH29="","",IF(ISNUMBER('Dvd Calendar'!$T$206)=FALSE,"",'Dvd Calendar'!$T$206))</f>
        <v/>
      </c>
      <c r="BG29" s="110">
        <f>IF(GI29="","",IF(ISNUMBER('Dvd Calendar'!$U$206)=FALSE,"",'Dvd Calendar'!$U$206))</f>
        <v/>
      </c>
      <c r="BH29" s="110">
        <f>IF(GJ29="","",IF(ISNUMBER('Dvd Calendar'!$V$206)=FALSE,"",'Dvd Calendar'!$V$206))</f>
        <v/>
      </c>
      <c r="BI29" s="110">
        <f>IF(GK29="","",IF(ISNUMBER('Dvd Calendar'!$W$206)=FALSE,"",'Dvd Calendar'!$W$206))</f>
        <v/>
      </c>
      <c r="BJ29" s="110">
        <f>IF(GL29="","",IF(ISNUMBER('Dvd Calendar'!$X$206)=FALSE,"",'Dvd Calendar'!$X$206))</f>
        <v/>
      </c>
      <c r="BK29" s="110">
        <f>IF(GM29="","",IF(ISNUMBER('Dvd Calendar'!$Y$206)=FALSE,"",'Dvd Calendar'!$Y$206))</f>
        <v/>
      </c>
      <c r="BL29" s="110">
        <f>IF(GN29="","",IF(ISNUMBER('Dvd Calendar'!$Z$206)=FALSE,"",'Dvd Calendar'!$Z$206))</f>
        <v/>
      </c>
      <c r="BM29" s="110">
        <f>IF(GO29="","",IF(ISNUMBER('Dvd Calendar'!$AA$206)=FALSE,"",'Dvd Calendar'!$AA$206))</f>
        <v/>
      </c>
      <c r="BN29" s="110">
        <f>IF(GP29="","",IF(ISNUMBER('Dvd Calendar'!$AB$206)=FALSE,"",'Dvd Calendar'!$AB$206))</f>
        <v/>
      </c>
      <c r="BO29" s="110">
        <f>IF(GQ29="","",IF(ISNUMBER('Dvd Calendar'!$AC$206)=FALSE,"",'Dvd Calendar'!$AC$206))</f>
        <v/>
      </c>
      <c r="BQ29" s="110">
        <f>IF(C29="","",IFERROR(C29*HSI!$B$24*HSI!$G$24/HSI!$B$3,""))</f>
        <v/>
      </c>
      <c r="BR29" s="110">
        <f>IF(D29="","",IFERROR(D29*HSI!$B$24*HSI!$G$24/HSI!$B$3,""))</f>
        <v/>
      </c>
      <c r="BS29" s="110">
        <f>IF(E29="","",IFERROR(E29*HSI!$B$24*HSI!$G$24/HSI!$B$3,""))</f>
        <v/>
      </c>
      <c r="BT29" s="110">
        <f>IF(F29="","",IFERROR(F29*HSI!$B$24*HSI!$G$24/HSI!$B$3,""))</f>
        <v/>
      </c>
      <c r="BU29" s="110">
        <f>IF(G29="","",IFERROR(G29*HSI!$B$24*HSI!$G$24/HSI!$B$3,""))</f>
        <v/>
      </c>
      <c r="BV29" s="110">
        <f>IF(H29="","",IFERROR(H29*HSI!$B$24*HSI!$G$24/HSI!$B$3,""))</f>
        <v/>
      </c>
      <c r="BW29" s="110">
        <f>IF(I29="","",IFERROR(I29*HSI!$B$24*HSI!$G$24/HSI!$B$3,""))</f>
        <v/>
      </c>
      <c r="BX29" s="110">
        <f>IF(J29="","",IFERROR(J29*HSI!$B$24*HSI!$G$24/HSI!$B$3,""))</f>
        <v/>
      </c>
      <c r="BY29" s="110">
        <f>IF(K29="","",IFERROR(K29*HSI!$B$24*HSI!$G$24/HSI!$B$3,""))</f>
        <v/>
      </c>
      <c r="BZ29" s="110">
        <f>IF(L29="","",IFERROR(L29*HSI!$B$24*HSI!$G$24/HSI!$B$3,""))</f>
        <v/>
      </c>
      <c r="CA29" s="110">
        <f>IF(M29="","",IFERROR(M29*HSI!$B$24*HSI!$G$24/HSI!$B$3,""))</f>
        <v/>
      </c>
      <c r="CB29" s="110">
        <f>IF(N29="","",IFERROR(N29*HSI!$B$24*HSI!$G$24/HSI!$B$3,""))</f>
        <v/>
      </c>
      <c r="CC29" s="110">
        <f>IF(O29="","",IFERROR(O29*HSI!$B$24*HSI!$G$24/HSI!$B$3,""))</f>
        <v/>
      </c>
      <c r="CD29" s="110">
        <f>IF(P29="","",IFERROR(P29*HSI!$B$24*HSI!$G$24/HSI!$B$3,""))</f>
        <v/>
      </c>
      <c r="CE29" s="110">
        <f>IF(Q29="","",IFERROR(Q29*HSI!$B$24*HSI!$G$24/HSI!$B$3,""))</f>
        <v/>
      </c>
      <c r="CF29" s="110">
        <f>IF(R29="","",IFERROR(R29*HSI!$B$24*HSI!$G$24/HSI!$B$3,""))</f>
        <v/>
      </c>
      <c r="CG29" s="110">
        <f>IF(S29="","",IFERROR(S29*HSI!$B$24*HSI!$G$24/HSI!$B$3,""))</f>
        <v/>
      </c>
      <c r="CH29" s="110">
        <f>IF(T29="","",IFERROR(T29*HSI!$B$24*HSI!$G$24/HSI!$B$3,""))</f>
        <v/>
      </c>
      <c r="CI29" s="110">
        <f>IF(U29="","",IFERROR(U29*HSI!$B$24*HSI!$G$24/HSI!$B$3,""))</f>
        <v/>
      </c>
      <c r="CJ29" s="110">
        <f>IF(V29="","",IFERROR(V29*HSI!$B$24*HSI!$G$24/HSI!$B$3,""))</f>
        <v/>
      </c>
      <c r="CK29" s="110">
        <f>IF(W29="","",IFERROR(W29*HSI!$B$24*HSI!$G$24/HSI!$B$3,""))</f>
        <v/>
      </c>
      <c r="CL29" s="110">
        <f>IF(X29="","",IFERROR(X29*HSI!$B$24*HSI!$G$24/HSI!$B$3,""))</f>
        <v/>
      </c>
      <c r="CM29" s="110">
        <f>IF(Y29="","",IFERROR(Y29*HSI!$B$24*HSI!$G$24/HSI!$B$3,""))</f>
        <v/>
      </c>
      <c r="CN29" s="110">
        <f>IF(Z29="","",IFERROR(Z29*HSI!$B$24*HSI!$G$24/HSI!$B$3,""))</f>
        <v/>
      </c>
      <c r="CO29" s="110">
        <f>IF(AA29="","",IFERROR(AA29*HSI!$B$24*HSI!$G$24/HSI!$B$3,""))</f>
        <v/>
      </c>
      <c r="CP29" s="110">
        <f>IF(AB29="","",IFERROR(AB29*HSI!$B$24*HSI!$G$24/HSI!$B$3,""))</f>
        <v/>
      </c>
      <c r="CQ29" s="110">
        <f>IF(AC29="","",IFERROR(AC29*HSI!$B$24*HSI!$G$24/HSI!$B$3,""))</f>
        <v/>
      </c>
      <c r="CR29" s="110">
        <f>IF(AD29="","",IFERROR(AD29*HSI!$B$24*HSI!$G$24/HSI!$B$3,""))</f>
        <v/>
      </c>
      <c r="CS29" s="110">
        <f>IF(AE29="","",IFERROR(AE29*HSI!$B$24*HSI!$G$24/HSI!$B$3,""))</f>
        <v/>
      </c>
      <c r="CT29" s="110">
        <f>IF(AF29="","",IFERROR(AF29*HSI!$B$24*HSI!$G$24/HSI!$B$3,""))</f>
        <v/>
      </c>
      <c r="CU29" s="110">
        <f>IF(AG29="","",IFERROR(AG29*HSI!$B$24*HSI!$G$24/HSI!$B$3,""))</f>
        <v/>
      </c>
      <c r="CV29" s="110">
        <f>IF(AH29="","",IFERROR(AH29*HSI!$B$24*HSI!$G$24/HSI!$B$3,""))</f>
        <v/>
      </c>
      <c r="CW29" s="110">
        <f>IF(AI29="","",IFERROR(AI29*HSI!$B$24*HSI!$G$24/HSI!$B$3,""))</f>
        <v/>
      </c>
      <c r="CX29" s="110">
        <f>IF(AJ29="","",IFERROR(AJ29*HSI!$B$24*HSI!$G$24/HSI!$B$3,""))</f>
        <v/>
      </c>
      <c r="CY29" s="110">
        <f>IF(AK29="","",IFERROR(AK29*HSI!$B$24*HSI!$G$24/HSI!$B$3,""))</f>
        <v/>
      </c>
      <c r="CZ29" s="110">
        <f>IF(AL29="","",IFERROR(AL29*HSI!$B$24*HSI!$G$24/HSI!$B$3,""))</f>
        <v/>
      </c>
      <c r="DA29" s="110">
        <f>IF(AM29="","",IFERROR(AM29*HSI!$B$24*HSI!$G$24/HSI!$B$3,""))</f>
        <v/>
      </c>
      <c r="DB29" s="110">
        <f>IF(AN29="","",IFERROR(AN29*HSI!$B$24*HSI!$G$24/HSI!$B$3,""))</f>
        <v/>
      </c>
      <c r="DC29" s="110">
        <f>IF(AO29="","",IFERROR(AO29*HSI!$B$24*HSI!$G$24/HSI!$B$3,""))</f>
        <v/>
      </c>
      <c r="DD29" s="110">
        <f>IF(AP29="","",IFERROR(AP29*HSI!$B$24*HSI!$G$24/HSI!$B$3,""))</f>
        <v/>
      </c>
      <c r="DE29" s="110">
        <f>IF(AQ29="","",IFERROR(AQ29*HSI!$B$24*HSI!$G$24/HSI!$B$3,""))</f>
        <v/>
      </c>
      <c r="DF29" s="110">
        <f>IF(AR29="","",IFERROR(AR29*HSI!$B$24*HSI!$G$24/HSI!$B$3,""))</f>
        <v/>
      </c>
      <c r="DG29" s="110">
        <f>IF(AS29="","",IFERROR(AS29*HSI!$B$24*HSI!$G$24/HSI!$B$3,""))</f>
        <v/>
      </c>
      <c r="DH29" s="110">
        <f>IF(AT29="","",IFERROR(AT29*HSI!$B$24*HSI!$G$24/HSI!$B$3,""))</f>
        <v/>
      </c>
      <c r="DI29" s="110">
        <f>IF(AU29="","",IFERROR(AU29*HSI!$B$24*HSI!$G$24/HSI!$B$3,""))</f>
        <v/>
      </c>
      <c r="DJ29" s="110">
        <f>IF(AV29="","",IFERROR(AV29*HSI!$B$24*HSI!$G$24/HSI!$B$3,""))</f>
        <v/>
      </c>
      <c r="DK29" s="110">
        <f>IF(AW29="","",IFERROR(AW29*HSI!$B$24*HSI!$G$24/HSI!$B$3,""))</f>
        <v/>
      </c>
      <c r="DL29" s="110">
        <f>IF(AX29="","",IFERROR(AX29*HSI!$B$24*HSI!$G$24/HSI!$B$3,""))</f>
        <v/>
      </c>
      <c r="DM29" s="110">
        <f>IF(AY29="","",IFERROR(AY29*HSI!$B$24*HSI!$G$24/HSI!$B$3,""))</f>
        <v/>
      </c>
      <c r="DN29" s="110">
        <f>IF(AZ29="","",IFERROR(AZ29*HSI!$B$24*HSI!$G$24/HSI!$B$3,""))</f>
        <v/>
      </c>
      <c r="DO29" s="110">
        <f>IF(BA29="","",IFERROR(BA29*HSI!$B$24*HSI!$G$24/HSI!$B$3,""))</f>
        <v/>
      </c>
      <c r="DP29" s="110">
        <f>IF(BB29="","",IFERROR(BB29*HSI!$B$24*HSI!$G$24/HSI!$B$3,""))</f>
        <v/>
      </c>
      <c r="DQ29" s="110">
        <f>IF(BC29="","",IFERROR(BC29*HSI!$B$24*HSI!$G$24/HSI!$B$3,""))</f>
        <v/>
      </c>
      <c r="DR29" s="110">
        <f>IF(BD29="","",IFERROR(BD29*HSI!$B$24*HSI!$G$24/HSI!$B$3,""))</f>
        <v/>
      </c>
      <c r="DS29" s="110">
        <f>IF(BE29="","",IFERROR(BE29*HSI!$B$24*HSI!$G$24/HSI!$B$3,""))</f>
        <v/>
      </c>
      <c r="DT29" s="110">
        <f>IF(BF29="","",IFERROR(BF29*HSI!$B$24*HSI!$G$24/HSI!$B$3,""))</f>
        <v/>
      </c>
      <c r="DU29" s="110">
        <f>IF(BG29="","",IFERROR(BG29*HSI!$B$24*HSI!$G$24/HSI!$B$3,""))</f>
        <v/>
      </c>
      <c r="DV29" s="110">
        <f>IF(BH29="","",IFERROR(BH29*HSI!$B$24*HSI!$G$24/HSI!$B$3,""))</f>
        <v/>
      </c>
      <c r="DW29" s="110">
        <f>IF(BI29="","",IFERROR(BI29*HSI!$B$24*HSI!$G$24/HSI!$B$3,""))</f>
        <v/>
      </c>
      <c r="DX29" s="110">
        <f>IF(BJ29="","",IFERROR(BJ29*HSI!$B$24*HSI!$G$24/HSI!$B$3,""))</f>
        <v/>
      </c>
      <c r="DY29" s="110">
        <f>IF(BK29="","",IFERROR(BK29*HSI!$B$24*HSI!$G$24/HSI!$B$3,""))</f>
        <v/>
      </c>
      <c r="DZ29" s="110">
        <f>IF(BL29="","",IFERROR(BL29*HSI!$B$24*HSI!$G$24/HSI!$B$3,""))</f>
        <v/>
      </c>
      <c r="EA29" s="110">
        <f>IF(BM29="","",IFERROR(BM29*HSI!$B$24*HSI!$G$24/HSI!$B$3,""))</f>
        <v/>
      </c>
      <c r="EB29" s="110">
        <f>IF(BN29="","",IFERROR(BN29*HSI!$B$24*HSI!$G$24/HSI!$B$3,""))</f>
        <v/>
      </c>
      <c r="EC29" s="110">
        <f>IF(BO29="","",IFERROR(BO29*HSI!$B$24*HSI!$G$24/HSI!$B$3,""))</f>
        <v/>
      </c>
      <c r="EE29" s="39">
        <f>IF(N('Dvd Calendar'!$E$198)=0,"",IF(('Dvd Calendar'!$E$198&gt;=GRID_FROM)*('Dvd Calendar'!$E$198&lt;=GRID_TO)*((('Dvd Calendar'!$E$198&lt;=VAL_DATE)+(COUNTIF('Dvd Calendar'!$E$205:$AR$205,'Dvd Calendar'!$E$198)=0))&gt;0)=0,"",'Dvd Calendar'!$E$198*1000000000+ISNUMBER('Dvd Calendar'!$E$201)*100000000+('Dvd Calendar'!$E$203=SPECIAL_LBL)*10000000+(N('Dvd Calendar'!$E$197)&gt;0)*(N('Dvd Calendar'!$E$197)&lt;=VAL_SERIAL)*1000000+18*1000+1))</f>
        <v/>
      </c>
      <c r="EF29" s="39">
        <f>IF(N('Dvd Calendar'!$F$198)=0,"",IF(('Dvd Calendar'!$F$198&gt;=GRID_FROM)*('Dvd Calendar'!$F$198&lt;=GRID_TO)*((('Dvd Calendar'!$F$198&lt;=VAL_DATE)+(COUNTIF('Dvd Calendar'!$E$205:$AR$205,'Dvd Calendar'!$F$198)=0))&gt;0)=0,"",'Dvd Calendar'!$F$198*1000000000+ISNUMBER('Dvd Calendar'!$F$201)*100000000+('Dvd Calendar'!$F$203=SPECIAL_LBL)*10000000+(N('Dvd Calendar'!$F$197)&gt;0)*(N('Dvd Calendar'!$F$197)&lt;=VAL_SERIAL)*1000000+18*1000+2))</f>
        <v/>
      </c>
      <c r="EG29" s="39">
        <f>IF(N('Dvd Calendar'!$G$198)=0,"",IF(('Dvd Calendar'!$G$198&gt;=GRID_FROM)*('Dvd Calendar'!$G$198&lt;=GRID_TO)*((('Dvd Calendar'!$G$198&lt;=VAL_DATE)+(COUNTIF('Dvd Calendar'!$E$205:$AR$205,'Dvd Calendar'!$G$198)=0))&gt;0)=0,"",'Dvd Calendar'!$G$198*1000000000+ISNUMBER('Dvd Calendar'!$G$201)*100000000+('Dvd Calendar'!$G$203=SPECIAL_LBL)*10000000+(N('Dvd Calendar'!$G$197)&gt;0)*(N('Dvd Calendar'!$G$197)&lt;=VAL_SERIAL)*1000000+18*1000+3))</f>
        <v/>
      </c>
      <c r="EH29" s="39">
        <f>IF(N('Dvd Calendar'!$H$198)=0,"",IF(('Dvd Calendar'!$H$198&gt;=GRID_FROM)*('Dvd Calendar'!$H$198&lt;=GRID_TO)*((('Dvd Calendar'!$H$198&lt;=VAL_DATE)+(COUNTIF('Dvd Calendar'!$E$205:$AR$205,'Dvd Calendar'!$H$198)=0))&gt;0)=0,"",'Dvd Calendar'!$H$198*1000000000+ISNUMBER('Dvd Calendar'!$H$201)*100000000+('Dvd Calendar'!$H$203=SPECIAL_LBL)*10000000+(N('Dvd Calendar'!$H$197)&gt;0)*(N('Dvd Calendar'!$H$197)&lt;=VAL_SERIAL)*1000000+18*1000+4))</f>
        <v/>
      </c>
      <c r="EI29" s="39">
        <f>IF(N('Dvd Calendar'!$I$198)=0,"",IF(('Dvd Calendar'!$I$198&gt;=GRID_FROM)*('Dvd Calendar'!$I$198&lt;=GRID_TO)*((('Dvd Calendar'!$I$198&lt;=VAL_DATE)+(COUNTIF('Dvd Calendar'!$E$205:$AR$205,'Dvd Calendar'!$I$198)=0))&gt;0)=0,"",'Dvd Calendar'!$I$198*1000000000+ISNUMBER('Dvd Calendar'!$I$201)*100000000+('Dvd Calendar'!$I$203=SPECIAL_LBL)*10000000+(N('Dvd Calendar'!$I$197)&gt;0)*(N('Dvd Calendar'!$I$197)&lt;=VAL_SERIAL)*1000000+18*1000+5))</f>
        <v/>
      </c>
      <c r="EJ29" s="39">
        <f>IF(N('Dvd Calendar'!$J$198)=0,"",IF(('Dvd Calendar'!$J$198&gt;=GRID_FROM)*('Dvd Calendar'!$J$198&lt;=GRID_TO)*((('Dvd Calendar'!$J$198&lt;=VAL_DATE)+(COUNTIF('Dvd Calendar'!$E$205:$AR$205,'Dvd Calendar'!$J$198)=0))&gt;0)=0,"",'Dvd Calendar'!$J$198*1000000000+ISNUMBER('Dvd Calendar'!$J$201)*100000000+('Dvd Calendar'!$J$203=SPECIAL_LBL)*10000000+(N('Dvd Calendar'!$J$197)&gt;0)*(N('Dvd Calendar'!$J$197)&lt;=VAL_SERIAL)*1000000+18*1000+6))</f>
        <v/>
      </c>
      <c r="EK29" s="39">
        <f>IF(N('Dvd Calendar'!$K$198)=0,"",IF(('Dvd Calendar'!$K$198&gt;=GRID_FROM)*('Dvd Calendar'!$K$198&lt;=GRID_TO)*((('Dvd Calendar'!$K$198&lt;=VAL_DATE)+(COUNTIF('Dvd Calendar'!$E$205:$AR$205,'Dvd Calendar'!$K$198)=0))&gt;0)=0,"",'Dvd Calendar'!$K$198*1000000000+ISNUMBER('Dvd Calendar'!$K$201)*100000000+('Dvd Calendar'!$K$203=SPECIAL_LBL)*10000000+(N('Dvd Calendar'!$K$197)&gt;0)*(N('Dvd Calendar'!$K$197)&lt;=VAL_SERIAL)*1000000+18*1000+7))</f>
        <v/>
      </c>
      <c r="EL29" s="39">
        <f>IF(N('Dvd Calendar'!$L$198)=0,"",IF(('Dvd Calendar'!$L$198&gt;=GRID_FROM)*('Dvd Calendar'!$L$198&lt;=GRID_TO)*((('Dvd Calendar'!$L$198&lt;=VAL_DATE)+(COUNTIF('Dvd Calendar'!$E$205:$AR$205,'Dvd Calendar'!$L$198)=0))&gt;0)=0,"",'Dvd Calendar'!$L$198*1000000000+ISNUMBER('Dvd Calendar'!$L$201)*100000000+('Dvd Calendar'!$L$203=SPECIAL_LBL)*10000000+(N('Dvd Calendar'!$L$197)&gt;0)*(N('Dvd Calendar'!$L$197)&lt;=VAL_SERIAL)*1000000+18*1000+8))</f>
        <v/>
      </c>
      <c r="EM29" s="39">
        <f>IF(N('Dvd Calendar'!$M$198)=0,"",IF(('Dvd Calendar'!$M$198&gt;=GRID_FROM)*('Dvd Calendar'!$M$198&lt;=GRID_TO)*((('Dvd Calendar'!$M$198&lt;=VAL_DATE)+(COUNTIF('Dvd Calendar'!$E$205:$AR$205,'Dvd Calendar'!$M$198)=0))&gt;0)=0,"",'Dvd Calendar'!$M$198*1000000000+ISNUMBER('Dvd Calendar'!$M$201)*100000000+('Dvd Calendar'!$M$203=SPECIAL_LBL)*10000000+(N('Dvd Calendar'!$M$197)&gt;0)*(N('Dvd Calendar'!$M$197)&lt;=VAL_SERIAL)*1000000+18*1000+9))</f>
        <v/>
      </c>
      <c r="EN29" s="39">
        <f>IF(N('Dvd Calendar'!$N$198)=0,"",IF(('Dvd Calendar'!$N$198&gt;=GRID_FROM)*('Dvd Calendar'!$N$198&lt;=GRID_TO)*((('Dvd Calendar'!$N$198&lt;=VAL_DATE)+(COUNTIF('Dvd Calendar'!$E$205:$AR$205,'Dvd Calendar'!$N$198)=0))&gt;0)=0,"",'Dvd Calendar'!$N$198*1000000000+ISNUMBER('Dvd Calendar'!$N$201)*100000000+('Dvd Calendar'!$N$203=SPECIAL_LBL)*10000000+(N('Dvd Calendar'!$N$197)&gt;0)*(N('Dvd Calendar'!$N$197)&lt;=VAL_SERIAL)*1000000+18*1000+10))</f>
        <v/>
      </c>
      <c r="EO29" s="39">
        <f>IF(N('Dvd Calendar'!$O$198)=0,"",IF(('Dvd Calendar'!$O$198&gt;=GRID_FROM)*('Dvd Calendar'!$O$198&lt;=GRID_TO)*((('Dvd Calendar'!$O$198&lt;=VAL_DATE)+(COUNTIF('Dvd Calendar'!$E$205:$AR$205,'Dvd Calendar'!$O$198)=0))&gt;0)=0,"",'Dvd Calendar'!$O$198*1000000000+ISNUMBER('Dvd Calendar'!$O$201)*100000000+('Dvd Calendar'!$O$203=SPECIAL_LBL)*10000000+(N('Dvd Calendar'!$O$197)&gt;0)*(N('Dvd Calendar'!$O$197)&lt;=VAL_SERIAL)*1000000+18*1000+11))</f>
        <v/>
      </c>
      <c r="EP29" s="39">
        <f>IF(N('Dvd Calendar'!$P$198)=0,"",IF(('Dvd Calendar'!$P$198&gt;=GRID_FROM)*('Dvd Calendar'!$P$198&lt;=GRID_TO)*((('Dvd Calendar'!$P$198&lt;=VAL_DATE)+(COUNTIF('Dvd Calendar'!$E$205:$AR$205,'Dvd Calendar'!$P$198)=0))&gt;0)=0,"",'Dvd Calendar'!$P$198*1000000000+ISNUMBER('Dvd Calendar'!$P$201)*100000000+('Dvd Calendar'!$P$203=SPECIAL_LBL)*10000000+(N('Dvd Calendar'!$P$197)&gt;0)*(N('Dvd Calendar'!$P$197)&lt;=VAL_SERIAL)*1000000+18*1000+12))</f>
        <v/>
      </c>
      <c r="EQ29" s="39">
        <f>IF(N('Dvd Calendar'!$Q$198)=0,"",IF(('Dvd Calendar'!$Q$198&gt;=GRID_FROM)*('Dvd Calendar'!$Q$198&lt;=GRID_TO)*((('Dvd Calendar'!$Q$198&lt;=VAL_DATE)+(COUNTIF('Dvd Calendar'!$E$205:$AR$205,'Dvd Calendar'!$Q$198)=0))&gt;0)=0,"",'Dvd Calendar'!$Q$198*1000000000+ISNUMBER('Dvd Calendar'!$Q$201)*100000000+('Dvd Calendar'!$Q$203=SPECIAL_LBL)*10000000+(N('Dvd Calendar'!$Q$197)&gt;0)*(N('Dvd Calendar'!$Q$197)&lt;=VAL_SERIAL)*1000000+18*1000+13))</f>
        <v/>
      </c>
      <c r="ER29" s="39">
        <f>IF(N('Dvd Calendar'!$R$198)=0,"",IF(('Dvd Calendar'!$R$198&gt;=GRID_FROM)*('Dvd Calendar'!$R$198&lt;=GRID_TO)*((('Dvd Calendar'!$R$198&lt;=VAL_DATE)+(COUNTIF('Dvd Calendar'!$E$205:$AR$205,'Dvd Calendar'!$R$198)=0))&gt;0)=0,"",'Dvd Calendar'!$R$198*1000000000+ISNUMBER('Dvd Calendar'!$R$201)*100000000+('Dvd Calendar'!$R$203=SPECIAL_LBL)*10000000+(N('Dvd Calendar'!$R$197)&gt;0)*(N('Dvd Calendar'!$R$197)&lt;=VAL_SERIAL)*1000000+18*1000+14))</f>
        <v/>
      </c>
      <c r="ES29" s="39">
        <f>IF(N('Dvd Calendar'!$S$198)=0,"",IF(('Dvd Calendar'!$S$198&gt;=GRID_FROM)*('Dvd Calendar'!$S$198&lt;=GRID_TO)*((('Dvd Calendar'!$S$198&lt;=VAL_DATE)+(COUNTIF('Dvd Calendar'!$E$205:$AR$205,'Dvd Calendar'!$S$198)=0))&gt;0)=0,"",'Dvd Calendar'!$S$198*1000000000+ISNUMBER('Dvd Calendar'!$S$201)*100000000+('Dvd Calendar'!$S$203=SPECIAL_LBL)*10000000+(N('Dvd Calendar'!$S$197)&gt;0)*(N('Dvd Calendar'!$S$197)&lt;=VAL_SERIAL)*1000000+18*1000+15))</f>
        <v/>
      </c>
      <c r="ET29" s="39">
        <f>IF(N('Dvd Calendar'!$T$198)=0,"",IF(('Dvd Calendar'!$T$198&gt;=GRID_FROM)*('Dvd Calendar'!$T$198&lt;=GRID_TO)*((('Dvd Calendar'!$T$198&lt;=VAL_DATE)+(COUNTIF('Dvd Calendar'!$E$205:$AR$205,'Dvd Calendar'!$T$198)=0))&gt;0)=0,"",'Dvd Calendar'!$T$198*1000000000+ISNUMBER('Dvd Calendar'!$T$201)*100000000+('Dvd Calendar'!$T$203=SPECIAL_LBL)*10000000+(N('Dvd Calendar'!$T$197)&gt;0)*(N('Dvd Calendar'!$T$197)&lt;=VAL_SERIAL)*1000000+18*1000+16))</f>
        <v/>
      </c>
      <c r="EU29" s="39">
        <f>IF(N('Dvd Calendar'!$U$198)=0,"",IF(('Dvd Calendar'!$U$198&gt;=GRID_FROM)*('Dvd Calendar'!$U$198&lt;=GRID_TO)*((('Dvd Calendar'!$U$198&lt;=VAL_DATE)+(COUNTIF('Dvd Calendar'!$E$205:$AR$205,'Dvd Calendar'!$U$198)=0))&gt;0)=0,"",'Dvd Calendar'!$U$198*1000000000+ISNUMBER('Dvd Calendar'!$U$201)*100000000+('Dvd Calendar'!$U$203=SPECIAL_LBL)*10000000+(N('Dvd Calendar'!$U$197)&gt;0)*(N('Dvd Calendar'!$U$197)&lt;=VAL_SERIAL)*1000000+18*1000+17))</f>
        <v/>
      </c>
      <c r="EV29" s="39">
        <f>IF(N('Dvd Calendar'!$V$198)=0,"",IF(('Dvd Calendar'!$V$198&gt;=GRID_FROM)*('Dvd Calendar'!$V$198&lt;=GRID_TO)*((('Dvd Calendar'!$V$198&lt;=VAL_DATE)+(COUNTIF('Dvd Calendar'!$E$205:$AR$205,'Dvd Calendar'!$V$198)=0))&gt;0)=0,"",'Dvd Calendar'!$V$198*1000000000+ISNUMBER('Dvd Calendar'!$V$201)*100000000+('Dvd Calendar'!$V$203=SPECIAL_LBL)*10000000+(N('Dvd Calendar'!$V$197)&gt;0)*(N('Dvd Calendar'!$V$197)&lt;=VAL_SERIAL)*1000000+18*1000+18))</f>
        <v/>
      </c>
      <c r="EW29" s="39">
        <f>IF(N('Dvd Calendar'!$W$198)=0,"",IF(('Dvd Calendar'!$W$198&gt;=GRID_FROM)*('Dvd Calendar'!$W$198&lt;=GRID_TO)*((('Dvd Calendar'!$W$198&lt;=VAL_DATE)+(COUNTIF('Dvd Calendar'!$E$205:$AR$205,'Dvd Calendar'!$W$198)=0))&gt;0)=0,"",'Dvd Calendar'!$W$198*1000000000+ISNUMBER('Dvd Calendar'!$W$201)*100000000+('Dvd Calendar'!$W$203=SPECIAL_LBL)*10000000+(N('Dvd Calendar'!$W$197)&gt;0)*(N('Dvd Calendar'!$W$197)&lt;=VAL_SERIAL)*1000000+18*1000+19))</f>
        <v/>
      </c>
      <c r="EX29" s="39">
        <f>IF(N('Dvd Calendar'!$X$198)=0,"",IF(('Dvd Calendar'!$X$198&gt;=GRID_FROM)*('Dvd Calendar'!$X$198&lt;=GRID_TO)*((('Dvd Calendar'!$X$198&lt;=VAL_DATE)+(COUNTIF('Dvd Calendar'!$E$205:$AR$205,'Dvd Calendar'!$X$198)=0))&gt;0)=0,"",'Dvd Calendar'!$X$198*1000000000+ISNUMBER('Dvd Calendar'!$X$201)*100000000+('Dvd Calendar'!$X$203=SPECIAL_LBL)*10000000+(N('Dvd Calendar'!$X$197)&gt;0)*(N('Dvd Calendar'!$X$197)&lt;=VAL_SERIAL)*1000000+18*1000+20))</f>
        <v/>
      </c>
      <c r="EY29" s="39">
        <f>IF(N('Dvd Calendar'!$Y$198)=0,"",IF(('Dvd Calendar'!$Y$198&gt;=GRID_FROM)*('Dvd Calendar'!$Y$198&lt;=GRID_TO)*((('Dvd Calendar'!$Y$198&lt;=VAL_DATE)+(COUNTIF('Dvd Calendar'!$E$205:$AR$205,'Dvd Calendar'!$Y$198)=0))&gt;0)=0,"",'Dvd Calendar'!$Y$198*1000000000+ISNUMBER('Dvd Calendar'!$Y$201)*100000000+('Dvd Calendar'!$Y$203=SPECIAL_LBL)*10000000+(N('Dvd Calendar'!$Y$197)&gt;0)*(N('Dvd Calendar'!$Y$197)&lt;=VAL_SERIAL)*1000000+18*1000+21))</f>
        <v/>
      </c>
      <c r="EZ29" s="39">
        <f>IF(N('Dvd Calendar'!$Z$198)=0,"",IF(('Dvd Calendar'!$Z$198&gt;=GRID_FROM)*('Dvd Calendar'!$Z$198&lt;=GRID_TO)*((('Dvd Calendar'!$Z$198&lt;=VAL_DATE)+(COUNTIF('Dvd Calendar'!$E$205:$AR$205,'Dvd Calendar'!$Z$198)=0))&gt;0)=0,"",'Dvd Calendar'!$Z$198*1000000000+ISNUMBER('Dvd Calendar'!$Z$201)*100000000+('Dvd Calendar'!$Z$203=SPECIAL_LBL)*10000000+(N('Dvd Calendar'!$Z$197)&gt;0)*(N('Dvd Calendar'!$Z$197)&lt;=VAL_SERIAL)*1000000+18*1000+22))</f>
        <v/>
      </c>
      <c r="FA29" s="39">
        <f>IF(N('Dvd Calendar'!$AA$198)=0,"",IF(('Dvd Calendar'!$AA$198&gt;=GRID_FROM)*('Dvd Calendar'!$AA$198&lt;=GRID_TO)*((('Dvd Calendar'!$AA$198&lt;=VAL_DATE)+(COUNTIF('Dvd Calendar'!$E$205:$AR$205,'Dvd Calendar'!$AA$198)=0))&gt;0)=0,"",'Dvd Calendar'!$AA$198*1000000000+ISNUMBER('Dvd Calendar'!$AA$201)*100000000+('Dvd Calendar'!$AA$203=SPECIAL_LBL)*10000000+(N('Dvd Calendar'!$AA$197)&gt;0)*(N('Dvd Calendar'!$AA$197)&lt;=VAL_SERIAL)*1000000+18*1000+23))</f>
        <v/>
      </c>
      <c r="FB29" s="39">
        <f>IF(N('Dvd Calendar'!$AB$198)=0,"",IF(('Dvd Calendar'!$AB$198&gt;=GRID_FROM)*('Dvd Calendar'!$AB$198&lt;=GRID_TO)*((('Dvd Calendar'!$AB$198&lt;=VAL_DATE)+(COUNTIF('Dvd Calendar'!$E$205:$AR$205,'Dvd Calendar'!$AB$198)=0))&gt;0)=0,"",'Dvd Calendar'!$AB$198*1000000000+ISNUMBER('Dvd Calendar'!$AB$201)*100000000+('Dvd Calendar'!$AB$203=SPECIAL_LBL)*10000000+(N('Dvd Calendar'!$AB$197)&gt;0)*(N('Dvd Calendar'!$AB$197)&lt;=VAL_SERIAL)*1000000+18*1000+24))</f>
        <v/>
      </c>
      <c r="FC29" s="39">
        <f>IF(N('Dvd Calendar'!$AC$198)=0,"",IF(('Dvd Calendar'!$AC$198&gt;=GRID_FROM)*('Dvd Calendar'!$AC$198&lt;=GRID_TO)*((('Dvd Calendar'!$AC$198&lt;=VAL_DATE)+(COUNTIF('Dvd Calendar'!$E$205:$AR$205,'Dvd Calendar'!$AC$198)=0))&gt;0)=0,"",'Dvd Calendar'!$AC$198*1000000000+ISNUMBER('Dvd Calendar'!$AC$201)*100000000+('Dvd Calendar'!$AC$203=SPECIAL_LBL)*10000000+(N('Dvd Calendar'!$AC$197)&gt;0)*(N('Dvd Calendar'!$AC$197)&lt;=VAL_SERIAL)*1000000+18*1000+25))</f>
        <v/>
      </c>
      <c r="FD29" s="39">
        <f>IF(N('Dvd Calendar'!$AD$198)=0,"",IF(('Dvd Calendar'!$AD$198&gt;=GRID_FROM)*('Dvd Calendar'!$AD$198&lt;=GRID_TO)*((('Dvd Calendar'!$AD$198&lt;=VAL_DATE)+(COUNTIF('Dvd Calendar'!$E$205:$AR$205,'Dvd Calendar'!$AD$198)=0))&gt;0)=0,"",'Dvd Calendar'!$AD$198*1000000000+ISNUMBER('Dvd Calendar'!$AD$201)*100000000+('Dvd Calendar'!$AD$203=SPECIAL_LBL)*10000000+(N('Dvd Calendar'!$AD$197)&gt;0)*(N('Dvd Calendar'!$AD$197)&lt;=VAL_SERIAL)*1000000+18*1000+26))</f>
        <v/>
      </c>
      <c r="FE29" s="39">
        <f>IF(N('Dvd Calendar'!$AE$198)=0,"",IF(('Dvd Calendar'!$AE$198&gt;=GRID_FROM)*('Dvd Calendar'!$AE$198&lt;=GRID_TO)*((('Dvd Calendar'!$AE$198&lt;=VAL_DATE)+(COUNTIF('Dvd Calendar'!$E$205:$AR$205,'Dvd Calendar'!$AE$198)=0))&gt;0)=0,"",'Dvd Calendar'!$AE$198*1000000000+ISNUMBER('Dvd Calendar'!$AE$201)*100000000+('Dvd Calendar'!$AE$203=SPECIAL_LBL)*10000000+(N('Dvd Calendar'!$AE$197)&gt;0)*(N('Dvd Calendar'!$AE$197)&lt;=VAL_SERIAL)*1000000+18*1000+27))</f>
        <v/>
      </c>
      <c r="FF29" s="39">
        <f>IF(N('Dvd Calendar'!$AF$198)=0,"",IF(('Dvd Calendar'!$AF$198&gt;=GRID_FROM)*('Dvd Calendar'!$AF$198&lt;=GRID_TO)*((('Dvd Calendar'!$AF$198&lt;=VAL_DATE)+(COUNTIF('Dvd Calendar'!$E$205:$AR$205,'Dvd Calendar'!$AF$198)=0))&gt;0)=0,"",'Dvd Calendar'!$AF$198*1000000000+ISNUMBER('Dvd Calendar'!$AF$201)*100000000+('Dvd Calendar'!$AF$203=SPECIAL_LBL)*10000000+(N('Dvd Calendar'!$AF$197)&gt;0)*(N('Dvd Calendar'!$AF$197)&lt;=VAL_SERIAL)*1000000+18*1000+28))</f>
        <v/>
      </c>
      <c r="FG29" s="39">
        <f>IF(N('Dvd Calendar'!$AG$198)=0,"",IF(('Dvd Calendar'!$AG$198&gt;=GRID_FROM)*('Dvd Calendar'!$AG$198&lt;=GRID_TO)*((('Dvd Calendar'!$AG$198&lt;=VAL_DATE)+(COUNTIF('Dvd Calendar'!$E$205:$AR$205,'Dvd Calendar'!$AG$198)=0))&gt;0)=0,"",'Dvd Calendar'!$AG$198*1000000000+ISNUMBER('Dvd Calendar'!$AG$201)*100000000+('Dvd Calendar'!$AG$203=SPECIAL_LBL)*10000000+(N('Dvd Calendar'!$AG$197)&gt;0)*(N('Dvd Calendar'!$AG$197)&lt;=VAL_SERIAL)*1000000+18*1000+29))</f>
        <v/>
      </c>
      <c r="FH29" s="39">
        <f>IF(N('Dvd Calendar'!$AH$198)=0,"",IF(('Dvd Calendar'!$AH$198&gt;=GRID_FROM)*('Dvd Calendar'!$AH$198&lt;=GRID_TO)*((('Dvd Calendar'!$AH$198&lt;=VAL_DATE)+(COUNTIF('Dvd Calendar'!$E$205:$AR$205,'Dvd Calendar'!$AH$198)=0))&gt;0)=0,"",'Dvd Calendar'!$AH$198*1000000000+ISNUMBER('Dvd Calendar'!$AH$201)*100000000+('Dvd Calendar'!$AH$203=SPECIAL_LBL)*10000000+(N('Dvd Calendar'!$AH$197)&gt;0)*(N('Dvd Calendar'!$AH$197)&lt;=VAL_SERIAL)*1000000+18*1000+30))</f>
        <v/>
      </c>
      <c r="FI29" s="39">
        <f>IF(N('Dvd Calendar'!$AI$198)=0,"",IF(('Dvd Calendar'!$AI$198&gt;=GRID_FROM)*('Dvd Calendar'!$AI$198&lt;=GRID_TO)*((('Dvd Calendar'!$AI$198&lt;=VAL_DATE)+(COUNTIF('Dvd Calendar'!$E$205:$AR$205,'Dvd Calendar'!$AI$198)=0))&gt;0)=0,"",'Dvd Calendar'!$AI$198*1000000000+ISNUMBER('Dvd Calendar'!$AI$201)*100000000+('Dvd Calendar'!$AI$203=SPECIAL_LBL)*10000000+(N('Dvd Calendar'!$AI$197)&gt;0)*(N('Dvd Calendar'!$AI$197)&lt;=VAL_SERIAL)*1000000+18*1000+31))</f>
        <v/>
      </c>
      <c r="FJ29" s="39">
        <f>IF(N('Dvd Calendar'!$AJ$198)=0,"",IF(('Dvd Calendar'!$AJ$198&gt;=GRID_FROM)*('Dvd Calendar'!$AJ$198&lt;=GRID_TO)*((('Dvd Calendar'!$AJ$198&lt;=VAL_DATE)+(COUNTIF('Dvd Calendar'!$E$205:$AR$205,'Dvd Calendar'!$AJ$198)=0))&gt;0)=0,"",'Dvd Calendar'!$AJ$198*1000000000+ISNUMBER('Dvd Calendar'!$AJ$201)*100000000+('Dvd Calendar'!$AJ$203=SPECIAL_LBL)*10000000+(N('Dvd Calendar'!$AJ$197)&gt;0)*(N('Dvd Calendar'!$AJ$197)&lt;=VAL_SERIAL)*1000000+18*1000+32))</f>
        <v/>
      </c>
      <c r="FK29" s="39">
        <f>IF(N('Dvd Calendar'!$AK$198)=0,"",IF(('Dvd Calendar'!$AK$198&gt;=GRID_FROM)*('Dvd Calendar'!$AK$198&lt;=GRID_TO)*((('Dvd Calendar'!$AK$198&lt;=VAL_DATE)+(COUNTIF('Dvd Calendar'!$E$205:$AR$205,'Dvd Calendar'!$AK$198)=0))&gt;0)=0,"",'Dvd Calendar'!$AK$198*1000000000+ISNUMBER('Dvd Calendar'!$AK$201)*100000000+('Dvd Calendar'!$AK$203=SPECIAL_LBL)*10000000+(N('Dvd Calendar'!$AK$197)&gt;0)*(N('Dvd Calendar'!$AK$197)&lt;=VAL_SERIAL)*1000000+18*1000+33))</f>
        <v/>
      </c>
      <c r="FL29" s="39">
        <f>IF(N('Dvd Calendar'!$AL$198)=0,"",IF(('Dvd Calendar'!$AL$198&gt;=GRID_FROM)*('Dvd Calendar'!$AL$198&lt;=GRID_TO)*((('Dvd Calendar'!$AL$198&lt;=VAL_DATE)+(COUNTIF('Dvd Calendar'!$E$205:$AR$205,'Dvd Calendar'!$AL$198)=0))&gt;0)=0,"",'Dvd Calendar'!$AL$198*1000000000+ISNUMBER('Dvd Calendar'!$AL$201)*100000000+('Dvd Calendar'!$AL$203=SPECIAL_LBL)*10000000+(N('Dvd Calendar'!$AL$197)&gt;0)*(N('Dvd Calendar'!$AL$197)&lt;=VAL_SERIAL)*1000000+18*1000+34))</f>
        <v/>
      </c>
      <c r="FM29" s="39">
        <f>IF(N('Dvd Calendar'!$AM$198)=0,"",IF(('Dvd Calendar'!$AM$198&gt;=GRID_FROM)*('Dvd Calendar'!$AM$198&lt;=GRID_TO)*((('Dvd Calendar'!$AM$198&lt;=VAL_DATE)+(COUNTIF('Dvd Calendar'!$E$205:$AR$205,'Dvd Calendar'!$AM$198)=0))&gt;0)=0,"",'Dvd Calendar'!$AM$198*1000000000+ISNUMBER('Dvd Calendar'!$AM$201)*100000000+('Dvd Calendar'!$AM$203=SPECIAL_LBL)*10000000+(N('Dvd Calendar'!$AM$197)&gt;0)*(N('Dvd Calendar'!$AM$197)&lt;=VAL_SERIAL)*1000000+18*1000+35))</f>
        <v/>
      </c>
      <c r="FN29" s="39">
        <f>IF(N('Dvd Calendar'!$AN$198)=0,"",IF(('Dvd Calendar'!$AN$198&gt;=GRID_FROM)*('Dvd Calendar'!$AN$198&lt;=GRID_TO)*((('Dvd Calendar'!$AN$198&lt;=VAL_DATE)+(COUNTIF('Dvd Calendar'!$E$205:$AR$205,'Dvd Calendar'!$AN$198)=0))&gt;0)=0,"",'Dvd Calendar'!$AN$198*1000000000+ISNUMBER('Dvd Calendar'!$AN$201)*100000000+('Dvd Calendar'!$AN$203=SPECIAL_LBL)*10000000+(N('Dvd Calendar'!$AN$197)&gt;0)*(N('Dvd Calendar'!$AN$197)&lt;=VAL_SERIAL)*1000000+18*1000+36))</f>
        <v/>
      </c>
      <c r="FO29" s="39">
        <f>IF(N('Dvd Calendar'!$AO$198)=0,"",IF(('Dvd Calendar'!$AO$198&gt;=GRID_FROM)*('Dvd Calendar'!$AO$198&lt;=GRID_TO)*((('Dvd Calendar'!$AO$198&lt;=VAL_DATE)+(COUNTIF('Dvd Calendar'!$E$205:$AR$205,'Dvd Calendar'!$AO$198)=0))&gt;0)=0,"",'Dvd Calendar'!$AO$198*1000000000+ISNUMBER('Dvd Calendar'!$AO$201)*100000000+('Dvd Calendar'!$AO$203=SPECIAL_LBL)*10000000+(N('Dvd Calendar'!$AO$197)&gt;0)*(N('Dvd Calendar'!$AO$197)&lt;=VAL_SERIAL)*1000000+18*1000+37))</f>
        <v/>
      </c>
      <c r="FP29" s="39">
        <f>IF(N('Dvd Calendar'!$AP$198)=0,"",IF(('Dvd Calendar'!$AP$198&gt;=GRID_FROM)*('Dvd Calendar'!$AP$198&lt;=GRID_TO)*((('Dvd Calendar'!$AP$198&lt;=VAL_DATE)+(COUNTIF('Dvd Calendar'!$E$205:$AR$205,'Dvd Calendar'!$AP$198)=0))&gt;0)=0,"",'Dvd Calendar'!$AP$198*1000000000+ISNUMBER('Dvd Calendar'!$AP$201)*100000000+('Dvd Calendar'!$AP$203=SPECIAL_LBL)*10000000+(N('Dvd Calendar'!$AP$197)&gt;0)*(N('Dvd Calendar'!$AP$197)&lt;=VAL_SERIAL)*1000000+18*1000+38))</f>
        <v/>
      </c>
      <c r="FQ29" s="39">
        <f>IF(N('Dvd Calendar'!$AQ$198)=0,"",IF(('Dvd Calendar'!$AQ$198&gt;=GRID_FROM)*('Dvd Calendar'!$AQ$198&lt;=GRID_TO)*((('Dvd Calendar'!$AQ$198&lt;=VAL_DATE)+(COUNTIF('Dvd Calendar'!$E$205:$AR$205,'Dvd Calendar'!$AQ$198)=0))&gt;0)=0,"",'Dvd Calendar'!$AQ$198*1000000000+ISNUMBER('Dvd Calendar'!$AQ$201)*100000000+('Dvd Calendar'!$AQ$203=SPECIAL_LBL)*10000000+(N('Dvd Calendar'!$AQ$197)&gt;0)*(N('Dvd Calendar'!$AQ$197)&lt;=VAL_SERIAL)*1000000+18*1000+39))</f>
        <v/>
      </c>
      <c r="FR29" s="39">
        <f>IF(N('Dvd Calendar'!$AR$198)=0,"",IF(('Dvd Calendar'!$AR$198&gt;=GRID_FROM)*('Dvd Calendar'!$AR$198&lt;=GRID_TO)*((('Dvd Calendar'!$AR$198&lt;=VAL_DATE)+(COUNTIF('Dvd Calendar'!$E$205:$AR$205,'Dvd Calendar'!$AR$198)=0))&gt;0)=0,"",'Dvd Calendar'!$AR$198*1000000000+ISNUMBER('Dvd Calendar'!$AR$201)*100000000+('Dvd Calendar'!$AR$203=SPECIAL_LBL)*10000000+(N('Dvd Calendar'!$AR$197)&gt;0)*(N('Dvd Calendar'!$AR$197)&lt;=VAL_SERIAL)*1000000+18*1000+40))</f>
        <v/>
      </c>
      <c r="FS29" s="39">
        <f>IF(N('Dvd Calendar'!$E$205)=0,"",IF(('Dvd Calendar'!$E$205&gt;=GRID_FROM)*('Dvd Calendar'!$E$205&lt;=GRID_TO)*('Dvd Calendar'!$E$205&gt;VAL_DATE)=0,"",'Dvd Calendar'!$E$205*1000000000+ISNUMBER('Dvd Calendar'!$E$206)*100000000+0*10000000+(N('Dvd Calendar'!$E$204)&gt;0)*(N('Dvd Calendar'!$E$204)&lt;=VAL_SERIAL)*1000000+18*1000+41))</f>
        <v/>
      </c>
      <c r="FT29" s="39">
        <f>IF(N('Dvd Calendar'!$F$205)=0,"",IF(('Dvd Calendar'!$F$205&gt;=GRID_FROM)*('Dvd Calendar'!$F$205&lt;=GRID_TO)*('Dvd Calendar'!$F$205&gt;VAL_DATE)=0,"",'Dvd Calendar'!$F$205*1000000000+ISNUMBER('Dvd Calendar'!$F$206)*100000000+0*10000000+(N('Dvd Calendar'!$F$204)&gt;0)*(N('Dvd Calendar'!$F$204)&lt;=VAL_SERIAL)*1000000+18*1000+42))</f>
        <v/>
      </c>
      <c r="FU29" s="39">
        <f>IF(N('Dvd Calendar'!$G$205)=0,"",IF(('Dvd Calendar'!$G$205&gt;=GRID_FROM)*('Dvd Calendar'!$G$205&lt;=GRID_TO)*('Dvd Calendar'!$G$205&gt;VAL_DATE)=0,"",'Dvd Calendar'!$G$205*1000000000+ISNUMBER('Dvd Calendar'!$G$206)*100000000+0*10000000+(N('Dvd Calendar'!$G$204)&gt;0)*(N('Dvd Calendar'!$G$204)&lt;=VAL_SERIAL)*1000000+18*1000+43))</f>
        <v/>
      </c>
      <c r="FV29" s="39">
        <f>IF(N('Dvd Calendar'!$H$205)=0,"",IF(('Dvd Calendar'!$H$205&gt;=GRID_FROM)*('Dvd Calendar'!$H$205&lt;=GRID_TO)*('Dvd Calendar'!$H$205&gt;VAL_DATE)=0,"",'Dvd Calendar'!$H$205*1000000000+ISNUMBER('Dvd Calendar'!$H$206)*100000000+0*10000000+(N('Dvd Calendar'!$H$204)&gt;0)*(N('Dvd Calendar'!$H$204)&lt;=VAL_SERIAL)*1000000+18*1000+44))</f>
        <v/>
      </c>
      <c r="FW29" s="39">
        <f>IF(N('Dvd Calendar'!$I$205)=0,"",IF(('Dvd Calendar'!$I$205&gt;=GRID_FROM)*('Dvd Calendar'!$I$205&lt;=GRID_TO)*('Dvd Calendar'!$I$205&gt;VAL_DATE)=0,"",'Dvd Calendar'!$I$205*1000000000+ISNUMBER('Dvd Calendar'!$I$206)*100000000+0*10000000+(N('Dvd Calendar'!$I$204)&gt;0)*(N('Dvd Calendar'!$I$204)&lt;=VAL_SERIAL)*1000000+18*1000+45))</f>
        <v/>
      </c>
      <c r="FX29" s="39">
        <f>IF(N('Dvd Calendar'!$J$205)=0,"",IF(('Dvd Calendar'!$J$205&gt;=GRID_FROM)*('Dvd Calendar'!$J$205&lt;=GRID_TO)*('Dvd Calendar'!$J$205&gt;VAL_DATE)=0,"",'Dvd Calendar'!$J$205*1000000000+ISNUMBER('Dvd Calendar'!$J$206)*100000000+0*10000000+(N('Dvd Calendar'!$J$204)&gt;0)*(N('Dvd Calendar'!$J$204)&lt;=VAL_SERIAL)*1000000+18*1000+46))</f>
        <v/>
      </c>
      <c r="FY29" s="39">
        <f>IF(N('Dvd Calendar'!$K$205)=0,"",IF(('Dvd Calendar'!$K$205&gt;=GRID_FROM)*('Dvd Calendar'!$K$205&lt;=GRID_TO)*('Dvd Calendar'!$K$205&gt;VAL_DATE)=0,"",'Dvd Calendar'!$K$205*1000000000+ISNUMBER('Dvd Calendar'!$K$206)*100000000+0*10000000+(N('Dvd Calendar'!$K$204)&gt;0)*(N('Dvd Calendar'!$K$204)&lt;=VAL_SERIAL)*1000000+18*1000+47))</f>
        <v/>
      </c>
      <c r="FZ29" s="39">
        <f>IF(N('Dvd Calendar'!$L$205)=0,"",IF(('Dvd Calendar'!$L$205&gt;=GRID_FROM)*('Dvd Calendar'!$L$205&lt;=GRID_TO)*('Dvd Calendar'!$L$205&gt;VAL_DATE)=0,"",'Dvd Calendar'!$L$205*1000000000+ISNUMBER('Dvd Calendar'!$L$206)*100000000+0*10000000+(N('Dvd Calendar'!$L$204)&gt;0)*(N('Dvd Calendar'!$L$204)&lt;=VAL_SERIAL)*1000000+18*1000+48))</f>
        <v/>
      </c>
      <c r="GA29" s="39">
        <f>IF(N('Dvd Calendar'!$M$205)=0,"",IF(('Dvd Calendar'!$M$205&gt;=GRID_FROM)*('Dvd Calendar'!$M$205&lt;=GRID_TO)*('Dvd Calendar'!$M$205&gt;VAL_DATE)=0,"",'Dvd Calendar'!$M$205*1000000000+ISNUMBER('Dvd Calendar'!$M$206)*100000000+0*10000000+(N('Dvd Calendar'!$M$204)&gt;0)*(N('Dvd Calendar'!$M$204)&lt;=VAL_SERIAL)*1000000+18*1000+49))</f>
        <v/>
      </c>
      <c r="GB29" s="39">
        <f>IF(N('Dvd Calendar'!$N$205)=0,"",IF(('Dvd Calendar'!$N$205&gt;=GRID_FROM)*('Dvd Calendar'!$N$205&lt;=GRID_TO)*('Dvd Calendar'!$N$205&gt;VAL_DATE)=0,"",'Dvd Calendar'!$N$205*1000000000+ISNUMBER('Dvd Calendar'!$N$206)*100000000+0*10000000+(N('Dvd Calendar'!$N$204)&gt;0)*(N('Dvd Calendar'!$N$204)&lt;=VAL_SERIAL)*1000000+18*1000+50))</f>
        <v/>
      </c>
      <c r="GC29" s="39">
        <f>IF(N('Dvd Calendar'!$O$205)=0,"",IF(('Dvd Calendar'!$O$205&gt;=GRID_FROM)*('Dvd Calendar'!$O$205&lt;=GRID_TO)*('Dvd Calendar'!$O$205&gt;VAL_DATE)=0,"",'Dvd Calendar'!$O$205*1000000000+ISNUMBER('Dvd Calendar'!$O$206)*100000000+0*10000000+(N('Dvd Calendar'!$O$204)&gt;0)*(N('Dvd Calendar'!$O$204)&lt;=VAL_SERIAL)*1000000+18*1000+51))</f>
        <v/>
      </c>
      <c r="GD29" s="39">
        <f>IF(N('Dvd Calendar'!$P$205)=0,"",IF(('Dvd Calendar'!$P$205&gt;=GRID_FROM)*('Dvd Calendar'!$P$205&lt;=GRID_TO)*('Dvd Calendar'!$P$205&gt;VAL_DATE)=0,"",'Dvd Calendar'!$P$205*1000000000+ISNUMBER('Dvd Calendar'!$P$206)*100000000+0*10000000+(N('Dvd Calendar'!$P$204)&gt;0)*(N('Dvd Calendar'!$P$204)&lt;=VAL_SERIAL)*1000000+18*1000+52))</f>
        <v/>
      </c>
      <c r="GE29" s="39">
        <f>IF(N('Dvd Calendar'!$Q$205)=0,"",IF(('Dvd Calendar'!$Q$205&gt;=GRID_FROM)*('Dvd Calendar'!$Q$205&lt;=GRID_TO)*('Dvd Calendar'!$Q$205&gt;VAL_DATE)=0,"",'Dvd Calendar'!$Q$205*1000000000+ISNUMBER('Dvd Calendar'!$Q$206)*100000000+0*10000000+(N('Dvd Calendar'!$Q$204)&gt;0)*(N('Dvd Calendar'!$Q$204)&lt;=VAL_SERIAL)*1000000+18*1000+53))</f>
        <v/>
      </c>
      <c r="GF29" s="39">
        <f>IF(N('Dvd Calendar'!$R$205)=0,"",IF(('Dvd Calendar'!$R$205&gt;=GRID_FROM)*('Dvd Calendar'!$R$205&lt;=GRID_TO)*('Dvd Calendar'!$R$205&gt;VAL_DATE)=0,"",'Dvd Calendar'!$R$205*1000000000+ISNUMBER('Dvd Calendar'!$R$206)*100000000+0*10000000+(N('Dvd Calendar'!$R$204)&gt;0)*(N('Dvd Calendar'!$R$204)&lt;=VAL_SERIAL)*1000000+18*1000+54))</f>
        <v/>
      </c>
      <c r="GG29" s="39">
        <f>IF(N('Dvd Calendar'!$S$205)=0,"",IF(('Dvd Calendar'!$S$205&gt;=GRID_FROM)*('Dvd Calendar'!$S$205&lt;=GRID_TO)*('Dvd Calendar'!$S$205&gt;VAL_DATE)=0,"",'Dvd Calendar'!$S$205*1000000000+ISNUMBER('Dvd Calendar'!$S$206)*100000000+0*10000000+(N('Dvd Calendar'!$S$204)&gt;0)*(N('Dvd Calendar'!$S$204)&lt;=VAL_SERIAL)*1000000+18*1000+55))</f>
        <v/>
      </c>
      <c r="GH29" s="39">
        <f>IF(N('Dvd Calendar'!$T$205)=0,"",IF(('Dvd Calendar'!$T$205&gt;=GRID_FROM)*('Dvd Calendar'!$T$205&lt;=GRID_TO)*('Dvd Calendar'!$T$205&gt;VAL_DATE)=0,"",'Dvd Calendar'!$T$205*1000000000+ISNUMBER('Dvd Calendar'!$T$206)*100000000+0*10000000+(N('Dvd Calendar'!$T$204)&gt;0)*(N('Dvd Calendar'!$T$204)&lt;=VAL_SERIAL)*1000000+18*1000+56))</f>
        <v/>
      </c>
      <c r="GI29" s="39">
        <f>IF(N('Dvd Calendar'!$U$205)=0,"",IF(('Dvd Calendar'!$U$205&gt;=GRID_FROM)*('Dvd Calendar'!$U$205&lt;=GRID_TO)*('Dvd Calendar'!$U$205&gt;VAL_DATE)=0,"",'Dvd Calendar'!$U$205*1000000000+ISNUMBER('Dvd Calendar'!$U$206)*100000000+0*10000000+(N('Dvd Calendar'!$U$204)&gt;0)*(N('Dvd Calendar'!$U$204)&lt;=VAL_SERIAL)*1000000+18*1000+57))</f>
        <v/>
      </c>
      <c r="GJ29" s="39">
        <f>IF(N('Dvd Calendar'!$V$205)=0,"",IF(('Dvd Calendar'!$V$205&gt;=GRID_FROM)*('Dvd Calendar'!$V$205&lt;=GRID_TO)*('Dvd Calendar'!$V$205&gt;VAL_DATE)=0,"",'Dvd Calendar'!$V$205*1000000000+ISNUMBER('Dvd Calendar'!$V$206)*100000000+0*10000000+(N('Dvd Calendar'!$V$204)&gt;0)*(N('Dvd Calendar'!$V$204)&lt;=VAL_SERIAL)*1000000+18*1000+58))</f>
        <v/>
      </c>
      <c r="GK29" s="39">
        <f>IF(N('Dvd Calendar'!$W$205)=0,"",IF(('Dvd Calendar'!$W$205&gt;=GRID_FROM)*('Dvd Calendar'!$W$205&lt;=GRID_TO)*('Dvd Calendar'!$W$205&gt;VAL_DATE)=0,"",'Dvd Calendar'!$W$205*1000000000+ISNUMBER('Dvd Calendar'!$W$206)*100000000+0*10000000+(N('Dvd Calendar'!$W$204)&gt;0)*(N('Dvd Calendar'!$W$204)&lt;=VAL_SERIAL)*1000000+18*1000+59))</f>
        <v/>
      </c>
      <c r="GL29" s="39">
        <f>IF(N('Dvd Calendar'!$X$205)=0,"",IF(('Dvd Calendar'!$X$205&gt;=GRID_FROM)*('Dvd Calendar'!$X$205&lt;=GRID_TO)*('Dvd Calendar'!$X$205&gt;VAL_DATE)=0,"",'Dvd Calendar'!$X$205*1000000000+ISNUMBER('Dvd Calendar'!$X$206)*100000000+0*10000000+(N('Dvd Calendar'!$X$204)&gt;0)*(N('Dvd Calendar'!$X$204)&lt;=VAL_SERIAL)*1000000+18*1000+60))</f>
        <v/>
      </c>
      <c r="GM29" s="39">
        <f>IF(N('Dvd Calendar'!$Y$205)=0,"",IF(('Dvd Calendar'!$Y$205&gt;=GRID_FROM)*('Dvd Calendar'!$Y$205&lt;=GRID_TO)*('Dvd Calendar'!$Y$205&gt;VAL_DATE)=0,"",'Dvd Calendar'!$Y$205*1000000000+ISNUMBER('Dvd Calendar'!$Y$206)*100000000+0*10000000+(N('Dvd Calendar'!$Y$204)&gt;0)*(N('Dvd Calendar'!$Y$204)&lt;=VAL_SERIAL)*1000000+18*1000+61))</f>
        <v/>
      </c>
      <c r="GN29" s="39">
        <f>IF(N('Dvd Calendar'!$Z$205)=0,"",IF(('Dvd Calendar'!$Z$205&gt;=GRID_FROM)*('Dvd Calendar'!$Z$205&lt;=GRID_TO)*('Dvd Calendar'!$Z$205&gt;VAL_DATE)=0,"",'Dvd Calendar'!$Z$205*1000000000+ISNUMBER('Dvd Calendar'!$Z$206)*100000000+0*10000000+(N('Dvd Calendar'!$Z$204)&gt;0)*(N('Dvd Calendar'!$Z$204)&lt;=VAL_SERIAL)*1000000+18*1000+62))</f>
        <v/>
      </c>
      <c r="GO29" s="39">
        <f>IF(N('Dvd Calendar'!$AA$205)=0,"",IF(('Dvd Calendar'!$AA$205&gt;=GRID_FROM)*('Dvd Calendar'!$AA$205&lt;=GRID_TO)*('Dvd Calendar'!$AA$205&gt;VAL_DATE)=0,"",'Dvd Calendar'!$AA$205*1000000000+ISNUMBER('Dvd Calendar'!$AA$206)*100000000+0*10000000+(N('Dvd Calendar'!$AA$204)&gt;0)*(N('Dvd Calendar'!$AA$204)&lt;=VAL_SERIAL)*1000000+18*1000+63))</f>
        <v/>
      </c>
      <c r="GP29" s="39">
        <f>IF(N('Dvd Calendar'!$AB$205)=0,"",IF(('Dvd Calendar'!$AB$205&gt;=GRID_FROM)*('Dvd Calendar'!$AB$205&lt;=GRID_TO)*('Dvd Calendar'!$AB$205&gt;VAL_DATE)=0,"",'Dvd Calendar'!$AB$205*1000000000+ISNUMBER('Dvd Calendar'!$AB$206)*100000000+0*10000000+(N('Dvd Calendar'!$AB$204)&gt;0)*(N('Dvd Calendar'!$AB$204)&lt;=VAL_SERIAL)*1000000+18*1000+64))</f>
        <v/>
      </c>
      <c r="GQ29" s="39">
        <f>IF(N('Dvd Calendar'!$AC$205)=0,"",IF(('Dvd Calendar'!$AC$205&gt;=GRID_FROM)*('Dvd Calendar'!$AC$205&lt;=GRID_TO)*('Dvd Calendar'!$AC$205&gt;VAL_DATE)=0,"",'Dvd Calendar'!$AC$205*1000000000+ISNUMBER('Dvd Calendar'!$AC$206)*100000000+0*10000000+(N('Dvd Calendar'!$AC$204)&gt;0)*(N('Dvd Calendar'!$AC$204)&lt;=VAL_SERIAL)*1000000+18*1000+65))</f>
        <v/>
      </c>
    </row>
    <row r="30">
      <c r="B30" s="2">
        <f>IF(HSI!$C$25="","",HSI!$C$25)</f>
        <v/>
      </c>
      <c r="C30" s="110">
        <f>IF(EE30="","",IF(ISNUMBER('Dvd Calendar'!$E$212)=FALSE,"",IF((('Dvd Calendar'!$E$214=TYPE1)*(TYPE1&lt;&gt;"")+('Dvd Calendar'!$E$214=TYPE2)*(TYPE2&lt;&gt;"")+('Dvd Calendar'!$E$214=TYPE3)*(TYPE3&lt;&gt;"")+('Dvd Calendar'!$E$214=TYPE4)*(TYPE4&lt;&gt;"")+('Dvd Calendar'!$E$214=SPECIAL_LBL)*(INC_SPECIALS="Y"))=0,"",'Dvd Calendar'!$E$212)))</f>
        <v/>
      </c>
      <c r="D30" s="110">
        <f>IF(EF30="","",IF(ISNUMBER('Dvd Calendar'!$F$212)=FALSE,"",IF((('Dvd Calendar'!$F$214=TYPE1)*(TYPE1&lt;&gt;"")+('Dvd Calendar'!$F$214=TYPE2)*(TYPE2&lt;&gt;"")+('Dvd Calendar'!$F$214=TYPE3)*(TYPE3&lt;&gt;"")+('Dvd Calendar'!$F$214=TYPE4)*(TYPE4&lt;&gt;"")+('Dvd Calendar'!$F$214=SPECIAL_LBL)*(INC_SPECIALS="Y"))=0,"",'Dvd Calendar'!$F$212)))</f>
        <v/>
      </c>
      <c r="E30" s="110">
        <f>IF(EG30="","",IF(ISNUMBER('Dvd Calendar'!$G$212)=FALSE,"",IF((('Dvd Calendar'!$G$214=TYPE1)*(TYPE1&lt;&gt;"")+('Dvd Calendar'!$G$214=TYPE2)*(TYPE2&lt;&gt;"")+('Dvd Calendar'!$G$214=TYPE3)*(TYPE3&lt;&gt;"")+('Dvd Calendar'!$G$214=TYPE4)*(TYPE4&lt;&gt;"")+('Dvd Calendar'!$G$214=SPECIAL_LBL)*(INC_SPECIALS="Y"))=0,"",'Dvd Calendar'!$G$212)))</f>
        <v/>
      </c>
      <c r="F30" s="110">
        <f>IF(EH30="","",IF(ISNUMBER('Dvd Calendar'!$H$212)=FALSE,"",IF((('Dvd Calendar'!$H$214=TYPE1)*(TYPE1&lt;&gt;"")+('Dvd Calendar'!$H$214=TYPE2)*(TYPE2&lt;&gt;"")+('Dvd Calendar'!$H$214=TYPE3)*(TYPE3&lt;&gt;"")+('Dvd Calendar'!$H$214=TYPE4)*(TYPE4&lt;&gt;"")+('Dvd Calendar'!$H$214=SPECIAL_LBL)*(INC_SPECIALS="Y"))=0,"",'Dvd Calendar'!$H$212)))</f>
        <v/>
      </c>
      <c r="G30" s="110">
        <f>IF(EI30="","",IF(ISNUMBER('Dvd Calendar'!$I$212)=FALSE,"",IF((('Dvd Calendar'!$I$214=TYPE1)*(TYPE1&lt;&gt;"")+('Dvd Calendar'!$I$214=TYPE2)*(TYPE2&lt;&gt;"")+('Dvd Calendar'!$I$214=TYPE3)*(TYPE3&lt;&gt;"")+('Dvd Calendar'!$I$214=TYPE4)*(TYPE4&lt;&gt;"")+('Dvd Calendar'!$I$214=SPECIAL_LBL)*(INC_SPECIALS="Y"))=0,"",'Dvd Calendar'!$I$212)))</f>
        <v/>
      </c>
      <c r="H30" s="110">
        <f>IF(EJ30="","",IF(ISNUMBER('Dvd Calendar'!$J$212)=FALSE,"",IF((('Dvd Calendar'!$J$214=TYPE1)*(TYPE1&lt;&gt;"")+('Dvd Calendar'!$J$214=TYPE2)*(TYPE2&lt;&gt;"")+('Dvd Calendar'!$J$214=TYPE3)*(TYPE3&lt;&gt;"")+('Dvd Calendar'!$J$214=TYPE4)*(TYPE4&lt;&gt;"")+('Dvd Calendar'!$J$214=SPECIAL_LBL)*(INC_SPECIALS="Y"))=0,"",'Dvd Calendar'!$J$212)))</f>
        <v/>
      </c>
      <c r="I30" s="110">
        <f>IF(EK30="","",IF(ISNUMBER('Dvd Calendar'!$K$212)=FALSE,"",IF((('Dvd Calendar'!$K$214=TYPE1)*(TYPE1&lt;&gt;"")+('Dvd Calendar'!$K$214=TYPE2)*(TYPE2&lt;&gt;"")+('Dvd Calendar'!$K$214=TYPE3)*(TYPE3&lt;&gt;"")+('Dvd Calendar'!$K$214=TYPE4)*(TYPE4&lt;&gt;"")+('Dvd Calendar'!$K$214=SPECIAL_LBL)*(INC_SPECIALS="Y"))=0,"",'Dvd Calendar'!$K$212)))</f>
        <v/>
      </c>
      <c r="J30" s="110">
        <f>IF(EL30="","",IF(ISNUMBER('Dvd Calendar'!$L$212)=FALSE,"",IF((('Dvd Calendar'!$L$214=TYPE1)*(TYPE1&lt;&gt;"")+('Dvd Calendar'!$L$214=TYPE2)*(TYPE2&lt;&gt;"")+('Dvd Calendar'!$L$214=TYPE3)*(TYPE3&lt;&gt;"")+('Dvd Calendar'!$L$214=TYPE4)*(TYPE4&lt;&gt;"")+('Dvd Calendar'!$L$214=SPECIAL_LBL)*(INC_SPECIALS="Y"))=0,"",'Dvd Calendar'!$L$212)))</f>
        <v/>
      </c>
      <c r="K30" s="110">
        <f>IF(EM30="","",IF(ISNUMBER('Dvd Calendar'!$M$212)=FALSE,"",IF((('Dvd Calendar'!$M$214=TYPE1)*(TYPE1&lt;&gt;"")+('Dvd Calendar'!$M$214=TYPE2)*(TYPE2&lt;&gt;"")+('Dvd Calendar'!$M$214=TYPE3)*(TYPE3&lt;&gt;"")+('Dvd Calendar'!$M$214=TYPE4)*(TYPE4&lt;&gt;"")+('Dvd Calendar'!$M$214=SPECIAL_LBL)*(INC_SPECIALS="Y"))=0,"",'Dvd Calendar'!$M$212)))</f>
        <v/>
      </c>
      <c r="L30" s="110">
        <f>IF(EN30="","",IF(ISNUMBER('Dvd Calendar'!$N$212)=FALSE,"",IF((('Dvd Calendar'!$N$214=TYPE1)*(TYPE1&lt;&gt;"")+('Dvd Calendar'!$N$214=TYPE2)*(TYPE2&lt;&gt;"")+('Dvd Calendar'!$N$214=TYPE3)*(TYPE3&lt;&gt;"")+('Dvd Calendar'!$N$214=TYPE4)*(TYPE4&lt;&gt;"")+('Dvd Calendar'!$N$214=SPECIAL_LBL)*(INC_SPECIALS="Y"))=0,"",'Dvd Calendar'!$N$212)))</f>
        <v/>
      </c>
      <c r="M30" s="110">
        <f>IF(EO30="","",IF(ISNUMBER('Dvd Calendar'!$O$212)=FALSE,"",IF((('Dvd Calendar'!$O$214=TYPE1)*(TYPE1&lt;&gt;"")+('Dvd Calendar'!$O$214=TYPE2)*(TYPE2&lt;&gt;"")+('Dvd Calendar'!$O$214=TYPE3)*(TYPE3&lt;&gt;"")+('Dvd Calendar'!$O$214=TYPE4)*(TYPE4&lt;&gt;"")+('Dvd Calendar'!$O$214=SPECIAL_LBL)*(INC_SPECIALS="Y"))=0,"",'Dvd Calendar'!$O$212)))</f>
        <v/>
      </c>
      <c r="N30" s="110">
        <f>IF(EP30="","",IF(ISNUMBER('Dvd Calendar'!$P$212)=FALSE,"",IF((('Dvd Calendar'!$P$214=TYPE1)*(TYPE1&lt;&gt;"")+('Dvd Calendar'!$P$214=TYPE2)*(TYPE2&lt;&gt;"")+('Dvd Calendar'!$P$214=TYPE3)*(TYPE3&lt;&gt;"")+('Dvd Calendar'!$P$214=TYPE4)*(TYPE4&lt;&gt;"")+('Dvd Calendar'!$P$214=SPECIAL_LBL)*(INC_SPECIALS="Y"))=0,"",'Dvd Calendar'!$P$212)))</f>
        <v/>
      </c>
      <c r="O30" s="110">
        <f>IF(EQ30="","",IF(ISNUMBER('Dvd Calendar'!$Q$212)=FALSE,"",IF((('Dvd Calendar'!$Q$214=TYPE1)*(TYPE1&lt;&gt;"")+('Dvd Calendar'!$Q$214=TYPE2)*(TYPE2&lt;&gt;"")+('Dvd Calendar'!$Q$214=TYPE3)*(TYPE3&lt;&gt;"")+('Dvd Calendar'!$Q$214=TYPE4)*(TYPE4&lt;&gt;"")+('Dvd Calendar'!$Q$214=SPECIAL_LBL)*(INC_SPECIALS="Y"))=0,"",'Dvd Calendar'!$Q$212)))</f>
        <v/>
      </c>
      <c r="P30" s="110">
        <f>IF(ER30="","",IF(ISNUMBER('Dvd Calendar'!$R$212)=FALSE,"",IF((('Dvd Calendar'!$R$214=TYPE1)*(TYPE1&lt;&gt;"")+('Dvd Calendar'!$R$214=TYPE2)*(TYPE2&lt;&gt;"")+('Dvd Calendar'!$R$214=TYPE3)*(TYPE3&lt;&gt;"")+('Dvd Calendar'!$R$214=TYPE4)*(TYPE4&lt;&gt;"")+('Dvd Calendar'!$R$214=SPECIAL_LBL)*(INC_SPECIALS="Y"))=0,"",'Dvd Calendar'!$R$212)))</f>
        <v/>
      </c>
      <c r="Q30" s="110">
        <f>IF(ES30="","",IF(ISNUMBER('Dvd Calendar'!$S$212)=FALSE,"",IF((('Dvd Calendar'!$S$214=TYPE1)*(TYPE1&lt;&gt;"")+('Dvd Calendar'!$S$214=TYPE2)*(TYPE2&lt;&gt;"")+('Dvd Calendar'!$S$214=TYPE3)*(TYPE3&lt;&gt;"")+('Dvd Calendar'!$S$214=TYPE4)*(TYPE4&lt;&gt;"")+('Dvd Calendar'!$S$214=SPECIAL_LBL)*(INC_SPECIALS="Y"))=0,"",'Dvd Calendar'!$S$212)))</f>
        <v/>
      </c>
      <c r="R30" s="110">
        <f>IF(ET30="","",IF(ISNUMBER('Dvd Calendar'!$T$212)=FALSE,"",IF((('Dvd Calendar'!$T$214=TYPE1)*(TYPE1&lt;&gt;"")+('Dvd Calendar'!$T$214=TYPE2)*(TYPE2&lt;&gt;"")+('Dvd Calendar'!$T$214=TYPE3)*(TYPE3&lt;&gt;"")+('Dvd Calendar'!$T$214=TYPE4)*(TYPE4&lt;&gt;"")+('Dvd Calendar'!$T$214=SPECIAL_LBL)*(INC_SPECIALS="Y"))=0,"",'Dvd Calendar'!$T$212)))</f>
        <v/>
      </c>
      <c r="S30" s="110">
        <f>IF(EU30="","",IF(ISNUMBER('Dvd Calendar'!$U$212)=FALSE,"",IF((('Dvd Calendar'!$U$214=TYPE1)*(TYPE1&lt;&gt;"")+('Dvd Calendar'!$U$214=TYPE2)*(TYPE2&lt;&gt;"")+('Dvd Calendar'!$U$214=TYPE3)*(TYPE3&lt;&gt;"")+('Dvd Calendar'!$U$214=TYPE4)*(TYPE4&lt;&gt;"")+('Dvd Calendar'!$U$214=SPECIAL_LBL)*(INC_SPECIALS="Y"))=0,"",'Dvd Calendar'!$U$212)))</f>
        <v/>
      </c>
      <c r="T30" s="110">
        <f>IF(EV30="","",IF(ISNUMBER('Dvd Calendar'!$V$212)=FALSE,"",IF((('Dvd Calendar'!$V$214=TYPE1)*(TYPE1&lt;&gt;"")+('Dvd Calendar'!$V$214=TYPE2)*(TYPE2&lt;&gt;"")+('Dvd Calendar'!$V$214=TYPE3)*(TYPE3&lt;&gt;"")+('Dvd Calendar'!$V$214=TYPE4)*(TYPE4&lt;&gt;"")+('Dvd Calendar'!$V$214=SPECIAL_LBL)*(INC_SPECIALS="Y"))=0,"",'Dvd Calendar'!$V$212)))</f>
        <v/>
      </c>
      <c r="U30" s="110">
        <f>IF(EW30="","",IF(ISNUMBER('Dvd Calendar'!$W$212)=FALSE,"",IF((('Dvd Calendar'!$W$214=TYPE1)*(TYPE1&lt;&gt;"")+('Dvd Calendar'!$W$214=TYPE2)*(TYPE2&lt;&gt;"")+('Dvd Calendar'!$W$214=TYPE3)*(TYPE3&lt;&gt;"")+('Dvd Calendar'!$W$214=TYPE4)*(TYPE4&lt;&gt;"")+('Dvd Calendar'!$W$214=SPECIAL_LBL)*(INC_SPECIALS="Y"))=0,"",'Dvd Calendar'!$W$212)))</f>
        <v/>
      </c>
      <c r="V30" s="110">
        <f>IF(EX30="","",IF(ISNUMBER('Dvd Calendar'!$X$212)=FALSE,"",IF((('Dvd Calendar'!$X$214=TYPE1)*(TYPE1&lt;&gt;"")+('Dvd Calendar'!$X$214=TYPE2)*(TYPE2&lt;&gt;"")+('Dvd Calendar'!$X$214=TYPE3)*(TYPE3&lt;&gt;"")+('Dvd Calendar'!$X$214=TYPE4)*(TYPE4&lt;&gt;"")+('Dvd Calendar'!$X$214=SPECIAL_LBL)*(INC_SPECIALS="Y"))=0,"",'Dvd Calendar'!$X$212)))</f>
        <v/>
      </c>
      <c r="W30" s="110">
        <f>IF(EY30="","",IF(ISNUMBER('Dvd Calendar'!$Y$212)=FALSE,"",IF((('Dvd Calendar'!$Y$214=TYPE1)*(TYPE1&lt;&gt;"")+('Dvd Calendar'!$Y$214=TYPE2)*(TYPE2&lt;&gt;"")+('Dvd Calendar'!$Y$214=TYPE3)*(TYPE3&lt;&gt;"")+('Dvd Calendar'!$Y$214=TYPE4)*(TYPE4&lt;&gt;"")+('Dvd Calendar'!$Y$214=SPECIAL_LBL)*(INC_SPECIALS="Y"))=0,"",'Dvd Calendar'!$Y$212)))</f>
        <v/>
      </c>
      <c r="X30" s="110">
        <f>IF(EZ30="","",IF(ISNUMBER('Dvd Calendar'!$Z$212)=FALSE,"",IF((('Dvd Calendar'!$Z$214=TYPE1)*(TYPE1&lt;&gt;"")+('Dvd Calendar'!$Z$214=TYPE2)*(TYPE2&lt;&gt;"")+('Dvd Calendar'!$Z$214=TYPE3)*(TYPE3&lt;&gt;"")+('Dvd Calendar'!$Z$214=TYPE4)*(TYPE4&lt;&gt;"")+('Dvd Calendar'!$Z$214=SPECIAL_LBL)*(INC_SPECIALS="Y"))=0,"",'Dvd Calendar'!$Z$212)))</f>
        <v/>
      </c>
      <c r="Y30" s="110">
        <f>IF(FA30="","",IF(ISNUMBER('Dvd Calendar'!$AA$212)=FALSE,"",IF((('Dvd Calendar'!$AA$214=TYPE1)*(TYPE1&lt;&gt;"")+('Dvd Calendar'!$AA$214=TYPE2)*(TYPE2&lt;&gt;"")+('Dvd Calendar'!$AA$214=TYPE3)*(TYPE3&lt;&gt;"")+('Dvd Calendar'!$AA$214=TYPE4)*(TYPE4&lt;&gt;"")+('Dvd Calendar'!$AA$214=SPECIAL_LBL)*(INC_SPECIALS="Y"))=0,"",'Dvd Calendar'!$AA$212)))</f>
        <v/>
      </c>
      <c r="Z30" s="110">
        <f>IF(FB30="","",IF(ISNUMBER('Dvd Calendar'!$AB$212)=FALSE,"",IF((('Dvd Calendar'!$AB$214=TYPE1)*(TYPE1&lt;&gt;"")+('Dvd Calendar'!$AB$214=TYPE2)*(TYPE2&lt;&gt;"")+('Dvd Calendar'!$AB$214=TYPE3)*(TYPE3&lt;&gt;"")+('Dvd Calendar'!$AB$214=TYPE4)*(TYPE4&lt;&gt;"")+('Dvd Calendar'!$AB$214=SPECIAL_LBL)*(INC_SPECIALS="Y"))=0,"",'Dvd Calendar'!$AB$212)))</f>
        <v/>
      </c>
      <c r="AA30" s="110">
        <f>IF(FC30="","",IF(ISNUMBER('Dvd Calendar'!$AC$212)=FALSE,"",IF((('Dvd Calendar'!$AC$214=TYPE1)*(TYPE1&lt;&gt;"")+('Dvd Calendar'!$AC$214=TYPE2)*(TYPE2&lt;&gt;"")+('Dvd Calendar'!$AC$214=TYPE3)*(TYPE3&lt;&gt;"")+('Dvd Calendar'!$AC$214=TYPE4)*(TYPE4&lt;&gt;"")+('Dvd Calendar'!$AC$214=SPECIAL_LBL)*(INC_SPECIALS="Y"))=0,"",'Dvd Calendar'!$AC$212)))</f>
        <v/>
      </c>
      <c r="AB30" s="110">
        <f>IF(FD30="","",IF(ISNUMBER('Dvd Calendar'!$AD$212)=FALSE,"",IF((('Dvd Calendar'!$AD$214=TYPE1)*(TYPE1&lt;&gt;"")+('Dvd Calendar'!$AD$214=TYPE2)*(TYPE2&lt;&gt;"")+('Dvd Calendar'!$AD$214=TYPE3)*(TYPE3&lt;&gt;"")+('Dvd Calendar'!$AD$214=TYPE4)*(TYPE4&lt;&gt;"")+('Dvd Calendar'!$AD$214=SPECIAL_LBL)*(INC_SPECIALS="Y"))=0,"",'Dvd Calendar'!$AD$212)))</f>
        <v/>
      </c>
      <c r="AC30" s="110">
        <f>IF(FE30="","",IF(ISNUMBER('Dvd Calendar'!$AE$212)=FALSE,"",IF((('Dvd Calendar'!$AE$214=TYPE1)*(TYPE1&lt;&gt;"")+('Dvd Calendar'!$AE$214=TYPE2)*(TYPE2&lt;&gt;"")+('Dvd Calendar'!$AE$214=TYPE3)*(TYPE3&lt;&gt;"")+('Dvd Calendar'!$AE$214=TYPE4)*(TYPE4&lt;&gt;"")+('Dvd Calendar'!$AE$214=SPECIAL_LBL)*(INC_SPECIALS="Y"))=0,"",'Dvd Calendar'!$AE$212)))</f>
        <v/>
      </c>
      <c r="AD30" s="110">
        <f>IF(FF30="","",IF(ISNUMBER('Dvd Calendar'!$AF$212)=FALSE,"",IF((('Dvd Calendar'!$AF$214=TYPE1)*(TYPE1&lt;&gt;"")+('Dvd Calendar'!$AF$214=TYPE2)*(TYPE2&lt;&gt;"")+('Dvd Calendar'!$AF$214=TYPE3)*(TYPE3&lt;&gt;"")+('Dvd Calendar'!$AF$214=TYPE4)*(TYPE4&lt;&gt;"")+('Dvd Calendar'!$AF$214=SPECIAL_LBL)*(INC_SPECIALS="Y"))=0,"",'Dvd Calendar'!$AF$212)))</f>
        <v/>
      </c>
      <c r="AE30" s="110">
        <f>IF(FG30="","",IF(ISNUMBER('Dvd Calendar'!$AG$212)=FALSE,"",IF((('Dvd Calendar'!$AG$214=TYPE1)*(TYPE1&lt;&gt;"")+('Dvd Calendar'!$AG$214=TYPE2)*(TYPE2&lt;&gt;"")+('Dvd Calendar'!$AG$214=TYPE3)*(TYPE3&lt;&gt;"")+('Dvd Calendar'!$AG$214=TYPE4)*(TYPE4&lt;&gt;"")+('Dvd Calendar'!$AG$214=SPECIAL_LBL)*(INC_SPECIALS="Y"))=0,"",'Dvd Calendar'!$AG$212)))</f>
        <v/>
      </c>
      <c r="AF30" s="110">
        <f>IF(FH30="","",IF(ISNUMBER('Dvd Calendar'!$AH$212)=FALSE,"",IF((('Dvd Calendar'!$AH$214=TYPE1)*(TYPE1&lt;&gt;"")+('Dvd Calendar'!$AH$214=TYPE2)*(TYPE2&lt;&gt;"")+('Dvd Calendar'!$AH$214=TYPE3)*(TYPE3&lt;&gt;"")+('Dvd Calendar'!$AH$214=TYPE4)*(TYPE4&lt;&gt;"")+('Dvd Calendar'!$AH$214=SPECIAL_LBL)*(INC_SPECIALS="Y"))=0,"",'Dvd Calendar'!$AH$212)))</f>
        <v/>
      </c>
      <c r="AG30" s="110">
        <f>IF(FI30="","",IF(ISNUMBER('Dvd Calendar'!$AI$212)=FALSE,"",IF((('Dvd Calendar'!$AI$214=TYPE1)*(TYPE1&lt;&gt;"")+('Dvd Calendar'!$AI$214=TYPE2)*(TYPE2&lt;&gt;"")+('Dvd Calendar'!$AI$214=TYPE3)*(TYPE3&lt;&gt;"")+('Dvd Calendar'!$AI$214=TYPE4)*(TYPE4&lt;&gt;"")+('Dvd Calendar'!$AI$214=SPECIAL_LBL)*(INC_SPECIALS="Y"))=0,"",'Dvd Calendar'!$AI$212)))</f>
        <v/>
      </c>
      <c r="AH30" s="110">
        <f>IF(FJ30="","",IF(ISNUMBER('Dvd Calendar'!$AJ$212)=FALSE,"",IF((('Dvd Calendar'!$AJ$214=TYPE1)*(TYPE1&lt;&gt;"")+('Dvd Calendar'!$AJ$214=TYPE2)*(TYPE2&lt;&gt;"")+('Dvd Calendar'!$AJ$214=TYPE3)*(TYPE3&lt;&gt;"")+('Dvd Calendar'!$AJ$214=TYPE4)*(TYPE4&lt;&gt;"")+('Dvd Calendar'!$AJ$214=SPECIAL_LBL)*(INC_SPECIALS="Y"))=0,"",'Dvd Calendar'!$AJ$212)))</f>
        <v/>
      </c>
      <c r="AI30" s="110">
        <f>IF(FK30="","",IF(ISNUMBER('Dvd Calendar'!$AK$212)=FALSE,"",IF((('Dvd Calendar'!$AK$214=TYPE1)*(TYPE1&lt;&gt;"")+('Dvd Calendar'!$AK$214=TYPE2)*(TYPE2&lt;&gt;"")+('Dvd Calendar'!$AK$214=TYPE3)*(TYPE3&lt;&gt;"")+('Dvd Calendar'!$AK$214=TYPE4)*(TYPE4&lt;&gt;"")+('Dvd Calendar'!$AK$214=SPECIAL_LBL)*(INC_SPECIALS="Y"))=0,"",'Dvd Calendar'!$AK$212)))</f>
        <v/>
      </c>
      <c r="AJ30" s="110">
        <f>IF(FL30="","",IF(ISNUMBER('Dvd Calendar'!$AL$212)=FALSE,"",IF((('Dvd Calendar'!$AL$214=TYPE1)*(TYPE1&lt;&gt;"")+('Dvd Calendar'!$AL$214=TYPE2)*(TYPE2&lt;&gt;"")+('Dvd Calendar'!$AL$214=TYPE3)*(TYPE3&lt;&gt;"")+('Dvd Calendar'!$AL$214=TYPE4)*(TYPE4&lt;&gt;"")+('Dvd Calendar'!$AL$214=SPECIAL_LBL)*(INC_SPECIALS="Y"))=0,"",'Dvd Calendar'!$AL$212)))</f>
        <v/>
      </c>
      <c r="AK30" s="110">
        <f>IF(FM30="","",IF(ISNUMBER('Dvd Calendar'!$AM$212)=FALSE,"",IF((('Dvd Calendar'!$AM$214=TYPE1)*(TYPE1&lt;&gt;"")+('Dvd Calendar'!$AM$214=TYPE2)*(TYPE2&lt;&gt;"")+('Dvd Calendar'!$AM$214=TYPE3)*(TYPE3&lt;&gt;"")+('Dvd Calendar'!$AM$214=TYPE4)*(TYPE4&lt;&gt;"")+('Dvd Calendar'!$AM$214=SPECIAL_LBL)*(INC_SPECIALS="Y"))=0,"",'Dvd Calendar'!$AM$212)))</f>
        <v/>
      </c>
      <c r="AL30" s="110">
        <f>IF(FN30="","",IF(ISNUMBER('Dvd Calendar'!$AN$212)=FALSE,"",IF((('Dvd Calendar'!$AN$214=TYPE1)*(TYPE1&lt;&gt;"")+('Dvd Calendar'!$AN$214=TYPE2)*(TYPE2&lt;&gt;"")+('Dvd Calendar'!$AN$214=TYPE3)*(TYPE3&lt;&gt;"")+('Dvd Calendar'!$AN$214=TYPE4)*(TYPE4&lt;&gt;"")+('Dvd Calendar'!$AN$214=SPECIAL_LBL)*(INC_SPECIALS="Y"))=0,"",'Dvd Calendar'!$AN$212)))</f>
        <v/>
      </c>
      <c r="AM30" s="110">
        <f>IF(FO30="","",IF(ISNUMBER('Dvd Calendar'!$AO$212)=FALSE,"",IF((('Dvd Calendar'!$AO$214=TYPE1)*(TYPE1&lt;&gt;"")+('Dvd Calendar'!$AO$214=TYPE2)*(TYPE2&lt;&gt;"")+('Dvd Calendar'!$AO$214=TYPE3)*(TYPE3&lt;&gt;"")+('Dvd Calendar'!$AO$214=TYPE4)*(TYPE4&lt;&gt;"")+('Dvd Calendar'!$AO$214=SPECIAL_LBL)*(INC_SPECIALS="Y"))=0,"",'Dvd Calendar'!$AO$212)))</f>
        <v/>
      </c>
      <c r="AN30" s="110">
        <f>IF(FP30="","",IF(ISNUMBER('Dvd Calendar'!$AP$212)=FALSE,"",IF((('Dvd Calendar'!$AP$214=TYPE1)*(TYPE1&lt;&gt;"")+('Dvd Calendar'!$AP$214=TYPE2)*(TYPE2&lt;&gt;"")+('Dvd Calendar'!$AP$214=TYPE3)*(TYPE3&lt;&gt;"")+('Dvd Calendar'!$AP$214=TYPE4)*(TYPE4&lt;&gt;"")+('Dvd Calendar'!$AP$214=SPECIAL_LBL)*(INC_SPECIALS="Y"))=0,"",'Dvd Calendar'!$AP$212)))</f>
        <v/>
      </c>
      <c r="AO30" s="110">
        <f>IF(FQ30="","",IF(ISNUMBER('Dvd Calendar'!$AQ$212)=FALSE,"",IF((('Dvd Calendar'!$AQ$214=TYPE1)*(TYPE1&lt;&gt;"")+('Dvd Calendar'!$AQ$214=TYPE2)*(TYPE2&lt;&gt;"")+('Dvd Calendar'!$AQ$214=TYPE3)*(TYPE3&lt;&gt;"")+('Dvd Calendar'!$AQ$214=TYPE4)*(TYPE4&lt;&gt;"")+('Dvd Calendar'!$AQ$214=SPECIAL_LBL)*(INC_SPECIALS="Y"))=0,"",'Dvd Calendar'!$AQ$212)))</f>
        <v/>
      </c>
      <c r="AP30" s="110">
        <f>IF(FR30="","",IF(ISNUMBER('Dvd Calendar'!$AR$212)=FALSE,"",IF((('Dvd Calendar'!$AR$214=TYPE1)*(TYPE1&lt;&gt;"")+('Dvd Calendar'!$AR$214=TYPE2)*(TYPE2&lt;&gt;"")+('Dvd Calendar'!$AR$214=TYPE3)*(TYPE3&lt;&gt;"")+('Dvd Calendar'!$AR$214=TYPE4)*(TYPE4&lt;&gt;"")+('Dvd Calendar'!$AR$214=SPECIAL_LBL)*(INC_SPECIALS="Y"))=0,"",'Dvd Calendar'!$AR$212)))</f>
        <v/>
      </c>
      <c r="AQ30" s="110">
        <f>IF(FS30="","",IF(ISNUMBER('Dvd Calendar'!$E$217)=FALSE,"",'Dvd Calendar'!$E$217))</f>
        <v/>
      </c>
      <c r="AR30" s="110">
        <f>IF(FT30="","",IF(ISNUMBER('Dvd Calendar'!$F$217)=FALSE,"",'Dvd Calendar'!$F$217))</f>
        <v/>
      </c>
      <c r="AS30" s="110">
        <f>IF(FU30="","",IF(ISNUMBER('Dvd Calendar'!$G$217)=FALSE,"",'Dvd Calendar'!$G$217))</f>
        <v/>
      </c>
      <c r="AT30" s="110">
        <f>IF(FV30="","",IF(ISNUMBER('Dvd Calendar'!$H$217)=FALSE,"",'Dvd Calendar'!$H$217))</f>
        <v/>
      </c>
      <c r="AU30" s="110">
        <f>IF(FW30="","",IF(ISNUMBER('Dvd Calendar'!$I$217)=FALSE,"",'Dvd Calendar'!$I$217))</f>
        <v/>
      </c>
      <c r="AV30" s="110">
        <f>IF(FX30="","",IF(ISNUMBER('Dvd Calendar'!$J$217)=FALSE,"",'Dvd Calendar'!$J$217))</f>
        <v/>
      </c>
      <c r="AW30" s="110">
        <f>IF(FY30="","",IF(ISNUMBER('Dvd Calendar'!$K$217)=FALSE,"",'Dvd Calendar'!$K$217))</f>
        <v/>
      </c>
      <c r="AX30" s="110">
        <f>IF(FZ30="","",IF(ISNUMBER('Dvd Calendar'!$L$217)=FALSE,"",'Dvd Calendar'!$L$217))</f>
        <v/>
      </c>
      <c r="AY30" s="110">
        <f>IF(GA30="","",IF(ISNUMBER('Dvd Calendar'!$M$217)=FALSE,"",'Dvd Calendar'!$M$217))</f>
        <v/>
      </c>
      <c r="AZ30" s="110">
        <f>IF(GB30="","",IF(ISNUMBER('Dvd Calendar'!$N$217)=FALSE,"",'Dvd Calendar'!$N$217))</f>
        <v/>
      </c>
      <c r="BA30" s="110">
        <f>IF(GC30="","",IF(ISNUMBER('Dvd Calendar'!$O$217)=FALSE,"",'Dvd Calendar'!$O$217))</f>
        <v/>
      </c>
      <c r="BB30" s="110">
        <f>IF(GD30="","",IF(ISNUMBER('Dvd Calendar'!$P$217)=FALSE,"",'Dvd Calendar'!$P$217))</f>
        <v/>
      </c>
      <c r="BC30" s="110">
        <f>IF(GE30="","",IF(ISNUMBER('Dvd Calendar'!$Q$217)=FALSE,"",'Dvd Calendar'!$Q$217))</f>
        <v/>
      </c>
      <c r="BD30" s="110">
        <f>IF(GF30="","",IF(ISNUMBER('Dvd Calendar'!$R$217)=FALSE,"",'Dvd Calendar'!$R$217))</f>
        <v/>
      </c>
      <c r="BE30" s="110">
        <f>IF(GG30="","",IF(ISNUMBER('Dvd Calendar'!$S$217)=FALSE,"",'Dvd Calendar'!$S$217))</f>
        <v/>
      </c>
      <c r="BF30" s="110">
        <f>IF(GH30="","",IF(ISNUMBER('Dvd Calendar'!$T$217)=FALSE,"",'Dvd Calendar'!$T$217))</f>
        <v/>
      </c>
      <c r="BG30" s="110">
        <f>IF(GI30="","",IF(ISNUMBER('Dvd Calendar'!$U$217)=FALSE,"",'Dvd Calendar'!$U$217))</f>
        <v/>
      </c>
      <c r="BH30" s="110">
        <f>IF(GJ30="","",IF(ISNUMBER('Dvd Calendar'!$V$217)=FALSE,"",'Dvd Calendar'!$V$217))</f>
        <v/>
      </c>
      <c r="BI30" s="110">
        <f>IF(GK30="","",IF(ISNUMBER('Dvd Calendar'!$W$217)=FALSE,"",'Dvd Calendar'!$W$217))</f>
        <v/>
      </c>
      <c r="BJ30" s="110">
        <f>IF(GL30="","",IF(ISNUMBER('Dvd Calendar'!$X$217)=FALSE,"",'Dvd Calendar'!$X$217))</f>
        <v/>
      </c>
      <c r="BK30" s="110">
        <f>IF(GM30="","",IF(ISNUMBER('Dvd Calendar'!$Y$217)=FALSE,"",'Dvd Calendar'!$Y$217))</f>
        <v/>
      </c>
      <c r="BL30" s="110">
        <f>IF(GN30="","",IF(ISNUMBER('Dvd Calendar'!$Z$217)=FALSE,"",'Dvd Calendar'!$Z$217))</f>
        <v/>
      </c>
      <c r="BM30" s="110">
        <f>IF(GO30="","",IF(ISNUMBER('Dvd Calendar'!$AA$217)=FALSE,"",'Dvd Calendar'!$AA$217))</f>
        <v/>
      </c>
      <c r="BN30" s="110">
        <f>IF(GP30="","",IF(ISNUMBER('Dvd Calendar'!$AB$217)=FALSE,"",'Dvd Calendar'!$AB$217))</f>
        <v/>
      </c>
      <c r="BO30" s="110">
        <f>IF(GQ30="","",IF(ISNUMBER('Dvd Calendar'!$AC$217)=FALSE,"",'Dvd Calendar'!$AC$217))</f>
        <v/>
      </c>
      <c r="BQ30" s="110">
        <f>IF(C30="","",IFERROR(C30*HSI!$B$25*HSI!$G$25/HSI!$B$3,""))</f>
        <v/>
      </c>
      <c r="BR30" s="110">
        <f>IF(D30="","",IFERROR(D30*HSI!$B$25*HSI!$G$25/HSI!$B$3,""))</f>
        <v/>
      </c>
      <c r="BS30" s="110">
        <f>IF(E30="","",IFERROR(E30*HSI!$B$25*HSI!$G$25/HSI!$B$3,""))</f>
        <v/>
      </c>
      <c r="BT30" s="110">
        <f>IF(F30="","",IFERROR(F30*HSI!$B$25*HSI!$G$25/HSI!$B$3,""))</f>
        <v/>
      </c>
      <c r="BU30" s="110">
        <f>IF(G30="","",IFERROR(G30*HSI!$B$25*HSI!$G$25/HSI!$B$3,""))</f>
        <v/>
      </c>
      <c r="BV30" s="110">
        <f>IF(H30="","",IFERROR(H30*HSI!$B$25*HSI!$G$25/HSI!$B$3,""))</f>
        <v/>
      </c>
      <c r="BW30" s="110">
        <f>IF(I30="","",IFERROR(I30*HSI!$B$25*HSI!$G$25/HSI!$B$3,""))</f>
        <v/>
      </c>
      <c r="BX30" s="110">
        <f>IF(J30="","",IFERROR(J30*HSI!$B$25*HSI!$G$25/HSI!$B$3,""))</f>
        <v/>
      </c>
      <c r="BY30" s="110">
        <f>IF(K30="","",IFERROR(K30*HSI!$B$25*HSI!$G$25/HSI!$B$3,""))</f>
        <v/>
      </c>
      <c r="BZ30" s="110">
        <f>IF(L30="","",IFERROR(L30*HSI!$B$25*HSI!$G$25/HSI!$B$3,""))</f>
        <v/>
      </c>
      <c r="CA30" s="110">
        <f>IF(M30="","",IFERROR(M30*HSI!$B$25*HSI!$G$25/HSI!$B$3,""))</f>
        <v/>
      </c>
      <c r="CB30" s="110">
        <f>IF(N30="","",IFERROR(N30*HSI!$B$25*HSI!$G$25/HSI!$B$3,""))</f>
        <v/>
      </c>
      <c r="CC30" s="110">
        <f>IF(O30="","",IFERROR(O30*HSI!$B$25*HSI!$G$25/HSI!$B$3,""))</f>
        <v/>
      </c>
      <c r="CD30" s="110">
        <f>IF(P30="","",IFERROR(P30*HSI!$B$25*HSI!$G$25/HSI!$B$3,""))</f>
        <v/>
      </c>
      <c r="CE30" s="110">
        <f>IF(Q30="","",IFERROR(Q30*HSI!$B$25*HSI!$G$25/HSI!$B$3,""))</f>
        <v/>
      </c>
      <c r="CF30" s="110">
        <f>IF(R30="","",IFERROR(R30*HSI!$B$25*HSI!$G$25/HSI!$B$3,""))</f>
        <v/>
      </c>
      <c r="CG30" s="110">
        <f>IF(S30="","",IFERROR(S30*HSI!$B$25*HSI!$G$25/HSI!$B$3,""))</f>
        <v/>
      </c>
      <c r="CH30" s="110">
        <f>IF(T30="","",IFERROR(T30*HSI!$B$25*HSI!$G$25/HSI!$B$3,""))</f>
        <v/>
      </c>
      <c r="CI30" s="110">
        <f>IF(U30="","",IFERROR(U30*HSI!$B$25*HSI!$G$25/HSI!$B$3,""))</f>
        <v/>
      </c>
      <c r="CJ30" s="110">
        <f>IF(V30="","",IFERROR(V30*HSI!$B$25*HSI!$G$25/HSI!$B$3,""))</f>
        <v/>
      </c>
      <c r="CK30" s="110">
        <f>IF(W30="","",IFERROR(W30*HSI!$B$25*HSI!$G$25/HSI!$B$3,""))</f>
        <v/>
      </c>
      <c r="CL30" s="110">
        <f>IF(X30="","",IFERROR(X30*HSI!$B$25*HSI!$G$25/HSI!$B$3,""))</f>
        <v/>
      </c>
      <c r="CM30" s="110">
        <f>IF(Y30="","",IFERROR(Y30*HSI!$B$25*HSI!$G$25/HSI!$B$3,""))</f>
        <v/>
      </c>
      <c r="CN30" s="110">
        <f>IF(Z30="","",IFERROR(Z30*HSI!$B$25*HSI!$G$25/HSI!$B$3,""))</f>
        <v/>
      </c>
      <c r="CO30" s="110">
        <f>IF(AA30="","",IFERROR(AA30*HSI!$B$25*HSI!$G$25/HSI!$B$3,""))</f>
        <v/>
      </c>
      <c r="CP30" s="110">
        <f>IF(AB30="","",IFERROR(AB30*HSI!$B$25*HSI!$G$25/HSI!$B$3,""))</f>
        <v/>
      </c>
      <c r="CQ30" s="110">
        <f>IF(AC30="","",IFERROR(AC30*HSI!$B$25*HSI!$G$25/HSI!$B$3,""))</f>
        <v/>
      </c>
      <c r="CR30" s="110">
        <f>IF(AD30="","",IFERROR(AD30*HSI!$B$25*HSI!$G$25/HSI!$B$3,""))</f>
        <v/>
      </c>
      <c r="CS30" s="110">
        <f>IF(AE30="","",IFERROR(AE30*HSI!$B$25*HSI!$G$25/HSI!$B$3,""))</f>
        <v/>
      </c>
      <c r="CT30" s="110">
        <f>IF(AF30="","",IFERROR(AF30*HSI!$B$25*HSI!$G$25/HSI!$B$3,""))</f>
        <v/>
      </c>
      <c r="CU30" s="110">
        <f>IF(AG30="","",IFERROR(AG30*HSI!$B$25*HSI!$G$25/HSI!$B$3,""))</f>
        <v/>
      </c>
      <c r="CV30" s="110">
        <f>IF(AH30="","",IFERROR(AH30*HSI!$B$25*HSI!$G$25/HSI!$B$3,""))</f>
        <v/>
      </c>
      <c r="CW30" s="110">
        <f>IF(AI30="","",IFERROR(AI30*HSI!$B$25*HSI!$G$25/HSI!$B$3,""))</f>
        <v/>
      </c>
      <c r="CX30" s="110">
        <f>IF(AJ30="","",IFERROR(AJ30*HSI!$B$25*HSI!$G$25/HSI!$B$3,""))</f>
        <v/>
      </c>
      <c r="CY30" s="110">
        <f>IF(AK30="","",IFERROR(AK30*HSI!$B$25*HSI!$G$25/HSI!$B$3,""))</f>
        <v/>
      </c>
      <c r="CZ30" s="110">
        <f>IF(AL30="","",IFERROR(AL30*HSI!$B$25*HSI!$G$25/HSI!$B$3,""))</f>
        <v/>
      </c>
      <c r="DA30" s="110">
        <f>IF(AM30="","",IFERROR(AM30*HSI!$B$25*HSI!$G$25/HSI!$B$3,""))</f>
        <v/>
      </c>
      <c r="DB30" s="110">
        <f>IF(AN30="","",IFERROR(AN30*HSI!$B$25*HSI!$G$25/HSI!$B$3,""))</f>
        <v/>
      </c>
      <c r="DC30" s="110">
        <f>IF(AO30="","",IFERROR(AO30*HSI!$B$25*HSI!$G$25/HSI!$B$3,""))</f>
        <v/>
      </c>
      <c r="DD30" s="110">
        <f>IF(AP30="","",IFERROR(AP30*HSI!$B$25*HSI!$G$25/HSI!$B$3,""))</f>
        <v/>
      </c>
      <c r="DE30" s="110">
        <f>IF(AQ30="","",IFERROR(AQ30*HSI!$B$25*HSI!$G$25/HSI!$B$3,""))</f>
        <v/>
      </c>
      <c r="DF30" s="110">
        <f>IF(AR30="","",IFERROR(AR30*HSI!$B$25*HSI!$G$25/HSI!$B$3,""))</f>
        <v/>
      </c>
      <c r="DG30" s="110">
        <f>IF(AS30="","",IFERROR(AS30*HSI!$B$25*HSI!$G$25/HSI!$B$3,""))</f>
        <v/>
      </c>
      <c r="DH30" s="110">
        <f>IF(AT30="","",IFERROR(AT30*HSI!$B$25*HSI!$G$25/HSI!$B$3,""))</f>
        <v/>
      </c>
      <c r="DI30" s="110">
        <f>IF(AU30="","",IFERROR(AU30*HSI!$B$25*HSI!$G$25/HSI!$B$3,""))</f>
        <v/>
      </c>
      <c r="DJ30" s="110">
        <f>IF(AV30="","",IFERROR(AV30*HSI!$B$25*HSI!$G$25/HSI!$B$3,""))</f>
        <v/>
      </c>
      <c r="DK30" s="110">
        <f>IF(AW30="","",IFERROR(AW30*HSI!$B$25*HSI!$G$25/HSI!$B$3,""))</f>
        <v/>
      </c>
      <c r="DL30" s="110">
        <f>IF(AX30="","",IFERROR(AX30*HSI!$B$25*HSI!$G$25/HSI!$B$3,""))</f>
        <v/>
      </c>
      <c r="DM30" s="110">
        <f>IF(AY30="","",IFERROR(AY30*HSI!$B$25*HSI!$G$25/HSI!$B$3,""))</f>
        <v/>
      </c>
      <c r="DN30" s="110">
        <f>IF(AZ30="","",IFERROR(AZ30*HSI!$B$25*HSI!$G$25/HSI!$B$3,""))</f>
        <v/>
      </c>
      <c r="DO30" s="110">
        <f>IF(BA30="","",IFERROR(BA30*HSI!$B$25*HSI!$G$25/HSI!$B$3,""))</f>
        <v/>
      </c>
      <c r="DP30" s="110">
        <f>IF(BB30="","",IFERROR(BB30*HSI!$B$25*HSI!$G$25/HSI!$B$3,""))</f>
        <v/>
      </c>
      <c r="DQ30" s="110">
        <f>IF(BC30="","",IFERROR(BC30*HSI!$B$25*HSI!$G$25/HSI!$B$3,""))</f>
        <v/>
      </c>
      <c r="DR30" s="110">
        <f>IF(BD30="","",IFERROR(BD30*HSI!$B$25*HSI!$G$25/HSI!$B$3,""))</f>
        <v/>
      </c>
      <c r="DS30" s="110">
        <f>IF(BE30="","",IFERROR(BE30*HSI!$B$25*HSI!$G$25/HSI!$B$3,""))</f>
        <v/>
      </c>
      <c r="DT30" s="110">
        <f>IF(BF30="","",IFERROR(BF30*HSI!$B$25*HSI!$G$25/HSI!$B$3,""))</f>
        <v/>
      </c>
      <c r="DU30" s="110">
        <f>IF(BG30="","",IFERROR(BG30*HSI!$B$25*HSI!$G$25/HSI!$B$3,""))</f>
        <v/>
      </c>
      <c r="DV30" s="110">
        <f>IF(BH30="","",IFERROR(BH30*HSI!$B$25*HSI!$G$25/HSI!$B$3,""))</f>
        <v/>
      </c>
      <c r="DW30" s="110">
        <f>IF(BI30="","",IFERROR(BI30*HSI!$B$25*HSI!$G$25/HSI!$B$3,""))</f>
        <v/>
      </c>
      <c r="DX30" s="110">
        <f>IF(BJ30="","",IFERROR(BJ30*HSI!$B$25*HSI!$G$25/HSI!$B$3,""))</f>
        <v/>
      </c>
      <c r="DY30" s="110">
        <f>IF(BK30="","",IFERROR(BK30*HSI!$B$25*HSI!$G$25/HSI!$B$3,""))</f>
        <v/>
      </c>
      <c r="DZ30" s="110">
        <f>IF(BL30="","",IFERROR(BL30*HSI!$B$25*HSI!$G$25/HSI!$B$3,""))</f>
        <v/>
      </c>
      <c r="EA30" s="110">
        <f>IF(BM30="","",IFERROR(BM30*HSI!$B$25*HSI!$G$25/HSI!$B$3,""))</f>
        <v/>
      </c>
      <c r="EB30" s="110">
        <f>IF(BN30="","",IFERROR(BN30*HSI!$B$25*HSI!$G$25/HSI!$B$3,""))</f>
        <v/>
      </c>
      <c r="EC30" s="110">
        <f>IF(BO30="","",IFERROR(BO30*HSI!$B$25*HSI!$G$25/HSI!$B$3,""))</f>
        <v/>
      </c>
      <c r="EE30" s="39">
        <f>IF(N('Dvd Calendar'!$E$209)=0,"",IF(('Dvd Calendar'!$E$209&gt;=GRID_FROM)*('Dvd Calendar'!$E$209&lt;=GRID_TO)*((('Dvd Calendar'!$E$209&lt;=VAL_DATE)+(COUNTIF('Dvd Calendar'!$E$216:$AR$216,'Dvd Calendar'!$E$209)=0))&gt;0)=0,"",'Dvd Calendar'!$E$209*1000000000+ISNUMBER('Dvd Calendar'!$E$212)*100000000+('Dvd Calendar'!$E$214=SPECIAL_LBL)*10000000+(N('Dvd Calendar'!$E$208)&gt;0)*(N('Dvd Calendar'!$E$208)&lt;=VAL_SERIAL)*1000000+19*1000+1))</f>
        <v/>
      </c>
      <c r="EF30" s="39">
        <f>IF(N('Dvd Calendar'!$F$209)=0,"",IF(('Dvd Calendar'!$F$209&gt;=GRID_FROM)*('Dvd Calendar'!$F$209&lt;=GRID_TO)*((('Dvd Calendar'!$F$209&lt;=VAL_DATE)+(COUNTIF('Dvd Calendar'!$E$216:$AR$216,'Dvd Calendar'!$F$209)=0))&gt;0)=0,"",'Dvd Calendar'!$F$209*1000000000+ISNUMBER('Dvd Calendar'!$F$212)*100000000+('Dvd Calendar'!$F$214=SPECIAL_LBL)*10000000+(N('Dvd Calendar'!$F$208)&gt;0)*(N('Dvd Calendar'!$F$208)&lt;=VAL_SERIAL)*1000000+19*1000+2))</f>
        <v/>
      </c>
      <c r="EG30" s="39">
        <f>IF(N('Dvd Calendar'!$G$209)=0,"",IF(('Dvd Calendar'!$G$209&gt;=GRID_FROM)*('Dvd Calendar'!$G$209&lt;=GRID_TO)*((('Dvd Calendar'!$G$209&lt;=VAL_DATE)+(COUNTIF('Dvd Calendar'!$E$216:$AR$216,'Dvd Calendar'!$G$209)=0))&gt;0)=0,"",'Dvd Calendar'!$G$209*1000000000+ISNUMBER('Dvd Calendar'!$G$212)*100000000+('Dvd Calendar'!$G$214=SPECIAL_LBL)*10000000+(N('Dvd Calendar'!$G$208)&gt;0)*(N('Dvd Calendar'!$G$208)&lt;=VAL_SERIAL)*1000000+19*1000+3))</f>
        <v/>
      </c>
      <c r="EH30" s="39">
        <f>IF(N('Dvd Calendar'!$H$209)=0,"",IF(('Dvd Calendar'!$H$209&gt;=GRID_FROM)*('Dvd Calendar'!$H$209&lt;=GRID_TO)*((('Dvd Calendar'!$H$209&lt;=VAL_DATE)+(COUNTIF('Dvd Calendar'!$E$216:$AR$216,'Dvd Calendar'!$H$209)=0))&gt;0)=0,"",'Dvd Calendar'!$H$209*1000000000+ISNUMBER('Dvd Calendar'!$H$212)*100000000+('Dvd Calendar'!$H$214=SPECIAL_LBL)*10000000+(N('Dvd Calendar'!$H$208)&gt;0)*(N('Dvd Calendar'!$H$208)&lt;=VAL_SERIAL)*1000000+19*1000+4))</f>
        <v/>
      </c>
      <c r="EI30" s="39">
        <f>IF(N('Dvd Calendar'!$I$209)=0,"",IF(('Dvd Calendar'!$I$209&gt;=GRID_FROM)*('Dvd Calendar'!$I$209&lt;=GRID_TO)*((('Dvd Calendar'!$I$209&lt;=VAL_DATE)+(COUNTIF('Dvd Calendar'!$E$216:$AR$216,'Dvd Calendar'!$I$209)=0))&gt;0)=0,"",'Dvd Calendar'!$I$209*1000000000+ISNUMBER('Dvd Calendar'!$I$212)*100000000+('Dvd Calendar'!$I$214=SPECIAL_LBL)*10000000+(N('Dvd Calendar'!$I$208)&gt;0)*(N('Dvd Calendar'!$I$208)&lt;=VAL_SERIAL)*1000000+19*1000+5))</f>
        <v/>
      </c>
      <c r="EJ30" s="39">
        <f>IF(N('Dvd Calendar'!$J$209)=0,"",IF(('Dvd Calendar'!$J$209&gt;=GRID_FROM)*('Dvd Calendar'!$J$209&lt;=GRID_TO)*((('Dvd Calendar'!$J$209&lt;=VAL_DATE)+(COUNTIF('Dvd Calendar'!$E$216:$AR$216,'Dvd Calendar'!$J$209)=0))&gt;0)=0,"",'Dvd Calendar'!$J$209*1000000000+ISNUMBER('Dvd Calendar'!$J$212)*100000000+('Dvd Calendar'!$J$214=SPECIAL_LBL)*10000000+(N('Dvd Calendar'!$J$208)&gt;0)*(N('Dvd Calendar'!$J$208)&lt;=VAL_SERIAL)*1000000+19*1000+6))</f>
        <v/>
      </c>
      <c r="EK30" s="39">
        <f>IF(N('Dvd Calendar'!$K$209)=0,"",IF(('Dvd Calendar'!$K$209&gt;=GRID_FROM)*('Dvd Calendar'!$K$209&lt;=GRID_TO)*((('Dvd Calendar'!$K$209&lt;=VAL_DATE)+(COUNTIF('Dvd Calendar'!$E$216:$AR$216,'Dvd Calendar'!$K$209)=0))&gt;0)=0,"",'Dvd Calendar'!$K$209*1000000000+ISNUMBER('Dvd Calendar'!$K$212)*100000000+('Dvd Calendar'!$K$214=SPECIAL_LBL)*10000000+(N('Dvd Calendar'!$K$208)&gt;0)*(N('Dvd Calendar'!$K$208)&lt;=VAL_SERIAL)*1000000+19*1000+7))</f>
        <v/>
      </c>
      <c r="EL30" s="39">
        <f>IF(N('Dvd Calendar'!$L$209)=0,"",IF(('Dvd Calendar'!$L$209&gt;=GRID_FROM)*('Dvd Calendar'!$L$209&lt;=GRID_TO)*((('Dvd Calendar'!$L$209&lt;=VAL_DATE)+(COUNTIF('Dvd Calendar'!$E$216:$AR$216,'Dvd Calendar'!$L$209)=0))&gt;0)=0,"",'Dvd Calendar'!$L$209*1000000000+ISNUMBER('Dvd Calendar'!$L$212)*100000000+('Dvd Calendar'!$L$214=SPECIAL_LBL)*10000000+(N('Dvd Calendar'!$L$208)&gt;0)*(N('Dvd Calendar'!$L$208)&lt;=VAL_SERIAL)*1000000+19*1000+8))</f>
        <v/>
      </c>
      <c r="EM30" s="39">
        <f>IF(N('Dvd Calendar'!$M$209)=0,"",IF(('Dvd Calendar'!$M$209&gt;=GRID_FROM)*('Dvd Calendar'!$M$209&lt;=GRID_TO)*((('Dvd Calendar'!$M$209&lt;=VAL_DATE)+(COUNTIF('Dvd Calendar'!$E$216:$AR$216,'Dvd Calendar'!$M$209)=0))&gt;0)=0,"",'Dvd Calendar'!$M$209*1000000000+ISNUMBER('Dvd Calendar'!$M$212)*100000000+('Dvd Calendar'!$M$214=SPECIAL_LBL)*10000000+(N('Dvd Calendar'!$M$208)&gt;0)*(N('Dvd Calendar'!$M$208)&lt;=VAL_SERIAL)*1000000+19*1000+9))</f>
        <v/>
      </c>
      <c r="EN30" s="39">
        <f>IF(N('Dvd Calendar'!$N$209)=0,"",IF(('Dvd Calendar'!$N$209&gt;=GRID_FROM)*('Dvd Calendar'!$N$209&lt;=GRID_TO)*((('Dvd Calendar'!$N$209&lt;=VAL_DATE)+(COUNTIF('Dvd Calendar'!$E$216:$AR$216,'Dvd Calendar'!$N$209)=0))&gt;0)=0,"",'Dvd Calendar'!$N$209*1000000000+ISNUMBER('Dvd Calendar'!$N$212)*100000000+('Dvd Calendar'!$N$214=SPECIAL_LBL)*10000000+(N('Dvd Calendar'!$N$208)&gt;0)*(N('Dvd Calendar'!$N$208)&lt;=VAL_SERIAL)*1000000+19*1000+10))</f>
        <v/>
      </c>
      <c r="EO30" s="39">
        <f>IF(N('Dvd Calendar'!$O$209)=0,"",IF(('Dvd Calendar'!$O$209&gt;=GRID_FROM)*('Dvd Calendar'!$O$209&lt;=GRID_TO)*((('Dvd Calendar'!$O$209&lt;=VAL_DATE)+(COUNTIF('Dvd Calendar'!$E$216:$AR$216,'Dvd Calendar'!$O$209)=0))&gt;0)=0,"",'Dvd Calendar'!$O$209*1000000000+ISNUMBER('Dvd Calendar'!$O$212)*100000000+('Dvd Calendar'!$O$214=SPECIAL_LBL)*10000000+(N('Dvd Calendar'!$O$208)&gt;0)*(N('Dvd Calendar'!$O$208)&lt;=VAL_SERIAL)*1000000+19*1000+11))</f>
        <v/>
      </c>
      <c r="EP30" s="39">
        <f>IF(N('Dvd Calendar'!$P$209)=0,"",IF(('Dvd Calendar'!$P$209&gt;=GRID_FROM)*('Dvd Calendar'!$P$209&lt;=GRID_TO)*((('Dvd Calendar'!$P$209&lt;=VAL_DATE)+(COUNTIF('Dvd Calendar'!$E$216:$AR$216,'Dvd Calendar'!$P$209)=0))&gt;0)=0,"",'Dvd Calendar'!$P$209*1000000000+ISNUMBER('Dvd Calendar'!$P$212)*100000000+('Dvd Calendar'!$P$214=SPECIAL_LBL)*10000000+(N('Dvd Calendar'!$P$208)&gt;0)*(N('Dvd Calendar'!$P$208)&lt;=VAL_SERIAL)*1000000+19*1000+12))</f>
        <v/>
      </c>
      <c r="EQ30" s="39">
        <f>IF(N('Dvd Calendar'!$Q$209)=0,"",IF(('Dvd Calendar'!$Q$209&gt;=GRID_FROM)*('Dvd Calendar'!$Q$209&lt;=GRID_TO)*((('Dvd Calendar'!$Q$209&lt;=VAL_DATE)+(COUNTIF('Dvd Calendar'!$E$216:$AR$216,'Dvd Calendar'!$Q$209)=0))&gt;0)=0,"",'Dvd Calendar'!$Q$209*1000000000+ISNUMBER('Dvd Calendar'!$Q$212)*100000000+('Dvd Calendar'!$Q$214=SPECIAL_LBL)*10000000+(N('Dvd Calendar'!$Q$208)&gt;0)*(N('Dvd Calendar'!$Q$208)&lt;=VAL_SERIAL)*1000000+19*1000+13))</f>
        <v/>
      </c>
      <c r="ER30" s="39">
        <f>IF(N('Dvd Calendar'!$R$209)=0,"",IF(('Dvd Calendar'!$R$209&gt;=GRID_FROM)*('Dvd Calendar'!$R$209&lt;=GRID_TO)*((('Dvd Calendar'!$R$209&lt;=VAL_DATE)+(COUNTIF('Dvd Calendar'!$E$216:$AR$216,'Dvd Calendar'!$R$209)=0))&gt;0)=0,"",'Dvd Calendar'!$R$209*1000000000+ISNUMBER('Dvd Calendar'!$R$212)*100000000+('Dvd Calendar'!$R$214=SPECIAL_LBL)*10000000+(N('Dvd Calendar'!$R$208)&gt;0)*(N('Dvd Calendar'!$R$208)&lt;=VAL_SERIAL)*1000000+19*1000+14))</f>
        <v/>
      </c>
      <c r="ES30" s="39">
        <f>IF(N('Dvd Calendar'!$S$209)=0,"",IF(('Dvd Calendar'!$S$209&gt;=GRID_FROM)*('Dvd Calendar'!$S$209&lt;=GRID_TO)*((('Dvd Calendar'!$S$209&lt;=VAL_DATE)+(COUNTIF('Dvd Calendar'!$E$216:$AR$216,'Dvd Calendar'!$S$209)=0))&gt;0)=0,"",'Dvd Calendar'!$S$209*1000000000+ISNUMBER('Dvd Calendar'!$S$212)*100000000+('Dvd Calendar'!$S$214=SPECIAL_LBL)*10000000+(N('Dvd Calendar'!$S$208)&gt;0)*(N('Dvd Calendar'!$S$208)&lt;=VAL_SERIAL)*1000000+19*1000+15))</f>
        <v/>
      </c>
      <c r="ET30" s="39">
        <f>IF(N('Dvd Calendar'!$T$209)=0,"",IF(('Dvd Calendar'!$T$209&gt;=GRID_FROM)*('Dvd Calendar'!$T$209&lt;=GRID_TO)*((('Dvd Calendar'!$T$209&lt;=VAL_DATE)+(COUNTIF('Dvd Calendar'!$E$216:$AR$216,'Dvd Calendar'!$T$209)=0))&gt;0)=0,"",'Dvd Calendar'!$T$209*1000000000+ISNUMBER('Dvd Calendar'!$T$212)*100000000+('Dvd Calendar'!$T$214=SPECIAL_LBL)*10000000+(N('Dvd Calendar'!$T$208)&gt;0)*(N('Dvd Calendar'!$T$208)&lt;=VAL_SERIAL)*1000000+19*1000+16))</f>
        <v/>
      </c>
      <c r="EU30" s="39">
        <f>IF(N('Dvd Calendar'!$U$209)=0,"",IF(('Dvd Calendar'!$U$209&gt;=GRID_FROM)*('Dvd Calendar'!$U$209&lt;=GRID_TO)*((('Dvd Calendar'!$U$209&lt;=VAL_DATE)+(COUNTIF('Dvd Calendar'!$E$216:$AR$216,'Dvd Calendar'!$U$209)=0))&gt;0)=0,"",'Dvd Calendar'!$U$209*1000000000+ISNUMBER('Dvd Calendar'!$U$212)*100000000+('Dvd Calendar'!$U$214=SPECIAL_LBL)*10000000+(N('Dvd Calendar'!$U$208)&gt;0)*(N('Dvd Calendar'!$U$208)&lt;=VAL_SERIAL)*1000000+19*1000+17))</f>
        <v/>
      </c>
      <c r="EV30" s="39">
        <f>IF(N('Dvd Calendar'!$V$209)=0,"",IF(('Dvd Calendar'!$V$209&gt;=GRID_FROM)*('Dvd Calendar'!$V$209&lt;=GRID_TO)*((('Dvd Calendar'!$V$209&lt;=VAL_DATE)+(COUNTIF('Dvd Calendar'!$E$216:$AR$216,'Dvd Calendar'!$V$209)=0))&gt;0)=0,"",'Dvd Calendar'!$V$209*1000000000+ISNUMBER('Dvd Calendar'!$V$212)*100000000+('Dvd Calendar'!$V$214=SPECIAL_LBL)*10000000+(N('Dvd Calendar'!$V$208)&gt;0)*(N('Dvd Calendar'!$V$208)&lt;=VAL_SERIAL)*1000000+19*1000+18))</f>
        <v/>
      </c>
      <c r="EW30" s="39">
        <f>IF(N('Dvd Calendar'!$W$209)=0,"",IF(('Dvd Calendar'!$W$209&gt;=GRID_FROM)*('Dvd Calendar'!$W$209&lt;=GRID_TO)*((('Dvd Calendar'!$W$209&lt;=VAL_DATE)+(COUNTIF('Dvd Calendar'!$E$216:$AR$216,'Dvd Calendar'!$W$209)=0))&gt;0)=0,"",'Dvd Calendar'!$W$209*1000000000+ISNUMBER('Dvd Calendar'!$W$212)*100000000+('Dvd Calendar'!$W$214=SPECIAL_LBL)*10000000+(N('Dvd Calendar'!$W$208)&gt;0)*(N('Dvd Calendar'!$W$208)&lt;=VAL_SERIAL)*1000000+19*1000+19))</f>
        <v/>
      </c>
      <c r="EX30" s="39">
        <f>IF(N('Dvd Calendar'!$X$209)=0,"",IF(('Dvd Calendar'!$X$209&gt;=GRID_FROM)*('Dvd Calendar'!$X$209&lt;=GRID_TO)*((('Dvd Calendar'!$X$209&lt;=VAL_DATE)+(COUNTIF('Dvd Calendar'!$E$216:$AR$216,'Dvd Calendar'!$X$209)=0))&gt;0)=0,"",'Dvd Calendar'!$X$209*1000000000+ISNUMBER('Dvd Calendar'!$X$212)*100000000+('Dvd Calendar'!$X$214=SPECIAL_LBL)*10000000+(N('Dvd Calendar'!$X$208)&gt;0)*(N('Dvd Calendar'!$X$208)&lt;=VAL_SERIAL)*1000000+19*1000+20))</f>
        <v/>
      </c>
      <c r="EY30" s="39">
        <f>IF(N('Dvd Calendar'!$Y$209)=0,"",IF(('Dvd Calendar'!$Y$209&gt;=GRID_FROM)*('Dvd Calendar'!$Y$209&lt;=GRID_TO)*((('Dvd Calendar'!$Y$209&lt;=VAL_DATE)+(COUNTIF('Dvd Calendar'!$E$216:$AR$216,'Dvd Calendar'!$Y$209)=0))&gt;0)=0,"",'Dvd Calendar'!$Y$209*1000000000+ISNUMBER('Dvd Calendar'!$Y$212)*100000000+('Dvd Calendar'!$Y$214=SPECIAL_LBL)*10000000+(N('Dvd Calendar'!$Y$208)&gt;0)*(N('Dvd Calendar'!$Y$208)&lt;=VAL_SERIAL)*1000000+19*1000+21))</f>
        <v/>
      </c>
      <c r="EZ30" s="39">
        <f>IF(N('Dvd Calendar'!$Z$209)=0,"",IF(('Dvd Calendar'!$Z$209&gt;=GRID_FROM)*('Dvd Calendar'!$Z$209&lt;=GRID_TO)*((('Dvd Calendar'!$Z$209&lt;=VAL_DATE)+(COUNTIF('Dvd Calendar'!$E$216:$AR$216,'Dvd Calendar'!$Z$209)=0))&gt;0)=0,"",'Dvd Calendar'!$Z$209*1000000000+ISNUMBER('Dvd Calendar'!$Z$212)*100000000+('Dvd Calendar'!$Z$214=SPECIAL_LBL)*10000000+(N('Dvd Calendar'!$Z$208)&gt;0)*(N('Dvd Calendar'!$Z$208)&lt;=VAL_SERIAL)*1000000+19*1000+22))</f>
        <v/>
      </c>
      <c r="FA30" s="39">
        <f>IF(N('Dvd Calendar'!$AA$209)=0,"",IF(('Dvd Calendar'!$AA$209&gt;=GRID_FROM)*('Dvd Calendar'!$AA$209&lt;=GRID_TO)*((('Dvd Calendar'!$AA$209&lt;=VAL_DATE)+(COUNTIF('Dvd Calendar'!$E$216:$AR$216,'Dvd Calendar'!$AA$209)=0))&gt;0)=0,"",'Dvd Calendar'!$AA$209*1000000000+ISNUMBER('Dvd Calendar'!$AA$212)*100000000+('Dvd Calendar'!$AA$214=SPECIAL_LBL)*10000000+(N('Dvd Calendar'!$AA$208)&gt;0)*(N('Dvd Calendar'!$AA$208)&lt;=VAL_SERIAL)*1000000+19*1000+23))</f>
        <v/>
      </c>
      <c r="FB30" s="39">
        <f>IF(N('Dvd Calendar'!$AB$209)=0,"",IF(('Dvd Calendar'!$AB$209&gt;=GRID_FROM)*('Dvd Calendar'!$AB$209&lt;=GRID_TO)*((('Dvd Calendar'!$AB$209&lt;=VAL_DATE)+(COUNTIF('Dvd Calendar'!$E$216:$AR$216,'Dvd Calendar'!$AB$209)=0))&gt;0)=0,"",'Dvd Calendar'!$AB$209*1000000000+ISNUMBER('Dvd Calendar'!$AB$212)*100000000+('Dvd Calendar'!$AB$214=SPECIAL_LBL)*10000000+(N('Dvd Calendar'!$AB$208)&gt;0)*(N('Dvd Calendar'!$AB$208)&lt;=VAL_SERIAL)*1000000+19*1000+24))</f>
        <v/>
      </c>
      <c r="FC30" s="39">
        <f>IF(N('Dvd Calendar'!$AC$209)=0,"",IF(('Dvd Calendar'!$AC$209&gt;=GRID_FROM)*('Dvd Calendar'!$AC$209&lt;=GRID_TO)*((('Dvd Calendar'!$AC$209&lt;=VAL_DATE)+(COUNTIF('Dvd Calendar'!$E$216:$AR$216,'Dvd Calendar'!$AC$209)=0))&gt;0)=0,"",'Dvd Calendar'!$AC$209*1000000000+ISNUMBER('Dvd Calendar'!$AC$212)*100000000+('Dvd Calendar'!$AC$214=SPECIAL_LBL)*10000000+(N('Dvd Calendar'!$AC$208)&gt;0)*(N('Dvd Calendar'!$AC$208)&lt;=VAL_SERIAL)*1000000+19*1000+25))</f>
        <v/>
      </c>
      <c r="FD30" s="39">
        <f>IF(N('Dvd Calendar'!$AD$209)=0,"",IF(('Dvd Calendar'!$AD$209&gt;=GRID_FROM)*('Dvd Calendar'!$AD$209&lt;=GRID_TO)*((('Dvd Calendar'!$AD$209&lt;=VAL_DATE)+(COUNTIF('Dvd Calendar'!$E$216:$AR$216,'Dvd Calendar'!$AD$209)=0))&gt;0)=0,"",'Dvd Calendar'!$AD$209*1000000000+ISNUMBER('Dvd Calendar'!$AD$212)*100000000+('Dvd Calendar'!$AD$214=SPECIAL_LBL)*10000000+(N('Dvd Calendar'!$AD$208)&gt;0)*(N('Dvd Calendar'!$AD$208)&lt;=VAL_SERIAL)*1000000+19*1000+26))</f>
        <v/>
      </c>
      <c r="FE30" s="39">
        <f>IF(N('Dvd Calendar'!$AE$209)=0,"",IF(('Dvd Calendar'!$AE$209&gt;=GRID_FROM)*('Dvd Calendar'!$AE$209&lt;=GRID_TO)*((('Dvd Calendar'!$AE$209&lt;=VAL_DATE)+(COUNTIF('Dvd Calendar'!$E$216:$AR$216,'Dvd Calendar'!$AE$209)=0))&gt;0)=0,"",'Dvd Calendar'!$AE$209*1000000000+ISNUMBER('Dvd Calendar'!$AE$212)*100000000+('Dvd Calendar'!$AE$214=SPECIAL_LBL)*10000000+(N('Dvd Calendar'!$AE$208)&gt;0)*(N('Dvd Calendar'!$AE$208)&lt;=VAL_SERIAL)*1000000+19*1000+27))</f>
        <v/>
      </c>
      <c r="FF30" s="39">
        <f>IF(N('Dvd Calendar'!$AF$209)=0,"",IF(('Dvd Calendar'!$AF$209&gt;=GRID_FROM)*('Dvd Calendar'!$AF$209&lt;=GRID_TO)*((('Dvd Calendar'!$AF$209&lt;=VAL_DATE)+(COUNTIF('Dvd Calendar'!$E$216:$AR$216,'Dvd Calendar'!$AF$209)=0))&gt;0)=0,"",'Dvd Calendar'!$AF$209*1000000000+ISNUMBER('Dvd Calendar'!$AF$212)*100000000+('Dvd Calendar'!$AF$214=SPECIAL_LBL)*10000000+(N('Dvd Calendar'!$AF$208)&gt;0)*(N('Dvd Calendar'!$AF$208)&lt;=VAL_SERIAL)*1000000+19*1000+28))</f>
        <v/>
      </c>
      <c r="FG30" s="39">
        <f>IF(N('Dvd Calendar'!$AG$209)=0,"",IF(('Dvd Calendar'!$AG$209&gt;=GRID_FROM)*('Dvd Calendar'!$AG$209&lt;=GRID_TO)*((('Dvd Calendar'!$AG$209&lt;=VAL_DATE)+(COUNTIF('Dvd Calendar'!$E$216:$AR$216,'Dvd Calendar'!$AG$209)=0))&gt;0)=0,"",'Dvd Calendar'!$AG$209*1000000000+ISNUMBER('Dvd Calendar'!$AG$212)*100000000+('Dvd Calendar'!$AG$214=SPECIAL_LBL)*10000000+(N('Dvd Calendar'!$AG$208)&gt;0)*(N('Dvd Calendar'!$AG$208)&lt;=VAL_SERIAL)*1000000+19*1000+29))</f>
        <v/>
      </c>
      <c r="FH30" s="39">
        <f>IF(N('Dvd Calendar'!$AH$209)=0,"",IF(('Dvd Calendar'!$AH$209&gt;=GRID_FROM)*('Dvd Calendar'!$AH$209&lt;=GRID_TO)*((('Dvd Calendar'!$AH$209&lt;=VAL_DATE)+(COUNTIF('Dvd Calendar'!$E$216:$AR$216,'Dvd Calendar'!$AH$209)=0))&gt;0)=0,"",'Dvd Calendar'!$AH$209*1000000000+ISNUMBER('Dvd Calendar'!$AH$212)*100000000+('Dvd Calendar'!$AH$214=SPECIAL_LBL)*10000000+(N('Dvd Calendar'!$AH$208)&gt;0)*(N('Dvd Calendar'!$AH$208)&lt;=VAL_SERIAL)*1000000+19*1000+30))</f>
        <v/>
      </c>
      <c r="FI30" s="39">
        <f>IF(N('Dvd Calendar'!$AI$209)=0,"",IF(('Dvd Calendar'!$AI$209&gt;=GRID_FROM)*('Dvd Calendar'!$AI$209&lt;=GRID_TO)*((('Dvd Calendar'!$AI$209&lt;=VAL_DATE)+(COUNTIF('Dvd Calendar'!$E$216:$AR$216,'Dvd Calendar'!$AI$209)=0))&gt;0)=0,"",'Dvd Calendar'!$AI$209*1000000000+ISNUMBER('Dvd Calendar'!$AI$212)*100000000+('Dvd Calendar'!$AI$214=SPECIAL_LBL)*10000000+(N('Dvd Calendar'!$AI$208)&gt;0)*(N('Dvd Calendar'!$AI$208)&lt;=VAL_SERIAL)*1000000+19*1000+31))</f>
        <v/>
      </c>
      <c r="FJ30" s="39">
        <f>IF(N('Dvd Calendar'!$AJ$209)=0,"",IF(('Dvd Calendar'!$AJ$209&gt;=GRID_FROM)*('Dvd Calendar'!$AJ$209&lt;=GRID_TO)*((('Dvd Calendar'!$AJ$209&lt;=VAL_DATE)+(COUNTIF('Dvd Calendar'!$E$216:$AR$216,'Dvd Calendar'!$AJ$209)=0))&gt;0)=0,"",'Dvd Calendar'!$AJ$209*1000000000+ISNUMBER('Dvd Calendar'!$AJ$212)*100000000+('Dvd Calendar'!$AJ$214=SPECIAL_LBL)*10000000+(N('Dvd Calendar'!$AJ$208)&gt;0)*(N('Dvd Calendar'!$AJ$208)&lt;=VAL_SERIAL)*1000000+19*1000+32))</f>
        <v/>
      </c>
      <c r="FK30" s="39">
        <f>IF(N('Dvd Calendar'!$AK$209)=0,"",IF(('Dvd Calendar'!$AK$209&gt;=GRID_FROM)*('Dvd Calendar'!$AK$209&lt;=GRID_TO)*((('Dvd Calendar'!$AK$209&lt;=VAL_DATE)+(COUNTIF('Dvd Calendar'!$E$216:$AR$216,'Dvd Calendar'!$AK$209)=0))&gt;0)=0,"",'Dvd Calendar'!$AK$209*1000000000+ISNUMBER('Dvd Calendar'!$AK$212)*100000000+('Dvd Calendar'!$AK$214=SPECIAL_LBL)*10000000+(N('Dvd Calendar'!$AK$208)&gt;0)*(N('Dvd Calendar'!$AK$208)&lt;=VAL_SERIAL)*1000000+19*1000+33))</f>
        <v/>
      </c>
      <c r="FL30" s="39">
        <f>IF(N('Dvd Calendar'!$AL$209)=0,"",IF(('Dvd Calendar'!$AL$209&gt;=GRID_FROM)*('Dvd Calendar'!$AL$209&lt;=GRID_TO)*((('Dvd Calendar'!$AL$209&lt;=VAL_DATE)+(COUNTIF('Dvd Calendar'!$E$216:$AR$216,'Dvd Calendar'!$AL$209)=0))&gt;0)=0,"",'Dvd Calendar'!$AL$209*1000000000+ISNUMBER('Dvd Calendar'!$AL$212)*100000000+('Dvd Calendar'!$AL$214=SPECIAL_LBL)*10000000+(N('Dvd Calendar'!$AL$208)&gt;0)*(N('Dvd Calendar'!$AL$208)&lt;=VAL_SERIAL)*1000000+19*1000+34))</f>
        <v/>
      </c>
      <c r="FM30" s="39">
        <f>IF(N('Dvd Calendar'!$AM$209)=0,"",IF(('Dvd Calendar'!$AM$209&gt;=GRID_FROM)*('Dvd Calendar'!$AM$209&lt;=GRID_TO)*((('Dvd Calendar'!$AM$209&lt;=VAL_DATE)+(COUNTIF('Dvd Calendar'!$E$216:$AR$216,'Dvd Calendar'!$AM$209)=0))&gt;0)=0,"",'Dvd Calendar'!$AM$209*1000000000+ISNUMBER('Dvd Calendar'!$AM$212)*100000000+('Dvd Calendar'!$AM$214=SPECIAL_LBL)*10000000+(N('Dvd Calendar'!$AM$208)&gt;0)*(N('Dvd Calendar'!$AM$208)&lt;=VAL_SERIAL)*1000000+19*1000+35))</f>
        <v/>
      </c>
      <c r="FN30" s="39">
        <f>IF(N('Dvd Calendar'!$AN$209)=0,"",IF(('Dvd Calendar'!$AN$209&gt;=GRID_FROM)*('Dvd Calendar'!$AN$209&lt;=GRID_TO)*((('Dvd Calendar'!$AN$209&lt;=VAL_DATE)+(COUNTIF('Dvd Calendar'!$E$216:$AR$216,'Dvd Calendar'!$AN$209)=0))&gt;0)=0,"",'Dvd Calendar'!$AN$209*1000000000+ISNUMBER('Dvd Calendar'!$AN$212)*100000000+('Dvd Calendar'!$AN$214=SPECIAL_LBL)*10000000+(N('Dvd Calendar'!$AN$208)&gt;0)*(N('Dvd Calendar'!$AN$208)&lt;=VAL_SERIAL)*1000000+19*1000+36))</f>
        <v/>
      </c>
      <c r="FO30" s="39">
        <f>IF(N('Dvd Calendar'!$AO$209)=0,"",IF(('Dvd Calendar'!$AO$209&gt;=GRID_FROM)*('Dvd Calendar'!$AO$209&lt;=GRID_TO)*((('Dvd Calendar'!$AO$209&lt;=VAL_DATE)+(COUNTIF('Dvd Calendar'!$E$216:$AR$216,'Dvd Calendar'!$AO$209)=0))&gt;0)=0,"",'Dvd Calendar'!$AO$209*1000000000+ISNUMBER('Dvd Calendar'!$AO$212)*100000000+('Dvd Calendar'!$AO$214=SPECIAL_LBL)*10000000+(N('Dvd Calendar'!$AO$208)&gt;0)*(N('Dvd Calendar'!$AO$208)&lt;=VAL_SERIAL)*1000000+19*1000+37))</f>
        <v/>
      </c>
      <c r="FP30" s="39">
        <f>IF(N('Dvd Calendar'!$AP$209)=0,"",IF(('Dvd Calendar'!$AP$209&gt;=GRID_FROM)*('Dvd Calendar'!$AP$209&lt;=GRID_TO)*((('Dvd Calendar'!$AP$209&lt;=VAL_DATE)+(COUNTIF('Dvd Calendar'!$E$216:$AR$216,'Dvd Calendar'!$AP$209)=0))&gt;0)=0,"",'Dvd Calendar'!$AP$209*1000000000+ISNUMBER('Dvd Calendar'!$AP$212)*100000000+('Dvd Calendar'!$AP$214=SPECIAL_LBL)*10000000+(N('Dvd Calendar'!$AP$208)&gt;0)*(N('Dvd Calendar'!$AP$208)&lt;=VAL_SERIAL)*1000000+19*1000+38))</f>
        <v/>
      </c>
      <c r="FQ30" s="39">
        <f>IF(N('Dvd Calendar'!$AQ$209)=0,"",IF(('Dvd Calendar'!$AQ$209&gt;=GRID_FROM)*('Dvd Calendar'!$AQ$209&lt;=GRID_TO)*((('Dvd Calendar'!$AQ$209&lt;=VAL_DATE)+(COUNTIF('Dvd Calendar'!$E$216:$AR$216,'Dvd Calendar'!$AQ$209)=0))&gt;0)=0,"",'Dvd Calendar'!$AQ$209*1000000000+ISNUMBER('Dvd Calendar'!$AQ$212)*100000000+('Dvd Calendar'!$AQ$214=SPECIAL_LBL)*10000000+(N('Dvd Calendar'!$AQ$208)&gt;0)*(N('Dvd Calendar'!$AQ$208)&lt;=VAL_SERIAL)*1000000+19*1000+39))</f>
        <v/>
      </c>
      <c r="FR30" s="39">
        <f>IF(N('Dvd Calendar'!$AR$209)=0,"",IF(('Dvd Calendar'!$AR$209&gt;=GRID_FROM)*('Dvd Calendar'!$AR$209&lt;=GRID_TO)*((('Dvd Calendar'!$AR$209&lt;=VAL_DATE)+(COUNTIF('Dvd Calendar'!$E$216:$AR$216,'Dvd Calendar'!$AR$209)=0))&gt;0)=0,"",'Dvd Calendar'!$AR$209*1000000000+ISNUMBER('Dvd Calendar'!$AR$212)*100000000+('Dvd Calendar'!$AR$214=SPECIAL_LBL)*10000000+(N('Dvd Calendar'!$AR$208)&gt;0)*(N('Dvd Calendar'!$AR$208)&lt;=VAL_SERIAL)*1000000+19*1000+40))</f>
        <v/>
      </c>
      <c r="FS30" s="39">
        <f>IF(N('Dvd Calendar'!$E$216)=0,"",IF(('Dvd Calendar'!$E$216&gt;=GRID_FROM)*('Dvd Calendar'!$E$216&lt;=GRID_TO)*('Dvd Calendar'!$E$216&gt;VAL_DATE)=0,"",'Dvd Calendar'!$E$216*1000000000+ISNUMBER('Dvd Calendar'!$E$217)*100000000+0*10000000+(N('Dvd Calendar'!$E$215)&gt;0)*(N('Dvd Calendar'!$E$215)&lt;=VAL_SERIAL)*1000000+19*1000+41))</f>
        <v/>
      </c>
      <c r="FT30" s="39">
        <f>IF(N('Dvd Calendar'!$F$216)=0,"",IF(('Dvd Calendar'!$F$216&gt;=GRID_FROM)*('Dvd Calendar'!$F$216&lt;=GRID_TO)*('Dvd Calendar'!$F$216&gt;VAL_DATE)=0,"",'Dvd Calendar'!$F$216*1000000000+ISNUMBER('Dvd Calendar'!$F$217)*100000000+0*10000000+(N('Dvd Calendar'!$F$215)&gt;0)*(N('Dvd Calendar'!$F$215)&lt;=VAL_SERIAL)*1000000+19*1000+42))</f>
        <v/>
      </c>
      <c r="FU30" s="39">
        <f>IF(N('Dvd Calendar'!$G$216)=0,"",IF(('Dvd Calendar'!$G$216&gt;=GRID_FROM)*('Dvd Calendar'!$G$216&lt;=GRID_TO)*('Dvd Calendar'!$G$216&gt;VAL_DATE)=0,"",'Dvd Calendar'!$G$216*1000000000+ISNUMBER('Dvd Calendar'!$G$217)*100000000+0*10000000+(N('Dvd Calendar'!$G$215)&gt;0)*(N('Dvd Calendar'!$G$215)&lt;=VAL_SERIAL)*1000000+19*1000+43))</f>
        <v/>
      </c>
      <c r="FV30" s="39">
        <f>IF(N('Dvd Calendar'!$H$216)=0,"",IF(('Dvd Calendar'!$H$216&gt;=GRID_FROM)*('Dvd Calendar'!$H$216&lt;=GRID_TO)*('Dvd Calendar'!$H$216&gt;VAL_DATE)=0,"",'Dvd Calendar'!$H$216*1000000000+ISNUMBER('Dvd Calendar'!$H$217)*100000000+0*10000000+(N('Dvd Calendar'!$H$215)&gt;0)*(N('Dvd Calendar'!$H$215)&lt;=VAL_SERIAL)*1000000+19*1000+44))</f>
        <v/>
      </c>
      <c r="FW30" s="39">
        <f>IF(N('Dvd Calendar'!$I$216)=0,"",IF(('Dvd Calendar'!$I$216&gt;=GRID_FROM)*('Dvd Calendar'!$I$216&lt;=GRID_TO)*('Dvd Calendar'!$I$216&gt;VAL_DATE)=0,"",'Dvd Calendar'!$I$216*1000000000+ISNUMBER('Dvd Calendar'!$I$217)*100000000+0*10000000+(N('Dvd Calendar'!$I$215)&gt;0)*(N('Dvd Calendar'!$I$215)&lt;=VAL_SERIAL)*1000000+19*1000+45))</f>
        <v/>
      </c>
      <c r="FX30" s="39">
        <f>IF(N('Dvd Calendar'!$J$216)=0,"",IF(('Dvd Calendar'!$J$216&gt;=GRID_FROM)*('Dvd Calendar'!$J$216&lt;=GRID_TO)*('Dvd Calendar'!$J$216&gt;VAL_DATE)=0,"",'Dvd Calendar'!$J$216*1000000000+ISNUMBER('Dvd Calendar'!$J$217)*100000000+0*10000000+(N('Dvd Calendar'!$J$215)&gt;0)*(N('Dvd Calendar'!$J$215)&lt;=VAL_SERIAL)*1000000+19*1000+46))</f>
        <v/>
      </c>
      <c r="FY30" s="39">
        <f>IF(N('Dvd Calendar'!$K$216)=0,"",IF(('Dvd Calendar'!$K$216&gt;=GRID_FROM)*('Dvd Calendar'!$K$216&lt;=GRID_TO)*('Dvd Calendar'!$K$216&gt;VAL_DATE)=0,"",'Dvd Calendar'!$K$216*1000000000+ISNUMBER('Dvd Calendar'!$K$217)*100000000+0*10000000+(N('Dvd Calendar'!$K$215)&gt;0)*(N('Dvd Calendar'!$K$215)&lt;=VAL_SERIAL)*1000000+19*1000+47))</f>
        <v/>
      </c>
      <c r="FZ30" s="39">
        <f>IF(N('Dvd Calendar'!$L$216)=0,"",IF(('Dvd Calendar'!$L$216&gt;=GRID_FROM)*('Dvd Calendar'!$L$216&lt;=GRID_TO)*('Dvd Calendar'!$L$216&gt;VAL_DATE)=0,"",'Dvd Calendar'!$L$216*1000000000+ISNUMBER('Dvd Calendar'!$L$217)*100000000+0*10000000+(N('Dvd Calendar'!$L$215)&gt;0)*(N('Dvd Calendar'!$L$215)&lt;=VAL_SERIAL)*1000000+19*1000+48))</f>
        <v/>
      </c>
      <c r="GA30" s="39">
        <f>IF(N('Dvd Calendar'!$M$216)=0,"",IF(('Dvd Calendar'!$M$216&gt;=GRID_FROM)*('Dvd Calendar'!$M$216&lt;=GRID_TO)*('Dvd Calendar'!$M$216&gt;VAL_DATE)=0,"",'Dvd Calendar'!$M$216*1000000000+ISNUMBER('Dvd Calendar'!$M$217)*100000000+0*10000000+(N('Dvd Calendar'!$M$215)&gt;0)*(N('Dvd Calendar'!$M$215)&lt;=VAL_SERIAL)*1000000+19*1000+49))</f>
        <v/>
      </c>
      <c r="GB30" s="39">
        <f>IF(N('Dvd Calendar'!$N$216)=0,"",IF(('Dvd Calendar'!$N$216&gt;=GRID_FROM)*('Dvd Calendar'!$N$216&lt;=GRID_TO)*('Dvd Calendar'!$N$216&gt;VAL_DATE)=0,"",'Dvd Calendar'!$N$216*1000000000+ISNUMBER('Dvd Calendar'!$N$217)*100000000+0*10000000+(N('Dvd Calendar'!$N$215)&gt;0)*(N('Dvd Calendar'!$N$215)&lt;=VAL_SERIAL)*1000000+19*1000+50))</f>
        <v/>
      </c>
      <c r="GC30" s="39">
        <f>IF(N('Dvd Calendar'!$O$216)=0,"",IF(('Dvd Calendar'!$O$216&gt;=GRID_FROM)*('Dvd Calendar'!$O$216&lt;=GRID_TO)*('Dvd Calendar'!$O$216&gt;VAL_DATE)=0,"",'Dvd Calendar'!$O$216*1000000000+ISNUMBER('Dvd Calendar'!$O$217)*100000000+0*10000000+(N('Dvd Calendar'!$O$215)&gt;0)*(N('Dvd Calendar'!$O$215)&lt;=VAL_SERIAL)*1000000+19*1000+51))</f>
        <v/>
      </c>
      <c r="GD30" s="39">
        <f>IF(N('Dvd Calendar'!$P$216)=0,"",IF(('Dvd Calendar'!$P$216&gt;=GRID_FROM)*('Dvd Calendar'!$P$216&lt;=GRID_TO)*('Dvd Calendar'!$P$216&gt;VAL_DATE)=0,"",'Dvd Calendar'!$P$216*1000000000+ISNUMBER('Dvd Calendar'!$P$217)*100000000+0*10000000+(N('Dvd Calendar'!$P$215)&gt;0)*(N('Dvd Calendar'!$P$215)&lt;=VAL_SERIAL)*1000000+19*1000+52))</f>
        <v/>
      </c>
      <c r="GE30" s="39">
        <f>IF(N('Dvd Calendar'!$Q$216)=0,"",IF(('Dvd Calendar'!$Q$216&gt;=GRID_FROM)*('Dvd Calendar'!$Q$216&lt;=GRID_TO)*('Dvd Calendar'!$Q$216&gt;VAL_DATE)=0,"",'Dvd Calendar'!$Q$216*1000000000+ISNUMBER('Dvd Calendar'!$Q$217)*100000000+0*10000000+(N('Dvd Calendar'!$Q$215)&gt;0)*(N('Dvd Calendar'!$Q$215)&lt;=VAL_SERIAL)*1000000+19*1000+53))</f>
        <v/>
      </c>
      <c r="GF30" s="39">
        <f>IF(N('Dvd Calendar'!$R$216)=0,"",IF(('Dvd Calendar'!$R$216&gt;=GRID_FROM)*('Dvd Calendar'!$R$216&lt;=GRID_TO)*('Dvd Calendar'!$R$216&gt;VAL_DATE)=0,"",'Dvd Calendar'!$R$216*1000000000+ISNUMBER('Dvd Calendar'!$R$217)*100000000+0*10000000+(N('Dvd Calendar'!$R$215)&gt;0)*(N('Dvd Calendar'!$R$215)&lt;=VAL_SERIAL)*1000000+19*1000+54))</f>
        <v/>
      </c>
      <c r="GG30" s="39">
        <f>IF(N('Dvd Calendar'!$S$216)=0,"",IF(('Dvd Calendar'!$S$216&gt;=GRID_FROM)*('Dvd Calendar'!$S$216&lt;=GRID_TO)*('Dvd Calendar'!$S$216&gt;VAL_DATE)=0,"",'Dvd Calendar'!$S$216*1000000000+ISNUMBER('Dvd Calendar'!$S$217)*100000000+0*10000000+(N('Dvd Calendar'!$S$215)&gt;0)*(N('Dvd Calendar'!$S$215)&lt;=VAL_SERIAL)*1000000+19*1000+55))</f>
        <v/>
      </c>
      <c r="GH30" s="39">
        <f>IF(N('Dvd Calendar'!$T$216)=0,"",IF(('Dvd Calendar'!$T$216&gt;=GRID_FROM)*('Dvd Calendar'!$T$216&lt;=GRID_TO)*('Dvd Calendar'!$T$216&gt;VAL_DATE)=0,"",'Dvd Calendar'!$T$216*1000000000+ISNUMBER('Dvd Calendar'!$T$217)*100000000+0*10000000+(N('Dvd Calendar'!$T$215)&gt;0)*(N('Dvd Calendar'!$T$215)&lt;=VAL_SERIAL)*1000000+19*1000+56))</f>
        <v/>
      </c>
      <c r="GI30" s="39">
        <f>IF(N('Dvd Calendar'!$U$216)=0,"",IF(('Dvd Calendar'!$U$216&gt;=GRID_FROM)*('Dvd Calendar'!$U$216&lt;=GRID_TO)*('Dvd Calendar'!$U$216&gt;VAL_DATE)=0,"",'Dvd Calendar'!$U$216*1000000000+ISNUMBER('Dvd Calendar'!$U$217)*100000000+0*10000000+(N('Dvd Calendar'!$U$215)&gt;0)*(N('Dvd Calendar'!$U$215)&lt;=VAL_SERIAL)*1000000+19*1000+57))</f>
        <v/>
      </c>
      <c r="GJ30" s="39">
        <f>IF(N('Dvd Calendar'!$V$216)=0,"",IF(('Dvd Calendar'!$V$216&gt;=GRID_FROM)*('Dvd Calendar'!$V$216&lt;=GRID_TO)*('Dvd Calendar'!$V$216&gt;VAL_DATE)=0,"",'Dvd Calendar'!$V$216*1000000000+ISNUMBER('Dvd Calendar'!$V$217)*100000000+0*10000000+(N('Dvd Calendar'!$V$215)&gt;0)*(N('Dvd Calendar'!$V$215)&lt;=VAL_SERIAL)*1000000+19*1000+58))</f>
        <v/>
      </c>
      <c r="GK30" s="39">
        <f>IF(N('Dvd Calendar'!$W$216)=0,"",IF(('Dvd Calendar'!$W$216&gt;=GRID_FROM)*('Dvd Calendar'!$W$216&lt;=GRID_TO)*('Dvd Calendar'!$W$216&gt;VAL_DATE)=0,"",'Dvd Calendar'!$W$216*1000000000+ISNUMBER('Dvd Calendar'!$W$217)*100000000+0*10000000+(N('Dvd Calendar'!$W$215)&gt;0)*(N('Dvd Calendar'!$W$215)&lt;=VAL_SERIAL)*1000000+19*1000+59))</f>
        <v/>
      </c>
      <c r="GL30" s="39">
        <f>IF(N('Dvd Calendar'!$X$216)=0,"",IF(('Dvd Calendar'!$X$216&gt;=GRID_FROM)*('Dvd Calendar'!$X$216&lt;=GRID_TO)*('Dvd Calendar'!$X$216&gt;VAL_DATE)=0,"",'Dvd Calendar'!$X$216*1000000000+ISNUMBER('Dvd Calendar'!$X$217)*100000000+0*10000000+(N('Dvd Calendar'!$X$215)&gt;0)*(N('Dvd Calendar'!$X$215)&lt;=VAL_SERIAL)*1000000+19*1000+60))</f>
        <v/>
      </c>
      <c r="GM30" s="39">
        <f>IF(N('Dvd Calendar'!$Y$216)=0,"",IF(('Dvd Calendar'!$Y$216&gt;=GRID_FROM)*('Dvd Calendar'!$Y$216&lt;=GRID_TO)*('Dvd Calendar'!$Y$216&gt;VAL_DATE)=0,"",'Dvd Calendar'!$Y$216*1000000000+ISNUMBER('Dvd Calendar'!$Y$217)*100000000+0*10000000+(N('Dvd Calendar'!$Y$215)&gt;0)*(N('Dvd Calendar'!$Y$215)&lt;=VAL_SERIAL)*1000000+19*1000+61))</f>
        <v/>
      </c>
      <c r="GN30" s="39">
        <f>IF(N('Dvd Calendar'!$Z$216)=0,"",IF(('Dvd Calendar'!$Z$216&gt;=GRID_FROM)*('Dvd Calendar'!$Z$216&lt;=GRID_TO)*('Dvd Calendar'!$Z$216&gt;VAL_DATE)=0,"",'Dvd Calendar'!$Z$216*1000000000+ISNUMBER('Dvd Calendar'!$Z$217)*100000000+0*10000000+(N('Dvd Calendar'!$Z$215)&gt;0)*(N('Dvd Calendar'!$Z$215)&lt;=VAL_SERIAL)*1000000+19*1000+62))</f>
        <v/>
      </c>
      <c r="GO30" s="39">
        <f>IF(N('Dvd Calendar'!$AA$216)=0,"",IF(('Dvd Calendar'!$AA$216&gt;=GRID_FROM)*('Dvd Calendar'!$AA$216&lt;=GRID_TO)*('Dvd Calendar'!$AA$216&gt;VAL_DATE)=0,"",'Dvd Calendar'!$AA$216*1000000000+ISNUMBER('Dvd Calendar'!$AA$217)*100000000+0*10000000+(N('Dvd Calendar'!$AA$215)&gt;0)*(N('Dvd Calendar'!$AA$215)&lt;=VAL_SERIAL)*1000000+19*1000+63))</f>
        <v/>
      </c>
      <c r="GP30" s="39">
        <f>IF(N('Dvd Calendar'!$AB$216)=0,"",IF(('Dvd Calendar'!$AB$216&gt;=GRID_FROM)*('Dvd Calendar'!$AB$216&lt;=GRID_TO)*('Dvd Calendar'!$AB$216&gt;VAL_DATE)=0,"",'Dvd Calendar'!$AB$216*1000000000+ISNUMBER('Dvd Calendar'!$AB$217)*100000000+0*10000000+(N('Dvd Calendar'!$AB$215)&gt;0)*(N('Dvd Calendar'!$AB$215)&lt;=VAL_SERIAL)*1000000+19*1000+64))</f>
        <v/>
      </c>
      <c r="GQ30" s="39">
        <f>IF(N('Dvd Calendar'!$AC$216)=0,"",IF(('Dvd Calendar'!$AC$216&gt;=GRID_FROM)*('Dvd Calendar'!$AC$216&lt;=GRID_TO)*('Dvd Calendar'!$AC$216&gt;VAL_DATE)=0,"",'Dvd Calendar'!$AC$216*1000000000+ISNUMBER('Dvd Calendar'!$AC$217)*100000000+0*10000000+(N('Dvd Calendar'!$AC$215)&gt;0)*(N('Dvd Calendar'!$AC$215)&lt;=VAL_SERIAL)*1000000+19*1000+65))</f>
        <v/>
      </c>
    </row>
    <row r="31">
      <c r="B31" s="2">
        <f>IF(HSI!$C$26="","",HSI!$C$26)</f>
        <v/>
      </c>
      <c r="C31" s="110">
        <f>IF(EE31="","",IF(ISNUMBER('Dvd Calendar'!$E$223)=FALSE,"",IF((('Dvd Calendar'!$E$225=TYPE1)*(TYPE1&lt;&gt;"")+('Dvd Calendar'!$E$225=TYPE2)*(TYPE2&lt;&gt;"")+('Dvd Calendar'!$E$225=TYPE3)*(TYPE3&lt;&gt;"")+('Dvd Calendar'!$E$225=TYPE4)*(TYPE4&lt;&gt;"")+('Dvd Calendar'!$E$225=SPECIAL_LBL)*(INC_SPECIALS="Y"))=0,"",'Dvd Calendar'!$E$223)))</f>
        <v/>
      </c>
      <c r="D31" s="110">
        <f>IF(EF31="","",IF(ISNUMBER('Dvd Calendar'!$F$223)=FALSE,"",IF((('Dvd Calendar'!$F$225=TYPE1)*(TYPE1&lt;&gt;"")+('Dvd Calendar'!$F$225=TYPE2)*(TYPE2&lt;&gt;"")+('Dvd Calendar'!$F$225=TYPE3)*(TYPE3&lt;&gt;"")+('Dvd Calendar'!$F$225=TYPE4)*(TYPE4&lt;&gt;"")+('Dvd Calendar'!$F$225=SPECIAL_LBL)*(INC_SPECIALS="Y"))=0,"",'Dvd Calendar'!$F$223)))</f>
        <v/>
      </c>
      <c r="E31" s="110">
        <f>IF(EG31="","",IF(ISNUMBER('Dvd Calendar'!$G$223)=FALSE,"",IF((('Dvd Calendar'!$G$225=TYPE1)*(TYPE1&lt;&gt;"")+('Dvd Calendar'!$G$225=TYPE2)*(TYPE2&lt;&gt;"")+('Dvd Calendar'!$G$225=TYPE3)*(TYPE3&lt;&gt;"")+('Dvd Calendar'!$G$225=TYPE4)*(TYPE4&lt;&gt;"")+('Dvd Calendar'!$G$225=SPECIAL_LBL)*(INC_SPECIALS="Y"))=0,"",'Dvd Calendar'!$G$223)))</f>
        <v/>
      </c>
      <c r="F31" s="110">
        <f>IF(EH31="","",IF(ISNUMBER('Dvd Calendar'!$H$223)=FALSE,"",IF((('Dvd Calendar'!$H$225=TYPE1)*(TYPE1&lt;&gt;"")+('Dvd Calendar'!$H$225=TYPE2)*(TYPE2&lt;&gt;"")+('Dvd Calendar'!$H$225=TYPE3)*(TYPE3&lt;&gt;"")+('Dvd Calendar'!$H$225=TYPE4)*(TYPE4&lt;&gt;"")+('Dvd Calendar'!$H$225=SPECIAL_LBL)*(INC_SPECIALS="Y"))=0,"",'Dvd Calendar'!$H$223)))</f>
        <v/>
      </c>
      <c r="G31" s="110">
        <f>IF(EI31="","",IF(ISNUMBER('Dvd Calendar'!$I$223)=FALSE,"",IF((('Dvd Calendar'!$I$225=TYPE1)*(TYPE1&lt;&gt;"")+('Dvd Calendar'!$I$225=TYPE2)*(TYPE2&lt;&gt;"")+('Dvd Calendar'!$I$225=TYPE3)*(TYPE3&lt;&gt;"")+('Dvd Calendar'!$I$225=TYPE4)*(TYPE4&lt;&gt;"")+('Dvd Calendar'!$I$225=SPECIAL_LBL)*(INC_SPECIALS="Y"))=0,"",'Dvd Calendar'!$I$223)))</f>
        <v/>
      </c>
      <c r="H31" s="110">
        <f>IF(EJ31="","",IF(ISNUMBER('Dvd Calendar'!$J$223)=FALSE,"",IF((('Dvd Calendar'!$J$225=TYPE1)*(TYPE1&lt;&gt;"")+('Dvd Calendar'!$J$225=TYPE2)*(TYPE2&lt;&gt;"")+('Dvd Calendar'!$J$225=TYPE3)*(TYPE3&lt;&gt;"")+('Dvd Calendar'!$J$225=TYPE4)*(TYPE4&lt;&gt;"")+('Dvd Calendar'!$J$225=SPECIAL_LBL)*(INC_SPECIALS="Y"))=0,"",'Dvd Calendar'!$J$223)))</f>
        <v/>
      </c>
      <c r="I31" s="110">
        <f>IF(EK31="","",IF(ISNUMBER('Dvd Calendar'!$K$223)=FALSE,"",IF((('Dvd Calendar'!$K$225=TYPE1)*(TYPE1&lt;&gt;"")+('Dvd Calendar'!$K$225=TYPE2)*(TYPE2&lt;&gt;"")+('Dvd Calendar'!$K$225=TYPE3)*(TYPE3&lt;&gt;"")+('Dvd Calendar'!$K$225=TYPE4)*(TYPE4&lt;&gt;"")+('Dvd Calendar'!$K$225=SPECIAL_LBL)*(INC_SPECIALS="Y"))=0,"",'Dvd Calendar'!$K$223)))</f>
        <v/>
      </c>
      <c r="J31" s="110">
        <f>IF(EL31="","",IF(ISNUMBER('Dvd Calendar'!$L$223)=FALSE,"",IF((('Dvd Calendar'!$L$225=TYPE1)*(TYPE1&lt;&gt;"")+('Dvd Calendar'!$L$225=TYPE2)*(TYPE2&lt;&gt;"")+('Dvd Calendar'!$L$225=TYPE3)*(TYPE3&lt;&gt;"")+('Dvd Calendar'!$L$225=TYPE4)*(TYPE4&lt;&gt;"")+('Dvd Calendar'!$L$225=SPECIAL_LBL)*(INC_SPECIALS="Y"))=0,"",'Dvd Calendar'!$L$223)))</f>
        <v/>
      </c>
      <c r="K31" s="110">
        <f>IF(EM31="","",IF(ISNUMBER('Dvd Calendar'!$M$223)=FALSE,"",IF((('Dvd Calendar'!$M$225=TYPE1)*(TYPE1&lt;&gt;"")+('Dvd Calendar'!$M$225=TYPE2)*(TYPE2&lt;&gt;"")+('Dvd Calendar'!$M$225=TYPE3)*(TYPE3&lt;&gt;"")+('Dvd Calendar'!$M$225=TYPE4)*(TYPE4&lt;&gt;"")+('Dvd Calendar'!$M$225=SPECIAL_LBL)*(INC_SPECIALS="Y"))=0,"",'Dvd Calendar'!$M$223)))</f>
        <v/>
      </c>
      <c r="L31" s="110">
        <f>IF(EN31="","",IF(ISNUMBER('Dvd Calendar'!$N$223)=FALSE,"",IF((('Dvd Calendar'!$N$225=TYPE1)*(TYPE1&lt;&gt;"")+('Dvd Calendar'!$N$225=TYPE2)*(TYPE2&lt;&gt;"")+('Dvd Calendar'!$N$225=TYPE3)*(TYPE3&lt;&gt;"")+('Dvd Calendar'!$N$225=TYPE4)*(TYPE4&lt;&gt;"")+('Dvd Calendar'!$N$225=SPECIAL_LBL)*(INC_SPECIALS="Y"))=0,"",'Dvd Calendar'!$N$223)))</f>
        <v/>
      </c>
      <c r="M31" s="110">
        <f>IF(EO31="","",IF(ISNUMBER('Dvd Calendar'!$O$223)=FALSE,"",IF((('Dvd Calendar'!$O$225=TYPE1)*(TYPE1&lt;&gt;"")+('Dvd Calendar'!$O$225=TYPE2)*(TYPE2&lt;&gt;"")+('Dvd Calendar'!$O$225=TYPE3)*(TYPE3&lt;&gt;"")+('Dvd Calendar'!$O$225=TYPE4)*(TYPE4&lt;&gt;"")+('Dvd Calendar'!$O$225=SPECIAL_LBL)*(INC_SPECIALS="Y"))=0,"",'Dvd Calendar'!$O$223)))</f>
        <v/>
      </c>
      <c r="N31" s="110">
        <f>IF(EP31="","",IF(ISNUMBER('Dvd Calendar'!$P$223)=FALSE,"",IF((('Dvd Calendar'!$P$225=TYPE1)*(TYPE1&lt;&gt;"")+('Dvd Calendar'!$P$225=TYPE2)*(TYPE2&lt;&gt;"")+('Dvd Calendar'!$P$225=TYPE3)*(TYPE3&lt;&gt;"")+('Dvd Calendar'!$P$225=TYPE4)*(TYPE4&lt;&gt;"")+('Dvd Calendar'!$P$225=SPECIAL_LBL)*(INC_SPECIALS="Y"))=0,"",'Dvd Calendar'!$P$223)))</f>
        <v/>
      </c>
      <c r="O31" s="110">
        <f>IF(EQ31="","",IF(ISNUMBER('Dvd Calendar'!$Q$223)=FALSE,"",IF((('Dvd Calendar'!$Q$225=TYPE1)*(TYPE1&lt;&gt;"")+('Dvd Calendar'!$Q$225=TYPE2)*(TYPE2&lt;&gt;"")+('Dvd Calendar'!$Q$225=TYPE3)*(TYPE3&lt;&gt;"")+('Dvd Calendar'!$Q$225=TYPE4)*(TYPE4&lt;&gt;"")+('Dvd Calendar'!$Q$225=SPECIAL_LBL)*(INC_SPECIALS="Y"))=0,"",'Dvd Calendar'!$Q$223)))</f>
        <v/>
      </c>
      <c r="P31" s="110">
        <f>IF(ER31="","",IF(ISNUMBER('Dvd Calendar'!$R$223)=FALSE,"",IF((('Dvd Calendar'!$R$225=TYPE1)*(TYPE1&lt;&gt;"")+('Dvd Calendar'!$R$225=TYPE2)*(TYPE2&lt;&gt;"")+('Dvd Calendar'!$R$225=TYPE3)*(TYPE3&lt;&gt;"")+('Dvd Calendar'!$R$225=TYPE4)*(TYPE4&lt;&gt;"")+('Dvd Calendar'!$R$225=SPECIAL_LBL)*(INC_SPECIALS="Y"))=0,"",'Dvd Calendar'!$R$223)))</f>
        <v/>
      </c>
      <c r="Q31" s="110">
        <f>IF(ES31="","",IF(ISNUMBER('Dvd Calendar'!$S$223)=FALSE,"",IF((('Dvd Calendar'!$S$225=TYPE1)*(TYPE1&lt;&gt;"")+('Dvd Calendar'!$S$225=TYPE2)*(TYPE2&lt;&gt;"")+('Dvd Calendar'!$S$225=TYPE3)*(TYPE3&lt;&gt;"")+('Dvd Calendar'!$S$225=TYPE4)*(TYPE4&lt;&gt;"")+('Dvd Calendar'!$S$225=SPECIAL_LBL)*(INC_SPECIALS="Y"))=0,"",'Dvd Calendar'!$S$223)))</f>
        <v/>
      </c>
      <c r="R31" s="110">
        <f>IF(ET31="","",IF(ISNUMBER('Dvd Calendar'!$T$223)=FALSE,"",IF((('Dvd Calendar'!$T$225=TYPE1)*(TYPE1&lt;&gt;"")+('Dvd Calendar'!$T$225=TYPE2)*(TYPE2&lt;&gt;"")+('Dvd Calendar'!$T$225=TYPE3)*(TYPE3&lt;&gt;"")+('Dvd Calendar'!$T$225=TYPE4)*(TYPE4&lt;&gt;"")+('Dvd Calendar'!$T$225=SPECIAL_LBL)*(INC_SPECIALS="Y"))=0,"",'Dvd Calendar'!$T$223)))</f>
        <v/>
      </c>
      <c r="S31" s="110">
        <f>IF(EU31="","",IF(ISNUMBER('Dvd Calendar'!$U$223)=FALSE,"",IF((('Dvd Calendar'!$U$225=TYPE1)*(TYPE1&lt;&gt;"")+('Dvd Calendar'!$U$225=TYPE2)*(TYPE2&lt;&gt;"")+('Dvd Calendar'!$U$225=TYPE3)*(TYPE3&lt;&gt;"")+('Dvd Calendar'!$U$225=TYPE4)*(TYPE4&lt;&gt;"")+('Dvd Calendar'!$U$225=SPECIAL_LBL)*(INC_SPECIALS="Y"))=0,"",'Dvd Calendar'!$U$223)))</f>
        <v/>
      </c>
      <c r="T31" s="110">
        <f>IF(EV31="","",IF(ISNUMBER('Dvd Calendar'!$V$223)=FALSE,"",IF((('Dvd Calendar'!$V$225=TYPE1)*(TYPE1&lt;&gt;"")+('Dvd Calendar'!$V$225=TYPE2)*(TYPE2&lt;&gt;"")+('Dvd Calendar'!$V$225=TYPE3)*(TYPE3&lt;&gt;"")+('Dvd Calendar'!$V$225=TYPE4)*(TYPE4&lt;&gt;"")+('Dvd Calendar'!$V$225=SPECIAL_LBL)*(INC_SPECIALS="Y"))=0,"",'Dvd Calendar'!$V$223)))</f>
        <v/>
      </c>
      <c r="U31" s="110">
        <f>IF(EW31="","",IF(ISNUMBER('Dvd Calendar'!$W$223)=FALSE,"",IF((('Dvd Calendar'!$W$225=TYPE1)*(TYPE1&lt;&gt;"")+('Dvd Calendar'!$W$225=TYPE2)*(TYPE2&lt;&gt;"")+('Dvd Calendar'!$W$225=TYPE3)*(TYPE3&lt;&gt;"")+('Dvd Calendar'!$W$225=TYPE4)*(TYPE4&lt;&gt;"")+('Dvd Calendar'!$W$225=SPECIAL_LBL)*(INC_SPECIALS="Y"))=0,"",'Dvd Calendar'!$W$223)))</f>
        <v/>
      </c>
      <c r="V31" s="110">
        <f>IF(EX31="","",IF(ISNUMBER('Dvd Calendar'!$X$223)=FALSE,"",IF((('Dvd Calendar'!$X$225=TYPE1)*(TYPE1&lt;&gt;"")+('Dvd Calendar'!$X$225=TYPE2)*(TYPE2&lt;&gt;"")+('Dvd Calendar'!$X$225=TYPE3)*(TYPE3&lt;&gt;"")+('Dvd Calendar'!$X$225=TYPE4)*(TYPE4&lt;&gt;"")+('Dvd Calendar'!$X$225=SPECIAL_LBL)*(INC_SPECIALS="Y"))=0,"",'Dvd Calendar'!$X$223)))</f>
        <v/>
      </c>
      <c r="W31" s="110">
        <f>IF(EY31="","",IF(ISNUMBER('Dvd Calendar'!$Y$223)=FALSE,"",IF((('Dvd Calendar'!$Y$225=TYPE1)*(TYPE1&lt;&gt;"")+('Dvd Calendar'!$Y$225=TYPE2)*(TYPE2&lt;&gt;"")+('Dvd Calendar'!$Y$225=TYPE3)*(TYPE3&lt;&gt;"")+('Dvd Calendar'!$Y$225=TYPE4)*(TYPE4&lt;&gt;"")+('Dvd Calendar'!$Y$225=SPECIAL_LBL)*(INC_SPECIALS="Y"))=0,"",'Dvd Calendar'!$Y$223)))</f>
        <v/>
      </c>
      <c r="X31" s="110">
        <f>IF(EZ31="","",IF(ISNUMBER('Dvd Calendar'!$Z$223)=FALSE,"",IF((('Dvd Calendar'!$Z$225=TYPE1)*(TYPE1&lt;&gt;"")+('Dvd Calendar'!$Z$225=TYPE2)*(TYPE2&lt;&gt;"")+('Dvd Calendar'!$Z$225=TYPE3)*(TYPE3&lt;&gt;"")+('Dvd Calendar'!$Z$225=TYPE4)*(TYPE4&lt;&gt;"")+('Dvd Calendar'!$Z$225=SPECIAL_LBL)*(INC_SPECIALS="Y"))=0,"",'Dvd Calendar'!$Z$223)))</f>
        <v/>
      </c>
      <c r="Y31" s="110">
        <f>IF(FA31="","",IF(ISNUMBER('Dvd Calendar'!$AA$223)=FALSE,"",IF((('Dvd Calendar'!$AA$225=TYPE1)*(TYPE1&lt;&gt;"")+('Dvd Calendar'!$AA$225=TYPE2)*(TYPE2&lt;&gt;"")+('Dvd Calendar'!$AA$225=TYPE3)*(TYPE3&lt;&gt;"")+('Dvd Calendar'!$AA$225=TYPE4)*(TYPE4&lt;&gt;"")+('Dvd Calendar'!$AA$225=SPECIAL_LBL)*(INC_SPECIALS="Y"))=0,"",'Dvd Calendar'!$AA$223)))</f>
        <v/>
      </c>
      <c r="Z31" s="110">
        <f>IF(FB31="","",IF(ISNUMBER('Dvd Calendar'!$AB$223)=FALSE,"",IF((('Dvd Calendar'!$AB$225=TYPE1)*(TYPE1&lt;&gt;"")+('Dvd Calendar'!$AB$225=TYPE2)*(TYPE2&lt;&gt;"")+('Dvd Calendar'!$AB$225=TYPE3)*(TYPE3&lt;&gt;"")+('Dvd Calendar'!$AB$225=TYPE4)*(TYPE4&lt;&gt;"")+('Dvd Calendar'!$AB$225=SPECIAL_LBL)*(INC_SPECIALS="Y"))=0,"",'Dvd Calendar'!$AB$223)))</f>
        <v/>
      </c>
      <c r="AA31" s="110">
        <f>IF(FC31="","",IF(ISNUMBER('Dvd Calendar'!$AC$223)=FALSE,"",IF((('Dvd Calendar'!$AC$225=TYPE1)*(TYPE1&lt;&gt;"")+('Dvd Calendar'!$AC$225=TYPE2)*(TYPE2&lt;&gt;"")+('Dvd Calendar'!$AC$225=TYPE3)*(TYPE3&lt;&gt;"")+('Dvd Calendar'!$AC$225=TYPE4)*(TYPE4&lt;&gt;"")+('Dvd Calendar'!$AC$225=SPECIAL_LBL)*(INC_SPECIALS="Y"))=0,"",'Dvd Calendar'!$AC$223)))</f>
        <v/>
      </c>
      <c r="AB31" s="110">
        <f>IF(FD31="","",IF(ISNUMBER('Dvd Calendar'!$AD$223)=FALSE,"",IF((('Dvd Calendar'!$AD$225=TYPE1)*(TYPE1&lt;&gt;"")+('Dvd Calendar'!$AD$225=TYPE2)*(TYPE2&lt;&gt;"")+('Dvd Calendar'!$AD$225=TYPE3)*(TYPE3&lt;&gt;"")+('Dvd Calendar'!$AD$225=TYPE4)*(TYPE4&lt;&gt;"")+('Dvd Calendar'!$AD$225=SPECIAL_LBL)*(INC_SPECIALS="Y"))=0,"",'Dvd Calendar'!$AD$223)))</f>
        <v/>
      </c>
      <c r="AC31" s="110">
        <f>IF(FE31="","",IF(ISNUMBER('Dvd Calendar'!$AE$223)=FALSE,"",IF((('Dvd Calendar'!$AE$225=TYPE1)*(TYPE1&lt;&gt;"")+('Dvd Calendar'!$AE$225=TYPE2)*(TYPE2&lt;&gt;"")+('Dvd Calendar'!$AE$225=TYPE3)*(TYPE3&lt;&gt;"")+('Dvd Calendar'!$AE$225=TYPE4)*(TYPE4&lt;&gt;"")+('Dvd Calendar'!$AE$225=SPECIAL_LBL)*(INC_SPECIALS="Y"))=0,"",'Dvd Calendar'!$AE$223)))</f>
        <v/>
      </c>
      <c r="AD31" s="110">
        <f>IF(FF31="","",IF(ISNUMBER('Dvd Calendar'!$AF$223)=FALSE,"",IF((('Dvd Calendar'!$AF$225=TYPE1)*(TYPE1&lt;&gt;"")+('Dvd Calendar'!$AF$225=TYPE2)*(TYPE2&lt;&gt;"")+('Dvd Calendar'!$AF$225=TYPE3)*(TYPE3&lt;&gt;"")+('Dvd Calendar'!$AF$225=TYPE4)*(TYPE4&lt;&gt;"")+('Dvd Calendar'!$AF$225=SPECIAL_LBL)*(INC_SPECIALS="Y"))=0,"",'Dvd Calendar'!$AF$223)))</f>
        <v/>
      </c>
      <c r="AE31" s="110">
        <f>IF(FG31="","",IF(ISNUMBER('Dvd Calendar'!$AG$223)=FALSE,"",IF((('Dvd Calendar'!$AG$225=TYPE1)*(TYPE1&lt;&gt;"")+('Dvd Calendar'!$AG$225=TYPE2)*(TYPE2&lt;&gt;"")+('Dvd Calendar'!$AG$225=TYPE3)*(TYPE3&lt;&gt;"")+('Dvd Calendar'!$AG$225=TYPE4)*(TYPE4&lt;&gt;"")+('Dvd Calendar'!$AG$225=SPECIAL_LBL)*(INC_SPECIALS="Y"))=0,"",'Dvd Calendar'!$AG$223)))</f>
        <v/>
      </c>
      <c r="AF31" s="110">
        <f>IF(FH31="","",IF(ISNUMBER('Dvd Calendar'!$AH$223)=FALSE,"",IF((('Dvd Calendar'!$AH$225=TYPE1)*(TYPE1&lt;&gt;"")+('Dvd Calendar'!$AH$225=TYPE2)*(TYPE2&lt;&gt;"")+('Dvd Calendar'!$AH$225=TYPE3)*(TYPE3&lt;&gt;"")+('Dvd Calendar'!$AH$225=TYPE4)*(TYPE4&lt;&gt;"")+('Dvd Calendar'!$AH$225=SPECIAL_LBL)*(INC_SPECIALS="Y"))=0,"",'Dvd Calendar'!$AH$223)))</f>
        <v/>
      </c>
      <c r="AG31" s="110">
        <f>IF(FI31="","",IF(ISNUMBER('Dvd Calendar'!$AI$223)=FALSE,"",IF((('Dvd Calendar'!$AI$225=TYPE1)*(TYPE1&lt;&gt;"")+('Dvd Calendar'!$AI$225=TYPE2)*(TYPE2&lt;&gt;"")+('Dvd Calendar'!$AI$225=TYPE3)*(TYPE3&lt;&gt;"")+('Dvd Calendar'!$AI$225=TYPE4)*(TYPE4&lt;&gt;"")+('Dvd Calendar'!$AI$225=SPECIAL_LBL)*(INC_SPECIALS="Y"))=0,"",'Dvd Calendar'!$AI$223)))</f>
        <v/>
      </c>
      <c r="AH31" s="110">
        <f>IF(FJ31="","",IF(ISNUMBER('Dvd Calendar'!$AJ$223)=FALSE,"",IF((('Dvd Calendar'!$AJ$225=TYPE1)*(TYPE1&lt;&gt;"")+('Dvd Calendar'!$AJ$225=TYPE2)*(TYPE2&lt;&gt;"")+('Dvd Calendar'!$AJ$225=TYPE3)*(TYPE3&lt;&gt;"")+('Dvd Calendar'!$AJ$225=TYPE4)*(TYPE4&lt;&gt;"")+('Dvd Calendar'!$AJ$225=SPECIAL_LBL)*(INC_SPECIALS="Y"))=0,"",'Dvd Calendar'!$AJ$223)))</f>
        <v/>
      </c>
      <c r="AI31" s="110">
        <f>IF(FK31="","",IF(ISNUMBER('Dvd Calendar'!$AK$223)=FALSE,"",IF((('Dvd Calendar'!$AK$225=TYPE1)*(TYPE1&lt;&gt;"")+('Dvd Calendar'!$AK$225=TYPE2)*(TYPE2&lt;&gt;"")+('Dvd Calendar'!$AK$225=TYPE3)*(TYPE3&lt;&gt;"")+('Dvd Calendar'!$AK$225=TYPE4)*(TYPE4&lt;&gt;"")+('Dvd Calendar'!$AK$225=SPECIAL_LBL)*(INC_SPECIALS="Y"))=0,"",'Dvd Calendar'!$AK$223)))</f>
        <v/>
      </c>
      <c r="AJ31" s="110">
        <f>IF(FL31="","",IF(ISNUMBER('Dvd Calendar'!$AL$223)=FALSE,"",IF((('Dvd Calendar'!$AL$225=TYPE1)*(TYPE1&lt;&gt;"")+('Dvd Calendar'!$AL$225=TYPE2)*(TYPE2&lt;&gt;"")+('Dvd Calendar'!$AL$225=TYPE3)*(TYPE3&lt;&gt;"")+('Dvd Calendar'!$AL$225=TYPE4)*(TYPE4&lt;&gt;"")+('Dvd Calendar'!$AL$225=SPECIAL_LBL)*(INC_SPECIALS="Y"))=0,"",'Dvd Calendar'!$AL$223)))</f>
        <v/>
      </c>
      <c r="AK31" s="110">
        <f>IF(FM31="","",IF(ISNUMBER('Dvd Calendar'!$AM$223)=FALSE,"",IF((('Dvd Calendar'!$AM$225=TYPE1)*(TYPE1&lt;&gt;"")+('Dvd Calendar'!$AM$225=TYPE2)*(TYPE2&lt;&gt;"")+('Dvd Calendar'!$AM$225=TYPE3)*(TYPE3&lt;&gt;"")+('Dvd Calendar'!$AM$225=TYPE4)*(TYPE4&lt;&gt;"")+('Dvd Calendar'!$AM$225=SPECIAL_LBL)*(INC_SPECIALS="Y"))=0,"",'Dvd Calendar'!$AM$223)))</f>
        <v/>
      </c>
      <c r="AL31" s="110">
        <f>IF(FN31="","",IF(ISNUMBER('Dvd Calendar'!$AN$223)=FALSE,"",IF((('Dvd Calendar'!$AN$225=TYPE1)*(TYPE1&lt;&gt;"")+('Dvd Calendar'!$AN$225=TYPE2)*(TYPE2&lt;&gt;"")+('Dvd Calendar'!$AN$225=TYPE3)*(TYPE3&lt;&gt;"")+('Dvd Calendar'!$AN$225=TYPE4)*(TYPE4&lt;&gt;"")+('Dvd Calendar'!$AN$225=SPECIAL_LBL)*(INC_SPECIALS="Y"))=0,"",'Dvd Calendar'!$AN$223)))</f>
        <v/>
      </c>
      <c r="AM31" s="110">
        <f>IF(FO31="","",IF(ISNUMBER('Dvd Calendar'!$AO$223)=FALSE,"",IF((('Dvd Calendar'!$AO$225=TYPE1)*(TYPE1&lt;&gt;"")+('Dvd Calendar'!$AO$225=TYPE2)*(TYPE2&lt;&gt;"")+('Dvd Calendar'!$AO$225=TYPE3)*(TYPE3&lt;&gt;"")+('Dvd Calendar'!$AO$225=TYPE4)*(TYPE4&lt;&gt;"")+('Dvd Calendar'!$AO$225=SPECIAL_LBL)*(INC_SPECIALS="Y"))=0,"",'Dvd Calendar'!$AO$223)))</f>
        <v/>
      </c>
      <c r="AN31" s="110">
        <f>IF(FP31="","",IF(ISNUMBER('Dvd Calendar'!$AP$223)=FALSE,"",IF((('Dvd Calendar'!$AP$225=TYPE1)*(TYPE1&lt;&gt;"")+('Dvd Calendar'!$AP$225=TYPE2)*(TYPE2&lt;&gt;"")+('Dvd Calendar'!$AP$225=TYPE3)*(TYPE3&lt;&gt;"")+('Dvd Calendar'!$AP$225=TYPE4)*(TYPE4&lt;&gt;"")+('Dvd Calendar'!$AP$225=SPECIAL_LBL)*(INC_SPECIALS="Y"))=0,"",'Dvd Calendar'!$AP$223)))</f>
        <v/>
      </c>
      <c r="AO31" s="110">
        <f>IF(FQ31="","",IF(ISNUMBER('Dvd Calendar'!$AQ$223)=FALSE,"",IF((('Dvd Calendar'!$AQ$225=TYPE1)*(TYPE1&lt;&gt;"")+('Dvd Calendar'!$AQ$225=TYPE2)*(TYPE2&lt;&gt;"")+('Dvd Calendar'!$AQ$225=TYPE3)*(TYPE3&lt;&gt;"")+('Dvd Calendar'!$AQ$225=TYPE4)*(TYPE4&lt;&gt;"")+('Dvd Calendar'!$AQ$225=SPECIAL_LBL)*(INC_SPECIALS="Y"))=0,"",'Dvd Calendar'!$AQ$223)))</f>
        <v/>
      </c>
      <c r="AP31" s="110">
        <f>IF(FR31="","",IF(ISNUMBER('Dvd Calendar'!$AR$223)=FALSE,"",IF((('Dvd Calendar'!$AR$225=TYPE1)*(TYPE1&lt;&gt;"")+('Dvd Calendar'!$AR$225=TYPE2)*(TYPE2&lt;&gt;"")+('Dvd Calendar'!$AR$225=TYPE3)*(TYPE3&lt;&gt;"")+('Dvd Calendar'!$AR$225=TYPE4)*(TYPE4&lt;&gt;"")+('Dvd Calendar'!$AR$225=SPECIAL_LBL)*(INC_SPECIALS="Y"))=0,"",'Dvd Calendar'!$AR$223)))</f>
        <v/>
      </c>
      <c r="AQ31" s="110">
        <f>IF(FS31="","",IF(ISNUMBER('Dvd Calendar'!$E$228)=FALSE,"",'Dvd Calendar'!$E$228))</f>
        <v/>
      </c>
      <c r="AR31" s="110">
        <f>IF(FT31="","",IF(ISNUMBER('Dvd Calendar'!$F$228)=FALSE,"",'Dvd Calendar'!$F$228))</f>
        <v/>
      </c>
      <c r="AS31" s="110">
        <f>IF(FU31="","",IF(ISNUMBER('Dvd Calendar'!$G$228)=FALSE,"",'Dvd Calendar'!$G$228))</f>
        <v/>
      </c>
      <c r="AT31" s="110">
        <f>IF(FV31="","",IF(ISNUMBER('Dvd Calendar'!$H$228)=FALSE,"",'Dvd Calendar'!$H$228))</f>
        <v/>
      </c>
      <c r="AU31" s="110">
        <f>IF(FW31="","",IF(ISNUMBER('Dvd Calendar'!$I$228)=FALSE,"",'Dvd Calendar'!$I$228))</f>
        <v/>
      </c>
      <c r="AV31" s="110">
        <f>IF(FX31="","",IF(ISNUMBER('Dvd Calendar'!$J$228)=FALSE,"",'Dvd Calendar'!$J$228))</f>
        <v/>
      </c>
      <c r="AW31" s="110">
        <f>IF(FY31="","",IF(ISNUMBER('Dvd Calendar'!$K$228)=FALSE,"",'Dvd Calendar'!$K$228))</f>
        <v/>
      </c>
      <c r="AX31" s="110">
        <f>IF(FZ31="","",IF(ISNUMBER('Dvd Calendar'!$L$228)=FALSE,"",'Dvd Calendar'!$L$228))</f>
        <v/>
      </c>
      <c r="AY31" s="110">
        <f>IF(GA31="","",IF(ISNUMBER('Dvd Calendar'!$M$228)=FALSE,"",'Dvd Calendar'!$M$228))</f>
        <v/>
      </c>
      <c r="AZ31" s="110">
        <f>IF(GB31="","",IF(ISNUMBER('Dvd Calendar'!$N$228)=FALSE,"",'Dvd Calendar'!$N$228))</f>
        <v/>
      </c>
      <c r="BA31" s="110">
        <f>IF(GC31="","",IF(ISNUMBER('Dvd Calendar'!$O$228)=FALSE,"",'Dvd Calendar'!$O$228))</f>
        <v/>
      </c>
      <c r="BB31" s="110">
        <f>IF(GD31="","",IF(ISNUMBER('Dvd Calendar'!$P$228)=FALSE,"",'Dvd Calendar'!$P$228))</f>
        <v/>
      </c>
      <c r="BC31" s="110">
        <f>IF(GE31="","",IF(ISNUMBER('Dvd Calendar'!$Q$228)=FALSE,"",'Dvd Calendar'!$Q$228))</f>
        <v/>
      </c>
      <c r="BD31" s="110">
        <f>IF(GF31="","",IF(ISNUMBER('Dvd Calendar'!$R$228)=FALSE,"",'Dvd Calendar'!$R$228))</f>
        <v/>
      </c>
      <c r="BE31" s="110">
        <f>IF(GG31="","",IF(ISNUMBER('Dvd Calendar'!$S$228)=FALSE,"",'Dvd Calendar'!$S$228))</f>
        <v/>
      </c>
      <c r="BF31" s="110">
        <f>IF(GH31="","",IF(ISNUMBER('Dvd Calendar'!$T$228)=FALSE,"",'Dvd Calendar'!$T$228))</f>
        <v/>
      </c>
      <c r="BG31" s="110">
        <f>IF(GI31="","",IF(ISNUMBER('Dvd Calendar'!$U$228)=FALSE,"",'Dvd Calendar'!$U$228))</f>
        <v/>
      </c>
      <c r="BH31" s="110">
        <f>IF(GJ31="","",IF(ISNUMBER('Dvd Calendar'!$V$228)=FALSE,"",'Dvd Calendar'!$V$228))</f>
        <v/>
      </c>
      <c r="BI31" s="110">
        <f>IF(GK31="","",IF(ISNUMBER('Dvd Calendar'!$W$228)=FALSE,"",'Dvd Calendar'!$W$228))</f>
        <v/>
      </c>
      <c r="BJ31" s="110">
        <f>IF(GL31="","",IF(ISNUMBER('Dvd Calendar'!$X$228)=FALSE,"",'Dvd Calendar'!$X$228))</f>
        <v/>
      </c>
      <c r="BK31" s="110">
        <f>IF(GM31="","",IF(ISNUMBER('Dvd Calendar'!$Y$228)=FALSE,"",'Dvd Calendar'!$Y$228))</f>
        <v/>
      </c>
      <c r="BL31" s="110">
        <f>IF(GN31="","",IF(ISNUMBER('Dvd Calendar'!$Z$228)=FALSE,"",'Dvd Calendar'!$Z$228))</f>
        <v/>
      </c>
      <c r="BM31" s="110">
        <f>IF(GO31="","",IF(ISNUMBER('Dvd Calendar'!$AA$228)=FALSE,"",'Dvd Calendar'!$AA$228))</f>
        <v/>
      </c>
      <c r="BN31" s="110">
        <f>IF(GP31="","",IF(ISNUMBER('Dvd Calendar'!$AB$228)=FALSE,"",'Dvd Calendar'!$AB$228))</f>
        <v/>
      </c>
      <c r="BO31" s="110">
        <f>IF(GQ31="","",IF(ISNUMBER('Dvd Calendar'!$AC$228)=FALSE,"",'Dvd Calendar'!$AC$228))</f>
        <v/>
      </c>
      <c r="BQ31" s="110">
        <f>IF(C31="","",IFERROR(C31*HSI!$B$26*HSI!$G$26/HSI!$B$3,""))</f>
        <v/>
      </c>
      <c r="BR31" s="110">
        <f>IF(D31="","",IFERROR(D31*HSI!$B$26*HSI!$G$26/HSI!$B$3,""))</f>
        <v/>
      </c>
      <c r="BS31" s="110">
        <f>IF(E31="","",IFERROR(E31*HSI!$B$26*HSI!$G$26/HSI!$B$3,""))</f>
        <v/>
      </c>
      <c r="BT31" s="110">
        <f>IF(F31="","",IFERROR(F31*HSI!$B$26*HSI!$G$26/HSI!$B$3,""))</f>
        <v/>
      </c>
      <c r="BU31" s="110">
        <f>IF(G31="","",IFERROR(G31*HSI!$B$26*HSI!$G$26/HSI!$B$3,""))</f>
        <v/>
      </c>
      <c r="BV31" s="110">
        <f>IF(H31="","",IFERROR(H31*HSI!$B$26*HSI!$G$26/HSI!$B$3,""))</f>
        <v/>
      </c>
      <c r="BW31" s="110">
        <f>IF(I31="","",IFERROR(I31*HSI!$B$26*HSI!$G$26/HSI!$B$3,""))</f>
        <v/>
      </c>
      <c r="BX31" s="110">
        <f>IF(J31="","",IFERROR(J31*HSI!$B$26*HSI!$G$26/HSI!$B$3,""))</f>
        <v/>
      </c>
      <c r="BY31" s="110">
        <f>IF(K31="","",IFERROR(K31*HSI!$B$26*HSI!$G$26/HSI!$B$3,""))</f>
        <v/>
      </c>
      <c r="BZ31" s="110">
        <f>IF(L31="","",IFERROR(L31*HSI!$B$26*HSI!$G$26/HSI!$B$3,""))</f>
        <v/>
      </c>
      <c r="CA31" s="110">
        <f>IF(M31="","",IFERROR(M31*HSI!$B$26*HSI!$G$26/HSI!$B$3,""))</f>
        <v/>
      </c>
      <c r="CB31" s="110">
        <f>IF(N31="","",IFERROR(N31*HSI!$B$26*HSI!$G$26/HSI!$B$3,""))</f>
        <v/>
      </c>
      <c r="CC31" s="110">
        <f>IF(O31="","",IFERROR(O31*HSI!$B$26*HSI!$G$26/HSI!$B$3,""))</f>
        <v/>
      </c>
      <c r="CD31" s="110">
        <f>IF(P31="","",IFERROR(P31*HSI!$B$26*HSI!$G$26/HSI!$B$3,""))</f>
        <v/>
      </c>
      <c r="CE31" s="110">
        <f>IF(Q31="","",IFERROR(Q31*HSI!$B$26*HSI!$G$26/HSI!$B$3,""))</f>
        <v/>
      </c>
      <c r="CF31" s="110">
        <f>IF(R31="","",IFERROR(R31*HSI!$B$26*HSI!$G$26/HSI!$B$3,""))</f>
        <v/>
      </c>
      <c r="CG31" s="110">
        <f>IF(S31="","",IFERROR(S31*HSI!$B$26*HSI!$G$26/HSI!$B$3,""))</f>
        <v/>
      </c>
      <c r="CH31" s="110">
        <f>IF(T31="","",IFERROR(T31*HSI!$B$26*HSI!$G$26/HSI!$B$3,""))</f>
        <v/>
      </c>
      <c r="CI31" s="110">
        <f>IF(U31="","",IFERROR(U31*HSI!$B$26*HSI!$G$26/HSI!$B$3,""))</f>
        <v/>
      </c>
      <c r="CJ31" s="110">
        <f>IF(V31="","",IFERROR(V31*HSI!$B$26*HSI!$G$26/HSI!$B$3,""))</f>
        <v/>
      </c>
      <c r="CK31" s="110">
        <f>IF(W31="","",IFERROR(W31*HSI!$B$26*HSI!$G$26/HSI!$B$3,""))</f>
        <v/>
      </c>
      <c r="CL31" s="110">
        <f>IF(X31="","",IFERROR(X31*HSI!$B$26*HSI!$G$26/HSI!$B$3,""))</f>
        <v/>
      </c>
      <c r="CM31" s="110">
        <f>IF(Y31="","",IFERROR(Y31*HSI!$B$26*HSI!$G$26/HSI!$B$3,""))</f>
        <v/>
      </c>
      <c r="CN31" s="110">
        <f>IF(Z31="","",IFERROR(Z31*HSI!$B$26*HSI!$G$26/HSI!$B$3,""))</f>
        <v/>
      </c>
      <c r="CO31" s="110">
        <f>IF(AA31="","",IFERROR(AA31*HSI!$B$26*HSI!$G$26/HSI!$B$3,""))</f>
        <v/>
      </c>
      <c r="CP31" s="110">
        <f>IF(AB31="","",IFERROR(AB31*HSI!$B$26*HSI!$G$26/HSI!$B$3,""))</f>
        <v/>
      </c>
      <c r="CQ31" s="110">
        <f>IF(AC31="","",IFERROR(AC31*HSI!$B$26*HSI!$G$26/HSI!$B$3,""))</f>
        <v/>
      </c>
      <c r="CR31" s="110">
        <f>IF(AD31="","",IFERROR(AD31*HSI!$B$26*HSI!$G$26/HSI!$B$3,""))</f>
        <v/>
      </c>
      <c r="CS31" s="110">
        <f>IF(AE31="","",IFERROR(AE31*HSI!$B$26*HSI!$G$26/HSI!$B$3,""))</f>
        <v/>
      </c>
      <c r="CT31" s="110">
        <f>IF(AF31="","",IFERROR(AF31*HSI!$B$26*HSI!$G$26/HSI!$B$3,""))</f>
        <v/>
      </c>
      <c r="CU31" s="110">
        <f>IF(AG31="","",IFERROR(AG31*HSI!$B$26*HSI!$G$26/HSI!$B$3,""))</f>
        <v/>
      </c>
      <c r="CV31" s="110">
        <f>IF(AH31="","",IFERROR(AH31*HSI!$B$26*HSI!$G$26/HSI!$B$3,""))</f>
        <v/>
      </c>
      <c r="CW31" s="110">
        <f>IF(AI31="","",IFERROR(AI31*HSI!$B$26*HSI!$G$26/HSI!$B$3,""))</f>
        <v/>
      </c>
      <c r="CX31" s="110">
        <f>IF(AJ31="","",IFERROR(AJ31*HSI!$B$26*HSI!$G$26/HSI!$B$3,""))</f>
        <v/>
      </c>
      <c r="CY31" s="110">
        <f>IF(AK31="","",IFERROR(AK31*HSI!$B$26*HSI!$G$26/HSI!$B$3,""))</f>
        <v/>
      </c>
      <c r="CZ31" s="110">
        <f>IF(AL31="","",IFERROR(AL31*HSI!$B$26*HSI!$G$26/HSI!$B$3,""))</f>
        <v/>
      </c>
      <c r="DA31" s="110">
        <f>IF(AM31="","",IFERROR(AM31*HSI!$B$26*HSI!$G$26/HSI!$B$3,""))</f>
        <v/>
      </c>
      <c r="DB31" s="110">
        <f>IF(AN31="","",IFERROR(AN31*HSI!$B$26*HSI!$G$26/HSI!$B$3,""))</f>
        <v/>
      </c>
      <c r="DC31" s="110">
        <f>IF(AO31="","",IFERROR(AO31*HSI!$B$26*HSI!$G$26/HSI!$B$3,""))</f>
        <v/>
      </c>
      <c r="DD31" s="110">
        <f>IF(AP31="","",IFERROR(AP31*HSI!$B$26*HSI!$G$26/HSI!$B$3,""))</f>
        <v/>
      </c>
      <c r="DE31" s="110">
        <f>IF(AQ31="","",IFERROR(AQ31*HSI!$B$26*HSI!$G$26/HSI!$B$3,""))</f>
        <v/>
      </c>
      <c r="DF31" s="110">
        <f>IF(AR31="","",IFERROR(AR31*HSI!$B$26*HSI!$G$26/HSI!$B$3,""))</f>
        <v/>
      </c>
      <c r="DG31" s="110">
        <f>IF(AS31="","",IFERROR(AS31*HSI!$B$26*HSI!$G$26/HSI!$B$3,""))</f>
        <v/>
      </c>
      <c r="DH31" s="110">
        <f>IF(AT31="","",IFERROR(AT31*HSI!$B$26*HSI!$G$26/HSI!$B$3,""))</f>
        <v/>
      </c>
      <c r="DI31" s="110">
        <f>IF(AU31="","",IFERROR(AU31*HSI!$B$26*HSI!$G$26/HSI!$B$3,""))</f>
        <v/>
      </c>
      <c r="DJ31" s="110">
        <f>IF(AV31="","",IFERROR(AV31*HSI!$B$26*HSI!$G$26/HSI!$B$3,""))</f>
        <v/>
      </c>
      <c r="DK31" s="110">
        <f>IF(AW31="","",IFERROR(AW31*HSI!$B$26*HSI!$G$26/HSI!$B$3,""))</f>
        <v/>
      </c>
      <c r="DL31" s="110">
        <f>IF(AX31="","",IFERROR(AX31*HSI!$B$26*HSI!$G$26/HSI!$B$3,""))</f>
        <v/>
      </c>
      <c r="DM31" s="110">
        <f>IF(AY31="","",IFERROR(AY31*HSI!$B$26*HSI!$G$26/HSI!$B$3,""))</f>
        <v/>
      </c>
      <c r="DN31" s="110">
        <f>IF(AZ31="","",IFERROR(AZ31*HSI!$B$26*HSI!$G$26/HSI!$B$3,""))</f>
        <v/>
      </c>
      <c r="DO31" s="110">
        <f>IF(BA31="","",IFERROR(BA31*HSI!$B$26*HSI!$G$26/HSI!$B$3,""))</f>
        <v/>
      </c>
      <c r="DP31" s="110">
        <f>IF(BB31="","",IFERROR(BB31*HSI!$B$26*HSI!$G$26/HSI!$B$3,""))</f>
        <v/>
      </c>
      <c r="DQ31" s="110">
        <f>IF(BC31="","",IFERROR(BC31*HSI!$B$26*HSI!$G$26/HSI!$B$3,""))</f>
        <v/>
      </c>
      <c r="DR31" s="110">
        <f>IF(BD31="","",IFERROR(BD31*HSI!$B$26*HSI!$G$26/HSI!$B$3,""))</f>
        <v/>
      </c>
      <c r="DS31" s="110">
        <f>IF(BE31="","",IFERROR(BE31*HSI!$B$26*HSI!$G$26/HSI!$B$3,""))</f>
        <v/>
      </c>
      <c r="DT31" s="110">
        <f>IF(BF31="","",IFERROR(BF31*HSI!$B$26*HSI!$G$26/HSI!$B$3,""))</f>
        <v/>
      </c>
      <c r="DU31" s="110">
        <f>IF(BG31="","",IFERROR(BG31*HSI!$B$26*HSI!$G$26/HSI!$B$3,""))</f>
        <v/>
      </c>
      <c r="DV31" s="110">
        <f>IF(BH31="","",IFERROR(BH31*HSI!$B$26*HSI!$G$26/HSI!$B$3,""))</f>
        <v/>
      </c>
      <c r="DW31" s="110">
        <f>IF(BI31="","",IFERROR(BI31*HSI!$B$26*HSI!$G$26/HSI!$B$3,""))</f>
        <v/>
      </c>
      <c r="DX31" s="110">
        <f>IF(BJ31="","",IFERROR(BJ31*HSI!$B$26*HSI!$G$26/HSI!$B$3,""))</f>
        <v/>
      </c>
      <c r="DY31" s="110">
        <f>IF(BK31="","",IFERROR(BK31*HSI!$B$26*HSI!$G$26/HSI!$B$3,""))</f>
        <v/>
      </c>
      <c r="DZ31" s="110">
        <f>IF(BL31="","",IFERROR(BL31*HSI!$B$26*HSI!$G$26/HSI!$B$3,""))</f>
        <v/>
      </c>
      <c r="EA31" s="110">
        <f>IF(BM31="","",IFERROR(BM31*HSI!$B$26*HSI!$G$26/HSI!$B$3,""))</f>
        <v/>
      </c>
      <c r="EB31" s="110">
        <f>IF(BN31="","",IFERROR(BN31*HSI!$B$26*HSI!$G$26/HSI!$B$3,""))</f>
        <v/>
      </c>
      <c r="EC31" s="110">
        <f>IF(BO31="","",IFERROR(BO31*HSI!$B$26*HSI!$G$26/HSI!$B$3,""))</f>
        <v/>
      </c>
      <c r="EE31" s="39">
        <f>IF(N('Dvd Calendar'!$E$220)=0,"",IF(('Dvd Calendar'!$E$220&gt;=GRID_FROM)*('Dvd Calendar'!$E$220&lt;=GRID_TO)*((('Dvd Calendar'!$E$220&lt;=VAL_DATE)+(COUNTIF('Dvd Calendar'!$E$227:$AR$227,'Dvd Calendar'!$E$220)=0))&gt;0)=0,"",'Dvd Calendar'!$E$220*1000000000+ISNUMBER('Dvd Calendar'!$E$223)*100000000+('Dvd Calendar'!$E$225=SPECIAL_LBL)*10000000+(N('Dvd Calendar'!$E$219)&gt;0)*(N('Dvd Calendar'!$E$219)&lt;=VAL_SERIAL)*1000000+20*1000+1))</f>
        <v/>
      </c>
      <c r="EF31" s="39">
        <f>IF(N('Dvd Calendar'!$F$220)=0,"",IF(('Dvd Calendar'!$F$220&gt;=GRID_FROM)*('Dvd Calendar'!$F$220&lt;=GRID_TO)*((('Dvd Calendar'!$F$220&lt;=VAL_DATE)+(COUNTIF('Dvd Calendar'!$E$227:$AR$227,'Dvd Calendar'!$F$220)=0))&gt;0)=0,"",'Dvd Calendar'!$F$220*1000000000+ISNUMBER('Dvd Calendar'!$F$223)*100000000+('Dvd Calendar'!$F$225=SPECIAL_LBL)*10000000+(N('Dvd Calendar'!$F$219)&gt;0)*(N('Dvd Calendar'!$F$219)&lt;=VAL_SERIAL)*1000000+20*1000+2))</f>
        <v/>
      </c>
      <c r="EG31" s="39">
        <f>IF(N('Dvd Calendar'!$G$220)=0,"",IF(('Dvd Calendar'!$G$220&gt;=GRID_FROM)*('Dvd Calendar'!$G$220&lt;=GRID_TO)*((('Dvd Calendar'!$G$220&lt;=VAL_DATE)+(COUNTIF('Dvd Calendar'!$E$227:$AR$227,'Dvd Calendar'!$G$220)=0))&gt;0)=0,"",'Dvd Calendar'!$G$220*1000000000+ISNUMBER('Dvd Calendar'!$G$223)*100000000+('Dvd Calendar'!$G$225=SPECIAL_LBL)*10000000+(N('Dvd Calendar'!$G$219)&gt;0)*(N('Dvd Calendar'!$G$219)&lt;=VAL_SERIAL)*1000000+20*1000+3))</f>
        <v/>
      </c>
      <c r="EH31" s="39">
        <f>IF(N('Dvd Calendar'!$H$220)=0,"",IF(('Dvd Calendar'!$H$220&gt;=GRID_FROM)*('Dvd Calendar'!$H$220&lt;=GRID_TO)*((('Dvd Calendar'!$H$220&lt;=VAL_DATE)+(COUNTIF('Dvd Calendar'!$E$227:$AR$227,'Dvd Calendar'!$H$220)=0))&gt;0)=0,"",'Dvd Calendar'!$H$220*1000000000+ISNUMBER('Dvd Calendar'!$H$223)*100000000+('Dvd Calendar'!$H$225=SPECIAL_LBL)*10000000+(N('Dvd Calendar'!$H$219)&gt;0)*(N('Dvd Calendar'!$H$219)&lt;=VAL_SERIAL)*1000000+20*1000+4))</f>
        <v/>
      </c>
      <c r="EI31" s="39">
        <f>IF(N('Dvd Calendar'!$I$220)=0,"",IF(('Dvd Calendar'!$I$220&gt;=GRID_FROM)*('Dvd Calendar'!$I$220&lt;=GRID_TO)*((('Dvd Calendar'!$I$220&lt;=VAL_DATE)+(COUNTIF('Dvd Calendar'!$E$227:$AR$227,'Dvd Calendar'!$I$220)=0))&gt;0)=0,"",'Dvd Calendar'!$I$220*1000000000+ISNUMBER('Dvd Calendar'!$I$223)*100000000+('Dvd Calendar'!$I$225=SPECIAL_LBL)*10000000+(N('Dvd Calendar'!$I$219)&gt;0)*(N('Dvd Calendar'!$I$219)&lt;=VAL_SERIAL)*1000000+20*1000+5))</f>
        <v/>
      </c>
      <c r="EJ31" s="39">
        <f>IF(N('Dvd Calendar'!$J$220)=0,"",IF(('Dvd Calendar'!$J$220&gt;=GRID_FROM)*('Dvd Calendar'!$J$220&lt;=GRID_TO)*((('Dvd Calendar'!$J$220&lt;=VAL_DATE)+(COUNTIF('Dvd Calendar'!$E$227:$AR$227,'Dvd Calendar'!$J$220)=0))&gt;0)=0,"",'Dvd Calendar'!$J$220*1000000000+ISNUMBER('Dvd Calendar'!$J$223)*100000000+('Dvd Calendar'!$J$225=SPECIAL_LBL)*10000000+(N('Dvd Calendar'!$J$219)&gt;0)*(N('Dvd Calendar'!$J$219)&lt;=VAL_SERIAL)*1000000+20*1000+6))</f>
        <v/>
      </c>
      <c r="EK31" s="39">
        <f>IF(N('Dvd Calendar'!$K$220)=0,"",IF(('Dvd Calendar'!$K$220&gt;=GRID_FROM)*('Dvd Calendar'!$K$220&lt;=GRID_TO)*((('Dvd Calendar'!$K$220&lt;=VAL_DATE)+(COUNTIF('Dvd Calendar'!$E$227:$AR$227,'Dvd Calendar'!$K$220)=0))&gt;0)=0,"",'Dvd Calendar'!$K$220*1000000000+ISNUMBER('Dvd Calendar'!$K$223)*100000000+('Dvd Calendar'!$K$225=SPECIAL_LBL)*10000000+(N('Dvd Calendar'!$K$219)&gt;0)*(N('Dvd Calendar'!$K$219)&lt;=VAL_SERIAL)*1000000+20*1000+7))</f>
        <v/>
      </c>
      <c r="EL31" s="39">
        <f>IF(N('Dvd Calendar'!$L$220)=0,"",IF(('Dvd Calendar'!$L$220&gt;=GRID_FROM)*('Dvd Calendar'!$L$220&lt;=GRID_TO)*((('Dvd Calendar'!$L$220&lt;=VAL_DATE)+(COUNTIF('Dvd Calendar'!$E$227:$AR$227,'Dvd Calendar'!$L$220)=0))&gt;0)=0,"",'Dvd Calendar'!$L$220*1000000000+ISNUMBER('Dvd Calendar'!$L$223)*100000000+('Dvd Calendar'!$L$225=SPECIAL_LBL)*10000000+(N('Dvd Calendar'!$L$219)&gt;0)*(N('Dvd Calendar'!$L$219)&lt;=VAL_SERIAL)*1000000+20*1000+8))</f>
        <v/>
      </c>
      <c r="EM31" s="39">
        <f>IF(N('Dvd Calendar'!$M$220)=0,"",IF(('Dvd Calendar'!$M$220&gt;=GRID_FROM)*('Dvd Calendar'!$M$220&lt;=GRID_TO)*((('Dvd Calendar'!$M$220&lt;=VAL_DATE)+(COUNTIF('Dvd Calendar'!$E$227:$AR$227,'Dvd Calendar'!$M$220)=0))&gt;0)=0,"",'Dvd Calendar'!$M$220*1000000000+ISNUMBER('Dvd Calendar'!$M$223)*100000000+('Dvd Calendar'!$M$225=SPECIAL_LBL)*10000000+(N('Dvd Calendar'!$M$219)&gt;0)*(N('Dvd Calendar'!$M$219)&lt;=VAL_SERIAL)*1000000+20*1000+9))</f>
        <v/>
      </c>
      <c r="EN31" s="39">
        <f>IF(N('Dvd Calendar'!$N$220)=0,"",IF(('Dvd Calendar'!$N$220&gt;=GRID_FROM)*('Dvd Calendar'!$N$220&lt;=GRID_TO)*((('Dvd Calendar'!$N$220&lt;=VAL_DATE)+(COUNTIF('Dvd Calendar'!$E$227:$AR$227,'Dvd Calendar'!$N$220)=0))&gt;0)=0,"",'Dvd Calendar'!$N$220*1000000000+ISNUMBER('Dvd Calendar'!$N$223)*100000000+('Dvd Calendar'!$N$225=SPECIAL_LBL)*10000000+(N('Dvd Calendar'!$N$219)&gt;0)*(N('Dvd Calendar'!$N$219)&lt;=VAL_SERIAL)*1000000+20*1000+10))</f>
        <v/>
      </c>
      <c r="EO31" s="39">
        <f>IF(N('Dvd Calendar'!$O$220)=0,"",IF(('Dvd Calendar'!$O$220&gt;=GRID_FROM)*('Dvd Calendar'!$O$220&lt;=GRID_TO)*((('Dvd Calendar'!$O$220&lt;=VAL_DATE)+(COUNTIF('Dvd Calendar'!$E$227:$AR$227,'Dvd Calendar'!$O$220)=0))&gt;0)=0,"",'Dvd Calendar'!$O$220*1000000000+ISNUMBER('Dvd Calendar'!$O$223)*100000000+('Dvd Calendar'!$O$225=SPECIAL_LBL)*10000000+(N('Dvd Calendar'!$O$219)&gt;0)*(N('Dvd Calendar'!$O$219)&lt;=VAL_SERIAL)*1000000+20*1000+11))</f>
        <v/>
      </c>
      <c r="EP31" s="39">
        <f>IF(N('Dvd Calendar'!$P$220)=0,"",IF(('Dvd Calendar'!$P$220&gt;=GRID_FROM)*('Dvd Calendar'!$P$220&lt;=GRID_TO)*((('Dvd Calendar'!$P$220&lt;=VAL_DATE)+(COUNTIF('Dvd Calendar'!$E$227:$AR$227,'Dvd Calendar'!$P$220)=0))&gt;0)=0,"",'Dvd Calendar'!$P$220*1000000000+ISNUMBER('Dvd Calendar'!$P$223)*100000000+('Dvd Calendar'!$P$225=SPECIAL_LBL)*10000000+(N('Dvd Calendar'!$P$219)&gt;0)*(N('Dvd Calendar'!$P$219)&lt;=VAL_SERIAL)*1000000+20*1000+12))</f>
        <v/>
      </c>
      <c r="EQ31" s="39">
        <f>IF(N('Dvd Calendar'!$Q$220)=0,"",IF(('Dvd Calendar'!$Q$220&gt;=GRID_FROM)*('Dvd Calendar'!$Q$220&lt;=GRID_TO)*((('Dvd Calendar'!$Q$220&lt;=VAL_DATE)+(COUNTIF('Dvd Calendar'!$E$227:$AR$227,'Dvd Calendar'!$Q$220)=0))&gt;0)=0,"",'Dvd Calendar'!$Q$220*1000000000+ISNUMBER('Dvd Calendar'!$Q$223)*100000000+('Dvd Calendar'!$Q$225=SPECIAL_LBL)*10000000+(N('Dvd Calendar'!$Q$219)&gt;0)*(N('Dvd Calendar'!$Q$219)&lt;=VAL_SERIAL)*1000000+20*1000+13))</f>
        <v/>
      </c>
      <c r="ER31" s="39">
        <f>IF(N('Dvd Calendar'!$R$220)=0,"",IF(('Dvd Calendar'!$R$220&gt;=GRID_FROM)*('Dvd Calendar'!$R$220&lt;=GRID_TO)*((('Dvd Calendar'!$R$220&lt;=VAL_DATE)+(COUNTIF('Dvd Calendar'!$E$227:$AR$227,'Dvd Calendar'!$R$220)=0))&gt;0)=0,"",'Dvd Calendar'!$R$220*1000000000+ISNUMBER('Dvd Calendar'!$R$223)*100000000+('Dvd Calendar'!$R$225=SPECIAL_LBL)*10000000+(N('Dvd Calendar'!$R$219)&gt;0)*(N('Dvd Calendar'!$R$219)&lt;=VAL_SERIAL)*1000000+20*1000+14))</f>
        <v/>
      </c>
      <c r="ES31" s="39">
        <f>IF(N('Dvd Calendar'!$S$220)=0,"",IF(('Dvd Calendar'!$S$220&gt;=GRID_FROM)*('Dvd Calendar'!$S$220&lt;=GRID_TO)*((('Dvd Calendar'!$S$220&lt;=VAL_DATE)+(COUNTIF('Dvd Calendar'!$E$227:$AR$227,'Dvd Calendar'!$S$220)=0))&gt;0)=0,"",'Dvd Calendar'!$S$220*1000000000+ISNUMBER('Dvd Calendar'!$S$223)*100000000+('Dvd Calendar'!$S$225=SPECIAL_LBL)*10000000+(N('Dvd Calendar'!$S$219)&gt;0)*(N('Dvd Calendar'!$S$219)&lt;=VAL_SERIAL)*1000000+20*1000+15))</f>
        <v/>
      </c>
      <c r="ET31" s="39">
        <f>IF(N('Dvd Calendar'!$T$220)=0,"",IF(('Dvd Calendar'!$T$220&gt;=GRID_FROM)*('Dvd Calendar'!$T$220&lt;=GRID_TO)*((('Dvd Calendar'!$T$220&lt;=VAL_DATE)+(COUNTIF('Dvd Calendar'!$E$227:$AR$227,'Dvd Calendar'!$T$220)=0))&gt;0)=0,"",'Dvd Calendar'!$T$220*1000000000+ISNUMBER('Dvd Calendar'!$T$223)*100000000+('Dvd Calendar'!$T$225=SPECIAL_LBL)*10000000+(N('Dvd Calendar'!$T$219)&gt;0)*(N('Dvd Calendar'!$T$219)&lt;=VAL_SERIAL)*1000000+20*1000+16))</f>
        <v/>
      </c>
      <c r="EU31" s="39">
        <f>IF(N('Dvd Calendar'!$U$220)=0,"",IF(('Dvd Calendar'!$U$220&gt;=GRID_FROM)*('Dvd Calendar'!$U$220&lt;=GRID_TO)*((('Dvd Calendar'!$U$220&lt;=VAL_DATE)+(COUNTIF('Dvd Calendar'!$E$227:$AR$227,'Dvd Calendar'!$U$220)=0))&gt;0)=0,"",'Dvd Calendar'!$U$220*1000000000+ISNUMBER('Dvd Calendar'!$U$223)*100000000+('Dvd Calendar'!$U$225=SPECIAL_LBL)*10000000+(N('Dvd Calendar'!$U$219)&gt;0)*(N('Dvd Calendar'!$U$219)&lt;=VAL_SERIAL)*1000000+20*1000+17))</f>
        <v/>
      </c>
      <c r="EV31" s="39">
        <f>IF(N('Dvd Calendar'!$V$220)=0,"",IF(('Dvd Calendar'!$V$220&gt;=GRID_FROM)*('Dvd Calendar'!$V$220&lt;=GRID_TO)*((('Dvd Calendar'!$V$220&lt;=VAL_DATE)+(COUNTIF('Dvd Calendar'!$E$227:$AR$227,'Dvd Calendar'!$V$220)=0))&gt;0)=0,"",'Dvd Calendar'!$V$220*1000000000+ISNUMBER('Dvd Calendar'!$V$223)*100000000+('Dvd Calendar'!$V$225=SPECIAL_LBL)*10000000+(N('Dvd Calendar'!$V$219)&gt;0)*(N('Dvd Calendar'!$V$219)&lt;=VAL_SERIAL)*1000000+20*1000+18))</f>
        <v/>
      </c>
      <c r="EW31" s="39">
        <f>IF(N('Dvd Calendar'!$W$220)=0,"",IF(('Dvd Calendar'!$W$220&gt;=GRID_FROM)*('Dvd Calendar'!$W$220&lt;=GRID_TO)*((('Dvd Calendar'!$W$220&lt;=VAL_DATE)+(COUNTIF('Dvd Calendar'!$E$227:$AR$227,'Dvd Calendar'!$W$220)=0))&gt;0)=0,"",'Dvd Calendar'!$W$220*1000000000+ISNUMBER('Dvd Calendar'!$W$223)*100000000+('Dvd Calendar'!$W$225=SPECIAL_LBL)*10000000+(N('Dvd Calendar'!$W$219)&gt;0)*(N('Dvd Calendar'!$W$219)&lt;=VAL_SERIAL)*1000000+20*1000+19))</f>
        <v/>
      </c>
      <c r="EX31" s="39">
        <f>IF(N('Dvd Calendar'!$X$220)=0,"",IF(('Dvd Calendar'!$X$220&gt;=GRID_FROM)*('Dvd Calendar'!$X$220&lt;=GRID_TO)*((('Dvd Calendar'!$X$220&lt;=VAL_DATE)+(COUNTIF('Dvd Calendar'!$E$227:$AR$227,'Dvd Calendar'!$X$220)=0))&gt;0)=0,"",'Dvd Calendar'!$X$220*1000000000+ISNUMBER('Dvd Calendar'!$X$223)*100000000+('Dvd Calendar'!$X$225=SPECIAL_LBL)*10000000+(N('Dvd Calendar'!$X$219)&gt;0)*(N('Dvd Calendar'!$X$219)&lt;=VAL_SERIAL)*1000000+20*1000+20))</f>
        <v/>
      </c>
      <c r="EY31" s="39">
        <f>IF(N('Dvd Calendar'!$Y$220)=0,"",IF(('Dvd Calendar'!$Y$220&gt;=GRID_FROM)*('Dvd Calendar'!$Y$220&lt;=GRID_TO)*((('Dvd Calendar'!$Y$220&lt;=VAL_DATE)+(COUNTIF('Dvd Calendar'!$E$227:$AR$227,'Dvd Calendar'!$Y$220)=0))&gt;0)=0,"",'Dvd Calendar'!$Y$220*1000000000+ISNUMBER('Dvd Calendar'!$Y$223)*100000000+('Dvd Calendar'!$Y$225=SPECIAL_LBL)*10000000+(N('Dvd Calendar'!$Y$219)&gt;0)*(N('Dvd Calendar'!$Y$219)&lt;=VAL_SERIAL)*1000000+20*1000+21))</f>
        <v/>
      </c>
      <c r="EZ31" s="39">
        <f>IF(N('Dvd Calendar'!$Z$220)=0,"",IF(('Dvd Calendar'!$Z$220&gt;=GRID_FROM)*('Dvd Calendar'!$Z$220&lt;=GRID_TO)*((('Dvd Calendar'!$Z$220&lt;=VAL_DATE)+(COUNTIF('Dvd Calendar'!$E$227:$AR$227,'Dvd Calendar'!$Z$220)=0))&gt;0)=0,"",'Dvd Calendar'!$Z$220*1000000000+ISNUMBER('Dvd Calendar'!$Z$223)*100000000+('Dvd Calendar'!$Z$225=SPECIAL_LBL)*10000000+(N('Dvd Calendar'!$Z$219)&gt;0)*(N('Dvd Calendar'!$Z$219)&lt;=VAL_SERIAL)*1000000+20*1000+22))</f>
        <v/>
      </c>
      <c r="FA31" s="39">
        <f>IF(N('Dvd Calendar'!$AA$220)=0,"",IF(('Dvd Calendar'!$AA$220&gt;=GRID_FROM)*('Dvd Calendar'!$AA$220&lt;=GRID_TO)*((('Dvd Calendar'!$AA$220&lt;=VAL_DATE)+(COUNTIF('Dvd Calendar'!$E$227:$AR$227,'Dvd Calendar'!$AA$220)=0))&gt;0)=0,"",'Dvd Calendar'!$AA$220*1000000000+ISNUMBER('Dvd Calendar'!$AA$223)*100000000+('Dvd Calendar'!$AA$225=SPECIAL_LBL)*10000000+(N('Dvd Calendar'!$AA$219)&gt;0)*(N('Dvd Calendar'!$AA$219)&lt;=VAL_SERIAL)*1000000+20*1000+23))</f>
        <v/>
      </c>
      <c r="FB31" s="39">
        <f>IF(N('Dvd Calendar'!$AB$220)=0,"",IF(('Dvd Calendar'!$AB$220&gt;=GRID_FROM)*('Dvd Calendar'!$AB$220&lt;=GRID_TO)*((('Dvd Calendar'!$AB$220&lt;=VAL_DATE)+(COUNTIF('Dvd Calendar'!$E$227:$AR$227,'Dvd Calendar'!$AB$220)=0))&gt;0)=0,"",'Dvd Calendar'!$AB$220*1000000000+ISNUMBER('Dvd Calendar'!$AB$223)*100000000+('Dvd Calendar'!$AB$225=SPECIAL_LBL)*10000000+(N('Dvd Calendar'!$AB$219)&gt;0)*(N('Dvd Calendar'!$AB$219)&lt;=VAL_SERIAL)*1000000+20*1000+24))</f>
        <v/>
      </c>
      <c r="FC31" s="39">
        <f>IF(N('Dvd Calendar'!$AC$220)=0,"",IF(('Dvd Calendar'!$AC$220&gt;=GRID_FROM)*('Dvd Calendar'!$AC$220&lt;=GRID_TO)*((('Dvd Calendar'!$AC$220&lt;=VAL_DATE)+(COUNTIF('Dvd Calendar'!$E$227:$AR$227,'Dvd Calendar'!$AC$220)=0))&gt;0)=0,"",'Dvd Calendar'!$AC$220*1000000000+ISNUMBER('Dvd Calendar'!$AC$223)*100000000+('Dvd Calendar'!$AC$225=SPECIAL_LBL)*10000000+(N('Dvd Calendar'!$AC$219)&gt;0)*(N('Dvd Calendar'!$AC$219)&lt;=VAL_SERIAL)*1000000+20*1000+25))</f>
        <v/>
      </c>
      <c r="FD31" s="39">
        <f>IF(N('Dvd Calendar'!$AD$220)=0,"",IF(('Dvd Calendar'!$AD$220&gt;=GRID_FROM)*('Dvd Calendar'!$AD$220&lt;=GRID_TO)*((('Dvd Calendar'!$AD$220&lt;=VAL_DATE)+(COUNTIF('Dvd Calendar'!$E$227:$AR$227,'Dvd Calendar'!$AD$220)=0))&gt;0)=0,"",'Dvd Calendar'!$AD$220*1000000000+ISNUMBER('Dvd Calendar'!$AD$223)*100000000+('Dvd Calendar'!$AD$225=SPECIAL_LBL)*10000000+(N('Dvd Calendar'!$AD$219)&gt;0)*(N('Dvd Calendar'!$AD$219)&lt;=VAL_SERIAL)*1000000+20*1000+26))</f>
        <v/>
      </c>
      <c r="FE31" s="39">
        <f>IF(N('Dvd Calendar'!$AE$220)=0,"",IF(('Dvd Calendar'!$AE$220&gt;=GRID_FROM)*('Dvd Calendar'!$AE$220&lt;=GRID_TO)*((('Dvd Calendar'!$AE$220&lt;=VAL_DATE)+(COUNTIF('Dvd Calendar'!$E$227:$AR$227,'Dvd Calendar'!$AE$220)=0))&gt;0)=0,"",'Dvd Calendar'!$AE$220*1000000000+ISNUMBER('Dvd Calendar'!$AE$223)*100000000+('Dvd Calendar'!$AE$225=SPECIAL_LBL)*10000000+(N('Dvd Calendar'!$AE$219)&gt;0)*(N('Dvd Calendar'!$AE$219)&lt;=VAL_SERIAL)*1000000+20*1000+27))</f>
        <v/>
      </c>
      <c r="FF31" s="39">
        <f>IF(N('Dvd Calendar'!$AF$220)=0,"",IF(('Dvd Calendar'!$AF$220&gt;=GRID_FROM)*('Dvd Calendar'!$AF$220&lt;=GRID_TO)*((('Dvd Calendar'!$AF$220&lt;=VAL_DATE)+(COUNTIF('Dvd Calendar'!$E$227:$AR$227,'Dvd Calendar'!$AF$220)=0))&gt;0)=0,"",'Dvd Calendar'!$AF$220*1000000000+ISNUMBER('Dvd Calendar'!$AF$223)*100000000+('Dvd Calendar'!$AF$225=SPECIAL_LBL)*10000000+(N('Dvd Calendar'!$AF$219)&gt;0)*(N('Dvd Calendar'!$AF$219)&lt;=VAL_SERIAL)*1000000+20*1000+28))</f>
        <v/>
      </c>
      <c r="FG31" s="39">
        <f>IF(N('Dvd Calendar'!$AG$220)=0,"",IF(('Dvd Calendar'!$AG$220&gt;=GRID_FROM)*('Dvd Calendar'!$AG$220&lt;=GRID_TO)*((('Dvd Calendar'!$AG$220&lt;=VAL_DATE)+(COUNTIF('Dvd Calendar'!$E$227:$AR$227,'Dvd Calendar'!$AG$220)=0))&gt;0)=0,"",'Dvd Calendar'!$AG$220*1000000000+ISNUMBER('Dvd Calendar'!$AG$223)*100000000+('Dvd Calendar'!$AG$225=SPECIAL_LBL)*10000000+(N('Dvd Calendar'!$AG$219)&gt;0)*(N('Dvd Calendar'!$AG$219)&lt;=VAL_SERIAL)*1000000+20*1000+29))</f>
        <v/>
      </c>
      <c r="FH31" s="39">
        <f>IF(N('Dvd Calendar'!$AH$220)=0,"",IF(('Dvd Calendar'!$AH$220&gt;=GRID_FROM)*('Dvd Calendar'!$AH$220&lt;=GRID_TO)*((('Dvd Calendar'!$AH$220&lt;=VAL_DATE)+(COUNTIF('Dvd Calendar'!$E$227:$AR$227,'Dvd Calendar'!$AH$220)=0))&gt;0)=0,"",'Dvd Calendar'!$AH$220*1000000000+ISNUMBER('Dvd Calendar'!$AH$223)*100000000+('Dvd Calendar'!$AH$225=SPECIAL_LBL)*10000000+(N('Dvd Calendar'!$AH$219)&gt;0)*(N('Dvd Calendar'!$AH$219)&lt;=VAL_SERIAL)*1000000+20*1000+30))</f>
        <v/>
      </c>
      <c r="FI31" s="39">
        <f>IF(N('Dvd Calendar'!$AI$220)=0,"",IF(('Dvd Calendar'!$AI$220&gt;=GRID_FROM)*('Dvd Calendar'!$AI$220&lt;=GRID_TO)*((('Dvd Calendar'!$AI$220&lt;=VAL_DATE)+(COUNTIF('Dvd Calendar'!$E$227:$AR$227,'Dvd Calendar'!$AI$220)=0))&gt;0)=0,"",'Dvd Calendar'!$AI$220*1000000000+ISNUMBER('Dvd Calendar'!$AI$223)*100000000+('Dvd Calendar'!$AI$225=SPECIAL_LBL)*10000000+(N('Dvd Calendar'!$AI$219)&gt;0)*(N('Dvd Calendar'!$AI$219)&lt;=VAL_SERIAL)*1000000+20*1000+31))</f>
        <v/>
      </c>
      <c r="FJ31" s="39">
        <f>IF(N('Dvd Calendar'!$AJ$220)=0,"",IF(('Dvd Calendar'!$AJ$220&gt;=GRID_FROM)*('Dvd Calendar'!$AJ$220&lt;=GRID_TO)*((('Dvd Calendar'!$AJ$220&lt;=VAL_DATE)+(COUNTIF('Dvd Calendar'!$E$227:$AR$227,'Dvd Calendar'!$AJ$220)=0))&gt;0)=0,"",'Dvd Calendar'!$AJ$220*1000000000+ISNUMBER('Dvd Calendar'!$AJ$223)*100000000+('Dvd Calendar'!$AJ$225=SPECIAL_LBL)*10000000+(N('Dvd Calendar'!$AJ$219)&gt;0)*(N('Dvd Calendar'!$AJ$219)&lt;=VAL_SERIAL)*1000000+20*1000+32))</f>
        <v/>
      </c>
      <c r="FK31" s="39">
        <f>IF(N('Dvd Calendar'!$AK$220)=0,"",IF(('Dvd Calendar'!$AK$220&gt;=GRID_FROM)*('Dvd Calendar'!$AK$220&lt;=GRID_TO)*((('Dvd Calendar'!$AK$220&lt;=VAL_DATE)+(COUNTIF('Dvd Calendar'!$E$227:$AR$227,'Dvd Calendar'!$AK$220)=0))&gt;0)=0,"",'Dvd Calendar'!$AK$220*1000000000+ISNUMBER('Dvd Calendar'!$AK$223)*100000000+('Dvd Calendar'!$AK$225=SPECIAL_LBL)*10000000+(N('Dvd Calendar'!$AK$219)&gt;0)*(N('Dvd Calendar'!$AK$219)&lt;=VAL_SERIAL)*1000000+20*1000+33))</f>
        <v/>
      </c>
      <c r="FL31" s="39">
        <f>IF(N('Dvd Calendar'!$AL$220)=0,"",IF(('Dvd Calendar'!$AL$220&gt;=GRID_FROM)*('Dvd Calendar'!$AL$220&lt;=GRID_TO)*((('Dvd Calendar'!$AL$220&lt;=VAL_DATE)+(COUNTIF('Dvd Calendar'!$E$227:$AR$227,'Dvd Calendar'!$AL$220)=0))&gt;0)=0,"",'Dvd Calendar'!$AL$220*1000000000+ISNUMBER('Dvd Calendar'!$AL$223)*100000000+('Dvd Calendar'!$AL$225=SPECIAL_LBL)*10000000+(N('Dvd Calendar'!$AL$219)&gt;0)*(N('Dvd Calendar'!$AL$219)&lt;=VAL_SERIAL)*1000000+20*1000+34))</f>
        <v/>
      </c>
      <c r="FM31" s="39">
        <f>IF(N('Dvd Calendar'!$AM$220)=0,"",IF(('Dvd Calendar'!$AM$220&gt;=GRID_FROM)*('Dvd Calendar'!$AM$220&lt;=GRID_TO)*((('Dvd Calendar'!$AM$220&lt;=VAL_DATE)+(COUNTIF('Dvd Calendar'!$E$227:$AR$227,'Dvd Calendar'!$AM$220)=0))&gt;0)=0,"",'Dvd Calendar'!$AM$220*1000000000+ISNUMBER('Dvd Calendar'!$AM$223)*100000000+('Dvd Calendar'!$AM$225=SPECIAL_LBL)*10000000+(N('Dvd Calendar'!$AM$219)&gt;0)*(N('Dvd Calendar'!$AM$219)&lt;=VAL_SERIAL)*1000000+20*1000+35))</f>
        <v/>
      </c>
      <c r="FN31" s="39">
        <f>IF(N('Dvd Calendar'!$AN$220)=0,"",IF(('Dvd Calendar'!$AN$220&gt;=GRID_FROM)*('Dvd Calendar'!$AN$220&lt;=GRID_TO)*((('Dvd Calendar'!$AN$220&lt;=VAL_DATE)+(COUNTIF('Dvd Calendar'!$E$227:$AR$227,'Dvd Calendar'!$AN$220)=0))&gt;0)=0,"",'Dvd Calendar'!$AN$220*1000000000+ISNUMBER('Dvd Calendar'!$AN$223)*100000000+('Dvd Calendar'!$AN$225=SPECIAL_LBL)*10000000+(N('Dvd Calendar'!$AN$219)&gt;0)*(N('Dvd Calendar'!$AN$219)&lt;=VAL_SERIAL)*1000000+20*1000+36))</f>
        <v/>
      </c>
      <c r="FO31" s="39">
        <f>IF(N('Dvd Calendar'!$AO$220)=0,"",IF(('Dvd Calendar'!$AO$220&gt;=GRID_FROM)*('Dvd Calendar'!$AO$220&lt;=GRID_TO)*((('Dvd Calendar'!$AO$220&lt;=VAL_DATE)+(COUNTIF('Dvd Calendar'!$E$227:$AR$227,'Dvd Calendar'!$AO$220)=0))&gt;0)=0,"",'Dvd Calendar'!$AO$220*1000000000+ISNUMBER('Dvd Calendar'!$AO$223)*100000000+('Dvd Calendar'!$AO$225=SPECIAL_LBL)*10000000+(N('Dvd Calendar'!$AO$219)&gt;0)*(N('Dvd Calendar'!$AO$219)&lt;=VAL_SERIAL)*1000000+20*1000+37))</f>
        <v/>
      </c>
      <c r="FP31" s="39">
        <f>IF(N('Dvd Calendar'!$AP$220)=0,"",IF(('Dvd Calendar'!$AP$220&gt;=GRID_FROM)*('Dvd Calendar'!$AP$220&lt;=GRID_TO)*((('Dvd Calendar'!$AP$220&lt;=VAL_DATE)+(COUNTIF('Dvd Calendar'!$E$227:$AR$227,'Dvd Calendar'!$AP$220)=0))&gt;0)=0,"",'Dvd Calendar'!$AP$220*1000000000+ISNUMBER('Dvd Calendar'!$AP$223)*100000000+('Dvd Calendar'!$AP$225=SPECIAL_LBL)*10000000+(N('Dvd Calendar'!$AP$219)&gt;0)*(N('Dvd Calendar'!$AP$219)&lt;=VAL_SERIAL)*1000000+20*1000+38))</f>
        <v/>
      </c>
      <c r="FQ31" s="39">
        <f>IF(N('Dvd Calendar'!$AQ$220)=0,"",IF(('Dvd Calendar'!$AQ$220&gt;=GRID_FROM)*('Dvd Calendar'!$AQ$220&lt;=GRID_TO)*((('Dvd Calendar'!$AQ$220&lt;=VAL_DATE)+(COUNTIF('Dvd Calendar'!$E$227:$AR$227,'Dvd Calendar'!$AQ$220)=0))&gt;0)=0,"",'Dvd Calendar'!$AQ$220*1000000000+ISNUMBER('Dvd Calendar'!$AQ$223)*100000000+('Dvd Calendar'!$AQ$225=SPECIAL_LBL)*10000000+(N('Dvd Calendar'!$AQ$219)&gt;0)*(N('Dvd Calendar'!$AQ$219)&lt;=VAL_SERIAL)*1000000+20*1000+39))</f>
        <v/>
      </c>
      <c r="FR31" s="39">
        <f>IF(N('Dvd Calendar'!$AR$220)=0,"",IF(('Dvd Calendar'!$AR$220&gt;=GRID_FROM)*('Dvd Calendar'!$AR$220&lt;=GRID_TO)*((('Dvd Calendar'!$AR$220&lt;=VAL_DATE)+(COUNTIF('Dvd Calendar'!$E$227:$AR$227,'Dvd Calendar'!$AR$220)=0))&gt;0)=0,"",'Dvd Calendar'!$AR$220*1000000000+ISNUMBER('Dvd Calendar'!$AR$223)*100000000+('Dvd Calendar'!$AR$225=SPECIAL_LBL)*10000000+(N('Dvd Calendar'!$AR$219)&gt;0)*(N('Dvd Calendar'!$AR$219)&lt;=VAL_SERIAL)*1000000+20*1000+40))</f>
        <v/>
      </c>
      <c r="FS31" s="39">
        <f>IF(N('Dvd Calendar'!$E$227)=0,"",IF(('Dvd Calendar'!$E$227&gt;=GRID_FROM)*('Dvd Calendar'!$E$227&lt;=GRID_TO)*('Dvd Calendar'!$E$227&gt;VAL_DATE)=0,"",'Dvd Calendar'!$E$227*1000000000+ISNUMBER('Dvd Calendar'!$E$228)*100000000+0*10000000+(N('Dvd Calendar'!$E$226)&gt;0)*(N('Dvd Calendar'!$E$226)&lt;=VAL_SERIAL)*1000000+20*1000+41))</f>
        <v/>
      </c>
      <c r="FT31" s="39">
        <f>IF(N('Dvd Calendar'!$F$227)=0,"",IF(('Dvd Calendar'!$F$227&gt;=GRID_FROM)*('Dvd Calendar'!$F$227&lt;=GRID_TO)*('Dvd Calendar'!$F$227&gt;VAL_DATE)=0,"",'Dvd Calendar'!$F$227*1000000000+ISNUMBER('Dvd Calendar'!$F$228)*100000000+0*10000000+(N('Dvd Calendar'!$F$226)&gt;0)*(N('Dvd Calendar'!$F$226)&lt;=VAL_SERIAL)*1000000+20*1000+42))</f>
        <v/>
      </c>
      <c r="FU31" s="39">
        <f>IF(N('Dvd Calendar'!$G$227)=0,"",IF(('Dvd Calendar'!$G$227&gt;=GRID_FROM)*('Dvd Calendar'!$G$227&lt;=GRID_TO)*('Dvd Calendar'!$G$227&gt;VAL_DATE)=0,"",'Dvd Calendar'!$G$227*1000000000+ISNUMBER('Dvd Calendar'!$G$228)*100000000+0*10000000+(N('Dvd Calendar'!$G$226)&gt;0)*(N('Dvd Calendar'!$G$226)&lt;=VAL_SERIAL)*1000000+20*1000+43))</f>
        <v/>
      </c>
      <c r="FV31" s="39">
        <f>IF(N('Dvd Calendar'!$H$227)=0,"",IF(('Dvd Calendar'!$H$227&gt;=GRID_FROM)*('Dvd Calendar'!$H$227&lt;=GRID_TO)*('Dvd Calendar'!$H$227&gt;VAL_DATE)=0,"",'Dvd Calendar'!$H$227*1000000000+ISNUMBER('Dvd Calendar'!$H$228)*100000000+0*10000000+(N('Dvd Calendar'!$H$226)&gt;0)*(N('Dvd Calendar'!$H$226)&lt;=VAL_SERIAL)*1000000+20*1000+44))</f>
        <v/>
      </c>
      <c r="FW31" s="39">
        <f>IF(N('Dvd Calendar'!$I$227)=0,"",IF(('Dvd Calendar'!$I$227&gt;=GRID_FROM)*('Dvd Calendar'!$I$227&lt;=GRID_TO)*('Dvd Calendar'!$I$227&gt;VAL_DATE)=0,"",'Dvd Calendar'!$I$227*1000000000+ISNUMBER('Dvd Calendar'!$I$228)*100000000+0*10000000+(N('Dvd Calendar'!$I$226)&gt;0)*(N('Dvd Calendar'!$I$226)&lt;=VAL_SERIAL)*1000000+20*1000+45))</f>
        <v/>
      </c>
      <c r="FX31" s="39">
        <f>IF(N('Dvd Calendar'!$J$227)=0,"",IF(('Dvd Calendar'!$J$227&gt;=GRID_FROM)*('Dvd Calendar'!$J$227&lt;=GRID_TO)*('Dvd Calendar'!$J$227&gt;VAL_DATE)=0,"",'Dvd Calendar'!$J$227*1000000000+ISNUMBER('Dvd Calendar'!$J$228)*100000000+0*10000000+(N('Dvd Calendar'!$J$226)&gt;0)*(N('Dvd Calendar'!$J$226)&lt;=VAL_SERIAL)*1000000+20*1000+46))</f>
        <v/>
      </c>
      <c r="FY31" s="39">
        <f>IF(N('Dvd Calendar'!$K$227)=0,"",IF(('Dvd Calendar'!$K$227&gt;=GRID_FROM)*('Dvd Calendar'!$K$227&lt;=GRID_TO)*('Dvd Calendar'!$K$227&gt;VAL_DATE)=0,"",'Dvd Calendar'!$K$227*1000000000+ISNUMBER('Dvd Calendar'!$K$228)*100000000+0*10000000+(N('Dvd Calendar'!$K$226)&gt;0)*(N('Dvd Calendar'!$K$226)&lt;=VAL_SERIAL)*1000000+20*1000+47))</f>
        <v/>
      </c>
      <c r="FZ31" s="39">
        <f>IF(N('Dvd Calendar'!$L$227)=0,"",IF(('Dvd Calendar'!$L$227&gt;=GRID_FROM)*('Dvd Calendar'!$L$227&lt;=GRID_TO)*('Dvd Calendar'!$L$227&gt;VAL_DATE)=0,"",'Dvd Calendar'!$L$227*1000000000+ISNUMBER('Dvd Calendar'!$L$228)*100000000+0*10000000+(N('Dvd Calendar'!$L$226)&gt;0)*(N('Dvd Calendar'!$L$226)&lt;=VAL_SERIAL)*1000000+20*1000+48))</f>
        <v/>
      </c>
      <c r="GA31" s="39">
        <f>IF(N('Dvd Calendar'!$M$227)=0,"",IF(('Dvd Calendar'!$M$227&gt;=GRID_FROM)*('Dvd Calendar'!$M$227&lt;=GRID_TO)*('Dvd Calendar'!$M$227&gt;VAL_DATE)=0,"",'Dvd Calendar'!$M$227*1000000000+ISNUMBER('Dvd Calendar'!$M$228)*100000000+0*10000000+(N('Dvd Calendar'!$M$226)&gt;0)*(N('Dvd Calendar'!$M$226)&lt;=VAL_SERIAL)*1000000+20*1000+49))</f>
        <v/>
      </c>
      <c r="GB31" s="39">
        <f>IF(N('Dvd Calendar'!$N$227)=0,"",IF(('Dvd Calendar'!$N$227&gt;=GRID_FROM)*('Dvd Calendar'!$N$227&lt;=GRID_TO)*('Dvd Calendar'!$N$227&gt;VAL_DATE)=0,"",'Dvd Calendar'!$N$227*1000000000+ISNUMBER('Dvd Calendar'!$N$228)*100000000+0*10000000+(N('Dvd Calendar'!$N$226)&gt;0)*(N('Dvd Calendar'!$N$226)&lt;=VAL_SERIAL)*1000000+20*1000+50))</f>
        <v/>
      </c>
      <c r="GC31" s="39">
        <f>IF(N('Dvd Calendar'!$O$227)=0,"",IF(('Dvd Calendar'!$O$227&gt;=GRID_FROM)*('Dvd Calendar'!$O$227&lt;=GRID_TO)*('Dvd Calendar'!$O$227&gt;VAL_DATE)=0,"",'Dvd Calendar'!$O$227*1000000000+ISNUMBER('Dvd Calendar'!$O$228)*100000000+0*10000000+(N('Dvd Calendar'!$O$226)&gt;0)*(N('Dvd Calendar'!$O$226)&lt;=VAL_SERIAL)*1000000+20*1000+51))</f>
        <v/>
      </c>
      <c r="GD31" s="39">
        <f>IF(N('Dvd Calendar'!$P$227)=0,"",IF(('Dvd Calendar'!$P$227&gt;=GRID_FROM)*('Dvd Calendar'!$P$227&lt;=GRID_TO)*('Dvd Calendar'!$P$227&gt;VAL_DATE)=0,"",'Dvd Calendar'!$P$227*1000000000+ISNUMBER('Dvd Calendar'!$P$228)*100000000+0*10000000+(N('Dvd Calendar'!$P$226)&gt;0)*(N('Dvd Calendar'!$P$226)&lt;=VAL_SERIAL)*1000000+20*1000+52))</f>
        <v/>
      </c>
      <c r="GE31" s="39">
        <f>IF(N('Dvd Calendar'!$Q$227)=0,"",IF(('Dvd Calendar'!$Q$227&gt;=GRID_FROM)*('Dvd Calendar'!$Q$227&lt;=GRID_TO)*('Dvd Calendar'!$Q$227&gt;VAL_DATE)=0,"",'Dvd Calendar'!$Q$227*1000000000+ISNUMBER('Dvd Calendar'!$Q$228)*100000000+0*10000000+(N('Dvd Calendar'!$Q$226)&gt;0)*(N('Dvd Calendar'!$Q$226)&lt;=VAL_SERIAL)*1000000+20*1000+53))</f>
        <v/>
      </c>
      <c r="GF31" s="39">
        <f>IF(N('Dvd Calendar'!$R$227)=0,"",IF(('Dvd Calendar'!$R$227&gt;=GRID_FROM)*('Dvd Calendar'!$R$227&lt;=GRID_TO)*('Dvd Calendar'!$R$227&gt;VAL_DATE)=0,"",'Dvd Calendar'!$R$227*1000000000+ISNUMBER('Dvd Calendar'!$R$228)*100000000+0*10000000+(N('Dvd Calendar'!$R$226)&gt;0)*(N('Dvd Calendar'!$R$226)&lt;=VAL_SERIAL)*1000000+20*1000+54))</f>
        <v/>
      </c>
      <c r="GG31" s="39">
        <f>IF(N('Dvd Calendar'!$S$227)=0,"",IF(('Dvd Calendar'!$S$227&gt;=GRID_FROM)*('Dvd Calendar'!$S$227&lt;=GRID_TO)*('Dvd Calendar'!$S$227&gt;VAL_DATE)=0,"",'Dvd Calendar'!$S$227*1000000000+ISNUMBER('Dvd Calendar'!$S$228)*100000000+0*10000000+(N('Dvd Calendar'!$S$226)&gt;0)*(N('Dvd Calendar'!$S$226)&lt;=VAL_SERIAL)*1000000+20*1000+55))</f>
        <v/>
      </c>
      <c r="GH31" s="39">
        <f>IF(N('Dvd Calendar'!$T$227)=0,"",IF(('Dvd Calendar'!$T$227&gt;=GRID_FROM)*('Dvd Calendar'!$T$227&lt;=GRID_TO)*('Dvd Calendar'!$T$227&gt;VAL_DATE)=0,"",'Dvd Calendar'!$T$227*1000000000+ISNUMBER('Dvd Calendar'!$T$228)*100000000+0*10000000+(N('Dvd Calendar'!$T$226)&gt;0)*(N('Dvd Calendar'!$T$226)&lt;=VAL_SERIAL)*1000000+20*1000+56))</f>
        <v/>
      </c>
      <c r="GI31" s="39">
        <f>IF(N('Dvd Calendar'!$U$227)=0,"",IF(('Dvd Calendar'!$U$227&gt;=GRID_FROM)*('Dvd Calendar'!$U$227&lt;=GRID_TO)*('Dvd Calendar'!$U$227&gt;VAL_DATE)=0,"",'Dvd Calendar'!$U$227*1000000000+ISNUMBER('Dvd Calendar'!$U$228)*100000000+0*10000000+(N('Dvd Calendar'!$U$226)&gt;0)*(N('Dvd Calendar'!$U$226)&lt;=VAL_SERIAL)*1000000+20*1000+57))</f>
        <v/>
      </c>
      <c r="GJ31" s="39">
        <f>IF(N('Dvd Calendar'!$V$227)=0,"",IF(('Dvd Calendar'!$V$227&gt;=GRID_FROM)*('Dvd Calendar'!$V$227&lt;=GRID_TO)*('Dvd Calendar'!$V$227&gt;VAL_DATE)=0,"",'Dvd Calendar'!$V$227*1000000000+ISNUMBER('Dvd Calendar'!$V$228)*100000000+0*10000000+(N('Dvd Calendar'!$V$226)&gt;0)*(N('Dvd Calendar'!$V$226)&lt;=VAL_SERIAL)*1000000+20*1000+58))</f>
        <v/>
      </c>
      <c r="GK31" s="39">
        <f>IF(N('Dvd Calendar'!$W$227)=0,"",IF(('Dvd Calendar'!$W$227&gt;=GRID_FROM)*('Dvd Calendar'!$W$227&lt;=GRID_TO)*('Dvd Calendar'!$W$227&gt;VAL_DATE)=0,"",'Dvd Calendar'!$W$227*1000000000+ISNUMBER('Dvd Calendar'!$W$228)*100000000+0*10000000+(N('Dvd Calendar'!$W$226)&gt;0)*(N('Dvd Calendar'!$W$226)&lt;=VAL_SERIAL)*1000000+20*1000+59))</f>
        <v/>
      </c>
      <c r="GL31" s="39">
        <f>IF(N('Dvd Calendar'!$X$227)=0,"",IF(('Dvd Calendar'!$X$227&gt;=GRID_FROM)*('Dvd Calendar'!$X$227&lt;=GRID_TO)*('Dvd Calendar'!$X$227&gt;VAL_DATE)=0,"",'Dvd Calendar'!$X$227*1000000000+ISNUMBER('Dvd Calendar'!$X$228)*100000000+0*10000000+(N('Dvd Calendar'!$X$226)&gt;0)*(N('Dvd Calendar'!$X$226)&lt;=VAL_SERIAL)*1000000+20*1000+60))</f>
        <v/>
      </c>
      <c r="GM31" s="39">
        <f>IF(N('Dvd Calendar'!$Y$227)=0,"",IF(('Dvd Calendar'!$Y$227&gt;=GRID_FROM)*('Dvd Calendar'!$Y$227&lt;=GRID_TO)*('Dvd Calendar'!$Y$227&gt;VAL_DATE)=0,"",'Dvd Calendar'!$Y$227*1000000000+ISNUMBER('Dvd Calendar'!$Y$228)*100000000+0*10000000+(N('Dvd Calendar'!$Y$226)&gt;0)*(N('Dvd Calendar'!$Y$226)&lt;=VAL_SERIAL)*1000000+20*1000+61))</f>
        <v/>
      </c>
      <c r="GN31" s="39">
        <f>IF(N('Dvd Calendar'!$Z$227)=0,"",IF(('Dvd Calendar'!$Z$227&gt;=GRID_FROM)*('Dvd Calendar'!$Z$227&lt;=GRID_TO)*('Dvd Calendar'!$Z$227&gt;VAL_DATE)=0,"",'Dvd Calendar'!$Z$227*1000000000+ISNUMBER('Dvd Calendar'!$Z$228)*100000000+0*10000000+(N('Dvd Calendar'!$Z$226)&gt;0)*(N('Dvd Calendar'!$Z$226)&lt;=VAL_SERIAL)*1000000+20*1000+62))</f>
        <v/>
      </c>
      <c r="GO31" s="39">
        <f>IF(N('Dvd Calendar'!$AA$227)=0,"",IF(('Dvd Calendar'!$AA$227&gt;=GRID_FROM)*('Dvd Calendar'!$AA$227&lt;=GRID_TO)*('Dvd Calendar'!$AA$227&gt;VAL_DATE)=0,"",'Dvd Calendar'!$AA$227*1000000000+ISNUMBER('Dvd Calendar'!$AA$228)*100000000+0*10000000+(N('Dvd Calendar'!$AA$226)&gt;0)*(N('Dvd Calendar'!$AA$226)&lt;=VAL_SERIAL)*1000000+20*1000+63))</f>
        <v/>
      </c>
      <c r="GP31" s="39">
        <f>IF(N('Dvd Calendar'!$AB$227)=0,"",IF(('Dvd Calendar'!$AB$227&gt;=GRID_FROM)*('Dvd Calendar'!$AB$227&lt;=GRID_TO)*('Dvd Calendar'!$AB$227&gt;VAL_DATE)=0,"",'Dvd Calendar'!$AB$227*1000000000+ISNUMBER('Dvd Calendar'!$AB$228)*100000000+0*10000000+(N('Dvd Calendar'!$AB$226)&gt;0)*(N('Dvd Calendar'!$AB$226)&lt;=VAL_SERIAL)*1000000+20*1000+64))</f>
        <v/>
      </c>
      <c r="GQ31" s="39">
        <f>IF(N('Dvd Calendar'!$AC$227)=0,"",IF(('Dvd Calendar'!$AC$227&gt;=GRID_FROM)*('Dvd Calendar'!$AC$227&lt;=GRID_TO)*('Dvd Calendar'!$AC$227&gt;VAL_DATE)=0,"",'Dvd Calendar'!$AC$227*1000000000+ISNUMBER('Dvd Calendar'!$AC$228)*100000000+0*10000000+(N('Dvd Calendar'!$AC$226)&gt;0)*(N('Dvd Calendar'!$AC$226)&lt;=VAL_SERIAL)*1000000+20*1000+65))</f>
        <v/>
      </c>
    </row>
    <row r="32">
      <c r="B32" s="2">
        <f>IF(HSI!$C$27="","",HSI!$C$27)</f>
        <v/>
      </c>
      <c r="C32" s="110">
        <f>IF(EE32="","",IF(ISNUMBER('Dvd Calendar'!$E$234)=FALSE,"",IF((('Dvd Calendar'!$E$236=TYPE1)*(TYPE1&lt;&gt;"")+('Dvd Calendar'!$E$236=TYPE2)*(TYPE2&lt;&gt;"")+('Dvd Calendar'!$E$236=TYPE3)*(TYPE3&lt;&gt;"")+('Dvd Calendar'!$E$236=TYPE4)*(TYPE4&lt;&gt;"")+('Dvd Calendar'!$E$236=SPECIAL_LBL)*(INC_SPECIALS="Y"))=0,"",'Dvd Calendar'!$E$234)))</f>
        <v/>
      </c>
      <c r="D32" s="110">
        <f>IF(EF32="","",IF(ISNUMBER('Dvd Calendar'!$F$234)=FALSE,"",IF((('Dvd Calendar'!$F$236=TYPE1)*(TYPE1&lt;&gt;"")+('Dvd Calendar'!$F$236=TYPE2)*(TYPE2&lt;&gt;"")+('Dvd Calendar'!$F$236=TYPE3)*(TYPE3&lt;&gt;"")+('Dvd Calendar'!$F$236=TYPE4)*(TYPE4&lt;&gt;"")+('Dvd Calendar'!$F$236=SPECIAL_LBL)*(INC_SPECIALS="Y"))=0,"",'Dvd Calendar'!$F$234)))</f>
        <v/>
      </c>
      <c r="E32" s="110">
        <f>IF(EG32="","",IF(ISNUMBER('Dvd Calendar'!$G$234)=FALSE,"",IF((('Dvd Calendar'!$G$236=TYPE1)*(TYPE1&lt;&gt;"")+('Dvd Calendar'!$G$236=TYPE2)*(TYPE2&lt;&gt;"")+('Dvd Calendar'!$G$236=TYPE3)*(TYPE3&lt;&gt;"")+('Dvd Calendar'!$G$236=TYPE4)*(TYPE4&lt;&gt;"")+('Dvd Calendar'!$G$236=SPECIAL_LBL)*(INC_SPECIALS="Y"))=0,"",'Dvd Calendar'!$G$234)))</f>
        <v/>
      </c>
      <c r="F32" s="110">
        <f>IF(EH32="","",IF(ISNUMBER('Dvd Calendar'!$H$234)=FALSE,"",IF((('Dvd Calendar'!$H$236=TYPE1)*(TYPE1&lt;&gt;"")+('Dvd Calendar'!$H$236=TYPE2)*(TYPE2&lt;&gt;"")+('Dvd Calendar'!$H$236=TYPE3)*(TYPE3&lt;&gt;"")+('Dvd Calendar'!$H$236=TYPE4)*(TYPE4&lt;&gt;"")+('Dvd Calendar'!$H$236=SPECIAL_LBL)*(INC_SPECIALS="Y"))=0,"",'Dvd Calendar'!$H$234)))</f>
        <v/>
      </c>
      <c r="G32" s="110">
        <f>IF(EI32="","",IF(ISNUMBER('Dvd Calendar'!$I$234)=FALSE,"",IF((('Dvd Calendar'!$I$236=TYPE1)*(TYPE1&lt;&gt;"")+('Dvd Calendar'!$I$236=TYPE2)*(TYPE2&lt;&gt;"")+('Dvd Calendar'!$I$236=TYPE3)*(TYPE3&lt;&gt;"")+('Dvd Calendar'!$I$236=TYPE4)*(TYPE4&lt;&gt;"")+('Dvd Calendar'!$I$236=SPECIAL_LBL)*(INC_SPECIALS="Y"))=0,"",'Dvd Calendar'!$I$234)))</f>
        <v/>
      </c>
      <c r="H32" s="110">
        <f>IF(EJ32="","",IF(ISNUMBER('Dvd Calendar'!$J$234)=FALSE,"",IF((('Dvd Calendar'!$J$236=TYPE1)*(TYPE1&lt;&gt;"")+('Dvd Calendar'!$J$236=TYPE2)*(TYPE2&lt;&gt;"")+('Dvd Calendar'!$J$236=TYPE3)*(TYPE3&lt;&gt;"")+('Dvd Calendar'!$J$236=TYPE4)*(TYPE4&lt;&gt;"")+('Dvd Calendar'!$J$236=SPECIAL_LBL)*(INC_SPECIALS="Y"))=0,"",'Dvd Calendar'!$J$234)))</f>
        <v/>
      </c>
      <c r="I32" s="110">
        <f>IF(EK32="","",IF(ISNUMBER('Dvd Calendar'!$K$234)=FALSE,"",IF((('Dvd Calendar'!$K$236=TYPE1)*(TYPE1&lt;&gt;"")+('Dvd Calendar'!$K$236=TYPE2)*(TYPE2&lt;&gt;"")+('Dvd Calendar'!$K$236=TYPE3)*(TYPE3&lt;&gt;"")+('Dvd Calendar'!$K$236=TYPE4)*(TYPE4&lt;&gt;"")+('Dvd Calendar'!$K$236=SPECIAL_LBL)*(INC_SPECIALS="Y"))=0,"",'Dvd Calendar'!$K$234)))</f>
        <v/>
      </c>
      <c r="J32" s="110">
        <f>IF(EL32="","",IF(ISNUMBER('Dvd Calendar'!$L$234)=FALSE,"",IF((('Dvd Calendar'!$L$236=TYPE1)*(TYPE1&lt;&gt;"")+('Dvd Calendar'!$L$236=TYPE2)*(TYPE2&lt;&gt;"")+('Dvd Calendar'!$L$236=TYPE3)*(TYPE3&lt;&gt;"")+('Dvd Calendar'!$L$236=TYPE4)*(TYPE4&lt;&gt;"")+('Dvd Calendar'!$L$236=SPECIAL_LBL)*(INC_SPECIALS="Y"))=0,"",'Dvd Calendar'!$L$234)))</f>
        <v/>
      </c>
      <c r="K32" s="110">
        <f>IF(EM32="","",IF(ISNUMBER('Dvd Calendar'!$M$234)=FALSE,"",IF((('Dvd Calendar'!$M$236=TYPE1)*(TYPE1&lt;&gt;"")+('Dvd Calendar'!$M$236=TYPE2)*(TYPE2&lt;&gt;"")+('Dvd Calendar'!$M$236=TYPE3)*(TYPE3&lt;&gt;"")+('Dvd Calendar'!$M$236=TYPE4)*(TYPE4&lt;&gt;"")+('Dvd Calendar'!$M$236=SPECIAL_LBL)*(INC_SPECIALS="Y"))=0,"",'Dvd Calendar'!$M$234)))</f>
        <v/>
      </c>
      <c r="L32" s="110">
        <f>IF(EN32="","",IF(ISNUMBER('Dvd Calendar'!$N$234)=FALSE,"",IF((('Dvd Calendar'!$N$236=TYPE1)*(TYPE1&lt;&gt;"")+('Dvd Calendar'!$N$236=TYPE2)*(TYPE2&lt;&gt;"")+('Dvd Calendar'!$N$236=TYPE3)*(TYPE3&lt;&gt;"")+('Dvd Calendar'!$N$236=TYPE4)*(TYPE4&lt;&gt;"")+('Dvd Calendar'!$N$236=SPECIAL_LBL)*(INC_SPECIALS="Y"))=0,"",'Dvd Calendar'!$N$234)))</f>
        <v/>
      </c>
      <c r="M32" s="110">
        <f>IF(EO32="","",IF(ISNUMBER('Dvd Calendar'!$O$234)=FALSE,"",IF((('Dvd Calendar'!$O$236=TYPE1)*(TYPE1&lt;&gt;"")+('Dvd Calendar'!$O$236=TYPE2)*(TYPE2&lt;&gt;"")+('Dvd Calendar'!$O$236=TYPE3)*(TYPE3&lt;&gt;"")+('Dvd Calendar'!$O$236=TYPE4)*(TYPE4&lt;&gt;"")+('Dvd Calendar'!$O$236=SPECIAL_LBL)*(INC_SPECIALS="Y"))=0,"",'Dvd Calendar'!$O$234)))</f>
        <v/>
      </c>
      <c r="N32" s="110">
        <f>IF(EP32="","",IF(ISNUMBER('Dvd Calendar'!$P$234)=FALSE,"",IF((('Dvd Calendar'!$P$236=TYPE1)*(TYPE1&lt;&gt;"")+('Dvd Calendar'!$P$236=TYPE2)*(TYPE2&lt;&gt;"")+('Dvd Calendar'!$P$236=TYPE3)*(TYPE3&lt;&gt;"")+('Dvd Calendar'!$P$236=TYPE4)*(TYPE4&lt;&gt;"")+('Dvd Calendar'!$P$236=SPECIAL_LBL)*(INC_SPECIALS="Y"))=0,"",'Dvd Calendar'!$P$234)))</f>
        <v/>
      </c>
      <c r="O32" s="110">
        <f>IF(EQ32="","",IF(ISNUMBER('Dvd Calendar'!$Q$234)=FALSE,"",IF((('Dvd Calendar'!$Q$236=TYPE1)*(TYPE1&lt;&gt;"")+('Dvd Calendar'!$Q$236=TYPE2)*(TYPE2&lt;&gt;"")+('Dvd Calendar'!$Q$236=TYPE3)*(TYPE3&lt;&gt;"")+('Dvd Calendar'!$Q$236=TYPE4)*(TYPE4&lt;&gt;"")+('Dvd Calendar'!$Q$236=SPECIAL_LBL)*(INC_SPECIALS="Y"))=0,"",'Dvd Calendar'!$Q$234)))</f>
        <v/>
      </c>
      <c r="P32" s="110">
        <f>IF(ER32="","",IF(ISNUMBER('Dvd Calendar'!$R$234)=FALSE,"",IF((('Dvd Calendar'!$R$236=TYPE1)*(TYPE1&lt;&gt;"")+('Dvd Calendar'!$R$236=TYPE2)*(TYPE2&lt;&gt;"")+('Dvd Calendar'!$R$236=TYPE3)*(TYPE3&lt;&gt;"")+('Dvd Calendar'!$R$236=TYPE4)*(TYPE4&lt;&gt;"")+('Dvd Calendar'!$R$236=SPECIAL_LBL)*(INC_SPECIALS="Y"))=0,"",'Dvd Calendar'!$R$234)))</f>
        <v/>
      </c>
      <c r="Q32" s="110">
        <f>IF(ES32="","",IF(ISNUMBER('Dvd Calendar'!$S$234)=FALSE,"",IF((('Dvd Calendar'!$S$236=TYPE1)*(TYPE1&lt;&gt;"")+('Dvd Calendar'!$S$236=TYPE2)*(TYPE2&lt;&gt;"")+('Dvd Calendar'!$S$236=TYPE3)*(TYPE3&lt;&gt;"")+('Dvd Calendar'!$S$236=TYPE4)*(TYPE4&lt;&gt;"")+('Dvd Calendar'!$S$236=SPECIAL_LBL)*(INC_SPECIALS="Y"))=0,"",'Dvd Calendar'!$S$234)))</f>
        <v/>
      </c>
      <c r="R32" s="110">
        <f>IF(ET32="","",IF(ISNUMBER('Dvd Calendar'!$T$234)=FALSE,"",IF((('Dvd Calendar'!$T$236=TYPE1)*(TYPE1&lt;&gt;"")+('Dvd Calendar'!$T$236=TYPE2)*(TYPE2&lt;&gt;"")+('Dvd Calendar'!$T$236=TYPE3)*(TYPE3&lt;&gt;"")+('Dvd Calendar'!$T$236=TYPE4)*(TYPE4&lt;&gt;"")+('Dvd Calendar'!$T$236=SPECIAL_LBL)*(INC_SPECIALS="Y"))=0,"",'Dvd Calendar'!$T$234)))</f>
        <v/>
      </c>
      <c r="S32" s="110">
        <f>IF(EU32="","",IF(ISNUMBER('Dvd Calendar'!$U$234)=FALSE,"",IF((('Dvd Calendar'!$U$236=TYPE1)*(TYPE1&lt;&gt;"")+('Dvd Calendar'!$U$236=TYPE2)*(TYPE2&lt;&gt;"")+('Dvd Calendar'!$U$236=TYPE3)*(TYPE3&lt;&gt;"")+('Dvd Calendar'!$U$236=TYPE4)*(TYPE4&lt;&gt;"")+('Dvd Calendar'!$U$236=SPECIAL_LBL)*(INC_SPECIALS="Y"))=0,"",'Dvd Calendar'!$U$234)))</f>
        <v/>
      </c>
      <c r="T32" s="110">
        <f>IF(EV32="","",IF(ISNUMBER('Dvd Calendar'!$V$234)=FALSE,"",IF((('Dvd Calendar'!$V$236=TYPE1)*(TYPE1&lt;&gt;"")+('Dvd Calendar'!$V$236=TYPE2)*(TYPE2&lt;&gt;"")+('Dvd Calendar'!$V$236=TYPE3)*(TYPE3&lt;&gt;"")+('Dvd Calendar'!$V$236=TYPE4)*(TYPE4&lt;&gt;"")+('Dvd Calendar'!$V$236=SPECIAL_LBL)*(INC_SPECIALS="Y"))=0,"",'Dvd Calendar'!$V$234)))</f>
        <v/>
      </c>
      <c r="U32" s="110">
        <f>IF(EW32="","",IF(ISNUMBER('Dvd Calendar'!$W$234)=FALSE,"",IF((('Dvd Calendar'!$W$236=TYPE1)*(TYPE1&lt;&gt;"")+('Dvd Calendar'!$W$236=TYPE2)*(TYPE2&lt;&gt;"")+('Dvd Calendar'!$W$236=TYPE3)*(TYPE3&lt;&gt;"")+('Dvd Calendar'!$W$236=TYPE4)*(TYPE4&lt;&gt;"")+('Dvd Calendar'!$W$236=SPECIAL_LBL)*(INC_SPECIALS="Y"))=0,"",'Dvd Calendar'!$W$234)))</f>
        <v/>
      </c>
      <c r="V32" s="110">
        <f>IF(EX32="","",IF(ISNUMBER('Dvd Calendar'!$X$234)=FALSE,"",IF((('Dvd Calendar'!$X$236=TYPE1)*(TYPE1&lt;&gt;"")+('Dvd Calendar'!$X$236=TYPE2)*(TYPE2&lt;&gt;"")+('Dvd Calendar'!$X$236=TYPE3)*(TYPE3&lt;&gt;"")+('Dvd Calendar'!$X$236=TYPE4)*(TYPE4&lt;&gt;"")+('Dvd Calendar'!$X$236=SPECIAL_LBL)*(INC_SPECIALS="Y"))=0,"",'Dvd Calendar'!$X$234)))</f>
        <v/>
      </c>
      <c r="W32" s="110">
        <f>IF(EY32="","",IF(ISNUMBER('Dvd Calendar'!$Y$234)=FALSE,"",IF((('Dvd Calendar'!$Y$236=TYPE1)*(TYPE1&lt;&gt;"")+('Dvd Calendar'!$Y$236=TYPE2)*(TYPE2&lt;&gt;"")+('Dvd Calendar'!$Y$236=TYPE3)*(TYPE3&lt;&gt;"")+('Dvd Calendar'!$Y$236=TYPE4)*(TYPE4&lt;&gt;"")+('Dvd Calendar'!$Y$236=SPECIAL_LBL)*(INC_SPECIALS="Y"))=0,"",'Dvd Calendar'!$Y$234)))</f>
        <v/>
      </c>
      <c r="X32" s="110">
        <f>IF(EZ32="","",IF(ISNUMBER('Dvd Calendar'!$Z$234)=FALSE,"",IF((('Dvd Calendar'!$Z$236=TYPE1)*(TYPE1&lt;&gt;"")+('Dvd Calendar'!$Z$236=TYPE2)*(TYPE2&lt;&gt;"")+('Dvd Calendar'!$Z$236=TYPE3)*(TYPE3&lt;&gt;"")+('Dvd Calendar'!$Z$236=TYPE4)*(TYPE4&lt;&gt;"")+('Dvd Calendar'!$Z$236=SPECIAL_LBL)*(INC_SPECIALS="Y"))=0,"",'Dvd Calendar'!$Z$234)))</f>
        <v/>
      </c>
      <c r="Y32" s="110">
        <f>IF(FA32="","",IF(ISNUMBER('Dvd Calendar'!$AA$234)=FALSE,"",IF((('Dvd Calendar'!$AA$236=TYPE1)*(TYPE1&lt;&gt;"")+('Dvd Calendar'!$AA$236=TYPE2)*(TYPE2&lt;&gt;"")+('Dvd Calendar'!$AA$236=TYPE3)*(TYPE3&lt;&gt;"")+('Dvd Calendar'!$AA$236=TYPE4)*(TYPE4&lt;&gt;"")+('Dvd Calendar'!$AA$236=SPECIAL_LBL)*(INC_SPECIALS="Y"))=0,"",'Dvd Calendar'!$AA$234)))</f>
        <v/>
      </c>
      <c r="Z32" s="110">
        <f>IF(FB32="","",IF(ISNUMBER('Dvd Calendar'!$AB$234)=FALSE,"",IF((('Dvd Calendar'!$AB$236=TYPE1)*(TYPE1&lt;&gt;"")+('Dvd Calendar'!$AB$236=TYPE2)*(TYPE2&lt;&gt;"")+('Dvd Calendar'!$AB$236=TYPE3)*(TYPE3&lt;&gt;"")+('Dvd Calendar'!$AB$236=TYPE4)*(TYPE4&lt;&gt;"")+('Dvd Calendar'!$AB$236=SPECIAL_LBL)*(INC_SPECIALS="Y"))=0,"",'Dvd Calendar'!$AB$234)))</f>
        <v/>
      </c>
      <c r="AA32" s="110">
        <f>IF(FC32="","",IF(ISNUMBER('Dvd Calendar'!$AC$234)=FALSE,"",IF((('Dvd Calendar'!$AC$236=TYPE1)*(TYPE1&lt;&gt;"")+('Dvd Calendar'!$AC$236=TYPE2)*(TYPE2&lt;&gt;"")+('Dvd Calendar'!$AC$236=TYPE3)*(TYPE3&lt;&gt;"")+('Dvd Calendar'!$AC$236=TYPE4)*(TYPE4&lt;&gt;"")+('Dvd Calendar'!$AC$236=SPECIAL_LBL)*(INC_SPECIALS="Y"))=0,"",'Dvd Calendar'!$AC$234)))</f>
        <v/>
      </c>
      <c r="AB32" s="110">
        <f>IF(FD32="","",IF(ISNUMBER('Dvd Calendar'!$AD$234)=FALSE,"",IF((('Dvd Calendar'!$AD$236=TYPE1)*(TYPE1&lt;&gt;"")+('Dvd Calendar'!$AD$236=TYPE2)*(TYPE2&lt;&gt;"")+('Dvd Calendar'!$AD$236=TYPE3)*(TYPE3&lt;&gt;"")+('Dvd Calendar'!$AD$236=TYPE4)*(TYPE4&lt;&gt;"")+('Dvd Calendar'!$AD$236=SPECIAL_LBL)*(INC_SPECIALS="Y"))=0,"",'Dvd Calendar'!$AD$234)))</f>
        <v/>
      </c>
      <c r="AC32" s="110">
        <f>IF(FE32="","",IF(ISNUMBER('Dvd Calendar'!$AE$234)=FALSE,"",IF((('Dvd Calendar'!$AE$236=TYPE1)*(TYPE1&lt;&gt;"")+('Dvd Calendar'!$AE$236=TYPE2)*(TYPE2&lt;&gt;"")+('Dvd Calendar'!$AE$236=TYPE3)*(TYPE3&lt;&gt;"")+('Dvd Calendar'!$AE$236=TYPE4)*(TYPE4&lt;&gt;"")+('Dvd Calendar'!$AE$236=SPECIAL_LBL)*(INC_SPECIALS="Y"))=0,"",'Dvd Calendar'!$AE$234)))</f>
        <v/>
      </c>
      <c r="AD32" s="110">
        <f>IF(FF32="","",IF(ISNUMBER('Dvd Calendar'!$AF$234)=FALSE,"",IF((('Dvd Calendar'!$AF$236=TYPE1)*(TYPE1&lt;&gt;"")+('Dvd Calendar'!$AF$236=TYPE2)*(TYPE2&lt;&gt;"")+('Dvd Calendar'!$AF$236=TYPE3)*(TYPE3&lt;&gt;"")+('Dvd Calendar'!$AF$236=TYPE4)*(TYPE4&lt;&gt;"")+('Dvd Calendar'!$AF$236=SPECIAL_LBL)*(INC_SPECIALS="Y"))=0,"",'Dvd Calendar'!$AF$234)))</f>
        <v/>
      </c>
      <c r="AE32" s="110">
        <f>IF(FG32="","",IF(ISNUMBER('Dvd Calendar'!$AG$234)=FALSE,"",IF((('Dvd Calendar'!$AG$236=TYPE1)*(TYPE1&lt;&gt;"")+('Dvd Calendar'!$AG$236=TYPE2)*(TYPE2&lt;&gt;"")+('Dvd Calendar'!$AG$236=TYPE3)*(TYPE3&lt;&gt;"")+('Dvd Calendar'!$AG$236=TYPE4)*(TYPE4&lt;&gt;"")+('Dvd Calendar'!$AG$236=SPECIAL_LBL)*(INC_SPECIALS="Y"))=0,"",'Dvd Calendar'!$AG$234)))</f>
        <v/>
      </c>
      <c r="AF32" s="110">
        <f>IF(FH32="","",IF(ISNUMBER('Dvd Calendar'!$AH$234)=FALSE,"",IF((('Dvd Calendar'!$AH$236=TYPE1)*(TYPE1&lt;&gt;"")+('Dvd Calendar'!$AH$236=TYPE2)*(TYPE2&lt;&gt;"")+('Dvd Calendar'!$AH$236=TYPE3)*(TYPE3&lt;&gt;"")+('Dvd Calendar'!$AH$236=TYPE4)*(TYPE4&lt;&gt;"")+('Dvd Calendar'!$AH$236=SPECIAL_LBL)*(INC_SPECIALS="Y"))=0,"",'Dvd Calendar'!$AH$234)))</f>
        <v/>
      </c>
      <c r="AG32" s="110">
        <f>IF(FI32="","",IF(ISNUMBER('Dvd Calendar'!$AI$234)=FALSE,"",IF((('Dvd Calendar'!$AI$236=TYPE1)*(TYPE1&lt;&gt;"")+('Dvd Calendar'!$AI$236=TYPE2)*(TYPE2&lt;&gt;"")+('Dvd Calendar'!$AI$236=TYPE3)*(TYPE3&lt;&gt;"")+('Dvd Calendar'!$AI$236=TYPE4)*(TYPE4&lt;&gt;"")+('Dvd Calendar'!$AI$236=SPECIAL_LBL)*(INC_SPECIALS="Y"))=0,"",'Dvd Calendar'!$AI$234)))</f>
        <v/>
      </c>
      <c r="AH32" s="110">
        <f>IF(FJ32="","",IF(ISNUMBER('Dvd Calendar'!$AJ$234)=FALSE,"",IF((('Dvd Calendar'!$AJ$236=TYPE1)*(TYPE1&lt;&gt;"")+('Dvd Calendar'!$AJ$236=TYPE2)*(TYPE2&lt;&gt;"")+('Dvd Calendar'!$AJ$236=TYPE3)*(TYPE3&lt;&gt;"")+('Dvd Calendar'!$AJ$236=TYPE4)*(TYPE4&lt;&gt;"")+('Dvd Calendar'!$AJ$236=SPECIAL_LBL)*(INC_SPECIALS="Y"))=0,"",'Dvd Calendar'!$AJ$234)))</f>
        <v/>
      </c>
      <c r="AI32" s="110">
        <f>IF(FK32="","",IF(ISNUMBER('Dvd Calendar'!$AK$234)=FALSE,"",IF((('Dvd Calendar'!$AK$236=TYPE1)*(TYPE1&lt;&gt;"")+('Dvd Calendar'!$AK$236=TYPE2)*(TYPE2&lt;&gt;"")+('Dvd Calendar'!$AK$236=TYPE3)*(TYPE3&lt;&gt;"")+('Dvd Calendar'!$AK$236=TYPE4)*(TYPE4&lt;&gt;"")+('Dvd Calendar'!$AK$236=SPECIAL_LBL)*(INC_SPECIALS="Y"))=0,"",'Dvd Calendar'!$AK$234)))</f>
        <v/>
      </c>
      <c r="AJ32" s="110">
        <f>IF(FL32="","",IF(ISNUMBER('Dvd Calendar'!$AL$234)=FALSE,"",IF((('Dvd Calendar'!$AL$236=TYPE1)*(TYPE1&lt;&gt;"")+('Dvd Calendar'!$AL$236=TYPE2)*(TYPE2&lt;&gt;"")+('Dvd Calendar'!$AL$236=TYPE3)*(TYPE3&lt;&gt;"")+('Dvd Calendar'!$AL$236=TYPE4)*(TYPE4&lt;&gt;"")+('Dvd Calendar'!$AL$236=SPECIAL_LBL)*(INC_SPECIALS="Y"))=0,"",'Dvd Calendar'!$AL$234)))</f>
        <v/>
      </c>
      <c r="AK32" s="110">
        <f>IF(FM32="","",IF(ISNUMBER('Dvd Calendar'!$AM$234)=FALSE,"",IF((('Dvd Calendar'!$AM$236=TYPE1)*(TYPE1&lt;&gt;"")+('Dvd Calendar'!$AM$236=TYPE2)*(TYPE2&lt;&gt;"")+('Dvd Calendar'!$AM$236=TYPE3)*(TYPE3&lt;&gt;"")+('Dvd Calendar'!$AM$236=TYPE4)*(TYPE4&lt;&gt;"")+('Dvd Calendar'!$AM$236=SPECIAL_LBL)*(INC_SPECIALS="Y"))=0,"",'Dvd Calendar'!$AM$234)))</f>
        <v/>
      </c>
      <c r="AL32" s="110">
        <f>IF(FN32="","",IF(ISNUMBER('Dvd Calendar'!$AN$234)=FALSE,"",IF((('Dvd Calendar'!$AN$236=TYPE1)*(TYPE1&lt;&gt;"")+('Dvd Calendar'!$AN$236=TYPE2)*(TYPE2&lt;&gt;"")+('Dvd Calendar'!$AN$236=TYPE3)*(TYPE3&lt;&gt;"")+('Dvd Calendar'!$AN$236=TYPE4)*(TYPE4&lt;&gt;"")+('Dvd Calendar'!$AN$236=SPECIAL_LBL)*(INC_SPECIALS="Y"))=0,"",'Dvd Calendar'!$AN$234)))</f>
        <v/>
      </c>
      <c r="AM32" s="110">
        <f>IF(FO32="","",IF(ISNUMBER('Dvd Calendar'!$AO$234)=FALSE,"",IF((('Dvd Calendar'!$AO$236=TYPE1)*(TYPE1&lt;&gt;"")+('Dvd Calendar'!$AO$236=TYPE2)*(TYPE2&lt;&gt;"")+('Dvd Calendar'!$AO$236=TYPE3)*(TYPE3&lt;&gt;"")+('Dvd Calendar'!$AO$236=TYPE4)*(TYPE4&lt;&gt;"")+('Dvd Calendar'!$AO$236=SPECIAL_LBL)*(INC_SPECIALS="Y"))=0,"",'Dvd Calendar'!$AO$234)))</f>
        <v/>
      </c>
      <c r="AN32" s="110">
        <f>IF(FP32="","",IF(ISNUMBER('Dvd Calendar'!$AP$234)=FALSE,"",IF((('Dvd Calendar'!$AP$236=TYPE1)*(TYPE1&lt;&gt;"")+('Dvd Calendar'!$AP$236=TYPE2)*(TYPE2&lt;&gt;"")+('Dvd Calendar'!$AP$236=TYPE3)*(TYPE3&lt;&gt;"")+('Dvd Calendar'!$AP$236=TYPE4)*(TYPE4&lt;&gt;"")+('Dvd Calendar'!$AP$236=SPECIAL_LBL)*(INC_SPECIALS="Y"))=0,"",'Dvd Calendar'!$AP$234)))</f>
        <v/>
      </c>
      <c r="AO32" s="110">
        <f>IF(FQ32="","",IF(ISNUMBER('Dvd Calendar'!$AQ$234)=FALSE,"",IF((('Dvd Calendar'!$AQ$236=TYPE1)*(TYPE1&lt;&gt;"")+('Dvd Calendar'!$AQ$236=TYPE2)*(TYPE2&lt;&gt;"")+('Dvd Calendar'!$AQ$236=TYPE3)*(TYPE3&lt;&gt;"")+('Dvd Calendar'!$AQ$236=TYPE4)*(TYPE4&lt;&gt;"")+('Dvd Calendar'!$AQ$236=SPECIAL_LBL)*(INC_SPECIALS="Y"))=0,"",'Dvd Calendar'!$AQ$234)))</f>
        <v/>
      </c>
      <c r="AP32" s="110">
        <f>IF(FR32="","",IF(ISNUMBER('Dvd Calendar'!$AR$234)=FALSE,"",IF((('Dvd Calendar'!$AR$236=TYPE1)*(TYPE1&lt;&gt;"")+('Dvd Calendar'!$AR$236=TYPE2)*(TYPE2&lt;&gt;"")+('Dvd Calendar'!$AR$236=TYPE3)*(TYPE3&lt;&gt;"")+('Dvd Calendar'!$AR$236=TYPE4)*(TYPE4&lt;&gt;"")+('Dvd Calendar'!$AR$236=SPECIAL_LBL)*(INC_SPECIALS="Y"))=0,"",'Dvd Calendar'!$AR$234)))</f>
        <v/>
      </c>
      <c r="AQ32" s="110">
        <f>IF(FS32="","",IF(ISNUMBER('Dvd Calendar'!$E$239)=FALSE,"",'Dvd Calendar'!$E$239))</f>
        <v/>
      </c>
      <c r="AR32" s="110">
        <f>IF(FT32="","",IF(ISNUMBER('Dvd Calendar'!$F$239)=FALSE,"",'Dvd Calendar'!$F$239))</f>
        <v/>
      </c>
      <c r="AS32" s="110">
        <f>IF(FU32="","",IF(ISNUMBER('Dvd Calendar'!$G$239)=FALSE,"",'Dvd Calendar'!$G$239))</f>
        <v/>
      </c>
      <c r="AT32" s="110">
        <f>IF(FV32="","",IF(ISNUMBER('Dvd Calendar'!$H$239)=FALSE,"",'Dvd Calendar'!$H$239))</f>
        <v/>
      </c>
      <c r="AU32" s="110">
        <f>IF(FW32="","",IF(ISNUMBER('Dvd Calendar'!$I$239)=FALSE,"",'Dvd Calendar'!$I$239))</f>
        <v/>
      </c>
      <c r="AV32" s="110">
        <f>IF(FX32="","",IF(ISNUMBER('Dvd Calendar'!$J$239)=FALSE,"",'Dvd Calendar'!$J$239))</f>
        <v/>
      </c>
      <c r="AW32" s="110">
        <f>IF(FY32="","",IF(ISNUMBER('Dvd Calendar'!$K$239)=FALSE,"",'Dvd Calendar'!$K$239))</f>
        <v/>
      </c>
      <c r="AX32" s="110">
        <f>IF(FZ32="","",IF(ISNUMBER('Dvd Calendar'!$L$239)=FALSE,"",'Dvd Calendar'!$L$239))</f>
        <v/>
      </c>
      <c r="AY32" s="110">
        <f>IF(GA32="","",IF(ISNUMBER('Dvd Calendar'!$M$239)=FALSE,"",'Dvd Calendar'!$M$239))</f>
        <v/>
      </c>
      <c r="AZ32" s="110">
        <f>IF(GB32="","",IF(ISNUMBER('Dvd Calendar'!$N$239)=FALSE,"",'Dvd Calendar'!$N$239))</f>
        <v/>
      </c>
      <c r="BA32" s="110">
        <f>IF(GC32="","",IF(ISNUMBER('Dvd Calendar'!$O$239)=FALSE,"",'Dvd Calendar'!$O$239))</f>
        <v/>
      </c>
      <c r="BB32" s="110">
        <f>IF(GD32="","",IF(ISNUMBER('Dvd Calendar'!$P$239)=FALSE,"",'Dvd Calendar'!$P$239))</f>
        <v/>
      </c>
      <c r="BC32" s="110">
        <f>IF(GE32="","",IF(ISNUMBER('Dvd Calendar'!$Q$239)=FALSE,"",'Dvd Calendar'!$Q$239))</f>
        <v/>
      </c>
      <c r="BD32" s="110">
        <f>IF(GF32="","",IF(ISNUMBER('Dvd Calendar'!$R$239)=FALSE,"",'Dvd Calendar'!$R$239))</f>
        <v/>
      </c>
      <c r="BE32" s="110">
        <f>IF(GG32="","",IF(ISNUMBER('Dvd Calendar'!$S$239)=FALSE,"",'Dvd Calendar'!$S$239))</f>
        <v/>
      </c>
      <c r="BF32" s="110">
        <f>IF(GH32="","",IF(ISNUMBER('Dvd Calendar'!$T$239)=FALSE,"",'Dvd Calendar'!$T$239))</f>
        <v/>
      </c>
      <c r="BG32" s="110">
        <f>IF(GI32="","",IF(ISNUMBER('Dvd Calendar'!$U$239)=FALSE,"",'Dvd Calendar'!$U$239))</f>
        <v/>
      </c>
      <c r="BH32" s="110">
        <f>IF(GJ32="","",IF(ISNUMBER('Dvd Calendar'!$V$239)=FALSE,"",'Dvd Calendar'!$V$239))</f>
        <v/>
      </c>
      <c r="BI32" s="110">
        <f>IF(GK32="","",IF(ISNUMBER('Dvd Calendar'!$W$239)=FALSE,"",'Dvd Calendar'!$W$239))</f>
        <v/>
      </c>
      <c r="BJ32" s="110">
        <f>IF(GL32="","",IF(ISNUMBER('Dvd Calendar'!$X$239)=FALSE,"",'Dvd Calendar'!$X$239))</f>
        <v/>
      </c>
      <c r="BK32" s="110">
        <f>IF(GM32="","",IF(ISNUMBER('Dvd Calendar'!$Y$239)=FALSE,"",'Dvd Calendar'!$Y$239))</f>
        <v/>
      </c>
      <c r="BL32" s="110">
        <f>IF(GN32="","",IF(ISNUMBER('Dvd Calendar'!$Z$239)=FALSE,"",'Dvd Calendar'!$Z$239))</f>
        <v/>
      </c>
      <c r="BM32" s="110">
        <f>IF(GO32="","",IF(ISNUMBER('Dvd Calendar'!$AA$239)=FALSE,"",'Dvd Calendar'!$AA$239))</f>
        <v/>
      </c>
      <c r="BN32" s="110">
        <f>IF(GP32="","",IF(ISNUMBER('Dvd Calendar'!$AB$239)=FALSE,"",'Dvd Calendar'!$AB$239))</f>
        <v/>
      </c>
      <c r="BO32" s="110">
        <f>IF(GQ32="","",IF(ISNUMBER('Dvd Calendar'!$AC$239)=FALSE,"",'Dvd Calendar'!$AC$239))</f>
        <v/>
      </c>
      <c r="BQ32" s="110">
        <f>IF(C32="","",IFERROR(C32*HSI!$B$27*HSI!$G$27/HSI!$B$3,""))</f>
        <v/>
      </c>
      <c r="BR32" s="110">
        <f>IF(D32="","",IFERROR(D32*HSI!$B$27*HSI!$G$27/HSI!$B$3,""))</f>
        <v/>
      </c>
      <c r="BS32" s="110">
        <f>IF(E32="","",IFERROR(E32*HSI!$B$27*HSI!$G$27/HSI!$B$3,""))</f>
        <v/>
      </c>
      <c r="BT32" s="110">
        <f>IF(F32="","",IFERROR(F32*HSI!$B$27*HSI!$G$27/HSI!$B$3,""))</f>
        <v/>
      </c>
      <c r="BU32" s="110">
        <f>IF(G32="","",IFERROR(G32*HSI!$B$27*HSI!$G$27/HSI!$B$3,""))</f>
        <v/>
      </c>
      <c r="BV32" s="110">
        <f>IF(H32="","",IFERROR(H32*HSI!$B$27*HSI!$G$27/HSI!$B$3,""))</f>
        <v/>
      </c>
      <c r="BW32" s="110">
        <f>IF(I32="","",IFERROR(I32*HSI!$B$27*HSI!$G$27/HSI!$B$3,""))</f>
        <v/>
      </c>
      <c r="BX32" s="110">
        <f>IF(J32="","",IFERROR(J32*HSI!$B$27*HSI!$G$27/HSI!$B$3,""))</f>
        <v/>
      </c>
      <c r="BY32" s="110">
        <f>IF(K32="","",IFERROR(K32*HSI!$B$27*HSI!$G$27/HSI!$B$3,""))</f>
        <v/>
      </c>
      <c r="BZ32" s="110">
        <f>IF(L32="","",IFERROR(L32*HSI!$B$27*HSI!$G$27/HSI!$B$3,""))</f>
        <v/>
      </c>
      <c r="CA32" s="110">
        <f>IF(M32="","",IFERROR(M32*HSI!$B$27*HSI!$G$27/HSI!$B$3,""))</f>
        <v/>
      </c>
      <c r="CB32" s="110">
        <f>IF(N32="","",IFERROR(N32*HSI!$B$27*HSI!$G$27/HSI!$B$3,""))</f>
        <v/>
      </c>
      <c r="CC32" s="110">
        <f>IF(O32="","",IFERROR(O32*HSI!$B$27*HSI!$G$27/HSI!$B$3,""))</f>
        <v/>
      </c>
      <c r="CD32" s="110">
        <f>IF(P32="","",IFERROR(P32*HSI!$B$27*HSI!$G$27/HSI!$B$3,""))</f>
        <v/>
      </c>
      <c r="CE32" s="110">
        <f>IF(Q32="","",IFERROR(Q32*HSI!$B$27*HSI!$G$27/HSI!$B$3,""))</f>
        <v/>
      </c>
      <c r="CF32" s="110">
        <f>IF(R32="","",IFERROR(R32*HSI!$B$27*HSI!$G$27/HSI!$B$3,""))</f>
        <v/>
      </c>
      <c r="CG32" s="110">
        <f>IF(S32="","",IFERROR(S32*HSI!$B$27*HSI!$G$27/HSI!$B$3,""))</f>
        <v/>
      </c>
      <c r="CH32" s="110">
        <f>IF(T32="","",IFERROR(T32*HSI!$B$27*HSI!$G$27/HSI!$B$3,""))</f>
        <v/>
      </c>
      <c r="CI32" s="110">
        <f>IF(U32="","",IFERROR(U32*HSI!$B$27*HSI!$G$27/HSI!$B$3,""))</f>
        <v/>
      </c>
      <c r="CJ32" s="110">
        <f>IF(V32="","",IFERROR(V32*HSI!$B$27*HSI!$G$27/HSI!$B$3,""))</f>
        <v/>
      </c>
      <c r="CK32" s="110">
        <f>IF(W32="","",IFERROR(W32*HSI!$B$27*HSI!$G$27/HSI!$B$3,""))</f>
        <v/>
      </c>
      <c r="CL32" s="110">
        <f>IF(X32="","",IFERROR(X32*HSI!$B$27*HSI!$G$27/HSI!$B$3,""))</f>
        <v/>
      </c>
      <c r="CM32" s="110">
        <f>IF(Y32="","",IFERROR(Y32*HSI!$B$27*HSI!$G$27/HSI!$B$3,""))</f>
        <v/>
      </c>
      <c r="CN32" s="110">
        <f>IF(Z32="","",IFERROR(Z32*HSI!$B$27*HSI!$G$27/HSI!$B$3,""))</f>
        <v/>
      </c>
      <c r="CO32" s="110">
        <f>IF(AA32="","",IFERROR(AA32*HSI!$B$27*HSI!$G$27/HSI!$B$3,""))</f>
        <v/>
      </c>
      <c r="CP32" s="110">
        <f>IF(AB32="","",IFERROR(AB32*HSI!$B$27*HSI!$G$27/HSI!$B$3,""))</f>
        <v/>
      </c>
      <c r="CQ32" s="110">
        <f>IF(AC32="","",IFERROR(AC32*HSI!$B$27*HSI!$G$27/HSI!$B$3,""))</f>
        <v/>
      </c>
      <c r="CR32" s="110">
        <f>IF(AD32="","",IFERROR(AD32*HSI!$B$27*HSI!$G$27/HSI!$B$3,""))</f>
        <v/>
      </c>
      <c r="CS32" s="110">
        <f>IF(AE32="","",IFERROR(AE32*HSI!$B$27*HSI!$G$27/HSI!$B$3,""))</f>
        <v/>
      </c>
      <c r="CT32" s="110">
        <f>IF(AF32="","",IFERROR(AF32*HSI!$B$27*HSI!$G$27/HSI!$B$3,""))</f>
        <v/>
      </c>
      <c r="CU32" s="110">
        <f>IF(AG32="","",IFERROR(AG32*HSI!$B$27*HSI!$G$27/HSI!$B$3,""))</f>
        <v/>
      </c>
      <c r="CV32" s="110">
        <f>IF(AH32="","",IFERROR(AH32*HSI!$B$27*HSI!$G$27/HSI!$B$3,""))</f>
        <v/>
      </c>
      <c r="CW32" s="110">
        <f>IF(AI32="","",IFERROR(AI32*HSI!$B$27*HSI!$G$27/HSI!$B$3,""))</f>
        <v/>
      </c>
      <c r="CX32" s="110">
        <f>IF(AJ32="","",IFERROR(AJ32*HSI!$B$27*HSI!$G$27/HSI!$B$3,""))</f>
        <v/>
      </c>
      <c r="CY32" s="110">
        <f>IF(AK32="","",IFERROR(AK32*HSI!$B$27*HSI!$G$27/HSI!$B$3,""))</f>
        <v/>
      </c>
      <c r="CZ32" s="110">
        <f>IF(AL32="","",IFERROR(AL32*HSI!$B$27*HSI!$G$27/HSI!$B$3,""))</f>
        <v/>
      </c>
      <c r="DA32" s="110">
        <f>IF(AM32="","",IFERROR(AM32*HSI!$B$27*HSI!$G$27/HSI!$B$3,""))</f>
        <v/>
      </c>
      <c r="DB32" s="110">
        <f>IF(AN32="","",IFERROR(AN32*HSI!$B$27*HSI!$G$27/HSI!$B$3,""))</f>
        <v/>
      </c>
      <c r="DC32" s="110">
        <f>IF(AO32="","",IFERROR(AO32*HSI!$B$27*HSI!$G$27/HSI!$B$3,""))</f>
        <v/>
      </c>
      <c r="DD32" s="110">
        <f>IF(AP32="","",IFERROR(AP32*HSI!$B$27*HSI!$G$27/HSI!$B$3,""))</f>
        <v/>
      </c>
      <c r="DE32" s="110">
        <f>IF(AQ32="","",IFERROR(AQ32*HSI!$B$27*HSI!$G$27/HSI!$B$3,""))</f>
        <v/>
      </c>
      <c r="DF32" s="110">
        <f>IF(AR32="","",IFERROR(AR32*HSI!$B$27*HSI!$G$27/HSI!$B$3,""))</f>
        <v/>
      </c>
      <c r="DG32" s="110">
        <f>IF(AS32="","",IFERROR(AS32*HSI!$B$27*HSI!$G$27/HSI!$B$3,""))</f>
        <v/>
      </c>
      <c r="DH32" s="110">
        <f>IF(AT32="","",IFERROR(AT32*HSI!$B$27*HSI!$G$27/HSI!$B$3,""))</f>
        <v/>
      </c>
      <c r="DI32" s="110">
        <f>IF(AU32="","",IFERROR(AU32*HSI!$B$27*HSI!$G$27/HSI!$B$3,""))</f>
        <v/>
      </c>
      <c r="DJ32" s="110">
        <f>IF(AV32="","",IFERROR(AV32*HSI!$B$27*HSI!$G$27/HSI!$B$3,""))</f>
        <v/>
      </c>
      <c r="DK32" s="110">
        <f>IF(AW32="","",IFERROR(AW32*HSI!$B$27*HSI!$G$27/HSI!$B$3,""))</f>
        <v/>
      </c>
      <c r="DL32" s="110">
        <f>IF(AX32="","",IFERROR(AX32*HSI!$B$27*HSI!$G$27/HSI!$B$3,""))</f>
        <v/>
      </c>
      <c r="DM32" s="110">
        <f>IF(AY32="","",IFERROR(AY32*HSI!$B$27*HSI!$G$27/HSI!$B$3,""))</f>
        <v/>
      </c>
      <c r="DN32" s="110">
        <f>IF(AZ32="","",IFERROR(AZ32*HSI!$B$27*HSI!$G$27/HSI!$B$3,""))</f>
        <v/>
      </c>
      <c r="DO32" s="110">
        <f>IF(BA32="","",IFERROR(BA32*HSI!$B$27*HSI!$G$27/HSI!$B$3,""))</f>
        <v/>
      </c>
      <c r="DP32" s="110">
        <f>IF(BB32="","",IFERROR(BB32*HSI!$B$27*HSI!$G$27/HSI!$B$3,""))</f>
        <v/>
      </c>
      <c r="DQ32" s="110">
        <f>IF(BC32="","",IFERROR(BC32*HSI!$B$27*HSI!$G$27/HSI!$B$3,""))</f>
        <v/>
      </c>
      <c r="DR32" s="110">
        <f>IF(BD32="","",IFERROR(BD32*HSI!$B$27*HSI!$G$27/HSI!$B$3,""))</f>
        <v/>
      </c>
      <c r="DS32" s="110">
        <f>IF(BE32="","",IFERROR(BE32*HSI!$B$27*HSI!$G$27/HSI!$B$3,""))</f>
        <v/>
      </c>
      <c r="DT32" s="110">
        <f>IF(BF32="","",IFERROR(BF32*HSI!$B$27*HSI!$G$27/HSI!$B$3,""))</f>
        <v/>
      </c>
      <c r="DU32" s="110">
        <f>IF(BG32="","",IFERROR(BG32*HSI!$B$27*HSI!$G$27/HSI!$B$3,""))</f>
        <v/>
      </c>
      <c r="DV32" s="110">
        <f>IF(BH32="","",IFERROR(BH32*HSI!$B$27*HSI!$G$27/HSI!$B$3,""))</f>
        <v/>
      </c>
      <c r="DW32" s="110">
        <f>IF(BI32="","",IFERROR(BI32*HSI!$B$27*HSI!$G$27/HSI!$B$3,""))</f>
        <v/>
      </c>
      <c r="DX32" s="110">
        <f>IF(BJ32="","",IFERROR(BJ32*HSI!$B$27*HSI!$G$27/HSI!$B$3,""))</f>
        <v/>
      </c>
      <c r="DY32" s="110">
        <f>IF(BK32="","",IFERROR(BK32*HSI!$B$27*HSI!$G$27/HSI!$B$3,""))</f>
        <v/>
      </c>
      <c r="DZ32" s="110">
        <f>IF(BL32="","",IFERROR(BL32*HSI!$B$27*HSI!$G$27/HSI!$B$3,""))</f>
        <v/>
      </c>
      <c r="EA32" s="110">
        <f>IF(BM32="","",IFERROR(BM32*HSI!$B$27*HSI!$G$27/HSI!$B$3,""))</f>
        <v/>
      </c>
      <c r="EB32" s="110">
        <f>IF(BN32="","",IFERROR(BN32*HSI!$B$27*HSI!$G$27/HSI!$B$3,""))</f>
        <v/>
      </c>
      <c r="EC32" s="110">
        <f>IF(BO32="","",IFERROR(BO32*HSI!$B$27*HSI!$G$27/HSI!$B$3,""))</f>
        <v/>
      </c>
      <c r="EE32" s="39">
        <f>IF(N('Dvd Calendar'!$E$231)=0,"",IF(('Dvd Calendar'!$E$231&gt;=GRID_FROM)*('Dvd Calendar'!$E$231&lt;=GRID_TO)*((('Dvd Calendar'!$E$231&lt;=VAL_DATE)+(COUNTIF('Dvd Calendar'!$E$238:$AR$238,'Dvd Calendar'!$E$231)=0))&gt;0)=0,"",'Dvd Calendar'!$E$231*1000000000+ISNUMBER('Dvd Calendar'!$E$234)*100000000+('Dvd Calendar'!$E$236=SPECIAL_LBL)*10000000+(N('Dvd Calendar'!$E$230)&gt;0)*(N('Dvd Calendar'!$E$230)&lt;=VAL_SERIAL)*1000000+21*1000+1))</f>
        <v/>
      </c>
      <c r="EF32" s="39">
        <f>IF(N('Dvd Calendar'!$F$231)=0,"",IF(('Dvd Calendar'!$F$231&gt;=GRID_FROM)*('Dvd Calendar'!$F$231&lt;=GRID_TO)*((('Dvd Calendar'!$F$231&lt;=VAL_DATE)+(COUNTIF('Dvd Calendar'!$E$238:$AR$238,'Dvd Calendar'!$F$231)=0))&gt;0)=0,"",'Dvd Calendar'!$F$231*1000000000+ISNUMBER('Dvd Calendar'!$F$234)*100000000+('Dvd Calendar'!$F$236=SPECIAL_LBL)*10000000+(N('Dvd Calendar'!$F$230)&gt;0)*(N('Dvd Calendar'!$F$230)&lt;=VAL_SERIAL)*1000000+21*1000+2))</f>
        <v/>
      </c>
      <c r="EG32" s="39">
        <f>IF(N('Dvd Calendar'!$G$231)=0,"",IF(('Dvd Calendar'!$G$231&gt;=GRID_FROM)*('Dvd Calendar'!$G$231&lt;=GRID_TO)*((('Dvd Calendar'!$G$231&lt;=VAL_DATE)+(COUNTIF('Dvd Calendar'!$E$238:$AR$238,'Dvd Calendar'!$G$231)=0))&gt;0)=0,"",'Dvd Calendar'!$G$231*1000000000+ISNUMBER('Dvd Calendar'!$G$234)*100000000+('Dvd Calendar'!$G$236=SPECIAL_LBL)*10000000+(N('Dvd Calendar'!$G$230)&gt;0)*(N('Dvd Calendar'!$G$230)&lt;=VAL_SERIAL)*1000000+21*1000+3))</f>
        <v/>
      </c>
      <c r="EH32" s="39">
        <f>IF(N('Dvd Calendar'!$H$231)=0,"",IF(('Dvd Calendar'!$H$231&gt;=GRID_FROM)*('Dvd Calendar'!$H$231&lt;=GRID_TO)*((('Dvd Calendar'!$H$231&lt;=VAL_DATE)+(COUNTIF('Dvd Calendar'!$E$238:$AR$238,'Dvd Calendar'!$H$231)=0))&gt;0)=0,"",'Dvd Calendar'!$H$231*1000000000+ISNUMBER('Dvd Calendar'!$H$234)*100000000+('Dvd Calendar'!$H$236=SPECIAL_LBL)*10000000+(N('Dvd Calendar'!$H$230)&gt;0)*(N('Dvd Calendar'!$H$230)&lt;=VAL_SERIAL)*1000000+21*1000+4))</f>
        <v/>
      </c>
      <c r="EI32" s="39">
        <f>IF(N('Dvd Calendar'!$I$231)=0,"",IF(('Dvd Calendar'!$I$231&gt;=GRID_FROM)*('Dvd Calendar'!$I$231&lt;=GRID_TO)*((('Dvd Calendar'!$I$231&lt;=VAL_DATE)+(COUNTIF('Dvd Calendar'!$E$238:$AR$238,'Dvd Calendar'!$I$231)=0))&gt;0)=0,"",'Dvd Calendar'!$I$231*1000000000+ISNUMBER('Dvd Calendar'!$I$234)*100000000+('Dvd Calendar'!$I$236=SPECIAL_LBL)*10000000+(N('Dvd Calendar'!$I$230)&gt;0)*(N('Dvd Calendar'!$I$230)&lt;=VAL_SERIAL)*1000000+21*1000+5))</f>
        <v/>
      </c>
      <c r="EJ32" s="39">
        <f>IF(N('Dvd Calendar'!$J$231)=0,"",IF(('Dvd Calendar'!$J$231&gt;=GRID_FROM)*('Dvd Calendar'!$J$231&lt;=GRID_TO)*((('Dvd Calendar'!$J$231&lt;=VAL_DATE)+(COUNTIF('Dvd Calendar'!$E$238:$AR$238,'Dvd Calendar'!$J$231)=0))&gt;0)=0,"",'Dvd Calendar'!$J$231*1000000000+ISNUMBER('Dvd Calendar'!$J$234)*100000000+('Dvd Calendar'!$J$236=SPECIAL_LBL)*10000000+(N('Dvd Calendar'!$J$230)&gt;0)*(N('Dvd Calendar'!$J$230)&lt;=VAL_SERIAL)*1000000+21*1000+6))</f>
        <v/>
      </c>
      <c r="EK32" s="39">
        <f>IF(N('Dvd Calendar'!$K$231)=0,"",IF(('Dvd Calendar'!$K$231&gt;=GRID_FROM)*('Dvd Calendar'!$K$231&lt;=GRID_TO)*((('Dvd Calendar'!$K$231&lt;=VAL_DATE)+(COUNTIF('Dvd Calendar'!$E$238:$AR$238,'Dvd Calendar'!$K$231)=0))&gt;0)=0,"",'Dvd Calendar'!$K$231*1000000000+ISNUMBER('Dvd Calendar'!$K$234)*100000000+('Dvd Calendar'!$K$236=SPECIAL_LBL)*10000000+(N('Dvd Calendar'!$K$230)&gt;0)*(N('Dvd Calendar'!$K$230)&lt;=VAL_SERIAL)*1000000+21*1000+7))</f>
        <v/>
      </c>
      <c r="EL32" s="39">
        <f>IF(N('Dvd Calendar'!$L$231)=0,"",IF(('Dvd Calendar'!$L$231&gt;=GRID_FROM)*('Dvd Calendar'!$L$231&lt;=GRID_TO)*((('Dvd Calendar'!$L$231&lt;=VAL_DATE)+(COUNTIF('Dvd Calendar'!$E$238:$AR$238,'Dvd Calendar'!$L$231)=0))&gt;0)=0,"",'Dvd Calendar'!$L$231*1000000000+ISNUMBER('Dvd Calendar'!$L$234)*100000000+('Dvd Calendar'!$L$236=SPECIAL_LBL)*10000000+(N('Dvd Calendar'!$L$230)&gt;0)*(N('Dvd Calendar'!$L$230)&lt;=VAL_SERIAL)*1000000+21*1000+8))</f>
        <v/>
      </c>
      <c r="EM32" s="39">
        <f>IF(N('Dvd Calendar'!$M$231)=0,"",IF(('Dvd Calendar'!$M$231&gt;=GRID_FROM)*('Dvd Calendar'!$M$231&lt;=GRID_TO)*((('Dvd Calendar'!$M$231&lt;=VAL_DATE)+(COUNTIF('Dvd Calendar'!$E$238:$AR$238,'Dvd Calendar'!$M$231)=0))&gt;0)=0,"",'Dvd Calendar'!$M$231*1000000000+ISNUMBER('Dvd Calendar'!$M$234)*100000000+('Dvd Calendar'!$M$236=SPECIAL_LBL)*10000000+(N('Dvd Calendar'!$M$230)&gt;0)*(N('Dvd Calendar'!$M$230)&lt;=VAL_SERIAL)*1000000+21*1000+9))</f>
        <v/>
      </c>
      <c r="EN32" s="39">
        <f>IF(N('Dvd Calendar'!$N$231)=0,"",IF(('Dvd Calendar'!$N$231&gt;=GRID_FROM)*('Dvd Calendar'!$N$231&lt;=GRID_TO)*((('Dvd Calendar'!$N$231&lt;=VAL_DATE)+(COUNTIF('Dvd Calendar'!$E$238:$AR$238,'Dvd Calendar'!$N$231)=0))&gt;0)=0,"",'Dvd Calendar'!$N$231*1000000000+ISNUMBER('Dvd Calendar'!$N$234)*100000000+('Dvd Calendar'!$N$236=SPECIAL_LBL)*10000000+(N('Dvd Calendar'!$N$230)&gt;0)*(N('Dvd Calendar'!$N$230)&lt;=VAL_SERIAL)*1000000+21*1000+10))</f>
        <v/>
      </c>
      <c r="EO32" s="39">
        <f>IF(N('Dvd Calendar'!$O$231)=0,"",IF(('Dvd Calendar'!$O$231&gt;=GRID_FROM)*('Dvd Calendar'!$O$231&lt;=GRID_TO)*((('Dvd Calendar'!$O$231&lt;=VAL_DATE)+(COUNTIF('Dvd Calendar'!$E$238:$AR$238,'Dvd Calendar'!$O$231)=0))&gt;0)=0,"",'Dvd Calendar'!$O$231*1000000000+ISNUMBER('Dvd Calendar'!$O$234)*100000000+('Dvd Calendar'!$O$236=SPECIAL_LBL)*10000000+(N('Dvd Calendar'!$O$230)&gt;0)*(N('Dvd Calendar'!$O$230)&lt;=VAL_SERIAL)*1000000+21*1000+11))</f>
        <v/>
      </c>
      <c r="EP32" s="39">
        <f>IF(N('Dvd Calendar'!$P$231)=0,"",IF(('Dvd Calendar'!$P$231&gt;=GRID_FROM)*('Dvd Calendar'!$P$231&lt;=GRID_TO)*((('Dvd Calendar'!$P$231&lt;=VAL_DATE)+(COUNTIF('Dvd Calendar'!$E$238:$AR$238,'Dvd Calendar'!$P$231)=0))&gt;0)=0,"",'Dvd Calendar'!$P$231*1000000000+ISNUMBER('Dvd Calendar'!$P$234)*100000000+('Dvd Calendar'!$P$236=SPECIAL_LBL)*10000000+(N('Dvd Calendar'!$P$230)&gt;0)*(N('Dvd Calendar'!$P$230)&lt;=VAL_SERIAL)*1000000+21*1000+12))</f>
        <v/>
      </c>
      <c r="EQ32" s="39">
        <f>IF(N('Dvd Calendar'!$Q$231)=0,"",IF(('Dvd Calendar'!$Q$231&gt;=GRID_FROM)*('Dvd Calendar'!$Q$231&lt;=GRID_TO)*((('Dvd Calendar'!$Q$231&lt;=VAL_DATE)+(COUNTIF('Dvd Calendar'!$E$238:$AR$238,'Dvd Calendar'!$Q$231)=0))&gt;0)=0,"",'Dvd Calendar'!$Q$231*1000000000+ISNUMBER('Dvd Calendar'!$Q$234)*100000000+('Dvd Calendar'!$Q$236=SPECIAL_LBL)*10000000+(N('Dvd Calendar'!$Q$230)&gt;0)*(N('Dvd Calendar'!$Q$230)&lt;=VAL_SERIAL)*1000000+21*1000+13))</f>
        <v/>
      </c>
      <c r="ER32" s="39">
        <f>IF(N('Dvd Calendar'!$R$231)=0,"",IF(('Dvd Calendar'!$R$231&gt;=GRID_FROM)*('Dvd Calendar'!$R$231&lt;=GRID_TO)*((('Dvd Calendar'!$R$231&lt;=VAL_DATE)+(COUNTIF('Dvd Calendar'!$E$238:$AR$238,'Dvd Calendar'!$R$231)=0))&gt;0)=0,"",'Dvd Calendar'!$R$231*1000000000+ISNUMBER('Dvd Calendar'!$R$234)*100000000+('Dvd Calendar'!$R$236=SPECIAL_LBL)*10000000+(N('Dvd Calendar'!$R$230)&gt;0)*(N('Dvd Calendar'!$R$230)&lt;=VAL_SERIAL)*1000000+21*1000+14))</f>
        <v/>
      </c>
      <c r="ES32" s="39">
        <f>IF(N('Dvd Calendar'!$S$231)=0,"",IF(('Dvd Calendar'!$S$231&gt;=GRID_FROM)*('Dvd Calendar'!$S$231&lt;=GRID_TO)*((('Dvd Calendar'!$S$231&lt;=VAL_DATE)+(COUNTIF('Dvd Calendar'!$E$238:$AR$238,'Dvd Calendar'!$S$231)=0))&gt;0)=0,"",'Dvd Calendar'!$S$231*1000000000+ISNUMBER('Dvd Calendar'!$S$234)*100000000+('Dvd Calendar'!$S$236=SPECIAL_LBL)*10000000+(N('Dvd Calendar'!$S$230)&gt;0)*(N('Dvd Calendar'!$S$230)&lt;=VAL_SERIAL)*1000000+21*1000+15))</f>
        <v/>
      </c>
      <c r="ET32" s="39">
        <f>IF(N('Dvd Calendar'!$T$231)=0,"",IF(('Dvd Calendar'!$T$231&gt;=GRID_FROM)*('Dvd Calendar'!$T$231&lt;=GRID_TO)*((('Dvd Calendar'!$T$231&lt;=VAL_DATE)+(COUNTIF('Dvd Calendar'!$E$238:$AR$238,'Dvd Calendar'!$T$231)=0))&gt;0)=0,"",'Dvd Calendar'!$T$231*1000000000+ISNUMBER('Dvd Calendar'!$T$234)*100000000+('Dvd Calendar'!$T$236=SPECIAL_LBL)*10000000+(N('Dvd Calendar'!$T$230)&gt;0)*(N('Dvd Calendar'!$T$230)&lt;=VAL_SERIAL)*1000000+21*1000+16))</f>
        <v/>
      </c>
      <c r="EU32" s="39">
        <f>IF(N('Dvd Calendar'!$U$231)=0,"",IF(('Dvd Calendar'!$U$231&gt;=GRID_FROM)*('Dvd Calendar'!$U$231&lt;=GRID_TO)*((('Dvd Calendar'!$U$231&lt;=VAL_DATE)+(COUNTIF('Dvd Calendar'!$E$238:$AR$238,'Dvd Calendar'!$U$231)=0))&gt;0)=0,"",'Dvd Calendar'!$U$231*1000000000+ISNUMBER('Dvd Calendar'!$U$234)*100000000+('Dvd Calendar'!$U$236=SPECIAL_LBL)*10000000+(N('Dvd Calendar'!$U$230)&gt;0)*(N('Dvd Calendar'!$U$230)&lt;=VAL_SERIAL)*1000000+21*1000+17))</f>
        <v/>
      </c>
      <c r="EV32" s="39">
        <f>IF(N('Dvd Calendar'!$V$231)=0,"",IF(('Dvd Calendar'!$V$231&gt;=GRID_FROM)*('Dvd Calendar'!$V$231&lt;=GRID_TO)*((('Dvd Calendar'!$V$231&lt;=VAL_DATE)+(COUNTIF('Dvd Calendar'!$E$238:$AR$238,'Dvd Calendar'!$V$231)=0))&gt;0)=0,"",'Dvd Calendar'!$V$231*1000000000+ISNUMBER('Dvd Calendar'!$V$234)*100000000+('Dvd Calendar'!$V$236=SPECIAL_LBL)*10000000+(N('Dvd Calendar'!$V$230)&gt;0)*(N('Dvd Calendar'!$V$230)&lt;=VAL_SERIAL)*1000000+21*1000+18))</f>
        <v/>
      </c>
      <c r="EW32" s="39">
        <f>IF(N('Dvd Calendar'!$W$231)=0,"",IF(('Dvd Calendar'!$W$231&gt;=GRID_FROM)*('Dvd Calendar'!$W$231&lt;=GRID_TO)*((('Dvd Calendar'!$W$231&lt;=VAL_DATE)+(COUNTIF('Dvd Calendar'!$E$238:$AR$238,'Dvd Calendar'!$W$231)=0))&gt;0)=0,"",'Dvd Calendar'!$W$231*1000000000+ISNUMBER('Dvd Calendar'!$W$234)*100000000+('Dvd Calendar'!$W$236=SPECIAL_LBL)*10000000+(N('Dvd Calendar'!$W$230)&gt;0)*(N('Dvd Calendar'!$W$230)&lt;=VAL_SERIAL)*1000000+21*1000+19))</f>
        <v/>
      </c>
      <c r="EX32" s="39">
        <f>IF(N('Dvd Calendar'!$X$231)=0,"",IF(('Dvd Calendar'!$X$231&gt;=GRID_FROM)*('Dvd Calendar'!$X$231&lt;=GRID_TO)*((('Dvd Calendar'!$X$231&lt;=VAL_DATE)+(COUNTIF('Dvd Calendar'!$E$238:$AR$238,'Dvd Calendar'!$X$231)=0))&gt;0)=0,"",'Dvd Calendar'!$X$231*1000000000+ISNUMBER('Dvd Calendar'!$X$234)*100000000+('Dvd Calendar'!$X$236=SPECIAL_LBL)*10000000+(N('Dvd Calendar'!$X$230)&gt;0)*(N('Dvd Calendar'!$X$230)&lt;=VAL_SERIAL)*1000000+21*1000+20))</f>
        <v/>
      </c>
      <c r="EY32" s="39">
        <f>IF(N('Dvd Calendar'!$Y$231)=0,"",IF(('Dvd Calendar'!$Y$231&gt;=GRID_FROM)*('Dvd Calendar'!$Y$231&lt;=GRID_TO)*((('Dvd Calendar'!$Y$231&lt;=VAL_DATE)+(COUNTIF('Dvd Calendar'!$E$238:$AR$238,'Dvd Calendar'!$Y$231)=0))&gt;0)=0,"",'Dvd Calendar'!$Y$231*1000000000+ISNUMBER('Dvd Calendar'!$Y$234)*100000000+('Dvd Calendar'!$Y$236=SPECIAL_LBL)*10000000+(N('Dvd Calendar'!$Y$230)&gt;0)*(N('Dvd Calendar'!$Y$230)&lt;=VAL_SERIAL)*1000000+21*1000+21))</f>
        <v/>
      </c>
      <c r="EZ32" s="39">
        <f>IF(N('Dvd Calendar'!$Z$231)=0,"",IF(('Dvd Calendar'!$Z$231&gt;=GRID_FROM)*('Dvd Calendar'!$Z$231&lt;=GRID_TO)*((('Dvd Calendar'!$Z$231&lt;=VAL_DATE)+(COUNTIF('Dvd Calendar'!$E$238:$AR$238,'Dvd Calendar'!$Z$231)=0))&gt;0)=0,"",'Dvd Calendar'!$Z$231*1000000000+ISNUMBER('Dvd Calendar'!$Z$234)*100000000+('Dvd Calendar'!$Z$236=SPECIAL_LBL)*10000000+(N('Dvd Calendar'!$Z$230)&gt;0)*(N('Dvd Calendar'!$Z$230)&lt;=VAL_SERIAL)*1000000+21*1000+22))</f>
        <v/>
      </c>
      <c r="FA32" s="39">
        <f>IF(N('Dvd Calendar'!$AA$231)=0,"",IF(('Dvd Calendar'!$AA$231&gt;=GRID_FROM)*('Dvd Calendar'!$AA$231&lt;=GRID_TO)*((('Dvd Calendar'!$AA$231&lt;=VAL_DATE)+(COUNTIF('Dvd Calendar'!$E$238:$AR$238,'Dvd Calendar'!$AA$231)=0))&gt;0)=0,"",'Dvd Calendar'!$AA$231*1000000000+ISNUMBER('Dvd Calendar'!$AA$234)*100000000+('Dvd Calendar'!$AA$236=SPECIAL_LBL)*10000000+(N('Dvd Calendar'!$AA$230)&gt;0)*(N('Dvd Calendar'!$AA$230)&lt;=VAL_SERIAL)*1000000+21*1000+23))</f>
        <v/>
      </c>
      <c r="FB32" s="39">
        <f>IF(N('Dvd Calendar'!$AB$231)=0,"",IF(('Dvd Calendar'!$AB$231&gt;=GRID_FROM)*('Dvd Calendar'!$AB$231&lt;=GRID_TO)*((('Dvd Calendar'!$AB$231&lt;=VAL_DATE)+(COUNTIF('Dvd Calendar'!$E$238:$AR$238,'Dvd Calendar'!$AB$231)=0))&gt;0)=0,"",'Dvd Calendar'!$AB$231*1000000000+ISNUMBER('Dvd Calendar'!$AB$234)*100000000+('Dvd Calendar'!$AB$236=SPECIAL_LBL)*10000000+(N('Dvd Calendar'!$AB$230)&gt;0)*(N('Dvd Calendar'!$AB$230)&lt;=VAL_SERIAL)*1000000+21*1000+24))</f>
        <v/>
      </c>
      <c r="FC32" s="39">
        <f>IF(N('Dvd Calendar'!$AC$231)=0,"",IF(('Dvd Calendar'!$AC$231&gt;=GRID_FROM)*('Dvd Calendar'!$AC$231&lt;=GRID_TO)*((('Dvd Calendar'!$AC$231&lt;=VAL_DATE)+(COUNTIF('Dvd Calendar'!$E$238:$AR$238,'Dvd Calendar'!$AC$231)=0))&gt;0)=0,"",'Dvd Calendar'!$AC$231*1000000000+ISNUMBER('Dvd Calendar'!$AC$234)*100000000+('Dvd Calendar'!$AC$236=SPECIAL_LBL)*10000000+(N('Dvd Calendar'!$AC$230)&gt;0)*(N('Dvd Calendar'!$AC$230)&lt;=VAL_SERIAL)*1000000+21*1000+25))</f>
        <v/>
      </c>
      <c r="FD32" s="39">
        <f>IF(N('Dvd Calendar'!$AD$231)=0,"",IF(('Dvd Calendar'!$AD$231&gt;=GRID_FROM)*('Dvd Calendar'!$AD$231&lt;=GRID_TO)*((('Dvd Calendar'!$AD$231&lt;=VAL_DATE)+(COUNTIF('Dvd Calendar'!$E$238:$AR$238,'Dvd Calendar'!$AD$231)=0))&gt;0)=0,"",'Dvd Calendar'!$AD$231*1000000000+ISNUMBER('Dvd Calendar'!$AD$234)*100000000+('Dvd Calendar'!$AD$236=SPECIAL_LBL)*10000000+(N('Dvd Calendar'!$AD$230)&gt;0)*(N('Dvd Calendar'!$AD$230)&lt;=VAL_SERIAL)*1000000+21*1000+26))</f>
        <v/>
      </c>
      <c r="FE32" s="39">
        <f>IF(N('Dvd Calendar'!$AE$231)=0,"",IF(('Dvd Calendar'!$AE$231&gt;=GRID_FROM)*('Dvd Calendar'!$AE$231&lt;=GRID_TO)*((('Dvd Calendar'!$AE$231&lt;=VAL_DATE)+(COUNTIF('Dvd Calendar'!$E$238:$AR$238,'Dvd Calendar'!$AE$231)=0))&gt;0)=0,"",'Dvd Calendar'!$AE$231*1000000000+ISNUMBER('Dvd Calendar'!$AE$234)*100000000+('Dvd Calendar'!$AE$236=SPECIAL_LBL)*10000000+(N('Dvd Calendar'!$AE$230)&gt;0)*(N('Dvd Calendar'!$AE$230)&lt;=VAL_SERIAL)*1000000+21*1000+27))</f>
        <v/>
      </c>
      <c r="FF32" s="39">
        <f>IF(N('Dvd Calendar'!$AF$231)=0,"",IF(('Dvd Calendar'!$AF$231&gt;=GRID_FROM)*('Dvd Calendar'!$AF$231&lt;=GRID_TO)*((('Dvd Calendar'!$AF$231&lt;=VAL_DATE)+(COUNTIF('Dvd Calendar'!$E$238:$AR$238,'Dvd Calendar'!$AF$231)=0))&gt;0)=0,"",'Dvd Calendar'!$AF$231*1000000000+ISNUMBER('Dvd Calendar'!$AF$234)*100000000+('Dvd Calendar'!$AF$236=SPECIAL_LBL)*10000000+(N('Dvd Calendar'!$AF$230)&gt;0)*(N('Dvd Calendar'!$AF$230)&lt;=VAL_SERIAL)*1000000+21*1000+28))</f>
        <v/>
      </c>
      <c r="FG32" s="39">
        <f>IF(N('Dvd Calendar'!$AG$231)=0,"",IF(('Dvd Calendar'!$AG$231&gt;=GRID_FROM)*('Dvd Calendar'!$AG$231&lt;=GRID_TO)*((('Dvd Calendar'!$AG$231&lt;=VAL_DATE)+(COUNTIF('Dvd Calendar'!$E$238:$AR$238,'Dvd Calendar'!$AG$231)=0))&gt;0)=0,"",'Dvd Calendar'!$AG$231*1000000000+ISNUMBER('Dvd Calendar'!$AG$234)*100000000+('Dvd Calendar'!$AG$236=SPECIAL_LBL)*10000000+(N('Dvd Calendar'!$AG$230)&gt;0)*(N('Dvd Calendar'!$AG$230)&lt;=VAL_SERIAL)*1000000+21*1000+29))</f>
        <v/>
      </c>
      <c r="FH32" s="39">
        <f>IF(N('Dvd Calendar'!$AH$231)=0,"",IF(('Dvd Calendar'!$AH$231&gt;=GRID_FROM)*('Dvd Calendar'!$AH$231&lt;=GRID_TO)*((('Dvd Calendar'!$AH$231&lt;=VAL_DATE)+(COUNTIF('Dvd Calendar'!$E$238:$AR$238,'Dvd Calendar'!$AH$231)=0))&gt;0)=0,"",'Dvd Calendar'!$AH$231*1000000000+ISNUMBER('Dvd Calendar'!$AH$234)*100000000+('Dvd Calendar'!$AH$236=SPECIAL_LBL)*10000000+(N('Dvd Calendar'!$AH$230)&gt;0)*(N('Dvd Calendar'!$AH$230)&lt;=VAL_SERIAL)*1000000+21*1000+30))</f>
        <v/>
      </c>
      <c r="FI32" s="39">
        <f>IF(N('Dvd Calendar'!$AI$231)=0,"",IF(('Dvd Calendar'!$AI$231&gt;=GRID_FROM)*('Dvd Calendar'!$AI$231&lt;=GRID_TO)*((('Dvd Calendar'!$AI$231&lt;=VAL_DATE)+(COUNTIF('Dvd Calendar'!$E$238:$AR$238,'Dvd Calendar'!$AI$231)=0))&gt;0)=0,"",'Dvd Calendar'!$AI$231*1000000000+ISNUMBER('Dvd Calendar'!$AI$234)*100000000+('Dvd Calendar'!$AI$236=SPECIAL_LBL)*10000000+(N('Dvd Calendar'!$AI$230)&gt;0)*(N('Dvd Calendar'!$AI$230)&lt;=VAL_SERIAL)*1000000+21*1000+31))</f>
        <v/>
      </c>
      <c r="FJ32" s="39">
        <f>IF(N('Dvd Calendar'!$AJ$231)=0,"",IF(('Dvd Calendar'!$AJ$231&gt;=GRID_FROM)*('Dvd Calendar'!$AJ$231&lt;=GRID_TO)*((('Dvd Calendar'!$AJ$231&lt;=VAL_DATE)+(COUNTIF('Dvd Calendar'!$E$238:$AR$238,'Dvd Calendar'!$AJ$231)=0))&gt;0)=0,"",'Dvd Calendar'!$AJ$231*1000000000+ISNUMBER('Dvd Calendar'!$AJ$234)*100000000+('Dvd Calendar'!$AJ$236=SPECIAL_LBL)*10000000+(N('Dvd Calendar'!$AJ$230)&gt;0)*(N('Dvd Calendar'!$AJ$230)&lt;=VAL_SERIAL)*1000000+21*1000+32))</f>
        <v/>
      </c>
      <c r="FK32" s="39">
        <f>IF(N('Dvd Calendar'!$AK$231)=0,"",IF(('Dvd Calendar'!$AK$231&gt;=GRID_FROM)*('Dvd Calendar'!$AK$231&lt;=GRID_TO)*((('Dvd Calendar'!$AK$231&lt;=VAL_DATE)+(COUNTIF('Dvd Calendar'!$E$238:$AR$238,'Dvd Calendar'!$AK$231)=0))&gt;0)=0,"",'Dvd Calendar'!$AK$231*1000000000+ISNUMBER('Dvd Calendar'!$AK$234)*100000000+('Dvd Calendar'!$AK$236=SPECIAL_LBL)*10000000+(N('Dvd Calendar'!$AK$230)&gt;0)*(N('Dvd Calendar'!$AK$230)&lt;=VAL_SERIAL)*1000000+21*1000+33))</f>
        <v/>
      </c>
      <c r="FL32" s="39">
        <f>IF(N('Dvd Calendar'!$AL$231)=0,"",IF(('Dvd Calendar'!$AL$231&gt;=GRID_FROM)*('Dvd Calendar'!$AL$231&lt;=GRID_TO)*((('Dvd Calendar'!$AL$231&lt;=VAL_DATE)+(COUNTIF('Dvd Calendar'!$E$238:$AR$238,'Dvd Calendar'!$AL$231)=0))&gt;0)=0,"",'Dvd Calendar'!$AL$231*1000000000+ISNUMBER('Dvd Calendar'!$AL$234)*100000000+('Dvd Calendar'!$AL$236=SPECIAL_LBL)*10000000+(N('Dvd Calendar'!$AL$230)&gt;0)*(N('Dvd Calendar'!$AL$230)&lt;=VAL_SERIAL)*1000000+21*1000+34))</f>
        <v/>
      </c>
      <c r="FM32" s="39">
        <f>IF(N('Dvd Calendar'!$AM$231)=0,"",IF(('Dvd Calendar'!$AM$231&gt;=GRID_FROM)*('Dvd Calendar'!$AM$231&lt;=GRID_TO)*((('Dvd Calendar'!$AM$231&lt;=VAL_DATE)+(COUNTIF('Dvd Calendar'!$E$238:$AR$238,'Dvd Calendar'!$AM$231)=0))&gt;0)=0,"",'Dvd Calendar'!$AM$231*1000000000+ISNUMBER('Dvd Calendar'!$AM$234)*100000000+('Dvd Calendar'!$AM$236=SPECIAL_LBL)*10000000+(N('Dvd Calendar'!$AM$230)&gt;0)*(N('Dvd Calendar'!$AM$230)&lt;=VAL_SERIAL)*1000000+21*1000+35))</f>
        <v/>
      </c>
      <c r="FN32" s="39">
        <f>IF(N('Dvd Calendar'!$AN$231)=0,"",IF(('Dvd Calendar'!$AN$231&gt;=GRID_FROM)*('Dvd Calendar'!$AN$231&lt;=GRID_TO)*((('Dvd Calendar'!$AN$231&lt;=VAL_DATE)+(COUNTIF('Dvd Calendar'!$E$238:$AR$238,'Dvd Calendar'!$AN$231)=0))&gt;0)=0,"",'Dvd Calendar'!$AN$231*1000000000+ISNUMBER('Dvd Calendar'!$AN$234)*100000000+('Dvd Calendar'!$AN$236=SPECIAL_LBL)*10000000+(N('Dvd Calendar'!$AN$230)&gt;0)*(N('Dvd Calendar'!$AN$230)&lt;=VAL_SERIAL)*1000000+21*1000+36))</f>
        <v/>
      </c>
      <c r="FO32" s="39">
        <f>IF(N('Dvd Calendar'!$AO$231)=0,"",IF(('Dvd Calendar'!$AO$231&gt;=GRID_FROM)*('Dvd Calendar'!$AO$231&lt;=GRID_TO)*((('Dvd Calendar'!$AO$231&lt;=VAL_DATE)+(COUNTIF('Dvd Calendar'!$E$238:$AR$238,'Dvd Calendar'!$AO$231)=0))&gt;0)=0,"",'Dvd Calendar'!$AO$231*1000000000+ISNUMBER('Dvd Calendar'!$AO$234)*100000000+('Dvd Calendar'!$AO$236=SPECIAL_LBL)*10000000+(N('Dvd Calendar'!$AO$230)&gt;0)*(N('Dvd Calendar'!$AO$230)&lt;=VAL_SERIAL)*1000000+21*1000+37))</f>
        <v/>
      </c>
      <c r="FP32" s="39">
        <f>IF(N('Dvd Calendar'!$AP$231)=0,"",IF(('Dvd Calendar'!$AP$231&gt;=GRID_FROM)*('Dvd Calendar'!$AP$231&lt;=GRID_TO)*((('Dvd Calendar'!$AP$231&lt;=VAL_DATE)+(COUNTIF('Dvd Calendar'!$E$238:$AR$238,'Dvd Calendar'!$AP$231)=0))&gt;0)=0,"",'Dvd Calendar'!$AP$231*1000000000+ISNUMBER('Dvd Calendar'!$AP$234)*100000000+('Dvd Calendar'!$AP$236=SPECIAL_LBL)*10000000+(N('Dvd Calendar'!$AP$230)&gt;0)*(N('Dvd Calendar'!$AP$230)&lt;=VAL_SERIAL)*1000000+21*1000+38))</f>
        <v/>
      </c>
      <c r="FQ32" s="39">
        <f>IF(N('Dvd Calendar'!$AQ$231)=0,"",IF(('Dvd Calendar'!$AQ$231&gt;=GRID_FROM)*('Dvd Calendar'!$AQ$231&lt;=GRID_TO)*((('Dvd Calendar'!$AQ$231&lt;=VAL_DATE)+(COUNTIF('Dvd Calendar'!$E$238:$AR$238,'Dvd Calendar'!$AQ$231)=0))&gt;0)=0,"",'Dvd Calendar'!$AQ$231*1000000000+ISNUMBER('Dvd Calendar'!$AQ$234)*100000000+('Dvd Calendar'!$AQ$236=SPECIAL_LBL)*10000000+(N('Dvd Calendar'!$AQ$230)&gt;0)*(N('Dvd Calendar'!$AQ$230)&lt;=VAL_SERIAL)*1000000+21*1000+39))</f>
        <v/>
      </c>
      <c r="FR32" s="39">
        <f>IF(N('Dvd Calendar'!$AR$231)=0,"",IF(('Dvd Calendar'!$AR$231&gt;=GRID_FROM)*('Dvd Calendar'!$AR$231&lt;=GRID_TO)*((('Dvd Calendar'!$AR$231&lt;=VAL_DATE)+(COUNTIF('Dvd Calendar'!$E$238:$AR$238,'Dvd Calendar'!$AR$231)=0))&gt;0)=0,"",'Dvd Calendar'!$AR$231*1000000000+ISNUMBER('Dvd Calendar'!$AR$234)*100000000+('Dvd Calendar'!$AR$236=SPECIAL_LBL)*10000000+(N('Dvd Calendar'!$AR$230)&gt;0)*(N('Dvd Calendar'!$AR$230)&lt;=VAL_SERIAL)*1000000+21*1000+40))</f>
        <v/>
      </c>
      <c r="FS32" s="39">
        <f>IF(N('Dvd Calendar'!$E$238)=0,"",IF(('Dvd Calendar'!$E$238&gt;=GRID_FROM)*('Dvd Calendar'!$E$238&lt;=GRID_TO)*('Dvd Calendar'!$E$238&gt;VAL_DATE)=0,"",'Dvd Calendar'!$E$238*1000000000+ISNUMBER('Dvd Calendar'!$E$239)*100000000+0*10000000+(N('Dvd Calendar'!$E$237)&gt;0)*(N('Dvd Calendar'!$E$237)&lt;=VAL_SERIAL)*1000000+21*1000+41))</f>
        <v/>
      </c>
      <c r="FT32" s="39">
        <f>IF(N('Dvd Calendar'!$F$238)=0,"",IF(('Dvd Calendar'!$F$238&gt;=GRID_FROM)*('Dvd Calendar'!$F$238&lt;=GRID_TO)*('Dvd Calendar'!$F$238&gt;VAL_DATE)=0,"",'Dvd Calendar'!$F$238*1000000000+ISNUMBER('Dvd Calendar'!$F$239)*100000000+0*10000000+(N('Dvd Calendar'!$F$237)&gt;0)*(N('Dvd Calendar'!$F$237)&lt;=VAL_SERIAL)*1000000+21*1000+42))</f>
        <v/>
      </c>
      <c r="FU32" s="39">
        <f>IF(N('Dvd Calendar'!$G$238)=0,"",IF(('Dvd Calendar'!$G$238&gt;=GRID_FROM)*('Dvd Calendar'!$G$238&lt;=GRID_TO)*('Dvd Calendar'!$G$238&gt;VAL_DATE)=0,"",'Dvd Calendar'!$G$238*1000000000+ISNUMBER('Dvd Calendar'!$G$239)*100000000+0*10000000+(N('Dvd Calendar'!$G$237)&gt;0)*(N('Dvd Calendar'!$G$237)&lt;=VAL_SERIAL)*1000000+21*1000+43))</f>
        <v/>
      </c>
      <c r="FV32" s="39">
        <f>IF(N('Dvd Calendar'!$H$238)=0,"",IF(('Dvd Calendar'!$H$238&gt;=GRID_FROM)*('Dvd Calendar'!$H$238&lt;=GRID_TO)*('Dvd Calendar'!$H$238&gt;VAL_DATE)=0,"",'Dvd Calendar'!$H$238*1000000000+ISNUMBER('Dvd Calendar'!$H$239)*100000000+0*10000000+(N('Dvd Calendar'!$H$237)&gt;0)*(N('Dvd Calendar'!$H$237)&lt;=VAL_SERIAL)*1000000+21*1000+44))</f>
        <v/>
      </c>
      <c r="FW32" s="39">
        <f>IF(N('Dvd Calendar'!$I$238)=0,"",IF(('Dvd Calendar'!$I$238&gt;=GRID_FROM)*('Dvd Calendar'!$I$238&lt;=GRID_TO)*('Dvd Calendar'!$I$238&gt;VAL_DATE)=0,"",'Dvd Calendar'!$I$238*1000000000+ISNUMBER('Dvd Calendar'!$I$239)*100000000+0*10000000+(N('Dvd Calendar'!$I$237)&gt;0)*(N('Dvd Calendar'!$I$237)&lt;=VAL_SERIAL)*1000000+21*1000+45))</f>
        <v/>
      </c>
      <c r="FX32" s="39">
        <f>IF(N('Dvd Calendar'!$J$238)=0,"",IF(('Dvd Calendar'!$J$238&gt;=GRID_FROM)*('Dvd Calendar'!$J$238&lt;=GRID_TO)*('Dvd Calendar'!$J$238&gt;VAL_DATE)=0,"",'Dvd Calendar'!$J$238*1000000000+ISNUMBER('Dvd Calendar'!$J$239)*100000000+0*10000000+(N('Dvd Calendar'!$J$237)&gt;0)*(N('Dvd Calendar'!$J$237)&lt;=VAL_SERIAL)*1000000+21*1000+46))</f>
        <v/>
      </c>
      <c r="FY32" s="39">
        <f>IF(N('Dvd Calendar'!$K$238)=0,"",IF(('Dvd Calendar'!$K$238&gt;=GRID_FROM)*('Dvd Calendar'!$K$238&lt;=GRID_TO)*('Dvd Calendar'!$K$238&gt;VAL_DATE)=0,"",'Dvd Calendar'!$K$238*1000000000+ISNUMBER('Dvd Calendar'!$K$239)*100000000+0*10000000+(N('Dvd Calendar'!$K$237)&gt;0)*(N('Dvd Calendar'!$K$237)&lt;=VAL_SERIAL)*1000000+21*1000+47))</f>
        <v/>
      </c>
      <c r="FZ32" s="39">
        <f>IF(N('Dvd Calendar'!$L$238)=0,"",IF(('Dvd Calendar'!$L$238&gt;=GRID_FROM)*('Dvd Calendar'!$L$238&lt;=GRID_TO)*('Dvd Calendar'!$L$238&gt;VAL_DATE)=0,"",'Dvd Calendar'!$L$238*1000000000+ISNUMBER('Dvd Calendar'!$L$239)*100000000+0*10000000+(N('Dvd Calendar'!$L$237)&gt;0)*(N('Dvd Calendar'!$L$237)&lt;=VAL_SERIAL)*1000000+21*1000+48))</f>
        <v/>
      </c>
      <c r="GA32" s="39">
        <f>IF(N('Dvd Calendar'!$M$238)=0,"",IF(('Dvd Calendar'!$M$238&gt;=GRID_FROM)*('Dvd Calendar'!$M$238&lt;=GRID_TO)*('Dvd Calendar'!$M$238&gt;VAL_DATE)=0,"",'Dvd Calendar'!$M$238*1000000000+ISNUMBER('Dvd Calendar'!$M$239)*100000000+0*10000000+(N('Dvd Calendar'!$M$237)&gt;0)*(N('Dvd Calendar'!$M$237)&lt;=VAL_SERIAL)*1000000+21*1000+49))</f>
        <v/>
      </c>
      <c r="GB32" s="39">
        <f>IF(N('Dvd Calendar'!$N$238)=0,"",IF(('Dvd Calendar'!$N$238&gt;=GRID_FROM)*('Dvd Calendar'!$N$238&lt;=GRID_TO)*('Dvd Calendar'!$N$238&gt;VAL_DATE)=0,"",'Dvd Calendar'!$N$238*1000000000+ISNUMBER('Dvd Calendar'!$N$239)*100000000+0*10000000+(N('Dvd Calendar'!$N$237)&gt;0)*(N('Dvd Calendar'!$N$237)&lt;=VAL_SERIAL)*1000000+21*1000+50))</f>
        <v/>
      </c>
      <c r="GC32" s="39">
        <f>IF(N('Dvd Calendar'!$O$238)=0,"",IF(('Dvd Calendar'!$O$238&gt;=GRID_FROM)*('Dvd Calendar'!$O$238&lt;=GRID_TO)*('Dvd Calendar'!$O$238&gt;VAL_DATE)=0,"",'Dvd Calendar'!$O$238*1000000000+ISNUMBER('Dvd Calendar'!$O$239)*100000000+0*10000000+(N('Dvd Calendar'!$O$237)&gt;0)*(N('Dvd Calendar'!$O$237)&lt;=VAL_SERIAL)*1000000+21*1000+51))</f>
        <v/>
      </c>
      <c r="GD32" s="39">
        <f>IF(N('Dvd Calendar'!$P$238)=0,"",IF(('Dvd Calendar'!$P$238&gt;=GRID_FROM)*('Dvd Calendar'!$P$238&lt;=GRID_TO)*('Dvd Calendar'!$P$238&gt;VAL_DATE)=0,"",'Dvd Calendar'!$P$238*1000000000+ISNUMBER('Dvd Calendar'!$P$239)*100000000+0*10000000+(N('Dvd Calendar'!$P$237)&gt;0)*(N('Dvd Calendar'!$P$237)&lt;=VAL_SERIAL)*1000000+21*1000+52))</f>
        <v/>
      </c>
      <c r="GE32" s="39">
        <f>IF(N('Dvd Calendar'!$Q$238)=0,"",IF(('Dvd Calendar'!$Q$238&gt;=GRID_FROM)*('Dvd Calendar'!$Q$238&lt;=GRID_TO)*('Dvd Calendar'!$Q$238&gt;VAL_DATE)=0,"",'Dvd Calendar'!$Q$238*1000000000+ISNUMBER('Dvd Calendar'!$Q$239)*100000000+0*10000000+(N('Dvd Calendar'!$Q$237)&gt;0)*(N('Dvd Calendar'!$Q$237)&lt;=VAL_SERIAL)*1000000+21*1000+53))</f>
        <v/>
      </c>
      <c r="GF32" s="39">
        <f>IF(N('Dvd Calendar'!$R$238)=0,"",IF(('Dvd Calendar'!$R$238&gt;=GRID_FROM)*('Dvd Calendar'!$R$238&lt;=GRID_TO)*('Dvd Calendar'!$R$238&gt;VAL_DATE)=0,"",'Dvd Calendar'!$R$238*1000000000+ISNUMBER('Dvd Calendar'!$R$239)*100000000+0*10000000+(N('Dvd Calendar'!$R$237)&gt;0)*(N('Dvd Calendar'!$R$237)&lt;=VAL_SERIAL)*1000000+21*1000+54))</f>
        <v/>
      </c>
      <c r="GG32" s="39">
        <f>IF(N('Dvd Calendar'!$S$238)=0,"",IF(('Dvd Calendar'!$S$238&gt;=GRID_FROM)*('Dvd Calendar'!$S$238&lt;=GRID_TO)*('Dvd Calendar'!$S$238&gt;VAL_DATE)=0,"",'Dvd Calendar'!$S$238*1000000000+ISNUMBER('Dvd Calendar'!$S$239)*100000000+0*10000000+(N('Dvd Calendar'!$S$237)&gt;0)*(N('Dvd Calendar'!$S$237)&lt;=VAL_SERIAL)*1000000+21*1000+55))</f>
        <v/>
      </c>
      <c r="GH32" s="39">
        <f>IF(N('Dvd Calendar'!$T$238)=0,"",IF(('Dvd Calendar'!$T$238&gt;=GRID_FROM)*('Dvd Calendar'!$T$238&lt;=GRID_TO)*('Dvd Calendar'!$T$238&gt;VAL_DATE)=0,"",'Dvd Calendar'!$T$238*1000000000+ISNUMBER('Dvd Calendar'!$T$239)*100000000+0*10000000+(N('Dvd Calendar'!$T$237)&gt;0)*(N('Dvd Calendar'!$T$237)&lt;=VAL_SERIAL)*1000000+21*1000+56))</f>
        <v/>
      </c>
      <c r="GI32" s="39">
        <f>IF(N('Dvd Calendar'!$U$238)=0,"",IF(('Dvd Calendar'!$U$238&gt;=GRID_FROM)*('Dvd Calendar'!$U$238&lt;=GRID_TO)*('Dvd Calendar'!$U$238&gt;VAL_DATE)=0,"",'Dvd Calendar'!$U$238*1000000000+ISNUMBER('Dvd Calendar'!$U$239)*100000000+0*10000000+(N('Dvd Calendar'!$U$237)&gt;0)*(N('Dvd Calendar'!$U$237)&lt;=VAL_SERIAL)*1000000+21*1000+57))</f>
        <v/>
      </c>
      <c r="GJ32" s="39">
        <f>IF(N('Dvd Calendar'!$V$238)=0,"",IF(('Dvd Calendar'!$V$238&gt;=GRID_FROM)*('Dvd Calendar'!$V$238&lt;=GRID_TO)*('Dvd Calendar'!$V$238&gt;VAL_DATE)=0,"",'Dvd Calendar'!$V$238*1000000000+ISNUMBER('Dvd Calendar'!$V$239)*100000000+0*10000000+(N('Dvd Calendar'!$V$237)&gt;0)*(N('Dvd Calendar'!$V$237)&lt;=VAL_SERIAL)*1000000+21*1000+58))</f>
        <v/>
      </c>
      <c r="GK32" s="39">
        <f>IF(N('Dvd Calendar'!$W$238)=0,"",IF(('Dvd Calendar'!$W$238&gt;=GRID_FROM)*('Dvd Calendar'!$W$238&lt;=GRID_TO)*('Dvd Calendar'!$W$238&gt;VAL_DATE)=0,"",'Dvd Calendar'!$W$238*1000000000+ISNUMBER('Dvd Calendar'!$W$239)*100000000+0*10000000+(N('Dvd Calendar'!$W$237)&gt;0)*(N('Dvd Calendar'!$W$237)&lt;=VAL_SERIAL)*1000000+21*1000+59))</f>
        <v/>
      </c>
      <c r="GL32" s="39">
        <f>IF(N('Dvd Calendar'!$X$238)=0,"",IF(('Dvd Calendar'!$X$238&gt;=GRID_FROM)*('Dvd Calendar'!$X$238&lt;=GRID_TO)*('Dvd Calendar'!$X$238&gt;VAL_DATE)=0,"",'Dvd Calendar'!$X$238*1000000000+ISNUMBER('Dvd Calendar'!$X$239)*100000000+0*10000000+(N('Dvd Calendar'!$X$237)&gt;0)*(N('Dvd Calendar'!$X$237)&lt;=VAL_SERIAL)*1000000+21*1000+60))</f>
        <v/>
      </c>
      <c r="GM32" s="39">
        <f>IF(N('Dvd Calendar'!$Y$238)=0,"",IF(('Dvd Calendar'!$Y$238&gt;=GRID_FROM)*('Dvd Calendar'!$Y$238&lt;=GRID_TO)*('Dvd Calendar'!$Y$238&gt;VAL_DATE)=0,"",'Dvd Calendar'!$Y$238*1000000000+ISNUMBER('Dvd Calendar'!$Y$239)*100000000+0*10000000+(N('Dvd Calendar'!$Y$237)&gt;0)*(N('Dvd Calendar'!$Y$237)&lt;=VAL_SERIAL)*1000000+21*1000+61))</f>
        <v/>
      </c>
      <c r="GN32" s="39">
        <f>IF(N('Dvd Calendar'!$Z$238)=0,"",IF(('Dvd Calendar'!$Z$238&gt;=GRID_FROM)*('Dvd Calendar'!$Z$238&lt;=GRID_TO)*('Dvd Calendar'!$Z$238&gt;VAL_DATE)=0,"",'Dvd Calendar'!$Z$238*1000000000+ISNUMBER('Dvd Calendar'!$Z$239)*100000000+0*10000000+(N('Dvd Calendar'!$Z$237)&gt;0)*(N('Dvd Calendar'!$Z$237)&lt;=VAL_SERIAL)*1000000+21*1000+62))</f>
        <v/>
      </c>
      <c r="GO32" s="39">
        <f>IF(N('Dvd Calendar'!$AA$238)=0,"",IF(('Dvd Calendar'!$AA$238&gt;=GRID_FROM)*('Dvd Calendar'!$AA$238&lt;=GRID_TO)*('Dvd Calendar'!$AA$238&gt;VAL_DATE)=0,"",'Dvd Calendar'!$AA$238*1000000000+ISNUMBER('Dvd Calendar'!$AA$239)*100000000+0*10000000+(N('Dvd Calendar'!$AA$237)&gt;0)*(N('Dvd Calendar'!$AA$237)&lt;=VAL_SERIAL)*1000000+21*1000+63))</f>
        <v/>
      </c>
      <c r="GP32" s="39">
        <f>IF(N('Dvd Calendar'!$AB$238)=0,"",IF(('Dvd Calendar'!$AB$238&gt;=GRID_FROM)*('Dvd Calendar'!$AB$238&lt;=GRID_TO)*('Dvd Calendar'!$AB$238&gt;VAL_DATE)=0,"",'Dvd Calendar'!$AB$238*1000000000+ISNUMBER('Dvd Calendar'!$AB$239)*100000000+0*10000000+(N('Dvd Calendar'!$AB$237)&gt;0)*(N('Dvd Calendar'!$AB$237)&lt;=VAL_SERIAL)*1000000+21*1000+64))</f>
        <v/>
      </c>
      <c r="GQ32" s="39">
        <f>IF(N('Dvd Calendar'!$AC$238)=0,"",IF(('Dvd Calendar'!$AC$238&gt;=GRID_FROM)*('Dvd Calendar'!$AC$238&lt;=GRID_TO)*('Dvd Calendar'!$AC$238&gt;VAL_DATE)=0,"",'Dvd Calendar'!$AC$238*1000000000+ISNUMBER('Dvd Calendar'!$AC$239)*100000000+0*10000000+(N('Dvd Calendar'!$AC$237)&gt;0)*(N('Dvd Calendar'!$AC$237)&lt;=VAL_SERIAL)*1000000+21*1000+65))</f>
        <v/>
      </c>
    </row>
    <row r="33">
      <c r="B33" s="2">
        <f>IF(HSI!$C$28="","",HSI!$C$28)</f>
        <v/>
      </c>
      <c r="C33" s="110">
        <f>IF(EE33="","",IF(ISNUMBER('Dvd Calendar'!$E$245)=FALSE,"",IF((('Dvd Calendar'!$E$247=TYPE1)*(TYPE1&lt;&gt;"")+('Dvd Calendar'!$E$247=TYPE2)*(TYPE2&lt;&gt;"")+('Dvd Calendar'!$E$247=TYPE3)*(TYPE3&lt;&gt;"")+('Dvd Calendar'!$E$247=TYPE4)*(TYPE4&lt;&gt;"")+('Dvd Calendar'!$E$247=SPECIAL_LBL)*(INC_SPECIALS="Y"))=0,"",'Dvd Calendar'!$E$245)))</f>
        <v/>
      </c>
      <c r="D33" s="110">
        <f>IF(EF33="","",IF(ISNUMBER('Dvd Calendar'!$F$245)=FALSE,"",IF((('Dvd Calendar'!$F$247=TYPE1)*(TYPE1&lt;&gt;"")+('Dvd Calendar'!$F$247=TYPE2)*(TYPE2&lt;&gt;"")+('Dvd Calendar'!$F$247=TYPE3)*(TYPE3&lt;&gt;"")+('Dvd Calendar'!$F$247=TYPE4)*(TYPE4&lt;&gt;"")+('Dvd Calendar'!$F$247=SPECIAL_LBL)*(INC_SPECIALS="Y"))=0,"",'Dvd Calendar'!$F$245)))</f>
        <v/>
      </c>
      <c r="E33" s="110">
        <f>IF(EG33="","",IF(ISNUMBER('Dvd Calendar'!$G$245)=FALSE,"",IF((('Dvd Calendar'!$G$247=TYPE1)*(TYPE1&lt;&gt;"")+('Dvd Calendar'!$G$247=TYPE2)*(TYPE2&lt;&gt;"")+('Dvd Calendar'!$G$247=TYPE3)*(TYPE3&lt;&gt;"")+('Dvd Calendar'!$G$247=TYPE4)*(TYPE4&lt;&gt;"")+('Dvd Calendar'!$G$247=SPECIAL_LBL)*(INC_SPECIALS="Y"))=0,"",'Dvd Calendar'!$G$245)))</f>
        <v/>
      </c>
      <c r="F33" s="110">
        <f>IF(EH33="","",IF(ISNUMBER('Dvd Calendar'!$H$245)=FALSE,"",IF((('Dvd Calendar'!$H$247=TYPE1)*(TYPE1&lt;&gt;"")+('Dvd Calendar'!$H$247=TYPE2)*(TYPE2&lt;&gt;"")+('Dvd Calendar'!$H$247=TYPE3)*(TYPE3&lt;&gt;"")+('Dvd Calendar'!$H$247=TYPE4)*(TYPE4&lt;&gt;"")+('Dvd Calendar'!$H$247=SPECIAL_LBL)*(INC_SPECIALS="Y"))=0,"",'Dvd Calendar'!$H$245)))</f>
        <v/>
      </c>
      <c r="G33" s="110">
        <f>IF(EI33="","",IF(ISNUMBER('Dvd Calendar'!$I$245)=FALSE,"",IF((('Dvd Calendar'!$I$247=TYPE1)*(TYPE1&lt;&gt;"")+('Dvd Calendar'!$I$247=TYPE2)*(TYPE2&lt;&gt;"")+('Dvd Calendar'!$I$247=TYPE3)*(TYPE3&lt;&gt;"")+('Dvd Calendar'!$I$247=TYPE4)*(TYPE4&lt;&gt;"")+('Dvd Calendar'!$I$247=SPECIAL_LBL)*(INC_SPECIALS="Y"))=0,"",'Dvd Calendar'!$I$245)))</f>
        <v/>
      </c>
      <c r="H33" s="110">
        <f>IF(EJ33="","",IF(ISNUMBER('Dvd Calendar'!$J$245)=FALSE,"",IF((('Dvd Calendar'!$J$247=TYPE1)*(TYPE1&lt;&gt;"")+('Dvd Calendar'!$J$247=TYPE2)*(TYPE2&lt;&gt;"")+('Dvd Calendar'!$J$247=TYPE3)*(TYPE3&lt;&gt;"")+('Dvd Calendar'!$J$247=TYPE4)*(TYPE4&lt;&gt;"")+('Dvd Calendar'!$J$247=SPECIAL_LBL)*(INC_SPECIALS="Y"))=0,"",'Dvd Calendar'!$J$245)))</f>
        <v/>
      </c>
      <c r="I33" s="110">
        <f>IF(EK33="","",IF(ISNUMBER('Dvd Calendar'!$K$245)=FALSE,"",IF((('Dvd Calendar'!$K$247=TYPE1)*(TYPE1&lt;&gt;"")+('Dvd Calendar'!$K$247=TYPE2)*(TYPE2&lt;&gt;"")+('Dvd Calendar'!$K$247=TYPE3)*(TYPE3&lt;&gt;"")+('Dvd Calendar'!$K$247=TYPE4)*(TYPE4&lt;&gt;"")+('Dvd Calendar'!$K$247=SPECIAL_LBL)*(INC_SPECIALS="Y"))=0,"",'Dvd Calendar'!$K$245)))</f>
        <v/>
      </c>
      <c r="J33" s="110">
        <f>IF(EL33="","",IF(ISNUMBER('Dvd Calendar'!$L$245)=FALSE,"",IF((('Dvd Calendar'!$L$247=TYPE1)*(TYPE1&lt;&gt;"")+('Dvd Calendar'!$L$247=TYPE2)*(TYPE2&lt;&gt;"")+('Dvd Calendar'!$L$247=TYPE3)*(TYPE3&lt;&gt;"")+('Dvd Calendar'!$L$247=TYPE4)*(TYPE4&lt;&gt;"")+('Dvd Calendar'!$L$247=SPECIAL_LBL)*(INC_SPECIALS="Y"))=0,"",'Dvd Calendar'!$L$245)))</f>
        <v/>
      </c>
      <c r="K33" s="110">
        <f>IF(EM33="","",IF(ISNUMBER('Dvd Calendar'!$M$245)=FALSE,"",IF((('Dvd Calendar'!$M$247=TYPE1)*(TYPE1&lt;&gt;"")+('Dvd Calendar'!$M$247=TYPE2)*(TYPE2&lt;&gt;"")+('Dvd Calendar'!$M$247=TYPE3)*(TYPE3&lt;&gt;"")+('Dvd Calendar'!$M$247=TYPE4)*(TYPE4&lt;&gt;"")+('Dvd Calendar'!$M$247=SPECIAL_LBL)*(INC_SPECIALS="Y"))=0,"",'Dvd Calendar'!$M$245)))</f>
        <v/>
      </c>
      <c r="L33" s="110">
        <f>IF(EN33="","",IF(ISNUMBER('Dvd Calendar'!$N$245)=FALSE,"",IF((('Dvd Calendar'!$N$247=TYPE1)*(TYPE1&lt;&gt;"")+('Dvd Calendar'!$N$247=TYPE2)*(TYPE2&lt;&gt;"")+('Dvd Calendar'!$N$247=TYPE3)*(TYPE3&lt;&gt;"")+('Dvd Calendar'!$N$247=TYPE4)*(TYPE4&lt;&gt;"")+('Dvd Calendar'!$N$247=SPECIAL_LBL)*(INC_SPECIALS="Y"))=0,"",'Dvd Calendar'!$N$245)))</f>
        <v/>
      </c>
      <c r="M33" s="110">
        <f>IF(EO33="","",IF(ISNUMBER('Dvd Calendar'!$O$245)=FALSE,"",IF((('Dvd Calendar'!$O$247=TYPE1)*(TYPE1&lt;&gt;"")+('Dvd Calendar'!$O$247=TYPE2)*(TYPE2&lt;&gt;"")+('Dvd Calendar'!$O$247=TYPE3)*(TYPE3&lt;&gt;"")+('Dvd Calendar'!$O$247=TYPE4)*(TYPE4&lt;&gt;"")+('Dvd Calendar'!$O$247=SPECIAL_LBL)*(INC_SPECIALS="Y"))=0,"",'Dvd Calendar'!$O$245)))</f>
        <v/>
      </c>
      <c r="N33" s="110">
        <f>IF(EP33="","",IF(ISNUMBER('Dvd Calendar'!$P$245)=FALSE,"",IF((('Dvd Calendar'!$P$247=TYPE1)*(TYPE1&lt;&gt;"")+('Dvd Calendar'!$P$247=TYPE2)*(TYPE2&lt;&gt;"")+('Dvd Calendar'!$P$247=TYPE3)*(TYPE3&lt;&gt;"")+('Dvd Calendar'!$P$247=TYPE4)*(TYPE4&lt;&gt;"")+('Dvd Calendar'!$P$247=SPECIAL_LBL)*(INC_SPECIALS="Y"))=0,"",'Dvd Calendar'!$P$245)))</f>
        <v/>
      </c>
      <c r="O33" s="110">
        <f>IF(EQ33="","",IF(ISNUMBER('Dvd Calendar'!$Q$245)=FALSE,"",IF((('Dvd Calendar'!$Q$247=TYPE1)*(TYPE1&lt;&gt;"")+('Dvd Calendar'!$Q$247=TYPE2)*(TYPE2&lt;&gt;"")+('Dvd Calendar'!$Q$247=TYPE3)*(TYPE3&lt;&gt;"")+('Dvd Calendar'!$Q$247=TYPE4)*(TYPE4&lt;&gt;"")+('Dvd Calendar'!$Q$247=SPECIAL_LBL)*(INC_SPECIALS="Y"))=0,"",'Dvd Calendar'!$Q$245)))</f>
        <v/>
      </c>
      <c r="P33" s="110">
        <f>IF(ER33="","",IF(ISNUMBER('Dvd Calendar'!$R$245)=FALSE,"",IF((('Dvd Calendar'!$R$247=TYPE1)*(TYPE1&lt;&gt;"")+('Dvd Calendar'!$R$247=TYPE2)*(TYPE2&lt;&gt;"")+('Dvd Calendar'!$R$247=TYPE3)*(TYPE3&lt;&gt;"")+('Dvd Calendar'!$R$247=TYPE4)*(TYPE4&lt;&gt;"")+('Dvd Calendar'!$R$247=SPECIAL_LBL)*(INC_SPECIALS="Y"))=0,"",'Dvd Calendar'!$R$245)))</f>
        <v/>
      </c>
      <c r="Q33" s="110">
        <f>IF(ES33="","",IF(ISNUMBER('Dvd Calendar'!$S$245)=FALSE,"",IF((('Dvd Calendar'!$S$247=TYPE1)*(TYPE1&lt;&gt;"")+('Dvd Calendar'!$S$247=TYPE2)*(TYPE2&lt;&gt;"")+('Dvd Calendar'!$S$247=TYPE3)*(TYPE3&lt;&gt;"")+('Dvd Calendar'!$S$247=TYPE4)*(TYPE4&lt;&gt;"")+('Dvd Calendar'!$S$247=SPECIAL_LBL)*(INC_SPECIALS="Y"))=0,"",'Dvd Calendar'!$S$245)))</f>
        <v/>
      </c>
      <c r="R33" s="110">
        <f>IF(ET33="","",IF(ISNUMBER('Dvd Calendar'!$T$245)=FALSE,"",IF((('Dvd Calendar'!$T$247=TYPE1)*(TYPE1&lt;&gt;"")+('Dvd Calendar'!$T$247=TYPE2)*(TYPE2&lt;&gt;"")+('Dvd Calendar'!$T$247=TYPE3)*(TYPE3&lt;&gt;"")+('Dvd Calendar'!$T$247=TYPE4)*(TYPE4&lt;&gt;"")+('Dvd Calendar'!$T$247=SPECIAL_LBL)*(INC_SPECIALS="Y"))=0,"",'Dvd Calendar'!$T$245)))</f>
        <v/>
      </c>
      <c r="S33" s="110">
        <f>IF(EU33="","",IF(ISNUMBER('Dvd Calendar'!$U$245)=FALSE,"",IF((('Dvd Calendar'!$U$247=TYPE1)*(TYPE1&lt;&gt;"")+('Dvd Calendar'!$U$247=TYPE2)*(TYPE2&lt;&gt;"")+('Dvd Calendar'!$U$247=TYPE3)*(TYPE3&lt;&gt;"")+('Dvd Calendar'!$U$247=TYPE4)*(TYPE4&lt;&gt;"")+('Dvd Calendar'!$U$247=SPECIAL_LBL)*(INC_SPECIALS="Y"))=0,"",'Dvd Calendar'!$U$245)))</f>
        <v/>
      </c>
      <c r="T33" s="110">
        <f>IF(EV33="","",IF(ISNUMBER('Dvd Calendar'!$V$245)=FALSE,"",IF((('Dvd Calendar'!$V$247=TYPE1)*(TYPE1&lt;&gt;"")+('Dvd Calendar'!$V$247=TYPE2)*(TYPE2&lt;&gt;"")+('Dvd Calendar'!$V$247=TYPE3)*(TYPE3&lt;&gt;"")+('Dvd Calendar'!$V$247=TYPE4)*(TYPE4&lt;&gt;"")+('Dvd Calendar'!$V$247=SPECIAL_LBL)*(INC_SPECIALS="Y"))=0,"",'Dvd Calendar'!$V$245)))</f>
        <v/>
      </c>
      <c r="U33" s="110">
        <f>IF(EW33="","",IF(ISNUMBER('Dvd Calendar'!$W$245)=FALSE,"",IF((('Dvd Calendar'!$W$247=TYPE1)*(TYPE1&lt;&gt;"")+('Dvd Calendar'!$W$247=TYPE2)*(TYPE2&lt;&gt;"")+('Dvd Calendar'!$W$247=TYPE3)*(TYPE3&lt;&gt;"")+('Dvd Calendar'!$W$247=TYPE4)*(TYPE4&lt;&gt;"")+('Dvd Calendar'!$W$247=SPECIAL_LBL)*(INC_SPECIALS="Y"))=0,"",'Dvd Calendar'!$W$245)))</f>
        <v/>
      </c>
      <c r="V33" s="110">
        <f>IF(EX33="","",IF(ISNUMBER('Dvd Calendar'!$X$245)=FALSE,"",IF((('Dvd Calendar'!$X$247=TYPE1)*(TYPE1&lt;&gt;"")+('Dvd Calendar'!$X$247=TYPE2)*(TYPE2&lt;&gt;"")+('Dvd Calendar'!$X$247=TYPE3)*(TYPE3&lt;&gt;"")+('Dvd Calendar'!$X$247=TYPE4)*(TYPE4&lt;&gt;"")+('Dvd Calendar'!$X$247=SPECIAL_LBL)*(INC_SPECIALS="Y"))=0,"",'Dvd Calendar'!$X$245)))</f>
        <v/>
      </c>
      <c r="W33" s="110">
        <f>IF(EY33="","",IF(ISNUMBER('Dvd Calendar'!$Y$245)=FALSE,"",IF((('Dvd Calendar'!$Y$247=TYPE1)*(TYPE1&lt;&gt;"")+('Dvd Calendar'!$Y$247=TYPE2)*(TYPE2&lt;&gt;"")+('Dvd Calendar'!$Y$247=TYPE3)*(TYPE3&lt;&gt;"")+('Dvd Calendar'!$Y$247=TYPE4)*(TYPE4&lt;&gt;"")+('Dvd Calendar'!$Y$247=SPECIAL_LBL)*(INC_SPECIALS="Y"))=0,"",'Dvd Calendar'!$Y$245)))</f>
        <v/>
      </c>
      <c r="X33" s="110">
        <f>IF(EZ33="","",IF(ISNUMBER('Dvd Calendar'!$Z$245)=FALSE,"",IF((('Dvd Calendar'!$Z$247=TYPE1)*(TYPE1&lt;&gt;"")+('Dvd Calendar'!$Z$247=TYPE2)*(TYPE2&lt;&gt;"")+('Dvd Calendar'!$Z$247=TYPE3)*(TYPE3&lt;&gt;"")+('Dvd Calendar'!$Z$247=TYPE4)*(TYPE4&lt;&gt;"")+('Dvd Calendar'!$Z$247=SPECIAL_LBL)*(INC_SPECIALS="Y"))=0,"",'Dvd Calendar'!$Z$245)))</f>
        <v/>
      </c>
      <c r="Y33" s="110">
        <f>IF(FA33="","",IF(ISNUMBER('Dvd Calendar'!$AA$245)=FALSE,"",IF((('Dvd Calendar'!$AA$247=TYPE1)*(TYPE1&lt;&gt;"")+('Dvd Calendar'!$AA$247=TYPE2)*(TYPE2&lt;&gt;"")+('Dvd Calendar'!$AA$247=TYPE3)*(TYPE3&lt;&gt;"")+('Dvd Calendar'!$AA$247=TYPE4)*(TYPE4&lt;&gt;"")+('Dvd Calendar'!$AA$247=SPECIAL_LBL)*(INC_SPECIALS="Y"))=0,"",'Dvd Calendar'!$AA$245)))</f>
        <v/>
      </c>
      <c r="Z33" s="110">
        <f>IF(FB33="","",IF(ISNUMBER('Dvd Calendar'!$AB$245)=FALSE,"",IF((('Dvd Calendar'!$AB$247=TYPE1)*(TYPE1&lt;&gt;"")+('Dvd Calendar'!$AB$247=TYPE2)*(TYPE2&lt;&gt;"")+('Dvd Calendar'!$AB$247=TYPE3)*(TYPE3&lt;&gt;"")+('Dvd Calendar'!$AB$247=TYPE4)*(TYPE4&lt;&gt;"")+('Dvd Calendar'!$AB$247=SPECIAL_LBL)*(INC_SPECIALS="Y"))=0,"",'Dvd Calendar'!$AB$245)))</f>
        <v/>
      </c>
      <c r="AA33" s="110">
        <f>IF(FC33="","",IF(ISNUMBER('Dvd Calendar'!$AC$245)=FALSE,"",IF((('Dvd Calendar'!$AC$247=TYPE1)*(TYPE1&lt;&gt;"")+('Dvd Calendar'!$AC$247=TYPE2)*(TYPE2&lt;&gt;"")+('Dvd Calendar'!$AC$247=TYPE3)*(TYPE3&lt;&gt;"")+('Dvd Calendar'!$AC$247=TYPE4)*(TYPE4&lt;&gt;"")+('Dvd Calendar'!$AC$247=SPECIAL_LBL)*(INC_SPECIALS="Y"))=0,"",'Dvd Calendar'!$AC$245)))</f>
        <v/>
      </c>
      <c r="AB33" s="110">
        <f>IF(FD33="","",IF(ISNUMBER('Dvd Calendar'!$AD$245)=FALSE,"",IF((('Dvd Calendar'!$AD$247=TYPE1)*(TYPE1&lt;&gt;"")+('Dvd Calendar'!$AD$247=TYPE2)*(TYPE2&lt;&gt;"")+('Dvd Calendar'!$AD$247=TYPE3)*(TYPE3&lt;&gt;"")+('Dvd Calendar'!$AD$247=TYPE4)*(TYPE4&lt;&gt;"")+('Dvd Calendar'!$AD$247=SPECIAL_LBL)*(INC_SPECIALS="Y"))=0,"",'Dvd Calendar'!$AD$245)))</f>
        <v/>
      </c>
      <c r="AC33" s="110">
        <f>IF(FE33="","",IF(ISNUMBER('Dvd Calendar'!$AE$245)=FALSE,"",IF((('Dvd Calendar'!$AE$247=TYPE1)*(TYPE1&lt;&gt;"")+('Dvd Calendar'!$AE$247=TYPE2)*(TYPE2&lt;&gt;"")+('Dvd Calendar'!$AE$247=TYPE3)*(TYPE3&lt;&gt;"")+('Dvd Calendar'!$AE$247=TYPE4)*(TYPE4&lt;&gt;"")+('Dvd Calendar'!$AE$247=SPECIAL_LBL)*(INC_SPECIALS="Y"))=0,"",'Dvd Calendar'!$AE$245)))</f>
        <v/>
      </c>
      <c r="AD33" s="110">
        <f>IF(FF33="","",IF(ISNUMBER('Dvd Calendar'!$AF$245)=FALSE,"",IF((('Dvd Calendar'!$AF$247=TYPE1)*(TYPE1&lt;&gt;"")+('Dvd Calendar'!$AF$247=TYPE2)*(TYPE2&lt;&gt;"")+('Dvd Calendar'!$AF$247=TYPE3)*(TYPE3&lt;&gt;"")+('Dvd Calendar'!$AF$247=TYPE4)*(TYPE4&lt;&gt;"")+('Dvd Calendar'!$AF$247=SPECIAL_LBL)*(INC_SPECIALS="Y"))=0,"",'Dvd Calendar'!$AF$245)))</f>
        <v/>
      </c>
      <c r="AE33" s="110">
        <f>IF(FG33="","",IF(ISNUMBER('Dvd Calendar'!$AG$245)=FALSE,"",IF((('Dvd Calendar'!$AG$247=TYPE1)*(TYPE1&lt;&gt;"")+('Dvd Calendar'!$AG$247=TYPE2)*(TYPE2&lt;&gt;"")+('Dvd Calendar'!$AG$247=TYPE3)*(TYPE3&lt;&gt;"")+('Dvd Calendar'!$AG$247=TYPE4)*(TYPE4&lt;&gt;"")+('Dvd Calendar'!$AG$247=SPECIAL_LBL)*(INC_SPECIALS="Y"))=0,"",'Dvd Calendar'!$AG$245)))</f>
        <v/>
      </c>
      <c r="AF33" s="110">
        <f>IF(FH33="","",IF(ISNUMBER('Dvd Calendar'!$AH$245)=FALSE,"",IF((('Dvd Calendar'!$AH$247=TYPE1)*(TYPE1&lt;&gt;"")+('Dvd Calendar'!$AH$247=TYPE2)*(TYPE2&lt;&gt;"")+('Dvd Calendar'!$AH$247=TYPE3)*(TYPE3&lt;&gt;"")+('Dvd Calendar'!$AH$247=TYPE4)*(TYPE4&lt;&gt;"")+('Dvd Calendar'!$AH$247=SPECIAL_LBL)*(INC_SPECIALS="Y"))=0,"",'Dvd Calendar'!$AH$245)))</f>
        <v/>
      </c>
      <c r="AG33" s="110">
        <f>IF(FI33="","",IF(ISNUMBER('Dvd Calendar'!$AI$245)=FALSE,"",IF((('Dvd Calendar'!$AI$247=TYPE1)*(TYPE1&lt;&gt;"")+('Dvd Calendar'!$AI$247=TYPE2)*(TYPE2&lt;&gt;"")+('Dvd Calendar'!$AI$247=TYPE3)*(TYPE3&lt;&gt;"")+('Dvd Calendar'!$AI$247=TYPE4)*(TYPE4&lt;&gt;"")+('Dvd Calendar'!$AI$247=SPECIAL_LBL)*(INC_SPECIALS="Y"))=0,"",'Dvd Calendar'!$AI$245)))</f>
        <v/>
      </c>
      <c r="AH33" s="110">
        <f>IF(FJ33="","",IF(ISNUMBER('Dvd Calendar'!$AJ$245)=FALSE,"",IF((('Dvd Calendar'!$AJ$247=TYPE1)*(TYPE1&lt;&gt;"")+('Dvd Calendar'!$AJ$247=TYPE2)*(TYPE2&lt;&gt;"")+('Dvd Calendar'!$AJ$247=TYPE3)*(TYPE3&lt;&gt;"")+('Dvd Calendar'!$AJ$247=TYPE4)*(TYPE4&lt;&gt;"")+('Dvd Calendar'!$AJ$247=SPECIAL_LBL)*(INC_SPECIALS="Y"))=0,"",'Dvd Calendar'!$AJ$245)))</f>
        <v/>
      </c>
      <c r="AI33" s="110">
        <f>IF(FK33="","",IF(ISNUMBER('Dvd Calendar'!$AK$245)=FALSE,"",IF((('Dvd Calendar'!$AK$247=TYPE1)*(TYPE1&lt;&gt;"")+('Dvd Calendar'!$AK$247=TYPE2)*(TYPE2&lt;&gt;"")+('Dvd Calendar'!$AK$247=TYPE3)*(TYPE3&lt;&gt;"")+('Dvd Calendar'!$AK$247=TYPE4)*(TYPE4&lt;&gt;"")+('Dvd Calendar'!$AK$247=SPECIAL_LBL)*(INC_SPECIALS="Y"))=0,"",'Dvd Calendar'!$AK$245)))</f>
        <v/>
      </c>
      <c r="AJ33" s="110">
        <f>IF(FL33="","",IF(ISNUMBER('Dvd Calendar'!$AL$245)=FALSE,"",IF((('Dvd Calendar'!$AL$247=TYPE1)*(TYPE1&lt;&gt;"")+('Dvd Calendar'!$AL$247=TYPE2)*(TYPE2&lt;&gt;"")+('Dvd Calendar'!$AL$247=TYPE3)*(TYPE3&lt;&gt;"")+('Dvd Calendar'!$AL$247=TYPE4)*(TYPE4&lt;&gt;"")+('Dvd Calendar'!$AL$247=SPECIAL_LBL)*(INC_SPECIALS="Y"))=0,"",'Dvd Calendar'!$AL$245)))</f>
        <v/>
      </c>
      <c r="AK33" s="110">
        <f>IF(FM33="","",IF(ISNUMBER('Dvd Calendar'!$AM$245)=FALSE,"",IF((('Dvd Calendar'!$AM$247=TYPE1)*(TYPE1&lt;&gt;"")+('Dvd Calendar'!$AM$247=TYPE2)*(TYPE2&lt;&gt;"")+('Dvd Calendar'!$AM$247=TYPE3)*(TYPE3&lt;&gt;"")+('Dvd Calendar'!$AM$247=TYPE4)*(TYPE4&lt;&gt;"")+('Dvd Calendar'!$AM$247=SPECIAL_LBL)*(INC_SPECIALS="Y"))=0,"",'Dvd Calendar'!$AM$245)))</f>
        <v/>
      </c>
      <c r="AL33" s="110">
        <f>IF(FN33="","",IF(ISNUMBER('Dvd Calendar'!$AN$245)=FALSE,"",IF((('Dvd Calendar'!$AN$247=TYPE1)*(TYPE1&lt;&gt;"")+('Dvd Calendar'!$AN$247=TYPE2)*(TYPE2&lt;&gt;"")+('Dvd Calendar'!$AN$247=TYPE3)*(TYPE3&lt;&gt;"")+('Dvd Calendar'!$AN$247=TYPE4)*(TYPE4&lt;&gt;"")+('Dvd Calendar'!$AN$247=SPECIAL_LBL)*(INC_SPECIALS="Y"))=0,"",'Dvd Calendar'!$AN$245)))</f>
        <v/>
      </c>
      <c r="AM33" s="110">
        <f>IF(FO33="","",IF(ISNUMBER('Dvd Calendar'!$AO$245)=FALSE,"",IF((('Dvd Calendar'!$AO$247=TYPE1)*(TYPE1&lt;&gt;"")+('Dvd Calendar'!$AO$247=TYPE2)*(TYPE2&lt;&gt;"")+('Dvd Calendar'!$AO$247=TYPE3)*(TYPE3&lt;&gt;"")+('Dvd Calendar'!$AO$247=TYPE4)*(TYPE4&lt;&gt;"")+('Dvd Calendar'!$AO$247=SPECIAL_LBL)*(INC_SPECIALS="Y"))=0,"",'Dvd Calendar'!$AO$245)))</f>
        <v/>
      </c>
      <c r="AN33" s="110">
        <f>IF(FP33="","",IF(ISNUMBER('Dvd Calendar'!$AP$245)=FALSE,"",IF((('Dvd Calendar'!$AP$247=TYPE1)*(TYPE1&lt;&gt;"")+('Dvd Calendar'!$AP$247=TYPE2)*(TYPE2&lt;&gt;"")+('Dvd Calendar'!$AP$247=TYPE3)*(TYPE3&lt;&gt;"")+('Dvd Calendar'!$AP$247=TYPE4)*(TYPE4&lt;&gt;"")+('Dvd Calendar'!$AP$247=SPECIAL_LBL)*(INC_SPECIALS="Y"))=0,"",'Dvd Calendar'!$AP$245)))</f>
        <v/>
      </c>
      <c r="AO33" s="110">
        <f>IF(FQ33="","",IF(ISNUMBER('Dvd Calendar'!$AQ$245)=FALSE,"",IF((('Dvd Calendar'!$AQ$247=TYPE1)*(TYPE1&lt;&gt;"")+('Dvd Calendar'!$AQ$247=TYPE2)*(TYPE2&lt;&gt;"")+('Dvd Calendar'!$AQ$247=TYPE3)*(TYPE3&lt;&gt;"")+('Dvd Calendar'!$AQ$247=TYPE4)*(TYPE4&lt;&gt;"")+('Dvd Calendar'!$AQ$247=SPECIAL_LBL)*(INC_SPECIALS="Y"))=0,"",'Dvd Calendar'!$AQ$245)))</f>
        <v/>
      </c>
      <c r="AP33" s="110">
        <f>IF(FR33="","",IF(ISNUMBER('Dvd Calendar'!$AR$245)=FALSE,"",IF((('Dvd Calendar'!$AR$247=TYPE1)*(TYPE1&lt;&gt;"")+('Dvd Calendar'!$AR$247=TYPE2)*(TYPE2&lt;&gt;"")+('Dvd Calendar'!$AR$247=TYPE3)*(TYPE3&lt;&gt;"")+('Dvd Calendar'!$AR$247=TYPE4)*(TYPE4&lt;&gt;"")+('Dvd Calendar'!$AR$247=SPECIAL_LBL)*(INC_SPECIALS="Y"))=0,"",'Dvd Calendar'!$AR$245)))</f>
        <v/>
      </c>
      <c r="AQ33" s="110">
        <f>IF(FS33="","",IF(ISNUMBER('Dvd Calendar'!$E$250)=FALSE,"",'Dvd Calendar'!$E$250))</f>
        <v/>
      </c>
      <c r="AR33" s="110">
        <f>IF(FT33="","",IF(ISNUMBER('Dvd Calendar'!$F$250)=FALSE,"",'Dvd Calendar'!$F$250))</f>
        <v/>
      </c>
      <c r="AS33" s="110">
        <f>IF(FU33="","",IF(ISNUMBER('Dvd Calendar'!$G$250)=FALSE,"",'Dvd Calendar'!$G$250))</f>
        <v/>
      </c>
      <c r="AT33" s="110">
        <f>IF(FV33="","",IF(ISNUMBER('Dvd Calendar'!$H$250)=FALSE,"",'Dvd Calendar'!$H$250))</f>
        <v/>
      </c>
      <c r="AU33" s="110">
        <f>IF(FW33="","",IF(ISNUMBER('Dvd Calendar'!$I$250)=FALSE,"",'Dvd Calendar'!$I$250))</f>
        <v/>
      </c>
      <c r="AV33" s="110">
        <f>IF(FX33="","",IF(ISNUMBER('Dvd Calendar'!$J$250)=FALSE,"",'Dvd Calendar'!$J$250))</f>
        <v/>
      </c>
      <c r="AW33" s="110">
        <f>IF(FY33="","",IF(ISNUMBER('Dvd Calendar'!$K$250)=FALSE,"",'Dvd Calendar'!$K$250))</f>
        <v/>
      </c>
      <c r="AX33" s="110">
        <f>IF(FZ33="","",IF(ISNUMBER('Dvd Calendar'!$L$250)=FALSE,"",'Dvd Calendar'!$L$250))</f>
        <v/>
      </c>
      <c r="AY33" s="110">
        <f>IF(GA33="","",IF(ISNUMBER('Dvd Calendar'!$M$250)=FALSE,"",'Dvd Calendar'!$M$250))</f>
        <v/>
      </c>
      <c r="AZ33" s="110">
        <f>IF(GB33="","",IF(ISNUMBER('Dvd Calendar'!$N$250)=FALSE,"",'Dvd Calendar'!$N$250))</f>
        <v/>
      </c>
      <c r="BA33" s="110">
        <f>IF(GC33="","",IF(ISNUMBER('Dvd Calendar'!$O$250)=FALSE,"",'Dvd Calendar'!$O$250))</f>
        <v/>
      </c>
      <c r="BB33" s="110">
        <f>IF(GD33="","",IF(ISNUMBER('Dvd Calendar'!$P$250)=FALSE,"",'Dvd Calendar'!$P$250))</f>
        <v/>
      </c>
      <c r="BC33" s="110">
        <f>IF(GE33="","",IF(ISNUMBER('Dvd Calendar'!$Q$250)=FALSE,"",'Dvd Calendar'!$Q$250))</f>
        <v/>
      </c>
      <c r="BD33" s="110">
        <f>IF(GF33="","",IF(ISNUMBER('Dvd Calendar'!$R$250)=FALSE,"",'Dvd Calendar'!$R$250))</f>
        <v/>
      </c>
      <c r="BE33" s="110">
        <f>IF(GG33="","",IF(ISNUMBER('Dvd Calendar'!$S$250)=FALSE,"",'Dvd Calendar'!$S$250))</f>
        <v/>
      </c>
      <c r="BF33" s="110">
        <f>IF(GH33="","",IF(ISNUMBER('Dvd Calendar'!$T$250)=FALSE,"",'Dvd Calendar'!$T$250))</f>
        <v/>
      </c>
      <c r="BG33" s="110">
        <f>IF(GI33="","",IF(ISNUMBER('Dvd Calendar'!$U$250)=FALSE,"",'Dvd Calendar'!$U$250))</f>
        <v/>
      </c>
      <c r="BH33" s="110">
        <f>IF(GJ33="","",IF(ISNUMBER('Dvd Calendar'!$V$250)=FALSE,"",'Dvd Calendar'!$V$250))</f>
        <v/>
      </c>
      <c r="BI33" s="110">
        <f>IF(GK33="","",IF(ISNUMBER('Dvd Calendar'!$W$250)=FALSE,"",'Dvd Calendar'!$W$250))</f>
        <v/>
      </c>
      <c r="BJ33" s="110">
        <f>IF(GL33="","",IF(ISNUMBER('Dvd Calendar'!$X$250)=FALSE,"",'Dvd Calendar'!$X$250))</f>
        <v/>
      </c>
      <c r="BK33" s="110">
        <f>IF(GM33="","",IF(ISNUMBER('Dvd Calendar'!$Y$250)=FALSE,"",'Dvd Calendar'!$Y$250))</f>
        <v/>
      </c>
      <c r="BL33" s="110">
        <f>IF(GN33="","",IF(ISNUMBER('Dvd Calendar'!$Z$250)=FALSE,"",'Dvd Calendar'!$Z$250))</f>
        <v/>
      </c>
      <c r="BM33" s="110">
        <f>IF(GO33="","",IF(ISNUMBER('Dvd Calendar'!$AA$250)=FALSE,"",'Dvd Calendar'!$AA$250))</f>
        <v/>
      </c>
      <c r="BN33" s="110">
        <f>IF(GP33="","",IF(ISNUMBER('Dvd Calendar'!$AB$250)=FALSE,"",'Dvd Calendar'!$AB$250))</f>
        <v/>
      </c>
      <c r="BO33" s="110">
        <f>IF(GQ33="","",IF(ISNUMBER('Dvd Calendar'!$AC$250)=FALSE,"",'Dvd Calendar'!$AC$250))</f>
        <v/>
      </c>
      <c r="BQ33" s="110">
        <f>IF(C33="","",IFERROR(C33*HSI!$B$28*HSI!$G$28/HSI!$B$3,""))</f>
        <v/>
      </c>
      <c r="BR33" s="110">
        <f>IF(D33="","",IFERROR(D33*HSI!$B$28*HSI!$G$28/HSI!$B$3,""))</f>
        <v/>
      </c>
      <c r="BS33" s="110">
        <f>IF(E33="","",IFERROR(E33*HSI!$B$28*HSI!$G$28/HSI!$B$3,""))</f>
        <v/>
      </c>
      <c r="BT33" s="110">
        <f>IF(F33="","",IFERROR(F33*HSI!$B$28*HSI!$G$28/HSI!$B$3,""))</f>
        <v/>
      </c>
      <c r="BU33" s="110">
        <f>IF(G33="","",IFERROR(G33*HSI!$B$28*HSI!$G$28/HSI!$B$3,""))</f>
        <v/>
      </c>
      <c r="BV33" s="110">
        <f>IF(H33="","",IFERROR(H33*HSI!$B$28*HSI!$G$28/HSI!$B$3,""))</f>
        <v/>
      </c>
      <c r="BW33" s="110">
        <f>IF(I33="","",IFERROR(I33*HSI!$B$28*HSI!$G$28/HSI!$B$3,""))</f>
        <v/>
      </c>
      <c r="BX33" s="110">
        <f>IF(J33="","",IFERROR(J33*HSI!$B$28*HSI!$G$28/HSI!$B$3,""))</f>
        <v/>
      </c>
      <c r="BY33" s="110">
        <f>IF(K33="","",IFERROR(K33*HSI!$B$28*HSI!$G$28/HSI!$B$3,""))</f>
        <v/>
      </c>
      <c r="BZ33" s="110">
        <f>IF(L33="","",IFERROR(L33*HSI!$B$28*HSI!$G$28/HSI!$B$3,""))</f>
        <v/>
      </c>
      <c r="CA33" s="110">
        <f>IF(M33="","",IFERROR(M33*HSI!$B$28*HSI!$G$28/HSI!$B$3,""))</f>
        <v/>
      </c>
      <c r="CB33" s="110">
        <f>IF(N33="","",IFERROR(N33*HSI!$B$28*HSI!$G$28/HSI!$B$3,""))</f>
        <v/>
      </c>
      <c r="CC33" s="110">
        <f>IF(O33="","",IFERROR(O33*HSI!$B$28*HSI!$G$28/HSI!$B$3,""))</f>
        <v/>
      </c>
      <c r="CD33" s="110">
        <f>IF(P33="","",IFERROR(P33*HSI!$B$28*HSI!$G$28/HSI!$B$3,""))</f>
        <v/>
      </c>
      <c r="CE33" s="110">
        <f>IF(Q33="","",IFERROR(Q33*HSI!$B$28*HSI!$G$28/HSI!$B$3,""))</f>
        <v/>
      </c>
      <c r="CF33" s="110">
        <f>IF(R33="","",IFERROR(R33*HSI!$B$28*HSI!$G$28/HSI!$B$3,""))</f>
        <v/>
      </c>
      <c r="CG33" s="110">
        <f>IF(S33="","",IFERROR(S33*HSI!$B$28*HSI!$G$28/HSI!$B$3,""))</f>
        <v/>
      </c>
      <c r="CH33" s="110">
        <f>IF(T33="","",IFERROR(T33*HSI!$B$28*HSI!$G$28/HSI!$B$3,""))</f>
        <v/>
      </c>
      <c r="CI33" s="110">
        <f>IF(U33="","",IFERROR(U33*HSI!$B$28*HSI!$G$28/HSI!$B$3,""))</f>
        <v/>
      </c>
      <c r="CJ33" s="110">
        <f>IF(V33="","",IFERROR(V33*HSI!$B$28*HSI!$G$28/HSI!$B$3,""))</f>
        <v/>
      </c>
      <c r="CK33" s="110">
        <f>IF(W33="","",IFERROR(W33*HSI!$B$28*HSI!$G$28/HSI!$B$3,""))</f>
        <v/>
      </c>
      <c r="CL33" s="110">
        <f>IF(X33="","",IFERROR(X33*HSI!$B$28*HSI!$G$28/HSI!$B$3,""))</f>
        <v/>
      </c>
      <c r="CM33" s="110">
        <f>IF(Y33="","",IFERROR(Y33*HSI!$B$28*HSI!$G$28/HSI!$B$3,""))</f>
        <v/>
      </c>
      <c r="CN33" s="110">
        <f>IF(Z33="","",IFERROR(Z33*HSI!$B$28*HSI!$G$28/HSI!$B$3,""))</f>
        <v/>
      </c>
      <c r="CO33" s="110">
        <f>IF(AA33="","",IFERROR(AA33*HSI!$B$28*HSI!$G$28/HSI!$B$3,""))</f>
        <v/>
      </c>
      <c r="CP33" s="110">
        <f>IF(AB33="","",IFERROR(AB33*HSI!$B$28*HSI!$G$28/HSI!$B$3,""))</f>
        <v/>
      </c>
      <c r="CQ33" s="110">
        <f>IF(AC33="","",IFERROR(AC33*HSI!$B$28*HSI!$G$28/HSI!$B$3,""))</f>
        <v/>
      </c>
      <c r="CR33" s="110">
        <f>IF(AD33="","",IFERROR(AD33*HSI!$B$28*HSI!$G$28/HSI!$B$3,""))</f>
        <v/>
      </c>
      <c r="CS33" s="110">
        <f>IF(AE33="","",IFERROR(AE33*HSI!$B$28*HSI!$G$28/HSI!$B$3,""))</f>
        <v/>
      </c>
      <c r="CT33" s="110">
        <f>IF(AF33="","",IFERROR(AF33*HSI!$B$28*HSI!$G$28/HSI!$B$3,""))</f>
        <v/>
      </c>
      <c r="CU33" s="110">
        <f>IF(AG33="","",IFERROR(AG33*HSI!$B$28*HSI!$G$28/HSI!$B$3,""))</f>
        <v/>
      </c>
      <c r="CV33" s="110">
        <f>IF(AH33="","",IFERROR(AH33*HSI!$B$28*HSI!$G$28/HSI!$B$3,""))</f>
        <v/>
      </c>
      <c r="CW33" s="110">
        <f>IF(AI33="","",IFERROR(AI33*HSI!$B$28*HSI!$G$28/HSI!$B$3,""))</f>
        <v/>
      </c>
      <c r="CX33" s="110">
        <f>IF(AJ33="","",IFERROR(AJ33*HSI!$B$28*HSI!$G$28/HSI!$B$3,""))</f>
        <v/>
      </c>
      <c r="CY33" s="110">
        <f>IF(AK33="","",IFERROR(AK33*HSI!$B$28*HSI!$G$28/HSI!$B$3,""))</f>
        <v/>
      </c>
      <c r="CZ33" s="110">
        <f>IF(AL33="","",IFERROR(AL33*HSI!$B$28*HSI!$G$28/HSI!$B$3,""))</f>
        <v/>
      </c>
      <c r="DA33" s="110">
        <f>IF(AM33="","",IFERROR(AM33*HSI!$B$28*HSI!$G$28/HSI!$B$3,""))</f>
        <v/>
      </c>
      <c r="DB33" s="110">
        <f>IF(AN33="","",IFERROR(AN33*HSI!$B$28*HSI!$G$28/HSI!$B$3,""))</f>
        <v/>
      </c>
      <c r="DC33" s="110">
        <f>IF(AO33="","",IFERROR(AO33*HSI!$B$28*HSI!$G$28/HSI!$B$3,""))</f>
        <v/>
      </c>
      <c r="DD33" s="110">
        <f>IF(AP33="","",IFERROR(AP33*HSI!$B$28*HSI!$G$28/HSI!$B$3,""))</f>
        <v/>
      </c>
      <c r="DE33" s="110">
        <f>IF(AQ33="","",IFERROR(AQ33*HSI!$B$28*HSI!$G$28/HSI!$B$3,""))</f>
        <v/>
      </c>
      <c r="DF33" s="110">
        <f>IF(AR33="","",IFERROR(AR33*HSI!$B$28*HSI!$G$28/HSI!$B$3,""))</f>
        <v/>
      </c>
      <c r="DG33" s="110">
        <f>IF(AS33="","",IFERROR(AS33*HSI!$B$28*HSI!$G$28/HSI!$B$3,""))</f>
        <v/>
      </c>
      <c r="DH33" s="110">
        <f>IF(AT33="","",IFERROR(AT33*HSI!$B$28*HSI!$G$28/HSI!$B$3,""))</f>
        <v/>
      </c>
      <c r="DI33" s="110">
        <f>IF(AU33="","",IFERROR(AU33*HSI!$B$28*HSI!$G$28/HSI!$B$3,""))</f>
        <v/>
      </c>
      <c r="DJ33" s="110">
        <f>IF(AV33="","",IFERROR(AV33*HSI!$B$28*HSI!$G$28/HSI!$B$3,""))</f>
        <v/>
      </c>
      <c r="DK33" s="110">
        <f>IF(AW33="","",IFERROR(AW33*HSI!$B$28*HSI!$G$28/HSI!$B$3,""))</f>
        <v/>
      </c>
      <c r="DL33" s="110">
        <f>IF(AX33="","",IFERROR(AX33*HSI!$B$28*HSI!$G$28/HSI!$B$3,""))</f>
        <v/>
      </c>
      <c r="DM33" s="110">
        <f>IF(AY33="","",IFERROR(AY33*HSI!$B$28*HSI!$G$28/HSI!$B$3,""))</f>
        <v/>
      </c>
      <c r="DN33" s="110">
        <f>IF(AZ33="","",IFERROR(AZ33*HSI!$B$28*HSI!$G$28/HSI!$B$3,""))</f>
        <v/>
      </c>
      <c r="DO33" s="110">
        <f>IF(BA33="","",IFERROR(BA33*HSI!$B$28*HSI!$G$28/HSI!$B$3,""))</f>
        <v/>
      </c>
      <c r="DP33" s="110">
        <f>IF(BB33="","",IFERROR(BB33*HSI!$B$28*HSI!$G$28/HSI!$B$3,""))</f>
        <v/>
      </c>
      <c r="DQ33" s="110">
        <f>IF(BC33="","",IFERROR(BC33*HSI!$B$28*HSI!$G$28/HSI!$B$3,""))</f>
        <v/>
      </c>
      <c r="DR33" s="110">
        <f>IF(BD33="","",IFERROR(BD33*HSI!$B$28*HSI!$G$28/HSI!$B$3,""))</f>
        <v/>
      </c>
      <c r="DS33" s="110">
        <f>IF(BE33="","",IFERROR(BE33*HSI!$B$28*HSI!$G$28/HSI!$B$3,""))</f>
        <v/>
      </c>
      <c r="DT33" s="110">
        <f>IF(BF33="","",IFERROR(BF33*HSI!$B$28*HSI!$G$28/HSI!$B$3,""))</f>
        <v/>
      </c>
      <c r="DU33" s="110">
        <f>IF(BG33="","",IFERROR(BG33*HSI!$B$28*HSI!$G$28/HSI!$B$3,""))</f>
        <v/>
      </c>
      <c r="DV33" s="110">
        <f>IF(BH33="","",IFERROR(BH33*HSI!$B$28*HSI!$G$28/HSI!$B$3,""))</f>
        <v/>
      </c>
      <c r="DW33" s="110">
        <f>IF(BI33="","",IFERROR(BI33*HSI!$B$28*HSI!$G$28/HSI!$B$3,""))</f>
        <v/>
      </c>
      <c r="DX33" s="110">
        <f>IF(BJ33="","",IFERROR(BJ33*HSI!$B$28*HSI!$G$28/HSI!$B$3,""))</f>
        <v/>
      </c>
      <c r="DY33" s="110">
        <f>IF(BK33="","",IFERROR(BK33*HSI!$B$28*HSI!$G$28/HSI!$B$3,""))</f>
        <v/>
      </c>
      <c r="DZ33" s="110">
        <f>IF(BL33="","",IFERROR(BL33*HSI!$B$28*HSI!$G$28/HSI!$B$3,""))</f>
        <v/>
      </c>
      <c r="EA33" s="110">
        <f>IF(BM33="","",IFERROR(BM33*HSI!$B$28*HSI!$G$28/HSI!$B$3,""))</f>
        <v/>
      </c>
      <c r="EB33" s="110">
        <f>IF(BN33="","",IFERROR(BN33*HSI!$B$28*HSI!$G$28/HSI!$B$3,""))</f>
        <v/>
      </c>
      <c r="EC33" s="110">
        <f>IF(BO33="","",IFERROR(BO33*HSI!$B$28*HSI!$G$28/HSI!$B$3,""))</f>
        <v/>
      </c>
      <c r="EE33" s="39">
        <f>IF(N('Dvd Calendar'!$E$242)=0,"",IF(('Dvd Calendar'!$E$242&gt;=GRID_FROM)*('Dvd Calendar'!$E$242&lt;=GRID_TO)*((('Dvd Calendar'!$E$242&lt;=VAL_DATE)+(COUNTIF('Dvd Calendar'!$E$249:$AR$249,'Dvd Calendar'!$E$242)=0))&gt;0)=0,"",'Dvd Calendar'!$E$242*1000000000+ISNUMBER('Dvd Calendar'!$E$245)*100000000+('Dvd Calendar'!$E$247=SPECIAL_LBL)*10000000+(N('Dvd Calendar'!$E$241)&gt;0)*(N('Dvd Calendar'!$E$241)&lt;=VAL_SERIAL)*1000000+22*1000+1))</f>
        <v/>
      </c>
      <c r="EF33" s="39">
        <f>IF(N('Dvd Calendar'!$F$242)=0,"",IF(('Dvd Calendar'!$F$242&gt;=GRID_FROM)*('Dvd Calendar'!$F$242&lt;=GRID_TO)*((('Dvd Calendar'!$F$242&lt;=VAL_DATE)+(COUNTIF('Dvd Calendar'!$E$249:$AR$249,'Dvd Calendar'!$F$242)=0))&gt;0)=0,"",'Dvd Calendar'!$F$242*1000000000+ISNUMBER('Dvd Calendar'!$F$245)*100000000+('Dvd Calendar'!$F$247=SPECIAL_LBL)*10000000+(N('Dvd Calendar'!$F$241)&gt;0)*(N('Dvd Calendar'!$F$241)&lt;=VAL_SERIAL)*1000000+22*1000+2))</f>
        <v/>
      </c>
      <c r="EG33" s="39">
        <f>IF(N('Dvd Calendar'!$G$242)=0,"",IF(('Dvd Calendar'!$G$242&gt;=GRID_FROM)*('Dvd Calendar'!$G$242&lt;=GRID_TO)*((('Dvd Calendar'!$G$242&lt;=VAL_DATE)+(COUNTIF('Dvd Calendar'!$E$249:$AR$249,'Dvd Calendar'!$G$242)=0))&gt;0)=0,"",'Dvd Calendar'!$G$242*1000000000+ISNUMBER('Dvd Calendar'!$G$245)*100000000+('Dvd Calendar'!$G$247=SPECIAL_LBL)*10000000+(N('Dvd Calendar'!$G$241)&gt;0)*(N('Dvd Calendar'!$G$241)&lt;=VAL_SERIAL)*1000000+22*1000+3))</f>
        <v/>
      </c>
      <c r="EH33" s="39">
        <f>IF(N('Dvd Calendar'!$H$242)=0,"",IF(('Dvd Calendar'!$H$242&gt;=GRID_FROM)*('Dvd Calendar'!$H$242&lt;=GRID_TO)*((('Dvd Calendar'!$H$242&lt;=VAL_DATE)+(COUNTIF('Dvd Calendar'!$E$249:$AR$249,'Dvd Calendar'!$H$242)=0))&gt;0)=0,"",'Dvd Calendar'!$H$242*1000000000+ISNUMBER('Dvd Calendar'!$H$245)*100000000+('Dvd Calendar'!$H$247=SPECIAL_LBL)*10000000+(N('Dvd Calendar'!$H$241)&gt;0)*(N('Dvd Calendar'!$H$241)&lt;=VAL_SERIAL)*1000000+22*1000+4))</f>
        <v/>
      </c>
      <c r="EI33" s="39">
        <f>IF(N('Dvd Calendar'!$I$242)=0,"",IF(('Dvd Calendar'!$I$242&gt;=GRID_FROM)*('Dvd Calendar'!$I$242&lt;=GRID_TO)*((('Dvd Calendar'!$I$242&lt;=VAL_DATE)+(COUNTIF('Dvd Calendar'!$E$249:$AR$249,'Dvd Calendar'!$I$242)=0))&gt;0)=0,"",'Dvd Calendar'!$I$242*1000000000+ISNUMBER('Dvd Calendar'!$I$245)*100000000+('Dvd Calendar'!$I$247=SPECIAL_LBL)*10000000+(N('Dvd Calendar'!$I$241)&gt;0)*(N('Dvd Calendar'!$I$241)&lt;=VAL_SERIAL)*1000000+22*1000+5))</f>
        <v/>
      </c>
      <c r="EJ33" s="39">
        <f>IF(N('Dvd Calendar'!$J$242)=0,"",IF(('Dvd Calendar'!$J$242&gt;=GRID_FROM)*('Dvd Calendar'!$J$242&lt;=GRID_TO)*((('Dvd Calendar'!$J$242&lt;=VAL_DATE)+(COUNTIF('Dvd Calendar'!$E$249:$AR$249,'Dvd Calendar'!$J$242)=0))&gt;0)=0,"",'Dvd Calendar'!$J$242*1000000000+ISNUMBER('Dvd Calendar'!$J$245)*100000000+('Dvd Calendar'!$J$247=SPECIAL_LBL)*10000000+(N('Dvd Calendar'!$J$241)&gt;0)*(N('Dvd Calendar'!$J$241)&lt;=VAL_SERIAL)*1000000+22*1000+6))</f>
        <v/>
      </c>
      <c r="EK33" s="39">
        <f>IF(N('Dvd Calendar'!$K$242)=0,"",IF(('Dvd Calendar'!$K$242&gt;=GRID_FROM)*('Dvd Calendar'!$K$242&lt;=GRID_TO)*((('Dvd Calendar'!$K$242&lt;=VAL_DATE)+(COUNTIF('Dvd Calendar'!$E$249:$AR$249,'Dvd Calendar'!$K$242)=0))&gt;0)=0,"",'Dvd Calendar'!$K$242*1000000000+ISNUMBER('Dvd Calendar'!$K$245)*100000000+('Dvd Calendar'!$K$247=SPECIAL_LBL)*10000000+(N('Dvd Calendar'!$K$241)&gt;0)*(N('Dvd Calendar'!$K$241)&lt;=VAL_SERIAL)*1000000+22*1000+7))</f>
        <v/>
      </c>
      <c r="EL33" s="39">
        <f>IF(N('Dvd Calendar'!$L$242)=0,"",IF(('Dvd Calendar'!$L$242&gt;=GRID_FROM)*('Dvd Calendar'!$L$242&lt;=GRID_TO)*((('Dvd Calendar'!$L$242&lt;=VAL_DATE)+(COUNTIF('Dvd Calendar'!$E$249:$AR$249,'Dvd Calendar'!$L$242)=0))&gt;0)=0,"",'Dvd Calendar'!$L$242*1000000000+ISNUMBER('Dvd Calendar'!$L$245)*100000000+('Dvd Calendar'!$L$247=SPECIAL_LBL)*10000000+(N('Dvd Calendar'!$L$241)&gt;0)*(N('Dvd Calendar'!$L$241)&lt;=VAL_SERIAL)*1000000+22*1000+8))</f>
        <v/>
      </c>
      <c r="EM33" s="39">
        <f>IF(N('Dvd Calendar'!$M$242)=0,"",IF(('Dvd Calendar'!$M$242&gt;=GRID_FROM)*('Dvd Calendar'!$M$242&lt;=GRID_TO)*((('Dvd Calendar'!$M$242&lt;=VAL_DATE)+(COUNTIF('Dvd Calendar'!$E$249:$AR$249,'Dvd Calendar'!$M$242)=0))&gt;0)=0,"",'Dvd Calendar'!$M$242*1000000000+ISNUMBER('Dvd Calendar'!$M$245)*100000000+('Dvd Calendar'!$M$247=SPECIAL_LBL)*10000000+(N('Dvd Calendar'!$M$241)&gt;0)*(N('Dvd Calendar'!$M$241)&lt;=VAL_SERIAL)*1000000+22*1000+9))</f>
        <v/>
      </c>
      <c r="EN33" s="39">
        <f>IF(N('Dvd Calendar'!$N$242)=0,"",IF(('Dvd Calendar'!$N$242&gt;=GRID_FROM)*('Dvd Calendar'!$N$242&lt;=GRID_TO)*((('Dvd Calendar'!$N$242&lt;=VAL_DATE)+(COUNTIF('Dvd Calendar'!$E$249:$AR$249,'Dvd Calendar'!$N$242)=0))&gt;0)=0,"",'Dvd Calendar'!$N$242*1000000000+ISNUMBER('Dvd Calendar'!$N$245)*100000000+('Dvd Calendar'!$N$247=SPECIAL_LBL)*10000000+(N('Dvd Calendar'!$N$241)&gt;0)*(N('Dvd Calendar'!$N$241)&lt;=VAL_SERIAL)*1000000+22*1000+10))</f>
        <v/>
      </c>
      <c r="EO33" s="39">
        <f>IF(N('Dvd Calendar'!$O$242)=0,"",IF(('Dvd Calendar'!$O$242&gt;=GRID_FROM)*('Dvd Calendar'!$O$242&lt;=GRID_TO)*((('Dvd Calendar'!$O$242&lt;=VAL_DATE)+(COUNTIF('Dvd Calendar'!$E$249:$AR$249,'Dvd Calendar'!$O$242)=0))&gt;0)=0,"",'Dvd Calendar'!$O$242*1000000000+ISNUMBER('Dvd Calendar'!$O$245)*100000000+('Dvd Calendar'!$O$247=SPECIAL_LBL)*10000000+(N('Dvd Calendar'!$O$241)&gt;0)*(N('Dvd Calendar'!$O$241)&lt;=VAL_SERIAL)*1000000+22*1000+11))</f>
        <v/>
      </c>
      <c r="EP33" s="39">
        <f>IF(N('Dvd Calendar'!$P$242)=0,"",IF(('Dvd Calendar'!$P$242&gt;=GRID_FROM)*('Dvd Calendar'!$P$242&lt;=GRID_TO)*((('Dvd Calendar'!$P$242&lt;=VAL_DATE)+(COUNTIF('Dvd Calendar'!$E$249:$AR$249,'Dvd Calendar'!$P$242)=0))&gt;0)=0,"",'Dvd Calendar'!$P$242*1000000000+ISNUMBER('Dvd Calendar'!$P$245)*100000000+('Dvd Calendar'!$P$247=SPECIAL_LBL)*10000000+(N('Dvd Calendar'!$P$241)&gt;0)*(N('Dvd Calendar'!$P$241)&lt;=VAL_SERIAL)*1000000+22*1000+12))</f>
        <v/>
      </c>
      <c r="EQ33" s="39">
        <f>IF(N('Dvd Calendar'!$Q$242)=0,"",IF(('Dvd Calendar'!$Q$242&gt;=GRID_FROM)*('Dvd Calendar'!$Q$242&lt;=GRID_TO)*((('Dvd Calendar'!$Q$242&lt;=VAL_DATE)+(COUNTIF('Dvd Calendar'!$E$249:$AR$249,'Dvd Calendar'!$Q$242)=0))&gt;0)=0,"",'Dvd Calendar'!$Q$242*1000000000+ISNUMBER('Dvd Calendar'!$Q$245)*100000000+('Dvd Calendar'!$Q$247=SPECIAL_LBL)*10000000+(N('Dvd Calendar'!$Q$241)&gt;0)*(N('Dvd Calendar'!$Q$241)&lt;=VAL_SERIAL)*1000000+22*1000+13))</f>
        <v/>
      </c>
      <c r="ER33" s="39">
        <f>IF(N('Dvd Calendar'!$R$242)=0,"",IF(('Dvd Calendar'!$R$242&gt;=GRID_FROM)*('Dvd Calendar'!$R$242&lt;=GRID_TO)*((('Dvd Calendar'!$R$242&lt;=VAL_DATE)+(COUNTIF('Dvd Calendar'!$E$249:$AR$249,'Dvd Calendar'!$R$242)=0))&gt;0)=0,"",'Dvd Calendar'!$R$242*1000000000+ISNUMBER('Dvd Calendar'!$R$245)*100000000+('Dvd Calendar'!$R$247=SPECIAL_LBL)*10000000+(N('Dvd Calendar'!$R$241)&gt;0)*(N('Dvd Calendar'!$R$241)&lt;=VAL_SERIAL)*1000000+22*1000+14))</f>
        <v/>
      </c>
      <c r="ES33" s="39">
        <f>IF(N('Dvd Calendar'!$S$242)=0,"",IF(('Dvd Calendar'!$S$242&gt;=GRID_FROM)*('Dvd Calendar'!$S$242&lt;=GRID_TO)*((('Dvd Calendar'!$S$242&lt;=VAL_DATE)+(COUNTIF('Dvd Calendar'!$E$249:$AR$249,'Dvd Calendar'!$S$242)=0))&gt;0)=0,"",'Dvd Calendar'!$S$242*1000000000+ISNUMBER('Dvd Calendar'!$S$245)*100000000+('Dvd Calendar'!$S$247=SPECIAL_LBL)*10000000+(N('Dvd Calendar'!$S$241)&gt;0)*(N('Dvd Calendar'!$S$241)&lt;=VAL_SERIAL)*1000000+22*1000+15))</f>
        <v/>
      </c>
      <c r="ET33" s="39">
        <f>IF(N('Dvd Calendar'!$T$242)=0,"",IF(('Dvd Calendar'!$T$242&gt;=GRID_FROM)*('Dvd Calendar'!$T$242&lt;=GRID_TO)*((('Dvd Calendar'!$T$242&lt;=VAL_DATE)+(COUNTIF('Dvd Calendar'!$E$249:$AR$249,'Dvd Calendar'!$T$242)=0))&gt;0)=0,"",'Dvd Calendar'!$T$242*1000000000+ISNUMBER('Dvd Calendar'!$T$245)*100000000+('Dvd Calendar'!$T$247=SPECIAL_LBL)*10000000+(N('Dvd Calendar'!$T$241)&gt;0)*(N('Dvd Calendar'!$T$241)&lt;=VAL_SERIAL)*1000000+22*1000+16))</f>
        <v/>
      </c>
      <c r="EU33" s="39">
        <f>IF(N('Dvd Calendar'!$U$242)=0,"",IF(('Dvd Calendar'!$U$242&gt;=GRID_FROM)*('Dvd Calendar'!$U$242&lt;=GRID_TO)*((('Dvd Calendar'!$U$242&lt;=VAL_DATE)+(COUNTIF('Dvd Calendar'!$E$249:$AR$249,'Dvd Calendar'!$U$242)=0))&gt;0)=0,"",'Dvd Calendar'!$U$242*1000000000+ISNUMBER('Dvd Calendar'!$U$245)*100000000+('Dvd Calendar'!$U$247=SPECIAL_LBL)*10000000+(N('Dvd Calendar'!$U$241)&gt;0)*(N('Dvd Calendar'!$U$241)&lt;=VAL_SERIAL)*1000000+22*1000+17))</f>
        <v/>
      </c>
      <c r="EV33" s="39">
        <f>IF(N('Dvd Calendar'!$V$242)=0,"",IF(('Dvd Calendar'!$V$242&gt;=GRID_FROM)*('Dvd Calendar'!$V$242&lt;=GRID_TO)*((('Dvd Calendar'!$V$242&lt;=VAL_DATE)+(COUNTIF('Dvd Calendar'!$E$249:$AR$249,'Dvd Calendar'!$V$242)=0))&gt;0)=0,"",'Dvd Calendar'!$V$242*1000000000+ISNUMBER('Dvd Calendar'!$V$245)*100000000+('Dvd Calendar'!$V$247=SPECIAL_LBL)*10000000+(N('Dvd Calendar'!$V$241)&gt;0)*(N('Dvd Calendar'!$V$241)&lt;=VAL_SERIAL)*1000000+22*1000+18))</f>
        <v/>
      </c>
      <c r="EW33" s="39">
        <f>IF(N('Dvd Calendar'!$W$242)=0,"",IF(('Dvd Calendar'!$W$242&gt;=GRID_FROM)*('Dvd Calendar'!$W$242&lt;=GRID_TO)*((('Dvd Calendar'!$W$242&lt;=VAL_DATE)+(COUNTIF('Dvd Calendar'!$E$249:$AR$249,'Dvd Calendar'!$W$242)=0))&gt;0)=0,"",'Dvd Calendar'!$W$242*1000000000+ISNUMBER('Dvd Calendar'!$W$245)*100000000+('Dvd Calendar'!$W$247=SPECIAL_LBL)*10000000+(N('Dvd Calendar'!$W$241)&gt;0)*(N('Dvd Calendar'!$W$241)&lt;=VAL_SERIAL)*1000000+22*1000+19))</f>
        <v/>
      </c>
      <c r="EX33" s="39">
        <f>IF(N('Dvd Calendar'!$X$242)=0,"",IF(('Dvd Calendar'!$X$242&gt;=GRID_FROM)*('Dvd Calendar'!$X$242&lt;=GRID_TO)*((('Dvd Calendar'!$X$242&lt;=VAL_DATE)+(COUNTIF('Dvd Calendar'!$E$249:$AR$249,'Dvd Calendar'!$X$242)=0))&gt;0)=0,"",'Dvd Calendar'!$X$242*1000000000+ISNUMBER('Dvd Calendar'!$X$245)*100000000+('Dvd Calendar'!$X$247=SPECIAL_LBL)*10000000+(N('Dvd Calendar'!$X$241)&gt;0)*(N('Dvd Calendar'!$X$241)&lt;=VAL_SERIAL)*1000000+22*1000+20))</f>
        <v/>
      </c>
      <c r="EY33" s="39">
        <f>IF(N('Dvd Calendar'!$Y$242)=0,"",IF(('Dvd Calendar'!$Y$242&gt;=GRID_FROM)*('Dvd Calendar'!$Y$242&lt;=GRID_TO)*((('Dvd Calendar'!$Y$242&lt;=VAL_DATE)+(COUNTIF('Dvd Calendar'!$E$249:$AR$249,'Dvd Calendar'!$Y$242)=0))&gt;0)=0,"",'Dvd Calendar'!$Y$242*1000000000+ISNUMBER('Dvd Calendar'!$Y$245)*100000000+('Dvd Calendar'!$Y$247=SPECIAL_LBL)*10000000+(N('Dvd Calendar'!$Y$241)&gt;0)*(N('Dvd Calendar'!$Y$241)&lt;=VAL_SERIAL)*1000000+22*1000+21))</f>
        <v/>
      </c>
      <c r="EZ33" s="39">
        <f>IF(N('Dvd Calendar'!$Z$242)=0,"",IF(('Dvd Calendar'!$Z$242&gt;=GRID_FROM)*('Dvd Calendar'!$Z$242&lt;=GRID_TO)*((('Dvd Calendar'!$Z$242&lt;=VAL_DATE)+(COUNTIF('Dvd Calendar'!$E$249:$AR$249,'Dvd Calendar'!$Z$242)=0))&gt;0)=0,"",'Dvd Calendar'!$Z$242*1000000000+ISNUMBER('Dvd Calendar'!$Z$245)*100000000+('Dvd Calendar'!$Z$247=SPECIAL_LBL)*10000000+(N('Dvd Calendar'!$Z$241)&gt;0)*(N('Dvd Calendar'!$Z$241)&lt;=VAL_SERIAL)*1000000+22*1000+22))</f>
        <v/>
      </c>
      <c r="FA33" s="39">
        <f>IF(N('Dvd Calendar'!$AA$242)=0,"",IF(('Dvd Calendar'!$AA$242&gt;=GRID_FROM)*('Dvd Calendar'!$AA$242&lt;=GRID_TO)*((('Dvd Calendar'!$AA$242&lt;=VAL_DATE)+(COUNTIF('Dvd Calendar'!$E$249:$AR$249,'Dvd Calendar'!$AA$242)=0))&gt;0)=0,"",'Dvd Calendar'!$AA$242*1000000000+ISNUMBER('Dvd Calendar'!$AA$245)*100000000+('Dvd Calendar'!$AA$247=SPECIAL_LBL)*10000000+(N('Dvd Calendar'!$AA$241)&gt;0)*(N('Dvd Calendar'!$AA$241)&lt;=VAL_SERIAL)*1000000+22*1000+23))</f>
        <v/>
      </c>
      <c r="FB33" s="39">
        <f>IF(N('Dvd Calendar'!$AB$242)=0,"",IF(('Dvd Calendar'!$AB$242&gt;=GRID_FROM)*('Dvd Calendar'!$AB$242&lt;=GRID_TO)*((('Dvd Calendar'!$AB$242&lt;=VAL_DATE)+(COUNTIF('Dvd Calendar'!$E$249:$AR$249,'Dvd Calendar'!$AB$242)=0))&gt;0)=0,"",'Dvd Calendar'!$AB$242*1000000000+ISNUMBER('Dvd Calendar'!$AB$245)*100000000+('Dvd Calendar'!$AB$247=SPECIAL_LBL)*10000000+(N('Dvd Calendar'!$AB$241)&gt;0)*(N('Dvd Calendar'!$AB$241)&lt;=VAL_SERIAL)*1000000+22*1000+24))</f>
        <v/>
      </c>
      <c r="FC33" s="39">
        <f>IF(N('Dvd Calendar'!$AC$242)=0,"",IF(('Dvd Calendar'!$AC$242&gt;=GRID_FROM)*('Dvd Calendar'!$AC$242&lt;=GRID_TO)*((('Dvd Calendar'!$AC$242&lt;=VAL_DATE)+(COUNTIF('Dvd Calendar'!$E$249:$AR$249,'Dvd Calendar'!$AC$242)=0))&gt;0)=0,"",'Dvd Calendar'!$AC$242*1000000000+ISNUMBER('Dvd Calendar'!$AC$245)*100000000+('Dvd Calendar'!$AC$247=SPECIAL_LBL)*10000000+(N('Dvd Calendar'!$AC$241)&gt;0)*(N('Dvd Calendar'!$AC$241)&lt;=VAL_SERIAL)*1000000+22*1000+25))</f>
        <v/>
      </c>
      <c r="FD33" s="39">
        <f>IF(N('Dvd Calendar'!$AD$242)=0,"",IF(('Dvd Calendar'!$AD$242&gt;=GRID_FROM)*('Dvd Calendar'!$AD$242&lt;=GRID_TO)*((('Dvd Calendar'!$AD$242&lt;=VAL_DATE)+(COUNTIF('Dvd Calendar'!$E$249:$AR$249,'Dvd Calendar'!$AD$242)=0))&gt;0)=0,"",'Dvd Calendar'!$AD$242*1000000000+ISNUMBER('Dvd Calendar'!$AD$245)*100000000+('Dvd Calendar'!$AD$247=SPECIAL_LBL)*10000000+(N('Dvd Calendar'!$AD$241)&gt;0)*(N('Dvd Calendar'!$AD$241)&lt;=VAL_SERIAL)*1000000+22*1000+26))</f>
        <v/>
      </c>
      <c r="FE33" s="39">
        <f>IF(N('Dvd Calendar'!$AE$242)=0,"",IF(('Dvd Calendar'!$AE$242&gt;=GRID_FROM)*('Dvd Calendar'!$AE$242&lt;=GRID_TO)*((('Dvd Calendar'!$AE$242&lt;=VAL_DATE)+(COUNTIF('Dvd Calendar'!$E$249:$AR$249,'Dvd Calendar'!$AE$242)=0))&gt;0)=0,"",'Dvd Calendar'!$AE$242*1000000000+ISNUMBER('Dvd Calendar'!$AE$245)*100000000+('Dvd Calendar'!$AE$247=SPECIAL_LBL)*10000000+(N('Dvd Calendar'!$AE$241)&gt;0)*(N('Dvd Calendar'!$AE$241)&lt;=VAL_SERIAL)*1000000+22*1000+27))</f>
        <v/>
      </c>
      <c r="FF33" s="39">
        <f>IF(N('Dvd Calendar'!$AF$242)=0,"",IF(('Dvd Calendar'!$AF$242&gt;=GRID_FROM)*('Dvd Calendar'!$AF$242&lt;=GRID_TO)*((('Dvd Calendar'!$AF$242&lt;=VAL_DATE)+(COUNTIF('Dvd Calendar'!$E$249:$AR$249,'Dvd Calendar'!$AF$242)=0))&gt;0)=0,"",'Dvd Calendar'!$AF$242*1000000000+ISNUMBER('Dvd Calendar'!$AF$245)*100000000+('Dvd Calendar'!$AF$247=SPECIAL_LBL)*10000000+(N('Dvd Calendar'!$AF$241)&gt;0)*(N('Dvd Calendar'!$AF$241)&lt;=VAL_SERIAL)*1000000+22*1000+28))</f>
        <v/>
      </c>
      <c r="FG33" s="39">
        <f>IF(N('Dvd Calendar'!$AG$242)=0,"",IF(('Dvd Calendar'!$AG$242&gt;=GRID_FROM)*('Dvd Calendar'!$AG$242&lt;=GRID_TO)*((('Dvd Calendar'!$AG$242&lt;=VAL_DATE)+(COUNTIF('Dvd Calendar'!$E$249:$AR$249,'Dvd Calendar'!$AG$242)=0))&gt;0)=0,"",'Dvd Calendar'!$AG$242*1000000000+ISNUMBER('Dvd Calendar'!$AG$245)*100000000+('Dvd Calendar'!$AG$247=SPECIAL_LBL)*10000000+(N('Dvd Calendar'!$AG$241)&gt;0)*(N('Dvd Calendar'!$AG$241)&lt;=VAL_SERIAL)*1000000+22*1000+29))</f>
        <v/>
      </c>
      <c r="FH33" s="39">
        <f>IF(N('Dvd Calendar'!$AH$242)=0,"",IF(('Dvd Calendar'!$AH$242&gt;=GRID_FROM)*('Dvd Calendar'!$AH$242&lt;=GRID_TO)*((('Dvd Calendar'!$AH$242&lt;=VAL_DATE)+(COUNTIF('Dvd Calendar'!$E$249:$AR$249,'Dvd Calendar'!$AH$242)=0))&gt;0)=0,"",'Dvd Calendar'!$AH$242*1000000000+ISNUMBER('Dvd Calendar'!$AH$245)*100000000+('Dvd Calendar'!$AH$247=SPECIAL_LBL)*10000000+(N('Dvd Calendar'!$AH$241)&gt;0)*(N('Dvd Calendar'!$AH$241)&lt;=VAL_SERIAL)*1000000+22*1000+30))</f>
        <v/>
      </c>
      <c r="FI33" s="39">
        <f>IF(N('Dvd Calendar'!$AI$242)=0,"",IF(('Dvd Calendar'!$AI$242&gt;=GRID_FROM)*('Dvd Calendar'!$AI$242&lt;=GRID_TO)*((('Dvd Calendar'!$AI$242&lt;=VAL_DATE)+(COUNTIF('Dvd Calendar'!$E$249:$AR$249,'Dvd Calendar'!$AI$242)=0))&gt;0)=0,"",'Dvd Calendar'!$AI$242*1000000000+ISNUMBER('Dvd Calendar'!$AI$245)*100000000+('Dvd Calendar'!$AI$247=SPECIAL_LBL)*10000000+(N('Dvd Calendar'!$AI$241)&gt;0)*(N('Dvd Calendar'!$AI$241)&lt;=VAL_SERIAL)*1000000+22*1000+31))</f>
        <v/>
      </c>
      <c r="FJ33" s="39">
        <f>IF(N('Dvd Calendar'!$AJ$242)=0,"",IF(('Dvd Calendar'!$AJ$242&gt;=GRID_FROM)*('Dvd Calendar'!$AJ$242&lt;=GRID_TO)*((('Dvd Calendar'!$AJ$242&lt;=VAL_DATE)+(COUNTIF('Dvd Calendar'!$E$249:$AR$249,'Dvd Calendar'!$AJ$242)=0))&gt;0)=0,"",'Dvd Calendar'!$AJ$242*1000000000+ISNUMBER('Dvd Calendar'!$AJ$245)*100000000+('Dvd Calendar'!$AJ$247=SPECIAL_LBL)*10000000+(N('Dvd Calendar'!$AJ$241)&gt;0)*(N('Dvd Calendar'!$AJ$241)&lt;=VAL_SERIAL)*1000000+22*1000+32))</f>
        <v/>
      </c>
      <c r="FK33" s="39">
        <f>IF(N('Dvd Calendar'!$AK$242)=0,"",IF(('Dvd Calendar'!$AK$242&gt;=GRID_FROM)*('Dvd Calendar'!$AK$242&lt;=GRID_TO)*((('Dvd Calendar'!$AK$242&lt;=VAL_DATE)+(COUNTIF('Dvd Calendar'!$E$249:$AR$249,'Dvd Calendar'!$AK$242)=0))&gt;0)=0,"",'Dvd Calendar'!$AK$242*1000000000+ISNUMBER('Dvd Calendar'!$AK$245)*100000000+('Dvd Calendar'!$AK$247=SPECIAL_LBL)*10000000+(N('Dvd Calendar'!$AK$241)&gt;0)*(N('Dvd Calendar'!$AK$241)&lt;=VAL_SERIAL)*1000000+22*1000+33))</f>
        <v/>
      </c>
      <c r="FL33" s="39">
        <f>IF(N('Dvd Calendar'!$AL$242)=0,"",IF(('Dvd Calendar'!$AL$242&gt;=GRID_FROM)*('Dvd Calendar'!$AL$242&lt;=GRID_TO)*((('Dvd Calendar'!$AL$242&lt;=VAL_DATE)+(COUNTIF('Dvd Calendar'!$E$249:$AR$249,'Dvd Calendar'!$AL$242)=0))&gt;0)=0,"",'Dvd Calendar'!$AL$242*1000000000+ISNUMBER('Dvd Calendar'!$AL$245)*100000000+('Dvd Calendar'!$AL$247=SPECIAL_LBL)*10000000+(N('Dvd Calendar'!$AL$241)&gt;0)*(N('Dvd Calendar'!$AL$241)&lt;=VAL_SERIAL)*1000000+22*1000+34))</f>
        <v/>
      </c>
      <c r="FM33" s="39">
        <f>IF(N('Dvd Calendar'!$AM$242)=0,"",IF(('Dvd Calendar'!$AM$242&gt;=GRID_FROM)*('Dvd Calendar'!$AM$242&lt;=GRID_TO)*((('Dvd Calendar'!$AM$242&lt;=VAL_DATE)+(COUNTIF('Dvd Calendar'!$E$249:$AR$249,'Dvd Calendar'!$AM$242)=0))&gt;0)=0,"",'Dvd Calendar'!$AM$242*1000000000+ISNUMBER('Dvd Calendar'!$AM$245)*100000000+('Dvd Calendar'!$AM$247=SPECIAL_LBL)*10000000+(N('Dvd Calendar'!$AM$241)&gt;0)*(N('Dvd Calendar'!$AM$241)&lt;=VAL_SERIAL)*1000000+22*1000+35))</f>
        <v/>
      </c>
      <c r="FN33" s="39">
        <f>IF(N('Dvd Calendar'!$AN$242)=0,"",IF(('Dvd Calendar'!$AN$242&gt;=GRID_FROM)*('Dvd Calendar'!$AN$242&lt;=GRID_TO)*((('Dvd Calendar'!$AN$242&lt;=VAL_DATE)+(COUNTIF('Dvd Calendar'!$E$249:$AR$249,'Dvd Calendar'!$AN$242)=0))&gt;0)=0,"",'Dvd Calendar'!$AN$242*1000000000+ISNUMBER('Dvd Calendar'!$AN$245)*100000000+('Dvd Calendar'!$AN$247=SPECIAL_LBL)*10000000+(N('Dvd Calendar'!$AN$241)&gt;0)*(N('Dvd Calendar'!$AN$241)&lt;=VAL_SERIAL)*1000000+22*1000+36))</f>
        <v/>
      </c>
      <c r="FO33" s="39">
        <f>IF(N('Dvd Calendar'!$AO$242)=0,"",IF(('Dvd Calendar'!$AO$242&gt;=GRID_FROM)*('Dvd Calendar'!$AO$242&lt;=GRID_TO)*((('Dvd Calendar'!$AO$242&lt;=VAL_DATE)+(COUNTIF('Dvd Calendar'!$E$249:$AR$249,'Dvd Calendar'!$AO$242)=0))&gt;0)=0,"",'Dvd Calendar'!$AO$242*1000000000+ISNUMBER('Dvd Calendar'!$AO$245)*100000000+('Dvd Calendar'!$AO$247=SPECIAL_LBL)*10000000+(N('Dvd Calendar'!$AO$241)&gt;0)*(N('Dvd Calendar'!$AO$241)&lt;=VAL_SERIAL)*1000000+22*1000+37))</f>
        <v/>
      </c>
      <c r="FP33" s="39">
        <f>IF(N('Dvd Calendar'!$AP$242)=0,"",IF(('Dvd Calendar'!$AP$242&gt;=GRID_FROM)*('Dvd Calendar'!$AP$242&lt;=GRID_TO)*((('Dvd Calendar'!$AP$242&lt;=VAL_DATE)+(COUNTIF('Dvd Calendar'!$E$249:$AR$249,'Dvd Calendar'!$AP$242)=0))&gt;0)=0,"",'Dvd Calendar'!$AP$242*1000000000+ISNUMBER('Dvd Calendar'!$AP$245)*100000000+('Dvd Calendar'!$AP$247=SPECIAL_LBL)*10000000+(N('Dvd Calendar'!$AP$241)&gt;0)*(N('Dvd Calendar'!$AP$241)&lt;=VAL_SERIAL)*1000000+22*1000+38))</f>
        <v/>
      </c>
      <c r="FQ33" s="39">
        <f>IF(N('Dvd Calendar'!$AQ$242)=0,"",IF(('Dvd Calendar'!$AQ$242&gt;=GRID_FROM)*('Dvd Calendar'!$AQ$242&lt;=GRID_TO)*((('Dvd Calendar'!$AQ$242&lt;=VAL_DATE)+(COUNTIF('Dvd Calendar'!$E$249:$AR$249,'Dvd Calendar'!$AQ$242)=0))&gt;0)=0,"",'Dvd Calendar'!$AQ$242*1000000000+ISNUMBER('Dvd Calendar'!$AQ$245)*100000000+('Dvd Calendar'!$AQ$247=SPECIAL_LBL)*10000000+(N('Dvd Calendar'!$AQ$241)&gt;0)*(N('Dvd Calendar'!$AQ$241)&lt;=VAL_SERIAL)*1000000+22*1000+39))</f>
        <v/>
      </c>
      <c r="FR33" s="39">
        <f>IF(N('Dvd Calendar'!$AR$242)=0,"",IF(('Dvd Calendar'!$AR$242&gt;=GRID_FROM)*('Dvd Calendar'!$AR$242&lt;=GRID_TO)*((('Dvd Calendar'!$AR$242&lt;=VAL_DATE)+(COUNTIF('Dvd Calendar'!$E$249:$AR$249,'Dvd Calendar'!$AR$242)=0))&gt;0)=0,"",'Dvd Calendar'!$AR$242*1000000000+ISNUMBER('Dvd Calendar'!$AR$245)*100000000+('Dvd Calendar'!$AR$247=SPECIAL_LBL)*10000000+(N('Dvd Calendar'!$AR$241)&gt;0)*(N('Dvd Calendar'!$AR$241)&lt;=VAL_SERIAL)*1000000+22*1000+40))</f>
        <v/>
      </c>
      <c r="FS33" s="39">
        <f>IF(N('Dvd Calendar'!$E$249)=0,"",IF(('Dvd Calendar'!$E$249&gt;=GRID_FROM)*('Dvd Calendar'!$E$249&lt;=GRID_TO)*('Dvd Calendar'!$E$249&gt;VAL_DATE)=0,"",'Dvd Calendar'!$E$249*1000000000+ISNUMBER('Dvd Calendar'!$E$250)*100000000+0*10000000+(N('Dvd Calendar'!$E$248)&gt;0)*(N('Dvd Calendar'!$E$248)&lt;=VAL_SERIAL)*1000000+22*1000+41))</f>
        <v/>
      </c>
      <c r="FT33" s="39">
        <f>IF(N('Dvd Calendar'!$F$249)=0,"",IF(('Dvd Calendar'!$F$249&gt;=GRID_FROM)*('Dvd Calendar'!$F$249&lt;=GRID_TO)*('Dvd Calendar'!$F$249&gt;VAL_DATE)=0,"",'Dvd Calendar'!$F$249*1000000000+ISNUMBER('Dvd Calendar'!$F$250)*100000000+0*10000000+(N('Dvd Calendar'!$F$248)&gt;0)*(N('Dvd Calendar'!$F$248)&lt;=VAL_SERIAL)*1000000+22*1000+42))</f>
        <v/>
      </c>
      <c r="FU33" s="39">
        <f>IF(N('Dvd Calendar'!$G$249)=0,"",IF(('Dvd Calendar'!$G$249&gt;=GRID_FROM)*('Dvd Calendar'!$G$249&lt;=GRID_TO)*('Dvd Calendar'!$G$249&gt;VAL_DATE)=0,"",'Dvd Calendar'!$G$249*1000000000+ISNUMBER('Dvd Calendar'!$G$250)*100000000+0*10000000+(N('Dvd Calendar'!$G$248)&gt;0)*(N('Dvd Calendar'!$G$248)&lt;=VAL_SERIAL)*1000000+22*1000+43))</f>
        <v/>
      </c>
      <c r="FV33" s="39">
        <f>IF(N('Dvd Calendar'!$H$249)=0,"",IF(('Dvd Calendar'!$H$249&gt;=GRID_FROM)*('Dvd Calendar'!$H$249&lt;=GRID_TO)*('Dvd Calendar'!$H$249&gt;VAL_DATE)=0,"",'Dvd Calendar'!$H$249*1000000000+ISNUMBER('Dvd Calendar'!$H$250)*100000000+0*10000000+(N('Dvd Calendar'!$H$248)&gt;0)*(N('Dvd Calendar'!$H$248)&lt;=VAL_SERIAL)*1000000+22*1000+44))</f>
        <v/>
      </c>
      <c r="FW33" s="39">
        <f>IF(N('Dvd Calendar'!$I$249)=0,"",IF(('Dvd Calendar'!$I$249&gt;=GRID_FROM)*('Dvd Calendar'!$I$249&lt;=GRID_TO)*('Dvd Calendar'!$I$249&gt;VAL_DATE)=0,"",'Dvd Calendar'!$I$249*1000000000+ISNUMBER('Dvd Calendar'!$I$250)*100000000+0*10000000+(N('Dvd Calendar'!$I$248)&gt;0)*(N('Dvd Calendar'!$I$248)&lt;=VAL_SERIAL)*1000000+22*1000+45))</f>
        <v/>
      </c>
      <c r="FX33" s="39">
        <f>IF(N('Dvd Calendar'!$J$249)=0,"",IF(('Dvd Calendar'!$J$249&gt;=GRID_FROM)*('Dvd Calendar'!$J$249&lt;=GRID_TO)*('Dvd Calendar'!$J$249&gt;VAL_DATE)=0,"",'Dvd Calendar'!$J$249*1000000000+ISNUMBER('Dvd Calendar'!$J$250)*100000000+0*10000000+(N('Dvd Calendar'!$J$248)&gt;0)*(N('Dvd Calendar'!$J$248)&lt;=VAL_SERIAL)*1000000+22*1000+46))</f>
        <v/>
      </c>
      <c r="FY33" s="39">
        <f>IF(N('Dvd Calendar'!$K$249)=0,"",IF(('Dvd Calendar'!$K$249&gt;=GRID_FROM)*('Dvd Calendar'!$K$249&lt;=GRID_TO)*('Dvd Calendar'!$K$249&gt;VAL_DATE)=0,"",'Dvd Calendar'!$K$249*1000000000+ISNUMBER('Dvd Calendar'!$K$250)*100000000+0*10000000+(N('Dvd Calendar'!$K$248)&gt;0)*(N('Dvd Calendar'!$K$248)&lt;=VAL_SERIAL)*1000000+22*1000+47))</f>
        <v/>
      </c>
      <c r="FZ33" s="39">
        <f>IF(N('Dvd Calendar'!$L$249)=0,"",IF(('Dvd Calendar'!$L$249&gt;=GRID_FROM)*('Dvd Calendar'!$L$249&lt;=GRID_TO)*('Dvd Calendar'!$L$249&gt;VAL_DATE)=0,"",'Dvd Calendar'!$L$249*1000000000+ISNUMBER('Dvd Calendar'!$L$250)*100000000+0*10000000+(N('Dvd Calendar'!$L$248)&gt;0)*(N('Dvd Calendar'!$L$248)&lt;=VAL_SERIAL)*1000000+22*1000+48))</f>
        <v/>
      </c>
      <c r="GA33" s="39">
        <f>IF(N('Dvd Calendar'!$M$249)=0,"",IF(('Dvd Calendar'!$M$249&gt;=GRID_FROM)*('Dvd Calendar'!$M$249&lt;=GRID_TO)*('Dvd Calendar'!$M$249&gt;VAL_DATE)=0,"",'Dvd Calendar'!$M$249*1000000000+ISNUMBER('Dvd Calendar'!$M$250)*100000000+0*10000000+(N('Dvd Calendar'!$M$248)&gt;0)*(N('Dvd Calendar'!$M$248)&lt;=VAL_SERIAL)*1000000+22*1000+49))</f>
        <v/>
      </c>
      <c r="GB33" s="39">
        <f>IF(N('Dvd Calendar'!$N$249)=0,"",IF(('Dvd Calendar'!$N$249&gt;=GRID_FROM)*('Dvd Calendar'!$N$249&lt;=GRID_TO)*('Dvd Calendar'!$N$249&gt;VAL_DATE)=0,"",'Dvd Calendar'!$N$249*1000000000+ISNUMBER('Dvd Calendar'!$N$250)*100000000+0*10000000+(N('Dvd Calendar'!$N$248)&gt;0)*(N('Dvd Calendar'!$N$248)&lt;=VAL_SERIAL)*1000000+22*1000+50))</f>
        <v/>
      </c>
      <c r="GC33" s="39">
        <f>IF(N('Dvd Calendar'!$O$249)=0,"",IF(('Dvd Calendar'!$O$249&gt;=GRID_FROM)*('Dvd Calendar'!$O$249&lt;=GRID_TO)*('Dvd Calendar'!$O$249&gt;VAL_DATE)=0,"",'Dvd Calendar'!$O$249*1000000000+ISNUMBER('Dvd Calendar'!$O$250)*100000000+0*10000000+(N('Dvd Calendar'!$O$248)&gt;0)*(N('Dvd Calendar'!$O$248)&lt;=VAL_SERIAL)*1000000+22*1000+51))</f>
        <v/>
      </c>
      <c r="GD33" s="39">
        <f>IF(N('Dvd Calendar'!$P$249)=0,"",IF(('Dvd Calendar'!$P$249&gt;=GRID_FROM)*('Dvd Calendar'!$P$249&lt;=GRID_TO)*('Dvd Calendar'!$P$249&gt;VAL_DATE)=0,"",'Dvd Calendar'!$P$249*1000000000+ISNUMBER('Dvd Calendar'!$P$250)*100000000+0*10000000+(N('Dvd Calendar'!$P$248)&gt;0)*(N('Dvd Calendar'!$P$248)&lt;=VAL_SERIAL)*1000000+22*1000+52))</f>
        <v/>
      </c>
      <c r="GE33" s="39">
        <f>IF(N('Dvd Calendar'!$Q$249)=0,"",IF(('Dvd Calendar'!$Q$249&gt;=GRID_FROM)*('Dvd Calendar'!$Q$249&lt;=GRID_TO)*('Dvd Calendar'!$Q$249&gt;VAL_DATE)=0,"",'Dvd Calendar'!$Q$249*1000000000+ISNUMBER('Dvd Calendar'!$Q$250)*100000000+0*10000000+(N('Dvd Calendar'!$Q$248)&gt;0)*(N('Dvd Calendar'!$Q$248)&lt;=VAL_SERIAL)*1000000+22*1000+53))</f>
        <v/>
      </c>
      <c r="GF33" s="39">
        <f>IF(N('Dvd Calendar'!$R$249)=0,"",IF(('Dvd Calendar'!$R$249&gt;=GRID_FROM)*('Dvd Calendar'!$R$249&lt;=GRID_TO)*('Dvd Calendar'!$R$249&gt;VAL_DATE)=0,"",'Dvd Calendar'!$R$249*1000000000+ISNUMBER('Dvd Calendar'!$R$250)*100000000+0*10000000+(N('Dvd Calendar'!$R$248)&gt;0)*(N('Dvd Calendar'!$R$248)&lt;=VAL_SERIAL)*1000000+22*1000+54))</f>
        <v/>
      </c>
      <c r="GG33" s="39">
        <f>IF(N('Dvd Calendar'!$S$249)=0,"",IF(('Dvd Calendar'!$S$249&gt;=GRID_FROM)*('Dvd Calendar'!$S$249&lt;=GRID_TO)*('Dvd Calendar'!$S$249&gt;VAL_DATE)=0,"",'Dvd Calendar'!$S$249*1000000000+ISNUMBER('Dvd Calendar'!$S$250)*100000000+0*10000000+(N('Dvd Calendar'!$S$248)&gt;0)*(N('Dvd Calendar'!$S$248)&lt;=VAL_SERIAL)*1000000+22*1000+55))</f>
        <v/>
      </c>
      <c r="GH33" s="39">
        <f>IF(N('Dvd Calendar'!$T$249)=0,"",IF(('Dvd Calendar'!$T$249&gt;=GRID_FROM)*('Dvd Calendar'!$T$249&lt;=GRID_TO)*('Dvd Calendar'!$T$249&gt;VAL_DATE)=0,"",'Dvd Calendar'!$T$249*1000000000+ISNUMBER('Dvd Calendar'!$T$250)*100000000+0*10000000+(N('Dvd Calendar'!$T$248)&gt;0)*(N('Dvd Calendar'!$T$248)&lt;=VAL_SERIAL)*1000000+22*1000+56))</f>
        <v/>
      </c>
      <c r="GI33" s="39">
        <f>IF(N('Dvd Calendar'!$U$249)=0,"",IF(('Dvd Calendar'!$U$249&gt;=GRID_FROM)*('Dvd Calendar'!$U$249&lt;=GRID_TO)*('Dvd Calendar'!$U$249&gt;VAL_DATE)=0,"",'Dvd Calendar'!$U$249*1000000000+ISNUMBER('Dvd Calendar'!$U$250)*100000000+0*10000000+(N('Dvd Calendar'!$U$248)&gt;0)*(N('Dvd Calendar'!$U$248)&lt;=VAL_SERIAL)*1000000+22*1000+57))</f>
        <v/>
      </c>
      <c r="GJ33" s="39">
        <f>IF(N('Dvd Calendar'!$V$249)=0,"",IF(('Dvd Calendar'!$V$249&gt;=GRID_FROM)*('Dvd Calendar'!$V$249&lt;=GRID_TO)*('Dvd Calendar'!$V$249&gt;VAL_DATE)=0,"",'Dvd Calendar'!$V$249*1000000000+ISNUMBER('Dvd Calendar'!$V$250)*100000000+0*10000000+(N('Dvd Calendar'!$V$248)&gt;0)*(N('Dvd Calendar'!$V$248)&lt;=VAL_SERIAL)*1000000+22*1000+58))</f>
        <v/>
      </c>
      <c r="GK33" s="39">
        <f>IF(N('Dvd Calendar'!$W$249)=0,"",IF(('Dvd Calendar'!$W$249&gt;=GRID_FROM)*('Dvd Calendar'!$W$249&lt;=GRID_TO)*('Dvd Calendar'!$W$249&gt;VAL_DATE)=0,"",'Dvd Calendar'!$W$249*1000000000+ISNUMBER('Dvd Calendar'!$W$250)*100000000+0*10000000+(N('Dvd Calendar'!$W$248)&gt;0)*(N('Dvd Calendar'!$W$248)&lt;=VAL_SERIAL)*1000000+22*1000+59))</f>
        <v/>
      </c>
      <c r="GL33" s="39">
        <f>IF(N('Dvd Calendar'!$X$249)=0,"",IF(('Dvd Calendar'!$X$249&gt;=GRID_FROM)*('Dvd Calendar'!$X$249&lt;=GRID_TO)*('Dvd Calendar'!$X$249&gt;VAL_DATE)=0,"",'Dvd Calendar'!$X$249*1000000000+ISNUMBER('Dvd Calendar'!$X$250)*100000000+0*10000000+(N('Dvd Calendar'!$X$248)&gt;0)*(N('Dvd Calendar'!$X$248)&lt;=VAL_SERIAL)*1000000+22*1000+60))</f>
        <v/>
      </c>
      <c r="GM33" s="39">
        <f>IF(N('Dvd Calendar'!$Y$249)=0,"",IF(('Dvd Calendar'!$Y$249&gt;=GRID_FROM)*('Dvd Calendar'!$Y$249&lt;=GRID_TO)*('Dvd Calendar'!$Y$249&gt;VAL_DATE)=0,"",'Dvd Calendar'!$Y$249*1000000000+ISNUMBER('Dvd Calendar'!$Y$250)*100000000+0*10000000+(N('Dvd Calendar'!$Y$248)&gt;0)*(N('Dvd Calendar'!$Y$248)&lt;=VAL_SERIAL)*1000000+22*1000+61))</f>
        <v/>
      </c>
      <c r="GN33" s="39">
        <f>IF(N('Dvd Calendar'!$Z$249)=0,"",IF(('Dvd Calendar'!$Z$249&gt;=GRID_FROM)*('Dvd Calendar'!$Z$249&lt;=GRID_TO)*('Dvd Calendar'!$Z$249&gt;VAL_DATE)=0,"",'Dvd Calendar'!$Z$249*1000000000+ISNUMBER('Dvd Calendar'!$Z$250)*100000000+0*10000000+(N('Dvd Calendar'!$Z$248)&gt;0)*(N('Dvd Calendar'!$Z$248)&lt;=VAL_SERIAL)*1000000+22*1000+62))</f>
        <v/>
      </c>
      <c r="GO33" s="39">
        <f>IF(N('Dvd Calendar'!$AA$249)=0,"",IF(('Dvd Calendar'!$AA$249&gt;=GRID_FROM)*('Dvd Calendar'!$AA$249&lt;=GRID_TO)*('Dvd Calendar'!$AA$249&gt;VAL_DATE)=0,"",'Dvd Calendar'!$AA$249*1000000000+ISNUMBER('Dvd Calendar'!$AA$250)*100000000+0*10000000+(N('Dvd Calendar'!$AA$248)&gt;0)*(N('Dvd Calendar'!$AA$248)&lt;=VAL_SERIAL)*1000000+22*1000+63))</f>
        <v/>
      </c>
      <c r="GP33" s="39">
        <f>IF(N('Dvd Calendar'!$AB$249)=0,"",IF(('Dvd Calendar'!$AB$249&gt;=GRID_FROM)*('Dvd Calendar'!$AB$249&lt;=GRID_TO)*('Dvd Calendar'!$AB$249&gt;VAL_DATE)=0,"",'Dvd Calendar'!$AB$249*1000000000+ISNUMBER('Dvd Calendar'!$AB$250)*100000000+0*10000000+(N('Dvd Calendar'!$AB$248)&gt;0)*(N('Dvd Calendar'!$AB$248)&lt;=VAL_SERIAL)*1000000+22*1000+64))</f>
        <v/>
      </c>
      <c r="GQ33" s="39">
        <f>IF(N('Dvd Calendar'!$AC$249)=0,"",IF(('Dvd Calendar'!$AC$249&gt;=GRID_FROM)*('Dvd Calendar'!$AC$249&lt;=GRID_TO)*('Dvd Calendar'!$AC$249&gt;VAL_DATE)=0,"",'Dvd Calendar'!$AC$249*1000000000+ISNUMBER('Dvd Calendar'!$AC$250)*100000000+0*10000000+(N('Dvd Calendar'!$AC$248)&gt;0)*(N('Dvd Calendar'!$AC$248)&lt;=VAL_SERIAL)*1000000+22*1000+65))</f>
        <v/>
      </c>
    </row>
    <row r="34">
      <c r="B34" s="2">
        <f>IF(HSI!$C$29="","",HSI!$C$29)</f>
        <v/>
      </c>
      <c r="C34" s="110">
        <f>IF(EE34="","",IF(ISNUMBER('Dvd Calendar'!$E$256)=FALSE,"",IF((('Dvd Calendar'!$E$258=TYPE1)*(TYPE1&lt;&gt;"")+('Dvd Calendar'!$E$258=TYPE2)*(TYPE2&lt;&gt;"")+('Dvd Calendar'!$E$258=TYPE3)*(TYPE3&lt;&gt;"")+('Dvd Calendar'!$E$258=TYPE4)*(TYPE4&lt;&gt;"")+('Dvd Calendar'!$E$258=SPECIAL_LBL)*(INC_SPECIALS="Y"))=0,"",'Dvd Calendar'!$E$256)))</f>
        <v/>
      </c>
      <c r="D34" s="110">
        <f>IF(EF34="","",IF(ISNUMBER('Dvd Calendar'!$F$256)=FALSE,"",IF((('Dvd Calendar'!$F$258=TYPE1)*(TYPE1&lt;&gt;"")+('Dvd Calendar'!$F$258=TYPE2)*(TYPE2&lt;&gt;"")+('Dvd Calendar'!$F$258=TYPE3)*(TYPE3&lt;&gt;"")+('Dvd Calendar'!$F$258=TYPE4)*(TYPE4&lt;&gt;"")+('Dvd Calendar'!$F$258=SPECIAL_LBL)*(INC_SPECIALS="Y"))=0,"",'Dvd Calendar'!$F$256)))</f>
        <v/>
      </c>
      <c r="E34" s="110">
        <f>IF(EG34="","",IF(ISNUMBER('Dvd Calendar'!$G$256)=FALSE,"",IF((('Dvd Calendar'!$G$258=TYPE1)*(TYPE1&lt;&gt;"")+('Dvd Calendar'!$G$258=TYPE2)*(TYPE2&lt;&gt;"")+('Dvd Calendar'!$G$258=TYPE3)*(TYPE3&lt;&gt;"")+('Dvd Calendar'!$G$258=TYPE4)*(TYPE4&lt;&gt;"")+('Dvd Calendar'!$G$258=SPECIAL_LBL)*(INC_SPECIALS="Y"))=0,"",'Dvd Calendar'!$G$256)))</f>
        <v/>
      </c>
      <c r="F34" s="110">
        <f>IF(EH34="","",IF(ISNUMBER('Dvd Calendar'!$H$256)=FALSE,"",IF((('Dvd Calendar'!$H$258=TYPE1)*(TYPE1&lt;&gt;"")+('Dvd Calendar'!$H$258=TYPE2)*(TYPE2&lt;&gt;"")+('Dvd Calendar'!$H$258=TYPE3)*(TYPE3&lt;&gt;"")+('Dvd Calendar'!$H$258=TYPE4)*(TYPE4&lt;&gt;"")+('Dvd Calendar'!$H$258=SPECIAL_LBL)*(INC_SPECIALS="Y"))=0,"",'Dvd Calendar'!$H$256)))</f>
        <v/>
      </c>
      <c r="G34" s="110">
        <f>IF(EI34="","",IF(ISNUMBER('Dvd Calendar'!$I$256)=FALSE,"",IF((('Dvd Calendar'!$I$258=TYPE1)*(TYPE1&lt;&gt;"")+('Dvd Calendar'!$I$258=TYPE2)*(TYPE2&lt;&gt;"")+('Dvd Calendar'!$I$258=TYPE3)*(TYPE3&lt;&gt;"")+('Dvd Calendar'!$I$258=TYPE4)*(TYPE4&lt;&gt;"")+('Dvd Calendar'!$I$258=SPECIAL_LBL)*(INC_SPECIALS="Y"))=0,"",'Dvd Calendar'!$I$256)))</f>
        <v/>
      </c>
      <c r="H34" s="110">
        <f>IF(EJ34="","",IF(ISNUMBER('Dvd Calendar'!$J$256)=FALSE,"",IF((('Dvd Calendar'!$J$258=TYPE1)*(TYPE1&lt;&gt;"")+('Dvd Calendar'!$J$258=TYPE2)*(TYPE2&lt;&gt;"")+('Dvd Calendar'!$J$258=TYPE3)*(TYPE3&lt;&gt;"")+('Dvd Calendar'!$J$258=TYPE4)*(TYPE4&lt;&gt;"")+('Dvd Calendar'!$J$258=SPECIAL_LBL)*(INC_SPECIALS="Y"))=0,"",'Dvd Calendar'!$J$256)))</f>
        <v/>
      </c>
      <c r="I34" s="110">
        <f>IF(EK34="","",IF(ISNUMBER('Dvd Calendar'!$K$256)=FALSE,"",IF((('Dvd Calendar'!$K$258=TYPE1)*(TYPE1&lt;&gt;"")+('Dvd Calendar'!$K$258=TYPE2)*(TYPE2&lt;&gt;"")+('Dvd Calendar'!$K$258=TYPE3)*(TYPE3&lt;&gt;"")+('Dvd Calendar'!$K$258=TYPE4)*(TYPE4&lt;&gt;"")+('Dvd Calendar'!$K$258=SPECIAL_LBL)*(INC_SPECIALS="Y"))=0,"",'Dvd Calendar'!$K$256)))</f>
        <v/>
      </c>
      <c r="J34" s="110">
        <f>IF(EL34="","",IF(ISNUMBER('Dvd Calendar'!$L$256)=FALSE,"",IF((('Dvd Calendar'!$L$258=TYPE1)*(TYPE1&lt;&gt;"")+('Dvd Calendar'!$L$258=TYPE2)*(TYPE2&lt;&gt;"")+('Dvd Calendar'!$L$258=TYPE3)*(TYPE3&lt;&gt;"")+('Dvd Calendar'!$L$258=TYPE4)*(TYPE4&lt;&gt;"")+('Dvd Calendar'!$L$258=SPECIAL_LBL)*(INC_SPECIALS="Y"))=0,"",'Dvd Calendar'!$L$256)))</f>
        <v/>
      </c>
      <c r="K34" s="110">
        <f>IF(EM34="","",IF(ISNUMBER('Dvd Calendar'!$M$256)=FALSE,"",IF((('Dvd Calendar'!$M$258=TYPE1)*(TYPE1&lt;&gt;"")+('Dvd Calendar'!$M$258=TYPE2)*(TYPE2&lt;&gt;"")+('Dvd Calendar'!$M$258=TYPE3)*(TYPE3&lt;&gt;"")+('Dvd Calendar'!$M$258=TYPE4)*(TYPE4&lt;&gt;"")+('Dvd Calendar'!$M$258=SPECIAL_LBL)*(INC_SPECIALS="Y"))=0,"",'Dvd Calendar'!$M$256)))</f>
        <v/>
      </c>
      <c r="L34" s="110">
        <f>IF(EN34="","",IF(ISNUMBER('Dvd Calendar'!$N$256)=FALSE,"",IF((('Dvd Calendar'!$N$258=TYPE1)*(TYPE1&lt;&gt;"")+('Dvd Calendar'!$N$258=TYPE2)*(TYPE2&lt;&gt;"")+('Dvd Calendar'!$N$258=TYPE3)*(TYPE3&lt;&gt;"")+('Dvd Calendar'!$N$258=TYPE4)*(TYPE4&lt;&gt;"")+('Dvd Calendar'!$N$258=SPECIAL_LBL)*(INC_SPECIALS="Y"))=0,"",'Dvd Calendar'!$N$256)))</f>
        <v/>
      </c>
      <c r="M34" s="110">
        <f>IF(EO34="","",IF(ISNUMBER('Dvd Calendar'!$O$256)=FALSE,"",IF((('Dvd Calendar'!$O$258=TYPE1)*(TYPE1&lt;&gt;"")+('Dvd Calendar'!$O$258=TYPE2)*(TYPE2&lt;&gt;"")+('Dvd Calendar'!$O$258=TYPE3)*(TYPE3&lt;&gt;"")+('Dvd Calendar'!$O$258=TYPE4)*(TYPE4&lt;&gt;"")+('Dvd Calendar'!$O$258=SPECIAL_LBL)*(INC_SPECIALS="Y"))=0,"",'Dvd Calendar'!$O$256)))</f>
        <v/>
      </c>
      <c r="N34" s="110">
        <f>IF(EP34="","",IF(ISNUMBER('Dvd Calendar'!$P$256)=FALSE,"",IF((('Dvd Calendar'!$P$258=TYPE1)*(TYPE1&lt;&gt;"")+('Dvd Calendar'!$P$258=TYPE2)*(TYPE2&lt;&gt;"")+('Dvd Calendar'!$P$258=TYPE3)*(TYPE3&lt;&gt;"")+('Dvd Calendar'!$P$258=TYPE4)*(TYPE4&lt;&gt;"")+('Dvd Calendar'!$P$258=SPECIAL_LBL)*(INC_SPECIALS="Y"))=0,"",'Dvd Calendar'!$P$256)))</f>
        <v/>
      </c>
      <c r="O34" s="110">
        <f>IF(EQ34="","",IF(ISNUMBER('Dvd Calendar'!$Q$256)=FALSE,"",IF((('Dvd Calendar'!$Q$258=TYPE1)*(TYPE1&lt;&gt;"")+('Dvd Calendar'!$Q$258=TYPE2)*(TYPE2&lt;&gt;"")+('Dvd Calendar'!$Q$258=TYPE3)*(TYPE3&lt;&gt;"")+('Dvd Calendar'!$Q$258=TYPE4)*(TYPE4&lt;&gt;"")+('Dvd Calendar'!$Q$258=SPECIAL_LBL)*(INC_SPECIALS="Y"))=0,"",'Dvd Calendar'!$Q$256)))</f>
        <v/>
      </c>
      <c r="P34" s="110">
        <f>IF(ER34="","",IF(ISNUMBER('Dvd Calendar'!$R$256)=FALSE,"",IF((('Dvd Calendar'!$R$258=TYPE1)*(TYPE1&lt;&gt;"")+('Dvd Calendar'!$R$258=TYPE2)*(TYPE2&lt;&gt;"")+('Dvd Calendar'!$R$258=TYPE3)*(TYPE3&lt;&gt;"")+('Dvd Calendar'!$R$258=TYPE4)*(TYPE4&lt;&gt;"")+('Dvd Calendar'!$R$258=SPECIAL_LBL)*(INC_SPECIALS="Y"))=0,"",'Dvd Calendar'!$R$256)))</f>
        <v/>
      </c>
      <c r="Q34" s="110">
        <f>IF(ES34="","",IF(ISNUMBER('Dvd Calendar'!$S$256)=FALSE,"",IF((('Dvd Calendar'!$S$258=TYPE1)*(TYPE1&lt;&gt;"")+('Dvd Calendar'!$S$258=TYPE2)*(TYPE2&lt;&gt;"")+('Dvd Calendar'!$S$258=TYPE3)*(TYPE3&lt;&gt;"")+('Dvd Calendar'!$S$258=TYPE4)*(TYPE4&lt;&gt;"")+('Dvd Calendar'!$S$258=SPECIAL_LBL)*(INC_SPECIALS="Y"))=0,"",'Dvd Calendar'!$S$256)))</f>
        <v/>
      </c>
      <c r="R34" s="110">
        <f>IF(ET34="","",IF(ISNUMBER('Dvd Calendar'!$T$256)=FALSE,"",IF((('Dvd Calendar'!$T$258=TYPE1)*(TYPE1&lt;&gt;"")+('Dvd Calendar'!$T$258=TYPE2)*(TYPE2&lt;&gt;"")+('Dvd Calendar'!$T$258=TYPE3)*(TYPE3&lt;&gt;"")+('Dvd Calendar'!$T$258=TYPE4)*(TYPE4&lt;&gt;"")+('Dvd Calendar'!$T$258=SPECIAL_LBL)*(INC_SPECIALS="Y"))=0,"",'Dvd Calendar'!$T$256)))</f>
        <v/>
      </c>
      <c r="S34" s="110">
        <f>IF(EU34="","",IF(ISNUMBER('Dvd Calendar'!$U$256)=FALSE,"",IF((('Dvd Calendar'!$U$258=TYPE1)*(TYPE1&lt;&gt;"")+('Dvd Calendar'!$U$258=TYPE2)*(TYPE2&lt;&gt;"")+('Dvd Calendar'!$U$258=TYPE3)*(TYPE3&lt;&gt;"")+('Dvd Calendar'!$U$258=TYPE4)*(TYPE4&lt;&gt;"")+('Dvd Calendar'!$U$258=SPECIAL_LBL)*(INC_SPECIALS="Y"))=0,"",'Dvd Calendar'!$U$256)))</f>
        <v/>
      </c>
      <c r="T34" s="110">
        <f>IF(EV34="","",IF(ISNUMBER('Dvd Calendar'!$V$256)=FALSE,"",IF((('Dvd Calendar'!$V$258=TYPE1)*(TYPE1&lt;&gt;"")+('Dvd Calendar'!$V$258=TYPE2)*(TYPE2&lt;&gt;"")+('Dvd Calendar'!$V$258=TYPE3)*(TYPE3&lt;&gt;"")+('Dvd Calendar'!$V$258=TYPE4)*(TYPE4&lt;&gt;"")+('Dvd Calendar'!$V$258=SPECIAL_LBL)*(INC_SPECIALS="Y"))=0,"",'Dvd Calendar'!$V$256)))</f>
        <v/>
      </c>
      <c r="U34" s="110">
        <f>IF(EW34="","",IF(ISNUMBER('Dvd Calendar'!$W$256)=FALSE,"",IF((('Dvd Calendar'!$W$258=TYPE1)*(TYPE1&lt;&gt;"")+('Dvd Calendar'!$W$258=TYPE2)*(TYPE2&lt;&gt;"")+('Dvd Calendar'!$W$258=TYPE3)*(TYPE3&lt;&gt;"")+('Dvd Calendar'!$W$258=TYPE4)*(TYPE4&lt;&gt;"")+('Dvd Calendar'!$W$258=SPECIAL_LBL)*(INC_SPECIALS="Y"))=0,"",'Dvd Calendar'!$W$256)))</f>
        <v/>
      </c>
      <c r="V34" s="110">
        <f>IF(EX34="","",IF(ISNUMBER('Dvd Calendar'!$X$256)=FALSE,"",IF((('Dvd Calendar'!$X$258=TYPE1)*(TYPE1&lt;&gt;"")+('Dvd Calendar'!$X$258=TYPE2)*(TYPE2&lt;&gt;"")+('Dvd Calendar'!$X$258=TYPE3)*(TYPE3&lt;&gt;"")+('Dvd Calendar'!$X$258=TYPE4)*(TYPE4&lt;&gt;"")+('Dvd Calendar'!$X$258=SPECIAL_LBL)*(INC_SPECIALS="Y"))=0,"",'Dvd Calendar'!$X$256)))</f>
        <v/>
      </c>
      <c r="W34" s="110">
        <f>IF(EY34="","",IF(ISNUMBER('Dvd Calendar'!$Y$256)=FALSE,"",IF((('Dvd Calendar'!$Y$258=TYPE1)*(TYPE1&lt;&gt;"")+('Dvd Calendar'!$Y$258=TYPE2)*(TYPE2&lt;&gt;"")+('Dvd Calendar'!$Y$258=TYPE3)*(TYPE3&lt;&gt;"")+('Dvd Calendar'!$Y$258=TYPE4)*(TYPE4&lt;&gt;"")+('Dvd Calendar'!$Y$258=SPECIAL_LBL)*(INC_SPECIALS="Y"))=0,"",'Dvd Calendar'!$Y$256)))</f>
        <v/>
      </c>
      <c r="X34" s="110">
        <f>IF(EZ34="","",IF(ISNUMBER('Dvd Calendar'!$Z$256)=FALSE,"",IF((('Dvd Calendar'!$Z$258=TYPE1)*(TYPE1&lt;&gt;"")+('Dvd Calendar'!$Z$258=TYPE2)*(TYPE2&lt;&gt;"")+('Dvd Calendar'!$Z$258=TYPE3)*(TYPE3&lt;&gt;"")+('Dvd Calendar'!$Z$258=TYPE4)*(TYPE4&lt;&gt;"")+('Dvd Calendar'!$Z$258=SPECIAL_LBL)*(INC_SPECIALS="Y"))=0,"",'Dvd Calendar'!$Z$256)))</f>
        <v/>
      </c>
      <c r="Y34" s="110">
        <f>IF(FA34="","",IF(ISNUMBER('Dvd Calendar'!$AA$256)=FALSE,"",IF((('Dvd Calendar'!$AA$258=TYPE1)*(TYPE1&lt;&gt;"")+('Dvd Calendar'!$AA$258=TYPE2)*(TYPE2&lt;&gt;"")+('Dvd Calendar'!$AA$258=TYPE3)*(TYPE3&lt;&gt;"")+('Dvd Calendar'!$AA$258=TYPE4)*(TYPE4&lt;&gt;"")+('Dvd Calendar'!$AA$258=SPECIAL_LBL)*(INC_SPECIALS="Y"))=0,"",'Dvd Calendar'!$AA$256)))</f>
        <v/>
      </c>
      <c r="Z34" s="110">
        <f>IF(FB34="","",IF(ISNUMBER('Dvd Calendar'!$AB$256)=FALSE,"",IF((('Dvd Calendar'!$AB$258=TYPE1)*(TYPE1&lt;&gt;"")+('Dvd Calendar'!$AB$258=TYPE2)*(TYPE2&lt;&gt;"")+('Dvd Calendar'!$AB$258=TYPE3)*(TYPE3&lt;&gt;"")+('Dvd Calendar'!$AB$258=TYPE4)*(TYPE4&lt;&gt;"")+('Dvd Calendar'!$AB$258=SPECIAL_LBL)*(INC_SPECIALS="Y"))=0,"",'Dvd Calendar'!$AB$256)))</f>
        <v/>
      </c>
      <c r="AA34" s="110">
        <f>IF(FC34="","",IF(ISNUMBER('Dvd Calendar'!$AC$256)=FALSE,"",IF((('Dvd Calendar'!$AC$258=TYPE1)*(TYPE1&lt;&gt;"")+('Dvd Calendar'!$AC$258=TYPE2)*(TYPE2&lt;&gt;"")+('Dvd Calendar'!$AC$258=TYPE3)*(TYPE3&lt;&gt;"")+('Dvd Calendar'!$AC$258=TYPE4)*(TYPE4&lt;&gt;"")+('Dvd Calendar'!$AC$258=SPECIAL_LBL)*(INC_SPECIALS="Y"))=0,"",'Dvd Calendar'!$AC$256)))</f>
        <v/>
      </c>
      <c r="AB34" s="110">
        <f>IF(FD34="","",IF(ISNUMBER('Dvd Calendar'!$AD$256)=FALSE,"",IF((('Dvd Calendar'!$AD$258=TYPE1)*(TYPE1&lt;&gt;"")+('Dvd Calendar'!$AD$258=TYPE2)*(TYPE2&lt;&gt;"")+('Dvd Calendar'!$AD$258=TYPE3)*(TYPE3&lt;&gt;"")+('Dvd Calendar'!$AD$258=TYPE4)*(TYPE4&lt;&gt;"")+('Dvd Calendar'!$AD$258=SPECIAL_LBL)*(INC_SPECIALS="Y"))=0,"",'Dvd Calendar'!$AD$256)))</f>
        <v/>
      </c>
      <c r="AC34" s="110">
        <f>IF(FE34="","",IF(ISNUMBER('Dvd Calendar'!$AE$256)=FALSE,"",IF((('Dvd Calendar'!$AE$258=TYPE1)*(TYPE1&lt;&gt;"")+('Dvd Calendar'!$AE$258=TYPE2)*(TYPE2&lt;&gt;"")+('Dvd Calendar'!$AE$258=TYPE3)*(TYPE3&lt;&gt;"")+('Dvd Calendar'!$AE$258=TYPE4)*(TYPE4&lt;&gt;"")+('Dvd Calendar'!$AE$258=SPECIAL_LBL)*(INC_SPECIALS="Y"))=0,"",'Dvd Calendar'!$AE$256)))</f>
        <v/>
      </c>
      <c r="AD34" s="110">
        <f>IF(FF34="","",IF(ISNUMBER('Dvd Calendar'!$AF$256)=FALSE,"",IF((('Dvd Calendar'!$AF$258=TYPE1)*(TYPE1&lt;&gt;"")+('Dvd Calendar'!$AF$258=TYPE2)*(TYPE2&lt;&gt;"")+('Dvd Calendar'!$AF$258=TYPE3)*(TYPE3&lt;&gt;"")+('Dvd Calendar'!$AF$258=TYPE4)*(TYPE4&lt;&gt;"")+('Dvd Calendar'!$AF$258=SPECIAL_LBL)*(INC_SPECIALS="Y"))=0,"",'Dvd Calendar'!$AF$256)))</f>
        <v/>
      </c>
      <c r="AE34" s="110">
        <f>IF(FG34="","",IF(ISNUMBER('Dvd Calendar'!$AG$256)=FALSE,"",IF((('Dvd Calendar'!$AG$258=TYPE1)*(TYPE1&lt;&gt;"")+('Dvd Calendar'!$AG$258=TYPE2)*(TYPE2&lt;&gt;"")+('Dvd Calendar'!$AG$258=TYPE3)*(TYPE3&lt;&gt;"")+('Dvd Calendar'!$AG$258=TYPE4)*(TYPE4&lt;&gt;"")+('Dvd Calendar'!$AG$258=SPECIAL_LBL)*(INC_SPECIALS="Y"))=0,"",'Dvd Calendar'!$AG$256)))</f>
        <v/>
      </c>
      <c r="AF34" s="110">
        <f>IF(FH34="","",IF(ISNUMBER('Dvd Calendar'!$AH$256)=FALSE,"",IF((('Dvd Calendar'!$AH$258=TYPE1)*(TYPE1&lt;&gt;"")+('Dvd Calendar'!$AH$258=TYPE2)*(TYPE2&lt;&gt;"")+('Dvd Calendar'!$AH$258=TYPE3)*(TYPE3&lt;&gt;"")+('Dvd Calendar'!$AH$258=TYPE4)*(TYPE4&lt;&gt;"")+('Dvd Calendar'!$AH$258=SPECIAL_LBL)*(INC_SPECIALS="Y"))=0,"",'Dvd Calendar'!$AH$256)))</f>
        <v/>
      </c>
      <c r="AG34" s="110">
        <f>IF(FI34="","",IF(ISNUMBER('Dvd Calendar'!$AI$256)=FALSE,"",IF((('Dvd Calendar'!$AI$258=TYPE1)*(TYPE1&lt;&gt;"")+('Dvd Calendar'!$AI$258=TYPE2)*(TYPE2&lt;&gt;"")+('Dvd Calendar'!$AI$258=TYPE3)*(TYPE3&lt;&gt;"")+('Dvd Calendar'!$AI$258=TYPE4)*(TYPE4&lt;&gt;"")+('Dvd Calendar'!$AI$258=SPECIAL_LBL)*(INC_SPECIALS="Y"))=0,"",'Dvd Calendar'!$AI$256)))</f>
        <v/>
      </c>
      <c r="AH34" s="110">
        <f>IF(FJ34="","",IF(ISNUMBER('Dvd Calendar'!$AJ$256)=FALSE,"",IF((('Dvd Calendar'!$AJ$258=TYPE1)*(TYPE1&lt;&gt;"")+('Dvd Calendar'!$AJ$258=TYPE2)*(TYPE2&lt;&gt;"")+('Dvd Calendar'!$AJ$258=TYPE3)*(TYPE3&lt;&gt;"")+('Dvd Calendar'!$AJ$258=TYPE4)*(TYPE4&lt;&gt;"")+('Dvd Calendar'!$AJ$258=SPECIAL_LBL)*(INC_SPECIALS="Y"))=0,"",'Dvd Calendar'!$AJ$256)))</f>
        <v/>
      </c>
      <c r="AI34" s="110">
        <f>IF(FK34="","",IF(ISNUMBER('Dvd Calendar'!$AK$256)=FALSE,"",IF((('Dvd Calendar'!$AK$258=TYPE1)*(TYPE1&lt;&gt;"")+('Dvd Calendar'!$AK$258=TYPE2)*(TYPE2&lt;&gt;"")+('Dvd Calendar'!$AK$258=TYPE3)*(TYPE3&lt;&gt;"")+('Dvd Calendar'!$AK$258=TYPE4)*(TYPE4&lt;&gt;"")+('Dvd Calendar'!$AK$258=SPECIAL_LBL)*(INC_SPECIALS="Y"))=0,"",'Dvd Calendar'!$AK$256)))</f>
        <v/>
      </c>
      <c r="AJ34" s="110">
        <f>IF(FL34="","",IF(ISNUMBER('Dvd Calendar'!$AL$256)=FALSE,"",IF((('Dvd Calendar'!$AL$258=TYPE1)*(TYPE1&lt;&gt;"")+('Dvd Calendar'!$AL$258=TYPE2)*(TYPE2&lt;&gt;"")+('Dvd Calendar'!$AL$258=TYPE3)*(TYPE3&lt;&gt;"")+('Dvd Calendar'!$AL$258=TYPE4)*(TYPE4&lt;&gt;"")+('Dvd Calendar'!$AL$258=SPECIAL_LBL)*(INC_SPECIALS="Y"))=0,"",'Dvd Calendar'!$AL$256)))</f>
        <v/>
      </c>
      <c r="AK34" s="110">
        <f>IF(FM34="","",IF(ISNUMBER('Dvd Calendar'!$AM$256)=FALSE,"",IF((('Dvd Calendar'!$AM$258=TYPE1)*(TYPE1&lt;&gt;"")+('Dvd Calendar'!$AM$258=TYPE2)*(TYPE2&lt;&gt;"")+('Dvd Calendar'!$AM$258=TYPE3)*(TYPE3&lt;&gt;"")+('Dvd Calendar'!$AM$258=TYPE4)*(TYPE4&lt;&gt;"")+('Dvd Calendar'!$AM$258=SPECIAL_LBL)*(INC_SPECIALS="Y"))=0,"",'Dvd Calendar'!$AM$256)))</f>
        <v/>
      </c>
      <c r="AL34" s="110">
        <f>IF(FN34="","",IF(ISNUMBER('Dvd Calendar'!$AN$256)=FALSE,"",IF((('Dvd Calendar'!$AN$258=TYPE1)*(TYPE1&lt;&gt;"")+('Dvd Calendar'!$AN$258=TYPE2)*(TYPE2&lt;&gt;"")+('Dvd Calendar'!$AN$258=TYPE3)*(TYPE3&lt;&gt;"")+('Dvd Calendar'!$AN$258=TYPE4)*(TYPE4&lt;&gt;"")+('Dvd Calendar'!$AN$258=SPECIAL_LBL)*(INC_SPECIALS="Y"))=0,"",'Dvd Calendar'!$AN$256)))</f>
        <v/>
      </c>
      <c r="AM34" s="110">
        <f>IF(FO34="","",IF(ISNUMBER('Dvd Calendar'!$AO$256)=FALSE,"",IF((('Dvd Calendar'!$AO$258=TYPE1)*(TYPE1&lt;&gt;"")+('Dvd Calendar'!$AO$258=TYPE2)*(TYPE2&lt;&gt;"")+('Dvd Calendar'!$AO$258=TYPE3)*(TYPE3&lt;&gt;"")+('Dvd Calendar'!$AO$258=TYPE4)*(TYPE4&lt;&gt;"")+('Dvd Calendar'!$AO$258=SPECIAL_LBL)*(INC_SPECIALS="Y"))=0,"",'Dvd Calendar'!$AO$256)))</f>
        <v/>
      </c>
      <c r="AN34" s="110">
        <f>IF(FP34="","",IF(ISNUMBER('Dvd Calendar'!$AP$256)=FALSE,"",IF((('Dvd Calendar'!$AP$258=TYPE1)*(TYPE1&lt;&gt;"")+('Dvd Calendar'!$AP$258=TYPE2)*(TYPE2&lt;&gt;"")+('Dvd Calendar'!$AP$258=TYPE3)*(TYPE3&lt;&gt;"")+('Dvd Calendar'!$AP$258=TYPE4)*(TYPE4&lt;&gt;"")+('Dvd Calendar'!$AP$258=SPECIAL_LBL)*(INC_SPECIALS="Y"))=0,"",'Dvd Calendar'!$AP$256)))</f>
        <v/>
      </c>
      <c r="AO34" s="110">
        <f>IF(FQ34="","",IF(ISNUMBER('Dvd Calendar'!$AQ$256)=FALSE,"",IF((('Dvd Calendar'!$AQ$258=TYPE1)*(TYPE1&lt;&gt;"")+('Dvd Calendar'!$AQ$258=TYPE2)*(TYPE2&lt;&gt;"")+('Dvd Calendar'!$AQ$258=TYPE3)*(TYPE3&lt;&gt;"")+('Dvd Calendar'!$AQ$258=TYPE4)*(TYPE4&lt;&gt;"")+('Dvd Calendar'!$AQ$258=SPECIAL_LBL)*(INC_SPECIALS="Y"))=0,"",'Dvd Calendar'!$AQ$256)))</f>
        <v/>
      </c>
      <c r="AP34" s="110">
        <f>IF(FR34="","",IF(ISNUMBER('Dvd Calendar'!$AR$256)=FALSE,"",IF((('Dvd Calendar'!$AR$258=TYPE1)*(TYPE1&lt;&gt;"")+('Dvd Calendar'!$AR$258=TYPE2)*(TYPE2&lt;&gt;"")+('Dvd Calendar'!$AR$258=TYPE3)*(TYPE3&lt;&gt;"")+('Dvd Calendar'!$AR$258=TYPE4)*(TYPE4&lt;&gt;"")+('Dvd Calendar'!$AR$258=SPECIAL_LBL)*(INC_SPECIALS="Y"))=0,"",'Dvd Calendar'!$AR$256)))</f>
        <v/>
      </c>
      <c r="AQ34" s="110">
        <f>IF(FS34="","",IF(ISNUMBER('Dvd Calendar'!$E$261)=FALSE,"",'Dvd Calendar'!$E$261))</f>
        <v/>
      </c>
      <c r="AR34" s="110">
        <f>IF(FT34="","",IF(ISNUMBER('Dvd Calendar'!$F$261)=FALSE,"",'Dvd Calendar'!$F$261))</f>
        <v/>
      </c>
      <c r="AS34" s="110">
        <f>IF(FU34="","",IF(ISNUMBER('Dvd Calendar'!$G$261)=FALSE,"",'Dvd Calendar'!$G$261))</f>
        <v/>
      </c>
      <c r="AT34" s="110">
        <f>IF(FV34="","",IF(ISNUMBER('Dvd Calendar'!$H$261)=FALSE,"",'Dvd Calendar'!$H$261))</f>
        <v/>
      </c>
      <c r="AU34" s="110">
        <f>IF(FW34="","",IF(ISNUMBER('Dvd Calendar'!$I$261)=FALSE,"",'Dvd Calendar'!$I$261))</f>
        <v/>
      </c>
      <c r="AV34" s="110">
        <f>IF(FX34="","",IF(ISNUMBER('Dvd Calendar'!$J$261)=FALSE,"",'Dvd Calendar'!$J$261))</f>
        <v/>
      </c>
      <c r="AW34" s="110">
        <f>IF(FY34="","",IF(ISNUMBER('Dvd Calendar'!$K$261)=FALSE,"",'Dvd Calendar'!$K$261))</f>
        <v/>
      </c>
      <c r="AX34" s="110">
        <f>IF(FZ34="","",IF(ISNUMBER('Dvd Calendar'!$L$261)=FALSE,"",'Dvd Calendar'!$L$261))</f>
        <v/>
      </c>
      <c r="AY34" s="110">
        <f>IF(GA34="","",IF(ISNUMBER('Dvd Calendar'!$M$261)=FALSE,"",'Dvd Calendar'!$M$261))</f>
        <v/>
      </c>
      <c r="AZ34" s="110">
        <f>IF(GB34="","",IF(ISNUMBER('Dvd Calendar'!$N$261)=FALSE,"",'Dvd Calendar'!$N$261))</f>
        <v/>
      </c>
      <c r="BA34" s="110">
        <f>IF(GC34="","",IF(ISNUMBER('Dvd Calendar'!$O$261)=FALSE,"",'Dvd Calendar'!$O$261))</f>
        <v/>
      </c>
      <c r="BB34" s="110">
        <f>IF(GD34="","",IF(ISNUMBER('Dvd Calendar'!$P$261)=FALSE,"",'Dvd Calendar'!$P$261))</f>
        <v/>
      </c>
      <c r="BC34" s="110">
        <f>IF(GE34="","",IF(ISNUMBER('Dvd Calendar'!$Q$261)=FALSE,"",'Dvd Calendar'!$Q$261))</f>
        <v/>
      </c>
      <c r="BD34" s="110">
        <f>IF(GF34="","",IF(ISNUMBER('Dvd Calendar'!$R$261)=FALSE,"",'Dvd Calendar'!$R$261))</f>
        <v/>
      </c>
      <c r="BE34" s="110">
        <f>IF(GG34="","",IF(ISNUMBER('Dvd Calendar'!$S$261)=FALSE,"",'Dvd Calendar'!$S$261))</f>
        <v/>
      </c>
      <c r="BF34" s="110">
        <f>IF(GH34="","",IF(ISNUMBER('Dvd Calendar'!$T$261)=FALSE,"",'Dvd Calendar'!$T$261))</f>
        <v/>
      </c>
      <c r="BG34" s="110">
        <f>IF(GI34="","",IF(ISNUMBER('Dvd Calendar'!$U$261)=FALSE,"",'Dvd Calendar'!$U$261))</f>
        <v/>
      </c>
      <c r="BH34" s="110">
        <f>IF(GJ34="","",IF(ISNUMBER('Dvd Calendar'!$V$261)=FALSE,"",'Dvd Calendar'!$V$261))</f>
        <v/>
      </c>
      <c r="BI34" s="110">
        <f>IF(GK34="","",IF(ISNUMBER('Dvd Calendar'!$W$261)=FALSE,"",'Dvd Calendar'!$W$261))</f>
        <v/>
      </c>
      <c r="BJ34" s="110">
        <f>IF(GL34="","",IF(ISNUMBER('Dvd Calendar'!$X$261)=FALSE,"",'Dvd Calendar'!$X$261))</f>
        <v/>
      </c>
      <c r="BK34" s="110">
        <f>IF(GM34="","",IF(ISNUMBER('Dvd Calendar'!$Y$261)=FALSE,"",'Dvd Calendar'!$Y$261))</f>
        <v/>
      </c>
      <c r="BL34" s="110">
        <f>IF(GN34="","",IF(ISNUMBER('Dvd Calendar'!$Z$261)=FALSE,"",'Dvd Calendar'!$Z$261))</f>
        <v/>
      </c>
      <c r="BM34" s="110">
        <f>IF(GO34="","",IF(ISNUMBER('Dvd Calendar'!$AA$261)=FALSE,"",'Dvd Calendar'!$AA$261))</f>
        <v/>
      </c>
      <c r="BN34" s="110">
        <f>IF(GP34="","",IF(ISNUMBER('Dvd Calendar'!$AB$261)=FALSE,"",'Dvd Calendar'!$AB$261))</f>
        <v/>
      </c>
      <c r="BO34" s="110">
        <f>IF(GQ34="","",IF(ISNUMBER('Dvd Calendar'!$AC$261)=FALSE,"",'Dvd Calendar'!$AC$261))</f>
        <v/>
      </c>
      <c r="BQ34" s="110">
        <f>IF(C34="","",IFERROR(C34*HSI!$B$29*HSI!$G$29/HSI!$B$3,""))</f>
        <v/>
      </c>
      <c r="BR34" s="110">
        <f>IF(D34="","",IFERROR(D34*HSI!$B$29*HSI!$G$29/HSI!$B$3,""))</f>
        <v/>
      </c>
      <c r="BS34" s="110">
        <f>IF(E34="","",IFERROR(E34*HSI!$B$29*HSI!$G$29/HSI!$B$3,""))</f>
        <v/>
      </c>
      <c r="BT34" s="110">
        <f>IF(F34="","",IFERROR(F34*HSI!$B$29*HSI!$G$29/HSI!$B$3,""))</f>
        <v/>
      </c>
      <c r="BU34" s="110">
        <f>IF(G34="","",IFERROR(G34*HSI!$B$29*HSI!$G$29/HSI!$B$3,""))</f>
        <v/>
      </c>
      <c r="BV34" s="110">
        <f>IF(H34="","",IFERROR(H34*HSI!$B$29*HSI!$G$29/HSI!$B$3,""))</f>
        <v/>
      </c>
      <c r="BW34" s="110">
        <f>IF(I34="","",IFERROR(I34*HSI!$B$29*HSI!$G$29/HSI!$B$3,""))</f>
        <v/>
      </c>
      <c r="BX34" s="110">
        <f>IF(J34="","",IFERROR(J34*HSI!$B$29*HSI!$G$29/HSI!$B$3,""))</f>
        <v/>
      </c>
      <c r="BY34" s="110">
        <f>IF(K34="","",IFERROR(K34*HSI!$B$29*HSI!$G$29/HSI!$B$3,""))</f>
        <v/>
      </c>
      <c r="BZ34" s="110">
        <f>IF(L34="","",IFERROR(L34*HSI!$B$29*HSI!$G$29/HSI!$B$3,""))</f>
        <v/>
      </c>
      <c r="CA34" s="110">
        <f>IF(M34="","",IFERROR(M34*HSI!$B$29*HSI!$G$29/HSI!$B$3,""))</f>
        <v/>
      </c>
      <c r="CB34" s="110">
        <f>IF(N34="","",IFERROR(N34*HSI!$B$29*HSI!$G$29/HSI!$B$3,""))</f>
        <v/>
      </c>
      <c r="CC34" s="110">
        <f>IF(O34="","",IFERROR(O34*HSI!$B$29*HSI!$G$29/HSI!$B$3,""))</f>
        <v/>
      </c>
      <c r="CD34" s="110">
        <f>IF(P34="","",IFERROR(P34*HSI!$B$29*HSI!$G$29/HSI!$B$3,""))</f>
        <v/>
      </c>
      <c r="CE34" s="110">
        <f>IF(Q34="","",IFERROR(Q34*HSI!$B$29*HSI!$G$29/HSI!$B$3,""))</f>
        <v/>
      </c>
      <c r="CF34" s="110">
        <f>IF(R34="","",IFERROR(R34*HSI!$B$29*HSI!$G$29/HSI!$B$3,""))</f>
        <v/>
      </c>
      <c r="CG34" s="110">
        <f>IF(S34="","",IFERROR(S34*HSI!$B$29*HSI!$G$29/HSI!$B$3,""))</f>
        <v/>
      </c>
      <c r="CH34" s="110">
        <f>IF(T34="","",IFERROR(T34*HSI!$B$29*HSI!$G$29/HSI!$B$3,""))</f>
        <v/>
      </c>
      <c r="CI34" s="110">
        <f>IF(U34="","",IFERROR(U34*HSI!$B$29*HSI!$G$29/HSI!$B$3,""))</f>
        <v/>
      </c>
      <c r="CJ34" s="110">
        <f>IF(V34="","",IFERROR(V34*HSI!$B$29*HSI!$G$29/HSI!$B$3,""))</f>
        <v/>
      </c>
      <c r="CK34" s="110">
        <f>IF(W34="","",IFERROR(W34*HSI!$B$29*HSI!$G$29/HSI!$B$3,""))</f>
        <v/>
      </c>
      <c r="CL34" s="110">
        <f>IF(X34="","",IFERROR(X34*HSI!$B$29*HSI!$G$29/HSI!$B$3,""))</f>
        <v/>
      </c>
      <c r="CM34" s="110">
        <f>IF(Y34="","",IFERROR(Y34*HSI!$B$29*HSI!$G$29/HSI!$B$3,""))</f>
        <v/>
      </c>
      <c r="CN34" s="110">
        <f>IF(Z34="","",IFERROR(Z34*HSI!$B$29*HSI!$G$29/HSI!$B$3,""))</f>
        <v/>
      </c>
      <c r="CO34" s="110">
        <f>IF(AA34="","",IFERROR(AA34*HSI!$B$29*HSI!$G$29/HSI!$B$3,""))</f>
        <v/>
      </c>
      <c r="CP34" s="110">
        <f>IF(AB34="","",IFERROR(AB34*HSI!$B$29*HSI!$G$29/HSI!$B$3,""))</f>
        <v/>
      </c>
      <c r="CQ34" s="110">
        <f>IF(AC34="","",IFERROR(AC34*HSI!$B$29*HSI!$G$29/HSI!$B$3,""))</f>
        <v/>
      </c>
      <c r="CR34" s="110">
        <f>IF(AD34="","",IFERROR(AD34*HSI!$B$29*HSI!$G$29/HSI!$B$3,""))</f>
        <v/>
      </c>
      <c r="CS34" s="110">
        <f>IF(AE34="","",IFERROR(AE34*HSI!$B$29*HSI!$G$29/HSI!$B$3,""))</f>
        <v/>
      </c>
      <c r="CT34" s="110">
        <f>IF(AF34="","",IFERROR(AF34*HSI!$B$29*HSI!$G$29/HSI!$B$3,""))</f>
        <v/>
      </c>
      <c r="CU34" s="110">
        <f>IF(AG34="","",IFERROR(AG34*HSI!$B$29*HSI!$G$29/HSI!$B$3,""))</f>
        <v/>
      </c>
      <c r="CV34" s="110">
        <f>IF(AH34="","",IFERROR(AH34*HSI!$B$29*HSI!$G$29/HSI!$B$3,""))</f>
        <v/>
      </c>
      <c r="CW34" s="110">
        <f>IF(AI34="","",IFERROR(AI34*HSI!$B$29*HSI!$G$29/HSI!$B$3,""))</f>
        <v/>
      </c>
      <c r="CX34" s="110">
        <f>IF(AJ34="","",IFERROR(AJ34*HSI!$B$29*HSI!$G$29/HSI!$B$3,""))</f>
        <v/>
      </c>
      <c r="CY34" s="110">
        <f>IF(AK34="","",IFERROR(AK34*HSI!$B$29*HSI!$G$29/HSI!$B$3,""))</f>
        <v/>
      </c>
      <c r="CZ34" s="110">
        <f>IF(AL34="","",IFERROR(AL34*HSI!$B$29*HSI!$G$29/HSI!$B$3,""))</f>
        <v/>
      </c>
      <c r="DA34" s="110">
        <f>IF(AM34="","",IFERROR(AM34*HSI!$B$29*HSI!$G$29/HSI!$B$3,""))</f>
        <v/>
      </c>
      <c r="DB34" s="110">
        <f>IF(AN34="","",IFERROR(AN34*HSI!$B$29*HSI!$G$29/HSI!$B$3,""))</f>
        <v/>
      </c>
      <c r="DC34" s="110">
        <f>IF(AO34="","",IFERROR(AO34*HSI!$B$29*HSI!$G$29/HSI!$B$3,""))</f>
        <v/>
      </c>
      <c r="DD34" s="110">
        <f>IF(AP34="","",IFERROR(AP34*HSI!$B$29*HSI!$G$29/HSI!$B$3,""))</f>
        <v/>
      </c>
      <c r="DE34" s="110">
        <f>IF(AQ34="","",IFERROR(AQ34*HSI!$B$29*HSI!$G$29/HSI!$B$3,""))</f>
        <v/>
      </c>
      <c r="DF34" s="110">
        <f>IF(AR34="","",IFERROR(AR34*HSI!$B$29*HSI!$G$29/HSI!$B$3,""))</f>
        <v/>
      </c>
      <c r="DG34" s="110">
        <f>IF(AS34="","",IFERROR(AS34*HSI!$B$29*HSI!$G$29/HSI!$B$3,""))</f>
        <v/>
      </c>
      <c r="DH34" s="110">
        <f>IF(AT34="","",IFERROR(AT34*HSI!$B$29*HSI!$G$29/HSI!$B$3,""))</f>
        <v/>
      </c>
      <c r="DI34" s="110">
        <f>IF(AU34="","",IFERROR(AU34*HSI!$B$29*HSI!$G$29/HSI!$B$3,""))</f>
        <v/>
      </c>
      <c r="DJ34" s="110">
        <f>IF(AV34="","",IFERROR(AV34*HSI!$B$29*HSI!$G$29/HSI!$B$3,""))</f>
        <v/>
      </c>
      <c r="DK34" s="110">
        <f>IF(AW34="","",IFERROR(AW34*HSI!$B$29*HSI!$G$29/HSI!$B$3,""))</f>
        <v/>
      </c>
      <c r="DL34" s="110">
        <f>IF(AX34="","",IFERROR(AX34*HSI!$B$29*HSI!$G$29/HSI!$B$3,""))</f>
        <v/>
      </c>
      <c r="DM34" s="110">
        <f>IF(AY34="","",IFERROR(AY34*HSI!$B$29*HSI!$G$29/HSI!$B$3,""))</f>
        <v/>
      </c>
      <c r="DN34" s="110">
        <f>IF(AZ34="","",IFERROR(AZ34*HSI!$B$29*HSI!$G$29/HSI!$B$3,""))</f>
        <v/>
      </c>
      <c r="DO34" s="110">
        <f>IF(BA34="","",IFERROR(BA34*HSI!$B$29*HSI!$G$29/HSI!$B$3,""))</f>
        <v/>
      </c>
      <c r="DP34" s="110">
        <f>IF(BB34="","",IFERROR(BB34*HSI!$B$29*HSI!$G$29/HSI!$B$3,""))</f>
        <v/>
      </c>
      <c r="DQ34" s="110">
        <f>IF(BC34="","",IFERROR(BC34*HSI!$B$29*HSI!$G$29/HSI!$B$3,""))</f>
        <v/>
      </c>
      <c r="DR34" s="110">
        <f>IF(BD34="","",IFERROR(BD34*HSI!$B$29*HSI!$G$29/HSI!$B$3,""))</f>
        <v/>
      </c>
      <c r="DS34" s="110">
        <f>IF(BE34="","",IFERROR(BE34*HSI!$B$29*HSI!$G$29/HSI!$B$3,""))</f>
        <v/>
      </c>
      <c r="DT34" s="110">
        <f>IF(BF34="","",IFERROR(BF34*HSI!$B$29*HSI!$G$29/HSI!$B$3,""))</f>
        <v/>
      </c>
      <c r="DU34" s="110">
        <f>IF(BG34="","",IFERROR(BG34*HSI!$B$29*HSI!$G$29/HSI!$B$3,""))</f>
        <v/>
      </c>
      <c r="DV34" s="110">
        <f>IF(BH34="","",IFERROR(BH34*HSI!$B$29*HSI!$G$29/HSI!$B$3,""))</f>
        <v/>
      </c>
      <c r="DW34" s="110">
        <f>IF(BI34="","",IFERROR(BI34*HSI!$B$29*HSI!$G$29/HSI!$B$3,""))</f>
        <v/>
      </c>
      <c r="DX34" s="110">
        <f>IF(BJ34="","",IFERROR(BJ34*HSI!$B$29*HSI!$G$29/HSI!$B$3,""))</f>
        <v/>
      </c>
      <c r="DY34" s="110">
        <f>IF(BK34="","",IFERROR(BK34*HSI!$B$29*HSI!$G$29/HSI!$B$3,""))</f>
        <v/>
      </c>
      <c r="DZ34" s="110">
        <f>IF(BL34="","",IFERROR(BL34*HSI!$B$29*HSI!$G$29/HSI!$B$3,""))</f>
        <v/>
      </c>
      <c r="EA34" s="110">
        <f>IF(BM34="","",IFERROR(BM34*HSI!$B$29*HSI!$G$29/HSI!$B$3,""))</f>
        <v/>
      </c>
      <c r="EB34" s="110">
        <f>IF(BN34="","",IFERROR(BN34*HSI!$B$29*HSI!$G$29/HSI!$B$3,""))</f>
        <v/>
      </c>
      <c r="EC34" s="110">
        <f>IF(BO34="","",IFERROR(BO34*HSI!$B$29*HSI!$G$29/HSI!$B$3,""))</f>
        <v/>
      </c>
      <c r="EE34" s="39">
        <f>IF(N('Dvd Calendar'!$E$253)=0,"",IF(('Dvd Calendar'!$E$253&gt;=GRID_FROM)*('Dvd Calendar'!$E$253&lt;=GRID_TO)*((('Dvd Calendar'!$E$253&lt;=VAL_DATE)+(COUNTIF('Dvd Calendar'!$E$260:$AR$260,'Dvd Calendar'!$E$253)=0))&gt;0)=0,"",'Dvd Calendar'!$E$253*1000000000+ISNUMBER('Dvd Calendar'!$E$256)*100000000+('Dvd Calendar'!$E$258=SPECIAL_LBL)*10000000+(N('Dvd Calendar'!$E$252)&gt;0)*(N('Dvd Calendar'!$E$252)&lt;=VAL_SERIAL)*1000000+23*1000+1))</f>
        <v/>
      </c>
      <c r="EF34" s="39">
        <f>IF(N('Dvd Calendar'!$F$253)=0,"",IF(('Dvd Calendar'!$F$253&gt;=GRID_FROM)*('Dvd Calendar'!$F$253&lt;=GRID_TO)*((('Dvd Calendar'!$F$253&lt;=VAL_DATE)+(COUNTIF('Dvd Calendar'!$E$260:$AR$260,'Dvd Calendar'!$F$253)=0))&gt;0)=0,"",'Dvd Calendar'!$F$253*1000000000+ISNUMBER('Dvd Calendar'!$F$256)*100000000+('Dvd Calendar'!$F$258=SPECIAL_LBL)*10000000+(N('Dvd Calendar'!$F$252)&gt;0)*(N('Dvd Calendar'!$F$252)&lt;=VAL_SERIAL)*1000000+23*1000+2))</f>
        <v/>
      </c>
      <c r="EG34" s="39">
        <f>IF(N('Dvd Calendar'!$G$253)=0,"",IF(('Dvd Calendar'!$G$253&gt;=GRID_FROM)*('Dvd Calendar'!$G$253&lt;=GRID_TO)*((('Dvd Calendar'!$G$253&lt;=VAL_DATE)+(COUNTIF('Dvd Calendar'!$E$260:$AR$260,'Dvd Calendar'!$G$253)=0))&gt;0)=0,"",'Dvd Calendar'!$G$253*1000000000+ISNUMBER('Dvd Calendar'!$G$256)*100000000+('Dvd Calendar'!$G$258=SPECIAL_LBL)*10000000+(N('Dvd Calendar'!$G$252)&gt;0)*(N('Dvd Calendar'!$G$252)&lt;=VAL_SERIAL)*1000000+23*1000+3))</f>
        <v/>
      </c>
      <c r="EH34" s="39">
        <f>IF(N('Dvd Calendar'!$H$253)=0,"",IF(('Dvd Calendar'!$H$253&gt;=GRID_FROM)*('Dvd Calendar'!$H$253&lt;=GRID_TO)*((('Dvd Calendar'!$H$253&lt;=VAL_DATE)+(COUNTIF('Dvd Calendar'!$E$260:$AR$260,'Dvd Calendar'!$H$253)=0))&gt;0)=0,"",'Dvd Calendar'!$H$253*1000000000+ISNUMBER('Dvd Calendar'!$H$256)*100000000+('Dvd Calendar'!$H$258=SPECIAL_LBL)*10000000+(N('Dvd Calendar'!$H$252)&gt;0)*(N('Dvd Calendar'!$H$252)&lt;=VAL_SERIAL)*1000000+23*1000+4))</f>
        <v/>
      </c>
      <c r="EI34" s="39">
        <f>IF(N('Dvd Calendar'!$I$253)=0,"",IF(('Dvd Calendar'!$I$253&gt;=GRID_FROM)*('Dvd Calendar'!$I$253&lt;=GRID_TO)*((('Dvd Calendar'!$I$253&lt;=VAL_DATE)+(COUNTIF('Dvd Calendar'!$E$260:$AR$260,'Dvd Calendar'!$I$253)=0))&gt;0)=0,"",'Dvd Calendar'!$I$253*1000000000+ISNUMBER('Dvd Calendar'!$I$256)*100000000+('Dvd Calendar'!$I$258=SPECIAL_LBL)*10000000+(N('Dvd Calendar'!$I$252)&gt;0)*(N('Dvd Calendar'!$I$252)&lt;=VAL_SERIAL)*1000000+23*1000+5))</f>
        <v/>
      </c>
      <c r="EJ34" s="39">
        <f>IF(N('Dvd Calendar'!$J$253)=0,"",IF(('Dvd Calendar'!$J$253&gt;=GRID_FROM)*('Dvd Calendar'!$J$253&lt;=GRID_TO)*((('Dvd Calendar'!$J$253&lt;=VAL_DATE)+(COUNTIF('Dvd Calendar'!$E$260:$AR$260,'Dvd Calendar'!$J$253)=0))&gt;0)=0,"",'Dvd Calendar'!$J$253*1000000000+ISNUMBER('Dvd Calendar'!$J$256)*100000000+('Dvd Calendar'!$J$258=SPECIAL_LBL)*10000000+(N('Dvd Calendar'!$J$252)&gt;0)*(N('Dvd Calendar'!$J$252)&lt;=VAL_SERIAL)*1000000+23*1000+6))</f>
        <v/>
      </c>
      <c r="EK34" s="39">
        <f>IF(N('Dvd Calendar'!$K$253)=0,"",IF(('Dvd Calendar'!$K$253&gt;=GRID_FROM)*('Dvd Calendar'!$K$253&lt;=GRID_TO)*((('Dvd Calendar'!$K$253&lt;=VAL_DATE)+(COUNTIF('Dvd Calendar'!$E$260:$AR$260,'Dvd Calendar'!$K$253)=0))&gt;0)=0,"",'Dvd Calendar'!$K$253*1000000000+ISNUMBER('Dvd Calendar'!$K$256)*100000000+('Dvd Calendar'!$K$258=SPECIAL_LBL)*10000000+(N('Dvd Calendar'!$K$252)&gt;0)*(N('Dvd Calendar'!$K$252)&lt;=VAL_SERIAL)*1000000+23*1000+7))</f>
        <v/>
      </c>
      <c r="EL34" s="39">
        <f>IF(N('Dvd Calendar'!$L$253)=0,"",IF(('Dvd Calendar'!$L$253&gt;=GRID_FROM)*('Dvd Calendar'!$L$253&lt;=GRID_TO)*((('Dvd Calendar'!$L$253&lt;=VAL_DATE)+(COUNTIF('Dvd Calendar'!$E$260:$AR$260,'Dvd Calendar'!$L$253)=0))&gt;0)=0,"",'Dvd Calendar'!$L$253*1000000000+ISNUMBER('Dvd Calendar'!$L$256)*100000000+('Dvd Calendar'!$L$258=SPECIAL_LBL)*10000000+(N('Dvd Calendar'!$L$252)&gt;0)*(N('Dvd Calendar'!$L$252)&lt;=VAL_SERIAL)*1000000+23*1000+8))</f>
        <v/>
      </c>
      <c r="EM34" s="39">
        <f>IF(N('Dvd Calendar'!$M$253)=0,"",IF(('Dvd Calendar'!$M$253&gt;=GRID_FROM)*('Dvd Calendar'!$M$253&lt;=GRID_TO)*((('Dvd Calendar'!$M$253&lt;=VAL_DATE)+(COUNTIF('Dvd Calendar'!$E$260:$AR$260,'Dvd Calendar'!$M$253)=0))&gt;0)=0,"",'Dvd Calendar'!$M$253*1000000000+ISNUMBER('Dvd Calendar'!$M$256)*100000000+('Dvd Calendar'!$M$258=SPECIAL_LBL)*10000000+(N('Dvd Calendar'!$M$252)&gt;0)*(N('Dvd Calendar'!$M$252)&lt;=VAL_SERIAL)*1000000+23*1000+9))</f>
        <v/>
      </c>
      <c r="EN34" s="39">
        <f>IF(N('Dvd Calendar'!$N$253)=0,"",IF(('Dvd Calendar'!$N$253&gt;=GRID_FROM)*('Dvd Calendar'!$N$253&lt;=GRID_TO)*((('Dvd Calendar'!$N$253&lt;=VAL_DATE)+(COUNTIF('Dvd Calendar'!$E$260:$AR$260,'Dvd Calendar'!$N$253)=0))&gt;0)=0,"",'Dvd Calendar'!$N$253*1000000000+ISNUMBER('Dvd Calendar'!$N$256)*100000000+('Dvd Calendar'!$N$258=SPECIAL_LBL)*10000000+(N('Dvd Calendar'!$N$252)&gt;0)*(N('Dvd Calendar'!$N$252)&lt;=VAL_SERIAL)*1000000+23*1000+10))</f>
        <v/>
      </c>
      <c r="EO34" s="39">
        <f>IF(N('Dvd Calendar'!$O$253)=0,"",IF(('Dvd Calendar'!$O$253&gt;=GRID_FROM)*('Dvd Calendar'!$O$253&lt;=GRID_TO)*((('Dvd Calendar'!$O$253&lt;=VAL_DATE)+(COUNTIF('Dvd Calendar'!$E$260:$AR$260,'Dvd Calendar'!$O$253)=0))&gt;0)=0,"",'Dvd Calendar'!$O$253*1000000000+ISNUMBER('Dvd Calendar'!$O$256)*100000000+('Dvd Calendar'!$O$258=SPECIAL_LBL)*10000000+(N('Dvd Calendar'!$O$252)&gt;0)*(N('Dvd Calendar'!$O$252)&lt;=VAL_SERIAL)*1000000+23*1000+11))</f>
        <v/>
      </c>
      <c r="EP34" s="39">
        <f>IF(N('Dvd Calendar'!$P$253)=0,"",IF(('Dvd Calendar'!$P$253&gt;=GRID_FROM)*('Dvd Calendar'!$P$253&lt;=GRID_TO)*((('Dvd Calendar'!$P$253&lt;=VAL_DATE)+(COUNTIF('Dvd Calendar'!$E$260:$AR$260,'Dvd Calendar'!$P$253)=0))&gt;0)=0,"",'Dvd Calendar'!$P$253*1000000000+ISNUMBER('Dvd Calendar'!$P$256)*100000000+('Dvd Calendar'!$P$258=SPECIAL_LBL)*10000000+(N('Dvd Calendar'!$P$252)&gt;0)*(N('Dvd Calendar'!$P$252)&lt;=VAL_SERIAL)*1000000+23*1000+12))</f>
        <v/>
      </c>
      <c r="EQ34" s="39">
        <f>IF(N('Dvd Calendar'!$Q$253)=0,"",IF(('Dvd Calendar'!$Q$253&gt;=GRID_FROM)*('Dvd Calendar'!$Q$253&lt;=GRID_TO)*((('Dvd Calendar'!$Q$253&lt;=VAL_DATE)+(COUNTIF('Dvd Calendar'!$E$260:$AR$260,'Dvd Calendar'!$Q$253)=0))&gt;0)=0,"",'Dvd Calendar'!$Q$253*1000000000+ISNUMBER('Dvd Calendar'!$Q$256)*100000000+('Dvd Calendar'!$Q$258=SPECIAL_LBL)*10000000+(N('Dvd Calendar'!$Q$252)&gt;0)*(N('Dvd Calendar'!$Q$252)&lt;=VAL_SERIAL)*1000000+23*1000+13))</f>
        <v/>
      </c>
      <c r="ER34" s="39">
        <f>IF(N('Dvd Calendar'!$R$253)=0,"",IF(('Dvd Calendar'!$R$253&gt;=GRID_FROM)*('Dvd Calendar'!$R$253&lt;=GRID_TO)*((('Dvd Calendar'!$R$253&lt;=VAL_DATE)+(COUNTIF('Dvd Calendar'!$E$260:$AR$260,'Dvd Calendar'!$R$253)=0))&gt;0)=0,"",'Dvd Calendar'!$R$253*1000000000+ISNUMBER('Dvd Calendar'!$R$256)*100000000+('Dvd Calendar'!$R$258=SPECIAL_LBL)*10000000+(N('Dvd Calendar'!$R$252)&gt;0)*(N('Dvd Calendar'!$R$252)&lt;=VAL_SERIAL)*1000000+23*1000+14))</f>
        <v/>
      </c>
      <c r="ES34" s="39">
        <f>IF(N('Dvd Calendar'!$S$253)=0,"",IF(('Dvd Calendar'!$S$253&gt;=GRID_FROM)*('Dvd Calendar'!$S$253&lt;=GRID_TO)*((('Dvd Calendar'!$S$253&lt;=VAL_DATE)+(COUNTIF('Dvd Calendar'!$E$260:$AR$260,'Dvd Calendar'!$S$253)=0))&gt;0)=0,"",'Dvd Calendar'!$S$253*1000000000+ISNUMBER('Dvd Calendar'!$S$256)*100000000+('Dvd Calendar'!$S$258=SPECIAL_LBL)*10000000+(N('Dvd Calendar'!$S$252)&gt;0)*(N('Dvd Calendar'!$S$252)&lt;=VAL_SERIAL)*1000000+23*1000+15))</f>
        <v/>
      </c>
      <c r="ET34" s="39">
        <f>IF(N('Dvd Calendar'!$T$253)=0,"",IF(('Dvd Calendar'!$T$253&gt;=GRID_FROM)*('Dvd Calendar'!$T$253&lt;=GRID_TO)*((('Dvd Calendar'!$T$253&lt;=VAL_DATE)+(COUNTIF('Dvd Calendar'!$E$260:$AR$260,'Dvd Calendar'!$T$253)=0))&gt;0)=0,"",'Dvd Calendar'!$T$253*1000000000+ISNUMBER('Dvd Calendar'!$T$256)*100000000+('Dvd Calendar'!$T$258=SPECIAL_LBL)*10000000+(N('Dvd Calendar'!$T$252)&gt;0)*(N('Dvd Calendar'!$T$252)&lt;=VAL_SERIAL)*1000000+23*1000+16))</f>
        <v/>
      </c>
      <c r="EU34" s="39">
        <f>IF(N('Dvd Calendar'!$U$253)=0,"",IF(('Dvd Calendar'!$U$253&gt;=GRID_FROM)*('Dvd Calendar'!$U$253&lt;=GRID_TO)*((('Dvd Calendar'!$U$253&lt;=VAL_DATE)+(COUNTIF('Dvd Calendar'!$E$260:$AR$260,'Dvd Calendar'!$U$253)=0))&gt;0)=0,"",'Dvd Calendar'!$U$253*1000000000+ISNUMBER('Dvd Calendar'!$U$256)*100000000+('Dvd Calendar'!$U$258=SPECIAL_LBL)*10000000+(N('Dvd Calendar'!$U$252)&gt;0)*(N('Dvd Calendar'!$U$252)&lt;=VAL_SERIAL)*1000000+23*1000+17))</f>
        <v/>
      </c>
      <c r="EV34" s="39">
        <f>IF(N('Dvd Calendar'!$V$253)=0,"",IF(('Dvd Calendar'!$V$253&gt;=GRID_FROM)*('Dvd Calendar'!$V$253&lt;=GRID_TO)*((('Dvd Calendar'!$V$253&lt;=VAL_DATE)+(COUNTIF('Dvd Calendar'!$E$260:$AR$260,'Dvd Calendar'!$V$253)=0))&gt;0)=0,"",'Dvd Calendar'!$V$253*1000000000+ISNUMBER('Dvd Calendar'!$V$256)*100000000+('Dvd Calendar'!$V$258=SPECIAL_LBL)*10000000+(N('Dvd Calendar'!$V$252)&gt;0)*(N('Dvd Calendar'!$V$252)&lt;=VAL_SERIAL)*1000000+23*1000+18))</f>
        <v/>
      </c>
      <c r="EW34" s="39">
        <f>IF(N('Dvd Calendar'!$W$253)=0,"",IF(('Dvd Calendar'!$W$253&gt;=GRID_FROM)*('Dvd Calendar'!$W$253&lt;=GRID_TO)*((('Dvd Calendar'!$W$253&lt;=VAL_DATE)+(COUNTIF('Dvd Calendar'!$E$260:$AR$260,'Dvd Calendar'!$W$253)=0))&gt;0)=0,"",'Dvd Calendar'!$W$253*1000000000+ISNUMBER('Dvd Calendar'!$W$256)*100000000+('Dvd Calendar'!$W$258=SPECIAL_LBL)*10000000+(N('Dvd Calendar'!$W$252)&gt;0)*(N('Dvd Calendar'!$W$252)&lt;=VAL_SERIAL)*1000000+23*1000+19))</f>
        <v/>
      </c>
      <c r="EX34" s="39">
        <f>IF(N('Dvd Calendar'!$X$253)=0,"",IF(('Dvd Calendar'!$X$253&gt;=GRID_FROM)*('Dvd Calendar'!$X$253&lt;=GRID_TO)*((('Dvd Calendar'!$X$253&lt;=VAL_DATE)+(COUNTIF('Dvd Calendar'!$E$260:$AR$260,'Dvd Calendar'!$X$253)=0))&gt;0)=0,"",'Dvd Calendar'!$X$253*1000000000+ISNUMBER('Dvd Calendar'!$X$256)*100000000+('Dvd Calendar'!$X$258=SPECIAL_LBL)*10000000+(N('Dvd Calendar'!$X$252)&gt;0)*(N('Dvd Calendar'!$X$252)&lt;=VAL_SERIAL)*1000000+23*1000+20))</f>
        <v/>
      </c>
      <c r="EY34" s="39">
        <f>IF(N('Dvd Calendar'!$Y$253)=0,"",IF(('Dvd Calendar'!$Y$253&gt;=GRID_FROM)*('Dvd Calendar'!$Y$253&lt;=GRID_TO)*((('Dvd Calendar'!$Y$253&lt;=VAL_DATE)+(COUNTIF('Dvd Calendar'!$E$260:$AR$260,'Dvd Calendar'!$Y$253)=0))&gt;0)=0,"",'Dvd Calendar'!$Y$253*1000000000+ISNUMBER('Dvd Calendar'!$Y$256)*100000000+('Dvd Calendar'!$Y$258=SPECIAL_LBL)*10000000+(N('Dvd Calendar'!$Y$252)&gt;0)*(N('Dvd Calendar'!$Y$252)&lt;=VAL_SERIAL)*1000000+23*1000+21))</f>
        <v/>
      </c>
      <c r="EZ34" s="39">
        <f>IF(N('Dvd Calendar'!$Z$253)=0,"",IF(('Dvd Calendar'!$Z$253&gt;=GRID_FROM)*('Dvd Calendar'!$Z$253&lt;=GRID_TO)*((('Dvd Calendar'!$Z$253&lt;=VAL_DATE)+(COUNTIF('Dvd Calendar'!$E$260:$AR$260,'Dvd Calendar'!$Z$253)=0))&gt;0)=0,"",'Dvd Calendar'!$Z$253*1000000000+ISNUMBER('Dvd Calendar'!$Z$256)*100000000+('Dvd Calendar'!$Z$258=SPECIAL_LBL)*10000000+(N('Dvd Calendar'!$Z$252)&gt;0)*(N('Dvd Calendar'!$Z$252)&lt;=VAL_SERIAL)*1000000+23*1000+22))</f>
        <v/>
      </c>
      <c r="FA34" s="39">
        <f>IF(N('Dvd Calendar'!$AA$253)=0,"",IF(('Dvd Calendar'!$AA$253&gt;=GRID_FROM)*('Dvd Calendar'!$AA$253&lt;=GRID_TO)*((('Dvd Calendar'!$AA$253&lt;=VAL_DATE)+(COUNTIF('Dvd Calendar'!$E$260:$AR$260,'Dvd Calendar'!$AA$253)=0))&gt;0)=0,"",'Dvd Calendar'!$AA$253*1000000000+ISNUMBER('Dvd Calendar'!$AA$256)*100000000+('Dvd Calendar'!$AA$258=SPECIAL_LBL)*10000000+(N('Dvd Calendar'!$AA$252)&gt;0)*(N('Dvd Calendar'!$AA$252)&lt;=VAL_SERIAL)*1000000+23*1000+23))</f>
        <v/>
      </c>
      <c r="FB34" s="39">
        <f>IF(N('Dvd Calendar'!$AB$253)=0,"",IF(('Dvd Calendar'!$AB$253&gt;=GRID_FROM)*('Dvd Calendar'!$AB$253&lt;=GRID_TO)*((('Dvd Calendar'!$AB$253&lt;=VAL_DATE)+(COUNTIF('Dvd Calendar'!$E$260:$AR$260,'Dvd Calendar'!$AB$253)=0))&gt;0)=0,"",'Dvd Calendar'!$AB$253*1000000000+ISNUMBER('Dvd Calendar'!$AB$256)*100000000+('Dvd Calendar'!$AB$258=SPECIAL_LBL)*10000000+(N('Dvd Calendar'!$AB$252)&gt;0)*(N('Dvd Calendar'!$AB$252)&lt;=VAL_SERIAL)*1000000+23*1000+24))</f>
        <v/>
      </c>
      <c r="FC34" s="39">
        <f>IF(N('Dvd Calendar'!$AC$253)=0,"",IF(('Dvd Calendar'!$AC$253&gt;=GRID_FROM)*('Dvd Calendar'!$AC$253&lt;=GRID_TO)*((('Dvd Calendar'!$AC$253&lt;=VAL_DATE)+(COUNTIF('Dvd Calendar'!$E$260:$AR$260,'Dvd Calendar'!$AC$253)=0))&gt;0)=0,"",'Dvd Calendar'!$AC$253*1000000000+ISNUMBER('Dvd Calendar'!$AC$256)*100000000+('Dvd Calendar'!$AC$258=SPECIAL_LBL)*10000000+(N('Dvd Calendar'!$AC$252)&gt;0)*(N('Dvd Calendar'!$AC$252)&lt;=VAL_SERIAL)*1000000+23*1000+25))</f>
        <v/>
      </c>
      <c r="FD34" s="39">
        <f>IF(N('Dvd Calendar'!$AD$253)=0,"",IF(('Dvd Calendar'!$AD$253&gt;=GRID_FROM)*('Dvd Calendar'!$AD$253&lt;=GRID_TO)*((('Dvd Calendar'!$AD$253&lt;=VAL_DATE)+(COUNTIF('Dvd Calendar'!$E$260:$AR$260,'Dvd Calendar'!$AD$253)=0))&gt;0)=0,"",'Dvd Calendar'!$AD$253*1000000000+ISNUMBER('Dvd Calendar'!$AD$256)*100000000+('Dvd Calendar'!$AD$258=SPECIAL_LBL)*10000000+(N('Dvd Calendar'!$AD$252)&gt;0)*(N('Dvd Calendar'!$AD$252)&lt;=VAL_SERIAL)*1000000+23*1000+26))</f>
        <v/>
      </c>
      <c r="FE34" s="39">
        <f>IF(N('Dvd Calendar'!$AE$253)=0,"",IF(('Dvd Calendar'!$AE$253&gt;=GRID_FROM)*('Dvd Calendar'!$AE$253&lt;=GRID_TO)*((('Dvd Calendar'!$AE$253&lt;=VAL_DATE)+(COUNTIF('Dvd Calendar'!$E$260:$AR$260,'Dvd Calendar'!$AE$253)=0))&gt;0)=0,"",'Dvd Calendar'!$AE$253*1000000000+ISNUMBER('Dvd Calendar'!$AE$256)*100000000+('Dvd Calendar'!$AE$258=SPECIAL_LBL)*10000000+(N('Dvd Calendar'!$AE$252)&gt;0)*(N('Dvd Calendar'!$AE$252)&lt;=VAL_SERIAL)*1000000+23*1000+27))</f>
        <v/>
      </c>
      <c r="FF34" s="39">
        <f>IF(N('Dvd Calendar'!$AF$253)=0,"",IF(('Dvd Calendar'!$AF$253&gt;=GRID_FROM)*('Dvd Calendar'!$AF$253&lt;=GRID_TO)*((('Dvd Calendar'!$AF$253&lt;=VAL_DATE)+(COUNTIF('Dvd Calendar'!$E$260:$AR$260,'Dvd Calendar'!$AF$253)=0))&gt;0)=0,"",'Dvd Calendar'!$AF$253*1000000000+ISNUMBER('Dvd Calendar'!$AF$256)*100000000+('Dvd Calendar'!$AF$258=SPECIAL_LBL)*10000000+(N('Dvd Calendar'!$AF$252)&gt;0)*(N('Dvd Calendar'!$AF$252)&lt;=VAL_SERIAL)*1000000+23*1000+28))</f>
        <v/>
      </c>
      <c r="FG34" s="39">
        <f>IF(N('Dvd Calendar'!$AG$253)=0,"",IF(('Dvd Calendar'!$AG$253&gt;=GRID_FROM)*('Dvd Calendar'!$AG$253&lt;=GRID_TO)*((('Dvd Calendar'!$AG$253&lt;=VAL_DATE)+(COUNTIF('Dvd Calendar'!$E$260:$AR$260,'Dvd Calendar'!$AG$253)=0))&gt;0)=0,"",'Dvd Calendar'!$AG$253*1000000000+ISNUMBER('Dvd Calendar'!$AG$256)*100000000+('Dvd Calendar'!$AG$258=SPECIAL_LBL)*10000000+(N('Dvd Calendar'!$AG$252)&gt;0)*(N('Dvd Calendar'!$AG$252)&lt;=VAL_SERIAL)*1000000+23*1000+29))</f>
        <v/>
      </c>
      <c r="FH34" s="39">
        <f>IF(N('Dvd Calendar'!$AH$253)=0,"",IF(('Dvd Calendar'!$AH$253&gt;=GRID_FROM)*('Dvd Calendar'!$AH$253&lt;=GRID_TO)*((('Dvd Calendar'!$AH$253&lt;=VAL_DATE)+(COUNTIF('Dvd Calendar'!$E$260:$AR$260,'Dvd Calendar'!$AH$253)=0))&gt;0)=0,"",'Dvd Calendar'!$AH$253*1000000000+ISNUMBER('Dvd Calendar'!$AH$256)*100000000+('Dvd Calendar'!$AH$258=SPECIAL_LBL)*10000000+(N('Dvd Calendar'!$AH$252)&gt;0)*(N('Dvd Calendar'!$AH$252)&lt;=VAL_SERIAL)*1000000+23*1000+30))</f>
        <v/>
      </c>
      <c r="FI34" s="39">
        <f>IF(N('Dvd Calendar'!$AI$253)=0,"",IF(('Dvd Calendar'!$AI$253&gt;=GRID_FROM)*('Dvd Calendar'!$AI$253&lt;=GRID_TO)*((('Dvd Calendar'!$AI$253&lt;=VAL_DATE)+(COUNTIF('Dvd Calendar'!$E$260:$AR$260,'Dvd Calendar'!$AI$253)=0))&gt;0)=0,"",'Dvd Calendar'!$AI$253*1000000000+ISNUMBER('Dvd Calendar'!$AI$256)*100000000+('Dvd Calendar'!$AI$258=SPECIAL_LBL)*10000000+(N('Dvd Calendar'!$AI$252)&gt;0)*(N('Dvd Calendar'!$AI$252)&lt;=VAL_SERIAL)*1000000+23*1000+31))</f>
        <v/>
      </c>
      <c r="FJ34" s="39">
        <f>IF(N('Dvd Calendar'!$AJ$253)=0,"",IF(('Dvd Calendar'!$AJ$253&gt;=GRID_FROM)*('Dvd Calendar'!$AJ$253&lt;=GRID_TO)*((('Dvd Calendar'!$AJ$253&lt;=VAL_DATE)+(COUNTIF('Dvd Calendar'!$E$260:$AR$260,'Dvd Calendar'!$AJ$253)=0))&gt;0)=0,"",'Dvd Calendar'!$AJ$253*1000000000+ISNUMBER('Dvd Calendar'!$AJ$256)*100000000+('Dvd Calendar'!$AJ$258=SPECIAL_LBL)*10000000+(N('Dvd Calendar'!$AJ$252)&gt;0)*(N('Dvd Calendar'!$AJ$252)&lt;=VAL_SERIAL)*1000000+23*1000+32))</f>
        <v/>
      </c>
      <c r="FK34" s="39">
        <f>IF(N('Dvd Calendar'!$AK$253)=0,"",IF(('Dvd Calendar'!$AK$253&gt;=GRID_FROM)*('Dvd Calendar'!$AK$253&lt;=GRID_TO)*((('Dvd Calendar'!$AK$253&lt;=VAL_DATE)+(COUNTIF('Dvd Calendar'!$E$260:$AR$260,'Dvd Calendar'!$AK$253)=0))&gt;0)=0,"",'Dvd Calendar'!$AK$253*1000000000+ISNUMBER('Dvd Calendar'!$AK$256)*100000000+('Dvd Calendar'!$AK$258=SPECIAL_LBL)*10000000+(N('Dvd Calendar'!$AK$252)&gt;0)*(N('Dvd Calendar'!$AK$252)&lt;=VAL_SERIAL)*1000000+23*1000+33))</f>
        <v/>
      </c>
      <c r="FL34" s="39">
        <f>IF(N('Dvd Calendar'!$AL$253)=0,"",IF(('Dvd Calendar'!$AL$253&gt;=GRID_FROM)*('Dvd Calendar'!$AL$253&lt;=GRID_TO)*((('Dvd Calendar'!$AL$253&lt;=VAL_DATE)+(COUNTIF('Dvd Calendar'!$E$260:$AR$260,'Dvd Calendar'!$AL$253)=0))&gt;0)=0,"",'Dvd Calendar'!$AL$253*1000000000+ISNUMBER('Dvd Calendar'!$AL$256)*100000000+('Dvd Calendar'!$AL$258=SPECIAL_LBL)*10000000+(N('Dvd Calendar'!$AL$252)&gt;0)*(N('Dvd Calendar'!$AL$252)&lt;=VAL_SERIAL)*1000000+23*1000+34))</f>
        <v/>
      </c>
      <c r="FM34" s="39">
        <f>IF(N('Dvd Calendar'!$AM$253)=0,"",IF(('Dvd Calendar'!$AM$253&gt;=GRID_FROM)*('Dvd Calendar'!$AM$253&lt;=GRID_TO)*((('Dvd Calendar'!$AM$253&lt;=VAL_DATE)+(COUNTIF('Dvd Calendar'!$E$260:$AR$260,'Dvd Calendar'!$AM$253)=0))&gt;0)=0,"",'Dvd Calendar'!$AM$253*1000000000+ISNUMBER('Dvd Calendar'!$AM$256)*100000000+('Dvd Calendar'!$AM$258=SPECIAL_LBL)*10000000+(N('Dvd Calendar'!$AM$252)&gt;0)*(N('Dvd Calendar'!$AM$252)&lt;=VAL_SERIAL)*1000000+23*1000+35))</f>
        <v/>
      </c>
      <c r="FN34" s="39">
        <f>IF(N('Dvd Calendar'!$AN$253)=0,"",IF(('Dvd Calendar'!$AN$253&gt;=GRID_FROM)*('Dvd Calendar'!$AN$253&lt;=GRID_TO)*((('Dvd Calendar'!$AN$253&lt;=VAL_DATE)+(COUNTIF('Dvd Calendar'!$E$260:$AR$260,'Dvd Calendar'!$AN$253)=0))&gt;0)=0,"",'Dvd Calendar'!$AN$253*1000000000+ISNUMBER('Dvd Calendar'!$AN$256)*100000000+('Dvd Calendar'!$AN$258=SPECIAL_LBL)*10000000+(N('Dvd Calendar'!$AN$252)&gt;0)*(N('Dvd Calendar'!$AN$252)&lt;=VAL_SERIAL)*1000000+23*1000+36))</f>
        <v/>
      </c>
      <c r="FO34" s="39">
        <f>IF(N('Dvd Calendar'!$AO$253)=0,"",IF(('Dvd Calendar'!$AO$253&gt;=GRID_FROM)*('Dvd Calendar'!$AO$253&lt;=GRID_TO)*((('Dvd Calendar'!$AO$253&lt;=VAL_DATE)+(COUNTIF('Dvd Calendar'!$E$260:$AR$260,'Dvd Calendar'!$AO$253)=0))&gt;0)=0,"",'Dvd Calendar'!$AO$253*1000000000+ISNUMBER('Dvd Calendar'!$AO$256)*100000000+('Dvd Calendar'!$AO$258=SPECIAL_LBL)*10000000+(N('Dvd Calendar'!$AO$252)&gt;0)*(N('Dvd Calendar'!$AO$252)&lt;=VAL_SERIAL)*1000000+23*1000+37))</f>
        <v/>
      </c>
      <c r="FP34" s="39">
        <f>IF(N('Dvd Calendar'!$AP$253)=0,"",IF(('Dvd Calendar'!$AP$253&gt;=GRID_FROM)*('Dvd Calendar'!$AP$253&lt;=GRID_TO)*((('Dvd Calendar'!$AP$253&lt;=VAL_DATE)+(COUNTIF('Dvd Calendar'!$E$260:$AR$260,'Dvd Calendar'!$AP$253)=0))&gt;0)=0,"",'Dvd Calendar'!$AP$253*1000000000+ISNUMBER('Dvd Calendar'!$AP$256)*100000000+('Dvd Calendar'!$AP$258=SPECIAL_LBL)*10000000+(N('Dvd Calendar'!$AP$252)&gt;0)*(N('Dvd Calendar'!$AP$252)&lt;=VAL_SERIAL)*1000000+23*1000+38))</f>
        <v/>
      </c>
      <c r="FQ34" s="39">
        <f>IF(N('Dvd Calendar'!$AQ$253)=0,"",IF(('Dvd Calendar'!$AQ$253&gt;=GRID_FROM)*('Dvd Calendar'!$AQ$253&lt;=GRID_TO)*((('Dvd Calendar'!$AQ$253&lt;=VAL_DATE)+(COUNTIF('Dvd Calendar'!$E$260:$AR$260,'Dvd Calendar'!$AQ$253)=0))&gt;0)=0,"",'Dvd Calendar'!$AQ$253*1000000000+ISNUMBER('Dvd Calendar'!$AQ$256)*100000000+('Dvd Calendar'!$AQ$258=SPECIAL_LBL)*10000000+(N('Dvd Calendar'!$AQ$252)&gt;0)*(N('Dvd Calendar'!$AQ$252)&lt;=VAL_SERIAL)*1000000+23*1000+39))</f>
        <v/>
      </c>
      <c r="FR34" s="39">
        <f>IF(N('Dvd Calendar'!$AR$253)=0,"",IF(('Dvd Calendar'!$AR$253&gt;=GRID_FROM)*('Dvd Calendar'!$AR$253&lt;=GRID_TO)*((('Dvd Calendar'!$AR$253&lt;=VAL_DATE)+(COUNTIF('Dvd Calendar'!$E$260:$AR$260,'Dvd Calendar'!$AR$253)=0))&gt;0)=0,"",'Dvd Calendar'!$AR$253*1000000000+ISNUMBER('Dvd Calendar'!$AR$256)*100000000+('Dvd Calendar'!$AR$258=SPECIAL_LBL)*10000000+(N('Dvd Calendar'!$AR$252)&gt;0)*(N('Dvd Calendar'!$AR$252)&lt;=VAL_SERIAL)*1000000+23*1000+40))</f>
        <v/>
      </c>
      <c r="FS34" s="39">
        <f>IF(N('Dvd Calendar'!$E$260)=0,"",IF(('Dvd Calendar'!$E$260&gt;=GRID_FROM)*('Dvd Calendar'!$E$260&lt;=GRID_TO)*('Dvd Calendar'!$E$260&gt;VAL_DATE)=0,"",'Dvd Calendar'!$E$260*1000000000+ISNUMBER('Dvd Calendar'!$E$261)*100000000+0*10000000+(N('Dvd Calendar'!$E$259)&gt;0)*(N('Dvd Calendar'!$E$259)&lt;=VAL_SERIAL)*1000000+23*1000+41))</f>
        <v/>
      </c>
      <c r="FT34" s="39">
        <f>IF(N('Dvd Calendar'!$F$260)=0,"",IF(('Dvd Calendar'!$F$260&gt;=GRID_FROM)*('Dvd Calendar'!$F$260&lt;=GRID_TO)*('Dvd Calendar'!$F$260&gt;VAL_DATE)=0,"",'Dvd Calendar'!$F$260*1000000000+ISNUMBER('Dvd Calendar'!$F$261)*100000000+0*10000000+(N('Dvd Calendar'!$F$259)&gt;0)*(N('Dvd Calendar'!$F$259)&lt;=VAL_SERIAL)*1000000+23*1000+42))</f>
        <v/>
      </c>
      <c r="FU34" s="39">
        <f>IF(N('Dvd Calendar'!$G$260)=0,"",IF(('Dvd Calendar'!$G$260&gt;=GRID_FROM)*('Dvd Calendar'!$G$260&lt;=GRID_TO)*('Dvd Calendar'!$G$260&gt;VAL_DATE)=0,"",'Dvd Calendar'!$G$260*1000000000+ISNUMBER('Dvd Calendar'!$G$261)*100000000+0*10000000+(N('Dvd Calendar'!$G$259)&gt;0)*(N('Dvd Calendar'!$G$259)&lt;=VAL_SERIAL)*1000000+23*1000+43))</f>
        <v/>
      </c>
      <c r="FV34" s="39">
        <f>IF(N('Dvd Calendar'!$H$260)=0,"",IF(('Dvd Calendar'!$H$260&gt;=GRID_FROM)*('Dvd Calendar'!$H$260&lt;=GRID_TO)*('Dvd Calendar'!$H$260&gt;VAL_DATE)=0,"",'Dvd Calendar'!$H$260*1000000000+ISNUMBER('Dvd Calendar'!$H$261)*100000000+0*10000000+(N('Dvd Calendar'!$H$259)&gt;0)*(N('Dvd Calendar'!$H$259)&lt;=VAL_SERIAL)*1000000+23*1000+44))</f>
        <v/>
      </c>
      <c r="FW34" s="39">
        <f>IF(N('Dvd Calendar'!$I$260)=0,"",IF(('Dvd Calendar'!$I$260&gt;=GRID_FROM)*('Dvd Calendar'!$I$260&lt;=GRID_TO)*('Dvd Calendar'!$I$260&gt;VAL_DATE)=0,"",'Dvd Calendar'!$I$260*1000000000+ISNUMBER('Dvd Calendar'!$I$261)*100000000+0*10000000+(N('Dvd Calendar'!$I$259)&gt;0)*(N('Dvd Calendar'!$I$259)&lt;=VAL_SERIAL)*1000000+23*1000+45))</f>
        <v/>
      </c>
      <c r="FX34" s="39">
        <f>IF(N('Dvd Calendar'!$J$260)=0,"",IF(('Dvd Calendar'!$J$260&gt;=GRID_FROM)*('Dvd Calendar'!$J$260&lt;=GRID_TO)*('Dvd Calendar'!$J$260&gt;VAL_DATE)=0,"",'Dvd Calendar'!$J$260*1000000000+ISNUMBER('Dvd Calendar'!$J$261)*100000000+0*10000000+(N('Dvd Calendar'!$J$259)&gt;0)*(N('Dvd Calendar'!$J$259)&lt;=VAL_SERIAL)*1000000+23*1000+46))</f>
        <v/>
      </c>
      <c r="FY34" s="39">
        <f>IF(N('Dvd Calendar'!$K$260)=0,"",IF(('Dvd Calendar'!$K$260&gt;=GRID_FROM)*('Dvd Calendar'!$K$260&lt;=GRID_TO)*('Dvd Calendar'!$K$260&gt;VAL_DATE)=0,"",'Dvd Calendar'!$K$260*1000000000+ISNUMBER('Dvd Calendar'!$K$261)*100000000+0*10000000+(N('Dvd Calendar'!$K$259)&gt;0)*(N('Dvd Calendar'!$K$259)&lt;=VAL_SERIAL)*1000000+23*1000+47))</f>
        <v/>
      </c>
      <c r="FZ34" s="39">
        <f>IF(N('Dvd Calendar'!$L$260)=0,"",IF(('Dvd Calendar'!$L$260&gt;=GRID_FROM)*('Dvd Calendar'!$L$260&lt;=GRID_TO)*('Dvd Calendar'!$L$260&gt;VAL_DATE)=0,"",'Dvd Calendar'!$L$260*1000000000+ISNUMBER('Dvd Calendar'!$L$261)*100000000+0*10000000+(N('Dvd Calendar'!$L$259)&gt;0)*(N('Dvd Calendar'!$L$259)&lt;=VAL_SERIAL)*1000000+23*1000+48))</f>
        <v/>
      </c>
      <c r="GA34" s="39">
        <f>IF(N('Dvd Calendar'!$M$260)=0,"",IF(('Dvd Calendar'!$M$260&gt;=GRID_FROM)*('Dvd Calendar'!$M$260&lt;=GRID_TO)*('Dvd Calendar'!$M$260&gt;VAL_DATE)=0,"",'Dvd Calendar'!$M$260*1000000000+ISNUMBER('Dvd Calendar'!$M$261)*100000000+0*10000000+(N('Dvd Calendar'!$M$259)&gt;0)*(N('Dvd Calendar'!$M$259)&lt;=VAL_SERIAL)*1000000+23*1000+49))</f>
        <v/>
      </c>
      <c r="GB34" s="39">
        <f>IF(N('Dvd Calendar'!$N$260)=0,"",IF(('Dvd Calendar'!$N$260&gt;=GRID_FROM)*('Dvd Calendar'!$N$260&lt;=GRID_TO)*('Dvd Calendar'!$N$260&gt;VAL_DATE)=0,"",'Dvd Calendar'!$N$260*1000000000+ISNUMBER('Dvd Calendar'!$N$261)*100000000+0*10000000+(N('Dvd Calendar'!$N$259)&gt;0)*(N('Dvd Calendar'!$N$259)&lt;=VAL_SERIAL)*1000000+23*1000+50))</f>
        <v/>
      </c>
      <c r="GC34" s="39">
        <f>IF(N('Dvd Calendar'!$O$260)=0,"",IF(('Dvd Calendar'!$O$260&gt;=GRID_FROM)*('Dvd Calendar'!$O$260&lt;=GRID_TO)*('Dvd Calendar'!$O$260&gt;VAL_DATE)=0,"",'Dvd Calendar'!$O$260*1000000000+ISNUMBER('Dvd Calendar'!$O$261)*100000000+0*10000000+(N('Dvd Calendar'!$O$259)&gt;0)*(N('Dvd Calendar'!$O$259)&lt;=VAL_SERIAL)*1000000+23*1000+51))</f>
        <v/>
      </c>
      <c r="GD34" s="39">
        <f>IF(N('Dvd Calendar'!$P$260)=0,"",IF(('Dvd Calendar'!$P$260&gt;=GRID_FROM)*('Dvd Calendar'!$P$260&lt;=GRID_TO)*('Dvd Calendar'!$P$260&gt;VAL_DATE)=0,"",'Dvd Calendar'!$P$260*1000000000+ISNUMBER('Dvd Calendar'!$P$261)*100000000+0*10000000+(N('Dvd Calendar'!$P$259)&gt;0)*(N('Dvd Calendar'!$P$259)&lt;=VAL_SERIAL)*1000000+23*1000+52))</f>
        <v/>
      </c>
      <c r="GE34" s="39">
        <f>IF(N('Dvd Calendar'!$Q$260)=0,"",IF(('Dvd Calendar'!$Q$260&gt;=GRID_FROM)*('Dvd Calendar'!$Q$260&lt;=GRID_TO)*('Dvd Calendar'!$Q$260&gt;VAL_DATE)=0,"",'Dvd Calendar'!$Q$260*1000000000+ISNUMBER('Dvd Calendar'!$Q$261)*100000000+0*10000000+(N('Dvd Calendar'!$Q$259)&gt;0)*(N('Dvd Calendar'!$Q$259)&lt;=VAL_SERIAL)*1000000+23*1000+53))</f>
        <v/>
      </c>
      <c r="GF34" s="39">
        <f>IF(N('Dvd Calendar'!$R$260)=0,"",IF(('Dvd Calendar'!$R$260&gt;=GRID_FROM)*('Dvd Calendar'!$R$260&lt;=GRID_TO)*('Dvd Calendar'!$R$260&gt;VAL_DATE)=0,"",'Dvd Calendar'!$R$260*1000000000+ISNUMBER('Dvd Calendar'!$R$261)*100000000+0*10000000+(N('Dvd Calendar'!$R$259)&gt;0)*(N('Dvd Calendar'!$R$259)&lt;=VAL_SERIAL)*1000000+23*1000+54))</f>
        <v/>
      </c>
      <c r="GG34" s="39">
        <f>IF(N('Dvd Calendar'!$S$260)=0,"",IF(('Dvd Calendar'!$S$260&gt;=GRID_FROM)*('Dvd Calendar'!$S$260&lt;=GRID_TO)*('Dvd Calendar'!$S$260&gt;VAL_DATE)=0,"",'Dvd Calendar'!$S$260*1000000000+ISNUMBER('Dvd Calendar'!$S$261)*100000000+0*10000000+(N('Dvd Calendar'!$S$259)&gt;0)*(N('Dvd Calendar'!$S$259)&lt;=VAL_SERIAL)*1000000+23*1000+55))</f>
        <v/>
      </c>
      <c r="GH34" s="39">
        <f>IF(N('Dvd Calendar'!$T$260)=0,"",IF(('Dvd Calendar'!$T$260&gt;=GRID_FROM)*('Dvd Calendar'!$T$260&lt;=GRID_TO)*('Dvd Calendar'!$T$260&gt;VAL_DATE)=0,"",'Dvd Calendar'!$T$260*1000000000+ISNUMBER('Dvd Calendar'!$T$261)*100000000+0*10000000+(N('Dvd Calendar'!$T$259)&gt;0)*(N('Dvd Calendar'!$T$259)&lt;=VAL_SERIAL)*1000000+23*1000+56))</f>
        <v/>
      </c>
      <c r="GI34" s="39">
        <f>IF(N('Dvd Calendar'!$U$260)=0,"",IF(('Dvd Calendar'!$U$260&gt;=GRID_FROM)*('Dvd Calendar'!$U$260&lt;=GRID_TO)*('Dvd Calendar'!$U$260&gt;VAL_DATE)=0,"",'Dvd Calendar'!$U$260*1000000000+ISNUMBER('Dvd Calendar'!$U$261)*100000000+0*10000000+(N('Dvd Calendar'!$U$259)&gt;0)*(N('Dvd Calendar'!$U$259)&lt;=VAL_SERIAL)*1000000+23*1000+57))</f>
        <v/>
      </c>
      <c r="GJ34" s="39">
        <f>IF(N('Dvd Calendar'!$V$260)=0,"",IF(('Dvd Calendar'!$V$260&gt;=GRID_FROM)*('Dvd Calendar'!$V$260&lt;=GRID_TO)*('Dvd Calendar'!$V$260&gt;VAL_DATE)=0,"",'Dvd Calendar'!$V$260*1000000000+ISNUMBER('Dvd Calendar'!$V$261)*100000000+0*10000000+(N('Dvd Calendar'!$V$259)&gt;0)*(N('Dvd Calendar'!$V$259)&lt;=VAL_SERIAL)*1000000+23*1000+58))</f>
        <v/>
      </c>
      <c r="GK34" s="39">
        <f>IF(N('Dvd Calendar'!$W$260)=0,"",IF(('Dvd Calendar'!$W$260&gt;=GRID_FROM)*('Dvd Calendar'!$W$260&lt;=GRID_TO)*('Dvd Calendar'!$W$260&gt;VAL_DATE)=0,"",'Dvd Calendar'!$W$260*1000000000+ISNUMBER('Dvd Calendar'!$W$261)*100000000+0*10000000+(N('Dvd Calendar'!$W$259)&gt;0)*(N('Dvd Calendar'!$W$259)&lt;=VAL_SERIAL)*1000000+23*1000+59))</f>
        <v/>
      </c>
      <c r="GL34" s="39">
        <f>IF(N('Dvd Calendar'!$X$260)=0,"",IF(('Dvd Calendar'!$X$260&gt;=GRID_FROM)*('Dvd Calendar'!$X$260&lt;=GRID_TO)*('Dvd Calendar'!$X$260&gt;VAL_DATE)=0,"",'Dvd Calendar'!$X$260*1000000000+ISNUMBER('Dvd Calendar'!$X$261)*100000000+0*10000000+(N('Dvd Calendar'!$X$259)&gt;0)*(N('Dvd Calendar'!$X$259)&lt;=VAL_SERIAL)*1000000+23*1000+60))</f>
        <v/>
      </c>
      <c r="GM34" s="39">
        <f>IF(N('Dvd Calendar'!$Y$260)=0,"",IF(('Dvd Calendar'!$Y$260&gt;=GRID_FROM)*('Dvd Calendar'!$Y$260&lt;=GRID_TO)*('Dvd Calendar'!$Y$260&gt;VAL_DATE)=0,"",'Dvd Calendar'!$Y$260*1000000000+ISNUMBER('Dvd Calendar'!$Y$261)*100000000+0*10000000+(N('Dvd Calendar'!$Y$259)&gt;0)*(N('Dvd Calendar'!$Y$259)&lt;=VAL_SERIAL)*1000000+23*1000+61))</f>
        <v/>
      </c>
      <c r="GN34" s="39">
        <f>IF(N('Dvd Calendar'!$Z$260)=0,"",IF(('Dvd Calendar'!$Z$260&gt;=GRID_FROM)*('Dvd Calendar'!$Z$260&lt;=GRID_TO)*('Dvd Calendar'!$Z$260&gt;VAL_DATE)=0,"",'Dvd Calendar'!$Z$260*1000000000+ISNUMBER('Dvd Calendar'!$Z$261)*100000000+0*10000000+(N('Dvd Calendar'!$Z$259)&gt;0)*(N('Dvd Calendar'!$Z$259)&lt;=VAL_SERIAL)*1000000+23*1000+62))</f>
        <v/>
      </c>
      <c r="GO34" s="39">
        <f>IF(N('Dvd Calendar'!$AA$260)=0,"",IF(('Dvd Calendar'!$AA$260&gt;=GRID_FROM)*('Dvd Calendar'!$AA$260&lt;=GRID_TO)*('Dvd Calendar'!$AA$260&gt;VAL_DATE)=0,"",'Dvd Calendar'!$AA$260*1000000000+ISNUMBER('Dvd Calendar'!$AA$261)*100000000+0*10000000+(N('Dvd Calendar'!$AA$259)&gt;0)*(N('Dvd Calendar'!$AA$259)&lt;=VAL_SERIAL)*1000000+23*1000+63))</f>
        <v/>
      </c>
      <c r="GP34" s="39">
        <f>IF(N('Dvd Calendar'!$AB$260)=0,"",IF(('Dvd Calendar'!$AB$260&gt;=GRID_FROM)*('Dvd Calendar'!$AB$260&lt;=GRID_TO)*('Dvd Calendar'!$AB$260&gt;VAL_DATE)=0,"",'Dvd Calendar'!$AB$260*1000000000+ISNUMBER('Dvd Calendar'!$AB$261)*100000000+0*10000000+(N('Dvd Calendar'!$AB$259)&gt;0)*(N('Dvd Calendar'!$AB$259)&lt;=VAL_SERIAL)*1000000+23*1000+64))</f>
        <v/>
      </c>
      <c r="GQ34" s="39">
        <f>IF(N('Dvd Calendar'!$AC$260)=0,"",IF(('Dvd Calendar'!$AC$260&gt;=GRID_FROM)*('Dvd Calendar'!$AC$260&lt;=GRID_TO)*('Dvd Calendar'!$AC$260&gt;VAL_DATE)=0,"",'Dvd Calendar'!$AC$260*1000000000+ISNUMBER('Dvd Calendar'!$AC$261)*100000000+0*10000000+(N('Dvd Calendar'!$AC$259)&gt;0)*(N('Dvd Calendar'!$AC$259)&lt;=VAL_SERIAL)*1000000+23*1000+65))</f>
        <v/>
      </c>
    </row>
    <row r="35">
      <c r="B35" s="2">
        <f>IF(HSI!$C$30="","",HSI!$C$30)</f>
        <v/>
      </c>
      <c r="C35" s="110">
        <f>IF(EE35="","",IF(ISNUMBER('Dvd Calendar'!$E$267)=FALSE,"",IF((('Dvd Calendar'!$E$269=TYPE1)*(TYPE1&lt;&gt;"")+('Dvd Calendar'!$E$269=TYPE2)*(TYPE2&lt;&gt;"")+('Dvd Calendar'!$E$269=TYPE3)*(TYPE3&lt;&gt;"")+('Dvd Calendar'!$E$269=TYPE4)*(TYPE4&lt;&gt;"")+('Dvd Calendar'!$E$269=SPECIAL_LBL)*(INC_SPECIALS="Y"))=0,"",'Dvd Calendar'!$E$267)))</f>
        <v/>
      </c>
      <c r="D35" s="110">
        <f>IF(EF35="","",IF(ISNUMBER('Dvd Calendar'!$F$267)=FALSE,"",IF((('Dvd Calendar'!$F$269=TYPE1)*(TYPE1&lt;&gt;"")+('Dvd Calendar'!$F$269=TYPE2)*(TYPE2&lt;&gt;"")+('Dvd Calendar'!$F$269=TYPE3)*(TYPE3&lt;&gt;"")+('Dvd Calendar'!$F$269=TYPE4)*(TYPE4&lt;&gt;"")+('Dvd Calendar'!$F$269=SPECIAL_LBL)*(INC_SPECIALS="Y"))=0,"",'Dvd Calendar'!$F$267)))</f>
        <v/>
      </c>
      <c r="E35" s="110">
        <f>IF(EG35="","",IF(ISNUMBER('Dvd Calendar'!$G$267)=FALSE,"",IF((('Dvd Calendar'!$G$269=TYPE1)*(TYPE1&lt;&gt;"")+('Dvd Calendar'!$G$269=TYPE2)*(TYPE2&lt;&gt;"")+('Dvd Calendar'!$G$269=TYPE3)*(TYPE3&lt;&gt;"")+('Dvd Calendar'!$G$269=TYPE4)*(TYPE4&lt;&gt;"")+('Dvd Calendar'!$G$269=SPECIAL_LBL)*(INC_SPECIALS="Y"))=0,"",'Dvd Calendar'!$G$267)))</f>
        <v/>
      </c>
      <c r="F35" s="110">
        <f>IF(EH35="","",IF(ISNUMBER('Dvd Calendar'!$H$267)=FALSE,"",IF((('Dvd Calendar'!$H$269=TYPE1)*(TYPE1&lt;&gt;"")+('Dvd Calendar'!$H$269=TYPE2)*(TYPE2&lt;&gt;"")+('Dvd Calendar'!$H$269=TYPE3)*(TYPE3&lt;&gt;"")+('Dvd Calendar'!$H$269=TYPE4)*(TYPE4&lt;&gt;"")+('Dvd Calendar'!$H$269=SPECIAL_LBL)*(INC_SPECIALS="Y"))=0,"",'Dvd Calendar'!$H$267)))</f>
        <v/>
      </c>
      <c r="G35" s="110">
        <f>IF(EI35="","",IF(ISNUMBER('Dvd Calendar'!$I$267)=FALSE,"",IF((('Dvd Calendar'!$I$269=TYPE1)*(TYPE1&lt;&gt;"")+('Dvd Calendar'!$I$269=TYPE2)*(TYPE2&lt;&gt;"")+('Dvd Calendar'!$I$269=TYPE3)*(TYPE3&lt;&gt;"")+('Dvd Calendar'!$I$269=TYPE4)*(TYPE4&lt;&gt;"")+('Dvd Calendar'!$I$269=SPECIAL_LBL)*(INC_SPECIALS="Y"))=0,"",'Dvd Calendar'!$I$267)))</f>
        <v/>
      </c>
      <c r="H35" s="110">
        <f>IF(EJ35="","",IF(ISNUMBER('Dvd Calendar'!$J$267)=FALSE,"",IF((('Dvd Calendar'!$J$269=TYPE1)*(TYPE1&lt;&gt;"")+('Dvd Calendar'!$J$269=TYPE2)*(TYPE2&lt;&gt;"")+('Dvd Calendar'!$J$269=TYPE3)*(TYPE3&lt;&gt;"")+('Dvd Calendar'!$J$269=TYPE4)*(TYPE4&lt;&gt;"")+('Dvd Calendar'!$J$269=SPECIAL_LBL)*(INC_SPECIALS="Y"))=0,"",'Dvd Calendar'!$J$267)))</f>
        <v/>
      </c>
      <c r="I35" s="110">
        <f>IF(EK35="","",IF(ISNUMBER('Dvd Calendar'!$K$267)=FALSE,"",IF((('Dvd Calendar'!$K$269=TYPE1)*(TYPE1&lt;&gt;"")+('Dvd Calendar'!$K$269=TYPE2)*(TYPE2&lt;&gt;"")+('Dvd Calendar'!$K$269=TYPE3)*(TYPE3&lt;&gt;"")+('Dvd Calendar'!$K$269=TYPE4)*(TYPE4&lt;&gt;"")+('Dvd Calendar'!$K$269=SPECIAL_LBL)*(INC_SPECIALS="Y"))=0,"",'Dvd Calendar'!$K$267)))</f>
        <v/>
      </c>
      <c r="J35" s="110">
        <f>IF(EL35="","",IF(ISNUMBER('Dvd Calendar'!$L$267)=FALSE,"",IF((('Dvd Calendar'!$L$269=TYPE1)*(TYPE1&lt;&gt;"")+('Dvd Calendar'!$L$269=TYPE2)*(TYPE2&lt;&gt;"")+('Dvd Calendar'!$L$269=TYPE3)*(TYPE3&lt;&gt;"")+('Dvd Calendar'!$L$269=TYPE4)*(TYPE4&lt;&gt;"")+('Dvd Calendar'!$L$269=SPECIAL_LBL)*(INC_SPECIALS="Y"))=0,"",'Dvd Calendar'!$L$267)))</f>
        <v/>
      </c>
      <c r="K35" s="110">
        <f>IF(EM35="","",IF(ISNUMBER('Dvd Calendar'!$M$267)=FALSE,"",IF((('Dvd Calendar'!$M$269=TYPE1)*(TYPE1&lt;&gt;"")+('Dvd Calendar'!$M$269=TYPE2)*(TYPE2&lt;&gt;"")+('Dvd Calendar'!$M$269=TYPE3)*(TYPE3&lt;&gt;"")+('Dvd Calendar'!$M$269=TYPE4)*(TYPE4&lt;&gt;"")+('Dvd Calendar'!$M$269=SPECIAL_LBL)*(INC_SPECIALS="Y"))=0,"",'Dvd Calendar'!$M$267)))</f>
        <v/>
      </c>
      <c r="L35" s="110">
        <f>IF(EN35="","",IF(ISNUMBER('Dvd Calendar'!$N$267)=FALSE,"",IF((('Dvd Calendar'!$N$269=TYPE1)*(TYPE1&lt;&gt;"")+('Dvd Calendar'!$N$269=TYPE2)*(TYPE2&lt;&gt;"")+('Dvd Calendar'!$N$269=TYPE3)*(TYPE3&lt;&gt;"")+('Dvd Calendar'!$N$269=TYPE4)*(TYPE4&lt;&gt;"")+('Dvd Calendar'!$N$269=SPECIAL_LBL)*(INC_SPECIALS="Y"))=0,"",'Dvd Calendar'!$N$267)))</f>
        <v/>
      </c>
      <c r="M35" s="110">
        <f>IF(EO35="","",IF(ISNUMBER('Dvd Calendar'!$O$267)=FALSE,"",IF((('Dvd Calendar'!$O$269=TYPE1)*(TYPE1&lt;&gt;"")+('Dvd Calendar'!$O$269=TYPE2)*(TYPE2&lt;&gt;"")+('Dvd Calendar'!$O$269=TYPE3)*(TYPE3&lt;&gt;"")+('Dvd Calendar'!$O$269=TYPE4)*(TYPE4&lt;&gt;"")+('Dvd Calendar'!$O$269=SPECIAL_LBL)*(INC_SPECIALS="Y"))=0,"",'Dvd Calendar'!$O$267)))</f>
        <v/>
      </c>
      <c r="N35" s="110">
        <f>IF(EP35="","",IF(ISNUMBER('Dvd Calendar'!$P$267)=FALSE,"",IF((('Dvd Calendar'!$P$269=TYPE1)*(TYPE1&lt;&gt;"")+('Dvd Calendar'!$P$269=TYPE2)*(TYPE2&lt;&gt;"")+('Dvd Calendar'!$P$269=TYPE3)*(TYPE3&lt;&gt;"")+('Dvd Calendar'!$P$269=TYPE4)*(TYPE4&lt;&gt;"")+('Dvd Calendar'!$P$269=SPECIAL_LBL)*(INC_SPECIALS="Y"))=0,"",'Dvd Calendar'!$P$267)))</f>
        <v/>
      </c>
      <c r="O35" s="110">
        <f>IF(EQ35="","",IF(ISNUMBER('Dvd Calendar'!$Q$267)=FALSE,"",IF((('Dvd Calendar'!$Q$269=TYPE1)*(TYPE1&lt;&gt;"")+('Dvd Calendar'!$Q$269=TYPE2)*(TYPE2&lt;&gt;"")+('Dvd Calendar'!$Q$269=TYPE3)*(TYPE3&lt;&gt;"")+('Dvd Calendar'!$Q$269=TYPE4)*(TYPE4&lt;&gt;"")+('Dvd Calendar'!$Q$269=SPECIAL_LBL)*(INC_SPECIALS="Y"))=0,"",'Dvd Calendar'!$Q$267)))</f>
        <v/>
      </c>
      <c r="P35" s="110">
        <f>IF(ER35="","",IF(ISNUMBER('Dvd Calendar'!$R$267)=FALSE,"",IF((('Dvd Calendar'!$R$269=TYPE1)*(TYPE1&lt;&gt;"")+('Dvd Calendar'!$R$269=TYPE2)*(TYPE2&lt;&gt;"")+('Dvd Calendar'!$R$269=TYPE3)*(TYPE3&lt;&gt;"")+('Dvd Calendar'!$R$269=TYPE4)*(TYPE4&lt;&gt;"")+('Dvd Calendar'!$R$269=SPECIAL_LBL)*(INC_SPECIALS="Y"))=0,"",'Dvd Calendar'!$R$267)))</f>
        <v/>
      </c>
      <c r="Q35" s="110">
        <f>IF(ES35="","",IF(ISNUMBER('Dvd Calendar'!$S$267)=FALSE,"",IF((('Dvd Calendar'!$S$269=TYPE1)*(TYPE1&lt;&gt;"")+('Dvd Calendar'!$S$269=TYPE2)*(TYPE2&lt;&gt;"")+('Dvd Calendar'!$S$269=TYPE3)*(TYPE3&lt;&gt;"")+('Dvd Calendar'!$S$269=TYPE4)*(TYPE4&lt;&gt;"")+('Dvd Calendar'!$S$269=SPECIAL_LBL)*(INC_SPECIALS="Y"))=0,"",'Dvd Calendar'!$S$267)))</f>
        <v/>
      </c>
      <c r="R35" s="110">
        <f>IF(ET35="","",IF(ISNUMBER('Dvd Calendar'!$T$267)=FALSE,"",IF((('Dvd Calendar'!$T$269=TYPE1)*(TYPE1&lt;&gt;"")+('Dvd Calendar'!$T$269=TYPE2)*(TYPE2&lt;&gt;"")+('Dvd Calendar'!$T$269=TYPE3)*(TYPE3&lt;&gt;"")+('Dvd Calendar'!$T$269=TYPE4)*(TYPE4&lt;&gt;"")+('Dvd Calendar'!$T$269=SPECIAL_LBL)*(INC_SPECIALS="Y"))=0,"",'Dvd Calendar'!$T$267)))</f>
        <v/>
      </c>
      <c r="S35" s="110">
        <f>IF(EU35="","",IF(ISNUMBER('Dvd Calendar'!$U$267)=FALSE,"",IF((('Dvd Calendar'!$U$269=TYPE1)*(TYPE1&lt;&gt;"")+('Dvd Calendar'!$U$269=TYPE2)*(TYPE2&lt;&gt;"")+('Dvd Calendar'!$U$269=TYPE3)*(TYPE3&lt;&gt;"")+('Dvd Calendar'!$U$269=TYPE4)*(TYPE4&lt;&gt;"")+('Dvd Calendar'!$U$269=SPECIAL_LBL)*(INC_SPECIALS="Y"))=0,"",'Dvd Calendar'!$U$267)))</f>
        <v/>
      </c>
      <c r="T35" s="110">
        <f>IF(EV35="","",IF(ISNUMBER('Dvd Calendar'!$V$267)=FALSE,"",IF((('Dvd Calendar'!$V$269=TYPE1)*(TYPE1&lt;&gt;"")+('Dvd Calendar'!$V$269=TYPE2)*(TYPE2&lt;&gt;"")+('Dvd Calendar'!$V$269=TYPE3)*(TYPE3&lt;&gt;"")+('Dvd Calendar'!$V$269=TYPE4)*(TYPE4&lt;&gt;"")+('Dvd Calendar'!$V$269=SPECIAL_LBL)*(INC_SPECIALS="Y"))=0,"",'Dvd Calendar'!$V$267)))</f>
        <v/>
      </c>
      <c r="U35" s="110">
        <f>IF(EW35="","",IF(ISNUMBER('Dvd Calendar'!$W$267)=FALSE,"",IF((('Dvd Calendar'!$W$269=TYPE1)*(TYPE1&lt;&gt;"")+('Dvd Calendar'!$W$269=TYPE2)*(TYPE2&lt;&gt;"")+('Dvd Calendar'!$W$269=TYPE3)*(TYPE3&lt;&gt;"")+('Dvd Calendar'!$W$269=TYPE4)*(TYPE4&lt;&gt;"")+('Dvd Calendar'!$W$269=SPECIAL_LBL)*(INC_SPECIALS="Y"))=0,"",'Dvd Calendar'!$W$267)))</f>
        <v/>
      </c>
      <c r="V35" s="110">
        <f>IF(EX35="","",IF(ISNUMBER('Dvd Calendar'!$X$267)=FALSE,"",IF((('Dvd Calendar'!$X$269=TYPE1)*(TYPE1&lt;&gt;"")+('Dvd Calendar'!$X$269=TYPE2)*(TYPE2&lt;&gt;"")+('Dvd Calendar'!$X$269=TYPE3)*(TYPE3&lt;&gt;"")+('Dvd Calendar'!$X$269=TYPE4)*(TYPE4&lt;&gt;"")+('Dvd Calendar'!$X$269=SPECIAL_LBL)*(INC_SPECIALS="Y"))=0,"",'Dvd Calendar'!$X$267)))</f>
        <v/>
      </c>
      <c r="W35" s="110">
        <f>IF(EY35="","",IF(ISNUMBER('Dvd Calendar'!$Y$267)=FALSE,"",IF((('Dvd Calendar'!$Y$269=TYPE1)*(TYPE1&lt;&gt;"")+('Dvd Calendar'!$Y$269=TYPE2)*(TYPE2&lt;&gt;"")+('Dvd Calendar'!$Y$269=TYPE3)*(TYPE3&lt;&gt;"")+('Dvd Calendar'!$Y$269=TYPE4)*(TYPE4&lt;&gt;"")+('Dvd Calendar'!$Y$269=SPECIAL_LBL)*(INC_SPECIALS="Y"))=0,"",'Dvd Calendar'!$Y$267)))</f>
        <v/>
      </c>
      <c r="X35" s="110">
        <f>IF(EZ35="","",IF(ISNUMBER('Dvd Calendar'!$Z$267)=FALSE,"",IF((('Dvd Calendar'!$Z$269=TYPE1)*(TYPE1&lt;&gt;"")+('Dvd Calendar'!$Z$269=TYPE2)*(TYPE2&lt;&gt;"")+('Dvd Calendar'!$Z$269=TYPE3)*(TYPE3&lt;&gt;"")+('Dvd Calendar'!$Z$269=TYPE4)*(TYPE4&lt;&gt;"")+('Dvd Calendar'!$Z$269=SPECIAL_LBL)*(INC_SPECIALS="Y"))=0,"",'Dvd Calendar'!$Z$267)))</f>
        <v/>
      </c>
      <c r="Y35" s="110">
        <f>IF(FA35="","",IF(ISNUMBER('Dvd Calendar'!$AA$267)=FALSE,"",IF((('Dvd Calendar'!$AA$269=TYPE1)*(TYPE1&lt;&gt;"")+('Dvd Calendar'!$AA$269=TYPE2)*(TYPE2&lt;&gt;"")+('Dvd Calendar'!$AA$269=TYPE3)*(TYPE3&lt;&gt;"")+('Dvd Calendar'!$AA$269=TYPE4)*(TYPE4&lt;&gt;"")+('Dvd Calendar'!$AA$269=SPECIAL_LBL)*(INC_SPECIALS="Y"))=0,"",'Dvd Calendar'!$AA$267)))</f>
        <v/>
      </c>
      <c r="Z35" s="110">
        <f>IF(FB35="","",IF(ISNUMBER('Dvd Calendar'!$AB$267)=FALSE,"",IF((('Dvd Calendar'!$AB$269=TYPE1)*(TYPE1&lt;&gt;"")+('Dvd Calendar'!$AB$269=TYPE2)*(TYPE2&lt;&gt;"")+('Dvd Calendar'!$AB$269=TYPE3)*(TYPE3&lt;&gt;"")+('Dvd Calendar'!$AB$269=TYPE4)*(TYPE4&lt;&gt;"")+('Dvd Calendar'!$AB$269=SPECIAL_LBL)*(INC_SPECIALS="Y"))=0,"",'Dvd Calendar'!$AB$267)))</f>
        <v/>
      </c>
      <c r="AA35" s="110">
        <f>IF(FC35="","",IF(ISNUMBER('Dvd Calendar'!$AC$267)=FALSE,"",IF((('Dvd Calendar'!$AC$269=TYPE1)*(TYPE1&lt;&gt;"")+('Dvd Calendar'!$AC$269=TYPE2)*(TYPE2&lt;&gt;"")+('Dvd Calendar'!$AC$269=TYPE3)*(TYPE3&lt;&gt;"")+('Dvd Calendar'!$AC$269=TYPE4)*(TYPE4&lt;&gt;"")+('Dvd Calendar'!$AC$269=SPECIAL_LBL)*(INC_SPECIALS="Y"))=0,"",'Dvd Calendar'!$AC$267)))</f>
        <v/>
      </c>
      <c r="AB35" s="110">
        <f>IF(FD35="","",IF(ISNUMBER('Dvd Calendar'!$AD$267)=FALSE,"",IF((('Dvd Calendar'!$AD$269=TYPE1)*(TYPE1&lt;&gt;"")+('Dvd Calendar'!$AD$269=TYPE2)*(TYPE2&lt;&gt;"")+('Dvd Calendar'!$AD$269=TYPE3)*(TYPE3&lt;&gt;"")+('Dvd Calendar'!$AD$269=TYPE4)*(TYPE4&lt;&gt;"")+('Dvd Calendar'!$AD$269=SPECIAL_LBL)*(INC_SPECIALS="Y"))=0,"",'Dvd Calendar'!$AD$267)))</f>
        <v/>
      </c>
      <c r="AC35" s="110">
        <f>IF(FE35="","",IF(ISNUMBER('Dvd Calendar'!$AE$267)=FALSE,"",IF((('Dvd Calendar'!$AE$269=TYPE1)*(TYPE1&lt;&gt;"")+('Dvd Calendar'!$AE$269=TYPE2)*(TYPE2&lt;&gt;"")+('Dvd Calendar'!$AE$269=TYPE3)*(TYPE3&lt;&gt;"")+('Dvd Calendar'!$AE$269=TYPE4)*(TYPE4&lt;&gt;"")+('Dvd Calendar'!$AE$269=SPECIAL_LBL)*(INC_SPECIALS="Y"))=0,"",'Dvd Calendar'!$AE$267)))</f>
        <v/>
      </c>
      <c r="AD35" s="110">
        <f>IF(FF35="","",IF(ISNUMBER('Dvd Calendar'!$AF$267)=FALSE,"",IF((('Dvd Calendar'!$AF$269=TYPE1)*(TYPE1&lt;&gt;"")+('Dvd Calendar'!$AF$269=TYPE2)*(TYPE2&lt;&gt;"")+('Dvd Calendar'!$AF$269=TYPE3)*(TYPE3&lt;&gt;"")+('Dvd Calendar'!$AF$269=TYPE4)*(TYPE4&lt;&gt;"")+('Dvd Calendar'!$AF$269=SPECIAL_LBL)*(INC_SPECIALS="Y"))=0,"",'Dvd Calendar'!$AF$267)))</f>
        <v/>
      </c>
      <c r="AE35" s="110">
        <f>IF(FG35="","",IF(ISNUMBER('Dvd Calendar'!$AG$267)=FALSE,"",IF((('Dvd Calendar'!$AG$269=TYPE1)*(TYPE1&lt;&gt;"")+('Dvd Calendar'!$AG$269=TYPE2)*(TYPE2&lt;&gt;"")+('Dvd Calendar'!$AG$269=TYPE3)*(TYPE3&lt;&gt;"")+('Dvd Calendar'!$AG$269=TYPE4)*(TYPE4&lt;&gt;"")+('Dvd Calendar'!$AG$269=SPECIAL_LBL)*(INC_SPECIALS="Y"))=0,"",'Dvd Calendar'!$AG$267)))</f>
        <v/>
      </c>
      <c r="AF35" s="110">
        <f>IF(FH35="","",IF(ISNUMBER('Dvd Calendar'!$AH$267)=FALSE,"",IF((('Dvd Calendar'!$AH$269=TYPE1)*(TYPE1&lt;&gt;"")+('Dvd Calendar'!$AH$269=TYPE2)*(TYPE2&lt;&gt;"")+('Dvd Calendar'!$AH$269=TYPE3)*(TYPE3&lt;&gt;"")+('Dvd Calendar'!$AH$269=TYPE4)*(TYPE4&lt;&gt;"")+('Dvd Calendar'!$AH$269=SPECIAL_LBL)*(INC_SPECIALS="Y"))=0,"",'Dvd Calendar'!$AH$267)))</f>
        <v/>
      </c>
      <c r="AG35" s="110">
        <f>IF(FI35="","",IF(ISNUMBER('Dvd Calendar'!$AI$267)=FALSE,"",IF((('Dvd Calendar'!$AI$269=TYPE1)*(TYPE1&lt;&gt;"")+('Dvd Calendar'!$AI$269=TYPE2)*(TYPE2&lt;&gt;"")+('Dvd Calendar'!$AI$269=TYPE3)*(TYPE3&lt;&gt;"")+('Dvd Calendar'!$AI$269=TYPE4)*(TYPE4&lt;&gt;"")+('Dvd Calendar'!$AI$269=SPECIAL_LBL)*(INC_SPECIALS="Y"))=0,"",'Dvd Calendar'!$AI$267)))</f>
        <v/>
      </c>
      <c r="AH35" s="110">
        <f>IF(FJ35="","",IF(ISNUMBER('Dvd Calendar'!$AJ$267)=FALSE,"",IF((('Dvd Calendar'!$AJ$269=TYPE1)*(TYPE1&lt;&gt;"")+('Dvd Calendar'!$AJ$269=TYPE2)*(TYPE2&lt;&gt;"")+('Dvd Calendar'!$AJ$269=TYPE3)*(TYPE3&lt;&gt;"")+('Dvd Calendar'!$AJ$269=TYPE4)*(TYPE4&lt;&gt;"")+('Dvd Calendar'!$AJ$269=SPECIAL_LBL)*(INC_SPECIALS="Y"))=0,"",'Dvd Calendar'!$AJ$267)))</f>
        <v/>
      </c>
      <c r="AI35" s="110">
        <f>IF(FK35="","",IF(ISNUMBER('Dvd Calendar'!$AK$267)=FALSE,"",IF((('Dvd Calendar'!$AK$269=TYPE1)*(TYPE1&lt;&gt;"")+('Dvd Calendar'!$AK$269=TYPE2)*(TYPE2&lt;&gt;"")+('Dvd Calendar'!$AK$269=TYPE3)*(TYPE3&lt;&gt;"")+('Dvd Calendar'!$AK$269=TYPE4)*(TYPE4&lt;&gt;"")+('Dvd Calendar'!$AK$269=SPECIAL_LBL)*(INC_SPECIALS="Y"))=0,"",'Dvd Calendar'!$AK$267)))</f>
        <v/>
      </c>
      <c r="AJ35" s="110">
        <f>IF(FL35="","",IF(ISNUMBER('Dvd Calendar'!$AL$267)=FALSE,"",IF((('Dvd Calendar'!$AL$269=TYPE1)*(TYPE1&lt;&gt;"")+('Dvd Calendar'!$AL$269=TYPE2)*(TYPE2&lt;&gt;"")+('Dvd Calendar'!$AL$269=TYPE3)*(TYPE3&lt;&gt;"")+('Dvd Calendar'!$AL$269=TYPE4)*(TYPE4&lt;&gt;"")+('Dvd Calendar'!$AL$269=SPECIAL_LBL)*(INC_SPECIALS="Y"))=0,"",'Dvd Calendar'!$AL$267)))</f>
        <v/>
      </c>
      <c r="AK35" s="110">
        <f>IF(FM35="","",IF(ISNUMBER('Dvd Calendar'!$AM$267)=FALSE,"",IF((('Dvd Calendar'!$AM$269=TYPE1)*(TYPE1&lt;&gt;"")+('Dvd Calendar'!$AM$269=TYPE2)*(TYPE2&lt;&gt;"")+('Dvd Calendar'!$AM$269=TYPE3)*(TYPE3&lt;&gt;"")+('Dvd Calendar'!$AM$269=TYPE4)*(TYPE4&lt;&gt;"")+('Dvd Calendar'!$AM$269=SPECIAL_LBL)*(INC_SPECIALS="Y"))=0,"",'Dvd Calendar'!$AM$267)))</f>
        <v/>
      </c>
      <c r="AL35" s="110">
        <f>IF(FN35="","",IF(ISNUMBER('Dvd Calendar'!$AN$267)=FALSE,"",IF((('Dvd Calendar'!$AN$269=TYPE1)*(TYPE1&lt;&gt;"")+('Dvd Calendar'!$AN$269=TYPE2)*(TYPE2&lt;&gt;"")+('Dvd Calendar'!$AN$269=TYPE3)*(TYPE3&lt;&gt;"")+('Dvd Calendar'!$AN$269=TYPE4)*(TYPE4&lt;&gt;"")+('Dvd Calendar'!$AN$269=SPECIAL_LBL)*(INC_SPECIALS="Y"))=0,"",'Dvd Calendar'!$AN$267)))</f>
        <v/>
      </c>
      <c r="AM35" s="110">
        <f>IF(FO35="","",IF(ISNUMBER('Dvd Calendar'!$AO$267)=FALSE,"",IF((('Dvd Calendar'!$AO$269=TYPE1)*(TYPE1&lt;&gt;"")+('Dvd Calendar'!$AO$269=TYPE2)*(TYPE2&lt;&gt;"")+('Dvd Calendar'!$AO$269=TYPE3)*(TYPE3&lt;&gt;"")+('Dvd Calendar'!$AO$269=TYPE4)*(TYPE4&lt;&gt;"")+('Dvd Calendar'!$AO$269=SPECIAL_LBL)*(INC_SPECIALS="Y"))=0,"",'Dvd Calendar'!$AO$267)))</f>
        <v/>
      </c>
      <c r="AN35" s="110">
        <f>IF(FP35="","",IF(ISNUMBER('Dvd Calendar'!$AP$267)=FALSE,"",IF((('Dvd Calendar'!$AP$269=TYPE1)*(TYPE1&lt;&gt;"")+('Dvd Calendar'!$AP$269=TYPE2)*(TYPE2&lt;&gt;"")+('Dvd Calendar'!$AP$269=TYPE3)*(TYPE3&lt;&gt;"")+('Dvd Calendar'!$AP$269=TYPE4)*(TYPE4&lt;&gt;"")+('Dvd Calendar'!$AP$269=SPECIAL_LBL)*(INC_SPECIALS="Y"))=0,"",'Dvd Calendar'!$AP$267)))</f>
        <v/>
      </c>
      <c r="AO35" s="110">
        <f>IF(FQ35="","",IF(ISNUMBER('Dvd Calendar'!$AQ$267)=FALSE,"",IF((('Dvd Calendar'!$AQ$269=TYPE1)*(TYPE1&lt;&gt;"")+('Dvd Calendar'!$AQ$269=TYPE2)*(TYPE2&lt;&gt;"")+('Dvd Calendar'!$AQ$269=TYPE3)*(TYPE3&lt;&gt;"")+('Dvd Calendar'!$AQ$269=TYPE4)*(TYPE4&lt;&gt;"")+('Dvd Calendar'!$AQ$269=SPECIAL_LBL)*(INC_SPECIALS="Y"))=0,"",'Dvd Calendar'!$AQ$267)))</f>
        <v/>
      </c>
      <c r="AP35" s="110">
        <f>IF(FR35="","",IF(ISNUMBER('Dvd Calendar'!$AR$267)=FALSE,"",IF((('Dvd Calendar'!$AR$269=TYPE1)*(TYPE1&lt;&gt;"")+('Dvd Calendar'!$AR$269=TYPE2)*(TYPE2&lt;&gt;"")+('Dvd Calendar'!$AR$269=TYPE3)*(TYPE3&lt;&gt;"")+('Dvd Calendar'!$AR$269=TYPE4)*(TYPE4&lt;&gt;"")+('Dvd Calendar'!$AR$269=SPECIAL_LBL)*(INC_SPECIALS="Y"))=0,"",'Dvd Calendar'!$AR$267)))</f>
        <v/>
      </c>
      <c r="AQ35" s="110">
        <f>IF(FS35="","",IF(ISNUMBER('Dvd Calendar'!$E$272)=FALSE,"",'Dvd Calendar'!$E$272))</f>
        <v/>
      </c>
      <c r="AR35" s="110">
        <f>IF(FT35="","",IF(ISNUMBER('Dvd Calendar'!$F$272)=FALSE,"",'Dvd Calendar'!$F$272))</f>
        <v/>
      </c>
      <c r="AS35" s="110">
        <f>IF(FU35="","",IF(ISNUMBER('Dvd Calendar'!$G$272)=FALSE,"",'Dvd Calendar'!$G$272))</f>
        <v/>
      </c>
      <c r="AT35" s="110">
        <f>IF(FV35="","",IF(ISNUMBER('Dvd Calendar'!$H$272)=FALSE,"",'Dvd Calendar'!$H$272))</f>
        <v/>
      </c>
      <c r="AU35" s="110">
        <f>IF(FW35="","",IF(ISNUMBER('Dvd Calendar'!$I$272)=FALSE,"",'Dvd Calendar'!$I$272))</f>
        <v/>
      </c>
      <c r="AV35" s="110">
        <f>IF(FX35="","",IF(ISNUMBER('Dvd Calendar'!$J$272)=FALSE,"",'Dvd Calendar'!$J$272))</f>
        <v/>
      </c>
      <c r="AW35" s="110">
        <f>IF(FY35="","",IF(ISNUMBER('Dvd Calendar'!$K$272)=FALSE,"",'Dvd Calendar'!$K$272))</f>
        <v/>
      </c>
      <c r="AX35" s="110">
        <f>IF(FZ35="","",IF(ISNUMBER('Dvd Calendar'!$L$272)=FALSE,"",'Dvd Calendar'!$L$272))</f>
        <v/>
      </c>
      <c r="AY35" s="110">
        <f>IF(GA35="","",IF(ISNUMBER('Dvd Calendar'!$M$272)=FALSE,"",'Dvd Calendar'!$M$272))</f>
        <v/>
      </c>
      <c r="AZ35" s="110">
        <f>IF(GB35="","",IF(ISNUMBER('Dvd Calendar'!$N$272)=FALSE,"",'Dvd Calendar'!$N$272))</f>
        <v/>
      </c>
      <c r="BA35" s="110">
        <f>IF(GC35="","",IF(ISNUMBER('Dvd Calendar'!$O$272)=FALSE,"",'Dvd Calendar'!$O$272))</f>
        <v/>
      </c>
      <c r="BB35" s="110">
        <f>IF(GD35="","",IF(ISNUMBER('Dvd Calendar'!$P$272)=FALSE,"",'Dvd Calendar'!$P$272))</f>
        <v/>
      </c>
      <c r="BC35" s="110">
        <f>IF(GE35="","",IF(ISNUMBER('Dvd Calendar'!$Q$272)=FALSE,"",'Dvd Calendar'!$Q$272))</f>
        <v/>
      </c>
      <c r="BD35" s="110">
        <f>IF(GF35="","",IF(ISNUMBER('Dvd Calendar'!$R$272)=FALSE,"",'Dvd Calendar'!$R$272))</f>
        <v/>
      </c>
      <c r="BE35" s="110">
        <f>IF(GG35="","",IF(ISNUMBER('Dvd Calendar'!$S$272)=FALSE,"",'Dvd Calendar'!$S$272))</f>
        <v/>
      </c>
      <c r="BF35" s="110">
        <f>IF(GH35="","",IF(ISNUMBER('Dvd Calendar'!$T$272)=FALSE,"",'Dvd Calendar'!$T$272))</f>
        <v/>
      </c>
      <c r="BG35" s="110">
        <f>IF(GI35="","",IF(ISNUMBER('Dvd Calendar'!$U$272)=FALSE,"",'Dvd Calendar'!$U$272))</f>
        <v/>
      </c>
      <c r="BH35" s="110">
        <f>IF(GJ35="","",IF(ISNUMBER('Dvd Calendar'!$V$272)=FALSE,"",'Dvd Calendar'!$V$272))</f>
        <v/>
      </c>
      <c r="BI35" s="110">
        <f>IF(GK35="","",IF(ISNUMBER('Dvd Calendar'!$W$272)=FALSE,"",'Dvd Calendar'!$W$272))</f>
        <v/>
      </c>
      <c r="BJ35" s="110">
        <f>IF(GL35="","",IF(ISNUMBER('Dvd Calendar'!$X$272)=FALSE,"",'Dvd Calendar'!$X$272))</f>
        <v/>
      </c>
      <c r="BK35" s="110">
        <f>IF(GM35="","",IF(ISNUMBER('Dvd Calendar'!$Y$272)=FALSE,"",'Dvd Calendar'!$Y$272))</f>
        <v/>
      </c>
      <c r="BL35" s="110">
        <f>IF(GN35="","",IF(ISNUMBER('Dvd Calendar'!$Z$272)=FALSE,"",'Dvd Calendar'!$Z$272))</f>
        <v/>
      </c>
      <c r="BM35" s="110">
        <f>IF(GO35="","",IF(ISNUMBER('Dvd Calendar'!$AA$272)=FALSE,"",'Dvd Calendar'!$AA$272))</f>
        <v/>
      </c>
      <c r="BN35" s="110">
        <f>IF(GP35="","",IF(ISNUMBER('Dvd Calendar'!$AB$272)=FALSE,"",'Dvd Calendar'!$AB$272))</f>
        <v/>
      </c>
      <c r="BO35" s="110">
        <f>IF(GQ35="","",IF(ISNUMBER('Dvd Calendar'!$AC$272)=FALSE,"",'Dvd Calendar'!$AC$272))</f>
        <v/>
      </c>
      <c r="BQ35" s="110">
        <f>IF(C35="","",IFERROR(C35*HSI!$B$30*HSI!$G$30/HSI!$B$3,""))</f>
        <v/>
      </c>
      <c r="BR35" s="110">
        <f>IF(D35="","",IFERROR(D35*HSI!$B$30*HSI!$G$30/HSI!$B$3,""))</f>
        <v/>
      </c>
      <c r="BS35" s="110">
        <f>IF(E35="","",IFERROR(E35*HSI!$B$30*HSI!$G$30/HSI!$B$3,""))</f>
        <v/>
      </c>
      <c r="BT35" s="110">
        <f>IF(F35="","",IFERROR(F35*HSI!$B$30*HSI!$G$30/HSI!$B$3,""))</f>
        <v/>
      </c>
      <c r="BU35" s="110">
        <f>IF(G35="","",IFERROR(G35*HSI!$B$30*HSI!$G$30/HSI!$B$3,""))</f>
        <v/>
      </c>
      <c r="BV35" s="110">
        <f>IF(H35="","",IFERROR(H35*HSI!$B$30*HSI!$G$30/HSI!$B$3,""))</f>
        <v/>
      </c>
      <c r="BW35" s="110">
        <f>IF(I35="","",IFERROR(I35*HSI!$B$30*HSI!$G$30/HSI!$B$3,""))</f>
        <v/>
      </c>
      <c r="BX35" s="110">
        <f>IF(J35="","",IFERROR(J35*HSI!$B$30*HSI!$G$30/HSI!$B$3,""))</f>
        <v/>
      </c>
      <c r="BY35" s="110">
        <f>IF(K35="","",IFERROR(K35*HSI!$B$30*HSI!$G$30/HSI!$B$3,""))</f>
        <v/>
      </c>
      <c r="BZ35" s="110">
        <f>IF(L35="","",IFERROR(L35*HSI!$B$30*HSI!$G$30/HSI!$B$3,""))</f>
        <v/>
      </c>
      <c r="CA35" s="110">
        <f>IF(M35="","",IFERROR(M35*HSI!$B$30*HSI!$G$30/HSI!$B$3,""))</f>
        <v/>
      </c>
      <c r="CB35" s="110">
        <f>IF(N35="","",IFERROR(N35*HSI!$B$30*HSI!$G$30/HSI!$B$3,""))</f>
        <v/>
      </c>
      <c r="CC35" s="110">
        <f>IF(O35="","",IFERROR(O35*HSI!$B$30*HSI!$G$30/HSI!$B$3,""))</f>
        <v/>
      </c>
      <c r="CD35" s="110">
        <f>IF(P35="","",IFERROR(P35*HSI!$B$30*HSI!$G$30/HSI!$B$3,""))</f>
        <v/>
      </c>
      <c r="CE35" s="110">
        <f>IF(Q35="","",IFERROR(Q35*HSI!$B$30*HSI!$G$30/HSI!$B$3,""))</f>
        <v/>
      </c>
      <c r="CF35" s="110">
        <f>IF(R35="","",IFERROR(R35*HSI!$B$30*HSI!$G$30/HSI!$B$3,""))</f>
        <v/>
      </c>
      <c r="CG35" s="110">
        <f>IF(S35="","",IFERROR(S35*HSI!$B$30*HSI!$G$30/HSI!$B$3,""))</f>
        <v/>
      </c>
      <c r="CH35" s="110">
        <f>IF(T35="","",IFERROR(T35*HSI!$B$30*HSI!$G$30/HSI!$B$3,""))</f>
        <v/>
      </c>
      <c r="CI35" s="110">
        <f>IF(U35="","",IFERROR(U35*HSI!$B$30*HSI!$G$30/HSI!$B$3,""))</f>
        <v/>
      </c>
      <c r="CJ35" s="110">
        <f>IF(V35="","",IFERROR(V35*HSI!$B$30*HSI!$G$30/HSI!$B$3,""))</f>
        <v/>
      </c>
      <c r="CK35" s="110">
        <f>IF(W35="","",IFERROR(W35*HSI!$B$30*HSI!$G$30/HSI!$B$3,""))</f>
        <v/>
      </c>
      <c r="CL35" s="110">
        <f>IF(X35="","",IFERROR(X35*HSI!$B$30*HSI!$G$30/HSI!$B$3,""))</f>
        <v/>
      </c>
      <c r="CM35" s="110">
        <f>IF(Y35="","",IFERROR(Y35*HSI!$B$30*HSI!$G$30/HSI!$B$3,""))</f>
        <v/>
      </c>
      <c r="CN35" s="110">
        <f>IF(Z35="","",IFERROR(Z35*HSI!$B$30*HSI!$G$30/HSI!$B$3,""))</f>
        <v/>
      </c>
      <c r="CO35" s="110">
        <f>IF(AA35="","",IFERROR(AA35*HSI!$B$30*HSI!$G$30/HSI!$B$3,""))</f>
        <v/>
      </c>
      <c r="CP35" s="110">
        <f>IF(AB35="","",IFERROR(AB35*HSI!$B$30*HSI!$G$30/HSI!$B$3,""))</f>
        <v/>
      </c>
      <c r="CQ35" s="110">
        <f>IF(AC35="","",IFERROR(AC35*HSI!$B$30*HSI!$G$30/HSI!$B$3,""))</f>
        <v/>
      </c>
      <c r="CR35" s="110">
        <f>IF(AD35="","",IFERROR(AD35*HSI!$B$30*HSI!$G$30/HSI!$B$3,""))</f>
        <v/>
      </c>
      <c r="CS35" s="110">
        <f>IF(AE35="","",IFERROR(AE35*HSI!$B$30*HSI!$G$30/HSI!$B$3,""))</f>
        <v/>
      </c>
      <c r="CT35" s="110">
        <f>IF(AF35="","",IFERROR(AF35*HSI!$B$30*HSI!$G$30/HSI!$B$3,""))</f>
        <v/>
      </c>
      <c r="CU35" s="110">
        <f>IF(AG35="","",IFERROR(AG35*HSI!$B$30*HSI!$G$30/HSI!$B$3,""))</f>
        <v/>
      </c>
      <c r="CV35" s="110">
        <f>IF(AH35="","",IFERROR(AH35*HSI!$B$30*HSI!$G$30/HSI!$B$3,""))</f>
        <v/>
      </c>
      <c r="CW35" s="110">
        <f>IF(AI35="","",IFERROR(AI35*HSI!$B$30*HSI!$G$30/HSI!$B$3,""))</f>
        <v/>
      </c>
      <c r="CX35" s="110">
        <f>IF(AJ35="","",IFERROR(AJ35*HSI!$B$30*HSI!$G$30/HSI!$B$3,""))</f>
        <v/>
      </c>
      <c r="CY35" s="110">
        <f>IF(AK35="","",IFERROR(AK35*HSI!$B$30*HSI!$G$30/HSI!$B$3,""))</f>
        <v/>
      </c>
      <c r="CZ35" s="110">
        <f>IF(AL35="","",IFERROR(AL35*HSI!$B$30*HSI!$G$30/HSI!$B$3,""))</f>
        <v/>
      </c>
      <c r="DA35" s="110">
        <f>IF(AM35="","",IFERROR(AM35*HSI!$B$30*HSI!$G$30/HSI!$B$3,""))</f>
        <v/>
      </c>
      <c r="DB35" s="110">
        <f>IF(AN35="","",IFERROR(AN35*HSI!$B$30*HSI!$G$30/HSI!$B$3,""))</f>
        <v/>
      </c>
      <c r="DC35" s="110">
        <f>IF(AO35="","",IFERROR(AO35*HSI!$B$30*HSI!$G$30/HSI!$B$3,""))</f>
        <v/>
      </c>
      <c r="DD35" s="110">
        <f>IF(AP35="","",IFERROR(AP35*HSI!$B$30*HSI!$G$30/HSI!$B$3,""))</f>
        <v/>
      </c>
      <c r="DE35" s="110">
        <f>IF(AQ35="","",IFERROR(AQ35*HSI!$B$30*HSI!$G$30/HSI!$B$3,""))</f>
        <v/>
      </c>
      <c r="DF35" s="110">
        <f>IF(AR35="","",IFERROR(AR35*HSI!$B$30*HSI!$G$30/HSI!$B$3,""))</f>
        <v/>
      </c>
      <c r="DG35" s="110">
        <f>IF(AS35="","",IFERROR(AS35*HSI!$B$30*HSI!$G$30/HSI!$B$3,""))</f>
        <v/>
      </c>
      <c r="DH35" s="110">
        <f>IF(AT35="","",IFERROR(AT35*HSI!$B$30*HSI!$G$30/HSI!$B$3,""))</f>
        <v/>
      </c>
      <c r="DI35" s="110">
        <f>IF(AU35="","",IFERROR(AU35*HSI!$B$30*HSI!$G$30/HSI!$B$3,""))</f>
        <v/>
      </c>
      <c r="DJ35" s="110">
        <f>IF(AV35="","",IFERROR(AV35*HSI!$B$30*HSI!$G$30/HSI!$B$3,""))</f>
        <v/>
      </c>
      <c r="DK35" s="110">
        <f>IF(AW35="","",IFERROR(AW35*HSI!$B$30*HSI!$G$30/HSI!$B$3,""))</f>
        <v/>
      </c>
      <c r="DL35" s="110">
        <f>IF(AX35="","",IFERROR(AX35*HSI!$B$30*HSI!$G$30/HSI!$B$3,""))</f>
        <v/>
      </c>
      <c r="DM35" s="110">
        <f>IF(AY35="","",IFERROR(AY35*HSI!$B$30*HSI!$G$30/HSI!$B$3,""))</f>
        <v/>
      </c>
      <c r="DN35" s="110">
        <f>IF(AZ35="","",IFERROR(AZ35*HSI!$B$30*HSI!$G$30/HSI!$B$3,""))</f>
        <v/>
      </c>
      <c r="DO35" s="110">
        <f>IF(BA35="","",IFERROR(BA35*HSI!$B$30*HSI!$G$30/HSI!$B$3,""))</f>
        <v/>
      </c>
      <c r="DP35" s="110">
        <f>IF(BB35="","",IFERROR(BB35*HSI!$B$30*HSI!$G$30/HSI!$B$3,""))</f>
        <v/>
      </c>
      <c r="DQ35" s="110">
        <f>IF(BC35="","",IFERROR(BC35*HSI!$B$30*HSI!$G$30/HSI!$B$3,""))</f>
        <v/>
      </c>
      <c r="DR35" s="110">
        <f>IF(BD35="","",IFERROR(BD35*HSI!$B$30*HSI!$G$30/HSI!$B$3,""))</f>
        <v/>
      </c>
      <c r="DS35" s="110">
        <f>IF(BE35="","",IFERROR(BE35*HSI!$B$30*HSI!$G$30/HSI!$B$3,""))</f>
        <v/>
      </c>
      <c r="DT35" s="110">
        <f>IF(BF35="","",IFERROR(BF35*HSI!$B$30*HSI!$G$30/HSI!$B$3,""))</f>
        <v/>
      </c>
      <c r="DU35" s="110">
        <f>IF(BG35="","",IFERROR(BG35*HSI!$B$30*HSI!$G$30/HSI!$B$3,""))</f>
        <v/>
      </c>
      <c r="DV35" s="110">
        <f>IF(BH35="","",IFERROR(BH35*HSI!$B$30*HSI!$G$30/HSI!$B$3,""))</f>
        <v/>
      </c>
      <c r="DW35" s="110">
        <f>IF(BI35="","",IFERROR(BI35*HSI!$B$30*HSI!$G$30/HSI!$B$3,""))</f>
        <v/>
      </c>
      <c r="DX35" s="110">
        <f>IF(BJ35="","",IFERROR(BJ35*HSI!$B$30*HSI!$G$30/HSI!$B$3,""))</f>
        <v/>
      </c>
      <c r="DY35" s="110">
        <f>IF(BK35="","",IFERROR(BK35*HSI!$B$30*HSI!$G$30/HSI!$B$3,""))</f>
        <v/>
      </c>
      <c r="DZ35" s="110">
        <f>IF(BL35="","",IFERROR(BL35*HSI!$B$30*HSI!$G$30/HSI!$B$3,""))</f>
        <v/>
      </c>
      <c r="EA35" s="110">
        <f>IF(BM35="","",IFERROR(BM35*HSI!$B$30*HSI!$G$30/HSI!$B$3,""))</f>
        <v/>
      </c>
      <c r="EB35" s="110">
        <f>IF(BN35="","",IFERROR(BN35*HSI!$B$30*HSI!$G$30/HSI!$B$3,""))</f>
        <v/>
      </c>
      <c r="EC35" s="110">
        <f>IF(BO35="","",IFERROR(BO35*HSI!$B$30*HSI!$G$30/HSI!$B$3,""))</f>
        <v/>
      </c>
      <c r="EE35" s="39">
        <f>IF(N('Dvd Calendar'!$E$264)=0,"",IF(('Dvd Calendar'!$E$264&gt;=GRID_FROM)*('Dvd Calendar'!$E$264&lt;=GRID_TO)*((('Dvd Calendar'!$E$264&lt;=VAL_DATE)+(COUNTIF('Dvd Calendar'!$E$271:$AR$271,'Dvd Calendar'!$E$264)=0))&gt;0)=0,"",'Dvd Calendar'!$E$264*1000000000+ISNUMBER('Dvd Calendar'!$E$267)*100000000+('Dvd Calendar'!$E$269=SPECIAL_LBL)*10000000+(N('Dvd Calendar'!$E$263)&gt;0)*(N('Dvd Calendar'!$E$263)&lt;=VAL_SERIAL)*1000000+24*1000+1))</f>
        <v/>
      </c>
      <c r="EF35" s="39">
        <f>IF(N('Dvd Calendar'!$F$264)=0,"",IF(('Dvd Calendar'!$F$264&gt;=GRID_FROM)*('Dvd Calendar'!$F$264&lt;=GRID_TO)*((('Dvd Calendar'!$F$264&lt;=VAL_DATE)+(COUNTIF('Dvd Calendar'!$E$271:$AR$271,'Dvd Calendar'!$F$264)=0))&gt;0)=0,"",'Dvd Calendar'!$F$264*1000000000+ISNUMBER('Dvd Calendar'!$F$267)*100000000+('Dvd Calendar'!$F$269=SPECIAL_LBL)*10000000+(N('Dvd Calendar'!$F$263)&gt;0)*(N('Dvd Calendar'!$F$263)&lt;=VAL_SERIAL)*1000000+24*1000+2))</f>
        <v/>
      </c>
      <c r="EG35" s="39">
        <f>IF(N('Dvd Calendar'!$G$264)=0,"",IF(('Dvd Calendar'!$G$264&gt;=GRID_FROM)*('Dvd Calendar'!$G$264&lt;=GRID_TO)*((('Dvd Calendar'!$G$264&lt;=VAL_DATE)+(COUNTIF('Dvd Calendar'!$E$271:$AR$271,'Dvd Calendar'!$G$264)=0))&gt;0)=0,"",'Dvd Calendar'!$G$264*1000000000+ISNUMBER('Dvd Calendar'!$G$267)*100000000+('Dvd Calendar'!$G$269=SPECIAL_LBL)*10000000+(N('Dvd Calendar'!$G$263)&gt;0)*(N('Dvd Calendar'!$G$263)&lt;=VAL_SERIAL)*1000000+24*1000+3))</f>
        <v/>
      </c>
      <c r="EH35" s="39">
        <f>IF(N('Dvd Calendar'!$H$264)=0,"",IF(('Dvd Calendar'!$H$264&gt;=GRID_FROM)*('Dvd Calendar'!$H$264&lt;=GRID_TO)*((('Dvd Calendar'!$H$264&lt;=VAL_DATE)+(COUNTIF('Dvd Calendar'!$E$271:$AR$271,'Dvd Calendar'!$H$264)=0))&gt;0)=0,"",'Dvd Calendar'!$H$264*1000000000+ISNUMBER('Dvd Calendar'!$H$267)*100000000+('Dvd Calendar'!$H$269=SPECIAL_LBL)*10000000+(N('Dvd Calendar'!$H$263)&gt;0)*(N('Dvd Calendar'!$H$263)&lt;=VAL_SERIAL)*1000000+24*1000+4))</f>
        <v/>
      </c>
      <c r="EI35" s="39">
        <f>IF(N('Dvd Calendar'!$I$264)=0,"",IF(('Dvd Calendar'!$I$264&gt;=GRID_FROM)*('Dvd Calendar'!$I$264&lt;=GRID_TO)*((('Dvd Calendar'!$I$264&lt;=VAL_DATE)+(COUNTIF('Dvd Calendar'!$E$271:$AR$271,'Dvd Calendar'!$I$264)=0))&gt;0)=0,"",'Dvd Calendar'!$I$264*1000000000+ISNUMBER('Dvd Calendar'!$I$267)*100000000+('Dvd Calendar'!$I$269=SPECIAL_LBL)*10000000+(N('Dvd Calendar'!$I$263)&gt;0)*(N('Dvd Calendar'!$I$263)&lt;=VAL_SERIAL)*1000000+24*1000+5))</f>
        <v/>
      </c>
      <c r="EJ35" s="39">
        <f>IF(N('Dvd Calendar'!$J$264)=0,"",IF(('Dvd Calendar'!$J$264&gt;=GRID_FROM)*('Dvd Calendar'!$J$264&lt;=GRID_TO)*((('Dvd Calendar'!$J$264&lt;=VAL_DATE)+(COUNTIF('Dvd Calendar'!$E$271:$AR$271,'Dvd Calendar'!$J$264)=0))&gt;0)=0,"",'Dvd Calendar'!$J$264*1000000000+ISNUMBER('Dvd Calendar'!$J$267)*100000000+('Dvd Calendar'!$J$269=SPECIAL_LBL)*10000000+(N('Dvd Calendar'!$J$263)&gt;0)*(N('Dvd Calendar'!$J$263)&lt;=VAL_SERIAL)*1000000+24*1000+6))</f>
        <v/>
      </c>
      <c r="EK35" s="39">
        <f>IF(N('Dvd Calendar'!$K$264)=0,"",IF(('Dvd Calendar'!$K$264&gt;=GRID_FROM)*('Dvd Calendar'!$K$264&lt;=GRID_TO)*((('Dvd Calendar'!$K$264&lt;=VAL_DATE)+(COUNTIF('Dvd Calendar'!$E$271:$AR$271,'Dvd Calendar'!$K$264)=0))&gt;0)=0,"",'Dvd Calendar'!$K$264*1000000000+ISNUMBER('Dvd Calendar'!$K$267)*100000000+('Dvd Calendar'!$K$269=SPECIAL_LBL)*10000000+(N('Dvd Calendar'!$K$263)&gt;0)*(N('Dvd Calendar'!$K$263)&lt;=VAL_SERIAL)*1000000+24*1000+7))</f>
        <v/>
      </c>
      <c r="EL35" s="39">
        <f>IF(N('Dvd Calendar'!$L$264)=0,"",IF(('Dvd Calendar'!$L$264&gt;=GRID_FROM)*('Dvd Calendar'!$L$264&lt;=GRID_TO)*((('Dvd Calendar'!$L$264&lt;=VAL_DATE)+(COUNTIF('Dvd Calendar'!$E$271:$AR$271,'Dvd Calendar'!$L$264)=0))&gt;0)=0,"",'Dvd Calendar'!$L$264*1000000000+ISNUMBER('Dvd Calendar'!$L$267)*100000000+('Dvd Calendar'!$L$269=SPECIAL_LBL)*10000000+(N('Dvd Calendar'!$L$263)&gt;0)*(N('Dvd Calendar'!$L$263)&lt;=VAL_SERIAL)*1000000+24*1000+8))</f>
        <v/>
      </c>
      <c r="EM35" s="39">
        <f>IF(N('Dvd Calendar'!$M$264)=0,"",IF(('Dvd Calendar'!$M$264&gt;=GRID_FROM)*('Dvd Calendar'!$M$264&lt;=GRID_TO)*((('Dvd Calendar'!$M$264&lt;=VAL_DATE)+(COUNTIF('Dvd Calendar'!$E$271:$AR$271,'Dvd Calendar'!$M$264)=0))&gt;0)=0,"",'Dvd Calendar'!$M$264*1000000000+ISNUMBER('Dvd Calendar'!$M$267)*100000000+('Dvd Calendar'!$M$269=SPECIAL_LBL)*10000000+(N('Dvd Calendar'!$M$263)&gt;0)*(N('Dvd Calendar'!$M$263)&lt;=VAL_SERIAL)*1000000+24*1000+9))</f>
        <v/>
      </c>
      <c r="EN35" s="39">
        <f>IF(N('Dvd Calendar'!$N$264)=0,"",IF(('Dvd Calendar'!$N$264&gt;=GRID_FROM)*('Dvd Calendar'!$N$264&lt;=GRID_TO)*((('Dvd Calendar'!$N$264&lt;=VAL_DATE)+(COUNTIF('Dvd Calendar'!$E$271:$AR$271,'Dvd Calendar'!$N$264)=0))&gt;0)=0,"",'Dvd Calendar'!$N$264*1000000000+ISNUMBER('Dvd Calendar'!$N$267)*100000000+('Dvd Calendar'!$N$269=SPECIAL_LBL)*10000000+(N('Dvd Calendar'!$N$263)&gt;0)*(N('Dvd Calendar'!$N$263)&lt;=VAL_SERIAL)*1000000+24*1000+10))</f>
        <v/>
      </c>
      <c r="EO35" s="39">
        <f>IF(N('Dvd Calendar'!$O$264)=0,"",IF(('Dvd Calendar'!$O$264&gt;=GRID_FROM)*('Dvd Calendar'!$O$264&lt;=GRID_TO)*((('Dvd Calendar'!$O$264&lt;=VAL_DATE)+(COUNTIF('Dvd Calendar'!$E$271:$AR$271,'Dvd Calendar'!$O$264)=0))&gt;0)=0,"",'Dvd Calendar'!$O$264*1000000000+ISNUMBER('Dvd Calendar'!$O$267)*100000000+('Dvd Calendar'!$O$269=SPECIAL_LBL)*10000000+(N('Dvd Calendar'!$O$263)&gt;0)*(N('Dvd Calendar'!$O$263)&lt;=VAL_SERIAL)*1000000+24*1000+11))</f>
        <v/>
      </c>
      <c r="EP35" s="39">
        <f>IF(N('Dvd Calendar'!$P$264)=0,"",IF(('Dvd Calendar'!$P$264&gt;=GRID_FROM)*('Dvd Calendar'!$P$264&lt;=GRID_TO)*((('Dvd Calendar'!$P$264&lt;=VAL_DATE)+(COUNTIF('Dvd Calendar'!$E$271:$AR$271,'Dvd Calendar'!$P$264)=0))&gt;0)=0,"",'Dvd Calendar'!$P$264*1000000000+ISNUMBER('Dvd Calendar'!$P$267)*100000000+('Dvd Calendar'!$P$269=SPECIAL_LBL)*10000000+(N('Dvd Calendar'!$P$263)&gt;0)*(N('Dvd Calendar'!$P$263)&lt;=VAL_SERIAL)*1000000+24*1000+12))</f>
        <v/>
      </c>
      <c r="EQ35" s="39">
        <f>IF(N('Dvd Calendar'!$Q$264)=0,"",IF(('Dvd Calendar'!$Q$264&gt;=GRID_FROM)*('Dvd Calendar'!$Q$264&lt;=GRID_TO)*((('Dvd Calendar'!$Q$264&lt;=VAL_DATE)+(COUNTIF('Dvd Calendar'!$E$271:$AR$271,'Dvd Calendar'!$Q$264)=0))&gt;0)=0,"",'Dvd Calendar'!$Q$264*1000000000+ISNUMBER('Dvd Calendar'!$Q$267)*100000000+('Dvd Calendar'!$Q$269=SPECIAL_LBL)*10000000+(N('Dvd Calendar'!$Q$263)&gt;0)*(N('Dvd Calendar'!$Q$263)&lt;=VAL_SERIAL)*1000000+24*1000+13))</f>
        <v/>
      </c>
      <c r="ER35" s="39">
        <f>IF(N('Dvd Calendar'!$R$264)=0,"",IF(('Dvd Calendar'!$R$264&gt;=GRID_FROM)*('Dvd Calendar'!$R$264&lt;=GRID_TO)*((('Dvd Calendar'!$R$264&lt;=VAL_DATE)+(COUNTIF('Dvd Calendar'!$E$271:$AR$271,'Dvd Calendar'!$R$264)=0))&gt;0)=0,"",'Dvd Calendar'!$R$264*1000000000+ISNUMBER('Dvd Calendar'!$R$267)*100000000+('Dvd Calendar'!$R$269=SPECIAL_LBL)*10000000+(N('Dvd Calendar'!$R$263)&gt;0)*(N('Dvd Calendar'!$R$263)&lt;=VAL_SERIAL)*1000000+24*1000+14))</f>
        <v/>
      </c>
      <c r="ES35" s="39">
        <f>IF(N('Dvd Calendar'!$S$264)=0,"",IF(('Dvd Calendar'!$S$264&gt;=GRID_FROM)*('Dvd Calendar'!$S$264&lt;=GRID_TO)*((('Dvd Calendar'!$S$264&lt;=VAL_DATE)+(COUNTIF('Dvd Calendar'!$E$271:$AR$271,'Dvd Calendar'!$S$264)=0))&gt;0)=0,"",'Dvd Calendar'!$S$264*1000000000+ISNUMBER('Dvd Calendar'!$S$267)*100000000+('Dvd Calendar'!$S$269=SPECIAL_LBL)*10000000+(N('Dvd Calendar'!$S$263)&gt;0)*(N('Dvd Calendar'!$S$263)&lt;=VAL_SERIAL)*1000000+24*1000+15))</f>
        <v/>
      </c>
      <c r="ET35" s="39">
        <f>IF(N('Dvd Calendar'!$T$264)=0,"",IF(('Dvd Calendar'!$T$264&gt;=GRID_FROM)*('Dvd Calendar'!$T$264&lt;=GRID_TO)*((('Dvd Calendar'!$T$264&lt;=VAL_DATE)+(COUNTIF('Dvd Calendar'!$E$271:$AR$271,'Dvd Calendar'!$T$264)=0))&gt;0)=0,"",'Dvd Calendar'!$T$264*1000000000+ISNUMBER('Dvd Calendar'!$T$267)*100000000+('Dvd Calendar'!$T$269=SPECIAL_LBL)*10000000+(N('Dvd Calendar'!$T$263)&gt;0)*(N('Dvd Calendar'!$T$263)&lt;=VAL_SERIAL)*1000000+24*1000+16))</f>
        <v/>
      </c>
      <c r="EU35" s="39">
        <f>IF(N('Dvd Calendar'!$U$264)=0,"",IF(('Dvd Calendar'!$U$264&gt;=GRID_FROM)*('Dvd Calendar'!$U$264&lt;=GRID_TO)*((('Dvd Calendar'!$U$264&lt;=VAL_DATE)+(COUNTIF('Dvd Calendar'!$E$271:$AR$271,'Dvd Calendar'!$U$264)=0))&gt;0)=0,"",'Dvd Calendar'!$U$264*1000000000+ISNUMBER('Dvd Calendar'!$U$267)*100000000+('Dvd Calendar'!$U$269=SPECIAL_LBL)*10000000+(N('Dvd Calendar'!$U$263)&gt;0)*(N('Dvd Calendar'!$U$263)&lt;=VAL_SERIAL)*1000000+24*1000+17))</f>
        <v/>
      </c>
      <c r="EV35" s="39">
        <f>IF(N('Dvd Calendar'!$V$264)=0,"",IF(('Dvd Calendar'!$V$264&gt;=GRID_FROM)*('Dvd Calendar'!$V$264&lt;=GRID_TO)*((('Dvd Calendar'!$V$264&lt;=VAL_DATE)+(COUNTIF('Dvd Calendar'!$E$271:$AR$271,'Dvd Calendar'!$V$264)=0))&gt;0)=0,"",'Dvd Calendar'!$V$264*1000000000+ISNUMBER('Dvd Calendar'!$V$267)*100000000+('Dvd Calendar'!$V$269=SPECIAL_LBL)*10000000+(N('Dvd Calendar'!$V$263)&gt;0)*(N('Dvd Calendar'!$V$263)&lt;=VAL_SERIAL)*1000000+24*1000+18))</f>
        <v/>
      </c>
      <c r="EW35" s="39">
        <f>IF(N('Dvd Calendar'!$W$264)=0,"",IF(('Dvd Calendar'!$W$264&gt;=GRID_FROM)*('Dvd Calendar'!$W$264&lt;=GRID_TO)*((('Dvd Calendar'!$W$264&lt;=VAL_DATE)+(COUNTIF('Dvd Calendar'!$E$271:$AR$271,'Dvd Calendar'!$W$264)=0))&gt;0)=0,"",'Dvd Calendar'!$W$264*1000000000+ISNUMBER('Dvd Calendar'!$W$267)*100000000+('Dvd Calendar'!$W$269=SPECIAL_LBL)*10000000+(N('Dvd Calendar'!$W$263)&gt;0)*(N('Dvd Calendar'!$W$263)&lt;=VAL_SERIAL)*1000000+24*1000+19))</f>
        <v/>
      </c>
      <c r="EX35" s="39">
        <f>IF(N('Dvd Calendar'!$X$264)=0,"",IF(('Dvd Calendar'!$X$264&gt;=GRID_FROM)*('Dvd Calendar'!$X$264&lt;=GRID_TO)*((('Dvd Calendar'!$X$264&lt;=VAL_DATE)+(COUNTIF('Dvd Calendar'!$E$271:$AR$271,'Dvd Calendar'!$X$264)=0))&gt;0)=0,"",'Dvd Calendar'!$X$264*1000000000+ISNUMBER('Dvd Calendar'!$X$267)*100000000+('Dvd Calendar'!$X$269=SPECIAL_LBL)*10000000+(N('Dvd Calendar'!$X$263)&gt;0)*(N('Dvd Calendar'!$X$263)&lt;=VAL_SERIAL)*1000000+24*1000+20))</f>
        <v/>
      </c>
      <c r="EY35" s="39">
        <f>IF(N('Dvd Calendar'!$Y$264)=0,"",IF(('Dvd Calendar'!$Y$264&gt;=GRID_FROM)*('Dvd Calendar'!$Y$264&lt;=GRID_TO)*((('Dvd Calendar'!$Y$264&lt;=VAL_DATE)+(COUNTIF('Dvd Calendar'!$E$271:$AR$271,'Dvd Calendar'!$Y$264)=0))&gt;0)=0,"",'Dvd Calendar'!$Y$264*1000000000+ISNUMBER('Dvd Calendar'!$Y$267)*100000000+('Dvd Calendar'!$Y$269=SPECIAL_LBL)*10000000+(N('Dvd Calendar'!$Y$263)&gt;0)*(N('Dvd Calendar'!$Y$263)&lt;=VAL_SERIAL)*1000000+24*1000+21))</f>
        <v/>
      </c>
      <c r="EZ35" s="39">
        <f>IF(N('Dvd Calendar'!$Z$264)=0,"",IF(('Dvd Calendar'!$Z$264&gt;=GRID_FROM)*('Dvd Calendar'!$Z$264&lt;=GRID_TO)*((('Dvd Calendar'!$Z$264&lt;=VAL_DATE)+(COUNTIF('Dvd Calendar'!$E$271:$AR$271,'Dvd Calendar'!$Z$264)=0))&gt;0)=0,"",'Dvd Calendar'!$Z$264*1000000000+ISNUMBER('Dvd Calendar'!$Z$267)*100000000+('Dvd Calendar'!$Z$269=SPECIAL_LBL)*10000000+(N('Dvd Calendar'!$Z$263)&gt;0)*(N('Dvd Calendar'!$Z$263)&lt;=VAL_SERIAL)*1000000+24*1000+22))</f>
        <v/>
      </c>
      <c r="FA35" s="39">
        <f>IF(N('Dvd Calendar'!$AA$264)=0,"",IF(('Dvd Calendar'!$AA$264&gt;=GRID_FROM)*('Dvd Calendar'!$AA$264&lt;=GRID_TO)*((('Dvd Calendar'!$AA$264&lt;=VAL_DATE)+(COUNTIF('Dvd Calendar'!$E$271:$AR$271,'Dvd Calendar'!$AA$264)=0))&gt;0)=0,"",'Dvd Calendar'!$AA$264*1000000000+ISNUMBER('Dvd Calendar'!$AA$267)*100000000+('Dvd Calendar'!$AA$269=SPECIAL_LBL)*10000000+(N('Dvd Calendar'!$AA$263)&gt;0)*(N('Dvd Calendar'!$AA$263)&lt;=VAL_SERIAL)*1000000+24*1000+23))</f>
        <v/>
      </c>
      <c r="FB35" s="39">
        <f>IF(N('Dvd Calendar'!$AB$264)=0,"",IF(('Dvd Calendar'!$AB$264&gt;=GRID_FROM)*('Dvd Calendar'!$AB$264&lt;=GRID_TO)*((('Dvd Calendar'!$AB$264&lt;=VAL_DATE)+(COUNTIF('Dvd Calendar'!$E$271:$AR$271,'Dvd Calendar'!$AB$264)=0))&gt;0)=0,"",'Dvd Calendar'!$AB$264*1000000000+ISNUMBER('Dvd Calendar'!$AB$267)*100000000+('Dvd Calendar'!$AB$269=SPECIAL_LBL)*10000000+(N('Dvd Calendar'!$AB$263)&gt;0)*(N('Dvd Calendar'!$AB$263)&lt;=VAL_SERIAL)*1000000+24*1000+24))</f>
        <v/>
      </c>
      <c r="FC35" s="39">
        <f>IF(N('Dvd Calendar'!$AC$264)=0,"",IF(('Dvd Calendar'!$AC$264&gt;=GRID_FROM)*('Dvd Calendar'!$AC$264&lt;=GRID_TO)*((('Dvd Calendar'!$AC$264&lt;=VAL_DATE)+(COUNTIF('Dvd Calendar'!$E$271:$AR$271,'Dvd Calendar'!$AC$264)=0))&gt;0)=0,"",'Dvd Calendar'!$AC$264*1000000000+ISNUMBER('Dvd Calendar'!$AC$267)*100000000+('Dvd Calendar'!$AC$269=SPECIAL_LBL)*10000000+(N('Dvd Calendar'!$AC$263)&gt;0)*(N('Dvd Calendar'!$AC$263)&lt;=VAL_SERIAL)*1000000+24*1000+25))</f>
        <v/>
      </c>
      <c r="FD35" s="39">
        <f>IF(N('Dvd Calendar'!$AD$264)=0,"",IF(('Dvd Calendar'!$AD$264&gt;=GRID_FROM)*('Dvd Calendar'!$AD$264&lt;=GRID_TO)*((('Dvd Calendar'!$AD$264&lt;=VAL_DATE)+(COUNTIF('Dvd Calendar'!$E$271:$AR$271,'Dvd Calendar'!$AD$264)=0))&gt;0)=0,"",'Dvd Calendar'!$AD$264*1000000000+ISNUMBER('Dvd Calendar'!$AD$267)*100000000+('Dvd Calendar'!$AD$269=SPECIAL_LBL)*10000000+(N('Dvd Calendar'!$AD$263)&gt;0)*(N('Dvd Calendar'!$AD$263)&lt;=VAL_SERIAL)*1000000+24*1000+26))</f>
        <v/>
      </c>
      <c r="FE35" s="39">
        <f>IF(N('Dvd Calendar'!$AE$264)=0,"",IF(('Dvd Calendar'!$AE$264&gt;=GRID_FROM)*('Dvd Calendar'!$AE$264&lt;=GRID_TO)*((('Dvd Calendar'!$AE$264&lt;=VAL_DATE)+(COUNTIF('Dvd Calendar'!$E$271:$AR$271,'Dvd Calendar'!$AE$264)=0))&gt;0)=0,"",'Dvd Calendar'!$AE$264*1000000000+ISNUMBER('Dvd Calendar'!$AE$267)*100000000+('Dvd Calendar'!$AE$269=SPECIAL_LBL)*10000000+(N('Dvd Calendar'!$AE$263)&gt;0)*(N('Dvd Calendar'!$AE$263)&lt;=VAL_SERIAL)*1000000+24*1000+27))</f>
        <v/>
      </c>
      <c r="FF35" s="39">
        <f>IF(N('Dvd Calendar'!$AF$264)=0,"",IF(('Dvd Calendar'!$AF$264&gt;=GRID_FROM)*('Dvd Calendar'!$AF$264&lt;=GRID_TO)*((('Dvd Calendar'!$AF$264&lt;=VAL_DATE)+(COUNTIF('Dvd Calendar'!$E$271:$AR$271,'Dvd Calendar'!$AF$264)=0))&gt;0)=0,"",'Dvd Calendar'!$AF$264*1000000000+ISNUMBER('Dvd Calendar'!$AF$267)*100000000+('Dvd Calendar'!$AF$269=SPECIAL_LBL)*10000000+(N('Dvd Calendar'!$AF$263)&gt;0)*(N('Dvd Calendar'!$AF$263)&lt;=VAL_SERIAL)*1000000+24*1000+28))</f>
        <v/>
      </c>
      <c r="FG35" s="39">
        <f>IF(N('Dvd Calendar'!$AG$264)=0,"",IF(('Dvd Calendar'!$AG$264&gt;=GRID_FROM)*('Dvd Calendar'!$AG$264&lt;=GRID_TO)*((('Dvd Calendar'!$AG$264&lt;=VAL_DATE)+(COUNTIF('Dvd Calendar'!$E$271:$AR$271,'Dvd Calendar'!$AG$264)=0))&gt;0)=0,"",'Dvd Calendar'!$AG$264*1000000000+ISNUMBER('Dvd Calendar'!$AG$267)*100000000+('Dvd Calendar'!$AG$269=SPECIAL_LBL)*10000000+(N('Dvd Calendar'!$AG$263)&gt;0)*(N('Dvd Calendar'!$AG$263)&lt;=VAL_SERIAL)*1000000+24*1000+29))</f>
        <v/>
      </c>
      <c r="FH35" s="39">
        <f>IF(N('Dvd Calendar'!$AH$264)=0,"",IF(('Dvd Calendar'!$AH$264&gt;=GRID_FROM)*('Dvd Calendar'!$AH$264&lt;=GRID_TO)*((('Dvd Calendar'!$AH$264&lt;=VAL_DATE)+(COUNTIF('Dvd Calendar'!$E$271:$AR$271,'Dvd Calendar'!$AH$264)=0))&gt;0)=0,"",'Dvd Calendar'!$AH$264*1000000000+ISNUMBER('Dvd Calendar'!$AH$267)*100000000+('Dvd Calendar'!$AH$269=SPECIAL_LBL)*10000000+(N('Dvd Calendar'!$AH$263)&gt;0)*(N('Dvd Calendar'!$AH$263)&lt;=VAL_SERIAL)*1000000+24*1000+30))</f>
        <v/>
      </c>
      <c r="FI35" s="39">
        <f>IF(N('Dvd Calendar'!$AI$264)=0,"",IF(('Dvd Calendar'!$AI$264&gt;=GRID_FROM)*('Dvd Calendar'!$AI$264&lt;=GRID_TO)*((('Dvd Calendar'!$AI$264&lt;=VAL_DATE)+(COUNTIF('Dvd Calendar'!$E$271:$AR$271,'Dvd Calendar'!$AI$264)=0))&gt;0)=0,"",'Dvd Calendar'!$AI$264*1000000000+ISNUMBER('Dvd Calendar'!$AI$267)*100000000+('Dvd Calendar'!$AI$269=SPECIAL_LBL)*10000000+(N('Dvd Calendar'!$AI$263)&gt;0)*(N('Dvd Calendar'!$AI$263)&lt;=VAL_SERIAL)*1000000+24*1000+31))</f>
        <v/>
      </c>
      <c r="FJ35" s="39">
        <f>IF(N('Dvd Calendar'!$AJ$264)=0,"",IF(('Dvd Calendar'!$AJ$264&gt;=GRID_FROM)*('Dvd Calendar'!$AJ$264&lt;=GRID_TO)*((('Dvd Calendar'!$AJ$264&lt;=VAL_DATE)+(COUNTIF('Dvd Calendar'!$E$271:$AR$271,'Dvd Calendar'!$AJ$264)=0))&gt;0)=0,"",'Dvd Calendar'!$AJ$264*1000000000+ISNUMBER('Dvd Calendar'!$AJ$267)*100000000+('Dvd Calendar'!$AJ$269=SPECIAL_LBL)*10000000+(N('Dvd Calendar'!$AJ$263)&gt;0)*(N('Dvd Calendar'!$AJ$263)&lt;=VAL_SERIAL)*1000000+24*1000+32))</f>
        <v/>
      </c>
      <c r="FK35" s="39">
        <f>IF(N('Dvd Calendar'!$AK$264)=0,"",IF(('Dvd Calendar'!$AK$264&gt;=GRID_FROM)*('Dvd Calendar'!$AK$264&lt;=GRID_TO)*((('Dvd Calendar'!$AK$264&lt;=VAL_DATE)+(COUNTIF('Dvd Calendar'!$E$271:$AR$271,'Dvd Calendar'!$AK$264)=0))&gt;0)=0,"",'Dvd Calendar'!$AK$264*1000000000+ISNUMBER('Dvd Calendar'!$AK$267)*100000000+('Dvd Calendar'!$AK$269=SPECIAL_LBL)*10000000+(N('Dvd Calendar'!$AK$263)&gt;0)*(N('Dvd Calendar'!$AK$263)&lt;=VAL_SERIAL)*1000000+24*1000+33))</f>
        <v/>
      </c>
      <c r="FL35" s="39">
        <f>IF(N('Dvd Calendar'!$AL$264)=0,"",IF(('Dvd Calendar'!$AL$264&gt;=GRID_FROM)*('Dvd Calendar'!$AL$264&lt;=GRID_TO)*((('Dvd Calendar'!$AL$264&lt;=VAL_DATE)+(COUNTIF('Dvd Calendar'!$E$271:$AR$271,'Dvd Calendar'!$AL$264)=0))&gt;0)=0,"",'Dvd Calendar'!$AL$264*1000000000+ISNUMBER('Dvd Calendar'!$AL$267)*100000000+('Dvd Calendar'!$AL$269=SPECIAL_LBL)*10000000+(N('Dvd Calendar'!$AL$263)&gt;0)*(N('Dvd Calendar'!$AL$263)&lt;=VAL_SERIAL)*1000000+24*1000+34))</f>
        <v/>
      </c>
      <c r="FM35" s="39">
        <f>IF(N('Dvd Calendar'!$AM$264)=0,"",IF(('Dvd Calendar'!$AM$264&gt;=GRID_FROM)*('Dvd Calendar'!$AM$264&lt;=GRID_TO)*((('Dvd Calendar'!$AM$264&lt;=VAL_DATE)+(COUNTIF('Dvd Calendar'!$E$271:$AR$271,'Dvd Calendar'!$AM$264)=0))&gt;0)=0,"",'Dvd Calendar'!$AM$264*1000000000+ISNUMBER('Dvd Calendar'!$AM$267)*100000000+('Dvd Calendar'!$AM$269=SPECIAL_LBL)*10000000+(N('Dvd Calendar'!$AM$263)&gt;0)*(N('Dvd Calendar'!$AM$263)&lt;=VAL_SERIAL)*1000000+24*1000+35))</f>
        <v/>
      </c>
      <c r="FN35" s="39">
        <f>IF(N('Dvd Calendar'!$AN$264)=0,"",IF(('Dvd Calendar'!$AN$264&gt;=GRID_FROM)*('Dvd Calendar'!$AN$264&lt;=GRID_TO)*((('Dvd Calendar'!$AN$264&lt;=VAL_DATE)+(COUNTIF('Dvd Calendar'!$E$271:$AR$271,'Dvd Calendar'!$AN$264)=0))&gt;0)=0,"",'Dvd Calendar'!$AN$264*1000000000+ISNUMBER('Dvd Calendar'!$AN$267)*100000000+('Dvd Calendar'!$AN$269=SPECIAL_LBL)*10000000+(N('Dvd Calendar'!$AN$263)&gt;0)*(N('Dvd Calendar'!$AN$263)&lt;=VAL_SERIAL)*1000000+24*1000+36))</f>
        <v/>
      </c>
      <c r="FO35" s="39">
        <f>IF(N('Dvd Calendar'!$AO$264)=0,"",IF(('Dvd Calendar'!$AO$264&gt;=GRID_FROM)*('Dvd Calendar'!$AO$264&lt;=GRID_TO)*((('Dvd Calendar'!$AO$264&lt;=VAL_DATE)+(COUNTIF('Dvd Calendar'!$E$271:$AR$271,'Dvd Calendar'!$AO$264)=0))&gt;0)=0,"",'Dvd Calendar'!$AO$264*1000000000+ISNUMBER('Dvd Calendar'!$AO$267)*100000000+('Dvd Calendar'!$AO$269=SPECIAL_LBL)*10000000+(N('Dvd Calendar'!$AO$263)&gt;0)*(N('Dvd Calendar'!$AO$263)&lt;=VAL_SERIAL)*1000000+24*1000+37))</f>
        <v/>
      </c>
      <c r="FP35" s="39">
        <f>IF(N('Dvd Calendar'!$AP$264)=0,"",IF(('Dvd Calendar'!$AP$264&gt;=GRID_FROM)*('Dvd Calendar'!$AP$264&lt;=GRID_TO)*((('Dvd Calendar'!$AP$264&lt;=VAL_DATE)+(COUNTIF('Dvd Calendar'!$E$271:$AR$271,'Dvd Calendar'!$AP$264)=0))&gt;0)=0,"",'Dvd Calendar'!$AP$264*1000000000+ISNUMBER('Dvd Calendar'!$AP$267)*100000000+('Dvd Calendar'!$AP$269=SPECIAL_LBL)*10000000+(N('Dvd Calendar'!$AP$263)&gt;0)*(N('Dvd Calendar'!$AP$263)&lt;=VAL_SERIAL)*1000000+24*1000+38))</f>
        <v/>
      </c>
      <c r="FQ35" s="39">
        <f>IF(N('Dvd Calendar'!$AQ$264)=0,"",IF(('Dvd Calendar'!$AQ$264&gt;=GRID_FROM)*('Dvd Calendar'!$AQ$264&lt;=GRID_TO)*((('Dvd Calendar'!$AQ$264&lt;=VAL_DATE)+(COUNTIF('Dvd Calendar'!$E$271:$AR$271,'Dvd Calendar'!$AQ$264)=0))&gt;0)=0,"",'Dvd Calendar'!$AQ$264*1000000000+ISNUMBER('Dvd Calendar'!$AQ$267)*100000000+('Dvd Calendar'!$AQ$269=SPECIAL_LBL)*10000000+(N('Dvd Calendar'!$AQ$263)&gt;0)*(N('Dvd Calendar'!$AQ$263)&lt;=VAL_SERIAL)*1000000+24*1000+39))</f>
        <v/>
      </c>
      <c r="FR35" s="39">
        <f>IF(N('Dvd Calendar'!$AR$264)=0,"",IF(('Dvd Calendar'!$AR$264&gt;=GRID_FROM)*('Dvd Calendar'!$AR$264&lt;=GRID_TO)*((('Dvd Calendar'!$AR$264&lt;=VAL_DATE)+(COUNTIF('Dvd Calendar'!$E$271:$AR$271,'Dvd Calendar'!$AR$264)=0))&gt;0)=0,"",'Dvd Calendar'!$AR$264*1000000000+ISNUMBER('Dvd Calendar'!$AR$267)*100000000+('Dvd Calendar'!$AR$269=SPECIAL_LBL)*10000000+(N('Dvd Calendar'!$AR$263)&gt;0)*(N('Dvd Calendar'!$AR$263)&lt;=VAL_SERIAL)*1000000+24*1000+40))</f>
        <v/>
      </c>
      <c r="FS35" s="39">
        <f>IF(N('Dvd Calendar'!$E$271)=0,"",IF(('Dvd Calendar'!$E$271&gt;=GRID_FROM)*('Dvd Calendar'!$E$271&lt;=GRID_TO)*('Dvd Calendar'!$E$271&gt;VAL_DATE)=0,"",'Dvd Calendar'!$E$271*1000000000+ISNUMBER('Dvd Calendar'!$E$272)*100000000+0*10000000+(N('Dvd Calendar'!$E$270)&gt;0)*(N('Dvd Calendar'!$E$270)&lt;=VAL_SERIAL)*1000000+24*1000+41))</f>
        <v/>
      </c>
      <c r="FT35" s="39">
        <f>IF(N('Dvd Calendar'!$F$271)=0,"",IF(('Dvd Calendar'!$F$271&gt;=GRID_FROM)*('Dvd Calendar'!$F$271&lt;=GRID_TO)*('Dvd Calendar'!$F$271&gt;VAL_DATE)=0,"",'Dvd Calendar'!$F$271*1000000000+ISNUMBER('Dvd Calendar'!$F$272)*100000000+0*10000000+(N('Dvd Calendar'!$F$270)&gt;0)*(N('Dvd Calendar'!$F$270)&lt;=VAL_SERIAL)*1000000+24*1000+42))</f>
        <v/>
      </c>
      <c r="FU35" s="39">
        <f>IF(N('Dvd Calendar'!$G$271)=0,"",IF(('Dvd Calendar'!$G$271&gt;=GRID_FROM)*('Dvd Calendar'!$G$271&lt;=GRID_TO)*('Dvd Calendar'!$G$271&gt;VAL_DATE)=0,"",'Dvd Calendar'!$G$271*1000000000+ISNUMBER('Dvd Calendar'!$G$272)*100000000+0*10000000+(N('Dvd Calendar'!$G$270)&gt;0)*(N('Dvd Calendar'!$G$270)&lt;=VAL_SERIAL)*1000000+24*1000+43))</f>
        <v/>
      </c>
      <c r="FV35" s="39">
        <f>IF(N('Dvd Calendar'!$H$271)=0,"",IF(('Dvd Calendar'!$H$271&gt;=GRID_FROM)*('Dvd Calendar'!$H$271&lt;=GRID_TO)*('Dvd Calendar'!$H$271&gt;VAL_DATE)=0,"",'Dvd Calendar'!$H$271*1000000000+ISNUMBER('Dvd Calendar'!$H$272)*100000000+0*10000000+(N('Dvd Calendar'!$H$270)&gt;0)*(N('Dvd Calendar'!$H$270)&lt;=VAL_SERIAL)*1000000+24*1000+44))</f>
        <v/>
      </c>
      <c r="FW35" s="39">
        <f>IF(N('Dvd Calendar'!$I$271)=0,"",IF(('Dvd Calendar'!$I$271&gt;=GRID_FROM)*('Dvd Calendar'!$I$271&lt;=GRID_TO)*('Dvd Calendar'!$I$271&gt;VAL_DATE)=0,"",'Dvd Calendar'!$I$271*1000000000+ISNUMBER('Dvd Calendar'!$I$272)*100000000+0*10000000+(N('Dvd Calendar'!$I$270)&gt;0)*(N('Dvd Calendar'!$I$270)&lt;=VAL_SERIAL)*1000000+24*1000+45))</f>
        <v/>
      </c>
      <c r="FX35" s="39">
        <f>IF(N('Dvd Calendar'!$J$271)=0,"",IF(('Dvd Calendar'!$J$271&gt;=GRID_FROM)*('Dvd Calendar'!$J$271&lt;=GRID_TO)*('Dvd Calendar'!$J$271&gt;VAL_DATE)=0,"",'Dvd Calendar'!$J$271*1000000000+ISNUMBER('Dvd Calendar'!$J$272)*100000000+0*10000000+(N('Dvd Calendar'!$J$270)&gt;0)*(N('Dvd Calendar'!$J$270)&lt;=VAL_SERIAL)*1000000+24*1000+46))</f>
        <v/>
      </c>
      <c r="FY35" s="39">
        <f>IF(N('Dvd Calendar'!$K$271)=0,"",IF(('Dvd Calendar'!$K$271&gt;=GRID_FROM)*('Dvd Calendar'!$K$271&lt;=GRID_TO)*('Dvd Calendar'!$K$271&gt;VAL_DATE)=0,"",'Dvd Calendar'!$K$271*1000000000+ISNUMBER('Dvd Calendar'!$K$272)*100000000+0*10000000+(N('Dvd Calendar'!$K$270)&gt;0)*(N('Dvd Calendar'!$K$270)&lt;=VAL_SERIAL)*1000000+24*1000+47))</f>
        <v/>
      </c>
      <c r="FZ35" s="39">
        <f>IF(N('Dvd Calendar'!$L$271)=0,"",IF(('Dvd Calendar'!$L$271&gt;=GRID_FROM)*('Dvd Calendar'!$L$271&lt;=GRID_TO)*('Dvd Calendar'!$L$271&gt;VAL_DATE)=0,"",'Dvd Calendar'!$L$271*1000000000+ISNUMBER('Dvd Calendar'!$L$272)*100000000+0*10000000+(N('Dvd Calendar'!$L$270)&gt;0)*(N('Dvd Calendar'!$L$270)&lt;=VAL_SERIAL)*1000000+24*1000+48))</f>
        <v/>
      </c>
      <c r="GA35" s="39">
        <f>IF(N('Dvd Calendar'!$M$271)=0,"",IF(('Dvd Calendar'!$M$271&gt;=GRID_FROM)*('Dvd Calendar'!$M$271&lt;=GRID_TO)*('Dvd Calendar'!$M$271&gt;VAL_DATE)=0,"",'Dvd Calendar'!$M$271*1000000000+ISNUMBER('Dvd Calendar'!$M$272)*100000000+0*10000000+(N('Dvd Calendar'!$M$270)&gt;0)*(N('Dvd Calendar'!$M$270)&lt;=VAL_SERIAL)*1000000+24*1000+49))</f>
        <v/>
      </c>
      <c r="GB35" s="39">
        <f>IF(N('Dvd Calendar'!$N$271)=0,"",IF(('Dvd Calendar'!$N$271&gt;=GRID_FROM)*('Dvd Calendar'!$N$271&lt;=GRID_TO)*('Dvd Calendar'!$N$271&gt;VAL_DATE)=0,"",'Dvd Calendar'!$N$271*1000000000+ISNUMBER('Dvd Calendar'!$N$272)*100000000+0*10000000+(N('Dvd Calendar'!$N$270)&gt;0)*(N('Dvd Calendar'!$N$270)&lt;=VAL_SERIAL)*1000000+24*1000+50))</f>
        <v/>
      </c>
      <c r="GC35" s="39">
        <f>IF(N('Dvd Calendar'!$O$271)=0,"",IF(('Dvd Calendar'!$O$271&gt;=GRID_FROM)*('Dvd Calendar'!$O$271&lt;=GRID_TO)*('Dvd Calendar'!$O$271&gt;VAL_DATE)=0,"",'Dvd Calendar'!$O$271*1000000000+ISNUMBER('Dvd Calendar'!$O$272)*100000000+0*10000000+(N('Dvd Calendar'!$O$270)&gt;0)*(N('Dvd Calendar'!$O$270)&lt;=VAL_SERIAL)*1000000+24*1000+51))</f>
        <v/>
      </c>
      <c r="GD35" s="39">
        <f>IF(N('Dvd Calendar'!$P$271)=0,"",IF(('Dvd Calendar'!$P$271&gt;=GRID_FROM)*('Dvd Calendar'!$P$271&lt;=GRID_TO)*('Dvd Calendar'!$P$271&gt;VAL_DATE)=0,"",'Dvd Calendar'!$P$271*1000000000+ISNUMBER('Dvd Calendar'!$P$272)*100000000+0*10000000+(N('Dvd Calendar'!$P$270)&gt;0)*(N('Dvd Calendar'!$P$270)&lt;=VAL_SERIAL)*1000000+24*1000+52))</f>
        <v/>
      </c>
      <c r="GE35" s="39">
        <f>IF(N('Dvd Calendar'!$Q$271)=0,"",IF(('Dvd Calendar'!$Q$271&gt;=GRID_FROM)*('Dvd Calendar'!$Q$271&lt;=GRID_TO)*('Dvd Calendar'!$Q$271&gt;VAL_DATE)=0,"",'Dvd Calendar'!$Q$271*1000000000+ISNUMBER('Dvd Calendar'!$Q$272)*100000000+0*10000000+(N('Dvd Calendar'!$Q$270)&gt;0)*(N('Dvd Calendar'!$Q$270)&lt;=VAL_SERIAL)*1000000+24*1000+53))</f>
        <v/>
      </c>
      <c r="GF35" s="39">
        <f>IF(N('Dvd Calendar'!$R$271)=0,"",IF(('Dvd Calendar'!$R$271&gt;=GRID_FROM)*('Dvd Calendar'!$R$271&lt;=GRID_TO)*('Dvd Calendar'!$R$271&gt;VAL_DATE)=0,"",'Dvd Calendar'!$R$271*1000000000+ISNUMBER('Dvd Calendar'!$R$272)*100000000+0*10000000+(N('Dvd Calendar'!$R$270)&gt;0)*(N('Dvd Calendar'!$R$270)&lt;=VAL_SERIAL)*1000000+24*1000+54))</f>
        <v/>
      </c>
      <c r="GG35" s="39">
        <f>IF(N('Dvd Calendar'!$S$271)=0,"",IF(('Dvd Calendar'!$S$271&gt;=GRID_FROM)*('Dvd Calendar'!$S$271&lt;=GRID_TO)*('Dvd Calendar'!$S$271&gt;VAL_DATE)=0,"",'Dvd Calendar'!$S$271*1000000000+ISNUMBER('Dvd Calendar'!$S$272)*100000000+0*10000000+(N('Dvd Calendar'!$S$270)&gt;0)*(N('Dvd Calendar'!$S$270)&lt;=VAL_SERIAL)*1000000+24*1000+55))</f>
        <v/>
      </c>
      <c r="GH35" s="39">
        <f>IF(N('Dvd Calendar'!$T$271)=0,"",IF(('Dvd Calendar'!$T$271&gt;=GRID_FROM)*('Dvd Calendar'!$T$271&lt;=GRID_TO)*('Dvd Calendar'!$T$271&gt;VAL_DATE)=0,"",'Dvd Calendar'!$T$271*1000000000+ISNUMBER('Dvd Calendar'!$T$272)*100000000+0*10000000+(N('Dvd Calendar'!$T$270)&gt;0)*(N('Dvd Calendar'!$T$270)&lt;=VAL_SERIAL)*1000000+24*1000+56))</f>
        <v/>
      </c>
      <c r="GI35" s="39">
        <f>IF(N('Dvd Calendar'!$U$271)=0,"",IF(('Dvd Calendar'!$U$271&gt;=GRID_FROM)*('Dvd Calendar'!$U$271&lt;=GRID_TO)*('Dvd Calendar'!$U$271&gt;VAL_DATE)=0,"",'Dvd Calendar'!$U$271*1000000000+ISNUMBER('Dvd Calendar'!$U$272)*100000000+0*10000000+(N('Dvd Calendar'!$U$270)&gt;0)*(N('Dvd Calendar'!$U$270)&lt;=VAL_SERIAL)*1000000+24*1000+57))</f>
        <v/>
      </c>
      <c r="GJ35" s="39">
        <f>IF(N('Dvd Calendar'!$V$271)=0,"",IF(('Dvd Calendar'!$V$271&gt;=GRID_FROM)*('Dvd Calendar'!$V$271&lt;=GRID_TO)*('Dvd Calendar'!$V$271&gt;VAL_DATE)=0,"",'Dvd Calendar'!$V$271*1000000000+ISNUMBER('Dvd Calendar'!$V$272)*100000000+0*10000000+(N('Dvd Calendar'!$V$270)&gt;0)*(N('Dvd Calendar'!$V$270)&lt;=VAL_SERIAL)*1000000+24*1000+58))</f>
        <v/>
      </c>
      <c r="GK35" s="39">
        <f>IF(N('Dvd Calendar'!$W$271)=0,"",IF(('Dvd Calendar'!$W$271&gt;=GRID_FROM)*('Dvd Calendar'!$W$271&lt;=GRID_TO)*('Dvd Calendar'!$W$271&gt;VAL_DATE)=0,"",'Dvd Calendar'!$W$271*1000000000+ISNUMBER('Dvd Calendar'!$W$272)*100000000+0*10000000+(N('Dvd Calendar'!$W$270)&gt;0)*(N('Dvd Calendar'!$W$270)&lt;=VAL_SERIAL)*1000000+24*1000+59))</f>
        <v/>
      </c>
      <c r="GL35" s="39">
        <f>IF(N('Dvd Calendar'!$X$271)=0,"",IF(('Dvd Calendar'!$X$271&gt;=GRID_FROM)*('Dvd Calendar'!$X$271&lt;=GRID_TO)*('Dvd Calendar'!$X$271&gt;VAL_DATE)=0,"",'Dvd Calendar'!$X$271*1000000000+ISNUMBER('Dvd Calendar'!$X$272)*100000000+0*10000000+(N('Dvd Calendar'!$X$270)&gt;0)*(N('Dvd Calendar'!$X$270)&lt;=VAL_SERIAL)*1000000+24*1000+60))</f>
        <v/>
      </c>
      <c r="GM35" s="39">
        <f>IF(N('Dvd Calendar'!$Y$271)=0,"",IF(('Dvd Calendar'!$Y$271&gt;=GRID_FROM)*('Dvd Calendar'!$Y$271&lt;=GRID_TO)*('Dvd Calendar'!$Y$271&gt;VAL_DATE)=0,"",'Dvd Calendar'!$Y$271*1000000000+ISNUMBER('Dvd Calendar'!$Y$272)*100000000+0*10000000+(N('Dvd Calendar'!$Y$270)&gt;0)*(N('Dvd Calendar'!$Y$270)&lt;=VAL_SERIAL)*1000000+24*1000+61))</f>
        <v/>
      </c>
      <c r="GN35" s="39">
        <f>IF(N('Dvd Calendar'!$Z$271)=0,"",IF(('Dvd Calendar'!$Z$271&gt;=GRID_FROM)*('Dvd Calendar'!$Z$271&lt;=GRID_TO)*('Dvd Calendar'!$Z$271&gt;VAL_DATE)=0,"",'Dvd Calendar'!$Z$271*1000000000+ISNUMBER('Dvd Calendar'!$Z$272)*100000000+0*10000000+(N('Dvd Calendar'!$Z$270)&gt;0)*(N('Dvd Calendar'!$Z$270)&lt;=VAL_SERIAL)*1000000+24*1000+62))</f>
        <v/>
      </c>
      <c r="GO35" s="39">
        <f>IF(N('Dvd Calendar'!$AA$271)=0,"",IF(('Dvd Calendar'!$AA$271&gt;=GRID_FROM)*('Dvd Calendar'!$AA$271&lt;=GRID_TO)*('Dvd Calendar'!$AA$271&gt;VAL_DATE)=0,"",'Dvd Calendar'!$AA$271*1000000000+ISNUMBER('Dvd Calendar'!$AA$272)*100000000+0*10000000+(N('Dvd Calendar'!$AA$270)&gt;0)*(N('Dvd Calendar'!$AA$270)&lt;=VAL_SERIAL)*1000000+24*1000+63))</f>
        <v/>
      </c>
      <c r="GP35" s="39">
        <f>IF(N('Dvd Calendar'!$AB$271)=0,"",IF(('Dvd Calendar'!$AB$271&gt;=GRID_FROM)*('Dvd Calendar'!$AB$271&lt;=GRID_TO)*('Dvd Calendar'!$AB$271&gt;VAL_DATE)=0,"",'Dvd Calendar'!$AB$271*1000000000+ISNUMBER('Dvd Calendar'!$AB$272)*100000000+0*10000000+(N('Dvd Calendar'!$AB$270)&gt;0)*(N('Dvd Calendar'!$AB$270)&lt;=VAL_SERIAL)*1000000+24*1000+64))</f>
        <v/>
      </c>
      <c r="GQ35" s="39">
        <f>IF(N('Dvd Calendar'!$AC$271)=0,"",IF(('Dvd Calendar'!$AC$271&gt;=GRID_FROM)*('Dvd Calendar'!$AC$271&lt;=GRID_TO)*('Dvd Calendar'!$AC$271&gt;VAL_DATE)=0,"",'Dvd Calendar'!$AC$271*1000000000+ISNUMBER('Dvd Calendar'!$AC$272)*100000000+0*10000000+(N('Dvd Calendar'!$AC$270)&gt;0)*(N('Dvd Calendar'!$AC$270)&lt;=VAL_SERIAL)*1000000+24*1000+65))</f>
        <v/>
      </c>
    </row>
    <row r="36">
      <c r="B36" s="2">
        <f>IF(HSI!$C$31="","",HSI!$C$31)</f>
        <v/>
      </c>
      <c r="C36" s="110">
        <f>IF(EE36="","",IF(ISNUMBER('Dvd Calendar'!$E$278)=FALSE,"",IF((('Dvd Calendar'!$E$280=TYPE1)*(TYPE1&lt;&gt;"")+('Dvd Calendar'!$E$280=TYPE2)*(TYPE2&lt;&gt;"")+('Dvd Calendar'!$E$280=TYPE3)*(TYPE3&lt;&gt;"")+('Dvd Calendar'!$E$280=TYPE4)*(TYPE4&lt;&gt;"")+('Dvd Calendar'!$E$280=SPECIAL_LBL)*(INC_SPECIALS="Y"))=0,"",'Dvd Calendar'!$E$278)))</f>
        <v/>
      </c>
      <c r="D36" s="110">
        <f>IF(EF36="","",IF(ISNUMBER('Dvd Calendar'!$F$278)=FALSE,"",IF((('Dvd Calendar'!$F$280=TYPE1)*(TYPE1&lt;&gt;"")+('Dvd Calendar'!$F$280=TYPE2)*(TYPE2&lt;&gt;"")+('Dvd Calendar'!$F$280=TYPE3)*(TYPE3&lt;&gt;"")+('Dvd Calendar'!$F$280=TYPE4)*(TYPE4&lt;&gt;"")+('Dvd Calendar'!$F$280=SPECIAL_LBL)*(INC_SPECIALS="Y"))=0,"",'Dvd Calendar'!$F$278)))</f>
        <v/>
      </c>
      <c r="E36" s="110">
        <f>IF(EG36="","",IF(ISNUMBER('Dvd Calendar'!$G$278)=FALSE,"",IF((('Dvd Calendar'!$G$280=TYPE1)*(TYPE1&lt;&gt;"")+('Dvd Calendar'!$G$280=TYPE2)*(TYPE2&lt;&gt;"")+('Dvd Calendar'!$G$280=TYPE3)*(TYPE3&lt;&gt;"")+('Dvd Calendar'!$G$280=TYPE4)*(TYPE4&lt;&gt;"")+('Dvd Calendar'!$G$280=SPECIAL_LBL)*(INC_SPECIALS="Y"))=0,"",'Dvd Calendar'!$G$278)))</f>
        <v/>
      </c>
      <c r="F36" s="110">
        <f>IF(EH36="","",IF(ISNUMBER('Dvd Calendar'!$H$278)=FALSE,"",IF((('Dvd Calendar'!$H$280=TYPE1)*(TYPE1&lt;&gt;"")+('Dvd Calendar'!$H$280=TYPE2)*(TYPE2&lt;&gt;"")+('Dvd Calendar'!$H$280=TYPE3)*(TYPE3&lt;&gt;"")+('Dvd Calendar'!$H$280=TYPE4)*(TYPE4&lt;&gt;"")+('Dvd Calendar'!$H$280=SPECIAL_LBL)*(INC_SPECIALS="Y"))=0,"",'Dvd Calendar'!$H$278)))</f>
        <v/>
      </c>
      <c r="G36" s="110">
        <f>IF(EI36="","",IF(ISNUMBER('Dvd Calendar'!$I$278)=FALSE,"",IF((('Dvd Calendar'!$I$280=TYPE1)*(TYPE1&lt;&gt;"")+('Dvd Calendar'!$I$280=TYPE2)*(TYPE2&lt;&gt;"")+('Dvd Calendar'!$I$280=TYPE3)*(TYPE3&lt;&gt;"")+('Dvd Calendar'!$I$280=TYPE4)*(TYPE4&lt;&gt;"")+('Dvd Calendar'!$I$280=SPECIAL_LBL)*(INC_SPECIALS="Y"))=0,"",'Dvd Calendar'!$I$278)))</f>
        <v/>
      </c>
      <c r="H36" s="110">
        <f>IF(EJ36="","",IF(ISNUMBER('Dvd Calendar'!$J$278)=FALSE,"",IF((('Dvd Calendar'!$J$280=TYPE1)*(TYPE1&lt;&gt;"")+('Dvd Calendar'!$J$280=TYPE2)*(TYPE2&lt;&gt;"")+('Dvd Calendar'!$J$280=TYPE3)*(TYPE3&lt;&gt;"")+('Dvd Calendar'!$J$280=TYPE4)*(TYPE4&lt;&gt;"")+('Dvd Calendar'!$J$280=SPECIAL_LBL)*(INC_SPECIALS="Y"))=0,"",'Dvd Calendar'!$J$278)))</f>
        <v/>
      </c>
      <c r="I36" s="110">
        <f>IF(EK36="","",IF(ISNUMBER('Dvd Calendar'!$K$278)=FALSE,"",IF((('Dvd Calendar'!$K$280=TYPE1)*(TYPE1&lt;&gt;"")+('Dvd Calendar'!$K$280=TYPE2)*(TYPE2&lt;&gt;"")+('Dvd Calendar'!$K$280=TYPE3)*(TYPE3&lt;&gt;"")+('Dvd Calendar'!$K$280=TYPE4)*(TYPE4&lt;&gt;"")+('Dvd Calendar'!$K$280=SPECIAL_LBL)*(INC_SPECIALS="Y"))=0,"",'Dvd Calendar'!$K$278)))</f>
        <v/>
      </c>
      <c r="J36" s="110">
        <f>IF(EL36="","",IF(ISNUMBER('Dvd Calendar'!$L$278)=FALSE,"",IF((('Dvd Calendar'!$L$280=TYPE1)*(TYPE1&lt;&gt;"")+('Dvd Calendar'!$L$280=TYPE2)*(TYPE2&lt;&gt;"")+('Dvd Calendar'!$L$280=TYPE3)*(TYPE3&lt;&gt;"")+('Dvd Calendar'!$L$280=TYPE4)*(TYPE4&lt;&gt;"")+('Dvd Calendar'!$L$280=SPECIAL_LBL)*(INC_SPECIALS="Y"))=0,"",'Dvd Calendar'!$L$278)))</f>
        <v/>
      </c>
      <c r="K36" s="110">
        <f>IF(EM36="","",IF(ISNUMBER('Dvd Calendar'!$M$278)=FALSE,"",IF((('Dvd Calendar'!$M$280=TYPE1)*(TYPE1&lt;&gt;"")+('Dvd Calendar'!$M$280=TYPE2)*(TYPE2&lt;&gt;"")+('Dvd Calendar'!$M$280=TYPE3)*(TYPE3&lt;&gt;"")+('Dvd Calendar'!$M$280=TYPE4)*(TYPE4&lt;&gt;"")+('Dvd Calendar'!$M$280=SPECIAL_LBL)*(INC_SPECIALS="Y"))=0,"",'Dvd Calendar'!$M$278)))</f>
        <v/>
      </c>
      <c r="L36" s="110">
        <f>IF(EN36="","",IF(ISNUMBER('Dvd Calendar'!$N$278)=FALSE,"",IF((('Dvd Calendar'!$N$280=TYPE1)*(TYPE1&lt;&gt;"")+('Dvd Calendar'!$N$280=TYPE2)*(TYPE2&lt;&gt;"")+('Dvd Calendar'!$N$280=TYPE3)*(TYPE3&lt;&gt;"")+('Dvd Calendar'!$N$280=TYPE4)*(TYPE4&lt;&gt;"")+('Dvd Calendar'!$N$280=SPECIAL_LBL)*(INC_SPECIALS="Y"))=0,"",'Dvd Calendar'!$N$278)))</f>
        <v/>
      </c>
      <c r="M36" s="110">
        <f>IF(EO36="","",IF(ISNUMBER('Dvd Calendar'!$O$278)=FALSE,"",IF((('Dvd Calendar'!$O$280=TYPE1)*(TYPE1&lt;&gt;"")+('Dvd Calendar'!$O$280=TYPE2)*(TYPE2&lt;&gt;"")+('Dvd Calendar'!$O$280=TYPE3)*(TYPE3&lt;&gt;"")+('Dvd Calendar'!$O$280=TYPE4)*(TYPE4&lt;&gt;"")+('Dvd Calendar'!$O$280=SPECIAL_LBL)*(INC_SPECIALS="Y"))=0,"",'Dvd Calendar'!$O$278)))</f>
        <v/>
      </c>
      <c r="N36" s="110">
        <f>IF(EP36="","",IF(ISNUMBER('Dvd Calendar'!$P$278)=FALSE,"",IF((('Dvd Calendar'!$P$280=TYPE1)*(TYPE1&lt;&gt;"")+('Dvd Calendar'!$P$280=TYPE2)*(TYPE2&lt;&gt;"")+('Dvd Calendar'!$P$280=TYPE3)*(TYPE3&lt;&gt;"")+('Dvd Calendar'!$P$280=TYPE4)*(TYPE4&lt;&gt;"")+('Dvd Calendar'!$P$280=SPECIAL_LBL)*(INC_SPECIALS="Y"))=0,"",'Dvd Calendar'!$P$278)))</f>
        <v/>
      </c>
      <c r="O36" s="110">
        <f>IF(EQ36="","",IF(ISNUMBER('Dvd Calendar'!$Q$278)=FALSE,"",IF((('Dvd Calendar'!$Q$280=TYPE1)*(TYPE1&lt;&gt;"")+('Dvd Calendar'!$Q$280=TYPE2)*(TYPE2&lt;&gt;"")+('Dvd Calendar'!$Q$280=TYPE3)*(TYPE3&lt;&gt;"")+('Dvd Calendar'!$Q$280=TYPE4)*(TYPE4&lt;&gt;"")+('Dvd Calendar'!$Q$280=SPECIAL_LBL)*(INC_SPECIALS="Y"))=0,"",'Dvd Calendar'!$Q$278)))</f>
        <v/>
      </c>
      <c r="P36" s="110">
        <f>IF(ER36="","",IF(ISNUMBER('Dvd Calendar'!$R$278)=FALSE,"",IF((('Dvd Calendar'!$R$280=TYPE1)*(TYPE1&lt;&gt;"")+('Dvd Calendar'!$R$280=TYPE2)*(TYPE2&lt;&gt;"")+('Dvd Calendar'!$R$280=TYPE3)*(TYPE3&lt;&gt;"")+('Dvd Calendar'!$R$280=TYPE4)*(TYPE4&lt;&gt;"")+('Dvd Calendar'!$R$280=SPECIAL_LBL)*(INC_SPECIALS="Y"))=0,"",'Dvd Calendar'!$R$278)))</f>
        <v/>
      </c>
      <c r="Q36" s="110">
        <f>IF(ES36="","",IF(ISNUMBER('Dvd Calendar'!$S$278)=FALSE,"",IF((('Dvd Calendar'!$S$280=TYPE1)*(TYPE1&lt;&gt;"")+('Dvd Calendar'!$S$280=TYPE2)*(TYPE2&lt;&gt;"")+('Dvd Calendar'!$S$280=TYPE3)*(TYPE3&lt;&gt;"")+('Dvd Calendar'!$S$280=TYPE4)*(TYPE4&lt;&gt;"")+('Dvd Calendar'!$S$280=SPECIAL_LBL)*(INC_SPECIALS="Y"))=0,"",'Dvd Calendar'!$S$278)))</f>
        <v/>
      </c>
      <c r="R36" s="110">
        <f>IF(ET36="","",IF(ISNUMBER('Dvd Calendar'!$T$278)=FALSE,"",IF((('Dvd Calendar'!$T$280=TYPE1)*(TYPE1&lt;&gt;"")+('Dvd Calendar'!$T$280=TYPE2)*(TYPE2&lt;&gt;"")+('Dvd Calendar'!$T$280=TYPE3)*(TYPE3&lt;&gt;"")+('Dvd Calendar'!$T$280=TYPE4)*(TYPE4&lt;&gt;"")+('Dvd Calendar'!$T$280=SPECIAL_LBL)*(INC_SPECIALS="Y"))=0,"",'Dvd Calendar'!$T$278)))</f>
        <v/>
      </c>
      <c r="S36" s="110">
        <f>IF(EU36="","",IF(ISNUMBER('Dvd Calendar'!$U$278)=FALSE,"",IF((('Dvd Calendar'!$U$280=TYPE1)*(TYPE1&lt;&gt;"")+('Dvd Calendar'!$U$280=TYPE2)*(TYPE2&lt;&gt;"")+('Dvd Calendar'!$U$280=TYPE3)*(TYPE3&lt;&gt;"")+('Dvd Calendar'!$U$280=TYPE4)*(TYPE4&lt;&gt;"")+('Dvd Calendar'!$U$280=SPECIAL_LBL)*(INC_SPECIALS="Y"))=0,"",'Dvd Calendar'!$U$278)))</f>
        <v/>
      </c>
      <c r="T36" s="110">
        <f>IF(EV36="","",IF(ISNUMBER('Dvd Calendar'!$V$278)=FALSE,"",IF((('Dvd Calendar'!$V$280=TYPE1)*(TYPE1&lt;&gt;"")+('Dvd Calendar'!$V$280=TYPE2)*(TYPE2&lt;&gt;"")+('Dvd Calendar'!$V$280=TYPE3)*(TYPE3&lt;&gt;"")+('Dvd Calendar'!$V$280=TYPE4)*(TYPE4&lt;&gt;"")+('Dvd Calendar'!$V$280=SPECIAL_LBL)*(INC_SPECIALS="Y"))=0,"",'Dvd Calendar'!$V$278)))</f>
        <v/>
      </c>
      <c r="U36" s="110">
        <f>IF(EW36="","",IF(ISNUMBER('Dvd Calendar'!$W$278)=FALSE,"",IF((('Dvd Calendar'!$W$280=TYPE1)*(TYPE1&lt;&gt;"")+('Dvd Calendar'!$W$280=TYPE2)*(TYPE2&lt;&gt;"")+('Dvd Calendar'!$W$280=TYPE3)*(TYPE3&lt;&gt;"")+('Dvd Calendar'!$W$280=TYPE4)*(TYPE4&lt;&gt;"")+('Dvd Calendar'!$W$280=SPECIAL_LBL)*(INC_SPECIALS="Y"))=0,"",'Dvd Calendar'!$W$278)))</f>
        <v/>
      </c>
      <c r="V36" s="110">
        <f>IF(EX36="","",IF(ISNUMBER('Dvd Calendar'!$X$278)=FALSE,"",IF((('Dvd Calendar'!$X$280=TYPE1)*(TYPE1&lt;&gt;"")+('Dvd Calendar'!$X$280=TYPE2)*(TYPE2&lt;&gt;"")+('Dvd Calendar'!$X$280=TYPE3)*(TYPE3&lt;&gt;"")+('Dvd Calendar'!$X$280=TYPE4)*(TYPE4&lt;&gt;"")+('Dvd Calendar'!$X$280=SPECIAL_LBL)*(INC_SPECIALS="Y"))=0,"",'Dvd Calendar'!$X$278)))</f>
        <v/>
      </c>
      <c r="W36" s="110">
        <f>IF(EY36="","",IF(ISNUMBER('Dvd Calendar'!$Y$278)=FALSE,"",IF((('Dvd Calendar'!$Y$280=TYPE1)*(TYPE1&lt;&gt;"")+('Dvd Calendar'!$Y$280=TYPE2)*(TYPE2&lt;&gt;"")+('Dvd Calendar'!$Y$280=TYPE3)*(TYPE3&lt;&gt;"")+('Dvd Calendar'!$Y$280=TYPE4)*(TYPE4&lt;&gt;"")+('Dvd Calendar'!$Y$280=SPECIAL_LBL)*(INC_SPECIALS="Y"))=0,"",'Dvd Calendar'!$Y$278)))</f>
        <v/>
      </c>
      <c r="X36" s="110">
        <f>IF(EZ36="","",IF(ISNUMBER('Dvd Calendar'!$Z$278)=FALSE,"",IF((('Dvd Calendar'!$Z$280=TYPE1)*(TYPE1&lt;&gt;"")+('Dvd Calendar'!$Z$280=TYPE2)*(TYPE2&lt;&gt;"")+('Dvd Calendar'!$Z$280=TYPE3)*(TYPE3&lt;&gt;"")+('Dvd Calendar'!$Z$280=TYPE4)*(TYPE4&lt;&gt;"")+('Dvd Calendar'!$Z$280=SPECIAL_LBL)*(INC_SPECIALS="Y"))=0,"",'Dvd Calendar'!$Z$278)))</f>
        <v/>
      </c>
      <c r="Y36" s="110">
        <f>IF(FA36="","",IF(ISNUMBER('Dvd Calendar'!$AA$278)=FALSE,"",IF((('Dvd Calendar'!$AA$280=TYPE1)*(TYPE1&lt;&gt;"")+('Dvd Calendar'!$AA$280=TYPE2)*(TYPE2&lt;&gt;"")+('Dvd Calendar'!$AA$280=TYPE3)*(TYPE3&lt;&gt;"")+('Dvd Calendar'!$AA$280=TYPE4)*(TYPE4&lt;&gt;"")+('Dvd Calendar'!$AA$280=SPECIAL_LBL)*(INC_SPECIALS="Y"))=0,"",'Dvd Calendar'!$AA$278)))</f>
        <v/>
      </c>
      <c r="Z36" s="110">
        <f>IF(FB36="","",IF(ISNUMBER('Dvd Calendar'!$AB$278)=FALSE,"",IF((('Dvd Calendar'!$AB$280=TYPE1)*(TYPE1&lt;&gt;"")+('Dvd Calendar'!$AB$280=TYPE2)*(TYPE2&lt;&gt;"")+('Dvd Calendar'!$AB$280=TYPE3)*(TYPE3&lt;&gt;"")+('Dvd Calendar'!$AB$280=TYPE4)*(TYPE4&lt;&gt;"")+('Dvd Calendar'!$AB$280=SPECIAL_LBL)*(INC_SPECIALS="Y"))=0,"",'Dvd Calendar'!$AB$278)))</f>
        <v/>
      </c>
      <c r="AA36" s="110">
        <f>IF(FC36="","",IF(ISNUMBER('Dvd Calendar'!$AC$278)=FALSE,"",IF((('Dvd Calendar'!$AC$280=TYPE1)*(TYPE1&lt;&gt;"")+('Dvd Calendar'!$AC$280=TYPE2)*(TYPE2&lt;&gt;"")+('Dvd Calendar'!$AC$280=TYPE3)*(TYPE3&lt;&gt;"")+('Dvd Calendar'!$AC$280=TYPE4)*(TYPE4&lt;&gt;"")+('Dvd Calendar'!$AC$280=SPECIAL_LBL)*(INC_SPECIALS="Y"))=0,"",'Dvd Calendar'!$AC$278)))</f>
        <v/>
      </c>
      <c r="AB36" s="110">
        <f>IF(FD36="","",IF(ISNUMBER('Dvd Calendar'!$AD$278)=FALSE,"",IF((('Dvd Calendar'!$AD$280=TYPE1)*(TYPE1&lt;&gt;"")+('Dvd Calendar'!$AD$280=TYPE2)*(TYPE2&lt;&gt;"")+('Dvd Calendar'!$AD$280=TYPE3)*(TYPE3&lt;&gt;"")+('Dvd Calendar'!$AD$280=TYPE4)*(TYPE4&lt;&gt;"")+('Dvd Calendar'!$AD$280=SPECIAL_LBL)*(INC_SPECIALS="Y"))=0,"",'Dvd Calendar'!$AD$278)))</f>
        <v/>
      </c>
      <c r="AC36" s="110">
        <f>IF(FE36="","",IF(ISNUMBER('Dvd Calendar'!$AE$278)=FALSE,"",IF((('Dvd Calendar'!$AE$280=TYPE1)*(TYPE1&lt;&gt;"")+('Dvd Calendar'!$AE$280=TYPE2)*(TYPE2&lt;&gt;"")+('Dvd Calendar'!$AE$280=TYPE3)*(TYPE3&lt;&gt;"")+('Dvd Calendar'!$AE$280=TYPE4)*(TYPE4&lt;&gt;"")+('Dvd Calendar'!$AE$280=SPECIAL_LBL)*(INC_SPECIALS="Y"))=0,"",'Dvd Calendar'!$AE$278)))</f>
        <v/>
      </c>
      <c r="AD36" s="110">
        <f>IF(FF36="","",IF(ISNUMBER('Dvd Calendar'!$AF$278)=FALSE,"",IF((('Dvd Calendar'!$AF$280=TYPE1)*(TYPE1&lt;&gt;"")+('Dvd Calendar'!$AF$280=TYPE2)*(TYPE2&lt;&gt;"")+('Dvd Calendar'!$AF$280=TYPE3)*(TYPE3&lt;&gt;"")+('Dvd Calendar'!$AF$280=TYPE4)*(TYPE4&lt;&gt;"")+('Dvd Calendar'!$AF$280=SPECIAL_LBL)*(INC_SPECIALS="Y"))=0,"",'Dvd Calendar'!$AF$278)))</f>
        <v/>
      </c>
      <c r="AE36" s="110">
        <f>IF(FG36="","",IF(ISNUMBER('Dvd Calendar'!$AG$278)=FALSE,"",IF((('Dvd Calendar'!$AG$280=TYPE1)*(TYPE1&lt;&gt;"")+('Dvd Calendar'!$AG$280=TYPE2)*(TYPE2&lt;&gt;"")+('Dvd Calendar'!$AG$280=TYPE3)*(TYPE3&lt;&gt;"")+('Dvd Calendar'!$AG$280=TYPE4)*(TYPE4&lt;&gt;"")+('Dvd Calendar'!$AG$280=SPECIAL_LBL)*(INC_SPECIALS="Y"))=0,"",'Dvd Calendar'!$AG$278)))</f>
        <v/>
      </c>
      <c r="AF36" s="110">
        <f>IF(FH36="","",IF(ISNUMBER('Dvd Calendar'!$AH$278)=FALSE,"",IF((('Dvd Calendar'!$AH$280=TYPE1)*(TYPE1&lt;&gt;"")+('Dvd Calendar'!$AH$280=TYPE2)*(TYPE2&lt;&gt;"")+('Dvd Calendar'!$AH$280=TYPE3)*(TYPE3&lt;&gt;"")+('Dvd Calendar'!$AH$280=TYPE4)*(TYPE4&lt;&gt;"")+('Dvd Calendar'!$AH$280=SPECIAL_LBL)*(INC_SPECIALS="Y"))=0,"",'Dvd Calendar'!$AH$278)))</f>
        <v/>
      </c>
      <c r="AG36" s="110">
        <f>IF(FI36="","",IF(ISNUMBER('Dvd Calendar'!$AI$278)=FALSE,"",IF((('Dvd Calendar'!$AI$280=TYPE1)*(TYPE1&lt;&gt;"")+('Dvd Calendar'!$AI$280=TYPE2)*(TYPE2&lt;&gt;"")+('Dvd Calendar'!$AI$280=TYPE3)*(TYPE3&lt;&gt;"")+('Dvd Calendar'!$AI$280=TYPE4)*(TYPE4&lt;&gt;"")+('Dvd Calendar'!$AI$280=SPECIAL_LBL)*(INC_SPECIALS="Y"))=0,"",'Dvd Calendar'!$AI$278)))</f>
        <v/>
      </c>
      <c r="AH36" s="110">
        <f>IF(FJ36="","",IF(ISNUMBER('Dvd Calendar'!$AJ$278)=FALSE,"",IF((('Dvd Calendar'!$AJ$280=TYPE1)*(TYPE1&lt;&gt;"")+('Dvd Calendar'!$AJ$280=TYPE2)*(TYPE2&lt;&gt;"")+('Dvd Calendar'!$AJ$280=TYPE3)*(TYPE3&lt;&gt;"")+('Dvd Calendar'!$AJ$280=TYPE4)*(TYPE4&lt;&gt;"")+('Dvd Calendar'!$AJ$280=SPECIAL_LBL)*(INC_SPECIALS="Y"))=0,"",'Dvd Calendar'!$AJ$278)))</f>
        <v/>
      </c>
      <c r="AI36" s="110">
        <f>IF(FK36="","",IF(ISNUMBER('Dvd Calendar'!$AK$278)=FALSE,"",IF((('Dvd Calendar'!$AK$280=TYPE1)*(TYPE1&lt;&gt;"")+('Dvd Calendar'!$AK$280=TYPE2)*(TYPE2&lt;&gt;"")+('Dvd Calendar'!$AK$280=TYPE3)*(TYPE3&lt;&gt;"")+('Dvd Calendar'!$AK$280=TYPE4)*(TYPE4&lt;&gt;"")+('Dvd Calendar'!$AK$280=SPECIAL_LBL)*(INC_SPECIALS="Y"))=0,"",'Dvd Calendar'!$AK$278)))</f>
        <v/>
      </c>
      <c r="AJ36" s="110">
        <f>IF(FL36="","",IF(ISNUMBER('Dvd Calendar'!$AL$278)=FALSE,"",IF((('Dvd Calendar'!$AL$280=TYPE1)*(TYPE1&lt;&gt;"")+('Dvd Calendar'!$AL$280=TYPE2)*(TYPE2&lt;&gt;"")+('Dvd Calendar'!$AL$280=TYPE3)*(TYPE3&lt;&gt;"")+('Dvd Calendar'!$AL$280=TYPE4)*(TYPE4&lt;&gt;"")+('Dvd Calendar'!$AL$280=SPECIAL_LBL)*(INC_SPECIALS="Y"))=0,"",'Dvd Calendar'!$AL$278)))</f>
        <v/>
      </c>
      <c r="AK36" s="110">
        <f>IF(FM36="","",IF(ISNUMBER('Dvd Calendar'!$AM$278)=FALSE,"",IF((('Dvd Calendar'!$AM$280=TYPE1)*(TYPE1&lt;&gt;"")+('Dvd Calendar'!$AM$280=TYPE2)*(TYPE2&lt;&gt;"")+('Dvd Calendar'!$AM$280=TYPE3)*(TYPE3&lt;&gt;"")+('Dvd Calendar'!$AM$280=TYPE4)*(TYPE4&lt;&gt;"")+('Dvd Calendar'!$AM$280=SPECIAL_LBL)*(INC_SPECIALS="Y"))=0,"",'Dvd Calendar'!$AM$278)))</f>
        <v/>
      </c>
      <c r="AL36" s="110">
        <f>IF(FN36="","",IF(ISNUMBER('Dvd Calendar'!$AN$278)=FALSE,"",IF((('Dvd Calendar'!$AN$280=TYPE1)*(TYPE1&lt;&gt;"")+('Dvd Calendar'!$AN$280=TYPE2)*(TYPE2&lt;&gt;"")+('Dvd Calendar'!$AN$280=TYPE3)*(TYPE3&lt;&gt;"")+('Dvd Calendar'!$AN$280=TYPE4)*(TYPE4&lt;&gt;"")+('Dvd Calendar'!$AN$280=SPECIAL_LBL)*(INC_SPECIALS="Y"))=0,"",'Dvd Calendar'!$AN$278)))</f>
        <v/>
      </c>
      <c r="AM36" s="110">
        <f>IF(FO36="","",IF(ISNUMBER('Dvd Calendar'!$AO$278)=FALSE,"",IF((('Dvd Calendar'!$AO$280=TYPE1)*(TYPE1&lt;&gt;"")+('Dvd Calendar'!$AO$280=TYPE2)*(TYPE2&lt;&gt;"")+('Dvd Calendar'!$AO$280=TYPE3)*(TYPE3&lt;&gt;"")+('Dvd Calendar'!$AO$280=TYPE4)*(TYPE4&lt;&gt;"")+('Dvd Calendar'!$AO$280=SPECIAL_LBL)*(INC_SPECIALS="Y"))=0,"",'Dvd Calendar'!$AO$278)))</f>
        <v/>
      </c>
      <c r="AN36" s="110">
        <f>IF(FP36="","",IF(ISNUMBER('Dvd Calendar'!$AP$278)=FALSE,"",IF((('Dvd Calendar'!$AP$280=TYPE1)*(TYPE1&lt;&gt;"")+('Dvd Calendar'!$AP$280=TYPE2)*(TYPE2&lt;&gt;"")+('Dvd Calendar'!$AP$280=TYPE3)*(TYPE3&lt;&gt;"")+('Dvd Calendar'!$AP$280=TYPE4)*(TYPE4&lt;&gt;"")+('Dvd Calendar'!$AP$280=SPECIAL_LBL)*(INC_SPECIALS="Y"))=0,"",'Dvd Calendar'!$AP$278)))</f>
        <v/>
      </c>
      <c r="AO36" s="110">
        <f>IF(FQ36="","",IF(ISNUMBER('Dvd Calendar'!$AQ$278)=FALSE,"",IF((('Dvd Calendar'!$AQ$280=TYPE1)*(TYPE1&lt;&gt;"")+('Dvd Calendar'!$AQ$280=TYPE2)*(TYPE2&lt;&gt;"")+('Dvd Calendar'!$AQ$280=TYPE3)*(TYPE3&lt;&gt;"")+('Dvd Calendar'!$AQ$280=TYPE4)*(TYPE4&lt;&gt;"")+('Dvd Calendar'!$AQ$280=SPECIAL_LBL)*(INC_SPECIALS="Y"))=0,"",'Dvd Calendar'!$AQ$278)))</f>
        <v/>
      </c>
      <c r="AP36" s="110">
        <f>IF(FR36="","",IF(ISNUMBER('Dvd Calendar'!$AR$278)=FALSE,"",IF((('Dvd Calendar'!$AR$280=TYPE1)*(TYPE1&lt;&gt;"")+('Dvd Calendar'!$AR$280=TYPE2)*(TYPE2&lt;&gt;"")+('Dvd Calendar'!$AR$280=TYPE3)*(TYPE3&lt;&gt;"")+('Dvd Calendar'!$AR$280=TYPE4)*(TYPE4&lt;&gt;"")+('Dvd Calendar'!$AR$280=SPECIAL_LBL)*(INC_SPECIALS="Y"))=0,"",'Dvd Calendar'!$AR$278)))</f>
        <v/>
      </c>
      <c r="AQ36" s="110">
        <f>IF(FS36="","",IF(ISNUMBER('Dvd Calendar'!$E$283)=FALSE,"",'Dvd Calendar'!$E$283))</f>
        <v/>
      </c>
      <c r="AR36" s="110">
        <f>IF(FT36="","",IF(ISNUMBER('Dvd Calendar'!$F$283)=FALSE,"",'Dvd Calendar'!$F$283))</f>
        <v/>
      </c>
      <c r="AS36" s="110">
        <f>IF(FU36="","",IF(ISNUMBER('Dvd Calendar'!$G$283)=FALSE,"",'Dvd Calendar'!$G$283))</f>
        <v/>
      </c>
      <c r="AT36" s="110">
        <f>IF(FV36="","",IF(ISNUMBER('Dvd Calendar'!$H$283)=FALSE,"",'Dvd Calendar'!$H$283))</f>
        <v/>
      </c>
      <c r="AU36" s="110">
        <f>IF(FW36="","",IF(ISNUMBER('Dvd Calendar'!$I$283)=FALSE,"",'Dvd Calendar'!$I$283))</f>
        <v/>
      </c>
      <c r="AV36" s="110">
        <f>IF(FX36="","",IF(ISNUMBER('Dvd Calendar'!$J$283)=FALSE,"",'Dvd Calendar'!$J$283))</f>
        <v/>
      </c>
      <c r="AW36" s="110">
        <f>IF(FY36="","",IF(ISNUMBER('Dvd Calendar'!$K$283)=FALSE,"",'Dvd Calendar'!$K$283))</f>
        <v/>
      </c>
      <c r="AX36" s="110">
        <f>IF(FZ36="","",IF(ISNUMBER('Dvd Calendar'!$L$283)=FALSE,"",'Dvd Calendar'!$L$283))</f>
        <v/>
      </c>
      <c r="AY36" s="110">
        <f>IF(GA36="","",IF(ISNUMBER('Dvd Calendar'!$M$283)=FALSE,"",'Dvd Calendar'!$M$283))</f>
        <v/>
      </c>
      <c r="AZ36" s="110">
        <f>IF(GB36="","",IF(ISNUMBER('Dvd Calendar'!$N$283)=FALSE,"",'Dvd Calendar'!$N$283))</f>
        <v/>
      </c>
      <c r="BA36" s="110">
        <f>IF(GC36="","",IF(ISNUMBER('Dvd Calendar'!$O$283)=FALSE,"",'Dvd Calendar'!$O$283))</f>
        <v/>
      </c>
      <c r="BB36" s="110">
        <f>IF(GD36="","",IF(ISNUMBER('Dvd Calendar'!$P$283)=FALSE,"",'Dvd Calendar'!$P$283))</f>
        <v/>
      </c>
      <c r="BC36" s="110">
        <f>IF(GE36="","",IF(ISNUMBER('Dvd Calendar'!$Q$283)=FALSE,"",'Dvd Calendar'!$Q$283))</f>
        <v/>
      </c>
      <c r="BD36" s="110">
        <f>IF(GF36="","",IF(ISNUMBER('Dvd Calendar'!$R$283)=FALSE,"",'Dvd Calendar'!$R$283))</f>
        <v/>
      </c>
      <c r="BE36" s="110">
        <f>IF(GG36="","",IF(ISNUMBER('Dvd Calendar'!$S$283)=FALSE,"",'Dvd Calendar'!$S$283))</f>
        <v/>
      </c>
      <c r="BF36" s="110">
        <f>IF(GH36="","",IF(ISNUMBER('Dvd Calendar'!$T$283)=FALSE,"",'Dvd Calendar'!$T$283))</f>
        <v/>
      </c>
      <c r="BG36" s="110">
        <f>IF(GI36="","",IF(ISNUMBER('Dvd Calendar'!$U$283)=FALSE,"",'Dvd Calendar'!$U$283))</f>
        <v/>
      </c>
      <c r="BH36" s="110">
        <f>IF(GJ36="","",IF(ISNUMBER('Dvd Calendar'!$V$283)=FALSE,"",'Dvd Calendar'!$V$283))</f>
        <v/>
      </c>
      <c r="BI36" s="110">
        <f>IF(GK36="","",IF(ISNUMBER('Dvd Calendar'!$W$283)=FALSE,"",'Dvd Calendar'!$W$283))</f>
        <v/>
      </c>
      <c r="BJ36" s="110">
        <f>IF(GL36="","",IF(ISNUMBER('Dvd Calendar'!$X$283)=FALSE,"",'Dvd Calendar'!$X$283))</f>
        <v/>
      </c>
      <c r="BK36" s="110">
        <f>IF(GM36="","",IF(ISNUMBER('Dvd Calendar'!$Y$283)=FALSE,"",'Dvd Calendar'!$Y$283))</f>
        <v/>
      </c>
      <c r="BL36" s="110">
        <f>IF(GN36="","",IF(ISNUMBER('Dvd Calendar'!$Z$283)=FALSE,"",'Dvd Calendar'!$Z$283))</f>
        <v/>
      </c>
      <c r="BM36" s="110">
        <f>IF(GO36="","",IF(ISNUMBER('Dvd Calendar'!$AA$283)=FALSE,"",'Dvd Calendar'!$AA$283))</f>
        <v/>
      </c>
      <c r="BN36" s="110">
        <f>IF(GP36="","",IF(ISNUMBER('Dvd Calendar'!$AB$283)=FALSE,"",'Dvd Calendar'!$AB$283))</f>
        <v/>
      </c>
      <c r="BO36" s="110">
        <f>IF(GQ36="","",IF(ISNUMBER('Dvd Calendar'!$AC$283)=FALSE,"",'Dvd Calendar'!$AC$283))</f>
        <v/>
      </c>
      <c r="BQ36" s="110">
        <f>IF(C36="","",IFERROR(C36*HSI!$B$31*HSI!$G$31/HSI!$B$3,""))</f>
        <v/>
      </c>
      <c r="BR36" s="110">
        <f>IF(D36="","",IFERROR(D36*HSI!$B$31*HSI!$G$31/HSI!$B$3,""))</f>
        <v/>
      </c>
      <c r="BS36" s="110">
        <f>IF(E36="","",IFERROR(E36*HSI!$B$31*HSI!$G$31/HSI!$B$3,""))</f>
        <v/>
      </c>
      <c r="BT36" s="110">
        <f>IF(F36="","",IFERROR(F36*HSI!$B$31*HSI!$G$31/HSI!$B$3,""))</f>
        <v/>
      </c>
      <c r="BU36" s="110">
        <f>IF(G36="","",IFERROR(G36*HSI!$B$31*HSI!$G$31/HSI!$B$3,""))</f>
        <v/>
      </c>
      <c r="BV36" s="110">
        <f>IF(H36="","",IFERROR(H36*HSI!$B$31*HSI!$G$31/HSI!$B$3,""))</f>
        <v/>
      </c>
      <c r="BW36" s="110">
        <f>IF(I36="","",IFERROR(I36*HSI!$B$31*HSI!$G$31/HSI!$B$3,""))</f>
        <v/>
      </c>
      <c r="BX36" s="110">
        <f>IF(J36="","",IFERROR(J36*HSI!$B$31*HSI!$G$31/HSI!$B$3,""))</f>
        <v/>
      </c>
      <c r="BY36" s="110">
        <f>IF(K36="","",IFERROR(K36*HSI!$B$31*HSI!$G$31/HSI!$B$3,""))</f>
        <v/>
      </c>
      <c r="BZ36" s="110">
        <f>IF(L36="","",IFERROR(L36*HSI!$B$31*HSI!$G$31/HSI!$B$3,""))</f>
        <v/>
      </c>
      <c r="CA36" s="110">
        <f>IF(M36="","",IFERROR(M36*HSI!$B$31*HSI!$G$31/HSI!$B$3,""))</f>
        <v/>
      </c>
      <c r="CB36" s="110">
        <f>IF(N36="","",IFERROR(N36*HSI!$B$31*HSI!$G$31/HSI!$B$3,""))</f>
        <v/>
      </c>
      <c r="CC36" s="110">
        <f>IF(O36="","",IFERROR(O36*HSI!$B$31*HSI!$G$31/HSI!$B$3,""))</f>
        <v/>
      </c>
      <c r="CD36" s="110">
        <f>IF(P36="","",IFERROR(P36*HSI!$B$31*HSI!$G$31/HSI!$B$3,""))</f>
        <v/>
      </c>
      <c r="CE36" s="110">
        <f>IF(Q36="","",IFERROR(Q36*HSI!$B$31*HSI!$G$31/HSI!$B$3,""))</f>
        <v/>
      </c>
      <c r="CF36" s="110">
        <f>IF(R36="","",IFERROR(R36*HSI!$B$31*HSI!$G$31/HSI!$B$3,""))</f>
        <v/>
      </c>
      <c r="CG36" s="110">
        <f>IF(S36="","",IFERROR(S36*HSI!$B$31*HSI!$G$31/HSI!$B$3,""))</f>
        <v/>
      </c>
      <c r="CH36" s="110">
        <f>IF(T36="","",IFERROR(T36*HSI!$B$31*HSI!$G$31/HSI!$B$3,""))</f>
        <v/>
      </c>
      <c r="CI36" s="110">
        <f>IF(U36="","",IFERROR(U36*HSI!$B$31*HSI!$G$31/HSI!$B$3,""))</f>
        <v/>
      </c>
      <c r="CJ36" s="110">
        <f>IF(V36="","",IFERROR(V36*HSI!$B$31*HSI!$G$31/HSI!$B$3,""))</f>
        <v/>
      </c>
      <c r="CK36" s="110">
        <f>IF(W36="","",IFERROR(W36*HSI!$B$31*HSI!$G$31/HSI!$B$3,""))</f>
        <v/>
      </c>
      <c r="CL36" s="110">
        <f>IF(X36="","",IFERROR(X36*HSI!$B$31*HSI!$G$31/HSI!$B$3,""))</f>
        <v/>
      </c>
      <c r="CM36" s="110">
        <f>IF(Y36="","",IFERROR(Y36*HSI!$B$31*HSI!$G$31/HSI!$B$3,""))</f>
        <v/>
      </c>
      <c r="CN36" s="110">
        <f>IF(Z36="","",IFERROR(Z36*HSI!$B$31*HSI!$G$31/HSI!$B$3,""))</f>
        <v/>
      </c>
      <c r="CO36" s="110">
        <f>IF(AA36="","",IFERROR(AA36*HSI!$B$31*HSI!$G$31/HSI!$B$3,""))</f>
        <v/>
      </c>
      <c r="CP36" s="110">
        <f>IF(AB36="","",IFERROR(AB36*HSI!$B$31*HSI!$G$31/HSI!$B$3,""))</f>
        <v/>
      </c>
      <c r="CQ36" s="110">
        <f>IF(AC36="","",IFERROR(AC36*HSI!$B$31*HSI!$G$31/HSI!$B$3,""))</f>
        <v/>
      </c>
      <c r="CR36" s="110">
        <f>IF(AD36="","",IFERROR(AD36*HSI!$B$31*HSI!$G$31/HSI!$B$3,""))</f>
        <v/>
      </c>
      <c r="CS36" s="110">
        <f>IF(AE36="","",IFERROR(AE36*HSI!$B$31*HSI!$G$31/HSI!$B$3,""))</f>
        <v/>
      </c>
      <c r="CT36" s="110">
        <f>IF(AF36="","",IFERROR(AF36*HSI!$B$31*HSI!$G$31/HSI!$B$3,""))</f>
        <v/>
      </c>
      <c r="CU36" s="110">
        <f>IF(AG36="","",IFERROR(AG36*HSI!$B$31*HSI!$G$31/HSI!$B$3,""))</f>
        <v/>
      </c>
      <c r="CV36" s="110">
        <f>IF(AH36="","",IFERROR(AH36*HSI!$B$31*HSI!$G$31/HSI!$B$3,""))</f>
        <v/>
      </c>
      <c r="CW36" s="110">
        <f>IF(AI36="","",IFERROR(AI36*HSI!$B$31*HSI!$G$31/HSI!$B$3,""))</f>
        <v/>
      </c>
      <c r="CX36" s="110">
        <f>IF(AJ36="","",IFERROR(AJ36*HSI!$B$31*HSI!$G$31/HSI!$B$3,""))</f>
        <v/>
      </c>
      <c r="CY36" s="110">
        <f>IF(AK36="","",IFERROR(AK36*HSI!$B$31*HSI!$G$31/HSI!$B$3,""))</f>
        <v/>
      </c>
      <c r="CZ36" s="110">
        <f>IF(AL36="","",IFERROR(AL36*HSI!$B$31*HSI!$G$31/HSI!$B$3,""))</f>
        <v/>
      </c>
      <c r="DA36" s="110">
        <f>IF(AM36="","",IFERROR(AM36*HSI!$B$31*HSI!$G$31/HSI!$B$3,""))</f>
        <v/>
      </c>
      <c r="DB36" s="110">
        <f>IF(AN36="","",IFERROR(AN36*HSI!$B$31*HSI!$G$31/HSI!$B$3,""))</f>
        <v/>
      </c>
      <c r="DC36" s="110">
        <f>IF(AO36="","",IFERROR(AO36*HSI!$B$31*HSI!$G$31/HSI!$B$3,""))</f>
        <v/>
      </c>
      <c r="DD36" s="110">
        <f>IF(AP36="","",IFERROR(AP36*HSI!$B$31*HSI!$G$31/HSI!$B$3,""))</f>
        <v/>
      </c>
      <c r="DE36" s="110">
        <f>IF(AQ36="","",IFERROR(AQ36*HSI!$B$31*HSI!$G$31/HSI!$B$3,""))</f>
        <v/>
      </c>
      <c r="DF36" s="110">
        <f>IF(AR36="","",IFERROR(AR36*HSI!$B$31*HSI!$G$31/HSI!$B$3,""))</f>
        <v/>
      </c>
      <c r="DG36" s="110">
        <f>IF(AS36="","",IFERROR(AS36*HSI!$B$31*HSI!$G$31/HSI!$B$3,""))</f>
        <v/>
      </c>
      <c r="DH36" s="110">
        <f>IF(AT36="","",IFERROR(AT36*HSI!$B$31*HSI!$G$31/HSI!$B$3,""))</f>
        <v/>
      </c>
      <c r="DI36" s="110">
        <f>IF(AU36="","",IFERROR(AU36*HSI!$B$31*HSI!$G$31/HSI!$B$3,""))</f>
        <v/>
      </c>
      <c r="DJ36" s="110">
        <f>IF(AV36="","",IFERROR(AV36*HSI!$B$31*HSI!$G$31/HSI!$B$3,""))</f>
        <v/>
      </c>
      <c r="DK36" s="110">
        <f>IF(AW36="","",IFERROR(AW36*HSI!$B$31*HSI!$G$31/HSI!$B$3,""))</f>
        <v/>
      </c>
      <c r="DL36" s="110">
        <f>IF(AX36="","",IFERROR(AX36*HSI!$B$31*HSI!$G$31/HSI!$B$3,""))</f>
        <v/>
      </c>
      <c r="DM36" s="110">
        <f>IF(AY36="","",IFERROR(AY36*HSI!$B$31*HSI!$G$31/HSI!$B$3,""))</f>
        <v/>
      </c>
      <c r="DN36" s="110">
        <f>IF(AZ36="","",IFERROR(AZ36*HSI!$B$31*HSI!$G$31/HSI!$B$3,""))</f>
        <v/>
      </c>
      <c r="DO36" s="110">
        <f>IF(BA36="","",IFERROR(BA36*HSI!$B$31*HSI!$G$31/HSI!$B$3,""))</f>
        <v/>
      </c>
      <c r="DP36" s="110">
        <f>IF(BB36="","",IFERROR(BB36*HSI!$B$31*HSI!$G$31/HSI!$B$3,""))</f>
        <v/>
      </c>
      <c r="DQ36" s="110">
        <f>IF(BC36="","",IFERROR(BC36*HSI!$B$31*HSI!$G$31/HSI!$B$3,""))</f>
        <v/>
      </c>
      <c r="DR36" s="110">
        <f>IF(BD36="","",IFERROR(BD36*HSI!$B$31*HSI!$G$31/HSI!$B$3,""))</f>
        <v/>
      </c>
      <c r="DS36" s="110">
        <f>IF(BE36="","",IFERROR(BE36*HSI!$B$31*HSI!$G$31/HSI!$B$3,""))</f>
        <v/>
      </c>
      <c r="DT36" s="110">
        <f>IF(BF36="","",IFERROR(BF36*HSI!$B$31*HSI!$G$31/HSI!$B$3,""))</f>
        <v/>
      </c>
      <c r="DU36" s="110">
        <f>IF(BG36="","",IFERROR(BG36*HSI!$B$31*HSI!$G$31/HSI!$B$3,""))</f>
        <v/>
      </c>
      <c r="DV36" s="110">
        <f>IF(BH36="","",IFERROR(BH36*HSI!$B$31*HSI!$G$31/HSI!$B$3,""))</f>
        <v/>
      </c>
      <c r="DW36" s="110">
        <f>IF(BI36="","",IFERROR(BI36*HSI!$B$31*HSI!$G$31/HSI!$B$3,""))</f>
        <v/>
      </c>
      <c r="DX36" s="110">
        <f>IF(BJ36="","",IFERROR(BJ36*HSI!$B$31*HSI!$G$31/HSI!$B$3,""))</f>
        <v/>
      </c>
      <c r="DY36" s="110">
        <f>IF(BK36="","",IFERROR(BK36*HSI!$B$31*HSI!$G$31/HSI!$B$3,""))</f>
        <v/>
      </c>
      <c r="DZ36" s="110">
        <f>IF(BL36="","",IFERROR(BL36*HSI!$B$31*HSI!$G$31/HSI!$B$3,""))</f>
        <v/>
      </c>
      <c r="EA36" s="110">
        <f>IF(BM36="","",IFERROR(BM36*HSI!$B$31*HSI!$G$31/HSI!$B$3,""))</f>
        <v/>
      </c>
      <c r="EB36" s="110">
        <f>IF(BN36="","",IFERROR(BN36*HSI!$B$31*HSI!$G$31/HSI!$B$3,""))</f>
        <v/>
      </c>
      <c r="EC36" s="110">
        <f>IF(BO36="","",IFERROR(BO36*HSI!$B$31*HSI!$G$31/HSI!$B$3,""))</f>
        <v/>
      </c>
      <c r="EE36" s="39">
        <f>IF(N('Dvd Calendar'!$E$275)=0,"",IF(('Dvd Calendar'!$E$275&gt;=GRID_FROM)*('Dvd Calendar'!$E$275&lt;=GRID_TO)*((('Dvd Calendar'!$E$275&lt;=VAL_DATE)+(COUNTIF('Dvd Calendar'!$E$282:$AR$282,'Dvd Calendar'!$E$275)=0))&gt;0)=0,"",'Dvd Calendar'!$E$275*1000000000+ISNUMBER('Dvd Calendar'!$E$278)*100000000+('Dvd Calendar'!$E$280=SPECIAL_LBL)*10000000+(N('Dvd Calendar'!$E$274)&gt;0)*(N('Dvd Calendar'!$E$274)&lt;=VAL_SERIAL)*1000000+25*1000+1))</f>
        <v/>
      </c>
      <c r="EF36" s="39">
        <f>IF(N('Dvd Calendar'!$F$275)=0,"",IF(('Dvd Calendar'!$F$275&gt;=GRID_FROM)*('Dvd Calendar'!$F$275&lt;=GRID_TO)*((('Dvd Calendar'!$F$275&lt;=VAL_DATE)+(COUNTIF('Dvd Calendar'!$E$282:$AR$282,'Dvd Calendar'!$F$275)=0))&gt;0)=0,"",'Dvd Calendar'!$F$275*1000000000+ISNUMBER('Dvd Calendar'!$F$278)*100000000+('Dvd Calendar'!$F$280=SPECIAL_LBL)*10000000+(N('Dvd Calendar'!$F$274)&gt;0)*(N('Dvd Calendar'!$F$274)&lt;=VAL_SERIAL)*1000000+25*1000+2))</f>
        <v/>
      </c>
      <c r="EG36" s="39">
        <f>IF(N('Dvd Calendar'!$G$275)=0,"",IF(('Dvd Calendar'!$G$275&gt;=GRID_FROM)*('Dvd Calendar'!$G$275&lt;=GRID_TO)*((('Dvd Calendar'!$G$275&lt;=VAL_DATE)+(COUNTIF('Dvd Calendar'!$E$282:$AR$282,'Dvd Calendar'!$G$275)=0))&gt;0)=0,"",'Dvd Calendar'!$G$275*1000000000+ISNUMBER('Dvd Calendar'!$G$278)*100000000+('Dvd Calendar'!$G$280=SPECIAL_LBL)*10000000+(N('Dvd Calendar'!$G$274)&gt;0)*(N('Dvd Calendar'!$G$274)&lt;=VAL_SERIAL)*1000000+25*1000+3))</f>
        <v/>
      </c>
      <c r="EH36" s="39">
        <f>IF(N('Dvd Calendar'!$H$275)=0,"",IF(('Dvd Calendar'!$H$275&gt;=GRID_FROM)*('Dvd Calendar'!$H$275&lt;=GRID_TO)*((('Dvd Calendar'!$H$275&lt;=VAL_DATE)+(COUNTIF('Dvd Calendar'!$E$282:$AR$282,'Dvd Calendar'!$H$275)=0))&gt;0)=0,"",'Dvd Calendar'!$H$275*1000000000+ISNUMBER('Dvd Calendar'!$H$278)*100000000+('Dvd Calendar'!$H$280=SPECIAL_LBL)*10000000+(N('Dvd Calendar'!$H$274)&gt;0)*(N('Dvd Calendar'!$H$274)&lt;=VAL_SERIAL)*1000000+25*1000+4))</f>
        <v/>
      </c>
      <c r="EI36" s="39">
        <f>IF(N('Dvd Calendar'!$I$275)=0,"",IF(('Dvd Calendar'!$I$275&gt;=GRID_FROM)*('Dvd Calendar'!$I$275&lt;=GRID_TO)*((('Dvd Calendar'!$I$275&lt;=VAL_DATE)+(COUNTIF('Dvd Calendar'!$E$282:$AR$282,'Dvd Calendar'!$I$275)=0))&gt;0)=0,"",'Dvd Calendar'!$I$275*1000000000+ISNUMBER('Dvd Calendar'!$I$278)*100000000+('Dvd Calendar'!$I$280=SPECIAL_LBL)*10000000+(N('Dvd Calendar'!$I$274)&gt;0)*(N('Dvd Calendar'!$I$274)&lt;=VAL_SERIAL)*1000000+25*1000+5))</f>
        <v/>
      </c>
      <c r="EJ36" s="39">
        <f>IF(N('Dvd Calendar'!$J$275)=0,"",IF(('Dvd Calendar'!$J$275&gt;=GRID_FROM)*('Dvd Calendar'!$J$275&lt;=GRID_TO)*((('Dvd Calendar'!$J$275&lt;=VAL_DATE)+(COUNTIF('Dvd Calendar'!$E$282:$AR$282,'Dvd Calendar'!$J$275)=0))&gt;0)=0,"",'Dvd Calendar'!$J$275*1000000000+ISNUMBER('Dvd Calendar'!$J$278)*100000000+('Dvd Calendar'!$J$280=SPECIAL_LBL)*10000000+(N('Dvd Calendar'!$J$274)&gt;0)*(N('Dvd Calendar'!$J$274)&lt;=VAL_SERIAL)*1000000+25*1000+6))</f>
        <v/>
      </c>
      <c r="EK36" s="39">
        <f>IF(N('Dvd Calendar'!$K$275)=0,"",IF(('Dvd Calendar'!$K$275&gt;=GRID_FROM)*('Dvd Calendar'!$K$275&lt;=GRID_TO)*((('Dvd Calendar'!$K$275&lt;=VAL_DATE)+(COUNTIF('Dvd Calendar'!$E$282:$AR$282,'Dvd Calendar'!$K$275)=0))&gt;0)=0,"",'Dvd Calendar'!$K$275*1000000000+ISNUMBER('Dvd Calendar'!$K$278)*100000000+('Dvd Calendar'!$K$280=SPECIAL_LBL)*10000000+(N('Dvd Calendar'!$K$274)&gt;0)*(N('Dvd Calendar'!$K$274)&lt;=VAL_SERIAL)*1000000+25*1000+7))</f>
        <v/>
      </c>
      <c r="EL36" s="39">
        <f>IF(N('Dvd Calendar'!$L$275)=0,"",IF(('Dvd Calendar'!$L$275&gt;=GRID_FROM)*('Dvd Calendar'!$L$275&lt;=GRID_TO)*((('Dvd Calendar'!$L$275&lt;=VAL_DATE)+(COUNTIF('Dvd Calendar'!$E$282:$AR$282,'Dvd Calendar'!$L$275)=0))&gt;0)=0,"",'Dvd Calendar'!$L$275*1000000000+ISNUMBER('Dvd Calendar'!$L$278)*100000000+('Dvd Calendar'!$L$280=SPECIAL_LBL)*10000000+(N('Dvd Calendar'!$L$274)&gt;0)*(N('Dvd Calendar'!$L$274)&lt;=VAL_SERIAL)*1000000+25*1000+8))</f>
        <v/>
      </c>
      <c r="EM36" s="39">
        <f>IF(N('Dvd Calendar'!$M$275)=0,"",IF(('Dvd Calendar'!$M$275&gt;=GRID_FROM)*('Dvd Calendar'!$M$275&lt;=GRID_TO)*((('Dvd Calendar'!$M$275&lt;=VAL_DATE)+(COUNTIF('Dvd Calendar'!$E$282:$AR$282,'Dvd Calendar'!$M$275)=0))&gt;0)=0,"",'Dvd Calendar'!$M$275*1000000000+ISNUMBER('Dvd Calendar'!$M$278)*100000000+('Dvd Calendar'!$M$280=SPECIAL_LBL)*10000000+(N('Dvd Calendar'!$M$274)&gt;0)*(N('Dvd Calendar'!$M$274)&lt;=VAL_SERIAL)*1000000+25*1000+9))</f>
        <v/>
      </c>
      <c r="EN36" s="39">
        <f>IF(N('Dvd Calendar'!$N$275)=0,"",IF(('Dvd Calendar'!$N$275&gt;=GRID_FROM)*('Dvd Calendar'!$N$275&lt;=GRID_TO)*((('Dvd Calendar'!$N$275&lt;=VAL_DATE)+(COUNTIF('Dvd Calendar'!$E$282:$AR$282,'Dvd Calendar'!$N$275)=0))&gt;0)=0,"",'Dvd Calendar'!$N$275*1000000000+ISNUMBER('Dvd Calendar'!$N$278)*100000000+('Dvd Calendar'!$N$280=SPECIAL_LBL)*10000000+(N('Dvd Calendar'!$N$274)&gt;0)*(N('Dvd Calendar'!$N$274)&lt;=VAL_SERIAL)*1000000+25*1000+10))</f>
        <v/>
      </c>
      <c r="EO36" s="39">
        <f>IF(N('Dvd Calendar'!$O$275)=0,"",IF(('Dvd Calendar'!$O$275&gt;=GRID_FROM)*('Dvd Calendar'!$O$275&lt;=GRID_TO)*((('Dvd Calendar'!$O$275&lt;=VAL_DATE)+(COUNTIF('Dvd Calendar'!$E$282:$AR$282,'Dvd Calendar'!$O$275)=0))&gt;0)=0,"",'Dvd Calendar'!$O$275*1000000000+ISNUMBER('Dvd Calendar'!$O$278)*100000000+('Dvd Calendar'!$O$280=SPECIAL_LBL)*10000000+(N('Dvd Calendar'!$O$274)&gt;0)*(N('Dvd Calendar'!$O$274)&lt;=VAL_SERIAL)*1000000+25*1000+11))</f>
        <v/>
      </c>
      <c r="EP36" s="39">
        <f>IF(N('Dvd Calendar'!$P$275)=0,"",IF(('Dvd Calendar'!$P$275&gt;=GRID_FROM)*('Dvd Calendar'!$P$275&lt;=GRID_TO)*((('Dvd Calendar'!$P$275&lt;=VAL_DATE)+(COUNTIF('Dvd Calendar'!$E$282:$AR$282,'Dvd Calendar'!$P$275)=0))&gt;0)=0,"",'Dvd Calendar'!$P$275*1000000000+ISNUMBER('Dvd Calendar'!$P$278)*100000000+('Dvd Calendar'!$P$280=SPECIAL_LBL)*10000000+(N('Dvd Calendar'!$P$274)&gt;0)*(N('Dvd Calendar'!$P$274)&lt;=VAL_SERIAL)*1000000+25*1000+12))</f>
        <v/>
      </c>
      <c r="EQ36" s="39">
        <f>IF(N('Dvd Calendar'!$Q$275)=0,"",IF(('Dvd Calendar'!$Q$275&gt;=GRID_FROM)*('Dvd Calendar'!$Q$275&lt;=GRID_TO)*((('Dvd Calendar'!$Q$275&lt;=VAL_DATE)+(COUNTIF('Dvd Calendar'!$E$282:$AR$282,'Dvd Calendar'!$Q$275)=0))&gt;0)=0,"",'Dvd Calendar'!$Q$275*1000000000+ISNUMBER('Dvd Calendar'!$Q$278)*100000000+('Dvd Calendar'!$Q$280=SPECIAL_LBL)*10000000+(N('Dvd Calendar'!$Q$274)&gt;0)*(N('Dvd Calendar'!$Q$274)&lt;=VAL_SERIAL)*1000000+25*1000+13))</f>
        <v/>
      </c>
      <c r="ER36" s="39">
        <f>IF(N('Dvd Calendar'!$R$275)=0,"",IF(('Dvd Calendar'!$R$275&gt;=GRID_FROM)*('Dvd Calendar'!$R$275&lt;=GRID_TO)*((('Dvd Calendar'!$R$275&lt;=VAL_DATE)+(COUNTIF('Dvd Calendar'!$E$282:$AR$282,'Dvd Calendar'!$R$275)=0))&gt;0)=0,"",'Dvd Calendar'!$R$275*1000000000+ISNUMBER('Dvd Calendar'!$R$278)*100000000+('Dvd Calendar'!$R$280=SPECIAL_LBL)*10000000+(N('Dvd Calendar'!$R$274)&gt;0)*(N('Dvd Calendar'!$R$274)&lt;=VAL_SERIAL)*1000000+25*1000+14))</f>
        <v/>
      </c>
      <c r="ES36" s="39">
        <f>IF(N('Dvd Calendar'!$S$275)=0,"",IF(('Dvd Calendar'!$S$275&gt;=GRID_FROM)*('Dvd Calendar'!$S$275&lt;=GRID_TO)*((('Dvd Calendar'!$S$275&lt;=VAL_DATE)+(COUNTIF('Dvd Calendar'!$E$282:$AR$282,'Dvd Calendar'!$S$275)=0))&gt;0)=0,"",'Dvd Calendar'!$S$275*1000000000+ISNUMBER('Dvd Calendar'!$S$278)*100000000+('Dvd Calendar'!$S$280=SPECIAL_LBL)*10000000+(N('Dvd Calendar'!$S$274)&gt;0)*(N('Dvd Calendar'!$S$274)&lt;=VAL_SERIAL)*1000000+25*1000+15))</f>
        <v/>
      </c>
      <c r="ET36" s="39">
        <f>IF(N('Dvd Calendar'!$T$275)=0,"",IF(('Dvd Calendar'!$T$275&gt;=GRID_FROM)*('Dvd Calendar'!$T$275&lt;=GRID_TO)*((('Dvd Calendar'!$T$275&lt;=VAL_DATE)+(COUNTIF('Dvd Calendar'!$E$282:$AR$282,'Dvd Calendar'!$T$275)=0))&gt;0)=0,"",'Dvd Calendar'!$T$275*1000000000+ISNUMBER('Dvd Calendar'!$T$278)*100000000+('Dvd Calendar'!$T$280=SPECIAL_LBL)*10000000+(N('Dvd Calendar'!$T$274)&gt;0)*(N('Dvd Calendar'!$T$274)&lt;=VAL_SERIAL)*1000000+25*1000+16))</f>
        <v/>
      </c>
      <c r="EU36" s="39">
        <f>IF(N('Dvd Calendar'!$U$275)=0,"",IF(('Dvd Calendar'!$U$275&gt;=GRID_FROM)*('Dvd Calendar'!$U$275&lt;=GRID_TO)*((('Dvd Calendar'!$U$275&lt;=VAL_DATE)+(COUNTIF('Dvd Calendar'!$E$282:$AR$282,'Dvd Calendar'!$U$275)=0))&gt;0)=0,"",'Dvd Calendar'!$U$275*1000000000+ISNUMBER('Dvd Calendar'!$U$278)*100000000+('Dvd Calendar'!$U$280=SPECIAL_LBL)*10000000+(N('Dvd Calendar'!$U$274)&gt;0)*(N('Dvd Calendar'!$U$274)&lt;=VAL_SERIAL)*1000000+25*1000+17))</f>
        <v/>
      </c>
      <c r="EV36" s="39">
        <f>IF(N('Dvd Calendar'!$V$275)=0,"",IF(('Dvd Calendar'!$V$275&gt;=GRID_FROM)*('Dvd Calendar'!$V$275&lt;=GRID_TO)*((('Dvd Calendar'!$V$275&lt;=VAL_DATE)+(COUNTIF('Dvd Calendar'!$E$282:$AR$282,'Dvd Calendar'!$V$275)=0))&gt;0)=0,"",'Dvd Calendar'!$V$275*1000000000+ISNUMBER('Dvd Calendar'!$V$278)*100000000+('Dvd Calendar'!$V$280=SPECIAL_LBL)*10000000+(N('Dvd Calendar'!$V$274)&gt;0)*(N('Dvd Calendar'!$V$274)&lt;=VAL_SERIAL)*1000000+25*1000+18))</f>
        <v/>
      </c>
      <c r="EW36" s="39">
        <f>IF(N('Dvd Calendar'!$W$275)=0,"",IF(('Dvd Calendar'!$W$275&gt;=GRID_FROM)*('Dvd Calendar'!$W$275&lt;=GRID_TO)*((('Dvd Calendar'!$W$275&lt;=VAL_DATE)+(COUNTIF('Dvd Calendar'!$E$282:$AR$282,'Dvd Calendar'!$W$275)=0))&gt;0)=0,"",'Dvd Calendar'!$W$275*1000000000+ISNUMBER('Dvd Calendar'!$W$278)*100000000+('Dvd Calendar'!$W$280=SPECIAL_LBL)*10000000+(N('Dvd Calendar'!$W$274)&gt;0)*(N('Dvd Calendar'!$W$274)&lt;=VAL_SERIAL)*1000000+25*1000+19))</f>
        <v/>
      </c>
      <c r="EX36" s="39">
        <f>IF(N('Dvd Calendar'!$X$275)=0,"",IF(('Dvd Calendar'!$X$275&gt;=GRID_FROM)*('Dvd Calendar'!$X$275&lt;=GRID_TO)*((('Dvd Calendar'!$X$275&lt;=VAL_DATE)+(COUNTIF('Dvd Calendar'!$E$282:$AR$282,'Dvd Calendar'!$X$275)=0))&gt;0)=0,"",'Dvd Calendar'!$X$275*1000000000+ISNUMBER('Dvd Calendar'!$X$278)*100000000+('Dvd Calendar'!$X$280=SPECIAL_LBL)*10000000+(N('Dvd Calendar'!$X$274)&gt;0)*(N('Dvd Calendar'!$X$274)&lt;=VAL_SERIAL)*1000000+25*1000+20))</f>
        <v/>
      </c>
      <c r="EY36" s="39">
        <f>IF(N('Dvd Calendar'!$Y$275)=0,"",IF(('Dvd Calendar'!$Y$275&gt;=GRID_FROM)*('Dvd Calendar'!$Y$275&lt;=GRID_TO)*((('Dvd Calendar'!$Y$275&lt;=VAL_DATE)+(COUNTIF('Dvd Calendar'!$E$282:$AR$282,'Dvd Calendar'!$Y$275)=0))&gt;0)=0,"",'Dvd Calendar'!$Y$275*1000000000+ISNUMBER('Dvd Calendar'!$Y$278)*100000000+('Dvd Calendar'!$Y$280=SPECIAL_LBL)*10000000+(N('Dvd Calendar'!$Y$274)&gt;0)*(N('Dvd Calendar'!$Y$274)&lt;=VAL_SERIAL)*1000000+25*1000+21))</f>
        <v/>
      </c>
      <c r="EZ36" s="39">
        <f>IF(N('Dvd Calendar'!$Z$275)=0,"",IF(('Dvd Calendar'!$Z$275&gt;=GRID_FROM)*('Dvd Calendar'!$Z$275&lt;=GRID_TO)*((('Dvd Calendar'!$Z$275&lt;=VAL_DATE)+(COUNTIF('Dvd Calendar'!$E$282:$AR$282,'Dvd Calendar'!$Z$275)=0))&gt;0)=0,"",'Dvd Calendar'!$Z$275*1000000000+ISNUMBER('Dvd Calendar'!$Z$278)*100000000+('Dvd Calendar'!$Z$280=SPECIAL_LBL)*10000000+(N('Dvd Calendar'!$Z$274)&gt;0)*(N('Dvd Calendar'!$Z$274)&lt;=VAL_SERIAL)*1000000+25*1000+22))</f>
        <v/>
      </c>
      <c r="FA36" s="39">
        <f>IF(N('Dvd Calendar'!$AA$275)=0,"",IF(('Dvd Calendar'!$AA$275&gt;=GRID_FROM)*('Dvd Calendar'!$AA$275&lt;=GRID_TO)*((('Dvd Calendar'!$AA$275&lt;=VAL_DATE)+(COUNTIF('Dvd Calendar'!$E$282:$AR$282,'Dvd Calendar'!$AA$275)=0))&gt;0)=0,"",'Dvd Calendar'!$AA$275*1000000000+ISNUMBER('Dvd Calendar'!$AA$278)*100000000+('Dvd Calendar'!$AA$280=SPECIAL_LBL)*10000000+(N('Dvd Calendar'!$AA$274)&gt;0)*(N('Dvd Calendar'!$AA$274)&lt;=VAL_SERIAL)*1000000+25*1000+23))</f>
        <v/>
      </c>
      <c r="FB36" s="39">
        <f>IF(N('Dvd Calendar'!$AB$275)=0,"",IF(('Dvd Calendar'!$AB$275&gt;=GRID_FROM)*('Dvd Calendar'!$AB$275&lt;=GRID_TO)*((('Dvd Calendar'!$AB$275&lt;=VAL_DATE)+(COUNTIF('Dvd Calendar'!$E$282:$AR$282,'Dvd Calendar'!$AB$275)=0))&gt;0)=0,"",'Dvd Calendar'!$AB$275*1000000000+ISNUMBER('Dvd Calendar'!$AB$278)*100000000+('Dvd Calendar'!$AB$280=SPECIAL_LBL)*10000000+(N('Dvd Calendar'!$AB$274)&gt;0)*(N('Dvd Calendar'!$AB$274)&lt;=VAL_SERIAL)*1000000+25*1000+24))</f>
        <v/>
      </c>
      <c r="FC36" s="39">
        <f>IF(N('Dvd Calendar'!$AC$275)=0,"",IF(('Dvd Calendar'!$AC$275&gt;=GRID_FROM)*('Dvd Calendar'!$AC$275&lt;=GRID_TO)*((('Dvd Calendar'!$AC$275&lt;=VAL_DATE)+(COUNTIF('Dvd Calendar'!$E$282:$AR$282,'Dvd Calendar'!$AC$275)=0))&gt;0)=0,"",'Dvd Calendar'!$AC$275*1000000000+ISNUMBER('Dvd Calendar'!$AC$278)*100000000+('Dvd Calendar'!$AC$280=SPECIAL_LBL)*10000000+(N('Dvd Calendar'!$AC$274)&gt;0)*(N('Dvd Calendar'!$AC$274)&lt;=VAL_SERIAL)*1000000+25*1000+25))</f>
        <v/>
      </c>
      <c r="FD36" s="39">
        <f>IF(N('Dvd Calendar'!$AD$275)=0,"",IF(('Dvd Calendar'!$AD$275&gt;=GRID_FROM)*('Dvd Calendar'!$AD$275&lt;=GRID_TO)*((('Dvd Calendar'!$AD$275&lt;=VAL_DATE)+(COUNTIF('Dvd Calendar'!$E$282:$AR$282,'Dvd Calendar'!$AD$275)=0))&gt;0)=0,"",'Dvd Calendar'!$AD$275*1000000000+ISNUMBER('Dvd Calendar'!$AD$278)*100000000+('Dvd Calendar'!$AD$280=SPECIAL_LBL)*10000000+(N('Dvd Calendar'!$AD$274)&gt;0)*(N('Dvd Calendar'!$AD$274)&lt;=VAL_SERIAL)*1000000+25*1000+26))</f>
        <v/>
      </c>
      <c r="FE36" s="39">
        <f>IF(N('Dvd Calendar'!$AE$275)=0,"",IF(('Dvd Calendar'!$AE$275&gt;=GRID_FROM)*('Dvd Calendar'!$AE$275&lt;=GRID_TO)*((('Dvd Calendar'!$AE$275&lt;=VAL_DATE)+(COUNTIF('Dvd Calendar'!$E$282:$AR$282,'Dvd Calendar'!$AE$275)=0))&gt;0)=0,"",'Dvd Calendar'!$AE$275*1000000000+ISNUMBER('Dvd Calendar'!$AE$278)*100000000+('Dvd Calendar'!$AE$280=SPECIAL_LBL)*10000000+(N('Dvd Calendar'!$AE$274)&gt;0)*(N('Dvd Calendar'!$AE$274)&lt;=VAL_SERIAL)*1000000+25*1000+27))</f>
        <v/>
      </c>
      <c r="FF36" s="39">
        <f>IF(N('Dvd Calendar'!$AF$275)=0,"",IF(('Dvd Calendar'!$AF$275&gt;=GRID_FROM)*('Dvd Calendar'!$AF$275&lt;=GRID_TO)*((('Dvd Calendar'!$AF$275&lt;=VAL_DATE)+(COUNTIF('Dvd Calendar'!$E$282:$AR$282,'Dvd Calendar'!$AF$275)=0))&gt;0)=0,"",'Dvd Calendar'!$AF$275*1000000000+ISNUMBER('Dvd Calendar'!$AF$278)*100000000+('Dvd Calendar'!$AF$280=SPECIAL_LBL)*10000000+(N('Dvd Calendar'!$AF$274)&gt;0)*(N('Dvd Calendar'!$AF$274)&lt;=VAL_SERIAL)*1000000+25*1000+28))</f>
        <v/>
      </c>
      <c r="FG36" s="39">
        <f>IF(N('Dvd Calendar'!$AG$275)=0,"",IF(('Dvd Calendar'!$AG$275&gt;=GRID_FROM)*('Dvd Calendar'!$AG$275&lt;=GRID_TO)*((('Dvd Calendar'!$AG$275&lt;=VAL_DATE)+(COUNTIF('Dvd Calendar'!$E$282:$AR$282,'Dvd Calendar'!$AG$275)=0))&gt;0)=0,"",'Dvd Calendar'!$AG$275*1000000000+ISNUMBER('Dvd Calendar'!$AG$278)*100000000+('Dvd Calendar'!$AG$280=SPECIAL_LBL)*10000000+(N('Dvd Calendar'!$AG$274)&gt;0)*(N('Dvd Calendar'!$AG$274)&lt;=VAL_SERIAL)*1000000+25*1000+29))</f>
        <v/>
      </c>
      <c r="FH36" s="39">
        <f>IF(N('Dvd Calendar'!$AH$275)=0,"",IF(('Dvd Calendar'!$AH$275&gt;=GRID_FROM)*('Dvd Calendar'!$AH$275&lt;=GRID_TO)*((('Dvd Calendar'!$AH$275&lt;=VAL_DATE)+(COUNTIF('Dvd Calendar'!$E$282:$AR$282,'Dvd Calendar'!$AH$275)=0))&gt;0)=0,"",'Dvd Calendar'!$AH$275*1000000000+ISNUMBER('Dvd Calendar'!$AH$278)*100000000+('Dvd Calendar'!$AH$280=SPECIAL_LBL)*10000000+(N('Dvd Calendar'!$AH$274)&gt;0)*(N('Dvd Calendar'!$AH$274)&lt;=VAL_SERIAL)*1000000+25*1000+30))</f>
        <v/>
      </c>
      <c r="FI36" s="39">
        <f>IF(N('Dvd Calendar'!$AI$275)=0,"",IF(('Dvd Calendar'!$AI$275&gt;=GRID_FROM)*('Dvd Calendar'!$AI$275&lt;=GRID_TO)*((('Dvd Calendar'!$AI$275&lt;=VAL_DATE)+(COUNTIF('Dvd Calendar'!$E$282:$AR$282,'Dvd Calendar'!$AI$275)=0))&gt;0)=0,"",'Dvd Calendar'!$AI$275*1000000000+ISNUMBER('Dvd Calendar'!$AI$278)*100000000+('Dvd Calendar'!$AI$280=SPECIAL_LBL)*10000000+(N('Dvd Calendar'!$AI$274)&gt;0)*(N('Dvd Calendar'!$AI$274)&lt;=VAL_SERIAL)*1000000+25*1000+31))</f>
        <v/>
      </c>
      <c r="FJ36" s="39">
        <f>IF(N('Dvd Calendar'!$AJ$275)=0,"",IF(('Dvd Calendar'!$AJ$275&gt;=GRID_FROM)*('Dvd Calendar'!$AJ$275&lt;=GRID_TO)*((('Dvd Calendar'!$AJ$275&lt;=VAL_DATE)+(COUNTIF('Dvd Calendar'!$E$282:$AR$282,'Dvd Calendar'!$AJ$275)=0))&gt;0)=0,"",'Dvd Calendar'!$AJ$275*1000000000+ISNUMBER('Dvd Calendar'!$AJ$278)*100000000+('Dvd Calendar'!$AJ$280=SPECIAL_LBL)*10000000+(N('Dvd Calendar'!$AJ$274)&gt;0)*(N('Dvd Calendar'!$AJ$274)&lt;=VAL_SERIAL)*1000000+25*1000+32))</f>
        <v/>
      </c>
      <c r="FK36" s="39">
        <f>IF(N('Dvd Calendar'!$AK$275)=0,"",IF(('Dvd Calendar'!$AK$275&gt;=GRID_FROM)*('Dvd Calendar'!$AK$275&lt;=GRID_TO)*((('Dvd Calendar'!$AK$275&lt;=VAL_DATE)+(COUNTIF('Dvd Calendar'!$E$282:$AR$282,'Dvd Calendar'!$AK$275)=0))&gt;0)=0,"",'Dvd Calendar'!$AK$275*1000000000+ISNUMBER('Dvd Calendar'!$AK$278)*100000000+('Dvd Calendar'!$AK$280=SPECIAL_LBL)*10000000+(N('Dvd Calendar'!$AK$274)&gt;0)*(N('Dvd Calendar'!$AK$274)&lt;=VAL_SERIAL)*1000000+25*1000+33))</f>
        <v/>
      </c>
      <c r="FL36" s="39">
        <f>IF(N('Dvd Calendar'!$AL$275)=0,"",IF(('Dvd Calendar'!$AL$275&gt;=GRID_FROM)*('Dvd Calendar'!$AL$275&lt;=GRID_TO)*((('Dvd Calendar'!$AL$275&lt;=VAL_DATE)+(COUNTIF('Dvd Calendar'!$E$282:$AR$282,'Dvd Calendar'!$AL$275)=0))&gt;0)=0,"",'Dvd Calendar'!$AL$275*1000000000+ISNUMBER('Dvd Calendar'!$AL$278)*100000000+('Dvd Calendar'!$AL$280=SPECIAL_LBL)*10000000+(N('Dvd Calendar'!$AL$274)&gt;0)*(N('Dvd Calendar'!$AL$274)&lt;=VAL_SERIAL)*1000000+25*1000+34))</f>
        <v/>
      </c>
      <c r="FM36" s="39">
        <f>IF(N('Dvd Calendar'!$AM$275)=0,"",IF(('Dvd Calendar'!$AM$275&gt;=GRID_FROM)*('Dvd Calendar'!$AM$275&lt;=GRID_TO)*((('Dvd Calendar'!$AM$275&lt;=VAL_DATE)+(COUNTIF('Dvd Calendar'!$E$282:$AR$282,'Dvd Calendar'!$AM$275)=0))&gt;0)=0,"",'Dvd Calendar'!$AM$275*1000000000+ISNUMBER('Dvd Calendar'!$AM$278)*100000000+('Dvd Calendar'!$AM$280=SPECIAL_LBL)*10000000+(N('Dvd Calendar'!$AM$274)&gt;0)*(N('Dvd Calendar'!$AM$274)&lt;=VAL_SERIAL)*1000000+25*1000+35))</f>
        <v/>
      </c>
      <c r="FN36" s="39">
        <f>IF(N('Dvd Calendar'!$AN$275)=0,"",IF(('Dvd Calendar'!$AN$275&gt;=GRID_FROM)*('Dvd Calendar'!$AN$275&lt;=GRID_TO)*((('Dvd Calendar'!$AN$275&lt;=VAL_DATE)+(COUNTIF('Dvd Calendar'!$E$282:$AR$282,'Dvd Calendar'!$AN$275)=0))&gt;0)=0,"",'Dvd Calendar'!$AN$275*1000000000+ISNUMBER('Dvd Calendar'!$AN$278)*100000000+('Dvd Calendar'!$AN$280=SPECIAL_LBL)*10000000+(N('Dvd Calendar'!$AN$274)&gt;0)*(N('Dvd Calendar'!$AN$274)&lt;=VAL_SERIAL)*1000000+25*1000+36))</f>
        <v/>
      </c>
      <c r="FO36" s="39">
        <f>IF(N('Dvd Calendar'!$AO$275)=0,"",IF(('Dvd Calendar'!$AO$275&gt;=GRID_FROM)*('Dvd Calendar'!$AO$275&lt;=GRID_TO)*((('Dvd Calendar'!$AO$275&lt;=VAL_DATE)+(COUNTIF('Dvd Calendar'!$E$282:$AR$282,'Dvd Calendar'!$AO$275)=0))&gt;0)=0,"",'Dvd Calendar'!$AO$275*1000000000+ISNUMBER('Dvd Calendar'!$AO$278)*100000000+('Dvd Calendar'!$AO$280=SPECIAL_LBL)*10000000+(N('Dvd Calendar'!$AO$274)&gt;0)*(N('Dvd Calendar'!$AO$274)&lt;=VAL_SERIAL)*1000000+25*1000+37))</f>
        <v/>
      </c>
      <c r="FP36" s="39">
        <f>IF(N('Dvd Calendar'!$AP$275)=0,"",IF(('Dvd Calendar'!$AP$275&gt;=GRID_FROM)*('Dvd Calendar'!$AP$275&lt;=GRID_TO)*((('Dvd Calendar'!$AP$275&lt;=VAL_DATE)+(COUNTIF('Dvd Calendar'!$E$282:$AR$282,'Dvd Calendar'!$AP$275)=0))&gt;0)=0,"",'Dvd Calendar'!$AP$275*1000000000+ISNUMBER('Dvd Calendar'!$AP$278)*100000000+('Dvd Calendar'!$AP$280=SPECIAL_LBL)*10000000+(N('Dvd Calendar'!$AP$274)&gt;0)*(N('Dvd Calendar'!$AP$274)&lt;=VAL_SERIAL)*1000000+25*1000+38))</f>
        <v/>
      </c>
      <c r="FQ36" s="39">
        <f>IF(N('Dvd Calendar'!$AQ$275)=0,"",IF(('Dvd Calendar'!$AQ$275&gt;=GRID_FROM)*('Dvd Calendar'!$AQ$275&lt;=GRID_TO)*((('Dvd Calendar'!$AQ$275&lt;=VAL_DATE)+(COUNTIF('Dvd Calendar'!$E$282:$AR$282,'Dvd Calendar'!$AQ$275)=0))&gt;0)=0,"",'Dvd Calendar'!$AQ$275*1000000000+ISNUMBER('Dvd Calendar'!$AQ$278)*100000000+('Dvd Calendar'!$AQ$280=SPECIAL_LBL)*10000000+(N('Dvd Calendar'!$AQ$274)&gt;0)*(N('Dvd Calendar'!$AQ$274)&lt;=VAL_SERIAL)*1000000+25*1000+39))</f>
        <v/>
      </c>
      <c r="FR36" s="39">
        <f>IF(N('Dvd Calendar'!$AR$275)=0,"",IF(('Dvd Calendar'!$AR$275&gt;=GRID_FROM)*('Dvd Calendar'!$AR$275&lt;=GRID_TO)*((('Dvd Calendar'!$AR$275&lt;=VAL_DATE)+(COUNTIF('Dvd Calendar'!$E$282:$AR$282,'Dvd Calendar'!$AR$275)=0))&gt;0)=0,"",'Dvd Calendar'!$AR$275*1000000000+ISNUMBER('Dvd Calendar'!$AR$278)*100000000+('Dvd Calendar'!$AR$280=SPECIAL_LBL)*10000000+(N('Dvd Calendar'!$AR$274)&gt;0)*(N('Dvd Calendar'!$AR$274)&lt;=VAL_SERIAL)*1000000+25*1000+40))</f>
        <v/>
      </c>
      <c r="FS36" s="39">
        <f>IF(N('Dvd Calendar'!$E$282)=0,"",IF(('Dvd Calendar'!$E$282&gt;=GRID_FROM)*('Dvd Calendar'!$E$282&lt;=GRID_TO)*('Dvd Calendar'!$E$282&gt;VAL_DATE)=0,"",'Dvd Calendar'!$E$282*1000000000+ISNUMBER('Dvd Calendar'!$E$283)*100000000+0*10000000+(N('Dvd Calendar'!$E$281)&gt;0)*(N('Dvd Calendar'!$E$281)&lt;=VAL_SERIAL)*1000000+25*1000+41))</f>
        <v/>
      </c>
      <c r="FT36" s="39">
        <f>IF(N('Dvd Calendar'!$F$282)=0,"",IF(('Dvd Calendar'!$F$282&gt;=GRID_FROM)*('Dvd Calendar'!$F$282&lt;=GRID_TO)*('Dvd Calendar'!$F$282&gt;VAL_DATE)=0,"",'Dvd Calendar'!$F$282*1000000000+ISNUMBER('Dvd Calendar'!$F$283)*100000000+0*10000000+(N('Dvd Calendar'!$F$281)&gt;0)*(N('Dvd Calendar'!$F$281)&lt;=VAL_SERIAL)*1000000+25*1000+42))</f>
        <v/>
      </c>
      <c r="FU36" s="39">
        <f>IF(N('Dvd Calendar'!$G$282)=0,"",IF(('Dvd Calendar'!$G$282&gt;=GRID_FROM)*('Dvd Calendar'!$G$282&lt;=GRID_TO)*('Dvd Calendar'!$G$282&gt;VAL_DATE)=0,"",'Dvd Calendar'!$G$282*1000000000+ISNUMBER('Dvd Calendar'!$G$283)*100000000+0*10000000+(N('Dvd Calendar'!$G$281)&gt;0)*(N('Dvd Calendar'!$G$281)&lt;=VAL_SERIAL)*1000000+25*1000+43))</f>
        <v/>
      </c>
      <c r="FV36" s="39">
        <f>IF(N('Dvd Calendar'!$H$282)=0,"",IF(('Dvd Calendar'!$H$282&gt;=GRID_FROM)*('Dvd Calendar'!$H$282&lt;=GRID_TO)*('Dvd Calendar'!$H$282&gt;VAL_DATE)=0,"",'Dvd Calendar'!$H$282*1000000000+ISNUMBER('Dvd Calendar'!$H$283)*100000000+0*10000000+(N('Dvd Calendar'!$H$281)&gt;0)*(N('Dvd Calendar'!$H$281)&lt;=VAL_SERIAL)*1000000+25*1000+44))</f>
        <v/>
      </c>
      <c r="FW36" s="39">
        <f>IF(N('Dvd Calendar'!$I$282)=0,"",IF(('Dvd Calendar'!$I$282&gt;=GRID_FROM)*('Dvd Calendar'!$I$282&lt;=GRID_TO)*('Dvd Calendar'!$I$282&gt;VAL_DATE)=0,"",'Dvd Calendar'!$I$282*1000000000+ISNUMBER('Dvd Calendar'!$I$283)*100000000+0*10000000+(N('Dvd Calendar'!$I$281)&gt;0)*(N('Dvd Calendar'!$I$281)&lt;=VAL_SERIAL)*1000000+25*1000+45))</f>
        <v/>
      </c>
      <c r="FX36" s="39">
        <f>IF(N('Dvd Calendar'!$J$282)=0,"",IF(('Dvd Calendar'!$J$282&gt;=GRID_FROM)*('Dvd Calendar'!$J$282&lt;=GRID_TO)*('Dvd Calendar'!$J$282&gt;VAL_DATE)=0,"",'Dvd Calendar'!$J$282*1000000000+ISNUMBER('Dvd Calendar'!$J$283)*100000000+0*10000000+(N('Dvd Calendar'!$J$281)&gt;0)*(N('Dvd Calendar'!$J$281)&lt;=VAL_SERIAL)*1000000+25*1000+46))</f>
        <v/>
      </c>
      <c r="FY36" s="39">
        <f>IF(N('Dvd Calendar'!$K$282)=0,"",IF(('Dvd Calendar'!$K$282&gt;=GRID_FROM)*('Dvd Calendar'!$K$282&lt;=GRID_TO)*('Dvd Calendar'!$K$282&gt;VAL_DATE)=0,"",'Dvd Calendar'!$K$282*1000000000+ISNUMBER('Dvd Calendar'!$K$283)*100000000+0*10000000+(N('Dvd Calendar'!$K$281)&gt;0)*(N('Dvd Calendar'!$K$281)&lt;=VAL_SERIAL)*1000000+25*1000+47))</f>
        <v/>
      </c>
      <c r="FZ36" s="39">
        <f>IF(N('Dvd Calendar'!$L$282)=0,"",IF(('Dvd Calendar'!$L$282&gt;=GRID_FROM)*('Dvd Calendar'!$L$282&lt;=GRID_TO)*('Dvd Calendar'!$L$282&gt;VAL_DATE)=0,"",'Dvd Calendar'!$L$282*1000000000+ISNUMBER('Dvd Calendar'!$L$283)*100000000+0*10000000+(N('Dvd Calendar'!$L$281)&gt;0)*(N('Dvd Calendar'!$L$281)&lt;=VAL_SERIAL)*1000000+25*1000+48))</f>
        <v/>
      </c>
      <c r="GA36" s="39">
        <f>IF(N('Dvd Calendar'!$M$282)=0,"",IF(('Dvd Calendar'!$M$282&gt;=GRID_FROM)*('Dvd Calendar'!$M$282&lt;=GRID_TO)*('Dvd Calendar'!$M$282&gt;VAL_DATE)=0,"",'Dvd Calendar'!$M$282*1000000000+ISNUMBER('Dvd Calendar'!$M$283)*100000000+0*10000000+(N('Dvd Calendar'!$M$281)&gt;0)*(N('Dvd Calendar'!$M$281)&lt;=VAL_SERIAL)*1000000+25*1000+49))</f>
        <v/>
      </c>
      <c r="GB36" s="39">
        <f>IF(N('Dvd Calendar'!$N$282)=0,"",IF(('Dvd Calendar'!$N$282&gt;=GRID_FROM)*('Dvd Calendar'!$N$282&lt;=GRID_TO)*('Dvd Calendar'!$N$282&gt;VAL_DATE)=0,"",'Dvd Calendar'!$N$282*1000000000+ISNUMBER('Dvd Calendar'!$N$283)*100000000+0*10000000+(N('Dvd Calendar'!$N$281)&gt;0)*(N('Dvd Calendar'!$N$281)&lt;=VAL_SERIAL)*1000000+25*1000+50))</f>
        <v/>
      </c>
      <c r="GC36" s="39">
        <f>IF(N('Dvd Calendar'!$O$282)=0,"",IF(('Dvd Calendar'!$O$282&gt;=GRID_FROM)*('Dvd Calendar'!$O$282&lt;=GRID_TO)*('Dvd Calendar'!$O$282&gt;VAL_DATE)=0,"",'Dvd Calendar'!$O$282*1000000000+ISNUMBER('Dvd Calendar'!$O$283)*100000000+0*10000000+(N('Dvd Calendar'!$O$281)&gt;0)*(N('Dvd Calendar'!$O$281)&lt;=VAL_SERIAL)*1000000+25*1000+51))</f>
        <v/>
      </c>
      <c r="GD36" s="39">
        <f>IF(N('Dvd Calendar'!$P$282)=0,"",IF(('Dvd Calendar'!$P$282&gt;=GRID_FROM)*('Dvd Calendar'!$P$282&lt;=GRID_TO)*('Dvd Calendar'!$P$282&gt;VAL_DATE)=0,"",'Dvd Calendar'!$P$282*1000000000+ISNUMBER('Dvd Calendar'!$P$283)*100000000+0*10000000+(N('Dvd Calendar'!$P$281)&gt;0)*(N('Dvd Calendar'!$P$281)&lt;=VAL_SERIAL)*1000000+25*1000+52))</f>
        <v/>
      </c>
      <c r="GE36" s="39">
        <f>IF(N('Dvd Calendar'!$Q$282)=0,"",IF(('Dvd Calendar'!$Q$282&gt;=GRID_FROM)*('Dvd Calendar'!$Q$282&lt;=GRID_TO)*('Dvd Calendar'!$Q$282&gt;VAL_DATE)=0,"",'Dvd Calendar'!$Q$282*1000000000+ISNUMBER('Dvd Calendar'!$Q$283)*100000000+0*10000000+(N('Dvd Calendar'!$Q$281)&gt;0)*(N('Dvd Calendar'!$Q$281)&lt;=VAL_SERIAL)*1000000+25*1000+53))</f>
        <v/>
      </c>
      <c r="GF36" s="39">
        <f>IF(N('Dvd Calendar'!$R$282)=0,"",IF(('Dvd Calendar'!$R$282&gt;=GRID_FROM)*('Dvd Calendar'!$R$282&lt;=GRID_TO)*('Dvd Calendar'!$R$282&gt;VAL_DATE)=0,"",'Dvd Calendar'!$R$282*1000000000+ISNUMBER('Dvd Calendar'!$R$283)*100000000+0*10000000+(N('Dvd Calendar'!$R$281)&gt;0)*(N('Dvd Calendar'!$R$281)&lt;=VAL_SERIAL)*1000000+25*1000+54))</f>
        <v/>
      </c>
      <c r="GG36" s="39">
        <f>IF(N('Dvd Calendar'!$S$282)=0,"",IF(('Dvd Calendar'!$S$282&gt;=GRID_FROM)*('Dvd Calendar'!$S$282&lt;=GRID_TO)*('Dvd Calendar'!$S$282&gt;VAL_DATE)=0,"",'Dvd Calendar'!$S$282*1000000000+ISNUMBER('Dvd Calendar'!$S$283)*100000000+0*10000000+(N('Dvd Calendar'!$S$281)&gt;0)*(N('Dvd Calendar'!$S$281)&lt;=VAL_SERIAL)*1000000+25*1000+55))</f>
        <v/>
      </c>
      <c r="GH36" s="39">
        <f>IF(N('Dvd Calendar'!$T$282)=0,"",IF(('Dvd Calendar'!$T$282&gt;=GRID_FROM)*('Dvd Calendar'!$T$282&lt;=GRID_TO)*('Dvd Calendar'!$T$282&gt;VAL_DATE)=0,"",'Dvd Calendar'!$T$282*1000000000+ISNUMBER('Dvd Calendar'!$T$283)*100000000+0*10000000+(N('Dvd Calendar'!$T$281)&gt;0)*(N('Dvd Calendar'!$T$281)&lt;=VAL_SERIAL)*1000000+25*1000+56))</f>
        <v/>
      </c>
      <c r="GI36" s="39">
        <f>IF(N('Dvd Calendar'!$U$282)=0,"",IF(('Dvd Calendar'!$U$282&gt;=GRID_FROM)*('Dvd Calendar'!$U$282&lt;=GRID_TO)*('Dvd Calendar'!$U$282&gt;VAL_DATE)=0,"",'Dvd Calendar'!$U$282*1000000000+ISNUMBER('Dvd Calendar'!$U$283)*100000000+0*10000000+(N('Dvd Calendar'!$U$281)&gt;0)*(N('Dvd Calendar'!$U$281)&lt;=VAL_SERIAL)*1000000+25*1000+57))</f>
        <v/>
      </c>
      <c r="GJ36" s="39">
        <f>IF(N('Dvd Calendar'!$V$282)=0,"",IF(('Dvd Calendar'!$V$282&gt;=GRID_FROM)*('Dvd Calendar'!$V$282&lt;=GRID_TO)*('Dvd Calendar'!$V$282&gt;VAL_DATE)=0,"",'Dvd Calendar'!$V$282*1000000000+ISNUMBER('Dvd Calendar'!$V$283)*100000000+0*10000000+(N('Dvd Calendar'!$V$281)&gt;0)*(N('Dvd Calendar'!$V$281)&lt;=VAL_SERIAL)*1000000+25*1000+58))</f>
        <v/>
      </c>
      <c r="GK36" s="39">
        <f>IF(N('Dvd Calendar'!$W$282)=0,"",IF(('Dvd Calendar'!$W$282&gt;=GRID_FROM)*('Dvd Calendar'!$W$282&lt;=GRID_TO)*('Dvd Calendar'!$W$282&gt;VAL_DATE)=0,"",'Dvd Calendar'!$W$282*1000000000+ISNUMBER('Dvd Calendar'!$W$283)*100000000+0*10000000+(N('Dvd Calendar'!$W$281)&gt;0)*(N('Dvd Calendar'!$W$281)&lt;=VAL_SERIAL)*1000000+25*1000+59))</f>
        <v/>
      </c>
      <c r="GL36" s="39">
        <f>IF(N('Dvd Calendar'!$X$282)=0,"",IF(('Dvd Calendar'!$X$282&gt;=GRID_FROM)*('Dvd Calendar'!$X$282&lt;=GRID_TO)*('Dvd Calendar'!$X$282&gt;VAL_DATE)=0,"",'Dvd Calendar'!$X$282*1000000000+ISNUMBER('Dvd Calendar'!$X$283)*100000000+0*10000000+(N('Dvd Calendar'!$X$281)&gt;0)*(N('Dvd Calendar'!$X$281)&lt;=VAL_SERIAL)*1000000+25*1000+60))</f>
        <v/>
      </c>
      <c r="GM36" s="39">
        <f>IF(N('Dvd Calendar'!$Y$282)=0,"",IF(('Dvd Calendar'!$Y$282&gt;=GRID_FROM)*('Dvd Calendar'!$Y$282&lt;=GRID_TO)*('Dvd Calendar'!$Y$282&gt;VAL_DATE)=0,"",'Dvd Calendar'!$Y$282*1000000000+ISNUMBER('Dvd Calendar'!$Y$283)*100000000+0*10000000+(N('Dvd Calendar'!$Y$281)&gt;0)*(N('Dvd Calendar'!$Y$281)&lt;=VAL_SERIAL)*1000000+25*1000+61))</f>
        <v/>
      </c>
      <c r="GN36" s="39">
        <f>IF(N('Dvd Calendar'!$Z$282)=0,"",IF(('Dvd Calendar'!$Z$282&gt;=GRID_FROM)*('Dvd Calendar'!$Z$282&lt;=GRID_TO)*('Dvd Calendar'!$Z$282&gt;VAL_DATE)=0,"",'Dvd Calendar'!$Z$282*1000000000+ISNUMBER('Dvd Calendar'!$Z$283)*100000000+0*10000000+(N('Dvd Calendar'!$Z$281)&gt;0)*(N('Dvd Calendar'!$Z$281)&lt;=VAL_SERIAL)*1000000+25*1000+62))</f>
        <v/>
      </c>
      <c r="GO36" s="39">
        <f>IF(N('Dvd Calendar'!$AA$282)=0,"",IF(('Dvd Calendar'!$AA$282&gt;=GRID_FROM)*('Dvd Calendar'!$AA$282&lt;=GRID_TO)*('Dvd Calendar'!$AA$282&gt;VAL_DATE)=0,"",'Dvd Calendar'!$AA$282*1000000000+ISNUMBER('Dvd Calendar'!$AA$283)*100000000+0*10000000+(N('Dvd Calendar'!$AA$281)&gt;0)*(N('Dvd Calendar'!$AA$281)&lt;=VAL_SERIAL)*1000000+25*1000+63))</f>
        <v/>
      </c>
      <c r="GP36" s="39">
        <f>IF(N('Dvd Calendar'!$AB$282)=0,"",IF(('Dvd Calendar'!$AB$282&gt;=GRID_FROM)*('Dvd Calendar'!$AB$282&lt;=GRID_TO)*('Dvd Calendar'!$AB$282&gt;VAL_DATE)=0,"",'Dvd Calendar'!$AB$282*1000000000+ISNUMBER('Dvd Calendar'!$AB$283)*100000000+0*10000000+(N('Dvd Calendar'!$AB$281)&gt;0)*(N('Dvd Calendar'!$AB$281)&lt;=VAL_SERIAL)*1000000+25*1000+64))</f>
        <v/>
      </c>
      <c r="GQ36" s="39">
        <f>IF(N('Dvd Calendar'!$AC$282)=0,"",IF(('Dvd Calendar'!$AC$282&gt;=GRID_FROM)*('Dvd Calendar'!$AC$282&lt;=GRID_TO)*('Dvd Calendar'!$AC$282&gt;VAL_DATE)=0,"",'Dvd Calendar'!$AC$282*1000000000+ISNUMBER('Dvd Calendar'!$AC$283)*100000000+0*10000000+(N('Dvd Calendar'!$AC$281)&gt;0)*(N('Dvd Calendar'!$AC$281)&lt;=VAL_SERIAL)*1000000+25*1000+65))</f>
        <v/>
      </c>
    </row>
    <row r="37">
      <c r="B37" s="2">
        <f>IF(HSI!$C$32="","",HSI!$C$32)</f>
        <v/>
      </c>
      <c r="C37" s="110">
        <f>IF(EE37="","",IF(ISNUMBER('Dvd Calendar'!$E$289)=FALSE,"",IF((('Dvd Calendar'!$E$291=TYPE1)*(TYPE1&lt;&gt;"")+('Dvd Calendar'!$E$291=TYPE2)*(TYPE2&lt;&gt;"")+('Dvd Calendar'!$E$291=TYPE3)*(TYPE3&lt;&gt;"")+('Dvd Calendar'!$E$291=TYPE4)*(TYPE4&lt;&gt;"")+('Dvd Calendar'!$E$291=SPECIAL_LBL)*(INC_SPECIALS="Y"))=0,"",'Dvd Calendar'!$E$289)))</f>
        <v/>
      </c>
      <c r="D37" s="110">
        <f>IF(EF37="","",IF(ISNUMBER('Dvd Calendar'!$F$289)=FALSE,"",IF((('Dvd Calendar'!$F$291=TYPE1)*(TYPE1&lt;&gt;"")+('Dvd Calendar'!$F$291=TYPE2)*(TYPE2&lt;&gt;"")+('Dvd Calendar'!$F$291=TYPE3)*(TYPE3&lt;&gt;"")+('Dvd Calendar'!$F$291=TYPE4)*(TYPE4&lt;&gt;"")+('Dvd Calendar'!$F$291=SPECIAL_LBL)*(INC_SPECIALS="Y"))=0,"",'Dvd Calendar'!$F$289)))</f>
        <v/>
      </c>
      <c r="E37" s="110">
        <f>IF(EG37="","",IF(ISNUMBER('Dvd Calendar'!$G$289)=FALSE,"",IF((('Dvd Calendar'!$G$291=TYPE1)*(TYPE1&lt;&gt;"")+('Dvd Calendar'!$G$291=TYPE2)*(TYPE2&lt;&gt;"")+('Dvd Calendar'!$G$291=TYPE3)*(TYPE3&lt;&gt;"")+('Dvd Calendar'!$G$291=TYPE4)*(TYPE4&lt;&gt;"")+('Dvd Calendar'!$G$291=SPECIAL_LBL)*(INC_SPECIALS="Y"))=0,"",'Dvd Calendar'!$G$289)))</f>
        <v/>
      </c>
      <c r="F37" s="110">
        <f>IF(EH37="","",IF(ISNUMBER('Dvd Calendar'!$H$289)=FALSE,"",IF((('Dvd Calendar'!$H$291=TYPE1)*(TYPE1&lt;&gt;"")+('Dvd Calendar'!$H$291=TYPE2)*(TYPE2&lt;&gt;"")+('Dvd Calendar'!$H$291=TYPE3)*(TYPE3&lt;&gt;"")+('Dvd Calendar'!$H$291=TYPE4)*(TYPE4&lt;&gt;"")+('Dvd Calendar'!$H$291=SPECIAL_LBL)*(INC_SPECIALS="Y"))=0,"",'Dvd Calendar'!$H$289)))</f>
        <v/>
      </c>
      <c r="G37" s="110">
        <f>IF(EI37="","",IF(ISNUMBER('Dvd Calendar'!$I$289)=FALSE,"",IF((('Dvd Calendar'!$I$291=TYPE1)*(TYPE1&lt;&gt;"")+('Dvd Calendar'!$I$291=TYPE2)*(TYPE2&lt;&gt;"")+('Dvd Calendar'!$I$291=TYPE3)*(TYPE3&lt;&gt;"")+('Dvd Calendar'!$I$291=TYPE4)*(TYPE4&lt;&gt;"")+('Dvd Calendar'!$I$291=SPECIAL_LBL)*(INC_SPECIALS="Y"))=0,"",'Dvd Calendar'!$I$289)))</f>
        <v/>
      </c>
      <c r="H37" s="110">
        <f>IF(EJ37="","",IF(ISNUMBER('Dvd Calendar'!$J$289)=FALSE,"",IF((('Dvd Calendar'!$J$291=TYPE1)*(TYPE1&lt;&gt;"")+('Dvd Calendar'!$J$291=TYPE2)*(TYPE2&lt;&gt;"")+('Dvd Calendar'!$J$291=TYPE3)*(TYPE3&lt;&gt;"")+('Dvd Calendar'!$J$291=TYPE4)*(TYPE4&lt;&gt;"")+('Dvd Calendar'!$J$291=SPECIAL_LBL)*(INC_SPECIALS="Y"))=0,"",'Dvd Calendar'!$J$289)))</f>
        <v/>
      </c>
      <c r="I37" s="110">
        <f>IF(EK37="","",IF(ISNUMBER('Dvd Calendar'!$K$289)=FALSE,"",IF((('Dvd Calendar'!$K$291=TYPE1)*(TYPE1&lt;&gt;"")+('Dvd Calendar'!$K$291=TYPE2)*(TYPE2&lt;&gt;"")+('Dvd Calendar'!$K$291=TYPE3)*(TYPE3&lt;&gt;"")+('Dvd Calendar'!$K$291=TYPE4)*(TYPE4&lt;&gt;"")+('Dvd Calendar'!$K$291=SPECIAL_LBL)*(INC_SPECIALS="Y"))=0,"",'Dvd Calendar'!$K$289)))</f>
        <v/>
      </c>
      <c r="J37" s="110">
        <f>IF(EL37="","",IF(ISNUMBER('Dvd Calendar'!$L$289)=FALSE,"",IF((('Dvd Calendar'!$L$291=TYPE1)*(TYPE1&lt;&gt;"")+('Dvd Calendar'!$L$291=TYPE2)*(TYPE2&lt;&gt;"")+('Dvd Calendar'!$L$291=TYPE3)*(TYPE3&lt;&gt;"")+('Dvd Calendar'!$L$291=TYPE4)*(TYPE4&lt;&gt;"")+('Dvd Calendar'!$L$291=SPECIAL_LBL)*(INC_SPECIALS="Y"))=0,"",'Dvd Calendar'!$L$289)))</f>
        <v/>
      </c>
      <c r="K37" s="110">
        <f>IF(EM37="","",IF(ISNUMBER('Dvd Calendar'!$M$289)=FALSE,"",IF((('Dvd Calendar'!$M$291=TYPE1)*(TYPE1&lt;&gt;"")+('Dvd Calendar'!$M$291=TYPE2)*(TYPE2&lt;&gt;"")+('Dvd Calendar'!$M$291=TYPE3)*(TYPE3&lt;&gt;"")+('Dvd Calendar'!$M$291=TYPE4)*(TYPE4&lt;&gt;"")+('Dvd Calendar'!$M$291=SPECIAL_LBL)*(INC_SPECIALS="Y"))=0,"",'Dvd Calendar'!$M$289)))</f>
        <v/>
      </c>
      <c r="L37" s="110">
        <f>IF(EN37="","",IF(ISNUMBER('Dvd Calendar'!$N$289)=FALSE,"",IF((('Dvd Calendar'!$N$291=TYPE1)*(TYPE1&lt;&gt;"")+('Dvd Calendar'!$N$291=TYPE2)*(TYPE2&lt;&gt;"")+('Dvd Calendar'!$N$291=TYPE3)*(TYPE3&lt;&gt;"")+('Dvd Calendar'!$N$291=TYPE4)*(TYPE4&lt;&gt;"")+('Dvd Calendar'!$N$291=SPECIAL_LBL)*(INC_SPECIALS="Y"))=0,"",'Dvd Calendar'!$N$289)))</f>
        <v/>
      </c>
      <c r="M37" s="110">
        <f>IF(EO37="","",IF(ISNUMBER('Dvd Calendar'!$O$289)=FALSE,"",IF((('Dvd Calendar'!$O$291=TYPE1)*(TYPE1&lt;&gt;"")+('Dvd Calendar'!$O$291=TYPE2)*(TYPE2&lt;&gt;"")+('Dvd Calendar'!$O$291=TYPE3)*(TYPE3&lt;&gt;"")+('Dvd Calendar'!$O$291=TYPE4)*(TYPE4&lt;&gt;"")+('Dvd Calendar'!$O$291=SPECIAL_LBL)*(INC_SPECIALS="Y"))=0,"",'Dvd Calendar'!$O$289)))</f>
        <v/>
      </c>
      <c r="N37" s="110">
        <f>IF(EP37="","",IF(ISNUMBER('Dvd Calendar'!$P$289)=FALSE,"",IF((('Dvd Calendar'!$P$291=TYPE1)*(TYPE1&lt;&gt;"")+('Dvd Calendar'!$P$291=TYPE2)*(TYPE2&lt;&gt;"")+('Dvd Calendar'!$P$291=TYPE3)*(TYPE3&lt;&gt;"")+('Dvd Calendar'!$P$291=TYPE4)*(TYPE4&lt;&gt;"")+('Dvd Calendar'!$P$291=SPECIAL_LBL)*(INC_SPECIALS="Y"))=0,"",'Dvd Calendar'!$P$289)))</f>
        <v/>
      </c>
      <c r="O37" s="110">
        <f>IF(EQ37="","",IF(ISNUMBER('Dvd Calendar'!$Q$289)=FALSE,"",IF((('Dvd Calendar'!$Q$291=TYPE1)*(TYPE1&lt;&gt;"")+('Dvd Calendar'!$Q$291=TYPE2)*(TYPE2&lt;&gt;"")+('Dvd Calendar'!$Q$291=TYPE3)*(TYPE3&lt;&gt;"")+('Dvd Calendar'!$Q$291=TYPE4)*(TYPE4&lt;&gt;"")+('Dvd Calendar'!$Q$291=SPECIAL_LBL)*(INC_SPECIALS="Y"))=0,"",'Dvd Calendar'!$Q$289)))</f>
        <v/>
      </c>
      <c r="P37" s="110">
        <f>IF(ER37="","",IF(ISNUMBER('Dvd Calendar'!$R$289)=FALSE,"",IF((('Dvd Calendar'!$R$291=TYPE1)*(TYPE1&lt;&gt;"")+('Dvd Calendar'!$R$291=TYPE2)*(TYPE2&lt;&gt;"")+('Dvd Calendar'!$R$291=TYPE3)*(TYPE3&lt;&gt;"")+('Dvd Calendar'!$R$291=TYPE4)*(TYPE4&lt;&gt;"")+('Dvd Calendar'!$R$291=SPECIAL_LBL)*(INC_SPECIALS="Y"))=0,"",'Dvd Calendar'!$R$289)))</f>
        <v/>
      </c>
      <c r="Q37" s="110">
        <f>IF(ES37="","",IF(ISNUMBER('Dvd Calendar'!$S$289)=FALSE,"",IF((('Dvd Calendar'!$S$291=TYPE1)*(TYPE1&lt;&gt;"")+('Dvd Calendar'!$S$291=TYPE2)*(TYPE2&lt;&gt;"")+('Dvd Calendar'!$S$291=TYPE3)*(TYPE3&lt;&gt;"")+('Dvd Calendar'!$S$291=TYPE4)*(TYPE4&lt;&gt;"")+('Dvd Calendar'!$S$291=SPECIAL_LBL)*(INC_SPECIALS="Y"))=0,"",'Dvd Calendar'!$S$289)))</f>
        <v/>
      </c>
      <c r="R37" s="110">
        <f>IF(ET37="","",IF(ISNUMBER('Dvd Calendar'!$T$289)=FALSE,"",IF((('Dvd Calendar'!$T$291=TYPE1)*(TYPE1&lt;&gt;"")+('Dvd Calendar'!$T$291=TYPE2)*(TYPE2&lt;&gt;"")+('Dvd Calendar'!$T$291=TYPE3)*(TYPE3&lt;&gt;"")+('Dvd Calendar'!$T$291=TYPE4)*(TYPE4&lt;&gt;"")+('Dvd Calendar'!$T$291=SPECIAL_LBL)*(INC_SPECIALS="Y"))=0,"",'Dvd Calendar'!$T$289)))</f>
        <v/>
      </c>
      <c r="S37" s="110">
        <f>IF(EU37="","",IF(ISNUMBER('Dvd Calendar'!$U$289)=FALSE,"",IF((('Dvd Calendar'!$U$291=TYPE1)*(TYPE1&lt;&gt;"")+('Dvd Calendar'!$U$291=TYPE2)*(TYPE2&lt;&gt;"")+('Dvd Calendar'!$U$291=TYPE3)*(TYPE3&lt;&gt;"")+('Dvd Calendar'!$U$291=TYPE4)*(TYPE4&lt;&gt;"")+('Dvd Calendar'!$U$291=SPECIAL_LBL)*(INC_SPECIALS="Y"))=0,"",'Dvd Calendar'!$U$289)))</f>
        <v/>
      </c>
      <c r="T37" s="110">
        <f>IF(EV37="","",IF(ISNUMBER('Dvd Calendar'!$V$289)=FALSE,"",IF((('Dvd Calendar'!$V$291=TYPE1)*(TYPE1&lt;&gt;"")+('Dvd Calendar'!$V$291=TYPE2)*(TYPE2&lt;&gt;"")+('Dvd Calendar'!$V$291=TYPE3)*(TYPE3&lt;&gt;"")+('Dvd Calendar'!$V$291=TYPE4)*(TYPE4&lt;&gt;"")+('Dvd Calendar'!$V$291=SPECIAL_LBL)*(INC_SPECIALS="Y"))=0,"",'Dvd Calendar'!$V$289)))</f>
        <v/>
      </c>
      <c r="U37" s="110">
        <f>IF(EW37="","",IF(ISNUMBER('Dvd Calendar'!$W$289)=FALSE,"",IF((('Dvd Calendar'!$W$291=TYPE1)*(TYPE1&lt;&gt;"")+('Dvd Calendar'!$W$291=TYPE2)*(TYPE2&lt;&gt;"")+('Dvd Calendar'!$W$291=TYPE3)*(TYPE3&lt;&gt;"")+('Dvd Calendar'!$W$291=TYPE4)*(TYPE4&lt;&gt;"")+('Dvd Calendar'!$W$291=SPECIAL_LBL)*(INC_SPECIALS="Y"))=0,"",'Dvd Calendar'!$W$289)))</f>
        <v/>
      </c>
      <c r="V37" s="110">
        <f>IF(EX37="","",IF(ISNUMBER('Dvd Calendar'!$X$289)=FALSE,"",IF((('Dvd Calendar'!$X$291=TYPE1)*(TYPE1&lt;&gt;"")+('Dvd Calendar'!$X$291=TYPE2)*(TYPE2&lt;&gt;"")+('Dvd Calendar'!$X$291=TYPE3)*(TYPE3&lt;&gt;"")+('Dvd Calendar'!$X$291=TYPE4)*(TYPE4&lt;&gt;"")+('Dvd Calendar'!$X$291=SPECIAL_LBL)*(INC_SPECIALS="Y"))=0,"",'Dvd Calendar'!$X$289)))</f>
        <v/>
      </c>
      <c r="W37" s="110">
        <f>IF(EY37="","",IF(ISNUMBER('Dvd Calendar'!$Y$289)=FALSE,"",IF((('Dvd Calendar'!$Y$291=TYPE1)*(TYPE1&lt;&gt;"")+('Dvd Calendar'!$Y$291=TYPE2)*(TYPE2&lt;&gt;"")+('Dvd Calendar'!$Y$291=TYPE3)*(TYPE3&lt;&gt;"")+('Dvd Calendar'!$Y$291=TYPE4)*(TYPE4&lt;&gt;"")+('Dvd Calendar'!$Y$291=SPECIAL_LBL)*(INC_SPECIALS="Y"))=0,"",'Dvd Calendar'!$Y$289)))</f>
        <v/>
      </c>
      <c r="X37" s="110">
        <f>IF(EZ37="","",IF(ISNUMBER('Dvd Calendar'!$Z$289)=FALSE,"",IF((('Dvd Calendar'!$Z$291=TYPE1)*(TYPE1&lt;&gt;"")+('Dvd Calendar'!$Z$291=TYPE2)*(TYPE2&lt;&gt;"")+('Dvd Calendar'!$Z$291=TYPE3)*(TYPE3&lt;&gt;"")+('Dvd Calendar'!$Z$291=TYPE4)*(TYPE4&lt;&gt;"")+('Dvd Calendar'!$Z$291=SPECIAL_LBL)*(INC_SPECIALS="Y"))=0,"",'Dvd Calendar'!$Z$289)))</f>
        <v/>
      </c>
      <c r="Y37" s="110">
        <f>IF(FA37="","",IF(ISNUMBER('Dvd Calendar'!$AA$289)=FALSE,"",IF((('Dvd Calendar'!$AA$291=TYPE1)*(TYPE1&lt;&gt;"")+('Dvd Calendar'!$AA$291=TYPE2)*(TYPE2&lt;&gt;"")+('Dvd Calendar'!$AA$291=TYPE3)*(TYPE3&lt;&gt;"")+('Dvd Calendar'!$AA$291=TYPE4)*(TYPE4&lt;&gt;"")+('Dvd Calendar'!$AA$291=SPECIAL_LBL)*(INC_SPECIALS="Y"))=0,"",'Dvd Calendar'!$AA$289)))</f>
        <v/>
      </c>
      <c r="Z37" s="110">
        <f>IF(FB37="","",IF(ISNUMBER('Dvd Calendar'!$AB$289)=FALSE,"",IF((('Dvd Calendar'!$AB$291=TYPE1)*(TYPE1&lt;&gt;"")+('Dvd Calendar'!$AB$291=TYPE2)*(TYPE2&lt;&gt;"")+('Dvd Calendar'!$AB$291=TYPE3)*(TYPE3&lt;&gt;"")+('Dvd Calendar'!$AB$291=TYPE4)*(TYPE4&lt;&gt;"")+('Dvd Calendar'!$AB$291=SPECIAL_LBL)*(INC_SPECIALS="Y"))=0,"",'Dvd Calendar'!$AB$289)))</f>
        <v/>
      </c>
      <c r="AA37" s="110">
        <f>IF(FC37="","",IF(ISNUMBER('Dvd Calendar'!$AC$289)=FALSE,"",IF((('Dvd Calendar'!$AC$291=TYPE1)*(TYPE1&lt;&gt;"")+('Dvd Calendar'!$AC$291=TYPE2)*(TYPE2&lt;&gt;"")+('Dvd Calendar'!$AC$291=TYPE3)*(TYPE3&lt;&gt;"")+('Dvd Calendar'!$AC$291=TYPE4)*(TYPE4&lt;&gt;"")+('Dvd Calendar'!$AC$291=SPECIAL_LBL)*(INC_SPECIALS="Y"))=0,"",'Dvd Calendar'!$AC$289)))</f>
        <v/>
      </c>
      <c r="AB37" s="110">
        <f>IF(FD37="","",IF(ISNUMBER('Dvd Calendar'!$AD$289)=FALSE,"",IF((('Dvd Calendar'!$AD$291=TYPE1)*(TYPE1&lt;&gt;"")+('Dvd Calendar'!$AD$291=TYPE2)*(TYPE2&lt;&gt;"")+('Dvd Calendar'!$AD$291=TYPE3)*(TYPE3&lt;&gt;"")+('Dvd Calendar'!$AD$291=TYPE4)*(TYPE4&lt;&gt;"")+('Dvd Calendar'!$AD$291=SPECIAL_LBL)*(INC_SPECIALS="Y"))=0,"",'Dvd Calendar'!$AD$289)))</f>
        <v/>
      </c>
      <c r="AC37" s="110">
        <f>IF(FE37="","",IF(ISNUMBER('Dvd Calendar'!$AE$289)=FALSE,"",IF((('Dvd Calendar'!$AE$291=TYPE1)*(TYPE1&lt;&gt;"")+('Dvd Calendar'!$AE$291=TYPE2)*(TYPE2&lt;&gt;"")+('Dvd Calendar'!$AE$291=TYPE3)*(TYPE3&lt;&gt;"")+('Dvd Calendar'!$AE$291=TYPE4)*(TYPE4&lt;&gt;"")+('Dvd Calendar'!$AE$291=SPECIAL_LBL)*(INC_SPECIALS="Y"))=0,"",'Dvd Calendar'!$AE$289)))</f>
        <v/>
      </c>
      <c r="AD37" s="110">
        <f>IF(FF37="","",IF(ISNUMBER('Dvd Calendar'!$AF$289)=FALSE,"",IF((('Dvd Calendar'!$AF$291=TYPE1)*(TYPE1&lt;&gt;"")+('Dvd Calendar'!$AF$291=TYPE2)*(TYPE2&lt;&gt;"")+('Dvd Calendar'!$AF$291=TYPE3)*(TYPE3&lt;&gt;"")+('Dvd Calendar'!$AF$291=TYPE4)*(TYPE4&lt;&gt;"")+('Dvd Calendar'!$AF$291=SPECIAL_LBL)*(INC_SPECIALS="Y"))=0,"",'Dvd Calendar'!$AF$289)))</f>
        <v/>
      </c>
      <c r="AE37" s="110">
        <f>IF(FG37="","",IF(ISNUMBER('Dvd Calendar'!$AG$289)=FALSE,"",IF((('Dvd Calendar'!$AG$291=TYPE1)*(TYPE1&lt;&gt;"")+('Dvd Calendar'!$AG$291=TYPE2)*(TYPE2&lt;&gt;"")+('Dvd Calendar'!$AG$291=TYPE3)*(TYPE3&lt;&gt;"")+('Dvd Calendar'!$AG$291=TYPE4)*(TYPE4&lt;&gt;"")+('Dvd Calendar'!$AG$291=SPECIAL_LBL)*(INC_SPECIALS="Y"))=0,"",'Dvd Calendar'!$AG$289)))</f>
        <v/>
      </c>
      <c r="AF37" s="110">
        <f>IF(FH37="","",IF(ISNUMBER('Dvd Calendar'!$AH$289)=FALSE,"",IF((('Dvd Calendar'!$AH$291=TYPE1)*(TYPE1&lt;&gt;"")+('Dvd Calendar'!$AH$291=TYPE2)*(TYPE2&lt;&gt;"")+('Dvd Calendar'!$AH$291=TYPE3)*(TYPE3&lt;&gt;"")+('Dvd Calendar'!$AH$291=TYPE4)*(TYPE4&lt;&gt;"")+('Dvd Calendar'!$AH$291=SPECIAL_LBL)*(INC_SPECIALS="Y"))=0,"",'Dvd Calendar'!$AH$289)))</f>
        <v/>
      </c>
      <c r="AG37" s="110">
        <f>IF(FI37="","",IF(ISNUMBER('Dvd Calendar'!$AI$289)=FALSE,"",IF((('Dvd Calendar'!$AI$291=TYPE1)*(TYPE1&lt;&gt;"")+('Dvd Calendar'!$AI$291=TYPE2)*(TYPE2&lt;&gt;"")+('Dvd Calendar'!$AI$291=TYPE3)*(TYPE3&lt;&gt;"")+('Dvd Calendar'!$AI$291=TYPE4)*(TYPE4&lt;&gt;"")+('Dvd Calendar'!$AI$291=SPECIAL_LBL)*(INC_SPECIALS="Y"))=0,"",'Dvd Calendar'!$AI$289)))</f>
        <v/>
      </c>
      <c r="AH37" s="110">
        <f>IF(FJ37="","",IF(ISNUMBER('Dvd Calendar'!$AJ$289)=FALSE,"",IF((('Dvd Calendar'!$AJ$291=TYPE1)*(TYPE1&lt;&gt;"")+('Dvd Calendar'!$AJ$291=TYPE2)*(TYPE2&lt;&gt;"")+('Dvd Calendar'!$AJ$291=TYPE3)*(TYPE3&lt;&gt;"")+('Dvd Calendar'!$AJ$291=TYPE4)*(TYPE4&lt;&gt;"")+('Dvd Calendar'!$AJ$291=SPECIAL_LBL)*(INC_SPECIALS="Y"))=0,"",'Dvd Calendar'!$AJ$289)))</f>
        <v/>
      </c>
      <c r="AI37" s="110">
        <f>IF(FK37="","",IF(ISNUMBER('Dvd Calendar'!$AK$289)=FALSE,"",IF((('Dvd Calendar'!$AK$291=TYPE1)*(TYPE1&lt;&gt;"")+('Dvd Calendar'!$AK$291=TYPE2)*(TYPE2&lt;&gt;"")+('Dvd Calendar'!$AK$291=TYPE3)*(TYPE3&lt;&gt;"")+('Dvd Calendar'!$AK$291=TYPE4)*(TYPE4&lt;&gt;"")+('Dvd Calendar'!$AK$291=SPECIAL_LBL)*(INC_SPECIALS="Y"))=0,"",'Dvd Calendar'!$AK$289)))</f>
        <v/>
      </c>
      <c r="AJ37" s="110">
        <f>IF(FL37="","",IF(ISNUMBER('Dvd Calendar'!$AL$289)=FALSE,"",IF((('Dvd Calendar'!$AL$291=TYPE1)*(TYPE1&lt;&gt;"")+('Dvd Calendar'!$AL$291=TYPE2)*(TYPE2&lt;&gt;"")+('Dvd Calendar'!$AL$291=TYPE3)*(TYPE3&lt;&gt;"")+('Dvd Calendar'!$AL$291=TYPE4)*(TYPE4&lt;&gt;"")+('Dvd Calendar'!$AL$291=SPECIAL_LBL)*(INC_SPECIALS="Y"))=0,"",'Dvd Calendar'!$AL$289)))</f>
        <v/>
      </c>
      <c r="AK37" s="110">
        <f>IF(FM37="","",IF(ISNUMBER('Dvd Calendar'!$AM$289)=FALSE,"",IF((('Dvd Calendar'!$AM$291=TYPE1)*(TYPE1&lt;&gt;"")+('Dvd Calendar'!$AM$291=TYPE2)*(TYPE2&lt;&gt;"")+('Dvd Calendar'!$AM$291=TYPE3)*(TYPE3&lt;&gt;"")+('Dvd Calendar'!$AM$291=TYPE4)*(TYPE4&lt;&gt;"")+('Dvd Calendar'!$AM$291=SPECIAL_LBL)*(INC_SPECIALS="Y"))=0,"",'Dvd Calendar'!$AM$289)))</f>
        <v/>
      </c>
      <c r="AL37" s="110">
        <f>IF(FN37="","",IF(ISNUMBER('Dvd Calendar'!$AN$289)=FALSE,"",IF((('Dvd Calendar'!$AN$291=TYPE1)*(TYPE1&lt;&gt;"")+('Dvd Calendar'!$AN$291=TYPE2)*(TYPE2&lt;&gt;"")+('Dvd Calendar'!$AN$291=TYPE3)*(TYPE3&lt;&gt;"")+('Dvd Calendar'!$AN$291=TYPE4)*(TYPE4&lt;&gt;"")+('Dvd Calendar'!$AN$291=SPECIAL_LBL)*(INC_SPECIALS="Y"))=0,"",'Dvd Calendar'!$AN$289)))</f>
        <v/>
      </c>
      <c r="AM37" s="110">
        <f>IF(FO37="","",IF(ISNUMBER('Dvd Calendar'!$AO$289)=FALSE,"",IF((('Dvd Calendar'!$AO$291=TYPE1)*(TYPE1&lt;&gt;"")+('Dvd Calendar'!$AO$291=TYPE2)*(TYPE2&lt;&gt;"")+('Dvd Calendar'!$AO$291=TYPE3)*(TYPE3&lt;&gt;"")+('Dvd Calendar'!$AO$291=TYPE4)*(TYPE4&lt;&gt;"")+('Dvd Calendar'!$AO$291=SPECIAL_LBL)*(INC_SPECIALS="Y"))=0,"",'Dvd Calendar'!$AO$289)))</f>
        <v/>
      </c>
      <c r="AN37" s="110">
        <f>IF(FP37="","",IF(ISNUMBER('Dvd Calendar'!$AP$289)=FALSE,"",IF((('Dvd Calendar'!$AP$291=TYPE1)*(TYPE1&lt;&gt;"")+('Dvd Calendar'!$AP$291=TYPE2)*(TYPE2&lt;&gt;"")+('Dvd Calendar'!$AP$291=TYPE3)*(TYPE3&lt;&gt;"")+('Dvd Calendar'!$AP$291=TYPE4)*(TYPE4&lt;&gt;"")+('Dvd Calendar'!$AP$291=SPECIAL_LBL)*(INC_SPECIALS="Y"))=0,"",'Dvd Calendar'!$AP$289)))</f>
        <v/>
      </c>
      <c r="AO37" s="110">
        <f>IF(FQ37="","",IF(ISNUMBER('Dvd Calendar'!$AQ$289)=FALSE,"",IF((('Dvd Calendar'!$AQ$291=TYPE1)*(TYPE1&lt;&gt;"")+('Dvd Calendar'!$AQ$291=TYPE2)*(TYPE2&lt;&gt;"")+('Dvd Calendar'!$AQ$291=TYPE3)*(TYPE3&lt;&gt;"")+('Dvd Calendar'!$AQ$291=TYPE4)*(TYPE4&lt;&gt;"")+('Dvd Calendar'!$AQ$291=SPECIAL_LBL)*(INC_SPECIALS="Y"))=0,"",'Dvd Calendar'!$AQ$289)))</f>
        <v/>
      </c>
      <c r="AP37" s="110">
        <f>IF(FR37="","",IF(ISNUMBER('Dvd Calendar'!$AR$289)=FALSE,"",IF((('Dvd Calendar'!$AR$291=TYPE1)*(TYPE1&lt;&gt;"")+('Dvd Calendar'!$AR$291=TYPE2)*(TYPE2&lt;&gt;"")+('Dvd Calendar'!$AR$291=TYPE3)*(TYPE3&lt;&gt;"")+('Dvd Calendar'!$AR$291=TYPE4)*(TYPE4&lt;&gt;"")+('Dvd Calendar'!$AR$291=SPECIAL_LBL)*(INC_SPECIALS="Y"))=0,"",'Dvd Calendar'!$AR$289)))</f>
        <v/>
      </c>
      <c r="AQ37" s="110">
        <f>IF(FS37="","",IF(ISNUMBER('Dvd Calendar'!$E$294)=FALSE,"",'Dvd Calendar'!$E$294))</f>
        <v/>
      </c>
      <c r="AR37" s="110">
        <f>IF(FT37="","",IF(ISNUMBER('Dvd Calendar'!$F$294)=FALSE,"",'Dvd Calendar'!$F$294))</f>
        <v/>
      </c>
      <c r="AS37" s="110">
        <f>IF(FU37="","",IF(ISNUMBER('Dvd Calendar'!$G$294)=FALSE,"",'Dvd Calendar'!$G$294))</f>
        <v/>
      </c>
      <c r="AT37" s="110">
        <f>IF(FV37="","",IF(ISNUMBER('Dvd Calendar'!$H$294)=FALSE,"",'Dvd Calendar'!$H$294))</f>
        <v/>
      </c>
      <c r="AU37" s="110">
        <f>IF(FW37="","",IF(ISNUMBER('Dvd Calendar'!$I$294)=FALSE,"",'Dvd Calendar'!$I$294))</f>
        <v/>
      </c>
      <c r="AV37" s="110">
        <f>IF(FX37="","",IF(ISNUMBER('Dvd Calendar'!$J$294)=FALSE,"",'Dvd Calendar'!$J$294))</f>
        <v/>
      </c>
      <c r="AW37" s="110">
        <f>IF(FY37="","",IF(ISNUMBER('Dvd Calendar'!$K$294)=FALSE,"",'Dvd Calendar'!$K$294))</f>
        <v/>
      </c>
      <c r="AX37" s="110">
        <f>IF(FZ37="","",IF(ISNUMBER('Dvd Calendar'!$L$294)=FALSE,"",'Dvd Calendar'!$L$294))</f>
        <v/>
      </c>
      <c r="AY37" s="110">
        <f>IF(GA37="","",IF(ISNUMBER('Dvd Calendar'!$M$294)=FALSE,"",'Dvd Calendar'!$M$294))</f>
        <v/>
      </c>
      <c r="AZ37" s="110">
        <f>IF(GB37="","",IF(ISNUMBER('Dvd Calendar'!$N$294)=FALSE,"",'Dvd Calendar'!$N$294))</f>
        <v/>
      </c>
      <c r="BA37" s="110">
        <f>IF(GC37="","",IF(ISNUMBER('Dvd Calendar'!$O$294)=FALSE,"",'Dvd Calendar'!$O$294))</f>
        <v/>
      </c>
      <c r="BB37" s="110">
        <f>IF(GD37="","",IF(ISNUMBER('Dvd Calendar'!$P$294)=FALSE,"",'Dvd Calendar'!$P$294))</f>
        <v/>
      </c>
      <c r="BC37" s="110">
        <f>IF(GE37="","",IF(ISNUMBER('Dvd Calendar'!$Q$294)=FALSE,"",'Dvd Calendar'!$Q$294))</f>
        <v/>
      </c>
      <c r="BD37" s="110">
        <f>IF(GF37="","",IF(ISNUMBER('Dvd Calendar'!$R$294)=FALSE,"",'Dvd Calendar'!$R$294))</f>
        <v/>
      </c>
      <c r="BE37" s="110">
        <f>IF(GG37="","",IF(ISNUMBER('Dvd Calendar'!$S$294)=FALSE,"",'Dvd Calendar'!$S$294))</f>
        <v/>
      </c>
      <c r="BF37" s="110">
        <f>IF(GH37="","",IF(ISNUMBER('Dvd Calendar'!$T$294)=FALSE,"",'Dvd Calendar'!$T$294))</f>
        <v/>
      </c>
      <c r="BG37" s="110">
        <f>IF(GI37="","",IF(ISNUMBER('Dvd Calendar'!$U$294)=FALSE,"",'Dvd Calendar'!$U$294))</f>
        <v/>
      </c>
      <c r="BH37" s="110">
        <f>IF(GJ37="","",IF(ISNUMBER('Dvd Calendar'!$V$294)=FALSE,"",'Dvd Calendar'!$V$294))</f>
        <v/>
      </c>
      <c r="BI37" s="110">
        <f>IF(GK37="","",IF(ISNUMBER('Dvd Calendar'!$W$294)=FALSE,"",'Dvd Calendar'!$W$294))</f>
        <v/>
      </c>
      <c r="BJ37" s="110">
        <f>IF(GL37="","",IF(ISNUMBER('Dvd Calendar'!$X$294)=FALSE,"",'Dvd Calendar'!$X$294))</f>
        <v/>
      </c>
      <c r="BK37" s="110">
        <f>IF(GM37="","",IF(ISNUMBER('Dvd Calendar'!$Y$294)=FALSE,"",'Dvd Calendar'!$Y$294))</f>
        <v/>
      </c>
      <c r="BL37" s="110">
        <f>IF(GN37="","",IF(ISNUMBER('Dvd Calendar'!$Z$294)=FALSE,"",'Dvd Calendar'!$Z$294))</f>
        <v/>
      </c>
      <c r="BM37" s="110">
        <f>IF(GO37="","",IF(ISNUMBER('Dvd Calendar'!$AA$294)=FALSE,"",'Dvd Calendar'!$AA$294))</f>
        <v/>
      </c>
      <c r="BN37" s="110">
        <f>IF(GP37="","",IF(ISNUMBER('Dvd Calendar'!$AB$294)=FALSE,"",'Dvd Calendar'!$AB$294))</f>
        <v/>
      </c>
      <c r="BO37" s="110">
        <f>IF(GQ37="","",IF(ISNUMBER('Dvd Calendar'!$AC$294)=FALSE,"",'Dvd Calendar'!$AC$294))</f>
        <v/>
      </c>
      <c r="BQ37" s="110">
        <f>IF(C37="","",IFERROR(C37*HSI!$B$32*HSI!$G$32/HSI!$B$3,""))</f>
        <v/>
      </c>
      <c r="BR37" s="110">
        <f>IF(D37="","",IFERROR(D37*HSI!$B$32*HSI!$G$32/HSI!$B$3,""))</f>
        <v/>
      </c>
      <c r="BS37" s="110">
        <f>IF(E37="","",IFERROR(E37*HSI!$B$32*HSI!$G$32/HSI!$B$3,""))</f>
        <v/>
      </c>
      <c r="BT37" s="110">
        <f>IF(F37="","",IFERROR(F37*HSI!$B$32*HSI!$G$32/HSI!$B$3,""))</f>
        <v/>
      </c>
      <c r="BU37" s="110">
        <f>IF(G37="","",IFERROR(G37*HSI!$B$32*HSI!$G$32/HSI!$B$3,""))</f>
        <v/>
      </c>
      <c r="BV37" s="110">
        <f>IF(H37="","",IFERROR(H37*HSI!$B$32*HSI!$G$32/HSI!$B$3,""))</f>
        <v/>
      </c>
      <c r="BW37" s="110">
        <f>IF(I37="","",IFERROR(I37*HSI!$B$32*HSI!$G$32/HSI!$B$3,""))</f>
        <v/>
      </c>
      <c r="BX37" s="110">
        <f>IF(J37="","",IFERROR(J37*HSI!$B$32*HSI!$G$32/HSI!$B$3,""))</f>
        <v/>
      </c>
      <c r="BY37" s="110">
        <f>IF(K37="","",IFERROR(K37*HSI!$B$32*HSI!$G$32/HSI!$B$3,""))</f>
        <v/>
      </c>
      <c r="BZ37" s="110">
        <f>IF(L37="","",IFERROR(L37*HSI!$B$32*HSI!$G$32/HSI!$B$3,""))</f>
        <v/>
      </c>
      <c r="CA37" s="110">
        <f>IF(M37="","",IFERROR(M37*HSI!$B$32*HSI!$G$32/HSI!$B$3,""))</f>
        <v/>
      </c>
      <c r="CB37" s="110">
        <f>IF(N37="","",IFERROR(N37*HSI!$B$32*HSI!$G$32/HSI!$B$3,""))</f>
        <v/>
      </c>
      <c r="CC37" s="110">
        <f>IF(O37="","",IFERROR(O37*HSI!$B$32*HSI!$G$32/HSI!$B$3,""))</f>
        <v/>
      </c>
      <c r="CD37" s="110">
        <f>IF(P37="","",IFERROR(P37*HSI!$B$32*HSI!$G$32/HSI!$B$3,""))</f>
        <v/>
      </c>
      <c r="CE37" s="110">
        <f>IF(Q37="","",IFERROR(Q37*HSI!$B$32*HSI!$G$32/HSI!$B$3,""))</f>
        <v/>
      </c>
      <c r="CF37" s="110">
        <f>IF(R37="","",IFERROR(R37*HSI!$B$32*HSI!$G$32/HSI!$B$3,""))</f>
        <v/>
      </c>
      <c r="CG37" s="110">
        <f>IF(S37="","",IFERROR(S37*HSI!$B$32*HSI!$G$32/HSI!$B$3,""))</f>
        <v/>
      </c>
      <c r="CH37" s="110">
        <f>IF(T37="","",IFERROR(T37*HSI!$B$32*HSI!$G$32/HSI!$B$3,""))</f>
        <v/>
      </c>
      <c r="CI37" s="110">
        <f>IF(U37="","",IFERROR(U37*HSI!$B$32*HSI!$G$32/HSI!$B$3,""))</f>
        <v/>
      </c>
      <c r="CJ37" s="110">
        <f>IF(V37="","",IFERROR(V37*HSI!$B$32*HSI!$G$32/HSI!$B$3,""))</f>
        <v/>
      </c>
      <c r="CK37" s="110">
        <f>IF(W37="","",IFERROR(W37*HSI!$B$32*HSI!$G$32/HSI!$B$3,""))</f>
        <v/>
      </c>
      <c r="CL37" s="110">
        <f>IF(X37="","",IFERROR(X37*HSI!$B$32*HSI!$G$32/HSI!$B$3,""))</f>
        <v/>
      </c>
      <c r="CM37" s="110">
        <f>IF(Y37="","",IFERROR(Y37*HSI!$B$32*HSI!$G$32/HSI!$B$3,""))</f>
        <v/>
      </c>
      <c r="CN37" s="110">
        <f>IF(Z37="","",IFERROR(Z37*HSI!$B$32*HSI!$G$32/HSI!$B$3,""))</f>
        <v/>
      </c>
      <c r="CO37" s="110">
        <f>IF(AA37="","",IFERROR(AA37*HSI!$B$32*HSI!$G$32/HSI!$B$3,""))</f>
        <v/>
      </c>
      <c r="CP37" s="110">
        <f>IF(AB37="","",IFERROR(AB37*HSI!$B$32*HSI!$G$32/HSI!$B$3,""))</f>
        <v/>
      </c>
      <c r="CQ37" s="110">
        <f>IF(AC37="","",IFERROR(AC37*HSI!$B$32*HSI!$G$32/HSI!$B$3,""))</f>
        <v/>
      </c>
      <c r="CR37" s="110">
        <f>IF(AD37="","",IFERROR(AD37*HSI!$B$32*HSI!$G$32/HSI!$B$3,""))</f>
        <v/>
      </c>
      <c r="CS37" s="110">
        <f>IF(AE37="","",IFERROR(AE37*HSI!$B$32*HSI!$G$32/HSI!$B$3,""))</f>
        <v/>
      </c>
      <c r="CT37" s="110">
        <f>IF(AF37="","",IFERROR(AF37*HSI!$B$32*HSI!$G$32/HSI!$B$3,""))</f>
        <v/>
      </c>
      <c r="CU37" s="110">
        <f>IF(AG37="","",IFERROR(AG37*HSI!$B$32*HSI!$G$32/HSI!$B$3,""))</f>
        <v/>
      </c>
      <c r="CV37" s="110">
        <f>IF(AH37="","",IFERROR(AH37*HSI!$B$32*HSI!$G$32/HSI!$B$3,""))</f>
        <v/>
      </c>
      <c r="CW37" s="110">
        <f>IF(AI37="","",IFERROR(AI37*HSI!$B$32*HSI!$G$32/HSI!$B$3,""))</f>
        <v/>
      </c>
      <c r="CX37" s="110">
        <f>IF(AJ37="","",IFERROR(AJ37*HSI!$B$32*HSI!$G$32/HSI!$B$3,""))</f>
        <v/>
      </c>
      <c r="CY37" s="110">
        <f>IF(AK37="","",IFERROR(AK37*HSI!$B$32*HSI!$G$32/HSI!$B$3,""))</f>
        <v/>
      </c>
      <c r="CZ37" s="110">
        <f>IF(AL37="","",IFERROR(AL37*HSI!$B$32*HSI!$G$32/HSI!$B$3,""))</f>
        <v/>
      </c>
      <c r="DA37" s="110">
        <f>IF(AM37="","",IFERROR(AM37*HSI!$B$32*HSI!$G$32/HSI!$B$3,""))</f>
        <v/>
      </c>
      <c r="DB37" s="110">
        <f>IF(AN37="","",IFERROR(AN37*HSI!$B$32*HSI!$G$32/HSI!$B$3,""))</f>
        <v/>
      </c>
      <c r="DC37" s="110">
        <f>IF(AO37="","",IFERROR(AO37*HSI!$B$32*HSI!$G$32/HSI!$B$3,""))</f>
        <v/>
      </c>
      <c r="DD37" s="110">
        <f>IF(AP37="","",IFERROR(AP37*HSI!$B$32*HSI!$G$32/HSI!$B$3,""))</f>
        <v/>
      </c>
      <c r="DE37" s="110">
        <f>IF(AQ37="","",IFERROR(AQ37*HSI!$B$32*HSI!$G$32/HSI!$B$3,""))</f>
        <v/>
      </c>
      <c r="DF37" s="110">
        <f>IF(AR37="","",IFERROR(AR37*HSI!$B$32*HSI!$G$32/HSI!$B$3,""))</f>
        <v/>
      </c>
      <c r="DG37" s="110">
        <f>IF(AS37="","",IFERROR(AS37*HSI!$B$32*HSI!$G$32/HSI!$B$3,""))</f>
        <v/>
      </c>
      <c r="DH37" s="110">
        <f>IF(AT37="","",IFERROR(AT37*HSI!$B$32*HSI!$G$32/HSI!$B$3,""))</f>
        <v/>
      </c>
      <c r="DI37" s="110">
        <f>IF(AU37="","",IFERROR(AU37*HSI!$B$32*HSI!$G$32/HSI!$B$3,""))</f>
        <v/>
      </c>
      <c r="DJ37" s="110">
        <f>IF(AV37="","",IFERROR(AV37*HSI!$B$32*HSI!$G$32/HSI!$B$3,""))</f>
        <v/>
      </c>
      <c r="DK37" s="110">
        <f>IF(AW37="","",IFERROR(AW37*HSI!$B$32*HSI!$G$32/HSI!$B$3,""))</f>
        <v/>
      </c>
      <c r="DL37" s="110">
        <f>IF(AX37="","",IFERROR(AX37*HSI!$B$32*HSI!$G$32/HSI!$B$3,""))</f>
        <v/>
      </c>
      <c r="DM37" s="110">
        <f>IF(AY37="","",IFERROR(AY37*HSI!$B$32*HSI!$G$32/HSI!$B$3,""))</f>
        <v/>
      </c>
      <c r="DN37" s="110">
        <f>IF(AZ37="","",IFERROR(AZ37*HSI!$B$32*HSI!$G$32/HSI!$B$3,""))</f>
        <v/>
      </c>
      <c r="DO37" s="110">
        <f>IF(BA37="","",IFERROR(BA37*HSI!$B$32*HSI!$G$32/HSI!$B$3,""))</f>
        <v/>
      </c>
      <c r="DP37" s="110">
        <f>IF(BB37="","",IFERROR(BB37*HSI!$B$32*HSI!$G$32/HSI!$B$3,""))</f>
        <v/>
      </c>
      <c r="DQ37" s="110">
        <f>IF(BC37="","",IFERROR(BC37*HSI!$B$32*HSI!$G$32/HSI!$B$3,""))</f>
        <v/>
      </c>
      <c r="DR37" s="110">
        <f>IF(BD37="","",IFERROR(BD37*HSI!$B$32*HSI!$G$32/HSI!$B$3,""))</f>
        <v/>
      </c>
      <c r="DS37" s="110">
        <f>IF(BE37="","",IFERROR(BE37*HSI!$B$32*HSI!$G$32/HSI!$B$3,""))</f>
        <v/>
      </c>
      <c r="DT37" s="110">
        <f>IF(BF37="","",IFERROR(BF37*HSI!$B$32*HSI!$G$32/HSI!$B$3,""))</f>
        <v/>
      </c>
      <c r="DU37" s="110">
        <f>IF(BG37="","",IFERROR(BG37*HSI!$B$32*HSI!$G$32/HSI!$B$3,""))</f>
        <v/>
      </c>
      <c r="DV37" s="110">
        <f>IF(BH37="","",IFERROR(BH37*HSI!$B$32*HSI!$G$32/HSI!$B$3,""))</f>
        <v/>
      </c>
      <c r="DW37" s="110">
        <f>IF(BI37="","",IFERROR(BI37*HSI!$B$32*HSI!$G$32/HSI!$B$3,""))</f>
        <v/>
      </c>
      <c r="DX37" s="110">
        <f>IF(BJ37="","",IFERROR(BJ37*HSI!$B$32*HSI!$G$32/HSI!$B$3,""))</f>
        <v/>
      </c>
      <c r="DY37" s="110">
        <f>IF(BK37="","",IFERROR(BK37*HSI!$B$32*HSI!$G$32/HSI!$B$3,""))</f>
        <v/>
      </c>
      <c r="DZ37" s="110">
        <f>IF(BL37="","",IFERROR(BL37*HSI!$B$32*HSI!$G$32/HSI!$B$3,""))</f>
        <v/>
      </c>
      <c r="EA37" s="110">
        <f>IF(BM37="","",IFERROR(BM37*HSI!$B$32*HSI!$G$32/HSI!$B$3,""))</f>
        <v/>
      </c>
      <c r="EB37" s="110">
        <f>IF(BN37="","",IFERROR(BN37*HSI!$B$32*HSI!$G$32/HSI!$B$3,""))</f>
        <v/>
      </c>
      <c r="EC37" s="110">
        <f>IF(BO37="","",IFERROR(BO37*HSI!$B$32*HSI!$G$32/HSI!$B$3,""))</f>
        <v/>
      </c>
      <c r="EE37" s="39">
        <f>IF(N('Dvd Calendar'!$E$286)=0,"",IF(('Dvd Calendar'!$E$286&gt;=GRID_FROM)*('Dvd Calendar'!$E$286&lt;=GRID_TO)*((('Dvd Calendar'!$E$286&lt;=VAL_DATE)+(COUNTIF('Dvd Calendar'!$E$293:$AR$293,'Dvd Calendar'!$E$286)=0))&gt;0)=0,"",'Dvd Calendar'!$E$286*1000000000+ISNUMBER('Dvd Calendar'!$E$289)*100000000+('Dvd Calendar'!$E$291=SPECIAL_LBL)*10000000+(N('Dvd Calendar'!$E$285)&gt;0)*(N('Dvd Calendar'!$E$285)&lt;=VAL_SERIAL)*1000000+26*1000+1))</f>
        <v/>
      </c>
      <c r="EF37" s="39">
        <f>IF(N('Dvd Calendar'!$F$286)=0,"",IF(('Dvd Calendar'!$F$286&gt;=GRID_FROM)*('Dvd Calendar'!$F$286&lt;=GRID_TO)*((('Dvd Calendar'!$F$286&lt;=VAL_DATE)+(COUNTIF('Dvd Calendar'!$E$293:$AR$293,'Dvd Calendar'!$F$286)=0))&gt;0)=0,"",'Dvd Calendar'!$F$286*1000000000+ISNUMBER('Dvd Calendar'!$F$289)*100000000+('Dvd Calendar'!$F$291=SPECIAL_LBL)*10000000+(N('Dvd Calendar'!$F$285)&gt;0)*(N('Dvd Calendar'!$F$285)&lt;=VAL_SERIAL)*1000000+26*1000+2))</f>
        <v/>
      </c>
      <c r="EG37" s="39">
        <f>IF(N('Dvd Calendar'!$G$286)=0,"",IF(('Dvd Calendar'!$G$286&gt;=GRID_FROM)*('Dvd Calendar'!$G$286&lt;=GRID_TO)*((('Dvd Calendar'!$G$286&lt;=VAL_DATE)+(COUNTIF('Dvd Calendar'!$E$293:$AR$293,'Dvd Calendar'!$G$286)=0))&gt;0)=0,"",'Dvd Calendar'!$G$286*1000000000+ISNUMBER('Dvd Calendar'!$G$289)*100000000+('Dvd Calendar'!$G$291=SPECIAL_LBL)*10000000+(N('Dvd Calendar'!$G$285)&gt;0)*(N('Dvd Calendar'!$G$285)&lt;=VAL_SERIAL)*1000000+26*1000+3))</f>
        <v/>
      </c>
      <c r="EH37" s="39">
        <f>IF(N('Dvd Calendar'!$H$286)=0,"",IF(('Dvd Calendar'!$H$286&gt;=GRID_FROM)*('Dvd Calendar'!$H$286&lt;=GRID_TO)*((('Dvd Calendar'!$H$286&lt;=VAL_DATE)+(COUNTIF('Dvd Calendar'!$E$293:$AR$293,'Dvd Calendar'!$H$286)=0))&gt;0)=0,"",'Dvd Calendar'!$H$286*1000000000+ISNUMBER('Dvd Calendar'!$H$289)*100000000+('Dvd Calendar'!$H$291=SPECIAL_LBL)*10000000+(N('Dvd Calendar'!$H$285)&gt;0)*(N('Dvd Calendar'!$H$285)&lt;=VAL_SERIAL)*1000000+26*1000+4))</f>
        <v/>
      </c>
      <c r="EI37" s="39">
        <f>IF(N('Dvd Calendar'!$I$286)=0,"",IF(('Dvd Calendar'!$I$286&gt;=GRID_FROM)*('Dvd Calendar'!$I$286&lt;=GRID_TO)*((('Dvd Calendar'!$I$286&lt;=VAL_DATE)+(COUNTIF('Dvd Calendar'!$E$293:$AR$293,'Dvd Calendar'!$I$286)=0))&gt;0)=0,"",'Dvd Calendar'!$I$286*1000000000+ISNUMBER('Dvd Calendar'!$I$289)*100000000+('Dvd Calendar'!$I$291=SPECIAL_LBL)*10000000+(N('Dvd Calendar'!$I$285)&gt;0)*(N('Dvd Calendar'!$I$285)&lt;=VAL_SERIAL)*1000000+26*1000+5))</f>
        <v/>
      </c>
      <c r="EJ37" s="39">
        <f>IF(N('Dvd Calendar'!$J$286)=0,"",IF(('Dvd Calendar'!$J$286&gt;=GRID_FROM)*('Dvd Calendar'!$J$286&lt;=GRID_TO)*((('Dvd Calendar'!$J$286&lt;=VAL_DATE)+(COUNTIF('Dvd Calendar'!$E$293:$AR$293,'Dvd Calendar'!$J$286)=0))&gt;0)=0,"",'Dvd Calendar'!$J$286*1000000000+ISNUMBER('Dvd Calendar'!$J$289)*100000000+('Dvd Calendar'!$J$291=SPECIAL_LBL)*10000000+(N('Dvd Calendar'!$J$285)&gt;0)*(N('Dvd Calendar'!$J$285)&lt;=VAL_SERIAL)*1000000+26*1000+6))</f>
        <v/>
      </c>
      <c r="EK37" s="39">
        <f>IF(N('Dvd Calendar'!$K$286)=0,"",IF(('Dvd Calendar'!$K$286&gt;=GRID_FROM)*('Dvd Calendar'!$K$286&lt;=GRID_TO)*((('Dvd Calendar'!$K$286&lt;=VAL_DATE)+(COUNTIF('Dvd Calendar'!$E$293:$AR$293,'Dvd Calendar'!$K$286)=0))&gt;0)=0,"",'Dvd Calendar'!$K$286*1000000000+ISNUMBER('Dvd Calendar'!$K$289)*100000000+('Dvd Calendar'!$K$291=SPECIAL_LBL)*10000000+(N('Dvd Calendar'!$K$285)&gt;0)*(N('Dvd Calendar'!$K$285)&lt;=VAL_SERIAL)*1000000+26*1000+7))</f>
        <v/>
      </c>
      <c r="EL37" s="39">
        <f>IF(N('Dvd Calendar'!$L$286)=0,"",IF(('Dvd Calendar'!$L$286&gt;=GRID_FROM)*('Dvd Calendar'!$L$286&lt;=GRID_TO)*((('Dvd Calendar'!$L$286&lt;=VAL_DATE)+(COUNTIF('Dvd Calendar'!$E$293:$AR$293,'Dvd Calendar'!$L$286)=0))&gt;0)=0,"",'Dvd Calendar'!$L$286*1000000000+ISNUMBER('Dvd Calendar'!$L$289)*100000000+('Dvd Calendar'!$L$291=SPECIAL_LBL)*10000000+(N('Dvd Calendar'!$L$285)&gt;0)*(N('Dvd Calendar'!$L$285)&lt;=VAL_SERIAL)*1000000+26*1000+8))</f>
        <v/>
      </c>
      <c r="EM37" s="39">
        <f>IF(N('Dvd Calendar'!$M$286)=0,"",IF(('Dvd Calendar'!$M$286&gt;=GRID_FROM)*('Dvd Calendar'!$M$286&lt;=GRID_TO)*((('Dvd Calendar'!$M$286&lt;=VAL_DATE)+(COUNTIF('Dvd Calendar'!$E$293:$AR$293,'Dvd Calendar'!$M$286)=0))&gt;0)=0,"",'Dvd Calendar'!$M$286*1000000000+ISNUMBER('Dvd Calendar'!$M$289)*100000000+('Dvd Calendar'!$M$291=SPECIAL_LBL)*10000000+(N('Dvd Calendar'!$M$285)&gt;0)*(N('Dvd Calendar'!$M$285)&lt;=VAL_SERIAL)*1000000+26*1000+9))</f>
        <v/>
      </c>
      <c r="EN37" s="39">
        <f>IF(N('Dvd Calendar'!$N$286)=0,"",IF(('Dvd Calendar'!$N$286&gt;=GRID_FROM)*('Dvd Calendar'!$N$286&lt;=GRID_TO)*((('Dvd Calendar'!$N$286&lt;=VAL_DATE)+(COUNTIF('Dvd Calendar'!$E$293:$AR$293,'Dvd Calendar'!$N$286)=0))&gt;0)=0,"",'Dvd Calendar'!$N$286*1000000000+ISNUMBER('Dvd Calendar'!$N$289)*100000000+('Dvd Calendar'!$N$291=SPECIAL_LBL)*10000000+(N('Dvd Calendar'!$N$285)&gt;0)*(N('Dvd Calendar'!$N$285)&lt;=VAL_SERIAL)*1000000+26*1000+10))</f>
        <v/>
      </c>
      <c r="EO37" s="39">
        <f>IF(N('Dvd Calendar'!$O$286)=0,"",IF(('Dvd Calendar'!$O$286&gt;=GRID_FROM)*('Dvd Calendar'!$O$286&lt;=GRID_TO)*((('Dvd Calendar'!$O$286&lt;=VAL_DATE)+(COUNTIF('Dvd Calendar'!$E$293:$AR$293,'Dvd Calendar'!$O$286)=0))&gt;0)=0,"",'Dvd Calendar'!$O$286*1000000000+ISNUMBER('Dvd Calendar'!$O$289)*100000000+('Dvd Calendar'!$O$291=SPECIAL_LBL)*10000000+(N('Dvd Calendar'!$O$285)&gt;0)*(N('Dvd Calendar'!$O$285)&lt;=VAL_SERIAL)*1000000+26*1000+11))</f>
        <v/>
      </c>
      <c r="EP37" s="39">
        <f>IF(N('Dvd Calendar'!$P$286)=0,"",IF(('Dvd Calendar'!$P$286&gt;=GRID_FROM)*('Dvd Calendar'!$P$286&lt;=GRID_TO)*((('Dvd Calendar'!$P$286&lt;=VAL_DATE)+(COUNTIF('Dvd Calendar'!$E$293:$AR$293,'Dvd Calendar'!$P$286)=0))&gt;0)=0,"",'Dvd Calendar'!$P$286*1000000000+ISNUMBER('Dvd Calendar'!$P$289)*100000000+('Dvd Calendar'!$P$291=SPECIAL_LBL)*10000000+(N('Dvd Calendar'!$P$285)&gt;0)*(N('Dvd Calendar'!$P$285)&lt;=VAL_SERIAL)*1000000+26*1000+12))</f>
        <v/>
      </c>
      <c r="EQ37" s="39">
        <f>IF(N('Dvd Calendar'!$Q$286)=0,"",IF(('Dvd Calendar'!$Q$286&gt;=GRID_FROM)*('Dvd Calendar'!$Q$286&lt;=GRID_TO)*((('Dvd Calendar'!$Q$286&lt;=VAL_DATE)+(COUNTIF('Dvd Calendar'!$E$293:$AR$293,'Dvd Calendar'!$Q$286)=0))&gt;0)=0,"",'Dvd Calendar'!$Q$286*1000000000+ISNUMBER('Dvd Calendar'!$Q$289)*100000000+('Dvd Calendar'!$Q$291=SPECIAL_LBL)*10000000+(N('Dvd Calendar'!$Q$285)&gt;0)*(N('Dvd Calendar'!$Q$285)&lt;=VAL_SERIAL)*1000000+26*1000+13))</f>
        <v/>
      </c>
      <c r="ER37" s="39">
        <f>IF(N('Dvd Calendar'!$R$286)=0,"",IF(('Dvd Calendar'!$R$286&gt;=GRID_FROM)*('Dvd Calendar'!$R$286&lt;=GRID_TO)*((('Dvd Calendar'!$R$286&lt;=VAL_DATE)+(COUNTIF('Dvd Calendar'!$E$293:$AR$293,'Dvd Calendar'!$R$286)=0))&gt;0)=0,"",'Dvd Calendar'!$R$286*1000000000+ISNUMBER('Dvd Calendar'!$R$289)*100000000+('Dvd Calendar'!$R$291=SPECIAL_LBL)*10000000+(N('Dvd Calendar'!$R$285)&gt;0)*(N('Dvd Calendar'!$R$285)&lt;=VAL_SERIAL)*1000000+26*1000+14))</f>
        <v/>
      </c>
      <c r="ES37" s="39">
        <f>IF(N('Dvd Calendar'!$S$286)=0,"",IF(('Dvd Calendar'!$S$286&gt;=GRID_FROM)*('Dvd Calendar'!$S$286&lt;=GRID_TO)*((('Dvd Calendar'!$S$286&lt;=VAL_DATE)+(COUNTIF('Dvd Calendar'!$E$293:$AR$293,'Dvd Calendar'!$S$286)=0))&gt;0)=0,"",'Dvd Calendar'!$S$286*1000000000+ISNUMBER('Dvd Calendar'!$S$289)*100000000+('Dvd Calendar'!$S$291=SPECIAL_LBL)*10000000+(N('Dvd Calendar'!$S$285)&gt;0)*(N('Dvd Calendar'!$S$285)&lt;=VAL_SERIAL)*1000000+26*1000+15))</f>
        <v/>
      </c>
      <c r="ET37" s="39">
        <f>IF(N('Dvd Calendar'!$T$286)=0,"",IF(('Dvd Calendar'!$T$286&gt;=GRID_FROM)*('Dvd Calendar'!$T$286&lt;=GRID_TO)*((('Dvd Calendar'!$T$286&lt;=VAL_DATE)+(COUNTIF('Dvd Calendar'!$E$293:$AR$293,'Dvd Calendar'!$T$286)=0))&gt;0)=0,"",'Dvd Calendar'!$T$286*1000000000+ISNUMBER('Dvd Calendar'!$T$289)*100000000+('Dvd Calendar'!$T$291=SPECIAL_LBL)*10000000+(N('Dvd Calendar'!$T$285)&gt;0)*(N('Dvd Calendar'!$T$285)&lt;=VAL_SERIAL)*1000000+26*1000+16))</f>
        <v/>
      </c>
      <c r="EU37" s="39">
        <f>IF(N('Dvd Calendar'!$U$286)=0,"",IF(('Dvd Calendar'!$U$286&gt;=GRID_FROM)*('Dvd Calendar'!$U$286&lt;=GRID_TO)*((('Dvd Calendar'!$U$286&lt;=VAL_DATE)+(COUNTIF('Dvd Calendar'!$E$293:$AR$293,'Dvd Calendar'!$U$286)=0))&gt;0)=0,"",'Dvd Calendar'!$U$286*1000000000+ISNUMBER('Dvd Calendar'!$U$289)*100000000+('Dvd Calendar'!$U$291=SPECIAL_LBL)*10000000+(N('Dvd Calendar'!$U$285)&gt;0)*(N('Dvd Calendar'!$U$285)&lt;=VAL_SERIAL)*1000000+26*1000+17))</f>
        <v/>
      </c>
      <c r="EV37" s="39">
        <f>IF(N('Dvd Calendar'!$V$286)=0,"",IF(('Dvd Calendar'!$V$286&gt;=GRID_FROM)*('Dvd Calendar'!$V$286&lt;=GRID_TO)*((('Dvd Calendar'!$V$286&lt;=VAL_DATE)+(COUNTIF('Dvd Calendar'!$E$293:$AR$293,'Dvd Calendar'!$V$286)=0))&gt;0)=0,"",'Dvd Calendar'!$V$286*1000000000+ISNUMBER('Dvd Calendar'!$V$289)*100000000+('Dvd Calendar'!$V$291=SPECIAL_LBL)*10000000+(N('Dvd Calendar'!$V$285)&gt;0)*(N('Dvd Calendar'!$V$285)&lt;=VAL_SERIAL)*1000000+26*1000+18))</f>
        <v/>
      </c>
      <c r="EW37" s="39">
        <f>IF(N('Dvd Calendar'!$W$286)=0,"",IF(('Dvd Calendar'!$W$286&gt;=GRID_FROM)*('Dvd Calendar'!$W$286&lt;=GRID_TO)*((('Dvd Calendar'!$W$286&lt;=VAL_DATE)+(COUNTIF('Dvd Calendar'!$E$293:$AR$293,'Dvd Calendar'!$W$286)=0))&gt;0)=0,"",'Dvd Calendar'!$W$286*1000000000+ISNUMBER('Dvd Calendar'!$W$289)*100000000+('Dvd Calendar'!$W$291=SPECIAL_LBL)*10000000+(N('Dvd Calendar'!$W$285)&gt;0)*(N('Dvd Calendar'!$W$285)&lt;=VAL_SERIAL)*1000000+26*1000+19))</f>
        <v/>
      </c>
      <c r="EX37" s="39">
        <f>IF(N('Dvd Calendar'!$X$286)=0,"",IF(('Dvd Calendar'!$X$286&gt;=GRID_FROM)*('Dvd Calendar'!$X$286&lt;=GRID_TO)*((('Dvd Calendar'!$X$286&lt;=VAL_DATE)+(COUNTIF('Dvd Calendar'!$E$293:$AR$293,'Dvd Calendar'!$X$286)=0))&gt;0)=0,"",'Dvd Calendar'!$X$286*1000000000+ISNUMBER('Dvd Calendar'!$X$289)*100000000+('Dvd Calendar'!$X$291=SPECIAL_LBL)*10000000+(N('Dvd Calendar'!$X$285)&gt;0)*(N('Dvd Calendar'!$X$285)&lt;=VAL_SERIAL)*1000000+26*1000+20))</f>
        <v/>
      </c>
      <c r="EY37" s="39">
        <f>IF(N('Dvd Calendar'!$Y$286)=0,"",IF(('Dvd Calendar'!$Y$286&gt;=GRID_FROM)*('Dvd Calendar'!$Y$286&lt;=GRID_TO)*((('Dvd Calendar'!$Y$286&lt;=VAL_DATE)+(COUNTIF('Dvd Calendar'!$E$293:$AR$293,'Dvd Calendar'!$Y$286)=0))&gt;0)=0,"",'Dvd Calendar'!$Y$286*1000000000+ISNUMBER('Dvd Calendar'!$Y$289)*100000000+('Dvd Calendar'!$Y$291=SPECIAL_LBL)*10000000+(N('Dvd Calendar'!$Y$285)&gt;0)*(N('Dvd Calendar'!$Y$285)&lt;=VAL_SERIAL)*1000000+26*1000+21))</f>
        <v/>
      </c>
      <c r="EZ37" s="39">
        <f>IF(N('Dvd Calendar'!$Z$286)=0,"",IF(('Dvd Calendar'!$Z$286&gt;=GRID_FROM)*('Dvd Calendar'!$Z$286&lt;=GRID_TO)*((('Dvd Calendar'!$Z$286&lt;=VAL_DATE)+(COUNTIF('Dvd Calendar'!$E$293:$AR$293,'Dvd Calendar'!$Z$286)=0))&gt;0)=0,"",'Dvd Calendar'!$Z$286*1000000000+ISNUMBER('Dvd Calendar'!$Z$289)*100000000+('Dvd Calendar'!$Z$291=SPECIAL_LBL)*10000000+(N('Dvd Calendar'!$Z$285)&gt;0)*(N('Dvd Calendar'!$Z$285)&lt;=VAL_SERIAL)*1000000+26*1000+22))</f>
        <v/>
      </c>
      <c r="FA37" s="39">
        <f>IF(N('Dvd Calendar'!$AA$286)=0,"",IF(('Dvd Calendar'!$AA$286&gt;=GRID_FROM)*('Dvd Calendar'!$AA$286&lt;=GRID_TO)*((('Dvd Calendar'!$AA$286&lt;=VAL_DATE)+(COUNTIF('Dvd Calendar'!$E$293:$AR$293,'Dvd Calendar'!$AA$286)=0))&gt;0)=0,"",'Dvd Calendar'!$AA$286*1000000000+ISNUMBER('Dvd Calendar'!$AA$289)*100000000+('Dvd Calendar'!$AA$291=SPECIAL_LBL)*10000000+(N('Dvd Calendar'!$AA$285)&gt;0)*(N('Dvd Calendar'!$AA$285)&lt;=VAL_SERIAL)*1000000+26*1000+23))</f>
        <v/>
      </c>
      <c r="FB37" s="39">
        <f>IF(N('Dvd Calendar'!$AB$286)=0,"",IF(('Dvd Calendar'!$AB$286&gt;=GRID_FROM)*('Dvd Calendar'!$AB$286&lt;=GRID_TO)*((('Dvd Calendar'!$AB$286&lt;=VAL_DATE)+(COUNTIF('Dvd Calendar'!$E$293:$AR$293,'Dvd Calendar'!$AB$286)=0))&gt;0)=0,"",'Dvd Calendar'!$AB$286*1000000000+ISNUMBER('Dvd Calendar'!$AB$289)*100000000+('Dvd Calendar'!$AB$291=SPECIAL_LBL)*10000000+(N('Dvd Calendar'!$AB$285)&gt;0)*(N('Dvd Calendar'!$AB$285)&lt;=VAL_SERIAL)*1000000+26*1000+24))</f>
        <v/>
      </c>
      <c r="FC37" s="39">
        <f>IF(N('Dvd Calendar'!$AC$286)=0,"",IF(('Dvd Calendar'!$AC$286&gt;=GRID_FROM)*('Dvd Calendar'!$AC$286&lt;=GRID_TO)*((('Dvd Calendar'!$AC$286&lt;=VAL_DATE)+(COUNTIF('Dvd Calendar'!$E$293:$AR$293,'Dvd Calendar'!$AC$286)=0))&gt;0)=0,"",'Dvd Calendar'!$AC$286*1000000000+ISNUMBER('Dvd Calendar'!$AC$289)*100000000+('Dvd Calendar'!$AC$291=SPECIAL_LBL)*10000000+(N('Dvd Calendar'!$AC$285)&gt;0)*(N('Dvd Calendar'!$AC$285)&lt;=VAL_SERIAL)*1000000+26*1000+25))</f>
        <v/>
      </c>
      <c r="FD37" s="39">
        <f>IF(N('Dvd Calendar'!$AD$286)=0,"",IF(('Dvd Calendar'!$AD$286&gt;=GRID_FROM)*('Dvd Calendar'!$AD$286&lt;=GRID_TO)*((('Dvd Calendar'!$AD$286&lt;=VAL_DATE)+(COUNTIF('Dvd Calendar'!$E$293:$AR$293,'Dvd Calendar'!$AD$286)=0))&gt;0)=0,"",'Dvd Calendar'!$AD$286*1000000000+ISNUMBER('Dvd Calendar'!$AD$289)*100000000+('Dvd Calendar'!$AD$291=SPECIAL_LBL)*10000000+(N('Dvd Calendar'!$AD$285)&gt;0)*(N('Dvd Calendar'!$AD$285)&lt;=VAL_SERIAL)*1000000+26*1000+26))</f>
        <v/>
      </c>
      <c r="FE37" s="39">
        <f>IF(N('Dvd Calendar'!$AE$286)=0,"",IF(('Dvd Calendar'!$AE$286&gt;=GRID_FROM)*('Dvd Calendar'!$AE$286&lt;=GRID_TO)*((('Dvd Calendar'!$AE$286&lt;=VAL_DATE)+(COUNTIF('Dvd Calendar'!$E$293:$AR$293,'Dvd Calendar'!$AE$286)=0))&gt;0)=0,"",'Dvd Calendar'!$AE$286*1000000000+ISNUMBER('Dvd Calendar'!$AE$289)*100000000+('Dvd Calendar'!$AE$291=SPECIAL_LBL)*10000000+(N('Dvd Calendar'!$AE$285)&gt;0)*(N('Dvd Calendar'!$AE$285)&lt;=VAL_SERIAL)*1000000+26*1000+27))</f>
        <v/>
      </c>
      <c r="FF37" s="39">
        <f>IF(N('Dvd Calendar'!$AF$286)=0,"",IF(('Dvd Calendar'!$AF$286&gt;=GRID_FROM)*('Dvd Calendar'!$AF$286&lt;=GRID_TO)*((('Dvd Calendar'!$AF$286&lt;=VAL_DATE)+(COUNTIF('Dvd Calendar'!$E$293:$AR$293,'Dvd Calendar'!$AF$286)=0))&gt;0)=0,"",'Dvd Calendar'!$AF$286*1000000000+ISNUMBER('Dvd Calendar'!$AF$289)*100000000+('Dvd Calendar'!$AF$291=SPECIAL_LBL)*10000000+(N('Dvd Calendar'!$AF$285)&gt;0)*(N('Dvd Calendar'!$AF$285)&lt;=VAL_SERIAL)*1000000+26*1000+28))</f>
        <v/>
      </c>
      <c r="FG37" s="39">
        <f>IF(N('Dvd Calendar'!$AG$286)=0,"",IF(('Dvd Calendar'!$AG$286&gt;=GRID_FROM)*('Dvd Calendar'!$AG$286&lt;=GRID_TO)*((('Dvd Calendar'!$AG$286&lt;=VAL_DATE)+(COUNTIF('Dvd Calendar'!$E$293:$AR$293,'Dvd Calendar'!$AG$286)=0))&gt;0)=0,"",'Dvd Calendar'!$AG$286*1000000000+ISNUMBER('Dvd Calendar'!$AG$289)*100000000+('Dvd Calendar'!$AG$291=SPECIAL_LBL)*10000000+(N('Dvd Calendar'!$AG$285)&gt;0)*(N('Dvd Calendar'!$AG$285)&lt;=VAL_SERIAL)*1000000+26*1000+29))</f>
        <v/>
      </c>
      <c r="FH37" s="39">
        <f>IF(N('Dvd Calendar'!$AH$286)=0,"",IF(('Dvd Calendar'!$AH$286&gt;=GRID_FROM)*('Dvd Calendar'!$AH$286&lt;=GRID_TO)*((('Dvd Calendar'!$AH$286&lt;=VAL_DATE)+(COUNTIF('Dvd Calendar'!$E$293:$AR$293,'Dvd Calendar'!$AH$286)=0))&gt;0)=0,"",'Dvd Calendar'!$AH$286*1000000000+ISNUMBER('Dvd Calendar'!$AH$289)*100000000+('Dvd Calendar'!$AH$291=SPECIAL_LBL)*10000000+(N('Dvd Calendar'!$AH$285)&gt;0)*(N('Dvd Calendar'!$AH$285)&lt;=VAL_SERIAL)*1000000+26*1000+30))</f>
        <v/>
      </c>
      <c r="FI37" s="39">
        <f>IF(N('Dvd Calendar'!$AI$286)=0,"",IF(('Dvd Calendar'!$AI$286&gt;=GRID_FROM)*('Dvd Calendar'!$AI$286&lt;=GRID_TO)*((('Dvd Calendar'!$AI$286&lt;=VAL_DATE)+(COUNTIF('Dvd Calendar'!$E$293:$AR$293,'Dvd Calendar'!$AI$286)=0))&gt;0)=0,"",'Dvd Calendar'!$AI$286*1000000000+ISNUMBER('Dvd Calendar'!$AI$289)*100000000+('Dvd Calendar'!$AI$291=SPECIAL_LBL)*10000000+(N('Dvd Calendar'!$AI$285)&gt;0)*(N('Dvd Calendar'!$AI$285)&lt;=VAL_SERIAL)*1000000+26*1000+31))</f>
        <v/>
      </c>
      <c r="FJ37" s="39">
        <f>IF(N('Dvd Calendar'!$AJ$286)=0,"",IF(('Dvd Calendar'!$AJ$286&gt;=GRID_FROM)*('Dvd Calendar'!$AJ$286&lt;=GRID_TO)*((('Dvd Calendar'!$AJ$286&lt;=VAL_DATE)+(COUNTIF('Dvd Calendar'!$E$293:$AR$293,'Dvd Calendar'!$AJ$286)=0))&gt;0)=0,"",'Dvd Calendar'!$AJ$286*1000000000+ISNUMBER('Dvd Calendar'!$AJ$289)*100000000+('Dvd Calendar'!$AJ$291=SPECIAL_LBL)*10000000+(N('Dvd Calendar'!$AJ$285)&gt;0)*(N('Dvd Calendar'!$AJ$285)&lt;=VAL_SERIAL)*1000000+26*1000+32))</f>
        <v/>
      </c>
      <c r="FK37" s="39">
        <f>IF(N('Dvd Calendar'!$AK$286)=0,"",IF(('Dvd Calendar'!$AK$286&gt;=GRID_FROM)*('Dvd Calendar'!$AK$286&lt;=GRID_TO)*((('Dvd Calendar'!$AK$286&lt;=VAL_DATE)+(COUNTIF('Dvd Calendar'!$E$293:$AR$293,'Dvd Calendar'!$AK$286)=0))&gt;0)=0,"",'Dvd Calendar'!$AK$286*1000000000+ISNUMBER('Dvd Calendar'!$AK$289)*100000000+('Dvd Calendar'!$AK$291=SPECIAL_LBL)*10000000+(N('Dvd Calendar'!$AK$285)&gt;0)*(N('Dvd Calendar'!$AK$285)&lt;=VAL_SERIAL)*1000000+26*1000+33))</f>
        <v/>
      </c>
      <c r="FL37" s="39">
        <f>IF(N('Dvd Calendar'!$AL$286)=0,"",IF(('Dvd Calendar'!$AL$286&gt;=GRID_FROM)*('Dvd Calendar'!$AL$286&lt;=GRID_TO)*((('Dvd Calendar'!$AL$286&lt;=VAL_DATE)+(COUNTIF('Dvd Calendar'!$E$293:$AR$293,'Dvd Calendar'!$AL$286)=0))&gt;0)=0,"",'Dvd Calendar'!$AL$286*1000000000+ISNUMBER('Dvd Calendar'!$AL$289)*100000000+('Dvd Calendar'!$AL$291=SPECIAL_LBL)*10000000+(N('Dvd Calendar'!$AL$285)&gt;0)*(N('Dvd Calendar'!$AL$285)&lt;=VAL_SERIAL)*1000000+26*1000+34))</f>
        <v/>
      </c>
      <c r="FM37" s="39">
        <f>IF(N('Dvd Calendar'!$AM$286)=0,"",IF(('Dvd Calendar'!$AM$286&gt;=GRID_FROM)*('Dvd Calendar'!$AM$286&lt;=GRID_TO)*((('Dvd Calendar'!$AM$286&lt;=VAL_DATE)+(COUNTIF('Dvd Calendar'!$E$293:$AR$293,'Dvd Calendar'!$AM$286)=0))&gt;0)=0,"",'Dvd Calendar'!$AM$286*1000000000+ISNUMBER('Dvd Calendar'!$AM$289)*100000000+('Dvd Calendar'!$AM$291=SPECIAL_LBL)*10000000+(N('Dvd Calendar'!$AM$285)&gt;0)*(N('Dvd Calendar'!$AM$285)&lt;=VAL_SERIAL)*1000000+26*1000+35))</f>
        <v/>
      </c>
      <c r="FN37" s="39">
        <f>IF(N('Dvd Calendar'!$AN$286)=0,"",IF(('Dvd Calendar'!$AN$286&gt;=GRID_FROM)*('Dvd Calendar'!$AN$286&lt;=GRID_TO)*((('Dvd Calendar'!$AN$286&lt;=VAL_DATE)+(COUNTIF('Dvd Calendar'!$E$293:$AR$293,'Dvd Calendar'!$AN$286)=0))&gt;0)=0,"",'Dvd Calendar'!$AN$286*1000000000+ISNUMBER('Dvd Calendar'!$AN$289)*100000000+('Dvd Calendar'!$AN$291=SPECIAL_LBL)*10000000+(N('Dvd Calendar'!$AN$285)&gt;0)*(N('Dvd Calendar'!$AN$285)&lt;=VAL_SERIAL)*1000000+26*1000+36))</f>
        <v/>
      </c>
      <c r="FO37" s="39">
        <f>IF(N('Dvd Calendar'!$AO$286)=0,"",IF(('Dvd Calendar'!$AO$286&gt;=GRID_FROM)*('Dvd Calendar'!$AO$286&lt;=GRID_TO)*((('Dvd Calendar'!$AO$286&lt;=VAL_DATE)+(COUNTIF('Dvd Calendar'!$E$293:$AR$293,'Dvd Calendar'!$AO$286)=0))&gt;0)=0,"",'Dvd Calendar'!$AO$286*1000000000+ISNUMBER('Dvd Calendar'!$AO$289)*100000000+('Dvd Calendar'!$AO$291=SPECIAL_LBL)*10000000+(N('Dvd Calendar'!$AO$285)&gt;0)*(N('Dvd Calendar'!$AO$285)&lt;=VAL_SERIAL)*1000000+26*1000+37))</f>
        <v/>
      </c>
      <c r="FP37" s="39">
        <f>IF(N('Dvd Calendar'!$AP$286)=0,"",IF(('Dvd Calendar'!$AP$286&gt;=GRID_FROM)*('Dvd Calendar'!$AP$286&lt;=GRID_TO)*((('Dvd Calendar'!$AP$286&lt;=VAL_DATE)+(COUNTIF('Dvd Calendar'!$E$293:$AR$293,'Dvd Calendar'!$AP$286)=0))&gt;0)=0,"",'Dvd Calendar'!$AP$286*1000000000+ISNUMBER('Dvd Calendar'!$AP$289)*100000000+('Dvd Calendar'!$AP$291=SPECIAL_LBL)*10000000+(N('Dvd Calendar'!$AP$285)&gt;0)*(N('Dvd Calendar'!$AP$285)&lt;=VAL_SERIAL)*1000000+26*1000+38))</f>
        <v/>
      </c>
      <c r="FQ37" s="39">
        <f>IF(N('Dvd Calendar'!$AQ$286)=0,"",IF(('Dvd Calendar'!$AQ$286&gt;=GRID_FROM)*('Dvd Calendar'!$AQ$286&lt;=GRID_TO)*((('Dvd Calendar'!$AQ$286&lt;=VAL_DATE)+(COUNTIF('Dvd Calendar'!$E$293:$AR$293,'Dvd Calendar'!$AQ$286)=0))&gt;0)=0,"",'Dvd Calendar'!$AQ$286*1000000000+ISNUMBER('Dvd Calendar'!$AQ$289)*100000000+('Dvd Calendar'!$AQ$291=SPECIAL_LBL)*10000000+(N('Dvd Calendar'!$AQ$285)&gt;0)*(N('Dvd Calendar'!$AQ$285)&lt;=VAL_SERIAL)*1000000+26*1000+39))</f>
        <v/>
      </c>
      <c r="FR37" s="39">
        <f>IF(N('Dvd Calendar'!$AR$286)=0,"",IF(('Dvd Calendar'!$AR$286&gt;=GRID_FROM)*('Dvd Calendar'!$AR$286&lt;=GRID_TO)*((('Dvd Calendar'!$AR$286&lt;=VAL_DATE)+(COUNTIF('Dvd Calendar'!$E$293:$AR$293,'Dvd Calendar'!$AR$286)=0))&gt;0)=0,"",'Dvd Calendar'!$AR$286*1000000000+ISNUMBER('Dvd Calendar'!$AR$289)*100000000+('Dvd Calendar'!$AR$291=SPECIAL_LBL)*10000000+(N('Dvd Calendar'!$AR$285)&gt;0)*(N('Dvd Calendar'!$AR$285)&lt;=VAL_SERIAL)*1000000+26*1000+40))</f>
        <v/>
      </c>
      <c r="FS37" s="39">
        <f>IF(N('Dvd Calendar'!$E$293)=0,"",IF(('Dvd Calendar'!$E$293&gt;=GRID_FROM)*('Dvd Calendar'!$E$293&lt;=GRID_TO)*('Dvd Calendar'!$E$293&gt;VAL_DATE)=0,"",'Dvd Calendar'!$E$293*1000000000+ISNUMBER('Dvd Calendar'!$E$294)*100000000+0*10000000+(N('Dvd Calendar'!$E$292)&gt;0)*(N('Dvd Calendar'!$E$292)&lt;=VAL_SERIAL)*1000000+26*1000+41))</f>
        <v/>
      </c>
      <c r="FT37" s="39">
        <f>IF(N('Dvd Calendar'!$F$293)=0,"",IF(('Dvd Calendar'!$F$293&gt;=GRID_FROM)*('Dvd Calendar'!$F$293&lt;=GRID_TO)*('Dvd Calendar'!$F$293&gt;VAL_DATE)=0,"",'Dvd Calendar'!$F$293*1000000000+ISNUMBER('Dvd Calendar'!$F$294)*100000000+0*10000000+(N('Dvd Calendar'!$F$292)&gt;0)*(N('Dvd Calendar'!$F$292)&lt;=VAL_SERIAL)*1000000+26*1000+42))</f>
        <v/>
      </c>
      <c r="FU37" s="39">
        <f>IF(N('Dvd Calendar'!$G$293)=0,"",IF(('Dvd Calendar'!$G$293&gt;=GRID_FROM)*('Dvd Calendar'!$G$293&lt;=GRID_TO)*('Dvd Calendar'!$G$293&gt;VAL_DATE)=0,"",'Dvd Calendar'!$G$293*1000000000+ISNUMBER('Dvd Calendar'!$G$294)*100000000+0*10000000+(N('Dvd Calendar'!$G$292)&gt;0)*(N('Dvd Calendar'!$G$292)&lt;=VAL_SERIAL)*1000000+26*1000+43))</f>
        <v/>
      </c>
      <c r="FV37" s="39">
        <f>IF(N('Dvd Calendar'!$H$293)=0,"",IF(('Dvd Calendar'!$H$293&gt;=GRID_FROM)*('Dvd Calendar'!$H$293&lt;=GRID_TO)*('Dvd Calendar'!$H$293&gt;VAL_DATE)=0,"",'Dvd Calendar'!$H$293*1000000000+ISNUMBER('Dvd Calendar'!$H$294)*100000000+0*10000000+(N('Dvd Calendar'!$H$292)&gt;0)*(N('Dvd Calendar'!$H$292)&lt;=VAL_SERIAL)*1000000+26*1000+44))</f>
        <v/>
      </c>
      <c r="FW37" s="39">
        <f>IF(N('Dvd Calendar'!$I$293)=0,"",IF(('Dvd Calendar'!$I$293&gt;=GRID_FROM)*('Dvd Calendar'!$I$293&lt;=GRID_TO)*('Dvd Calendar'!$I$293&gt;VAL_DATE)=0,"",'Dvd Calendar'!$I$293*1000000000+ISNUMBER('Dvd Calendar'!$I$294)*100000000+0*10000000+(N('Dvd Calendar'!$I$292)&gt;0)*(N('Dvd Calendar'!$I$292)&lt;=VAL_SERIAL)*1000000+26*1000+45))</f>
        <v/>
      </c>
      <c r="FX37" s="39">
        <f>IF(N('Dvd Calendar'!$J$293)=0,"",IF(('Dvd Calendar'!$J$293&gt;=GRID_FROM)*('Dvd Calendar'!$J$293&lt;=GRID_TO)*('Dvd Calendar'!$J$293&gt;VAL_DATE)=0,"",'Dvd Calendar'!$J$293*1000000000+ISNUMBER('Dvd Calendar'!$J$294)*100000000+0*10000000+(N('Dvd Calendar'!$J$292)&gt;0)*(N('Dvd Calendar'!$J$292)&lt;=VAL_SERIAL)*1000000+26*1000+46))</f>
        <v/>
      </c>
      <c r="FY37" s="39">
        <f>IF(N('Dvd Calendar'!$K$293)=0,"",IF(('Dvd Calendar'!$K$293&gt;=GRID_FROM)*('Dvd Calendar'!$K$293&lt;=GRID_TO)*('Dvd Calendar'!$K$293&gt;VAL_DATE)=0,"",'Dvd Calendar'!$K$293*1000000000+ISNUMBER('Dvd Calendar'!$K$294)*100000000+0*10000000+(N('Dvd Calendar'!$K$292)&gt;0)*(N('Dvd Calendar'!$K$292)&lt;=VAL_SERIAL)*1000000+26*1000+47))</f>
        <v/>
      </c>
      <c r="FZ37" s="39">
        <f>IF(N('Dvd Calendar'!$L$293)=0,"",IF(('Dvd Calendar'!$L$293&gt;=GRID_FROM)*('Dvd Calendar'!$L$293&lt;=GRID_TO)*('Dvd Calendar'!$L$293&gt;VAL_DATE)=0,"",'Dvd Calendar'!$L$293*1000000000+ISNUMBER('Dvd Calendar'!$L$294)*100000000+0*10000000+(N('Dvd Calendar'!$L$292)&gt;0)*(N('Dvd Calendar'!$L$292)&lt;=VAL_SERIAL)*1000000+26*1000+48))</f>
        <v/>
      </c>
      <c r="GA37" s="39">
        <f>IF(N('Dvd Calendar'!$M$293)=0,"",IF(('Dvd Calendar'!$M$293&gt;=GRID_FROM)*('Dvd Calendar'!$M$293&lt;=GRID_TO)*('Dvd Calendar'!$M$293&gt;VAL_DATE)=0,"",'Dvd Calendar'!$M$293*1000000000+ISNUMBER('Dvd Calendar'!$M$294)*100000000+0*10000000+(N('Dvd Calendar'!$M$292)&gt;0)*(N('Dvd Calendar'!$M$292)&lt;=VAL_SERIAL)*1000000+26*1000+49))</f>
        <v/>
      </c>
      <c r="GB37" s="39">
        <f>IF(N('Dvd Calendar'!$N$293)=0,"",IF(('Dvd Calendar'!$N$293&gt;=GRID_FROM)*('Dvd Calendar'!$N$293&lt;=GRID_TO)*('Dvd Calendar'!$N$293&gt;VAL_DATE)=0,"",'Dvd Calendar'!$N$293*1000000000+ISNUMBER('Dvd Calendar'!$N$294)*100000000+0*10000000+(N('Dvd Calendar'!$N$292)&gt;0)*(N('Dvd Calendar'!$N$292)&lt;=VAL_SERIAL)*1000000+26*1000+50))</f>
        <v/>
      </c>
      <c r="GC37" s="39">
        <f>IF(N('Dvd Calendar'!$O$293)=0,"",IF(('Dvd Calendar'!$O$293&gt;=GRID_FROM)*('Dvd Calendar'!$O$293&lt;=GRID_TO)*('Dvd Calendar'!$O$293&gt;VAL_DATE)=0,"",'Dvd Calendar'!$O$293*1000000000+ISNUMBER('Dvd Calendar'!$O$294)*100000000+0*10000000+(N('Dvd Calendar'!$O$292)&gt;0)*(N('Dvd Calendar'!$O$292)&lt;=VAL_SERIAL)*1000000+26*1000+51))</f>
        <v/>
      </c>
      <c r="GD37" s="39">
        <f>IF(N('Dvd Calendar'!$P$293)=0,"",IF(('Dvd Calendar'!$P$293&gt;=GRID_FROM)*('Dvd Calendar'!$P$293&lt;=GRID_TO)*('Dvd Calendar'!$P$293&gt;VAL_DATE)=0,"",'Dvd Calendar'!$P$293*1000000000+ISNUMBER('Dvd Calendar'!$P$294)*100000000+0*10000000+(N('Dvd Calendar'!$P$292)&gt;0)*(N('Dvd Calendar'!$P$292)&lt;=VAL_SERIAL)*1000000+26*1000+52))</f>
        <v/>
      </c>
      <c r="GE37" s="39">
        <f>IF(N('Dvd Calendar'!$Q$293)=0,"",IF(('Dvd Calendar'!$Q$293&gt;=GRID_FROM)*('Dvd Calendar'!$Q$293&lt;=GRID_TO)*('Dvd Calendar'!$Q$293&gt;VAL_DATE)=0,"",'Dvd Calendar'!$Q$293*1000000000+ISNUMBER('Dvd Calendar'!$Q$294)*100000000+0*10000000+(N('Dvd Calendar'!$Q$292)&gt;0)*(N('Dvd Calendar'!$Q$292)&lt;=VAL_SERIAL)*1000000+26*1000+53))</f>
        <v/>
      </c>
      <c r="GF37" s="39">
        <f>IF(N('Dvd Calendar'!$R$293)=0,"",IF(('Dvd Calendar'!$R$293&gt;=GRID_FROM)*('Dvd Calendar'!$R$293&lt;=GRID_TO)*('Dvd Calendar'!$R$293&gt;VAL_DATE)=0,"",'Dvd Calendar'!$R$293*1000000000+ISNUMBER('Dvd Calendar'!$R$294)*100000000+0*10000000+(N('Dvd Calendar'!$R$292)&gt;0)*(N('Dvd Calendar'!$R$292)&lt;=VAL_SERIAL)*1000000+26*1000+54))</f>
        <v/>
      </c>
      <c r="GG37" s="39">
        <f>IF(N('Dvd Calendar'!$S$293)=0,"",IF(('Dvd Calendar'!$S$293&gt;=GRID_FROM)*('Dvd Calendar'!$S$293&lt;=GRID_TO)*('Dvd Calendar'!$S$293&gt;VAL_DATE)=0,"",'Dvd Calendar'!$S$293*1000000000+ISNUMBER('Dvd Calendar'!$S$294)*100000000+0*10000000+(N('Dvd Calendar'!$S$292)&gt;0)*(N('Dvd Calendar'!$S$292)&lt;=VAL_SERIAL)*1000000+26*1000+55))</f>
        <v/>
      </c>
      <c r="GH37" s="39">
        <f>IF(N('Dvd Calendar'!$T$293)=0,"",IF(('Dvd Calendar'!$T$293&gt;=GRID_FROM)*('Dvd Calendar'!$T$293&lt;=GRID_TO)*('Dvd Calendar'!$T$293&gt;VAL_DATE)=0,"",'Dvd Calendar'!$T$293*1000000000+ISNUMBER('Dvd Calendar'!$T$294)*100000000+0*10000000+(N('Dvd Calendar'!$T$292)&gt;0)*(N('Dvd Calendar'!$T$292)&lt;=VAL_SERIAL)*1000000+26*1000+56))</f>
        <v/>
      </c>
      <c r="GI37" s="39">
        <f>IF(N('Dvd Calendar'!$U$293)=0,"",IF(('Dvd Calendar'!$U$293&gt;=GRID_FROM)*('Dvd Calendar'!$U$293&lt;=GRID_TO)*('Dvd Calendar'!$U$293&gt;VAL_DATE)=0,"",'Dvd Calendar'!$U$293*1000000000+ISNUMBER('Dvd Calendar'!$U$294)*100000000+0*10000000+(N('Dvd Calendar'!$U$292)&gt;0)*(N('Dvd Calendar'!$U$292)&lt;=VAL_SERIAL)*1000000+26*1000+57))</f>
        <v/>
      </c>
      <c r="GJ37" s="39">
        <f>IF(N('Dvd Calendar'!$V$293)=0,"",IF(('Dvd Calendar'!$V$293&gt;=GRID_FROM)*('Dvd Calendar'!$V$293&lt;=GRID_TO)*('Dvd Calendar'!$V$293&gt;VAL_DATE)=0,"",'Dvd Calendar'!$V$293*1000000000+ISNUMBER('Dvd Calendar'!$V$294)*100000000+0*10000000+(N('Dvd Calendar'!$V$292)&gt;0)*(N('Dvd Calendar'!$V$292)&lt;=VAL_SERIAL)*1000000+26*1000+58))</f>
        <v/>
      </c>
      <c r="GK37" s="39">
        <f>IF(N('Dvd Calendar'!$W$293)=0,"",IF(('Dvd Calendar'!$W$293&gt;=GRID_FROM)*('Dvd Calendar'!$W$293&lt;=GRID_TO)*('Dvd Calendar'!$W$293&gt;VAL_DATE)=0,"",'Dvd Calendar'!$W$293*1000000000+ISNUMBER('Dvd Calendar'!$W$294)*100000000+0*10000000+(N('Dvd Calendar'!$W$292)&gt;0)*(N('Dvd Calendar'!$W$292)&lt;=VAL_SERIAL)*1000000+26*1000+59))</f>
        <v/>
      </c>
      <c r="GL37" s="39">
        <f>IF(N('Dvd Calendar'!$X$293)=0,"",IF(('Dvd Calendar'!$X$293&gt;=GRID_FROM)*('Dvd Calendar'!$X$293&lt;=GRID_TO)*('Dvd Calendar'!$X$293&gt;VAL_DATE)=0,"",'Dvd Calendar'!$X$293*1000000000+ISNUMBER('Dvd Calendar'!$X$294)*100000000+0*10000000+(N('Dvd Calendar'!$X$292)&gt;0)*(N('Dvd Calendar'!$X$292)&lt;=VAL_SERIAL)*1000000+26*1000+60))</f>
        <v/>
      </c>
      <c r="GM37" s="39">
        <f>IF(N('Dvd Calendar'!$Y$293)=0,"",IF(('Dvd Calendar'!$Y$293&gt;=GRID_FROM)*('Dvd Calendar'!$Y$293&lt;=GRID_TO)*('Dvd Calendar'!$Y$293&gt;VAL_DATE)=0,"",'Dvd Calendar'!$Y$293*1000000000+ISNUMBER('Dvd Calendar'!$Y$294)*100000000+0*10000000+(N('Dvd Calendar'!$Y$292)&gt;0)*(N('Dvd Calendar'!$Y$292)&lt;=VAL_SERIAL)*1000000+26*1000+61))</f>
        <v/>
      </c>
      <c r="GN37" s="39">
        <f>IF(N('Dvd Calendar'!$Z$293)=0,"",IF(('Dvd Calendar'!$Z$293&gt;=GRID_FROM)*('Dvd Calendar'!$Z$293&lt;=GRID_TO)*('Dvd Calendar'!$Z$293&gt;VAL_DATE)=0,"",'Dvd Calendar'!$Z$293*1000000000+ISNUMBER('Dvd Calendar'!$Z$294)*100000000+0*10000000+(N('Dvd Calendar'!$Z$292)&gt;0)*(N('Dvd Calendar'!$Z$292)&lt;=VAL_SERIAL)*1000000+26*1000+62))</f>
        <v/>
      </c>
      <c r="GO37" s="39">
        <f>IF(N('Dvd Calendar'!$AA$293)=0,"",IF(('Dvd Calendar'!$AA$293&gt;=GRID_FROM)*('Dvd Calendar'!$AA$293&lt;=GRID_TO)*('Dvd Calendar'!$AA$293&gt;VAL_DATE)=0,"",'Dvd Calendar'!$AA$293*1000000000+ISNUMBER('Dvd Calendar'!$AA$294)*100000000+0*10000000+(N('Dvd Calendar'!$AA$292)&gt;0)*(N('Dvd Calendar'!$AA$292)&lt;=VAL_SERIAL)*1000000+26*1000+63))</f>
        <v/>
      </c>
      <c r="GP37" s="39">
        <f>IF(N('Dvd Calendar'!$AB$293)=0,"",IF(('Dvd Calendar'!$AB$293&gt;=GRID_FROM)*('Dvd Calendar'!$AB$293&lt;=GRID_TO)*('Dvd Calendar'!$AB$293&gt;VAL_DATE)=0,"",'Dvd Calendar'!$AB$293*1000000000+ISNUMBER('Dvd Calendar'!$AB$294)*100000000+0*10000000+(N('Dvd Calendar'!$AB$292)&gt;0)*(N('Dvd Calendar'!$AB$292)&lt;=VAL_SERIAL)*1000000+26*1000+64))</f>
        <v/>
      </c>
      <c r="GQ37" s="39">
        <f>IF(N('Dvd Calendar'!$AC$293)=0,"",IF(('Dvd Calendar'!$AC$293&gt;=GRID_FROM)*('Dvd Calendar'!$AC$293&lt;=GRID_TO)*('Dvd Calendar'!$AC$293&gt;VAL_DATE)=0,"",'Dvd Calendar'!$AC$293*1000000000+ISNUMBER('Dvd Calendar'!$AC$294)*100000000+0*10000000+(N('Dvd Calendar'!$AC$292)&gt;0)*(N('Dvd Calendar'!$AC$292)&lt;=VAL_SERIAL)*1000000+26*1000+65))</f>
        <v/>
      </c>
    </row>
    <row r="38">
      <c r="B38" s="2">
        <f>IF(HSI!$C$33="","",HSI!$C$33)</f>
        <v/>
      </c>
      <c r="C38" s="110">
        <f>IF(EE38="","",IF(ISNUMBER('Dvd Calendar'!$E$300)=FALSE,"",IF((('Dvd Calendar'!$E$302=TYPE1)*(TYPE1&lt;&gt;"")+('Dvd Calendar'!$E$302=TYPE2)*(TYPE2&lt;&gt;"")+('Dvd Calendar'!$E$302=TYPE3)*(TYPE3&lt;&gt;"")+('Dvd Calendar'!$E$302=TYPE4)*(TYPE4&lt;&gt;"")+('Dvd Calendar'!$E$302=SPECIAL_LBL)*(INC_SPECIALS="Y"))=0,"",'Dvd Calendar'!$E$300)))</f>
        <v/>
      </c>
      <c r="D38" s="110">
        <f>IF(EF38="","",IF(ISNUMBER('Dvd Calendar'!$F$300)=FALSE,"",IF((('Dvd Calendar'!$F$302=TYPE1)*(TYPE1&lt;&gt;"")+('Dvd Calendar'!$F$302=TYPE2)*(TYPE2&lt;&gt;"")+('Dvd Calendar'!$F$302=TYPE3)*(TYPE3&lt;&gt;"")+('Dvd Calendar'!$F$302=TYPE4)*(TYPE4&lt;&gt;"")+('Dvd Calendar'!$F$302=SPECIAL_LBL)*(INC_SPECIALS="Y"))=0,"",'Dvd Calendar'!$F$300)))</f>
        <v/>
      </c>
      <c r="E38" s="110">
        <f>IF(EG38="","",IF(ISNUMBER('Dvd Calendar'!$G$300)=FALSE,"",IF((('Dvd Calendar'!$G$302=TYPE1)*(TYPE1&lt;&gt;"")+('Dvd Calendar'!$G$302=TYPE2)*(TYPE2&lt;&gt;"")+('Dvd Calendar'!$G$302=TYPE3)*(TYPE3&lt;&gt;"")+('Dvd Calendar'!$G$302=TYPE4)*(TYPE4&lt;&gt;"")+('Dvd Calendar'!$G$302=SPECIAL_LBL)*(INC_SPECIALS="Y"))=0,"",'Dvd Calendar'!$G$300)))</f>
        <v/>
      </c>
      <c r="F38" s="110">
        <f>IF(EH38="","",IF(ISNUMBER('Dvd Calendar'!$H$300)=FALSE,"",IF((('Dvd Calendar'!$H$302=TYPE1)*(TYPE1&lt;&gt;"")+('Dvd Calendar'!$H$302=TYPE2)*(TYPE2&lt;&gt;"")+('Dvd Calendar'!$H$302=TYPE3)*(TYPE3&lt;&gt;"")+('Dvd Calendar'!$H$302=TYPE4)*(TYPE4&lt;&gt;"")+('Dvd Calendar'!$H$302=SPECIAL_LBL)*(INC_SPECIALS="Y"))=0,"",'Dvd Calendar'!$H$300)))</f>
        <v/>
      </c>
      <c r="G38" s="110">
        <f>IF(EI38="","",IF(ISNUMBER('Dvd Calendar'!$I$300)=FALSE,"",IF((('Dvd Calendar'!$I$302=TYPE1)*(TYPE1&lt;&gt;"")+('Dvd Calendar'!$I$302=TYPE2)*(TYPE2&lt;&gt;"")+('Dvd Calendar'!$I$302=TYPE3)*(TYPE3&lt;&gt;"")+('Dvd Calendar'!$I$302=TYPE4)*(TYPE4&lt;&gt;"")+('Dvd Calendar'!$I$302=SPECIAL_LBL)*(INC_SPECIALS="Y"))=0,"",'Dvd Calendar'!$I$300)))</f>
        <v/>
      </c>
      <c r="H38" s="110">
        <f>IF(EJ38="","",IF(ISNUMBER('Dvd Calendar'!$J$300)=FALSE,"",IF((('Dvd Calendar'!$J$302=TYPE1)*(TYPE1&lt;&gt;"")+('Dvd Calendar'!$J$302=TYPE2)*(TYPE2&lt;&gt;"")+('Dvd Calendar'!$J$302=TYPE3)*(TYPE3&lt;&gt;"")+('Dvd Calendar'!$J$302=TYPE4)*(TYPE4&lt;&gt;"")+('Dvd Calendar'!$J$302=SPECIAL_LBL)*(INC_SPECIALS="Y"))=0,"",'Dvd Calendar'!$J$300)))</f>
        <v/>
      </c>
      <c r="I38" s="110">
        <f>IF(EK38="","",IF(ISNUMBER('Dvd Calendar'!$K$300)=FALSE,"",IF((('Dvd Calendar'!$K$302=TYPE1)*(TYPE1&lt;&gt;"")+('Dvd Calendar'!$K$302=TYPE2)*(TYPE2&lt;&gt;"")+('Dvd Calendar'!$K$302=TYPE3)*(TYPE3&lt;&gt;"")+('Dvd Calendar'!$K$302=TYPE4)*(TYPE4&lt;&gt;"")+('Dvd Calendar'!$K$302=SPECIAL_LBL)*(INC_SPECIALS="Y"))=0,"",'Dvd Calendar'!$K$300)))</f>
        <v/>
      </c>
      <c r="J38" s="110">
        <f>IF(EL38="","",IF(ISNUMBER('Dvd Calendar'!$L$300)=FALSE,"",IF((('Dvd Calendar'!$L$302=TYPE1)*(TYPE1&lt;&gt;"")+('Dvd Calendar'!$L$302=TYPE2)*(TYPE2&lt;&gt;"")+('Dvd Calendar'!$L$302=TYPE3)*(TYPE3&lt;&gt;"")+('Dvd Calendar'!$L$302=TYPE4)*(TYPE4&lt;&gt;"")+('Dvd Calendar'!$L$302=SPECIAL_LBL)*(INC_SPECIALS="Y"))=0,"",'Dvd Calendar'!$L$300)))</f>
        <v/>
      </c>
      <c r="K38" s="110">
        <f>IF(EM38="","",IF(ISNUMBER('Dvd Calendar'!$M$300)=FALSE,"",IF((('Dvd Calendar'!$M$302=TYPE1)*(TYPE1&lt;&gt;"")+('Dvd Calendar'!$M$302=TYPE2)*(TYPE2&lt;&gt;"")+('Dvd Calendar'!$M$302=TYPE3)*(TYPE3&lt;&gt;"")+('Dvd Calendar'!$M$302=TYPE4)*(TYPE4&lt;&gt;"")+('Dvd Calendar'!$M$302=SPECIAL_LBL)*(INC_SPECIALS="Y"))=0,"",'Dvd Calendar'!$M$300)))</f>
        <v/>
      </c>
      <c r="L38" s="110">
        <f>IF(EN38="","",IF(ISNUMBER('Dvd Calendar'!$N$300)=FALSE,"",IF((('Dvd Calendar'!$N$302=TYPE1)*(TYPE1&lt;&gt;"")+('Dvd Calendar'!$N$302=TYPE2)*(TYPE2&lt;&gt;"")+('Dvd Calendar'!$N$302=TYPE3)*(TYPE3&lt;&gt;"")+('Dvd Calendar'!$N$302=TYPE4)*(TYPE4&lt;&gt;"")+('Dvd Calendar'!$N$302=SPECIAL_LBL)*(INC_SPECIALS="Y"))=0,"",'Dvd Calendar'!$N$300)))</f>
        <v/>
      </c>
      <c r="M38" s="110">
        <f>IF(EO38="","",IF(ISNUMBER('Dvd Calendar'!$O$300)=FALSE,"",IF((('Dvd Calendar'!$O$302=TYPE1)*(TYPE1&lt;&gt;"")+('Dvd Calendar'!$O$302=TYPE2)*(TYPE2&lt;&gt;"")+('Dvd Calendar'!$O$302=TYPE3)*(TYPE3&lt;&gt;"")+('Dvd Calendar'!$O$302=TYPE4)*(TYPE4&lt;&gt;"")+('Dvd Calendar'!$O$302=SPECIAL_LBL)*(INC_SPECIALS="Y"))=0,"",'Dvd Calendar'!$O$300)))</f>
        <v/>
      </c>
      <c r="N38" s="110">
        <f>IF(EP38="","",IF(ISNUMBER('Dvd Calendar'!$P$300)=FALSE,"",IF((('Dvd Calendar'!$P$302=TYPE1)*(TYPE1&lt;&gt;"")+('Dvd Calendar'!$P$302=TYPE2)*(TYPE2&lt;&gt;"")+('Dvd Calendar'!$P$302=TYPE3)*(TYPE3&lt;&gt;"")+('Dvd Calendar'!$P$302=TYPE4)*(TYPE4&lt;&gt;"")+('Dvd Calendar'!$P$302=SPECIAL_LBL)*(INC_SPECIALS="Y"))=0,"",'Dvd Calendar'!$P$300)))</f>
        <v/>
      </c>
      <c r="O38" s="110">
        <f>IF(EQ38="","",IF(ISNUMBER('Dvd Calendar'!$Q$300)=FALSE,"",IF((('Dvd Calendar'!$Q$302=TYPE1)*(TYPE1&lt;&gt;"")+('Dvd Calendar'!$Q$302=TYPE2)*(TYPE2&lt;&gt;"")+('Dvd Calendar'!$Q$302=TYPE3)*(TYPE3&lt;&gt;"")+('Dvd Calendar'!$Q$302=TYPE4)*(TYPE4&lt;&gt;"")+('Dvd Calendar'!$Q$302=SPECIAL_LBL)*(INC_SPECIALS="Y"))=0,"",'Dvd Calendar'!$Q$300)))</f>
        <v/>
      </c>
      <c r="P38" s="110">
        <f>IF(ER38="","",IF(ISNUMBER('Dvd Calendar'!$R$300)=FALSE,"",IF((('Dvd Calendar'!$R$302=TYPE1)*(TYPE1&lt;&gt;"")+('Dvd Calendar'!$R$302=TYPE2)*(TYPE2&lt;&gt;"")+('Dvd Calendar'!$R$302=TYPE3)*(TYPE3&lt;&gt;"")+('Dvd Calendar'!$R$302=TYPE4)*(TYPE4&lt;&gt;"")+('Dvd Calendar'!$R$302=SPECIAL_LBL)*(INC_SPECIALS="Y"))=0,"",'Dvd Calendar'!$R$300)))</f>
        <v/>
      </c>
      <c r="Q38" s="110">
        <f>IF(ES38="","",IF(ISNUMBER('Dvd Calendar'!$S$300)=FALSE,"",IF((('Dvd Calendar'!$S$302=TYPE1)*(TYPE1&lt;&gt;"")+('Dvd Calendar'!$S$302=TYPE2)*(TYPE2&lt;&gt;"")+('Dvd Calendar'!$S$302=TYPE3)*(TYPE3&lt;&gt;"")+('Dvd Calendar'!$S$302=TYPE4)*(TYPE4&lt;&gt;"")+('Dvd Calendar'!$S$302=SPECIAL_LBL)*(INC_SPECIALS="Y"))=0,"",'Dvd Calendar'!$S$300)))</f>
        <v/>
      </c>
      <c r="R38" s="110">
        <f>IF(ET38="","",IF(ISNUMBER('Dvd Calendar'!$T$300)=FALSE,"",IF((('Dvd Calendar'!$T$302=TYPE1)*(TYPE1&lt;&gt;"")+('Dvd Calendar'!$T$302=TYPE2)*(TYPE2&lt;&gt;"")+('Dvd Calendar'!$T$302=TYPE3)*(TYPE3&lt;&gt;"")+('Dvd Calendar'!$T$302=TYPE4)*(TYPE4&lt;&gt;"")+('Dvd Calendar'!$T$302=SPECIAL_LBL)*(INC_SPECIALS="Y"))=0,"",'Dvd Calendar'!$T$300)))</f>
        <v/>
      </c>
      <c r="S38" s="110">
        <f>IF(EU38="","",IF(ISNUMBER('Dvd Calendar'!$U$300)=FALSE,"",IF((('Dvd Calendar'!$U$302=TYPE1)*(TYPE1&lt;&gt;"")+('Dvd Calendar'!$U$302=TYPE2)*(TYPE2&lt;&gt;"")+('Dvd Calendar'!$U$302=TYPE3)*(TYPE3&lt;&gt;"")+('Dvd Calendar'!$U$302=TYPE4)*(TYPE4&lt;&gt;"")+('Dvd Calendar'!$U$302=SPECIAL_LBL)*(INC_SPECIALS="Y"))=0,"",'Dvd Calendar'!$U$300)))</f>
        <v/>
      </c>
      <c r="T38" s="110">
        <f>IF(EV38="","",IF(ISNUMBER('Dvd Calendar'!$V$300)=FALSE,"",IF((('Dvd Calendar'!$V$302=TYPE1)*(TYPE1&lt;&gt;"")+('Dvd Calendar'!$V$302=TYPE2)*(TYPE2&lt;&gt;"")+('Dvd Calendar'!$V$302=TYPE3)*(TYPE3&lt;&gt;"")+('Dvd Calendar'!$V$302=TYPE4)*(TYPE4&lt;&gt;"")+('Dvd Calendar'!$V$302=SPECIAL_LBL)*(INC_SPECIALS="Y"))=0,"",'Dvd Calendar'!$V$300)))</f>
        <v/>
      </c>
      <c r="U38" s="110">
        <f>IF(EW38="","",IF(ISNUMBER('Dvd Calendar'!$W$300)=FALSE,"",IF((('Dvd Calendar'!$W$302=TYPE1)*(TYPE1&lt;&gt;"")+('Dvd Calendar'!$W$302=TYPE2)*(TYPE2&lt;&gt;"")+('Dvd Calendar'!$W$302=TYPE3)*(TYPE3&lt;&gt;"")+('Dvd Calendar'!$W$302=TYPE4)*(TYPE4&lt;&gt;"")+('Dvd Calendar'!$W$302=SPECIAL_LBL)*(INC_SPECIALS="Y"))=0,"",'Dvd Calendar'!$W$300)))</f>
        <v/>
      </c>
      <c r="V38" s="110">
        <f>IF(EX38="","",IF(ISNUMBER('Dvd Calendar'!$X$300)=FALSE,"",IF((('Dvd Calendar'!$X$302=TYPE1)*(TYPE1&lt;&gt;"")+('Dvd Calendar'!$X$302=TYPE2)*(TYPE2&lt;&gt;"")+('Dvd Calendar'!$X$302=TYPE3)*(TYPE3&lt;&gt;"")+('Dvd Calendar'!$X$302=TYPE4)*(TYPE4&lt;&gt;"")+('Dvd Calendar'!$X$302=SPECIAL_LBL)*(INC_SPECIALS="Y"))=0,"",'Dvd Calendar'!$X$300)))</f>
        <v/>
      </c>
      <c r="W38" s="110">
        <f>IF(EY38="","",IF(ISNUMBER('Dvd Calendar'!$Y$300)=FALSE,"",IF((('Dvd Calendar'!$Y$302=TYPE1)*(TYPE1&lt;&gt;"")+('Dvd Calendar'!$Y$302=TYPE2)*(TYPE2&lt;&gt;"")+('Dvd Calendar'!$Y$302=TYPE3)*(TYPE3&lt;&gt;"")+('Dvd Calendar'!$Y$302=TYPE4)*(TYPE4&lt;&gt;"")+('Dvd Calendar'!$Y$302=SPECIAL_LBL)*(INC_SPECIALS="Y"))=0,"",'Dvd Calendar'!$Y$300)))</f>
        <v/>
      </c>
      <c r="X38" s="110">
        <f>IF(EZ38="","",IF(ISNUMBER('Dvd Calendar'!$Z$300)=FALSE,"",IF((('Dvd Calendar'!$Z$302=TYPE1)*(TYPE1&lt;&gt;"")+('Dvd Calendar'!$Z$302=TYPE2)*(TYPE2&lt;&gt;"")+('Dvd Calendar'!$Z$302=TYPE3)*(TYPE3&lt;&gt;"")+('Dvd Calendar'!$Z$302=TYPE4)*(TYPE4&lt;&gt;"")+('Dvd Calendar'!$Z$302=SPECIAL_LBL)*(INC_SPECIALS="Y"))=0,"",'Dvd Calendar'!$Z$300)))</f>
        <v/>
      </c>
      <c r="Y38" s="110">
        <f>IF(FA38="","",IF(ISNUMBER('Dvd Calendar'!$AA$300)=FALSE,"",IF((('Dvd Calendar'!$AA$302=TYPE1)*(TYPE1&lt;&gt;"")+('Dvd Calendar'!$AA$302=TYPE2)*(TYPE2&lt;&gt;"")+('Dvd Calendar'!$AA$302=TYPE3)*(TYPE3&lt;&gt;"")+('Dvd Calendar'!$AA$302=TYPE4)*(TYPE4&lt;&gt;"")+('Dvd Calendar'!$AA$302=SPECIAL_LBL)*(INC_SPECIALS="Y"))=0,"",'Dvd Calendar'!$AA$300)))</f>
        <v/>
      </c>
      <c r="Z38" s="110">
        <f>IF(FB38="","",IF(ISNUMBER('Dvd Calendar'!$AB$300)=FALSE,"",IF((('Dvd Calendar'!$AB$302=TYPE1)*(TYPE1&lt;&gt;"")+('Dvd Calendar'!$AB$302=TYPE2)*(TYPE2&lt;&gt;"")+('Dvd Calendar'!$AB$302=TYPE3)*(TYPE3&lt;&gt;"")+('Dvd Calendar'!$AB$302=TYPE4)*(TYPE4&lt;&gt;"")+('Dvd Calendar'!$AB$302=SPECIAL_LBL)*(INC_SPECIALS="Y"))=0,"",'Dvd Calendar'!$AB$300)))</f>
        <v/>
      </c>
      <c r="AA38" s="110">
        <f>IF(FC38="","",IF(ISNUMBER('Dvd Calendar'!$AC$300)=FALSE,"",IF((('Dvd Calendar'!$AC$302=TYPE1)*(TYPE1&lt;&gt;"")+('Dvd Calendar'!$AC$302=TYPE2)*(TYPE2&lt;&gt;"")+('Dvd Calendar'!$AC$302=TYPE3)*(TYPE3&lt;&gt;"")+('Dvd Calendar'!$AC$302=TYPE4)*(TYPE4&lt;&gt;"")+('Dvd Calendar'!$AC$302=SPECIAL_LBL)*(INC_SPECIALS="Y"))=0,"",'Dvd Calendar'!$AC$300)))</f>
        <v/>
      </c>
      <c r="AB38" s="110">
        <f>IF(FD38="","",IF(ISNUMBER('Dvd Calendar'!$AD$300)=FALSE,"",IF((('Dvd Calendar'!$AD$302=TYPE1)*(TYPE1&lt;&gt;"")+('Dvd Calendar'!$AD$302=TYPE2)*(TYPE2&lt;&gt;"")+('Dvd Calendar'!$AD$302=TYPE3)*(TYPE3&lt;&gt;"")+('Dvd Calendar'!$AD$302=TYPE4)*(TYPE4&lt;&gt;"")+('Dvd Calendar'!$AD$302=SPECIAL_LBL)*(INC_SPECIALS="Y"))=0,"",'Dvd Calendar'!$AD$300)))</f>
        <v/>
      </c>
      <c r="AC38" s="110">
        <f>IF(FE38="","",IF(ISNUMBER('Dvd Calendar'!$AE$300)=FALSE,"",IF((('Dvd Calendar'!$AE$302=TYPE1)*(TYPE1&lt;&gt;"")+('Dvd Calendar'!$AE$302=TYPE2)*(TYPE2&lt;&gt;"")+('Dvd Calendar'!$AE$302=TYPE3)*(TYPE3&lt;&gt;"")+('Dvd Calendar'!$AE$302=TYPE4)*(TYPE4&lt;&gt;"")+('Dvd Calendar'!$AE$302=SPECIAL_LBL)*(INC_SPECIALS="Y"))=0,"",'Dvd Calendar'!$AE$300)))</f>
        <v/>
      </c>
      <c r="AD38" s="110">
        <f>IF(FF38="","",IF(ISNUMBER('Dvd Calendar'!$AF$300)=FALSE,"",IF((('Dvd Calendar'!$AF$302=TYPE1)*(TYPE1&lt;&gt;"")+('Dvd Calendar'!$AF$302=TYPE2)*(TYPE2&lt;&gt;"")+('Dvd Calendar'!$AF$302=TYPE3)*(TYPE3&lt;&gt;"")+('Dvd Calendar'!$AF$302=TYPE4)*(TYPE4&lt;&gt;"")+('Dvd Calendar'!$AF$302=SPECIAL_LBL)*(INC_SPECIALS="Y"))=0,"",'Dvd Calendar'!$AF$300)))</f>
        <v/>
      </c>
      <c r="AE38" s="110">
        <f>IF(FG38="","",IF(ISNUMBER('Dvd Calendar'!$AG$300)=FALSE,"",IF((('Dvd Calendar'!$AG$302=TYPE1)*(TYPE1&lt;&gt;"")+('Dvd Calendar'!$AG$302=TYPE2)*(TYPE2&lt;&gt;"")+('Dvd Calendar'!$AG$302=TYPE3)*(TYPE3&lt;&gt;"")+('Dvd Calendar'!$AG$302=TYPE4)*(TYPE4&lt;&gt;"")+('Dvd Calendar'!$AG$302=SPECIAL_LBL)*(INC_SPECIALS="Y"))=0,"",'Dvd Calendar'!$AG$300)))</f>
        <v/>
      </c>
      <c r="AF38" s="110">
        <f>IF(FH38="","",IF(ISNUMBER('Dvd Calendar'!$AH$300)=FALSE,"",IF((('Dvd Calendar'!$AH$302=TYPE1)*(TYPE1&lt;&gt;"")+('Dvd Calendar'!$AH$302=TYPE2)*(TYPE2&lt;&gt;"")+('Dvd Calendar'!$AH$302=TYPE3)*(TYPE3&lt;&gt;"")+('Dvd Calendar'!$AH$302=TYPE4)*(TYPE4&lt;&gt;"")+('Dvd Calendar'!$AH$302=SPECIAL_LBL)*(INC_SPECIALS="Y"))=0,"",'Dvd Calendar'!$AH$300)))</f>
        <v/>
      </c>
      <c r="AG38" s="110">
        <f>IF(FI38="","",IF(ISNUMBER('Dvd Calendar'!$AI$300)=FALSE,"",IF((('Dvd Calendar'!$AI$302=TYPE1)*(TYPE1&lt;&gt;"")+('Dvd Calendar'!$AI$302=TYPE2)*(TYPE2&lt;&gt;"")+('Dvd Calendar'!$AI$302=TYPE3)*(TYPE3&lt;&gt;"")+('Dvd Calendar'!$AI$302=TYPE4)*(TYPE4&lt;&gt;"")+('Dvd Calendar'!$AI$302=SPECIAL_LBL)*(INC_SPECIALS="Y"))=0,"",'Dvd Calendar'!$AI$300)))</f>
        <v/>
      </c>
      <c r="AH38" s="110">
        <f>IF(FJ38="","",IF(ISNUMBER('Dvd Calendar'!$AJ$300)=FALSE,"",IF((('Dvd Calendar'!$AJ$302=TYPE1)*(TYPE1&lt;&gt;"")+('Dvd Calendar'!$AJ$302=TYPE2)*(TYPE2&lt;&gt;"")+('Dvd Calendar'!$AJ$302=TYPE3)*(TYPE3&lt;&gt;"")+('Dvd Calendar'!$AJ$302=TYPE4)*(TYPE4&lt;&gt;"")+('Dvd Calendar'!$AJ$302=SPECIAL_LBL)*(INC_SPECIALS="Y"))=0,"",'Dvd Calendar'!$AJ$300)))</f>
        <v/>
      </c>
      <c r="AI38" s="110">
        <f>IF(FK38="","",IF(ISNUMBER('Dvd Calendar'!$AK$300)=FALSE,"",IF((('Dvd Calendar'!$AK$302=TYPE1)*(TYPE1&lt;&gt;"")+('Dvd Calendar'!$AK$302=TYPE2)*(TYPE2&lt;&gt;"")+('Dvd Calendar'!$AK$302=TYPE3)*(TYPE3&lt;&gt;"")+('Dvd Calendar'!$AK$302=TYPE4)*(TYPE4&lt;&gt;"")+('Dvd Calendar'!$AK$302=SPECIAL_LBL)*(INC_SPECIALS="Y"))=0,"",'Dvd Calendar'!$AK$300)))</f>
        <v/>
      </c>
      <c r="AJ38" s="110">
        <f>IF(FL38="","",IF(ISNUMBER('Dvd Calendar'!$AL$300)=FALSE,"",IF((('Dvd Calendar'!$AL$302=TYPE1)*(TYPE1&lt;&gt;"")+('Dvd Calendar'!$AL$302=TYPE2)*(TYPE2&lt;&gt;"")+('Dvd Calendar'!$AL$302=TYPE3)*(TYPE3&lt;&gt;"")+('Dvd Calendar'!$AL$302=TYPE4)*(TYPE4&lt;&gt;"")+('Dvd Calendar'!$AL$302=SPECIAL_LBL)*(INC_SPECIALS="Y"))=0,"",'Dvd Calendar'!$AL$300)))</f>
        <v/>
      </c>
      <c r="AK38" s="110">
        <f>IF(FM38="","",IF(ISNUMBER('Dvd Calendar'!$AM$300)=FALSE,"",IF((('Dvd Calendar'!$AM$302=TYPE1)*(TYPE1&lt;&gt;"")+('Dvd Calendar'!$AM$302=TYPE2)*(TYPE2&lt;&gt;"")+('Dvd Calendar'!$AM$302=TYPE3)*(TYPE3&lt;&gt;"")+('Dvd Calendar'!$AM$302=TYPE4)*(TYPE4&lt;&gt;"")+('Dvd Calendar'!$AM$302=SPECIAL_LBL)*(INC_SPECIALS="Y"))=0,"",'Dvd Calendar'!$AM$300)))</f>
        <v/>
      </c>
      <c r="AL38" s="110">
        <f>IF(FN38="","",IF(ISNUMBER('Dvd Calendar'!$AN$300)=FALSE,"",IF((('Dvd Calendar'!$AN$302=TYPE1)*(TYPE1&lt;&gt;"")+('Dvd Calendar'!$AN$302=TYPE2)*(TYPE2&lt;&gt;"")+('Dvd Calendar'!$AN$302=TYPE3)*(TYPE3&lt;&gt;"")+('Dvd Calendar'!$AN$302=TYPE4)*(TYPE4&lt;&gt;"")+('Dvd Calendar'!$AN$302=SPECIAL_LBL)*(INC_SPECIALS="Y"))=0,"",'Dvd Calendar'!$AN$300)))</f>
        <v/>
      </c>
      <c r="AM38" s="110">
        <f>IF(FO38="","",IF(ISNUMBER('Dvd Calendar'!$AO$300)=FALSE,"",IF((('Dvd Calendar'!$AO$302=TYPE1)*(TYPE1&lt;&gt;"")+('Dvd Calendar'!$AO$302=TYPE2)*(TYPE2&lt;&gt;"")+('Dvd Calendar'!$AO$302=TYPE3)*(TYPE3&lt;&gt;"")+('Dvd Calendar'!$AO$302=TYPE4)*(TYPE4&lt;&gt;"")+('Dvd Calendar'!$AO$302=SPECIAL_LBL)*(INC_SPECIALS="Y"))=0,"",'Dvd Calendar'!$AO$300)))</f>
        <v/>
      </c>
      <c r="AN38" s="110">
        <f>IF(FP38="","",IF(ISNUMBER('Dvd Calendar'!$AP$300)=FALSE,"",IF((('Dvd Calendar'!$AP$302=TYPE1)*(TYPE1&lt;&gt;"")+('Dvd Calendar'!$AP$302=TYPE2)*(TYPE2&lt;&gt;"")+('Dvd Calendar'!$AP$302=TYPE3)*(TYPE3&lt;&gt;"")+('Dvd Calendar'!$AP$302=TYPE4)*(TYPE4&lt;&gt;"")+('Dvd Calendar'!$AP$302=SPECIAL_LBL)*(INC_SPECIALS="Y"))=0,"",'Dvd Calendar'!$AP$300)))</f>
        <v/>
      </c>
      <c r="AO38" s="110">
        <f>IF(FQ38="","",IF(ISNUMBER('Dvd Calendar'!$AQ$300)=FALSE,"",IF((('Dvd Calendar'!$AQ$302=TYPE1)*(TYPE1&lt;&gt;"")+('Dvd Calendar'!$AQ$302=TYPE2)*(TYPE2&lt;&gt;"")+('Dvd Calendar'!$AQ$302=TYPE3)*(TYPE3&lt;&gt;"")+('Dvd Calendar'!$AQ$302=TYPE4)*(TYPE4&lt;&gt;"")+('Dvd Calendar'!$AQ$302=SPECIAL_LBL)*(INC_SPECIALS="Y"))=0,"",'Dvd Calendar'!$AQ$300)))</f>
        <v/>
      </c>
      <c r="AP38" s="110">
        <f>IF(FR38="","",IF(ISNUMBER('Dvd Calendar'!$AR$300)=FALSE,"",IF((('Dvd Calendar'!$AR$302=TYPE1)*(TYPE1&lt;&gt;"")+('Dvd Calendar'!$AR$302=TYPE2)*(TYPE2&lt;&gt;"")+('Dvd Calendar'!$AR$302=TYPE3)*(TYPE3&lt;&gt;"")+('Dvd Calendar'!$AR$302=TYPE4)*(TYPE4&lt;&gt;"")+('Dvd Calendar'!$AR$302=SPECIAL_LBL)*(INC_SPECIALS="Y"))=0,"",'Dvd Calendar'!$AR$300)))</f>
        <v/>
      </c>
      <c r="AQ38" s="110">
        <f>IF(FS38="","",IF(ISNUMBER('Dvd Calendar'!$E$305)=FALSE,"",'Dvd Calendar'!$E$305))</f>
        <v/>
      </c>
      <c r="AR38" s="110">
        <f>IF(FT38="","",IF(ISNUMBER('Dvd Calendar'!$F$305)=FALSE,"",'Dvd Calendar'!$F$305))</f>
        <v/>
      </c>
      <c r="AS38" s="110">
        <f>IF(FU38="","",IF(ISNUMBER('Dvd Calendar'!$G$305)=FALSE,"",'Dvd Calendar'!$G$305))</f>
        <v/>
      </c>
      <c r="AT38" s="110">
        <f>IF(FV38="","",IF(ISNUMBER('Dvd Calendar'!$H$305)=FALSE,"",'Dvd Calendar'!$H$305))</f>
        <v/>
      </c>
      <c r="AU38" s="110">
        <f>IF(FW38="","",IF(ISNUMBER('Dvd Calendar'!$I$305)=FALSE,"",'Dvd Calendar'!$I$305))</f>
        <v/>
      </c>
      <c r="AV38" s="110">
        <f>IF(FX38="","",IF(ISNUMBER('Dvd Calendar'!$J$305)=FALSE,"",'Dvd Calendar'!$J$305))</f>
        <v/>
      </c>
      <c r="AW38" s="110">
        <f>IF(FY38="","",IF(ISNUMBER('Dvd Calendar'!$K$305)=FALSE,"",'Dvd Calendar'!$K$305))</f>
        <v/>
      </c>
      <c r="AX38" s="110">
        <f>IF(FZ38="","",IF(ISNUMBER('Dvd Calendar'!$L$305)=FALSE,"",'Dvd Calendar'!$L$305))</f>
        <v/>
      </c>
      <c r="AY38" s="110">
        <f>IF(GA38="","",IF(ISNUMBER('Dvd Calendar'!$M$305)=FALSE,"",'Dvd Calendar'!$M$305))</f>
        <v/>
      </c>
      <c r="AZ38" s="110">
        <f>IF(GB38="","",IF(ISNUMBER('Dvd Calendar'!$N$305)=FALSE,"",'Dvd Calendar'!$N$305))</f>
        <v/>
      </c>
      <c r="BA38" s="110">
        <f>IF(GC38="","",IF(ISNUMBER('Dvd Calendar'!$O$305)=FALSE,"",'Dvd Calendar'!$O$305))</f>
        <v/>
      </c>
      <c r="BB38" s="110">
        <f>IF(GD38="","",IF(ISNUMBER('Dvd Calendar'!$P$305)=FALSE,"",'Dvd Calendar'!$P$305))</f>
        <v/>
      </c>
      <c r="BC38" s="110">
        <f>IF(GE38="","",IF(ISNUMBER('Dvd Calendar'!$Q$305)=FALSE,"",'Dvd Calendar'!$Q$305))</f>
        <v/>
      </c>
      <c r="BD38" s="110">
        <f>IF(GF38="","",IF(ISNUMBER('Dvd Calendar'!$R$305)=FALSE,"",'Dvd Calendar'!$R$305))</f>
        <v/>
      </c>
      <c r="BE38" s="110">
        <f>IF(GG38="","",IF(ISNUMBER('Dvd Calendar'!$S$305)=FALSE,"",'Dvd Calendar'!$S$305))</f>
        <v/>
      </c>
      <c r="BF38" s="110">
        <f>IF(GH38="","",IF(ISNUMBER('Dvd Calendar'!$T$305)=FALSE,"",'Dvd Calendar'!$T$305))</f>
        <v/>
      </c>
      <c r="BG38" s="110">
        <f>IF(GI38="","",IF(ISNUMBER('Dvd Calendar'!$U$305)=FALSE,"",'Dvd Calendar'!$U$305))</f>
        <v/>
      </c>
      <c r="BH38" s="110">
        <f>IF(GJ38="","",IF(ISNUMBER('Dvd Calendar'!$V$305)=FALSE,"",'Dvd Calendar'!$V$305))</f>
        <v/>
      </c>
      <c r="BI38" s="110">
        <f>IF(GK38="","",IF(ISNUMBER('Dvd Calendar'!$W$305)=FALSE,"",'Dvd Calendar'!$W$305))</f>
        <v/>
      </c>
      <c r="BJ38" s="110">
        <f>IF(GL38="","",IF(ISNUMBER('Dvd Calendar'!$X$305)=FALSE,"",'Dvd Calendar'!$X$305))</f>
        <v/>
      </c>
      <c r="BK38" s="110">
        <f>IF(GM38="","",IF(ISNUMBER('Dvd Calendar'!$Y$305)=FALSE,"",'Dvd Calendar'!$Y$305))</f>
        <v/>
      </c>
      <c r="BL38" s="110">
        <f>IF(GN38="","",IF(ISNUMBER('Dvd Calendar'!$Z$305)=FALSE,"",'Dvd Calendar'!$Z$305))</f>
        <v/>
      </c>
      <c r="BM38" s="110">
        <f>IF(GO38="","",IF(ISNUMBER('Dvd Calendar'!$AA$305)=FALSE,"",'Dvd Calendar'!$AA$305))</f>
        <v/>
      </c>
      <c r="BN38" s="110">
        <f>IF(GP38="","",IF(ISNUMBER('Dvd Calendar'!$AB$305)=FALSE,"",'Dvd Calendar'!$AB$305))</f>
        <v/>
      </c>
      <c r="BO38" s="110">
        <f>IF(GQ38="","",IF(ISNUMBER('Dvd Calendar'!$AC$305)=FALSE,"",'Dvd Calendar'!$AC$305))</f>
        <v/>
      </c>
      <c r="BQ38" s="110">
        <f>IF(C38="","",IFERROR(C38*HSI!$B$33*HSI!$G$33/HSI!$B$3,""))</f>
        <v/>
      </c>
      <c r="BR38" s="110">
        <f>IF(D38="","",IFERROR(D38*HSI!$B$33*HSI!$G$33/HSI!$B$3,""))</f>
        <v/>
      </c>
      <c r="BS38" s="110">
        <f>IF(E38="","",IFERROR(E38*HSI!$B$33*HSI!$G$33/HSI!$B$3,""))</f>
        <v/>
      </c>
      <c r="BT38" s="110">
        <f>IF(F38="","",IFERROR(F38*HSI!$B$33*HSI!$G$33/HSI!$B$3,""))</f>
        <v/>
      </c>
      <c r="BU38" s="110">
        <f>IF(G38="","",IFERROR(G38*HSI!$B$33*HSI!$G$33/HSI!$B$3,""))</f>
        <v/>
      </c>
      <c r="BV38" s="110">
        <f>IF(H38="","",IFERROR(H38*HSI!$B$33*HSI!$G$33/HSI!$B$3,""))</f>
        <v/>
      </c>
      <c r="BW38" s="110">
        <f>IF(I38="","",IFERROR(I38*HSI!$B$33*HSI!$G$33/HSI!$B$3,""))</f>
        <v/>
      </c>
      <c r="BX38" s="110">
        <f>IF(J38="","",IFERROR(J38*HSI!$B$33*HSI!$G$33/HSI!$B$3,""))</f>
        <v/>
      </c>
      <c r="BY38" s="110">
        <f>IF(K38="","",IFERROR(K38*HSI!$B$33*HSI!$G$33/HSI!$B$3,""))</f>
        <v/>
      </c>
      <c r="BZ38" s="110">
        <f>IF(L38="","",IFERROR(L38*HSI!$B$33*HSI!$G$33/HSI!$B$3,""))</f>
        <v/>
      </c>
      <c r="CA38" s="110">
        <f>IF(M38="","",IFERROR(M38*HSI!$B$33*HSI!$G$33/HSI!$B$3,""))</f>
        <v/>
      </c>
      <c r="CB38" s="110">
        <f>IF(N38="","",IFERROR(N38*HSI!$B$33*HSI!$G$33/HSI!$B$3,""))</f>
        <v/>
      </c>
      <c r="CC38" s="110">
        <f>IF(O38="","",IFERROR(O38*HSI!$B$33*HSI!$G$33/HSI!$B$3,""))</f>
        <v/>
      </c>
      <c r="CD38" s="110">
        <f>IF(P38="","",IFERROR(P38*HSI!$B$33*HSI!$G$33/HSI!$B$3,""))</f>
        <v/>
      </c>
      <c r="CE38" s="110">
        <f>IF(Q38="","",IFERROR(Q38*HSI!$B$33*HSI!$G$33/HSI!$B$3,""))</f>
        <v/>
      </c>
      <c r="CF38" s="110">
        <f>IF(R38="","",IFERROR(R38*HSI!$B$33*HSI!$G$33/HSI!$B$3,""))</f>
        <v/>
      </c>
      <c r="CG38" s="110">
        <f>IF(S38="","",IFERROR(S38*HSI!$B$33*HSI!$G$33/HSI!$B$3,""))</f>
        <v/>
      </c>
      <c r="CH38" s="110">
        <f>IF(T38="","",IFERROR(T38*HSI!$B$33*HSI!$G$33/HSI!$B$3,""))</f>
        <v/>
      </c>
      <c r="CI38" s="110">
        <f>IF(U38="","",IFERROR(U38*HSI!$B$33*HSI!$G$33/HSI!$B$3,""))</f>
        <v/>
      </c>
      <c r="CJ38" s="110">
        <f>IF(V38="","",IFERROR(V38*HSI!$B$33*HSI!$G$33/HSI!$B$3,""))</f>
        <v/>
      </c>
      <c r="CK38" s="110">
        <f>IF(W38="","",IFERROR(W38*HSI!$B$33*HSI!$G$33/HSI!$B$3,""))</f>
        <v/>
      </c>
      <c r="CL38" s="110">
        <f>IF(X38="","",IFERROR(X38*HSI!$B$33*HSI!$G$33/HSI!$B$3,""))</f>
        <v/>
      </c>
      <c r="CM38" s="110">
        <f>IF(Y38="","",IFERROR(Y38*HSI!$B$33*HSI!$G$33/HSI!$B$3,""))</f>
        <v/>
      </c>
      <c r="CN38" s="110">
        <f>IF(Z38="","",IFERROR(Z38*HSI!$B$33*HSI!$G$33/HSI!$B$3,""))</f>
        <v/>
      </c>
      <c r="CO38" s="110">
        <f>IF(AA38="","",IFERROR(AA38*HSI!$B$33*HSI!$G$33/HSI!$B$3,""))</f>
        <v/>
      </c>
      <c r="CP38" s="110">
        <f>IF(AB38="","",IFERROR(AB38*HSI!$B$33*HSI!$G$33/HSI!$B$3,""))</f>
        <v/>
      </c>
      <c r="CQ38" s="110">
        <f>IF(AC38="","",IFERROR(AC38*HSI!$B$33*HSI!$G$33/HSI!$B$3,""))</f>
        <v/>
      </c>
      <c r="CR38" s="110">
        <f>IF(AD38="","",IFERROR(AD38*HSI!$B$33*HSI!$G$33/HSI!$B$3,""))</f>
        <v/>
      </c>
      <c r="CS38" s="110">
        <f>IF(AE38="","",IFERROR(AE38*HSI!$B$33*HSI!$G$33/HSI!$B$3,""))</f>
        <v/>
      </c>
      <c r="CT38" s="110">
        <f>IF(AF38="","",IFERROR(AF38*HSI!$B$33*HSI!$G$33/HSI!$B$3,""))</f>
        <v/>
      </c>
      <c r="CU38" s="110">
        <f>IF(AG38="","",IFERROR(AG38*HSI!$B$33*HSI!$G$33/HSI!$B$3,""))</f>
        <v/>
      </c>
      <c r="CV38" s="110">
        <f>IF(AH38="","",IFERROR(AH38*HSI!$B$33*HSI!$G$33/HSI!$B$3,""))</f>
        <v/>
      </c>
      <c r="CW38" s="110">
        <f>IF(AI38="","",IFERROR(AI38*HSI!$B$33*HSI!$G$33/HSI!$B$3,""))</f>
        <v/>
      </c>
      <c r="CX38" s="110">
        <f>IF(AJ38="","",IFERROR(AJ38*HSI!$B$33*HSI!$G$33/HSI!$B$3,""))</f>
        <v/>
      </c>
      <c r="CY38" s="110">
        <f>IF(AK38="","",IFERROR(AK38*HSI!$B$33*HSI!$G$33/HSI!$B$3,""))</f>
        <v/>
      </c>
      <c r="CZ38" s="110">
        <f>IF(AL38="","",IFERROR(AL38*HSI!$B$33*HSI!$G$33/HSI!$B$3,""))</f>
        <v/>
      </c>
      <c r="DA38" s="110">
        <f>IF(AM38="","",IFERROR(AM38*HSI!$B$33*HSI!$G$33/HSI!$B$3,""))</f>
        <v/>
      </c>
      <c r="DB38" s="110">
        <f>IF(AN38="","",IFERROR(AN38*HSI!$B$33*HSI!$G$33/HSI!$B$3,""))</f>
        <v/>
      </c>
      <c r="DC38" s="110">
        <f>IF(AO38="","",IFERROR(AO38*HSI!$B$33*HSI!$G$33/HSI!$B$3,""))</f>
        <v/>
      </c>
      <c r="DD38" s="110">
        <f>IF(AP38="","",IFERROR(AP38*HSI!$B$33*HSI!$G$33/HSI!$B$3,""))</f>
        <v/>
      </c>
      <c r="DE38" s="110">
        <f>IF(AQ38="","",IFERROR(AQ38*HSI!$B$33*HSI!$G$33/HSI!$B$3,""))</f>
        <v/>
      </c>
      <c r="DF38" s="110">
        <f>IF(AR38="","",IFERROR(AR38*HSI!$B$33*HSI!$G$33/HSI!$B$3,""))</f>
        <v/>
      </c>
      <c r="DG38" s="110">
        <f>IF(AS38="","",IFERROR(AS38*HSI!$B$33*HSI!$G$33/HSI!$B$3,""))</f>
        <v/>
      </c>
      <c r="DH38" s="110">
        <f>IF(AT38="","",IFERROR(AT38*HSI!$B$33*HSI!$G$33/HSI!$B$3,""))</f>
        <v/>
      </c>
      <c r="DI38" s="110">
        <f>IF(AU38="","",IFERROR(AU38*HSI!$B$33*HSI!$G$33/HSI!$B$3,""))</f>
        <v/>
      </c>
      <c r="DJ38" s="110">
        <f>IF(AV38="","",IFERROR(AV38*HSI!$B$33*HSI!$G$33/HSI!$B$3,""))</f>
        <v/>
      </c>
      <c r="DK38" s="110">
        <f>IF(AW38="","",IFERROR(AW38*HSI!$B$33*HSI!$G$33/HSI!$B$3,""))</f>
        <v/>
      </c>
      <c r="DL38" s="110">
        <f>IF(AX38="","",IFERROR(AX38*HSI!$B$33*HSI!$G$33/HSI!$B$3,""))</f>
        <v/>
      </c>
      <c r="DM38" s="110">
        <f>IF(AY38="","",IFERROR(AY38*HSI!$B$33*HSI!$G$33/HSI!$B$3,""))</f>
        <v/>
      </c>
      <c r="DN38" s="110">
        <f>IF(AZ38="","",IFERROR(AZ38*HSI!$B$33*HSI!$G$33/HSI!$B$3,""))</f>
        <v/>
      </c>
      <c r="DO38" s="110">
        <f>IF(BA38="","",IFERROR(BA38*HSI!$B$33*HSI!$G$33/HSI!$B$3,""))</f>
        <v/>
      </c>
      <c r="DP38" s="110">
        <f>IF(BB38="","",IFERROR(BB38*HSI!$B$33*HSI!$G$33/HSI!$B$3,""))</f>
        <v/>
      </c>
      <c r="DQ38" s="110">
        <f>IF(BC38="","",IFERROR(BC38*HSI!$B$33*HSI!$G$33/HSI!$B$3,""))</f>
        <v/>
      </c>
      <c r="DR38" s="110">
        <f>IF(BD38="","",IFERROR(BD38*HSI!$B$33*HSI!$G$33/HSI!$B$3,""))</f>
        <v/>
      </c>
      <c r="DS38" s="110">
        <f>IF(BE38="","",IFERROR(BE38*HSI!$B$33*HSI!$G$33/HSI!$B$3,""))</f>
        <v/>
      </c>
      <c r="DT38" s="110">
        <f>IF(BF38="","",IFERROR(BF38*HSI!$B$33*HSI!$G$33/HSI!$B$3,""))</f>
        <v/>
      </c>
      <c r="DU38" s="110">
        <f>IF(BG38="","",IFERROR(BG38*HSI!$B$33*HSI!$G$33/HSI!$B$3,""))</f>
        <v/>
      </c>
      <c r="DV38" s="110">
        <f>IF(BH38="","",IFERROR(BH38*HSI!$B$33*HSI!$G$33/HSI!$B$3,""))</f>
        <v/>
      </c>
      <c r="DW38" s="110">
        <f>IF(BI38="","",IFERROR(BI38*HSI!$B$33*HSI!$G$33/HSI!$B$3,""))</f>
        <v/>
      </c>
      <c r="DX38" s="110">
        <f>IF(BJ38="","",IFERROR(BJ38*HSI!$B$33*HSI!$G$33/HSI!$B$3,""))</f>
        <v/>
      </c>
      <c r="DY38" s="110">
        <f>IF(BK38="","",IFERROR(BK38*HSI!$B$33*HSI!$G$33/HSI!$B$3,""))</f>
        <v/>
      </c>
      <c r="DZ38" s="110">
        <f>IF(BL38="","",IFERROR(BL38*HSI!$B$33*HSI!$G$33/HSI!$B$3,""))</f>
        <v/>
      </c>
      <c r="EA38" s="110">
        <f>IF(BM38="","",IFERROR(BM38*HSI!$B$33*HSI!$G$33/HSI!$B$3,""))</f>
        <v/>
      </c>
      <c r="EB38" s="110">
        <f>IF(BN38="","",IFERROR(BN38*HSI!$B$33*HSI!$G$33/HSI!$B$3,""))</f>
        <v/>
      </c>
      <c r="EC38" s="110">
        <f>IF(BO38="","",IFERROR(BO38*HSI!$B$33*HSI!$G$33/HSI!$B$3,""))</f>
        <v/>
      </c>
      <c r="EE38" s="39">
        <f>IF(N('Dvd Calendar'!$E$297)=0,"",IF(('Dvd Calendar'!$E$297&gt;=GRID_FROM)*('Dvd Calendar'!$E$297&lt;=GRID_TO)*((('Dvd Calendar'!$E$297&lt;=VAL_DATE)+(COUNTIF('Dvd Calendar'!$E$304:$AR$304,'Dvd Calendar'!$E$297)=0))&gt;0)=0,"",'Dvd Calendar'!$E$297*1000000000+ISNUMBER('Dvd Calendar'!$E$300)*100000000+('Dvd Calendar'!$E$302=SPECIAL_LBL)*10000000+(N('Dvd Calendar'!$E$296)&gt;0)*(N('Dvd Calendar'!$E$296)&lt;=VAL_SERIAL)*1000000+27*1000+1))</f>
        <v/>
      </c>
      <c r="EF38" s="39">
        <f>IF(N('Dvd Calendar'!$F$297)=0,"",IF(('Dvd Calendar'!$F$297&gt;=GRID_FROM)*('Dvd Calendar'!$F$297&lt;=GRID_TO)*((('Dvd Calendar'!$F$297&lt;=VAL_DATE)+(COUNTIF('Dvd Calendar'!$E$304:$AR$304,'Dvd Calendar'!$F$297)=0))&gt;0)=0,"",'Dvd Calendar'!$F$297*1000000000+ISNUMBER('Dvd Calendar'!$F$300)*100000000+('Dvd Calendar'!$F$302=SPECIAL_LBL)*10000000+(N('Dvd Calendar'!$F$296)&gt;0)*(N('Dvd Calendar'!$F$296)&lt;=VAL_SERIAL)*1000000+27*1000+2))</f>
        <v/>
      </c>
      <c r="EG38" s="39">
        <f>IF(N('Dvd Calendar'!$G$297)=0,"",IF(('Dvd Calendar'!$G$297&gt;=GRID_FROM)*('Dvd Calendar'!$G$297&lt;=GRID_TO)*((('Dvd Calendar'!$G$297&lt;=VAL_DATE)+(COUNTIF('Dvd Calendar'!$E$304:$AR$304,'Dvd Calendar'!$G$297)=0))&gt;0)=0,"",'Dvd Calendar'!$G$297*1000000000+ISNUMBER('Dvd Calendar'!$G$300)*100000000+('Dvd Calendar'!$G$302=SPECIAL_LBL)*10000000+(N('Dvd Calendar'!$G$296)&gt;0)*(N('Dvd Calendar'!$G$296)&lt;=VAL_SERIAL)*1000000+27*1000+3))</f>
        <v/>
      </c>
      <c r="EH38" s="39">
        <f>IF(N('Dvd Calendar'!$H$297)=0,"",IF(('Dvd Calendar'!$H$297&gt;=GRID_FROM)*('Dvd Calendar'!$H$297&lt;=GRID_TO)*((('Dvd Calendar'!$H$297&lt;=VAL_DATE)+(COUNTIF('Dvd Calendar'!$E$304:$AR$304,'Dvd Calendar'!$H$297)=0))&gt;0)=0,"",'Dvd Calendar'!$H$297*1000000000+ISNUMBER('Dvd Calendar'!$H$300)*100000000+('Dvd Calendar'!$H$302=SPECIAL_LBL)*10000000+(N('Dvd Calendar'!$H$296)&gt;0)*(N('Dvd Calendar'!$H$296)&lt;=VAL_SERIAL)*1000000+27*1000+4))</f>
        <v/>
      </c>
      <c r="EI38" s="39">
        <f>IF(N('Dvd Calendar'!$I$297)=0,"",IF(('Dvd Calendar'!$I$297&gt;=GRID_FROM)*('Dvd Calendar'!$I$297&lt;=GRID_TO)*((('Dvd Calendar'!$I$297&lt;=VAL_DATE)+(COUNTIF('Dvd Calendar'!$E$304:$AR$304,'Dvd Calendar'!$I$297)=0))&gt;0)=0,"",'Dvd Calendar'!$I$297*1000000000+ISNUMBER('Dvd Calendar'!$I$300)*100000000+('Dvd Calendar'!$I$302=SPECIAL_LBL)*10000000+(N('Dvd Calendar'!$I$296)&gt;0)*(N('Dvd Calendar'!$I$296)&lt;=VAL_SERIAL)*1000000+27*1000+5))</f>
        <v/>
      </c>
      <c r="EJ38" s="39">
        <f>IF(N('Dvd Calendar'!$J$297)=0,"",IF(('Dvd Calendar'!$J$297&gt;=GRID_FROM)*('Dvd Calendar'!$J$297&lt;=GRID_TO)*((('Dvd Calendar'!$J$297&lt;=VAL_DATE)+(COUNTIF('Dvd Calendar'!$E$304:$AR$304,'Dvd Calendar'!$J$297)=0))&gt;0)=0,"",'Dvd Calendar'!$J$297*1000000000+ISNUMBER('Dvd Calendar'!$J$300)*100000000+('Dvd Calendar'!$J$302=SPECIAL_LBL)*10000000+(N('Dvd Calendar'!$J$296)&gt;0)*(N('Dvd Calendar'!$J$296)&lt;=VAL_SERIAL)*1000000+27*1000+6))</f>
        <v/>
      </c>
      <c r="EK38" s="39">
        <f>IF(N('Dvd Calendar'!$K$297)=0,"",IF(('Dvd Calendar'!$K$297&gt;=GRID_FROM)*('Dvd Calendar'!$K$297&lt;=GRID_TO)*((('Dvd Calendar'!$K$297&lt;=VAL_DATE)+(COUNTIF('Dvd Calendar'!$E$304:$AR$304,'Dvd Calendar'!$K$297)=0))&gt;0)=0,"",'Dvd Calendar'!$K$297*1000000000+ISNUMBER('Dvd Calendar'!$K$300)*100000000+('Dvd Calendar'!$K$302=SPECIAL_LBL)*10000000+(N('Dvd Calendar'!$K$296)&gt;0)*(N('Dvd Calendar'!$K$296)&lt;=VAL_SERIAL)*1000000+27*1000+7))</f>
        <v/>
      </c>
      <c r="EL38" s="39">
        <f>IF(N('Dvd Calendar'!$L$297)=0,"",IF(('Dvd Calendar'!$L$297&gt;=GRID_FROM)*('Dvd Calendar'!$L$297&lt;=GRID_TO)*((('Dvd Calendar'!$L$297&lt;=VAL_DATE)+(COUNTIF('Dvd Calendar'!$E$304:$AR$304,'Dvd Calendar'!$L$297)=0))&gt;0)=0,"",'Dvd Calendar'!$L$297*1000000000+ISNUMBER('Dvd Calendar'!$L$300)*100000000+('Dvd Calendar'!$L$302=SPECIAL_LBL)*10000000+(N('Dvd Calendar'!$L$296)&gt;0)*(N('Dvd Calendar'!$L$296)&lt;=VAL_SERIAL)*1000000+27*1000+8))</f>
        <v/>
      </c>
      <c r="EM38" s="39">
        <f>IF(N('Dvd Calendar'!$M$297)=0,"",IF(('Dvd Calendar'!$M$297&gt;=GRID_FROM)*('Dvd Calendar'!$M$297&lt;=GRID_TO)*((('Dvd Calendar'!$M$297&lt;=VAL_DATE)+(COUNTIF('Dvd Calendar'!$E$304:$AR$304,'Dvd Calendar'!$M$297)=0))&gt;0)=0,"",'Dvd Calendar'!$M$297*1000000000+ISNUMBER('Dvd Calendar'!$M$300)*100000000+('Dvd Calendar'!$M$302=SPECIAL_LBL)*10000000+(N('Dvd Calendar'!$M$296)&gt;0)*(N('Dvd Calendar'!$M$296)&lt;=VAL_SERIAL)*1000000+27*1000+9))</f>
        <v/>
      </c>
      <c r="EN38" s="39">
        <f>IF(N('Dvd Calendar'!$N$297)=0,"",IF(('Dvd Calendar'!$N$297&gt;=GRID_FROM)*('Dvd Calendar'!$N$297&lt;=GRID_TO)*((('Dvd Calendar'!$N$297&lt;=VAL_DATE)+(COUNTIF('Dvd Calendar'!$E$304:$AR$304,'Dvd Calendar'!$N$297)=0))&gt;0)=0,"",'Dvd Calendar'!$N$297*1000000000+ISNUMBER('Dvd Calendar'!$N$300)*100000000+('Dvd Calendar'!$N$302=SPECIAL_LBL)*10000000+(N('Dvd Calendar'!$N$296)&gt;0)*(N('Dvd Calendar'!$N$296)&lt;=VAL_SERIAL)*1000000+27*1000+10))</f>
        <v/>
      </c>
      <c r="EO38" s="39">
        <f>IF(N('Dvd Calendar'!$O$297)=0,"",IF(('Dvd Calendar'!$O$297&gt;=GRID_FROM)*('Dvd Calendar'!$O$297&lt;=GRID_TO)*((('Dvd Calendar'!$O$297&lt;=VAL_DATE)+(COUNTIF('Dvd Calendar'!$E$304:$AR$304,'Dvd Calendar'!$O$297)=0))&gt;0)=0,"",'Dvd Calendar'!$O$297*1000000000+ISNUMBER('Dvd Calendar'!$O$300)*100000000+('Dvd Calendar'!$O$302=SPECIAL_LBL)*10000000+(N('Dvd Calendar'!$O$296)&gt;0)*(N('Dvd Calendar'!$O$296)&lt;=VAL_SERIAL)*1000000+27*1000+11))</f>
        <v/>
      </c>
      <c r="EP38" s="39">
        <f>IF(N('Dvd Calendar'!$P$297)=0,"",IF(('Dvd Calendar'!$P$297&gt;=GRID_FROM)*('Dvd Calendar'!$P$297&lt;=GRID_TO)*((('Dvd Calendar'!$P$297&lt;=VAL_DATE)+(COUNTIF('Dvd Calendar'!$E$304:$AR$304,'Dvd Calendar'!$P$297)=0))&gt;0)=0,"",'Dvd Calendar'!$P$297*1000000000+ISNUMBER('Dvd Calendar'!$P$300)*100000000+('Dvd Calendar'!$P$302=SPECIAL_LBL)*10000000+(N('Dvd Calendar'!$P$296)&gt;0)*(N('Dvd Calendar'!$P$296)&lt;=VAL_SERIAL)*1000000+27*1000+12))</f>
        <v/>
      </c>
      <c r="EQ38" s="39">
        <f>IF(N('Dvd Calendar'!$Q$297)=0,"",IF(('Dvd Calendar'!$Q$297&gt;=GRID_FROM)*('Dvd Calendar'!$Q$297&lt;=GRID_TO)*((('Dvd Calendar'!$Q$297&lt;=VAL_DATE)+(COUNTIF('Dvd Calendar'!$E$304:$AR$304,'Dvd Calendar'!$Q$297)=0))&gt;0)=0,"",'Dvd Calendar'!$Q$297*1000000000+ISNUMBER('Dvd Calendar'!$Q$300)*100000000+('Dvd Calendar'!$Q$302=SPECIAL_LBL)*10000000+(N('Dvd Calendar'!$Q$296)&gt;0)*(N('Dvd Calendar'!$Q$296)&lt;=VAL_SERIAL)*1000000+27*1000+13))</f>
        <v/>
      </c>
      <c r="ER38" s="39">
        <f>IF(N('Dvd Calendar'!$R$297)=0,"",IF(('Dvd Calendar'!$R$297&gt;=GRID_FROM)*('Dvd Calendar'!$R$297&lt;=GRID_TO)*((('Dvd Calendar'!$R$297&lt;=VAL_DATE)+(COUNTIF('Dvd Calendar'!$E$304:$AR$304,'Dvd Calendar'!$R$297)=0))&gt;0)=0,"",'Dvd Calendar'!$R$297*1000000000+ISNUMBER('Dvd Calendar'!$R$300)*100000000+('Dvd Calendar'!$R$302=SPECIAL_LBL)*10000000+(N('Dvd Calendar'!$R$296)&gt;0)*(N('Dvd Calendar'!$R$296)&lt;=VAL_SERIAL)*1000000+27*1000+14))</f>
        <v/>
      </c>
      <c r="ES38" s="39">
        <f>IF(N('Dvd Calendar'!$S$297)=0,"",IF(('Dvd Calendar'!$S$297&gt;=GRID_FROM)*('Dvd Calendar'!$S$297&lt;=GRID_TO)*((('Dvd Calendar'!$S$297&lt;=VAL_DATE)+(COUNTIF('Dvd Calendar'!$E$304:$AR$304,'Dvd Calendar'!$S$297)=0))&gt;0)=0,"",'Dvd Calendar'!$S$297*1000000000+ISNUMBER('Dvd Calendar'!$S$300)*100000000+('Dvd Calendar'!$S$302=SPECIAL_LBL)*10000000+(N('Dvd Calendar'!$S$296)&gt;0)*(N('Dvd Calendar'!$S$296)&lt;=VAL_SERIAL)*1000000+27*1000+15))</f>
        <v/>
      </c>
      <c r="ET38" s="39">
        <f>IF(N('Dvd Calendar'!$T$297)=0,"",IF(('Dvd Calendar'!$T$297&gt;=GRID_FROM)*('Dvd Calendar'!$T$297&lt;=GRID_TO)*((('Dvd Calendar'!$T$297&lt;=VAL_DATE)+(COUNTIF('Dvd Calendar'!$E$304:$AR$304,'Dvd Calendar'!$T$297)=0))&gt;0)=0,"",'Dvd Calendar'!$T$297*1000000000+ISNUMBER('Dvd Calendar'!$T$300)*100000000+('Dvd Calendar'!$T$302=SPECIAL_LBL)*10000000+(N('Dvd Calendar'!$T$296)&gt;0)*(N('Dvd Calendar'!$T$296)&lt;=VAL_SERIAL)*1000000+27*1000+16))</f>
        <v/>
      </c>
      <c r="EU38" s="39">
        <f>IF(N('Dvd Calendar'!$U$297)=0,"",IF(('Dvd Calendar'!$U$297&gt;=GRID_FROM)*('Dvd Calendar'!$U$297&lt;=GRID_TO)*((('Dvd Calendar'!$U$297&lt;=VAL_DATE)+(COUNTIF('Dvd Calendar'!$E$304:$AR$304,'Dvd Calendar'!$U$297)=0))&gt;0)=0,"",'Dvd Calendar'!$U$297*1000000000+ISNUMBER('Dvd Calendar'!$U$300)*100000000+('Dvd Calendar'!$U$302=SPECIAL_LBL)*10000000+(N('Dvd Calendar'!$U$296)&gt;0)*(N('Dvd Calendar'!$U$296)&lt;=VAL_SERIAL)*1000000+27*1000+17))</f>
        <v/>
      </c>
      <c r="EV38" s="39">
        <f>IF(N('Dvd Calendar'!$V$297)=0,"",IF(('Dvd Calendar'!$V$297&gt;=GRID_FROM)*('Dvd Calendar'!$V$297&lt;=GRID_TO)*((('Dvd Calendar'!$V$297&lt;=VAL_DATE)+(COUNTIF('Dvd Calendar'!$E$304:$AR$304,'Dvd Calendar'!$V$297)=0))&gt;0)=0,"",'Dvd Calendar'!$V$297*1000000000+ISNUMBER('Dvd Calendar'!$V$300)*100000000+('Dvd Calendar'!$V$302=SPECIAL_LBL)*10000000+(N('Dvd Calendar'!$V$296)&gt;0)*(N('Dvd Calendar'!$V$296)&lt;=VAL_SERIAL)*1000000+27*1000+18))</f>
        <v/>
      </c>
      <c r="EW38" s="39">
        <f>IF(N('Dvd Calendar'!$W$297)=0,"",IF(('Dvd Calendar'!$W$297&gt;=GRID_FROM)*('Dvd Calendar'!$W$297&lt;=GRID_TO)*((('Dvd Calendar'!$W$297&lt;=VAL_DATE)+(COUNTIF('Dvd Calendar'!$E$304:$AR$304,'Dvd Calendar'!$W$297)=0))&gt;0)=0,"",'Dvd Calendar'!$W$297*1000000000+ISNUMBER('Dvd Calendar'!$W$300)*100000000+('Dvd Calendar'!$W$302=SPECIAL_LBL)*10000000+(N('Dvd Calendar'!$W$296)&gt;0)*(N('Dvd Calendar'!$W$296)&lt;=VAL_SERIAL)*1000000+27*1000+19))</f>
        <v/>
      </c>
      <c r="EX38" s="39">
        <f>IF(N('Dvd Calendar'!$X$297)=0,"",IF(('Dvd Calendar'!$X$297&gt;=GRID_FROM)*('Dvd Calendar'!$X$297&lt;=GRID_TO)*((('Dvd Calendar'!$X$297&lt;=VAL_DATE)+(COUNTIF('Dvd Calendar'!$E$304:$AR$304,'Dvd Calendar'!$X$297)=0))&gt;0)=0,"",'Dvd Calendar'!$X$297*1000000000+ISNUMBER('Dvd Calendar'!$X$300)*100000000+('Dvd Calendar'!$X$302=SPECIAL_LBL)*10000000+(N('Dvd Calendar'!$X$296)&gt;0)*(N('Dvd Calendar'!$X$296)&lt;=VAL_SERIAL)*1000000+27*1000+20))</f>
        <v/>
      </c>
      <c r="EY38" s="39">
        <f>IF(N('Dvd Calendar'!$Y$297)=0,"",IF(('Dvd Calendar'!$Y$297&gt;=GRID_FROM)*('Dvd Calendar'!$Y$297&lt;=GRID_TO)*((('Dvd Calendar'!$Y$297&lt;=VAL_DATE)+(COUNTIF('Dvd Calendar'!$E$304:$AR$304,'Dvd Calendar'!$Y$297)=0))&gt;0)=0,"",'Dvd Calendar'!$Y$297*1000000000+ISNUMBER('Dvd Calendar'!$Y$300)*100000000+('Dvd Calendar'!$Y$302=SPECIAL_LBL)*10000000+(N('Dvd Calendar'!$Y$296)&gt;0)*(N('Dvd Calendar'!$Y$296)&lt;=VAL_SERIAL)*1000000+27*1000+21))</f>
        <v/>
      </c>
      <c r="EZ38" s="39">
        <f>IF(N('Dvd Calendar'!$Z$297)=0,"",IF(('Dvd Calendar'!$Z$297&gt;=GRID_FROM)*('Dvd Calendar'!$Z$297&lt;=GRID_TO)*((('Dvd Calendar'!$Z$297&lt;=VAL_DATE)+(COUNTIF('Dvd Calendar'!$E$304:$AR$304,'Dvd Calendar'!$Z$297)=0))&gt;0)=0,"",'Dvd Calendar'!$Z$297*1000000000+ISNUMBER('Dvd Calendar'!$Z$300)*100000000+('Dvd Calendar'!$Z$302=SPECIAL_LBL)*10000000+(N('Dvd Calendar'!$Z$296)&gt;0)*(N('Dvd Calendar'!$Z$296)&lt;=VAL_SERIAL)*1000000+27*1000+22))</f>
        <v/>
      </c>
      <c r="FA38" s="39">
        <f>IF(N('Dvd Calendar'!$AA$297)=0,"",IF(('Dvd Calendar'!$AA$297&gt;=GRID_FROM)*('Dvd Calendar'!$AA$297&lt;=GRID_TO)*((('Dvd Calendar'!$AA$297&lt;=VAL_DATE)+(COUNTIF('Dvd Calendar'!$E$304:$AR$304,'Dvd Calendar'!$AA$297)=0))&gt;0)=0,"",'Dvd Calendar'!$AA$297*1000000000+ISNUMBER('Dvd Calendar'!$AA$300)*100000000+('Dvd Calendar'!$AA$302=SPECIAL_LBL)*10000000+(N('Dvd Calendar'!$AA$296)&gt;0)*(N('Dvd Calendar'!$AA$296)&lt;=VAL_SERIAL)*1000000+27*1000+23))</f>
        <v/>
      </c>
      <c r="FB38" s="39">
        <f>IF(N('Dvd Calendar'!$AB$297)=0,"",IF(('Dvd Calendar'!$AB$297&gt;=GRID_FROM)*('Dvd Calendar'!$AB$297&lt;=GRID_TO)*((('Dvd Calendar'!$AB$297&lt;=VAL_DATE)+(COUNTIF('Dvd Calendar'!$E$304:$AR$304,'Dvd Calendar'!$AB$297)=0))&gt;0)=0,"",'Dvd Calendar'!$AB$297*1000000000+ISNUMBER('Dvd Calendar'!$AB$300)*100000000+('Dvd Calendar'!$AB$302=SPECIAL_LBL)*10000000+(N('Dvd Calendar'!$AB$296)&gt;0)*(N('Dvd Calendar'!$AB$296)&lt;=VAL_SERIAL)*1000000+27*1000+24))</f>
        <v/>
      </c>
      <c r="FC38" s="39">
        <f>IF(N('Dvd Calendar'!$AC$297)=0,"",IF(('Dvd Calendar'!$AC$297&gt;=GRID_FROM)*('Dvd Calendar'!$AC$297&lt;=GRID_TO)*((('Dvd Calendar'!$AC$297&lt;=VAL_DATE)+(COUNTIF('Dvd Calendar'!$E$304:$AR$304,'Dvd Calendar'!$AC$297)=0))&gt;0)=0,"",'Dvd Calendar'!$AC$297*1000000000+ISNUMBER('Dvd Calendar'!$AC$300)*100000000+('Dvd Calendar'!$AC$302=SPECIAL_LBL)*10000000+(N('Dvd Calendar'!$AC$296)&gt;0)*(N('Dvd Calendar'!$AC$296)&lt;=VAL_SERIAL)*1000000+27*1000+25))</f>
        <v/>
      </c>
      <c r="FD38" s="39">
        <f>IF(N('Dvd Calendar'!$AD$297)=0,"",IF(('Dvd Calendar'!$AD$297&gt;=GRID_FROM)*('Dvd Calendar'!$AD$297&lt;=GRID_TO)*((('Dvd Calendar'!$AD$297&lt;=VAL_DATE)+(COUNTIF('Dvd Calendar'!$E$304:$AR$304,'Dvd Calendar'!$AD$297)=0))&gt;0)=0,"",'Dvd Calendar'!$AD$297*1000000000+ISNUMBER('Dvd Calendar'!$AD$300)*100000000+('Dvd Calendar'!$AD$302=SPECIAL_LBL)*10000000+(N('Dvd Calendar'!$AD$296)&gt;0)*(N('Dvd Calendar'!$AD$296)&lt;=VAL_SERIAL)*1000000+27*1000+26))</f>
        <v/>
      </c>
      <c r="FE38" s="39">
        <f>IF(N('Dvd Calendar'!$AE$297)=0,"",IF(('Dvd Calendar'!$AE$297&gt;=GRID_FROM)*('Dvd Calendar'!$AE$297&lt;=GRID_TO)*((('Dvd Calendar'!$AE$297&lt;=VAL_DATE)+(COUNTIF('Dvd Calendar'!$E$304:$AR$304,'Dvd Calendar'!$AE$297)=0))&gt;0)=0,"",'Dvd Calendar'!$AE$297*1000000000+ISNUMBER('Dvd Calendar'!$AE$300)*100000000+('Dvd Calendar'!$AE$302=SPECIAL_LBL)*10000000+(N('Dvd Calendar'!$AE$296)&gt;0)*(N('Dvd Calendar'!$AE$296)&lt;=VAL_SERIAL)*1000000+27*1000+27))</f>
        <v/>
      </c>
      <c r="FF38" s="39">
        <f>IF(N('Dvd Calendar'!$AF$297)=0,"",IF(('Dvd Calendar'!$AF$297&gt;=GRID_FROM)*('Dvd Calendar'!$AF$297&lt;=GRID_TO)*((('Dvd Calendar'!$AF$297&lt;=VAL_DATE)+(COUNTIF('Dvd Calendar'!$E$304:$AR$304,'Dvd Calendar'!$AF$297)=0))&gt;0)=0,"",'Dvd Calendar'!$AF$297*1000000000+ISNUMBER('Dvd Calendar'!$AF$300)*100000000+('Dvd Calendar'!$AF$302=SPECIAL_LBL)*10000000+(N('Dvd Calendar'!$AF$296)&gt;0)*(N('Dvd Calendar'!$AF$296)&lt;=VAL_SERIAL)*1000000+27*1000+28))</f>
        <v/>
      </c>
      <c r="FG38" s="39">
        <f>IF(N('Dvd Calendar'!$AG$297)=0,"",IF(('Dvd Calendar'!$AG$297&gt;=GRID_FROM)*('Dvd Calendar'!$AG$297&lt;=GRID_TO)*((('Dvd Calendar'!$AG$297&lt;=VAL_DATE)+(COUNTIF('Dvd Calendar'!$E$304:$AR$304,'Dvd Calendar'!$AG$297)=0))&gt;0)=0,"",'Dvd Calendar'!$AG$297*1000000000+ISNUMBER('Dvd Calendar'!$AG$300)*100000000+('Dvd Calendar'!$AG$302=SPECIAL_LBL)*10000000+(N('Dvd Calendar'!$AG$296)&gt;0)*(N('Dvd Calendar'!$AG$296)&lt;=VAL_SERIAL)*1000000+27*1000+29))</f>
        <v/>
      </c>
      <c r="FH38" s="39">
        <f>IF(N('Dvd Calendar'!$AH$297)=0,"",IF(('Dvd Calendar'!$AH$297&gt;=GRID_FROM)*('Dvd Calendar'!$AH$297&lt;=GRID_TO)*((('Dvd Calendar'!$AH$297&lt;=VAL_DATE)+(COUNTIF('Dvd Calendar'!$E$304:$AR$304,'Dvd Calendar'!$AH$297)=0))&gt;0)=0,"",'Dvd Calendar'!$AH$297*1000000000+ISNUMBER('Dvd Calendar'!$AH$300)*100000000+('Dvd Calendar'!$AH$302=SPECIAL_LBL)*10000000+(N('Dvd Calendar'!$AH$296)&gt;0)*(N('Dvd Calendar'!$AH$296)&lt;=VAL_SERIAL)*1000000+27*1000+30))</f>
        <v/>
      </c>
      <c r="FI38" s="39">
        <f>IF(N('Dvd Calendar'!$AI$297)=0,"",IF(('Dvd Calendar'!$AI$297&gt;=GRID_FROM)*('Dvd Calendar'!$AI$297&lt;=GRID_TO)*((('Dvd Calendar'!$AI$297&lt;=VAL_DATE)+(COUNTIF('Dvd Calendar'!$E$304:$AR$304,'Dvd Calendar'!$AI$297)=0))&gt;0)=0,"",'Dvd Calendar'!$AI$297*1000000000+ISNUMBER('Dvd Calendar'!$AI$300)*100000000+('Dvd Calendar'!$AI$302=SPECIAL_LBL)*10000000+(N('Dvd Calendar'!$AI$296)&gt;0)*(N('Dvd Calendar'!$AI$296)&lt;=VAL_SERIAL)*1000000+27*1000+31))</f>
        <v/>
      </c>
      <c r="FJ38" s="39">
        <f>IF(N('Dvd Calendar'!$AJ$297)=0,"",IF(('Dvd Calendar'!$AJ$297&gt;=GRID_FROM)*('Dvd Calendar'!$AJ$297&lt;=GRID_TO)*((('Dvd Calendar'!$AJ$297&lt;=VAL_DATE)+(COUNTIF('Dvd Calendar'!$E$304:$AR$304,'Dvd Calendar'!$AJ$297)=0))&gt;0)=0,"",'Dvd Calendar'!$AJ$297*1000000000+ISNUMBER('Dvd Calendar'!$AJ$300)*100000000+('Dvd Calendar'!$AJ$302=SPECIAL_LBL)*10000000+(N('Dvd Calendar'!$AJ$296)&gt;0)*(N('Dvd Calendar'!$AJ$296)&lt;=VAL_SERIAL)*1000000+27*1000+32))</f>
        <v/>
      </c>
      <c r="FK38" s="39">
        <f>IF(N('Dvd Calendar'!$AK$297)=0,"",IF(('Dvd Calendar'!$AK$297&gt;=GRID_FROM)*('Dvd Calendar'!$AK$297&lt;=GRID_TO)*((('Dvd Calendar'!$AK$297&lt;=VAL_DATE)+(COUNTIF('Dvd Calendar'!$E$304:$AR$304,'Dvd Calendar'!$AK$297)=0))&gt;0)=0,"",'Dvd Calendar'!$AK$297*1000000000+ISNUMBER('Dvd Calendar'!$AK$300)*100000000+('Dvd Calendar'!$AK$302=SPECIAL_LBL)*10000000+(N('Dvd Calendar'!$AK$296)&gt;0)*(N('Dvd Calendar'!$AK$296)&lt;=VAL_SERIAL)*1000000+27*1000+33))</f>
        <v/>
      </c>
      <c r="FL38" s="39">
        <f>IF(N('Dvd Calendar'!$AL$297)=0,"",IF(('Dvd Calendar'!$AL$297&gt;=GRID_FROM)*('Dvd Calendar'!$AL$297&lt;=GRID_TO)*((('Dvd Calendar'!$AL$297&lt;=VAL_DATE)+(COUNTIF('Dvd Calendar'!$E$304:$AR$304,'Dvd Calendar'!$AL$297)=0))&gt;0)=0,"",'Dvd Calendar'!$AL$297*1000000000+ISNUMBER('Dvd Calendar'!$AL$300)*100000000+('Dvd Calendar'!$AL$302=SPECIAL_LBL)*10000000+(N('Dvd Calendar'!$AL$296)&gt;0)*(N('Dvd Calendar'!$AL$296)&lt;=VAL_SERIAL)*1000000+27*1000+34))</f>
        <v/>
      </c>
      <c r="FM38" s="39">
        <f>IF(N('Dvd Calendar'!$AM$297)=0,"",IF(('Dvd Calendar'!$AM$297&gt;=GRID_FROM)*('Dvd Calendar'!$AM$297&lt;=GRID_TO)*((('Dvd Calendar'!$AM$297&lt;=VAL_DATE)+(COUNTIF('Dvd Calendar'!$E$304:$AR$304,'Dvd Calendar'!$AM$297)=0))&gt;0)=0,"",'Dvd Calendar'!$AM$297*1000000000+ISNUMBER('Dvd Calendar'!$AM$300)*100000000+('Dvd Calendar'!$AM$302=SPECIAL_LBL)*10000000+(N('Dvd Calendar'!$AM$296)&gt;0)*(N('Dvd Calendar'!$AM$296)&lt;=VAL_SERIAL)*1000000+27*1000+35))</f>
        <v/>
      </c>
      <c r="FN38" s="39">
        <f>IF(N('Dvd Calendar'!$AN$297)=0,"",IF(('Dvd Calendar'!$AN$297&gt;=GRID_FROM)*('Dvd Calendar'!$AN$297&lt;=GRID_TO)*((('Dvd Calendar'!$AN$297&lt;=VAL_DATE)+(COUNTIF('Dvd Calendar'!$E$304:$AR$304,'Dvd Calendar'!$AN$297)=0))&gt;0)=0,"",'Dvd Calendar'!$AN$297*1000000000+ISNUMBER('Dvd Calendar'!$AN$300)*100000000+('Dvd Calendar'!$AN$302=SPECIAL_LBL)*10000000+(N('Dvd Calendar'!$AN$296)&gt;0)*(N('Dvd Calendar'!$AN$296)&lt;=VAL_SERIAL)*1000000+27*1000+36))</f>
        <v/>
      </c>
      <c r="FO38" s="39">
        <f>IF(N('Dvd Calendar'!$AO$297)=0,"",IF(('Dvd Calendar'!$AO$297&gt;=GRID_FROM)*('Dvd Calendar'!$AO$297&lt;=GRID_TO)*((('Dvd Calendar'!$AO$297&lt;=VAL_DATE)+(COUNTIF('Dvd Calendar'!$E$304:$AR$304,'Dvd Calendar'!$AO$297)=0))&gt;0)=0,"",'Dvd Calendar'!$AO$297*1000000000+ISNUMBER('Dvd Calendar'!$AO$300)*100000000+('Dvd Calendar'!$AO$302=SPECIAL_LBL)*10000000+(N('Dvd Calendar'!$AO$296)&gt;0)*(N('Dvd Calendar'!$AO$296)&lt;=VAL_SERIAL)*1000000+27*1000+37))</f>
        <v/>
      </c>
      <c r="FP38" s="39">
        <f>IF(N('Dvd Calendar'!$AP$297)=0,"",IF(('Dvd Calendar'!$AP$297&gt;=GRID_FROM)*('Dvd Calendar'!$AP$297&lt;=GRID_TO)*((('Dvd Calendar'!$AP$297&lt;=VAL_DATE)+(COUNTIF('Dvd Calendar'!$E$304:$AR$304,'Dvd Calendar'!$AP$297)=0))&gt;0)=0,"",'Dvd Calendar'!$AP$297*1000000000+ISNUMBER('Dvd Calendar'!$AP$300)*100000000+('Dvd Calendar'!$AP$302=SPECIAL_LBL)*10000000+(N('Dvd Calendar'!$AP$296)&gt;0)*(N('Dvd Calendar'!$AP$296)&lt;=VAL_SERIAL)*1000000+27*1000+38))</f>
        <v/>
      </c>
      <c r="FQ38" s="39">
        <f>IF(N('Dvd Calendar'!$AQ$297)=0,"",IF(('Dvd Calendar'!$AQ$297&gt;=GRID_FROM)*('Dvd Calendar'!$AQ$297&lt;=GRID_TO)*((('Dvd Calendar'!$AQ$297&lt;=VAL_DATE)+(COUNTIF('Dvd Calendar'!$E$304:$AR$304,'Dvd Calendar'!$AQ$297)=0))&gt;0)=0,"",'Dvd Calendar'!$AQ$297*1000000000+ISNUMBER('Dvd Calendar'!$AQ$300)*100000000+('Dvd Calendar'!$AQ$302=SPECIAL_LBL)*10000000+(N('Dvd Calendar'!$AQ$296)&gt;0)*(N('Dvd Calendar'!$AQ$296)&lt;=VAL_SERIAL)*1000000+27*1000+39))</f>
        <v/>
      </c>
      <c r="FR38" s="39">
        <f>IF(N('Dvd Calendar'!$AR$297)=0,"",IF(('Dvd Calendar'!$AR$297&gt;=GRID_FROM)*('Dvd Calendar'!$AR$297&lt;=GRID_TO)*((('Dvd Calendar'!$AR$297&lt;=VAL_DATE)+(COUNTIF('Dvd Calendar'!$E$304:$AR$304,'Dvd Calendar'!$AR$297)=0))&gt;0)=0,"",'Dvd Calendar'!$AR$297*1000000000+ISNUMBER('Dvd Calendar'!$AR$300)*100000000+('Dvd Calendar'!$AR$302=SPECIAL_LBL)*10000000+(N('Dvd Calendar'!$AR$296)&gt;0)*(N('Dvd Calendar'!$AR$296)&lt;=VAL_SERIAL)*1000000+27*1000+40))</f>
        <v/>
      </c>
      <c r="FS38" s="39">
        <f>IF(N('Dvd Calendar'!$E$304)=0,"",IF(('Dvd Calendar'!$E$304&gt;=GRID_FROM)*('Dvd Calendar'!$E$304&lt;=GRID_TO)*('Dvd Calendar'!$E$304&gt;VAL_DATE)=0,"",'Dvd Calendar'!$E$304*1000000000+ISNUMBER('Dvd Calendar'!$E$305)*100000000+0*10000000+(N('Dvd Calendar'!$E$303)&gt;0)*(N('Dvd Calendar'!$E$303)&lt;=VAL_SERIAL)*1000000+27*1000+41))</f>
        <v/>
      </c>
      <c r="FT38" s="39">
        <f>IF(N('Dvd Calendar'!$F$304)=0,"",IF(('Dvd Calendar'!$F$304&gt;=GRID_FROM)*('Dvd Calendar'!$F$304&lt;=GRID_TO)*('Dvd Calendar'!$F$304&gt;VAL_DATE)=0,"",'Dvd Calendar'!$F$304*1000000000+ISNUMBER('Dvd Calendar'!$F$305)*100000000+0*10000000+(N('Dvd Calendar'!$F$303)&gt;0)*(N('Dvd Calendar'!$F$303)&lt;=VAL_SERIAL)*1000000+27*1000+42))</f>
        <v/>
      </c>
      <c r="FU38" s="39">
        <f>IF(N('Dvd Calendar'!$G$304)=0,"",IF(('Dvd Calendar'!$G$304&gt;=GRID_FROM)*('Dvd Calendar'!$G$304&lt;=GRID_TO)*('Dvd Calendar'!$G$304&gt;VAL_DATE)=0,"",'Dvd Calendar'!$G$304*1000000000+ISNUMBER('Dvd Calendar'!$G$305)*100000000+0*10000000+(N('Dvd Calendar'!$G$303)&gt;0)*(N('Dvd Calendar'!$G$303)&lt;=VAL_SERIAL)*1000000+27*1000+43))</f>
        <v/>
      </c>
      <c r="FV38" s="39">
        <f>IF(N('Dvd Calendar'!$H$304)=0,"",IF(('Dvd Calendar'!$H$304&gt;=GRID_FROM)*('Dvd Calendar'!$H$304&lt;=GRID_TO)*('Dvd Calendar'!$H$304&gt;VAL_DATE)=0,"",'Dvd Calendar'!$H$304*1000000000+ISNUMBER('Dvd Calendar'!$H$305)*100000000+0*10000000+(N('Dvd Calendar'!$H$303)&gt;0)*(N('Dvd Calendar'!$H$303)&lt;=VAL_SERIAL)*1000000+27*1000+44))</f>
        <v/>
      </c>
      <c r="FW38" s="39">
        <f>IF(N('Dvd Calendar'!$I$304)=0,"",IF(('Dvd Calendar'!$I$304&gt;=GRID_FROM)*('Dvd Calendar'!$I$304&lt;=GRID_TO)*('Dvd Calendar'!$I$304&gt;VAL_DATE)=0,"",'Dvd Calendar'!$I$304*1000000000+ISNUMBER('Dvd Calendar'!$I$305)*100000000+0*10000000+(N('Dvd Calendar'!$I$303)&gt;0)*(N('Dvd Calendar'!$I$303)&lt;=VAL_SERIAL)*1000000+27*1000+45))</f>
        <v/>
      </c>
      <c r="FX38" s="39">
        <f>IF(N('Dvd Calendar'!$J$304)=0,"",IF(('Dvd Calendar'!$J$304&gt;=GRID_FROM)*('Dvd Calendar'!$J$304&lt;=GRID_TO)*('Dvd Calendar'!$J$304&gt;VAL_DATE)=0,"",'Dvd Calendar'!$J$304*1000000000+ISNUMBER('Dvd Calendar'!$J$305)*100000000+0*10000000+(N('Dvd Calendar'!$J$303)&gt;0)*(N('Dvd Calendar'!$J$303)&lt;=VAL_SERIAL)*1000000+27*1000+46))</f>
        <v/>
      </c>
      <c r="FY38" s="39">
        <f>IF(N('Dvd Calendar'!$K$304)=0,"",IF(('Dvd Calendar'!$K$304&gt;=GRID_FROM)*('Dvd Calendar'!$K$304&lt;=GRID_TO)*('Dvd Calendar'!$K$304&gt;VAL_DATE)=0,"",'Dvd Calendar'!$K$304*1000000000+ISNUMBER('Dvd Calendar'!$K$305)*100000000+0*10000000+(N('Dvd Calendar'!$K$303)&gt;0)*(N('Dvd Calendar'!$K$303)&lt;=VAL_SERIAL)*1000000+27*1000+47))</f>
        <v/>
      </c>
      <c r="FZ38" s="39">
        <f>IF(N('Dvd Calendar'!$L$304)=0,"",IF(('Dvd Calendar'!$L$304&gt;=GRID_FROM)*('Dvd Calendar'!$L$304&lt;=GRID_TO)*('Dvd Calendar'!$L$304&gt;VAL_DATE)=0,"",'Dvd Calendar'!$L$304*1000000000+ISNUMBER('Dvd Calendar'!$L$305)*100000000+0*10000000+(N('Dvd Calendar'!$L$303)&gt;0)*(N('Dvd Calendar'!$L$303)&lt;=VAL_SERIAL)*1000000+27*1000+48))</f>
        <v/>
      </c>
      <c r="GA38" s="39">
        <f>IF(N('Dvd Calendar'!$M$304)=0,"",IF(('Dvd Calendar'!$M$304&gt;=GRID_FROM)*('Dvd Calendar'!$M$304&lt;=GRID_TO)*('Dvd Calendar'!$M$304&gt;VAL_DATE)=0,"",'Dvd Calendar'!$M$304*1000000000+ISNUMBER('Dvd Calendar'!$M$305)*100000000+0*10000000+(N('Dvd Calendar'!$M$303)&gt;0)*(N('Dvd Calendar'!$M$303)&lt;=VAL_SERIAL)*1000000+27*1000+49))</f>
        <v/>
      </c>
      <c r="GB38" s="39">
        <f>IF(N('Dvd Calendar'!$N$304)=0,"",IF(('Dvd Calendar'!$N$304&gt;=GRID_FROM)*('Dvd Calendar'!$N$304&lt;=GRID_TO)*('Dvd Calendar'!$N$304&gt;VAL_DATE)=0,"",'Dvd Calendar'!$N$304*1000000000+ISNUMBER('Dvd Calendar'!$N$305)*100000000+0*10000000+(N('Dvd Calendar'!$N$303)&gt;0)*(N('Dvd Calendar'!$N$303)&lt;=VAL_SERIAL)*1000000+27*1000+50))</f>
        <v/>
      </c>
      <c r="GC38" s="39">
        <f>IF(N('Dvd Calendar'!$O$304)=0,"",IF(('Dvd Calendar'!$O$304&gt;=GRID_FROM)*('Dvd Calendar'!$O$304&lt;=GRID_TO)*('Dvd Calendar'!$O$304&gt;VAL_DATE)=0,"",'Dvd Calendar'!$O$304*1000000000+ISNUMBER('Dvd Calendar'!$O$305)*100000000+0*10000000+(N('Dvd Calendar'!$O$303)&gt;0)*(N('Dvd Calendar'!$O$303)&lt;=VAL_SERIAL)*1000000+27*1000+51))</f>
        <v/>
      </c>
      <c r="GD38" s="39">
        <f>IF(N('Dvd Calendar'!$P$304)=0,"",IF(('Dvd Calendar'!$P$304&gt;=GRID_FROM)*('Dvd Calendar'!$P$304&lt;=GRID_TO)*('Dvd Calendar'!$P$304&gt;VAL_DATE)=0,"",'Dvd Calendar'!$P$304*1000000000+ISNUMBER('Dvd Calendar'!$P$305)*100000000+0*10000000+(N('Dvd Calendar'!$P$303)&gt;0)*(N('Dvd Calendar'!$P$303)&lt;=VAL_SERIAL)*1000000+27*1000+52))</f>
        <v/>
      </c>
      <c r="GE38" s="39">
        <f>IF(N('Dvd Calendar'!$Q$304)=0,"",IF(('Dvd Calendar'!$Q$304&gt;=GRID_FROM)*('Dvd Calendar'!$Q$304&lt;=GRID_TO)*('Dvd Calendar'!$Q$304&gt;VAL_DATE)=0,"",'Dvd Calendar'!$Q$304*1000000000+ISNUMBER('Dvd Calendar'!$Q$305)*100000000+0*10000000+(N('Dvd Calendar'!$Q$303)&gt;0)*(N('Dvd Calendar'!$Q$303)&lt;=VAL_SERIAL)*1000000+27*1000+53))</f>
        <v/>
      </c>
      <c r="GF38" s="39">
        <f>IF(N('Dvd Calendar'!$R$304)=0,"",IF(('Dvd Calendar'!$R$304&gt;=GRID_FROM)*('Dvd Calendar'!$R$304&lt;=GRID_TO)*('Dvd Calendar'!$R$304&gt;VAL_DATE)=0,"",'Dvd Calendar'!$R$304*1000000000+ISNUMBER('Dvd Calendar'!$R$305)*100000000+0*10000000+(N('Dvd Calendar'!$R$303)&gt;0)*(N('Dvd Calendar'!$R$303)&lt;=VAL_SERIAL)*1000000+27*1000+54))</f>
        <v/>
      </c>
      <c r="GG38" s="39">
        <f>IF(N('Dvd Calendar'!$S$304)=0,"",IF(('Dvd Calendar'!$S$304&gt;=GRID_FROM)*('Dvd Calendar'!$S$304&lt;=GRID_TO)*('Dvd Calendar'!$S$304&gt;VAL_DATE)=0,"",'Dvd Calendar'!$S$304*1000000000+ISNUMBER('Dvd Calendar'!$S$305)*100000000+0*10000000+(N('Dvd Calendar'!$S$303)&gt;0)*(N('Dvd Calendar'!$S$303)&lt;=VAL_SERIAL)*1000000+27*1000+55))</f>
        <v/>
      </c>
      <c r="GH38" s="39">
        <f>IF(N('Dvd Calendar'!$T$304)=0,"",IF(('Dvd Calendar'!$T$304&gt;=GRID_FROM)*('Dvd Calendar'!$T$304&lt;=GRID_TO)*('Dvd Calendar'!$T$304&gt;VAL_DATE)=0,"",'Dvd Calendar'!$T$304*1000000000+ISNUMBER('Dvd Calendar'!$T$305)*100000000+0*10000000+(N('Dvd Calendar'!$T$303)&gt;0)*(N('Dvd Calendar'!$T$303)&lt;=VAL_SERIAL)*1000000+27*1000+56))</f>
        <v/>
      </c>
      <c r="GI38" s="39">
        <f>IF(N('Dvd Calendar'!$U$304)=0,"",IF(('Dvd Calendar'!$U$304&gt;=GRID_FROM)*('Dvd Calendar'!$U$304&lt;=GRID_TO)*('Dvd Calendar'!$U$304&gt;VAL_DATE)=0,"",'Dvd Calendar'!$U$304*1000000000+ISNUMBER('Dvd Calendar'!$U$305)*100000000+0*10000000+(N('Dvd Calendar'!$U$303)&gt;0)*(N('Dvd Calendar'!$U$303)&lt;=VAL_SERIAL)*1000000+27*1000+57))</f>
        <v/>
      </c>
      <c r="GJ38" s="39">
        <f>IF(N('Dvd Calendar'!$V$304)=0,"",IF(('Dvd Calendar'!$V$304&gt;=GRID_FROM)*('Dvd Calendar'!$V$304&lt;=GRID_TO)*('Dvd Calendar'!$V$304&gt;VAL_DATE)=0,"",'Dvd Calendar'!$V$304*1000000000+ISNUMBER('Dvd Calendar'!$V$305)*100000000+0*10000000+(N('Dvd Calendar'!$V$303)&gt;0)*(N('Dvd Calendar'!$V$303)&lt;=VAL_SERIAL)*1000000+27*1000+58))</f>
        <v/>
      </c>
      <c r="GK38" s="39">
        <f>IF(N('Dvd Calendar'!$W$304)=0,"",IF(('Dvd Calendar'!$W$304&gt;=GRID_FROM)*('Dvd Calendar'!$W$304&lt;=GRID_TO)*('Dvd Calendar'!$W$304&gt;VAL_DATE)=0,"",'Dvd Calendar'!$W$304*1000000000+ISNUMBER('Dvd Calendar'!$W$305)*100000000+0*10000000+(N('Dvd Calendar'!$W$303)&gt;0)*(N('Dvd Calendar'!$W$303)&lt;=VAL_SERIAL)*1000000+27*1000+59))</f>
        <v/>
      </c>
      <c r="GL38" s="39">
        <f>IF(N('Dvd Calendar'!$X$304)=0,"",IF(('Dvd Calendar'!$X$304&gt;=GRID_FROM)*('Dvd Calendar'!$X$304&lt;=GRID_TO)*('Dvd Calendar'!$X$304&gt;VAL_DATE)=0,"",'Dvd Calendar'!$X$304*1000000000+ISNUMBER('Dvd Calendar'!$X$305)*100000000+0*10000000+(N('Dvd Calendar'!$X$303)&gt;0)*(N('Dvd Calendar'!$X$303)&lt;=VAL_SERIAL)*1000000+27*1000+60))</f>
        <v/>
      </c>
      <c r="GM38" s="39">
        <f>IF(N('Dvd Calendar'!$Y$304)=0,"",IF(('Dvd Calendar'!$Y$304&gt;=GRID_FROM)*('Dvd Calendar'!$Y$304&lt;=GRID_TO)*('Dvd Calendar'!$Y$304&gt;VAL_DATE)=0,"",'Dvd Calendar'!$Y$304*1000000000+ISNUMBER('Dvd Calendar'!$Y$305)*100000000+0*10000000+(N('Dvd Calendar'!$Y$303)&gt;0)*(N('Dvd Calendar'!$Y$303)&lt;=VAL_SERIAL)*1000000+27*1000+61))</f>
        <v/>
      </c>
      <c r="GN38" s="39">
        <f>IF(N('Dvd Calendar'!$Z$304)=0,"",IF(('Dvd Calendar'!$Z$304&gt;=GRID_FROM)*('Dvd Calendar'!$Z$304&lt;=GRID_TO)*('Dvd Calendar'!$Z$304&gt;VAL_DATE)=0,"",'Dvd Calendar'!$Z$304*1000000000+ISNUMBER('Dvd Calendar'!$Z$305)*100000000+0*10000000+(N('Dvd Calendar'!$Z$303)&gt;0)*(N('Dvd Calendar'!$Z$303)&lt;=VAL_SERIAL)*1000000+27*1000+62))</f>
        <v/>
      </c>
      <c r="GO38" s="39">
        <f>IF(N('Dvd Calendar'!$AA$304)=0,"",IF(('Dvd Calendar'!$AA$304&gt;=GRID_FROM)*('Dvd Calendar'!$AA$304&lt;=GRID_TO)*('Dvd Calendar'!$AA$304&gt;VAL_DATE)=0,"",'Dvd Calendar'!$AA$304*1000000000+ISNUMBER('Dvd Calendar'!$AA$305)*100000000+0*10000000+(N('Dvd Calendar'!$AA$303)&gt;0)*(N('Dvd Calendar'!$AA$303)&lt;=VAL_SERIAL)*1000000+27*1000+63))</f>
        <v/>
      </c>
      <c r="GP38" s="39">
        <f>IF(N('Dvd Calendar'!$AB$304)=0,"",IF(('Dvd Calendar'!$AB$304&gt;=GRID_FROM)*('Dvd Calendar'!$AB$304&lt;=GRID_TO)*('Dvd Calendar'!$AB$304&gt;VAL_DATE)=0,"",'Dvd Calendar'!$AB$304*1000000000+ISNUMBER('Dvd Calendar'!$AB$305)*100000000+0*10000000+(N('Dvd Calendar'!$AB$303)&gt;0)*(N('Dvd Calendar'!$AB$303)&lt;=VAL_SERIAL)*1000000+27*1000+64))</f>
        <v/>
      </c>
      <c r="GQ38" s="39">
        <f>IF(N('Dvd Calendar'!$AC$304)=0,"",IF(('Dvd Calendar'!$AC$304&gt;=GRID_FROM)*('Dvd Calendar'!$AC$304&lt;=GRID_TO)*('Dvd Calendar'!$AC$304&gt;VAL_DATE)=0,"",'Dvd Calendar'!$AC$304*1000000000+ISNUMBER('Dvd Calendar'!$AC$305)*100000000+0*10000000+(N('Dvd Calendar'!$AC$303)&gt;0)*(N('Dvd Calendar'!$AC$303)&lt;=VAL_SERIAL)*1000000+27*1000+65))</f>
        <v/>
      </c>
    </row>
    <row r="39">
      <c r="B39" s="2">
        <f>IF(HSI!$C$34="","",HSI!$C$34)</f>
        <v/>
      </c>
      <c r="C39" s="110">
        <f>IF(EE39="","",IF(ISNUMBER('Dvd Calendar'!$E$311)=FALSE,"",IF((('Dvd Calendar'!$E$313=TYPE1)*(TYPE1&lt;&gt;"")+('Dvd Calendar'!$E$313=TYPE2)*(TYPE2&lt;&gt;"")+('Dvd Calendar'!$E$313=TYPE3)*(TYPE3&lt;&gt;"")+('Dvd Calendar'!$E$313=TYPE4)*(TYPE4&lt;&gt;"")+('Dvd Calendar'!$E$313=SPECIAL_LBL)*(INC_SPECIALS="Y"))=0,"",'Dvd Calendar'!$E$311)))</f>
        <v/>
      </c>
      <c r="D39" s="110">
        <f>IF(EF39="","",IF(ISNUMBER('Dvd Calendar'!$F$311)=FALSE,"",IF((('Dvd Calendar'!$F$313=TYPE1)*(TYPE1&lt;&gt;"")+('Dvd Calendar'!$F$313=TYPE2)*(TYPE2&lt;&gt;"")+('Dvd Calendar'!$F$313=TYPE3)*(TYPE3&lt;&gt;"")+('Dvd Calendar'!$F$313=TYPE4)*(TYPE4&lt;&gt;"")+('Dvd Calendar'!$F$313=SPECIAL_LBL)*(INC_SPECIALS="Y"))=0,"",'Dvd Calendar'!$F$311)))</f>
        <v/>
      </c>
      <c r="E39" s="110">
        <f>IF(EG39="","",IF(ISNUMBER('Dvd Calendar'!$G$311)=FALSE,"",IF((('Dvd Calendar'!$G$313=TYPE1)*(TYPE1&lt;&gt;"")+('Dvd Calendar'!$G$313=TYPE2)*(TYPE2&lt;&gt;"")+('Dvd Calendar'!$G$313=TYPE3)*(TYPE3&lt;&gt;"")+('Dvd Calendar'!$G$313=TYPE4)*(TYPE4&lt;&gt;"")+('Dvd Calendar'!$G$313=SPECIAL_LBL)*(INC_SPECIALS="Y"))=0,"",'Dvd Calendar'!$G$311)))</f>
        <v/>
      </c>
      <c r="F39" s="110">
        <f>IF(EH39="","",IF(ISNUMBER('Dvd Calendar'!$H$311)=FALSE,"",IF((('Dvd Calendar'!$H$313=TYPE1)*(TYPE1&lt;&gt;"")+('Dvd Calendar'!$H$313=TYPE2)*(TYPE2&lt;&gt;"")+('Dvd Calendar'!$H$313=TYPE3)*(TYPE3&lt;&gt;"")+('Dvd Calendar'!$H$313=TYPE4)*(TYPE4&lt;&gt;"")+('Dvd Calendar'!$H$313=SPECIAL_LBL)*(INC_SPECIALS="Y"))=0,"",'Dvd Calendar'!$H$311)))</f>
        <v/>
      </c>
      <c r="G39" s="110">
        <f>IF(EI39="","",IF(ISNUMBER('Dvd Calendar'!$I$311)=FALSE,"",IF((('Dvd Calendar'!$I$313=TYPE1)*(TYPE1&lt;&gt;"")+('Dvd Calendar'!$I$313=TYPE2)*(TYPE2&lt;&gt;"")+('Dvd Calendar'!$I$313=TYPE3)*(TYPE3&lt;&gt;"")+('Dvd Calendar'!$I$313=TYPE4)*(TYPE4&lt;&gt;"")+('Dvd Calendar'!$I$313=SPECIAL_LBL)*(INC_SPECIALS="Y"))=0,"",'Dvd Calendar'!$I$311)))</f>
        <v/>
      </c>
      <c r="H39" s="110">
        <f>IF(EJ39="","",IF(ISNUMBER('Dvd Calendar'!$J$311)=FALSE,"",IF((('Dvd Calendar'!$J$313=TYPE1)*(TYPE1&lt;&gt;"")+('Dvd Calendar'!$J$313=TYPE2)*(TYPE2&lt;&gt;"")+('Dvd Calendar'!$J$313=TYPE3)*(TYPE3&lt;&gt;"")+('Dvd Calendar'!$J$313=TYPE4)*(TYPE4&lt;&gt;"")+('Dvd Calendar'!$J$313=SPECIAL_LBL)*(INC_SPECIALS="Y"))=0,"",'Dvd Calendar'!$J$311)))</f>
        <v/>
      </c>
      <c r="I39" s="110">
        <f>IF(EK39="","",IF(ISNUMBER('Dvd Calendar'!$K$311)=FALSE,"",IF((('Dvd Calendar'!$K$313=TYPE1)*(TYPE1&lt;&gt;"")+('Dvd Calendar'!$K$313=TYPE2)*(TYPE2&lt;&gt;"")+('Dvd Calendar'!$K$313=TYPE3)*(TYPE3&lt;&gt;"")+('Dvd Calendar'!$K$313=TYPE4)*(TYPE4&lt;&gt;"")+('Dvd Calendar'!$K$313=SPECIAL_LBL)*(INC_SPECIALS="Y"))=0,"",'Dvd Calendar'!$K$311)))</f>
        <v/>
      </c>
      <c r="J39" s="110">
        <f>IF(EL39="","",IF(ISNUMBER('Dvd Calendar'!$L$311)=FALSE,"",IF((('Dvd Calendar'!$L$313=TYPE1)*(TYPE1&lt;&gt;"")+('Dvd Calendar'!$L$313=TYPE2)*(TYPE2&lt;&gt;"")+('Dvd Calendar'!$L$313=TYPE3)*(TYPE3&lt;&gt;"")+('Dvd Calendar'!$L$313=TYPE4)*(TYPE4&lt;&gt;"")+('Dvd Calendar'!$L$313=SPECIAL_LBL)*(INC_SPECIALS="Y"))=0,"",'Dvd Calendar'!$L$311)))</f>
        <v/>
      </c>
      <c r="K39" s="110">
        <f>IF(EM39="","",IF(ISNUMBER('Dvd Calendar'!$M$311)=FALSE,"",IF((('Dvd Calendar'!$M$313=TYPE1)*(TYPE1&lt;&gt;"")+('Dvd Calendar'!$M$313=TYPE2)*(TYPE2&lt;&gt;"")+('Dvd Calendar'!$M$313=TYPE3)*(TYPE3&lt;&gt;"")+('Dvd Calendar'!$M$313=TYPE4)*(TYPE4&lt;&gt;"")+('Dvd Calendar'!$M$313=SPECIAL_LBL)*(INC_SPECIALS="Y"))=0,"",'Dvd Calendar'!$M$311)))</f>
        <v/>
      </c>
      <c r="L39" s="110">
        <f>IF(EN39="","",IF(ISNUMBER('Dvd Calendar'!$N$311)=FALSE,"",IF((('Dvd Calendar'!$N$313=TYPE1)*(TYPE1&lt;&gt;"")+('Dvd Calendar'!$N$313=TYPE2)*(TYPE2&lt;&gt;"")+('Dvd Calendar'!$N$313=TYPE3)*(TYPE3&lt;&gt;"")+('Dvd Calendar'!$N$313=TYPE4)*(TYPE4&lt;&gt;"")+('Dvd Calendar'!$N$313=SPECIAL_LBL)*(INC_SPECIALS="Y"))=0,"",'Dvd Calendar'!$N$311)))</f>
        <v/>
      </c>
      <c r="M39" s="110">
        <f>IF(EO39="","",IF(ISNUMBER('Dvd Calendar'!$O$311)=FALSE,"",IF((('Dvd Calendar'!$O$313=TYPE1)*(TYPE1&lt;&gt;"")+('Dvd Calendar'!$O$313=TYPE2)*(TYPE2&lt;&gt;"")+('Dvd Calendar'!$O$313=TYPE3)*(TYPE3&lt;&gt;"")+('Dvd Calendar'!$O$313=TYPE4)*(TYPE4&lt;&gt;"")+('Dvd Calendar'!$O$313=SPECIAL_LBL)*(INC_SPECIALS="Y"))=0,"",'Dvd Calendar'!$O$311)))</f>
        <v/>
      </c>
      <c r="N39" s="110">
        <f>IF(EP39="","",IF(ISNUMBER('Dvd Calendar'!$P$311)=FALSE,"",IF((('Dvd Calendar'!$P$313=TYPE1)*(TYPE1&lt;&gt;"")+('Dvd Calendar'!$P$313=TYPE2)*(TYPE2&lt;&gt;"")+('Dvd Calendar'!$P$313=TYPE3)*(TYPE3&lt;&gt;"")+('Dvd Calendar'!$P$313=TYPE4)*(TYPE4&lt;&gt;"")+('Dvd Calendar'!$P$313=SPECIAL_LBL)*(INC_SPECIALS="Y"))=0,"",'Dvd Calendar'!$P$311)))</f>
        <v/>
      </c>
      <c r="O39" s="110">
        <f>IF(EQ39="","",IF(ISNUMBER('Dvd Calendar'!$Q$311)=FALSE,"",IF((('Dvd Calendar'!$Q$313=TYPE1)*(TYPE1&lt;&gt;"")+('Dvd Calendar'!$Q$313=TYPE2)*(TYPE2&lt;&gt;"")+('Dvd Calendar'!$Q$313=TYPE3)*(TYPE3&lt;&gt;"")+('Dvd Calendar'!$Q$313=TYPE4)*(TYPE4&lt;&gt;"")+('Dvd Calendar'!$Q$313=SPECIAL_LBL)*(INC_SPECIALS="Y"))=0,"",'Dvd Calendar'!$Q$311)))</f>
        <v/>
      </c>
      <c r="P39" s="110">
        <f>IF(ER39="","",IF(ISNUMBER('Dvd Calendar'!$R$311)=FALSE,"",IF((('Dvd Calendar'!$R$313=TYPE1)*(TYPE1&lt;&gt;"")+('Dvd Calendar'!$R$313=TYPE2)*(TYPE2&lt;&gt;"")+('Dvd Calendar'!$R$313=TYPE3)*(TYPE3&lt;&gt;"")+('Dvd Calendar'!$R$313=TYPE4)*(TYPE4&lt;&gt;"")+('Dvd Calendar'!$R$313=SPECIAL_LBL)*(INC_SPECIALS="Y"))=0,"",'Dvd Calendar'!$R$311)))</f>
        <v/>
      </c>
      <c r="Q39" s="110">
        <f>IF(ES39="","",IF(ISNUMBER('Dvd Calendar'!$S$311)=FALSE,"",IF((('Dvd Calendar'!$S$313=TYPE1)*(TYPE1&lt;&gt;"")+('Dvd Calendar'!$S$313=TYPE2)*(TYPE2&lt;&gt;"")+('Dvd Calendar'!$S$313=TYPE3)*(TYPE3&lt;&gt;"")+('Dvd Calendar'!$S$313=TYPE4)*(TYPE4&lt;&gt;"")+('Dvd Calendar'!$S$313=SPECIAL_LBL)*(INC_SPECIALS="Y"))=0,"",'Dvd Calendar'!$S$311)))</f>
        <v/>
      </c>
      <c r="R39" s="110">
        <f>IF(ET39="","",IF(ISNUMBER('Dvd Calendar'!$T$311)=FALSE,"",IF((('Dvd Calendar'!$T$313=TYPE1)*(TYPE1&lt;&gt;"")+('Dvd Calendar'!$T$313=TYPE2)*(TYPE2&lt;&gt;"")+('Dvd Calendar'!$T$313=TYPE3)*(TYPE3&lt;&gt;"")+('Dvd Calendar'!$T$313=TYPE4)*(TYPE4&lt;&gt;"")+('Dvd Calendar'!$T$313=SPECIAL_LBL)*(INC_SPECIALS="Y"))=0,"",'Dvd Calendar'!$T$311)))</f>
        <v/>
      </c>
      <c r="S39" s="110">
        <f>IF(EU39="","",IF(ISNUMBER('Dvd Calendar'!$U$311)=FALSE,"",IF((('Dvd Calendar'!$U$313=TYPE1)*(TYPE1&lt;&gt;"")+('Dvd Calendar'!$U$313=TYPE2)*(TYPE2&lt;&gt;"")+('Dvd Calendar'!$U$313=TYPE3)*(TYPE3&lt;&gt;"")+('Dvd Calendar'!$U$313=TYPE4)*(TYPE4&lt;&gt;"")+('Dvd Calendar'!$U$313=SPECIAL_LBL)*(INC_SPECIALS="Y"))=0,"",'Dvd Calendar'!$U$311)))</f>
        <v/>
      </c>
      <c r="T39" s="110">
        <f>IF(EV39="","",IF(ISNUMBER('Dvd Calendar'!$V$311)=FALSE,"",IF((('Dvd Calendar'!$V$313=TYPE1)*(TYPE1&lt;&gt;"")+('Dvd Calendar'!$V$313=TYPE2)*(TYPE2&lt;&gt;"")+('Dvd Calendar'!$V$313=TYPE3)*(TYPE3&lt;&gt;"")+('Dvd Calendar'!$V$313=TYPE4)*(TYPE4&lt;&gt;"")+('Dvd Calendar'!$V$313=SPECIAL_LBL)*(INC_SPECIALS="Y"))=0,"",'Dvd Calendar'!$V$311)))</f>
        <v/>
      </c>
      <c r="U39" s="110">
        <f>IF(EW39="","",IF(ISNUMBER('Dvd Calendar'!$W$311)=FALSE,"",IF((('Dvd Calendar'!$W$313=TYPE1)*(TYPE1&lt;&gt;"")+('Dvd Calendar'!$W$313=TYPE2)*(TYPE2&lt;&gt;"")+('Dvd Calendar'!$W$313=TYPE3)*(TYPE3&lt;&gt;"")+('Dvd Calendar'!$W$313=TYPE4)*(TYPE4&lt;&gt;"")+('Dvd Calendar'!$W$313=SPECIAL_LBL)*(INC_SPECIALS="Y"))=0,"",'Dvd Calendar'!$W$311)))</f>
        <v/>
      </c>
      <c r="V39" s="110">
        <f>IF(EX39="","",IF(ISNUMBER('Dvd Calendar'!$X$311)=FALSE,"",IF((('Dvd Calendar'!$X$313=TYPE1)*(TYPE1&lt;&gt;"")+('Dvd Calendar'!$X$313=TYPE2)*(TYPE2&lt;&gt;"")+('Dvd Calendar'!$X$313=TYPE3)*(TYPE3&lt;&gt;"")+('Dvd Calendar'!$X$313=TYPE4)*(TYPE4&lt;&gt;"")+('Dvd Calendar'!$X$313=SPECIAL_LBL)*(INC_SPECIALS="Y"))=0,"",'Dvd Calendar'!$X$311)))</f>
        <v/>
      </c>
      <c r="W39" s="110">
        <f>IF(EY39="","",IF(ISNUMBER('Dvd Calendar'!$Y$311)=FALSE,"",IF((('Dvd Calendar'!$Y$313=TYPE1)*(TYPE1&lt;&gt;"")+('Dvd Calendar'!$Y$313=TYPE2)*(TYPE2&lt;&gt;"")+('Dvd Calendar'!$Y$313=TYPE3)*(TYPE3&lt;&gt;"")+('Dvd Calendar'!$Y$313=TYPE4)*(TYPE4&lt;&gt;"")+('Dvd Calendar'!$Y$313=SPECIAL_LBL)*(INC_SPECIALS="Y"))=0,"",'Dvd Calendar'!$Y$311)))</f>
        <v/>
      </c>
      <c r="X39" s="110">
        <f>IF(EZ39="","",IF(ISNUMBER('Dvd Calendar'!$Z$311)=FALSE,"",IF((('Dvd Calendar'!$Z$313=TYPE1)*(TYPE1&lt;&gt;"")+('Dvd Calendar'!$Z$313=TYPE2)*(TYPE2&lt;&gt;"")+('Dvd Calendar'!$Z$313=TYPE3)*(TYPE3&lt;&gt;"")+('Dvd Calendar'!$Z$313=TYPE4)*(TYPE4&lt;&gt;"")+('Dvd Calendar'!$Z$313=SPECIAL_LBL)*(INC_SPECIALS="Y"))=0,"",'Dvd Calendar'!$Z$311)))</f>
        <v/>
      </c>
      <c r="Y39" s="110">
        <f>IF(FA39="","",IF(ISNUMBER('Dvd Calendar'!$AA$311)=FALSE,"",IF((('Dvd Calendar'!$AA$313=TYPE1)*(TYPE1&lt;&gt;"")+('Dvd Calendar'!$AA$313=TYPE2)*(TYPE2&lt;&gt;"")+('Dvd Calendar'!$AA$313=TYPE3)*(TYPE3&lt;&gt;"")+('Dvd Calendar'!$AA$313=TYPE4)*(TYPE4&lt;&gt;"")+('Dvd Calendar'!$AA$313=SPECIAL_LBL)*(INC_SPECIALS="Y"))=0,"",'Dvd Calendar'!$AA$311)))</f>
        <v/>
      </c>
      <c r="Z39" s="110">
        <f>IF(FB39="","",IF(ISNUMBER('Dvd Calendar'!$AB$311)=FALSE,"",IF((('Dvd Calendar'!$AB$313=TYPE1)*(TYPE1&lt;&gt;"")+('Dvd Calendar'!$AB$313=TYPE2)*(TYPE2&lt;&gt;"")+('Dvd Calendar'!$AB$313=TYPE3)*(TYPE3&lt;&gt;"")+('Dvd Calendar'!$AB$313=TYPE4)*(TYPE4&lt;&gt;"")+('Dvd Calendar'!$AB$313=SPECIAL_LBL)*(INC_SPECIALS="Y"))=0,"",'Dvd Calendar'!$AB$311)))</f>
        <v/>
      </c>
      <c r="AA39" s="110">
        <f>IF(FC39="","",IF(ISNUMBER('Dvd Calendar'!$AC$311)=FALSE,"",IF((('Dvd Calendar'!$AC$313=TYPE1)*(TYPE1&lt;&gt;"")+('Dvd Calendar'!$AC$313=TYPE2)*(TYPE2&lt;&gt;"")+('Dvd Calendar'!$AC$313=TYPE3)*(TYPE3&lt;&gt;"")+('Dvd Calendar'!$AC$313=TYPE4)*(TYPE4&lt;&gt;"")+('Dvd Calendar'!$AC$313=SPECIAL_LBL)*(INC_SPECIALS="Y"))=0,"",'Dvd Calendar'!$AC$311)))</f>
        <v/>
      </c>
      <c r="AB39" s="110">
        <f>IF(FD39="","",IF(ISNUMBER('Dvd Calendar'!$AD$311)=FALSE,"",IF((('Dvd Calendar'!$AD$313=TYPE1)*(TYPE1&lt;&gt;"")+('Dvd Calendar'!$AD$313=TYPE2)*(TYPE2&lt;&gt;"")+('Dvd Calendar'!$AD$313=TYPE3)*(TYPE3&lt;&gt;"")+('Dvd Calendar'!$AD$313=TYPE4)*(TYPE4&lt;&gt;"")+('Dvd Calendar'!$AD$313=SPECIAL_LBL)*(INC_SPECIALS="Y"))=0,"",'Dvd Calendar'!$AD$311)))</f>
        <v/>
      </c>
      <c r="AC39" s="110">
        <f>IF(FE39="","",IF(ISNUMBER('Dvd Calendar'!$AE$311)=FALSE,"",IF((('Dvd Calendar'!$AE$313=TYPE1)*(TYPE1&lt;&gt;"")+('Dvd Calendar'!$AE$313=TYPE2)*(TYPE2&lt;&gt;"")+('Dvd Calendar'!$AE$313=TYPE3)*(TYPE3&lt;&gt;"")+('Dvd Calendar'!$AE$313=TYPE4)*(TYPE4&lt;&gt;"")+('Dvd Calendar'!$AE$313=SPECIAL_LBL)*(INC_SPECIALS="Y"))=0,"",'Dvd Calendar'!$AE$311)))</f>
        <v/>
      </c>
      <c r="AD39" s="110">
        <f>IF(FF39="","",IF(ISNUMBER('Dvd Calendar'!$AF$311)=FALSE,"",IF((('Dvd Calendar'!$AF$313=TYPE1)*(TYPE1&lt;&gt;"")+('Dvd Calendar'!$AF$313=TYPE2)*(TYPE2&lt;&gt;"")+('Dvd Calendar'!$AF$313=TYPE3)*(TYPE3&lt;&gt;"")+('Dvd Calendar'!$AF$313=TYPE4)*(TYPE4&lt;&gt;"")+('Dvd Calendar'!$AF$313=SPECIAL_LBL)*(INC_SPECIALS="Y"))=0,"",'Dvd Calendar'!$AF$311)))</f>
        <v/>
      </c>
      <c r="AE39" s="110">
        <f>IF(FG39="","",IF(ISNUMBER('Dvd Calendar'!$AG$311)=FALSE,"",IF((('Dvd Calendar'!$AG$313=TYPE1)*(TYPE1&lt;&gt;"")+('Dvd Calendar'!$AG$313=TYPE2)*(TYPE2&lt;&gt;"")+('Dvd Calendar'!$AG$313=TYPE3)*(TYPE3&lt;&gt;"")+('Dvd Calendar'!$AG$313=TYPE4)*(TYPE4&lt;&gt;"")+('Dvd Calendar'!$AG$313=SPECIAL_LBL)*(INC_SPECIALS="Y"))=0,"",'Dvd Calendar'!$AG$311)))</f>
        <v/>
      </c>
      <c r="AF39" s="110">
        <f>IF(FH39="","",IF(ISNUMBER('Dvd Calendar'!$AH$311)=FALSE,"",IF((('Dvd Calendar'!$AH$313=TYPE1)*(TYPE1&lt;&gt;"")+('Dvd Calendar'!$AH$313=TYPE2)*(TYPE2&lt;&gt;"")+('Dvd Calendar'!$AH$313=TYPE3)*(TYPE3&lt;&gt;"")+('Dvd Calendar'!$AH$313=TYPE4)*(TYPE4&lt;&gt;"")+('Dvd Calendar'!$AH$313=SPECIAL_LBL)*(INC_SPECIALS="Y"))=0,"",'Dvd Calendar'!$AH$311)))</f>
        <v/>
      </c>
      <c r="AG39" s="110">
        <f>IF(FI39="","",IF(ISNUMBER('Dvd Calendar'!$AI$311)=FALSE,"",IF((('Dvd Calendar'!$AI$313=TYPE1)*(TYPE1&lt;&gt;"")+('Dvd Calendar'!$AI$313=TYPE2)*(TYPE2&lt;&gt;"")+('Dvd Calendar'!$AI$313=TYPE3)*(TYPE3&lt;&gt;"")+('Dvd Calendar'!$AI$313=TYPE4)*(TYPE4&lt;&gt;"")+('Dvd Calendar'!$AI$313=SPECIAL_LBL)*(INC_SPECIALS="Y"))=0,"",'Dvd Calendar'!$AI$311)))</f>
        <v/>
      </c>
      <c r="AH39" s="110">
        <f>IF(FJ39="","",IF(ISNUMBER('Dvd Calendar'!$AJ$311)=FALSE,"",IF((('Dvd Calendar'!$AJ$313=TYPE1)*(TYPE1&lt;&gt;"")+('Dvd Calendar'!$AJ$313=TYPE2)*(TYPE2&lt;&gt;"")+('Dvd Calendar'!$AJ$313=TYPE3)*(TYPE3&lt;&gt;"")+('Dvd Calendar'!$AJ$313=TYPE4)*(TYPE4&lt;&gt;"")+('Dvd Calendar'!$AJ$313=SPECIAL_LBL)*(INC_SPECIALS="Y"))=0,"",'Dvd Calendar'!$AJ$311)))</f>
        <v/>
      </c>
      <c r="AI39" s="110">
        <f>IF(FK39="","",IF(ISNUMBER('Dvd Calendar'!$AK$311)=FALSE,"",IF((('Dvd Calendar'!$AK$313=TYPE1)*(TYPE1&lt;&gt;"")+('Dvd Calendar'!$AK$313=TYPE2)*(TYPE2&lt;&gt;"")+('Dvd Calendar'!$AK$313=TYPE3)*(TYPE3&lt;&gt;"")+('Dvd Calendar'!$AK$313=TYPE4)*(TYPE4&lt;&gt;"")+('Dvd Calendar'!$AK$313=SPECIAL_LBL)*(INC_SPECIALS="Y"))=0,"",'Dvd Calendar'!$AK$311)))</f>
        <v/>
      </c>
      <c r="AJ39" s="110">
        <f>IF(FL39="","",IF(ISNUMBER('Dvd Calendar'!$AL$311)=FALSE,"",IF((('Dvd Calendar'!$AL$313=TYPE1)*(TYPE1&lt;&gt;"")+('Dvd Calendar'!$AL$313=TYPE2)*(TYPE2&lt;&gt;"")+('Dvd Calendar'!$AL$313=TYPE3)*(TYPE3&lt;&gt;"")+('Dvd Calendar'!$AL$313=TYPE4)*(TYPE4&lt;&gt;"")+('Dvd Calendar'!$AL$313=SPECIAL_LBL)*(INC_SPECIALS="Y"))=0,"",'Dvd Calendar'!$AL$311)))</f>
        <v/>
      </c>
      <c r="AK39" s="110">
        <f>IF(FM39="","",IF(ISNUMBER('Dvd Calendar'!$AM$311)=FALSE,"",IF((('Dvd Calendar'!$AM$313=TYPE1)*(TYPE1&lt;&gt;"")+('Dvd Calendar'!$AM$313=TYPE2)*(TYPE2&lt;&gt;"")+('Dvd Calendar'!$AM$313=TYPE3)*(TYPE3&lt;&gt;"")+('Dvd Calendar'!$AM$313=TYPE4)*(TYPE4&lt;&gt;"")+('Dvd Calendar'!$AM$313=SPECIAL_LBL)*(INC_SPECIALS="Y"))=0,"",'Dvd Calendar'!$AM$311)))</f>
        <v/>
      </c>
      <c r="AL39" s="110">
        <f>IF(FN39="","",IF(ISNUMBER('Dvd Calendar'!$AN$311)=FALSE,"",IF((('Dvd Calendar'!$AN$313=TYPE1)*(TYPE1&lt;&gt;"")+('Dvd Calendar'!$AN$313=TYPE2)*(TYPE2&lt;&gt;"")+('Dvd Calendar'!$AN$313=TYPE3)*(TYPE3&lt;&gt;"")+('Dvd Calendar'!$AN$313=TYPE4)*(TYPE4&lt;&gt;"")+('Dvd Calendar'!$AN$313=SPECIAL_LBL)*(INC_SPECIALS="Y"))=0,"",'Dvd Calendar'!$AN$311)))</f>
        <v/>
      </c>
      <c r="AM39" s="110">
        <f>IF(FO39="","",IF(ISNUMBER('Dvd Calendar'!$AO$311)=FALSE,"",IF((('Dvd Calendar'!$AO$313=TYPE1)*(TYPE1&lt;&gt;"")+('Dvd Calendar'!$AO$313=TYPE2)*(TYPE2&lt;&gt;"")+('Dvd Calendar'!$AO$313=TYPE3)*(TYPE3&lt;&gt;"")+('Dvd Calendar'!$AO$313=TYPE4)*(TYPE4&lt;&gt;"")+('Dvd Calendar'!$AO$313=SPECIAL_LBL)*(INC_SPECIALS="Y"))=0,"",'Dvd Calendar'!$AO$311)))</f>
        <v/>
      </c>
      <c r="AN39" s="110">
        <f>IF(FP39="","",IF(ISNUMBER('Dvd Calendar'!$AP$311)=FALSE,"",IF((('Dvd Calendar'!$AP$313=TYPE1)*(TYPE1&lt;&gt;"")+('Dvd Calendar'!$AP$313=TYPE2)*(TYPE2&lt;&gt;"")+('Dvd Calendar'!$AP$313=TYPE3)*(TYPE3&lt;&gt;"")+('Dvd Calendar'!$AP$313=TYPE4)*(TYPE4&lt;&gt;"")+('Dvd Calendar'!$AP$313=SPECIAL_LBL)*(INC_SPECIALS="Y"))=0,"",'Dvd Calendar'!$AP$311)))</f>
        <v/>
      </c>
      <c r="AO39" s="110">
        <f>IF(FQ39="","",IF(ISNUMBER('Dvd Calendar'!$AQ$311)=FALSE,"",IF((('Dvd Calendar'!$AQ$313=TYPE1)*(TYPE1&lt;&gt;"")+('Dvd Calendar'!$AQ$313=TYPE2)*(TYPE2&lt;&gt;"")+('Dvd Calendar'!$AQ$313=TYPE3)*(TYPE3&lt;&gt;"")+('Dvd Calendar'!$AQ$313=TYPE4)*(TYPE4&lt;&gt;"")+('Dvd Calendar'!$AQ$313=SPECIAL_LBL)*(INC_SPECIALS="Y"))=0,"",'Dvd Calendar'!$AQ$311)))</f>
        <v/>
      </c>
      <c r="AP39" s="110">
        <f>IF(FR39="","",IF(ISNUMBER('Dvd Calendar'!$AR$311)=FALSE,"",IF((('Dvd Calendar'!$AR$313=TYPE1)*(TYPE1&lt;&gt;"")+('Dvd Calendar'!$AR$313=TYPE2)*(TYPE2&lt;&gt;"")+('Dvd Calendar'!$AR$313=TYPE3)*(TYPE3&lt;&gt;"")+('Dvd Calendar'!$AR$313=TYPE4)*(TYPE4&lt;&gt;"")+('Dvd Calendar'!$AR$313=SPECIAL_LBL)*(INC_SPECIALS="Y"))=0,"",'Dvd Calendar'!$AR$311)))</f>
        <v/>
      </c>
      <c r="AQ39" s="110">
        <f>IF(FS39="","",IF(ISNUMBER('Dvd Calendar'!$E$316)=FALSE,"",'Dvd Calendar'!$E$316))</f>
        <v/>
      </c>
      <c r="AR39" s="110">
        <f>IF(FT39="","",IF(ISNUMBER('Dvd Calendar'!$F$316)=FALSE,"",'Dvd Calendar'!$F$316))</f>
        <v/>
      </c>
      <c r="AS39" s="110">
        <f>IF(FU39="","",IF(ISNUMBER('Dvd Calendar'!$G$316)=FALSE,"",'Dvd Calendar'!$G$316))</f>
        <v/>
      </c>
      <c r="AT39" s="110">
        <f>IF(FV39="","",IF(ISNUMBER('Dvd Calendar'!$H$316)=FALSE,"",'Dvd Calendar'!$H$316))</f>
        <v/>
      </c>
      <c r="AU39" s="110">
        <f>IF(FW39="","",IF(ISNUMBER('Dvd Calendar'!$I$316)=FALSE,"",'Dvd Calendar'!$I$316))</f>
        <v/>
      </c>
      <c r="AV39" s="110">
        <f>IF(FX39="","",IF(ISNUMBER('Dvd Calendar'!$J$316)=FALSE,"",'Dvd Calendar'!$J$316))</f>
        <v/>
      </c>
      <c r="AW39" s="110">
        <f>IF(FY39="","",IF(ISNUMBER('Dvd Calendar'!$K$316)=FALSE,"",'Dvd Calendar'!$K$316))</f>
        <v/>
      </c>
      <c r="AX39" s="110">
        <f>IF(FZ39="","",IF(ISNUMBER('Dvd Calendar'!$L$316)=FALSE,"",'Dvd Calendar'!$L$316))</f>
        <v/>
      </c>
      <c r="AY39" s="110">
        <f>IF(GA39="","",IF(ISNUMBER('Dvd Calendar'!$M$316)=FALSE,"",'Dvd Calendar'!$M$316))</f>
        <v/>
      </c>
      <c r="AZ39" s="110">
        <f>IF(GB39="","",IF(ISNUMBER('Dvd Calendar'!$N$316)=FALSE,"",'Dvd Calendar'!$N$316))</f>
        <v/>
      </c>
      <c r="BA39" s="110">
        <f>IF(GC39="","",IF(ISNUMBER('Dvd Calendar'!$O$316)=FALSE,"",'Dvd Calendar'!$O$316))</f>
        <v/>
      </c>
      <c r="BB39" s="110">
        <f>IF(GD39="","",IF(ISNUMBER('Dvd Calendar'!$P$316)=FALSE,"",'Dvd Calendar'!$P$316))</f>
        <v/>
      </c>
      <c r="BC39" s="110">
        <f>IF(GE39="","",IF(ISNUMBER('Dvd Calendar'!$Q$316)=FALSE,"",'Dvd Calendar'!$Q$316))</f>
        <v/>
      </c>
      <c r="BD39" s="110">
        <f>IF(GF39="","",IF(ISNUMBER('Dvd Calendar'!$R$316)=FALSE,"",'Dvd Calendar'!$R$316))</f>
        <v/>
      </c>
      <c r="BE39" s="110">
        <f>IF(GG39="","",IF(ISNUMBER('Dvd Calendar'!$S$316)=FALSE,"",'Dvd Calendar'!$S$316))</f>
        <v/>
      </c>
      <c r="BF39" s="110">
        <f>IF(GH39="","",IF(ISNUMBER('Dvd Calendar'!$T$316)=FALSE,"",'Dvd Calendar'!$T$316))</f>
        <v/>
      </c>
      <c r="BG39" s="110">
        <f>IF(GI39="","",IF(ISNUMBER('Dvd Calendar'!$U$316)=FALSE,"",'Dvd Calendar'!$U$316))</f>
        <v/>
      </c>
      <c r="BH39" s="110">
        <f>IF(GJ39="","",IF(ISNUMBER('Dvd Calendar'!$V$316)=FALSE,"",'Dvd Calendar'!$V$316))</f>
        <v/>
      </c>
      <c r="BI39" s="110">
        <f>IF(GK39="","",IF(ISNUMBER('Dvd Calendar'!$W$316)=FALSE,"",'Dvd Calendar'!$W$316))</f>
        <v/>
      </c>
      <c r="BJ39" s="110">
        <f>IF(GL39="","",IF(ISNUMBER('Dvd Calendar'!$X$316)=FALSE,"",'Dvd Calendar'!$X$316))</f>
        <v/>
      </c>
      <c r="BK39" s="110">
        <f>IF(GM39="","",IF(ISNUMBER('Dvd Calendar'!$Y$316)=FALSE,"",'Dvd Calendar'!$Y$316))</f>
        <v/>
      </c>
      <c r="BL39" s="110">
        <f>IF(GN39="","",IF(ISNUMBER('Dvd Calendar'!$Z$316)=FALSE,"",'Dvd Calendar'!$Z$316))</f>
        <v/>
      </c>
      <c r="BM39" s="110">
        <f>IF(GO39="","",IF(ISNUMBER('Dvd Calendar'!$AA$316)=FALSE,"",'Dvd Calendar'!$AA$316))</f>
        <v/>
      </c>
      <c r="BN39" s="110">
        <f>IF(GP39="","",IF(ISNUMBER('Dvd Calendar'!$AB$316)=FALSE,"",'Dvd Calendar'!$AB$316))</f>
        <v/>
      </c>
      <c r="BO39" s="110">
        <f>IF(GQ39="","",IF(ISNUMBER('Dvd Calendar'!$AC$316)=FALSE,"",'Dvd Calendar'!$AC$316))</f>
        <v/>
      </c>
      <c r="BQ39" s="110">
        <f>IF(C39="","",IFERROR(C39*HSI!$B$34*HSI!$G$34/HSI!$B$3,""))</f>
        <v/>
      </c>
      <c r="BR39" s="110">
        <f>IF(D39="","",IFERROR(D39*HSI!$B$34*HSI!$G$34/HSI!$B$3,""))</f>
        <v/>
      </c>
      <c r="BS39" s="110">
        <f>IF(E39="","",IFERROR(E39*HSI!$B$34*HSI!$G$34/HSI!$B$3,""))</f>
        <v/>
      </c>
      <c r="BT39" s="110">
        <f>IF(F39="","",IFERROR(F39*HSI!$B$34*HSI!$G$34/HSI!$B$3,""))</f>
        <v/>
      </c>
      <c r="BU39" s="110">
        <f>IF(G39="","",IFERROR(G39*HSI!$B$34*HSI!$G$34/HSI!$B$3,""))</f>
        <v/>
      </c>
      <c r="BV39" s="110">
        <f>IF(H39="","",IFERROR(H39*HSI!$B$34*HSI!$G$34/HSI!$B$3,""))</f>
        <v/>
      </c>
      <c r="BW39" s="110">
        <f>IF(I39="","",IFERROR(I39*HSI!$B$34*HSI!$G$34/HSI!$B$3,""))</f>
        <v/>
      </c>
      <c r="BX39" s="110">
        <f>IF(J39="","",IFERROR(J39*HSI!$B$34*HSI!$G$34/HSI!$B$3,""))</f>
        <v/>
      </c>
      <c r="BY39" s="110">
        <f>IF(K39="","",IFERROR(K39*HSI!$B$34*HSI!$G$34/HSI!$B$3,""))</f>
        <v/>
      </c>
      <c r="BZ39" s="110">
        <f>IF(L39="","",IFERROR(L39*HSI!$B$34*HSI!$G$34/HSI!$B$3,""))</f>
        <v/>
      </c>
      <c r="CA39" s="110">
        <f>IF(M39="","",IFERROR(M39*HSI!$B$34*HSI!$G$34/HSI!$B$3,""))</f>
        <v/>
      </c>
      <c r="CB39" s="110">
        <f>IF(N39="","",IFERROR(N39*HSI!$B$34*HSI!$G$34/HSI!$B$3,""))</f>
        <v/>
      </c>
      <c r="CC39" s="110">
        <f>IF(O39="","",IFERROR(O39*HSI!$B$34*HSI!$G$34/HSI!$B$3,""))</f>
        <v/>
      </c>
      <c r="CD39" s="110">
        <f>IF(P39="","",IFERROR(P39*HSI!$B$34*HSI!$G$34/HSI!$B$3,""))</f>
        <v/>
      </c>
      <c r="CE39" s="110">
        <f>IF(Q39="","",IFERROR(Q39*HSI!$B$34*HSI!$G$34/HSI!$B$3,""))</f>
        <v/>
      </c>
      <c r="CF39" s="110">
        <f>IF(R39="","",IFERROR(R39*HSI!$B$34*HSI!$G$34/HSI!$B$3,""))</f>
        <v/>
      </c>
      <c r="CG39" s="110">
        <f>IF(S39="","",IFERROR(S39*HSI!$B$34*HSI!$G$34/HSI!$B$3,""))</f>
        <v/>
      </c>
      <c r="CH39" s="110">
        <f>IF(T39="","",IFERROR(T39*HSI!$B$34*HSI!$G$34/HSI!$B$3,""))</f>
        <v/>
      </c>
      <c r="CI39" s="110">
        <f>IF(U39="","",IFERROR(U39*HSI!$B$34*HSI!$G$34/HSI!$B$3,""))</f>
        <v/>
      </c>
      <c r="CJ39" s="110">
        <f>IF(V39="","",IFERROR(V39*HSI!$B$34*HSI!$G$34/HSI!$B$3,""))</f>
        <v/>
      </c>
      <c r="CK39" s="110">
        <f>IF(W39="","",IFERROR(W39*HSI!$B$34*HSI!$G$34/HSI!$B$3,""))</f>
        <v/>
      </c>
      <c r="CL39" s="110">
        <f>IF(X39="","",IFERROR(X39*HSI!$B$34*HSI!$G$34/HSI!$B$3,""))</f>
        <v/>
      </c>
      <c r="CM39" s="110">
        <f>IF(Y39="","",IFERROR(Y39*HSI!$B$34*HSI!$G$34/HSI!$B$3,""))</f>
        <v/>
      </c>
      <c r="CN39" s="110">
        <f>IF(Z39="","",IFERROR(Z39*HSI!$B$34*HSI!$G$34/HSI!$B$3,""))</f>
        <v/>
      </c>
      <c r="CO39" s="110">
        <f>IF(AA39="","",IFERROR(AA39*HSI!$B$34*HSI!$G$34/HSI!$B$3,""))</f>
        <v/>
      </c>
      <c r="CP39" s="110">
        <f>IF(AB39="","",IFERROR(AB39*HSI!$B$34*HSI!$G$34/HSI!$B$3,""))</f>
        <v/>
      </c>
      <c r="CQ39" s="110">
        <f>IF(AC39="","",IFERROR(AC39*HSI!$B$34*HSI!$G$34/HSI!$B$3,""))</f>
        <v/>
      </c>
      <c r="CR39" s="110">
        <f>IF(AD39="","",IFERROR(AD39*HSI!$B$34*HSI!$G$34/HSI!$B$3,""))</f>
        <v/>
      </c>
      <c r="CS39" s="110">
        <f>IF(AE39="","",IFERROR(AE39*HSI!$B$34*HSI!$G$34/HSI!$B$3,""))</f>
        <v/>
      </c>
      <c r="CT39" s="110">
        <f>IF(AF39="","",IFERROR(AF39*HSI!$B$34*HSI!$G$34/HSI!$B$3,""))</f>
        <v/>
      </c>
      <c r="CU39" s="110">
        <f>IF(AG39="","",IFERROR(AG39*HSI!$B$34*HSI!$G$34/HSI!$B$3,""))</f>
        <v/>
      </c>
      <c r="CV39" s="110">
        <f>IF(AH39="","",IFERROR(AH39*HSI!$B$34*HSI!$G$34/HSI!$B$3,""))</f>
        <v/>
      </c>
      <c r="CW39" s="110">
        <f>IF(AI39="","",IFERROR(AI39*HSI!$B$34*HSI!$G$34/HSI!$B$3,""))</f>
        <v/>
      </c>
      <c r="CX39" s="110">
        <f>IF(AJ39="","",IFERROR(AJ39*HSI!$B$34*HSI!$G$34/HSI!$B$3,""))</f>
        <v/>
      </c>
      <c r="CY39" s="110">
        <f>IF(AK39="","",IFERROR(AK39*HSI!$B$34*HSI!$G$34/HSI!$B$3,""))</f>
        <v/>
      </c>
      <c r="CZ39" s="110">
        <f>IF(AL39="","",IFERROR(AL39*HSI!$B$34*HSI!$G$34/HSI!$B$3,""))</f>
        <v/>
      </c>
      <c r="DA39" s="110">
        <f>IF(AM39="","",IFERROR(AM39*HSI!$B$34*HSI!$G$34/HSI!$B$3,""))</f>
        <v/>
      </c>
      <c r="DB39" s="110">
        <f>IF(AN39="","",IFERROR(AN39*HSI!$B$34*HSI!$G$34/HSI!$B$3,""))</f>
        <v/>
      </c>
      <c r="DC39" s="110">
        <f>IF(AO39="","",IFERROR(AO39*HSI!$B$34*HSI!$G$34/HSI!$B$3,""))</f>
        <v/>
      </c>
      <c r="DD39" s="110">
        <f>IF(AP39="","",IFERROR(AP39*HSI!$B$34*HSI!$G$34/HSI!$B$3,""))</f>
        <v/>
      </c>
      <c r="DE39" s="110">
        <f>IF(AQ39="","",IFERROR(AQ39*HSI!$B$34*HSI!$G$34/HSI!$B$3,""))</f>
        <v/>
      </c>
      <c r="DF39" s="110">
        <f>IF(AR39="","",IFERROR(AR39*HSI!$B$34*HSI!$G$34/HSI!$B$3,""))</f>
        <v/>
      </c>
      <c r="DG39" s="110">
        <f>IF(AS39="","",IFERROR(AS39*HSI!$B$34*HSI!$G$34/HSI!$B$3,""))</f>
        <v/>
      </c>
      <c r="DH39" s="110">
        <f>IF(AT39="","",IFERROR(AT39*HSI!$B$34*HSI!$G$34/HSI!$B$3,""))</f>
        <v/>
      </c>
      <c r="DI39" s="110">
        <f>IF(AU39="","",IFERROR(AU39*HSI!$B$34*HSI!$G$34/HSI!$B$3,""))</f>
        <v/>
      </c>
      <c r="DJ39" s="110">
        <f>IF(AV39="","",IFERROR(AV39*HSI!$B$34*HSI!$G$34/HSI!$B$3,""))</f>
        <v/>
      </c>
      <c r="DK39" s="110">
        <f>IF(AW39="","",IFERROR(AW39*HSI!$B$34*HSI!$G$34/HSI!$B$3,""))</f>
        <v/>
      </c>
      <c r="DL39" s="110">
        <f>IF(AX39="","",IFERROR(AX39*HSI!$B$34*HSI!$G$34/HSI!$B$3,""))</f>
        <v/>
      </c>
      <c r="DM39" s="110">
        <f>IF(AY39="","",IFERROR(AY39*HSI!$B$34*HSI!$G$34/HSI!$B$3,""))</f>
        <v/>
      </c>
      <c r="DN39" s="110">
        <f>IF(AZ39="","",IFERROR(AZ39*HSI!$B$34*HSI!$G$34/HSI!$B$3,""))</f>
        <v/>
      </c>
      <c r="DO39" s="110">
        <f>IF(BA39="","",IFERROR(BA39*HSI!$B$34*HSI!$G$34/HSI!$B$3,""))</f>
        <v/>
      </c>
      <c r="DP39" s="110">
        <f>IF(BB39="","",IFERROR(BB39*HSI!$B$34*HSI!$G$34/HSI!$B$3,""))</f>
        <v/>
      </c>
      <c r="DQ39" s="110">
        <f>IF(BC39="","",IFERROR(BC39*HSI!$B$34*HSI!$G$34/HSI!$B$3,""))</f>
        <v/>
      </c>
      <c r="DR39" s="110">
        <f>IF(BD39="","",IFERROR(BD39*HSI!$B$34*HSI!$G$34/HSI!$B$3,""))</f>
        <v/>
      </c>
      <c r="DS39" s="110">
        <f>IF(BE39="","",IFERROR(BE39*HSI!$B$34*HSI!$G$34/HSI!$B$3,""))</f>
        <v/>
      </c>
      <c r="DT39" s="110">
        <f>IF(BF39="","",IFERROR(BF39*HSI!$B$34*HSI!$G$34/HSI!$B$3,""))</f>
        <v/>
      </c>
      <c r="DU39" s="110">
        <f>IF(BG39="","",IFERROR(BG39*HSI!$B$34*HSI!$G$34/HSI!$B$3,""))</f>
        <v/>
      </c>
      <c r="DV39" s="110">
        <f>IF(BH39="","",IFERROR(BH39*HSI!$B$34*HSI!$G$34/HSI!$B$3,""))</f>
        <v/>
      </c>
      <c r="DW39" s="110">
        <f>IF(BI39="","",IFERROR(BI39*HSI!$B$34*HSI!$G$34/HSI!$B$3,""))</f>
        <v/>
      </c>
      <c r="DX39" s="110">
        <f>IF(BJ39="","",IFERROR(BJ39*HSI!$B$34*HSI!$G$34/HSI!$B$3,""))</f>
        <v/>
      </c>
      <c r="DY39" s="110">
        <f>IF(BK39="","",IFERROR(BK39*HSI!$B$34*HSI!$G$34/HSI!$B$3,""))</f>
        <v/>
      </c>
      <c r="DZ39" s="110">
        <f>IF(BL39="","",IFERROR(BL39*HSI!$B$34*HSI!$G$34/HSI!$B$3,""))</f>
        <v/>
      </c>
      <c r="EA39" s="110">
        <f>IF(BM39="","",IFERROR(BM39*HSI!$B$34*HSI!$G$34/HSI!$B$3,""))</f>
        <v/>
      </c>
      <c r="EB39" s="110">
        <f>IF(BN39="","",IFERROR(BN39*HSI!$B$34*HSI!$G$34/HSI!$B$3,""))</f>
        <v/>
      </c>
      <c r="EC39" s="110">
        <f>IF(BO39="","",IFERROR(BO39*HSI!$B$34*HSI!$G$34/HSI!$B$3,""))</f>
        <v/>
      </c>
      <c r="EE39" s="39">
        <f>IF(N('Dvd Calendar'!$E$308)=0,"",IF(('Dvd Calendar'!$E$308&gt;=GRID_FROM)*('Dvd Calendar'!$E$308&lt;=GRID_TO)*((('Dvd Calendar'!$E$308&lt;=VAL_DATE)+(COUNTIF('Dvd Calendar'!$E$315:$AR$315,'Dvd Calendar'!$E$308)=0))&gt;0)=0,"",'Dvd Calendar'!$E$308*1000000000+ISNUMBER('Dvd Calendar'!$E$311)*100000000+('Dvd Calendar'!$E$313=SPECIAL_LBL)*10000000+(N('Dvd Calendar'!$E$307)&gt;0)*(N('Dvd Calendar'!$E$307)&lt;=VAL_SERIAL)*1000000+28*1000+1))</f>
        <v/>
      </c>
      <c r="EF39" s="39">
        <f>IF(N('Dvd Calendar'!$F$308)=0,"",IF(('Dvd Calendar'!$F$308&gt;=GRID_FROM)*('Dvd Calendar'!$F$308&lt;=GRID_TO)*((('Dvd Calendar'!$F$308&lt;=VAL_DATE)+(COUNTIF('Dvd Calendar'!$E$315:$AR$315,'Dvd Calendar'!$F$308)=0))&gt;0)=0,"",'Dvd Calendar'!$F$308*1000000000+ISNUMBER('Dvd Calendar'!$F$311)*100000000+('Dvd Calendar'!$F$313=SPECIAL_LBL)*10000000+(N('Dvd Calendar'!$F$307)&gt;0)*(N('Dvd Calendar'!$F$307)&lt;=VAL_SERIAL)*1000000+28*1000+2))</f>
        <v/>
      </c>
      <c r="EG39" s="39">
        <f>IF(N('Dvd Calendar'!$G$308)=0,"",IF(('Dvd Calendar'!$G$308&gt;=GRID_FROM)*('Dvd Calendar'!$G$308&lt;=GRID_TO)*((('Dvd Calendar'!$G$308&lt;=VAL_DATE)+(COUNTIF('Dvd Calendar'!$E$315:$AR$315,'Dvd Calendar'!$G$308)=0))&gt;0)=0,"",'Dvd Calendar'!$G$308*1000000000+ISNUMBER('Dvd Calendar'!$G$311)*100000000+('Dvd Calendar'!$G$313=SPECIAL_LBL)*10000000+(N('Dvd Calendar'!$G$307)&gt;0)*(N('Dvd Calendar'!$G$307)&lt;=VAL_SERIAL)*1000000+28*1000+3))</f>
        <v/>
      </c>
      <c r="EH39" s="39">
        <f>IF(N('Dvd Calendar'!$H$308)=0,"",IF(('Dvd Calendar'!$H$308&gt;=GRID_FROM)*('Dvd Calendar'!$H$308&lt;=GRID_TO)*((('Dvd Calendar'!$H$308&lt;=VAL_DATE)+(COUNTIF('Dvd Calendar'!$E$315:$AR$315,'Dvd Calendar'!$H$308)=0))&gt;0)=0,"",'Dvd Calendar'!$H$308*1000000000+ISNUMBER('Dvd Calendar'!$H$311)*100000000+('Dvd Calendar'!$H$313=SPECIAL_LBL)*10000000+(N('Dvd Calendar'!$H$307)&gt;0)*(N('Dvd Calendar'!$H$307)&lt;=VAL_SERIAL)*1000000+28*1000+4))</f>
        <v/>
      </c>
      <c r="EI39" s="39">
        <f>IF(N('Dvd Calendar'!$I$308)=0,"",IF(('Dvd Calendar'!$I$308&gt;=GRID_FROM)*('Dvd Calendar'!$I$308&lt;=GRID_TO)*((('Dvd Calendar'!$I$308&lt;=VAL_DATE)+(COUNTIF('Dvd Calendar'!$E$315:$AR$315,'Dvd Calendar'!$I$308)=0))&gt;0)=0,"",'Dvd Calendar'!$I$308*1000000000+ISNUMBER('Dvd Calendar'!$I$311)*100000000+('Dvd Calendar'!$I$313=SPECIAL_LBL)*10000000+(N('Dvd Calendar'!$I$307)&gt;0)*(N('Dvd Calendar'!$I$307)&lt;=VAL_SERIAL)*1000000+28*1000+5))</f>
        <v/>
      </c>
      <c r="EJ39" s="39">
        <f>IF(N('Dvd Calendar'!$J$308)=0,"",IF(('Dvd Calendar'!$J$308&gt;=GRID_FROM)*('Dvd Calendar'!$J$308&lt;=GRID_TO)*((('Dvd Calendar'!$J$308&lt;=VAL_DATE)+(COUNTIF('Dvd Calendar'!$E$315:$AR$315,'Dvd Calendar'!$J$308)=0))&gt;0)=0,"",'Dvd Calendar'!$J$308*1000000000+ISNUMBER('Dvd Calendar'!$J$311)*100000000+('Dvd Calendar'!$J$313=SPECIAL_LBL)*10000000+(N('Dvd Calendar'!$J$307)&gt;0)*(N('Dvd Calendar'!$J$307)&lt;=VAL_SERIAL)*1000000+28*1000+6))</f>
        <v/>
      </c>
      <c r="EK39" s="39">
        <f>IF(N('Dvd Calendar'!$K$308)=0,"",IF(('Dvd Calendar'!$K$308&gt;=GRID_FROM)*('Dvd Calendar'!$K$308&lt;=GRID_TO)*((('Dvd Calendar'!$K$308&lt;=VAL_DATE)+(COUNTIF('Dvd Calendar'!$E$315:$AR$315,'Dvd Calendar'!$K$308)=0))&gt;0)=0,"",'Dvd Calendar'!$K$308*1000000000+ISNUMBER('Dvd Calendar'!$K$311)*100000000+('Dvd Calendar'!$K$313=SPECIAL_LBL)*10000000+(N('Dvd Calendar'!$K$307)&gt;0)*(N('Dvd Calendar'!$K$307)&lt;=VAL_SERIAL)*1000000+28*1000+7))</f>
        <v/>
      </c>
      <c r="EL39" s="39">
        <f>IF(N('Dvd Calendar'!$L$308)=0,"",IF(('Dvd Calendar'!$L$308&gt;=GRID_FROM)*('Dvd Calendar'!$L$308&lt;=GRID_TO)*((('Dvd Calendar'!$L$308&lt;=VAL_DATE)+(COUNTIF('Dvd Calendar'!$E$315:$AR$315,'Dvd Calendar'!$L$308)=0))&gt;0)=0,"",'Dvd Calendar'!$L$308*1000000000+ISNUMBER('Dvd Calendar'!$L$311)*100000000+('Dvd Calendar'!$L$313=SPECIAL_LBL)*10000000+(N('Dvd Calendar'!$L$307)&gt;0)*(N('Dvd Calendar'!$L$307)&lt;=VAL_SERIAL)*1000000+28*1000+8))</f>
        <v/>
      </c>
      <c r="EM39" s="39">
        <f>IF(N('Dvd Calendar'!$M$308)=0,"",IF(('Dvd Calendar'!$M$308&gt;=GRID_FROM)*('Dvd Calendar'!$M$308&lt;=GRID_TO)*((('Dvd Calendar'!$M$308&lt;=VAL_DATE)+(COUNTIF('Dvd Calendar'!$E$315:$AR$315,'Dvd Calendar'!$M$308)=0))&gt;0)=0,"",'Dvd Calendar'!$M$308*1000000000+ISNUMBER('Dvd Calendar'!$M$311)*100000000+('Dvd Calendar'!$M$313=SPECIAL_LBL)*10000000+(N('Dvd Calendar'!$M$307)&gt;0)*(N('Dvd Calendar'!$M$307)&lt;=VAL_SERIAL)*1000000+28*1000+9))</f>
        <v/>
      </c>
      <c r="EN39" s="39">
        <f>IF(N('Dvd Calendar'!$N$308)=0,"",IF(('Dvd Calendar'!$N$308&gt;=GRID_FROM)*('Dvd Calendar'!$N$308&lt;=GRID_TO)*((('Dvd Calendar'!$N$308&lt;=VAL_DATE)+(COUNTIF('Dvd Calendar'!$E$315:$AR$315,'Dvd Calendar'!$N$308)=0))&gt;0)=0,"",'Dvd Calendar'!$N$308*1000000000+ISNUMBER('Dvd Calendar'!$N$311)*100000000+('Dvd Calendar'!$N$313=SPECIAL_LBL)*10000000+(N('Dvd Calendar'!$N$307)&gt;0)*(N('Dvd Calendar'!$N$307)&lt;=VAL_SERIAL)*1000000+28*1000+10))</f>
        <v/>
      </c>
      <c r="EO39" s="39">
        <f>IF(N('Dvd Calendar'!$O$308)=0,"",IF(('Dvd Calendar'!$O$308&gt;=GRID_FROM)*('Dvd Calendar'!$O$308&lt;=GRID_TO)*((('Dvd Calendar'!$O$308&lt;=VAL_DATE)+(COUNTIF('Dvd Calendar'!$E$315:$AR$315,'Dvd Calendar'!$O$308)=0))&gt;0)=0,"",'Dvd Calendar'!$O$308*1000000000+ISNUMBER('Dvd Calendar'!$O$311)*100000000+('Dvd Calendar'!$O$313=SPECIAL_LBL)*10000000+(N('Dvd Calendar'!$O$307)&gt;0)*(N('Dvd Calendar'!$O$307)&lt;=VAL_SERIAL)*1000000+28*1000+11))</f>
        <v/>
      </c>
      <c r="EP39" s="39">
        <f>IF(N('Dvd Calendar'!$P$308)=0,"",IF(('Dvd Calendar'!$P$308&gt;=GRID_FROM)*('Dvd Calendar'!$P$308&lt;=GRID_TO)*((('Dvd Calendar'!$P$308&lt;=VAL_DATE)+(COUNTIF('Dvd Calendar'!$E$315:$AR$315,'Dvd Calendar'!$P$308)=0))&gt;0)=0,"",'Dvd Calendar'!$P$308*1000000000+ISNUMBER('Dvd Calendar'!$P$311)*100000000+('Dvd Calendar'!$P$313=SPECIAL_LBL)*10000000+(N('Dvd Calendar'!$P$307)&gt;0)*(N('Dvd Calendar'!$P$307)&lt;=VAL_SERIAL)*1000000+28*1000+12))</f>
        <v/>
      </c>
      <c r="EQ39" s="39">
        <f>IF(N('Dvd Calendar'!$Q$308)=0,"",IF(('Dvd Calendar'!$Q$308&gt;=GRID_FROM)*('Dvd Calendar'!$Q$308&lt;=GRID_TO)*((('Dvd Calendar'!$Q$308&lt;=VAL_DATE)+(COUNTIF('Dvd Calendar'!$E$315:$AR$315,'Dvd Calendar'!$Q$308)=0))&gt;0)=0,"",'Dvd Calendar'!$Q$308*1000000000+ISNUMBER('Dvd Calendar'!$Q$311)*100000000+('Dvd Calendar'!$Q$313=SPECIAL_LBL)*10000000+(N('Dvd Calendar'!$Q$307)&gt;0)*(N('Dvd Calendar'!$Q$307)&lt;=VAL_SERIAL)*1000000+28*1000+13))</f>
        <v/>
      </c>
      <c r="ER39" s="39">
        <f>IF(N('Dvd Calendar'!$R$308)=0,"",IF(('Dvd Calendar'!$R$308&gt;=GRID_FROM)*('Dvd Calendar'!$R$308&lt;=GRID_TO)*((('Dvd Calendar'!$R$308&lt;=VAL_DATE)+(COUNTIF('Dvd Calendar'!$E$315:$AR$315,'Dvd Calendar'!$R$308)=0))&gt;0)=0,"",'Dvd Calendar'!$R$308*1000000000+ISNUMBER('Dvd Calendar'!$R$311)*100000000+('Dvd Calendar'!$R$313=SPECIAL_LBL)*10000000+(N('Dvd Calendar'!$R$307)&gt;0)*(N('Dvd Calendar'!$R$307)&lt;=VAL_SERIAL)*1000000+28*1000+14))</f>
        <v/>
      </c>
      <c r="ES39" s="39">
        <f>IF(N('Dvd Calendar'!$S$308)=0,"",IF(('Dvd Calendar'!$S$308&gt;=GRID_FROM)*('Dvd Calendar'!$S$308&lt;=GRID_TO)*((('Dvd Calendar'!$S$308&lt;=VAL_DATE)+(COUNTIF('Dvd Calendar'!$E$315:$AR$315,'Dvd Calendar'!$S$308)=0))&gt;0)=0,"",'Dvd Calendar'!$S$308*1000000000+ISNUMBER('Dvd Calendar'!$S$311)*100000000+('Dvd Calendar'!$S$313=SPECIAL_LBL)*10000000+(N('Dvd Calendar'!$S$307)&gt;0)*(N('Dvd Calendar'!$S$307)&lt;=VAL_SERIAL)*1000000+28*1000+15))</f>
        <v/>
      </c>
      <c r="ET39" s="39">
        <f>IF(N('Dvd Calendar'!$T$308)=0,"",IF(('Dvd Calendar'!$T$308&gt;=GRID_FROM)*('Dvd Calendar'!$T$308&lt;=GRID_TO)*((('Dvd Calendar'!$T$308&lt;=VAL_DATE)+(COUNTIF('Dvd Calendar'!$E$315:$AR$315,'Dvd Calendar'!$T$308)=0))&gt;0)=0,"",'Dvd Calendar'!$T$308*1000000000+ISNUMBER('Dvd Calendar'!$T$311)*100000000+('Dvd Calendar'!$T$313=SPECIAL_LBL)*10000000+(N('Dvd Calendar'!$T$307)&gt;0)*(N('Dvd Calendar'!$T$307)&lt;=VAL_SERIAL)*1000000+28*1000+16))</f>
        <v/>
      </c>
      <c r="EU39" s="39">
        <f>IF(N('Dvd Calendar'!$U$308)=0,"",IF(('Dvd Calendar'!$U$308&gt;=GRID_FROM)*('Dvd Calendar'!$U$308&lt;=GRID_TO)*((('Dvd Calendar'!$U$308&lt;=VAL_DATE)+(COUNTIF('Dvd Calendar'!$E$315:$AR$315,'Dvd Calendar'!$U$308)=0))&gt;0)=0,"",'Dvd Calendar'!$U$308*1000000000+ISNUMBER('Dvd Calendar'!$U$311)*100000000+('Dvd Calendar'!$U$313=SPECIAL_LBL)*10000000+(N('Dvd Calendar'!$U$307)&gt;0)*(N('Dvd Calendar'!$U$307)&lt;=VAL_SERIAL)*1000000+28*1000+17))</f>
        <v/>
      </c>
      <c r="EV39" s="39">
        <f>IF(N('Dvd Calendar'!$V$308)=0,"",IF(('Dvd Calendar'!$V$308&gt;=GRID_FROM)*('Dvd Calendar'!$V$308&lt;=GRID_TO)*((('Dvd Calendar'!$V$308&lt;=VAL_DATE)+(COUNTIF('Dvd Calendar'!$E$315:$AR$315,'Dvd Calendar'!$V$308)=0))&gt;0)=0,"",'Dvd Calendar'!$V$308*1000000000+ISNUMBER('Dvd Calendar'!$V$311)*100000000+('Dvd Calendar'!$V$313=SPECIAL_LBL)*10000000+(N('Dvd Calendar'!$V$307)&gt;0)*(N('Dvd Calendar'!$V$307)&lt;=VAL_SERIAL)*1000000+28*1000+18))</f>
        <v/>
      </c>
      <c r="EW39" s="39">
        <f>IF(N('Dvd Calendar'!$W$308)=0,"",IF(('Dvd Calendar'!$W$308&gt;=GRID_FROM)*('Dvd Calendar'!$W$308&lt;=GRID_TO)*((('Dvd Calendar'!$W$308&lt;=VAL_DATE)+(COUNTIF('Dvd Calendar'!$E$315:$AR$315,'Dvd Calendar'!$W$308)=0))&gt;0)=0,"",'Dvd Calendar'!$W$308*1000000000+ISNUMBER('Dvd Calendar'!$W$311)*100000000+('Dvd Calendar'!$W$313=SPECIAL_LBL)*10000000+(N('Dvd Calendar'!$W$307)&gt;0)*(N('Dvd Calendar'!$W$307)&lt;=VAL_SERIAL)*1000000+28*1000+19))</f>
        <v/>
      </c>
      <c r="EX39" s="39">
        <f>IF(N('Dvd Calendar'!$X$308)=0,"",IF(('Dvd Calendar'!$X$308&gt;=GRID_FROM)*('Dvd Calendar'!$X$308&lt;=GRID_TO)*((('Dvd Calendar'!$X$308&lt;=VAL_DATE)+(COUNTIF('Dvd Calendar'!$E$315:$AR$315,'Dvd Calendar'!$X$308)=0))&gt;0)=0,"",'Dvd Calendar'!$X$308*1000000000+ISNUMBER('Dvd Calendar'!$X$311)*100000000+('Dvd Calendar'!$X$313=SPECIAL_LBL)*10000000+(N('Dvd Calendar'!$X$307)&gt;0)*(N('Dvd Calendar'!$X$307)&lt;=VAL_SERIAL)*1000000+28*1000+20))</f>
        <v/>
      </c>
      <c r="EY39" s="39">
        <f>IF(N('Dvd Calendar'!$Y$308)=0,"",IF(('Dvd Calendar'!$Y$308&gt;=GRID_FROM)*('Dvd Calendar'!$Y$308&lt;=GRID_TO)*((('Dvd Calendar'!$Y$308&lt;=VAL_DATE)+(COUNTIF('Dvd Calendar'!$E$315:$AR$315,'Dvd Calendar'!$Y$308)=0))&gt;0)=0,"",'Dvd Calendar'!$Y$308*1000000000+ISNUMBER('Dvd Calendar'!$Y$311)*100000000+('Dvd Calendar'!$Y$313=SPECIAL_LBL)*10000000+(N('Dvd Calendar'!$Y$307)&gt;0)*(N('Dvd Calendar'!$Y$307)&lt;=VAL_SERIAL)*1000000+28*1000+21))</f>
        <v/>
      </c>
      <c r="EZ39" s="39">
        <f>IF(N('Dvd Calendar'!$Z$308)=0,"",IF(('Dvd Calendar'!$Z$308&gt;=GRID_FROM)*('Dvd Calendar'!$Z$308&lt;=GRID_TO)*((('Dvd Calendar'!$Z$308&lt;=VAL_DATE)+(COUNTIF('Dvd Calendar'!$E$315:$AR$315,'Dvd Calendar'!$Z$308)=0))&gt;0)=0,"",'Dvd Calendar'!$Z$308*1000000000+ISNUMBER('Dvd Calendar'!$Z$311)*100000000+('Dvd Calendar'!$Z$313=SPECIAL_LBL)*10000000+(N('Dvd Calendar'!$Z$307)&gt;0)*(N('Dvd Calendar'!$Z$307)&lt;=VAL_SERIAL)*1000000+28*1000+22))</f>
        <v/>
      </c>
      <c r="FA39" s="39">
        <f>IF(N('Dvd Calendar'!$AA$308)=0,"",IF(('Dvd Calendar'!$AA$308&gt;=GRID_FROM)*('Dvd Calendar'!$AA$308&lt;=GRID_TO)*((('Dvd Calendar'!$AA$308&lt;=VAL_DATE)+(COUNTIF('Dvd Calendar'!$E$315:$AR$315,'Dvd Calendar'!$AA$308)=0))&gt;0)=0,"",'Dvd Calendar'!$AA$308*1000000000+ISNUMBER('Dvd Calendar'!$AA$311)*100000000+('Dvd Calendar'!$AA$313=SPECIAL_LBL)*10000000+(N('Dvd Calendar'!$AA$307)&gt;0)*(N('Dvd Calendar'!$AA$307)&lt;=VAL_SERIAL)*1000000+28*1000+23))</f>
        <v/>
      </c>
      <c r="FB39" s="39">
        <f>IF(N('Dvd Calendar'!$AB$308)=0,"",IF(('Dvd Calendar'!$AB$308&gt;=GRID_FROM)*('Dvd Calendar'!$AB$308&lt;=GRID_TO)*((('Dvd Calendar'!$AB$308&lt;=VAL_DATE)+(COUNTIF('Dvd Calendar'!$E$315:$AR$315,'Dvd Calendar'!$AB$308)=0))&gt;0)=0,"",'Dvd Calendar'!$AB$308*1000000000+ISNUMBER('Dvd Calendar'!$AB$311)*100000000+('Dvd Calendar'!$AB$313=SPECIAL_LBL)*10000000+(N('Dvd Calendar'!$AB$307)&gt;0)*(N('Dvd Calendar'!$AB$307)&lt;=VAL_SERIAL)*1000000+28*1000+24))</f>
        <v/>
      </c>
      <c r="FC39" s="39">
        <f>IF(N('Dvd Calendar'!$AC$308)=0,"",IF(('Dvd Calendar'!$AC$308&gt;=GRID_FROM)*('Dvd Calendar'!$AC$308&lt;=GRID_TO)*((('Dvd Calendar'!$AC$308&lt;=VAL_DATE)+(COUNTIF('Dvd Calendar'!$E$315:$AR$315,'Dvd Calendar'!$AC$308)=0))&gt;0)=0,"",'Dvd Calendar'!$AC$308*1000000000+ISNUMBER('Dvd Calendar'!$AC$311)*100000000+('Dvd Calendar'!$AC$313=SPECIAL_LBL)*10000000+(N('Dvd Calendar'!$AC$307)&gt;0)*(N('Dvd Calendar'!$AC$307)&lt;=VAL_SERIAL)*1000000+28*1000+25))</f>
        <v/>
      </c>
      <c r="FD39" s="39">
        <f>IF(N('Dvd Calendar'!$AD$308)=0,"",IF(('Dvd Calendar'!$AD$308&gt;=GRID_FROM)*('Dvd Calendar'!$AD$308&lt;=GRID_TO)*((('Dvd Calendar'!$AD$308&lt;=VAL_DATE)+(COUNTIF('Dvd Calendar'!$E$315:$AR$315,'Dvd Calendar'!$AD$308)=0))&gt;0)=0,"",'Dvd Calendar'!$AD$308*1000000000+ISNUMBER('Dvd Calendar'!$AD$311)*100000000+('Dvd Calendar'!$AD$313=SPECIAL_LBL)*10000000+(N('Dvd Calendar'!$AD$307)&gt;0)*(N('Dvd Calendar'!$AD$307)&lt;=VAL_SERIAL)*1000000+28*1000+26))</f>
        <v/>
      </c>
      <c r="FE39" s="39">
        <f>IF(N('Dvd Calendar'!$AE$308)=0,"",IF(('Dvd Calendar'!$AE$308&gt;=GRID_FROM)*('Dvd Calendar'!$AE$308&lt;=GRID_TO)*((('Dvd Calendar'!$AE$308&lt;=VAL_DATE)+(COUNTIF('Dvd Calendar'!$E$315:$AR$315,'Dvd Calendar'!$AE$308)=0))&gt;0)=0,"",'Dvd Calendar'!$AE$308*1000000000+ISNUMBER('Dvd Calendar'!$AE$311)*100000000+('Dvd Calendar'!$AE$313=SPECIAL_LBL)*10000000+(N('Dvd Calendar'!$AE$307)&gt;0)*(N('Dvd Calendar'!$AE$307)&lt;=VAL_SERIAL)*1000000+28*1000+27))</f>
        <v/>
      </c>
      <c r="FF39" s="39">
        <f>IF(N('Dvd Calendar'!$AF$308)=0,"",IF(('Dvd Calendar'!$AF$308&gt;=GRID_FROM)*('Dvd Calendar'!$AF$308&lt;=GRID_TO)*((('Dvd Calendar'!$AF$308&lt;=VAL_DATE)+(COUNTIF('Dvd Calendar'!$E$315:$AR$315,'Dvd Calendar'!$AF$308)=0))&gt;0)=0,"",'Dvd Calendar'!$AF$308*1000000000+ISNUMBER('Dvd Calendar'!$AF$311)*100000000+('Dvd Calendar'!$AF$313=SPECIAL_LBL)*10000000+(N('Dvd Calendar'!$AF$307)&gt;0)*(N('Dvd Calendar'!$AF$307)&lt;=VAL_SERIAL)*1000000+28*1000+28))</f>
        <v/>
      </c>
      <c r="FG39" s="39">
        <f>IF(N('Dvd Calendar'!$AG$308)=0,"",IF(('Dvd Calendar'!$AG$308&gt;=GRID_FROM)*('Dvd Calendar'!$AG$308&lt;=GRID_TO)*((('Dvd Calendar'!$AG$308&lt;=VAL_DATE)+(COUNTIF('Dvd Calendar'!$E$315:$AR$315,'Dvd Calendar'!$AG$308)=0))&gt;0)=0,"",'Dvd Calendar'!$AG$308*1000000000+ISNUMBER('Dvd Calendar'!$AG$311)*100000000+('Dvd Calendar'!$AG$313=SPECIAL_LBL)*10000000+(N('Dvd Calendar'!$AG$307)&gt;0)*(N('Dvd Calendar'!$AG$307)&lt;=VAL_SERIAL)*1000000+28*1000+29))</f>
        <v/>
      </c>
      <c r="FH39" s="39">
        <f>IF(N('Dvd Calendar'!$AH$308)=0,"",IF(('Dvd Calendar'!$AH$308&gt;=GRID_FROM)*('Dvd Calendar'!$AH$308&lt;=GRID_TO)*((('Dvd Calendar'!$AH$308&lt;=VAL_DATE)+(COUNTIF('Dvd Calendar'!$E$315:$AR$315,'Dvd Calendar'!$AH$308)=0))&gt;0)=0,"",'Dvd Calendar'!$AH$308*1000000000+ISNUMBER('Dvd Calendar'!$AH$311)*100000000+('Dvd Calendar'!$AH$313=SPECIAL_LBL)*10000000+(N('Dvd Calendar'!$AH$307)&gt;0)*(N('Dvd Calendar'!$AH$307)&lt;=VAL_SERIAL)*1000000+28*1000+30))</f>
        <v/>
      </c>
      <c r="FI39" s="39">
        <f>IF(N('Dvd Calendar'!$AI$308)=0,"",IF(('Dvd Calendar'!$AI$308&gt;=GRID_FROM)*('Dvd Calendar'!$AI$308&lt;=GRID_TO)*((('Dvd Calendar'!$AI$308&lt;=VAL_DATE)+(COUNTIF('Dvd Calendar'!$E$315:$AR$315,'Dvd Calendar'!$AI$308)=0))&gt;0)=0,"",'Dvd Calendar'!$AI$308*1000000000+ISNUMBER('Dvd Calendar'!$AI$311)*100000000+('Dvd Calendar'!$AI$313=SPECIAL_LBL)*10000000+(N('Dvd Calendar'!$AI$307)&gt;0)*(N('Dvd Calendar'!$AI$307)&lt;=VAL_SERIAL)*1000000+28*1000+31))</f>
        <v/>
      </c>
      <c r="FJ39" s="39">
        <f>IF(N('Dvd Calendar'!$AJ$308)=0,"",IF(('Dvd Calendar'!$AJ$308&gt;=GRID_FROM)*('Dvd Calendar'!$AJ$308&lt;=GRID_TO)*((('Dvd Calendar'!$AJ$308&lt;=VAL_DATE)+(COUNTIF('Dvd Calendar'!$E$315:$AR$315,'Dvd Calendar'!$AJ$308)=0))&gt;0)=0,"",'Dvd Calendar'!$AJ$308*1000000000+ISNUMBER('Dvd Calendar'!$AJ$311)*100000000+('Dvd Calendar'!$AJ$313=SPECIAL_LBL)*10000000+(N('Dvd Calendar'!$AJ$307)&gt;0)*(N('Dvd Calendar'!$AJ$307)&lt;=VAL_SERIAL)*1000000+28*1000+32))</f>
        <v/>
      </c>
      <c r="FK39" s="39">
        <f>IF(N('Dvd Calendar'!$AK$308)=0,"",IF(('Dvd Calendar'!$AK$308&gt;=GRID_FROM)*('Dvd Calendar'!$AK$308&lt;=GRID_TO)*((('Dvd Calendar'!$AK$308&lt;=VAL_DATE)+(COUNTIF('Dvd Calendar'!$E$315:$AR$315,'Dvd Calendar'!$AK$308)=0))&gt;0)=0,"",'Dvd Calendar'!$AK$308*1000000000+ISNUMBER('Dvd Calendar'!$AK$311)*100000000+('Dvd Calendar'!$AK$313=SPECIAL_LBL)*10000000+(N('Dvd Calendar'!$AK$307)&gt;0)*(N('Dvd Calendar'!$AK$307)&lt;=VAL_SERIAL)*1000000+28*1000+33))</f>
        <v/>
      </c>
      <c r="FL39" s="39">
        <f>IF(N('Dvd Calendar'!$AL$308)=0,"",IF(('Dvd Calendar'!$AL$308&gt;=GRID_FROM)*('Dvd Calendar'!$AL$308&lt;=GRID_TO)*((('Dvd Calendar'!$AL$308&lt;=VAL_DATE)+(COUNTIF('Dvd Calendar'!$E$315:$AR$315,'Dvd Calendar'!$AL$308)=0))&gt;0)=0,"",'Dvd Calendar'!$AL$308*1000000000+ISNUMBER('Dvd Calendar'!$AL$311)*100000000+('Dvd Calendar'!$AL$313=SPECIAL_LBL)*10000000+(N('Dvd Calendar'!$AL$307)&gt;0)*(N('Dvd Calendar'!$AL$307)&lt;=VAL_SERIAL)*1000000+28*1000+34))</f>
        <v/>
      </c>
      <c r="FM39" s="39">
        <f>IF(N('Dvd Calendar'!$AM$308)=0,"",IF(('Dvd Calendar'!$AM$308&gt;=GRID_FROM)*('Dvd Calendar'!$AM$308&lt;=GRID_TO)*((('Dvd Calendar'!$AM$308&lt;=VAL_DATE)+(COUNTIF('Dvd Calendar'!$E$315:$AR$315,'Dvd Calendar'!$AM$308)=0))&gt;0)=0,"",'Dvd Calendar'!$AM$308*1000000000+ISNUMBER('Dvd Calendar'!$AM$311)*100000000+('Dvd Calendar'!$AM$313=SPECIAL_LBL)*10000000+(N('Dvd Calendar'!$AM$307)&gt;0)*(N('Dvd Calendar'!$AM$307)&lt;=VAL_SERIAL)*1000000+28*1000+35))</f>
        <v/>
      </c>
      <c r="FN39" s="39">
        <f>IF(N('Dvd Calendar'!$AN$308)=0,"",IF(('Dvd Calendar'!$AN$308&gt;=GRID_FROM)*('Dvd Calendar'!$AN$308&lt;=GRID_TO)*((('Dvd Calendar'!$AN$308&lt;=VAL_DATE)+(COUNTIF('Dvd Calendar'!$E$315:$AR$315,'Dvd Calendar'!$AN$308)=0))&gt;0)=0,"",'Dvd Calendar'!$AN$308*1000000000+ISNUMBER('Dvd Calendar'!$AN$311)*100000000+('Dvd Calendar'!$AN$313=SPECIAL_LBL)*10000000+(N('Dvd Calendar'!$AN$307)&gt;0)*(N('Dvd Calendar'!$AN$307)&lt;=VAL_SERIAL)*1000000+28*1000+36))</f>
        <v/>
      </c>
      <c r="FO39" s="39">
        <f>IF(N('Dvd Calendar'!$AO$308)=0,"",IF(('Dvd Calendar'!$AO$308&gt;=GRID_FROM)*('Dvd Calendar'!$AO$308&lt;=GRID_TO)*((('Dvd Calendar'!$AO$308&lt;=VAL_DATE)+(COUNTIF('Dvd Calendar'!$E$315:$AR$315,'Dvd Calendar'!$AO$308)=0))&gt;0)=0,"",'Dvd Calendar'!$AO$308*1000000000+ISNUMBER('Dvd Calendar'!$AO$311)*100000000+('Dvd Calendar'!$AO$313=SPECIAL_LBL)*10000000+(N('Dvd Calendar'!$AO$307)&gt;0)*(N('Dvd Calendar'!$AO$307)&lt;=VAL_SERIAL)*1000000+28*1000+37))</f>
        <v/>
      </c>
      <c r="FP39" s="39">
        <f>IF(N('Dvd Calendar'!$AP$308)=0,"",IF(('Dvd Calendar'!$AP$308&gt;=GRID_FROM)*('Dvd Calendar'!$AP$308&lt;=GRID_TO)*((('Dvd Calendar'!$AP$308&lt;=VAL_DATE)+(COUNTIF('Dvd Calendar'!$E$315:$AR$315,'Dvd Calendar'!$AP$308)=0))&gt;0)=0,"",'Dvd Calendar'!$AP$308*1000000000+ISNUMBER('Dvd Calendar'!$AP$311)*100000000+('Dvd Calendar'!$AP$313=SPECIAL_LBL)*10000000+(N('Dvd Calendar'!$AP$307)&gt;0)*(N('Dvd Calendar'!$AP$307)&lt;=VAL_SERIAL)*1000000+28*1000+38))</f>
        <v/>
      </c>
      <c r="FQ39" s="39">
        <f>IF(N('Dvd Calendar'!$AQ$308)=0,"",IF(('Dvd Calendar'!$AQ$308&gt;=GRID_FROM)*('Dvd Calendar'!$AQ$308&lt;=GRID_TO)*((('Dvd Calendar'!$AQ$308&lt;=VAL_DATE)+(COUNTIF('Dvd Calendar'!$E$315:$AR$315,'Dvd Calendar'!$AQ$308)=0))&gt;0)=0,"",'Dvd Calendar'!$AQ$308*1000000000+ISNUMBER('Dvd Calendar'!$AQ$311)*100000000+('Dvd Calendar'!$AQ$313=SPECIAL_LBL)*10000000+(N('Dvd Calendar'!$AQ$307)&gt;0)*(N('Dvd Calendar'!$AQ$307)&lt;=VAL_SERIAL)*1000000+28*1000+39))</f>
        <v/>
      </c>
      <c r="FR39" s="39">
        <f>IF(N('Dvd Calendar'!$AR$308)=0,"",IF(('Dvd Calendar'!$AR$308&gt;=GRID_FROM)*('Dvd Calendar'!$AR$308&lt;=GRID_TO)*((('Dvd Calendar'!$AR$308&lt;=VAL_DATE)+(COUNTIF('Dvd Calendar'!$E$315:$AR$315,'Dvd Calendar'!$AR$308)=0))&gt;0)=0,"",'Dvd Calendar'!$AR$308*1000000000+ISNUMBER('Dvd Calendar'!$AR$311)*100000000+('Dvd Calendar'!$AR$313=SPECIAL_LBL)*10000000+(N('Dvd Calendar'!$AR$307)&gt;0)*(N('Dvd Calendar'!$AR$307)&lt;=VAL_SERIAL)*1000000+28*1000+40))</f>
        <v/>
      </c>
      <c r="FS39" s="39">
        <f>IF(N('Dvd Calendar'!$E$315)=0,"",IF(('Dvd Calendar'!$E$315&gt;=GRID_FROM)*('Dvd Calendar'!$E$315&lt;=GRID_TO)*('Dvd Calendar'!$E$315&gt;VAL_DATE)=0,"",'Dvd Calendar'!$E$315*1000000000+ISNUMBER('Dvd Calendar'!$E$316)*100000000+0*10000000+(N('Dvd Calendar'!$E$314)&gt;0)*(N('Dvd Calendar'!$E$314)&lt;=VAL_SERIAL)*1000000+28*1000+41))</f>
        <v/>
      </c>
      <c r="FT39" s="39">
        <f>IF(N('Dvd Calendar'!$F$315)=0,"",IF(('Dvd Calendar'!$F$315&gt;=GRID_FROM)*('Dvd Calendar'!$F$315&lt;=GRID_TO)*('Dvd Calendar'!$F$315&gt;VAL_DATE)=0,"",'Dvd Calendar'!$F$315*1000000000+ISNUMBER('Dvd Calendar'!$F$316)*100000000+0*10000000+(N('Dvd Calendar'!$F$314)&gt;0)*(N('Dvd Calendar'!$F$314)&lt;=VAL_SERIAL)*1000000+28*1000+42))</f>
        <v/>
      </c>
      <c r="FU39" s="39">
        <f>IF(N('Dvd Calendar'!$G$315)=0,"",IF(('Dvd Calendar'!$G$315&gt;=GRID_FROM)*('Dvd Calendar'!$G$315&lt;=GRID_TO)*('Dvd Calendar'!$G$315&gt;VAL_DATE)=0,"",'Dvd Calendar'!$G$315*1000000000+ISNUMBER('Dvd Calendar'!$G$316)*100000000+0*10000000+(N('Dvd Calendar'!$G$314)&gt;0)*(N('Dvd Calendar'!$G$314)&lt;=VAL_SERIAL)*1000000+28*1000+43))</f>
        <v/>
      </c>
      <c r="FV39" s="39">
        <f>IF(N('Dvd Calendar'!$H$315)=0,"",IF(('Dvd Calendar'!$H$315&gt;=GRID_FROM)*('Dvd Calendar'!$H$315&lt;=GRID_TO)*('Dvd Calendar'!$H$315&gt;VAL_DATE)=0,"",'Dvd Calendar'!$H$315*1000000000+ISNUMBER('Dvd Calendar'!$H$316)*100000000+0*10000000+(N('Dvd Calendar'!$H$314)&gt;0)*(N('Dvd Calendar'!$H$314)&lt;=VAL_SERIAL)*1000000+28*1000+44))</f>
        <v/>
      </c>
      <c r="FW39" s="39">
        <f>IF(N('Dvd Calendar'!$I$315)=0,"",IF(('Dvd Calendar'!$I$315&gt;=GRID_FROM)*('Dvd Calendar'!$I$315&lt;=GRID_TO)*('Dvd Calendar'!$I$315&gt;VAL_DATE)=0,"",'Dvd Calendar'!$I$315*1000000000+ISNUMBER('Dvd Calendar'!$I$316)*100000000+0*10000000+(N('Dvd Calendar'!$I$314)&gt;0)*(N('Dvd Calendar'!$I$314)&lt;=VAL_SERIAL)*1000000+28*1000+45))</f>
        <v/>
      </c>
      <c r="FX39" s="39">
        <f>IF(N('Dvd Calendar'!$J$315)=0,"",IF(('Dvd Calendar'!$J$315&gt;=GRID_FROM)*('Dvd Calendar'!$J$315&lt;=GRID_TO)*('Dvd Calendar'!$J$315&gt;VAL_DATE)=0,"",'Dvd Calendar'!$J$315*1000000000+ISNUMBER('Dvd Calendar'!$J$316)*100000000+0*10000000+(N('Dvd Calendar'!$J$314)&gt;0)*(N('Dvd Calendar'!$J$314)&lt;=VAL_SERIAL)*1000000+28*1000+46))</f>
        <v/>
      </c>
      <c r="FY39" s="39">
        <f>IF(N('Dvd Calendar'!$K$315)=0,"",IF(('Dvd Calendar'!$K$315&gt;=GRID_FROM)*('Dvd Calendar'!$K$315&lt;=GRID_TO)*('Dvd Calendar'!$K$315&gt;VAL_DATE)=0,"",'Dvd Calendar'!$K$315*1000000000+ISNUMBER('Dvd Calendar'!$K$316)*100000000+0*10000000+(N('Dvd Calendar'!$K$314)&gt;0)*(N('Dvd Calendar'!$K$314)&lt;=VAL_SERIAL)*1000000+28*1000+47))</f>
        <v/>
      </c>
      <c r="FZ39" s="39">
        <f>IF(N('Dvd Calendar'!$L$315)=0,"",IF(('Dvd Calendar'!$L$315&gt;=GRID_FROM)*('Dvd Calendar'!$L$315&lt;=GRID_TO)*('Dvd Calendar'!$L$315&gt;VAL_DATE)=0,"",'Dvd Calendar'!$L$315*1000000000+ISNUMBER('Dvd Calendar'!$L$316)*100000000+0*10000000+(N('Dvd Calendar'!$L$314)&gt;0)*(N('Dvd Calendar'!$L$314)&lt;=VAL_SERIAL)*1000000+28*1000+48))</f>
        <v/>
      </c>
      <c r="GA39" s="39">
        <f>IF(N('Dvd Calendar'!$M$315)=0,"",IF(('Dvd Calendar'!$M$315&gt;=GRID_FROM)*('Dvd Calendar'!$M$315&lt;=GRID_TO)*('Dvd Calendar'!$M$315&gt;VAL_DATE)=0,"",'Dvd Calendar'!$M$315*1000000000+ISNUMBER('Dvd Calendar'!$M$316)*100000000+0*10000000+(N('Dvd Calendar'!$M$314)&gt;0)*(N('Dvd Calendar'!$M$314)&lt;=VAL_SERIAL)*1000000+28*1000+49))</f>
        <v/>
      </c>
      <c r="GB39" s="39">
        <f>IF(N('Dvd Calendar'!$N$315)=0,"",IF(('Dvd Calendar'!$N$315&gt;=GRID_FROM)*('Dvd Calendar'!$N$315&lt;=GRID_TO)*('Dvd Calendar'!$N$315&gt;VAL_DATE)=0,"",'Dvd Calendar'!$N$315*1000000000+ISNUMBER('Dvd Calendar'!$N$316)*100000000+0*10000000+(N('Dvd Calendar'!$N$314)&gt;0)*(N('Dvd Calendar'!$N$314)&lt;=VAL_SERIAL)*1000000+28*1000+50))</f>
        <v/>
      </c>
      <c r="GC39" s="39">
        <f>IF(N('Dvd Calendar'!$O$315)=0,"",IF(('Dvd Calendar'!$O$315&gt;=GRID_FROM)*('Dvd Calendar'!$O$315&lt;=GRID_TO)*('Dvd Calendar'!$O$315&gt;VAL_DATE)=0,"",'Dvd Calendar'!$O$315*1000000000+ISNUMBER('Dvd Calendar'!$O$316)*100000000+0*10000000+(N('Dvd Calendar'!$O$314)&gt;0)*(N('Dvd Calendar'!$O$314)&lt;=VAL_SERIAL)*1000000+28*1000+51))</f>
        <v/>
      </c>
      <c r="GD39" s="39">
        <f>IF(N('Dvd Calendar'!$P$315)=0,"",IF(('Dvd Calendar'!$P$315&gt;=GRID_FROM)*('Dvd Calendar'!$P$315&lt;=GRID_TO)*('Dvd Calendar'!$P$315&gt;VAL_DATE)=0,"",'Dvd Calendar'!$P$315*1000000000+ISNUMBER('Dvd Calendar'!$P$316)*100000000+0*10000000+(N('Dvd Calendar'!$P$314)&gt;0)*(N('Dvd Calendar'!$P$314)&lt;=VAL_SERIAL)*1000000+28*1000+52))</f>
        <v/>
      </c>
      <c r="GE39" s="39">
        <f>IF(N('Dvd Calendar'!$Q$315)=0,"",IF(('Dvd Calendar'!$Q$315&gt;=GRID_FROM)*('Dvd Calendar'!$Q$315&lt;=GRID_TO)*('Dvd Calendar'!$Q$315&gt;VAL_DATE)=0,"",'Dvd Calendar'!$Q$315*1000000000+ISNUMBER('Dvd Calendar'!$Q$316)*100000000+0*10000000+(N('Dvd Calendar'!$Q$314)&gt;0)*(N('Dvd Calendar'!$Q$314)&lt;=VAL_SERIAL)*1000000+28*1000+53))</f>
        <v/>
      </c>
      <c r="GF39" s="39">
        <f>IF(N('Dvd Calendar'!$R$315)=0,"",IF(('Dvd Calendar'!$R$315&gt;=GRID_FROM)*('Dvd Calendar'!$R$315&lt;=GRID_TO)*('Dvd Calendar'!$R$315&gt;VAL_DATE)=0,"",'Dvd Calendar'!$R$315*1000000000+ISNUMBER('Dvd Calendar'!$R$316)*100000000+0*10000000+(N('Dvd Calendar'!$R$314)&gt;0)*(N('Dvd Calendar'!$R$314)&lt;=VAL_SERIAL)*1000000+28*1000+54))</f>
        <v/>
      </c>
      <c r="GG39" s="39">
        <f>IF(N('Dvd Calendar'!$S$315)=0,"",IF(('Dvd Calendar'!$S$315&gt;=GRID_FROM)*('Dvd Calendar'!$S$315&lt;=GRID_TO)*('Dvd Calendar'!$S$315&gt;VAL_DATE)=0,"",'Dvd Calendar'!$S$315*1000000000+ISNUMBER('Dvd Calendar'!$S$316)*100000000+0*10000000+(N('Dvd Calendar'!$S$314)&gt;0)*(N('Dvd Calendar'!$S$314)&lt;=VAL_SERIAL)*1000000+28*1000+55))</f>
        <v/>
      </c>
      <c r="GH39" s="39">
        <f>IF(N('Dvd Calendar'!$T$315)=0,"",IF(('Dvd Calendar'!$T$315&gt;=GRID_FROM)*('Dvd Calendar'!$T$315&lt;=GRID_TO)*('Dvd Calendar'!$T$315&gt;VAL_DATE)=0,"",'Dvd Calendar'!$T$315*1000000000+ISNUMBER('Dvd Calendar'!$T$316)*100000000+0*10000000+(N('Dvd Calendar'!$T$314)&gt;0)*(N('Dvd Calendar'!$T$314)&lt;=VAL_SERIAL)*1000000+28*1000+56))</f>
        <v/>
      </c>
      <c r="GI39" s="39">
        <f>IF(N('Dvd Calendar'!$U$315)=0,"",IF(('Dvd Calendar'!$U$315&gt;=GRID_FROM)*('Dvd Calendar'!$U$315&lt;=GRID_TO)*('Dvd Calendar'!$U$315&gt;VAL_DATE)=0,"",'Dvd Calendar'!$U$315*1000000000+ISNUMBER('Dvd Calendar'!$U$316)*100000000+0*10000000+(N('Dvd Calendar'!$U$314)&gt;0)*(N('Dvd Calendar'!$U$314)&lt;=VAL_SERIAL)*1000000+28*1000+57))</f>
        <v/>
      </c>
      <c r="GJ39" s="39">
        <f>IF(N('Dvd Calendar'!$V$315)=0,"",IF(('Dvd Calendar'!$V$315&gt;=GRID_FROM)*('Dvd Calendar'!$V$315&lt;=GRID_TO)*('Dvd Calendar'!$V$315&gt;VAL_DATE)=0,"",'Dvd Calendar'!$V$315*1000000000+ISNUMBER('Dvd Calendar'!$V$316)*100000000+0*10000000+(N('Dvd Calendar'!$V$314)&gt;0)*(N('Dvd Calendar'!$V$314)&lt;=VAL_SERIAL)*1000000+28*1000+58))</f>
        <v/>
      </c>
      <c r="GK39" s="39">
        <f>IF(N('Dvd Calendar'!$W$315)=0,"",IF(('Dvd Calendar'!$W$315&gt;=GRID_FROM)*('Dvd Calendar'!$W$315&lt;=GRID_TO)*('Dvd Calendar'!$W$315&gt;VAL_DATE)=0,"",'Dvd Calendar'!$W$315*1000000000+ISNUMBER('Dvd Calendar'!$W$316)*100000000+0*10000000+(N('Dvd Calendar'!$W$314)&gt;0)*(N('Dvd Calendar'!$W$314)&lt;=VAL_SERIAL)*1000000+28*1000+59))</f>
        <v/>
      </c>
      <c r="GL39" s="39">
        <f>IF(N('Dvd Calendar'!$X$315)=0,"",IF(('Dvd Calendar'!$X$315&gt;=GRID_FROM)*('Dvd Calendar'!$X$315&lt;=GRID_TO)*('Dvd Calendar'!$X$315&gt;VAL_DATE)=0,"",'Dvd Calendar'!$X$315*1000000000+ISNUMBER('Dvd Calendar'!$X$316)*100000000+0*10000000+(N('Dvd Calendar'!$X$314)&gt;0)*(N('Dvd Calendar'!$X$314)&lt;=VAL_SERIAL)*1000000+28*1000+60))</f>
        <v/>
      </c>
      <c r="GM39" s="39">
        <f>IF(N('Dvd Calendar'!$Y$315)=0,"",IF(('Dvd Calendar'!$Y$315&gt;=GRID_FROM)*('Dvd Calendar'!$Y$315&lt;=GRID_TO)*('Dvd Calendar'!$Y$315&gt;VAL_DATE)=0,"",'Dvd Calendar'!$Y$315*1000000000+ISNUMBER('Dvd Calendar'!$Y$316)*100000000+0*10000000+(N('Dvd Calendar'!$Y$314)&gt;0)*(N('Dvd Calendar'!$Y$314)&lt;=VAL_SERIAL)*1000000+28*1000+61))</f>
        <v/>
      </c>
      <c r="GN39" s="39">
        <f>IF(N('Dvd Calendar'!$Z$315)=0,"",IF(('Dvd Calendar'!$Z$315&gt;=GRID_FROM)*('Dvd Calendar'!$Z$315&lt;=GRID_TO)*('Dvd Calendar'!$Z$315&gt;VAL_DATE)=0,"",'Dvd Calendar'!$Z$315*1000000000+ISNUMBER('Dvd Calendar'!$Z$316)*100000000+0*10000000+(N('Dvd Calendar'!$Z$314)&gt;0)*(N('Dvd Calendar'!$Z$314)&lt;=VAL_SERIAL)*1000000+28*1000+62))</f>
        <v/>
      </c>
      <c r="GO39" s="39">
        <f>IF(N('Dvd Calendar'!$AA$315)=0,"",IF(('Dvd Calendar'!$AA$315&gt;=GRID_FROM)*('Dvd Calendar'!$AA$315&lt;=GRID_TO)*('Dvd Calendar'!$AA$315&gt;VAL_DATE)=0,"",'Dvd Calendar'!$AA$315*1000000000+ISNUMBER('Dvd Calendar'!$AA$316)*100000000+0*10000000+(N('Dvd Calendar'!$AA$314)&gt;0)*(N('Dvd Calendar'!$AA$314)&lt;=VAL_SERIAL)*1000000+28*1000+63))</f>
        <v/>
      </c>
      <c r="GP39" s="39">
        <f>IF(N('Dvd Calendar'!$AB$315)=0,"",IF(('Dvd Calendar'!$AB$315&gt;=GRID_FROM)*('Dvd Calendar'!$AB$315&lt;=GRID_TO)*('Dvd Calendar'!$AB$315&gt;VAL_DATE)=0,"",'Dvd Calendar'!$AB$315*1000000000+ISNUMBER('Dvd Calendar'!$AB$316)*100000000+0*10000000+(N('Dvd Calendar'!$AB$314)&gt;0)*(N('Dvd Calendar'!$AB$314)&lt;=VAL_SERIAL)*1000000+28*1000+64))</f>
        <v/>
      </c>
      <c r="GQ39" s="39">
        <f>IF(N('Dvd Calendar'!$AC$315)=0,"",IF(('Dvd Calendar'!$AC$315&gt;=GRID_FROM)*('Dvd Calendar'!$AC$315&lt;=GRID_TO)*('Dvd Calendar'!$AC$315&gt;VAL_DATE)=0,"",'Dvd Calendar'!$AC$315*1000000000+ISNUMBER('Dvd Calendar'!$AC$316)*100000000+0*10000000+(N('Dvd Calendar'!$AC$314)&gt;0)*(N('Dvd Calendar'!$AC$314)&lt;=VAL_SERIAL)*1000000+28*1000+65))</f>
        <v/>
      </c>
    </row>
    <row r="40">
      <c r="B40" s="2">
        <f>IF(HSI!$C$35="","",HSI!$C$35)</f>
        <v/>
      </c>
      <c r="C40" s="110">
        <f>IF(EE40="","",IF(ISNUMBER('Dvd Calendar'!$E$322)=FALSE,"",IF((('Dvd Calendar'!$E$324=TYPE1)*(TYPE1&lt;&gt;"")+('Dvd Calendar'!$E$324=TYPE2)*(TYPE2&lt;&gt;"")+('Dvd Calendar'!$E$324=TYPE3)*(TYPE3&lt;&gt;"")+('Dvd Calendar'!$E$324=TYPE4)*(TYPE4&lt;&gt;"")+('Dvd Calendar'!$E$324=SPECIAL_LBL)*(INC_SPECIALS="Y"))=0,"",'Dvd Calendar'!$E$322)))</f>
        <v/>
      </c>
      <c r="D40" s="110">
        <f>IF(EF40="","",IF(ISNUMBER('Dvd Calendar'!$F$322)=FALSE,"",IF((('Dvd Calendar'!$F$324=TYPE1)*(TYPE1&lt;&gt;"")+('Dvd Calendar'!$F$324=TYPE2)*(TYPE2&lt;&gt;"")+('Dvd Calendar'!$F$324=TYPE3)*(TYPE3&lt;&gt;"")+('Dvd Calendar'!$F$324=TYPE4)*(TYPE4&lt;&gt;"")+('Dvd Calendar'!$F$324=SPECIAL_LBL)*(INC_SPECIALS="Y"))=0,"",'Dvd Calendar'!$F$322)))</f>
        <v/>
      </c>
      <c r="E40" s="110">
        <f>IF(EG40="","",IF(ISNUMBER('Dvd Calendar'!$G$322)=FALSE,"",IF((('Dvd Calendar'!$G$324=TYPE1)*(TYPE1&lt;&gt;"")+('Dvd Calendar'!$G$324=TYPE2)*(TYPE2&lt;&gt;"")+('Dvd Calendar'!$G$324=TYPE3)*(TYPE3&lt;&gt;"")+('Dvd Calendar'!$G$324=TYPE4)*(TYPE4&lt;&gt;"")+('Dvd Calendar'!$G$324=SPECIAL_LBL)*(INC_SPECIALS="Y"))=0,"",'Dvd Calendar'!$G$322)))</f>
        <v/>
      </c>
      <c r="F40" s="110">
        <f>IF(EH40="","",IF(ISNUMBER('Dvd Calendar'!$H$322)=FALSE,"",IF((('Dvd Calendar'!$H$324=TYPE1)*(TYPE1&lt;&gt;"")+('Dvd Calendar'!$H$324=TYPE2)*(TYPE2&lt;&gt;"")+('Dvd Calendar'!$H$324=TYPE3)*(TYPE3&lt;&gt;"")+('Dvd Calendar'!$H$324=TYPE4)*(TYPE4&lt;&gt;"")+('Dvd Calendar'!$H$324=SPECIAL_LBL)*(INC_SPECIALS="Y"))=0,"",'Dvd Calendar'!$H$322)))</f>
        <v/>
      </c>
      <c r="G40" s="110">
        <f>IF(EI40="","",IF(ISNUMBER('Dvd Calendar'!$I$322)=FALSE,"",IF((('Dvd Calendar'!$I$324=TYPE1)*(TYPE1&lt;&gt;"")+('Dvd Calendar'!$I$324=TYPE2)*(TYPE2&lt;&gt;"")+('Dvd Calendar'!$I$324=TYPE3)*(TYPE3&lt;&gt;"")+('Dvd Calendar'!$I$324=TYPE4)*(TYPE4&lt;&gt;"")+('Dvd Calendar'!$I$324=SPECIAL_LBL)*(INC_SPECIALS="Y"))=0,"",'Dvd Calendar'!$I$322)))</f>
        <v/>
      </c>
      <c r="H40" s="110">
        <f>IF(EJ40="","",IF(ISNUMBER('Dvd Calendar'!$J$322)=FALSE,"",IF((('Dvd Calendar'!$J$324=TYPE1)*(TYPE1&lt;&gt;"")+('Dvd Calendar'!$J$324=TYPE2)*(TYPE2&lt;&gt;"")+('Dvd Calendar'!$J$324=TYPE3)*(TYPE3&lt;&gt;"")+('Dvd Calendar'!$J$324=TYPE4)*(TYPE4&lt;&gt;"")+('Dvd Calendar'!$J$324=SPECIAL_LBL)*(INC_SPECIALS="Y"))=0,"",'Dvd Calendar'!$J$322)))</f>
        <v/>
      </c>
      <c r="I40" s="110">
        <f>IF(EK40="","",IF(ISNUMBER('Dvd Calendar'!$K$322)=FALSE,"",IF((('Dvd Calendar'!$K$324=TYPE1)*(TYPE1&lt;&gt;"")+('Dvd Calendar'!$K$324=TYPE2)*(TYPE2&lt;&gt;"")+('Dvd Calendar'!$K$324=TYPE3)*(TYPE3&lt;&gt;"")+('Dvd Calendar'!$K$324=TYPE4)*(TYPE4&lt;&gt;"")+('Dvd Calendar'!$K$324=SPECIAL_LBL)*(INC_SPECIALS="Y"))=0,"",'Dvd Calendar'!$K$322)))</f>
        <v/>
      </c>
      <c r="J40" s="110">
        <f>IF(EL40="","",IF(ISNUMBER('Dvd Calendar'!$L$322)=FALSE,"",IF((('Dvd Calendar'!$L$324=TYPE1)*(TYPE1&lt;&gt;"")+('Dvd Calendar'!$L$324=TYPE2)*(TYPE2&lt;&gt;"")+('Dvd Calendar'!$L$324=TYPE3)*(TYPE3&lt;&gt;"")+('Dvd Calendar'!$L$324=TYPE4)*(TYPE4&lt;&gt;"")+('Dvd Calendar'!$L$324=SPECIAL_LBL)*(INC_SPECIALS="Y"))=0,"",'Dvd Calendar'!$L$322)))</f>
        <v/>
      </c>
      <c r="K40" s="110">
        <f>IF(EM40="","",IF(ISNUMBER('Dvd Calendar'!$M$322)=FALSE,"",IF((('Dvd Calendar'!$M$324=TYPE1)*(TYPE1&lt;&gt;"")+('Dvd Calendar'!$M$324=TYPE2)*(TYPE2&lt;&gt;"")+('Dvd Calendar'!$M$324=TYPE3)*(TYPE3&lt;&gt;"")+('Dvd Calendar'!$M$324=TYPE4)*(TYPE4&lt;&gt;"")+('Dvd Calendar'!$M$324=SPECIAL_LBL)*(INC_SPECIALS="Y"))=0,"",'Dvd Calendar'!$M$322)))</f>
        <v/>
      </c>
      <c r="L40" s="110">
        <f>IF(EN40="","",IF(ISNUMBER('Dvd Calendar'!$N$322)=FALSE,"",IF((('Dvd Calendar'!$N$324=TYPE1)*(TYPE1&lt;&gt;"")+('Dvd Calendar'!$N$324=TYPE2)*(TYPE2&lt;&gt;"")+('Dvd Calendar'!$N$324=TYPE3)*(TYPE3&lt;&gt;"")+('Dvd Calendar'!$N$324=TYPE4)*(TYPE4&lt;&gt;"")+('Dvd Calendar'!$N$324=SPECIAL_LBL)*(INC_SPECIALS="Y"))=0,"",'Dvd Calendar'!$N$322)))</f>
        <v/>
      </c>
      <c r="M40" s="110">
        <f>IF(EO40="","",IF(ISNUMBER('Dvd Calendar'!$O$322)=FALSE,"",IF((('Dvd Calendar'!$O$324=TYPE1)*(TYPE1&lt;&gt;"")+('Dvd Calendar'!$O$324=TYPE2)*(TYPE2&lt;&gt;"")+('Dvd Calendar'!$O$324=TYPE3)*(TYPE3&lt;&gt;"")+('Dvd Calendar'!$O$324=TYPE4)*(TYPE4&lt;&gt;"")+('Dvd Calendar'!$O$324=SPECIAL_LBL)*(INC_SPECIALS="Y"))=0,"",'Dvd Calendar'!$O$322)))</f>
        <v/>
      </c>
      <c r="N40" s="110">
        <f>IF(EP40="","",IF(ISNUMBER('Dvd Calendar'!$P$322)=FALSE,"",IF((('Dvd Calendar'!$P$324=TYPE1)*(TYPE1&lt;&gt;"")+('Dvd Calendar'!$P$324=TYPE2)*(TYPE2&lt;&gt;"")+('Dvd Calendar'!$P$324=TYPE3)*(TYPE3&lt;&gt;"")+('Dvd Calendar'!$P$324=TYPE4)*(TYPE4&lt;&gt;"")+('Dvd Calendar'!$P$324=SPECIAL_LBL)*(INC_SPECIALS="Y"))=0,"",'Dvd Calendar'!$P$322)))</f>
        <v/>
      </c>
      <c r="O40" s="110">
        <f>IF(EQ40="","",IF(ISNUMBER('Dvd Calendar'!$Q$322)=FALSE,"",IF((('Dvd Calendar'!$Q$324=TYPE1)*(TYPE1&lt;&gt;"")+('Dvd Calendar'!$Q$324=TYPE2)*(TYPE2&lt;&gt;"")+('Dvd Calendar'!$Q$324=TYPE3)*(TYPE3&lt;&gt;"")+('Dvd Calendar'!$Q$324=TYPE4)*(TYPE4&lt;&gt;"")+('Dvd Calendar'!$Q$324=SPECIAL_LBL)*(INC_SPECIALS="Y"))=0,"",'Dvd Calendar'!$Q$322)))</f>
        <v/>
      </c>
      <c r="P40" s="110">
        <f>IF(ER40="","",IF(ISNUMBER('Dvd Calendar'!$R$322)=FALSE,"",IF((('Dvd Calendar'!$R$324=TYPE1)*(TYPE1&lt;&gt;"")+('Dvd Calendar'!$R$324=TYPE2)*(TYPE2&lt;&gt;"")+('Dvd Calendar'!$R$324=TYPE3)*(TYPE3&lt;&gt;"")+('Dvd Calendar'!$R$324=TYPE4)*(TYPE4&lt;&gt;"")+('Dvd Calendar'!$R$324=SPECIAL_LBL)*(INC_SPECIALS="Y"))=0,"",'Dvd Calendar'!$R$322)))</f>
        <v/>
      </c>
      <c r="Q40" s="110">
        <f>IF(ES40="","",IF(ISNUMBER('Dvd Calendar'!$S$322)=FALSE,"",IF((('Dvd Calendar'!$S$324=TYPE1)*(TYPE1&lt;&gt;"")+('Dvd Calendar'!$S$324=TYPE2)*(TYPE2&lt;&gt;"")+('Dvd Calendar'!$S$324=TYPE3)*(TYPE3&lt;&gt;"")+('Dvd Calendar'!$S$324=TYPE4)*(TYPE4&lt;&gt;"")+('Dvd Calendar'!$S$324=SPECIAL_LBL)*(INC_SPECIALS="Y"))=0,"",'Dvd Calendar'!$S$322)))</f>
        <v/>
      </c>
      <c r="R40" s="110">
        <f>IF(ET40="","",IF(ISNUMBER('Dvd Calendar'!$T$322)=FALSE,"",IF((('Dvd Calendar'!$T$324=TYPE1)*(TYPE1&lt;&gt;"")+('Dvd Calendar'!$T$324=TYPE2)*(TYPE2&lt;&gt;"")+('Dvd Calendar'!$T$324=TYPE3)*(TYPE3&lt;&gt;"")+('Dvd Calendar'!$T$324=TYPE4)*(TYPE4&lt;&gt;"")+('Dvd Calendar'!$T$324=SPECIAL_LBL)*(INC_SPECIALS="Y"))=0,"",'Dvd Calendar'!$T$322)))</f>
        <v/>
      </c>
      <c r="S40" s="110">
        <f>IF(EU40="","",IF(ISNUMBER('Dvd Calendar'!$U$322)=FALSE,"",IF((('Dvd Calendar'!$U$324=TYPE1)*(TYPE1&lt;&gt;"")+('Dvd Calendar'!$U$324=TYPE2)*(TYPE2&lt;&gt;"")+('Dvd Calendar'!$U$324=TYPE3)*(TYPE3&lt;&gt;"")+('Dvd Calendar'!$U$324=TYPE4)*(TYPE4&lt;&gt;"")+('Dvd Calendar'!$U$324=SPECIAL_LBL)*(INC_SPECIALS="Y"))=0,"",'Dvd Calendar'!$U$322)))</f>
        <v/>
      </c>
      <c r="T40" s="110">
        <f>IF(EV40="","",IF(ISNUMBER('Dvd Calendar'!$V$322)=FALSE,"",IF((('Dvd Calendar'!$V$324=TYPE1)*(TYPE1&lt;&gt;"")+('Dvd Calendar'!$V$324=TYPE2)*(TYPE2&lt;&gt;"")+('Dvd Calendar'!$V$324=TYPE3)*(TYPE3&lt;&gt;"")+('Dvd Calendar'!$V$324=TYPE4)*(TYPE4&lt;&gt;"")+('Dvd Calendar'!$V$324=SPECIAL_LBL)*(INC_SPECIALS="Y"))=0,"",'Dvd Calendar'!$V$322)))</f>
        <v/>
      </c>
      <c r="U40" s="110">
        <f>IF(EW40="","",IF(ISNUMBER('Dvd Calendar'!$W$322)=FALSE,"",IF((('Dvd Calendar'!$W$324=TYPE1)*(TYPE1&lt;&gt;"")+('Dvd Calendar'!$W$324=TYPE2)*(TYPE2&lt;&gt;"")+('Dvd Calendar'!$W$324=TYPE3)*(TYPE3&lt;&gt;"")+('Dvd Calendar'!$W$324=TYPE4)*(TYPE4&lt;&gt;"")+('Dvd Calendar'!$W$324=SPECIAL_LBL)*(INC_SPECIALS="Y"))=0,"",'Dvd Calendar'!$W$322)))</f>
        <v/>
      </c>
      <c r="V40" s="110">
        <f>IF(EX40="","",IF(ISNUMBER('Dvd Calendar'!$X$322)=FALSE,"",IF((('Dvd Calendar'!$X$324=TYPE1)*(TYPE1&lt;&gt;"")+('Dvd Calendar'!$X$324=TYPE2)*(TYPE2&lt;&gt;"")+('Dvd Calendar'!$X$324=TYPE3)*(TYPE3&lt;&gt;"")+('Dvd Calendar'!$X$324=TYPE4)*(TYPE4&lt;&gt;"")+('Dvd Calendar'!$X$324=SPECIAL_LBL)*(INC_SPECIALS="Y"))=0,"",'Dvd Calendar'!$X$322)))</f>
        <v/>
      </c>
      <c r="W40" s="110">
        <f>IF(EY40="","",IF(ISNUMBER('Dvd Calendar'!$Y$322)=FALSE,"",IF((('Dvd Calendar'!$Y$324=TYPE1)*(TYPE1&lt;&gt;"")+('Dvd Calendar'!$Y$324=TYPE2)*(TYPE2&lt;&gt;"")+('Dvd Calendar'!$Y$324=TYPE3)*(TYPE3&lt;&gt;"")+('Dvd Calendar'!$Y$324=TYPE4)*(TYPE4&lt;&gt;"")+('Dvd Calendar'!$Y$324=SPECIAL_LBL)*(INC_SPECIALS="Y"))=0,"",'Dvd Calendar'!$Y$322)))</f>
        <v/>
      </c>
      <c r="X40" s="110">
        <f>IF(EZ40="","",IF(ISNUMBER('Dvd Calendar'!$Z$322)=FALSE,"",IF((('Dvd Calendar'!$Z$324=TYPE1)*(TYPE1&lt;&gt;"")+('Dvd Calendar'!$Z$324=TYPE2)*(TYPE2&lt;&gt;"")+('Dvd Calendar'!$Z$324=TYPE3)*(TYPE3&lt;&gt;"")+('Dvd Calendar'!$Z$324=TYPE4)*(TYPE4&lt;&gt;"")+('Dvd Calendar'!$Z$324=SPECIAL_LBL)*(INC_SPECIALS="Y"))=0,"",'Dvd Calendar'!$Z$322)))</f>
        <v/>
      </c>
      <c r="Y40" s="110">
        <f>IF(FA40="","",IF(ISNUMBER('Dvd Calendar'!$AA$322)=FALSE,"",IF((('Dvd Calendar'!$AA$324=TYPE1)*(TYPE1&lt;&gt;"")+('Dvd Calendar'!$AA$324=TYPE2)*(TYPE2&lt;&gt;"")+('Dvd Calendar'!$AA$324=TYPE3)*(TYPE3&lt;&gt;"")+('Dvd Calendar'!$AA$324=TYPE4)*(TYPE4&lt;&gt;"")+('Dvd Calendar'!$AA$324=SPECIAL_LBL)*(INC_SPECIALS="Y"))=0,"",'Dvd Calendar'!$AA$322)))</f>
        <v/>
      </c>
      <c r="Z40" s="110">
        <f>IF(FB40="","",IF(ISNUMBER('Dvd Calendar'!$AB$322)=FALSE,"",IF((('Dvd Calendar'!$AB$324=TYPE1)*(TYPE1&lt;&gt;"")+('Dvd Calendar'!$AB$324=TYPE2)*(TYPE2&lt;&gt;"")+('Dvd Calendar'!$AB$324=TYPE3)*(TYPE3&lt;&gt;"")+('Dvd Calendar'!$AB$324=TYPE4)*(TYPE4&lt;&gt;"")+('Dvd Calendar'!$AB$324=SPECIAL_LBL)*(INC_SPECIALS="Y"))=0,"",'Dvd Calendar'!$AB$322)))</f>
        <v/>
      </c>
      <c r="AA40" s="110">
        <f>IF(FC40="","",IF(ISNUMBER('Dvd Calendar'!$AC$322)=FALSE,"",IF((('Dvd Calendar'!$AC$324=TYPE1)*(TYPE1&lt;&gt;"")+('Dvd Calendar'!$AC$324=TYPE2)*(TYPE2&lt;&gt;"")+('Dvd Calendar'!$AC$324=TYPE3)*(TYPE3&lt;&gt;"")+('Dvd Calendar'!$AC$324=TYPE4)*(TYPE4&lt;&gt;"")+('Dvd Calendar'!$AC$324=SPECIAL_LBL)*(INC_SPECIALS="Y"))=0,"",'Dvd Calendar'!$AC$322)))</f>
        <v/>
      </c>
      <c r="AB40" s="110">
        <f>IF(FD40="","",IF(ISNUMBER('Dvd Calendar'!$AD$322)=FALSE,"",IF((('Dvd Calendar'!$AD$324=TYPE1)*(TYPE1&lt;&gt;"")+('Dvd Calendar'!$AD$324=TYPE2)*(TYPE2&lt;&gt;"")+('Dvd Calendar'!$AD$324=TYPE3)*(TYPE3&lt;&gt;"")+('Dvd Calendar'!$AD$324=TYPE4)*(TYPE4&lt;&gt;"")+('Dvd Calendar'!$AD$324=SPECIAL_LBL)*(INC_SPECIALS="Y"))=0,"",'Dvd Calendar'!$AD$322)))</f>
        <v/>
      </c>
      <c r="AC40" s="110">
        <f>IF(FE40="","",IF(ISNUMBER('Dvd Calendar'!$AE$322)=FALSE,"",IF((('Dvd Calendar'!$AE$324=TYPE1)*(TYPE1&lt;&gt;"")+('Dvd Calendar'!$AE$324=TYPE2)*(TYPE2&lt;&gt;"")+('Dvd Calendar'!$AE$324=TYPE3)*(TYPE3&lt;&gt;"")+('Dvd Calendar'!$AE$324=TYPE4)*(TYPE4&lt;&gt;"")+('Dvd Calendar'!$AE$324=SPECIAL_LBL)*(INC_SPECIALS="Y"))=0,"",'Dvd Calendar'!$AE$322)))</f>
        <v/>
      </c>
      <c r="AD40" s="110">
        <f>IF(FF40="","",IF(ISNUMBER('Dvd Calendar'!$AF$322)=FALSE,"",IF((('Dvd Calendar'!$AF$324=TYPE1)*(TYPE1&lt;&gt;"")+('Dvd Calendar'!$AF$324=TYPE2)*(TYPE2&lt;&gt;"")+('Dvd Calendar'!$AF$324=TYPE3)*(TYPE3&lt;&gt;"")+('Dvd Calendar'!$AF$324=TYPE4)*(TYPE4&lt;&gt;"")+('Dvd Calendar'!$AF$324=SPECIAL_LBL)*(INC_SPECIALS="Y"))=0,"",'Dvd Calendar'!$AF$322)))</f>
        <v/>
      </c>
      <c r="AE40" s="110">
        <f>IF(FG40="","",IF(ISNUMBER('Dvd Calendar'!$AG$322)=FALSE,"",IF((('Dvd Calendar'!$AG$324=TYPE1)*(TYPE1&lt;&gt;"")+('Dvd Calendar'!$AG$324=TYPE2)*(TYPE2&lt;&gt;"")+('Dvd Calendar'!$AG$324=TYPE3)*(TYPE3&lt;&gt;"")+('Dvd Calendar'!$AG$324=TYPE4)*(TYPE4&lt;&gt;"")+('Dvd Calendar'!$AG$324=SPECIAL_LBL)*(INC_SPECIALS="Y"))=0,"",'Dvd Calendar'!$AG$322)))</f>
        <v/>
      </c>
      <c r="AF40" s="110">
        <f>IF(FH40="","",IF(ISNUMBER('Dvd Calendar'!$AH$322)=FALSE,"",IF((('Dvd Calendar'!$AH$324=TYPE1)*(TYPE1&lt;&gt;"")+('Dvd Calendar'!$AH$324=TYPE2)*(TYPE2&lt;&gt;"")+('Dvd Calendar'!$AH$324=TYPE3)*(TYPE3&lt;&gt;"")+('Dvd Calendar'!$AH$324=TYPE4)*(TYPE4&lt;&gt;"")+('Dvd Calendar'!$AH$324=SPECIAL_LBL)*(INC_SPECIALS="Y"))=0,"",'Dvd Calendar'!$AH$322)))</f>
        <v/>
      </c>
      <c r="AG40" s="110">
        <f>IF(FI40="","",IF(ISNUMBER('Dvd Calendar'!$AI$322)=FALSE,"",IF((('Dvd Calendar'!$AI$324=TYPE1)*(TYPE1&lt;&gt;"")+('Dvd Calendar'!$AI$324=TYPE2)*(TYPE2&lt;&gt;"")+('Dvd Calendar'!$AI$324=TYPE3)*(TYPE3&lt;&gt;"")+('Dvd Calendar'!$AI$324=TYPE4)*(TYPE4&lt;&gt;"")+('Dvd Calendar'!$AI$324=SPECIAL_LBL)*(INC_SPECIALS="Y"))=0,"",'Dvd Calendar'!$AI$322)))</f>
        <v/>
      </c>
      <c r="AH40" s="110">
        <f>IF(FJ40="","",IF(ISNUMBER('Dvd Calendar'!$AJ$322)=FALSE,"",IF((('Dvd Calendar'!$AJ$324=TYPE1)*(TYPE1&lt;&gt;"")+('Dvd Calendar'!$AJ$324=TYPE2)*(TYPE2&lt;&gt;"")+('Dvd Calendar'!$AJ$324=TYPE3)*(TYPE3&lt;&gt;"")+('Dvd Calendar'!$AJ$324=TYPE4)*(TYPE4&lt;&gt;"")+('Dvd Calendar'!$AJ$324=SPECIAL_LBL)*(INC_SPECIALS="Y"))=0,"",'Dvd Calendar'!$AJ$322)))</f>
        <v/>
      </c>
      <c r="AI40" s="110">
        <f>IF(FK40="","",IF(ISNUMBER('Dvd Calendar'!$AK$322)=FALSE,"",IF((('Dvd Calendar'!$AK$324=TYPE1)*(TYPE1&lt;&gt;"")+('Dvd Calendar'!$AK$324=TYPE2)*(TYPE2&lt;&gt;"")+('Dvd Calendar'!$AK$324=TYPE3)*(TYPE3&lt;&gt;"")+('Dvd Calendar'!$AK$324=TYPE4)*(TYPE4&lt;&gt;"")+('Dvd Calendar'!$AK$324=SPECIAL_LBL)*(INC_SPECIALS="Y"))=0,"",'Dvd Calendar'!$AK$322)))</f>
        <v/>
      </c>
      <c r="AJ40" s="110">
        <f>IF(FL40="","",IF(ISNUMBER('Dvd Calendar'!$AL$322)=FALSE,"",IF((('Dvd Calendar'!$AL$324=TYPE1)*(TYPE1&lt;&gt;"")+('Dvd Calendar'!$AL$324=TYPE2)*(TYPE2&lt;&gt;"")+('Dvd Calendar'!$AL$324=TYPE3)*(TYPE3&lt;&gt;"")+('Dvd Calendar'!$AL$324=TYPE4)*(TYPE4&lt;&gt;"")+('Dvd Calendar'!$AL$324=SPECIAL_LBL)*(INC_SPECIALS="Y"))=0,"",'Dvd Calendar'!$AL$322)))</f>
        <v/>
      </c>
      <c r="AK40" s="110">
        <f>IF(FM40="","",IF(ISNUMBER('Dvd Calendar'!$AM$322)=FALSE,"",IF((('Dvd Calendar'!$AM$324=TYPE1)*(TYPE1&lt;&gt;"")+('Dvd Calendar'!$AM$324=TYPE2)*(TYPE2&lt;&gt;"")+('Dvd Calendar'!$AM$324=TYPE3)*(TYPE3&lt;&gt;"")+('Dvd Calendar'!$AM$324=TYPE4)*(TYPE4&lt;&gt;"")+('Dvd Calendar'!$AM$324=SPECIAL_LBL)*(INC_SPECIALS="Y"))=0,"",'Dvd Calendar'!$AM$322)))</f>
        <v/>
      </c>
      <c r="AL40" s="110">
        <f>IF(FN40="","",IF(ISNUMBER('Dvd Calendar'!$AN$322)=FALSE,"",IF((('Dvd Calendar'!$AN$324=TYPE1)*(TYPE1&lt;&gt;"")+('Dvd Calendar'!$AN$324=TYPE2)*(TYPE2&lt;&gt;"")+('Dvd Calendar'!$AN$324=TYPE3)*(TYPE3&lt;&gt;"")+('Dvd Calendar'!$AN$324=TYPE4)*(TYPE4&lt;&gt;"")+('Dvd Calendar'!$AN$324=SPECIAL_LBL)*(INC_SPECIALS="Y"))=0,"",'Dvd Calendar'!$AN$322)))</f>
        <v/>
      </c>
      <c r="AM40" s="110">
        <f>IF(FO40="","",IF(ISNUMBER('Dvd Calendar'!$AO$322)=FALSE,"",IF((('Dvd Calendar'!$AO$324=TYPE1)*(TYPE1&lt;&gt;"")+('Dvd Calendar'!$AO$324=TYPE2)*(TYPE2&lt;&gt;"")+('Dvd Calendar'!$AO$324=TYPE3)*(TYPE3&lt;&gt;"")+('Dvd Calendar'!$AO$324=TYPE4)*(TYPE4&lt;&gt;"")+('Dvd Calendar'!$AO$324=SPECIAL_LBL)*(INC_SPECIALS="Y"))=0,"",'Dvd Calendar'!$AO$322)))</f>
        <v/>
      </c>
      <c r="AN40" s="110">
        <f>IF(FP40="","",IF(ISNUMBER('Dvd Calendar'!$AP$322)=FALSE,"",IF((('Dvd Calendar'!$AP$324=TYPE1)*(TYPE1&lt;&gt;"")+('Dvd Calendar'!$AP$324=TYPE2)*(TYPE2&lt;&gt;"")+('Dvd Calendar'!$AP$324=TYPE3)*(TYPE3&lt;&gt;"")+('Dvd Calendar'!$AP$324=TYPE4)*(TYPE4&lt;&gt;"")+('Dvd Calendar'!$AP$324=SPECIAL_LBL)*(INC_SPECIALS="Y"))=0,"",'Dvd Calendar'!$AP$322)))</f>
        <v/>
      </c>
      <c r="AO40" s="110">
        <f>IF(FQ40="","",IF(ISNUMBER('Dvd Calendar'!$AQ$322)=FALSE,"",IF((('Dvd Calendar'!$AQ$324=TYPE1)*(TYPE1&lt;&gt;"")+('Dvd Calendar'!$AQ$324=TYPE2)*(TYPE2&lt;&gt;"")+('Dvd Calendar'!$AQ$324=TYPE3)*(TYPE3&lt;&gt;"")+('Dvd Calendar'!$AQ$324=TYPE4)*(TYPE4&lt;&gt;"")+('Dvd Calendar'!$AQ$324=SPECIAL_LBL)*(INC_SPECIALS="Y"))=0,"",'Dvd Calendar'!$AQ$322)))</f>
        <v/>
      </c>
      <c r="AP40" s="110">
        <f>IF(FR40="","",IF(ISNUMBER('Dvd Calendar'!$AR$322)=FALSE,"",IF((('Dvd Calendar'!$AR$324=TYPE1)*(TYPE1&lt;&gt;"")+('Dvd Calendar'!$AR$324=TYPE2)*(TYPE2&lt;&gt;"")+('Dvd Calendar'!$AR$324=TYPE3)*(TYPE3&lt;&gt;"")+('Dvd Calendar'!$AR$324=TYPE4)*(TYPE4&lt;&gt;"")+('Dvd Calendar'!$AR$324=SPECIAL_LBL)*(INC_SPECIALS="Y"))=0,"",'Dvd Calendar'!$AR$322)))</f>
        <v/>
      </c>
      <c r="AQ40" s="110">
        <f>IF(FS40="","",IF(ISNUMBER('Dvd Calendar'!$E$327)=FALSE,"",'Dvd Calendar'!$E$327))</f>
        <v/>
      </c>
      <c r="AR40" s="110">
        <f>IF(FT40="","",IF(ISNUMBER('Dvd Calendar'!$F$327)=FALSE,"",'Dvd Calendar'!$F$327))</f>
        <v/>
      </c>
      <c r="AS40" s="110">
        <f>IF(FU40="","",IF(ISNUMBER('Dvd Calendar'!$G$327)=FALSE,"",'Dvd Calendar'!$G$327))</f>
        <v/>
      </c>
      <c r="AT40" s="110">
        <f>IF(FV40="","",IF(ISNUMBER('Dvd Calendar'!$H$327)=FALSE,"",'Dvd Calendar'!$H$327))</f>
        <v/>
      </c>
      <c r="AU40" s="110">
        <f>IF(FW40="","",IF(ISNUMBER('Dvd Calendar'!$I$327)=FALSE,"",'Dvd Calendar'!$I$327))</f>
        <v/>
      </c>
      <c r="AV40" s="110">
        <f>IF(FX40="","",IF(ISNUMBER('Dvd Calendar'!$J$327)=FALSE,"",'Dvd Calendar'!$J$327))</f>
        <v/>
      </c>
      <c r="AW40" s="110">
        <f>IF(FY40="","",IF(ISNUMBER('Dvd Calendar'!$K$327)=FALSE,"",'Dvd Calendar'!$K$327))</f>
        <v/>
      </c>
      <c r="AX40" s="110">
        <f>IF(FZ40="","",IF(ISNUMBER('Dvd Calendar'!$L$327)=FALSE,"",'Dvd Calendar'!$L$327))</f>
        <v/>
      </c>
      <c r="AY40" s="110">
        <f>IF(GA40="","",IF(ISNUMBER('Dvd Calendar'!$M$327)=FALSE,"",'Dvd Calendar'!$M$327))</f>
        <v/>
      </c>
      <c r="AZ40" s="110">
        <f>IF(GB40="","",IF(ISNUMBER('Dvd Calendar'!$N$327)=FALSE,"",'Dvd Calendar'!$N$327))</f>
        <v/>
      </c>
      <c r="BA40" s="110">
        <f>IF(GC40="","",IF(ISNUMBER('Dvd Calendar'!$O$327)=FALSE,"",'Dvd Calendar'!$O$327))</f>
        <v/>
      </c>
      <c r="BB40" s="110">
        <f>IF(GD40="","",IF(ISNUMBER('Dvd Calendar'!$P$327)=FALSE,"",'Dvd Calendar'!$P$327))</f>
        <v/>
      </c>
      <c r="BC40" s="110">
        <f>IF(GE40="","",IF(ISNUMBER('Dvd Calendar'!$Q$327)=FALSE,"",'Dvd Calendar'!$Q$327))</f>
        <v/>
      </c>
      <c r="BD40" s="110">
        <f>IF(GF40="","",IF(ISNUMBER('Dvd Calendar'!$R$327)=FALSE,"",'Dvd Calendar'!$R$327))</f>
        <v/>
      </c>
      <c r="BE40" s="110">
        <f>IF(GG40="","",IF(ISNUMBER('Dvd Calendar'!$S$327)=FALSE,"",'Dvd Calendar'!$S$327))</f>
        <v/>
      </c>
      <c r="BF40" s="110">
        <f>IF(GH40="","",IF(ISNUMBER('Dvd Calendar'!$T$327)=FALSE,"",'Dvd Calendar'!$T$327))</f>
        <v/>
      </c>
      <c r="BG40" s="110">
        <f>IF(GI40="","",IF(ISNUMBER('Dvd Calendar'!$U$327)=FALSE,"",'Dvd Calendar'!$U$327))</f>
        <v/>
      </c>
      <c r="BH40" s="110">
        <f>IF(GJ40="","",IF(ISNUMBER('Dvd Calendar'!$V$327)=FALSE,"",'Dvd Calendar'!$V$327))</f>
        <v/>
      </c>
      <c r="BI40" s="110">
        <f>IF(GK40="","",IF(ISNUMBER('Dvd Calendar'!$W$327)=FALSE,"",'Dvd Calendar'!$W$327))</f>
        <v/>
      </c>
      <c r="BJ40" s="110">
        <f>IF(GL40="","",IF(ISNUMBER('Dvd Calendar'!$X$327)=FALSE,"",'Dvd Calendar'!$X$327))</f>
        <v/>
      </c>
      <c r="BK40" s="110">
        <f>IF(GM40="","",IF(ISNUMBER('Dvd Calendar'!$Y$327)=FALSE,"",'Dvd Calendar'!$Y$327))</f>
        <v/>
      </c>
      <c r="BL40" s="110">
        <f>IF(GN40="","",IF(ISNUMBER('Dvd Calendar'!$Z$327)=FALSE,"",'Dvd Calendar'!$Z$327))</f>
        <v/>
      </c>
      <c r="BM40" s="110">
        <f>IF(GO40="","",IF(ISNUMBER('Dvd Calendar'!$AA$327)=FALSE,"",'Dvd Calendar'!$AA$327))</f>
        <v/>
      </c>
      <c r="BN40" s="110">
        <f>IF(GP40="","",IF(ISNUMBER('Dvd Calendar'!$AB$327)=FALSE,"",'Dvd Calendar'!$AB$327))</f>
        <v/>
      </c>
      <c r="BO40" s="110">
        <f>IF(GQ40="","",IF(ISNUMBER('Dvd Calendar'!$AC$327)=FALSE,"",'Dvd Calendar'!$AC$327))</f>
        <v/>
      </c>
      <c r="BQ40" s="110">
        <f>IF(C40="","",IFERROR(C40*HSI!$B$35*HSI!$G$35/HSI!$B$3,""))</f>
        <v/>
      </c>
      <c r="BR40" s="110">
        <f>IF(D40="","",IFERROR(D40*HSI!$B$35*HSI!$G$35/HSI!$B$3,""))</f>
        <v/>
      </c>
      <c r="BS40" s="110">
        <f>IF(E40="","",IFERROR(E40*HSI!$B$35*HSI!$G$35/HSI!$B$3,""))</f>
        <v/>
      </c>
      <c r="BT40" s="110">
        <f>IF(F40="","",IFERROR(F40*HSI!$B$35*HSI!$G$35/HSI!$B$3,""))</f>
        <v/>
      </c>
      <c r="BU40" s="110">
        <f>IF(G40="","",IFERROR(G40*HSI!$B$35*HSI!$G$35/HSI!$B$3,""))</f>
        <v/>
      </c>
      <c r="BV40" s="110">
        <f>IF(H40="","",IFERROR(H40*HSI!$B$35*HSI!$G$35/HSI!$B$3,""))</f>
        <v/>
      </c>
      <c r="BW40" s="110">
        <f>IF(I40="","",IFERROR(I40*HSI!$B$35*HSI!$G$35/HSI!$B$3,""))</f>
        <v/>
      </c>
      <c r="BX40" s="110">
        <f>IF(J40="","",IFERROR(J40*HSI!$B$35*HSI!$G$35/HSI!$B$3,""))</f>
        <v/>
      </c>
      <c r="BY40" s="110">
        <f>IF(K40="","",IFERROR(K40*HSI!$B$35*HSI!$G$35/HSI!$B$3,""))</f>
        <v/>
      </c>
      <c r="BZ40" s="110">
        <f>IF(L40="","",IFERROR(L40*HSI!$B$35*HSI!$G$35/HSI!$B$3,""))</f>
        <v/>
      </c>
      <c r="CA40" s="110">
        <f>IF(M40="","",IFERROR(M40*HSI!$B$35*HSI!$G$35/HSI!$B$3,""))</f>
        <v/>
      </c>
      <c r="CB40" s="110">
        <f>IF(N40="","",IFERROR(N40*HSI!$B$35*HSI!$G$35/HSI!$B$3,""))</f>
        <v/>
      </c>
      <c r="CC40" s="110">
        <f>IF(O40="","",IFERROR(O40*HSI!$B$35*HSI!$G$35/HSI!$B$3,""))</f>
        <v/>
      </c>
      <c r="CD40" s="110">
        <f>IF(P40="","",IFERROR(P40*HSI!$B$35*HSI!$G$35/HSI!$B$3,""))</f>
        <v/>
      </c>
      <c r="CE40" s="110">
        <f>IF(Q40="","",IFERROR(Q40*HSI!$B$35*HSI!$G$35/HSI!$B$3,""))</f>
        <v/>
      </c>
      <c r="CF40" s="110">
        <f>IF(R40="","",IFERROR(R40*HSI!$B$35*HSI!$G$35/HSI!$B$3,""))</f>
        <v/>
      </c>
      <c r="CG40" s="110">
        <f>IF(S40="","",IFERROR(S40*HSI!$B$35*HSI!$G$35/HSI!$B$3,""))</f>
        <v/>
      </c>
      <c r="CH40" s="110">
        <f>IF(T40="","",IFERROR(T40*HSI!$B$35*HSI!$G$35/HSI!$B$3,""))</f>
        <v/>
      </c>
      <c r="CI40" s="110">
        <f>IF(U40="","",IFERROR(U40*HSI!$B$35*HSI!$G$35/HSI!$B$3,""))</f>
        <v/>
      </c>
      <c r="CJ40" s="110">
        <f>IF(V40="","",IFERROR(V40*HSI!$B$35*HSI!$G$35/HSI!$B$3,""))</f>
        <v/>
      </c>
      <c r="CK40" s="110">
        <f>IF(W40="","",IFERROR(W40*HSI!$B$35*HSI!$G$35/HSI!$B$3,""))</f>
        <v/>
      </c>
      <c r="CL40" s="110">
        <f>IF(X40="","",IFERROR(X40*HSI!$B$35*HSI!$G$35/HSI!$B$3,""))</f>
        <v/>
      </c>
      <c r="CM40" s="110">
        <f>IF(Y40="","",IFERROR(Y40*HSI!$B$35*HSI!$G$35/HSI!$B$3,""))</f>
        <v/>
      </c>
      <c r="CN40" s="110">
        <f>IF(Z40="","",IFERROR(Z40*HSI!$B$35*HSI!$G$35/HSI!$B$3,""))</f>
        <v/>
      </c>
      <c r="CO40" s="110">
        <f>IF(AA40="","",IFERROR(AA40*HSI!$B$35*HSI!$G$35/HSI!$B$3,""))</f>
        <v/>
      </c>
      <c r="CP40" s="110">
        <f>IF(AB40="","",IFERROR(AB40*HSI!$B$35*HSI!$G$35/HSI!$B$3,""))</f>
        <v/>
      </c>
      <c r="CQ40" s="110">
        <f>IF(AC40="","",IFERROR(AC40*HSI!$B$35*HSI!$G$35/HSI!$B$3,""))</f>
        <v/>
      </c>
      <c r="CR40" s="110">
        <f>IF(AD40="","",IFERROR(AD40*HSI!$B$35*HSI!$G$35/HSI!$B$3,""))</f>
        <v/>
      </c>
      <c r="CS40" s="110">
        <f>IF(AE40="","",IFERROR(AE40*HSI!$B$35*HSI!$G$35/HSI!$B$3,""))</f>
        <v/>
      </c>
      <c r="CT40" s="110">
        <f>IF(AF40="","",IFERROR(AF40*HSI!$B$35*HSI!$G$35/HSI!$B$3,""))</f>
        <v/>
      </c>
      <c r="CU40" s="110">
        <f>IF(AG40="","",IFERROR(AG40*HSI!$B$35*HSI!$G$35/HSI!$B$3,""))</f>
        <v/>
      </c>
      <c r="CV40" s="110">
        <f>IF(AH40="","",IFERROR(AH40*HSI!$B$35*HSI!$G$35/HSI!$B$3,""))</f>
        <v/>
      </c>
      <c r="CW40" s="110">
        <f>IF(AI40="","",IFERROR(AI40*HSI!$B$35*HSI!$G$35/HSI!$B$3,""))</f>
        <v/>
      </c>
      <c r="CX40" s="110">
        <f>IF(AJ40="","",IFERROR(AJ40*HSI!$B$35*HSI!$G$35/HSI!$B$3,""))</f>
        <v/>
      </c>
      <c r="CY40" s="110">
        <f>IF(AK40="","",IFERROR(AK40*HSI!$B$35*HSI!$G$35/HSI!$B$3,""))</f>
        <v/>
      </c>
      <c r="CZ40" s="110">
        <f>IF(AL40="","",IFERROR(AL40*HSI!$B$35*HSI!$G$35/HSI!$B$3,""))</f>
        <v/>
      </c>
      <c r="DA40" s="110">
        <f>IF(AM40="","",IFERROR(AM40*HSI!$B$35*HSI!$G$35/HSI!$B$3,""))</f>
        <v/>
      </c>
      <c r="DB40" s="110">
        <f>IF(AN40="","",IFERROR(AN40*HSI!$B$35*HSI!$G$35/HSI!$B$3,""))</f>
        <v/>
      </c>
      <c r="DC40" s="110">
        <f>IF(AO40="","",IFERROR(AO40*HSI!$B$35*HSI!$G$35/HSI!$B$3,""))</f>
        <v/>
      </c>
      <c r="DD40" s="110">
        <f>IF(AP40="","",IFERROR(AP40*HSI!$B$35*HSI!$G$35/HSI!$B$3,""))</f>
        <v/>
      </c>
      <c r="DE40" s="110">
        <f>IF(AQ40="","",IFERROR(AQ40*HSI!$B$35*HSI!$G$35/HSI!$B$3,""))</f>
        <v/>
      </c>
      <c r="DF40" s="110">
        <f>IF(AR40="","",IFERROR(AR40*HSI!$B$35*HSI!$G$35/HSI!$B$3,""))</f>
        <v/>
      </c>
      <c r="DG40" s="110">
        <f>IF(AS40="","",IFERROR(AS40*HSI!$B$35*HSI!$G$35/HSI!$B$3,""))</f>
        <v/>
      </c>
      <c r="DH40" s="110">
        <f>IF(AT40="","",IFERROR(AT40*HSI!$B$35*HSI!$G$35/HSI!$B$3,""))</f>
        <v/>
      </c>
      <c r="DI40" s="110">
        <f>IF(AU40="","",IFERROR(AU40*HSI!$B$35*HSI!$G$35/HSI!$B$3,""))</f>
        <v/>
      </c>
      <c r="DJ40" s="110">
        <f>IF(AV40="","",IFERROR(AV40*HSI!$B$35*HSI!$G$35/HSI!$B$3,""))</f>
        <v/>
      </c>
      <c r="DK40" s="110">
        <f>IF(AW40="","",IFERROR(AW40*HSI!$B$35*HSI!$G$35/HSI!$B$3,""))</f>
        <v/>
      </c>
      <c r="DL40" s="110">
        <f>IF(AX40="","",IFERROR(AX40*HSI!$B$35*HSI!$G$35/HSI!$B$3,""))</f>
        <v/>
      </c>
      <c r="DM40" s="110">
        <f>IF(AY40="","",IFERROR(AY40*HSI!$B$35*HSI!$G$35/HSI!$B$3,""))</f>
        <v/>
      </c>
      <c r="DN40" s="110">
        <f>IF(AZ40="","",IFERROR(AZ40*HSI!$B$35*HSI!$G$35/HSI!$B$3,""))</f>
        <v/>
      </c>
      <c r="DO40" s="110">
        <f>IF(BA40="","",IFERROR(BA40*HSI!$B$35*HSI!$G$35/HSI!$B$3,""))</f>
        <v/>
      </c>
      <c r="DP40" s="110">
        <f>IF(BB40="","",IFERROR(BB40*HSI!$B$35*HSI!$G$35/HSI!$B$3,""))</f>
        <v/>
      </c>
      <c r="DQ40" s="110">
        <f>IF(BC40="","",IFERROR(BC40*HSI!$B$35*HSI!$G$35/HSI!$B$3,""))</f>
        <v/>
      </c>
      <c r="DR40" s="110">
        <f>IF(BD40="","",IFERROR(BD40*HSI!$B$35*HSI!$G$35/HSI!$B$3,""))</f>
        <v/>
      </c>
      <c r="DS40" s="110">
        <f>IF(BE40="","",IFERROR(BE40*HSI!$B$35*HSI!$G$35/HSI!$B$3,""))</f>
        <v/>
      </c>
      <c r="DT40" s="110">
        <f>IF(BF40="","",IFERROR(BF40*HSI!$B$35*HSI!$G$35/HSI!$B$3,""))</f>
        <v/>
      </c>
      <c r="DU40" s="110">
        <f>IF(BG40="","",IFERROR(BG40*HSI!$B$35*HSI!$G$35/HSI!$B$3,""))</f>
        <v/>
      </c>
      <c r="DV40" s="110">
        <f>IF(BH40="","",IFERROR(BH40*HSI!$B$35*HSI!$G$35/HSI!$B$3,""))</f>
        <v/>
      </c>
      <c r="DW40" s="110">
        <f>IF(BI40="","",IFERROR(BI40*HSI!$B$35*HSI!$G$35/HSI!$B$3,""))</f>
        <v/>
      </c>
      <c r="DX40" s="110">
        <f>IF(BJ40="","",IFERROR(BJ40*HSI!$B$35*HSI!$G$35/HSI!$B$3,""))</f>
        <v/>
      </c>
      <c r="DY40" s="110">
        <f>IF(BK40="","",IFERROR(BK40*HSI!$B$35*HSI!$G$35/HSI!$B$3,""))</f>
        <v/>
      </c>
      <c r="DZ40" s="110">
        <f>IF(BL40="","",IFERROR(BL40*HSI!$B$35*HSI!$G$35/HSI!$B$3,""))</f>
        <v/>
      </c>
      <c r="EA40" s="110">
        <f>IF(BM40="","",IFERROR(BM40*HSI!$B$35*HSI!$G$35/HSI!$B$3,""))</f>
        <v/>
      </c>
      <c r="EB40" s="110">
        <f>IF(BN40="","",IFERROR(BN40*HSI!$B$35*HSI!$G$35/HSI!$B$3,""))</f>
        <v/>
      </c>
      <c r="EC40" s="110">
        <f>IF(BO40="","",IFERROR(BO40*HSI!$B$35*HSI!$G$35/HSI!$B$3,""))</f>
        <v/>
      </c>
      <c r="EE40" s="39">
        <f>IF(N('Dvd Calendar'!$E$319)=0,"",IF(('Dvd Calendar'!$E$319&gt;=GRID_FROM)*('Dvd Calendar'!$E$319&lt;=GRID_TO)*((('Dvd Calendar'!$E$319&lt;=VAL_DATE)+(COUNTIF('Dvd Calendar'!$E$326:$AR$326,'Dvd Calendar'!$E$319)=0))&gt;0)=0,"",'Dvd Calendar'!$E$319*1000000000+ISNUMBER('Dvd Calendar'!$E$322)*100000000+('Dvd Calendar'!$E$324=SPECIAL_LBL)*10000000+(N('Dvd Calendar'!$E$318)&gt;0)*(N('Dvd Calendar'!$E$318)&lt;=VAL_SERIAL)*1000000+29*1000+1))</f>
        <v/>
      </c>
      <c r="EF40" s="39">
        <f>IF(N('Dvd Calendar'!$F$319)=0,"",IF(('Dvd Calendar'!$F$319&gt;=GRID_FROM)*('Dvd Calendar'!$F$319&lt;=GRID_TO)*((('Dvd Calendar'!$F$319&lt;=VAL_DATE)+(COUNTIF('Dvd Calendar'!$E$326:$AR$326,'Dvd Calendar'!$F$319)=0))&gt;0)=0,"",'Dvd Calendar'!$F$319*1000000000+ISNUMBER('Dvd Calendar'!$F$322)*100000000+('Dvd Calendar'!$F$324=SPECIAL_LBL)*10000000+(N('Dvd Calendar'!$F$318)&gt;0)*(N('Dvd Calendar'!$F$318)&lt;=VAL_SERIAL)*1000000+29*1000+2))</f>
        <v/>
      </c>
      <c r="EG40" s="39">
        <f>IF(N('Dvd Calendar'!$G$319)=0,"",IF(('Dvd Calendar'!$G$319&gt;=GRID_FROM)*('Dvd Calendar'!$G$319&lt;=GRID_TO)*((('Dvd Calendar'!$G$319&lt;=VAL_DATE)+(COUNTIF('Dvd Calendar'!$E$326:$AR$326,'Dvd Calendar'!$G$319)=0))&gt;0)=0,"",'Dvd Calendar'!$G$319*1000000000+ISNUMBER('Dvd Calendar'!$G$322)*100000000+('Dvd Calendar'!$G$324=SPECIAL_LBL)*10000000+(N('Dvd Calendar'!$G$318)&gt;0)*(N('Dvd Calendar'!$G$318)&lt;=VAL_SERIAL)*1000000+29*1000+3))</f>
        <v/>
      </c>
      <c r="EH40" s="39">
        <f>IF(N('Dvd Calendar'!$H$319)=0,"",IF(('Dvd Calendar'!$H$319&gt;=GRID_FROM)*('Dvd Calendar'!$H$319&lt;=GRID_TO)*((('Dvd Calendar'!$H$319&lt;=VAL_DATE)+(COUNTIF('Dvd Calendar'!$E$326:$AR$326,'Dvd Calendar'!$H$319)=0))&gt;0)=0,"",'Dvd Calendar'!$H$319*1000000000+ISNUMBER('Dvd Calendar'!$H$322)*100000000+('Dvd Calendar'!$H$324=SPECIAL_LBL)*10000000+(N('Dvd Calendar'!$H$318)&gt;0)*(N('Dvd Calendar'!$H$318)&lt;=VAL_SERIAL)*1000000+29*1000+4))</f>
        <v/>
      </c>
      <c r="EI40" s="39">
        <f>IF(N('Dvd Calendar'!$I$319)=0,"",IF(('Dvd Calendar'!$I$319&gt;=GRID_FROM)*('Dvd Calendar'!$I$319&lt;=GRID_TO)*((('Dvd Calendar'!$I$319&lt;=VAL_DATE)+(COUNTIF('Dvd Calendar'!$E$326:$AR$326,'Dvd Calendar'!$I$319)=0))&gt;0)=0,"",'Dvd Calendar'!$I$319*1000000000+ISNUMBER('Dvd Calendar'!$I$322)*100000000+('Dvd Calendar'!$I$324=SPECIAL_LBL)*10000000+(N('Dvd Calendar'!$I$318)&gt;0)*(N('Dvd Calendar'!$I$318)&lt;=VAL_SERIAL)*1000000+29*1000+5))</f>
        <v/>
      </c>
      <c r="EJ40" s="39">
        <f>IF(N('Dvd Calendar'!$J$319)=0,"",IF(('Dvd Calendar'!$J$319&gt;=GRID_FROM)*('Dvd Calendar'!$J$319&lt;=GRID_TO)*((('Dvd Calendar'!$J$319&lt;=VAL_DATE)+(COUNTIF('Dvd Calendar'!$E$326:$AR$326,'Dvd Calendar'!$J$319)=0))&gt;0)=0,"",'Dvd Calendar'!$J$319*1000000000+ISNUMBER('Dvd Calendar'!$J$322)*100000000+('Dvd Calendar'!$J$324=SPECIAL_LBL)*10000000+(N('Dvd Calendar'!$J$318)&gt;0)*(N('Dvd Calendar'!$J$318)&lt;=VAL_SERIAL)*1000000+29*1000+6))</f>
        <v/>
      </c>
      <c r="EK40" s="39">
        <f>IF(N('Dvd Calendar'!$K$319)=0,"",IF(('Dvd Calendar'!$K$319&gt;=GRID_FROM)*('Dvd Calendar'!$K$319&lt;=GRID_TO)*((('Dvd Calendar'!$K$319&lt;=VAL_DATE)+(COUNTIF('Dvd Calendar'!$E$326:$AR$326,'Dvd Calendar'!$K$319)=0))&gt;0)=0,"",'Dvd Calendar'!$K$319*1000000000+ISNUMBER('Dvd Calendar'!$K$322)*100000000+('Dvd Calendar'!$K$324=SPECIAL_LBL)*10000000+(N('Dvd Calendar'!$K$318)&gt;0)*(N('Dvd Calendar'!$K$318)&lt;=VAL_SERIAL)*1000000+29*1000+7))</f>
        <v/>
      </c>
      <c r="EL40" s="39">
        <f>IF(N('Dvd Calendar'!$L$319)=0,"",IF(('Dvd Calendar'!$L$319&gt;=GRID_FROM)*('Dvd Calendar'!$L$319&lt;=GRID_TO)*((('Dvd Calendar'!$L$319&lt;=VAL_DATE)+(COUNTIF('Dvd Calendar'!$E$326:$AR$326,'Dvd Calendar'!$L$319)=0))&gt;0)=0,"",'Dvd Calendar'!$L$319*1000000000+ISNUMBER('Dvd Calendar'!$L$322)*100000000+('Dvd Calendar'!$L$324=SPECIAL_LBL)*10000000+(N('Dvd Calendar'!$L$318)&gt;0)*(N('Dvd Calendar'!$L$318)&lt;=VAL_SERIAL)*1000000+29*1000+8))</f>
        <v/>
      </c>
      <c r="EM40" s="39">
        <f>IF(N('Dvd Calendar'!$M$319)=0,"",IF(('Dvd Calendar'!$M$319&gt;=GRID_FROM)*('Dvd Calendar'!$M$319&lt;=GRID_TO)*((('Dvd Calendar'!$M$319&lt;=VAL_DATE)+(COUNTIF('Dvd Calendar'!$E$326:$AR$326,'Dvd Calendar'!$M$319)=0))&gt;0)=0,"",'Dvd Calendar'!$M$319*1000000000+ISNUMBER('Dvd Calendar'!$M$322)*100000000+('Dvd Calendar'!$M$324=SPECIAL_LBL)*10000000+(N('Dvd Calendar'!$M$318)&gt;0)*(N('Dvd Calendar'!$M$318)&lt;=VAL_SERIAL)*1000000+29*1000+9))</f>
        <v/>
      </c>
      <c r="EN40" s="39">
        <f>IF(N('Dvd Calendar'!$N$319)=0,"",IF(('Dvd Calendar'!$N$319&gt;=GRID_FROM)*('Dvd Calendar'!$N$319&lt;=GRID_TO)*((('Dvd Calendar'!$N$319&lt;=VAL_DATE)+(COUNTIF('Dvd Calendar'!$E$326:$AR$326,'Dvd Calendar'!$N$319)=0))&gt;0)=0,"",'Dvd Calendar'!$N$319*1000000000+ISNUMBER('Dvd Calendar'!$N$322)*100000000+('Dvd Calendar'!$N$324=SPECIAL_LBL)*10000000+(N('Dvd Calendar'!$N$318)&gt;0)*(N('Dvd Calendar'!$N$318)&lt;=VAL_SERIAL)*1000000+29*1000+10))</f>
        <v/>
      </c>
      <c r="EO40" s="39">
        <f>IF(N('Dvd Calendar'!$O$319)=0,"",IF(('Dvd Calendar'!$O$319&gt;=GRID_FROM)*('Dvd Calendar'!$O$319&lt;=GRID_TO)*((('Dvd Calendar'!$O$319&lt;=VAL_DATE)+(COUNTIF('Dvd Calendar'!$E$326:$AR$326,'Dvd Calendar'!$O$319)=0))&gt;0)=0,"",'Dvd Calendar'!$O$319*1000000000+ISNUMBER('Dvd Calendar'!$O$322)*100000000+('Dvd Calendar'!$O$324=SPECIAL_LBL)*10000000+(N('Dvd Calendar'!$O$318)&gt;0)*(N('Dvd Calendar'!$O$318)&lt;=VAL_SERIAL)*1000000+29*1000+11))</f>
        <v/>
      </c>
      <c r="EP40" s="39">
        <f>IF(N('Dvd Calendar'!$P$319)=0,"",IF(('Dvd Calendar'!$P$319&gt;=GRID_FROM)*('Dvd Calendar'!$P$319&lt;=GRID_TO)*((('Dvd Calendar'!$P$319&lt;=VAL_DATE)+(COUNTIF('Dvd Calendar'!$E$326:$AR$326,'Dvd Calendar'!$P$319)=0))&gt;0)=0,"",'Dvd Calendar'!$P$319*1000000000+ISNUMBER('Dvd Calendar'!$P$322)*100000000+('Dvd Calendar'!$P$324=SPECIAL_LBL)*10000000+(N('Dvd Calendar'!$P$318)&gt;0)*(N('Dvd Calendar'!$P$318)&lt;=VAL_SERIAL)*1000000+29*1000+12))</f>
        <v/>
      </c>
      <c r="EQ40" s="39">
        <f>IF(N('Dvd Calendar'!$Q$319)=0,"",IF(('Dvd Calendar'!$Q$319&gt;=GRID_FROM)*('Dvd Calendar'!$Q$319&lt;=GRID_TO)*((('Dvd Calendar'!$Q$319&lt;=VAL_DATE)+(COUNTIF('Dvd Calendar'!$E$326:$AR$326,'Dvd Calendar'!$Q$319)=0))&gt;0)=0,"",'Dvd Calendar'!$Q$319*1000000000+ISNUMBER('Dvd Calendar'!$Q$322)*100000000+('Dvd Calendar'!$Q$324=SPECIAL_LBL)*10000000+(N('Dvd Calendar'!$Q$318)&gt;0)*(N('Dvd Calendar'!$Q$318)&lt;=VAL_SERIAL)*1000000+29*1000+13))</f>
        <v/>
      </c>
      <c r="ER40" s="39">
        <f>IF(N('Dvd Calendar'!$R$319)=0,"",IF(('Dvd Calendar'!$R$319&gt;=GRID_FROM)*('Dvd Calendar'!$R$319&lt;=GRID_TO)*((('Dvd Calendar'!$R$319&lt;=VAL_DATE)+(COUNTIF('Dvd Calendar'!$E$326:$AR$326,'Dvd Calendar'!$R$319)=0))&gt;0)=0,"",'Dvd Calendar'!$R$319*1000000000+ISNUMBER('Dvd Calendar'!$R$322)*100000000+('Dvd Calendar'!$R$324=SPECIAL_LBL)*10000000+(N('Dvd Calendar'!$R$318)&gt;0)*(N('Dvd Calendar'!$R$318)&lt;=VAL_SERIAL)*1000000+29*1000+14))</f>
        <v/>
      </c>
      <c r="ES40" s="39">
        <f>IF(N('Dvd Calendar'!$S$319)=0,"",IF(('Dvd Calendar'!$S$319&gt;=GRID_FROM)*('Dvd Calendar'!$S$319&lt;=GRID_TO)*((('Dvd Calendar'!$S$319&lt;=VAL_DATE)+(COUNTIF('Dvd Calendar'!$E$326:$AR$326,'Dvd Calendar'!$S$319)=0))&gt;0)=0,"",'Dvd Calendar'!$S$319*1000000000+ISNUMBER('Dvd Calendar'!$S$322)*100000000+('Dvd Calendar'!$S$324=SPECIAL_LBL)*10000000+(N('Dvd Calendar'!$S$318)&gt;0)*(N('Dvd Calendar'!$S$318)&lt;=VAL_SERIAL)*1000000+29*1000+15))</f>
        <v/>
      </c>
      <c r="ET40" s="39">
        <f>IF(N('Dvd Calendar'!$T$319)=0,"",IF(('Dvd Calendar'!$T$319&gt;=GRID_FROM)*('Dvd Calendar'!$T$319&lt;=GRID_TO)*((('Dvd Calendar'!$T$319&lt;=VAL_DATE)+(COUNTIF('Dvd Calendar'!$E$326:$AR$326,'Dvd Calendar'!$T$319)=0))&gt;0)=0,"",'Dvd Calendar'!$T$319*1000000000+ISNUMBER('Dvd Calendar'!$T$322)*100000000+('Dvd Calendar'!$T$324=SPECIAL_LBL)*10000000+(N('Dvd Calendar'!$T$318)&gt;0)*(N('Dvd Calendar'!$T$318)&lt;=VAL_SERIAL)*1000000+29*1000+16))</f>
        <v/>
      </c>
      <c r="EU40" s="39">
        <f>IF(N('Dvd Calendar'!$U$319)=0,"",IF(('Dvd Calendar'!$U$319&gt;=GRID_FROM)*('Dvd Calendar'!$U$319&lt;=GRID_TO)*((('Dvd Calendar'!$U$319&lt;=VAL_DATE)+(COUNTIF('Dvd Calendar'!$E$326:$AR$326,'Dvd Calendar'!$U$319)=0))&gt;0)=0,"",'Dvd Calendar'!$U$319*1000000000+ISNUMBER('Dvd Calendar'!$U$322)*100000000+('Dvd Calendar'!$U$324=SPECIAL_LBL)*10000000+(N('Dvd Calendar'!$U$318)&gt;0)*(N('Dvd Calendar'!$U$318)&lt;=VAL_SERIAL)*1000000+29*1000+17))</f>
        <v/>
      </c>
      <c r="EV40" s="39">
        <f>IF(N('Dvd Calendar'!$V$319)=0,"",IF(('Dvd Calendar'!$V$319&gt;=GRID_FROM)*('Dvd Calendar'!$V$319&lt;=GRID_TO)*((('Dvd Calendar'!$V$319&lt;=VAL_DATE)+(COUNTIF('Dvd Calendar'!$E$326:$AR$326,'Dvd Calendar'!$V$319)=0))&gt;0)=0,"",'Dvd Calendar'!$V$319*1000000000+ISNUMBER('Dvd Calendar'!$V$322)*100000000+('Dvd Calendar'!$V$324=SPECIAL_LBL)*10000000+(N('Dvd Calendar'!$V$318)&gt;0)*(N('Dvd Calendar'!$V$318)&lt;=VAL_SERIAL)*1000000+29*1000+18))</f>
        <v/>
      </c>
      <c r="EW40" s="39">
        <f>IF(N('Dvd Calendar'!$W$319)=0,"",IF(('Dvd Calendar'!$W$319&gt;=GRID_FROM)*('Dvd Calendar'!$W$319&lt;=GRID_TO)*((('Dvd Calendar'!$W$319&lt;=VAL_DATE)+(COUNTIF('Dvd Calendar'!$E$326:$AR$326,'Dvd Calendar'!$W$319)=0))&gt;0)=0,"",'Dvd Calendar'!$W$319*1000000000+ISNUMBER('Dvd Calendar'!$W$322)*100000000+('Dvd Calendar'!$W$324=SPECIAL_LBL)*10000000+(N('Dvd Calendar'!$W$318)&gt;0)*(N('Dvd Calendar'!$W$318)&lt;=VAL_SERIAL)*1000000+29*1000+19))</f>
        <v/>
      </c>
      <c r="EX40" s="39">
        <f>IF(N('Dvd Calendar'!$X$319)=0,"",IF(('Dvd Calendar'!$X$319&gt;=GRID_FROM)*('Dvd Calendar'!$X$319&lt;=GRID_TO)*((('Dvd Calendar'!$X$319&lt;=VAL_DATE)+(COUNTIF('Dvd Calendar'!$E$326:$AR$326,'Dvd Calendar'!$X$319)=0))&gt;0)=0,"",'Dvd Calendar'!$X$319*1000000000+ISNUMBER('Dvd Calendar'!$X$322)*100000000+('Dvd Calendar'!$X$324=SPECIAL_LBL)*10000000+(N('Dvd Calendar'!$X$318)&gt;0)*(N('Dvd Calendar'!$X$318)&lt;=VAL_SERIAL)*1000000+29*1000+20))</f>
        <v/>
      </c>
      <c r="EY40" s="39">
        <f>IF(N('Dvd Calendar'!$Y$319)=0,"",IF(('Dvd Calendar'!$Y$319&gt;=GRID_FROM)*('Dvd Calendar'!$Y$319&lt;=GRID_TO)*((('Dvd Calendar'!$Y$319&lt;=VAL_DATE)+(COUNTIF('Dvd Calendar'!$E$326:$AR$326,'Dvd Calendar'!$Y$319)=0))&gt;0)=0,"",'Dvd Calendar'!$Y$319*1000000000+ISNUMBER('Dvd Calendar'!$Y$322)*100000000+('Dvd Calendar'!$Y$324=SPECIAL_LBL)*10000000+(N('Dvd Calendar'!$Y$318)&gt;0)*(N('Dvd Calendar'!$Y$318)&lt;=VAL_SERIAL)*1000000+29*1000+21))</f>
        <v/>
      </c>
      <c r="EZ40" s="39">
        <f>IF(N('Dvd Calendar'!$Z$319)=0,"",IF(('Dvd Calendar'!$Z$319&gt;=GRID_FROM)*('Dvd Calendar'!$Z$319&lt;=GRID_TO)*((('Dvd Calendar'!$Z$319&lt;=VAL_DATE)+(COUNTIF('Dvd Calendar'!$E$326:$AR$326,'Dvd Calendar'!$Z$319)=0))&gt;0)=0,"",'Dvd Calendar'!$Z$319*1000000000+ISNUMBER('Dvd Calendar'!$Z$322)*100000000+('Dvd Calendar'!$Z$324=SPECIAL_LBL)*10000000+(N('Dvd Calendar'!$Z$318)&gt;0)*(N('Dvd Calendar'!$Z$318)&lt;=VAL_SERIAL)*1000000+29*1000+22))</f>
        <v/>
      </c>
      <c r="FA40" s="39">
        <f>IF(N('Dvd Calendar'!$AA$319)=0,"",IF(('Dvd Calendar'!$AA$319&gt;=GRID_FROM)*('Dvd Calendar'!$AA$319&lt;=GRID_TO)*((('Dvd Calendar'!$AA$319&lt;=VAL_DATE)+(COUNTIF('Dvd Calendar'!$E$326:$AR$326,'Dvd Calendar'!$AA$319)=0))&gt;0)=0,"",'Dvd Calendar'!$AA$319*1000000000+ISNUMBER('Dvd Calendar'!$AA$322)*100000000+('Dvd Calendar'!$AA$324=SPECIAL_LBL)*10000000+(N('Dvd Calendar'!$AA$318)&gt;0)*(N('Dvd Calendar'!$AA$318)&lt;=VAL_SERIAL)*1000000+29*1000+23))</f>
        <v/>
      </c>
      <c r="FB40" s="39">
        <f>IF(N('Dvd Calendar'!$AB$319)=0,"",IF(('Dvd Calendar'!$AB$319&gt;=GRID_FROM)*('Dvd Calendar'!$AB$319&lt;=GRID_TO)*((('Dvd Calendar'!$AB$319&lt;=VAL_DATE)+(COUNTIF('Dvd Calendar'!$E$326:$AR$326,'Dvd Calendar'!$AB$319)=0))&gt;0)=0,"",'Dvd Calendar'!$AB$319*1000000000+ISNUMBER('Dvd Calendar'!$AB$322)*100000000+('Dvd Calendar'!$AB$324=SPECIAL_LBL)*10000000+(N('Dvd Calendar'!$AB$318)&gt;0)*(N('Dvd Calendar'!$AB$318)&lt;=VAL_SERIAL)*1000000+29*1000+24))</f>
        <v/>
      </c>
      <c r="FC40" s="39">
        <f>IF(N('Dvd Calendar'!$AC$319)=0,"",IF(('Dvd Calendar'!$AC$319&gt;=GRID_FROM)*('Dvd Calendar'!$AC$319&lt;=GRID_TO)*((('Dvd Calendar'!$AC$319&lt;=VAL_DATE)+(COUNTIF('Dvd Calendar'!$E$326:$AR$326,'Dvd Calendar'!$AC$319)=0))&gt;0)=0,"",'Dvd Calendar'!$AC$319*1000000000+ISNUMBER('Dvd Calendar'!$AC$322)*100000000+('Dvd Calendar'!$AC$324=SPECIAL_LBL)*10000000+(N('Dvd Calendar'!$AC$318)&gt;0)*(N('Dvd Calendar'!$AC$318)&lt;=VAL_SERIAL)*1000000+29*1000+25))</f>
        <v/>
      </c>
      <c r="FD40" s="39">
        <f>IF(N('Dvd Calendar'!$AD$319)=0,"",IF(('Dvd Calendar'!$AD$319&gt;=GRID_FROM)*('Dvd Calendar'!$AD$319&lt;=GRID_TO)*((('Dvd Calendar'!$AD$319&lt;=VAL_DATE)+(COUNTIF('Dvd Calendar'!$E$326:$AR$326,'Dvd Calendar'!$AD$319)=0))&gt;0)=0,"",'Dvd Calendar'!$AD$319*1000000000+ISNUMBER('Dvd Calendar'!$AD$322)*100000000+('Dvd Calendar'!$AD$324=SPECIAL_LBL)*10000000+(N('Dvd Calendar'!$AD$318)&gt;0)*(N('Dvd Calendar'!$AD$318)&lt;=VAL_SERIAL)*1000000+29*1000+26))</f>
        <v/>
      </c>
      <c r="FE40" s="39">
        <f>IF(N('Dvd Calendar'!$AE$319)=0,"",IF(('Dvd Calendar'!$AE$319&gt;=GRID_FROM)*('Dvd Calendar'!$AE$319&lt;=GRID_TO)*((('Dvd Calendar'!$AE$319&lt;=VAL_DATE)+(COUNTIF('Dvd Calendar'!$E$326:$AR$326,'Dvd Calendar'!$AE$319)=0))&gt;0)=0,"",'Dvd Calendar'!$AE$319*1000000000+ISNUMBER('Dvd Calendar'!$AE$322)*100000000+('Dvd Calendar'!$AE$324=SPECIAL_LBL)*10000000+(N('Dvd Calendar'!$AE$318)&gt;0)*(N('Dvd Calendar'!$AE$318)&lt;=VAL_SERIAL)*1000000+29*1000+27))</f>
        <v/>
      </c>
      <c r="FF40" s="39">
        <f>IF(N('Dvd Calendar'!$AF$319)=0,"",IF(('Dvd Calendar'!$AF$319&gt;=GRID_FROM)*('Dvd Calendar'!$AF$319&lt;=GRID_TO)*((('Dvd Calendar'!$AF$319&lt;=VAL_DATE)+(COUNTIF('Dvd Calendar'!$E$326:$AR$326,'Dvd Calendar'!$AF$319)=0))&gt;0)=0,"",'Dvd Calendar'!$AF$319*1000000000+ISNUMBER('Dvd Calendar'!$AF$322)*100000000+('Dvd Calendar'!$AF$324=SPECIAL_LBL)*10000000+(N('Dvd Calendar'!$AF$318)&gt;0)*(N('Dvd Calendar'!$AF$318)&lt;=VAL_SERIAL)*1000000+29*1000+28))</f>
        <v/>
      </c>
      <c r="FG40" s="39">
        <f>IF(N('Dvd Calendar'!$AG$319)=0,"",IF(('Dvd Calendar'!$AG$319&gt;=GRID_FROM)*('Dvd Calendar'!$AG$319&lt;=GRID_TO)*((('Dvd Calendar'!$AG$319&lt;=VAL_DATE)+(COUNTIF('Dvd Calendar'!$E$326:$AR$326,'Dvd Calendar'!$AG$319)=0))&gt;0)=0,"",'Dvd Calendar'!$AG$319*1000000000+ISNUMBER('Dvd Calendar'!$AG$322)*100000000+('Dvd Calendar'!$AG$324=SPECIAL_LBL)*10000000+(N('Dvd Calendar'!$AG$318)&gt;0)*(N('Dvd Calendar'!$AG$318)&lt;=VAL_SERIAL)*1000000+29*1000+29))</f>
        <v/>
      </c>
      <c r="FH40" s="39">
        <f>IF(N('Dvd Calendar'!$AH$319)=0,"",IF(('Dvd Calendar'!$AH$319&gt;=GRID_FROM)*('Dvd Calendar'!$AH$319&lt;=GRID_TO)*((('Dvd Calendar'!$AH$319&lt;=VAL_DATE)+(COUNTIF('Dvd Calendar'!$E$326:$AR$326,'Dvd Calendar'!$AH$319)=0))&gt;0)=0,"",'Dvd Calendar'!$AH$319*1000000000+ISNUMBER('Dvd Calendar'!$AH$322)*100000000+('Dvd Calendar'!$AH$324=SPECIAL_LBL)*10000000+(N('Dvd Calendar'!$AH$318)&gt;0)*(N('Dvd Calendar'!$AH$318)&lt;=VAL_SERIAL)*1000000+29*1000+30))</f>
        <v/>
      </c>
      <c r="FI40" s="39">
        <f>IF(N('Dvd Calendar'!$AI$319)=0,"",IF(('Dvd Calendar'!$AI$319&gt;=GRID_FROM)*('Dvd Calendar'!$AI$319&lt;=GRID_TO)*((('Dvd Calendar'!$AI$319&lt;=VAL_DATE)+(COUNTIF('Dvd Calendar'!$E$326:$AR$326,'Dvd Calendar'!$AI$319)=0))&gt;0)=0,"",'Dvd Calendar'!$AI$319*1000000000+ISNUMBER('Dvd Calendar'!$AI$322)*100000000+('Dvd Calendar'!$AI$324=SPECIAL_LBL)*10000000+(N('Dvd Calendar'!$AI$318)&gt;0)*(N('Dvd Calendar'!$AI$318)&lt;=VAL_SERIAL)*1000000+29*1000+31))</f>
        <v/>
      </c>
      <c r="FJ40" s="39">
        <f>IF(N('Dvd Calendar'!$AJ$319)=0,"",IF(('Dvd Calendar'!$AJ$319&gt;=GRID_FROM)*('Dvd Calendar'!$AJ$319&lt;=GRID_TO)*((('Dvd Calendar'!$AJ$319&lt;=VAL_DATE)+(COUNTIF('Dvd Calendar'!$E$326:$AR$326,'Dvd Calendar'!$AJ$319)=0))&gt;0)=0,"",'Dvd Calendar'!$AJ$319*1000000000+ISNUMBER('Dvd Calendar'!$AJ$322)*100000000+('Dvd Calendar'!$AJ$324=SPECIAL_LBL)*10000000+(N('Dvd Calendar'!$AJ$318)&gt;0)*(N('Dvd Calendar'!$AJ$318)&lt;=VAL_SERIAL)*1000000+29*1000+32))</f>
        <v/>
      </c>
      <c r="FK40" s="39">
        <f>IF(N('Dvd Calendar'!$AK$319)=0,"",IF(('Dvd Calendar'!$AK$319&gt;=GRID_FROM)*('Dvd Calendar'!$AK$319&lt;=GRID_TO)*((('Dvd Calendar'!$AK$319&lt;=VAL_DATE)+(COUNTIF('Dvd Calendar'!$E$326:$AR$326,'Dvd Calendar'!$AK$319)=0))&gt;0)=0,"",'Dvd Calendar'!$AK$319*1000000000+ISNUMBER('Dvd Calendar'!$AK$322)*100000000+('Dvd Calendar'!$AK$324=SPECIAL_LBL)*10000000+(N('Dvd Calendar'!$AK$318)&gt;0)*(N('Dvd Calendar'!$AK$318)&lt;=VAL_SERIAL)*1000000+29*1000+33))</f>
        <v/>
      </c>
      <c r="FL40" s="39">
        <f>IF(N('Dvd Calendar'!$AL$319)=0,"",IF(('Dvd Calendar'!$AL$319&gt;=GRID_FROM)*('Dvd Calendar'!$AL$319&lt;=GRID_TO)*((('Dvd Calendar'!$AL$319&lt;=VAL_DATE)+(COUNTIF('Dvd Calendar'!$E$326:$AR$326,'Dvd Calendar'!$AL$319)=0))&gt;0)=0,"",'Dvd Calendar'!$AL$319*1000000000+ISNUMBER('Dvd Calendar'!$AL$322)*100000000+('Dvd Calendar'!$AL$324=SPECIAL_LBL)*10000000+(N('Dvd Calendar'!$AL$318)&gt;0)*(N('Dvd Calendar'!$AL$318)&lt;=VAL_SERIAL)*1000000+29*1000+34))</f>
        <v/>
      </c>
      <c r="FM40" s="39">
        <f>IF(N('Dvd Calendar'!$AM$319)=0,"",IF(('Dvd Calendar'!$AM$319&gt;=GRID_FROM)*('Dvd Calendar'!$AM$319&lt;=GRID_TO)*((('Dvd Calendar'!$AM$319&lt;=VAL_DATE)+(COUNTIF('Dvd Calendar'!$E$326:$AR$326,'Dvd Calendar'!$AM$319)=0))&gt;0)=0,"",'Dvd Calendar'!$AM$319*1000000000+ISNUMBER('Dvd Calendar'!$AM$322)*100000000+('Dvd Calendar'!$AM$324=SPECIAL_LBL)*10000000+(N('Dvd Calendar'!$AM$318)&gt;0)*(N('Dvd Calendar'!$AM$318)&lt;=VAL_SERIAL)*1000000+29*1000+35))</f>
        <v/>
      </c>
      <c r="FN40" s="39">
        <f>IF(N('Dvd Calendar'!$AN$319)=0,"",IF(('Dvd Calendar'!$AN$319&gt;=GRID_FROM)*('Dvd Calendar'!$AN$319&lt;=GRID_TO)*((('Dvd Calendar'!$AN$319&lt;=VAL_DATE)+(COUNTIF('Dvd Calendar'!$E$326:$AR$326,'Dvd Calendar'!$AN$319)=0))&gt;0)=0,"",'Dvd Calendar'!$AN$319*1000000000+ISNUMBER('Dvd Calendar'!$AN$322)*100000000+('Dvd Calendar'!$AN$324=SPECIAL_LBL)*10000000+(N('Dvd Calendar'!$AN$318)&gt;0)*(N('Dvd Calendar'!$AN$318)&lt;=VAL_SERIAL)*1000000+29*1000+36))</f>
        <v/>
      </c>
      <c r="FO40" s="39">
        <f>IF(N('Dvd Calendar'!$AO$319)=0,"",IF(('Dvd Calendar'!$AO$319&gt;=GRID_FROM)*('Dvd Calendar'!$AO$319&lt;=GRID_TO)*((('Dvd Calendar'!$AO$319&lt;=VAL_DATE)+(COUNTIF('Dvd Calendar'!$E$326:$AR$326,'Dvd Calendar'!$AO$319)=0))&gt;0)=0,"",'Dvd Calendar'!$AO$319*1000000000+ISNUMBER('Dvd Calendar'!$AO$322)*100000000+('Dvd Calendar'!$AO$324=SPECIAL_LBL)*10000000+(N('Dvd Calendar'!$AO$318)&gt;0)*(N('Dvd Calendar'!$AO$318)&lt;=VAL_SERIAL)*1000000+29*1000+37))</f>
        <v/>
      </c>
      <c r="FP40" s="39">
        <f>IF(N('Dvd Calendar'!$AP$319)=0,"",IF(('Dvd Calendar'!$AP$319&gt;=GRID_FROM)*('Dvd Calendar'!$AP$319&lt;=GRID_TO)*((('Dvd Calendar'!$AP$319&lt;=VAL_DATE)+(COUNTIF('Dvd Calendar'!$E$326:$AR$326,'Dvd Calendar'!$AP$319)=0))&gt;0)=0,"",'Dvd Calendar'!$AP$319*1000000000+ISNUMBER('Dvd Calendar'!$AP$322)*100000000+('Dvd Calendar'!$AP$324=SPECIAL_LBL)*10000000+(N('Dvd Calendar'!$AP$318)&gt;0)*(N('Dvd Calendar'!$AP$318)&lt;=VAL_SERIAL)*1000000+29*1000+38))</f>
        <v/>
      </c>
      <c r="FQ40" s="39">
        <f>IF(N('Dvd Calendar'!$AQ$319)=0,"",IF(('Dvd Calendar'!$AQ$319&gt;=GRID_FROM)*('Dvd Calendar'!$AQ$319&lt;=GRID_TO)*((('Dvd Calendar'!$AQ$319&lt;=VAL_DATE)+(COUNTIF('Dvd Calendar'!$E$326:$AR$326,'Dvd Calendar'!$AQ$319)=0))&gt;0)=0,"",'Dvd Calendar'!$AQ$319*1000000000+ISNUMBER('Dvd Calendar'!$AQ$322)*100000000+('Dvd Calendar'!$AQ$324=SPECIAL_LBL)*10000000+(N('Dvd Calendar'!$AQ$318)&gt;0)*(N('Dvd Calendar'!$AQ$318)&lt;=VAL_SERIAL)*1000000+29*1000+39))</f>
        <v/>
      </c>
      <c r="FR40" s="39">
        <f>IF(N('Dvd Calendar'!$AR$319)=0,"",IF(('Dvd Calendar'!$AR$319&gt;=GRID_FROM)*('Dvd Calendar'!$AR$319&lt;=GRID_TO)*((('Dvd Calendar'!$AR$319&lt;=VAL_DATE)+(COUNTIF('Dvd Calendar'!$E$326:$AR$326,'Dvd Calendar'!$AR$319)=0))&gt;0)=0,"",'Dvd Calendar'!$AR$319*1000000000+ISNUMBER('Dvd Calendar'!$AR$322)*100000000+('Dvd Calendar'!$AR$324=SPECIAL_LBL)*10000000+(N('Dvd Calendar'!$AR$318)&gt;0)*(N('Dvd Calendar'!$AR$318)&lt;=VAL_SERIAL)*1000000+29*1000+40))</f>
        <v/>
      </c>
      <c r="FS40" s="39">
        <f>IF(N('Dvd Calendar'!$E$326)=0,"",IF(('Dvd Calendar'!$E$326&gt;=GRID_FROM)*('Dvd Calendar'!$E$326&lt;=GRID_TO)*('Dvd Calendar'!$E$326&gt;VAL_DATE)=0,"",'Dvd Calendar'!$E$326*1000000000+ISNUMBER('Dvd Calendar'!$E$327)*100000000+0*10000000+(N('Dvd Calendar'!$E$325)&gt;0)*(N('Dvd Calendar'!$E$325)&lt;=VAL_SERIAL)*1000000+29*1000+41))</f>
        <v/>
      </c>
      <c r="FT40" s="39">
        <f>IF(N('Dvd Calendar'!$F$326)=0,"",IF(('Dvd Calendar'!$F$326&gt;=GRID_FROM)*('Dvd Calendar'!$F$326&lt;=GRID_TO)*('Dvd Calendar'!$F$326&gt;VAL_DATE)=0,"",'Dvd Calendar'!$F$326*1000000000+ISNUMBER('Dvd Calendar'!$F$327)*100000000+0*10000000+(N('Dvd Calendar'!$F$325)&gt;0)*(N('Dvd Calendar'!$F$325)&lt;=VAL_SERIAL)*1000000+29*1000+42))</f>
        <v/>
      </c>
      <c r="FU40" s="39">
        <f>IF(N('Dvd Calendar'!$G$326)=0,"",IF(('Dvd Calendar'!$G$326&gt;=GRID_FROM)*('Dvd Calendar'!$G$326&lt;=GRID_TO)*('Dvd Calendar'!$G$326&gt;VAL_DATE)=0,"",'Dvd Calendar'!$G$326*1000000000+ISNUMBER('Dvd Calendar'!$G$327)*100000000+0*10000000+(N('Dvd Calendar'!$G$325)&gt;0)*(N('Dvd Calendar'!$G$325)&lt;=VAL_SERIAL)*1000000+29*1000+43))</f>
        <v/>
      </c>
      <c r="FV40" s="39">
        <f>IF(N('Dvd Calendar'!$H$326)=0,"",IF(('Dvd Calendar'!$H$326&gt;=GRID_FROM)*('Dvd Calendar'!$H$326&lt;=GRID_TO)*('Dvd Calendar'!$H$326&gt;VAL_DATE)=0,"",'Dvd Calendar'!$H$326*1000000000+ISNUMBER('Dvd Calendar'!$H$327)*100000000+0*10000000+(N('Dvd Calendar'!$H$325)&gt;0)*(N('Dvd Calendar'!$H$325)&lt;=VAL_SERIAL)*1000000+29*1000+44))</f>
        <v/>
      </c>
      <c r="FW40" s="39">
        <f>IF(N('Dvd Calendar'!$I$326)=0,"",IF(('Dvd Calendar'!$I$326&gt;=GRID_FROM)*('Dvd Calendar'!$I$326&lt;=GRID_TO)*('Dvd Calendar'!$I$326&gt;VAL_DATE)=0,"",'Dvd Calendar'!$I$326*1000000000+ISNUMBER('Dvd Calendar'!$I$327)*100000000+0*10000000+(N('Dvd Calendar'!$I$325)&gt;0)*(N('Dvd Calendar'!$I$325)&lt;=VAL_SERIAL)*1000000+29*1000+45))</f>
        <v/>
      </c>
      <c r="FX40" s="39">
        <f>IF(N('Dvd Calendar'!$J$326)=0,"",IF(('Dvd Calendar'!$J$326&gt;=GRID_FROM)*('Dvd Calendar'!$J$326&lt;=GRID_TO)*('Dvd Calendar'!$J$326&gt;VAL_DATE)=0,"",'Dvd Calendar'!$J$326*1000000000+ISNUMBER('Dvd Calendar'!$J$327)*100000000+0*10000000+(N('Dvd Calendar'!$J$325)&gt;0)*(N('Dvd Calendar'!$J$325)&lt;=VAL_SERIAL)*1000000+29*1000+46))</f>
        <v/>
      </c>
      <c r="FY40" s="39">
        <f>IF(N('Dvd Calendar'!$K$326)=0,"",IF(('Dvd Calendar'!$K$326&gt;=GRID_FROM)*('Dvd Calendar'!$K$326&lt;=GRID_TO)*('Dvd Calendar'!$K$326&gt;VAL_DATE)=0,"",'Dvd Calendar'!$K$326*1000000000+ISNUMBER('Dvd Calendar'!$K$327)*100000000+0*10000000+(N('Dvd Calendar'!$K$325)&gt;0)*(N('Dvd Calendar'!$K$325)&lt;=VAL_SERIAL)*1000000+29*1000+47))</f>
        <v/>
      </c>
      <c r="FZ40" s="39">
        <f>IF(N('Dvd Calendar'!$L$326)=0,"",IF(('Dvd Calendar'!$L$326&gt;=GRID_FROM)*('Dvd Calendar'!$L$326&lt;=GRID_TO)*('Dvd Calendar'!$L$326&gt;VAL_DATE)=0,"",'Dvd Calendar'!$L$326*1000000000+ISNUMBER('Dvd Calendar'!$L$327)*100000000+0*10000000+(N('Dvd Calendar'!$L$325)&gt;0)*(N('Dvd Calendar'!$L$325)&lt;=VAL_SERIAL)*1000000+29*1000+48))</f>
        <v/>
      </c>
      <c r="GA40" s="39">
        <f>IF(N('Dvd Calendar'!$M$326)=0,"",IF(('Dvd Calendar'!$M$326&gt;=GRID_FROM)*('Dvd Calendar'!$M$326&lt;=GRID_TO)*('Dvd Calendar'!$M$326&gt;VAL_DATE)=0,"",'Dvd Calendar'!$M$326*1000000000+ISNUMBER('Dvd Calendar'!$M$327)*100000000+0*10000000+(N('Dvd Calendar'!$M$325)&gt;0)*(N('Dvd Calendar'!$M$325)&lt;=VAL_SERIAL)*1000000+29*1000+49))</f>
        <v/>
      </c>
      <c r="GB40" s="39">
        <f>IF(N('Dvd Calendar'!$N$326)=0,"",IF(('Dvd Calendar'!$N$326&gt;=GRID_FROM)*('Dvd Calendar'!$N$326&lt;=GRID_TO)*('Dvd Calendar'!$N$326&gt;VAL_DATE)=0,"",'Dvd Calendar'!$N$326*1000000000+ISNUMBER('Dvd Calendar'!$N$327)*100000000+0*10000000+(N('Dvd Calendar'!$N$325)&gt;0)*(N('Dvd Calendar'!$N$325)&lt;=VAL_SERIAL)*1000000+29*1000+50))</f>
        <v/>
      </c>
      <c r="GC40" s="39">
        <f>IF(N('Dvd Calendar'!$O$326)=0,"",IF(('Dvd Calendar'!$O$326&gt;=GRID_FROM)*('Dvd Calendar'!$O$326&lt;=GRID_TO)*('Dvd Calendar'!$O$326&gt;VAL_DATE)=0,"",'Dvd Calendar'!$O$326*1000000000+ISNUMBER('Dvd Calendar'!$O$327)*100000000+0*10000000+(N('Dvd Calendar'!$O$325)&gt;0)*(N('Dvd Calendar'!$O$325)&lt;=VAL_SERIAL)*1000000+29*1000+51))</f>
        <v/>
      </c>
      <c r="GD40" s="39">
        <f>IF(N('Dvd Calendar'!$P$326)=0,"",IF(('Dvd Calendar'!$P$326&gt;=GRID_FROM)*('Dvd Calendar'!$P$326&lt;=GRID_TO)*('Dvd Calendar'!$P$326&gt;VAL_DATE)=0,"",'Dvd Calendar'!$P$326*1000000000+ISNUMBER('Dvd Calendar'!$P$327)*100000000+0*10000000+(N('Dvd Calendar'!$P$325)&gt;0)*(N('Dvd Calendar'!$P$325)&lt;=VAL_SERIAL)*1000000+29*1000+52))</f>
        <v/>
      </c>
      <c r="GE40" s="39">
        <f>IF(N('Dvd Calendar'!$Q$326)=0,"",IF(('Dvd Calendar'!$Q$326&gt;=GRID_FROM)*('Dvd Calendar'!$Q$326&lt;=GRID_TO)*('Dvd Calendar'!$Q$326&gt;VAL_DATE)=0,"",'Dvd Calendar'!$Q$326*1000000000+ISNUMBER('Dvd Calendar'!$Q$327)*100000000+0*10000000+(N('Dvd Calendar'!$Q$325)&gt;0)*(N('Dvd Calendar'!$Q$325)&lt;=VAL_SERIAL)*1000000+29*1000+53))</f>
        <v/>
      </c>
      <c r="GF40" s="39">
        <f>IF(N('Dvd Calendar'!$R$326)=0,"",IF(('Dvd Calendar'!$R$326&gt;=GRID_FROM)*('Dvd Calendar'!$R$326&lt;=GRID_TO)*('Dvd Calendar'!$R$326&gt;VAL_DATE)=0,"",'Dvd Calendar'!$R$326*1000000000+ISNUMBER('Dvd Calendar'!$R$327)*100000000+0*10000000+(N('Dvd Calendar'!$R$325)&gt;0)*(N('Dvd Calendar'!$R$325)&lt;=VAL_SERIAL)*1000000+29*1000+54))</f>
        <v/>
      </c>
      <c r="GG40" s="39">
        <f>IF(N('Dvd Calendar'!$S$326)=0,"",IF(('Dvd Calendar'!$S$326&gt;=GRID_FROM)*('Dvd Calendar'!$S$326&lt;=GRID_TO)*('Dvd Calendar'!$S$326&gt;VAL_DATE)=0,"",'Dvd Calendar'!$S$326*1000000000+ISNUMBER('Dvd Calendar'!$S$327)*100000000+0*10000000+(N('Dvd Calendar'!$S$325)&gt;0)*(N('Dvd Calendar'!$S$325)&lt;=VAL_SERIAL)*1000000+29*1000+55))</f>
        <v/>
      </c>
      <c r="GH40" s="39">
        <f>IF(N('Dvd Calendar'!$T$326)=0,"",IF(('Dvd Calendar'!$T$326&gt;=GRID_FROM)*('Dvd Calendar'!$T$326&lt;=GRID_TO)*('Dvd Calendar'!$T$326&gt;VAL_DATE)=0,"",'Dvd Calendar'!$T$326*1000000000+ISNUMBER('Dvd Calendar'!$T$327)*100000000+0*10000000+(N('Dvd Calendar'!$T$325)&gt;0)*(N('Dvd Calendar'!$T$325)&lt;=VAL_SERIAL)*1000000+29*1000+56))</f>
        <v/>
      </c>
      <c r="GI40" s="39">
        <f>IF(N('Dvd Calendar'!$U$326)=0,"",IF(('Dvd Calendar'!$U$326&gt;=GRID_FROM)*('Dvd Calendar'!$U$326&lt;=GRID_TO)*('Dvd Calendar'!$U$326&gt;VAL_DATE)=0,"",'Dvd Calendar'!$U$326*1000000000+ISNUMBER('Dvd Calendar'!$U$327)*100000000+0*10000000+(N('Dvd Calendar'!$U$325)&gt;0)*(N('Dvd Calendar'!$U$325)&lt;=VAL_SERIAL)*1000000+29*1000+57))</f>
        <v/>
      </c>
      <c r="GJ40" s="39">
        <f>IF(N('Dvd Calendar'!$V$326)=0,"",IF(('Dvd Calendar'!$V$326&gt;=GRID_FROM)*('Dvd Calendar'!$V$326&lt;=GRID_TO)*('Dvd Calendar'!$V$326&gt;VAL_DATE)=0,"",'Dvd Calendar'!$V$326*1000000000+ISNUMBER('Dvd Calendar'!$V$327)*100000000+0*10000000+(N('Dvd Calendar'!$V$325)&gt;0)*(N('Dvd Calendar'!$V$325)&lt;=VAL_SERIAL)*1000000+29*1000+58))</f>
        <v/>
      </c>
      <c r="GK40" s="39">
        <f>IF(N('Dvd Calendar'!$W$326)=0,"",IF(('Dvd Calendar'!$W$326&gt;=GRID_FROM)*('Dvd Calendar'!$W$326&lt;=GRID_TO)*('Dvd Calendar'!$W$326&gt;VAL_DATE)=0,"",'Dvd Calendar'!$W$326*1000000000+ISNUMBER('Dvd Calendar'!$W$327)*100000000+0*10000000+(N('Dvd Calendar'!$W$325)&gt;0)*(N('Dvd Calendar'!$W$325)&lt;=VAL_SERIAL)*1000000+29*1000+59))</f>
        <v/>
      </c>
      <c r="GL40" s="39">
        <f>IF(N('Dvd Calendar'!$X$326)=0,"",IF(('Dvd Calendar'!$X$326&gt;=GRID_FROM)*('Dvd Calendar'!$X$326&lt;=GRID_TO)*('Dvd Calendar'!$X$326&gt;VAL_DATE)=0,"",'Dvd Calendar'!$X$326*1000000000+ISNUMBER('Dvd Calendar'!$X$327)*100000000+0*10000000+(N('Dvd Calendar'!$X$325)&gt;0)*(N('Dvd Calendar'!$X$325)&lt;=VAL_SERIAL)*1000000+29*1000+60))</f>
        <v/>
      </c>
      <c r="GM40" s="39">
        <f>IF(N('Dvd Calendar'!$Y$326)=0,"",IF(('Dvd Calendar'!$Y$326&gt;=GRID_FROM)*('Dvd Calendar'!$Y$326&lt;=GRID_TO)*('Dvd Calendar'!$Y$326&gt;VAL_DATE)=0,"",'Dvd Calendar'!$Y$326*1000000000+ISNUMBER('Dvd Calendar'!$Y$327)*100000000+0*10000000+(N('Dvd Calendar'!$Y$325)&gt;0)*(N('Dvd Calendar'!$Y$325)&lt;=VAL_SERIAL)*1000000+29*1000+61))</f>
        <v/>
      </c>
      <c r="GN40" s="39">
        <f>IF(N('Dvd Calendar'!$Z$326)=0,"",IF(('Dvd Calendar'!$Z$326&gt;=GRID_FROM)*('Dvd Calendar'!$Z$326&lt;=GRID_TO)*('Dvd Calendar'!$Z$326&gt;VAL_DATE)=0,"",'Dvd Calendar'!$Z$326*1000000000+ISNUMBER('Dvd Calendar'!$Z$327)*100000000+0*10000000+(N('Dvd Calendar'!$Z$325)&gt;0)*(N('Dvd Calendar'!$Z$325)&lt;=VAL_SERIAL)*1000000+29*1000+62))</f>
        <v/>
      </c>
      <c r="GO40" s="39">
        <f>IF(N('Dvd Calendar'!$AA$326)=0,"",IF(('Dvd Calendar'!$AA$326&gt;=GRID_FROM)*('Dvd Calendar'!$AA$326&lt;=GRID_TO)*('Dvd Calendar'!$AA$326&gt;VAL_DATE)=0,"",'Dvd Calendar'!$AA$326*1000000000+ISNUMBER('Dvd Calendar'!$AA$327)*100000000+0*10000000+(N('Dvd Calendar'!$AA$325)&gt;0)*(N('Dvd Calendar'!$AA$325)&lt;=VAL_SERIAL)*1000000+29*1000+63))</f>
        <v/>
      </c>
      <c r="GP40" s="39">
        <f>IF(N('Dvd Calendar'!$AB$326)=0,"",IF(('Dvd Calendar'!$AB$326&gt;=GRID_FROM)*('Dvd Calendar'!$AB$326&lt;=GRID_TO)*('Dvd Calendar'!$AB$326&gt;VAL_DATE)=0,"",'Dvd Calendar'!$AB$326*1000000000+ISNUMBER('Dvd Calendar'!$AB$327)*100000000+0*10000000+(N('Dvd Calendar'!$AB$325)&gt;0)*(N('Dvd Calendar'!$AB$325)&lt;=VAL_SERIAL)*1000000+29*1000+64))</f>
        <v/>
      </c>
      <c r="GQ40" s="39">
        <f>IF(N('Dvd Calendar'!$AC$326)=0,"",IF(('Dvd Calendar'!$AC$326&gt;=GRID_FROM)*('Dvd Calendar'!$AC$326&lt;=GRID_TO)*('Dvd Calendar'!$AC$326&gt;VAL_DATE)=0,"",'Dvd Calendar'!$AC$326*1000000000+ISNUMBER('Dvd Calendar'!$AC$327)*100000000+0*10000000+(N('Dvd Calendar'!$AC$325)&gt;0)*(N('Dvd Calendar'!$AC$325)&lt;=VAL_SERIAL)*1000000+29*1000+65))</f>
        <v/>
      </c>
    </row>
    <row r="41">
      <c r="B41" s="2">
        <f>IF(HSI!$C$36="","",HSI!$C$36)</f>
        <v/>
      </c>
      <c r="C41" s="110">
        <f>IF(EE41="","",IF(ISNUMBER('Dvd Calendar'!$E$333)=FALSE,"",IF((('Dvd Calendar'!$E$335=TYPE1)*(TYPE1&lt;&gt;"")+('Dvd Calendar'!$E$335=TYPE2)*(TYPE2&lt;&gt;"")+('Dvd Calendar'!$E$335=TYPE3)*(TYPE3&lt;&gt;"")+('Dvd Calendar'!$E$335=TYPE4)*(TYPE4&lt;&gt;"")+('Dvd Calendar'!$E$335=SPECIAL_LBL)*(INC_SPECIALS="Y"))=0,"",'Dvd Calendar'!$E$333)))</f>
        <v/>
      </c>
      <c r="D41" s="110">
        <f>IF(EF41="","",IF(ISNUMBER('Dvd Calendar'!$F$333)=FALSE,"",IF((('Dvd Calendar'!$F$335=TYPE1)*(TYPE1&lt;&gt;"")+('Dvd Calendar'!$F$335=TYPE2)*(TYPE2&lt;&gt;"")+('Dvd Calendar'!$F$335=TYPE3)*(TYPE3&lt;&gt;"")+('Dvd Calendar'!$F$335=TYPE4)*(TYPE4&lt;&gt;"")+('Dvd Calendar'!$F$335=SPECIAL_LBL)*(INC_SPECIALS="Y"))=0,"",'Dvd Calendar'!$F$333)))</f>
        <v/>
      </c>
      <c r="E41" s="110">
        <f>IF(EG41="","",IF(ISNUMBER('Dvd Calendar'!$G$333)=FALSE,"",IF((('Dvd Calendar'!$G$335=TYPE1)*(TYPE1&lt;&gt;"")+('Dvd Calendar'!$G$335=TYPE2)*(TYPE2&lt;&gt;"")+('Dvd Calendar'!$G$335=TYPE3)*(TYPE3&lt;&gt;"")+('Dvd Calendar'!$G$335=TYPE4)*(TYPE4&lt;&gt;"")+('Dvd Calendar'!$G$335=SPECIAL_LBL)*(INC_SPECIALS="Y"))=0,"",'Dvd Calendar'!$G$333)))</f>
        <v/>
      </c>
      <c r="F41" s="110">
        <f>IF(EH41="","",IF(ISNUMBER('Dvd Calendar'!$H$333)=FALSE,"",IF((('Dvd Calendar'!$H$335=TYPE1)*(TYPE1&lt;&gt;"")+('Dvd Calendar'!$H$335=TYPE2)*(TYPE2&lt;&gt;"")+('Dvd Calendar'!$H$335=TYPE3)*(TYPE3&lt;&gt;"")+('Dvd Calendar'!$H$335=TYPE4)*(TYPE4&lt;&gt;"")+('Dvd Calendar'!$H$335=SPECIAL_LBL)*(INC_SPECIALS="Y"))=0,"",'Dvd Calendar'!$H$333)))</f>
        <v/>
      </c>
      <c r="G41" s="110">
        <f>IF(EI41="","",IF(ISNUMBER('Dvd Calendar'!$I$333)=FALSE,"",IF((('Dvd Calendar'!$I$335=TYPE1)*(TYPE1&lt;&gt;"")+('Dvd Calendar'!$I$335=TYPE2)*(TYPE2&lt;&gt;"")+('Dvd Calendar'!$I$335=TYPE3)*(TYPE3&lt;&gt;"")+('Dvd Calendar'!$I$335=TYPE4)*(TYPE4&lt;&gt;"")+('Dvd Calendar'!$I$335=SPECIAL_LBL)*(INC_SPECIALS="Y"))=0,"",'Dvd Calendar'!$I$333)))</f>
        <v/>
      </c>
      <c r="H41" s="110">
        <f>IF(EJ41="","",IF(ISNUMBER('Dvd Calendar'!$J$333)=FALSE,"",IF((('Dvd Calendar'!$J$335=TYPE1)*(TYPE1&lt;&gt;"")+('Dvd Calendar'!$J$335=TYPE2)*(TYPE2&lt;&gt;"")+('Dvd Calendar'!$J$335=TYPE3)*(TYPE3&lt;&gt;"")+('Dvd Calendar'!$J$335=TYPE4)*(TYPE4&lt;&gt;"")+('Dvd Calendar'!$J$335=SPECIAL_LBL)*(INC_SPECIALS="Y"))=0,"",'Dvd Calendar'!$J$333)))</f>
        <v/>
      </c>
      <c r="I41" s="110">
        <f>IF(EK41="","",IF(ISNUMBER('Dvd Calendar'!$K$333)=FALSE,"",IF((('Dvd Calendar'!$K$335=TYPE1)*(TYPE1&lt;&gt;"")+('Dvd Calendar'!$K$335=TYPE2)*(TYPE2&lt;&gt;"")+('Dvd Calendar'!$K$335=TYPE3)*(TYPE3&lt;&gt;"")+('Dvd Calendar'!$K$335=TYPE4)*(TYPE4&lt;&gt;"")+('Dvd Calendar'!$K$335=SPECIAL_LBL)*(INC_SPECIALS="Y"))=0,"",'Dvd Calendar'!$K$333)))</f>
        <v/>
      </c>
      <c r="J41" s="110">
        <f>IF(EL41="","",IF(ISNUMBER('Dvd Calendar'!$L$333)=FALSE,"",IF((('Dvd Calendar'!$L$335=TYPE1)*(TYPE1&lt;&gt;"")+('Dvd Calendar'!$L$335=TYPE2)*(TYPE2&lt;&gt;"")+('Dvd Calendar'!$L$335=TYPE3)*(TYPE3&lt;&gt;"")+('Dvd Calendar'!$L$335=TYPE4)*(TYPE4&lt;&gt;"")+('Dvd Calendar'!$L$335=SPECIAL_LBL)*(INC_SPECIALS="Y"))=0,"",'Dvd Calendar'!$L$333)))</f>
        <v/>
      </c>
      <c r="K41" s="110">
        <f>IF(EM41="","",IF(ISNUMBER('Dvd Calendar'!$M$333)=FALSE,"",IF((('Dvd Calendar'!$M$335=TYPE1)*(TYPE1&lt;&gt;"")+('Dvd Calendar'!$M$335=TYPE2)*(TYPE2&lt;&gt;"")+('Dvd Calendar'!$M$335=TYPE3)*(TYPE3&lt;&gt;"")+('Dvd Calendar'!$M$335=TYPE4)*(TYPE4&lt;&gt;"")+('Dvd Calendar'!$M$335=SPECIAL_LBL)*(INC_SPECIALS="Y"))=0,"",'Dvd Calendar'!$M$333)))</f>
        <v/>
      </c>
      <c r="L41" s="110">
        <f>IF(EN41="","",IF(ISNUMBER('Dvd Calendar'!$N$333)=FALSE,"",IF((('Dvd Calendar'!$N$335=TYPE1)*(TYPE1&lt;&gt;"")+('Dvd Calendar'!$N$335=TYPE2)*(TYPE2&lt;&gt;"")+('Dvd Calendar'!$N$335=TYPE3)*(TYPE3&lt;&gt;"")+('Dvd Calendar'!$N$335=TYPE4)*(TYPE4&lt;&gt;"")+('Dvd Calendar'!$N$335=SPECIAL_LBL)*(INC_SPECIALS="Y"))=0,"",'Dvd Calendar'!$N$333)))</f>
        <v/>
      </c>
      <c r="M41" s="110">
        <f>IF(EO41="","",IF(ISNUMBER('Dvd Calendar'!$O$333)=FALSE,"",IF((('Dvd Calendar'!$O$335=TYPE1)*(TYPE1&lt;&gt;"")+('Dvd Calendar'!$O$335=TYPE2)*(TYPE2&lt;&gt;"")+('Dvd Calendar'!$O$335=TYPE3)*(TYPE3&lt;&gt;"")+('Dvd Calendar'!$O$335=TYPE4)*(TYPE4&lt;&gt;"")+('Dvd Calendar'!$O$335=SPECIAL_LBL)*(INC_SPECIALS="Y"))=0,"",'Dvd Calendar'!$O$333)))</f>
        <v/>
      </c>
      <c r="N41" s="110">
        <f>IF(EP41="","",IF(ISNUMBER('Dvd Calendar'!$P$333)=FALSE,"",IF((('Dvd Calendar'!$P$335=TYPE1)*(TYPE1&lt;&gt;"")+('Dvd Calendar'!$P$335=TYPE2)*(TYPE2&lt;&gt;"")+('Dvd Calendar'!$P$335=TYPE3)*(TYPE3&lt;&gt;"")+('Dvd Calendar'!$P$335=TYPE4)*(TYPE4&lt;&gt;"")+('Dvd Calendar'!$P$335=SPECIAL_LBL)*(INC_SPECIALS="Y"))=0,"",'Dvd Calendar'!$P$333)))</f>
        <v/>
      </c>
      <c r="O41" s="110">
        <f>IF(EQ41="","",IF(ISNUMBER('Dvd Calendar'!$Q$333)=FALSE,"",IF((('Dvd Calendar'!$Q$335=TYPE1)*(TYPE1&lt;&gt;"")+('Dvd Calendar'!$Q$335=TYPE2)*(TYPE2&lt;&gt;"")+('Dvd Calendar'!$Q$335=TYPE3)*(TYPE3&lt;&gt;"")+('Dvd Calendar'!$Q$335=TYPE4)*(TYPE4&lt;&gt;"")+('Dvd Calendar'!$Q$335=SPECIAL_LBL)*(INC_SPECIALS="Y"))=0,"",'Dvd Calendar'!$Q$333)))</f>
        <v/>
      </c>
      <c r="P41" s="110">
        <f>IF(ER41="","",IF(ISNUMBER('Dvd Calendar'!$R$333)=FALSE,"",IF((('Dvd Calendar'!$R$335=TYPE1)*(TYPE1&lt;&gt;"")+('Dvd Calendar'!$R$335=TYPE2)*(TYPE2&lt;&gt;"")+('Dvd Calendar'!$R$335=TYPE3)*(TYPE3&lt;&gt;"")+('Dvd Calendar'!$R$335=TYPE4)*(TYPE4&lt;&gt;"")+('Dvd Calendar'!$R$335=SPECIAL_LBL)*(INC_SPECIALS="Y"))=0,"",'Dvd Calendar'!$R$333)))</f>
        <v/>
      </c>
      <c r="Q41" s="110">
        <f>IF(ES41="","",IF(ISNUMBER('Dvd Calendar'!$S$333)=FALSE,"",IF((('Dvd Calendar'!$S$335=TYPE1)*(TYPE1&lt;&gt;"")+('Dvd Calendar'!$S$335=TYPE2)*(TYPE2&lt;&gt;"")+('Dvd Calendar'!$S$335=TYPE3)*(TYPE3&lt;&gt;"")+('Dvd Calendar'!$S$335=TYPE4)*(TYPE4&lt;&gt;"")+('Dvd Calendar'!$S$335=SPECIAL_LBL)*(INC_SPECIALS="Y"))=0,"",'Dvd Calendar'!$S$333)))</f>
        <v/>
      </c>
      <c r="R41" s="110">
        <f>IF(ET41="","",IF(ISNUMBER('Dvd Calendar'!$T$333)=FALSE,"",IF((('Dvd Calendar'!$T$335=TYPE1)*(TYPE1&lt;&gt;"")+('Dvd Calendar'!$T$335=TYPE2)*(TYPE2&lt;&gt;"")+('Dvd Calendar'!$T$335=TYPE3)*(TYPE3&lt;&gt;"")+('Dvd Calendar'!$T$335=TYPE4)*(TYPE4&lt;&gt;"")+('Dvd Calendar'!$T$335=SPECIAL_LBL)*(INC_SPECIALS="Y"))=0,"",'Dvd Calendar'!$T$333)))</f>
        <v/>
      </c>
      <c r="S41" s="110">
        <f>IF(EU41="","",IF(ISNUMBER('Dvd Calendar'!$U$333)=FALSE,"",IF((('Dvd Calendar'!$U$335=TYPE1)*(TYPE1&lt;&gt;"")+('Dvd Calendar'!$U$335=TYPE2)*(TYPE2&lt;&gt;"")+('Dvd Calendar'!$U$335=TYPE3)*(TYPE3&lt;&gt;"")+('Dvd Calendar'!$U$335=TYPE4)*(TYPE4&lt;&gt;"")+('Dvd Calendar'!$U$335=SPECIAL_LBL)*(INC_SPECIALS="Y"))=0,"",'Dvd Calendar'!$U$333)))</f>
        <v/>
      </c>
      <c r="T41" s="110">
        <f>IF(EV41="","",IF(ISNUMBER('Dvd Calendar'!$V$333)=FALSE,"",IF((('Dvd Calendar'!$V$335=TYPE1)*(TYPE1&lt;&gt;"")+('Dvd Calendar'!$V$335=TYPE2)*(TYPE2&lt;&gt;"")+('Dvd Calendar'!$V$335=TYPE3)*(TYPE3&lt;&gt;"")+('Dvd Calendar'!$V$335=TYPE4)*(TYPE4&lt;&gt;"")+('Dvd Calendar'!$V$335=SPECIAL_LBL)*(INC_SPECIALS="Y"))=0,"",'Dvd Calendar'!$V$333)))</f>
        <v/>
      </c>
      <c r="U41" s="110">
        <f>IF(EW41="","",IF(ISNUMBER('Dvd Calendar'!$W$333)=FALSE,"",IF((('Dvd Calendar'!$W$335=TYPE1)*(TYPE1&lt;&gt;"")+('Dvd Calendar'!$W$335=TYPE2)*(TYPE2&lt;&gt;"")+('Dvd Calendar'!$W$335=TYPE3)*(TYPE3&lt;&gt;"")+('Dvd Calendar'!$W$335=TYPE4)*(TYPE4&lt;&gt;"")+('Dvd Calendar'!$W$335=SPECIAL_LBL)*(INC_SPECIALS="Y"))=0,"",'Dvd Calendar'!$W$333)))</f>
        <v/>
      </c>
      <c r="V41" s="110">
        <f>IF(EX41="","",IF(ISNUMBER('Dvd Calendar'!$X$333)=FALSE,"",IF((('Dvd Calendar'!$X$335=TYPE1)*(TYPE1&lt;&gt;"")+('Dvd Calendar'!$X$335=TYPE2)*(TYPE2&lt;&gt;"")+('Dvd Calendar'!$X$335=TYPE3)*(TYPE3&lt;&gt;"")+('Dvd Calendar'!$X$335=TYPE4)*(TYPE4&lt;&gt;"")+('Dvd Calendar'!$X$335=SPECIAL_LBL)*(INC_SPECIALS="Y"))=0,"",'Dvd Calendar'!$X$333)))</f>
        <v/>
      </c>
      <c r="W41" s="110">
        <f>IF(EY41="","",IF(ISNUMBER('Dvd Calendar'!$Y$333)=FALSE,"",IF((('Dvd Calendar'!$Y$335=TYPE1)*(TYPE1&lt;&gt;"")+('Dvd Calendar'!$Y$335=TYPE2)*(TYPE2&lt;&gt;"")+('Dvd Calendar'!$Y$335=TYPE3)*(TYPE3&lt;&gt;"")+('Dvd Calendar'!$Y$335=TYPE4)*(TYPE4&lt;&gt;"")+('Dvd Calendar'!$Y$335=SPECIAL_LBL)*(INC_SPECIALS="Y"))=0,"",'Dvd Calendar'!$Y$333)))</f>
        <v/>
      </c>
      <c r="X41" s="110">
        <f>IF(EZ41="","",IF(ISNUMBER('Dvd Calendar'!$Z$333)=FALSE,"",IF((('Dvd Calendar'!$Z$335=TYPE1)*(TYPE1&lt;&gt;"")+('Dvd Calendar'!$Z$335=TYPE2)*(TYPE2&lt;&gt;"")+('Dvd Calendar'!$Z$335=TYPE3)*(TYPE3&lt;&gt;"")+('Dvd Calendar'!$Z$335=TYPE4)*(TYPE4&lt;&gt;"")+('Dvd Calendar'!$Z$335=SPECIAL_LBL)*(INC_SPECIALS="Y"))=0,"",'Dvd Calendar'!$Z$333)))</f>
        <v/>
      </c>
      <c r="Y41" s="110">
        <f>IF(FA41="","",IF(ISNUMBER('Dvd Calendar'!$AA$333)=FALSE,"",IF((('Dvd Calendar'!$AA$335=TYPE1)*(TYPE1&lt;&gt;"")+('Dvd Calendar'!$AA$335=TYPE2)*(TYPE2&lt;&gt;"")+('Dvd Calendar'!$AA$335=TYPE3)*(TYPE3&lt;&gt;"")+('Dvd Calendar'!$AA$335=TYPE4)*(TYPE4&lt;&gt;"")+('Dvd Calendar'!$AA$335=SPECIAL_LBL)*(INC_SPECIALS="Y"))=0,"",'Dvd Calendar'!$AA$333)))</f>
        <v/>
      </c>
      <c r="Z41" s="110">
        <f>IF(FB41="","",IF(ISNUMBER('Dvd Calendar'!$AB$333)=FALSE,"",IF((('Dvd Calendar'!$AB$335=TYPE1)*(TYPE1&lt;&gt;"")+('Dvd Calendar'!$AB$335=TYPE2)*(TYPE2&lt;&gt;"")+('Dvd Calendar'!$AB$335=TYPE3)*(TYPE3&lt;&gt;"")+('Dvd Calendar'!$AB$335=TYPE4)*(TYPE4&lt;&gt;"")+('Dvd Calendar'!$AB$335=SPECIAL_LBL)*(INC_SPECIALS="Y"))=0,"",'Dvd Calendar'!$AB$333)))</f>
        <v/>
      </c>
      <c r="AA41" s="110">
        <f>IF(FC41="","",IF(ISNUMBER('Dvd Calendar'!$AC$333)=FALSE,"",IF((('Dvd Calendar'!$AC$335=TYPE1)*(TYPE1&lt;&gt;"")+('Dvd Calendar'!$AC$335=TYPE2)*(TYPE2&lt;&gt;"")+('Dvd Calendar'!$AC$335=TYPE3)*(TYPE3&lt;&gt;"")+('Dvd Calendar'!$AC$335=TYPE4)*(TYPE4&lt;&gt;"")+('Dvd Calendar'!$AC$335=SPECIAL_LBL)*(INC_SPECIALS="Y"))=0,"",'Dvd Calendar'!$AC$333)))</f>
        <v/>
      </c>
      <c r="AB41" s="110">
        <f>IF(FD41="","",IF(ISNUMBER('Dvd Calendar'!$AD$333)=FALSE,"",IF((('Dvd Calendar'!$AD$335=TYPE1)*(TYPE1&lt;&gt;"")+('Dvd Calendar'!$AD$335=TYPE2)*(TYPE2&lt;&gt;"")+('Dvd Calendar'!$AD$335=TYPE3)*(TYPE3&lt;&gt;"")+('Dvd Calendar'!$AD$335=TYPE4)*(TYPE4&lt;&gt;"")+('Dvd Calendar'!$AD$335=SPECIAL_LBL)*(INC_SPECIALS="Y"))=0,"",'Dvd Calendar'!$AD$333)))</f>
        <v/>
      </c>
      <c r="AC41" s="110">
        <f>IF(FE41="","",IF(ISNUMBER('Dvd Calendar'!$AE$333)=FALSE,"",IF((('Dvd Calendar'!$AE$335=TYPE1)*(TYPE1&lt;&gt;"")+('Dvd Calendar'!$AE$335=TYPE2)*(TYPE2&lt;&gt;"")+('Dvd Calendar'!$AE$335=TYPE3)*(TYPE3&lt;&gt;"")+('Dvd Calendar'!$AE$335=TYPE4)*(TYPE4&lt;&gt;"")+('Dvd Calendar'!$AE$335=SPECIAL_LBL)*(INC_SPECIALS="Y"))=0,"",'Dvd Calendar'!$AE$333)))</f>
        <v/>
      </c>
      <c r="AD41" s="110">
        <f>IF(FF41="","",IF(ISNUMBER('Dvd Calendar'!$AF$333)=FALSE,"",IF((('Dvd Calendar'!$AF$335=TYPE1)*(TYPE1&lt;&gt;"")+('Dvd Calendar'!$AF$335=TYPE2)*(TYPE2&lt;&gt;"")+('Dvd Calendar'!$AF$335=TYPE3)*(TYPE3&lt;&gt;"")+('Dvd Calendar'!$AF$335=TYPE4)*(TYPE4&lt;&gt;"")+('Dvd Calendar'!$AF$335=SPECIAL_LBL)*(INC_SPECIALS="Y"))=0,"",'Dvd Calendar'!$AF$333)))</f>
        <v/>
      </c>
      <c r="AE41" s="110">
        <f>IF(FG41="","",IF(ISNUMBER('Dvd Calendar'!$AG$333)=FALSE,"",IF((('Dvd Calendar'!$AG$335=TYPE1)*(TYPE1&lt;&gt;"")+('Dvd Calendar'!$AG$335=TYPE2)*(TYPE2&lt;&gt;"")+('Dvd Calendar'!$AG$335=TYPE3)*(TYPE3&lt;&gt;"")+('Dvd Calendar'!$AG$335=TYPE4)*(TYPE4&lt;&gt;"")+('Dvd Calendar'!$AG$335=SPECIAL_LBL)*(INC_SPECIALS="Y"))=0,"",'Dvd Calendar'!$AG$333)))</f>
        <v/>
      </c>
      <c r="AF41" s="110">
        <f>IF(FH41="","",IF(ISNUMBER('Dvd Calendar'!$AH$333)=FALSE,"",IF((('Dvd Calendar'!$AH$335=TYPE1)*(TYPE1&lt;&gt;"")+('Dvd Calendar'!$AH$335=TYPE2)*(TYPE2&lt;&gt;"")+('Dvd Calendar'!$AH$335=TYPE3)*(TYPE3&lt;&gt;"")+('Dvd Calendar'!$AH$335=TYPE4)*(TYPE4&lt;&gt;"")+('Dvd Calendar'!$AH$335=SPECIAL_LBL)*(INC_SPECIALS="Y"))=0,"",'Dvd Calendar'!$AH$333)))</f>
        <v/>
      </c>
      <c r="AG41" s="110">
        <f>IF(FI41="","",IF(ISNUMBER('Dvd Calendar'!$AI$333)=FALSE,"",IF((('Dvd Calendar'!$AI$335=TYPE1)*(TYPE1&lt;&gt;"")+('Dvd Calendar'!$AI$335=TYPE2)*(TYPE2&lt;&gt;"")+('Dvd Calendar'!$AI$335=TYPE3)*(TYPE3&lt;&gt;"")+('Dvd Calendar'!$AI$335=TYPE4)*(TYPE4&lt;&gt;"")+('Dvd Calendar'!$AI$335=SPECIAL_LBL)*(INC_SPECIALS="Y"))=0,"",'Dvd Calendar'!$AI$333)))</f>
        <v/>
      </c>
      <c r="AH41" s="110">
        <f>IF(FJ41="","",IF(ISNUMBER('Dvd Calendar'!$AJ$333)=FALSE,"",IF((('Dvd Calendar'!$AJ$335=TYPE1)*(TYPE1&lt;&gt;"")+('Dvd Calendar'!$AJ$335=TYPE2)*(TYPE2&lt;&gt;"")+('Dvd Calendar'!$AJ$335=TYPE3)*(TYPE3&lt;&gt;"")+('Dvd Calendar'!$AJ$335=TYPE4)*(TYPE4&lt;&gt;"")+('Dvd Calendar'!$AJ$335=SPECIAL_LBL)*(INC_SPECIALS="Y"))=0,"",'Dvd Calendar'!$AJ$333)))</f>
        <v/>
      </c>
      <c r="AI41" s="110">
        <f>IF(FK41="","",IF(ISNUMBER('Dvd Calendar'!$AK$333)=FALSE,"",IF((('Dvd Calendar'!$AK$335=TYPE1)*(TYPE1&lt;&gt;"")+('Dvd Calendar'!$AK$335=TYPE2)*(TYPE2&lt;&gt;"")+('Dvd Calendar'!$AK$335=TYPE3)*(TYPE3&lt;&gt;"")+('Dvd Calendar'!$AK$335=TYPE4)*(TYPE4&lt;&gt;"")+('Dvd Calendar'!$AK$335=SPECIAL_LBL)*(INC_SPECIALS="Y"))=0,"",'Dvd Calendar'!$AK$333)))</f>
        <v/>
      </c>
      <c r="AJ41" s="110">
        <f>IF(FL41="","",IF(ISNUMBER('Dvd Calendar'!$AL$333)=FALSE,"",IF((('Dvd Calendar'!$AL$335=TYPE1)*(TYPE1&lt;&gt;"")+('Dvd Calendar'!$AL$335=TYPE2)*(TYPE2&lt;&gt;"")+('Dvd Calendar'!$AL$335=TYPE3)*(TYPE3&lt;&gt;"")+('Dvd Calendar'!$AL$335=TYPE4)*(TYPE4&lt;&gt;"")+('Dvd Calendar'!$AL$335=SPECIAL_LBL)*(INC_SPECIALS="Y"))=0,"",'Dvd Calendar'!$AL$333)))</f>
        <v/>
      </c>
      <c r="AK41" s="110">
        <f>IF(FM41="","",IF(ISNUMBER('Dvd Calendar'!$AM$333)=FALSE,"",IF((('Dvd Calendar'!$AM$335=TYPE1)*(TYPE1&lt;&gt;"")+('Dvd Calendar'!$AM$335=TYPE2)*(TYPE2&lt;&gt;"")+('Dvd Calendar'!$AM$335=TYPE3)*(TYPE3&lt;&gt;"")+('Dvd Calendar'!$AM$335=TYPE4)*(TYPE4&lt;&gt;"")+('Dvd Calendar'!$AM$335=SPECIAL_LBL)*(INC_SPECIALS="Y"))=0,"",'Dvd Calendar'!$AM$333)))</f>
        <v/>
      </c>
      <c r="AL41" s="110">
        <f>IF(FN41="","",IF(ISNUMBER('Dvd Calendar'!$AN$333)=FALSE,"",IF((('Dvd Calendar'!$AN$335=TYPE1)*(TYPE1&lt;&gt;"")+('Dvd Calendar'!$AN$335=TYPE2)*(TYPE2&lt;&gt;"")+('Dvd Calendar'!$AN$335=TYPE3)*(TYPE3&lt;&gt;"")+('Dvd Calendar'!$AN$335=TYPE4)*(TYPE4&lt;&gt;"")+('Dvd Calendar'!$AN$335=SPECIAL_LBL)*(INC_SPECIALS="Y"))=0,"",'Dvd Calendar'!$AN$333)))</f>
        <v/>
      </c>
      <c r="AM41" s="110">
        <f>IF(FO41="","",IF(ISNUMBER('Dvd Calendar'!$AO$333)=FALSE,"",IF((('Dvd Calendar'!$AO$335=TYPE1)*(TYPE1&lt;&gt;"")+('Dvd Calendar'!$AO$335=TYPE2)*(TYPE2&lt;&gt;"")+('Dvd Calendar'!$AO$335=TYPE3)*(TYPE3&lt;&gt;"")+('Dvd Calendar'!$AO$335=TYPE4)*(TYPE4&lt;&gt;"")+('Dvd Calendar'!$AO$335=SPECIAL_LBL)*(INC_SPECIALS="Y"))=0,"",'Dvd Calendar'!$AO$333)))</f>
        <v/>
      </c>
      <c r="AN41" s="110">
        <f>IF(FP41="","",IF(ISNUMBER('Dvd Calendar'!$AP$333)=FALSE,"",IF((('Dvd Calendar'!$AP$335=TYPE1)*(TYPE1&lt;&gt;"")+('Dvd Calendar'!$AP$335=TYPE2)*(TYPE2&lt;&gt;"")+('Dvd Calendar'!$AP$335=TYPE3)*(TYPE3&lt;&gt;"")+('Dvd Calendar'!$AP$335=TYPE4)*(TYPE4&lt;&gt;"")+('Dvd Calendar'!$AP$335=SPECIAL_LBL)*(INC_SPECIALS="Y"))=0,"",'Dvd Calendar'!$AP$333)))</f>
        <v/>
      </c>
      <c r="AO41" s="110">
        <f>IF(FQ41="","",IF(ISNUMBER('Dvd Calendar'!$AQ$333)=FALSE,"",IF((('Dvd Calendar'!$AQ$335=TYPE1)*(TYPE1&lt;&gt;"")+('Dvd Calendar'!$AQ$335=TYPE2)*(TYPE2&lt;&gt;"")+('Dvd Calendar'!$AQ$335=TYPE3)*(TYPE3&lt;&gt;"")+('Dvd Calendar'!$AQ$335=TYPE4)*(TYPE4&lt;&gt;"")+('Dvd Calendar'!$AQ$335=SPECIAL_LBL)*(INC_SPECIALS="Y"))=0,"",'Dvd Calendar'!$AQ$333)))</f>
        <v/>
      </c>
      <c r="AP41" s="110">
        <f>IF(FR41="","",IF(ISNUMBER('Dvd Calendar'!$AR$333)=FALSE,"",IF((('Dvd Calendar'!$AR$335=TYPE1)*(TYPE1&lt;&gt;"")+('Dvd Calendar'!$AR$335=TYPE2)*(TYPE2&lt;&gt;"")+('Dvd Calendar'!$AR$335=TYPE3)*(TYPE3&lt;&gt;"")+('Dvd Calendar'!$AR$335=TYPE4)*(TYPE4&lt;&gt;"")+('Dvd Calendar'!$AR$335=SPECIAL_LBL)*(INC_SPECIALS="Y"))=0,"",'Dvd Calendar'!$AR$333)))</f>
        <v/>
      </c>
      <c r="AQ41" s="110">
        <f>IF(FS41="","",IF(ISNUMBER('Dvd Calendar'!$E$338)=FALSE,"",'Dvd Calendar'!$E$338))</f>
        <v/>
      </c>
      <c r="AR41" s="110">
        <f>IF(FT41="","",IF(ISNUMBER('Dvd Calendar'!$F$338)=FALSE,"",'Dvd Calendar'!$F$338))</f>
        <v/>
      </c>
      <c r="AS41" s="110">
        <f>IF(FU41="","",IF(ISNUMBER('Dvd Calendar'!$G$338)=FALSE,"",'Dvd Calendar'!$G$338))</f>
        <v/>
      </c>
      <c r="AT41" s="110">
        <f>IF(FV41="","",IF(ISNUMBER('Dvd Calendar'!$H$338)=FALSE,"",'Dvd Calendar'!$H$338))</f>
        <v/>
      </c>
      <c r="AU41" s="110">
        <f>IF(FW41="","",IF(ISNUMBER('Dvd Calendar'!$I$338)=FALSE,"",'Dvd Calendar'!$I$338))</f>
        <v/>
      </c>
      <c r="AV41" s="110">
        <f>IF(FX41="","",IF(ISNUMBER('Dvd Calendar'!$J$338)=FALSE,"",'Dvd Calendar'!$J$338))</f>
        <v/>
      </c>
      <c r="AW41" s="110">
        <f>IF(FY41="","",IF(ISNUMBER('Dvd Calendar'!$K$338)=FALSE,"",'Dvd Calendar'!$K$338))</f>
        <v/>
      </c>
      <c r="AX41" s="110">
        <f>IF(FZ41="","",IF(ISNUMBER('Dvd Calendar'!$L$338)=FALSE,"",'Dvd Calendar'!$L$338))</f>
        <v/>
      </c>
      <c r="AY41" s="110">
        <f>IF(GA41="","",IF(ISNUMBER('Dvd Calendar'!$M$338)=FALSE,"",'Dvd Calendar'!$M$338))</f>
        <v/>
      </c>
      <c r="AZ41" s="110">
        <f>IF(GB41="","",IF(ISNUMBER('Dvd Calendar'!$N$338)=FALSE,"",'Dvd Calendar'!$N$338))</f>
        <v/>
      </c>
      <c r="BA41" s="110">
        <f>IF(GC41="","",IF(ISNUMBER('Dvd Calendar'!$O$338)=FALSE,"",'Dvd Calendar'!$O$338))</f>
        <v/>
      </c>
      <c r="BB41" s="110">
        <f>IF(GD41="","",IF(ISNUMBER('Dvd Calendar'!$P$338)=FALSE,"",'Dvd Calendar'!$P$338))</f>
        <v/>
      </c>
      <c r="BC41" s="110">
        <f>IF(GE41="","",IF(ISNUMBER('Dvd Calendar'!$Q$338)=FALSE,"",'Dvd Calendar'!$Q$338))</f>
        <v/>
      </c>
      <c r="BD41" s="110">
        <f>IF(GF41="","",IF(ISNUMBER('Dvd Calendar'!$R$338)=FALSE,"",'Dvd Calendar'!$R$338))</f>
        <v/>
      </c>
      <c r="BE41" s="110">
        <f>IF(GG41="","",IF(ISNUMBER('Dvd Calendar'!$S$338)=FALSE,"",'Dvd Calendar'!$S$338))</f>
        <v/>
      </c>
      <c r="BF41" s="110">
        <f>IF(GH41="","",IF(ISNUMBER('Dvd Calendar'!$T$338)=FALSE,"",'Dvd Calendar'!$T$338))</f>
        <v/>
      </c>
      <c r="BG41" s="110">
        <f>IF(GI41="","",IF(ISNUMBER('Dvd Calendar'!$U$338)=FALSE,"",'Dvd Calendar'!$U$338))</f>
        <v/>
      </c>
      <c r="BH41" s="110">
        <f>IF(GJ41="","",IF(ISNUMBER('Dvd Calendar'!$V$338)=FALSE,"",'Dvd Calendar'!$V$338))</f>
        <v/>
      </c>
      <c r="BI41" s="110">
        <f>IF(GK41="","",IF(ISNUMBER('Dvd Calendar'!$W$338)=FALSE,"",'Dvd Calendar'!$W$338))</f>
        <v/>
      </c>
      <c r="BJ41" s="110">
        <f>IF(GL41="","",IF(ISNUMBER('Dvd Calendar'!$X$338)=FALSE,"",'Dvd Calendar'!$X$338))</f>
        <v/>
      </c>
      <c r="BK41" s="110">
        <f>IF(GM41="","",IF(ISNUMBER('Dvd Calendar'!$Y$338)=FALSE,"",'Dvd Calendar'!$Y$338))</f>
        <v/>
      </c>
      <c r="BL41" s="110">
        <f>IF(GN41="","",IF(ISNUMBER('Dvd Calendar'!$Z$338)=FALSE,"",'Dvd Calendar'!$Z$338))</f>
        <v/>
      </c>
      <c r="BM41" s="110">
        <f>IF(GO41="","",IF(ISNUMBER('Dvd Calendar'!$AA$338)=FALSE,"",'Dvd Calendar'!$AA$338))</f>
        <v/>
      </c>
      <c r="BN41" s="110">
        <f>IF(GP41="","",IF(ISNUMBER('Dvd Calendar'!$AB$338)=FALSE,"",'Dvd Calendar'!$AB$338))</f>
        <v/>
      </c>
      <c r="BO41" s="110">
        <f>IF(GQ41="","",IF(ISNUMBER('Dvd Calendar'!$AC$338)=FALSE,"",'Dvd Calendar'!$AC$338))</f>
        <v/>
      </c>
      <c r="BQ41" s="110">
        <f>IF(C41="","",IFERROR(C41*HSI!$B$36*HSI!$G$36/HSI!$B$3,""))</f>
        <v/>
      </c>
      <c r="BR41" s="110">
        <f>IF(D41="","",IFERROR(D41*HSI!$B$36*HSI!$G$36/HSI!$B$3,""))</f>
        <v/>
      </c>
      <c r="BS41" s="110">
        <f>IF(E41="","",IFERROR(E41*HSI!$B$36*HSI!$G$36/HSI!$B$3,""))</f>
        <v/>
      </c>
      <c r="BT41" s="110">
        <f>IF(F41="","",IFERROR(F41*HSI!$B$36*HSI!$G$36/HSI!$B$3,""))</f>
        <v/>
      </c>
      <c r="BU41" s="110">
        <f>IF(G41="","",IFERROR(G41*HSI!$B$36*HSI!$G$36/HSI!$B$3,""))</f>
        <v/>
      </c>
      <c r="BV41" s="110">
        <f>IF(H41="","",IFERROR(H41*HSI!$B$36*HSI!$G$36/HSI!$B$3,""))</f>
        <v/>
      </c>
      <c r="BW41" s="110">
        <f>IF(I41="","",IFERROR(I41*HSI!$B$36*HSI!$G$36/HSI!$B$3,""))</f>
        <v/>
      </c>
      <c r="BX41" s="110">
        <f>IF(J41="","",IFERROR(J41*HSI!$B$36*HSI!$G$36/HSI!$B$3,""))</f>
        <v/>
      </c>
      <c r="BY41" s="110">
        <f>IF(K41="","",IFERROR(K41*HSI!$B$36*HSI!$G$36/HSI!$B$3,""))</f>
        <v/>
      </c>
      <c r="BZ41" s="110">
        <f>IF(L41="","",IFERROR(L41*HSI!$B$36*HSI!$G$36/HSI!$B$3,""))</f>
        <v/>
      </c>
      <c r="CA41" s="110">
        <f>IF(M41="","",IFERROR(M41*HSI!$B$36*HSI!$G$36/HSI!$B$3,""))</f>
        <v/>
      </c>
      <c r="CB41" s="110">
        <f>IF(N41="","",IFERROR(N41*HSI!$B$36*HSI!$G$36/HSI!$B$3,""))</f>
        <v/>
      </c>
      <c r="CC41" s="110">
        <f>IF(O41="","",IFERROR(O41*HSI!$B$36*HSI!$G$36/HSI!$B$3,""))</f>
        <v/>
      </c>
      <c r="CD41" s="110">
        <f>IF(P41="","",IFERROR(P41*HSI!$B$36*HSI!$G$36/HSI!$B$3,""))</f>
        <v/>
      </c>
      <c r="CE41" s="110">
        <f>IF(Q41="","",IFERROR(Q41*HSI!$B$36*HSI!$G$36/HSI!$B$3,""))</f>
        <v/>
      </c>
      <c r="CF41" s="110">
        <f>IF(R41="","",IFERROR(R41*HSI!$B$36*HSI!$G$36/HSI!$B$3,""))</f>
        <v/>
      </c>
      <c r="CG41" s="110">
        <f>IF(S41="","",IFERROR(S41*HSI!$B$36*HSI!$G$36/HSI!$B$3,""))</f>
        <v/>
      </c>
      <c r="CH41" s="110">
        <f>IF(T41="","",IFERROR(T41*HSI!$B$36*HSI!$G$36/HSI!$B$3,""))</f>
        <v/>
      </c>
      <c r="CI41" s="110">
        <f>IF(U41="","",IFERROR(U41*HSI!$B$36*HSI!$G$36/HSI!$B$3,""))</f>
        <v/>
      </c>
      <c r="CJ41" s="110">
        <f>IF(V41="","",IFERROR(V41*HSI!$B$36*HSI!$G$36/HSI!$B$3,""))</f>
        <v/>
      </c>
      <c r="CK41" s="110">
        <f>IF(W41="","",IFERROR(W41*HSI!$B$36*HSI!$G$36/HSI!$B$3,""))</f>
        <v/>
      </c>
      <c r="CL41" s="110">
        <f>IF(X41="","",IFERROR(X41*HSI!$B$36*HSI!$G$36/HSI!$B$3,""))</f>
        <v/>
      </c>
      <c r="CM41" s="110">
        <f>IF(Y41="","",IFERROR(Y41*HSI!$B$36*HSI!$G$36/HSI!$B$3,""))</f>
        <v/>
      </c>
      <c r="CN41" s="110">
        <f>IF(Z41="","",IFERROR(Z41*HSI!$B$36*HSI!$G$36/HSI!$B$3,""))</f>
        <v/>
      </c>
      <c r="CO41" s="110">
        <f>IF(AA41="","",IFERROR(AA41*HSI!$B$36*HSI!$G$36/HSI!$B$3,""))</f>
        <v/>
      </c>
      <c r="CP41" s="110">
        <f>IF(AB41="","",IFERROR(AB41*HSI!$B$36*HSI!$G$36/HSI!$B$3,""))</f>
        <v/>
      </c>
      <c r="CQ41" s="110">
        <f>IF(AC41="","",IFERROR(AC41*HSI!$B$36*HSI!$G$36/HSI!$B$3,""))</f>
        <v/>
      </c>
      <c r="CR41" s="110">
        <f>IF(AD41="","",IFERROR(AD41*HSI!$B$36*HSI!$G$36/HSI!$B$3,""))</f>
        <v/>
      </c>
      <c r="CS41" s="110">
        <f>IF(AE41="","",IFERROR(AE41*HSI!$B$36*HSI!$G$36/HSI!$B$3,""))</f>
        <v/>
      </c>
      <c r="CT41" s="110">
        <f>IF(AF41="","",IFERROR(AF41*HSI!$B$36*HSI!$G$36/HSI!$B$3,""))</f>
        <v/>
      </c>
      <c r="CU41" s="110">
        <f>IF(AG41="","",IFERROR(AG41*HSI!$B$36*HSI!$G$36/HSI!$B$3,""))</f>
        <v/>
      </c>
      <c r="CV41" s="110">
        <f>IF(AH41="","",IFERROR(AH41*HSI!$B$36*HSI!$G$36/HSI!$B$3,""))</f>
        <v/>
      </c>
      <c r="CW41" s="110">
        <f>IF(AI41="","",IFERROR(AI41*HSI!$B$36*HSI!$G$36/HSI!$B$3,""))</f>
        <v/>
      </c>
      <c r="CX41" s="110">
        <f>IF(AJ41="","",IFERROR(AJ41*HSI!$B$36*HSI!$G$36/HSI!$B$3,""))</f>
        <v/>
      </c>
      <c r="CY41" s="110">
        <f>IF(AK41="","",IFERROR(AK41*HSI!$B$36*HSI!$G$36/HSI!$B$3,""))</f>
        <v/>
      </c>
      <c r="CZ41" s="110">
        <f>IF(AL41="","",IFERROR(AL41*HSI!$B$36*HSI!$G$36/HSI!$B$3,""))</f>
        <v/>
      </c>
      <c r="DA41" s="110">
        <f>IF(AM41="","",IFERROR(AM41*HSI!$B$36*HSI!$G$36/HSI!$B$3,""))</f>
        <v/>
      </c>
      <c r="DB41" s="110">
        <f>IF(AN41="","",IFERROR(AN41*HSI!$B$36*HSI!$G$36/HSI!$B$3,""))</f>
        <v/>
      </c>
      <c r="DC41" s="110">
        <f>IF(AO41="","",IFERROR(AO41*HSI!$B$36*HSI!$G$36/HSI!$B$3,""))</f>
        <v/>
      </c>
      <c r="DD41" s="110">
        <f>IF(AP41="","",IFERROR(AP41*HSI!$B$36*HSI!$G$36/HSI!$B$3,""))</f>
        <v/>
      </c>
      <c r="DE41" s="110">
        <f>IF(AQ41="","",IFERROR(AQ41*HSI!$B$36*HSI!$G$36/HSI!$B$3,""))</f>
        <v/>
      </c>
      <c r="DF41" s="110">
        <f>IF(AR41="","",IFERROR(AR41*HSI!$B$36*HSI!$G$36/HSI!$B$3,""))</f>
        <v/>
      </c>
      <c r="DG41" s="110">
        <f>IF(AS41="","",IFERROR(AS41*HSI!$B$36*HSI!$G$36/HSI!$B$3,""))</f>
        <v/>
      </c>
      <c r="DH41" s="110">
        <f>IF(AT41="","",IFERROR(AT41*HSI!$B$36*HSI!$G$36/HSI!$B$3,""))</f>
        <v/>
      </c>
      <c r="DI41" s="110">
        <f>IF(AU41="","",IFERROR(AU41*HSI!$B$36*HSI!$G$36/HSI!$B$3,""))</f>
        <v/>
      </c>
      <c r="DJ41" s="110">
        <f>IF(AV41="","",IFERROR(AV41*HSI!$B$36*HSI!$G$36/HSI!$B$3,""))</f>
        <v/>
      </c>
      <c r="DK41" s="110">
        <f>IF(AW41="","",IFERROR(AW41*HSI!$B$36*HSI!$G$36/HSI!$B$3,""))</f>
        <v/>
      </c>
      <c r="DL41" s="110">
        <f>IF(AX41="","",IFERROR(AX41*HSI!$B$36*HSI!$G$36/HSI!$B$3,""))</f>
        <v/>
      </c>
      <c r="DM41" s="110">
        <f>IF(AY41="","",IFERROR(AY41*HSI!$B$36*HSI!$G$36/HSI!$B$3,""))</f>
        <v/>
      </c>
      <c r="DN41" s="110">
        <f>IF(AZ41="","",IFERROR(AZ41*HSI!$B$36*HSI!$G$36/HSI!$B$3,""))</f>
        <v/>
      </c>
      <c r="DO41" s="110">
        <f>IF(BA41="","",IFERROR(BA41*HSI!$B$36*HSI!$G$36/HSI!$B$3,""))</f>
        <v/>
      </c>
      <c r="DP41" s="110">
        <f>IF(BB41="","",IFERROR(BB41*HSI!$B$36*HSI!$G$36/HSI!$B$3,""))</f>
        <v/>
      </c>
      <c r="DQ41" s="110">
        <f>IF(BC41="","",IFERROR(BC41*HSI!$B$36*HSI!$G$36/HSI!$B$3,""))</f>
        <v/>
      </c>
      <c r="DR41" s="110">
        <f>IF(BD41="","",IFERROR(BD41*HSI!$B$36*HSI!$G$36/HSI!$B$3,""))</f>
        <v/>
      </c>
      <c r="DS41" s="110">
        <f>IF(BE41="","",IFERROR(BE41*HSI!$B$36*HSI!$G$36/HSI!$B$3,""))</f>
        <v/>
      </c>
      <c r="DT41" s="110">
        <f>IF(BF41="","",IFERROR(BF41*HSI!$B$36*HSI!$G$36/HSI!$B$3,""))</f>
        <v/>
      </c>
      <c r="DU41" s="110">
        <f>IF(BG41="","",IFERROR(BG41*HSI!$B$36*HSI!$G$36/HSI!$B$3,""))</f>
        <v/>
      </c>
      <c r="DV41" s="110">
        <f>IF(BH41="","",IFERROR(BH41*HSI!$B$36*HSI!$G$36/HSI!$B$3,""))</f>
        <v/>
      </c>
      <c r="DW41" s="110">
        <f>IF(BI41="","",IFERROR(BI41*HSI!$B$36*HSI!$G$36/HSI!$B$3,""))</f>
        <v/>
      </c>
      <c r="DX41" s="110">
        <f>IF(BJ41="","",IFERROR(BJ41*HSI!$B$36*HSI!$G$36/HSI!$B$3,""))</f>
        <v/>
      </c>
      <c r="DY41" s="110">
        <f>IF(BK41="","",IFERROR(BK41*HSI!$B$36*HSI!$G$36/HSI!$B$3,""))</f>
        <v/>
      </c>
      <c r="DZ41" s="110">
        <f>IF(BL41="","",IFERROR(BL41*HSI!$B$36*HSI!$G$36/HSI!$B$3,""))</f>
        <v/>
      </c>
      <c r="EA41" s="110">
        <f>IF(BM41="","",IFERROR(BM41*HSI!$B$36*HSI!$G$36/HSI!$B$3,""))</f>
        <v/>
      </c>
      <c r="EB41" s="110">
        <f>IF(BN41="","",IFERROR(BN41*HSI!$B$36*HSI!$G$36/HSI!$B$3,""))</f>
        <v/>
      </c>
      <c r="EC41" s="110">
        <f>IF(BO41="","",IFERROR(BO41*HSI!$B$36*HSI!$G$36/HSI!$B$3,""))</f>
        <v/>
      </c>
      <c r="EE41" s="39">
        <f>IF(N('Dvd Calendar'!$E$330)=0,"",IF(('Dvd Calendar'!$E$330&gt;=GRID_FROM)*('Dvd Calendar'!$E$330&lt;=GRID_TO)*((('Dvd Calendar'!$E$330&lt;=VAL_DATE)+(COUNTIF('Dvd Calendar'!$E$337:$AR$337,'Dvd Calendar'!$E$330)=0))&gt;0)=0,"",'Dvd Calendar'!$E$330*1000000000+ISNUMBER('Dvd Calendar'!$E$333)*100000000+('Dvd Calendar'!$E$335=SPECIAL_LBL)*10000000+(N('Dvd Calendar'!$E$329)&gt;0)*(N('Dvd Calendar'!$E$329)&lt;=VAL_SERIAL)*1000000+30*1000+1))</f>
        <v/>
      </c>
      <c r="EF41" s="39">
        <f>IF(N('Dvd Calendar'!$F$330)=0,"",IF(('Dvd Calendar'!$F$330&gt;=GRID_FROM)*('Dvd Calendar'!$F$330&lt;=GRID_TO)*((('Dvd Calendar'!$F$330&lt;=VAL_DATE)+(COUNTIF('Dvd Calendar'!$E$337:$AR$337,'Dvd Calendar'!$F$330)=0))&gt;0)=0,"",'Dvd Calendar'!$F$330*1000000000+ISNUMBER('Dvd Calendar'!$F$333)*100000000+('Dvd Calendar'!$F$335=SPECIAL_LBL)*10000000+(N('Dvd Calendar'!$F$329)&gt;0)*(N('Dvd Calendar'!$F$329)&lt;=VAL_SERIAL)*1000000+30*1000+2))</f>
        <v/>
      </c>
      <c r="EG41" s="39">
        <f>IF(N('Dvd Calendar'!$G$330)=0,"",IF(('Dvd Calendar'!$G$330&gt;=GRID_FROM)*('Dvd Calendar'!$G$330&lt;=GRID_TO)*((('Dvd Calendar'!$G$330&lt;=VAL_DATE)+(COUNTIF('Dvd Calendar'!$E$337:$AR$337,'Dvd Calendar'!$G$330)=0))&gt;0)=0,"",'Dvd Calendar'!$G$330*1000000000+ISNUMBER('Dvd Calendar'!$G$333)*100000000+('Dvd Calendar'!$G$335=SPECIAL_LBL)*10000000+(N('Dvd Calendar'!$G$329)&gt;0)*(N('Dvd Calendar'!$G$329)&lt;=VAL_SERIAL)*1000000+30*1000+3))</f>
        <v/>
      </c>
      <c r="EH41" s="39">
        <f>IF(N('Dvd Calendar'!$H$330)=0,"",IF(('Dvd Calendar'!$H$330&gt;=GRID_FROM)*('Dvd Calendar'!$H$330&lt;=GRID_TO)*((('Dvd Calendar'!$H$330&lt;=VAL_DATE)+(COUNTIF('Dvd Calendar'!$E$337:$AR$337,'Dvd Calendar'!$H$330)=0))&gt;0)=0,"",'Dvd Calendar'!$H$330*1000000000+ISNUMBER('Dvd Calendar'!$H$333)*100000000+('Dvd Calendar'!$H$335=SPECIAL_LBL)*10000000+(N('Dvd Calendar'!$H$329)&gt;0)*(N('Dvd Calendar'!$H$329)&lt;=VAL_SERIAL)*1000000+30*1000+4))</f>
        <v/>
      </c>
      <c r="EI41" s="39">
        <f>IF(N('Dvd Calendar'!$I$330)=0,"",IF(('Dvd Calendar'!$I$330&gt;=GRID_FROM)*('Dvd Calendar'!$I$330&lt;=GRID_TO)*((('Dvd Calendar'!$I$330&lt;=VAL_DATE)+(COUNTIF('Dvd Calendar'!$E$337:$AR$337,'Dvd Calendar'!$I$330)=0))&gt;0)=0,"",'Dvd Calendar'!$I$330*1000000000+ISNUMBER('Dvd Calendar'!$I$333)*100000000+('Dvd Calendar'!$I$335=SPECIAL_LBL)*10000000+(N('Dvd Calendar'!$I$329)&gt;0)*(N('Dvd Calendar'!$I$329)&lt;=VAL_SERIAL)*1000000+30*1000+5))</f>
        <v/>
      </c>
      <c r="EJ41" s="39">
        <f>IF(N('Dvd Calendar'!$J$330)=0,"",IF(('Dvd Calendar'!$J$330&gt;=GRID_FROM)*('Dvd Calendar'!$J$330&lt;=GRID_TO)*((('Dvd Calendar'!$J$330&lt;=VAL_DATE)+(COUNTIF('Dvd Calendar'!$E$337:$AR$337,'Dvd Calendar'!$J$330)=0))&gt;0)=0,"",'Dvd Calendar'!$J$330*1000000000+ISNUMBER('Dvd Calendar'!$J$333)*100000000+('Dvd Calendar'!$J$335=SPECIAL_LBL)*10000000+(N('Dvd Calendar'!$J$329)&gt;0)*(N('Dvd Calendar'!$J$329)&lt;=VAL_SERIAL)*1000000+30*1000+6))</f>
        <v/>
      </c>
      <c r="EK41" s="39">
        <f>IF(N('Dvd Calendar'!$K$330)=0,"",IF(('Dvd Calendar'!$K$330&gt;=GRID_FROM)*('Dvd Calendar'!$K$330&lt;=GRID_TO)*((('Dvd Calendar'!$K$330&lt;=VAL_DATE)+(COUNTIF('Dvd Calendar'!$E$337:$AR$337,'Dvd Calendar'!$K$330)=0))&gt;0)=0,"",'Dvd Calendar'!$K$330*1000000000+ISNUMBER('Dvd Calendar'!$K$333)*100000000+('Dvd Calendar'!$K$335=SPECIAL_LBL)*10000000+(N('Dvd Calendar'!$K$329)&gt;0)*(N('Dvd Calendar'!$K$329)&lt;=VAL_SERIAL)*1000000+30*1000+7))</f>
        <v/>
      </c>
      <c r="EL41" s="39">
        <f>IF(N('Dvd Calendar'!$L$330)=0,"",IF(('Dvd Calendar'!$L$330&gt;=GRID_FROM)*('Dvd Calendar'!$L$330&lt;=GRID_TO)*((('Dvd Calendar'!$L$330&lt;=VAL_DATE)+(COUNTIF('Dvd Calendar'!$E$337:$AR$337,'Dvd Calendar'!$L$330)=0))&gt;0)=0,"",'Dvd Calendar'!$L$330*1000000000+ISNUMBER('Dvd Calendar'!$L$333)*100000000+('Dvd Calendar'!$L$335=SPECIAL_LBL)*10000000+(N('Dvd Calendar'!$L$329)&gt;0)*(N('Dvd Calendar'!$L$329)&lt;=VAL_SERIAL)*1000000+30*1000+8))</f>
        <v/>
      </c>
      <c r="EM41" s="39">
        <f>IF(N('Dvd Calendar'!$M$330)=0,"",IF(('Dvd Calendar'!$M$330&gt;=GRID_FROM)*('Dvd Calendar'!$M$330&lt;=GRID_TO)*((('Dvd Calendar'!$M$330&lt;=VAL_DATE)+(COUNTIF('Dvd Calendar'!$E$337:$AR$337,'Dvd Calendar'!$M$330)=0))&gt;0)=0,"",'Dvd Calendar'!$M$330*1000000000+ISNUMBER('Dvd Calendar'!$M$333)*100000000+('Dvd Calendar'!$M$335=SPECIAL_LBL)*10000000+(N('Dvd Calendar'!$M$329)&gt;0)*(N('Dvd Calendar'!$M$329)&lt;=VAL_SERIAL)*1000000+30*1000+9))</f>
        <v/>
      </c>
      <c r="EN41" s="39">
        <f>IF(N('Dvd Calendar'!$N$330)=0,"",IF(('Dvd Calendar'!$N$330&gt;=GRID_FROM)*('Dvd Calendar'!$N$330&lt;=GRID_TO)*((('Dvd Calendar'!$N$330&lt;=VAL_DATE)+(COUNTIF('Dvd Calendar'!$E$337:$AR$337,'Dvd Calendar'!$N$330)=0))&gt;0)=0,"",'Dvd Calendar'!$N$330*1000000000+ISNUMBER('Dvd Calendar'!$N$333)*100000000+('Dvd Calendar'!$N$335=SPECIAL_LBL)*10000000+(N('Dvd Calendar'!$N$329)&gt;0)*(N('Dvd Calendar'!$N$329)&lt;=VAL_SERIAL)*1000000+30*1000+10))</f>
        <v/>
      </c>
      <c r="EO41" s="39">
        <f>IF(N('Dvd Calendar'!$O$330)=0,"",IF(('Dvd Calendar'!$O$330&gt;=GRID_FROM)*('Dvd Calendar'!$O$330&lt;=GRID_TO)*((('Dvd Calendar'!$O$330&lt;=VAL_DATE)+(COUNTIF('Dvd Calendar'!$E$337:$AR$337,'Dvd Calendar'!$O$330)=0))&gt;0)=0,"",'Dvd Calendar'!$O$330*1000000000+ISNUMBER('Dvd Calendar'!$O$333)*100000000+('Dvd Calendar'!$O$335=SPECIAL_LBL)*10000000+(N('Dvd Calendar'!$O$329)&gt;0)*(N('Dvd Calendar'!$O$329)&lt;=VAL_SERIAL)*1000000+30*1000+11))</f>
        <v/>
      </c>
      <c r="EP41" s="39">
        <f>IF(N('Dvd Calendar'!$P$330)=0,"",IF(('Dvd Calendar'!$P$330&gt;=GRID_FROM)*('Dvd Calendar'!$P$330&lt;=GRID_TO)*((('Dvd Calendar'!$P$330&lt;=VAL_DATE)+(COUNTIF('Dvd Calendar'!$E$337:$AR$337,'Dvd Calendar'!$P$330)=0))&gt;0)=0,"",'Dvd Calendar'!$P$330*1000000000+ISNUMBER('Dvd Calendar'!$P$333)*100000000+('Dvd Calendar'!$P$335=SPECIAL_LBL)*10000000+(N('Dvd Calendar'!$P$329)&gt;0)*(N('Dvd Calendar'!$P$329)&lt;=VAL_SERIAL)*1000000+30*1000+12))</f>
        <v/>
      </c>
      <c r="EQ41" s="39">
        <f>IF(N('Dvd Calendar'!$Q$330)=0,"",IF(('Dvd Calendar'!$Q$330&gt;=GRID_FROM)*('Dvd Calendar'!$Q$330&lt;=GRID_TO)*((('Dvd Calendar'!$Q$330&lt;=VAL_DATE)+(COUNTIF('Dvd Calendar'!$E$337:$AR$337,'Dvd Calendar'!$Q$330)=0))&gt;0)=0,"",'Dvd Calendar'!$Q$330*1000000000+ISNUMBER('Dvd Calendar'!$Q$333)*100000000+('Dvd Calendar'!$Q$335=SPECIAL_LBL)*10000000+(N('Dvd Calendar'!$Q$329)&gt;0)*(N('Dvd Calendar'!$Q$329)&lt;=VAL_SERIAL)*1000000+30*1000+13))</f>
        <v/>
      </c>
      <c r="ER41" s="39">
        <f>IF(N('Dvd Calendar'!$R$330)=0,"",IF(('Dvd Calendar'!$R$330&gt;=GRID_FROM)*('Dvd Calendar'!$R$330&lt;=GRID_TO)*((('Dvd Calendar'!$R$330&lt;=VAL_DATE)+(COUNTIF('Dvd Calendar'!$E$337:$AR$337,'Dvd Calendar'!$R$330)=0))&gt;0)=0,"",'Dvd Calendar'!$R$330*1000000000+ISNUMBER('Dvd Calendar'!$R$333)*100000000+('Dvd Calendar'!$R$335=SPECIAL_LBL)*10000000+(N('Dvd Calendar'!$R$329)&gt;0)*(N('Dvd Calendar'!$R$329)&lt;=VAL_SERIAL)*1000000+30*1000+14))</f>
        <v/>
      </c>
      <c r="ES41" s="39">
        <f>IF(N('Dvd Calendar'!$S$330)=0,"",IF(('Dvd Calendar'!$S$330&gt;=GRID_FROM)*('Dvd Calendar'!$S$330&lt;=GRID_TO)*((('Dvd Calendar'!$S$330&lt;=VAL_DATE)+(COUNTIF('Dvd Calendar'!$E$337:$AR$337,'Dvd Calendar'!$S$330)=0))&gt;0)=0,"",'Dvd Calendar'!$S$330*1000000000+ISNUMBER('Dvd Calendar'!$S$333)*100000000+('Dvd Calendar'!$S$335=SPECIAL_LBL)*10000000+(N('Dvd Calendar'!$S$329)&gt;0)*(N('Dvd Calendar'!$S$329)&lt;=VAL_SERIAL)*1000000+30*1000+15))</f>
        <v/>
      </c>
      <c r="ET41" s="39">
        <f>IF(N('Dvd Calendar'!$T$330)=0,"",IF(('Dvd Calendar'!$T$330&gt;=GRID_FROM)*('Dvd Calendar'!$T$330&lt;=GRID_TO)*((('Dvd Calendar'!$T$330&lt;=VAL_DATE)+(COUNTIF('Dvd Calendar'!$E$337:$AR$337,'Dvd Calendar'!$T$330)=0))&gt;0)=0,"",'Dvd Calendar'!$T$330*1000000000+ISNUMBER('Dvd Calendar'!$T$333)*100000000+('Dvd Calendar'!$T$335=SPECIAL_LBL)*10000000+(N('Dvd Calendar'!$T$329)&gt;0)*(N('Dvd Calendar'!$T$329)&lt;=VAL_SERIAL)*1000000+30*1000+16))</f>
        <v/>
      </c>
      <c r="EU41" s="39">
        <f>IF(N('Dvd Calendar'!$U$330)=0,"",IF(('Dvd Calendar'!$U$330&gt;=GRID_FROM)*('Dvd Calendar'!$U$330&lt;=GRID_TO)*((('Dvd Calendar'!$U$330&lt;=VAL_DATE)+(COUNTIF('Dvd Calendar'!$E$337:$AR$337,'Dvd Calendar'!$U$330)=0))&gt;0)=0,"",'Dvd Calendar'!$U$330*1000000000+ISNUMBER('Dvd Calendar'!$U$333)*100000000+('Dvd Calendar'!$U$335=SPECIAL_LBL)*10000000+(N('Dvd Calendar'!$U$329)&gt;0)*(N('Dvd Calendar'!$U$329)&lt;=VAL_SERIAL)*1000000+30*1000+17))</f>
        <v/>
      </c>
      <c r="EV41" s="39">
        <f>IF(N('Dvd Calendar'!$V$330)=0,"",IF(('Dvd Calendar'!$V$330&gt;=GRID_FROM)*('Dvd Calendar'!$V$330&lt;=GRID_TO)*((('Dvd Calendar'!$V$330&lt;=VAL_DATE)+(COUNTIF('Dvd Calendar'!$E$337:$AR$337,'Dvd Calendar'!$V$330)=0))&gt;0)=0,"",'Dvd Calendar'!$V$330*1000000000+ISNUMBER('Dvd Calendar'!$V$333)*100000000+('Dvd Calendar'!$V$335=SPECIAL_LBL)*10000000+(N('Dvd Calendar'!$V$329)&gt;0)*(N('Dvd Calendar'!$V$329)&lt;=VAL_SERIAL)*1000000+30*1000+18))</f>
        <v/>
      </c>
      <c r="EW41" s="39">
        <f>IF(N('Dvd Calendar'!$W$330)=0,"",IF(('Dvd Calendar'!$W$330&gt;=GRID_FROM)*('Dvd Calendar'!$W$330&lt;=GRID_TO)*((('Dvd Calendar'!$W$330&lt;=VAL_DATE)+(COUNTIF('Dvd Calendar'!$E$337:$AR$337,'Dvd Calendar'!$W$330)=0))&gt;0)=0,"",'Dvd Calendar'!$W$330*1000000000+ISNUMBER('Dvd Calendar'!$W$333)*100000000+('Dvd Calendar'!$W$335=SPECIAL_LBL)*10000000+(N('Dvd Calendar'!$W$329)&gt;0)*(N('Dvd Calendar'!$W$329)&lt;=VAL_SERIAL)*1000000+30*1000+19))</f>
        <v/>
      </c>
      <c r="EX41" s="39">
        <f>IF(N('Dvd Calendar'!$X$330)=0,"",IF(('Dvd Calendar'!$X$330&gt;=GRID_FROM)*('Dvd Calendar'!$X$330&lt;=GRID_TO)*((('Dvd Calendar'!$X$330&lt;=VAL_DATE)+(COUNTIF('Dvd Calendar'!$E$337:$AR$337,'Dvd Calendar'!$X$330)=0))&gt;0)=0,"",'Dvd Calendar'!$X$330*1000000000+ISNUMBER('Dvd Calendar'!$X$333)*100000000+('Dvd Calendar'!$X$335=SPECIAL_LBL)*10000000+(N('Dvd Calendar'!$X$329)&gt;0)*(N('Dvd Calendar'!$X$329)&lt;=VAL_SERIAL)*1000000+30*1000+20))</f>
        <v/>
      </c>
      <c r="EY41" s="39">
        <f>IF(N('Dvd Calendar'!$Y$330)=0,"",IF(('Dvd Calendar'!$Y$330&gt;=GRID_FROM)*('Dvd Calendar'!$Y$330&lt;=GRID_TO)*((('Dvd Calendar'!$Y$330&lt;=VAL_DATE)+(COUNTIF('Dvd Calendar'!$E$337:$AR$337,'Dvd Calendar'!$Y$330)=0))&gt;0)=0,"",'Dvd Calendar'!$Y$330*1000000000+ISNUMBER('Dvd Calendar'!$Y$333)*100000000+('Dvd Calendar'!$Y$335=SPECIAL_LBL)*10000000+(N('Dvd Calendar'!$Y$329)&gt;0)*(N('Dvd Calendar'!$Y$329)&lt;=VAL_SERIAL)*1000000+30*1000+21))</f>
        <v/>
      </c>
      <c r="EZ41" s="39">
        <f>IF(N('Dvd Calendar'!$Z$330)=0,"",IF(('Dvd Calendar'!$Z$330&gt;=GRID_FROM)*('Dvd Calendar'!$Z$330&lt;=GRID_TO)*((('Dvd Calendar'!$Z$330&lt;=VAL_DATE)+(COUNTIF('Dvd Calendar'!$E$337:$AR$337,'Dvd Calendar'!$Z$330)=0))&gt;0)=0,"",'Dvd Calendar'!$Z$330*1000000000+ISNUMBER('Dvd Calendar'!$Z$333)*100000000+('Dvd Calendar'!$Z$335=SPECIAL_LBL)*10000000+(N('Dvd Calendar'!$Z$329)&gt;0)*(N('Dvd Calendar'!$Z$329)&lt;=VAL_SERIAL)*1000000+30*1000+22))</f>
        <v/>
      </c>
      <c r="FA41" s="39">
        <f>IF(N('Dvd Calendar'!$AA$330)=0,"",IF(('Dvd Calendar'!$AA$330&gt;=GRID_FROM)*('Dvd Calendar'!$AA$330&lt;=GRID_TO)*((('Dvd Calendar'!$AA$330&lt;=VAL_DATE)+(COUNTIF('Dvd Calendar'!$E$337:$AR$337,'Dvd Calendar'!$AA$330)=0))&gt;0)=0,"",'Dvd Calendar'!$AA$330*1000000000+ISNUMBER('Dvd Calendar'!$AA$333)*100000000+('Dvd Calendar'!$AA$335=SPECIAL_LBL)*10000000+(N('Dvd Calendar'!$AA$329)&gt;0)*(N('Dvd Calendar'!$AA$329)&lt;=VAL_SERIAL)*1000000+30*1000+23))</f>
        <v/>
      </c>
      <c r="FB41" s="39">
        <f>IF(N('Dvd Calendar'!$AB$330)=0,"",IF(('Dvd Calendar'!$AB$330&gt;=GRID_FROM)*('Dvd Calendar'!$AB$330&lt;=GRID_TO)*((('Dvd Calendar'!$AB$330&lt;=VAL_DATE)+(COUNTIF('Dvd Calendar'!$E$337:$AR$337,'Dvd Calendar'!$AB$330)=0))&gt;0)=0,"",'Dvd Calendar'!$AB$330*1000000000+ISNUMBER('Dvd Calendar'!$AB$333)*100000000+('Dvd Calendar'!$AB$335=SPECIAL_LBL)*10000000+(N('Dvd Calendar'!$AB$329)&gt;0)*(N('Dvd Calendar'!$AB$329)&lt;=VAL_SERIAL)*1000000+30*1000+24))</f>
        <v/>
      </c>
      <c r="FC41" s="39">
        <f>IF(N('Dvd Calendar'!$AC$330)=0,"",IF(('Dvd Calendar'!$AC$330&gt;=GRID_FROM)*('Dvd Calendar'!$AC$330&lt;=GRID_TO)*((('Dvd Calendar'!$AC$330&lt;=VAL_DATE)+(COUNTIF('Dvd Calendar'!$E$337:$AR$337,'Dvd Calendar'!$AC$330)=0))&gt;0)=0,"",'Dvd Calendar'!$AC$330*1000000000+ISNUMBER('Dvd Calendar'!$AC$333)*100000000+('Dvd Calendar'!$AC$335=SPECIAL_LBL)*10000000+(N('Dvd Calendar'!$AC$329)&gt;0)*(N('Dvd Calendar'!$AC$329)&lt;=VAL_SERIAL)*1000000+30*1000+25))</f>
        <v/>
      </c>
      <c r="FD41" s="39">
        <f>IF(N('Dvd Calendar'!$AD$330)=0,"",IF(('Dvd Calendar'!$AD$330&gt;=GRID_FROM)*('Dvd Calendar'!$AD$330&lt;=GRID_TO)*((('Dvd Calendar'!$AD$330&lt;=VAL_DATE)+(COUNTIF('Dvd Calendar'!$E$337:$AR$337,'Dvd Calendar'!$AD$330)=0))&gt;0)=0,"",'Dvd Calendar'!$AD$330*1000000000+ISNUMBER('Dvd Calendar'!$AD$333)*100000000+('Dvd Calendar'!$AD$335=SPECIAL_LBL)*10000000+(N('Dvd Calendar'!$AD$329)&gt;0)*(N('Dvd Calendar'!$AD$329)&lt;=VAL_SERIAL)*1000000+30*1000+26))</f>
        <v/>
      </c>
      <c r="FE41" s="39">
        <f>IF(N('Dvd Calendar'!$AE$330)=0,"",IF(('Dvd Calendar'!$AE$330&gt;=GRID_FROM)*('Dvd Calendar'!$AE$330&lt;=GRID_TO)*((('Dvd Calendar'!$AE$330&lt;=VAL_DATE)+(COUNTIF('Dvd Calendar'!$E$337:$AR$337,'Dvd Calendar'!$AE$330)=0))&gt;0)=0,"",'Dvd Calendar'!$AE$330*1000000000+ISNUMBER('Dvd Calendar'!$AE$333)*100000000+('Dvd Calendar'!$AE$335=SPECIAL_LBL)*10000000+(N('Dvd Calendar'!$AE$329)&gt;0)*(N('Dvd Calendar'!$AE$329)&lt;=VAL_SERIAL)*1000000+30*1000+27))</f>
        <v/>
      </c>
      <c r="FF41" s="39">
        <f>IF(N('Dvd Calendar'!$AF$330)=0,"",IF(('Dvd Calendar'!$AF$330&gt;=GRID_FROM)*('Dvd Calendar'!$AF$330&lt;=GRID_TO)*((('Dvd Calendar'!$AF$330&lt;=VAL_DATE)+(COUNTIF('Dvd Calendar'!$E$337:$AR$337,'Dvd Calendar'!$AF$330)=0))&gt;0)=0,"",'Dvd Calendar'!$AF$330*1000000000+ISNUMBER('Dvd Calendar'!$AF$333)*100000000+('Dvd Calendar'!$AF$335=SPECIAL_LBL)*10000000+(N('Dvd Calendar'!$AF$329)&gt;0)*(N('Dvd Calendar'!$AF$329)&lt;=VAL_SERIAL)*1000000+30*1000+28))</f>
        <v/>
      </c>
      <c r="FG41" s="39">
        <f>IF(N('Dvd Calendar'!$AG$330)=0,"",IF(('Dvd Calendar'!$AG$330&gt;=GRID_FROM)*('Dvd Calendar'!$AG$330&lt;=GRID_TO)*((('Dvd Calendar'!$AG$330&lt;=VAL_DATE)+(COUNTIF('Dvd Calendar'!$E$337:$AR$337,'Dvd Calendar'!$AG$330)=0))&gt;0)=0,"",'Dvd Calendar'!$AG$330*1000000000+ISNUMBER('Dvd Calendar'!$AG$333)*100000000+('Dvd Calendar'!$AG$335=SPECIAL_LBL)*10000000+(N('Dvd Calendar'!$AG$329)&gt;0)*(N('Dvd Calendar'!$AG$329)&lt;=VAL_SERIAL)*1000000+30*1000+29))</f>
        <v/>
      </c>
      <c r="FH41" s="39">
        <f>IF(N('Dvd Calendar'!$AH$330)=0,"",IF(('Dvd Calendar'!$AH$330&gt;=GRID_FROM)*('Dvd Calendar'!$AH$330&lt;=GRID_TO)*((('Dvd Calendar'!$AH$330&lt;=VAL_DATE)+(COUNTIF('Dvd Calendar'!$E$337:$AR$337,'Dvd Calendar'!$AH$330)=0))&gt;0)=0,"",'Dvd Calendar'!$AH$330*1000000000+ISNUMBER('Dvd Calendar'!$AH$333)*100000000+('Dvd Calendar'!$AH$335=SPECIAL_LBL)*10000000+(N('Dvd Calendar'!$AH$329)&gt;0)*(N('Dvd Calendar'!$AH$329)&lt;=VAL_SERIAL)*1000000+30*1000+30))</f>
        <v/>
      </c>
      <c r="FI41" s="39">
        <f>IF(N('Dvd Calendar'!$AI$330)=0,"",IF(('Dvd Calendar'!$AI$330&gt;=GRID_FROM)*('Dvd Calendar'!$AI$330&lt;=GRID_TO)*((('Dvd Calendar'!$AI$330&lt;=VAL_DATE)+(COUNTIF('Dvd Calendar'!$E$337:$AR$337,'Dvd Calendar'!$AI$330)=0))&gt;0)=0,"",'Dvd Calendar'!$AI$330*1000000000+ISNUMBER('Dvd Calendar'!$AI$333)*100000000+('Dvd Calendar'!$AI$335=SPECIAL_LBL)*10000000+(N('Dvd Calendar'!$AI$329)&gt;0)*(N('Dvd Calendar'!$AI$329)&lt;=VAL_SERIAL)*1000000+30*1000+31))</f>
        <v/>
      </c>
      <c r="FJ41" s="39">
        <f>IF(N('Dvd Calendar'!$AJ$330)=0,"",IF(('Dvd Calendar'!$AJ$330&gt;=GRID_FROM)*('Dvd Calendar'!$AJ$330&lt;=GRID_TO)*((('Dvd Calendar'!$AJ$330&lt;=VAL_DATE)+(COUNTIF('Dvd Calendar'!$E$337:$AR$337,'Dvd Calendar'!$AJ$330)=0))&gt;0)=0,"",'Dvd Calendar'!$AJ$330*1000000000+ISNUMBER('Dvd Calendar'!$AJ$333)*100000000+('Dvd Calendar'!$AJ$335=SPECIAL_LBL)*10000000+(N('Dvd Calendar'!$AJ$329)&gt;0)*(N('Dvd Calendar'!$AJ$329)&lt;=VAL_SERIAL)*1000000+30*1000+32))</f>
        <v/>
      </c>
      <c r="FK41" s="39">
        <f>IF(N('Dvd Calendar'!$AK$330)=0,"",IF(('Dvd Calendar'!$AK$330&gt;=GRID_FROM)*('Dvd Calendar'!$AK$330&lt;=GRID_TO)*((('Dvd Calendar'!$AK$330&lt;=VAL_DATE)+(COUNTIF('Dvd Calendar'!$E$337:$AR$337,'Dvd Calendar'!$AK$330)=0))&gt;0)=0,"",'Dvd Calendar'!$AK$330*1000000000+ISNUMBER('Dvd Calendar'!$AK$333)*100000000+('Dvd Calendar'!$AK$335=SPECIAL_LBL)*10000000+(N('Dvd Calendar'!$AK$329)&gt;0)*(N('Dvd Calendar'!$AK$329)&lt;=VAL_SERIAL)*1000000+30*1000+33))</f>
        <v/>
      </c>
      <c r="FL41" s="39">
        <f>IF(N('Dvd Calendar'!$AL$330)=0,"",IF(('Dvd Calendar'!$AL$330&gt;=GRID_FROM)*('Dvd Calendar'!$AL$330&lt;=GRID_TO)*((('Dvd Calendar'!$AL$330&lt;=VAL_DATE)+(COUNTIF('Dvd Calendar'!$E$337:$AR$337,'Dvd Calendar'!$AL$330)=0))&gt;0)=0,"",'Dvd Calendar'!$AL$330*1000000000+ISNUMBER('Dvd Calendar'!$AL$333)*100000000+('Dvd Calendar'!$AL$335=SPECIAL_LBL)*10000000+(N('Dvd Calendar'!$AL$329)&gt;0)*(N('Dvd Calendar'!$AL$329)&lt;=VAL_SERIAL)*1000000+30*1000+34))</f>
        <v/>
      </c>
      <c r="FM41" s="39">
        <f>IF(N('Dvd Calendar'!$AM$330)=0,"",IF(('Dvd Calendar'!$AM$330&gt;=GRID_FROM)*('Dvd Calendar'!$AM$330&lt;=GRID_TO)*((('Dvd Calendar'!$AM$330&lt;=VAL_DATE)+(COUNTIF('Dvd Calendar'!$E$337:$AR$337,'Dvd Calendar'!$AM$330)=0))&gt;0)=0,"",'Dvd Calendar'!$AM$330*1000000000+ISNUMBER('Dvd Calendar'!$AM$333)*100000000+('Dvd Calendar'!$AM$335=SPECIAL_LBL)*10000000+(N('Dvd Calendar'!$AM$329)&gt;0)*(N('Dvd Calendar'!$AM$329)&lt;=VAL_SERIAL)*1000000+30*1000+35))</f>
        <v/>
      </c>
      <c r="FN41" s="39">
        <f>IF(N('Dvd Calendar'!$AN$330)=0,"",IF(('Dvd Calendar'!$AN$330&gt;=GRID_FROM)*('Dvd Calendar'!$AN$330&lt;=GRID_TO)*((('Dvd Calendar'!$AN$330&lt;=VAL_DATE)+(COUNTIF('Dvd Calendar'!$E$337:$AR$337,'Dvd Calendar'!$AN$330)=0))&gt;0)=0,"",'Dvd Calendar'!$AN$330*1000000000+ISNUMBER('Dvd Calendar'!$AN$333)*100000000+('Dvd Calendar'!$AN$335=SPECIAL_LBL)*10000000+(N('Dvd Calendar'!$AN$329)&gt;0)*(N('Dvd Calendar'!$AN$329)&lt;=VAL_SERIAL)*1000000+30*1000+36))</f>
        <v/>
      </c>
      <c r="FO41" s="39">
        <f>IF(N('Dvd Calendar'!$AO$330)=0,"",IF(('Dvd Calendar'!$AO$330&gt;=GRID_FROM)*('Dvd Calendar'!$AO$330&lt;=GRID_TO)*((('Dvd Calendar'!$AO$330&lt;=VAL_DATE)+(COUNTIF('Dvd Calendar'!$E$337:$AR$337,'Dvd Calendar'!$AO$330)=0))&gt;0)=0,"",'Dvd Calendar'!$AO$330*1000000000+ISNUMBER('Dvd Calendar'!$AO$333)*100000000+('Dvd Calendar'!$AO$335=SPECIAL_LBL)*10000000+(N('Dvd Calendar'!$AO$329)&gt;0)*(N('Dvd Calendar'!$AO$329)&lt;=VAL_SERIAL)*1000000+30*1000+37))</f>
        <v/>
      </c>
      <c r="FP41" s="39">
        <f>IF(N('Dvd Calendar'!$AP$330)=0,"",IF(('Dvd Calendar'!$AP$330&gt;=GRID_FROM)*('Dvd Calendar'!$AP$330&lt;=GRID_TO)*((('Dvd Calendar'!$AP$330&lt;=VAL_DATE)+(COUNTIF('Dvd Calendar'!$E$337:$AR$337,'Dvd Calendar'!$AP$330)=0))&gt;0)=0,"",'Dvd Calendar'!$AP$330*1000000000+ISNUMBER('Dvd Calendar'!$AP$333)*100000000+('Dvd Calendar'!$AP$335=SPECIAL_LBL)*10000000+(N('Dvd Calendar'!$AP$329)&gt;0)*(N('Dvd Calendar'!$AP$329)&lt;=VAL_SERIAL)*1000000+30*1000+38))</f>
        <v/>
      </c>
      <c r="FQ41" s="39">
        <f>IF(N('Dvd Calendar'!$AQ$330)=0,"",IF(('Dvd Calendar'!$AQ$330&gt;=GRID_FROM)*('Dvd Calendar'!$AQ$330&lt;=GRID_TO)*((('Dvd Calendar'!$AQ$330&lt;=VAL_DATE)+(COUNTIF('Dvd Calendar'!$E$337:$AR$337,'Dvd Calendar'!$AQ$330)=0))&gt;0)=0,"",'Dvd Calendar'!$AQ$330*1000000000+ISNUMBER('Dvd Calendar'!$AQ$333)*100000000+('Dvd Calendar'!$AQ$335=SPECIAL_LBL)*10000000+(N('Dvd Calendar'!$AQ$329)&gt;0)*(N('Dvd Calendar'!$AQ$329)&lt;=VAL_SERIAL)*1000000+30*1000+39))</f>
        <v/>
      </c>
      <c r="FR41" s="39">
        <f>IF(N('Dvd Calendar'!$AR$330)=0,"",IF(('Dvd Calendar'!$AR$330&gt;=GRID_FROM)*('Dvd Calendar'!$AR$330&lt;=GRID_TO)*((('Dvd Calendar'!$AR$330&lt;=VAL_DATE)+(COUNTIF('Dvd Calendar'!$E$337:$AR$337,'Dvd Calendar'!$AR$330)=0))&gt;0)=0,"",'Dvd Calendar'!$AR$330*1000000000+ISNUMBER('Dvd Calendar'!$AR$333)*100000000+('Dvd Calendar'!$AR$335=SPECIAL_LBL)*10000000+(N('Dvd Calendar'!$AR$329)&gt;0)*(N('Dvd Calendar'!$AR$329)&lt;=VAL_SERIAL)*1000000+30*1000+40))</f>
        <v/>
      </c>
      <c r="FS41" s="39">
        <f>IF(N('Dvd Calendar'!$E$337)=0,"",IF(('Dvd Calendar'!$E$337&gt;=GRID_FROM)*('Dvd Calendar'!$E$337&lt;=GRID_TO)*('Dvd Calendar'!$E$337&gt;VAL_DATE)=0,"",'Dvd Calendar'!$E$337*1000000000+ISNUMBER('Dvd Calendar'!$E$338)*100000000+0*10000000+(N('Dvd Calendar'!$E$336)&gt;0)*(N('Dvd Calendar'!$E$336)&lt;=VAL_SERIAL)*1000000+30*1000+41))</f>
        <v/>
      </c>
      <c r="FT41" s="39">
        <f>IF(N('Dvd Calendar'!$F$337)=0,"",IF(('Dvd Calendar'!$F$337&gt;=GRID_FROM)*('Dvd Calendar'!$F$337&lt;=GRID_TO)*('Dvd Calendar'!$F$337&gt;VAL_DATE)=0,"",'Dvd Calendar'!$F$337*1000000000+ISNUMBER('Dvd Calendar'!$F$338)*100000000+0*10000000+(N('Dvd Calendar'!$F$336)&gt;0)*(N('Dvd Calendar'!$F$336)&lt;=VAL_SERIAL)*1000000+30*1000+42))</f>
        <v/>
      </c>
      <c r="FU41" s="39">
        <f>IF(N('Dvd Calendar'!$G$337)=0,"",IF(('Dvd Calendar'!$G$337&gt;=GRID_FROM)*('Dvd Calendar'!$G$337&lt;=GRID_TO)*('Dvd Calendar'!$G$337&gt;VAL_DATE)=0,"",'Dvd Calendar'!$G$337*1000000000+ISNUMBER('Dvd Calendar'!$G$338)*100000000+0*10000000+(N('Dvd Calendar'!$G$336)&gt;0)*(N('Dvd Calendar'!$G$336)&lt;=VAL_SERIAL)*1000000+30*1000+43))</f>
        <v/>
      </c>
      <c r="FV41" s="39">
        <f>IF(N('Dvd Calendar'!$H$337)=0,"",IF(('Dvd Calendar'!$H$337&gt;=GRID_FROM)*('Dvd Calendar'!$H$337&lt;=GRID_TO)*('Dvd Calendar'!$H$337&gt;VAL_DATE)=0,"",'Dvd Calendar'!$H$337*1000000000+ISNUMBER('Dvd Calendar'!$H$338)*100000000+0*10000000+(N('Dvd Calendar'!$H$336)&gt;0)*(N('Dvd Calendar'!$H$336)&lt;=VAL_SERIAL)*1000000+30*1000+44))</f>
        <v/>
      </c>
      <c r="FW41" s="39">
        <f>IF(N('Dvd Calendar'!$I$337)=0,"",IF(('Dvd Calendar'!$I$337&gt;=GRID_FROM)*('Dvd Calendar'!$I$337&lt;=GRID_TO)*('Dvd Calendar'!$I$337&gt;VAL_DATE)=0,"",'Dvd Calendar'!$I$337*1000000000+ISNUMBER('Dvd Calendar'!$I$338)*100000000+0*10000000+(N('Dvd Calendar'!$I$336)&gt;0)*(N('Dvd Calendar'!$I$336)&lt;=VAL_SERIAL)*1000000+30*1000+45))</f>
        <v/>
      </c>
      <c r="FX41" s="39">
        <f>IF(N('Dvd Calendar'!$J$337)=0,"",IF(('Dvd Calendar'!$J$337&gt;=GRID_FROM)*('Dvd Calendar'!$J$337&lt;=GRID_TO)*('Dvd Calendar'!$J$337&gt;VAL_DATE)=0,"",'Dvd Calendar'!$J$337*1000000000+ISNUMBER('Dvd Calendar'!$J$338)*100000000+0*10000000+(N('Dvd Calendar'!$J$336)&gt;0)*(N('Dvd Calendar'!$J$336)&lt;=VAL_SERIAL)*1000000+30*1000+46))</f>
        <v/>
      </c>
      <c r="FY41" s="39">
        <f>IF(N('Dvd Calendar'!$K$337)=0,"",IF(('Dvd Calendar'!$K$337&gt;=GRID_FROM)*('Dvd Calendar'!$K$337&lt;=GRID_TO)*('Dvd Calendar'!$K$337&gt;VAL_DATE)=0,"",'Dvd Calendar'!$K$337*1000000000+ISNUMBER('Dvd Calendar'!$K$338)*100000000+0*10000000+(N('Dvd Calendar'!$K$336)&gt;0)*(N('Dvd Calendar'!$K$336)&lt;=VAL_SERIAL)*1000000+30*1000+47))</f>
        <v/>
      </c>
      <c r="FZ41" s="39">
        <f>IF(N('Dvd Calendar'!$L$337)=0,"",IF(('Dvd Calendar'!$L$337&gt;=GRID_FROM)*('Dvd Calendar'!$L$337&lt;=GRID_TO)*('Dvd Calendar'!$L$337&gt;VAL_DATE)=0,"",'Dvd Calendar'!$L$337*1000000000+ISNUMBER('Dvd Calendar'!$L$338)*100000000+0*10000000+(N('Dvd Calendar'!$L$336)&gt;0)*(N('Dvd Calendar'!$L$336)&lt;=VAL_SERIAL)*1000000+30*1000+48))</f>
        <v/>
      </c>
      <c r="GA41" s="39">
        <f>IF(N('Dvd Calendar'!$M$337)=0,"",IF(('Dvd Calendar'!$M$337&gt;=GRID_FROM)*('Dvd Calendar'!$M$337&lt;=GRID_TO)*('Dvd Calendar'!$M$337&gt;VAL_DATE)=0,"",'Dvd Calendar'!$M$337*1000000000+ISNUMBER('Dvd Calendar'!$M$338)*100000000+0*10000000+(N('Dvd Calendar'!$M$336)&gt;0)*(N('Dvd Calendar'!$M$336)&lt;=VAL_SERIAL)*1000000+30*1000+49))</f>
        <v/>
      </c>
      <c r="GB41" s="39">
        <f>IF(N('Dvd Calendar'!$N$337)=0,"",IF(('Dvd Calendar'!$N$337&gt;=GRID_FROM)*('Dvd Calendar'!$N$337&lt;=GRID_TO)*('Dvd Calendar'!$N$337&gt;VAL_DATE)=0,"",'Dvd Calendar'!$N$337*1000000000+ISNUMBER('Dvd Calendar'!$N$338)*100000000+0*10000000+(N('Dvd Calendar'!$N$336)&gt;0)*(N('Dvd Calendar'!$N$336)&lt;=VAL_SERIAL)*1000000+30*1000+50))</f>
        <v/>
      </c>
      <c r="GC41" s="39">
        <f>IF(N('Dvd Calendar'!$O$337)=0,"",IF(('Dvd Calendar'!$O$337&gt;=GRID_FROM)*('Dvd Calendar'!$O$337&lt;=GRID_TO)*('Dvd Calendar'!$O$337&gt;VAL_DATE)=0,"",'Dvd Calendar'!$O$337*1000000000+ISNUMBER('Dvd Calendar'!$O$338)*100000000+0*10000000+(N('Dvd Calendar'!$O$336)&gt;0)*(N('Dvd Calendar'!$O$336)&lt;=VAL_SERIAL)*1000000+30*1000+51))</f>
        <v/>
      </c>
      <c r="GD41" s="39">
        <f>IF(N('Dvd Calendar'!$P$337)=0,"",IF(('Dvd Calendar'!$P$337&gt;=GRID_FROM)*('Dvd Calendar'!$P$337&lt;=GRID_TO)*('Dvd Calendar'!$P$337&gt;VAL_DATE)=0,"",'Dvd Calendar'!$P$337*1000000000+ISNUMBER('Dvd Calendar'!$P$338)*100000000+0*10000000+(N('Dvd Calendar'!$P$336)&gt;0)*(N('Dvd Calendar'!$P$336)&lt;=VAL_SERIAL)*1000000+30*1000+52))</f>
        <v/>
      </c>
      <c r="GE41" s="39">
        <f>IF(N('Dvd Calendar'!$Q$337)=0,"",IF(('Dvd Calendar'!$Q$337&gt;=GRID_FROM)*('Dvd Calendar'!$Q$337&lt;=GRID_TO)*('Dvd Calendar'!$Q$337&gt;VAL_DATE)=0,"",'Dvd Calendar'!$Q$337*1000000000+ISNUMBER('Dvd Calendar'!$Q$338)*100000000+0*10000000+(N('Dvd Calendar'!$Q$336)&gt;0)*(N('Dvd Calendar'!$Q$336)&lt;=VAL_SERIAL)*1000000+30*1000+53))</f>
        <v/>
      </c>
      <c r="GF41" s="39">
        <f>IF(N('Dvd Calendar'!$R$337)=0,"",IF(('Dvd Calendar'!$R$337&gt;=GRID_FROM)*('Dvd Calendar'!$R$337&lt;=GRID_TO)*('Dvd Calendar'!$R$337&gt;VAL_DATE)=0,"",'Dvd Calendar'!$R$337*1000000000+ISNUMBER('Dvd Calendar'!$R$338)*100000000+0*10000000+(N('Dvd Calendar'!$R$336)&gt;0)*(N('Dvd Calendar'!$R$336)&lt;=VAL_SERIAL)*1000000+30*1000+54))</f>
        <v/>
      </c>
      <c r="GG41" s="39">
        <f>IF(N('Dvd Calendar'!$S$337)=0,"",IF(('Dvd Calendar'!$S$337&gt;=GRID_FROM)*('Dvd Calendar'!$S$337&lt;=GRID_TO)*('Dvd Calendar'!$S$337&gt;VAL_DATE)=0,"",'Dvd Calendar'!$S$337*1000000000+ISNUMBER('Dvd Calendar'!$S$338)*100000000+0*10000000+(N('Dvd Calendar'!$S$336)&gt;0)*(N('Dvd Calendar'!$S$336)&lt;=VAL_SERIAL)*1000000+30*1000+55))</f>
        <v/>
      </c>
      <c r="GH41" s="39">
        <f>IF(N('Dvd Calendar'!$T$337)=0,"",IF(('Dvd Calendar'!$T$337&gt;=GRID_FROM)*('Dvd Calendar'!$T$337&lt;=GRID_TO)*('Dvd Calendar'!$T$337&gt;VAL_DATE)=0,"",'Dvd Calendar'!$T$337*1000000000+ISNUMBER('Dvd Calendar'!$T$338)*100000000+0*10000000+(N('Dvd Calendar'!$T$336)&gt;0)*(N('Dvd Calendar'!$T$336)&lt;=VAL_SERIAL)*1000000+30*1000+56))</f>
        <v/>
      </c>
      <c r="GI41" s="39">
        <f>IF(N('Dvd Calendar'!$U$337)=0,"",IF(('Dvd Calendar'!$U$337&gt;=GRID_FROM)*('Dvd Calendar'!$U$337&lt;=GRID_TO)*('Dvd Calendar'!$U$337&gt;VAL_DATE)=0,"",'Dvd Calendar'!$U$337*1000000000+ISNUMBER('Dvd Calendar'!$U$338)*100000000+0*10000000+(N('Dvd Calendar'!$U$336)&gt;0)*(N('Dvd Calendar'!$U$336)&lt;=VAL_SERIAL)*1000000+30*1000+57))</f>
        <v/>
      </c>
      <c r="GJ41" s="39">
        <f>IF(N('Dvd Calendar'!$V$337)=0,"",IF(('Dvd Calendar'!$V$337&gt;=GRID_FROM)*('Dvd Calendar'!$V$337&lt;=GRID_TO)*('Dvd Calendar'!$V$337&gt;VAL_DATE)=0,"",'Dvd Calendar'!$V$337*1000000000+ISNUMBER('Dvd Calendar'!$V$338)*100000000+0*10000000+(N('Dvd Calendar'!$V$336)&gt;0)*(N('Dvd Calendar'!$V$336)&lt;=VAL_SERIAL)*1000000+30*1000+58))</f>
        <v/>
      </c>
      <c r="GK41" s="39">
        <f>IF(N('Dvd Calendar'!$W$337)=0,"",IF(('Dvd Calendar'!$W$337&gt;=GRID_FROM)*('Dvd Calendar'!$W$337&lt;=GRID_TO)*('Dvd Calendar'!$W$337&gt;VAL_DATE)=0,"",'Dvd Calendar'!$W$337*1000000000+ISNUMBER('Dvd Calendar'!$W$338)*100000000+0*10000000+(N('Dvd Calendar'!$W$336)&gt;0)*(N('Dvd Calendar'!$W$336)&lt;=VAL_SERIAL)*1000000+30*1000+59))</f>
        <v/>
      </c>
      <c r="GL41" s="39">
        <f>IF(N('Dvd Calendar'!$X$337)=0,"",IF(('Dvd Calendar'!$X$337&gt;=GRID_FROM)*('Dvd Calendar'!$X$337&lt;=GRID_TO)*('Dvd Calendar'!$X$337&gt;VAL_DATE)=0,"",'Dvd Calendar'!$X$337*1000000000+ISNUMBER('Dvd Calendar'!$X$338)*100000000+0*10000000+(N('Dvd Calendar'!$X$336)&gt;0)*(N('Dvd Calendar'!$X$336)&lt;=VAL_SERIAL)*1000000+30*1000+60))</f>
        <v/>
      </c>
      <c r="GM41" s="39">
        <f>IF(N('Dvd Calendar'!$Y$337)=0,"",IF(('Dvd Calendar'!$Y$337&gt;=GRID_FROM)*('Dvd Calendar'!$Y$337&lt;=GRID_TO)*('Dvd Calendar'!$Y$337&gt;VAL_DATE)=0,"",'Dvd Calendar'!$Y$337*1000000000+ISNUMBER('Dvd Calendar'!$Y$338)*100000000+0*10000000+(N('Dvd Calendar'!$Y$336)&gt;0)*(N('Dvd Calendar'!$Y$336)&lt;=VAL_SERIAL)*1000000+30*1000+61))</f>
        <v/>
      </c>
      <c r="GN41" s="39">
        <f>IF(N('Dvd Calendar'!$Z$337)=0,"",IF(('Dvd Calendar'!$Z$337&gt;=GRID_FROM)*('Dvd Calendar'!$Z$337&lt;=GRID_TO)*('Dvd Calendar'!$Z$337&gt;VAL_DATE)=0,"",'Dvd Calendar'!$Z$337*1000000000+ISNUMBER('Dvd Calendar'!$Z$338)*100000000+0*10000000+(N('Dvd Calendar'!$Z$336)&gt;0)*(N('Dvd Calendar'!$Z$336)&lt;=VAL_SERIAL)*1000000+30*1000+62))</f>
        <v/>
      </c>
      <c r="GO41" s="39">
        <f>IF(N('Dvd Calendar'!$AA$337)=0,"",IF(('Dvd Calendar'!$AA$337&gt;=GRID_FROM)*('Dvd Calendar'!$AA$337&lt;=GRID_TO)*('Dvd Calendar'!$AA$337&gt;VAL_DATE)=0,"",'Dvd Calendar'!$AA$337*1000000000+ISNUMBER('Dvd Calendar'!$AA$338)*100000000+0*10000000+(N('Dvd Calendar'!$AA$336)&gt;0)*(N('Dvd Calendar'!$AA$336)&lt;=VAL_SERIAL)*1000000+30*1000+63))</f>
        <v/>
      </c>
      <c r="GP41" s="39">
        <f>IF(N('Dvd Calendar'!$AB$337)=0,"",IF(('Dvd Calendar'!$AB$337&gt;=GRID_FROM)*('Dvd Calendar'!$AB$337&lt;=GRID_TO)*('Dvd Calendar'!$AB$337&gt;VAL_DATE)=0,"",'Dvd Calendar'!$AB$337*1000000000+ISNUMBER('Dvd Calendar'!$AB$338)*100000000+0*10000000+(N('Dvd Calendar'!$AB$336)&gt;0)*(N('Dvd Calendar'!$AB$336)&lt;=VAL_SERIAL)*1000000+30*1000+64))</f>
        <v/>
      </c>
      <c r="GQ41" s="39">
        <f>IF(N('Dvd Calendar'!$AC$337)=0,"",IF(('Dvd Calendar'!$AC$337&gt;=GRID_FROM)*('Dvd Calendar'!$AC$337&lt;=GRID_TO)*('Dvd Calendar'!$AC$337&gt;VAL_DATE)=0,"",'Dvd Calendar'!$AC$337*1000000000+ISNUMBER('Dvd Calendar'!$AC$338)*100000000+0*10000000+(N('Dvd Calendar'!$AC$336)&gt;0)*(N('Dvd Calendar'!$AC$336)&lt;=VAL_SERIAL)*1000000+30*1000+65))</f>
        <v/>
      </c>
    </row>
    <row r="42">
      <c r="B42" s="2">
        <f>IF(HSI!$C$37="","",HSI!$C$37)</f>
        <v/>
      </c>
      <c r="C42" s="110">
        <f>IF(EE42="","",IF(ISNUMBER('Dvd Calendar'!$E$344)=FALSE,"",IF((('Dvd Calendar'!$E$346=TYPE1)*(TYPE1&lt;&gt;"")+('Dvd Calendar'!$E$346=TYPE2)*(TYPE2&lt;&gt;"")+('Dvd Calendar'!$E$346=TYPE3)*(TYPE3&lt;&gt;"")+('Dvd Calendar'!$E$346=TYPE4)*(TYPE4&lt;&gt;"")+('Dvd Calendar'!$E$346=SPECIAL_LBL)*(INC_SPECIALS="Y"))=0,"",'Dvd Calendar'!$E$344)))</f>
        <v/>
      </c>
      <c r="D42" s="110">
        <f>IF(EF42="","",IF(ISNUMBER('Dvd Calendar'!$F$344)=FALSE,"",IF((('Dvd Calendar'!$F$346=TYPE1)*(TYPE1&lt;&gt;"")+('Dvd Calendar'!$F$346=TYPE2)*(TYPE2&lt;&gt;"")+('Dvd Calendar'!$F$346=TYPE3)*(TYPE3&lt;&gt;"")+('Dvd Calendar'!$F$346=TYPE4)*(TYPE4&lt;&gt;"")+('Dvd Calendar'!$F$346=SPECIAL_LBL)*(INC_SPECIALS="Y"))=0,"",'Dvd Calendar'!$F$344)))</f>
        <v/>
      </c>
      <c r="E42" s="110">
        <f>IF(EG42="","",IF(ISNUMBER('Dvd Calendar'!$G$344)=FALSE,"",IF((('Dvd Calendar'!$G$346=TYPE1)*(TYPE1&lt;&gt;"")+('Dvd Calendar'!$G$346=TYPE2)*(TYPE2&lt;&gt;"")+('Dvd Calendar'!$G$346=TYPE3)*(TYPE3&lt;&gt;"")+('Dvd Calendar'!$G$346=TYPE4)*(TYPE4&lt;&gt;"")+('Dvd Calendar'!$G$346=SPECIAL_LBL)*(INC_SPECIALS="Y"))=0,"",'Dvd Calendar'!$G$344)))</f>
        <v/>
      </c>
      <c r="F42" s="110">
        <f>IF(EH42="","",IF(ISNUMBER('Dvd Calendar'!$H$344)=FALSE,"",IF((('Dvd Calendar'!$H$346=TYPE1)*(TYPE1&lt;&gt;"")+('Dvd Calendar'!$H$346=TYPE2)*(TYPE2&lt;&gt;"")+('Dvd Calendar'!$H$346=TYPE3)*(TYPE3&lt;&gt;"")+('Dvd Calendar'!$H$346=TYPE4)*(TYPE4&lt;&gt;"")+('Dvd Calendar'!$H$346=SPECIAL_LBL)*(INC_SPECIALS="Y"))=0,"",'Dvd Calendar'!$H$344)))</f>
        <v/>
      </c>
      <c r="G42" s="110">
        <f>IF(EI42="","",IF(ISNUMBER('Dvd Calendar'!$I$344)=FALSE,"",IF((('Dvd Calendar'!$I$346=TYPE1)*(TYPE1&lt;&gt;"")+('Dvd Calendar'!$I$346=TYPE2)*(TYPE2&lt;&gt;"")+('Dvd Calendar'!$I$346=TYPE3)*(TYPE3&lt;&gt;"")+('Dvd Calendar'!$I$346=TYPE4)*(TYPE4&lt;&gt;"")+('Dvd Calendar'!$I$346=SPECIAL_LBL)*(INC_SPECIALS="Y"))=0,"",'Dvd Calendar'!$I$344)))</f>
        <v/>
      </c>
      <c r="H42" s="110">
        <f>IF(EJ42="","",IF(ISNUMBER('Dvd Calendar'!$J$344)=FALSE,"",IF((('Dvd Calendar'!$J$346=TYPE1)*(TYPE1&lt;&gt;"")+('Dvd Calendar'!$J$346=TYPE2)*(TYPE2&lt;&gt;"")+('Dvd Calendar'!$J$346=TYPE3)*(TYPE3&lt;&gt;"")+('Dvd Calendar'!$J$346=TYPE4)*(TYPE4&lt;&gt;"")+('Dvd Calendar'!$J$346=SPECIAL_LBL)*(INC_SPECIALS="Y"))=0,"",'Dvd Calendar'!$J$344)))</f>
        <v/>
      </c>
      <c r="I42" s="110">
        <f>IF(EK42="","",IF(ISNUMBER('Dvd Calendar'!$K$344)=FALSE,"",IF((('Dvd Calendar'!$K$346=TYPE1)*(TYPE1&lt;&gt;"")+('Dvd Calendar'!$K$346=TYPE2)*(TYPE2&lt;&gt;"")+('Dvd Calendar'!$K$346=TYPE3)*(TYPE3&lt;&gt;"")+('Dvd Calendar'!$K$346=TYPE4)*(TYPE4&lt;&gt;"")+('Dvd Calendar'!$K$346=SPECIAL_LBL)*(INC_SPECIALS="Y"))=0,"",'Dvd Calendar'!$K$344)))</f>
        <v/>
      </c>
      <c r="J42" s="110">
        <f>IF(EL42="","",IF(ISNUMBER('Dvd Calendar'!$L$344)=FALSE,"",IF((('Dvd Calendar'!$L$346=TYPE1)*(TYPE1&lt;&gt;"")+('Dvd Calendar'!$L$346=TYPE2)*(TYPE2&lt;&gt;"")+('Dvd Calendar'!$L$346=TYPE3)*(TYPE3&lt;&gt;"")+('Dvd Calendar'!$L$346=TYPE4)*(TYPE4&lt;&gt;"")+('Dvd Calendar'!$L$346=SPECIAL_LBL)*(INC_SPECIALS="Y"))=0,"",'Dvd Calendar'!$L$344)))</f>
        <v/>
      </c>
      <c r="K42" s="110">
        <f>IF(EM42="","",IF(ISNUMBER('Dvd Calendar'!$M$344)=FALSE,"",IF((('Dvd Calendar'!$M$346=TYPE1)*(TYPE1&lt;&gt;"")+('Dvd Calendar'!$M$346=TYPE2)*(TYPE2&lt;&gt;"")+('Dvd Calendar'!$M$346=TYPE3)*(TYPE3&lt;&gt;"")+('Dvd Calendar'!$M$346=TYPE4)*(TYPE4&lt;&gt;"")+('Dvd Calendar'!$M$346=SPECIAL_LBL)*(INC_SPECIALS="Y"))=0,"",'Dvd Calendar'!$M$344)))</f>
        <v/>
      </c>
      <c r="L42" s="110">
        <f>IF(EN42="","",IF(ISNUMBER('Dvd Calendar'!$N$344)=FALSE,"",IF((('Dvd Calendar'!$N$346=TYPE1)*(TYPE1&lt;&gt;"")+('Dvd Calendar'!$N$346=TYPE2)*(TYPE2&lt;&gt;"")+('Dvd Calendar'!$N$346=TYPE3)*(TYPE3&lt;&gt;"")+('Dvd Calendar'!$N$346=TYPE4)*(TYPE4&lt;&gt;"")+('Dvd Calendar'!$N$346=SPECIAL_LBL)*(INC_SPECIALS="Y"))=0,"",'Dvd Calendar'!$N$344)))</f>
        <v/>
      </c>
      <c r="M42" s="110">
        <f>IF(EO42="","",IF(ISNUMBER('Dvd Calendar'!$O$344)=FALSE,"",IF((('Dvd Calendar'!$O$346=TYPE1)*(TYPE1&lt;&gt;"")+('Dvd Calendar'!$O$346=TYPE2)*(TYPE2&lt;&gt;"")+('Dvd Calendar'!$O$346=TYPE3)*(TYPE3&lt;&gt;"")+('Dvd Calendar'!$O$346=TYPE4)*(TYPE4&lt;&gt;"")+('Dvd Calendar'!$O$346=SPECIAL_LBL)*(INC_SPECIALS="Y"))=0,"",'Dvd Calendar'!$O$344)))</f>
        <v/>
      </c>
      <c r="N42" s="110">
        <f>IF(EP42="","",IF(ISNUMBER('Dvd Calendar'!$P$344)=FALSE,"",IF((('Dvd Calendar'!$P$346=TYPE1)*(TYPE1&lt;&gt;"")+('Dvd Calendar'!$P$346=TYPE2)*(TYPE2&lt;&gt;"")+('Dvd Calendar'!$P$346=TYPE3)*(TYPE3&lt;&gt;"")+('Dvd Calendar'!$P$346=TYPE4)*(TYPE4&lt;&gt;"")+('Dvd Calendar'!$P$346=SPECIAL_LBL)*(INC_SPECIALS="Y"))=0,"",'Dvd Calendar'!$P$344)))</f>
        <v/>
      </c>
      <c r="O42" s="110">
        <f>IF(EQ42="","",IF(ISNUMBER('Dvd Calendar'!$Q$344)=FALSE,"",IF((('Dvd Calendar'!$Q$346=TYPE1)*(TYPE1&lt;&gt;"")+('Dvd Calendar'!$Q$346=TYPE2)*(TYPE2&lt;&gt;"")+('Dvd Calendar'!$Q$346=TYPE3)*(TYPE3&lt;&gt;"")+('Dvd Calendar'!$Q$346=TYPE4)*(TYPE4&lt;&gt;"")+('Dvd Calendar'!$Q$346=SPECIAL_LBL)*(INC_SPECIALS="Y"))=0,"",'Dvd Calendar'!$Q$344)))</f>
        <v/>
      </c>
      <c r="P42" s="110">
        <f>IF(ER42="","",IF(ISNUMBER('Dvd Calendar'!$R$344)=FALSE,"",IF((('Dvd Calendar'!$R$346=TYPE1)*(TYPE1&lt;&gt;"")+('Dvd Calendar'!$R$346=TYPE2)*(TYPE2&lt;&gt;"")+('Dvd Calendar'!$R$346=TYPE3)*(TYPE3&lt;&gt;"")+('Dvd Calendar'!$R$346=TYPE4)*(TYPE4&lt;&gt;"")+('Dvd Calendar'!$R$346=SPECIAL_LBL)*(INC_SPECIALS="Y"))=0,"",'Dvd Calendar'!$R$344)))</f>
        <v/>
      </c>
      <c r="Q42" s="110">
        <f>IF(ES42="","",IF(ISNUMBER('Dvd Calendar'!$S$344)=FALSE,"",IF((('Dvd Calendar'!$S$346=TYPE1)*(TYPE1&lt;&gt;"")+('Dvd Calendar'!$S$346=TYPE2)*(TYPE2&lt;&gt;"")+('Dvd Calendar'!$S$346=TYPE3)*(TYPE3&lt;&gt;"")+('Dvd Calendar'!$S$346=TYPE4)*(TYPE4&lt;&gt;"")+('Dvd Calendar'!$S$346=SPECIAL_LBL)*(INC_SPECIALS="Y"))=0,"",'Dvd Calendar'!$S$344)))</f>
        <v/>
      </c>
      <c r="R42" s="110">
        <f>IF(ET42="","",IF(ISNUMBER('Dvd Calendar'!$T$344)=FALSE,"",IF((('Dvd Calendar'!$T$346=TYPE1)*(TYPE1&lt;&gt;"")+('Dvd Calendar'!$T$346=TYPE2)*(TYPE2&lt;&gt;"")+('Dvd Calendar'!$T$346=TYPE3)*(TYPE3&lt;&gt;"")+('Dvd Calendar'!$T$346=TYPE4)*(TYPE4&lt;&gt;"")+('Dvd Calendar'!$T$346=SPECIAL_LBL)*(INC_SPECIALS="Y"))=0,"",'Dvd Calendar'!$T$344)))</f>
        <v/>
      </c>
      <c r="S42" s="110">
        <f>IF(EU42="","",IF(ISNUMBER('Dvd Calendar'!$U$344)=FALSE,"",IF((('Dvd Calendar'!$U$346=TYPE1)*(TYPE1&lt;&gt;"")+('Dvd Calendar'!$U$346=TYPE2)*(TYPE2&lt;&gt;"")+('Dvd Calendar'!$U$346=TYPE3)*(TYPE3&lt;&gt;"")+('Dvd Calendar'!$U$346=TYPE4)*(TYPE4&lt;&gt;"")+('Dvd Calendar'!$U$346=SPECIAL_LBL)*(INC_SPECIALS="Y"))=0,"",'Dvd Calendar'!$U$344)))</f>
        <v/>
      </c>
      <c r="T42" s="110">
        <f>IF(EV42="","",IF(ISNUMBER('Dvd Calendar'!$V$344)=FALSE,"",IF((('Dvd Calendar'!$V$346=TYPE1)*(TYPE1&lt;&gt;"")+('Dvd Calendar'!$V$346=TYPE2)*(TYPE2&lt;&gt;"")+('Dvd Calendar'!$V$346=TYPE3)*(TYPE3&lt;&gt;"")+('Dvd Calendar'!$V$346=TYPE4)*(TYPE4&lt;&gt;"")+('Dvd Calendar'!$V$346=SPECIAL_LBL)*(INC_SPECIALS="Y"))=0,"",'Dvd Calendar'!$V$344)))</f>
        <v/>
      </c>
      <c r="U42" s="110">
        <f>IF(EW42="","",IF(ISNUMBER('Dvd Calendar'!$W$344)=FALSE,"",IF((('Dvd Calendar'!$W$346=TYPE1)*(TYPE1&lt;&gt;"")+('Dvd Calendar'!$W$346=TYPE2)*(TYPE2&lt;&gt;"")+('Dvd Calendar'!$W$346=TYPE3)*(TYPE3&lt;&gt;"")+('Dvd Calendar'!$W$346=TYPE4)*(TYPE4&lt;&gt;"")+('Dvd Calendar'!$W$346=SPECIAL_LBL)*(INC_SPECIALS="Y"))=0,"",'Dvd Calendar'!$W$344)))</f>
        <v/>
      </c>
      <c r="V42" s="110">
        <f>IF(EX42="","",IF(ISNUMBER('Dvd Calendar'!$X$344)=FALSE,"",IF((('Dvd Calendar'!$X$346=TYPE1)*(TYPE1&lt;&gt;"")+('Dvd Calendar'!$X$346=TYPE2)*(TYPE2&lt;&gt;"")+('Dvd Calendar'!$X$346=TYPE3)*(TYPE3&lt;&gt;"")+('Dvd Calendar'!$X$346=TYPE4)*(TYPE4&lt;&gt;"")+('Dvd Calendar'!$X$346=SPECIAL_LBL)*(INC_SPECIALS="Y"))=0,"",'Dvd Calendar'!$X$344)))</f>
        <v/>
      </c>
      <c r="W42" s="110">
        <f>IF(EY42="","",IF(ISNUMBER('Dvd Calendar'!$Y$344)=FALSE,"",IF((('Dvd Calendar'!$Y$346=TYPE1)*(TYPE1&lt;&gt;"")+('Dvd Calendar'!$Y$346=TYPE2)*(TYPE2&lt;&gt;"")+('Dvd Calendar'!$Y$346=TYPE3)*(TYPE3&lt;&gt;"")+('Dvd Calendar'!$Y$346=TYPE4)*(TYPE4&lt;&gt;"")+('Dvd Calendar'!$Y$346=SPECIAL_LBL)*(INC_SPECIALS="Y"))=0,"",'Dvd Calendar'!$Y$344)))</f>
        <v/>
      </c>
      <c r="X42" s="110">
        <f>IF(EZ42="","",IF(ISNUMBER('Dvd Calendar'!$Z$344)=FALSE,"",IF((('Dvd Calendar'!$Z$346=TYPE1)*(TYPE1&lt;&gt;"")+('Dvd Calendar'!$Z$346=TYPE2)*(TYPE2&lt;&gt;"")+('Dvd Calendar'!$Z$346=TYPE3)*(TYPE3&lt;&gt;"")+('Dvd Calendar'!$Z$346=TYPE4)*(TYPE4&lt;&gt;"")+('Dvd Calendar'!$Z$346=SPECIAL_LBL)*(INC_SPECIALS="Y"))=0,"",'Dvd Calendar'!$Z$344)))</f>
        <v/>
      </c>
      <c r="Y42" s="110">
        <f>IF(FA42="","",IF(ISNUMBER('Dvd Calendar'!$AA$344)=FALSE,"",IF((('Dvd Calendar'!$AA$346=TYPE1)*(TYPE1&lt;&gt;"")+('Dvd Calendar'!$AA$346=TYPE2)*(TYPE2&lt;&gt;"")+('Dvd Calendar'!$AA$346=TYPE3)*(TYPE3&lt;&gt;"")+('Dvd Calendar'!$AA$346=TYPE4)*(TYPE4&lt;&gt;"")+('Dvd Calendar'!$AA$346=SPECIAL_LBL)*(INC_SPECIALS="Y"))=0,"",'Dvd Calendar'!$AA$344)))</f>
        <v/>
      </c>
      <c r="Z42" s="110">
        <f>IF(FB42="","",IF(ISNUMBER('Dvd Calendar'!$AB$344)=FALSE,"",IF((('Dvd Calendar'!$AB$346=TYPE1)*(TYPE1&lt;&gt;"")+('Dvd Calendar'!$AB$346=TYPE2)*(TYPE2&lt;&gt;"")+('Dvd Calendar'!$AB$346=TYPE3)*(TYPE3&lt;&gt;"")+('Dvd Calendar'!$AB$346=TYPE4)*(TYPE4&lt;&gt;"")+('Dvd Calendar'!$AB$346=SPECIAL_LBL)*(INC_SPECIALS="Y"))=0,"",'Dvd Calendar'!$AB$344)))</f>
        <v/>
      </c>
      <c r="AA42" s="110">
        <f>IF(FC42="","",IF(ISNUMBER('Dvd Calendar'!$AC$344)=FALSE,"",IF((('Dvd Calendar'!$AC$346=TYPE1)*(TYPE1&lt;&gt;"")+('Dvd Calendar'!$AC$346=TYPE2)*(TYPE2&lt;&gt;"")+('Dvd Calendar'!$AC$346=TYPE3)*(TYPE3&lt;&gt;"")+('Dvd Calendar'!$AC$346=TYPE4)*(TYPE4&lt;&gt;"")+('Dvd Calendar'!$AC$346=SPECIAL_LBL)*(INC_SPECIALS="Y"))=0,"",'Dvd Calendar'!$AC$344)))</f>
        <v/>
      </c>
      <c r="AB42" s="110">
        <f>IF(FD42="","",IF(ISNUMBER('Dvd Calendar'!$AD$344)=FALSE,"",IF((('Dvd Calendar'!$AD$346=TYPE1)*(TYPE1&lt;&gt;"")+('Dvd Calendar'!$AD$346=TYPE2)*(TYPE2&lt;&gt;"")+('Dvd Calendar'!$AD$346=TYPE3)*(TYPE3&lt;&gt;"")+('Dvd Calendar'!$AD$346=TYPE4)*(TYPE4&lt;&gt;"")+('Dvd Calendar'!$AD$346=SPECIAL_LBL)*(INC_SPECIALS="Y"))=0,"",'Dvd Calendar'!$AD$344)))</f>
        <v/>
      </c>
      <c r="AC42" s="110">
        <f>IF(FE42="","",IF(ISNUMBER('Dvd Calendar'!$AE$344)=FALSE,"",IF((('Dvd Calendar'!$AE$346=TYPE1)*(TYPE1&lt;&gt;"")+('Dvd Calendar'!$AE$346=TYPE2)*(TYPE2&lt;&gt;"")+('Dvd Calendar'!$AE$346=TYPE3)*(TYPE3&lt;&gt;"")+('Dvd Calendar'!$AE$346=TYPE4)*(TYPE4&lt;&gt;"")+('Dvd Calendar'!$AE$346=SPECIAL_LBL)*(INC_SPECIALS="Y"))=0,"",'Dvd Calendar'!$AE$344)))</f>
        <v/>
      </c>
      <c r="AD42" s="110">
        <f>IF(FF42="","",IF(ISNUMBER('Dvd Calendar'!$AF$344)=FALSE,"",IF((('Dvd Calendar'!$AF$346=TYPE1)*(TYPE1&lt;&gt;"")+('Dvd Calendar'!$AF$346=TYPE2)*(TYPE2&lt;&gt;"")+('Dvd Calendar'!$AF$346=TYPE3)*(TYPE3&lt;&gt;"")+('Dvd Calendar'!$AF$346=TYPE4)*(TYPE4&lt;&gt;"")+('Dvd Calendar'!$AF$346=SPECIAL_LBL)*(INC_SPECIALS="Y"))=0,"",'Dvd Calendar'!$AF$344)))</f>
        <v/>
      </c>
      <c r="AE42" s="110">
        <f>IF(FG42="","",IF(ISNUMBER('Dvd Calendar'!$AG$344)=FALSE,"",IF((('Dvd Calendar'!$AG$346=TYPE1)*(TYPE1&lt;&gt;"")+('Dvd Calendar'!$AG$346=TYPE2)*(TYPE2&lt;&gt;"")+('Dvd Calendar'!$AG$346=TYPE3)*(TYPE3&lt;&gt;"")+('Dvd Calendar'!$AG$346=TYPE4)*(TYPE4&lt;&gt;"")+('Dvd Calendar'!$AG$346=SPECIAL_LBL)*(INC_SPECIALS="Y"))=0,"",'Dvd Calendar'!$AG$344)))</f>
        <v/>
      </c>
      <c r="AF42" s="110">
        <f>IF(FH42="","",IF(ISNUMBER('Dvd Calendar'!$AH$344)=FALSE,"",IF((('Dvd Calendar'!$AH$346=TYPE1)*(TYPE1&lt;&gt;"")+('Dvd Calendar'!$AH$346=TYPE2)*(TYPE2&lt;&gt;"")+('Dvd Calendar'!$AH$346=TYPE3)*(TYPE3&lt;&gt;"")+('Dvd Calendar'!$AH$346=TYPE4)*(TYPE4&lt;&gt;"")+('Dvd Calendar'!$AH$346=SPECIAL_LBL)*(INC_SPECIALS="Y"))=0,"",'Dvd Calendar'!$AH$344)))</f>
        <v/>
      </c>
      <c r="AG42" s="110">
        <f>IF(FI42="","",IF(ISNUMBER('Dvd Calendar'!$AI$344)=FALSE,"",IF((('Dvd Calendar'!$AI$346=TYPE1)*(TYPE1&lt;&gt;"")+('Dvd Calendar'!$AI$346=TYPE2)*(TYPE2&lt;&gt;"")+('Dvd Calendar'!$AI$346=TYPE3)*(TYPE3&lt;&gt;"")+('Dvd Calendar'!$AI$346=TYPE4)*(TYPE4&lt;&gt;"")+('Dvd Calendar'!$AI$346=SPECIAL_LBL)*(INC_SPECIALS="Y"))=0,"",'Dvd Calendar'!$AI$344)))</f>
        <v/>
      </c>
      <c r="AH42" s="110">
        <f>IF(FJ42="","",IF(ISNUMBER('Dvd Calendar'!$AJ$344)=FALSE,"",IF((('Dvd Calendar'!$AJ$346=TYPE1)*(TYPE1&lt;&gt;"")+('Dvd Calendar'!$AJ$346=TYPE2)*(TYPE2&lt;&gt;"")+('Dvd Calendar'!$AJ$346=TYPE3)*(TYPE3&lt;&gt;"")+('Dvd Calendar'!$AJ$346=TYPE4)*(TYPE4&lt;&gt;"")+('Dvd Calendar'!$AJ$346=SPECIAL_LBL)*(INC_SPECIALS="Y"))=0,"",'Dvd Calendar'!$AJ$344)))</f>
        <v/>
      </c>
      <c r="AI42" s="110">
        <f>IF(FK42="","",IF(ISNUMBER('Dvd Calendar'!$AK$344)=FALSE,"",IF((('Dvd Calendar'!$AK$346=TYPE1)*(TYPE1&lt;&gt;"")+('Dvd Calendar'!$AK$346=TYPE2)*(TYPE2&lt;&gt;"")+('Dvd Calendar'!$AK$346=TYPE3)*(TYPE3&lt;&gt;"")+('Dvd Calendar'!$AK$346=TYPE4)*(TYPE4&lt;&gt;"")+('Dvd Calendar'!$AK$346=SPECIAL_LBL)*(INC_SPECIALS="Y"))=0,"",'Dvd Calendar'!$AK$344)))</f>
        <v/>
      </c>
      <c r="AJ42" s="110">
        <f>IF(FL42="","",IF(ISNUMBER('Dvd Calendar'!$AL$344)=FALSE,"",IF((('Dvd Calendar'!$AL$346=TYPE1)*(TYPE1&lt;&gt;"")+('Dvd Calendar'!$AL$346=TYPE2)*(TYPE2&lt;&gt;"")+('Dvd Calendar'!$AL$346=TYPE3)*(TYPE3&lt;&gt;"")+('Dvd Calendar'!$AL$346=TYPE4)*(TYPE4&lt;&gt;"")+('Dvd Calendar'!$AL$346=SPECIAL_LBL)*(INC_SPECIALS="Y"))=0,"",'Dvd Calendar'!$AL$344)))</f>
        <v/>
      </c>
      <c r="AK42" s="110">
        <f>IF(FM42="","",IF(ISNUMBER('Dvd Calendar'!$AM$344)=FALSE,"",IF((('Dvd Calendar'!$AM$346=TYPE1)*(TYPE1&lt;&gt;"")+('Dvd Calendar'!$AM$346=TYPE2)*(TYPE2&lt;&gt;"")+('Dvd Calendar'!$AM$346=TYPE3)*(TYPE3&lt;&gt;"")+('Dvd Calendar'!$AM$346=TYPE4)*(TYPE4&lt;&gt;"")+('Dvd Calendar'!$AM$346=SPECIAL_LBL)*(INC_SPECIALS="Y"))=0,"",'Dvd Calendar'!$AM$344)))</f>
        <v/>
      </c>
      <c r="AL42" s="110">
        <f>IF(FN42="","",IF(ISNUMBER('Dvd Calendar'!$AN$344)=FALSE,"",IF((('Dvd Calendar'!$AN$346=TYPE1)*(TYPE1&lt;&gt;"")+('Dvd Calendar'!$AN$346=TYPE2)*(TYPE2&lt;&gt;"")+('Dvd Calendar'!$AN$346=TYPE3)*(TYPE3&lt;&gt;"")+('Dvd Calendar'!$AN$346=TYPE4)*(TYPE4&lt;&gt;"")+('Dvd Calendar'!$AN$346=SPECIAL_LBL)*(INC_SPECIALS="Y"))=0,"",'Dvd Calendar'!$AN$344)))</f>
        <v/>
      </c>
      <c r="AM42" s="110">
        <f>IF(FO42="","",IF(ISNUMBER('Dvd Calendar'!$AO$344)=FALSE,"",IF((('Dvd Calendar'!$AO$346=TYPE1)*(TYPE1&lt;&gt;"")+('Dvd Calendar'!$AO$346=TYPE2)*(TYPE2&lt;&gt;"")+('Dvd Calendar'!$AO$346=TYPE3)*(TYPE3&lt;&gt;"")+('Dvd Calendar'!$AO$346=TYPE4)*(TYPE4&lt;&gt;"")+('Dvd Calendar'!$AO$346=SPECIAL_LBL)*(INC_SPECIALS="Y"))=0,"",'Dvd Calendar'!$AO$344)))</f>
        <v/>
      </c>
      <c r="AN42" s="110">
        <f>IF(FP42="","",IF(ISNUMBER('Dvd Calendar'!$AP$344)=FALSE,"",IF((('Dvd Calendar'!$AP$346=TYPE1)*(TYPE1&lt;&gt;"")+('Dvd Calendar'!$AP$346=TYPE2)*(TYPE2&lt;&gt;"")+('Dvd Calendar'!$AP$346=TYPE3)*(TYPE3&lt;&gt;"")+('Dvd Calendar'!$AP$346=TYPE4)*(TYPE4&lt;&gt;"")+('Dvd Calendar'!$AP$346=SPECIAL_LBL)*(INC_SPECIALS="Y"))=0,"",'Dvd Calendar'!$AP$344)))</f>
        <v/>
      </c>
      <c r="AO42" s="110">
        <f>IF(FQ42="","",IF(ISNUMBER('Dvd Calendar'!$AQ$344)=FALSE,"",IF((('Dvd Calendar'!$AQ$346=TYPE1)*(TYPE1&lt;&gt;"")+('Dvd Calendar'!$AQ$346=TYPE2)*(TYPE2&lt;&gt;"")+('Dvd Calendar'!$AQ$346=TYPE3)*(TYPE3&lt;&gt;"")+('Dvd Calendar'!$AQ$346=TYPE4)*(TYPE4&lt;&gt;"")+('Dvd Calendar'!$AQ$346=SPECIAL_LBL)*(INC_SPECIALS="Y"))=0,"",'Dvd Calendar'!$AQ$344)))</f>
        <v/>
      </c>
      <c r="AP42" s="110">
        <f>IF(FR42="","",IF(ISNUMBER('Dvd Calendar'!$AR$344)=FALSE,"",IF((('Dvd Calendar'!$AR$346=TYPE1)*(TYPE1&lt;&gt;"")+('Dvd Calendar'!$AR$346=TYPE2)*(TYPE2&lt;&gt;"")+('Dvd Calendar'!$AR$346=TYPE3)*(TYPE3&lt;&gt;"")+('Dvd Calendar'!$AR$346=TYPE4)*(TYPE4&lt;&gt;"")+('Dvd Calendar'!$AR$346=SPECIAL_LBL)*(INC_SPECIALS="Y"))=0,"",'Dvd Calendar'!$AR$344)))</f>
        <v/>
      </c>
      <c r="AQ42" s="110">
        <f>IF(FS42="","",IF(ISNUMBER('Dvd Calendar'!$E$349)=FALSE,"",'Dvd Calendar'!$E$349))</f>
        <v/>
      </c>
      <c r="AR42" s="110">
        <f>IF(FT42="","",IF(ISNUMBER('Dvd Calendar'!$F$349)=FALSE,"",'Dvd Calendar'!$F$349))</f>
        <v/>
      </c>
      <c r="AS42" s="110">
        <f>IF(FU42="","",IF(ISNUMBER('Dvd Calendar'!$G$349)=FALSE,"",'Dvd Calendar'!$G$349))</f>
        <v/>
      </c>
      <c r="AT42" s="110">
        <f>IF(FV42="","",IF(ISNUMBER('Dvd Calendar'!$H$349)=FALSE,"",'Dvd Calendar'!$H$349))</f>
        <v/>
      </c>
      <c r="AU42" s="110">
        <f>IF(FW42="","",IF(ISNUMBER('Dvd Calendar'!$I$349)=FALSE,"",'Dvd Calendar'!$I$349))</f>
        <v/>
      </c>
      <c r="AV42" s="110">
        <f>IF(FX42="","",IF(ISNUMBER('Dvd Calendar'!$J$349)=FALSE,"",'Dvd Calendar'!$J$349))</f>
        <v/>
      </c>
      <c r="AW42" s="110">
        <f>IF(FY42="","",IF(ISNUMBER('Dvd Calendar'!$K$349)=FALSE,"",'Dvd Calendar'!$K$349))</f>
        <v/>
      </c>
      <c r="AX42" s="110">
        <f>IF(FZ42="","",IF(ISNUMBER('Dvd Calendar'!$L$349)=FALSE,"",'Dvd Calendar'!$L$349))</f>
        <v/>
      </c>
      <c r="AY42" s="110">
        <f>IF(GA42="","",IF(ISNUMBER('Dvd Calendar'!$M$349)=FALSE,"",'Dvd Calendar'!$M$349))</f>
        <v/>
      </c>
      <c r="AZ42" s="110">
        <f>IF(GB42="","",IF(ISNUMBER('Dvd Calendar'!$N$349)=FALSE,"",'Dvd Calendar'!$N$349))</f>
        <v/>
      </c>
      <c r="BA42" s="110">
        <f>IF(GC42="","",IF(ISNUMBER('Dvd Calendar'!$O$349)=FALSE,"",'Dvd Calendar'!$O$349))</f>
        <v/>
      </c>
      <c r="BB42" s="110">
        <f>IF(GD42="","",IF(ISNUMBER('Dvd Calendar'!$P$349)=FALSE,"",'Dvd Calendar'!$P$349))</f>
        <v/>
      </c>
      <c r="BC42" s="110">
        <f>IF(GE42="","",IF(ISNUMBER('Dvd Calendar'!$Q$349)=FALSE,"",'Dvd Calendar'!$Q$349))</f>
        <v/>
      </c>
      <c r="BD42" s="110">
        <f>IF(GF42="","",IF(ISNUMBER('Dvd Calendar'!$R$349)=FALSE,"",'Dvd Calendar'!$R$349))</f>
        <v/>
      </c>
      <c r="BE42" s="110">
        <f>IF(GG42="","",IF(ISNUMBER('Dvd Calendar'!$S$349)=FALSE,"",'Dvd Calendar'!$S$349))</f>
        <v/>
      </c>
      <c r="BF42" s="110">
        <f>IF(GH42="","",IF(ISNUMBER('Dvd Calendar'!$T$349)=FALSE,"",'Dvd Calendar'!$T$349))</f>
        <v/>
      </c>
      <c r="BG42" s="110">
        <f>IF(GI42="","",IF(ISNUMBER('Dvd Calendar'!$U$349)=FALSE,"",'Dvd Calendar'!$U$349))</f>
        <v/>
      </c>
      <c r="BH42" s="110">
        <f>IF(GJ42="","",IF(ISNUMBER('Dvd Calendar'!$V$349)=FALSE,"",'Dvd Calendar'!$V$349))</f>
        <v/>
      </c>
      <c r="BI42" s="110">
        <f>IF(GK42="","",IF(ISNUMBER('Dvd Calendar'!$W$349)=FALSE,"",'Dvd Calendar'!$W$349))</f>
        <v/>
      </c>
      <c r="BJ42" s="110">
        <f>IF(GL42="","",IF(ISNUMBER('Dvd Calendar'!$X$349)=FALSE,"",'Dvd Calendar'!$X$349))</f>
        <v/>
      </c>
      <c r="BK42" s="110">
        <f>IF(GM42="","",IF(ISNUMBER('Dvd Calendar'!$Y$349)=FALSE,"",'Dvd Calendar'!$Y$349))</f>
        <v/>
      </c>
      <c r="BL42" s="110">
        <f>IF(GN42="","",IF(ISNUMBER('Dvd Calendar'!$Z$349)=FALSE,"",'Dvd Calendar'!$Z$349))</f>
        <v/>
      </c>
      <c r="BM42" s="110">
        <f>IF(GO42="","",IF(ISNUMBER('Dvd Calendar'!$AA$349)=FALSE,"",'Dvd Calendar'!$AA$349))</f>
        <v/>
      </c>
      <c r="BN42" s="110">
        <f>IF(GP42="","",IF(ISNUMBER('Dvd Calendar'!$AB$349)=FALSE,"",'Dvd Calendar'!$AB$349))</f>
        <v/>
      </c>
      <c r="BO42" s="110">
        <f>IF(GQ42="","",IF(ISNUMBER('Dvd Calendar'!$AC$349)=FALSE,"",'Dvd Calendar'!$AC$349))</f>
        <v/>
      </c>
      <c r="BQ42" s="110">
        <f>IF(C42="","",IFERROR(C42*HSI!$B$37*HSI!$G$37/HSI!$B$3,""))</f>
        <v/>
      </c>
      <c r="BR42" s="110">
        <f>IF(D42="","",IFERROR(D42*HSI!$B$37*HSI!$G$37/HSI!$B$3,""))</f>
        <v/>
      </c>
      <c r="BS42" s="110">
        <f>IF(E42="","",IFERROR(E42*HSI!$B$37*HSI!$G$37/HSI!$B$3,""))</f>
        <v/>
      </c>
      <c r="BT42" s="110">
        <f>IF(F42="","",IFERROR(F42*HSI!$B$37*HSI!$G$37/HSI!$B$3,""))</f>
        <v/>
      </c>
      <c r="BU42" s="110">
        <f>IF(G42="","",IFERROR(G42*HSI!$B$37*HSI!$G$37/HSI!$B$3,""))</f>
        <v/>
      </c>
      <c r="BV42" s="110">
        <f>IF(H42="","",IFERROR(H42*HSI!$B$37*HSI!$G$37/HSI!$B$3,""))</f>
        <v/>
      </c>
      <c r="BW42" s="110">
        <f>IF(I42="","",IFERROR(I42*HSI!$B$37*HSI!$G$37/HSI!$B$3,""))</f>
        <v/>
      </c>
      <c r="BX42" s="110">
        <f>IF(J42="","",IFERROR(J42*HSI!$B$37*HSI!$G$37/HSI!$B$3,""))</f>
        <v/>
      </c>
      <c r="BY42" s="110">
        <f>IF(K42="","",IFERROR(K42*HSI!$B$37*HSI!$G$37/HSI!$B$3,""))</f>
        <v/>
      </c>
      <c r="BZ42" s="110">
        <f>IF(L42="","",IFERROR(L42*HSI!$B$37*HSI!$G$37/HSI!$B$3,""))</f>
        <v/>
      </c>
      <c r="CA42" s="110">
        <f>IF(M42="","",IFERROR(M42*HSI!$B$37*HSI!$G$37/HSI!$B$3,""))</f>
        <v/>
      </c>
      <c r="CB42" s="110">
        <f>IF(N42="","",IFERROR(N42*HSI!$B$37*HSI!$G$37/HSI!$B$3,""))</f>
        <v/>
      </c>
      <c r="CC42" s="110">
        <f>IF(O42="","",IFERROR(O42*HSI!$B$37*HSI!$G$37/HSI!$B$3,""))</f>
        <v/>
      </c>
      <c r="CD42" s="110">
        <f>IF(P42="","",IFERROR(P42*HSI!$B$37*HSI!$G$37/HSI!$B$3,""))</f>
        <v/>
      </c>
      <c r="CE42" s="110">
        <f>IF(Q42="","",IFERROR(Q42*HSI!$B$37*HSI!$G$37/HSI!$B$3,""))</f>
        <v/>
      </c>
      <c r="CF42" s="110">
        <f>IF(R42="","",IFERROR(R42*HSI!$B$37*HSI!$G$37/HSI!$B$3,""))</f>
        <v/>
      </c>
      <c r="CG42" s="110">
        <f>IF(S42="","",IFERROR(S42*HSI!$B$37*HSI!$G$37/HSI!$B$3,""))</f>
        <v/>
      </c>
      <c r="CH42" s="110">
        <f>IF(T42="","",IFERROR(T42*HSI!$B$37*HSI!$G$37/HSI!$B$3,""))</f>
        <v/>
      </c>
      <c r="CI42" s="110">
        <f>IF(U42="","",IFERROR(U42*HSI!$B$37*HSI!$G$37/HSI!$B$3,""))</f>
        <v/>
      </c>
      <c r="CJ42" s="110">
        <f>IF(V42="","",IFERROR(V42*HSI!$B$37*HSI!$G$37/HSI!$B$3,""))</f>
        <v/>
      </c>
      <c r="CK42" s="110">
        <f>IF(W42="","",IFERROR(W42*HSI!$B$37*HSI!$G$37/HSI!$B$3,""))</f>
        <v/>
      </c>
      <c r="CL42" s="110">
        <f>IF(X42="","",IFERROR(X42*HSI!$B$37*HSI!$G$37/HSI!$B$3,""))</f>
        <v/>
      </c>
      <c r="CM42" s="110">
        <f>IF(Y42="","",IFERROR(Y42*HSI!$B$37*HSI!$G$37/HSI!$B$3,""))</f>
        <v/>
      </c>
      <c r="CN42" s="110">
        <f>IF(Z42="","",IFERROR(Z42*HSI!$B$37*HSI!$G$37/HSI!$B$3,""))</f>
        <v/>
      </c>
      <c r="CO42" s="110">
        <f>IF(AA42="","",IFERROR(AA42*HSI!$B$37*HSI!$G$37/HSI!$B$3,""))</f>
        <v/>
      </c>
      <c r="CP42" s="110">
        <f>IF(AB42="","",IFERROR(AB42*HSI!$B$37*HSI!$G$37/HSI!$B$3,""))</f>
        <v/>
      </c>
      <c r="CQ42" s="110">
        <f>IF(AC42="","",IFERROR(AC42*HSI!$B$37*HSI!$G$37/HSI!$B$3,""))</f>
        <v/>
      </c>
      <c r="CR42" s="110">
        <f>IF(AD42="","",IFERROR(AD42*HSI!$B$37*HSI!$G$37/HSI!$B$3,""))</f>
        <v/>
      </c>
      <c r="CS42" s="110">
        <f>IF(AE42="","",IFERROR(AE42*HSI!$B$37*HSI!$G$37/HSI!$B$3,""))</f>
        <v/>
      </c>
      <c r="CT42" s="110">
        <f>IF(AF42="","",IFERROR(AF42*HSI!$B$37*HSI!$G$37/HSI!$B$3,""))</f>
        <v/>
      </c>
      <c r="CU42" s="110">
        <f>IF(AG42="","",IFERROR(AG42*HSI!$B$37*HSI!$G$37/HSI!$B$3,""))</f>
        <v/>
      </c>
      <c r="CV42" s="110">
        <f>IF(AH42="","",IFERROR(AH42*HSI!$B$37*HSI!$G$37/HSI!$B$3,""))</f>
        <v/>
      </c>
      <c r="CW42" s="110">
        <f>IF(AI42="","",IFERROR(AI42*HSI!$B$37*HSI!$G$37/HSI!$B$3,""))</f>
        <v/>
      </c>
      <c r="CX42" s="110">
        <f>IF(AJ42="","",IFERROR(AJ42*HSI!$B$37*HSI!$G$37/HSI!$B$3,""))</f>
        <v/>
      </c>
      <c r="CY42" s="110">
        <f>IF(AK42="","",IFERROR(AK42*HSI!$B$37*HSI!$G$37/HSI!$B$3,""))</f>
        <v/>
      </c>
      <c r="CZ42" s="110">
        <f>IF(AL42="","",IFERROR(AL42*HSI!$B$37*HSI!$G$37/HSI!$B$3,""))</f>
        <v/>
      </c>
      <c r="DA42" s="110">
        <f>IF(AM42="","",IFERROR(AM42*HSI!$B$37*HSI!$G$37/HSI!$B$3,""))</f>
        <v/>
      </c>
      <c r="DB42" s="110">
        <f>IF(AN42="","",IFERROR(AN42*HSI!$B$37*HSI!$G$37/HSI!$B$3,""))</f>
        <v/>
      </c>
      <c r="DC42" s="110">
        <f>IF(AO42="","",IFERROR(AO42*HSI!$B$37*HSI!$G$37/HSI!$B$3,""))</f>
        <v/>
      </c>
      <c r="DD42" s="110">
        <f>IF(AP42="","",IFERROR(AP42*HSI!$B$37*HSI!$G$37/HSI!$B$3,""))</f>
        <v/>
      </c>
      <c r="DE42" s="110">
        <f>IF(AQ42="","",IFERROR(AQ42*HSI!$B$37*HSI!$G$37/HSI!$B$3,""))</f>
        <v/>
      </c>
      <c r="DF42" s="110">
        <f>IF(AR42="","",IFERROR(AR42*HSI!$B$37*HSI!$G$37/HSI!$B$3,""))</f>
        <v/>
      </c>
      <c r="DG42" s="110">
        <f>IF(AS42="","",IFERROR(AS42*HSI!$B$37*HSI!$G$37/HSI!$B$3,""))</f>
        <v/>
      </c>
      <c r="DH42" s="110">
        <f>IF(AT42="","",IFERROR(AT42*HSI!$B$37*HSI!$G$37/HSI!$B$3,""))</f>
        <v/>
      </c>
      <c r="DI42" s="110">
        <f>IF(AU42="","",IFERROR(AU42*HSI!$B$37*HSI!$G$37/HSI!$B$3,""))</f>
        <v/>
      </c>
      <c r="DJ42" s="110">
        <f>IF(AV42="","",IFERROR(AV42*HSI!$B$37*HSI!$G$37/HSI!$B$3,""))</f>
        <v/>
      </c>
      <c r="DK42" s="110">
        <f>IF(AW42="","",IFERROR(AW42*HSI!$B$37*HSI!$G$37/HSI!$B$3,""))</f>
        <v/>
      </c>
      <c r="DL42" s="110">
        <f>IF(AX42="","",IFERROR(AX42*HSI!$B$37*HSI!$G$37/HSI!$B$3,""))</f>
        <v/>
      </c>
      <c r="DM42" s="110">
        <f>IF(AY42="","",IFERROR(AY42*HSI!$B$37*HSI!$G$37/HSI!$B$3,""))</f>
        <v/>
      </c>
      <c r="DN42" s="110">
        <f>IF(AZ42="","",IFERROR(AZ42*HSI!$B$37*HSI!$G$37/HSI!$B$3,""))</f>
        <v/>
      </c>
      <c r="DO42" s="110">
        <f>IF(BA42="","",IFERROR(BA42*HSI!$B$37*HSI!$G$37/HSI!$B$3,""))</f>
        <v/>
      </c>
      <c r="DP42" s="110">
        <f>IF(BB42="","",IFERROR(BB42*HSI!$B$37*HSI!$G$37/HSI!$B$3,""))</f>
        <v/>
      </c>
      <c r="DQ42" s="110">
        <f>IF(BC42="","",IFERROR(BC42*HSI!$B$37*HSI!$G$37/HSI!$B$3,""))</f>
        <v/>
      </c>
      <c r="DR42" s="110">
        <f>IF(BD42="","",IFERROR(BD42*HSI!$B$37*HSI!$G$37/HSI!$B$3,""))</f>
        <v/>
      </c>
      <c r="DS42" s="110">
        <f>IF(BE42="","",IFERROR(BE42*HSI!$B$37*HSI!$G$37/HSI!$B$3,""))</f>
        <v/>
      </c>
      <c r="DT42" s="110">
        <f>IF(BF42="","",IFERROR(BF42*HSI!$B$37*HSI!$G$37/HSI!$B$3,""))</f>
        <v/>
      </c>
      <c r="DU42" s="110">
        <f>IF(BG42="","",IFERROR(BG42*HSI!$B$37*HSI!$G$37/HSI!$B$3,""))</f>
        <v/>
      </c>
      <c r="DV42" s="110">
        <f>IF(BH42="","",IFERROR(BH42*HSI!$B$37*HSI!$G$37/HSI!$B$3,""))</f>
        <v/>
      </c>
      <c r="DW42" s="110">
        <f>IF(BI42="","",IFERROR(BI42*HSI!$B$37*HSI!$G$37/HSI!$B$3,""))</f>
        <v/>
      </c>
      <c r="DX42" s="110">
        <f>IF(BJ42="","",IFERROR(BJ42*HSI!$B$37*HSI!$G$37/HSI!$B$3,""))</f>
        <v/>
      </c>
      <c r="DY42" s="110">
        <f>IF(BK42="","",IFERROR(BK42*HSI!$B$37*HSI!$G$37/HSI!$B$3,""))</f>
        <v/>
      </c>
      <c r="DZ42" s="110">
        <f>IF(BL42="","",IFERROR(BL42*HSI!$B$37*HSI!$G$37/HSI!$B$3,""))</f>
        <v/>
      </c>
      <c r="EA42" s="110">
        <f>IF(BM42="","",IFERROR(BM42*HSI!$B$37*HSI!$G$37/HSI!$B$3,""))</f>
        <v/>
      </c>
      <c r="EB42" s="110">
        <f>IF(BN42="","",IFERROR(BN42*HSI!$B$37*HSI!$G$37/HSI!$B$3,""))</f>
        <v/>
      </c>
      <c r="EC42" s="110">
        <f>IF(BO42="","",IFERROR(BO42*HSI!$B$37*HSI!$G$37/HSI!$B$3,""))</f>
        <v/>
      </c>
      <c r="EE42" s="39">
        <f>IF(N('Dvd Calendar'!$E$341)=0,"",IF(('Dvd Calendar'!$E$341&gt;=GRID_FROM)*('Dvd Calendar'!$E$341&lt;=GRID_TO)*((('Dvd Calendar'!$E$341&lt;=VAL_DATE)+(COUNTIF('Dvd Calendar'!$E$348:$AR$348,'Dvd Calendar'!$E$341)=0))&gt;0)=0,"",'Dvd Calendar'!$E$341*1000000000+ISNUMBER('Dvd Calendar'!$E$344)*100000000+('Dvd Calendar'!$E$346=SPECIAL_LBL)*10000000+(N('Dvd Calendar'!$E$340)&gt;0)*(N('Dvd Calendar'!$E$340)&lt;=VAL_SERIAL)*1000000+31*1000+1))</f>
        <v/>
      </c>
      <c r="EF42" s="39">
        <f>IF(N('Dvd Calendar'!$F$341)=0,"",IF(('Dvd Calendar'!$F$341&gt;=GRID_FROM)*('Dvd Calendar'!$F$341&lt;=GRID_TO)*((('Dvd Calendar'!$F$341&lt;=VAL_DATE)+(COUNTIF('Dvd Calendar'!$E$348:$AR$348,'Dvd Calendar'!$F$341)=0))&gt;0)=0,"",'Dvd Calendar'!$F$341*1000000000+ISNUMBER('Dvd Calendar'!$F$344)*100000000+('Dvd Calendar'!$F$346=SPECIAL_LBL)*10000000+(N('Dvd Calendar'!$F$340)&gt;0)*(N('Dvd Calendar'!$F$340)&lt;=VAL_SERIAL)*1000000+31*1000+2))</f>
        <v/>
      </c>
      <c r="EG42" s="39">
        <f>IF(N('Dvd Calendar'!$G$341)=0,"",IF(('Dvd Calendar'!$G$341&gt;=GRID_FROM)*('Dvd Calendar'!$G$341&lt;=GRID_TO)*((('Dvd Calendar'!$G$341&lt;=VAL_DATE)+(COUNTIF('Dvd Calendar'!$E$348:$AR$348,'Dvd Calendar'!$G$341)=0))&gt;0)=0,"",'Dvd Calendar'!$G$341*1000000000+ISNUMBER('Dvd Calendar'!$G$344)*100000000+('Dvd Calendar'!$G$346=SPECIAL_LBL)*10000000+(N('Dvd Calendar'!$G$340)&gt;0)*(N('Dvd Calendar'!$G$340)&lt;=VAL_SERIAL)*1000000+31*1000+3))</f>
        <v/>
      </c>
      <c r="EH42" s="39">
        <f>IF(N('Dvd Calendar'!$H$341)=0,"",IF(('Dvd Calendar'!$H$341&gt;=GRID_FROM)*('Dvd Calendar'!$H$341&lt;=GRID_TO)*((('Dvd Calendar'!$H$341&lt;=VAL_DATE)+(COUNTIF('Dvd Calendar'!$E$348:$AR$348,'Dvd Calendar'!$H$341)=0))&gt;0)=0,"",'Dvd Calendar'!$H$341*1000000000+ISNUMBER('Dvd Calendar'!$H$344)*100000000+('Dvd Calendar'!$H$346=SPECIAL_LBL)*10000000+(N('Dvd Calendar'!$H$340)&gt;0)*(N('Dvd Calendar'!$H$340)&lt;=VAL_SERIAL)*1000000+31*1000+4))</f>
        <v/>
      </c>
      <c r="EI42" s="39">
        <f>IF(N('Dvd Calendar'!$I$341)=0,"",IF(('Dvd Calendar'!$I$341&gt;=GRID_FROM)*('Dvd Calendar'!$I$341&lt;=GRID_TO)*((('Dvd Calendar'!$I$341&lt;=VAL_DATE)+(COUNTIF('Dvd Calendar'!$E$348:$AR$348,'Dvd Calendar'!$I$341)=0))&gt;0)=0,"",'Dvd Calendar'!$I$341*1000000000+ISNUMBER('Dvd Calendar'!$I$344)*100000000+('Dvd Calendar'!$I$346=SPECIAL_LBL)*10000000+(N('Dvd Calendar'!$I$340)&gt;0)*(N('Dvd Calendar'!$I$340)&lt;=VAL_SERIAL)*1000000+31*1000+5))</f>
        <v/>
      </c>
      <c r="EJ42" s="39">
        <f>IF(N('Dvd Calendar'!$J$341)=0,"",IF(('Dvd Calendar'!$J$341&gt;=GRID_FROM)*('Dvd Calendar'!$J$341&lt;=GRID_TO)*((('Dvd Calendar'!$J$341&lt;=VAL_DATE)+(COUNTIF('Dvd Calendar'!$E$348:$AR$348,'Dvd Calendar'!$J$341)=0))&gt;0)=0,"",'Dvd Calendar'!$J$341*1000000000+ISNUMBER('Dvd Calendar'!$J$344)*100000000+('Dvd Calendar'!$J$346=SPECIAL_LBL)*10000000+(N('Dvd Calendar'!$J$340)&gt;0)*(N('Dvd Calendar'!$J$340)&lt;=VAL_SERIAL)*1000000+31*1000+6))</f>
        <v/>
      </c>
      <c r="EK42" s="39">
        <f>IF(N('Dvd Calendar'!$K$341)=0,"",IF(('Dvd Calendar'!$K$341&gt;=GRID_FROM)*('Dvd Calendar'!$K$341&lt;=GRID_TO)*((('Dvd Calendar'!$K$341&lt;=VAL_DATE)+(COUNTIF('Dvd Calendar'!$E$348:$AR$348,'Dvd Calendar'!$K$341)=0))&gt;0)=0,"",'Dvd Calendar'!$K$341*1000000000+ISNUMBER('Dvd Calendar'!$K$344)*100000000+('Dvd Calendar'!$K$346=SPECIAL_LBL)*10000000+(N('Dvd Calendar'!$K$340)&gt;0)*(N('Dvd Calendar'!$K$340)&lt;=VAL_SERIAL)*1000000+31*1000+7))</f>
        <v/>
      </c>
      <c r="EL42" s="39">
        <f>IF(N('Dvd Calendar'!$L$341)=0,"",IF(('Dvd Calendar'!$L$341&gt;=GRID_FROM)*('Dvd Calendar'!$L$341&lt;=GRID_TO)*((('Dvd Calendar'!$L$341&lt;=VAL_DATE)+(COUNTIF('Dvd Calendar'!$E$348:$AR$348,'Dvd Calendar'!$L$341)=0))&gt;0)=0,"",'Dvd Calendar'!$L$341*1000000000+ISNUMBER('Dvd Calendar'!$L$344)*100000000+('Dvd Calendar'!$L$346=SPECIAL_LBL)*10000000+(N('Dvd Calendar'!$L$340)&gt;0)*(N('Dvd Calendar'!$L$340)&lt;=VAL_SERIAL)*1000000+31*1000+8))</f>
        <v/>
      </c>
      <c r="EM42" s="39">
        <f>IF(N('Dvd Calendar'!$M$341)=0,"",IF(('Dvd Calendar'!$M$341&gt;=GRID_FROM)*('Dvd Calendar'!$M$341&lt;=GRID_TO)*((('Dvd Calendar'!$M$341&lt;=VAL_DATE)+(COUNTIF('Dvd Calendar'!$E$348:$AR$348,'Dvd Calendar'!$M$341)=0))&gt;0)=0,"",'Dvd Calendar'!$M$341*1000000000+ISNUMBER('Dvd Calendar'!$M$344)*100000000+('Dvd Calendar'!$M$346=SPECIAL_LBL)*10000000+(N('Dvd Calendar'!$M$340)&gt;0)*(N('Dvd Calendar'!$M$340)&lt;=VAL_SERIAL)*1000000+31*1000+9))</f>
        <v/>
      </c>
      <c r="EN42" s="39">
        <f>IF(N('Dvd Calendar'!$N$341)=0,"",IF(('Dvd Calendar'!$N$341&gt;=GRID_FROM)*('Dvd Calendar'!$N$341&lt;=GRID_TO)*((('Dvd Calendar'!$N$341&lt;=VAL_DATE)+(COUNTIF('Dvd Calendar'!$E$348:$AR$348,'Dvd Calendar'!$N$341)=0))&gt;0)=0,"",'Dvd Calendar'!$N$341*1000000000+ISNUMBER('Dvd Calendar'!$N$344)*100000000+('Dvd Calendar'!$N$346=SPECIAL_LBL)*10000000+(N('Dvd Calendar'!$N$340)&gt;0)*(N('Dvd Calendar'!$N$340)&lt;=VAL_SERIAL)*1000000+31*1000+10))</f>
        <v/>
      </c>
      <c r="EO42" s="39">
        <f>IF(N('Dvd Calendar'!$O$341)=0,"",IF(('Dvd Calendar'!$O$341&gt;=GRID_FROM)*('Dvd Calendar'!$O$341&lt;=GRID_TO)*((('Dvd Calendar'!$O$341&lt;=VAL_DATE)+(COUNTIF('Dvd Calendar'!$E$348:$AR$348,'Dvd Calendar'!$O$341)=0))&gt;0)=0,"",'Dvd Calendar'!$O$341*1000000000+ISNUMBER('Dvd Calendar'!$O$344)*100000000+('Dvd Calendar'!$O$346=SPECIAL_LBL)*10000000+(N('Dvd Calendar'!$O$340)&gt;0)*(N('Dvd Calendar'!$O$340)&lt;=VAL_SERIAL)*1000000+31*1000+11))</f>
        <v/>
      </c>
      <c r="EP42" s="39">
        <f>IF(N('Dvd Calendar'!$P$341)=0,"",IF(('Dvd Calendar'!$P$341&gt;=GRID_FROM)*('Dvd Calendar'!$P$341&lt;=GRID_TO)*((('Dvd Calendar'!$P$341&lt;=VAL_DATE)+(COUNTIF('Dvd Calendar'!$E$348:$AR$348,'Dvd Calendar'!$P$341)=0))&gt;0)=0,"",'Dvd Calendar'!$P$341*1000000000+ISNUMBER('Dvd Calendar'!$P$344)*100000000+('Dvd Calendar'!$P$346=SPECIAL_LBL)*10000000+(N('Dvd Calendar'!$P$340)&gt;0)*(N('Dvd Calendar'!$P$340)&lt;=VAL_SERIAL)*1000000+31*1000+12))</f>
        <v/>
      </c>
      <c r="EQ42" s="39">
        <f>IF(N('Dvd Calendar'!$Q$341)=0,"",IF(('Dvd Calendar'!$Q$341&gt;=GRID_FROM)*('Dvd Calendar'!$Q$341&lt;=GRID_TO)*((('Dvd Calendar'!$Q$341&lt;=VAL_DATE)+(COUNTIF('Dvd Calendar'!$E$348:$AR$348,'Dvd Calendar'!$Q$341)=0))&gt;0)=0,"",'Dvd Calendar'!$Q$341*1000000000+ISNUMBER('Dvd Calendar'!$Q$344)*100000000+('Dvd Calendar'!$Q$346=SPECIAL_LBL)*10000000+(N('Dvd Calendar'!$Q$340)&gt;0)*(N('Dvd Calendar'!$Q$340)&lt;=VAL_SERIAL)*1000000+31*1000+13))</f>
        <v/>
      </c>
      <c r="ER42" s="39">
        <f>IF(N('Dvd Calendar'!$R$341)=0,"",IF(('Dvd Calendar'!$R$341&gt;=GRID_FROM)*('Dvd Calendar'!$R$341&lt;=GRID_TO)*((('Dvd Calendar'!$R$341&lt;=VAL_DATE)+(COUNTIF('Dvd Calendar'!$E$348:$AR$348,'Dvd Calendar'!$R$341)=0))&gt;0)=0,"",'Dvd Calendar'!$R$341*1000000000+ISNUMBER('Dvd Calendar'!$R$344)*100000000+('Dvd Calendar'!$R$346=SPECIAL_LBL)*10000000+(N('Dvd Calendar'!$R$340)&gt;0)*(N('Dvd Calendar'!$R$340)&lt;=VAL_SERIAL)*1000000+31*1000+14))</f>
        <v/>
      </c>
      <c r="ES42" s="39">
        <f>IF(N('Dvd Calendar'!$S$341)=0,"",IF(('Dvd Calendar'!$S$341&gt;=GRID_FROM)*('Dvd Calendar'!$S$341&lt;=GRID_TO)*((('Dvd Calendar'!$S$341&lt;=VAL_DATE)+(COUNTIF('Dvd Calendar'!$E$348:$AR$348,'Dvd Calendar'!$S$341)=0))&gt;0)=0,"",'Dvd Calendar'!$S$341*1000000000+ISNUMBER('Dvd Calendar'!$S$344)*100000000+('Dvd Calendar'!$S$346=SPECIAL_LBL)*10000000+(N('Dvd Calendar'!$S$340)&gt;0)*(N('Dvd Calendar'!$S$340)&lt;=VAL_SERIAL)*1000000+31*1000+15))</f>
        <v/>
      </c>
      <c r="ET42" s="39">
        <f>IF(N('Dvd Calendar'!$T$341)=0,"",IF(('Dvd Calendar'!$T$341&gt;=GRID_FROM)*('Dvd Calendar'!$T$341&lt;=GRID_TO)*((('Dvd Calendar'!$T$341&lt;=VAL_DATE)+(COUNTIF('Dvd Calendar'!$E$348:$AR$348,'Dvd Calendar'!$T$341)=0))&gt;0)=0,"",'Dvd Calendar'!$T$341*1000000000+ISNUMBER('Dvd Calendar'!$T$344)*100000000+('Dvd Calendar'!$T$346=SPECIAL_LBL)*10000000+(N('Dvd Calendar'!$T$340)&gt;0)*(N('Dvd Calendar'!$T$340)&lt;=VAL_SERIAL)*1000000+31*1000+16))</f>
        <v/>
      </c>
      <c r="EU42" s="39">
        <f>IF(N('Dvd Calendar'!$U$341)=0,"",IF(('Dvd Calendar'!$U$341&gt;=GRID_FROM)*('Dvd Calendar'!$U$341&lt;=GRID_TO)*((('Dvd Calendar'!$U$341&lt;=VAL_DATE)+(COUNTIF('Dvd Calendar'!$E$348:$AR$348,'Dvd Calendar'!$U$341)=0))&gt;0)=0,"",'Dvd Calendar'!$U$341*1000000000+ISNUMBER('Dvd Calendar'!$U$344)*100000000+('Dvd Calendar'!$U$346=SPECIAL_LBL)*10000000+(N('Dvd Calendar'!$U$340)&gt;0)*(N('Dvd Calendar'!$U$340)&lt;=VAL_SERIAL)*1000000+31*1000+17))</f>
        <v/>
      </c>
      <c r="EV42" s="39">
        <f>IF(N('Dvd Calendar'!$V$341)=0,"",IF(('Dvd Calendar'!$V$341&gt;=GRID_FROM)*('Dvd Calendar'!$V$341&lt;=GRID_TO)*((('Dvd Calendar'!$V$341&lt;=VAL_DATE)+(COUNTIF('Dvd Calendar'!$E$348:$AR$348,'Dvd Calendar'!$V$341)=0))&gt;0)=0,"",'Dvd Calendar'!$V$341*1000000000+ISNUMBER('Dvd Calendar'!$V$344)*100000000+('Dvd Calendar'!$V$346=SPECIAL_LBL)*10000000+(N('Dvd Calendar'!$V$340)&gt;0)*(N('Dvd Calendar'!$V$340)&lt;=VAL_SERIAL)*1000000+31*1000+18))</f>
        <v/>
      </c>
      <c r="EW42" s="39">
        <f>IF(N('Dvd Calendar'!$W$341)=0,"",IF(('Dvd Calendar'!$W$341&gt;=GRID_FROM)*('Dvd Calendar'!$W$341&lt;=GRID_TO)*((('Dvd Calendar'!$W$341&lt;=VAL_DATE)+(COUNTIF('Dvd Calendar'!$E$348:$AR$348,'Dvd Calendar'!$W$341)=0))&gt;0)=0,"",'Dvd Calendar'!$W$341*1000000000+ISNUMBER('Dvd Calendar'!$W$344)*100000000+('Dvd Calendar'!$W$346=SPECIAL_LBL)*10000000+(N('Dvd Calendar'!$W$340)&gt;0)*(N('Dvd Calendar'!$W$340)&lt;=VAL_SERIAL)*1000000+31*1000+19))</f>
        <v/>
      </c>
      <c r="EX42" s="39">
        <f>IF(N('Dvd Calendar'!$X$341)=0,"",IF(('Dvd Calendar'!$X$341&gt;=GRID_FROM)*('Dvd Calendar'!$X$341&lt;=GRID_TO)*((('Dvd Calendar'!$X$341&lt;=VAL_DATE)+(COUNTIF('Dvd Calendar'!$E$348:$AR$348,'Dvd Calendar'!$X$341)=0))&gt;0)=0,"",'Dvd Calendar'!$X$341*1000000000+ISNUMBER('Dvd Calendar'!$X$344)*100000000+('Dvd Calendar'!$X$346=SPECIAL_LBL)*10000000+(N('Dvd Calendar'!$X$340)&gt;0)*(N('Dvd Calendar'!$X$340)&lt;=VAL_SERIAL)*1000000+31*1000+20))</f>
        <v/>
      </c>
      <c r="EY42" s="39">
        <f>IF(N('Dvd Calendar'!$Y$341)=0,"",IF(('Dvd Calendar'!$Y$341&gt;=GRID_FROM)*('Dvd Calendar'!$Y$341&lt;=GRID_TO)*((('Dvd Calendar'!$Y$341&lt;=VAL_DATE)+(COUNTIF('Dvd Calendar'!$E$348:$AR$348,'Dvd Calendar'!$Y$341)=0))&gt;0)=0,"",'Dvd Calendar'!$Y$341*1000000000+ISNUMBER('Dvd Calendar'!$Y$344)*100000000+('Dvd Calendar'!$Y$346=SPECIAL_LBL)*10000000+(N('Dvd Calendar'!$Y$340)&gt;0)*(N('Dvd Calendar'!$Y$340)&lt;=VAL_SERIAL)*1000000+31*1000+21))</f>
        <v/>
      </c>
      <c r="EZ42" s="39">
        <f>IF(N('Dvd Calendar'!$Z$341)=0,"",IF(('Dvd Calendar'!$Z$341&gt;=GRID_FROM)*('Dvd Calendar'!$Z$341&lt;=GRID_TO)*((('Dvd Calendar'!$Z$341&lt;=VAL_DATE)+(COUNTIF('Dvd Calendar'!$E$348:$AR$348,'Dvd Calendar'!$Z$341)=0))&gt;0)=0,"",'Dvd Calendar'!$Z$341*1000000000+ISNUMBER('Dvd Calendar'!$Z$344)*100000000+('Dvd Calendar'!$Z$346=SPECIAL_LBL)*10000000+(N('Dvd Calendar'!$Z$340)&gt;0)*(N('Dvd Calendar'!$Z$340)&lt;=VAL_SERIAL)*1000000+31*1000+22))</f>
        <v/>
      </c>
      <c r="FA42" s="39">
        <f>IF(N('Dvd Calendar'!$AA$341)=0,"",IF(('Dvd Calendar'!$AA$341&gt;=GRID_FROM)*('Dvd Calendar'!$AA$341&lt;=GRID_TO)*((('Dvd Calendar'!$AA$341&lt;=VAL_DATE)+(COUNTIF('Dvd Calendar'!$E$348:$AR$348,'Dvd Calendar'!$AA$341)=0))&gt;0)=0,"",'Dvd Calendar'!$AA$341*1000000000+ISNUMBER('Dvd Calendar'!$AA$344)*100000000+('Dvd Calendar'!$AA$346=SPECIAL_LBL)*10000000+(N('Dvd Calendar'!$AA$340)&gt;0)*(N('Dvd Calendar'!$AA$340)&lt;=VAL_SERIAL)*1000000+31*1000+23))</f>
        <v/>
      </c>
      <c r="FB42" s="39">
        <f>IF(N('Dvd Calendar'!$AB$341)=0,"",IF(('Dvd Calendar'!$AB$341&gt;=GRID_FROM)*('Dvd Calendar'!$AB$341&lt;=GRID_TO)*((('Dvd Calendar'!$AB$341&lt;=VAL_DATE)+(COUNTIF('Dvd Calendar'!$E$348:$AR$348,'Dvd Calendar'!$AB$341)=0))&gt;0)=0,"",'Dvd Calendar'!$AB$341*1000000000+ISNUMBER('Dvd Calendar'!$AB$344)*100000000+('Dvd Calendar'!$AB$346=SPECIAL_LBL)*10000000+(N('Dvd Calendar'!$AB$340)&gt;0)*(N('Dvd Calendar'!$AB$340)&lt;=VAL_SERIAL)*1000000+31*1000+24))</f>
        <v/>
      </c>
      <c r="FC42" s="39">
        <f>IF(N('Dvd Calendar'!$AC$341)=0,"",IF(('Dvd Calendar'!$AC$341&gt;=GRID_FROM)*('Dvd Calendar'!$AC$341&lt;=GRID_TO)*((('Dvd Calendar'!$AC$341&lt;=VAL_DATE)+(COUNTIF('Dvd Calendar'!$E$348:$AR$348,'Dvd Calendar'!$AC$341)=0))&gt;0)=0,"",'Dvd Calendar'!$AC$341*1000000000+ISNUMBER('Dvd Calendar'!$AC$344)*100000000+('Dvd Calendar'!$AC$346=SPECIAL_LBL)*10000000+(N('Dvd Calendar'!$AC$340)&gt;0)*(N('Dvd Calendar'!$AC$340)&lt;=VAL_SERIAL)*1000000+31*1000+25))</f>
        <v/>
      </c>
      <c r="FD42" s="39">
        <f>IF(N('Dvd Calendar'!$AD$341)=0,"",IF(('Dvd Calendar'!$AD$341&gt;=GRID_FROM)*('Dvd Calendar'!$AD$341&lt;=GRID_TO)*((('Dvd Calendar'!$AD$341&lt;=VAL_DATE)+(COUNTIF('Dvd Calendar'!$E$348:$AR$348,'Dvd Calendar'!$AD$341)=0))&gt;0)=0,"",'Dvd Calendar'!$AD$341*1000000000+ISNUMBER('Dvd Calendar'!$AD$344)*100000000+('Dvd Calendar'!$AD$346=SPECIAL_LBL)*10000000+(N('Dvd Calendar'!$AD$340)&gt;0)*(N('Dvd Calendar'!$AD$340)&lt;=VAL_SERIAL)*1000000+31*1000+26))</f>
        <v/>
      </c>
      <c r="FE42" s="39">
        <f>IF(N('Dvd Calendar'!$AE$341)=0,"",IF(('Dvd Calendar'!$AE$341&gt;=GRID_FROM)*('Dvd Calendar'!$AE$341&lt;=GRID_TO)*((('Dvd Calendar'!$AE$341&lt;=VAL_DATE)+(COUNTIF('Dvd Calendar'!$E$348:$AR$348,'Dvd Calendar'!$AE$341)=0))&gt;0)=0,"",'Dvd Calendar'!$AE$341*1000000000+ISNUMBER('Dvd Calendar'!$AE$344)*100000000+('Dvd Calendar'!$AE$346=SPECIAL_LBL)*10000000+(N('Dvd Calendar'!$AE$340)&gt;0)*(N('Dvd Calendar'!$AE$340)&lt;=VAL_SERIAL)*1000000+31*1000+27))</f>
        <v/>
      </c>
      <c r="FF42" s="39">
        <f>IF(N('Dvd Calendar'!$AF$341)=0,"",IF(('Dvd Calendar'!$AF$341&gt;=GRID_FROM)*('Dvd Calendar'!$AF$341&lt;=GRID_TO)*((('Dvd Calendar'!$AF$341&lt;=VAL_DATE)+(COUNTIF('Dvd Calendar'!$E$348:$AR$348,'Dvd Calendar'!$AF$341)=0))&gt;0)=0,"",'Dvd Calendar'!$AF$341*1000000000+ISNUMBER('Dvd Calendar'!$AF$344)*100000000+('Dvd Calendar'!$AF$346=SPECIAL_LBL)*10000000+(N('Dvd Calendar'!$AF$340)&gt;0)*(N('Dvd Calendar'!$AF$340)&lt;=VAL_SERIAL)*1000000+31*1000+28))</f>
        <v/>
      </c>
      <c r="FG42" s="39">
        <f>IF(N('Dvd Calendar'!$AG$341)=0,"",IF(('Dvd Calendar'!$AG$341&gt;=GRID_FROM)*('Dvd Calendar'!$AG$341&lt;=GRID_TO)*((('Dvd Calendar'!$AG$341&lt;=VAL_DATE)+(COUNTIF('Dvd Calendar'!$E$348:$AR$348,'Dvd Calendar'!$AG$341)=0))&gt;0)=0,"",'Dvd Calendar'!$AG$341*1000000000+ISNUMBER('Dvd Calendar'!$AG$344)*100000000+('Dvd Calendar'!$AG$346=SPECIAL_LBL)*10000000+(N('Dvd Calendar'!$AG$340)&gt;0)*(N('Dvd Calendar'!$AG$340)&lt;=VAL_SERIAL)*1000000+31*1000+29))</f>
        <v/>
      </c>
      <c r="FH42" s="39">
        <f>IF(N('Dvd Calendar'!$AH$341)=0,"",IF(('Dvd Calendar'!$AH$341&gt;=GRID_FROM)*('Dvd Calendar'!$AH$341&lt;=GRID_TO)*((('Dvd Calendar'!$AH$341&lt;=VAL_DATE)+(COUNTIF('Dvd Calendar'!$E$348:$AR$348,'Dvd Calendar'!$AH$341)=0))&gt;0)=0,"",'Dvd Calendar'!$AH$341*1000000000+ISNUMBER('Dvd Calendar'!$AH$344)*100000000+('Dvd Calendar'!$AH$346=SPECIAL_LBL)*10000000+(N('Dvd Calendar'!$AH$340)&gt;0)*(N('Dvd Calendar'!$AH$340)&lt;=VAL_SERIAL)*1000000+31*1000+30))</f>
        <v/>
      </c>
      <c r="FI42" s="39">
        <f>IF(N('Dvd Calendar'!$AI$341)=0,"",IF(('Dvd Calendar'!$AI$341&gt;=GRID_FROM)*('Dvd Calendar'!$AI$341&lt;=GRID_TO)*((('Dvd Calendar'!$AI$341&lt;=VAL_DATE)+(COUNTIF('Dvd Calendar'!$E$348:$AR$348,'Dvd Calendar'!$AI$341)=0))&gt;0)=0,"",'Dvd Calendar'!$AI$341*1000000000+ISNUMBER('Dvd Calendar'!$AI$344)*100000000+('Dvd Calendar'!$AI$346=SPECIAL_LBL)*10000000+(N('Dvd Calendar'!$AI$340)&gt;0)*(N('Dvd Calendar'!$AI$340)&lt;=VAL_SERIAL)*1000000+31*1000+31))</f>
        <v/>
      </c>
      <c r="FJ42" s="39">
        <f>IF(N('Dvd Calendar'!$AJ$341)=0,"",IF(('Dvd Calendar'!$AJ$341&gt;=GRID_FROM)*('Dvd Calendar'!$AJ$341&lt;=GRID_TO)*((('Dvd Calendar'!$AJ$341&lt;=VAL_DATE)+(COUNTIF('Dvd Calendar'!$E$348:$AR$348,'Dvd Calendar'!$AJ$341)=0))&gt;0)=0,"",'Dvd Calendar'!$AJ$341*1000000000+ISNUMBER('Dvd Calendar'!$AJ$344)*100000000+('Dvd Calendar'!$AJ$346=SPECIAL_LBL)*10000000+(N('Dvd Calendar'!$AJ$340)&gt;0)*(N('Dvd Calendar'!$AJ$340)&lt;=VAL_SERIAL)*1000000+31*1000+32))</f>
        <v/>
      </c>
      <c r="FK42" s="39">
        <f>IF(N('Dvd Calendar'!$AK$341)=0,"",IF(('Dvd Calendar'!$AK$341&gt;=GRID_FROM)*('Dvd Calendar'!$AK$341&lt;=GRID_TO)*((('Dvd Calendar'!$AK$341&lt;=VAL_DATE)+(COUNTIF('Dvd Calendar'!$E$348:$AR$348,'Dvd Calendar'!$AK$341)=0))&gt;0)=0,"",'Dvd Calendar'!$AK$341*1000000000+ISNUMBER('Dvd Calendar'!$AK$344)*100000000+('Dvd Calendar'!$AK$346=SPECIAL_LBL)*10000000+(N('Dvd Calendar'!$AK$340)&gt;0)*(N('Dvd Calendar'!$AK$340)&lt;=VAL_SERIAL)*1000000+31*1000+33))</f>
        <v/>
      </c>
      <c r="FL42" s="39">
        <f>IF(N('Dvd Calendar'!$AL$341)=0,"",IF(('Dvd Calendar'!$AL$341&gt;=GRID_FROM)*('Dvd Calendar'!$AL$341&lt;=GRID_TO)*((('Dvd Calendar'!$AL$341&lt;=VAL_DATE)+(COUNTIF('Dvd Calendar'!$E$348:$AR$348,'Dvd Calendar'!$AL$341)=0))&gt;0)=0,"",'Dvd Calendar'!$AL$341*1000000000+ISNUMBER('Dvd Calendar'!$AL$344)*100000000+('Dvd Calendar'!$AL$346=SPECIAL_LBL)*10000000+(N('Dvd Calendar'!$AL$340)&gt;0)*(N('Dvd Calendar'!$AL$340)&lt;=VAL_SERIAL)*1000000+31*1000+34))</f>
        <v/>
      </c>
      <c r="FM42" s="39">
        <f>IF(N('Dvd Calendar'!$AM$341)=0,"",IF(('Dvd Calendar'!$AM$341&gt;=GRID_FROM)*('Dvd Calendar'!$AM$341&lt;=GRID_TO)*((('Dvd Calendar'!$AM$341&lt;=VAL_DATE)+(COUNTIF('Dvd Calendar'!$E$348:$AR$348,'Dvd Calendar'!$AM$341)=0))&gt;0)=0,"",'Dvd Calendar'!$AM$341*1000000000+ISNUMBER('Dvd Calendar'!$AM$344)*100000000+('Dvd Calendar'!$AM$346=SPECIAL_LBL)*10000000+(N('Dvd Calendar'!$AM$340)&gt;0)*(N('Dvd Calendar'!$AM$340)&lt;=VAL_SERIAL)*1000000+31*1000+35))</f>
        <v/>
      </c>
      <c r="FN42" s="39">
        <f>IF(N('Dvd Calendar'!$AN$341)=0,"",IF(('Dvd Calendar'!$AN$341&gt;=GRID_FROM)*('Dvd Calendar'!$AN$341&lt;=GRID_TO)*((('Dvd Calendar'!$AN$341&lt;=VAL_DATE)+(COUNTIF('Dvd Calendar'!$E$348:$AR$348,'Dvd Calendar'!$AN$341)=0))&gt;0)=0,"",'Dvd Calendar'!$AN$341*1000000000+ISNUMBER('Dvd Calendar'!$AN$344)*100000000+('Dvd Calendar'!$AN$346=SPECIAL_LBL)*10000000+(N('Dvd Calendar'!$AN$340)&gt;0)*(N('Dvd Calendar'!$AN$340)&lt;=VAL_SERIAL)*1000000+31*1000+36))</f>
        <v/>
      </c>
      <c r="FO42" s="39">
        <f>IF(N('Dvd Calendar'!$AO$341)=0,"",IF(('Dvd Calendar'!$AO$341&gt;=GRID_FROM)*('Dvd Calendar'!$AO$341&lt;=GRID_TO)*((('Dvd Calendar'!$AO$341&lt;=VAL_DATE)+(COUNTIF('Dvd Calendar'!$E$348:$AR$348,'Dvd Calendar'!$AO$341)=0))&gt;0)=0,"",'Dvd Calendar'!$AO$341*1000000000+ISNUMBER('Dvd Calendar'!$AO$344)*100000000+('Dvd Calendar'!$AO$346=SPECIAL_LBL)*10000000+(N('Dvd Calendar'!$AO$340)&gt;0)*(N('Dvd Calendar'!$AO$340)&lt;=VAL_SERIAL)*1000000+31*1000+37))</f>
        <v/>
      </c>
      <c r="FP42" s="39">
        <f>IF(N('Dvd Calendar'!$AP$341)=0,"",IF(('Dvd Calendar'!$AP$341&gt;=GRID_FROM)*('Dvd Calendar'!$AP$341&lt;=GRID_TO)*((('Dvd Calendar'!$AP$341&lt;=VAL_DATE)+(COUNTIF('Dvd Calendar'!$E$348:$AR$348,'Dvd Calendar'!$AP$341)=0))&gt;0)=0,"",'Dvd Calendar'!$AP$341*1000000000+ISNUMBER('Dvd Calendar'!$AP$344)*100000000+('Dvd Calendar'!$AP$346=SPECIAL_LBL)*10000000+(N('Dvd Calendar'!$AP$340)&gt;0)*(N('Dvd Calendar'!$AP$340)&lt;=VAL_SERIAL)*1000000+31*1000+38))</f>
        <v/>
      </c>
      <c r="FQ42" s="39">
        <f>IF(N('Dvd Calendar'!$AQ$341)=0,"",IF(('Dvd Calendar'!$AQ$341&gt;=GRID_FROM)*('Dvd Calendar'!$AQ$341&lt;=GRID_TO)*((('Dvd Calendar'!$AQ$341&lt;=VAL_DATE)+(COUNTIF('Dvd Calendar'!$E$348:$AR$348,'Dvd Calendar'!$AQ$341)=0))&gt;0)=0,"",'Dvd Calendar'!$AQ$341*1000000000+ISNUMBER('Dvd Calendar'!$AQ$344)*100000000+('Dvd Calendar'!$AQ$346=SPECIAL_LBL)*10000000+(N('Dvd Calendar'!$AQ$340)&gt;0)*(N('Dvd Calendar'!$AQ$340)&lt;=VAL_SERIAL)*1000000+31*1000+39))</f>
        <v/>
      </c>
      <c r="FR42" s="39">
        <f>IF(N('Dvd Calendar'!$AR$341)=0,"",IF(('Dvd Calendar'!$AR$341&gt;=GRID_FROM)*('Dvd Calendar'!$AR$341&lt;=GRID_TO)*((('Dvd Calendar'!$AR$341&lt;=VAL_DATE)+(COUNTIF('Dvd Calendar'!$E$348:$AR$348,'Dvd Calendar'!$AR$341)=0))&gt;0)=0,"",'Dvd Calendar'!$AR$341*1000000000+ISNUMBER('Dvd Calendar'!$AR$344)*100000000+('Dvd Calendar'!$AR$346=SPECIAL_LBL)*10000000+(N('Dvd Calendar'!$AR$340)&gt;0)*(N('Dvd Calendar'!$AR$340)&lt;=VAL_SERIAL)*1000000+31*1000+40))</f>
        <v/>
      </c>
      <c r="FS42" s="39">
        <f>IF(N('Dvd Calendar'!$E$348)=0,"",IF(('Dvd Calendar'!$E$348&gt;=GRID_FROM)*('Dvd Calendar'!$E$348&lt;=GRID_TO)*('Dvd Calendar'!$E$348&gt;VAL_DATE)=0,"",'Dvd Calendar'!$E$348*1000000000+ISNUMBER('Dvd Calendar'!$E$349)*100000000+0*10000000+(N('Dvd Calendar'!$E$347)&gt;0)*(N('Dvd Calendar'!$E$347)&lt;=VAL_SERIAL)*1000000+31*1000+41))</f>
        <v/>
      </c>
      <c r="FT42" s="39">
        <f>IF(N('Dvd Calendar'!$F$348)=0,"",IF(('Dvd Calendar'!$F$348&gt;=GRID_FROM)*('Dvd Calendar'!$F$348&lt;=GRID_TO)*('Dvd Calendar'!$F$348&gt;VAL_DATE)=0,"",'Dvd Calendar'!$F$348*1000000000+ISNUMBER('Dvd Calendar'!$F$349)*100000000+0*10000000+(N('Dvd Calendar'!$F$347)&gt;0)*(N('Dvd Calendar'!$F$347)&lt;=VAL_SERIAL)*1000000+31*1000+42))</f>
        <v/>
      </c>
      <c r="FU42" s="39">
        <f>IF(N('Dvd Calendar'!$G$348)=0,"",IF(('Dvd Calendar'!$G$348&gt;=GRID_FROM)*('Dvd Calendar'!$G$348&lt;=GRID_TO)*('Dvd Calendar'!$G$348&gt;VAL_DATE)=0,"",'Dvd Calendar'!$G$348*1000000000+ISNUMBER('Dvd Calendar'!$G$349)*100000000+0*10000000+(N('Dvd Calendar'!$G$347)&gt;0)*(N('Dvd Calendar'!$G$347)&lt;=VAL_SERIAL)*1000000+31*1000+43))</f>
        <v/>
      </c>
      <c r="FV42" s="39">
        <f>IF(N('Dvd Calendar'!$H$348)=0,"",IF(('Dvd Calendar'!$H$348&gt;=GRID_FROM)*('Dvd Calendar'!$H$348&lt;=GRID_TO)*('Dvd Calendar'!$H$348&gt;VAL_DATE)=0,"",'Dvd Calendar'!$H$348*1000000000+ISNUMBER('Dvd Calendar'!$H$349)*100000000+0*10000000+(N('Dvd Calendar'!$H$347)&gt;0)*(N('Dvd Calendar'!$H$347)&lt;=VAL_SERIAL)*1000000+31*1000+44))</f>
        <v/>
      </c>
      <c r="FW42" s="39">
        <f>IF(N('Dvd Calendar'!$I$348)=0,"",IF(('Dvd Calendar'!$I$348&gt;=GRID_FROM)*('Dvd Calendar'!$I$348&lt;=GRID_TO)*('Dvd Calendar'!$I$348&gt;VAL_DATE)=0,"",'Dvd Calendar'!$I$348*1000000000+ISNUMBER('Dvd Calendar'!$I$349)*100000000+0*10000000+(N('Dvd Calendar'!$I$347)&gt;0)*(N('Dvd Calendar'!$I$347)&lt;=VAL_SERIAL)*1000000+31*1000+45))</f>
        <v/>
      </c>
      <c r="FX42" s="39">
        <f>IF(N('Dvd Calendar'!$J$348)=0,"",IF(('Dvd Calendar'!$J$348&gt;=GRID_FROM)*('Dvd Calendar'!$J$348&lt;=GRID_TO)*('Dvd Calendar'!$J$348&gt;VAL_DATE)=0,"",'Dvd Calendar'!$J$348*1000000000+ISNUMBER('Dvd Calendar'!$J$349)*100000000+0*10000000+(N('Dvd Calendar'!$J$347)&gt;0)*(N('Dvd Calendar'!$J$347)&lt;=VAL_SERIAL)*1000000+31*1000+46))</f>
        <v/>
      </c>
      <c r="FY42" s="39">
        <f>IF(N('Dvd Calendar'!$K$348)=0,"",IF(('Dvd Calendar'!$K$348&gt;=GRID_FROM)*('Dvd Calendar'!$K$348&lt;=GRID_TO)*('Dvd Calendar'!$K$348&gt;VAL_DATE)=0,"",'Dvd Calendar'!$K$348*1000000000+ISNUMBER('Dvd Calendar'!$K$349)*100000000+0*10000000+(N('Dvd Calendar'!$K$347)&gt;0)*(N('Dvd Calendar'!$K$347)&lt;=VAL_SERIAL)*1000000+31*1000+47))</f>
        <v/>
      </c>
      <c r="FZ42" s="39">
        <f>IF(N('Dvd Calendar'!$L$348)=0,"",IF(('Dvd Calendar'!$L$348&gt;=GRID_FROM)*('Dvd Calendar'!$L$348&lt;=GRID_TO)*('Dvd Calendar'!$L$348&gt;VAL_DATE)=0,"",'Dvd Calendar'!$L$348*1000000000+ISNUMBER('Dvd Calendar'!$L$349)*100000000+0*10000000+(N('Dvd Calendar'!$L$347)&gt;0)*(N('Dvd Calendar'!$L$347)&lt;=VAL_SERIAL)*1000000+31*1000+48))</f>
        <v/>
      </c>
      <c r="GA42" s="39">
        <f>IF(N('Dvd Calendar'!$M$348)=0,"",IF(('Dvd Calendar'!$M$348&gt;=GRID_FROM)*('Dvd Calendar'!$M$348&lt;=GRID_TO)*('Dvd Calendar'!$M$348&gt;VAL_DATE)=0,"",'Dvd Calendar'!$M$348*1000000000+ISNUMBER('Dvd Calendar'!$M$349)*100000000+0*10000000+(N('Dvd Calendar'!$M$347)&gt;0)*(N('Dvd Calendar'!$M$347)&lt;=VAL_SERIAL)*1000000+31*1000+49))</f>
        <v/>
      </c>
      <c r="GB42" s="39">
        <f>IF(N('Dvd Calendar'!$N$348)=0,"",IF(('Dvd Calendar'!$N$348&gt;=GRID_FROM)*('Dvd Calendar'!$N$348&lt;=GRID_TO)*('Dvd Calendar'!$N$348&gt;VAL_DATE)=0,"",'Dvd Calendar'!$N$348*1000000000+ISNUMBER('Dvd Calendar'!$N$349)*100000000+0*10000000+(N('Dvd Calendar'!$N$347)&gt;0)*(N('Dvd Calendar'!$N$347)&lt;=VAL_SERIAL)*1000000+31*1000+50))</f>
        <v/>
      </c>
      <c r="GC42" s="39">
        <f>IF(N('Dvd Calendar'!$O$348)=0,"",IF(('Dvd Calendar'!$O$348&gt;=GRID_FROM)*('Dvd Calendar'!$O$348&lt;=GRID_TO)*('Dvd Calendar'!$O$348&gt;VAL_DATE)=0,"",'Dvd Calendar'!$O$348*1000000000+ISNUMBER('Dvd Calendar'!$O$349)*100000000+0*10000000+(N('Dvd Calendar'!$O$347)&gt;0)*(N('Dvd Calendar'!$O$347)&lt;=VAL_SERIAL)*1000000+31*1000+51))</f>
        <v/>
      </c>
      <c r="GD42" s="39">
        <f>IF(N('Dvd Calendar'!$P$348)=0,"",IF(('Dvd Calendar'!$P$348&gt;=GRID_FROM)*('Dvd Calendar'!$P$348&lt;=GRID_TO)*('Dvd Calendar'!$P$348&gt;VAL_DATE)=0,"",'Dvd Calendar'!$P$348*1000000000+ISNUMBER('Dvd Calendar'!$P$349)*100000000+0*10000000+(N('Dvd Calendar'!$P$347)&gt;0)*(N('Dvd Calendar'!$P$347)&lt;=VAL_SERIAL)*1000000+31*1000+52))</f>
        <v/>
      </c>
      <c r="GE42" s="39">
        <f>IF(N('Dvd Calendar'!$Q$348)=0,"",IF(('Dvd Calendar'!$Q$348&gt;=GRID_FROM)*('Dvd Calendar'!$Q$348&lt;=GRID_TO)*('Dvd Calendar'!$Q$348&gt;VAL_DATE)=0,"",'Dvd Calendar'!$Q$348*1000000000+ISNUMBER('Dvd Calendar'!$Q$349)*100000000+0*10000000+(N('Dvd Calendar'!$Q$347)&gt;0)*(N('Dvd Calendar'!$Q$347)&lt;=VAL_SERIAL)*1000000+31*1000+53))</f>
        <v/>
      </c>
      <c r="GF42" s="39">
        <f>IF(N('Dvd Calendar'!$R$348)=0,"",IF(('Dvd Calendar'!$R$348&gt;=GRID_FROM)*('Dvd Calendar'!$R$348&lt;=GRID_TO)*('Dvd Calendar'!$R$348&gt;VAL_DATE)=0,"",'Dvd Calendar'!$R$348*1000000000+ISNUMBER('Dvd Calendar'!$R$349)*100000000+0*10000000+(N('Dvd Calendar'!$R$347)&gt;0)*(N('Dvd Calendar'!$R$347)&lt;=VAL_SERIAL)*1000000+31*1000+54))</f>
        <v/>
      </c>
      <c r="GG42" s="39">
        <f>IF(N('Dvd Calendar'!$S$348)=0,"",IF(('Dvd Calendar'!$S$348&gt;=GRID_FROM)*('Dvd Calendar'!$S$348&lt;=GRID_TO)*('Dvd Calendar'!$S$348&gt;VAL_DATE)=0,"",'Dvd Calendar'!$S$348*1000000000+ISNUMBER('Dvd Calendar'!$S$349)*100000000+0*10000000+(N('Dvd Calendar'!$S$347)&gt;0)*(N('Dvd Calendar'!$S$347)&lt;=VAL_SERIAL)*1000000+31*1000+55))</f>
        <v/>
      </c>
      <c r="GH42" s="39">
        <f>IF(N('Dvd Calendar'!$T$348)=0,"",IF(('Dvd Calendar'!$T$348&gt;=GRID_FROM)*('Dvd Calendar'!$T$348&lt;=GRID_TO)*('Dvd Calendar'!$T$348&gt;VAL_DATE)=0,"",'Dvd Calendar'!$T$348*1000000000+ISNUMBER('Dvd Calendar'!$T$349)*100000000+0*10000000+(N('Dvd Calendar'!$T$347)&gt;0)*(N('Dvd Calendar'!$T$347)&lt;=VAL_SERIAL)*1000000+31*1000+56))</f>
        <v/>
      </c>
      <c r="GI42" s="39">
        <f>IF(N('Dvd Calendar'!$U$348)=0,"",IF(('Dvd Calendar'!$U$348&gt;=GRID_FROM)*('Dvd Calendar'!$U$348&lt;=GRID_TO)*('Dvd Calendar'!$U$348&gt;VAL_DATE)=0,"",'Dvd Calendar'!$U$348*1000000000+ISNUMBER('Dvd Calendar'!$U$349)*100000000+0*10000000+(N('Dvd Calendar'!$U$347)&gt;0)*(N('Dvd Calendar'!$U$347)&lt;=VAL_SERIAL)*1000000+31*1000+57))</f>
        <v/>
      </c>
      <c r="GJ42" s="39">
        <f>IF(N('Dvd Calendar'!$V$348)=0,"",IF(('Dvd Calendar'!$V$348&gt;=GRID_FROM)*('Dvd Calendar'!$V$348&lt;=GRID_TO)*('Dvd Calendar'!$V$348&gt;VAL_DATE)=0,"",'Dvd Calendar'!$V$348*1000000000+ISNUMBER('Dvd Calendar'!$V$349)*100000000+0*10000000+(N('Dvd Calendar'!$V$347)&gt;0)*(N('Dvd Calendar'!$V$347)&lt;=VAL_SERIAL)*1000000+31*1000+58))</f>
        <v/>
      </c>
      <c r="GK42" s="39">
        <f>IF(N('Dvd Calendar'!$W$348)=0,"",IF(('Dvd Calendar'!$W$348&gt;=GRID_FROM)*('Dvd Calendar'!$W$348&lt;=GRID_TO)*('Dvd Calendar'!$W$348&gt;VAL_DATE)=0,"",'Dvd Calendar'!$W$348*1000000000+ISNUMBER('Dvd Calendar'!$W$349)*100000000+0*10000000+(N('Dvd Calendar'!$W$347)&gt;0)*(N('Dvd Calendar'!$W$347)&lt;=VAL_SERIAL)*1000000+31*1000+59))</f>
        <v/>
      </c>
      <c r="GL42" s="39">
        <f>IF(N('Dvd Calendar'!$X$348)=0,"",IF(('Dvd Calendar'!$X$348&gt;=GRID_FROM)*('Dvd Calendar'!$X$348&lt;=GRID_TO)*('Dvd Calendar'!$X$348&gt;VAL_DATE)=0,"",'Dvd Calendar'!$X$348*1000000000+ISNUMBER('Dvd Calendar'!$X$349)*100000000+0*10000000+(N('Dvd Calendar'!$X$347)&gt;0)*(N('Dvd Calendar'!$X$347)&lt;=VAL_SERIAL)*1000000+31*1000+60))</f>
        <v/>
      </c>
      <c r="GM42" s="39">
        <f>IF(N('Dvd Calendar'!$Y$348)=0,"",IF(('Dvd Calendar'!$Y$348&gt;=GRID_FROM)*('Dvd Calendar'!$Y$348&lt;=GRID_TO)*('Dvd Calendar'!$Y$348&gt;VAL_DATE)=0,"",'Dvd Calendar'!$Y$348*1000000000+ISNUMBER('Dvd Calendar'!$Y$349)*100000000+0*10000000+(N('Dvd Calendar'!$Y$347)&gt;0)*(N('Dvd Calendar'!$Y$347)&lt;=VAL_SERIAL)*1000000+31*1000+61))</f>
        <v/>
      </c>
      <c r="GN42" s="39">
        <f>IF(N('Dvd Calendar'!$Z$348)=0,"",IF(('Dvd Calendar'!$Z$348&gt;=GRID_FROM)*('Dvd Calendar'!$Z$348&lt;=GRID_TO)*('Dvd Calendar'!$Z$348&gt;VAL_DATE)=0,"",'Dvd Calendar'!$Z$348*1000000000+ISNUMBER('Dvd Calendar'!$Z$349)*100000000+0*10000000+(N('Dvd Calendar'!$Z$347)&gt;0)*(N('Dvd Calendar'!$Z$347)&lt;=VAL_SERIAL)*1000000+31*1000+62))</f>
        <v/>
      </c>
      <c r="GO42" s="39">
        <f>IF(N('Dvd Calendar'!$AA$348)=0,"",IF(('Dvd Calendar'!$AA$348&gt;=GRID_FROM)*('Dvd Calendar'!$AA$348&lt;=GRID_TO)*('Dvd Calendar'!$AA$348&gt;VAL_DATE)=0,"",'Dvd Calendar'!$AA$348*1000000000+ISNUMBER('Dvd Calendar'!$AA$349)*100000000+0*10000000+(N('Dvd Calendar'!$AA$347)&gt;0)*(N('Dvd Calendar'!$AA$347)&lt;=VAL_SERIAL)*1000000+31*1000+63))</f>
        <v/>
      </c>
      <c r="GP42" s="39">
        <f>IF(N('Dvd Calendar'!$AB$348)=0,"",IF(('Dvd Calendar'!$AB$348&gt;=GRID_FROM)*('Dvd Calendar'!$AB$348&lt;=GRID_TO)*('Dvd Calendar'!$AB$348&gt;VAL_DATE)=0,"",'Dvd Calendar'!$AB$348*1000000000+ISNUMBER('Dvd Calendar'!$AB$349)*100000000+0*10000000+(N('Dvd Calendar'!$AB$347)&gt;0)*(N('Dvd Calendar'!$AB$347)&lt;=VAL_SERIAL)*1000000+31*1000+64))</f>
        <v/>
      </c>
      <c r="GQ42" s="39">
        <f>IF(N('Dvd Calendar'!$AC$348)=0,"",IF(('Dvd Calendar'!$AC$348&gt;=GRID_FROM)*('Dvd Calendar'!$AC$348&lt;=GRID_TO)*('Dvd Calendar'!$AC$348&gt;VAL_DATE)=0,"",'Dvd Calendar'!$AC$348*1000000000+ISNUMBER('Dvd Calendar'!$AC$349)*100000000+0*10000000+(N('Dvd Calendar'!$AC$347)&gt;0)*(N('Dvd Calendar'!$AC$347)&lt;=VAL_SERIAL)*1000000+31*1000+65))</f>
        <v/>
      </c>
    </row>
    <row r="43">
      <c r="B43" s="2">
        <f>IF(HSI!$C$38="","",HSI!$C$38)</f>
        <v/>
      </c>
      <c r="C43" s="110">
        <f>IF(EE43="","",IF(ISNUMBER('Dvd Calendar'!$E$355)=FALSE,"",IF((('Dvd Calendar'!$E$357=TYPE1)*(TYPE1&lt;&gt;"")+('Dvd Calendar'!$E$357=TYPE2)*(TYPE2&lt;&gt;"")+('Dvd Calendar'!$E$357=TYPE3)*(TYPE3&lt;&gt;"")+('Dvd Calendar'!$E$357=TYPE4)*(TYPE4&lt;&gt;"")+('Dvd Calendar'!$E$357=SPECIAL_LBL)*(INC_SPECIALS="Y"))=0,"",'Dvd Calendar'!$E$355)))</f>
        <v/>
      </c>
      <c r="D43" s="110">
        <f>IF(EF43="","",IF(ISNUMBER('Dvd Calendar'!$F$355)=FALSE,"",IF((('Dvd Calendar'!$F$357=TYPE1)*(TYPE1&lt;&gt;"")+('Dvd Calendar'!$F$357=TYPE2)*(TYPE2&lt;&gt;"")+('Dvd Calendar'!$F$357=TYPE3)*(TYPE3&lt;&gt;"")+('Dvd Calendar'!$F$357=TYPE4)*(TYPE4&lt;&gt;"")+('Dvd Calendar'!$F$357=SPECIAL_LBL)*(INC_SPECIALS="Y"))=0,"",'Dvd Calendar'!$F$355)))</f>
        <v/>
      </c>
      <c r="E43" s="110">
        <f>IF(EG43="","",IF(ISNUMBER('Dvd Calendar'!$G$355)=FALSE,"",IF((('Dvd Calendar'!$G$357=TYPE1)*(TYPE1&lt;&gt;"")+('Dvd Calendar'!$G$357=TYPE2)*(TYPE2&lt;&gt;"")+('Dvd Calendar'!$G$357=TYPE3)*(TYPE3&lt;&gt;"")+('Dvd Calendar'!$G$357=TYPE4)*(TYPE4&lt;&gt;"")+('Dvd Calendar'!$G$357=SPECIAL_LBL)*(INC_SPECIALS="Y"))=0,"",'Dvd Calendar'!$G$355)))</f>
        <v/>
      </c>
      <c r="F43" s="110">
        <f>IF(EH43="","",IF(ISNUMBER('Dvd Calendar'!$H$355)=FALSE,"",IF((('Dvd Calendar'!$H$357=TYPE1)*(TYPE1&lt;&gt;"")+('Dvd Calendar'!$H$357=TYPE2)*(TYPE2&lt;&gt;"")+('Dvd Calendar'!$H$357=TYPE3)*(TYPE3&lt;&gt;"")+('Dvd Calendar'!$H$357=TYPE4)*(TYPE4&lt;&gt;"")+('Dvd Calendar'!$H$357=SPECIAL_LBL)*(INC_SPECIALS="Y"))=0,"",'Dvd Calendar'!$H$355)))</f>
        <v/>
      </c>
      <c r="G43" s="110">
        <f>IF(EI43="","",IF(ISNUMBER('Dvd Calendar'!$I$355)=FALSE,"",IF((('Dvd Calendar'!$I$357=TYPE1)*(TYPE1&lt;&gt;"")+('Dvd Calendar'!$I$357=TYPE2)*(TYPE2&lt;&gt;"")+('Dvd Calendar'!$I$357=TYPE3)*(TYPE3&lt;&gt;"")+('Dvd Calendar'!$I$357=TYPE4)*(TYPE4&lt;&gt;"")+('Dvd Calendar'!$I$357=SPECIAL_LBL)*(INC_SPECIALS="Y"))=0,"",'Dvd Calendar'!$I$355)))</f>
        <v/>
      </c>
      <c r="H43" s="110">
        <f>IF(EJ43="","",IF(ISNUMBER('Dvd Calendar'!$J$355)=FALSE,"",IF((('Dvd Calendar'!$J$357=TYPE1)*(TYPE1&lt;&gt;"")+('Dvd Calendar'!$J$357=TYPE2)*(TYPE2&lt;&gt;"")+('Dvd Calendar'!$J$357=TYPE3)*(TYPE3&lt;&gt;"")+('Dvd Calendar'!$J$357=TYPE4)*(TYPE4&lt;&gt;"")+('Dvd Calendar'!$J$357=SPECIAL_LBL)*(INC_SPECIALS="Y"))=0,"",'Dvd Calendar'!$J$355)))</f>
        <v/>
      </c>
      <c r="I43" s="110">
        <f>IF(EK43="","",IF(ISNUMBER('Dvd Calendar'!$K$355)=FALSE,"",IF((('Dvd Calendar'!$K$357=TYPE1)*(TYPE1&lt;&gt;"")+('Dvd Calendar'!$K$357=TYPE2)*(TYPE2&lt;&gt;"")+('Dvd Calendar'!$K$357=TYPE3)*(TYPE3&lt;&gt;"")+('Dvd Calendar'!$K$357=TYPE4)*(TYPE4&lt;&gt;"")+('Dvd Calendar'!$K$357=SPECIAL_LBL)*(INC_SPECIALS="Y"))=0,"",'Dvd Calendar'!$K$355)))</f>
        <v/>
      </c>
      <c r="J43" s="110">
        <f>IF(EL43="","",IF(ISNUMBER('Dvd Calendar'!$L$355)=FALSE,"",IF((('Dvd Calendar'!$L$357=TYPE1)*(TYPE1&lt;&gt;"")+('Dvd Calendar'!$L$357=TYPE2)*(TYPE2&lt;&gt;"")+('Dvd Calendar'!$L$357=TYPE3)*(TYPE3&lt;&gt;"")+('Dvd Calendar'!$L$357=TYPE4)*(TYPE4&lt;&gt;"")+('Dvd Calendar'!$L$357=SPECIAL_LBL)*(INC_SPECIALS="Y"))=0,"",'Dvd Calendar'!$L$355)))</f>
        <v/>
      </c>
      <c r="K43" s="110">
        <f>IF(EM43="","",IF(ISNUMBER('Dvd Calendar'!$M$355)=FALSE,"",IF((('Dvd Calendar'!$M$357=TYPE1)*(TYPE1&lt;&gt;"")+('Dvd Calendar'!$M$357=TYPE2)*(TYPE2&lt;&gt;"")+('Dvd Calendar'!$M$357=TYPE3)*(TYPE3&lt;&gt;"")+('Dvd Calendar'!$M$357=TYPE4)*(TYPE4&lt;&gt;"")+('Dvd Calendar'!$M$357=SPECIAL_LBL)*(INC_SPECIALS="Y"))=0,"",'Dvd Calendar'!$M$355)))</f>
        <v/>
      </c>
      <c r="L43" s="110">
        <f>IF(EN43="","",IF(ISNUMBER('Dvd Calendar'!$N$355)=FALSE,"",IF((('Dvd Calendar'!$N$357=TYPE1)*(TYPE1&lt;&gt;"")+('Dvd Calendar'!$N$357=TYPE2)*(TYPE2&lt;&gt;"")+('Dvd Calendar'!$N$357=TYPE3)*(TYPE3&lt;&gt;"")+('Dvd Calendar'!$N$357=TYPE4)*(TYPE4&lt;&gt;"")+('Dvd Calendar'!$N$357=SPECIAL_LBL)*(INC_SPECIALS="Y"))=0,"",'Dvd Calendar'!$N$355)))</f>
        <v/>
      </c>
      <c r="M43" s="110">
        <f>IF(EO43="","",IF(ISNUMBER('Dvd Calendar'!$O$355)=FALSE,"",IF((('Dvd Calendar'!$O$357=TYPE1)*(TYPE1&lt;&gt;"")+('Dvd Calendar'!$O$357=TYPE2)*(TYPE2&lt;&gt;"")+('Dvd Calendar'!$O$357=TYPE3)*(TYPE3&lt;&gt;"")+('Dvd Calendar'!$O$357=TYPE4)*(TYPE4&lt;&gt;"")+('Dvd Calendar'!$O$357=SPECIAL_LBL)*(INC_SPECIALS="Y"))=0,"",'Dvd Calendar'!$O$355)))</f>
        <v/>
      </c>
      <c r="N43" s="110">
        <f>IF(EP43="","",IF(ISNUMBER('Dvd Calendar'!$P$355)=FALSE,"",IF((('Dvd Calendar'!$P$357=TYPE1)*(TYPE1&lt;&gt;"")+('Dvd Calendar'!$P$357=TYPE2)*(TYPE2&lt;&gt;"")+('Dvd Calendar'!$P$357=TYPE3)*(TYPE3&lt;&gt;"")+('Dvd Calendar'!$P$357=TYPE4)*(TYPE4&lt;&gt;"")+('Dvd Calendar'!$P$357=SPECIAL_LBL)*(INC_SPECIALS="Y"))=0,"",'Dvd Calendar'!$P$355)))</f>
        <v/>
      </c>
      <c r="O43" s="110">
        <f>IF(EQ43="","",IF(ISNUMBER('Dvd Calendar'!$Q$355)=FALSE,"",IF((('Dvd Calendar'!$Q$357=TYPE1)*(TYPE1&lt;&gt;"")+('Dvd Calendar'!$Q$357=TYPE2)*(TYPE2&lt;&gt;"")+('Dvd Calendar'!$Q$357=TYPE3)*(TYPE3&lt;&gt;"")+('Dvd Calendar'!$Q$357=TYPE4)*(TYPE4&lt;&gt;"")+('Dvd Calendar'!$Q$357=SPECIAL_LBL)*(INC_SPECIALS="Y"))=0,"",'Dvd Calendar'!$Q$355)))</f>
        <v/>
      </c>
      <c r="P43" s="110">
        <f>IF(ER43="","",IF(ISNUMBER('Dvd Calendar'!$R$355)=FALSE,"",IF((('Dvd Calendar'!$R$357=TYPE1)*(TYPE1&lt;&gt;"")+('Dvd Calendar'!$R$357=TYPE2)*(TYPE2&lt;&gt;"")+('Dvd Calendar'!$R$357=TYPE3)*(TYPE3&lt;&gt;"")+('Dvd Calendar'!$R$357=TYPE4)*(TYPE4&lt;&gt;"")+('Dvd Calendar'!$R$357=SPECIAL_LBL)*(INC_SPECIALS="Y"))=0,"",'Dvd Calendar'!$R$355)))</f>
        <v/>
      </c>
      <c r="Q43" s="110">
        <f>IF(ES43="","",IF(ISNUMBER('Dvd Calendar'!$S$355)=FALSE,"",IF((('Dvd Calendar'!$S$357=TYPE1)*(TYPE1&lt;&gt;"")+('Dvd Calendar'!$S$357=TYPE2)*(TYPE2&lt;&gt;"")+('Dvd Calendar'!$S$357=TYPE3)*(TYPE3&lt;&gt;"")+('Dvd Calendar'!$S$357=TYPE4)*(TYPE4&lt;&gt;"")+('Dvd Calendar'!$S$357=SPECIAL_LBL)*(INC_SPECIALS="Y"))=0,"",'Dvd Calendar'!$S$355)))</f>
        <v/>
      </c>
      <c r="R43" s="110">
        <f>IF(ET43="","",IF(ISNUMBER('Dvd Calendar'!$T$355)=FALSE,"",IF((('Dvd Calendar'!$T$357=TYPE1)*(TYPE1&lt;&gt;"")+('Dvd Calendar'!$T$357=TYPE2)*(TYPE2&lt;&gt;"")+('Dvd Calendar'!$T$357=TYPE3)*(TYPE3&lt;&gt;"")+('Dvd Calendar'!$T$357=TYPE4)*(TYPE4&lt;&gt;"")+('Dvd Calendar'!$T$357=SPECIAL_LBL)*(INC_SPECIALS="Y"))=0,"",'Dvd Calendar'!$T$355)))</f>
        <v/>
      </c>
      <c r="S43" s="110">
        <f>IF(EU43="","",IF(ISNUMBER('Dvd Calendar'!$U$355)=FALSE,"",IF((('Dvd Calendar'!$U$357=TYPE1)*(TYPE1&lt;&gt;"")+('Dvd Calendar'!$U$357=TYPE2)*(TYPE2&lt;&gt;"")+('Dvd Calendar'!$U$357=TYPE3)*(TYPE3&lt;&gt;"")+('Dvd Calendar'!$U$357=TYPE4)*(TYPE4&lt;&gt;"")+('Dvd Calendar'!$U$357=SPECIAL_LBL)*(INC_SPECIALS="Y"))=0,"",'Dvd Calendar'!$U$355)))</f>
        <v/>
      </c>
      <c r="T43" s="110">
        <f>IF(EV43="","",IF(ISNUMBER('Dvd Calendar'!$V$355)=FALSE,"",IF((('Dvd Calendar'!$V$357=TYPE1)*(TYPE1&lt;&gt;"")+('Dvd Calendar'!$V$357=TYPE2)*(TYPE2&lt;&gt;"")+('Dvd Calendar'!$V$357=TYPE3)*(TYPE3&lt;&gt;"")+('Dvd Calendar'!$V$357=TYPE4)*(TYPE4&lt;&gt;"")+('Dvd Calendar'!$V$357=SPECIAL_LBL)*(INC_SPECIALS="Y"))=0,"",'Dvd Calendar'!$V$355)))</f>
        <v/>
      </c>
      <c r="U43" s="110">
        <f>IF(EW43="","",IF(ISNUMBER('Dvd Calendar'!$W$355)=FALSE,"",IF((('Dvd Calendar'!$W$357=TYPE1)*(TYPE1&lt;&gt;"")+('Dvd Calendar'!$W$357=TYPE2)*(TYPE2&lt;&gt;"")+('Dvd Calendar'!$W$357=TYPE3)*(TYPE3&lt;&gt;"")+('Dvd Calendar'!$W$357=TYPE4)*(TYPE4&lt;&gt;"")+('Dvd Calendar'!$W$357=SPECIAL_LBL)*(INC_SPECIALS="Y"))=0,"",'Dvd Calendar'!$W$355)))</f>
        <v/>
      </c>
      <c r="V43" s="110">
        <f>IF(EX43="","",IF(ISNUMBER('Dvd Calendar'!$X$355)=FALSE,"",IF((('Dvd Calendar'!$X$357=TYPE1)*(TYPE1&lt;&gt;"")+('Dvd Calendar'!$X$357=TYPE2)*(TYPE2&lt;&gt;"")+('Dvd Calendar'!$X$357=TYPE3)*(TYPE3&lt;&gt;"")+('Dvd Calendar'!$X$357=TYPE4)*(TYPE4&lt;&gt;"")+('Dvd Calendar'!$X$357=SPECIAL_LBL)*(INC_SPECIALS="Y"))=0,"",'Dvd Calendar'!$X$355)))</f>
        <v/>
      </c>
      <c r="W43" s="110">
        <f>IF(EY43="","",IF(ISNUMBER('Dvd Calendar'!$Y$355)=FALSE,"",IF((('Dvd Calendar'!$Y$357=TYPE1)*(TYPE1&lt;&gt;"")+('Dvd Calendar'!$Y$357=TYPE2)*(TYPE2&lt;&gt;"")+('Dvd Calendar'!$Y$357=TYPE3)*(TYPE3&lt;&gt;"")+('Dvd Calendar'!$Y$357=TYPE4)*(TYPE4&lt;&gt;"")+('Dvd Calendar'!$Y$357=SPECIAL_LBL)*(INC_SPECIALS="Y"))=0,"",'Dvd Calendar'!$Y$355)))</f>
        <v/>
      </c>
      <c r="X43" s="110">
        <f>IF(EZ43="","",IF(ISNUMBER('Dvd Calendar'!$Z$355)=FALSE,"",IF((('Dvd Calendar'!$Z$357=TYPE1)*(TYPE1&lt;&gt;"")+('Dvd Calendar'!$Z$357=TYPE2)*(TYPE2&lt;&gt;"")+('Dvd Calendar'!$Z$357=TYPE3)*(TYPE3&lt;&gt;"")+('Dvd Calendar'!$Z$357=TYPE4)*(TYPE4&lt;&gt;"")+('Dvd Calendar'!$Z$357=SPECIAL_LBL)*(INC_SPECIALS="Y"))=0,"",'Dvd Calendar'!$Z$355)))</f>
        <v/>
      </c>
      <c r="Y43" s="110">
        <f>IF(FA43="","",IF(ISNUMBER('Dvd Calendar'!$AA$355)=FALSE,"",IF((('Dvd Calendar'!$AA$357=TYPE1)*(TYPE1&lt;&gt;"")+('Dvd Calendar'!$AA$357=TYPE2)*(TYPE2&lt;&gt;"")+('Dvd Calendar'!$AA$357=TYPE3)*(TYPE3&lt;&gt;"")+('Dvd Calendar'!$AA$357=TYPE4)*(TYPE4&lt;&gt;"")+('Dvd Calendar'!$AA$357=SPECIAL_LBL)*(INC_SPECIALS="Y"))=0,"",'Dvd Calendar'!$AA$355)))</f>
        <v/>
      </c>
      <c r="Z43" s="110">
        <f>IF(FB43="","",IF(ISNUMBER('Dvd Calendar'!$AB$355)=FALSE,"",IF((('Dvd Calendar'!$AB$357=TYPE1)*(TYPE1&lt;&gt;"")+('Dvd Calendar'!$AB$357=TYPE2)*(TYPE2&lt;&gt;"")+('Dvd Calendar'!$AB$357=TYPE3)*(TYPE3&lt;&gt;"")+('Dvd Calendar'!$AB$357=TYPE4)*(TYPE4&lt;&gt;"")+('Dvd Calendar'!$AB$357=SPECIAL_LBL)*(INC_SPECIALS="Y"))=0,"",'Dvd Calendar'!$AB$355)))</f>
        <v/>
      </c>
      <c r="AA43" s="110">
        <f>IF(FC43="","",IF(ISNUMBER('Dvd Calendar'!$AC$355)=FALSE,"",IF((('Dvd Calendar'!$AC$357=TYPE1)*(TYPE1&lt;&gt;"")+('Dvd Calendar'!$AC$357=TYPE2)*(TYPE2&lt;&gt;"")+('Dvd Calendar'!$AC$357=TYPE3)*(TYPE3&lt;&gt;"")+('Dvd Calendar'!$AC$357=TYPE4)*(TYPE4&lt;&gt;"")+('Dvd Calendar'!$AC$357=SPECIAL_LBL)*(INC_SPECIALS="Y"))=0,"",'Dvd Calendar'!$AC$355)))</f>
        <v/>
      </c>
      <c r="AB43" s="110">
        <f>IF(FD43="","",IF(ISNUMBER('Dvd Calendar'!$AD$355)=FALSE,"",IF((('Dvd Calendar'!$AD$357=TYPE1)*(TYPE1&lt;&gt;"")+('Dvd Calendar'!$AD$357=TYPE2)*(TYPE2&lt;&gt;"")+('Dvd Calendar'!$AD$357=TYPE3)*(TYPE3&lt;&gt;"")+('Dvd Calendar'!$AD$357=TYPE4)*(TYPE4&lt;&gt;"")+('Dvd Calendar'!$AD$357=SPECIAL_LBL)*(INC_SPECIALS="Y"))=0,"",'Dvd Calendar'!$AD$355)))</f>
        <v/>
      </c>
      <c r="AC43" s="110">
        <f>IF(FE43="","",IF(ISNUMBER('Dvd Calendar'!$AE$355)=FALSE,"",IF((('Dvd Calendar'!$AE$357=TYPE1)*(TYPE1&lt;&gt;"")+('Dvd Calendar'!$AE$357=TYPE2)*(TYPE2&lt;&gt;"")+('Dvd Calendar'!$AE$357=TYPE3)*(TYPE3&lt;&gt;"")+('Dvd Calendar'!$AE$357=TYPE4)*(TYPE4&lt;&gt;"")+('Dvd Calendar'!$AE$357=SPECIAL_LBL)*(INC_SPECIALS="Y"))=0,"",'Dvd Calendar'!$AE$355)))</f>
        <v/>
      </c>
      <c r="AD43" s="110">
        <f>IF(FF43="","",IF(ISNUMBER('Dvd Calendar'!$AF$355)=FALSE,"",IF((('Dvd Calendar'!$AF$357=TYPE1)*(TYPE1&lt;&gt;"")+('Dvd Calendar'!$AF$357=TYPE2)*(TYPE2&lt;&gt;"")+('Dvd Calendar'!$AF$357=TYPE3)*(TYPE3&lt;&gt;"")+('Dvd Calendar'!$AF$357=TYPE4)*(TYPE4&lt;&gt;"")+('Dvd Calendar'!$AF$357=SPECIAL_LBL)*(INC_SPECIALS="Y"))=0,"",'Dvd Calendar'!$AF$355)))</f>
        <v/>
      </c>
      <c r="AE43" s="110">
        <f>IF(FG43="","",IF(ISNUMBER('Dvd Calendar'!$AG$355)=FALSE,"",IF((('Dvd Calendar'!$AG$357=TYPE1)*(TYPE1&lt;&gt;"")+('Dvd Calendar'!$AG$357=TYPE2)*(TYPE2&lt;&gt;"")+('Dvd Calendar'!$AG$357=TYPE3)*(TYPE3&lt;&gt;"")+('Dvd Calendar'!$AG$357=TYPE4)*(TYPE4&lt;&gt;"")+('Dvd Calendar'!$AG$357=SPECIAL_LBL)*(INC_SPECIALS="Y"))=0,"",'Dvd Calendar'!$AG$355)))</f>
        <v/>
      </c>
      <c r="AF43" s="110">
        <f>IF(FH43="","",IF(ISNUMBER('Dvd Calendar'!$AH$355)=FALSE,"",IF((('Dvd Calendar'!$AH$357=TYPE1)*(TYPE1&lt;&gt;"")+('Dvd Calendar'!$AH$357=TYPE2)*(TYPE2&lt;&gt;"")+('Dvd Calendar'!$AH$357=TYPE3)*(TYPE3&lt;&gt;"")+('Dvd Calendar'!$AH$357=TYPE4)*(TYPE4&lt;&gt;"")+('Dvd Calendar'!$AH$357=SPECIAL_LBL)*(INC_SPECIALS="Y"))=0,"",'Dvd Calendar'!$AH$355)))</f>
        <v/>
      </c>
      <c r="AG43" s="110">
        <f>IF(FI43="","",IF(ISNUMBER('Dvd Calendar'!$AI$355)=FALSE,"",IF((('Dvd Calendar'!$AI$357=TYPE1)*(TYPE1&lt;&gt;"")+('Dvd Calendar'!$AI$357=TYPE2)*(TYPE2&lt;&gt;"")+('Dvd Calendar'!$AI$357=TYPE3)*(TYPE3&lt;&gt;"")+('Dvd Calendar'!$AI$357=TYPE4)*(TYPE4&lt;&gt;"")+('Dvd Calendar'!$AI$357=SPECIAL_LBL)*(INC_SPECIALS="Y"))=0,"",'Dvd Calendar'!$AI$355)))</f>
        <v/>
      </c>
      <c r="AH43" s="110">
        <f>IF(FJ43="","",IF(ISNUMBER('Dvd Calendar'!$AJ$355)=FALSE,"",IF((('Dvd Calendar'!$AJ$357=TYPE1)*(TYPE1&lt;&gt;"")+('Dvd Calendar'!$AJ$357=TYPE2)*(TYPE2&lt;&gt;"")+('Dvd Calendar'!$AJ$357=TYPE3)*(TYPE3&lt;&gt;"")+('Dvd Calendar'!$AJ$357=TYPE4)*(TYPE4&lt;&gt;"")+('Dvd Calendar'!$AJ$357=SPECIAL_LBL)*(INC_SPECIALS="Y"))=0,"",'Dvd Calendar'!$AJ$355)))</f>
        <v/>
      </c>
      <c r="AI43" s="110">
        <f>IF(FK43="","",IF(ISNUMBER('Dvd Calendar'!$AK$355)=FALSE,"",IF((('Dvd Calendar'!$AK$357=TYPE1)*(TYPE1&lt;&gt;"")+('Dvd Calendar'!$AK$357=TYPE2)*(TYPE2&lt;&gt;"")+('Dvd Calendar'!$AK$357=TYPE3)*(TYPE3&lt;&gt;"")+('Dvd Calendar'!$AK$357=TYPE4)*(TYPE4&lt;&gt;"")+('Dvd Calendar'!$AK$357=SPECIAL_LBL)*(INC_SPECIALS="Y"))=0,"",'Dvd Calendar'!$AK$355)))</f>
        <v/>
      </c>
      <c r="AJ43" s="110">
        <f>IF(FL43="","",IF(ISNUMBER('Dvd Calendar'!$AL$355)=FALSE,"",IF((('Dvd Calendar'!$AL$357=TYPE1)*(TYPE1&lt;&gt;"")+('Dvd Calendar'!$AL$357=TYPE2)*(TYPE2&lt;&gt;"")+('Dvd Calendar'!$AL$357=TYPE3)*(TYPE3&lt;&gt;"")+('Dvd Calendar'!$AL$357=TYPE4)*(TYPE4&lt;&gt;"")+('Dvd Calendar'!$AL$357=SPECIAL_LBL)*(INC_SPECIALS="Y"))=0,"",'Dvd Calendar'!$AL$355)))</f>
        <v/>
      </c>
      <c r="AK43" s="110">
        <f>IF(FM43="","",IF(ISNUMBER('Dvd Calendar'!$AM$355)=FALSE,"",IF((('Dvd Calendar'!$AM$357=TYPE1)*(TYPE1&lt;&gt;"")+('Dvd Calendar'!$AM$357=TYPE2)*(TYPE2&lt;&gt;"")+('Dvd Calendar'!$AM$357=TYPE3)*(TYPE3&lt;&gt;"")+('Dvd Calendar'!$AM$357=TYPE4)*(TYPE4&lt;&gt;"")+('Dvd Calendar'!$AM$357=SPECIAL_LBL)*(INC_SPECIALS="Y"))=0,"",'Dvd Calendar'!$AM$355)))</f>
        <v/>
      </c>
      <c r="AL43" s="110">
        <f>IF(FN43="","",IF(ISNUMBER('Dvd Calendar'!$AN$355)=FALSE,"",IF((('Dvd Calendar'!$AN$357=TYPE1)*(TYPE1&lt;&gt;"")+('Dvd Calendar'!$AN$357=TYPE2)*(TYPE2&lt;&gt;"")+('Dvd Calendar'!$AN$357=TYPE3)*(TYPE3&lt;&gt;"")+('Dvd Calendar'!$AN$357=TYPE4)*(TYPE4&lt;&gt;"")+('Dvd Calendar'!$AN$357=SPECIAL_LBL)*(INC_SPECIALS="Y"))=0,"",'Dvd Calendar'!$AN$355)))</f>
        <v/>
      </c>
      <c r="AM43" s="110">
        <f>IF(FO43="","",IF(ISNUMBER('Dvd Calendar'!$AO$355)=FALSE,"",IF((('Dvd Calendar'!$AO$357=TYPE1)*(TYPE1&lt;&gt;"")+('Dvd Calendar'!$AO$357=TYPE2)*(TYPE2&lt;&gt;"")+('Dvd Calendar'!$AO$357=TYPE3)*(TYPE3&lt;&gt;"")+('Dvd Calendar'!$AO$357=TYPE4)*(TYPE4&lt;&gt;"")+('Dvd Calendar'!$AO$357=SPECIAL_LBL)*(INC_SPECIALS="Y"))=0,"",'Dvd Calendar'!$AO$355)))</f>
        <v/>
      </c>
      <c r="AN43" s="110">
        <f>IF(FP43="","",IF(ISNUMBER('Dvd Calendar'!$AP$355)=FALSE,"",IF((('Dvd Calendar'!$AP$357=TYPE1)*(TYPE1&lt;&gt;"")+('Dvd Calendar'!$AP$357=TYPE2)*(TYPE2&lt;&gt;"")+('Dvd Calendar'!$AP$357=TYPE3)*(TYPE3&lt;&gt;"")+('Dvd Calendar'!$AP$357=TYPE4)*(TYPE4&lt;&gt;"")+('Dvd Calendar'!$AP$357=SPECIAL_LBL)*(INC_SPECIALS="Y"))=0,"",'Dvd Calendar'!$AP$355)))</f>
        <v/>
      </c>
      <c r="AO43" s="110">
        <f>IF(FQ43="","",IF(ISNUMBER('Dvd Calendar'!$AQ$355)=FALSE,"",IF((('Dvd Calendar'!$AQ$357=TYPE1)*(TYPE1&lt;&gt;"")+('Dvd Calendar'!$AQ$357=TYPE2)*(TYPE2&lt;&gt;"")+('Dvd Calendar'!$AQ$357=TYPE3)*(TYPE3&lt;&gt;"")+('Dvd Calendar'!$AQ$357=TYPE4)*(TYPE4&lt;&gt;"")+('Dvd Calendar'!$AQ$357=SPECIAL_LBL)*(INC_SPECIALS="Y"))=0,"",'Dvd Calendar'!$AQ$355)))</f>
        <v/>
      </c>
      <c r="AP43" s="110">
        <f>IF(FR43="","",IF(ISNUMBER('Dvd Calendar'!$AR$355)=FALSE,"",IF((('Dvd Calendar'!$AR$357=TYPE1)*(TYPE1&lt;&gt;"")+('Dvd Calendar'!$AR$357=TYPE2)*(TYPE2&lt;&gt;"")+('Dvd Calendar'!$AR$357=TYPE3)*(TYPE3&lt;&gt;"")+('Dvd Calendar'!$AR$357=TYPE4)*(TYPE4&lt;&gt;"")+('Dvd Calendar'!$AR$357=SPECIAL_LBL)*(INC_SPECIALS="Y"))=0,"",'Dvd Calendar'!$AR$355)))</f>
        <v/>
      </c>
      <c r="AQ43" s="110">
        <f>IF(FS43="","",IF(ISNUMBER('Dvd Calendar'!$E$360)=FALSE,"",'Dvd Calendar'!$E$360))</f>
        <v/>
      </c>
      <c r="AR43" s="110">
        <f>IF(FT43="","",IF(ISNUMBER('Dvd Calendar'!$F$360)=FALSE,"",'Dvd Calendar'!$F$360))</f>
        <v/>
      </c>
      <c r="AS43" s="110">
        <f>IF(FU43="","",IF(ISNUMBER('Dvd Calendar'!$G$360)=FALSE,"",'Dvd Calendar'!$G$360))</f>
        <v/>
      </c>
      <c r="AT43" s="110">
        <f>IF(FV43="","",IF(ISNUMBER('Dvd Calendar'!$H$360)=FALSE,"",'Dvd Calendar'!$H$360))</f>
        <v/>
      </c>
      <c r="AU43" s="110">
        <f>IF(FW43="","",IF(ISNUMBER('Dvd Calendar'!$I$360)=FALSE,"",'Dvd Calendar'!$I$360))</f>
        <v/>
      </c>
      <c r="AV43" s="110">
        <f>IF(FX43="","",IF(ISNUMBER('Dvd Calendar'!$J$360)=FALSE,"",'Dvd Calendar'!$J$360))</f>
        <v/>
      </c>
      <c r="AW43" s="110">
        <f>IF(FY43="","",IF(ISNUMBER('Dvd Calendar'!$K$360)=FALSE,"",'Dvd Calendar'!$K$360))</f>
        <v/>
      </c>
      <c r="AX43" s="110">
        <f>IF(FZ43="","",IF(ISNUMBER('Dvd Calendar'!$L$360)=FALSE,"",'Dvd Calendar'!$L$360))</f>
        <v/>
      </c>
      <c r="AY43" s="110">
        <f>IF(GA43="","",IF(ISNUMBER('Dvd Calendar'!$M$360)=FALSE,"",'Dvd Calendar'!$M$360))</f>
        <v/>
      </c>
      <c r="AZ43" s="110">
        <f>IF(GB43="","",IF(ISNUMBER('Dvd Calendar'!$N$360)=FALSE,"",'Dvd Calendar'!$N$360))</f>
        <v/>
      </c>
      <c r="BA43" s="110">
        <f>IF(GC43="","",IF(ISNUMBER('Dvd Calendar'!$O$360)=FALSE,"",'Dvd Calendar'!$O$360))</f>
        <v/>
      </c>
      <c r="BB43" s="110">
        <f>IF(GD43="","",IF(ISNUMBER('Dvd Calendar'!$P$360)=FALSE,"",'Dvd Calendar'!$P$360))</f>
        <v/>
      </c>
      <c r="BC43" s="110">
        <f>IF(GE43="","",IF(ISNUMBER('Dvd Calendar'!$Q$360)=FALSE,"",'Dvd Calendar'!$Q$360))</f>
        <v/>
      </c>
      <c r="BD43" s="110">
        <f>IF(GF43="","",IF(ISNUMBER('Dvd Calendar'!$R$360)=FALSE,"",'Dvd Calendar'!$R$360))</f>
        <v/>
      </c>
      <c r="BE43" s="110">
        <f>IF(GG43="","",IF(ISNUMBER('Dvd Calendar'!$S$360)=FALSE,"",'Dvd Calendar'!$S$360))</f>
        <v/>
      </c>
      <c r="BF43" s="110">
        <f>IF(GH43="","",IF(ISNUMBER('Dvd Calendar'!$T$360)=FALSE,"",'Dvd Calendar'!$T$360))</f>
        <v/>
      </c>
      <c r="BG43" s="110">
        <f>IF(GI43="","",IF(ISNUMBER('Dvd Calendar'!$U$360)=FALSE,"",'Dvd Calendar'!$U$360))</f>
        <v/>
      </c>
      <c r="BH43" s="110">
        <f>IF(GJ43="","",IF(ISNUMBER('Dvd Calendar'!$V$360)=FALSE,"",'Dvd Calendar'!$V$360))</f>
        <v/>
      </c>
      <c r="BI43" s="110">
        <f>IF(GK43="","",IF(ISNUMBER('Dvd Calendar'!$W$360)=FALSE,"",'Dvd Calendar'!$W$360))</f>
        <v/>
      </c>
      <c r="BJ43" s="110">
        <f>IF(GL43="","",IF(ISNUMBER('Dvd Calendar'!$X$360)=FALSE,"",'Dvd Calendar'!$X$360))</f>
        <v/>
      </c>
      <c r="BK43" s="110">
        <f>IF(GM43="","",IF(ISNUMBER('Dvd Calendar'!$Y$360)=FALSE,"",'Dvd Calendar'!$Y$360))</f>
        <v/>
      </c>
      <c r="BL43" s="110">
        <f>IF(GN43="","",IF(ISNUMBER('Dvd Calendar'!$Z$360)=FALSE,"",'Dvd Calendar'!$Z$360))</f>
        <v/>
      </c>
      <c r="BM43" s="110">
        <f>IF(GO43="","",IF(ISNUMBER('Dvd Calendar'!$AA$360)=FALSE,"",'Dvd Calendar'!$AA$360))</f>
        <v/>
      </c>
      <c r="BN43" s="110">
        <f>IF(GP43="","",IF(ISNUMBER('Dvd Calendar'!$AB$360)=FALSE,"",'Dvd Calendar'!$AB$360))</f>
        <v/>
      </c>
      <c r="BO43" s="110">
        <f>IF(GQ43="","",IF(ISNUMBER('Dvd Calendar'!$AC$360)=FALSE,"",'Dvd Calendar'!$AC$360))</f>
        <v/>
      </c>
      <c r="BQ43" s="110">
        <f>IF(C43="","",IFERROR(C43*HSI!$B$38*HSI!$G$38/HSI!$B$3,""))</f>
        <v/>
      </c>
      <c r="BR43" s="110">
        <f>IF(D43="","",IFERROR(D43*HSI!$B$38*HSI!$G$38/HSI!$B$3,""))</f>
        <v/>
      </c>
      <c r="BS43" s="110">
        <f>IF(E43="","",IFERROR(E43*HSI!$B$38*HSI!$G$38/HSI!$B$3,""))</f>
        <v/>
      </c>
      <c r="BT43" s="110">
        <f>IF(F43="","",IFERROR(F43*HSI!$B$38*HSI!$G$38/HSI!$B$3,""))</f>
        <v/>
      </c>
      <c r="BU43" s="110">
        <f>IF(G43="","",IFERROR(G43*HSI!$B$38*HSI!$G$38/HSI!$B$3,""))</f>
        <v/>
      </c>
      <c r="BV43" s="110">
        <f>IF(H43="","",IFERROR(H43*HSI!$B$38*HSI!$G$38/HSI!$B$3,""))</f>
        <v/>
      </c>
      <c r="BW43" s="110">
        <f>IF(I43="","",IFERROR(I43*HSI!$B$38*HSI!$G$38/HSI!$B$3,""))</f>
        <v/>
      </c>
      <c r="BX43" s="110">
        <f>IF(J43="","",IFERROR(J43*HSI!$B$38*HSI!$G$38/HSI!$B$3,""))</f>
        <v/>
      </c>
      <c r="BY43" s="110">
        <f>IF(K43="","",IFERROR(K43*HSI!$B$38*HSI!$G$38/HSI!$B$3,""))</f>
        <v/>
      </c>
      <c r="BZ43" s="110">
        <f>IF(L43="","",IFERROR(L43*HSI!$B$38*HSI!$G$38/HSI!$B$3,""))</f>
        <v/>
      </c>
      <c r="CA43" s="110">
        <f>IF(M43="","",IFERROR(M43*HSI!$B$38*HSI!$G$38/HSI!$B$3,""))</f>
        <v/>
      </c>
      <c r="CB43" s="110">
        <f>IF(N43="","",IFERROR(N43*HSI!$B$38*HSI!$G$38/HSI!$B$3,""))</f>
        <v/>
      </c>
      <c r="CC43" s="110">
        <f>IF(O43="","",IFERROR(O43*HSI!$B$38*HSI!$G$38/HSI!$B$3,""))</f>
        <v/>
      </c>
      <c r="CD43" s="110">
        <f>IF(P43="","",IFERROR(P43*HSI!$B$38*HSI!$G$38/HSI!$B$3,""))</f>
        <v/>
      </c>
      <c r="CE43" s="110">
        <f>IF(Q43="","",IFERROR(Q43*HSI!$B$38*HSI!$G$38/HSI!$B$3,""))</f>
        <v/>
      </c>
      <c r="CF43" s="110">
        <f>IF(R43="","",IFERROR(R43*HSI!$B$38*HSI!$G$38/HSI!$B$3,""))</f>
        <v/>
      </c>
      <c r="CG43" s="110">
        <f>IF(S43="","",IFERROR(S43*HSI!$B$38*HSI!$G$38/HSI!$B$3,""))</f>
        <v/>
      </c>
      <c r="CH43" s="110">
        <f>IF(T43="","",IFERROR(T43*HSI!$B$38*HSI!$G$38/HSI!$B$3,""))</f>
        <v/>
      </c>
      <c r="CI43" s="110">
        <f>IF(U43="","",IFERROR(U43*HSI!$B$38*HSI!$G$38/HSI!$B$3,""))</f>
        <v/>
      </c>
      <c r="CJ43" s="110">
        <f>IF(V43="","",IFERROR(V43*HSI!$B$38*HSI!$G$38/HSI!$B$3,""))</f>
        <v/>
      </c>
      <c r="CK43" s="110">
        <f>IF(W43="","",IFERROR(W43*HSI!$B$38*HSI!$G$38/HSI!$B$3,""))</f>
        <v/>
      </c>
      <c r="CL43" s="110">
        <f>IF(X43="","",IFERROR(X43*HSI!$B$38*HSI!$G$38/HSI!$B$3,""))</f>
        <v/>
      </c>
      <c r="CM43" s="110">
        <f>IF(Y43="","",IFERROR(Y43*HSI!$B$38*HSI!$G$38/HSI!$B$3,""))</f>
        <v/>
      </c>
      <c r="CN43" s="110">
        <f>IF(Z43="","",IFERROR(Z43*HSI!$B$38*HSI!$G$38/HSI!$B$3,""))</f>
        <v/>
      </c>
      <c r="CO43" s="110">
        <f>IF(AA43="","",IFERROR(AA43*HSI!$B$38*HSI!$G$38/HSI!$B$3,""))</f>
        <v/>
      </c>
      <c r="CP43" s="110">
        <f>IF(AB43="","",IFERROR(AB43*HSI!$B$38*HSI!$G$38/HSI!$B$3,""))</f>
        <v/>
      </c>
      <c r="CQ43" s="110">
        <f>IF(AC43="","",IFERROR(AC43*HSI!$B$38*HSI!$G$38/HSI!$B$3,""))</f>
        <v/>
      </c>
      <c r="CR43" s="110">
        <f>IF(AD43="","",IFERROR(AD43*HSI!$B$38*HSI!$G$38/HSI!$B$3,""))</f>
        <v/>
      </c>
      <c r="CS43" s="110">
        <f>IF(AE43="","",IFERROR(AE43*HSI!$B$38*HSI!$G$38/HSI!$B$3,""))</f>
        <v/>
      </c>
      <c r="CT43" s="110">
        <f>IF(AF43="","",IFERROR(AF43*HSI!$B$38*HSI!$G$38/HSI!$B$3,""))</f>
        <v/>
      </c>
      <c r="CU43" s="110">
        <f>IF(AG43="","",IFERROR(AG43*HSI!$B$38*HSI!$G$38/HSI!$B$3,""))</f>
        <v/>
      </c>
      <c r="CV43" s="110">
        <f>IF(AH43="","",IFERROR(AH43*HSI!$B$38*HSI!$G$38/HSI!$B$3,""))</f>
        <v/>
      </c>
      <c r="CW43" s="110">
        <f>IF(AI43="","",IFERROR(AI43*HSI!$B$38*HSI!$G$38/HSI!$B$3,""))</f>
        <v/>
      </c>
      <c r="CX43" s="110">
        <f>IF(AJ43="","",IFERROR(AJ43*HSI!$B$38*HSI!$G$38/HSI!$B$3,""))</f>
        <v/>
      </c>
      <c r="CY43" s="110">
        <f>IF(AK43="","",IFERROR(AK43*HSI!$B$38*HSI!$G$38/HSI!$B$3,""))</f>
        <v/>
      </c>
      <c r="CZ43" s="110">
        <f>IF(AL43="","",IFERROR(AL43*HSI!$B$38*HSI!$G$38/HSI!$B$3,""))</f>
        <v/>
      </c>
      <c r="DA43" s="110">
        <f>IF(AM43="","",IFERROR(AM43*HSI!$B$38*HSI!$G$38/HSI!$B$3,""))</f>
        <v/>
      </c>
      <c r="DB43" s="110">
        <f>IF(AN43="","",IFERROR(AN43*HSI!$B$38*HSI!$G$38/HSI!$B$3,""))</f>
        <v/>
      </c>
      <c r="DC43" s="110">
        <f>IF(AO43="","",IFERROR(AO43*HSI!$B$38*HSI!$G$38/HSI!$B$3,""))</f>
        <v/>
      </c>
      <c r="DD43" s="110">
        <f>IF(AP43="","",IFERROR(AP43*HSI!$B$38*HSI!$G$38/HSI!$B$3,""))</f>
        <v/>
      </c>
      <c r="DE43" s="110">
        <f>IF(AQ43="","",IFERROR(AQ43*HSI!$B$38*HSI!$G$38/HSI!$B$3,""))</f>
        <v/>
      </c>
      <c r="DF43" s="110">
        <f>IF(AR43="","",IFERROR(AR43*HSI!$B$38*HSI!$G$38/HSI!$B$3,""))</f>
        <v/>
      </c>
      <c r="DG43" s="110">
        <f>IF(AS43="","",IFERROR(AS43*HSI!$B$38*HSI!$G$38/HSI!$B$3,""))</f>
        <v/>
      </c>
      <c r="DH43" s="110">
        <f>IF(AT43="","",IFERROR(AT43*HSI!$B$38*HSI!$G$38/HSI!$B$3,""))</f>
        <v/>
      </c>
      <c r="DI43" s="110">
        <f>IF(AU43="","",IFERROR(AU43*HSI!$B$38*HSI!$G$38/HSI!$B$3,""))</f>
        <v/>
      </c>
      <c r="DJ43" s="110">
        <f>IF(AV43="","",IFERROR(AV43*HSI!$B$38*HSI!$G$38/HSI!$B$3,""))</f>
        <v/>
      </c>
      <c r="DK43" s="110">
        <f>IF(AW43="","",IFERROR(AW43*HSI!$B$38*HSI!$G$38/HSI!$B$3,""))</f>
        <v/>
      </c>
      <c r="DL43" s="110">
        <f>IF(AX43="","",IFERROR(AX43*HSI!$B$38*HSI!$G$38/HSI!$B$3,""))</f>
        <v/>
      </c>
      <c r="DM43" s="110">
        <f>IF(AY43="","",IFERROR(AY43*HSI!$B$38*HSI!$G$38/HSI!$B$3,""))</f>
        <v/>
      </c>
      <c r="DN43" s="110">
        <f>IF(AZ43="","",IFERROR(AZ43*HSI!$B$38*HSI!$G$38/HSI!$B$3,""))</f>
        <v/>
      </c>
      <c r="DO43" s="110">
        <f>IF(BA43="","",IFERROR(BA43*HSI!$B$38*HSI!$G$38/HSI!$B$3,""))</f>
        <v/>
      </c>
      <c r="DP43" s="110">
        <f>IF(BB43="","",IFERROR(BB43*HSI!$B$38*HSI!$G$38/HSI!$B$3,""))</f>
        <v/>
      </c>
      <c r="DQ43" s="110">
        <f>IF(BC43="","",IFERROR(BC43*HSI!$B$38*HSI!$G$38/HSI!$B$3,""))</f>
        <v/>
      </c>
      <c r="DR43" s="110">
        <f>IF(BD43="","",IFERROR(BD43*HSI!$B$38*HSI!$G$38/HSI!$B$3,""))</f>
        <v/>
      </c>
      <c r="DS43" s="110">
        <f>IF(BE43="","",IFERROR(BE43*HSI!$B$38*HSI!$G$38/HSI!$B$3,""))</f>
        <v/>
      </c>
      <c r="DT43" s="110">
        <f>IF(BF43="","",IFERROR(BF43*HSI!$B$38*HSI!$G$38/HSI!$B$3,""))</f>
        <v/>
      </c>
      <c r="DU43" s="110">
        <f>IF(BG43="","",IFERROR(BG43*HSI!$B$38*HSI!$G$38/HSI!$B$3,""))</f>
        <v/>
      </c>
      <c r="DV43" s="110">
        <f>IF(BH43="","",IFERROR(BH43*HSI!$B$38*HSI!$G$38/HSI!$B$3,""))</f>
        <v/>
      </c>
      <c r="DW43" s="110">
        <f>IF(BI43="","",IFERROR(BI43*HSI!$B$38*HSI!$G$38/HSI!$B$3,""))</f>
        <v/>
      </c>
      <c r="DX43" s="110">
        <f>IF(BJ43="","",IFERROR(BJ43*HSI!$B$38*HSI!$G$38/HSI!$B$3,""))</f>
        <v/>
      </c>
      <c r="DY43" s="110">
        <f>IF(BK43="","",IFERROR(BK43*HSI!$B$38*HSI!$G$38/HSI!$B$3,""))</f>
        <v/>
      </c>
      <c r="DZ43" s="110">
        <f>IF(BL43="","",IFERROR(BL43*HSI!$B$38*HSI!$G$38/HSI!$B$3,""))</f>
        <v/>
      </c>
      <c r="EA43" s="110">
        <f>IF(BM43="","",IFERROR(BM43*HSI!$B$38*HSI!$G$38/HSI!$B$3,""))</f>
        <v/>
      </c>
      <c r="EB43" s="110">
        <f>IF(BN43="","",IFERROR(BN43*HSI!$B$38*HSI!$G$38/HSI!$B$3,""))</f>
        <v/>
      </c>
      <c r="EC43" s="110">
        <f>IF(BO43="","",IFERROR(BO43*HSI!$B$38*HSI!$G$38/HSI!$B$3,""))</f>
        <v/>
      </c>
      <c r="EE43" s="39">
        <f>IF(N('Dvd Calendar'!$E$352)=0,"",IF(('Dvd Calendar'!$E$352&gt;=GRID_FROM)*('Dvd Calendar'!$E$352&lt;=GRID_TO)*((('Dvd Calendar'!$E$352&lt;=VAL_DATE)+(COUNTIF('Dvd Calendar'!$E$359:$AR$359,'Dvd Calendar'!$E$352)=0))&gt;0)=0,"",'Dvd Calendar'!$E$352*1000000000+ISNUMBER('Dvd Calendar'!$E$355)*100000000+('Dvd Calendar'!$E$357=SPECIAL_LBL)*10000000+(N('Dvd Calendar'!$E$351)&gt;0)*(N('Dvd Calendar'!$E$351)&lt;=VAL_SERIAL)*1000000+32*1000+1))</f>
        <v/>
      </c>
      <c r="EF43" s="39">
        <f>IF(N('Dvd Calendar'!$F$352)=0,"",IF(('Dvd Calendar'!$F$352&gt;=GRID_FROM)*('Dvd Calendar'!$F$352&lt;=GRID_TO)*((('Dvd Calendar'!$F$352&lt;=VAL_DATE)+(COUNTIF('Dvd Calendar'!$E$359:$AR$359,'Dvd Calendar'!$F$352)=0))&gt;0)=0,"",'Dvd Calendar'!$F$352*1000000000+ISNUMBER('Dvd Calendar'!$F$355)*100000000+('Dvd Calendar'!$F$357=SPECIAL_LBL)*10000000+(N('Dvd Calendar'!$F$351)&gt;0)*(N('Dvd Calendar'!$F$351)&lt;=VAL_SERIAL)*1000000+32*1000+2))</f>
        <v/>
      </c>
      <c r="EG43" s="39">
        <f>IF(N('Dvd Calendar'!$G$352)=0,"",IF(('Dvd Calendar'!$G$352&gt;=GRID_FROM)*('Dvd Calendar'!$G$352&lt;=GRID_TO)*((('Dvd Calendar'!$G$352&lt;=VAL_DATE)+(COUNTIF('Dvd Calendar'!$E$359:$AR$359,'Dvd Calendar'!$G$352)=0))&gt;0)=0,"",'Dvd Calendar'!$G$352*1000000000+ISNUMBER('Dvd Calendar'!$G$355)*100000000+('Dvd Calendar'!$G$357=SPECIAL_LBL)*10000000+(N('Dvd Calendar'!$G$351)&gt;0)*(N('Dvd Calendar'!$G$351)&lt;=VAL_SERIAL)*1000000+32*1000+3))</f>
        <v/>
      </c>
      <c r="EH43" s="39">
        <f>IF(N('Dvd Calendar'!$H$352)=0,"",IF(('Dvd Calendar'!$H$352&gt;=GRID_FROM)*('Dvd Calendar'!$H$352&lt;=GRID_TO)*((('Dvd Calendar'!$H$352&lt;=VAL_DATE)+(COUNTIF('Dvd Calendar'!$E$359:$AR$359,'Dvd Calendar'!$H$352)=0))&gt;0)=0,"",'Dvd Calendar'!$H$352*1000000000+ISNUMBER('Dvd Calendar'!$H$355)*100000000+('Dvd Calendar'!$H$357=SPECIAL_LBL)*10000000+(N('Dvd Calendar'!$H$351)&gt;0)*(N('Dvd Calendar'!$H$351)&lt;=VAL_SERIAL)*1000000+32*1000+4))</f>
        <v/>
      </c>
      <c r="EI43" s="39">
        <f>IF(N('Dvd Calendar'!$I$352)=0,"",IF(('Dvd Calendar'!$I$352&gt;=GRID_FROM)*('Dvd Calendar'!$I$352&lt;=GRID_TO)*((('Dvd Calendar'!$I$352&lt;=VAL_DATE)+(COUNTIF('Dvd Calendar'!$E$359:$AR$359,'Dvd Calendar'!$I$352)=0))&gt;0)=0,"",'Dvd Calendar'!$I$352*1000000000+ISNUMBER('Dvd Calendar'!$I$355)*100000000+('Dvd Calendar'!$I$357=SPECIAL_LBL)*10000000+(N('Dvd Calendar'!$I$351)&gt;0)*(N('Dvd Calendar'!$I$351)&lt;=VAL_SERIAL)*1000000+32*1000+5))</f>
        <v/>
      </c>
      <c r="EJ43" s="39">
        <f>IF(N('Dvd Calendar'!$J$352)=0,"",IF(('Dvd Calendar'!$J$352&gt;=GRID_FROM)*('Dvd Calendar'!$J$352&lt;=GRID_TO)*((('Dvd Calendar'!$J$352&lt;=VAL_DATE)+(COUNTIF('Dvd Calendar'!$E$359:$AR$359,'Dvd Calendar'!$J$352)=0))&gt;0)=0,"",'Dvd Calendar'!$J$352*1000000000+ISNUMBER('Dvd Calendar'!$J$355)*100000000+('Dvd Calendar'!$J$357=SPECIAL_LBL)*10000000+(N('Dvd Calendar'!$J$351)&gt;0)*(N('Dvd Calendar'!$J$351)&lt;=VAL_SERIAL)*1000000+32*1000+6))</f>
        <v/>
      </c>
      <c r="EK43" s="39">
        <f>IF(N('Dvd Calendar'!$K$352)=0,"",IF(('Dvd Calendar'!$K$352&gt;=GRID_FROM)*('Dvd Calendar'!$K$352&lt;=GRID_TO)*((('Dvd Calendar'!$K$352&lt;=VAL_DATE)+(COUNTIF('Dvd Calendar'!$E$359:$AR$359,'Dvd Calendar'!$K$352)=0))&gt;0)=0,"",'Dvd Calendar'!$K$352*1000000000+ISNUMBER('Dvd Calendar'!$K$355)*100000000+('Dvd Calendar'!$K$357=SPECIAL_LBL)*10000000+(N('Dvd Calendar'!$K$351)&gt;0)*(N('Dvd Calendar'!$K$351)&lt;=VAL_SERIAL)*1000000+32*1000+7))</f>
        <v/>
      </c>
      <c r="EL43" s="39">
        <f>IF(N('Dvd Calendar'!$L$352)=0,"",IF(('Dvd Calendar'!$L$352&gt;=GRID_FROM)*('Dvd Calendar'!$L$352&lt;=GRID_TO)*((('Dvd Calendar'!$L$352&lt;=VAL_DATE)+(COUNTIF('Dvd Calendar'!$E$359:$AR$359,'Dvd Calendar'!$L$352)=0))&gt;0)=0,"",'Dvd Calendar'!$L$352*1000000000+ISNUMBER('Dvd Calendar'!$L$355)*100000000+('Dvd Calendar'!$L$357=SPECIAL_LBL)*10000000+(N('Dvd Calendar'!$L$351)&gt;0)*(N('Dvd Calendar'!$L$351)&lt;=VAL_SERIAL)*1000000+32*1000+8))</f>
        <v/>
      </c>
      <c r="EM43" s="39">
        <f>IF(N('Dvd Calendar'!$M$352)=0,"",IF(('Dvd Calendar'!$M$352&gt;=GRID_FROM)*('Dvd Calendar'!$M$352&lt;=GRID_TO)*((('Dvd Calendar'!$M$352&lt;=VAL_DATE)+(COUNTIF('Dvd Calendar'!$E$359:$AR$359,'Dvd Calendar'!$M$352)=0))&gt;0)=0,"",'Dvd Calendar'!$M$352*1000000000+ISNUMBER('Dvd Calendar'!$M$355)*100000000+('Dvd Calendar'!$M$357=SPECIAL_LBL)*10000000+(N('Dvd Calendar'!$M$351)&gt;0)*(N('Dvd Calendar'!$M$351)&lt;=VAL_SERIAL)*1000000+32*1000+9))</f>
        <v/>
      </c>
      <c r="EN43" s="39">
        <f>IF(N('Dvd Calendar'!$N$352)=0,"",IF(('Dvd Calendar'!$N$352&gt;=GRID_FROM)*('Dvd Calendar'!$N$352&lt;=GRID_TO)*((('Dvd Calendar'!$N$352&lt;=VAL_DATE)+(COUNTIF('Dvd Calendar'!$E$359:$AR$359,'Dvd Calendar'!$N$352)=0))&gt;0)=0,"",'Dvd Calendar'!$N$352*1000000000+ISNUMBER('Dvd Calendar'!$N$355)*100000000+('Dvd Calendar'!$N$357=SPECIAL_LBL)*10000000+(N('Dvd Calendar'!$N$351)&gt;0)*(N('Dvd Calendar'!$N$351)&lt;=VAL_SERIAL)*1000000+32*1000+10))</f>
        <v/>
      </c>
      <c r="EO43" s="39">
        <f>IF(N('Dvd Calendar'!$O$352)=0,"",IF(('Dvd Calendar'!$O$352&gt;=GRID_FROM)*('Dvd Calendar'!$O$352&lt;=GRID_TO)*((('Dvd Calendar'!$O$352&lt;=VAL_DATE)+(COUNTIF('Dvd Calendar'!$E$359:$AR$359,'Dvd Calendar'!$O$352)=0))&gt;0)=0,"",'Dvd Calendar'!$O$352*1000000000+ISNUMBER('Dvd Calendar'!$O$355)*100000000+('Dvd Calendar'!$O$357=SPECIAL_LBL)*10000000+(N('Dvd Calendar'!$O$351)&gt;0)*(N('Dvd Calendar'!$O$351)&lt;=VAL_SERIAL)*1000000+32*1000+11))</f>
        <v/>
      </c>
      <c r="EP43" s="39">
        <f>IF(N('Dvd Calendar'!$P$352)=0,"",IF(('Dvd Calendar'!$P$352&gt;=GRID_FROM)*('Dvd Calendar'!$P$352&lt;=GRID_TO)*((('Dvd Calendar'!$P$352&lt;=VAL_DATE)+(COUNTIF('Dvd Calendar'!$E$359:$AR$359,'Dvd Calendar'!$P$352)=0))&gt;0)=0,"",'Dvd Calendar'!$P$352*1000000000+ISNUMBER('Dvd Calendar'!$P$355)*100000000+('Dvd Calendar'!$P$357=SPECIAL_LBL)*10000000+(N('Dvd Calendar'!$P$351)&gt;0)*(N('Dvd Calendar'!$P$351)&lt;=VAL_SERIAL)*1000000+32*1000+12))</f>
        <v/>
      </c>
      <c r="EQ43" s="39">
        <f>IF(N('Dvd Calendar'!$Q$352)=0,"",IF(('Dvd Calendar'!$Q$352&gt;=GRID_FROM)*('Dvd Calendar'!$Q$352&lt;=GRID_TO)*((('Dvd Calendar'!$Q$352&lt;=VAL_DATE)+(COUNTIF('Dvd Calendar'!$E$359:$AR$359,'Dvd Calendar'!$Q$352)=0))&gt;0)=0,"",'Dvd Calendar'!$Q$352*1000000000+ISNUMBER('Dvd Calendar'!$Q$355)*100000000+('Dvd Calendar'!$Q$357=SPECIAL_LBL)*10000000+(N('Dvd Calendar'!$Q$351)&gt;0)*(N('Dvd Calendar'!$Q$351)&lt;=VAL_SERIAL)*1000000+32*1000+13))</f>
        <v/>
      </c>
      <c r="ER43" s="39">
        <f>IF(N('Dvd Calendar'!$R$352)=0,"",IF(('Dvd Calendar'!$R$352&gt;=GRID_FROM)*('Dvd Calendar'!$R$352&lt;=GRID_TO)*((('Dvd Calendar'!$R$352&lt;=VAL_DATE)+(COUNTIF('Dvd Calendar'!$E$359:$AR$359,'Dvd Calendar'!$R$352)=0))&gt;0)=0,"",'Dvd Calendar'!$R$352*1000000000+ISNUMBER('Dvd Calendar'!$R$355)*100000000+('Dvd Calendar'!$R$357=SPECIAL_LBL)*10000000+(N('Dvd Calendar'!$R$351)&gt;0)*(N('Dvd Calendar'!$R$351)&lt;=VAL_SERIAL)*1000000+32*1000+14))</f>
        <v/>
      </c>
      <c r="ES43" s="39">
        <f>IF(N('Dvd Calendar'!$S$352)=0,"",IF(('Dvd Calendar'!$S$352&gt;=GRID_FROM)*('Dvd Calendar'!$S$352&lt;=GRID_TO)*((('Dvd Calendar'!$S$352&lt;=VAL_DATE)+(COUNTIF('Dvd Calendar'!$E$359:$AR$359,'Dvd Calendar'!$S$352)=0))&gt;0)=0,"",'Dvd Calendar'!$S$352*1000000000+ISNUMBER('Dvd Calendar'!$S$355)*100000000+('Dvd Calendar'!$S$357=SPECIAL_LBL)*10000000+(N('Dvd Calendar'!$S$351)&gt;0)*(N('Dvd Calendar'!$S$351)&lt;=VAL_SERIAL)*1000000+32*1000+15))</f>
        <v/>
      </c>
      <c r="ET43" s="39">
        <f>IF(N('Dvd Calendar'!$T$352)=0,"",IF(('Dvd Calendar'!$T$352&gt;=GRID_FROM)*('Dvd Calendar'!$T$352&lt;=GRID_TO)*((('Dvd Calendar'!$T$352&lt;=VAL_DATE)+(COUNTIF('Dvd Calendar'!$E$359:$AR$359,'Dvd Calendar'!$T$352)=0))&gt;0)=0,"",'Dvd Calendar'!$T$352*1000000000+ISNUMBER('Dvd Calendar'!$T$355)*100000000+('Dvd Calendar'!$T$357=SPECIAL_LBL)*10000000+(N('Dvd Calendar'!$T$351)&gt;0)*(N('Dvd Calendar'!$T$351)&lt;=VAL_SERIAL)*1000000+32*1000+16))</f>
        <v/>
      </c>
      <c r="EU43" s="39">
        <f>IF(N('Dvd Calendar'!$U$352)=0,"",IF(('Dvd Calendar'!$U$352&gt;=GRID_FROM)*('Dvd Calendar'!$U$352&lt;=GRID_TO)*((('Dvd Calendar'!$U$352&lt;=VAL_DATE)+(COUNTIF('Dvd Calendar'!$E$359:$AR$359,'Dvd Calendar'!$U$352)=0))&gt;0)=0,"",'Dvd Calendar'!$U$352*1000000000+ISNUMBER('Dvd Calendar'!$U$355)*100000000+('Dvd Calendar'!$U$357=SPECIAL_LBL)*10000000+(N('Dvd Calendar'!$U$351)&gt;0)*(N('Dvd Calendar'!$U$351)&lt;=VAL_SERIAL)*1000000+32*1000+17))</f>
        <v/>
      </c>
      <c r="EV43" s="39">
        <f>IF(N('Dvd Calendar'!$V$352)=0,"",IF(('Dvd Calendar'!$V$352&gt;=GRID_FROM)*('Dvd Calendar'!$V$352&lt;=GRID_TO)*((('Dvd Calendar'!$V$352&lt;=VAL_DATE)+(COUNTIF('Dvd Calendar'!$E$359:$AR$359,'Dvd Calendar'!$V$352)=0))&gt;0)=0,"",'Dvd Calendar'!$V$352*1000000000+ISNUMBER('Dvd Calendar'!$V$355)*100000000+('Dvd Calendar'!$V$357=SPECIAL_LBL)*10000000+(N('Dvd Calendar'!$V$351)&gt;0)*(N('Dvd Calendar'!$V$351)&lt;=VAL_SERIAL)*1000000+32*1000+18))</f>
        <v/>
      </c>
      <c r="EW43" s="39">
        <f>IF(N('Dvd Calendar'!$W$352)=0,"",IF(('Dvd Calendar'!$W$352&gt;=GRID_FROM)*('Dvd Calendar'!$W$352&lt;=GRID_TO)*((('Dvd Calendar'!$W$352&lt;=VAL_DATE)+(COUNTIF('Dvd Calendar'!$E$359:$AR$359,'Dvd Calendar'!$W$352)=0))&gt;0)=0,"",'Dvd Calendar'!$W$352*1000000000+ISNUMBER('Dvd Calendar'!$W$355)*100000000+('Dvd Calendar'!$W$357=SPECIAL_LBL)*10000000+(N('Dvd Calendar'!$W$351)&gt;0)*(N('Dvd Calendar'!$W$351)&lt;=VAL_SERIAL)*1000000+32*1000+19))</f>
        <v/>
      </c>
      <c r="EX43" s="39">
        <f>IF(N('Dvd Calendar'!$X$352)=0,"",IF(('Dvd Calendar'!$X$352&gt;=GRID_FROM)*('Dvd Calendar'!$X$352&lt;=GRID_TO)*((('Dvd Calendar'!$X$352&lt;=VAL_DATE)+(COUNTIF('Dvd Calendar'!$E$359:$AR$359,'Dvd Calendar'!$X$352)=0))&gt;0)=0,"",'Dvd Calendar'!$X$352*1000000000+ISNUMBER('Dvd Calendar'!$X$355)*100000000+('Dvd Calendar'!$X$357=SPECIAL_LBL)*10000000+(N('Dvd Calendar'!$X$351)&gt;0)*(N('Dvd Calendar'!$X$351)&lt;=VAL_SERIAL)*1000000+32*1000+20))</f>
        <v/>
      </c>
      <c r="EY43" s="39">
        <f>IF(N('Dvd Calendar'!$Y$352)=0,"",IF(('Dvd Calendar'!$Y$352&gt;=GRID_FROM)*('Dvd Calendar'!$Y$352&lt;=GRID_TO)*((('Dvd Calendar'!$Y$352&lt;=VAL_DATE)+(COUNTIF('Dvd Calendar'!$E$359:$AR$359,'Dvd Calendar'!$Y$352)=0))&gt;0)=0,"",'Dvd Calendar'!$Y$352*1000000000+ISNUMBER('Dvd Calendar'!$Y$355)*100000000+('Dvd Calendar'!$Y$357=SPECIAL_LBL)*10000000+(N('Dvd Calendar'!$Y$351)&gt;0)*(N('Dvd Calendar'!$Y$351)&lt;=VAL_SERIAL)*1000000+32*1000+21))</f>
        <v/>
      </c>
      <c r="EZ43" s="39">
        <f>IF(N('Dvd Calendar'!$Z$352)=0,"",IF(('Dvd Calendar'!$Z$352&gt;=GRID_FROM)*('Dvd Calendar'!$Z$352&lt;=GRID_TO)*((('Dvd Calendar'!$Z$352&lt;=VAL_DATE)+(COUNTIF('Dvd Calendar'!$E$359:$AR$359,'Dvd Calendar'!$Z$352)=0))&gt;0)=0,"",'Dvd Calendar'!$Z$352*1000000000+ISNUMBER('Dvd Calendar'!$Z$355)*100000000+('Dvd Calendar'!$Z$357=SPECIAL_LBL)*10000000+(N('Dvd Calendar'!$Z$351)&gt;0)*(N('Dvd Calendar'!$Z$351)&lt;=VAL_SERIAL)*1000000+32*1000+22))</f>
        <v/>
      </c>
      <c r="FA43" s="39">
        <f>IF(N('Dvd Calendar'!$AA$352)=0,"",IF(('Dvd Calendar'!$AA$352&gt;=GRID_FROM)*('Dvd Calendar'!$AA$352&lt;=GRID_TO)*((('Dvd Calendar'!$AA$352&lt;=VAL_DATE)+(COUNTIF('Dvd Calendar'!$E$359:$AR$359,'Dvd Calendar'!$AA$352)=0))&gt;0)=0,"",'Dvd Calendar'!$AA$352*1000000000+ISNUMBER('Dvd Calendar'!$AA$355)*100000000+('Dvd Calendar'!$AA$357=SPECIAL_LBL)*10000000+(N('Dvd Calendar'!$AA$351)&gt;0)*(N('Dvd Calendar'!$AA$351)&lt;=VAL_SERIAL)*1000000+32*1000+23))</f>
        <v/>
      </c>
      <c r="FB43" s="39">
        <f>IF(N('Dvd Calendar'!$AB$352)=0,"",IF(('Dvd Calendar'!$AB$352&gt;=GRID_FROM)*('Dvd Calendar'!$AB$352&lt;=GRID_TO)*((('Dvd Calendar'!$AB$352&lt;=VAL_DATE)+(COUNTIF('Dvd Calendar'!$E$359:$AR$359,'Dvd Calendar'!$AB$352)=0))&gt;0)=0,"",'Dvd Calendar'!$AB$352*1000000000+ISNUMBER('Dvd Calendar'!$AB$355)*100000000+('Dvd Calendar'!$AB$357=SPECIAL_LBL)*10000000+(N('Dvd Calendar'!$AB$351)&gt;0)*(N('Dvd Calendar'!$AB$351)&lt;=VAL_SERIAL)*1000000+32*1000+24))</f>
        <v/>
      </c>
      <c r="FC43" s="39">
        <f>IF(N('Dvd Calendar'!$AC$352)=0,"",IF(('Dvd Calendar'!$AC$352&gt;=GRID_FROM)*('Dvd Calendar'!$AC$352&lt;=GRID_TO)*((('Dvd Calendar'!$AC$352&lt;=VAL_DATE)+(COUNTIF('Dvd Calendar'!$E$359:$AR$359,'Dvd Calendar'!$AC$352)=0))&gt;0)=0,"",'Dvd Calendar'!$AC$352*1000000000+ISNUMBER('Dvd Calendar'!$AC$355)*100000000+('Dvd Calendar'!$AC$357=SPECIAL_LBL)*10000000+(N('Dvd Calendar'!$AC$351)&gt;0)*(N('Dvd Calendar'!$AC$351)&lt;=VAL_SERIAL)*1000000+32*1000+25))</f>
        <v/>
      </c>
      <c r="FD43" s="39">
        <f>IF(N('Dvd Calendar'!$AD$352)=0,"",IF(('Dvd Calendar'!$AD$352&gt;=GRID_FROM)*('Dvd Calendar'!$AD$352&lt;=GRID_TO)*((('Dvd Calendar'!$AD$352&lt;=VAL_DATE)+(COUNTIF('Dvd Calendar'!$E$359:$AR$359,'Dvd Calendar'!$AD$352)=0))&gt;0)=0,"",'Dvd Calendar'!$AD$352*1000000000+ISNUMBER('Dvd Calendar'!$AD$355)*100000000+('Dvd Calendar'!$AD$357=SPECIAL_LBL)*10000000+(N('Dvd Calendar'!$AD$351)&gt;0)*(N('Dvd Calendar'!$AD$351)&lt;=VAL_SERIAL)*1000000+32*1000+26))</f>
        <v/>
      </c>
      <c r="FE43" s="39">
        <f>IF(N('Dvd Calendar'!$AE$352)=0,"",IF(('Dvd Calendar'!$AE$352&gt;=GRID_FROM)*('Dvd Calendar'!$AE$352&lt;=GRID_TO)*((('Dvd Calendar'!$AE$352&lt;=VAL_DATE)+(COUNTIF('Dvd Calendar'!$E$359:$AR$359,'Dvd Calendar'!$AE$352)=0))&gt;0)=0,"",'Dvd Calendar'!$AE$352*1000000000+ISNUMBER('Dvd Calendar'!$AE$355)*100000000+('Dvd Calendar'!$AE$357=SPECIAL_LBL)*10000000+(N('Dvd Calendar'!$AE$351)&gt;0)*(N('Dvd Calendar'!$AE$351)&lt;=VAL_SERIAL)*1000000+32*1000+27))</f>
        <v/>
      </c>
      <c r="FF43" s="39">
        <f>IF(N('Dvd Calendar'!$AF$352)=0,"",IF(('Dvd Calendar'!$AF$352&gt;=GRID_FROM)*('Dvd Calendar'!$AF$352&lt;=GRID_TO)*((('Dvd Calendar'!$AF$352&lt;=VAL_DATE)+(COUNTIF('Dvd Calendar'!$E$359:$AR$359,'Dvd Calendar'!$AF$352)=0))&gt;0)=0,"",'Dvd Calendar'!$AF$352*1000000000+ISNUMBER('Dvd Calendar'!$AF$355)*100000000+('Dvd Calendar'!$AF$357=SPECIAL_LBL)*10000000+(N('Dvd Calendar'!$AF$351)&gt;0)*(N('Dvd Calendar'!$AF$351)&lt;=VAL_SERIAL)*1000000+32*1000+28))</f>
        <v/>
      </c>
      <c r="FG43" s="39">
        <f>IF(N('Dvd Calendar'!$AG$352)=0,"",IF(('Dvd Calendar'!$AG$352&gt;=GRID_FROM)*('Dvd Calendar'!$AG$352&lt;=GRID_TO)*((('Dvd Calendar'!$AG$352&lt;=VAL_DATE)+(COUNTIF('Dvd Calendar'!$E$359:$AR$359,'Dvd Calendar'!$AG$352)=0))&gt;0)=0,"",'Dvd Calendar'!$AG$352*1000000000+ISNUMBER('Dvd Calendar'!$AG$355)*100000000+('Dvd Calendar'!$AG$357=SPECIAL_LBL)*10000000+(N('Dvd Calendar'!$AG$351)&gt;0)*(N('Dvd Calendar'!$AG$351)&lt;=VAL_SERIAL)*1000000+32*1000+29))</f>
        <v/>
      </c>
      <c r="FH43" s="39">
        <f>IF(N('Dvd Calendar'!$AH$352)=0,"",IF(('Dvd Calendar'!$AH$352&gt;=GRID_FROM)*('Dvd Calendar'!$AH$352&lt;=GRID_TO)*((('Dvd Calendar'!$AH$352&lt;=VAL_DATE)+(COUNTIF('Dvd Calendar'!$E$359:$AR$359,'Dvd Calendar'!$AH$352)=0))&gt;0)=0,"",'Dvd Calendar'!$AH$352*1000000000+ISNUMBER('Dvd Calendar'!$AH$355)*100000000+('Dvd Calendar'!$AH$357=SPECIAL_LBL)*10000000+(N('Dvd Calendar'!$AH$351)&gt;0)*(N('Dvd Calendar'!$AH$351)&lt;=VAL_SERIAL)*1000000+32*1000+30))</f>
        <v/>
      </c>
      <c r="FI43" s="39">
        <f>IF(N('Dvd Calendar'!$AI$352)=0,"",IF(('Dvd Calendar'!$AI$352&gt;=GRID_FROM)*('Dvd Calendar'!$AI$352&lt;=GRID_TO)*((('Dvd Calendar'!$AI$352&lt;=VAL_DATE)+(COUNTIF('Dvd Calendar'!$E$359:$AR$359,'Dvd Calendar'!$AI$352)=0))&gt;0)=0,"",'Dvd Calendar'!$AI$352*1000000000+ISNUMBER('Dvd Calendar'!$AI$355)*100000000+('Dvd Calendar'!$AI$357=SPECIAL_LBL)*10000000+(N('Dvd Calendar'!$AI$351)&gt;0)*(N('Dvd Calendar'!$AI$351)&lt;=VAL_SERIAL)*1000000+32*1000+31))</f>
        <v/>
      </c>
      <c r="FJ43" s="39">
        <f>IF(N('Dvd Calendar'!$AJ$352)=0,"",IF(('Dvd Calendar'!$AJ$352&gt;=GRID_FROM)*('Dvd Calendar'!$AJ$352&lt;=GRID_TO)*((('Dvd Calendar'!$AJ$352&lt;=VAL_DATE)+(COUNTIF('Dvd Calendar'!$E$359:$AR$359,'Dvd Calendar'!$AJ$352)=0))&gt;0)=0,"",'Dvd Calendar'!$AJ$352*1000000000+ISNUMBER('Dvd Calendar'!$AJ$355)*100000000+('Dvd Calendar'!$AJ$357=SPECIAL_LBL)*10000000+(N('Dvd Calendar'!$AJ$351)&gt;0)*(N('Dvd Calendar'!$AJ$351)&lt;=VAL_SERIAL)*1000000+32*1000+32))</f>
        <v/>
      </c>
      <c r="FK43" s="39">
        <f>IF(N('Dvd Calendar'!$AK$352)=0,"",IF(('Dvd Calendar'!$AK$352&gt;=GRID_FROM)*('Dvd Calendar'!$AK$352&lt;=GRID_TO)*((('Dvd Calendar'!$AK$352&lt;=VAL_DATE)+(COUNTIF('Dvd Calendar'!$E$359:$AR$359,'Dvd Calendar'!$AK$352)=0))&gt;0)=0,"",'Dvd Calendar'!$AK$352*1000000000+ISNUMBER('Dvd Calendar'!$AK$355)*100000000+('Dvd Calendar'!$AK$357=SPECIAL_LBL)*10000000+(N('Dvd Calendar'!$AK$351)&gt;0)*(N('Dvd Calendar'!$AK$351)&lt;=VAL_SERIAL)*1000000+32*1000+33))</f>
        <v/>
      </c>
      <c r="FL43" s="39">
        <f>IF(N('Dvd Calendar'!$AL$352)=0,"",IF(('Dvd Calendar'!$AL$352&gt;=GRID_FROM)*('Dvd Calendar'!$AL$352&lt;=GRID_TO)*((('Dvd Calendar'!$AL$352&lt;=VAL_DATE)+(COUNTIF('Dvd Calendar'!$E$359:$AR$359,'Dvd Calendar'!$AL$352)=0))&gt;0)=0,"",'Dvd Calendar'!$AL$352*1000000000+ISNUMBER('Dvd Calendar'!$AL$355)*100000000+('Dvd Calendar'!$AL$357=SPECIAL_LBL)*10000000+(N('Dvd Calendar'!$AL$351)&gt;0)*(N('Dvd Calendar'!$AL$351)&lt;=VAL_SERIAL)*1000000+32*1000+34))</f>
        <v/>
      </c>
      <c r="FM43" s="39">
        <f>IF(N('Dvd Calendar'!$AM$352)=0,"",IF(('Dvd Calendar'!$AM$352&gt;=GRID_FROM)*('Dvd Calendar'!$AM$352&lt;=GRID_TO)*((('Dvd Calendar'!$AM$352&lt;=VAL_DATE)+(COUNTIF('Dvd Calendar'!$E$359:$AR$359,'Dvd Calendar'!$AM$352)=0))&gt;0)=0,"",'Dvd Calendar'!$AM$352*1000000000+ISNUMBER('Dvd Calendar'!$AM$355)*100000000+('Dvd Calendar'!$AM$357=SPECIAL_LBL)*10000000+(N('Dvd Calendar'!$AM$351)&gt;0)*(N('Dvd Calendar'!$AM$351)&lt;=VAL_SERIAL)*1000000+32*1000+35))</f>
        <v/>
      </c>
      <c r="FN43" s="39">
        <f>IF(N('Dvd Calendar'!$AN$352)=0,"",IF(('Dvd Calendar'!$AN$352&gt;=GRID_FROM)*('Dvd Calendar'!$AN$352&lt;=GRID_TO)*((('Dvd Calendar'!$AN$352&lt;=VAL_DATE)+(COUNTIF('Dvd Calendar'!$E$359:$AR$359,'Dvd Calendar'!$AN$352)=0))&gt;0)=0,"",'Dvd Calendar'!$AN$352*1000000000+ISNUMBER('Dvd Calendar'!$AN$355)*100000000+('Dvd Calendar'!$AN$357=SPECIAL_LBL)*10000000+(N('Dvd Calendar'!$AN$351)&gt;0)*(N('Dvd Calendar'!$AN$351)&lt;=VAL_SERIAL)*1000000+32*1000+36))</f>
        <v/>
      </c>
      <c r="FO43" s="39">
        <f>IF(N('Dvd Calendar'!$AO$352)=0,"",IF(('Dvd Calendar'!$AO$352&gt;=GRID_FROM)*('Dvd Calendar'!$AO$352&lt;=GRID_TO)*((('Dvd Calendar'!$AO$352&lt;=VAL_DATE)+(COUNTIF('Dvd Calendar'!$E$359:$AR$359,'Dvd Calendar'!$AO$352)=0))&gt;0)=0,"",'Dvd Calendar'!$AO$352*1000000000+ISNUMBER('Dvd Calendar'!$AO$355)*100000000+('Dvd Calendar'!$AO$357=SPECIAL_LBL)*10000000+(N('Dvd Calendar'!$AO$351)&gt;0)*(N('Dvd Calendar'!$AO$351)&lt;=VAL_SERIAL)*1000000+32*1000+37))</f>
        <v/>
      </c>
      <c r="FP43" s="39">
        <f>IF(N('Dvd Calendar'!$AP$352)=0,"",IF(('Dvd Calendar'!$AP$352&gt;=GRID_FROM)*('Dvd Calendar'!$AP$352&lt;=GRID_TO)*((('Dvd Calendar'!$AP$352&lt;=VAL_DATE)+(COUNTIF('Dvd Calendar'!$E$359:$AR$359,'Dvd Calendar'!$AP$352)=0))&gt;0)=0,"",'Dvd Calendar'!$AP$352*1000000000+ISNUMBER('Dvd Calendar'!$AP$355)*100000000+('Dvd Calendar'!$AP$357=SPECIAL_LBL)*10000000+(N('Dvd Calendar'!$AP$351)&gt;0)*(N('Dvd Calendar'!$AP$351)&lt;=VAL_SERIAL)*1000000+32*1000+38))</f>
        <v/>
      </c>
      <c r="FQ43" s="39">
        <f>IF(N('Dvd Calendar'!$AQ$352)=0,"",IF(('Dvd Calendar'!$AQ$352&gt;=GRID_FROM)*('Dvd Calendar'!$AQ$352&lt;=GRID_TO)*((('Dvd Calendar'!$AQ$352&lt;=VAL_DATE)+(COUNTIF('Dvd Calendar'!$E$359:$AR$359,'Dvd Calendar'!$AQ$352)=0))&gt;0)=0,"",'Dvd Calendar'!$AQ$352*1000000000+ISNUMBER('Dvd Calendar'!$AQ$355)*100000000+('Dvd Calendar'!$AQ$357=SPECIAL_LBL)*10000000+(N('Dvd Calendar'!$AQ$351)&gt;0)*(N('Dvd Calendar'!$AQ$351)&lt;=VAL_SERIAL)*1000000+32*1000+39))</f>
        <v/>
      </c>
      <c r="FR43" s="39">
        <f>IF(N('Dvd Calendar'!$AR$352)=0,"",IF(('Dvd Calendar'!$AR$352&gt;=GRID_FROM)*('Dvd Calendar'!$AR$352&lt;=GRID_TO)*((('Dvd Calendar'!$AR$352&lt;=VAL_DATE)+(COUNTIF('Dvd Calendar'!$E$359:$AR$359,'Dvd Calendar'!$AR$352)=0))&gt;0)=0,"",'Dvd Calendar'!$AR$352*1000000000+ISNUMBER('Dvd Calendar'!$AR$355)*100000000+('Dvd Calendar'!$AR$357=SPECIAL_LBL)*10000000+(N('Dvd Calendar'!$AR$351)&gt;0)*(N('Dvd Calendar'!$AR$351)&lt;=VAL_SERIAL)*1000000+32*1000+40))</f>
        <v/>
      </c>
      <c r="FS43" s="39">
        <f>IF(N('Dvd Calendar'!$E$359)=0,"",IF(('Dvd Calendar'!$E$359&gt;=GRID_FROM)*('Dvd Calendar'!$E$359&lt;=GRID_TO)*('Dvd Calendar'!$E$359&gt;VAL_DATE)=0,"",'Dvd Calendar'!$E$359*1000000000+ISNUMBER('Dvd Calendar'!$E$360)*100000000+0*10000000+(N('Dvd Calendar'!$E$358)&gt;0)*(N('Dvd Calendar'!$E$358)&lt;=VAL_SERIAL)*1000000+32*1000+41))</f>
        <v/>
      </c>
      <c r="FT43" s="39">
        <f>IF(N('Dvd Calendar'!$F$359)=0,"",IF(('Dvd Calendar'!$F$359&gt;=GRID_FROM)*('Dvd Calendar'!$F$359&lt;=GRID_TO)*('Dvd Calendar'!$F$359&gt;VAL_DATE)=0,"",'Dvd Calendar'!$F$359*1000000000+ISNUMBER('Dvd Calendar'!$F$360)*100000000+0*10000000+(N('Dvd Calendar'!$F$358)&gt;0)*(N('Dvd Calendar'!$F$358)&lt;=VAL_SERIAL)*1000000+32*1000+42))</f>
        <v/>
      </c>
      <c r="FU43" s="39">
        <f>IF(N('Dvd Calendar'!$G$359)=0,"",IF(('Dvd Calendar'!$G$359&gt;=GRID_FROM)*('Dvd Calendar'!$G$359&lt;=GRID_TO)*('Dvd Calendar'!$G$359&gt;VAL_DATE)=0,"",'Dvd Calendar'!$G$359*1000000000+ISNUMBER('Dvd Calendar'!$G$360)*100000000+0*10000000+(N('Dvd Calendar'!$G$358)&gt;0)*(N('Dvd Calendar'!$G$358)&lt;=VAL_SERIAL)*1000000+32*1000+43))</f>
        <v/>
      </c>
      <c r="FV43" s="39">
        <f>IF(N('Dvd Calendar'!$H$359)=0,"",IF(('Dvd Calendar'!$H$359&gt;=GRID_FROM)*('Dvd Calendar'!$H$359&lt;=GRID_TO)*('Dvd Calendar'!$H$359&gt;VAL_DATE)=0,"",'Dvd Calendar'!$H$359*1000000000+ISNUMBER('Dvd Calendar'!$H$360)*100000000+0*10000000+(N('Dvd Calendar'!$H$358)&gt;0)*(N('Dvd Calendar'!$H$358)&lt;=VAL_SERIAL)*1000000+32*1000+44))</f>
        <v/>
      </c>
      <c r="FW43" s="39">
        <f>IF(N('Dvd Calendar'!$I$359)=0,"",IF(('Dvd Calendar'!$I$359&gt;=GRID_FROM)*('Dvd Calendar'!$I$359&lt;=GRID_TO)*('Dvd Calendar'!$I$359&gt;VAL_DATE)=0,"",'Dvd Calendar'!$I$359*1000000000+ISNUMBER('Dvd Calendar'!$I$360)*100000000+0*10000000+(N('Dvd Calendar'!$I$358)&gt;0)*(N('Dvd Calendar'!$I$358)&lt;=VAL_SERIAL)*1000000+32*1000+45))</f>
        <v/>
      </c>
      <c r="FX43" s="39">
        <f>IF(N('Dvd Calendar'!$J$359)=0,"",IF(('Dvd Calendar'!$J$359&gt;=GRID_FROM)*('Dvd Calendar'!$J$359&lt;=GRID_TO)*('Dvd Calendar'!$J$359&gt;VAL_DATE)=0,"",'Dvd Calendar'!$J$359*1000000000+ISNUMBER('Dvd Calendar'!$J$360)*100000000+0*10000000+(N('Dvd Calendar'!$J$358)&gt;0)*(N('Dvd Calendar'!$J$358)&lt;=VAL_SERIAL)*1000000+32*1000+46))</f>
        <v/>
      </c>
      <c r="FY43" s="39">
        <f>IF(N('Dvd Calendar'!$K$359)=0,"",IF(('Dvd Calendar'!$K$359&gt;=GRID_FROM)*('Dvd Calendar'!$K$359&lt;=GRID_TO)*('Dvd Calendar'!$K$359&gt;VAL_DATE)=0,"",'Dvd Calendar'!$K$359*1000000000+ISNUMBER('Dvd Calendar'!$K$360)*100000000+0*10000000+(N('Dvd Calendar'!$K$358)&gt;0)*(N('Dvd Calendar'!$K$358)&lt;=VAL_SERIAL)*1000000+32*1000+47))</f>
        <v/>
      </c>
      <c r="FZ43" s="39">
        <f>IF(N('Dvd Calendar'!$L$359)=0,"",IF(('Dvd Calendar'!$L$359&gt;=GRID_FROM)*('Dvd Calendar'!$L$359&lt;=GRID_TO)*('Dvd Calendar'!$L$359&gt;VAL_DATE)=0,"",'Dvd Calendar'!$L$359*1000000000+ISNUMBER('Dvd Calendar'!$L$360)*100000000+0*10000000+(N('Dvd Calendar'!$L$358)&gt;0)*(N('Dvd Calendar'!$L$358)&lt;=VAL_SERIAL)*1000000+32*1000+48))</f>
        <v/>
      </c>
      <c r="GA43" s="39">
        <f>IF(N('Dvd Calendar'!$M$359)=0,"",IF(('Dvd Calendar'!$M$359&gt;=GRID_FROM)*('Dvd Calendar'!$M$359&lt;=GRID_TO)*('Dvd Calendar'!$M$359&gt;VAL_DATE)=0,"",'Dvd Calendar'!$M$359*1000000000+ISNUMBER('Dvd Calendar'!$M$360)*100000000+0*10000000+(N('Dvd Calendar'!$M$358)&gt;0)*(N('Dvd Calendar'!$M$358)&lt;=VAL_SERIAL)*1000000+32*1000+49))</f>
        <v/>
      </c>
      <c r="GB43" s="39">
        <f>IF(N('Dvd Calendar'!$N$359)=0,"",IF(('Dvd Calendar'!$N$359&gt;=GRID_FROM)*('Dvd Calendar'!$N$359&lt;=GRID_TO)*('Dvd Calendar'!$N$359&gt;VAL_DATE)=0,"",'Dvd Calendar'!$N$359*1000000000+ISNUMBER('Dvd Calendar'!$N$360)*100000000+0*10000000+(N('Dvd Calendar'!$N$358)&gt;0)*(N('Dvd Calendar'!$N$358)&lt;=VAL_SERIAL)*1000000+32*1000+50))</f>
        <v/>
      </c>
      <c r="GC43" s="39">
        <f>IF(N('Dvd Calendar'!$O$359)=0,"",IF(('Dvd Calendar'!$O$359&gt;=GRID_FROM)*('Dvd Calendar'!$O$359&lt;=GRID_TO)*('Dvd Calendar'!$O$359&gt;VAL_DATE)=0,"",'Dvd Calendar'!$O$359*1000000000+ISNUMBER('Dvd Calendar'!$O$360)*100000000+0*10000000+(N('Dvd Calendar'!$O$358)&gt;0)*(N('Dvd Calendar'!$O$358)&lt;=VAL_SERIAL)*1000000+32*1000+51))</f>
        <v/>
      </c>
      <c r="GD43" s="39">
        <f>IF(N('Dvd Calendar'!$P$359)=0,"",IF(('Dvd Calendar'!$P$359&gt;=GRID_FROM)*('Dvd Calendar'!$P$359&lt;=GRID_TO)*('Dvd Calendar'!$P$359&gt;VAL_DATE)=0,"",'Dvd Calendar'!$P$359*1000000000+ISNUMBER('Dvd Calendar'!$P$360)*100000000+0*10000000+(N('Dvd Calendar'!$P$358)&gt;0)*(N('Dvd Calendar'!$P$358)&lt;=VAL_SERIAL)*1000000+32*1000+52))</f>
        <v/>
      </c>
      <c r="GE43" s="39">
        <f>IF(N('Dvd Calendar'!$Q$359)=0,"",IF(('Dvd Calendar'!$Q$359&gt;=GRID_FROM)*('Dvd Calendar'!$Q$359&lt;=GRID_TO)*('Dvd Calendar'!$Q$359&gt;VAL_DATE)=0,"",'Dvd Calendar'!$Q$359*1000000000+ISNUMBER('Dvd Calendar'!$Q$360)*100000000+0*10000000+(N('Dvd Calendar'!$Q$358)&gt;0)*(N('Dvd Calendar'!$Q$358)&lt;=VAL_SERIAL)*1000000+32*1000+53))</f>
        <v/>
      </c>
      <c r="GF43" s="39">
        <f>IF(N('Dvd Calendar'!$R$359)=0,"",IF(('Dvd Calendar'!$R$359&gt;=GRID_FROM)*('Dvd Calendar'!$R$359&lt;=GRID_TO)*('Dvd Calendar'!$R$359&gt;VAL_DATE)=0,"",'Dvd Calendar'!$R$359*1000000000+ISNUMBER('Dvd Calendar'!$R$360)*100000000+0*10000000+(N('Dvd Calendar'!$R$358)&gt;0)*(N('Dvd Calendar'!$R$358)&lt;=VAL_SERIAL)*1000000+32*1000+54))</f>
        <v/>
      </c>
      <c r="GG43" s="39">
        <f>IF(N('Dvd Calendar'!$S$359)=0,"",IF(('Dvd Calendar'!$S$359&gt;=GRID_FROM)*('Dvd Calendar'!$S$359&lt;=GRID_TO)*('Dvd Calendar'!$S$359&gt;VAL_DATE)=0,"",'Dvd Calendar'!$S$359*1000000000+ISNUMBER('Dvd Calendar'!$S$360)*100000000+0*10000000+(N('Dvd Calendar'!$S$358)&gt;0)*(N('Dvd Calendar'!$S$358)&lt;=VAL_SERIAL)*1000000+32*1000+55))</f>
        <v/>
      </c>
      <c r="GH43" s="39">
        <f>IF(N('Dvd Calendar'!$T$359)=0,"",IF(('Dvd Calendar'!$T$359&gt;=GRID_FROM)*('Dvd Calendar'!$T$359&lt;=GRID_TO)*('Dvd Calendar'!$T$359&gt;VAL_DATE)=0,"",'Dvd Calendar'!$T$359*1000000000+ISNUMBER('Dvd Calendar'!$T$360)*100000000+0*10000000+(N('Dvd Calendar'!$T$358)&gt;0)*(N('Dvd Calendar'!$T$358)&lt;=VAL_SERIAL)*1000000+32*1000+56))</f>
        <v/>
      </c>
      <c r="GI43" s="39">
        <f>IF(N('Dvd Calendar'!$U$359)=0,"",IF(('Dvd Calendar'!$U$359&gt;=GRID_FROM)*('Dvd Calendar'!$U$359&lt;=GRID_TO)*('Dvd Calendar'!$U$359&gt;VAL_DATE)=0,"",'Dvd Calendar'!$U$359*1000000000+ISNUMBER('Dvd Calendar'!$U$360)*100000000+0*10000000+(N('Dvd Calendar'!$U$358)&gt;0)*(N('Dvd Calendar'!$U$358)&lt;=VAL_SERIAL)*1000000+32*1000+57))</f>
        <v/>
      </c>
      <c r="GJ43" s="39">
        <f>IF(N('Dvd Calendar'!$V$359)=0,"",IF(('Dvd Calendar'!$V$359&gt;=GRID_FROM)*('Dvd Calendar'!$V$359&lt;=GRID_TO)*('Dvd Calendar'!$V$359&gt;VAL_DATE)=0,"",'Dvd Calendar'!$V$359*1000000000+ISNUMBER('Dvd Calendar'!$V$360)*100000000+0*10000000+(N('Dvd Calendar'!$V$358)&gt;0)*(N('Dvd Calendar'!$V$358)&lt;=VAL_SERIAL)*1000000+32*1000+58))</f>
        <v/>
      </c>
      <c r="GK43" s="39">
        <f>IF(N('Dvd Calendar'!$W$359)=0,"",IF(('Dvd Calendar'!$W$359&gt;=GRID_FROM)*('Dvd Calendar'!$W$359&lt;=GRID_TO)*('Dvd Calendar'!$W$359&gt;VAL_DATE)=0,"",'Dvd Calendar'!$W$359*1000000000+ISNUMBER('Dvd Calendar'!$W$360)*100000000+0*10000000+(N('Dvd Calendar'!$W$358)&gt;0)*(N('Dvd Calendar'!$W$358)&lt;=VAL_SERIAL)*1000000+32*1000+59))</f>
        <v/>
      </c>
      <c r="GL43" s="39">
        <f>IF(N('Dvd Calendar'!$X$359)=0,"",IF(('Dvd Calendar'!$X$359&gt;=GRID_FROM)*('Dvd Calendar'!$X$359&lt;=GRID_TO)*('Dvd Calendar'!$X$359&gt;VAL_DATE)=0,"",'Dvd Calendar'!$X$359*1000000000+ISNUMBER('Dvd Calendar'!$X$360)*100000000+0*10000000+(N('Dvd Calendar'!$X$358)&gt;0)*(N('Dvd Calendar'!$X$358)&lt;=VAL_SERIAL)*1000000+32*1000+60))</f>
        <v/>
      </c>
      <c r="GM43" s="39">
        <f>IF(N('Dvd Calendar'!$Y$359)=0,"",IF(('Dvd Calendar'!$Y$359&gt;=GRID_FROM)*('Dvd Calendar'!$Y$359&lt;=GRID_TO)*('Dvd Calendar'!$Y$359&gt;VAL_DATE)=0,"",'Dvd Calendar'!$Y$359*1000000000+ISNUMBER('Dvd Calendar'!$Y$360)*100000000+0*10000000+(N('Dvd Calendar'!$Y$358)&gt;0)*(N('Dvd Calendar'!$Y$358)&lt;=VAL_SERIAL)*1000000+32*1000+61))</f>
        <v/>
      </c>
      <c r="GN43" s="39">
        <f>IF(N('Dvd Calendar'!$Z$359)=0,"",IF(('Dvd Calendar'!$Z$359&gt;=GRID_FROM)*('Dvd Calendar'!$Z$359&lt;=GRID_TO)*('Dvd Calendar'!$Z$359&gt;VAL_DATE)=0,"",'Dvd Calendar'!$Z$359*1000000000+ISNUMBER('Dvd Calendar'!$Z$360)*100000000+0*10000000+(N('Dvd Calendar'!$Z$358)&gt;0)*(N('Dvd Calendar'!$Z$358)&lt;=VAL_SERIAL)*1000000+32*1000+62))</f>
        <v/>
      </c>
      <c r="GO43" s="39">
        <f>IF(N('Dvd Calendar'!$AA$359)=0,"",IF(('Dvd Calendar'!$AA$359&gt;=GRID_FROM)*('Dvd Calendar'!$AA$359&lt;=GRID_TO)*('Dvd Calendar'!$AA$359&gt;VAL_DATE)=0,"",'Dvd Calendar'!$AA$359*1000000000+ISNUMBER('Dvd Calendar'!$AA$360)*100000000+0*10000000+(N('Dvd Calendar'!$AA$358)&gt;0)*(N('Dvd Calendar'!$AA$358)&lt;=VAL_SERIAL)*1000000+32*1000+63))</f>
        <v/>
      </c>
      <c r="GP43" s="39">
        <f>IF(N('Dvd Calendar'!$AB$359)=0,"",IF(('Dvd Calendar'!$AB$359&gt;=GRID_FROM)*('Dvd Calendar'!$AB$359&lt;=GRID_TO)*('Dvd Calendar'!$AB$359&gt;VAL_DATE)=0,"",'Dvd Calendar'!$AB$359*1000000000+ISNUMBER('Dvd Calendar'!$AB$360)*100000000+0*10000000+(N('Dvd Calendar'!$AB$358)&gt;0)*(N('Dvd Calendar'!$AB$358)&lt;=VAL_SERIAL)*1000000+32*1000+64))</f>
        <v/>
      </c>
      <c r="GQ43" s="39">
        <f>IF(N('Dvd Calendar'!$AC$359)=0,"",IF(('Dvd Calendar'!$AC$359&gt;=GRID_FROM)*('Dvd Calendar'!$AC$359&lt;=GRID_TO)*('Dvd Calendar'!$AC$359&gt;VAL_DATE)=0,"",'Dvd Calendar'!$AC$359*1000000000+ISNUMBER('Dvd Calendar'!$AC$360)*100000000+0*10000000+(N('Dvd Calendar'!$AC$358)&gt;0)*(N('Dvd Calendar'!$AC$358)&lt;=VAL_SERIAL)*1000000+32*1000+65))</f>
        <v/>
      </c>
    </row>
    <row r="44">
      <c r="B44" s="2">
        <f>IF(HSI!$C$39="","",HSI!$C$39)</f>
        <v/>
      </c>
      <c r="C44" s="110">
        <f>IF(EE44="","",IF(ISNUMBER('Dvd Calendar'!$E$366)=FALSE,"",IF((('Dvd Calendar'!$E$368=TYPE1)*(TYPE1&lt;&gt;"")+('Dvd Calendar'!$E$368=TYPE2)*(TYPE2&lt;&gt;"")+('Dvd Calendar'!$E$368=TYPE3)*(TYPE3&lt;&gt;"")+('Dvd Calendar'!$E$368=TYPE4)*(TYPE4&lt;&gt;"")+('Dvd Calendar'!$E$368=SPECIAL_LBL)*(INC_SPECIALS="Y"))=0,"",'Dvd Calendar'!$E$366)))</f>
        <v/>
      </c>
      <c r="D44" s="110">
        <f>IF(EF44="","",IF(ISNUMBER('Dvd Calendar'!$F$366)=FALSE,"",IF((('Dvd Calendar'!$F$368=TYPE1)*(TYPE1&lt;&gt;"")+('Dvd Calendar'!$F$368=TYPE2)*(TYPE2&lt;&gt;"")+('Dvd Calendar'!$F$368=TYPE3)*(TYPE3&lt;&gt;"")+('Dvd Calendar'!$F$368=TYPE4)*(TYPE4&lt;&gt;"")+('Dvd Calendar'!$F$368=SPECIAL_LBL)*(INC_SPECIALS="Y"))=0,"",'Dvd Calendar'!$F$366)))</f>
        <v/>
      </c>
      <c r="E44" s="110">
        <f>IF(EG44="","",IF(ISNUMBER('Dvd Calendar'!$G$366)=FALSE,"",IF((('Dvd Calendar'!$G$368=TYPE1)*(TYPE1&lt;&gt;"")+('Dvd Calendar'!$G$368=TYPE2)*(TYPE2&lt;&gt;"")+('Dvd Calendar'!$G$368=TYPE3)*(TYPE3&lt;&gt;"")+('Dvd Calendar'!$G$368=TYPE4)*(TYPE4&lt;&gt;"")+('Dvd Calendar'!$G$368=SPECIAL_LBL)*(INC_SPECIALS="Y"))=0,"",'Dvd Calendar'!$G$366)))</f>
        <v/>
      </c>
      <c r="F44" s="110">
        <f>IF(EH44="","",IF(ISNUMBER('Dvd Calendar'!$H$366)=FALSE,"",IF((('Dvd Calendar'!$H$368=TYPE1)*(TYPE1&lt;&gt;"")+('Dvd Calendar'!$H$368=TYPE2)*(TYPE2&lt;&gt;"")+('Dvd Calendar'!$H$368=TYPE3)*(TYPE3&lt;&gt;"")+('Dvd Calendar'!$H$368=TYPE4)*(TYPE4&lt;&gt;"")+('Dvd Calendar'!$H$368=SPECIAL_LBL)*(INC_SPECIALS="Y"))=0,"",'Dvd Calendar'!$H$366)))</f>
        <v/>
      </c>
      <c r="G44" s="110">
        <f>IF(EI44="","",IF(ISNUMBER('Dvd Calendar'!$I$366)=FALSE,"",IF((('Dvd Calendar'!$I$368=TYPE1)*(TYPE1&lt;&gt;"")+('Dvd Calendar'!$I$368=TYPE2)*(TYPE2&lt;&gt;"")+('Dvd Calendar'!$I$368=TYPE3)*(TYPE3&lt;&gt;"")+('Dvd Calendar'!$I$368=TYPE4)*(TYPE4&lt;&gt;"")+('Dvd Calendar'!$I$368=SPECIAL_LBL)*(INC_SPECIALS="Y"))=0,"",'Dvd Calendar'!$I$366)))</f>
        <v/>
      </c>
      <c r="H44" s="110">
        <f>IF(EJ44="","",IF(ISNUMBER('Dvd Calendar'!$J$366)=FALSE,"",IF((('Dvd Calendar'!$J$368=TYPE1)*(TYPE1&lt;&gt;"")+('Dvd Calendar'!$J$368=TYPE2)*(TYPE2&lt;&gt;"")+('Dvd Calendar'!$J$368=TYPE3)*(TYPE3&lt;&gt;"")+('Dvd Calendar'!$J$368=TYPE4)*(TYPE4&lt;&gt;"")+('Dvd Calendar'!$J$368=SPECIAL_LBL)*(INC_SPECIALS="Y"))=0,"",'Dvd Calendar'!$J$366)))</f>
        <v/>
      </c>
      <c r="I44" s="110">
        <f>IF(EK44="","",IF(ISNUMBER('Dvd Calendar'!$K$366)=FALSE,"",IF((('Dvd Calendar'!$K$368=TYPE1)*(TYPE1&lt;&gt;"")+('Dvd Calendar'!$K$368=TYPE2)*(TYPE2&lt;&gt;"")+('Dvd Calendar'!$K$368=TYPE3)*(TYPE3&lt;&gt;"")+('Dvd Calendar'!$K$368=TYPE4)*(TYPE4&lt;&gt;"")+('Dvd Calendar'!$K$368=SPECIAL_LBL)*(INC_SPECIALS="Y"))=0,"",'Dvd Calendar'!$K$366)))</f>
        <v/>
      </c>
      <c r="J44" s="110">
        <f>IF(EL44="","",IF(ISNUMBER('Dvd Calendar'!$L$366)=FALSE,"",IF((('Dvd Calendar'!$L$368=TYPE1)*(TYPE1&lt;&gt;"")+('Dvd Calendar'!$L$368=TYPE2)*(TYPE2&lt;&gt;"")+('Dvd Calendar'!$L$368=TYPE3)*(TYPE3&lt;&gt;"")+('Dvd Calendar'!$L$368=TYPE4)*(TYPE4&lt;&gt;"")+('Dvd Calendar'!$L$368=SPECIAL_LBL)*(INC_SPECIALS="Y"))=0,"",'Dvd Calendar'!$L$366)))</f>
        <v/>
      </c>
      <c r="K44" s="110">
        <f>IF(EM44="","",IF(ISNUMBER('Dvd Calendar'!$M$366)=FALSE,"",IF((('Dvd Calendar'!$M$368=TYPE1)*(TYPE1&lt;&gt;"")+('Dvd Calendar'!$M$368=TYPE2)*(TYPE2&lt;&gt;"")+('Dvd Calendar'!$M$368=TYPE3)*(TYPE3&lt;&gt;"")+('Dvd Calendar'!$M$368=TYPE4)*(TYPE4&lt;&gt;"")+('Dvd Calendar'!$M$368=SPECIAL_LBL)*(INC_SPECIALS="Y"))=0,"",'Dvd Calendar'!$M$366)))</f>
        <v/>
      </c>
      <c r="L44" s="110">
        <f>IF(EN44="","",IF(ISNUMBER('Dvd Calendar'!$N$366)=FALSE,"",IF((('Dvd Calendar'!$N$368=TYPE1)*(TYPE1&lt;&gt;"")+('Dvd Calendar'!$N$368=TYPE2)*(TYPE2&lt;&gt;"")+('Dvd Calendar'!$N$368=TYPE3)*(TYPE3&lt;&gt;"")+('Dvd Calendar'!$N$368=TYPE4)*(TYPE4&lt;&gt;"")+('Dvd Calendar'!$N$368=SPECIAL_LBL)*(INC_SPECIALS="Y"))=0,"",'Dvd Calendar'!$N$366)))</f>
        <v/>
      </c>
      <c r="M44" s="110">
        <f>IF(EO44="","",IF(ISNUMBER('Dvd Calendar'!$O$366)=FALSE,"",IF((('Dvd Calendar'!$O$368=TYPE1)*(TYPE1&lt;&gt;"")+('Dvd Calendar'!$O$368=TYPE2)*(TYPE2&lt;&gt;"")+('Dvd Calendar'!$O$368=TYPE3)*(TYPE3&lt;&gt;"")+('Dvd Calendar'!$O$368=TYPE4)*(TYPE4&lt;&gt;"")+('Dvd Calendar'!$O$368=SPECIAL_LBL)*(INC_SPECIALS="Y"))=0,"",'Dvd Calendar'!$O$366)))</f>
        <v/>
      </c>
      <c r="N44" s="110">
        <f>IF(EP44="","",IF(ISNUMBER('Dvd Calendar'!$P$366)=FALSE,"",IF((('Dvd Calendar'!$P$368=TYPE1)*(TYPE1&lt;&gt;"")+('Dvd Calendar'!$P$368=TYPE2)*(TYPE2&lt;&gt;"")+('Dvd Calendar'!$P$368=TYPE3)*(TYPE3&lt;&gt;"")+('Dvd Calendar'!$P$368=TYPE4)*(TYPE4&lt;&gt;"")+('Dvd Calendar'!$P$368=SPECIAL_LBL)*(INC_SPECIALS="Y"))=0,"",'Dvd Calendar'!$P$366)))</f>
        <v/>
      </c>
      <c r="O44" s="110">
        <f>IF(EQ44="","",IF(ISNUMBER('Dvd Calendar'!$Q$366)=FALSE,"",IF((('Dvd Calendar'!$Q$368=TYPE1)*(TYPE1&lt;&gt;"")+('Dvd Calendar'!$Q$368=TYPE2)*(TYPE2&lt;&gt;"")+('Dvd Calendar'!$Q$368=TYPE3)*(TYPE3&lt;&gt;"")+('Dvd Calendar'!$Q$368=TYPE4)*(TYPE4&lt;&gt;"")+('Dvd Calendar'!$Q$368=SPECIAL_LBL)*(INC_SPECIALS="Y"))=0,"",'Dvd Calendar'!$Q$366)))</f>
        <v/>
      </c>
      <c r="P44" s="110">
        <f>IF(ER44="","",IF(ISNUMBER('Dvd Calendar'!$R$366)=FALSE,"",IF((('Dvd Calendar'!$R$368=TYPE1)*(TYPE1&lt;&gt;"")+('Dvd Calendar'!$R$368=TYPE2)*(TYPE2&lt;&gt;"")+('Dvd Calendar'!$R$368=TYPE3)*(TYPE3&lt;&gt;"")+('Dvd Calendar'!$R$368=TYPE4)*(TYPE4&lt;&gt;"")+('Dvd Calendar'!$R$368=SPECIAL_LBL)*(INC_SPECIALS="Y"))=0,"",'Dvd Calendar'!$R$366)))</f>
        <v/>
      </c>
      <c r="Q44" s="110">
        <f>IF(ES44="","",IF(ISNUMBER('Dvd Calendar'!$S$366)=FALSE,"",IF((('Dvd Calendar'!$S$368=TYPE1)*(TYPE1&lt;&gt;"")+('Dvd Calendar'!$S$368=TYPE2)*(TYPE2&lt;&gt;"")+('Dvd Calendar'!$S$368=TYPE3)*(TYPE3&lt;&gt;"")+('Dvd Calendar'!$S$368=TYPE4)*(TYPE4&lt;&gt;"")+('Dvd Calendar'!$S$368=SPECIAL_LBL)*(INC_SPECIALS="Y"))=0,"",'Dvd Calendar'!$S$366)))</f>
        <v/>
      </c>
      <c r="R44" s="110">
        <f>IF(ET44="","",IF(ISNUMBER('Dvd Calendar'!$T$366)=FALSE,"",IF((('Dvd Calendar'!$T$368=TYPE1)*(TYPE1&lt;&gt;"")+('Dvd Calendar'!$T$368=TYPE2)*(TYPE2&lt;&gt;"")+('Dvd Calendar'!$T$368=TYPE3)*(TYPE3&lt;&gt;"")+('Dvd Calendar'!$T$368=TYPE4)*(TYPE4&lt;&gt;"")+('Dvd Calendar'!$T$368=SPECIAL_LBL)*(INC_SPECIALS="Y"))=0,"",'Dvd Calendar'!$T$366)))</f>
        <v/>
      </c>
      <c r="S44" s="110">
        <f>IF(EU44="","",IF(ISNUMBER('Dvd Calendar'!$U$366)=FALSE,"",IF((('Dvd Calendar'!$U$368=TYPE1)*(TYPE1&lt;&gt;"")+('Dvd Calendar'!$U$368=TYPE2)*(TYPE2&lt;&gt;"")+('Dvd Calendar'!$U$368=TYPE3)*(TYPE3&lt;&gt;"")+('Dvd Calendar'!$U$368=TYPE4)*(TYPE4&lt;&gt;"")+('Dvd Calendar'!$U$368=SPECIAL_LBL)*(INC_SPECIALS="Y"))=0,"",'Dvd Calendar'!$U$366)))</f>
        <v/>
      </c>
      <c r="T44" s="110">
        <f>IF(EV44="","",IF(ISNUMBER('Dvd Calendar'!$V$366)=FALSE,"",IF((('Dvd Calendar'!$V$368=TYPE1)*(TYPE1&lt;&gt;"")+('Dvd Calendar'!$V$368=TYPE2)*(TYPE2&lt;&gt;"")+('Dvd Calendar'!$V$368=TYPE3)*(TYPE3&lt;&gt;"")+('Dvd Calendar'!$V$368=TYPE4)*(TYPE4&lt;&gt;"")+('Dvd Calendar'!$V$368=SPECIAL_LBL)*(INC_SPECIALS="Y"))=0,"",'Dvd Calendar'!$V$366)))</f>
        <v/>
      </c>
      <c r="U44" s="110">
        <f>IF(EW44="","",IF(ISNUMBER('Dvd Calendar'!$W$366)=FALSE,"",IF((('Dvd Calendar'!$W$368=TYPE1)*(TYPE1&lt;&gt;"")+('Dvd Calendar'!$W$368=TYPE2)*(TYPE2&lt;&gt;"")+('Dvd Calendar'!$W$368=TYPE3)*(TYPE3&lt;&gt;"")+('Dvd Calendar'!$W$368=TYPE4)*(TYPE4&lt;&gt;"")+('Dvd Calendar'!$W$368=SPECIAL_LBL)*(INC_SPECIALS="Y"))=0,"",'Dvd Calendar'!$W$366)))</f>
        <v/>
      </c>
      <c r="V44" s="110">
        <f>IF(EX44="","",IF(ISNUMBER('Dvd Calendar'!$X$366)=FALSE,"",IF((('Dvd Calendar'!$X$368=TYPE1)*(TYPE1&lt;&gt;"")+('Dvd Calendar'!$X$368=TYPE2)*(TYPE2&lt;&gt;"")+('Dvd Calendar'!$X$368=TYPE3)*(TYPE3&lt;&gt;"")+('Dvd Calendar'!$X$368=TYPE4)*(TYPE4&lt;&gt;"")+('Dvd Calendar'!$X$368=SPECIAL_LBL)*(INC_SPECIALS="Y"))=0,"",'Dvd Calendar'!$X$366)))</f>
        <v/>
      </c>
      <c r="W44" s="110">
        <f>IF(EY44="","",IF(ISNUMBER('Dvd Calendar'!$Y$366)=FALSE,"",IF((('Dvd Calendar'!$Y$368=TYPE1)*(TYPE1&lt;&gt;"")+('Dvd Calendar'!$Y$368=TYPE2)*(TYPE2&lt;&gt;"")+('Dvd Calendar'!$Y$368=TYPE3)*(TYPE3&lt;&gt;"")+('Dvd Calendar'!$Y$368=TYPE4)*(TYPE4&lt;&gt;"")+('Dvd Calendar'!$Y$368=SPECIAL_LBL)*(INC_SPECIALS="Y"))=0,"",'Dvd Calendar'!$Y$366)))</f>
        <v/>
      </c>
      <c r="X44" s="110">
        <f>IF(EZ44="","",IF(ISNUMBER('Dvd Calendar'!$Z$366)=FALSE,"",IF((('Dvd Calendar'!$Z$368=TYPE1)*(TYPE1&lt;&gt;"")+('Dvd Calendar'!$Z$368=TYPE2)*(TYPE2&lt;&gt;"")+('Dvd Calendar'!$Z$368=TYPE3)*(TYPE3&lt;&gt;"")+('Dvd Calendar'!$Z$368=TYPE4)*(TYPE4&lt;&gt;"")+('Dvd Calendar'!$Z$368=SPECIAL_LBL)*(INC_SPECIALS="Y"))=0,"",'Dvd Calendar'!$Z$366)))</f>
        <v/>
      </c>
      <c r="Y44" s="110">
        <f>IF(FA44="","",IF(ISNUMBER('Dvd Calendar'!$AA$366)=FALSE,"",IF((('Dvd Calendar'!$AA$368=TYPE1)*(TYPE1&lt;&gt;"")+('Dvd Calendar'!$AA$368=TYPE2)*(TYPE2&lt;&gt;"")+('Dvd Calendar'!$AA$368=TYPE3)*(TYPE3&lt;&gt;"")+('Dvd Calendar'!$AA$368=TYPE4)*(TYPE4&lt;&gt;"")+('Dvd Calendar'!$AA$368=SPECIAL_LBL)*(INC_SPECIALS="Y"))=0,"",'Dvd Calendar'!$AA$366)))</f>
        <v/>
      </c>
      <c r="Z44" s="110">
        <f>IF(FB44="","",IF(ISNUMBER('Dvd Calendar'!$AB$366)=FALSE,"",IF((('Dvd Calendar'!$AB$368=TYPE1)*(TYPE1&lt;&gt;"")+('Dvd Calendar'!$AB$368=TYPE2)*(TYPE2&lt;&gt;"")+('Dvd Calendar'!$AB$368=TYPE3)*(TYPE3&lt;&gt;"")+('Dvd Calendar'!$AB$368=TYPE4)*(TYPE4&lt;&gt;"")+('Dvd Calendar'!$AB$368=SPECIAL_LBL)*(INC_SPECIALS="Y"))=0,"",'Dvd Calendar'!$AB$366)))</f>
        <v/>
      </c>
      <c r="AA44" s="110">
        <f>IF(FC44="","",IF(ISNUMBER('Dvd Calendar'!$AC$366)=FALSE,"",IF((('Dvd Calendar'!$AC$368=TYPE1)*(TYPE1&lt;&gt;"")+('Dvd Calendar'!$AC$368=TYPE2)*(TYPE2&lt;&gt;"")+('Dvd Calendar'!$AC$368=TYPE3)*(TYPE3&lt;&gt;"")+('Dvd Calendar'!$AC$368=TYPE4)*(TYPE4&lt;&gt;"")+('Dvd Calendar'!$AC$368=SPECIAL_LBL)*(INC_SPECIALS="Y"))=0,"",'Dvd Calendar'!$AC$366)))</f>
        <v/>
      </c>
      <c r="AB44" s="110">
        <f>IF(FD44="","",IF(ISNUMBER('Dvd Calendar'!$AD$366)=FALSE,"",IF((('Dvd Calendar'!$AD$368=TYPE1)*(TYPE1&lt;&gt;"")+('Dvd Calendar'!$AD$368=TYPE2)*(TYPE2&lt;&gt;"")+('Dvd Calendar'!$AD$368=TYPE3)*(TYPE3&lt;&gt;"")+('Dvd Calendar'!$AD$368=TYPE4)*(TYPE4&lt;&gt;"")+('Dvd Calendar'!$AD$368=SPECIAL_LBL)*(INC_SPECIALS="Y"))=0,"",'Dvd Calendar'!$AD$366)))</f>
        <v/>
      </c>
      <c r="AC44" s="110">
        <f>IF(FE44="","",IF(ISNUMBER('Dvd Calendar'!$AE$366)=FALSE,"",IF((('Dvd Calendar'!$AE$368=TYPE1)*(TYPE1&lt;&gt;"")+('Dvd Calendar'!$AE$368=TYPE2)*(TYPE2&lt;&gt;"")+('Dvd Calendar'!$AE$368=TYPE3)*(TYPE3&lt;&gt;"")+('Dvd Calendar'!$AE$368=TYPE4)*(TYPE4&lt;&gt;"")+('Dvd Calendar'!$AE$368=SPECIAL_LBL)*(INC_SPECIALS="Y"))=0,"",'Dvd Calendar'!$AE$366)))</f>
        <v/>
      </c>
      <c r="AD44" s="110">
        <f>IF(FF44="","",IF(ISNUMBER('Dvd Calendar'!$AF$366)=FALSE,"",IF((('Dvd Calendar'!$AF$368=TYPE1)*(TYPE1&lt;&gt;"")+('Dvd Calendar'!$AF$368=TYPE2)*(TYPE2&lt;&gt;"")+('Dvd Calendar'!$AF$368=TYPE3)*(TYPE3&lt;&gt;"")+('Dvd Calendar'!$AF$368=TYPE4)*(TYPE4&lt;&gt;"")+('Dvd Calendar'!$AF$368=SPECIAL_LBL)*(INC_SPECIALS="Y"))=0,"",'Dvd Calendar'!$AF$366)))</f>
        <v/>
      </c>
      <c r="AE44" s="110">
        <f>IF(FG44="","",IF(ISNUMBER('Dvd Calendar'!$AG$366)=FALSE,"",IF((('Dvd Calendar'!$AG$368=TYPE1)*(TYPE1&lt;&gt;"")+('Dvd Calendar'!$AG$368=TYPE2)*(TYPE2&lt;&gt;"")+('Dvd Calendar'!$AG$368=TYPE3)*(TYPE3&lt;&gt;"")+('Dvd Calendar'!$AG$368=TYPE4)*(TYPE4&lt;&gt;"")+('Dvd Calendar'!$AG$368=SPECIAL_LBL)*(INC_SPECIALS="Y"))=0,"",'Dvd Calendar'!$AG$366)))</f>
        <v/>
      </c>
      <c r="AF44" s="110">
        <f>IF(FH44="","",IF(ISNUMBER('Dvd Calendar'!$AH$366)=FALSE,"",IF((('Dvd Calendar'!$AH$368=TYPE1)*(TYPE1&lt;&gt;"")+('Dvd Calendar'!$AH$368=TYPE2)*(TYPE2&lt;&gt;"")+('Dvd Calendar'!$AH$368=TYPE3)*(TYPE3&lt;&gt;"")+('Dvd Calendar'!$AH$368=TYPE4)*(TYPE4&lt;&gt;"")+('Dvd Calendar'!$AH$368=SPECIAL_LBL)*(INC_SPECIALS="Y"))=0,"",'Dvd Calendar'!$AH$366)))</f>
        <v/>
      </c>
      <c r="AG44" s="110">
        <f>IF(FI44="","",IF(ISNUMBER('Dvd Calendar'!$AI$366)=FALSE,"",IF((('Dvd Calendar'!$AI$368=TYPE1)*(TYPE1&lt;&gt;"")+('Dvd Calendar'!$AI$368=TYPE2)*(TYPE2&lt;&gt;"")+('Dvd Calendar'!$AI$368=TYPE3)*(TYPE3&lt;&gt;"")+('Dvd Calendar'!$AI$368=TYPE4)*(TYPE4&lt;&gt;"")+('Dvd Calendar'!$AI$368=SPECIAL_LBL)*(INC_SPECIALS="Y"))=0,"",'Dvd Calendar'!$AI$366)))</f>
        <v/>
      </c>
      <c r="AH44" s="110">
        <f>IF(FJ44="","",IF(ISNUMBER('Dvd Calendar'!$AJ$366)=FALSE,"",IF((('Dvd Calendar'!$AJ$368=TYPE1)*(TYPE1&lt;&gt;"")+('Dvd Calendar'!$AJ$368=TYPE2)*(TYPE2&lt;&gt;"")+('Dvd Calendar'!$AJ$368=TYPE3)*(TYPE3&lt;&gt;"")+('Dvd Calendar'!$AJ$368=TYPE4)*(TYPE4&lt;&gt;"")+('Dvd Calendar'!$AJ$368=SPECIAL_LBL)*(INC_SPECIALS="Y"))=0,"",'Dvd Calendar'!$AJ$366)))</f>
        <v/>
      </c>
      <c r="AI44" s="110">
        <f>IF(FK44="","",IF(ISNUMBER('Dvd Calendar'!$AK$366)=FALSE,"",IF((('Dvd Calendar'!$AK$368=TYPE1)*(TYPE1&lt;&gt;"")+('Dvd Calendar'!$AK$368=TYPE2)*(TYPE2&lt;&gt;"")+('Dvd Calendar'!$AK$368=TYPE3)*(TYPE3&lt;&gt;"")+('Dvd Calendar'!$AK$368=TYPE4)*(TYPE4&lt;&gt;"")+('Dvd Calendar'!$AK$368=SPECIAL_LBL)*(INC_SPECIALS="Y"))=0,"",'Dvd Calendar'!$AK$366)))</f>
        <v/>
      </c>
      <c r="AJ44" s="110">
        <f>IF(FL44="","",IF(ISNUMBER('Dvd Calendar'!$AL$366)=FALSE,"",IF((('Dvd Calendar'!$AL$368=TYPE1)*(TYPE1&lt;&gt;"")+('Dvd Calendar'!$AL$368=TYPE2)*(TYPE2&lt;&gt;"")+('Dvd Calendar'!$AL$368=TYPE3)*(TYPE3&lt;&gt;"")+('Dvd Calendar'!$AL$368=TYPE4)*(TYPE4&lt;&gt;"")+('Dvd Calendar'!$AL$368=SPECIAL_LBL)*(INC_SPECIALS="Y"))=0,"",'Dvd Calendar'!$AL$366)))</f>
        <v/>
      </c>
      <c r="AK44" s="110">
        <f>IF(FM44="","",IF(ISNUMBER('Dvd Calendar'!$AM$366)=FALSE,"",IF((('Dvd Calendar'!$AM$368=TYPE1)*(TYPE1&lt;&gt;"")+('Dvd Calendar'!$AM$368=TYPE2)*(TYPE2&lt;&gt;"")+('Dvd Calendar'!$AM$368=TYPE3)*(TYPE3&lt;&gt;"")+('Dvd Calendar'!$AM$368=TYPE4)*(TYPE4&lt;&gt;"")+('Dvd Calendar'!$AM$368=SPECIAL_LBL)*(INC_SPECIALS="Y"))=0,"",'Dvd Calendar'!$AM$366)))</f>
        <v/>
      </c>
      <c r="AL44" s="110">
        <f>IF(FN44="","",IF(ISNUMBER('Dvd Calendar'!$AN$366)=FALSE,"",IF((('Dvd Calendar'!$AN$368=TYPE1)*(TYPE1&lt;&gt;"")+('Dvd Calendar'!$AN$368=TYPE2)*(TYPE2&lt;&gt;"")+('Dvd Calendar'!$AN$368=TYPE3)*(TYPE3&lt;&gt;"")+('Dvd Calendar'!$AN$368=TYPE4)*(TYPE4&lt;&gt;"")+('Dvd Calendar'!$AN$368=SPECIAL_LBL)*(INC_SPECIALS="Y"))=0,"",'Dvd Calendar'!$AN$366)))</f>
        <v/>
      </c>
      <c r="AM44" s="110">
        <f>IF(FO44="","",IF(ISNUMBER('Dvd Calendar'!$AO$366)=FALSE,"",IF((('Dvd Calendar'!$AO$368=TYPE1)*(TYPE1&lt;&gt;"")+('Dvd Calendar'!$AO$368=TYPE2)*(TYPE2&lt;&gt;"")+('Dvd Calendar'!$AO$368=TYPE3)*(TYPE3&lt;&gt;"")+('Dvd Calendar'!$AO$368=TYPE4)*(TYPE4&lt;&gt;"")+('Dvd Calendar'!$AO$368=SPECIAL_LBL)*(INC_SPECIALS="Y"))=0,"",'Dvd Calendar'!$AO$366)))</f>
        <v/>
      </c>
      <c r="AN44" s="110">
        <f>IF(FP44="","",IF(ISNUMBER('Dvd Calendar'!$AP$366)=FALSE,"",IF((('Dvd Calendar'!$AP$368=TYPE1)*(TYPE1&lt;&gt;"")+('Dvd Calendar'!$AP$368=TYPE2)*(TYPE2&lt;&gt;"")+('Dvd Calendar'!$AP$368=TYPE3)*(TYPE3&lt;&gt;"")+('Dvd Calendar'!$AP$368=TYPE4)*(TYPE4&lt;&gt;"")+('Dvd Calendar'!$AP$368=SPECIAL_LBL)*(INC_SPECIALS="Y"))=0,"",'Dvd Calendar'!$AP$366)))</f>
        <v/>
      </c>
      <c r="AO44" s="110">
        <f>IF(FQ44="","",IF(ISNUMBER('Dvd Calendar'!$AQ$366)=FALSE,"",IF((('Dvd Calendar'!$AQ$368=TYPE1)*(TYPE1&lt;&gt;"")+('Dvd Calendar'!$AQ$368=TYPE2)*(TYPE2&lt;&gt;"")+('Dvd Calendar'!$AQ$368=TYPE3)*(TYPE3&lt;&gt;"")+('Dvd Calendar'!$AQ$368=TYPE4)*(TYPE4&lt;&gt;"")+('Dvd Calendar'!$AQ$368=SPECIAL_LBL)*(INC_SPECIALS="Y"))=0,"",'Dvd Calendar'!$AQ$366)))</f>
        <v/>
      </c>
      <c r="AP44" s="110">
        <f>IF(FR44="","",IF(ISNUMBER('Dvd Calendar'!$AR$366)=FALSE,"",IF((('Dvd Calendar'!$AR$368=TYPE1)*(TYPE1&lt;&gt;"")+('Dvd Calendar'!$AR$368=TYPE2)*(TYPE2&lt;&gt;"")+('Dvd Calendar'!$AR$368=TYPE3)*(TYPE3&lt;&gt;"")+('Dvd Calendar'!$AR$368=TYPE4)*(TYPE4&lt;&gt;"")+('Dvd Calendar'!$AR$368=SPECIAL_LBL)*(INC_SPECIALS="Y"))=0,"",'Dvd Calendar'!$AR$366)))</f>
        <v/>
      </c>
      <c r="AQ44" s="110">
        <f>IF(FS44="","",IF(ISNUMBER('Dvd Calendar'!$E$371)=FALSE,"",'Dvd Calendar'!$E$371))</f>
        <v/>
      </c>
      <c r="AR44" s="110">
        <f>IF(FT44="","",IF(ISNUMBER('Dvd Calendar'!$F$371)=FALSE,"",'Dvd Calendar'!$F$371))</f>
        <v/>
      </c>
      <c r="AS44" s="110">
        <f>IF(FU44="","",IF(ISNUMBER('Dvd Calendar'!$G$371)=FALSE,"",'Dvd Calendar'!$G$371))</f>
        <v/>
      </c>
      <c r="AT44" s="110">
        <f>IF(FV44="","",IF(ISNUMBER('Dvd Calendar'!$H$371)=FALSE,"",'Dvd Calendar'!$H$371))</f>
        <v/>
      </c>
      <c r="AU44" s="110">
        <f>IF(FW44="","",IF(ISNUMBER('Dvd Calendar'!$I$371)=FALSE,"",'Dvd Calendar'!$I$371))</f>
        <v/>
      </c>
      <c r="AV44" s="110">
        <f>IF(FX44="","",IF(ISNUMBER('Dvd Calendar'!$J$371)=FALSE,"",'Dvd Calendar'!$J$371))</f>
        <v/>
      </c>
      <c r="AW44" s="110">
        <f>IF(FY44="","",IF(ISNUMBER('Dvd Calendar'!$K$371)=FALSE,"",'Dvd Calendar'!$K$371))</f>
        <v/>
      </c>
      <c r="AX44" s="110">
        <f>IF(FZ44="","",IF(ISNUMBER('Dvd Calendar'!$L$371)=FALSE,"",'Dvd Calendar'!$L$371))</f>
        <v/>
      </c>
      <c r="AY44" s="110">
        <f>IF(GA44="","",IF(ISNUMBER('Dvd Calendar'!$M$371)=FALSE,"",'Dvd Calendar'!$M$371))</f>
        <v/>
      </c>
      <c r="AZ44" s="110">
        <f>IF(GB44="","",IF(ISNUMBER('Dvd Calendar'!$N$371)=FALSE,"",'Dvd Calendar'!$N$371))</f>
        <v/>
      </c>
      <c r="BA44" s="110">
        <f>IF(GC44="","",IF(ISNUMBER('Dvd Calendar'!$O$371)=FALSE,"",'Dvd Calendar'!$O$371))</f>
        <v/>
      </c>
      <c r="BB44" s="110">
        <f>IF(GD44="","",IF(ISNUMBER('Dvd Calendar'!$P$371)=FALSE,"",'Dvd Calendar'!$P$371))</f>
        <v/>
      </c>
      <c r="BC44" s="110">
        <f>IF(GE44="","",IF(ISNUMBER('Dvd Calendar'!$Q$371)=FALSE,"",'Dvd Calendar'!$Q$371))</f>
        <v/>
      </c>
      <c r="BD44" s="110">
        <f>IF(GF44="","",IF(ISNUMBER('Dvd Calendar'!$R$371)=FALSE,"",'Dvd Calendar'!$R$371))</f>
        <v/>
      </c>
      <c r="BE44" s="110">
        <f>IF(GG44="","",IF(ISNUMBER('Dvd Calendar'!$S$371)=FALSE,"",'Dvd Calendar'!$S$371))</f>
        <v/>
      </c>
      <c r="BF44" s="110">
        <f>IF(GH44="","",IF(ISNUMBER('Dvd Calendar'!$T$371)=FALSE,"",'Dvd Calendar'!$T$371))</f>
        <v/>
      </c>
      <c r="BG44" s="110">
        <f>IF(GI44="","",IF(ISNUMBER('Dvd Calendar'!$U$371)=FALSE,"",'Dvd Calendar'!$U$371))</f>
        <v/>
      </c>
      <c r="BH44" s="110">
        <f>IF(GJ44="","",IF(ISNUMBER('Dvd Calendar'!$V$371)=FALSE,"",'Dvd Calendar'!$V$371))</f>
        <v/>
      </c>
      <c r="BI44" s="110">
        <f>IF(GK44="","",IF(ISNUMBER('Dvd Calendar'!$W$371)=FALSE,"",'Dvd Calendar'!$W$371))</f>
        <v/>
      </c>
      <c r="BJ44" s="110">
        <f>IF(GL44="","",IF(ISNUMBER('Dvd Calendar'!$X$371)=FALSE,"",'Dvd Calendar'!$X$371))</f>
        <v/>
      </c>
      <c r="BK44" s="110">
        <f>IF(GM44="","",IF(ISNUMBER('Dvd Calendar'!$Y$371)=FALSE,"",'Dvd Calendar'!$Y$371))</f>
        <v/>
      </c>
      <c r="BL44" s="110">
        <f>IF(GN44="","",IF(ISNUMBER('Dvd Calendar'!$Z$371)=FALSE,"",'Dvd Calendar'!$Z$371))</f>
        <v/>
      </c>
      <c r="BM44" s="110">
        <f>IF(GO44="","",IF(ISNUMBER('Dvd Calendar'!$AA$371)=FALSE,"",'Dvd Calendar'!$AA$371))</f>
        <v/>
      </c>
      <c r="BN44" s="110">
        <f>IF(GP44="","",IF(ISNUMBER('Dvd Calendar'!$AB$371)=FALSE,"",'Dvd Calendar'!$AB$371))</f>
        <v/>
      </c>
      <c r="BO44" s="110">
        <f>IF(GQ44="","",IF(ISNUMBER('Dvd Calendar'!$AC$371)=FALSE,"",'Dvd Calendar'!$AC$371))</f>
        <v/>
      </c>
      <c r="BQ44" s="110">
        <f>IF(C44="","",IFERROR(C44*HSI!$B$39*HSI!$G$39/HSI!$B$3,""))</f>
        <v/>
      </c>
      <c r="BR44" s="110">
        <f>IF(D44="","",IFERROR(D44*HSI!$B$39*HSI!$G$39/HSI!$B$3,""))</f>
        <v/>
      </c>
      <c r="BS44" s="110">
        <f>IF(E44="","",IFERROR(E44*HSI!$B$39*HSI!$G$39/HSI!$B$3,""))</f>
        <v/>
      </c>
      <c r="BT44" s="110">
        <f>IF(F44="","",IFERROR(F44*HSI!$B$39*HSI!$G$39/HSI!$B$3,""))</f>
        <v/>
      </c>
      <c r="BU44" s="110">
        <f>IF(G44="","",IFERROR(G44*HSI!$B$39*HSI!$G$39/HSI!$B$3,""))</f>
        <v/>
      </c>
      <c r="BV44" s="110">
        <f>IF(H44="","",IFERROR(H44*HSI!$B$39*HSI!$G$39/HSI!$B$3,""))</f>
        <v/>
      </c>
      <c r="BW44" s="110">
        <f>IF(I44="","",IFERROR(I44*HSI!$B$39*HSI!$G$39/HSI!$B$3,""))</f>
        <v/>
      </c>
      <c r="BX44" s="110">
        <f>IF(J44="","",IFERROR(J44*HSI!$B$39*HSI!$G$39/HSI!$B$3,""))</f>
        <v/>
      </c>
      <c r="BY44" s="110">
        <f>IF(K44="","",IFERROR(K44*HSI!$B$39*HSI!$G$39/HSI!$B$3,""))</f>
        <v/>
      </c>
      <c r="BZ44" s="110">
        <f>IF(L44="","",IFERROR(L44*HSI!$B$39*HSI!$G$39/HSI!$B$3,""))</f>
        <v/>
      </c>
      <c r="CA44" s="110">
        <f>IF(M44="","",IFERROR(M44*HSI!$B$39*HSI!$G$39/HSI!$B$3,""))</f>
        <v/>
      </c>
      <c r="CB44" s="110">
        <f>IF(N44="","",IFERROR(N44*HSI!$B$39*HSI!$G$39/HSI!$B$3,""))</f>
        <v/>
      </c>
      <c r="CC44" s="110">
        <f>IF(O44="","",IFERROR(O44*HSI!$B$39*HSI!$G$39/HSI!$B$3,""))</f>
        <v/>
      </c>
      <c r="CD44" s="110">
        <f>IF(P44="","",IFERROR(P44*HSI!$B$39*HSI!$G$39/HSI!$B$3,""))</f>
        <v/>
      </c>
      <c r="CE44" s="110">
        <f>IF(Q44="","",IFERROR(Q44*HSI!$B$39*HSI!$G$39/HSI!$B$3,""))</f>
        <v/>
      </c>
      <c r="CF44" s="110">
        <f>IF(R44="","",IFERROR(R44*HSI!$B$39*HSI!$G$39/HSI!$B$3,""))</f>
        <v/>
      </c>
      <c r="CG44" s="110">
        <f>IF(S44="","",IFERROR(S44*HSI!$B$39*HSI!$G$39/HSI!$B$3,""))</f>
        <v/>
      </c>
      <c r="CH44" s="110">
        <f>IF(T44="","",IFERROR(T44*HSI!$B$39*HSI!$G$39/HSI!$B$3,""))</f>
        <v/>
      </c>
      <c r="CI44" s="110">
        <f>IF(U44="","",IFERROR(U44*HSI!$B$39*HSI!$G$39/HSI!$B$3,""))</f>
        <v/>
      </c>
      <c r="CJ44" s="110">
        <f>IF(V44="","",IFERROR(V44*HSI!$B$39*HSI!$G$39/HSI!$B$3,""))</f>
        <v/>
      </c>
      <c r="CK44" s="110">
        <f>IF(W44="","",IFERROR(W44*HSI!$B$39*HSI!$G$39/HSI!$B$3,""))</f>
        <v/>
      </c>
      <c r="CL44" s="110">
        <f>IF(X44="","",IFERROR(X44*HSI!$B$39*HSI!$G$39/HSI!$B$3,""))</f>
        <v/>
      </c>
      <c r="CM44" s="110">
        <f>IF(Y44="","",IFERROR(Y44*HSI!$B$39*HSI!$G$39/HSI!$B$3,""))</f>
        <v/>
      </c>
      <c r="CN44" s="110">
        <f>IF(Z44="","",IFERROR(Z44*HSI!$B$39*HSI!$G$39/HSI!$B$3,""))</f>
        <v/>
      </c>
      <c r="CO44" s="110">
        <f>IF(AA44="","",IFERROR(AA44*HSI!$B$39*HSI!$G$39/HSI!$B$3,""))</f>
        <v/>
      </c>
      <c r="CP44" s="110">
        <f>IF(AB44="","",IFERROR(AB44*HSI!$B$39*HSI!$G$39/HSI!$B$3,""))</f>
        <v/>
      </c>
      <c r="CQ44" s="110">
        <f>IF(AC44="","",IFERROR(AC44*HSI!$B$39*HSI!$G$39/HSI!$B$3,""))</f>
        <v/>
      </c>
      <c r="CR44" s="110">
        <f>IF(AD44="","",IFERROR(AD44*HSI!$B$39*HSI!$G$39/HSI!$B$3,""))</f>
        <v/>
      </c>
      <c r="CS44" s="110">
        <f>IF(AE44="","",IFERROR(AE44*HSI!$B$39*HSI!$G$39/HSI!$B$3,""))</f>
        <v/>
      </c>
      <c r="CT44" s="110">
        <f>IF(AF44="","",IFERROR(AF44*HSI!$B$39*HSI!$G$39/HSI!$B$3,""))</f>
        <v/>
      </c>
      <c r="CU44" s="110">
        <f>IF(AG44="","",IFERROR(AG44*HSI!$B$39*HSI!$G$39/HSI!$B$3,""))</f>
        <v/>
      </c>
      <c r="CV44" s="110">
        <f>IF(AH44="","",IFERROR(AH44*HSI!$B$39*HSI!$G$39/HSI!$B$3,""))</f>
        <v/>
      </c>
      <c r="CW44" s="110">
        <f>IF(AI44="","",IFERROR(AI44*HSI!$B$39*HSI!$G$39/HSI!$B$3,""))</f>
        <v/>
      </c>
      <c r="CX44" s="110">
        <f>IF(AJ44="","",IFERROR(AJ44*HSI!$B$39*HSI!$G$39/HSI!$B$3,""))</f>
        <v/>
      </c>
      <c r="CY44" s="110">
        <f>IF(AK44="","",IFERROR(AK44*HSI!$B$39*HSI!$G$39/HSI!$B$3,""))</f>
        <v/>
      </c>
      <c r="CZ44" s="110">
        <f>IF(AL44="","",IFERROR(AL44*HSI!$B$39*HSI!$G$39/HSI!$B$3,""))</f>
        <v/>
      </c>
      <c r="DA44" s="110">
        <f>IF(AM44="","",IFERROR(AM44*HSI!$B$39*HSI!$G$39/HSI!$B$3,""))</f>
        <v/>
      </c>
      <c r="DB44" s="110">
        <f>IF(AN44="","",IFERROR(AN44*HSI!$B$39*HSI!$G$39/HSI!$B$3,""))</f>
        <v/>
      </c>
      <c r="DC44" s="110">
        <f>IF(AO44="","",IFERROR(AO44*HSI!$B$39*HSI!$G$39/HSI!$B$3,""))</f>
        <v/>
      </c>
      <c r="DD44" s="110">
        <f>IF(AP44="","",IFERROR(AP44*HSI!$B$39*HSI!$G$39/HSI!$B$3,""))</f>
        <v/>
      </c>
      <c r="DE44" s="110">
        <f>IF(AQ44="","",IFERROR(AQ44*HSI!$B$39*HSI!$G$39/HSI!$B$3,""))</f>
        <v/>
      </c>
      <c r="DF44" s="110">
        <f>IF(AR44="","",IFERROR(AR44*HSI!$B$39*HSI!$G$39/HSI!$B$3,""))</f>
        <v/>
      </c>
      <c r="DG44" s="110">
        <f>IF(AS44="","",IFERROR(AS44*HSI!$B$39*HSI!$G$39/HSI!$B$3,""))</f>
        <v/>
      </c>
      <c r="DH44" s="110">
        <f>IF(AT44="","",IFERROR(AT44*HSI!$B$39*HSI!$G$39/HSI!$B$3,""))</f>
        <v/>
      </c>
      <c r="DI44" s="110">
        <f>IF(AU44="","",IFERROR(AU44*HSI!$B$39*HSI!$G$39/HSI!$B$3,""))</f>
        <v/>
      </c>
      <c r="DJ44" s="110">
        <f>IF(AV44="","",IFERROR(AV44*HSI!$B$39*HSI!$G$39/HSI!$B$3,""))</f>
        <v/>
      </c>
      <c r="DK44" s="110">
        <f>IF(AW44="","",IFERROR(AW44*HSI!$B$39*HSI!$G$39/HSI!$B$3,""))</f>
        <v/>
      </c>
      <c r="DL44" s="110">
        <f>IF(AX44="","",IFERROR(AX44*HSI!$B$39*HSI!$G$39/HSI!$B$3,""))</f>
        <v/>
      </c>
      <c r="DM44" s="110">
        <f>IF(AY44="","",IFERROR(AY44*HSI!$B$39*HSI!$G$39/HSI!$B$3,""))</f>
        <v/>
      </c>
      <c r="DN44" s="110">
        <f>IF(AZ44="","",IFERROR(AZ44*HSI!$B$39*HSI!$G$39/HSI!$B$3,""))</f>
        <v/>
      </c>
      <c r="DO44" s="110">
        <f>IF(BA44="","",IFERROR(BA44*HSI!$B$39*HSI!$G$39/HSI!$B$3,""))</f>
        <v/>
      </c>
      <c r="DP44" s="110">
        <f>IF(BB44="","",IFERROR(BB44*HSI!$B$39*HSI!$G$39/HSI!$B$3,""))</f>
        <v/>
      </c>
      <c r="DQ44" s="110">
        <f>IF(BC44="","",IFERROR(BC44*HSI!$B$39*HSI!$G$39/HSI!$B$3,""))</f>
        <v/>
      </c>
      <c r="DR44" s="110">
        <f>IF(BD44="","",IFERROR(BD44*HSI!$B$39*HSI!$G$39/HSI!$B$3,""))</f>
        <v/>
      </c>
      <c r="DS44" s="110">
        <f>IF(BE44="","",IFERROR(BE44*HSI!$B$39*HSI!$G$39/HSI!$B$3,""))</f>
        <v/>
      </c>
      <c r="DT44" s="110">
        <f>IF(BF44="","",IFERROR(BF44*HSI!$B$39*HSI!$G$39/HSI!$B$3,""))</f>
        <v/>
      </c>
      <c r="DU44" s="110">
        <f>IF(BG44="","",IFERROR(BG44*HSI!$B$39*HSI!$G$39/HSI!$B$3,""))</f>
        <v/>
      </c>
      <c r="DV44" s="110">
        <f>IF(BH44="","",IFERROR(BH44*HSI!$B$39*HSI!$G$39/HSI!$B$3,""))</f>
        <v/>
      </c>
      <c r="DW44" s="110">
        <f>IF(BI44="","",IFERROR(BI44*HSI!$B$39*HSI!$G$39/HSI!$B$3,""))</f>
        <v/>
      </c>
      <c r="DX44" s="110">
        <f>IF(BJ44="","",IFERROR(BJ44*HSI!$B$39*HSI!$G$39/HSI!$B$3,""))</f>
        <v/>
      </c>
      <c r="DY44" s="110">
        <f>IF(BK44="","",IFERROR(BK44*HSI!$B$39*HSI!$G$39/HSI!$B$3,""))</f>
        <v/>
      </c>
      <c r="DZ44" s="110">
        <f>IF(BL44="","",IFERROR(BL44*HSI!$B$39*HSI!$G$39/HSI!$B$3,""))</f>
        <v/>
      </c>
      <c r="EA44" s="110">
        <f>IF(BM44="","",IFERROR(BM44*HSI!$B$39*HSI!$G$39/HSI!$B$3,""))</f>
        <v/>
      </c>
      <c r="EB44" s="110">
        <f>IF(BN44="","",IFERROR(BN44*HSI!$B$39*HSI!$G$39/HSI!$B$3,""))</f>
        <v/>
      </c>
      <c r="EC44" s="110">
        <f>IF(BO44="","",IFERROR(BO44*HSI!$B$39*HSI!$G$39/HSI!$B$3,""))</f>
        <v/>
      </c>
      <c r="EE44" s="39">
        <f>IF(N('Dvd Calendar'!$E$363)=0,"",IF(('Dvd Calendar'!$E$363&gt;=GRID_FROM)*('Dvd Calendar'!$E$363&lt;=GRID_TO)*((('Dvd Calendar'!$E$363&lt;=VAL_DATE)+(COUNTIF('Dvd Calendar'!$E$370:$AR$370,'Dvd Calendar'!$E$363)=0))&gt;0)=0,"",'Dvd Calendar'!$E$363*1000000000+ISNUMBER('Dvd Calendar'!$E$366)*100000000+('Dvd Calendar'!$E$368=SPECIAL_LBL)*10000000+(N('Dvd Calendar'!$E$362)&gt;0)*(N('Dvd Calendar'!$E$362)&lt;=VAL_SERIAL)*1000000+33*1000+1))</f>
        <v/>
      </c>
      <c r="EF44" s="39">
        <f>IF(N('Dvd Calendar'!$F$363)=0,"",IF(('Dvd Calendar'!$F$363&gt;=GRID_FROM)*('Dvd Calendar'!$F$363&lt;=GRID_TO)*((('Dvd Calendar'!$F$363&lt;=VAL_DATE)+(COUNTIF('Dvd Calendar'!$E$370:$AR$370,'Dvd Calendar'!$F$363)=0))&gt;0)=0,"",'Dvd Calendar'!$F$363*1000000000+ISNUMBER('Dvd Calendar'!$F$366)*100000000+('Dvd Calendar'!$F$368=SPECIAL_LBL)*10000000+(N('Dvd Calendar'!$F$362)&gt;0)*(N('Dvd Calendar'!$F$362)&lt;=VAL_SERIAL)*1000000+33*1000+2))</f>
        <v/>
      </c>
      <c r="EG44" s="39">
        <f>IF(N('Dvd Calendar'!$G$363)=0,"",IF(('Dvd Calendar'!$G$363&gt;=GRID_FROM)*('Dvd Calendar'!$G$363&lt;=GRID_TO)*((('Dvd Calendar'!$G$363&lt;=VAL_DATE)+(COUNTIF('Dvd Calendar'!$E$370:$AR$370,'Dvd Calendar'!$G$363)=0))&gt;0)=0,"",'Dvd Calendar'!$G$363*1000000000+ISNUMBER('Dvd Calendar'!$G$366)*100000000+('Dvd Calendar'!$G$368=SPECIAL_LBL)*10000000+(N('Dvd Calendar'!$G$362)&gt;0)*(N('Dvd Calendar'!$G$362)&lt;=VAL_SERIAL)*1000000+33*1000+3))</f>
        <v/>
      </c>
      <c r="EH44" s="39">
        <f>IF(N('Dvd Calendar'!$H$363)=0,"",IF(('Dvd Calendar'!$H$363&gt;=GRID_FROM)*('Dvd Calendar'!$H$363&lt;=GRID_TO)*((('Dvd Calendar'!$H$363&lt;=VAL_DATE)+(COUNTIF('Dvd Calendar'!$E$370:$AR$370,'Dvd Calendar'!$H$363)=0))&gt;0)=0,"",'Dvd Calendar'!$H$363*1000000000+ISNUMBER('Dvd Calendar'!$H$366)*100000000+('Dvd Calendar'!$H$368=SPECIAL_LBL)*10000000+(N('Dvd Calendar'!$H$362)&gt;0)*(N('Dvd Calendar'!$H$362)&lt;=VAL_SERIAL)*1000000+33*1000+4))</f>
        <v/>
      </c>
      <c r="EI44" s="39">
        <f>IF(N('Dvd Calendar'!$I$363)=0,"",IF(('Dvd Calendar'!$I$363&gt;=GRID_FROM)*('Dvd Calendar'!$I$363&lt;=GRID_TO)*((('Dvd Calendar'!$I$363&lt;=VAL_DATE)+(COUNTIF('Dvd Calendar'!$E$370:$AR$370,'Dvd Calendar'!$I$363)=0))&gt;0)=0,"",'Dvd Calendar'!$I$363*1000000000+ISNUMBER('Dvd Calendar'!$I$366)*100000000+('Dvd Calendar'!$I$368=SPECIAL_LBL)*10000000+(N('Dvd Calendar'!$I$362)&gt;0)*(N('Dvd Calendar'!$I$362)&lt;=VAL_SERIAL)*1000000+33*1000+5))</f>
        <v/>
      </c>
      <c r="EJ44" s="39">
        <f>IF(N('Dvd Calendar'!$J$363)=0,"",IF(('Dvd Calendar'!$J$363&gt;=GRID_FROM)*('Dvd Calendar'!$J$363&lt;=GRID_TO)*((('Dvd Calendar'!$J$363&lt;=VAL_DATE)+(COUNTIF('Dvd Calendar'!$E$370:$AR$370,'Dvd Calendar'!$J$363)=0))&gt;0)=0,"",'Dvd Calendar'!$J$363*1000000000+ISNUMBER('Dvd Calendar'!$J$366)*100000000+('Dvd Calendar'!$J$368=SPECIAL_LBL)*10000000+(N('Dvd Calendar'!$J$362)&gt;0)*(N('Dvd Calendar'!$J$362)&lt;=VAL_SERIAL)*1000000+33*1000+6))</f>
        <v/>
      </c>
      <c r="EK44" s="39">
        <f>IF(N('Dvd Calendar'!$K$363)=0,"",IF(('Dvd Calendar'!$K$363&gt;=GRID_FROM)*('Dvd Calendar'!$K$363&lt;=GRID_TO)*((('Dvd Calendar'!$K$363&lt;=VAL_DATE)+(COUNTIF('Dvd Calendar'!$E$370:$AR$370,'Dvd Calendar'!$K$363)=0))&gt;0)=0,"",'Dvd Calendar'!$K$363*1000000000+ISNUMBER('Dvd Calendar'!$K$366)*100000000+('Dvd Calendar'!$K$368=SPECIAL_LBL)*10000000+(N('Dvd Calendar'!$K$362)&gt;0)*(N('Dvd Calendar'!$K$362)&lt;=VAL_SERIAL)*1000000+33*1000+7))</f>
        <v/>
      </c>
      <c r="EL44" s="39">
        <f>IF(N('Dvd Calendar'!$L$363)=0,"",IF(('Dvd Calendar'!$L$363&gt;=GRID_FROM)*('Dvd Calendar'!$L$363&lt;=GRID_TO)*((('Dvd Calendar'!$L$363&lt;=VAL_DATE)+(COUNTIF('Dvd Calendar'!$E$370:$AR$370,'Dvd Calendar'!$L$363)=0))&gt;0)=0,"",'Dvd Calendar'!$L$363*1000000000+ISNUMBER('Dvd Calendar'!$L$366)*100000000+('Dvd Calendar'!$L$368=SPECIAL_LBL)*10000000+(N('Dvd Calendar'!$L$362)&gt;0)*(N('Dvd Calendar'!$L$362)&lt;=VAL_SERIAL)*1000000+33*1000+8))</f>
        <v/>
      </c>
      <c r="EM44" s="39">
        <f>IF(N('Dvd Calendar'!$M$363)=0,"",IF(('Dvd Calendar'!$M$363&gt;=GRID_FROM)*('Dvd Calendar'!$M$363&lt;=GRID_TO)*((('Dvd Calendar'!$M$363&lt;=VAL_DATE)+(COUNTIF('Dvd Calendar'!$E$370:$AR$370,'Dvd Calendar'!$M$363)=0))&gt;0)=0,"",'Dvd Calendar'!$M$363*1000000000+ISNUMBER('Dvd Calendar'!$M$366)*100000000+('Dvd Calendar'!$M$368=SPECIAL_LBL)*10000000+(N('Dvd Calendar'!$M$362)&gt;0)*(N('Dvd Calendar'!$M$362)&lt;=VAL_SERIAL)*1000000+33*1000+9))</f>
        <v/>
      </c>
      <c r="EN44" s="39">
        <f>IF(N('Dvd Calendar'!$N$363)=0,"",IF(('Dvd Calendar'!$N$363&gt;=GRID_FROM)*('Dvd Calendar'!$N$363&lt;=GRID_TO)*((('Dvd Calendar'!$N$363&lt;=VAL_DATE)+(COUNTIF('Dvd Calendar'!$E$370:$AR$370,'Dvd Calendar'!$N$363)=0))&gt;0)=0,"",'Dvd Calendar'!$N$363*1000000000+ISNUMBER('Dvd Calendar'!$N$366)*100000000+('Dvd Calendar'!$N$368=SPECIAL_LBL)*10000000+(N('Dvd Calendar'!$N$362)&gt;0)*(N('Dvd Calendar'!$N$362)&lt;=VAL_SERIAL)*1000000+33*1000+10))</f>
        <v/>
      </c>
      <c r="EO44" s="39">
        <f>IF(N('Dvd Calendar'!$O$363)=0,"",IF(('Dvd Calendar'!$O$363&gt;=GRID_FROM)*('Dvd Calendar'!$O$363&lt;=GRID_TO)*((('Dvd Calendar'!$O$363&lt;=VAL_DATE)+(COUNTIF('Dvd Calendar'!$E$370:$AR$370,'Dvd Calendar'!$O$363)=0))&gt;0)=0,"",'Dvd Calendar'!$O$363*1000000000+ISNUMBER('Dvd Calendar'!$O$366)*100000000+('Dvd Calendar'!$O$368=SPECIAL_LBL)*10000000+(N('Dvd Calendar'!$O$362)&gt;0)*(N('Dvd Calendar'!$O$362)&lt;=VAL_SERIAL)*1000000+33*1000+11))</f>
        <v/>
      </c>
      <c r="EP44" s="39">
        <f>IF(N('Dvd Calendar'!$P$363)=0,"",IF(('Dvd Calendar'!$P$363&gt;=GRID_FROM)*('Dvd Calendar'!$P$363&lt;=GRID_TO)*((('Dvd Calendar'!$P$363&lt;=VAL_DATE)+(COUNTIF('Dvd Calendar'!$E$370:$AR$370,'Dvd Calendar'!$P$363)=0))&gt;0)=0,"",'Dvd Calendar'!$P$363*1000000000+ISNUMBER('Dvd Calendar'!$P$366)*100000000+('Dvd Calendar'!$P$368=SPECIAL_LBL)*10000000+(N('Dvd Calendar'!$P$362)&gt;0)*(N('Dvd Calendar'!$P$362)&lt;=VAL_SERIAL)*1000000+33*1000+12))</f>
        <v/>
      </c>
      <c r="EQ44" s="39">
        <f>IF(N('Dvd Calendar'!$Q$363)=0,"",IF(('Dvd Calendar'!$Q$363&gt;=GRID_FROM)*('Dvd Calendar'!$Q$363&lt;=GRID_TO)*((('Dvd Calendar'!$Q$363&lt;=VAL_DATE)+(COUNTIF('Dvd Calendar'!$E$370:$AR$370,'Dvd Calendar'!$Q$363)=0))&gt;0)=0,"",'Dvd Calendar'!$Q$363*1000000000+ISNUMBER('Dvd Calendar'!$Q$366)*100000000+('Dvd Calendar'!$Q$368=SPECIAL_LBL)*10000000+(N('Dvd Calendar'!$Q$362)&gt;0)*(N('Dvd Calendar'!$Q$362)&lt;=VAL_SERIAL)*1000000+33*1000+13))</f>
        <v/>
      </c>
      <c r="ER44" s="39">
        <f>IF(N('Dvd Calendar'!$R$363)=0,"",IF(('Dvd Calendar'!$R$363&gt;=GRID_FROM)*('Dvd Calendar'!$R$363&lt;=GRID_TO)*((('Dvd Calendar'!$R$363&lt;=VAL_DATE)+(COUNTIF('Dvd Calendar'!$E$370:$AR$370,'Dvd Calendar'!$R$363)=0))&gt;0)=0,"",'Dvd Calendar'!$R$363*1000000000+ISNUMBER('Dvd Calendar'!$R$366)*100000000+('Dvd Calendar'!$R$368=SPECIAL_LBL)*10000000+(N('Dvd Calendar'!$R$362)&gt;0)*(N('Dvd Calendar'!$R$362)&lt;=VAL_SERIAL)*1000000+33*1000+14))</f>
        <v/>
      </c>
      <c r="ES44" s="39">
        <f>IF(N('Dvd Calendar'!$S$363)=0,"",IF(('Dvd Calendar'!$S$363&gt;=GRID_FROM)*('Dvd Calendar'!$S$363&lt;=GRID_TO)*((('Dvd Calendar'!$S$363&lt;=VAL_DATE)+(COUNTIF('Dvd Calendar'!$E$370:$AR$370,'Dvd Calendar'!$S$363)=0))&gt;0)=0,"",'Dvd Calendar'!$S$363*1000000000+ISNUMBER('Dvd Calendar'!$S$366)*100000000+('Dvd Calendar'!$S$368=SPECIAL_LBL)*10000000+(N('Dvd Calendar'!$S$362)&gt;0)*(N('Dvd Calendar'!$S$362)&lt;=VAL_SERIAL)*1000000+33*1000+15))</f>
        <v/>
      </c>
      <c r="ET44" s="39">
        <f>IF(N('Dvd Calendar'!$T$363)=0,"",IF(('Dvd Calendar'!$T$363&gt;=GRID_FROM)*('Dvd Calendar'!$T$363&lt;=GRID_TO)*((('Dvd Calendar'!$T$363&lt;=VAL_DATE)+(COUNTIF('Dvd Calendar'!$E$370:$AR$370,'Dvd Calendar'!$T$363)=0))&gt;0)=0,"",'Dvd Calendar'!$T$363*1000000000+ISNUMBER('Dvd Calendar'!$T$366)*100000000+('Dvd Calendar'!$T$368=SPECIAL_LBL)*10000000+(N('Dvd Calendar'!$T$362)&gt;0)*(N('Dvd Calendar'!$T$362)&lt;=VAL_SERIAL)*1000000+33*1000+16))</f>
        <v/>
      </c>
      <c r="EU44" s="39">
        <f>IF(N('Dvd Calendar'!$U$363)=0,"",IF(('Dvd Calendar'!$U$363&gt;=GRID_FROM)*('Dvd Calendar'!$U$363&lt;=GRID_TO)*((('Dvd Calendar'!$U$363&lt;=VAL_DATE)+(COUNTIF('Dvd Calendar'!$E$370:$AR$370,'Dvd Calendar'!$U$363)=0))&gt;0)=0,"",'Dvd Calendar'!$U$363*1000000000+ISNUMBER('Dvd Calendar'!$U$366)*100000000+('Dvd Calendar'!$U$368=SPECIAL_LBL)*10000000+(N('Dvd Calendar'!$U$362)&gt;0)*(N('Dvd Calendar'!$U$362)&lt;=VAL_SERIAL)*1000000+33*1000+17))</f>
        <v/>
      </c>
      <c r="EV44" s="39">
        <f>IF(N('Dvd Calendar'!$V$363)=0,"",IF(('Dvd Calendar'!$V$363&gt;=GRID_FROM)*('Dvd Calendar'!$V$363&lt;=GRID_TO)*((('Dvd Calendar'!$V$363&lt;=VAL_DATE)+(COUNTIF('Dvd Calendar'!$E$370:$AR$370,'Dvd Calendar'!$V$363)=0))&gt;0)=0,"",'Dvd Calendar'!$V$363*1000000000+ISNUMBER('Dvd Calendar'!$V$366)*100000000+('Dvd Calendar'!$V$368=SPECIAL_LBL)*10000000+(N('Dvd Calendar'!$V$362)&gt;0)*(N('Dvd Calendar'!$V$362)&lt;=VAL_SERIAL)*1000000+33*1000+18))</f>
        <v/>
      </c>
      <c r="EW44" s="39">
        <f>IF(N('Dvd Calendar'!$W$363)=0,"",IF(('Dvd Calendar'!$W$363&gt;=GRID_FROM)*('Dvd Calendar'!$W$363&lt;=GRID_TO)*((('Dvd Calendar'!$W$363&lt;=VAL_DATE)+(COUNTIF('Dvd Calendar'!$E$370:$AR$370,'Dvd Calendar'!$W$363)=0))&gt;0)=0,"",'Dvd Calendar'!$W$363*1000000000+ISNUMBER('Dvd Calendar'!$W$366)*100000000+('Dvd Calendar'!$W$368=SPECIAL_LBL)*10000000+(N('Dvd Calendar'!$W$362)&gt;0)*(N('Dvd Calendar'!$W$362)&lt;=VAL_SERIAL)*1000000+33*1000+19))</f>
        <v/>
      </c>
      <c r="EX44" s="39">
        <f>IF(N('Dvd Calendar'!$X$363)=0,"",IF(('Dvd Calendar'!$X$363&gt;=GRID_FROM)*('Dvd Calendar'!$X$363&lt;=GRID_TO)*((('Dvd Calendar'!$X$363&lt;=VAL_DATE)+(COUNTIF('Dvd Calendar'!$E$370:$AR$370,'Dvd Calendar'!$X$363)=0))&gt;0)=0,"",'Dvd Calendar'!$X$363*1000000000+ISNUMBER('Dvd Calendar'!$X$366)*100000000+('Dvd Calendar'!$X$368=SPECIAL_LBL)*10000000+(N('Dvd Calendar'!$X$362)&gt;0)*(N('Dvd Calendar'!$X$362)&lt;=VAL_SERIAL)*1000000+33*1000+20))</f>
        <v/>
      </c>
      <c r="EY44" s="39">
        <f>IF(N('Dvd Calendar'!$Y$363)=0,"",IF(('Dvd Calendar'!$Y$363&gt;=GRID_FROM)*('Dvd Calendar'!$Y$363&lt;=GRID_TO)*((('Dvd Calendar'!$Y$363&lt;=VAL_DATE)+(COUNTIF('Dvd Calendar'!$E$370:$AR$370,'Dvd Calendar'!$Y$363)=0))&gt;0)=0,"",'Dvd Calendar'!$Y$363*1000000000+ISNUMBER('Dvd Calendar'!$Y$366)*100000000+('Dvd Calendar'!$Y$368=SPECIAL_LBL)*10000000+(N('Dvd Calendar'!$Y$362)&gt;0)*(N('Dvd Calendar'!$Y$362)&lt;=VAL_SERIAL)*1000000+33*1000+21))</f>
        <v/>
      </c>
      <c r="EZ44" s="39">
        <f>IF(N('Dvd Calendar'!$Z$363)=0,"",IF(('Dvd Calendar'!$Z$363&gt;=GRID_FROM)*('Dvd Calendar'!$Z$363&lt;=GRID_TO)*((('Dvd Calendar'!$Z$363&lt;=VAL_DATE)+(COUNTIF('Dvd Calendar'!$E$370:$AR$370,'Dvd Calendar'!$Z$363)=0))&gt;0)=0,"",'Dvd Calendar'!$Z$363*1000000000+ISNUMBER('Dvd Calendar'!$Z$366)*100000000+('Dvd Calendar'!$Z$368=SPECIAL_LBL)*10000000+(N('Dvd Calendar'!$Z$362)&gt;0)*(N('Dvd Calendar'!$Z$362)&lt;=VAL_SERIAL)*1000000+33*1000+22))</f>
        <v/>
      </c>
      <c r="FA44" s="39">
        <f>IF(N('Dvd Calendar'!$AA$363)=0,"",IF(('Dvd Calendar'!$AA$363&gt;=GRID_FROM)*('Dvd Calendar'!$AA$363&lt;=GRID_TO)*((('Dvd Calendar'!$AA$363&lt;=VAL_DATE)+(COUNTIF('Dvd Calendar'!$E$370:$AR$370,'Dvd Calendar'!$AA$363)=0))&gt;0)=0,"",'Dvd Calendar'!$AA$363*1000000000+ISNUMBER('Dvd Calendar'!$AA$366)*100000000+('Dvd Calendar'!$AA$368=SPECIAL_LBL)*10000000+(N('Dvd Calendar'!$AA$362)&gt;0)*(N('Dvd Calendar'!$AA$362)&lt;=VAL_SERIAL)*1000000+33*1000+23))</f>
        <v/>
      </c>
      <c r="FB44" s="39">
        <f>IF(N('Dvd Calendar'!$AB$363)=0,"",IF(('Dvd Calendar'!$AB$363&gt;=GRID_FROM)*('Dvd Calendar'!$AB$363&lt;=GRID_TO)*((('Dvd Calendar'!$AB$363&lt;=VAL_DATE)+(COUNTIF('Dvd Calendar'!$E$370:$AR$370,'Dvd Calendar'!$AB$363)=0))&gt;0)=0,"",'Dvd Calendar'!$AB$363*1000000000+ISNUMBER('Dvd Calendar'!$AB$366)*100000000+('Dvd Calendar'!$AB$368=SPECIAL_LBL)*10000000+(N('Dvd Calendar'!$AB$362)&gt;0)*(N('Dvd Calendar'!$AB$362)&lt;=VAL_SERIAL)*1000000+33*1000+24))</f>
        <v/>
      </c>
      <c r="FC44" s="39">
        <f>IF(N('Dvd Calendar'!$AC$363)=0,"",IF(('Dvd Calendar'!$AC$363&gt;=GRID_FROM)*('Dvd Calendar'!$AC$363&lt;=GRID_TO)*((('Dvd Calendar'!$AC$363&lt;=VAL_DATE)+(COUNTIF('Dvd Calendar'!$E$370:$AR$370,'Dvd Calendar'!$AC$363)=0))&gt;0)=0,"",'Dvd Calendar'!$AC$363*1000000000+ISNUMBER('Dvd Calendar'!$AC$366)*100000000+('Dvd Calendar'!$AC$368=SPECIAL_LBL)*10000000+(N('Dvd Calendar'!$AC$362)&gt;0)*(N('Dvd Calendar'!$AC$362)&lt;=VAL_SERIAL)*1000000+33*1000+25))</f>
        <v/>
      </c>
      <c r="FD44" s="39">
        <f>IF(N('Dvd Calendar'!$AD$363)=0,"",IF(('Dvd Calendar'!$AD$363&gt;=GRID_FROM)*('Dvd Calendar'!$AD$363&lt;=GRID_TO)*((('Dvd Calendar'!$AD$363&lt;=VAL_DATE)+(COUNTIF('Dvd Calendar'!$E$370:$AR$370,'Dvd Calendar'!$AD$363)=0))&gt;0)=0,"",'Dvd Calendar'!$AD$363*1000000000+ISNUMBER('Dvd Calendar'!$AD$366)*100000000+('Dvd Calendar'!$AD$368=SPECIAL_LBL)*10000000+(N('Dvd Calendar'!$AD$362)&gt;0)*(N('Dvd Calendar'!$AD$362)&lt;=VAL_SERIAL)*1000000+33*1000+26))</f>
        <v/>
      </c>
      <c r="FE44" s="39">
        <f>IF(N('Dvd Calendar'!$AE$363)=0,"",IF(('Dvd Calendar'!$AE$363&gt;=GRID_FROM)*('Dvd Calendar'!$AE$363&lt;=GRID_TO)*((('Dvd Calendar'!$AE$363&lt;=VAL_DATE)+(COUNTIF('Dvd Calendar'!$E$370:$AR$370,'Dvd Calendar'!$AE$363)=0))&gt;0)=0,"",'Dvd Calendar'!$AE$363*1000000000+ISNUMBER('Dvd Calendar'!$AE$366)*100000000+('Dvd Calendar'!$AE$368=SPECIAL_LBL)*10000000+(N('Dvd Calendar'!$AE$362)&gt;0)*(N('Dvd Calendar'!$AE$362)&lt;=VAL_SERIAL)*1000000+33*1000+27))</f>
        <v/>
      </c>
      <c r="FF44" s="39">
        <f>IF(N('Dvd Calendar'!$AF$363)=0,"",IF(('Dvd Calendar'!$AF$363&gt;=GRID_FROM)*('Dvd Calendar'!$AF$363&lt;=GRID_TO)*((('Dvd Calendar'!$AF$363&lt;=VAL_DATE)+(COUNTIF('Dvd Calendar'!$E$370:$AR$370,'Dvd Calendar'!$AF$363)=0))&gt;0)=0,"",'Dvd Calendar'!$AF$363*1000000000+ISNUMBER('Dvd Calendar'!$AF$366)*100000000+('Dvd Calendar'!$AF$368=SPECIAL_LBL)*10000000+(N('Dvd Calendar'!$AF$362)&gt;0)*(N('Dvd Calendar'!$AF$362)&lt;=VAL_SERIAL)*1000000+33*1000+28))</f>
        <v/>
      </c>
      <c r="FG44" s="39">
        <f>IF(N('Dvd Calendar'!$AG$363)=0,"",IF(('Dvd Calendar'!$AG$363&gt;=GRID_FROM)*('Dvd Calendar'!$AG$363&lt;=GRID_TO)*((('Dvd Calendar'!$AG$363&lt;=VAL_DATE)+(COUNTIF('Dvd Calendar'!$E$370:$AR$370,'Dvd Calendar'!$AG$363)=0))&gt;0)=0,"",'Dvd Calendar'!$AG$363*1000000000+ISNUMBER('Dvd Calendar'!$AG$366)*100000000+('Dvd Calendar'!$AG$368=SPECIAL_LBL)*10000000+(N('Dvd Calendar'!$AG$362)&gt;0)*(N('Dvd Calendar'!$AG$362)&lt;=VAL_SERIAL)*1000000+33*1000+29))</f>
        <v/>
      </c>
      <c r="FH44" s="39">
        <f>IF(N('Dvd Calendar'!$AH$363)=0,"",IF(('Dvd Calendar'!$AH$363&gt;=GRID_FROM)*('Dvd Calendar'!$AH$363&lt;=GRID_TO)*((('Dvd Calendar'!$AH$363&lt;=VAL_DATE)+(COUNTIF('Dvd Calendar'!$E$370:$AR$370,'Dvd Calendar'!$AH$363)=0))&gt;0)=0,"",'Dvd Calendar'!$AH$363*1000000000+ISNUMBER('Dvd Calendar'!$AH$366)*100000000+('Dvd Calendar'!$AH$368=SPECIAL_LBL)*10000000+(N('Dvd Calendar'!$AH$362)&gt;0)*(N('Dvd Calendar'!$AH$362)&lt;=VAL_SERIAL)*1000000+33*1000+30))</f>
        <v/>
      </c>
      <c r="FI44" s="39">
        <f>IF(N('Dvd Calendar'!$AI$363)=0,"",IF(('Dvd Calendar'!$AI$363&gt;=GRID_FROM)*('Dvd Calendar'!$AI$363&lt;=GRID_TO)*((('Dvd Calendar'!$AI$363&lt;=VAL_DATE)+(COUNTIF('Dvd Calendar'!$E$370:$AR$370,'Dvd Calendar'!$AI$363)=0))&gt;0)=0,"",'Dvd Calendar'!$AI$363*1000000000+ISNUMBER('Dvd Calendar'!$AI$366)*100000000+('Dvd Calendar'!$AI$368=SPECIAL_LBL)*10000000+(N('Dvd Calendar'!$AI$362)&gt;0)*(N('Dvd Calendar'!$AI$362)&lt;=VAL_SERIAL)*1000000+33*1000+31))</f>
        <v/>
      </c>
      <c r="FJ44" s="39">
        <f>IF(N('Dvd Calendar'!$AJ$363)=0,"",IF(('Dvd Calendar'!$AJ$363&gt;=GRID_FROM)*('Dvd Calendar'!$AJ$363&lt;=GRID_TO)*((('Dvd Calendar'!$AJ$363&lt;=VAL_DATE)+(COUNTIF('Dvd Calendar'!$E$370:$AR$370,'Dvd Calendar'!$AJ$363)=0))&gt;0)=0,"",'Dvd Calendar'!$AJ$363*1000000000+ISNUMBER('Dvd Calendar'!$AJ$366)*100000000+('Dvd Calendar'!$AJ$368=SPECIAL_LBL)*10000000+(N('Dvd Calendar'!$AJ$362)&gt;0)*(N('Dvd Calendar'!$AJ$362)&lt;=VAL_SERIAL)*1000000+33*1000+32))</f>
        <v/>
      </c>
      <c r="FK44" s="39">
        <f>IF(N('Dvd Calendar'!$AK$363)=0,"",IF(('Dvd Calendar'!$AK$363&gt;=GRID_FROM)*('Dvd Calendar'!$AK$363&lt;=GRID_TO)*((('Dvd Calendar'!$AK$363&lt;=VAL_DATE)+(COUNTIF('Dvd Calendar'!$E$370:$AR$370,'Dvd Calendar'!$AK$363)=0))&gt;0)=0,"",'Dvd Calendar'!$AK$363*1000000000+ISNUMBER('Dvd Calendar'!$AK$366)*100000000+('Dvd Calendar'!$AK$368=SPECIAL_LBL)*10000000+(N('Dvd Calendar'!$AK$362)&gt;0)*(N('Dvd Calendar'!$AK$362)&lt;=VAL_SERIAL)*1000000+33*1000+33))</f>
        <v/>
      </c>
      <c r="FL44" s="39">
        <f>IF(N('Dvd Calendar'!$AL$363)=0,"",IF(('Dvd Calendar'!$AL$363&gt;=GRID_FROM)*('Dvd Calendar'!$AL$363&lt;=GRID_TO)*((('Dvd Calendar'!$AL$363&lt;=VAL_DATE)+(COUNTIF('Dvd Calendar'!$E$370:$AR$370,'Dvd Calendar'!$AL$363)=0))&gt;0)=0,"",'Dvd Calendar'!$AL$363*1000000000+ISNUMBER('Dvd Calendar'!$AL$366)*100000000+('Dvd Calendar'!$AL$368=SPECIAL_LBL)*10000000+(N('Dvd Calendar'!$AL$362)&gt;0)*(N('Dvd Calendar'!$AL$362)&lt;=VAL_SERIAL)*1000000+33*1000+34))</f>
        <v/>
      </c>
      <c r="FM44" s="39">
        <f>IF(N('Dvd Calendar'!$AM$363)=0,"",IF(('Dvd Calendar'!$AM$363&gt;=GRID_FROM)*('Dvd Calendar'!$AM$363&lt;=GRID_TO)*((('Dvd Calendar'!$AM$363&lt;=VAL_DATE)+(COUNTIF('Dvd Calendar'!$E$370:$AR$370,'Dvd Calendar'!$AM$363)=0))&gt;0)=0,"",'Dvd Calendar'!$AM$363*1000000000+ISNUMBER('Dvd Calendar'!$AM$366)*100000000+('Dvd Calendar'!$AM$368=SPECIAL_LBL)*10000000+(N('Dvd Calendar'!$AM$362)&gt;0)*(N('Dvd Calendar'!$AM$362)&lt;=VAL_SERIAL)*1000000+33*1000+35))</f>
        <v/>
      </c>
      <c r="FN44" s="39">
        <f>IF(N('Dvd Calendar'!$AN$363)=0,"",IF(('Dvd Calendar'!$AN$363&gt;=GRID_FROM)*('Dvd Calendar'!$AN$363&lt;=GRID_TO)*((('Dvd Calendar'!$AN$363&lt;=VAL_DATE)+(COUNTIF('Dvd Calendar'!$E$370:$AR$370,'Dvd Calendar'!$AN$363)=0))&gt;0)=0,"",'Dvd Calendar'!$AN$363*1000000000+ISNUMBER('Dvd Calendar'!$AN$366)*100000000+('Dvd Calendar'!$AN$368=SPECIAL_LBL)*10000000+(N('Dvd Calendar'!$AN$362)&gt;0)*(N('Dvd Calendar'!$AN$362)&lt;=VAL_SERIAL)*1000000+33*1000+36))</f>
        <v/>
      </c>
      <c r="FO44" s="39">
        <f>IF(N('Dvd Calendar'!$AO$363)=0,"",IF(('Dvd Calendar'!$AO$363&gt;=GRID_FROM)*('Dvd Calendar'!$AO$363&lt;=GRID_TO)*((('Dvd Calendar'!$AO$363&lt;=VAL_DATE)+(COUNTIF('Dvd Calendar'!$E$370:$AR$370,'Dvd Calendar'!$AO$363)=0))&gt;0)=0,"",'Dvd Calendar'!$AO$363*1000000000+ISNUMBER('Dvd Calendar'!$AO$366)*100000000+('Dvd Calendar'!$AO$368=SPECIAL_LBL)*10000000+(N('Dvd Calendar'!$AO$362)&gt;0)*(N('Dvd Calendar'!$AO$362)&lt;=VAL_SERIAL)*1000000+33*1000+37))</f>
        <v/>
      </c>
      <c r="FP44" s="39">
        <f>IF(N('Dvd Calendar'!$AP$363)=0,"",IF(('Dvd Calendar'!$AP$363&gt;=GRID_FROM)*('Dvd Calendar'!$AP$363&lt;=GRID_TO)*((('Dvd Calendar'!$AP$363&lt;=VAL_DATE)+(COUNTIF('Dvd Calendar'!$E$370:$AR$370,'Dvd Calendar'!$AP$363)=0))&gt;0)=0,"",'Dvd Calendar'!$AP$363*1000000000+ISNUMBER('Dvd Calendar'!$AP$366)*100000000+('Dvd Calendar'!$AP$368=SPECIAL_LBL)*10000000+(N('Dvd Calendar'!$AP$362)&gt;0)*(N('Dvd Calendar'!$AP$362)&lt;=VAL_SERIAL)*1000000+33*1000+38))</f>
        <v/>
      </c>
      <c r="FQ44" s="39">
        <f>IF(N('Dvd Calendar'!$AQ$363)=0,"",IF(('Dvd Calendar'!$AQ$363&gt;=GRID_FROM)*('Dvd Calendar'!$AQ$363&lt;=GRID_TO)*((('Dvd Calendar'!$AQ$363&lt;=VAL_DATE)+(COUNTIF('Dvd Calendar'!$E$370:$AR$370,'Dvd Calendar'!$AQ$363)=0))&gt;0)=0,"",'Dvd Calendar'!$AQ$363*1000000000+ISNUMBER('Dvd Calendar'!$AQ$366)*100000000+('Dvd Calendar'!$AQ$368=SPECIAL_LBL)*10000000+(N('Dvd Calendar'!$AQ$362)&gt;0)*(N('Dvd Calendar'!$AQ$362)&lt;=VAL_SERIAL)*1000000+33*1000+39))</f>
        <v/>
      </c>
      <c r="FR44" s="39">
        <f>IF(N('Dvd Calendar'!$AR$363)=0,"",IF(('Dvd Calendar'!$AR$363&gt;=GRID_FROM)*('Dvd Calendar'!$AR$363&lt;=GRID_TO)*((('Dvd Calendar'!$AR$363&lt;=VAL_DATE)+(COUNTIF('Dvd Calendar'!$E$370:$AR$370,'Dvd Calendar'!$AR$363)=0))&gt;0)=0,"",'Dvd Calendar'!$AR$363*1000000000+ISNUMBER('Dvd Calendar'!$AR$366)*100000000+('Dvd Calendar'!$AR$368=SPECIAL_LBL)*10000000+(N('Dvd Calendar'!$AR$362)&gt;0)*(N('Dvd Calendar'!$AR$362)&lt;=VAL_SERIAL)*1000000+33*1000+40))</f>
        <v/>
      </c>
      <c r="FS44" s="39">
        <f>IF(N('Dvd Calendar'!$E$370)=0,"",IF(('Dvd Calendar'!$E$370&gt;=GRID_FROM)*('Dvd Calendar'!$E$370&lt;=GRID_TO)*('Dvd Calendar'!$E$370&gt;VAL_DATE)=0,"",'Dvd Calendar'!$E$370*1000000000+ISNUMBER('Dvd Calendar'!$E$371)*100000000+0*10000000+(N('Dvd Calendar'!$E$369)&gt;0)*(N('Dvd Calendar'!$E$369)&lt;=VAL_SERIAL)*1000000+33*1000+41))</f>
        <v/>
      </c>
      <c r="FT44" s="39">
        <f>IF(N('Dvd Calendar'!$F$370)=0,"",IF(('Dvd Calendar'!$F$370&gt;=GRID_FROM)*('Dvd Calendar'!$F$370&lt;=GRID_TO)*('Dvd Calendar'!$F$370&gt;VAL_DATE)=0,"",'Dvd Calendar'!$F$370*1000000000+ISNUMBER('Dvd Calendar'!$F$371)*100000000+0*10000000+(N('Dvd Calendar'!$F$369)&gt;0)*(N('Dvd Calendar'!$F$369)&lt;=VAL_SERIAL)*1000000+33*1000+42))</f>
        <v/>
      </c>
      <c r="FU44" s="39">
        <f>IF(N('Dvd Calendar'!$G$370)=0,"",IF(('Dvd Calendar'!$G$370&gt;=GRID_FROM)*('Dvd Calendar'!$G$370&lt;=GRID_TO)*('Dvd Calendar'!$G$370&gt;VAL_DATE)=0,"",'Dvd Calendar'!$G$370*1000000000+ISNUMBER('Dvd Calendar'!$G$371)*100000000+0*10000000+(N('Dvd Calendar'!$G$369)&gt;0)*(N('Dvd Calendar'!$G$369)&lt;=VAL_SERIAL)*1000000+33*1000+43))</f>
        <v/>
      </c>
      <c r="FV44" s="39">
        <f>IF(N('Dvd Calendar'!$H$370)=0,"",IF(('Dvd Calendar'!$H$370&gt;=GRID_FROM)*('Dvd Calendar'!$H$370&lt;=GRID_TO)*('Dvd Calendar'!$H$370&gt;VAL_DATE)=0,"",'Dvd Calendar'!$H$370*1000000000+ISNUMBER('Dvd Calendar'!$H$371)*100000000+0*10000000+(N('Dvd Calendar'!$H$369)&gt;0)*(N('Dvd Calendar'!$H$369)&lt;=VAL_SERIAL)*1000000+33*1000+44))</f>
        <v/>
      </c>
      <c r="FW44" s="39">
        <f>IF(N('Dvd Calendar'!$I$370)=0,"",IF(('Dvd Calendar'!$I$370&gt;=GRID_FROM)*('Dvd Calendar'!$I$370&lt;=GRID_TO)*('Dvd Calendar'!$I$370&gt;VAL_DATE)=0,"",'Dvd Calendar'!$I$370*1000000000+ISNUMBER('Dvd Calendar'!$I$371)*100000000+0*10000000+(N('Dvd Calendar'!$I$369)&gt;0)*(N('Dvd Calendar'!$I$369)&lt;=VAL_SERIAL)*1000000+33*1000+45))</f>
        <v/>
      </c>
      <c r="FX44" s="39">
        <f>IF(N('Dvd Calendar'!$J$370)=0,"",IF(('Dvd Calendar'!$J$370&gt;=GRID_FROM)*('Dvd Calendar'!$J$370&lt;=GRID_TO)*('Dvd Calendar'!$J$370&gt;VAL_DATE)=0,"",'Dvd Calendar'!$J$370*1000000000+ISNUMBER('Dvd Calendar'!$J$371)*100000000+0*10000000+(N('Dvd Calendar'!$J$369)&gt;0)*(N('Dvd Calendar'!$J$369)&lt;=VAL_SERIAL)*1000000+33*1000+46))</f>
        <v/>
      </c>
      <c r="FY44" s="39">
        <f>IF(N('Dvd Calendar'!$K$370)=0,"",IF(('Dvd Calendar'!$K$370&gt;=GRID_FROM)*('Dvd Calendar'!$K$370&lt;=GRID_TO)*('Dvd Calendar'!$K$370&gt;VAL_DATE)=0,"",'Dvd Calendar'!$K$370*1000000000+ISNUMBER('Dvd Calendar'!$K$371)*100000000+0*10000000+(N('Dvd Calendar'!$K$369)&gt;0)*(N('Dvd Calendar'!$K$369)&lt;=VAL_SERIAL)*1000000+33*1000+47))</f>
        <v/>
      </c>
      <c r="FZ44" s="39">
        <f>IF(N('Dvd Calendar'!$L$370)=0,"",IF(('Dvd Calendar'!$L$370&gt;=GRID_FROM)*('Dvd Calendar'!$L$370&lt;=GRID_TO)*('Dvd Calendar'!$L$370&gt;VAL_DATE)=0,"",'Dvd Calendar'!$L$370*1000000000+ISNUMBER('Dvd Calendar'!$L$371)*100000000+0*10000000+(N('Dvd Calendar'!$L$369)&gt;0)*(N('Dvd Calendar'!$L$369)&lt;=VAL_SERIAL)*1000000+33*1000+48))</f>
        <v/>
      </c>
      <c r="GA44" s="39">
        <f>IF(N('Dvd Calendar'!$M$370)=0,"",IF(('Dvd Calendar'!$M$370&gt;=GRID_FROM)*('Dvd Calendar'!$M$370&lt;=GRID_TO)*('Dvd Calendar'!$M$370&gt;VAL_DATE)=0,"",'Dvd Calendar'!$M$370*1000000000+ISNUMBER('Dvd Calendar'!$M$371)*100000000+0*10000000+(N('Dvd Calendar'!$M$369)&gt;0)*(N('Dvd Calendar'!$M$369)&lt;=VAL_SERIAL)*1000000+33*1000+49))</f>
        <v/>
      </c>
      <c r="GB44" s="39">
        <f>IF(N('Dvd Calendar'!$N$370)=0,"",IF(('Dvd Calendar'!$N$370&gt;=GRID_FROM)*('Dvd Calendar'!$N$370&lt;=GRID_TO)*('Dvd Calendar'!$N$370&gt;VAL_DATE)=0,"",'Dvd Calendar'!$N$370*1000000000+ISNUMBER('Dvd Calendar'!$N$371)*100000000+0*10000000+(N('Dvd Calendar'!$N$369)&gt;0)*(N('Dvd Calendar'!$N$369)&lt;=VAL_SERIAL)*1000000+33*1000+50))</f>
        <v/>
      </c>
      <c r="GC44" s="39">
        <f>IF(N('Dvd Calendar'!$O$370)=0,"",IF(('Dvd Calendar'!$O$370&gt;=GRID_FROM)*('Dvd Calendar'!$O$370&lt;=GRID_TO)*('Dvd Calendar'!$O$370&gt;VAL_DATE)=0,"",'Dvd Calendar'!$O$370*1000000000+ISNUMBER('Dvd Calendar'!$O$371)*100000000+0*10000000+(N('Dvd Calendar'!$O$369)&gt;0)*(N('Dvd Calendar'!$O$369)&lt;=VAL_SERIAL)*1000000+33*1000+51))</f>
        <v/>
      </c>
      <c r="GD44" s="39">
        <f>IF(N('Dvd Calendar'!$P$370)=0,"",IF(('Dvd Calendar'!$P$370&gt;=GRID_FROM)*('Dvd Calendar'!$P$370&lt;=GRID_TO)*('Dvd Calendar'!$P$370&gt;VAL_DATE)=0,"",'Dvd Calendar'!$P$370*1000000000+ISNUMBER('Dvd Calendar'!$P$371)*100000000+0*10000000+(N('Dvd Calendar'!$P$369)&gt;0)*(N('Dvd Calendar'!$P$369)&lt;=VAL_SERIAL)*1000000+33*1000+52))</f>
        <v/>
      </c>
      <c r="GE44" s="39">
        <f>IF(N('Dvd Calendar'!$Q$370)=0,"",IF(('Dvd Calendar'!$Q$370&gt;=GRID_FROM)*('Dvd Calendar'!$Q$370&lt;=GRID_TO)*('Dvd Calendar'!$Q$370&gt;VAL_DATE)=0,"",'Dvd Calendar'!$Q$370*1000000000+ISNUMBER('Dvd Calendar'!$Q$371)*100000000+0*10000000+(N('Dvd Calendar'!$Q$369)&gt;0)*(N('Dvd Calendar'!$Q$369)&lt;=VAL_SERIAL)*1000000+33*1000+53))</f>
        <v/>
      </c>
      <c r="GF44" s="39">
        <f>IF(N('Dvd Calendar'!$R$370)=0,"",IF(('Dvd Calendar'!$R$370&gt;=GRID_FROM)*('Dvd Calendar'!$R$370&lt;=GRID_TO)*('Dvd Calendar'!$R$370&gt;VAL_DATE)=0,"",'Dvd Calendar'!$R$370*1000000000+ISNUMBER('Dvd Calendar'!$R$371)*100000000+0*10000000+(N('Dvd Calendar'!$R$369)&gt;0)*(N('Dvd Calendar'!$R$369)&lt;=VAL_SERIAL)*1000000+33*1000+54))</f>
        <v/>
      </c>
      <c r="GG44" s="39">
        <f>IF(N('Dvd Calendar'!$S$370)=0,"",IF(('Dvd Calendar'!$S$370&gt;=GRID_FROM)*('Dvd Calendar'!$S$370&lt;=GRID_TO)*('Dvd Calendar'!$S$370&gt;VAL_DATE)=0,"",'Dvd Calendar'!$S$370*1000000000+ISNUMBER('Dvd Calendar'!$S$371)*100000000+0*10000000+(N('Dvd Calendar'!$S$369)&gt;0)*(N('Dvd Calendar'!$S$369)&lt;=VAL_SERIAL)*1000000+33*1000+55))</f>
        <v/>
      </c>
      <c r="GH44" s="39">
        <f>IF(N('Dvd Calendar'!$T$370)=0,"",IF(('Dvd Calendar'!$T$370&gt;=GRID_FROM)*('Dvd Calendar'!$T$370&lt;=GRID_TO)*('Dvd Calendar'!$T$370&gt;VAL_DATE)=0,"",'Dvd Calendar'!$T$370*1000000000+ISNUMBER('Dvd Calendar'!$T$371)*100000000+0*10000000+(N('Dvd Calendar'!$T$369)&gt;0)*(N('Dvd Calendar'!$T$369)&lt;=VAL_SERIAL)*1000000+33*1000+56))</f>
        <v/>
      </c>
      <c r="GI44" s="39">
        <f>IF(N('Dvd Calendar'!$U$370)=0,"",IF(('Dvd Calendar'!$U$370&gt;=GRID_FROM)*('Dvd Calendar'!$U$370&lt;=GRID_TO)*('Dvd Calendar'!$U$370&gt;VAL_DATE)=0,"",'Dvd Calendar'!$U$370*1000000000+ISNUMBER('Dvd Calendar'!$U$371)*100000000+0*10000000+(N('Dvd Calendar'!$U$369)&gt;0)*(N('Dvd Calendar'!$U$369)&lt;=VAL_SERIAL)*1000000+33*1000+57))</f>
        <v/>
      </c>
      <c r="GJ44" s="39">
        <f>IF(N('Dvd Calendar'!$V$370)=0,"",IF(('Dvd Calendar'!$V$370&gt;=GRID_FROM)*('Dvd Calendar'!$V$370&lt;=GRID_TO)*('Dvd Calendar'!$V$370&gt;VAL_DATE)=0,"",'Dvd Calendar'!$V$370*1000000000+ISNUMBER('Dvd Calendar'!$V$371)*100000000+0*10000000+(N('Dvd Calendar'!$V$369)&gt;0)*(N('Dvd Calendar'!$V$369)&lt;=VAL_SERIAL)*1000000+33*1000+58))</f>
        <v/>
      </c>
      <c r="GK44" s="39">
        <f>IF(N('Dvd Calendar'!$W$370)=0,"",IF(('Dvd Calendar'!$W$370&gt;=GRID_FROM)*('Dvd Calendar'!$W$370&lt;=GRID_TO)*('Dvd Calendar'!$W$370&gt;VAL_DATE)=0,"",'Dvd Calendar'!$W$370*1000000000+ISNUMBER('Dvd Calendar'!$W$371)*100000000+0*10000000+(N('Dvd Calendar'!$W$369)&gt;0)*(N('Dvd Calendar'!$W$369)&lt;=VAL_SERIAL)*1000000+33*1000+59))</f>
        <v/>
      </c>
      <c r="GL44" s="39">
        <f>IF(N('Dvd Calendar'!$X$370)=0,"",IF(('Dvd Calendar'!$X$370&gt;=GRID_FROM)*('Dvd Calendar'!$X$370&lt;=GRID_TO)*('Dvd Calendar'!$X$370&gt;VAL_DATE)=0,"",'Dvd Calendar'!$X$370*1000000000+ISNUMBER('Dvd Calendar'!$X$371)*100000000+0*10000000+(N('Dvd Calendar'!$X$369)&gt;0)*(N('Dvd Calendar'!$X$369)&lt;=VAL_SERIAL)*1000000+33*1000+60))</f>
        <v/>
      </c>
      <c r="GM44" s="39">
        <f>IF(N('Dvd Calendar'!$Y$370)=0,"",IF(('Dvd Calendar'!$Y$370&gt;=GRID_FROM)*('Dvd Calendar'!$Y$370&lt;=GRID_TO)*('Dvd Calendar'!$Y$370&gt;VAL_DATE)=0,"",'Dvd Calendar'!$Y$370*1000000000+ISNUMBER('Dvd Calendar'!$Y$371)*100000000+0*10000000+(N('Dvd Calendar'!$Y$369)&gt;0)*(N('Dvd Calendar'!$Y$369)&lt;=VAL_SERIAL)*1000000+33*1000+61))</f>
        <v/>
      </c>
      <c r="GN44" s="39">
        <f>IF(N('Dvd Calendar'!$Z$370)=0,"",IF(('Dvd Calendar'!$Z$370&gt;=GRID_FROM)*('Dvd Calendar'!$Z$370&lt;=GRID_TO)*('Dvd Calendar'!$Z$370&gt;VAL_DATE)=0,"",'Dvd Calendar'!$Z$370*1000000000+ISNUMBER('Dvd Calendar'!$Z$371)*100000000+0*10000000+(N('Dvd Calendar'!$Z$369)&gt;0)*(N('Dvd Calendar'!$Z$369)&lt;=VAL_SERIAL)*1000000+33*1000+62))</f>
        <v/>
      </c>
      <c r="GO44" s="39">
        <f>IF(N('Dvd Calendar'!$AA$370)=0,"",IF(('Dvd Calendar'!$AA$370&gt;=GRID_FROM)*('Dvd Calendar'!$AA$370&lt;=GRID_TO)*('Dvd Calendar'!$AA$370&gt;VAL_DATE)=0,"",'Dvd Calendar'!$AA$370*1000000000+ISNUMBER('Dvd Calendar'!$AA$371)*100000000+0*10000000+(N('Dvd Calendar'!$AA$369)&gt;0)*(N('Dvd Calendar'!$AA$369)&lt;=VAL_SERIAL)*1000000+33*1000+63))</f>
        <v/>
      </c>
      <c r="GP44" s="39">
        <f>IF(N('Dvd Calendar'!$AB$370)=0,"",IF(('Dvd Calendar'!$AB$370&gt;=GRID_FROM)*('Dvd Calendar'!$AB$370&lt;=GRID_TO)*('Dvd Calendar'!$AB$370&gt;VAL_DATE)=0,"",'Dvd Calendar'!$AB$370*1000000000+ISNUMBER('Dvd Calendar'!$AB$371)*100000000+0*10000000+(N('Dvd Calendar'!$AB$369)&gt;0)*(N('Dvd Calendar'!$AB$369)&lt;=VAL_SERIAL)*1000000+33*1000+64))</f>
        <v/>
      </c>
      <c r="GQ44" s="39">
        <f>IF(N('Dvd Calendar'!$AC$370)=0,"",IF(('Dvd Calendar'!$AC$370&gt;=GRID_FROM)*('Dvd Calendar'!$AC$370&lt;=GRID_TO)*('Dvd Calendar'!$AC$370&gt;VAL_DATE)=0,"",'Dvd Calendar'!$AC$370*1000000000+ISNUMBER('Dvd Calendar'!$AC$371)*100000000+0*10000000+(N('Dvd Calendar'!$AC$369)&gt;0)*(N('Dvd Calendar'!$AC$369)&lt;=VAL_SERIAL)*1000000+33*1000+65))</f>
        <v/>
      </c>
    </row>
    <row r="45">
      <c r="B45" s="2">
        <f>IF(HSI!$C$40="","",HSI!$C$40)</f>
        <v/>
      </c>
      <c r="C45" s="110">
        <f>IF(EE45="","",IF(ISNUMBER('Dvd Calendar'!$E$377)=FALSE,"",IF((('Dvd Calendar'!$E$379=TYPE1)*(TYPE1&lt;&gt;"")+('Dvd Calendar'!$E$379=TYPE2)*(TYPE2&lt;&gt;"")+('Dvd Calendar'!$E$379=TYPE3)*(TYPE3&lt;&gt;"")+('Dvd Calendar'!$E$379=TYPE4)*(TYPE4&lt;&gt;"")+('Dvd Calendar'!$E$379=SPECIAL_LBL)*(INC_SPECIALS="Y"))=0,"",'Dvd Calendar'!$E$377)))</f>
        <v/>
      </c>
      <c r="D45" s="110">
        <f>IF(EF45="","",IF(ISNUMBER('Dvd Calendar'!$F$377)=FALSE,"",IF((('Dvd Calendar'!$F$379=TYPE1)*(TYPE1&lt;&gt;"")+('Dvd Calendar'!$F$379=TYPE2)*(TYPE2&lt;&gt;"")+('Dvd Calendar'!$F$379=TYPE3)*(TYPE3&lt;&gt;"")+('Dvd Calendar'!$F$379=TYPE4)*(TYPE4&lt;&gt;"")+('Dvd Calendar'!$F$379=SPECIAL_LBL)*(INC_SPECIALS="Y"))=0,"",'Dvd Calendar'!$F$377)))</f>
        <v/>
      </c>
      <c r="E45" s="110">
        <f>IF(EG45="","",IF(ISNUMBER('Dvd Calendar'!$G$377)=FALSE,"",IF((('Dvd Calendar'!$G$379=TYPE1)*(TYPE1&lt;&gt;"")+('Dvd Calendar'!$G$379=TYPE2)*(TYPE2&lt;&gt;"")+('Dvd Calendar'!$G$379=TYPE3)*(TYPE3&lt;&gt;"")+('Dvd Calendar'!$G$379=TYPE4)*(TYPE4&lt;&gt;"")+('Dvd Calendar'!$G$379=SPECIAL_LBL)*(INC_SPECIALS="Y"))=0,"",'Dvd Calendar'!$G$377)))</f>
        <v/>
      </c>
      <c r="F45" s="110">
        <f>IF(EH45="","",IF(ISNUMBER('Dvd Calendar'!$H$377)=FALSE,"",IF((('Dvd Calendar'!$H$379=TYPE1)*(TYPE1&lt;&gt;"")+('Dvd Calendar'!$H$379=TYPE2)*(TYPE2&lt;&gt;"")+('Dvd Calendar'!$H$379=TYPE3)*(TYPE3&lt;&gt;"")+('Dvd Calendar'!$H$379=TYPE4)*(TYPE4&lt;&gt;"")+('Dvd Calendar'!$H$379=SPECIAL_LBL)*(INC_SPECIALS="Y"))=0,"",'Dvd Calendar'!$H$377)))</f>
        <v/>
      </c>
      <c r="G45" s="110">
        <f>IF(EI45="","",IF(ISNUMBER('Dvd Calendar'!$I$377)=FALSE,"",IF((('Dvd Calendar'!$I$379=TYPE1)*(TYPE1&lt;&gt;"")+('Dvd Calendar'!$I$379=TYPE2)*(TYPE2&lt;&gt;"")+('Dvd Calendar'!$I$379=TYPE3)*(TYPE3&lt;&gt;"")+('Dvd Calendar'!$I$379=TYPE4)*(TYPE4&lt;&gt;"")+('Dvd Calendar'!$I$379=SPECIAL_LBL)*(INC_SPECIALS="Y"))=0,"",'Dvd Calendar'!$I$377)))</f>
        <v/>
      </c>
      <c r="H45" s="110">
        <f>IF(EJ45="","",IF(ISNUMBER('Dvd Calendar'!$J$377)=FALSE,"",IF((('Dvd Calendar'!$J$379=TYPE1)*(TYPE1&lt;&gt;"")+('Dvd Calendar'!$J$379=TYPE2)*(TYPE2&lt;&gt;"")+('Dvd Calendar'!$J$379=TYPE3)*(TYPE3&lt;&gt;"")+('Dvd Calendar'!$J$379=TYPE4)*(TYPE4&lt;&gt;"")+('Dvd Calendar'!$J$379=SPECIAL_LBL)*(INC_SPECIALS="Y"))=0,"",'Dvd Calendar'!$J$377)))</f>
        <v/>
      </c>
      <c r="I45" s="110">
        <f>IF(EK45="","",IF(ISNUMBER('Dvd Calendar'!$K$377)=FALSE,"",IF((('Dvd Calendar'!$K$379=TYPE1)*(TYPE1&lt;&gt;"")+('Dvd Calendar'!$K$379=TYPE2)*(TYPE2&lt;&gt;"")+('Dvd Calendar'!$K$379=TYPE3)*(TYPE3&lt;&gt;"")+('Dvd Calendar'!$K$379=TYPE4)*(TYPE4&lt;&gt;"")+('Dvd Calendar'!$K$379=SPECIAL_LBL)*(INC_SPECIALS="Y"))=0,"",'Dvd Calendar'!$K$377)))</f>
        <v/>
      </c>
      <c r="J45" s="110">
        <f>IF(EL45="","",IF(ISNUMBER('Dvd Calendar'!$L$377)=FALSE,"",IF((('Dvd Calendar'!$L$379=TYPE1)*(TYPE1&lt;&gt;"")+('Dvd Calendar'!$L$379=TYPE2)*(TYPE2&lt;&gt;"")+('Dvd Calendar'!$L$379=TYPE3)*(TYPE3&lt;&gt;"")+('Dvd Calendar'!$L$379=TYPE4)*(TYPE4&lt;&gt;"")+('Dvd Calendar'!$L$379=SPECIAL_LBL)*(INC_SPECIALS="Y"))=0,"",'Dvd Calendar'!$L$377)))</f>
        <v/>
      </c>
      <c r="K45" s="110">
        <f>IF(EM45="","",IF(ISNUMBER('Dvd Calendar'!$M$377)=FALSE,"",IF((('Dvd Calendar'!$M$379=TYPE1)*(TYPE1&lt;&gt;"")+('Dvd Calendar'!$M$379=TYPE2)*(TYPE2&lt;&gt;"")+('Dvd Calendar'!$M$379=TYPE3)*(TYPE3&lt;&gt;"")+('Dvd Calendar'!$M$379=TYPE4)*(TYPE4&lt;&gt;"")+('Dvd Calendar'!$M$379=SPECIAL_LBL)*(INC_SPECIALS="Y"))=0,"",'Dvd Calendar'!$M$377)))</f>
        <v/>
      </c>
      <c r="L45" s="110">
        <f>IF(EN45="","",IF(ISNUMBER('Dvd Calendar'!$N$377)=FALSE,"",IF((('Dvd Calendar'!$N$379=TYPE1)*(TYPE1&lt;&gt;"")+('Dvd Calendar'!$N$379=TYPE2)*(TYPE2&lt;&gt;"")+('Dvd Calendar'!$N$379=TYPE3)*(TYPE3&lt;&gt;"")+('Dvd Calendar'!$N$379=TYPE4)*(TYPE4&lt;&gt;"")+('Dvd Calendar'!$N$379=SPECIAL_LBL)*(INC_SPECIALS="Y"))=0,"",'Dvd Calendar'!$N$377)))</f>
        <v/>
      </c>
      <c r="M45" s="110">
        <f>IF(EO45="","",IF(ISNUMBER('Dvd Calendar'!$O$377)=FALSE,"",IF((('Dvd Calendar'!$O$379=TYPE1)*(TYPE1&lt;&gt;"")+('Dvd Calendar'!$O$379=TYPE2)*(TYPE2&lt;&gt;"")+('Dvd Calendar'!$O$379=TYPE3)*(TYPE3&lt;&gt;"")+('Dvd Calendar'!$O$379=TYPE4)*(TYPE4&lt;&gt;"")+('Dvd Calendar'!$O$379=SPECIAL_LBL)*(INC_SPECIALS="Y"))=0,"",'Dvd Calendar'!$O$377)))</f>
        <v/>
      </c>
      <c r="N45" s="110">
        <f>IF(EP45="","",IF(ISNUMBER('Dvd Calendar'!$P$377)=FALSE,"",IF((('Dvd Calendar'!$P$379=TYPE1)*(TYPE1&lt;&gt;"")+('Dvd Calendar'!$P$379=TYPE2)*(TYPE2&lt;&gt;"")+('Dvd Calendar'!$P$379=TYPE3)*(TYPE3&lt;&gt;"")+('Dvd Calendar'!$P$379=TYPE4)*(TYPE4&lt;&gt;"")+('Dvd Calendar'!$P$379=SPECIAL_LBL)*(INC_SPECIALS="Y"))=0,"",'Dvd Calendar'!$P$377)))</f>
        <v/>
      </c>
      <c r="O45" s="110">
        <f>IF(EQ45="","",IF(ISNUMBER('Dvd Calendar'!$Q$377)=FALSE,"",IF((('Dvd Calendar'!$Q$379=TYPE1)*(TYPE1&lt;&gt;"")+('Dvd Calendar'!$Q$379=TYPE2)*(TYPE2&lt;&gt;"")+('Dvd Calendar'!$Q$379=TYPE3)*(TYPE3&lt;&gt;"")+('Dvd Calendar'!$Q$379=TYPE4)*(TYPE4&lt;&gt;"")+('Dvd Calendar'!$Q$379=SPECIAL_LBL)*(INC_SPECIALS="Y"))=0,"",'Dvd Calendar'!$Q$377)))</f>
        <v/>
      </c>
      <c r="P45" s="110">
        <f>IF(ER45="","",IF(ISNUMBER('Dvd Calendar'!$R$377)=FALSE,"",IF((('Dvd Calendar'!$R$379=TYPE1)*(TYPE1&lt;&gt;"")+('Dvd Calendar'!$R$379=TYPE2)*(TYPE2&lt;&gt;"")+('Dvd Calendar'!$R$379=TYPE3)*(TYPE3&lt;&gt;"")+('Dvd Calendar'!$R$379=TYPE4)*(TYPE4&lt;&gt;"")+('Dvd Calendar'!$R$379=SPECIAL_LBL)*(INC_SPECIALS="Y"))=0,"",'Dvd Calendar'!$R$377)))</f>
        <v/>
      </c>
      <c r="Q45" s="110">
        <f>IF(ES45="","",IF(ISNUMBER('Dvd Calendar'!$S$377)=FALSE,"",IF((('Dvd Calendar'!$S$379=TYPE1)*(TYPE1&lt;&gt;"")+('Dvd Calendar'!$S$379=TYPE2)*(TYPE2&lt;&gt;"")+('Dvd Calendar'!$S$379=TYPE3)*(TYPE3&lt;&gt;"")+('Dvd Calendar'!$S$379=TYPE4)*(TYPE4&lt;&gt;"")+('Dvd Calendar'!$S$379=SPECIAL_LBL)*(INC_SPECIALS="Y"))=0,"",'Dvd Calendar'!$S$377)))</f>
        <v/>
      </c>
      <c r="R45" s="110">
        <f>IF(ET45="","",IF(ISNUMBER('Dvd Calendar'!$T$377)=FALSE,"",IF((('Dvd Calendar'!$T$379=TYPE1)*(TYPE1&lt;&gt;"")+('Dvd Calendar'!$T$379=TYPE2)*(TYPE2&lt;&gt;"")+('Dvd Calendar'!$T$379=TYPE3)*(TYPE3&lt;&gt;"")+('Dvd Calendar'!$T$379=TYPE4)*(TYPE4&lt;&gt;"")+('Dvd Calendar'!$T$379=SPECIAL_LBL)*(INC_SPECIALS="Y"))=0,"",'Dvd Calendar'!$T$377)))</f>
        <v/>
      </c>
      <c r="S45" s="110">
        <f>IF(EU45="","",IF(ISNUMBER('Dvd Calendar'!$U$377)=FALSE,"",IF((('Dvd Calendar'!$U$379=TYPE1)*(TYPE1&lt;&gt;"")+('Dvd Calendar'!$U$379=TYPE2)*(TYPE2&lt;&gt;"")+('Dvd Calendar'!$U$379=TYPE3)*(TYPE3&lt;&gt;"")+('Dvd Calendar'!$U$379=TYPE4)*(TYPE4&lt;&gt;"")+('Dvd Calendar'!$U$379=SPECIAL_LBL)*(INC_SPECIALS="Y"))=0,"",'Dvd Calendar'!$U$377)))</f>
        <v/>
      </c>
      <c r="T45" s="110">
        <f>IF(EV45="","",IF(ISNUMBER('Dvd Calendar'!$V$377)=FALSE,"",IF((('Dvd Calendar'!$V$379=TYPE1)*(TYPE1&lt;&gt;"")+('Dvd Calendar'!$V$379=TYPE2)*(TYPE2&lt;&gt;"")+('Dvd Calendar'!$V$379=TYPE3)*(TYPE3&lt;&gt;"")+('Dvd Calendar'!$V$379=TYPE4)*(TYPE4&lt;&gt;"")+('Dvd Calendar'!$V$379=SPECIAL_LBL)*(INC_SPECIALS="Y"))=0,"",'Dvd Calendar'!$V$377)))</f>
        <v/>
      </c>
      <c r="U45" s="110">
        <f>IF(EW45="","",IF(ISNUMBER('Dvd Calendar'!$W$377)=FALSE,"",IF((('Dvd Calendar'!$W$379=TYPE1)*(TYPE1&lt;&gt;"")+('Dvd Calendar'!$W$379=TYPE2)*(TYPE2&lt;&gt;"")+('Dvd Calendar'!$W$379=TYPE3)*(TYPE3&lt;&gt;"")+('Dvd Calendar'!$W$379=TYPE4)*(TYPE4&lt;&gt;"")+('Dvd Calendar'!$W$379=SPECIAL_LBL)*(INC_SPECIALS="Y"))=0,"",'Dvd Calendar'!$W$377)))</f>
        <v/>
      </c>
      <c r="V45" s="110">
        <f>IF(EX45="","",IF(ISNUMBER('Dvd Calendar'!$X$377)=FALSE,"",IF((('Dvd Calendar'!$X$379=TYPE1)*(TYPE1&lt;&gt;"")+('Dvd Calendar'!$X$379=TYPE2)*(TYPE2&lt;&gt;"")+('Dvd Calendar'!$X$379=TYPE3)*(TYPE3&lt;&gt;"")+('Dvd Calendar'!$X$379=TYPE4)*(TYPE4&lt;&gt;"")+('Dvd Calendar'!$X$379=SPECIAL_LBL)*(INC_SPECIALS="Y"))=0,"",'Dvd Calendar'!$X$377)))</f>
        <v/>
      </c>
      <c r="W45" s="110">
        <f>IF(EY45="","",IF(ISNUMBER('Dvd Calendar'!$Y$377)=FALSE,"",IF((('Dvd Calendar'!$Y$379=TYPE1)*(TYPE1&lt;&gt;"")+('Dvd Calendar'!$Y$379=TYPE2)*(TYPE2&lt;&gt;"")+('Dvd Calendar'!$Y$379=TYPE3)*(TYPE3&lt;&gt;"")+('Dvd Calendar'!$Y$379=TYPE4)*(TYPE4&lt;&gt;"")+('Dvd Calendar'!$Y$379=SPECIAL_LBL)*(INC_SPECIALS="Y"))=0,"",'Dvd Calendar'!$Y$377)))</f>
        <v/>
      </c>
      <c r="X45" s="110">
        <f>IF(EZ45="","",IF(ISNUMBER('Dvd Calendar'!$Z$377)=FALSE,"",IF((('Dvd Calendar'!$Z$379=TYPE1)*(TYPE1&lt;&gt;"")+('Dvd Calendar'!$Z$379=TYPE2)*(TYPE2&lt;&gt;"")+('Dvd Calendar'!$Z$379=TYPE3)*(TYPE3&lt;&gt;"")+('Dvd Calendar'!$Z$379=TYPE4)*(TYPE4&lt;&gt;"")+('Dvd Calendar'!$Z$379=SPECIAL_LBL)*(INC_SPECIALS="Y"))=0,"",'Dvd Calendar'!$Z$377)))</f>
        <v/>
      </c>
      <c r="Y45" s="110">
        <f>IF(FA45="","",IF(ISNUMBER('Dvd Calendar'!$AA$377)=FALSE,"",IF((('Dvd Calendar'!$AA$379=TYPE1)*(TYPE1&lt;&gt;"")+('Dvd Calendar'!$AA$379=TYPE2)*(TYPE2&lt;&gt;"")+('Dvd Calendar'!$AA$379=TYPE3)*(TYPE3&lt;&gt;"")+('Dvd Calendar'!$AA$379=TYPE4)*(TYPE4&lt;&gt;"")+('Dvd Calendar'!$AA$379=SPECIAL_LBL)*(INC_SPECIALS="Y"))=0,"",'Dvd Calendar'!$AA$377)))</f>
        <v/>
      </c>
      <c r="Z45" s="110">
        <f>IF(FB45="","",IF(ISNUMBER('Dvd Calendar'!$AB$377)=FALSE,"",IF((('Dvd Calendar'!$AB$379=TYPE1)*(TYPE1&lt;&gt;"")+('Dvd Calendar'!$AB$379=TYPE2)*(TYPE2&lt;&gt;"")+('Dvd Calendar'!$AB$379=TYPE3)*(TYPE3&lt;&gt;"")+('Dvd Calendar'!$AB$379=TYPE4)*(TYPE4&lt;&gt;"")+('Dvd Calendar'!$AB$379=SPECIAL_LBL)*(INC_SPECIALS="Y"))=0,"",'Dvd Calendar'!$AB$377)))</f>
        <v/>
      </c>
      <c r="AA45" s="110">
        <f>IF(FC45="","",IF(ISNUMBER('Dvd Calendar'!$AC$377)=FALSE,"",IF((('Dvd Calendar'!$AC$379=TYPE1)*(TYPE1&lt;&gt;"")+('Dvd Calendar'!$AC$379=TYPE2)*(TYPE2&lt;&gt;"")+('Dvd Calendar'!$AC$379=TYPE3)*(TYPE3&lt;&gt;"")+('Dvd Calendar'!$AC$379=TYPE4)*(TYPE4&lt;&gt;"")+('Dvd Calendar'!$AC$379=SPECIAL_LBL)*(INC_SPECIALS="Y"))=0,"",'Dvd Calendar'!$AC$377)))</f>
        <v/>
      </c>
      <c r="AB45" s="110">
        <f>IF(FD45="","",IF(ISNUMBER('Dvd Calendar'!$AD$377)=FALSE,"",IF((('Dvd Calendar'!$AD$379=TYPE1)*(TYPE1&lt;&gt;"")+('Dvd Calendar'!$AD$379=TYPE2)*(TYPE2&lt;&gt;"")+('Dvd Calendar'!$AD$379=TYPE3)*(TYPE3&lt;&gt;"")+('Dvd Calendar'!$AD$379=TYPE4)*(TYPE4&lt;&gt;"")+('Dvd Calendar'!$AD$379=SPECIAL_LBL)*(INC_SPECIALS="Y"))=0,"",'Dvd Calendar'!$AD$377)))</f>
        <v/>
      </c>
      <c r="AC45" s="110">
        <f>IF(FE45="","",IF(ISNUMBER('Dvd Calendar'!$AE$377)=FALSE,"",IF((('Dvd Calendar'!$AE$379=TYPE1)*(TYPE1&lt;&gt;"")+('Dvd Calendar'!$AE$379=TYPE2)*(TYPE2&lt;&gt;"")+('Dvd Calendar'!$AE$379=TYPE3)*(TYPE3&lt;&gt;"")+('Dvd Calendar'!$AE$379=TYPE4)*(TYPE4&lt;&gt;"")+('Dvd Calendar'!$AE$379=SPECIAL_LBL)*(INC_SPECIALS="Y"))=0,"",'Dvd Calendar'!$AE$377)))</f>
        <v/>
      </c>
      <c r="AD45" s="110">
        <f>IF(FF45="","",IF(ISNUMBER('Dvd Calendar'!$AF$377)=FALSE,"",IF((('Dvd Calendar'!$AF$379=TYPE1)*(TYPE1&lt;&gt;"")+('Dvd Calendar'!$AF$379=TYPE2)*(TYPE2&lt;&gt;"")+('Dvd Calendar'!$AF$379=TYPE3)*(TYPE3&lt;&gt;"")+('Dvd Calendar'!$AF$379=TYPE4)*(TYPE4&lt;&gt;"")+('Dvd Calendar'!$AF$379=SPECIAL_LBL)*(INC_SPECIALS="Y"))=0,"",'Dvd Calendar'!$AF$377)))</f>
        <v/>
      </c>
      <c r="AE45" s="110">
        <f>IF(FG45="","",IF(ISNUMBER('Dvd Calendar'!$AG$377)=FALSE,"",IF((('Dvd Calendar'!$AG$379=TYPE1)*(TYPE1&lt;&gt;"")+('Dvd Calendar'!$AG$379=TYPE2)*(TYPE2&lt;&gt;"")+('Dvd Calendar'!$AG$379=TYPE3)*(TYPE3&lt;&gt;"")+('Dvd Calendar'!$AG$379=TYPE4)*(TYPE4&lt;&gt;"")+('Dvd Calendar'!$AG$379=SPECIAL_LBL)*(INC_SPECIALS="Y"))=0,"",'Dvd Calendar'!$AG$377)))</f>
        <v/>
      </c>
      <c r="AF45" s="110">
        <f>IF(FH45="","",IF(ISNUMBER('Dvd Calendar'!$AH$377)=FALSE,"",IF((('Dvd Calendar'!$AH$379=TYPE1)*(TYPE1&lt;&gt;"")+('Dvd Calendar'!$AH$379=TYPE2)*(TYPE2&lt;&gt;"")+('Dvd Calendar'!$AH$379=TYPE3)*(TYPE3&lt;&gt;"")+('Dvd Calendar'!$AH$379=TYPE4)*(TYPE4&lt;&gt;"")+('Dvd Calendar'!$AH$379=SPECIAL_LBL)*(INC_SPECIALS="Y"))=0,"",'Dvd Calendar'!$AH$377)))</f>
        <v/>
      </c>
      <c r="AG45" s="110">
        <f>IF(FI45="","",IF(ISNUMBER('Dvd Calendar'!$AI$377)=FALSE,"",IF((('Dvd Calendar'!$AI$379=TYPE1)*(TYPE1&lt;&gt;"")+('Dvd Calendar'!$AI$379=TYPE2)*(TYPE2&lt;&gt;"")+('Dvd Calendar'!$AI$379=TYPE3)*(TYPE3&lt;&gt;"")+('Dvd Calendar'!$AI$379=TYPE4)*(TYPE4&lt;&gt;"")+('Dvd Calendar'!$AI$379=SPECIAL_LBL)*(INC_SPECIALS="Y"))=0,"",'Dvd Calendar'!$AI$377)))</f>
        <v/>
      </c>
      <c r="AH45" s="110">
        <f>IF(FJ45="","",IF(ISNUMBER('Dvd Calendar'!$AJ$377)=FALSE,"",IF((('Dvd Calendar'!$AJ$379=TYPE1)*(TYPE1&lt;&gt;"")+('Dvd Calendar'!$AJ$379=TYPE2)*(TYPE2&lt;&gt;"")+('Dvd Calendar'!$AJ$379=TYPE3)*(TYPE3&lt;&gt;"")+('Dvd Calendar'!$AJ$379=TYPE4)*(TYPE4&lt;&gt;"")+('Dvd Calendar'!$AJ$379=SPECIAL_LBL)*(INC_SPECIALS="Y"))=0,"",'Dvd Calendar'!$AJ$377)))</f>
        <v/>
      </c>
      <c r="AI45" s="110">
        <f>IF(FK45="","",IF(ISNUMBER('Dvd Calendar'!$AK$377)=FALSE,"",IF((('Dvd Calendar'!$AK$379=TYPE1)*(TYPE1&lt;&gt;"")+('Dvd Calendar'!$AK$379=TYPE2)*(TYPE2&lt;&gt;"")+('Dvd Calendar'!$AK$379=TYPE3)*(TYPE3&lt;&gt;"")+('Dvd Calendar'!$AK$379=TYPE4)*(TYPE4&lt;&gt;"")+('Dvd Calendar'!$AK$379=SPECIAL_LBL)*(INC_SPECIALS="Y"))=0,"",'Dvd Calendar'!$AK$377)))</f>
        <v/>
      </c>
      <c r="AJ45" s="110">
        <f>IF(FL45="","",IF(ISNUMBER('Dvd Calendar'!$AL$377)=FALSE,"",IF((('Dvd Calendar'!$AL$379=TYPE1)*(TYPE1&lt;&gt;"")+('Dvd Calendar'!$AL$379=TYPE2)*(TYPE2&lt;&gt;"")+('Dvd Calendar'!$AL$379=TYPE3)*(TYPE3&lt;&gt;"")+('Dvd Calendar'!$AL$379=TYPE4)*(TYPE4&lt;&gt;"")+('Dvd Calendar'!$AL$379=SPECIAL_LBL)*(INC_SPECIALS="Y"))=0,"",'Dvd Calendar'!$AL$377)))</f>
        <v/>
      </c>
      <c r="AK45" s="110">
        <f>IF(FM45="","",IF(ISNUMBER('Dvd Calendar'!$AM$377)=FALSE,"",IF((('Dvd Calendar'!$AM$379=TYPE1)*(TYPE1&lt;&gt;"")+('Dvd Calendar'!$AM$379=TYPE2)*(TYPE2&lt;&gt;"")+('Dvd Calendar'!$AM$379=TYPE3)*(TYPE3&lt;&gt;"")+('Dvd Calendar'!$AM$379=TYPE4)*(TYPE4&lt;&gt;"")+('Dvd Calendar'!$AM$379=SPECIAL_LBL)*(INC_SPECIALS="Y"))=0,"",'Dvd Calendar'!$AM$377)))</f>
        <v/>
      </c>
      <c r="AL45" s="110">
        <f>IF(FN45="","",IF(ISNUMBER('Dvd Calendar'!$AN$377)=FALSE,"",IF((('Dvd Calendar'!$AN$379=TYPE1)*(TYPE1&lt;&gt;"")+('Dvd Calendar'!$AN$379=TYPE2)*(TYPE2&lt;&gt;"")+('Dvd Calendar'!$AN$379=TYPE3)*(TYPE3&lt;&gt;"")+('Dvd Calendar'!$AN$379=TYPE4)*(TYPE4&lt;&gt;"")+('Dvd Calendar'!$AN$379=SPECIAL_LBL)*(INC_SPECIALS="Y"))=0,"",'Dvd Calendar'!$AN$377)))</f>
        <v/>
      </c>
      <c r="AM45" s="110">
        <f>IF(FO45="","",IF(ISNUMBER('Dvd Calendar'!$AO$377)=FALSE,"",IF((('Dvd Calendar'!$AO$379=TYPE1)*(TYPE1&lt;&gt;"")+('Dvd Calendar'!$AO$379=TYPE2)*(TYPE2&lt;&gt;"")+('Dvd Calendar'!$AO$379=TYPE3)*(TYPE3&lt;&gt;"")+('Dvd Calendar'!$AO$379=TYPE4)*(TYPE4&lt;&gt;"")+('Dvd Calendar'!$AO$379=SPECIAL_LBL)*(INC_SPECIALS="Y"))=0,"",'Dvd Calendar'!$AO$377)))</f>
        <v/>
      </c>
      <c r="AN45" s="110">
        <f>IF(FP45="","",IF(ISNUMBER('Dvd Calendar'!$AP$377)=FALSE,"",IF((('Dvd Calendar'!$AP$379=TYPE1)*(TYPE1&lt;&gt;"")+('Dvd Calendar'!$AP$379=TYPE2)*(TYPE2&lt;&gt;"")+('Dvd Calendar'!$AP$379=TYPE3)*(TYPE3&lt;&gt;"")+('Dvd Calendar'!$AP$379=TYPE4)*(TYPE4&lt;&gt;"")+('Dvd Calendar'!$AP$379=SPECIAL_LBL)*(INC_SPECIALS="Y"))=0,"",'Dvd Calendar'!$AP$377)))</f>
        <v/>
      </c>
      <c r="AO45" s="110">
        <f>IF(FQ45="","",IF(ISNUMBER('Dvd Calendar'!$AQ$377)=FALSE,"",IF((('Dvd Calendar'!$AQ$379=TYPE1)*(TYPE1&lt;&gt;"")+('Dvd Calendar'!$AQ$379=TYPE2)*(TYPE2&lt;&gt;"")+('Dvd Calendar'!$AQ$379=TYPE3)*(TYPE3&lt;&gt;"")+('Dvd Calendar'!$AQ$379=TYPE4)*(TYPE4&lt;&gt;"")+('Dvd Calendar'!$AQ$379=SPECIAL_LBL)*(INC_SPECIALS="Y"))=0,"",'Dvd Calendar'!$AQ$377)))</f>
        <v/>
      </c>
      <c r="AP45" s="110">
        <f>IF(FR45="","",IF(ISNUMBER('Dvd Calendar'!$AR$377)=FALSE,"",IF((('Dvd Calendar'!$AR$379=TYPE1)*(TYPE1&lt;&gt;"")+('Dvd Calendar'!$AR$379=TYPE2)*(TYPE2&lt;&gt;"")+('Dvd Calendar'!$AR$379=TYPE3)*(TYPE3&lt;&gt;"")+('Dvd Calendar'!$AR$379=TYPE4)*(TYPE4&lt;&gt;"")+('Dvd Calendar'!$AR$379=SPECIAL_LBL)*(INC_SPECIALS="Y"))=0,"",'Dvd Calendar'!$AR$377)))</f>
        <v/>
      </c>
      <c r="AQ45" s="110">
        <f>IF(FS45="","",IF(ISNUMBER('Dvd Calendar'!$E$382)=FALSE,"",'Dvd Calendar'!$E$382))</f>
        <v/>
      </c>
      <c r="AR45" s="110">
        <f>IF(FT45="","",IF(ISNUMBER('Dvd Calendar'!$F$382)=FALSE,"",'Dvd Calendar'!$F$382))</f>
        <v/>
      </c>
      <c r="AS45" s="110">
        <f>IF(FU45="","",IF(ISNUMBER('Dvd Calendar'!$G$382)=FALSE,"",'Dvd Calendar'!$G$382))</f>
        <v/>
      </c>
      <c r="AT45" s="110">
        <f>IF(FV45="","",IF(ISNUMBER('Dvd Calendar'!$H$382)=FALSE,"",'Dvd Calendar'!$H$382))</f>
        <v/>
      </c>
      <c r="AU45" s="110">
        <f>IF(FW45="","",IF(ISNUMBER('Dvd Calendar'!$I$382)=FALSE,"",'Dvd Calendar'!$I$382))</f>
        <v/>
      </c>
      <c r="AV45" s="110">
        <f>IF(FX45="","",IF(ISNUMBER('Dvd Calendar'!$J$382)=FALSE,"",'Dvd Calendar'!$J$382))</f>
        <v/>
      </c>
      <c r="AW45" s="110">
        <f>IF(FY45="","",IF(ISNUMBER('Dvd Calendar'!$K$382)=FALSE,"",'Dvd Calendar'!$K$382))</f>
        <v/>
      </c>
      <c r="AX45" s="110">
        <f>IF(FZ45="","",IF(ISNUMBER('Dvd Calendar'!$L$382)=FALSE,"",'Dvd Calendar'!$L$382))</f>
        <v/>
      </c>
      <c r="AY45" s="110">
        <f>IF(GA45="","",IF(ISNUMBER('Dvd Calendar'!$M$382)=FALSE,"",'Dvd Calendar'!$M$382))</f>
        <v/>
      </c>
      <c r="AZ45" s="110">
        <f>IF(GB45="","",IF(ISNUMBER('Dvd Calendar'!$N$382)=FALSE,"",'Dvd Calendar'!$N$382))</f>
        <v/>
      </c>
      <c r="BA45" s="110">
        <f>IF(GC45="","",IF(ISNUMBER('Dvd Calendar'!$O$382)=FALSE,"",'Dvd Calendar'!$O$382))</f>
        <v/>
      </c>
      <c r="BB45" s="110">
        <f>IF(GD45="","",IF(ISNUMBER('Dvd Calendar'!$P$382)=FALSE,"",'Dvd Calendar'!$P$382))</f>
        <v/>
      </c>
      <c r="BC45" s="110">
        <f>IF(GE45="","",IF(ISNUMBER('Dvd Calendar'!$Q$382)=FALSE,"",'Dvd Calendar'!$Q$382))</f>
        <v/>
      </c>
      <c r="BD45" s="110">
        <f>IF(GF45="","",IF(ISNUMBER('Dvd Calendar'!$R$382)=FALSE,"",'Dvd Calendar'!$R$382))</f>
        <v/>
      </c>
      <c r="BE45" s="110">
        <f>IF(GG45="","",IF(ISNUMBER('Dvd Calendar'!$S$382)=FALSE,"",'Dvd Calendar'!$S$382))</f>
        <v/>
      </c>
      <c r="BF45" s="110">
        <f>IF(GH45="","",IF(ISNUMBER('Dvd Calendar'!$T$382)=FALSE,"",'Dvd Calendar'!$T$382))</f>
        <v/>
      </c>
      <c r="BG45" s="110">
        <f>IF(GI45="","",IF(ISNUMBER('Dvd Calendar'!$U$382)=FALSE,"",'Dvd Calendar'!$U$382))</f>
        <v/>
      </c>
      <c r="BH45" s="110">
        <f>IF(GJ45="","",IF(ISNUMBER('Dvd Calendar'!$V$382)=FALSE,"",'Dvd Calendar'!$V$382))</f>
        <v/>
      </c>
      <c r="BI45" s="110">
        <f>IF(GK45="","",IF(ISNUMBER('Dvd Calendar'!$W$382)=FALSE,"",'Dvd Calendar'!$W$382))</f>
        <v/>
      </c>
      <c r="BJ45" s="110">
        <f>IF(GL45="","",IF(ISNUMBER('Dvd Calendar'!$X$382)=FALSE,"",'Dvd Calendar'!$X$382))</f>
        <v/>
      </c>
      <c r="BK45" s="110">
        <f>IF(GM45="","",IF(ISNUMBER('Dvd Calendar'!$Y$382)=FALSE,"",'Dvd Calendar'!$Y$382))</f>
        <v/>
      </c>
      <c r="BL45" s="110">
        <f>IF(GN45="","",IF(ISNUMBER('Dvd Calendar'!$Z$382)=FALSE,"",'Dvd Calendar'!$Z$382))</f>
        <v/>
      </c>
      <c r="BM45" s="110">
        <f>IF(GO45="","",IF(ISNUMBER('Dvd Calendar'!$AA$382)=FALSE,"",'Dvd Calendar'!$AA$382))</f>
        <v/>
      </c>
      <c r="BN45" s="110">
        <f>IF(GP45="","",IF(ISNUMBER('Dvd Calendar'!$AB$382)=FALSE,"",'Dvd Calendar'!$AB$382))</f>
        <v/>
      </c>
      <c r="BO45" s="110">
        <f>IF(GQ45="","",IF(ISNUMBER('Dvd Calendar'!$AC$382)=FALSE,"",'Dvd Calendar'!$AC$382))</f>
        <v/>
      </c>
      <c r="BQ45" s="110">
        <f>IF(C45="","",IFERROR(C45*HSI!$B$40*HSI!$G$40/HSI!$B$3,""))</f>
        <v/>
      </c>
      <c r="BR45" s="110">
        <f>IF(D45="","",IFERROR(D45*HSI!$B$40*HSI!$G$40/HSI!$B$3,""))</f>
        <v/>
      </c>
      <c r="BS45" s="110">
        <f>IF(E45="","",IFERROR(E45*HSI!$B$40*HSI!$G$40/HSI!$B$3,""))</f>
        <v/>
      </c>
      <c r="BT45" s="110">
        <f>IF(F45="","",IFERROR(F45*HSI!$B$40*HSI!$G$40/HSI!$B$3,""))</f>
        <v/>
      </c>
      <c r="BU45" s="110">
        <f>IF(G45="","",IFERROR(G45*HSI!$B$40*HSI!$G$40/HSI!$B$3,""))</f>
        <v/>
      </c>
      <c r="BV45" s="110">
        <f>IF(H45="","",IFERROR(H45*HSI!$B$40*HSI!$G$40/HSI!$B$3,""))</f>
        <v/>
      </c>
      <c r="BW45" s="110">
        <f>IF(I45="","",IFERROR(I45*HSI!$B$40*HSI!$G$40/HSI!$B$3,""))</f>
        <v/>
      </c>
      <c r="BX45" s="110">
        <f>IF(J45="","",IFERROR(J45*HSI!$B$40*HSI!$G$40/HSI!$B$3,""))</f>
        <v/>
      </c>
      <c r="BY45" s="110">
        <f>IF(K45="","",IFERROR(K45*HSI!$B$40*HSI!$G$40/HSI!$B$3,""))</f>
        <v/>
      </c>
      <c r="BZ45" s="110">
        <f>IF(L45="","",IFERROR(L45*HSI!$B$40*HSI!$G$40/HSI!$B$3,""))</f>
        <v/>
      </c>
      <c r="CA45" s="110">
        <f>IF(M45="","",IFERROR(M45*HSI!$B$40*HSI!$G$40/HSI!$B$3,""))</f>
        <v/>
      </c>
      <c r="CB45" s="110">
        <f>IF(N45="","",IFERROR(N45*HSI!$B$40*HSI!$G$40/HSI!$B$3,""))</f>
        <v/>
      </c>
      <c r="CC45" s="110">
        <f>IF(O45="","",IFERROR(O45*HSI!$B$40*HSI!$G$40/HSI!$B$3,""))</f>
        <v/>
      </c>
      <c r="CD45" s="110">
        <f>IF(P45="","",IFERROR(P45*HSI!$B$40*HSI!$G$40/HSI!$B$3,""))</f>
        <v/>
      </c>
      <c r="CE45" s="110">
        <f>IF(Q45="","",IFERROR(Q45*HSI!$B$40*HSI!$G$40/HSI!$B$3,""))</f>
        <v/>
      </c>
      <c r="CF45" s="110">
        <f>IF(R45="","",IFERROR(R45*HSI!$B$40*HSI!$G$40/HSI!$B$3,""))</f>
        <v/>
      </c>
      <c r="CG45" s="110">
        <f>IF(S45="","",IFERROR(S45*HSI!$B$40*HSI!$G$40/HSI!$B$3,""))</f>
        <v/>
      </c>
      <c r="CH45" s="110">
        <f>IF(T45="","",IFERROR(T45*HSI!$B$40*HSI!$G$40/HSI!$B$3,""))</f>
        <v/>
      </c>
      <c r="CI45" s="110">
        <f>IF(U45="","",IFERROR(U45*HSI!$B$40*HSI!$G$40/HSI!$B$3,""))</f>
        <v/>
      </c>
      <c r="CJ45" s="110">
        <f>IF(V45="","",IFERROR(V45*HSI!$B$40*HSI!$G$40/HSI!$B$3,""))</f>
        <v/>
      </c>
      <c r="CK45" s="110">
        <f>IF(W45="","",IFERROR(W45*HSI!$B$40*HSI!$G$40/HSI!$B$3,""))</f>
        <v/>
      </c>
      <c r="CL45" s="110">
        <f>IF(X45="","",IFERROR(X45*HSI!$B$40*HSI!$G$40/HSI!$B$3,""))</f>
        <v/>
      </c>
      <c r="CM45" s="110">
        <f>IF(Y45="","",IFERROR(Y45*HSI!$B$40*HSI!$G$40/HSI!$B$3,""))</f>
        <v/>
      </c>
      <c r="CN45" s="110">
        <f>IF(Z45="","",IFERROR(Z45*HSI!$B$40*HSI!$G$40/HSI!$B$3,""))</f>
        <v/>
      </c>
      <c r="CO45" s="110">
        <f>IF(AA45="","",IFERROR(AA45*HSI!$B$40*HSI!$G$40/HSI!$B$3,""))</f>
        <v/>
      </c>
      <c r="CP45" s="110">
        <f>IF(AB45="","",IFERROR(AB45*HSI!$B$40*HSI!$G$40/HSI!$B$3,""))</f>
        <v/>
      </c>
      <c r="CQ45" s="110">
        <f>IF(AC45="","",IFERROR(AC45*HSI!$B$40*HSI!$G$40/HSI!$B$3,""))</f>
        <v/>
      </c>
      <c r="CR45" s="110">
        <f>IF(AD45="","",IFERROR(AD45*HSI!$B$40*HSI!$G$40/HSI!$B$3,""))</f>
        <v/>
      </c>
      <c r="CS45" s="110">
        <f>IF(AE45="","",IFERROR(AE45*HSI!$B$40*HSI!$G$40/HSI!$B$3,""))</f>
        <v/>
      </c>
      <c r="CT45" s="110">
        <f>IF(AF45="","",IFERROR(AF45*HSI!$B$40*HSI!$G$40/HSI!$B$3,""))</f>
        <v/>
      </c>
      <c r="CU45" s="110">
        <f>IF(AG45="","",IFERROR(AG45*HSI!$B$40*HSI!$G$40/HSI!$B$3,""))</f>
        <v/>
      </c>
      <c r="CV45" s="110">
        <f>IF(AH45="","",IFERROR(AH45*HSI!$B$40*HSI!$G$40/HSI!$B$3,""))</f>
        <v/>
      </c>
      <c r="CW45" s="110">
        <f>IF(AI45="","",IFERROR(AI45*HSI!$B$40*HSI!$G$40/HSI!$B$3,""))</f>
        <v/>
      </c>
      <c r="CX45" s="110">
        <f>IF(AJ45="","",IFERROR(AJ45*HSI!$B$40*HSI!$G$40/HSI!$B$3,""))</f>
        <v/>
      </c>
      <c r="CY45" s="110">
        <f>IF(AK45="","",IFERROR(AK45*HSI!$B$40*HSI!$G$40/HSI!$B$3,""))</f>
        <v/>
      </c>
      <c r="CZ45" s="110">
        <f>IF(AL45="","",IFERROR(AL45*HSI!$B$40*HSI!$G$40/HSI!$B$3,""))</f>
        <v/>
      </c>
      <c r="DA45" s="110">
        <f>IF(AM45="","",IFERROR(AM45*HSI!$B$40*HSI!$G$40/HSI!$B$3,""))</f>
        <v/>
      </c>
      <c r="DB45" s="110">
        <f>IF(AN45="","",IFERROR(AN45*HSI!$B$40*HSI!$G$40/HSI!$B$3,""))</f>
        <v/>
      </c>
      <c r="DC45" s="110">
        <f>IF(AO45="","",IFERROR(AO45*HSI!$B$40*HSI!$G$40/HSI!$B$3,""))</f>
        <v/>
      </c>
      <c r="DD45" s="110">
        <f>IF(AP45="","",IFERROR(AP45*HSI!$B$40*HSI!$G$40/HSI!$B$3,""))</f>
        <v/>
      </c>
      <c r="DE45" s="110">
        <f>IF(AQ45="","",IFERROR(AQ45*HSI!$B$40*HSI!$G$40/HSI!$B$3,""))</f>
        <v/>
      </c>
      <c r="DF45" s="110">
        <f>IF(AR45="","",IFERROR(AR45*HSI!$B$40*HSI!$G$40/HSI!$B$3,""))</f>
        <v/>
      </c>
      <c r="DG45" s="110">
        <f>IF(AS45="","",IFERROR(AS45*HSI!$B$40*HSI!$G$40/HSI!$B$3,""))</f>
        <v/>
      </c>
      <c r="DH45" s="110">
        <f>IF(AT45="","",IFERROR(AT45*HSI!$B$40*HSI!$G$40/HSI!$B$3,""))</f>
        <v/>
      </c>
      <c r="DI45" s="110">
        <f>IF(AU45="","",IFERROR(AU45*HSI!$B$40*HSI!$G$40/HSI!$B$3,""))</f>
        <v/>
      </c>
      <c r="DJ45" s="110">
        <f>IF(AV45="","",IFERROR(AV45*HSI!$B$40*HSI!$G$40/HSI!$B$3,""))</f>
        <v/>
      </c>
      <c r="DK45" s="110">
        <f>IF(AW45="","",IFERROR(AW45*HSI!$B$40*HSI!$G$40/HSI!$B$3,""))</f>
        <v/>
      </c>
      <c r="DL45" s="110">
        <f>IF(AX45="","",IFERROR(AX45*HSI!$B$40*HSI!$G$40/HSI!$B$3,""))</f>
        <v/>
      </c>
      <c r="DM45" s="110">
        <f>IF(AY45="","",IFERROR(AY45*HSI!$B$40*HSI!$G$40/HSI!$B$3,""))</f>
        <v/>
      </c>
      <c r="DN45" s="110">
        <f>IF(AZ45="","",IFERROR(AZ45*HSI!$B$40*HSI!$G$40/HSI!$B$3,""))</f>
        <v/>
      </c>
      <c r="DO45" s="110">
        <f>IF(BA45="","",IFERROR(BA45*HSI!$B$40*HSI!$G$40/HSI!$B$3,""))</f>
        <v/>
      </c>
      <c r="DP45" s="110">
        <f>IF(BB45="","",IFERROR(BB45*HSI!$B$40*HSI!$G$40/HSI!$B$3,""))</f>
        <v/>
      </c>
      <c r="DQ45" s="110">
        <f>IF(BC45="","",IFERROR(BC45*HSI!$B$40*HSI!$G$40/HSI!$B$3,""))</f>
        <v/>
      </c>
      <c r="DR45" s="110">
        <f>IF(BD45="","",IFERROR(BD45*HSI!$B$40*HSI!$G$40/HSI!$B$3,""))</f>
        <v/>
      </c>
      <c r="DS45" s="110">
        <f>IF(BE45="","",IFERROR(BE45*HSI!$B$40*HSI!$G$40/HSI!$B$3,""))</f>
        <v/>
      </c>
      <c r="DT45" s="110">
        <f>IF(BF45="","",IFERROR(BF45*HSI!$B$40*HSI!$G$40/HSI!$B$3,""))</f>
        <v/>
      </c>
      <c r="DU45" s="110">
        <f>IF(BG45="","",IFERROR(BG45*HSI!$B$40*HSI!$G$40/HSI!$B$3,""))</f>
        <v/>
      </c>
      <c r="DV45" s="110">
        <f>IF(BH45="","",IFERROR(BH45*HSI!$B$40*HSI!$G$40/HSI!$B$3,""))</f>
        <v/>
      </c>
      <c r="DW45" s="110">
        <f>IF(BI45="","",IFERROR(BI45*HSI!$B$40*HSI!$G$40/HSI!$B$3,""))</f>
        <v/>
      </c>
      <c r="DX45" s="110">
        <f>IF(BJ45="","",IFERROR(BJ45*HSI!$B$40*HSI!$G$40/HSI!$B$3,""))</f>
        <v/>
      </c>
      <c r="DY45" s="110">
        <f>IF(BK45="","",IFERROR(BK45*HSI!$B$40*HSI!$G$40/HSI!$B$3,""))</f>
        <v/>
      </c>
      <c r="DZ45" s="110">
        <f>IF(BL45="","",IFERROR(BL45*HSI!$B$40*HSI!$G$40/HSI!$B$3,""))</f>
        <v/>
      </c>
      <c r="EA45" s="110">
        <f>IF(BM45="","",IFERROR(BM45*HSI!$B$40*HSI!$G$40/HSI!$B$3,""))</f>
        <v/>
      </c>
      <c r="EB45" s="110">
        <f>IF(BN45="","",IFERROR(BN45*HSI!$B$40*HSI!$G$40/HSI!$B$3,""))</f>
        <v/>
      </c>
      <c r="EC45" s="110">
        <f>IF(BO45="","",IFERROR(BO45*HSI!$B$40*HSI!$G$40/HSI!$B$3,""))</f>
        <v/>
      </c>
      <c r="EE45" s="39">
        <f>IF(N('Dvd Calendar'!$E$374)=0,"",IF(('Dvd Calendar'!$E$374&gt;=GRID_FROM)*('Dvd Calendar'!$E$374&lt;=GRID_TO)*((('Dvd Calendar'!$E$374&lt;=VAL_DATE)+(COUNTIF('Dvd Calendar'!$E$381:$AR$381,'Dvd Calendar'!$E$374)=0))&gt;0)=0,"",'Dvd Calendar'!$E$374*1000000000+ISNUMBER('Dvd Calendar'!$E$377)*100000000+('Dvd Calendar'!$E$379=SPECIAL_LBL)*10000000+(N('Dvd Calendar'!$E$373)&gt;0)*(N('Dvd Calendar'!$E$373)&lt;=VAL_SERIAL)*1000000+34*1000+1))</f>
        <v/>
      </c>
      <c r="EF45" s="39">
        <f>IF(N('Dvd Calendar'!$F$374)=0,"",IF(('Dvd Calendar'!$F$374&gt;=GRID_FROM)*('Dvd Calendar'!$F$374&lt;=GRID_TO)*((('Dvd Calendar'!$F$374&lt;=VAL_DATE)+(COUNTIF('Dvd Calendar'!$E$381:$AR$381,'Dvd Calendar'!$F$374)=0))&gt;0)=0,"",'Dvd Calendar'!$F$374*1000000000+ISNUMBER('Dvd Calendar'!$F$377)*100000000+('Dvd Calendar'!$F$379=SPECIAL_LBL)*10000000+(N('Dvd Calendar'!$F$373)&gt;0)*(N('Dvd Calendar'!$F$373)&lt;=VAL_SERIAL)*1000000+34*1000+2))</f>
        <v/>
      </c>
      <c r="EG45" s="39">
        <f>IF(N('Dvd Calendar'!$G$374)=0,"",IF(('Dvd Calendar'!$G$374&gt;=GRID_FROM)*('Dvd Calendar'!$G$374&lt;=GRID_TO)*((('Dvd Calendar'!$G$374&lt;=VAL_DATE)+(COUNTIF('Dvd Calendar'!$E$381:$AR$381,'Dvd Calendar'!$G$374)=0))&gt;0)=0,"",'Dvd Calendar'!$G$374*1000000000+ISNUMBER('Dvd Calendar'!$G$377)*100000000+('Dvd Calendar'!$G$379=SPECIAL_LBL)*10000000+(N('Dvd Calendar'!$G$373)&gt;0)*(N('Dvd Calendar'!$G$373)&lt;=VAL_SERIAL)*1000000+34*1000+3))</f>
        <v/>
      </c>
      <c r="EH45" s="39">
        <f>IF(N('Dvd Calendar'!$H$374)=0,"",IF(('Dvd Calendar'!$H$374&gt;=GRID_FROM)*('Dvd Calendar'!$H$374&lt;=GRID_TO)*((('Dvd Calendar'!$H$374&lt;=VAL_DATE)+(COUNTIF('Dvd Calendar'!$E$381:$AR$381,'Dvd Calendar'!$H$374)=0))&gt;0)=0,"",'Dvd Calendar'!$H$374*1000000000+ISNUMBER('Dvd Calendar'!$H$377)*100000000+('Dvd Calendar'!$H$379=SPECIAL_LBL)*10000000+(N('Dvd Calendar'!$H$373)&gt;0)*(N('Dvd Calendar'!$H$373)&lt;=VAL_SERIAL)*1000000+34*1000+4))</f>
        <v/>
      </c>
      <c r="EI45" s="39">
        <f>IF(N('Dvd Calendar'!$I$374)=0,"",IF(('Dvd Calendar'!$I$374&gt;=GRID_FROM)*('Dvd Calendar'!$I$374&lt;=GRID_TO)*((('Dvd Calendar'!$I$374&lt;=VAL_DATE)+(COUNTIF('Dvd Calendar'!$E$381:$AR$381,'Dvd Calendar'!$I$374)=0))&gt;0)=0,"",'Dvd Calendar'!$I$374*1000000000+ISNUMBER('Dvd Calendar'!$I$377)*100000000+('Dvd Calendar'!$I$379=SPECIAL_LBL)*10000000+(N('Dvd Calendar'!$I$373)&gt;0)*(N('Dvd Calendar'!$I$373)&lt;=VAL_SERIAL)*1000000+34*1000+5))</f>
        <v/>
      </c>
      <c r="EJ45" s="39">
        <f>IF(N('Dvd Calendar'!$J$374)=0,"",IF(('Dvd Calendar'!$J$374&gt;=GRID_FROM)*('Dvd Calendar'!$J$374&lt;=GRID_TO)*((('Dvd Calendar'!$J$374&lt;=VAL_DATE)+(COUNTIF('Dvd Calendar'!$E$381:$AR$381,'Dvd Calendar'!$J$374)=0))&gt;0)=0,"",'Dvd Calendar'!$J$374*1000000000+ISNUMBER('Dvd Calendar'!$J$377)*100000000+('Dvd Calendar'!$J$379=SPECIAL_LBL)*10000000+(N('Dvd Calendar'!$J$373)&gt;0)*(N('Dvd Calendar'!$J$373)&lt;=VAL_SERIAL)*1000000+34*1000+6))</f>
        <v/>
      </c>
      <c r="EK45" s="39">
        <f>IF(N('Dvd Calendar'!$K$374)=0,"",IF(('Dvd Calendar'!$K$374&gt;=GRID_FROM)*('Dvd Calendar'!$K$374&lt;=GRID_TO)*((('Dvd Calendar'!$K$374&lt;=VAL_DATE)+(COUNTIF('Dvd Calendar'!$E$381:$AR$381,'Dvd Calendar'!$K$374)=0))&gt;0)=0,"",'Dvd Calendar'!$K$374*1000000000+ISNUMBER('Dvd Calendar'!$K$377)*100000000+('Dvd Calendar'!$K$379=SPECIAL_LBL)*10000000+(N('Dvd Calendar'!$K$373)&gt;0)*(N('Dvd Calendar'!$K$373)&lt;=VAL_SERIAL)*1000000+34*1000+7))</f>
        <v/>
      </c>
      <c r="EL45" s="39">
        <f>IF(N('Dvd Calendar'!$L$374)=0,"",IF(('Dvd Calendar'!$L$374&gt;=GRID_FROM)*('Dvd Calendar'!$L$374&lt;=GRID_TO)*((('Dvd Calendar'!$L$374&lt;=VAL_DATE)+(COUNTIF('Dvd Calendar'!$E$381:$AR$381,'Dvd Calendar'!$L$374)=0))&gt;0)=0,"",'Dvd Calendar'!$L$374*1000000000+ISNUMBER('Dvd Calendar'!$L$377)*100000000+('Dvd Calendar'!$L$379=SPECIAL_LBL)*10000000+(N('Dvd Calendar'!$L$373)&gt;0)*(N('Dvd Calendar'!$L$373)&lt;=VAL_SERIAL)*1000000+34*1000+8))</f>
        <v/>
      </c>
      <c r="EM45" s="39">
        <f>IF(N('Dvd Calendar'!$M$374)=0,"",IF(('Dvd Calendar'!$M$374&gt;=GRID_FROM)*('Dvd Calendar'!$M$374&lt;=GRID_TO)*((('Dvd Calendar'!$M$374&lt;=VAL_DATE)+(COUNTIF('Dvd Calendar'!$E$381:$AR$381,'Dvd Calendar'!$M$374)=0))&gt;0)=0,"",'Dvd Calendar'!$M$374*1000000000+ISNUMBER('Dvd Calendar'!$M$377)*100000000+('Dvd Calendar'!$M$379=SPECIAL_LBL)*10000000+(N('Dvd Calendar'!$M$373)&gt;0)*(N('Dvd Calendar'!$M$373)&lt;=VAL_SERIAL)*1000000+34*1000+9))</f>
        <v/>
      </c>
      <c r="EN45" s="39">
        <f>IF(N('Dvd Calendar'!$N$374)=0,"",IF(('Dvd Calendar'!$N$374&gt;=GRID_FROM)*('Dvd Calendar'!$N$374&lt;=GRID_TO)*((('Dvd Calendar'!$N$374&lt;=VAL_DATE)+(COUNTIF('Dvd Calendar'!$E$381:$AR$381,'Dvd Calendar'!$N$374)=0))&gt;0)=0,"",'Dvd Calendar'!$N$374*1000000000+ISNUMBER('Dvd Calendar'!$N$377)*100000000+('Dvd Calendar'!$N$379=SPECIAL_LBL)*10000000+(N('Dvd Calendar'!$N$373)&gt;0)*(N('Dvd Calendar'!$N$373)&lt;=VAL_SERIAL)*1000000+34*1000+10))</f>
        <v/>
      </c>
      <c r="EO45" s="39">
        <f>IF(N('Dvd Calendar'!$O$374)=0,"",IF(('Dvd Calendar'!$O$374&gt;=GRID_FROM)*('Dvd Calendar'!$O$374&lt;=GRID_TO)*((('Dvd Calendar'!$O$374&lt;=VAL_DATE)+(COUNTIF('Dvd Calendar'!$E$381:$AR$381,'Dvd Calendar'!$O$374)=0))&gt;0)=0,"",'Dvd Calendar'!$O$374*1000000000+ISNUMBER('Dvd Calendar'!$O$377)*100000000+('Dvd Calendar'!$O$379=SPECIAL_LBL)*10000000+(N('Dvd Calendar'!$O$373)&gt;0)*(N('Dvd Calendar'!$O$373)&lt;=VAL_SERIAL)*1000000+34*1000+11))</f>
        <v/>
      </c>
      <c r="EP45" s="39">
        <f>IF(N('Dvd Calendar'!$P$374)=0,"",IF(('Dvd Calendar'!$P$374&gt;=GRID_FROM)*('Dvd Calendar'!$P$374&lt;=GRID_TO)*((('Dvd Calendar'!$P$374&lt;=VAL_DATE)+(COUNTIF('Dvd Calendar'!$E$381:$AR$381,'Dvd Calendar'!$P$374)=0))&gt;0)=0,"",'Dvd Calendar'!$P$374*1000000000+ISNUMBER('Dvd Calendar'!$P$377)*100000000+('Dvd Calendar'!$P$379=SPECIAL_LBL)*10000000+(N('Dvd Calendar'!$P$373)&gt;0)*(N('Dvd Calendar'!$P$373)&lt;=VAL_SERIAL)*1000000+34*1000+12))</f>
        <v/>
      </c>
      <c r="EQ45" s="39">
        <f>IF(N('Dvd Calendar'!$Q$374)=0,"",IF(('Dvd Calendar'!$Q$374&gt;=GRID_FROM)*('Dvd Calendar'!$Q$374&lt;=GRID_TO)*((('Dvd Calendar'!$Q$374&lt;=VAL_DATE)+(COUNTIF('Dvd Calendar'!$E$381:$AR$381,'Dvd Calendar'!$Q$374)=0))&gt;0)=0,"",'Dvd Calendar'!$Q$374*1000000000+ISNUMBER('Dvd Calendar'!$Q$377)*100000000+('Dvd Calendar'!$Q$379=SPECIAL_LBL)*10000000+(N('Dvd Calendar'!$Q$373)&gt;0)*(N('Dvd Calendar'!$Q$373)&lt;=VAL_SERIAL)*1000000+34*1000+13))</f>
        <v/>
      </c>
      <c r="ER45" s="39">
        <f>IF(N('Dvd Calendar'!$R$374)=0,"",IF(('Dvd Calendar'!$R$374&gt;=GRID_FROM)*('Dvd Calendar'!$R$374&lt;=GRID_TO)*((('Dvd Calendar'!$R$374&lt;=VAL_DATE)+(COUNTIF('Dvd Calendar'!$E$381:$AR$381,'Dvd Calendar'!$R$374)=0))&gt;0)=0,"",'Dvd Calendar'!$R$374*1000000000+ISNUMBER('Dvd Calendar'!$R$377)*100000000+('Dvd Calendar'!$R$379=SPECIAL_LBL)*10000000+(N('Dvd Calendar'!$R$373)&gt;0)*(N('Dvd Calendar'!$R$373)&lt;=VAL_SERIAL)*1000000+34*1000+14))</f>
        <v/>
      </c>
      <c r="ES45" s="39">
        <f>IF(N('Dvd Calendar'!$S$374)=0,"",IF(('Dvd Calendar'!$S$374&gt;=GRID_FROM)*('Dvd Calendar'!$S$374&lt;=GRID_TO)*((('Dvd Calendar'!$S$374&lt;=VAL_DATE)+(COUNTIF('Dvd Calendar'!$E$381:$AR$381,'Dvd Calendar'!$S$374)=0))&gt;0)=0,"",'Dvd Calendar'!$S$374*1000000000+ISNUMBER('Dvd Calendar'!$S$377)*100000000+('Dvd Calendar'!$S$379=SPECIAL_LBL)*10000000+(N('Dvd Calendar'!$S$373)&gt;0)*(N('Dvd Calendar'!$S$373)&lt;=VAL_SERIAL)*1000000+34*1000+15))</f>
        <v/>
      </c>
      <c r="ET45" s="39">
        <f>IF(N('Dvd Calendar'!$T$374)=0,"",IF(('Dvd Calendar'!$T$374&gt;=GRID_FROM)*('Dvd Calendar'!$T$374&lt;=GRID_TO)*((('Dvd Calendar'!$T$374&lt;=VAL_DATE)+(COUNTIF('Dvd Calendar'!$E$381:$AR$381,'Dvd Calendar'!$T$374)=0))&gt;0)=0,"",'Dvd Calendar'!$T$374*1000000000+ISNUMBER('Dvd Calendar'!$T$377)*100000000+('Dvd Calendar'!$T$379=SPECIAL_LBL)*10000000+(N('Dvd Calendar'!$T$373)&gt;0)*(N('Dvd Calendar'!$T$373)&lt;=VAL_SERIAL)*1000000+34*1000+16))</f>
        <v/>
      </c>
      <c r="EU45" s="39">
        <f>IF(N('Dvd Calendar'!$U$374)=0,"",IF(('Dvd Calendar'!$U$374&gt;=GRID_FROM)*('Dvd Calendar'!$U$374&lt;=GRID_TO)*((('Dvd Calendar'!$U$374&lt;=VAL_DATE)+(COUNTIF('Dvd Calendar'!$E$381:$AR$381,'Dvd Calendar'!$U$374)=0))&gt;0)=0,"",'Dvd Calendar'!$U$374*1000000000+ISNUMBER('Dvd Calendar'!$U$377)*100000000+('Dvd Calendar'!$U$379=SPECIAL_LBL)*10000000+(N('Dvd Calendar'!$U$373)&gt;0)*(N('Dvd Calendar'!$U$373)&lt;=VAL_SERIAL)*1000000+34*1000+17))</f>
        <v/>
      </c>
      <c r="EV45" s="39">
        <f>IF(N('Dvd Calendar'!$V$374)=0,"",IF(('Dvd Calendar'!$V$374&gt;=GRID_FROM)*('Dvd Calendar'!$V$374&lt;=GRID_TO)*((('Dvd Calendar'!$V$374&lt;=VAL_DATE)+(COUNTIF('Dvd Calendar'!$E$381:$AR$381,'Dvd Calendar'!$V$374)=0))&gt;0)=0,"",'Dvd Calendar'!$V$374*1000000000+ISNUMBER('Dvd Calendar'!$V$377)*100000000+('Dvd Calendar'!$V$379=SPECIAL_LBL)*10000000+(N('Dvd Calendar'!$V$373)&gt;0)*(N('Dvd Calendar'!$V$373)&lt;=VAL_SERIAL)*1000000+34*1000+18))</f>
        <v/>
      </c>
      <c r="EW45" s="39">
        <f>IF(N('Dvd Calendar'!$W$374)=0,"",IF(('Dvd Calendar'!$W$374&gt;=GRID_FROM)*('Dvd Calendar'!$W$374&lt;=GRID_TO)*((('Dvd Calendar'!$W$374&lt;=VAL_DATE)+(COUNTIF('Dvd Calendar'!$E$381:$AR$381,'Dvd Calendar'!$W$374)=0))&gt;0)=0,"",'Dvd Calendar'!$W$374*1000000000+ISNUMBER('Dvd Calendar'!$W$377)*100000000+('Dvd Calendar'!$W$379=SPECIAL_LBL)*10000000+(N('Dvd Calendar'!$W$373)&gt;0)*(N('Dvd Calendar'!$W$373)&lt;=VAL_SERIAL)*1000000+34*1000+19))</f>
        <v/>
      </c>
      <c r="EX45" s="39">
        <f>IF(N('Dvd Calendar'!$X$374)=0,"",IF(('Dvd Calendar'!$X$374&gt;=GRID_FROM)*('Dvd Calendar'!$X$374&lt;=GRID_TO)*((('Dvd Calendar'!$X$374&lt;=VAL_DATE)+(COUNTIF('Dvd Calendar'!$E$381:$AR$381,'Dvd Calendar'!$X$374)=0))&gt;0)=0,"",'Dvd Calendar'!$X$374*1000000000+ISNUMBER('Dvd Calendar'!$X$377)*100000000+('Dvd Calendar'!$X$379=SPECIAL_LBL)*10000000+(N('Dvd Calendar'!$X$373)&gt;0)*(N('Dvd Calendar'!$X$373)&lt;=VAL_SERIAL)*1000000+34*1000+20))</f>
        <v/>
      </c>
      <c r="EY45" s="39">
        <f>IF(N('Dvd Calendar'!$Y$374)=0,"",IF(('Dvd Calendar'!$Y$374&gt;=GRID_FROM)*('Dvd Calendar'!$Y$374&lt;=GRID_TO)*((('Dvd Calendar'!$Y$374&lt;=VAL_DATE)+(COUNTIF('Dvd Calendar'!$E$381:$AR$381,'Dvd Calendar'!$Y$374)=0))&gt;0)=0,"",'Dvd Calendar'!$Y$374*1000000000+ISNUMBER('Dvd Calendar'!$Y$377)*100000000+('Dvd Calendar'!$Y$379=SPECIAL_LBL)*10000000+(N('Dvd Calendar'!$Y$373)&gt;0)*(N('Dvd Calendar'!$Y$373)&lt;=VAL_SERIAL)*1000000+34*1000+21))</f>
        <v/>
      </c>
      <c r="EZ45" s="39">
        <f>IF(N('Dvd Calendar'!$Z$374)=0,"",IF(('Dvd Calendar'!$Z$374&gt;=GRID_FROM)*('Dvd Calendar'!$Z$374&lt;=GRID_TO)*((('Dvd Calendar'!$Z$374&lt;=VAL_DATE)+(COUNTIF('Dvd Calendar'!$E$381:$AR$381,'Dvd Calendar'!$Z$374)=0))&gt;0)=0,"",'Dvd Calendar'!$Z$374*1000000000+ISNUMBER('Dvd Calendar'!$Z$377)*100000000+('Dvd Calendar'!$Z$379=SPECIAL_LBL)*10000000+(N('Dvd Calendar'!$Z$373)&gt;0)*(N('Dvd Calendar'!$Z$373)&lt;=VAL_SERIAL)*1000000+34*1000+22))</f>
        <v/>
      </c>
      <c r="FA45" s="39">
        <f>IF(N('Dvd Calendar'!$AA$374)=0,"",IF(('Dvd Calendar'!$AA$374&gt;=GRID_FROM)*('Dvd Calendar'!$AA$374&lt;=GRID_TO)*((('Dvd Calendar'!$AA$374&lt;=VAL_DATE)+(COUNTIF('Dvd Calendar'!$E$381:$AR$381,'Dvd Calendar'!$AA$374)=0))&gt;0)=0,"",'Dvd Calendar'!$AA$374*1000000000+ISNUMBER('Dvd Calendar'!$AA$377)*100000000+('Dvd Calendar'!$AA$379=SPECIAL_LBL)*10000000+(N('Dvd Calendar'!$AA$373)&gt;0)*(N('Dvd Calendar'!$AA$373)&lt;=VAL_SERIAL)*1000000+34*1000+23))</f>
        <v/>
      </c>
      <c r="FB45" s="39">
        <f>IF(N('Dvd Calendar'!$AB$374)=0,"",IF(('Dvd Calendar'!$AB$374&gt;=GRID_FROM)*('Dvd Calendar'!$AB$374&lt;=GRID_TO)*((('Dvd Calendar'!$AB$374&lt;=VAL_DATE)+(COUNTIF('Dvd Calendar'!$E$381:$AR$381,'Dvd Calendar'!$AB$374)=0))&gt;0)=0,"",'Dvd Calendar'!$AB$374*1000000000+ISNUMBER('Dvd Calendar'!$AB$377)*100000000+('Dvd Calendar'!$AB$379=SPECIAL_LBL)*10000000+(N('Dvd Calendar'!$AB$373)&gt;0)*(N('Dvd Calendar'!$AB$373)&lt;=VAL_SERIAL)*1000000+34*1000+24))</f>
        <v/>
      </c>
      <c r="FC45" s="39">
        <f>IF(N('Dvd Calendar'!$AC$374)=0,"",IF(('Dvd Calendar'!$AC$374&gt;=GRID_FROM)*('Dvd Calendar'!$AC$374&lt;=GRID_TO)*((('Dvd Calendar'!$AC$374&lt;=VAL_DATE)+(COUNTIF('Dvd Calendar'!$E$381:$AR$381,'Dvd Calendar'!$AC$374)=0))&gt;0)=0,"",'Dvd Calendar'!$AC$374*1000000000+ISNUMBER('Dvd Calendar'!$AC$377)*100000000+('Dvd Calendar'!$AC$379=SPECIAL_LBL)*10000000+(N('Dvd Calendar'!$AC$373)&gt;0)*(N('Dvd Calendar'!$AC$373)&lt;=VAL_SERIAL)*1000000+34*1000+25))</f>
        <v/>
      </c>
      <c r="FD45" s="39">
        <f>IF(N('Dvd Calendar'!$AD$374)=0,"",IF(('Dvd Calendar'!$AD$374&gt;=GRID_FROM)*('Dvd Calendar'!$AD$374&lt;=GRID_TO)*((('Dvd Calendar'!$AD$374&lt;=VAL_DATE)+(COUNTIF('Dvd Calendar'!$E$381:$AR$381,'Dvd Calendar'!$AD$374)=0))&gt;0)=0,"",'Dvd Calendar'!$AD$374*1000000000+ISNUMBER('Dvd Calendar'!$AD$377)*100000000+('Dvd Calendar'!$AD$379=SPECIAL_LBL)*10000000+(N('Dvd Calendar'!$AD$373)&gt;0)*(N('Dvd Calendar'!$AD$373)&lt;=VAL_SERIAL)*1000000+34*1000+26))</f>
        <v/>
      </c>
      <c r="FE45" s="39">
        <f>IF(N('Dvd Calendar'!$AE$374)=0,"",IF(('Dvd Calendar'!$AE$374&gt;=GRID_FROM)*('Dvd Calendar'!$AE$374&lt;=GRID_TO)*((('Dvd Calendar'!$AE$374&lt;=VAL_DATE)+(COUNTIF('Dvd Calendar'!$E$381:$AR$381,'Dvd Calendar'!$AE$374)=0))&gt;0)=0,"",'Dvd Calendar'!$AE$374*1000000000+ISNUMBER('Dvd Calendar'!$AE$377)*100000000+('Dvd Calendar'!$AE$379=SPECIAL_LBL)*10000000+(N('Dvd Calendar'!$AE$373)&gt;0)*(N('Dvd Calendar'!$AE$373)&lt;=VAL_SERIAL)*1000000+34*1000+27))</f>
        <v/>
      </c>
      <c r="FF45" s="39">
        <f>IF(N('Dvd Calendar'!$AF$374)=0,"",IF(('Dvd Calendar'!$AF$374&gt;=GRID_FROM)*('Dvd Calendar'!$AF$374&lt;=GRID_TO)*((('Dvd Calendar'!$AF$374&lt;=VAL_DATE)+(COUNTIF('Dvd Calendar'!$E$381:$AR$381,'Dvd Calendar'!$AF$374)=0))&gt;0)=0,"",'Dvd Calendar'!$AF$374*1000000000+ISNUMBER('Dvd Calendar'!$AF$377)*100000000+('Dvd Calendar'!$AF$379=SPECIAL_LBL)*10000000+(N('Dvd Calendar'!$AF$373)&gt;0)*(N('Dvd Calendar'!$AF$373)&lt;=VAL_SERIAL)*1000000+34*1000+28))</f>
        <v/>
      </c>
      <c r="FG45" s="39">
        <f>IF(N('Dvd Calendar'!$AG$374)=0,"",IF(('Dvd Calendar'!$AG$374&gt;=GRID_FROM)*('Dvd Calendar'!$AG$374&lt;=GRID_TO)*((('Dvd Calendar'!$AG$374&lt;=VAL_DATE)+(COUNTIF('Dvd Calendar'!$E$381:$AR$381,'Dvd Calendar'!$AG$374)=0))&gt;0)=0,"",'Dvd Calendar'!$AG$374*1000000000+ISNUMBER('Dvd Calendar'!$AG$377)*100000000+('Dvd Calendar'!$AG$379=SPECIAL_LBL)*10000000+(N('Dvd Calendar'!$AG$373)&gt;0)*(N('Dvd Calendar'!$AG$373)&lt;=VAL_SERIAL)*1000000+34*1000+29))</f>
        <v/>
      </c>
      <c r="FH45" s="39">
        <f>IF(N('Dvd Calendar'!$AH$374)=0,"",IF(('Dvd Calendar'!$AH$374&gt;=GRID_FROM)*('Dvd Calendar'!$AH$374&lt;=GRID_TO)*((('Dvd Calendar'!$AH$374&lt;=VAL_DATE)+(COUNTIF('Dvd Calendar'!$E$381:$AR$381,'Dvd Calendar'!$AH$374)=0))&gt;0)=0,"",'Dvd Calendar'!$AH$374*1000000000+ISNUMBER('Dvd Calendar'!$AH$377)*100000000+('Dvd Calendar'!$AH$379=SPECIAL_LBL)*10000000+(N('Dvd Calendar'!$AH$373)&gt;0)*(N('Dvd Calendar'!$AH$373)&lt;=VAL_SERIAL)*1000000+34*1000+30))</f>
        <v/>
      </c>
      <c r="FI45" s="39">
        <f>IF(N('Dvd Calendar'!$AI$374)=0,"",IF(('Dvd Calendar'!$AI$374&gt;=GRID_FROM)*('Dvd Calendar'!$AI$374&lt;=GRID_TO)*((('Dvd Calendar'!$AI$374&lt;=VAL_DATE)+(COUNTIF('Dvd Calendar'!$E$381:$AR$381,'Dvd Calendar'!$AI$374)=0))&gt;0)=0,"",'Dvd Calendar'!$AI$374*1000000000+ISNUMBER('Dvd Calendar'!$AI$377)*100000000+('Dvd Calendar'!$AI$379=SPECIAL_LBL)*10000000+(N('Dvd Calendar'!$AI$373)&gt;0)*(N('Dvd Calendar'!$AI$373)&lt;=VAL_SERIAL)*1000000+34*1000+31))</f>
        <v/>
      </c>
      <c r="FJ45" s="39">
        <f>IF(N('Dvd Calendar'!$AJ$374)=0,"",IF(('Dvd Calendar'!$AJ$374&gt;=GRID_FROM)*('Dvd Calendar'!$AJ$374&lt;=GRID_TO)*((('Dvd Calendar'!$AJ$374&lt;=VAL_DATE)+(COUNTIF('Dvd Calendar'!$E$381:$AR$381,'Dvd Calendar'!$AJ$374)=0))&gt;0)=0,"",'Dvd Calendar'!$AJ$374*1000000000+ISNUMBER('Dvd Calendar'!$AJ$377)*100000000+('Dvd Calendar'!$AJ$379=SPECIAL_LBL)*10000000+(N('Dvd Calendar'!$AJ$373)&gt;0)*(N('Dvd Calendar'!$AJ$373)&lt;=VAL_SERIAL)*1000000+34*1000+32))</f>
        <v/>
      </c>
      <c r="FK45" s="39">
        <f>IF(N('Dvd Calendar'!$AK$374)=0,"",IF(('Dvd Calendar'!$AK$374&gt;=GRID_FROM)*('Dvd Calendar'!$AK$374&lt;=GRID_TO)*((('Dvd Calendar'!$AK$374&lt;=VAL_DATE)+(COUNTIF('Dvd Calendar'!$E$381:$AR$381,'Dvd Calendar'!$AK$374)=0))&gt;0)=0,"",'Dvd Calendar'!$AK$374*1000000000+ISNUMBER('Dvd Calendar'!$AK$377)*100000000+('Dvd Calendar'!$AK$379=SPECIAL_LBL)*10000000+(N('Dvd Calendar'!$AK$373)&gt;0)*(N('Dvd Calendar'!$AK$373)&lt;=VAL_SERIAL)*1000000+34*1000+33))</f>
        <v/>
      </c>
      <c r="FL45" s="39">
        <f>IF(N('Dvd Calendar'!$AL$374)=0,"",IF(('Dvd Calendar'!$AL$374&gt;=GRID_FROM)*('Dvd Calendar'!$AL$374&lt;=GRID_TO)*((('Dvd Calendar'!$AL$374&lt;=VAL_DATE)+(COUNTIF('Dvd Calendar'!$E$381:$AR$381,'Dvd Calendar'!$AL$374)=0))&gt;0)=0,"",'Dvd Calendar'!$AL$374*1000000000+ISNUMBER('Dvd Calendar'!$AL$377)*100000000+('Dvd Calendar'!$AL$379=SPECIAL_LBL)*10000000+(N('Dvd Calendar'!$AL$373)&gt;0)*(N('Dvd Calendar'!$AL$373)&lt;=VAL_SERIAL)*1000000+34*1000+34))</f>
        <v/>
      </c>
      <c r="FM45" s="39">
        <f>IF(N('Dvd Calendar'!$AM$374)=0,"",IF(('Dvd Calendar'!$AM$374&gt;=GRID_FROM)*('Dvd Calendar'!$AM$374&lt;=GRID_TO)*((('Dvd Calendar'!$AM$374&lt;=VAL_DATE)+(COUNTIF('Dvd Calendar'!$E$381:$AR$381,'Dvd Calendar'!$AM$374)=0))&gt;0)=0,"",'Dvd Calendar'!$AM$374*1000000000+ISNUMBER('Dvd Calendar'!$AM$377)*100000000+('Dvd Calendar'!$AM$379=SPECIAL_LBL)*10000000+(N('Dvd Calendar'!$AM$373)&gt;0)*(N('Dvd Calendar'!$AM$373)&lt;=VAL_SERIAL)*1000000+34*1000+35))</f>
        <v/>
      </c>
      <c r="FN45" s="39">
        <f>IF(N('Dvd Calendar'!$AN$374)=0,"",IF(('Dvd Calendar'!$AN$374&gt;=GRID_FROM)*('Dvd Calendar'!$AN$374&lt;=GRID_TO)*((('Dvd Calendar'!$AN$374&lt;=VAL_DATE)+(COUNTIF('Dvd Calendar'!$E$381:$AR$381,'Dvd Calendar'!$AN$374)=0))&gt;0)=0,"",'Dvd Calendar'!$AN$374*1000000000+ISNUMBER('Dvd Calendar'!$AN$377)*100000000+('Dvd Calendar'!$AN$379=SPECIAL_LBL)*10000000+(N('Dvd Calendar'!$AN$373)&gt;0)*(N('Dvd Calendar'!$AN$373)&lt;=VAL_SERIAL)*1000000+34*1000+36))</f>
        <v/>
      </c>
      <c r="FO45" s="39">
        <f>IF(N('Dvd Calendar'!$AO$374)=0,"",IF(('Dvd Calendar'!$AO$374&gt;=GRID_FROM)*('Dvd Calendar'!$AO$374&lt;=GRID_TO)*((('Dvd Calendar'!$AO$374&lt;=VAL_DATE)+(COUNTIF('Dvd Calendar'!$E$381:$AR$381,'Dvd Calendar'!$AO$374)=0))&gt;0)=0,"",'Dvd Calendar'!$AO$374*1000000000+ISNUMBER('Dvd Calendar'!$AO$377)*100000000+('Dvd Calendar'!$AO$379=SPECIAL_LBL)*10000000+(N('Dvd Calendar'!$AO$373)&gt;0)*(N('Dvd Calendar'!$AO$373)&lt;=VAL_SERIAL)*1000000+34*1000+37))</f>
        <v/>
      </c>
      <c r="FP45" s="39">
        <f>IF(N('Dvd Calendar'!$AP$374)=0,"",IF(('Dvd Calendar'!$AP$374&gt;=GRID_FROM)*('Dvd Calendar'!$AP$374&lt;=GRID_TO)*((('Dvd Calendar'!$AP$374&lt;=VAL_DATE)+(COUNTIF('Dvd Calendar'!$E$381:$AR$381,'Dvd Calendar'!$AP$374)=0))&gt;0)=0,"",'Dvd Calendar'!$AP$374*1000000000+ISNUMBER('Dvd Calendar'!$AP$377)*100000000+('Dvd Calendar'!$AP$379=SPECIAL_LBL)*10000000+(N('Dvd Calendar'!$AP$373)&gt;0)*(N('Dvd Calendar'!$AP$373)&lt;=VAL_SERIAL)*1000000+34*1000+38))</f>
        <v/>
      </c>
      <c r="FQ45" s="39">
        <f>IF(N('Dvd Calendar'!$AQ$374)=0,"",IF(('Dvd Calendar'!$AQ$374&gt;=GRID_FROM)*('Dvd Calendar'!$AQ$374&lt;=GRID_TO)*((('Dvd Calendar'!$AQ$374&lt;=VAL_DATE)+(COUNTIF('Dvd Calendar'!$E$381:$AR$381,'Dvd Calendar'!$AQ$374)=0))&gt;0)=0,"",'Dvd Calendar'!$AQ$374*1000000000+ISNUMBER('Dvd Calendar'!$AQ$377)*100000000+('Dvd Calendar'!$AQ$379=SPECIAL_LBL)*10000000+(N('Dvd Calendar'!$AQ$373)&gt;0)*(N('Dvd Calendar'!$AQ$373)&lt;=VAL_SERIAL)*1000000+34*1000+39))</f>
        <v/>
      </c>
      <c r="FR45" s="39">
        <f>IF(N('Dvd Calendar'!$AR$374)=0,"",IF(('Dvd Calendar'!$AR$374&gt;=GRID_FROM)*('Dvd Calendar'!$AR$374&lt;=GRID_TO)*((('Dvd Calendar'!$AR$374&lt;=VAL_DATE)+(COUNTIF('Dvd Calendar'!$E$381:$AR$381,'Dvd Calendar'!$AR$374)=0))&gt;0)=0,"",'Dvd Calendar'!$AR$374*1000000000+ISNUMBER('Dvd Calendar'!$AR$377)*100000000+('Dvd Calendar'!$AR$379=SPECIAL_LBL)*10000000+(N('Dvd Calendar'!$AR$373)&gt;0)*(N('Dvd Calendar'!$AR$373)&lt;=VAL_SERIAL)*1000000+34*1000+40))</f>
        <v/>
      </c>
      <c r="FS45" s="39">
        <f>IF(N('Dvd Calendar'!$E$381)=0,"",IF(('Dvd Calendar'!$E$381&gt;=GRID_FROM)*('Dvd Calendar'!$E$381&lt;=GRID_TO)*('Dvd Calendar'!$E$381&gt;VAL_DATE)=0,"",'Dvd Calendar'!$E$381*1000000000+ISNUMBER('Dvd Calendar'!$E$382)*100000000+0*10000000+(N('Dvd Calendar'!$E$380)&gt;0)*(N('Dvd Calendar'!$E$380)&lt;=VAL_SERIAL)*1000000+34*1000+41))</f>
        <v/>
      </c>
      <c r="FT45" s="39">
        <f>IF(N('Dvd Calendar'!$F$381)=0,"",IF(('Dvd Calendar'!$F$381&gt;=GRID_FROM)*('Dvd Calendar'!$F$381&lt;=GRID_TO)*('Dvd Calendar'!$F$381&gt;VAL_DATE)=0,"",'Dvd Calendar'!$F$381*1000000000+ISNUMBER('Dvd Calendar'!$F$382)*100000000+0*10000000+(N('Dvd Calendar'!$F$380)&gt;0)*(N('Dvd Calendar'!$F$380)&lt;=VAL_SERIAL)*1000000+34*1000+42))</f>
        <v/>
      </c>
      <c r="FU45" s="39">
        <f>IF(N('Dvd Calendar'!$G$381)=0,"",IF(('Dvd Calendar'!$G$381&gt;=GRID_FROM)*('Dvd Calendar'!$G$381&lt;=GRID_TO)*('Dvd Calendar'!$G$381&gt;VAL_DATE)=0,"",'Dvd Calendar'!$G$381*1000000000+ISNUMBER('Dvd Calendar'!$G$382)*100000000+0*10000000+(N('Dvd Calendar'!$G$380)&gt;0)*(N('Dvd Calendar'!$G$380)&lt;=VAL_SERIAL)*1000000+34*1000+43))</f>
        <v/>
      </c>
      <c r="FV45" s="39">
        <f>IF(N('Dvd Calendar'!$H$381)=0,"",IF(('Dvd Calendar'!$H$381&gt;=GRID_FROM)*('Dvd Calendar'!$H$381&lt;=GRID_TO)*('Dvd Calendar'!$H$381&gt;VAL_DATE)=0,"",'Dvd Calendar'!$H$381*1000000000+ISNUMBER('Dvd Calendar'!$H$382)*100000000+0*10000000+(N('Dvd Calendar'!$H$380)&gt;0)*(N('Dvd Calendar'!$H$380)&lt;=VAL_SERIAL)*1000000+34*1000+44))</f>
        <v/>
      </c>
      <c r="FW45" s="39">
        <f>IF(N('Dvd Calendar'!$I$381)=0,"",IF(('Dvd Calendar'!$I$381&gt;=GRID_FROM)*('Dvd Calendar'!$I$381&lt;=GRID_TO)*('Dvd Calendar'!$I$381&gt;VAL_DATE)=0,"",'Dvd Calendar'!$I$381*1000000000+ISNUMBER('Dvd Calendar'!$I$382)*100000000+0*10000000+(N('Dvd Calendar'!$I$380)&gt;0)*(N('Dvd Calendar'!$I$380)&lt;=VAL_SERIAL)*1000000+34*1000+45))</f>
        <v/>
      </c>
      <c r="FX45" s="39">
        <f>IF(N('Dvd Calendar'!$J$381)=0,"",IF(('Dvd Calendar'!$J$381&gt;=GRID_FROM)*('Dvd Calendar'!$J$381&lt;=GRID_TO)*('Dvd Calendar'!$J$381&gt;VAL_DATE)=0,"",'Dvd Calendar'!$J$381*1000000000+ISNUMBER('Dvd Calendar'!$J$382)*100000000+0*10000000+(N('Dvd Calendar'!$J$380)&gt;0)*(N('Dvd Calendar'!$J$380)&lt;=VAL_SERIAL)*1000000+34*1000+46))</f>
        <v/>
      </c>
      <c r="FY45" s="39">
        <f>IF(N('Dvd Calendar'!$K$381)=0,"",IF(('Dvd Calendar'!$K$381&gt;=GRID_FROM)*('Dvd Calendar'!$K$381&lt;=GRID_TO)*('Dvd Calendar'!$K$381&gt;VAL_DATE)=0,"",'Dvd Calendar'!$K$381*1000000000+ISNUMBER('Dvd Calendar'!$K$382)*100000000+0*10000000+(N('Dvd Calendar'!$K$380)&gt;0)*(N('Dvd Calendar'!$K$380)&lt;=VAL_SERIAL)*1000000+34*1000+47))</f>
        <v/>
      </c>
      <c r="FZ45" s="39">
        <f>IF(N('Dvd Calendar'!$L$381)=0,"",IF(('Dvd Calendar'!$L$381&gt;=GRID_FROM)*('Dvd Calendar'!$L$381&lt;=GRID_TO)*('Dvd Calendar'!$L$381&gt;VAL_DATE)=0,"",'Dvd Calendar'!$L$381*1000000000+ISNUMBER('Dvd Calendar'!$L$382)*100000000+0*10000000+(N('Dvd Calendar'!$L$380)&gt;0)*(N('Dvd Calendar'!$L$380)&lt;=VAL_SERIAL)*1000000+34*1000+48))</f>
        <v/>
      </c>
      <c r="GA45" s="39">
        <f>IF(N('Dvd Calendar'!$M$381)=0,"",IF(('Dvd Calendar'!$M$381&gt;=GRID_FROM)*('Dvd Calendar'!$M$381&lt;=GRID_TO)*('Dvd Calendar'!$M$381&gt;VAL_DATE)=0,"",'Dvd Calendar'!$M$381*1000000000+ISNUMBER('Dvd Calendar'!$M$382)*100000000+0*10000000+(N('Dvd Calendar'!$M$380)&gt;0)*(N('Dvd Calendar'!$M$380)&lt;=VAL_SERIAL)*1000000+34*1000+49))</f>
        <v/>
      </c>
      <c r="GB45" s="39">
        <f>IF(N('Dvd Calendar'!$N$381)=0,"",IF(('Dvd Calendar'!$N$381&gt;=GRID_FROM)*('Dvd Calendar'!$N$381&lt;=GRID_TO)*('Dvd Calendar'!$N$381&gt;VAL_DATE)=0,"",'Dvd Calendar'!$N$381*1000000000+ISNUMBER('Dvd Calendar'!$N$382)*100000000+0*10000000+(N('Dvd Calendar'!$N$380)&gt;0)*(N('Dvd Calendar'!$N$380)&lt;=VAL_SERIAL)*1000000+34*1000+50))</f>
        <v/>
      </c>
      <c r="GC45" s="39">
        <f>IF(N('Dvd Calendar'!$O$381)=0,"",IF(('Dvd Calendar'!$O$381&gt;=GRID_FROM)*('Dvd Calendar'!$O$381&lt;=GRID_TO)*('Dvd Calendar'!$O$381&gt;VAL_DATE)=0,"",'Dvd Calendar'!$O$381*1000000000+ISNUMBER('Dvd Calendar'!$O$382)*100000000+0*10000000+(N('Dvd Calendar'!$O$380)&gt;0)*(N('Dvd Calendar'!$O$380)&lt;=VAL_SERIAL)*1000000+34*1000+51))</f>
        <v/>
      </c>
      <c r="GD45" s="39">
        <f>IF(N('Dvd Calendar'!$P$381)=0,"",IF(('Dvd Calendar'!$P$381&gt;=GRID_FROM)*('Dvd Calendar'!$P$381&lt;=GRID_TO)*('Dvd Calendar'!$P$381&gt;VAL_DATE)=0,"",'Dvd Calendar'!$P$381*1000000000+ISNUMBER('Dvd Calendar'!$P$382)*100000000+0*10000000+(N('Dvd Calendar'!$P$380)&gt;0)*(N('Dvd Calendar'!$P$380)&lt;=VAL_SERIAL)*1000000+34*1000+52))</f>
        <v/>
      </c>
      <c r="GE45" s="39">
        <f>IF(N('Dvd Calendar'!$Q$381)=0,"",IF(('Dvd Calendar'!$Q$381&gt;=GRID_FROM)*('Dvd Calendar'!$Q$381&lt;=GRID_TO)*('Dvd Calendar'!$Q$381&gt;VAL_DATE)=0,"",'Dvd Calendar'!$Q$381*1000000000+ISNUMBER('Dvd Calendar'!$Q$382)*100000000+0*10000000+(N('Dvd Calendar'!$Q$380)&gt;0)*(N('Dvd Calendar'!$Q$380)&lt;=VAL_SERIAL)*1000000+34*1000+53))</f>
        <v/>
      </c>
      <c r="GF45" s="39">
        <f>IF(N('Dvd Calendar'!$R$381)=0,"",IF(('Dvd Calendar'!$R$381&gt;=GRID_FROM)*('Dvd Calendar'!$R$381&lt;=GRID_TO)*('Dvd Calendar'!$R$381&gt;VAL_DATE)=0,"",'Dvd Calendar'!$R$381*1000000000+ISNUMBER('Dvd Calendar'!$R$382)*100000000+0*10000000+(N('Dvd Calendar'!$R$380)&gt;0)*(N('Dvd Calendar'!$R$380)&lt;=VAL_SERIAL)*1000000+34*1000+54))</f>
        <v/>
      </c>
      <c r="GG45" s="39">
        <f>IF(N('Dvd Calendar'!$S$381)=0,"",IF(('Dvd Calendar'!$S$381&gt;=GRID_FROM)*('Dvd Calendar'!$S$381&lt;=GRID_TO)*('Dvd Calendar'!$S$381&gt;VAL_DATE)=0,"",'Dvd Calendar'!$S$381*1000000000+ISNUMBER('Dvd Calendar'!$S$382)*100000000+0*10000000+(N('Dvd Calendar'!$S$380)&gt;0)*(N('Dvd Calendar'!$S$380)&lt;=VAL_SERIAL)*1000000+34*1000+55))</f>
        <v/>
      </c>
      <c r="GH45" s="39">
        <f>IF(N('Dvd Calendar'!$T$381)=0,"",IF(('Dvd Calendar'!$T$381&gt;=GRID_FROM)*('Dvd Calendar'!$T$381&lt;=GRID_TO)*('Dvd Calendar'!$T$381&gt;VAL_DATE)=0,"",'Dvd Calendar'!$T$381*1000000000+ISNUMBER('Dvd Calendar'!$T$382)*100000000+0*10000000+(N('Dvd Calendar'!$T$380)&gt;0)*(N('Dvd Calendar'!$T$380)&lt;=VAL_SERIAL)*1000000+34*1000+56))</f>
        <v/>
      </c>
      <c r="GI45" s="39">
        <f>IF(N('Dvd Calendar'!$U$381)=0,"",IF(('Dvd Calendar'!$U$381&gt;=GRID_FROM)*('Dvd Calendar'!$U$381&lt;=GRID_TO)*('Dvd Calendar'!$U$381&gt;VAL_DATE)=0,"",'Dvd Calendar'!$U$381*1000000000+ISNUMBER('Dvd Calendar'!$U$382)*100000000+0*10000000+(N('Dvd Calendar'!$U$380)&gt;0)*(N('Dvd Calendar'!$U$380)&lt;=VAL_SERIAL)*1000000+34*1000+57))</f>
        <v/>
      </c>
      <c r="GJ45" s="39">
        <f>IF(N('Dvd Calendar'!$V$381)=0,"",IF(('Dvd Calendar'!$V$381&gt;=GRID_FROM)*('Dvd Calendar'!$V$381&lt;=GRID_TO)*('Dvd Calendar'!$V$381&gt;VAL_DATE)=0,"",'Dvd Calendar'!$V$381*1000000000+ISNUMBER('Dvd Calendar'!$V$382)*100000000+0*10000000+(N('Dvd Calendar'!$V$380)&gt;0)*(N('Dvd Calendar'!$V$380)&lt;=VAL_SERIAL)*1000000+34*1000+58))</f>
        <v/>
      </c>
      <c r="GK45" s="39">
        <f>IF(N('Dvd Calendar'!$W$381)=0,"",IF(('Dvd Calendar'!$W$381&gt;=GRID_FROM)*('Dvd Calendar'!$W$381&lt;=GRID_TO)*('Dvd Calendar'!$W$381&gt;VAL_DATE)=0,"",'Dvd Calendar'!$W$381*1000000000+ISNUMBER('Dvd Calendar'!$W$382)*100000000+0*10000000+(N('Dvd Calendar'!$W$380)&gt;0)*(N('Dvd Calendar'!$W$380)&lt;=VAL_SERIAL)*1000000+34*1000+59))</f>
        <v/>
      </c>
      <c r="GL45" s="39">
        <f>IF(N('Dvd Calendar'!$X$381)=0,"",IF(('Dvd Calendar'!$X$381&gt;=GRID_FROM)*('Dvd Calendar'!$X$381&lt;=GRID_TO)*('Dvd Calendar'!$X$381&gt;VAL_DATE)=0,"",'Dvd Calendar'!$X$381*1000000000+ISNUMBER('Dvd Calendar'!$X$382)*100000000+0*10000000+(N('Dvd Calendar'!$X$380)&gt;0)*(N('Dvd Calendar'!$X$380)&lt;=VAL_SERIAL)*1000000+34*1000+60))</f>
        <v/>
      </c>
      <c r="GM45" s="39">
        <f>IF(N('Dvd Calendar'!$Y$381)=0,"",IF(('Dvd Calendar'!$Y$381&gt;=GRID_FROM)*('Dvd Calendar'!$Y$381&lt;=GRID_TO)*('Dvd Calendar'!$Y$381&gt;VAL_DATE)=0,"",'Dvd Calendar'!$Y$381*1000000000+ISNUMBER('Dvd Calendar'!$Y$382)*100000000+0*10000000+(N('Dvd Calendar'!$Y$380)&gt;0)*(N('Dvd Calendar'!$Y$380)&lt;=VAL_SERIAL)*1000000+34*1000+61))</f>
        <v/>
      </c>
      <c r="GN45" s="39">
        <f>IF(N('Dvd Calendar'!$Z$381)=0,"",IF(('Dvd Calendar'!$Z$381&gt;=GRID_FROM)*('Dvd Calendar'!$Z$381&lt;=GRID_TO)*('Dvd Calendar'!$Z$381&gt;VAL_DATE)=0,"",'Dvd Calendar'!$Z$381*1000000000+ISNUMBER('Dvd Calendar'!$Z$382)*100000000+0*10000000+(N('Dvd Calendar'!$Z$380)&gt;0)*(N('Dvd Calendar'!$Z$380)&lt;=VAL_SERIAL)*1000000+34*1000+62))</f>
        <v/>
      </c>
      <c r="GO45" s="39">
        <f>IF(N('Dvd Calendar'!$AA$381)=0,"",IF(('Dvd Calendar'!$AA$381&gt;=GRID_FROM)*('Dvd Calendar'!$AA$381&lt;=GRID_TO)*('Dvd Calendar'!$AA$381&gt;VAL_DATE)=0,"",'Dvd Calendar'!$AA$381*1000000000+ISNUMBER('Dvd Calendar'!$AA$382)*100000000+0*10000000+(N('Dvd Calendar'!$AA$380)&gt;0)*(N('Dvd Calendar'!$AA$380)&lt;=VAL_SERIAL)*1000000+34*1000+63))</f>
        <v/>
      </c>
      <c r="GP45" s="39">
        <f>IF(N('Dvd Calendar'!$AB$381)=0,"",IF(('Dvd Calendar'!$AB$381&gt;=GRID_FROM)*('Dvd Calendar'!$AB$381&lt;=GRID_TO)*('Dvd Calendar'!$AB$381&gt;VAL_DATE)=0,"",'Dvd Calendar'!$AB$381*1000000000+ISNUMBER('Dvd Calendar'!$AB$382)*100000000+0*10000000+(N('Dvd Calendar'!$AB$380)&gt;0)*(N('Dvd Calendar'!$AB$380)&lt;=VAL_SERIAL)*1000000+34*1000+64))</f>
        <v/>
      </c>
      <c r="GQ45" s="39">
        <f>IF(N('Dvd Calendar'!$AC$381)=0,"",IF(('Dvd Calendar'!$AC$381&gt;=GRID_FROM)*('Dvd Calendar'!$AC$381&lt;=GRID_TO)*('Dvd Calendar'!$AC$381&gt;VAL_DATE)=0,"",'Dvd Calendar'!$AC$381*1000000000+ISNUMBER('Dvd Calendar'!$AC$382)*100000000+0*10000000+(N('Dvd Calendar'!$AC$380)&gt;0)*(N('Dvd Calendar'!$AC$380)&lt;=VAL_SERIAL)*1000000+34*1000+65))</f>
        <v/>
      </c>
    </row>
    <row r="46">
      <c r="B46" s="2">
        <f>IF(HSI!$C$41="","",HSI!$C$41)</f>
        <v/>
      </c>
      <c r="C46" s="110">
        <f>IF(EE46="","",IF(ISNUMBER('Dvd Calendar'!$E$388)=FALSE,"",IF((('Dvd Calendar'!$E$390=TYPE1)*(TYPE1&lt;&gt;"")+('Dvd Calendar'!$E$390=TYPE2)*(TYPE2&lt;&gt;"")+('Dvd Calendar'!$E$390=TYPE3)*(TYPE3&lt;&gt;"")+('Dvd Calendar'!$E$390=TYPE4)*(TYPE4&lt;&gt;"")+('Dvd Calendar'!$E$390=SPECIAL_LBL)*(INC_SPECIALS="Y"))=0,"",'Dvd Calendar'!$E$388)))</f>
        <v/>
      </c>
      <c r="D46" s="110">
        <f>IF(EF46="","",IF(ISNUMBER('Dvd Calendar'!$F$388)=FALSE,"",IF((('Dvd Calendar'!$F$390=TYPE1)*(TYPE1&lt;&gt;"")+('Dvd Calendar'!$F$390=TYPE2)*(TYPE2&lt;&gt;"")+('Dvd Calendar'!$F$390=TYPE3)*(TYPE3&lt;&gt;"")+('Dvd Calendar'!$F$390=TYPE4)*(TYPE4&lt;&gt;"")+('Dvd Calendar'!$F$390=SPECIAL_LBL)*(INC_SPECIALS="Y"))=0,"",'Dvd Calendar'!$F$388)))</f>
        <v/>
      </c>
      <c r="E46" s="110">
        <f>IF(EG46="","",IF(ISNUMBER('Dvd Calendar'!$G$388)=FALSE,"",IF((('Dvd Calendar'!$G$390=TYPE1)*(TYPE1&lt;&gt;"")+('Dvd Calendar'!$G$390=TYPE2)*(TYPE2&lt;&gt;"")+('Dvd Calendar'!$G$390=TYPE3)*(TYPE3&lt;&gt;"")+('Dvd Calendar'!$G$390=TYPE4)*(TYPE4&lt;&gt;"")+('Dvd Calendar'!$G$390=SPECIAL_LBL)*(INC_SPECIALS="Y"))=0,"",'Dvd Calendar'!$G$388)))</f>
        <v/>
      </c>
      <c r="F46" s="110">
        <f>IF(EH46="","",IF(ISNUMBER('Dvd Calendar'!$H$388)=FALSE,"",IF((('Dvd Calendar'!$H$390=TYPE1)*(TYPE1&lt;&gt;"")+('Dvd Calendar'!$H$390=TYPE2)*(TYPE2&lt;&gt;"")+('Dvd Calendar'!$H$390=TYPE3)*(TYPE3&lt;&gt;"")+('Dvd Calendar'!$H$390=TYPE4)*(TYPE4&lt;&gt;"")+('Dvd Calendar'!$H$390=SPECIAL_LBL)*(INC_SPECIALS="Y"))=0,"",'Dvd Calendar'!$H$388)))</f>
        <v/>
      </c>
      <c r="G46" s="110">
        <f>IF(EI46="","",IF(ISNUMBER('Dvd Calendar'!$I$388)=FALSE,"",IF((('Dvd Calendar'!$I$390=TYPE1)*(TYPE1&lt;&gt;"")+('Dvd Calendar'!$I$390=TYPE2)*(TYPE2&lt;&gt;"")+('Dvd Calendar'!$I$390=TYPE3)*(TYPE3&lt;&gt;"")+('Dvd Calendar'!$I$390=TYPE4)*(TYPE4&lt;&gt;"")+('Dvd Calendar'!$I$390=SPECIAL_LBL)*(INC_SPECIALS="Y"))=0,"",'Dvd Calendar'!$I$388)))</f>
        <v/>
      </c>
      <c r="H46" s="110">
        <f>IF(EJ46="","",IF(ISNUMBER('Dvd Calendar'!$J$388)=FALSE,"",IF((('Dvd Calendar'!$J$390=TYPE1)*(TYPE1&lt;&gt;"")+('Dvd Calendar'!$J$390=TYPE2)*(TYPE2&lt;&gt;"")+('Dvd Calendar'!$J$390=TYPE3)*(TYPE3&lt;&gt;"")+('Dvd Calendar'!$J$390=TYPE4)*(TYPE4&lt;&gt;"")+('Dvd Calendar'!$J$390=SPECIAL_LBL)*(INC_SPECIALS="Y"))=0,"",'Dvd Calendar'!$J$388)))</f>
        <v/>
      </c>
      <c r="I46" s="110">
        <f>IF(EK46="","",IF(ISNUMBER('Dvd Calendar'!$K$388)=FALSE,"",IF((('Dvd Calendar'!$K$390=TYPE1)*(TYPE1&lt;&gt;"")+('Dvd Calendar'!$K$390=TYPE2)*(TYPE2&lt;&gt;"")+('Dvd Calendar'!$K$390=TYPE3)*(TYPE3&lt;&gt;"")+('Dvd Calendar'!$K$390=TYPE4)*(TYPE4&lt;&gt;"")+('Dvd Calendar'!$K$390=SPECIAL_LBL)*(INC_SPECIALS="Y"))=0,"",'Dvd Calendar'!$K$388)))</f>
        <v/>
      </c>
      <c r="J46" s="110">
        <f>IF(EL46="","",IF(ISNUMBER('Dvd Calendar'!$L$388)=FALSE,"",IF((('Dvd Calendar'!$L$390=TYPE1)*(TYPE1&lt;&gt;"")+('Dvd Calendar'!$L$390=TYPE2)*(TYPE2&lt;&gt;"")+('Dvd Calendar'!$L$390=TYPE3)*(TYPE3&lt;&gt;"")+('Dvd Calendar'!$L$390=TYPE4)*(TYPE4&lt;&gt;"")+('Dvd Calendar'!$L$390=SPECIAL_LBL)*(INC_SPECIALS="Y"))=0,"",'Dvd Calendar'!$L$388)))</f>
        <v/>
      </c>
      <c r="K46" s="110">
        <f>IF(EM46="","",IF(ISNUMBER('Dvd Calendar'!$M$388)=FALSE,"",IF((('Dvd Calendar'!$M$390=TYPE1)*(TYPE1&lt;&gt;"")+('Dvd Calendar'!$M$390=TYPE2)*(TYPE2&lt;&gt;"")+('Dvd Calendar'!$M$390=TYPE3)*(TYPE3&lt;&gt;"")+('Dvd Calendar'!$M$390=TYPE4)*(TYPE4&lt;&gt;"")+('Dvd Calendar'!$M$390=SPECIAL_LBL)*(INC_SPECIALS="Y"))=0,"",'Dvd Calendar'!$M$388)))</f>
        <v/>
      </c>
      <c r="L46" s="110">
        <f>IF(EN46="","",IF(ISNUMBER('Dvd Calendar'!$N$388)=FALSE,"",IF((('Dvd Calendar'!$N$390=TYPE1)*(TYPE1&lt;&gt;"")+('Dvd Calendar'!$N$390=TYPE2)*(TYPE2&lt;&gt;"")+('Dvd Calendar'!$N$390=TYPE3)*(TYPE3&lt;&gt;"")+('Dvd Calendar'!$N$390=TYPE4)*(TYPE4&lt;&gt;"")+('Dvd Calendar'!$N$390=SPECIAL_LBL)*(INC_SPECIALS="Y"))=0,"",'Dvd Calendar'!$N$388)))</f>
        <v/>
      </c>
      <c r="M46" s="110">
        <f>IF(EO46="","",IF(ISNUMBER('Dvd Calendar'!$O$388)=FALSE,"",IF((('Dvd Calendar'!$O$390=TYPE1)*(TYPE1&lt;&gt;"")+('Dvd Calendar'!$O$390=TYPE2)*(TYPE2&lt;&gt;"")+('Dvd Calendar'!$O$390=TYPE3)*(TYPE3&lt;&gt;"")+('Dvd Calendar'!$O$390=TYPE4)*(TYPE4&lt;&gt;"")+('Dvd Calendar'!$O$390=SPECIAL_LBL)*(INC_SPECIALS="Y"))=0,"",'Dvd Calendar'!$O$388)))</f>
        <v/>
      </c>
      <c r="N46" s="110">
        <f>IF(EP46="","",IF(ISNUMBER('Dvd Calendar'!$P$388)=FALSE,"",IF((('Dvd Calendar'!$P$390=TYPE1)*(TYPE1&lt;&gt;"")+('Dvd Calendar'!$P$390=TYPE2)*(TYPE2&lt;&gt;"")+('Dvd Calendar'!$P$390=TYPE3)*(TYPE3&lt;&gt;"")+('Dvd Calendar'!$P$390=TYPE4)*(TYPE4&lt;&gt;"")+('Dvd Calendar'!$P$390=SPECIAL_LBL)*(INC_SPECIALS="Y"))=0,"",'Dvd Calendar'!$P$388)))</f>
        <v/>
      </c>
      <c r="O46" s="110">
        <f>IF(EQ46="","",IF(ISNUMBER('Dvd Calendar'!$Q$388)=FALSE,"",IF((('Dvd Calendar'!$Q$390=TYPE1)*(TYPE1&lt;&gt;"")+('Dvd Calendar'!$Q$390=TYPE2)*(TYPE2&lt;&gt;"")+('Dvd Calendar'!$Q$390=TYPE3)*(TYPE3&lt;&gt;"")+('Dvd Calendar'!$Q$390=TYPE4)*(TYPE4&lt;&gt;"")+('Dvd Calendar'!$Q$390=SPECIAL_LBL)*(INC_SPECIALS="Y"))=0,"",'Dvd Calendar'!$Q$388)))</f>
        <v/>
      </c>
      <c r="P46" s="110">
        <f>IF(ER46="","",IF(ISNUMBER('Dvd Calendar'!$R$388)=FALSE,"",IF((('Dvd Calendar'!$R$390=TYPE1)*(TYPE1&lt;&gt;"")+('Dvd Calendar'!$R$390=TYPE2)*(TYPE2&lt;&gt;"")+('Dvd Calendar'!$R$390=TYPE3)*(TYPE3&lt;&gt;"")+('Dvd Calendar'!$R$390=TYPE4)*(TYPE4&lt;&gt;"")+('Dvd Calendar'!$R$390=SPECIAL_LBL)*(INC_SPECIALS="Y"))=0,"",'Dvd Calendar'!$R$388)))</f>
        <v/>
      </c>
      <c r="Q46" s="110">
        <f>IF(ES46="","",IF(ISNUMBER('Dvd Calendar'!$S$388)=FALSE,"",IF((('Dvd Calendar'!$S$390=TYPE1)*(TYPE1&lt;&gt;"")+('Dvd Calendar'!$S$390=TYPE2)*(TYPE2&lt;&gt;"")+('Dvd Calendar'!$S$390=TYPE3)*(TYPE3&lt;&gt;"")+('Dvd Calendar'!$S$390=TYPE4)*(TYPE4&lt;&gt;"")+('Dvd Calendar'!$S$390=SPECIAL_LBL)*(INC_SPECIALS="Y"))=0,"",'Dvd Calendar'!$S$388)))</f>
        <v/>
      </c>
      <c r="R46" s="110">
        <f>IF(ET46="","",IF(ISNUMBER('Dvd Calendar'!$T$388)=FALSE,"",IF((('Dvd Calendar'!$T$390=TYPE1)*(TYPE1&lt;&gt;"")+('Dvd Calendar'!$T$390=TYPE2)*(TYPE2&lt;&gt;"")+('Dvd Calendar'!$T$390=TYPE3)*(TYPE3&lt;&gt;"")+('Dvd Calendar'!$T$390=TYPE4)*(TYPE4&lt;&gt;"")+('Dvd Calendar'!$T$390=SPECIAL_LBL)*(INC_SPECIALS="Y"))=0,"",'Dvd Calendar'!$T$388)))</f>
        <v/>
      </c>
      <c r="S46" s="110">
        <f>IF(EU46="","",IF(ISNUMBER('Dvd Calendar'!$U$388)=FALSE,"",IF((('Dvd Calendar'!$U$390=TYPE1)*(TYPE1&lt;&gt;"")+('Dvd Calendar'!$U$390=TYPE2)*(TYPE2&lt;&gt;"")+('Dvd Calendar'!$U$390=TYPE3)*(TYPE3&lt;&gt;"")+('Dvd Calendar'!$U$390=TYPE4)*(TYPE4&lt;&gt;"")+('Dvd Calendar'!$U$390=SPECIAL_LBL)*(INC_SPECIALS="Y"))=0,"",'Dvd Calendar'!$U$388)))</f>
        <v/>
      </c>
      <c r="T46" s="110">
        <f>IF(EV46="","",IF(ISNUMBER('Dvd Calendar'!$V$388)=FALSE,"",IF((('Dvd Calendar'!$V$390=TYPE1)*(TYPE1&lt;&gt;"")+('Dvd Calendar'!$V$390=TYPE2)*(TYPE2&lt;&gt;"")+('Dvd Calendar'!$V$390=TYPE3)*(TYPE3&lt;&gt;"")+('Dvd Calendar'!$V$390=TYPE4)*(TYPE4&lt;&gt;"")+('Dvd Calendar'!$V$390=SPECIAL_LBL)*(INC_SPECIALS="Y"))=0,"",'Dvd Calendar'!$V$388)))</f>
        <v/>
      </c>
      <c r="U46" s="110">
        <f>IF(EW46="","",IF(ISNUMBER('Dvd Calendar'!$W$388)=FALSE,"",IF((('Dvd Calendar'!$W$390=TYPE1)*(TYPE1&lt;&gt;"")+('Dvd Calendar'!$W$390=TYPE2)*(TYPE2&lt;&gt;"")+('Dvd Calendar'!$W$390=TYPE3)*(TYPE3&lt;&gt;"")+('Dvd Calendar'!$W$390=TYPE4)*(TYPE4&lt;&gt;"")+('Dvd Calendar'!$W$390=SPECIAL_LBL)*(INC_SPECIALS="Y"))=0,"",'Dvd Calendar'!$W$388)))</f>
        <v/>
      </c>
      <c r="V46" s="110">
        <f>IF(EX46="","",IF(ISNUMBER('Dvd Calendar'!$X$388)=FALSE,"",IF((('Dvd Calendar'!$X$390=TYPE1)*(TYPE1&lt;&gt;"")+('Dvd Calendar'!$X$390=TYPE2)*(TYPE2&lt;&gt;"")+('Dvd Calendar'!$X$390=TYPE3)*(TYPE3&lt;&gt;"")+('Dvd Calendar'!$X$390=TYPE4)*(TYPE4&lt;&gt;"")+('Dvd Calendar'!$X$390=SPECIAL_LBL)*(INC_SPECIALS="Y"))=0,"",'Dvd Calendar'!$X$388)))</f>
        <v/>
      </c>
      <c r="W46" s="110">
        <f>IF(EY46="","",IF(ISNUMBER('Dvd Calendar'!$Y$388)=FALSE,"",IF((('Dvd Calendar'!$Y$390=TYPE1)*(TYPE1&lt;&gt;"")+('Dvd Calendar'!$Y$390=TYPE2)*(TYPE2&lt;&gt;"")+('Dvd Calendar'!$Y$390=TYPE3)*(TYPE3&lt;&gt;"")+('Dvd Calendar'!$Y$390=TYPE4)*(TYPE4&lt;&gt;"")+('Dvd Calendar'!$Y$390=SPECIAL_LBL)*(INC_SPECIALS="Y"))=0,"",'Dvd Calendar'!$Y$388)))</f>
        <v/>
      </c>
      <c r="X46" s="110">
        <f>IF(EZ46="","",IF(ISNUMBER('Dvd Calendar'!$Z$388)=FALSE,"",IF((('Dvd Calendar'!$Z$390=TYPE1)*(TYPE1&lt;&gt;"")+('Dvd Calendar'!$Z$390=TYPE2)*(TYPE2&lt;&gt;"")+('Dvd Calendar'!$Z$390=TYPE3)*(TYPE3&lt;&gt;"")+('Dvd Calendar'!$Z$390=TYPE4)*(TYPE4&lt;&gt;"")+('Dvd Calendar'!$Z$390=SPECIAL_LBL)*(INC_SPECIALS="Y"))=0,"",'Dvd Calendar'!$Z$388)))</f>
        <v/>
      </c>
      <c r="Y46" s="110">
        <f>IF(FA46="","",IF(ISNUMBER('Dvd Calendar'!$AA$388)=FALSE,"",IF((('Dvd Calendar'!$AA$390=TYPE1)*(TYPE1&lt;&gt;"")+('Dvd Calendar'!$AA$390=TYPE2)*(TYPE2&lt;&gt;"")+('Dvd Calendar'!$AA$390=TYPE3)*(TYPE3&lt;&gt;"")+('Dvd Calendar'!$AA$390=TYPE4)*(TYPE4&lt;&gt;"")+('Dvd Calendar'!$AA$390=SPECIAL_LBL)*(INC_SPECIALS="Y"))=0,"",'Dvd Calendar'!$AA$388)))</f>
        <v/>
      </c>
      <c r="Z46" s="110">
        <f>IF(FB46="","",IF(ISNUMBER('Dvd Calendar'!$AB$388)=FALSE,"",IF((('Dvd Calendar'!$AB$390=TYPE1)*(TYPE1&lt;&gt;"")+('Dvd Calendar'!$AB$390=TYPE2)*(TYPE2&lt;&gt;"")+('Dvd Calendar'!$AB$390=TYPE3)*(TYPE3&lt;&gt;"")+('Dvd Calendar'!$AB$390=TYPE4)*(TYPE4&lt;&gt;"")+('Dvd Calendar'!$AB$390=SPECIAL_LBL)*(INC_SPECIALS="Y"))=0,"",'Dvd Calendar'!$AB$388)))</f>
        <v/>
      </c>
      <c r="AA46" s="110">
        <f>IF(FC46="","",IF(ISNUMBER('Dvd Calendar'!$AC$388)=FALSE,"",IF((('Dvd Calendar'!$AC$390=TYPE1)*(TYPE1&lt;&gt;"")+('Dvd Calendar'!$AC$390=TYPE2)*(TYPE2&lt;&gt;"")+('Dvd Calendar'!$AC$390=TYPE3)*(TYPE3&lt;&gt;"")+('Dvd Calendar'!$AC$390=TYPE4)*(TYPE4&lt;&gt;"")+('Dvd Calendar'!$AC$390=SPECIAL_LBL)*(INC_SPECIALS="Y"))=0,"",'Dvd Calendar'!$AC$388)))</f>
        <v/>
      </c>
      <c r="AB46" s="110">
        <f>IF(FD46="","",IF(ISNUMBER('Dvd Calendar'!$AD$388)=FALSE,"",IF((('Dvd Calendar'!$AD$390=TYPE1)*(TYPE1&lt;&gt;"")+('Dvd Calendar'!$AD$390=TYPE2)*(TYPE2&lt;&gt;"")+('Dvd Calendar'!$AD$390=TYPE3)*(TYPE3&lt;&gt;"")+('Dvd Calendar'!$AD$390=TYPE4)*(TYPE4&lt;&gt;"")+('Dvd Calendar'!$AD$390=SPECIAL_LBL)*(INC_SPECIALS="Y"))=0,"",'Dvd Calendar'!$AD$388)))</f>
        <v/>
      </c>
      <c r="AC46" s="110">
        <f>IF(FE46="","",IF(ISNUMBER('Dvd Calendar'!$AE$388)=FALSE,"",IF((('Dvd Calendar'!$AE$390=TYPE1)*(TYPE1&lt;&gt;"")+('Dvd Calendar'!$AE$390=TYPE2)*(TYPE2&lt;&gt;"")+('Dvd Calendar'!$AE$390=TYPE3)*(TYPE3&lt;&gt;"")+('Dvd Calendar'!$AE$390=TYPE4)*(TYPE4&lt;&gt;"")+('Dvd Calendar'!$AE$390=SPECIAL_LBL)*(INC_SPECIALS="Y"))=0,"",'Dvd Calendar'!$AE$388)))</f>
        <v/>
      </c>
      <c r="AD46" s="110">
        <f>IF(FF46="","",IF(ISNUMBER('Dvd Calendar'!$AF$388)=FALSE,"",IF((('Dvd Calendar'!$AF$390=TYPE1)*(TYPE1&lt;&gt;"")+('Dvd Calendar'!$AF$390=TYPE2)*(TYPE2&lt;&gt;"")+('Dvd Calendar'!$AF$390=TYPE3)*(TYPE3&lt;&gt;"")+('Dvd Calendar'!$AF$390=TYPE4)*(TYPE4&lt;&gt;"")+('Dvd Calendar'!$AF$390=SPECIAL_LBL)*(INC_SPECIALS="Y"))=0,"",'Dvd Calendar'!$AF$388)))</f>
        <v/>
      </c>
      <c r="AE46" s="110">
        <f>IF(FG46="","",IF(ISNUMBER('Dvd Calendar'!$AG$388)=FALSE,"",IF((('Dvd Calendar'!$AG$390=TYPE1)*(TYPE1&lt;&gt;"")+('Dvd Calendar'!$AG$390=TYPE2)*(TYPE2&lt;&gt;"")+('Dvd Calendar'!$AG$390=TYPE3)*(TYPE3&lt;&gt;"")+('Dvd Calendar'!$AG$390=TYPE4)*(TYPE4&lt;&gt;"")+('Dvd Calendar'!$AG$390=SPECIAL_LBL)*(INC_SPECIALS="Y"))=0,"",'Dvd Calendar'!$AG$388)))</f>
        <v/>
      </c>
      <c r="AF46" s="110">
        <f>IF(FH46="","",IF(ISNUMBER('Dvd Calendar'!$AH$388)=FALSE,"",IF((('Dvd Calendar'!$AH$390=TYPE1)*(TYPE1&lt;&gt;"")+('Dvd Calendar'!$AH$390=TYPE2)*(TYPE2&lt;&gt;"")+('Dvd Calendar'!$AH$390=TYPE3)*(TYPE3&lt;&gt;"")+('Dvd Calendar'!$AH$390=TYPE4)*(TYPE4&lt;&gt;"")+('Dvd Calendar'!$AH$390=SPECIAL_LBL)*(INC_SPECIALS="Y"))=0,"",'Dvd Calendar'!$AH$388)))</f>
        <v/>
      </c>
      <c r="AG46" s="110">
        <f>IF(FI46="","",IF(ISNUMBER('Dvd Calendar'!$AI$388)=FALSE,"",IF((('Dvd Calendar'!$AI$390=TYPE1)*(TYPE1&lt;&gt;"")+('Dvd Calendar'!$AI$390=TYPE2)*(TYPE2&lt;&gt;"")+('Dvd Calendar'!$AI$390=TYPE3)*(TYPE3&lt;&gt;"")+('Dvd Calendar'!$AI$390=TYPE4)*(TYPE4&lt;&gt;"")+('Dvd Calendar'!$AI$390=SPECIAL_LBL)*(INC_SPECIALS="Y"))=0,"",'Dvd Calendar'!$AI$388)))</f>
        <v/>
      </c>
      <c r="AH46" s="110">
        <f>IF(FJ46="","",IF(ISNUMBER('Dvd Calendar'!$AJ$388)=FALSE,"",IF((('Dvd Calendar'!$AJ$390=TYPE1)*(TYPE1&lt;&gt;"")+('Dvd Calendar'!$AJ$390=TYPE2)*(TYPE2&lt;&gt;"")+('Dvd Calendar'!$AJ$390=TYPE3)*(TYPE3&lt;&gt;"")+('Dvd Calendar'!$AJ$390=TYPE4)*(TYPE4&lt;&gt;"")+('Dvd Calendar'!$AJ$390=SPECIAL_LBL)*(INC_SPECIALS="Y"))=0,"",'Dvd Calendar'!$AJ$388)))</f>
        <v/>
      </c>
      <c r="AI46" s="110">
        <f>IF(FK46="","",IF(ISNUMBER('Dvd Calendar'!$AK$388)=FALSE,"",IF((('Dvd Calendar'!$AK$390=TYPE1)*(TYPE1&lt;&gt;"")+('Dvd Calendar'!$AK$390=TYPE2)*(TYPE2&lt;&gt;"")+('Dvd Calendar'!$AK$390=TYPE3)*(TYPE3&lt;&gt;"")+('Dvd Calendar'!$AK$390=TYPE4)*(TYPE4&lt;&gt;"")+('Dvd Calendar'!$AK$390=SPECIAL_LBL)*(INC_SPECIALS="Y"))=0,"",'Dvd Calendar'!$AK$388)))</f>
        <v/>
      </c>
      <c r="AJ46" s="110">
        <f>IF(FL46="","",IF(ISNUMBER('Dvd Calendar'!$AL$388)=FALSE,"",IF((('Dvd Calendar'!$AL$390=TYPE1)*(TYPE1&lt;&gt;"")+('Dvd Calendar'!$AL$390=TYPE2)*(TYPE2&lt;&gt;"")+('Dvd Calendar'!$AL$390=TYPE3)*(TYPE3&lt;&gt;"")+('Dvd Calendar'!$AL$390=TYPE4)*(TYPE4&lt;&gt;"")+('Dvd Calendar'!$AL$390=SPECIAL_LBL)*(INC_SPECIALS="Y"))=0,"",'Dvd Calendar'!$AL$388)))</f>
        <v/>
      </c>
      <c r="AK46" s="110">
        <f>IF(FM46="","",IF(ISNUMBER('Dvd Calendar'!$AM$388)=FALSE,"",IF((('Dvd Calendar'!$AM$390=TYPE1)*(TYPE1&lt;&gt;"")+('Dvd Calendar'!$AM$390=TYPE2)*(TYPE2&lt;&gt;"")+('Dvd Calendar'!$AM$390=TYPE3)*(TYPE3&lt;&gt;"")+('Dvd Calendar'!$AM$390=TYPE4)*(TYPE4&lt;&gt;"")+('Dvd Calendar'!$AM$390=SPECIAL_LBL)*(INC_SPECIALS="Y"))=0,"",'Dvd Calendar'!$AM$388)))</f>
        <v/>
      </c>
      <c r="AL46" s="110">
        <f>IF(FN46="","",IF(ISNUMBER('Dvd Calendar'!$AN$388)=FALSE,"",IF((('Dvd Calendar'!$AN$390=TYPE1)*(TYPE1&lt;&gt;"")+('Dvd Calendar'!$AN$390=TYPE2)*(TYPE2&lt;&gt;"")+('Dvd Calendar'!$AN$390=TYPE3)*(TYPE3&lt;&gt;"")+('Dvd Calendar'!$AN$390=TYPE4)*(TYPE4&lt;&gt;"")+('Dvd Calendar'!$AN$390=SPECIAL_LBL)*(INC_SPECIALS="Y"))=0,"",'Dvd Calendar'!$AN$388)))</f>
        <v/>
      </c>
      <c r="AM46" s="110">
        <f>IF(FO46="","",IF(ISNUMBER('Dvd Calendar'!$AO$388)=FALSE,"",IF((('Dvd Calendar'!$AO$390=TYPE1)*(TYPE1&lt;&gt;"")+('Dvd Calendar'!$AO$390=TYPE2)*(TYPE2&lt;&gt;"")+('Dvd Calendar'!$AO$390=TYPE3)*(TYPE3&lt;&gt;"")+('Dvd Calendar'!$AO$390=TYPE4)*(TYPE4&lt;&gt;"")+('Dvd Calendar'!$AO$390=SPECIAL_LBL)*(INC_SPECIALS="Y"))=0,"",'Dvd Calendar'!$AO$388)))</f>
        <v/>
      </c>
      <c r="AN46" s="110">
        <f>IF(FP46="","",IF(ISNUMBER('Dvd Calendar'!$AP$388)=FALSE,"",IF((('Dvd Calendar'!$AP$390=TYPE1)*(TYPE1&lt;&gt;"")+('Dvd Calendar'!$AP$390=TYPE2)*(TYPE2&lt;&gt;"")+('Dvd Calendar'!$AP$390=TYPE3)*(TYPE3&lt;&gt;"")+('Dvd Calendar'!$AP$390=TYPE4)*(TYPE4&lt;&gt;"")+('Dvd Calendar'!$AP$390=SPECIAL_LBL)*(INC_SPECIALS="Y"))=0,"",'Dvd Calendar'!$AP$388)))</f>
        <v/>
      </c>
      <c r="AO46" s="110">
        <f>IF(FQ46="","",IF(ISNUMBER('Dvd Calendar'!$AQ$388)=FALSE,"",IF((('Dvd Calendar'!$AQ$390=TYPE1)*(TYPE1&lt;&gt;"")+('Dvd Calendar'!$AQ$390=TYPE2)*(TYPE2&lt;&gt;"")+('Dvd Calendar'!$AQ$390=TYPE3)*(TYPE3&lt;&gt;"")+('Dvd Calendar'!$AQ$390=TYPE4)*(TYPE4&lt;&gt;"")+('Dvd Calendar'!$AQ$390=SPECIAL_LBL)*(INC_SPECIALS="Y"))=0,"",'Dvd Calendar'!$AQ$388)))</f>
        <v/>
      </c>
      <c r="AP46" s="110">
        <f>IF(FR46="","",IF(ISNUMBER('Dvd Calendar'!$AR$388)=FALSE,"",IF((('Dvd Calendar'!$AR$390=TYPE1)*(TYPE1&lt;&gt;"")+('Dvd Calendar'!$AR$390=TYPE2)*(TYPE2&lt;&gt;"")+('Dvd Calendar'!$AR$390=TYPE3)*(TYPE3&lt;&gt;"")+('Dvd Calendar'!$AR$390=TYPE4)*(TYPE4&lt;&gt;"")+('Dvd Calendar'!$AR$390=SPECIAL_LBL)*(INC_SPECIALS="Y"))=0,"",'Dvd Calendar'!$AR$388)))</f>
        <v/>
      </c>
      <c r="AQ46" s="110">
        <f>IF(FS46="","",IF(ISNUMBER('Dvd Calendar'!$E$393)=FALSE,"",'Dvd Calendar'!$E$393))</f>
        <v/>
      </c>
      <c r="AR46" s="110">
        <f>IF(FT46="","",IF(ISNUMBER('Dvd Calendar'!$F$393)=FALSE,"",'Dvd Calendar'!$F$393))</f>
        <v/>
      </c>
      <c r="AS46" s="110">
        <f>IF(FU46="","",IF(ISNUMBER('Dvd Calendar'!$G$393)=FALSE,"",'Dvd Calendar'!$G$393))</f>
        <v/>
      </c>
      <c r="AT46" s="110">
        <f>IF(FV46="","",IF(ISNUMBER('Dvd Calendar'!$H$393)=FALSE,"",'Dvd Calendar'!$H$393))</f>
        <v/>
      </c>
      <c r="AU46" s="110">
        <f>IF(FW46="","",IF(ISNUMBER('Dvd Calendar'!$I$393)=FALSE,"",'Dvd Calendar'!$I$393))</f>
        <v/>
      </c>
      <c r="AV46" s="110">
        <f>IF(FX46="","",IF(ISNUMBER('Dvd Calendar'!$J$393)=FALSE,"",'Dvd Calendar'!$J$393))</f>
        <v/>
      </c>
      <c r="AW46" s="110">
        <f>IF(FY46="","",IF(ISNUMBER('Dvd Calendar'!$K$393)=FALSE,"",'Dvd Calendar'!$K$393))</f>
        <v/>
      </c>
      <c r="AX46" s="110">
        <f>IF(FZ46="","",IF(ISNUMBER('Dvd Calendar'!$L$393)=FALSE,"",'Dvd Calendar'!$L$393))</f>
        <v/>
      </c>
      <c r="AY46" s="110">
        <f>IF(GA46="","",IF(ISNUMBER('Dvd Calendar'!$M$393)=FALSE,"",'Dvd Calendar'!$M$393))</f>
        <v/>
      </c>
      <c r="AZ46" s="110">
        <f>IF(GB46="","",IF(ISNUMBER('Dvd Calendar'!$N$393)=FALSE,"",'Dvd Calendar'!$N$393))</f>
        <v/>
      </c>
      <c r="BA46" s="110">
        <f>IF(GC46="","",IF(ISNUMBER('Dvd Calendar'!$O$393)=FALSE,"",'Dvd Calendar'!$O$393))</f>
        <v/>
      </c>
      <c r="BB46" s="110">
        <f>IF(GD46="","",IF(ISNUMBER('Dvd Calendar'!$P$393)=FALSE,"",'Dvd Calendar'!$P$393))</f>
        <v/>
      </c>
      <c r="BC46" s="110">
        <f>IF(GE46="","",IF(ISNUMBER('Dvd Calendar'!$Q$393)=FALSE,"",'Dvd Calendar'!$Q$393))</f>
        <v/>
      </c>
      <c r="BD46" s="110">
        <f>IF(GF46="","",IF(ISNUMBER('Dvd Calendar'!$R$393)=FALSE,"",'Dvd Calendar'!$R$393))</f>
        <v/>
      </c>
      <c r="BE46" s="110">
        <f>IF(GG46="","",IF(ISNUMBER('Dvd Calendar'!$S$393)=FALSE,"",'Dvd Calendar'!$S$393))</f>
        <v/>
      </c>
      <c r="BF46" s="110">
        <f>IF(GH46="","",IF(ISNUMBER('Dvd Calendar'!$T$393)=FALSE,"",'Dvd Calendar'!$T$393))</f>
        <v/>
      </c>
      <c r="BG46" s="110">
        <f>IF(GI46="","",IF(ISNUMBER('Dvd Calendar'!$U$393)=FALSE,"",'Dvd Calendar'!$U$393))</f>
        <v/>
      </c>
      <c r="BH46" s="110">
        <f>IF(GJ46="","",IF(ISNUMBER('Dvd Calendar'!$V$393)=FALSE,"",'Dvd Calendar'!$V$393))</f>
        <v/>
      </c>
      <c r="BI46" s="110">
        <f>IF(GK46="","",IF(ISNUMBER('Dvd Calendar'!$W$393)=FALSE,"",'Dvd Calendar'!$W$393))</f>
        <v/>
      </c>
      <c r="BJ46" s="110">
        <f>IF(GL46="","",IF(ISNUMBER('Dvd Calendar'!$X$393)=FALSE,"",'Dvd Calendar'!$X$393))</f>
        <v/>
      </c>
      <c r="BK46" s="110">
        <f>IF(GM46="","",IF(ISNUMBER('Dvd Calendar'!$Y$393)=FALSE,"",'Dvd Calendar'!$Y$393))</f>
        <v/>
      </c>
      <c r="BL46" s="110">
        <f>IF(GN46="","",IF(ISNUMBER('Dvd Calendar'!$Z$393)=FALSE,"",'Dvd Calendar'!$Z$393))</f>
        <v/>
      </c>
      <c r="BM46" s="110">
        <f>IF(GO46="","",IF(ISNUMBER('Dvd Calendar'!$AA$393)=FALSE,"",'Dvd Calendar'!$AA$393))</f>
        <v/>
      </c>
      <c r="BN46" s="110">
        <f>IF(GP46="","",IF(ISNUMBER('Dvd Calendar'!$AB$393)=FALSE,"",'Dvd Calendar'!$AB$393))</f>
        <v/>
      </c>
      <c r="BO46" s="110">
        <f>IF(GQ46="","",IF(ISNUMBER('Dvd Calendar'!$AC$393)=FALSE,"",'Dvd Calendar'!$AC$393))</f>
        <v/>
      </c>
      <c r="BQ46" s="110">
        <f>IF(C46="","",IFERROR(C46*HSI!$B$41*HSI!$G$41/HSI!$B$3,""))</f>
        <v/>
      </c>
      <c r="BR46" s="110">
        <f>IF(D46="","",IFERROR(D46*HSI!$B$41*HSI!$G$41/HSI!$B$3,""))</f>
        <v/>
      </c>
      <c r="BS46" s="110">
        <f>IF(E46="","",IFERROR(E46*HSI!$B$41*HSI!$G$41/HSI!$B$3,""))</f>
        <v/>
      </c>
      <c r="BT46" s="110">
        <f>IF(F46="","",IFERROR(F46*HSI!$B$41*HSI!$G$41/HSI!$B$3,""))</f>
        <v/>
      </c>
      <c r="BU46" s="110">
        <f>IF(G46="","",IFERROR(G46*HSI!$B$41*HSI!$G$41/HSI!$B$3,""))</f>
        <v/>
      </c>
      <c r="BV46" s="110">
        <f>IF(H46="","",IFERROR(H46*HSI!$B$41*HSI!$G$41/HSI!$B$3,""))</f>
        <v/>
      </c>
      <c r="BW46" s="110">
        <f>IF(I46="","",IFERROR(I46*HSI!$B$41*HSI!$G$41/HSI!$B$3,""))</f>
        <v/>
      </c>
      <c r="BX46" s="110">
        <f>IF(J46="","",IFERROR(J46*HSI!$B$41*HSI!$G$41/HSI!$B$3,""))</f>
        <v/>
      </c>
      <c r="BY46" s="110">
        <f>IF(K46="","",IFERROR(K46*HSI!$B$41*HSI!$G$41/HSI!$B$3,""))</f>
        <v/>
      </c>
      <c r="BZ46" s="110">
        <f>IF(L46="","",IFERROR(L46*HSI!$B$41*HSI!$G$41/HSI!$B$3,""))</f>
        <v/>
      </c>
      <c r="CA46" s="110">
        <f>IF(M46="","",IFERROR(M46*HSI!$B$41*HSI!$G$41/HSI!$B$3,""))</f>
        <v/>
      </c>
      <c r="CB46" s="110">
        <f>IF(N46="","",IFERROR(N46*HSI!$B$41*HSI!$G$41/HSI!$B$3,""))</f>
        <v/>
      </c>
      <c r="CC46" s="110">
        <f>IF(O46="","",IFERROR(O46*HSI!$B$41*HSI!$G$41/HSI!$B$3,""))</f>
        <v/>
      </c>
      <c r="CD46" s="110">
        <f>IF(P46="","",IFERROR(P46*HSI!$B$41*HSI!$G$41/HSI!$B$3,""))</f>
        <v/>
      </c>
      <c r="CE46" s="110">
        <f>IF(Q46="","",IFERROR(Q46*HSI!$B$41*HSI!$G$41/HSI!$B$3,""))</f>
        <v/>
      </c>
      <c r="CF46" s="110">
        <f>IF(R46="","",IFERROR(R46*HSI!$B$41*HSI!$G$41/HSI!$B$3,""))</f>
        <v/>
      </c>
      <c r="CG46" s="110">
        <f>IF(S46="","",IFERROR(S46*HSI!$B$41*HSI!$G$41/HSI!$B$3,""))</f>
        <v/>
      </c>
      <c r="CH46" s="110">
        <f>IF(T46="","",IFERROR(T46*HSI!$B$41*HSI!$G$41/HSI!$B$3,""))</f>
        <v/>
      </c>
      <c r="CI46" s="110">
        <f>IF(U46="","",IFERROR(U46*HSI!$B$41*HSI!$G$41/HSI!$B$3,""))</f>
        <v/>
      </c>
      <c r="CJ46" s="110">
        <f>IF(V46="","",IFERROR(V46*HSI!$B$41*HSI!$G$41/HSI!$B$3,""))</f>
        <v/>
      </c>
      <c r="CK46" s="110">
        <f>IF(W46="","",IFERROR(W46*HSI!$B$41*HSI!$G$41/HSI!$B$3,""))</f>
        <v/>
      </c>
      <c r="CL46" s="110">
        <f>IF(X46="","",IFERROR(X46*HSI!$B$41*HSI!$G$41/HSI!$B$3,""))</f>
        <v/>
      </c>
      <c r="CM46" s="110">
        <f>IF(Y46="","",IFERROR(Y46*HSI!$B$41*HSI!$G$41/HSI!$B$3,""))</f>
        <v/>
      </c>
      <c r="CN46" s="110">
        <f>IF(Z46="","",IFERROR(Z46*HSI!$B$41*HSI!$G$41/HSI!$B$3,""))</f>
        <v/>
      </c>
      <c r="CO46" s="110">
        <f>IF(AA46="","",IFERROR(AA46*HSI!$B$41*HSI!$G$41/HSI!$B$3,""))</f>
        <v/>
      </c>
      <c r="CP46" s="110">
        <f>IF(AB46="","",IFERROR(AB46*HSI!$B$41*HSI!$G$41/HSI!$B$3,""))</f>
        <v/>
      </c>
      <c r="CQ46" s="110">
        <f>IF(AC46="","",IFERROR(AC46*HSI!$B$41*HSI!$G$41/HSI!$B$3,""))</f>
        <v/>
      </c>
      <c r="CR46" s="110">
        <f>IF(AD46="","",IFERROR(AD46*HSI!$B$41*HSI!$G$41/HSI!$B$3,""))</f>
        <v/>
      </c>
      <c r="CS46" s="110">
        <f>IF(AE46="","",IFERROR(AE46*HSI!$B$41*HSI!$G$41/HSI!$B$3,""))</f>
        <v/>
      </c>
      <c r="CT46" s="110">
        <f>IF(AF46="","",IFERROR(AF46*HSI!$B$41*HSI!$G$41/HSI!$B$3,""))</f>
        <v/>
      </c>
      <c r="CU46" s="110">
        <f>IF(AG46="","",IFERROR(AG46*HSI!$B$41*HSI!$G$41/HSI!$B$3,""))</f>
        <v/>
      </c>
      <c r="CV46" s="110">
        <f>IF(AH46="","",IFERROR(AH46*HSI!$B$41*HSI!$G$41/HSI!$B$3,""))</f>
        <v/>
      </c>
      <c r="CW46" s="110">
        <f>IF(AI46="","",IFERROR(AI46*HSI!$B$41*HSI!$G$41/HSI!$B$3,""))</f>
        <v/>
      </c>
      <c r="CX46" s="110">
        <f>IF(AJ46="","",IFERROR(AJ46*HSI!$B$41*HSI!$G$41/HSI!$B$3,""))</f>
        <v/>
      </c>
      <c r="CY46" s="110">
        <f>IF(AK46="","",IFERROR(AK46*HSI!$B$41*HSI!$G$41/HSI!$B$3,""))</f>
        <v/>
      </c>
      <c r="CZ46" s="110">
        <f>IF(AL46="","",IFERROR(AL46*HSI!$B$41*HSI!$G$41/HSI!$B$3,""))</f>
        <v/>
      </c>
      <c r="DA46" s="110">
        <f>IF(AM46="","",IFERROR(AM46*HSI!$B$41*HSI!$G$41/HSI!$B$3,""))</f>
        <v/>
      </c>
      <c r="DB46" s="110">
        <f>IF(AN46="","",IFERROR(AN46*HSI!$B$41*HSI!$G$41/HSI!$B$3,""))</f>
        <v/>
      </c>
      <c r="DC46" s="110">
        <f>IF(AO46="","",IFERROR(AO46*HSI!$B$41*HSI!$G$41/HSI!$B$3,""))</f>
        <v/>
      </c>
      <c r="DD46" s="110">
        <f>IF(AP46="","",IFERROR(AP46*HSI!$B$41*HSI!$G$41/HSI!$B$3,""))</f>
        <v/>
      </c>
      <c r="DE46" s="110">
        <f>IF(AQ46="","",IFERROR(AQ46*HSI!$B$41*HSI!$G$41/HSI!$B$3,""))</f>
        <v/>
      </c>
      <c r="DF46" s="110">
        <f>IF(AR46="","",IFERROR(AR46*HSI!$B$41*HSI!$G$41/HSI!$B$3,""))</f>
        <v/>
      </c>
      <c r="DG46" s="110">
        <f>IF(AS46="","",IFERROR(AS46*HSI!$B$41*HSI!$G$41/HSI!$B$3,""))</f>
        <v/>
      </c>
      <c r="DH46" s="110">
        <f>IF(AT46="","",IFERROR(AT46*HSI!$B$41*HSI!$G$41/HSI!$B$3,""))</f>
        <v/>
      </c>
      <c r="DI46" s="110">
        <f>IF(AU46="","",IFERROR(AU46*HSI!$B$41*HSI!$G$41/HSI!$B$3,""))</f>
        <v/>
      </c>
      <c r="DJ46" s="110">
        <f>IF(AV46="","",IFERROR(AV46*HSI!$B$41*HSI!$G$41/HSI!$B$3,""))</f>
        <v/>
      </c>
      <c r="DK46" s="110">
        <f>IF(AW46="","",IFERROR(AW46*HSI!$B$41*HSI!$G$41/HSI!$B$3,""))</f>
        <v/>
      </c>
      <c r="DL46" s="110">
        <f>IF(AX46="","",IFERROR(AX46*HSI!$B$41*HSI!$G$41/HSI!$B$3,""))</f>
        <v/>
      </c>
      <c r="DM46" s="110">
        <f>IF(AY46="","",IFERROR(AY46*HSI!$B$41*HSI!$G$41/HSI!$B$3,""))</f>
        <v/>
      </c>
      <c r="DN46" s="110">
        <f>IF(AZ46="","",IFERROR(AZ46*HSI!$B$41*HSI!$G$41/HSI!$B$3,""))</f>
        <v/>
      </c>
      <c r="DO46" s="110">
        <f>IF(BA46="","",IFERROR(BA46*HSI!$B$41*HSI!$G$41/HSI!$B$3,""))</f>
        <v/>
      </c>
      <c r="DP46" s="110">
        <f>IF(BB46="","",IFERROR(BB46*HSI!$B$41*HSI!$G$41/HSI!$B$3,""))</f>
        <v/>
      </c>
      <c r="DQ46" s="110">
        <f>IF(BC46="","",IFERROR(BC46*HSI!$B$41*HSI!$G$41/HSI!$B$3,""))</f>
        <v/>
      </c>
      <c r="DR46" s="110">
        <f>IF(BD46="","",IFERROR(BD46*HSI!$B$41*HSI!$G$41/HSI!$B$3,""))</f>
        <v/>
      </c>
      <c r="DS46" s="110">
        <f>IF(BE46="","",IFERROR(BE46*HSI!$B$41*HSI!$G$41/HSI!$B$3,""))</f>
        <v/>
      </c>
      <c r="DT46" s="110">
        <f>IF(BF46="","",IFERROR(BF46*HSI!$B$41*HSI!$G$41/HSI!$B$3,""))</f>
        <v/>
      </c>
      <c r="DU46" s="110">
        <f>IF(BG46="","",IFERROR(BG46*HSI!$B$41*HSI!$G$41/HSI!$B$3,""))</f>
        <v/>
      </c>
      <c r="DV46" s="110">
        <f>IF(BH46="","",IFERROR(BH46*HSI!$B$41*HSI!$G$41/HSI!$B$3,""))</f>
        <v/>
      </c>
      <c r="DW46" s="110">
        <f>IF(BI46="","",IFERROR(BI46*HSI!$B$41*HSI!$G$41/HSI!$B$3,""))</f>
        <v/>
      </c>
      <c r="DX46" s="110">
        <f>IF(BJ46="","",IFERROR(BJ46*HSI!$B$41*HSI!$G$41/HSI!$B$3,""))</f>
        <v/>
      </c>
      <c r="DY46" s="110">
        <f>IF(BK46="","",IFERROR(BK46*HSI!$B$41*HSI!$G$41/HSI!$B$3,""))</f>
        <v/>
      </c>
      <c r="DZ46" s="110">
        <f>IF(BL46="","",IFERROR(BL46*HSI!$B$41*HSI!$G$41/HSI!$B$3,""))</f>
        <v/>
      </c>
      <c r="EA46" s="110">
        <f>IF(BM46="","",IFERROR(BM46*HSI!$B$41*HSI!$G$41/HSI!$B$3,""))</f>
        <v/>
      </c>
      <c r="EB46" s="110">
        <f>IF(BN46="","",IFERROR(BN46*HSI!$B$41*HSI!$G$41/HSI!$B$3,""))</f>
        <v/>
      </c>
      <c r="EC46" s="110">
        <f>IF(BO46="","",IFERROR(BO46*HSI!$B$41*HSI!$G$41/HSI!$B$3,""))</f>
        <v/>
      </c>
      <c r="EE46" s="39">
        <f>IF(N('Dvd Calendar'!$E$385)=0,"",IF(('Dvd Calendar'!$E$385&gt;=GRID_FROM)*('Dvd Calendar'!$E$385&lt;=GRID_TO)*((('Dvd Calendar'!$E$385&lt;=VAL_DATE)+(COUNTIF('Dvd Calendar'!$E$392:$AR$392,'Dvd Calendar'!$E$385)=0))&gt;0)=0,"",'Dvd Calendar'!$E$385*1000000000+ISNUMBER('Dvd Calendar'!$E$388)*100000000+('Dvd Calendar'!$E$390=SPECIAL_LBL)*10000000+(N('Dvd Calendar'!$E$384)&gt;0)*(N('Dvd Calendar'!$E$384)&lt;=VAL_SERIAL)*1000000+35*1000+1))</f>
        <v/>
      </c>
      <c r="EF46" s="39">
        <f>IF(N('Dvd Calendar'!$F$385)=0,"",IF(('Dvd Calendar'!$F$385&gt;=GRID_FROM)*('Dvd Calendar'!$F$385&lt;=GRID_TO)*((('Dvd Calendar'!$F$385&lt;=VAL_DATE)+(COUNTIF('Dvd Calendar'!$E$392:$AR$392,'Dvd Calendar'!$F$385)=0))&gt;0)=0,"",'Dvd Calendar'!$F$385*1000000000+ISNUMBER('Dvd Calendar'!$F$388)*100000000+('Dvd Calendar'!$F$390=SPECIAL_LBL)*10000000+(N('Dvd Calendar'!$F$384)&gt;0)*(N('Dvd Calendar'!$F$384)&lt;=VAL_SERIAL)*1000000+35*1000+2))</f>
        <v/>
      </c>
      <c r="EG46" s="39">
        <f>IF(N('Dvd Calendar'!$G$385)=0,"",IF(('Dvd Calendar'!$G$385&gt;=GRID_FROM)*('Dvd Calendar'!$G$385&lt;=GRID_TO)*((('Dvd Calendar'!$G$385&lt;=VAL_DATE)+(COUNTIF('Dvd Calendar'!$E$392:$AR$392,'Dvd Calendar'!$G$385)=0))&gt;0)=0,"",'Dvd Calendar'!$G$385*1000000000+ISNUMBER('Dvd Calendar'!$G$388)*100000000+('Dvd Calendar'!$G$390=SPECIAL_LBL)*10000000+(N('Dvd Calendar'!$G$384)&gt;0)*(N('Dvd Calendar'!$G$384)&lt;=VAL_SERIAL)*1000000+35*1000+3))</f>
        <v/>
      </c>
      <c r="EH46" s="39">
        <f>IF(N('Dvd Calendar'!$H$385)=0,"",IF(('Dvd Calendar'!$H$385&gt;=GRID_FROM)*('Dvd Calendar'!$H$385&lt;=GRID_TO)*((('Dvd Calendar'!$H$385&lt;=VAL_DATE)+(COUNTIF('Dvd Calendar'!$E$392:$AR$392,'Dvd Calendar'!$H$385)=0))&gt;0)=0,"",'Dvd Calendar'!$H$385*1000000000+ISNUMBER('Dvd Calendar'!$H$388)*100000000+('Dvd Calendar'!$H$390=SPECIAL_LBL)*10000000+(N('Dvd Calendar'!$H$384)&gt;0)*(N('Dvd Calendar'!$H$384)&lt;=VAL_SERIAL)*1000000+35*1000+4))</f>
        <v/>
      </c>
      <c r="EI46" s="39">
        <f>IF(N('Dvd Calendar'!$I$385)=0,"",IF(('Dvd Calendar'!$I$385&gt;=GRID_FROM)*('Dvd Calendar'!$I$385&lt;=GRID_TO)*((('Dvd Calendar'!$I$385&lt;=VAL_DATE)+(COUNTIF('Dvd Calendar'!$E$392:$AR$392,'Dvd Calendar'!$I$385)=0))&gt;0)=0,"",'Dvd Calendar'!$I$385*1000000000+ISNUMBER('Dvd Calendar'!$I$388)*100000000+('Dvd Calendar'!$I$390=SPECIAL_LBL)*10000000+(N('Dvd Calendar'!$I$384)&gt;0)*(N('Dvd Calendar'!$I$384)&lt;=VAL_SERIAL)*1000000+35*1000+5))</f>
        <v/>
      </c>
      <c r="EJ46" s="39">
        <f>IF(N('Dvd Calendar'!$J$385)=0,"",IF(('Dvd Calendar'!$J$385&gt;=GRID_FROM)*('Dvd Calendar'!$J$385&lt;=GRID_TO)*((('Dvd Calendar'!$J$385&lt;=VAL_DATE)+(COUNTIF('Dvd Calendar'!$E$392:$AR$392,'Dvd Calendar'!$J$385)=0))&gt;0)=0,"",'Dvd Calendar'!$J$385*1000000000+ISNUMBER('Dvd Calendar'!$J$388)*100000000+('Dvd Calendar'!$J$390=SPECIAL_LBL)*10000000+(N('Dvd Calendar'!$J$384)&gt;0)*(N('Dvd Calendar'!$J$384)&lt;=VAL_SERIAL)*1000000+35*1000+6))</f>
        <v/>
      </c>
      <c r="EK46" s="39">
        <f>IF(N('Dvd Calendar'!$K$385)=0,"",IF(('Dvd Calendar'!$K$385&gt;=GRID_FROM)*('Dvd Calendar'!$K$385&lt;=GRID_TO)*((('Dvd Calendar'!$K$385&lt;=VAL_DATE)+(COUNTIF('Dvd Calendar'!$E$392:$AR$392,'Dvd Calendar'!$K$385)=0))&gt;0)=0,"",'Dvd Calendar'!$K$385*1000000000+ISNUMBER('Dvd Calendar'!$K$388)*100000000+('Dvd Calendar'!$K$390=SPECIAL_LBL)*10000000+(N('Dvd Calendar'!$K$384)&gt;0)*(N('Dvd Calendar'!$K$384)&lt;=VAL_SERIAL)*1000000+35*1000+7))</f>
        <v/>
      </c>
      <c r="EL46" s="39">
        <f>IF(N('Dvd Calendar'!$L$385)=0,"",IF(('Dvd Calendar'!$L$385&gt;=GRID_FROM)*('Dvd Calendar'!$L$385&lt;=GRID_TO)*((('Dvd Calendar'!$L$385&lt;=VAL_DATE)+(COUNTIF('Dvd Calendar'!$E$392:$AR$392,'Dvd Calendar'!$L$385)=0))&gt;0)=0,"",'Dvd Calendar'!$L$385*1000000000+ISNUMBER('Dvd Calendar'!$L$388)*100000000+('Dvd Calendar'!$L$390=SPECIAL_LBL)*10000000+(N('Dvd Calendar'!$L$384)&gt;0)*(N('Dvd Calendar'!$L$384)&lt;=VAL_SERIAL)*1000000+35*1000+8))</f>
        <v/>
      </c>
      <c r="EM46" s="39">
        <f>IF(N('Dvd Calendar'!$M$385)=0,"",IF(('Dvd Calendar'!$M$385&gt;=GRID_FROM)*('Dvd Calendar'!$M$385&lt;=GRID_TO)*((('Dvd Calendar'!$M$385&lt;=VAL_DATE)+(COUNTIF('Dvd Calendar'!$E$392:$AR$392,'Dvd Calendar'!$M$385)=0))&gt;0)=0,"",'Dvd Calendar'!$M$385*1000000000+ISNUMBER('Dvd Calendar'!$M$388)*100000000+('Dvd Calendar'!$M$390=SPECIAL_LBL)*10000000+(N('Dvd Calendar'!$M$384)&gt;0)*(N('Dvd Calendar'!$M$384)&lt;=VAL_SERIAL)*1000000+35*1000+9))</f>
        <v/>
      </c>
      <c r="EN46" s="39">
        <f>IF(N('Dvd Calendar'!$N$385)=0,"",IF(('Dvd Calendar'!$N$385&gt;=GRID_FROM)*('Dvd Calendar'!$N$385&lt;=GRID_TO)*((('Dvd Calendar'!$N$385&lt;=VAL_DATE)+(COUNTIF('Dvd Calendar'!$E$392:$AR$392,'Dvd Calendar'!$N$385)=0))&gt;0)=0,"",'Dvd Calendar'!$N$385*1000000000+ISNUMBER('Dvd Calendar'!$N$388)*100000000+('Dvd Calendar'!$N$390=SPECIAL_LBL)*10000000+(N('Dvd Calendar'!$N$384)&gt;0)*(N('Dvd Calendar'!$N$384)&lt;=VAL_SERIAL)*1000000+35*1000+10))</f>
        <v/>
      </c>
      <c r="EO46" s="39">
        <f>IF(N('Dvd Calendar'!$O$385)=0,"",IF(('Dvd Calendar'!$O$385&gt;=GRID_FROM)*('Dvd Calendar'!$O$385&lt;=GRID_TO)*((('Dvd Calendar'!$O$385&lt;=VAL_DATE)+(COUNTIF('Dvd Calendar'!$E$392:$AR$392,'Dvd Calendar'!$O$385)=0))&gt;0)=0,"",'Dvd Calendar'!$O$385*1000000000+ISNUMBER('Dvd Calendar'!$O$388)*100000000+('Dvd Calendar'!$O$390=SPECIAL_LBL)*10000000+(N('Dvd Calendar'!$O$384)&gt;0)*(N('Dvd Calendar'!$O$384)&lt;=VAL_SERIAL)*1000000+35*1000+11))</f>
        <v/>
      </c>
      <c r="EP46" s="39">
        <f>IF(N('Dvd Calendar'!$P$385)=0,"",IF(('Dvd Calendar'!$P$385&gt;=GRID_FROM)*('Dvd Calendar'!$P$385&lt;=GRID_TO)*((('Dvd Calendar'!$P$385&lt;=VAL_DATE)+(COUNTIF('Dvd Calendar'!$E$392:$AR$392,'Dvd Calendar'!$P$385)=0))&gt;0)=0,"",'Dvd Calendar'!$P$385*1000000000+ISNUMBER('Dvd Calendar'!$P$388)*100000000+('Dvd Calendar'!$P$390=SPECIAL_LBL)*10000000+(N('Dvd Calendar'!$P$384)&gt;0)*(N('Dvd Calendar'!$P$384)&lt;=VAL_SERIAL)*1000000+35*1000+12))</f>
        <v/>
      </c>
      <c r="EQ46" s="39">
        <f>IF(N('Dvd Calendar'!$Q$385)=0,"",IF(('Dvd Calendar'!$Q$385&gt;=GRID_FROM)*('Dvd Calendar'!$Q$385&lt;=GRID_TO)*((('Dvd Calendar'!$Q$385&lt;=VAL_DATE)+(COUNTIF('Dvd Calendar'!$E$392:$AR$392,'Dvd Calendar'!$Q$385)=0))&gt;0)=0,"",'Dvd Calendar'!$Q$385*1000000000+ISNUMBER('Dvd Calendar'!$Q$388)*100000000+('Dvd Calendar'!$Q$390=SPECIAL_LBL)*10000000+(N('Dvd Calendar'!$Q$384)&gt;0)*(N('Dvd Calendar'!$Q$384)&lt;=VAL_SERIAL)*1000000+35*1000+13))</f>
        <v/>
      </c>
      <c r="ER46" s="39">
        <f>IF(N('Dvd Calendar'!$R$385)=0,"",IF(('Dvd Calendar'!$R$385&gt;=GRID_FROM)*('Dvd Calendar'!$R$385&lt;=GRID_TO)*((('Dvd Calendar'!$R$385&lt;=VAL_DATE)+(COUNTIF('Dvd Calendar'!$E$392:$AR$392,'Dvd Calendar'!$R$385)=0))&gt;0)=0,"",'Dvd Calendar'!$R$385*1000000000+ISNUMBER('Dvd Calendar'!$R$388)*100000000+('Dvd Calendar'!$R$390=SPECIAL_LBL)*10000000+(N('Dvd Calendar'!$R$384)&gt;0)*(N('Dvd Calendar'!$R$384)&lt;=VAL_SERIAL)*1000000+35*1000+14))</f>
        <v/>
      </c>
      <c r="ES46" s="39">
        <f>IF(N('Dvd Calendar'!$S$385)=0,"",IF(('Dvd Calendar'!$S$385&gt;=GRID_FROM)*('Dvd Calendar'!$S$385&lt;=GRID_TO)*((('Dvd Calendar'!$S$385&lt;=VAL_DATE)+(COUNTIF('Dvd Calendar'!$E$392:$AR$392,'Dvd Calendar'!$S$385)=0))&gt;0)=0,"",'Dvd Calendar'!$S$385*1000000000+ISNUMBER('Dvd Calendar'!$S$388)*100000000+('Dvd Calendar'!$S$390=SPECIAL_LBL)*10000000+(N('Dvd Calendar'!$S$384)&gt;0)*(N('Dvd Calendar'!$S$384)&lt;=VAL_SERIAL)*1000000+35*1000+15))</f>
        <v/>
      </c>
      <c r="ET46" s="39">
        <f>IF(N('Dvd Calendar'!$T$385)=0,"",IF(('Dvd Calendar'!$T$385&gt;=GRID_FROM)*('Dvd Calendar'!$T$385&lt;=GRID_TO)*((('Dvd Calendar'!$T$385&lt;=VAL_DATE)+(COUNTIF('Dvd Calendar'!$E$392:$AR$392,'Dvd Calendar'!$T$385)=0))&gt;0)=0,"",'Dvd Calendar'!$T$385*1000000000+ISNUMBER('Dvd Calendar'!$T$388)*100000000+('Dvd Calendar'!$T$390=SPECIAL_LBL)*10000000+(N('Dvd Calendar'!$T$384)&gt;0)*(N('Dvd Calendar'!$T$384)&lt;=VAL_SERIAL)*1000000+35*1000+16))</f>
        <v/>
      </c>
      <c r="EU46" s="39">
        <f>IF(N('Dvd Calendar'!$U$385)=0,"",IF(('Dvd Calendar'!$U$385&gt;=GRID_FROM)*('Dvd Calendar'!$U$385&lt;=GRID_TO)*((('Dvd Calendar'!$U$385&lt;=VAL_DATE)+(COUNTIF('Dvd Calendar'!$E$392:$AR$392,'Dvd Calendar'!$U$385)=0))&gt;0)=0,"",'Dvd Calendar'!$U$385*1000000000+ISNUMBER('Dvd Calendar'!$U$388)*100000000+('Dvd Calendar'!$U$390=SPECIAL_LBL)*10000000+(N('Dvd Calendar'!$U$384)&gt;0)*(N('Dvd Calendar'!$U$384)&lt;=VAL_SERIAL)*1000000+35*1000+17))</f>
        <v/>
      </c>
      <c r="EV46" s="39">
        <f>IF(N('Dvd Calendar'!$V$385)=0,"",IF(('Dvd Calendar'!$V$385&gt;=GRID_FROM)*('Dvd Calendar'!$V$385&lt;=GRID_TO)*((('Dvd Calendar'!$V$385&lt;=VAL_DATE)+(COUNTIF('Dvd Calendar'!$E$392:$AR$392,'Dvd Calendar'!$V$385)=0))&gt;0)=0,"",'Dvd Calendar'!$V$385*1000000000+ISNUMBER('Dvd Calendar'!$V$388)*100000000+('Dvd Calendar'!$V$390=SPECIAL_LBL)*10000000+(N('Dvd Calendar'!$V$384)&gt;0)*(N('Dvd Calendar'!$V$384)&lt;=VAL_SERIAL)*1000000+35*1000+18))</f>
        <v/>
      </c>
      <c r="EW46" s="39">
        <f>IF(N('Dvd Calendar'!$W$385)=0,"",IF(('Dvd Calendar'!$W$385&gt;=GRID_FROM)*('Dvd Calendar'!$W$385&lt;=GRID_TO)*((('Dvd Calendar'!$W$385&lt;=VAL_DATE)+(COUNTIF('Dvd Calendar'!$E$392:$AR$392,'Dvd Calendar'!$W$385)=0))&gt;0)=0,"",'Dvd Calendar'!$W$385*1000000000+ISNUMBER('Dvd Calendar'!$W$388)*100000000+('Dvd Calendar'!$W$390=SPECIAL_LBL)*10000000+(N('Dvd Calendar'!$W$384)&gt;0)*(N('Dvd Calendar'!$W$384)&lt;=VAL_SERIAL)*1000000+35*1000+19))</f>
        <v/>
      </c>
      <c r="EX46" s="39">
        <f>IF(N('Dvd Calendar'!$X$385)=0,"",IF(('Dvd Calendar'!$X$385&gt;=GRID_FROM)*('Dvd Calendar'!$X$385&lt;=GRID_TO)*((('Dvd Calendar'!$X$385&lt;=VAL_DATE)+(COUNTIF('Dvd Calendar'!$E$392:$AR$392,'Dvd Calendar'!$X$385)=0))&gt;0)=0,"",'Dvd Calendar'!$X$385*1000000000+ISNUMBER('Dvd Calendar'!$X$388)*100000000+('Dvd Calendar'!$X$390=SPECIAL_LBL)*10000000+(N('Dvd Calendar'!$X$384)&gt;0)*(N('Dvd Calendar'!$X$384)&lt;=VAL_SERIAL)*1000000+35*1000+20))</f>
        <v/>
      </c>
      <c r="EY46" s="39">
        <f>IF(N('Dvd Calendar'!$Y$385)=0,"",IF(('Dvd Calendar'!$Y$385&gt;=GRID_FROM)*('Dvd Calendar'!$Y$385&lt;=GRID_TO)*((('Dvd Calendar'!$Y$385&lt;=VAL_DATE)+(COUNTIF('Dvd Calendar'!$E$392:$AR$392,'Dvd Calendar'!$Y$385)=0))&gt;0)=0,"",'Dvd Calendar'!$Y$385*1000000000+ISNUMBER('Dvd Calendar'!$Y$388)*100000000+('Dvd Calendar'!$Y$390=SPECIAL_LBL)*10000000+(N('Dvd Calendar'!$Y$384)&gt;0)*(N('Dvd Calendar'!$Y$384)&lt;=VAL_SERIAL)*1000000+35*1000+21))</f>
        <v/>
      </c>
      <c r="EZ46" s="39">
        <f>IF(N('Dvd Calendar'!$Z$385)=0,"",IF(('Dvd Calendar'!$Z$385&gt;=GRID_FROM)*('Dvd Calendar'!$Z$385&lt;=GRID_TO)*((('Dvd Calendar'!$Z$385&lt;=VAL_DATE)+(COUNTIF('Dvd Calendar'!$E$392:$AR$392,'Dvd Calendar'!$Z$385)=0))&gt;0)=0,"",'Dvd Calendar'!$Z$385*1000000000+ISNUMBER('Dvd Calendar'!$Z$388)*100000000+('Dvd Calendar'!$Z$390=SPECIAL_LBL)*10000000+(N('Dvd Calendar'!$Z$384)&gt;0)*(N('Dvd Calendar'!$Z$384)&lt;=VAL_SERIAL)*1000000+35*1000+22))</f>
        <v/>
      </c>
      <c r="FA46" s="39">
        <f>IF(N('Dvd Calendar'!$AA$385)=0,"",IF(('Dvd Calendar'!$AA$385&gt;=GRID_FROM)*('Dvd Calendar'!$AA$385&lt;=GRID_TO)*((('Dvd Calendar'!$AA$385&lt;=VAL_DATE)+(COUNTIF('Dvd Calendar'!$E$392:$AR$392,'Dvd Calendar'!$AA$385)=0))&gt;0)=0,"",'Dvd Calendar'!$AA$385*1000000000+ISNUMBER('Dvd Calendar'!$AA$388)*100000000+('Dvd Calendar'!$AA$390=SPECIAL_LBL)*10000000+(N('Dvd Calendar'!$AA$384)&gt;0)*(N('Dvd Calendar'!$AA$384)&lt;=VAL_SERIAL)*1000000+35*1000+23))</f>
        <v/>
      </c>
      <c r="FB46" s="39">
        <f>IF(N('Dvd Calendar'!$AB$385)=0,"",IF(('Dvd Calendar'!$AB$385&gt;=GRID_FROM)*('Dvd Calendar'!$AB$385&lt;=GRID_TO)*((('Dvd Calendar'!$AB$385&lt;=VAL_DATE)+(COUNTIF('Dvd Calendar'!$E$392:$AR$392,'Dvd Calendar'!$AB$385)=0))&gt;0)=0,"",'Dvd Calendar'!$AB$385*1000000000+ISNUMBER('Dvd Calendar'!$AB$388)*100000000+('Dvd Calendar'!$AB$390=SPECIAL_LBL)*10000000+(N('Dvd Calendar'!$AB$384)&gt;0)*(N('Dvd Calendar'!$AB$384)&lt;=VAL_SERIAL)*1000000+35*1000+24))</f>
        <v/>
      </c>
      <c r="FC46" s="39">
        <f>IF(N('Dvd Calendar'!$AC$385)=0,"",IF(('Dvd Calendar'!$AC$385&gt;=GRID_FROM)*('Dvd Calendar'!$AC$385&lt;=GRID_TO)*((('Dvd Calendar'!$AC$385&lt;=VAL_DATE)+(COUNTIF('Dvd Calendar'!$E$392:$AR$392,'Dvd Calendar'!$AC$385)=0))&gt;0)=0,"",'Dvd Calendar'!$AC$385*1000000000+ISNUMBER('Dvd Calendar'!$AC$388)*100000000+('Dvd Calendar'!$AC$390=SPECIAL_LBL)*10000000+(N('Dvd Calendar'!$AC$384)&gt;0)*(N('Dvd Calendar'!$AC$384)&lt;=VAL_SERIAL)*1000000+35*1000+25))</f>
        <v/>
      </c>
      <c r="FD46" s="39">
        <f>IF(N('Dvd Calendar'!$AD$385)=0,"",IF(('Dvd Calendar'!$AD$385&gt;=GRID_FROM)*('Dvd Calendar'!$AD$385&lt;=GRID_TO)*((('Dvd Calendar'!$AD$385&lt;=VAL_DATE)+(COUNTIF('Dvd Calendar'!$E$392:$AR$392,'Dvd Calendar'!$AD$385)=0))&gt;0)=0,"",'Dvd Calendar'!$AD$385*1000000000+ISNUMBER('Dvd Calendar'!$AD$388)*100000000+('Dvd Calendar'!$AD$390=SPECIAL_LBL)*10000000+(N('Dvd Calendar'!$AD$384)&gt;0)*(N('Dvd Calendar'!$AD$384)&lt;=VAL_SERIAL)*1000000+35*1000+26))</f>
        <v/>
      </c>
      <c r="FE46" s="39">
        <f>IF(N('Dvd Calendar'!$AE$385)=0,"",IF(('Dvd Calendar'!$AE$385&gt;=GRID_FROM)*('Dvd Calendar'!$AE$385&lt;=GRID_TO)*((('Dvd Calendar'!$AE$385&lt;=VAL_DATE)+(COUNTIF('Dvd Calendar'!$E$392:$AR$392,'Dvd Calendar'!$AE$385)=0))&gt;0)=0,"",'Dvd Calendar'!$AE$385*1000000000+ISNUMBER('Dvd Calendar'!$AE$388)*100000000+('Dvd Calendar'!$AE$390=SPECIAL_LBL)*10000000+(N('Dvd Calendar'!$AE$384)&gt;0)*(N('Dvd Calendar'!$AE$384)&lt;=VAL_SERIAL)*1000000+35*1000+27))</f>
        <v/>
      </c>
      <c r="FF46" s="39">
        <f>IF(N('Dvd Calendar'!$AF$385)=0,"",IF(('Dvd Calendar'!$AF$385&gt;=GRID_FROM)*('Dvd Calendar'!$AF$385&lt;=GRID_TO)*((('Dvd Calendar'!$AF$385&lt;=VAL_DATE)+(COUNTIF('Dvd Calendar'!$E$392:$AR$392,'Dvd Calendar'!$AF$385)=0))&gt;0)=0,"",'Dvd Calendar'!$AF$385*1000000000+ISNUMBER('Dvd Calendar'!$AF$388)*100000000+('Dvd Calendar'!$AF$390=SPECIAL_LBL)*10000000+(N('Dvd Calendar'!$AF$384)&gt;0)*(N('Dvd Calendar'!$AF$384)&lt;=VAL_SERIAL)*1000000+35*1000+28))</f>
        <v/>
      </c>
      <c r="FG46" s="39">
        <f>IF(N('Dvd Calendar'!$AG$385)=0,"",IF(('Dvd Calendar'!$AG$385&gt;=GRID_FROM)*('Dvd Calendar'!$AG$385&lt;=GRID_TO)*((('Dvd Calendar'!$AG$385&lt;=VAL_DATE)+(COUNTIF('Dvd Calendar'!$E$392:$AR$392,'Dvd Calendar'!$AG$385)=0))&gt;0)=0,"",'Dvd Calendar'!$AG$385*1000000000+ISNUMBER('Dvd Calendar'!$AG$388)*100000000+('Dvd Calendar'!$AG$390=SPECIAL_LBL)*10000000+(N('Dvd Calendar'!$AG$384)&gt;0)*(N('Dvd Calendar'!$AG$384)&lt;=VAL_SERIAL)*1000000+35*1000+29))</f>
        <v/>
      </c>
      <c r="FH46" s="39">
        <f>IF(N('Dvd Calendar'!$AH$385)=0,"",IF(('Dvd Calendar'!$AH$385&gt;=GRID_FROM)*('Dvd Calendar'!$AH$385&lt;=GRID_TO)*((('Dvd Calendar'!$AH$385&lt;=VAL_DATE)+(COUNTIF('Dvd Calendar'!$E$392:$AR$392,'Dvd Calendar'!$AH$385)=0))&gt;0)=0,"",'Dvd Calendar'!$AH$385*1000000000+ISNUMBER('Dvd Calendar'!$AH$388)*100000000+('Dvd Calendar'!$AH$390=SPECIAL_LBL)*10000000+(N('Dvd Calendar'!$AH$384)&gt;0)*(N('Dvd Calendar'!$AH$384)&lt;=VAL_SERIAL)*1000000+35*1000+30))</f>
        <v/>
      </c>
      <c r="FI46" s="39">
        <f>IF(N('Dvd Calendar'!$AI$385)=0,"",IF(('Dvd Calendar'!$AI$385&gt;=GRID_FROM)*('Dvd Calendar'!$AI$385&lt;=GRID_TO)*((('Dvd Calendar'!$AI$385&lt;=VAL_DATE)+(COUNTIF('Dvd Calendar'!$E$392:$AR$392,'Dvd Calendar'!$AI$385)=0))&gt;0)=0,"",'Dvd Calendar'!$AI$385*1000000000+ISNUMBER('Dvd Calendar'!$AI$388)*100000000+('Dvd Calendar'!$AI$390=SPECIAL_LBL)*10000000+(N('Dvd Calendar'!$AI$384)&gt;0)*(N('Dvd Calendar'!$AI$384)&lt;=VAL_SERIAL)*1000000+35*1000+31))</f>
        <v/>
      </c>
      <c r="FJ46" s="39">
        <f>IF(N('Dvd Calendar'!$AJ$385)=0,"",IF(('Dvd Calendar'!$AJ$385&gt;=GRID_FROM)*('Dvd Calendar'!$AJ$385&lt;=GRID_TO)*((('Dvd Calendar'!$AJ$385&lt;=VAL_DATE)+(COUNTIF('Dvd Calendar'!$E$392:$AR$392,'Dvd Calendar'!$AJ$385)=0))&gt;0)=0,"",'Dvd Calendar'!$AJ$385*1000000000+ISNUMBER('Dvd Calendar'!$AJ$388)*100000000+('Dvd Calendar'!$AJ$390=SPECIAL_LBL)*10000000+(N('Dvd Calendar'!$AJ$384)&gt;0)*(N('Dvd Calendar'!$AJ$384)&lt;=VAL_SERIAL)*1000000+35*1000+32))</f>
        <v/>
      </c>
      <c r="FK46" s="39">
        <f>IF(N('Dvd Calendar'!$AK$385)=0,"",IF(('Dvd Calendar'!$AK$385&gt;=GRID_FROM)*('Dvd Calendar'!$AK$385&lt;=GRID_TO)*((('Dvd Calendar'!$AK$385&lt;=VAL_DATE)+(COUNTIF('Dvd Calendar'!$E$392:$AR$392,'Dvd Calendar'!$AK$385)=0))&gt;0)=0,"",'Dvd Calendar'!$AK$385*1000000000+ISNUMBER('Dvd Calendar'!$AK$388)*100000000+('Dvd Calendar'!$AK$390=SPECIAL_LBL)*10000000+(N('Dvd Calendar'!$AK$384)&gt;0)*(N('Dvd Calendar'!$AK$384)&lt;=VAL_SERIAL)*1000000+35*1000+33))</f>
        <v/>
      </c>
      <c r="FL46" s="39">
        <f>IF(N('Dvd Calendar'!$AL$385)=0,"",IF(('Dvd Calendar'!$AL$385&gt;=GRID_FROM)*('Dvd Calendar'!$AL$385&lt;=GRID_TO)*((('Dvd Calendar'!$AL$385&lt;=VAL_DATE)+(COUNTIF('Dvd Calendar'!$E$392:$AR$392,'Dvd Calendar'!$AL$385)=0))&gt;0)=0,"",'Dvd Calendar'!$AL$385*1000000000+ISNUMBER('Dvd Calendar'!$AL$388)*100000000+('Dvd Calendar'!$AL$390=SPECIAL_LBL)*10000000+(N('Dvd Calendar'!$AL$384)&gt;0)*(N('Dvd Calendar'!$AL$384)&lt;=VAL_SERIAL)*1000000+35*1000+34))</f>
        <v/>
      </c>
      <c r="FM46" s="39">
        <f>IF(N('Dvd Calendar'!$AM$385)=0,"",IF(('Dvd Calendar'!$AM$385&gt;=GRID_FROM)*('Dvd Calendar'!$AM$385&lt;=GRID_TO)*((('Dvd Calendar'!$AM$385&lt;=VAL_DATE)+(COUNTIF('Dvd Calendar'!$E$392:$AR$392,'Dvd Calendar'!$AM$385)=0))&gt;0)=0,"",'Dvd Calendar'!$AM$385*1000000000+ISNUMBER('Dvd Calendar'!$AM$388)*100000000+('Dvd Calendar'!$AM$390=SPECIAL_LBL)*10000000+(N('Dvd Calendar'!$AM$384)&gt;0)*(N('Dvd Calendar'!$AM$384)&lt;=VAL_SERIAL)*1000000+35*1000+35))</f>
        <v/>
      </c>
      <c r="FN46" s="39">
        <f>IF(N('Dvd Calendar'!$AN$385)=0,"",IF(('Dvd Calendar'!$AN$385&gt;=GRID_FROM)*('Dvd Calendar'!$AN$385&lt;=GRID_TO)*((('Dvd Calendar'!$AN$385&lt;=VAL_DATE)+(COUNTIF('Dvd Calendar'!$E$392:$AR$392,'Dvd Calendar'!$AN$385)=0))&gt;0)=0,"",'Dvd Calendar'!$AN$385*1000000000+ISNUMBER('Dvd Calendar'!$AN$388)*100000000+('Dvd Calendar'!$AN$390=SPECIAL_LBL)*10000000+(N('Dvd Calendar'!$AN$384)&gt;0)*(N('Dvd Calendar'!$AN$384)&lt;=VAL_SERIAL)*1000000+35*1000+36))</f>
        <v/>
      </c>
      <c r="FO46" s="39">
        <f>IF(N('Dvd Calendar'!$AO$385)=0,"",IF(('Dvd Calendar'!$AO$385&gt;=GRID_FROM)*('Dvd Calendar'!$AO$385&lt;=GRID_TO)*((('Dvd Calendar'!$AO$385&lt;=VAL_DATE)+(COUNTIF('Dvd Calendar'!$E$392:$AR$392,'Dvd Calendar'!$AO$385)=0))&gt;0)=0,"",'Dvd Calendar'!$AO$385*1000000000+ISNUMBER('Dvd Calendar'!$AO$388)*100000000+('Dvd Calendar'!$AO$390=SPECIAL_LBL)*10000000+(N('Dvd Calendar'!$AO$384)&gt;0)*(N('Dvd Calendar'!$AO$384)&lt;=VAL_SERIAL)*1000000+35*1000+37))</f>
        <v/>
      </c>
      <c r="FP46" s="39">
        <f>IF(N('Dvd Calendar'!$AP$385)=0,"",IF(('Dvd Calendar'!$AP$385&gt;=GRID_FROM)*('Dvd Calendar'!$AP$385&lt;=GRID_TO)*((('Dvd Calendar'!$AP$385&lt;=VAL_DATE)+(COUNTIF('Dvd Calendar'!$E$392:$AR$392,'Dvd Calendar'!$AP$385)=0))&gt;0)=0,"",'Dvd Calendar'!$AP$385*1000000000+ISNUMBER('Dvd Calendar'!$AP$388)*100000000+('Dvd Calendar'!$AP$390=SPECIAL_LBL)*10000000+(N('Dvd Calendar'!$AP$384)&gt;0)*(N('Dvd Calendar'!$AP$384)&lt;=VAL_SERIAL)*1000000+35*1000+38))</f>
        <v/>
      </c>
      <c r="FQ46" s="39">
        <f>IF(N('Dvd Calendar'!$AQ$385)=0,"",IF(('Dvd Calendar'!$AQ$385&gt;=GRID_FROM)*('Dvd Calendar'!$AQ$385&lt;=GRID_TO)*((('Dvd Calendar'!$AQ$385&lt;=VAL_DATE)+(COUNTIF('Dvd Calendar'!$E$392:$AR$392,'Dvd Calendar'!$AQ$385)=0))&gt;0)=0,"",'Dvd Calendar'!$AQ$385*1000000000+ISNUMBER('Dvd Calendar'!$AQ$388)*100000000+('Dvd Calendar'!$AQ$390=SPECIAL_LBL)*10000000+(N('Dvd Calendar'!$AQ$384)&gt;0)*(N('Dvd Calendar'!$AQ$384)&lt;=VAL_SERIAL)*1000000+35*1000+39))</f>
        <v/>
      </c>
      <c r="FR46" s="39">
        <f>IF(N('Dvd Calendar'!$AR$385)=0,"",IF(('Dvd Calendar'!$AR$385&gt;=GRID_FROM)*('Dvd Calendar'!$AR$385&lt;=GRID_TO)*((('Dvd Calendar'!$AR$385&lt;=VAL_DATE)+(COUNTIF('Dvd Calendar'!$E$392:$AR$392,'Dvd Calendar'!$AR$385)=0))&gt;0)=0,"",'Dvd Calendar'!$AR$385*1000000000+ISNUMBER('Dvd Calendar'!$AR$388)*100000000+('Dvd Calendar'!$AR$390=SPECIAL_LBL)*10000000+(N('Dvd Calendar'!$AR$384)&gt;0)*(N('Dvd Calendar'!$AR$384)&lt;=VAL_SERIAL)*1000000+35*1000+40))</f>
        <v/>
      </c>
      <c r="FS46" s="39">
        <f>IF(N('Dvd Calendar'!$E$392)=0,"",IF(('Dvd Calendar'!$E$392&gt;=GRID_FROM)*('Dvd Calendar'!$E$392&lt;=GRID_TO)*('Dvd Calendar'!$E$392&gt;VAL_DATE)=0,"",'Dvd Calendar'!$E$392*1000000000+ISNUMBER('Dvd Calendar'!$E$393)*100000000+0*10000000+(N('Dvd Calendar'!$E$391)&gt;0)*(N('Dvd Calendar'!$E$391)&lt;=VAL_SERIAL)*1000000+35*1000+41))</f>
        <v/>
      </c>
      <c r="FT46" s="39">
        <f>IF(N('Dvd Calendar'!$F$392)=0,"",IF(('Dvd Calendar'!$F$392&gt;=GRID_FROM)*('Dvd Calendar'!$F$392&lt;=GRID_TO)*('Dvd Calendar'!$F$392&gt;VAL_DATE)=0,"",'Dvd Calendar'!$F$392*1000000000+ISNUMBER('Dvd Calendar'!$F$393)*100000000+0*10000000+(N('Dvd Calendar'!$F$391)&gt;0)*(N('Dvd Calendar'!$F$391)&lt;=VAL_SERIAL)*1000000+35*1000+42))</f>
        <v/>
      </c>
      <c r="FU46" s="39">
        <f>IF(N('Dvd Calendar'!$G$392)=0,"",IF(('Dvd Calendar'!$G$392&gt;=GRID_FROM)*('Dvd Calendar'!$G$392&lt;=GRID_TO)*('Dvd Calendar'!$G$392&gt;VAL_DATE)=0,"",'Dvd Calendar'!$G$392*1000000000+ISNUMBER('Dvd Calendar'!$G$393)*100000000+0*10000000+(N('Dvd Calendar'!$G$391)&gt;0)*(N('Dvd Calendar'!$G$391)&lt;=VAL_SERIAL)*1000000+35*1000+43))</f>
        <v/>
      </c>
      <c r="FV46" s="39">
        <f>IF(N('Dvd Calendar'!$H$392)=0,"",IF(('Dvd Calendar'!$H$392&gt;=GRID_FROM)*('Dvd Calendar'!$H$392&lt;=GRID_TO)*('Dvd Calendar'!$H$392&gt;VAL_DATE)=0,"",'Dvd Calendar'!$H$392*1000000000+ISNUMBER('Dvd Calendar'!$H$393)*100000000+0*10000000+(N('Dvd Calendar'!$H$391)&gt;0)*(N('Dvd Calendar'!$H$391)&lt;=VAL_SERIAL)*1000000+35*1000+44))</f>
        <v/>
      </c>
      <c r="FW46" s="39">
        <f>IF(N('Dvd Calendar'!$I$392)=0,"",IF(('Dvd Calendar'!$I$392&gt;=GRID_FROM)*('Dvd Calendar'!$I$392&lt;=GRID_TO)*('Dvd Calendar'!$I$392&gt;VAL_DATE)=0,"",'Dvd Calendar'!$I$392*1000000000+ISNUMBER('Dvd Calendar'!$I$393)*100000000+0*10000000+(N('Dvd Calendar'!$I$391)&gt;0)*(N('Dvd Calendar'!$I$391)&lt;=VAL_SERIAL)*1000000+35*1000+45))</f>
        <v/>
      </c>
      <c r="FX46" s="39">
        <f>IF(N('Dvd Calendar'!$J$392)=0,"",IF(('Dvd Calendar'!$J$392&gt;=GRID_FROM)*('Dvd Calendar'!$J$392&lt;=GRID_TO)*('Dvd Calendar'!$J$392&gt;VAL_DATE)=0,"",'Dvd Calendar'!$J$392*1000000000+ISNUMBER('Dvd Calendar'!$J$393)*100000000+0*10000000+(N('Dvd Calendar'!$J$391)&gt;0)*(N('Dvd Calendar'!$J$391)&lt;=VAL_SERIAL)*1000000+35*1000+46))</f>
        <v/>
      </c>
      <c r="FY46" s="39">
        <f>IF(N('Dvd Calendar'!$K$392)=0,"",IF(('Dvd Calendar'!$K$392&gt;=GRID_FROM)*('Dvd Calendar'!$K$392&lt;=GRID_TO)*('Dvd Calendar'!$K$392&gt;VAL_DATE)=0,"",'Dvd Calendar'!$K$392*1000000000+ISNUMBER('Dvd Calendar'!$K$393)*100000000+0*10000000+(N('Dvd Calendar'!$K$391)&gt;0)*(N('Dvd Calendar'!$K$391)&lt;=VAL_SERIAL)*1000000+35*1000+47))</f>
        <v/>
      </c>
      <c r="FZ46" s="39">
        <f>IF(N('Dvd Calendar'!$L$392)=0,"",IF(('Dvd Calendar'!$L$392&gt;=GRID_FROM)*('Dvd Calendar'!$L$392&lt;=GRID_TO)*('Dvd Calendar'!$L$392&gt;VAL_DATE)=0,"",'Dvd Calendar'!$L$392*1000000000+ISNUMBER('Dvd Calendar'!$L$393)*100000000+0*10000000+(N('Dvd Calendar'!$L$391)&gt;0)*(N('Dvd Calendar'!$L$391)&lt;=VAL_SERIAL)*1000000+35*1000+48))</f>
        <v/>
      </c>
      <c r="GA46" s="39">
        <f>IF(N('Dvd Calendar'!$M$392)=0,"",IF(('Dvd Calendar'!$M$392&gt;=GRID_FROM)*('Dvd Calendar'!$M$392&lt;=GRID_TO)*('Dvd Calendar'!$M$392&gt;VAL_DATE)=0,"",'Dvd Calendar'!$M$392*1000000000+ISNUMBER('Dvd Calendar'!$M$393)*100000000+0*10000000+(N('Dvd Calendar'!$M$391)&gt;0)*(N('Dvd Calendar'!$M$391)&lt;=VAL_SERIAL)*1000000+35*1000+49))</f>
        <v/>
      </c>
      <c r="GB46" s="39">
        <f>IF(N('Dvd Calendar'!$N$392)=0,"",IF(('Dvd Calendar'!$N$392&gt;=GRID_FROM)*('Dvd Calendar'!$N$392&lt;=GRID_TO)*('Dvd Calendar'!$N$392&gt;VAL_DATE)=0,"",'Dvd Calendar'!$N$392*1000000000+ISNUMBER('Dvd Calendar'!$N$393)*100000000+0*10000000+(N('Dvd Calendar'!$N$391)&gt;0)*(N('Dvd Calendar'!$N$391)&lt;=VAL_SERIAL)*1000000+35*1000+50))</f>
        <v/>
      </c>
      <c r="GC46" s="39">
        <f>IF(N('Dvd Calendar'!$O$392)=0,"",IF(('Dvd Calendar'!$O$392&gt;=GRID_FROM)*('Dvd Calendar'!$O$392&lt;=GRID_TO)*('Dvd Calendar'!$O$392&gt;VAL_DATE)=0,"",'Dvd Calendar'!$O$392*1000000000+ISNUMBER('Dvd Calendar'!$O$393)*100000000+0*10000000+(N('Dvd Calendar'!$O$391)&gt;0)*(N('Dvd Calendar'!$O$391)&lt;=VAL_SERIAL)*1000000+35*1000+51))</f>
        <v/>
      </c>
      <c r="GD46" s="39">
        <f>IF(N('Dvd Calendar'!$P$392)=0,"",IF(('Dvd Calendar'!$P$392&gt;=GRID_FROM)*('Dvd Calendar'!$P$392&lt;=GRID_TO)*('Dvd Calendar'!$P$392&gt;VAL_DATE)=0,"",'Dvd Calendar'!$P$392*1000000000+ISNUMBER('Dvd Calendar'!$P$393)*100000000+0*10000000+(N('Dvd Calendar'!$P$391)&gt;0)*(N('Dvd Calendar'!$P$391)&lt;=VAL_SERIAL)*1000000+35*1000+52))</f>
        <v/>
      </c>
      <c r="GE46" s="39">
        <f>IF(N('Dvd Calendar'!$Q$392)=0,"",IF(('Dvd Calendar'!$Q$392&gt;=GRID_FROM)*('Dvd Calendar'!$Q$392&lt;=GRID_TO)*('Dvd Calendar'!$Q$392&gt;VAL_DATE)=0,"",'Dvd Calendar'!$Q$392*1000000000+ISNUMBER('Dvd Calendar'!$Q$393)*100000000+0*10000000+(N('Dvd Calendar'!$Q$391)&gt;0)*(N('Dvd Calendar'!$Q$391)&lt;=VAL_SERIAL)*1000000+35*1000+53))</f>
        <v/>
      </c>
      <c r="GF46" s="39">
        <f>IF(N('Dvd Calendar'!$R$392)=0,"",IF(('Dvd Calendar'!$R$392&gt;=GRID_FROM)*('Dvd Calendar'!$R$392&lt;=GRID_TO)*('Dvd Calendar'!$R$392&gt;VAL_DATE)=0,"",'Dvd Calendar'!$R$392*1000000000+ISNUMBER('Dvd Calendar'!$R$393)*100000000+0*10000000+(N('Dvd Calendar'!$R$391)&gt;0)*(N('Dvd Calendar'!$R$391)&lt;=VAL_SERIAL)*1000000+35*1000+54))</f>
        <v/>
      </c>
      <c r="GG46" s="39">
        <f>IF(N('Dvd Calendar'!$S$392)=0,"",IF(('Dvd Calendar'!$S$392&gt;=GRID_FROM)*('Dvd Calendar'!$S$392&lt;=GRID_TO)*('Dvd Calendar'!$S$392&gt;VAL_DATE)=0,"",'Dvd Calendar'!$S$392*1000000000+ISNUMBER('Dvd Calendar'!$S$393)*100000000+0*10000000+(N('Dvd Calendar'!$S$391)&gt;0)*(N('Dvd Calendar'!$S$391)&lt;=VAL_SERIAL)*1000000+35*1000+55))</f>
        <v/>
      </c>
      <c r="GH46" s="39">
        <f>IF(N('Dvd Calendar'!$T$392)=0,"",IF(('Dvd Calendar'!$T$392&gt;=GRID_FROM)*('Dvd Calendar'!$T$392&lt;=GRID_TO)*('Dvd Calendar'!$T$392&gt;VAL_DATE)=0,"",'Dvd Calendar'!$T$392*1000000000+ISNUMBER('Dvd Calendar'!$T$393)*100000000+0*10000000+(N('Dvd Calendar'!$T$391)&gt;0)*(N('Dvd Calendar'!$T$391)&lt;=VAL_SERIAL)*1000000+35*1000+56))</f>
        <v/>
      </c>
      <c r="GI46" s="39">
        <f>IF(N('Dvd Calendar'!$U$392)=0,"",IF(('Dvd Calendar'!$U$392&gt;=GRID_FROM)*('Dvd Calendar'!$U$392&lt;=GRID_TO)*('Dvd Calendar'!$U$392&gt;VAL_DATE)=0,"",'Dvd Calendar'!$U$392*1000000000+ISNUMBER('Dvd Calendar'!$U$393)*100000000+0*10000000+(N('Dvd Calendar'!$U$391)&gt;0)*(N('Dvd Calendar'!$U$391)&lt;=VAL_SERIAL)*1000000+35*1000+57))</f>
        <v/>
      </c>
      <c r="GJ46" s="39">
        <f>IF(N('Dvd Calendar'!$V$392)=0,"",IF(('Dvd Calendar'!$V$392&gt;=GRID_FROM)*('Dvd Calendar'!$V$392&lt;=GRID_TO)*('Dvd Calendar'!$V$392&gt;VAL_DATE)=0,"",'Dvd Calendar'!$V$392*1000000000+ISNUMBER('Dvd Calendar'!$V$393)*100000000+0*10000000+(N('Dvd Calendar'!$V$391)&gt;0)*(N('Dvd Calendar'!$V$391)&lt;=VAL_SERIAL)*1000000+35*1000+58))</f>
        <v/>
      </c>
      <c r="GK46" s="39">
        <f>IF(N('Dvd Calendar'!$W$392)=0,"",IF(('Dvd Calendar'!$W$392&gt;=GRID_FROM)*('Dvd Calendar'!$W$392&lt;=GRID_TO)*('Dvd Calendar'!$W$392&gt;VAL_DATE)=0,"",'Dvd Calendar'!$W$392*1000000000+ISNUMBER('Dvd Calendar'!$W$393)*100000000+0*10000000+(N('Dvd Calendar'!$W$391)&gt;0)*(N('Dvd Calendar'!$W$391)&lt;=VAL_SERIAL)*1000000+35*1000+59))</f>
        <v/>
      </c>
      <c r="GL46" s="39">
        <f>IF(N('Dvd Calendar'!$X$392)=0,"",IF(('Dvd Calendar'!$X$392&gt;=GRID_FROM)*('Dvd Calendar'!$X$392&lt;=GRID_TO)*('Dvd Calendar'!$X$392&gt;VAL_DATE)=0,"",'Dvd Calendar'!$X$392*1000000000+ISNUMBER('Dvd Calendar'!$X$393)*100000000+0*10000000+(N('Dvd Calendar'!$X$391)&gt;0)*(N('Dvd Calendar'!$X$391)&lt;=VAL_SERIAL)*1000000+35*1000+60))</f>
        <v/>
      </c>
      <c r="GM46" s="39">
        <f>IF(N('Dvd Calendar'!$Y$392)=0,"",IF(('Dvd Calendar'!$Y$392&gt;=GRID_FROM)*('Dvd Calendar'!$Y$392&lt;=GRID_TO)*('Dvd Calendar'!$Y$392&gt;VAL_DATE)=0,"",'Dvd Calendar'!$Y$392*1000000000+ISNUMBER('Dvd Calendar'!$Y$393)*100000000+0*10000000+(N('Dvd Calendar'!$Y$391)&gt;0)*(N('Dvd Calendar'!$Y$391)&lt;=VAL_SERIAL)*1000000+35*1000+61))</f>
        <v/>
      </c>
      <c r="GN46" s="39">
        <f>IF(N('Dvd Calendar'!$Z$392)=0,"",IF(('Dvd Calendar'!$Z$392&gt;=GRID_FROM)*('Dvd Calendar'!$Z$392&lt;=GRID_TO)*('Dvd Calendar'!$Z$392&gt;VAL_DATE)=0,"",'Dvd Calendar'!$Z$392*1000000000+ISNUMBER('Dvd Calendar'!$Z$393)*100000000+0*10000000+(N('Dvd Calendar'!$Z$391)&gt;0)*(N('Dvd Calendar'!$Z$391)&lt;=VAL_SERIAL)*1000000+35*1000+62))</f>
        <v/>
      </c>
      <c r="GO46" s="39">
        <f>IF(N('Dvd Calendar'!$AA$392)=0,"",IF(('Dvd Calendar'!$AA$392&gt;=GRID_FROM)*('Dvd Calendar'!$AA$392&lt;=GRID_TO)*('Dvd Calendar'!$AA$392&gt;VAL_DATE)=0,"",'Dvd Calendar'!$AA$392*1000000000+ISNUMBER('Dvd Calendar'!$AA$393)*100000000+0*10000000+(N('Dvd Calendar'!$AA$391)&gt;0)*(N('Dvd Calendar'!$AA$391)&lt;=VAL_SERIAL)*1000000+35*1000+63))</f>
        <v/>
      </c>
      <c r="GP46" s="39">
        <f>IF(N('Dvd Calendar'!$AB$392)=0,"",IF(('Dvd Calendar'!$AB$392&gt;=GRID_FROM)*('Dvd Calendar'!$AB$392&lt;=GRID_TO)*('Dvd Calendar'!$AB$392&gt;VAL_DATE)=0,"",'Dvd Calendar'!$AB$392*1000000000+ISNUMBER('Dvd Calendar'!$AB$393)*100000000+0*10000000+(N('Dvd Calendar'!$AB$391)&gt;0)*(N('Dvd Calendar'!$AB$391)&lt;=VAL_SERIAL)*1000000+35*1000+64))</f>
        <v/>
      </c>
      <c r="GQ46" s="39">
        <f>IF(N('Dvd Calendar'!$AC$392)=0,"",IF(('Dvd Calendar'!$AC$392&gt;=GRID_FROM)*('Dvd Calendar'!$AC$392&lt;=GRID_TO)*('Dvd Calendar'!$AC$392&gt;VAL_DATE)=0,"",'Dvd Calendar'!$AC$392*1000000000+ISNUMBER('Dvd Calendar'!$AC$393)*100000000+0*10000000+(N('Dvd Calendar'!$AC$391)&gt;0)*(N('Dvd Calendar'!$AC$391)&lt;=VAL_SERIAL)*1000000+35*1000+65))</f>
        <v/>
      </c>
    </row>
    <row r="47">
      <c r="B47" s="2">
        <f>IF(HSI!$C$42="","",HSI!$C$42)</f>
        <v/>
      </c>
      <c r="C47" s="110">
        <f>IF(EE47="","",IF(ISNUMBER('Dvd Calendar'!$E$399)=FALSE,"",IF((('Dvd Calendar'!$E$401=TYPE1)*(TYPE1&lt;&gt;"")+('Dvd Calendar'!$E$401=TYPE2)*(TYPE2&lt;&gt;"")+('Dvd Calendar'!$E$401=TYPE3)*(TYPE3&lt;&gt;"")+('Dvd Calendar'!$E$401=TYPE4)*(TYPE4&lt;&gt;"")+('Dvd Calendar'!$E$401=SPECIAL_LBL)*(INC_SPECIALS="Y"))=0,"",'Dvd Calendar'!$E$399)))</f>
        <v/>
      </c>
      <c r="D47" s="110">
        <f>IF(EF47="","",IF(ISNUMBER('Dvd Calendar'!$F$399)=FALSE,"",IF((('Dvd Calendar'!$F$401=TYPE1)*(TYPE1&lt;&gt;"")+('Dvd Calendar'!$F$401=TYPE2)*(TYPE2&lt;&gt;"")+('Dvd Calendar'!$F$401=TYPE3)*(TYPE3&lt;&gt;"")+('Dvd Calendar'!$F$401=TYPE4)*(TYPE4&lt;&gt;"")+('Dvd Calendar'!$F$401=SPECIAL_LBL)*(INC_SPECIALS="Y"))=0,"",'Dvd Calendar'!$F$399)))</f>
        <v/>
      </c>
      <c r="E47" s="110">
        <f>IF(EG47="","",IF(ISNUMBER('Dvd Calendar'!$G$399)=FALSE,"",IF((('Dvd Calendar'!$G$401=TYPE1)*(TYPE1&lt;&gt;"")+('Dvd Calendar'!$G$401=TYPE2)*(TYPE2&lt;&gt;"")+('Dvd Calendar'!$G$401=TYPE3)*(TYPE3&lt;&gt;"")+('Dvd Calendar'!$G$401=TYPE4)*(TYPE4&lt;&gt;"")+('Dvd Calendar'!$G$401=SPECIAL_LBL)*(INC_SPECIALS="Y"))=0,"",'Dvd Calendar'!$G$399)))</f>
        <v/>
      </c>
      <c r="F47" s="110">
        <f>IF(EH47="","",IF(ISNUMBER('Dvd Calendar'!$H$399)=FALSE,"",IF((('Dvd Calendar'!$H$401=TYPE1)*(TYPE1&lt;&gt;"")+('Dvd Calendar'!$H$401=TYPE2)*(TYPE2&lt;&gt;"")+('Dvd Calendar'!$H$401=TYPE3)*(TYPE3&lt;&gt;"")+('Dvd Calendar'!$H$401=TYPE4)*(TYPE4&lt;&gt;"")+('Dvd Calendar'!$H$401=SPECIAL_LBL)*(INC_SPECIALS="Y"))=0,"",'Dvd Calendar'!$H$399)))</f>
        <v/>
      </c>
      <c r="G47" s="110">
        <f>IF(EI47="","",IF(ISNUMBER('Dvd Calendar'!$I$399)=FALSE,"",IF((('Dvd Calendar'!$I$401=TYPE1)*(TYPE1&lt;&gt;"")+('Dvd Calendar'!$I$401=TYPE2)*(TYPE2&lt;&gt;"")+('Dvd Calendar'!$I$401=TYPE3)*(TYPE3&lt;&gt;"")+('Dvd Calendar'!$I$401=TYPE4)*(TYPE4&lt;&gt;"")+('Dvd Calendar'!$I$401=SPECIAL_LBL)*(INC_SPECIALS="Y"))=0,"",'Dvd Calendar'!$I$399)))</f>
        <v/>
      </c>
      <c r="H47" s="110">
        <f>IF(EJ47="","",IF(ISNUMBER('Dvd Calendar'!$J$399)=FALSE,"",IF((('Dvd Calendar'!$J$401=TYPE1)*(TYPE1&lt;&gt;"")+('Dvd Calendar'!$J$401=TYPE2)*(TYPE2&lt;&gt;"")+('Dvd Calendar'!$J$401=TYPE3)*(TYPE3&lt;&gt;"")+('Dvd Calendar'!$J$401=TYPE4)*(TYPE4&lt;&gt;"")+('Dvd Calendar'!$J$401=SPECIAL_LBL)*(INC_SPECIALS="Y"))=0,"",'Dvd Calendar'!$J$399)))</f>
        <v/>
      </c>
      <c r="I47" s="110">
        <f>IF(EK47="","",IF(ISNUMBER('Dvd Calendar'!$K$399)=FALSE,"",IF((('Dvd Calendar'!$K$401=TYPE1)*(TYPE1&lt;&gt;"")+('Dvd Calendar'!$K$401=TYPE2)*(TYPE2&lt;&gt;"")+('Dvd Calendar'!$K$401=TYPE3)*(TYPE3&lt;&gt;"")+('Dvd Calendar'!$K$401=TYPE4)*(TYPE4&lt;&gt;"")+('Dvd Calendar'!$K$401=SPECIAL_LBL)*(INC_SPECIALS="Y"))=0,"",'Dvd Calendar'!$K$399)))</f>
        <v/>
      </c>
      <c r="J47" s="110">
        <f>IF(EL47="","",IF(ISNUMBER('Dvd Calendar'!$L$399)=FALSE,"",IF((('Dvd Calendar'!$L$401=TYPE1)*(TYPE1&lt;&gt;"")+('Dvd Calendar'!$L$401=TYPE2)*(TYPE2&lt;&gt;"")+('Dvd Calendar'!$L$401=TYPE3)*(TYPE3&lt;&gt;"")+('Dvd Calendar'!$L$401=TYPE4)*(TYPE4&lt;&gt;"")+('Dvd Calendar'!$L$401=SPECIAL_LBL)*(INC_SPECIALS="Y"))=0,"",'Dvd Calendar'!$L$399)))</f>
        <v/>
      </c>
      <c r="K47" s="110">
        <f>IF(EM47="","",IF(ISNUMBER('Dvd Calendar'!$M$399)=FALSE,"",IF((('Dvd Calendar'!$M$401=TYPE1)*(TYPE1&lt;&gt;"")+('Dvd Calendar'!$M$401=TYPE2)*(TYPE2&lt;&gt;"")+('Dvd Calendar'!$M$401=TYPE3)*(TYPE3&lt;&gt;"")+('Dvd Calendar'!$M$401=TYPE4)*(TYPE4&lt;&gt;"")+('Dvd Calendar'!$M$401=SPECIAL_LBL)*(INC_SPECIALS="Y"))=0,"",'Dvd Calendar'!$M$399)))</f>
        <v/>
      </c>
      <c r="L47" s="110">
        <f>IF(EN47="","",IF(ISNUMBER('Dvd Calendar'!$N$399)=FALSE,"",IF((('Dvd Calendar'!$N$401=TYPE1)*(TYPE1&lt;&gt;"")+('Dvd Calendar'!$N$401=TYPE2)*(TYPE2&lt;&gt;"")+('Dvd Calendar'!$N$401=TYPE3)*(TYPE3&lt;&gt;"")+('Dvd Calendar'!$N$401=TYPE4)*(TYPE4&lt;&gt;"")+('Dvd Calendar'!$N$401=SPECIAL_LBL)*(INC_SPECIALS="Y"))=0,"",'Dvd Calendar'!$N$399)))</f>
        <v/>
      </c>
      <c r="M47" s="110">
        <f>IF(EO47="","",IF(ISNUMBER('Dvd Calendar'!$O$399)=FALSE,"",IF((('Dvd Calendar'!$O$401=TYPE1)*(TYPE1&lt;&gt;"")+('Dvd Calendar'!$O$401=TYPE2)*(TYPE2&lt;&gt;"")+('Dvd Calendar'!$O$401=TYPE3)*(TYPE3&lt;&gt;"")+('Dvd Calendar'!$O$401=TYPE4)*(TYPE4&lt;&gt;"")+('Dvd Calendar'!$O$401=SPECIAL_LBL)*(INC_SPECIALS="Y"))=0,"",'Dvd Calendar'!$O$399)))</f>
        <v/>
      </c>
      <c r="N47" s="110">
        <f>IF(EP47="","",IF(ISNUMBER('Dvd Calendar'!$P$399)=FALSE,"",IF((('Dvd Calendar'!$P$401=TYPE1)*(TYPE1&lt;&gt;"")+('Dvd Calendar'!$P$401=TYPE2)*(TYPE2&lt;&gt;"")+('Dvd Calendar'!$P$401=TYPE3)*(TYPE3&lt;&gt;"")+('Dvd Calendar'!$P$401=TYPE4)*(TYPE4&lt;&gt;"")+('Dvd Calendar'!$P$401=SPECIAL_LBL)*(INC_SPECIALS="Y"))=0,"",'Dvd Calendar'!$P$399)))</f>
        <v/>
      </c>
      <c r="O47" s="110">
        <f>IF(EQ47="","",IF(ISNUMBER('Dvd Calendar'!$Q$399)=FALSE,"",IF((('Dvd Calendar'!$Q$401=TYPE1)*(TYPE1&lt;&gt;"")+('Dvd Calendar'!$Q$401=TYPE2)*(TYPE2&lt;&gt;"")+('Dvd Calendar'!$Q$401=TYPE3)*(TYPE3&lt;&gt;"")+('Dvd Calendar'!$Q$401=TYPE4)*(TYPE4&lt;&gt;"")+('Dvd Calendar'!$Q$401=SPECIAL_LBL)*(INC_SPECIALS="Y"))=0,"",'Dvd Calendar'!$Q$399)))</f>
        <v/>
      </c>
      <c r="P47" s="110">
        <f>IF(ER47="","",IF(ISNUMBER('Dvd Calendar'!$R$399)=FALSE,"",IF((('Dvd Calendar'!$R$401=TYPE1)*(TYPE1&lt;&gt;"")+('Dvd Calendar'!$R$401=TYPE2)*(TYPE2&lt;&gt;"")+('Dvd Calendar'!$R$401=TYPE3)*(TYPE3&lt;&gt;"")+('Dvd Calendar'!$R$401=TYPE4)*(TYPE4&lt;&gt;"")+('Dvd Calendar'!$R$401=SPECIAL_LBL)*(INC_SPECIALS="Y"))=0,"",'Dvd Calendar'!$R$399)))</f>
        <v/>
      </c>
      <c r="Q47" s="110">
        <f>IF(ES47="","",IF(ISNUMBER('Dvd Calendar'!$S$399)=FALSE,"",IF((('Dvd Calendar'!$S$401=TYPE1)*(TYPE1&lt;&gt;"")+('Dvd Calendar'!$S$401=TYPE2)*(TYPE2&lt;&gt;"")+('Dvd Calendar'!$S$401=TYPE3)*(TYPE3&lt;&gt;"")+('Dvd Calendar'!$S$401=TYPE4)*(TYPE4&lt;&gt;"")+('Dvd Calendar'!$S$401=SPECIAL_LBL)*(INC_SPECIALS="Y"))=0,"",'Dvd Calendar'!$S$399)))</f>
        <v/>
      </c>
      <c r="R47" s="110">
        <f>IF(ET47="","",IF(ISNUMBER('Dvd Calendar'!$T$399)=FALSE,"",IF((('Dvd Calendar'!$T$401=TYPE1)*(TYPE1&lt;&gt;"")+('Dvd Calendar'!$T$401=TYPE2)*(TYPE2&lt;&gt;"")+('Dvd Calendar'!$T$401=TYPE3)*(TYPE3&lt;&gt;"")+('Dvd Calendar'!$T$401=TYPE4)*(TYPE4&lt;&gt;"")+('Dvd Calendar'!$T$401=SPECIAL_LBL)*(INC_SPECIALS="Y"))=0,"",'Dvd Calendar'!$T$399)))</f>
        <v/>
      </c>
      <c r="S47" s="110">
        <f>IF(EU47="","",IF(ISNUMBER('Dvd Calendar'!$U$399)=FALSE,"",IF((('Dvd Calendar'!$U$401=TYPE1)*(TYPE1&lt;&gt;"")+('Dvd Calendar'!$U$401=TYPE2)*(TYPE2&lt;&gt;"")+('Dvd Calendar'!$U$401=TYPE3)*(TYPE3&lt;&gt;"")+('Dvd Calendar'!$U$401=TYPE4)*(TYPE4&lt;&gt;"")+('Dvd Calendar'!$U$401=SPECIAL_LBL)*(INC_SPECIALS="Y"))=0,"",'Dvd Calendar'!$U$399)))</f>
        <v/>
      </c>
      <c r="T47" s="110">
        <f>IF(EV47="","",IF(ISNUMBER('Dvd Calendar'!$V$399)=FALSE,"",IF((('Dvd Calendar'!$V$401=TYPE1)*(TYPE1&lt;&gt;"")+('Dvd Calendar'!$V$401=TYPE2)*(TYPE2&lt;&gt;"")+('Dvd Calendar'!$V$401=TYPE3)*(TYPE3&lt;&gt;"")+('Dvd Calendar'!$V$401=TYPE4)*(TYPE4&lt;&gt;"")+('Dvd Calendar'!$V$401=SPECIAL_LBL)*(INC_SPECIALS="Y"))=0,"",'Dvd Calendar'!$V$399)))</f>
        <v/>
      </c>
      <c r="U47" s="110">
        <f>IF(EW47="","",IF(ISNUMBER('Dvd Calendar'!$W$399)=FALSE,"",IF((('Dvd Calendar'!$W$401=TYPE1)*(TYPE1&lt;&gt;"")+('Dvd Calendar'!$W$401=TYPE2)*(TYPE2&lt;&gt;"")+('Dvd Calendar'!$W$401=TYPE3)*(TYPE3&lt;&gt;"")+('Dvd Calendar'!$W$401=TYPE4)*(TYPE4&lt;&gt;"")+('Dvd Calendar'!$W$401=SPECIAL_LBL)*(INC_SPECIALS="Y"))=0,"",'Dvd Calendar'!$W$399)))</f>
        <v/>
      </c>
      <c r="V47" s="110">
        <f>IF(EX47="","",IF(ISNUMBER('Dvd Calendar'!$X$399)=FALSE,"",IF((('Dvd Calendar'!$X$401=TYPE1)*(TYPE1&lt;&gt;"")+('Dvd Calendar'!$X$401=TYPE2)*(TYPE2&lt;&gt;"")+('Dvd Calendar'!$X$401=TYPE3)*(TYPE3&lt;&gt;"")+('Dvd Calendar'!$X$401=TYPE4)*(TYPE4&lt;&gt;"")+('Dvd Calendar'!$X$401=SPECIAL_LBL)*(INC_SPECIALS="Y"))=0,"",'Dvd Calendar'!$X$399)))</f>
        <v/>
      </c>
      <c r="W47" s="110">
        <f>IF(EY47="","",IF(ISNUMBER('Dvd Calendar'!$Y$399)=FALSE,"",IF((('Dvd Calendar'!$Y$401=TYPE1)*(TYPE1&lt;&gt;"")+('Dvd Calendar'!$Y$401=TYPE2)*(TYPE2&lt;&gt;"")+('Dvd Calendar'!$Y$401=TYPE3)*(TYPE3&lt;&gt;"")+('Dvd Calendar'!$Y$401=TYPE4)*(TYPE4&lt;&gt;"")+('Dvd Calendar'!$Y$401=SPECIAL_LBL)*(INC_SPECIALS="Y"))=0,"",'Dvd Calendar'!$Y$399)))</f>
        <v/>
      </c>
      <c r="X47" s="110">
        <f>IF(EZ47="","",IF(ISNUMBER('Dvd Calendar'!$Z$399)=FALSE,"",IF((('Dvd Calendar'!$Z$401=TYPE1)*(TYPE1&lt;&gt;"")+('Dvd Calendar'!$Z$401=TYPE2)*(TYPE2&lt;&gt;"")+('Dvd Calendar'!$Z$401=TYPE3)*(TYPE3&lt;&gt;"")+('Dvd Calendar'!$Z$401=TYPE4)*(TYPE4&lt;&gt;"")+('Dvd Calendar'!$Z$401=SPECIAL_LBL)*(INC_SPECIALS="Y"))=0,"",'Dvd Calendar'!$Z$399)))</f>
        <v/>
      </c>
      <c r="Y47" s="110">
        <f>IF(FA47="","",IF(ISNUMBER('Dvd Calendar'!$AA$399)=FALSE,"",IF((('Dvd Calendar'!$AA$401=TYPE1)*(TYPE1&lt;&gt;"")+('Dvd Calendar'!$AA$401=TYPE2)*(TYPE2&lt;&gt;"")+('Dvd Calendar'!$AA$401=TYPE3)*(TYPE3&lt;&gt;"")+('Dvd Calendar'!$AA$401=TYPE4)*(TYPE4&lt;&gt;"")+('Dvd Calendar'!$AA$401=SPECIAL_LBL)*(INC_SPECIALS="Y"))=0,"",'Dvd Calendar'!$AA$399)))</f>
        <v/>
      </c>
      <c r="Z47" s="110">
        <f>IF(FB47="","",IF(ISNUMBER('Dvd Calendar'!$AB$399)=FALSE,"",IF((('Dvd Calendar'!$AB$401=TYPE1)*(TYPE1&lt;&gt;"")+('Dvd Calendar'!$AB$401=TYPE2)*(TYPE2&lt;&gt;"")+('Dvd Calendar'!$AB$401=TYPE3)*(TYPE3&lt;&gt;"")+('Dvd Calendar'!$AB$401=TYPE4)*(TYPE4&lt;&gt;"")+('Dvd Calendar'!$AB$401=SPECIAL_LBL)*(INC_SPECIALS="Y"))=0,"",'Dvd Calendar'!$AB$399)))</f>
        <v/>
      </c>
      <c r="AA47" s="110">
        <f>IF(FC47="","",IF(ISNUMBER('Dvd Calendar'!$AC$399)=FALSE,"",IF((('Dvd Calendar'!$AC$401=TYPE1)*(TYPE1&lt;&gt;"")+('Dvd Calendar'!$AC$401=TYPE2)*(TYPE2&lt;&gt;"")+('Dvd Calendar'!$AC$401=TYPE3)*(TYPE3&lt;&gt;"")+('Dvd Calendar'!$AC$401=TYPE4)*(TYPE4&lt;&gt;"")+('Dvd Calendar'!$AC$401=SPECIAL_LBL)*(INC_SPECIALS="Y"))=0,"",'Dvd Calendar'!$AC$399)))</f>
        <v/>
      </c>
      <c r="AB47" s="110">
        <f>IF(FD47="","",IF(ISNUMBER('Dvd Calendar'!$AD$399)=FALSE,"",IF((('Dvd Calendar'!$AD$401=TYPE1)*(TYPE1&lt;&gt;"")+('Dvd Calendar'!$AD$401=TYPE2)*(TYPE2&lt;&gt;"")+('Dvd Calendar'!$AD$401=TYPE3)*(TYPE3&lt;&gt;"")+('Dvd Calendar'!$AD$401=TYPE4)*(TYPE4&lt;&gt;"")+('Dvd Calendar'!$AD$401=SPECIAL_LBL)*(INC_SPECIALS="Y"))=0,"",'Dvd Calendar'!$AD$399)))</f>
        <v/>
      </c>
      <c r="AC47" s="110">
        <f>IF(FE47="","",IF(ISNUMBER('Dvd Calendar'!$AE$399)=FALSE,"",IF((('Dvd Calendar'!$AE$401=TYPE1)*(TYPE1&lt;&gt;"")+('Dvd Calendar'!$AE$401=TYPE2)*(TYPE2&lt;&gt;"")+('Dvd Calendar'!$AE$401=TYPE3)*(TYPE3&lt;&gt;"")+('Dvd Calendar'!$AE$401=TYPE4)*(TYPE4&lt;&gt;"")+('Dvd Calendar'!$AE$401=SPECIAL_LBL)*(INC_SPECIALS="Y"))=0,"",'Dvd Calendar'!$AE$399)))</f>
        <v/>
      </c>
      <c r="AD47" s="110">
        <f>IF(FF47="","",IF(ISNUMBER('Dvd Calendar'!$AF$399)=FALSE,"",IF((('Dvd Calendar'!$AF$401=TYPE1)*(TYPE1&lt;&gt;"")+('Dvd Calendar'!$AF$401=TYPE2)*(TYPE2&lt;&gt;"")+('Dvd Calendar'!$AF$401=TYPE3)*(TYPE3&lt;&gt;"")+('Dvd Calendar'!$AF$401=TYPE4)*(TYPE4&lt;&gt;"")+('Dvd Calendar'!$AF$401=SPECIAL_LBL)*(INC_SPECIALS="Y"))=0,"",'Dvd Calendar'!$AF$399)))</f>
        <v/>
      </c>
      <c r="AE47" s="110">
        <f>IF(FG47="","",IF(ISNUMBER('Dvd Calendar'!$AG$399)=FALSE,"",IF((('Dvd Calendar'!$AG$401=TYPE1)*(TYPE1&lt;&gt;"")+('Dvd Calendar'!$AG$401=TYPE2)*(TYPE2&lt;&gt;"")+('Dvd Calendar'!$AG$401=TYPE3)*(TYPE3&lt;&gt;"")+('Dvd Calendar'!$AG$401=TYPE4)*(TYPE4&lt;&gt;"")+('Dvd Calendar'!$AG$401=SPECIAL_LBL)*(INC_SPECIALS="Y"))=0,"",'Dvd Calendar'!$AG$399)))</f>
        <v/>
      </c>
      <c r="AF47" s="110">
        <f>IF(FH47="","",IF(ISNUMBER('Dvd Calendar'!$AH$399)=FALSE,"",IF((('Dvd Calendar'!$AH$401=TYPE1)*(TYPE1&lt;&gt;"")+('Dvd Calendar'!$AH$401=TYPE2)*(TYPE2&lt;&gt;"")+('Dvd Calendar'!$AH$401=TYPE3)*(TYPE3&lt;&gt;"")+('Dvd Calendar'!$AH$401=TYPE4)*(TYPE4&lt;&gt;"")+('Dvd Calendar'!$AH$401=SPECIAL_LBL)*(INC_SPECIALS="Y"))=0,"",'Dvd Calendar'!$AH$399)))</f>
        <v/>
      </c>
      <c r="AG47" s="110">
        <f>IF(FI47="","",IF(ISNUMBER('Dvd Calendar'!$AI$399)=FALSE,"",IF((('Dvd Calendar'!$AI$401=TYPE1)*(TYPE1&lt;&gt;"")+('Dvd Calendar'!$AI$401=TYPE2)*(TYPE2&lt;&gt;"")+('Dvd Calendar'!$AI$401=TYPE3)*(TYPE3&lt;&gt;"")+('Dvd Calendar'!$AI$401=TYPE4)*(TYPE4&lt;&gt;"")+('Dvd Calendar'!$AI$401=SPECIAL_LBL)*(INC_SPECIALS="Y"))=0,"",'Dvd Calendar'!$AI$399)))</f>
        <v/>
      </c>
      <c r="AH47" s="110">
        <f>IF(FJ47="","",IF(ISNUMBER('Dvd Calendar'!$AJ$399)=FALSE,"",IF((('Dvd Calendar'!$AJ$401=TYPE1)*(TYPE1&lt;&gt;"")+('Dvd Calendar'!$AJ$401=TYPE2)*(TYPE2&lt;&gt;"")+('Dvd Calendar'!$AJ$401=TYPE3)*(TYPE3&lt;&gt;"")+('Dvd Calendar'!$AJ$401=TYPE4)*(TYPE4&lt;&gt;"")+('Dvd Calendar'!$AJ$401=SPECIAL_LBL)*(INC_SPECIALS="Y"))=0,"",'Dvd Calendar'!$AJ$399)))</f>
        <v/>
      </c>
      <c r="AI47" s="110">
        <f>IF(FK47="","",IF(ISNUMBER('Dvd Calendar'!$AK$399)=FALSE,"",IF((('Dvd Calendar'!$AK$401=TYPE1)*(TYPE1&lt;&gt;"")+('Dvd Calendar'!$AK$401=TYPE2)*(TYPE2&lt;&gt;"")+('Dvd Calendar'!$AK$401=TYPE3)*(TYPE3&lt;&gt;"")+('Dvd Calendar'!$AK$401=TYPE4)*(TYPE4&lt;&gt;"")+('Dvd Calendar'!$AK$401=SPECIAL_LBL)*(INC_SPECIALS="Y"))=0,"",'Dvd Calendar'!$AK$399)))</f>
        <v/>
      </c>
      <c r="AJ47" s="110">
        <f>IF(FL47="","",IF(ISNUMBER('Dvd Calendar'!$AL$399)=FALSE,"",IF((('Dvd Calendar'!$AL$401=TYPE1)*(TYPE1&lt;&gt;"")+('Dvd Calendar'!$AL$401=TYPE2)*(TYPE2&lt;&gt;"")+('Dvd Calendar'!$AL$401=TYPE3)*(TYPE3&lt;&gt;"")+('Dvd Calendar'!$AL$401=TYPE4)*(TYPE4&lt;&gt;"")+('Dvd Calendar'!$AL$401=SPECIAL_LBL)*(INC_SPECIALS="Y"))=0,"",'Dvd Calendar'!$AL$399)))</f>
        <v/>
      </c>
      <c r="AK47" s="110">
        <f>IF(FM47="","",IF(ISNUMBER('Dvd Calendar'!$AM$399)=FALSE,"",IF((('Dvd Calendar'!$AM$401=TYPE1)*(TYPE1&lt;&gt;"")+('Dvd Calendar'!$AM$401=TYPE2)*(TYPE2&lt;&gt;"")+('Dvd Calendar'!$AM$401=TYPE3)*(TYPE3&lt;&gt;"")+('Dvd Calendar'!$AM$401=TYPE4)*(TYPE4&lt;&gt;"")+('Dvd Calendar'!$AM$401=SPECIAL_LBL)*(INC_SPECIALS="Y"))=0,"",'Dvd Calendar'!$AM$399)))</f>
        <v/>
      </c>
      <c r="AL47" s="110">
        <f>IF(FN47="","",IF(ISNUMBER('Dvd Calendar'!$AN$399)=FALSE,"",IF((('Dvd Calendar'!$AN$401=TYPE1)*(TYPE1&lt;&gt;"")+('Dvd Calendar'!$AN$401=TYPE2)*(TYPE2&lt;&gt;"")+('Dvd Calendar'!$AN$401=TYPE3)*(TYPE3&lt;&gt;"")+('Dvd Calendar'!$AN$401=TYPE4)*(TYPE4&lt;&gt;"")+('Dvd Calendar'!$AN$401=SPECIAL_LBL)*(INC_SPECIALS="Y"))=0,"",'Dvd Calendar'!$AN$399)))</f>
        <v/>
      </c>
      <c r="AM47" s="110">
        <f>IF(FO47="","",IF(ISNUMBER('Dvd Calendar'!$AO$399)=FALSE,"",IF((('Dvd Calendar'!$AO$401=TYPE1)*(TYPE1&lt;&gt;"")+('Dvd Calendar'!$AO$401=TYPE2)*(TYPE2&lt;&gt;"")+('Dvd Calendar'!$AO$401=TYPE3)*(TYPE3&lt;&gt;"")+('Dvd Calendar'!$AO$401=TYPE4)*(TYPE4&lt;&gt;"")+('Dvd Calendar'!$AO$401=SPECIAL_LBL)*(INC_SPECIALS="Y"))=0,"",'Dvd Calendar'!$AO$399)))</f>
        <v/>
      </c>
      <c r="AN47" s="110">
        <f>IF(FP47="","",IF(ISNUMBER('Dvd Calendar'!$AP$399)=FALSE,"",IF((('Dvd Calendar'!$AP$401=TYPE1)*(TYPE1&lt;&gt;"")+('Dvd Calendar'!$AP$401=TYPE2)*(TYPE2&lt;&gt;"")+('Dvd Calendar'!$AP$401=TYPE3)*(TYPE3&lt;&gt;"")+('Dvd Calendar'!$AP$401=TYPE4)*(TYPE4&lt;&gt;"")+('Dvd Calendar'!$AP$401=SPECIAL_LBL)*(INC_SPECIALS="Y"))=0,"",'Dvd Calendar'!$AP$399)))</f>
        <v/>
      </c>
      <c r="AO47" s="110">
        <f>IF(FQ47="","",IF(ISNUMBER('Dvd Calendar'!$AQ$399)=FALSE,"",IF((('Dvd Calendar'!$AQ$401=TYPE1)*(TYPE1&lt;&gt;"")+('Dvd Calendar'!$AQ$401=TYPE2)*(TYPE2&lt;&gt;"")+('Dvd Calendar'!$AQ$401=TYPE3)*(TYPE3&lt;&gt;"")+('Dvd Calendar'!$AQ$401=TYPE4)*(TYPE4&lt;&gt;"")+('Dvd Calendar'!$AQ$401=SPECIAL_LBL)*(INC_SPECIALS="Y"))=0,"",'Dvd Calendar'!$AQ$399)))</f>
        <v/>
      </c>
      <c r="AP47" s="110">
        <f>IF(FR47="","",IF(ISNUMBER('Dvd Calendar'!$AR$399)=FALSE,"",IF((('Dvd Calendar'!$AR$401=TYPE1)*(TYPE1&lt;&gt;"")+('Dvd Calendar'!$AR$401=TYPE2)*(TYPE2&lt;&gt;"")+('Dvd Calendar'!$AR$401=TYPE3)*(TYPE3&lt;&gt;"")+('Dvd Calendar'!$AR$401=TYPE4)*(TYPE4&lt;&gt;"")+('Dvd Calendar'!$AR$401=SPECIAL_LBL)*(INC_SPECIALS="Y"))=0,"",'Dvd Calendar'!$AR$399)))</f>
        <v/>
      </c>
      <c r="AQ47" s="110">
        <f>IF(FS47="","",IF(ISNUMBER('Dvd Calendar'!$E$404)=FALSE,"",'Dvd Calendar'!$E$404))</f>
        <v/>
      </c>
      <c r="AR47" s="110">
        <f>IF(FT47="","",IF(ISNUMBER('Dvd Calendar'!$F$404)=FALSE,"",'Dvd Calendar'!$F$404))</f>
        <v/>
      </c>
      <c r="AS47" s="110">
        <f>IF(FU47="","",IF(ISNUMBER('Dvd Calendar'!$G$404)=FALSE,"",'Dvd Calendar'!$G$404))</f>
        <v/>
      </c>
      <c r="AT47" s="110">
        <f>IF(FV47="","",IF(ISNUMBER('Dvd Calendar'!$H$404)=FALSE,"",'Dvd Calendar'!$H$404))</f>
        <v/>
      </c>
      <c r="AU47" s="110">
        <f>IF(FW47="","",IF(ISNUMBER('Dvd Calendar'!$I$404)=FALSE,"",'Dvd Calendar'!$I$404))</f>
        <v/>
      </c>
      <c r="AV47" s="110">
        <f>IF(FX47="","",IF(ISNUMBER('Dvd Calendar'!$J$404)=FALSE,"",'Dvd Calendar'!$J$404))</f>
        <v/>
      </c>
      <c r="AW47" s="110">
        <f>IF(FY47="","",IF(ISNUMBER('Dvd Calendar'!$K$404)=FALSE,"",'Dvd Calendar'!$K$404))</f>
        <v/>
      </c>
      <c r="AX47" s="110">
        <f>IF(FZ47="","",IF(ISNUMBER('Dvd Calendar'!$L$404)=FALSE,"",'Dvd Calendar'!$L$404))</f>
        <v/>
      </c>
      <c r="AY47" s="110">
        <f>IF(GA47="","",IF(ISNUMBER('Dvd Calendar'!$M$404)=FALSE,"",'Dvd Calendar'!$M$404))</f>
        <v/>
      </c>
      <c r="AZ47" s="110">
        <f>IF(GB47="","",IF(ISNUMBER('Dvd Calendar'!$N$404)=FALSE,"",'Dvd Calendar'!$N$404))</f>
        <v/>
      </c>
      <c r="BA47" s="110">
        <f>IF(GC47="","",IF(ISNUMBER('Dvd Calendar'!$O$404)=FALSE,"",'Dvd Calendar'!$O$404))</f>
        <v/>
      </c>
      <c r="BB47" s="110">
        <f>IF(GD47="","",IF(ISNUMBER('Dvd Calendar'!$P$404)=FALSE,"",'Dvd Calendar'!$P$404))</f>
        <v/>
      </c>
      <c r="BC47" s="110">
        <f>IF(GE47="","",IF(ISNUMBER('Dvd Calendar'!$Q$404)=FALSE,"",'Dvd Calendar'!$Q$404))</f>
        <v/>
      </c>
      <c r="BD47" s="110">
        <f>IF(GF47="","",IF(ISNUMBER('Dvd Calendar'!$R$404)=FALSE,"",'Dvd Calendar'!$R$404))</f>
        <v/>
      </c>
      <c r="BE47" s="110">
        <f>IF(GG47="","",IF(ISNUMBER('Dvd Calendar'!$S$404)=FALSE,"",'Dvd Calendar'!$S$404))</f>
        <v/>
      </c>
      <c r="BF47" s="110">
        <f>IF(GH47="","",IF(ISNUMBER('Dvd Calendar'!$T$404)=FALSE,"",'Dvd Calendar'!$T$404))</f>
        <v/>
      </c>
      <c r="BG47" s="110">
        <f>IF(GI47="","",IF(ISNUMBER('Dvd Calendar'!$U$404)=FALSE,"",'Dvd Calendar'!$U$404))</f>
        <v/>
      </c>
      <c r="BH47" s="110">
        <f>IF(GJ47="","",IF(ISNUMBER('Dvd Calendar'!$V$404)=FALSE,"",'Dvd Calendar'!$V$404))</f>
        <v/>
      </c>
      <c r="BI47" s="110">
        <f>IF(GK47="","",IF(ISNUMBER('Dvd Calendar'!$W$404)=FALSE,"",'Dvd Calendar'!$W$404))</f>
        <v/>
      </c>
      <c r="BJ47" s="110">
        <f>IF(GL47="","",IF(ISNUMBER('Dvd Calendar'!$X$404)=FALSE,"",'Dvd Calendar'!$X$404))</f>
        <v/>
      </c>
      <c r="BK47" s="110">
        <f>IF(GM47="","",IF(ISNUMBER('Dvd Calendar'!$Y$404)=FALSE,"",'Dvd Calendar'!$Y$404))</f>
        <v/>
      </c>
      <c r="BL47" s="110">
        <f>IF(GN47="","",IF(ISNUMBER('Dvd Calendar'!$Z$404)=FALSE,"",'Dvd Calendar'!$Z$404))</f>
        <v/>
      </c>
      <c r="BM47" s="110">
        <f>IF(GO47="","",IF(ISNUMBER('Dvd Calendar'!$AA$404)=FALSE,"",'Dvd Calendar'!$AA$404))</f>
        <v/>
      </c>
      <c r="BN47" s="110">
        <f>IF(GP47="","",IF(ISNUMBER('Dvd Calendar'!$AB$404)=FALSE,"",'Dvd Calendar'!$AB$404))</f>
        <v/>
      </c>
      <c r="BO47" s="110">
        <f>IF(GQ47="","",IF(ISNUMBER('Dvd Calendar'!$AC$404)=FALSE,"",'Dvd Calendar'!$AC$404))</f>
        <v/>
      </c>
      <c r="BQ47" s="110">
        <f>IF(C47="","",IFERROR(C47*HSI!$B$42*HSI!$G$42/HSI!$B$3,""))</f>
        <v/>
      </c>
      <c r="BR47" s="110">
        <f>IF(D47="","",IFERROR(D47*HSI!$B$42*HSI!$G$42/HSI!$B$3,""))</f>
        <v/>
      </c>
      <c r="BS47" s="110">
        <f>IF(E47="","",IFERROR(E47*HSI!$B$42*HSI!$G$42/HSI!$B$3,""))</f>
        <v/>
      </c>
      <c r="BT47" s="110">
        <f>IF(F47="","",IFERROR(F47*HSI!$B$42*HSI!$G$42/HSI!$B$3,""))</f>
        <v/>
      </c>
      <c r="BU47" s="110">
        <f>IF(G47="","",IFERROR(G47*HSI!$B$42*HSI!$G$42/HSI!$B$3,""))</f>
        <v/>
      </c>
      <c r="BV47" s="110">
        <f>IF(H47="","",IFERROR(H47*HSI!$B$42*HSI!$G$42/HSI!$B$3,""))</f>
        <v/>
      </c>
      <c r="BW47" s="110">
        <f>IF(I47="","",IFERROR(I47*HSI!$B$42*HSI!$G$42/HSI!$B$3,""))</f>
        <v/>
      </c>
      <c r="BX47" s="110">
        <f>IF(J47="","",IFERROR(J47*HSI!$B$42*HSI!$G$42/HSI!$B$3,""))</f>
        <v/>
      </c>
      <c r="BY47" s="110">
        <f>IF(K47="","",IFERROR(K47*HSI!$B$42*HSI!$G$42/HSI!$B$3,""))</f>
        <v/>
      </c>
      <c r="BZ47" s="110">
        <f>IF(L47="","",IFERROR(L47*HSI!$B$42*HSI!$G$42/HSI!$B$3,""))</f>
        <v/>
      </c>
      <c r="CA47" s="110">
        <f>IF(M47="","",IFERROR(M47*HSI!$B$42*HSI!$G$42/HSI!$B$3,""))</f>
        <v/>
      </c>
      <c r="CB47" s="110">
        <f>IF(N47="","",IFERROR(N47*HSI!$B$42*HSI!$G$42/HSI!$B$3,""))</f>
        <v/>
      </c>
      <c r="CC47" s="110">
        <f>IF(O47="","",IFERROR(O47*HSI!$B$42*HSI!$G$42/HSI!$B$3,""))</f>
        <v/>
      </c>
      <c r="CD47" s="110">
        <f>IF(P47="","",IFERROR(P47*HSI!$B$42*HSI!$G$42/HSI!$B$3,""))</f>
        <v/>
      </c>
      <c r="CE47" s="110">
        <f>IF(Q47="","",IFERROR(Q47*HSI!$B$42*HSI!$G$42/HSI!$B$3,""))</f>
        <v/>
      </c>
      <c r="CF47" s="110">
        <f>IF(R47="","",IFERROR(R47*HSI!$B$42*HSI!$G$42/HSI!$B$3,""))</f>
        <v/>
      </c>
      <c r="CG47" s="110">
        <f>IF(S47="","",IFERROR(S47*HSI!$B$42*HSI!$G$42/HSI!$B$3,""))</f>
        <v/>
      </c>
      <c r="CH47" s="110">
        <f>IF(T47="","",IFERROR(T47*HSI!$B$42*HSI!$G$42/HSI!$B$3,""))</f>
        <v/>
      </c>
      <c r="CI47" s="110">
        <f>IF(U47="","",IFERROR(U47*HSI!$B$42*HSI!$G$42/HSI!$B$3,""))</f>
        <v/>
      </c>
      <c r="CJ47" s="110">
        <f>IF(V47="","",IFERROR(V47*HSI!$B$42*HSI!$G$42/HSI!$B$3,""))</f>
        <v/>
      </c>
      <c r="CK47" s="110">
        <f>IF(W47="","",IFERROR(W47*HSI!$B$42*HSI!$G$42/HSI!$B$3,""))</f>
        <v/>
      </c>
      <c r="CL47" s="110">
        <f>IF(X47="","",IFERROR(X47*HSI!$B$42*HSI!$G$42/HSI!$B$3,""))</f>
        <v/>
      </c>
      <c r="CM47" s="110">
        <f>IF(Y47="","",IFERROR(Y47*HSI!$B$42*HSI!$G$42/HSI!$B$3,""))</f>
        <v/>
      </c>
      <c r="CN47" s="110">
        <f>IF(Z47="","",IFERROR(Z47*HSI!$B$42*HSI!$G$42/HSI!$B$3,""))</f>
        <v/>
      </c>
      <c r="CO47" s="110">
        <f>IF(AA47="","",IFERROR(AA47*HSI!$B$42*HSI!$G$42/HSI!$B$3,""))</f>
        <v/>
      </c>
      <c r="CP47" s="110">
        <f>IF(AB47="","",IFERROR(AB47*HSI!$B$42*HSI!$G$42/HSI!$B$3,""))</f>
        <v/>
      </c>
      <c r="CQ47" s="110">
        <f>IF(AC47="","",IFERROR(AC47*HSI!$B$42*HSI!$G$42/HSI!$B$3,""))</f>
        <v/>
      </c>
      <c r="CR47" s="110">
        <f>IF(AD47="","",IFERROR(AD47*HSI!$B$42*HSI!$G$42/HSI!$B$3,""))</f>
        <v/>
      </c>
      <c r="CS47" s="110">
        <f>IF(AE47="","",IFERROR(AE47*HSI!$B$42*HSI!$G$42/HSI!$B$3,""))</f>
        <v/>
      </c>
      <c r="CT47" s="110">
        <f>IF(AF47="","",IFERROR(AF47*HSI!$B$42*HSI!$G$42/HSI!$B$3,""))</f>
        <v/>
      </c>
      <c r="CU47" s="110">
        <f>IF(AG47="","",IFERROR(AG47*HSI!$B$42*HSI!$G$42/HSI!$B$3,""))</f>
        <v/>
      </c>
      <c r="CV47" s="110">
        <f>IF(AH47="","",IFERROR(AH47*HSI!$B$42*HSI!$G$42/HSI!$B$3,""))</f>
        <v/>
      </c>
      <c r="CW47" s="110">
        <f>IF(AI47="","",IFERROR(AI47*HSI!$B$42*HSI!$G$42/HSI!$B$3,""))</f>
        <v/>
      </c>
      <c r="CX47" s="110">
        <f>IF(AJ47="","",IFERROR(AJ47*HSI!$B$42*HSI!$G$42/HSI!$B$3,""))</f>
        <v/>
      </c>
      <c r="CY47" s="110">
        <f>IF(AK47="","",IFERROR(AK47*HSI!$B$42*HSI!$G$42/HSI!$B$3,""))</f>
        <v/>
      </c>
      <c r="CZ47" s="110">
        <f>IF(AL47="","",IFERROR(AL47*HSI!$B$42*HSI!$G$42/HSI!$B$3,""))</f>
        <v/>
      </c>
      <c r="DA47" s="110">
        <f>IF(AM47="","",IFERROR(AM47*HSI!$B$42*HSI!$G$42/HSI!$B$3,""))</f>
        <v/>
      </c>
      <c r="DB47" s="110">
        <f>IF(AN47="","",IFERROR(AN47*HSI!$B$42*HSI!$G$42/HSI!$B$3,""))</f>
        <v/>
      </c>
      <c r="DC47" s="110">
        <f>IF(AO47="","",IFERROR(AO47*HSI!$B$42*HSI!$G$42/HSI!$B$3,""))</f>
        <v/>
      </c>
      <c r="DD47" s="110">
        <f>IF(AP47="","",IFERROR(AP47*HSI!$B$42*HSI!$G$42/HSI!$B$3,""))</f>
        <v/>
      </c>
      <c r="DE47" s="110">
        <f>IF(AQ47="","",IFERROR(AQ47*HSI!$B$42*HSI!$G$42/HSI!$B$3,""))</f>
        <v/>
      </c>
      <c r="DF47" s="110">
        <f>IF(AR47="","",IFERROR(AR47*HSI!$B$42*HSI!$G$42/HSI!$B$3,""))</f>
        <v/>
      </c>
      <c r="DG47" s="110">
        <f>IF(AS47="","",IFERROR(AS47*HSI!$B$42*HSI!$G$42/HSI!$B$3,""))</f>
        <v/>
      </c>
      <c r="DH47" s="110">
        <f>IF(AT47="","",IFERROR(AT47*HSI!$B$42*HSI!$G$42/HSI!$B$3,""))</f>
        <v/>
      </c>
      <c r="DI47" s="110">
        <f>IF(AU47="","",IFERROR(AU47*HSI!$B$42*HSI!$G$42/HSI!$B$3,""))</f>
        <v/>
      </c>
      <c r="DJ47" s="110">
        <f>IF(AV47="","",IFERROR(AV47*HSI!$B$42*HSI!$G$42/HSI!$B$3,""))</f>
        <v/>
      </c>
      <c r="DK47" s="110">
        <f>IF(AW47="","",IFERROR(AW47*HSI!$B$42*HSI!$G$42/HSI!$B$3,""))</f>
        <v/>
      </c>
      <c r="DL47" s="110">
        <f>IF(AX47="","",IFERROR(AX47*HSI!$B$42*HSI!$G$42/HSI!$B$3,""))</f>
        <v/>
      </c>
      <c r="DM47" s="110">
        <f>IF(AY47="","",IFERROR(AY47*HSI!$B$42*HSI!$G$42/HSI!$B$3,""))</f>
        <v/>
      </c>
      <c r="DN47" s="110">
        <f>IF(AZ47="","",IFERROR(AZ47*HSI!$B$42*HSI!$G$42/HSI!$B$3,""))</f>
        <v/>
      </c>
      <c r="DO47" s="110">
        <f>IF(BA47="","",IFERROR(BA47*HSI!$B$42*HSI!$G$42/HSI!$B$3,""))</f>
        <v/>
      </c>
      <c r="DP47" s="110">
        <f>IF(BB47="","",IFERROR(BB47*HSI!$B$42*HSI!$G$42/HSI!$B$3,""))</f>
        <v/>
      </c>
      <c r="DQ47" s="110">
        <f>IF(BC47="","",IFERROR(BC47*HSI!$B$42*HSI!$G$42/HSI!$B$3,""))</f>
        <v/>
      </c>
      <c r="DR47" s="110">
        <f>IF(BD47="","",IFERROR(BD47*HSI!$B$42*HSI!$G$42/HSI!$B$3,""))</f>
        <v/>
      </c>
      <c r="DS47" s="110">
        <f>IF(BE47="","",IFERROR(BE47*HSI!$B$42*HSI!$G$42/HSI!$B$3,""))</f>
        <v/>
      </c>
      <c r="DT47" s="110">
        <f>IF(BF47="","",IFERROR(BF47*HSI!$B$42*HSI!$G$42/HSI!$B$3,""))</f>
        <v/>
      </c>
      <c r="DU47" s="110">
        <f>IF(BG47="","",IFERROR(BG47*HSI!$B$42*HSI!$G$42/HSI!$B$3,""))</f>
        <v/>
      </c>
      <c r="DV47" s="110">
        <f>IF(BH47="","",IFERROR(BH47*HSI!$B$42*HSI!$G$42/HSI!$B$3,""))</f>
        <v/>
      </c>
      <c r="DW47" s="110">
        <f>IF(BI47="","",IFERROR(BI47*HSI!$B$42*HSI!$G$42/HSI!$B$3,""))</f>
        <v/>
      </c>
      <c r="DX47" s="110">
        <f>IF(BJ47="","",IFERROR(BJ47*HSI!$B$42*HSI!$G$42/HSI!$B$3,""))</f>
        <v/>
      </c>
      <c r="DY47" s="110">
        <f>IF(BK47="","",IFERROR(BK47*HSI!$B$42*HSI!$G$42/HSI!$B$3,""))</f>
        <v/>
      </c>
      <c r="DZ47" s="110">
        <f>IF(BL47="","",IFERROR(BL47*HSI!$B$42*HSI!$G$42/HSI!$B$3,""))</f>
        <v/>
      </c>
      <c r="EA47" s="110">
        <f>IF(BM47="","",IFERROR(BM47*HSI!$B$42*HSI!$G$42/HSI!$B$3,""))</f>
        <v/>
      </c>
      <c r="EB47" s="110">
        <f>IF(BN47="","",IFERROR(BN47*HSI!$B$42*HSI!$G$42/HSI!$B$3,""))</f>
        <v/>
      </c>
      <c r="EC47" s="110">
        <f>IF(BO47="","",IFERROR(BO47*HSI!$B$42*HSI!$G$42/HSI!$B$3,""))</f>
        <v/>
      </c>
      <c r="EE47" s="39">
        <f>IF(N('Dvd Calendar'!$E$396)=0,"",IF(('Dvd Calendar'!$E$396&gt;=GRID_FROM)*('Dvd Calendar'!$E$396&lt;=GRID_TO)*((('Dvd Calendar'!$E$396&lt;=VAL_DATE)+(COUNTIF('Dvd Calendar'!$E$403:$AR$403,'Dvd Calendar'!$E$396)=0))&gt;0)=0,"",'Dvd Calendar'!$E$396*1000000000+ISNUMBER('Dvd Calendar'!$E$399)*100000000+('Dvd Calendar'!$E$401=SPECIAL_LBL)*10000000+(N('Dvd Calendar'!$E$395)&gt;0)*(N('Dvd Calendar'!$E$395)&lt;=VAL_SERIAL)*1000000+36*1000+1))</f>
        <v/>
      </c>
      <c r="EF47" s="39">
        <f>IF(N('Dvd Calendar'!$F$396)=0,"",IF(('Dvd Calendar'!$F$396&gt;=GRID_FROM)*('Dvd Calendar'!$F$396&lt;=GRID_TO)*((('Dvd Calendar'!$F$396&lt;=VAL_DATE)+(COUNTIF('Dvd Calendar'!$E$403:$AR$403,'Dvd Calendar'!$F$396)=0))&gt;0)=0,"",'Dvd Calendar'!$F$396*1000000000+ISNUMBER('Dvd Calendar'!$F$399)*100000000+('Dvd Calendar'!$F$401=SPECIAL_LBL)*10000000+(N('Dvd Calendar'!$F$395)&gt;0)*(N('Dvd Calendar'!$F$395)&lt;=VAL_SERIAL)*1000000+36*1000+2))</f>
        <v/>
      </c>
      <c r="EG47" s="39">
        <f>IF(N('Dvd Calendar'!$G$396)=0,"",IF(('Dvd Calendar'!$G$396&gt;=GRID_FROM)*('Dvd Calendar'!$G$396&lt;=GRID_TO)*((('Dvd Calendar'!$G$396&lt;=VAL_DATE)+(COUNTIF('Dvd Calendar'!$E$403:$AR$403,'Dvd Calendar'!$G$396)=0))&gt;0)=0,"",'Dvd Calendar'!$G$396*1000000000+ISNUMBER('Dvd Calendar'!$G$399)*100000000+('Dvd Calendar'!$G$401=SPECIAL_LBL)*10000000+(N('Dvd Calendar'!$G$395)&gt;0)*(N('Dvd Calendar'!$G$395)&lt;=VAL_SERIAL)*1000000+36*1000+3))</f>
        <v/>
      </c>
      <c r="EH47" s="39">
        <f>IF(N('Dvd Calendar'!$H$396)=0,"",IF(('Dvd Calendar'!$H$396&gt;=GRID_FROM)*('Dvd Calendar'!$H$396&lt;=GRID_TO)*((('Dvd Calendar'!$H$396&lt;=VAL_DATE)+(COUNTIF('Dvd Calendar'!$E$403:$AR$403,'Dvd Calendar'!$H$396)=0))&gt;0)=0,"",'Dvd Calendar'!$H$396*1000000000+ISNUMBER('Dvd Calendar'!$H$399)*100000000+('Dvd Calendar'!$H$401=SPECIAL_LBL)*10000000+(N('Dvd Calendar'!$H$395)&gt;0)*(N('Dvd Calendar'!$H$395)&lt;=VAL_SERIAL)*1000000+36*1000+4))</f>
        <v/>
      </c>
      <c r="EI47" s="39">
        <f>IF(N('Dvd Calendar'!$I$396)=0,"",IF(('Dvd Calendar'!$I$396&gt;=GRID_FROM)*('Dvd Calendar'!$I$396&lt;=GRID_TO)*((('Dvd Calendar'!$I$396&lt;=VAL_DATE)+(COUNTIF('Dvd Calendar'!$E$403:$AR$403,'Dvd Calendar'!$I$396)=0))&gt;0)=0,"",'Dvd Calendar'!$I$396*1000000000+ISNUMBER('Dvd Calendar'!$I$399)*100000000+('Dvd Calendar'!$I$401=SPECIAL_LBL)*10000000+(N('Dvd Calendar'!$I$395)&gt;0)*(N('Dvd Calendar'!$I$395)&lt;=VAL_SERIAL)*1000000+36*1000+5))</f>
        <v/>
      </c>
      <c r="EJ47" s="39">
        <f>IF(N('Dvd Calendar'!$J$396)=0,"",IF(('Dvd Calendar'!$J$396&gt;=GRID_FROM)*('Dvd Calendar'!$J$396&lt;=GRID_TO)*((('Dvd Calendar'!$J$396&lt;=VAL_DATE)+(COUNTIF('Dvd Calendar'!$E$403:$AR$403,'Dvd Calendar'!$J$396)=0))&gt;0)=0,"",'Dvd Calendar'!$J$396*1000000000+ISNUMBER('Dvd Calendar'!$J$399)*100000000+('Dvd Calendar'!$J$401=SPECIAL_LBL)*10000000+(N('Dvd Calendar'!$J$395)&gt;0)*(N('Dvd Calendar'!$J$395)&lt;=VAL_SERIAL)*1000000+36*1000+6))</f>
        <v/>
      </c>
      <c r="EK47" s="39">
        <f>IF(N('Dvd Calendar'!$K$396)=0,"",IF(('Dvd Calendar'!$K$396&gt;=GRID_FROM)*('Dvd Calendar'!$K$396&lt;=GRID_TO)*((('Dvd Calendar'!$K$396&lt;=VAL_DATE)+(COUNTIF('Dvd Calendar'!$E$403:$AR$403,'Dvd Calendar'!$K$396)=0))&gt;0)=0,"",'Dvd Calendar'!$K$396*1000000000+ISNUMBER('Dvd Calendar'!$K$399)*100000000+('Dvd Calendar'!$K$401=SPECIAL_LBL)*10000000+(N('Dvd Calendar'!$K$395)&gt;0)*(N('Dvd Calendar'!$K$395)&lt;=VAL_SERIAL)*1000000+36*1000+7))</f>
        <v/>
      </c>
      <c r="EL47" s="39">
        <f>IF(N('Dvd Calendar'!$L$396)=0,"",IF(('Dvd Calendar'!$L$396&gt;=GRID_FROM)*('Dvd Calendar'!$L$396&lt;=GRID_TO)*((('Dvd Calendar'!$L$396&lt;=VAL_DATE)+(COUNTIF('Dvd Calendar'!$E$403:$AR$403,'Dvd Calendar'!$L$396)=0))&gt;0)=0,"",'Dvd Calendar'!$L$396*1000000000+ISNUMBER('Dvd Calendar'!$L$399)*100000000+('Dvd Calendar'!$L$401=SPECIAL_LBL)*10000000+(N('Dvd Calendar'!$L$395)&gt;0)*(N('Dvd Calendar'!$L$395)&lt;=VAL_SERIAL)*1000000+36*1000+8))</f>
        <v/>
      </c>
      <c r="EM47" s="39">
        <f>IF(N('Dvd Calendar'!$M$396)=0,"",IF(('Dvd Calendar'!$M$396&gt;=GRID_FROM)*('Dvd Calendar'!$M$396&lt;=GRID_TO)*((('Dvd Calendar'!$M$396&lt;=VAL_DATE)+(COUNTIF('Dvd Calendar'!$E$403:$AR$403,'Dvd Calendar'!$M$396)=0))&gt;0)=0,"",'Dvd Calendar'!$M$396*1000000000+ISNUMBER('Dvd Calendar'!$M$399)*100000000+('Dvd Calendar'!$M$401=SPECIAL_LBL)*10000000+(N('Dvd Calendar'!$M$395)&gt;0)*(N('Dvd Calendar'!$M$395)&lt;=VAL_SERIAL)*1000000+36*1000+9))</f>
        <v/>
      </c>
      <c r="EN47" s="39">
        <f>IF(N('Dvd Calendar'!$N$396)=0,"",IF(('Dvd Calendar'!$N$396&gt;=GRID_FROM)*('Dvd Calendar'!$N$396&lt;=GRID_TO)*((('Dvd Calendar'!$N$396&lt;=VAL_DATE)+(COUNTIF('Dvd Calendar'!$E$403:$AR$403,'Dvd Calendar'!$N$396)=0))&gt;0)=0,"",'Dvd Calendar'!$N$396*1000000000+ISNUMBER('Dvd Calendar'!$N$399)*100000000+('Dvd Calendar'!$N$401=SPECIAL_LBL)*10000000+(N('Dvd Calendar'!$N$395)&gt;0)*(N('Dvd Calendar'!$N$395)&lt;=VAL_SERIAL)*1000000+36*1000+10))</f>
        <v/>
      </c>
      <c r="EO47" s="39">
        <f>IF(N('Dvd Calendar'!$O$396)=0,"",IF(('Dvd Calendar'!$O$396&gt;=GRID_FROM)*('Dvd Calendar'!$O$396&lt;=GRID_TO)*((('Dvd Calendar'!$O$396&lt;=VAL_DATE)+(COUNTIF('Dvd Calendar'!$E$403:$AR$403,'Dvd Calendar'!$O$396)=0))&gt;0)=0,"",'Dvd Calendar'!$O$396*1000000000+ISNUMBER('Dvd Calendar'!$O$399)*100000000+('Dvd Calendar'!$O$401=SPECIAL_LBL)*10000000+(N('Dvd Calendar'!$O$395)&gt;0)*(N('Dvd Calendar'!$O$395)&lt;=VAL_SERIAL)*1000000+36*1000+11))</f>
        <v/>
      </c>
      <c r="EP47" s="39">
        <f>IF(N('Dvd Calendar'!$P$396)=0,"",IF(('Dvd Calendar'!$P$396&gt;=GRID_FROM)*('Dvd Calendar'!$P$396&lt;=GRID_TO)*((('Dvd Calendar'!$P$396&lt;=VAL_DATE)+(COUNTIF('Dvd Calendar'!$E$403:$AR$403,'Dvd Calendar'!$P$396)=0))&gt;0)=0,"",'Dvd Calendar'!$P$396*1000000000+ISNUMBER('Dvd Calendar'!$P$399)*100000000+('Dvd Calendar'!$P$401=SPECIAL_LBL)*10000000+(N('Dvd Calendar'!$P$395)&gt;0)*(N('Dvd Calendar'!$P$395)&lt;=VAL_SERIAL)*1000000+36*1000+12))</f>
        <v/>
      </c>
      <c r="EQ47" s="39">
        <f>IF(N('Dvd Calendar'!$Q$396)=0,"",IF(('Dvd Calendar'!$Q$396&gt;=GRID_FROM)*('Dvd Calendar'!$Q$396&lt;=GRID_TO)*((('Dvd Calendar'!$Q$396&lt;=VAL_DATE)+(COUNTIF('Dvd Calendar'!$E$403:$AR$403,'Dvd Calendar'!$Q$396)=0))&gt;0)=0,"",'Dvd Calendar'!$Q$396*1000000000+ISNUMBER('Dvd Calendar'!$Q$399)*100000000+('Dvd Calendar'!$Q$401=SPECIAL_LBL)*10000000+(N('Dvd Calendar'!$Q$395)&gt;0)*(N('Dvd Calendar'!$Q$395)&lt;=VAL_SERIAL)*1000000+36*1000+13))</f>
        <v/>
      </c>
      <c r="ER47" s="39">
        <f>IF(N('Dvd Calendar'!$R$396)=0,"",IF(('Dvd Calendar'!$R$396&gt;=GRID_FROM)*('Dvd Calendar'!$R$396&lt;=GRID_TO)*((('Dvd Calendar'!$R$396&lt;=VAL_DATE)+(COUNTIF('Dvd Calendar'!$E$403:$AR$403,'Dvd Calendar'!$R$396)=0))&gt;0)=0,"",'Dvd Calendar'!$R$396*1000000000+ISNUMBER('Dvd Calendar'!$R$399)*100000000+('Dvd Calendar'!$R$401=SPECIAL_LBL)*10000000+(N('Dvd Calendar'!$R$395)&gt;0)*(N('Dvd Calendar'!$R$395)&lt;=VAL_SERIAL)*1000000+36*1000+14))</f>
        <v/>
      </c>
      <c r="ES47" s="39">
        <f>IF(N('Dvd Calendar'!$S$396)=0,"",IF(('Dvd Calendar'!$S$396&gt;=GRID_FROM)*('Dvd Calendar'!$S$396&lt;=GRID_TO)*((('Dvd Calendar'!$S$396&lt;=VAL_DATE)+(COUNTIF('Dvd Calendar'!$E$403:$AR$403,'Dvd Calendar'!$S$396)=0))&gt;0)=0,"",'Dvd Calendar'!$S$396*1000000000+ISNUMBER('Dvd Calendar'!$S$399)*100000000+('Dvd Calendar'!$S$401=SPECIAL_LBL)*10000000+(N('Dvd Calendar'!$S$395)&gt;0)*(N('Dvd Calendar'!$S$395)&lt;=VAL_SERIAL)*1000000+36*1000+15))</f>
        <v/>
      </c>
      <c r="ET47" s="39">
        <f>IF(N('Dvd Calendar'!$T$396)=0,"",IF(('Dvd Calendar'!$T$396&gt;=GRID_FROM)*('Dvd Calendar'!$T$396&lt;=GRID_TO)*((('Dvd Calendar'!$T$396&lt;=VAL_DATE)+(COUNTIF('Dvd Calendar'!$E$403:$AR$403,'Dvd Calendar'!$T$396)=0))&gt;0)=0,"",'Dvd Calendar'!$T$396*1000000000+ISNUMBER('Dvd Calendar'!$T$399)*100000000+('Dvd Calendar'!$T$401=SPECIAL_LBL)*10000000+(N('Dvd Calendar'!$T$395)&gt;0)*(N('Dvd Calendar'!$T$395)&lt;=VAL_SERIAL)*1000000+36*1000+16))</f>
        <v/>
      </c>
      <c r="EU47" s="39">
        <f>IF(N('Dvd Calendar'!$U$396)=0,"",IF(('Dvd Calendar'!$U$396&gt;=GRID_FROM)*('Dvd Calendar'!$U$396&lt;=GRID_TO)*((('Dvd Calendar'!$U$396&lt;=VAL_DATE)+(COUNTIF('Dvd Calendar'!$E$403:$AR$403,'Dvd Calendar'!$U$396)=0))&gt;0)=0,"",'Dvd Calendar'!$U$396*1000000000+ISNUMBER('Dvd Calendar'!$U$399)*100000000+('Dvd Calendar'!$U$401=SPECIAL_LBL)*10000000+(N('Dvd Calendar'!$U$395)&gt;0)*(N('Dvd Calendar'!$U$395)&lt;=VAL_SERIAL)*1000000+36*1000+17))</f>
        <v/>
      </c>
      <c r="EV47" s="39">
        <f>IF(N('Dvd Calendar'!$V$396)=0,"",IF(('Dvd Calendar'!$V$396&gt;=GRID_FROM)*('Dvd Calendar'!$V$396&lt;=GRID_TO)*((('Dvd Calendar'!$V$396&lt;=VAL_DATE)+(COUNTIF('Dvd Calendar'!$E$403:$AR$403,'Dvd Calendar'!$V$396)=0))&gt;0)=0,"",'Dvd Calendar'!$V$396*1000000000+ISNUMBER('Dvd Calendar'!$V$399)*100000000+('Dvd Calendar'!$V$401=SPECIAL_LBL)*10000000+(N('Dvd Calendar'!$V$395)&gt;0)*(N('Dvd Calendar'!$V$395)&lt;=VAL_SERIAL)*1000000+36*1000+18))</f>
        <v/>
      </c>
      <c r="EW47" s="39">
        <f>IF(N('Dvd Calendar'!$W$396)=0,"",IF(('Dvd Calendar'!$W$396&gt;=GRID_FROM)*('Dvd Calendar'!$W$396&lt;=GRID_TO)*((('Dvd Calendar'!$W$396&lt;=VAL_DATE)+(COUNTIF('Dvd Calendar'!$E$403:$AR$403,'Dvd Calendar'!$W$396)=0))&gt;0)=0,"",'Dvd Calendar'!$W$396*1000000000+ISNUMBER('Dvd Calendar'!$W$399)*100000000+('Dvd Calendar'!$W$401=SPECIAL_LBL)*10000000+(N('Dvd Calendar'!$W$395)&gt;0)*(N('Dvd Calendar'!$W$395)&lt;=VAL_SERIAL)*1000000+36*1000+19))</f>
        <v/>
      </c>
      <c r="EX47" s="39">
        <f>IF(N('Dvd Calendar'!$X$396)=0,"",IF(('Dvd Calendar'!$X$396&gt;=GRID_FROM)*('Dvd Calendar'!$X$396&lt;=GRID_TO)*((('Dvd Calendar'!$X$396&lt;=VAL_DATE)+(COUNTIF('Dvd Calendar'!$E$403:$AR$403,'Dvd Calendar'!$X$396)=0))&gt;0)=0,"",'Dvd Calendar'!$X$396*1000000000+ISNUMBER('Dvd Calendar'!$X$399)*100000000+('Dvd Calendar'!$X$401=SPECIAL_LBL)*10000000+(N('Dvd Calendar'!$X$395)&gt;0)*(N('Dvd Calendar'!$X$395)&lt;=VAL_SERIAL)*1000000+36*1000+20))</f>
        <v/>
      </c>
      <c r="EY47" s="39">
        <f>IF(N('Dvd Calendar'!$Y$396)=0,"",IF(('Dvd Calendar'!$Y$396&gt;=GRID_FROM)*('Dvd Calendar'!$Y$396&lt;=GRID_TO)*((('Dvd Calendar'!$Y$396&lt;=VAL_DATE)+(COUNTIF('Dvd Calendar'!$E$403:$AR$403,'Dvd Calendar'!$Y$396)=0))&gt;0)=0,"",'Dvd Calendar'!$Y$396*1000000000+ISNUMBER('Dvd Calendar'!$Y$399)*100000000+('Dvd Calendar'!$Y$401=SPECIAL_LBL)*10000000+(N('Dvd Calendar'!$Y$395)&gt;0)*(N('Dvd Calendar'!$Y$395)&lt;=VAL_SERIAL)*1000000+36*1000+21))</f>
        <v/>
      </c>
      <c r="EZ47" s="39">
        <f>IF(N('Dvd Calendar'!$Z$396)=0,"",IF(('Dvd Calendar'!$Z$396&gt;=GRID_FROM)*('Dvd Calendar'!$Z$396&lt;=GRID_TO)*((('Dvd Calendar'!$Z$396&lt;=VAL_DATE)+(COUNTIF('Dvd Calendar'!$E$403:$AR$403,'Dvd Calendar'!$Z$396)=0))&gt;0)=0,"",'Dvd Calendar'!$Z$396*1000000000+ISNUMBER('Dvd Calendar'!$Z$399)*100000000+('Dvd Calendar'!$Z$401=SPECIAL_LBL)*10000000+(N('Dvd Calendar'!$Z$395)&gt;0)*(N('Dvd Calendar'!$Z$395)&lt;=VAL_SERIAL)*1000000+36*1000+22))</f>
        <v/>
      </c>
      <c r="FA47" s="39">
        <f>IF(N('Dvd Calendar'!$AA$396)=0,"",IF(('Dvd Calendar'!$AA$396&gt;=GRID_FROM)*('Dvd Calendar'!$AA$396&lt;=GRID_TO)*((('Dvd Calendar'!$AA$396&lt;=VAL_DATE)+(COUNTIF('Dvd Calendar'!$E$403:$AR$403,'Dvd Calendar'!$AA$396)=0))&gt;0)=0,"",'Dvd Calendar'!$AA$396*1000000000+ISNUMBER('Dvd Calendar'!$AA$399)*100000000+('Dvd Calendar'!$AA$401=SPECIAL_LBL)*10000000+(N('Dvd Calendar'!$AA$395)&gt;0)*(N('Dvd Calendar'!$AA$395)&lt;=VAL_SERIAL)*1000000+36*1000+23))</f>
        <v/>
      </c>
      <c r="FB47" s="39">
        <f>IF(N('Dvd Calendar'!$AB$396)=0,"",IF(('Dvd Calendar'!$AB$396&gt;=GRID_FROM)*('Dvd Calendar'!$AB$396&lt;=GRID_TO)*((('Dvd Calendar'!$AB$396&lt;=VAL_DATE)+(COUNTIF('Dvd Calendar'!$E$403:$AR$403,'Dvd Calendar'!$AB$396)=0))&gt;0)=0,"",'Dvd Calendar'!$AB$396*1000000000+ISNUMBER('Dvd Calendar'!$AB$399)*100000000+('Dvd Calendar'!$AB$401=SPECIAL_LBL)*10000000+(N('Dvd Calendar'!$AB$395)&gt;0)*(N('Dvd Calendar'!$AB$395)&lt;=VAL_SERIAL)*1000000+36*1000+24))</f>
        <v/>
      </c>
      <c r="FC47" s="39">
        <f>IF(N('Dvd Calendar'!$AC$396)=0,"",IF(('Dvd Calendar'!$AC$396&gt;=GRID_FROM)*('Dvd Calendar'!$AC$396&lt;=GRID_TO)*((('Dvd Calendar'!$AC$396&lt;=VAL_DATE)+(COUNTIF('Dvd Calendar'!$E$403:$AR$403,'Dvd Calendar'!$AC$396)=0))&gt;0)=0,"",'Dvd Calendar'!$AC$396*1000000000+ISNUMBER('Dvd Calendar'!$AC$399)*100000000+('Dvd Calendar'!$AC$401=SPECIAL_LBL)*10000000+(N('Dvd Calendar'!$AC$395)&gt;0)*(N('Dvd Calendar'!$AC$395)&lt;=VAL_SERIAL)*1000000+36*1000+25))</f>
        <v/>
      </c>
      <c r="FD47" s="39">
        <f>IF(N('Dvd Calendar'!$AD$396)=0,"",IF(('Dvd Calendar'!$AD$396&gt;=GRID_FROM)*('Dvd Calendar'!$AD$396&lt;=GRID_TO)*((('Dvd Calendar'!$AD$396&lt;=VAL_DATE)+(COUNTIF('Dvd Calendar'!$E$403:$AR$403,'Dvd Calendar'!$AD$396)=0))&gt;0)=0,"",'Dvd Calendar'!$AD$396*1000000000+ISNUMBER('Dvd Calendar'!$AD$399)*100000000+('Dvd Calendar'!$AD$401=SPECIAL_LBL)*10000000+(N('Dvd Calendar'!$AD$395)&gt;0)*(N('Dvd Calendar'!$AD$395)&lt;=VAL_SERIAL)*1000000+36*1000+26))</f>
        <v/>
      </c>
      <c r="FE47" s="39">
        <f>IF(N('Dvd Calendar'!$AE$396)=0,"",IF(('Dvd Calendar'!$AE$396&gt;=GRID_FROM)*('Dvd Calendar'!$AE$396&lt;=GRID_TO)*((('Dvd Calendar'!$AE$396&lt;=VAL_DATE)+(COUNTIF('Dvd Calendar'!$E$403:$AR$403,'Dvd Calendar'!$AE$396)=0))&gt;0)=0,"",'Dvd Calendar'!$AE$396*1000000000+ISNUMBER('Dvd Calendar'!$AE$399)*100000000+('Dvd Calendar'!$AE$401=SPECIAL_LBL)*10000000+(N('Dvd Calendar'!$AE$395)&gt;0)*(N('Dvd Calendar'!$AE$395)&lt;=VAL_SERIAL)*1000000+36*1000+27))</f>
        <v/>
      </c>
      <c r="FF47" s="39">
        <f>IF(N('Dvd Calendar'!$AF$396)=0,"",IF(('Dvd Calendar'!$AF$396&gt;=GRID_FROM)*('Dvd Calendar'!$AF$396&lt;=GRID_TO)*((('Dvd Calendar'!$AF$396&lt;=VAL_DATE)+(COUNTIF('Dvd Calendar'!$E$403:$AR$403,'Dvd Calendar'!$AF$396)=0))&gt;0)=0,"",'Dvd Calendar'!$AF$396*1000000000+ISNUMBER('Dvd Calendar'!$AF$399)*100000000+('Dvd Calendar'!$AF$401=SPECIAL_LBL)*10000000+(N('Dvd Calendar'!$AF$395)&gt;0)*(N('Dvd Calendar'!$AF$395)&lt;=VAL_SERIAL)*1000000+36*1000+28))</f>
        <v/>
      </c>
      <c r="FG47" s="39">
        <f>IF(N('Dvd Calendar'!$AG$396)=0,"",IF(('Dvd Calendar'!$AG$396&gt;=GRID_FROM)*('Dvd Calendar'!$AG$396&lt;=GRID_TO)*((('Dvd Calendar'!$AG$396&lt;=VAL_DATE)+(COUNTIF('Dvd Calendar'!$E$403:$AR$403,'Dvd Calendar'!$AG$396)=0))&gt;0)=0,"",'Dvd Calendar'!$AG$396*1000000000+ISNUMBER('Dvd Calendar'!$AG$399)*100000000+('Dvd Calendar'!$AG$401=SPECIAL_LBL)*10000000+(N('Dvd Calendar'!$AG$395)&gt;0)*(N('Dvd Calendar'!$AG$395)&lt;=VAL_SERIAL)*1000000+36*1000+29))</f>
        <v/>
      </c>
      <c r="FH47" s="39">
        <f>IF(N('Dvd Calendar'!$AH$396)=0,"",IF(('Dvd Calendar'!$AH$396&gt;=GRID_FROM)*('Dvd Calendar'!$AH$396&lt;=GRID_TO)*((('Dvd Calendar'!$AH$396&lt;=VAL_DATE)+(COUNTIF('Dvd Calendar'!$E$403:$AR$403,'Dvd Calendar'!$AH$396)=0))&gt;0)=0,"",'Dvd Calendar'!$AH$396*1000000000+ISNUMBER('Dvd Calendar'!$AH$399)*100000000+('Dvd Calendar'!$AH$401=SPECIAL_LBL)*10000000+(N('Dvd Calendar'!$AH$395)&gt;0)*(N('Dvd Calendar'!$AH$395)&lt;=VAL_SERIAL)*1000000+36*1000+30))</f>
        <v/>
      </c>
      <c r="FI47" s="39">
        <f>IF(N('Dvd Calendar'!$AI$396)=0,"",IF(('Dvd Calendar'!$AI$396&gt;=GRID_FROM)*('Dvd Calendar'!$AI$396&lt;=GRID_TO)*((('Dvd Calendar'!$AI$396&lt;=VAL_DATE)+(COUNTIF('Dvd Calendar'!$E$403:$AR$403,'Dvd Calendar'!$AI$396)=0))&gt;0)=0,"",'Dvd Calendar'!$AI$396*1000000000+ISNUMBER('Dvd Calendar'!$AI$399)*100000000+('Dvd Calendar'!$AI$401=SPECIAL_LBL)*10000000+(N('Dvd Calendar'!$AI$395)&gt;0)*(N('Dvd Calendar'!$AI$395)&lt;=VAL_SERIAL)*1000000+36*1000+31))</f>
        <v/>
      </c>
      <c r="FJ47" s="39">
        <f>IF(N('Dvd Calendar'!$AJ$396)=0,"",IF(('Dvd Calendar'!$AJ$396&gt;=GRID_FROM)*('Dvd Calendar'!$AJ$396&lt;=GRID_TO)*((('Dvd Calendar'!$AJ$396&lt;=VAL_DATE)+(COUNTIF('Dvd Calendar'!$E$403:$AR$403,'Dvd Calendar'!$AJ$396)=0))&gt;0)=0,"",'Dvd Calendar'!$AJ$396*1000000000+ISNUMBER('Dvd Calendar'!$AJ$399)*100000000+('Dvd Calendar'!$AJ$401=SPECIAL_LBL)*10000000+(N('Dvd Calendar'!$AJ$395)&gt;0)*(N('Dvd Calendar'!$AJ$395)&lt;=VAL_SERIAL)*1000000+36*1000+32))</f>
        <v/>
      </c>
      <c r="FK47" s="39">
        <f>IF(N('Dvd Calendar'!$AK$396)=0,"",IF(('Dvd Calendar'!$AK$396&gt;=GRID_FROM)*('Dvd Calendar'!$AK$396&lt;=GRID_TO)*((('Dvd Calendar'!$AK$396&lt;=VAL_DATE)+(COUNTIF('Dvd Calendar'!$E$403:$AR$403,'Dvd Calendar'!$AK$396)=0))&gt;0)=0,"",'Dvd Calendar'!$AK$396*1000000000+ISNUMBER('Dvd Calendar'!$AK$399)*100000000+('Dvd Calendar'!$AK$401=SPECIAL_LBL)*10000000+(N('Dvd Calendar'!$AK$395)&gt;0)*(N('Dvd Calendar'!$AK$395)&lt;=VAL_SERIAL)*1000000+36*1000+33))</f>
        <v/>
      </c>
      <c r="FL47" s="39">
        <f>IF(N('Dvd Calendar'!$AL$396)=0,"",IF(('Dvd Calendar'!$AL$396&gt;=GRID_FROM)*('Dvd Calendar'!$AL$396&lt;=GRID_TO)*((('Dvd Calendar'!$AL$396&lt;=VAL_DATE)+(COUNTIF('Dvd Calendar'!$E$403:$AR$403,'Dvd Calendar'!$AL$396)=0))&gt;0)=0,"",'Dvd Calendar'!$AL$396*1000000000+ISNUMBER('Dvd Calendar'!$AL$399)*100000000+('Dvd Calendar'!$AL$401=SPECIAL_LBL)*10000000+(N('Dvd Calendar'!$AL$395)&gt;0)*(N('Dvd Calendar'!$AL$395)&lt;=VAL_SERIAL)*1000000+36*1000+34))</f>
        <v/>
      </c>
      <c r="FM47" s="39">
        <f>IF(N('Dvd Calendar'!$AM$396)=0,"",IF(('Dvd Calendar'!$AM$396&gt;=GRID_FROM)*('Dvd Calendar'!$AM$396&lt;=GRID_TO)*((('Dvd Calendar'!$AM$396&lt;=VAL_DATE)+(COUNTIF('Dvd Calendar'!$E$403:$AR$403,'Dvd Calendar'!$AM$396)=0))&gt;0)=0,"",'Dvd Calendar'!$AM$396*1000000000+ISNUMBER('Dvd Calendar'!$AM$399)*100000000+('Dvd Calendar'!$AM$401=SPECIAL_LBL)*10000000+(N('Dvd Calendar'!$AM$395)&gt;0)*(N('Dvd Calendar'!$AM$395)&lt;=VAL_SERIAL)*1000000+36*1000+35))</f>
        <v/>
      </c>
      <c r="FN47" s="39">
        <f>IF(N('Dvd Calendar'!$AN$396)=0,"",IF(('Dvd Calendar'!$AN$396&gt;=GRID_FROM)*('Dvd Calendar'!$AN$396&lt;=GRID_TO)*((('Dvd Calendar'!$AN$396&lt;=VAL_DATE)+(COUNTIF('Dvd Calendar'!$E$403:$AR$403,'Dvd Calendar'!$AN$396)=0))&gt;0)=0,"",'Dvd Calendar'!$AN$396*1000000000+ISNUMBER('Dvd Calendar'!$AN$399)*100000000+('Dvd Calendar'!$AN$401=SPECIAL_LBL)*10000000+(N('Dvd Calendar'!$AN$395)&gt;0)*(N('Dvd Calendar'!$AN$395)&lt;=VAL_SERIAL)*1000000+36*1000+36))</f>
        <v/>
      </c>
      <c r="FO47" s="39">
        <f>IF(N('Dvd Calendar'!$AO$396)=0,"",IF(('Dvd Calendar'!$AO$396&gt;=GRID_FROM)*('Dvd Calendar'!$AO$396&lt;=GRID_TO)*((('Dvd Calendar'!$AO$396&lt;=VAL_DATE)+(COUNTIF('Dvd Calendar'!$E$403:$AR$403,'Dvd Calendar'!$AO$396)=0))&gt;0)=0,"",'Dvd Calendar'!$AO$396*1000000000+ISNUMBER('Dvd Calendar'!$AO$399)*100000000+('Dvd Calendar'!$AO$401=SPECIAL_LBL)*10000000+(N('Dvd Calendar'!$AO$395)&gt;0)*(N('Dvd Calendar'!$AO$395)&lt;=VAL_SERIAL)*1000000+36*1000+37))</f>
        <v/>
      </c>
      <c r="FP47" s="39">
        <f>IF(N('Dvd Calendar'!$AP$396)=0,"",IF(('Dvd Calendar'!$AP$396&gt;=GRID_FROM)*('Dvd Calendar'!$AP$396&lt;=GRID_TO)*((('Dvd Calendar'!$AP$396&lt;=VAL_DATE)+(COUNTIF('Dvd Calendar'!$E$403:$AR$403,'Dvd Calendar'!$AP$396)=0))&gt;0)=0,"",'Dvd Calendar'!$AP$396*1000000000+ISNUMBER('Dvd Calendar'!$AP$399)*100000000+('Dvd Calendar'!$AP$401=SPECIAL_LBL)*10000000+(N('Dvd Calendar'!$AP$395)&gt;0)*(N('Dvd Calendar'!$AP$395)&lt;=VAL_SERIAL)*1000000+36*1000+38))</f>
        <v/>
      </c>
      <c r="FQ47" s="39">
        <f>IF(N('Dvd Calendar'!$AQ$396)=0,"",IF(('Dvd Calendar'!$AQ$396&gt;=GRID_FROM)*('Dvd Calendar'!$AQ$396&lt;=GRID_TO)*((('Dvd Calendar'!$AQ$396&lt;=VAL_DATE)+(COUNTIF('Dvd Calendar'!$E$403:$AR$403,'Dvd Calendar'!$AQ$396)=0))&gt;0)=0,"",'Dvd Calendar'!$AQ$396*1000000000+ISNUMBER('Dvd Calendar'!$AQ$399)*100000000+('Dvd Calendar'!$AQ$401=SPECIAL_LBL)*10000000+(N('Dvd Calendar'!$AQ$395)&gt;0)*(N('Dvd Calendar'!$AQ$395)&lt;=VAL_SERIAL)*1000000+36*1000+39))</f>
        <v/>
      </c>
      <c r="FR47" s="39">
        <f>IF(N('Dvd Calendar'!$AR$396)=0,"",IF(('Dvd Calendar'!$AR$396&gt;=GRID_FROM)*('Dvd Calendar'!$AR$396&lt;=GRID_TO)*((('Dvd Calendar'!$AR$396&lt;=VAL_DATE)+(COUNTIF('Dvd Calendar'!$E$403:$AR$403,'Dvd Calendar'!$AR$396)=0))&gt;0)=0,"",'Dvd Calendar'!$AR$396*1000000000+ISNUMBER('Dvd Calendar'!$AR$399)*100000000+('Dvd Calendar'!$AR$401=SPECIAL_LBL)*10000000+(N('Dvd Calendar'!$AR$395)&gt;0)*(N('Dvd Calendar'!$AR$395)&lt;=VAL_SERIAL)*1000000+36*1000+40))</f>
        <v/>
      </c>
      <c r="FS47" s="39">
        <f>IF(N('Dvd Calendar'!$E$403)=0,"",IF(('Dvd Calendar'!$E$403&gt;=GRID_FROM)*('Dvd Calendar'!$E$403&lt;=GRID_TO)*('Dvd Calendar'!$E$403&gt;VAL_DATE)=0,"",'Dvd Calendar'!$E$403*1000000000+ISNUMBER('Dvd Calendar'!$E$404)*100000000+0*10000000+(N('Dvd Calendar'!$E$402)&gt;0)*(N('Dvd Calendar'!$E$402)&lt;=VAL_SERIAL)*1000000+36*1000+41))</f>
        <v/>
      </c>
      <c r="FT47" s="39">
        <f>IF(N('Dvd Calendar'!$F$403)=0,"",IF(('Dvd Calendar'!$F$403&gt;=GRID_FROM)*('Dvd Calendar'!$F$403&lt;=GRID_TO)*('Dvd Calendar'!$F$403&gt;VAL_DATE)=0,"",'Dvd Calendar'!$F$403*1000000000+ISNUMBER('Dvd Calendar'!$F$404)*100000000+0*10000000+(N('Dvd Calendar'!$F$402)&gt;0)*(N('Dvd Calendar'!$F$402)&lt;=VAL_SERIAL)*1000000+36*1000+42))</f>
        <v/>
      </c>
      <c r="FU47" s="39">
        <f>IF(N('Dvd Calendar'!$G$403)=0,"",IF(('Dvd Calendar'!$G$403&gt;=GRID_FROM)*('Dvd Calendar'!$G$403&lt;=GRID_TO)*('Dvd Calendar'!$G$403&gt;VAL_DATE)=0,"",'Dvd Calendar'!$G$403*1000000000+ISNUMBER('Dvd Calendar'!$G$404)*100000000+0*10000000+(N('Dvd Calendar'!$G$402)&gt;0)*(N('Dvd Calendar'!$G$402)&lt;=VAL_SERIAL)*1000000+36*1000+43))</f>
        <v/>
      </c>
      <c r="FV47" s="39">
        <f>IF(N('Dvd Calendar'!$H$403)=0,"",IF(('Dvd Calendar'!$H$403&gt;=GRID_FROM)*('Dvd Calendar'!$H$403&lt;=GRID_TO)*('Dvd Calendar'!$H$403&gt;VAL_DATE)=0,"",'Dvd Calendar'!$H$403*1000000000+ISNUMBER('Dvd Calendar'!$H$404)*100000000+0*10000000+(N('Dvd Calendar'!$H$402)&gt;0)*(N('Dvd Calendar'!$H$402)&lt;=VAL_SERIAL)*1000000+36*1000+44))</f>
        <v/>
      </c>
      <c r="FW47" s="39">
        <f>IF(N('Dvd Calendar'!$I$403)=0,"",IF(('Dvd Calendar'!$I$403&gt;=GRID_FROM)*('Dvd Calendar'!$I$403&lt;=GRID_TO)*('Dvd Calendar'!$I$403&gt;VAL_DATE)=0,"",'Dvd Calendar'!$I$403*1000000000+ISNUMBER('Dvd Calendar'!$I$404)*100000000+0*10000000+(N('Dvd Calendar'!$I$402)&gt;0)*(N('Dvd Calendar'!$I$402)&lt;=VAL_SERIAL)*1000000+36*1000+45))</f>
        <v/>
      </c>
      <c r="FX47" s="39">
        <f>IF(N('Dvd Calendar'!$J$403)=0,"",IF(('Dvd Calendar'!$J$403&gt;=GRID_FROM)*('Dvd Calendar'!$J$403&lt;=GRID_TO)*('Dvd Calendar'!$J$403&gt;VAL_DATE)=0,"",'Dvd Calendar'!$J$403*1000000000+ISNUMBER('Dvd Calendar'!$J$404)*100000000+0*10000000+(N('Dvd Calendar'!$J$402)&gt;0)*(N('Dvd Calendar'!$J$402)&lt;=VAL_SERIAL)*1000000+36*1000+46))</f>
        <v/>
      </c>
      <c r="FY47" s="39">
        <f>IF(N('Dvd Calendar'!$K$403)=0,"",IF(('Dvd Calendar'!$K$403&gt;=GRID_FROM)*('Dvd Calendar'!$K$403&lt;=GRID_TO)*('Dvd Calendar'!$K$403&gt;VAL_DATE)=0,"",'Dvd Calendar'!$K$403*1000000000+ISNUMBER('Dvd Calendar'!$K$404)*100000000+0*10000000+(N('Dvd Calendar'!$K$402)&gt;0)*(N('Dvd Calendar'!$K$402)&lt;=VAL_SERIAL)*1000000+36*1000+47))</f>
        <v/>
      </c>
      <c r="FZ47" s="39">
        <f>IF(N('Dvd Calendar'!$L$403)=0,"",IF(('Dvd Calendar'!$L$403&gt;=GRID_FROM)*('Dvd Calendar'!$L$403&lt;=GRID_TO)*('Dvd Calendar'!$L$403&gt;VAL_DATE)=0,"",'Dvd Calendar'!$L$403*1000000000+ISNUMBER('Dvd Calendar'!$L$404)*100000000+0*10000000+(N('Dvd Calendar'!$L$402)&gt;0)*(N('Dvd Calendar'!$L$402)&lt;=VAL_SERIAL)*1000000+36*1000+48))</f>
        <v/>
      </c>
      <c r="GA47" s="39">
        <f>IF(N('Dvd Calendar'!$M$403)=0,"",IF(('Dvd Calendar'!$M$403&gt;=GRID_FROM)*('Dvd Calendar'!$M$403&lt;=GRID_TO)*('Dvd Calendar'!$M$403&gt;VAL_DATE)=0,"",'Dvd Calendar'!$M$403*1000000000+ISNUMBER('Dvd Calendar'!$M$404)*100000000+0*10000000+(N('Dvd Calendar'!$M$402)&gt;0)*(N('Dvd Calendar'!$M$402)&lt;=VAL_SERIAL)*1000000+36*1000+49))</f>
        <v/>
      </c>
      <c r="GB47" s="39">
        <f>IF(N('Dvd Calendar'!$N$403)=0,"",IF(('Dvd Calendar'!$N$403&gt;=GRID_FROM)*('Dvd Calendar'!$N$403&lt;=GRID_TO)*('Dvd Calendar'!$N$403&gt;VAL_DATE)=0,"",'Dvd Calendar'!$N$403*1000000000+ISNUMBER('Dvd Calendar'!$N$404)*100000000+0*10000000+(N('Dvd Calendar'!$N$402)&gt;0)*(N('Dvd Calendar'!$N$402)&lt;=VAL_SERIAL)*1000000+36*1000+50))</f>
        <v/>
      </c>
      <c r="GC47" s="39">
        <f>IF(N('Dvd Calendar'!$O$403)=0,"",IF(('Dvd Calendar'!$O$403&gt;=GRID_FROM)*('Dvd Calendar'!$O$403&lt;=GRID_TO)*('Dvd Calendar'!$O$403&gt;VAL_DATE)=0,"",'Dvd Calendar'!$O$403*1000000000+ISNUMBER('Dvd Calendar'!$O$404)*100000000+0*10000000+(N('Dvd Calendar'!$O$402)&gt;0)*(N('Dvd Calendar'!$O$402)&lt;=VAL_SERIAL)*1000000+36*1000+51))</f>
        <v/>
      </c>
      <c r="GD47" s="39">
        <f>IF(N('Dvd Calendar'!$P$403)=0,"",IF(('Dvd Calendar'!$P$403&gt;=GRID_FROM)*('Dvd Calendar'!$P$403&lt;=GRID_TO)*('Dvd Calendar'!$P$403&gt;VAL_DATE)=0,"",'Dvd Calendar'!$P$403*1000000000+ISNUMBER('Dvd Calendar'!$P$404)*100000000+0*10000000+(N('Dvd Calendar'!$P$402)&gt;0)*(N('Dvd Calendar'!$P$402)&lt;=VAL_SERIAL)*1000000+36*1000+52))</f>
        <v/>
      </c>
      <c r="GE47" s="39">
        <f>IF(N('Dvd Calendar'!$Q$403)=0,"",IF(('Dvd Calendar'!$Q$403&gt;=GRID_FROM)*('Dvd Calendar'!$Q$403&lt;=GRID_TO)*('Dvd Calendar'!$Q$403&gt;VAL_DATE)=0,"",'Dvd Calendar'!$Q$403*1000000000+ISNUMBER('Dvd Calendar'!$Q$404)*100000000+0*10000000+(N('Dvd Calendar'!$Q$402)&gt;0)*(N('Dvd Calendar'!$Q$402)&lt;=VAL_SERIAL)*1000000+36*1000+53))</f>
        <v/>
      </c>
      <c r="GF47" s="39">
        <f>IF(N('Dvd Calendar'!$R$403)=0,"",IF(('Dvd Calendar'!$R$403&gt;=GRID_FROM)*('Dvd Calendar'!$R$403&lt;=GRID_TO)*('Dvd Calendar'!$R$403&gt;VAL_DATE)=0,"",'Dvd Calendar'!$R$403*1000000000+ISNUMBER('Dvd Calendar'!$R$404)*100000000+0*10000000+(N('Dvd Calendar'!$R$402)&gt;0)*(N('Dvd Calendar'!$R$402)&lt;=VAL_SERIAL)*1000000+36*1000+54))</f>
        <v/>
      </c>
      <c r="GG47" s="39">
        <f>IF(N('Dvd Calendar'!$S$403)=0,"",IF(('Dvd Calendar'!$S$403&gt;=GRID_FROM)*('Dvd Calendar'!$S$403&lt;=GRID_TO)*('Dvd Calendar'!$S$403&gt;VAL_DATE)=0,"",'Dvd Calendar'!$S$403*1000000000+ISNUMBER('Dvd Calendar'!$S$404)*100000000+0*10000000+(N('Dvd Calendar'!$S$402)&gt;0)*(N('Dvd Calendar'!$S$402)&lt;=VAL_SERIAL)*1000000+36*1000+55))</f>
        <v/>
      </c>
      <c r="GH47" s="39">
        <f>IF(N('Dvd Calendar'!$T$403)=0,"",IF(('Dvd Calendar'!$T$403&gt;=GRID_FROM)*('Dvd Calendar'!$T$403&lt;=GRID_TO)*('Dvd Calendar'!$T$403&gt;VAL_DATE)=0,"",'Dvd Calendar'!$T$403*1000000000+ISNUMBER('Dvd Calendar'!$T$404)*100000000+0*10000000+(N('Dvd Calendar'!$T$402)&gt;0)*(N('Dvd Calendar'!$T$402)&lt;=VAL_SERIAL)*1000000+36*1000+56))</f>
        <v/>
      </c>
      <c r="GI47" s="39">
        <f>IF(N('Dvd Calendar'!$U$403)=0,"",IF(('Dvd Calendar'!$U$403&gt;=GRID_FROM)*('Dvd Calendar'!$U$403&lt;=GRID_TO)*('Dvd Calendar'!$U$403&gt;VAL_DATE)=0,"",'Dvd Calendar'!$U$403*1000000000+ISNUMBER('Dvd Calendar'!$U$404)*100000000+0*10000000+(N('Dvd Calendar'!$U$402)&gt;0)*(N('Dvd Calendar'!$U$402)&lt;=VAL_SERIAL)*1000000+36*1000+57))</f>
        <v/>
      </c>
      <c r="GJ47" s="39">
        <f>IF(N('Dvd Calendar'!$V$403)=0,"",IF(('Dvd Calendar'!$V$403&gt;=GRID_FROM)*('Dvd Calendar'!$V$403&lt;=GRID_TO)*('Dvd Calendar'!$V$403&gt;VAL_DATE)=0,"",'Dvd Calendar'!$V$403*1000000000+ISNUMBER('Dvd Calendar'!$V$404)*100000000+0*10000000+(N('Dvd Calendar'!$V$402)&gt;0)*(N('Dvd Calendar'!$V$402)&lt;=VAL_SERIAL)*1000000+36*1000+58))</f>
        <v/>
      </c>
      <c r="GK47" s="39">
        <f>IF(N('Dvd Calendar'!$W$403)=0,"",IF(('Dvd Calendar'!$W$403&gt;=GRID_FROM)*('Dvd Calendar'!$W$403&lt;=GRID_TO)*('Dvd Calendar'!$W$403&gt;VAL_DATE)=0,"",'Dvd Calendar'!$W$403*1000000000+ISNUMBER('Dvd Calendar'!$W$404)*100000000+0*10000000+(N('Dvd Calendar'!$W$402)&gt;0)*(N('Dvd Calendar'!$W$402)&lt;=VAL_SERIAL)*1000000+36*1000+59))</f>
        <v/>
      </c>
      <c r="GL47" s="39">
        <f>IF(N('Dvd Calendar'!$X$403)=0,"",IF(('Dvd Calendar'!$X$403&gt;=GRID_FROM)*('Dvd Calendar'!$X$403&lt;=GRID_TO)*('Dvd Calendar'!$X$403&gt;VAL_DATE)=0,"",'Dvd Calendar'!$X$403*1000000000+ISNUMBER('Dvd Calendar'!$X$404)*100000000+0*10000000+(N('Dvd Calendar'!$X$402)&gt;0)*(N('Dvd Calendar'!$X$402)&lt;=VAL_SERIAL)*1000000+36*1000+60))</f>
        <v/>
      </c>
      <c r="GM47" s="39">
        <f>IF(N('Dvd Calendar'!$Y$403)=0,"",IF(('Dvd Calendar'!$Y$403&gt;=GRID_FROM)*('Dvd Calendar'!$Y$403&lt;=GRID_TO)*('Dvd Calendar'!$Y$403&gt;VAL_DATE)=0,"",'Dvd Calendar'!$Y$403*1000000000+ISNUMBER('Dvd Calendar'!$Y$404)*100000000+0*10000000+(N('Dvd Calendar'!$Y$402)&gt;0)*(N('Dvd Calendar'!$Y$402)&lt;=VAL_SERIAL)*1000000+36*1000+61))</f>
        <v/>
      </c>
      <c r="GN47" s="39">
        <f>IF(N('Dvd Calendar'!$Z$403)=0,"",IF(('Dvd Calendar'!$Z$403&gt;=GRID_FROM)*('Dvd Calendar'!$Z$403&lt;=GRID_TO)*('Dvd Calendar'!$Z$403&gt;VAL_DATE)=0,"",'Dvd Calendar'!$Z$403*1000000000+ISNUMBER('Dvd Calendar'!$Z$404)*100000000+0*10000000+(N('Dvd Calendar'!$Z$402)&gt;0)*(N('Dvd Calendar'!$Z$402)&lt;=VAL_SERIAL)*1000000+36*1000+62))</f>
        <v/>
      </c>
      <c r="GO47" s="39">
        <f>IF(N('Dvd Calendar'!$AA$403)=0,"",IF(('Dvd Calendar'!$AA$403&gt;=GRID_FROM)*('Dvd Calendar'!$AA$403&lt;=GRID_TO)*('Dvd Calendar'!$AA$403&gt;VAL_DATE)=0,"",'Dvd Calendar'!$AA$403*1000000000+ISNUMBER('Dvd Calendar'!$AA$404)*100000000+0*10000000+(N('Dvd Calendar'!$AA$402)&gt;0)*(N('Dvd Calendar'!$AA$402)&lt;=VAL_SERIAL)*1000000+36*1000+63))</f>
        <v/>
      </c>
      <c r="GP47" s="39">
        <f>IF(N('Dvd Calendar'!$AB$403)=0,"",IF(('Dvd Calendar'!$AB$403&gt;=GRID_FROM)*('Dvd Calendar'!$AB$403&lt;=GRID_TO)*('Dvd Calendar'!$AB$403&gt;VAL_DATE)=0,"",'Dvd Calendar'!$AB$403*1000000000+ISNUMBER('Dvd Calendar'!$AB$404)*100000000+0*10000000+(N('Dvd Calendar'!$AB$402)&gt;0)*(N('Dvd Calendar'!$AB$402)&lt;=VAL_SERIAL)*1000000+36*1000+64))</f>
        <v/>
      </c>
      <c r="GQ47" s="39">
        <f>IF(N('Dvd Calendar'!$AC$403)=0,"",IF(('Dvd Calendar'!$AC$403&gt;=GRID_FROM)*('Dvd Calendar'!$AC$403&lt;=GRID_TO)*('Dvd Calendar'!$AC$403&gt;VAL_DATE)=0,"",'Dvd Calendar'!$AC$403*1000000000+ISNUMBER('Dvd Calendar'!$AC$404)*100000000+0*10000000+(N('Dvd Calendar'!$AC$402)&gt;0)*(N('Dvd Calendar'!$AC$402)&lt;=VAL_SERIAL)*1000000+36*1000+65))</f>
        <v/>
      </c>
    </row>
    <row r="48">
      <c r="B48" s="2">
        <f>IF(HSI!$C$43="","",HSI!$C$43)</f>
        <v/>
      </c>
      <c r="C48" s="110">
        <f>IF(EE48="","",IF(ISNUMBER('Dvd Calendar'!$E$410)=FALSE,"",IF((('Dvd Calendar'!$E$412=TYPE1)*(TYPE1&lt;&gt;"")+('Dvd Calendar'!$E$412=TYPE2)*(TYPE2&lt;&gt;"")+('Dvd Calendar'!$E$412=TYPE3)*(TYPE3&lt;&gt;"")+('Dvd Calendar'!$E$412=TYPE4)*(TYPE4&lt;&gt;"")+('Dvd Calendar'!$E$412=SPECIAL_LBL)*(INC_SPECIALS="Y"))=0,"",'Dvd Calendar'!$E$410)))</f>
        <v/>
      </c>
      <c r="D48" s="110">
        <f>IF(EF48="","",IF(ISNUMBER('Dvd Calendar'!$F$410)=FALSE,"",IF((('Dvd Calendar'!$F$412=TYPE1)*(TYPE1&lt;&gt;"")+('Dvd Calendar'!$F$412=TYPE2)*(TYPE2&lt;&gt;"")+('Dvd Calendar'!$F$412=TYPE3)*(TYPE3&lt;&gt;"")+('Dvd Calendar'!$F$412=TYPE4)*(TYPE4&lt;&gt;"")+('Dvd Calendar'!$F$412=SPECIAL_LBL)*(INC_SPECIALS="Y"))=0,"",'Dvd Calendar'!$F$410)))</f>
        <v/>
      </c>
      <c r="E48" s="110">
        <f>IF(EG48="","",IF(ISNUMBER('Dvd Calendar'!$G$410)=FALSE,"",IF((('Dvd Calendar'!$G$412=TYPE1)*(TYPE1&lt;&gt;"")+('Dvd Calendar'!$G$412=TYPE2)*(TYPE2&lt;&gt;"")+('Dvd Calendar'!$G$412=TYPE3)*(TYPE3&lt;&gt;"")+('Dvd Calendar'!$G$412=TYPE4)*(TYPE4&lt;&gt;"")+('Dvd Calendar'!$G$412=SPECIAL_LBL)*(INC_SPECIALS="Y"))=0,"",'Dvd Calendar'!$G$410)))</f>
        <v/>
      </c>
      <c r="F48" s="110">
        <f>IF(EH48="","",IF(ISNUMBER('Dvd Calendar'!$H$410)=FALSE,"",IF((('Dvd Calendar'!$H$412=TYPE1)*(TYPE1&lt;&gt;"")+('Dvd Calendar'!$H$412=TYPE2)*(TYPE2&lt;&gt;"")+('Dvd Calendar'!$H$412=TYPE3)*(TYPE3&lt;&gt;"")+('Dvd Calendar'!$H$412=TYPE4)*(TYPE4&lt;&gt;"")+('Dvd Calendar'!$H$412=SPECIAL_LBL)*(INC_SPECIALS="Y"))=0,"",'Dvd Calendar'!$H$410)))</f>
        <v/>
      </c>
      <c r="G48" s="110">
        <f>IF(EI48="","",IF(ISNUMBER('Dvd Calendar'!$I$410)=FALSE,"",IF((('Dvd Calendar'!$I$412=TYPE1)*(TYPE1&lt;&gt;"")+('Dvd Calendar'!$I$412=TYPE2)*(TYPE2&lt;&gt;"")+('Dvd Calendar'!$I$412=TYPE3)*(TYPE3&lt;&gt;"")+('Dvd Calendar'!$I$412=TYPE4)*(TYPE4&lt;&gt;"")+('Dvd Calendar'!$I$412=SPECIAL_LBL)*(INC_SPECIALS="Y"))=0,"",'Dvd Calendar'!$I$410)))</f>
        <v/>
      </c>
      <c r="H48" s="110">
        <f>IF(EJ48="","",IF(ISNUMBER('Dvd Calendar'!$J$410)=FALSE,"",IF((('Dvd Calendar'!$J$412=TYPE1)*(TYPE1&lt;&gt;"")+('Dvd Calendar'!$J$412=TYPE2)*(TYPE2&lt;&gt;"")+('Dvd Calendar'!$J$412=TYPE3)*(TYPE3&lt;&gt;"")+('Dvd Calendar'!$J$412=TYPE4)*(TYPE4&lt;&gt;"")+('Dvd Calendar'!$J$412=SPECIAL_LBL)*(INC_SPECIALS="Y"))=0,"",'Dvd Calendar'!$J$410)))</f>
        <v/>
      </c>
      <c r="I48" s="110">
        <f>IF(EK48="","",IF(ISNUMBER('Dvd Calendar'!$K$410)=FALSE,"",IF((('Dvd Calendar'!$K$412=TYPE1)*(TYPE1&lt;&gt;"")+('Dvd Calendar'!$K$412=TYPE2)*(TYPE2&lt;&gt;"")+('Dvd Calendar'!$K$412=TYPE3)*(TYPE3&lt;&gt;"")+('Dvd Calendar'!$K$412=TYPE4)*(TYPE4&lt;&gt;"")+('Dvd Calendar'!$K$412=SPECIAL_LBL)*(INC_SPECIALS="Y"))=0,"",'Dvd Calendar'!$K$410)))</f>
        <v/>
      </c>
      <c r="J48" s="110">
        <f>IF(EL48="","",IF(ISNUMBER('Dvd Calendar'!$L$410)=FALSE,"",IF((('Dvd Calendar'!$L$412=TYPE1)*(TYPE1&lt;&gt;"")+('Dvd Calendar'!$L$412=TYPE2)*(TYPE2&lt;&gt;"")+('Dvd Calendar'!$L$412=TYPE3)*(TYPE3&lt;&gt;"")+('Dvd Calendar'!$L$412=TYPE4)*(TYPE4&lt;&gt;"")+('Dvd Calendar'!$L$412=SPECIAL_LBL)*(INC_SPECIALS="Y"))=0,"",'Dvd Calendar'!$L$410)))</f>
        <v/>
      </c>
      <c r="K48" s="110">
        <f>IF(EM48="","",IF(ISNUMBER('Dvd Calendar'!$M$410)=FALSE,"",IF((('Dvd Calendar'!$M$412=TYPE1)*(TYPE1&lt;&gt;"")+('Dvd Calendar'!$M$412=TYPE2)*(TYPE2&lt;&gt;"")+('Dvd Calendar'!$M$412=TYPE3)*(TYPE3&lt;&gt;"")+('Dvd Calendar'!$M$412=TYPE4)*(TYPE4&lt;&gt;"")+('Dvd Calendar'!$M$412=SPECIAL_LBL)*(INC_SPECIALS="Y"))=0,"",'Dvd Calendar'!$M$410)))</f>
        <v/>
      </c>
      <c r="L48" s="110">
        <f>IF(EN48="","",IF(ISNUMBER('Dvd Calendar'!$N$410)=FALSE,"",IF((('Dvd Calendar'!$N$412=TYPE1)*(TYPE1&lt;&gt;"")+('Dvd Calendar'!$N$412=TYPE2)*(TYPE2&lt;&gt;"")+('Dvd Calendar'!$N$412=TYPE3)*(TYPE3&lt;&gt;"")+('Dvd Calendar'!$N$412=TYPE4)*(TYPE4&lt;&gt;"")+('Dvd Calendar'!$N$412=SPECIAL_LBL)*(INC_SPECIALS="Y"))=0,"",'Dvd Calendar'!$N$410)))</f>
        <v/>
      </c>
      <c r="M48" s="110">
        <f>IF(EO48="","",IF(ISNUMBER('Dvd Calendar'!$O$410)=FALSE,"",IF((('Dvd Calendar'!$O$412=TYPE1)*(TYPE1&lt;&gt;"")+('Dvd Calendar'!$O$412=TYPE2)*(TYPE2&lt;&gt;"")+('Dvd Calendar'!$O$412=TYPE3)*(TYPE3&lt;&gt;"")+('Dvd Calendar'!$O$412=TYPE4)*(TYPE4&lt;&gt;"")+('Dvd Calendar'!$O$412=SPECIAL_LBL)*(INC_SPECIALS="Y"))=0,"",'Dvd Calendar'!$O$410)))</f>
        <v/>
      </c>
      <c r="N48" s="110">
        <f>IF(EP48="","",IF(ISNUMBER('Dvd Calendar'!$P$410)=FALSE,"",IF((('Dvd Calendar'!$P$412=TYPE1)*(TYPE1&lt;&gt;"")+('Dvd Calendar'!$P$412=TYPE2)*(TYPE2&lt;&gt;"")+('Dvd Calendar'!$P$412=TYPE3)*(TYPE3&lt;&gt;"")+('Dvd Calendar'!$P$412=TYPE4)*(TYPE4&lt;&gt;"")+('Dvd Calendar'!$P$412=SPECIAL_LBL)*(INC_SPECIALS="Y"))=0,"",'Dvd Calendar'!$P$410)))</f>
        <v/>
      </c>
      <c r="O48" s="110">
        <f>IF(EQ48="","",IF(ISNUMBER('Dvd Calendar'!$Q$410)=FALSE,"",IF((('Dvd Calendar'!$Q$412=TYPE1)*(TYPE1&lt;&gt;"")+('Dvd Calendar'!$Q$412=TYPE2)*(TYPE2&lt;&gt;"")+('Dvd Calendar'!$Q$412=TYPE3)*(TYPE3&lt;&gt;"")+('Dvd Calendar'!$Q$412=TYPE4)*(TYPE4&lt;&gt;"")+('Dvd Calendar'!$Q$412=SPECIAL_LBL)*(INC_SPECIALS="Y"))=0,"",'Dvd Calendar'!$Q$410)))</f>
        <v/>
      </c>
      <c r="P48" s="110">
        <f>IF(ER48="","",IF(ISNUMBER('Dvd Calendar'!$R$410)=FALSE,"",IF((('Dvd Calendar'!$R$412=TYPE1)*(TYPE1&lt;&gt;"")+('Dvd Calendar'!$R$412=TYPE2)*(TYPE2&lt;&gt;"")+('Dvd Calendar'!$R$412=TYPE3)*(TYPE3&lt;&gt;"")+('Dvd Calendar'!$R$412=TYPE4)*(TYPE4&lt;&gt;"")+('Dvd Calendar'!$R$412=SPECIAL_LBL)*(INC_SPECIALS="Y"))=0,"",'Dvd Calendar'!$R$410)))</f>
        <v/>
      </c>
      <c r="Q48" s="110">
        <f>IF(ES48="","",IF(ISNUMBER('Dvd Calendar'!$S$410)=FALSE,"",IF((('Dvd Calendar'!$S$412=TYPE1)*(TYPE1&lt;&gt;"")+('Dvd Calendar'!$S$412=TYPE2)*(TYPE2&lt;&gt;"")+('Dvd Calendar'!$S$412=TYPE3)*(TYPE3&lt;&gt;"")+('Dvd Calendar'!$S$412=TYPE4)*(TYPE4&lt;&gt;"")+('Dvd Calendar'!$S$412=SPECIAL_LBL)*(INC_SPECIALS="Y"))=0,"",'Dvd Calendar'!$S$410)))</f>
        <v/>
      </c>
      <c r="R48" s="110">
        <f>IF(ET48="","",IF(ISNUMBER('Dvd Calendar'!$T$410)=FALSE,"",IF((('Dvd Calendar'!$T$412=TYPE1)*(TYPE1&lt;&gt;"")+('Dvd Calendar'!$T$412=TYPE2)*(TYPE2&lt;&gt;"")+('Dvd Calendar'!$T$412=TYPE3)*(TYPE3&lt;&gt;"")+('Dvd Calendar'!$T$412=TYPE4)*(TYPE4&lt;&gt;"")+('Dvd Calendar'!$T$412=SPECIAL_LBL)*(INC_SPECIALS="Y"))=0,"",'Dvd Calendar'!$T$410)))</f>
        <v/>
      </c>
      <c r="S48" s="110">
        <f>IF(EU48="","",IF(ISNUMBER('Dvd Calendar'!$U$410)=FALSE,"",IF((('Dvd Calendar'!$U$412=TYPE1)*(TYPE1&lt;&gt;"")+('Dvd Calendar'!$U$412=TYPE2)*(TYPE2&lt;&gt;"")+('Dvd Calendar'!$U$412=TYPE3)*(TYPE3&lt;&gt;"")+('Dvd Calendar'!$U$412=TYPE4)*(TYPE4&lt;&gt;"")+('Dvd Calendar'!$U$412=SPECIAL_LBL)*(INC_SPECIALS="Y"))=0,"",'Dvd Calendar'!$U$410)))</f>
        <v/>
      </c>
      <c r="T48" s="110">
        <f>IF(EV48="","",IF(ISNUMBER('Dvd Calendar'!$V$410)=FALSE,"",IF((('Dvd Calendar'!$V$412=TYPE1)*(TYPE1&lt;&gt;"")+('Dvd Calendar'!$V$412=TYPE2)*(TYPE2&lt;&gt;"")+('Dvd Calendar'!$V$412=TYPE3)*(TYPE3&lt;&gt;"")+('Dvd Calendar'!$V$412=TYPE4)*(TYPE4&lt;&gt;"")+('Dvd Calendar'!$V$412=SPECIAL_LBL)*(INC_SPECIALS="Y"))=0,"",'Dvd Calendar'!$V$410)))</f>
        <v/>
      </c>
      <c r="U48" s="110">
        <f>IF(EW48="","",IF(ISNUMBER('Dvd Calendar'!$W$410)=FALSE,"",IF((('Dvd Calendar'!$W$412=TYPE1)*(TYPE1&lt;&gt;"")+('Dvd Calendar'!$W$412=TYPE2)*(TYPE2&lt;&gt;"")+('Dvd Calendar'!$W$412=TYPE3)*(TYPE3&lt;&gt;"")+('Dvd Calendar'!$W$412=TYPE4)*(TYPE4&lt;&gt;"")+('Dvd Calendar'!$W$412=SPECIAL_LBL)*(INC_SPECIALS="Y"))=0,"",'Dvd Calendar'!$W$410)))</f>
        <v/>
      </c>
      <c r="V48" s="110">
        <f>IF(EX48="","",IF(ISNUMBER('Dvd Calendar'!$X$410)=FALSE,"",IF((('Dvd Calendar'!$X$412=TYPE1)*(TYPE1&lt;&gt;"")+('Dvd Calendar'!$X$412=TYPE2)*(TYPE2&lt;&gt;"")+('Dvd Calendar'!$X$412=TYPE3)*(TYPE3&lt;&gt;"")+('Dvd Calendar'!$X$412=TYPE4)*(TYPE4&lt;&gt;"")+('Dvd Calendar'!$X$412=SPECIAL_LBL)*(INC_SPECIALS="Y"))=0,"",'Dvd Calendar'!$X$410)))</f>
        <v/>
      </c>
      <c r="W48" s="110">
        <f>IF(EY48="","",IF(ISNUMBER('Dvd Calendar'!$Y$410)=FALSE,"",IF((('Dvd Calendar'!$Y$412=TYPE1)*(TYPE1&lt;&gt;"")+('Dvd Calendar'!$Y$412=TYPE2)*(TYPE2&lt;&gt;"")+('Dvd Calendar'!$Y$412=TYPE3)*(TYPE3&lt;&gt;"")+('Dvd Calendar'!$Y$412=TYPE4)*(TYPE4&lt;&gt;"")+('Dvd Calendar'!$Y$412=SPECIAL_LBL)*(INC_SPECIALS="Y"))=0,"",'Dvd Calendar'!$Y$410)))</f>
        <v/>
      </c>
      <c r="X48" s="110">
        <f>IF(EZ48="","",IF(ISNUMBER('Dvd Calendar'!$Z$410)=FALSE,"",IF((('Dvd Calendar'!$Z$412=TYPE1)*(TYPE1&lt;&gt;"")+('Dvd Calendar'!$Z$412=TYPE2)*(TYPE2&lt;&gt;"")+('Dvd Calendar'!$Z$412=TYPE3)*(TYPE3&lt;&gt;"")+('Dvd Calendar'!$Z$412=TYPE4)*(TYPE4&lt;&gt;"")+('Dvd Calendar'!$Z$412=SPECIAL_LBL)*(INC_SPECIALS="Y"))=0,"",'Dvd Calendar'!$Z$410)))</f>
        <v/>
      </c>
      <c r="Y48" s="110">
        <f>IF(FA48="","",IF(ISNUMBER('Dvd Calendar'!$AA$410)=FALSE,"",IF((('Dvd Calendar'!$AA$412=TYPE1)*(TYPE1&lt;&gt;"")+('Dvd Calendar'!$AA$412=TYPE2)*(TYPE2&lt;&gt;"")+('Dvd Calendar'!$AA$412=TYPE3)*(TYPE3&lt;&gt;"")+('Dvd Calendar'!$AA$412=TYPE4)*(TYPE4&lt;&gt;"")+('Dvd Calendar'!$AA$412=SPECIAL_LBL)*(INC_SPECIALS="Y"))=0,"",'Dvd Calendar'!$AA$410)))</f>
        <v/>
      </c>
      <c r="Z48" s="110">
        <f>IF(FB48="","",IF(ISNUMBER('Dvd Calendar'!$AB$410)=FALSE,"",IF((('Dvd Calendar'!$AB$412=TYPE1)*(TYPE1&lt;&gt;"")+('Dvd Calendar'!$AB$412=TYPE2)*(TYPE2&lt;&gt;"")+('Dvd Calendar'!$AB$412=TYPE3)*(TYPE3&lt;&gt;"")+('Dvd Calendar'!$AB$412=TYPE4)*(TYPE4&lt;&gt;"")+('Dvd Calendar'!$AB$412=SPECIAL_LBL)*(INC_SPECIALS="Y"))=0,"",'Dvd Calendar'!$AB$410)))</f>
        <v/>
      </c>
      <c r="AA48" s="110">
        <f>IF(FC48="","",IF(ISNUMBER('Dvd Calendar'!$AC$410)=FALSE,"",IF((('Dvd Calendar'!$AC$412=TYPE1)*(TYPE1&lt;&gt;"")+('Dvd Calendar'!$AC$412=TYPE2)*(TYPE2&lt;&gt;"")+('Dvd Calendar'!$AC$412=TYPE3)*(TYPE3&lt;&gt;"")+('Dvd Calendar'!$AC$412=TYPE4)*(TYPE4&lt;&gt;"")+('Dvd Calendar'!$AC$412=SPECIAL_LBL)*(INC_SPECIALS="Y"))=0,"",'Dvd Calendar'!$AC$410)))</f>
        <v/>
      </c>
      <c r="AB48" s="110">
        <f>IF(FD48="","",IF(ISNUMBER('Dvd Calendar'!$AD$410)=FALSE,"",IF((('Dvd Calendar'!$AD$412=TYPE1)*(TYPE1&lt;&gt;"")+('Dvd Calendar'!$AD$412=TYPE2)*(TYPE2&lt;&gt;"")+('Dvd Calendar'!$AD$412=TYPE3)*(TYPE3&lt;&gt;"")+('Dvd Calendar'!$AD$412=TYPE4)*(TYPE4&lt;&gt;"")+('Dvd Calendar'!$AD$412=SPECIAL_LBL)*(INC_SPECIALS="Y"))=0,"",'Dvd Calendar'!$AD$410)))</f>
        <v/>
      </c>
      <c r="AC48" s="110">
        <f>IF(FE48="","",IF(ISNUMBER('Dvd Calendar'!$AE$410)=FALSE,"",IF((('Dvd Calendar'!$AE$412=TYPE1)*(TYPE1&lt;&gt;"")+('Dvd Calendar'!$AE$412=TYPE2)*(TYPE2&lt;&gt;"")+('Dvd Calendar'!$AE$412=TYPE3)*(TYPE3&lt;&gt;"")+('Dvd Calendar'!$AE$412=TYPE4)*(TYPE4&lt;&gt;"")+('Dvd Calendar'!$AE$412=SPECIAL_LBL)*(INC_SPECIALS="Y"))=0,"",'Dvd Calendar'!$AE$410)))</f>
        <v/>
      </c>
      <c r="AD48" s="110">
        <f>IF(FF48="","",IF(ISNUMBER('Dvd Calendar'!$AF$410)=FALSE,"",IF((('Dvd Calendar'!$AF$412=TYPE1)*(TYPE1&lt;&gt;"")+('Dvd Calendar'!$AF$412=TYPE2)*(TYPE2&lt;&gt;"")+('Dvd Calendar'!$AF$412=TYPE3)*(TYPE3&lt;&gt;"")+('Dvd Calendar'!$AF$412=TYPE4)*(TYPE4&lt;&gt;"")+('Dvd Calendar'!$AF$412=SPECIAL_LBL)*(INC_SPECIALS="Y"))=0,"",'Dvd Calendar'!$AF$410)))</f>
        <v/>
      </c>
      <c r="AE48" s="110">
        <f>IF(FG48="","",IF(ISNUMBER('Dvd Calendar'!$AG$410)=FALSE,"",IF((('Dvd Calendar'!$AG$412=TYPE1)*(TYPE1&lt;&gt;"")+('Dvd Calendar'!$AG$412=TYPE2)*(TYPE2&lt;&gt;"")+('Dvd Calendar'!$AG$412=TYPE3)*(TYPE3&lt;&gt;"")+('Dvd Calendar'!$AG$412=TYPE4)*(TYPE4&lt;&gt;"")+('Dvd Calendar'!$AG$412=SPECIAL_LBL)*(INC_SPECIALS="Y"))=0,"",'Dvd Calendar'!$AG$410)))</f>
        <v/>
      </c>
      <c r="AF48" s="110">
        <f>IF(FH48="","",IF(ISNUMBER('Dvd Calendar'!$AH$410)=FALSE,"",IF((('Dvd Calendar'!$AH$412=TYPE1)*(TYPE1&lt;&gt;"")+('Dvd Calendar'!$AH$412=TYPE2)*(TYPE2&lt;&gt;"")+('Dvd Calendar'!$AH$412=TYPE3)*(TYPE3&lt;&gt;"")+('Dvd Calendar'!$AH$412=TYPE4)*(TYPE4&lt;&gt;"")+('Dvd Calendar'!$AH$412=SPECIAL_LBL)*(INC_SPECIALS="Y"))=0,"",'Dvd Calendar'!$AH$410)))</f>
        <v/>
      </c>
      <c r="AG48" s="110">
        <f>IF(FI48="","",IF(ISNUMBER('Dvd Calendar'!$AI$410)=FALSE,"",IF((('Dvd Calendar'!$AI$412=TYPE1)*(TYPE1&lt;&gt;"")+('Dvd Calendar'!$AI$412=TYPE2)*(TYPE2&lt;&gt;"")+('Dvd Calendar'!$AI$412=TYPE3)*(TYPE3&lt;&gt;"")+('Dvd Calendar'!$AI$412=TYPE4)*(TYPE4&lt;&gt;"")+('Dvd Calendar'!$AI$412=SPECIAL_LBL)*(INC_SPECIALS="Y"))=0,"",'Dvd Calendar'!$AI$410)))</f>
        <v/>
      </c>
      <c r="AH48" s="110">
        <f>IF(FJ48="","",IF(ISNUMBER('Dvd Calendar'!$AJ$410)=FALSE,"",IF((('Dvd Calendar'!$AJ$412=TYPE1)*(TYPE1&lt;&gt;"")+('Dvd Calendar'!$AJ$412=TYPE2)*(TYPE2&lt;&gt;"")+('Dvd Calendar'!$AJ$412=TYPE3)*(TYPE3&lt;&gt;"")+('Dvd Calendar'!$AJ$412=TYPE4)*(TYPE4&lt;&gt;"")+('Dvd Calendar'!$AJ$412=SPECIAL_LBL)*(INC_SPECIALS="Y"))=0,"",'Dvd Calendar'!$AJ$410)))</f>
        <v/>
      </c>
      <c r="AI48" s="110">
        <f>IF(FK48="","",IF(ISNUMBER('Dvd Calendar'!$AK$410)=FALSE,"",IF((('Dvd Calendar'!$AK$412=TYPE1)*(TYPE1&lt;&gt;"")+('Dvd Calendar'!$AK$412=TYPE2)*(TYPE2&lt;&gt;"")+('Dvd Calendar'!$AK$412=TYPE3)*(TYPE3&lt;&gt;"")+('Dvd Calendar'!$AK$412=TYPE4)*(TYPE4&lt;&gt;"")+('Dvd Calendar'!$AK$412=SPECIAL_LBL)*(INC_SPECIALS="Y"))=0,"",'Dvd Calendar'!$AK$410)))</f>
        <v/>
      </c>
      <c r="AJ48" s="110">
        <f>IF(FL48="","",IF(ISNUMBER('Dvd Calendar'!$AL$410)=FALSE,"",IF((('Dvd Calendar'!$AL$412=TYPE1)*(TYPE1&lt;&gt;"")+('Dvd Calendar'!$AL$412=TYPE2)*(TYPE2&lt;&gt;"")+('Dvd Calendar'!$AL$412=TYPE3)*(TYPE3&lt;&gt;"")+('Dvd Calendar'!$AL$412=TYPE4)*(TYPE4&lt;&gt;"")+('Dvd Calendar'!$AL$412=SPECIAL_LBL)*(INC_SPECIALS="Y"))=0,"",'Dvd Calendar'!$AL$410)))</f>
        <v/>
      </c>
      <c r="AK48" s="110">
        <f>IF(FM48="","",IF(ISNUMBER('Dvd Calendar'!$AM$410)=FALSE,"",IF((('Dvd Calendar'!$AM$412=TYPE1)*(TYPE1&lt;&gt;"")+('Dvd Calendar'!$AM$412=TYPE2)*(TYPE2&lt;&gt;"")+('Dvd Calendar'!$AM$412=TYPE3)*(TYPE3&lt;&gt;"")+('Dvd Calendar'!$AM$412=TYPE4)*(TYPE4&lt;&gt;"")+('Dvd Calendar'!$AM$412=SPECIAL_LBL)*(INC_SPECIALS="Y"))=0,"",'Dvd Calendar'!$AM$410)))</f>
        <v/>
      </c>
      <c r="AL48" s="110">
        <f>IF(FN48="","",IF(ISNUMBER('Dvd Calendar'!$AN$410)=FALSE,"",IF((('Dvd Calendar'!$AN$412=TYPE1)*(TYPE1&lt;&gt;"")+('Dvd Calendar'!$AN$412=TYPE2)*(TYPE2&lt;&gt;"")+('Dvd Calendar'!$AN$412=TYPE3)*(TYPE3&lt;&gt;"")+('Dvd Calendar'!$AN$412=TYPE4)*(TYPE4&lt;&gt;"")+('Dvd Calendar'!$AN$412=SPECIAL_LBL)*(INC_SPECIALS="Y"))=0,"",'Dvd Calendar'!$AN$410)))</f>
        <v/>
      </c>
      <c r="AM48" s="110">
        <f>IF(FO48="","",IF(ISNUMBER('Dvd Calendar'!$AO$410)=FALSE,"",IF((('Dvd Calendar'!$AO$412=TYPE1)*(TYPE1&lt;&gt;"")+('Dvd Calendar'!$AO$412=TYPE2)*(TYPE2&lt;&gt;"")+('Dvd Calendar'!$AO$412=TYPE3)*(TYPE3&lt;&gt;"")+('Dvd Calendar'!$AO$412=TYPE4)*(TYPE4&lt;&gt;"")+('Dvd Calendar'!$AO$412=SPECIAL_LBL)*(INC_SPECIALS="Y"))=0,"",'Dvd Calendar'!$AO$410)))</f>
        <v/>
      </c>
      <c r="AN48" s="110">
        <f>IF(FP48="","",IF(ISNUMBER('Dvd Calendar'!$AP$410)=FALSE,"",IF((('Dvd Calendar'!$AP$412=TYPE1)*(TYPE1&lt;&gt;"")+('Dvd Calendar'!$AP$412=TYPE2)*(TYPE2&lt;&gt;"")+('Dvd Calendar'!$AP$412=TYPE3)*(TYPE3&lt;&gt;"")+('Dvd Calendar'!$AP$412=TYPE4)*(TYPE4&lt;&gt;"")+('Dvd Calendar'!$AP$412=SPECIAL_LBL)*(INC_SPECIALS="Y"))=0,"",'Dvd Calendar'!$AP$410)))</f>
        <v/>
      </c>
      <c r="AO48" s="110">
        <f>IF(FQ48="","",IF(ISNUMBER('Dvd Calendar'!$AQ$410)=FALSE,"",IF((('Dvd Calendar'!$AQ$412=TYPE1)*(TYPE1&lt;&gt;"")+('Dvd Calendar'!$AQ$412=TYPE2)*(TYPE2&lt;&gt;"")+('Dvd Calendar'!$AQ$412=TYPE3)*(TYPE3&lt;&gt;"")+('Dvd Calendar'!$AQ$412=TYPE4)*(TYPE4&lt;&gt;"")+('Dvd Calendar'!$AQ$412=SPECIAL_LBL)*(INC_SPECIALS="Y"))=0,"",'Dvd Calendar'!$AQ$410)))</f>
        <v/>
      </c>
      <c r="AP48" s="110">
        <f>IF(FR48="","",IF(ISNUMBER('Dvd Calendar'!$AR$410)=FALSE,"",IF((('Dvd Calendar'!$AR$412=TYPE1)*(TYPE1&lt;&gt;"")+('Dvd Calendar'!$AR$412=TYPE2)*(TYPE2&lt;&gt;"")+('Dvd Calendar'!$AR$412=TYPE3)*(TYPE3&lt;&gt;"")+('Dvd Calendar'!$AR$412=TYPE4)*(TYPE4&lt;&gt;"")+('Dvd Calendar'!$AR$412=SPECIAL_LBL)*(INC_SPECIALS="Y"))=0,"",'Dvd Calendar'!$AR$410)))</f>
        <v/>
      </c>
      <c r="AQ48" s="110">
        <f>IF(FS48="","",IF(ISNUMBER('Dvd Calendar'!$E$415)=FALSE,"",'Dvd Calendar'!$E$415))</f>
        <v/>
      </c>
      <c r="AR48" s="110">
        <f>IF(FT48="","",IF(ISNUMBER('Dvd Calendar'!$F$415)=FALSE,"",'Dvd Calendar'!$F$415))</f>
        <v/>
      </c>
      <c r="AS48" s="110">
        <f>IF(FU48="","",IF(ISNUMBER('Dvd Calendar'!$G$415)=FALSE,"",'Dvd Calendar'!$G$415))</f>
        <v/>
      </c>
      <c r="AT48" s="110">
        <f>IF(FV48="","",IF(ISNUMBER('Dvd Calendar'!$H$415)=FALSE,"",'Dvd Calendar'!$H$415))</f>
        <v/>
      </c>
      <c r="AU48" s="110">
        <f>IF(FW48="","",IF(ISNUMBER('Dvd Calendar'!$I$415)=FALSE,"",'Dvd Calendar'!$I$415))</f>
        <v/>
      </c>
      <c r="AV48" s="110">
        <f>IF(FX48="","",IF(ISNUMBER('Dvd Calendar'!$J$415)=FALSE,"",'Dvd Calendar'!$J$415))</f>
        <v/>
      </c>
      <c r="AW48" s="110">
        <f>IF(FY48="","",IF(ISNUMBER('Dvd Calendar'!$K$415)=FALSE,"",'Dvd Calendar'!$K$415))</f>
        <v/>
      </c>
      <c r="AX48" s="110">
        <f>IF(FZ48="","",IF(ISNUMBER('Dvd Calendar'!$L$415)=FALSE,"",'Dvd Calendar'!$L$415))</f>
        <v/>
      </c>
      <c r="AY48" s="110">
        <f>IF(GA48="","",IF(ISNUMBER('Dvd Calendar'!$M$415)=FALSE,"",'Dvd Calendar'!$M$415))</f>
        <v/>
      </c>
      <c r="AZ48" s="110">
        <f>IF(GB48="","",IF(ISNUMBER('Dvd Calendar'!$N$415)=FALSE,"",'Dvd Calendar'!$N$415))</f>
        <v/>
      </c>
      <c r="BA48" s="110">
        <f>IF(GC48="","",IF(ISNUMBER('Dvd Calendar'!$O$415)=FALSE,"",'Dvd Calendar'!$O$415))</f>
        <v/>
      </c>
      <c r="BB48" s="110">
        <f>IF(GD48="","",IF(ISNUMBER('Dvd Calendar'!$P$415)=FALSE,"",'Dvd Calendar'!$P$415))</f>
        <v/>
      </c>
      <c r="BC48" s="110">
        <f>IF(GE48="","",IF(ISNUMBER('Dvd Calendar'!$Q$415)=FALSE,"",'Dvd Calendar'!$Q$415))</f>
        <v/>
      </c>
      <c r="BD48" s="110">
        <f>IF(GF48="","",IF(ISNUMBER('Dvd Calendar'!$R$415)=FALSE,"",'Dvd Calendar'!$R$415))</f>
        <v/>
      </c>
      <c r="BE48" s="110">
        <f>IF(GG48="","",IF(ISNUMBER('Dvd Calendar'!$S$415)=FALSE,"",'Dvd Calendar'!$S$415))</f>
        <v/>
      </c>
      <c r="BF48" s="110">
        <f>IF(GH48="","",IF(ISNUMBER('Dvd Calendar'!$T$415)=FALSE,"",'Dvd Calendar'!$T$415))</f>
        <v/>
      </c>
      <c r="BG48" s="110">
        <f>IF(GI48="","",IF(ISNUMBER('Dvd Calendar'!$U$415)=FALSE,"",'Dvd Calendar'!$U$415))</f>
        <v/>
      </c>
      <c r="BH48" s="110">
        <f>IF(GJ48="","",IF(ISNUMBER('Dvd Calendar'!$V$415)=FALSE,"",'Dvd Calendar'!$V$415))</f>
        <v/>
      </c>
      <c r="BI48" s="110">
        <f>IF(GK48="","",IF(ISNUMBER('Dvd Calendar'!$W$415)=FALSE,"",'Dvd Calendar'!$W$415))</f>
        <v/>
      </c>
      <c r="BJ48" s="110">
        <f>IF(GL48="","",IF(ISNUMBER('Dvd Calendar'!$X$415)=FALSE,"",'Dvd Calendar'!$X$415))</f>
        <v/>
      </c>
      <c r="BK48" s="110">
        <f>IF(GM48="","",IF(ISNUMBER('Dvd Calendar'!$Y$415)=FALSE,"",'Dvd Calendar'!$Y$415))</f>
        <v/>
      </c>
      <c r="BL48" s="110">
        <f>IF(GN48="","",IF(ISNUMBER('Dvd Calendar'!$Z$415)=FALSE,"",'Dvd Calendar'!$Z$415))</f>
        <v/>
      </c>
      <c r="BM48" s="110">
        <f>IF(GO48="","",IF(ISNUMBER('Dvd Calendar'!$AA$415)=FALSE,"",'Dvd Calendar'!$AA$415))</f>
        <v/>
      </c>
      <c r="BN48" s="110">
        <f>IF(GP48="","",IF(ISNUMBER('Dvd Calendar'!$AB$415)=FALSE,"",'Dvd Calendar'!$AB$415))</f>
        <v/>
      </c>
      <c r="BO48" s="110">
        <f>IF(GQ48="","",IF(ISNUMBER('Dvd Calendar'!$AC$415)=FALSE,"",'Dvd Calendar'!$AC$415))</f>
        <v/>
      </c>
      <c r="BQ48" s="110">
        <f>IF(C48="","",IFERROR(C48*HSI!$B$43*HSI!$G$43/HSI!$B$3,""))</f>
        <v/>
      </c>
      <c r="BR48" s="110">
        <f>IF(D48="","",IFERROR(D48*HSI!$B$43*HSI!$G$43/HSI!$B$3,""))</f>
        <v/>
      </c>
      <c r="BS48" s="110">
        <f>IF(E48="","",IFERROR(E48*HSI!$B$43*HSI!$G$43/HSI!$B$3,""))</f>
        <v/>
      </c>
      <c r="BT48" s="110">
        <f>IF(F48="","",IFERROR(F48*HSI!$B$43*HSI!$G$43/HSI!$B$3,""))</f>
        <v/>
      </c>
      <c r="BU48" s="110">
        <f>IF(G48="","",IFERROR(G48*HSI!$B$43*HSI!$G$43/HSI!$B$3,""))</f>
        <v/>
      </c>
      <c r="BV48" s="110">
        <f>IF(H48="","",IFERROR(H48*HSI!$B$43*HSI!$G$43/HSI!$B$3,""))</f>
        <v/>
      </c>
      <c r="BW48" s="110">
        <f>IF(I48="","",IFERROR(I48*HSI!$B$43*HSI!$G$43/HSI!$B$3,""))</f>
        <v/>
      </c>
      <c r="BX48" s="110">
        <f>IF(J48="","",IFERROR(J48*HSI!$B$43*HSI!$G$43/HSI!$B$3,""))</f>
        <v/>
      </c>
      <c r="BY48" s="110">
        <f>IF(K48="","",IFERROR(K48*HSI!$B$43*HSI!$G$43/HSI!$B$3,""))</f>
        <v/>
      </c>
      <c r="BZ48" s="110">
        <f>IF(L48="","",IFERROR(L48*HSI!$B$43*HSI!$G$43/HSI!$B$3,""))</f>
        <v/>
      </c>
      <c r="CA48" s="110">
        <f>IF(M48="","",IFERROR(M48*HSI!$B$43*HSI!$G$43/HSI!$B$3,""))</f>
        <v/>
      </c>
      <c r="CB48" s="110">
        <f>IF(N48="","",IFERROR(N48*HSI!$B$43*HSI!$G$43/HSI!$B$3,""))</f>
        <v/>
      </c>
      <c r="CC48" s="110">
        <f>IF(O48="","",IFERROR(O48*HSI!$B$43*HSI!$G$43/HSI!$B$3,""))</f>
        <v/>
      </c>
      <c r="CD48" s="110">
        <f>IF(P48="","",IFERROR(P48*HSI!$B$43*HSI!$G$43/HSI!$B$3,""))</f>
        <v/>
      </c>
      <c r="CE48" s="110">
        <f>IF(Q48="","",IFERROR(Q48*HSI!$B$43*HSI!$G$43/HSI!$B$3,""))</f>
        <v/>
      </c>
      <c r="CF48" s="110">
        <f>IF(R48="","",IFERROR(R48*HSI!$B$43*HSI!$G$43/HSI!$B$3,""))</f>
        <v/>
      </c>
      <c r="CG48" s="110">
        <f>IF(S48="","",IFERROR(S48*HSI!$B$43*HSI!$G$43/HSI!$B$3,""))</f>
        <v/>
      </c>
      <c r="CH48" s="110">
        <f>IF(T48="","",IFERROR(T48*HSI!$B$43*HSI!$G$43/HSI!$B$3,""))</f>
        <v/>
      </c>
      <c r="CI48" s="110">
        <f>IF(U48="","",IFERROR(U48*HSI!$B$43*HSI!$G$43/HSI!$B$3,""))</f>
        <v/>
      </c>
      <c r="CJ48" s="110">
        <f>IF(V48="","",IFERROR(V48*HSI!$B$43*HSI!$G$43/HSI!$B$3,""))</f>
        <v/>
      </c>
      <c r="CK48" s="110">
        <f>IF(W48="","",IFERROR(W48*HSI!$B$43*HSI!$G$43/HSI!$B$3,""))</f>
        <v/>
      </c>
      <c r="CL48" s="110">
        <f>IF(X48="","",IFERROR(X48*HSI!$B$43*HSI!$G$43/HSI!$B$3,""))</f>
        <v/>
      </c>
      <c r="CM48" s="110">
        <f>IF(Y48="","",IFERROR(Y48*HSI!$B$43*HSI!$G$43/HSI!$B$3,""))</f>
        <v/>
      </c>
      <c r="CN48" s="110">
        <f>IF(Z48="","",IFERROR(Z48*HSI!$B$43*HSI!$G$43/HSI!$B$3,""))</f>
        <v/>
      </c>
      <c r="CO48" s="110">
        <f>IF(AA48="","",IFERROR(AA48*HSI!$B$43*HSI!$G$43/HSI!$B$3,""))</f>
        <v/>
      </c>
      <c r="CP48" s="110">
        <f>IF(AB48="","",IFERROR(AB48*HSI!$B$43*HSI!$G$43/HSI!$B$3,""))</f>
        <v/>
      </c>
      <c r="CQ48" s="110">
        <f>IF(AC48="","",IFERROR(AC48*HSI!$B$43*HSI!$G$43/HSI!$B$3,""))</f>
        <v/>
      </c>
      <c r="CR48" s="110">
        <f>IF(AD48="","",IFERROR(AD48*HSI!$B$43*HSI!$G$43/HSI!$B$3,""))</f>
        <v/>
      </c>
      <c r="CS48" s="110">
        <f>IF(AE48="","",IFERROR(AE48*HSI!$B$43*HSI!$G$43/HSI!$B$3,""))</f>
        <v/>
      </c>
      <c r="CT48" s="110">
        <f>IF(AF48="","",IFERROR(AF48*HSI!$B$43*HSI!$G$43/HSI!$B$3,""))</f>
        <v/>
      </c>
      <c r="CU48" s="110">
        <f>IF(AG48="","",IFERROR(AG48*HSI!$B$43*HSI!$G$43/HSI!$B$3,""))</f>
        <v/>
      </c>
      <c r="CV48" s="110">
        <f>IF(AH48="","",IFERROR(AH48*HSI!$B$43*HSI!$G$43/HSI!$B$3,""))</f>
        <v/>
      </c>
      <c r="CW48" s="110">
        <f>IF(AI48="","",IFERROR(AI48*HSI!$B$43*HSI!$G$43/HSI!$B$3,""))</f>
        <v/>
      </c>
      <c r="CX48" s="110">
        <f>IF(AJ48="","",IFERROR(AJ48*HSI!$B$43*HSI!$G$43/HSI!$B$3,""))</f>
        <v/>
      </c>
      <c r="CY48" s="110">
        <f>IF(AK48="","",IFERROR(AK48*HSI!$B$43*HSI!$G$43/HSI!$B$3,""))</f>
        <v/>
      </c>
      <c r="CZ48" s="110">
        <f>IF(AL48="","",IFERROR(AL48*HSI!$B$43*HSI!$G$43/HSI!$B$3,""))</f>
        <v/>
      </c>
      <c r="DA48" s="110">
        <f>IF(AM48="","",IFERROR(AM48*HSI!$B$43*HSI!$G$43/HSI!$B$3,""))</f>
        <v/>
      </c>
      <c r="DB48" s="110">
        <f>IF(AN48="","",IFERROR(AN48*HSI!$B$43*HSI!$G$43/HSI!$B$3,""))</f>
        <v/>
      </c>
      <c r="DC48" s="110">
        <f>IF(AO48="","",IFERROR(AO48*HSI!$B$43*HSI!$G$43/HSI!$B$3,""))</f>
        <v/>
      </c>
      <c r="DD48" s="110">
        <f>IF(AP48="","",IFERROR(AP48*HSI!$B$43*HSI!$G$43/HSI!$B$3,""))</f>
        <v/>
      </c>
      <c r="DE48" s="110">
        <f>IF(AQ48="","",IFERROR(AQ48*HSI!$B$43*HSI!$G$43/HSI!$B$3,""))</f>
        <v/>
      </c>
      <c r="DF48" s="110">
        <f>IF(AR48="","",IFERROR(AR48*HSI!$B$43*HSI!$G$43/HSI!$B$3,""))</f>
        <v/>
      </c>
      <c r="DG48" s="110">
        <f>IF(AS48="","",IFERROR(AS48*HSI!$B$43*HSI!$G$43/HSI!$B$3,""))</f>
        <v/>
      </c>
      <c r="DH48" s="110">
        <f>IF(AT48="","",IFERROR(AT48*HSI!$B$43*HSI!$G$43/HSI!$B$3,""))</f>
        <v/>
      </c>
      <c r="DI48" s="110">
        <f>IF(AU48="","",IFERROR(AU48*HSI!$B$43*HSI!$G$43/HSI!$B$3,""))</f>
        <v/>
      </c>
      <c r="DJ48" s="110">
        <f>IF(AV48="","",IFERROR(AV48*HSI!$B$43*HSI!$G$43/HSI!$B$3,""))</f>
        <v/>
      </c>
      <c r="DK48" s="110">
        <f>IF(AW48="","",IFERROR(AW48*HSI!$B$43*HSI!$G$43/HSI!$B$3,""))</f>
        <v/>
      </c>
      <c r="DL48" s="110">
        <f>IF(AX48="","",IFERROR(AX48*HSI!$B$43*HSI!$G$43/HSI!$B$3,""))</f>
        <v/>
      </c>
      <c r="DM48" s="110">
        <f>IF(AY48="","",IFERROR(AY48*HSI!$B$43*HSI!$G$43/HSI!$B$3,""))</f>
        <v/>
      </c>
      <c r="DN48" s="110">
        <f>IF(AZ48="","",IFERROR(AZ48*HSI!$B$43*HSI!$G$43/HSI!$B$3,""))</f>
        <v/>
      </c>
      <c r="DO48" s="110">
        <f>IF(BA48="","",IFERROR(BA48*HSI!$B$43*HSI!$G$43/HSI!$B$3,""))</f>
        <v/>
      </c>
      <c r="DP48" s="110">
        <f>IF(BB48="","",IFERROR(BB48*HSI!$B$43*HSI!$G$43/HSI!$B$3,""))</f>
        <v/>
      </c>
      <c r="DQ48" s="110">
        <f>IF(BC48="","",IFERROR(BC48*HSI!$B$43*HSI!$G$43/HSI!$B$3,""))</f>
        <v/>
      </c>
      <c r="DR48" s="110">
        <f>IF(BD48="","",IFERROR(BD48*HSI!$B$43*HSI!$G$43/HSI!$B$3,""))</f>
        <v/>
      </c>
      <c r="DS48" s="110">
        <f>IF(BE48="","",IFERROR(BE48*HSI!$B$43*HSI!$G$43/HSI!$B$3,""))</f>
        <v/>
      </c>
      <c r="DT48" s="110">
        <f>IF(BF48="","",IFERROR(BF48*HSI!$B$43*HSI!$G$43/HSI!$B$3,""))</f>
        <v/>
      </c>
      <c r="DU48" s="110">
        <f>IF(BG48="","",IFERROR(BG48*HSI!$B$43*HSI!$G$43/HSI!$B$3,""))</f>
        <v/>
      </c>
      <c r="DV48" s="110">
        <f>IF(BH48="","",IFERROR(BH48*HSI!$B$43*HSI!$G$43/HSI!$B$3,""))</f>
        <v/>
      </c>
      <c r="DW48" s="110">
        <f>IF(BI48="","",IFERROR(BI48*HSI!$B$43*HSI!$G$43/HSI!$B$3,""))</f>
        <v/>
      </c>
      <c r="DX48" s="110">
        <f>IF(BJ48="","",IFERROR(BJ48*HSI!$B$43*HSI!$G$43/HSI!$B$3,""))</f>
        <v/>
      </c>
      <c r="DY48" s="110">
        <f>IF(BK48="","",IFERROR(BK48*HSI!$B$43*HSI!$G$43/HSI!$B$3,""))</f>
        <v/>
      </c>
      <c r="DZ48" s="110">
        <f>IF(BL48="","",IFERROR(BL48*HSI!$B$43*HSI!$G$43/HSI!$B$3,""))</f>
        <v/>
      </c>
      <c r="EA48" s="110">
        <f>IF(BM48="","",IFERROR(BM48*HSI!$B$43*HSI!$G$43/HSI!$B$3,""))</f>
        <v/>
      </c>
      <c r="EB48" s="110">
        <f>IF(BN48="","",IFERROR(BN48*HSI!$B$43*HSI!$G$43/HSI!$B$3,""))</f>
        <v/>
      </c>
      <c r="EC48" s="110">
        <f>IF(BO48="","",IFERROR(BO48*HSI!$B$43*HSI!$G$43/HSI!$B$3,""))</f>
        <v/>
      </c>
      <c r="EE48" s="39">
        <f>IF(N('Dvd Calendar'!$E$407)=0,"",IF(('Dvd Calendar'!$E$407&gt;=GRID_FROM)*('Dvd Calendar'!$E$407&lt;=GRID_TO)*((('Dvd Calendar'!$E$407&lt;=VAL_DATE)+(COUNTIF('Dvd Calendar'!$E$414:$AR$414,'Dvd Calendar'!$E$407)=0))&gt;0)=0,"",'Dvd Calendar'!$E$407*1000000000+ISNUMBER('Dvd Calendar'!$E$410)*100000000+('Dvd Calendar'!$E$412=SPECIAL_LBL)*10000000+(N('Dvd Calendar'!$E$406)&gt;0)*(N('Dvd Calendar'!$E$406)&lt;=VAL_SERIAL)*1000000+37*1000+1))</f>
        <v/>
      </c>
      <c r="EF48" s="39">
        <f>IF(N('Dvd Calendar'!$F$407)=0,"",IF(('Dvd Calendar'!$F$407&gt;=GRID_FROM)*('Dvd Calendar'!$F$407&lt;=GRID_TO)*((('Dvd Calendar'!$F$407&lt;=VAL_DATE)+(COUNTIF('Dvd Calendar'!$E$414:$AR$414,'Dvd Calendar'!$F$407)=0))&gt;0)=0,"",'Dvd Calendar'!$F$407*1000000000+ISNUMBER('Dvd Calendar'!$F$410)*100000000+('Dvd Calendar'!$F$412=SPECIAL_LBL)*10000000+(N('Dvd Calendar'!$F$406)&gt;0)*(N('Dvd Calendar'!$F$406)&lt;=VAL_SERIAL)*1000000+37*1000+2))</f>
        <v/>
      </c>
      <c r="EG48" s="39">
        <f>IF(N('Dvd Calendar'!$G$407)=0,"",IF(('Dvd Calendar'!$G$407&gt;=GRID_FROM)*('Dvd Calendar'!$G$407&lt;=GRID_TO)*((('Dvd Calendar'!$G$407&lt;=VAL_DATE)+(COUNTIF('Dvd Calendar'!$E$414:$AR$414,'Dvd Calendar'!$G$407)=0))&gt;0)=0,"",'Dvd Calendar'!$G$407*1000000000+ISNUMBER('Dvd Calendar'!$G$410)*100000000+('Dvd Calendar'!$G$412=SPECIAL_LBL)*10000000+(N('Dvd Calendar'!$G$406)&gt;0)*(N('Dvd Calendar'!$G$406)&lt;=VAL_SERIAL)*1000000+37*1000+3))</f>
        <v/>
      </c>
      <c r="EH48" s="39">
        <f>IF(N('Dvd Calendar'!$H$407)=0,"",IF(('Dvd Calendar'!$H$407&gt;=GRID_FROM)*('Dvd Calendar'!$H$407&lt;=GRID_TO)*((('Dvd Calendar'!$H$407&lt;=VAL_DATE)+(COUNTIF('Dvd Calendar'!$E$414:$AR$414,'Dvd Calendar'!$H$407)=0))&gt;0)=0,"",'Dvd Calendar'!$H$407*1000000000+ISNUMBER('Dvd Calendar'!$H$410)*100000000+('Dvd Calendar'!$H$412=SPECIAL_LBL)*10000000+(N('Dvd Calendar'!$H$406)&gt;0)*(N('Dvd Calendar'!$H$406)&lt;=VAL_SERIAL)*1000000+37*1000+4))</f>
        <v/>
      </c>
      <c r="EI48" s="39">
        <f>IF(N('Dvd Calendar'!$I$407)=0,"",IF(('Dvd Calendar'!$I$407&gt;=GRID_FROM)*('Dvd Calendar'!$I$407&lt;=GRID_TO)*((('Dvd Calendar'!$I$407&lt;=VAL_DATE)+(COUNTIF('Dvd Calendar'!$E$414:$AR$414,'Dvd Calendar'!$I$407)=0))&gt;0)=0,"",'Dvd Calendar'!$I$407*1000000000+ISNUMBER('Dvd Calendar'!$I$410)*100000000+('Dvd Calendar'!$I$412=SPECIAL_LBL)*10000000+(N('Dvd Calendar'!$I$406)&gt;0)*(N('Dvd Calendar'!$I$406)&lt;=VAL_SERIAL)*1000000+37*1000+5))</f>
        <v/>
      </c>
      <c r="EJ48" s="39">
        <f>IF(N('Dvd Calendar'!$J$407)=0,"",IF(('Dvd Calendar'!$J$407&gt;=GRID_FROM)*('Dvd Calendar'!$J$407&lt;=GRID_TO)*((('Dvd Calendar'!$J$407&lt;=VAL_DATE)+(COUNTIF('Dvd Calendar'!$E$414:$AR$414,'Dvd Calendar'!$J$407)=0))&gt;0)=0,"",'Dvd Calendar'!$J$407*1000000000+ISNUMBER('Dvd Calendar'!$J$410)*100000000+('Dvd Calendar'!$J$412=SPECIAL_LBL)*10000000+(N('Dvd Calendar'!$J$406)&gt;0)*(N('Dvd Calendar'!$J$406)&lt;=VAL_SERIAL)*1000000+37*1000+6))</f>
        <v/>
      </c>
      <c r="EK48" s="39">
        <f>IF(N('Dvd Calendar'!$K$407)=0,"",IF(('Dvd Calendar'!$K$407&gt;=GRID_FROM)*('Dvd Calendar'!$K$407&lt;=GRID_TO)*((('Dvd Calendar'!$K$407&lt;=VAL_DATE)+(COUNTIF('Dvd Calendar'!$E$414:$AR$414,'Dvd Calendar'!$K$407)=0))&gt;0)=0,"",'Dvd Calendar'!$K$407*1000000000+ISNUMBER('Dvd Calendar'!$K$410)*100000000+('Dvd Calendar'!$K$412=SPECIAL_LBL)*10000000+(N('Dvd Calendar'!$K$406)&gt;0)*(N('Dvd Calendar'!$K$406)&lt;=VAL_SERIAL)*1000000+37*1000+7))</f>
        <v/>
      </c>
      <c r="EL48" s="39">
        <f>IF(N('Dvd Calendar'!$L$407)=0,"",IF(('Dvd Calendar'!$L$407&gt;=GRID_FROM)*('Dvd Calendar'!$L$407&lt;=GRID_TO)*((('Dvd Calendar'!$L$407&lt;=VAL_DATE)+(COUNTIF('Dvd Calendar'!$E$414:$AR$414,'Dvd Calendar'!$L$407)=0))&gt;0)=0,"",'Dvd Calendar'!$L$407*1000000000+ISNUMBER('Dvd Calendar'!$L$410)*100000000+('Dvd Calendar'!$L$412=SPECIAL_LBL)*10000000+(N('Dvd Calendar'!$L$406)&gt;0)*(N('Dvd Calendar'!$L$406)&lt;=VAL_SERIAL)*1000000+37*1000+8))</f>
        <v/>
      </c>
      <c r="EM48" s="39">
        <f>IF(N('Dvd Calendar'!$M$407)=0,"",IF(('Dvd Calendar'!$M$407&gt;=GRID_FROM)*('Dvd Calendar'!$M$407&lt;=GRID_TO)*((('Dvd Calendar'!$M$407&lt;=VAL_DATE)+(COUNTIF('Dvd Calendar'!$E$414:$AR$414,'Dvd Calendar'!$M$407)=0))&gt;0)=0,"",'Dvd Calendar'!$M$407*1000000000+ISNUMBER('Dvd Calendar'!$M$410)*100000000+('Dvd Calendar'!$M$412=SPECIAL_LBL)*10000000+(N('Dvd Calendar'!$M$406)&gt;0)*(N('Dvd Calendar'!$M$406)&lt;=VAL_SERIAL)*1000000+37*1000+9))</f>
        <v/>
      </c>
      <c r="EN48" s="39">
        <f>IF(N('Dvd Calendar'!$N$407)=0,"",IF(('Dvd Calendar'!$N$407&gt;=GRID_FROM)*('Dvd Calendar'!$N$407&lt;=GRID_TO)*((('Dvd Calendar'!$N$407&lt;=VAL_DATE)+(COUNTIF('Dvd Calendar'!$E$414:$AR$414,'Dvd Calendar'!$N$407)=0))&gt;0)=0,"",'Dvd Calendar'!$N$407*1000000000+ISNUMBER('Dvd Calendar'!$N$410)*100000000+('Dvd Calendar'!$N$412=SPECIAL_LBL)*10000000+(N('Dvd Calendar'!$N$406)&gt;0)*(N('Dvd Calendar'!$N$406)&lt;=VAL_SERIAL)*1000000+37*1000+10))</f>
        <v/>
      </c>
      <c r="EO48" s="39">
        <f>IF(N('Dvd Calendar'!$O$407)=0,"",IF(('Dvd Calendar'!$O$407&gt;=GRID_FROM)*('Dvd Calendar'!$O$407&lt;=GRID_TO)*((('Dvd Calendar'!$O$407&lt;=VAL_DATE)+(COUNTIF('Dvd Calendar'!$E$414:$AR$414,'Dvd Calendar'!$O$407)=0))&gt;0)=0,"",'Dvd Calendar'!$O$407*1000000000+ISNUMBER('Dvd Calendar'!$O$410)*100000000+('Dvd Calendar'!$O$412=SPECIAL_LBL)*10000000+(N('Dvd Calendar'!$O$406)&gt;0)*(N('Dvd Calendar'!$O$406)&lt;=VAL_SERIAL)*1000000+37*1000+11))</f>
        <v/>
      </c>
      <c r="EP48" s="39">
        <f>IF(N('Dvd Calendar'!$P$407)=0,"",IF(('Dvd Calendar'!$P$407&gt;=GRID_FROM)*('Dvd Calendar'!$P$407&lt;=GRID_TO)*((('Dvd Calendar'!$P$407&lt;=VAL_DATE)+(COUNTIF('Dvd Calendar'!$E$414:$AR$414,'Dvd Calendar'!$P$407)=0))&gt;0)=0,"",'Dvd Calendar'!$P$407*1000000000+ISNUMBER('Dvd Calendar'!$P$410)*100000000+('Dvd Calendar'!$P$412=SPECIAL_LBL)*10000000+(N('Dvd Calendar'!$P$406)&gt;0)*(N('Dvd Calendar'!$P$406)&lt;=VAL_SERIAL)*1000000+37*1000+12))</f>
        <v/>
      </c>
      <c r="EQ48" s="39">
        <f>IF(N('Dvd Calendar'!$Q$407)=0,"",IF(('Dvd Calendar'!$Q$407&gt;=GRID_FROM)*('Dvd Calendar'!$Q$407&lt;=GRID_TO)*((('Dvd Calendar'!$Q$407&lt;=VAL_DATE)+(COUNTIF('Dvd Calendar'!$E$414:$AR$414,'Dvd Calendar'!$Q$407)=0))&gt;0)=0,"",'Dvd Calendar'!$Q$407*1000000000+ISNUMBER('Dvd Calendar'!$Q$410)*100000000+('Dvd Calendar'!$Q$412=SPECIAL_LBL)*10000000+(N('Dvd Calendar'!$Q$406)&gt;0)*(N('Dvd Calendar'!$Q$406)&lt;=VAL_SERIAL)*1000000+37*1000+13))</f>
        <v/>
      </c>
      <c r="ER48" s="39">
        <f>IF(N('Dvd Calendar'!$R$407)=0,"",IF(('Dvd Calendar'!$R$407&gt;=GRID_FROM)*('Dvd Calendar'!$R$407&lt;=GRID_TO)*((('Dvd Calendar'!$R$407&lt;=VAL_DATE)+(COUNTIF('Dvd Calendar'!$E$414:$AR$414,'Dvd Calendar'!$R$407)=0))&gt;0)=0,"",'Dvd Calendar'!$R$407*1000000000+ISNUMBER('Dvd Calendar'!$R$410)*100000000+('Dvd Calendar'!$R$412=SPECIAL_LBL)*10000000+(N('Dvd Calendar'!$R$406)&gt;0)*(N('Dvd Calendar'!$R$406)&lt;=VAL_SERIAL)*1000000+37*1000+14))</f>
        <v/>
      </c>
      <c r="ES48" s="39">
        <f>IF(N('Dvd Calendar'!$S$407)=0,"",IF(('Dvd Calendar'!$S$407&gt;=GRID_FROM)*('Dvd Calendar'!$S$407&lt;=GRID_TO)*((('Dvd Calendar'!$S$407&lt;=VAL_DATE)+(COUNTIF('Dvd Calendar'!$E$414:$AR$414,'Dvd Calendar'!$S$407)=0))&gt;0)=0,"",'Dvd Calendar'!$S$407*1000000000+ISNUMBER('Dvd Calendar'!$S$410)*100000000+('Dvd Calendar'!$S$412=SPECIAL_LBL)*10000000+(N('Dvd Calendar'!$S$406)&gt;0)*(N('Dvd Calendar'!$S$406)&lt;=VAL_SERIAL)*1000000+37*1000+15))</f>
        <v/>
      </c>
      <c r="ET48" s="39">
        <f>IF(N('Dvd Calendar'!$T$407)=0,"",IF(('Dvd Calendar'!$T$407&gt;=GRID_FROM)*('Dvd Calendar'!$T$407&lt;=GRID_TO)*((('Dvd Calendar'!$T$407&lt;=VAL_DATE)+(COUNTIF('Dvd Calendar'!$E$414:$AR$414,'Dvd Calendar'!$T$407)=0))&gt;0)=0,"",'Dvd Calendar'!$T$407*1000000000+ISNUMBER('Dvd Calendar'!$T$410)*100000000+('Dvd Calendar'!$T$412=SPECIAL_LBL)*10000000+(N('Dvd Calendar'!$T$406)&gt;0)*(N('Dvd Calendar'!$T$406)&lt;=VAL_SERIAL)*1000000+37*1000+16))</f>
        <v/>
      </c>
      <c r="EU48" s="39">
        <f>IF(N('Dvd Calendar'!$U$407)=0,"",IF(('Dvd Calendar'!$U$407&gt;=GRID_FROM)*('Dvd Calendar'!$U$407&lt;=GRID_TO)*((('Dvd Calendar'!$U$407&lt;=VAL_DATE)+(COUNTIF('Dvd Calendar'!$E$414:$AR$414,'Dvd Calendar'!$U$407)=0))&gt;0)=0,"",'Dvd Calendar'!$U$407*1000000000+ISNUMBER('Dvd Calendar'!$U$410)*100000000+('Dvd Calendar'!$U$412=SPECIAL_LBL)*10000000+(N('Dvd Calendar'!$U$406)&gt;0)*(N('Dvd Calendar'!$U$406)&lt;=VAL_SERIAL)*1000000+37*1000+17))</f>
        <v/>
      </c>
      <c r="EV48" s="39">
        <f>IF(N('Dvd Calendar'!$V$407)=0,"",IF(('Dvd Calendar'!$V$407&gt;=GRID_FROM)*('Dvd Calendar'!$V$407&lt;=GRID_TO)*((('Dvd Calendar'!$V$407&lt;=VAL_DATE)+(COUNTIF('Dvd Calendar'!$E$414:$AR$414,'Dvd Calendar'!$V$407)=0))&gt;0)=0,"",'Dvd Calendar'!$V$407*1000000000+ISNUMBER('Dvd Calendar'!$V$410)*100000000+('Dvd Calendar'!$V$412=SPECIAL_LBL)*10000000+(N('Dvd Calendar'!$V$406)&gt;0)*(N('Dvd Calendar'!$V$406)&lt;=VAL_SERIAL)*1000000+37*1000+18))</f>
        <v/>
      </c>
      <c r="EW48" s="39">
        <f>IF(N('Dvd Calendar'!$W$407)=0,"",IF(('Dvd Calendar'!$W$407&gt;=GRID_FROM)*('Dvd Calendar'!$W$407&lt;=GRID_TO)*((('Dvd Calendar'!$W$407&lt;=VAL_DATE)+(COUNTIF('Dvd Calendar'!$E$414:$AR$414,'Dvd Calendar'!$W$407)=0))&gt;0)=0,"",'Dvd Calendar'!$W$407*1000000000+ISNUMBER('Dvd Calendar'!$W$410)*100000000+('Dvd Calendar'!$W$412=SPECIAL_LBL)*10000000+(N('Dvd Calendar'!$W$406)&gt;0)*(N('Dvd Calendar'!$W$406)&lt;=VAL_SERIAL)*1000000+37*1000+19))</f>
        <v/>
      </c>
      <c r="EX48" s="39">
        <f>IF(N('Dvd Calendar'!$X$407)=0,"",IF(('Dvd Calendar'!$X$407&gt;=GRID_FROM)*('Dvd Calendar'!$X$407&lt;=GRID_TO)*((('Dvd Calendar'!$X$407&lt;=VAL_DATE)+(COUNTIF('Dvd Calendar'!$E$414:$AR$414,'Dvd Calendar'!$X$407)=0))&gt;0)=0,"",'Dvd Calendar'!$X$407*1000000000+ISNUMBER('Dvd Calendar'!$X$410)*100000000+('Dvd Calendar'!$X$412=SPECIAL_LBL)*10000000+(N('Dvd Calendar'!$X$406)&gt;0)*(N('Dvd Calendar'!$X$406)&lt;=VAL_SERIAL)*1000000+37*1000+20))</f>
        <v/>
      </c>
      <c r="EY48" s="39">
        <f>IF(N('Dvd Calendar'!$Y$407)=0,"",IF(('Dvd Calendar'!$Y$407&gt;=GRID_FROM)*('Dvd Calendar'!$Y$407&lt;=GRID_TO)*((('Dvd Calendar'!$Y$407&lt;=VAL_DATE)+(COUNTIF('Dvd Calendar'!$E$414:$AR$414,'Dvd Calendar'!$Y$407)=0))&gt;0)=0,"",'Dvd Calendar'!$Y$407*1000000000+ISNUMBER('Dvd Calendar'!$Y$410)*100000000+('Dvd Calendar'!$Y$412=SPECIAL_LBL)*10000000+(N('Dvd Calendar'!$Y$406)&gt;0)*(N('Dvd Calendar'!$Y$406)&lt;=VAL_SERIAL)*1000000+37*1000+21))</f>
        <v/>
      </c>
      <c r="EZ48" s="39">
        <f>IF(N('Dvd Calendar'!$Z$407)=0,"",IF(('Dvd Calendar'!$Z$407&gt;=GRID_FROM)*('Dvd Calendar'!$Z$407&lt;=GRID_TO)*((('Dvd Calendar'!$Z$407&lt;=VAL_DATE)+(COUNTIF('Dvd Calendar'!$E$414:$AR$414,'Dvd Calendar'!$Z$407)=0))&gt;0)=0,"",'Dvd Calendar'!$Z$407*1000000000+ISNUMBER('Dvd Calendar'!$Z$410)*100000000+('Dvd Calendar'!$Z$412=SPECIAL_LBL)*10000000+(N('Dvd Calendar'!$Z$406)&gt;0)*(N('Dvd Calendar'!$Z$406)&lt;=VAL_SERIAL)*1000000+37*1000+22))</f>
        <v/>
      </c>
      <c r="FA48" s="39">
        <f>IF(N('Dvd Calendar'!$AA$407)=0,"",IF(('Dvd Calendar'!$AA$407&gt;=GRID_FROM)*('Dvd Calendar'!$AA$407&lt;=GRID_TO)*((('Dvd Calendar'!$AA$407&lt;=VAL_DATE)+(COUNTIF('Dvd Calendar'!$E$414:$AR$414,'Dvd Calendar'!$AA$407)=0))&gt;0)=0,"",'Dvd Calendar'!$AA$407*1000000000+ISNUMBER('Dvd Calendar'!$AA$410)*100000000+('Dvd Calendar'!$AA$412=SPECIAL_LBL)*10000000+(N('Dvd Calendar'!$AA$406)&gt;0)*(N('Dvd Calendar'!$AA$406)&lt;=VAL_SERIAL)*1000000+37*1000+23))</f>
        <v/>
      </c>
      <c r="FB48" s="39">
        <f>IF(N('Dvd Calendar'!$AB$407)=0,"",IF(('Dvd Calendar'!$AB$407&gt;=GRID_FROM)*('Dvd Calendar'!$AB$407&lt;=GRID_TO)*((('Dvd Calendar'!$AB$407&lt;=VAL_DATE)+(COUNTIF('Dvd Calendar'!$E$414:$AR$414,'Dvd Calendar'!$AB$407)=0))&gt;0)=0,"",'Dvd Calendar'!$AB$407*1000000000+ISNUMBER('Dvd Calendar'!$AB$410)*100000000+('Dvd Calendar'!$AB$412=SPECIAL_LBL)*10000000+(N('Dvd Calendar'!$AB$406)&gt;0)*(N('Dvd Calendar'!$AB$406)&lt;=VAL_SERIAL)*1000000+37*1000+24))</f>
        <v/>
      </c>
      <c r="FC48" s="39">
        <f>IF(N('Dvd Calendar'!$AC$407)=0,"",IF(('Dvd Calendar'!$AC$407&gt;=GRID_FROM)*('Dvd Calendar'!$AC$407&lt;=GRID_TO)*((('Dvd Calendar'!$AC$407&lt;=VAL_DATE)+(COUNTIF('Dvd Calendar'!$E$414:$AR$414,'Dvd Calendar'!$AC$407)=0))&gt;0)=0,"",'Dvd Calendar'!$AC$407*1000000000+ISNUMBER('Dvd Calendar'!$AC$410)*100000000+('Dvd Calendar'!$AC$412=SPECIAL_LBL)*10000000+(N('Dvd Calendar'!$AC$406)&gt;0)*(N('Dvd Calendar'!$AC$406)&lt;=VAL_SERIAL)*1000000+37*1000+25))</f>
        <v/>
      </c>
      <c r="FD48" s="39">
        <f>IF(N('Dvd Calendar'!$AD$407)=0,"",IF(('Dvd Calendar'!$AD$407&gt;=GRID_FROM)*('Dvd Calendar'!$AD$407&lt;=GRID_TO)*((('Dvd Calendar'!$AD$407&lt;=VAL_DATE)+(COUNTIF('Dvd Calendar'!$E$414:$AR$414,'Dvd Calendar'!$AD$407)=0))&gt;0)=0,"",'Dvd Calendar'!$AD$407*1000000000+ISNUMBER('Dvd Calendar'!$AD$410)*100000000+('Dvd Calendar'!$AD$412=SPECIAL_LBL)*10000000+(N('Dvd Calendar'!$AD$406)&gt;0)*(N('Dvd Calendar'!$AD$406)&lt;=VAL_SERIAL)*1000000+37*1000+26))</f>
        <v/>
      </c>
      <c r="FE48" s="39">
        <f>IF(N('Dvd Calendar'!$AE$407)=0,"",IF(('Dvd Calendar'!$AE$407&gt;=GRID_FROM)*('Dvd Calendar'!$AE$407&lt;=GRID_TO)*((('Dvd Calendar'!$AE$407&lt;=VAL_DATE)+(COUNTIF('Dvd Calendar'!$E$414:$AR$414,'Dvd Calendar'!$AE$407)=0))&gt;0)=0,"",'Dvd Calendar'!$AE$407*1000000000+ISNUMBER('Dvd Calendar'!$AE$410)*100000000+('Dvd Calendar'!$AE$412=SPECIAL_LBL)*10000000+(N('Dvd Calendar'!$AE$406)&gt;0)*(N('Dvd Calendar'!$AE$406)&lt;=VAL_SERIAL)*1000000+37*1000+27))</f>
        <v/>
      </c>
      <c r="FF48" s="39">
        <f>IF(N('Dvd Calendar'!$AF$407)=0,"",IF(('Dvd Calendar'!$AF$407&gt;=GRID_FROM)*('Dvd Calendar'!$AF$407&lt;=GRID_TO)*((('Dvd Calendar'!$AF$407&lt;=VAL_DATE)+(COUNTIF('Dvd Calendar'!$E$414:$AR$414,'Dvd Calendar'!$AF$407)=0))&gt;0)=0,"",'Dvd Calendar'!$AF$407*1000000000+ISNUMBER('Dvd Calendar'!$AF$410)*100000000+('Dvd Calendar'!$AF$412=SPECIAL_LBL)*10000000+(N('Dvd Calendar'!$AF$406)&gt;0)*(N('Dvd Calendar'!$AF$406)&lt;=VAL_SERIAL)*1000000+37*1000+28))</f>
        <v/>
      </c>
      <c r="FG48" s="39">
        <f>IF(N('Dvd Calendar'!$AG$407)=0,"",IF(('Dvd Calendar'!$AG$407&gt;=GRID_FROM)*('Dvd Calendar'!$AG$407&lt;=GRID_TO)*((('Dvd Calendar'!$AG$407&lt;=VAL_DATE)+(COUNTIF('Dvd Calendar'!$E$414:$AR$414,'Dvd Calendar'!$AG$407)=0))&gt;0)=0,"",'Dvd Calendar'!$AG$407*1000000000+ISNUMBER('Dvd Calendar'!$AG$410)*100000000+('Dvd Calendar'!$AG$412=SPECIAL_LBL)*10000000+(N('Dvd Calendar'!$AG$406)&gt;0)*(N('Dvd Calendar'!$AG$406)&lt;=VAL_SERIAL)*1000000+37*1000+29))</f>
        <v/>
      </c>
      <c r="FH48" s="39">
        <f>IF(N('Dvd Calendar'!$AH$407)=0,"",IF(('Dvd Calendar'!$AH$407&gt;=GRID_FROM)*('Dvd Calendar'!$AH$407&lt;=GRID_TO)*((('Dvd Calendar'!$AH$407&lt;=VAL_DATE)+(COUNTIF('Dvd Calendar'!$E$414:$AR$414,'Dvd Calendar'!$AH$407)=0))&gt;0)=0,"",'Dvd Calendar'!$AH$407*1000000000+ISNUMBER('Dvd Calendar'!$AH$410)*100000000+('Dvd Calendar'!$AH$412=SPECIAL_LBL)*10000000+(N('Dvd Calendar'!$AH$406)&gt;0)*(N('Dvd Calendar'!$AH$406)&lt;=VAL_SERIAL)*1000000+37*1000+30))</f>
        <v/>
      </c>
      <c r="FI48" s="39">
        <f>IF(N('Dvd Calendar'!$AI$407)=0,"",IF(('Dvd Calendar'!$AI$407&gt;=GRID_FROM)*('Dvd Calendar'!$AI$407&lt;=GRID_TO)*((('Dvd Calendar'!$AI$407&lt;=VAL_DATE)+(COUNTIF('Dvd Calendar'!$E$414:$AR$414,'Dvd Calendar'!$AI$407)=0))&gt;0)=0,"",'Dvd Calendar'!$AI$407*1000000000+ISNUMBER('Dvd Calendar'!$AI$410)*100000000+('Dvd Calendar'!$AI$412=SPECIAL_LBL)*10000000+(N('Dvd Calendar'!$AI$406)&gt;0)*(N('Dvd Calendar'!$AI$406)&lt;=VAL_SERIAL)*1000000+37*1000+31))</f>
        <v/>
      </c>
      <c r="FJ48" s="39">
        <f>IF(N('Dvd Calendar'!$AJ$407)=0,"",IF(('Dvd Calendar'!$AJ$407&gt;=GRID_FROM)*('Dvd Calendar'!$AJ$407&lt;=GRID_TO)*((('Dvd Calendar'!$AJ$407&lt;=VAL_DATE)+(COUNTIF('Dvd Calendar'!$E$414:$AR$414,'Dvd Calendar'!$AJ$407)=0))&gt;0)=0,"",'Dvd Calendar'!$AJ$407*1000000000+ISNUMBER('Dvd Calendar'!$AJ$410)*100000000+('Dvd Calendar'!$AJ$412=SPECIAL_LBL)*10000000+(N('Dvd Calendar'!$AJ$406)&gt;0)*(N('Dvd Calendar'!$AJ$406)&lt;=VAL_SERIAL)*1000000+37*1000+32))</f>
        <v/>
      </c>
      <c r="FK48" s="39">
        <f>IF(N('Dvd Calendar'!$AK$407)=0,"",IF(('Dvd Calendar'!$AK$407&gt;=GRID_FROM)*('Dvd Calendar'!$AK$407&lt;=GRID_TO)*((('Dvd Calendar'!$AK$407&lt;=VAL_DATE)+(COUNTIF('Dvd Calendar'!$E$414:$AR$414,'Dvd Calendar'!$AK$407)=0))&gt;0)=0,"",'Dvd Calendar'!$AK$407*1000000000+ISNUMBER('Dvd Calendar'!$AK$410)*100000000+('Dvd Calendar'!$AK$412=SPECIAL_LBL)*10000000+(N('Dvd Calendar'!$AK$406)&gt;0)*(N('Dvd Calendar'!$AK$406)&lt;=VAL_SERIAL)*1000000+37*1000+33))</f>
        <v/>
      </c>
      <c r="FL48" s="39">
        <f>IF(N('Dvd Calendar'!$AL$407)=0,"",IF(('Dvd Calendar'!$AL$407&gt;=GRID_FROM)*('Dvd Calendar'!$AL$407&lt;=GRID_TO)*((('Dvd Calendar'!$AL$407&lt;=VAL_DATE)+(COUNTIF('Dvd Calendar'!$E$414:$AR$414,'Dvd Calendar'!$AL$407)=0))&gt;0)=0,"",'Dvd Calendar'!$AL$407*1000000000+ISNUMBER('Dvd Calendar'!$AL$410)*100000000+('Dvd Calendar'!$AL$412=SPECIAL_LBL)*10000000+(N('Dvd Calendar'!$AL$406)&gt;0)*(N('Dvd Calendar'!$AL$406)&lt;=VAL_SERIAL)*1000000+37*1000+34))</f>
        <v/>
      </c>
      <c r="FM48" s="39">
        <f>IF(N('Dvd Calendar'!$AM$407)=0,"",IF(('Dvd Calendar'!$AM$407&gt;=GRID_FROM)*('Dvd Calendar'!$AM$407&lt;=GRID_TO)*((('Dvd Calendar'!$AM$407&lt;=VAL_DATE)+(COUNTIF('Dvd Calendar'!$E$414:$AR$414,'Dvd Calendar'!$AM$407)=0))&gt;0)=0,"",'Dvd Calendar'!$AM$407*1000000000+ISNUMBER('Dvd Calendar'!$AM$410)*100000000+('Dvd Calendar'!$AM$412=SPECIAL_LBL)*10000000+(N('Dvd Calendar'!$AM$406)&gt;0)*(N('Dvd Calendar'!$AM$406)&lt;=VAL_SERIAL)*1000000+37*1000+35))</f>
        <v/>
      </c>
      <c r="FN48" s="39">
        <f>IF(N('Dvd Calendar'!$AN$407)=0,"",IF(('Dvd Calendar'!$AN$407&gt;=GRID_FROM)*('Dvd Calendar'!$AN$407&lt;=GRID_TO)*((('Dvd Calendar'!$AN$407&lt;=VAL_DATE)+(COUNTIF('Dvd Calendar'!$E$414:$AR$414,'Dvd Calendar'!$AN$407)=0))&gt;0)=0,"",'Dvd Calendar'!$AN$407*1000000000+ISNUMBER('Dvd Calendar'!$AN$410)*100000000+('Dvd Calendar'!$AN$412=SPECIAL_LBL)*10000000+(N('Dvd Calendar'!$AN$406)&gt;0)*(N('Dvd Calendar'!$AN$406)&lt;=VAL_SERIAL)*1000000+37*1000+36))</f>
        <v/>
      </c>
      <c r="FO48" s="39">
        <f>IF(N('Dvd Calendar'!$AO$407)=0,"",IF(('Dvd Calendar'!$AO$407&gt;=GRID_FROM)*('Dvd Calendar'!$AO$407&lt;=GRID_TO)*((('Dvd Calendar'!$AO$407&lt;=VAL_DATE)+(COUNTIF('Dvd Calendar'!$E$414:$AR$414,'Dvd Calendar'!$AO$407)=0))&gt;0)=0,"",'Dvd Calendar'!$AO$407*1000000000+ISNUMBER('Dvd Calendar'!$AO$410)*100000000+('Dvd Calendar'!$AO$412=SPECIAL_LBL)*10000000+(N('Dvd Calendar'!$AO$406)&gt;0)*(N('Dvd Calendar'!$AO$406)&lt;=VAL_SERIAL)*1000000+37*1000+37))</f>
        <v/>
      </c>
      <c r="FP48" s="39">
        <f>IF(N('Dvd Calendar'!$AP$407)=0,"",IF(('Dvd Calendar'!$AP$407&gt;=GRID_FROM)*('Dvd Calendar'!$AP$407&lt;=GRID_TO)*((('Dvd Calendar'!$AP$407&lt;=VAL_DATE)+(COUNTIF('Dvd Calendar'!$E$414:$AR$414,'Dvd Calendar'!$AP$407)=0))&gt;0)=0,"",'Dvd Calendar'!$AP$407*1000000000+ISNUMBER('Dvd Calendar'!$AP$410)*100000000+('Dvd Calendar'!$AP$412=SPECIAL_LBL)*10000000+(N('Dvd Calendar'!$AP$406)&gt;0)*(N('Dvd Calendar'!$AP$406)&lt;=VAL_SERIAL)*1000000+37*1000+38))</f>
        <v/>
      </c>
      <c r="FQ48" s="39">
        <f>IF(N('Dvd Calendar'!$AQ$407)=0,"",IF(('Dvd Calendar'!$AQ$407&gt;=GRID_FROM)*('Dvd Calendar'!$AQ$407&lt;=GRID_TO)*((('Dvd Calendar'!$AQ$407&lt;=VAL_DATE)+(COUNTIF('Dvd Calendar'!$E$414:$AR$414,'Dvd Calendar'!$AQ$407)=0))&gt;0)=0,"",'Dvd Calendar'!$AQ$407*1000000000+ISNUMBER('Dvd Calendar'!$AQ$410)*100000000+('Dvd Calendar'!$AQ$412=SPECIAL_LBL)*10000000+(N('Dvd Calendar'!$AQ$406)&gt;0)*(N('Dvd Calendar'!$AQ$406)&lt;=VAL_SERIAL)*1000000+37*1000+39))</f>
        <v/>
      </c>
      <c r="FR48" s="39">
        <f>IF(N('Dvd Calendar'!$AR$407)=0,"",IF(('Dvd Calendar'!$AR$407&gt;=GRID_FROM)*('Dvd Calendar'!$AR$407&lt;=GRID_TO)*((('Dvd Calendar'!$AR$407&lt;=VAL_DATE)+(COUNTIF('Dvd Calendar'!$E$414:$AR$414,'Dvd Calendar'!$AR$407)=0))&gt;0)=0,"",'Dvd Calendar'!$AR$407*1000000000+ISNUMBER('Dvd Calendar'!$AR$410)*100000000+('Dvd Calendar'!$AR$412=SPECIAL_LBL)*10000000+(N('Dvd Calendar'!$AR$406)&gt;0)*(N('Dvd Calendar'!$AR$406)&lt;=VAL_SERIAL)*1000000+37*1000+40))</f>
        <v/>
      </c>
      <c r="FS48" s="39">
        <f>IF(N('Dvd Calendar'!$E$414)=0,"",IF(('Dvd Calendar'!$E$414&gt;=GRID_FROM)*('Dvd Calendar'!$E$414&lt;=GRID_TO)*('Dvd Calendar'!$E$414&gt;VAL_DATE)=0,"",'Dvd Calendar'!$E$414*1000000000+ISNUMBER('Dvd Calendar'!$E$415)*100000000+0*10000000+(N('Dvd Calendar'!$E$413)&gt;0)*(N('Dvd Calendar'!$E$413)&lt;=VAL_SERIAL)*1000000+37*1000+41))</f>
        <v/>
      </c>
      <c r="FT48" s="39">
        <f>IF(N('Dvd Calendar'!$F$414)=0,"",IF(('Dvd Calendar'!$F$414&gt;=GRID_FROM)*('Dvd Calendar'!$F$414&lt;=GRID_TO)*('Dvd Calendar'!$F$414&gt;VAL_DATE)=0,"",'Dvd Calendar'!$F$414*1000000000+ISNUMBER('Dvd Calendar'!$F$415)*100000000+0*10000000+(N('Dvd Calendar'!$F$413)&gt;0)*(N('Dvd Calendar'!$F$413)&lt;=VAL_SERIAL)*1000000+37*1000+42))</f>
        <v/>
      </c>
      <c r="FU48" s="39">
        <f>IF(N('Dvd Calendar'!$G$414)=0,"",IF(('Dvd Calendar'!$G$414&gt;=GRID_FROM)*('Dvd Calendar'!$G$414&lt;=GRID_TO)*('Dvd Calendar'!$G$414&gt;VAL_DATE)=0,"",'Dvd Calendar'!$G$414*1000000000+ISNUMBER('Dvd Calendar'!$G$415)*100000000+0*10000000+(N('Dvd Calendar'!$G$413)&gt;0)*(N('Dvd Calendar'!$G$413)&lt;=VAL_SERIAL)*1000000+37*1000+43))</f>
        <v/>
      </c>
      <c r="FV48" s="39">
        <f>IF(N('Dvd Calendar'!$H$414)=0,"",IF(('Dvd Calendar'!$H$414&gt;=GRID_FROM)*('Dvd Calendar'!$H$414&lt;=GRID_TO)*('Dvd Calendar'!$H$414&gt;VAL_DATE)=0,"",'Dvd Calendar'!$H$414*1000000000+ISNUMBER('Dvd Calendar'!$H$415)*100000000+0*10000000+(N('Dvd Calendar'!$H$413)&gt;0)*(N('Dvd Calendar'!$H$413)&lt;=VAL_SERIAL)*1000000+37*1000+44))</f>
        <v/>
      </c>
      <c r="FW48" s="39">
        <f>IF(N('Dvd Calendar'!$I$414)=0,"",IF(('Dvd Calendar'!$I$414&gt;=GRID_FROM)*('Dvd Calendar'!$I$414&lt;=GRID_TO)*('Dvd Calendar'!$I$414&gt;VAL_DATE)=0,"",'Dvd Calendar'!$I$414*1000000000+ISNUMBER('Dvd Calendar'!$I$415)*100000000+0*10000000+(N('Dvd Calendar'!$I$413)&gt;0)*(N('Dvd Calendar'!$I$413)&lt;=VAL_SERIAL)*1000000+37*1000+45))</f>
        <v/>
      </c>
      <c r="FX48" s="39">
        <f>IF(N('Dvd Calendar'!$J$414)=0,"",IF(('Dvd Calendar'!$J$414&gt;=GRID_FROM)*('Dvd Calendar'!$J$414&lt;=GRID_TO)*('Dvd Calendar'!$J$414&gt;VAL_DATE)=0,"",'Dvd Calendar'!$J$414*1000000000+ISNUMBER('Dvd Calendar'!$J$415)*100000000+0*10000000+(N('Dvd Calendar'!$J$413)&gt;0)*(N('Dvd Calendar'!$J$413)&lt;=VAL_SERIAL)*1000000+37*1000+46))</f>
        <v/>
      </c>
      <c r="FY48" s="39">
        <f>IF(N('Dvd Calendar'!$K$414)=0,"",IF(('Dvd Calendar'!$K$414&gt;=GRID_FROM)*('Dvd Calendar'!$K$414&lt;=GRID_TO)*('Dvd Calendar'!$K$414&gt;VAL_DATE)=0,"",'Dvd Calendar'!$K$414*1000000000+ISNUMBER('Dvd Calendar'!$K$415)*100000000+0*10000000+(N('Dvd Calendar'!$K$413)&gt;0)*(N('Dvd Calendar'!$K$413)&lt;=VAL_SERIAL)*1000000+37*1000+47))</f>
        <v/>
      </c>
      <c r="FZ48" s="39">
        <f>IF(N('Dvd Calendar'!$L$414)=0,"",IF(('Dvd Calendar'!$L$414&gt;=GRID_FROM)*('Dvd Calendar'!$L$414&lt;=GRID_TO)*('Dvd Calendar'!$L$414&gt;VAL_DATE)=0,"",'Dvd Calendar'!$L$414*1000000000+ISNUMBER('Dvd Calendar'!$L$415)*100000000+0*10000000+(N('Dvd Calendar'!$L$413)&gt;0)*(N('Dvd Calendar'!$L$413)&lt;=VAL_SERIAL)*1000000+37*1000+48))</f>
        <v/>
      </c>
      <c r="GA48" s="39">
        <f>IF(N('Dvd Calendar'!$M$414)=0,"",IF(('Dvd Calendar'!$M$414&gt;=GRID_FROM)*('Dvd Calendar'!$M$414&lt;=GRID_TO)*('Dvd Calendar'!$M$414&gt;VAL_DATE)=0,"",'Dvd Calendar'!$M$414*1000000000+ISNUMBER('Dvd Calendar'!$M$415)*100000000+0*10000000+(N('Dvd Calendar'!$M$413)&gt;0)*(N('Dvd Calendar'!$M$413)&lt;=VAL_SERIAL)*1000000+37*1000+49))</f>
        <v/>
      </c>
      <c r="GB48" s="39">
        <f>IF(N('Dvd Calendar'!$N$414)=0,"",IF(('Dvd Calendar'!$N$414&gt;=GRID_FROM)*('Dvd Calendar'!$N$414&lt;=GRID_TO)*('Dvd Calendar'!$N$414&gt;VAL_DATE)=0,"",'Dvd Calendar'!$N$414*1000000000+ISNUMBER('Dvd Calendar'!$N$415)*100000000+0*10000000+(N('Dvd Calendar'!$N$413)&gt;0)*(N('Dvd Calendar'!$N$413)&lt;=VAL_SERIAL)*1000000+37*1000+50))</f>
        <v/>
      </c>
      <c r="GC48" s="39">
        <f>IF(N('Dvd Calendar'!$O$414)=0,"",IF(('Dvd Calendar'!$O$414&gt;=GRID_FROM)*('Dvd Calendar'!$O$414&lt;=GRID_TO)*('Dvd Calendar'!$O$414&gt;VAL_DATE)=0,"",'Dvd Calendar'!$O$414*1000000000+ISNUMBER('Dvd Calendar'!$O$415)*100000000+0*10000000+(N('Dvd Calendar'!$O$413)&gt;0)*(N('Dvd Calendar'!$O$413)&lt;=VAL_SERIAL)*1000000+37*1000+51))</f>
        <v/>
      </c>
      <c r="GD48" s="39">
        <f>IF(N('Dvd Calendar'!$P$414)=0,"",IF(('Dvd Calendar'!$P$414&gt;=GRID_FROM)*('Dvd Calendar'!$P$414&lt;=GRID_TO)*('Dvd Calendar'!$P$414&gt;VAL_DATE)=0,"",'Dvd Calendar'!$P$414*1000000000+ISNUMBER('Dvd Calendar'!$P$415)*100000000+0*10000000+(N('Dvd Calendar'!$P$413)&gt;0)*(N('Dvd Calendar'!$P$413)&lt;=VAL_SERIAL)*1000000+37*1000+52))</f>
        <v/>
      </c>
      <c r="GE48" s="39">
        <f>IF(N('Dvd Calendar'!$Q$414)=0,"",IF(('Dvd Calendar'!$Q$414&gt;=GRID_FROM)*('Dvd Calendar'!$Q$414&lt;=GRID_TO)*('Dvd Calendar'!$Q$414&gt;VAL_DATE)=0,"",'Dvd Calendar'!$Q$414*1000000000+ISNUMBER('Dvd Calendar'!$Q$415)*100000000+0*10000000+(N('Dvd Calendar'!$Q$413)&gt;0)*(N('Dvd Calendar'!$Q$413)&lt;=VAL_SERIAL)*1000000+37*1000+53))</f>
        <v/>
      </c>
      <c r="GF48" s="39">
        <f>IF(N('Dvd Calendar'!$R$414)=0,"",IF(('Dvd Calendar'!$R$414&gt;=GRID_FROM)*('Dvd Calendar'!$R$414&lt;=GRID_TO)*('Dvd Calendar'!$R$414&gt;VAL_DATE)=0,"",'Dvd Calendar'!$R$414*1000000000+ISNUMBER('Dvd Calendar'!$R$415)*100000000+0*10000000+(N('Dvd Calendar'!$R$413)&gt;0)*(N('Dvd Calendar'!$R$413)&lt;=VAL_SERIAL)*1000000+37*1000+54))</f>
        <v/>
      </c>
      <c r="GG48" s="39">
        <f>IF(N('Dvd Calendar'!$S$414)=0,"",IF(('Dvd Calendar'!$S$414&gt;=GRID_FROM)*('Dvd Calendar'!$S$414&lt;=GRID_TO)*('Dvd Calendar'!$S$414&gt;VAL_DATE)=0,"",'Dvd Calendar'!$S$414*1000000000+ISNUMBER('Dvd Calendar'!$S$415)*100000000+0*10000000+(N('Dvd Calendar'!$S$413)&gt;0)*(N('Dvd Calendar'!$S$413)&lt;=VAL_SERIAL)*1000000+37*1000+55))</f>
        <v/>
      </c>
      <c r="GH48" s="39">
        <f>IF(N('Dvd Calendar'!$T$414)=0,"",IF(('Dvd Calendar'!$T$414&gt;=GRID_FROM)*('Dvd Calendar'!$T$414&lt;=GRID_TO)*('Dvd Calendar'!$T$414&gt;VAL_DATE)=0,"",'Dvd Calendar'!$T$414*1000000000+ISNUMBER('Dvd Calendar'!$T$415)*100000000+0*10000000+(N('Dvd Calendar'!$T$413)&gt;0)*(N('Dvd Calendar'!$T$413)&lt;=VAL_SERIAL)*1000000+37*1000+56))</f>
        <v/>
      </c>
      <c r="GI48" s="39">
        <f>IF(N('Dvd Calendar'!$U$414)=0,"",IF(('Dvd Calendar'!$U$414&gt;=GRID_FROM)*('Dvd Calendar'!$U$414&lt;=GRID_TO)*('Dvd Calendar'!$U$414&gt;VAL_DATE)=0,"",'Dvd Calendar'!$U$414*1000000000+ISNUMBER('Dvd Calendar'!$U$415)*100000000+0*10000000+(N('Dvd Calendar'!$U$413)&gt;0)*(N('Dvd Calendar'!$U$413)&lt;=VAL_SERIAL)*1000000+37*1000+57))</f>
        <v/>
      </c>
      <c r="GJ48" s="39">
        <f>IF(N('Dvd Calendar'!$V$414)=0,"",IF(('Dvd Calendar'!$V$414&gt;=GRID_FROM)*('Dvd Calendar'!$V$414&lt;=GRID_TO)*('Dvd Calendar'!$V$414&gt;VAL_DATE)=0,"",'Dvd Calendar'!$V$414*1000000000+ISNUMBER('Dvd Calendar'!$V$415)*100000000+0*10000000+(N('Dvd Calendar'!$V$413)&gt;0)*(N('Dvd Calendar'!$V$413)&lt;=VAL_SERIAL)*1000000+37*1000+58))</f>
        <v/>
      </c>
      <c r="GK48" s="39">
        <f>IF(N('Dvd Calendar'!$W$414)=0,"",IF(('Dvd Calendar'!$W$414&gt;=GRID_FROM)*('Dvd Calendar'!$W$414&lt;=GRID_TO)*('Dvd Calendar'!$W$414&gt;VAL_DATE)=0,"",'Dvd Calendar'!$W$414*1000000000+ISNUMBER('Dvd Calendar'!$W$415)*100000000+0*10000000+(N('Dvd Calendar'!$W$413)&gt;0)*(N('Dvd Calendar'!$W$413)&lt;=VAL_SERIAL)*1000000+37*1000+59))</f>
        <v/>
      </c>
      <c r="GL48" s="39">
        <f>IF(N('Dvd Calendar'!$X$414)=0,"",IF(('Dvd Calendar'!$X$414&gt;=GRID_FROM)*('Dvd Calendar'!$X$414&lt;=GRID_TO)*('Dvd Calendar'!$X$414&gt;VAL_DATE)=0,"",'Dvd Calendar'!$X$414*1000000000+ISNUMBER('Dvd Calendar'!$X$415)*100000000+0*10000000+(N('Dvd Calendar'!$X$413)&gt;0)*(N('Dvd Calendar'!$X$413)&lt;=VAL_SERIAL)*1000000+37*1000+60))</f>
        <v/>
      </c>
      <c r="GM48" s="39">
        <f>IF(N('Dvd Calendar'!$Y$414)=0,"",IF(('Dvd Calendar'!$Y$414&gt;=GRID_FROM)*('Dvd Calendar'!$Y$414&lt;=GRID_TO)*('Dvd Calendar'!$Y$414&gt;VAL_DATE)=0,"",'Dvd Calendar'!$Y$414*1000000000+ISNUMBER('Dvd Calendar'!$Y$415)*100000000+0*10000000+(N('Dvd Calendar'!$Y$413)&gt;0)*(N('Dvd Calendar'!$Y$413)&lt;=VAL_SERIAL)*1000000+37*1000+61))</f>
        <v/>
      </c>
      <c r="GN48" s="39">
        <f>IF(N('Dvd Calendar'!$Z$414)=0,"",IF(('Dvd Calendar'!$Z$414&gt;=GRID_FROM)*('Dvd Calendar'!$Z$414&lt;=GRID_TO)*('Dvd Calendar'!$Z$414&gt;VAL_DATE)=0,"",'Dvd Calendar'!$Z$414*1000000000+ISNUMBER('Dvd Calendar'!$Z$415)*100000000+0*10000000+(N('Dvd Calendar'!$Z$413)&gt;0)*(N('Dvd Calendar'!$Z$413)&lt;=VAL_SERIAL)*1000000+37*1000+62))</f>
        <v/>
      </c>
      <c r="GO48" s="39">
        <f>IF(N('Dvd Calendar'!$AA$414)=0,"",IF(('Dvd Calendar'!$AA$414&gt;=GRID_FROM)*('Dvd Calendar'!$AA$414&lt;=GRID_TO)*('Dvd Calendar'!$AA$414&gt;VAL_DATE)=0,"",'Dvd Calendar'!$AA$414*1000000000+ISNUMBER('Dvd Calendar'!$AA$415)*100000000+0*10000000+(N('Dvd Calendar'!$AA$413)&gt;0)*(N('Dvd Calendar'!$AA$413)&lt;=VAL_SERIAL)*1000000+37*1000+63))</f>
        <v/>
      </c>
      <c r="GP48" s="39">
        <f>IF(N('Dvd Calendar'!$AB$414)=0,"",IF(('Dvd Calendar'!$AB$414&gt;=GRID_FROM)*('Dvd Calendar'!$AB$414&lt;=GRID_TO)*('Dvd Calendar'!$AB$414&gt;VAL_DATE)=0,"",'Dvd Calendar'!$AB$414*1000000000+ISNUMBER('Dvd Calendar'!$AB$415)*100000000+0*10000000+(N('Dvd Calendar'!$AB$413)&gt;0)*(N('Dvd Calendar'!$AB$413)&lt;=VAL_SERIAL)*1000000+37*1000+64))</f>
        <v/>
      </c>
      <c r="GQ48" s="39">
        <f>IF(N('Dvd Calendar'!$AC$414)=0,"",IF(('Dvd Calendar'!$AC$414&gt;=GRID_FROM)*('Dvd Calendar'!$AC$414&lt;=GRID_TO)*('Dvd Calendar'!$AC$414&gt;VAL_DATE)=0,"",'Dvd Calendar'!$AC$414*1000000000+ISNUMBER('Dvd Calendar'!$AC$415)*100000000+0*10000000+(N('Dvd Calendar'!$AC$413)&gt;0)*(N('Dvd Calendar'!$AC$413)&lt;=VAL_SERIAL)*1000000+37*1000+65))</f>
        <v/>
      </c>
    </row>
    <row r="49">
      <c r="B49" s="2">
        <f>IF(HSI!$C$44="","",HSI!$C$44)</f>
        <v/>
      </c>
      <c r="C49" s="110">
        <f>IF(EE49="","",IF(ISNUMBER('Dvd Calendar'!$E$421)=FALSE,"",IF((('Dvd Calendar'!$E$423=TYPE1)*(TYPE1&lt;&gt;"")+('Dvd Calendar'!$E$423=TYPE2)*(TYPE2&lt;&gt;"")+('Dvd Calendar'!$E$423=TYPE3)*(TYPE3&lt;&gt;"")+('Dvd Calendar'!$E$423=TYPE4)*(TYPE4&lt;&gt;"")+('Dvd Calendar'!$E$423=SPECIAL_LBL)*(INC_SPECIALS="Y"))=0,"",'Dvd Calendar'!$E$421)))</f>
        <v/>
      </c>
      <c r="D49" s="110">
        <f>IF(EF49="","",IF(ISNUMBER('Dvd Calendar'!$F$421)=FALSE,"",IF((('Dvd Calendar'!$F$423=TYPE1)*(TYPE1&lt;&gt;"")+('Dvd Calendar'!$F$423=TYPE2)*(TYPE2&lt;&gt;"")+('Dvd Calendar'!$F$423=TYPE3)*(TYPE3&lt;&gt;"")+('Dvd Calendar'!$F$423=TYPE4)*(TYPE4&lt;&gt;"")+('Dvd Calendar'!$F$423=SPECIAL_LBL)*(INC_SPECIALS="Y"))=0,"",'Dvd Calendar'!$F$421)))</f>
        <v/>
      </c>
      <c r="E49" s="110">
        <f>IF(EG49="","",IF(ISNUMBER('Dvd Calendar'!$G$421)=FALSE,"",IF((('Dvd Calendar'!$G$423=TYPE1)*(TYPE1&lt;&gt;"")+('Dvd Calendar'!$G$423=TYPE2)*(TYPE2&lt;&gt;"")+('Dvd Calendar'!$G$423=TYPE3)*(TYPE3&lt;&gt;"")+('Dvd Calendar'!$G$423=TYPE4)*(TYPE4&lt;&gt;"")+('Dvd Calendar'!$G$423=SPECIAL_LBL)*(INC_SPECIALS="Y"))=0,"",'Dvd Calendar'!$G$421)))</f>
        <v/>
      </c>
      <c r="F49" s="110">
        <f>IF(EH49="","",IF(ISNUMBER('Dvd Calendar'!$H$421)=FALSE,"",IF((('Dvd Calendar'!$H$423=TYPE1)*(TYPE1&lt;&gt;"")+('Dvd Calendar'!$H$423=TYPE2)*(TYPE2&lt;&gt;"")+('Dvd Calendar'!$H$423=TYPE3)*(TYPE3&lt;&gt;"")+('Dvd Calendar'!$H$423=TYPE4)*(TYPE4&lt;&gt;"")+('Dvd Calendar'!$H$423=SPECIAL_LBL)*(INC_SPECIALS="Y"))=0,"",'Dvd Calendar'!$H$421)))</f>
        <v/>
      </c>
      <c r="G49" s="110">
        <f>IF(EI49="","",IF(ISNUMBER('Dvd Calendar'!$I$421)=FALSE,"",IF((('Dvd Calendar'!$I$423=TYPE1)*(TYPE1&lt;&gt;"")+('Dvd Calendar'!$I$423=TYPE2)*(TYPE2&lt;&gt;"")+('Dvd Calendar'!$I$423=TYPE3)*(TYPE3&lt;&gt;"")+('Dvd Calendar'!$I$423=TYPE4)*(TYPE4&lt;&gt;"")+('Dvd Calendar'!$I$423=SPECIAL_LBL)*(INC_SPECIALS="Y"))=0,"",'Dvd Calendar'!$I$421)))</f>
        <v/>
      </c>
      <c r="H49" s="110">
        <f>IF(EJ49="","",IF(ISNUMBER('Dvd Calendar'!$J$421)=FALSE,"",IF((('Dvd Calendar'!$J$423=TYPE1)*(TYPE1&lt;&gt;"")+('Dvd Calendar'!$J$423=TYPE2)*(TYPE2&lt;&gt;"")+('Dvd Calendar'!$J$423=TYPE3)*(TYPE3&lt;&gt;"")+('Dvd Calendar'!$J$423=TYPE4)*(TYPE4&lt;&gt;"")+('Dvd Calendar'!$J$423=SPECIAL_LBL)*(INC_SPECIALS="Y"))=0,"",'Dvd Calendar'!$J$421)))</f>
        <v/>
      </c>
      <c r="I49" s="110">
        <f>IF(EK49="","",IF(ISNUMBER('Dvd Calendar'!$K$421)=FALSE,"",IF((('Dvd Calendar'!$K$423=TYPE1)*(TYPE1&lt;&gt;"")+('Dvd Calendar'!$K$423=TYPE2)*(TYPE2&lt;&gt;"")+('Dvd Calendar'!$K$423=TYPE3)*(TYPE3&lt;&gt;"")+('Dvd Calendar'!$K$423=TYPE4)*(TYPE4&lt;&gt;"")+('Dvd Calendar'!$K$423=SPECIAL_LBL)*(INC_SPECIALS="Y"))=0,"",'Dvd Calendar'!$K$421)))</f>
        <v/>
      </c>
      <c r="J49" s="110">
        <f>IF(EL49="","",IF(ISNUMBER('Dvd Calendar'!$L$421)=FALSE,"",IF((('Dvd Calendar'!$L$423=TYPE1)*(TYPE1&lt;&gt;"")+('Dvd Calendar'!$L$423=TYPE2)*(TYPE2&lt;&gt;"")+('Dvd Calendar'!$L$423=TYPE3)*(TYPE3&lt;&gt;"")+('Dvd Calendar'!$L$423=TYPE4)*(TYPE4&lt;&gt;"")+('Dvd Calendar'!$L$423=SPECIAL_LBL)*(INC_SPECIALS="Y"))=0,"",'Dvd Calendar'!$L$421)))</f>
        <v/>
      </c>
      <c r="K49" s="110">
        <f>IF(EM49="","",IF(ISNUMBER('Dvd Calendar'!$M$421)=FALSE,"",IF((('Dvd Calendar'!$M$423=TYPE1)*(TYPE1&lt;&gt;"")+('Dvd Calendar'!$M$423=TYPE2)*(TYPE2&lt;&gt;"")+('Dvd Calendar'!$M$423=TYPE3)*(TYPE3&lt;&gt;"")+('Dvd Calendar'!$M$423=TYPE4)*(TYPE4&lt;&gt;"")+('Dvd Calendar'!$M$423=SPECIAL_LBL)*(INC_SPECIALS="Y"))=0,"",'Dvd Calendar'!$M$421)))</f>
        <v/>
      </c>
      <c r="L49" s="110">
        <f>IF(EN49="","",IF(ISNUMBER('Dvd Calendar'!$N$421)=FALSE,"",IF((('Dvd Calendar'!$N$423=TYPE1)*(TYPE1&lt;&gt;"")+('Dvd Calendar'!$N$423=TYPE2)*(TYPE2&lt;&gt;"")+('Dvd Calendar'!$N$423=TYPE3)*(TYPE3&lt;&gt;"")+('Dvd Calendar'!$N$423=TYPE4)*(TYPE4&lt;&gt;"")+('Dvd Calendar'!$N$423=SPECIAL_LBL)*(INC_SPECIALS="Y"))=0,"",'Dvd Calendar'!$N$421)))</f>
        <v/>
      </c>
      <c r="M49" s="110">
        <f>IF(EO49="","",IF(ISNUMBER('Dvd Calendar'!$O$421)=FALSE,"",IF((('Dvd Calendar'!$O$423=TYPE1)*(TYPE1&lt;&gt;"")+('Dvd Calendar'!$O$423=TYPE2)*(TYPE2&lt;&gt;"")+('Dvd Calendar'!$O$423=TYPE3)*(TYPE3&lt;&gt;"")+('Dvd Calendar'!$O$423=TYPE4)*(TYPE4&lt;&gt;"")+('Dvd Calendar'!$O$423=SPECIAL_LBL)*(INC_SPECIALS="Y"))=0,"",'Dvd Calendar'!$O$421)))</f>
        <v/>
      </c>
      <c r="N49" s="110">
        <f>IF(EP49="","",IF(ISNUMBER('Dvd Calendar'!$P$421)=FALSE,"",IF((('Dvd Calendar'!$P$423=TYPE1)*(TYPE1&lt;&gt;"")+('Dvd Calendar'!$P$423=TYPE2)*(TYPE2&lt;&gt;"")+('Dvd Calendar'!$P$423=TYPE3)*(TYPE3&lt;&gt;"")+('Dvd Calendar'!$P$423=TYPE4)*(TYPE4&lt;&gt;"")+('Dvd Calendar'!$P$423=SPECIAL_LBL)*(INC_SPECIALS="Y"))=0,"",'Dvd Calendar'!$P$421)))</f>
        <v/>
      </c>
      <c r="O49" s="110">
        <f>IF(EQ49="","",IF(ISNUMBER('Dvd Calendar'!$Q$421)=FALSE,"",IF((('Dvd Calendar'!$Q$423=TYPE1)*(TYPE1&lt;&gt;"")+('Dvd Calendar'!$Q$423=TYPE2)*(TYPE2&lt;&gt;"")+('Dvd Calendar'!$Q$423=TYPE3)*(TYPE3&lt;&gt;"")+('Dvd Calendar'!$Q$423=TYPE4)*(TYPE4&lt;&gt;"")+('Dvd Calendar'!$Q$423=SPECIAL_LBL)*(INC_SPECIALS="Y"))=0,"",'Dvd Calendar'!$Q$421)))</f>
        <v/>
      </c>
      <c r="P49" s="110">
        <f>IF(ER49="","",IF(ISNUMBER('Dvd Calendar'!$R$421)=FALSE,"",IF((('Dvd Calendar'!$R$423=TYPE1)*(TYPE1&lt;&gt;"")+('Dvd Calendar'!$R$423=TYPE2)*(TYPE2&lt;&gt;"")+('Dvd Calendar'!$R$423=TYPE3)*(TYPE3&lt;&gt;"")+('Dvd Calendar'!$R$423=TYPE4)*(TYPE4&lt;&gt;"")+('Dvd Calendar'!$R$423=SPECIAL_LBL)*(INC_SPECIALS="Y"))=0,"",'Dvd Calendar'!$R$421)))</f>
        <v/>
      </c>
      <c r="Q49" s="110">
        <f>IF(ES49="","",IF(ISNUMBER('Dvd Calendar'!$S$421)=FALSE,"",IF((('Dvd Calendar'!$S$423=TYPE1)*(TYPE1&lt;&gt;"")+('Dvd Calendar'!$S$423=TYPE2)*(TYPE2&lt;&gt;"")+('Dvd Calendar'!$S$423=TYPE3)*(TYPE3&lt;&gt;"")+('Dvd Calendar'!$S$423=TYPE4)*(TYPE4&lt;&gt;"")+('Dvd Calendar'!$S$423=SPECIAL_LBL)*(INC_SPECIALS="Y"))=0,"",'Dvd Calendar'!$S$421)))</f>
        <v/>
      </c>
      <c r="R49" s="110">
        <f>IF(ET49="","",IF(ISNUMBER('Dvd Calendar'!$T$421)=FALSE,"",IF((('Dvd Calendar'!$T$423=TYPE1)*(TYPE1&lt;&gt;"")+('Dvd Calendar'!$T$423=TYPE2)*(TYPE2&lt;&gt;"")+('Dvd Calendar'!$T$423=TYPE3)*(TYPE3&lt;&gt;"")+('Dvd Calendar'!$T$423=TYPE4)*(TYPE4&lt;&gt;"")+('Dvd Calendar'!$T$423=SPECIAL_LBL)*(INC_SPECIALS="Y"))=0,"",'Dvd Calendar'!$T$421)))</f>
        <v/>
      </c>
      <c r="S49" s="110">
        <f>IF(EU49="","",IF(ISNUMBER('Dvd Calendar'!$U$421)=FALSE,"",IF((('Dvd Calendar'!$U$423=TYPE1)*(TYPE1&lt;&gt;"")+('Dvd Calendar'!$U$423=TYPE2)*(TYPE2&lt;&gt;"")+('Dvd Calendar'!$U$423=TYPE3)*(TYPE3&lt;&gt;"")+('Dvd Calendar'!$U$423=TYPE4)*(TYPE4&lt;&gt;"")+('Dvd Calendar'!$U$423=SPECIAL_LBL)*(INC_SPECIALS="Y"))=0,"",'Dvd Calendar'!$U$421)))</f>
        <v/>
      </c>
      <c r="T49" s="110">
        <f>IF(EV49="","",IF(ISNUMBER('Dvd Calendar'!$V$421)=FALSE,"",IF((('Dvd Calendar'!$V$423=TYPE1)*(TYPE1&lt;&gt;"")+('Dvd Calendar'!$V$423=TYPE2)*(TYPE2&lt;&gt;"")+('Dvd Calendar'!$V$423=TYPE3)*(TYPE3&lt;&gt;"")+('Dvd Calendar'!$V$423=TYPE4)*(TYPE4&lt;&gt;"")+('Dvd Calendar'!$V$423=SPECIAL_LBL)*(INC_SPECIALS="Y"))=0,"",'Dvd Calendar'!$V$421)))</f>
        <v/>
      </c>
      <c r="U49" s="110">
        <f>IF(EW49="","",IF(ISNUMBER('Dvd Calendar'!$W$421)=FALSE,"",IF((('Dvd Calendar'!$W$423=TYPE1)*(TYPE1&lt;&gt;"")+('Dvd Calendar'!$W$423=TYPE2)*(TYPE2&lt;&gt;"")+('Dvd Calendar'!$W$423=TYPE3)*(TYPE3&lt;&gt;"")+('Dvd Calendar'!$W$423=TYPE4)*(TYPE4&lt;&gt;"")+('Dvd Calendar'!$W$423=SPECIAL_LBL)*(INC_SPECIALS="Y"))=0,"",'Dvd Calendar'!$W$421)))</f>
        <v/>
      </c>
      <c r="V49" s="110">
        <f>IF(EX49="","",IF(ISNUMBER('Dvd Calendar'!$X$421)=FALSE,"",IF((('Dvd Calendar'!$X$423=TYPE1)*(TYPE1&lt;&gt;"")+('Dvd Calendar'!$X$423=TYPE2)*(TYPE2&lt;&gt;"")+('Dvd Calendar'!$X$423=TYPE3)*(TYPE3&lt;&gt;"")+('Dvd Calendar'!$X$423=TYPE4)*(TYPE4&lt;&gt;"")+('Dvd Calendar'!$X$423=SPECIAL_LBL)*(INC_SPECIALS="Y"))=0,"",'Dvd Calendar'!$X$421)))</f>
        <v/>
      </c>
      <c r="W49" s="110">
        <f>IF(EY49="","",IF(ISNUMBER('Dvd Calendar'!$Y$421)=FALSE,"",IF((('Dvd Calendar'!$Y$423=TYPE1)*(TYPE1&lt;&gt;"")+('Dvd Calendar'!$Y$423=TYPE2)*(TYPE2&lt;&gt;"")+('Dvd Calendar'!$Y$423=TYPE3)*(TYPE3&lt;&gt;"")+('Dvd Calendar'!$Y$423=TYPE4)*(TYPE4&lt;&gt;"")+('Dvd Calendar'!$Y$423=SPECIAL_LBL)*(INC_SPECIALS="Y"))=0,"",'Dvd Calendar'!$Y$421)))</f>
        <v/>
      </c>
      <c r="X49" s="110">
        <f>IF(EZ49="","",IF(ISNUMBER('Dvd Calendar'!$Z$421)=FALSE,"",IF((('Dvd Calendar'!$Z$423=TYPE1)*(TYPE1&lt;&gt;"")+('Dvd Calendar'!$Z$423=TYPE2)*(TYPE2&lt;&gt;"")+('Dvd Calendar'!$Z$423=TYPE3)*(TYPE3&lt;&gt;"")+('Dvd Calendar'!$Z$423=TYPE4)*(TYPE4&lt;&gt;"")+('Dvd Calendar'!$Z$423=SPECIAL_LBL)*(INC_SPECIALS="Y"))=0,"",'Dvd Calendar'!$Z$421)))</f>
        <v/>
      </c>
      <c r="Y49" s="110">
        <f>IF(FA49="","",IF(ISNUMBER('Dvd Calendar'!$AA$421)=FALSE,"",IF((('Dvd Calendar'!$AA$423=TYPE1)*(TYPE1&lt;&gt;"")+('Dvd Calendar'!$AA$423=TYPE2)*(TYPE2&lt;&gt;"")+('Dvd Calendar'!$AA$423=TYPE3)*(TYPE3&lt;&gt;"")+('Dvd Calendar'!$AA$423=TYPE4)*(TYPE4&lt;&gt;"")+('Dvd Calendar'!$AA$423=SPECIAL_LBL)*(INC_SPECIALS="Y"))=0,"",'Dvd Calendar'!$AA$421)))</f>
        <v/>
      </c>
      <c r="Z49" s="110">
        <f>IF(FB49="","",IF(ISNUMBER('Dvd Calendar'!$AB$421)=FALSE,"",IF((('Dvd Calendar'!$AB$423=TYPE1)*(TYPE1&lt;&gt;"")+('Dvd Calendar'!$AB$423=TYPE2)*(TYPE2&lt;&gt;"")+('Dvd Calendar'!$AB$423=TYPE3)*(TYPE3&lt;&gt;"")+('Dvd Calendar'!$AB$423=TYPE4)*(TYPE4&lt;&gt;"")+('Dvd Calendar'!$AB$423=SPECIAL_LBL)*(INC_SPECIALS="Y"))=0,"",'Dvd Calendar'!$AB$421)))</f>
        <v/>
      </c>
      <c r="AA49" s="110">
        <f>IF(FC49="","",IF(ISNUMBER('Dvd Calendar'!$AC$421)=FALSE,"",IF((('Dvd Calendar'!$AC$423=TYPE1)*(TYPE1&lt;&gt;"")+('Dvd Calendar'!$AC$423=TYPE2)*(TYPE2&lt;&gt;"")+('Dvd Calendar'!$AC$423=TYPE3)*(TYPE3&lt;&gt;"")+('Dvd Calendar'!$AC$423=TYPE4)*(TYPE4&lt;&gt;"")+('Dvd Calendar'!$AC$423=SPECIAL_LBL)*(INC_SPECIALS="Y"))=0,"",'Dvd Calendar'!$AC$421)))</f>
        <v/>
      </c>
      <c r="AB49" s="110">
        <f>IF(FD49="","",IF(ISNUMBER('Dvd Calendar'!$AD$421)=FALSE,"",IF((('Dvd Calendar'!$AD$423=TYPE1)*(TYPE1&lt;&gt;"")+('Dvd Calendar'!$AD$423=TYPE2)*(TYPE2&lt;&gt;"")+('Dvd Calendar'!$AD$423=TYPE3)*(TYPE3&lt;&gt;"")+('Dvd Calendar'!$AD$423=TYPE4)*(TYPE4&lt;&gt;"")+('Dvd Calendar'!$AD$423=SPECIAL_LBL)*(INC_SPECIALS="Y"))=0,"",'Dvd Calendar'!$AD$421)))</f>
        <v/>
      </c>
      <c r="AC49" s="110">
        <f>IF(FE49="","",IF(ISNUMBER('Dvd Calendar'!$AE$421)=FALSE,"",IF((('Dvd Calendar'!$AE$423=TYPE1)*(TYPE1&lt;&gt;"")+('Dvd Calendar'!$AE$423=TYPE2)*(TYPE2&lt;&gt;"")+('Dvd Calendar'!$AE$423=TYPE3)*(TYPE3&lt;&gt;"")+('Dvd Calendar'!$AE$423=TYPE4)*(TYPE4&lt;&gt;"")+('Dvd Calendar'!$AE$423=SPECIAL_LBL)*(INC_SPECIALS="Y"))=0,"",'Dvd Calendar'!$AE$421)))</f>
        <v/>
      </c>
      <c r="AD49" s="110">
        <f>IF(FF49="","",IF(ISNUMBER('Dvd Calendar'!$AF$421)=FALSE,"",IF((('Dvd Calendar'!$AF$423=TYPE1)*(TYPE1&lt;&gt;"")+('Dvd Calendar'!$AF$423=TYPE2)*(TYPE2&lt;&gt;"")+('Dvd Calendar'!$AF$423=TYPE3)*(TYPE3&lt;&gt;"")+('Dvd Calendar'!$AF$423=TYPE4)*(TYPE4&lt;&gt;"")+('Dvd Calendar'!$AF$423=SPECIAL_LBL)*(INC_SPECIALS="Y"))=0,"",'Dvd Calendar'!$AF$421)))</f>
        <v/>
      </c>
      <c r="AE49" s="110">
        <f>IF(FG49="","",IF(ISNUMBER('Dvd Calendar'!$AG$421)=FALSE,"",IF((('Dvd Calendar'!$AG$423=TYPE1)*(TYPE1&lt;&gt;"")+('Dvd Calendar'!$AG$423=TYPE2)*(TYPE2&lt;&gt;"")+('Dvd Calendar'!$AG$423=TYPE3)*(TYPE3&lt;&gt;"")+('Dvd Calendar'!$AG$423=TYPE4)*(TYPE4&lt;&gt;"")+('Dvd Calendar'!$AG$423=SPECIAL_LBL)*(INC_SPECIALS="Y"))=0,"",'Dvd Calendar'!$AG$421)))</f>
        <v/>
      </c>
      <c r="AF49" s="110">
        <f>IF(FH49="","",IF(ISNUMBER('Dvd Calendar'!$AH$421)=FALSE,"",IF((('Dvd Calendar'!$AH$423=TYPE1)*(TYPE1&lt;&gt;"")+('Dvd Calendar'!$AH$423=TYPE2)*(TYPE2&lt;&gt;"")+('Dvd Calendar'!$AH$423=TYPE3)*(TYPE3&lt;&gt;"")+('Dvd Calendar'!$AH$423=TYPE4)*(TYPE4&lt;&gt;"")+('Dvd Calendar'!$AH$423=SPECIAL_LBL)*(INC_SPECIALS="Y"))=0,"",'Dvd Calendar'!$AH$421)))</f>
        <v/>
      </c>
      <c r="AG49" s="110">
        <f>IF(FI49="","",IF(ISNUMBER('Dvd Calendar'!$AI$421)=FALSE,"",IF((('Dvd Calendar'!$AI$423=TYPE1)*(TYPE1&lt;&gt;"")+('Dvd Calendar'!$AI$423=TYPE2)*(TYPE2&lt;&gt;"")+('Dvd Calendar'!$AI$423=TYPE3)*(TYPE3&lt;&gt;"")+('Dvd Calendar'!$AI$423=TYPE4)*(TYPE4&lt;&gt;"")+('Dvd Calendar'!$AI$423=SPECIAL_LBL)*(INC_SPECIALS="Y"))=0,"",'Dvd Calendar'!$AI$421)))</f>
        <v/>
      </c>
      <c r="AH49" s="110">
        <f>IF(FJ49="","",IF(ISNUMBER('Dvd Calendar'!$AJ$421)=FALSE,"",IF((('Dvd Calendar'!$AJ$423=TYPE1)*(TYPE1&lt;&gt;"")+('Dvd Calendar'!$AJ$423=TYPE2)*(TYPE2&lt;&gt;"")+('Dvd Calendar'!$AJ$423=TYPE3)*(TYPE3&lt;&gt;"")+('Dvd Calendar'!$AJ$423=TYPE4)*(TYPE4&lt;&gt;"")+('Dvd Calendar'!$AJ$423=SPECIAL_LBL)*(INC_SPECIALS="Y"))=0,"",'Dvd Calendar'!$AJ$421)))</f>
        <v/>
      </c>
      <c r="AI49" s="110">
        <f>IF(FK49="","",IF(ISNUMBER('Dvd Calendar'!$AK$421)=FALSE,"",IF((('Dvd Calendar'!$AK$423=TYPE1)*(TYPE1&lt;&gt;"")+('Dvd Calendar'!$AK$423=TYPE2)*(TYPE2&lt;&gt;"")+('Dvd Calendar'!$AK$423=TYPE3)*(TYPE3&lt;&gt;"")+('Dvd Calendar'!$AK$423=TYPE4)*(TYPE4&lt;&gt;"")+('Dvd Calendar'!$AK$423=SPECIAL_LBL)*(INC_SPECIALS="Y"))=0,"",'Dvd Calendar'!$AK$421)))</f>
        <v/>
      </c>
      <c r="AJ49" s="110">
        <f>IF(FL49="","",IF(ISNUMBER('Dvd Calendar'!$AL$421)=FALSE,"",IF((('Dvd Calendar'!$AL$423=TYPE1)*(TYPE1&lt;&gt;"")+('Dvd Calendar'!$AL$423=TYPE2)*(TYPE2&lt;&gt;"")+('Dvd Calendar'!$AL$423=TYPE3)*(TYPE3&lt;&gt;"")+('Dvd Calendar'!$AL$423=TYPE4)*(TYPE4&lt;&gt;"")+('Dvd Calendar'!$AL$423=SPECIAL_LBL)*(INC_SPECIALS="Y"))=0,"",'Dvd Calendar'!$AL$421)))</f>
        <v/>
      </c>
      <c r="AK49" s="110">
        <f>IF(FM49="","",IF(ISNUMBER('Dvd Calendar'!$AM$421)=FALSE,"",IF((('Dvd Calendar'!$AM$423=TYPE1)*(TYPE1&lt;&gt;"")+('Dvd Calendar'!$AM$423=TYPE2)*(TYPE2&lt;&gt;"")+('Dvd Calendar'!$AM$423=TYPE3)*(TYPE3&lt;&gt;"")+('Dvd Calendar'!$AM$423=TYPE4)*(TYPE4&lt;&gt;"")+('Dvd Calendar'!$AM$423=SPECIAL_LBL)*(INC_SPECIALS="Y"))=0,"",'Dvd Calendar'!$AM$421)))</f>
        <v/>
      </c>
      <c r="AL49" s="110">
        <f>IF(FN49="","",IF(ISNUMBER('Dvd Calendar'!$AN$421)=FALSE,"",IF((('Dvd Calendar'!$AN$423=TYPE1)*(TYPE1&lt;&gt;"")+('Dvd Calendar'!$AN$423=TYPE2)*(TYPE2&lt;&gt;"")+('Dvd Calendar'!$AN$423=TYPE3)*(TYPE3&lt;&gt;"")+('Dvd Calendar'!$AN$423=TYPE4)*(TYPE4&lt;&gt;"")+('Dvd Calendar'!$AN$423=SPECIAL_LBL)*(INC_SPECIALS="Y"))=0,"",'Dvd Calendar'!$AN$421)))</f>
        <v/>
      </c>
      <c r="AM49" s="110">
        <f>IF(FO49="","",IF(ISNUMBER('Dvd Calendar'!$AO$421)=FALSE,"",IF((('Dvd Calendar'!$AO$423=TYPE1)*(TYPE1&lt;&gt;"")+('Dvd Calendar'!$AO$423=TYPE2)*(TYPE2&lt;&gt;"")+('Dvd Calendar'!$AO$423=TYPE3)*(TYPE3&lt;&gt;"")+('Dvd Calendar'!$AO$423=TYPE4)*(TYPE4&lt;&gt;"")+('Dvd Calendar'!$AO$423=SPECIAL_LBL)*(INC_SPECIALS="Y"))=0,"",'Dvd Calendar'!$AO$421)))</f>
        <v/>
      </c>
      <c r="AN49" s="110">
        <f>IF(FP49="","",IF(ISNUMBER('Dvd Calendar'!$AP$421)=FALSE,"",IF((('Dvd Calendar'!$AP$423=TYPE1)*(TYPE1&lt;&gt;"")+('Dvd Calendar'!$AP$423=TYPE2)*(TYPE2&lt;&gt;"")+('Dvd Calendar'!$AP$423=TYPE3)*(TYPE3&lt;&gt;"")+('Dvd Calendar'!$AP$423=TYPE4)*(TYPE4&lt;&gt;"")+('Dvd Calendar'!$AP$423=SPECIAL_LBL)*(INC_SPECIALS="Y"))=0,"",'Dvd Calendar'!$AP$421)))</f>
        <v/>
      </c>
      <c r="AO49" s="110">
        <f>IF(FQ49="","",IF(ISNUMBER('Dvd Calendar'!$AQ$421)=FALSE,"",IF((('Dvd Calendar'!$AQ$423=TYPE1)*(TYPE1&lt;&gt;"")+('Dvd Calendar'!$AQ$423=TYPE2)*(TYPE2&lt;&gt;"")+('Dvd Calendar'!$AQ$423=TYPE3)*(TYPE3&lt;&gt;"")+('Dvd Calendar'!$AQ$423=TYPE4)*(TYPE4&lt;&gt;"")+('Dvd Calendar'!$AQ$423=SPECIAL_LBL)*(INC_SPECIALS="Y"))=0,"",'Dvd Calendar'!$AQ$421)))</f>
        <v/>
      </c>
      <c r="AP49" s="110">
        <f>IF(FR49="","",IF(ISNUMBER('Dvd Calendar'!$AR$421)=FALSE,"",IF((('Dvd Calendar'!$AR$423=TYPE1)*(TYPE1&lt;&gt;"")+('Dvd Calendar'!$AR$423=TYPE2)*(TYPE2&lt;&gt;"")+('Dvd Calendar'!$AR$423=TYPE3)*(TYPE3&lt;&gt;"")+('Dvd Calendar'!$AR$423=TYPE4)*(TYPE4&lt;&gt;"")+('Dvd Calendar'!$AR$423=SPECIAL_LBL)*(INC_SPECIALS="Y"))=0,"",'Dvd Calendar'!$AR$421)))</f>
        <v/>
      </c>
      <c r="AQ49" s="110">
        <f>IF(FS49="","",IF(ISNUMBER('Dvd Calendar'!$E$426)=FALSE,"",'Dvd Calendar'!$E$426))</f>
        <v/>
      </c>
      <c r="AR49" s="110">
        <f>IF(FT49="","",IF(ISNUMBER('Dvd Calendar'!$F$426)=FALSE,"",'Dvd Calendar'!$F$426))</f>
        <v/>
      </c>
      <c r="AS49" s="110">
        <f>IF(FU49="","",IF(ISNUMBER('Dvd Calendar'!$G$426)=FALSE,"",'Dvd Calendar'!$G$426))</f>
        <v/>
      </c>
      <c r="AT49" s="110">
        <f>IF(FV49="","",IF(ISNUMBER('Dvd Calendar'!$H$426)=FALSE,"",'Dvd Calendar'!$H$426))</f>
        <v/>
      </c>
      <c r="AU49" s="110">
        <f>IF(FW49="","",IF(ISNUMBER('Dvd Calendar'!$I$426)=FALSE,"",'Dvd Calendar'!$I$426))</f>
        <v/>
      </c>
      <c r="AV49" s="110">
        <f>IF(FX49="","",IF(ISNUMBER('Dvd Calendar'!$J$426)=FALSE,"",'Dvd Calendar'!$J$426))</f>
        <v/>
      </c>
      <c r="AW49" s="110">
        <f>IF(FY49="","",IF(ISNUMBER('Dvd Calendar'!$K$426)=FALSE,"",'Dvd Calendar'!$K$426))</f>
        <v/>
      </c>
      <c r="AX49" s="110">
        <f>IF(FZ49="","",IF(ISNUMBER('Dvd Calendar'!$L$426)=FALSE,"",'Dvd Calendar'!$L$426))</f>
        <v/>
      </c>
      <c r="AY49" s="110">
        <f>IF(GA49="","",IF(ISNUMBER('Dvd Calendar'!$M$426)=FALSE,"",'Dvd Calendar'!$M$426))</f>
        <v/>
      </c>
      <c r="AZ49" s="110">
        <f>IF(GB49="","",IF(ISNUMBER('Dvd Calendar'!$N$426)=FALSE,"",'Dvd Calendar'!$N$426))</f>
        <v/>
      </c>
      <c r="BA49" s="110">
        <f>IF(GC49="","",IF(ISNUMBER('Dvd Calendar'!$O$426)=FALSE,"",'Dvd Calendar'!$O$426))</f>
        <v/>
      </c>
      <c r="BB49" s="110">
        <f>IF(GD49="","",IF(ISNUMBER('Dvd Calendar'!$P$426)=FALSE,"",'Dvd Calendar'!$P$426))</f>
        <v/>
      </c>
      <c r="BC49" s="110">
        <f>IF(GE49="","",IF(ISNUMBER('Dvd Calendar'!$Q$426)=FALSE,"",'Dvd Calendar'!$Q$426))</f>
        <v/>
      </c>
      <c r="BD49" s="110">
        <f>IF(GF49="","",IF(ISNUMBER('Dvd Calendar'!$R$426)=FALSE,"",'Dvd Calendar'!$R$426))</f>
        <v/>
      </c>
      <c r="BE49" s="110">
        <f>IF(GG49="","",IF(ISNUMBER('Dvd Calendar'!$S$426)=FALSE,"",'Dvd Calendar'!$S$426))</f>
        <v/>
      </c>
      <c r="BF49" s="110">
        <f>IF(GH49="","",IF(ISNUMBER('Dvd Calendar'!$T$426)=FALSE,"",'Dvd Calendar'!$T$426))</f>
        <v/>
      </c>
      <c r="BG49" s="110">
        <f>IF(GI49="","",IF(ISNUMBER('Dvd Calendar'!$U$426)=FALSE,"",'Dvd Calendar'!$U$426))</f>
        <v/>
      </c>
      <c r="BH49" s="110">
        <f>IF(GJ49="","",IF(ISNUMBER('Dvd Calendar'!$V$426)=FALSE,"",'Dvd Calendar'!$V$426))</f>
        <v/>
      </c>
      <c r="BI49" s="110">
        <f>IF(GK49="","",IF(ISNUMBER('Dvd Calendar'!$W$426)=FALSE,"",'Dvd Calendar'!$W$426))</f>
        <v/>
      </c>
      <c r="BJ49" s="110">
        <f>IF(GL49="","",IF(ISNUMBER('Dvd Calendar'!$X$426)=FALSE,"",'Dvd Calendar'!$X$426))</f>
        <v/>
      </c>
      <c r="BK49" s="110">
        <f>IF(GM49="","",IF(ISNUMBER('Dvd Calendar'!$Y$426)=FALSE,"",'Dvd Calendar'!$Y$426))</f>
        <v/>
      </c>
      <c r="BL49" s="110">
        <f>IF(GN49="","",IF(ISNUMBER('Dvd Calendar'!$Z$426)=FALSE,"",'Dvd Calendar'!$Z$426))</f>
        <v/>
      </c>
      <c r="BM49" s="110">
        <f>IF(GO49="","",IF(ISNUMBER('Dvd Calendar'!$AA$426)=FALSE,"",'Dvd Calendar'!$AA$426))</f>
        <v/>
      </c>
      <c r="BN49" s="110">
        <f>IF(GP49="","",IF(ISNUMBER('Dvd Calendar'!$AB$426)=FALSE,"",'Dvd Calendar'!$AB$426))</f>
        <v/>
      </c>
      <c r="BO49" s="110">
        <f>IF(GQ49="","",IF(ISNUMBER('Dvd Calendar'!$AC$426)=FALSE,"",'Dvd Calendar'!$AC$426))</f>
        <v/>
      </c>
      <c r="BQ49" s="110">
        <f>IF(C49="","",IFERROR(C49*HSI!$B$44*HSI!$G$44/HSI!$B$3,""))</f>
        <v/>
      </c>
      <c r="BR49" s="110">
        <f>IF(D49="","",IFERROR(D49*HSI!$B$44*HSI!$G$44/HSI!$B$3,""))</f>
        <v/>
      </c>
      <c r="BS49" s="110">
        <f>IF(E49="","",IFERROR(E49*HSI!$B$44*HSI!$G$44/HSI!$B$3,""))</f>
        <v/>
      </c>
      <c r="BT49" s="110">
        <f>IF(F49="","",IFERROR(F49*HSI!$B$44*HSI!$G$44/HSI!$B$3,""))</f>
        <v/>
      </c>
      <c r="BU49" s="110">
        <f>IF(G49="","",IFERROR(G49*HSI!$B$44*HSI!$G$44/HSI!$B$3,""))</f>
        <v/>
      </c>
      <c r="BV49" s="110">
        <f>IF(H49="","",IFERROR(H49*HSI!$B$44*HSI!$G$44/HSI!$B$3,""))</f>
        <v/>
      </c>
      <c r="BW49" s="110">
        <f>IF(I49="","",IFERROR(I49*HSI!$B$44*HSI!$G$44/HSI!$B$3,""))</f>
        <v/>
      </c>
      <c r="BX49" s="110">
        <f>IF(J49="","",IFERROR(J49*HSI!$B$44*HSI!$G$44/HSI!$B$3,""))</f>
        <v/>
      </c>
      <c r="BY49" s="110">
        <f>IF(K49="","",IFERROR(K49*HSI!$B$44*HSI!$G$44/HSI!$B$3,""))</f>
        <v/>
      </c>
      <c r="BZ49" s="110">
        <f>IF(L49="","",IFERROR(L49*HSI!$B$44*HSI!$G$44/HSI!$B$3,""))</f>
        <v/>
      </c>
      <c r="CA49" s="110">
        <f>IF(M49="","",IFERROR(M49*HSI!$B$44*HSI!$G$44/HSI!$B$3,""))</f>
        <v/>
      </c>
      <c r="CB49" s="110">
        <f>IF(N49="","",IFERROR(N49*HSI!$B$44*HSI!$G$44/HSI!$B$3,""))</f>
        <v/>
      </c>
      <c r="CC49" s="110">
        <f>IF(O49="","",IFERROR(O49*HSI!$B$44*HSI!$G$44/HSI!$B$3,""))</f>
        <v/>
      </c>
      <c r="CD49" s="110">
        <f>IF(P49="","",IFERROR(P49*HSI!$B$44*HSI!$G$44/HSI!$B$3,""))</f>
        <v/>
      </c>
      <c r="CE49" s="110">
        <f>IF(Q49="","",IFERROR(Q49*HSI!$B$44*HSI!$G$44/HSI!$B$3,""))</f>
        <v/>
      </c>
      <c r="CF49" s="110">
        <f>IF(R49="","",IFERROR(R49*HSI!$B$44*HSI!$G$44/HSI!$B$3,""))</f>
        <v/>
      </c>
      <c r="CG49" s="110">
        <f>IF(S49="","",IFERROR(S49*HSI!$B$44*HSI!$G$44/HSI!$B$3,""))</f>
        <v/>
      </c>
      <c r="CH49" s="110">
        <f>IF(T49="","",IFERROR(T49*HSI!$B$44*HSI!$G$44/HSI!$B$3,""))</f>
        <v/>
      </c>
      <c r="CI49" s="110">
        <f>IF(U49="","",IFERROR(U49*HSI!$B$44*HSI!$G$44/HSI!$B$3,""))</f>
        <v/>
      </c>
      <c r="CJ49" s="110">
        <f>IF(V49="","",IFERROR(V49*HSI!$B$44*HSI!$G$44/HSI!$B$3,""))</f>
        <v/>
      </c>
      <c r="CK49" s="110">
        <f>IF(W49="","",IFERROR(W49*HSI!$B$44*HSI!$G$44/HSI!$B$3,""))</f>
        <v/>
      </c>
      <c r="CL49" s="110">
        <f>IF(X49="","",IFERROR(X49*HSI!$B$44*HSI!$G$44/HSI!$B$3,""))</f>
        <v/>
      </c>
      <c r="CM49" s="110">
        <f>IF(Y49="","",IFERROR(Y49*HSI!$B$44*HSI!$G$44/HSI!$B$3,""))</f>
        <v/>
      </c>
      <c r="CN49" s="110">
        <f>IF(Z49="","",IFERROR(Z49*HSI!$B$44*HSI!$G$44/HSI!$B$3,""))</f>
        <v/>
      </c>
      <c r="CO49" s="110">
        <f>IF(AA49="","",IFERROR(AA49*HSI!$B$44*HSI!$G$44/HSI!$B$3,""))</f>
        <v/>
      </c>
      <c r="CP49" s="110">
        <f>IF(AB49="","",IFERROR(AB49*HSI!$B$44*HSI!$G$44/HSI!$B$3,""))</f>
        <v/>
      </c>
      <c r="CQ49" s="110">
        <f>IF(AC49="","",IFERROR(AC49*HSI!$B$44*HSI!$G$44/HSI!$B$3,""))</f>
        <v/>
      </c>
      <c r="CR49" s="110">
        <f>IF(AD49="","",IFERROR(AD49*HSI!$B$44*HSI!$G$44/HSI!$B$3,""))</f>
        <v/>
      </c>
      <c r="CS49" s="110">
        <f>IF(AE49="","",IFERROR(AE49*HSI!$B$44*HSI!$G$44/HSI!$B$3,""))</f>
        <v/>
      </c>
      <c r="CT49" s="110">
        <f>IF(AF49="","",IFERROR(AF49*HSI!$B$44*HSI!$G$44/HSI!$B$3,""))</f>
        <v/>
      </c>
      <c r="CU49" s="110">
        <f>IF(AG49="","",IFERROR(AG49*HSI!$B$44*HSI!$G$44/HSI!$B$3,""))</f>
        <v/>
      </c>
      <c r="CV49" s="110">
        <f>IF(AH49="","",IFERROR(AH49*HSI!$B$44*HSI!$G$44/HSI!$B$3,""))</f>
        <v/>
      </c>
      <c r="CW49" s="110">
        <f>IF(AI49="","",IFERROR(AI49*HSI!$B$44*HSI!$G$44/HSI!$B$3,""))</f>
        <v/>
      </c>
      <c r="CX49" s="110">
        <f>IF(AJ49="","",IFERROR(AJ49*HSI!$B$44*HSI!$G$44/HSI!$B$3,""))</f>
        <v/>
      </c>
      <c r="CY49" s="110">
        <f>IF(AK49="","",IFERROR(AK49*HSI!$B$44*HSI!$G$44/HSI!$B$3,""))</f>
        <v/>
      </c>
      <c r="CZ49" s="110">
        <f>IF(AL49="","",IFERROR(AL49*HSI!$B$44*HSI!$G$44/HSI!$B$3,""))</f>
        <v/>
      </c>
      <c r="DA49" s="110">
        <f>IF(AM49="","",IFERROR(AM49*HSI!$B$44*HSI!$G$44/HSI!$B$3,""))</f>
        <v/>
      </c>
      <c r="DB49" s="110">
        <f>IF(AN49="","",IFERROR(AN49*HSI!$B$44*HSI!$G$44/HSI!$B$3,""))</f>
        <v/>
      </c>
      <c r="DC49" s="110">
        <f>IF(AO49="","",IFERROR(AO49*HSI!$B$44*HSI!$G$44/HSI!$B$3,""))</f>
        <v/>
      </c>
      <c r="DD49" s="110">
        <f>IF(AP49="","",IFERROR(AP49*HSI!$B$44*HSI!$G$44/HSI!$B$3,""))</f>
        <v/>
      </c>
      <c r="DE49" s="110">
        <f>IF(AQ49="","",IFERROR(AQ49*HSI!$B$44*HSI!$G$44/HSI!$B$3,""))</f>
        <v/>
      </c>
      <c r="DF49" s="110">
        <f>IF(AR49="","",IFERROR(AR49*HSI!$B$44*HSI!$G$44/HSI!$B$3,""))</f>
        <v/>
      </c>
      <c r="DG49" s="110">
        <f>IF(AS49="","",IFERROR(AS49*HSI!$B$44*HSI!$G$44/HSI!$B$3,""))</f>
        <v/>
      </c>
      <c r="DH49" s="110">
        <f>IF(AT49="","",IFERROR(AT49*HSI!$B$44*HSI!$G$44/HSI!$B$3,""))</f>
        <v/>
      </c>
      <c r="DI49" s="110">
        <f>IF(AU49="","",IFERROR(AU49*HSI!$B$44*HSI!$G$44/HSI!$B$3,""))</f>
        <v/>
      </c>
      <c r="DJ49" s="110">
        <f>IF(AV49="","",IFERROR(AV49*HSI!$B$44*HSI!$G$44/HSI!$B$3,""))</f>
        <v/>
      </c>
      <c r="DK49" s="110">
        <f>IF(AW49="","",IFERROR(AW49*HSI!$B$44*HSI!$G$44/HSI!$B$3,""))</f>
        <v/>
      </c>
      <c r="DL49" s="110">
        <f>IF(AX49="","",IFERROR(AX49*HSI!$B$44*HSI!$G$44/HSI!$B$3,""))</f>
        <v/>
      </c>
      <c r="DM49" s="110">
        <f>IF(AY49="","",IFERROR(AY49*HSI!$B$44*HSI!$G$44/HSI!$B$3,""))</f>
        <v/>
      </c>
      <c r="DN49" s="110">
        <f>IF(AZ49="","",IFERROR(AZ49*HSI!$B$44*HSI!$G$44/HSI!$B$3,""))</f>
        <v/>
      </c>
      <c r="DO49" s="110">
        <f>IF(BA49="","",IFERROR(BA49*HSI!$B$44*HSI!$G$44/HSI!$B$3,""))</f>
        <v/>
      </c>
      <c r="DP49" s="110">
        <f>IF(BB49="","",IFERROR(BB49*HSI!$B$44*HSI!$G$44/HSI!$B$3,""))</f>
        <v/>
      </c>
      <c r="DQ49" s="110">
        <f>IF(BC49="","",IFERROR(BC49*HSI!$B$44*HSI!$G$44/HSI!$B$3,""))</f>
        <v/>
      </c>
      <c r="DR49" s="110">
        <f>IF(BD49="","",IFERROR(BD49*HSI!$B$44*HSI!$G$44/HSI!$B$3,""))</f>
        <v/>
      </c>
      <c r="DS49" s="110">
        <f>IF(BE49="","",IFERROR(BE49*HSI!$B$44*HSI!$G$44/HSI!$B$3,""))</f>
        <v/>
      </c>
      <c r="DT49" s="110">
        <f>IF(BF49="","",IFERROR(BF49*HSI!$B$44*HSI!$G$44/HSI!$B$3,""))</f>
        <v/>
      </c>
      <c r="DU49" s="110">
        <f>IF(BG49="","",IFERROR(BG49*HSI!$B$44*HSI!$G$44/HSI!$B$3,""))</f>
        <v/>
      </c>
      <c r="DV49" s="110">
        <f>IF(BH49="","",IFERROR(BH49*HSI!$B$44*HSI!$G$44/HSI!$B$3,""))</f>
        <v/>
      </c>
      <c r="DW49" s="110">
        <f>IF(BI49="","",IFERROR(BI49*HSI!$B$44*HSI!$G$44/HSI!$B$3,""))</f>
        <v/>
      </c>
      <c r="DX49" s="110">
        <f>IF(BJ49="","",IFERROR(BJ49*HSI!$B$44*HSI!$G$44/HSI!$B$3,""))</f>
        <v/>
      </c>
      <c r="DY49" s="110">
        <f>IF(BK49="","",IFERROR(BK49*HSI!$B$44*HSI!$G$44/HSI!$B$3,""))</f>
        <v/>
      </c>
      <c r="DZ49" s="110">
        <f>IF(BL49="","",IFERROR(BL49*HSI!$B$44*HSI!$G$44/HSI!$B$3,""))</f>
        <v/>
      </c>
      <c r="EA49" s="110">
        <f>IF(BM49="","",IFERROR(BM49*HSI!$B$44*HSI!$G$44/HSI!$B$3,""))</f>
        <v/>
      </c>
      <c r="EB49" s="110">
        <f>IF(BN49="","",IFERROR(BN49*HSI!$B$44*HSI!$G$44/HSI!$B$3,""))</f>
        <v/>
      </c>
      <c r="EC49" s="110">
        <f>IF(BO49="","",IFERROR(BO49*HSI!$B$44*HSI!$G$44/HSI!$B$3,""))</f>
        <v/>
      </c>
      <c r="EE49" s="39">
        <f>IF(N('Dvd Calendar'!$E$418)=0,"",IF(('Dvd Calendar'!$E$418&gt;=GRID_FROM)*('Dvd Calendar'!$E$418&lt;=GRID_TO)*((('Dvd Calendar'!$E$418&lt;=VAL_DATE)+(COUNTIF('Dvd Calendar'!$E$425:$AR$425,'Dvd Calendar'!$E$418)=0))&gt;0)=0,"",'Dvd Calendar'!$E$418*1000000000+ISNUMBER('Dvd Calendar'!$E$421)*100000000+('Dvd Calendar'!$E$423=SPECIAL_LBL)*10000000+(N('Dvd Calendar'!$E$417)&gt;0)*(N('Dvd Calendar'!$E$417)&lt;=VAL_SERIAL)*1000000+38*1000+1))</f>
        <v/>
      </c>
      <c r="EF49" s="39">
        <f>IF(N('Dvd Calendar'!$F$418)=0,"",IF(('Dvd Calendar'!$F$418&gt;=GRID_FROM)*('Dvd Calendar'!$F$418&lt;=GRID_TO)*((('Dvd Calendar'!$F$418&lt;=VAL_DATE)+(COUNTIF('Dvd Calendar'!$E$425:$AR$425,'Dvd Calendar'!$F$418)=0))&gt;0)=0,"",'Dvd Calendar'!$F$418*1000000000+ISNUMBER('Dvd Calendar'!$F$421)*100000000+('Dvd Calendar'!$F$423=SPECIAL_LBL)*10000000+(N('Dvd Calendar'!$F$417)&gt;0)*(N('Dvd Calendar'!$F$417)&lt;=VAL_SERIAL)*1000000+38*1000+2))</f>
        <v/>
      </c>
      <c r="EG49" s="39">
        <f>IF(N('Dvd Calendar'!$G$418)=0,"",IF(('Dvd Calendar'!$G$418&gt;=GRID_FROM)*('Dvd Calendar'!$G$418&lt;=GRID_TO)*((('Dvd Calendar'!$G$418&lt;=VAL_DATE)+(COUNTIF('Dvd Calendar'!$E$425:$AR$425,'Dvd Calendar'!$G$418)=0))&gt;0)=0,"",'Dvd Calendar'!$G$418*1000000000+ISNUMBER('Dvd Calendar'!$G$421)*100000000+('Dvd Calendar'!$G$423=SPECIAL_LBL)*10000000+(N('Dvd Calendar'!$G$417)&gt;0)*(N('Dvd Calendar'!$G$417)&lt;=VAL_SERIAL)*1000000+38*1000+3))</f>
        <v/>
      </c>
      <c r="EH49" s="39">
        <f>IF(N('Dvd Calendar'!$H$418)=0,"",IF(('Dvd Calendar'!$H$418&gt;=GRID_FROM)*('Dvd Calendar'!$H$418&lt;=GRID_TO)*((('Dvd Calendar'!$H$418&lt;=VAL_DATE)+(COUNTIF('Dvd Calendar'!$E$425:$AR$425,'Dvd Calendar'!$H$418)=0))&gt;0)=0,"",'Dvd Calendar'!$H$418*1000000000+ISNUMBER('Dvd Calendar'!$H$421)*100000000+('Dvd Calendar'!$H$423=SPECIAL_LBL)*10000000+(N('Dvd Calendar'!$H$417)&gt;0)*(N('Dvd Calendar'!$H$417)&lt;=VAL_SERIAL)*1000000+38*1000+4))</f>
        <v/>
      </c>
      <c r="EI49" s="39">
        <f>IF(N('Dvd Calendar'!$I$418)=0,"",IF(('Dvd Calendar'!$I$418&gt;=GRID_FROM)*('Dvd Calendar'!$I$418&lt;=GRID_TO)*((('Dvd Calendar'!$I$418&lt;=VAL_DATE)+(COUNTIF('Dvd Calendar'!$E$425:$AR$425,'Dvd Calendar'!$I$418)=0))&gt;0)=0,"",'Dvd Calendar'!$I$418*1000000000+ISNUMBER('Dvd Calendar'!$I$421)*100000000+('Dvd Calendar'!$I$423=SPECIAL_LBL)*10000000+(N('Dvd Calendar'!$I$417)&gt;0)*(N('Dvd Calendar'!$I$417)&lt;=VAL_SERIAL)*1000000+38*1000+5))</f>
        <v/>
      </c>
      <c r="EJ49" s="39">
        <f>IF(N('Dvd Calendar'!$J$418)=0,"",IF(('Dvd Calendar'!$J$418&gt;=GRID_FROM)*('Dvd Calendar'!$J$418&lt;=GRID_TO)*((('Dvd Calendar'!$J$418&lt;=VAL_DATE)+(COUNTIF('Dvd Calendar'!$E$425:$AR$425,'Dvd Calendar'!$J$418)=0))&gt;0)=0,"",'Dvd Calendar'!$J$418*1000000000+ISNUMBER('Dvd Calendar'!$J$421)*100000000+('Dvd Calendar'!$J$423=SPECIAL_LBL)*10000000+(N('Dvd Calendar'!$J$417)&gt;0)*(N('Dvd Calendar'!$J$417)&lt;=VAL_SERIAL)*1000000+38*1000+6))</f>
        <v/>
      </c>
      <c r="EK49" s="39">
        <f>IF(N('Dvd Calendar'!$K$418)=0,"",IF(('Dvd Calendar'!$K$418&gt;=GRID_FROM)*('Dvd Calendar'!$K$418&lt;=GRID_TO)*((('Dvd Calendar'!$K$418&lt;=VAL_DATE)+(COUNTIF('Dvd Calendar'!$E$425:$AR$425,'Dvd Calendar'!$K$418)=0))&gt;0)=0,"",'Dvd Calendar'!$K$418*1000000000+ISNUMBER('Dvd Calendar'!$K$421)*100000000+('Dvd Calendar'!$K$423=SPECIAL_LBL)*10000000+(N('Dvd Calendar'!$K$417)&gt;0)*(N('Dvd Calendar'!$K$417)&lt;=VAL_SERIAL)*1000000+38*1000+7))</f>
        <v/>
      </c>
      <c r="EL49" s="39">
        <f>IF(N('Dvd Calendar'!$L$418)=0,"",IF(('Dvd Calendar'!$L$418&gt;=GRID_FROM)*('Dvd Calendar'!$L$418&lt;=GRID_TO)*((('Dvd Calendar'!$L$418&lt;=VAL_DATE)+(COUNTIF('Dvd Calendar'!$E$425:$AR$425,'Dvd Calendar'!$L$418)=0))&gt;0)=0,"",'Dvd Calendar'!$L$418*1000000000+ISNUMBER('Dvd Calendar'!$L$421)*100000000+('Dvd Calendar'!$L$423=SPECIAL_LBL)*10000000+(N('Dvd Calendar'!$L$417)&gt;0)*(N('Dvd Calendar'!$L$417)&lt;=VAL_SERIAL)*1000000+38*1000+8))</f>
        <v/>
      </c>
      <c r="EM49" s="39">
        <f>IF(N('Dvd Calendar'!$M$418)=0,"",IF(('Dvd Calendar'!$M$418&gt;=GRID_FROM)*('Dvd Calendar'!$M$418&lt;=GRID_TO)*((('Dvd Calendar'!$M$418&lt;=VAL_DATE)+(COUNTIF('Dvd Calendar'!$E$425:$AR$425,'Dvd Calendar'!$M$418)=0))&gt;0)=0,"",'Dvd Calendar'!$M$418*1000000000+ISNUMBER('Dvd Calendar'!$M$421)*100000000+('Dvd Calendar'!$M$423=SPECIAL_LBL)*10000000+(N('Dvd Calendar'!$M$417)&gt;0)*(N('Dvd Calendar'!$M$417)&lt;=VAL_SERIAL)*1000000+38*1000+9))</f>
        <v/>
      </c>
      <c r="EN49" s="39">
        <f>IF(N('Dvd Calendar'!$N$418)=0,"",IF(('Dvd Calendar'!$N$418&gt;=GRID_FROM)*('Dvd Calendar'!$N$418&lt;=GRID_TO)*((('Dvd Calendar'!$N$418&lt;=VAL_DATE)+(COUNTIF('Dvd Calendar'!$E$425:$AR$425,'Dvd Calendar'!$N$418)=0))&gt;0)=0,"",'Dvd Calendar'!$N$418*1000000000+ISNUMBER('Dvd Calendar'!$N$421)*100000000+('Dvd Calendar'!$N$423=SPECIAL_LBL)*10000000+(N('Dvd Calendar'!$N$417)&gt;0)*(N('Dvd Calendar'!$N$417)&lt;=VAL_SERIAL)*1000000+38*1000+10))</f>
        <v/>
      </c>
      <c r="EO49" s="39">
        <f>IF(N('Dvd Calendar'!$O$418)=0,"",IF(('Dvd Calendar'!$O$418&gt;=GRID_FROM)*('Dvd Calendar'!$O$418&lt;=GRID_TO)*((('Dvd Calendar'!$O$418&lt;=VAL_DATE)+(COUNTIF('Dvd Calendar'!$E$425:$AR$425,'Dvd Calendar'!$O$418)=0))&gt;0)=0,"",'Dvd Calendar'!$O$418*1000000000+ISNUMBER('Dvd Calendar'!$O$421)*100000000+('Dvd Calendar'!$O$423=SPECIAL_LBL)*10000000+(N('Dvd Calendar'!$O$417)&gt;0)*(N('Dvd Calendar'!$O$417)&lt;=VAL_SERIAL)*1000000+38*1000+11))</f>
        <v/>
      </c>
      <c r="EP49" s="39">
        <f>IF(N('Dvd Calendar'!$P$418)=0,"",IF(('Dvd Calendar'!$P$418&gt;=GRID_FROM)*('Dvd Calendar'!$P$418&lt;=GRID_TO)*((('Dvd Calendar'!$P$418&lt;=VAL_DATE)+(COUNTIF('Dvd Calendar'!$E$425:$AR$425,'Dvd Calendar'!$P$418)=0))&gt;0)=0,"",'Dvd Calendar'!$P$418*1000000000+ISNUMBER('Dvd Calendar'!$P$421)*100000000+('Dvd Calendar'!$P$423=SPECIAL_LBL)*10000000+(N('Dvd Calendar'!$P$417)&gt;0)*(N('Dvd Calendar'!$P$417)&lt;=VAL_SERIAL)*1000000+38*1000+12))</f>
        <v/>
      </c>
      <c r="EQ49" s="39">
        <f>IF(N('Dvd Calendar'!$Q$418)=0,"",IF(('Dvd Calendar'!$Q$418&gt;=GRID_FROM)*('Dvd Calendar'!$Q$418&lt;=GRID_TO)*((('Dvd Calendar'!$Q$418&lt;=VAL_DATE)+(COUNTIF('Dvd Calendar'!$E$425:$AR$425,'Dvd Calendar'!$Q$418)=0))&gt;0)=0,"",'Dvd Calendar'!$Q$418*1000000000+ISNUMBER('Dvd Calendar'!$Q$421)*100000000+('Dvd Calendar'!$Q$423=SPECIAL_LBL)*10000000+(N('Dvd Calendar'!$Q$417)&gt;0)*(N('Dvd Calendar'!$Q$417)&lt;=VAL_SERIAL)*1000000+38*1000+13))</f>
        <v/>
      </c>
      <c r="ER49" s="39">
        <f>IF(N('Dvd Calendar'!$R$418)=0,"",IF(('Dvd Calendar'!$R$418&gt;=GRID_FROM)*('Dvd Calendar'!$R$418&lt;=GRID_TO)*((('Dvd Calendar'!$R$418&lt;=VAL_DATE)+(COUNTIF('Dvd Calendar'!$E$425:$AR$425,'Dvd Calendar'!$R$418)=0))&gt;0)=0,"",'Dvd Calendar'!$R$418*1000000000+ISNUMBER('Dvd Calendar'!$R$421)*100000000+('Dvd Calendar'!$R$423=SPECIAL_LBL)*10000000+(N('Dvd Calendar'!$R$417)&gt;0)*(N('Dvd Calendar'!$R$417)&lt;=VAL_SERIAL)*1000000+38*1000+14))</f>
        <v/>
      </c>
      <c r="ES49" s="39">
        <f>IF(N('Dvd Calendar'!$S$418)=0,"",IF(('Dvd Calendar'!$S$418&gt;=GRID_FROM)*('Dvd Calendar'!$S$418&lt;=GRID_TO)*((('Dvd Calendar'!$S$418&lt;=VAL_DATE)+(COUNTIF('Dvd Calendar'!$E$425:$AR$425,'Dvd Calendar'!$S$418)=0))&gt;0)=0,"",'Dvd Calendar'!$S$418*1000000000+ISNUMBER('Dvd Calendar'!$S$421)*100000000+('Dvd Calendar'!$S$423=SPECIAL_LBL)*10000000+(N('Dvd Calendar'!$S$417)&gt;0)*(N('Dvd Calendar'!$S$417)&lt;=VAL_SERIAL)*1000000+38*1000+15))</f>
        <v/>
      </c>
      <c r="ET49" s="39">
        <f>IF(N('Dvd Calendar'!$T$418)=0,"",IF(('Dvd Calendar'!$T$418&gt;=GRID_FROM)*('Dvd Calendar'!$T$418&lt;=GRID_TO)*((('Dvd Calendar'!$T$418&lt;=VAL_DATE)+(COUNTIF('Dvd Calendar'!$E$425:$AR$425,'Dvd Calendar'!$T$418)=0))&gt;0)=0,"",'Dvd Calendar'!$T$418*1000000000+ISNUMBER('Dvd Calendar'!$T$421)*100000000+('Dvd Calendar'!$T$423=SPECIAL_LBL)*10000000+(N('Dvd Calendar'!$T$417)&gt;0)*(N('Dvd Calendar'!$T$417)&lt;=VAL_SERIAL)*1000000+38*1000+16))</f>
        <v/>
      </c>
      <c r="EU49" s="39">
        <f>IF(N('Dvd Calendar'!$U$418)=0,"",IF(('Dvd Calendar'!$U$418&gt;=GRID_FROM)*('Dvd Calendar'!$U$418&lt;=GRID_TO)*((('Dvd Calendar'!$U$418&lt;=VAL_DATE)+(COUNTIF('Dvd Calendar'!$E$425:$AR$425,'Dvd Calendar'!$U$418)=0))&gt;0)=0,"",'Dvd Calendar'!$U$418*1000000000+ISNUMBER('Dvd Calendar'!$U$421)*100000000+('Dvd Calendar'!$U$423=SPECIAL_LBL)*10000000+(N('Dvd Calendar'!$U$417)&gt;0)*(N('Dvd Calendar'!$U$417)&lt;=VAL_SERIAL)*1000000+38*1000+17))</f>
        <v/>
      </c>
      <c r="EV49" s="39">
        <f>IF(N('Dvd Calendar'!$V$418)=0,"",IF(('Dvd Calendar'!$V$418&gt;=GRID_FROM)*('Dvd Calendar'!$V$418&lt;=GRID_TO)*((('Dvd Calendar'!$V$418&lt;=VAL_DATE)+(COUNTIF('Dvd Calendar'!$E$425:$AR$425,'Dvd Calendar'!$V$418)=0))&gt;0)=0,"",'Dvd Calendar'!$V$418*1000000000+ISNUMBER('Dvd Calendar'!$V$421)*100000000+('Dvd Calendar'!$V$423=SPECIAL_LBL)*10000000+(N('Dvd Calendar'!$V$417)&gt;0)*(N('Dvd Calendar'!$V$417)&lt;=VAL_SERIAL)*1000000+38*1000+18))</f>
        <v/>
      </c>
      <c r="EW49" s="39">
        <f>IF(N('Dvd Calendar'!$W$418)=0,"",IF(('Dvd Calendar'!$W$418&gt;=GRID_FROM)*('Dvd Calendar'!$W$418&lt;=GRID_TO)*((('Dvd Calendar'!$W$418&lt;=VAL_DATE)+(COUNTIF('Dvd Calendar'!$E$425:$AR$425,'Dvd Calendar'!$W$418)=0))&gt;0)=0,"",'Dvd Calendar'!$W$418*1000000000+ISNUMBER('Dvd Calendar'!$W$421)*100000000+('Dvd Calendar'!$W$423=SPECIAL_LBL)*10000000+(N('Dvd Calendar'!$W$417)&gt;0)*(N('Dvd Calendar'!$W$417)&lt;=VAL_SERIAL)*1000000+38*1000+19))</f>
        <v/>
      </c>
      <c r="EX49" s="39">
        <f>IF(N('Dvd Calendar'!$X$418)=0,"",IF(('Dvd Calendar'!$X$418&gt;=GRID_FROM)*('Dvd Calendar'!$X$418&lt;=GRID_TO)*((('Dvd Calendar'!$X$418&lt;=VAL_DATE)+(COUNTIF('Dvd Calendar'!$E$425:$AR$425,'Dvd Calendar'!$X$418)=0))&gt;0)=0,"",'Dvd Calendar'!$X$418*1000000000+ISNUMBER('Dvd Calendar'!$X$421)*100000000+('Dvd Calendar'!$X$423=SPECIAL_LBL)*10000000+(N('Dvd Calendar'!$X$417)&gt;0)*(N('Dvd Calendar'!$X$417)&lt;=VAL_SERIAL)*1000000+38*1000+20))</f>
        <v/>
      </c>
      <c r="EY49" s="39">
        <f>IF(N('Dvd Calendar'!$Y$418)=0,"",IF(('Dvd Calendar'!$Y$418&gt;=GRID_FROM)*('Dvd Calendar'!$Y$418&lt;=GRID_TO)*((('Dvd Calendar'!$Y$418&lt;=VAL_DATE)+(COUNTIF('Dvd Calendar'!$E$425:$AR$425,'Dvd Calendar'!$Y$418)=0))&gt;0)=0,"",'Dvd Calendar'!$Y$418*1000000000+ISNUMBER('Dvd Calendar'!$Y$421)*100000000+('Dvd Calendar'!$Y$423=SPECIAL_LBL)*10000000+(N('Dvd Calendar'!$Y$417)&gt;0)*(N('Dvd Calendar'!$Y$417)&lt;=VAL_SERIAL)*1000000+38*1000+21))</f>
        <v/>
      </c>
      <c r="EZ49" s="39">
        <f>IF(N('Dvd Calendar'!$Z$418)=0,"",IF(('Dvd Calendar'!$Z$418&gt;=GRID_FROM)*('Dvd Calendar'!$Z$418&lt;=GRID_TO)*((('Dvd Calendar'!$Z$418&lt;=VAL_DATE)+(COUNTIF('Dvd Calendar'!$E$425:$AR$425,'Dvd Calendar'!$Z$418)=0))&gt;0)=0,"",'Dvd Calendar'!$Z$418*1000000000+ISNUMBER('Dvd Calendar'!$Z$421)*100000000+('Dvd Calendar'!$Z$423=SPECIAL_LBL)*10000000+(N('Dvd Calendar'!$Z$417)&gt;0)*(N('Dvd Calendar'!$Z$417)&lt;=VAL_SERIAL)*1000000+38*1000+22))</f>
        <v/>
      </c>
      <c r="FA49" s="39">
        <f>IF(N('Dvd Calendar'!$AA$418)=0,"",IF(('Dvd Calendar'!$AA$418&gt;=GRID_FROM)*('Dvd Calendar'!$AA$418&lt;=GRID_TO)*((('Dvd Calendar'!$AA$418&lt;=VAL_DATE)+(COUNTIF('Dvd Calendar'!$E$425:$AR$425,'Dvd Calendar'!$AA$418)=0))&gt;0)=0,"",'Dvd Calendar'!$AA$418*1000000000+ISNUMBER('Dvd Calendar'!$AA$421)*100000000+('Dvd Calendar'!$AA$423=SPECIAL_LBL)*10000000+(N('Dvd Calendar'!$AA$417)&gt;0)*(N('Dvd Calendar'!$AA$417)&lt;=VAL_SERIAL)*1000000+38*1000+23))</f>
        <v/>
      </c>
      <c r="FB49" s="39">
        <f>IF(N('Dvd Calendar'!$AB$418)=0,"",IF(('Dvd Calendar'!$AB$418&gt;=GRID_FROM)*('Dvd Calendar'!$AB$418&lt;=GRID_TO)*((('Dvd Calendar'!$AB$418&lt;=VAL_DATE)+(COUNTIF('Dvd Calendar'!$E$425:$AR$425,'Dvd Calendar'!$AB$418)=0))&gt;0)=0,"",'Dvd Calendar'!$AB$418*1000000000+ISNUMBER('Dvd Calendar'!$AB$421)*100000000+('Dvd Calendar'!$AB$423=SPECIAL_LBL)*10000000+(N('Dvd Calendar'!$AB$417)&gt;0)*(N('Dvd Calendar'!$AB$417)&lt;=VAL_SERIAL)*1000000+38*1000+24))</f>
        <v/>
      </c>
      <c r="FC49" s="39">
        <f>IF(N('Dvd Calendar'!$AC$418)=0,"",IF(('Dvd Calendar'!$AC$418&gt;=GRID_FROM)*('Dvd Calendar'!$AC$418&lt;=GRID_TO)*((('Dvd Calendar'!$AC$418&lt;=VAL_DATE)+(COUNTIF('Dvd Calendar'!$E$425:$AR$425,'Dvd Calendar'!$AC$418)=0))&gt;0)=0,"",'Dvd Calendar'!$AC$418*1000000000+ISNUMBER('Dvd Calendar'!$AC$421)*100000000+('Dvd Calendar'!$AC$423=SPECIAL_LBL)*10000000+(N('Dvd Calendar'!$AC$417)&gt;0)*(N('Dvd Calendar'!$AC$417)&lt;=VAL_SERIAL)*1000000+38*1000+25))</f>
        <v/>
      </c>
      <c r="FD49" s="39">
        <f>IF(N('Dvd Calendar'!$AD$418)=0,"",IF(('Dvd Calendar'!$AD$418&gt;=GRID_FROM)*('Dvd Calendar'!$AD$418&lt;=GRID_TO)*((('Dvd Calendar'!$AD$418&lt;=VAL_DATE)+(COUNTIF('Dvd Calendar'!$E$425:$AR$425,'Dvd Calendar'!$AD$418)=0))&gt;0)=0,"",'Dvd Calendar'!$AD$418*1000000000+ISNUMBER('Dvd Calendar'!$AD$421)*100000000+('Dvd Calendar'!$AD$423=SPECIAL_LBL)*10000000+(N('Dvd Calendar'!$AD$417)&gt;0)*(N('Dvd Calendar'!$AD$417)&lt;=VAL_SERIAL)*1000000+38*1000+26))</f>
        <v/>
      </c>
      <c r="FE49" s="39">
        <f>IF(N('Dvd Calendar'!$AE$418)=0,"",IF(('Dvd Calendar'!$AE$418&gt;=GRID_FROM)*('Dvd Calendar'!$AE$418&lt;=GRID_TO)*((('Dvd Calendar'!$AE$418&lt;=VAL_DATE)+(COUNTIF('Dvd Calendar'!$E$425:$AR$425,'Dvd Calendar'!$AE$418)=0))&gt;0)=0,"",'Dvd Calendar'!$AE$418*1000000000+ISNUMBER('Dvd Calendar'!$AE$421)*100000000+('Dvd Calendar'!$AE$423=SPECIAL_LBL)*10000000+(N('Dvd Calendar'!$AE$417)&gt;0)*(N('Dvd Calendar'!$AE$417)&lt;=VAL_SERIAL)*1000000+38*1000+27))</f>
        <v/>
      </c>
      <c r="FF49" s="39">
        <f>IF(N('Dvd Calendar'!$AF$418)=0,"",IF(('Dvd Calendar'!$AF$418&gt;=GRID_FROM)*('Dvd Calendar'!$AF$418&lt;=GRID_TO)*((('Dvd Calendar'!$AF$418&lt;=VAL_DATE)+(COUNTIF('Dvd Calendar'!$E$425:$AR$425,'Dvd Calendar'!$AF$418)=0))&gt;0)=0,"",'Dvd Calendar'!$AF$418*1000000000+ISNUMBER('Dvd Calendar'!$AF$421)*100000000+('Dvd Calendar'!$AF$423=SPECIAL_LBL)*10000000+(N('Dvd Calendar'!$AF$417)&gt;0)*(N('Dvd Calendar'!$AF$417)&lt;=VAL_SERIAL)*1000000+38*1000+28))</f>
        <v/>
      </c>
      <c r="FG49" s="39">
        <f>IF(N('Dvd Calendar'!$AG$418)=0,"",IF(('Dvd Calendar'!$AG$418&gt;=GRID_FROM)*('Dvd Calendar'!$AG$418&lt;=GRID_TO)*((('Dvd Calendar'!$AG$418&lt;=VAL_DATE)+(COUNTIF('Dvd Calendar'!$E$425:$AR$425,'Dvd Calendar'!$AG$418)=0))&gt;0)=0,"",'Dvd Calendar'!$AG$418*1000000000+ISNUMBER('Dvd Calendar'!$AG$421)*100000000+('Dvd Calendar'!$AG$423=SPECIAL_LBL)*10000000+(N('Dvd Calendar'!$AG$417)&gt;0)*(N('Dvd Calendar'!$AG$417)&lt;=VAL_SERIAL)*1000000+38*1000+29))</f>
        <v/>
      </c>
      <c r="FH49" s="39">
        <f>IF(N('Dvd Calendar'!$AH$418)=0,"",IF(('Dvd Calendar'!$AH$418&gt;=GRID_FROM)*('Dvd Calendar'!$AH$418&lt;=GRID_TO)*((('Dvd Calendar'!$AH$418&lt;=VAL_DATE)+(COUNTIF('Dvd Calendar'!$E$425:$AR$425,'Dvd Calendar'!$AH$418)=0))&gt;0)=0,"",'Dvd Calendar'!$AH$418*1000000000+ISNUMBER('Dvd Calendar'!$AH$421)*100000000+('Dvd Calendar'!$AH$423=SPECIAL_LBL)*10000000+(N('Dvd Calendar'!$AH$417)&gt;0)*(N('Dvd Calendar'!$AH$417)&lt;=VAL_SERIAL)*1000000+38*1000+30))</f>
        <v/>
      </c>
      <c r="FI49" s="39">
        <f>IF(N('Dvd Calendar'!$AI$418)=0,"",IF(('Dvd Calendar'!$AI$418&gt;=GRID_FROM)*('Dvd Calendar'!$AI$418&lt;=GRID_TO)*((('Dvd Calendar'!$AI$418&lt;=VAL_DATE)+(COUNTIF('Dvd Calendar'!$E$425:$AR$425,'Dvd Calendar'!$AI$418)=0))&gt;0)=0,"",'Dvd Calendar'!$AI$418*1000000000+ISNUMBER('Dvd Calendar'!$AI$421)*100000000+('Dvd Calendar'!$AI$423=SPECIAL_LBL)*10000000+(N('Dvd Calendar'!$AI$417)&gt;0)*(N('Dvd Calendar'!$AI$417)&lt;=VAL_SERIAL)*1000000+38*1000+31))</f>
        <v/>
      </c>
      <c r="FJ49" s="39">
        <f>IF(N('Dvd Calendar'!$AJ$418)=0,"",IF(('Dvd Calendar'!$AJ$418&gt;=GRID_FROM)*('Dvd Calendar'!$AJ$418&lt;=GRID_TO)*((('Dvd Calendar'!$AJ$418&lt;=VAL_DATE)+(COUNTIF('Dvd Calendar'!$E$425:$AR$425,'Dvd Calendar'!$AJ$418)=0))&gt;0)=0,"",'Dvd Calendar'!$AJ$418*1000000000+ISNUMBER('Dvd Calendar'!$AJ$421)*100000000+('Dvd Calendar'!$AJ$423=SPECIAL_LBL)*10000000+(N('Dvd Calendar'!$AJ$417)&gt;0)*(N('Dvd Calendar'!$AJ$417)&lt;=VAL_SERIAL)*1000000+38*1000+32))</f>
        <v/>
      </c>
      <c r="FK49" s="39">
        <f>IF(N('Dvd Calendar'!$AK$418)=0,"",IF(('Dvd Calendar'!$AK$418&gt;=GRID_FROM)*('Dvd Calendar'!$AK$418&lt;=GRID_TO)*((('Dvd Calendar'!$AK$418&lt;=VAL_DATE)+(COUNTIF('Dvd Calendar'!$E$425:$AR$425,'Dvd Calendar'!$AK$418)=0))&gt;0)=0,"",'Dvd Calendar'!$AK$418*1000000000+ISNUMBER('Dvd Calendar'!$AK$421)*100000000+('Dvd Calendar'!$AK$423=SPECIAL_LBL)*10000000+(N('Dvd Calendar'!$AK$417)&gt;0)*(N('Dvd Calendar'!$AK$417)&lt;=VAL_SERIAL)*1000000+38*1000+33))</f>
        <v/>
      </c>
      <c r="FL49" s="39">
        <f>IF(N('Dvd Calendar'!$AL$418)=0,"",IF(('Dvd Calendar'!$AL$418&gt;=GRID_FROM)*('Dvd Calendar'!$AL$418&lt;=GRID_TO)*((('Dvd Calendar'!$AL$418&lt;=VAL_DATE)+(COUNTIF('Dvd Calendar'!$E$425:$AR$425,'Dvd Calendar'!$AL$418)=0))&gt;0)=0,"",'Dvd Calendar'!$AL$418*1000000000+ISNUMBER('Dvd Calendar'!$AL$421)*100000000+('Dvd Calendar'!$AL$423=SPECIAL_LBL)*10000000+(N('Dvd Calendar'!$AL$417)&gt;0)*(N('Dvd Calendar'!$AL$417)&lt;=VAL_SERIAL)*1000000+38*1000+34))</f>
        <v/>
      </c>
      <c r="FM49" s="39">
        <f>IF(N('Dvd Calendar'!$AM$418)=0,"",IF(('Dvd Calendar'!$AM$418&gt;=GRID_FROM)*('Dvd Calendar'!$AM$418&lt;=GRID_TO)*((('Dvd Calendar'!$AM$418&lt;=VAL_DATE)+(COUNTIF('Dvd Calendar'!$E$425:$AR$425,'Dvd Calendar'!$AM$418)=0))&gt;0)=0,"",'Dvd Calendar'!$AM$418*1000000000+ISNUMBER('Dvd Calendar'!$AM$421)*100000000+('Dvd Calendar'!$AM$423=SPECIAL_LBL)*10000000+(N('Dvd Calendar'!$AM$417)&gt;0)*(N('Dvd Calendar'!$AM$417)&lt;=VAL_SERIAL)*1000000+38*1000+35))</f>
        <v/>
      </c>
      <c r="FN49" s="39">
        <f>IF(N('Dvd Calendar'!$AN$418)=0,"",IF(('Dvd Calendar'!$AN$418&gt;=GRID_FROM)*('Dvd Calendar'!$AN$418&lt;=GRID_TO)*((('Dvd Calendar'!$AN$418&lt;=VAL_DATE)+(COUNTIF('Dvd Calendar'!$E$425:$AR$425,'Dvd Calendar'!$AN$418)=0))&gt;0)=0,"",'Dvd Calendar'!$AN$418*1000000000+ISNUMBER('Dvd Calendar'!$AN$421)*100000000+('Dvd Calendar'!$AN$423=SPECIAL_LBL)*10000000+(N('Dvd Calendar'!$AN$417)&gt;0)*(N('Dvd Calendar'!$AN$417)&lt;=VAL_SERIAL)*1000000+38*1000+36))</f>
        <v/>
      </c>
      <c r="FO49" s="39">
        <f>IF(N('Dvd Calendar'!$AO$418)=0,"",IF(('Dvd Calendar'!$AO$418&gt;=GRID_FROM)*('Dvd Calendar'!$AO$418&lt;=GRID_TO)*((('Dvd Calendar'!$AO$418&lt;=VAL_DATE)+(COUNTIF('Dvd Calendar'!$E$425:$AR$425,'Dvd Calendar'!$AO$418)=0))&gt;0)=0,"",'Dvd Calendar'!$AO$418*1000000000+ISNUMBER('Dvd Calendar'!$AO$421)*100000000+('Dvd Calendar'!$AO$423=SPECIAL_LBL)*10000000+(N('Dvd Calendar'!$AO$417)&gt;0)*(N('Dvd Calendar'!$AO$417)&lt;=VAL_SERIAL)*1000000+38*1000+37))</f>
        <v/>
      </c>
      <c r="FP49" s="39">
        <f>IF(N('Dvd Calendar'!$AP$418)=0,"",IF(('Dvd Calendar'!$AP$418&gt;=GRID_FROM)*('Dvd Calendar'!$AP$418&lt;=GRID_TO)*((('Dvd Calendar'!$AP$418&lt;=VAL_DATE)+(COUNTIF('Dvd Calendar'!$E$425:$AR$425,'Dvd Calendar'!$AP$418)=0))&gt;0)=0,"",'Dvd Calendar'!$AP$418*1000000000+ISNUMBER('Dvd Calendar'!$AP$421)*100000000+('Dvd Calendar'!$AP$423=SPECIAL_LBL)*10000000+(N('Dvd Calendar'!$AP$417)&gt;0)*(N('Dvd Calendar'!$AP$417)&lt;=VAL_SERIAL)*1000000+38*1000+38))</f>
        <v/>
      </c>
      <c r="FQ49" s="39">
        <f>IF(N('Dvd Calendar'!$AQ$418)=0,"",IF(('Dvd Calendar'!$AQ$418&gt;=GRID_FROM)*('Dvd Calendar'!$AQ$418&lt;=GRID_TO)*((('Dvd Calendar'!$AQ$418&lt;=VAL_DATE)+(COUNTIF('Dvd Calendar'!$E$425:$AR$425,'Dvd Calendar'!$AQ$418)=0))&gt;0)=0,"",'Dvd Calendar'!$AQ$418*1000000000+ISNUMBER('Dvd Calendar'!$AQ$421)*100000000+('Dvd Calendar'!$AQ$423=SPECIAL_LBL)*10000000+(N('Dvd Calendar'!$AQ$417)&gt;0)*(N('Dvd Calendar'!$AQ$417)&lt;=VAL_SERIAL)*1000000+38*1000+39))</f>
        <v/>
      </c>
      <c r="FR49" s="39">
        <f>IF(N('Dvd Calendar'!$AR$418)=0,"",IF(('Dvd Calendar'!$AR$418&gt;=GRID_FROM)*('Dvd Calendar'!$AR$418&lt;=GRID_TO)*((('Dvd Calendar'!$AR$418&lt;=VAL_DATE)+(COUNTIF('Dvd Calendar'!$E$425:$AR$425,'Dvd Calendar'!$AR$418)=0))&gt;0)=0,"",'Dvd Calendar'!$AR$418*1000000000+ISNUMBER('Dvd Calendar'!$AR$421)*100000000+('Dvd Calendar'!$AR$423=SPECIAL_LBL)*10000000+(N('Dvd Calendar'!$AR$417)&gt;0)*(N('Dvd Calendar'!$AR$417)&lt;=VAL_SERIAL)*1000000+38*1000+40))</f>
        <v/>
      </c>
      <c r="FS49" s="39">
        <f>IF(N('Dvd Calendar'!$E$425)=0,"",IF(('Dvd Calendar'!$E$425&gt;=GRID_FROM)*('Dvd Calendar'!$E$425&lt;=GRID_TO)*('Dvd Calendar'!$E$425&gt;VAL_DATE)=0,"",'Dvd Calendar'!$E$425*1000000000+ISNUMBER('Dvd Calendar'!$E$426)*100000000+0*10000000+(N('Dvd Calendar'!$E$424)&gt;0)*(N('Dvd Calendar'!$E$424)&lt;=VAL_SERIAL)*1000000+38*1000+41))</f>
        <v/>
      </c>
      <c r="FT49" s="39">
        <f>IF(N('Dvd Calendar'!$F$425)=0,"",IF(('Dvd Calendar'!$F$425&gt;=GRID_FROM)*('Dvd Calendar'!$F$425&lt;=GRID_TO)*('Dvd Calendar'!$F$425&gt;VAL_DATE)=0,"",'Dvd Calendar'!$F$425*1000000000+ISNUMBER('Dvd Calendar'!$F$426)*100000000+0*10000000+(N('Dvd Calendar'!$F$424)&gt;0)*(N('Dvd Calendar'!$F$424)&lt;=VAL_SERIAL)*1000000+38*1000+42))</f>
        <v/>
      </c>
      <c r="FU49" s="39">
        <f>IF(N('Dvd Calendar'!$G$425)=0,"",IF(('Dvd Calendar'!$G$425&gt;=GRID_FROM)*('Dvd Calendar'!$G$425&lt;=GRID_TO)*('Dvd Calendar'!$G$425&gt;VAL_DATE)=0,"",'Dvd Calendar'!$G$425*1000000000+ISNUMBER('Dvd Calendar'!$G$426)*100000000+0*10000000+(N('Dvd Calendar'!$G$424)&gt;0)*(N('Dvd Calendar'!$G$424)&lt;=VAL_SERIAL)*1000000+38*1000+43))</f>
        <v/>
      </c>
      <c r="FV49" s="39">
        <f>IF(N('Dvd Calendar'!$H$425)=0,"",IF(('Dvd Calendar'!$H$425&gt;=GRID_FROM)*('Dvd Calendar'!$H$425&lt;=GRID_TO)*('Dvd Calendar'!$H$425&gt;VAL_DATE)=0,"",'Dvd Calendar'!$H$425*1000000000+ISNUMBER('Dvd Calendar'!$H$426)*100000000+0*10000000+(N('Dvd Calendar'!$H$424)&gt;0)*(N('Dvd Calendar'!$H$424)&lt;=VAL_SERIAL)*1000000+38*1000+44))</f>
        <v/>
      </c>
      <c r="FW49" s="39">
        <f>IF(N('Dvd Calendar'!$I$425)=0,"",IF(('Dvd Calendar'!$I$425&gt;=GRID_FROM)*('Dvd Calendar'!$I$425&lt;=GRID_TO)*('Dvd Calendar'!$I$425&gt;VAL_DATE)=0,"",'Dvd Calendar'!$I$425*1000000000+ISNUMBER('Dvd Calendar'!$I$426)*100000000+0*10000000+(N('Dvd Calendar'!$I$424)&gt;0)*(N('Dvd Calendar'!$I$424)&lt;=VAL_SERIAL)*1000000+38*1000+45))</f>
        <v/>
      </c>
      <c r="FX49" s="39">
        <f>IF(N('Dvd Calendar'!$J$425)=0,"",IF(('Dvd Calendar'!$J$425&gt;=GRID_FROM)*('Dvd Calendar'!$J$425&lt;=GRID_TO)*('Dvd Calendar'!$J$425&gt;VAL_DATE)=0,"",'Dvd Calendar'!$J$425*1000000000+ISNUMBER('Dvd Calendar'!$J$426)*100000000+0*10000000+(N('Dvd Calendar'!$J$424)&gt;0)*(N('Dvd Calendar'!$J$424)&lt;=VAL_SERIAL)*1000000+38*1000+46))</f>
        <v/>
      </c>
      <c r="FY49" s="39">
        <f>IF(N('Dvd Calendar'!$K$425)=0,"",IF(('Dvd Calendar'!$K$425&gt;=GRID_FROM)*('Dvd Calendar'!$K$425&lt;=GRID_TO)*('Dvd Calendar'!$K$425&gt;VAL_DATE)=0,"",'Dvd Calendar'!$K$425*1000000000+ISNUMBER('Dvd Calendar'!$K$426)*100000000+0*10000000+(N('Dvd Calendar'!$K$424)&gt;0)*(N('Dvd Calendar'!$K$424)&lt;=VAL_SERIAL)*1000000+38*1000+47))</f>
        <v/>
      </c>
      <c r="FZ49" s="39">
        <f>IF(N('Dvd Calendar'!$L$425)=0,"",IF(('Dvd Calendar'!$L$425&gt;=GRID_FROM)*('Dvd Calendar'!$L$425&lt;=GRID_TO)*('Dvd Calendar'!$L$425&gt;VAL_DATE)=0,"",'Dvd Calendar'!$L$425*1000000000+ISNUMBER('Dvd Calendar'!$L$426)*100000000+0*10000000+(N('Dvd Calendar'!$L$424)&gt;0)*(N('Dvd Calendar'!$L$424)&lt;=VAL_SERIAL)*1000000+38*1000+48))</f>
        <v/>
      </c>
      <c r="GA49" s="39">
        <f>IF(N('Dvd Calendar'!$M$425)=0,"",IF(('Dvd Calendar'!$M$425&gt;=GRID_FROM)*('Dvd Calendar'!$M$425&lt;=GRID_TO)*('Dvd Calendar'!$M$425&gt;VAL_DATE)=0,"",'Dvd Calendar'!$M$425*1000000000+ISNUMBER('Dvd Calendar'!$M$426)*100000000+0*10000000+(N('Dvd Calendar'!$M$424)&gt;0)*(N('Dvd Calendar'!$M$424)&lt;=VAL_SERIAL)*1000000+38*1000+49))</f>
        <v/>
      </c>
      <c r="GB49" s="39">
        <f>IF(N('Dvd Calendar'!$N$425)=0,"",IF(('Dvd Calendar'!$N$425&gt;=GRID_FROM)*('Dvd Calendar'!$N$425&lt;=GRID_TO)*('Dvd Calendar'!$N$425&gt;VAL_DATE)=0,"",'Dvd Calendar'!$N$425*1000000000+ISNUMBER('Dvd Calendar'!$N$426)*100000000+0*10000000+(N('Dvd Calendar'!$N$424)&gt;0)*(N('Dvd Calendar'!$N$424)&lt;=VAL_SERIAL)*1000000+38*1000+50))</f>
        <v/>
      </c>
      <c r="GC49" s="39">
        <f>IF(N('Dvd Calendar'!$O$425)=0,"",IF(('Dvd Calendar'!$O$425&gt;=GRID_FROM)*('Dvd Calendar'!$O$425&lt;=GRID_TO)*('Dvd Calendar'!$O$425&gt;VAL_DATE)=0,"",'Dvd Calendar'!$O$425*1000000000+ISNUMBER('Dvd Calendar'!$O$426)*100000000+0*10000000+(N('Dvd Calendar'!$O$424)&gt;0)*(N('Dvd Calendar'!$O$424)&lt;=VAL_SERIAL)*1000000+38*1000+51))</f>
        <v/>
      </c>
      <c r="GD49" s="39">
        <f>IF(N('Dvd Calendar'!$P$425)=0,"",IF(('Dvd Calendar'!$P$425&gt;=GRID_FROM)*('Dvd Calendar'!$P$425&lt;=GRID_TO)*('Dvd Calendar'!$P$425&gt;VAL_DATE)=0,"",'Dvd Calendar'!$P$425*1000000000+ISNUMBER('Dvd Calendar'!$P$426)*100000000+0*10000000+(N('Dvd Calendar'!$P$424)&gt;0)*(N('Dvd Calendar'!$P$424)&lt;=VAL_SERIAL)*1000000+38*1000+52))</f>
        <v/>
      </c>
      <c r="GE49" s="39">
        <f>IF(N('Dvd Calendar'!$Q$425)=0,"",IF(('Dvd Calendar'!$Q$425&gt;=GRID_FROM)*('Dvd Calendar'!$Q$425&lt;=GRID_TO)*('Dvd Calendar'!$Q$425&gt;VAL_DATE)=0,"",'Dvd Calendar'!$Q$425*1000000000+ISNUMBER('Dvd Calendar'!$Q$426)*100000000+0*10000000+(N('Dvd Calendar'!$Q$424)&gt;0)*(N('Dvd Calendar'!$Q$424)&lt;=VAL_SERIAL)*1000000+38*1000+53))</f>
        <v/>
      </c>
      <c r="GF49" s="39">
        <f>IF(N('Dvd Calendar'!$R$425)=0,"",IF(('Dvd Calendar'!$R$425&gt;=GRID_FROM)*('Dvd Calendar'!$R$425&lt;=GRID_TO)*('Dvd Calendar'!$R$425&gt;VAL_DATE)=0,"",'Dvd Calendar'!$R$425*1000000000+ISNUMBER('Dvd Calendar'!$R$426)*100000000+0*10000000+(N('Dvd Calendar'!$R$424)&gt;0)*(N('Dvd Calendar'!$R$424)&lt;=VAL_SERIAL)*1000000+38*1000+54))</f>
        <v/>
      </c>
      <c r="GG49" s="39">
        <f>IF(N('Dvd Calendar'!$S$425)=0,"",IF(('Dvd Calendar'!$S$425&gt;=GRID_FROM)*('Dvd Calendar'!$S$425&lt;=GRID_TO)*('Dvd Calendar'!$S$425&gt;VAL_DATE)=0,"",'Dvd Calendar'!$S$425*1000000000+ISNUMBER('Dvd Calendar'!$S$426)*100000000+0*10000000+(N('Dvd Calendar'!$S$424)&gt;0)*(N('Dvd Calendar'!$S$424)&lt;=VAL_SERIAL)*1000000+38*1000+55))</f>
        <v/>
      </c>
      <c r="GH49" s="39">
        <f>IF(N('Dvd Calendar'!$T$425)=0,"",IF(('Dvd Calendar'!$T$425&gt;=GRID_FROM)*('Dvd Calendar'!$T$425&lt;=GRID_TO)*('Dvd Calendar'!$T$425&gt;VAL_DATE)=0,"",'Dvd Calendar'!$T$425*1000000000+ISNUMBER('Dvd Calendar'!$T$426)*100000000+0*10000000+(N('Dvd Calendar'!$T$424)&gt;0)*(N('Dvd Calendar'!$T$424)&lt;=VAL_SERIAL)*1000000+38*1000+56))</f>
        <v/>
      </c>
      <c r="GI49" s="39">
        <f>IF(N('Dvd Calendar'!$U$425)=0,"",IF(('Dvd Calendar'!$U$425&gt;=GRID_FROM)*('Dvd Calendar'!$U$425&lt;=GRID_TO)*('Dvd Calendar'!$U$425&gt;VAL_DATE)=0,"",'Dvd Calendar'!$U$425*1000000000+ISNUMBER('Dvd Calendar'!$U$426)*100000000+0*10000000+(N('Dvd Calendar'!$U$424)&gt;0)*(N('Dvd Calendar'!$U$424)&lt;=VAL_SERIAL)*1000000+38*1000+57))</f>
        <v/>
      </c>
      <c r="GJ49" s="39">
        <f>IF(N('Dvd Calendar'!$V$425)=0,"",IF(('Dvd Calendar'!$V$425&gt;=GRID_FROM)*('Dvd Calendar'!$V$425&lt;=GRID_TO)*('Dvd Calendar'!$V$425&gt;VAL_DATE)=0,"",'Dvd Calendar'!$V$425*1000000000+ISNUMBER('Dvd Calendar'!$V$426)*100000000+0*10000000+(N('Dvd Calendar'!$V$424)&gt;0)*(N('Dvd Calendar'!$V$424)&lt;=VAL_SERIAL)*1000000+38*1000+58))</f>
        <v/>
      </c>
      <c r="GK49" s="39">
        <f>IF(N('Dvd Calendar'!$W$425)=0,"",IF(('Dvd Calendar'!$W$425&gt;=GRID_FROM)*('Dvd Calendar'!$W$425&lt;=GRID_TO)*('Dvd Calendar'!$W$425&gt;VAL_DATE)=0,"",'Dvd Calendar'!$W$425*1000000000+ISNUMBER('Dvd Calendar'!$W$426)*100000000+0*10000000+(N('Dvd Calendar'!$W$424)&gt;0)*(N('Dvd Calendar'!$W$424)&lt;=VAL_SERIAL)*1000000+38*1000+59))</f>
        <v/>
      </c>
      <c r="GL49" s="39">
        <f>IF(N('Dvd Calendar'!$X$425)=0,"",IF(('Dvd Calendar'!$X$425&gt;=GRID_FROM)*('Dvd Calendar'!$X$425&lt;=GRID_TO)*('Dvd Calendar'!$X$425&gt;VAL_DATE)=0,"",'Dvd Calendar'!$X$425*1000000000+ISNUMBER('Dvd Calendar'!$X$426)*100000000+0*10000000+(N('Dvd Calendar'!$X$424)&gt;0)*(N('Dvd Calendar'!$X$424)&lt;=VAL_SERIAL)*1000000+38*1000+60))</f>
        <v/>
      </c>
      <c r="GM49" s="39">
        <f>IF(N('Dvd Calendar'!$Y$425)=0,"",IF(('Dvd Calendar'!$Y$425&gt;=GRID_FROM)*('Dvd Calendar'!$Y$425&lt;=GRID_TO)*('Dvd Calendar'!$Y$425&gt;VAL_DATE)=0,"",'Dvd Calendar'!$Y$425*1000000000+ISNUMBER('Dvd Calendar'!$Y$426)*100000000+0*10000000+(N('Dvd Calendar'!$Y$424)&gt;0)*(N('Dvd Calendar'!$Y$424)&lt;=VAL_SERIAL)*1000000+38*1000+61))</f>
        <v/>
      </c>
      <c r="GN49" s="39">
        <f>IF(N('Dvd Calendar'!$Z$425)=0,"",IF(('Dvd Calendar'!$Z$425&gt;=GRID_FROM)*('Dvd Calendar'!$Z$425&lt;=GRID_TO)*('Dvd Calendar'!$Z$425&gt;VAL_DATE)=0,"",'Dvd Calendar'!$Z$425*1000000000+ISNUMBER('Dvd Calendar'!$Z$426)*100000000+0*10000000+(N('Dvd Calendar'!$Z$424)&gt;0)*(N('Dvd Calendar'!$Z$424)&lt;=VAL_SERIAL)*1000000+38*1000+62))</f>
        <v/>
      </c>
      <c r="GO49" s="39">
        <f>IF(N('Dvd Calendar'!$AA$425)=0,"",IF(('Dvd Calendar'!$AA$425&gt;=GRID_FROM)*('Dvd Calendar'!$AA$425&lt;=GRID_TO)*('Dvd Calendar'!$AA$425&gt;VAL_DATE)=0,"",'Dvd Calendar'!$AA$425*1000000000+ISNUMBER('Dvd Calendar'!$AA$426)*100000000+0*10000000+(N('Dvd Calendar'!$AA$424)&gt;0)*(N('Dvd Calendar'!$AA$424)&lt;=VAL_SERIAL)*1000000+38*1000+63))</f>
        <v/>
      </c>
      <c r="GP49" s="39">
        <f>IF(N('Dvd Calendar'!$AB$425)=0,"",IF(('Dvd Calendar'!$AB$425&gt;=GRID_FROM)*('Dvd Calendar'!$AB$425&lt;=GRID_TO)*('Dvd Calendar'!$AB$425&gt;VAL_DATE)=0,"",'Dvd Calendar'!$AB$425*1000000000+ISNUMBER('Dvd Calendar'!$AB$426)*100000000+0*10000000+(N('Dvd Calendar'!$AB$424)&gt;0)*(N('Dvd Calendar'!$AB$424)&lt;=VAL_SERIAL)*1000000+38*1000+64))</f>
        <v/>
      </c>
      <c r="GQ49" s="39">
        <f>IF(N('Dvd Calendar'!$AC$425)=0,"",IF(('Dvd Calendar'!$AC$425&gt;=GRID_FROM)*('Dvd Calendar'!$AC$425&lt;=GRID_TO)*('Dvd Calendar'!$AC$425&gt;VAL_DATE)=0,"",'Dvd Calendar'!$AC$425*1000000000+ISNUMBER('Dvd Calendar'!$AC$426)*100000000+0*10000000+(N('Dvd Calendar'!$AC$424)&gt;0)*(N('Dvd Calendar'!$AC$424)&lt;=VAL_SERIAL)*1000000+38*1000+65))</f>
        <v/>
      </c>
    </row>
    <row r="50">
      <c r="B50" s="2">
        <f>IF(HSI!$C$45="","",HSI!$C$45)</f>
        <v/>
      </c>
      <c r="C50" s="110">
        <f>IF(EE50="","",IF(ISNUMBER('Dvd Calendar'!$E$432)=FALSE,"",IF((('Dvd Calendar'!$E$434=TYPE1)*(TYPE1&lt;&gt;"")+('Dvd Calendar'!$E$434=TYPE2)*(TYPE2&lt;&gt;"")+('Dvd Calendar'!$E$434=TYPE3)*(TYPE3&lt;&gt;"")+('Dvd Calendar'!$E$434=TYPE4)*(TYPE4&lt;&gt;"")+('Dvd Calendar'!$E$434=SPECIAL_LBL)*(INC_SPECIALS="Y"))=0,"",'Dvd Calendar'!$E$432)))</f>
        <v/>
      </c>
      <c r="D50" s="110">
        <f>IF(EF50="","",IF(ISNUMBER('Dvd Calendar'!$F$432)=FALSE,"",IF((('Dvd Calendar'!$F$434=TYPE1)*(TYPE1&lt;&gt;"")+('Dvd Calendar'!$F$434=TYPE2)*(TYPE2&lt;&gt;"")+('Dvd Calendar'!$F$434=TYPE3)*(TYPE3&lt;&gt;"")+('Dvd Calendar'!$F$434=TYPE4)*(TYPE4&lt;&gt;"")+('Dvd Calendar'!$F$434=SPECIAL_LBL)*(INC_SPECIALS="Y"))=0,"",'Dvd Calendar'!$F$432)))</f>
        <v/>
      </c>
      <c r="E50" s="110">
        <f>IF(EG50="","",IF(ISNUMBER('Dvd Calendar'!$G$432)=FALSE,"",IF((('Dvd Calendar'!$G$434=TYPE1)*(TYPE1&lt;&gt;"")+('Dvd Calendar'!$G$434=TYPE2)*(TYPE2&lt;&gt;"")+('Dvd Calendar'!$G$434=TYPE3)*(TYPE3&lt;&gt;"")+('Dvd Calendar'!$G$434=TYPE4)*(TYPE4&lt;&gt;"")+('Dvd Calendar'!$G$434=SPECIAL_LBL)*(INC_SPECIALS="Y"))=0,"",'Dvd Calendar'!$G$432)))</f>
        <v/>
      </c>
      <c r="F50" s="110">
        <f>IF(EH50="","",IF(ISNUMBER('Dvd Calendar'!$H$432)=FALSE,"",IF((('Dvd Calendar'!$H$434=TYPE1)*(TYPE1&lt;&gt;"")+('Dvd Calendar'!$H$434=TYPE2)*(TYPE2&lt;&gt;"")+('Dvd Calendar'!$H$434=TYPE3)*(TYPE3&lt;&gt;"")+('Dvd Calendar'!$H$434=TYPE4)*(TYPE4&lt;&gt;"")+('Dvd Calendar'!$H$434=SPECIAL_LBL)*(INC_SPECIALS="Y"))=0,"",'Dvd Calendar'!$H$432)))</f>
        <v/>
      </c>
      <c r="G50" s="110">
        <f>IF(EI50="","",IF(ISNUMBER('Dvd Calendar'!$I$432)=FALSE,"",IF((('Dvd Calendar'!$I$434=TYPE1)*(TYPE1&lt;&gt;"")+('Dvd Calendar'!$I$434=TYPE2)*(TYPE2&lt;&gt;"")+('Dvd Calendar'!$I$434=TYPE3)*(TYPE3&lt;&gt;"")+('Dvd Calendar'!$I$434=TYPE4)*(TYPE4&lt;&gt;"")+('Dvd Calendar'!$I$434=SPECIAL_LBL)*(INC_SPECIALS="Y"))=0,"",'Dvd Calendar'!$I$432)))</f>
        <v/>
      </c>
      <c r="H50" s="110">
        <f>IF(EJ50="","",IF(ISNUMBER('Dvd Calendar'!$J$432)=FALSE,"",IF((('Dvd Calendar'!$J$434=TYPE1)*(TYPE1&lt;&gt;"")+('Dvd Calendar'!$J$434=TYPE2)*(TYPE2&lt;&gt;"")+('Dvd Calendar'!$J$434=TYPE3)*(TYPE3&lt;&gt;"")+('Dvd Calendar'!$J$434=TYPE4)*(TYPE4&lt;&gt;"")+('Dvd Calendar'!$J$434=SPECIAL_LBL)*(INC_SPECIALS="Y"))=0,"",'Dvd Calendar'!$J$432)))</f>
        <v/>
      </c>
      <c r="I50" s="110">
        <f>IF(EK50="","",IF(ISNUMBER('Dvd Calendar'!$K$432)=FALSE,"",IF((('Dvd Calendar'!$K$434=TYPE1)*(TYPE1&lt;&gt;"")+('Dvd Calendar'!$K$434=TYPE2)*(TYPE2&lt;&gt;"")+('Dvd Calendar'!$K$434=TYPE3)*(TYPE3&lt;&gt;"")+('Dvd Calendar'!$K$434=TYPE4)*(TYPE4&lt;&gt;"")+('Dvd Calendar'!$K$434=SPECIAL_LBL)*(INC_SPECIALS="Y"))=0,"",'Dvd Calendar'!$K$432)))</f>
        <v/>
      </c>
      <c r="J50" s="110">
        <f>IF(EL50="","",IF(ISNUMBER('Dvd Calendar'!$L$432)=FALSE,"",IF((('Dvd Calendar'!$L$434=TYPE1)*(TYPE1&lt;&gt;"")+('Dvd Calendar'!$L$434=TYPE2)*(TYPE2&lt;&gt;"")+('Dvd Calendar'!$L$434=TYPE3)*(TYPE3&lt;&gt;"")+('Dvd Calendar'!$L$434=TYPE4)*(TYPE4&lt;&gt;"")+('Dvd Calendar'!$L$434=SPECIAL_LBL)*(INC_SPECIALS="Y"))=0,"",'Dvd Calendar'!$L$432)))</f>
        <v/>
      </c>
      <c r="K50" s="110">
        <f>IF(EM50="","",IF(ISNUMBER('Dvd Calendar'!$M$432)=FALSE,"",IF((('Dvd Calendar'!$M$434=TYPE1)*(TYPE1&lt;&gt;"")+('Dvd Calendar'!$M$434=TYPE2)*(TYPE2&lt;&gt;"")+('Dvd Calendar'!$M$434=TYPE3)*(TYPE3&lt;&gt;"")+('Dvd Calendar'!$M$434=TYPE4)*(TYPE4&lt;&gt;"")+('Dvd Calendar'!$M$434=SPECIAL_LBL)*(INC_SPECIALS="Y"))=0,"",'Dvd Calendar'!$M$432)))</f>
        <v/>
      </c>
      <c r="L50" s="110">
        <f>IF(EN50="","",IF(ISNUMBER('Dvd Calendar'!$N$432)=FALSE,"",IF((('Dvd Calendar'!$N$434=TYPE1)*(TYPE1&lt;&gt;"")+('Dvd Calendar'!$N$434=TYPE2)*(TYPE2&lt;&gt;"")+('Dvd Calendar'!$N$434=TYPE3)*(TYPE3&lt;&gt;"")+('Dvd Calendar'!$N$434=TYPE4)*(TYPE4&lt;&gt;"")+('Dvd Calendar'!$N$434=SPECIAL_LBL)*(INC_SPECIALS="Y"))=0,"",'Dvd Calendar'!$N$432)))</f>
        <v/>
      </c>
      <c r="M50" s="110">
        <f>IF(EO50="","",IF(ISNUMBER('Dvd Calendar'!$O$432)=FALSE,"",IF((('Dvd Calendar'!$O$434=TYPE1)*(TYPE1&lt;&gt;"")+('Dvd Calendar'!$O$434=TYPE2)*(TYPE2&lt;&gt;"")+('Dvd Calendar'!$O$434=TYPE3)*(TYPE3&lt;&gt;"")+('Dvd Calendar'!$O$434=TYPE4)*(TYPE4&lt;&gt;"")+('Dvd Calendar'!$O$434=SPECIAL_LBL)*(INC_SPECIALS="Y"))=0,"",'Dvd Calendar'!$O$432)))</f>
        <v/>
      </c>
      <c r="N50" s="110">
        <f>IF(EP50="","",IF(ISNUMBER('Dvd Calendar'!$P$432)=FALSE,"",IF((('Dvd Calendar'!$P$434=TYPE1)*(TYPE1&lt;&gt;"")+('Dvd Calendar'!$P$434=TYPE2)*(TYPE2&lt;&gt;"")+('Dvd Calendar'!$P$434=TYPE3)*(TYPE3&lt;&gt;"")+('Dvd Calendar'!$P$434=TYPE4)*(TYPE4&lt;&gt;"")+('Dvd Calendar'!$P$434=SPECIAL_LBL)*(INC_SPECIALS="Y"))=0,"",'Dvd Calendar'!$P$432)))</f>
        <v/>
      </c>
      <c r="O50" s="110">
        <f>IF(EQ50="","",IF(ISNUMBER('Dvd Calendar'!$Q$432)=FALSE,"",IF((('Dvd Calendar'!$Q$434=TYPE1)*(TYPE1&lt;&gt;"")+('Dvd Calendar'!$Q$434=TYPE2)*(TYPE2&lt;&gt;"")+('Dvd Calendar'!$Q$434=TYPE3)*(TYPE3&lt;&gt;"")+('Dvd Calendar'!$Q$434=TYPE4)*(TYPE4&lt;&gt;"")+('Dvd Calendar'!$Q$434=SPECIAL_LBL)*(INC_SPECIALS="Y"))=0,"",'Dvd Calendar'!$Q$432)))</f>
        <v/>
      </c>
      <c r="P50" s="110">
        <f>IF(ER50="","",IF(ISNUMBER('Dvd Calendar'!$R$432)=FALSE,"",IF((('Dvd Calendar'!$R$434=TYPE1)*(TYPE1&lt;&gt;"")+('Dvd Calendar'!$R$434=TYPE2)*(TYPE2&lt;&gt;"")+('Dvd Calendar'!$R$434=TYPE3)*(TYPE3&lt;&gt;"")+('Dvd Calendar'!$R$434=TYPE4)*(TYPE4&lt;&gt;"")+('Dvd Calendar'!$R$434=SPECIAL_LBL)*(INC_SPECIALS="Y"))=0,"",'Dvd Calendar'!$R$432)))</f>
        <v/>
      </c>
      <c r="Q50" s="110">
        <f>IF(ES50="","",IF(ISNUMBER('Dvd Calendar'!$S$432)=FALSE,"",IF((('Dvd Calendar'!$S$434=TYPE1)*(TYPE1&lt;&gt;"")+('Dvd Calendar'!$S$434=TYPE2)*(TYPE2&lt;&gt;"")+('Dvd Calendar'!$S$434=TYPE3)*(TYPE3&lt;&gt;"")+('Dvd Calendar'!$S$434=TYPE4)*(TYPE4&lt;&gt;"")+('Dvd Calendar'!$S$434=SPECIAL_LBL)*(INC_SPECIALS="Y"))=0,"",'Dvd Calendar'!$S$432)))</f>
        <v/>
      </c>
      <c r="R50" s="110">
        <f>IF(ET50="","",IF(ISNUMBER('Dvd Calendar'!$T$432)=FALSE,"",IF((('Dvd Calendar'!$T$434=TYPE1)*(TYPE1&lt;&gt;"")+('Dvd Calendar'!$T$434=TYPE2)*(TYPE2&lt;&gt;"")+('Dvd Calendar'!$T$434=TYPE3)*(TYPE3&lt;&gt;"")+('Dvd Calendar'!$T$434=TYPE4)*(TYPE4&lt;&gt;"")+('Dvd Calendar'!$T$434=SPECIAL_LBL)*(INC_SPECIALS="Y"))=0,"",'Dvd Calendar'!$T$432)))</f>
        <v/>
      </c>
      <c r="S50" s="110">
        <f>IF(EU50="","",IF(ISNUMBER('Dvd Calendar'!$U$432)=FALSE,"",IF((('Dvd Calendar'!$U$434=TYPE1)*(TYPE1&lt;&gt;"")+('Dvd Calendar'!$U$434=TYPE2)*(TYPE2&lt;&gt;"")+('Dvd Calendar'!$U$434=TYPE3)*(TYPE3&lt;&gt;"")+('Dvd Calendar'!$U$434=TYPE4)*(TYPE4&lt;&gt;"")+('Dvd Calendar'!$U$434=SPECIAL_LBL)*(INC_SPECIALS="Y"))=0,"",'Dvd Calendar'!$U$432)))</f>
        <v/>
      </c>
      <c r="T50" s="110">
        <f>IF(EV50="","",IF(ISNUMBER('Dvd Calendar'!$V$432)=FALSE,"",IF((('Dvd Calendar'!$V$434=TYPE1)*(TYPE1&lt;&gt;"")+('Dvd Calendar'!$V$434=TYPE2)*(TYPE2&lt;&gt;"")+('Dvd Calendar'!$V$434=TYPE3)*(TYPE3&lt;&gt;"")+('Dvd Calendar'!$V$434=TYPE4)*(TYPE4&lt;&gt;"")+('Dvd Calendar'!$V$434=SPECIAL_LBL)*(INC_SPECIALS="Y"))=0,"",'Dvd Calendar'!$V$432)))</f>
        <v/>
      </c>
      <c r="U50" s="110">
        <f>IF(EW50="","",IF(ISNUMBER('Dvd Calendar'!$W$432)=FALSE,"",IF((('Dvd Calendar'!$W$434=TYPE1)*(TYPE1&lt;&gt;"")+('Dvd Calendar'!$W$434=TYPE2)*(TYPE2&lt;&gt;"")+('Dvd Calendar'!$W$434=TYPE3)*(TYPE3&lt;&gt;"")+('Dvd Calendar'!$W$434=TYPE4)*(TYPE4&lt;&gt;"")+('Dvd Calendar'!$W$434=SPECIAL_LBL)*(INC_SPECIALS="Y"))=0,"",'Dvd Calendar'!$W$432)))</f>
        <v/>
      </c>
      <c r="V50" s="110">
        <f>IF(EX50="","",IF(ISNUMBER('Dvd Calendar'!$X$432)=FALSE,"",IF((('Dvd Calendar'!$X$434=TYPE1)*(TYPE1&lt;&gt;"")+('Dvd Calendar'!$X$434=TYPE2)*(TYPE2&lt;&gt;"")+('Dvd Calendar'!$X$434=TYPE3)*(TYPE3&lt;&gt;"")+('Dvd Calendar'!$X$434=TYPE4)*(TYPE4&lt;&gt;"")+('Dvd Calendar'!$X$434=SPECIAL_LBL)*(INC_SPECIALS="Y"))=0,"",'Dvd Calendar'!$X$432)))</f>
        <v/>
      </c>
      <c r="W50" s="110">
        <f>IF(EY50="","",IF(ISNUMBER('Dvd Calendar'!$Y$432)=FALSE,"",IF((('Dvd Calendar'!$Y$434=TYPE1)*(TYPE1&lt;&gt;"")+('Dvd Calendar'!$Y$434=TYPE2)*(TYPE2&lt;&gt;"")+('Dvd Calendar'!$Y$434=TYPE3)*(TYPE3&lt;&gt;"")+('Dvd Calendar'!$Y$434=TYPE4)*(TYPE4&lt;&gt;"")+('Dvd Calendar'!$Y$434=SPECIAL_LBL)*(INC_SPECIALS="Y"))=0,"",'Dvd Calendar'!$Y$432)))</f>
        <v/>
      </c>
      <c r="X50" s="110">
        <f>IF(EZ50="","",IF(ISNUMBER('Dvd Calendar'!$Z$432)=FALSE,"",IF((('Dvd Calendar'!$Z$434=TYPE1)*(TYPE1&lt;&gt;"")+('Dvd Calendar'!$Z$434=TYPE2)*(TYPE2&lt;&gt;"")+('Dvd Calendar'!$Z$434=TYPE3)*(TYPE3&lt;&gt;"")+('Dvd Calendar'!$Z$434=TYPE4)*(TYPE4&lt;&gt;"")+('Dvd Calendar'!$Z$434=SPECIAL_LBL)*(INC_SPECIALS="Y"))=0,"",'Dvd Calendar'!$Z$432)))</f>
        <v/>
      </c>
      <c r="Y50" s="110">
        <f>IF(FA50="","",IF(ISNUMBER('Dvd Calendar'!$AA$432)=FALSE,"",IF((('Dvd Calendar'!$AA$434=TYPE1)*(TYPE1&lt;&gt;"")+('Dvd Calendar'!$AA$434=TYPE2)*(TYPE2&lt;&gt;"")+('Dvd Calendar'!$AA$434=TYPE3)*(TYPE3&lt;&gt;"")+('Dvd Calendar'!$AA$434=TYPE4)*(TYPE4&lt;&gt;"")+('Dvd Calendar'!$AA$434=SPECIAL_LBL)*(INC_SPECIALS="Y"))=0,"",'Dvd Calendar'!$AA$432)))</f>
        <v/>
      </c>
      <c r="Z50" s="110">
        <f>IF(FB50="","",IF(ISNUMBER('Dvd Calendar'!$AB$432)=FALSE,"",IF((('Dvd Calendar'!$AB$434=TYPE1)*(TYPE1&lt;&gt;"")+('Dvd Calendar'!$AB$434=TYPE2)*(TYPE2&lt;&gt;"")+('Dvd Calendar'!$AB$434=TYPE3)*(TYPE3&lt;&gt;"")+('Dvd Calendar'!$AB$434=TYPE4)*(TYPE4&lt;&gt;"")+('Dvd Calendar'!$AB$434=SPECIAL_LBL)*(INC_SPECIALS="Y"))=0,"",'Dvd Calendar'!$AB$432)))</f>
        <v/>
      </c>
      <c r="AA50" s="110">
        <f>IF(FC50="","",IF(ISNUMBER('Dvd Calendar'!$AC$432)=FALSE,"",IF((('Dvd Calendar'!$AC$434=TYPE1)*(TYPE1&lt;&gt;"")+('Dvd Calendar'!$AC$434=TYPE2)*(TYPE2&lt;&gt;"")+('Dvd Calendar'!$AC$434=TYPE3)*(TYPE3&lt;&gt;"")+('Dvd Calendar'!$AC$434=TYPE4)*(TYPE4&lt;&gt;"")+('Dvd Calendar'!$AC$434=SPECIAL_LBL)*(INC_SPECIALS="Y"))=0,"",'Dvd Calendar'!$AC$432)))</f>
        <v/>
      </c>
      <c r="AB50" s="110">
        <f>IF(FD50="","",IF(ISNUMBER('Dvd Calendar'!$AD$432)=FALSE,"",IF((('Dvd Calendar'!$AD$434=TYPE1)*(TYPE1&lt;&gt;"")+('Dvd Calendar'!$AD$434=TYPE2)*(TYPE2&lt;&gt;"")+('Dvd Calendar'!$AD$434=TYPE3)*(TYPE3&lt;&gt;"")+('Dvd Calendar'!$AD$434=TYPE4)*(TYPE4&lt;&gt;"")+('Dvd Calendar'!$AD$434=SPECIAL_LBL)*(INC_SPECIALS="Y"))=0,"",'Dvd Calendar'!$AD$432)))</f>
        <v/>
      </c>
      <c r="AC50" s="110">
        <f>IF(FE50="","",IF(ISNUMBER('Dvd Calendar'!$AE$432)=FALSE,"",IF((('Dvd Calendar'!$AE$434=TYPE1)*(TYPE1&lt;&gt;"")+('Dvd Calendar'!$AE$434=TYPE2)*(TYPE2&lt;&gt;"")+('Dvd Calendar'!$AE$434=TYPE3)*(TYPE3&lt;&gt;"")+('Dvd Calendar'!$AE$434=TYPE4)*(TYPE4&lt;&gt;"")+('Dvd Calendar'!$AE$434=SPECIAL_LBL)*(INC_SPECIALS="Y"))=0,"",'Dvd Calendar'!$AE$432)))</f>
        <v/>
      </c>
      <c r="AD50" s="110">
        <f>IF(FF50="","",IF(ISNUMBER('Dvd Calendar'!$AF$432)=FALSE,"",IF((('Dvd Calendar'!$AF$434=TYPE1)*(TYPE1&lt;&gt;"")+('Dvd Calendar'!$AF$434=TYPE2)*(TYPE2&lt;&gt;"")+('Dvd Calendar'!$AF$434=TYPE3)*(TYPE3&lt;&gt;"")+('Dvd Calendar'!$AF$434=TYPE4)*(TYPE4&lt;&gt;"")+('Dvd Calendar'!$AF$434=SPECIAL_LBL)*(INC_SPECIALS="Y"))=0,"",'Dvd Calendar'!$AF$432)))</f>
        <v/>
      </c>
      <c r="AE50" s="110">
        <f>IF(FG50="","",IF(ISNUMBER('Dvd Calendar'!$AG$432)=FALSE,"",IF((('Dvd Calendar'!$AG$434=TYPE1)*(TYPE1&lt;&gt;"")+('Dvd Calendar'!$AG$434=TYPE2)*(TYPE2&lt;&gt;"")+('Dvd Calendar'!$AG$434=TYPE3)*(TYPE3&lt;&gt;"")+('Dvd Calendar'!$AG$434=TYPE4)*(TYPE4&lt;&gt;"")+('Dvd Calendar'!$AG$434=SPECIAL_LBL)*(INC_SPECIALS="Y"))=0,"",'Dvd Calendar'!$AG$432)))</f>
        <v/>
      </c>
      <c r="AF50" s="110">
        <f>IF(FH50="","",IF(ISNUMBER('Dvd Calendar'!$AH$432)=FALSE,"",IF((('Dvd Calendar'!$AH$434=TYPE1)*(TYPE1&lt;&gt;"")+('Dvd Calendar'!$AH$434=TYPE2)*(TYPE2&lt;&gt;"")+('Dvd Calendar'!$AH$434=TYPE3)*(TYPE3&lt;&gt;"")+('Dvd Calendar'!$AH$434=TYPE4)*(TYPE4&lt;&gt;"")+('Dvd Calendar'!$AH$434=SPECIAL_LBL)*(INC_SPECIALS="Y"))=0,"",'Dvd Calendar'!$AH$432)))</f>
        <v/>
      </c>
      <c r="AG50" s="110">
        <f>IF(FI50="","",IF(ISNUMBER('Dvd Calendar'!$AI$432)=FALSE,"",IF((('Dvd Calendar'!$AI$434=TYPE1)*(TYPE1&lt;&gt;"")+('Dvd Calendar'!$AI$434=TYPE2)*(TYPE2&lt;&gt;"")+('Dvd Calendar'!$AI$434=TYPE3)*(TYPE3&lt;&gt;"")+('Dvd Calendar'!$AI$434=TYPE4)*(TYPE4&lt;&gt;"")+('Dvd Calendar'!$AI$434=SPECIAL_LBL)*(INC_SPECIALS="Y"))=0,"",'Dvd Calendar'!$AI$432)))</f>
        <v/>
      </c>
      <c r="AH50" s="110">
        <f>IF(FJ50="","",IF(ISNUMBER('Dvd Calendar'!$AJ$432)=FALSE,"",IF((('Dvd Calendar'!$AJ$434=TYPE1)*(TYPE1&lt;&gt;"")+('Dvd Calendar'!$AJ$434=TYPE2)*(TYPE2&lt;&gt;"")+('Dvd Calendar'!$AJ$434=TYPE3)*(TYPE3&lt;&gt;"")+('Dvd Calendar'!$AJ$434=TYPE4)*(TYPE4&lt;&gt;"")+('Dvd Calendar'!$AJ$434=SPECIAL_LBL)*(INC_SPECIALS="Y"))=0,"",'Dvd Calendar'!$AJ$432)))</f>
        <v/>
      </c>
      <c r="AI50" s="110">
        <f>IF(FK50="","",IF(ISNUMBER('Dvd Calendar'!$AK$432)=FALSE,"",IF((('Dvd Calendar'!$AK$434=TYPE1)*(TYPE1&lt;&gt;"")+('Dvd Calendar'!$AK$434=TYPE2)*(TYPE2&lt;&gt;"")+('Dvd Calendar'!$AK$434=TYPE3)*(TYPE3&lt;&gt;"")+('Dvd Calendar'!$AK$434=TYPE4)*(TYPE4&lt;&gt;"")+('Dvd Calendar'!$AK$434=SPECIAL_LBL)*(INC_SPECIALS="Y"))=0,"",'Dvd Calendar'!$AK$432)))</f>
        <v/>
      </c>
      <c r="AJ50" s="110">
        <f>IF(FL50="","",IF(ISNUMBER('Dvd Calendar'!$AL$432)=FALSE,"",IF((('Dvd Calendar'!$AL$434=TYPE1)*(TYPE1&lt;&gt;"")+('Dvd Calendar'!$AL$434=TYPE2)*(TYPE2&lt;&gt;"")+('Dvd Calendar'!$AL$434=TYPE3)*(TYPE3&lt;&gt;"")+('Dvd Calendar'!$AL$434=TYPE4)*(TYPE4&lt;&gt;"")+('Dvd Calendar'!$AL$434=SPECIAL_LBL)*(INC_SPECIALS="Y"))=0,"",'Dvd Calendar'!$AL$432)))</f>
        <v/>
      </c>
      <c r="AK50" s="110">
        <f>IF(FM50="","",IF(ISNUMBER('Dvd Calendar'!$AM$432)=FALSE,"",IF((('Dvd Calendar'!$AM$434=TYPE1)*(TYPE1&lt;&gt;"")+('Dvd Calendar'!$AM$434=TYPE2)*(TYPE2&lt;&gt;"")+('Dvd Calendar'!$AM$434=TYPE3)*(TYPE3&lt;&gt;"")+('Dvd Calendar'!$AM$434=TYPE4)*(TYPE4&lt;&gt;"")+('Dvd Calendar'!$AM$434=SPECIAL_LBL)*(INC_SPECIALS="Y"))=0,"",'Dvd Calendar'!$AM$432)))</f>
        <v/>
      </c>
      <c r="AL50" s="110">
        <f>IF(FN50="","",IF(ISNUMBER('Dvd Calendar'!$AN$432)=FALSE,"",IF((('Dvd Calendar'!$AN$434=TYPE1)*(TYPE1&lt;&gt;"")+('Dvd Calendar'!$AN$434=TYPE2)*(TYPE2&lt;&gt;"")+('Dvd Calendar'!$AN$434=TYPE3)*(TYPE3&lt;&gt;"")+('Dvd Calendar'!$AN$434=TYPE4)*(TYPE4&lt;&gt;"")+('Dvd Calendar'!$AN$434=SPECIAL_LBL)*(INC_SPECIALS="Y"))=0,"",'Dvd Calendar'!$AN$432)))</f>
        <v/>
      </c>
      <c r="AM50" s="110">
        <f>IF(FO50="","",IF(ISNUMBER('Dvd Calendar'!$AO$432)=FALSE,"",IF((('Dvd Calendar'!$AO$434=TYPE1)*(TYPE1&lt;&gt;"")+('Dvd Calendar'!$AO$434=TYPE2)*(TYPE2&lt;&gt;"")+('Dvd Calendar'!$AO$434=TYPE3)*(TYPE3&lt;&gt;"")+('Dvd Calendar'!$AO$434=TYPE4)*(TYPE4&lt;&gt;"")+('Dvd Calendar'!$AO$434=SPECIAL_LBL)*(INC_SPECIALS="Y"))=0,"",'Dvd Calendar'!$AO$432)))</f>
        <v/>
      </c>
      <c r="AN50" s="110">
        <f>IF(FP50="","",IF(ISNUMBER('Dvd Calendar'!$AP$432)=FALSE,"",IF((('Dvd Calendar'!$AP$434=TYPE1)*(TYPE1&lt;&gt;"")+('Dvd Calendar'!$AP$434=TYPE2)*(TYPE2&lt;&gt;"")+('Dvd Calendar'!$AP$434=TYPE3)*(TYPE3&lt;&gt;"")+('Dvd Calendar'!$AP$434=TYPE4)*(TYPE4&lt;&gt;"")+('Dvd Calendar'!$AP$434=SPECIAL_LBL)*(INC_SPECIALS="Y"))=0,"",'Dvd Calendar'!$AP$432)))</f>
        <v/>
      </c>
      <c r="AO50" s="110">
        <f>IF(FQ50="","",IF(ISNUMBER('Dvd Calendar'!$AQ$432)=FALSE,"",IF((('Dvd Calendar'!$AQ$434=TYPE1)*(TYPE1&lt;&gt;"")+('Dvd Calendar'!$AQ$434=TYPE2)*(TYPE2&lt;&gt;"")+('Dvd Calendar'!$AQ$434=TYPE3)*(TYPE3&lt;&gt;"")+('Dvd Calendar'!$AQ$434=TYPE4)*(TYPE4&lt;&gt;"")+('Dvd Calendar'!$AQ$434=SPECIAL_LBL)*(INC_SPECIALS="Y"))=0,"",'Dvd Calendar'!$AQ$432)))</f>
        <v/>
      </c>
      <c r="AP50" s="110">
        <f>IF(FR50="","",IF(ISNUMBER('Dvd Calendar'!$AR$432)=FALSE,"",IF((('Dvd Calendar'!$AR$434=TYPE1)*(TYPE1&lt;&gt;"")+('Dvd Calendar'!$AR$434=TYPE2)*(TYPE2&lt;&gt;"")+('Dvd Calendar'!$AR$434=TYPE3)*(TYPE3&lt;&gt;"")+('Dvd Calendar'!$AR$434=TYPE4)*(TYPE4&lt;&gt;"")+('Dvd Calendar'!$AR$434=SPECIAL_LBL)*(INC_SPECIALS="Y"))=0,"",'Dvd Calendar'!$AR$432)))</f>
        <v/>
      </c>
      <c r="AQ50" s="110">
        <f>IF(FS50="","",IF(ISNUMBER('Dvd Calendar'!$E$437)=FALSE,"",'Dvd Calendar'!$E$437))</f>
        <v/>
      </c>
      <c r="AR50" s="110">
        <f>IF(FT50="","",IF(ISNUMBER('Dvd Calendar'!$F$437)=FALSE,"",'Dvd Calendar'!$F$437))</f>
        <v/>
      </c>
      <c r="AS50" s="110">
        <f>IF(FU50="","",IF(ISNUMBER('Dvd Calendar'!$G$437)=FALSE,"",'Dvd Calendar'!$G$437))</f>
        <v/>
      </c>
      <c r="AT50" s="110">
        <f>IF(FV50="","",IF(ISNUMBER('Dvd Calendar'!$H$437)=FALSE,"",'Dvd Calendar'!$H$437))</f>
        <v/>
      </c>
      <c r="AU50" s="110">
        <f>IF(FW50="","",IF(ISNUMBER('Dvd Calendar'!$I$437)=FALSE,"",'Dvd Calendar'!$I$437))</f>
        <v/>
      </c>
      <c r="AV50" s="110">
        <f>IF(FX50="","",IF(ISNUMBER('Dvd Calendar'!$J$437)=FALSE,"",'Dvd Calendar'!$J$437))</f>
        <v/>
      </c>
      <c r="AW50" s="110">
        <f>IF(FY50="","",IF(ISNUMBER('Dvd Calendar'!$K$437)=FALSE,"",'Dvd Calendar'!$K$437))</f>
        <v/>
      </c>
      <c r="AX50" s="110">
        <f>IF(FZ50="","",IF(ISNUMBER('Dvd Calendar'!$L$437)=FALSE,"",'Dvd Calendar'!$L$437))</f>
        <v/>
      </c>
      <c r="AY50" s="110">
        <f>IF(GA50="","",IF(ISNUMBER('Dvd Calendar'!$M$437)=FALSE,"",'Dvd Calendar'!$M$437))</f>
        <v/>
      </c>
      <c r="AZ50" s="110">
        <f>IF(GB50="","",IF(ISNUMBER('Dvd Calendar'!$N$437)=FALSE,"",'Dvd Calendar'!$N$437))</f>
        <v/>
      </c>
      <c r="BA50" s="110">
        <f>IF(GC50="","",IF(ISNUMBER('Dvd Calendar'!$O$437)=FALSE,"",'Dvd Calendar'!$O$437))</f>
        <v/>
      </c>
      <c r="BB50" s="110">
        <f>IF(GD50="","",IF(ISNUMBER('Dvd Calendar'!$P$437)=FALSE,"",'Dvd Calendar'!$P$437))</f>
        <v/>
      </c>
      <c r="BC50" s="110">
        <f>IF(GE50="","",IF(ISNUMBER('Dvd Calendar'!$Q$437)=FALSE,"",'Dvd Calendar'!$Q$437))</f>
        <v/>
      </c>
      <c r="BD50" s="110">
        <f>IF(GF50="","",IF(ISNUMBER('Dvd Calendar'!$R$437)=FALSE,"",'Dvd Calendar'!$R$437))</f>
        <v/>
      </c>
      <c r="BE50" s="110">
        <f>IF(GG50="","",IF(ISNUMBER('Dvd Calendar'!$S$437)=FALSE,"",'Dvd Calendar'!$S$437))</f>
        <v/>
      </c>
      <c r="BF50" s="110">
        <f>IF(GH50="","",IF(ISNUMBER('Dvd Calendar'!$T$437)=FALSE,"",'Dvd Calendar'!$T$437))</f>
        <v/>
      </c>
      <c r="BG50" s="110">
        <f>IF(GI50="","",IF(ISNUMBER('Dvd Calendar'!$U$437)=FALSE,"",'Dvd Calendar'!$U$437))</f>
        <v/>
      </c>
      <c r="BH50" s="110">
        <f>IF(GJ50="","",IF(ISNUMBER('Dvd Calendar'!$V$437)=FALSE,"",'Dvd Calendar'!$V$437))</f>
        <v/>
      </c>
      <c r="BI50" s="110">
        <f>IF(GK50="","",IF(ISNUMBER('Dvd Calendar'!$W$437)=FALSE,"",'Dvd Calendar'!$W$437))</f>
        <v/>
      </c>
      <c r="BJ50" s="110">
        <f>IF(GL50="","",IF(ISNUMBER('Dvd Calendar'!$X$437)=FALSE,"",'Dvd Calendar'!$X$437))</f>
        <v/>
      </c>
      <c r="BK50" s="110">
        <f>IF(GM50="","",IF(ISNUMBER('Dvd Calendar'!$Y$437)=FALSE,"",'Dvd Calendar'!$Y$437))</f>
        <v/>
      </c>
      <c r="BL50" s="110">
        <f>IF(GN50="","",IF(ISNUMBER('Dvd Calendar'!$Z$437)=FALSE,"",'Dvd Calendar'!$Z$437))</f>
        <v/>
      </c>
      <c r="BM50" s="110">
        <f>IF(GO50="","",IF(ISNUMBER('Dvd Calendar'!$AA$437)=FALSE,"",'Dvd Calendar'!$AA$437))</f>
        <v/>
      </c>
      <c r="BN50" s="110">
        <f>IF(GP50="","",IF(ISNUMBER('Dvd Calendar'!$AB$437)=FALSE,"",'Dvd Calendar'!$AB$437))</f>
        <v/>
      </c>
      <c r="BO50" s="110">
        <f>IF(GQ50="","",IF(ISNUMBER('Dvd Calendar'!$AC$437)=FALSE,"",'Dvd Calendar'!$AC$437))</f>
        <v/>
      </c>
      <c r="BQ50" s="110">
        <f>IF(C50="","",IFERROR(C50*HSI!$B$45*HSI!$G$45/HSI!$B$3,""))</f>
        <v/>
      </c>
      <c r="BR50" s="110">
        <f>IF(D50="","",IFERROR(D50*HSI!$B$45*HSI!$G$45/HSI!$B$3,""))</f>
        <v/>
      </c>
      <c r="BS50" s="110">
        <f>IF(E50="","",IFERROR(E50*HSI!$B$45*HSI!$G$45/HSI!$B$3,""))</f>
        <v/>
      </c>
      <c r="BT50" s="110">
        <f>IF(F50="","",IFERROR(F50*HSI!$B$45*HSI!$G$45/HSI!$B$3,""))</f>
        <v/>
      </c>
      <c r="BU50" s="110">
        <f>IF(G50="","",IFERROR(G50*HSI!$B$45*HSI!$G$45/HSI!$B$3,""))</f>
        <v/>
      </c>
      <c r="BV50" s="110">
        <f>IF(H50="","",IFERROR(H50*HSI!$B$45*HSI!$G$45/HSI!$B$3,""))</f>
        <v/>
      </c>
      <c r="BW50" s="110">
        <f>IF(I50="","",IFERROR(I50*HSI!$B$45*HSI!$G$45/HSI!$B$3,""))</f>
        <v/>
      </c>
      <c r="BX50" s="110">
        <f>IF(J50="","",IFERROR(J50*HSI!$B$45*HSI!$G$45/HSI!$B$3,""))</f>
        <v/>
      </c>
      <c r="BY50" s="110">
        <f>IF(K50="","",IFERROR(K50*HSI!$B$45*HSI!$G$45/HSI!$B$3,""))</f>
        <v/>
      </c>
      <c r="BZ50" s="110">
        <f>IF(L50="","",IFERROR(L50*HSI!$B$45*HSI!$G$45/HSI!$B$3,""))</f>
        <v/>
      </c>
      <c r="CA50" s="110">
        <f>IF(M50="","",IFERROR(M50*HSI!$B$45*HSI!$G$45/HSI!$B$3,""))</f>
        <v/>
      </c>
      <c r="CB50" s="110">
        <f>IF(N50="","",IFERROR(N50*HSI!$B$45*HSI!$G$45/HSI!$B$3,""))</f>
        <v/>
      </c>
      <c r="CC50" s="110">
        <f>IF(O50="","",IFERROR(O50*HSI!$B$45*HSI!$G$45/HSI!$B$3,""))</f>
        <v/>
      </c>
      <c r="CD50" s="110">
        <f>IF(P50="","",IFERROR(P50*HSI!$B$45*HSI!$G$45/HSI!$B$3,""))</f>
        <v/>
      </c>
      <c r="CE50" s="110">
        <f>IF(Q50="","",IFERROR(Q50*HSI!$B$45*HSI!$G$45/HSI!$B$3,""))</f>
        <v/>
      </c>
      <c r="CF50" s="110">
        <f>IF(R50="","",IFERROR(R50*HSI!$B$45*HSI!$G$45/HSI!$B$3,""))</f>
        <v/>
      </c>
      <c r="CG50" s="110">
        <f>IF(S50="","",IFERROR(S50*HSI!$B$45*HSI!$G$45/HSI!$B$3,""))</f>
        <v/>
      </c>
      <c r="CH50" s="110">
        <f>IF(T50="","",IFERROR(T50*HSI!$B$45*HSI!$G$45/HSI!$B$3,""))</f>
        <v/>
      </c>
      <c r="CI50" s="110">
        <f>IF(U50="","",IFERROR(U50*HSI!$B$45*HSI!$G$45/HSI!$B$3,""))</f>
        <v/>
      </c>
      <c r="CJ50" s="110">
        <f>IF(V50="","",IFERROR(V50*HSI!$B$45*HSI!$G$45/HSI!$B$3,""))</f>
        <v/>
      </c>
      <c r="CK50" s="110">
        <f>IF(W50="","",IFERROR(W50*HSI!$B$45*HSI!$G$45/HSI!$B$3,""))</f>
        <v/>
      </c>
      <c r="CL50" s="110">
        <f>IF(X50="","",IFERROR(X50*HSI!$B$45*HSI!$G$45/HSI!$B$3,""))</f>
        <v/>
      </c>
      <c r="CM50" s="110">
        <f>IF(Y50="","",IFERROR(Y50*HSI!$B$45*HSI!$G$45/HSI!$B$3,""))</f>
        <v/>
      </c>
      <c r="CN50" s="110">
        <f>IF(Z50="","",IFERROR(Z50*HSI!$B$45*HSI!$G$45/HSI!$B$3,""))</f>
        <v/>
      </c>
      <c r="CO50" s="110">
        <f>IF(AA50="","",IFERROR(AA50*HSI!$B$45*HSI!$G$45/HSI!$B$3,""))</f>
        <v/>
      </c>
      <c r="CP50" s="110">
        <f>IF(AB50="","",IFERROR(AB50*HSI!$B$45*HSI!$G$45/HSI!$B$3,""))</f>
        <v/>
      </c>
      <c r="CQ50" s="110">
        <f>IF(AC50="","",IFERROR(AC50*HSI!$B$45*HSI!$G$45/HSI!$B$3,""))</f>
        <v/>
      </c>
      <c r="CR50" s="110">
        <f>IF(AD50="","",IFERROR(AD50*HSI!$B$45*HSI!$G$45/HSI!$B$3,""))</f>
        <v/>
      </c>
      <c r="CS50" s="110">
        <f>IF(AE50="","",IFERROR(AE50*HSI!$B$45*HSI!$G$45/HSI!$B$3,""))</f>
        <v/>
      </c>
      <c r="CT50" s="110">
        <f>IF(AF50="","",IFERROR(AF50*HSI!$B$45*HSI!$G$45/HSI!$B$3,""))</f>
        <v/>
      </c>
      <c r="CU50" s="110">
        <f>IF(AG50="","",IFERROR(AG50*HSI!$B$45*HSI!$G$45/HSI!$B$3,""))</f>
        <v/>
      </c>
      <c r="CV50" s="110">
        <f>IF(AH50="","",IFERROR(AH50*HSI!$B$45*HSI!$G$45/HSI!$B$3,""))</f>
        <v/>
      </c>
      <c r="CW50" s="110">
        <f>IF(AI50="","",IFERROR(AI50*HSI!$B$45*HSI!$G$45/HSI!$B$3,""))</f>
        <v/>
      </c>
      <c r="CX50" s="110">
        <f>IF(AJ50="","",IFERROR(AJ50*HSI!$B$45*HSI!$G$45/HSI!$B$3,""))</f>
        <v/>
      </c>
      <c r="CY50" s="110">
        <f>IF(AK50="","",IFERROR(AK50*HSI!$B$45*HSI!$G$45/HSI!$B$3,""))</f>
        <v/>
      </c>
      <c r="CZ50" s="110">
        <f>IF(AL50="","",IFERROR(AL50*HSI!$B$45*HSI!$G$45/HSI!$B$3,""))</f>
        <v/>
      </c>
      <c r="DA50" s="110">
        <f>IF(AM50="","",IFERROR(AM50*HSI!$B$45*HSI!$G$45/HSI!$B$3,""))</f>
        <v/>
      </c>
      <c r="DB50" s="110">
        <f>IF(AN50="","",IFERROR(AN50*HSI!$B$45*HSI!$G$45/HSI!$B$3,""))</f>
        <v/>
      </c>
      <c r="DC50" s="110">
        <f>IF(AO50="","",IFERROR(AO50*HSI!$B$45*HSI!$G$45/HSI!$B$3,""))</f>
        <v/>
      </c>
      <c r="DD50" s="110">
        <f>IF(AP50="","",IFERROR(AP50*HSI!$B$45*HSI!$G$45/HSI!$B$3,""))</f>
        <v/>
      </c>
      <c r="DE50" s="110">
        <f>IF(AQ50="","",IFERROR(AQ50*HSI!$B$45*HSI!$G$45/HSI!$B$3,""))</f>
        <v/>
      </c>
      <c r="DF50" s="110">
        <f>IF(AR50="","",IFERROR(AR50*HSI!$B$45*HSI!$G$45/HSI!$B$3,""))</f>
        <v/>
      </c>
      <c r="DG50" s="110">
        <f>IF(AS50="","",IFERROR(AS50*HSI!$B$45*HSI!$G$45/HSI!$B$3,""))</f>
        <v/>
      </c>
      <c r="DH50" s="110">
        <f>IF(AT50="","",IFERROR(AT50*HSI!$B$45*HSI!$G$45/HSI!$B$3,""))</f>
        <v/>
      </c>
      <c r="DI50" s="110">
        <f>IF(AU50="","",IFERROR(AU50*HSI!$B$45*HSI!$G$45/HSI!$B$3,""))</f>
        <v/>
      </c>
      <c r="DJ50" s="110">
        <f>IF(AV50="","",IFERROR(AV50*HSI!$B$45*HSI!$G$45/HSI!$B$3,""))</f>
        <v/>
      </c>
      <c r="DK50" s="110">
        <f>IF(AW50="","",IFERROR(AW50*HSI!$B$45*HSI!$G$45/HSI!$B$3,""))</f>
        <v/>
      </c>
      <c r="DL50" s="110">
        <f>IF(AX50="","",IFERROR(AX50*HSI!$B$45*HSI!$G$45/HSI!$B$3,""))</f>
        <v/>
      </c>
      <c r="DM50" s="110">
        <f>IF(AY50="","",IFERROR(AY50*HSI!$B$45*HSI!$G$45/HSI!$B$3,""))</f>
        <v/>
      </c>
      <c r="DN50" s="110">
        <f>IF(AZ50="","",IFERROR(AZ50*HSI!$B$45*HSI!$G$45/HSI!$B$3,""))</f>
        <v/>
      </c>
      <c r="DO50" s="110">
        <f>IF(BA50="","",IFERROR(BA50*HSI!$B$45*HSI!$G$45/HSI!$B$3,""))</f>
        <v/>
      </c>
      <c r="DP50" s="110">
        <f>IF(BB50="","",IFERROR(BB50*HSI!$B$45*HSI!$G$45/HSI!$B$3,""))</f>
        <v/>
      </c>
      <c r="DQ50" s="110">
        <f>IF(BC50="","",IFERROR(BC50*HSI!$B$45*HSI!$G$45/HSI!$B$3,""))</f>
        <v/>
      </c>
      <c r="DR50" s="110">
        <f>IF(BD50="","",IFERROR(BD50*HSI!$B$45*HSI!$G$45/HSI!$B$3,""))</f>
        <v/>
      </c>
      <c r="DS50" s="110">
        <f>IF(BE50="","",IFERROR(BE50*HSI!$B$45*HSI!$G$45/HSI!$B$3,""))</f>
        <v/>
      </c>
      <c r="DT50" s="110">
        <f>IF(BF50="","",IFERROR(BF50*HSI!$B$45*HSI!$G$45/HSI!$B$3,""))</f>
        <v/>
      </c>
      <c r="DU50" s="110">
        <f>IF(BG50="","",IFERROR(BG50*HSI!$B$45*HSI!$G$45/HSI!$B$3,""))</f>
        <v/>
      </c>
      <c r="DV50" s="110">
        <f>IF(BH50="","",IFERROR(BH50*HSI!$B$45*HSI!$G$45/HSI!$B$3,""))</f>
        <v/>
      </c>
      <c r="DW50" s="110">
        <f>IF(BI50="","",IFERROR(BI50*HSI!$B$45*HSI!$G$45/HSI!$B$3,""))</f>
        <v/>
      </c>
      <c r="DX50" s="110">
        <f>IF(BJ50="","",IFERROR(BJ50*HSI!$B$45*HSI!$G$45/HSI!$B$3,""))</f>
        <v/>
      </c>
      <c r="DY50" s="110">
        <f>IF(BK50="","",IFERROR(BK50*HSI!$B$45*HSI!$G$45/HSI!$B$3,""))</f>
        <v/>
      </c>
      <c r="DZ50" s="110">
        <f>IF(BL50="","",IFERROR(BL50*HSI!$B$45*HSI!$G$45/HSI!$B$3,""))</f>
        <v/>
      </c>
      <c r="EA50" s="110">
        <f>IF(BM50="","",IFERROR(BM50*HSI!$B$45*HSI!$G$45/HSI!$B$3,""))</f>
        <v/>
      </c>
      <c r="EB50" s="110">
        <f>IF(BN50="","",IFERROR(BN50*HSI!$B$45*HSI!$G$45/HSI!$B$3,""))</f>
        <v/>
      </c>
      <c r="EC50" s="110">
        <f>IF(BO50="","",IFERROR(BO50*HSI!$B$45*HSI!$G$45/HSI!$B$3,""))</f>
        <v/>
      </c>
      <c r="EE50" s="39">
        <f>IF(N('Dvd Calendar'!$E$429)=0,"",IF(('Dvd Calendar'!$E$429&gt;=GRID_FROM)*('Dvd Calendar'!$E$429&lt;=GRID_TO)*((('Dvd Calendar'!$E$429&lt;=VAL_DATE)+(COUNTIF('Dvd Calendar'!$E$436:$AR$436,'Dvd Calendar'!$E$429)=0))&gt;0)=0,"",'Dvd Calendar'!$E$429*1000000000+ISNUMBER('Dvd Calendar'!$E$432)*100000000+('Dvd Calendar'!$E$434=SPECIAL_LBL)*10000000+(N('Dvd Calendar'!$E$428)&gt;0)*(N('Dvd Calendar'!$E$428)&lt;=VAL_SERIAL)*1000000+39*1000+1))</f>
        <v/>
      </c>
      <c r="EF50" s="39">
        <f>IF(N('Dvd Calendar'!$F$429)=0,"",IF(('Dvd Calendar'!$F$429&gt;=GRID_FROM)*('Dvd Calendar'!$F$429&lt;=GRID_TO)*((('Dvd Calendar'!$F$429&lt;=VAL_DATE)+(COUNTIF('Dvd Calendar'!$E$436:$AR$436,'Dvd Calendar'!$F$429)=0))&gt;0)=0,"",'Dvd Calendar'!$F$429*1000000000+ISNUMBER('Dvd Calendar'!$F$432)*100000000+('Dvd Calendar'!$F$434=SPECIAL_LBL)*10000000+(N('Dvd Calendar'!$F$428)&gt;0)*(N('Dvd Calendar'!$F$428)&lt;=VAL_SERIAL)*1000000+39*1000+2))</f>
        <v/>
      </c>
      <c r="EG50" s="39">
        <f>IF(N('Dvd Calendar'!$G$429)=0,"",IF(('Dvd Calendar'!$G$429&gt;=GRID_FROM)*('Dvd Calendar'!$G$429&lt;=GRID_TO)*((('Dvd Calendar'!$G$429&lt;=VAL_DATE)+(COUNTIF('Dvd Calendar'!$E$436:$AR$436,'Dvd Calendar'!$G$429)=0))&gt;0)=0,"",'Dvd Calendar'!$G$429*1000000000+ISNUMBER('Dvd Calendar'!$G$432)*100000000+('Dvd Calendar'!$G$434=SPECIAL_LBL)*10000000+(N('Dvd Calendar'!$G$428)&gt;0)*(N('Dvd Calendar'!$G$428)&lt;=VAL_SERIAL)*1000000+39*1000+3))</f>
        <v/>
      </c>
      <c r="EH50" s="39">
        <f>IF(N('Dvd Calendar'!$H$429)=0,"",IF(('Dvd Calendar'!$H$429&gt;=GRID_FROM)*('Dvd Calendar'!$H$429&lt;=GRID_TO)*((('Dvd Calendar'!$H$429&lt;=VAL_DATE)+(COUNTIF('Dvd Calendar'!$E$436:$AR$436,'Dvd Calendar'!$H$429)=0))&gt;0)=0,"",'Dvd Calendar'!$H$429*1000000000+ISNUMBER('Dvd Calendar'!$H$432)*100000000+('Dvd Calendar'!$H$434=SPECIAL_LBL)*10000000+(N('Dvd Calendar'!$H$428)&gt;0)*(N('Dvd Calendar'!$H$428)&lt;=VAL_SERIAL)*1000000+39*1000+4))</f>
        <v/>
      </c>
      <c r="EI50" s="39">
        <f>IF(N('Dvd Calendar'!$I$429)=0,"",IF(('Dvd Calendar'!$I$429&gt;=GRID_FROM)*('Dvd Calendar'!$I$429&lt;=GRID_TO)*((('Dvd Calendar'!$I$429&lt;=VAL_DATE)+(COUNTIF('Dvd Calendar'!$E$436:$AR$436,'Dvd Calendar'!$I$429)=0))&gt;0)=0,"",'Dvd Calendar'!$I$429*1000000000+ISNUMBER('Dvd Calendar'!$I$432)*100000000+('Dvd Calendar'!$I$434=SPECIAL_LBL)*10000000+(N('Dvd Calendar'!$I$428)&gt;0)*(N('Dvd Calendar'!$I$428)&lt;=VAL_SERIAL)*1000000+39*1000+5))</f>
        <v/>
      </c>
      <c r="EJ50" s="39">
        <f>IF(N('Dvd Calendar'!$J$429)=0,"",IF(('Dvd Calendar'!$J$429&gt;=GRID_FROM)*('Dvd Calendar'!$J$429&lt;=GRID_TO)*((('Dvd Calendar'!$J$429&lt;=VAL_DATE)+(COUNTIF('Dvd Calendar'!$E$436:$AR$436,'Dvd Calendar'!$J$429)=0))&gt;0)=0,"",'Dvd Calendar'!$J$429*1000000000+ISNUMBER('Dvd Calendar'!$J$432)*100000000+('Dvd Calendar'!$J$434=SPECIAL_LBL)*10000000+(N('Dvd Calendar'!$J$428)&gt;0)*(N('Dvd Calendar'!$J$428)&lt;=VAL_SERIAL)*1000000+39*1000+6))</f>
        <v/>
      </c>
      <c r="EK50" s="39">
        <f>IF(N('Dvd Calendar'!$K$429)=0,"",IF(('Dvd Calendar'!$K$429&gt;=GRID_FROM)*('Dvd Calendar'!$K$429&lt;=GRID_TO)*((('Dvd Calendar'!$K$429&lt;=VAL_DATE)+(COUNTIF('Dvd Calendar'!$E$436:$AR$436,'Dvd Calendar'!$K$429)=0))&gt;0)=0,"",'Dvd Calendar'!$K$429*1000000000+ISNUMBER('Dvd Calendar'!$K$432)*100000000+('Dvd Calendar'!$K$434=SPECIAL_LBL)*10000000+(N('Dvd Calendar'!$K$428)&gt;0)*(N('Dvd Calendar'!$K$428)&lt;=VAL_SERIAL)*1000000+39*1000+7))</f>
        <v/>
      </c>
      <c r="EL50" s="39">
        <f>IF(N('Dvd Calendar'!$L$429)=0,"",IF(('Dvd Calendar'!$L$429&gt;=GRID_FROM)*('Dvd Calendar'!$L$429&lt;=GRID_TO)*((('Dvd Calendar'!$L$429&lt;=VAL_DATE)+(COUNTIF('Dvd Calendar'!$E$436:$AR$436,'Dvd Calendar'!$L$429)=0))&gt;0)=0,"",'Dvd Calendar'!$L$429*1000000000+ISNUMBER('Dvd Calendar'!$L$432)*100000000+('Dvd Calendar'!$L$434=SPECIAL_LBL)*10000000+(N('Dvd Calendar'!$L$428)&gt;0)*(N('Dvd Calendar'!$L$428)&lt;=VAL_SERIAL)*1000000+39*1000+8))</f>
        <v/>
      </c>
      <c r="EM50" s="39">
        <f>IF(N('Dvd Calendar'!$M$429)=0,"",IF(('Dvd Calendar'!$M$429&gt;=GRID_FROM)*('Dvd Calendar'!$M$429&lt;=GRID_TO)*((('Dvd Calendar'!$M$429&lt;=VAL_DATE)+(COUNTIF('Dvd Calendar'!$E$436:$AR$436,'Dvd Calendar'!$M$429)=0))&gt;0)=0,"",'Dvd Calendar'!$M$429*1000000000+ISNUMBER('Dvd Calendar'!$M$432)*100000000+('Dvd Calendar'!$M$434=SPECIAL_LBL)*10000000+(N('Dvd Calendar'!$M$428)&gt;0)*(N('Dvd Calendar'!$M$428)&lt;=VAL_SERIAL)*1000000+39*1000+9))</f>
        <v/>
      </c>
      <c r="EN50" s="39">
        <f>IF(N('Dvd Calendar'!$N$429)=0,"",IF(('Dvd Calendar'!$N$429&gt;=GRID_FROM)*('Dvd Calendar'!$N$429&lt;=GRID_TO)*((('Dvd Calendar'!$N$429&lt;=VAL_DATE)+(COUNTIF('Dvd Calendar'!$E$436:$AR$436,'Dvd Calendar'!$N$429)=0))&gt;0)=0,"",'Dvd Calendar'!$N$429*1000000000+ISNUMBER('Dvd Calendar'!$N$432)*100000000+('Dvd Calendar'!$N$434=SPECIAL_LBL)*10000000+(N('Dvd Calendar'!$N$428)&gt;0)*(N('Dvd Calendar'!$N$428)&lt;=VAL_SERIAL)*1000000+39*1000+10))</f>
        <v/>
      </c>
      <c r="EO50" s="39">
        <f>IF(N('Dvd Calendar'!$O$429)=0,"",IF(('Dvd Calendar'!$O$429&gt;=GRID_FROM)*('Dvd Calendar'!$O$429&lt;=GRID_TO)*((('Dvd Calendar'!$O$429&lt;=VAL_DATE)+(COUNTIF('Dvd Calendar'!$E$436:$AR$436,'Dvd Calendar'!$O$429)=0))&gt;0)=0,"",'Dvd Calendar'!$O$429*1000000000+ISNUMBER('Dvd Calendar'!$O$432)*100000000+('Dvd Calendar'!$O$434=SPECIAL_LBL)*10000000+(N('Dvd Calendar'!$O$428)&gt;0)*(N('Dvd Calendar'!$O$428)&lt;=VAL_SERIAL)*1000000+39*1000+11))</f>
        <v/>
      </c>
      <c r="EP50" s="39">
        <f>IF(N('Dvd Calendar'!$P$429)=0,"",IF(('Dvd Calendar'!$P$429&gt;=GRID_FROM)*('Dvd Calendar'!$P$429&lt;=GRID_TO)*((('Dvd Calendar'!$P$429&lt;=VAL_DATE)+(COUNTIF('Dvd Calendar'!$E$436:$AR$436,'Dvd Calendar'!$P$429)=0))&gt;0)=0,"",'Dvd Calendar'!$P$429*1000000000+ISNUMBER('Dvd Calendar'!$P$432)*100000000+('Dvd Calendar'!$P$434=SPECIAL_LBL)*10000000+(N('Dvd Calendar'!$P$428)&gt;0)*(N('Dvd Calendar'!$P$428)&lt;=VAL_SERIAL)*1000000+39*1000+12))</f>
        <v/>
      </c>
      <c r="EQ50" s="39">
        <f>IF(N('Dvd Calendar'!$Q$429)=0,"",IF(('Dvd Calendar'!$Q$429&gt;=GRID_FROM)*('Dvd Calendar'!$Q$429&lt;=GRID_TO)*((('Dvd Calendar'!$Q$429&lt;=VAL_DATE)+(COUNTIF('Dvd Calendar'!$E$436:$AR$436,'Dvd Calendar'!$Q$429)=0))&gt;0)=0,"",'Dvd Calendar'!$Q$429*1000000000+ISNUMBER('Dvd Calendar'!$Q$432)*100000000+('Dvd Calendar'!$Q$434=SPECIAL_LBL)*10000000+(N('Dvd Calendar'!$Q$428)&gt;0)*(N('Dvd Calendar'!$Q$428)&lt;=VAL_SERIAL)*1000000+39*1000+13))</f>
        <v/>
      </c>
      <c r="ER50" s="39">
        <f>IF(N('Dvd Calendar'!$R$429)=0,"",IF(('Dvd Calendar'!$R$429&gt;=GRID_FROM)*('Dvd Calendar'!$R$429&lt;=GRID_TO)*((('Dvd Calendar'!$R$429&lt;=VAL_DATE)+(COUNTIF('Dvd Calendar'!$E$436:$AR$436,'Dvd Calendar'!$R$429)=0))&gt;0)=0,"",'Dvd Calendar'!$R$429*1000000000+ISNUMBER('Dvd Calendar'!$R$432)*100000000+('Dvd Calendar'!$R$434=SPECIAL_LBL)*10000000+(N('Dvd Calendar'!$R$428)&gt;0)*(N('Dvd Calendar'!$R$428)&lt;=VAL_SERIAL)*1000000+39*1000+14))</f>
        <v/>
      </c>
      <c r="ES50" s="39">
        <f>IF(N('Dvd Calendar'!$S$429)=0,"",IF(('Dvd Calendar'!$S$429&gt;=GRID_FROM)*('Dvd Calendar'!$S$429&lt;=GRID_TO)*((('Dvd Calendar'!$S$429&lt;=VAL_DATE)+(COUNTIF('Dvd Calendar'!$E$436:$AR$436,'Dvd Calendar'!$S$429)=0))&gt;0)=0,"",'Dvd Calendar'!$S$429*1000000000+ISNUMBER('Dvd Calendar'!$S$432)*100000000+('Dvd Calendar'!$S$434=SPECIAL_LBL)*10000000+(N('Dvd Calendar'!$S$428)&gt;0)*(N('Dvd Calendar'!$S$428)&lt;=VAL_SERIAL)*1000000+39*1000+15))</f>
        <v/>
      </c>
      <c r="ET50" s="39">
        <f>IF(N('Dvd Calendar'!$T$429)=0,"",IF(('Dvd Calendar'!$T$429&gt;=GRID_FROM)*('Dvd Calendar'!$T$429&lt;=GRID_TO)*((('Dvd Calendar'!$T$429&lt;=VAL_DATE)+(COUNTIF('Dvd Calendar'!$E$436:$AR$436,'Dvd Calendar'!$T$429)=0))&gt;0)=0,"",'Dvd Calendar'!$T$429*1000000000+ISNUMBER('Dvd Calendar'!$T$432)*100000000+('Dvd Calendar'!$T$434=SPECIAL_LBL)*10000000+(N('Dvd Calendar'!$T$428)&gt;0)*(N('Dvd Calendar'!$T$428)&lt;=VAL_SERIAL)*1000000+39*1000+16))</f>
        <v/>
      </c>
      <c r="EU50" s="39">
        <f>IF(N('Dvd Calendar'!$U$429)=0,"",IF(('Dvd Calendar'!$U$429&gt;=GRID_FROM)*('Dvd Calendar'!$U$429&lt;=GRID_TO)*((('Dvd Calendar'!$U$429&lt;=VAL_DATE)+(COUNTIF('Dvd Calendar'!$E$436:$AR$436,'Dvd Calendar'!$U$429)=0))&gt;0)=0,"",'Dvd Calendar'!$U$429*1000000000+ISNUMBER('Dvd Calendar'!$U$432)*100000000+('Dvd Calendar'!$U$434=SPECIAL_LBL)*10000000+(N('Dvd Calendar'!$U$428)&gt;0)*(N('Dvd Calendar'!$U$428)&lt;=VAL_SERIAL)*1000000+39*1000+17))</f>
        <v/>
      </c>
      <c r="EV50" s="39">
        <f>IF(N('Dvd Calendar'!$V$429)=0,"",IF(('Dvd Calendar'!$V$429&gt;=GRID_FROM)*('Dvd Calendar'!$V$429&lt;=GRID_TO)*((('Dvd Calendar'!$V$429&lt;=VAL_DATE)+(COUNTIF('Dvd Calendar'!$E$436:$AR$436,'Dvd Calendar'!$V$429)=0))&gt;0)=0,"",'Dvd Calendar'!$V$429*1000000000+ISNUMBER('Dvd Calendar'!$V$432)*100000000+('Dvd Calendar'!$V$434=SPECIAL_LBL)*10000000+(N('Dvd Calendar'!$V$428)&gt;0)*(N('Dvd Calendar'!$V$428)&lt;=VAL_SERIAL)*1000000+39*1000+18))</f>
        <v/>
      </c>
      <c r="EW50" s="39">
        <f>IF(N('Dvd Calendar'!$W$429)=0,"",IF(('Dvd Calendar'!$W$429&gt;=GRID_FROM)*('Dvd Calendar'!$W$429&lt;=GRID_TO)*((('Dvd Calendar'!$W$429&lt;=VAL_DATE)+(COUNTIF('Dvd Calendar'!$E$436:$AR$436,'Dvd Calendar'!$W$429)=0))&gt;0)=0,"",'Dvd Calendar'!$W$429*1000000000+ISNUMBER('Dvd Calendar'!$W$432)*100000000+('Dvd Calendar'!$W$434=SPECIAL_LBL)*10000000+(N('Dvd Calendar'!$W$428)&gt;0)*(N('Dvd Calendar'!$W$428)&lt;=VAL_SERIAL)*1000000+39*1000+19))</f>
        <v/>
      </c>
      <c r="EX50" s="39">
        <f>IF(N('Dvd Calendar'!$X$429)=0,"",IF(('Dvd Calendar'!$X$429&gt;=GRID_FROM)*('Dvd Calendar'!$X$429&lt;=GRID_TO)*((('Dvd Calendar'!$X$429&lt;=VAL_DATE)+(COUNTIF('Dvd Calendar'!$E$436:$AR$436,'Dvd Calendar'!$X$429)=0))&gt;0)=0,"",'Dvd Calendar'!$X$429*1000000000+ISNUMBER('Dvd Calendar'!$X$432)*100000000+('Dvd Calendar'!$X$434=SPECIAL_LBL)*10000000+(N('Dvd Calendar'!$X$428)&gt;0)*(N('Dvd Calendar'!$X$428)&lt;=VAL_SERIAL)*1000000+39*1000+20))</f>
        <v/>
      </c>
      <c r="EY50" s="39">
        <f>IF(N('Dvd Calendar'!$Y$429)=0,"",IF(('Dvd Calendar'!$Y$429&gt;=GRID_FROM)*('Dvd Calendar'!$Y$429&lt;=GRID_TO)*((('Dvd Calendar'!$Y$429&lt;=VAL_DATE)+(COUNTIF('Dvd Calendar'!$E$436:$AR$436,'Dvd Calendar'!$Y$429)=0))&gt;0)=0,"",'Dvd Calendar'!$Y$429*1000000000+ISNUMBER('Dvd Calendar'!$Y$432)*100000000+('Dvd Calendar'!$Y$434=SPECIAL_LBL)*10000000+(N('Dvd Calendar'!$Y$428)&gt;0)*(N('Dvd Calendar'!$Y$428)&lt;=VAL_SERIAL)*1000000+39*1000+21))</f>
        <v/>
      </c>
      <c r="EZ50" s="39">
        <f>IF(N('Dvd Calendar'!$Z$429)=0,"",IF(('Dvd Calendar'!$Z$429&gt;=GRID_FROM)*('Dvd Calendar'!$Z$429&lt;=GRID_TO)*((('Dvd Calendar'!$Z$429&lt;=VAL_DATE)+(COUNTIF('Dvd Calendar'!$E$436:$AR$436,'Dvd Calendar'!$Z$429)=0))&gt;0)=0,"",'Dvd Calendar'!$Z$429*1000000000+ISNUMBER('Dvd Calendar'!$Z$432)*100000000+('Dvd Calendar'!$Z$434=SPECIAL_LBL)*10000000+(N('Dvd Calendar'!$Z$428)&gt;0)*(N('Dvd Calendar'!$Z$428)&lt;=VAL_SERIAL)*1000000+39*1000+22))</f>
        <v/>
      </c>
      <c r="FA50" s="39">
        <f>IF(N('Dvd Calendar'!$AA$429)=0,"",IF(('Dvd Calendar'!$AA$429&gt;=GRID_FROM)*('Dvd Calendar'!$AA$429&lt;=GRID_TO)*((('Dvd Calendar'!$AA$429&lt;=VAL_DATE)+(COUNTIF('Dvd Calendar'!$E$436:$AR$436,'Dvd Calendar'!$AA$429)=0))&gt;0)=0,"",'Dvd Calendar'!$AA$429*1000000000+ISNUMBER('Dvd Calendar'!$AA$432)*100000000+('Dvd Calendar'!$AA$434=SPECIAL_LBL)*10000000+(N('Dvd Calendar'!$AA$428)&gt;0)*(N('Dvd Calendar'!$AA$428)&lt;=VAL_SERIAL)*1000000+39*1000+23))</f>
        <v/>
      </c>
      <c r="FB50" s="39">
        <f>IF(N('Dvd Calendar'!$AB$429)=0,"",IF(('Dvd Calendar'!$AB$429&gt;=GRID_FROM)*('Dvd Calendar'!$AB$429&lt;=GRID_TO)*((('Dvd Calendar'!$AB$429&lt;=VAL_DATE)+(COUNTIF('Dvd Calendar'!$E$436:$AR$436,'Dvd Calendar'!$AB$429)=0))&gt;0)=0,"",'Dvd Calendar'!$AB$429*1000000000+ISNUMBER('Dvd Calendar'!$AB$432)*100000000+('Dvd Calendar'!$AB$434=SPECIAL_LBL)*10000000+(N('Dvd Calendar'!$AB$428)&gt;0)*(N('Dvd Calendar'!$AB$428)&lt;=VAL_SERIAL)*1000000+39*1000+24))</f>
        <v/>
      </c>
      <c r="FC50" s="39">
        <f>IF(N('Dvd Calendar'!$AC$429)=0,"",IF(('Dvd Calendar'!$AC$429&gt;=GRID_FROM)*('Dvd Calendar'!$AC$429&lt;=GRID_TO)*((('Dvd Calendar'!$AC$429&lt;=VAL_DATE)+(COUNTIF('Dvd Calendar'!$E$436:$AR$436,'Dvd Calendar'!$AC$429)=0))&gt;0)=0,"",'Dvd Calendar'!$AC$429*1000000000+ISNUMBER('Dvd Calendar'!$AC$432)*100000000+('Dvd Calendar'!$AC$434=SPECIAL_LBL)*10000000+(N('Dvd Calendar'!$AC$428)&gt;0)*(N('Dvd Calendar'!$AC$428)&lt;=VAL_SERIAL)*1000000+39*1000+25))</f>
        <v/>
      </c>
      <c r="FD50" s="39">
        <f>IF(N('Dvd Calendar'!$AD$429)=0,"",IF(('Dvd Calendar'!$AD$429&gt;=GRID_FROM)*('Dvd Calendar'!$AD$429&lt;=GRID_TO)*((('Dvd Calendar'!$AD$429&lt;=VAL_DATE)+(COUNTIF('Dvd Calendar'!$E$436:$AR$436,'Dvd Calendar'!$AD$429)=0))&gt;0)=0,"",'Dvd Calendar'!$AD$429*1000000000+ISNUMBER('Dvd Calendar'!$AD$432)*100000000+('Dvd Calendar'!$AD$434=SPECIAL_LBL)*10000000+(N('Dvd Calendar'!$AD$428)&gt;0)*(N('Dvd Calendar'!$AD$428)&lt;=VAL_SERIAL)*1000000+39*1000+26))</f>
        <v/>
      </c>
      <c r="FE50" s="39">
        <f>IF(N('Dvd Calendar'!$AE$429)=0,"",IF(('Dvd Calendar'!$AE$429&gt;=GRID_FROM)*('Dvd Calendar'!$AE$429&lt;=GRID_TO)*((('Dvd Calendar'!$AE$429&lt;=VAL_DATE)+(COUNTIF('Dvd Calendar'!$E$436:$AR$436,'Dvd Calendar'!$AE$429)=0))&gt;0)=0,"",'Dvd Calendar'!$AE$429*1000000000+ISNUMBER('Dvd Calendar'!$AE$432)*100000000+('Dvd Calendar'!$AE$434=SPECIAL_LBL)*10000000+(N('Dvd Calendar'!$AE$428)&gt;0)*(N('Dvd Calendar'!$AE$428)&lt;=VAL_SERIAL)*1000000+39*1000+27))</f>
        <v/>
      </c>
      <c r="FF50" s="39">
        <f>IF(N('Dvd Calendar'!$AF$429)=0,"",IF(('Dvd Calendar'!$AF$429&gt;=GRID_FROM)*('Dvd Calendar'!$AF$429&lt;=GRID_TO)*((('Dvd Calendar'!$AF$429&lt;=VAL_DATE)+(COUNTIF('Dvd Calendar'!$E$436:$AR$436,'Dvd Calendar'!$AF$429)=0))&gt;0)=0,"",'Dvd Calendar'!$AF$429*1000000000+ISNUMBER('Dvd Calendar'!$AF$432)*100000000+('Dvd Calendar'!$AF$434=SPECIAL_LBL)*10000000+(N('Dvd Calendar'!$AF$428)&gt;0)*(N('Dvd Calendar'!$AF$428)&lt;=VAL_SERIAL)*1000000+39*1000+28))</f>
        <v/>
      </c>
      <c r="FG50" s="39">
        <f>IF(N('Dvd Calendar'!$AG$429)=0,"",IF(('Dvd Calendar'!$AG$429&gt;=GRID_FROM)*('Dvd Calendar'!$AG$429&lt;=GRID_TO)*((('Dvd Calendar'!$AG$429&lt;=VAL_DATE)+(COUNTIF('Dvd Calendar'!$E$436:$AR$436,'Dvd Calendar'!$AG$429)=0))&gt;0)=0,"",'Dvd Calendar'!$AG$429*1000000000+ISNUMBER('Dvd Calendar'!$AG$432)*100000000+('Dvd Calendar'!$AG$434=SPECIAL_LBL)*10000000+(N('Dvd Calendar'!$AG$428)&gt;0)*(N('Dvd Calendar'!$AG$428)&lt;=VAL_SERIAL)*1000000+39*1000+29))</f>
        <v/>
      </c>
      <c r="FH50" s="39">
        <f>IF(N('Dvd Calendar'!$AH$429)=0,"",IF(('Dvd Calendar'!$AH$429&gt;=GRID_FROM)*('Dvd Calendar'!$AH$429&lt;=GRID_TO)*((('Dvd Calendar'!$AH$429&lt;=VAL_DATE)+(COUNTIF('Dvd Calendar'!$E$436:$AR$436,'Dvd Calendar'!$AH$429)=0))&gt;0)=0,"",'Dvd Calendar'!$AH$429*1000000000+ISNUMBER('Dvd Calendar'!$AH$432)*100000000+('Dvd Calendar'!$AH$434=SPECIAL_LBL)*10000000+(N('Dvd Calendar'!$AH$428)&gt;0)*(N('Dvd Calendar'!$AH$428)&lt;=VAL_SERIAL)*1000000+39*1000+30))</f>
        <v/>
      </c>
      <c r="FI50" s="39">
        <f>IF(N('Dvd Calendar'!$AI$429)=0,"",IF(('Dvd Calendar'!$AI$429&gt;=GRID_FROM)*('Dvd Calendar'!$AI$429&lt;=GRID_TO)*((('Dvd Calendar'!$AI$429&lt;=VAL_DATE)+(COUNTIF('Dvd Calendar'!$E$436:$AR$436,'Dvd Calendar'!$AI$429)=0))&gt;0)=0,"",'Dvd Calendar'!$AI$429*1000000000+ISNUMBER('Dvd Calendar'!$AI$432)*100000000+('Dvd Calendar'!$AI$434=SPECIAL_LBL)*10000000+(N('Dvd Calendar'!$AI$428)&gt;0)*(N('Dvd Calendar'!$AI$428)&lt;=VAL_SERIAL)*1000000+39*1000+31))</f>
        <v/>
      </c>
      <c r="FJ50" s="39">
        <f>IF(N('Dvd Calendar'!$AJ$429)=0,"",IF(('Dvd Calendar'!$AJ$429&gt;=GRID_FROM)*('Dvd Calendar'!$AJ$429&lt;=GRID_TO)*((('Dvd Calendar'!$AJ$429&lt;=VAL_DATE)+(COUNTIF('Dvd Calendar'!$E$436:$AR$436,'Dvd Calendar'!$AJ$429)=0))&gt;0)=0,"",'Dvd Calendar'!$AJ$429*1000000000+ISNUMBER('Dvd Calendar'!$AJ$432)*100000000+('Dvd Calendar'!$AJ$434=SPECIAL_LBL)*10000000+(N('Dvd Calendar'!$AJ$428)&gt;0)*(N('Dvd Calendar'!$AJ$428)&lt;=VAL_SERIAL)*1000000+39*1000+32))</f>
        <v/>
      </c>
      <c r="FK50" s="39">
        <f>IF(N('Dvd Calendar'!$AK$429)=0,"",IF(('Dvd Calendar'!$AK$429&gt;=GRID_FROM)*('Dvd Calendar'!$AK$429&lt;=GRID_TO)*((('Dvd Calendar'!$AK$429&lt;=VAL_DATE)+(COUNTIF('Dvd Calendar'!$E$436:$AR$436,'Dvd Calendar'!$AK$429)=0))&gt;0)=0,"",'Dvd Calendar'!$AK$429*1000000000+ISNUMBER('Dvd Calendar'!$AK$432)*100000000+('Dvd Calendar'!$AK$434=SPECIAL_LBL)*10000000+(N('Dvd Calendar'!$AK$428)&gt;0)*(N('Dvd Calendar'!$AK$428)&lt;=VAL_SERIAL)*1000000+39*1000+33))</f>
        <v/>
      </c>
      <c r="FL50" s="39">
        <f>IF(N('Dvd Calendar'!$AL$429)=0,"",IF(('Dvd Calendar'!$AL$429&gt;=GRID_FROM)*('Dvd Calendar'!$AL$429&lt;=GRID_TO)*((('Dvd Calendar'!$AL$429&lt;=VAL_DATE)+(COUNTIF('Dvd Calendar'!$E$436:$AR$436,'Dvd Calendar'!$AL$429)=0))&gt;0)=0,"",'Dvd Calendar'!$AL$429*1000000000+ISNUMBER('Dvd Calendar'!$AL$432)*100000000+('Dvd Calendar'!$AL$434=SPECIAL_LBL)*10000000+(N('Dvd Calendar'!$AL$428)&gt;0)*(N('Dvd Calendar'!$AL$428)&lt;=VAL_SERIAL)*1000000+39*1000+34))</f>
        <v/>
      </c>
      <c r="FM50" s="39">
        <f>IF(N('Dvd Calendar'!$AM$429)=0,"",IF(('Dvd Calendar'!$AM$429&gt;=GRID_FROM)*('Dvd Calendar'!$AM$429&lt;=GRID_TO)*((('Dvd Calendar'!$AM$429&lt;=VAL_DATE)+(COUNTIF('Dvd Calendar'!$E$436:$AR$436,'Dvd Calendar'!$AM$429)=0))&gt;0)=0,"",'Dvd Calendar'!$AM$429*1000000000+ISNUMBER('Dvd Calendar'!$AM$432)*100000000+('Dvd Calendar'!$AM$434=SPECIAL_LBL)*10000000+(N('Dvd Calendar'!$AM$428)&gt;0)*(N('Dvd Calendar'!$AM$428)&lt;=VAL_SERIAL)*1000000+39*1000+35))</f>
        <v/>
      </c>
      <c r="FN50" s="39">
        <f>IF(N('Dvd Calendar'!$AN$429)=0,"",IF(('Dvd Calendar'!$AN$429&gt;=GRID_FROM)*('Dvd Calendar'!$AN$429&lt;=GRID_TO)*((('Dvd Calendar'!$AN$429&lt;=VAL_DATE)+(COUNTIF('Dvd Calendar'!$E$436:$AR$436,'Dvd Calendar'!$AN$429)=0))&gt;0)=0,"",'Dvd Calendar'!$AN$429*1000000000+ISNUMBER('Dvd Calendar'!$AN$432)*100000000+('Dvd Calendar'!$AN$434=SPECIAL_LBL)*10000000+(N('Dvd Calendar'!$AN$428)&gt;0)*(N('Dvd Calendar'!$AN$428)&lt;=VAL_SERIAL)*1000000+39*1000+36))</f>
        <v/>
      </c>
      <c r="FO50" s="39">
        <f>IF(N('Dvd Calendar'!$AO$429)=0,"",IF(('Dvd Calendar'!$AO$429&gt;=GRID_FROM)*('Dvd Calendar'!$AO$429&lt;=GRID_TO)*((('Dvd Calendar'!$AO$429&lt;=VAL_DATE)+(COUNTIF('Dvd Calendar'!$E$436:$AR$436,'Dvd Calendar'!$AO$429)=0))&gt;0)=0,"",'Dvd Calendar'!$AO$429*1000000000+ISNUMBER('Dvd Calendar'!$AO$432)*100000000+('Dvd Calendar'!$AO$434=SPECIAL_LBL)*10000000+(N('Dvd Calendar'!$AO$428)&gt;0)*(N('Dvd Calendar'!$AO$428)&lt;=VAL_SERIAL)*1000000+39*1000+37))</f>
        <v/>
      </c>
      <c r="FP50" s="39">
        <f>IF(N('Dvd Calendar'!$AP$429)=0,"",IF(('Dvd Calendar'!$AP$429&gt;=GRID_FROM)*('Dvd Calendar'!$AP$429&lt;=GRID_TO)*((('Dvd Calendar'!$AP$429&lt;=VAL_DATE)+(COUNTIF('Dvd Calendar'!$E$436:$AR$436,'Dvd Calendar'!$AP$429)=0))&gt;0)=0,"",'Dvd Calendar'!$AP$429*1000000000+ISNUMBER('Dvd Calendar'!$AP$432)*100000000+('Dvd Calendar'!$AP$434=SPECIAL_LBL)*10000000+(N('Dvd Calendar'!$AP$428)&gt;0)*(N('Dvd Calendar'!$AP$428)&lt;=VAL_SERIAL)*1000000+39*1000+38))</f>
        <v/>
      </c>
      <c r="FQ50" s="39">
        <f>IF(N('Dvd Calendar'!$AQ$429)=0,"",IF(('Dvd Calendar'!$AQ$429&gt;=GRID_FROM)*('Dvd Calendar'!$AQ$429&lt;=GRID_TO)*((('Dvd Calendar'!$AQ$429&lt;=VAL_DATE)+(COUNTIF('Dvd Calendar'!$E$436:$AR$436,'Dvd Calendar'!$AQ$429)=0))&gt;0)=0,"",'Dvd Calendar'!$AQ$429*1000000000+ISNUMBER('Dvd Calendar'!$AQ$432)*100000000+('Dvd Calendar'!$AQ$434=SPECIAL_LBL)*10000000+(N('Dvd Calendar'!$AQ$428)&gt;0)*(N('Dvd Calendar'!$AQ$428)&lt;=VAL_SERIAL)*1000000+39*1000+39))</f>
        <v/>
      </c>
      <c r="FR50" s="39">
        <f>IF(N('Dvd Calendar'!$AR$429)=0,"",IF(('Dvd Calendar'!$AR$429&gt;=GRID_FROM)*('Dvd Calendar'!$AR$429&lt;=GRID_TO)*((('Dvd Calendar'!$AR$429&lt;=VAL_DATE)+(COUNTIF('Dvd Calendar'!$E$436:$AR$436,'Dvd Calendar'!$AR$429)=0))&gt;0)=0,"",'Dvd Calendar'!$AR$429*1000000000+ISNUMBER('Dvd Calendar'!$AR$432)*100000000+('Dvd Calendar'!$AR$434=SPECIAL_LBL)*10000000+(N('Dvd Calendar'!$AR$428)&gt;0)*(N('Dvd Calendar'!$AR$428)&lt;=VAL_SERIAL)*1000000+39*1000+40))</f>
        <v/>
      </c>
      <c r="FS50" s="39">
        <f>IF(N('Dvd Calendar'!$E$436)=0,"",IF(('Dvd Calendar'!$E$436&gt;=GRID_FROM)*('Dvd Calendar'!$E$436&lt;=GRID_TO)*('Dvd Calendar'!$E$436&gt;VAL_DATE)=0,"",'Dvd Calendar'!$E$436*1000000000+ISNUMBER('Dvd Calendar'!$E$437)*100000000+0*10000000+(N('Dvd Calendar'!$E$435)&gt;0)*(N('Dvd Calendar'!$E$435)&lt;=VAL_SERIAL)*1000000+39*1000+41))</f>
        <v/>
      </c>
      <c r="FT50" s="39">
        <f>IF(N('Dvd Calendar'!$F$436)=0,"",IF(('Dvd Calendar'!$F$436&gt;=GRID_FROM)*('Dvd Calendar'!$F$436&lt;=GRID_TO)*('Dvd Calendar'!$F$436&gt;VAL_DATE)=0,"",'Dvd Calendar'!$F$436*1000000000+ISNUMBER('Dvd Calendar'!$F$437)*100000000+0*10000000+(N('Dvd Calendar'!$F$435)&gt;0)*(N('Dvd Calendar'!$F$435)&lt;=VAL_SERIAL)*1000000+39*1000+42))</f>
        <v/>
      </c>
      <c r="FU50" s="39">
        <f>IF(N('Dvd Calendar'!$G$436)=0,"",IF(('Dvd Calendar'!$G$436&gt;=GRID_FROM)*('Dvd Calendar'!$G$436&lt;=GRID_TO)*('Dvd Calendar'!$G$436&gt;VAL_DATE)=0,"",'Dvd Calendar'!$G$436*1000000000+ISNUMBER('Dvd Calendar'!$G$437)*100000000+0*10000000+(N('Dvd Calendar'!$G$435)&gt;0)*(N('Dvd Calendar'!$G$435)&lt;=VAL_SERIAL)*1000000+39*1000+43))</f>
        <v/>
      </c>
      <c r="FV50" s="39">
        <f>IF(N('Dvd Calendar'!$H$436)=0,"",IF(('Dvd Calendar'!$H$436&gt;=GRID_FROM)*('Dvd Calendar'!$H$436&lt;=GRID_TO)*('Dvd Calendar'!$H$436&gt;VAL_DATE)=0,"",'Dvd Calendar'!$H$436*1000000000+ISNUMBER('Dvd Calendar'!$H$437)*100000000+0*10000000+(N('Dvd Calendar'!$H$435)&gt;0)*(N('Dvd Calendar'!$H$435)&lt;=VAL_SERIAL)*1000000+39*1000+44))</f>
        <v/>
      </c>
      <c r="FW50" s="39">
        <f>IF(N('Dvd Calendar'!$I$436)=0,"",IF(('Dvd Calendar'!$I$436&gt;=GRID_FROM)*('Dvd Calendar'!$I$436&lt;=GRID_TO)*('Dvd Calendar'!$I$436&gt;VAL_DATE)=0,"",'Dvd Calendar'!$I$436*1000000000+ISNUMBER('Dvd Calendar'!$I$437)*100000000+0*10000000+(N('Dvd Calendar'!$I$435)&gt;0)*(N('Dvd Calendar'!$I$435)&lt;=VAL_SERIAL)*1000000+39*1000+45))</f>
        <v/>
      </c>
      <c r="FX50" s="39">
        <f>IF(N('Dvd Calendar'!$J$436)=0,"",IF(('Dvd Calendar'!$J$436&gt;=GRID_FROM)*('Dvd Calendar'!$J$436&lt;=GRID_TO)*('Dvd Calendar'!$J$436&gt;VAL_DATE)=0,"",'Dvd Calendar'!$J$436*1000000000+ISNUMBER('Dvd Calendar'!$J$437)*100000000+0*10000000+(N('Dvd Calendar'!$J$435)&gt;0)*(N('Dvd Calendar'!$J$435)&lt;=VAL_SERIAL)*1000000+39*1000+46))</f>
        <v/>
      </c>
      <c r="FY50" s="39">
        <f>IF(N('Dvd Calendar'!$K$436)=0,"",IF(('Dvd Calendar'!$K$436&gt;=GRID_FROM)*('Dvd Calendar'!$K$436&lt;=GRID_TO)*('Dvd Calendar'!$K$436&gt;VAL_DATE)=0,"",'Dvd Calendar'!$K$436*1000000000+ISNUMBER('Dvd Calendar'!$K$437)*100000000+0*10000000+(N('Dvd Calendar'!$K$435)&gt;0)*(N('Dvd Calendar'!$K$435)&lt;=VAL_SERIAL)*1000000+39*1000+47))</f>
        <v/>
      </c>
      <c r="FZ50" s="39">
        <f>IF(N('Dvd Calendar'!$L$436)=0,"",IF(('Dvd Calendar'!$L$436&gt;=GRID_FROM)*('Dvd Calendar'!$L$436&lt;=GRID_TO)*('Dvd Calendar'!$L$436&gt;VAL_DATE)=0,"",'Dvd Calendar'!$L$436*1000000000+ISNUMBER('Dvd Calendar'!$L$437)*100000000+0*10000000+(N('Dvd Calendar'!$L$435)&gt;0)*(N('Dvd Calendar'!$L$435)&lt;=VAL_SERIAL)*1000000+39*1000+48))</f>
        <v/>
      </c>
      <c r="GA50" s="39">
        <f>IF(N('Dvd Calendar'!$M$436)=0,"",IF(('Dvd Calendar'!$M$436&gt;=GRID_FROM)*('Dvd Calendar'!$M$436&lt;=GRID_TO)*('Dvd Calendar'!$M$436&gt;VAL_DATE)=0,"",'Dvd Calendar'!$M$436*1000000000+ISNUMBER('Dvd Calendar'!$M$437)*100000000+0*10000000+(N('Dvd Calendar'!$M$435)&gt;0)*(N('Dvd Calendar'!$M$435)&lt;=VAL_SERIAL)*1000000+39*1000+49))</f>
        <v/>
      </c>
      <c r="GB50" s="39">
        <f>IF(N('Dvd Calendar'!$N$436)=0,"",IF(('Dvd Calendar'!$N$436&gt;=GRID_FROM)*('Dvd Calendar'!$N$436&lt;=GRID_TO)*('Dvd Calendar'!$N$436&gt;VAL_DATE)=0,"",'Dvd Calendar'!$N$436*1000000000+ISNUMBER('Dvd Calendar'!$N$437)*100000000+0*10000000+(N('Dvd Calendar'!$N$435)&gt;0)*(N('Dvd Calendar'!$N$435)&lt;=VAL_SERIAL)*1000000+39*1000+50))</f>
        <v/>
      </c>
      <c r="GC50" s="39">
        <f>IF(N('Dvd Calendar'!$O$436)=0,"",IF(('Dvd Calendar'!$O$436&gt;=GRID_FROM)*('Dvd Calendar'!$O$436&lt;=GRID_TO)*('Dvd Calendar'!$O$436&gt;VAL_DATE)=0,"",'Dvd Calendar'!$O$436*1000000000+ISNUMBER('Dvd Calendar'!$O$437)*100000000+0*10000000+(N('Dvd Calendar'!$O$435)&gt;0)*(N('Dvd Calendar'!$O$435)&lt;=VAL_SERIAL)*1000000+39*1000+51))</f>
        <v/>
      </c>
      <c r="GD50" s="39">
        <f>IF(N('Dvd Calendar'!$P$436)=0,"",IF(('Dvd Calendar'!$P$436&gt;=GRID_FROM)*('Dvd Calendar'!$P$436&lt;=GRID_TO)*('Dvd Calendar'!$P$436&gt;VAL_DATE)=0,"",'Dvd Calendar'!$P$436*1000000000+ISNUMBER('Dvd Calendar'!$P$437)*100000000+0*10000000+(N('Dvd Calendar'!$P$435)&gt;0)*(N('Dvd Calendar'!$P$435)&lt;=VAL_SERIAL)*1000000+39*1000+52))</f>
        <v/>
      </c>
      <c r="GE50" s="39">
        <f>IF(N('Dvd Calendar'!$Q$436)=0,"",IF(('Dvd Calendar'!$Q$436&gt;=GRID_FROM)*('Dvd Calendar'!$Q$436&lt;=GRID_TO)*('Dvd Calendar'!$Q$436&gt;VAL_DATE)=0,"",'Dvd Calendar'!$Q$436*1000000000+ISNUMBER('Dvd Calendar'!$Q$437)*100000000+0*10000000+(N('Dvd Calendar'!$Q$435)&gt;0)*(N('Dvd Calendar'!$Q$435)&lt;=VAL_SERIAL)*1000000+39*1000+53))</f>
        <v/>
      </c>
      <c r="GF50" s="39">
        <f>IF(N('Dvd Calendar'!$R$436)=0,"",IF(('Dvd Calendar'!$R$436&gt;=GRID_FROM)*('Dvd Calendar'!$R$436&lt;=GRID_TO)*('Dvd Calendar'!$R$436&gt;VAL_DATE)=0,"",'Dvd Calendar'!$R$436*1000000000+ISNUMBER('Dvd Calendar'!$R$437)*100000000+0*10000000+(N('Dvd Calendar'!$R$435)&gt;0)*(N('Dvd Calendar'!$R$435)&lt;=VAL_SERIAL)*1000000+39*1000+54))</f>
        <v/>
      </c>
      <c r="GG50" s="39">
        <f>IF(N('Dvd Calendar'!$S$436)=0,"",IF(('Dvd Calendar'!$S$436&gt;=GRID_FROM)*('Dvd Calendar'!$S$436&lt;=GRID_TO)*('Dvd Calendar'!$S$436&gt;VAL_DATE)=0,"",'Dvd Calendar'!$S$436*1000000000+ISNUMBER('Dvd Calendar'!$S$437)*100000000+0*10000000+(N('Dvd Calendar'!$S$435)&gt;0)*(N('Dvd Calendar'!$S$435)&lt;=VAL_SERIAL)*1000000+39*1000+55))</f>
        <v/>
      </c>
      <c r="GH50" s="39">
        <f>IF(N('Dvd Calendar'!$T$436)=0,"",IF(('Dvd Calendar'!$T$436&gt;=GRID_FROM)*('Dvd Calendar'!$T$436&lt;=GRID_TO)*('Dvd Calendar'!$T$436&gt;VAL_DATE)=0,"",'Dvd Calendar'!$T$436*1000000000+ISNUMBER('Dvd Calendar'!$T$437)*100000000+0*10000000+(N('Dvd Calendar'!$T$435)&gt;0)*(N('Dvd Calendar'!$T$435)&lt;=VAL_SERIAL)*1000000+39*1000+56))</f>
        <v/>
      </c>
      <c r="GI50" s="39">
        <f>IF(N('Dvd Calendar'!$U$436)=0,"",IF(('Dvd Calendar'!$U$436&gt;=GRID_FROM)*('Dvd Calendar'!$U$436&lt;=GRID_TO)*('Dvd Calendar'!$U$436&gt;VAL_DATE)=0,"",'Dvd Calendar'!$U$436*1000000000+ISNUMBER('Dvd Calendar'!$U$437)*100000000+0*10000000+(N('Dvd Calendar'!$U$435)&gt;0)*(N('Dvd Calendar'!$U$435)&lt;=VAL_SERIAL)*1000000+39*1000+57))</f>
        <v/>
      </c>
      <c r="GJ50" s="39">
        <f>IF(N('Dvd Calendar'!$V$436)=0,"",IF(('Dvd Calendar'!$V$436&gt;=GRID_FROM)*('Dvd Calendar'!$V$436&lt;=GRID_TO)*('Dvd Calendar'!$V$436&gt;VAL_DATE)=0,"",'Dvd Calendar'!$V$436*1000000000+ISNUMBER('Dvd Calendar'!$V$437)*100000000+0*10000000+(N('Dvd Calendar'!$V$435)&gt;0)*(N('Dvd Calendar'!$V$435)&lt;=VAL_SERIAL)*1000000+39*1000+58))</f>
        <v/>
      </c>
      <c r="GK50" s="39">
        <f>IF(N('Dvd Calendar'!$W$436)=0,"",IF(('Dvd Calendar'!$W$436&gt;=GRID_FROM)*('Dvd Calendar'!$W$436&lt;=GRID_TO)*('Dvd Calendar'!$W$436&gt;VAL_DATE)=0,"",'Dvd Calendar'!$W$436*1000000000+ISNUMBER('Dvd Calendar'!$W$437)*100000000+0*10000000+(N('Dvd Calendar'!$W$435)&gt;0)*(N('Dvd Calendar'!$W$435)&lt;=VAL_SERIAL)*1000000+39*1000+59))</f>
        <v/>
      </c>
      <c r="GL50" s="39">
        <f>IF(N('Dvd Calendar'!$X$436)=0,"",IF(('Dvd Calendar'!$X$436&gt;=GRID_FROM)*('Dvd Calendar'!$X$436&lt;=GRID_TO)*('Dvd Calendar'!$X$436&gt;VAL_DATE)=0,"",'Dvd Calendar'!$X$436*1000000000+ISNUMBER('Dvd Calendar'!$X$437)*100000000+0*10000000+(N('Dvd Calendar'!$X$435)&gt;0)*(N('Dvd Calendar'!$X$435)&lt;=VAL_SERIAL)*1000000+39*1000+60))</f>
        <v/>
      </c>
      <c r="GM50" s="39">
        <f>IF(N('Dvd Calendar'!$Y$436)=0,"",IF(('Dvd Calendar'!$Y$436&gt;=GRID_FROM)*('Dvd Calendar'!$Y$436&lt;=GRID_TO)*('Dvd Calendar'!$Y$436&gt;VAL_DATE)=0,"",'Dvd Calendar'!$Y$436*1000000000+ISNUMBER('Dvd Calendar'!$Y$437)*100000000+0*10000000+(N('Dvd Calendar'!$Y$435)&gt;0)*(N('Dvd Calendar'!$Y$435)&lt;=VAL_SERIAL)*1000000+39*1000+61))</f>
        <v/>
      </c>
      <c r="GN50" s="39">
        <f>IF(N('Dvd Calendar'!$Z$436)=0,"",IF(('Dvd Calendar'!$Z$436&gt;=GRID_FROM)*('Dvd Calendar'!$Z$436&lt;=GRID_TO)*('Dvd Calendar'!$Z$436&gt;VAL_DATE)=0,"",'Dvd Calendar'!$Z$436*1000000000+ISNUMBER('Dvd Calendar'!$Z$437)*100000000+0*10000000+(N('Dvd Calendar'!$Z$435)&gt;0)*(N('Dvd Calendar'!$Z$435)&lt;=VAL_SERIAL)*1000000+39*1000+62))</f>
        <v/>
      </c>
      <c r="GO50" s="39">
        <f>IF(N('Dvd Calendar'!$AA$436)=0,"",IF(('Dvd Calendar'!$AA$436&gt;=GRID_FROM)*('Dvd Calendar'!$AA$436&lt;=GRID_TO)*('Dvd Calendar'!$AA$436&gt;VAL_DATE)=0,"",'Dvd Calendar'!$AA$436*1000000000+ISNUMBER('Dvd Calendar'!$AA$437)*100000000+0*10000000+(N('Dvd Calendar'!$AA$435)&gt;0)*(N('Dvd Calendar'!$AA$435)&lt;=VAL_SERIAL)*1000000+39*1000+63))</f>
        <v/>
      </c>
      <c r="GP50" s="39">
        <f>IF(N('Dvd Calendar'!$AB$436)=0,"",IF(('Dvd Calendar'!$AB$436&gt;=GRID_FROM)*('Dvd Calendar'!$AB$436&lt;=GRID_TO)*('Dvd Calendar'!$AB$436&gt;VAL_DATE)=0,"",'Dvd Calendar'!$AB$436*1000000000+ISNUMBER('Dvd Calendar'!$AB$437)*100000000+0*10000000+(N('Dvd Calendar'!$AB$435)&gt;0)*(N('Dvd Calendar'!$AB$435)&lt;=VAL_SERIAL)*1000000+39*1000+64))</f>
        <v/>
      </c>
      <c r="GQ50" s="39">
        <f>IF(N('Dvd Calendar'!$AC$436)=0,"",IF(('Dvd Calendar'!$AC$436&gt;=GRID_FROM)*('Dvd Calendar'!$AC$436&lt;=GRID_TO)*('Dvd Calendar'!$AC$436&gt;VAL_DATE)=0,"",'Dvd Calendar'!$AC$436*1000000000+ISNUMBER('Dvd Calendar'!$AC$437)*100000000+0*10000000+(N('Dvd Calendar'!$AC$435)&gt;0)*(N('Dvd Calendar'!$AC$435)&lt;=VAL_SERIAL)*1000000+39*1000+65))</f>
        <v/>
      </c>
    </row>
    <row r="51">
      <c r="B51" s="2">
        <f>IF(HSI!$C$46="","",HSI!$C$46)</f>
        <v/>
      </c>
      <c r="C51" s="110">
        <f>IF(EE51="","",IF(ISNUMBER('Dvd Calendar'!$E$443)=FALSE,"",IF((('Dvd Calendar'!$E$445=TYPE1)*(TYPE1&lt;&gt;"")+('Dvd Calendar'!$E$445=TYPE2)*(TYPE2&lt;&gt;"")+('Dvd Calendar'!$E$445=TYPE3)*(TYPE3&lt;&gt;"")+('Dvd Calendar'!$E$445=TYPE4)*(TYPE4&lt;&gt;"")+('Dvd Calendar'!$E$445=SPECIAL_LBL)*(INC_SPECIALS="Y"))=0,"",'Dvd Calendar'!$E$443)))</f>
        <v/>
      </c>
      <c r="D51" s="110">
        <f>IF(EF51="","",IF(ISNUMBER('Dvd Calendar'!$F$443)=FALSE,"",IF((('Dvd Calendar'!$F$445=TYPE1)*(TYPE1&lt;&gt;"")+('Dvd Calendar'!$F$445=TYPE2)*(TYPE2&lt;&gt;"")+('Dvd Calendar'!$F$445=TYPE3)*(TYPE3&lt;&gt;"")+('Dvd Calendar'!$F$445=TYPE4)*(TYPE4&lt;&gt;"")+('Dvd Calendar'!$F$445=SPECIAL_LBL)*(INC_SPECIALS="Y"))=0,"",'Dvd Calendar'!$F$443)))</f>
        <v/>
      </c>
      <c r="E51" s="110">
        <f>IF(EG51="","",IF(ISNUMBER('Dvd Calendar'!$G$443)=FALSE,"",IF((('Dvd Calendar'!$G$445=TYPE1)*(TYPE1&lt;&gt;"")+('Dvd Calendar'!$G$445=TYPE2)*(TYPE2&lt;&gt;"")+('Dvd Calendar'!$G$445=TYPE3)*(TYPE3&lt;&gt;"")+('Dvd Calendar'!$G$445=TYPE4)*(TYPE4&lt;&gt;"")+('Dvd Calendar'!$G$445=SPECIAL_LBL)*(INC_SPECIALS="Y"))=0,"",'Dvd Calendar'!$G$443)))</f>
        <v/>
      </c>
      <c r="F51" s="110">
        <f>IF(EH51="","",IF(ISNUMBER('Dvd Calendar'!$H$443)=FALSE,"",IF((('Dvd Calendar'!$H$445=TYPE1)*(TYPE1&lt;&gt;"")+('Dvd Calendar'!$H$445=TYPE2)*(TYPE2&lt;&gt;"")+('Dvd Calendar'!$H$445=TYPE3)*(TYPE3&lt;&gt;"")+('Dvd Calendar'!$H$445=TYPE4)*(TYPE4&lt;&gt;"")+('Dvd Calendar'!$H$445=SPECIAL_LBL)*(INC_SPECIALS="Y"))=0,"",'Dvd Calendar'!$H$443)))</f>
        <v/>
      </c>
      <c r="G51" s="110">
        <f>IF(EI51="","",IF(ISNUMBER('Dvd Calendar'!$I$443)=FALSE,"",IF((('Dvd Calendar'!$I$445=TYPE1)*(TYPE1&lt;&gt;"")+('Dvd Calendar'!$I$445=TYPE2)*(TYPE2&lt;&gt;"")+('Dvd Calendar'!$I$445=TYPE3)*(TYPE3&lt;&gt;"")+('Dvd Calendar'!$I$445=TYPE4)*(TYPE4&lt;&gt;"")+('Dvd Calendar'!$I$445=SPECIAL_LBL)*(INC_SPECIALS="Y"))=0,"",'Dvd Calendar'!$I$443)))</f>
        <v/>
      </c>
      <c r="H51" s="110">
        <f>IF(EJ51="","",IF(ISNUMBER('Dvd Calendar'!$J$443)=FALSE,"",IF((('Dvd Calendar'!$J$445=TYPE1)*(TYPE1&lt;&gt;"")+('Dvd Calendar'!$J$445=TYPE2)*(TYPE2&lt;&gt;"")+('Dvd Calendar'!$J$445=TYPE3)*(TYPE3&lt;&gt;"")+('Dvd Calendar'!$J$445=TYPE4)*(TYPE4&lt;&gt;"")+('Dvd Calendar'!$J$445=SPECIAL_LBL)*(INC_SPECIALS="Y"))=0,"",'Dvd Calendar'!$J$443)))</f>
        <v/>
      </c>
      <c r="I51" s="110">
        <f>IF(EK51="","",IF(ISNUMBER('Dvd Calendar'!$K$443)=FALSE,"",IF((('Dvd Calendar'!$K$445=TYPE1)*(TYPE1&lt;&gt;"")+('Dvd Calendar'!$K$445=TYPE2)*(TYPE2&lt;&gt;"")+('Dvd Calendar'!$K$445=TYPE3)*(TYPE3&lt;&gt;"")+('Dvd Calendar'!$K$445=TYPE4)*(TYPE4&lt;&gt;"")+('Dvd Calendar'!$K$445=SPECIAL_LBL)*(INC_SPECIALS="Y"))=0,"",'Dvd Calendar'!$K$443)))</f>
        <v/>
      </c>
      <c r="J51" s="110">
        <f>IF(EL51="","",IF(ISNUMBER('Dvd Calendar'!$L$443)=FALSE,"",IF((('Dvd Calendar'!$L$445=TYPE1)*(TYPE1&lt;&gt;"")+('Dvd Calendar'!$L$445=TYPE2)*(TYPE2&lt;&gt;"")+('Dvd Calendar'!$L$445=TYPE3)*(TYPE3&lt;&gt;"")+('Dvd Calendar'!$L$445=TYPE4)*(TYPE4&lt;&gt;"")+('Dvd Calendar'!$L$445=SPECIAL_LBL)*(INC_SPECIALS="Y"))=0,"",'Dvd Calendar'!$L$443)))</f>
        <v/>
      </c>
      <c r="K51" s="110">
        <f>IF(EM51="","",IF(ISNUMBER('Dvd Calendar'!$M$443)=FALSE,"",IF((('Dvd Calendar'!$M$445=TYPE1)*(TYPE1&lt;&gt;"")+('Dvd Calendar'!$M$445=TYPE2)*(TYPE2&lt;&gt;"")+('Dvd Calendar'!$M$445=TYPE3)*(TYPE3&lt;&gt;"")+('Dvd Calendar'!$M$445=TYPE4)*(TYPE4&lt;&gt;"")+('Dvd Calendar'!$M$445=SPECIAL_LBL)*(INC_SPECIALS="Y"))=0,"",'Dvd Calendar'!$M$443)))</f>
        <v/>
      </c>
      <c r="L51" s="110">
        <f>IF(EN51="","",IF(ISNUMBER('Dvd Calendar'!$N$443)=FALSE,"",IF((('Dvd Calendar'!$N$445=TYPE1)*(TYPE1&lt;&gt;"")+('Dvd Calendar'!$N$445=TYPE2)*(TYPE2&lt;&gt;"")+('Dvd Calendar'!$N$445=TYPE3)*(TYPE3&lt;&gt;"")+('Dvd Calendar'!$N$445=TYPE4)*(TYPE4&lt;&gt;"")+('Dvd Calendar'!$N$445=SPECIAL_LBL)*(INC_SPECIALS="Y"))=0,"",'Dvd Calendar'!$N$443)))</f>
        <v/>
      </c>
      <c r="M51" s="110">
        <f>IF(EO51="","",IF(ISNUMBER('Dvd Calendar'!$O$443)=FALSE,"",IF((('Dvd Calendar'!$O$445=TYPE1)*(TYPE1&lt;&gt;"")+('Dvd Calendar'!$O$445=TYPE2)*(TYPE2&lt;&gt;"")+('Dvd Calendar'!$O$445=TYPE3)*(TYPE3&lt;&gt;"")+('Dvd Calendar'!$O$445=TYPE4)*(TYPE4&lt;&gt;"")+('Dvd Calendar'!$O$445=SPECIAL_LBL)*(INC_SPECIALS="Y"))=0,"",'Dvd Calendar'!$O$443)))</f>
        <v/>
      </c>
      <c r="N51" s="110">
        <f>IF(EP51="","",IF(ISNUMBER('Dvd Calendar'!$P$443)=FALSE,"",IF((('Dvd Calendar'!$P$445=TYPE1)*(TYPE1&lt;&gt;"")+('Dvd Calendar'!$P$445=TYPE2)*(TYPE2&lt;&gt;"")+('Dvd Calendar'!$P$445=TYPE3)*(TYPE3&lt;&gt;"")+('Dvd Calendar'!$P$445=TYPE4)*(TYPE4&lt;&gt;"")+('Dvd Calendar'!$P$445=SPECIAL_LBL)*(INC_SPECIALS="Y"))=0,"",'Dvd Calendar'!$P$443)))</f>
        <v/>
      </c>
      <c r="O51" s="110">
        <f>IF(EQ51="","",IF(ISNUMBER('Dvd Calendar'!$Q$443)=FALSE,"",IF((('Dvd Calendar'!$Q$445=TYPE1)*(TYPE1&lt;&gt;"")+('Dvd Calendar'!$Q$445=TYPE2)*(TYPE2&lt;&gt;"")+('Dvd Calendar'!$Q$445=TYPE3)*(TYPE3&lt;&gt;"")+('Dvd Calendar'!$Q$445=TYPE4)*(TYPE4&lt;&gt;"")+('Dvd Calendar'!$Q$445=SPECIAL_LBL)*(INC_SPECIALS="Y"))=0,"",'Dvd Calendar'!$Q$443)))</f>
        <v/>
      </c>
      <c r="P51" s="110">
        <f>IF(ER51="","",IF(ISNUMBER('Dvd Calendar'!$R$443)=FALSE,"",IF((('Dvd Calendar'!$R$445=TYPE1)*(TYPE1&lt;&gt;"")+('Dvd Calendar'!$R$445=TYPE2)*(TYPE2&lt;&gt;"")+('Dvd Calendar'!$R$445=TYPE3)*(TYPE3&lt;&gt;"")+('Dvd Calendar'!$R$445=TYPE4)*(TYPE4&lt;&gt;"")+('Dvd Calendar'!$R$445=SPECIAL_LBL)*(INC_SPECIALS="Y"))=0,"",'Dvd Calendar'!$R$443)))</f>
        <v/>
      </c>
      <c r="Q51" s="110">
        <f>IF(ES51="","",IF(ISNUMBER('Dvd Calendar'!$S$443)=FALSE,"",IF((('Dvd Calendar'!$S$445=TYPE1)*(TYPE1&lt;&gt;"")+('Dvd Calendar'!$S$445=TYPE2)*(TYPE2&lt;&gt;"")+('Dvd Calendar'!$S$445=TYPE3)*(TYPE3&lt;&gt;"")+('Dvd Calendar'!$S$445=TYPE4)*(TYPE4&lt;&gt;"")+('Dvd Calendar'!$S$445=SPECIAL_LBL)*(INC_SPECIALS="Y"))=0,"",'Dvd Calendar'!$S$443)))</f>
        <v/>
      </c>
      <c r="R51" s="110">
        <f>IF(ET51="","",IF(ISNUMBER('Dvd Calendar'!$T$443)=FALSE,"",IF((('Dvd Calendar'!$T$445=TYPE1)*(TYPE1&lt;&gt;"")+('Dvd Calendar'!$T$445=TYPE2)*(TYPE2&lt;&gt;"")+('Dvd Calendar'!$T$445=TYPE3)*(TYPE3&lt;&gt;"")+('Dvd Calendar'!$T$445=TYPE4)*(TYPE4&lt;&gt;"")+('Dvd Calendar'!$T$445=SPECIAL_LBL)*(INC_SPECIALS="Y"))=0,"",'Dvd Calendar'!$T$443)))</f>
        <v/>
      </c>
      <c r="S51" s="110">
        <f>IF(EU51="","",IF(ISNUMBER('Dvd Calendar'!$U$443)=FALSE,"",IF((('Dvd Calendar'!$U$445=TYPE1)*(TYPE1&lt;&gt;"")+('Dvd Calendar'!$U$445=TYPE2)*(TYPE2&lt;&gt;"")+('Dvd Calendar'!$U$445=TYPE3)*(TYPE3&lt;&gt;"")+('Dvd Calendar'!$U$445=TYPE4)*(TYPE4&lt;&gt;"")+('Dvd Calendar'!$U$445=SPECIAL_LBL)*(INC_SPECIALS="Y"))=0,"",'Dvd Calendar'!$U$443)))</f>
        <v/>
      </c>
      <c r="T51" s="110">
        <f>IF(EV51="","",IF(ISNUMBER('Dvd Calendar'!$V$443)=FALSE,"",IF((('Dvd Calendar'!$V$445=TYPE1)*(TYPE1&lt;&gt;"")+('Dvd Calendar'!$V$445=TYPE2)*(TYPE2&lt;&gt;"")+('Dvd Calendar'!$V$445=TYPE3)*(TYPE3&lt;&gt;"")+('Dvd Calendar'!$V$445=TYPE4)*(TYPE4&lt;&gt;"")+('Dvd Calendar'!$V$445=SPECIAL_LBL)*(INC_SPECIALS="Y"))=0,"",'Dvd Calendar'!$V$443)))</f>
        <v/>
      </c>
      <c r="U51" s="110">
        <f>IF(EW51="","",IF(ISNUMBER('Dvd Calendar'!$W$443)=FALSE,"",IF((('Dvd Calendar'!$W$445=TYPE1)*(TYPE1&lt;&gt;"")+('Dvd Calendar'!$W$445=TYPE2)*(TYPE2&lt;&gt;"")+('Dvd Calendar'!$W$445=TYPE3)*(TYPE3&lt;&gt;"")+('Dvd Calendar'!$W$445=TYPE4)*(TYPE4&lt;&gt;"")+('Dvd Calendar'!$W$445=SPECIAL_LBL)*(INC_SPECIALS="Y"))=0,"",'Dvd Calendar'!$W$443)))</f>
        <v/>
      </c>
      <c r="V51" s="110">
        <f>IF(EX51="","",IF(ISNUMBER('Dvd Calendar'!$X$443)=FALSE,"",IF((('Dvd Calendar'!$X$445=TYPE1)*(TYPE1&lt;&gt;"")+('Dvd Calendar'!$X$445=TYPE2)*(TYPE2&lt;&gt;"")+('Dvd Calendar'!$X$445=TYPE3)*(TYPE3&lt;&gt;"")+('Dvd Calendar'!$X$445=TYPE4)*(TYPE4&lt;&gt;"")+('Dvd Calendar'!$X$445=SPECIAL_LBL)*(INC_SPECIALS="Y"))=0,"",'Dvd Calendar'!$X$443)))</f>
        <v/>
      </c>
      <c r="W51" s="110">
        <f>IF(EY51="","",IF(ISNUMBER('Dvd Calendar'!$Y$443)=FALSE,"",IF((('Dvd Calendar'!$Y$445=TYPE1)*(TYPE1&lt;&gt;"")+('Dvd Calendar'!$Y$445=TYPE2)*(TYPE2&lt;&gt;"")+('Dvd Calendar'!$Y$445=TYPE3)*(TYPE3&lt;&gt;"")+('Dvd Calendar'!$Y$445=TYPE4)*(TYPE4&lt;&gt;"")+('Dvd Calendar'!$Y$445=SPECIAL_LBL)*(INC_SPECIALS="Y"))=0,"",'Dvd Calendar'!$Y$443)))</f>
        <v/>
      </c>
      <c r="X51" s="110">
        <f>IF(EZ51="","",IF(ISNUMBER('Dvd Calendar'!$Z$443)=FALSE,"",IF((('Dvd Calendar'!$Z$445=TYPE1)*(TYPE1&lt;&gt;"")+('Dvd Calendar'!$Z$445=TYPE2)*(TYPE2&lt;&gt;"")+('Dvd Calendar'!$Z$445=TYPE3)*(TYPE3&lt;&gt;"")+('Dvd Calendar'!$Z$445=TYPE4)*(TYPE4&lt;&gt;"")+('Dvd Calendar'!$Z$445=SPECIAL_LBL)*(INC_SPECIALS="Y"))=0,"",'Dvd Calendar'!$Z$443)))</f>
        <v/>
      </c>
      <c r="Y51" s="110">
        <f>IF(FA51="","",IF(ISNUMBER('Dvd Calendar'!$AA$443)=FALSE,"",IF((('Dvd Calendar'!$AA$445=TYPE1)*(TYPE1&lt;&gt;"")+('Dvd Calendar'!$AA$445=TYPE2)*(TYPE2&lt;&gt;"")+('Dvd Calendar'!$AA$445=TYPE3)*(TYPE3&lt;&gt;"")+('Dvd Calendar'!$AA$445=TYPE4)*(TYPE4&lt;&gt;"")+('Dvd Calendar'!$AA$445=SPECIAL_LBL)*(INC_SPECIALS="Y"))=0,"",'Dvd Calendar'!$AA$443)))</f>
        <v/>
      </c>
      <c r="Z51" s="110">
        <f>IF(FB51="","",IF(ISNUMBER('Dvd Calendar'!$AB$443)=FALSE,"",IF((('Dvd Calendar'!$AB$445=TYPE1)*(TYPE1&lt;&gt;"")+('Dvd Calendar'!$AB$445=TYPE2)*(TYPE2&lt;&gt;"")+('Dvd Calendar'!$AB$445=TYPE3)*(TYPE3&lt;&gt;"")+('Dvd Calendar'!$AB$445=TYPE4)*(TYPE4&lt;&gt;"")+('Dvd Calendar'!$AB$445=SPECIAL_LBL)*(INC_SPECIALS="Y"))=0,"",'Dvd Calendar'!$AB$443)))</f>
        <v/>
      </c>
      <c r="AA51" s="110">
        <f>IF(FC51="","",IF(ISNUMBER('Dvd Calendar'!$AC$443)=FALSE,"",IF((('Dvd Calendar'!$AC$445=TYPE1)*(TYPE1&lt;&gt;"")+('Dvd Calendar'!$AC$445=TYPE2)*(TYPE2&lt;&gt;"")+('Dvd Calendar'!$AC$445=TYPE3)*(TYPE3&lt;&gt;"")+('Dvd Calendar'!$AC$445=TYPE4)*(TYPE4&lt;&gt;"")+('Dvd Calendar'!$AC$445=SPECIAL_LBL)*(INC_SPECIALS="Y"))=0,"",'Dvd Calendar'!$AC$443)))</f>
        <v/>
      </c>
      <c r="AB51" s="110">
        <f>IF(FD51="","",IF(ISNUMBER('Dvd Calendar'!$AD$443)=FALSE,"",IF((('Dvd Calendar'!$AD$445=TYPE1)*(TYPE1&lt;&gt;"")+('Dvd Calendar'!$AD$445=TYPE2)*(TYPE2&lt;&gt;"")+('Dvd Calendar'!$AD$445=TYPE3)*(TYPE3&lt;&gt;"")+('Dvd Calendar'!$AD$445=TYPE4)*(TYPE4&lt;&gt;"")+('Dvd Calendar'!$AD$445=SPECIAL_LBL)*(INC_SPECIALS="Y"))=0,"",'Dvd Calendar'!$AD$443)))</f>
        <v/>
      </c>
      <c r="AC51" s="110">
        <f>IF(FE51="","",IF(ISNUMBER('Dvd Calendar'!$AE$443)=FALSE,"",IF((('Dvd Calendar'!$AE$445=TYPE1)*(TYPE1&lt;&gt;"")+('Dvd Calendar'!$AE$445=TYPE2)*(TYPE2&lt;&gt;"")+('Dvd Calendar'!$AE$445=TYPE3)*(TYPE3&lt;&gt;"")+('Dvd Calendar'!$AE$445=TYPE4)*(TYPE4&lt;&gt;"")+('Dvd Calendar'!$AE$445=SPECIAL_LBL)*(INC_SPECIALS="Y"))=0,"",'Dvd Calendar'!$AE$443)))</f>
        <v/>
      </c>
      <c r="AD51" s="110">
        <f>IF(FF51="","",IF(ISNUMBER('Dvd Calendar'!$AF$443)=FALSE,"",IF((('Dvd Calendar'!$AF$445=TYPE1)*(TYPE1&lt;&gt;"")+('Dvd Calendar'!$AF$445=TYPE2)*(TYPE2&lt;&gt;"")+('Dvd Calendar'!$AF$445=TYPE3)*(TYPE3&lt;&gt;"")+('Dvd Calendar'!$AF$445=TYPE4)*(TYPE4&lt;&gt;"")+('Dvd Calendar'!$AF$445=SPECIAL_LBL)*(INC_SPECIALS="Y"))=0,"",'Dvd Calendar'!$AF$443)))</f>
        <v/>
      </c>
      <c r="AE51" s="110">
        <f>IF(FG51="","",IF(ISNUMBER('Dvd Calendar'!$AG$443)=FALSE,"",IF((('Dvd Calendar'!$AG$445=TYPE1)*(TYPE1&lt;&gt;"")+('Dvd Calendar'!$AG$445=TYPE2)*(TYPE2&lt;&gt;"")+('Dvd Calendar'!$AG$445=TYPE3)*(TYPE3&lt;&gt;"")+('Dvd Calendar'!$AG$445=TYPE4)*(TYPE4&lt;&gt;"")+('Dvd Calendar'!$AG$445=SPECIAL_LBL)*(INC_SPECIALS="Y"))=0,"",'Dvd Calendar'!$AG$443)))</f>
        <v/>
      </c>
      <c r="AF51" s="110">
        <f>IF(FH51="","",IF(ISNUMBER('Dvd Calendar'!$AH$443)=FALSE,"",IF((('Dvd Calendar'!$AH$445=TYPE1)*(TYPE1&lt;&gt;"")+('Dvd Calendar'!$AH$445=TYPE2)*(TYPE2&lt;&gt;"")+('Dvd Calendar'!$AH$445=TYPE3)*(TYPE3&lt;&gt;"")+('Dvd Calendar'!$AH$445=TYPE4)*(TYPE4&lt;&gt;"")+('Dvd Calendar'!$AH$445=SPECIAL_LBL)*(INC_SPECIALS="Y"))=0,"",'Dvd Calendar'!$AH$443)))</f>
        <v/>
      </c>
      <c r="AG51" s="110">
        <f>IF(FI51="","",IF(ISNUMBER('Dvd Calendar'!$AI$443)=FALSE,"",IF((('Dvd Calendar'!$AI$445=TYPE1)*(TYPE1&lt;&gt;"")+('Dvd Calendar'!$AI$445=TYPE2)*(TYPE2&lt;&gt;"")+('Dvd Calendar'!$AI$445=TYPE3)*(TYPE3&lt;&gt;"")+('Dvd Calendar'!$AI$445=TYPE4)*(TYPE4&lt;&gt;"")+('Dvd Calendar'!$AI$445=SPECIAL_LBL)*(INC_SPECIALS="Y"))=0,"",'Dvd Calendar'!$AI$443)))</f>
        <v/>
      </c>
      <c r="AH51" s="110">
        <f>IF(FJ51="","",IF(ISNUMBER('Dvd Calendar'!$AJ$443)=FALSE,"",IF((('Dvd Calendar'!$AJ$445=TYPE1)*(TYPE1&lt;&gt;"")+('Dvd Calendar'!$AJ$445=TYPE2)*(TYPE2&lt;&gt;"")+('Dvd Calendar'!$AJ$445=TYPE3)*(TYPE3&lt;&gt;"")+('Dvd Calendar'!$AJ$445=TYPE4)*(TYPE4&lt;&gt;"")+('Dvd Calendar'!$AJ$445=SPECIAL_LBL)*(INC_SPECIALS="Y"))=0,"",'Dvd Calendar'!$AJ$443)))</f>
        <v/>
      </c>
      <c r="AI51" s="110">
        <f>IF(FK51="","",IF(ISNUMBER('Dvd Calendar'!$AK$443)=FALSE,"",IF((('Dvd Calendar'!$AK$445=TYPE1)*(TYPE1&lt;&gt;"")+('Dvd Calendar'!$AK$445=TYPE2)*(TYPE2&lt;&gt;"")+('Dvd Calendar'!$AK$445=TYPE3)*(TYPE3&lt;&gt;"")+('Dvd Calendar'!$AK$445=TYPE4)*(TYPE4&lt;&gt;"")+('Dvd Calendar'!$AK$445=SPECIAL_LBL)*(INC_SPECIALS="Y"))=0,"",'Dvd Calendar'!$AK$443)))</f>
        <v/>
      </c>
      <c r="AJ51" s="110">
        <f>IF(FL51="","",IF(ISNUMBER('Dvd Calendar'!$AL$443)=FALSE,"",IF((('Dvd Calendar'!$AL$445=TYPE1)*(TYPE1&lt;&gt;"")+('Dvd Calendar'!$AL$445=TYPE2)*(TYPE2&lt;&gt;"")+('Dvd Calendar'!$AL$445=TYPE3)*(TYPE3&lt;&gt;"")+('Dvd Calendar'!$AL$445=TYPE4)*(TYPE4&lt;&gt;"")+('Dvd Calendar'!$AL$445=SPECIAL_LBL)*(INC_SPECIALS="Y"))=0,"",'Dvd Calendar'!$AL$443)))</f>
        <v/>
      </c>
      <c r="AK51" s="110">
        <f>IF(FM51="","",IF(ISNUMBER('Dvd Calendar'!$AM$443)=FALSE,"",IF((('Dvd Calendar'!$AM$445=TYPE1)*(TYPE1&lt;&gt;"")+('Dvd Calendar'!$AM$445=TYPE2)*(TYPE2&lt;&gt;"")+('Dvd Calendar'!$AM$445=TYPE3)*(TYPE3&lt;&gt;"")+('Dvd Calendar'!$AM$445=TYPE4)*(TYPE4&lt;&gt;"")+('Dvd Calendar'!$AM$445=SPECIAL_LBL)*(INC_SPECIALS="Y"))=0,"",'Dvd Calendar'!$AM$443)))</f>
        <v/>
      </c>
      <c r="AL51" s="110">
        <f>IF(FN51="","",IF(ISNUMBER('Dvd Calendar'!$AN$443)=FALSE,"",IF((('Dvd Calendar'!$AN$445=TYPE1)*(TYPE1&lt;&gt;"")+('Dvd Calendar'!$AN$445=TYPE2)*(TYPE2&lt;&gt;"")+('Dvd Calendar'!$AN$445=TYPE3)*(TYPE3&lt;&gt;"")+('Dvd Calendar'!$AN$445=TYPE4)*(TYPE4&lt;&gt;"")+('Dvd Calendar'!$AN$445=SPECIAL_LBL)*(INC_SPECIALS="Y"))=0,"",'Dvd Calendar'!$AN$443)))</f>
        <v/>
      </c>
      <c r="AM51" s="110">
        <f>IF(FO51="","",IF(ISNUMBER('Dvd Calendar'!$AO$443)=FALSE,"",IF((('Dvd Calendar'!$AO$445=TYPE1)*(TYPE1&lt;&gt;"")+('Dvd Calendar'!$AO$445=TYPE2)*(TYPE2&lt;&gt;"")+('Dvd Calendar'!$AO$445=TYPE3)*(TYPE3&lt;&gt;"")+('Dvd Calendar'!$AO$445=TYPE4)*(TYPE4&lt;&gt;"")+('Dvd Calendar'!$AO$445=SPECIAL_LBL)*(INC_SPECIALS="Y"))=0,"",'Dvd Calendar'!$AO$443)))</f>
        <v/>
      </c>
      <c r="AN51" s="110">
        <f>IF(FP51="","",IF(ISNUMBER('Dvd Calendar'!$AP$443)=FALSE,"",IF((('Dvd Calendar'!$AP$445=TYPE1)*(TYPE1&lt;&gt;"")+('Dvd Calendar'!$AP$445=TYPE2)*(TYPE2&lt;&gt;"")+('Dvd Calendar'!$AP$445=TYPE3)*(TYPE3&lt;&gt;"")+('Dvd Calendar'!$AP$445=TYPE4)*(TYPE4&lt;&gt;"")+('Dvd Calendar'!$AP$445=SPECIAL_LBL)*(INC_SPECIALS="Y"))=0,"",'Dvd Calendar'!$AP$443)))</f>
        <v/>
      </c>
      <c r="AO51" s="110">
        <f>IF(FQ51="","",IF(ISNUMBER('Dvd Calendar'!$AQ$443)=FALSE,"",IF((('Dvd Calendar'!$AQ$445=TYPE1)*(TYPE1&lt;&gt;"")+('Dvd Calendar'!$AQ$445=TYPE2)*(TYPE2&lt;&gt;"")+('Dvd Calendar'!$AQ$445=TYPE3)*(TYPE3&lt;&gt;"")+('Dvd Calendar'!$AQ$445=TYPE4)*(TYPE4&lt;&gt;"")+('Dvd Calendar'!$AQ$445=SPECIAL_LBL)*(INC_SPECIALS="Y"))=0,"",'Dvd Calendar'!$AQ$443)))</f>
        <v/>
      </c>
      <c r="AP51" s="110">
        <f>IF(FR51="","",IF(ISNUMBER('Dvd Calendar'!$AR$443)=FALSE,"",IF((('Dvd Calendar'!$AR$445=TYPE1)*(TYPE1&lt;&gt;"")+('Dvd Calendar'!$AR$445=TYPE2)*(TYPE2&lt;&gt;"")+('Dvd Calendar'!$AR$445=TYPE3)*(TYPE3&lt;&gt;"")+('Dvd Calendar'!$AR$445=TYPE4)*(TYPE4&lt;&gt;"")+('Dvd Calendar'!$AR$445=SPECIAL_LBL)*(INC_SPECIALS="Y"))=0,"",'Dvd Calendar'!$AR$443)))</f>
        <v/>
      </c>
      <c r="AQ51" s="110">
        <f>IF(FS51="","",IF(ISNUMBER('Dvd Calendar'!$E$448)=FALSE,"",'Dvd Calendar'!$E$448))</f>
        <v/>
      </c>
      <c r="AR51" s="110">
        <f>IF(FT51="","",IF(ISNUMBER('Dvd Calendar'!$F$448)=FALSE,"",'Dvd Calendar'!$F$448))</f>
        <v/>
      </c>
      <c r="AS51" s="110">
        <f>IF(FU51="","",IF(ISNUMBER('Dvd Calendar'!$G$448)=FALSE,"",'Dvd Calendar'!$G$448))</f>
        <v/>
      </c>
      <c r="AT51" s="110">
        <f>IF(FV51="","",IF(ISNUMBER('Dvd Calendar'!$H$448)=FALSE,"",'Dvd Calendar'!$H$448))</f>
        <v/>
      </c>
      <c r="AU51" s="110">
        <f>IF(FW51="","",IF(ISNUMBER('Dvd Calendar'!$I$448)=FALSE,"",'Dvd Calendar'!$I$448))</f>
        <v/>
      </c>
      <c r="AV51" s="110">
        <f>IF(FX51="","",IF(ISNUMBER('Dvd Calendar'!$J$448)=FALSE,"",'Dvd Calendar'!$J$448))</f>
        <v/>
      </c>
      <c r="AW51" s="110">
        <f>IF(FY51="","",IF(ISNUMBER('Dvd Calendar'!$K$448)=FALSE,"",'Dvd Calendar'!$K$448))</f>
        <v/>
      </c>
      <c r="AX51" s="110">
        <f>IF(FZ51="","",IF(ISNUMBER('Dvd Calendar'!$L$448)=FALSE,"",'Dvd Calendar'!$L$448))</f>
        <v/>
      </c>
      <c r="AY51" s="110">
        <f>IF(GA51="","",IF(ISNUMBER('Dvd Calendar'!$M$448)=FALSE,"",'Dvd Calendar'!$M$448))</f>
        <v/>
      </c>
      <c r="AZ51" s="110">
        <f>IF(GB51="","",IF(ISNUMBER('Dvd Calendar'!$N$448)=FALSE,"",'Dvd Calendar'!$N$448))</f>
        <v/>
      </c>
      <c r="BA51" s="110">
        <f>IF(GC51="","",IF(ISNUMBER('Dvd Calendar'!$O$448)=FALSE,"",'Dvd Calendar'!$O$448))</f>
        <v/>
      </c>
      <c r="BB51" s="110">
        <f>IF(GD51="","",IF(ISNUMBER('Dvd Calendar'!$P$448)=FALSE,"",'Dvd Calendar'!$P$448))</f>
        <v/>
      </c>
      <c r="BC51" s="110">
        <f>IF(GE51="","",IF(ISNUMBER('Dvd Calendar'!$Q$448)=FALSE,"",'Dvd Calendar'!$Q$448))</f>
        <v/>
      </c>
      <c r="BD51" s="110">
        <f>IF(GF51="","",IF(ISNUMBER('Dvd Calendar'!$R$448)=FALSE,"",'Dvd Calendar'!$R$448))</f>
        <v/>
      </c>
      <c r="BE51" s="110">
        <f>IF(GG51="","",IF(ISNUMBER('Dvd Calendar'!$S$448)=FALSE,"",'Dvd Calendar'!$S$448))</f>
        <v/>
      </c>
      <c r="BF51" s="110">
        <f>IF(GH51="","",IF(ISNUMBER('Dvd Calendar'!$T$448)=FALSE,"",'Dvd Calendar'!$T$448))</f>
        <v/>
      </c>
      <c r="BG51" s="110">
        <f>IF(GI51="","",IF(ISNUMBER('Dvd Calendar'!$U$448)=FALSE,"",'Dvd Calendar'!$U$448))</f>
        <v/>
      </c>
      <c r="BH51" s="110">
        <f>IF(GJ51="","",IF(ISNUMBER('Dvd Calendar'!$V$448)=FALSE,"",'Dvd Calendar'!$V$448))</f>
        <v/>
      </c>
      <c r="BI51" s="110">
        <f>IF(GK51="","",IF(ISNUMBER('Dvd Calendar'!$W$448)=FALSE,"",'Dvd Calendar'!$W$448))</f>
        <v/>
      </c>
      <c r="BJ51" s="110">
        <f>IF(GL51="","",IF(ISNUMBER('Dvd Calendar'!$X$448)=FALSE,"",'Dvd Calendar'!$X$448))</f>
        <v/>
      </c>
      <c r="BK51" s="110">
        <f>IF(GM51="","",IF(ISNUMBER('Dvd Calendar'!$Y$448)=FALSE,"",'Dvd Calendar'!$Y$448))</f>
        <v/>
      </c>
      <c r="BL51" s="110">
        <f>IF(GN51="","",IF(ISNUMBER('Dvd Calendar'!$Z$448)=FALSE,"",'Dvd Calendar'!$Z$448))</f>
        <v/>
      </c>
      <c r="BM51" s="110">
        <f>IF(GO51="","",IF(ISNUMBER('Dvd Calendar'!$AA$448)=FALSE,"",'Dvd Calendar'!$AA$448))</f>
        <v/>
      </c>
      <c r="BN51" s="110">
        <f>IF(GP51="","",IF(ISNUMBER('Dvd Calendar'!$AB$448)=FALSE,"",'Dvd Calendar'!$AB$448))</f>
        <v/>
      </c>
      <c r="BO51" s="110">
        <f>IF(GQ51="","",IF(ISNUMBER('Dvd Calendar'!$AC$448)=FALSE,"",'Dvd Calendar'!$AC$448))</f>
        <v/>
      </c>
      <c r="BQ51" s="110">
        <f>IF(C51="","",IFERROR(C51*HSI!$B$46*HSI!$G$46/HSI!$B$3,""))</f>
        <v/>
      </c>
      <c r="BR51" s="110">
        <f>IF(D51="","",IFERROR(D51*HSI!$B$46*HSI!$G$46/HSI!$B$3,""))</f>
        <v/>
      </c>
      <c r="BS51" s="110">
        <f>IF(E51="","",IFERROR(E51*HSI!$B$46*HSI!$G$46/HSI!$B$3,""))</f>
        <v/>
      </c>
      <c r="BT51" s="110">
        <f>IF(F51="","",IFERROR(F51*HSI!$B$46*HSI!$G$46/HSI!$B$3,""))</f>
        <v/>
      </c>
      <c r="BU51" s="110">
        <f>IF(G51="","",IFERROR(G51*HSI!$B$46*HSI!$G$46/HSI!$B$3,""))</f>
        <v/>
      </c>
      <c r="BV51" s="110">
        <f>IF(H51="","",IFERROR(H51*HSI!$B$46*HSI!$G$46/HSI!$B$3,""))</f>
        <v/>
      </c>
      <c r="BW51" s="110">
        <f>IF(I51="","",IFERROR(I51*HSI!$B$46*HSI!$G$46/HSI!$B$3,""))</f>
        <v/>
      </c>
      <c r="BX51" s="110">
        <f>IF(J51="","",IFERROR(J51*HSI!$B$46*HSI!$G$46/HSI!$B$3,""))</f>
        <v/>
      </c>
      <c r="BY51" s="110">
        <f>IF(K51="","",IFERROR(K51*HSI!$B$46*HSI!$G$46/HSI!$B$3,""))</f>
        <v/>
      </c>
      <c r="BZ51" s="110">
        <f>IF(L51="","",IFERROR(L51*HSI!$B$46*HSI!$G$46/HSI!$B$3,""))</f>
        <v/>
      </c>
      <c r="CA51" s="110">
        <f>IF(M51="","",IFERROR(M51*HSI!$B$46*HSI!$G$46/HSI!$B$3,""))</f>
        <v/>
      </c>
      <c r="CB51" s="110">
        <f>IF(N51="","",IFERROR(N51*HSI!$B$46*HSI!$G$46/HSI!$B$3,""))</f>
        <v/>
      </c>
      <c r="CC51" s="110">
        <f>IF(O51="","",IFERROR(O51*HSI!$B$46*HSI!$G$46/HSI!$B$3,""))</f>
        <v/>
      </c>
      <c r="CD51" s="110">
        <f>IF(P51="","",IFERROR(P51*HSI!$B$46*HSI!$G$46/HSI!$B$3,""))</f>
        <v/>
      </c>
      <c r="CE51" s="110">
        <f>IF(Q51="","",IFERROR(Q51*HSI!$B$46*HSI!$G$46/HSI!$B$3,""))</f>
        <v/>
      </c>
      <c r="CF51" s="110">
        <f>IF(R51="","",IFERROR(R51*HSI!$B$46*HSI!$G$46/HSI!$B$3,""))</f>
        <v/>
      </c>
      <c r="CG51" s="110">
        <f>IF(S51="","",IFERROR(S51*HSI!$B$46*HSI!$G$46/HSI!$B$3,""))</f>
        <v/>
      </c>
      <c r="CH51" s="110">
        <f>IF(T51="","",IFERROR(T51*HSI!$B$46*HSI!$G$46/HSI!$B$3,""))</f>
        <v/>
      </c>
      <c r="CI51" s="110">
        <f>IF(U51="","",IFERROR(U51*HSI!$B$46*HSI!$G$46/HSI!$B$3,""))</f>
        <v/>
      </c>
      <c r="CJ51" s="110">
        <f>IF(V51="","",IFERROR(V51*HSI!$B$46*HSI!$G$46/HSI!$B$3,""))</f>
        <v/>
      </c>
      <c r="CK51" s="110">
        <f>IF(W51="","",IFERROR(W51*HSI!$B$46*HSI!$G$46/HSI!$B$3,""))</f>
        <v/>
      </c>
      <c r="CL51" s="110">
        <f>IF(X51="","",IFERROR(X51*HSI!$B$46*HSI!$G$46/HSI!$B$3,""))</f>
        <v/>
      </c>
      <c r="CM51" s="110">
        <f>IF(Y51="","",IFERROR(Y51*HSI!$B$46*HSI!$G$46/HSI!$B$3,""))</f>
        <v/>
      </c>
      <c r="CN51" s="110">
        <f>IF(Z51="","",IFERROR(Z51*HSI!$B$46*HSI!$G$46/HSI!$B$3,""))</f>
        <v/>
      </c>
      <c r="CO51" s="110">
        <f>IF(AA51="","",IFERROR(AA51*HSI!$B$46*HSI!$G$46/HSI!$B$3,""))</f>
        <v/>
      </c>
      <c r="CP51" s="110">
        <f>IF(AB51="","",IFERROR(AB51*HSI!$B$46*HSI!$G$46/HSI!$B$3,""))</f>
        <v/>
      </c>
      <c r="CQ51" s="110">
        <f>IF(AC51="","",IFERROR(AC51*HSI!$B$46*HSI!$G$46/HSI!$B$3,""))</f>
        <v/>
      </c>
      <c r="CR51" s="110">
        <f>IF(AD51="","",IFERROR(AD51*HSI!$B$46*HSI!$G$46/HSI!$B$3,""))</f>
        <v/>
      </c>
      <c r="CS51" s="110">
        <f>IF(AE51="","",IFERROR(AE51*HSI!$B$46*HSI!$G$46/HSI!$B$3,""))</f>
        <v/>
      </c>
      <c r="CT51" s="110">
        <f>IF(AF51="","",IFERROR(AF51*HSI!$B$46*HSI!$G$46/HSI!$B$3,""))</f>
        <v/>
      </c>
      <c r="CU51" s="110">
        <f>IF(AG51="","",IFERROR(AG51*HSI!$B$46*HSI!$G$46/HSI!$B$3,""))</f>
        <v/>
      </c>
      <c r="CV51" s="110">
        <f>IF(AH51="","",IFERROR(AH51*HSI!$B$46*HSI!$G$46/HSI!$B$3,""))</f>
        <v/>
      </c>
      <c r="CW51" s="110">
        <f>IF(AI51="","",IFERROR(AI51*HSI!$B$46*HSI!$G$46/HSI!$B$3,""))</f>
        <v/>
      </c>
      <c r="CX51" s="110">
        <f>IF(AJ51="","",IFERROR(AJ51*HSI!$B$46*HSI!$G$46/HSI!$B$3,""))</f>
        <v/>
      </c>
      <c r="CY51" s="110">
        <f>IF(AK51="","",IFERROR(AK51*HSI!$B$46*HSI!$G$46/HSI!$B$3,""))</f>
        <v/>
      </c>
      <c r="CZ51" s="110">
        <f>IF(AL51="","",IFERROR(AL51*HSI!$B$46*HSI!$G$46/HSI!$B$3,""))</f>
        <v/>
      </c>
      <c r="DA51" s="110">
        <f>IF(AM51="","",IFERROR(AM51*HSI!$B$46*HSI!$G$46/HSI!$B$3,""))</f>
        <v/>
      </c>
      <c r="DB51" s="110">
        <f>IF(AN51="","",IFERROR(AN51*HSI!$B$46*HSI!$G$46/HSI!$B$3,""))</f>
        <v/>
      </c>
      <c r="DC51" s="110">
        <f>IF(AO51="","",IFERROR(AO51*HSI!$B$46*HSI!$G$46/HSI!$B$3,""))</f>
        <v/>
      </c>
      <c r="DD51" s="110">
        <f>IF(AP51="","",IFERROR(AP51*HSI!$B$46*HSI!$G$46/HSI!$B$3,""))</f>
        <v/>
      </c>
      <c r="DE51" s="110">
        <f>IF(AQ51="","",IFERROR(AQ51*HSI!$B$46*HSI!$G$46/HSI!$B$3,""))</f>
        <v/>
      </c>
      <c r="DF51" s="110">
        <f>IF(AR51="","",IFERROR(AR51*HSI!$B$46*HSI!$G$46/HSI!$B$3,""))</f>
        <v/>
      </c>
      <c r="DG51" s="110">
        <f>IF(AS51="","",IFERROR(AS51*HSI!$B$46*HSI!$G$46/HSI!$B$3,""))</f>
        <v/>
      </c>
      <c r="DH51" s="110">
        <f>IF(AT51="","",IFERROR(AT51*HSI!$B$46*HSI!$G$46/HSI!$B$3,""))</f>
        <v/>
      </c>
      <c r="DI51" s="110">
        <f>IF(AU51="","",IFERROR(AU51*HSI!$B$46*HSI!$G$46/HSI!$B$3,""))</f>
        <v/>
      </c>
      <c r="DJ51" s="110">
        <f>IF(AV51="","",IFERROR(AV51*HSI!$B$46*HSI!$G$46/HSI!$B$3,""))</f>
        <v/>
      </c>
      <c r="DK51" s="110">
        <f>IF(AW51="","",IFERROR(AW51*HSI!$B$46*HSI!$G$46/HSI!$B$3,""))</f>
        <v/>
      </c>
      <c r="DL51" s="110">
        <f>IF(AX51="","",IFERROR(AX51*HSI!$B$46*HSI!$G$46/HSI!$B$3,""))</f>
        <v/>
      </c>
      <c r="DM51" s="110">
        <f>IF(AY51="","",IFERROR(AY51*HSI!$B$46*HSI!$G$46/HSI!$B$3,""))</f>
        <v/>
      </c>
      <c r="DN51" s="110">
        <f>IF(AZ51="","",IFERROR(AZ51*HSI!$B$46*HSI!$G$46/HSI!$B$3,""))</f>
        <v/>
      </c>
      <c r="DO51" s="110">
        <f>IF(BA51="","",IFERROR(BA51*HSI!$B$46*HSI!$G$46/HSI!$B$3,""))</f>
        <v/>
      </c>
      <c r="DP51" s="110">
        <f>IF(BB51="","",IFERROR(BB51*HSI!$B$46*HSI!$G$46/HSI!$B$3,""))</f>
        <v/>
      </c>
      <c r="DQ51" s="110">
        <f>IF(BC51="","",IFERROR(BC51*HSI!$B$46*HSI!$G$46/HSI!$B$3,""))</f>
        <v/>
      </c>
      <c r="DR51" s="110">
        <f>IF(BD51="","",IFERROR(BD51*HSI!$B$46*HSI!$G$46/HSI!$B$3,""))</f>
        <v/>
      </c>
      <c r="DS51" s="110">
        <f>IF(BE51="","",IFERROR(BE51*HSI!$B$46*HSI!$G$46/HSI!$B$3,""))</f>
        <v/>
      </c>
      <c r="DT51" s="110">
        <f>IF(BF51="","",IFERROR(BF51*HSI!$B$46*HSI!$G$46/HSI!$B$3,""))</f>
        <v/>
      </c>
      <c r="DU51" s="110">
        <f>IF(BG51="","",IFERROR(BG51*HSI!$B$46*HSI!$G$46/HSI!$B$3,""))</f>
        <v/>
      </c>
      <c r="DV51" s="110">
        <f>IF(BH51="","",IFERROR(BH51*HSI!$B$46*HSI!$G$46/HSI!$B$3,""))</f>
        <v/>
      </c>
      <c r="DW51" s="110">
        <f>IF(BI51="","",IFERROR(BI51*HSI!$B$46*HSI!$G$46/HSI!$B$3,""))</f>
        <v/>
      </c>
      <c r="DX51" s="110">
        <f>IF(BJ51="","",IFERROR(BJ51*HSI!$B$46*HSI!$G$46/HSI!$B$3,""))</f>
        <v/>
      </c>
      <c r="DY51" s="110">
        <f>IF(BK51="","",IFERROR(BK51*HSI!$B$46*HSI!$G$46/HSI!$B$3,""))</f>
        <v/>
      </c>
      <c r="DZ51" s="110">
        <f>IF(BL51="","",IFERROR(BL51*HSI!$B$46*HSI!$G$46/HSI!$B$3,""))</f>
        <v/>
      </c>
      <c r="EA51" s="110">
        <f>IF(BM51="","",IFERROR(BM51*HSI!$B$46*HSI!$G$46/HSI!$B$3,""))</f>
        <v/>
      </c>
      <c r="EB51" s="110">
        <f>IF(BN51="","",IFERROR(BN51*HSI!$B$46*HSI!$G$46/HSI!$B$3,""))</f>
        <v/>
      </c>
      <c r="EC51" s="110">
        <f>IF(BO51="","",IFERROR(BO51*HSI!$B$46*HSI!$G$46/HSI!$B$3,""))</f>
        <v/>
      </c>
      <c r="EE51" s="39">
        <f>IF(N('Dvd Calendar'!$E$440)=0,"",IF(('Dvd Calendar'!$E$440&gt;=GRID_FROM)*('Dvd Calendar'!$E$440&lt;=GRID_TO)*((('Dvd Calendar'!$E$440&lt;=VAL_DATE)+(COUNTIF('Dvd Calendar'!$E$447:$AR$447,'Dvd Calendar'!$E$440)=0))&gt;0)=0,"",'Dvd Calendar'!$E$440*1000000000+ISNUMBER('Dvd Calendar'!$E$443)*100000000+('Dvd Calendar'!$E$445=SPECIAL_LBL)*10000000+(N('Dvd Calendar'!$E$439)&gt;0)*(N('Dvd Calendar'!$E$439)&lt;=VAL_SERIAL)*1000000+40*1000+1))</f>
        <v/>
      </c>
      <c r="EF51" s="39">
        <f>IF(N('Dvd Calendar'!$F$440)=0,"",IF(('Dvd Calendar'!$F$440&gt;=GRID_FROM)*('Dvd Calendar'!$F$440&lt;=GRID_TO)*((('Dvd Calendar'!$F$440&lt;=VAL_DATE)+(COUNTIF('Dvd Calendar'!$E$447:$AR$447,'Dvd Calendar'!$F$440)=0))&gt;0)=0,"",'Dvd Calendar'!$F$440*1000000000+ISNUMBER('Dvd Calendar'!$F$443)*100000000+('Dvd Calendar'!$F$445=SPECIAL_LBL)*10000000+(N('Dvd Calendar'!$F$439)&gt;0)*(N('Dvd Calendar'!$F$439)&lt;=VAL_SERIAL)*1000000+40*1000+2))</f>
        <v/>
      </c>
      <c r="EG51" s="39">
        <f>IF(N('Dvd Calendar'!$G$440)=0,"",IF(('Dvd Calendar'!$G$440&gt;=GRID_FROM)*('Dvd Calendar'!$G$440&lt;=GRID_TO)*((('Dvd Calendar'!$G$440&lt;=VAL_DATE)+(COUNTIF('Dvd Calendar'!$E$447:$AR$447,'Dvd Calendar'!$G$440)=0))&gt;0)=0,"",'Dvd Calendar'!$G$440*1000000000+ISNUMBER('Dvd Calendar'!$G$443)*100000000+('Dvd Calendar'!$G$445=SPECIAL_LBL)*10000000+(N('Dvd Calendar'!$G$439)&gt;0)*(N('Dvd Calendar'!$G$439)&lt;=VAL_SERIAL)*1000000+40*1000+3))</f>
        <v/>
      </c>
      <c r="EH51" s="39">
        <f>IF(N('Dvd Calendar'!$H$440)=0,"",IF(('Dvd Calendar'!$H$440&gt;=GRID_FROM)*('Dvd Calendar'!$H$440&lt;=GRID_TO)*((('Dvd Calendar'!$H$440&lt;=VAL_DATE)+(COUNTIF('Dvd Calendar'!$E$447:$AR$447,'Dvd Calendar'!$H$440)=0))&gt;0)=0,"",'Dvd Calendar'!$H$440*1000000000+ISNUMBER('Dvd Calendar'!$H$443)*100000000+('Dvd Calendar'!$H$445=SPECIAL_LBL)*10000000+(N('Dvd Calendar'!$H$439)&gt;0)*(N('Dvd Calendar'!$H$439)&lt;=VAL_SERIAL)*1000000+40*1000+4))</f>
        <v/>
      </c>
      <c r="EI51" s="39">
        <f>IF(N('Dvd Calendar'!$I$440)=0,"",IF(('Dvd Calendar'!$I$440&gt;=GRID_FROM)*('Dvd Calendar'!$I$440&lt;=GRID_TO)*((('Dvd Calendar'!$I$440&lt;=VAL_DATE)+(COUNTIF('Dvd Calendar'!$E$447:$AR$447,'Dvd Calendar'!$I$440)=0))&gt;0)=0,"",'Dvd Calendar'!$I$440*1000000000+ISNUMBER('Dvd Calendar'!$I$443)*100000000+('Dvd Calendar'!$I$445=SPECIAL_LBL)*10000000+(N('Dvd Calendar'!$I$439)&gt;0)*(N('Dvd Calendar'!$I$439)&lt;=VAL_SERIAL)*1000000+40*1000+5))</f>
        <v/>
      </c>
      <c r="EJ51" s="39">
        <f>IF(N('Dvd Calendar'!$J$440)=0,"",IF(('Dvd Calendar'!$J$440&gt;=GRID_FROM)*('Dvd Calendar'!$J$440&lt;=GRID_TO)*((('Dvd Calendar'!$J$440&lt;=VAL_DATE)+(COUNTIF('Dvd Calendar'!$E$447:$AR$447,'Dvd Calendar'!$J$440)=0))&gt;0)=0,"",'Dvd Calendar'!$J$440*1000000000+ISNUMBER('Dvd Calendar'!$J$443)*100000000+('Dvd Calendar'!$J$445=SPECIAL_LBL)*10000000+(N('Dvd Calendar'!$J$439)&gt;0)*(N('Dvd Calendar'!$J$439)&lt;=VAL_SERIAL)*1000000+40*1000+6))</f>
        <v/>
      </c>
      <c r="EK51" s="39">
        <f>IF(N('Dvd Calendar'!$K$440)=0,"",IF(('Dvd Calendar'!$K$440&gt;=GRID_FROM)*('Dvd Calendar'!$K$440&lt;=GRID_TO)*((('Dvd Calendar'!$K$440&lt;=VAL_DATE)+(COUNTIF('Dvd Calendar'!$E$447:$AR$447,'Dvd Calendar'!$K$440)=0))&gt;0)=0,"",'Dvd Calendar'!$K$440*1000000000+ISNUMBER('Dvd Calendar'!$K$443)*100000000+('Dvd Calendar'!$K$445=SPECIAL_LBL)*10000000+(N('Dvd Calendar'!$K$439)&gt;0)*(N('Dvd Calendar'!$K$439)&lt;=VAL_SERIAL)*1000000+40*1000+7))</f>
        <v/>
      </c>
      <c r="EL51" s="39">
        <f>IF(N('Dvd Calendar'!$L$440)=0,"",IF(('Dvd Calendar'!$L$440&gt;=GRID_FROM)*('Dvd Calendar'!$L$440&lt;=GRID_TO)*((('Dvd Calendar'!$L$440&lt;=VAL_DATE)+(COUNTIF('Dvd Calendar'!$E$447:$AR$447,'Dvd Calendar'!$L$440)=0))&gt;0)=0,"",'Dvd Calendar'!$L$440*1000000000+ISNUMBER('Dvd Calendar'!$L$443)*100000000+('Dvd Calendar'!$L$445=SPECIAL_LBL)*10000000+(N('Dvd Calendar'!$L$439)&gt;0)*(N('Dvd Calendar'!$L$439)&lt;=VAL_SERIAL)*1000000+40*1000+8))</f>
        <v/>
      </c>
      <c r="EM51" s="39">
        <f>IF(N('Dvd Calendar'!$M$440)=0,"",IF(('Dvd Calendar'!$M$440&gt;=GRID_FROM)*('Dvd Calendar'!$M$440&lt;=GRID_TO)*((('Dvd Calendar'!$M$440&lt;=VAL_DATE)+(COUNTIF('Dvd Calendar'!$E$447:$AR$447,'Dvd Calendar'!$M$440)=0))&gt;0)=0,"",'Dvd Calendar'!$M$440*1000000000+ISNUMBER('Dvd Calendar'!$M$443)*100000000+('Dvd Calendar'!$M$445=SPECIAL_LBL)*10000000+(N('Dvd Calendar'!$M$439)&gt;0)*(N('Dvd Calendar'!$M$439)&lt;=VAL_SERIAL)*1000000+40*1000+9))</f>
        <v/>
      </c>
      <c r="EN51" s="39">
        <f>IF(N('Dvd Calendar'!$N$440)=0,"",IF(('Dvd Calendar'!$N$440&gt;=GRID_FROM)*('Dvd Calendar'!$N$440&lt;=GRID_TO)*((('Dvd Calendar'!$N$440&lt;=VAL_DATE)+(COUNTIF('Dvd Calendar'!$E$447:$AR$447,'Dvd Calendar'!$N$440)=0))&gt;0)=0,"",'Dvd Calendar'!$N$440*1000000000+ISNUMBER('Dvd Calendar'!$N$443)*100000000+('Dvd Calendar'!$N$445=SPECIAL_LBL)*10000000+(N('Dvd Calendar'!$N$439)&gt;0)*(N('Dvd Calendar'!$N$439)&lt;=VAL_SERIAL)*1000000+40*1000+10))</f>
        <v/>
      </c>
      <c r="EO51" s="39">
        <f>IF(N('Dvd Calendar'!$O$440)=0,"",IF(('Dvd Calendar'!$O$440&gt;=GRID_FROM)*('Dvd Calendar'!$O$440&lt;=GRID_TO)*((('Dvd Calendar'!$O$440&lt;=VAL_DATE)+(COUNTIF('Dvd Calendar'!$E$447:$AR$447,'Dvd Calendar'!$O$440)=0))&gt;0)=0,"",'Dvd Calendar'!$O$440*1000000000+ISNUMBER('Dvd Calendar'!$O$443)*100000000+('Dvd Calendar'!$O$445=SPECIAL_LBL)*10000000+(N('Dvd Calendar'!$O$439)&gt;0)*(N('Dvd Calendar'!$O$439)&lt;=VAL_SERIAL)*1000000+40*1000+11))</f>
        <v/>
      </c>
      <c r="EP51" s="39">
        <f>IF(N('Dvd Calendar'!$P$440)=0,"",IF(('Dvd Calendar'!$P$440&gt;=GRID_FROM)*('Dvd Calendar'!$P$440&lt;=GRID_TO)*((('Dvd Calendar'!$P$440&lt;=VAL_DATE)+(COUNTIF('Dvd Calendar'!$E$447:$AR$447,'Dvd Calendar'!$P$440)=0))&gt;0)=0,"",'Dvd Calendar'!$P$440*1000000000+ISNUMBER('Dvd Calendar'!$P$443)*100000000+('Dvd Calendar'!$P$445=SPECIAL_LBL)*10000000+(N('Dvd Calendar'!$P$439)&gt;0)*(N('Dvd Calendar'!$P$439)&lt;=VAL_SERIAL)*1000000+40*1000+12))</f>
        <v/>
      </c>
      <c r="EQ51" s="39">
        <f>IF(N('Dvd Calendar'!$Q$440)=0,"",IF(('Dvd Calendar'!$Q$440&gt;=GRID_FROM)*('Dvd Calendar'!$Q$440&lt;=GRID_TO)*((('Dvd Calendar'!$Q$440&lt;=VAL_DATE)+(COUNTIF('Dvd Calendar'!$E$447:$AR$447,'Dvd Calendar'!$Q$440)=0))&gt;0)=0,"",'Dvd Calendar'!$Q$440*1000000000+ISNUMBER('Dvd Calendar'!$Q$443)*100000000+('Dvd Calendar'!$Q$445=SPECIAL_LBL)*10000000+(N('Dvd Calendar'!$Q$439)&gt;0)*(N('Dvd Calendar'!$Q$439)&lt;=VAL_SERIAL)*1000000+40*1000+13))</f>
        <v/>
      </c>
      <c r="ER51" s="39">
        <f>IF(N('Dvd Calendar'!$R$440)=0,"",IF(('Dvd Calendar'!$R$440&gt;=GRID_FROM)*('Dvd Calendar'!$R$440&lt;=GRID_TO)*((('Dvd Calendar'!$R$440&lt;=VAL_DATE)+(COUNTIF('Dvd Calendar'!$E$447:$AR$447,'Dvd Calendar'!$R$440)=0))&gt;0)=0,"",'Dvd Calendar'!$R$440*1000000000+ISNUMBER('Dvd Calendar'!$R$443)*100000000+('Dvd Calendar'!$R$445=SPECIAL_LBL)*10000000+(N('Dvd Calendar'!$R$439)&gt;0)*(N('Dvd Calendar'!$R$439)&lt;=VAL_SERIAL)*1000000+40*1000+14))</f>
        <v/>
      </c>
      <c r="ES51" s="39">
        <f>IF(N('Dvd Calendar'!$S$440)=0,"",IF(('Dvd Calendar'!$S$440&gt;=GRID_FROM)*('Dvd Calendar'!$S$440&lt;=GRID_TO)*((('Dvd Calendar'!$S$440&lt;=VAL_DATE)+(COUNTIF('Dvd Calendar'!$E$447:$AR$447,'Dvd Calendar'!$S$440)=0))&gt;0)=0,"",'Dvd Calendar'!$S$440*1000000000+ISNUMBER('Dvd Calendar'!$S$443)*100000000+('Dvd Calendar'!$S$445=SPECIAL_LBL)*10000000+(N('Dvd Calendar'!$S$439)&gt;0)*(N('Dvd Calendar'!$S$439)&lt;=VAL_SERIAL)*1000000+40*1000+15))</f>
        <v/>
      </c>
      <c r="ET51" s="39">
        <f>IF(N('Dvd Calendar'!$T$440)=0,"",IF(('Dvd Calendar'!$T$440&gt;=GRID_FROM)*('Dvd Calendar'!$T$440&lt;=GRID_TO)*((('Dvd Calendar'!$T$440&lt;=VAL_DATE)+(COUNTIF('Dvd Calendar'!$E$447:$AR$447,'Dvd Calendar'!$T$440)=0))&gt;0)=0,"",'Dvd Calendar'!$T$440*1000000000+ISNUMBER('Dvd Calendar'!$T$443)*100000000+('Dvd Calendar'!$T$445=SPECIAL_LBL)*10000000+(N('Dvd Calendar'!$T$439)&gt;0)*(N('Dvd Calendar'!$T$439)&lt;=VAL_SERIAL)*1000000+40*1000+16))</f>
        <v/>
      </c>
      <c r="EU51" s="39">
        <f>IF(N('Dvd Calendar'!$U$440)=0,"",IF(('Dvd Calendar'!$U$440&gt;=GRID_FROM)*('Dvd Calendar'!$U$440&lt;=GRID_TO)*((('Dvd Calendar'!$U$440&lt;=VAL_DATE)+(COUNTIF('Dvd Calendar'!$E$447:$AR$447,'Dvd Calendar'!$U$440)=0))&gt;0)=0,"",'Dvd Calendar'!$U$440*1000000000+ISNUMBER('Dvd Calendar'!$U$443)*100000000+('Dvd Calendar'!$U$445=SPECIAL_LBL)*10000000+(N('Dvd Calendar'!$U$439)&gt;0)*(N('Dvd Calendar'!$U$439)&lt;=VAL_SERIAL)*1000000+40*1000+17))</f>
        <v/>
      </c>
      <c r="EV51" s="39">
        <f>IF(N('Dvd Calendar'!$V$440)=0,"",IF(('Dvd Calendar'!$V$440&gt;=GRID_FROM)*('Dvd Calendar'!$V$440&lt;=GRID_TO)*((('Dvd Calendar'!$V$440&lt;=VAL_DATE)+(COUNTIF('Dvd Calendar'!$E$447:$AR$447,'Dvd Calendar'!$V$440)=0))&gt;0)=0,"",'Dvd Calendar'!$V$440*1000000000+ISNUMBER('Dvd Calendar'!$V$443)*100000000+('Dvd Calendar'!$V$445=SPECIAL_LBL)*10000000+(N('Dvd Calendar'!$V$439)&gt;0)*(N('Dvd Calendar'!$V$439)&lt;=VAL_SERIAL)*1000000+40*1000+18))</f>
        <v/>
      </c>
      <c r="EW51" s="39">
        <f>IF(N('Dvd Calendar'!$W$440)=0,"",IF(('Dvd Calendar'!$W$440&gt;=GRID_FROM)*('Dvd Calendar'!$W$440&lt;=GRID_TO)*((('Dvd Calendar'!$W$440&lt;=VAL_DATE)+(COUNTIF('Dvd Calendar'!$E$447:$AR$447,'Dvd Calendar'!$W$440)=0))&gt;0)=0,"",'Dvd Calendar'!$W$440*1000000000+ISNUMBER('Dvd Calendar'!$W$443)*100000000+('Dvd Calendar'!$W$445=SPECIAL_LBL)*10000000+(N('Dvd Calendar'!$W$439)&gt;0)*(N('Dvd Calendar'!$W$439)&lt;=VAL_SERIAL)*1000000+40*1000+19))</f>
        <v/>
      </c>
      <c r="EX51" s="39">
        <f>IF(N('Dvd Calendar'!$X$440)=0,"",IF(('Dvd Calendar'!$X$440&gt;=GRID_FROM)*('Dvd Calendar'!$X$440&lt;=GRID_TO)*((('Dvd Calendar'!$X$440&lt;=VAL_DATE)+(COUNTIF('Dvd Calendar'!$E$447:$AR$447,'Dvd Calendar'!$X$440)=0))&gt;0)=0,"",'Dvd Calendar'!$X$440*1000000000+ISNUMBER('Dvd Calendar'!$X$443)*100000000+('Dvd Calendar'!$X$445=SPECIAL_LBL)*10000000+(N('Dvd Calendar'!$X$439)&gt;0)*(N('Dvd Calendar'!$X$439)&lt;=VAL_SERIAL)*1000000+40*1000+20))</f>
        <v/>
      </c>
      <c r="EY51" s="39">
        <f>IF(N('Dvd Calendar'!$Y$440)=0,"",IF(('Dvd Calendar'!$Y$440&gt;=GRID_FROM)*('Dvd Calendar'!$Y$440&lt;=GRID_TO)*((('Dvd Calendar'!$Y$440&lt;=VAL_DATE)+(COUNTIF('Dvd Calendar'!$E$447:$AR$447,'Dvd Calendar'!$Y$440)=0))&gt;0)=0,"",'Dvd Calendar'!$Y$440*1000000000+ISNUMBER('Dvd Calendar'!$Y$443)*100000000+('Dvd Calendar'!$Y$445=SPECIAL_LBL)*10000000+(N('Dvd Calendar'!$Y$439)&gt;0)*(N('Dvd Calendar'!$Y$439)&lt;=VAL_SERIAL)*1000000+40*1000+21))</f>
        <v/>
      </c>
      <c r="EZ51" s="39">
        <f>IF(N('Dvd Calendar'!$Z$440)=0,"",IF(('Dvd Calendar'!$Z$440&gt;=GRID_FROM)*('Dvd Calendar'!$Z$440&lt;=GRID_TO)*((('Dvd Calendar'!$Z$440&lt;=VAL_DATE)+(COUNTIF('Dvd Calendar'!$E$447:$AR$447,'Dvd Calendar'!$Z$440)=0))&gt;0)=0,"",'Dvd Calendar'!$Z$440*1000000000+ISNUMBER('Dvd Calendar'!$Z$443)*100000000+('Dvd Calendar'!$Z$445=SPECIAL_LBL)*10000000+(N('Dvd Calendar'!$Z$439)&gt;0)*(N('Dvd Calendar'!$Z$439)&lt;=VAL_SERIAL)*1000000+40*1000+22))</f>
        <v/>
      </c>
      <c r="FA51" s="39">
        <f>IF(N('Dvd Calendar'!$AA$440)=0,"",IF(('Dvd Calendar'!$AA$440&gt;=GRID_FROM)*('Dvd Calendar'!$AA$440&lt;=GRID_TO)*((('Dvd Calendar'!$AA$440&lt;=VAL_DATE)+(COUNTIF('Dvd Calendar'!$E$447:$AR$447,'Dvd Calendar'!$AA$440)=0))&gt;0)=0,"",'Dvd Calendar'!$AA$440*1000000000+ISNUMBER('Dvd Calendar'!$AA$443)*100000000+('Dvd Calendar'!$AA$445=SPECIAL_LBL)*10000000+(N('Dvd Calendar'!$AA$439)&gt;0)*(N('Dvd Calendar'!$AA$439)&lt;=VAL_SERIAL)*1000000+40*1000+23))</f>
        <v/>
      </c>
      <c r="FB51" s="39">
        <f>IF(N('Dvd Calendar'!$AB$440)=0,"",IF(('Dvd Calendar'!$AB$440&gt;=GRID_FROM)*('Dvd Calendar'!$AB$440&lt;=GRID_TO)*((('Dvd Calendar'!$AB$440&lt;=VAL_DATE)+(COUNTIF('Dvd Calendar'!$E$447:$AR$447,'Dvd Calendar'!$AB$440)=0))&gt;0)=0,"",'Dvd Calendar'!$AB$440*1000000000+ISNUMBER('Dvd Calendar'!$AB$443)*100000000+('Dvd Calendar'!$AB$445=SPECIAL_LBL)*10000000+(N('Dvd Calendar'!$AB$439)&gt;0)*(N('Dvd Calendar'!$AB$439)&lt;=VAL_SERIAL)*1000000+40*1000+24))</f>
        <v/>
      </c>
      <c r="FC51" s="39">
        <f>IF(N('Dvd Calendar'!$AC$440)=0,"",IF(('Dvd Calendar'!$AC$440&gt;=GRID_FROM)*('Dvd Calendar'!$AC$440&lt;=GRID_TO)*((('Dvd Calendar'!$AC$440&lt;=VAL_DATE)+(COUNTIF('Dvd Calendar'!$E$447:$AR$447,'Dvd Calendar'!$AC$440)=0))&gt;0)=0,"",'Dvd Calendar'!$AC$440*1000000000+ISNUMBER('Dvd Calendar'!$AC$443)*100000000+('Dvd Calendar'!$AC$445=SPECIAL_LBL)*10000000+(N('Dvd Calendar'!$AC$439)&gt;0)*(N('Dvd Calendar'!$AC$439)&lt;=VAL_SERIAL)*1000000+40*1000+25))</f>
        <v/>
      </c>
      <c r="FD51" s="39">
        <f>IF(N('Dvd Calendar'!$AD$440)=0,"",IF(('Dvd Calendar'!$AD$440&gt;=GRID_FROM)*('Dvd Calendar'!$AD$440&lt;=GRID_TO)*((('Dvd Calendar'!$AD$440&lt;=VAL_DATE)+(COUNTIF('Dvd Calendar'!$E$447:$AR$447,'Dvd Calendar'!$AD$440)=0))&gt;0)=0,"",'Dvd Calendar'!$AD$440*1000000000+ISNUMBER('Dvd Calendar'!$AD$443)*100000000+('Dvd Calendar'!$AD$445=SPECIAL_LBL)*10000000+(N('Dvd Calendar'!$AD$439)&gt;0)*(N('Dvd Calendar'!$AD$439)&lt;=VAL_SERIAL)*1000000+40*1000+26))</f>
        <v/>
      </c>
      <c r="FE51" s="39">
        <f>IF(N('Dvd Calendar'!$AE$440)=0,"",IF(('Dvd Calendar'!$AE$440&gt;=GRID_FROM)*('Dvd Calendar'!$AE$440&lt;=GRID_TO)*((('Dvd Calendar'!$AE$440&lt;=VAL_DATE)+(COUNTIF('Dvd Calendar'!$E$447:$AR$447,'Dvd Calendar'!$AE$440)=0))&gt;0)=0,"",'Dvd Calendar'!$AE$440*1000000000+ISNUMBER('Dvd Calendar'!$AE$443)*100000000+('Dvd Calendar'!$AE$445=SPECIAL_LBL)*10000000+(N('Dvd Calendar'!$AE$439)&gt;0)*(N('Dvd Calendar'!$AE$439)&lt;=VAL_SERIAL)*1000000+40*1000+27))</f>
        <v/>
      </c>
      <c r="FF51" s="39">
        <f>IF(N('Dvd Calendar'!$AF$440)=0,"",IF(('Dvd Calendar'!$AF$440&gt;=GRID_FROM)*('Dvd Calendar'!$AF$440&lt;=GRID_TO)*((('Dvd Calendar'!$AF$440&lt;=VAL_DATE)+(COUNTIF('Dvd Calendar'!$E$447:$AR$447,'Dvd Calendar'!$AF$440)=0))&gt;0)=0,"",'Dvd Calendar'!$AF$440*1000000000+ISNUMBER('Dvd Calendar'!$AF$443)*100000000+('Dvd Calendar'!$AF$445=SPECIAL_LBL)*10000000+(N('Dvd Calendar'!$AF$439)&gt;0)*(N('Dvd Calendar'!$AF$439)&lt;=VAL_SERIAL)*1000000+40*1000+28))</f>
        <v/>
      </c>
      <c r="FG51" s="39">
        <f>IF(N('Dvd Calendar'!$AG$440)=0,"",IF(('Dvd Calendar'!$AG$440&gt;=GRID_FROM)*('Dvd Calendar'!$AG$440&lt;=GRID_TO)*((('Dvd Calendar'!$AG$440&lt;=VAL_DATE)+(COUNTIF('Dvd Calendar'!$E$447:$AR$447,'Dvd Calendar'!$AG$440)=0))&gt;0)=0,"",'Dvd Calendar'!$AG$440*1000000000+ISNUMBER('Dvd Calendar'!$AG$443)*100000000+('Dvd Calendar'!$AG$445=SPECIAL_LBL)*10000000+(N('Dvd Calendar'!$AG$439)&gt;0)*(N('Dvd Calendar'!$AG$439)&lt;=VAL_SERIAL)*1000000+40*1000+29))</f>
        <v/>
      </c>
      <c r="FH51" s="39">
        <f>IF(N('Dvd Calendar'!$AH$440)=0,"",IF(('Dvd Calendar'!$AH$440&gt;=GRID_FROM)*('Dvd Calendar'!$AH$440&lt;=GRID_TO)*((('Dvd Calendar'!$AH$440&lt;=VAL_DATE)+(COUNTIF('Dvd Calendar'!$E$447:$AR$447,'Dvd Calendar'!$AH$440)=0))&gt;0)=0,"",'Dvd Calendar'!$AH$440*1000000000+ISNUMBER('Dvd Calendar'!$AH$443)*100000000+('Dvd Calendar'!$AH$445=SPECIAL_LBL)*10000000+(N('Dvd Calendar'!$AH$439)&gt;0)*(N('Dvd Calendar'!$AH$439)&lt;=VAL_SERIAL)*1000000+40*1000+30))</f>
        <v/>
      </c>
      <c r="FI51" s="39">
        <f>IF(N('Dvd Calendar'!$AI$440)=0,"",IF(('Dvd Calendar'!$AI$440&gt;=GRID_FROM)*('Dvd Calendar'!$AI$440&lt;=GRID_TO)*((('Dvd Calendar'!$AI$440&lt;=VAL_DATE)+(COUNTIF('Dvd Calendar'!$E$447:$AR$447,'Dvd Calendar'!$AI$440)=0))&gt;0)=0,"",'Dvd Calendar'!$AI$440*1000000000+ISNUMBER('Dvd Calendar'!$AI$443)*100000000+('Dvd Calendar'!$AI$445=SPECIAL_LBL)*10000000+(N('Dvd Calendar'!$AI$439)&gt;0)*(N('Dvd Calendar'!$AI$439)&lt;=VAL_SERIAL)*1000000+40*1000+31))</f>
        <v/>
      </c>
      <c r="FJ51" s="39">
        <f>IF(N('Dvd Calendar'!$AJ$440)=0,"",IF(('Dvd Calendar'!$AJ$440&gt;=GRID_FROM)*('Dvd Calendar'!$AJ$440&lt;=GRID_TO)*((('Dvd Calendar'!$AJ$440&lt;=VAL_DATE)+(COUNTIF('Dvd Calendar'!$E$447:$AR$447,'Dvd Calendar'!$AJ$440)=0))&gt;0)=0,"",'Dvd Calendar'!$AJ$440*1000000000+ISNUMBER('Dvd Calendar'!$AJ$443)*100000000+('Dvd Calendar'!$AJ$445=SPECIAL_LBL)*10000000+(N('Dvd Calendar'!$AJ$439)&gt;0)*(N('Dvd Calendar'!$AJ$439)&lt;=VAL_SERIAL)*1000000+40*1000+32))</f>
        <v/>
      </c>
      <c r="FK51" s="39">
        <f>IF(N('Dvd Calendar'!$AK$440)=0,"",IF(('Dvd Calendar'!$AK$440&gt;=GRID_FROM)*('Dvd Calendar'!$AK$440&lt;=GRID_TO)*((('Dvd Calendar'!$AK$440&lt;=VAL_DATE)+(COUNTIF('Dvd Calendar'!$E$447:$AR$447,'Dvd Calendar'!$AK$440)=0))&gt;0)=0,"",'Dvd Calendar'!$AK$440*1000000000+ISNUMBER('Dvd Calendar'!$AK$443)*100000000+('Dvd Calendar'!$AK$445=SPECIAL_LBL)*10000000+(N('Dvd Calendar'!$AK$439)&gt;0)*(N('Dvd Calendar'!$AK$439)&lt;=VAL_SERIAL)*1000000+40*1000+33))</f>
        <v/>
      </c>
      <c r="FL51" s="39">
        <f>IF(N('Dvd Calendar'!$AL$440)=0,"",IF(('Dvd Calendar'!$AL$440&gt;=GRID_FROM)*('Dvd Calendar'!$AL$440&lt;=GRID_TO)*((('Dvd Calendar'!$AL$440&lt;=VAL_DATE)+(COUNTIF('Dvd Calendar'!$E$447:$AR$447,'Dvd Calendar'!$AL$440)=0))&gt;0)=0,"",'Dvd Calendar'!$AL$440*1000000000+ISNUMBER('Dvd Calendar'!$AL$443)*100000000+('Dvd Calendar'!$AL$445=SPECIAL_LBL)*10000000+(N('Dvd Calendar'!$AL$439)&gt;0)*(N('Dvd Calendar'!$AL$439)&lt;=VAL_SERIAL)*1000000+40*1000+34))</f>
        <v/>
      </c>
      <c r="FM51" s="39">
        <f>IF(N('Dvd Calendar'!$AM$440)=0,"",IF(('Dvd Calendar'!$AM$440&gt;=GRID_FROM)*('Dvd Calendar'!$AM$440&lt;=GRID_TO)*((('Dvd Calendar'!$AM$440&lt;=VAL_DATE)+(COUNTIF('Dvd Calendar'!$E$447:$AR$447,'Dvd Calendar'!$AM$440)=0))&gt;0)=0,"",'Dvd Calendar'!$AM$440*1000000000+ISNUMBER('Dvd Calendar'!$AM$443)*100000000+('Dvd Calendar'!$AM$445=SPECIAL_LBL)*10000000+(N('Dvd Calendar'!$AM$439)&gt;0)*(N('Dvd Calendar'!$AM$439)&lt;=VAL_SERIAL)*1000000+40*1000+35))</f>
        <v/>
      </c>
      <c r="FN51" s="39">
        <f>IF(N('Dvd Calendar'!$AN$440)=0,"",IF(('Dvd Calendar'!$AN$440&gt;=GRID_FROM)*('Dvd Calendar'!$AN$440&lt;=GRID_TO)*((('Dvd Calendar'!$AN$440&lt;=VAL_DATE)+(COUNTIF('Dvd Calendar'!$E$447:$AR$447,'Dvd Calendar'!$AN$440)=0))&gt;0)=0,"",'Dvd Calendar'!$AN$440*1000000000+ISNUMBER('Dvd Calendar'!$AN$443)*100000000+('Dvd Calendar'!$AN$445=SPECIAL_LBL)*10000000+(N('Dvd Calendar'!$AN$439)&gt;0)*(N('Dvd Calendar'!$AN$439)&lt;=VAL_SERIAL)*1000000+40*1000+36))</f>
        <v/>
      </c>
      <c r="FO51" s="39">
        <f>IF(N('Dvd Calendar'!$AO$440)=0,"",IF(('Dvd Calendar'!$AO$440&gt;=GRID_FROM)*('Dvd Calendar'!$AO$440&lt;=GRID_TO)*((('Dvd Calendar'!$AO$440&lt;=VAL_DATE)+(COUNTIF('Dvd Calendar'!$E$447:$AR$447,'Dvd Calendar'!$AO$440)=0))&gt;0)=0,"",'Dvd Calendar'!$AO$440*1000000000+ISNUMBER('Dvd Calendar'!$AO$443)*100000000+('Dvd Calendar'!$AO$445=SPECIAL_LBL)*10000000+(N('Dvd Calendar'!$AO$439)&gt;0)*(N('Dvd Calendar'!$AO$439)&lt;=VAL_SERIAL)*1000000+40*1000+37))</f>
        <v/>
      </c>
      <c r="FP51" s="39">
        <f>IF(N('Dvd Calendar'!$AP$440)=0,"",IF(('Dvd Calendar'!$AP$440&gt;=GRID_FROM)*('Dvd Calendar'!$AP$440&lt;=GRID_TO)*((('Dvd Calendar'!$AP$440&lt;=VAL_DATE)+(COUNTIF('Dvd Calendar'!$E$447:$AR$447,'Dvd Calendar'!$AP$440)=0))&gt;0)=0,"",'Dvd Calendar'!$AP$440*1000000000+ISNUMBER('Dvd Calendar'!$AP$443)*100000000+('Dvd Calendar'!$AP$445=SPECIAL_LBL)*10000000+(N('Dvd Calendar'!$AP$439)&gt;0)*(N('Dvd Calendar'!$AP$439)&lt;=VAL_SERIAL)*1000000+40*1000+38))</f>
        <v/>
      </c>
      <c r="FQ51" s="39">
        <f>IF(N('Dvd Calendar'!$AQ$440)=0,"",IF(('Dvd Calendar'!$AQ$440&gt;=GRID_FROM)*('Dvd Calendar'!$AQ$440&lt;=GRID_TO)*((('Dvd Calendar'!$AQ$440&lt;=VAL_DATE)+(COUNTIF('Dvd Calendar'!$E$447:$AR$447,'Dvd Calendar'!$AQ$440)=0))&gt;0)=0,"",'Dvd Calendar'!$AQ$440*1000000000+ISNUMBER('Dvd Calendar'!$AQ$443)*100000000+('Dvd Calendar'!$AQ$445=SPECIAL_LBL)*10000000+(N('Dvd Calendar'!$AQ$439)&gt;0)*(N('Dvd Calendar'!$AQ$439)&lt;=VAL_SERIAL)*1000000+40*1000+39))</f>
        <v/>
      </c>
      <c r="FR51" s="39">
        <f>IF(N('Dvd Calendar'!$AR$440)=0,"",IF(('Dvd Calendar'!$AR$440&gt;=GRID_FROM)*('Dvd Calendar'!$AR$440&lt;=GRID_TO)*((('Dvd Calendar'!$AR$440&lt;=VAL_DATE)+(COUNTIF('Dvd Calendar'!$E$447:$AR$447,'Dvd Calendar'!$AR$440)=0))&gt;0)=0,"",'Dvd Calendar'!$AR$440*1000000000+ISNUMBER('Dvd Calendar'!$AR$443)*100000000+('Dvd Calendar'!$AR$445=SPECIAL_LBL)*10000000+(N('Dvd Calendar'!$AR$439)&gt;0)*(N('Dvd Calendar'!$AR$439)&lt;=VAL_SERIAL)*1000000+40*1000+40))</f>
        <v/>
      </c>
      <c r="FS51" s="39">
        <f>IF(N('Dvd Calendar'!$E$447)=0,"",IF(('Dvd Calendar'!$E$447&gt;=GRID_FROM)*('Dvd Calendar'!$E$447&lt;=GRID_TO)*('Dvd Calendar'!$E$447&gt;VAL_DATE)=0,"",'Dvd Calendar'!$E$447*1000000000+ISNUMBER('Dvd Calendar'!$E$448)*100000000+0*10000000+(N('Dvd Calendar'!$E$446)&gt;0)*(N('Dvd Calendar'!$E$446)&lt;=VAL_SERIAL)*1000000+40*1000+41))</f>
        <v/>
      </c>
      <c r="FT51" s="39">
        <f>IF(N('Dvd Calendar'!$F$447)=0,"",IF(('Dvd Calendar'!$F$447&gt;=GRID_FROM)*('Dvd Calendar'!$F$447&lt;=GRID_TO)*('Dvd Calendar'!$F$447&gt;VAL_DATE)=0,"",'Dvd Calendar'!$F$447*1000000000+ISNUMBER('Dvd Calendar'!$F$448)*100000000+0*10000000+(N('Dvd Calendar'!$F$446)&gt;0)*(N('Dvd Calendar'!$F$446)&lt;=VAL_SERIAL)*1000000+40*1000+42))</f>
        <v/>
      </c>
      <c r="FU51" s="39">
        <f>IF(N('Dvd Calendar'!$G$447)=0,"",IF(('Dvd Calendar'!$G$447&gt;=GRID_FROM)*('Dvd Calendar'!$G$447&lt;=GRID_TO)*('Dvd Calendar'!$G$447&gt;VAL_DATE)=0,"",'Dvd Calendar'!$G$447*1000000000+ISNUMBER('Dvd Calendar'!$G$448)*100000000+0*10000000+(N('Dvd Calendar'!$G$446)&gt;0)*(N('Dvd Calendar'!$G$446)&lt;=VAL_SERIAL)*1000000+40*1000+43))</f>
        <v/>
      </c>
      <c r="FV51" s="39">
        <f>IF(N('Dvd Calendar'!$H$447)=0,"",IF(('Dvd Calendar'!$H$447&gt;=GRID_FROM)*('Dvd Calendar'!$H$447&lt;=GRID_TO)*('Dvd Calendar'!$H$447&gt;VAL_DATE)=0,"",'Dvd Calendar'!$H$447*1000000000+ISNUMBER('Dvd Calendar'!$H$448)*100000000+0*10000000+(N('Dvd Calendar'!$H$446)&gt;0)*(N('Dvd Calendar'!$H$446)&lt;=VAL_SERIAL)*1000000+40*1000+44))</f>
        <v/>
      </c>
      <c r="FW51" s="39">
        <f>IF(N('Dvd Calendar'!$I$447)=0,"",IF(('Dvd Calendar'!$I$447&gt;=GRID_FROM)*('Dvd Calendar'!$I$447&lt;=GRID_TO)*('Dvd Calendar'!$I$447&gt;VAL_DATE)=0,"",'Dvd Calendar'!$I$447*1000000000+ISNUMBER('Dvd Calendar'!$I$448)*100000000+0*10000000+(N('Dvd Calendar'!$I$446)&gt;0)*(N('Dvd Calendar'!$I$446)&lt;=VAL_SERIAL)*1000000+40*1000+45))</f>
        <v/>
      </c>
      <c r="FX51" s="39">
        <f>IF(N('Dvd Calendar'!$J$447)=0,"",IF(('Dvd Calendar'!$J$447&gt;=GRID_FROM)*('Dvd Calendar'!$J$447&lt;=GRID_TO)*('Dvd Calendar'!$J$447&gt;VAL_DATE)=0,"",'Dvd Calendar'!$J$447*1000000000+ISNUMBER('Dvd Calendar'!$J$448)*100000000+0*10000000+(N('Dvd Calendar'!$J$446)&gt;0)*(N('Dvd Calendar'!$J$446)&lt;=VAL_SERIAL)*1000000+40*1000+46))</f>
        <v/>
      </c>
      <c r="FY51" s="39">
        <f>IF(N('Dvd Calendar'!$K$447)=0,"",IF(('Dvd Calendar'!$K$447&gt;=GRID_FROM)*('Dvd Calendar'!$K$447&lt;=GRID_TO)*('Dvd Calendar'!$K$447&gt;VAL_DATE)=0,"",'Dvd Calendar'!$K$447*1000000000+ISNUMBER('Dvd Calendar'!$K$448)*100000000+0*10000000+(N('Dvd Calendar'!$K$446)&gt;0)*(N('Dvd Calendar'!$K$446)&lt;=VAL_SERIAL)*1000000+40*1000+47))</f>
        <v/>
      </c>
      <c r="FZ51" s="39">
        <f>IF(N('Dvd Calendar'!$L$447)=0,"",IF(('Dvd Calendar'!$L$447&gt;=GRID_FROM)*('Dvd Calendar'!$L$447&lt;=GRID_TO)*('Dvd Calendar'!$L$447&gt;VAL_DATE)=0,"",'Dvd Calendar'!$L$447*1000000000+ISNUMBER('Dvd Calendar'!$L$448)*100000000+0*10000000+(N('Dvd Calendar'!$L$446)&gt;0)*(N('Dvd Calendar'!$L$446)&lt;=VAL_SERIAL)*1000000+40*1000+48))</f>
        <v/>
      </c>
      <c r="GA51" s="39">
        <f>IF(N('Dvd Calendar'!$M$447)=0,"",IF(('Dvd Calendar'!$M$447&gt;=GRID_FROM)*('Dvd Calendar'!$M$447&lt;=GRID_TO)*('Dvd Calendar'!$M$447&gt;VAL_DATE)=0,"",'Dvd Calendar'!$M$447*1000000000+ISNUMBER('Dvd Calendar'!$M$448)*100000000+0*10000000+(N('Dvd Calendar'!$M$446)&gt;0)*(N('Dvd Calendar'!$M$446)&lt;=VAL_SERIAL)*1000000+40*1000+49))</f>
        <v/>
      </c>
      <c r="GB51" s="39">
        <f>IF(N('Dvd Calendar'!$N$447)=0,"",IF(('Dvd Calendar'!$N$447&gt;=GRID_FROM)*('Dvd Calendar'!$N$447&lt;=GRID_TO)*('Dvd Calendar'!$N$447&gt;VAL_DATE)=0,"",'Dvd Calendar'!$N$447*1000000000+ISNUMBER('Dvd Calendar'!$N$448)*100000000+0*10000000+(N('Dvd Calendar'!$N$446)&gt;0)*(N('Dvd Calendar'!$N$446)&lt;=VAL_SERIAL)*1000000+40*1000+50))</f>
        <v/>
      </c>
      <c r="GC51" s="39">
        <f>IF(N('Dvd Calendar'!$O$447)=0,"",IF(('Dvd Calendar'!$O$447&gt;=GRID_FROM)*('Dvd Calendar'!$O$447&lt;=GRID_TO)*('Dvd Calendar'!$O$447&gt;VAL_DATE)=0,"",'Dvd Calendar'!$O$447*1000000000+ISNUMBER('Dvd Calendar'!$O$448)*100000000+0*10000000+(N('Dvd Calendar'!$O$446)&gt;0)*(N('Dvd Calendar'!$O$446)&lt;=VAL_SERIAL)*1000000+40*1000+51))</f>
        <v/>
      </c>
      <c r="GD51" s="39">
        <f>IF(N('Dvd Calendar'!$P$447)=0,"",IF(('Dvd Calendar'!$P$447&gt;=GRID_FROM)*('Dvd Calendar'!$P$447&lt;=GRID_TO)*('Dvd Calendar'!$P$447&gt;VAL_DATE)=0,"",'Dvd Calendar'!$P$447*1000000000+ISNUMBER('Dvd Calendar'!$P$448)*100000000+0*10000000+(N('Dvd Calendar'!$P$446)&gt;0)*(N('Dvd Calendar'!$P$446)&lt;=VAL_SERIAL)*1000000+40*1000+52))</f>
        <v/>
      </c>
      <c r="GE51" s="39">
        <f>IF(N('Dvd Calendar'!$Q$447)=0,"",IF(('Dvd Calendar'!$Q$447&gt;=GRID_FROM)*('Dvd Calendar'!$Q$447&lt;=GRID_TO)*('Dvd Calendar'!$Q$447&gt;VAL_DATE)=0,"",'Dvd Calendar'!$Q$447*1000000000+ISNUMBER('Dvd Calendar'!$Q$448)*100000000+0*10000000+(N('Dvd Calendar'!$Q$446)&gt;0)*(N('Dvd Calendar'!$Q$446)&lt;=VAL_SERIAL)*1000000+40*1000+53))</f>
        <v/>
      </c>
      <c r="GF51" s="39">
        <f>IF(N('Dvd Calendar'!$R$447)=0,"",IF(('Dvd Calendar'!$R$447&gt;=GRID_FROM)*('Dvd Calendar'!$R$447&lt;=GRID_TO)*('Dvd Calendar'!$R$447&gt;VAL_DATE)=0,"",'Dvd Calendar'!$R$447*1000000000+ISNUMBER('Dvd Calendar'!$R$448)*100000000+0*10000000+(N('Dvd Calendar'!$R$446)&gt;0)*(N('Dvd Calendar'!$R$446)&lt;=VAL_SERIAL)*1000000+40*1000+54))</f>
        <v/>
      </c>
      <c r="GG51" s="39">
        <f>IF(N('Dvd Calendar'!$S$447)=0,"",IF(('Dvd Calendar'!$S$447&gt;=GRID_FROM)*('Dvd Calendar'!$S$447&lt;=GRID_TO)*('Dvd Calendar'!$S$447&gt;VAL_DATE)=0,"",'Dvd Calendar'!$S$447*1000000000+ISNUMBER('Dvd Calendar'!$S$448)*100000000+0*10000000+(N('Dvd Calendar'!$S$446)&gt;0)*(N('Dvd Calendar'!$S$446)&lt;=VAL_SERIAL)*1000000+40*1000+55))</f>
        <v/>
      </c>
      <c r="GH51" s="39">
        <f>IF(N('Dvd Calendar'!$T$447)=0,"",IF(('Dvd Calendar'!$T$447&gt;=GRID_FROM)*('Dvd Calendar'!$T$447&lt;=GRID_TO)*('Dvd Calendar'!$T$447&gt;VAL_DATE)=0,"",'Dvd Calendar'!$T$447*1000000000+ISNUMBER('Dvd Calendar'!$T$448)*100000000+0*10000000+(N('Dvd Calendar'!$T$446)&gt;0)*(N('Dvd Calendar'!$T$446)&lt;=VAL_SERIAL)*1000000+40*1000+56))</f>
        <v/>
      </c>
      <c r="GI51" s="39">
        <f>IF(N('Dvd Calendar'!$U$447)=0,"",IF(('Dvd Calendar'!$U$447&gt;=GRID_FROM)*('Dvd Calendar'!$U$447&lt;=GRID_TO)*('Dvd Calendar'!$U$447&gt;VAL_DATE)=0,"",'Dvd Calendar'!$U$447*1000000000+ISNUMBER('Dvd Calendar'!$U$448)*100000000+0*10000000+(N('Dvd Calendar'!$U$446)&gt;0)*(N('Dvd Calendar'!$U$446)&lt;=VAL_SERIAL)*1000000+40*1000+57))</f>
        <v/>
      </c>
      <c r="GJ51" s="39">
        <f>IF(N('Dvd Calendar'!$V$447)=0,"",IF(('Dvd Calendar'!$V$447&gt;=GRID_FROM)*('Dvd Calendar'!$V$447&lt;=GRID_TO)*('Dvd Calendar'!$V$447&gt;VAL_DATE)=0,"",'Dvd Calendar'!$V$447*1000000000+ISNUMBER('Dvd Calendar'!$V$448)*100000000+0*10000000+(N('Dvd Calendar'!$V$446)&gt;0)*(N('Dvd Calendar'!$V$446)&lt;=VAL_SERIAL)*1000000+40*1000+58))</f>
        <v/>
      </c>
      <c r="GK51" s="39">
        <f>IF(N('Dvd Calendar'!$W$447)=0,"",IF(('Dvd Calendar'!$W$447&gt;=GRID_FROM)*('Dvd Calendar'!$W$447&lt;=GRID_TO)*('Dvd Calendar'!$W$447&gt;VAL_DATE)=0,"",'Dvd Calendar'!$W$447*1000000000+ISNUMBER('Dvd Calendar'!$W$448)*100000000+0*10000000+(N('Dvd Calendar'!$W$446)&gt;0)*(N('Dvd Calendar'!$W$446)&lt;=VAL_SERIAL)*1000000+40*1000+59))</f>
        <v/>
      </c>
      <c r="GL51" s="39">
        <f>IF(N('Dvd Calendar'!$X$447)=0,"",IF(('Dvd Calendar'!$X$447&gt;=GRID_FROM)*('Dvd Calendar'!$X$447&lt;=GRID_TO)*('Dvd Calendar'!$X$447&gt;VAL_DATE)=0,"",'Dvd Calendar'!$X$447*1000000000+ISNUMBER('Dvd Calendar'!$X$448)*100000000+0*10000000+(N('Dvd Calendar'!$X$446)&gt;0)*(N('Dvd Calendar'!$X$446)&lt;=VAL_SERIAL)*1000000+40*1000+60))</f>
        <v/>
      </c>
      <c r="GM51" s="39">
        <f>IF(N('Dvd Calendar'!$Y$447)=0,"",IF(('Dvd Calendar'!$Y$447&gt;=GRID_FROM)*('Dvd Calendar'!$Y$447&lt;=GRID_TO)*('Dvd Calendar'!$Y$447&gt;VAL_DATE)=0,"",'Dvd Calendar'!$Y$447*1000000000+ISNUMBER('Dvd Calendar'!$Y$448)*100000000+0*10000000+(N('Dvd Calendar'!$Y$446)&gt;0)*(N('Dvd Calendar'!$Y$446)&lt;=VAL_SERIAL)*1000000+40*1000+61))</f>
        <v/>
      </c>
      <c r="GN51" s="39">
        <f>IF(N('Dvd Calendar'!$Z$447)=0,"",IF(('Dvd Calendar'!$Z$447&gt;=GRID_FROM)*('Dvd Calendar'!$Z$447&lt;=GRID_TO)*('Dvd Calendar'!$Z$447&gt;VAL_DATE)=0,"",'Dvd Calendar'!$Z$447*1000000000+ISNUMBER('Dvd Calendar'!$Z$448)*100000000+0*10000000+(N('Dvd Calendar'!$Z$446)&gt;0)*(N('Dvd Calendar'!$Z$446)&lt;=VAL_SERIAL)*1000000+40*1000+62))</f>
        <v/>
      </c>
      <c r="GO51" s="39">
        <f>IF(N('Dvd Calendar'!$AA$447)=0,"",IF(('Dvd Calendar'!$AA$447&gt;=GRID_FROM)*('Dvd Calendar'!$AA$447&lt;=GRID_TO)*('Dvd Calendar'!$AA$447&gt;VAL_DATE)=0,"",'Dvd Calendar'!$AA$447*1000000000+ISNUMBER('Dvd Calendar'!$AA$448)*100000000+0*10000000+(N('Dvd Calendar'!$AA$446)&gt;0)*(N('Dvd Calendar'!$AA$446)&lt;=VAL_SERIAL)*1000000+40*1000+63))</f>
        <v/>
      </c>
      <c r="GP51" s="39">
        <f>IF(N('Dvd Calendar'!$AB$447)=0,"",IF(('Dvd Calendar'!$AB$447&gt;=GRID_FROM)*('Dvd Calendar'!$AB$447&lt;=GRID_TO)*('Dvd Calendar'!$AB$447&gt;VAL_DATE)=0,"",'Dvd Calendar'!$AB$447*1000000000+ISNUMBER('Dvd Calendar'!$AB$448)*100000000+0*10000000+(N('Dvd Calendar'!$AB$446)&gt;0)*(N('Dvd Calendar'!$AB$446)&lt;=VAL_SERIAL)*1000000+40*1000+64))</f>
        <v/>
      </c>
      <c r="GQ51" s="39">
        <f>IF(N('Dvd Calendar'!$AC$447)=0,"",IF(('Dvd Calendar'!$AC$447&gt;=GRID_FROM)*('Dvd Calendar'!$AC$447&lt;=GRID_TO)*('Dvd Calendar'!$AC$447&gt;VAL_DATE)=0,"",'Dvd Calendar'!$AC$447*1000000000+ISNUMBER('Dvd Calendar'!$AC$448)*100000000+0*10000000+(N('Dvd Calendar'!$AC$446)&gt;0)*(N('Dvd Calendar'!$AC$446)&lt;=VAL_SERIAL)*1000000+40*1000+65))</f>
        <v/>
      </c>
    </row>
    <row r="52">
      <c r="B52" s="2">
        <f>IF(HSI!$C$47="","",HSI!$C$47)</f>
        <v/>
      </c>
      <c r="C52" s="110">
        <f>IF(EE52="","",IF(ISNUMBER('Dvd Calendar'!$E$454)=FALSE,"",IF((('Dvd Calendar'!$E$456=TYPE1)*(TYPE1&lt;&gt;"")+('Dvd Calendar'!$E$456=TYPE2)*(TYPE2&lt;&gt;"")+('Dvd Calendar'!$E$456=TYPE3)*(TYPE3&lt;&gt;"")+('Dvd Calendar'!$E$456=TYPE4)*(TYPE4&lt;&gt;"")+('Dvd Calendar'!$E$456=SPECIAL_LBL)*(INC_SPECIALS="Y"))=0,"",'Dvd Calendar'!$E$454)))</f>
        <v/>
      </c>
      <c r="D52" s="110">
        <f>IF(EF52="","",IF(ISNUMBER('Dvd Calendar'!$F$454)=FALSE,"",IF((('Dvd Calendar'!$F$456=TYPE1)*(TYPE1&lt;&gt;"")+('Dvd Calendar'!$F$456=TYPE2)*(TYPE2&lt;&gt;"")+('Dvd Calendar'!$F$456=TYPE3)*(TYPE3&lt;&gt;"")+('Dvd Calendar'!$F$456=TYPE4)*(TYPE4&lt;&gt;"")+('Dvd Calendar'!$F$456=SPECIAL_LBL)*(INC_SPECIALS="Y"))=0,"",'Dvd Calendar'!$F$454)))</f>
        <v/>
      </c>
      <c r="E52" s="110">
        <f>IF(EG52="","",IF(ISNUMBER('Dvd Calendar'!$G$454)=FALSE,"",IF((('Dvd Calendar'!$G$456=TYPE1)*(TYPE1&lt;&gt;"")+('Dvd Calendar'!$G$456=TYPE2)*(TYPE2&lt;&gt;"")+('Dvd Calendar'!$G$456=TYPE3)*(TYPE3&lt;&gt;"")+('Dvd Calendar'!$G$456=TYPE4)*(TYPE4&lt;&gt;"")+('Dvd Calendar'!$G$456=SPECIAL_LBL)*(INC_SPECIALS="Y"))=0,"",'Dvd Calendar'!$G$454)))</f>
        <v/>
      </c>
      <c r="F52" s="110">
        <f>IF(EH52="","",IF(ISNUMBER('Dvd Calendar'!$H$454)=FALSE,"",IF((('Dvd Calendar'!$H$456=TYPE1)*(TYPE1&lt;&gt;"")+('Dvd Calendar'!$H$456=TYPE2)*(TYPE2&lt;&gt;"")+('Dvd Calendar'!$H$456=TYPE3)*(TYPE3&lt;&gt;"")+('Dvd Calendar'!$H$456=TYPE4)*(TYPE4&lt;&gt;"")+('Dvd Calendar'!$H$456=SPECIAL_LBL)*(INC_SPECIALS="Y"))=0,"",'Dvd Calendar'!$H$454)))</f>
        <v/>
      </c>
      <c r="G52" s="110">
        <f>IF(EI52="","",IF(ISNUMBER('Dvd Calendar'!$I$454)=FALSE,"",IF((('Dvd Calendar'!$I$456=TYPE1)*(TYPE1&lt;&gt;"")+('Dvd Calendar'!$I$456=TYPE2)*(TYPE2&lt;&gt;"")+('Dvd Calendar'!$I$456=TYPE3)*(TYPE3&lt;&gt;"")+('Dvd Calendar'!$I$456=TYPE4)*(TYPE4&lt;&gt;"")+('Dvd Calendar'!$I$456=SPECIAL_LBL)*(INC_SPECIALS="Y"))=0,"",'Dvd Calendar'!$I$454)))</f>
        <v/>
      </c>
      <c r="H52" s="110">
        <f>IF(EJ52="","",IF(ISNUMBER('Dvd Calendar'!$J$454)=FALSE,"",IF((('Dvd Calendar'!$J$456=TYPE1)*(TYPE1&lt;&gt;"")+('Dvd Calendar'!$J$456=TYPE2)*(TYPE2&lt;&gt;"")+('Dvd Calendar'!$J$456=TYPE3)*(TYPE3&lt;&gt;"")+('Dvd Calendar'!$J$456=TYPE4)*(TYPE4&lt;&gt;"")+('Dvd Calendar'!$J$456=SPECIAL_LBL)*(INC_SPECIALS="Y"))=0,"",'Dvd Calendar'!$J$454)))</f>
        <v/>
      </c>
      <c r="I52" s="110">
        <f>IF(EK52="","",IF(ISNUMBER('Dvd Calendar'!$K$454)=FALSE,"",IF((('Dvd Calendar'!$K$456=TYPE1)*(TYPE1&lt;&gt;"")+('Dvd Calendar'!$K$456=TYPE2)*(TYPE2&lt;&gt;"")+('Dvd Calendar'!$K$456=TYPE3)*(TYPE3&lt;&gt;"")+('Dvd Calendar'!$K$456=TYPE4)*(TYPE4&lt;&gt;"")+('Dvd Calendar'!$K$456=SPECIAL_LBL)*(INC_SPECIALS="Y"))=0,"",'Dvd Calendar'!$K$454)))</f>
        <v/>
      </c>
      <c r="J52" s="110">
        <f>IF(EL52="","",IF(ISNUMBER('Dvd Calendar'!$L$454)=FALSE,"",IF((('Dvd Calendar'!$L$456=TYPE1)*(TYPE1&lt;&gt;"")+('Dvd Calendar'!$L$456=TYPE2)*(TYPE2&lt;&gt;"")+('Dvd Calendar'!$L$456=TYPE3)*(TYPE3&lt;&gt;"")+('Dvd Calendar'!$L$456=TYPE4)*(TYPE4&lt;&gt;"")+('Dvd Calendar'!$L$456=SPECIAL_LBL)*(INC_SPECIALS="Y"))=0,"",'Dvd Calendar'!$L$454)))</f>
        <v/>
      </c>
      <c r="K52" s="110">
        <f>IF(EM52="","",IF(ISNUMBER('Dvd Calendar'!$M$454)=FALSE,"",IF((('Dvd Calendar'!$M$456=TYPE1)*(TYPE1&lt;&gt;"")+('Dvd Calendar'!$M$456=TYPE2)*(TYPE2&lt;&gt;"")+('Dvd Calendar'!$M$456=TYPE3)*(TYPE3&lt;&gt;"")+('Dvd Calendar'!$M$456=TYPE4)*(TYPE4&lt;&gt;"")+('Dvd Calendar'!$M$456=SPECIAL_LBL)*(INC_SPECIALS="Y"))=0,"",'Dvd Calendar'!$M$454)))</f>
        <v/>
      </c>
      <c r="L52" s="110">
        <f>IF(EN52="","",IF(ISNUMBER('Dvd Calendar'!$N$454)=FALSE,"",IF((('Dvd Calendar'!$N$456=TYPE1)*(TYPE1&lt;&gt;"")+('Dvd Calendar'!$N$456=TYPE2)*(TYPE2&lt;&gt;"")+('Dvd Calendar'!$N$456=TYPE3)*(TYPE3&lt;&gt;"")+('Dvd Calendar'!$N$456=TYPE4)*(TYPE4&lt;&gt;"")+('Dvd Calendar'!$N$456=SPECIAL_LBL)*(INC_SPECIALS="Y"))=0,"",'Dvd Calendar'!$N$454)))</f>
        <v/>
      </c>
      <c r="M52" s="110">
        <f>IF(EO52="","",IF(ISNUMBER('Dvd Calendar'!$O$454)=FALSE,"",IF((('Dvd Calendar'!$O$456=TYPE1)*(TYPE1&lt;&gt;"")+('Dvd Calendar'!$O$456=TYPE2)*(TYPE2&lt;&gt;"")+('Dvd Calendar'!$O$456=TYPE3)*(TYPE3&lt;&gt;"")+('Dvd Calendar'!$O$456=TYPE4)*(TYPE4&lt;&gt;"")+('Dvd Calendar'!$O$456=SPECIAL_LBL)*(INC_SPECIALS="Y"))=0,"",'Dvd Calendar'!$O$454)))</f>
        <v/>
      </c>
      <c r="N52" s="110">
        <f>IF(EP52="","",IF(ISNUMBER('Dvd Calendar'!$P$454)=FALSE,"",IF((('Dvd Calendar'!$P$456=TYPE1)*(TYPE1&lt;&gt;"")+('Dvd Calendar'!$P$456=TYPE2)*(TYPE2&lt;&gt;"")+('Dvd Calendar'!$P$456=TYPE3)*(TYPE3&lt;&gt;"")+('Dvd Calendar'!$P$456=TYPE4)*(TYPE4&lt;&gt;"")+('Dvd Calendar'!$P$456=SPECIAL_LBL)*(INC_SPECIALS="Y"))=0,"",'Dvd Calendar'!$P$454)))</f>
        <v/>
      </c>
      <c r="O52" s="110">
        <f>IF(EQ52="","",IF(ISNUMBER('Dvd Calendar'!$Q$454)=FALSE,"",IF((('Dvd Calendar'!$Q$456=TYPE1)*(TYPE1&lt;&gt;"")+('Dvd Calendar'!$Q$456=TYPE2)*(TYPE2&lt;&gt;"")+('Dvd Calendar'!$Q$456=TYPE3)*(TYPE3&lt;&gt;"")+('Dvd Calendar'!$Q$456=TYPE4)*(TYPE4&lt;&gt;"")+('Dvd Calendar'!$Q$456=SPECIAL_LBL)*(INC_SPECIALS="Y"))=0,"",'Dvd Calendar'!$Q$454)))</f>
        <v/>
      </c>
      <c r="P52" s="110">
        <f>IF(ER52="","",IF(ISNUMBER('Dvd Calendar'!$R$454)=FALSE,"",IF((('Dvd Calendar'!$R$456=TYPE1)*(TYPE1&lt;&gt;"")+('Dvd Calendar'!$R$456=TYPE2)*(TYPE2&lt;&gt;"")+('Dvd Calendar'!$R$456=TYPE3)*(TYPE3&lt;&gt;"")+('Dvd Calendar'!$R$456=TYPE4)*(TYPE4&lt;&gt;"")+('Dvd Calendar'!$R$456=SPECIAL_LBL)*(INC_SPECIALS="Y"))=0,"",'Dvd Calendar'!$R$454)))</f>
        <v/>
      </c>
      <c r="Q52" s="110">
        <f>IF(ES52="","",IF(ISNUMBER('Dvd Calendar'!$S$454)=FALSE,"",IF((('Dvd Calendar'!$S$456=TYPE1)*(TYPE1&lt;&gt;"")+('Dvd Calendar'!$S$456=TYPE2)*(TYPE2&lt;&gt;"")+('Dvd Calendar'!$S$456=TYPE3)*(TYPE3&lt;&gt;"")+('Dvd Calendar'!$S$456=TYPE4)*(TYPE4&lt;&gt;"")+('Dvd Calendar'!$S$456=SPECIAL_LBL)*(INC_SPECIALS="Y"))=0,"",'Dvd Calendar'!$S$454)))</f>
        <v/>
      </c>
      <c r="R52" s="110">
        <f>IF(ET52="","",IF(ISNUMBER('Dvd Calendar'!$T$454)=FALSE,"",IF((('Dvd Calendar'!$T$456=TYPE1)*(TYPE1&lt;&gt;"")+('Dvd Calendar'!$T$456=TYPE2)*(TYPE2&lt;&gt;"")+('Dvd Calendar'!$T$456=TYPE3)*(TYPE3&lt;&gt;"")+('Dvd Calendar'!$T$456=TYPE4)*(TYPE4&lt;&gt;"")+('Dvd Calendar'!$T$456=SPECIAL_LBL)*(INC_SPECIALS="Y"))=0,"",'Dvd Calendar'!$T$454)))</f>
        <v/>
      </c>
      <c r="S52" s="110">
        <f>IF(EU52="","",IF(ISNUMBER('Dvd Calendar'!$U$454)=FALSE,"",IF((('Dvd Calendar'!$U$456=TYPE1)*(TYPE1&lt;&gt;"")+('Dvd Calendar'!$U$456=TYPE2)*(TYPE2&lt;&gt;"")+('Dvd Calendar'!$U$456=TYPE3)*(TYPE3&lt;&gt;"")+('Dvd Calendar'!$U$456=TYPE4)*(TYPE4&lt;&gt;"")+('Dvd Calendar'!$U$456=SPECIAL_LBL)*(INC_SPECIALS="Y"))=0,"",'Dvd Calendar'!$U$454)))</f>
        <v/>
      </c>
      <c r="T52" s="110">
        <f>IF(EV52="","",IF(ISNUMBER('Dvd Calendar'!$V$454)=FALSE,"",IF((('Dvd Calendar'!$V$456=TYPE1)*(TYPE1&lt;&gt;"")+('Dvd Calendar'!$V$456=TYPE2)*(TYPE2&lt;&gt;"")+('Dvd Calendar'!$V$456=TYPE3)*(TYPE3&lt;&gt;"")+('Dvd Calendar'!$V$456=TYPE4)*(TYPE4&lt;&gt;"")+('Dvd Calendar'!$V$456=SPECIAL_LBL)*(INC_SPECIALS="Y"))=0,"",'Dvd Calendar'!$V$454)))</f>
        <v/>
      </c>
      <c r="U52" s="110">
        <f>IF(EW52="","",IF(ISNUMBER('Dvd Calendar'!$W$454)=FALSE,"",IF((('Dvd Calendar'!$W$456=TYPE1)*(TYPE1&lt;&gt;"")+('Dvd Calendar'!$W$456=TYPE2)*(TYPE2&lt;&gt;"")+('Dvd Calendar'!$W$456=TYPE3)*(TYPE3&lt;&gt;"")+('Dvd Calendar'!$W$456=TYPE4)*(TYPE4&lt;&gt;"")+('Dvd Calendar'!$W$456=SPECIAL_LBL)*(INC_SPECIALS="Y"))=0,"",'Dvd Calendar'!$W$454)))</f>
        <v/>
      </c>
      <c r="V52" s="110">
        <f>IF(EX52="","",IF(ISNUMBER('Dvd Calendar'!$X$454)=FALSE,"",IF((('Dvd Calendar'!$X$456=TYPE1)*(TYPE1&lt;&gt;"")+('Dvd Calendar'!$X$456=TYPE2)*(TYPE2&lt;&gt;"")+('Dvd Calendar'!$X$456=TYPE3)*(TYPE3&lt;&gt;"")+('Dvd Calendar'!$X$456=TYPE4)*(TYPE4&lt;&gt;"")+('Dvd Calendar'!$X$456=SPECIAL_LBL)*(INC_SPECIALS="Y"))=0,"",'Dvd Calendar'!$X$454)))</f>
        <v/>
      </c>
      <c r="W52" s="110">
        <f>IF(EY52="","",IF(ISNUMBER('Dvd Calendar'!$Y$454)=FALSE,"",IF((('Dvd Calendar'!$Y$456=TYPE1)*(TYPE1&lt;&gt;"")+('Dvd Calendar'!$Y$456=TYPE2)*(TYPE2&lt;&gt;"")+('Dvd Calendar'!$Y$456=TYPE3)*(TYPE3&lt;&gt;"")+('Dvd Calendar'!$Y$456=TYPE4)*(TYPE4&lt;&gt;"")+('Dvd Calendar'!$Y$456=SPECIAL_LBL)*(INC_SPECIALS="Y"))=0,"",'Dvd Calendar'!$Y$454)))</f>
        <v/>
      </c>
      <c r="X52" s="110">
        <f>IF(EZ52="","",IF(ISNUMBER('Dvd Calendar'!$Z$454)=FALSE,"",IF((('Dvd Calendar'!$Z$456=TYPE1)*(TYPE1&lt;&gt;"")+('Dvd Calendar'!$Z$456=TYPE2)*(TYPE2&lt;&gt;"")+('Dvd Calendar'!$Z$456=TYPE3)*(TYPE3&lt;&gt;"")+('Dvd Calendar'!$Z$456=TYPE4)*(TYPE4&lt;&gt;"")+('Dvd Calendar'!$Z$456=SPECIAL_LBL)*(INC_SPECIALS="Y"))=0,"",'Dvd Calendar'!$Z$454)))</f>
        <v/>
      </c>
      <c r="Y52" s="110">
        <f>IF(FA52="","",IF(ISNUMBER('Dvd Calendar'!$AA$454)=FALSE,"",IF((('Dvd Calendar'!$AA$456=TYPE1)*(TYPE1&lt;&gt;"")+('Dvd Calendar'!$AA$456=TYPE2)*(TYPE2&lt;&gt;"")+('Dvd Calendar'!$AA$456=TYPE3)*(TYPE3&lt;&gt;"")+('Dvd Calendar'!$AA$456=TYPE4)*(TYPE4&lt;&gt;"")+('Dvd Calendar'!$AA$456=SPECIAL_LBL)*(INC_SPECIALS="Y"))=0,"",'Dvd Calendar'!$AA$454)))</f>
        <v/>
      </c>
      <c r="Z52" s="110">
        <f>IF(FB52="","",IF(ISNUMBER('Dvd Calendar'!$AB$454)=FALSE,"",IF((('Dvd Calendar'!$AB$456=TYPE1)*(TYPE1&lt;&gt;"")+('Dvd Calendar'!$AB$456=TYPE2)*(TYPE2&lt;&gt;"")+('Dvd Calendar'!$AB$456=TYPE3)*(TYPE3&lt;&gt;"")+('Dvd Calendar'!$AB$456=TYPE4)*(TYPE4&lt;&gt;"")+('Dvd Calendar'!$AB$456=SPECIAL_LBL)*(INC_SPECIALS="Y"))=0,"",'Dvd Calendar'!$AB$454)))</f>
        <v/>
      </c>
      <c r="AA52" s="110">
        <f>IF(FC52="","",IF(ISNUMBER('Dvd Calendar'!$AC$454)=FALSE,"",IF((('Dvd Calendar'!$AC$456=TYPE1)*(TYPE1&lt;&gt;"")+('Dvd Calendar'!$AC$456=TYPE2)*(TYPE2&lt;&gt;"")+('Dvd Calendar'!$AC$456=TYPE3)*(TYPE3&lt;&gt;"")+('Dvd Calendar'!$AC$456=TYPE4)*(TYPE4&lt;&gt;"")+('Dvd Calendar'!$AC$456=SPECIAL_LBL)*(INC_SPECIALS="Y"))=0,"",'Dvd Calendar'!$AC$454)))</f>
        <v/>
      </c>
      <c r="AB52" s="110">
        <f>IF(FD52="","",IF(ISNUMBER('Dvd Calendar'!$AD$454)=FALSE,"",IF((('Dvd Calendar'!$AD$456=TYPE1)*(TYPE1&lt;&gt;"")+('Dvd Calendar'!$AD$456=TYPE2)*(TYPE2&lt;&gt;"")+('Dvd Calendar'!$AD$456=TYPE3)*(TYPE3&lt;&gt;"")+('Dvd Calendar'!$AD$456=TYPE4)*(TYPE4&lt;&gt;"")+('Dvd Calendar'!$AD$456=SPECIAL_LBL)*(INC_SPECIALS="Y"))=0,"",'Dvd Calendar'!$AD$454)))</f>
        <v/>
      </c>
      <c r="AC52" s="110">
        <f>IF(FE52="","",IF(ISNUMBER('Dvd Calendar'!$AE$454)=FALSE,"",IF((('Dvd Calendar'!$AE$456=TYPE1)*(TYPE1&lt;&gt;"")+('Dvd Calendar'!$AE$456=TYPE2)*(TYPE2&lt;&gt;"")+('Dvd Calendar'!$AE$456=TYPE3)*(TYPE3&lt;&gt;"")+('Dvd Calendar'!$AE$456=TYPE4)*(TYPE4&lt;&gt;"")+('Dvd Calendar'!$AE$456=SPECIAL_LBL)*(INC_SPECIALS="Y"))=0,"",'Dvd Calendar'!$AE$454)))</f>
        <v/>
      </c>
      <c r="AD52" s="110">
        <f>IF(FF52="","",IF(ISNUMBER('Dvd Calendar'!$AF$454)=FALSE,"",IF((('Dvd Calendar'!$AF$456=TYPE1)*(TYPE1&lt;&gt;"")+('Dvd Calendar'!$AF$456=TYPE2)*(TYPE2&lt;&gt;"")+('Dvd Calendar'!$AF$456=TYPE3)*(TYPE3&lt;&gt;"")+('Dvd Calendar'!$AF$456=TYPE4)*(TYPE4&lt;&gt;"")+('Dvd Calendar'!$AF$456=SPECIAL_LBL)*(INC_SPECIALS="Y"))=0,"",'Dvd Calendar'!$AF$454)))</f>
        <v/>
      </c>
      <c r="AE52" s="110">
        <f>IF(FG52="","",IF(ISNUMBER('Dvd Calendar'!$AG$454)=FALSE,"",IF((('Dvd Calendar'!$AG$456=TYPE1)*(TYPE1&lt;&gt;"")+('Dvd Calendar'!$AG$456=TYPE2)*(TYPE2&lt;&gt;"")+('Dvd Calendar'!$AG$456=TYPE3)*(TYPE3&lt;&gt;"")+('Dvd Calendar'!$AG$456=TYPE4)*(TYPE4&lt;&gt;"")+('Dvd Calendar'!$AG$456=SPECIAL_LBL)*(INC_SPECIALS="Y"))=0,"",'Dvd Calendar'!$AG$454)))</f>
        <v/>
      </c>
      <c r="AF52" s="110">
        <f>IF(FH52="","",IF(ISNUMBER('Dvd Calendar'!$AH$454)=FALSE,"",IF((('Dvd Calendar'!$AH$456=TYPE1)*(TYPE1&lt;&gt;"")+('Dvd Calendar'!$AH$456=TYPE2)*(TYPE2&lt;&gt;"")+('Dvd Calendar'!$AH$456=TYPE3)*(TYPE3&lt;&gt;"")+('Dvd Calendar'!$AH$456=TYPE4)*(TYPE4&lt;&gt;"")+('Dvd Calendar'!$AH$456=SPECIAL_LBL)*(INC_SPECIALS="Y"))=0,"",'Dvd Calendar'!$AH$454)))</f>
        <v/>
      </c>
      <c r="AG52" s="110">
        <f>IF(FI52="","",IF(ISNUMBER('Dvd Calendar'!$AI$454)=FALSE,"",IF((('Dvd Calendar'!$AI$456=TYPE1)*(TYPE1&lt;&gt;"")+('Dvd Calendar'!$AI$456=TYPE2)*(TYPE2&lt;&gt;"")+('Dvd Calendar'!$AI$456=TYPE3)*(TYPE3&lt;&gt;"")+('Dvd Calendar'!$AI$456=TYPE4)*(TYPE4&lt;&gt;"")+('Dvd Calendar'!$AI$456=SPECIAL_LBL)*(INC_SPECIALS="Y"))=0,"",'Dvd Calendar'!$AI$454)))</f>
        <v/>
      </c>
      <c r="AH52" s="110">
        <f>IF(FJ52="","",IF(ISNUMBER('Dvd Calendar'!$AJ$454)=FALSE,"",IF((('Dvd Calendar'!$AJ$456=TYPE1)*(TYPE1&lt;&gt;"")+('Dvd Calendar'!$AJ$456=TYPE2)*(TYPE2&lt;&gt;"")+('Dvd Calendar'!$AJ$456=TYPE3)*(TYPE3&lt;&gt;"")+('Dvd Calendar'!$AJ$456=TYPE4)*(TYPE4&lt;&gt;"")+('Dvd Calendar'!$AJ$456=SPECIAL_LBL)*(INC_SPECIALS="Y"))=0,"",'Dvd Calendar'!$AJ$454)))</f>
        <v/>
      </c>
      <c r="AI52" s="110">
        <f>IF(FK52="","",IF(ISNUMBER('Dvd Calendar'!$AK$454)=FALSE,"",IF((('Dvd Calendar'!$AK$456=TYPE1)*(TYPE1&lt;&gt;"")+('Dvd Calendar'!$AK$456=TYPE2)*(TYPE2&lt;&gt;"")+('Dvd Calendar'!$AK$456=TYPE3)*(TYPE3&lt;&gt;"")+('Dvd Calendar'!$AK$456=TYPE4)*(TYPE4&lt;&gt;"")+('Dvd Calendar'!$AK$456=SPECIAL_LBL)*(INC_SPECIALS="Y"))=0,"",'Dvd Calendar'!$AK$454)))</f>
        <v/>
      </c>
      <c r="AJ52" s="110">
        <f>IF(FL52="","",IF(ISNUMBER('Dvd Calendar'!$AL$454)=FALSE,"",IF((('Dvd Calendar'!$AL$456=TYPE1)*(TYPE1&lt;&gt;"")+('Dvd Calendar'!$AL$456=TYPE2)*(TYPE2&lt;&gt;"")+('Dvd Calendar'!$AL$456=TYPE3)*(TYPE3&lt;&gt;"")+('Dvd Calendar'!$AL$456=TYPE4)*(TYPE4&lt;&gt;"")+('Dvd Calendar'!$AL$456=SPECIAL_LBL)*(INC_SPECIALS="Y"))=0,"",'Dvd Calendar'!$AL$454)))</f>
        <v/>
      </c>
      <c r="AK52" s="110">
        <f>IF(FM52="","",IF(ISNUMBER('Dvd Calendar'!$AM$454)=FALSE,"",IF((('Dvd Calendar'!$AM$456=TYPE1)*(TYPE1&lt;&gt;"")+('Dvd Calendar'!$AM$456=TYPE2)*(TYPE2&lt;&gt;"")+('Dvd Calendar'!$AM$456=TYPE3)*(TYPE3&lt;&gt;"")+('Dvd Calendar'!$AM$456=TYPE4)*(TYPE4&lt;&gt;"")+('Dvd Calendar'!$AM$456=SPECIAL_LBL)*(INC_SPECIALS="Y"))=0,"",'Dvd Calendar'!$AM$454)))</f>
        <v/>
      </c>
      <c r="AL52" s="110">
        <f>IF(FN52="","",IF(ISNUMBER('Dvd Calendar'!$AN$454)=FALSE,"",IF((('Dvd Calendar'!$AN$456=TYPE1)*(TYPE1&lt;&gt;"")+('Dvd Calendar'!$AN$456=TYPE2)*(TYPE2&lt;&gt;"")+('Dvd Calendar'!$AN$456=TYPE3)*(TYPE3&lt;&gt;"")+('Dvd Calendar'!$AN$456=TYPE4)*(TYPE4&lt;&gt;"")+('Dvd Calendar'!$AN$456=SPECIAL_LBL)*(INC_SPECIALS="Y"))=0,"",'Dvd Calendar'!$AN$454)))</f>
        <v/>
      </c>
      <c r="AM52" s="110">
        <f>IF(FO52="","",IF(ISNUMBER('Dvd Calendar'!$AO$454)=FALSE,"",IF((('Dvd Calendar'!$AO$456=TYPE1)*(TYPE1&lt;&gt;"")+('Dvd Calendar'!$AO$456=TYPE2)*(TYPE2&lt;&gt;"")+('Dvd Calendar'!$AO$456=TYPE3)*(TYPE3&lt;&gt;"")+('Dvd Calendar'!$AO$456=TYPE4)*(TYPE4&lt;&gt;"")+('Dvd Calendar'!$AO$456=SPECIAL_LBL)*(INC_SPECIALS="Y"))=0,"",'Dvd Calendar'!$AO$454)))</f>
        <v/>
      </c>
      <c r="AN52" s="110">
        <f>IF(FP52="","",IF(ISNUMBER('Dvd Calendar'!$AP$454)=FALSE,"",IF((('Dvd Calendar'!$AP$456=TYPE1)*(TYPE1&lt;&gt;"")+('Dvd Calendar'!$AP$456=TYPE2)*(TYPE2&lt;&gt;"")+('Dvd Calendar'!$AP$456=TYPE3)*(TYPE3&lt;&gt;"")+('Dvd Calendar'!$AP$456=TYPE4)*(TYPE4&lt;&gt;"")+('Dvd Calendar'!$AP$456=SPECIAL_LBL)*(INC_SPECIALS="Y"))=0,"",'Dvd Calendar'!$AP$454)))</f>
        <v/>
      </c>
      <c r="AO52" s="110">
        <f>IF(FQ52="","",IF(ISNUMBER('Dvd Calendar'!$AQ$454)=FALSE,"",IF((('Dvd Calendar'!$AQ$456=TYPE1)*(TYPE1&lt;&gt;"")+('Dvd Calendar'!$AQ$456=TYPE2)*(TYPE2&lt;&gt;"")+('Dvd Calendar'!$AQ$456=TYPE3)*(TYPE3&lt;&gt;"")+('Dvd Calendar'!$AQ$456=TYPE4)*(TYPE4&lt;&gt;"")+('Dvd Calendar'!$AQ$456=SPECIAL_LBL)*(INC_SPECIALS="Y"))=0,"",'Dvd Calendar'!$AQ$454)))</f>
        <v/>
      </c>
      <c r="AP52" s="110">
        <f>IF(FR52="","",IF(ISNUMBER('Dvd Calendar'!$AR$454)=FALSE,"",IF((('Dvd Calendar'!$AR$456=TYPE1)*(TYPE1&lt;&gt;"")+('Dvd Calendar'!$AR$456=TYPE2)*(TYPE2&lt;&gt;"")+('Dvd Calendar'!$AR$456=TYPE3)*(TYPE3&lt;&gt;"")+('Dvd Calendar'!$AR$456=TYPE4)*(TYPE4&lt;&gt;"")+('Dvd Calendar'!$AR$456=SPECIAL_LBL)*(INC_SPECIALS="Y"))=0,"",'Dvd Calendar'!$AR$454)))</f>
        <v/>
      </c>
      <c r="AQ52" s="110">
        <f>IF(FS52="","",IF(ISNUMBER('Dvd Calendar'!$E$459)=FALSE,"",'Dvd Calendar'!$E$459))</f>
        <v/>
      </c>
      <c r="AR52" s="110">
        <f>IF(FT52="","",IF(ISNUMBER('Dvd Calendar'!$F$459)=FALSE,"",'Dvd Calendar'!$F$459))</f>
        <v/>
      </c>
      <c r="AS52" s="110">
        <f>IF(FU52="","",IF(ISNUMBER('Dvd Calendar'!$G$459)=FALSE,"",'Dvd Calendar'!$G$459))</f>
        <v/>
      </c>
      <c r="AT52" s="110">
        <f>IF(FV52="","",IF(ISNUMBER('Dvd Calendar'!$H$459)=FALSE,"",'Dvd Calendar'!$H$459))</f>
        <v/>
      </c>
      <c r="AU52" s="110">
        <f>IF(FW52="","",IF(ISNUMBER('Dvd Calendar'!$I$459)=FALSE,"",'Dvd Calendar'!$I$459))</f>
        <v/>
      </c>
      <c r="AV52" s="110">
        <f>IF(FX52="","",IF(ISNUMBER('Dvd Calendar'!$J$459)=FALSE,"",'Dvd Calendar'!$J$459))</f>
        <v/>
      </c>
      <c r="AW52" s="110">
        <f>IF(FY52="","",IF(ISNUMBER('Dvd Calendar'!$K$459)=FALSE,"",'Dvd Calendar'!$K$459))</f>
        <v/>
      </c>
      <c r="AX52" s="110">
        <f>IF(FZ52="","",IF(ISNUMBER('Dvd Calendar'!$L$459)=FALSE,"",'Dvd Calendar'!$L$459))</f>
        <v/>
      </c>
      <c r="AY52" s="110">
        <f>IF(GA52="","",IF(ISNUMBER('Dvd Calendar'!$M$459)=FALSE,"",'Dvd Calendar'!$M$459))</f>
        <v/>
      </c>
      <c r="AZ52" s="110">
        <f>IF(GB52="","",IF(ISNUMBER('Dvd Calendar'!$N$459)=FALSE,"",'Dvd Calendar'!$N$459))</f>
        <v/>
      </c>
      <c r="BA52" s="110">
        <f>IF(GC52="","",IF(ISNUMBER('Dvd Calendar'!$O$459)=FALSE,"",'Dvd Calendar'!$O$459))</f>
        <v/>
      </c>
      <c r="BB52" s="110">
        <f>IF(GD52="","",IF(ISNUMBER('Dvd Calendar'!$P$459)=FALSE,"",'Dvd Calendar'!$P$459))</f>
        <v/>
      </c>
      <c r="BC52" s="110">
        <f>IF(GE52="","",IF(ISNUMBER('Dvd Calendar'!$Q$459)=FALSE,"",'Dvd Calendar'!$Q$459))</f>
        <v/>
      </c>
      <c r="BD52" s="110">
        <f>IF(GF52="","",IF(ISNUMBER('Dvd Calendar'!$R$459)=FALSE,"",'Dvd Calendar'!$R$459))</f>
        <v/>
      </c>
      <c r="BE52" s="110">
        <f>IF(GG52="","",IF(ISNUMBER('Dvd Calendar'!$S$459)=FALSE,"",'Dvd Calendar'!$S$459))</f>
        <v/>
      </c>
      <c r="BF52" s="110">
        <f>IF(GH52="","",IF(ISNUMBER('Dvd Calendar'!$T$459)=FALSE,"",'Dvd Calendar'!$T$459))</f>
        <v/>
      </c>
      <c r="BG52" s="110">
        <f>IF(GI52="","",IF(ISNUMBER('Dvd Calendar'!$U$459)=FALSE,"",'Dvd Calendar'!$U$459))</f>
        <v/>
      </c>
      <c r="BH52" s="110">
        <f>IF(GJ52="","",IF(ISNUMBER('Dvd Calendar'!$V$459)=FALSE,"",'Dvd Calendar'!$V$459))</f>
        <v/>
      </c>
      <c r="BI52" s="110">
        <f>IF(GK52="","",IF(ISNUMBER('Dvd Calendar'!$W$459)=FALSE,"",'Dvd Calendar'!$W$459))</f>
        <v/>
      </c>
      <c r="BJ52" s="110">
        <f>IF(GL52="","",IF(ISNUMBER('Dvd Calendar'!$X$459)=FALSE,"",'Dvd Calendar'!$X$459))</f>
        <v/>
      </c>
      <c r="BK52" s="110">
        <f>IF(GM52="","",IF(ISNUMBER('Dvd Calendar'!$Y$459)=FALSE,"",'Dvd Calendar'!$Y$459))</f>
        <v/>
      </c>
      <c r="BL52" s="110">
        <f>IF(GN52="","",IF(ISNUMBER('Dvd Calendar'!$Z$459)=FALSE,"",'Dvd Calendar'!$Z$459))</f>
        <v/>
      </c>
      <c r="BM52" s="110">
        <f>IF(GO52="","",IF(ISNUMBER('Dvd Calendar'!$AA$459)=FALSE,"",'Dvd Calendar'!$AA$459))</f>
        <v/>
      </c>
      <c r="BN52" s="110">
        <f>IF(GP52="","",IF(ISNUMBER('Dvd Calendar'!$AB$459)=FALSE,"",'Dvd Calendar'!$AB$459))</f>
        <v/>
      </c>
      <c r="BO52" s="110">
        <f>IF(GQ52="","",IF(ISNUMBER('Dvd Calendar'!$AC$459)=FALSE,"",'Dvd Calendar'!$AC$459))</f>
        <v/>
      </c>
      <c r="BQ52" s="110">
        <f>IF(C52="","",IFERROR(C52*HSI!$B$47*HSI!$G$47/HSI!$B$3,""))</f>
        <v/>
      </c>
      <c r="BR52" s="110">
        <f>IF(D52="","",IFERROR(D52*HSI!$B$47*HSI!$G$47/HSI!$B$3,""))</f>
        <v/>
      </c>
      <c r="BS52" s="110">
        <f>IF(E52="","",IFERROR(E52*HSI!$B$47*HSI!$G$47/HSI!$B$3,""))</f>
        <v/>
      </c>
      <c r="BT52" s="110">
        <f>IF(F52="","",IFERROR(F52*HSI!$B$47*HSI!$G$47/HSI!$B$3,""))</f>
        <v/>
      </c>
      <c r="BU52" s="110">
        <f>IF(G52="","",IFERROR(G52*HSI!$B$47*HSI!$G$47/HSI!$B$3,""))</f>
        <v/>
      </c>
      <c r="BV52" s="110">
        <f>IF(H52="","",IFERROR(H52*HSI!$B$47*HSI!$G$47/HSI!$B$3,""))</f>
        <v/>
      </c>
      <c r="BW52" s="110">
        <f>IF(I52="","",IFERROR(I52*HSI!$B$47*HSI!$G$47/HSI!$B$3,""))</f>
        <v/>
      </c>
      <c r="BX52" s="110">
        <f>IF(J52="","",IFERROR(J52*HSI!$B$47*HSI!$G$47/HSI!$B$3,""))</f>
        <v/>
      </c>
      <c r="BY52" s="110">
        <f>IF(K52="","",IFERROR(K52*HSI!$B$47*HSI!$G$47/HSI!$B$3,""))</f>
        <v/>
      </c>
      <c r="BZ52" s="110">
        <f>IF(L52="","",IFERROR(L52*HSI!$B$47*HSI!$G$47/HSI!$B$3,""))</f>
        <v/>
      </c>
      <c r="CA52" s="110">
        <f>IF(M52="","",IFERROR(M52*HSI!$B$47*HSI!$G$47/HSI!$B$3,""))</f>
        <v/>
      </c>
      <c r="CB52" s="110">
        <f>IF(N52="","",IFERROR(N52*HSI!$B$47*HSI!$G$47/HSI!$B$3,""))</f>
        <v/>
      </c>
      <c r="CC52" s="110">
        <f>IF(O52="","",IFERROR(O52*HSI!$B$47*HSI!$G$47/HSI!$B$3,""))</f>
        <v/>
      </c>
      <c r="CD52" s="110">
        <f>IF(P52="","",IFERROR(P52*HSI!$B$47*HSI!$G$47/HSI!$B$3,""))</f>
        <v/>
      </c>
      <c r="CE52" s="110">
        <f>IF(Q52="","",IFERROR(Q52*HSI!$B$47*HSI!$G$47/HSI!$B$3,""))</f>
        <v/>
      </c>
      <c r="CF52" s="110">
        <f>IF(R52="","",IFERROR(R52*HSI!$B$47*HSI!$G$47/HSI!$B$3,""))</f>
        <v/>
      </c>
      <c r="CG52" s="110">
        <f>IF(S52="","",IFERROR(S52*HSI!$B$47*HSI!$G$47/HSI!$B$3,""))</f>
        <v/>
      </c>
      <c r="CH52" s="110">
        <f>IF(T52="","",IFERROR(T52*HSI!$B$47*HSI!$G$47/HSI!$B$3,""))</f>
        <v/>
      </c>
      <c r="CI52" s="110">
        <f>IF(U52="","",IFERROR(U52*HSI!$B$47*HSI!$G$47/HSI!$B$3,""))</f>
        <v/>
      </c>
      <c r="CJ52" s="110">
        <f>IF(V52="","",IFERROR(V52*HSI!$B$47*HSI!$G$47/HSI!$B$3,""))</f>
        <v/>
      </c>
      <c r="CK52" s="110">
        <f>IF(W52="","",IFERROR(W52*HSI!$B$47*HSI!$G$47/HSI!$B$3,""))</f>
        <v/>
      </c>
      <c r="CL52" s="110">
        <f>IF(X52="","",IFERROR(X52*HSI!$B$47*HSI!$G$47/HSI!$B$3,""))</f>
        <v/>
      </c>
      <c r="CM52" s="110">
        <f>IF(Y52="","",IFERROR(Y52*HSI!$B$47*HSI!$G$47/HSI!$B$3,""))</f>
        <v/>
      </c>
      <c r="CN52" s="110">
        <f>IF(Z52="","",IFERROR(Z52*HSI!$B$47*HSI!$G$47/HSI!$B$3,""))</f>
        <v/>
      </c>
      <c r="CO52" s="110">
        <f>IF(AA52="","",IFERROR(AA52*HSI!$B$47*HSI!$G$47/HSI!$B$3,""))</f>
        <v/>
      </c>
      <c r="CP52" s="110">
        <f>IF(AB52="","",IFERROR(AB52*HSI!$B$47*HSI!$G$47/HSI!$B$3,""))</f>
        <v/>
      </c>
      <c r="CQ52" s="110">
        <f>IF(AC52="","",IFERROR(AC52*HSI!$B$47*HSI!$G$47/HSI!$B$3,""))</f>
        <v/>
      </c>
      <c r="CR52" s="110">
        <f>IF(AD52="","",IFERROR(AD52*HSI!$B$47*HSI!$G$47/HSI!$B$3,""))</f>
        <v/>
      </c>
      <c r="CS52" s="110">
        <f>IF(AE52="","",IFERROR(AE52*HSI!$B$47*HSI!$G$47/HSI!$B$3,""))</f>
        <v/>
      </c>
      <c r="CT52" s="110">
        <f>IF(AF52="","",IFERROR(AF52*HSI!$B$47*HSI!$G$47/HSI!$B$3,""))</f>
        <v/>
      </c>
      <c r="CU52" s="110">
        <f>IF(AG52="","",IFERROR(AG52*HSI!$B$47*HSI!$G$47/HSI!$B$3,""))</f>
        <v/>
      </c>
      <c r="CV52" s="110">
        <f>IF(AH52="","",IFERROR(AH52*HSI!$B$47*HSI!$G$47/HSI!$B$3,""))</f>
        <v/>
      </c>
      <c r="CW52" s="110">
        <f>IF(AI52="","",IFERROR(AI52*HSI!$B$47*HSI!$G$47/HSI!$B$3,""))</f>
        <v/>
      </c>
      <c r="CX52" s="110">
        <f>IF(AJ52="","",IFERROR(AJ52*HSI!$B$47*HSI!$G$47/HSI!$B$3,""))</f>
        <v/>
      </c>
      <c r="CY52" s="110">
        <f>IF(AK52="","",IFERROR(AK52*HSI!$B$47*HSI!$G$47/HSI!$B$3,""))</f>
        <v/>
      </c>
      <c r="CZ52" s="110">
        <f>IF(AL52="","",IFERROR(AL52*HSI!$B$47*HSI!$G$47/HSI!$B$3,""))</f>
        <v/>
      </c>
      <c r="DA52" s="110">
        <f>IF(AM52="","",IFERROR(AM52*HSI!$B$47*HSI!$G$47/HSI!$B$3,""))</f>
        <v/>
      </c>
      <c r="DB52" s="110">
        <f>IF(AN52="","",IFERROR(AN52*HSI!$B$47*HSI!$G$47/HSI!$B$3,""))</f>
        <v/>
      </c>
      <c r="DC52" s="110">
        <f>IF(AO52="","",IFERROR(AO52*HSI!$B$47*HSI!$G$47/HSI!$B$3,""))</f>
        <v/>
      </c>
      <c r="DD52" s="110">
        <f>IF(AP52="","",IFERROR(AP52*HSI!$B$47*HSI!$G$47/HSI!$B$3,""))</f>
        <v/>
      </c>
      <c r="DE52" s="110">
        <f>IF(AQ52="","",IFERROR(AQ52*HSI!$B$47*HSI!$G$47/HSI!$B$3,""))</f>
        <v/>
      </c>
      <c r="DF52" s="110">
        <f>IF(AR52="","",IFERROR(AR52*HSI!$B$47*HSI!$G$47/HSI!$B$3,""))</f>
        <v/>
      </c>
      <c r="DG52" s="110">
        <f>IF(AS52="","",IFERROR(AS52*HSI!$B$47*HSI!$G$47/HSI!$B$3,""))</f>
        <v/>
      </c>
      <c r="DH52" s="110">
        <f>IF(AT52="","",IFERROR(AT52*HSI!$B$47*HSI!$G$47/HSI!$B$3,""))</f>
        <v/>
      </c>
      <c r="DI52" s="110">
        <f>IF(AU52="","",IFERROR(AU52*HSI!$B$47*HSI!$G$47/HSI!$B$3,""))</f>
        <v/>
      </c>
      <c r="DJ52" s="110">
        <f>IF(AV52="","",IFERROR(AV52*HSI!$B$47*HSI!$G$47/HSI!$B$3,""))</f>
        <v/>
      </c>
      <c r="DK52" s="110">
        <f>IF(AW52="","",IFERROR(AW52*HSI!$B$47*HSI!$G$47/HSI!$B$3,""))</f>
        <v/>
      </c>
      <c r="DL52" s="110">
        <f>IF(AX52="","",IFERROR(AX52*HSI!$B$47*HSI!$G$47/HSI!$B$3,""))</f>
        <v/>
      </c>
      <c r="DM52" s="110">
        <f>IF(AY52="","",IFERROR(AY52*HSI!$B$47*HSI!$G$47/HSI!$B$3,""))</f>
        <v/>
      </c>
      <c r="DN52" s="110">
        <f>IF(AZ52="","",IFERROR(AZ52*HSI!$B$47*HSI!$G$47/HSI!$B$3,""))</f>
        <v/>
      </c>
      <c r="DO52" s="110">
        <f>IF(BA52="","",IFERROR(BA52*HSI!$B$47*HSI!$G$47/HSI!$B$3,""))</f>
        <v/>
      </c>
      <c r="DP52" s="110">
        <f>IF(BB52="","",IFERROR(BB52*HSI!$B$47*HSI!$G$47/HSI!$B$3,""))</f>
        <v/>
      </c>
      <c r="DQ52" s="110">
        <f>IF(BC52="","",IFERROR(BC52*HSI!$B$47*HSI!$G$47/HSI!$B$3,""))</f>
        <v/>
      </c>
      <c r="DR52" s="110">
        <f>IF(BD52="","",IFERROR(BD52*HSI!$B$47*HSI!$G$47/HSI!$B$3,""))</f>
        <v/>
      </c>
      <c r="DS52" s="110">
        <f>IF(BE52="","",IFERROR(BE52*HSI!$B$47*HSI!$G$47/HSI!$B$3,""))</f>
        <v/>
      </c>
      <c r="DT52" s="110">
        <f>IF(BF52="","",IFERROR(BF52*HSI!$B$47*HSI!$G$47/HSI!$B$3,""))</f>
        <v/>
      </c>
      <c r="DU52" s="110">
        <f>IF(BG52="","",IFERROR(BG52*HSI!$B$47*HSI!$G$47/HSI!$B$3,""))</f>
        <v/>
      </c>
      <c r="DV52" s="110">
        <f>IF(BH52="","",IFERROR(BH52*HSI!$B$47*HSI!$G$47/HSI!$B$3,""))</f>
        <v/>
      </c>
      <c r="DW52" s="110">
        <f>IF(BI52="","",IFERROR(BI52*HSI!$B$47*HSI!$G$47/HSI!$B$3,""))</f>
        <v/>
      </c>
      <c r="DX52" s="110">
        <f>IF(BJ52="","",IFERROR(BJ52*HSI!$B$47*HSI!$G$47/HSI!$B$3,""))</f>
        <v/>
      </c>
      <c r="DY52" s="110">
        <f>IF(BK52="","",IFERROR(BK52*HSI!$B$47*HSI!$G$47/HSI!$B$3,""))</f>
        <v/>
      </c>
      <c r="DZ52" s="110">
        <f>IF(BL52="","",IFERROR(BL52*HSI!$B$47*HSI!$G$47/HSI!$B$3,""))</f>
        <v/>
      </c>
      <c r="EA52" s="110">
        <f>IF(BM52="","",IFERROR(BM52*HSI!$B$47*HSI!$G$47/HSI!$B$3,""))</f>
        <v/>
      </c>
      <c r="EB52" s="110">
        <f>IF(BN52="","",IFERROR(BN52*HSI!$B$47*HSI!$G$47/HSI!$B$3,""))</f>
        <v/>
      </c>
      <c r="EC52" s="110">
        <f>IF(BO52="","",IFERROR(BO52*HSI!$B$47*HSI!$G$47/HSI!$B$3,""))</f>
        <v/>
      </c>
      <c r="EE52" s="39">
        <f>IF(N('Dvd Calendar'!$E$451)=0,"",IF(('Dvd Calendar'!$E$451&gt;=GRID_FROM)*('Dvd Calendar'!$E$451&lt;=GRID_TO)*((('Dvd Calendar'!$E$451&lt;=VAL_DATE)+(COUNTIF('Dvd Calendar'!$E$458:$AR$458,'Dvd Calendar'!$E$451)=0))&gt;0)=0,"",'Dvd Calendar'!$E$451*1000000000+ISNUMBER('Dvd Calendar'!$E$454)*100000000+('Dvd Calendar'!$E$456=SPECIAL_LBL)*10000000+(N('Dvd Calendar'!$E$450)&gt;0)*(N('Dvd Calendar'!$E$450)&lt;=VAL_SERIAL)*1000000+41*1000+1))</f>
        <v/>
      </c>
      <c r="EF52" s="39">
        <f>IF(N('Dvd Calendar'!$F$451)=0,"",IF(('Dvd Calendar'!$F$451&gt;=GRID_FROM)*('Dvd Calendar'!$F$451&lt;=GRID_TO)*((('Dvd Calendar'!$F$451&lt;=VAL_DATE)+(COUNTIF('Dvd Calendar'!$E$458:$AR$458,'Dvd Calendar'!$F$451)=0))&gt;0)=0,"",'Dvd Calendar'!$F$451*1000000000+ISNUMBER('Dvd Calendar'!$F$454)*100000000+('Dvd Calendar'!$F$456=SPECIAL_LBL)*10000000+(N('Dvd Calendar'!$F$450)&gt;0)*(N('Dvd Calendar'!$F$450)&lt;=VAL_SERIAL)*1000000+41*1000+2))</f>
        <v/>
      </c>
      <c r="EG52" s="39">
        <f>IF(N('Dvd Calendar'!$G$451)=0,"",IF(('Dvd Calendar'!$G$451&gt;=GRID_FROM)*('Dvd Calendar'!$G$451&lt;=GRID_TO)*((('Dvd Calendar'!$G$451&lt;=VAL_DATE)+(COUNTIF('Dvd Calendar'!$E$458:$AR$458,'Dvd Calendar'!$G$451)=0))&gt;0)=0,"",'Dvd Calendar'!$G$451*1000000000+ISNUMBER('Dvd Calendar'!$G$454)*100000000+('Dvd Calendar'!$G$456=SPECIAL_LBL)*10000000+(N('Dvd Calendar'!$G$450)&gt;0)*(N('Dvd Calendar'!$G$450)&lt;=VAL_SERIAL)*1000000+41*1000+3))</f>
        <v/>
      </c>
      <c r="EH52" s="39">
        <f>IF(N('Dvd Calendar'!$H$451)=0,"",IF(('Dvd Calendar'!$H$451&gt;=GRID_FROM)*('Dvd Calendar'!$H$451&lt;=GRID_TO)*((('Dvd Calendar'!$H$451&lt;=VAL_DATE)+(COUNTIF('Dvd Calendar'!$E$458:$AR$458,'Dvd Calendar'!$H$451)=0))&gt;0)=0,"",'Dvd Calendar'!$H$451*1000000000+ISNUMBER('Dvd Calendar'!$H$454)*100000000+('Dvd Calendar'!$H$456=SPECIAL_LBL)*10000000+(N('Dvd Calendar'!$H$450)&gt;0)*(N('Dvd Calendar'!$H$450)&lt;=VAL_SERIAL)*1000000+41*1000+4))</f>
        <v/>
      </c>
      <c r="EI52" s="39">
        <f>IF(N('Dvd Calendar'!$I$451)=0,"",IF(('Dvd Calendar'!$I$451&gt;=GRID_FROM)*('Dvd Calendar'!$I$451&lt;=GRID_TO)*((('Dvd Calendar'!$I$451&lt;=VAL_DATE)+(COUNTIF('Dvd Calendar'!$E$458:$AR$458,'Dvd Calendar'!$I$451)=0))&gt;0)=0,"",'Dvd Calendar'!$I$451*1000000000+ISNUMBER('Dvd Calendar'!$I$454)*100000000+('Dvd Calendar'!$I$456=SPECIAL_LBL)*10000000+(N('Dvd Calendar'!$I$450)&gt;0)*(N('Dvd Calendar'!$I$450)&lt;=VAL_SERIAL)*1000000+41*1000+5))</f>
        <v/>
      </c>
      <c r="EJ52" s="39">
        <f>IF(N('Dvd Calendar'!$J$451)=0,"",IF(('Dvd Calendar'!$J$451&gt;=GRID_FROM)*('Dvd Calendar'!$J$451&lt;=GRID_TO)*((('Dvd Calendar'!$J$451&lt;=VAL_DATE)+(COUNTIF('Dvd Calendar'!$E$458:$AR$458,'Dvd Calendar'!$J$451)=0))&gt;0)=0,"",'Dvd Calendar'!$J$451*1000000000+ISNUMBER('Dvd Calendar'!$J$454)*100000000+('Dvd Calendar'!$J$456=SPECIAL_LBL)*10000000+(N('Dvd Calendar'!$J$450)&gt;0)*(N('Dvd Calendar'!$J$450)&lt;=VAL_SERIAL)*1000000+41*1000+6))</f>
        <v/>
      </c>
      <c r="EK52" s="39">
        <f>IF(N('Dvd Calendar'!$K$451)=0,"",IF(('Dvd Calendar'!$K$451&gt;=GRID_FROM)*('Dvd Calendar'!$K$451&lt;=GRID_TO)*((('Dvd Calendar'!$K$451&lt;=VAL_DATE)+(COUNTIF('Dvd Calendar'!$E$458:$AR$458,'Dvd Calendar'!$K$451)=0))&gt;0)=0,"",'Dvd Calendar'!$K$451*1000000000+ISNUMBER('Dvd Calendar'!$K$454)*100000000+('Dvd Calendar'!$K$456=SPECIAL_LBL)*10000000+(N('Dvd Calendar'!$K$450)&gt;0)*(N('Dvd Calendar'!$K$450)&lt;=VAL_SERIAL)*1000000+41*1000+7))</f>
        <v/>
      </c>
      <c r="EL52" s="39">
        <f>IF(N('Dvd Calendar'!$L$451)=0,"",IF(('Dvd Calendar'!$L$451&gt;=GRID_FROM)*('Dvd Calendar'!$L$451&lt;=GRID_TO)*((('Dvd Calendar'!$L$451&lt;=VAL_DATE)+(COUNTIF('Dvd Calendar'!$E$458:$AR$458,'Dvd Calendar'!$L$451)=0))&gt;0)=0,"",'Dvd Calendar'!$L$451*1000000000+ISNUMBER('Dvd Calendar'!$L$454)*100000000+('Dvd Calendar'!$L$456=SPECIAL_LBL)*10000000+(N('Dvd Calendar'!$L$450)&gt;0)*(N('Dvd Calendar'!$L$450)&lt;=VAL_SERIAL)*1000000+41*1000+8))</f>
        <v/>
      </c>
      <c r="EM52" s="39">
        <f>IF(N('Dvd Calendar'!$M$451)=0,"",IF(('Dvd Calendar'!$M$451&gt;=GRID_FROM)*('Dvd Calendar'!$M$451&lt;=GRID_TO)*((('Dvd Calendar'!$M$451&lt;=VAL_DATE)+(COUNTIF('Dvd Calendar'!$E$458:$AR$458,'Dvd Calendar'!$M$451)=0))&gt;0)=0,"",'Dvd Calendar'!$M$451*1000000000+ISNUMBER('Dvd Calendar'!$M$454)*100000000+('Dvd Calendar'!$M$456=SPECIAL_LBL)*10000000+(N('Dvd Calendar'!$M$450)&gt;0)*(N('Dvd Calendar'!$M$450)&lt;=VAL_SERIAL)*1000000+41*1000+9))</f>
        <v/>
      </c>
      <c r="EN52" s="39">
        <f>IF(N('Dvd Calendar'!$N$451)=0,"",IF(('Dvd Calendar'!$N$451&gt;=GRID_FROM)*('Dvd Calendar'!$N$451&lt;=GRID_TO)*((('Dvd Calendar'!$N$451&lt;=VAL_DATE)+(COUNTIF('Dvd Calendar'!$E$458:$AR$458,'Dvd Calendar'!$N$451)=0))&gt;0)=0,"",'Dvd Calendar'!$N$451*1000000000+ISNUMBER('Dvd Calendar'!$N$454)*100000000+('Dvd Calendar'!$N$456=SPECIAL_LBL)*10000000+(N('Dvd Calendar'!$N$450)&gt;0)*(N('Dvd Calendar'!$N$450)&lt;=VAL_SERIAL)*1000000+41*1000+10))</f>
        <v/>
      </c>
      <c r="EO52" s="39">
        <f>IF(N('Dvd Calendar'!$O$451)=0,"",IF(('Dvd Calendar'!$O$451&gt;=GRID_FROM)*('Dvd Calendar'!$O$451&lt;=GRID_TO)*((('Dvd Calendar'!$O$451&lt;=VAL_DATE)+(COUNTIF('Dvd Calendar'!$E$458:$AR$458,'Dvd Calendar'!$O$451)=0))&gt;0)=0,"",'Dvd Calendar'!$O$451*1000000000+ISNUMBER('Dvd Calendar'!$O$454)*100000000+('Dvd Calendar'!$O$456=SPECIAL_LBL)*10000000+(N('Dvd Calendar'!$O$450)&gt;0)*(N('Dvd Calendar'!$O$450)&lt;=VAL_SERIAL)*1000000+41*1000+11))</f>
        <v/>
      </c>
      <c r="EP52" s="39">
        <f>IF(N('Dvd Calendar'!$P$451)=0,"",IF(('Dvd Calendar'!$P$451&gt;=GRID_FROM)*('Dvd Calendar'!$P$451&lt;=GRID_TO)*((('Dvd Calendar'!$P$451&lt;=VAL_DATE)+(COUNTIF('Dvd Calendar'!$E$458:$AR$458,'Dvd Calendar'!$P$451)=0))&gt;0)=0,"",'Dvd Calendar'!$P$451*1000000000+ISNUMBER('Dvd Calendar'!$P$454)*100000000+('Dvd Calendar'!$P$456=SPECIAL_LBL)*10000000+(N('Dvd Calendar'!$P$450)&gt;0)*(N('Dvd Calendar'!$P$450)&lt;=VAL_SERIAL)*1000000+41*1000+12))</f>
        <v/>
      </c>
      <c r="EQ52" s="39">
        <f>IF(N('Dvd Calendar'!$Q$451)=0,"",IF(('Dvd Calendar'!$Q$451&gt;=GRID_FROM)*('Dvd Calendar'!$Q$451&lt;=GRID_TO)*((('Dvd Calendar'!$Q$451&lt;=VAL_DATE)+(COUNTIF('Dvd Calendar'!$E$458:$AR$458,'Dvd Calendar'!$Q$451)=0))&gt;0)=0,"",'Dvd Calendar'!$Q$451*1000000000+ISNUMBER('Dvd Calendar'!$Q$454)*100000000+('Dvd Calendar'!$Q$456=SPECIAL_LBL)*10000000+(N('Dvd Calendar'!$Q$450)&gt;0)*(N('Dvd Calendar'!$Q$450)&lt;=VAL_SERIAL)*1000000+41*1000+13))</f>
        <v/>
      </c>
      <c r="ER52" s="39">
        <f>IF(N('Dvd Calendar'!$R$451)=0,"",IF(('Dvd Calendar'!$R$451&gt;=GRID_FROM)*('Dvd Calendar'!$R$451&lt;=GRID_TO)*((('Dvd Calendar'!$R$451&lt;=VAL_DATE)+(COUNTIF('Dvd Calendar'!$E$458:$AR$458,'Dvd Calendar'!$R$451)=0))&gt;0)=0,"",'Dvd Calendar'!$R$451*1000000000+ISNUMBER('Dvd Calendar'!$R$454)*100000000+('Dvd Calendar'!$R$456=SPECIAL_LBL)*10000000+(N('Dvd Calendar'!$R$450)&gt;0)*(N('Dvd Calendar'!$R$450)&lt;=VAL_SERIAL)*1000000+41*1000+14))</f>
        <v/>
      </c>
      <c r="ES52" s="39">
        <f>IF(N('Dvd Calendar'!$S$451)=0,"",IF(('Dvd Calendar'!$S$451&gt;=GRID_FROM)*('Dvd Calendar'!$S$451&lt;=GRID_TO)*((('Dvd Calendar'!$S$451&lt;=VAL_DATE)+(COUNTIF('Dvd Calendar'!$E$458:$AR$458,'Dvd Calendar'!$S$451)=0))&gt;0)=0,"",'Dvd Calendar'!$S$451*1000000000+ISNUMBER('Dvd Calendar'!$S$454)*100000000+('Dvd Calendar'!$S$456=SPECIAL_LBL)*10000000+(N('Dvd Calendar'!$S$450)&gt;0)*(N('Dvd Calendar'!$S$450)&lt;=VAL_SERIAL)*1000000+41*1000+15))</f>
        <v/>
      </c>
      <c r="ET52" s="39">
        <f>IF(N('Dvd Calendar'!$T$451)=0,"",IF(('Dvd Calendar'!$T$451&gt;=GRID_FROM)*('Dvd Calendar'!$T$451&lt;=GRID_TO)*((('Dvd Calendar'!$T$451&lt;=VAL_DATE)+(COUNTIF('Dvd Calendar'!$E$458:$AR$458,'Dvd Calendar'!$T$451)=0))&gt;0)=0,"",'Dvd Calendar'!$T$451*1000000000+ISNUMBER('Dvd Calendar'!$T$454)*100000000+('Dvd Calendar'!$T$456=SPECIAL_LBL)*10000000+(N('Dvd Calendar'!$T$450)&gt;0)*(N('Dvd Calendar'!$T$450)&lt;=VAL_SERIAL)*1000000+41*1000+16))</f>
        <v/>
      </c>
      <c r="EU52" s="39">
        <f>IF(N('Dvd Calendar'!$U$451)=0,"",IF(('Dvd Calendar'!$U$451&gt;=GRID_FROM)*('Dvd Calendar'!$U$451&lt;=GRID_TO)*((('Dvd Calendar'!$U$451&lt;=VAL_DATE)+(COUNTIF('Dvd Calendar'!$E$458:$AR$458,'Dvd Calendar'!$U$451)=0))&gt;0)=0,"",'Dvd Calendar'!$U$451*1000000000+ISNUMBER('Dvd Calendar'!$U$454)*100000000+('Dvd Calendar'!$U$456=SPECIAL_LBL)*10000000+(N('Dvd Calendar'!$U$450)&gt;0)*(N('Dvd Calendar'!$U$450)&lt;=VAL_SERIAL)*1000000+41*1000+17))</f>
        <v/>
      </c>
      <c r="EV52" s="39">
        <f>IF(N('Dvd Calendar'!$V$451)=0,"",IF(('Dvd Calendar'!$V$451&gt;=GRID_FROM)*('Dvd Calendar'!$V$451&lt;=GRID_TO)*((('Dvd Calendar'!$V$451&lt;=VAL_DATE)+(COUNTIF('Dvd Calendar'!$E$458:$AR$458,'Dvd Calendar'!$V$451)=0))&gt;0)=0,"",'Dvd Calendar'!$V$451*1000000000+ISNUMBER('Dvd Calendar'!$V$454)*100000000+('Dvd Calendar'!$V$456=SPECIAL_LBL)*10000000+(N('Dvd Calendar'!$V$450)&gt;0)*(N('Dvd Calendar'!$V$450)&lt;=VAL_SERIAL)*1000000+41*1000+18))</f>
        <v/>
      </c>
      <c r="EW52" s="39">
        <f>IF(N('Dvd Calendar'!$W$451)=0,"",IF(('Dvd Calendar'!$W$451&gt;=GRID_FROM)*('Dvd Calendar'!$W$451&lt;=GRID_TO)*((('Dvd Calendar'!$W$451&lt;=VAL_DATE)+(COUNTIF('Dvd Calendar'!$E$458:$AR$458,'Dvd Calendar'!$W$451)=0))&gt;0)=0,"",'Dvd Calendar'!$W$451*1000000000+ISNUMBER('Dvd Calendar'!$W$454)*100000000+('Dvd Calendar'!$W$456=SPECIAL_LBL)*10000000+(N('Dvd Calendar'!$W$450)&gt;0)*(N('Dvd Calendar'!$W$450)&lt;=VAL_SERIAL)*1000000+41*1000+19))</f>
        <v/>
      </c>
      <c r="EX52" s="39">
        <f>IF(N('Dvd Calendar'!$X$451)=0,"",IF(('Dvd Calendar'!$X$451&gt;=GRID_FROM)*('Dvd Calendar'!$X$451&lt;=GRID_TO)*((('Dvd Calendar'!$X$451&lt;=VAL_DATE)+(COUNTIF('Dvd Calendar'!$E$458:$AR$458,'Dvd Calendar'!$X$451)=0))&gt;0)=0,"",'Dvd Calendar'!$X$451*1000000000+ISNUMBER('Dvd Calendar'!$X$454)*100000000+('Dvd Calendar'!$X$456=SPECIAL_LBL)*10000000+(N('Dvd Calendar'!$X$450)&gt;0)*(N('Dvd Calendar'!$X$450)&lt;=VAL_SERIAL)*1000000+41*1000+20))</f>
        <v/>
      </c>
      <c r="EY52" s="39">
        <f>IF(N('Dvd Calendar'!$Y$451)=0,"",IF(('Dvd Calendar'!$Y$451&gt;=GRID_FROM)*('Dvd Calendar'!$Y$451&lt;=GRID_TO)*((('Dvd Calendar'!$Y$451&lt;=VAL_DATE)+(COUNTIF('Dvd Calendar'!$E$458:$AR$458,'Dvd Calendar'!$Y$451)=0))&gt;0)=0,"",'Dvd Calendar'!$Y$451*1000000000+ISNUMBER('Dvd Calendar'!$Y$454)*100000000+('Dvd Calendar'!$Y$456=SPECIAL_LBL)*10000000+(N('Dvd Calendar'!$Y$450)&gt;0)*(N('Dvd Calendar'!$Y$450)&lt;=VAL_SERIAL)*1000000+41*1000+21))</f>
        <v/>
      </c>
      <c r="EZ52" s="39">
        <f>IF(N('Dvd Calendar'!$Z$451)=0,"",IF(('Dvd Calendar'!$Z$451&gt;=GRID_FROM)*('Dvd Calendar'!$Z$451&lt;=GRID_TO)*((('Dvd Calendar'!$Z$451&lt;=VAL_DATE)+(COUNTIF('Dvd Calendar'!$E$458:$AR$458,'Dvd Calendar'!$Z$451)=0))&gt;0)=0,"",'Dvd Calendar'!$Z$451*1000000000+ISNUMBER('Dvd Calendar'!$Z$454)*100000000+('Dvd Calendar'!$Z$456=SPECIAL_LBL)*10000000+(N('Dvd Calendar'!$Z$450)&gt;0)*(N('Dvd Calendar'!$Z$450)&lt;=VAL_SERIAL)*1000000+41*1000+22))</f>
        <v/>
      </c>
      <c r="FA52" s="39">
        <f>IF(N('Dvd Calendar'!$AA$451)=0,"",IF(('Dvd Calendar'!$AA$451&gt;=GRID_FROM)*('Dvd Calendar'!$AA$451&lt;=GRID_TO)*((('Dvd Calendar'!$AA$451&lt;=VAL_DATE)+(COUNTIF('Dvd Calendar'!$E$458:$AR$458,'Dvd Calendar'!$AA$451)=0))&gt;0)=0,"",'Dvd Calendar'!$AA$451*1000000000+ISNUMBER('Dvd Calendar'!$AA$454)*100000000+('Dvd Calendar'!$AA$456=SPECIAL_LBL)*10000000+(N('Dvd Calendar'!$AA$450)&gt;0)*(N('Dvd Calendar'!$AA$450)&lt;=VAL_SERIAL)*1000000+41*1000+23))</f>
        <v/>
      </c>
      <c r="FB52" s="39">
        <f>IF(N('Dvd Calendar'!$AB$451)=0,"",IF(('Dvd Calendar'!$AB$451&gt;=GRID_FROM)*('Dvd Calendar'!$AB$451&lt;=GRID_TO)*((('Dvd Calendar'!$AB$451&lt;=VAL_DATE)+(COUNTIF('Dvd Calendar'!$E$458:$AR$458,'Dvd Calendar'!$AB$451)=0))&gt;0)=0,"",'Dvd Calendar'!$AB$451*1000000000+ISNUMBER('Dvd Calendar'!$AB$454)*100000000+('Dvd Calendar'!$AB$456=SPECIAL_LBL)*10000000+(N('Dvd Calendar'!$AB$450)&gt;0)*(N('Dvd Calendar'!$AB$450)&lt;=VAL_SERIAL)*1000000+41*1000+24))</f>
        <v/>
      </c>
      <c r="FC52" s="39">
        <f>IF(N('Dvd Calendar'!$AC$451)=0,"",IF(('Dvd Calendar'!$AC$451&gt;=GRID_FROM)*('Dvd Calendar'!$AC$451&lt;=GRID_TO)*((('Dvd Calendar'!$AC$451&lt;=VAL_DATE)+(COUNTIF('Dvd Calendar'!$E$458:$AR$458,'Dvd Calendar'!$AC$451)=0))&gt;0)=0,"",'Dvd Calendar'!$AC$451*1000000000+ISNUMBER('Dvd Calendar'!$AC$454)*100000000+('Dvd Calendar'!$AC$456=SPECIAL_LBL)*10000000+(N('Dvd Calendar'!$AC$450)&gt;0)*(N('Dvd Calendar'!$AC$450)&lt;=VAL_SERIAL)*1000000+41*1000+25))</f>
        <v/>
      </c>
      <c r="FD52" s="39">
        <f>IF(N('Dvd Calendar'!$AD$451)=0,"",IF(('Dvd Calendar'!$AD$451&gt;=GRID_FROM)*('Dvd Calendar'!$AD$451&lt;=GRID_TO)*((('Dvd Calendar'!$AD$451&lt;=VAL_DATE)+(COUNTIF('Dvd Calendar'!$E$458:$AR$458,'Dvd Calendar'!$AD$451)=0))&gt;0)=0,"",'Dvd Calendar'!$AD$451*1000000000+ISNUMBER('Dvd Calendar'!$AD$454)*100000000+('Dvd Calendar'!$AD$456=SPECIAL_LBL)*10000000+(N('Dvd Calendar'!$AD$450)&gt;0)*(N('Dvd Calendar'!$AD$450)&lt;=VAL_SERIAL)*1000000+41*1000+26))</f>
        <v/>
      </c>
      <c r="FE52" s="39">
        <f>IF(N('Dvd Calendar'!$AE$451)=0,"",IF(('Dvd Calendar'!$AE$451&gt;=GRID_FROM)*('Dvd Calendar'!$AE$451&lt;=GRID_TO)*((('Dvd Calendar'!$AE$451&lt;=VAL_DATE)+(COUNTIF('Dvd Calendar'!$E$458:$AR$458,'Dvd Calendar'!$AE$451)=0))&gt;0)=0,"",'Dvd Calendar'!$AE$451*1000000000+ISNUMBER('Dvd Calendar'!$AE$454)*100000000+('Dvd Calendar'!$AE$456=SPECIAL_LBL)*10000000+(N('Dvd Calendar'!$AE$450)&gt;0)*(N('Dvd Calendar'!$AE$450)&lt;=VAL_SERIAL)*1000000+41*1000+27))</f>
        <v/>
      </c>
      <c r="FF52" s="39">
        <f>IF(N('Dvd Calendar'!$AF$451)=0,"",IF(('Dvd Calendar'!$AF$451&gt;=GRID_FROM)*('Dvd Calendar'!$AF$451&lt;=GRID_TO)*((('Dvd Calendar'!$AF$451&lt;=VAL_DATE)+(COUNTIF('Dvd Calendar'!$E$458:$AR$458,'Dvd Calendar'!$AF$451)=0))&gt;0)=0,"",'Dvd Calendar'!$AF$451*1000000000+ISNUMBER('Dvd Calendar'!$AF$454)*100000000+('Dvd Calendar'!$AF$456=SPECIAL_LBL)*10000000+(N('Dvd Calendar'!$AF$450)&gt;0)*(N('Dvd Calendar'!$AF$450)&lt;=VAL_SERIAL)*1000000+41*1000+28))</f>
        <v/>
      </c>
      <c r="FG52" s="39">
        <f>IF(N('Dvd Calendar'!$AG$451)=0,"",IF(('Dvd Calendar'!$AG$451&gt;=GRID_FROM)*('Dvd Calendar'!$AG$451&lt;=GRID_TO)*((('Dvd Calendar'!$AG$451&lt;=VAL_DATE)+(COUNTIF('Dvd Calendar'!$E$458:$AR$458,'Dvd Calendar'!$AG$451)=0))&gt;0)=0,"",'Dvd Calendar'!$AG$451*1000000000+ISNUMBER('Dvd Calendar'!$AG$454)*100000000+('Dvd Calendar'!$AG$456=SPECIAL_LBL)*10000000+(N('Dvd Calendar'!$AG$450)&gt;0)*(N('Dvd Calendar'!$AG$450)&lt;=VAL_SERIAL)*1000000+41*1000+29))</f>
        <v/>
      </c>
      <c r="FH52" s="39">
        <f>IF(N('Dvd Calendar'!$AH$451)=0,"",IF(('Dvd Calendar'!$AH$451&gt;=GRID_FROM)*('Dvd Calendar'!$AH$451&lt;=GRID_TO)*((('Dvd Calendar'!$AH$451&lt;=VAL_DATE)+(COUNTIF('Dvd Calendar'!$E$458:$AR$458,'Dvd Calendar'!$AH$451)=0))&gt;0)=0,"",'Dvd Calendar'!$AH$451*1000000000+ISNUMBER('Dvd Calendar'!$AH$454)*100000000+('Dvd Calendar'!$AH$456=SPECIAL_LBL)*10000000+(N('Dvd Calendar'!$AH$450)&gt;0)*(N('Dvd Calendar'!$AH$450)&lt;=VAL_SERIAL)*1000000+41*1000+30))</f>
        <v/>
      </c>
      <c r="FI52" s="39">
        <f>IF(N('Dvd Calendar'!$AI$451)=0,"",IF(('Dvd Calendar'!$AI$451&gt;=GRID_FROM)*('Dvd Calendar'!$AI$451&lt;=GRID_TO)*((('Dvd Calendar'!$AI$451&lt;=VAL_DATE)+(COUNTIF('Dvd Calendar'!$E$458:$AR$458,'Dvd Calendar'!$AI$451)=0))&gt;0)=0,"",'Dvd Calendar'!$AI$451*1000000000+ISNUMBER('Dvd Calendar'!$AI$454)*100000000+('Dvd Calendar'!$AI$456=SPECIAL_LBL)*10000000+(N('Dvd Calendar'!$AI$450)&gt;0)*(N('Dvd Calendar'!$AI$450)&lt;=VAL_SERIAL)*1000000+41*1000+31))</f>
        <v/>
      </c>
      <c r="FJ52" s="39">
        <f>IF(N('Dvd Calendar'!$AJ$451)=0,"",IF(('Dvd Calendar'!$AJ$451&gt;=GRID_FROM)*('Dvd Calendar'!$AJ$451&lt;=GRID_TO)*((('Dvd Calendar'!$AJ$451&lt;=VAL_DATE)+(COUNTIF('Dvd Calendar'!$E$458:$AR$458,'Dvd Calendar'!$AJ$451)=0))&gt;0)=0,"",'Dvd Calendar'!$AJ$451*1000000000+ISNUMBER('Dvd Calendar'!$AJ$454)*100000000+('Dvd Calendar'!$AJ$456=SPECIAL_LBL)*10000000+(N('Dvd Calendar'!$AJ$450)&gt;0)*(N('Dvd Calendar'!$AJ$450)&lt;=VAL_SERIAL)*1000000+41*1000+32))</f>
        <v/>
      </c>
      <c r="FK52" s="39">
        <f>IF(N('Dvd Calendar'!$AK$451)=0,"",IF(('Dvd Calendar'!$AK$451&gt;=GRID_FROM)*('Dvd Calendar'!$AK$451&lt;=GRID_TO)*((('Dvd Calendar'!$AK$451&lt;=VAL_DATE)+(COUNTIF('Dvd Calendar'!$E$458:$AR$458,'Dvd Calendar'!$AK$451)=0))&gt;0)=0,"",'Dvd Calendar'!$AK$451*1000000000+ISNUMBER('Dvd Calendar'!$AK$454)*100000000+('Dvd Calendar'!$AK$456=SPECIAL_LBL)*10000000+(N('Dvd Calendar'!$AK$450)&gt;0)*(N('Dvd Calendar'!$AK$450)&lt;=VAL_SERIAL)*1000000+41*1000+33))</f>
        <v/>
      </c>
      <c r="FL52" s="39">
        <f>IF(N('Dvd Calendar'!$AL$451)=0,"",IF(('Dvd Calendar'!$AL$451&gt;=GRID_FROM)*('Dvd Calendar'!$AL$451&lt;=GRID_TO)*((('Dvd Calendar'!$AL$451&lt;=VAL_DATE)+(COUNTIF('Dvd Calendar'!$E$458:$AR$458,'Dvd Calendar'!$AL$451)=0))&gt;0)=0,"",'Dvd Calendar'!$AL$451*1000000000+ISNUMBER('Dvd Calendar'!$AL$454)*100000000+('Dvd Calendar'!$AL$456=SPECIAL_LBL)*10000000+(N('Dvd Calendar'!$AL$450)&gt;0)*(N('Dvd Calendar'!$AL$450)&lt;=VAL_SERIAL)*1000000+41*1000+34))</f>
        <v/>
      </c>
      <c r="FM52" s="39">
        <f>IF(N('Dvd Calendar'!$AM$451)=0,"",IF(('Dvd Calendar'!$AM$451&gt;=GRID_FROM)*('Dvd Calendar'!$AM$451&lt;=GRID_TO)*((('Dvd Calendar'!$AM$451&lt;=VAL_DATE)+(COUNTIF('Dvd Calendar'!$E$458:$AR$458,'Dvd Calendar'!$AM$451)=0))&gt;0)=0,"",'Dvd Calendar'!$AM$451*1000000000+ISNUMBER('Dvd Calendar'!$AM$454)*100000000+('Dvd Calendar'!$AM$456=SPECIAL_LBL)*10000000+(N('Dvd Calendar'!$AM$450)&gt;0)*(N('Dvd Calendar'!$AM$450)&lt;=VAL_SERIAL)*1000000+41*1000+35))</f>
        <v/>
      </c>
      <c r="FN52" s="39">
        <f>IF(N('Dvd Calendar'!$AN$451)=0,"",IF(('Dvd Calendar'!$AN$451&gt;=GRID_FROM)*('Dvd Calendar'!$AN$451&lt;=GRID_TO)*((('Dvd Calendar'!$AN$451&lt;=VAL_DATE)+(COUNTIF('Dvd Calendar'!$E$458:$AR$458,'Dvd Calendar'!$AN$451)=0))&gt;0)=0,"",'Dvd Calendar'!$AN$451*1000000000+ISNUMBER('Dvd Calendar'!$AN$454)*100000000+('Dvd Calendar'!$AN$456=SPECIAL_LBL)*10000000+(N('Dvd Calendar'!$AN$450)&gt;0)*(N('Dvd Calendar'!$AN$450)&lt;=VAL_SERIAL)*1000000+41*1000+36))</f>
        <v/>
      </c>
      <c r="FO52" s="39">
        <f>IF(N('Dvd Calendar'!$AO$451)=0,"",IF(('Dvd Calendar'!$AO$451&gt;=GRID_FROM)*('Dvd Calendar'!$AO$451&lt;=GRID_TO)*((('Dvd Calendar'!$AO$451&lt;=VAL_DATE)+(COUNTIF('Dvd Calendar'!$E$458:$AR$458,'Dvd Calendar'!$AO$451)=0))&gt;0)=0,"",'Dvd Calendar'!$AO$451*1000000000+ISNUMBER('Dvd Calendar'!$AO$454)*100000000+('Dvd Calendar'!$AO$456=SPECIAL_LBL)*10000000+(N('Dvd Calendar'!$AO$450)&gt;0)*(N('Dvd Calendar'!$AO$450)&lt;=VAL_SERIAL)*1000000+41*1000+37))</f>
        <v/>
      </c>
      <c r="FP52" s="39">
        <f>IF(N('Dvd Calendar'!$AP$451)=0,"",IF(('Dvd Calendar'!$AP$451&gt;=GRID_FROM)*('Dvd Calendar'!$AP$451&lt;=GRID_TO)*((('Dvd Calendar'!$AP$451&lt;=VAL_DATE)+(COUNTIF('Dvd Calendar'!$E$458:$AR$458,'Dvd Calendar'!$AP$451)=0))&gt;0)=0,"",'Dvd Calendar'!$AP$451*1000000000+ISNUMBER('Dvd Calendar'!$AP$454)*100000000+('Dvd Calendar'!$AP$456=SPECIAL_LBL)*10000000+(N('Dvd Calendar'!$AP$450)&gt;0)*(N('Dvd Calendar'!$AP$450)&lt;=VAL_SERIAL)*1000000+41*1000+38))</f>
        <v/>
      </c>
      <c r="FQ52" s="39">
        <f>IF(N('Dvd Calendar'!$AQ$451)=0,"",IF(('Dvd Calendar'!$AQ$451&gt;=GRID_FROM)*('Dvd Calendar'!$AQ$451&lt;=GRID_TO)*((('Dvd Calendar'!$AQ$451&lt;=VAL_DATE)+(COUNTIF('Dvd Calendar'!$E$458:$AR$458,'Dvd Calendar'!$AQ$451)=0))&gt;0)=0,"",'Dvd Calendar'!$AQ$451*1000000000+ISNUMBER('Dvd Calendar'!$AQ$454)*100000000+('Dvd Calendar'!$AQ$456=SPECIAL_LBL)*10000000+(N('Dvd Calendar'!$AQ$450)&gt;0)*(N('Dvd Calendar'!$AQ$450)&lt;=VAL_SERIAL)*1000000+41*1000+39))</f>
        <v/>
      </c>
      <c r="FR52" s="39">
        <f>IF(N('Dvd Calendar'!$AR$451)=0,"",IF(('Dvd Calendar'!$AR$451&gt;=GRID_FROM)*('Dvd Calendar'!$AR$451&lt;=GRID_TO)*((('Dvd Calendar'!$AR$451&lt;=VAL_DATE)+(COUNTIF('Dvd Calendar'!$E$458:$AR$458,'Dvd Calendar'!$AR$451)=0))&gt;0)=0,"",'Dvd Calendar'!$AR$451*1000000000+ISNUMBER('Dvd Calendar'!$AR$454)*100000000+('Dvd Calendar'!$AR$456=SPECIAL_LBL)*10000000+(N('Dvd Calendar'!$AR$450)&gt;0)*(N('Dvd Calendar'!$AR$450)&lt;=VAL_SERIAL)*1000000+41*1000+40))</f>
        <v/>
      </c>
      <c r="FS52" s="39">
        <f>IF(N('Dvd Calendar'!$E$458)=0,"",IF(('Dvd Calendar'!$E$458&gt;=GRID_FROM)*('Dvd Calendar'!$E$458&lt;=GRID_TO)*('Dvd Calendar'!$E$458&gt;VAL_DATE)=0,"",'Dvd Calendar'!$E$458*1000000000+ISNUMBER('Dvd Calendar'!$E$459)*100000000+0*10000000+(N('Dvd Calendar'!$E$457)&gt;0)*(N('Dvd Calendar'!$E$457)&lt;=VAL_SERIAL)*1000000+41*1000+41))</f>
        <v/>
      </c>
      <c r="FT52" s="39">
        <f>IF(N('Dvd Calendar'!$F$458)=0,"",IF(('Dvd Calendar'!$F$458&gt;=GRID_FROM)*('Dvd Calendar'!$F$458&lt;=GRID_TO)*('Dvd Calendar'!$F$458&gt;VAL_DATE)=0,"",'Dvd Calendar'!$F$458*1000000000+ISNUMBER('Dvd Calendar'!$F$459)*100000000+0*10000000+(N('Dvd Calendar'!$F$457)&gt;0)*(N('Dvd Calendar'!$F$457)&lt;=VAL_SERIAL)*1000000+41*1000+42))</f>
        <v/>
      </c>
      <c r="FU52" s="39">
        <f>IF(N('Dvd Calendar'!$G$458)=0,"",IF(('Dvd Calendar'!$G$458&gt;=GRID_FROM)*('Dvd Calendar'!$G$458&lt;=GRID_TO)*('Dvd Calendar'!$G$458&gt;VAL_DATE)=0,"",'Dvd Calendar'!$G$458*1000000000+ISNUMBER('Dvd Calendar'!$G$459)*100000000+0*10000000+(N('Dvd Calendar'!$G$457)&gt;0)*(N('Dvd Calendar'!$G$457)&lt;=VAL_SERIAL)*1000000+41*1000+43))</f>
        <v/>
      </c>
      <c r="FV52" s="39">
        <f>IF(N('Dvd Calendar'!$H$458)=0,"",IF(('Dvd Calendar'!$H$458&gt;=GRID_FROM)*('Dvd Calendar'!$H$458&lt;=GRID_TO)*('Dvd Calendar'!$H$458&gt;VAL_DATE)=0,"",'Dvd Calendar'!$H$458*1000000000+ISNUMBER('Dvd Calendar'!$H$459)*100000000+0*10000000+(N('Dvd Calendar'!$H$457)&gt;0)*(N('Dvd Calendar'!$H$457)&lt;=VAL_SERIAL)*1000000+41*1000+44))</f>
        <v/>
      </c>
      <c r="FW52" s="39">
        <f>IF(N('Dvd Calendar'!$I$458)=0,"",IF(('Dvd Calendar'!$I$458&gt;=GRID_FROM)*('Dvd Calendar'!$I$458&lt;=GRID_TO)*('Dvd Calendar'!$I$458&gt;VAL_DATE)=0,"",'Dvd Calendar'!$I$458*1000000000+ISNUMBER('Dvd Calendar'!$I$459)*100000000+0*10000000+(N('Dvd Calendar'!$I$457)&gt;0)*(N('Dvd Calendar'!$I$457)&lt;=VAL_SERIAL)*1000000+41*1000+45))</f>
        <v/>
      </c>
      <c r="FX52" s="39">
        <f>IF(N('Dvd Calendar'!$J$458)=0,"",IF(('Dvd Calendar'!$J$458&gt;=GRID_FROM)*('Dvd Calendar'!$J$458&lt;=GRID_TO)*('Dvd Calendar'!$J$458&gt;VAL_DATE)=0,"",'Dvd Calendar'!$J$458*1000000000+ISNUMBER('Dvd Calendar'!$J$459)*100000000+0*10000000+(N('Dvd Calendar'!$J$457)&gt;0)*(N('Dvd Calendar'!$J$457)&lt;=VAL_SERIAL)*1000000+41*1000+46))</f>
        <v/>
      </c>
      <c r="FY52" s="39">
        <f>IF(N('Dvd Calendar'!$K$458)=0,"",IF(('Dvd Calendar'!$K$458&gt;=GRID_FROM)*('Dvd Calendar'!$K$458&lt;=GRID_TO)*('Dvd Calendar'!$K$458&gt;VAL_DATE)=0,"",'Dvd Calendar'!$K$458*1000000000+ISNUMBER('Dvd Calendar'!$K$459)*100000000+0*10000000+(N('Dvd Calendar'!$K$457)&gt;0)*(N('Dvd Calendar'!$K$457)&lt;=VAL_SERIAL)*1000000+41*1000+47))</f>
        <v/>
      </c>
      <c r="FZ52" s="39">
        <f>IF(N('Dvd Calendar'!$L$458)=0,"",IF(('Dvd Calendar'!$L$458&gt;=GRID_FROM)*('Dvd Calendar'!$L$458&lt;=GRID_TO)*('Dvd Calendar'!$L$458&gt;VAL_DATE)=0,"",'Dvd Calendar'!$L$458*1000000000+ISNUMBER('Dvd Calendar'!$L$459)*100000000+0*10000000+(N('Dvd Calendar'!$L$457)&gt;0)*(N('Dvd Calendar'!$L$457)&lt;=VAL_SERIAL)*1000000+41*1000+48))</f>
        <v/>
      </c>
      <c r="GA52" s="39">
        <f>IF(N('Dvd Calendar'!$M$458)=0,"",IF(('Dvd Calendar'!$M$458&gt;=GRID_FROM)*('Dvd Calendar'!$M$458&lt;=GRID_TO)*('Dvd Calendar'!$M$458&gt;VAL_DATE)=0,"",'Dvd Calendar'!$M$458*1000000000+ISNUMBER('Dvd Calendar'!$M$459)*100000000+0*10000000+(N('Dvd Calendar'!$M$457)&gt;0)*(N('Dvd Calendar'!$M$457)&lt;=VAL_SERIAL)*1000000+41*1000+49))</f>
        <v/>
      </c>
      <c r="GB52" s="39">
        <f>IF(N('Dvd Calendar'!$N$458)=0,"",IF(('Dvd Calendar'!$N$458&gt;=GRID_FROM)*('Dvd Calendar'!$N$458&lt;=GRID_TO)*('Dvd Calendar'!$N$458&gt;VAL_DATE)=0,"",'Dvd Calendar'!$N$458*1000000000+ISNUMBER('Dvd Calendar'!$N$459)*100000000+0*10000000+(N('Dvd Calendar'!$N$457)&gt;0)*(N('Dvd Calendar'!$N$457)&lt;=VAL_SERIAL)*1000000+41*1000+50))</f>
        <v/>
      </c>
      <c r="GC52" s="39">
        <f>IF(N('Dvd Calendar'!$O$458)=0,"",IF(('Dvd Calendar'!$O$458&gt;=GRID_FROM)*('Dvd Calendar'!$O$458&lt;=GRID_TO)*('Dvd Calendar'!$O$458&gt;VAL_DATE)=0,"",'Dvd Calendar'!$O$458*1000000000+ISNUMBER('Dvd Calendar'!$O$459)*100000000+0*10000000+(N('Dvd Calendar'!$O$457)&gt;0)*(N('Dvd Calendar'!$O$457)&lt;=VAL_SERIAL)*1000000+41*1000+51))</f>
        <v/>
      </c>
      <c r="GD52" s="39">
        <f>IF(N('Dvd Calendar'!$P$458)=0,"",IF(('Dvd Calendar'!$P$458&gt;=GRID_FROM)*('Dvd Calendar'!$P$458&lt;=GRID_TO)*('Dvd Calendar'!$P$458&gt;VAL_DATE)=0,"",'Dvd Calendar'!$P$458*1000000000+ISNUMBER('Dvd Calendar'!$P$459)*100000000+0*10000000+(N('Dvd Calendar'!$P$457)&gt;0)*(N('Dvd Calendar'!$P$457)&lt;=VAL_SERIAL)*1000000+41*1000+52))</f>
        <v/>
      </c>
      <c r="GE52" s="39">
        <f>IF(N('Dvd Calendar'!$Q$458)=0,"",IF(('Dvd Calendar'!$Q$458&gt;=GRID_FROM)*('Dvd Calendar'!$Q$458&lt;=GRID_TO)*('Dvd Calendar'!$Q$458&gt;VAL_DATE)=0,"",'Dvd Calendar'!$Q$458*1000000000+ISNUMBER('Dvd Calendar'!$Q$459)*100000000+0*10000000+(N('Dvd Calendar'!$Q$457)&gt;0)*(N('Dvd Calendar'!$Q$457)&lt;=VAL_SERIAL)*1000000+41*1000+53))</f>
        <v/>
      </c>
      <c r="GF52" s="39">
        <f>IF(N('Dvd Calendar'!$R$458)=0,"",IF(('Dvd Calendar'!$R$458&gt;=GRID_FROM)*('Dvd Calendar'!$R$458&lt;=GRID_TO)*('Dvd Calendar'!$R$458&gt;VAL_DATE)=0,"",'Dvd Calendar'!$R$458*1000000000+ISNUMBER('Dvd Calendar'!$R$459)*100000000+0*10000000+(N('Dvd Calendar'!$R$457)&gt;0)*(N('Dvd Calendar'!$R$457)&lt;=VAL_SERIAL)*1000000+41*1000+54))</f>
        <v/>
      </c>
      <c r="GG52" s="39">
        <f>IF(N('Dvd Calendar'!$S$458)=0,"",IF(('Dvd Calendar'!$S$458&gt;=GRID_FROM)*('Dvd Calendar'!$S$458&lt;=GRID_TO)*('Dvd Calendar'!$S$458&gt;VAL_DATE)=0,"",'Dvd Calendar'!$S$458*1000000000+ISNUMBER('Dvd Calendar'!$S$459)*100000000+0*10000000+(N('Dvd Calendar'!$S$457)&gt;0)*(N('Dvd Calendar'!$S$457)&lt;=VAL_SERIAL)*1000000+41*1000+55))</f>
        <v/>
      </c>
      <c r="GH52" s="39">
        <f>IF(N('Dvd Calendar'!$T$458)=0,"",IF(('Dvd Calendar'!$T$458&gt;=GRID_FROM)*('Dvd Calendar'!$T$458&lt;=GRID_TO)*('Dvd Calendar'!$T$458&gt;VAL_DATE)=0,"",'Dvd Calendar'!$T$458*1000000000+ISNUMBER('Dvd Calendar'!$T$459)*100000000+0*10000000+(N('Dvd Calendar'!$T$457)&gt;0)*(N('Dvd Calendar'!$T$457)&lt;=VAL_SERIAL)*1000000+41*1000+56))</f>
        <v/>
      </c>
      <c r="GI52" s="39">
        <f>IF(N('Dvd Calendar'!$U$458)=0,"",IF(('Dvd Calendar'!$U$458&gt;=GRID_FROM)*('Dvd Calendar'!$U$458&lt;=GRID_TO)*('Dvd Calendar'!$U$458&gt;VAL_DATE)=0,"",'Dvd Calendar'!$U$458*1000000000+ISNUMBER('Dvd Calendar'!$U$459)*100000000+0*10000000+(N('Dvd Calendar'!$U$457)&gt;0)*(N('Dvd Calendar'!$U$457)&lt;=VAL_SERIAL)*1000000+41*1000+57))</f>
        <v/>
      </c>
      <c r="GJ52" s="39">
        <f>IF(N('Dvd Calendar'!$V$458)=0,"",IF(('Dvd Calendar'!$V$458&gt;=GRID_FROM)*('Dvd Calendar'!$V$458&lt;=GRID_TO)*('Dvd Calendar'!$V$458&gt;VAL_DATE)=0,"",'Dvd Calendar'!$V$458*1000000000+ISNUMBER('Dvd Calendar'!$V$459)*100000000+0*10000000+(N('Dvd Calendar'!$V$457)&gt;0)*(N('Dvd Calendar'!$V$457)&lt;=VAL_SERIAL)*1000000+41*1000+58))</f>
        <v/>
      </c>
      <c r="GK52" s="39">
        <f>IF(N('Dvd Calendar'!$W$458)=0,"",IF(('Dvd Calendar'!$W$458&gt;=GRID_FROM)*('Dvd Calendar'!$W$458&lt;=GRID_TO)*('Dvd Calendar'!$W$458&gt;VAL_DATE)=0,"",'Dvd Calendar'!$W$458*1000000000+ISNUMBER('Dvd Calendar'!$W$459)*100000000+0*10000000+(N('Dvd Calendar'!$W$457)&gt;0)*(N('Dvd Calendar'!$W$457)&lt;=VAL_SERIAL)*1000000+41*1000+59))</f>
        <v/>
      </c>
      <c r="GL52" s="39">
        <f>IF(N('Dvd Calendar'!$X$458)=0,"",IF(('Dvd Calendar'!$X$458&gt;=GRID_FROM)*('Dvd Calendar'!$X$458&lt;=GRID_TO)*('Dvd Calendar'!$X$458&gt;VAL_DATE)=0,"",'Dvd Calendar'!$X$458*1000000000+ISNUMBER('Dvd Calendar'!$X$459)*100000000+0*10000000+(N('Dvd Calendar'!$X$457)&gt;0)*(N('Dvd Calendar'!$X$457)&lt;=VAL_SERIAL)*1000000+41*1000+60))</f>
        <v/>
      </c>
      <c r="GM52" s="39">
        <f>IF(N('Dvd Calendar'!$Y$458)=0,"",IF(('Dvd Calendar'!$Y$458&gt;=GRID_FROM)*('Dvd Calendar'!$Y$458&lt;=GRID_TO)*('Dvd Calendar'!$Y$458&gt;VAL_DATE)=0,"",'Dvd Calendar'!$Y$458*1000000000+ISNUMBER('Dvd Calendar'!$Y$459)*100000000+0*10000000+(N('Dvd Calendar'!$Y$457)&gt;0)*(N('Dvd Calendar'!$Y$457)&lt;=VAL_SERIAL)*1000000+41*1000+61))</f>
        <v/>
      </c>
      <c r="GN52" s="39">
        <f>IF(N('Dvd Calendar'!$Z$458)=0,"",IF(('Dvd Calendar'!$Z$458&gt;=GRID_FROM)*('Dvd Calendar'!$Z$458&lt;=GRID_TO)*('Dvd Calendar'!$Z$458&gt;VAL_DATE)=0,"",'Dvd Calendar'!$Z$458*1000000000+ISNUMBER('Dvd Calendar'!$Z$459)*100000000+0*10000000+(N('Dvd Calendar'!$Z$457)&gt;0)*(N('Dvd Calendar'!$Z$457)&lt;=VAL_SERIAL)*1000000+41*1000+62))</f>
        <v/>
      </c>
      <c r="GO52" s="39">
        <f>IF(N('Dvd Calendar'!$AA$458)=0,"",IF(('Dvd Calendar'!$AA$458&gt;=GRID_FROM)*('Dvd Calendar'!$AA$458&lt;=GRID_TO)*('Dvd Calendar'!$AA$458&gt;VAL_DATE)=0,"",'Dvd Calendar'!$AA$458*1000000000+ISNUMBER('Dvd Calendar'!$AA$459)*100000000+0*10000000+(N('Dvd Calendar'!$AA$457)&gt;0)*(N('Dvd Calendar'!$AA$457)&lt;=VAL_SERIAL)*1000000+41*1000+63))</f>
        <v/>
      </c>
      <c r="GP52" s="39">
        <f>IF(N('Dvd Calendar'!$AB$458)=0,"",IF(('Dvd Calendar'!$AB$458&gt;=GRID_FROM)*('Dvd Calendar'!$AB$458&lt;=GRID_TO)*('Dvd Calendar'!$AB$458&gt;VAL_DATE)=0,"",'Dvd Calendar'!$AB$458*1000000000+ISNUMBER('Dvd Calendar'!$AB$459)*100000000+0*10000000+(N('Dvd Calendar'!$AB$457)&gt;0)*(N('Dvd Calendar'!$AB$457)&lt;=VAL_SERIAL)*1000000+41*1000+64))</f>
        <v/>
      </c>
      <c r="GQ52" s="39">
        <f>IF(N('Dvd Calendar'!$AC$458)=0,"",IF(('Dvd Calendar'!$AC$458&gt;=GRID_FROM)*('Dvd Calendar'!$AC$458&lt;=GRID_TO)*('Dvd Calendar'!$AC$458&gt;VAL_DATE)=0,"",'Dvd Calendar'!$AC$458*1000000000+ISNUMBER('Dvd Calendar'!$AC$459)*100000000+0*10000000+(N('Dvd Calendar'!$AC$457)&gt;0)*(N('Dvd Calendar'!$AC$457)&lt;=VAL_SERIAL)*1000000+41*1000+65))</f>
        <v/>
      </c>
    </row>
    <row r="53">
      <c r="B53" s="2">
        <f>IF(HSI!$C$48="","",HSI!$C$48)</f>
        <v/>
      </c>
      <c r="C53" s="110">
        <f>IF(EE53="","",IF(ISNUMBER('Dvd Calendar'!$E$465)=FALSE,"",IF((('Dvd Calendar'!$E$467=TYPE1)*(TYPE1&lt;&gt;"")+('Dvd Calendar'!$E$467=TYPE2)*(TYPE2&lt;&gt;"")+('Dvd Calendar'!$E$467=TYPE3)*(TYPE3&lt;&gt;"")+('Dvd Calendar'!$E$467=TYPE4)*(TYPE4&lt;&gt;"")+('Dvd Calendar'!$E$467=SPECIAL_LBL)*(INC_SPECIALS="Y"))=0,"",'Dvd Calendar'!$E$465)))</f>
        <v/>
      </c>
      <c r="D53" s="110">
        <f>IF(EF53="","",IF(ISNUMBER('Dvd Calendar'!$F$465)=FALSE,"",IF((('Dvd Calendar'!$F$467=TYPE1)*(TYPE1&lt;&gt;"")+('Dvd Calendar'!$F$467=TYPE2)*(TYPE2&lt;&gt;"")+('Dvd Calendar'!$F$467=TYPE3)*(TYPE3&lt;&gt;"")+('Dvd Calendar'!$F$467=TYPE4)*(TYPE4&lt;&gt;"")+('Dvd Calendar'!$F$467=SPECIAL_LBL)*(INC_SPECIALS="Y"))=0,"",'Dvd Calendar'!$F$465)))</f>
        <v/>
      </c>
      <c r="E53" s="110">
        <f>IF(EG53="","",IF(ISNUMBER('Dvd Calendar'!$G$465)=FALSE,"",IF((('Dvd Calendar'!$G$467=TYPE1)*(TYPE1&lt;&gt;"")+('Dvd Calendar'!$G$467=TYPE2)*(TYPE2&lt;&gt;"")+('Dvd Calendar'!$G$467=TYPE3)*(TYPE3&lt;&gt;"")+('Dvd Calendar'!$G$467=TYPE4)*(TYPE4&lt;&gt;"")+('Dvd Calendar'!$G$467=SPECIAL_LBL)*(INC_SPECIALS="Y"))=0,"",'Dvd Calendar'!$G$465)))</f>
        <v/>
      </c>
      <c r="F53" s="110">
        <f>IF(EH53="","",IF(ISNUMBER('Dvd Calendar'!$H$465)=FALSE,"",IF((('Dvd Calendar'!$H$467=TYPE1)*(TYPE1&lt;&gt;"")+('Dvd Calendar'!$H$467=TYPE2)*(TYPE2&lt;&gt;"")+('Dvd Calendar'!$H$467=TYPE3)*(TYPE3&lt;&gt;"")+('Dvd Calendar'!$H$467=TYPE4)*(TYPE4&lt;&gt;"")+('Dvd Calendar'!$H$467=SPECIAL_LBL)*(INC_SPECIALS="Y"))=0,"",'Dvd Calendar'!$H$465)))</f>
        <v/>
      </c>
      <c r="G53" s="110">
        <f>IF(EI53="","",IF(ISNUMBER('Dvd Calendar'!$I$465)=FALSE,"",IF((('Dvd Calendar'!$I$467=TYPE1)*(TYPE1&lt;&gt;"")+('Dvd Calendar'!$I$467=TYPE2)*(TYPE2&lt;&gt;"")+('Dvd Calendar'!$I$467=TYPE3)*(TYPE3&lt;&gt;"")+('Dvd Calendar'!$I$467=TYPE4)*(TYPE4&lt;&gt;"")+('Dvd Calendar'!$I$467=SPECIAL_LBL)*(INC_SPECIALS="Y"))=0,"",'Dvd Calendar'!$I$465)))</f>
        <v/>
      </c>
      <c r="H53" s="110">
        <f>IF(EJ53="","",IF(ISNUMBER('Dvd Calendar'!$J$465)=FALSE,"",IF((('Dvd Calendar'!$J$467=TYPE1)*(TYPE1&lt;&gt;"")+('Dvd Calendar'!$J$467=TYPE2)*(TYPE2&lt;&gt;"")+('Dvd Calendar'!$J$467=TYPE3)*(TYPE3&lt;&gt;"")+('Dvd Calendar'!$J$467=TYPE4)*(TYPE4&lt;&gt;"")+('Dvd Calendar'!$J$467=SPECIAL_LBL)*(INC_SPECIALS="Y"))=0,"",'Dvd Calendar'!$J$465)))</f>
        <v/>
      </c>
      <c r="I53" s="110">
        <f>IF(EK53="","",IF(ISNUMBER('Dvd Calendar'!$K$465)=FALSE,"",IF((('Dvd Calendar'!$K$467=TYPE1)*(TYPE1&lt;&gt;"")+('Dvd Calendar'!$K$467=TYPE2)*(TYPE2&lt;&gt;"")+('Dvd Calendar'!$K$467=TYPE3)*(TYPE3&lt;&gt;"")+('Dvd Calendar'!$K$467=TYPE4)*(TYPE4&lt;&gt;"")+('Dvd Calendar'!$K$467=SPECIAL_LBL)*(INC_SPECIALS="Y"))=0,"",'Dvd Calendar'!$K$465)))</f>
        <v/>
      </c>
      <c r="J53" s="110">
        <f>IF(EL53="","",IF(ISNUMBER('Dvd Calendar'!$L$465)=FALSE,"",IF((('Dvd Calendar'!$L$467=TYPE1)*(TYPE1&lt;&gt;"")+('Dvd Calendar'!$L$467=TYPE2)*(TYPE2&lt;&gt;"")+('Dvd Calendar'!$L$467=TYPE3)*(TYPE3&lt;&gt;"")+('Dvd Calendar'!$L$467=TYPE4)*(TYPE4&lt;&gt;"")+('Dvd Calendar'!$L$467=SPECIAL_LBL)*(INC_SPECIALS="Y"))=0,"",'Dvd Calendar'!$L$465)))</f>
        <v/>
      </c>
      <c r="K53" s="110">
        <f>IF(EM53="","",IF(ISNUMBER('Dvd Calendar'!$M$465)=FALSE,"",IF((('Dvd Calendar'!$M$467=TYPE1)*(TYPE1&lt;&gt;"")+('Dvd Calendar'!$M$467=TYPE2)*(TYPE2&lt;&gt;"")+('Dvd Calendar'!$M$467=TYPE3)*(TYPE3&lt;&gt;"")+('Dvd Calendar'!$M$467=TYPE4)*(TYPE4&lt;&gt;"")+('Dvd Calendar'!$M$467=SPECIAL_LBL)*(INC_SPECIALS="Y"))=0,"",'Dvd Calendar'!$M$465)))</f>
        <v/>
      </c>
      <c r="L53" s="110">
        <f>IF(EN53="","",IF(ISNUMBER('Dvd Calendar'!$N$465)=FALSE,"",IF((('Dvd Calendar'!$N$467=TYPE1)*(TYPE1&lt;&gt;"")+('Dvd Calendar'!$N$467=TYPE2)*(TYPE2&lt;&gt;"")+('Dvd Calendar'!$N$467=TYPE3)*(TYPE3&lt;&gt;"")+('Dvd Calendar'!$N$467=TYPE4)*(TYPE4&lt;&gt;"")+('Dvd Calendar'!$N$467=SPECIAL_LBL)*(INC_SPECIALS="Y"))=0,"",'Dvd Calendar'!$N$465)))</f>
        <v/>
      </c>
      <c r="M53" s="110">
        <f>IF(EO53="","",IF(ISNUMBER('Dvd Calendar'!$O$465)=FALSE,"",IF((('Dvd Calendar'!$O$467=TYPE1)*(TYPE1&lt;&gt;"")+('Dvd Calendar'!$O$467=TYPE2)*(TYPE2&lt;&gt;"")+('Dvd Calendar'!$O$467=TYPE3)*(TYPE3&lt;&gt;"")+('Dvd Calendar'!$O$467=TYPE4)*(TYPE4&lt;&gt;"")+('Dvd Calendar'!$O$467=SPECIAL_LBL)*(INC_SPECIALS="Y"))=0,"",'Dvd Calendar'!$O$465)))</f>
        <v/>
      </c>
      <c r="N53" s="110">
        <f>IF(EP53="","",IF(ISNUMBER('Dvd Calendar'!$P$465)=FALSE,"",IF((('Dvd Calendar'!$P$467=TYPE1)*(TYPE1&lt;&gt;"")+('Dvd Calendar'!$P$467=TYPE2)*(TYPE2&lt;&gt;"")+('Dvd Calendar'!$P$467=TYPE3)*(TYPE3&lt;&gt;"")+('Dvd Calendar'!$P$467=TYPE4)*(TYPE4&lt;&gt;"")+('Dvd Calendar'!$P$467=SPECIAL_LBL)*(INC_SPECIALS="Y"))=0,"",'Dvd Calendar'!$P$465)))</f>
        <v/>
      </c>
      <c r="O53" s="110">
        <f>IF(EQ53="","",IF(ISNUMBER('Dvd Calendar'!$Q$465)=FALSE,"",IF((('Dvd Calendar'!$Q$467=TYPE1)*(TYPE1&lt;&gt;"")+('Dvd Calendar'!$Q$467=TYPE2)*(TYPE2&lt;&gt;"")+('Dvd Calendar'!$Q$467=TYPE3)*(TYPE3&lt;&gt;"")+('Dvd Calendar'!$Q$467=TYPE4)*(TYPE4&lt;&gt;"")+('Dvd Calendar'!$Q$467=SPECIAL_LBL)*(INC_SPECIALS="Y"))=0,"",'Dvd Calendar'!$Q$465)))</f>
        <v/>
      </c>
      <c r="P53" s="110">
        <f>IF(ER53="","",IF(ISNUMBER('Dvd Calendar'!$R$465)=FALSE,"",IF((('Dvd Calendar'!$R$467=TYPE1)*(TYPE1&lt;&gt;"")+('Dvd Calendar'!$R$467=TYPE2)*(TYPE2&lt;&gt;"")+('Dvd Calendar'!$R$467=TYPE3)*(TYPE3&lt;&gt;"")+('Dvd Calendar'!$R$467=TYPE4)*(TYPE4&lt;&gt;"")+('Dvd Calendar'!$R$467=SPECIAL_LBL)*(INC_SPECIALS="Y"))=0,"",'Dvd Calendar'!$R$465)))</f>
        <v/>
      </c>
      <c r="Q53" s="110">
        <f>IF(ES53="","",IF(ISNUMBER('Dvd Calendar'!$S$465)=FALSE,"",IF((('Dvd Calendar'!$S$467=TYPE1)*(TYPE1&lt;&gt;"")+('Dvd Calendar'!$S$467=TYPE2)*(TYPE2&lt;&gt;"")+('Dvd Calendar'!$S$467=TYPE3)*(TYPE3&lt;&gt;"")+('Dvd Calendar'!$S$467=TYPE4)*(TYPE4&lt;&gt;"")+('Dvd Calendar'!$S$467=SPECIAL_LBL)*(INC_SPECIALS="Y"))=0,"",'Dvd Calendar'!$S$465)))</f>
        <v/>
      </c>
      <c r="R53" s="110">
        <f>IF(ET53="","",IF(ISNUMBER('Dvd Calendar'!$T$465)=FALSE,"",IF((('Dvd Calendar'!$T$467=TYPE1)*(TYPE1&lt;&gt;"")+('Dvd Calendar'!$T$467=TYPE2)*(TYPE2&lt;&gt;"")+('Dvd Calendar'!$T$467=TYPE3)*(TYPE3&lt;&gt;"")+('Dvd Calendar'!$T$467=TYPE4)*(TYPE4&lt;&gt;"")+('Dvd Calendar'!$T$467=SPECIAL_LBL)*(INC_SPECIALS="Y"))=0,"",'Dvd Calendar'!$T$465)))</f>
        <v/>
      </c>
      <c r="S53" s="110">
        <f>IF(EU53="","",IF(ISNUMBER('Dvd Calendar'!$U$465)=FALSE,"",IF((('Dvd Calendar'!$U$467=TYPE1)*(TYPE1&lt;&gt;"")+('Dvd Calendar'!$U$467=TYPE2)*(TYPE2&lt;&gt;"")+('Dvd Calendar'!$U$467=TYPE3)*(TYPE3&lt;&gt;"")+('Dvd Calendar'!$U$467=TYPE4)*(TYPE4&lt;&gt;"")+('Dvd Calendar'!$U$467=SPECIAL_LBL)*(INC_SPECIALS="Y"))=0,"",'Dvd Calendar'!$U$465)))</f>
        <v/>
      </c>
      <c r="T53" s="110">
        <f>IF(EV53="","",IF(ISNUMBER('Dvd Calendar'!$V$465)=FALSE,"",IF((('Dvd Calendar'!$V$467=TYPE1)*(TYPE1&lt;&gt;"")+('Dvd Calendar'!$V$467=TYPE2)*(TYPE2&lt;&gt;"")+('Dvd Calendar'!$V$467=TYPE3)*(TYPE3&lt;&gt;"")+('Dvd Calendar'!$V$467=TYPE4)*(TYPE4&lt;&gt;"")+('Dvd Calendar'!$V$467=SPECIAL_LBL)*(INC_SPECIALS="Y"))=0,"",'Dvd Calendar'!$V$465)))</f>
        <v/>
      </c>
      <c r="U53" s="110">
        <f>IF(EW53="","",IF(ISNUMBER('Dvd Calendar'!$W$465)=FALSE,"",IF((('Dvd Calendar'!$W$467=TYPE1)*(TYPE1&lt;&gt;"")+('Dvd Calendar'!$W$467=TYPE2)*(TYPE2&lt;&gt;"")+('Dvd Calendar'!$W$467=TYPE3)*(TYPE3&lt;&gt;"")+('Dvd Calendar'!$W$467=TYPE4)*(TYPE4&lt;&gt;"")+('Dvd Calendar'!$W$467=SPECIAL_LBL)*(INC_SPECIALS="Y"))=0,"",'Dvd Calendar'!$W$465)))</f>
        <v/>
      </c>
      <c r="V53" s="110">
        <f>IF(EX53="","",IF(ISNUMBER('Dvd Calendar'!$X$465)=FALSE,"",IF((('Dvd Calendar'!$X$467=TYPE1)*(TYPE1&lt;&gt;"")+('Dvd Calendar'!$X$467=TYPE2)*(TYPE2&lt;&gt;"")+('Dvd Calendar'!$X$467=TYPE3)*(TYPE3&lt;&gt;"")+('Dvd Calendar'!$X$467=TYPE4)*(TYPE4&lt;&gt;"")+('Dvd Calendar'!$X$467=SPECIAL_LBL)*(INC_SPECIALS="Y"))=0,"",'Dvd Calendar'!$X$465)))</f>
        <v/>
      </c>
      <c r="W53" s="110">
        <f>IF(EY53="","",IF(ISNUMBER('Dvd Calendar'!$Y$465)=FALSE,"",IF((('Dvd Calendar'!$Y$467=TYPE1)*(TYPE1&lt;&gt;"")+('Dvd Calendar'!$Y$467=TYPE2)*(TYPE2&lt;&gt;"")+('Dvd Calendar'!$Y$467=TYPE3)*(TYPE3&lt;&gt;"")+('Dvd Calendar'!$Y$467=TYPE4)*(TYPE4&lt;&gt;"")+('Dvd Calendar'!$Y$467=SPECIAL_LBL)*(INC_SPECIALS="Y"))=0,"",'Dvd Calendar'!$Y$465)))</f>
        <v/>
      </c>
      <c r="X53" s="110">
        <f>IF(EZ53="","",IF(ISNUMBER('Dvd Calendar'!$Z$465)=FALSE,"",IF((('Dvd Calendar'!$Z$467=TYPE1)*(TYPE1&lt;&gt;"")+('Dvd Calendar'!$Z$467=TYPE2)*(TYPE2&lt;&gt;"")+('Dvd Calendar'!$Z$467=TYPE3)*(TYPE3&lt;&gt;"")+('Dvd Calendar'!$Z$467=TYPE4)*(TYPE4&lt;&gt;"")+('Dvd Calendar'!$Z$467=SPECIAL_LBL)*(INC_SPECIALS="Y"))=0,"",'Dvd Calendar'!$Z$465)))</f>
        <v/>
      </c>
      <c r="Y53" s="110">
        <f>IF(FA53="","",IF(ISNUMBER('Dvd Calendar'!$AA$465)=FALSE,"",IF((('Dvd Calendar'!$AA$467=TYPE1)*(TYPE1&lt;&gt;"")+('Dvd Calendar'!$AA$467=TYPE2)*(TYPE2&lt;&gt;"")+('Dvd Calendar'!$AA$467=TYPE3)*(TYPE3&lt;&gt;"")+('Dvd Calendar'!$AA$467=TYPE4)*(TYPE4&lt;&gt;"")+('Dvd Calendar'!$AA$467=SPECIAL_LBL)*(INC_SPECIALS="Y"))=0,"",'Dvd Calendar'!$AA$465)))</f>
        <v/>
      </c>
      <c r="Z53" s="110">
        <f>IF(FB53="","",IF(ISNUMBER('Dvd Calendar'!$AB$465)=FALSE,"",IF((('Dvd Calendar'!$AB$467=TYPE1)*(TYPE1&lt;&gt;"")+('Dvd Calendar'!$AB$467=TYPE2)*(TYPE2&lt;&gt;"")+('Dvd Calendar'!$AB$467=TYPE3)*(TYPE3&lt;&gt;"")+('Dvd Calendar'!$AB$467=TYPE4)*(TYPE4&lt;&gt;"")+('Dvd Calendar'!$AB$467=SPECIAL_LBL)*(INC_SPECIALS="Y"))=0,"",'Dvd Calendar'!$AB$465)))</f>
        <v/>
      </c>
      <c r="AA53" s="110">
        <f>IF(FC53="","",IF(ISNUMBER('Dvd Calendar'!$AC$465)=FALSE,"",IF((('Dvd Calendar'!$AC$467=TYPE1)*(TYPE1&lt;&gt;"")+('Dvd Calendar'!$AC$467=TYPE2)*(TYPE2&lt;&gt;"")+('Dvd Calendar'!$AC$467=TYPE3)*(TYPE3&lt;&gt;"")+('Dvd Calendar'!$AC$467=TYPE4)*(TYPE4&lt;&gt;"")+('Dvd Calendar'!$AC$467=SPECIAL_LBL)*(INC_SPECIALS="Y"))=0,"",'Dvd Calendar'!$AC$465)))</f>
        <v/>
      </c>
      <c r="AB53" s="110">
        <f>IF(FD53="","",IF(ISNUMBER('Dvd Calendar'!$AD$465)=FALSE,"",IF((('Dvd Calendar'!$AD$467=TYPE1)*(TYPE1&lt;&gt;"")+('Dvd Calendar'!$AD$467=TYPE2)*(TYPE2&lt;&gt;"")+('Dvd Calendar'!$AD$467=TYPE3)*(TYPE3&lt;&gt;"")+('Dvd Calendar'!$AD$467=TYPE4)*(TYPE4&lt;&gt;"")+('Dvd Calendar'!$AD$467=SPECIAL_LBL)*(INC_SPECIALS="Y"))=0,"",'Dvd Calendar'!$AD$465)))</f>
        <v/>
      </c>
      <c r="AC53" s="110">
        <f>IF(FE53="","",IF(ISNUMBER('Dvd Calendar'!$AE$465)=FALSE,"",IF((('Dvd Calendar'!$AE$467=TYPE1)*(TYPE1&lt;&gt;"")+('Dvd Calendar'!$AE$467=TYPE2)*(TYPE2&lt;&gt;"")+('Dvd Calendar'!$AE$467=TYPE3)*(TYPE3&lt;&gt;"")+('Dvd Calendar'!$AE$467=TYPE4)*(TYPE4&lt;&gt;"")+('Dvd Calendar'!$AE$467=SPECIAL_LBL)*(INC_SPECIALS="Y"))=0,"",'Dvd Calendar'!$AE$465)))</f>
        <v/>
      </c>
      <c r="AD53" s="110">
        <f>IF(FF53="","",IF(ISNUMBER('Dvd Calendar'!$AF$465)=FALSE,"",IF((('Dvd Calendar'!$AF$467=TYPE1)*(TYPE1&lt;&gt;"")+('Dvd Calendar'!$AF$467=TYPE2)*(TYPE2&lt;&gt;"")+('Dvd Calendar'!$AF$467=TYPE3)*(TYPE3&lt;&gt;"")+('Dvd Calendar'!$AF$467=TYPE4)*(TYPE4&lt;&gt;"")+('Dvd Calendar'!$AF$467=SPECIAL_LBL)*(INC_SPECIALS="Y"))=0,"",'Dvd Calendar'!$AF$465)))</f>
        <v/>
      </c>
      <c r="AE53" s="110">
        <f>IF(FG53="","",IF(ISNUMBER('Dvd Calendar'!$AG$465)=FALSE,"",IF((('Dvd Calendar'!$AG$467=TYPE1)*(TYPE1&lt;&gt;"")+('Dvd Calendar'!$AG$467=TYPE2)*(TYPE2&lt;&gt;"")+('Dvd Calendar'!$AG$467=TYPE3)*(TYPE3&lt;&gt;"")+('Dvd Calendar'!$AG$467=TYPE4)*(TYPE4&lt;&gt;"")+('Dvd Calendar'!$AG$467=SPECIAL_LBL)*(INC_SPECIALS="Y"))=0,"",'Dvd Calendar'!$AG$465)))</f>
        <v/>
      </c>
      <c r="AF53" s="110">
        <f>IF(FH53="","",IF(ISNUMBER('Dvd Calendar'!$AH$465)=FALSE,"",IF((('Dvd Calendar'!$AH$467=TYPE1)*(TYPE1&lt;&gt;"")+('Dvd Calendar'!$AH$467=TYPE2)*(TYPE2&lt;&gt;"")+('Dvd Calendar'!$AH$467=TYPE3)*(TYPE3&lt;&gt;"")+('Dvd Calendar'!$AH$467=TYPE4)*(TYPE4&lt;&gt;"")+('Dvd Calendar'!$AH$467=SPECIAL_LBL)*(INC_SPECIALS="Y"))=0,"",'Dvd Calendar'!$AH$465)))</f>
        <v/>
      </c>
      <c r="AG53" s="110">
        <f>IF(FI53="","",IF(ISNUMBER('Dvd Calendar'!$AI$465)=FALSE,"",IF((('Dvd Calendar'!$AI$467=TYPE1)*(TYPE1&lt;&gt;"")+('Dvd Calendar'!$AI$467=TYPE2)*(TYPE2&lt;&gt;"")+('Dvd Calendar'!$AI$467=TYPE3)*(TYPE3&lt;&gt;"")+('Dvd Calendar'!$AI$467=TYPE4)*(TYPE4&lt;&gt;"")+('Dvd Calendar'!$AI$467=SPECIAL_LBL)*(INC_SPECIALS="Y"))=0,"",'Dvd Calendar'!$AI$465)))</f>
        <v/>
      </c>
      <c r="AH53" s="110">
        <f>IF(FJ53="","",IF(ISNUMBER('Dvd Calendar'!$AJ$465)=FALSE,"",IF((('Dvd Calendar'!$AJ$467=TYPE1)*(TYPE1&lt;&gt;"")+('Dvd Calendar'!$AJ$467=TYPE2)*(TYPE2&lt;&gt;"")+('Dvd Calendar'!$AJ$467=TYPE3)*(TYPE3&lt;&gt;"")+('Dvd Calendar'!$AJ$467=TYPE4)*(TYPE4&lt;&gt;"")+('Dvd Calendar'!$AJ$467=SPECIAL_LBL)*(INC_SPECIALS="Y"))=0,"",'Dvd Calendar'!$AJ$465)))</f>
        <v/>
      </c>
      <c r="AI53" s="110">
        <f>IF(FK53="","",IF(ISNUMBER('Dvd Calendar'!$AK$465)=FALSE,"",IF((('Dvd Calendar'!$AK$467=TYPE1)*(TYPE1&lt;&gt;"")+('Dvd Calendar'!$AK$467=TYPE2)*(TYPE2&lt;&gt;"")+('Dvd Calendar'!$AK$467=TYPE3)*(TYPE3&lt;&gt;"")+('Dvd Calendar'!$AK$467=TYPE4)*(TYPE4&lt;&gt;"")+('Dvd Calendar'!$AK$467=SPECIAL_LBL)*(INC_SPECIALS="Y"))=0,"",'Dvd Calendar'!$AK$465)))</f>
        <v/>
      </c>
      <c r="AJ53" s="110">
        <f>IF(FL53="","",IF(ISNUMBER('Dvd Calendar'!$AL$465)=FALSE,"",IF((('Dvd Calendar'!$AL$467=TYPE1)*(TYPE1&lt;&gt;"")+('Dvd Calendar'!$AL$467=TYPE2)*(TYPE2&lt;&gt;"")+('Dvd Calendar'!$AL$467=TYPE3)*(TYPE3&lt;&gt;"")+('Dvd Calendar'!$AL$467=TYPE4)*(TYPE4&lt;&gt;"")+('Dvd Calendar'!$AL$467=SPECIAL_LBL)*(INC_SPECIALS="Y"))=0,"",'Dvd Calendar'!$AL$465)))</f>
        <v/>
      </c>
      <c r="AK53" s="110">
        <f>IF(FM53="","",IF(ISNUMBER('Dvd Calendar'!$AM$465)=FALSE,"",IF((('Dvd Calendar'!$AM$467=TYPE1)*(TYPE1&lt;&gt;"")+('Dvd Calendar'!$AM$467=TYPE2)*(TYPE2&lt;&gt;"")+('Dvd Calendar'!$AM$467=TYPE3)*(TYPE3&lt;&gt;"")+('Dvd Calendar'!$AM$467=TYPE4)*(TYPE4&lt;&gt;"")+('Dvd Calendar'!$AM$467=SPECIAL_LBL)*(INC_SPECIALS="Y"))=0,"",'Dvd Calendar'!$AM$465)))</f>
        <v/>
      </c>
      <c r="AL53" s="110">
        <f>IF(FN53="","",IF(ISNUMBER('Dvd Calendar'!$AN$465)=FALSE,"",IF((('Dvd Calendar'!$AN$467=TYPE1)*(TYPE1&lt;&gt;"")+('Dvd Calendar'!$AN$467=TYPE2)*(TYPE2&lt;&gt;"")+('Dvd Calendar'!$AN$467=TYPE3)*(TYPE3&lt;&gt;"")+('Dvd Calendar'!$AN$467=TYPE4)*(TYPE4&lt;&gt;"")+('Dvd Calendar'!$AN$467=SPECIAL_LBL)*(INC_SPECIALS="Y"))=0,"",'Dvd Calendar'!$AN$465)))</f>
        <v/>
      </c>
      <c r="AM53" s="110">
        <f>IF(FO53="","",IF(ISNUMBER('Dvd Calendar'!$AO$465)=FALSE,"",IF((('Dvd Calendar'!$AO$467=TYPE1)*(TYPE1&lt;&gt;"")+('Dvd Calendar'!$AO$467=TYPE2)*(TYPE2&lt;&gt;"")+('Dvd Calendar'!$AO$467=TYPE3)*(TYPE3&lt;&gt;"")+('Dvd Calendar'!$AO$467=TYPE4)*(TYPE4&lt;&gt;"")+('Dvd Calendar'!$AO$467=SPECIAL_LBL)*(INC_SPECIALS="Y"))=0,"",'Dvd Calendar'!$AO$465)))</f>
        <v/>
      </c>
      <c r="AN53" s="110">
        <f>IF(FP53="","",IF(ISNUMBER('Dvd Calendar'!$AP$465)=FALSE,"",IF((('Dvd Calendar'!$AP$467=TYPE1)*(TYPE1&lt;&gt;"")+('Dvd Calendar'!$AP$467=TYPE2)*(TYPE2&lt;&gt;"")+('Dvd Calendar'!$AP$467=TYPE3)*(TYPE3&lt;&gt;"")+('Dvd Calendar'!$AP$467=TYPE4)*(TYPE4&lt;&gt;"")+('Dvd Calendar'!$AP$467=SPECIAL_LBL)*(INC_SPECIALS="Y"))=0,"",'Dvd Calendar'!$AP$465)))</f>
        <v/>
      </c>
      <c r="AO53" s="110">
        <f>IF(FQ53="","",IF(ISNUMBER('Dvd Calendar'!$AQ$465)=FALSE,"",IF((('Dvd Calendar'!$AQ$467=TYPE1)*(TYPE1&lt;&gt;"")+('Dvd Calendar'!$AQ$467=TYPE2)*(TYPE2&lt;&gt;"")+('Dvd Calendar'!$AQ$467=TYPE3)*(TYPE3&lt;&gt;"")+('Dvd Calendar'!$AQ$467=TYPE4)*(TYPE4&lt;&gt;"")+('Dvd Calendar'!$AQ$467=SPECIAL_LBL)*(INC_SPECIALS="Y"))=0,"",'Dvd Calendar'!$AQ$465)))</f>
        <v/>
      </c>
      <c r="AP53" s="110">
        <f>IF(FR53="","",IF(ISNUMBER('Dvd Calendar'!$AR$465)=FALSE,"",IF((('Dvd Calendar'!$AR$467=TYPE1)*(TYPE1&lt;&gt;"")+('Dvd Calendar'!$AR$467=TYPE2)*(TYPE2&lt;&gt;"")+('Dvd Calendar'!$AR$467=TYPE3)*(TYPE3&lt;&gt;"")+('Dvd Calendar'!$AR$467=TYPE4)*(TYPE4&lt;&gt;"")+('Dvd Calendar'!$AR$467=SPECIAL_LBL)*(INC_SPECIALS="Y"))=0,"",'Dvd Calendar'!$AR$465)))</f>
        <v/>
      </c>
      <c r="AQ53" s="110">
        <f>IF(FS53="","",IF(ISNUMBER('Dvd Calendar'!$E$470)=FALSE,"",'Dvd Calendar'!$E$470))</f>
        <v/>
      </c>
      <c r="AR53" s="110">
        <f>IF(FT53="","",IF(ISNUMBER('Dvd Calendar'!$F$470)=FALSE,"",'Dvd Calendar'!$F$470))</f>
        <v/>
      </c>
      <c r="AS53" s="110">
        <f>IF(FU53="","",IF(ISNUMBER('Dvd Calendar'!$G$470)=FALSE,"",'Dvd Calendar'!$G$470))</f>
        <v/>
      </c>
      <c r="AT53" s="110">
        <f>IF(FV53="","",IF(ISNUMBER('Dvd Calendar'!$H$470)=FALSE,"",'Dvd Calendar'!$H$470))</f>
        <v/>
      </c>
      <c r="AU53" s="110">
        <f>IF(FW53="","",IF(ISNUMBER('Dvd Calendar'!$I$470)=FALSE,"",'Dvd Calendar'!$I$470))</f>
        <v/>
      </c>
      <c r="AV53" s="110">
        <f>IF(FX53="","",IF(ISNUMBER('Dvd Calendar'!$J$470)=FALSE,"",'Dvd Calendar'!$J$470))</f>
        <v/>
      </c>
      <c r="AW53" s="110">
        <f>IF(FY53="","",IF(ISNUMBER('Dvd Calendar'!$K$470)=FALSE,"",'Dvd Calendar'!$K$470))</f>
        <v/>
      </c>
      <c r="AX53" s="110">
        <f>IF(FZ53="","",IF(ISNUMBER('Dvd Calendar'!$L$470)=FALSE,"",'Dvd Calendar'!$L$470))</f>
        <v/>
      </c>
      <c r="AY53" s="110">
        <f>IF(GA53="","",IF(ISNUMBER('Dvd Calendar'!$M$470)=FALSE,"",'Dvd Calendar'!$M$470))</f>
        <v/>
      </c>
      <c r="AZ53" s="110">
        <f>IF(GB53="","",IF(ISNUMBER('Dvd Calendar'!$N$470)=FALSE,"",'Dvd Calendar'!$N$470))</f>
        <v/>
      </c>
      <c r="BA53" s="110">
        <f>IF(GC53="","",IF(ISNUMBER('Dvd Calendar'!$O$470)=FALSE,"",'Dvd Calendar'!$O$470))</f>
        <v/>
      </c>
      <c r="BB53" s="110">
        <f>IF(GD53="","",IF(ISNUMBER('Dvd Calendar'!$P$470)=FALSE,"",'Dvd Calendar'!$P$470))</f>
        <v/>
      </c>
      <c r="BC53" s="110">
        <f>IF(GE53="","",IF(ISNUMBER('Dvd Calendar'!$Q$470)=FALSE,"",'Dvd Calendar'!$Q$470))</f>
        <v/>
      </c>
      <c r="BD53" s="110">
        <f>IF(GF53="","",IF(ISNUMBER('Dvd Calendar'!$R$470)=FALSE,"",'Dvd Calendar'!$R$470))</f>
        <v/>
      </c>
      <c r="BE53" s="110">
        <f>IF(GG53="","",IF(ISNUMBER('Dvd Calendar'!$S$470)=FALSE,"",'Dvd Calendar'!$S$470))</f>
        <v/>
      </c>
      <c r="BF53" s="110">
        <f>IF(GH53="","",IF(ISNUMBER('Dvd Calendar'!$T$470)=FALSE,"",'Dvd Calendar'!$T$470))</f>
        <v/>
      </c>
      <c r="BG53" s="110">
        <f>IF(GI53="","",IF(ISNUMBER('Dvd Calendar'!$U$470)=FALSE,"",'Dvd Calendar'!$U$470))</f>
        <v/>
      </c>
      <c r="BH53" s="110">
        <f>IF(GJ53="","",IF(ISNUMBER('Dvd Calendar'!$V$470)=FALSE,"",'Dvd Calendar'!$V$470))</f>
        <v/>
      </c>
      <c r="BI53" s="110">
        <f>IF(GK53="","",IF(ISNUMBER('Dvd Calendar'!$W$470)=FALSE,"",'Dvd Calendar'!$W$470))</f>
        <v/>
      </c>
      <c r="BJ53" s="110">
        <f>IF(GL53="","",IF(ISNUMBER('Dvd Calendar'!$X$470)=FALSE,"",'Dvd Calendar'!$X$470))</f>
        <v/>
      </c>
      <c r="BK53" s="110">
        <f>IF(GM53="","",IF(ISNUMBER('Dvd Calendar'!$Y$470)=FALSE,"",'Dvd Calendar'!$Y$470))</f>
        <v/>
      </c>
      <c r="BL53" s="110">
        <f>IF(GN53="","",IF(ISNUMBER('Dvd Calendar'!$Z$470)=FALSE,"",'Dvd Calendar'!$Z$470))</f>
        <v/>
      </c>
      <c r="BM53" s="110">
        <f>IF(GO53="","",IF(ISNUMBER('Dvd Calendar'!$AA$470)=FALSE,"",'Dvd Calendar'!$AA$470))</f>
        <v/>
      </c>
      <c r="BN53" s="110">
        <f>IF(GP53="","",IF(ISNUMBER('Dvd Calendar'!$AB$470)=FALSE,"",'Dvd Calendar'!$AB$470))</f>
        <v/>
      </c>
      <c r="BO53" s="110">
        <f>IF(GQ53="","",IF(ISNUMBER('Dvd Calendar'!$AC$470)=FALSE,"",'Dvd Calendar'!$AC$470))</f>
        <v/>
      </c>
      <c r="BQ53" s="110">
        <f>IF(C53="","",IFERROR(C53*HSI!$B$48*HSI!$G$48/HSI!$B$3,""))</f>
        <v/>
      </c>
      <c r="BR53" s="110">
        <f>IF(D53="","",IFERROR(D53*HSI!$B$48*HSI!$G$48/HSI!$B$3,""))</f>
        <v/>
      </c>
      <c r="BS53" s="110">
        <f>IF(E53="","",IFERROR(E53*HSI!$B$48*HSI!$G$48/HSI!$B$3,""))</f>
        <v/>
      </c>
      <c r="BT53" s="110">
        <f>IF(F53="","",IFERROR(F53*HSI!$B$48*HSI!$G$48/HSI!$B$3,""))</f>
        <v/>
      </c>
      <c r="BU53" s="110">
        <f>IF(G53="","",IFERROR(G53*HSI!$B$48*HSI!$G$48/HSI!$B$3,""))</f>
        <v/>
      </c>
      <c r="BV53" s="110">
        <f>IF(H53="","",IFERROR(H53*HSI!$B$48*HSI!$G$48/HSI!$B$3,""))</f>
        <v/>
      </c>
      <c r="BW53" s="110">
        <f>IF(I53="","",IFERROR(I53*HSI!$B$48*HSI!$G$48/HSI!$B$3,""))</f>
        <v/>
      </c>
      <c r="BX53" s="110">
        <f>IF(J53="","",IFERROR(J53*HSI!$B$48*HSI!$G$48/HSI!$B$3,""))</f>
        <v/>
      </c>
      <c r="BY53" s="110">
        <f>IF(K53="","",IFERROR(K53*HSI!$B$48*HSI!$G$48/HSI!$B$3,""))</f>
        <v/>
      </c>
      <c r="BZ53" s="110">
        <f>IF(L53="","",IFERROR(L53*HSI!$B$48*HSI!$G$48/HSI!$B$3,""))</f>
        <v/>
      </c>
      <c r="CA53" s="110">
        <f>IF(M53="","",IFERROR(M53*HSI!$B$48*HSI!$G$48/HSI!$B$3,""))</f>
        <v/>
      </c>
      <c r="CB53" s="110">
        <f>IF(N53="","",IFERROR(N53*HSI!$B$48*HSI!$G$48/HSI!$B$3,""))</f>
        <v/>
      </c>
      <c r="CC53" s="110">
        <f>IF(O53="","",IFERROR(O53*HSI!$B$48*HSI!$G$48/HSI!$B$3,""))</f>
        <v/>
      </c>
      <c r="CD53" s="110">
        <f>IF(P53="","",IFERROR(P53*HSI!$B$48*HSI!$G$48/HSI!$B$3,""))</f>
        <v/>
      </c>
      <c r="CE53" s="110">
        <f>IF(Q53="","",IFERROR(Q53*HSI!$B$48*HSI!$G$48/HSI!$B$3,""))</f>
        <v/>
      </c>
      <c r="CF53" s="110">
        <f>IF(R53="","",IFERROR(R53*HSI!$B$48*HSI!$G$48/HSI!$B$3,""))</f>
        <v/>
      </c>
      <c r="CG53" s="110">
        <f>IF(S53="","",IFERROR(S53*HSI!$B$48*HSI!$G$48/HSI!$B$3,""))</f>
        <v/>
      </c>
      <c r="CH53" s="110">
        <f>IF(T53="","",IFERROR(T53*HSI!$B$48*HSI!$G$48/HSI!$B$3,""))</f>
        <v/>
      </c>
      <c r="CI53" s="110">
        <f>IF(U53="","",IFERROR(U53*HSI!$B$48*HSI!$G$48/HSI!$B$3,""))</f>
        <v/>
      </c>
      <c r="CJ53" s="110">
        <f>IF(V53="","",IFERROR(V53*HSI!$B$48*HSI!$G$48/HSI!$B$3,""))</f>
        <v/>
      </c>
      <c r="CK53" s="110">
        <f>IF(W53="","",IFERROR(W53*HSI!$B$48*HSI!$G$48/HSI!$B$3,""))</f>
        <v/>
      </c>
      <c r="CL53" s="110">
        <f>IF(X53="","",IFERROR(X53*HSI!$B$48*HSI!$G$48/HSI!$B$3,""))</f>
        <v/>
      </c>
      <c r="CM53" s="110">
        <f>IF(Y53="","",IFERROR(Y53*HSI!$B$48*HSI!$G$48/HSI!$B$3,""))</f>
        <v/>
      </c>
      <c r="CN53" s="110">
        <f>IF(Z53="","",IFERROR(Z53*HSI!$B$48*HSI!$G$48/HSI!$B$3,""))</f>
        <v/>
      </c>
      <c r="CO53" s="110">
        <f>IF(AA53="","",IFERROR(AA53*HSI!$B$48*HSI!$G$48/HSI!$B$3,""))</f>
        <v/>
      </c>
      <c r="CP53" s="110">
        <f>IF(AB53="","",IFERROR(AB53*HSI!$B$48*HSI!$G$48/HSI!$B$3,""))</f>
        <v/>
      </c>
      <c r="CQ53" s="110">
        <f>IF(AC53="","",IFERROR(AC53*HSI!$B$48*HSI!$G$48/HSI!$B$3,""))</f>
        <v/>
      </c>
      <c r="CR53" s="110">
        <f>IF(AD53="","",IFERROR(AD53*HSI!$B$48*HSI!$G$48/HSI!$B$3,""))</f>
        <v/>
      </c>
      <c r="CS53" s="110">
        <f>IF(AE53="","",IFERROR(AE53*HSI!$B$48*HSI!$G$48/HSI!$B$3,""))</f>
        <v/>
      </c>
      <c r="CT53" s="110">
        <f>IF(AF53="","",IFERROR(AF53*HSI!$B$48*HSI!$G$48/HSI!$B$3,""))</f>
        <v/>
      </c>
      <c r="CU53" s="110">
        <f>IF(AG53="","",IFERROR(AG53*HSI!$B$48*HSI!$G$48/HSI!$B$3,""))</f>
        <v/>
      </c>
      <c r="CV53" s="110">
        <f>IF(AH53="","",IFERROR(AH53*HSI!$B$48*HSI!$G$48/HSI!$B$3,""))</f>
        <v/>
      </c>
      <c r="CW53" s="110">
        <f>IF(AI53="","",IFERROR(AI53*HSI!$B$48*HSI!$G$48/HSI!$B$3,""))</f>
        <v/>
      </c>
      <c r="CX53" s="110">
        <f>IF(AJ53="","",IFERROR(AJ53*HSI!$B$48*HSI!$G$48/HSI!$B$3,""))</f>
        <v/>
      </c>
      <c r="CY53" s="110">
        <f>IF(AK53="","",IFERROR(AK53*HSI!$B$48*HSI!$G$48/HSI!$B$3,""))</f>
        <v/>
      </c>
      <c r="CZ53" s="110">
        <f>IF(AL53="","",IFERROR(AL53*HSI!$B$48*HSI!$G$48/HSI!$B$3,""))</f>
        <v/>
      </c>
      <c r="DA53" s="110">
        <f>IF(AM53="","",IFERROR(AM53*HSI!$B$48*HSI!$G$48/HSI!$B$3,""))</f>
        <v/>
      </c>
      <c r="DB53" s="110">
        <f>IF(AN53="","",IFERROR(AN53*HSI!$B$48*HSI!$G$48/HSI!$B$3,""))</f>
        <v/>
      </c>
      <c r="DC53" s="110">
        <f>IF(AO53="","",IFERROR(AO53*HSI!$B$48*HSI!$G$48/HSI!$B$3,""))</f>
        <v/>
      </c>
      <c r="DD53" s="110">
        <f>IF(AP53="","",IFERROR(AP53*HSI!$B$48*HSI!$G$48/HSI!$B$3,""))</f>
        <v/>
      </c>
      <c r="DE53" s="110">
        <f>IF(AQ53="","",IFERROR(AQ53*HSI!$B$48*HSI!$G$48/HSI!$B$3,""))</f>
        <v/>
      </c>
      <c r="DF53" s="110">
        <f>IF(AR53="","",IFERROR(AR53*HSI!$B$48*HSI!$G$48/HSI!$B$3,""))</f>
        <v/>
      </c>
      <c r="DG53" s="110">
        <f>IF(AS53="","",IFERROR(AS53*HSI!$B$48*HSI!$G$48/HSI!$B$3,""))</f>
        <v/>
      </c>
      <c r="DH53" s="110">
        <f>IF(AT53="","",IFERROR(AT53*HSI!$B$48*HSI!$G$48/HSI!$B$3,""))</f>
        <v/>
      </c>
      <c r="DI53" s="110">
        <f>IF(AU53="","",IFERROR(AU53*HSI!$B$48*HSI!$G$48/HSI!$B$3,""))</f>
        <v/>
      </c>
      <c r="DJ53" s="110">
        <f>IF(AV53="","",IFERROR(AV53*HSI!$B$48*HSI!$G$48/HSI!$B$3,""))</f>
        <v/>
      </c>
      <c r="DK53" s="110">
        <f>IF(AW53="","",IFERROR(AW53*HSI!$B$48*HSI!$G$48/HSI!$B$3,""))</f>
        <v/>
      </c>
      <c r="DL53" s="110">
        <f>IF(AX53="","",IFERROR(AX53*HSI!$B$48*HSI!$G$48/HSI!$B$3,""))</f>
        <v/>
      </c>
      <c r="DM53" s="110">
        <f>IF(AY53="","",IFERROR(AY53*HSI!$B$48*HSI!$G$48/HSI!$B$3,""))</f>
        <v/>
      </c>
      <c r="DN53" s="110">
        <f>IF(AZ53="","",IFERROR(AZ53*HSI!$B$48*HSI!$G$48/HSI!$B$3,""))</f>
        <v/>
      </c>
      <c r="DO53" s="110">
        <f>IF(BA53="","",IFERROR(BA53*HSI!$B$48*HSI!$G$48/HSI!$B$3,""))</f>
        <v/>
      </c>
      <c r="DP53" s="110">
        <f>IF(BB53="","",IFERROR(BB53*HSI!$B$48*HSI!$G$48/HSI!$B$3,""))</f>
        <v/>
      </c>
      <c r="DQ53" s="110">
        <f>IF(BC53="","",IFERROR(BC53*HSI!$B$48*HSI!$G$48/HSI!$B$3,""))</f>
        <v/>
      </c>
      <c r="DR53" s="110">
        <f>IF(BD53="","",IFERROR(BD53*HSI!$B$48*HSI!$G$48/HSI!$B$3,""))</f>
        <v/>
      </c>
      <c r="DS53" s="110">
        <f>IF(BE53="","",IFERROR(BE53*HSI!$B$48*HSI!$G$48/HSI!$B$3,""))</f>
        <v/>
      </c>
      <c r="DT53" s="110">
        <f>IF(BF53="","",IFERROR(BF53*HSI!$B$48*HSI!$G$48/HSI!$B$3,""))</f>
        <v/>
      </c>
      <c r="DU53" s="110">
        <f>IF(BG53="","",IFERROR(BG53*HSI!$B$48*HSI!$G$48/HSI!$B$3,""))</f>
        <v/>
      </c>
      <c r="DV53" s="110">
        <f>IF(BH53="","",IFERROR(BH53*HSI!$B$48*HSI!$G$48/HSI!$B$3,""))</f>
        <v/>
      </c>
      <c r="DW53" s="110">
        <f>IF(BI53="","",IFERROR(BI53*HSI!$B$48*HSI!$G$48/HSI!$B$3,""))</f>
        <v/>
      </c>
      <c r="DX53" s="110">
        <f>IF(BJ53="","",IFERROR(BJ53*HSI!$B$48*HSI!$G$48/HSI!$B$3,""))</f>
        <v/>
      </c>
      <c r="DY53" s="110">
        <f>IF(BK53="","",IFERROR(BK53*HSI!$B$48*HSI!$G$48/HSI!$B$3,""))</f>
        <v/>
      </c>
      <c r="DZ53" s="110">
        <f>IF(BL53="","",IFERROR(BL53*HSI!$B$48*HSI!$G$48/HSI!$B$3,""))</f>
        <v/>
      </c>
      <c r="EA53" s="110">
        <f>IF(BM53="","",IFERROR(BM53*HSI!$B$48*HSI!$G$48/HSI!$B$3,""))</f>
        <v/>
      </c>
      <c r="EB53" s="110">
        <f>IF(BN53="","",IFERROR(BN53*HSI!$B$48*HSI!$G$48/HSI!$B$3,""))</f>
        <v/>
      </c>
      <c r="EC53" s="110">
        <f>IF(BO53="","",IFERROR(BO53*HSI!$B$48*HSI!$G$48/HSI!$B$3,""))</f>
        <v/>
      </c>
      <c r="EE53" s="39">
        <f>IF(N('Dvd Calendar'!$E$462)=0,"",IF(('Dvd Calendar'!$E$462&gt;=GRID_FROM)*('Dvd Calendar'!$E$462&lt;=GRID_TO)*((('Dvd Calendar'!$E$462&lt;=VAL_DATE)+(COUNTIF('Dvd Calendar'!$E$469:$AR$469,'Dvd Calendar'!$E$462)=0))&gt;0)=0,"",'Dvd Calendar'!$E$462*1000000000+ISNUMBER('Dvd Calendar'!$E$465)*100000000+('Dvd Calendar'!$E$467=SPECIAL_LBL)*10000000+(N('Dvd Calendar'!$E$461)&gt;0)*(N('Dvd Calendar'!$E$461)&lt;=VAL_SERIAL)*1000000+42*1000+1))</f>
        <v/>
      </c>
      <c r="EF53" s="39">
        <f>IF(N('Dvd Calendar'!$F$462)=0,"",IF(('Dvd Calendar'!$F$462&gt;=GRID_FROM)*('Dvd Calendar'!$F$462&lt;=GRID_TO)*((('Dvd Calendar'!$F$462&lt;=VAL_DATE)+(COUNTIF('Dvd Calendar'!$E$469:$AR$469,'Dvd Calendar'!$F$462)=0))&gt;0)=0,"",'Dvd Calendar'!$F$462*1000000000+ISNUMBER('Dvd Calendar'!$F$465)*100000000+('Dvd Calendar'!$F$467=SPECIAL_LBL)*10000000+(N('Dvd Calendar'!$F$461)&gt;0)*(N('Dvd Calendar'!$F$461)&lt;=VAL_SERIAL)*1000000+42*1000+2))</f>
        <v/>
      </c>
      <c r="EG53" s="39">
        <f>IF(N('Dvd Calendar'!$G$462)=0,"",IF(('Dvd Calendar'!$G$462&gt;=GRID_FROM)*('Dvd Calendar'!$G$462&lt;=GRID_TO)*((('Dvd Calendar'!$G$462&lt;=VAL_DATE)+(COUNTIF('Dvd Calendar'!$E$469:$AR$469,'Dvd Calendar'!$G$462)=0))&gt;0)=0,"",'Dvd Calendar'!$G$462*1000000000+ISNUMBER('Dvd Calendar'!$G$465)*100000000+('Dvd Calendar'!$G$467=SPECIAL_LBL)*10000000+(N('Dvd Calendar'!$G$461)&gt;0)*(N('Dvd Calendar'!$G$461)&lt;=VAL_SERIAL)*1000000+42*1000+3))</f>
        <v/>
      </c>
      <c r="EH53" s="39">
        <f>IF(N('Dvd Calendar'!$H$462)=0,"",IF(('Dvd Calendar'!$H$462&gt;=GRID_FROM)*('Dvd Calendar'!$H$462&lt;=GRID_TO)*((('Dvd Calendar'!$H$462&lt;=VAL_DATE)+(COUNTIF('Dvd Calendar'!$E$469:$AR$469,'Dvd Calendar'!$H$462)=0))&gt;0)=0,"",'Dvd Calendar'!$H$462*1000000000+ISNUMBER('Dvd Calendar'!$H$465)*100000000+('Dvd Calendar'!$H$467=SPECIAL_LBL)*10000000+(N('Dvd Calendar'!$H$461)&gt;0)*(N('Dvd Calendar'!$H$461)&lt;=VAL_SERIAL)*1000000+42*1000+4))</f>
        <v/>
      </c>
      <c r="EI53" s="39">
        <f>IF(N('Dvd Calendar'!$I$462)=0,"",IF(('Dvd Calendar'!$I$462&gt;=GRID_FROM)*('Dvd Calendar'!$I$462&lt;=GRID_TO)*((('Dvd Calendar'!$I$462&lt;=VAL_DATE)+(COUNTIF('Dvd Calendar'!$E$469:$AR$469,'Dvd Calendar'!$I$462)=0))&gt;0)=0,"",'Dvd Calendar'!$I$462*1000000000+ISNUMBER('Dvd Calendar'!$I$465)*100000000+('Dvd Calendar'!$I$467=SPECIAL_LBL)*10000000+(N('Dvd Calendar'!$I$461)&gt;0)*(N('Dvd Calendar'!$I$461)&lt;=VAL_SERIAL)*1000000+42*1000+5))</f>
        <v/>
      </c>
      <c r="EJ53" s="39">
        <f>IF(N('Dvd Calendar'!$J$462)=0,"",IF(('Dvd Calendar'!$J$462&gt;=GRID_FROM)*('Dvd Calendar'!$J$462&lt;=GRID_TO)*((('Dvd Calendar'!$J$462&lt;=VAL_DATE)+(COUNTIF('Dvd Calendar'!$E$469:$AR$469,'Dvd Calendar'!$J$462)=0))&gt;0)=0,"",'Dvd Calendar'!$J$462*1000000000+ISNUMBER('Dvd Calendar'!$J$465)*100000000+('Dvd Calendar'!$J$467=SPECIAL_LBL)*10000000+(N('Dvd Calendar'!$J$461)&gt;0)*(N('Dvd Calendar'!$J$461)&lt;=VAL_SERIAL)*1000000+42*1000+6))</f>
        <v/>
      </c>
      <c r="EK53" s="39">
        <f>IF(N('Dvd Calendar'!$K$462)=0,"",IF(('Dvd Calendar'!$K$462&gt;=GRID_FROM)*('Dvd Calendar'!$K$462&lt;=GRID_TO)*((('Dvd Calendar'!$K$462&lt;=VAL_DATE)+(COUNTIF('Dvd Calendar'!$E$469:$AR$469,'Dvd Calendar'!$K$462)=0))&gt;0)=0,"",'Dvd Calendar'!$K$462*1000000000+ISNUMBER('Dvd Calendar'!$K$465)*100000000+('Dvd Calendar'!$K$467=SPECIAL_LBL)*10000000+(N('Dvd Calendar'!$K$461)&gt;0)*(N('Dvd Calendar'!$K$461)&lt;=VAL_SERIAL)*1000000+42*1000+7))</f>
        <v/>
      </c>
      <c r="EL53" s="39">
        <f>IF(N('Dvd Calendar'!$L$462)=0,"",IF(('Dvd Calendar'!$L$462&gt;=GRID_FROM)*('Dvd Calendar'!$L$462&lt;=GRID_TO)*((('Dvd Calendar'!$L$462&lt;=VAL_DATE)+(COUNTIF('Dvd Calendar'!$E$469:$AR$469,'Dvd Calendar'!$L$462)=0))&gt;0)=0,"",'Dvd Calendar'!$L$462*1000000000+ISNUMBER('Dvd Calendar'!$L$465)*100000000+('Dvd Calendar'!$L$467=SPECIAL_LBL)*10000000+(N('Dvd Calendar'!$L$461)&gt;0)*(N('Dvd Calendar'!$L$461)&lt;=VAL_SERIAL)*1000000+42*1000+8))</f>
        <v/>
      </c>
      <c r="EM53" s="39">
        <f>IF(N('Dvd Calendar'!$M$462)=0,"",IF(('Dvd Calendar'!$M$462&gt;=GRID_FROM)*('Dvd Calendar'!$M$462&lt;=GRID_TO)*((('Dvd Calendar'!$M$462&lt;=VAL_DATE)+(COUNTIF('Dvd Calendar'!$E$469:$AR$469,'Dvd Calendar'!$M$462)=0))&gt;0)=0,"",'Dvd Calendar'!$M$462*1000000000+ISNUMBER('Dvd Calendar'!$M$465)*100000000+('Dvd Calendar'!$M$467=SPECIAL_LBL)*10000000+(N('Dvd Calendar'!$M$461)&gt;0)*(N('Dvd Calendar'!$M$461)&lt;=VAL_SERIAL)*1000000+42*1000+9))</f>
        <v/>
      </c>
      <c r="EN53" s="39">
        <f>IF(N('Dvd Calendar'!$N$462)=0,"",IF(('Dvd Calendar'!$N$462&gt;=GRID_FROM)*('Dvd Calendar'!$N$462&lt;=GRID_TO)*((('Dvd Calendar'!$N$462&lt;=VAL_DATE)+(COUNTIF('Dvd Calendar'!$E$469:$AR$469,'Dvd Calendar'!$N$462)=0))&gt;0)=0,"",'Dvd Calendar'!$N$462*1000000000+ISNUMBER('Dvd Calendar'!$N$465)*100000000+('Dvd Calendar'!$N$467=SPECIAL_LBL)*10000000+(N('Dvd Calendar'!$N$461)&gt;0)*(N('Dvd Calendar'!$N$461)&lt;=VAL_SERIAL)*1000000+42*1000+10))</f>
        <v/>
      </c>
      <c r="EO53" s="39">
        <f>IF(N('Dvd Calendar'!$O$462)=0,"",IF(('Dvd Calendar'!$O$462&gt;=GRID_FROM)*('Dvd Calendar'!$O$462&lt;=GRID_TO)*((('Dvd Calendar'!$O$462&lt;=VAL_DATE)+(COUNTIF('Dvd Calendar'!$E$469:$AR$469,'Dvd Calendar'!$O$462)=0))&gt;0)=0,"",'Dvd Calendar'!$O$462*1000000000+ISNUMBER('Dvd Calendar'!$O$465)*100000000+('Dvd Calendar'!$O$467=SPECIAL_LBL)*10000000+(N('Dvd Calendar'!$O$461)&gt;0)*(N('Dvd Calendar'!$O$461)&lt;=VAL_SERIAL)*1000000+42*1000+11))</f>
        <v/>
      </c>
      <c r="EP53" s="39">
        <f>IF(N('Dvd Calendar'!$P$462)=0,"",IF(('Dvd Calendar'!$P$462&gt;=GRID_FROM)*('Dvd Calendar'!$P$462&lt;=GRID_TO)*((('Dvd Calendar'!$P$462&lt;=VAL_DATE)+(COUNTIF('Dvd Calendar'!$E$469:$AR$469,'Dvd Calendar'!$P$462)=0))&gt;0)=0,"",'Dvd Calendar'!$P$462*1000000000+ISNUMBER('Dvd Calendar'!$P$465)*100000000+('Dvd Calendar'!$P$467=SPECIAL_LBL)*10000000+(N('Dvd Calendar'!$P$461)&gt;0)*(N('Dvd Calendar'!$P$461)&lt;=VAL_SERIAL)*1000000+42*1000+12))</f>
        <v/>
      </c>
      <c r="EQ53" s="39">
        <f>IF(N('Dvd Calendar'!$Q$462)=0,"",IF(('Dvd Calendar'!$Q$462&gt;=GRID_FROM)*('Dvd Calendar'!$Q$462&lt;=GRID_TO)*((('Dvd Calendar'!$Q$462&lt;=VAL_DATE)+(COUNTIF('Dvd Calendar'!$E$469:$AR$469,'Dvd Calendar'!$Q$462)=0))&gt;0)=0,"",'Dvd Calendar'!$Q$462*1000000000+ISNUMBER('Dvd Calendar'!$Q$465)*100000000+('Dvd Calendar'!$Q$467=SPECIAL_LBL)*10000000+(N('Dvd Calendar'!$Q$461)&gt;0)*(N('Dvd Calendar'!$Q$461)&lt;=VAL_SERIAL)*1000000+42*1000+13))</f>
        <v/>
      </c>
      <c r="ER53" s="39">
        <f>IF(N('Dvd Calendar'!$R$462)=0,"",IF(('Dvd Calendar'!$R$462&gt;=GRID_FROM)*('Dvd Calendar'!$R$462&lt;=GRID_TO)*((('Dvd Calendar'!$R$462&lt;=VAL_DATE)+(COUNTIF('Dvd Calendar'!$E$469:$AR$469,'Dvd Calendar'!$R$462)=0))&gt;0)=0,"",'Dvd Calendar'!$R$462*1000000000+ISNUMBER('Dvd Calendar'!$R$465)*100000000+('Dvd Calendar'!$R$467=SPECIAL_LBL)*10000000+(N('Dvd Calendar'!$R$461)&gt;0)*(N('Dvd Calendar'!$R$461)&lt;=VAL_SERIAL)*1000000+42*1000+14))</f>
        <v/>
      </c>
      <c r="ES53" s="39">
        <f>IF(N('Dvd Calendar'!$S$462)=0,"",IF(('Dvd Calendar'!$S$462&gt;=GRID_FROM)*('Dvd Calendar'!$S$462&lt;=GRID_TO)*((('Dvd Calendar'!$S$462&lt;=VAL_DATE)+(COUNTIF('Dvd Calendar'!$E$469:$AR$469,'Dvd Calendar'!$S$462)=0))&gt;0)=0,"",'Dvd Calendar'!$S$462*1000000000+ISNUMBER('Dvd Calendar'!$S$465)*100000000+('Dvd Calendar'!$S$467=SPECIAL_LBL)*10000000+(N('Dvd Calendar'!$S$461)&gt;0)*(N('Dvd Calendar'!$S$461)&lt;=VAL_SERIAL)*1000000+42*1000+15))</f>
        <v/>
      </c>
      <c r="ET53" s="39">
        <f>IF(N('Dvd Calendar'!$T$462)=0,"",IF(('Dvd Calendar'!$T$462&gt;=GRID_FROM)*('Dvd Calendar'!$T$462&lt;=GRID_TO)*((('Dvd Calendar'!$T$462&lt;=VAL_DATE)+(COUNTIF('Dvd Calendar'!$E$469:$AR$469,'Dvd Calendar'!$T$462)=0))&gt;0)=0,"",'Dvd Calendar'!$T$462*1000000000+ISNUMBER('Dvd Calendar'!$T$465)*100000000+('Dvd Calendar'!$T$467=SPECIAL_LBL)*10000000+(N('Dvd Calendar'!$T$461)&gt;0)*(N('Dvd Calendar'!$T$461)&lt;=VAL_SERIAL)*1000000+42*1000+16))</f>
        <v/>
      </c>
      <c r="EU53" s="39">
        <f>IF(N('Dvd Calendar'!$U$462)=0,"",IF(('Dvd Calendar'!$U$462&gt;=GRID_FROM)*('Dvd Calendar'!$U$462&lt;=GRID_TO)*((('Dvd Calendar'!$U$462&lt;=VAL_DATE)+(COUNTIF('Dvd Calendar'!$E$469:$AR$469,'Dvd Calendar'!$U$462)=0))&gt;0)=0,"",'Dvd Calendar'!$U$462*1000000000+ISNUMBER('Dvd Calendar'!$U$465)*100000000+('Dvd Calendar'!$U$467=SPECIAL_LBL)*10000000+(N('Dvd Calendar'!$U$461)&gt;0)*(N('Dvd Calendar'!$U$461)&lt;=VAL_SERIAL)*1000000+42*1000+17))</f>
        <v/>
      </c>
      <c r="EV53" s="39">
        <f>IF(N('Dvd Calendar'!$V$462)=0,"",IF(('Dvd Calendar'!$V$462&gt;=GRID_FROM)*('Dvd Calendar'!$V$462&lt;=GRID_TO)*((('Dvd Calendar'!$V$462&lt;=VAL_DATE)+(COUNTIF('Dvd Calendar'!$E$469:$AR$469,'Dvd Calendar'!$V$462)=0))&gt;0)=0,"",'Dvd Calendar'!$V$462*1000000000+ISNUMBER('Dvd Calendar'!$V$465)*100000000+('Dvd Calendar'!$V$467=SPECIAL_LBL)*10000000+(N('Dvd Calendar'!$V$461)&gt;0)*(N('Dvd Calendar'!$V$461)&lt;=VAL_SERIAL)*1000000+42*1000+18))</f>
        <v/>
      </c>
      <c r="EW53" s="39">
        <f>IF(N('Dvd Calendar'!$W$462)=0,"",IF(('Dvd Calendar'!$W$462&gt;=GRID_FROM)*('Dvd Calendar'!$W$462&lt;=GRID_TO)*((('Dvd Calendar'!$W$462&lt;=VAL_DATE)+(COUNTIF('Dvd Calendar'!$E$469:$AR$469,'Dvd Calendar'!$W$462)=0))&gt;0)=0,"",'Dvd Calendar'!$W$462*1000000000+ISNUMBER('Dvd Calendar'!$W$465)*100000000+('Dvd Calendar'!$W$467=SPECIAL_LBL)*10000000+(N('Dvd Calendar'!$W$461)&gt;0)*(N('Dvd Calendar'!$W$461)&lt;=VAL_SERIAL)*1000000+42*1000+19))</f>
        <v/>
      </c>
      <c r="EX53" s="39">
        <f>IF(N('Dvd Calendar'!$X$462)=0,"",IF(('Dvd Calendar'!$X$462&gt;=GRID_FROM)*('Dvd Calendar'!$X$462&lt;=GRID_TO)*((('Dvd Calendar'!$X$462&lt;=VAL_DATE)+(COUNTIF('Dvd Calendar'!$E$469:$AR$469,'Dvd Calendar'!$X$462)=0))&gt;0)=0,"",'Dvd Calendar'!$X$462*1000000000+ISNUMBER('Dvd Calendar'!$X$465)*100000000+('Dvd Calendar'!$X$467=SPECIAL_LBL)*10000000+(N('Dvd Calendar'!$X$461)&gt;0)*(N('Dvd Calendar'!$X$461)&lt;=VAL_SERIAL)*1000000+42*1000+20))</f>
        <v/>
      </c>
      <c r="EY53" s="39">
        <f>IF(N('Dvd Calendar'!$Y$462)=0,"",IF(('Dvd Calendar'!$Y$462&gt;=GRID_FROM)*('Dvd Calendar'!$Y$462&lt;=GRID_TO)*((('Dvd Calendar'!$Y$462&lt;=VAL_DATE)+(COUNTIF('Dvd Calendar'!$E$469:$AR$469,'Dvd Calendar'!$Y$462)=0))&gt;0)=0,"",'Dvd Calendar'!$Y$462*1000000000+ISNUMBER('Dvd Calendar'!$Y$465)*100000000+('Dvd Calendar'!$Y$467=SPECIAL_LBL)*10000000+(N('Dvd Calendar'!$Y$461)&gt;0)*(N('Dvd Calendar'!$Y$461)&lt;=VAL_SERIAL)*1000000+42*1000+21))</f>
        <v/>
      </c>
      <c r="EZ53" s="39">
        <f>IF(N('Dvd Calendar'!$Z$462)=0,"",IF(('Dvd Calendar'!$Z$462&gt;=GRID_FROM)*('Dvd Calendar'!$Z$462&lt;=GRID_TO)*((('Dvd Calendar'!$Z$462&lt;=VAL_DATE)+(COUNTIF('Dvd Calendar'!$E$469:$AR$469,'Dvd Calendar'!$Z$462)=0))&gt;0)=0,"",'Dvd Calendar'!$Z$462*1000000000+ISNUMBER('Dvd Calendar'!$Z$465)*100000000+('Dvd Calendar'!$Z$467=SPECIAL_LBL)*10000000+(N('Dvd Calendar'!$Z$461)&gt;0)*(N('Dvd Calendar'!$Z$461)&lt;=VAL_SERIAL)*1000000+42*1000+22))</f>
        <v/>
      </c>
      <c r="FA53" s="39">
        <f>IF(N('Dvd Calendar'!$AA$462)=0,"",IF(('Dvd Calendar'!$AA$462&gt;=GRID_FROM)*('Dvd Calendar'!$AA$462&lt;=GRID_TO)*((('Dvd Calendar'!$AA$462&lt;=VAL_DATE)+(COUNTIF('Dvd Calendar'!$E$469:$AR$469,'Dvd Calendar'!$AA$462)=0))&gt;0)=0,"",'Dvd Calendar'!$AA$462*1000000000+ISNUMBER('Dvd Calendar'!$AA$465)*100000000+('Dvd Calendar'!$AA$467=SPECIAL_LBL)*10000000+(N('Dvd Calendar'!$AA$461)&gt;0)*(N('Dvd Calendar'!$AA$461)&lt;=VAL_SERIAL)*1000000+42*1000+23))</f>
        <v/>
      </c>
      <c r="FB53" s="39">
        <f>IF(N('Dvd Calendar'!$AB$462)=0,"",IF(('Dvd Calendar'!$AB$462&gt;=GRID_FROM)*('Dvd Calendar'!$AB$462&lt;=GRID_TO)*((('Dvd Calendar'!$AB$462&lt;=VAL_DATE)+(COUNTIF('Dvd Calendar'!$E$469:$AR$469,'Dvd Calendar'!$AB$462)=0))&gt;0)=0,"",'Dvd Calendar'!$AB$462*1000000000+ISNUMBER('Dvd Calendar'!$AB$465)*100000000+('Dvd Calendar'!$AB$467=SPECIAL_LBL)*10000000+(N('Dvd Calendar'!$AB$461)&gt;0)*(N('Dvd Calendar'!$AB$461)&lt;=VAL_SERIAL)*1000000+42*1000+24))</f>
        <v/>
      </c>
      <c r="FC53" s="39">
        <f>IF(N('Dvd Calendar'!$AC$462)=0,"",IF(('Dvd Calendar'!$AC$462&gt;=GRID_FROM)*('Dvd Calendar'!$AC$462&lt;=GRID_TO)*((('Dvd Calendar'!$AC$462&lt;=VAL_DATE)+(COUNTIF('Dvd Calendar'!$E$469:$AR$469,'Dvd Calendar'!$AC$462)=0))&gt;0)=0,"",'Dvd Calendar'!$AC$462*1000000000+ISNUMBER('Dvd Calendar'!$AC$465)*100000000+('Dvd Calendar'!$AC$467=SPECIAL_LBL)*10000000+(N('Dvd Calendar'!$AC$461)&gt;0)*(N('Dvd Calendar'!$AC$461)&lt;=VAL_SERIAL)*1000000+42*1000+25))</f>
        <v/>
      </c>
      <c r="FD53" s="39">
        <f>IF(N('Dvd Calendar'!$AD$462)=0,"",IF(('Dvd Calendar'!$AD$462&gt;=GRID_FROM)*('Dvd Calendar'!$AD$462&lt;=GRID_TO)*((('Dvd Calendar'!$AD$462&lt;=VAL_DATE)+(COUNTIF('Dvd Calendar'!$E$469:$AR$469,'Dvd Calendar'!$AD$462)=0))&gt;0)=0,"",'Dvd Calendar'!$AD$462*1000000000+ISNUMBER('Dvd Calendar'!$AD$465)*100000000+('Dvd Calendar'!$AD$467=SPECIAL_LBL)*10000000+(N('Dvd Calendar'!$AD$461)&gt;0)*(N('Dvd Calendar'!$AD$461)&lt;=VAL_SERIAL)*1000000+42*1000+26))</f>
        <v/>
      </c>
      <c r="FE53" s="39">
        <f>IF(N('Dvd Calendar'!$AE$462)=0,"",IF(('Dvd Calendar'!$AE$462&gt;=GRID_FROM)*('Dvd Calendar'!$AE$462&lt;=GRID_TO)*((('Dvd Calendar'!$AE$462&lt;=VAL_DATE)+(COUNTIF('Dvd Calendar'!$E$469:$AR$469,'Dvd Calendar'!$AE$462)=0))&gt;0)=0,"",'Dvd Calendar'!$AE$462*1000000000+ISNUMBER('Dvd Calendar'!$AE$465)*100000000+('Dvd Calendar'!$AE$467=SPECIAL_LBL)*10000000+(N('Dvd Calendar'!$AE$461)&gt;0)*(N('Dvd Calendar'!$AE$461)&lt;=VAL_SERIAL)*1000000+42*1000+27))</f>
        <v/>
      </c>
      <c r="FF53" s="39">
        <f>IF(N('Dvd Calendar'!$AF$462)=0,"",IF(('Dvd Calendar'!$AF$462&gt;=GRID_FROM)*('Dvd Calendar'!$AF$462&lt;=GRID_TO)*((('Dvd Calendar'!$AF$462&lt;=VAL_DATE)+(COUNTIF('Dvd Calendar'!$E$469:$AR$469,'Dvd Calendar'!$AF$462)=0))&gt;0)=0,"",'Dvd Calendar'!$AF$462*1000000000+ISNUMBER('Dvd Calendar'!$AF$465)*100000000+('Dvd Calendar'!$AF$467=SPECIAL_LBL)*10000000+(N('Dvd Calendar'!$AF$461)&gt;0)*(N('Dvd Calendar'!$AF$461)&lt;=VAL_SERIAL)*1000000+42*1000+28))</f>
        <v/>
      </c>
      <c r="FG53" s="39">
        <f>IF(N('Dvd Calendar'!$AG$462)=0,"",IF(('Dvd Calendar'!$AG$462&gt;=GRID_FROM)*('Dvd Calendar'!$AG$462&lt;=GRID_TO)*((('Dvd Calendar'!$AG$462&lt;=VAL_DATE)+(COUNTIF('Dvd Calendar'!$E$469:$AR$469,'Dvd Calendar'!$AG$462)=0))&gt;0)=0,"",'Dvd Calendar'!$AG$462*1000000000+ISNUMBER('Dvd Calendar'!$AG$465)*100000000+('Dvd Calendar'!$AG$467=SPECIAL_LBL)*10000000+(N('Dvd Calendar'!$AG$461)&gt;0)*(N('Dvd Calendar'!$AG$461)&lt;=VAL_SERIAL)*1000000+42*1000+29))</f>
        <v/>
      </c>
      <c r="FH53" s="39">
        <f>IF(N('Dvd Calendar'!$AH$462)=0,"",IF(('Dvd Calendar'!$AH$462&gt;=GRID_FROM)*('Dvd Calendar'!$AH$462&lt;=GRID_TO)*((('Dvd Calendar'!$AH$462&lt;=VAL_DATE)+(COUNTIF('Dvd Calendar'!$E$469:$AR$469,'Dvd Calendar'!$AH$462)=0))&gt;0)=0,"",'Dvd Calendar'!$AH$462*1000000000+ISNUMBER('Dvd Calendar'!$AH$465)*100000000+('Dvd Calendar'!$AH$467=SPECIAL_LBL)*10000000+(N('Dvd Calendar'!$AH$461)&gt;0)*(N('Dvd Calendar'!$AH$461)&lt;=VAL_SERIAL)*1000000+42*1000+30))</f>
        <v/>
      </c>
      <c r="FI53" s="39">
        <f>IF(N('Dvd Calendar'!$AI$462)=0,"",IF(('Dvd Calendar'!$AI$462&gt;=GRID_FROM)*('Dvd Calendar'!$AI$462&lt;=GRID_TO)*((('Dvd Calendar'!$AI$462&lt;=VAL_DATE)+(COUNTIF('Dvd Calendar'!$E$469:$AR$469,'Dvd Calendar'!$AI$462)=0))&gt;0)=0,"",'Dvd Calendar'!$AI$462*1000000000+ISNUMBER('Dvd Calendar'!$AI$465)*100000000+('Dvd Calendar'!$AI$467=SPECIAL_LBL)*10000000+(N('Dvd Calendar'!$AI$461)&gt;0)*(N('Dvd Calendar'!$AI$461)&lt;=VAL_SERIAL)*1000000+42*1000+31))</f>
        <v/>
      </c>
      <c r="FJ53" s="39">
        <f>IF(N('Dvd Calendar'!$AJ$462)=0,"",IF(('Dvd Calendar'!$AJ$462&gt;=GRID_FROM)*('Dvd Calendar'!$AJ$462&lt;=GRID_TO)*((('Dvd Calendar'!$AJ$462&lt;=VAL_DATE)+(COUNTIF('Dvd Calendar'!$E$469:$AR$469,'Dvd Calendar'!$AJ$462)=0))&gt;0)=0,"",'Dvd Calendar'!$AJ$462*1000000000+ISNUMBER('Dvd Calendar'!$AJ$465)*100000000+('Dvd Calendar'!$AJ$467=SPECIAL_LBL)*10000000+(N('Dvd Calendar'!$AJ$461)&gt;0)*(N('Dvd Calendar'!$AJ$461)&lt;=VAL_SERIAL)*1000000+42*1000+32))</f>
        <v/>
      </c>
      <c r="FK53" s="39">
        <f>IF(N('Dvd Calendar'!$AK$462)=0,"",IF(('Dvd Calendar'!$AK$462&gt;=GRID_FROM)*('Dvd Calendar'!$AK$462&lt;=GRID_TO)*((('Dvd Calendar'!$AK$462&lt;=VAL_DATE)+(COUNTIF('Dvd Calendar'!$E$469:$AR$469,'Dvd Calendar'!$AK$462)=0))&gt;0)=0,"",'Dvd Calendar'!$AK$462*1000000000+ISNUMBER('Dvd Calendar'!$AK$465)*100000000+('Dvd Calendar'!$AK$467=SPECIAL_LBL)*10000000+(N('Dvd Calendar'!$AK$461)&gt;0)*(N('Dvd Calendar'!$AK$461)&lt;=VAL_SERIAL)*1000000+42*1000+33))</f>
        <v/>
      </c>
      <c r="FL53" s="39">
        <f>IF(N('Dvd Calendar'!$AL$462)=0,"",IF(('Dvd Calendar'!$AL$462&gt;=GRID_FROM)*('Dvd Calendar'!$AL$462&lt;=GRID_TO)*((('Dvd Calendar'!$AL$462&lt;=VAL_DATE)+(COUNTIF('Dvd Calendar'!$E$469:$AR$469,'Dvd Calendar'!$AL$462)=0))&gt;0)=0,"",'Dvd Calendar'!$AL$462*1000000000+ISNUMBER('Dvd Calendar'!$AL$465)*100000000+('Dvd Calendar'!$AL$467=SPECIAL_LBL)*10000000+(N('Dvd Calendar'!$AL$461)&gt;0)*(N('Dvd Calendar'!$AL$461)&lt;=VAL_SERIAL)*1000000+42*1000+34))</f>
        <v/>
      </c>
      <c r="FM53" s="39">
        <f>IF(N('Dvd Calendar'!$AM$462)=0,"",IF(('Dvd Calendar'!$AM$462&gt;=GRID_FROM)*('Dvd Calendar'!$AM$462&lt;=GRID_TO)*((('Dvd Calendar'!$AM$462&lt;=VAL_DATE)+(COUNTIF('Dvd Calendar'!$E$469:$AR$469,'Dvd Calendar'!$AM$462)=0))&gt;0)=0,"",'Dvd Calendar'!$AM$462*1000000000+ISNUMBER('Dvd Calendar'!$AM$465)*100000000+('Dvd Calendar'!$AM$467=SPECIAL_LBL)*10000000+(N('Dvd Calendar'!$AM$461)&gt;0)*(N('Dvd Calendar'!$AM$461)&lt;=VAL_SERIAL)*1000000+42*1000+35))</f>
        <v/>
      </c>
      <c r="FN53" s="39">
        <f>IF(N('Dvd Calendar'!$AN$462)=0,"",IF(('Dvd Calendar'!$AN$462&gt;=GRID_FROM)*('Dvd Calendar'!$AN$462&lt;=GRID_TO)*((('Dvd Calendar'!$AN$462&lt;=VAL_DATE)+(COUNTIF('Dvd Calendar'!$E$469:$AR$469,'Dvd Calendar'!$AN$462)=0))&gt;0)=0,"",'Dvd Calendar'!$AN$462*1000000000+ISNUMBER('Dvd Calendar'!$AN$465)*100000000+('Dvd Calendar'!$AN$467=SPECIAL_LBL)*10000000+(N('Dvd Calendar'!$AN$461)&gt;0)*(N('Dvd Calendar'!$AN$461)&lt;=VAL_SERIAL)*1000000+42*1000+36))</f>
        <v/>
      </c>
      <c r="FO53" s="39">
        <f>IF(N('Dvd Calendar'!$AO$462)=0,"",IF(('Dvd Calendar'!$AO$462&gt;=GRID_FROM)*('Dvd Calendar'!$AO$462&lt;=GRID_TO)*((('Dvd Calendar'!$AO$462&lt;=VAL_DATE)+(COUNTIF('Dvd Calendar'!$E$469:$AR$469,'Dvd Calendar'!$AO$462)=0))&gt;0)=0,"",'Dvd Calendar'!$AO$462*1000000000+ISNUMBER('Dvd Calendar'!$AO$465)*100000000+('Dvd Calendar'!$AO$467=SPECIAL_LBL)*10000000+(N('Dvd Calendar'!$AO$461)&gt;0)*(N('Dvd Calendar'!$AO$461)&lt;=VAL_SERIAL)*1000000+42*1000+37))</f>
        <v/>
      </c>
      <c r="FP53" s="39">
        <f>IF(N('Dvd Calendar'!$AP$462)=0,"",IF(('Dvd Calendar'!$AP$462&gt;=GRID_FROM)*('Dvd Calendar'!$AP$462&lt;=GRID_TO)*((('Dvd Calendar'!$AP$462&lt;=VAL_DATE)+(COUNTIF('Dvd Calendar'!$E$469:$AR$469,'Dvd Calendar'!$AP$462)=0))&gt;0)=0,"",'Dvd Calendar'!$AP$462*1000000000+ISNUMBER('Dvd Calendar'!$AP$465)*100000000+('Dvd Calendar'!$AP$467=SPECIAL_LBL)*10000000+(N('Dvd Calendar'!$AP$461)&gt;0)*(N('Dvd Calendar'!$AP$461)&lt;=VAL_SERIAL)*1000000+42*1000+38))</f>
        <v/>
      </c>
      <c r="FQ53" s="39">
        <f>IF(N('Dvd Calendar'!$AQ$462)=0,"",IF(('Dvd Calendar'!$AQ$462&gt;=GRID_FROM)*('Dvd Calendar'!$AQ$462&lt;=GRID_TO)*((('Dvd Calendar'!$AQ$462&lt;=VAL_DATE)+(COUNTIF('Dvd Calendar'!$E$469:$AR$469,'Dvd Calendar'!$AQ$462)=0))&gt;0)=0,"",'Dvd Calendar'!$AQ$462*1000000000+ISNUMBER('Dvd Calendar'!$AQ$465)*100000000+('Dvd Calendar'!$AQ$467=SPECIAL_LBL)*10000000+(N('Dvd Calendar'!$AQ$461)&gt;0)*(N('Dvd Calendar'!$AQ$461)&lt;=VAL_SERIAL)*1000000+42*1000+39))</f>
        <v/>
      </c>
      <c r="FR53" s="39">
        <f>IF(N('Dvd Calendar'!$AR$462)=0,"",IF(('Dvd Calendar'!$AR$462&gt;=GRID_FROM)*('Dvd Calendar'!$AR$462&lt;=GRID_TO)*((('Dvd Calendar'!$AR$462&lt;=VAL_DATE)+(COUNTIF('Dvd Calendar'!$E$469:$AR$469,'Dvd Calendar'!$AR$462)=0))&gt;0)=0,"",'Dvd Calendar'!$AR$462*1000000000+ISNUMBER('Dvd Calendar'!$AR$465)*100000000+('Dvd Calendar'!$AR$467=SPECIAL_LBL)*10000000+(N('Dvd Calendar'!$AR$461)&gt;0)*(N('Dvd Calendar'!$AR$461)&lt;=VAL_SERIAL)*1000000+42*1000+40))</f>
        <v/>
      </c>
      <c r="FS53" s="39">
        <f>IF(N('Dvd Calendar'!$E$469)=0,"",IF(('Dvd Calendar'!$E$469&gt;=GRID_FROM)*('Dvd Calendar'!$E$469&lt;=GRID_TO)*('Dvd Calendar'!$E$469&gt;VAL_DATE)=0,"",'Dvd Calendar'!$E$469*1000000000+ISNUMBER('Dvd Calendar'!$E$470)*100000000+0*10000000+(N('Dvd Calendar'!$E$468)&gt;0)*(N('Dvd Calendar'!$E$468)&lt;=VAL_SERIAL)*1000000+42*1000+41))</f>
        <v/>
      </c>
      <c r="FT53" s="39">
        <f>IF(N('Dvd Calendar'!$F$469)=0,"",IF(('Dvd Calendar'!$F$469&gt;=GRID_FROM)*('Dvd Calendar'!$F$469&lt;=GRID_TO)*('Dvd Calendar'!$F$469&gt;VAL_DATE)=0,"",'Dvd Calendar'!$F$469*1000000000+ISNUMBER('Dvd Calendar'!$F$470)*100000000+0*10000000+(N('Dvd Calendar'!$F$468)&gt;0)*(N('Dvd Calendar'!$F$468)&lt;=VAL_SERIAL)*1000000+42*1000+42))</f>
        <v/>
      </c>
      <c r="FU53" s="39">
        <f>IF(N('Dvd Calendar'!$G$469)=0,"",IF(('Dvd Calendar'!$G$469&gt;=GRID_FROM)*('Dvd Calendar'!$G$469&lt;=GRID_TO)*('Dvd Calendar'!$G$469&gt;VAL_DATE)=0,"",'Dvd Calendar'!$G$469*1000000000+ISNUMBER('Dvd Calendar'!$G$470)*100000000+0*10000000+(N('Dvd Calendar'!$G$468)&gt;0)*(N('Dvd Calendar'!$G$468)&lt;=VAL_SERIAL)*1000000+42*1000+43))</f>
        <v/>
      </c>
      <c r="FV53" s="39">
        <f>IF(N('Dvd Calendar'!$H$469)=0,"",IF(('Dvd Calendar'!$H$469&gt;=GRID_FROM)*('Dvd Calendar'!$H$469&lt;=GRID_TO)*('Dvd Calendar'!$H$469&gt;VAL_DATE)=0,"",'Dvd Calendar'!$H$469*1000000000+ISNUMBER('Dvd Calendar'!$H$470)*100000000+0*10000000+(N('Dvd Calendar'!$H$468)&gt;0)*(N('Dvd Calendar'!$H$468)&lt;=VAL_SERIAL)*1000000+42*1000+44))</f>
        <v/>
      </c>
      <c r="FW53" s="39">
        <f>IF(N('Dvd Calendar'!$I$469)=0,"",IF(('Dvd Calendar'!$I$469&gt;=GRID_FROM)*('Dvd Calendar'!$I$469&lt;=GRID_TO)*('Dvd Calendar'!$I$469&gt;VAL_DATE)=0,"",'Dvd Calendar'!$I$469*1000000000+ISNUMBER('Dvd Calendar'!$I$470)*100000000+0*10000000+(N('Dvd Calendar'!$I$468)&gt;0)*(N('Dvd Calendar'!$I$468)&lt;=VAL_SERIAL)*1000000+42*1000+45))</f>
        <v/>
      </c>
      <c r="FX53" s="39">
        <f>IF(N('Dvd Calendar'!$J$469)=0,"",IF(('Dvd Calendar'!$J$469&gt;=GRID_FROM)*('Dvd Calendar'!$J$469&lt;=GRID_TO)*('Dvd Calendar'!$J$469&gt;VAL_DATE)=0,"",'Dvd Calendar'!$J$469*1000000000+ISNUMBER('Dvd Calendar'!$J$470)*100000000+0*10000000+(N('Dvd Calendar'!$J$468)&gt;0)*(N('Dvd Calendar'!$J$468)&lt;=VAL_SERIAL)*1000000+42*1000+46))</f>
        <v/>
      </c>
      <c r="FY53" s="39">
        <f>IF(N('Dvd Calendar'!$K$469)=0,"",IF(('Dvd Calendar'!$K$469&gt;=GRID_FROM)*('Dvd Calendar'!$K$469&lt;=GRID_TO)*('Dvd Calendar'!$K$469&gt;VAL_DATE)=0,"",'Dvd Calendar'!$K$469*1000000000+ISNUMBER('Dvd Calendar'!$K$470)*100000000+0*10000000+(N('Dvd Calendar'!$K$468)&gt;0)*(N('Dvd Calendar'!$K$468)&lt;=VAL_SERIAL)*1000000+42*1000+47))</f>
        <v/>
      </c>
      <c r="FZ53" s="39">
        <f>IF(N('Dvd Calendar'!$L$469)=0,"",IF(('Dvd Calendar'!$L$469&gt;=GRID_FROM)*('Dvd Calendar'!$L$469&lt;=GRID_TO)*('Dvd Calendar'!$L$469&gt;VAL_DATE)=0,"",'Dvd Calendar'!$L$469*1000000000+ISNUMBER('Dvd Calendar'!$L$470)*100000000+0*10000000+(N('Dvd Calendar'!$L$468)&gt;0)*(N('Dvd Calendar'!$L$468)&lt;=VAL_SERIAL)*1000000+42*1000+48))</f>
        <v/>
      </c>
      <c r="GA53" s="39">
        <f>IF(N('Dvd Calendar'!$M$469)=0,"",IF(('Dvd Calendar'!$M$469&gt;=GRID_FROM)*('Dvd Calendar'!$M$469&lt;=GRID_TO)*('Dvd Calendar'!$M$469&gt;VAL_DATE)=0,"",'Dvd Calendar'!$M$469*1000000000+ISNUMBER('Dvd Calendar'!$M$470)*100000000+0*10000000+(N('Dvd Calendar'!$M$468)&gt;0)*(N('Dvd Calendar'!$M$468)&lt;=VAL_SERIAL)*1000000+42*1000+49))</f>
        <v/>
      </c>
      <c r="GB53" s="39">
        <f>IF(N('Dvd Calendar'!$N$469)=0,"",IF(('Dvd Calendar'!$N$469&gt;=GRID_FROM)*('Dvd Calendar'!$N$469&lt;=GRID_TO)*('Dvd Calendar'!$N$469&gt;VAL_DATE)=0,"",'Dvd Calendar'!$N$469*1000000000+ISNUMBER('Dvd Calendar'!$N$470)*100000000+0*10000000+(N('Dvd Calendar'!$N$468)&gt;0)*(N('Dvd Calendar'!$N$468)&lt;=VAL_SERIAL)*1000000+42*1000+50))</f>
        <v/>
      </c>
      <c r="GC53" s="39">
        <f>IF(N('Dvd Calendar'!$O$469)=0,"",IF(('Dvd Calendar'!$O$469&gt;=GRID_FROM)*('Dvd Calendar'!$O$469&lt;=GRID_TO)*('Dvd Calendar'!$O$469&gt;VAL_DATE)=0,"",'Dvd Calendar'!$O$469*1000000000+ISNUMBER('Dvd Calendar'!$O$470)*100000000+0*10000000+(N('Dvd Calendar'!$O$468)&gt;0)*(N('Dvd Calendar'!$O$468)&lt;=VAL_SERIAL)*1000000+42*1000+51))</f>
        <v/>
      </c>
      <c r="GD53" s="39">
        <f>IF(N('Dvd Calendar'!$P$469)=0,"",IF(('Dvd Calendar'!$P$469&gt;=GRID_FROM)*('Dvd Calendar'!$P$469&lt;=GRID_TO)*('Dvd Calendar'!$P$469&gt;VAL_DATE)=0,"",'Dvd Calendar'!$P$469*1000000000+ISNUMBER('Dvd Calendar'!$P$470)*100000000+0*10000000+(N('Dvd Calendar'!$P$468)&gt;0)*(N('Dvd Calendar'!$P$468)&lt;=VAL_SERIAL)*1000000+42*1000+52))</f>
        <v/>
      </c>
      <c r="GE53" s="39">
        <f>IF(N('Dvd Calendar'!$Q$469)=0,"",IF(('Dvd Calendar'!$Q$469&gt;=GRID_FROM)*('Dvd Calendar'!$Q$469&lt;=GRID_TO)*('Dvd Calendar'!$Q$469&gt;VAL_DATE)=0,"",'Dvd Calendar'!$Q$469*1000000000+ISNUMBER('Dvd Calendar'!$Q$470)*100000000+0*10000000+(N('Dvd Calendar'!$Q$468)&gt;0)*(N('Dvd Calendar'!$Q$468)&lt;=VAL_SERIAL)*1000000+42*1000+53))</f>
        <v/>
      </c>
      <c r="GF53" s="39">
        <f>IF(N('Dvd Calendar'!$R$469)=0,"",IF(('Dvd Calendar'!$R$469&gt;=GRID_FROM)*('Dvd Calendar'!$R$469&lt;=GRID_TO)*('Dvd Calendar'!$R$469&gt;VAL_DATE)=0,"",'Dvd Calendar'!$R$469*1000000000+ISNUMBER('Dvd Calendar'!$R$470)*100000000+0*10000000+(N('Dvd Calendar'!$R$468)&gt;0)*(N('Dvd Calendar'!$R$468)&lt;=VAL_SERIAL)*1000000+42*1000+54))</f>
        <v/>
      </c>
      <c r="GG53" s="39">
        <f>IF(N('Dvd Calendar'!$S$469)=0,"",IF(('Dvd Calendar'!$S$469&gt;=GRID_FROM)*('Dvd Calendar'!$S$469&lt;=GRID_TO)*('Dvd Calendar'!$S$469&gt;VAL_DATE)=0,"",'Dvd Calendar'!$S$469*1000000000+ISNUMBER('Dvd Calendar'!$S$470)*100000000+0*10000000+(N('Dvd Calendar'!$S$468)&gt;0)*(N('Dvd Calendar'!$S$468)&lt;=VAL_SERIAL)*1000000+42*1000+55))</f>
        <v/>
      </c>
      <c r="GH53" s="39">
        <f>IF(N('Dvd Calendar'!$T$469)=0,"",IF(('Dvd Calendar'!$T$469&gt;=GRID_FROM)*('Dvd Calendar'!$T$469&lt;=GRID_TO)*('Dvd Calendar'!$T$469&gt;VAL_DATE)=0,"",'Dvd Calendar'!$T$469*1000000000+ISNUMBER('Dvd Calendar'!$T$470)*100000000+0*10000000+(N('Dvd Calendar'!$T$468)&gt;0)*(N('Dvd Calendar'!$T$468)&lt;=VAL_SERIAL)*1000000+42*1000+56))</f>
        <v/>
      </c>
      <c r="GI53" s="39">
        <f>IF(N('Dvd Calendar'!$U$469)=0,"",IF(('Dvd Calendar'!$U$469&gt;=GRID_FROM)*('Dvd Calendar'!$U$469&lt;=GRID_TO)*('Dvd Calendar'!$U$469&gt;VAL_DATE)=0,"",'Dvd Calendar'!$U$469*1000000000+ISNUMBER('Dvd Calendar'!$U$470)*100000000+0*10000000+(N('Dvd Calendar'!$U$468)&gt;0)*(N('Dvd Calendar'!$U$468)&lt;=VAL_SERIAL)*1000000+42*1000+57))</f>
        <v/>
      </c>
      <c r="GJ53" s="39">
        <f>IF(N('Dvd Calendar'!$V$469)=0,"",IF(('Dvd Calendar'!$V$469&gt;=GRID_FROM)*('Dvd Calendar'!$V$469&lt;=GRID_TO)*('Dvd Calendar'!$V$469&gt;VAL_DATE)=0,"",'Dvd Calendar'!$V$469*1000000000+ISNUMBER('Dvd Calendar'!$V$470)*100000000+0*10000000+(N('Dvd Calendar'!$V$468)&gt;0)*(N('Dvd Calendar'!$V$468)&lt;=VAL_SERIAL)*1000000+42*1000+58))</f>
        <v/>
      </c>
      <c r="GK53" s="39">
        <f>IF(N('Dvd Calendar'!$W$469)=0,"",IF(('Dvd Calendar'!$W$469&gt;=GRID_FROM)*('Dvd Calendar'!$W$469&lt;=GRID_TO)*('Dvd Calendar'!$W$469&gt;VAL_DATE)=0,"",'Dvd Calendar'!$W$469*1000000000+ISNUMBER('Dvd Calendar'!$W$470)*100000000+0*10000000+(N('Dvd Calendar'!$W$468)&gt;0)*(N('Dvd Calendar'!$W$468)&lt;=VAL_SERIAL)*1000000+42*1000+59))</f>
        <v/>
      </c>
      <c r="GL53" s="39">
        <f>IF(N('Dvd Calendar'!$X$469)=0,"",IF(('Dvd Calendar'!$X$469&gt;=GRID_FROM)*('Dvd Calendar'!$X$469&lt;=GRID_TO)*('Dvd Calendar'!$X$469&gt;VAL_DATE)=0,"",'Dvd Calendar'!$X$469*1000000000+ISNUMBER('Dvd Calendar'!$X$470)*100000000+0*10000000+(N('Dvd Calendar'!$X$468)&gt;0)*(N('Dvd Calendar'!$X$468)&lt;=VAL_SERIAL)*1000000+42*1000+60))</f>
        <v/>
      </c>
      <c r="GM53" s="39">
        <f>IF(N('Dvd Calendar'!$Y$469)=0,"",IF(('Dvd Calendar'!$Y$469&gt;=GRID_FROM)*('Dvd Calendar'!$Y$469&lt;=GRID_TO)*('Dvd Calendar'!$Y$469&gt;VAL_DATE)=0,"",'Dvd Calendar'!$Y$469*1000000000+ISNUMBER('Dvd Calendar'!$Y$470)*100000000+0*10000000+(N('Dvd Calendar'!$Y$468)&gt;0)*(N('Dvd Calendar'!$Y$468)&lt;=VAL_SERIAL)*1000000+42*1000+61))</f>
        <v/>
      </c>
      <c r="GN53" s="39">
        <f>IF(N('Dvd Calendar'!$Z$469)=0,"",IF(('Dvd Calendar'!$Z$469&gt;=GRID_FROM)*('Dvd Calendar'!$Z$469&lt;=GRID_TO)*('Dvd Calendar'!$Z$469&gt;VAL_DATE)=0,"",'Dvd Calendar'!$Z$469*1000000000+ISNUMBER('Dvd Calendar'!$Z$470)*100000000+0*10000000+(N('Dvd Calendar'!$Z$468)&gt;0)*(N('Dvd Calendar'!$Z$468)&lt;=VAL_SERIAL)*1000000+42*1000+62))</f>
        <v/>
      </c>
      <c r="GO53" s="39">
        <f>IF(N('Dvd Calendar'!$AA$469)=0,"",IF(('Dvd Calendar'!$AA$469&gt;=GRID_FROM)*('Dvd Calendar'!$AA$469&lt;=GRID_TO)*('Dvd Calendar'!$AA$469&gt;VAL_DATE)=0,"",'Dvd Calendar'!$AA$469*1000000000+ISNUMBER('Dvd Calendar'!$AA$470)*100000000+0*10000000+(N('Dvd Calendar'!$AA$468)&gt;0)*(N('Dvd Calendar'!$AA$468)&lt;=VAL_SERIAL)*1000000+42*1000+63))</f>
        <v/>
      </c>
      <c r="GP53" s="39">
        <f>IF(N('Dvd Calendar'!$AB$469)=0,"",IF(('Dvd Calendar'!$AB$469&gt;=GRID_FROM)*('Dvd Calendar'!$AB$469&lt;=GRID_TO)*('Dvd Calendar'!$AB$469&gt;VAL_DATE)=0,"",'Dvd Calendar'!$AB$469*1000000000+ISNUMBER('Dvd Calendar'!$AB$470)*100000000+0*10000000+(N('Dvd Calendar'!$AB$468)&gt;0)*(N('Dvd Calendar'!$AB$468)&lt;=VAL_SERIAL)*1000000+42*1000+64))</f>
        <v/>
      </c>
      <c r="GQ53" s="39">
        <f>IF(N('Dvd Calendar'!$AC$469)=0,"",IF(('Dvd Calendar'!$AC$469&gt;=GRID_FROM)*('Dvd Calendar'!$AC$469&lt;=GRID_TO)*('Dvd Calendar'!$AC$469&gt;VAL_DATE)=0,"",'Dvd Calendar'!$AC$469*1000000000+ISNUMBER('Dvd Calendar'!$AC$470)*100000000+0*10000000+(N('Dvd Calendar'!$AC$468)&gt;0)*(N('Dvd Calendar'!$AC$468)&lt;=VAL_SERIAL)*1000000+42*1000+65))</f>
        <v/>
      </c>
    </row>
    <row r="54">
      <c r="B54" s="2">
        <f>IF(HSI!$C$49="","",HSI!$C$49)</f>
        <v/>
      </c>
      <c r="C54" s="110">
        <f>IF(EE54="","",IF(ISNUMBER('Dvd Calendar'!$E$476)=FALSE,"",IF((('Dvd Calendar'!$E$478=TYPE1)*(TYPE1&lt;&gt;"")+('Dvd Calendar'!$E$478=TYPE2)*(TYPE2&lt;&gt;"")+('Dvd Calendar'!$E$478=TYPE3)*(TYPE3&lt;&gt;"")+('Dvd Calendar'!$E$478=TYPE4)*(TYPE4&lt;&gt;"")+('Dvd Calendar'!$E$478=SPECIAL_LBL)*(INC_SPECIALS="Y"))=0,"",'Dvd Calendar'!$E$476)))</f>
        <v/>
      </c>
      <c r="D54" s="110">
        <f>IF(EF54="","",IF(ISNUMBER('Dvd Calendar'!$F$476)=FALSE,"",IF((('Dvd Calendar'!$F$478=TYPE1)*(TYPE1&lt;&gt;"")+('Dvd Calendar'!$F$478=TYPE2)*(TYPE2&lt;&gt;"")+('Dvd Calendar'!$F$478=TYPE3)*(TYPE3&lt;&gt;"")+('Dvd Calendar'!$F$478=TYPE4)*(TYPE4&lt;&gt;"")+('Dvd Calendar'!$F$478=SPECIAL_LBL)*(INC_SPECIALS="Y"))=0,"",'Dvd Calendar'!$F$476)))</f>
        <v/>
      </c>
      <c r="E54" s="110">
        <f>IF(EG54="","",IF(ISNUMBER('Dvd Calendar'!$G$476)=FALSE,"",IF((('Dvd Calendar'!$G$478=TYPE1)*(TYPE1&lt;&gt;"")+('Dvd Calendar'!$G$478=TYPE2)*(TYPE2&lt;&gt;"")+('Dvd Calendar'!$G$478=TYPE3)*(TYPE3&lt;&gt;"")+('Dvd Calendar'!$G$478=TYPE4)*(TYPE4&lt;&gt;"")+('Dvd Calendar'!$G$478=SPECIAL_LBL)*(INC_SPECIALS="Y"))=0,"",'Dvd Calendar'!$G$476)))</f>
        <v/>
      </c>
      <c r="F54" s="110">
        <f>IF(EH54="","",IF(ISNUMBER('Dvd Calendar'!$H$476)=FALSE,"",IF((('Dvd Calendar'!$H$478=TYPE1)*(TYPE1&lt;&gt;"")+('Dvd Calendar'!$H$478=TYPE2)*(TYPE2&lt;&gt;"")+('Dvd Calendar'!$H$478=TYPE3)*(TYPE3&lt;&gt;"")+('Dvd Calendar'!$H$478=TYPE4)*(TYPE4&lt;&gt;"")+('Dvd Calendar'!$H$478=SPECIAL_LBL)*(INC_SPECIALS="Y"))=0,"",'Dvd Calendar'!$H$476)))</f>
        <v/>
      </c>
      <c r="G54" s="110">
        <f>IF(EI54="","",IF(ISNUMBER('Dvd Calendar'!$I$476)=FALSE,"",IF((('Dvd Calendar'!$I$478=TYPE1)*(TYPE1&lt;&gt;"")+('Dvd Calendar'!$I$478=TYPE2)*(TYPE2&lt;&gt;"")+('Dvd Calendar'!$I$478=TYPE3)*(TYPE3&lt;&gt;"")+('Dvd Calendar'!$I$478=TYPE4)*(TYPE4&lt;&gt;"")+('Dvd Calendar'!$I$478=SPECIAL_LBL)*(INC_SPECIALS="Y"))=0,"",'Dvd Calendar'!$I$476)))</f>
        <v/>
      </c>
      <c r="H54" s="110">
        <f>IF(EJ54="","",IF(ISNUMBER('Dvd Calendar'!$J$476)=FALSE,"",IF((('Dvd Calendar'!$J$478=TYPE1)*(TYPE1&lt;&gt;"")+('Dvd Calendar'!$J$478=TYPE2)*(TYPE2&lt;&gt;"")+('Dvd Calendar'!$J$478=TYPE3)*(TYPE3&lt;&gt;"")+('Dvd Calendar'!$J$478=TYPE4)*(TYPE4&lt;&gt;"")+('Dvd Calendar'!$J$478=SPECIAL_LBL)*(INC_SPECIALS="Y"))=0,"",'Dvd Calendar'!$J$476)))</f>
        <v/>
      </c>
      <c r="I54" s="110">
        <f>IF(EK54="","",IF(ISNUMBER('Dvd Calendar'!$K$476)=FALSE,"",IF((('Dvd Calendar'!$K$478=TYPE1)*(TYPE1&lt;&gt;"")+('Dvd Calendar'!$K$478=TYPE2)*(TYPE2&lt;&gt;"")+('Dvd Calendar'!$K$478=TYPE3)*(TYPE3&lt;&gt;"")+('Dvd Calendar'!$K$478=TYPE4)*(TYPE4&lt;&gt;"")+('Dvd Calendar'!$K$478=SPECIAL_LBL)*(INC_SPECIALS="Y"))=0,"",'Dvd Calendar'!$K$476)))</f>
        <v/>
      </c>
      <c r="J54" s="110">
        <f>IF(EL54="","",IF(ISNUMBER('Dvd Calendar'!$L$476)=FALSE,"",IF((('Dvd Calendar'!$L$478=TYPE1)*(TYPE1&lt;&gt;"")+('Dvd Calendar'!$L$478=TYPE2)*(TYPE2&lt;&gt;"")+('Dvd Calendar'!$L$478=TYPE3)*(TYPE3&lt;&gt;"")+('Dvd Calendar'!$L$478=TYPE4)*(TYPE4&lt;&gt;"")+('Dvd Calendar'!$L$478=SPECIAL_LBL)*(INC_SPECIALS="Y"))=0,"",'Dvd Calendar'!$L$476)))</f>
        <v/>
      </c>
      <c r="K54" s="110">
        <f>IF(EM54="","",IF(ISNUMBER('Dvd Calendar'!$M$476)=FALSE,"",IF((('Dvd Calendar'!$M$478=TYPE1)*(TYPE1&lt;&gt;"")+('Dvd Calendar'!$M$478=TYPE2)*(TYPE2&lt;&gt;"")+('Dvd Calendar'!$M$478=TYPE3)*(TYPE3&lt;&gt;"")+('Dvd Calendar'!$M$478=TYPE4)*(TYPE4&lt;&gt;"")+('Dvd Calendar'!$M$478=SPECIAL_LBL)*(INC_SPECIALS="Y"))=0,"",'Dvd Calendar'!$M$476)))</f>
        <v/>
      </c>
      <c r="L54" s="110">
        <f>IF(EN54="","",IF(ISNUMBER('Dvd Calendar'!$N$476)=FALSE,"",IF((('Dvd Calendar'!$N$478=TYPE1)*(TYPE1&lt;&gt;"")+('Dvd Calendar'!$N$478=TYPE2)*(TYPE2&lt;&gt;"")+('Dvd Calendar'!$N$478=TYPE3)*(TYPE3&lt;&gt;"")+('Dvd Calendar'!$N$478=TYPE4)*(TYPE4&lt;&gt;"")+('Dvd Calendar'!$N$478=SPECIAL_LBL)*(INC_SPECIALS="Y"))=0,"",'Dvd Calendar'!$N$476)))</f>
        <v/>
      </c>
      <c r="M54" s="110">
        <f>IF(EO54="","",IF(ISNUMBER('Dvd Calendar'!$O$476)=FALSE,"",IF((('Dvd Calendar'!$O$478=TYPE1)*(TYPE1&lt;&gt;"")+('Dvd Calendar'!$O$478=TYPE2)*(TYPE2&lt;&gt;"")+('Dvd Calendar'!$O$478=TYPE3)*(TYPE3&lt;&gt;"")+('Dvd Calendar'!$O$478=TYPE4)*(TYPE4&lt;&gt;"")+('Dvd Calendar'!$O$478=SPECIAL_LBL)*(INC_SPECIALS="Y"))=0,"",'Dvd Calendar'!$O$476)))</f>
        <v/>
      </c>
      <c r="N54" s="110">
        <f>IF(EP54="","",IF(ISNUMBER('Dvd Calendar'!$P$476)=FALSE,"",IF((('Dvd Calendar'!$P$478=TYPE1)*(TYPE1&lt;&gt;"")+('Dvd Calendar'!$P$478=TYPE2)*(TYPE2&lt;&gt;"")+('Dvd Calendar'!$P$478=TYPE3)*(TYPE3&lt;&gt;"")+('Dvd Calendar'!$P$478=TYPE4)*(TYPE4&lt;&gt;"")+('Dvd Calendar'!$P$478=SPECIAL_LBL)*(INC_SPECIALS="Y"))=0,"",'Dvd Calendar'!$P$476)))</f>
        <v/>
      </c>
      <c r="O54" s="110">
        <f>IF(EQ54="","",IF(ISNUMBER('Dvd Calendar'!$Q$476)=FALSE,"",IF((('Dvd Calendar'!$Q$478=TYPE1)*(TYPE1&lt;&gt;"")+('Dvd Calendar'!$Q$478=TYPE2)*(TYPE2&lt;&gt;"")+('Dvd Calendar'!$Q$478=TYPE3)*(TYPE3&lt;&gt;"")+('Dvd Calendar'!$Q$478=TYPE4)*(TYPE4&lt;&gt;"")+('Dvd Calendar'!$Q$478=SPECIAL_LBL)*(INC_SPECIALS="Y"))=0,"",'Dvd Calendar'!$Q$476)))</f>
        <v/>
      </c>
      <c r="P54" s="110">
        <f>IF(ER54="","",IF(ISNUMBER('Dvd Calendar'!$R$476)=FALSE,"",IF((('Dvd Calendar'!$R$478=TYPE1)*(TYPE1&lt;&gt;"")+('Dvd Calendar'!$R$478=TYPE2)*(TYPE2&lt;&gt;"")+('Dvd Calendar'!$R$478=TYPE3)*(TYPE3&lt;&gt;"")+('Dvd Calendar'!$R$478=TYPE4)*(TYPE4&lt;&gt;"")+('Dvd Calendar'!$R$478=SPECIAL_LBL)*(INC_SPECIALS="Y"))=0,"",'Dvd Calendar'!$R$476)))</f>
        <v/>
      </c>
      <c r="Q54" s="110">
        <f>IF(ES54="","",IF(ISNUMBER('Dvd Calendar'!$S$476)=FALSE,"",IF((('Dvd Calendar'!$S$478=TYPE1)*(TYPE1&lt;&gt;"")+('Dvd Calendar'!$S$478=TYPE2)*(TYPE2&lt;&gt;"")+('Dvd Calendar'!$S$478=TYPE3)*(TYPE3&lt;&gt;"")+('Dvd Calendar'!$S$478=TYPE4)*(TYPE4&lt;&gt;"")+('Dvd Calendar'!$S$478=SPECIAL_LBL)*(INC_SPECIALS="Y"))=0,"",'Dvd Calendar'!$S$476)))</f>
        <v/>
      </c>
      <c r="R54" s="110">
        <f>IF(ET54="","",IF(ISNUMBER('Dvd Calendar'!$T$476)=FALSE,"",IF((('Dvd Calendar'!$T$478=TYPE1)*(TYPE1&lt;&gt;"")+('Dvd Calendar'!$T$478=TYPE2)*(TYPE2&lt;&gt;"")+('Dvd Calendar'!$T$478=TYPE3)*(TYPE3&lt;&gt;"")+('Dvd Calendar'!$T$478=TYPE4)*(TYPE4&lt;&gt;"")+('Dvd Calendar'!$T$478=SPECIAL_LBL)*(INC_SPECIALS="Y"))=0,"",'Dvd Calendar'!$T$476)))</f>
        <v/>
      </c>
      <c r="S54" s="110">
        <f>IF(EU54="","",IF(ISNUMBER('Dvd Calendar'!$U$476)=FALSE,"",IF((('Dvd Calendar'!$U$478=TYPE1)*(TYPE1&lt;&gt;"")+('Dvd Calendar'!$U$478=TYPE2)*(TYPE2&lt;&gt;"")+('Dvd Calendar'!$U$478=TYPE3)*(TYPE3&lt;&gt;"")+('Dvd Calendar'!$U$478=TYPE4)*(TYPE4&lt;&gt;"")+('Dvd Calendar'!$U$478=SPECIAL_LBL)*(INC_SPECIALS="Y"))=0,"",'Dvd Calendar'!$U$476)))</f>
        <v/>
      </c>
      <c r="T54" s="110">
        <f>IF(EV54="","",IF(ISNUMBER('Dvd Calendar'!$V$476)=FALSE,"",IF((('Dvd Calendar'!$V$478=TYPE1)*(TYPE1&lt;&gt;"")+('Dvd Calendar'!$V$478=TYPE2)*(TYPE2&lt;&gt;"")+('Dvd Calendar'!$V$478=TYPE3)*(TYPE3&lt;&gt;"")+('Dvd Calendar'!$V$478=TYPE4)*(TYPE4&lt;&gt;"")+('Dvd Calendar'!$V$478=SPECIAL_LBL)*(INC_SPECIALS="Y"))=0,"",'Dvd Calendar'!$V$476)))</f>
        <v/>
      </c>
      <c r="U54" s="110">
        <f>IF(EW54="","",IF(ISNUMBER('Dvd Calendar'!$W$476)=FALSE,"",IF((('Dvd Calendar'!$W$478=TYPE1)*(TYPE1&lt;&gt;"")+('Dvd Calendar'!$W$478=TYPE2)*(TYPE2&lt;&gt;"")+('Dvd Calendar'!$W$478=TYPE3)*(TYPE3&lt;&gt;"")+('Dvd Calendar'!$W$478=TYPE4)*(TYPE4&lt;&gt;"")+('Dvd Calendar'!$W$478=SPECIAL_LBL)*(INC_SPECIALS="Y"))=0,"",'Dvd Calendar'!$W$476)))</f>
        <v/>
      </c>
      <c r="V54" s="110">
        <f>IF(EX54="","",IF(ISNUMBER('Dvd Calendar'!$X$476)=FALSE,"",IF((('Dvd Calendar'!$X$478=TYPE1)*(TYPE1&lt;&gt;"")+('Dvd Calendar'!$X$478=TYPE2)*(TYPE2&lt;&gt;"")+('Dvd Calendar'!$X$478=TYPE3)*(TYPE3&lt;&gt;"")+('Dvd Calendar'!$X$478=TYPE4)*(TYPE4&lt;&gt;"")+('Dvd Calendar'!$X$478=SPECIAL_LBL)*(INC_SPECIALS="Y"))=0,"",'Dvd Calendar'!$X$476)))</f>
        <v/>
      </c>
      <c r="W54" s="110">
        <f>IF(EY54="","",IF(ISNUMBER('Dvd Calendar'!$Y$476)=FALSE,"",IF((('Dvd Calendar'!$Y$478=TYPE1)*(TYPE1&lt;&gt;"")+('Dvd Calendar'!$Y$478=TYPE2)*(TYPE2&lt;&gt;"")+('Dvd Calendar'!$Y$478=TYPE3)*(TYPE3&lt;&gt;"")+('Dvd Calendar'!$Y$478=TYPE4)*(TYPE4&lt;&gt;"")+('Dvd Calendar'!$Y$478=SPECIAL_LBL)*(INC_SPECIALS="Y"))=0,"",'Dvd Calendar'!$Y$476)))</f>
        <v/>
      </c>
      <c r="X54" s="110">
        <f>IF(EZ54="","",IF(ISNUMBER('Dvd Calendar'!$Z$476)=FALSE,"",IF((('Dvd Calendar'!$Z$478=TYPE1)*(TYPE1&lt;&gt;"")+('Dvd Calendar'!$Z$478=TYPE2)*(TYPE2&lt;&gt;"")+('Dvd Calendar'!$Z$478=TYPE3)*(TYPE3&lt;&gt;"")+('Dvd Calendar'!$Z$478=TYPE4)*(TYPE4&lt;&gt;"")+('Dvd Calendar'!$Z$478=SPECIAL_LBL)*(INC_SPECIALS="Y"))=0,"",'Dvd Calendar'!$Z$476)))</f>
        <v/>
      </c>
      <c r="Y54" s="110">
        <f>IF(FA54="","",IF(ISNUMBER('Dvd Calendar'!$AA$476)=FALSE,"",IF((('Dvd Calendar'!$AA$478=TYPE1)*(TYPE1&lt;&gt;"")+('Dvd Calendar'!$AA$478=TYPE2)*(TYPE2&lt;&gt;"")+('Dvd Calendar'!$AA$478=TYPE3)*(TYPE3&lt;&gt;"")+('Dvd Calendar'!$AA$478=TYPE4)*(TYPE4&lt;&gt;"")+('Dvd Calendar'!$AA$478=SPECIAL_LBL)*(INC_SPECIALS="Y"))=0,"",'Dvd Calendar'!$AA$476)))</f>
        <v/>
      </c>
      <c r="Z54" s="110">
        <f>IF(FB54="","",IF(ISNUMBER('Dvd Calendar'!$AB$476)=FALSE,"",IF((('Dvd Calendar'!$AB$478=TYPE1)*(TYPE1&lt;&gt;"")+('Dvd Calendar'!$AB$478=TYPE2)*(TYPE2&lt;&gt;"")+('Dvd Calendar'!$AB$478=TYPE3)*(TYPE3&lt;&gt;"")+('Dvd Calendar'!$AB$478=TYPE4)*(TYPE4&lt;&gt;"")+('Dvd Calendar'!$AB$478=SPECIAL_LBL)*(INC_SPECIALS="Y"))=0,"",'Dvd Calendar'!$AB$476)))</f>
        <v/>
      </c>
      <c r="AA54" s="110">
        <f>IF(FC54="","",IF(ISNUMBER('Dvd Calendar'!$AC$476)=FALSE,"",IF((('Dvd Calendar'!$AC$478=TYPE1)*(TYPE1&lt;&gt;"")+('Dvd Calendar'!$AC$478=TYPE2)*(TYPE2&lt;&gt;"")+('Dvd Calendar'!$AC$478=TYPE3)*(TYPE3&lt;&gt;"")+('Dvd Calendar'!$AC$478=TYPE4)*(TYPE4&lt;&gt;"")+('Dvd Calendar'!$AC$478=SPECIAL_LBL)*(INC_SPECIALS="Y"))=0,"",'Dvd Calendar'!$AC$476)))</f>
        <v/>
      </c>
      <c r="AB54" s="110">
        <f>IF(FD54="","",IF(ISNUMBER('Dvd Calendar'!$AD$476)=FALSE,"",IF((('Dvd Calendar'!$AD$478=TYPE1)*(TYPE1&lt;&gt;"")+('Dvd Calendar'!$AD$478=TYPE2)*(TYPE2&lt;&gt;"")+('Dvd Calendar'!$AD$478=TYPE3)*(TYPE3&lt;&gt;"")+('Dvd Calendar'!$AD$478=TYPE4)*(TYPE4&lt;&gt;"")+('Dvd Calendar'!$AD$478=SPECIAL_LBL)*(INC_SPECIALS="Y"))=0,"",'Dvd Calendar'!$AD$476)))</f>
        <v/>
      </c>
      <c r="AC54" s="110">
        <f>IF(FE54="","",IF(ISNUMBER('Dvd Calendar'!$AE$476)=FALSE,"",IF((('Dvd Calendar'!$AE$478=TYPE1)*(TYPE1&lt;&gt;"")+('Dvd Calendar'!$AE$478=TYPE2)*(TYPE2&lt;&gt;"")+('Dvd Calendar'!$AE$478=TYPE3)*(TYPE3&lt;&gt;"")+('Dvd Calendar'!$AE$478=TYPE4)*(TYPE4&lt;&gt;"")+('Dvd Calendar'!$AE$478=SPECIAL_LBL)*(INC_SPECIALS="Y"))=0,"",'Dvd Calendar'!$AE$476)))</f>
        <v/>
      </c>
      <c r="AD54" s="110">
        <f>IF(FF54="","",IF(ISNUMBER('Dvd Calendar'!$AF$476)=FALSE,"",IF((('Dvd Calendar'!$AF$478=TYPE1)*(TYPE1&lt;&gt;"")+('Dvd Calendar'!$AF$478=TYPE2)*(TYPE2&lt;&gt;"")+('Dvd Calendar'!$AF$478=TYPE3)*(TYPE3&lt;&gt;"")+('Dvd Calendar'!$AF$478=TYPE4)*(TYPE4&lt;&gt;"")+('Dvd Calendar'!$AF$478=SPECIAL_LBL)*(INC_SPECIALS="Y"))=0,"",'Dvd Calendar'!$AF$476)))</f>
        <v/>
      </c>
      <c r="AE54" s="110">
        <f>IF(FG54="","",IF(ISNUMBER('Dvd Calendar'!$AG$476)=FALSE,"",IF((('Dvd Calendar'!$AG$478=TYPE1)*(TYPE1&lt;&gt;"")+('Dvd Calendar'!$AG$478=TYPE2)*(TYPE2&lt;&gt;"")+('Dvd Calendar'!$AG$478=TYPE3)*(TYPE3&lt;&gt;"")+('Dvd Calendar'!$AG$478=TYPE4)*(TYPE4&lt;&gt;"")+('Dvd Calendar'!$AG$478=SPECIAL_LBL)*(INC_SPECIALS="Y"))=0,"",'Dvd Calendar'!$AG$476)))</f>
        <v/>
      </c>
      <c r="AF54" s="110">
        <f>IF(FH54="","",IF(ISNUMBER('Dvd Calendar'!$AH$476)=FALSE,"",IF((('Dvd Calendar'!$AH$478=TYPE1)*(TYPE1&lt;&gt;"")+('Dvd Calendar'!$AH$478=TYPE2)*(TYPE2&lt;&gt;"")+('Dvd Calendar'!$AH$478=TYPE3)*(TYPE3&lt;&gt;"")+('Dvd Calendar'!$AH$478=TYPE4)*(TYPE4&lt;&gt;"")+('Dvd Calendar'!$AH$478=SPECIAL_LBL)*(INC_SPECIALS="Y"))=0,"",'Dvd Calendar'!$AH$476)))</f>
        <v/>
      </c>
      <c r="AG54" s="110">
        <f>IF(FI54="","",IF(ISNUMBER('Dvd Calendar'!$AI$476)=FALSE,"",IF((('Dvd Calendar'!$AI$478=TYPE1)*(TYPE1&lt;&gt;"")+('Dvd Calendar'!$AI$478=TYPE2)*(TYPE2&lt;&gt;"")+('Dvd Calendar'!$AI$478=TYPE3)*(TYPE3&lt;&gt;"")+('Dvd Calendar'!$AI$478=TYPE4)*(TYPE4&lt;&gt;"")+('Dvd Calendar'!$AI$478=SPECIAL_LBL)*(INC_SPECIALS="Y"))=0,"",'Dvd Calendar'!$AI$476)))</f>
        <v/>
      </c>
      <c r="AH54" s="110">
        <f>IF(FJ54="","",IF(ISNUMBER('Dvd Calendar'!$AJ$476)=FALSE,"",IF((('Dvd Calendar'!$AJ$478=TYPE1)*(TYPE1&lt;&gt;"")+('Dvd Calendar'!$AJ$478=TYPE2)*(TYPE2&lt;&gt;"")+('Dvd Calendar'!$AJ$478=TYPE3)*(TYPE3&lt;&gt;"")+('Dvd Calendar'!$AJ$478=TYPE4)*(TYPE4&lt;&gt;"")+('Dvd Calendar'!$AJ$478=SPECIAL_LBL)*(INC_SPECIALS="Y"))=0,"",'Dvd Calendar'!$AJ$476)))</f>
        <v/>
      </c>
      <c r="AI54" s="110">
        <f>IF(FK54="","",IF(ISNUMBER('Dvd Calendar'!$AK$476)=FALSE,"",IF((('Dvd Calendar'!$AK$478=TYPE1)*(TYPE1&lt;&gt;"")+('Dvd Calendar'!$AK$478=TYPE2)*(TYPE2&lt;&gt;"")+('Dvd Calendar'!$AK$478=TYPE3)*(TYPE3&lt;&gt;"")+('Dvd Calendar'!$AK$478=TYPE4)*(TYPE4&lt;&gt;"")+('Dvd Calendar'!$AK$478=SPECIAL_LBL)*(INC_SPECIALS="Y"))=0,"",'Dvd Calendar'!$AK$476)))</f>
        <v/>
      </c>
      <c r="AJ54" s="110">
        <f>IF(FL54="","",IF(ISNUMBER('Dvd Calendar'!$AL$476)=FALSE,"",IF((('Dvd Calendar'!$AL$478=TYPE1)*(TYPE1&lt;&gt;"")+('Dvd Calendar'!$AL$478=TYPE2)*(TYPE2&lt;&gt;"")+('Dvd Calendar'!$AL$478=TYPE3)*(TYPE3&lt;&gt;"")+('Dvd Calendar'!$AL$478=TYPE4)*(TYPE4&lt;&gt;"")+('Dvd Calendar'!$AL$478=SPECIAL_LBL)*(INC_SPECIALS="Y"))=0,"",'Dvd Calendar'!$AL$476)))</f>
        <v/>
      </c>
      <c r="AK54" s="110">
        <f>IF(FM54="","",IF(ISNUMBER('Dvd Calendar'!$AM$476)=FALSE,"",IF((('Dvd Calendar'!$AM$478=TYPE1)*(TYPE1&lt;&gt;"")+('Dvd Calendar'!$AM$478=TYPE2)*(TYPE2&lt;&gt;"")+('Dvd Calendar'!$AM$478=TYPE3)*(TYPE3&lt;&gt;"")+('Dvd Calendar'!$AM$478=TYPE4)*(TYPE4&lt;&gt;"")+('Dvd Calendar'!$AM$478=SPECIAL_LBL)*(INC_SPECIALS="Y"))=0,"",'Dvd Calendar'!$AM$476)))</f>
        <v/>
      </c>
      <c r="AL54" s="110">
        <f>IF(FN54="","",IF(ISNUMBER('Dvd Calendar'!$AN$476)=FALSE,"",IF((('Dvd Calendar'!$AN$478=TYPE1)*(TYPE1&lt;&gt;"")+('Dvd Calendar'!$AN$478=TYPE2)*(TYPE2&lt;&gt;"")+('Dvd Calendar'!$AN$478=TYPE3)*(TYPE3&lt;&gt;"")+('Dvd Calendar'!$AN$478=TYPE4)*(TYPE4&lt;&gt;"")+('Dvd Calendar'!$AN$478=SPECIAL_LBL)*(INC_SPECIALS="Y"))=0,"",'Dvd Calendar'!$AN$476)))</f>
        <v/>
      </c>
      <c r="AM54" s="110">
        <f>IF(FO54="","",IF(ISNUMBER('Dvd Calendar'!$AO$476)=FALSE,"",IF((('Dvd Calendar'!$AO$478=TYPE1)*(TYPE1&lt;&gt;"")+('Dvd Calendar'!$AO$478=TYPE2)*(TYPE2&lt;&gt;"")+('Dvd Calendar'!$AO$478=TYPE3)*(TYPE3&lt;&gt;"")+('Dvd Calendar'!$AO$478=TYPE4)*(TYPE4&lt;&gt;"")+('Dvd Calendar'!$AO$478=SPECIAL_LBL)*(INC_SPECIALS="Y"))=0,"",'Dvd Calendar'!$AO$476)))</f>
        <v/>
      </c>
      <c r="AN54" s="110">
        <f>IF(FP54="","",IF(ISNUMBER('Dvd Calendar'!$AP$476)=FALSE,"",IF((('Dvd Calendar'!$AP$478=TYPE1)*(TYPE1&lt;&gt;"")+('Dvd Calendar'!$AP$478=TYPE2)*(TYPE2&lt;&gt;"")+('Dvd Calendar'!$AP$478=TYPE3)*(TYPE3&lt;&gt;"")+('Dvd Calendar'!$AP$478=TYPE4)*(TYPE4&lt;&gt;"")+('Dvd Calendar'!$AP$478=SPECIAL_LBL)*(INC_SPECIALS="Y"))=0,"",'Dvd Calendar'!$AP$476)))</f>
        <v/>
      </c>
      <c r="AO54" s="110">
        <f>IF(FQ54="","",IF(ISNUMBER('Dvd Calendar'!$AQ$476)=FALSE,"",IF((('Dvd Calendar'!$AQ$478=TYPE1)*(TYPE1&lt;&gt;"")+('Dvd Calendar'!$AQ$478=TYPE2)*(TYPE2&lt;&gt;"")+('Dvd Calendar'!$AQ$478=TYPE3)*(TYPE3&lt;&gt;"")+('Dvd Calendar'!$AQ$478=TYPE4)*(TYPE4&lt;&gt;"")+('Dvd Calendar'!$AQ$478=SPECIAL_LBL)*(INC_SPECIALS="Y"))=0,"",'Dvd Calendar'!$AQ$476)))</f>
        <v/>
      </c>
      <c r="AP54" s="110">
        <f>IF(FR54="","",IF(ISNUMBER('Dvd Calendar'!$AR$476)=FALSE,"",IF((('Dvd Calendar'!$AR$478=TYPE1)*(TYPE1&lt;&gt;"")+('Dvd Calendar'!$AR$478=TYPE2)*(TYPE2&lt;&gt;"")+('Dvd Calendar'!$AR$478=TYPE3)*(TYPE3&lt;&gt;"")+('Dvd Calendar'!$AR$478=TYPE4)*(TYPE4&lt;&gt;"")+('Dvd Calendar'!$AR$478=SPECIAL_LBL)*(INC_SPECIALS="Y"))=0,"",'Dvd Calendar'!$AR$476)))</f>
        <v/>
      </c>
      <c r="AQ54" s="110">
        <f>IF(FS54="","",IF(ISNUMBER('Dvd Calendar'!$E$481)=FALSE,"",'Dvd Calendar'!$E$481))</f>
        <v/>
      </c>
      <c r="AR54" s="110">
        <f>IF(FT54="","",IF(ISNUMBER('Dvd Calendar'!$F$481)=FALSE,"",'Dvd Calendar'!$F$481))</f>
        <v/>
      </c>
      <c r="AS54" s="110">
        <f>IF(FU54="","",IF(ISNUMBER('Dvd Calendar'!$G$481)=FALSE,"",'Dvd Calendar'!$G$481))</f>
        <v/>
      </c>
      <c r="AT54" s="110">
        <f>IF(FV54="","",IF(ISNUMBER('Dvd Calendar'!$H$481)=FALSE,"",'Dvd Calendar'!$H$481))</f>
        <v/>
      </c>
      <c r="AU54" s="110">
        <f>IF(FW54="","",IF(ISNUMBER('Dvd Calendar'!$I$481)=FALSE,"",'Dvd Calendar'!$I$481))</f>
        <v/>
      </c>
      <c r="AV54" s="110">
        <f>IF(FX54="","",IF(ISNUMBER('Dvd Calendar'!$J$481)=FALSE,"",'Dvd Calendar'!$J$481))</f>
        <v/>
      </c>
      <c r="AW54" s="110">
        <f>IF(FY54="","",IF(ISNUMBER('Dvd Calendar'!$K$481)=FALSE,"",'Dvd Calendar'!$K$481))</f>
        <v/>
      </c>
      <c r="AX54" s="110">
        <f>IF(FZ54="","",IF(ISNUMBER('Dvd Calendar'!$L$481)=FALSE,"",'Dvd Calendar'!$L$481))</f>
        <v/>
      </c>
      <c r="AY54" s="110">
        <f>IF(GA54="","",IF(ISNUMBER('Dvd Calendar'!$M$481)=FALSE,"",'Dvd Calendar'!$M$481))</f>
        <v/>
      </c>
      <c r="AZ54" s="110">
        <f>IF(GB54="","",IF(ISNUMBER('Dvd Calendar'!$N$481)=FALSE,"",'Dvd Calendar'!$N$481))</f>
        <v/>
      </c>
      <c r="BA54" s="110">
        <f>IF(GC54="","",IF(ISNUMBER('Dvd Calendar'!$O$481)=FALSE,"",'Dvd Calendar'!$O$481))</f>
        <v/>
      </c>
      <c r="BB54" s="110">
        <f>IF(GD54="","",IF(ISNUMBER('Dvd Calendar'!$P$481)=FALSE,"",'Dvd Calendar'!$P$481))</f>
        <v/>
      </c>
      <c r="BC54" s="110">
        <f>IF(GE54="","",IF(ISNUMBER('Dvd Calendar'!$Q$481)=FALSE,"",'Dvd Calendar'!$Q$481))</f>
        <v/>
      </c>
      <c r="BD54" s="110">
        <f>IF(GF54="","",IF(ISNUMBER('Dvd Calendar'!$R$481)=FALSE,"",'Dvd Calendar'!$R$481))</f>
        <v/>
      </c>
      <c r="BE54" s="110">
        <f>IF(GG54="","",IF(ISNUMBER('Dvd Calendar'!$S$481)=FALSE,"",'Dvd Calendar'!$S$481))</f>
        <v/>
      </c>
      <c r="BF54" s="110">
        <f>IF(GH54="","",IF(ISNUMBER('Dvd Calendar'!$T$481)=FALSE,"",'Dvd Calendar'!$T$481))</f>
        <v/>
      </c>
      <c r="BG54" s="110">
        <f>IF(GI54="","",IF(ISNUMBER('Dvd Calendar'!$U$481)=FALSE,"",'Dvd Calendar'!$U$481))</f>
        <v/>
      </c>
      <c r="BH54" s="110">
        <f>IF(GJ54="","",IF(ISNUMBER('Dvd Calendar'!$V$481)=FALSE,"",'Dvd Calendar'!$V$481))</f>
        <v/>
      </c>
      <c r="BI54" s="110">
        <f>IF(GK54="","",IF(ISNUMBER('Dvd Calendar'!$W$481)=FALSE,"",'Dvd Calendar'!$W$481))</f>
        <v/>
      </c>
      <c r="BJ54" s="110">
        <f>IF(GL54="","",IF(ISNUMBER('Dvd Calendar'!$X$481)=FALSE,"",'Dvd Calendar'!$X$481))</f>
        <v/>
      </c>
      <c r="BK54" s="110">
        <f>IF(GM54="","",IF(ISNUMBER('Dvd Calendar'!$Y$481)=FALSE,"",'Dvd Calendar'!$Y$481))</f>
        <v/>
      </c>
      <c r="BL54" s="110">
        <f>IF(GN54="","",IF(ISNUMBER('Dvd Calendar'!$Z$481)=FALSE,"",'Dvd Calendar'!$Z$481))</f>
        <v/>
      </c>
      <c r="BM54" s="110">
        <f>IF(GO54="","",IF(ISNUMBER('Dvd Calendar'!$AA$481)=FALSE,"",'Dvd Calendar'!$AA$481))</f>
        <v/>
      </c>
      <c r="BN54" s="110">
        <f>IF(GP54="","",IF(ISNUMBER('Dvd Calendar'!$AB$481)=FALSE,"",'Dvd Calendar'!$AB$481))</f>
        <v/>
      </c>
      <c r="BO54" s="110">
        <f>IF(GQ54="","",IF(ISNUMBER('Dvd Calendar'!$AC$481)=FALSE,"",'Dvd Calendar'!$AC$481))</f>
        <v/>
      </c>
      <c r="BQ54" s="110">
        <f>IF(C54="","",IFERROR(C54*HSI!$B$49*HSI!$G$49/HSI!$B$3,""))</f>
        <v/>
      </c>
      <c r="BR54" s="110">
        <f>IF(D54="","",IFERROR(D54*HSI!$B$49*HSI!$G$49/HSI!$B$3,""))</f>
        <v/>
      </c>
      <c r="BS54" s="110">
        <f>IF(E54="","",IFERROR(E54*HSI!$B$49*HSI!$G$49/HSI!$B$3,""))</f>
        <v/>
      </c>
      <c r="BT54" s="110">
        <f>IF(F54="","",IFERROR(F54*HSI!$B$49*HSI!$G$49/HSI!$B$3,""))</f>
        <v/>
      </c>
      <c r="BU54" s="110">
        <f>IF(G54="","",IFERROR(G54*HSI!$B$49*HSI!$G$49/HSI!$B$3,""))</f>
        <v/>
      </c>
      <c r="BV54" s="110">
        <f>IF(H54="","",IFERROR(H54*HSI!$B$49*HSI!$G$49/HSI!$B$3,""))</f>
        <v/>
      </c>
      <c r="BW54" s="110">
        <f>IF(I54="","",IFERROR(I54*HSI!$B$49*HSI!$G$49/HSI!$B$3,""))</f>
        <v/>
      </c>
      <c r="BX54" s="110">
        <f>IF(J54="","",IFERROR(J54*HSI!$B$49*HSI!$G$49/HSI!$B$3,""))</f>
        <v/>
      </c>
      <c r="BY54" s="110">
        <f>IF(K54="","",IFERROR(K54*HSI!$B$49*HSI!$G$49/HSI!$B$3,""))</f>
        <v/>
      </c>
      <c r="BZ54" s="110">
        <f>IF(L54="","",IFERROR(L54*HSI!$B$49*HSI!$G$49/HSI!$B$3,""))</f>
        <v/>
      </c>
      <c r="CA54" s="110">
        <f>IF(M54="","",IFERROR(M54*HSI!$B$49*HSI!$G$49/HSI!$B$3,""))</f>
        <v/>
      </c>
      <c r="CB54" s="110">
        <f>IF(N54="","",IFERROR(N54*HSI!$B$49*HSI!$G$49/HSI!$B$3,""))</f>
        <v/>
      </c>
      <c r="CC54" s="110">
        <f>IF(O54="","",IFERROR(O54*HSI!$B$49*HSI!$G$49/HSI!$B$3,""))</f>
        <v/>
      </c>
      <c r="CD54" s="110">
        <f>IF(P54="","",IFERROR(P54*HSI!$B$49*HSI!$G$49/HSI!$B$3,""))</f>
        <v/>
      </c>
      <c r="CE54" s="110">
        <f>IF(Q54="","",IFERROR(Q54*HSI!$B$49*HSI!$G$49/HSI!$B$3,""))</f>
        <v/>
      </c>
      <c r="CF54" s="110">
        <f>IF(R54="","",IFERROR(R54*HSI!$B$49*HSI!$G$49/HSI!$B$3,""))</f>
        <v/>
      </c>
      <c r="CG54" s="110">
        <f>IF(S54="","",IFERROR(S54*HSI!$B$49*HSI!$G$49/HSI!$B$3,""))</f>
        <v/>
      </c>
      <c r="CH54" s="110">
        <f>IF(T54="","",IFERROR(T54*HSI!$B$49*HSI!$G$49/HSI!$B$3,""))</f>
        <v/>
      </c>
      <c r="CI54" s="110">
        <f>IF(U54="","",IFERROR(U54*HSI!$B$49*HSI!$G$49/HSI!$B$3,""))</f>
        <v/>
      </c>
      <c r="CJ54" s="110">
        <f>IF(V54="","",IFERROR(V54*HSI!$B$49*HSI!$G$49/HSI!$B$3,""))</f>
        <v/>
      </c>
      <c r="CK54" s="110">
        <f>IF(W54="","",IFERROR(W54*HSI!$B$49*HSI!$G$49/HSI!$B$3,""))</f>
        <v/>
      </c>
      <c r="CL54" s="110">
        <f>IF(X54="","",IFERROR(X54*HSI!$B$49*HSI!$G$49/HSI!$B$3,""))</f>
        <v/>
      </c>
      <c r="CM54" s="110">
        <f>IF(Y54="","",IFERROR(Y54*HSI!$B$49*HSI!$G$49/HSI!$B$3,""))</f>
        <v/>
      </c>
      <c r="CN54" s="110">
        <f>IF(Z54="","",IFERROR(Z54*HSI!$B$49*HSI!$G$49/HSI!$B$3,""))</f>
        <v/>
      </c>
      <c r="CO54" s="110">
        <f>IF(AA54="","",IFERROR(AA54*HSI!$B$49*HSI!$G$49/HSI!$B$3,""))</f>
        <v/>
      </c>
      <c r="CP54" s="110">
        <f>IF(AB54="","",IFERROR(AB54*HSI!$B$49*HSI!$G$49/HSI!$B$3,""))</f>
        <v/>
      </c>
      <c r="CQ54" s="110">
        <f>IF(AC54="","",IFERROR(AC54*HSI!$B$49*HSI!$G$49/HSI!$B$3,""))</f>
        <v/>
      </c>
      <c r="CR54" s="110">
        <f>IF(AD54="","",IFERROR(AD54*HSI!$B$49*HSI!$G$49/HSI!$B$3,""))</f>
        <v/>
      </c>
      <c r="CS54" s="110">
        <f>IF(AE54="","",IFERROR(AE54*HSI!$B$49*HSI!$G$49/HSI!$B$3,""))</f>
        <v/>
      </c>
      <c r="CT54" s="110">
        <f>IF(AF54="","",IFERROR(AF54*HSI!$B$49*HSI!$G$49/HSI!$B$3,""))</f>
        <v/>
      </c>
      <c r="CU54" s="110">
        <f>IF(AG54="","",IFERROR(AG54*HSI!$B$49*HSI!$G$49/HSI!$B$3,""))</f>
        <v/>
      </c>
      <c r="CV54" s="110">
        <f>IF(AH54="","",IFERROR(AH54*HSI!$B$49*HSI!$G$49/HSI!$B$3,""))</f>
        <v/>
      </c>
      <c r="CW54" s="110">
        <f>IF(AI54="","",IFERROR(AI54*HSI!$B$49*HSI!$G$49/HSI!$B$3,""))</f>
        <v/>
      </c>
      <c r="CX54" s="110">
        <f>IF(AJ54="","",IFERROR(AJ54*HSI!$B$49*HSI!$G$49/HSI!$B$3,""))</f>
        <v/>
      </c>
      <c r="CY54" s="110">
        <f>IF(AK54="","",IFERROR(AK54*HSI!$B$49*HSI!$G$49/HSI!$B$3,""))</f>
        <v/>
      </c>
      <c r="CZ54" s="110">
        <f>IF(AL54="","",IFERROR(AL54*HSI!$B$49*HSI!$G$49/HSI!$B$3,""))</f>
        <v/>
      </c>
      <c r="DA54" s="110">
        <f>IF(AM54="","",IFERROR(AM54*HSI!$B$49*HSI!$G$49/HSI!$B$3,""))</f>
        <v/>
      </c>
      <c r="DB54" s="110">
        <f>IF(AN54="","",IFERROR(AN54*HSI!$B$49*HSI!$G$49/HSI!$B$3,""))</f>
        <v/>
      </c>
      <c r="DC54" s="110">
        <f>IF(AO54="","",IFERROR(AO54*HSI!$B$49*HSI!$G$49/HSI!$B$3,""))</f>
        <v/>
      </c>
      <c r="DD54" s="110">
        <f>IF(AP54="","",IFERROR(AP54*HSI!$B$49*HSI!$G$49/HSI!$B$3,""))</f>
        <v/>
      </c>
      <c r="DE54" s="110">
        <f>IF(AQ54="","",IFERROR(AQ54*HSI!$B$49*HSI!$G$49/HSI!$B$3,""))</f>
        <v/>
      </c>
      <c r="DF54" s="110">
        <f>IF(AR54="","",IFERROR(AR54*HSI!$B$49*HSI!$G$49/HSI!$B$3,""))</f>
        <v/>
      </c>
      <c r="DG54" s="110">
        <f>IF(AS54="","",IFERROR(AS54*HSI!$B$49*HSI!$G$49/HSI!$B$3,""))</f>
        <v/>
      </c>
      <c r="DH54" s="110">
        <f>IF(AT54="","",IFERROR(AT54*HSI!$B$49*HSI!$G$49/HSI!$B$3,""))</f>
        <v/>
      </c>
      <c r="DI54" s="110">
        <f>IF(AU54="","",IFERROR(AU54*HSI!$B$49*HSI!$G$49/HSI!$B$3,""))</f>
        <v/>
      </c>
      <c r="DJ54" s="110">
        <f>IF(AV54="","",IFERROR(AV54*HSI!$B$49*HSI!$G$49/HSI!$B$3,""))</f>
        <v/>
      </c>
      <c r="DK54" s="110">
        <f>IF(AW54="","",IFERROR(AW54*HSI!$B$49*HSI!$G$49/HSI!$B$3,""))</f>
        <v/>
      </c>
      <c r="DL54" s="110">
        <f>IF(AX54="","",IFERROR(AX54*HSI!$B$49*HSI!$G$49/HSI!$B$3,""))</f>
        <v/>
      </c>
      <c r="DM54" s="110">
        <f>IF(AY54="","",IFERROR(AY54*HSI!$B$49*HSI!$G$49/HSI!$B$3,""))</f>
        <v/>
      </c>
      <c r="DN54" s="110">
        <f>IF(AZ54="","",IFERROR(AZ54*HSI!$B$49*HSI!$G$49/HSI!$B$3,""))</f>
        <v/>
      </c>
      <c r="DO54" s="110">
        <f>IF(BA54="","",IFERROR(BA54*HSI!$B$49*HSI!$G$49/HSI!$B$3,""))</f>
        <v/>
      </c>
      <c r="DP54" s="110">
        <f>IF(BB54="","",IFERROR(BB54*HSI!$B$49*HSI!$G$49/HSI!$B$3,""))</f>
        <v/>
      </c>
      <c r="DQ54" s="110">
        <f>IF(BC54="","",IFERROR(BC54*HSI!$B$49*HSI!$G$49/HSI!$B$3,""))</f>
        <v/>
      </c>
      <c r="DR54" s="110">
        <f>IF(BD54="","",IFERROR(BD54*HSI!$B$49*HSI!$G$49/HSI!$B$3,""))</f>
        <v/>
      </c>
      <c r="DS54" s="110">
        <f>IF(BE54="","",IFERROR(BE54*HSI!$B$49*HSI!$G$49/HSI!$B$3,""))</f>
        <v/>
      </c>
      <c r="DT54" s="110">
        <f>IF(BF54="","",IFERROR(BF54*HSI!$B$49*HSI!$G$49/HSI!$B$3,""))</f>
        <v/>
      </c>
      <c r="DU54" s="110">
        <f>IF(BG54="","",IFERROR(BG54*HSI!$B$49*HSI!$G$49/HSI!$B$3,""))</f>
        <v/>
      </c>
      <c r="DV54" s="110">
        <f>IF(BH54="","",IFERROR(BH54*HSI!$B$49*HSI!$G$49/HSI!$B$3,""))</f>
        <v/>
      </c>
      <c r="DW54" s="110">
        <f>IF(BI54="","",IFERROR(BI54*HSI!$B$49*HSI!$G$49/HSI!$B$3,""))</f>
        <v/>
      </c>
      <c r="DX54" s="110">
        <f>IF(BJ54="","",IFERROR(BJ54*HSI!$B$49*HSI!$G$49/HSI!$B$3,""))</f>
        <v/>
      </c>
      <c r="DY54" s="110">
        <f>IF(BK54="","",IFERROR(BK54*HSI!$B$49*HSI!$G$49/HSI!$B$3,""))</f>
        <v/>
      </c>
      <c r="DZ54" s="110">
        <f>IF(BL54="","",IFERROR(BL54*HSI!$B$49*HSI!$G$49/HSI!$B$3,""))</f>
        <v/>
      </c>
      <c r="EA54" s="110">
        <f>IF(BM54="","",IFERROR(BM54*HSI!$B$49*HSI!$G$49/HSI!$B$3,""))</f>
        <v/>
      </c>
      <c r="EB54" s="110">
        <f>IF(BN54="","",IFERROR(BN54*HSI!$B$49*HSI!$G$49/HSI!$B$3,""))</f>
        <v/>
      </c>
      <c r="EC54" s="110">
        <f>IF(BO54="","",IFERROR(BO54*HSI!$B$49*HSI!$G$49/HSI!$B$3,""))</f>
        <v/>
      </c>
      <c r="EE54" s="39">
        <f>IF(N('Dvd Calendar'!$E$473)=0,"",IF(('Dvd Calendar'!$E$473&gt;=GRID_FROM)*('Dvd Calendar'!$E$473&lt;=GRID_TO)*((('Dvd Calendar'!$E$473&lt;=VAL_DATE)+(COUNTIF('Dvd Calendar'!$E$480:$AR$480,'Dvd Calendar'!$E$473)=0))&gt;0)=0,"",'Dvd Calendar'!$E$473*1000000000+ISNUMBER('Dvd Calendar'!$E$476)*100000000+('Dvd Calendar'!$E$478=SPECIAL_LBL)*10000000+(N('Dvd Calendar'!$E$472)&gt;0)*(N('Dvd Calendar'!$E$472)&lt;=VAL_SERIAL)*1000000+43*1000+1))</f>
        <v/>
      </c>
      <c r="EF54" s="39">
        <f>IF(N('Dvd Calendar'!$F$473)=0,"",IF(('Dvd Calendar'!$F$473&gt;=GRID_FROM)*('Dvd Calendar'!$F$473&lt;=GRID_TO)*((('Dvd Calendar'!$F$473&lt;=VAL_DATE)+(COUNTIF('Dvd Calendar'!$E$480:$AR$480,'Dvd Calendar'!$F$473)=0))&gt;0)=0,"",'Dvd Calendar'!$F$473*1000000000+ISNUMBER('Dvd Calendar'!$F$476)*100000000+('Dvd Calendar'!$F$478=SPECIAL_LBL)*10000000+(N('Dvd Calendar'!$F$472)&gt;0)*(N('Dvd Calendar'!$F$472)&lt;=VAL_SERIAL)*1000000+43*1000+2))</f>
        <v/>
      </c>
      <c r="EG54" s="39">
        <f>IF(N('Dvd Calendar'!$G$473)=0,"",IF(('Dvd Calendar'!$G$473&gt;=GRID_FROM)*('Dvd Calendar'!$G$473&lt;=GRID_TO)*((('Dvd Calendar'!$G$473&lt;=VAL_DATE)+(COUNTIF('Dvd Calendar'!$E$480:$AR$480,'Dvd Calendar'!$G$473)=0))&gt;0)=0,"",'Dvd Calendar'!$G$473*1000000000+ISNUMBER('Dvd Calendar'!$G$476)*100000000+('Dvd Calendar'!$G$478=SPECIAL_LBL)*10000000+(N('Dvd Calendar'!$G$472)&gt;0)*(N('Dvd Calendar'!$G$472)&lt;=VAL_SERIAL)*1000000+43*1000+3))</f>
        <v/>
      </c>
      <c r="EH54" s="39">
        <f>IF(N('Dvd Calendar'!$H$473)=0,"",IF(('Dvd Calendar'!$H$473&gt;=GRID_FROM)*('Dvd Calendar'!$H$473&lt;=GRID_TO)*((('Dvd Calendar'!$H$473&lt;=VAL_DATE)+(COUNTIF('Dvd Calendar'!$E$480:$AR$480,'Dvd Calendar'!$H$473)=0))&gt;0)=0,"",'Dvd Calendar'!$H$473*1000000000+ISNUMBER('Dvd Calendar'!$H$476)*100000000+('Dvd Calendar'!$H$478=SPECIAL_LBL)*10000000+(N('Dvd Calendar'!$H$472)&gt;0)*(N('Dvd Calendar'!$H$472)&lt;=VAL_SERIAL)*1000000+43*1000+4))</f>
        <v/>
      </c>
      <c r="EI54" s="39">
        <f>IF(N('Dvd Calendar'!$I$473)=0,"",IF(('Dvd Calendar'!$I$473&gt;=GRID_FROM)*('Dvd Calendar'!$I$473&lt;=GRID_TO)*((('Dvd Calendar'!$I$473&lt;=VAL_DATE)+(COUNTIF('Dvd Calendar'!$E$480:$AR$480,'Dvd Calendar'!$I$473)=0))&gt;0)=0,"",'Dvd Calendar'!$I$473*1000000000+ISNUMBER('Dvd Calendar'!$I$476)*100000000+('Dvd Calendar'!$I$478=SPECIAL_LBL)*10000000+(N('Dvd Calendar'!$I$472)&gt;0)*(N('Dvd Calendar'!$I$472)&lt;=VAL_SERIAL)*1000000+43*1000+5))</f>
        <v/>
      </c>
      <c r="EJ54" s="39">
        <f>IF(N('Dvd Calendar'!$J$473)=0,"",IF(('Dvd Calendar'!$J$473&gt;=GRID_FROM)*('Dvd Calendar'!$J$473&lt;=GRID_TO)*((('Dvd Calendar'!$J$473&lt;=VAL_DATE)+(COUNTIF('Dvd Calendar'!$E$480:$AR$480,'Dvd Calendar'!$J$473)=0))&gt;0)=0,"",'Dvd Calendar'!$J$473*1000000000+ISNUMBER('Dvd Calendar'!$J$476)*100000000+('Dvd Calendar'!$J$478=SPECIAL_LBL)*10000000+(N('Dvd Calendar'!$J$472)&gt;0)*(N('Dvd Calendar'!$J$472)&lt;=VAL_SERIAL)*1000000+43*1000+6))</f>
        <v/>
      </c>
      <c r="EK54" s="39">
        <f>IF(N('Dvd Calendar'!$K$473)=0,"",IF(('Dvd Calendar'!$K$473&gt;=GRID_FROM)*('Dvd Calendar'!$K$473&lt;=GRID_TO)*((('Dvd Calendar'!$K$473&lt;=VAL_DATE)+(COUNTIF('Dvd Calendar'!$E$480:$AR$480,'Dvd Calendar'!$K$473)=0))&gt;0)=0,"",'Dvd Calendar'!$K$473*1000000000+ISNUMBER('Dvd Calendar'!$K$476)*100000000+('Dvd Calendar'!$K$478=SPECIAL_LBL)*10000000+(N('Dvd Calendar'!$K$472)&gt;0)*(N('Dvd Calendar'!$K$472)&lt;=VAL_SERIAL)*1000000+43*1000+7))</f>
        <v/>
      </c>
      <c r="EL54" s="39">
        <f>IF(N('Dvd Calendar'!$L$473)=0,"",IF(('Dvd Calendar'!$L$473&gt;=GRID_FROM)*('Dvd Calendar'!$L$473&lt;=GRID_TO)*((('Dvd Calendar'!$L$473&lt;=VAL_DATE)+(COUNTIF('Dvd Calendar'!$E$480:$AR$480,'Dvd Calendar'!$L$473)=0))&gt;0)=0,"",'Dvd Calendar'!$L$473*1000000000+ISNUMBER('Dvd Calendar'!$L$476)*100000000+('Dvd Calendar'!$L$478=SPECIAL_LBL)*10000000+(N('Dvd Calendar'!$L$472)&gt;0)*(N('Dvd Calendar'!$L$472)&lt;=VAL_SERIAL)*1000000+43*1000+8))</f>
        <v/>
      </c>
      <c r="EM54" s="39">
        <f>IF(N('Dvd Calendar'!$M$473)=0,"",IF(('Dvd Calendar'!$M$473&gt;=GRID_FROM)*('Dvd Calendar'!$M$473&lt;=GRID_TO)*((('Dvd Calendar'!$M$473&lt;=VAL_DATE)+(COUNTIF('Dvd Calendar'!$E$480:$AR$480,'Dvd Calendar'!$M$473)=0))&gt;0)=0,"",'Dvd Calendar'!$M$473*1000000000+ISNUMBER('Dvd Calendar'!$M$476)*100000000+('Dvd Calendar'!$M$478=SPECIAL_LBL)*10000000+(N('Dvd Calendar'!$M$472)&gt;0)*(N('Dvd Calendar'!$M$472)&lt;=VAL_SERIAL)*1000000+43*1000+9))</f>
        <v/>
      </c>
      <c r="EN54" s="39">
        <f>IF(N('Dvd Calendar'!$N$473)=0,"",IF(('Dvd Calendar'!$N$473&gt;=GRID_FROM)*('Dvd Calendar'!$N$473&lt;=GRID_TO)*((('Dvd Calendar'!$N$473&lt;=VAL_DATE)+(COUNTIF('Dvd Calendar'!$E$480:$AR$480,'Dvd Calendar'!$N$473)=0))&gt;0)=0,"",'Dvd Calendar'!$N$473*1000000000+ISNUMBER('Dvd Calendar'!$N$476)*100000000+('Dvd Calendar'!$N$478=SPECIAL_LBL)*10000000+(N('Dvd Calendar'!$N$472)&gt;0)*(N('Dvd Calendar'!$N$472)&lt;=VAL_SERIAL)*1000000+43*1000+10))</f>
        <v/>
      </c>
      <c r="EO54" s="39">
        <f>IF(N('Dvd Calendar'!$O$473)=0,"",IF(('Dvd Calendar'!$O$473&gt;=GRID_FROM)*('Dvd Calendar'!$O$473&lt;=GRID_TO)*((('Dvd Calendar'!$O$473&lt;=VAL_DATE)+(COUNTIF('Dvd Calendar'!$E$480:$AR$480,'Dvd Calendar'!$O$473)=0))&gt;0)=0,"",'Dvd Calendar'!$O$473*1000000000+ISNUMBER('Dvd Calendar'!$O$476)*100000000+('Dvd Calendar'!$O$478=SPECIAL_LBL)*10000000+(N('Dvd Calendar'!$O$472)&gt;0)*(N('Dvd Calendar'!$O$472)&lt;=VAL_SERIAL)*1000000+43*1000+11))</f>
        <v/>
      </c>
      <c r="EP54" s="39">
        <f>IF(N('Dvd Calendar'!$P$473)=0,"",IF(('Dvd Calendar'!$P$473&gt;=GRID_FROM)*('Dvd Calendar'!$P$473&lt;=GRID_TO)*((('Dvd Calendar'!$P$473&lt;=VAL_DATE)+(COUNTIF('Dvd Calendar'!$E$480:$AR$480,'Dvd Calendar'!$P$473)=0))&gt;0)=0,"",'Dvd Calendar'!$P$473*1000000000+ISNUMBER('Dvd Calendar'!$P$476)*100000000+('Dvd Calendar'!$P$478=SPECIAL_LBL)*10000000+(N('Dvd Calendar'!$P$472)&gt;0)*(N('Dvd Calendar'!$P$472)&lt;=VAL_SERIAL)*1000000+43*1000+12))</f>
        <v/>
      </c>
      <c r="EQ54" s="39">
        <f>IF(N('Dvd Calendar'!$Q$473)=0,"",IF(('Dvd Calendar'!$Q$473&gt;=GRID_FROM)*('Dvd Calendar'!$Q$473&lt;=GRID_TO)*((('Dvd Calendar'!$Q$473&lt;=VAL_DATE)+(COUNTIF('Dvd Calendar'!$E$480:$AR$480,'Dvd Calendar'!$Q$473)=0))&gt;0)=0,"",'Dvd Calendar'!$Q$473*1000000000+ISNUMBER('Dvd Calendar'!$Q$476)*100000000+('Dvd Calendar'!$Q$478=SPECIAL_LBL)*10000000+(N('Dvd Calendar'!$Q$472)&gt;0)*(N('Dvd Calendar'!$Q$472)&lt;=VAL_SERIAL)*1000000+43*1000+13))</f>
        <v/>
      </c>
      <c r="ER54" s="39">
        <f>IF(N('Dvd Calendar'!$R$473)=0,"",IF(('Dvd Calendar'!$R$473&gt;=GRID_FROM)*('Dvd Calendar'!$R$473&lt;=GRID_TO)*((('Dvd Calendar'!$R$473&lt;=VAL_DATE)+(COUNTIF('Dvd Calendar'!$E$480:$AR$480,'Dvd Calendar'!$R$473)=0))&gt;0)=0,"",'Dvd Calendar'!$R$473*1000000000+ISNUMBER('Dvd Calendar'!$R$476)*100000000+('Dvd Calendar'!$R$478=SPECIAL_LBL)*10000000+(N('Dvd Calendar'!$R$472)&gt;0)*(N('Dvd Calendar'!$R$472)&lt;=VAL_SERIAL)*1000000+43*1000+14))</f>
        <v/>
      </c>
      <c r="ES54" s="39">
        <f>IF(N('Dvd Calendar'!$S$473)=0,"",IF(('Dvd Calendar'!$S$473&gt;=GRID_FROM)*('Dvd Calendar'!$S$473&lt;=GRID_TO)*((('Dvd Calendar'!$S$473&lt;=VAL_DATE)+(COUNTIF('Dvd Calendar'!$E$480:$AR$480,'Dvd Calendar'!$S$473)=0))&gt;0)=0,"",'Dvd Calendar'!$S$473*1000000000+ISNUMBER('Dvd Calendar'!$S$476)*100000000+('Dvd Calendar'!$S$478=SPECIAL_LBL)*10000000+(N('Dvd Calendar'!$S$472)&gt;0)*(N('Dvd Calendar'!$S$472)&lt;=VAL_SERIAL)*1000000+43*1000+15))</f>
        <v/>
      </c>
      <c r="ET54" s="39">
        <f>IF(N('Dvd Calendar'!$T$473)=0,"",IF(('Dvd Calendar'!$T$473&gt;=GRID_FROM)*('Dvd Calendar'!$T$473&lt;=GRID_TO)*((('Dvd Calendar'!$T$473&lt;=VAL_DATE)+(COUNTIF('Dvd Calendar'!$E$480:$AR$480,'Dvd Calendar'!$T$473)=0))&gt;0)=0,"",'Dvd Calendar'!$T$473*1000000000+ISNUMBER('Dvd Calendar'!$T$476)*100000000+('Dvd Calendar'!$T$478=SPECIAL_LBL)*10000000+(N('Dvd Calendar'!$T$472)&gt;0)*(N('Dvd Calendar'!$T$472)&lt;=VAL_SERIAL)*1000000+43*1000+16))</f>
        <v/>
      </c>
      <c r="EU54" s="39">
        <f>IF(N('Dvd Calendar'!$U$473)=0,"",IF(('Dvd Calendar'!$U$473&gt;=GRID_FROM)*('Dvd Calendar'!$U$473&lt;=GRID_TO)*((('Dvd Calendar'!$U$473&lt;=VAL_DATE)+(COUNTIF('Dvd Calendar'!$E$480:$AR$480,'Dvd Calendar'!$U$473)=0))&gt;0)=0,"",'Dvd Calendar'!$U$473*1000000000+ISNUMBER('Dvd Calendar'!$U$476)*100000000+('Dvd Calendar'!$U$478=SPECIAL_LBL)*10000000+(N('Dvd Calendar'!$U$472)&gt;0)*(N('Dvd Calendar'!$U$472)&lt;=VAL_SERIAL)*1000000+43*1000+17))</f>
        <v/>
      </c>
      <c r="EV54" s="39">
        <f>IF(N('Dvd Calendar'!$V$473)=0,"",IF(('Dvd Calendar'!$V$473&gt;=GRID_FROM)*('Dvd Calendar'!$V$473&lt;=GRID_TO)*((('Dvd Calendar'!$V$473&lt;=VAL_DATE)+(COUNTIF('Dvd Calendar'!$E$480:$AR$480,'Dvd Calendar'!$V$473)=0))&gt;0)=0,"",'Dvd Calendar'!$V$473*1000000000+ISNUMBER('Dvd Calendar'!$V$476)*100000000+('Dvd Calendar'!$V$478=SPECIAL_LBL)*10000000+(N('Dvd Calendar'!$V$472)&gt;0)*(N('Dvd Calendar'!$V$472)&lt;=VAL_SERIAL)*1000000+43*1000+18))</f>
        <v/>
      </c>
      <c r="EW54" s="39">
        <f>IF(N('Dvd Calendar'!$W$473)=0,"",IF(('Dvd Calendar'!$W$473&gt;=GRID_FROM)*('Dvd Calendar'!$W$473&lt;=GRID_TO)*((('Dvd Calendar'!$W$473&lt;=VAL_DATE)+(COUNTIF('Dvd Calendar'!$E$480:$AR$480,'Dvd Calendar'!$W$473)=0))&gt;0)=0,"",'Dvd Calendar'!$W$473*1000000000+ISNUMBER('Dvd Calendar'!$W$476)*100000000+('Dvd Calendar'!$W$478=SPECIAL_LBL)*10000000+(N('Dvd Calendar'!$W$472)&gt;0)*(N('Dvd Calendar'!$W$472)&lt;=VAL_SERIAL)*1000000+43*1000+19))</f>
        <v/>
      </c>
      <c r="EX54" s="39">
        <f>IF(N('Dvd Calendar'!$X$473)=0,"",IF(('Dvd Calendar'!$X$473&gt;=GRID_FROM)*('Dvd Calendar'!$X$473&lt;=GRID_TO)*((('Dvd Calendar'!$X$473&lt;=VAL_DATE)+(COUNTIF('Dvd Calendar'!$E$480:$AR$480,'Dvd Calendar'!$X$473)=0))&gt;0)=0,"",'Dvd Calendar'!$X$473*1000000000+ISNUMBER('Dvd Calendar'!$X$476)*100000000+('Dvd Calendar'!$X$478=SPECIAL_LBL)*10000000+(N('Dvd Calendar'!$X$472)&gt;0)*(N('Dvd Calendar'!$X$472)&lt;=VAL_SERIAL)*1000000+43*1000+20))</f>
        <v/>
      </c>
      <c r="EY54" s="39">
        <f>IF(N('Dvd Calendar'!$Y$473)=0,"",IF(('Dvd Calendar'!$Y$473&gt;=GRID_FROM)*('Dvd Calendar'!$Y$473&lt;=GRID_TO)*((('Dvd Calendar'!$Y$473&lt;=VAL_DATE)+(COUNTIF('Dvd Calendar'!$E$480:$AR$480,'Dvd Calendar'!$Y$473)=0))&gt;0)=0,"",'Dvd Calendar'!$Y$473*1000000000+ISNUMBER('Dvd Calendar'!$Y$476)*100000000+('Dvd Calendar'!$Y$478=SPECIAL_LBL)*10000000+(N('Dvd Calendar'!$Y$472)&gt;0)*(N('Dvd Calendar'!$Y$472)&lt;=VAL_SERIAL)*1000000+43*1000+21))</f>
        <v/>
      </c>
      <c r="EZ54" s="39">
        <f>IF(N('Dvd Calendar'!$Z$473)=0,"",IF(('Dvd Calendar'!$Z$473&gt;=GRID_FROM)*('Dvd Calendar'!$Z$473&lt;=GRID_TO)*((('Dvd Calendar'!$Z$473&lt;=VAL_DATE)+(COUNTIF('Dvd Calendar'!$E$480:$AR$480,'Dvd Calendar'!$Z$473)=0))&gt;0)=0,"",'Dvd Calendar'!$Z$473*1000000000+ISNUMBER('Dvd Calendar'!$Z$476)*100000000+('Dvd Calendar'!$Z$478=SPECIAL_LBL)*10000000+(N('Dvd Calendar'!$Z$472)&gt;0)*(N('Dvd Calendar'!$Z$472)&lt;=VAL_SERIAL)*1000000+43*1000+22))</f>
        <v/>
      </c>
      <c r="FA54" s="39">
        <f>IF(N('Dvd Calendar'!$AA$473)=0,"",IF(('Dvd Calendar'!$AA$473&gt;=GRID_FROM)*('Dvd Calendar'!$AA$473&lt;=GRID_TO)*((('Dvd Calendar'!$AA$473&lt;=VAL_DATE)+(COUNTIF('Dvd Calendar'!$E$480:$AR$480,'Dvd Calendar'!$AA$473)=0))&gt;0)=0,"",'Dvd Calendar'!$AA$473*1000000000+ISNUMBER('Dvd Calendar'!$AA$476)*100000000+('Dvd Calendar'!$AA$478=SPECIAL_LBL)*10000000+(N('Dvd Calendar'!$AA$472)&gt;0)*(N('Dvd Calendar'!$AA$472)&lt;=VAL_SERIAL)*1000000+43*1000+23))</f>
        <v/>
      </c>
      <c r="FB54" s="39">
        <f>IF(N('Dvd Calendar'!$AB$473)=0,"",IF(('Dvd Calendar'!$AB$473&gt;=GRID_FROM)*('Dvd Calendar'!$AB$473&lt;=GRID_TO)*((('Dvd Calendar'!$AB$473&lt;=VAL_DATE)+(COUNTIF('Dvd Calendar'!$E$480:$AR$480,'Dvd Calendar'!$AB$473)=0))&gt;0)=0,"",'Dvd Calendar'!$AB$473*1000000000+ISNUMBER('Dvd Calendar'!$AB$476)*100000000+('Dvd Calendar'!$AB$478=SPECIAL_LBL)*10000000+(N('Dvd Calendar'!$AB$472)&gt;0)*(N('Dvd Calendar'!$AB$472)&lt;=VAL_SERIAL)*1000000+43*1000+24))</f>
        <v/>
      </c>
      <c r="FC54" s="39">
        <f>IF(N('Dvd Calendar'!$AC$473)=0,"",IF(('Dvd Calendar'!$AC$473&gt;=GRID_FROM)*('Dvd Calendar'!$AC$473&lt;=GRID_TO)*((('Dvd Calendar'!$AC$473&lt;=VAL_DATE)+(COUNTIF('Dvd Calendar'!$E$480:$AR$480,'Dvd Calendar'!$AC$473)=0))&gt;0)=0,"",'Dvd Calendar'!$AC$473*1000000000+ISNUMBER('Dvd Calendar'!$AC$476)*100000000+('Dvd Calendar'!$AC$478=SPECIAL_LBL)*10000000+(N('Dvd Calendar'!$AC$472)&gt;0)*(N('Dvd Calendar'!$AC$472)&lt;=VAL_SERIAL)*1000000+43*1000+25))</f>
        <v/>
      </c>
      <c r="FD54" s="39">
        <f>IF(N('Dvd Calendar'!$AD$473)=0,"",IF(('Dvd Calendar'!$AD$473&gt;=GRID_FROM)*('Dvd Calendar'!$AD$473&lt;=GRID_TO)*((('Dvd Calendar'!$AD$473&lt;=VAL_DATE)+(COUNTIF('Dvd Calendar'!$E$480:$AR$480,'Dvd Calendar'!$AD$473)=0))&gt;0)=0,"",'Dvd Calendar'!$AD$473*1000000000+ISNUMBER('Dvd Calendar'!$AD$476)*100000000+('Dvd Calendar'!$AD$478=SPECIAL_LBL)*10000000+(N('Dvd Calendar'!$AD$472)&gt;0)*(N('Dvd Calendar'!$AD$472)&lt;=VAL_SERIAL)*1000000+43*1000+26))</f>
        <v/>
      </c>
      <c r="FE54" s="39">
        <f>IF(N('Dvd Calendar'!$AE$473)=0,"",IF(('Dvd Calendar'!$AE$473&gt;=GRID_FROM)*('Dvd Calendar'!$AE$473&lt;=GRID_TO)*((('Dvd Calendar'!$AE$473&lt;=VAL_DATE)+(COUNTIF('Dvd Calendar'!$E$480:$AR$480,'Dvd Calendar'!$AE$473)=0))&gt;0)=0,"",'Dvd Calendar'!$AE$473*1000000000+ISNUMBER('Dvd Calendar'!$AE$476)*100000000+('Dvd Calendar'!$AE$478=SPECIAL_LBL)*10000000+(N('Dvd Calendar'!$AE$472)&gt;0)*(N('Dvd Calendar'!$AE$472)&lt;=VAL_SERIAL)*1000000+43*1000+27))</f>
        <v/>
      </c>
      <c r="FF54" s="39">
        <f>IF(N('Dvd Calendar'!$AF$473)=0,"",IF(('Dvd Calendar'!$AF$473&gt;=GRID_FROM)*('Dvd Calendar'!$AF$473&lt;=GRID_TO)*((('Dvd Calendar'!$AF$473&lt;=VAL_DATE)+(COUNTIF('Dvd Calendar'!$E$480:$AR$480,'Dvd Calendar'!$AF$473)=0))&gt;0)=0,"",'Dvd Calendar'!$AF$473*1000000000+ISNUMBER('Dvd Calendar'!$AF$476)*100000000+('Dvd Calendar'!$AF$478=SPECIAL_LBL)*10000000+(N('Dvd Calendar'!$AF$472)&gt;0)*(N('Dvd Calendar'!$AF$472)&lt;=VAL_SERIAL)*1000000+43*1000+28))</f>
        <v/>
      </c>
      <c r="FG54" s="39">
        <f>IF(N('Dvd Calendar'!$AG$473)=0,"",IF(('Dvd Calendar'!$AG$473&gt;=GRID_FROM)*('Dvd Calendar'!$AG$473&lt;=GRID_TO)*((('Dvd Calendar'!$AG$473&lt;=VAL_DATE)+(COUNTIF('Dvd Calendar'!$E$480:$AR$480,'Dvd Calendar'!$AG$473)=0))&gt;0)=0,"",'Dvd Calendar'!$AG$473*1000000000+ISNUMBER('Dvd Calendar'!$AG$476)*100000000+('Dvd Calendar'!$AG$478=SPECIAL_LBL)*10000000+(N('Dvd Calendar'!$AG$472)&gt;0)*(N('Dvd Calendar'!$AG$472)&lt;=VAL_SERIAL)*1000000+43*1000+29))</f>
        <v/>
      </c>
      <c r="FH54" s="39">
        <f>IF(N('Dvd Calendar'!$AH$473)=0,"",IF(('Dvd Calendar'!$AH$473&gt;=GRID_FROM)*('Dvd Calendar'!$AH$473&lt;=GRID_TO)*((('Dvd Calendar'!$AH$473&lt;=VAL_DATE)+(COUNTIF('Dvd Calendar'!$E$480:$AR$480,'Dvd Calendar'!$AH$473)=0))&gt;0)=0,"",'Dvd Calendar'!$AH$473*1000000000+ISNUMBER('Dvd Calendar'!$AH$476)*100000000+('Dvd Calendar'!$AH$478=SPECIAL_LBL)*10000000+(N('Dvd Calendar'!$AH$472)&gt;0)*(N('Dvd Calendar'!$AH$472)&lt;=VAL_SERIAL)*1000000+43*1000+30))</f>
        <v/>
      </c>
      <c r="FI54" s="39">
        <f>IF(N('Dvd Calendar'!$AI$473)=0,"",IF(('Dvd Calendar'!$AI$473&gt;=GRID_FROM)*('Dvd Calendar'!$AI$473&lt;=GRID_TO)*((('Dvd Calendar'!$AI$473&lt;=VAL_DATE)+(COUNTIF('Dvd Calendar'!$E$480:$AR$480,'Dvd Calendar'!$AI$473)=0))&gt;0)=0,"",'Dvd Calendar'!$AI$473*1000000000+ISNUMBER('Dvd Calendar'!$AI$476)*100000000+('Dvd Calendar'!$AI$478=SPECIAL_LBL)*10000000+(N('Dvd Calendar'!$AI$472)&gt;0)*(N('Dvd Calendar'!$AI$472)&lt;=VAL_SERIAL)*1000000+43*1000+31))</f>
        <v/>
      </c>
      <c r="FJ54" s="39">
        <f>IF(N('Dvd Calendar'!$AJ$473)=0,"",IF(('Dvd Calendar'!$AJ$473&gt;=GRID_FROM)*('Dvd Calendar'!$AJ$473&lt;=GRID_TO)*((('Dvd Calendar'!$AJ$473&lt;=VAL_DATE)+(COUNTIF('Dvd Calendar'!$E$480:$AR$480,'Dvd Calendar'!$AJ$473)=0))&gt;0)=0,"",'Dvd Calendar'!$AJ$473*1000000000+ISNUMBER('Dvd Calendar'!$AJ$476)*100000000+('Dvd Calendar'!$AJ$478=SPECIAL_LBL)*10000000+(N('Dvd Calendar'!$AJ$472)&gt;0)*(N('Dvd Calendar'!$AJ$472)&lt;=VAL_SERIAL)*1000000+43*1000+32))</f>
        <v/>
      </c>
      <c r="FK54" s="39">
        <f>IF(N('Dvd Calendar'!$AK$473)=0,"",IF(('Dvd Calendar'!$AK$473&gt;=GRID_FROM)*('Dvd Calendar'!$AK$473&lt;=GRID_TO)*((('Dvd Calendar'!$AK$473&lt;=VAL_DATE)+(COUNTIF('Dvd Calendar'!$E$480:$AR$480,'Dvd Calendar'!$AK$473)=0))&gt;0)=0,"",'Dvd Calendar'!$AK$473*1000000000+ISNUMBER('Dvd Calendar'!$AK$476)*100000000+('Dvd Calendar'!$AK$478=SPECIAL_LBL)*10000000+(N('Dvd Calendar'!$AK$472)&gt;0)*(N('Dvd Calendar'!$AK$472)&lt;=VAL_SERIAL)*1000000+43*1000+33))</f>
        <v/>
      </c>
      <c r="FL54" s="39">
        <f>IF(N('Dvd Calendar'!$AL$473)=0,"",IF(('Dvd Calendar'!$AL$473&gt;=GRID_FROM)*('Dvd Calendar'!$AL$473&lt;=GRID_TO)*((('Dvd Calendar'!$AL$473&lt;=VAL_DATE)+(COUNTIF('Dvd Calendar'!$E$480:$AR$480,'Dvd Calendar'!$AL$473)=0))&gt;0)=0,"",'Dvd Calendar'!$AL$473*1000000000+ISNUMBER('Dvd Calendar'!$AL$476)*100000000+('Dvd Calendar'!$AL$478=SPECIAL_LBL)*10000000+(N('Dvd Calendar'!$AL$472)&gt;0)*(N('Dvd Calendar'!$AL$472)&lt;=VAL_SERIAL)*1000000+43*1000+34))</f>
        <v/>
      </c>
      <c r="FM54" s="39">
        <f>IF(N('Dvd Calendar'!$AM$473)=0,"",IF(('Dvd Calendar'!$AM$473&gt;=GRID_FROM)*('Dvd Calendar'!$AM$473&lt;=GRID_TO)*((('Dvd Calendar'!$AM$473&lt;=VAL_DATE)+(COUNTIF('Dvd Calendar'!$E$480:$AR$480,'Dvd Calendar'!$AM$473)=0))&gt;0)=0,"",'Dvd Calendar'!$AM$473*1000000000+ISNUMBER('Dvd Calendar'!$AM$476)*100000000+('Dvd Calendar'!$AM$478=SPECIAL_LBL)*10000000+(N('Dvd Calendar'!$AM$472)&gt;0)*(N('Dvd Calendar'!$AM$472)&lt;=VAL_SERIAL)*1000000+43*1000+35))</f>
        <v/>
      </c>
      <c r="FN54" s="39">
        <f>IF(N('Dvd Calendar'!$AN$473)=0,"",IF(('Dvd Calendar'!$AN$473&gt;=GRID_FROM)*('Dvd Calendar'!$AN$473&lt;=GRID_TO)*((('Dvd Calendar'!$AN$473&lt;=VAL_DATE)+(COUNTIF('Dvd Calendar'!$E$480:$AR$480,'Dvd Calendar'!$AN$473)=0))&gt;0)=0,"",'Dvd Calendar'!$AN$473*1000000000+ISNUMBER('Dvd Calendar'!$AN$476)*100000000+('Dvd Calendar'!$AN$478=SPECIAL_LBL)*10000000+(N('Dvd Calendar'!$AN$472)&gt;0)*(N('Dvd Calendar'!$AN$472)&lt;=VAL_SERIAL)*1000000+43*1000+36))</f>
        <v/>
      </c>
      <c r="FO54" s="39">
        <f>IF(N('Dvd Calendar'!$AO$473)=0,"",IF(('Dvd Calendar'!$AO$473&gt;=GRID_FROM)*('Dvd Calendar'!$AO$473&lt;=GRID_TO)*((('Dvd Calendar'!$AO$473&lt;=VAL_DATE)+(COUNTIF('Dvd Calendar'!$E$480:$AR$480,'Dvd Calendar'!$AO$473)=0))&gt;0)=0,"",'Dvd Calendar'!$AO$473*1000000000+ISNUMBER('Dvd Calendar'!$AO$476)*100000000+('Dvd Calendar'!$AO$478=SPECIAL_LBL)*10000000+(N('Dvd Calendar'!$AO$472)&gt;0)*(N('Dvd Calendar'!$AO$472)&lt;=VAL_SERIAL)*1000000+43*1000+37))</f>
        <v/>
      </c>
      <c r="FP54" s="39">
        <f>IF(N('Dvd Calendar'!$AP$473)=0,"",IF(('Dvd Calendar'!$AP$473&gt;=GRID_FROM)*('Dvd Calendar'!$AP$473&lt;=GRID_TO)*((('Dvd Calendar'!$AP$473&lt;=VAL_DATE)+(COUNTIF('Dvd Calendar'!$E$480:$AR$480,'Dvd Calendar'!$AP$473)=0))&gt;0)=0,"",'Dvd Calendar'!$AP$473*1000000000+ISNUMBER('Dvd Calendar'!$AP$476)*100000000+('Dvd Calendar'!$AP$478=SPECIAL_LBL)*10000000+(N('Dvd Calendar'!$AP$472)&gt;0)*(N('Dvd Calendar'!$AP$472)&lt;=VAL_SERIAL)*1000000+43*1000+38))</f>
        <v/>
      </c>
      <c r="FQ54" s="39">
        <f>IF(N('Dvd Calendar'!$AQ$473)=0,"",IF(('Dvd Calendar'!$AQ$473&gt;=GRID_FROM)*('Dvd Calendar'!$AQ$473&lt;=GRID_TO)*((('Dvd Calendar'!$AQ$473&lt;=VAL_DATE)+(COUNTIF('Dvd Calendar'!$E$480:$AR$480,'Dvd Calendar'!$AQ$473)=0))&gt;0)=0,"",'Dvd Calendar'!$AQ$473*1000000000+ISNUMBER('Dvd Calendar'!$AQ$476)*100000000+('Dvd Calendar'!$AQ$478=SPECIAL_LBL)*10000000+(N('Dvd Calendar'!$AQ$472)&gt;0)*(N('Dvd Calendar'!$AQ$472)&lt;=VAL_SERIAL)*1000000+43*1000+39))</f>
        <v/>
      </c>
      <c r="FR54" s="39">
        <f>IF(N('Dvd Calendar'!$AR$473)=0,"",IF(('Dvd Calendar'!$AR$473&gt;=GRID_FROM)*('Dvd Calendar'!$AR$473&lt;=GRID_TO)*((('Dvd Calendar'!$AR$473&lt;=VAL_DATE)+(COUNTIF('Dvd Calendar'!$E$480:$AR$480,'Dvd Calendar'!$AR$473)=0))&gt;0)=0,"",'Dvd Calendar'!$AR$473*1000000000+ISNUMBER('Dvd Calendar'!$AR$476)*100000000+('Dvd Calendar'!$AR$478=SPECIAL_LBL)*10000000+(N('Dvd Calendar'!$AR$472)&gt;0)*(N('Dvd Calendar'!$AR$472)&lt;=VAL_SERIAL)*1000000+43*1000+40))</f>
        <v/>
      </c>
      <c r="FS54" s="39">
        <f>IF(N('Dvd Calendar'!$E$480)=0,"",IF(('Dvd Calendar'!$E$480&gt;=GRID_FROM)*('Dvd Calendar'!$E$480&lt;=GRID_TO)*('Dvd Calendar'!$E$480&gt;VAL_DATE)=0,"",'Dvd Calendar'!$E$480*1000000000+ISNUMBER('Dvd Calendar'!$E$481)*100000000+0*10000000+(N('Dvd Calendar'!$E$479)&gt;0)*(N('Dvd Calendar'!$E$479)&lt;=VAL_SERIAL)*1000000+43*1000+41))</f>
        <v/>
      </c>
      <c r="FT54" s="39">
        <f>IF(N('Dvd Calendar'!$F$480)=0,"",IF(('Dvd Calendar'!$F$480&gt;=GRID_FROM)*('Dvd Calendar'!$F$480&lt;=GRID_TO)*('Dvd Calendar'!$F$480&gt;VAL_DATE)=0,"",'Dvd Calendar'!$F$480*1000000000+ISNUMBER('Dvd Calendar'!$F$481)*100000000+0*10000000+(N('Dvd Calendar'!$F$479)&gt;0)*(N('Dvd Calendar'!$F$479)&lt;=VAL_SERIAL)*1000000+43*1000+42))</f>
        <v/>
      </c>
      <c r="FU54" s="39">
        <f>IF(N('Dvd Calendar'!$G$480)=0,"",IF(('Dvd Calendar'!$G$480&gt;=GRID_FROM)*('Dvd Calendar'!$G$480&lt;=GRID_TO)*('Dvd Calendar'!$G$480&gt;VAL_DATE)=0,"",'Dvd Calendar'!$G$480*1000000000+ISNUMBER('Dvd Calendar'!$G$481)*100000000+0*10000000+(N('Dvd Calendar'!$G$479)&gt;0)*(N('Dvd Calendar'!$G$479)&lt;=VAL_SERIAL)*1000000+43*1000+43))</f>
        <v/>
      </c>
      <c r="FV54" s="39">
        <f>IF(N('Dvd Calendar'!$H$480)=0,"",IF(('Dvd Calendar'!$H$480&gt;=GRID_FROM)*('Dvd Calendar'!$H$480&lt;=GRID_TO)*('Dvd Calendar'!$H$480&gt;VAL_DATE)=0,"",'Dvd Calendar'!$H$480*1000000000+ISNUMBER('Dvd Calendar'!$H$481)*100000000+0*10000000+(N('Dvd Calendar'!$H$479)&gt;0)*(N('Dvd Calendar'!$H$479)&lt;=VAL_SERIAL)*1000000+43*1000+44))</f>
        <v/>
      </c>
      <c r="FW54" s="39">
        <f>IF(N('Dvd Calendar'!$I$480)=0,"",IF(('Dvd Calendar'!$I$480&gt;=GRID_FROM)*('Dvd Calendar'!$I$480&lt;=GRID_TO)*('Dvd Calendar'!$I$480&gt;VAL_DATE)=0,"",'Dvd Calendar'!$I$480*1000000000+ISNUMBER('Dvd Calendar'!$I$481)*100000000+0*10000000+(N('Dvd Calendar'!$I$479)&gt;0)*(N('Dvd Calendar'!$I$479)&lt;=VAL_SERIAL)*1000000+43*1000+45))</f>
        <v/>
      </c>
      <c r="FX54" s="39">
        <f>IF(N('Dvd Calendar'!$J$480)=0,"",IF(('Dvd Calendar'!$J$480&gt;=GRID_FROM)*('Dvd Calendar'!$J$480&lt;=GRID_TO)*('Dvd Calendar'!$J$480&gt;VAL_DATE)=0,"",'Dvd Calendar'!$J$480*1000000000+ISNUMBER('Dvd Calendar'!$J$481)*100000000+0*10000000+(N('Dvd Calendar'!$J$479)&gt;0)*(N('Dvd Calendar'!$J$479)&lt;=VAL_SERIAL)*1000000+43*1000+46))</f>
        <v/>
      </c>
      <c r="FY54" s="39">
        <f>IF(N('Dvd Calendar'!$K$480)=0,"",IF(('Dvd Calendar'!$K$480&gt;=GRID_FROM)*('Dvd Calendar'!$K$480&lt;=GRID_TO)*('Dvd Calendar'!$K$480&gt;VAL_DATE)=0,"",'Dvd Calendar'!$K$480*1000000000+ISNUMBER('Dvd Calendar'!$K$481)*100000000+0*10000000+(N('Dvd Calendar'!$K$479)&gt;0)*(N('Dvd Calendar'!$K$479)&lt;=VAL_SERIAL)*1000000+43*1000+47))</f>
        <v/>
      </c>
      <c r="FZ54" s="39">
        <f>IF(N('Dvd Calendar'!$L$480)=0,"",IF(('Dvd Calendar'!$L$480&gt;=GRID_FROM)*('Dvd Calendar'!$L$480&lt;=GRID_TO)*('Dvd Calendar'!$L$480&gt;VAL_DATE)=0,"",'Dvd Calendar'!$L$480*1000000000+ISNUMBER('Dvd Calendar'!$L$481)*100000000+0*10000000+(N('Dvd Calendar'!$L$479)&gt;0)*(N('Dvd Calendar'!$L$479)&lt;=VAL_SERIAL)*1000000+43*1000+48))</f>
        <v/>
      </c>
      <c r="GA54" s="39">
        <f>IF(N('Dvd Calendar'!$M$480)=0,"",IF(('Dvd Calendar'!$M$480&gt;=GRID_FROM)*('Dvd Calendar'!$M$480&lt;=GRID_TO)*('Dvd Calendar'!$M$480&gt;VAL_DATE)=0,"",'Dvd Calendar'!$M$480*1000000000+ISNUMBER('Dvd Calendar'!$M$481)*100000000+0*10000000+(N('Dvd Calendar'!$M$479)&gt;0)*(N('Dvd Calendar'!$M$479)&lt;=VAL_SERIAL)*1000000+43*1000+49))</f>
        <v/>
      </c>
      <c r="GB54" s="39">
        <f>IF(N('Dvd Calendar'!$N$480)=0,"",IF(('Dvd Calendar'!$N$480&gt;=GRID_FROM)*('Dvd Calendar'!$N$480&lt;=GRID_TO)*('Dvd Calendar'!$N$480&gt;VAL_DATE)=0,"",'Dvd Calendar'!$N$480*1000000000+ISNUMBER('Dvd Calendar'!$N$481)*100000000+0*10000000+(N('Dvd Calendar'!$N$479)&gt;0)*(N('Dvd Calendar'!$N$479)&lt;=VAL_SERIAL)*1000000+43*1000+50))</f>
        <v/>
      </c>
      <c r="GC54" s="39">
        <f>IF(N('Dvd Calendar'!$O$480)=0,"",IF(('Dvd Calendar'!$O$480&gt;=GRID_FROM)*('Dvd Calendar'!$O$480&lt;=GRID_TO)*('Dvd Calendar'!$O$480&gt;VAL_DATE)=0,"",'Dvd Calendar'!$O$480*1000000000+ISNUMBER('Dvd Calendar'!$O$481)*100000000+0*10000000+(N('Dvd Calendar'!$O$479)&gt;0)*(N('Dvd Calendar'!$O$479)&lt;=VAL_SERIAL)*1000000+43*1000+51))</f>
        <v/>
      </c>
      <c r="GD54" s="39">
        <f>IF(N('Dvd Calendar'!$P$480)=0,"",IF(('Dvd Calendar'!$P$480&gt;=GRID_FROM)*('Dvd Calendar'!$P$480&lt;=GRID_TO)*('Dvd Calendar'!$P$480&gt;VAL_DATE)=0,"",'Dvd Calendar'!$P$480*1000000000+ISNUMBER('Dvd Calendar'!$P$481)*100000000+0*10000000+(N('Dvd Calendar'!$P$479)&gt;0)*(N('Dvd Calendar'!$P$479)&lt;=VAL_SERIAL)*1000000+43*1000+52))</f>
        <v/>
      </c>
      <c r="GE54" s="39">
        <f>IF(N('Dvd Calendar'!$Q$480)=0,"",IF(('Dvd Calendar'!$Q$480&gt;=GRID_FROM)*('Dvd Calendar'!$Q$480&lt;=GRID_TO)*('Dvd Calendar'!$Q$480&gt;VAL_DATE)=0,"",'Dvd Calendar'!$Q$480*1000000000+ISNUMBER('Dvd Calendar'!$Q$481)*100000000+0*10000000+(N('Dvd Calendar'!$Q$479)&gt;0)*(N('Dvd Calendar'!$Q$479)&lt;=VAL_SERIAL)*1000000+43*1000+53))</f>
        <v/>
      </c>
      <c r="GF54" s="39">
        <f>IF(N('Dvd Calendar'!$R$480)=0,"",IF(('Dvd Calendar'!$R$480&gt;=GRID_FROM)*('Dvd Calendar'!$R$480&lt;=GRID_TO)*('Dvd Calendar'!$R$480&gt;VAL_DATE)=0,"",'Dvd Calendar'!$R$480*1000000000+ISNUMBER('Dvd Calendar'!$R$481)*100000000+0*10000000+(N('Dvd Calendar'!$R$479)&gt;0)*(N('Dvd Calendar'!$R$479)&lt;=VAL_SERIAL)*1000000+43*1000+54))</f>
        <v/>
      </c>
      <c r="GG54" s="39">
        <f>IF(N('Dvd Calendar'!$S$480)=0,"",IF(('Dvd Calendar'!$S$480&gt;=GRID_FROM)*('Dvd Calendar'!$S$480&lt;=GRID_TO)*('Dvd Calendar'!$S$480&gt;VAL_DATE)=0,"",'Dvd Calendar'!$S$480*1000000000+ISNUMBER('Dvd Calendar'!$S$481)*100000000+0*10000000+(N('Dvd Calendar'!$S$479)&gt;0)*(N('Dvd Calendar'!$S$479)&lt;=VAL_SERIAL)*1000000+43*1000+55))</f>
        <v/>
      </c>
      <c r="GH54" s="39">
        <f>IF(N('Dvd Calendar'!$T$480)=0,"",IF(('Dvd Calendar'!$T$480&gt;=GRID_FROM)*('Dvd Calendar'!$T$480&lt;=GRID_TO)*('Dvd Calendar'!$T$480&gt;VAL_DATE)=0,"",'Dvd Calendar'!$T$480*1000000000+ISNUMBER('Dvd Calendar'!$T$481)*100000000+0*10000000+(N('Dvd Calendar'!$T$479)&gt;0)*(N('Dvd Calendar'!$T$479)&lt;=VAL_SERIAL)*1000000+43*1000+56))</f>
        <v/>
      </c>
      <c r="GI54" s="39">
        <f>IF(N('Dvd Calendar'!$U$480)=0,"",IF(('Dvd Calendar'!$U$480&gt;=GRID_FROM)*('Dvd Calendar'!$U$480&lt;=GRID_TO)*('Dvd Calendar'!$U$480&gt;VAL_DATE)=0,"",'Dvd Calendar'!$U$480*1000000000+ISNUMBER('Dvd Calendar'!$U$481)*100000000+0*10000000+(N('Dvd Calendar'!$U$479)&gt;0)*(N('Dvd Calendar'!$U$479)&lt;=VAL_SERIAL)*1000000+43*1000+57))</f>
        <v/>
      </c>
      <c r="GJ54" s="39">
        <f>IF(N('Dvd Calendar'!$V$480)=0,"",IF(('Dvd Calendar'!$V$480&gt;=GRID_FROM)*('Dvd Calendar'!$V$480&lt;=GRID_TO)*('Dvd Calendar'!$V$480&gt;VAL_DATE)=0,"",'Dvd Calendar'!$V$480*1000000000+ISNUMBER('Dvd Calendar'!$V$481)*100000000+0*10000000+(N('Dvd Calendar'!$V$479)&gt;0)*(N('Dvd Calendar'!$V$479)&lt;=VAL_SERIAL)*1000000+43*1000+58))</f>
        <v/>
      </c>
      <c r="GK54" s="39">
        <f>IF(N('Dvd Calendar'!$W$480)=0,"",IF(('Dvd Calendar'!$W$480&gt;=GRID_FROM)*('Dvd Calendar'!$W$480&lt;=GRID_TO)*('Dvd Calendar'!$W$480&gt;VAL_DATE)=0,"",'Dvd Calendar'!$W$480*1000000000+ISNUMBER('Dvd Calendar'!$W$481)*100000000+0*10000000+(N('Dvd Calendar'!$W$479)&gt;0)*(N('Dvd Calendar'!$W$479)&lt;=VAL_SERIAL)*1000000+43*1000+59))</f>
        <v/>
      </c>
      <c r="GL54" s="39">
        <f>IF(N('Dvd Calendar'!$X$480)=0,"",IF(('Dvd Calendar'!$X$480&gt;=GRID_FROM)*('Dvd Calendar'!$X$480&lt;=GRID_TO)*('Dvd Calendar'!$X$480&gt;VAL_DATE)=0,"",'Dvd Calendar'!$X$480*1000000000+ISNUMBER('Dvd Calendar'!$X$481)*100000000+0*10000000+(N('Dvd Calendar'!$X$479)&gt;0)*(N('Dvd Calendar'!$X$479)&lt;=VAL_SERIAL)*1000000+43*1000+60))</f>
        <v/>
      </c>
      <c r="GM54" s="39">
        <f>IF(N('Dvd Calendar'!$Y$480)=0,"",IF(('Dvd Calendar'!$Y$480&gt;=GRID_FROM)*('Dvd Calendar'!$Y$480&lt;=GRID_TO)*('Dvd Calendar'!$Y$480&gt;VAL_DATE)=0,"",'Dvd Calendar'!$Y$480*1000000000+ISNUMBER('Dvd Calendar'!$Y$481)*100000000+0*10000000+(N('Dvd Calendar'!$Y$479)&gt;0)*(N('Dvd Calendar'!$Y$479)&lt;=VAL_SERIAL)*1000000+43*1000+61))</f>
        <v/>
      </c>
      <c r="GN54" s="39">
        <f>IF(N('Dvd Calendar'!$Z$480)=0,"",IF(('Dvd Calendar'!$Z$480&gt;=GRID_FROM)*('Dvd Calendar'!$Z$480&lt;=GRID_TO)*('Dvd Calendar'!$Z$480&gt;VAL_DATE)=0,"",'Dvd Calendar'!$Z$480*1000000000+ISNUMBER('Dvd Calendar'!$Z$481)*100000000+0*10000000+(N('Dvd Calendar'!$Z$479)&gt;0)*(N('Dvd Calendar'!$Z$479)&lt;=VAL_SERIAL)*1000000+43*1000+62))</f>
        <v/>
      </c>
      <c r="GO54" s="39">
        <f>IF(N('Dvd Calendar'!$AA$480)=0,"",IF(('Dvd Calendar'!$AA$480&gt;=GRID_FROM)*('Dvd Calendar'!$AA$480&lt;=GRID_TO)*('Dvd Calendar'!$AA$480&gt;VAL_DATE)=0,"",'Dvd Calendar'!$AA$480*1000000000+ISNUMBER('Dvd Calendar'!$AA$481)*100000000+0*10000000+(N('Dvd Calendar'!$AA$479)&gt;0)*(N('Dvd Calendar'!$AA$479)&lt;=VAL_SERIAL)*1000000+43*1000+63))</f>
        <v/>
      </c>
      <c r="GP54" s="39">
        <f>IF(N('Dvd Calendar'!$AB$480)=0,"",IF(('Dvd Calendar'!$AB$480&gt;=GRID_FROM)*('Dvd Calendar'!$AB$480&lt;=GRID_TO)*('Dvd Calendar'!$AB$480&gt;VAL_DATE)=0,"",'Dvd Calendar'!$AB$480*1000000000+ISNUMBER('Dvd Calendar'!$AB$481)*100000000+0*10000000+(N('Dvd Calendar'!$AB$479)&gt;0)*(N('Dvd Calendar'!$AB$479)&lt;=VAL_SERIAL)*1000000+43*1000+64))</f>
        <v/>
      </c>
      <c r="GQ54" s="39">
        <f>IF(N('Dvd Calendar'!$AC$480)=0,"",IF(('Dvd Calendar'!$AC$480&gt;=GRID_FROM)*('Dvd Calendar'!$AC$480&lt;=GRID_TO)*('Dvd Calendar'!$AC$480&gt;VAL_DATE)=0,"",'Dvd Calendar'!$AC$480*1000000000+ISNUMBER('Dvd Calendar'!$AC$481)*100000000+0*10000000+(N('Dvd Calendar'!$AC$479)&gt;0)*(N('Dvd Calendar'!$AC$479)&lt;=VAL_SERIAL)*1000000+43*1000+65))</f>
        <v/>
      </c>
    </row>
    <row r="55">
      <c r="B55" s="2">
        <f>IF(HSI!$C$50="","",HSI!$C$50)</f>
        <v/>
      </c>
      <c r="C55" s="110">
        <f>IF(EE55="","",IF(ISNUMBER('Dvd Calendar'!$E$487)=FALSE,"",IF((('Dvd Calendar'!$E$489=TYPE1)*(TYPE1&lt;&gt;"")+('Dvd Calendar'!$E$489=TYPE2)*(TYPE2&lt;&gt;"")+('Dvd Calendar'!$E$489=TYPE3)*(TYPE3&lt;&gt;"")+('Dvd Calendar'!$E$489=TYPE4)*(TYPE4&lt;&gt;"")+('Dvd Calendar'!$E$489=SPECIAL_LBL)*(INC_SPECIALS="Y"))=0,"",'Dvd Calendar'!$E$487)))</f>
        <v/>
      </c>
      <c r="D55" s="110">
        <f>IF(EF55="","",IF(ISNUMBER('Dvd Calendar'!$F$487)=FALSE,"",IF((('Dvd Calendar'!$F$489=TYPE1)*(TYPE1&lt;&gt;"")+('Dvd Calendar'!$F$489=TYPE2)*(TYPE2&lt;&gt;"")+('Dvd Calendar'!$F$489=TYPE3)*(TYPE3&lt;&gt;"")+('Dvd Calendar'!$F$489=TYPE4)*(TYPE4&lt;&gt;"")+('Dvd Calendar'!$F$489=SPECIAL_LBL)*(INC_SPECIALS="Y"))=0,"",'Dvd Calendar'!$F$487)))</f>
        <v/>
      </c>
      <c r="E55" s="110">
        <f>IF(EG55="","",IF(ISNUMBER('Dvd Calendar'!$G$487)=FALSE,"",IF((('Dvd Calendar'!$G$489=TYPE1)*(TYPE1&lt;&gt;"")+('Dvd Calendar'!$G$489=TYPE2)*(TYPE2&lt;&gt;"")+('Dvd Calendar'!$G$489=TYPE3)*(TYPE3&lt;&gt;"")+('Dvd Calendar'!$G$489=TYPE4)*(TYPE4&lt;&gt;"")+('Dvd Calendar'!$G$489=SPECIAL_LBL)*(INC_SPECIALS="Y"))=0,"",'Dvd Calendar'!$G$487)))</f>
        <v/>
      </c>
      <c r="F55" s="110">
        <f>IF(EH55="","",IF(ISNUMBER('Dvd Calendar'!$H$487)=FALSE,"",IF((('Dvd Calendar'!$H$489=TYPE1)*(TYPE1&lt;&gt;"")+('Dvd Calendar'!$H$489=TYPE2)*(TYPE2&lt;&gt;"")+('Dvd Calendar'!$H$489=TYPE3)*(TYPE3&lt;&gt;"")+('Dvd Calendar'!$H$489=TYPE4)*(TYPE4&lt;&gt;"")+('Dvd Calendar'!$H$489=SPECIAL_LBL)*(INC_SPECIALS="Y"))=0,"",'Dvd Calendar'!$H$487)))</f>
        <v/>
      </c>
      <c r="G55" s="110">
        <f>IF(EI55="","",IF(ISNUMBER('Dvd Calendar'!$I$487)=FALSE,"",IF((('Dvd Calendar'!$I$489=TYPE1)*(TYPE1&lt;&gt;"")+('Dvd Calendar'!$I$489=TYPE2)*(TYPE2&lt;&gt;"")+('Dvd Calendar'!$I$489=TYPE3)*(TYPE3&lt;&gt;"")+('Dvd Calendar'!$I$489=TYPE4)*(TYPE4&lt;&gt;"")+('Dvd Calendar'!$I$489=SPECIAL_LBL)*(INC_SPECIALS="Y"))=0,"",'Dvd Calendar'!$I$487)))</f>
        <v/>
      </c>
      <c r="H55" s="110">
        <f>IF(EJ55="","",IF(ISNUMBER('Dvd Calendar'!$J$487)=FALSE,"",IF((('Dvd Calendar'!$J$489=TYPE1)*(TYPE1&lt;&gt;"")+('Dvd Calendar'!$J$489=TYPE2)*(TYPE2&lt;&gt;"")+('Dvd Calendar'!$J$489=TYPE3)*(TYPE3&lt;&gt;"")+('Dvd Calendar'!$J$489=TYPE4)*(TYPE4&lt;&gt;"")+('Dvd Calendar'!$J$489=SPECIAL_LBL)*(INC_SPECIALS="Y"))=0,"",'Dvd Calendar'!$J$487)))</f>
        <v/>
      </c>
      <c r="I55" s="110">
        <f>IF(EK55="","",IF(ISNUMBER('Dvd Calendar'!$K$487)=FALSE,"",IF((('Dvd Calendar'!$K$489=TYPE1)*(TYPE1&lt;&gt;"")+('Dvd Calendar'!$K$489=TYPE2)*(TYPE2&lt;&gt;"")+('Dvd Calendar'!$K$489=TYPE3)*(TYPE3&lt;&gt;"")+('Dvd Calendar'!$K$489=TYPE4)*(TYPE4&lt;&gt;"")+('Dvd Calendar'!$K$489=SPECIAL_LBL)*(INC_SPECIALS="Y"))=0,"",'Dvd Calendar'!$K$487)))</f>
        <v/>
      </c>
      <c r="J55" s="110">
        <f>IF(EL55="","",IF(ISNUMBER('Dvd Calendar'!$L$487)=FALSE,"",IF((('Dvd Calendar'!$L$489=TYPE1)*(TYPE1&lt;&gt;"")+('Dvd Calendar'!$L$489=TYPE2)*(TYPE2&lt;&gt;"")+('Dvd Calendar'!$L$489=TYPE3)*(TYPE3&lt;&gt;"")+('Dvd Calendar'!$L$489=TYPE4)*(TYPE4&lt;&gt;"")+('Dvd Calendar'!$L$489=SPECIAL_LBL)*(INC_SPECIALS="Y"))=0,"",'Dvd Calendar'!$L$487)))</f>
        <v/>
      </c>
      <c r="K55" s="110">
        <f>IF(EM55="","",IF(ISNUMBER('Dvd Calendar'!$M$487)=FALSE,"",IF((('Dvd Calendar'!$M$489=TYPE1)*(TYPE1&lt;&gt;"")+('Dvd Calendar'!$M$489=TYPE2)*(TYPE2&lt;&gt;"")+('Dvd Calendar'!$M$489=TYPE3)*(TYPE3&lt;&gt;"")+('Dvd Calendar'!$M$489=TYPE4)*(TYPE4&lt;&gt;"")+('Dvd Calendar'!$M$489=SPECIAL_LBL)*(INC_SPECIALS="Y"))=0,"",'Dvd Calendar'!$M$487)))</f>
        <v/>
      </c>
      <c r="L55" s="110">
        <f>IF(EN55="","",IF(ISNUMBER('Dvd Calendar'!$N$487)=FALSE,"",IF((('Dvd Calendar'!$N$489=TYPE1)*(TYPE1&lt;&gt;"")+('Dvd Calendar'!$N$489=TYPE2)*(TYPE2&lt;&gt;"")+('Dvd Calendar'!$N$489=TYPE3)*(TYPE3&lt;&gt;"")+('Dvd Calendar'!$N$489=TYPE4)*(TYPE4&lt;&gt;"")+('Dvd Calendar'!$N$489=SPECIAL_LBL)*(INC_SPECIALS="Y"))=0,"",'Dvd Calendar'!$N$487)))</f>
        <v/>
      </c>
      <c r="M55" s="110">
        <f>IF(EO55="","",IF(ISNUMBER('Dvd Calendar'!$O$487)=FALSE,"",IF((('Dvd Calendar'!$O$489=TYPE1)*(TYPE1&lt;&gt;"")+('Dvd Calendar'!$O$489=TYPE2)*(TYPE2&lt;&gt;"")+('Dvd Calendar'!$O$489=TYPE3)*(TYPE3&lt;&gt;"")+('Dvd Calendar'!$O$489=TYPE4)*(TYPE4&lt;&gt;"")+('Dvd Calendar'!$O$489=SPECIAL_LBL)*(INC_SPECIALS="Y"))=0,"",'Dvd Calendar'!$O$487)))</f>
        <v/>
      </c>
      <c r="N55" s="110">
        <f>IF(EP55="","",IF(ISNUMBER('Dvd Calendar'!$P$487)=FALSE,"",IF((('Dvd Calendar'!$P$489=TYPE1)*(TYPE1&lt;&gt;"")+('Dvd Calendar'!$P$489=TYPE2)*(TYPE2&lt;&gt;"")+('Dvd Calendar'!$P$489=TYPE3)*(TYPE3&lt;&gt;"")+('Dvd Calendar'!$P$489=TYPE4)*(TYPE4&lt;&gt;"")+('Dvd Calendar'!$P$489=SPECIAL_LBL)*(INC_SPECIALS="Y"))=0,"",'Dvd Calendar'!$P$487)))</f>
        <v/>
      </c>
      <c r="O55" s="110">
        <f>IF(EQ55="","",IF(ISNUMBER('Dvd Calendar'!$Q$487)=FALSE,"",IF((('Dvd Calendar'!$Q$489=TYPE1)*(TYPE1&lt;&gt;"")+('Dvd Calendar'!$Q$489=TYPE2)*(TYPE2&lt;&gt;"")+('Dvd Calendar'!$Q$489=TYPE3)*(TYPE3&lt;&gt;"")+('Dvd Calendar'!$Q$489=TYPE4)*(TYPE4&lt;&gt;"")+('Dvd Calendar'!$Q$489=SPECIAL_LBL)*(INC_SPECIALS="Y"))=0,"",'Dvd Calendar'!$Q$487)))</f>
        <v/>
      </c>
      <c r="P55" s="110">
        <f>IF(ER55="","",IF(ISNUMBER('Dvd Calendar'!$R$487)=FALSE,"",IF((('Dvd Calendar'!$R$489=TYPE1)*(TYPE1&lt;&gt;"")+('Dvd Calendar'!$R$489=TYPE2)*(TYPE2&lt;&gt;"")+('Dvd Calendar'!$R$489=TYPE3)*(TYPE3&lt;&gt;"")+('Dvd Calendar'!$R$489=TYPE4)*(TYPE4&lt;&gt;"")+('Dvd Calendar'!$R$489=SPECIAL_LBL)*(INC_SPECIALS="Y"))=0,"",'Dvd Calendar'!$R$487)))</f>
        <v/>
      </c>
      <c r="Q55" s="110">
        <f>IF(ES55="","",IF(ISNUMBER('Dvd Calendar'!$S$487)=FALSE,"",IF((('Dvd Calendar'!$S$489=TYPE1)*(TYPE1&lt;&gt;"")+('Dvd Calendar'!$S$489=TYPE2)*(TYPE2&lt;&gt;"")+('Dvd Calendar'!$S$489=TYPE3)*(TYPE3&lt;&gt;"")+('Dvd Calendar'!$S$489=TYPE4)*(TYPE4&lt;&gt;"")+('Dvd Calendar'!$S$489=SPECIAL_LBL)*(INC_SPECIALS="Y"))=0,"",'Dvd Calendar'!$S$487)))</f>
        <v/>
      </c>
      <c r="R55" s="110">
        <f>IF(ET55="","",IF(ISNUMBER('Dvd Calendar'!$T$487)=FALSE,"",IF((('Dvd Calendar'!$T$489=TYPE1)*(TYPE1&lt;&gt;"")+('Dvd Calendar'!$T$489=TYPE2)*(TYPE2&lt;&gt;"")+('Dvd Calendar'!$T$489=TYPE3)*(TYPE3&lt;&gt;"")+('Dvd Calendar'!$T$489=TYPE4)*(TYPE4&lt;&gt;"")+('Dvd Calendar'!$T$489=SPECIAL_LBL)*(INC_SPECIALS="Y"))=0,"",'Dvd Calendar'!$T$487)))</f>
        <v/>
      </c>
      <c r="S55" s="110">
        <f>IF(EU55="","",IF(ISNUMBER('Dvd Calendar'!$U$487)=FALSE,"",IF((('Dvd Calendar'!$U$489=TYPE1)*(TYPE1&lt;&gt;"")+('Dvd Calendar'!$U$489=TYPE2)*(TYPE2&lt;&gt;"")+('Dvd Calendar'!$U$489=TYPE3)*(TYPE3&lt;&gt;"")+('Dvd Calendar'!$U$489=TYPE4)*(TYPE4&lt;&gt;"")+('Dvd Calendar'!$U$489=SPECIAL_LBL)*(INC_SPECIALS="Y"))=0,"",'Dvd Calendar'!$U$487)))</f>
        <v/>
      </c>
      <c r="T55" s="110">
        <f>IF(EV55="","",IF(ISNUMBER('Dvd Calendar'!$V$487)=FALSE,"",IF((('Dvd Calendar'!$V$489=TYPE1)*(TYPE1&lt;&gt;"")+('Dvd Calendar'!$V$489=TYPE2)*(TYPE2&lt;&gt;"")+('Dvd Calendar'!$V$489=TYPE3)*(TYPE3&lt;&gt;"")+('Dvd Calendar'!$V$489=TYPE4)*(TYPE4&lt;&gt;"")+('Dvd Calendar'!$V$489=SPECIAL_LBL)*(INC_SPECIALS="Y"))=0,"",'Dvd Calendar'!$V$487)))</f>
        <v/>
      </c>
      <c r="U55" s="110">
        <f>IF(EW55="","",IF(ISNUMBER('Dvd Calendar'!$W$487)=FALSE,"",IF((('Dvd Calendar'!$W$489=TYPE1)*(TYPE1&lt;&gt;"")+('Dvd Calendar'!$W$489=TYPE2)*(TYPE2&lt;&gt;"")+('Dvd Calendar'!$W$489=TYPE3)*(TYPE3&lt;&gt;"")+('Dvd Calendar'!$W$489=TYPE4)*(TYPE4&lt;&gt;"")+('Dvd Calendar'!$W$489=SPECIAL_LBL)*(INC_SPECIALS="Y"))=0,"",'Dvd Calendar'!$W$487)))</f>
        <v/>
      </c>
      <c r="V55" s="110">
        <f>IF(EX55="","",IF(ISNUMBER('Dvd Calendar'!$X$487)=FALSE,"",IF((('Dvd Calendar'!$X$489=TYPE1)*(TYPE1&lt;&gt;"")+('Dvd Calendar'!$X$489=TYPE2)*(TYPE2&lt;&gt;"")+('Dvd Calendar'!$X$489=TYPE3)*(TYPE3&lt;&gt;"")+('Dvd Calendar'!$X$489=TYPE4)*(TYPE4&lt;&gt;"")+('Dvd Calendar'!$X$489=SPECIAL_LBL)*(INC_SPECIALS="Y"))=0,"",'Dvd Calendar'!$X$487)))</f>
        <v/>
      </c>
      <c r="W55" s="110">
        <f>IF(EY55="","",IF(ISNUMBER('Dvd Calendar'!$Y$487)=FALSE,"",IF((('Dvd Calendar'!$Y$489=TYPE1)*(TYPE1&lt;&gt;"")+('Dvd Calendar'!$Y$489=TYPE2)*(TYPE2&lt;&gt;"")+('Dvd Calendar'!$Y$489=TYPE3)*(TYPE3&lt;&gt;"")+('Dvd Calendar'!$Y$489=TYPE4)*(TYPE4&lt;&gt;"")+('Dvd Calendar'!$Y$489=SPECIAL_LBL)*(INC_SPECIALS="Y"))=0,"",'Dvd Calendar'!$Y$487)))</f>
        <v/>
      </c>
      <c r="X55" s="110">
        <f>IF(EZ55="","",IF(ISNUMBER('Dvd Calendar'!$Z$487)=FALSE,"",IF((('Dvd Calendar'!$Z$489=TYPE1)*(TYPE1&lt;&gt;"")+('Dvd Calendar'!$Z$489=TYPE2)*(TYPE2&lt;&gt;"")+('Dvd Calendar'!$Z$489=TYPE3)*(TYPE3&lt;&gt;"")+('Dvd Calendar'!$Z$489=TYPE4)*(TYPE4&lt;&gt;"")+('Dvd Calendar'!$Z$489=SPECIAL_LBL)*(INC_SPECIALS="Y"))=0,"",'Dvd Calendar'!$Z$487)))</f>
        <v/>
      </c>
      <c r="Y55" s="110">
        <f>IF(FA55="","",IF(ISNUMBER('Dvd Calendar'!$AA$487)=FALSE,"",IF((('Dvd Calendar'!$AA$489=TYPE1)*(TYPE1&lt;&gt;"")+('Dvd Calendar'!$AA$489=TYPE2)*(TYPE2&lt;&gt;"")+('Dvd Calendar'!$AA$489=TYPE3)*(TYPE3&lt;&gt;"")+('Dvd Calendar'!$AA$489=TYPE4)*(TYPE4&lt;&gt;"")+('Dvd Calendar'!$AA$489=SPECIAL_LBL)*(INC_SPECIALS="Y"))=0,"",'Dvd Calendar'!$AA$487)))</f>
        <v/>
      </c>
      <c r="Z55" s="110">
        <f>IF(FB55="","",IF(ISNUMBER('Dvd Calendar'!$AB$487)=FALSE,"",IF((('Dvd Calendar'!$AB$489=TYPE1)*(TYPE1&lt;&gt;"")+('Dvd Calendar'!$AB$489=TYPE2)*(TYPE2&lt;&gt;"")+('Dvd Calendar'!$AB$489=TYPE3)*(TYPE3&lt;&gt;"")+('Dvd Calendar'!$AB$489=TYPE4)*(TYPE4&lt;&gt;"")+('Dvd Calendar'!$AB$489=SPECIAL_LBL)*(INC_SPECIALS="Y"))=0,"",'Dvd Calendar'!$AB$487)))</f>
        <v/>
      </c>
      <c r="AA55" s="110">
        <f>IF(FC55="","",IF(ISNUMBER('Dvd Calendar'!$AC$487)=FALSE,"",IF((('Dvd Calendar'!$AC$489=TYPE1)*(TYPE1&lt;&gt;"")+('Dvd Calendar'!$AC$489=TYPE2)*(TYPE2&lt;&gt;"")+('Dvd Calendar'!$AC$489=TYPE3)*(TYPE3&lt;&gt;"")+('Dvd Calendar'!$AC$489=TYPE4)*(TYPE4&lt;&gt;"")+('Dvd Calendar'!$AC$489=SPECIAL_LBL)*(INC_SPECIALS="Y"))=0,"",'Dvd Calendar'!$AC$487)))</f>
        <v/>
      </c>
      <c r="AB55" s="110">
        <f>IF(FD55="","",IF(ISNUMBER('Dvd Calendar'!$AD$487)=FALSE,"",IF((('Dvd Calendar'!$AD$489=TYPE1)*(TYPE1&lt;&gt;"")+('Dvd Calendar'!$AD$489=TYPE2)*(TYPE2&lt;&gt;"")+('Dvd Calendar'!$AD$489=TYPE3)*(TYPE3&lt;&gt;"")+('Dvd Calendar'!$AD$489=TYPE4)*(TYPE4&lt;&gt;"")+('Dvd Calendar'!$AD$489=SPECIAL_LBL)*(INC_SPECIALS="Y"))=0,"",'Dvd Calendar'!$AD$487)))</f>
        <v/>
      </c>
      <c r="AC55" s="110">
        <f>IF(FE55="","",IF(ISNUMBER('Dvd Calendar'!$AE$487)=FALSE,"",IF((('Dvd Calendar'!$AE$489=TYPE1)*(TYPE1&lt;&gt;"")+('Dvd Calendar'!$AE$489=TYPE2)*(TYPE2&lt;&gt;"")+('Dvd Calendar'!$AE$489=TYPE3)*(TYPE3&lt;&gt;"")+('Dvd Calendar'!$AE$489=TYPE4)*(TYPE4&lt;&gt;"")+('Dvd Calendar'!$AE$489=SPECIAL_LBL)*(INC_SPECIALS="Y"))=0,"",'Dvd Calendar'!$AE$487)))</f>
        <v/>
      </c>
      <c r="AD55" s="110">
        <f>IF(FF55="","",IF(ISNUMBER('Dvd Calendar'!$AF$487)=FALSE,"",IF((('Dvd Calendar'!$AF$489=TYPE1)*(TYPE1&lt;&gt;"")+('Dvd Calendar'!$AF$489=TYPE2)*(TYPE2&lt;&gt;"")+('Dvd Calendar'!$AF$489=TYPE3)*(TYPE3&lt;&gt;"")+('Dvd Calendar'!$AF$489=TYPE4)*(TYPE4&lt;&gt;"")+('Dvd Calendar'!$AF$489=SPECIAL_LBL)*(INC_SPECIALS="Y"))=0,"",'Dvd Calendar'!$AF$487)))</f>
        <v/>
      </c>
      <c r="AE55" s="110">
        <f>IF(FG55="","",IF(ISNUMBER('Dvd Calendar'!$AG$487)=FALSE,"",IF((('Dvd Calendar'!$AG$489=TYPE1)*(TYPE1&lt;&gt;"")+('Dvd Calendar'!$AG$489=TYPE2)*(TYPE2&lt;&gt;"")+('Dvd Calendar'!$AG$489=TYPE3)*(TYPE3&lt;&gt;"")+('Dvd Calendar'!$AG$489=TYPE4)*(TYPE4&lt;&gt;"")+('Dvd Calendar'!$AG$489=SPECIAL_LBL)*(INC_SPECIALS="Y"))=0,"",'Dvd Calendar'!$AG$487)))</f>
        <v/>
      </c>
      <c r="AF55" s="110">
        <f>IF(FH55="","",IF(ISNUMBER('Dvd Calendar'!$AH$487)=FALSE,"",IF((('Dvd Calendar'!$AH$489=TYPE1)*(TYPE1&lt;&gt;"")+('Dvd Calendar'!$AH$489=TYPE2)*(TYPE2&lt;&gt;"")+('Dvd Calendar'!$AH$489=TYPE3)*(TYPE3&lt;&gt;"")+('Dvd Calendar'!$AH$489=TYPE4)*(TYPE4&lt;&gt;"")+('Dvd Calendar'!$AH$489=SPECIAL_LBL)*(INC_SPECIALS="Y"))=0,"",'Dvd Calendar'!$AH$487)))</f>
        <v/>
      </c>
      <c r="AG55" s="110">
        <f>IF(FI55="","",IF(ISNUMBER('Dvd Calendar'!$AI$487)=FALSE,"",IF((('Dvd Calendar'!$AI$489=TYPE1)*(TYPE1&lt;&gt;"")+('Dvd Calendar'!$AI$489=TYPE2)*(TYPE2&lt;&gt;"")+('Dvd Calendar'!$AI$489=TYPE3)*(TYPE3&lt;&gt;"")+('Dvd Calendar'!$AI$489=TYPE4)*(TYPE4&lt;&gt;"")+('Dvd Calendar'!$AI$489=SPECIAL_LBL)*(INC_SPECIALS="Y"))=0,"",'Dvd Calendar'!$AI$487)))</f>
        <v/>
      </c>
      <c r="AH55" s="110">
        <f>IF(FJ55="","",IF(ISNUMBER('Dvd Calendar'!$AJ$487)=FALSE,"",IF((('Dvd Calendar'!$AJ$489=TYPE1)*(TYPE1&lt;&gt;"")+('Dvd Calendar'!$AJ$489=TYPE2)*(TYPE2&lt;&gt;"")+('Dvd Calendar'!$AJ$489=TYPE3)*(TYPE3&lt;&gt;"")+('Dvd Calendar'!$AJ$489=TYPE4)*(TYPE4&lt;&gt;"")+('Dvd Calendar'!$AJ$489=SPECIAL_LBL)*(INC_SPECIALS="Y"))=0,"",'Dvd Calendar'!$AJ$487)))</f>
        <v/>
      </c>
      <c r="AI55" s="110">
        <f>IF(FK55="","",IF(ISNUMBER('Dvd Calendar'!$AK$487)=FALSE,"",IF((('Dvd Calendar'!$AK$489=TYPE1)*(TYPE1&lt;&gt;"")+('Dvd Calendar'!$AK$489=TYPE2)*(TYPE2&lt;&gt;"")+('Dvd Calendar'!$AK$489=TYPE3)*(TYPE3&lt;&gt;"")+('Dvd Calendar'!$AK$489=TYPE4)*(TYPE4&lt;&gt;"")+('Dvd Calendar'!$AK$489=SPECIAL_LBL)*(INC_SPECIALS="Y"))=0,"",'Dvd Calendar'!$AK$487)))</f>
        <v/>
      </c>
      <c r="AJ55" s="110">
        <f>IF(FL55="","",IF(ISNUMBER('Dvd Calendar'!$AL$487)=FALSE,"",IF((('Dvd Calendar'!$AL$489=TYPE1)*(TYPE1&lt;&gt;"")+('Dvd Calendar'!$AL$489=TYPE2)*(TYPE2&lt;&gt;"")+('Dvd Calendar'!$AL$489=TYPE3)*(TYPE3&lt;&gt;"")+('Dvd Calendar'!$AL$489=TYPE4)*(TYPE4&lt;&gt;"")+('Dvd Calendar'!$AL$489=SPECIAL_LBL)*(INC_SPECIALS="Y"))=0,"",'Dvd Calendar'!$AL$487)))</f>
        <v/>
      </c>
      <c r="AK55" s="110">
        <f>IF(FM55="","",IF(ISNUMBER('Dvd Calendar'!$AM$487)=FALSE,"",IF((('Dvd Calendar'!$AM$489=TYPE1)*(TYPE1&lt;&gt;"")+('Dvd Calendar'!$AM$489=TYPE2)*(TYPE2&lt;&gt;"")+('Dvd Calendar'!$AM$489=TYPE3)*(TYPE3&lt;&gt;"")+('Dvd Calendar'!$AM$489=TYPE4)*(TYPE4&lt;&gt;"")+('Dvd Calendar'!$AM$489=SPECIAL_LBL)*(INC_SPECIALS="Y"))=0,"",'Dvd Calendar'!$AM$487)))</f>
        <v/>
      </c>
      <c r="AL55" s="110">
        <f>IF(FN55="","",IF(ISNUMBER('Dvd Calendar'!$AN$487)=FALSE,"",IF((('Dvd Calendar'!$AN$489=TYPE1)*(TYPE1&lt;&gt;"")+('Dvd Calendar'!$AN$489=TYPE2)*(TYPE2&lt;&gt;"")+('Dvd Calendar'!$AN$489=TYPE3)*(TYPE3&lt;&gt;"")+('Dvd Calendar'!$AN$489=TYPE4)*(TYPE4&lt;&gt;"")+('Dvd Calendar'!$AN$489=SPECIAL_LBL)*(INC_SPECIALS="Y"))=0,"",'Dvd Calendar'!$AN$487)))</f>
        <v/>
      </c>
      <c r="AM55" s="110">
        <f>IF(FO55="","",IF(ISNUMBER('Dvd Calendar'!$AO$487)=FALSE,"",IF((('Dvd Calendar'!$AO$489=TYPE1)*(TYPE1&lt;&gt;"")+('Dvd Calendar'!$AO$489=TYPE2)*(TYPE2&lt;&gt;"")+('Dvd Calendar'!$AO$489=TYPE3)*(TYPE3&lt;&gt;"")+('Dvd Calendar'!$AO$489=TYPE4)*(TYPE4&lt;&gt;"")+('Dvd Calendar'!$AO$489=SPECIAL_LBL)*(INC_SPECIALS="Y"))=0,"",'Dvd Calendar'!$AO$487)))</f>
        <v/>
      </c>
      <c r="AN55" s="110">
        <f>IF(FP55="","",IF(ISNUMBER('Dvd Calendar'!$AP$487)=FALSE,"",IF((('Dvd Calendar'!$AP$489=TYPE1)*(TYPE1&lt;&gt;"")+('Dvd Calendar'!$AP$489=TYPE2)*(TYPE2&lt;&gt;"")+('Dvd Calendar'!$AP$489=TYPE3)*(TYPE3&lt;&gt;"")+('Dvd Calendar'!$AP$489=TYPE4)*(TYPE4&lt;&gt;"")+('Dvd Calendar'!$AP$489=SPECIAL_LBL)*(INC_SPECIALS="Y"))=0,"",'Dvd Calendar'!$AP$487)))</f>
        <v/>
      </c>
      <c r="AO55" s="110">
        <f>IF(FQ55="","",IF(ISNUMBER('Dvd Calendar'!$AQ$487)=FALSE,"",IF((('Dvd Calendar'!$AQ$489=TYPE1)*(TYPE1&lt;&gt;"")+('Dvd Calendar'!$AQ$489=TYPE2)*(TYPE2&lt;&gt;"")+('Dvd Calendar'!$AQ$489=TYPE3)*(TYPE3&lt;&gt;"")+('Dvd Calendar'!$AQ$489=TYPE4)*(TYPE4&lt;&gt;"")+('Dvd Calendar'!$AQ$489=SPECIAL_LBL)*(INC_SPECIALS="Y"))=0,"",'Dvd Calendar'!$AQ$487)))</f>
        <v/>
      </c>
      <c r="AP55" s="110">
        <f>IF(FR55="","",IF(ISNUMBER('Dvd Calendar'!$AR$487)=FALSE,"",IF((('Dvd Calendar'!$AR$489=TYPE1)*(TYPE1&lt;&gt;"")+('Dvd Calendar'!$AR$489=TYPE2)*(TYPE2&lt;&gt;"")+('Dvd Calendar'!$AR$489=TYPE3)*(TYPE3&lt;&gt;"")+('Dvd Calendar'!$AR$489=TYPE4)*(TYPE4&lt;&gt;"")+('Dvd Calendar'!$AR$489=SPECIAL_LBL)*(INC_SPECIALS="Y"))=0,"",'Dvd Calendar'!$AR$487)))</f>
        <v/>
      </c>
      <c r="AQ55" s="110">
        <f>IF(FS55="","",IF(ISNUMBER('Dvd Calendar'!$E$492)=FALSE,"",'Dvd Calendar'!$E$492))</f>
        <v/>
      </c>
      <c r="AR55" s="110">
        <f>IF(FT55="","",IF(ISNUMBER('Dvd Calendar'!$F$492)=FALSE,"",'Dvd Calendar'!$F$492))</f>
        <v/>
      </c>
      <c r="AS55" s="110">
        <f>IF(FU55="","",IF(ISNUMBER('Dvd Calendar'!$G$492)=FALSE,"",'Dvd Calendar'!$G$492))</f>
        <v/>
      </c>
      <c r="AT55" s="110">
        <f>IF(FV55="","",IF(ISNUMBER('Dvd Calendar'!$H$492)=FALSE,"",'Dvd Calendar'!$H$492))</f>
        <v/>
      </c>
      <c r="AU55" s="110">
        <f>IF(FW55="","",IF(ISNUMBER('Dvd Calendar'!$I$492)=FALSE,"",'Dvd Calendar'!$I$492))</f>
        <v/>
      </c>
      <c r="AV55" s="110">
        <f>IF(FX55="","",IF(ISNUMBER('Dvd Calendar'!$J$492)=FALSE,"",'Dvd Calendar'!$J$492))</f>
        <v/>
      </c>
      <c r="AW55" s="110">
        <f>IF(FY55="","",IF(ISNUMBER('Dvd Calendar'!$K$492)=FALSE,"",'Dvd Calendar'!$K$492))</f>
        <v/>
      </c>
      <c r="AX55" s="110">
        <f>IF(FZ55="","",IF(ISNUMBER('Dvd Calendar'!$L$492)=FALSE,"",'Dvd Calendar'!$L$492))</f>
        <v/>
      </c>
      <c r="AY55" s="110">
        <f>IF(GA55="","",IF(ISNUMBER('Dvd Calendar'!$M$492)=FALSE,"",'Dvd Calendar'!$M$492))</f>
        <v/>
      </c>
      <c r="AZ55" s="110">
        <f>IF(GB55="","",IF(ISNUMBER('Dvd Calendar'!$N$492)=FALSE,"",'Dvd Calendar'!$N$492))</f>
        <v/>
      </c>
      <c r="BA55" s="110">
        <f>IF(GC55="","",IF(ISNUMBER('Dvd Calendar'!$O$492)=FALSE,"",'Dvd Calendar'!$O$492))</f>
        <v/>
      </c>
      <c r="BB55" s="110">
        <f>IF(GD55="","",IF(ISNUMBER('Dvd Calendar'!$P$492)=FALSE,"",'Dvd Calendar'!$P$492))</f>
        <v/>
      </c>
      <c r="BC55" s="110">
        <f>IF(GE55="","",IF(ISNUMBER('Dvd Calendar'!$Q$492)=FALSE,"",'Dvd Calendar'!$Q$492))</f>
        <v/>
      </c>
      <c r="BD55" s="110">
        <f>IF(GF55="","",IF(ISNUMBER('Dvd Calendar'!$R$492)=FALSE,"",'Dvd Calendar'!$R$492))</f>
        <v/>
      </c>
      <c r="BE55" s="110">
        <f>IF(GG55="","",IF(ISNUMBER('Dvd Calendar'!$S$492)=FALSE,"",'Dvd Calendar'!$S$492))</f>
        <v/>
      </c>
      <c r="BF55" s="110">
        <f>IF(GH55="","",IF(ISNUMBER('Dvd Calendar'!$T$492)=FALSE,"",'Dvd Calendar'!$T$492))</f>
        <v/>
      </c>
      <c r="BG55" s="110">
        <f>IF(GI55="","",IF(ISNUMBER('Dvd Calendar'!$U$492)=FALSE,"",'Dvd Calendar'!$U$492))</f>
        <v/>
      </c>
      <c r="BH55" s="110">
        <f>IF(GJ55="","",IF(ISNUMBER('Dvd Calendar'!$V$492)=FALSE,"",'Dvd Calendar'!$V$492))</f>
        <v/>
      </c>
      <c r="BI55" s="110">
        <f>IF(GK55="","",IF(ISNUMBER('Dvd Calendar'!$W$492)=FALSE,"",'Dvd Calendar'!$W$492))</f>
        <v/>
      </c>
      <c r="BJ55" s="110">
        <f>IF(GL55="","",IF(ISNUMBER('Dvd Calendar'!$X$492)=FALSE,"",'Dvd Calendar'!$X$492))</f>
        <v/>
      </c>
      <c r="BK55" s="110">
        <f>IF(GM55="","",IF(ISNUMBER('Dvd Calendar'!$Y$492)=FALSE,"",'Dvd Calendar'!$Y$492))</f>
        <v/>
      </c>
      <c r="BL55" s="110">
        <f>IF(GN55="","",IF(ISNUMBER('Dvd Calendar'!$Z$492)=FALSE,"",'Dvd Calendar'!$Z$492))</f>
        <v/>
      </c>
      <c r="BM55" s="110">
        <f>IF(GO55="","",IF(ISNUMBER('Dvd Calendar'!$AA$492)=FALSE,"",'Dvd Calendar'!$AA$492))</f>
        <v/>
      </c>
      <c r="BN55" s="110">
        <f>IF(GP55="","",IF(ISNUMBER('Dvd Calendar'!$AB$492)=FALSE,"",'Dvd Calendar'!$AB$492))</f>
        <v/>
      </c>
      <c r="BO55" s="110">
        <f>IF(GQ55="","",IF(ISNUMBER('Dvd Calendar'!$AC$492)=FALSE,"",'Dvd Calendar'!$AC$492))</f>
        <v/>
      </c>
      <c r="BQ55" s="110">
        <f>IF(C55="","",IFERROR(C55*HSI!$B$50*HSI!$G$50/HSI!$B$3,""))</f>
        <v/>
      </c>
      <c r="BR55" s="110">
        <f>IF(D55="","",IFERROR(D55*HSI!$B$50*HSI!$G$50/HSI!$B$3,""))</f>
        <v/>
      </c>
      <c r="BS55" s="110">
        <f>IF(E55="","",IFERROR(E55*HSI!$B$50*HSI!$G$50/HSI!$B$3,""))</f>
        <v/>
      </c>
      <c r="BT55" s="110">
        <f>IF(F55="","",IFERROR(F55*HSI!$B$50*HSI!$G$50/HSI!$B$3,""))</f>
        <v/>
      </c>
      <c r="BU55" s="110">
        <f>IF(G55="","",IFERROR(G55*HSI!$B$50*HSI!$G$50/HSI!$B$3,""))</f>
        <v/>
      </c>
      <c r="BV55" s="110">
        <f>IF(H55="","",IFERROR(H55*HSI!$B$50*HSI!$G$50/HSI!$B$3,""))</f>
        <v/>
      </c>
      <c r="BW55" s="110">
        <f>IF(I55="","",IFERROR(I55*HSI!$B$50*HSI!$G$50/HSI!$B$3,""))</f>
        <v/>
      </c>
      <c r="BX55" s="110">
        <f>IF(J55="","",IFERROR(J55*HSI!$B$50*HSI!$G$50/HSI!$B$3,""))</f>
        <v/>
      </c>
      <c r="BY55" s="110">
        <f>IF(K55="","",IFERROR(K55*HSI!$B$50*HSI!$G$50/HSI!$B$3,""))</f>
        <v/>
      </c>
      <c r="BZ55" s="110">
        <f>IF(L55="","",IFERROR(L55*HSI!$B$50*HSI!$G$50/HSI!$B$3,""))</f>
        <v/>
      </c>
      <c r="CA55" s="110">
        <f>IF(M55="","",IFERROR(M55*HSI!$B$50*HSI!$G$50/HSI!$B$3,""))</f>
        <v/>
      </c>
      <c r="CB55" s="110">
        <f>IF(N55="","",IFERROR(N55*HSI!$B$50*HSI!$G$50/HSI!$B$3,""))</f>
        <v/>
      </c>
      <c r="CC55" s="110">
        <f>IF(O55="","",IFERROR(O55*HSI!$B$50*HSI!$G$50/HSI!$B$3,""))</f>
        <v/>
      </c>
      <c r="CD55" s="110">
        <f>IF(P55="","",IFERROR(P55*HSI!$B$50*HSI!$G$50/HSI!$B$3,""))</f>
        <v/>
      </c>
      <c r="CE55" s="110">
        <f>IF(Q55="","",IFERROR(Q55*HSI!$B$50*HSI!$G$50/HSI!$B$3,""))</f>
        <v/>
      </c>
      <c r="CF55" s="110">
        <f>IF(R55="","",IFERROR(R55*HSI!$B$50*HSI!$G$50/HSI!$B$3,""))</f>
        <v/>
      </c>
      <c r="CG55" s="110">
        <f>IF(S55="","",IFERROR(S55*HSI!$B$50*HSI!$G$50/HSI!$B$3,""))</f>
        <v/>
      </c>
      <c r="CH55" s="110">
        <f>IF(T55="","",IFERROR(T55*HSI!$B$50*HSI!$G$50/HSI!$B$3,""))</f>
        <v/>
      </c>
      <c r="CI55" s="110">
        <f>IF(U55="","",IFERROR(U55*HSI!$B$50*HSI!$G$50/HSI!$B$3,""))</f>
        <v/>
      </c>
      <c r="CJ55" s="110">
        <f>IF(V55="","",IFERROR(V55*HSI!$B$50*HSI!$G$50/HSI!$B$3,""))</f>
        <v/>
      </c>
      <c r="CK55" s="110">
        <f>IF(W55="","",IFERROR(W55*HSI!$B$50*HSI!$G$50/HSI!$B$3,""))</f>
        <v/>
      </c>
      <c r="CL55" s="110">
        <f>IF(X55="","",IFERROR(X55*HSI!$B$50*HSI!$G$50/HSI!$B$3,""))</f>
        <v/>
      </c>
      <c r="CM55" s="110">
        <f>IF(Y55="","",IFERROR(Y55*HSI!$B$50*HSI!$G$50/HSI!$B$3,""))</f>
        <v/>
      </c>
      <c r="CN55" s="110">
        <f>IF(Z55="","",IFERROR(Z55*HSI!$B$50*HSI!$G$50/HSI!$B$3,""))</f>
        <v/>
      </c>
      <c r="CO55" s="110">
        <f>IF(AA55="","",IFERROR(AA55*HSI!$B$50*HSI!$G$50/HSI!$B$3,""))</f>
        <v/>
      </c>
      <c r="CP55" s="110">
        <f>IF(AB55="","",IFERROR(AB55*HSI!$B$50*HSI!$G$50/HSI!$B$3,""))</f>
        <v/>
      </c>
      <c r="CQ55" s="110">
        <f>IF(AC55="","",IFERROR(AC55*HSI!$B$50*HSI!$G$50/HSI!$B$3,""))</f>
        <v/>
      </c>
      <c r="CR55" s="110">
        <f>IF(AD55="","",IFERROR(AD55*HSI!$B$50*HSI!$G$50/HSI!$B$3,""))</f>
        <v/>
      </c>
      <c r="CS55" s="110">
        <f>IF(AE55="","",IFERROR(AE55*HSI!$B$50*HSI!$G$50/HSI!$B$3,""))</f>
        <v/>
      </c>
      <c r="CT55" s="110">
        <f>IF(AF55="","",IFERROR(AF55*HSI!$B$50*HSI!$G$50/HSI!$B$3,""))</f>
        <v/>
      </c>
      <c r="CU55" s="110">
        <f>IF(AG55="","",IFERROR(AG55*HSI!$B$50*HSI!$G$50/HSI!$B$3,""))</f>
        <v/>
      </c>
      <c r="CV55" s="110">
        <f>IF(AH55="","",IFERROR(AH55*HSI!$B$50*HSI!$G$50/HSI!$B$3,""))</f>
        <v/>
      </c>
      <c r="CW55" s="110">
        <f>IF(AI55="","",IFERROR(AI55*HSI!$B$50*HSI!$G$50/HSI!$B$3,""))</f>
        <v/>
      </c>
      <c r="CX55" s="110">
        <f>IF(AJ55="","",IFERROR(AJ55*HSI!$B$50*HSI!$G$50/HSI!$B$3,""))</f>
        <v/>
      </c>
      <c r="CY55" s="110">
        <f>IF(AK55="","",IFERROR(AK55*HSI!$B$50*HSI!$G$50/HSI!$B$3,""))</f>
        <v/>
      </c>
      <c r="CZ55" s="110">
        <f>IF(AL55="","",IFERROR(AL55*HSI!$B$50*HSI!$G$50/HSI!$B$3,""))</f>
        <v/>
      </c>
      <c r="DA55" s="110">
        <f>IF(AM55="","",IFERROR(AM55*HSI!$B$50*HSI!$G$50/HSI!$B$3,""))</f>
        <v/>
      </c>
      <c r="DB55" s="110">
        <f>IF(AN55="","",IFERROR(AN55*HSI!$B$50*HSI!$G$50/HSI!$B$3,""))</f>
        <v/>
      </c>
      <c r="DC55" s="110">
        <f>IF(AO55="","",IFERROR(AO55*HSI!$B$50*HSI!$G$50/HSI!$B$3,""))</f>
        <v/>
      </c>
      <c r="DD55" s="110">
        <f>IF(AP55="","",IFERROR(AP55*HSI!$B$50*HSI!$G$50/HSI!$B$3,""))</f>
        <v/>
      </c>
      <c r="DE55" s="110">
        <f>IF(AQ55="","",IFERROR(AQ55*HSI!$B$50*HSI!$G$50/HSI!$B$3,""))</f>
        <v/>
      </c>
      <c r="DF55" s="110">
        <f>IF(AR55="","",IFERROR(AR55*HSI!$B$50*HSI!$G$50/HSI!$B$3,""))</f>
        <v/>
      </c>
      <c r="DG55" s="110">
        <f>IF(AS55="","",IFERROR(AS55*HSI!$B$50*HSI!$G$50/HSI!$B$3,""))</f>
        <v/>
      </c>
      <c r="DH55" s="110">
        <f>IF(AT55="","",IFERROR(AT55*HSI!$B$50*HSI!$G$50/HSI!$B$3,""))</f>
        <v/>
      </c>
      <c r="DI55" s="110">
        <f>IF(AU55="","",IFERROR(AU55*HSI!$B$50*HSI!$G$50/HSI!$B$3,""))</f>
        <v/>
      </c>
      <c r="DJ55" s="110">
        <f>IF(AV55="","",IFERROR(AV55*HSI!$B$50*HSI!$G$50/HSI!$B$3,""))</f>
        <v/>
      </c>
      <c r="DK55" s="110">
        <f>IF(AW55="","",IFERROR(AW55*HSI!$B$50*HSI!$G$50/HSI!$B$3,""))</f>
        <v/>
      </c>
      <c r="DL55" s="110">
        <f>IF(AX55="","",IFERROR(AX55*HSI!$B$50*HSI!$G$50/HSI!$B$3,""))</f>
        <v/>
      </c>
      <c r="DM55" s="110">
        <f>IF(AY55="","",IFERROR(AY55*HSI!$B$50*HSI!$G$50/HSI!$B$3,""))</f>
        <v/>
      </c>
      <c r="DN55" s="110">
        <f>IF(AZ55="","",IFERROR(AZ55*HSI!$B$50*HSI!$G$50/HSI!$B$3,""))</f>
        <v/>
      </c>
      <c r="DO55" s="110">
        <f>IF(BA55="","",IFERROR(BA55*HSI!$B$50*HSI!$G$50/HSI!$B$3,""))</f>
        <v/>
      </c>
      <c r="DP55" s="110">
        <f>IF(BB55="","",IFERROR(BB55*HSI!$B$50*HSI!$G$50/HSI!$B$3,""))</f>
        <v/>
      </c>
      <c r="DQ55" s="110">
        <f>IF(BC55="","",IFERROR(BC55*HSI!$B$50*HSI!$G$50/HSI!$B$3,""))</f>
        <v/>
      </c>
      <c r="DR55" s="110">
        <f>IF(BD55="","",IFERROR(BD55*HSI!$B$50*HSI!$G$50/HSI!$B$3,""))</f>
        <v/>
      </c>
      <c r="DS55" s="110">
        <f>IF(BE55="","",IFERROR(BE55*HSI!$B$50*HSI!$G$50/HSI!$B$3,""))</f>
        <v/>
      </c>
      <c r="DT55" s="110">
        <f>IF(BF55="","",IFERROR(BF55*HSI!$B$50*HSI!$G$50/HSI!$B$3,""))</f>
        <v/>
      </c>
      <c r="DU55" s="110">
        <f>IF(BG55="","",IFERROR(BG55*HSI!$B$50*HSI!$G$50/HSI!$B$3,""))</f>
        <v/>
      </c>
      <c r="DV55" s="110">
        <f>IF(BH55="","",IFERROR(BH55*HSI!$B$50*HSI!$G$50/HSI!$B$3,""))</f>
        <v/>
      </c>
      <c r="DW55" s="110">
        <f>IF(BI55="","",IFERROR(BI55*HSI!$B$50*HSI!$G$50/HSI!$B$3,""))</f>
        <v/>
      </c>
      <c r="DX55" s="110">
        <f>IF(BJ55="","",IFERROR(BJ55*HSI!$B$50*HSI!$G$50/HSI!$B$3,""))</f>
        <v/>
      </c>
      <c r="DY55" s="110">
        <f>IF(BK55="","",IFERROR(BK55*HSI!$B$50*HSI!$G$50/HSI!$B$3,""))</f>
        <v/>
      </c>
      <c r="DZ55" s="110">
        <f>IF(BL55="","",IFERROR(BL55*HSI!$B$50*HSI!$G$50/HSI!$B$3,""))</f>
        <v/>
      </c>
      <c r="EA55" s="110">
        <f>IF(BM55="","",IFERROR(BM55*HSI!$B$50*HSI!$G$50/HSI!$B$3,""))</f>
        <v/>
      </c>
      <c r="EB55" s="110">
        <f>IF(BN55="","",IFERROR(BN55*HSI!$B$50*HSI!$G$50/HSI!$B$3,""))</f>
        <v/>
      </c>
      <c r="EC55" s="110">
        <f>IF(BO55="","",IFERROR(BO55*HSI!$B$50*HSI!$G$50/HSI!$B$3,""))</f>
        <v/>
      </c>
      <c r="EE55" s="39">
        <f>IF(N('Dvd Calendar'!$E$484)=0,"",IF(('Dvd Calendar'!$E$484&gt;=GRID_FROM)*('Dvd Calendar'!$E$484&lt;=GRID_TO)*((('Dvd Calendar'!$E$484&lt;=VAL_DATE)+(COUNTIF('Dvd Calendar'!$E$491:$AR$491,'Dvd Calendar'!$E$484)=0))&gt;0)=0,"",'Dvd Calendar'!$E$484*1000000000+ISNUMBER('Dvd Calendar'!$E$487)*100000000+('Dvd Calendar'!$E$489=SPECIAL_LBL)*10000000+(N('Dvd Calendar'!$E$483)&gt;0)*(N('Dvd Calendar'!$E$483)&lt;=VAL_SERIAL)*1000000+44*1000+1))</f>
        <v/>
      </c>
      <c r="EF55" s="39">
        <f>IF(N('Dvd Calendar'!$F$484)=0,"",IF(('Dvd Calendar'!$F$484&gt;=GRID_FROM)*('Dvd Calendar'!$F$484&lt;=GRID_TO)*((('Dvd Calendar'!$F$484&lt;=VAL_DATE)+(COUNTIF('Dvd Calendar'!$E$491:$AR$491,'Dvd Calendar'!$F$484)=0))&gt;0)=0,"",'Dvd Calendar'!$F$484*1000000000+ISNUMBER('Dvd Calendar'!$F$487)*100000000+('Dvd Calendar'!$F$489=SPECIAL_LBL)*10000000+(N('Dvd Calendar'!$F$483)&gt;0)*(N('Dvd Calendar'!$F$483)&lt;=VAL_SERIAL)*1000000+44*1000+2))</f>
        <v/>
      </c>
      <c r="EG55" s="39">
        <f>IF(N('Dvd Calendar'!$G$484)=0,"",IF(('Dvd Calendar'!$G$484&gt;=GRID_FROM)*('Dvd Calendar'!$G$484&lt;=GRID_TO)*((('Dvd Calendar'!$G$484&lt;=VAL_DATE)+(COUNTIF('Dvd Calendar'!$E$491:$AR$491,'Dvd Calendar'!$G$484)=0))&gt;0)=0,"",'Dvd Calendar'!$G$484*1000000000+ISNUMBER('Dvd Calendar'!$G$487)*100000000+('Dvd Calendar'!$G$489=SPECIAL_LBL)*10000000+(N('Dvd Calendar'!$G$483)&gt;0)*(N('Dvd Calendar'!$G$483)&lt;=VAL_SERIAL)*1000000+44*1000+3))</f>
        <v/>
      </c>
      <c r="EH55" s="39">
        <f>IF(N('Dvd Calendar'!$H$484)=0,"",IF(('Dvd Calendar'!$H$484&gt;=GRID_FROM)*('Dvd Calendar'!$H$484&lt;=GRID_TO)*((('Dvd Calendar'!$H$484&lt;=VAL_DATE)+(COUNTIF('Dvd Calendar'!$E$491:$AR$491,'Dvd Calendar'!$H$484)=0))&gt;0)=0,"",'Dvd Calendar'!$H$484*1000000000+ISNUMBER('Dvd Calendar'!$H$487)*100000000+('Dvd Calendar'!$H$489=SPECIAL_LBL)*10000000+(N('Dvd Calendar'!$H$483)&gt;0)*(N('Dvd Calendar'!$H$483)&lt;=VAL_SERIAL)*1000000+44*1000+4))</f>
        <v/>
      </c>
      <c r="EI55" s="39">
        <f>IF(N('Dvd Calendar'!$I$484)=0,"",IF(('Dvd Calendar'!$I$484&gt;=GRID_FROM)*('Dvd Calendar'!$I$484&lt;=GRID_TO)*((('Dvd Calendar'!$I$484&lt;=VAL_DATE)+(COUNTIF('Dvd Calendar'!$E$491:$AR$491,'Dvd Calendar'!$I$484)=0))&gt;0)=0,"",'Dvd Calendar'!$I$484*1000000000+ISNUMBER('Dvd Calendar'!$I$487)*100000000+('Dvd Calendar'!$I$489=SPECIAL_LBL)*10000000+(N('Dvd Calendar'!$I$483)&gt;0)*(N('Dvd Calendar'!$I$483)&lt;=VAL_SERIAL)*1000000+44*1000+5))</f>
        <v/>
      </c>
      <c r="EJ55" s="39">
        <f>IF(N('Dvd Calendar'!$J$484)=0,"",IF(('Dvd Calendar'!$J$484&gt;=GRID_FROM)*('Dvd Calendar'!$J$484&lt;=GRID_TO)*((('Dvd Calendar'!$J$484&lt;=VAL_DATE)+(COUNTIF('Dvd Calendar'!$E$491:$AR$491,'Dvd Calendar'!$J$484)=0))&gt;0)=0,"",'Dvd Calendar'!$J$484*1000000000+ISNUMBER('Dvd Calendar'!$J$487)*100000000+('Dvd Calendar'!$J$489=SPECIAL_LBL)*10000000+(N('Dvd Calendar'!$J$483)&gt;0)*(N('Dvd Calendar'!$J$483)&lt;=VAL_SERIAL)*1000000+44*1000+6))</f>
        <v/>
      </c>
      <c r="EK55" s="39">
        <f>IF(N('Dvd Calendar'!$K$484)=0,"",IF(('Dvd Calendar'!$K$484&gt;=GRID_FROM)*('Dvd Calendar'!$K$484&lt;=GRID_TO)*((('Dvd Calendar'!$K$484&lt;=VAL_DATE)+(COUNTIF('Dvd Calendar'!$E$491:$AR$491,'Dvd Calendar'!$K$484)=0))&gt;0)=0,"",'Dvd Calendar'!$K$484*1000000000+ISNUMBER('Dvd Calendar'!$K$487)*100000000+('Dvd Calendar'!$K$489=SPECIAL_LBL)*10000000+(N('Dvd Calendar'!$K$483)&gt;0)*(N('Dvd Calendar'!$K$483)&lt;=VAL_SERIAL)*1000000+44*1000+7))</f>
        <v/>
      </c>
      <c r="EL55" s="39">
        <f>IF(N('Dvd Calendar'!$L$484)=0,"",IF(('Dvd Calendar'!$L$484&gt;=GRID_FROM)*('Dvd Calendar'!$L$484&lt;=GRID_TO)*((('Dvd Calendar'!$L$484&lt;=VAL_DATE)+(COUNTIF('Dvd Calendar'!$E$491:$AR$491,'Dvd Calendar'!$L$484)=0))&gt;0)=0,"",'Dvd Calendar'!$L$484*1000000000+ISNUMBER('Dvd Calendar'!$L$487)*100000000+('Dvd Calendar'!$L$489=SPECIAL_LBL)*10000000+(N('Dvd Calendar'!$L$483)&gt;0)*(N('Dvd Calendar'!$L$483)&lt;=VAL_SERIAL)*1000000+44*1000+8))</f>
        <v/>
      </c>
      <c r="EM55" s="39">
        <f>IF(N('Dvd Calendar'!$M$484)=0,"",IF(('Dvd Calendar'!$M$484&gt;=GRID_FROM)*('Dvd Calendar'!$M$484&lt;=GRID_TO)*((('Dvd Calendar'!$M$484&lt;=VAL_DATE)+(COUNTIF('Dvd Calendar'!$E$491:$AR$491,'Dvd Calendar'!$M$484)=0))&gt;0)=0,"",'Dvd Calendar'!$M$484*1000000000+ISNUMBER('Dvd Calendar'!$M$487)*100000000+('Dvd Calendar'!$M$489=SPECIAL_LBL)*10000000+(N('Dvd Calendar'!$M$483)&gt;0)*(N('Dvd Calendar'!$M$483)&lt;=VAL_SERIAL)*1000000+44*1000+9))</f>
        <v/>
      </c>
      <c r="EN55" s="39">
        <f>IF(N('Dvd Calendar'!$N$484)=0,"",IF(('Dvd Calendar'!$N$484&gt;=GRID_FROM)*('Dvd Calendar'!$N$484&lt;=GRID_TO)*((('Dvd Calendar'!$N$484&lt;=VAL_DATE)+(COUNTIF('Dvd Calendar'!$E$491:$AR$491,'Dvd Calendar'!$N$484)=0))&gt;0)=0,"",'Dvd Calendar'!$N$484*1000000000+ISNUMBER('Dvd Calendar'!$N$487)*100000000+('Dvd Calendar'!$N$489=SPECIAL_LBL)*10000000+(N('Dvd Calendar'!$N$483)&gt;0)*(N('Dvd Calendar'!$N$483)&lt;=VAL_SERIAL)*1000000+44*1000+10))</f>
        <v/>
      </c>
      <c r="EO55" s="39">
        <f>IF(N('Dvd Calendar'!$O$484)=0,"",IF(('Dvd Calendar'!$O$484&gt;=GRID_FROM)*('Dvd Calendar'!$O$484&lt;=GRID_TO)*((('Dvd Calendar'!$O$484&lt;=VAL_DATE)+(COUNTIF('Dvd Calendar'!$E$491:$AR$491,'Dvd Calendar'!$O$484)=0))&gt;0)=0,"",'Dvd Calendar'!$O$484*1000000000+ISNUMBER('Dvd Calendar'!$O$487)*100000000+('Dvd Calendar'!$O$489=SPECIAL_LBL)*10000000+(N('Dvd Calendar'!$O$483)&gt;0)*(N('Dvd Calendar'!$O$483)&lt;=VAL_SERIAL)*1000000+44*1000+11))</f>
        <v/>
      </c>
      <c r="EP55" s="39">
        <f>IF(N('Dvd Calendar'!$P$484)=0,"",IF(('Dvd Calendar'!$P$484&gt;=GRID_FROM)*('Dvd Calendar'!$P$484&lt;=GRID_TO)*((('Dvd Calendar'!$P$484&lt;=VAL_DATE)+(COUNTIF('Dvd Calendar'!$E$491:$AR$491,'Dvd Calendar'!$P$484)=0))&gt;0)=0,"",'Dvd Calendar'!$P$484*1000000000+ISNUMBER('Dvd Calendar'!$P$487)*100000000+('Dvd Calendar'!$P$489=SPECIAL_LBL)*10000000+(N('Dvd Calendar'!$P$483)&gt;0)*(N('Dvd Calendar'!$P$483)&lt;=VAL_SERIAL)*1000000+44*1000+12))</f>
        <v/>
      </c>
      <c r="EQ55" s="39">
        <f>IF(N('Dvd Calendar'!$Q$484)=0,"",IF(('Dvd Calendar'!$Q$484&gt;=GRID_FROM)*('Dvd Calendar'!$Q$484&lt;=GRID_TO)*((('Dvd Calendar'!$Q$484&lt;=VAL_DATE)+(COUNTIF('Dvd Calendar'!$E$491:$AR$491,'Dvd Calendar'!$Q$484)=0))&gt;0)=0,"",'Dvd Calendar'!$Q$484*1000000000+ISNUMBER('Dvd Calendar'!$Q$487)*100000000+('Dvd Calendar'!$Q$489=SPECIAL_LBL)*10000000+(N('Dvd Calendar'!$Q$483)&gt;0)*(N('Dvd Calendar'!$Q$483)&lt;=VAL_SERIAL)*1000000+44*1000+13))</f>
        <v/>
      </c>
      <c r="ER55" s="39">
        <f>IF(N('Dvd Calendar'!$R$484)=0,"",IF(('Dvd Calendar'!$R$484&gt;=GRID_FROM)*('Dvd Calendar'!$R$484&lt;=GRID_TO)*((('Dvd Calendar'!$R$484&lt;=VAL_DATE)+(COUNTIF('Dvd Calendar'!$E$491:$AR$491,'Dvd Calendar'!$R$484)=0))&gt;0)=0,"",'Dvd Calendar'!$R$484*1000000000+ISNUMBER('Dvd Calendar'!$R$487)*100000000+('Dvd Calendar'!$R$489=SPECIAL_LBL)*10000000+(N('Dvd Calendar'!$R$483)&gt;0)*(N('Dvd Calendar'!$R$483)&lt;=VAL_SERIAL)*1000000+44*1000+14))</f>
        <v/>
      </c>
      <c r="ES55" s="39">
        <f>IF(N('Dvd Calendar'!$S$484)=0,"",IF(('Dvd Calendar'!$S$484&gt;=GRID_FROM)*('Dvd Calendar'!$S$484&lt;=GRID_TO)*((('Dvd Calendar'!$S$484&lt;=VAL_DATE)+(COUNTIF('Dvd Calendar'!$E$491:$AR$491,'Dvd Calendar'!$S$484)=0))&gt;0)=0,"",'Dvd Calendar'!$S$484*1000000000+ISNUMBER('Dvd Calendar'!$S$487)*100000000+('Dvd Calendar'!$S$489=SPECIAL_LBL)*10000000+(N('Dvd Calendar'!$S$483)&gt;0)*(N('Dvd Calendar'!$S$483)&lt;=VAL_SERIAL)*1000000+44*1000+15))</f>
        <v/>
      </c>
      <c r="ET55" s="39">
        <f>IF(N('Dvd Calendar'!$T$484)=0,"",IF(('Dvd Calendar'!$T$484&gt;=GRID_FROM)*('Dvd Calendar'!$T$484&lt;=GRID_TO)*((('Dvd Calendar'!$T$484&lt;=VAL_DATE)+(COUNTIF('Dvd Calendar'!$E$491:$AR$491,'Dvd Calendar'!$T$484)=0))&gt;0)=0,"",'Dvd Calendar'!$T$484*1000000000+ISNUMBER('Dvd Calendar'!$T$487)*100000000+('Dvd Calendar'!$T$489=SPECIAL_LBL)*10000000+(N('Dvd Calendar'!$T$483)&gt;0)*(N('Dvd Calendar'!$T$483)&lt;=VAL_SERIAL)*1000000+44*1000+16))</f>
        <v/>
      </c>
      <c r="EU55" s="39">
        <f>IF(N('Dvd Calendar'!$U$484)=0,"",IF(('Dvd Calendar'!$U$484&gt;=GRID_FROM)*('Dvd Calendar'!$U$484&lt;=GRID_TO)*((('Dvd Calendar'!$U$484&lt;=VAL_DATE)+(COUNTIF('Dvd Calendar'!$E$491:$AR$491,'Dvd Calendar'!$U$484)=0))&gt;0)=0,"",'Dvd Calendar'!$U$484*1000000000+ISNUMBER('Dvd Calendar'!$U$487)*100000000+('Dvd Calendar'!$U$489=SPECIAL_LBL)*10000000+(N('Dvd Calendar'!$U$483)&gt;0)*(N('Dvd Calendar'!$U$483)&lt;=VAL_SERIAL)*1000000+44*1000+17))</f>
        <v/>
      </c>
      <c r="EV55" s="39">
        <f>IF(N('Dvd Calendar'!$V$484)=0,"",IF(('Dvd Calendar'!$V$484&gt;=GRID_FROM)*('Dvd Calendar'!$V$484&lt;=GRID_TO)*((('Dvd Calendar'!$V$484&lt;=VAL_DATE)+(COUNTIF('Dvd Calendar'!$E$491:$AR$491,'Dvd Calendar'!$V$484)=0))&gt;0)=0,"",'Dvd Calendar'!$V$484*1000000000+ISNUMBER('Dvd Calendar'!$V$487)*100000000+('Dvd Calendar'!$V$489=SPECIAL_LBL)*10000000+(N('Dvd Calendar'!$V$483)&gt;0)*(N('Dvd Calendar'!$V$483)&lt;=VAL_SERIAL)*1000000+44*1000+18))</f>
        <v/>
      </c>
      <c r="EW55" s="39">
        <f>IF(N('Dvd Calendar'!$W$484)=0,"",IF(('Dvd Calendar'!$W$484&gt;=GRID_FROM)*('Dvd Calendar'!$W$484&lt;=GRID_TO)*((('Dvd Calendar'!$W$484&lt;=VAL_DATE)+(COUNTIF('Dvd Calendar'!$E$491:$AR$491,'Dvd Calendar'!$W$484)=0))&gt;0)=0,"",'Dvd Calendar'!$W$484*1000000000+ISNUMBER('Dvd Calendar'!$W$487)*100000000+('Dvd Calendar'!$W$489=SPECIAL_LBL)*10000000+(N('Dvd Calendar'!$W$483)&gt;0)*(N('Dvd Calendar'!$W$483)&lt;=VAL_SERIAL)*1000000+44*1000+19))</f>
        <v/>
      </c>
      <c r="EX55" s="39">
        <f>IF(N('Dvd Calendar'!$X$484)=0,"",IF(('Dvd Calendar'!$X$484&gt;=GRID_FROM)*('Dvd Calendar'!$X$484&lt;=GRID_TO)*((('Dvd Calendar'!$X$484&lt;=VAL_DATE)+(COUNTIF('Dvd Calendar'!$E$491:$AR$491,'Dvd Calendar'!$X$484)=0))&gt;0)=0,"",'Dvd Calendar'!$X$484*1000000000+ISNUMBER('Dvd Calendar'!$X$487)*100000000+('Dvd Calendar'!$X$489=SPECIAL_LBL)*10000000+(N('Dvd Calendar'!$X$483)&gt;0)*(N('Dvd Calendar'!$X$483)&lt;=VAL_SERIAL)*1000000+44*1000+20))</f>
        <v/>
      </c>
      <c r="EY55" s="39">
        <f>IF(N('Dvd Calendar'!$Y$484)=0,"",IF(('Dvd Calendar'!$Y$484&gt;=GRID_FROM)*('Dvd Calendar'!$Y$484&lt;=GRID_TO)*((('Dvd Calendar'!$Y$484&lt;=VAL_DATE)+(COUNTIF('Dvd Calendar'!$E$491:$AR$491,'Dvd Calendar'!$Y$484)=0))&gt;0)=0,"",'Dvd Calendar'!$Y$484*1000000000+ISNUMBER('Dvd Calendar'!$Y$487)*100000000+('Dvd Calendar'!$Y$489=SPECIAL_LBL)*10000000+(N('Dvd Calendar'!$Y$483)&gt;0)*(N('Dvd Calendar'!$Y$483)&lt;=VAL_SERIAL)*1000000+44*1000+21))</f>
        <v/>
      </c>
      <c r="EZ55" s="39">
        <f>IF(N('Dvd Calendar'!$Z$484)=0,"",IF(('Dvd Calendar'!$Z$484&gt;=GRID_FROM)*('Dvd Calendar'!$Z$484&lt;=GRID_TO)*((('Dvd Calendar'!$Z$484&lt;=VAL_DATE)+(COUNTIF('Dvd Calendar'!$E$491:$AR$491,'Dvd Calendar'!$Z$484)=0))&gt;0)=0,"",'Dvd Calendar'!$Z$484*1000000000+ISNUMBER('Dvd Calendar'!$Z$487)*100000000+('Dvd Calendar'!$Z$489=SPECIAL_LBL)*10000000+(N('Dvd Calendar'!$Z$483)&gt;0)*(N('Dvd Calendar'!$Z$483)&lt;=VAL_SERIAL)*1000000+44*1000+22))</f>
        <v/>
      </c>
      <c r="FA55" s="39">
        <f>IF(N('Dvd Calendar'!$AA$484)=0,"",IF(('Dvd Calendar'!$AA$484&gt;=GRID_FROM)*('Dvd Calendar'!$AA$484&lt;=GRID_TO)*((('Dvd Calendar'!$AA$484&lt;=VAL_DATE)+(COUNTIF('Dvd Calendar'!$E$491:$AR$491,'Dvd Calendar'!$AA$484)=0))&gt;0)=0,"",'Dvd Calendar'!$AA$484*1000000000+ISNUMBER('Dvd Calendar'!$AA$487)*100000000+('Dvd Calendar'!$AA$489=SPECIAL_LBL)*10000000+(N('Dvd Calendar'!$AA$483)&gt;0)*(N('Dvd Calendar'!$AA$483)&lt;=VAL_SERIAL)*1000000+44*1000+23))</f>
        <v/>
      </c>
      <c r="FB55" s="39">
        <f>IF(N('Dvd Calendar'!$AB$484)=0,"",IF(('Dvd Calendar'!$AB$484&gt;=GRID_FROM)*('Dvd Calendar'!$AB$484&lt;=GRID_TO)*((('Dvd Calendar'!$AB$484&lt;=VAL_DATE)+(COUNTIF('Dvd Calendar'!$E$491:$AR$491,'Dvd Calendar'!$AB$484)=0))&gt;0)=0,"",'Dvd Calendar'!$AB$484*1000000000+ISNUMBER('Dvd Calendar'!$AB$487)*100000000+('Dvd Calendar'!$AB$489=SPECIAL_LBL)*10000000+(N('Dvd Calendar'!$AB$483)&gt;0)*(N('Dvd Calendar'!$AB$483)&lt;=VAL_SERIAL)*1000000+44*1000+24))</f>
        <v/>
      </c>
      <c r="FC55" s="39">
        <f>IF(N('Dvd Calendar'!$AC$484)=0,"",IF(('Dvd Calendar'!$AC$484&gt;=GRID_FROM)*('Dvd Calendar'!$AC$484&lt;=GRID_TO)*((('Dvd Calendar'!$AC$484&lt;=VAL_DATE)+(COUNTIF('Dvd Calendar'!$E$491:$AR$491,'Dvd Calendar'!$AC$484)=0))&gt;0)=0,"",'Dvd Calendar'!$AC$484*1000000000+ISNUMBER('Dvd Calendar'!$AC$487)*100000000+('Dvd Calendar'!$AC$489=SPECIAL_LBL)*10000000+(N('Dvd Calendar'!$AC$483)&gt;0)*(N('Dvd Calendar'!$AC$483)&lt;=VAL_SERIAL)*1000000+44*1000+25))</f>
        <v/>
      </c>
      <c r="FD55" s="39">
        <f>IF(N('Dvd Calendar'!$AD$484)=0,"",IF(('Dvd Calendar'!$AD$484&gt;=GRID_FROM)*('Dvd Calendar'!$AD$484&lt;=GRID_TO)*((('Dvd Calendar'!$AD$484&lt;=VAL_DATE)+(COUNTIF('Dvd Calendar'!$E$491:$AR$491,'Dvd Calendar'!$AD$484)=0))&gt;0)=0,"",'Dvd Calendar'!$AD$484*1000000000+ISNUMBER('Dvd Calendar'!$AD$487)*100000000+('Dvd Calendar'!$AD$489=SPECIAL_LBL)*10000000+(N('Dvd Calendar'!$AD$483)&gt;0)*(N('Dvd Calendar'!$AD$483)&lt;=VAL_SERIAL)*1000000+44*1000+26))</f>
        <v/>
      </c>
      <c r="FE55" s="39">
        <f>IF(N('Dvd Calendar'!$AE$484)=0,"",IF(('Dvd Calendar'!$AE$484&gt;=GRID_FROM)*('Dvd Calendar'!$AE$484&lt;=GRID_TO)*((('Dvd Calendar'!$AE$484&lt;=VAL_DATE)+(COUNTIF('Dvd Calendar'!$E$491:$AR$491,'Dvd Calendar'!$AE$484)=0))&gt;0)=0,"",'Dvd Calendar'!$AE$484*1000000000+ISNUMBER('Dvd Calendar'!$AE$487)*100000000+('Dvd Calendar'!$AE$489=SPECIAL_LBL)*10000000+(N('Dvd Calendar'!$AE$483)&gt;0)*(N('Dvd Calendar'!$AE$483)&lt;=VAL_SERIAL)*1000000+44*1000+27))</f>
        <v/>
      </c>
      <c r="FF55" s="39">
        <f>IF(N('Dvd Calendar'!$AF$484)=0,"",IF(('Dvd Calendar'!$AF$484&gt;=GRID_FROM)*('Dvd Calendar'!$AF$484&lt;=GRID_TO)*((('Dvd Calendar'!$AF$484&lt;=VAL_DATE)+(COUNTIF('Dvd Calendar'!$E$491:$AR$491,'Dvd Calendar'!$AF$484)=0))&gt;0)=0,"",'Dvd Calendar'!$AF$484*1000000000+ISNUMBER('Dvd Calendar'!$AF$487)*100000000+('Dvd Calendar'!$AF$489=SPECIAL_LBL)*10000000+(N('Dvd Calendar'!$AF$483)&gt;0)*(N('Dvd Calendar'!$AF$483)&lt;=VAL_SERIAL)*1000000+44*1000+28))</f>
        <v/>
      </c>
      <c r="FG55" s="39">
        <f>IF(N('Dvd Calendar'!$AG$484)=0,"",IF(('Dvd Calendar'!$AG$484&gt;=GRID_FROM)*('Dvd Calendar'!$AG$484&lt;=GRID_TO)*((('Dvd Calendar'!$AG$484&lt;=VAL_DATE)+(COUNTIF('Dvd Calendar'!$E$491:$AR$491,'Dvd Calendar'!$AG$484)=0))&gt;0)=0,"",'Dvd Calendar'!$AG$484*1000000000+ISNUMBER('Dvd Calendar'!$AG$487)*100000000+('Dvd Calendar'!$AG$489=SPECIAL_LBL)*10000000+(N('Dvd Calendar'!$AG$483)&gt;0)*(N('Dvd Calendar'!$AG$483)&lt;=VAL_SERIAL)*1000000+44*1000+29))</f>
        <v/>
      </c>
      <c r="FH55" s="39">
        <f>IF(N('Dvd Calendar'!$AH$484)=0,"",IF(('Dvd Calendar'!$AH$484&gt;=GRID_FROM)*('Dvd Calendar'!$AH$484&lt;=GRID_TO)*((('Dvd Calendar'!$AH$484&lt;=VAL_DATE)+(COUNTIF('Dvd Calendar'!$E$491:$AR$491,'Dvd Calendar'!$AH$484)=0))&gt;0)=0,"",'Dvd Calendar'!$AH$484*1000000000+ISNUMBER('Dvd Calendar'!$AH$487)*100000000+('Dvd Calendar'!$AH$489=SPECIAL_LBL)*10000000+(N('Dvd Calendar'!$AH$483)&gt;0)*(N('Dvd Calendar'!$AH$483)&lt;=VAL_SERIAL)*1000000+44*1000+30))</f>
        <v/>
      </c>
      <c r="FI55" s="39">
        <f>IF(N('Dvd Calendar'!$AI$484)=0,"",IF(('Dvd Calendar'!$AI$484&gt;=GRID_FROM)*('Dvd Calendar'!$AI$484&lt;=GRID_TO)*((('Dvd Calendar'!$AI$484&lt;=VAL_DATE)+(COUNTIF('Dvd Calendar'!$E$491:$AR$491,'Dvd Calendar'!$AI$484)=0))&gt;0)=0,"",'Dvd Calendar'!$AI$484*1000000000+ISNUMBER('Dvd Calendar'!$AI$487)*100000000+('Dvd Calendar'!$AI$489=SPECIAL_LBL)*10000000+(N('Dvd Calendar'!$AI$483)&gt;0)*(N('Dvd Calendar'!$AI$483)&lt;=VAL_SERIAL)*1000000+44*1000+31))</f>
        <v/>
      </c>
      <c r="FJ55" s="39">
        <f>IF(N('Dvd Calendar'!$AJ$484)=0,"",IF(('Dvd Calendar'!$AJ$484&gt;=GRID_FROM)*('Dvd Calendar'!$AJ$484&lt;=GRID_TO)*((('Dvd Calendar'!$AJ$484&lt;=VAL_DATE)+(COUNTIF('Dvd Calendar'!$E$491:$AR$491,'Dvd Calendar'!$AJ$484)=0))&gt;0)=0,"",'Dvd Calendar'!$AJ$484*1000000000+ISNUMBER('Dvd Calendar'!$AJ$487)*100000000+('Dvd Calendar'!$AJ$489=SPECIAL_LBL)*10000000+(N('Dvd Calendar'!$AJ$483)&gt;0)*(N('Dvd Calendar'!$AJ$483)&lt;=VAL_SERIAL)*1000000+44*1000+32))</f>
        <v/>
      </c>
      <c r="FK55" s="39">
        <f>IF(N('Dvd Calendar'!$AK$484)=0,"",IF(('Dvd Calendar'!$AK$484&gt;=GRID_FROM)*('Dvd Calendar'!$AK$484&lt;=GRID_TO)*((('Dvd Calendar'!$AK$484&lt;=VAL_DATE)+(COUNTIF('Dvd Calendar'!$E$491:$AR$491,'Dvd Calendar'!$AK$484)=0))&gt;0)=0,"",'Dvd Calendar'!$AK$484*1000000000+ISNUMBER('Dvd Calendar'!$AK$487)*100000000+('Dvd Calendar'!$AK$489=SPECIAL_LBL)*10000000+(N('Dvd Calendar'!$AK$483)&gt;0)*(N('Dvd Calendar'!$AK$483)&lt;=VAL_SERIAL)*1000000+44*1000+33))</f>
        <v/>
      </c>
      <c r="FL55" s="39">
        <f>IF(N('Dvd Calendar'!$AL$484)=0,"",IF(('Dvd Calendar'!$AL$484&gt;=GRID_FROM)*('Dvd Calendar'!$AL$484&lt;=GRID_TO)*((('Dvd Calendar'!$AL$484&lt;=VAL_DATE)+(COUNTIF('Dvd Calendar'!$E$491:$AR$491,'Dvd Calendar'!$AL$484)=0))&gt;0)=0,"",'Dvd Calendar'!$AL$484*1000000000+ISNUMBER('Dvd Calendar'!$AL$487)*100000000+('Dvd Calendar'!$AL$489=SPECIAL_LBL)*10000000+(N('Dvd Calendar'!$AL$483)&gt;0)*(N('Dvd Calendar'!$AL$483)&lt;=VAL_SERIAL)*1000000+44*1000+34))</f>
        <v/>
      </c>
      <c r="FM55" s="39">
        <f>IF(N('Dvd Calendar'!$AM$484)=0,"",IF(('Dvd Calendar'!$AM$484&gt;=GRID_FROM)*('Dvd Calendar'!$AM$484&lt;=GRID_TO)*((('Dvd Calendar'!$AM$484&lt;=VAL_DATE)+(COUNTIF('Dvd Calendar'!$E$491:$AR$491,'Dvd Calendar'!$AM$484)=0))&gt;0)=0,"",'Dvd Calendar'!$AM$484*1000000000+ISNUMBER('Dvd Calendar'!$AM$487)*100000000+('Dvd Calendar'!$AM$489=SPECIAL_LBL)*10000000+(N('Dvd Calendar'!$AM$483)&gt;0)*(N('Dvd Calendar'!$AM$483)&lt;=VAL_SERIAL)*1000000+44*1000+35))</f>
        <v/>
      </c>
      <c r="FN55" s="39">
        <f>IF(N('Dvd Calendar'!$AN$484)=0,"",IF(('Dvd Calendar'!$AN$484&gt;=GRID_FROM)*('Dvd Calendar'!$AN$484&lt;=GRID_TO)*((('Dvd Calendar'!$AN$484&lt;=VAL_DATE)+(COUNTIF('Dvd Calendar'!$E$491:$AR$491,'Dvd Calendar'!$AN$484)=0))&gt;0)=0,"",'Dvd Calendar'!$AN$484*1000000000+ISNUMBER('Dvd Calendar'!$AN$487)*100000000+('Dvd Calendar'!$AN$489=SPECIAL_LBL)*10000000+(N('Dvd Calendar'!$AN$483)&gt;0)*(N('Dvd Calendar'!$AN$483)&lt;=VAL_SERIAL)*1000000+44*1000+36))</f>
        <v/>
      </c>
      <c r="FO55" s="39">
        <f>IF(N('Dvd Calendar'!$AO$484)=0,"",IF(('Dvd Calendar'!$AO$484&gt;=GRID_FROM)*('Dvd Calendar'!$AO$484&lt;=GRID_TO)*((('Dvd Calendar'!$AO$484&lt;=VAL_DATE)+(COUNTIF('Dvd Calendar'!$E$491:$AR$491,'Dvd Calendar'!$AO$484)=0))&gt;0)=0,"",'Dvd Calendar'!$AO$484*1000000000+ISNUMBER('Dvd Calendar'!$AO$487)*100000000+('Dvd Calendar'!$AO$489=SPECIAL_LBL)*10000000+(N('Dvd Calendar'!$AO$483)&gt;0)*(N('Dvd Calendar'!$AO$483)&lt;=VAL_SERIAL)*1000000+44*1000+37))</f>
        <v/>
      </c>
      <c r="FP55" s="39">
        <f>IF(N('Dvd Calendar'!$AP$484)=0,"",IF(('Dvd Calendar'!$AP$484&gt;=GRID_FROM)*('Dvd Calendar'!$AP$484&lt;=GRID_TO)*((('Dvd Calendar'!$AP$484&lt;=VAL_DATE)+(COUNTIF('Dvd Calendar'!$E$491:$AR$491,'Dvd Calendar'!$AP$484)=0))&gt;0)=0,"",'Dvd Calendar'!$AP$484*1000000000+ISNUMBER('Dvd Calendar'!$AP$487)*100000000+('Dvd Calendar'!$AP$489=SPECIAL_LBL)*10000000+(N('Dvd Calendar'!$AP$483)&gt;0)*(N('Dvd Calendar'!$AP$483)&lt;=VAL_SERIAL)*1000000+44*1000+38))</f>
        <v/>
      </c>
      <c r="FQ55" s="39">
        <f>IF(N('Dvd Calendar'!$AQ$484)=0,"",IF(('Dvd Calendar'!$AQ$484&gt;=GRID_FROM)*('Dvd Calendar'!$AQ$484&lt;=GRID_TO)*((('Dvd Calendar'!$AQ$484&lt;=VAL_DATE)+(COUNTIF('Dvd Calendar'!$E$491:$AR$491,'Dvd Calendar'!$AQ$484)=0))&gt;0)=0,"",'Dvd Calendar'!$AQ$484*1000000000+ISNUMBER('Dvd Calendar'!$AQ$487)*100000000+('Dvd Calendar'!$AQ$489=SPECIAL_LBL)*10000000+(N('Dvd Calendar'!$AQ$483)&gt;0)*(N('Dvd Calendar'!$AQ$483)&lt;=VAL_SERIAL)*1000000+44*1000+39))</f>
        <v/>
      </c>
      <c r="FR55" s="39">
        <f>IF(N('Dvd Calendar'!$AR$484)=0,"",IF(('Dvd Calendar'!$AR$484&gt;=GRID_FROM)*('Dvd Calendar'!$AR$484&lt;=GRID_TO)*((('Dvd Calendar'!$AR$484&lt;=VAL_DATE)+(COUNTIF('Dvd Calendar'!$E$491:$AR$491,'Dvd Calendar'!$AR$484)=0))&gt;0)=0,"",'Dvd Calendar'!$AR$484*1000000000+ISNUMBER('Dvd Calendar'!$AR$487)*100000000+('Dvd Calendar'!$AR$489=SPECIAL_LBL)*10000000+(N('Dvd Calendar'!$AR$483)&gt;0)*(N('Dvd Calendar'!$AR$483)&lt;=VAL_SERIAL)*1000000+44*1000+40))</f>
        <v/>
      </c>
      <c r="FS55" s="39">
        <f>IF(N('Dvd Calendar'!$E$491)=0,"",IF(('Dvd Calendar'!$E$491&gt;=GRID_FROM)*('Dvd Calendar'!$E$491&lt;=GRID_TO)*('Dvd Calendar'!$E$491&gt;VAL_DATE)=0,"",'Dvd Calendar'!$E$491*1000000000+ISNUMBER('Dvd Calendar'!$E$492)*100000000+0*10000000+(N('Dvd Calendar'!$E$490)&gt;0)*(N('Dvd Calendar'!$E$490)&lt;=VAL_SERIAL)*1000000+44*1000+41))</f>
        <v/>
      </c>
      <c r="FT55" s="39">
        <f>IF(N('Dvd Calendar'!$F$491)=0,"",IF(('Dvd Calendar'!$F$491&gt;=GRID_FROM)*('Dvd Calendar'!$F$491&lt;=GRID_TO)*('Dvd Calendar'!$F$491&gt;VAL_DATE)=0,"",'Dvd Calendar'!$F$491*1000000000+ISNUMBER('Dvd Calendar'!$F$492)*100000000+0*10000000+(N('Dvd Calendar'!$F$490)&gt;0)*(N('Dvd Calendar'!$F$490)&lt;=VAL_SERIAL)*1000000+44*1000+42))</f>
        <v/>
      </c>
      <c r="FU55" s="39">
        <f>IF(N('Dvd Calendar'!$G$491)=0,"",IF(('Dvd Calendar'!$G$491&gt;=GRID_FROM)*('Dvd Calendar'!$G$491&lt;=GRID_TO)*('Dvd Calendar'!$G$491&gt;VAL_DATE)=0,"",'Dvd Calendar'!$G$491*1000000000+ISNUMBER('Dvd Calendar'!$G$492)*100000000+0*10000000+(N('Dvd Calendar'!$G$490)&gt;0)*(N('Dvd Calendar'!$G$490)&lt;=VAL_SERIAL)*1000000+44*1000+43))</f>
        <v/>
      </c>
      <c r="FV55" s="39">
        <f>IF(N('Dvd Calendar'!$H$491)=0,"",IF(('Dvd Calendar'!$H$491&gt;=GRID_FROM)*('Dvd Calendar'!$H$491&lt;=GRID_TO)*('Dvd Calendar'!$H$491&gt;VAL_DATE)=0,"",'Dvd Calendar'!$H$491*1000000000+ISNUMBER('Dvd Calendar'!$H$492)*100000000+0*10000000+(N('Dvd Calendar'!$H$490)&gt;0)*(N('Dvd Calendar'!$H$490)&lt;=VAL_SERIAL)*1000000+44*1000+44))</f>
        <v/>
      </c>
      <c r="FW55" s="39">
        <f>IF(N('Dvd Calendar'!$I$491)=0,"",IF(('Dvd Calendar'!$I$491&gt;=GRID_FROM)*('Dvd Calendar'!$I$491&lt;=GRID_TO)*('Dvd Calendar'!$I$491&gt;VAL_DATE)=0,"",'Dvd Calendar'!$I$491*1000000000+ISNUMBER('Dvd Calendar'!$I$492)*100000000+0*10000000+(N('Dvd Calendar'!$I$490)&gt;0)*(N('Dvd Calendar'!$I$490)&lt;=VAL_SERIAL)*1000000+44*1000+45))</f>
        <v/>
      </c>
      <c r="FX55" s="39">
        <f>IF(N('Dvd Calendar'!$J$491)=0,"",IF(('Dvd Calendar'!$J$491&gt;=GRID_FROM)*('Dvd Calendar'!$J$491&lt;=GRID_TO)*('Dvd Calendar'!$J$491&gt;VAL_DATE)=0,"",'Dvd Calendar'!$J$491*1000000000+ISNUMBER('Dvd Calendar'!$J$492)*100000000+0*10000000+(N('Dvd Calendar'!$J$490)&gt;0)*(N('Dvd Calendar'!$J$490)&lt;=VAL_SERIAL)*1000000+44*1000+46))</f>
        <v/>
      </c>
      <c r="FY55" s="39">
        <f>IF(N('Dvd Calendar'!$K$491)=0,"",IF(('Dvd Calendar'!$K$491&gt;=GRID_FROM)*('Dvd Calendar'!$K$491&lt;=GRID_TO)*('Dvd Calendar'!$K$491&gt;VAL_DATE)=0,"",'Dvd Calendar'!$K$491*1000000000+ISNUMBER('Dvd Calendar'!$K$492)*100000000+0*10000000+(N('Dvd Calendar'!$K$490)&gt;0)*(N('Dvd Calendar'!$K$490)&lt;=VAL_SERIAL)*1000000+44*1000+47))</f>
        <v/>
      </c>
      <c r="FZ55" s="39">
        <f>IF(N('Dvd Calendar'!$L$491)=0,"",IF(('Dvd Calendar'!$L$491&gt;=GRID_FROM)*('Dvd Calendar'!$L$491&lt;=GRID_TO)*('Dvd Calendar'!$L$491&gt;VAL_DATE)=0,"",'Dvd Calendar'!$L$491*1000000000+ISNUMBER('Dvd Calendar'!$L$492)*100000000+0*10000000+(N('Dvd Calendar'!$L$490)&gt;0)*(N('Dvd Calendar'!$L$490)&lt;=VAL_SERIAL)*1000000+44*1000+48))</f>
        <v/>
      </c>
      <c r="GA55" s="39">
        <f>IF(N('Dvd Calendar'!$M$491)=0,"",IF(('Dvd Calendar'!$M$491&gt;=GRID_FROM)*('Dvd Calendar'!$M$491&lt;=GRID_TO)*('Dvd Calendar'!$M$491&gt;VAL_DATE)=0,"",'Dvd Calendar'!$M$491*1000000000+ISNUMBER('Dvd Calendar'!$M$492)*100000000+0*10000000+(N('Dvd Calendar'!$M$490)&gt;0)*(N('Dvd Calendar'!$M$490)&lt;=VAL_SERIAL)*1000000+44*1000+49))</f>
        <v/>
      </c>
      <c r="GB55" s="39">
        <f>IF(N('Dvd Calendar'!$N$491)=0,"",IF(('Dvd Calendar'!$N$491&gt;=GRID_FROM)*('Dvd Calendar'!$N$491&lt;=GRID_TO)*('Dvd Calendar'!$N$491&gt;VAL_DATE)=0,"",'Dvd Calendar'!$N$491*1000000000+ISNUMBER('Dvd Calendar'!$N$492)*100000000+0*10000000+(N('Dvd Calendar'!$N$490)&gt;0)*(N('Dvd Calendar'!$N$490)&lt;=VAL_SERIAL)*1000000+44*1000+50))</f>
        <v/>
      </c>
      <c r="GC55" s="39">
        <f>IF(N('Dvd Calendar'!$O$491)=0,"",IF(('Dvd Calendar'!$O$491&gt;=GRID_FROM)*('Dvd Calendar'!$O$491&lt;=GRID_TO)*('Dvd Calendar'!$O$491&gt;VAL_DATE)=0,"",'Dvd Calendar'!$O$491*1000000000+ISNUMBER('Dvd Calendar'!$O$492)*100000000+0*10000000+(N('Dvd Calendar'!$O$490)&gt;0)*(N('Dvd Calendar'!$O$490)&lt;=VAL_SERIAL)*1000000+44*1000+51))</f>
        <v/>
      </c>
      <c r="GD55" s="39">
        <f>IF(N('Dvd Calendar'!$P$491)=0,"",IF(('Dvd Calendar'!$P$491&gt;=GRID_FROM)*('Dvd Calendar'!$P$491&lt;=GRID_TO)*('Dvd Calendar'!$P$491&gt;VAL_DATE)=0,"",'Dvd Calendar'!$P$491*1000000000+ISNUMBER('Dvd Calendar'!$P$492)*100000000+0*10000000+(N('Dvd Calendar'!$P$490)&gt;0)*(N('Dvd Calendar'!$P$490)&lt;=VAL_SERIAL)*1000000+44*1000+52))</f>
        <v/>
      </c>
      <c r="GE55" s="39">
        <f>IF(N('Dvd Calendar'!$Q$491)=0,"",IF(('Dvd Calendar'!$Q$491&gt;=GRID_FROM)*('Dvd Calendar'!$Q$491&lt;=GRID_TO)*('Dvd Calendar'!$Q$491&gt;VAL_DATE)=0,"",'Dvd Calendar'!$Q$491*1000000000+ISNUMBER('Dvd Calendar'!$Q$492)*100000000+0*10000000+(N('Dvd Calendar'!$Q$490)&gt;0)*(N('Dvd Calendar'!$Q$490)&lt;=VAL_SERIAL)*1000000+44*1000+53))</f>
        <v/>
      </c>
      <c r="GF55" s="39">
        <f>IF(N('Dvd Calendar'!$R$491)=0,"",IF(('Dvd Calendar'!$R$491&gt;=GRID_FROM)*('Dvd Calendar'!$R$491&lt;=GRID_TO)*('Dvd Calendar'!$R$491&gt;VAL_DATE)=0,"",'Dvd Calendar'!$R$491*1000000000+ISNUMBER('Dvd Calendar'!$R$492)*100000000+0*10000000+(N('Dvd Calendar'!$R$490)&gt;0)*(N('Dvd Calendar'!$R$490)&lt;=VAL_SERIAL)*1000000+44*1000+54))</f>
        <v/>
      </c>
      <c r="GG55" s="39">
        <f>IF(N('Dvd Calendar'!$S$491)=0,"",IF(('Dvd Calendar'!$S$491&gt;=GRID_FROM)*('Dvd Calendar'!$S$491&lt;=GRID_TO)*('Dvd Calendar'!$S$491&gt;VAL_DATE)=0,"",'Dvd Calendar'!$S$491*1000000000+ISNUMBER('Dvd Calendar'!$S$492)*100000000+0*10000000+(N('Dvd Calendar'!$S$490)&gt;0)*(N('Dvd Calendar'!$S$490)&lt;=VAL_SERIAL)*1000000+44*1000+55))</f>
        <v/>
      </c>
      <c r="GH55" s="39">
        <f>IF(N('Dvd Calendar'!$T$491)=0,"",IF(('Dvd Calendar'!$T$491&gt;=GRID_FROM)*('Dvd Calendar'!$T$491&lt;=GRID_TO)*('Dvd Calendar'!$T$491&gt;VAL_DATE)=0,"",'Dvd Calendar'!$T$491*1000000000+ISNUMBER('Dvd Calendar'!$T$492)*100000000+0*10000000+(N('Dvd Calendar'!$T$490)&gt;0)*(N('Dvd Calendar'!$T$490)&lt;=VAL_SERIAL)*1000000+44*1000+56))</f>
        <v/>
      </c>
      <c r="GI55" s="39">
        <f>IF(N('Dvd Calendar'!$U$491)=0,"",IF(('Dvd Calendar'!$U$491&gt;=GRID_FROM)*('Dvd Calendar'!$U$491&lt;=GRID_TO)*('Dvd Calendar'!$U$491&gt;VAL_DATE)=0,"",'Dvd Calendar'!$U$491*1000000000+ISNUMBER('Dvd Calendar'!$U$492)*100000000+0*10000000+(N('Dvd Calendar'!$U$490)&gt;0)*(N('Dvd Calendar'!$U$490)&lt;=VAL_SERIAL)*1000000+44*1000+57))</f>
        <v/>
      </c>
      <c r="GJ55" s="39">
        <f>IF(N('Dvd Calendar'!$V$491)=0,"",IF(('Dvd Calendar'!$V$491&gt;=GRID_FROM)*('Dvd Calendar'!$V$491&lt;=GRID_TO)*('Dvd Calendar'!$V$491&gt;VAL_DATE)=0,"",'Dvd Calendar'!$V$491*1000000000+ISNUMBER('Dvd Calendar'!$V$492)*100000000+0*10000000+(N('Dvd Calendar'!$V$490)&gt;0)*(N('Dvd Calendar'!$V$490)&lt;=VAL_SERIAL)*1000000+44*1000+58))</f>
        <v/>
      </c>
      <c r="GK55" s="39">
        <f>IF(N('Dvd Calendar'!$W$491)=0,"",IF(('Dvd Calendar'!$W$491&gt;=GRID_FROM)*('Dvd Calendar'!$W$491&lt;=GRID_TO)*('Dvd Calendar'!$W$491&gt;VAL_DATE)=0,"",'Dvd Calendar'!$W$491*1000000000+ISNUMBER('Dvd Calendar'!$W$492)*100000000+0*10000000+(N('Dvd Calendar'!$W$490)&gt;0)*(N('Dvd Calendar'!$W$490)&lt;=VAL_SERIAL)*1000000+44*1000+59))</f>
        <v/>
      </c>
      <c r="GL55" s="39">
        <f>IF(N('Dvd Calendar'!$X$491)=0,"",IF(('Dvd Calendar'!$X$491&gt;=GRID_FROM)*('Dvd Calendar'!$X$491&lt;=GRID_TO)*('Dvd Calendar'!$X$491&gt;VAL_DATE)=0,"",'Dvd Calendar'!$X$491*1000000000+ISNUMBER('Dvd Calendar'!$X$492)*100000000+0*10000000+(N('Dvd Calendar'!$X$490)&gt;0)*(N('Dvd Calendar'!$X$490)&lt;=VAL_SERIAL)*1000000+44*1000+60))</f>
        <v/>
      </c>
      <c r="GM55" s="39">
        <f>IF(N('Dvd Calendar'!$Y$491)=0,"",IF(('Dvd Calendar'!$Y$491&gt;=GRID_FROM)*('Dvd Calendar'!$Y$491&lt;=GRID_TO)*('Dvd Calendar'!$Y$491&gt;VAL_DATE)=0,"",'Dvd Calendar'!$Y$491*1000000000+ISNUMBER('Dvd Calendar'!$Y$492)*100000000+0*10000000+(N('Dvd Calendar'!$Y$490)&gt;0)*(N('Dvd Calendar'!$Y$490)&lt;=VAL_SERIAL)*1000000+44*1000+61))</f>
        <v/>
      </c>
      <c r="GN55" s="39">
        <f>IF(N('Dvd Calendar'!$Z$491)=0,"",IF(('Dvd Calendar'!$Z$491&gt;=GRID_FROM)*('Dvd Calendar'!$Z$491&lt;=GRID_TO)*('Dvd Calendar'!$Z$491&gt;VAL_DATE)=0,"",'Dvd Calendar'!$Z$491*1000000000+ISNUMBER('Dvd Calendar'!$Z$492)*100000000+0*10000000+(N('Dvd Calendar'!$Z$490)&gt;0)*(N('Dvd Calendar'!$Z$490)&lt;=VAL_SERIAL)*1000000+44*1000+62))</f>
        <v/>
      </c>
      <c r="GO55" s="39">
        <f>IF(N('Dvd Calendar'!$AA$491)=0,"",IF(('Dvd Calendar'!$AA$491&gt;=GRID_FROM)*('Dvd Calendar'!$AA$491&lt;=GRID_TO)*('Dvd Calendar'!$AA$491&gt;VAL_DATE)=0,"",'Dvd Calendar'!$AA$491*1000000000+ISNUMBER('Dvd Calendar'!$AA$492)*100000000+0*10000000+(N('Dvd Calendar'!$AA$490)&gt;0)*(N('Dvd Calendar'!$AA$490)&lt;=VAL_SERIAL)*1000000+44*1000+63))</f>
        <v/>
      </c>
      <c r="GP55" s="39">
        <f>IF(N('Dvd Calendar'!$AB$491)=0,"",IF(('Dvd Calendar'!$AB$491&gt;=GRID_FROM)*('Dvd Calendar'!$AB$491&lt;=GRID_TO)*('Dvd Calendar'!$AB$491&gt;VAL_DATE)=0,"",'Dvd Calendar'!$AB$491*1000000000+ISNUMBER('Dvd Calendar'!$AB$492)*100000000+0*10000000+(N('Dvd Calendar'!$AB$490)&gt;0)*(N('Dvd Calendar'!$AB$490)&lt;=VAL_SERIAL)*1000000+44*1000+64))</f>
        <v/>
      </c>
      <c r="GQ55" s="39">
        <f>IF(N('Dvd Calendar'!$AC$491)=0,"",IF(('Dvd Calendar'!$AC$491&gt;=GRID_FROM)*('Dvd Calendar'!$AC$491&lt;=GRID_TO)*('Dvd Calendar'!$AC$491&gt;VAL_DATE)=0,"",'Dvd Calendar'!$AC$491*1000000000+ISNUMBER('Dvd Calendar'!$AC$492)*100000000+0*10000000+(N('Dvd Calendar'!$AC$490)&gt;0)*(N('Dvd Calendar'!$AC$490)&lt;=VAL_SERIAL)*1000000+44*1000+65))</f>
        <v/>
      </c>
    </row>
    <row r="56">
      <c r="B56" s="2">
        <f>IF(HSI!$C$51="","",HSI!$C$51)</f>
        <v/>
      </c>
      <c r="C56" s="110">
        <f>IF(EE56="","",IF(ISNUMBER('Dvd Calendar'!$E$498)=FALSE,"",IF((('Dvd Calendar'!$E$500=TYPE1)*(TYPE1&lt;&gt;"")+('Dvd Calendar'!$E$500=TYPE2)*(TYPE2&lt;&gt;"")+('Dvd Calendar'!$E$500=TYPE3)*(TYPE3&lt;&gt;"")+('Dvd Calendar'!$E$500=TYPE4)*(TYPE4&lt;&gt;"")+('Dvd Calendar'!$E$500=SPECIAL_LBL)*(INC_SPECIALS="Y"))=0,"",'Dvd Calendar'!$E$498)))</f>
        <v/>
      </c>
      <c r="D56" s="110">
        <f>IF(EF56="","",IF(ISNUMBER('Dvd Calendar'!$F$498)=FALSE,"",IF((('Dvd Calendar'!$F$500=TYPE1)*(TYPE1&lt;&gt;"")+('Dvd Calendar'!$F$500=TYPE2)*(TYPE2&lt;&gt;"")+('Dvd Calendar'!$F$500=TYPE3)*(TYPE3&lt;&gt;"")+('Dvd Calendar'!$F$500=TYPE4)*(TYPE4&lt;&gt;"")+('Dvd Calendar'!$F$500=SPECIAL_LBL)*(INC_SPECIALS="Y"))=0,"",'Dvd Calendar'!$F$498)))</f>
        <v/>
      </c>
      <c r="E56" s="110">
        <f>IF(EG56="","",IF(ISNUMBER('Dvd Calendar'!$G$498)=FALSE,"",IF((('Dvd Calendar'!$G$500=TYPE1)*(TYPE1&lt;&gt;"")+('Dvd Calendar'!$G$500=TYPE2)*(TYPE2&lt;&gt;"")+('Dvd Calendar'!$G$500=TYPE3)*(TYPE3&lt;&gt;"")+('Dvd Calendar'!$G$500=TYPE4)*(TYPE4&lt;&gt;"")+('Dvd Calendar'!$G$500=SPECIAL_LBL)*(INC_SPECIALS="Y"))=0,"",'Dvd Calendar'!$G$498)))</f>
        <v/>
      </c>
      <c r="F56" s="110">
        <f>IF(EH56="","",IF(ISNUMBER('Dvd Calendar'!$H$498)=FALSE,"",IF((('Dvd Calendar'!$H$500=TYPE1)*(TYPE1&lt;&gt;"")+('Dvd Calendar'!$H$500=TYPE2)*(TYPE2&lt;&gt;"")+('Dvd Calendar'!$H$500=TYPE3)*(TYPE3&lt;&gt;"")+('Dvd Calendar'!$H$500=TYPE4)*(TYPE4&lt;&gt;"")+('Dvd Calendar'!$H$500=SPECIAL_LBL)*(INC_SPECIALS="Y"))=0,"",'Dvd Calendar'!$H$498)))</f>
        <v/>
      </c>
      <c r="G56" s="110">
        <f>IF(EI56="","",IF(ISNUMBER('Dvd Calendar'!$I$498)=FALSE,"",IF((('Dvd Calendar'!$I$500=TYPE1)*(TYPE1&lt;&gt;"")+('Dvd Calendar'!$I$500=TYPE2)*(TYPE2&lt;&gt;"")+('Dvd Calendar'!$I$500=TYPE3)*(TYPE3&lt;&gt;"")+('Dvd Calendar'!$I$500=TYPE4)*(TYPE4&lt;&gt;"")+('Dvd Calendar'!$I$500=SPECIAL_LBL)*(INC_SPECIALS="Y"))=0,"",'Dvd Calendar'!$I$498)))</f>
        <v/>
      </c>
      <c r="H56" s="110">
        <f>IF(EJ56="","",IF(ISNUMBER('Dvd Calendar'!$J$498)=FALSE,"",IF((('Dvd Calendar'!$J$500=TYPE1)*(TYPE1&lt;&gt;"")+('Dvd Calendar'!$J$500=TYPE2)*(TYPE2&lt;&gt;"")+('Dvd Calendar'!$J$500=TYPE3)*(TYPE3&lt;&gt;"")+('Dvd Calendar'!$J$500=TYPE4)*(TYPE4&lt;&gt;"")+('Dvd Calendar'!$J$500=SPECIAL_LBL)*(INC_SPECIALS="Y"))=0,"",'Dvd Calendar'!$J$498)))</f>
        <v/>
      </c>
      <c r="I56" s="110">
        <f>IF(EK56="","",IF(ISNUMBER('Dvd Calendar'!$K$498)=FALSE,"",IF((('Dvd Calendar'!$K$500=TYPE1)*(TYPE1&lt;&gt;"")+('Dvd Calendar'!$K$500=TYPE2)*(TYPE2&lt;&gt;"")+('Dvd Calendar'!$K$500=TYPE3)*(TYPE3&lt;&gt;"")+('Dvd Calendar'!$K$500=TYPE4)*(TYPE4&lt;&gt;"")+('Dvd Calendar'!$K$500=SPECIAL_LBL)*(INC_SPECIALS="Y"))=0,"",'Dvd Calendar'!$K$498)))</f>
        <v/>
      </c>
      <c r="J56" s="110">
        <f>IF(EL56="","",IF(ISNUMBER('Dvd Calendar'!$L$498)=FALSE,"",IF((('Dvd Calendar'!$L$500=TYPE1)*(TYPE1&lt;&gt;"")+('Dvd Calendar'!$L$500=TYPE2)*(TYPE2&lt;&gt;"")+('Dvd Calendar'!$L$500=TYPE3)*(TYPE3&lt;&gt;"")+('Dvd Calendar'!$L$500=TYPE4)*(TYPE4&lt;&gt;"")+('Dvd Calendar'!$L$500=SPECIAL_LBL)*(INC_SPECIALS="Y"))=0,"",'Dvd Calendar'!$L$498)))</f>
        <v/>
      </c>
      <c r="K56" s="110">
        <f>IF(EM56="","",IF(ISNUMBER('Dvd Calendar'!$M$498)=FALSE,"",IF((('Dvd Calendar'!$M$500=TYPE1)*(TYPE1&lt;&gt;"")+('Dvd Calendar'!$M$500=TYPE2)*(TYPE2&lt;&gt;"")+('Dvd Calendar'!$M$500=TYPE3)*(TYPE3&lt;&gt;"")+('Dvd Calendar'!$M$500=TYPE4)*(TYPE4&lt;&gt;"")+('Dvd Calendar'!$M$500=SPECIAL_LBL)*(INC_SPECIALS="Y"))=0,"",'Dvd Calendar'!$M$498)))</f>
        <v/>
      </c>
      <c r="L56" s="110">
        <f>IF(EN56="","",IF(ISNUMBER('Dvd Calendar'!$N$498)=FALSE,"",IF((('Dvd Calendar'!$N$500=TYPE1)*(TYPE1&lt;&gt;"")+('Dvd Calendar'!$N$500=TYPE2)*(TYPE2&lt;&gt;"")+('Dvd Calendar'!$N$500=TYPE3)*(TYPE3&lt;&gt;"")+('Dvd Calendar'!$N$500=TYPE4)*(TYPE4&lt;&gt;"")+('Dvd Calendar'!$N$500=SPECIAL_LBL)*(INC_SPECIALS="Y"))=0,"",'Dvd Calendar'!$N$498)))</f>
        <v/>
      </c>
      <c r="M56" s="110">
        <f>IF(EO56="","",IF(ISNUMBER('Dvd Calendar'!$O$498)=FALSE,"",IF((('Dvd Calendar'!$O$500=TYPE1)*(TYPE1&lt;&gt;"")+('Dvd Calendar'!$O$500=TYPE2)*(TYPE2&lt;&gt;"")+('Dvd Calendar'!$O$500=TYPE3)*(TYPE3&lt;&gt;"")+('Dvd Calendar'!$O$500=TYPE4)*(TYPE4&lt;&gt;"")+('Dvd Calendar'!$O$500=SPECIAL_LBL)*(INC_SPECIALS="Y"))=0,"",'Dvd Calendar'!$O$498)))</f>
        <v/>
      </c>
      <c r="N56" s="110">
        <f>IF(EP56="","",IF(ISNUMBER('Dvd Calendar'!$P$498)=FALSE,"",IF((('Dvd Calendar'!$P$500=TYPE1)*(TYPE1&lt;&gt;"")+('Dvd Calendar'!$P$500=TYPE2)*(TYPE2&lt;&gt;"")+('Dvd Calendar'!$P$500=TYPE3)*(TYPE3&lt;&gt;"")+('Dvd Calendar'!$P$500=TYPE4)*(TYPE4&lt;&gt;"")+('Dvd Calendar'!$P$500=SPECIAL_LBL)*(INC_SPECIALS="Y"))=0,"",'Dvd Calendar'!$P$498)))</f>
        <v/>
      </c>
      <c r="O56" s="110">
        <f>IF(EQ56="","",IF(ISNUMBER('Dvd Calendar'!$Q$498)=FALSE,"",IF((('Dvd Calendar'!$Q$500=TYPE1)*(TYPE1&lt;&gt;"")+('Dvd Calendar'!$Q$500=TYPE2)*(TYPE2&lt;&gt;"")+('Dvd Calendar'!$Q$500=TYPE3)*(TYPE3&lt;&gt;"")+('Dvd Calendar'!$Q$500=TYPE4)*(TYPE4&lt;&gt;"")+('Dvd Calendar'!$Q$500=SPECIAL_LBL)*(INC_SPECIALS="Y"))=0,"",'Dvd Calendar'!$Q$498)))</f>
        <v/>
      </c>
      <c r="P56" s="110">
        <f>IF(ER56="","",IF(ISNUMBER('Dvd Calendar'!$R$498)=FALSE,"",IF((('Dvd Calendar'!$R$500=TYPE1)*(TYPE1&lt;&gt;"")+('Dvd Calendar'!$R$500=TYPE2)*(TYPE2&lt;&gt;"")+('Dvd Calendar'!$R$500=TYPE3)*(TYPE3&lt;&gt;"")+('Dvd Calendar'!$R$500=TYPE4)*(TYPE4&lt;&gt;"")+('Dvd Calendar'!$R$500=SPECIAL_LBL)*(INC_SPECIALS="Y"))=0,"",'Dvd Calendar'!$R$498)))</f>
        <v/>
      </c>
      <c r="Q56" s="110">
        <f>IF(ES56="","",IF(ISNUMBER('Dvd Calendar'!$S$498)=FALSE,"",IF((('Dvd Calendar'!$S$500=TYPE1)*(TYPE1&lt;&gt;"")+('Dvd Calendar'!$S$500=TYPE2)*(TYPE2&lt;&gt;"")+('Dvd Calendar'!$S$500=TYPE3)*(TYPE3&lt;&gt;"")+('Dvd Calendar'!$S$500=TYPE4)*(TYPE4&lt;&gt;"")+('Dvd Calendar'!$S$500=SPECIAL_LBL)*(INC_SPECIALS="Y"))=0,"",'Dvd Calendar'!$S$498)))</f>
        <v/>
      </c>
      <c r="R56" s="110">
        <f>IF(ET56="","",IF(ISNUMBER('Dvd Calendar'!$T$498)=FALSE,"",IF((('Dvd Calendar'!$T$500=TYPE1)*(TYPE1&lt;&gt;"")+('Dvd Calendar'!$T$500=TYPE2)*(TYPE2&lt;&gt;"")+('Dvd Calendar'!$T$500=TYPE3)*(TYPE3&lt;&gt;"")+('Dvd Calendar'!$T$500=TYPE4)*(TYPE4&lt;&gt;"")+('Dvd Calendar'!$T$500=SPECIAL_LBL)*(INC_SPECIALS="Y"))=0,"",'Dvd Calendar'!$T$498)))</f>
        <v/>
      </c>
      <c r="S56" s="110">
        <f>IF(EU56="","",IF(ISNUMBER('Dvd Calendar'!$U$498)=FALSE,"",IF((('Dvd Calendar'!$U$500=TYPE1)*(TYPE1&lt;&gt;"")+('Dvd Calendar'!$U$500=TYPE2)*(TYPE2&lt;&gt;"")+('Dvd Calendar'!$U$500=TYPE3)*(TYPE3&lt;&gt;"")+('Dvd Calendar'!$U$500=TYPE4)*(TYPE4&lt;&gt;"")+('Dvd Calendar'!$U$500=SPECIAL_LBL)*(INC_SPECIALS="Y"))=0,"",'Dvd Calendar'!$U$498)))</f>
        <v/>
      </c>
      <c r="T56" s="110">
        <f>IF(EV56="","",IF(ISNUMBER('Dvd Calendar'!$V$498)=FALSE,"",IF((('Dvd Calendar'!$V$500=TYPE1)*(TYPE1&lt;&gt;"")+('Dvd Calendar'!$V$500=TYPE2)*(TYPE2&lt;&gt;"")+('Dvd Calendar'!$V$500=TYPE3)*(TYPE3&lt;&gt;"")+('Dvd Calendar'!$V$500=TYPE4)*(TYPE4&lt;&gt;"")+('Dvd Calendar'!$V$500=SPECIAL_LBL)*(INC_SPECIALS="Y"))=0,"",'Dvd Calendar'!$V$498)))</f>
        <v/>
      </c>
      <c r="U56" s="110">
        <f>IF(EW56="","",IF(ISNUMBER('Dvd Calendar'!$W$498)=FALSE,"",IF((('Dvd Calendar'!$W$500=TYPE1)*(TYPE1&lt;&gt;"")+('Dvd Calendar'!$W$500=TYPE2)*(TYPE2&lt;&gt;"")+('Dvd Calendar'!$W$500=TYPE3)*(TYPE3&lt;&gt;"")+('Dvd Calendar'!$W$500=TYPE4)*(TYPE4&lt;&gt;"")+('Dvd Calendar'!$W$500=SPECIAL_LBL)*(INC_SPECIALS="Y"))=0,"",'Dvd Calendar'!$W$498)))</f>
        <v/>
      </c>
      <c r="V56" s="110">
        <f>IF(EX56="","",IF(ISNUMBER('Dvd Calendar'!$X$498)=FALSE,"",IF((('Dvd Calendar'!$X$500=TYPE1)*(TYPE1&lt;&gt;"")+('Dvd Calendar'!$X$500=TYPE2)*(TYPE2&lt;&gt;"")+('Dvd Calendar'!$X$500=TYPE3)*(TYPE3&lt;&gt;"")+('Dvd Calendar'!$X$500=TYPE4)*(TYPE4&lt;&gt;"")+('Dvd Calendar'!$X$500=SPECIAL_LBL)*(INC_SPECIALS="Y"))=0,"",'Dvd Calendar'!$X$498)))</f>
        <v/>
      </c>
      <c r="W56" s="110">
        <f>IF(EY56="","",IF(ISNUMBER('Dvd Calendar'!$Y$498)=FALSE,"",IF((('Dvd Calendar'!$Y$500=TYPE1)*(TYPE1&lt;&gt;"")+('Dvd Calendar'!$Y$500=TYPE2)*(TYPE2&lt;&gt;"")+('Dvd Calendar'!$Y$500=TYPE3)*(TYPE3&lt;&gt;"")+('Dvd Calendar'!$Y$500=TYPE4)*(TYPE4&lt;&gt;"")+('Dvd Calendar'!$Y$500=SPECIAL_LBL)*(INC_SPECIALS="Y"))=0,"",'Dvd Calendar'!$Y$498)))</f>
        <v/>
      </c>
      <c r="X56" s="110">
        <f>IF(EZ56="","",IF(ISNUMBER('Dvd Calendar'!$Z$498)=FALSE,"",IF((('Dvd Calendar'!$Z$500=TYPE1)*(TYPE1&lt;&gt;"")+('Dvd Calendar'!$Z$500=TYPE2)*(TYPE2&lt;&gt;"")+('Dvd Calendar'!$Z$500=TYPE3)*(TYPE3&lt;&gt;"")+('Dvd Calendar'!$Z$500=TYPE4)*(TYPE4&lt;&gt;"")+('Dvd Calendar'!$Z$500=SPECIAL_LBL)*(INC_SPECIALS="Y"))=0,"",'Dvd Calendar'!$Z$498)))</f>
        <v/>
      </c>
      <c r="Y56" s="110">
        <f>IF(FA56="","",IF(ISNUMBER('Dvd Calendar'!$AA$498)=FALSE,"",IF((('Dvd Calendar'!$AA$500=TYPE1)*(TYPE1&lt;&gt;"")+('Dvd Calendar'!$AA$500=TYPE2)*(TYPE2&lt;&gt;"")+('Dvd Calendar'!$AA$500=TYPE3)*(TYPE3&lt;&gt;"")+('Dvd Calendar'!$AA$500=TYPE4)*(TYPE4&lt;&gt;"")+('Dvd Calendar'!$AA$500=SPECIAL_LBL)*(INC_SPECIALS="Y"))=0,"",'Dvd Calendar'!$AA$498)))</f>
        <v/>
      </c>
      <c r="Z56" s="110">
        <f>IF(FB56="","",IF(ISNUMBER('Dvd Calendar'!$AB$498)=FALSE,"",IF((('Dvd Calendar'!$AB$500=TYPE1)*(TYPE1&lt;&gt;"")+('Dvd Calendar'!$AB$500=TYPE2)*(TYPE2&lt;&gt;"")+('Dvd Calendar'!$AB$500=TYPE3)*(TYPE3&lt;&gt;"")+('Dvd Calendar'!$AB$500=TYPE4)*(TYPE4&lt;&gt;"")+('Dvd Calendar'!$AB$500=SPECIAL_LBL)*(INC_SPECIALS="Y"))=0,"",'Dvd Calendar'!$AB$498)))</f>
        <v/>
      </c>
      <c r="AA56" s="110">
        <f>IF(FC56="","",IF(ISNUMBER('Dvd Calendar'!$AC$498)=FALSE,"",IF((('Dvd Calendar'!$AC$500=TYPE1)*(TYPE1&lt;&gt;"")+('Dvd Calendar'!$AC$500=TYPE2)*(TYPE2&lt;&gt;"")+('Dvd Calendar'!$AC$500=TYPE3)*(TYPE3&lt;&gt;"")+('Dvd Calendar'!$AC$500=TYPE4)*(TYPE4&lt;&gt;"")+('Dvd Calendar'!$AC$500=SPECIAL_LBL)*(INC_SPECIALS="Y"))=0,"",'Dvd Calendar'!$AC$498)))</f>
        <v/>
      </c>
      <c r="AB56" s="110">
        <f>IF(FD56="","",IF(ISNUMBER('Dvd Calendar'!$AD$498)=FALSE,"",IF((('Dvd Calendar'!$AD$500=TYPE1)*(TYPE1&lt;&gt;"")+('Dvd Calendar'!$AD$500=TYPE2)*(TYPE2&lt;&gt;"")+('Dvd Calendar'!$AD$500=TYPE3)*(TYPE3&lt;&gt;"")+('Dvd Calendar'!$AD$500=TYPE4)*(TYPE4&lt;&gt;"")+('Dvd Calendar'!$AD$500=SPECIAL_LBL)*(INC_SPECIALS="Y"))=0,"",'Dvd Calendar'!$AD$498)))</f>
        <v/>
      </c>
      <c r="AC56" s="110">
        <f>IF(FE56="","",IF(ISNUMBER('Dvd Calendar'!$AE$498)=FALSE,"",IF((('Dvd Calendar'!$AE$500=TYPE1)*(TYPE1&lt;&gt;"")+('Dvd Calendar'!$AE$500=TYPE2)*(TYPE2&lt;&gt;"")+('Dvd Calendar'!$AE$500=TYPE3)*(TYPE3&lt;&gt;"")+('Dvd Calendar'!$AE$500=TYPE4)*(TYPE4&lt;&gt;"")+('Dvd Calendar'!$AE$500=SPECIAL_LBL)*(INC_SPECIALS="Y"))=0,"",'Dvd Calendar'!$AE$498)))</f>
        <v/>
      </c>
      <c r="AD56" s="110">
        <f>IF(FF56="","",IF(ISNUMBER('Dvd Calendar'!$AF$498)=FALSE,"",IF((('Dvd Calendar'!$AF$500=TYPE1)*(TYPE1&lt;&gt;"")+('Dvd Calendar'!$AF$500=TYPE2)*(TYPE2&lt;&gt;"")+('Dvd Calendar'!$AF$500=TYPE3)*(TYPE3&lt;&gt;"")+('Dvd Calendar'!$AF$500=TYPE4)*(TYPE4&lt;&gt;"")+('Dvd Calendar'!$AF$500=SPECIAL_LBL)*(INC_SPECIALS="Y"))=0,"",'Dvd Calendar'!$AF$498)))</f>
        <v/>
      </c>
      <c r="AE56" s="110">
        <f>IF(FG56="","",IF(ISNUMBER('Dvd Calendar'!$AG$498)=FALSE,"",IF((('Dvd Calendar'!$AG$500=TYPE1)*(TYPE1&lt;&gt;"")+('Dvd Calendar'!$AG$500=TYPE2)*(TYPE2&lt;&gt;"")+('Dvd Calendar'!$AG$500=TYPE3)*(TYPE3&lt;&gt;"")+('Dvd Calendar'!$AG$500=TYPE4)*(TYPE4&lt;&gt;"")+('Dvd Calendar'!$AG$500=SPECIAL_LBL)*(INC_SPECIALS="Y"))=0,"",'Dvd Calendar'!$AG$498)))</f>
        <v/>
      </c>
      <c r="AF56" s="110">
        <f>IF(FH56="","",IF(ISNUMBER('Dvd Calendar'!$AH$498)=FALSE,"",IF((('Dvd Calendar'!$AH$500=TYPE1)*(TYPE1&lt;&gt;"")+('Dvd Calendar'!$AH$500=TYPE2)*(TYPE2&lt;&gt;"")+('Dvd Calendar'!$AH$500=TYPE3)*(TYPE3&lt;&gt;"")+('Dvd Calendar'!$AH$500=TYPE4)*(TYPE4&lt;&gt;"")+('Dvd Calendar'!$AH$500=SPECIAL_LBL)*(INC_SPECIALS="Y"))=0,"",'Dvd Calendar'!$AH$498)))</f>
        <v/>
      </c>
      <c r="AG56" s="110">
        <f>IF(FI56="","",IF(ISNUMBER('Dvd Calendar'!$AI$498)=FALSE,"",IF((('Dvd Calendar'!$AI$500=TYPE1)*(TYPE1&lt;&gt;"")+('Dvd Calendar'!$AI$500=TYPE2)*(TYPE2&lt;&gt;"")+('Dvd Calendar'!$AI$500=TYPE3)*(TYPE3&lt;&gt;"")+('Dvd Calendar'!$AI$500=TYPE4)*(TYPE4&lt;&gt;"")+('Dvd Calendar'!$AI$500=SPECIAL_LBL)*(INC_SPECIALS="Y"))=0,"",'Dvd Calendar'!$AI$498)))</f>
        <v/>
      </c>
      <c r="AH56" s="110">
        <f>IF(FJ56="","",IF(ISNUMBER('Dvd Calendar'!$AJ$498)=FALSE,"",IF((('Dvd Calendar'!$AJ$500=TYPE1)*(TYPE1&lt;&gt;"")+('Dvd Calendar'!$AJ$500=TYPE2)*(TYPE2&lt;&gt;"")+('Dvd Calendar'!$AJ$500=TYPE3)*(TYPE3&lt;&gt;"")+('Dvd Calendar'!$AJ$500=TYPE4)*(TYPE4&lt;&gt;"")+('Dvd Calendar'!$AJ$500=SPECIAL_LBL)*(INC_SPECIALS="Y"))=0,"",'Dvd Calendar'!$AJ$498)))</f>
        <v/>
      </c>
      <c r="AI56" s="110">
        <f>IF(FK56="","",IF(ISNUMBER('Dvd Calendar'!$AK$498)=FALSE,"",IF((('Dvd Calendar'!$AK$500=TYPE1)*(TYPE1&lt;&gt;"")+('Dvd Calendar'!$AK$500=TYPE2)*(TYPE2&lt;&gt;"")+('Dvd Calendar'!$AK$500=TYPE3)*(TYPE3&lt;&gt;"")+('Dvd Calendar'!$AK$500=TYPE4)*(TYPE4&lt;&gt;"")+('Dvd Calendar'!$AK$500=SPECIAL_LBL)*(INC_SPECIALS="Y"))=0,"",'Dvd Calendar'!$AK$498)))</f>
        <v/>
      </c>
      <c r="AJ56" s="110">
        <f>IF(FL56="","",IF(ISNUMBER('Dvd Calendar'!$AL$498)=FALSE,"",IF((('Dvd Calendar'!$AL$500=TYPE1)*(TYPE1&lt;&gt;"")+('Dvd Calendar'!$AL$500=TYPE2)*(TYPE2&lt;&gt;"")+('Dvd Calendar'!$AL$500=TYPE3)*(TYPE3&lt;&gt;"")+('Dvd Calendar'!$AL$500=TYPE4)*(TYPE4&lt;&gt;"")+('Dvd Calendar'!$AL$500=SPECIAL_LBL)*(INC_SPECIALS="Y"))=0,"",'Dvd Calendar'!$AL$498)))</f>
        <v/>
      </c>
      <c r="AK56" s="110">
        <f>IF(FM56="","",IF(ISNUMBER('Dvd Calendar'!$AM$498)=FALSE,"",IF((('Dvd Calendar'!$AM$500=TYPE1)*(TYPE1&lt;&gt;"")+('Dvd Calendar'!$AM$500=TYPE2)*(TYPE2&lt;&gt;"")+('Dvd Calendar'!$AM$500=TYPE3)*(TYPE3&lt;&gt;"")+('Dvd Calendar'!$AM$500=TYPE4)*(TYPE4&lt;&gt;"")+('Dvd Calendar'!$AM$500=SPECIAL_LBL)*(INC_SPECIALS="Y"))=0,"",'Dvd Calendar'!$AM$498)))</f>
        <v/>
      </c>
      <c r="AL56" s="110">
        <f>IF(FN56="","",IF(ISNUMBER('Dvd Calendar'!$AN$498)=FALSE,"",IF((('Dvd Calendar'!$AN$500=TYPE1)*(TYPE1&lt;&gt;"")+('Dvd Calendar'!$AN$500=TYPE2)*(TYPE2&lt;&gt;"")+('Dvd Calendar'!$AN$500=TYPE3)*(TYPE3&lt;&gt;"")+('Dvd Calendar'!$AN$500=TYPE4)*(TYPE4&lt;&gt;"")+('Dvd Calendar'!$AN$500=SPECIAL_LBL)*(INC_SPECIALS="Y"))=0,"",'Dvd Calendar'!$AN$498)))</f>
        <v/>
      </c>
      <c r="AM56" s="110">
        <f>IF(FO56="","",IF(ISNUMBER('Dvd Calendar'!$AO$498)=FALSE,"",IF((('Dvd Calendar'!$AO$500=TYPE1)*(TYPE1&lt;&gt;"")+('Dvd Calendar'!$AO$500=TYPE2)*(TYPE2&lt;&gt;"")+('Dvd Calendar'!$AO$500=TYPE3)*(TYPE3&lt;&gt;"")+('Dvd Calendar'!$AO$500=TYPE4)*(TYPE4&lt;&gt;"")+('Dvd Calendar'!$AO$500=SPECIAL_LBL)*(INC_SPECIALS="Y"))=0,"",'Dvd Calendar'!$AO$498)))</f>
        <v/>
      </c>
      <c r="AN56" s="110">
        <f>IF(FP56="","",IF(ISNUMBER('Dvd Calendar'!$AP$498)=FALSE,"",IF((('Dvd Calendar'!$AP$500=TYPE1)*(TYPE1&lt;&gt;"")+('Dvd Calendar'!$AP$500=TYPE2)*(TYPE2&lt;&gt;"")+('Dvd Calendar'!$AP$500=TYPE3)*(TYPE3&lt;&gt;"")+('Dvd Calendar'!$AP$500=TYPE4)*(TYPE4&lt;&gt;"")+('Dvd Calendar'!$AP$500=SPECIAL_LBL)*(INC_SPECIALS="Y"))=0,"",'Dvd Calendar'!$AP$498)))</f>
        <v/>
      </c>
      <c r="AO56" s="110">
        <f>IF(FQ56="","",IF(ISNUMBER('Dvd Calendar'!$AQ$498)=FALSE,"",IF((('Dvd Calendar'!$AQ$500=TYPE1)*(TYPE1&lt;&gt;"")+('Dvd Calendar'!$AQ$500=TYPE2)*(TYPE2&lt;&gt;"")+('Dvd Calendar'!$AQ$500=TYPE3)*(TYPE3&lt;&gt;"")+('Dvd Calendar'!$AQ$500=TYPE4)*(TYPE4&lt;&gt;"")+('Dvd Calendar'!$AQ$500=SPECIAL_LBL)*(INC_SPECIALS="Y"))=0,"",'Dvd Calendar'!$AQ$498)))</f>
        <v/>
      </c>
      <c r="AP56" s="110">
        <f>IF(FR56="","",IF(ISNUMBER('Dvd Calendar'!$AR$498)=FALSE,"",IF((('Dvd Calendar'!$AR$500=TYPE1)*(TYPE1&lt;&gt;"")+('Dvd Calendar'!$AR$500=TYPE2)*(TYPE2&lt;&gt;"")+('Dvd Calendar'!$AR$500=TYPE3)*(TYPE3&lt;&gt;"")+('Dvd Calendar'!$AR$500=TYPE4)*(TYPE4&lt;&gt;"")+('Dvd Calendar'!$AR$500=SPECIAL_LBL)*(INC_SPECIALS="Y"))=0,"",'Dvd Calendar'!$AR$498)))</f>
        <v/>
      </c>
      <c r="AQ56" s="110">
        <f>IF(FS56="","",IF(ISNUMBER('Dvd Calendar'!$E$503)=FALSE,"",'Dvd Calendar'!$E$503))</f>
        <v/>
      </c>
      <c r="AR56" s="110">
        <f>IF(FT56="","",IF(ISNUMBER('Dvd Calendar'!$F$503)=FALSE,"",'Dvd Calendar'!$F$503))</f>
        <v/>
      </c>
      <c r="AS56" s="110">
        <f>IF(FU56="","",IF(ISNUMBER('Dvd Calendar'!$G$503)=FALSE,"",'Dvd Calendar'!$G$503))</f>
        <v/>
      </c>
      <c r="AT56" s="110">
        <f>IF(FV56="","",IF(ISNUMBER('Dvd Calendar'!$H$503)=FALSE,"",'Dvd Calendar'!$H$503))</f>
        <v/>
      </c>
      <c r="AU56" s="110">
        <f>IF(FW56="","",IF(ISNUMBER('Dvd Calendar'!$I$503)=FALSE,"",'Dvd Calendar'!$I$503))</f>
        <v/>
      </c>
      <c r="AV56" s="110">
        <f>IF(FX56="","",IF(ISNUMBER('Dvd Calendar'!$J$503)=FALSE,"",'Dvd Calendar'!$J$503))</f>
        <v/>
      </c>
      <c r="AW56" s="110">
        <f>IF(FY56="","",IF(ISNUMBER('Dvd Calendar'!$K$503)=FALSE,"",'Dvd Calendar'!$K$503))</f>
        <v/>
      </c>
      <c r="AX56" s="110">
        <f>IF(FZ56="","",IF(ISNUMBER('Dvd Calendar'!$L$503)=FALSE,"",'Dvd Calendar'!$L$503))</f>
        <v/>
      </c>
      <c r="AY56" s="110">
        <f>IF(GA56="","",IF(ISNUMBER('Dvd Calendar'!$M$503)=FALSE,"",'Dvd Calendar'!$M$503))</f>
        <v/>
      </c>
      <c r="AZ56" s="110">
        <f>IF(GB56="","",IF(ISNUMBER('Dvd Calendar'!$N$503)=FALSE,"",'Dvd Calendar'!$N$503))</f>
        <v/>
      </c>
      <c r="BA56" s="110">
        <f>IF(GC56="","",IF(ISNUMBER('Dvd Calendar'!$O$503)=FALSE,"",'Dvd Calendar'!$O$503))</f>
        <v/>
      </c>
      <c r="BB56" s="110">
        <f>IF(GD56="","",IF(ISNUMBER('Dvd Calendar'!$P$503)=FALSE,"",'Dvd Calendar'!$P$503))</f>
        <v/>
      </c>
      <c r="BC56" s="110">
        <f>IF(GE56="","",IF(ISNUMBER('Dvd Calendar'!$Q$503)=FALSE,"",'Dvd Calendar'!$Q$503))</f>
        <v/>
      </c>
      <c r="BD56" s="110">
        <f>IF(GF56="","",IF(ISNUMBER('Dvd Calendar'!$R$503)=FALSE,"",'Dvd Calendar'!$R$503))</f>
        <v/>
      </c>
      <c r="BE56" s="110">
        <f>IF(GG56="","",IF(ISNUMBER('Dvd Calendar'!$S$503)=FALSE,"",'Dvd Calendar'!$S$503))</f>
        <v/>
      </c>
      <c r="BF56" s="110">
        <f>IF(GH56="","",IF(ISNUMBER('Dvd Calendar'!$T$503)=FALSE,"",'Dvd Calendar'!$T$503))</f>
        <v/>
      </c>
      <c r="BG56" s="110">
        <f>IF(GI56="","",IF(ISNUMBER('Dvd Calendar'!$U$503)=FALSE,"",'Dvd Calendar'!$U$503))</f>
        <v/>
      </c>
      <c r="BH56" s="110">
        <f>IF(GJ56="","",IF(ISNUMBER('Dvd Calendar'!$V$503)=FALSE,"",'Dvd Calendar'!$V$503))</f>
        <v/>
      </c>
      <c r="BI56" s="110">
        <f>IF(GK56="","",IF(ISNUMBER('Dvd Calendar'!$W$503)=FALSE,"",'Dvd Calendar'!$W$503))</f>
        <v/>
      </c>
      <c r="BJ56" s="110">
        <f>IF(GL56="","",IF(ISNUMBER('Dvd Calendar'!$X$503)=FALSE,"",'Dvd Calendar'!$X$503))</f>
        <v/>
      </c>
      <c r="BK56" s="110">
        <f>IF(GM56="","",IF(ISNUMBER('Dvd Calendar'!$Y$503)=FALSE,"",'Dvd Calendar'!$Y$503))</f>
        <v/>
      </c>
      <c r="BL56" s="110">
        <f>IF(GN56="","",IF(ISNUMBER('Dvd Calendar'!$Z$503)=FALSE,"",'Dvd Calendar'!$Z$503))</f>
        <v/>
      </c>
      <c r="BM56" s="110">
        <f>IF(GO56="","",IF(ISNUMBER('Dvd Calendar'!$AA$503)=FALSE,"",'Dvd Calendar'!$AA$503))</f>
        <v/>
      </c>
      <c r="BN56" s="110">
        <f>IF(GP56="","",IF(ISNUMBER('Dvd Calendar'!$AB$503)=FALSE,"",'Dvd Calendar'!$AB$503))</f>
        <v/>
      </c>
      <c r="BO56" s="110">
        <f>IF(GQ56="","",IF(ISNUMBER('Dvd Calendar'!$AC$503)=FALSE,"",'Dvd Calendar'!$AC$503))</f>
        <v/>
      </c>
      <c r="BQ56" s="110">
        <f>IF(C56="","",IFERROR(C56*HSI!$B$51*HSI!$G$51/HSI!$B$3,""))</f>
        <v/>
      </c>
      <c r="BR56" s="110">
        <f>IF(D56="","",IFERROR(D56*HSI!$B$51*HSI!$G$51/HSI!$B$3,""))</f>
        <v/>
      </c>
      <c r="BS56" s="110">
        <f>IF(E56="","",IFERROR(E56*HSI!$B$51*HSI!$G$51/HSI!$B$3,""))</f>
        <v/>
      </c>
      <c r="BT56" s="110">
        <f>IF(F56="","",IFERROR(F56*HSI!$B$51*HSI!$G$51/HSI!$B$3,""))</f>
        <v/>
      </c>
      <c r="BU56" s="110">
        <f>IF(G56="","",IFERROR(G56*HSI!$B$51*HSI!$G$51/HSI!$B$3,""))</f>
        <v/>
      </c>
      <c r="BV56" s="110">
        <f>IF(H56="","",IFERROR(H56*HSI!$B$51*HSI!$G$51/HSI!$B$3,""))</f>
        <v/>
      </c>
      <c r="BW56" s="110">
        <f>IF(I56="","",IFERROR(I56*HSI!$B$51*HSI!$G$51/HSI!$B$3,""))</f>
        <v/>
      </c>
      <c r="BX56" s="110">
        <f>IF(J56="","",IFERROR(J56*HSI!$B$51*HSI!$G$51/HSI!$B$3,""))</f>
        <v/>
      </c>
      <c r="BY56" s="110">
        <f>IF(K56="","",IFERROR(K56*HSI!$B$51*HSI!$G$51/HSI!$B$3,""))</f>
        <v/>
      </c>
      <c r="BZ56" s="110">
        <f>IF(L56="","",IFERROR(L56*HSI!$B$51*HSI!$G$51/HSI!$B$3,""))</f>
        <v/>
      </c>
      <c r="CA56" s="110">
        <f>IF(M56="","",IFERROR(M56*HSI!$B$51*HSI!$G$51/HSI!$B$3,""))</f>
        <v/>
      </c>
      <c r="CB56" s="110">
        <f>IF(N56="","",IFERROR(N56*HSI!$B$51*HSI!$G$51/HSI!$B$3,""))</f>
        <v/>
      </c>
      <c r="CC56" s="110">
        <f>IF(O56="","",IFERROR(O56*HSI!$B$51*HSI!$G$51/HSI!$B$3,""))</f>
        <v/>
      </c>
      <c r="CD56" s="110">
        <f>IF(P56="","",IFERROR(P56*HSI!$B$51*HSI!$G$51/HSI!$B$3,""))</f>
        <v/>
      </c>
      <c r="CE56" s="110">
        <f>IF(Q56="","",IFERROR(Q56*HSI!$B$51*HSI!$G$51/HSI!$B$3,""))</f>
        <v/>
      </c>
      <c r="CF56" s="110">
        <f>IF(R56="","",IFERROR(R56*HSI!$B$51*HSI!$G$51/HSI!$B$3,""))</f>
        <v/>
      </c>
      <c r="CG56" s="110">
        <f>IF(S56="","",IFERROR(S56*HSI!$B$51*HSI!$G$51/HSI!$B$3,""))</f>
        <v/>
      </c>
      <c r="CH56" s="110">
        <f>IF(T56="","",IFERROR(T56*HSI!$B$51*HSI!$G$51/HSI!$B$3,""))</f>
        <v/>
      </c>
      <c r="CI56" s="110">
        <f>IF(U56="","",IFERROR(U56*HSI!$B$51*HSI!$G$51/HSI!$B$3,""))</f>
        <v/>
      </c>
      <c r="CJ56" s="110">
        <f>IF(V56="","",IFERROR(V56*HSI!$B$51*HSI!$G$51/HSI!$B$3,""))</f>
        <v/>
      </c>
      <c r="CK56" s="110">
        <f>IF(W56="","",IFERROR(W56*HSI!$B$51*HSI!$G$51/HSI!$B$3,""))</f>
        <v/>
      </c>
      <c r="CL56" s="110">
        <f>IF(X56="","",IFERROR(X56*HSI!$B$51*HSI!$G$51/HSI!$B$3,""))</f>
        <v/>
      </c>
      <c r="CM56" s="110">
        <f>IF(Y56="","",IFERROR(Y56*HSI!$B$51*HSI!$G$51/HSI!$B$3,""))</f>
        <v/>
      </c>
      <c r="CN56" s="110">
        <f>IF(Z56="","",IFERROR(Z56*HSI!$B$51*HSI!$G$51/HSI!$B$3,""))</f>
        <v/>
      </c>
      <c r="CO56" s="110">
        <f>IF(AA56="","",IFERROR(AA56*HSI!$B$51*HSI!$G$51/HSI!$B$3,""))</f>
        <v/>
      </c>
      <c r="CP56" s="110">
        <f>IF(AB56="","",IFERROR(AB56*HSI!$B$51*HSI!$G$51/HSI!$B$3,""))</f>
        <v/>
      </c>
      <c r="CQ56" s="110">
        <f>IF(AC56="","",IFERROR(AC56*HSI!$B$51*HSI!$G$51/HSI!$B$3,""))</f>
        <v/>
      </c>
      <c r="CR56" s="110">
        <f>IF(AD56="","",IFERROR(AD56*HSI!$B$51*HSI!$G$51/HSI!$B$3,""))</f>
        <v/>
      </c>
      <c r="CS56" s="110">
        <f>IF(AE56="","",IFERROR(AE56*HSI!$B$51*HSI!$G$51/HSI!$B$3,""))</f>
        <v/>
      </c>
      <c r="CT56" s="110">
        <f>IF(AF56="","",IFERROR(AF56*HSI!$B$51*HSI!$G$51/HSI!$B$3,""))</f>
        <v/>
      </c>
      <c r="CU56" s="110">
        <f>IF(AG56="","",IFERROR(AG56*HSI!$B$51*HSI!$G$51/HSI!$B$3,""))</f>
        <v/>
      </c>
      <c r="CV56" s="110">
        <f>IF(AH56="","",IFERROR(AH56*HSI!$B$51*HSI!$G$51/HSI!$B$3,""))</f>
        <v/>
      </c>
      <c r="CW56" s="110">
        <f>IF(AI56="","",IFERROR(AI56*HSI!$B$51*HSI!$G$51/HSI!$B$3,""))</f>
        <v/>
      </c>
      <c r="CX56" s="110">
        <f>IF(AJ56="","",IFERROR(AJ56*HSI!$B$51*HSI!$G$51/HSI!$B$3,""))</f>
        <v/>
      </c>
      <c r="CY56" s="110">
        <f>IF(AK56="","",IFERROR(AK56*HSI!$B$51*HSI!$G$51/HSI!$B$3,""))</f>
        <v/>
      </c>
      <c r="CZ56" s="110">
        <f>IF(AL56="","",IFERROR(AL56*HSI!$B$51*HSI!$G$51/HSI!$B$3,""))</f>
        <v/>
      </c>
      <c r="DA56" s="110">
        <f>IF(AM56="","",IFERROR(AM56*HSI!$B$51*HSI!$G$51/HSI!$B$3,""))</f>
        <v/>
      </c>
      <c r="DB56" s="110">
        <f>IF(AN56="","",IFERROR(AN56*HSI!$B$51*HSI!$G$51/HSI!$B$3,""))</f>
        <v/>
      </c>
      <c r="DC56" s="110">
        <f>IF(AO56="","",IFERROR(AO56*HSI!$B$51*HSI!$G$51/HSI!$B$3,""))</f>
        <v/>
      </c>
      <c r="DD56" s="110">
        <f>IF(AP56="","",IFERROR(AP56*HSI!$B$51*HSI!$G$51/HSI!$B$3,""))</f>
        <v/>
      </c>
      <c r="DE56" s="110">
        <f>IF(AQ56="","",IFERROR(AQ56*HSI!$B$51*HSI!$G$51/HSI!$B$3,""))</f>
        <v/>
      </c>
      <c r="DF56" s="110">
        <f>IF(AR56="","",IFERROR(AR56*HSI!$B$51*HSI!$G$51/HSI!$B$3,""))</f>
        <v/>
      </c>
      <c r="DG56" s="110">
        <f>IF(AS56="","",IFERROR(AS56*HSI!$B$51*HSI!$G$51/HSI!$B$3,""))</f>
        <v/>
      </c>
      <c r="DH56" s="110">
        <f>IF(AT56="","",IFERROR(AT56*HSI!$B$51*HSI!$G$51/HSI!$B$3,""))</f>
        <v/>
      </c>
      <c r="DI56" s="110">
        <f>IF(AU56="","",IFERROR(AU56*HSI!$B$51*HSI!$G$51/HSI!$B$3,""))</f>
        <v/>
      </c>
      <c r="DJ56" s="110">
        <f>IF(AV56="","",IFERROR(AV56*HSI!$B$51*HSI!$G$51/HSI!$B$3,""))</f>
        <v/>
      </c>
      <c r="DK56" s="110">
        <f>IF(AW56="","",IFERROR(AW56*HSI!$B$51*HSI!$G$51/HSI!$B$3,""))</f>
        <v/>
      </c>
      <c r="DL56" s="110">
        <f>IF(AX56="","",IFERROR(AX56*HSI!$B$51*HSI!$G$51/HSI!$B$3,""))</f>
        <v/>
      </c>
      <c r="DM56" s="110">
        <f>IF(AY56="","",IFERROR(AY56*HSI!$B$51*HSI!$G$51/HSI!$B$3,""))</f>
        <v/>
      </c>
      <c r="DN56" s="110">
        <f>IF(AZ56="","",IFERROR(AZ56*HSI!$B$51*HSI!$G$51/HSI!$B$3,""))</f>
        <v/>
      </c>
      <c r="DO56" s="110">
        <f>IF(BA56="","",IFERROR(BA56*HSI!$B$51*HSI!$G$51/HSI!$B$3,""))</f>
        <v/>
      </c>
      <c r="DP56" s="110">
        <f>IF(BB56="","",IFERROR(BB56*HSI!$B$51*HSI!$G$51/HSI!$B$3,""))</f>
        <v/>
      </c>
      <c r="DQ56" s="110">
        <f>IF(BC56="","",IFERROR(BC56*HSI!$B$51*HSI!$G$51/HSI!$B$3,""))</f>
        <v/>
      </c>
      <c r="DR56" s="110">
        <f>IF(BD56="","",IFERROR(BD56*HSI!$B$51*HSI!$G$51/HSI!$B$3,""))</f>
        <v/>
      </c>
      <c r="DS56" s="110">
        <f>IF(BE56="","",IFERROR(BE56*HSI!$B$51*HSI!$G$51/HSI!$B$3,""))</f>
        <v/>
      </c>
      <c r="DT56" s="110">
        <f>IF(BF56="","",IFERROR(BF56*HSI!$B$51*HSI!$G$51/HSI!$B$3,""))</f>
        <v/>
      </c>
      <c r="DU56" s="110">
        <f>IF(BG56="","",IFERROR(BG56*HSI!$B$51*HSI!$G$51/HSI!$B$3,""))</f>
        <v/>
      </c>
      <c r="DV56" s="110">
        <f>IF(BH56="","",IFERROR(BH56*HSI!$B$51*HSI!$G$51/HSI!$B$3,""))</f>
        <v/>
      </c>
      <c r="DW56" s="110">
        <f>IF(BI56="","",IFERROR(BI56*HSI!$B$51*HSI!$G$51/HSI!$B$3,""))</f>
        <v/>
      </c>
      <c r="DX56" s="110">
        <f>IF(BJ56="","",IFERROR(BJ56*HSI!$B$51*HSI!$G$51/HSI!$B$3,""))</f>
        <v/>
      </c>
      <c r="DY56" s="110">
        <f>IF(BK56="","",IFERROR(BK56*HSI!$B$51*HSI!$G$51/HSI!$B$3,""))</f>
        <v/>
      </c>
      <c r="DZ56" s="110">
        <f>IF(BL56="","",IFERROR(BL56*HSI!$B$51*HSI!$G$51/HSI!$B$3,""))</f>
        <v/>
      </c>
      <c r="EA56" s="110">
        <f>IF(BM56="","",IFERROR(BM56*HSI!$B$51*HSI!$G$51/HSI!$B$3,""))</f>
        <v/>
      </c>
      <c r="EB56" s="110">
        <f>IF(BN56="","",IFERROR(BN56*HSI!$B$51*HSI!$G$51/HSI!$B$3,""))</f>
        <v/>
      </c>
      <c r="EC56" s="110">
        <f>IF(BO56="","",IFERROR(BO56*HSI!$B$51*HSI!$G$51/HSI!$B$3,""))</f>
        <v/>
      </c>
      <c r="EE56" s="39">
        <f>IF(N('Dvd Calendar'!$E$495)=0,"",IF(('Dvd Calendar'!$E$495&gt;=GRID_FROM)*('Dvd Calendar'!$E$495&lt;=GRID_TO)*((('Dvd Calendar'!$E$495&lt;=VAL_DATE)+(COUNTIF('Dvd Calendar'!$E$502:$AR$502,'Dvd Calendar'!$E$495)=0))&gt;0)=0,"",'Dvd Calendar'!$E$495*1000000000+ISNUMBER('Dvd Calendar'!$E$498)*100000000+('Dvd Calendar'!$E$500=SPECIAL_LBL)*10000000+(N('Dvd Calendar'!$E$494)&gt;0)*(N('Dvd Calendar'!$E$494)&lt;=VAL_SERIAL)*1000000+45*1000+1))</f>
        <v/>
      </c>
      <c r="EF56" s="39">
        <f>IF(N('Dvd Calendar'!$F$495)=0,"",IF(('Dvd Calendar'!$F$495&gt;=GRID_FROM)*('Dvd Calendar'!$F$495&lt;=GRID_TO)*((('Dvd Calendar'!$F$495&lt;=VAL_DATE)+(COUNTIF('Dvd Calendar'!$E$502:$AR$502,'Dvd Calendar'!$F$495)=0))&gt;0)=0,"",'Dvd Calendar'!$F$495*1000000000+ISNUMBER('Dvd Calendar'!$F$498)*100000000+('Dvd Calendar'!$F$500=SPECIAL_LBL)*10000000+(N('Dvd Calendar'!$F$494)&gt;0)*(N('Dvd Calendar'!$F$494)&lt;=VAL_SERIAL)*1000000+45*1000+2))</f>
        <v/>
      </c>
      <c r="EG56" s="39">
        <f>IF(N('Dvd Calendar'!$G$495)=0,"",IF(('Dvd Calendar'!$G$495&gt;=GRID_FROM)*('Dvd Calendar'!$G$495&lt;=GRID_TO)*((('Dvd Calendar'!$G$495&lt;=VAL_DATE)+(COUNTIF('Dvd Calendar'!$E$502:$AR$502,'Dvd Calendar'!$G$495)=0))&gt;0)=0,"",'Dvd Calendar'!$G$495*1000000000+ISNUMBER('Dvd Calendar'!$G$498)*100000000+('Dvd Calendar'!$G$500=SPECIAL_LBL)*10000000+(N('Dvd Calendar'!$G$494)&gt;0)*(N('Dvd Calendar'!$G$494)&lt;=VAL_SERIAL)*1000000+45*1000+3))</f>
        <v/>
      </c>
      <c r="EH56" s="39">
        <f>IF(N('Dvd Calendar'!$H$495)=0,"",IF(('Dvd Calendar'!$H$495&gt;=GRID_FROM)*('Dvd Calendar'!$H$495&lt;=GRID_TO)*((('Dvd Calendar'!$H$495&lt;=VAL_DATE)+(COUNTIF('Dvd Calendar'!$E$502:$AR$502,'Dvd Calendar'!$H$495)=0))&gt;0)=0,"",'Dvd Calendar'!$H$495*1000000000+ISNUMBER('Dvd Calendar'!$H$498)*100000000+('Dvd Calendar'!$H$500=SPECIAL_LBL)*10000000+(N('Dvd Calendar'!$H$494)&gt;0)*(N('Dvd Calendar'!$H$494)&lt;=VAL_SERIAL)*1000000+45*1000+4))</f>
        <v/>
      </c>
      <c r="EI56" s="39">
        <f>IF(N('Dvd Calendar'!$I$495)=0,"",IF(('Dvd Calendar'!$I$495&gt;=GRID_FROM)*('Dvd Calendar'!$I$495&lt;=GRID_TO)*((('Dvd Calendar'!$I$495&lt;=VAL_DATE)+(COUNTIF('Dvd Calendar'!$E$502:$AR$502,'Dvd Calendar'!$I$495)=0))&gt;0)=0,"",'Dvd Calendar'!$I$495*1000000000+ISNUMBER('Dvd Calendar'!$I$498)*100000000+('Dvd Calendar'!$I$500=SPECIAL_LBL)*10000000+(N('Dvd Calendar'!$I$494)&gt;0)*(N('Dvd Calendar'!$I$494)&lt;=VAL_SERIAL)*1000000+45*1000+5))</f>
        <v/>
      </c>
      <c r="EJ56" s="39">
        <f>IF(N('Dvd Calendar'!$J$495)=0,"",IF(('Dvd Calendar'!$J$495&gt;=GRID_FROM)*('Dvd Calendar'!$J$495&lt;=GRID_TO)*((('Dvd Calendar'!$J$495&lt;=VAL_DATE)+(COUNTIF('Dvd Calendar'!$E$502:$AR$502,'Dvd Calendar'!$J$495)=0))&gt;0)=0,"",'Dvd Calendar'!$J$495*1000000000+ISNUMBER('Dvd Calendar'!$J$498)*100000000+('Dvd Calendar'!$J$500=SPECIAL_LBL)*10000000+(N('Dvd Calendar'!$J$494)&gt;0)*(N('Dvd Calendar'!$J$494)&lt;=VAL_SERIAL)*1000000+45*1000+6))</f>
        <v/>
      </c>
      <c r="EK56" s="39">
        <f>IF(N('Dvd Calendar'!$K$495)=0,"",IF(('Dvd Calendar'!$K$495&gt;=GRID_FROM)*('Dvd Calendar'!$K$495&lt;=GRID_TO)*((('Dvd Calendar'!$K$495&lt;=VAL_DATE)+(COUNTIF('Dvd Calendar'!$E$502:$AR$502,'Dvd Calendar'!$K$495)=0))&gt;0)=0,"",'Dvd Calendar'!$K$495*1000000000+ISNUMBER('Dvd Calendar'!$K$498)*100000000+('Dvd Calendar'!$K$500=SPECIAL_LBL)*10000000+(N('Dvd Calendar'!$K$494)&gt;0)*(N('Dvd Calendar'!$K$494)&lt;=VAL_SERIAL)*1000000+45*1000+7))</f>
        <v/>
      </c>
      <c r="EL56" s="39">
        <f>IF(N('Dvd Calendar'!$L$495)=0,"",IF(('Dvd Calendar'!$L$495&gt;=GRID_FROM)*('Dvd Calendar'!$L$495&lt;=GRID_TO)*((('Dvd Calendar'!$L$495&lt;=VAL_DATE)+(COUNTIF('Dvd Calendar'!$E$502:$AR$502,'Dvd Calendar'!$L$495)=0))&gt;0)=0,"",'Dvd Calendar'!$L$495*1000000000+ISNUMBER('Dvd Calendar'!$L$498)*100000000+('Dvd Calendar'!$L$500=SPECIAL_LBL)*10000000+(N('Dvd Calendar'!$L$494)&gt;0)*(N('Dvd Calendar'!$L$494)&lt;=VAL_SERIAL)*1000000+45*1000+8))</f>
        <v/>
      </c>
      <c r="EM56" s="39">
        <f>IF(N('Dvd Calendar'!$M$495)=0,"",IF(('Dvd Calendar'!$M$495&gt;=GRID_FROM)*('Dvd Calendar'!$M$495&lt;=GRID_TO)*((('Dvd Calendar'!$M$495&lt;=VAL_DATE)+(COUNTIF('Dvd Calendar'!$E$502:$AR$502,'Dvd Calendar'!$M$495)=0))&gt;0)=0,"",'Dvd Calendar'!$M$495*1000000000+ISNUMBER('Dvd Calendar'!$M$498)*100000000+('Dvd Calendar'!$M$500=SPECIAL_LBL)*10000000+(N('Dvd Calendar'!$M$494)&gt;0)*(N('Dvd Calendar'!$M$494)&lt;=VAL_SERIAL)*1000000+45*1000+9))</f>
        <v/>
      </c>
      <c r="EN56" s="39">
        <f>IF(N('Dvd Calendar'!$N$495)=0,"",IF(('Dvd Calendar'!$N$495&gt;=GRID_FROM)*('Dvd Calendar'!$N$495&lt;=GRID_TO)*((('Dvd Calendar'!$N$495&lt;=VAL_DATE)+(COUNTIF('Dvd Calendar'!$E$502:$AR$502,'Dvd Calendar'!$N$495)=0))&gt;0)=0,"",'Dvd Calendar'!$N$495*1000000000+ISNUMBER('Dvd Calendar'!$N$498)*100000000+('Dvd Calendar'!$N$500=SPECIAL_LBL)*10000000+(N('Dvd Calendar'!$N$494)&gt;0)*(N('Dvd Calendar'!$N$494)&lt;=VAL_SERIAL)*1000000+45*1000+10))</f>
        <v/>
      </c>
      <c r="EO56" s="39">
        <f>IF(N('Dvd Calendar'!$O$495)=0,"",IF(('Dvd Calendar'!$O$495&gt;=GRID_FROM)*('Dvd Calendar'!$O$495&lt;=GRID_TO)*((('Dvd Calendar'!$O$495&lt;=VAL_DATE)+(COUNTIF('Dvd Calendar'!$E$502:$AR$502,'Dvd Calendar'!$O$495)=0))&gt;0)=0,"",'Dvd Calendar'!$O$495*1000000000+ISNUMBER('Dvd Calendar'!$O$498)*100000000+('Dvd Calendar'!$O$500=SPECIAL_LBL)*10000000+(N('Dvd Calendar'!$O$494)&gt;0)*(N('Dvd Calendar'!$O$494)&lt;=VAL_SERIAL)*1000000+45*1000+11))</f>
        <v/>
      </c>
      <c r="EP56" s="39">
        <f>IF(N('Dvd Calendar'!$P$495)=0,"",IF(('Dvd Calendar'!$P$495&gt;=GRID_FROM)*('Dvd Calendar'!$P$495&lt;=GRID_TO)*((('Dvd Calendar'!$P$495&lt;=VAL_DATE)+(COUNTIF('Dvd Calendar'!$E$502:$AR$502,'Dvd Calendar'!$P$495)=0))&gt;0)=0,"",'Dvd Calendar'!$P$495*1000000000+ISNUMBER('Dvd Calendar'!$P$498)*100000000+('Dvd Calendar'!$P$500=SPECIAL_LBL)*10000000+(N('Dvd Calendar'!$P$494)&gt;0)*(N('Dvd Calendar'!$P$494)&lt;=VAL_SERIAL)*1000000+45*1000+12))</f>
        <v/>
      </c>
      <c r="EQ56" s="39">
        <f>IF(N('Dvd Calendar'!$Q$495)=0,"",IF(('Dvd Calendar'!$Q$495&gt;=GRID_FROM)*('Dvd Calendar'!$Q$495&lt;=GRID_TO)*((('Dvd Calendar'!$Q$495&lt;=VAL_DATE)+(COUNTIF('Dvd Calendar'!$E$502:$AR$502,'Dvd Calendar'!$Q$495)=0))&gt;0)=0,"",'Dvd Calendar'!$Q$495*1000000000+ISNUMBER('Dvd Calendar'!$Q$498)*100000000+('Dvd Calendar'!$Q$500=SPECIAL_LBL)*10000000+(N('Dvd Calendar'!$Q$494)&gt;0)*(N('Dvd Calendar'!$Q$494)&lt;=VAL_SERIAL)*1000000+45*1000+13))</f>
        <v/>
      </c>
      <c r="ER56" s="39">
        <f>IF(N('Dvd Calendar'!$R$495)=0,"",IF(('Dvd Calendar'!$R$495&gt;=GRID_FROM)*('Dvd Calendar'!$R$495&lt;=GRID_TO)*((('Dvd Calendar'!$R$495&lt;=VAL_DATE)+(COUNTIF('Dvd Calendar'!$E$502:$AR$502,'Dvd Calendar'!$R$495)=0))&gt;0)=0,"",'Dvd Calendar'!$R$495*1000000000+ISNUMBER('Dvd Calendar'!$R$498)*100000000+('Dvd Calendar'!$R$500=SPECIAL_LBL)*10000000+(N('Dvd Calendar'!$R$494)&gt;0)*(N('Dvd Calendar'!$R$494)&lt;=VAL_SERIAL)*1000000+45*1000+14))</f>
        <v/>
      </c>
      <c r="ES56" s="39">
        <f>IF(N('Dvd Calendar'!$S$495)=0,"",IF(('Dvd Calendar'!$S$495&gt;=GRID_FROM)*('Dvd Calendar'!$S$495&lt;=GRID_TO)*((('Dvd Calendar'!$S$495&lt;=VAL_DATE)+(COUNTIF('Dvd Calendar'!$E$502:$AR$502,'Dvd Calendar'!$S$495)=0))&gt;0)=0,"",'Dvd Calendar'!$S$495*1000000000+ISNUMBER('Dvd Calendar'!$S$498)*100000000+('Dvd Calendar'!$S$500=SPECIAL_LBL)*10000000+(N('Dvd Calendar'!$S$494)&gt;0)*(N('Dvd Calendar'!$S$494)&lt;=VAL_SERIAL)*1000000+45*1000+15))</f>
        <v/>
      </c>
      <c r="ET56" s="39">
        <f>IF(N('Dvd Calendar'!$T$495)=0,"",IF(('Dvd Calendar'!$T$495&gt;=GRID_FROM)*('Dvd Calendar'!$T$495&lt;=GRID_TO)*((('Dvd Calendar'!$T$495&lt;=VAL_DATE)+(COUNTIF('Dvd Calendar'!$E$502:$AR$502,'Dvd Calendar'!$T$495)=0))&gt;0)=0,"",'Dvd Calendar'!$T$495*1000000000+ISNUMBER('Dvd Calendar'!$T$498)*100000000+('Dvd Calendar'!$T$500=SPECIAL_LBL)*10000000+(N('Dvd Calendar'!$T$494)&gt;0)*(N('Dvd Calendar'!$T$494)&lt;=VAL_SERIAL)*1000000+45*1000+16))</f>
        <v/>
      </c>
      <c r="EU56" s="39">
        <f>IF(N('Dvd Calendar'!$U$495)=0,"",IF(('Dvd Calendar'!$U$495&gt;=GRID_FROM)*('Dvd Calendar'!$U$495&lt;=GRID_TO)*((('Dvd Calendar'!$U$495&lt;=VAL_DATE)+(COUNTIF('Dvd Calendar'!$E$502:$AR$502,'Dvd Calendar'!$U$495)=0))&gt;0)=0,"",'Dvd Calendar'!$U$495*1000000000+ISNUMBER('Dvd Calendar'!$U$498)*100000000+('Dvd Calendar'!$U$500=SPECIAL_LBL)*10000000+(N('Dvd Calendar'!$U$494)&gt;0)*(N('Dvd Calendar'!$U$494)&lt;=VAL_SERIAL)*1000000+45*1000+17))</f>
        <v/>
      </c>
      <c r="EV56" s="39">
        <f>IF(N('Dvd Calendar'!$V$495)=0,"",IF(('Dvd Calendar'!$V$495&gt;=GRID_FROM)*('Dvd Calendar'!$V$495&lt;=GRID_TO)*((('Dvd Calendar'!$V$495&lt;=VAL_DATE)+(COUNTIF('Dvd Calendar'!$E$502:$AR$502,'Dvd Calendar'!$V$495)=0))&gt;0)=0,"",'Dvd Calendar'!$V$495*1000000000+ISNUMBER('Dvd Calendar'!$V$498)*100000000+('Dvd Calendar'!$V$500=SPECIAL_LBL)*10000000+(N('Dvd Calendar'!$V$494)&gt;0)*(N('Dvd Calendar'!$V$494)&lt;=VAL_SERIAL)*1000000+45*1000+18))</f>
        <v/>
      </c>
      <c r="EW56" s="39">
        <f>IF(N('Dvd Calendar'!$W$495)=0,"",IF(('Dvd Calendar'!$W$495&gt;=GRID_FROM)*('Dvd Calendar'!$W$495&lt;=GRID_TO)*((('Dvd Calendar'!$W$495&lt;=VAL_DATE)+(COUNTIF('Dvd Calendar'!$E$502:$AR$502,'Dvd Calendar'!$W$495)=0))&gt;0)=0,"",'Dvd Calendar'!$W$495*1000000000+ISNUMBER('Dvd Calendar'!$W$498)*100000000+('Dvd Calendar'!$W$500=SPECIAL_LBL)*10000000+(N('Dvd Calendar'!$W$494)&gt;0)*(N('Dvd Calendar'!$W$494)&lt;=VAL_SERIAL)*1000000+45*1000+19))</f>
        <v/>
      </c>
      <c r="EX56" s="39">
        <f>IF(N('Dvd Calendar'!$X$495)=0,"",IF(('Dvd Calendar'!$X$495&gt;=GRID_FROM)*('Dvd Calendar'!$X$495&lt;=GRID_TO)*((('Dvd Calendar'!$X$495&lt;=VAL_DATE)+(COUNTIF('Dvd Calendar'!$E$502:$AR$502,'Dvd Calendar'!$X$495)=0))&gt;0)=0,"",'Dvd Calendar'!$X$495*1000000000+ISNUMBER('Dvd Calendar'!$X$498)*100000000+('Dvd Calendar'!$X$500=SPECIAL_LBL)*10000000+(N('Dvd Calendar'!$X$494)&gt;0)*(N('Dvd Calendar'!$X$494)&lt;=VAL_SERIAL)*1000000+45*1000+20))</f>
        <v/>
      </c>
      <c r="EY56" s="39">
        <f>IF(N('Dvd Calendar'!$Y$495)=0,"",IF(('Dvd Calendar'!$Y$495&gt;=GRID_FROM)*('Dvd Calendar'!$Y$495&lt;=GRID_TO)*((('Dvd Calendar'!$Y$495&lt;=VAL_DATE)+(COUNTIF('Dvd Calendar'!$E$502:$AR$502,'Dvd Calendar'!$Y$495)=0))&gt;0)=0,"",'Dvd Calendar'!$Y$495*1000000000+ISNUMBER('Dvd Calendar'!$Y$498)*100000000+('Dvd Calendar'!$Y$500=SPECIAL_LBL)*10000000+(N('Dvd Calendar'!$Y$494)&gt;0)*(N('Dvd Calendar'!$Y$494)&lt;=VAL_SERIAL)*1000000+45*1000+21))</f>
        <v/>
      </c>
      <c r="EZ56" s="39">
        <f>IF(N('Dvd Calendar'!$Z$495)=0,"",IF(('Dvd Calendar'!$Z$495&gt;=GRID_FROM)*('Dvd Calendar'!$Z$495&lt;=GRID_TO)*((('Dvd Calendar'!$Z$495&lt;=VAL_DATE)+(COUNTIF('Dvd Calendar'!$E$502:$AR$502,'Dvd Calendar'!$Z$495)=0))&gt;0)=0,"",'Dvd Calendar'!$Z$495*1000000000+ISNUMBER('Dvd Calendar'!$Z$498)*100000000+('Dvd Calendar'!$Z$500=SPECIAL_LBL)*10000000+(N('Dvd Calendar'!$Z$494)&gt;0)*(N('Dvd Calendar'!$Z$494)&lt;=VAL_SERIAL)*1000000+45*1000+22))</f>
        <v/>
      </c>
      <c r="FA56" s="39">
        <f>IF(N('Dvd Calendar'!$AA$495)=0,"",IF(('Dvd Calendar'!$AA$495&gt;=GRID_FROM)*('Dvd Calendar'!$AA$495&lt;=GRID_TO)*((('Dvd Calendar'!$AA$495&lt;=VAL_DATE)+(COUNTIF('Dvd Calendar'!$E$502:$AR$502,'Dvd Calendar'!$AA$495)=0))&gt;0)=0,"",'Dvd Calendar'!$AA$495*1000000000+ISNUMBER('Dvd Calendar'!$AA$498)*100000000+('Dvd Calendar'!$AA$500=SPECIAL_LBL)*10000000+(N('Dvd Calendar'!$AA$494)&gt;0)*(N('Dvd Calendar'!$AA$494)&lt;=VAL_SERIAL)*1000000+45*1000+23))</f>
        <v/>
      </c>
      <c r="FB56" s="39">
        <f>IF(N('Dvd Calendar'!$AB$495)=0,"",IF(('Dvd Calendar'!$AB$495&gt;=GRID_FROM)*('Dvd Calendar'!$AB$495&lt;=GRID_TO)*((('Dvd Calendar'!$AB$495&lt;=VAL_DATE)+(COUNTIF('Dvd Calendar'!$E$502:$AR$502,'Dvd Calendar'!$AB$495)=0))&gt;0)=0,"",'Dvd Calendar'!$AB$495*1000000000+ISNUMBER('Dvd Calendar'!$AB$498)*100000000+('Dvd Calendar'!$AB$500=SPECIAL_LBL)*10000000+(N('Dvd Calendar'!$AB$494)&gt;0)*(N('Dvd Calendar'!$AB$494)&lt;=VAL_SERIAL)*1000000+45*1000+24))</f>
        <v/>
      </c>
      <c r="FC56" s="39">
        <f>IF(N('Dvd Calendar'!$AC$495)=0,"",IF(('Dvd Calendar'!$AC$495&gt;=GRID_FROM)*('Dvd Calendar'!$AC$495&lt;=GRID_TO)*((('Dvd Calendar'!$AC$495&lt;=VAL_DATE)+(COUNTIF('Dvd Calendar'!$E$502:$AR$502,'Dvd Calendar'!$AC$495)=0))&gt;0)=0,"",'Dvd Calendar'!$AC$495*1000000000+ISNUMBER('Dvd Calendar'!$AC$498)*100000000+('Dvd Calendar'!$AC$500=SPECIAL_LBL)*10000000+(N('Dvd Calendar'!$AC$494)&gt;0)*(N('Dvd Calendar'!$AC$494)&lt;=VAL_SERIAL)*1000000+45*1000+25))</f>
        <v/>
      </c>
      <c r="FD56" s="39">
        <f>IF(N('Dvd Calendar'!$AD$495)=0,"",IF(('Dvd Calendar'!$AD$495&gt;=GRID_FROM)*('Dvd Calendar'!$AD$495&lt;=GRID_TO)*((('Dvd Calendar'!$AD$495&lt;=VAL_DATE)+(COUNTIF('Dvd Calendar'!$E$502:$AR$502,'Dvd Calendar'!$AD$495)=0))&gt;0)=0,"",'Dvd Calendar'!$AD$495*1000000000+ISNUMBER('Dvd Calendar'!$AD$498)*100000000+('Dvd Calendar'!$AD$500=SPECIAL_LBL)*10000000+(N('Dvd Calendar'!$AD$494)&gt;0)*(N('Dvd Calendar'!$AD$494)&lt;=VAL_SERIAL)*1000000+45*1000+26))</f>
        <v/>
      </c>
      <c r="FE56" s="39">
        <f>IF(N('Dvd Calendar'!$AE$495)=0,"",IF(('Dvd Calendar'!$AE$495&gt;=GRID_FROM)*('Dvd Calendar'!$AE$495&lt;=GRID_TO)*((('Dvd Calendar'!$AE$495&lt;=VAL_DATE)+(COUNTIF('Dvd Calendar'!$E$502:$AR$502,'Dvd Calendar'!$AE$495)=0))&gt;0)=0,"",'Dvd Calendar'!$AE$495*1000000000+ISNUMBER('Dvd Calendar'!$AE$498)*100000000+('Dvd Calendar'!$AE$500=SPECIAL_LBL)*10000000+(N('Dvd Calendar'!$AE$494)&gt;0)*(N('Dvd Calendar'!$AE$494)&lt;=VAL_SERIAL)*1000000+45*1000+27))</f>
        <v/>
      </c>
      <c r="FF56" s="39">
        <f>IF(N('Dvd Calendar'!$AF$495)=0,"",IF(('Dvd Calendar'!$AF$495&gt;=GRID_FROM)*('Dvd Calendar'!$AF$495&lt;=GRID_TO)*((('Dvd Calendar'!$AF$495&lt;=VAL_DATE)+(COUNTIF('Dvd Calendar'!$E$502:$AR$502,'Dvd Calendar'!$AF$495)=0))&gt;0)=0,"",'Dvd Calendar'!$AF$495*1000000000+ISNUMBER('Dvd Calendar'!$AF$498)*100000000+('Dvd Calendar'!$AF$500=SPECIAL_LBL)*10000000+(N('Dvd Calendar'!$AF$494)&gt;0)*(N('Dvd Calendar'!$AF$494)&lt;=VAL_SERIAL)*1000000+45*1000+28))</f>
        <v/>
      </c>
      <c r="FG56" s="39">
        <f>IF(N('Dvd Calendar'!$AG$495)=0,"",IF(('Dvd Calendar'!$AG$495&gt;=GRID_FROM)*('Dvd Calendar'!$AG$495&lt;=GRID_TO)*((('Dvd Calendar'!$AG$495&lt;=VAL_DATE)+(COUNTIF('Dvd Calendar'!$E$502:$AR$502,'Dvd Calendar'!$AG$495)=0))&gt;0)=0,"",'Dvd Calendar'!$AG$495*1000000000+ISNUMBER('Dvd Calendar'!$AG$498)*100000000+('Dvd Calendar'!$AG$500=SPECIAL_LBL)*10000000+(N('Dvd Calendar'!$AG$494)&gt;0)*(N('Dvd Calendar'!$AG$494)&lt;=VAL_SERIAL)*1000000+45*1000+29))</f>
        <v/>
      </c>
      <c r="FH56" s="39">
        <f>IF(N('Dvd Calendar'!$AH$495)=0,"",IF(('Dvd Calendar'!$AH$495&gt;=GRID_FROM)*('Dvd Calendar'!$AH$495&lt;=GRID_TO)*((('Dvd Calendar'!$AH$495&lt;=VAL_DATE)+(COUNTIF('Dvd Calendar'!$E$502:$AR$502,'Dvd Calendar'!$AH$495)=0))&gt;0)=0,"",'Dvd Calendar'!$AH$495*1000000000+ISNUMBER('Dvd Calendar'!$AH$498)*100000000+('Dvd Calendar'!$AH$500=SPECIAL_LBL)*10000000+(N('Dvd Calendar'!$AH$494)&gt;0)*(N('Dvd Calendar'!$AH$494)&lt;=VAL_SERIAL)*1000000+45*1000+30))</f>
        <v/>
      </c>
      <c r="FI56" s="39">
        <f>IF(N('Dvd Calendar'!$AI$495)=0,"",IF(('Dvd Calendar'!$AI$495&gt;=GRID_FROM)*('Dvd Calendar'!$AI$495&lt;=GRID_TO)*((('Dvd Calendar'!$AI$495&lt;=VAL_DATE)+(COUNTIF('Dvd Calendar'!$E$502:$AR$502,'Dvd Calendar'!$AI$495)=0))&gt;0)=0,"",'Dvd Calendar'!$AI$495*1000000000+ISNUMBER('Dvd Calendar'!$AI$498)*100000000+('Dvd Calendar'!$AI$500=SPECIAL_LBL)*10000000+(N('Dvd Calendar'!$AI$494)&gt;0)*(N('Dvd Calendar'!$AI$494)&lt;=VAL_SERIAL)*1000000+45*1000+31))</f>
        <v/>
      </c>
      <c r="FJ56" s="39">
        <f>IF(N('Dvd Calendar'!$AJ$495)=0,"",IF(('Dvd Calendar'!$AJ$495&gt;=GRID_FROM)*('Dvd Calendar'!$AJ$495&lt;=GRID_TO)*((('Dvd Calendar'!$AJ$495&lt;=VAL_DATE)+(COUNTIF('Dvd Calendar'!$E$502:$AR$502,'Dvd Calendar'!$AJ$495)=0))&gt;0)=0,"",'Dvd Calendar'!$AJ$495*1000000000+ISNUMBER('Dvd Calendar'!$AJ$498)*100000000+('Dvd Calendar'!$AJ$500=SPECIAL_LBL)*10000000+(N('Dvd Calendar'!$AJ$494)&gt;0)*(N('Dvd Calendar'!$AJ$494)&lt;=VAL_SERIAL)*1000000+45*1000+32))</f>
        <v/>
      </c>
      <c r="FK56" s="39">
        <f>IF(N('Dvd Calendar'!$AK$495)=0,"",IF(('Dvd Calendar'!$AK$495&gt;=GRID_FROM)*('Dvd Calendar'!$AK$495&lt;=GRID_TO)*((('Dvd Calendar'!$AK$495&lt;=VAL_DATE)+(COUNTIF('Dvd Calendar'!$E$502:$AR$502,'Dvd Calendar'!$AK$495)=0))&gt;0)=0,"",'Dvd Calendar'!$AK$495*1000000000+ISNUMBER('Dvd Calendar'!$AK$498)*100000000+('Dvd Calendar'!$AK$500=SPECIAL_LBL)*10000000+(N('Dvd Calendar'!$AK$494)&gt;0)*(N('Dvd Calendar'!$AK$494)&lt;=VAL_SERIAL)*1000000+45*1000+33))</f>
        <v/>
      </c>
      <c r="FL56" s="39">
        <f>IF(N('Dvd Calendar'!$AL$495)=0,"",IF(('Dvd Calendar'!$AL$495&gt;=GRID_FROM)*('Dvd Calendar'!$AL$495&lt;=GRID_TO)*((('Dvd Calendar'!$AL$495&lt;=VAL_DATE)+(COUNTIF('Dvd Calendar'!$E$502:$AR$502,'Dvd Calendar'!$AL$495)=0))&gt;0)=0,"",'Dvd Calendar'!$AL$495*1000000000+ISNUMBER('Dvd Calendar'!$AL$498)*100000000+('Dvd Calendar'!$AL$500=SPECIAL_LBL)*10000000+(N('Dvd Calendar'!$AL$494)&gt;0)*(N('Dvd Calendar'!$AL$494)&lt;=VAL_SERIAL)*1000000+45*1000+34))</f>
        <v/>
      </c>
      <c r="FM56" s="39">
        <f>IF(N('Dvd Calendar'!$AM$495)=0,"",IF(('Dvd Calendar'!$AM$495&gt;=GRID_FROM)*('Dvd Calendar'!$AM$495&lt;=GRID_TO)*((('Dvd Calendar'!$AM$495&lt;=VAL_DATE)+(COUNTIF('Dvd Calendar'!$E$502:$AR$502,'Dvd Calendar'!$AM$495)=0))&gt;0)=0,"",'Dvd Calendar'!$AM$495*1000000000+ISNUMBER('Dvd Calendar'!$AM$498)*100000000+('Dvd Calendar'!$AM$500=SPECIAL_LBL)*10000000+(N('Dvd Calendar'!$AM$494)&gt;0)*(N('Dvd Calendar'!$AM$494)&lt;=VAL_SERIAL)*1000000+45*1000+35))</f>
        <v/>
      </c>
      <c r="FN56" s="39">
        <f>IF(N('Dvd Calendar'!$AN$495)=0,"",IF(('Dvd Calendar'!$AN$495&gt;=GRID_FROM)*('Dvd Calendar'!$AN$495&lt;=GRID_TO)*((('Dvd Calendar'!$AN$495&lt;=VAL_DATE)+(COUNTIF('Dvd Calendar'!$E$502:$AR$502,'Dvd Calendar'!$AN$495)=0))&gt;0)=0,"",'Dvd Calendar'!$AN$495*1000000000+ISNUMBER('Dvd Calendar'!$AN$498)*100000000+('Dvd Calendar'!$AN$500=SPECIAL_LBL)*10000000+(N('Dvd Calendar'!$AN$494)&gt;0)*(N('Dvd Calendar'!$AN$494)&lt;=VAL_SERIAL)*1000000+45*1000+36))</f>
        <v/>
      </c>
      <c r="FO56" s="39">
        <f>IF(N('Dvd Calendar'!$AO$495)=0,"",IF(('Dvd Calendar'!$AO$495&gt;=GRID_FROM)*('Dvd Calendar'!$AO$495&lt;=GRID_TO)*((('Dvd Calendar'!$AO$495&lt;=VAL_DATE)+(COUNTIF('Dvd Calendar'!$E$502:$AR$502,'Dvd Calendar'!$AO$495)=0))&gt;0)=0,"",'Dvd Calendar'!$AO$495*1000000000+ISNUMBER('Dvd Calendar'!$AO$498)*100000000+('Dvd Calendar'!$AO$500=SPECIAL_LBL)*10000000+(N('Dvd Calendar'!$AO$494)&gt;0)*(N('Dvd Calendar'!$AO$494)&lt;=VAL_SERIAL)*1000000+45*1000+37))</f>
        <v/>
      </c>
      <c r="FP56" s="39">
        <f>IF(N('Dvd Calendar'!$AP$495)=0,"",IF(('Dvd Calendar'!$AP$495&gt;=GRID_FROM)*('Dvd Calendar'!$AP$495&lt;=GRID_TO)*((('Dvd Calendar'!$AP$495&lt;=VAL_DATE)+(COUNTIF('Dvd Calendar'!$E$502:$AR$502,'Dvd Calendar'!$AP$495)=0))&gt;0)=0,"",'Dvd Calendar'!$AP$495*1000000000+ISNUMBER('Dvd Calendar'!$AP$498)*100000000+('Dvd Calendar'!$AP$500=SPECIAL_LBL)*10000000+(N('Dvd Calendar'!$AP$494)&gt;0)*(N('Dvd Calendar'!$AP$494)&lt;=VAL_SERIAL)*1000000+45*1000+38))</f>
        <v/>
      </c>
      <c r="FQ56" s="39">
        <f>IF(N('Dvd Calendar'!$AQ$495)=0,"",IF(('Dvd Calendar'!$AQ$495&gt;=GRID_FROM)*('Dvd Calendar'!$AQ$495&lt;=GRID_TO)*((('Dvd Calendar'!$AQ$495&lt;=VAL_DATE)+(COUNTIF('Dvd Calendar'!$E$502:$AR$502,'Dvd Calendar'!$AQ$495)=0))&gt;0)=0,"",'Dvd Calendar'!$AQ$495*1000000000+ISNUMBER('Dvd Calendar'!$AQ$498)*100000000+('Dvd Calendar'!$AQ$500=SPECIAL_LBL)*10000000+(N('Dvd Calendar'!$AQ$494)&gt;0)*(N('Dvd Calendar'!$AQ$494)&lt;=VAL_SERIAL)*1000000+45*1000+39))</f>
        <v/>
      </c>
      <c r="FR56" s="39">
        <f>IF(N('Dvd Calendar'!$AR$495)=0,"",IF(('Dvd Calendar'!$AR$495&gt;=GRID_FROM)*('Dvd Calendar'!$AR$495&lt;=GRID_TO)*((('Dvd Calendar'!$AR$495&lt;=VAL_DATE)+(COUNTIF('Dvd Calendar'!$E$502:$AR$502,'Dvd Calendar'!$AR$495)=0))&gt;0)=0,"",'Dvd Calendar'!$AR$495*1000000000+ISNUMBER('Dvd Calendar'!$AR$498)*100000000+('Dvd Calendar'!$AR$500=SPECIAL_LBL)*10000000+(N('Dvd Calendar'!$AR$494)&gt;0)*(N('Dvd Calendar'!$AR$494)&lt;=VAL_SERIAL)*1000000+45*1000+40))</f>
        <v/>
      </c>
      <c r="FS56" s="39">
        <f>IF(N('Dvd Calendar'!$E$502)=0,"",IF(('Dvd Calendar'!$E$502&gt;=GRID_FROM)*('Dvd Calendar'!$E$502&lt;=GRID_TO)*('Dvd Calendar'!$E$502&gt;VAL_DATE)=0,"",'Dvd Calendar'!$E$502*1000000000+ISNUMBER('Dvd Calendar'!$E$503)*100000000+0*10000000+(N('Dvd Calendar'!$E$501)&gt;0)*(N('Dvd Calendar'!$E$501)&lt;=VAL_SERIAL)*1000000+45*1000+41))</f>
        <v/>
      </c>
      <c r="FT56" s="39">
        <f>IF(N('Dvd Calendar'!$F$502)=0,"",IF(('Dvd Calendar'!$F$502&gt;=GRID_FROM)*('Dvd Calendar'!$F$502&lt;=GRID_TO)*('Dvd Calendar'!$F$502&gt;VAL_DATE)=0,"",'Dvd Calendar'!$F$502*1000000000+ISNUMBER('Dvd Calendar'!$F$503)*100000000+0*10000000+(N('Dvd Calendar'!$F$501)&gt;0)*(N('Dvd Calendar'!$F$501)&lt;=VAL_SERIAL)*1000000+45*1000+42))</f>
        <v/>
      </c>
      <c r="FU56" s="39">
        <f>IF(N('Dvd Calendar'!$G$502)=0,"",IF(('Dvd Calendar'!$G$502&gt;=GRID_FROM)*('Dvd Calendar'!$G$502&lt;=GRID_TO)*('Dvd Calendar'!$G$502&gt;VAL_DATE)=0,"",'Dvd Calendar'!$G$502*1000000000+ISNUMBER('Dvd Calendar'!$G$503)*100000000+0*10000000+(N('Dvd Calendar'!$G$501)&gt;0)*(N('Dvd Calendar'!$G$501)&lt;=VAL_SERIAL)*1000000+45*1000+43))</f>
        <v/>
      </c>
      <c r="FV56" s="39">
        <f>IF(N('Dvd Calendar'!$H$502)=0,"",IF(('Dvd Calendar'!$H$502&gt;=GRID_FROM)*('Dvd Calendar'!$H$502&lt;=GRID_TO)*('Dvd Calendar'!$H$502&gt;VAL_DATE)=0,"",'Dvd Calendar'!$H$502*1000000000+ISNUMBER('Dvd Calendar'!$H$503)*100000000+0*10000000+(N('Dvd Calendar'!$H$501)&gt;0)*(N('Dvd Calendar'!$H$501)&lt;=VAL_SERIAL)*1000000+45*1000+44))</f>
        <v/>
      </c>
      <c r="FW56" s="39">
        <f>IF(N('Dvd Calendar'!$I$502)=0,"",IF(('Dvd Calendar'!$I$502&gt;=GRID_FROM)*('Dvd Calendar'!$I$502&lt;=GRID_TO)*('Dvd Calendar'!$I$502&gt;VAL_DATE)=0,"",'Dvd Calendar'!$I$502*1000000000+ISNUMBER('Dvd Calendar'!$I$503)*100000000+0*10000000+(N('Dvd Calendar'!$I$501)&gt;0)*(N('Dvd Calendar'!$I$501)&lt;=VAL_SERIAL)*1000000+45*1000+45))</f>
        <v/>
      </c>
      <c r="FX56" s="39">
        <f>IF(N('Dvd Calendar'!$J$502)=0,"",IF(('Dvd Calendar'!$J$502&gt;=GRID_FROM)*('Dvd Calendar'!$J$502&lt;=GRID_TO)*('Dvd Calendar'!$J$502&gt;VAL_DATE)=0,"",'Dvd Calendar'!$J$502*1000000000+ISNUMBER('Dvd Calendar'!$J$503)*100000000+0*10000000+(N('Dvd Calendar'!$J$501)&gt;0)*(N('Dvd Calendar'!$J$501)&lt;=VAL_SERIAL)*1000000+45*1000+46))</f>
        <v/>
      </c>
      <c r="FY56" s="39">
        <f>IF(N('Dvd Calendar'!$K$502)=0,"",IF(('Dvd Calendar'!$K$502&gt;=GRID_FROM)*('Dvd Calendar'!$K$502&lt;=GRID_TO)*('Dvd Calendar'!$K$502&gt;VAL_DATE)=0,"",'Dvd Calendar'!$K$502*1000000000+ISNUMBER('Dvd Calendar'!$K$503)*100000000+0*10000000+(N('Dvd Calendar'!$K$501)&gt;0)*(N('Dvd Calendar'!$K$501)&lt;=VAL_SERIAL)*1000000+45*1000+47))</f>
        <v/>
      </c>
      <c r="FZ56" s="39">
        <f>IF(N('Dvd Calendar'!$L$502)=0,"",IF(('Dvd Calendar'!$L$502&gt;=GRID_FROM)*('Dvd Calendar'!$L$502&lt;=GRID_TO)*('Dvd Calendar'!$L$502&gt;VAL_DATE)=0,"",'Dvd Calendar'!$L$502*1000000000+ISNUMBER('Dvd Calendar'!$L$503)*100000000+0*10000000+(N('Dvd Calendar'!$L$501)&gt;0)*(N('Dvd Calendar'!$L$501)&lt;=VAL_SERIAL)*1000000+45*1000+48))</f>
        <v/>
      </c>
      <c r="GA56" s="39">
        <f>IF(N('Dvd Calendar'!$M$502)=0,"",IF(('Dvd Calendar'!$M$502&gt;=GRID_FROM)*('Dvd Calendar'!$M$502&lt;=GRID_TO)*('Dvd Calendar'!$M$502&gt;VAL_DATE)=0,"",'Dvd Calendar'!$M$502*1000000000+ISNUMBER('Dvd Calendar'!$M$503)*100000000+0*10000000+(N('Dvd Calendar'!$M$501)&gt;0)*(N('Dvd Calendar'!$M$501)&lt;=VAL_SERIAL)*1000000+45*1000+49))</f>
        <v/>
      </c>
      <c r="GB56" s="39">
        <f>IF(N('Dvd Calendar'!$N$502)=0,"",IF(('Dvd Calendar'!$N$502&gt;=GRID_FROM)*('Dvd Calendar'!$N$502&lt;=GRID_TO)*('Dvd Calendar'!$N$502&gt;VAL_DATE)=0,"",'Dvd Calendar'!$N$502*1000000000+ISNUMBER('Dvd Calendar'!$N$503)*100000000+0*10000000+(N('Dvd Calendar'!$N$501)&gt;0)*(N('Dvd Calendar'!$N$501)&lt;=VAL_SERIAL)*1000000+45*1000+50))</f>
        <v/>
      </c>
      <c r="GC56" s="39">
        <f>IF(N('Dvd Calendar'!$O$502)=0,"",IF(('Dvd Calendar'!$O$502&gt;=GRID_FROM)*('Dvd Calendar'!$O$502&lt;=GRID_TO)*('Dvd Calendar'!$O$502&gt;VAL_DATE)=0,"",'Dvd Calendar'!$O$502*1000000000+ISNUMBER('Dvd Calendar'!$O$503)*100000000+0*10000000+(N('Dvd Calendar'!$O$501)&gt;0)*(N('Dvd Calendar'!$O$501)&lt;=VAL_SERIAL)*1000000+45*1000+51))</f>
        <v/>
      </c>
      <c r="GD56" s="39">
        <f>IF(N('Dvd Calendar'!$P$502)=0,"",IF(('Dvd Calendar'!$P$502&gt;=GRID_FROM)*('Dvd Calendar'!$P$502&lt;=GRID_TO)*('Dvd Calendar'!$P$502&gt;VAL_DATE)=0,"",'Dvd Calendar'!$P$502*1000000000+ISNUMBER('Dvd Calendar'!$P$503)*100000000+0*10000000+(N('Dvd Calendar'!$P$501)&gt;0)*(N('Dvd Calendar'!$P$501)&lt;=VAL_SERIAL)*1000000+45*1000+52))</f>
        <v/>
      </c>
      <c r="GE56" s="39">
        <f>IF(N('Dvd Calendar'!$Q$502)=0,"",IF(('Dvd Calendar'!$Q$502&gt;=GRID_FROM)*('Dvd Calendar'!$Q$502&lt;=GRID_TO)*('Dvd Calendar'!$Q$502&gt;VAL_DATE)=0,"",'Dvd Calendar'!$Q$502*1000000000+ISNUMBER('Dvd Calendar'!$Q$503)*100000000+0*10000000+(N('Dvd Calendar'!$Q$501)&gt;0)*(N('Dvd Calendar'!$Q$501)&lt;=VAL_SERIAL)*1000000+45*1000+53))</f>
        <v/>
      </c>
      <c r="GF56" s="39">
        <f>IF(N('Dvd Calendar'!$R$502)=0,"",IF(('Dvd Calendar'!$R$502&gt;=GRID_FROM)*('Dvd Calendar'!$R$502&lt;=GRID_TO)*('Dvd Calendar'!$R$502&gt;VAL_DATE)=0,"",'Dvd Calendar'!$R$502*1000000000+ISNUMBER('Dvd Calendar'!$R$503)*100000000+0*10000000+(N('Dvd Calendar'!$R$501)&gt;0)*(N('Dvd Calendar'!$R$501)&lt;=VAL_SERIAL)*1000000+45*1000+54))</f>
        <v/>
      </c>
      <c r="GG56" s="39">
        <f>IF(N('Dvd Calendar'!$S$502)=0,"",IF(('Dvd Calendar'!$S$502&gt;=GRID_FROM)*('Dvd Calendar'!$S$502&lt;=GRID_TO)*('Dvd Calendar'!$S$502&gt;VAL_DATE)=0,"",'Dvd Calendar'!$S$502*1000000000+ISNUMBER('Dvd Calendar'!$S$503)*100000000+0*10000000+(N('Dvd Calendar'!$S$501)&gt;0)*(N('Dvd Calendar'!$S$501)&lt;=VAL_SERIAL)*1000000+45*1000+55))</f>
        <v/>
      </c>
      <c r="GH56" s="39">
        <f>IF(N('Dvd Calendar'!$T$502)=0,"",IF(('Dvd Calendar'!$T$502&gt;=GRID_FROM)*('Dvd Calendar'!$T$502&lt;=GRID_TO)*('Dvd Calendar'!$T$502&gt;VAL_DATE)=0,"",'Dvd Calendar'!$T$502*1000000000+ISNUMBER('Dvd Calendar'!$T$503)*100000000+0*10000000+(N('Dvd Calendar'!$T$501)&gt;0)*(N('Dvd Calendar'!$T$501)&lt;=VAL_SERIAL)*1000000+45*1000+56))</f>
        <v/>
      </c>
      <c r="GI56" s="39">
        <f>IF(N('Dvd Calendar'!$U$502)=0,"",IF(('Dvd Calendar'!$U$502&gt;=GRID_FROM)*('Dvd Calendar'!$U$502&lt;=GRID_TO)*('Dvd Calendar'!$U$502&gt;VAL_DATE)=0,"",'Dvd Calendar'!$U$502*1000000000+ISNUMBER('Dvd Calendar'!$U$503)*100000000+0*10000000+(N('Dvd Calendar'!$U$501)&gt;0)*(N('Dvd Calendar'!$U$501)&lt;=VAL_SERIAL)*1000000+45*1000+57))</f>
        <v/>
      </c>
      <c r="GJ56" s="39">
        <f>IF(N('Dvd Calendar'!$V$502)=0,"",IF(('Dvd Calendar'!$V$502&gt;=GRID_FROM)*('Dvd Calendar'!$V$502&lt;=GRID_TO)*('Dvd Calendar'!$V$502&gt;VAL_DATE)=0,"",'Dvd Calendar'!$V$502*1000000000+ISNUMBER('Dvd Calendar'!$V$503)*100000000+0*10000000+(N('Dvd Calendar'!$V$501)&gt;0)*(N('Dvd Calendar'!$V$501)&lt;=VAL_SERIAL)*1000000+45*1000+58))</f>
        <v/>
      </c>
      <c r="GK56" s="39">
        <f>IF(N('Dvd Calendar'!$W$502)=0,"",IF(('Dvd Calendar'!$W$502&gt;=GRID_FROM)*('Dvd Calendar'!$W$502&lt;=GRID_TO)*('Dvd Calendar'!$W$502&gt;VAL_DATE)=0,"",'Dvd Calendar'!$W$502*1000000000+ISNUMBER('Dvd Calendar'!$W$503)*100000000+0*10000000+(N('Dvd Calendar'!$W$501)&gt;0)*(N('Dvd Calendar'!$W$501)&lt;=VAL_SERIAL)*1000000+45*1000+59))</f>
        <v/>
      </c>
      <c r="GL56" s="39">
        <f>IF(N('Dvd Calendar'!$X$502)=0,"",IF(('Dvd Calendar'!$X$502&gt;=GRID_FROM)*('Dvd Calendar'!$X$502&lt;=GRID_TO)*('Dvd Calendar'!$X$502&gt;VAL_DATE)=0,"",'Dvd Calendar'!$X$502*1000000000+ISNUMBER('Dvd Calendar'!$X$503)*100000000+0*10000000+(N('Dvd Calendar'!$X$501)&gt;0)*(N('Dvd Calendar'!$X$501)&lt;=VAL_SERIAL)*1000000+45*1000+60))</f>
        <v/>
      </c>
      <c r="GM56" s="39">
        <f>IF(N('Dvd Calendar'!$Y$502)=0,"",IF(('Dvd Calendar'!$Y$502&gt;=GRID_FROM)*('Dvd Calendar'!$Y$502&lt;=GRID_TO)*('Dvd Calendar'!$Y$502&gt;VAL_DATE)=0,"",'Dvd Calendar'!$Y$502*1000000000+ISNUMBER('Dvd Calendar'!$Y$503)*100000000+0*10000000+(N('Dvd Calendar'!$Y$501)&gt;0)*(N('Dvd Calendar'!$Y$501)&lt;=VAL_SERIAL)*1000000+45*1000+61))</f>
        <v/>
      </c>
      <c r="GN56" s="39">
        <f>IF(N('Dvd Calendar'!$Z$502)=0,"",IF(('Dvd Calendar'!$Z$502&gt;=GRID_FROM)*('Dvd Calendar'!$Z$502&lt;=GRID_TO)*('Dvd Calendar'!$Z$502&gt;VAL_DATE)=0,"",'Dvd Calendar'!$Z$502*1000000000+ISNUMBER('Dvd Calendar'!$Z$503)*100000000+0*10000000+(N('Dvd Calendar'!$Z$501)&gt;0)*(N('Dvd Calendar'!$Z$501)&lt;=VAL_SERIAL)*1000000+45*1000+62))</f>
        <v/>
      </c>
      <c r="GO56" s="39">
        <f>IF(N('Dvd Calendar'!$AA$502)=0,"",IF(('Dvd Calendar'!$AA$502&gt;=GRID_FROM)*('Dvd Calendar'!$AA$502&lt;=GRID_TO)*('Dvd Calendar'!$AA$502&gt;VAL_DATE)=0,"",'Dvd Calendar'!$AA$502*1000000000+ISNUMBER('Dvd Calendar'!$AA$503)*100000000+0*10000000+(N('Dvd Calendar'!$AA$501)&gt;0)*(N('Dvd Calendar'!$AA$501)&lt;=VAL_SERIAL)*1000000+45*1000+63))</f>
        <v/>
      </c>
      <c r="GP56" s="39">
        <f>IF(N('Dvd Calendar'!$AB$502)=0,"",IF(('Dvd Calendar'!$AB$502&gt;=GRID_FROM)*('Dvd Calendar'!$AB$502&lt;=GRID_TO)*('Dvd Calendar'!$AB$502&gt;VAL_DATE)=0,"",'Dvd Calendar'!$AB$502*1000000000+ISNUMBER('Dvd Calendar'!$AB$503)*100000000+0*10000000+(N('Dvd Calendar'!$AB$501)&gt;0)*(N('Dvd Calendar'!$AB$501)&lt;=VAL_SERIAL)*1000000+45*1000+64))</f>
        <v/>
      </c>
      <c r="GQ56" s="39">
        <f>IF(N('Dvd Calendar'!$AC$502)=0,"",IF(('Dvd Calendar'!$AC$502&gt;=GRID_FROM)*('Dvd Calendar'!$AC$502&lt;=GRID_TO)*('Dvd Calendar'!$AC$502&gt;VAL_DATE)=0,"",'Dvd Calendar'!$AC$502*1000000000+ISNUMBER('Dvd Calendar'!$AC$503)*100000000+0*10000000+(N('Dvd Calendar'!$AC$501)&gt;0)*(N('Dvd Calendar'!$AC$501)&lt;=VAL_SERIAL)*1000000+45*1000+65))</f>
        <v/>
      </c>
    </row>
    <row r="57">
      <c r="B57" s="2">
        <f>IF(HSI!$C$52="","",HSI!$C$52)</f>
        <v/>
      </c>
      <c r="C57" s="110">
        <f>IF(EE57="","",IF(ISNUMBER('Dvd Calendar'!$E$509)=FALSE,"",IF((('Dvd Calendar'!$E$511=TYPE1)*(TYPE1&lt;&gt;"")+('Dvd Calendar'!$E$511=TYPE2)*(TYPE2&lt;&gt;"")+('Dvd Calendar'!$E$511=TYPE3)*(TYPE3&lt;&gt;"")+('Dvd Calendar'!$E$511=TYPE4)*(TYPE4&lt;&gt;"")+('Dvd Calendar'!$E$511=SPECIAL_LBL)*(INC_SPECIALS="Y"))=0,"",'Dvd Calendar'!$E$509)))</f>
        <v/>
      </c>
      <c r="D57" s="110">
        <f>IF(EF57="","",IF(ISNUMBER('Dvd Calendar'!$F$509)=FALSE,"",IF((('Dvd Calendar'!$F$511=TYPE1)*(TYPE1&lt;&gt;"")+('Dvd Calendar'!$F$511=TYPE2)*(TYPE2&lt;&gt;"")+('Dvd Calendar'!$F$511=TYPE3)*(TYPE3&lt;&gt;"")+('Dvd Calendar'!$F$511=TYPE4)*(TYPE4&lt;&gt;"")+('Dvd Calendar'!$F$511=SPECIAL_LBL)*(INC_SPECIALS="Y"))=0,"",'Dvd Calendar'!$F$509)))</f>
        <v/>
      </c>
      <c r="E57" s="110">
        <f>IF(EG57="","",IF(ISNUMBER('Dvd Calendar'!$G$509)=FALSE,"",IF((('Dvd Calendar'!$G$511=TYPE1)*(TYPE1&lt;&gt;"")+('Dvd Calendar'!$G$511=TYPE2)*(TYPE2&lt;&gt;"")+('Dvd Calendar'!$G$511=TYPE3)*(TYPE3&lt;&gt;"")+('Dvd Calendar'!$G$511=TYPE4)*(TYPE4&lt;&gt;"")+('Dvd Calendar'!$G$511=SPECIAL_LBL)*(INC_SPECIALS="Y"))=0,"",'Dvd Calendar'!$G$509)))</f>
        <v/>
      </c>
      <c r="F57" s="110">
        <f>IF(EH57="","",IF(ISNUMBER('Dvd Calendar'!$H$509)=FALSE,"",IF((('Dvd Calendar'!$H$511=TYPE1)*(TYPE1&lt;&gt;"")+('Dvd Calendar'!$H$511=TYPE2)*(TYPE2&lt;&gt;"")+('Dvd Calendar'!$H$511=TYPE3)*(TYPE3&lt;&gt;"")+('Dvd Calendar'!$H$511=TYPE4)*(TYPE4&lt;&gt;"")+('Dvd Calendar'!$H$511=SPECIAL_LBL)*(INC_SPECIALS="Y"))=0,"",'Dvd Calendar'!$H$509)))</f>
        <v/>
      </c>
      <c r="G57" s="110">
        <f>IF(EI57="","",IF(ISNUMBER('Dvd Calendar'!$I$509)=FALSE,"",IF((('Dvd Calendar'!$I$511=TYPE1)*(TYPE1&lt;&gt;"")+('Dvd Calendar'!$I$511=TYPE2)*(TYPE2&lt;&gt;"")+('Dvd Calendar'!$I$511=TYPE3)*(TYPE3&lt;&gt;"")+('Dvd Calendar'!$I$511=TYPE4)*(TYPE4&lt;&gt;"")+('Dvd Calendar'!$I$511=SPECIAL_LBL)*(INC_SPECIALS="Y"))=0,"",'Dvd Calendar'!$I$509)))</f>
        <v/>
      </c>
      <c r="H57" s="110">
        <f>IF(EJ57="","",IF(ISNUMBER('Dvd Calendar'!$J$509)=FALSE,"",IF((('Dvd Calendar'!$J$511=TYPE1)*(TYPE1&lt;&gt;"")+('Dvd Calendar'!$J$511=TYPE2)*(TYPE2&lt;&gt;"")+('Dvd Calendar'!$J$511=TYPE3)*(TYPE3&lt;&gt;"")+('Dvd Calendar'!$J$511=TYPE4)*(TYPE4&lt;&gt;"")+('Dvd Calendar'!$J$511=SPECIAL_LBL)*(INC_SPECIALS="Y"))=0,"",'Dvd Calendar'!$J$509)))</f>
        <v/>
      </c>
      <c r="I57" s="110">
        <f>IF(EK57="","",IF(ISNUMBER('Dvd Calendar'!$K$509)=FALSE,"",IF((('Dvd Calendar'!$K$511=TYPE1)*(TYPE1&lt;&gt;"")+('Dvd Calendar'!$K$511=TYPE2)*(TYPE2&lt;&gt;"")+('Dvd Calendar'!$K$511=TYPE3)*(TYPE3&lt;&gt;"")+('Dvd Calendar'!$K$511=TYPE4)*(TYPE4&lt;&gt;"")+('Dvd Calendar'!$K$511=SPECIAL_LBL)*(INC_SPECIALS="Y"))=0,"",'Dvd Calendar'!$K$509)))</f>
        <v/>
      </c>
      <c r="J57" s="110">
        <f>IF(EL57="","",IF(ISNUMBER('Dvd Calendar'!$L$509)=FALSE,"",IF((('Dvd Calendar'!$L$511=TYPE1)*(TYPE1&lt;&gt;"")+('Dvd Calendar'!$L$511=TYPE2)*(TYPE2&lt;&gt;"")+('Dvd Calendar'!$L$511=TYPE3)*(TYPE3&lt;&gt;"")+('Dvd Calendar'!$L$511=TYPE4)*(TYPE4&lt;&gt;"")+('Dvd Calendar'!$L$511=SPECIAL_LBL)*(INC_SPECIALS="Y"))=0,"",'Dvd Calendar'!$L$509)))</f>
        <v/>
      </c>
      <c r="K57" s="110">
        <f>IF(EM57="","",IF(ISNUMBER('Dvd Calendar'!$M$509)=FALSE,"",IF((('Dvd Calendar'!$M$511=TYPE1)*(TYPE1&lt;&gt;"")+('Dvd Calendar'!$M$511=TYPE2)*(TYPE2&lt;&gt;"")+('Dvd Calendar'!$M$511=TYPE3)*(TYPE3&lt;&gt;"")+('Dvd Calendar'!$M$511=TYPE4)*(TYPE4&lt;&gt;"")+('Dvd Calendar'!$M$511=SPECIAL_LBL)*(INC_SPECIALS="Y"))=0,"",'Dvd Calendar'!$M$509)))</f>
        <v/>
      </c>
      <c r="L57" s="110">
        <f>IF(EN57="","",IF(ISNUMBER('Dvd Calendar'!$N$509)=FALSE,"",IF((('Dvd Calendar'!$N$511=TYPE1)*(TYPE1&lt;&gt;"")+('Dvd Calendar'!$N$511=TYPE2)*(TYPE2&lt;&gt;"")+('Dvd Calendar'!$N$511=TYPE3)*(TYPE3&lt;&gt;"")+('Dvd Calendar'!$N$511=TYPE4)*(TYPE4&lt;&gt;"")+('Dvd Calendar'!$N$511=SPECIAL_LBL)*(INC_SPECIALS="Y"))=0,"",'Dvd Calendar'!$N$509)))</f>
        <v/>
      </c>
      <c r="M57" s="110">
        <f>IF(EO57="","",IF(ISNUMBER('Dvd Calendar'!$O$509)=FALSE,"",IF((('Dvd Calendar'!$O$511=TYPE1)*(TYPE1&lt;&gt;"")+('Dvd Calendar'!$O$511=TYPE2)*(TYPE2&lt;&gt;"")+('Dvd Calendar'!$O$511=TYPE3)*(TYPE3&lt;&gt;"")+('Dvd Calendar'!$O$511=TYPE4)*(TYPE4&lt;&gt;"")+('Dvd Calendar'!$O$511=SPECIAL_LBL)*(INC_SPECIALS="Y"))=0,"",'Dvd Calendar'!$O$509)))</f>
        <v/>
      </c>
      <c r="N57" s="110">
        <f>IF(EP57="","",IF(ISNUMBER('Dvd Calendar'!$P$509)=FALSE,"",IF((('Dvd Calendar'!$P$511=TYPE1)*(TYPE1&lt;&gt;"")+('Dvd Calendar'!$P$511=TYPE2)*(TYPE2&lt;&gt;"")+('Dvd Calendar'!$P$511=TYPE3)*(TYPE3&lt;&gt;"")+('Dvd Calendar'!$P$511=TYPE4)*(TYPE4&lt;&gt;"")+('Dvd Calendar'!$P$511=SPECIAL_LBL)*(INC_SPECIALS="Y"))=0,"",'Dvd Calendar'!$P$509)))</f>
        <v/>
      </c>
      <c r="O57" s="110">
        <f>IF(EQ57="","",IF(ISNUMBER('Dvd Calendar'!$Q$509)=FALSE,"",IF((('Dvd Calendar'!$Q$511=TYPE1)*(TYPE1&lt;&gt;"")+('Dvd Calendar'!$Q$511=TYPE2)*(TYPE2&lt;&gt;"")+('Dvd Calendar'!$Q$511=TYPE3)*(TYPE3&lt;&gt;"")+('Dvd Calendar'!$Q$511=TYPE4)*(TYPE4&lt;&gt;"")+('Dvd Calendar'!$Q$511=SPECIAL_LBL)*(INC_SPECIALS="Y"))=0,"",'Dvd Calendar'!$Q$509)))</f>
        <v/>
      </c>
      <c r="P57" s="110">
        <f>IF(ER57="","",IF(ISNUMBER('Dvd Calendar'!$R$509)=FALSE,"",IF((('Dvd Calendar'!$R$511=TYPE1)*(TYPE1&lt;&gt;"")+('Dvd Calendar'!$R$511=TYPE2)*(TYPE2&lt;&gt;"")+('Dvd Calendar'!$R$511=TYPE3)*(TYPE3&lt;&gt;"")+('Dvd Calendar'!$R$511=TYPE4)*(TYPE4&lt;&gt;"")+('Dvd Calendar'!$R$511=SPECIAL_LBL)*(INC_SPECIALS="Y"))=0,"",'Dvd Calendar'!$R$509)))</f>
        <v/>
      </c>
      <c r="Q57" s="110">
        <f>IF(ES57="","",IF(ISNUMBER('Dvd Calendar'!$S$509)=FALSE,"",IF((('Dvd Calendar'!$S$511=TYPE1)*(TYPE1&lt;&gt;"")+('Dvd Calendar'!$S$511=TYPE2)*(TYPE2&lt;&gt;"")+('Dvd Calendar'!$S$511=TYPE3)*(TYPE3&lt;&gt;"")+('Dvd Calendar'!$S$511=TYPE4)*(TYPE4&lt;&gt;"")+('Dvd Calendar'!$S$511=SPECIAL_LBL)*(INC_SPECIALS="Y"))=0,"",'Dvd Calendar'!$S$509)))</f>
        <v/>
      </c>
      <c r="R57" s="110">
        <f>IF(ET57="","",IF(ISNUMBER('Dvd Calendar'!$T$509)=FALSE,"",IF((('Dvd Calendar'!$T$511=TYPE1)*(TYPE1&lt;&gt;"")+('Dvd Calendar'!$T$511=TYPE2)*(TYPE2&lt;&gt;"")+('Dvd Calendar'!$T$511=TYPE3)*(TYPE3&lt;&gt;"")+('Dvd Calendar'!$T$511=TYPE4)*(TYPE4&lt;&gt;"")+('Dvd Calendar'!$T$511=SPECIAL_LBL)*(INC_SPECIALS="Y"))=0,"",'Dvd Calendar'!$T$509)))</f>
        <v/>
      </c>
      <c r="S57" s="110">
        <f>IF(EU57="","",IF(ISNUMBER('Dvd Calendar'!$U$509)=FALSE,"",IF((('Dvd Calendar'!$U$511=TYPE1)*(TYPE1&lt;&gt;"")+('Dvd Calendar'!$U$511=TYPE2)*(TYPE2&lt;&gt;"")+('Dvd Calendar'!$U$511=TYPE3)*(TYPE3&lt;&gt;"")+('Dvd Calendar'!$U$511=TYPE4)*(TYPE4&lt;&gt;"")+('Dvd Calendar'!$U$511=SPECIAL_LBL)*(INC_SPECIALS="Y"))=0,"",'Dvd Calendar'!$U$509)))</f>
        <v/>
      </c>
      <c r="T57" s="110">
        <f>IF(EV57="","",IF(ISNUMBER('Dvd Calendar'!$V$509)=FALSE,"",IF((('Dvd Calendar'!$V$511=TYPE1)*(TYPE1&lt;&gt;"")+('Dvd Calendar'!$V$511=TYPE2)*(TYPE2&lt;&gt;"")+('Dvd Calendar'!$V$511=TYPE3)*(TYPE3&lt;&gt;"")+('Dvd Calendar'!$V$511=TYPE4)*(TYPE4&lt;&gt;"")+('Dvd Calendar'!$V$511=SPECIAL_LBL)*(INC_SPECIALS="Y"))=0,"",'Dvd Calendar'!$V$509)))</f>
        <v/>
      </c>
      <c r="U57" s="110">
        <f>IF(EW57="","",IF(ISNUMBER('Dvd Calendar'!$W$509)=FALSE,"",IF((('Dvd Calendar'!$W$511=TYPE1)*(TYPE1&lt;&gt;"")+('Dvd Calendar'!$W$511=TYPE2)*(TYPE2&lt;&gt;"")+('Dvd Calendar'!$W$511=TYPE3)*(TYPE3&lt;&gt;"")+('Dvd Calendar'!$W$511=TYPE4)*(TYPE4&lt;&gt;"")+('Dvd Calendar'!$W$511=SPECIAL_LBL)*(INC_SPECIALS="Y"))=0,"",'Dvd Calendar'!$W$509)))</f>
        <v/>
      </c>
      <c r="V57" s="110">
        <f>IF(EX57="","",IF(ISNUMBER('Dvd Calendar'!$X$509)=FALSE,"",IF((('Dvd Calendar'!$X$511=TYPE1)*(TYPE1&lt;&gt;"")+('Dvd Calendar'!$X$511=TYPE2)*(TYPE2&lt;&gt;"")+('Dvd Calendar'!$X$511=TYPE3)*(TYPE3&lt;&gt;"")+('Dvd Calendar'!$X$511=TYPE4)*(TYPE4&lt;&gt;"")+('Dvd Calendar'!$X$511=SPECIAL_LBL)*(INC_SPECIALS="Y"))=0,"",'Dvd Calendar'!$X$509)))</f>
        <v/>
      </c>
      <c r="W57" s="110">
        <f>IF(EY57="","",IF(ISNUMBER('Dvd Calendar'!$Y$509)=FALSE,"",IF((('Dvd Calendar'!$Y$511=TYPE1)*(TYPE1&lt;&gt;"")+('Dvd Calendar'!$Y$511=TYPE2)*(TYPE2&lt;&gt;"")+('Dvd Calendar'!$Y$511=TYPE3)*(TYPE3&lt;&gt;"")+('Dvd Calendar'!$Y$511=TYPE4)*(TYPE4&lt;&gt;"")+('Dvd Calendar'!$Y$511=SPECIAL_LBL)*(INC_SPECIALS="Y"))=0,"",'Dvd Calendar'!$Y$509)))</f>
        <v/>
      </c>
      <c r="X57" s="110">
        <f>IF(EZ57="","",IF(ISNUMBER('Dvd Calendar'!$Z$509)=FALSE,"",IF((('Dvd Calendar'!$Z$511=TYPE1)*(TYPE1&lt;&gt;"")+('Dvd Calendar'!$Z$511=TYPE2)*(TYPE2&lt;&gt;"")+('Dvd Calendar'!$Z$511=TYPE3)*(TYPE3&lt;&gt;"")+('Dvd Calendar'!$Z$511=TYPE4)*(TYPE4&lt;&gt;"")+('Dvd Calendar'!$Z$511=SPECIAL_LBL)*(INC_SPECIALS="Y"))=0,"",'Dvd Calendar'!$Z$509)))</f>
        <v/>
      </c>
      <c r="Y57" s="110">
        <f>IF(FA57="","",IF(ISNUMBER('Dvd Calendar'!$AA$509)=FALSE,"",IF((('Dvd Calendar'!$AA$511=TYPE1)*(TYPE1&lt;&gt;"")+('Dvd Calendar'!$AA$511=TYPE2)*(TYPE2&lt;&gt;"")+('Dvd Calendar'!$AA$511=TYPE3)*(TYPE3&lt;&gt;"")+('Dvd Calendar'!$AA$511=TYPE4)*(TYPE4&lt;&gt;"")+('Dvd Calendar'!$AA$511=SPECIAL_LBL)*(INC_SPECIALS="Y"))=0,"",'Dvd Calendar'!$AA$509)))</f>
        <v/>
      </c>
      <c r="Z57" s="110">
        <f>IF(FB57="","",IF(ISNUMBER('Dvd Calendar'!$AB$509)=FALSE,"",IF((('Dvd Calendar'!$AB$511=TYPE1)*(TYPE1&lt;&gt;"")+('Dvd Calendar'!$AB$511=TYPE2)*(TYPE2&lt;&gt;"")+('Dvd Calendar'!$AB$511=TYPE3)*(TYPE3&lt;&gt;"")+('Dvd Calendar'!$AB$511=TYPE4)*(TYPE4&lt;&gt;"")+('Dvd Calendar'!$AB$511=SPECIAL_LBL)*(INC_SPECIALS="Y"))=0,"",'Dvd Calendar'!$AB$509)))</f>
        <v/>
      </c>
      <c r="AA57" s="110">
        <f>IF(FC57="","",IF(ISNUMBER('Dvd Calendar'!$AC$509)=FALSE,"",IF((('Dvd Calendar'!$AC$511=TYPE1)*(TYPE1&lt;&gt;"")+('Dvd Calendar'!$AC$511=TYPE2)*(TYPE2&lt;&gt;"")+('Dvd Calendar'!$AC$511=TYPE3)*(TYPE3&lt;&gt;"")+('Dvd Calendar'!$AC$511=TYPE4)*(TYPE4&lt;&gt;"")+('Dvd Calendar'!$AC$511=SPECIAL_LBL)*(INC_SPECIALS="Y"))=0,"",'Dvd Calendar'!$AC$509)))</f>
        <v/>
      </c>
      <c r="AB57" s="110">
        <f>IF(FD57="","",IF(ISNUMBER('Dvd Calendar'!$AD$509)=FALSE,"",IF((('Dvd Calendar'!$AD$511=TYPE1)*(TYPE1&lt;&gt;"")+('Dvd Calendar'!$AD$511=TYPE2)*(TYPE2&lt;&gt;"")+('Dvd Calendar'!$AD$511=TYPE3)*(TYPE3&lt;&gt;"")+('Dvd Calendar'!$AD$511=TYPE4)*(TYPE4&lt;&gt;"")+('Dvd Calendar'!$AD$511=SPECIAL_LBL)*(INC_SPECIALS="Y"))=0,"",'Dvd Calendar'!$AD$509)))</f>
        <v/>
      </c>
      <c r="AC57" s="110">
        <f>IF(FE57="","",IF(ISNUMBER('Dvd Calendar'!$AE$509)=FALSE,"",IF((('Dvd Calendar'!$AE$511=TYPE1)*(TYPE1&lt;&gt;"")+('Dvd Calendar'!$AE$511=TYPE2)*(TYPE2&lt;&gt;"")+('Dvd Calendar'!$AE$511=TYPE3)*(TYPE3&lt;&gt;"")+('Dvd Calendar'!$AE$511=TYPE4)*(TYPE4&lt;&gt;"")+('Dvd Calendar'!$AE$511=SPECIAL_LBL)*(INC_SPECIALS="Y"))=0,"",'Dvd Calendar'!$AE$509)))</f>
        <v/>
      </c>
      <c r="AD57" s="110">
        <f>IF(FF57="","",IF(ISNUMBER('Dvd Calendar'!$AF$509)=FALSE,"",IF((('Dvd Calendar'!$AF$511=TYPE1)*(TYPE1&lt;&gt;"")+('Dvd Calendar'!$AF$511=TYPE2)*(TYPE2&lt;&gt;"")+('Dvd Calendar'!$AF$511=TYPE3)*(TYPE3&lt;&gt;"")+('Dvd Calendar'!$AF$511=TYPE4)*(TYPE4&lt;&gt;"")+('Dvd Calendar'!$AF$511=SPECIAL_LBL)*(INC_SPECIALS="Y"))=0,"",'Dvd Calendar'!$AF$509)))</f>
        <v/>
      </c>
      <c r="AE57" s="110">
        <f>IF(FG57="","",IF(ISNUMBER('Dvd Calendar'!$AG$509)=FALSE,"",IF((('Dvd Calendar'!$AG$511=TYPE1)*(TYPE1&lt;&gt;"")+('Dvd Calendar'!$AG$511=TYPE2)*(TYPE2&lt;&gt;"")+('Dvd Calendar'!$AG$511=TYPE3)*(TYPE3&lt;&gt;"")+('Dvd Calendar'!$AG$511=TYPE4)*(TYPE4&lt;&gt;"")+('Dvd Calendar'!$AG$511=SPECIAL_LBL)*(INC_SPECIALS="Y"))=0,"",'Dvd Calendar'!$AG$509)))</f>
        <v/>
      </c>
      <c r="AF57" s="110">
        <f>IF(FH57="","",IF(ISNUMBER('Dvd Calendar'!$AH$509)=FALSE,"",IF((('Dvd Calendar'!$AH$511=TYPE1)*(TYPE1&lt;&gt;"")+('Dvd Calendar'!$AH$511=TYPE2)*(TYPE2&lt;&gt;"")+('Dvd Calendar'!$AH$511=TYPE3)*(TYPE3&lt;&gt;"")+('Dvd Calendar'!$AH$511=TYPE4)*(TYPE4&lt;&gt;"")+('Dvd Calendar'!$AH$511=SPECIAL_LBL)*(INC_SPECIALS="Y"))=0,"",'Dvd Calendar'!$AH$509)))</f>
        <v/>
      </c>
      <c r="AG57" s="110">
        <f>IF(FI57="","",IF(ISNUMBER('Dvd Calendar'!$AI$509)=FALSE,"",IF((('Dvd Calendar'!$AI$511=TYPE1)*(TYPE1&lt;&gt;"")+('Dvd Calendar'!$AI$511=TYPE2)*(TYPE2&lt;&gt;"")+('Dvd Calendar'!$AI$511=TYPE3)*(TYPE3&lt;&gt;"")+('Dvd Calendar'!$AI$511=TYPE4)*(TYPE4&lt;&gt;"")+('Dvd Calendar'!$AI$511=SPECIAL_LBL)*(INC_SPECIALS="Y"))=0,"",'Dvd Calendar'!$AI$509)))</f>
        <v/>
      </c>
      <c r="AH57" s="110">
        <f>IF(FJ57="","",IF(ISNUMBER('Dvd Calendar'!$AJ$509)=FALSE,"",IF((('Dvd Calendar'!$AJ$511=TYPE1)*(TYPE1&lt;&gt;"")+('Dvd Calendar'!$AJ$511=TYPE2)*(TYPE2&lt;&gt;"")+('Dvd Calendar'!$AJ$511=TYPE3)*(TYPE3&lt;&gt;"")+('Dvd Calendar'!$AJ$511=TYPE4)*(TYPE4&lt;&gt;"")+('Dvd Calendar'!$AJ$511=SPECIAL_LBL)*(INC_SPECIALS="Y"))=0,"",'Dvd Calendar'!$AJ$509)))</f>
        <v/>
      </c>
      <c r="AI57" s="110">
        <f>IF(FK57="","",IF(ISNUMBER('Dvd Calendar'!$AK$509)=FALSE,"",IF((('Dvd Calendar'!$AK$511=TYPE1)*(TYPE1&lt;&gt;"")+('Dvd Calendar'!$AK$511=TYPE2)*(TYPE2&lt;&gt;"")+('Dvd Calendar'!$AK$511=TYPE3)*(TYPE3&lt;&gt;"")+('Dvd Calendar'!$AK$511=TYPE4)*(TYPE4&lt;&gt;"")+('Dvd Calendar'!$AK$511=SPECIAL_LBL)*(INC_SPECIALS="Y"))=0,"",'Dvd Calendar'!$AK$509)))</f>
        <v/>
      </c>
      <c r="AJ57" s="110">
        <f>IF(FL57="","",IF(ISNUMBER('Dvd Calendar'!$AL$509)=FALSE,"",IF((('Dvd Calendar'!$AL$511=TYPE1)*(TYPE1&lt;&gt;"")+('Dvd Calendar'!$AL$511=TYPE2)*(TYPE2&lt;&gt;"")+('Dvd Calendar'!$AL$511=TYPE3)*(TYPE3&lt;&gt;"")+('Dvd Calendar'!$AL$511=TYPE4)*(TYPE4&lt;&gt;"")+('Dvd Calendar'!$AL$511=SPECIAL_LBL)*(INC_SPECIALS="Y"))=0,"",'Dvd Calendar'!$AL$509)))</f>
        <v/>
      </c>
      <c r="AK57" s="110">
        <f>IF(FM57="","",IF(ISNUMBER('Dvd Calendar'!$AM$509)=FALSE,"",IF((('Dvd Calendar'!$AM$511=TYPE1)*(TYPE1&lt;&gt;"")+('Dvd Calendar'!$AM$511=TYPE2)*(TYPE2&lt;&gt;"")+('Dvd Calendar'!$AM$511=TYPE3)*(TYPE3&lt;&gt;"")+('Dvd Calendar'!$AM$511=TYPE4)*(TYPE4&lt;&gt;"")+('Dvd Calendar'!$AM$511=SPECIAL_LBL)*(INC_SPECIALS="Y"))=0,"",'Dvd Calendar'!$AM$509)))</f>
        <v/>
      </c>
      <c r="AL57" s="110">
        <f>IF(FN57="","",IF(ISNUMBER('Dvd Calendar'!$AN$509)=FALSE,"",IF((('Dvd Calendar'!$AN$511=TYPE1)*(TYPE1&lt;&gt;"")+('Dvd Calendar'!$AN$511=TYPE2)*(TYPE2&lt;&gt;"")+('Dvd Calendar'!$AN$511=TYPE3)*(TYPE3&lt;&gt;"")+('Dvd Calendar'!$AN$511=TYPE4)*(TYPE4&lt;&gt;"")+('Dvd Calendar'!$AN$511=SPECIAL_LBL)*(INC_SPECIALS="Y"))=0,"",'Dvd Calendar'!$AN$509)))</f>
        <v/>
      </c>
      <c r="AM57" s="110">
        <f>IF(FO57="","",IF(ISNUMBER('Dvd Calendar'!$AO$509)=FALSE,"",IF((('Dvd Calendar'!$AO$511=TYPE1)*(TYPE1&lt;&gt;"")+('Dvd Calendar'!$AO$511=TYPE2)*(TYPE2&lt;&gt;"")+('Dvd Calendar'!$AO$511=TYPE3)*(TYPE3&lt;&gt;"")+('Dvd Calendar'!$AO$511=TYPE4)*(TYPE4&lt;&gt;"")+('Dvd Calendar'!$AO$511=SPECIAL_LBL)*(INC_SPECIALS="Y"))=0,"",'Dvd Calendar'!$AO$509)))</f>
        <v/>
      </c>
      <c r="AN57" s="110">
        <f>IF(FP57="","",IF(ISNUMBER('Dvd Calendar'!$AP$509)=FALSE,"",IF((('Dvd Calendar'!$AP$511=TYPE1)*(TYPE1&lt;&gt;"")+('Dvd Calendar'!$AP$511=TYPE2)*(TYPE2&lt;&gt;"")+('Dvd Calendar'!$AP$511=TYPE3)*(TYPE3&lt;&gt;"")+('Dvd Calendar'!$AP$511=TYPE4)*(TYPE4&lt;&gt;"")+('Dvd Calendar'!$AP$511=SPECIAL_LBL)*(INC_SPECIALS="Y"))=0,"",'Dvd Calendar'!$AP$509)))</f>
        <v/>
      </c>
      <c r="AO57" s="110">
        <f>IF(FQ57="","",IF(ISNUMBER('Dvd Calendar'!$AQ$509)=FALSE,"",IF((('Dvd Calendar'!$AQ$511=TYPE1)*(TYPE1&lt;&gt;"")+('Dvd Calendar'!$AQ$511=TYPE2)*(TYPE2&lt;&gt;"")+('Dvd Calendar'!$AQ$511=TYPE3)*(TYPE3&lt;&gt;"")+('Dvd Calendar'!$AQ$511=TYPE4)*(TYPE4&lt;&gt;"")+('Dvd Calendar'!$AQ$511=SPECIAL_LBL)*(INC_SPECIALS="Y"))=0,"",'Dvd Calendar'!$AQ$509)))</f>
        <v/>
      </c>
      <c r="AP57" s="110">
        <f>IF(FR57="","",IF(ISNUMBER('Dvd Calendar'!$AR$509)=FALSE,"",IF((('Dvd Calendar'!$AR$511=TYPE1)*(TYPE1&lt;&gt;"")+('Dvd Calendar'!$AR$511=TYPE2)*(TYPE2&lt;&gt;"")+('Dvd Calendar'!$AR$511=TYPE3)*(TYPE3&lt;&gt;"")+('Dvd Calendar'!$AR$511=TYPE4)*(TYPE4&lt;&gt;"")+('Dvd Calendar'!$AR$511=SPECIAL_LBL)*(INC_SPECIALS="Y"))=0,"",'Dvd Calendar'!$AR$509)))</f>
        <v/>
      </c>
      <c r="AQ57" s="110">
        <f>IF(FS57="","",IF(ISNUMBER('Dvd Calendar'!$E$514)=FALSE,"",'Dvd Calendar'!$E$514))</f>
        <v/>
      </c>
      <c r="AR57" s="110">
        <f>IF(FT57="","",IF(ISNUMBER('Dvd Calendar'!$F$514)=FALSE,"",'Dvd Calendar'!$F$514))</f>
        <v/>
      </c>
      <c r="AS57" s="110">
        <f>IF(FU57="","",IF(ISNUMBER('Dvd Calendar'!$G$514)=FALSE,"",'Dvd Calendar'!$G$514))</f>
        <v/>
      </c>
      <c r="AT57" s="110">
        <f>IF(FV57="","",IF(ISNUMBER('Dvd Calendar'!$H$514)=FALSE,"",'Dvd Calendar'!$H$514))</f>
        <v/>
      </c>
      <c r="AU57" s="110">
        <f>IF(FW57="","",IF(ISNUMBER('Dvd Calendar'!$I$514)=FALSE,"",'Dvd Calendar'!$I$514))</f>
        <v/>
      </c>
      <c r="AV57" s="110">
        <f>IF(FX57="","",IF(ISNUMBER('Dvd Calendar'!$J$514)=FALSE,"",'Dvd Calendar'!$J$514))</f>
        <v/>
      </c>
      <c r="AW57" s="110">
        <f>IF(FY57="","",IF(ISNUMBER('Dvd Calendar'!$K$514)=FALSE,"",'Dvd Calendar'!$K$514))</f>
        <v/>
      </c>
      <c r="AX57" s="110">
        <f>IF(FZ57="","",IF(ISNUMBER('Dvd Calendar'!$L$514)=FALSE,"",'Dvd Calendar'!$L$514))</f>
        <v/>
      </c>
      <c r="AY57" s="110">
        <f>IF(GA57="","",IF(ISNUMBER('Dvd Calendar'!$M$514)=FALSE,"",'Dvd Calendar'!$M$514))</f>
        <v/>
      </c>
      <c r="AZ57" s="110">
        <f>IF(GB57="","",IF(ISNUMBER('Dvd Calendar'!$N$514)=FALSE,"",'Dvd Calendar'!$N$514))</f>
        <v/>
      </c>
      <c r="BA57" s="110">
        <f>IF(GC57="","",IF(ISNUMBER('Dvd Calendar'!$O$514)=FALSE,"",'Dvd Calendar'!$O$514))</f>
        <v/>
      </c>
      <c r="BB57" s="110">
        <f>IF(GD57="","",IF(ISNUMBER('Dvd Calendar'!$P$514)=FALSE,"",'Dvd Calendar'!$P$514))</f>
        <v/>
      </c>
      <c r="BC57" s="110">
        <f>IF(GE57="","",IF(ISNUMBER('Dvd Calendar'!$Q$514)=FALSE,"",'Dvd Calendar'!$Q$514))</f>
        <v/>
      </c>
      <c r="BD57" s="110">
        <f>IF(GF57="","",IF(ISNUMBER('Dvd Calendar'!$R$514)=FALSE,"",'Dvd Calendar'!$R$514))</f>
        <v/>
      </c>
      <c r="BE57" s="110">
        <f>IF(GG57="","",IF(ISNUMBER('Dvd Calendar'!$S$514)=FALSE,"",'Dvd Calendar'!$S$514))</f>
        <v/>
      </c>
      <c r="BF57" s="110">
        <f>IF(GH57="","",IF(ISNUMBER('Dvd Calendar'!$T$514)=FALSE,"",'Dvd Calendar'!$T$514))</f>
        <v/>
      </c>
      <c r="BG57" s="110">
        <f>IF(GI57="","",IF(ISNUMBER('Dvd Calendar'!$U$514)=FALSE,"",'Dvd Calendar'!$U$514))</f>
        <v/>
      </c>
      <c r="BH57" s="110">
        <f>IF(GJ57="","",IF(ISNUMBER('Dvd Calendar'!$V$514)=FALSE,"",'Dvd Calendar'!$V$514))</f>
        <v/>
      </c>
      <c r="BI57" s="110">
        <f>IF(GK57="","",IF(ISNUMBER('Dvd Calendar'!$W$514)=FALSE,"",'Dvd Calendar'!$W$514))</f>
        <v/>
      </c>
      <c r="BJ57" s="110">
        <f>IF(GL57="","",IF(ISNUMBER('Dvd Calendar'!$X$514)=FALSE,"",'Dvd Calendar'!$X$514))</f>
        <v/>
      </c>
      <c r="BK57" s="110">
        <f>IF(GM57="","",IF(ISNUMBER('Dvd Calendar'!$Y$514)=FALSE,"",'Dvd Calendar'!$Y$514))</f>
        <v/>
      </c>
      <c r="BL57" s="110">
        <f>IF(GN57="","",IF(ISNUMBER('Dvd Calendar'!$Z$514)=FALSE,"",'Dvd Calendar'!$Z$514))</f>
        <v/>
      </c>
      <c r="BM57" s="110">
        <f>IF(GO57="","",IF(ISNUMBER('Dvd Calendar'!$AA$514)=FALSE,"",'Dvd Calendar'!$AA$514))</f>
        <v/>
      </c>
      <c r="BN57" s="110">
        <f>IF(GP57="","",IF(ISNUMBER('Dvd Calendar'!$AB$514)=FALSE,"",'Dvd Calendar'!$AB$514))</f>
        <v/>
      </c>
      <c r="BO57" s="110">
        <f>IF(GQ57="","",IF(ISNUMBER('Dvd Calendar'!$AC$514)=FALSE,"",'Dvd Calendar'!$AC$514))</f>
        <v/>
      </c>
      <c r="BQ57" s="110">
        <f>IF(C57="","",IFERROR(C57*HSI!$B$52*HSI!$G$52/HSI!$B$3,""))</f>
        <v/>
      </c>
      <c r="BR57" s="110">
        <f>IF(D57="","",IFERROR(D57*HSI!$B$52*HSI!$G$52/HSI!$B$3,""))</f>
        <v/>
      </c>
      <c r="BS57" s="110">
        <f>IF(E57="","",IFERROR(E57*HSI!$B$52*HSI!$G$52/HSI!$B$3,""))</f>
        <v/>
      </c>
      <c r="BT57" s="110">
        <f>IF(F57="","",IFERROR(F57*HSI!$B$52*HSI!$G$52/HSI!$B$3,""))</f>
        <v/>
      </c>
      <c r="BU57" s="110">
        <f>IF(G57="","",IFERROR(G57*HSI!$B$52*HSI!$G$52/HSI!$B$3,""))</f>
        <v/>
      </c>
      <c r="BV57" s="110">
        <f>IF(H57="","",IFERROR(H57*HSI!$B$52*HSI!$G$52/HSI!$B$3,""))</f>
        <v/>
      </c>
      <c r="BW57" s="110">
        <f>IF(I57="","",IFERROR(I57*HSI!$B$52*HSI!$G$52/HSI!$B$3,""))</f>
        <v/>
      </c>
      <c r="BX57" s="110">
        <f>IF(J57="","",IFERROR(J57*HSI!$B$52*HSI!$G$52/HSI!$B$3,""))</f>
        <v/>
      </c>
      <c r="BY57" s="110">
        <f>IF(K57="","",IFERROR(K57*HSI!$B$52*HSI!$G$52/HSI!$B$3,""))</f>
        <v/>
      </c>
      <c r="BZ57" s="110">
        <f>IF(L57="","",IFERROR(L57*HSI!$B$52*HSI!$G$52/HSI!$B$3,""))</f>
        <v/>
      </c>
      <c r="CA57" s="110">
        <f>IF(M57="","",IFERROR(M57*HSI!$B$52*HSI!$G$52/HSI!$B$3,""))</f>
        <v/>
      </c>
      <c r="CB57" s="110">
        <f>IF(N57="","",IFERROR(N57*HSI!$B$52*HSI!$G$52/HSI!$B$3,""))</f>
        <v/>
      </c>
      <c r="CC57" s="110">
        <f>IF(O57="","",IFERROR(O57*HSI!$B$52*HSI!$G$52/HSI!$B$3,""))</f>
        <v/>
      </c>
      <c r="CD57" s="110">
        <f>IF(P57="","",IFERROR(P57*HSI!$B$52*HSI!$G$52/HSI!$B$3,""))</f>
        <v/>
      </c>
      <c r="CE57" s="110">
        <f>IF(Q57="","",IFERROR(Q57*HSI!$B$52*HSI!$G$52/HSI!$B$3,""))</f>
        <v/>
      </c>
      <c r="CF57" s="110">
        <f>IF(R57="","",IFERROR(R57*HSI!$B$52*HSI!$G$52/HSI!$B$3,""))</f>
        <v/>
      </c>
      <c r="CG57" s="110">
        <f>IF(S57="","",IFERROR(S57*HSI!$B$52*HSI!$G$52/HSI!$B$3,""))</f>
        <v/>
      </c>
      <c r="CH57" s="110">
        <f>IF(T57="","",IFERROR(T57*HSI!$B$52*HSI!$G$52/HSI!$B$3,""))</f>
        <v/>
      </c>
      <c r="CI57" s="110">
        <f>IF(U57="","",IFERROR(U57*HSI!$B$52*HSI!$G$52/HSI!$B$3,""))</f>
        <v/>
      </c>
      <c r="CJ57" s="110">
        <f>IF(V57="","",IFERROR(V57*HSI!$B$52*HSI!$G$52/HSI!$B$3,""))</f>
        <v/>
      </c>
      <c r="CK57" s="110">
        <f>IF(W57="","",IFERROR(W57*HSI!$B$52*HSI!$G$52/HSI!$B$3,""))</f>
        <v/>
      </c>
      <c r="CL57" s="110">
        <f>IF(X57="","",IFERROR(X57*HSI!$B$52*HSI!$G$52/HSI!$B$3,""))</f>
        <v/>
      </c>
      <c r="CM57" s="110">
        <f>IF(Y57="","",IFERROR(Y57*HSI!$B$52*HSI!$G$52/HSI!$B$3,""))</f>
        <v/>
      </c>
      <c r="CN57" s="110">
        <f>IF(Z57="","",IFERROR(Z57*HSI!$B$52*HSI!$G$52/HSI!$B$3,""))</f>
        <v/>
      </c>
      <c r="CO57" s="110">
        <f>IF(AA57="","",IFERROR(AA57*HSI!$B$52*HSI!$G$52/HSI!$B$3,""))</f>
        <v/>
      </c>
      <c r="CP57" s="110">
        <f>IF(AB57="","",IFERROR(AB57*HSI!$B$52*HSI!$G$52/HSI!$B$3,""))</f>
        <v/>
      </c>
      <c r="CQ57" s="110">
        <f>IF(AC57="","",IFERROR(AC57*HSI!$B$52*HSI!$G$52/HSI!$B$3,""))</f>
        <v/>
      </c>
      <c r="CR57" s="110">
        <f>IF(AD57="","",IFERROR(AD57*HSI!$B$52*HSI!$G$52/HSI!$B$3,""))</f>
        <v/>
      </c>
      <c r="CS57" s="110">
        <f>IF(AE57="","",IFERROR(AE57*HSI!$B$52*HSI!$G$52/HSI!$B$3,""))</f>
        <v/>
      </c>
      <c r="CT57" s="110">
        <f>IF(AF57="","",IFERROR(AF57*HSI!$B$52*HSI!$G$52/HSI!$B$3,""))</f>
        <v/>
      </c>
      <c r="CU57" s="110">
        <f>IF(AG57="","",IFERROR(AG57*HSI!$B$52*HSI!$G$52/HSI!$B$3,""))</f>
        <v/>
      </c>
      <c r="CV57" s="110">
        <f>IF(AH57="","",IFERROR(AH57*HSI!$B$52*HSI!$G$52/HSI!$B$3,""))</f>
        <v/>
      </c>
      <c r="CW57" s="110">
        <f>IF(AI57="","",IFERROR(AI57*HSI!$B$52*HSI!$G$52/HSI!$B$3,""))</f>
        <v/>
      </c>
      <c r="CX57" s="110">
        <f>IF(AJ57="","",IFERROR(AJ57*HSI!$B$52*HSI!$G$52/HSI!$B$3,""))</f>
        <v/>
      </c>
      <c r="CY57" s="110">
        <f>IF(AK57="","",IFERROR(AK57*HSI!$B$52*HSI!$G$52/HSI!$B$3,""))</f>
        <v/>
      </c>
      <c r="CZ57" s="110">
        <f>IF(AL57="","",IFERROR(AL57*HSI!$B$52*HSI!$G$52/HSI!$B$3,""))</f>
        <v/>
      </c>
      <c r="DA57" s="110">
        <f>IF(AM57="","",IFERROR(AM57*HSI!$B$52*HSI!$G$52/HSI!$B$3,""))</f>
        <v/>
      </c>
      <c r="DB57" s="110">
        <f>IF(AN57="","",IFERROR(AN57*HSI!$B$52*HSI!$G$52/HSI!$B$3,""))</f>
        <v/>
      </c>
      <c r="DC57" s="110">
        <f>IF(AO57="","",IFERROR(AO57*HSI!$B$52*HSI!$G$52/HSI!$B$3,""))</f>
        <v/>
      </c>
      <c r="DD57" s="110">
        <f>IF(AP57="","",IFERROR(AP57*HSI!$B$52*HSI!$G$52/HSI!$B$3,""))</f>
        <v/>
      </c>
      <c r="DE57" s="110">
        <f>IF(AQ57="","",IFERROR(AQ57*HSI!$B$52*HSI!$G$52/HSI!$B$3,""))</f>
        <v/>
      </c>
      <c r="DF57" s="110">
        <f>IF(AR57="","",IFERROR(AR57*HSI!$B$52*HSI!$G$52/HSI!$B$3,""))</f>
        <v/>
      </c>
      <c r="DG57" s="110">
        <f>IF(AS57="","",IFERROR(AS57*HSI!$B$52*HSI!$G$52/HSI!$B$3,""))</f>
        <v/>
      </c>
      <c r="DH57" s="110">
        <f>IF(AT57="","",IFERROR(AT57*HSI!$B$52*HSI!$G$52/HSI!$B$3,""))</f>
        <v/>
      </c>
      <c r="DI57" s="110">
        <f>IF(AU57="","",IFERROR(AU57*HSI!$B$52*HSI!$G$52/HSI!$B$3,""))</f>
        <v/>
      </c>
      <c r="DJ57" s="110">
        <f>IF(AV57="","",IFERROR(AV57*HSI!$B$52*HSI!$G$52/HSI!$B$3,""))</f>
        <v/>
      </c>
      <c r="DK57" s="110">
        <f>IF(AW57="","",IFERROR(AW57*HSI!$B$52*HSI!$G$52/HSI!$B$3,""))</f>
        <v/>
      </c>
      <c r="DL57" s="110">
        <f>IF(AX57="","",IFERROR(AX57*HSI!$B$52*HSI!$G$52/HSI!$B$3,""))</f>
        <v/>
      </c>
      <c r="DM57" s="110">
        <f>IF(AY57="","",IFERROR(AY57*HSI!$B$52*HSI!$G$52/HSI!$B$3,""))</f>
        <v/>
      </c>
      <c r="DN57" s="110">
        <f>IF(AZ57="","",IFERROR(AZ57*HSI!$B$52*HSI!$G$52/HSI!$B$3,""))</f>
        <v/>
      </c>
      <c r="DO57" s="110">
        <f>IF(BA57="","",IFERROR(BA57*HSI!$B$52*HSI!$G$52/HSI!$B$3,""))</f>
        <v/>
      </c>
      <c r="DP57" s="110">
        <f>IF(BB57="","",IFERROR(BB57*HSI!$B$52*HSI!$G$52/HSI!$B$3,""))</f>
        <v/>
      </c>
      <c r="DQ57" s="110">
        <f>IF(BC57="","",IFERROR(BC57*HSI!$B$52*HSI!$G$52/HSI!$B$3,""))</f>
        <v/>
      </c>
      <c r="DR57" s="110">
        <f>IF(BD57="","",IFERROR(BD57*HSI!$B$52*HSI!$G$52/HSI!$B$3,""))</f>
        <v/>
      </c>
      <c r="DS57" s="110">
        <f>IF(BE57="","",IFERROR(BE57*HSI!$B$52*HSI!$G$52/HSI!$B$3,""))</f>
        <v/>
      </c>
      <c r="DT57" s="110">
        <f>IF(BF57="","",IFERROR(BF57*HSI!$B$52*HSI!$G$52/HSI!$B$3,""))</f>
        <v/>
      </c>
      <c r="DU57" s="110">
        <f>IF(BG57="","",IFERROR(BG57*HSI!$B$52*HSI!$G$52/HSI!$B$3,""))</f>
        <v/>
      </c>
      <c r="DV57" s="110">
        <f>IF(BH57="","",IFERROR(BH57*HSI!$B$52*HSI!$G$52/HSI!$B$3,""))</f>
        <v/>
      </c>
      <c r="DW57" s="110">
        <f>IF(BI57="","",IFERROR(BI57*HSI!$B$52*HSI!$G$52/HSI!$B$3,""))</f>
        <v/>
      </c>
      <c r="DX57" s="110">
        <f>IF(BJ57="","",IFERROR(BJ57*HSI!$B$52*HSI!$G$52/HSI!$B$3,""))</f>
        <v/>
      </c>
      <c r="DY57" s="110">
        <f>IF(BK57="","",IFERROR(BK57*HSI!$B$52*HSI!$G$52/HSI!$B$3,""))</f>
        <v/>
      </c>
      <c r="DZ57" s="110">
        <f>IF(BL57="","",IFERROR(BL57*HSI!$B$52*HSI!$G$52/HSI!$B$3,""))</f>
        <v/>
      </c>
      <c r="EA57" s="110">
        <f>IF(BM57="","",IFERROR(BM57*HSI!$B$52*HSI!$G$52/HSI!$B$3,""))</f>
        <v/>
      </c>
      <c r="EB57" s="110">
        <f>IF(BN57="","",IFERROR(BN57*HSI!$B$52*HSI!$G$52/HSI!$B$3,""))</f>
        <v/>
      </c>
      <c r="EC57" s="110">
        <f>IF(BO57="","",IFERROR(BO57*HSI!$B$52*HSI!$G$52/HSI!$B$3,""))</f>
        <v/>
      </c>
      <c r="EE57" s="39">
        <f>IF(N('Dvd Calendar'!$E$506)=0,"",IF(('Dvd Calendar'!$E$506&gt;=GRID_FROM)*('Dvd Calendar'!$E$506&lt;=GRID_TO)*((('Dvd Calendar'!$E$506&lt;=VAL_DATE)+(COUNTIF('Dvd Calendar'!$E$513:$AR$513,'Dvd Calendar'!$E$506)=0))&gt;0)=0,"",'Dvd Calendar'!$E$506*1000000000+ISNUMBER('Dvd Calendar'!$E$509)*100000000+('Dvd Calendar'!$E$511=SPECIAL_LBL)*10000000+(N('Dvd Calendar'!$E$505)&gt;0)*(N('Dvd Calendar'!$E$505)&lt;=VAL_SERIAL)*1000000+46*1000+1))</f>
        <v/>
      </c>
      <c r="EF57" s="39">
        <f>IF(N('Dvd Calendar'!$F$506)=0,"",IF(('Dvd Calendar'!$F$506&gt;=GRID_FROM)*('Dvd Calendar'!$F$506&lt;=GRID_TO)*((('Dvd Calendar'!$F$506&lt;=VAL_DATE)+(COUNTIF('Dvd Calendar'!$E$513:$AR$513,'Dvd Calendar'!$F$506)=0))&gt;0)=0,"",'Dvd Calendar'!$F$506*1000000000+ISNUMBER('Dvd Calendar'!$F$509)*100000000+('Dvd Calendar'!$F$511=SPECIAL_LBL)*10000000+(N('Dvd Calendar'!$F$505)&gt;0)*(N('Dvd Calendar'!$F$505)&lt;=VAL_SERIAL)*1000000+46*1000+2))</f>
        <v/>
      </c>
      <c r="EG57" s="39">
        <f>IF(N('Dvd Calendar'!$G$506)=0,"",IF(('Dvd Calendar'!$G$506&gt;=GRID_FROM)*('Dvd Calendar'!$G$506&lt;=GRID_TO)*((('Dvd Calendar'!$G$506&lt;=VAL_DATE)+(COUNTIF('Dvd Calendar'!$E$513:$AR$513,'Dvd Calendar'!$G$506)=0))&gt;0)=0,"",'Dvd Calendar'!$G$506*1000000000+ISNUMBER('Dvd Calendar'!$G$509)*100000000+('Dvd Calendar'!$G$511=SPECIAL_LBL)*10000000+(N('Dvd Calendar'!$G$505)&gt;0)*(N('Dvd Calendar'!$G$505)&lt;=VAL_SERIAL)*1000000+46*1000+3))</f>
        <v/>
      </c>
      <c r="EH57" s="39">
        <f>IF(N('Dvd Calendar'!$H$506)=0,"",IF(('Dvd Calendar'!$H$506&gt;=GRID_FROM)*('Dvd Calendar'!$H$506&lt;=GRID_TO)*((('Dvd Calendar'!$H$506&lt;=VAL_DATE)+(COUNTIF('Dvd Calendar'!$E$513:$AR$513,'Dvd Calendar'!$H$506)=0))&gt;0)=0,"",'Dvd Calendar'!$H$506*1000000000+ISNUMBER('Dvd Calendar'!$H$509)*100000000+('Dvd Calendar'!$H$511=SPECIAL_LBL)*10000000+(N('Dvd Calendar'!$H$505)&gt;0)*(N('Dvd Calendar'!$H$505)&lt;=VAL_SERIAL)*1000000+46*1000+4))</f>
        <v/>
      </c>
      <c r="EI57" s="39">
        <f>IF(N('Dvd Calendar'!$I$506)=0,"",IF(('Dvd Calendar'!$I$506&gt;=GRID_FROM)*('Dvd Calendar'!$I$506&lt;=GRID_TO)*((('Dvd Calendar'!$I$506&lt;=VAL_DATE)+(COUNTIF('Dvd Calendar'!$E$513:$AR$513,'Dvd Calendar'!$I$506)=0))&gt;0)=0,"",'Dvd Calendar'!$I$506*1000000000+ISNUMBER('Dvd Calendar'!$I$509)*100000000+('Dvd Calendar'!$I$511=SPECIAL_LBL)*10000000+(N('Dvd Calendar'!$I$505)&gt;0)*(N('Dvd Calendar'!$I$505)&lt;=VAL_SERIAL)*1000000+46*1000+5))</f>
        <v/>
      </c>
      <c r="EJ57" s="39">
        <f>IF(N('Dvd Calendar'!$J$506)=0,"",IF(('Dvd Calendar'!$J$506&gt;=GRID_FROM)*('Dvd Calendar'!$J$506&lt;=GRID_TO)*((('Dvd Calendar'!$J$506&lt;=VAL_DATE)+(COUNTIF('Dvd Calendar'!$E$513:$AR$513,'Dvd Calendar'!$J$506)=0))&gt;0)=0,"",'Dvd Calendar'!$J$506*1000000000+ISNUMBER('Dvd Calendar'!$J$509)*100000000+('Dvd Calendar'!$J$511=SPECIAL_LBL)*10000000+(N('Dvd Calendar'!$J$505)&gt;0)*(N('Dvd Calendar'!$J$505)&lt;=VAL_SERIAL)*1000000+46*1000+6))</f>
        <v/>
      </c>
      <c r="EK57" s="39">
        <f>IF(N('Dvd Calendar'!$K$506)=0,"",IF(('Dvd Calendar'!$K$506&gt;=GRID_FROM)*('Dvd Calendar'!$K$506&lt;=GRID_TO)*((('Dvd Calendar'!$K$506&lt;=VAL_DATE)+(COUNTIF('Dvd Calendar'!$E$513:$AR$513,'Dvd Calendar'!$K$506)=0))&gt;0)=0,"",'Dvd Calendar'!$K$506*1000000000+ISNUMBER('Dvd Calendar'!$K$509)*100000000+('Dvd Calendar'!$K$511=SPECIAL_LBL)*10000000+(N('Dvd Calendar'!$K$505)&gt;0)*(N('Dvd Calendar'!$K$505)&lt;=VAL_SERIAL)*1000000+46*1000+7))</f>
        <v/>
      </c>
      <c r="EL57" s="39">
        <f>IF(N('Dvd Calendar'!$L$506)=0,"",IF(('Dvd Calendar'!$L$506&gt;=GRID_FROM)*('Dvd Calendar'!$L$506&lt;=GRID_TO)*((('Dvd Calendar'!$L$506&lt;=VAL_DATE)+(COUNTIF('Dvd Calendar'!$E$513:$AR$513,'Dvd Calendar'!$L$506)=0))&gt;0)=0,"",'Dvd Calendar'!$L$506*1000000000+ISNUMBER('Dvd Calendar'!$L$509)*100000000+('Dvd Calendar'!$L$511=SPECIAL_LBL)*10000000+(N('Dvd Calendar'!$L$505)&gt;0)*(N('Dvd Calendar'!$L$505)&lt;=VAL_SERIAL)*1000000+46*1000+8))</f>
        <v/>
      </c>
      <c r="EM57" s="39">
        <f>IF(N('Dvd Calendar'!$M$506)=0,"",IF(('Dvd Calendar'!$M$506&gt;=GRID_FROM)*('Dvd Calendar'!$M$506&lt;=GRID_TO)*((('Dvd Calendar'!$M$506&lt;=VAL_DATE)+(COUNTIF('Dvd Calendar'!$E$513:$AR$513,'Dvd Calendar'!$M$506)=0))&gt;0)=0,"",'Dvd Calendar'!$M$506*1000000000+ISNUMBER('Dvd Calendar'!$M$509)*100000000+('Dvd Calendar'!$M$511=SPECIAL_LBL)*10000000+(N('Dvd Calendar'!$M$505)&gt;0)*(N('Dvd Calendar'!$M$505)&lt;=VAL_SERIAL)*1000000+46*1000+9))</f>
        <v/>
      </c>
      <c r="EN57" s="39">
        <f>IF(N('Dvd Calendar'!$N$506)=0,"",IF(('Dvd Calendar'!$N$506&gt;=GRID_FROM)*('Dvd Calendar'!$N$506&lt;=GRID_TO)*((('Dvd Calendar'!$N$506&lt;=VAL_DATE)+(COUNTIF('Dvd Calendar'!$E$513:$AR$513,'Dvd Calendar'!$N$506)=0))&gt;0)=0,"",'Dvd Calendar'!$N$506*1000000000+ISNUMBER('Dvd Calendar'!$N$509)*100000000+('Dvd Calendar'!$N$511=SPECIAL_LBL)*10000000+(N('Dvd Calendar'!$N$505)&gt;0)*(N('Dvd Calendar'!$N$505)&lt;=VAL_SERIAL)*1000000+46*1000+10))</f>
        <v/>
      </c>
      <c r="EO57" s="39">
        <f>IF(N('Dvd Calendar'!$O$506)=0,"",IF(('Dvd Calendar'!$O$506&gt;=GRID_FROM)*('Dvd Calendar'!$O$506&lt;=GRID_TO)*((('Dvd Calendar'!$O$506&lt;=VAL_DATE)+(COUNTIF('Dvd Calendar'!$E$513:$AR$513,'Dvd Calendar'!$O$506)=0))&gt;0)=0,"",'Dvd Calendar'!$O$506*1000000000+ISNUMBER('Dvd Calendar'!$O$509)*100000000+('Dvd Calendar'!$O$511=SPECIAL_LBL)*10000000+(N('Dvd Calendar'!$O$505)&gt;0)*(N('Dvd Calendar'!$O$505)&lt;=VAL_SERIAL)*1000000+46*1000+11))</f>
        <v/>
      </c>
      <c r="EP57" s="39">
        <f>IF(N('Dvd Calendar'!$P$506)=0,"",IF(('Dvd Calendar'!$P$506&gt;=GRID_FROM)*('Dvd Calendar'!$P$506&lt;=GRID_TO)*((('Dvd Calendar'!$P$506&lt;=VAL_DATE)+(COUNTIF('Dvd Calendar'!$E$513:$AR$513,'Dvd Calendar'!$P$506)=0))&gt;0)=0,"",'Dvd Calendar'!$P$506*1000000000+ISNUMBER('Dvd Calendar'!$P$509)*100000000+('Dvd Calendar'!$P$511=SPECIAL_LBL)*10000000+(N('Dvd Calendar'!$P$505)&gt;0)*(N('Dvd Calendar'!$P$505)&lt;=VAL_SERIAL)*1000000+46*1000+12))</f>
        <v/>
      </c>
      <c r="EQ57" s="39">
        <f>IF(N('Dvd Calendar'!$Q$506)=0,"",IF(('Dvd Calendar'!$Q$506&gt;=GRID_FROM)*('Dvd Calendar'!$Q$506&lt;=GRID_TO)*((('Dvd Calendar'!$Q$506&lt;=VAL_DATE)+(COUNTIF('Dvd Calendar'!$E$513:$AR$513,'Dvd Calendar'!$Q$506)=0))&gt;0)=0,"",'Dvd Calendar'!$Q$506*1000000000+ISNUMBER('Dvd Calendar'!$Q$509)*100000000+('Dvd Calendar'!$Q$511=SPECIAL_LBL)*10000000+(N('Dvd Calendar'!$Q$505)&gt;0)*(N('Dvd Calendar'!$Q$505)&lt;=VAL_SERIAL)*1000000+46*1000+13))</f>
        <v/>
      </c>
      <c r="ER57" s="39">
        <f>IF(N('Dvd Calendar'!$R$506)=0,"",IF(('Dvd Calendar'!$R$506&gt;=GRID_FROM)*('Dvd Calendar'!$R$506&lt;=GRID_TO)*((('Dvd Calendar'!$R$506&lt;=VAL_DATE)+(COUNTIF('Dvd Calendar'!$E$513:$AR$513,'Dvd Calendar'!$R$506)=0))&gt;0)=0,"",'Dvd Calendar'!$R$506*1000000000+ISNUMBER('Dvd Calendar'!$R$509)*100000000+('Dvd Calendar'!$R$511=SPECIAL_LBL)*10000000+(N('Dvd Calendar'!$R$505)&gt;0)*(N('Dvd Calendar'!$R$505)&lt;=VAL_SERIAL)*1000000+46*1000+14))</f>
        <v/>
      </c>
      <c r="ES57" s="39">
        <f>IF(N('Dvd Calendar'!$S$506)=0,"",IF(('Dvd Calendar'!$S$506&gt;=GRID_FROM)*('Dvd Calendar'!$S$506&lt;=GRID_TO)*((('Dvd Calendar'!$S$506&lt;=VAL_DATE)+(COUNTIF('Dvd Calendar'!$E$513:$AR$513,'Dvd Calendar'!$S$506)=0))&gt;0)=0,"",'Dvd Calendar'!$S$506*1000000000+ISNUMBER('Dvd Calendar'!$S$509)*100000000+('Dvd Calendar'!$S$511=SPECIAL_LBL)*10000000+(N('Dvd Calendar'!$S$505)&gt;0)*(N('Dvd Calendar'!$S$505)&lt;=VAL_SERIAL)*1000000+46*1000+15))</f>
        <v/>
      </c>
      <c r="ET57" s="39">
        <f>IF(N('Dvd Calendar'!$T$506)=0,"",IF(('Dvd Calendar'!$T$506&gt;=GRID_FROM)*('Dvd Calendar'!$T$506&lt;=GRID_TO)*((('Dvd Calendar'!$T$506&lt;=VAL_DATE)+(COUNTIF('Dvd Calendar'!$E$513:$AR$513,'Dvd Calendar'!$T$506)=0))&gt;0)=0,"",'Dvd Calendar'!$T$506*1000000000+ISNUMBER('Dvd Calendar'!$T$509)*100000000+('Dvd Calendar'!$T$511=SPECIAL_LBL)*10000000+(N('Dvd Calendar'!$T$505)&gt;0)*(N('Dvd Calendar'!$T$505)&lt;=VAL_SERIAL)*1000000+46*1000+16))</f>
        <v/>
      </c>
      <c r="EU57" s="39">
        <f>IF(N('Dvd Calendar'!$U$506)=0,"",IF(('Dvd Calendar'!$U$506&gt;=GRID_FROM)*('Dvd Calendar'!$U$506&lt;=GRID_TO)*((('Dvd Calendar'!$U$506&lt;=VAL_DATE)+(COUNTIF('Dvd Calendar'!$E$513:$AR$513,'Dvd Calendar'!$U$506)=0))&gt;0)=0,"",'Dvd Calendar'!$U$506*1000000000+ISNUMBER('Dvd Calendar'!$U$509)*100000000+('Dvd Calendar'!$U$511=SPECIAL_LBL)*10000000+(N('Dvd Calendar'!$U$505)&gt;0)*(N('Dvd Calendar'!$U$505)&lt;=VAL_SERIAL)*1000000+46*1000+17))</f>
        <v/>
      </c>
      <c r="EV57" s="39">
        <f>IF(N('Dvd Calendar'!$V$506)=0,"",IF(('Dvd Calendar'!$V$506&gt;=GRID_FROM)*('Dvd Calendar'!$V$506&lt;=GRID_TO)*((('Dvd Calendar'!$V$506&lt;=VAL_DATE)+(COUNTIF('Dvd Calendar'!$E$513:$AR$513,'Dvd Calendar'!$V$506)=0))&gt;0)=0,"",'Dvd Calendar'!$V$506*1000000000+ISNUMBER('Dvd Calendar'!$V$509)*100000000+('Dvd Calendar'!$V$511=SPECIAL_LBL)*10000000+(N('Dvd Calendar'!$V$505)&gt;0)*(N('Dvd Calendar'!$V$505)&lt;=VAL_SERIAL)*1000000+46*1000+18))</f>
        <v/>
      </c>
      <c r="EW57" s="39">
        <f>IF(N('Dvd Calendar'!$W$506)=0,"",IF(('Dvd Calendar'!$W$506&gt;=GRID_FROM)*('Dvd Calendar'!$W$506&lt;=GRID_TO)*((('Dvd Calendar'!$W$506&lt;=VAL_DATE)+(COUNTIF('Dvd Calendar'!$E$513:$AR$513,'Dvd Calendar'!$W$506)=0))&gt;0)=0,"",'Dvd Calendar'!$W$506*1000000000+ISNUMBER('Dvd Calendar'!$W$509)*100000000+('Dvd Calendar'!$W$511=SPECIAL_LBL)*10000000+(N('Dvd Calendar'!$W$505)&gt;0)*(N('Dvd Calendar'!$W$505)&lt;=VAL_SERIAL)*1000000+46*1000+19))</f>
        <v/>
      </c>
      <c r="EX57" s="39">
        <f>IF(N('Dvd Calendar'!$X$506)=0,"",IF(('Dvd Calendar'!$X$506&gt;=GRID_FROM)*('Dvd Calendar'!$X$506&lt;=GRID_TO)*((('Dvd Calendar'!$X$506&lt;=VAL_DATE)+(COUNTIF('Dvd Calendar'!$E$513:$AR$513,'Dvd Calendar'!$X$506)=0))&gt;0)=0,"",'Dvd Calendar'!$X$506*1000000000+ISNUMBER('Dvd Calendar'!$X$509)*100000000+('Dvd Calendar'!$X$511=SPECIAL_LBL)*10000000+(N('Dvd Calendar'!$X$505)&gt;0)*(N('Dvd Calendar'!$X$505)&lt;=VAL_SERIAL)*1000000+46*1000+20))</f>
        <v/>
      </c>
      <c r="EY57" s="39">
        <f>IF(N('Dvd Calendar'!$Y$506)=0,"",IF(('Dvd Calendar'!$Y$506&gt;=GRID_FROM)*('Dvd Calendar'!$Y$506&lt;=GRID_TO)*((('Dvd Calendar'!$Y$506&lt;=VAL_DATE)+(COUNTIF('Dvd Calendar'!$E$513:$AR$513,'Dvd Calendar'!$Y$506)=0))&gt;0)=0,"",'Dvd Calendar'!$Y$506*1000000000+ISNUMBER('Dvd Calendar'!$Y$509)*100000000+('Dvd Calendar'!$Y$511=SPECIAL_LBL)*10000000+(N('Dvd Calendar'!$Y$505)&gt;0)*(N('Dvd Calendar'!$Y$505)&lt;=VAL_SERIAL)*1000000+46*1000+21))</f>
        <v/>
      </c>
      <c r="EZ57" s="39">
        <f>IF(N('Dvd Calendar'!$Z$506)=0,"",IF(('Dvd Calendar'!$Z$506&gt;=GRID_FROM)*('Dvd Calendar'!$Z$506&lt;=GRID_TO)*((('Dvd Calendar'!$Z$506&lt;=VAL_DATE)+(COUNTIF('Dvd Calendar'!$E$513:$AR$513,'Dvd Calendar'!$Z$506)=0))&gt;0)=0,"",'Dvd Calendar'!$Z$506*1000000000+ISNUMBER('Dvd Calendar'!$Z$509)*100000000+('Dvd Calendar'!$Z$511=SPECIAL_LBL)*10000000+(N('Dvd Calendar'!$Z$505)&gt;0)*(N('Dvd Calendar'!$Z$505)&lt;=VAL_SERIAL)*1000000+46*1000+22))</f>
        <v/>
      </c>
      <c r="FA57" s="39">
        <f>IF(N('Dvd Calendar'!$AA$506)=0,"",IF(('Dvd Calendar'!$AA$506&gt;=GRID_FROM)*('Dvd Calendar'!$AA$506&lt;=GRID_TO)*((('Dvd Calendar'!$AA$506&lt;=VAL_DATE)+(COUNTIF('Dvd Calendar'!$E$513:$AR$513,'Dvd Calendar'!$AA$506)=0))&gt;0)=0,"",'Dvd Calendar'!$AA$506*1000000000+ISNUMBER('Dvd Calendar'!$AA$509)*100000000+('Dvd Calendar'!$AA$511=SPECIAL_LBL)*10000000+(N('Dvd Calendar'!$AA$505)&gt;0)*(N('Dvd Calendar'!$AA$505)&lt;=VAL_SERIAL)*1000000+46*1000+23))</f>
        <v/>
      </c>
      <c r="FB57" s="39">
        <f>IF(N('Dvd Calendar'!$AB$506)=0,"",IF(('Dvd Calendar'!$AB$506&gt;=GRID_FROM)*('Dvd Calendar'!$AB$506&lt;=GRID_TO)*((('Dvd Calendar'!$AB$506&lt;=VAL_DATE)+(COUNTIF('Dvd Calendar'!$E$513:$AR$513,'Dvd Calendar'!$AB$506)=0))&gt;0)=0,"",'Dvd Calendar'!$AB$506*1000000000+ISNUMBER('Dvd Calendar'!$AB$509)*100000000+('Dvd Calendar'!$AB$511=SPECIAL_LBL)*10000000+(N('Dvd Calendar'!$AB$505)&gt;0)*(N('Dvd Calendar'!$AB$505)&lt;=VAL_SERIAL)*1000000+46*1000+24))</f>
        <v/>
      </c>
      <c r="FC57" s="39">
        <f>IF(N('Dvd Calendar'!$AC$506)=0,"",IF(('Dvd Calendar'!$AC$506&gt;=GRID_FROM)*('Dvd Calendar'!$AC$506&lt;=GRID_TO)*((('Dvd Calendar'!$AC$506&lt;=VAL_DATE)+(COUNTIF('Dvd Calendar'!$E$513:$AR$513,'Dvd Calendar'!$AC$506)=0))&gt;0)=0,"",'Dvd Calendar'!$AC$506*1000000000+ISNUMBER('Dvd Calendar'!$AC$509)*100000000+('Dvd Calendar'!$AC$511=SPECIAL_LBL)*10000000+(N('Dvd Calendar'!$AC$505)&gt;0)*(N('Dvd Calendar'!$AC$505)&lt;=VAL_SERIAL)*1000000+46*1000+25))</f>
        <v/>
      </c>
      <c r="FD57" s="39">
        <f>IF(N('Dvd Calendar'!$AD$506)=0,"",IF(('Dvd Calendar'!$AD$506&gt;=GRID_FROM)*('Dvd Calendar'!$AD$506&lt;=GRID_TO)*((('Dvd Calendar'!$AD$506&lt;=VAL_DATE)+(COUNTIF('Dvd Calendar'!$E$513:$AR$513,'Dvd Calendar'!$AD$506)=0))&gt;0)=0,"",'Dvd Calendar'!$AD$506*1000000000+ISNUMBER('Dvd Calendar'!$AD$509)*100000000+('Dvd Calendar'!$AD$511=SPECIAL_LBL)*10000000+(N('Dvd Calendar'!$AD$505)&gt;0)*(N('Dvd Calendar'!$AD$505)&lt;=VAL_SERIAL)*1000000+46*1000+26))</f>
        <v/>
      </c>
      <c r="FE57" s="39">
        <f>IF(N('Dvd Calendar'!$AE$506)=0,"",IF(('Dvd Calendar'!$AE$506&gt;=GRID_FROM)*('Dvd Calendar'!$AE$506&lt;=GRID_TO)*((('Dvd Calendar'!$AE$506&lt;=VAL_DATE)+(COUNTIF('Dvd Calendar'!$E$513:$AR$513,'Dvd Calendar'!$AE$506)=0))&gt;0)=0,"",'Dvd Calendar'!$AE$506*1000000000+ISNUMBER('Dvd Calendar'!$AE$509)*100000000+('Dvd Calendar'!$AE$511=SPECIAL_LBL)*10000000+(N('Dvd Calendar'!$AE$505)&gt;0)*(N('Dvd Calendar'!$AE$505)&lt;=VAL_SERIAL)*1000000+46*1000+27))</f>
        <v/>
      </c>
      <c r="FF57" s="39">
        <f>IF(N('Dvd Calendar'!$AF$506)=0,"",IF(('Dvd Calendar'!$AF$506&gt;=GRID_FROM)*('Dvd Calendar'!$AF$506&lt;=GRID_TO)*((('Dvd Calendar'!$AF$506&lt;=VAL_DATE)+(COUNTIF('Dvd Calendar'!$E$513:$AR$513,'Dvd Calendar'!$AF$506)=0))&gt;0)=0,"",'Dvd Calendar'!$AF$506*1000000000+ISNUMBER('Dvd Calendar'!$AF$509)*100000000+('Dvd Calendar'!$AF$511=SPECIAL_LBL)*10000000+(N('Dvd Calendar'!$AF$505)&gt;0)*(N('Dvd Calendar'!$AF$505)&lt;=VAL_SERIAL)*1000000+46*1000+28))</f>
        <v/>
      </c>
      <c r="FG57" s="39">
        <f>IF(N('Dvd Calendar'!$AG$506)=0,"",IF(('Dvd Calendar'!$AG$506&gt;=GRID_FROM)*('Dvd Calendar'!$AG$506&lt;=GRID_TO)*((('Dvd Calendar'!$AG$506&lt;=VAL_DATE)+(COUNTIF('Dvd Calendar'!$E$513:$AR$513,'Dvd Calendar'!$AG$506)=0))&gt;0)=0,"",'Dvd Calendar'!$AG$506*1000000000+ISNUMBER('Dvd Calendar'!$AG$509)*100000000+('Dvd Calendar'!$AG$511=SPECIAL_LBL)*10000000+(N('Dvd Calendar'!$AG$505)&gt;0)*(N('Dvd Calendar'!$AG$505)&lt;=VAL_SERIAL)*1000000+46*1000+29))</f>
        <v/>
      </c>
      <c r="FH57" s="39">
        <f>IF(N('Dvd Calendar'!$AH$506)=0,"",IF(('Dvd Calendar'!$AH$506&gt;=GRID_FROM)*('Dvd Calendar'!$AH$506&lt;=GRID_TO)*((('Dvd Calendar'!$AH$506&lt;=VAL_DATE)+(COUNTIF('Dvd Calendar'!$E$513:$AR$513,'Dvd Calendar'!$AH$506)=0))&gt;0)=0,"",'Dvd Calendar'!$AH$506*1000000000+ISNUMBER('Dvd Calendar'!$AH$509)*100000000+('Dvd Calendar'!$AH$511=SPECIAL_LBL)*10000000+(N('Dvd Calendar'!$AH$505)&gt;0)*(N('Dvd Calendar'!$AH$505)&lt;=VAL_SERIAL)*1000000+46*1000+30))</f>
        <v/>
      </c>
      <c r="FI57" s="39">
        <f>IF(N('Dvd Calendar'!$AI$506)=0,"",IF(('Dvd Calendar'!$AI$506&gt;=GRID_FROM)*('Dvd Calendar'!$AI$506&lt;=GRID_TO)*((('Dvd Calendar'!$AI$506&lt;=VAL_DATE)+(COUNTIF('Dvd Calendar'!$E$513:$AR$513,'Dvd Calendar'!$AI$506)=0))&gt;0)=0,"",'Dvd Calendar'!$AI$506*1000000000+ISNUMBER('Dvd Calendar'!$AI$509)*100000000+('Dvd Calendar'!$AI$511=SPECIAL_LBL)*10000000+(N('Dvd Calendar'!$AI$505)&gt;0)*(N('Dvd Calendar'!$AI$505)&lt;=VAL_SERIAL)*1000000+46*1000+31))</f>
        <v/>
      </c>
      <c r="FJ57" s="39">
        <f>IF(N('Dvd Calendar'!$AJ$506)=0,"",IF(('Dvd Calendar'!$AJ$506&gt;=GRID_FROM)*('Dvd Calendar'!$AJ$506&lt;=GRID_TO)*((('Dvd Calendar'!$AJ$506&lt;=VAL_DATE)+(COUNTIF('Dvd Calendar'!$E$513:$AR$513,'Dvd Calendar'!$AJ$506)=0))&gt;0)=0,"",'Dvd Calendar'!$AJ$506*1000000000+ISNUMBER('Dvd Calendar'!$AJ$509)*100000000+('Dvd Calendar'!$AJ$511=SPECIAL_LBL)*10000000+(N('Dvd Calendar'!$AJ$505)&gt;0)*(N('Dvd Calendar'!$AJ$505)&lt;=VAL_SERIAL)*1000000+46*1000+32))</f>
        <v/>
      </c>
      <c r="FK57" s="39">
        <f>IF(N('Dvd Calendar'!$AK$506)=0,"",IF(('Dvd Calendar'!$AK$506&gt;=GRID_FROM)*('Dvd Calendar'!$AK$506&lt;=GRID_TO)*((('Dvd Calendar'!$AK$506&lt;=VAL_DATE)+(COUNTIF('Dvd Calendar'!$E$513:$AR$513,'Dvd Calendar'!$AK$506)=0))&gt;0)=0,"",'Dvd Calendar'!$AK$506*1000000000+ISNUMBER('Dvd Calendar'!$AK$509)*100000000+('Dvd Calendar'!$AK$511=SPECIAL_LBL)*10000000+(N('Dvd Calendar'!$AK$505)&gt;0)*(N('Dvd Calendar'!$AK$505)&lt;=VAL_SERIAL)*1000000+46*1000+33))</f>
        <v/>
      </c>
      <c r="FL57" s="39">
        <f>IF(N('Dvd Calendar'!$AL$506)=0,"",IF(('Dvd Calendar'!$AL$506&gt;=GRID_FROM)*('Dvd Calendar'!$AL$506&lt;=GRID_TO)*((('Dvd Calendar'!$AL$506&lt;=VAL_DATE)+(COUNTIF('Dvd Calendar'!$E$513:$AR$513,'Dvd Calendar'!$AL$506)=0))&gt;0)=0,"",'Dvd Calendar'!$AL$506*1000000000+ISNUMBER('Dvd Calendar'!$AL$509)*100000000+('Dvd Calendar'!$AL$511=SPECIAL_LBL)*10000000+(N('Dvd Calendar'!$AL$505)&gt;0)*(N('Dvd Calendar'!$AL$505)&lt;=VAL_SERIAL)*1000000+46*1000+34))</f>
        <v/>
      </c>
      <c r="FM57" s="39">
        <f>IF(N('Dvd Calendar'!$AM$506)=0,"",IF(('Dvd Calendar'!$AM$506&gt;=GRID_FROM)*('Dvd Calendar'!$AM$506&lt;=GRID_TO)*((('Dvd Calendar'!$AM$506&lt;=VAL_DATE)+(COUNTIF('Dvd Calendar'!$E$513:$AR$513,'Dvd Calendar'!$AM$506)=0))&gt;0)=0,"",'Dvd Calendar'!$AM$506*1000000000+ISNUMBER('Dvd Calendar'!$AM$509)*100000000+('Dvd Calendar'!$AM$511=SPECIAL_LBL)*10000000+(N('Dvd Calendar'!$AM$505)&gt;0)*(N('Dvd Calendar'!$AM$505)&lt;=VAL_SERIAL)*1000000+46*1000+35))</f>
        <v/>
      </c>
      <c r="FN57" s="39">
        <f>IF(N('Dvd Calendar'!$AN$506)=0,"",IF(('Dvd Calendar'!$AN$506&gt;=GRID_FROM)*('Dvd Calendar'!$AN$506&lt;=GRID_TO)*((('Dvd Calendar'!$AN$506&lt;=VAL_DATE)+(COUNTIF('Dvd Calendar'!$E$513:$AR$513,'Dvd Calendar'!$AN$506)=0))&gt;0)=0,"",'Dvd Calendar'!$AN$506*1000000000+ISNUMBER('Dvd Calendar'!$AN$509)*100000000+('Dvd Calendar'!$AN$511=SPECIAL_LBL)*10000000+(N('Dvd Calendar'!$AN$505)&gt;0)*(N('Dvd Calendar'!$AN$505)&lt;=VAL_SERIAL)*1000000+46*1000+36))</f>
        <v/>
      </c>
      <c r="FO57" s="39">
        <f>IF(N('Dvd Calendar'!$AO$506)=0,"",IF(('Dvd Calendar'!$AO$506&gt;=GRID_FROM)*('Dvd Calendar'!$AO$506&lt;=GRID_TO)*((('Dvd Calendar'!$AO$506&lt;=VAL_DATE)+(COUNTIF('Dvd Calendar'!$E$513:$AR$513,'Dvd Calendar'!$AO$506)=0))&gt;0)=0,"",'Dvd Calendar'!$AO$506*1000000000+ISNUMBER('Dvd Calendar'!$AO$509)*100000000+('Dvd Calendar'!$AO$511=SPECIAL_LBL)*10000000+(N('Dvd Calendar'!$AO$505)&gt;0)*(N('Dvd Calendar'!$AO$505)&lt;=VAL_SERIAL)*1000000+46*1000+37))</f>
        <v/>
      </c>
      <c r="FP57" s="39">
        <f>IF(N('Dvd Calendar'!$AP$506)=0,"",IF(('Dvd Calendar'!$AP$506&gt;=GRID_FROM)*('Dvd Calendar'!$AP$506&lt;=GRID_TO)*((('Dvd Calendar'!$AP$506&lt;=VAL_DATE)+(COUNTIF('Dvd Calendar'!$E$513:$AR$513,'Dvd Calendar'!$AP$506)=0))&gt;0)=0,"",'Dvd Calendar'!$AP$506*1000000000+ISNUMBER('Dvd Calendar'!$AP$509)*100000000+('Dvd Calendar'!$AP$511=SPECIAL_LBL)*10000000+(N('Dvd Calendar'!$AP$505)&gt;0)*(N('Dvd Calendar'!$AP$505)&lt;=VAL_SERIAL)*1000000+46*1000+38))</f>
        <v/>
      </c>
      <c r="FQ57" s="39">
        <f>IF(N('Dvd Calendar'!$AQ$506)=0,"",IF(('Dvd Calendar'!$AQ$506&gt;=GRID_FROM)*('Dvd Calendar'!$AQ$506&lt;=GRID_TO)*((('Dvd Calendar'!$AQ$506&lt;=VAL_DATE)+(COUNTIF('Dvd Calendar'!$E$513:$AR$513,'Dvd Calendar'!$AQ$506)=0))&gt;0)=0,"",'Dvd Calendar'!$AQ$506*1000000000+ISNUMBER('Dvd Calendar'!$AQ$509)*100000000+('Dvd Calendar'!$AQ$511=SPECIAL_LBL)*10000000+(N('Dvd Calendar'!$AQ$505)&gt;0)*(N('Dvd Calendar'!$AQ$505)&lt;=VAL_SERIAL)*1000000+46*1000+39))</f>
        <v/>
      </c>
      <c r="FR57" s="39">
        <f>IF(N('Dvd Calendar'!$AR$506)=0,"",IF(('Dvd Calendar'!$AR$506&gt;=GRID_FROM)*('Dvd Calendar'!$AR$506&lt;=GRID_TO)*((('Dvd Calendar'!$AR$506&lt;=VAL_DATE)+(COUNTIF('Dvd Calendar'!$E$513:$AR$513,'Dvd Calendar'!$AR$506)=0))&gt;0)=0,"",'Dvd Calendar'!$AR$506*1000000000+ISNUMBER('Dvd Calendar'!$AR$509)*100000000+('Dvd Calendar'!$AR$511=SPECIAL_LBL)*10000000+(N('Dvd Calendar'!$AR$505)&gt;0)*(N('Dvd Calendar'!$AR$505)&lt;=VAL_SERIAL)*1000000+46*1000+40))</f>
        <v/>
      </c>
      <c r="FS57" s="39">
        <f>IF(N('Dvd Calendar'!$E$513)=0,"",IF(('Dvd Calendar'!$E$513&gt;=GRID_FROM)*('Dvd Calendar'!$E$513&lt;=GRID_TO)*('Dvd Calendar'!$E$513&gt;VAL_DATE)=0,"",'Dvd Calendar'!$E$513*1000000000+ISNUMBER('Dvd Calendar'!$E$514)*100000000+0*10000000+(N('Dvd Calendar'!$E$512)&gt;0)*(N('Dvd Calendar'!$E$512)&lt;=VAL_SERIAL)*1000000+46*1000+41))</f>
        <v/>
      </c>
      <c r="FT57" s="39">
        <f>IF(N('Dvd Calendar'!$F$513)=0,"",IF(('Dvd Calendar'!$F$513&gt;=GRID_FROM)*('Dvd Calendar'!$F$513&lt;=GRID_TO)*('Dvd Calendar'!$F$513&gt;VAL_DATE)=0,"",'Dvd Calendar'!$F$513*1000000000+ISNUMBER('Dvd Calendar'!$F$514)*100000000+0*10000000+(N('Dvd Calendar'!$F$512)&gt;0)*(N('Dvd Calendar'!$F$512)&lt;=VAL_SERIAL)*1000000+46*1000+42))</f>
        <v/>
      </c>
      <c r="FU57" s="39">
        <f>IF(N('Dvd Calendar'!$G$513)=0,"",IF(('Dvd Calendar'!$G$513&gt;=GRID_FROM)*('Dvd Calendar'!$G$513&lt;=GRID_TO)*('Dvd Calendar'!$G$513&gt;VAL_DATE)=0,"",'Dvd Calendar'!$G$513*1000000000+ISNUMBER('Dvd Calendar'!$G$514)*100000000+0*10000000+(N('Dvd Calendar'!$G$512)&gt;0)*(N('Dvd Calendar'!$G$512)&lt;=VAL_SERIAL)*1000000+46*1000+43))</f>
        <v/>
      </c>
      <c r="FV57" s="39">
        <f>IF(N('Dvd Calendar'!$H$513)=0,"",IF(('Dvd Calendar'!$H$513&gt;=GRID_FROM)*('Dvd Calendar'!$H$513&lt;=GRID_TO)*('Dvd Calendar'!$H$513&gt;VAL_DATE)=0,"",'Dvd Calendar'!$H$513*1000000000+ISNUMBER('Dvd Calendar'!$H$514)*100000000+0*10000000+(N('Dvd Calendar'!$H$512)&gt;0)*(N('Dvd Calendar'!$H$512)&lt;=VAL_SERIAL)*1000000+46*1000+44))</f>
        <v/>
      </c>
      <c r="FW57" s="39">
        <f>IF(N('Dvd Calendar'!$I$513)=0,"",IF(('Dvd Calendar'!$I$513&gt;=GRID_FROM)*('Dvd Calendar'!$I$513&lt;=GRID_TO)*('Dvd Calendar'!$I$513&gt;VAL_DATE)=0,"",'Dvd Calendar'!$I$513*1000000000+ISNUMBER('Dvd Calendar'!$I$514)*100000000+0*10000000+(N('Dvd Calendar'!$I$512)&gt;0)*(N('Dvd Calendar'!$I$512)&lt;=VAL_SERIAL)*1000000+46*1000+45))</f>
        <v/>
      </c>
      <c r="FX57" s="39">
        <f>IF(N('Dvd Calendar'!$J$513)=0,"",IF(('Dvd Calendar'!$J$513&gt;=GRID_FROM)*('Dvd Calendar'!$J$513&lt;=GRID_TO)*('Dvd Calendar'!$J$513&gt;VAL_DATE)=0,"",'Dvd Calendar'!$J$513*1000000000+ISNUMBER('Dvd Calendar'!$J$514)*100000000+0*10000000+(N('Dvd Calendar'!$J$512)&gt;0)*(N('Dvd Calendar'!$J$512)&lt;=VAL_SERIAL)*1000000+46*1000+46))</f>
        <v/>
      </c>
      <c r="FY57" s="39">
        <f>IF(N('Dvd Calendar'!$K$513)=0,"",IF(('Dvd Calendar'!$K$513&gt;=GRID_FROM)*('Dvd Calendar'!$K$513&lt;=GRID_TO)*('Dvd Calendar'!$K$513&gt;VAL_DATE)=0,"",'Dvd Calendar'!$K$513*1000000000+ISNUMBER('Dvd Calendar'!$K$514)*100000000+0*10000000+(N('Dvd Calendar'!$K$512)&gt;0)*(N('Dvd Calendar'!$K$512)&lt;=VAL_SERIAL)*1000000+46*1000+47))</f>
        <v/>
      </c>
      <c r="FZ57" s="39">
        <f>IF(N('Dvd Calendar'!$L$513)=0,"",IF(('Dvd Calendar'!$L$513&gt;=GRID_FROM)*('Dvd Calendar'!$L$513&lt;=GRID_TO)*('Dvd Calendar'!$L$513&gt;VAL_DATE)=0,"",'Dvd Calendar'!$L$513*1000000000+ISNUMBER('Dvd Calendar'!$L$514)*100000000+0*10000000+(N('Dvd Calendar'!$L$512)&gt;0)*(N('Dvd Calendar'!$L$512)&lt;=VAL_SERIAL)*1000000+46*1000+48))</f>
        <v/>
      </c>
      <c r="GA57" s="39">
        <f>IF(N('Dvd Calendar'!$M$513)=0,"",IF(('Dvd Calendar'!$M$513&gt;=GRID_FROM)*('Dvd Calendar'!$M$513&lt;=GRID_TO)*('Dvd Calendar'!$M$513&gt;VAL_DATE)=0,"",'Dvd Calendar'!$M$513*1000000000+ISNUMBER('Dvd Calendar'!$M$514)*100000000+0*10000000+(N('Dvd Calendar'!$M$512)&gt;0)*(N('Dvd Calendar'!$M$512)&lt;=VAL_SERIAL)*1000000+46*1000+49))</f>
        <v/>
      </c>
      <c r="GB57" s="39">
        <f>IF(N('Dvd Calendar'!$N$513)=0,"",IF(('Dvd Calendar'!$N$513&gt;=GRID_FROM)*('Dvd Calendar'!$N$513&lt;=GRID_TO)*('Dvd Calendar'!$N$513&gt;VAL_DATE)=0,"",'Dvd Calendar'!$N$513*1000000000+ISNUMBER('Dvd Calendar'!$N$514)*100000000+0*10000000+(N('Dvd Calendar'!$N$512)&gt;0)*(N('Dvd Calendar'!$N$512)&lt;=VAL_SERIAL)*1000000+46*1000+50))</f>
        <v/>
      </c>
      <c r="GC57" s="39">
        <f>IF(N('Dvd Calendar'!$O$513)=0,"",IF(('Dvd Calendar'!$O$513&gt;=GRID_FROM)*('Dvd Calendar'!$O$513&lt;=GRID_TO)*('Dvd Calendar'!$O$513&gt;VAL_DATE)=0,"",'Dvd Calendar'!$O$513*1000000000+ISNUMBER('Dvd Calendar'!$O$514)*100000000+0*10000000+(N('Dvd Calendar'!$O$512)&gt;0)*(N('Dvd Calendar'!$O$512)&lt;=VAL_SERIAL)*1000000+46*1000+51))</f>
        <v/>
      </c>
      <c r="GD57" s="39">
        <f>IF(N('Dvd Calendar'!$P$513)=0,"",IF(('Dvd Calendar'!$P$513&gt;=GRID_FROM)*('Dvd Calendar'!$P$513&lt;=GRID_TO)*('Dvd Calendar'!$P$513&gt;VAL_DATE)=0,"",'Dvd Calendar'!$P$513*1000000000+ISNUMBER('Dvd Calendar'!$P$514)*100000000+0*10000000+(N('Dvd Calendar'!$P$512)&gt;0)*(N('Dvd Calendar'!$P$512)&lt;=VAL_SERIAL)*1000000+46*1000+52))</f>
        <v/>
      </c>
      <c r="GE57" s="39">
        <f>IF(N('Dvd Calendar'!$Q$513)=0,"",IF(('Dvd Calendar'!$Q$513&gt;=GRID_FROM)*('Dvd Calendar'!$Q$513&lt;=GRID_TO)*('Dvd Calendar'!$Q$513&gt;VAL_DATE)=0,"",'Dvd Calendar'!$Q$513*1000000000+ISNUMBER('Dvd Calendar'!$Q$514)*100000000+0*10000000+(N('Dvd Calendar'!$Q$512)&gt;0)*(N('Dvd Calendar'!$Q$512)&lt;=VAL_SERIAL)*1000000+46*1000+53))</f>
        <v/>
      </c>
      <c r="GF57" s="39">
        <f>IF(N('Dvd Calendar'!$R$513)=0,"",IF(('Dvd Calendar'!$R$513&gt;=GRID_FROM)*('Dvd Calendar'!$R$513&lt;=GRID_TO)*('Dvd Calendar'!$R$513&gt;VAL_DATE)=0,"",'Dvd Calendar'!$R$513*1000000000+ISNUMBER('Dvd Calendar'!$R$514)*100000000+0*10000000+(N('Dvd Calendar'!$R$512)&gt;0)*(N('Dvd Calendar'!$R$512)&lt;=VAL_SERIAL)*1000000+46*1000+54))</f>
        <v/>
      </c>
      <c r="GG57" s="39">
        <f>IF(N('Dvd Calendar'!$S$513)=0,"",IF(('Dvd Calendar'!$S$513&gt;=GRID_FROM)*('Dvd Calendar'!$S$513&lt;=GRID_TO)*('Dvd Calendar'!$S$513&gt;VAL_DATE)=0,"",'Dvd Calendar'!$S$513*1000000000+ISNUMBER('Dvd Calendar'!$S$514)*100000000+0*10000000+(N('Dvd Calendar'!$S$512)&gt;0)*(N('Dvd Calendar'!$S$512)&lt;=VAL_SERIAL)*1000000+46*1000+55))</f>
        <v/>
      </c>
      <c r="GH57" s="39">
        <f>IF(N('Dvd Calendar'!$T$513)=0,"",IF(('Dvd Calendar'!$T$513&gt;=GRID_FROM)*('Dvd Calendar'!$T$513&lt;=GRID_TO)*('Dvd Calendar'!$T$513&gt;VAL_DATE)=0,"",'Dvd Calendar'!$T$513*1000000000+ISNUMBER('Dvd Calendar'!$T$514)*100000000+0*10000000+(N('Dvd Calendar'!$T$512)&gt;0)*(N('Dvd Calendar'!$T$512)&lt;=VAL_SERIAL)*1000000+46*1000+56))</f>
        <v/>
      </c>
      <c r="GI57" s="39">
        <f>IF(N('Dvd Calendar'!$U$513)=0,"",IF(('Dvd Calendar'!$U$513&gt;=GRID_FROM)*('Dvd Calendar'!$U$513&lt;=GRID_TO)*('Dvd Calendar'!$U$513&gt;VAL_DATE)=0,"",'Dvd Calendar'!$U$513*1000000000+ISNUMBER('Dvd Calendar'!$U$514)*100000000+0*10000000+(N('Dvd Calendar'!$U$512)&gt;0)*(N('Dvd Calendar'!$U$512)&lt;=VAL_SERIAL)*1000000+46*1000+57))</f>
        <v/>
      </c>
      <c r="GJ57" s="39">
        <f>IF(N('Dvd Calendar'!$V$513)=0,"",IF(('Dvd Calendar'!$V$513&gt;=GRID_FROM)*('Dvd Calendar'!$V$513&lt;=GRID_TO)*('Dvd Calendar'!$V$513&gt;VAL_DATE)=0,"",'Dvd Calendar'!$V$513*1000000000+ISNUMBER('Dvd Calendar'!$V$514)*100000000+0*10000000+(N('Dvd Calendar'!$V$512)&gt;0)*(N('Dvd Calendar'!$V$512)&lt;=VAL_SERIAL)*1000000+46*1000+58))</f>
        <v/>
      </c>
      <c r="GK57" s="39">
        <f>IF(N('Dvd Calendar'!$W$513)=0,"",IF(('Dvd Calendar'!$W$513&gt;=GRID_FROM)*('Dvd Calendar'!$W$513&lt;=GRID_TO)*('Dvd Calendar'!$W$513&gt;VAL_DATE)=0,"",'Dvd Calendar'!$W$513*1000000000+ISNUMBER('Dvd Calendar'!$W$514)*100000000+0*10000000+(N('Dvd Calendar'!$W$512)&gt;0)*(N('Dvd Calendar'!$W$512)&lt;=VAL_SERIAL)*1000000+46*1000+59))</f>
        <v/>
      </c>
      <c r="GL57" s="39">
        <f>IF(N('Dvd Calendar'!$X$513)=0,"",IF(('Dvd Calendar'!$X$513&gt;=GRID_FROM)*('Dvd Calendar'!$X$513&lt;=GRID_TO)*('Dvd Calendar'!$X$513&gt;VAL_DATE)=0,"",'Dvd Calendar'!$X$513*1000000000+ISNUMBER('Dvd Calendar'!$X$514)*100000000+0*10000000+(N('Dvd Calendar'!$X$512)&gt;0)*(N('Dvd Calendar'!$X$512)&lt;=VAL_SERIAL)*1000000+46*1000+60))</f>
        <v/>
      </c>
      <c r="GM57" s="39">
        <f>IF(N('Dvd Calendar'!$Y$513)=0,"",IF(('Dvd Calendar'!$Y$513&gt;=GRID_FROM)*('Dvd Calendar'!$Y$513&lt;=GRID_TO)*('Dvd Calendar'!$Y$513&gt;VAL_DATE)=0,"",'Dvd Calendar'!$Y$513*1000000000+ISNUMBER('Dvd Calendar'!$Y$514)*100000000+0*10000000+(N('Dvd Calendar'!$Y$512)&gt;0)*(N('Dvd Calendar'!$Y$512)&lt;=VAL_SERIAL)*1000000+46*1000+61))</f>
        <v/>
      </c>
      <c r="GN57" s="39">
        <f>IF(N('Dvd Calendar'!$Z$513)=0,"",IF(('Dvd Calendar'!$Z$513&gt;=GRID_FROM)*('Dvd Calendar'!$Z$513&lt;=GRID_TO)*('Dvd Calendar'!$Z$513&gt;VAL_DATE)=0,"",'Dvd Calendar'!$Z$513*1000000000+ISNUMBER('Dvd Calendar'!$Z$514)*100000000+0*10000000+(N('Dvd Calendar'!$Z$512)&gt;0)*(N('Dvd Calendar'!$Z$512)&lt;=VAL_SERIAL)*1000000+46*1000+62))</f>
        <v/>
      </c>
      <c r="GO57" s="39">
        <f>IF(N('Dvd Calendar'!$AA$513)=0,"",IF(('Dvd Calendar'!$AA$513&gt;=GRID_FROM)*('Dvd Calendar'!$AA$513&lt;=GRID_TO)*('Dvd Calendar'!$AA$513&gt;VAL_DATE)=0,"",'Dvd Calendar'!$AA$513*1000000000+ISNUMBER('Dvd Calendar'!$AA$514)*100000000+0*10000000+(N('Dvd Calendar'!$AA$512)&gt;0)*(N('Dvd Calendar'!$AA$512)&lt;=VAL_SERIAL)*1000000+46*1000+63))</f>
        <v/>
      </c>
      <c r="GP57" s="39">
        <f>IF(N('Dvd Calendar'!$AB$513)=0,"",IF(('Dvd Calendar'!$AB$513&gt;=GRID_FROM)*('Dvd Calendar'!$AB$513&lt;=GRID_TO)*('Dvd Calendar'!$AB$513&gt;VAL_DATE)=0,"",'Dvd Calendar'!$AB$513*1000000000+ISNUMBER('Dvd Calendar'!$AB$514)*100000000+0*10000000+(N('Dvd Calendar'!$AB$512)&gt;0)*(N('Dvd Calendar'!$AB$512)&lt;=VAL_SERIAL)*1000000+46*1000+64))</f>
        <v/>
      </c>
      <c r="GQ57" s="39">
        <f>IF(N('Dvd Calendar'!$AC$513)=0,"",IF(('Dvd Calendar'!$AC$513&gt;=GRID_FROM)*('Dvd Calendar'!$AC$513&lt;=GRID_TO)*('Dvd Calendar'!$AC$513&gt;VAL_DATE)=0,"",'Dvd Calendar'!$AC$513*1000000000+ISNUMBER('Dvd Calendar'!$AC$514)*100000000+0*10000000+(N('Dvd Calendar'!$AC$512)&gt;0)*(N('Dvd Calendar'!$AC$512)&lt;=VAL_SERIAL)*1000000+46*1000+65))</f>
        <v/>
      </c>
    </row>
    <row r="58">
      <c r="B58" s="2">
        <f>IF(HSI!$C$53="","",HSI!$C$53)</f>
        <v/>
      </c>
      <c r="C58" s="110">
        <f>IF(EE58="","",IF(ISNUMBER('Dvd Calendar'!$E$520)=FALSE,"",IF((('Dvd Calendar'!$E$522=TYPE1)*(TYPE1&lt;&gt;"")+('Dvd Calendar'!$E$522=TYPE2)*(TYPE2&lt;&gt;"")+('Dvd Calendar'!$E$522=TYPE3)*(TYPE3&lt;&gt;"")+('Dvd Calendar'!$E$522=TYPE4)*(TYPE4&lt;&gt;"")+('Dvd Calendar'!$E$522=SPECIAL_LBL)*(INC_SPECIALS="Y"))=0,"",'Dvd Calendar'!$E$520)))</f>
        <v/>
      </c>
      <c r="D58" s="110">
        <f>IF(EF58="","",IF(ISNUMBER('Dvd Calendar'!$F$520)=FALSE,"",IF((('Dvd Calendar'!$F$522=TYPE1)*(TYPE1&lt;&gt;"")+('Dvd Calendar'!$F$522=TYPE2)*(TYPE2&lt;&gt;"")+('Dvd Calendar'!$F$522=TYPE3)*(TYPE3&lt;&gt;"")+('Dvd Calendar'!$F$522=TYPE4)*(TYPE4&lt;&gt;"")+('Dvd Calendar'!$F$522=SPECIAL_LBL)*(INC_SPECIALS="Y"))=0,"",'Dvd Calendar'!$F$520)))</f>
        <v/>
      </c>
      <c r="E58" s="110">
        <f>IF(EG58="","",IF(ISNUMBER('Dvd Calendar'!$G$520)=FALSE,"",IF((('Dvd Calendar'!$G$522=TYPE1)*(TYPE1&lt;&gt;"")+('Dvd Calendar'!$G$522=TYPE2)*(TYPE2&lt;&gt;"")+('Dvd Calendar'!$G$522=TYPE3)*(TYPE3&lt;&gt;"")+('Dvd Calendar'!$G$522=TYPE4)*(TYPE4&lt;&gt;"")+('Dvd Calendar'!$G$522=SPECIAL_LBL)*(INC_SPECIALS="Y"))=0,"",'Dvd Calendar'!$G$520)))</f>
        <v/>
      </c>
      <c r="F58" s="110">
        <f>IF(EH58="","",IF(ISNUMBER('Dvd Calendar'!$H$520)=FALSE,"",IF((('Dvd Calendar'!$H$522=TYPE1)*(TYPE1&lt;&gt;"")+('Dvd Calendar'!$H$522=TYPE2)*(TYPE2&lt;&gt;"")+('Dvd Calendar'!$H$522=TYPE3)*(TYPE3&lt;&gt;"")+('Dvd Calendar'!$H$522=TYPE4)*(TYPE4&lt;&gt;"")+('Dvd Calendar'!$H$522=SPECIAL_LBL)*(INC_SPECIALS="Y"))=0,"",'Dvd Calendar'!$H$520)))</f>
        <v/>
      </c>
      <c r="G58" s="110">
        <f>IF(EI58="","",IF(ISNUMBER('Dvd Calendar'!$I$520)=FALSE,"",IF((('Dvd Calendar'!$I$522=TYPE1)*(TYPE1&lt;&gt;"")+('Dvd Calendar'!$I$522=TYPE2)*(TYPE2&lt;&gt;"")+('Dvd Calendar'!$I$522=TYPE3)*(TYPE3&lt;&gt;"")+('Dvd Calendar'!$I$522=TYPE4)*(TYPE4&lt;&gt;"")+('Dvd Calendar'!$I$522=SPECIAL_LBL)*(INC_SPECIALS="Y"))=0,"",'Dvd Calendar'!$I$520)))</f>
        <v/>
      </c>
      <c r="H58" s="110">
        <f>IF(EJ58="","",IF(ISNUMBER('Dvd Calendar'!$J$520)=FALSE,"",IF((('Dvd Calendar'!$J$522=TYPE1)*(TYPE1&lt;&gt;"")+('Dvd Calendar'!$J$522=TYPE2)*(TYPE2&lt;&gt;"")+('Dvd Calendar'!$J$522=TYPE3)*(TYPE3&lt;&gt;"")+('Dvd Calendar'!$J$522=TYPE4)*(TYPE4&lt;&gt;"")+('Dvd Calendar'!$J$522=SPECIAL_LBL)*(INC_SPECIALS="Y"))=0,"",'Dvd Calendar'!$J$520)))</f>
        <v/>
      </c>
      <c r="I58" s="110">
        <f>IF(EK58="","",IF(ISNUMBER('Dvd Calendar'!$K$520)=FALSE,"",IF((('Dvd Calendar'!$K$522=TYPE1)*(TYPE1&lt;&gt;"")+('Dvd Calendar'!$K$522=TYPE2)*(TYPE2&lt;&gt;"")+('Dvd Calendar'!$K$522=TYPE3)*(TYPE3&lt;&gt;"")+('Dvd Calendar'!$K$522=TYPE4)*(TYPE4&lt;&gt;"")+('Dvd Calendar'!$K$522=SPECIAL_LBL)*(INC_SPECIALS="Y"))=0,"",'Dvd Calendar'!$K$520)))</f>
        <v/>
      </c>
      <c r="J58" s="110">
        <f>IF(EL58="","",IF(ISNUMBER('Dvd Calendar'!$L$520)=FALSE,"",IF((('Dvd Calendar'!$L$522=TYPE1)*(TYPE1&lt;&gt;"")+('Dvd Calendar'!$L$522=TYPE2)*(TYPE2&lt;&gt;"")+('Dvd Calendar'!$L$522=TYPE3)*(TYPE3&lt;&gt;"")+('Dvd Calendar'!$L$522=TYPE4)*(TYPE4&lt;&gt;"")+('Dvd Calendar'!$L$522=SPECIAL_LBL)*(INC_SPECIALS="Y"))=0,"",'Dvd Calendar'!$L$520)))</f>
        <v/>
      </c>
      <c r="K58" s="110">
        <f>IF(EM58="","",IF(ISNUMBER('Dvd Calendar'!$M$520)=FALSE,"",IF((('Dvd Calendar'!$M$522=TYPE1)*(TYPE1&lt;&gt;"")+('Dvd Calendar'!$M$522=TYPE2)*(TYPE2&lt;&gt;"")+('Dvd Calendar'!$M$522=TYPE3)*(TYPE3&lt;&gt;"")+('Dvd Calendar'!$M$522=TYPE4)*(TYPE4&lt;&gt;"")+('Dvd Calendar'!$M$522=SPECIAL_LBL)*(INC_SPECIALS="Y"))=0,"",'Dvd Calendar'!$M$520)))</f>
        <v/>
      </c>
      <c r="L58" s="110">
        <f>IF(EN58="","",IF(ISNUMBER('Dvd Calendar'!$N$520)=FALSE,"",IF((('Dvd Calendar'!$N$522=TYPE1)*(TYPE1&lt;&gt;"")+('Dvd Calendar'!$N$522=TYPE2)*(TYPE2&lt;&gt;"")+('Dvd Calendar'!$N$522=TYPE3)*(TYPE3&lt;&gt;"")+('Dvd Calendar'!$N$522=TYPE4)*(TYPE4&lt;&gt;"")+('Dvd Calendar'!$N$522=SPECIAL_LBL)*(INC_SPECIALS="Y"))=0,"",'Dvd Calendar'!$N$520)))</f>
        <v/>
      </c>
      <c r="M58" s="110">
        <f>IF(EO58="","",IF(ISNUMBER('Dvd Calendar'!$O$520)=FALSE,"",IF((('Dvd Calendar'!$O$522=TYPE1)*(TYPE1&lt;&gt;"")+('Dvd Calendar'!$O$522=TYPE2)*(TYPE2&lt;&gt;"")+('Dvd Calendar'!$O$522=TYPE3)*(TYPE3&lt;&gt;"")+('Dvd Calendar'!$O$522=TYPE4)*(TYPE4&lt;&gt;"")+('Dvd Calendar'!$O$522=SPECIAL_LBL)*(INC_SPECIALS="Y"))=0,"",'Dvd Calendar'!$O$520)))</f>
        <v/>
      </c>
      <c r="N58" s="110">
        <f>IF(EP58="","",IF(ISNUMBER('Dvd Calendar'!$P$520)=FALSE,"",IF((('Dvd Calendar'!$P$522=TYPE1)*(TYPE1&lt;&gt;"")+('Dvd Calendar'!$P$522=TYPE2)*(TYPE2&lt;&gt;"")+('Dvd Calendar'!$P$522=TYPE3)*(TYPE3&lt;&gt;"")+('Dvd Calendar'!$P$522=TYPE4)*(TYPE4&lt;&gt;"")+('Dvd Calendar'!$P$522=SPECIAL_LBL)*(INC_SPECIALS="Y"))=0,"",'Dvd Calendar'!$P$520)))</f>
        <v/>
      </c>
      <c r="O58" s="110">
        <f>IF(EQ58="","",IF(ISNUMBER('Dvd Calendar'!$Q$520)=FALSE,"",IF((('Dvd Calendar'!$Q$522=TYPE1)*(TYPE1&lt;&gt;"")+('Dvd Calendar'!$Q$522=TYPE2)*(TYPE2&lt;&gt;"")+('Dvd Calendar'!$Q$522=TYPE3)*(TYPE3&lt;&gt;"")+('Dvd Calendar'!$Q$522=TYPE4)*(TYPE4&lt;&gt;"")+('Dvd Calendar'!$Q$522=SPECIAL_LBL)*(INC_SPECIALS="Y"))=0,"",'Dvd Calendar'!$Q$520)))</f>
        <v/>
      </c>
      <c r="P58" s="110">
        <f>IF(ER58="","",IF(ISNUMBER('Dvd Calendar'!$R$520)=FALSE,"",IF((('Dvd Calendar'!$R$522=TYPE1)*(TYPE1&lt;&gt;"")+('Dvd Calendar'!$R$522=TYPE2)*(TYPE2&lt;&gt;"")+('Dvd Calendar'!$R$522=TYPE3)*(TYPE3&lt;&gt;"")+('Dvd Calendar'!$R$522=TYPE4)*(TYPE4&lt;&gt;"")+('Dvd Calendar'!$R$522=SPECIAL_LBL)*(INC_SPECIALS="Y"))=0,"",'Dvd Calendar'!$R$520)))</f>
        <v/>
      </c>
      <c r="Q58" s="110">
        <f>IF(ES58="","",IF(ISNUMBER('Dvd Calendar'!$S$520)=FALSE,"",IF((('Dvd Calendar'!$S$522=TYPE1)*(TYPE1&lt;&gt;"")+('Dvd Calendar'!$S$522=TYPE2)*(TYPE2&lt;&gt;"")+('Dvd Calendar'!$S$522=TYPE3)*(TYPE3&lt;&gt;"")+('Dvd Calendar'!$S$522=TYPE4)*(TYPE4&lt;&gt;"")+('Dvd Calendar'!$S$522=SPECIAL_LBL)*(INC_SPECIALS="Y"))=0,"",'Dvd Calendar'!$S$520)))</f>
        <v/>
      </c>
      <c r="R58" s="110">
        <f>IF(ET58="","",IF(ISNUMBER('Dvd Calendar'!$T$520)=FALSE,"",IF((('Dvd Calendar'!$T$522=TYPE1)*(TYPE1&lt;&gt;"")+('Dvd Calendar'!$T$522=TYPE2)*(TYPE2&lt;&gt;"")+('Dvd Calendar'!$T$522=TYPE3)*(TYPE3&lt;&gt;"")+('Dvd Calendar'!$T$522=TYPE4)*(TYPE4&lt;&gt;"")+('Dvd Calendar'!$T$522=SPECIAL_LBL)*(INC_SPECIALS="Y"))=0,"",'Dvd Calendar'!$T$520)))</f>
        <v/>
      </c>
      <c r="S58" s="110">
        <f>IF(EU58="","",IF(ISNUMBER('Dvd Calendar'!$U$520)=FALSE,"",IF((('Dvd Calendar'!$U$522=TYPE1)*(TYPE1&lt;&gt;"")+('Dvd Calendar'!$U$522=TYPE2)*(TYPE2&lt;&gt;"")+('Dvd Calendar'!$U$522=TYPE3)*(TYPE3&lt;&gt;"")+('Dvd Calendar'!$U$522=TYPE4)*(TYPE4&lt;&gt;"")+('Dvd Calendar'!$U$522=SPECIAL_LBL)*(INC_SPECIALS="Y"))=0,"",'Dvd Calendar'!$U$520)))</f>
        <v/>
      </c>
      <c r="T58" s="110">
        <f>IF(EV58="","",IF(ISNUMBER('Dvd Calendar'!$V$520)=FALSE,"",IF((('Dvd Calendar'!$V$522=TYPE1)*(TYPE1&lt;&gt;"")+('Dvd Calendar'!$V$522=TYPE2)*(TYPE2&lt;&gt;"")+('Dvd Calendar'!$V$522=TYPE3)*(TYPE3&lt;&gt;"")+('Dvd Calendar'!$V$522=TYPE4)*(TYPE4&lt;&gt;"")+('Dvd Calendar'!$V$522=SPECIAL_LBL)*(INC_SPECIALS="Y"))=0,"",'Dvd Calendar'!$V$520)))</f>
        <v/>
      </c>
      <c r="U58" s="110">
        <f>IF(EW58="","",IF(ISNUMBER('Dvd Calendar'!$W$520)=FALSE,"",IF((('Dvd Calendar'!$W$522=TYPE1)*(TYPE1&lt;&gt;"")+('Dvd Calendar'!$W$522=TYPE2)*(TYPE2&lt;&gt;"")+('Dvd Calendar'!$W$522=TYPE3)*(TYPE3&lt;&gt;"")+('Dvd Calendar'!$W$522=TYPE4)*(TYPE4&lt;&gt;"")+('Dvd Calendar'!$W$522=SPECIAL_LBL)*(INC_SPECIALS="Y"))=0,"",'Dvd Calendar'!$W$520)))</f>
        <v/>
      </c>
      <c r="V58" s="110">
        <f>IF(EX58="","",IF(ISNUMBER('Dvd Calendar'!$X$520)=FALSE,"",IF((('Dvd Calendar'!$X$522=TYPE1)*(TYPE1&lt;&gt;"")+('Dvd Calendar'!$X$522=TYPE2)*(TYPE2&lt;&gt;"")+('Dvd Calendar'!$X$522=TYPE3)*(TYPE3&lt;&gt;"")+('Dvd Calendar'!$X$522=TYPE4)*(TYPE4&lt;&gt;"")+('Dvd Calendar'!$X$522=SPECIAL_LBL)*(INC_SPECIALS="Y"))=0,"",'Dvd Calendar'!$X$520)))</f>
        <v/>
      </c>
      <c r="W58" s="110">
        <f>IF(EY58="","",IF(ISNUMBER('Dvd Calendar'!$Y$520)=FALSE,"",IF((('Dvd Calendar'!$Y$522=TYPE1)*(TYPE1&lt;&gt;"")+('Dvd Calendar'!$Y$522=TYPE2)*(TYPE2&lt;&gt;"")+('Dvd Calendar'!$Y$522=TYPE3)*(TYPE3&lt;&gt;"")+('Dvd Calendar'!$Y$522=TYPE4)*(TYPE4&lt;&gt;"")+('Dvd Calendar'!$Y$522=SPECIAL_LBL)*(INC_SPECIALS="Y"))=0,"",'Dvd Calendar'!$Y$520)))</f>
        <v/>
      </c>
      <c r="X58" s="110">
        <f>IF(EZ58="","",IF(ISNUMBER('Dvd Calendar'!$Z$520)=FALSE,"",IF((('Dvd Calendar'!$Z$522=TYPE1)*(TYPE1&lt;&gt;"")+('Dvd Calendar'!$Z$522=TYPE2)*(TYPE2&lt;&gt;"")+('Dvd Calendar'!$Z$522=TYPE3)*(TYPE3&lt;&gt;"")+('Dvd Calendar'!$Z$522=TYPE4)*(TYPE4&lt;&gt;"")+('Dvd Calendar'!$Z$522=SPECIAL_LBL)*(INC_SPECIALS="Y"))=0,"",'Dvd Calendar'!$Z$520)))</f>
        <v/>
      </c>
      <c r="Y58" s="110">
        <f>IF(FA58="","",IF(ISNUMBER('Dvd Calendar'!$AA$520)=FALSE,"",IF((('Dvd Calendar'!$AA$522=TYPE1)*(TYPE1&lt;&gt;"")+('Dvd Calendar'!$AA$522=TYPE2)*(TYPE2&lt;&gt;"")+('Dvd Calendar'!$AA$522=TYPE3)*(TYPE3&lt;&gt;"")+('Dvd Calendar'!$AA$522=TYPE4)*(TYPE4&lt;&gt;"")+('Dvd Calendar'!$AA$522=SPECIAL_LBL)*(INC_SPECIALS="Y"))=0,"",'Dvd Calendar'!$AA$520)))</f>
        <v/>
      </c>
      <c r="Z58" s="110">
        <f>IF(FB58="","",IF(ISNUMBER('Dvd Calendar'!$AB$520)=FALSE,"",IF((('Dvd Calendar'!$AB$522=TYPE1)*(TYPE1&lt;&gt;"")+('Dvd Calendar'!$AB$522=TYPE2)*(TYPE2&lt;&gt;"")+('Dvd Calendar'!$AB$522=TYPE3)*(TYPE3&lt;&gt;"")+('Dvd Calendar'!$AB$522=TYPE4)*(TYPE4&lt;&gt;"")+('Dvd Calendar'!$AB$522=SPECIAL_LBL)*(INC_SPECIALS="Y"))=0,"",'Dvd Calendar'!$AB$520)))</f>
        <v/>
      </c>
      <c r="AA58" s="110">
        <f>IF(FC58="","",IF(ISNUMBER('Dvd Calendar'!$AC$520)=FALSE,"",IF((('Dvd Calendar'!$AC$522=TYPE1)*(TYPE1&lt;&gt;"")+('Dvd Calendar'!$AC$522=TYPE2)*(TYPE2&lt;&gt;"")+('Dvd Calendar'!$AC$522=TYPE3)*(TYPE3&lt;&gt;"")+('Dvd Calendar'!$AC$522=TYPE4)*(TYPE4&lt;&gt;"")+('Dvd Calendar'!$AC$522=SPECIAL_LBL)*(INC_SPECIALS="Y"))=0,"",'Dvd Calendar'!$AC$520)))</f>
        <v/>
      </c>
      <c r="AB58" s="110">
        <f>IF(FD58="","",IF(ISNUMBER('Dvd Calendar'!$AD$520)=FALSE,"",IF((('Dvd Calendar'!$AD$522=TYPE1)*(TYPE1&lt;&gt;"")+('Dvd Calendar'!$AD$522=TYPE2)*(TYPE2&lt;&gt;"")+('Dvd Calendar'!$AD$522=TYPE3)*(TYPE3&lt;&gt;"")+('Dvd Calendar'!$AD$522=TYPE4)*(TYPE4&lt;&gt;"")+('Dvd Calendar'!$AD$522=SPECIAL_LBL)*(INC_SPECIALS="Y"))=0,"",'Dvd Calendar'!$AD$520)))</f>
        <v/>
      </c>
      <c r="AC58" s="110">
        <f>IF(FE58="","",IF(ISNUMBER('Dvd Calendar'!$AE$520)=FALSE,"",IF((('Dvd Calendar'!$AE$522=TYPE1)*(TYPE1&lt;&gt;"")+('Dvd Calendar'!$AE$522=TYPE2)*(TYPE2&lt;&gt;"")+('Dvd Calendar'!$AE$522=TYPE3)*(TYPE3&lt;&gt;"")+('Dvd Calendar'!$AE$522=TYPE4)*(TYPE4&lt;&gt;"")+('Dvd Calendar'!$AE$522=SPECIAL_LBL)*(INC_SPECIALS="Y"))=0,"",'Dvd Calendar'!$AE$520)))</f>
        <v/>
      </c>
      <c r="AD58" s="110">
        <f>IF(FF58="","",IF(ISNUMBER('Dvd Calendar'!$AF$520)=FALSE,"",IF((('Dvd Calendar'!$AF$522=TYPE1)*(TYPE1&lt;&gt;"")+('Dvd Calendar'!$AF$522=TYPE2)*(TYPE2&lt;&gt;"")+('Dvd Calendar'!$AF$522=TYPE3)*(TYPE3&lt;&gt;"")+('Dvd Calendar'!$AF$522=TYPE4)*(TYPE4&lt;&gt;"")+('Dvd Calendar'!$AF$522=SPECIAL_LBL)*(INC_SPECIALS="Y"))=0,"",'Dvd Calendar'!$AF$520)))</f>
        <v/>
      </c>
      <c r="AE58" s="110">
        <f>IF(FG58="","",IF(ISNUMBER('Dvd Calendar'!$AG$520)=FALSE,"",IF((('Dvd Calendar'!$AG$522=TYPE1)*(TYPE1&lt;&gt;"")+('Dvd Calendar'!$AG$522=TYPE2)*(TYPE2&lt;&gt;"")+('Dvd Calendar'!$AG$522=TYPE3)*(TYPE3&lt;&gt;"")+('Dvd Calendar'!$AG$522=TYPE4)*(TYPE4&lt;&gt;"")+('Dvd Calendar'!$AG$522=SPECIAL_LBL)*(INC_SPECIALS="Y"))=0,"",'Dvd Calendar'!$AG$520)))</f>
        <v/>
      </c>
      <c r="AF58" s="110">
        <f>IF(FH58="","",IF(ISNUMBER('Dvd Calendar'!$AH$520)=FALSE,"",IF((('Dvd Calendar'!$AH$522=TYPE1)*(TYPE1&lt;&gt;"")+('Dvd Calendar'!$AH$522=TYPE2)*(TYPE2&lt;&gt;"")+('Dvd Calendar'!$AH$522=TYPE3)*(TYPE3&lt;&gt;"")+('Dvd Calendar'!$AH$522=TYPE4)*(TYPE4&lt;&gt;"")+('Dvd Calendar'!$AH$522=SPECIAL_LBL)*(INC_SPECIALS="Y"))=0,"",'Dvd Calendar'!$AH$520)))</f>
        <v/>
      </c>
      <c r="AG58" s="110">
        <f>IF(FI58="","",IF(ISNUMBER('Dvd Calendar'!$AI$520)=FALSE,"",IF((('Dvd Calendar'!$AI$522=TYPE1)*(TYPE1&lt;&gt;"")+('Dvd Calendar'!$AI$522=TYPE2)*(TYPE2&lt;&gt;"")+('Dvd Calendar'!$AI$522=TYPE3)*(TYPE3&lt;&gt;"")+('Dvd Calendar'!$AI$522=TYPE4)*(TYPE4&lt;&gt;"")+('Dvd Calendar'!$AI$522=SPECIAL_LBL)*(INC_SPECIALS="Y"))=0,"",'Dvd Calendar'!$AI$520)))</f>
        <v/>
      </c>
      <c r="AH58" s="110">
        <f>IF(FJ58="","",IF(ISNUMBER('Dvd Calendar'!$AJ$520)=FALSE,"",IF((('Dvd Calendar'!$AJ$522=TYPE1)*(TYPE1&lt;&gt;"")+('Dvd Calendar'!$AJ$522=TYPE2)*(TYPE2&lt;&gt;"")+('Dvd Calendar'!$AJ$522=TYPE3)*(TYPE3&lt;&gt;"")+('Dvd Calendar'!$AJ$522=TYPE4)*(TYPE4&lt;&gt;"")+('Dvd Calendar'!$AJ$522=SPECIAL_LBL)*(INC_SPECIALS="Y"))=0,"",'Dvd Calendar'!$AJ$520)))</f>
        <v/>
      </c>
      <c r="AI58" s="110">
        <f>IF(FK58="","",IF(ISNUMBER('Dvd Calendar'!$AK$520)=FALSE,"",IF((('Dvd Calendar'!$AK$522=TYPE1)*(TYPE1&lt;&gt;"")+('Dvd Calendar'!$AK$522=TYPE2)*(TYPE2&lt;&gt;"")+('Dvd Calendar'!$AK$522=TYPE3)*(TYPE3&lt;&gt;"")+('Dvd Calendar'!$AK$522=TYPE4)*(TYPE4&lt;&gt;"")+('Dvd Calendar'!$AK$522=SPECIAL_LBL)*(INC_SPECIALS="Y"))=0,"",'Dvd Calendar'!$AK$520)))</f>
        <v/>
      </c>
      <c r="AJ58" s="110">
        <f>IF(FL58="","",IF(ISNUMBER('Dvd Calendar'!$AL$520)=FALSE,"",IF((('Dvd Calendar'!$AL$522=TYPE1)*(TYPE1&lt;&gt;"")+('Dvd Calendar'!$AL$522=TYPE2)*(TYPE2&lt;&gt;"")+('Dvd Calendar'!$AL$522=TYPE3)*(TYPE3&lt;&gt;"")+('Dvd Calendar'!$AL$522=TYPE4)*(TYPE4&lt;&gt;"")+('Dvd Calendar'!$AL$522=SPECIAL_LBL)*(INC_SPECIALS="Y"))=0,"",'Dvd Calendar'!$AL$520)))</f>
        <v/>
      </c>
      <c r="AK58" s="110">
        <f>IF(FM58="","",IF(ISNUMBER('Dvd Calendar'!$AM$520)=FALSE,"",IF((('Dvd Calendar'!$AM$522=TYPE1)*(TYPE1&lt;&gt;"")+('Dvd Calendar'!$AM$522=TYPE2)*(TYPE2&lt;&gt;"")+('Dvd Calendar'!$AM$522=TYPE3)*(TYPE3&lt;&gt;"")+('Dvd Calendar'!$AM$522=TYPE4)*(TYPE4&lt;&gt;"")+('Dvd Calendar'!$AM$522=SPECIAL_LBL)*(INC_SPECIALS="Y"))=0,"",'Dvd Calendar'!$AM$520)))</f>
        <v/>
      </c>
      <c r="AL58" s="110">
        <f>IF(FN58="","",IF(ISNUMBER('Dvd Calendar'!$AN$520)=FALSE,"",IF((('Dvd Calendar'!$AN$522=TYPE1)*(TYPE1&lt;&gt;"")+('Dvd Calendar'!$AN$522=TYPE2)*(TYPE2&lt;&gt;"")+('Dvd Calendar'!$AN$522=TYPE3)*(TYPE3&lt;&gt;"")+('Dvd Calendar'!$AN$522=TYPE4)*(TYPE4&lt;&gt;"")+('Dvd Calendar'!$AN$522=SPECIAL_LBL)*(INC_SPECIALS="Y"))=0,"",'Dvd Calendar'!$AN$520)))</f>
        <v/>
      </c>
      <c r="AM58" s="110">
        <f>IF(FO58="","",IF(ISNUMBER('Dvd Calendar'!$AO$520)=FALSE,"",IF((('Dvd Calendar'!$AO$522=TYPE1)*(TYPE1&lt;&gt;"")+('Dvd Calendar'!$AO$522=TYPE2)*(TYPE2&lt;&gt;"")+('Dvd Calendar'!$AO$522=TYPE3)*(TYPE3&lt;&gt;"")+('Dvd Calendar'!$AO$522=TYPE4)*(TYPE4&lt;&gt;"")+('Dvd Calendar'!$AO$522=SPECIAL_LBL)*(INC_SPECIALS="Y"))=0,"",'Dvd Calendar'!$AO$520)))</f>
        <v/>
      </c>
      <c r="AN58" s="110">
        <f>IF(FP58="","",IF(ISNUMBER('Dvd Calendar'!$AP$520)=FALSE,"",IF((('Dvd Calendar'!$AP$522=TYPE1)*(TYPE1&lt;&gt;"")+('Dvd Calendar'!$AP$522=TYPE2)*(TYPE2&lt;&gt;"")+('Dvd Calendar'!$AP$522=TYPE3)*(TYPE3&lt;&gt;"")+('Dvd Calendar'!$AP$522=TYPE4)*(TYPE4&lt;&gt;"")+('Dvd Calendar'!$AP$522=SPECIAL_LBL)*(INC_SPECIALS="Y"))=0,"",'Dvd Calendar'!$AP$520)))</f>
        <v/>
      </c>
      <c r="AO58" s="110">
        <f>IF(FQ58="","",IF(ISNUMBER('Dvd Calendar'!$AQ$520)=FALSE,"",IF((('Dvd Calendar'!$AQ$522=TYPE1)*(TYPE1&lt;&gt;"")+('Dvd Calendar'!$AQ$522=TYPE2)*(TYPE2&lt;&gt;"")+('Dvd Calendar'!$AQ$522=TYPE3)*(TYPE3&lt;&gt;"")+('Dvd Calendar'!$AQ$522=TYPE4)*(TYPE4&lt;&gt;"")+('Dvd Calendar'!$AQ$522=SPECIAL_LBL)*(INC_SPECIALS="Y"))=0,"",'Dvd Calendar'!$AQ$520)))</f>
        <v/>
      </c>
      <c r="AP58" s="110">
        <f>IF(FR58="","",IF(ISNUMBER('Dvd Calendar'!$AR$520)=FALSE,"",IF((('Dvd Calendar'!$AR$522=TYPE1)*(TYPE1&lt;&gt;"")+('Dvd Calendar'!$AR$522=TYPE2)*(TYPE2&lt;&gt;"")+('Dvd Calendar'!$AR$522=TYPE3)*(TYPE3&lt;&gt;"")+('Dvd Calendar'!$AR$522=TYPE4)*(TYPE4&lt;&gt;"")+('Dvd Calendar'!$AR$522=SPECIAL_LBL)*(INC_SPECIALS="Y"))=0,"",'Dvd Calendar'!$AR$520)))</f>
        <v/>
      </c>
      <c r="AQ58" s="110">
        <f>IF(FS58="","",IF(ISNUMBER('Dvd Calendar'!$E$525)=FALSE,"",'Dvd Calendar'!$E$525))</f>
        <v/>
      </c>
      <c r="AR58" s="110">
        <f>IF(FT58="","",IF(ISNUMBER('Dvd Calendar'!$F$525)=FALSE,"",'Dvd Calendar'!$F$525))</f>
        <v/>
      </c>
      <c r="AS58" s="110">
        <f>IF(FU58="","",IF(ISNUMBER('Dvd Calendar'!$G$525)=FALSE,"",'Dvd Calendar'!$G$525))</f>
        <v/>
      </c>
      <c r="AT58" s="110">
        <f>IF(FV58="","",IF(ISNUMBER('Dvd Calendar'!$H$525)=FALSE,"",'Dvd Calendar'!$H$525))</f>
        <v/>
      </c>
      <c r="AU58" s="110">
        <f>IF(FW58="","",IF(ISNUMBER('Dvd Calendar'!$I$525)=FALSE,"",'Dvd Calendar'!$I$525))</f>
        <v/>
      </c>
      <c r="AV58" s="110">
        <f>IF(FX58="","",IF(ISNUMBER('Dvd Calendar'!$J$525)=FALSE,"",'Dvd Calendar'!$J$525))</f>
        <v/>
      </c>
      <c r="AW58" s="110">
        <f>IF(FY58="","",IF(ISNUMBER('Dvd Calendar'!$K$525)=FALSE,"",'Dvd Calendar'!$K$525))</f>
        <v/>
      </c>
      <c r="AX58" s="110">
        <f>IF(FZ58="","",IF(ISNUMBER('Dvd Calendar'!$L$525)=FALSE,"",'Dvd Calendar'!$L$525))</f>
        <v/>
      </c>
      <c r="AY58" s="110">
        <f>IF(GA58="","",IF(ISNUMBER('Dvd Calendar'!$M$525)=FALSE,"",'Dvd Calendar'!$M$525))</f>
        <v/>
      </c>
      <c r="AZ58" s="110">
        <f>IF(GB58="","",IF(ISNUMBER('Dvd Calendar'!$N$525)=FALSE,"",'Dvd Calendar'!$N$525))</f>
        <v/>
      </c>
      <c r="BA58" s="110">
        <f>IF(GC58="","",IF(ISNUMBER('Dvd Calendar'!$O$525)=FALSE,"",'Dvd Calendar'!$O$525))</f>
        <v/>
      </c>
      <c r="BB58" s="110">
        <f>IF(GD58="","",IF(ISNUMBER('Dvd Calendar'!$P$525)=FALSE,"",'Dvd Calendar'!$P$525))</f>
        <v/>
      </c>
      <c r="BC58" s="110">
        <f>IF(GE58="","",IF(ISNUMBER('Dvd Calendar'!$Q$525)=FALSE,"",'Dvd Calendar'!$Q$525))</f>
        <v/>
      </c>
      <c r="BD58" s="110">
        <f>IF(GF58="","",IF(ISNUMBER('Dvd Calendar'!$R$525)=FALSE,"",'Dvd Calendar'!$R$525))</f>
        <v/>
      </c>
      <c r="BE58" s="110">
        <f>IF(GG58="","",IF(ISNUMBER('Dvd Calendar'!$S$525)=FALSE,"",'Dvd Calendar'!$S$525))</f>
        <v/>
      </c>
      <c r="BF58" s="110">
        <f>IF(GH58="","",IF(ISNUMBER('Dvd Calendar'!$T$525)=FALSE,"",'Dvd Calendar'!$T$525))</f>
        <v/>
      </c>
      <c r="BG58" s="110">
        <f>IF(GI58="","",IF(ISNUMBER('Dvd Calendar'!$U$525)=FALSE,"",'Dvd Calendar'!$U$525))</f>
        <v/>
      </c>
      <c r="BH58" s="110">
        <f>IF(GJ58="","",IF(ISNUMBER('Dvd Calendar'!$V$525)=FALSE,"",'Dvd Calendar'!$V$525))</f>
        <v/>
      </c>
      <c r="BI58" s="110">
        <f>IF(GK58="","",IF(ISNUMBER('Dvd Calendar'!$W$525)=FALSE,"",'Dvd Calendar'!$W$525))</f>
        <v/>
      </c>
      <c r="BJ58" s="110">
        <f>IF(GL58="","",IF(ISNUMBER('Dvd Calendar'!$X$525)=FALSE,"",'Dvd Calendar'!$X$525))</f>
        <v/>
      </c>
      <c r="BK58" s="110">
        <f>IF(GM58="","",IF(ISNUMBER('Dvd Calendar'!$Y$525)=FALSE,"",'Dvd Calendar'!$Y$525))</f>
        <v/>
      </c>
      <c r="BL58" s="110">
        <f>IF(GN58="","",IF(ISNUMBER('Dvd Calendar'!$Z$525)=FALSE,"",'Dvd Calendar'!$Z$525))</f>
        <v/>
      </c>
      <c r="BM58" s="110">
        <f>IF(GO58="","",IF(ISNUMBER('Dvd Calendar'!$AA$525)=FALSE,"",'Dvd Calendar'!$AA$525))</f>
        <v/>
      </c>
      <c r="BN58" s="110">
        <f>IF(GP58="","",IF(ISNUMBER('Dvd Calendar'!$AB$525)=FALSE,"",'Dvd Calendar'!$AB$525))</f>
        <v/>
      </c>
      <c r="BO58" s="110">
        <f>IF(GQ58="","",IF(ISNUMBER('Dvd Calendar'!$AC$525)=FALSE,"",'Dvd Calendar'!$AC$525))</f>
        <v/>
      </c>
      <c r="BQ58" s="110">
        <f>IF(C58="","",IFERROR(C58*HSI!$B$53*HSI!$G$53/HSI!$B$3,""))</f>
        <v/>
      </c>
      <c r="BR58" s="110">
        <f>IF(D58="","",IFERROR(D58*HSI!$B$53*HSI!$G$53/HSI!$B$3,""))</f>
        <v/>
      </c>
      <c r="BS58" s="110">
        <f>IF(E58="","",IFERROR(E58*HSI!$B$53*HSI!$G$53/HSI!$B$3,""))</f>
        <v/>
      </c>
      <c r="BT58" s="110">
        <f>IF(F58="","",IFERROR(F58*HSI!$B$53*HSI!$G$53/HSI!$B$3,""))</f>
        <v/>
      </c>
      <c r="BU58" s="110">
        <f>IF(G58="","",IFERROR(G58*HSI!$B$53*HSI!$G$53/HSI!$B$3,""))</f>
        <v/>
      </c>
      <c r="BV58" s="110">
        <f>IF(H58="","",IFERROR(H58*HSI!$B$53*HSI!$G$53/HSI!$B$3,""))</f>
        <v/>
      </c>
      <c r="BW58" s="110">
        <f>IF(I58="","",IFERROR(I58*HSI!$B$53*HSI!$G$53/HSI!$B$3,""))</f>
        <v/>
      </c>
      <c r="BX58" s="110">
        <f>IF(J58="","",IFERROR(J58*HSI!$B$53*HSI!$G$53/HSI!$B$3,""))</f>
        <v/>
      </c>
      <c r="BY58" s="110">
        <f>IF(K58="","",IFERROR(K58*HSI!$B$53*HSI!$G$53/HSI!$B$3,""))</f>
        <v/>
      </c>
      <c r="BZ58" s="110">
        <f>IF(L58="","",IFERROR(L58*HSI!$B$53*HSI!$G$53/HSI!$B$3,""))</f>
        <v/>
      </c>
      <c r="CA58" s="110">
        <f>IF(M58="","",IFERROR(M58*HSI!$B$53*HSI!$G$53/HSI!$B$3,""))</f>
        <v/>
      </c>
      <c r="CB58" s="110">
        <f>IF(N58="","",IFERROR(N58*HSI!$B$53*HSI!$G$53/HSI!$B$3,""))</f>
        <v/>
      </c>
      <c r="CC58" s="110">
        <f>IF(O58="","",IFERROR(O58*HSI!$B$53*HSI!$G$53/HSI!$B$3,""))</f>
        <v/>
      </c>
      <c r="CD58" s="110">
        <f>IF(P58="","",IFERROR(P58*HSI!$B$53*HSI!$G$53/HSI!$B$3,""))</f>
        <v/>
      </c>
      <c r="CE58" s="110">
        <f>IF(Q58="","",IFERROR(Q58*HSI!$B$53*HSI!$G$53/HSI!$B$3,""))</f>
        <v/>
      </c>
      <c r="CF58" s="110">
        <f>IF(R58="","",IFERROR(R58*HSI!$B$53*HSI!$G$53/HSI!$B$3,""))</f>
        <v/>
      </c>
      <c r="CG58" s="110">
        <f>IF(S58="","",IFERROR(S58*HSI!$B$53*HSI!$G$53/HSI!$B$3,""))</f>
        <v/>
      </c>
      <c r="CH58" s="110">
        <f>IF(T58="","",IFERROR(T58*HSI!$B$53*HSI!$G$53/HSI!$B$3,""))</f>
        <v/>
      </c>
      <c r="CI58" s="110">
        <f>IF(U58="","",IFERROR(U58*HSI!$B$53*HSI!$G$53/HSI!$B$3,""))</f>
        <v/>
      </c>
      <c r="CJ58" s="110">
        <f>IF(V58="","",IFERROR(V58*HSI!$B$53*HSI!$G$53/HSI!$B$3,""))</f>
        <v/>
      </c>
      <c r="CK58" s="110">
        <f>IF(W58="","",IFERROR(W58*HSI!$B$53*HSI!$G$53/HSI!$B$3,""))</f>
        <v/>
      </c>
      <c r="CL58" s="110">
        <f>IF(X58="","",IFERROR(X58*HSI!$B$53*HSI!$G$53/HSI!$B$3,""))</f>
        <v/>
      </c>
      <c r="CM58" s="110">
        <f>IF(Y58="","",IFERROR(Y58*HSI!$B$53*HSI!$G$53/HSI!$B$3,""))</f>
        <v/>
      </c>
      <c r="CN58" s="110">
        <f>IF(Z58="","",IFERROR(Z58*HSI!$B$53*HSI!$G$53/HSI!$B$3,""))</f>
        <v/>
      </c>
      <c r="CO58" s="110">
        <f>IF(AA58="","",IFERROR(AA58*HSI!$B$53*HSI!$G$53/HSI!$B$3,""))</f>
        <v/>
      </c>
      <c r="CP58" s="110">
        <f>IF(AB58="","",IFERROR(AB58*HSI!$B$53*HSI!$G$53/HSI!$B$3,""))</f>
        <v/>
      </c>
      <c r="CQ58" s="110">
        <f>IF(AC58="","",IFERROR(AC58*HSI!$B$53*HSI!$G$53/HSI!$B$3,""))</f>
        <v/>
      </c>
      <c r="CR58" s="110">
        <f>IF(AD58="","",IFERROR(AD58*HSI!$B$53*HSI!$G$53/HSI!$B$3,""))</f>
        <v/>
      </c>
      <c r="CS58" s="110">
        <f>IF(AE58="","",IFERROR(AE58*HSI!$B$53*HSI!$G$53/HSI!$B$3,""))</f>
        <v/>
      </c>
      <c r="CT58" s="110">
        <f>IF(AF58="","",IFERROR(AF58*HSI!$B$53*HSI!$G$53/HSI!$B$3,""))</f>
        <v/>
      </c>
      <c r="CU58" s="110">
        <f>IF(AG58="","",IFERROR(AG58*HSI!$B$53*HSI!$G$53/HSI!$B$3,""))</f>
        <v/>
      </c>
      <c r="CV58" s="110">
        <f>IF(AH58="","",IFERROR(AH58*HSI!$B$53*HSI!$G$53/HSI!$B$3,""))</f>
        <v/>
      </c>
      <c r="CW58" s="110">
        <f>IF(AI58="","",IFERROR(AI58*HSI!$B$53*HSI!$G$53/HSI!$B$3,""))</f>
        <v/>
      </c>
      <c r="CX58" s="110">
        <f>IF(AJ58="","",IFERROR(AJ58*HSI!$B$53*HSI!$G$53/HSI!$B$3,""))</f>
        <v/>
      </c>
      <c r="CY58" s="110">
        <f>IF(AK58="","",IFERROR(AK58*HSI!$B$53*HSI!$G$53/HSI!$B$3,""))</f>
        <v/>
      </c>
      <c r="CZ58" s="110">
        <f>IF(AL58="","",IFERROR(AL58*HSI!$B$53*HSI!$G$53/HSI!$B$3,""))</f>
        <v/>
      </c>
      <c r="DA58" s="110">
        <f>IF(AM58="","",IFERROR(AM58*HSI!$B$53*HSI!$G$53/HSI!$B$3,""))</f>
        <v/>
      </c>
      <c r="DB58" s="110">
        <f>IF(AN58="","",IFERROR(AN58*HSI!$B$53*HSI!$G$53/HSI!$B$3,""))</f>
        <v/>
      </c>
      <c r="DC58" s="110">
        <f>IF(AO58="","",IFERROR(AO58*HSI!$B$53*HSI!$G$53/HSI!$B$3,""))</f>
        <v/>
      </c>
      <c r="DD58" s="110">
        <f>IF(AP58="","",IFERROR(AP58*HSI!$B$53*HSI!$G$53/HSI!$B$3,""))</f>
        <v/>
      </c>
      <c r="DE58" s="110">
        <f>IF(AQ58="","",IFERROR(AQ58*HSI!$B$53*HSI!$G$53/HSI!$B$3,""))</f>
        <v/>
      </c>
      <c r="DF58" s="110">
        <f>IF(AR58="","",IFERROR(AR58*HSI!$B$53*HSI!$G$53/HSI!$B$3,""))</f>
        <v/>
      </c>
      <c r="DG58" s="110">
        <f>IF(AS58="","",IFERROR(AS58*HSI!$B$53*HSI!$G$53/HSI!$B$3,""))</f>
        <v/>
      </c>
      <c r="DH58" s="110">
        <f>IF(AT58="","",IFERROR(AT58*HSI!$B$53*HSI!$G$53/HSI!$B$3,""))</f>
        <v/>
      </c>
      <c r="DI58" s="110">
        <f>IF(AU58="","",IFERROR(AU58*HSI!$B$53*HSI!$G$53/HSI!$B$3,""))</f>
        <v/>
      </c>
      <c r="DJ58" s="110">
        <f>IF(AV58="","",IFERROR(AV58*HSI!$B$53*HSI!$G$53/HSI!$B$3,""))</f>
        <v/>
      </c>
      <c r="DK58" s="110">
        <f>IF(AW58="","",IFERROR(AW58*HSI!$B$53*HSI!$G$53/HSI!$B$3,""))</f>
        <v/>
      </c>
      <c r="DL58" s="110">
        <f>IF(AX58="","",IFERROR(AX58*HSI!$B$53*HSI!$G$53/HSI!$B$3,""))</f>
        <v/>
      </c>
      <c r="DM58" s="110">
        <f>IF(AY58="","",IFERROR(AY58*HSI!$B$53*HSI!$G$53/HSI!$B$3,""))</f>
        <v/>
      </c>
      <c r="DN58" s="110">
        <f>IF(AZ58="","",IFERROR(AZ58*HSI!$B$53*HSI!$G$53/HSI!$B$3,""))</f>
        <v/>
      </c>
      <c r="DO58" s="110">
        <f>IF(BA58="","",IFERROR(BA58*HSI!$B$53*HSI!$G$53/HSI!$B$3,""))</f>
        <v/>
      </c>
      <c r="DP58" s="110">
        <f>IF(BB58="","",IFERROR(BB58*HSI!$B$53*HSI!$G$53/HSI!$B$3,""))</f>
        <v/>
      </c>
      <c r="DQ58" s="110">
        <f>IF(BC58="","",IFERROR(BC58*HSI!$B$53*HSI!$G$53/HSI!$B$3,""))</f>
        <v/>
      </c>
      <c r="DR58" s="110">
        <f>IF(BD58="","",IFERROR(BD58*HSI!$B$53*HSI!$G$53/HSI!$B$3,""))</f>
        <v/>
      </c>
      <c r="DS58" s="110">
        <f>IF(BE58="","",IFERROR(BE58*HSI!$B$53*HSI!$G$53/HSI!$B$3,""))</f>
        <v/>
      </c>
      <c r="DT58" s="110">
        <f>IF(BF58="","",IFERROR(BF58*HSI!$B$53*HSI!$G$53/HSI!$B$3,""))</f>
        <v/>
      </c>
      <c r="DU58" s="110">
        <f>IF(BG58="","",IFERROR(BG58*HSI!$B$53*HSI!$G$53/HSI!$B$3,""))</f>
        <v/>
      </c>
      <c r="DV58" s="110">
        <f>IF(BH58="","",IFERROR(BH58*HSI!$B$53*HSI!$G$53/HSI!$B$3,""))</f>
        <v/>
      </c>
      <c r="DW58" s="110">
        <f>IF(BI58="","",IFERROR(BI58*HSI!$B$53*HSI!$G$53/HSI!$B$3,""))</f>
        <v/>
      </c>
      <c r="DX58" s="110">
        <f>IF(BJ58="","",IFERROR(BJ58*HSI!$B$53*HSI!$G$53/HSI!$B$3,""))</f>
        <v/>
      </c>
      <c r="DY58" s="110">
        <f>IF(BK58="","",IFERROR(BK58*HSI!$B$53*HSI!$G$53/HSI!$B$3,""))</f>
        <v/>
      </c>
      <c r="DZ58" s="110">
        <f>IF(BL58="","",IFERROR(BL58*HSI!$B$53*HSI!$G$53/HSI!$B$3,""))</f>
        <v/>
      </c>
      <c r="EA58" s="110">
        <f>IF(BM58="","",IFERROR(BM58*HSI!$B$53*HSI!$G$53/HSI!$B$3,""))</f>
        <v/>
      </c>
      <c r="EB58" s="110">
        <f>IF(BN58="","",IFERROR(BN58*HSI!$B$53*HSI!$G$53/HSI!$B$3,""))</f>
        <v/>
      </c>
      <c r="EC58" s="110">
        <f>IF(BO58="","",IFERROR(BO58*HSI!$B$53*HSI!$G$53/HSI!$B$3,""))</f>
        <v/>
      </c>
      <c r="EE58" s="39">
        <f>IF(N('Dvd Calendar'!$E$517)=0,"",IF(('Dvd Calendar'!$E$517&gt;=GRID_FROM)*('Dvd Calendar'!$E$517&lt;=GRID_TO)*((('Dvd Calendar'!$E$517&lt;=VAL_DATE)+(COUNTIF('Dvd Calendar'!$E$524:$AR$524,'Dvd Calendar'!$E$517)=0))&gt;0)=0,"",'Dvd Calendar'!$E$517*1000000000+ISNUMBER('Dvd Calendar'!$E$520)*100000000+('Dvd Calendar'!$E$522=SPECIAL_LBL)*10000000+(N('Dvd Calendar'!$E$516)&gt;0)*(N('Dvd Calendar'!$E$516)&lt;=VAL_SERIAL)*1000000+47*1000+1))</f>
        <v/>
      </c>
      <c r="EF58" s="39">
        <f>IF(N('Dvd Calendar'!$F$517)=0,"",IF(('Dvd Calendar'!$F$517&gt;=GRID_FROM)*('Dvd Calendar'!$F$517&lt;=GRID_TO)*((('Dvd Calendar'!$F$517&lt;=VAL_DATE)+(COUNTIF('Dvd Calendar'!$E$524:$AR$524,'Dvd Calendar'!$F$517)=0))&gt;0)=0,"",'Dvd Calendar'!$F$517*1000000000+ISNUMBER('Dvd Calendar'!$F$520)*100000000+('Dvd Calendar'!$F$522=SPECIAL_LBL)*10000000+(N('Dvd Calendar'!$F$516)&gt;0)*(N('Dvd Calendar'!$F$516)&lt;=VAL_SERIAL)*1000000+47*1000+2))</f>
        <v/>
      </c>
      <c r="EG58" s="39">
        <f>IF(N('Dvd Calendar'!$G$517)=0,"",IF(('Dvd Calendar'!$G$517&gt;=GRID_FROM)*('Dvd Calendar'!$G$517&lt;=GRID_TO)*((('Dvd Calendar'!$G$517&lt;=VAL_DATE)+(COUNTIF('Dvd Calendar'!$E$524:$AR$524,'Dvd Calendar'!$G$517)=0))&gt;0)=0,"",'Dvd Calendar'!$G$517*1000000000+ISNUMBER('Dvd Calendar'!$G$520)*100000000+('Dvd Calendar'!$G$522=SPECIAL_LBL)*10000000+(N('Dvd Calendar'!$G$516)&gt;0)*(N('Dvd Calendar'!$G$516)&lt;=VAL_SERIAL)*1000000+47*1000+3))</f>
        <v/>
      </c>
      <c r="EH58" s="39">
        <f>IF(N('Dvd Calendar'!$H$517)=0,"",IF(('Dvd Calendar'!$H$517&gt;=GRID_FROM)*('Dvd Calendar'!$H$517&lt;=GRID_TO)*((('Dvd Calendar'!$H$517&lt;=VAL_DATE)+(COUNTIF('Dvd Calendar'!$E$524:$AR$524,'Dvd Calendar'!$H$517)=0))&gt;0)=0,"",'Dvd Calendar'!$H$517*1000000000+ISNUMBER('Dvd Calendar'!$H$520)*100000000+('Dvd Calendar'!$H$522=SPECIAL_LBL)*10000000+(N('Dvd Calendar'!$H$516)&gt;0)*(N('Dvd Calendar'!$H$516)&lt;=VAL_SERIAL)*1000000+47*1000+4))</f>
        <v/>
      </c>
      <c r="EI58" s="39">
        <f>IF(N('Dvd Calendar'!$I$517)=0,"",IF(('Dvd Calendar'!$I$517&gt;=GRID_FROM)*('Dvd Calendar'!$I$517&lt;=GRID_TO)*((('Dvd Calendar'!$I$517&lt;=VAL_DATE)+(COUNTIF('Dvd Calendar'!$E$524:$AR$524,'Dvd Calendar'!$I$517)=0))&gt;0)=0,"",'Dvd Calendar'!$I$517*1000000000+ISNUMBER('Dvd Calendar'!$I$520)*100000000+('Dvd Calendar'!$I$522=SPECIAL_LBL)*10000000+(N('Dvd Calendar'!$I$516)&gt;0)*(N('Dvd Calendar'!$I$516)&lt;=VAL_SERIAL)*1000000+47*1000+5))</f>
        <v/>
      </c>
      <c r="EJ58" s="39">
        <f>IF(N('Dvd Calendar'!$J$517)=0,"",IF(('Dvd Calendar'!$J$517&gt;=GRID_FROM)*('Dvd Calendar'!$J$517&lt;=GRID_TO)*((('Dvd Calendar'!$J$517&lt;=VAL_DATE)+(COUNTIF('Dvd Calendar'!$E$524:$AR$524,'Dvd Calendar'!$J$517)=0))&gt;0)=0,"",'Dvd Calendar'!$J$517*1000000000+ISNUMBER('Dvd Calendar'!$J$520)*100000000+('Dvd Calendar'!$J$522=SPECIAL_LBL)*10000000+(N('Dvd Calendar'!$J$516)&gt;0)*(N('Dvd Calendar'!$J$516)&lt;=VAL_SERIAL)*1000000+47*1000+6))</f>
        <v/>
      </c>
      <c r="EK58" s="39">
        <f>IF(N('Dvd Calendar'!$K$517)=0,"",IF(('Dvd Calendar'!$K$517&gt;=GRID_FROM)*('Dvd Calendar'!$K$517&lt;=GRID_TO)*((('Dvd Calendar'!$K$517&lt;=VAL_DATE)+(COUNTIF('Dvd Calendar'!$E$524:$AR$524,'Dvd Calendar'!$K$517)=0))&gt;0)=0,"",'Dvd Calendar'!$K$517*1000000000+ISNUMBER('Dvd Calendar'!$K$520)*100000000+('Dvd Calendar'!$K$522=SPECIAL_LBL)*10000000+(N('Dvd Calendar'!$K$516)&gt;0)*(N('Dvd Calendar'!$K$516)&lt;=VAL_SERIAL)*1000000+47*1000+7))</f>
        <v/>
      </c>
      <c r="EL58" s="39">
        <f>IF(N('Dvd Calendar'!$L$517)=0,"",IF(('Dvd Calendar'!$L$517&gt;=GRID_FROM)*('Dvd Calendar'!$L$517&lt;=GRID_TO)*((('Dvd Calendar'!$L$517&lt;=VAL_DATE)+(COUNTIF('Dvd Calendar'!$E$524:$AR$524,'Dvd Calendar'!$L$517)=0))&gt;0)=0,"",'Dvd Calendar'!$L$517*1000000000+ISNUMBER('Dvd Calendar'!$L$520)*100000000+('Dvd Calendar'!$L$522=SPECIAL_LBL)*10000000+(N('Dvd Calendar'!$L$516)&gt;0)*(N('Dvd Calendar'!$L$516)&lt;=VAL_SERIAL)*1000000+47*1000+8))</f>
        <v/>
      </c>
      <c r="EM58" s="39">
        <f>IF(N('Dvd Calendar'!$M$517)=0,"",IF(('Dvd Calendar'!$M$517&gt;=GRID_FROM)*('Dvd Calendar'!$M$517&lt;=GRID_TO)*((('Dvd Calendar'!$M$517&lt;=VAL_DATE)+(COUNTIF('Dvd Calendar'!$E$524:$AR$524,'Dvd Calendar'!$M$517)=0))&gt;0)=0,"",'Dvd Calendar'!$M$517*1000000000+ISNUMBER('Dvd Calendar'!$M$520)*100000000+('Dvd Calendar'!$M$522=SPECIAL_LBL)*10000000+(N('Dvd Calendar'!$M$516)&gt;0)*(N('Dvd Calendar'!$M$516)&lt;=VAL_SERIAL)*1000000+47*1000+9))</f>
        <v/>
      </c>
      <c r="EN58" s="39">
        <f>IF(N('Dvd Calendar'!$N$517)=0,"",IF(('Dvd Calendar'!$N$517&gt;=GRID_FROM)*('Dvd Calendar'!$N$517&lt;=GRID_TO)*((('Dvd Calendar'!$N$517&lt;=VAL_DATE)+(COUNTIF('Dvd Calendar'!$E$524:$AR$524,'Dvd Calendar'!$N$517)=0))&gt;0)=0,"",'Dvd Calendar'!$N$517*1000000000+ISNUMBER('Dvd Calendar'!$N$520)*100000000+('Dvd Calendar'!$N$522=SPECIAL_LBL)*10000000+(N('Dvd Calendar'!$N$516)&gt;0)*(N('Dvd Calendar'!$N$516)&lt;=VAL_SERIAL)*1000000+47*1000+10))</f>
        <v/>
      </c>
      <c r="EO58" s="39">
        <f>IF(N('Dvd Calendar'!$O$517)=0,"",IF(('Dvd Calendar'!$O$517&gt;=GRID_FROM)*('Dvd Calendar'!$O$517&lt;=GRID_TO)*((('Dvd Calendar'!$O$517&lt;=VAL_DATE)+(COUNTIF('Dvd Calendar'!$E$524:$AR$524,'Dvd Calendar'!$O$517)=0))&gt;0)=0,"",'Dvd Calendar'!$O$517*1000000000+ISNUMBER('Dvd Calendar'!$O$520)*100000000+('Dvd Calendar'!$O$522=SPECIAL_LBL)*10000000+(N('Dvd Calendar'!$O$516)&gt;0)*(N('Dvd Calendar'!$O$516)&lt;=VAL_SERIAL)*1000000+47*1000+11))</f>
        <v/>
      </c>
      <c r="EP58" s="39">
        <f>IF(N('Dvd Calendar'!$P$517)=0,"",IF(('Dvd Calendar'!$P$517&gt;=GRID_FROM)*('Dvd Calendar'!$P$517&lt;=GRID_TO)*((('Dvd Calendar'!$P$517&lt;=VAL_DATE)+(COUNTIF('Dvd Calendar'!$E$524:$AR$524,'Dvd Calendar'!$P$517)=0))&gt;0)=0,"",'Dvd Calendar'!$P$517*1000000000+ISNUMBER('Dvd Calendar'!$P$520)*100000000+('Dvd Calendar'!$P$522=SPECIAL_LBL)*10000000+(N('Dvd Calendar'!$P$516)&gt;0)*(N('Dvd Calendar'!$P$516)&lt;=VAL_SERIAL)*1000000+47*1000+12))</f>
        <v/>
      </c>
      <c r="EQ58" s="39">
        <f>IF(N('Dvd Calendar'!$Q$517)=0,"",IF(('Dvd Calendar'!$Q$517&gt;=GRID_FROM)*('Dvd Calendar'!$Q$517&lt;=GRID_TO)*((('Dvd Calendar'!$Q$517&lt;=VAL_DATE)+(COUNTIF('Dvd Calendar'!$E$524:$AR$524,'Dvd Calendar'!$Q$517)=0))&gt;0)=0,"",'Dvd Calendar'!$Q$517*1000000000+ISNUMBER('Dvd Calendar'!$Q$520)*100000000+('Dvd Calendar'!$Q$522=SPECIAL_LBL)*10000000+(N('Dvd Calendar'!$Q$516)&gt;0)*(N('Dvd Calendar'!$Q$516)&lt;=VAL_SERIAL)*1000000+47*1000+13))</f>
        <v/>
      </c>
      <c r="ER58" s="39">
        <f>IF(N('Dvd Calendar'!$R$517)=0,"",IF(('Dvd Calendar'!$R$517&gt;=GRID_FROM)*('Dvd Calendar'!$R$517&lt;=GRID_TO)*((('Dvd Calendar'!$R$517&lt;=VAL_DATE)+(COUNTIF('Dvd Calendar'!$E$524:$AR$524,'Dvd Calendar'!$R$517)=0))&gt;0)=0,"",'Dvd Calendar'!$R$517*1000000000+ISNUMBER('Dvd Calendar'!$R$520)*100000000+('Dvd Calendar'!$R$522=SPECIAL_LBL)*10000000+(N('Dvd Calendar'!$R$516)&gt;0)*(N('Dvd Calendar'!$R$516)&lt;=VAL_SERIAL)*1000000+47*1000+14))</f>
        <v/>
      </c>
      <c r="ES58" s="39">
        <f>IF(N('Dvd Calendar'!$S$517)=0,"",IF(('Dvd Calendar'!$S$517&gt;=GRID_FROM)*('Dvd Calendar'!$S$517&lt;=GRID_TO)*((('Dvd Calendar'!$S$517&lt;=VAL_DATE)+(COUNTIF('Dvd Calendar'!$E$524:$AR$524,'Dvd Calendar'!$S$517)=0))&gt;0)=0,"",'Dvd Calendar'!$S$517*1000000000+ISNUMBER('Dvd Calendar'!$S$520)*100000000+('Dvd Calendar'!$S$522=SPECIAL_LBL)*10000000+(N('Dvd Calendar'!$S$516)&gt;0)*(N('Dvd Calendar'!$S$516)&lt;=VAL_SERIAL)*1000000+47*1000+15))</f>
        <v/>
      </c>
      <c r="ET58" s="39">
        <f>IF(N('Dvd Calendar'!$T$517)=0,"",IF(('Dvd Calendar'!$T$517&gt;=GRID_FROM)*('Dvd Calendar'!$T$517&lt;=GRID_TO)*((('Dvd Calendar'!$T$517&lt;=VAL_DATE)+(COUNTIF('Dvd Calendar'!$E$524:$AR$524,'Dvd Calendar'!$T$517)=0))&gt;0)=0,"",'Dvd Calendar'!$T$517*1000000000+ISNUMBER('Dvd Calendar'!$T$520)*100000000+('Dvd Calendar'!$T$522=SPECIAL_LBL)*10000000+(N('Dvd Calendar'!$T$516)&gt;0)*(N('Dvd Calendar'!$T$516)&lt;=VAL_SERIAL)*1000000+47*1000+16))</f>
        <v/>
      </c>
      <c r="EU58" s="39">
        <f>IF(N('Dvd Calendar'!$U$517)=0,"",IF(('Dvd Calendar'!$U$517&gt;=GRID_FROM)*('Dvd Calendar'!$U$517&lt;=GRID_TO)*((('Dvd Calendar'!$U$517&lt;=VAL_DATE)+(COUNTIF('Dvd Calendar'!$E$524:$AR$524,'Dvd Calendar'!$U$517)=0))&gt;0)=0,"",'Dvd Calendar'!$U$517*1000000000+ISNUMBER('Dvd Calendar'!$U$520)*100000000+('Dvd Calendar'!$U$522=SPECIAL_LBL)*10000000+(N('Dvd Calendar'!$U$516)&gt;0)*(N('Dvd Calendar'!$U$516)&lt;=VAL_SERIAL)*1000000+47*1000+17))</f>
        <v/>
      </c>
      <c r="EV58" s="39">
        <f>IF(N('Dvd Calendar'!$V$517)=0,"",IF(('Dvd Calendar'!$V$517&gt;=GRID_FROM)*('Dvd Calendar'!$V$517&lt;=GRID_TO)*((('Dvd Calendar'!$V$517&lt;=VAL_DATE)+(COUNTIF('Dvd Calendar'!$E$524:$AR$524,'Dvd Calendar'!$V$517)=0))&gt;0)=0,"",'Dvd Calendar'!$V$517*1000000000+ISNUMBER('Dvd Calendar'!$V$520)*100000000+('Dvd Calendar'!$V$522=SPECIAL_LBL)*10000000+(N('Dvd Calendar'!$V$516)&gt;0)*(N('Dvd Calendar'!$V$516)&lt;=VAL_SERIAL)*1000000+47*1000+18))</f>
        <v/>
      </c>
      <c r="EW58" s="39">
        <f>IF(N('Dvd Calendar'!$W$517)=0,"",IF(('Dvd Calendar'!$W$517&gt;=GRID_FROM)*('Dvd Calendar'!$W$517&lt;=GRID_TO)*((('Dvd Calendar'!$W$517&lt;=VAL_DATE)+(COUNTIF('Dvd Calendar'!$E$524:$AR$524,'Dvd Calendar'!$W$517)=0))&gt;0)=0,"",'Dvd Calendar'!$W$517*1000000000+ISNUMBER('Dvd Calendar'!$W$520)*100000000+('Dvd Calendar'!$W$522=SPECIAL_LBL)*10000000+(N('Dvd Calendar'!$W$516)&gt;0)*(N('Dvd Calendar'!$W$516)&lt;=VAL_SERIAL)*1000000+47*1000+19))</f>
        <v/>
      </c>
      <c r="EX58" s="39">
        <f>IF(N('Dvd Calendar'!$X$517)=0,"",IF(('Dvd Calendar'!$X$517&gt;=GRID_FROM)*('Dvd Calendar'!$X$517&lt;=GRID_TO)*((('Dvd Calendar'!$X$517&lt;=VAL_DATE)+(COUNTIF('Dvd Calendar'!$E$524:$AR$524,'Dvd Calendar'!$X$517)=0))&gt;0)=0,"",'Dvd Calendar'!$X$517*1000000000+ISNUMBER('Dvd Calendar'!$X$520)*100000000+('Dvd Calendar'!$X$522=SPECIAL_LBL)*10000000+(N('Dvd Calendar'!$X$516)&gt;0)*(N('Dvd Calendar'!$X$516)&lt;=VAL_SERIAL)*1000000+47*1000+20))</f>
        <v/>
      </c>
      <c r="EY58" s="39">
        <f>IF(N('Dvd Calendar'!$Y$517)=0,"",IF(('Dvd Calendar'!$Y$517&gt;=GRID_FROM)*('Dvd Calendar'!$Y$517&lt;=GRID_TO)*((('Dvd Calendar'!$Y$517&lt;=VAL_DATE)+(COUNTIF('Dvd Calendar'!$E$524:$AR$524,'Dvd Calendar'!$Y$517)=0))&gt;0)=0,"",'Dvd Calendar'!$Y$517*1000000000+ISNUMBER('Dvd Calendar'!$Y$520)*100000000+('Dvd Calendar'!$Y$522=SPECIAL_LBL)*10000000+(N('Dvd Calendar'!$Y$516)&gt;0)*(N('Dvd Calendar'!$Y$516)&lt;=VAL_SERIAL)*1000000+47*1000+21))</f>
        <v/>
      </c>
      <c r="EZ58" s="39">
        <f>IF(N('Dvd Calendar'!$Z$517)=0,"",IF(('Dvd Calendar'!$Z$517&gt;=GRID_FROM)*('Dvd Calendar'!$Z$517&lt;=GRID_TO)*((('Dvd Calendar'!$Z$517&lt;=VAL_DATE)+(COUNTIF('Dvd Calendar'!$E$524:$AR$524,'Dvd Calendar'!$Z$517)=0))&gt;0)=0,"",'Dvd Calendar'!$Z$517*1000000000+ISNUMBER('Dvd Calendar'!$Z$520)*100000000+('Dvd Calendar'!$Z$522=SPECIAL_LBL)*10000000+(N('Dvd Calendar'!$Z$516)&gt;0)*(N('Dvd Calendar'!$Z$516)&lt;=VAL_SERIAL)*1000000+47*1000+22))</f>
        <v/>
      </c>
      <c r="FA58" s="39">
        <f>IF(N('Dvd Calendar'!$AA$517)=0,"",IF(('Dvd Calendar'!$AA$517&gt;=GRID_FROM)*('Dvd Calendar'!$AA$517&lt;=GRID_TO)*((('Dvd Calendar'!$AA$517&lt;=VAL_DATE)+(COUNTIF('Dvd Calendar'!$E$524:$AR$524,'Dvd Calendar'!$AA$517)=0))&gt;0)=0,"",'Dvd Calendar'!$AA$517*1000000000+ISNUMBER('Dvd Calendar'!$AA$520)*100000000+('Dvd Calendar'!$AA$522=SPECIAL_LBL)*10000000+(N('Dvd Calendar'!$AA$516)&gt;0)*(N('Dvd Calendar'!$AA$516)&lt;=VAL_SERIAL)*1000000+47*1000+23))</f>
        <v/>
      </c>
      <c r="FB58" s="39">
        <f>IF(N('Dvd Calendar'!$AB$517)=0,"",IF(('Dvd Calendar'!$AB$517&gt;=GRID_FROM)*('Dvd Calendar'!$AB$517&lt;=GRID_TO)*((('Dvd Calendar'!$AB$517&lt;=VAL_DATE)+(COUNTIF('Dvd Calendar'!$E$524:$AR$524,'Dvd Calendar'!$AB$517)=0))&gt;0)=0,"",'Dvd Calendar'!$AB$517*1000000000+ISNUMBER('Dvd Calendar'!$AB$520)*100000000+('Dvd Calendar'!$AB$522=SPECIAL_LBL)*10000000+(N('Dvd Calendar'!$AB$516)&gt;0)*(N('Dvd Calendar'!$AB$516)&lt;=VAL_SERIAL)*1000000+47*1000+24))</f>
        <v/>
      </c>
      <c r="FC58" s="39">
        <f>IF(N('Dvd Calendar'!$AC$517)=0,"",IF(('Dvd Calendar'!$AC$517&gt;=GRID_FROM)*('Dvd Calendar'!$AC$517&lt;=GRID_TO)*((('Dvd Calendar'!$AC$517&lt;=VAL_DATE)+(COUNTIF('Dvd Calendar'!$E$524:$AR$524,'Dvd Calendar'!$AC$517)=0))&gt;0)=0,"",'Dvd Calendar'!$AC$517*1000000000+ISNUMBER('Dvd Calendar'!$AC$520)*100000000+('Dvd Calendar'!$AC$522=SPECIAL_LBL)*10000000+(N('Dvd Calendar'!$AC$516)&gt;0)*(N('Dvd Calendar'!$AC$516)&lt;=VAL_SERIAL)*1000000+47*1000+25))</f>
        <v/>
      </c>
      <c r="FD58" s="39">
        <f>IF(N('Dvd Calendar'!$AD$517)=0,"",IF(('Dvd Calendar'!$AD$517&gt;=GRID_FROM)*('Dvd Calendar'!$AD$517&lt;=GRID_TO)*((('Dvd Calendar'!$AD$517&lt;=VAL_DATE)+(COUNTIF('Dvd Calendar'!$E$524:$AR$524,'Dvd Calendar'!$AD$517)=0))&gt;0)=0,"",'Dvd Calendar'!$AD$517*1000000000+ISNUMBER('Dvd Calendar'!$AD$520)*100000000+('Dvd Calendar'!$AD$522=SPECIAL_LBL)*10000000+(N('Dvd Calendar'!$AD$516)&gt;0)*(N('Dvd Calendar'!$AD$516)&lt;=VAL_SERIAL)*1000000+47*1000+26))</f>
        <v/>
      </c>
      <c r="FE58" s="39">
        <f>IF(N('Dvd Calendar'!$AE$517)=0,"",IF(('Dvd Calendar'!$AE$517&gt;=GRID_FROM)*('Dvd Calendar'!$AE$517&lt;=GRID_TO)*((('Dvd Calendar'!$AE$517&lt;=VAL_DATE)+(COUNTIF('Dvd Calendar'!$E$524:$AR$524,'Dvd Calendar'!$AE$517)=0))&gt;0)=0,"",'Dvd Calendar'!$AE$517*1000000000+ISNUMBER('Dvd Calendar'!$AE$520)*100000000+('Dvd Calendar'!$AE$522=SPECIAL_LBL)*10000000+(N('Dvd Calendar'!$AE$516)&gt;0)*(N('Dvd Calendar'!$AE$516)&lt;=VAL_SERIAL)*1000000+47*1000+27))</f>
        <v/>
      </c>
      <c r="FF58" s="39">
        <f>IF(N('Dvd Calendar'!$AF$517)=0,"",IF(('Dvd Calendar'!$AF$517&gt;=GRID_FROM)*('Dvd Calendar'!$AF$517&lt;=GRID_TO)*((('Dvd Calendar'!$AF$517&lt;=VAL_DATE)+(COUNTIF('Dvd Calendar'!$E$524:$AR$524,'Dvd Calendar'!$AF$517)=0))&gt;0)=0,"",'Dvd Calendar'!$AF$517*1000000000+ISNUMBER('Dvd Calendar'!$AF$520)*100000000+('Dvd Calendar'!$AF$522=SPECIAL_LBL)*10000000+(N('Dvd Calendar'!$AF$516)&gt;0)*(N('Dvd Calendar'!$AF$516)&lt;=VAL_SERIAL)*1000000+47*1000+28))</f>
        <v/>
      </c>
      <c r="FG58" s="39">
        <f>IF(N('Dvd Calendar'!$AG$517)=0,"",IF(('Dvd Calendar'!$AG$517&gt;=GRID_FROM)*('Dvd Calendar'!$AG$517&lt;=GRID_TO)*((('Dvd Calendar'!$AG$517&lt;=VAL_DATE)+(COUNTIF('Dvd Calendar'!$E$524:$AR$524,'Dvd Calendar'!$AG$517)=0))&gt;0)=0,"",'Dvd Calendar'!$AG$517*1000000000+ISNUMBER('Dvd Calendar'!$AG$520)*100000000+('Dvd Calendar'!$AG$522=SPECIAL_LBL)*10000000+(N('Dvd Calendar'!$AG$516)&gt;0)*(N('Dvd Calendar'!$AG$516)&lt;=VAL_SERIAL)*1000000+47*1000+29))</f>
        <v/>
      </c>
      <c r="FH58" s="39">
        <f>IF(N('Dvd Calendar'!$AH$517)=0,"",IF(('Dvd Calendar'!$AH$517&gt;=GRID_FROM)*('Dvd Calendar'!$AH$517&lt;=GRID_TO)*((('Dvd Calendar'!$AH$517&lt;=VAL_DATE)+(COUNTIF('Dvd Calendar'!$E$524:$AR$524,'Dvd Calendar'!$AH$517)=0))&gt;0)=0,"",'Dvd Calendar'!$AH$517*1000000000+ISNUMBER('Dvd Calendar'!$AH$520)*100000000+('Dvd Calendar'!$AH$522=SPECIAL_LBL)*10000000+(N('Dvd Calendar'!$AH$516)&gt;0)*(N('Dvd Calendar'!$AH$516)&lt;=VAL_SERIAL)*1000000+47*1000+30))</f>
        <v/>
      </c>
      <c r="FI58" s="39">
        <f>IF(N('Dvd Calendar'!$AI$517)=0,"",IF(('Dvd Calendar'!$AI$517&gt;=GRID_FROM)*('Dvd Calendar'!$AI$517&lt;=GRID_TO)*((('Dvd Calendar'!$AI$517&lt;=VAL_DATE)+(COUNTIF('Dvd Calendar'!$E$524:$AR$524,'Dvd Calendar'!$AI$517)=0))&gt;0)=0,"",'Dvd Calendar'!$AI$517*1000000000+ISNUMBER('Dvd Calendar'!$AI$520)*100000000+('Dvd Calendar'!$AI$522=SPECIAL_LBL)*10000000+(N('Dvd Calendar'!$AI$516)&gt;0)*(N('Dvd Calendar'!$AI$516)&lt;=VAL_SERIAL)*1000000+47*1000+31))</f>
        <v/>
      </c>
      <c r="FJ58" s="39">
        <f>IF(N('Dvd Calendar'!$AJ$517)=0,"",IF(('Dvd Calendar'!$AJ$517&gt;=GRID_FROM)*('Dvd Calendar'!$AJ$517&lt;=GRID_TO)*((('Dvd Calendar'!$AJ$517&lt;=VAL_DATE)+(COUNTIF('Dvd Calendar'!$E$524:$AR$524,'Dvd Calendar'!$AJ$517)=0))&gt;0)=0,"",'Dvd Calendar'!$AJ$517*1000000000+ISNUMBER('Dvd Calendar'!$AJ$520)*100000000+('Dvd Calendar'!$AJ$522=SPECIAL_LBL)*10000000+(N('Dvd Calendar'!$AJ$516)&gt;0)*(N('Dvd Calendar'!$AJ$516)&lt;=VAL_SERIAL)*1000000+47*1000+32))</f>
        <v/>
      </c>
      <c r="FK58" s="39">
        <f>IF(N('Dvd Calendar'!$AK$517)=0,"",IF(('Dvd Calendar'!$AK$517&gt;=GRID_FROM)*('Dvd Calendar'!$AK$517&lt;=GRID_TO)*((('Dvd Calendar'!$AK$517&lt;=VAL_DATE)+(COUNTIF('Dvd Calendar'!$E$524:$AR$524,'Dvd Calendar'!$AK$517)=0))&gt;0)=0,"",'Dvd Calendar'!$AK$517*1000000000+ISNUMBER('Dvd Calendar'!$AK$520)*100000000+('Dvd Calendar'!$AK$522=SPECIAL_LBL)*10000000+(N('Dvd Calendar'!$AK$516)&gt;0)*(N('Dvd Calendar'!$AK$516)&lt;=VAL_SERIAL)*1000000+47*1000+33))</f>
        <v/>
      </c>
      <c r="FL58" s="39">
        <f>IF(N('Dvd Calendar'!$AL$517)=0,"",IF(('Dvd Calendar'!$AL$517&gt;=GRID_FROM)*('Dvd Calendar'!$AL$517&lt;=GRID_TO)*((('Dvd Calendar'!$AL$517&lt;=VAL_DATE)+(COUNTIF('Dvd Calendar'!$E$524:$AR$524,'Dvd Calendar'!$AL$517)=0))&gt;0)=0,"",'Dvd Calendar'!$AL$517*1000000000+ISNUMBER('Dvd Calendar'!$AL$520)*100000000+('Dvd Calendar'!$AL$522=SPECIAL_LBL)*10000000+(N('Dvd Calendar'!$AL$516)&gt;0)*(N('Dvd Calendar'!$AL$516)&lt;=VAL_SERIAL)*1000000+47*1000+34))</f>
        <v/>
      </c>
      <c r="FM58" s="39">
        <f>IF(N('Dvd Calendar'!$AM$517)=0,"",IF(('Dvd Calendar'!$AM$517&gt;=GRID_FROM)*('Dvd Calendar'!$AM$517&lt;=GRID_TO)*((('Dvd Calendar'!$AM$517&lt;=VAL_DATE)+(COUNTIF('Dvd Calendar'!$E$524:$AR$524,'Dvd Calendar'!$AM$517)=0))&gt;0)=0,"",'Dvd Calendar'!$AM$517*1000000000+ISNUMBER('Dvd Calendar'!$AM$520)*100000000+('Dvd Calendar'!$AM$522=SPECIAL_LBL)*10000000+(N('Dvd Calendar'!$AM$516)&gt;0)*(N('Dvd Calendar'!$AM$516)&lt;=VAL_SERIAL)*1000000+47*1000+35))</f>
        <v/>
      </c>
      <c r="FN58" s="39">
        <f>IF(N('Dvd Calendar'!$AN$517)=0,"",IF(('Dvd Calendar'!$AN$517&gt;=GRID_FROM)*('Dvd Calendar'!$AN$517&lt;=GRID_TO)*((('Dvd Calendar'!$AN$517&lt;=VAL_DATE)+(COUNTIF('Dvd Calendar'!$E$524:$AR$524,'Dvd Calendar'!$AN$517)=0))&gt;0)=0,"",'Dvd Calendar'!$AN$517*1000000000+ISNUMBER('Dvd Calendar'!$AN$520)*100000000+('Dvd Calendar'!$AN$522=SPECIAL_LBL)*10000000+(N('Dvd Calendar'!$AN$516)&gt;0)*(N('Dvd Calendar'!$AN$516)&lt;=VAL_SERIAL)*1000000+47*1000+36))</f>
        <v/>
      </c>
      <c r="FO58" s="39">
        <f>IF(N('Dvd Calendar'!$AO$517)=0,"",IF(('Dvd Calendar'!$AO$517&gt;=GRID_FROM)*('Dvd Calendar'!$AO$517&lt;=GRID_TO)*((('Dvd Calendar'!$AO$517&lt;=VAL_DATE)+(COUNTIF('Dvd Calendar'!$E$524:$AR$524,'Dvd Calendar'!$AO$517)=0))&gt;0)=0,"",'Dvd Calendar'!$AO$517*1000000000+ISNUMBER('Dvd Calendar'!$AO$520)*100000000+('Dvd Calendar'!$AO$522=SPECIAL_LBL)*10000000+(N('Dvd Calendar'!$AO$516)&gt;0)*(N('Dvd Calendar'!$AO$516)&lt;=VAL_SERIAL)*1000000+47*1000+37))</f>
        <v/>
      </c>
      <c r="FP58" s="39">
        <f>IF(N('Dvd Calendar'!$AP$517)=0,"",IF(('Dvd Calendar'!$AP$517&gt;=GRID_FROM)*('Dvd Calendar'!$AP$517&lt;=GRID_TO)*((('Dvd Calendar'!$AP$517&lt;=VAL_DATE)+(COUNTIF('Dvd Calendar'!$E$524:$AR$524,'Dvd Calendar'!$AP$517)=0))&gt;0)=0,"",'Dvd Calendar'!$AP$517*1000000000+ISNUMBER('Dvd Calendar'!$AP$520)*100000000+('Dvd Calendar'!$AP$522=SPECIAL_LBL)*10000000+(N('Dvd Calendar'!$AP$516)&gt;0)*(N('Dvd Calendar'!$AP$516)&lt;=VAL_SERIAL)*1000000+47*1000+38))</f>
        <v/>
      </c>
      <c r="FQ58" s="39">
        <f>IF(N('Dvd Calendar'!$AQ$517)=0,"",IF(('Dvd Calendar'!$AQ$517&gt;=GRID_FROM)*('Dvd Calendar'!$AQ$517&lt;=GRID_TO)*((('Dvd Calendar'!$AQ$517&lt;=VAL_DATE)+(COUNTIF('Dvd Calendar'!$E$524:$AR$524,'Dvd Calendar'!$AQ$517)=0))&gt;0)=0,"",'Dvd Calendar'!$AQ$517*1000000000+ISNUMBER('Dvd Calendar'!$AQ$520)*100000000+('Dvd Calendar'!$AQ$522=SPECIAL_LBL)*10000000+(N('Dvd Calendar'!$AQ$516)&gt;0)*(N('Dvd Calendar'!$AQ$516)&lt;=VAL_SERIAL)*1000000+47*1000+39))</f>
        <v/>
      </c>
      <c r="FR58" s="39">
        <f>IF(N('Dvd Calendar'!$AR$517)=0,"",IF(('Dvd Calendar'!$AR$517&gt;=GRID_FROM)*('Dvd Calendar'!$AR$517&lt;=GRID_TO)*((('Dvd Calendar'!$AR$517&lt;=VAL_DATE)+(COUNTIF('Dvd Calendar'!$E$524:$AR$524,'Dvd Calendar'!$AR$517)=0))&gt;0)=0,"",'Dvd Calendar'!$AR$517*1000000000+ISNUMBER('Dvd Calendar'!$AR$520)*100000000+('Dvd Calendar'!$AR$522=SPECIAL_LBL)*10000000+(N('Dvd Calendar'!$AR$516)&gt;0)*(N('Dvd Calendar'!$AR$516)&lt;=VAL_SERIAL)*1000000+47*1000+40))</f>
        <v/>
      </c>
      <c r="FS58" s="39">
        <f>IF(N('Dvd Calendar'!$E$524)=0,"",IF(('Dvd Calendar'!$E$524&gt;=GRID_FROM)*('Dvd Calendar'!$E$524&lt;=GRID_TO)*('Dvd Calendar'!$E$524&gt;VAL_DATE)=0,"",'Dvd Calendar'!$E$524*1000000000+ISNUMBER('Dvd Calendar'!$E$525)*100000000+0*10000000+(N('Dvd Calendar'!$E$523)&gt;0)*(N('Dvd Calendar'!$E$523)&lt;=VAL_SERIAL)*1000000+47*1000+41))</f>
        <v/>
      </c>
      <c r="FT58" s="39">
        <f>IF(N('Dvd Calendar'!$F$524)=0,"",IF(('Dvd Calendar'!$F$524&gt;=GRID_FROM)*('Dvd Calendar'!$F$524&lt;=GRID_TO)*('Dvd Calendar'!$F$524&gt;VAL_DATE)=0,"",'Dvd Calendar'!$F$524*1000000000+ISNUMBER('Dvd Calendar'!$F$525)*100000000+0*10000000+(N('Dvd Calendar'!$F$523)&gt;0)*(N('Dvd Calendar'!$F$523)&lt;=VAL_SERIAL)*1000000+47*1000+42))</f>
        <v/>
      </c>
      <c r="FU58" s="39">
        <f>IF(N('Dvd Calendar'!$G$524)=0,"",IF(('Dvd Calendar'!$G$524&gt;=GRID_FROM)*('Dvd Calendar'!$G$524&lt;=GRID_TO)*('Dvd Calendar'!$G$524&gt;VAL_DATE)=0,"",'Dvd Calendar'!$G$524*1000000000+ISNUMBER('Dvd Calendar'!$G$525)*100000000+0*10000000+(N('Dvd Calendar'!$G$523)&gt;0)*(N('Dvd Calendar'!$G$523)&lt;=VAL_SERIAL)*1000000+47*1000+43))</f>
        <v/>
      </c>
      <c r="FV58" s="39">
        <f>IF(N('Dvd Calendar'!$H$524)=0,"",IF(('Dvd Calendar'!$H$524&gt;=GRID_FROM)*('Dvd Calendar'!$H$524&lt;=GRID_TO)*('Dvd Calendar'!$H$524&gt;VAL_DATE)=0,"",'Dvd Calendar'!$H$524*1000000000+ISNUMBER('Dvd Calendar'!$H$525)*100000000+0*10000000+(N('Dvd Calendar'!$H$523)&gt;0)*(N('Dvd Calendar'!$H$523)&lt;=VAL_SERIAL)*1000000+47*1000+44))</f>
        <v/>
      </c>
      <c r="FW58" s="39">
        <f>IF(N('Dvd Calendar'!$I$524)=0,"",IF(('Dvd Calendar'!$I$524&gt;=GRID_FROM)*('Dvd Calendar'!$I$524&lt;=GRID_TO)*('Dvd Calendar'!$I$524&gt;VAL_DATE)=0,"",'Dvd Calendar'!$I$524*1000000000+ISNUMBER('Dvd Calendar'!$I$525)*100000000+0*10000000+(N('Dvd Calendar'!$I$523)&gt;0)*(N('Dvd Calendar'!$I$523)&lt;=VAL_SERIAL)*1000000+47*1000+45))</f>
        <v/>
      </c>
      <c r="FX58" s="39">
        <f>IF(N('Dvd Calendar'!$J$524)=0,"",IF(('Dvd Calendar'!$J$524&gt;=GRID_FROM)*('Dvd Calendar'!$J$524&lt;=GRID_TO)*('Dvd Calendar'!$J$524&gt;VAL_DATE)=0,"",'Dvd Calendar'!$J$524*1000000000+ISNUMBER('Dvd Calendar'!$J$525)*100000000+0*10000000+(N('Dvd Calendar'!$J$523)&gt;0)*(N('Dvd Calendar'!$J$523)&lt;=VAL_SERIAL)*1000000+47*1000+46))</f>
        <v/>
      </c>
      <c r="FY58" s="39">
        <f>IF(N('Dvd Calendar'!$K$524)=0,"",IF(('Dvd Calendar'!$K$524&gt;=GRID_FROM)*('Dvd Calendar'!$K$524&lt;=GRID_TO)*('Dvd Calendar'!$K$524&gt;VAL_DATE)=0,"",'Dvd Calendar'!$K$524*1000000000+ISNUMBER('Dvd Calendar'!$K$525)*100000000+0*10000000+(N('Dvd Calendar'!$K$523)&gt;0)*(N('Dvd Calendar'!$K$523)&lt;=VAL_SERIAL)*1000000+47*1000+47))</f>
        <v/>
      </c>
      <c r="FZ58" s="39">
        <f>IF(N('Dvd Calendar'!$L$524)=0,"",IF(('Dvd Calendar'!$L$524&gt;=GRID_FROM)*('Dvd Calendar'!$L$524&lt;=GRID_TO)*('Dvd Calendar'!$L$524&gt;VAL_DATE)=0,"",'Dvd Calendar'!$L$524*1000000000+ISNUMBER('Dvd Calendar'!$L$525)*100000000+0*10000000+(N('Dvd Calendar'!$L$523)&gt;0)*(N('Dvd Calendar'!$L$523)&lt;=VAL_SERIAL)*1000000+47*1000+48))</f>
        <v/>
      </c>
      <c r="GA58" s="39">
        <f>IF(N('Dvd Calendar'!$M$524)=0,"",IF(('Dvd Calendar'!$M$524&gt;=GRID_FROM)*('Dvd Calendar'!$M$524&lt;=GRID_TO)*('Dvd Calendar'!$M$524&gt;VAL_DATE)=0,"",'Dvd Calendar'!$M$524*1000000000+ISNUMBER('Dvd Calendar'!$M$525)*100000000+0*10000000+(N('Dvd Calendar'!$M$523)&gt;0)*(N('Dvd Calendar'!$M$523)&lt;=VAL_SERIAL)*1000000+47*1000+49))</f>
        <v/>
      </c>
      <c r="GB58" s="39">
        <f>IF(N('Dvd Calendar'!$N$524)=0,"",IF(('Dvd Calendar'!$N$524&gt;=GRID_FROM)*('Dvd Calendar'!$N$524&lt;=GRID_TO)*('Dvd Calendar'!$N$524&gt;VAL_DATE)=0,"",'Dvd Calendar'!$N$524*1000000000+ISNUMBER('Dvd Calendar'!$N$525)*100000000+0*10000000+(N('Dvd Calendar'!$N$523)&gt;0)*(N('Dvd Calendar'!$N$523)&lt;=VAL_SERIAL)*1000000+47*1000+50))</f>
        <v/>
      </c>
      <c r="GC58" s="39">
        <f>IF(N('Dvd Calendar'!$O$524)=0,"",IF(('Dvd Calendar'!$O$524&gt;=GRID_FROM)*('Dvd Calendar'!$O$524&lt;=GRID_TO)*('Dvd Calendar'!$O$524&gt;VAL_DATE)=0,"",'Dvd Calendar'!$O$524*1000000000+ISNUMBER('Dvd Calendar'!$O$525)*100000000+0*10000000+(N('Dvd Calendar'!$O$523)&gt;0)*(N('Dvd Calendar'!$O$523)&lt;=VAL_SERIAL)*1000000+47*1000+51))</f>
        <v/>
      </c>
      <c r="GD58" s="39">
        <f>IF(N('Dvd Calendar'!$P$524)=0,"",IF(('Dvd Calendar'!$P$524&gt;=GRID_FROM)*('Dvd Calendar'!$P$524&lt;=GRID_TO)*('Dvd Calendar'!$P$524&gt;VAL_DATE)=0,"",'Dvd Calendar'!$P$524*1000000000+ISNUMBER('Dvd Calendar'!$P$525)*100000000+0*10000000+(N('Dvd Calendar'!$P$523)&gt;0)*(N('Dvd Calendar'!$P$523)&lt;=VAL_SERIAL)*1000000+47*1000+52))</f>
        <v/>
      </c>
      <c r="GE58" s="39">
        <f>IF(N('Dvd Calendar'!$Q$524)=0,"",IF(('Dvd Calendar'!$Q$524&gt;=GRID_FROM)*('Dvd Calendar'!$Q$524&lt;=GRID_TO)*('Dvd Calendar'!$Q$524&gt;VAL_DATE)=0,"",'Dvd Calendar'!$Q$524*1000000000+ISNUMBER('Dvd Calendar'!$Q$525)*100000000+0*10000000+(N('Dvd Calendar'!$Q$523)&gt;0)*(N('Dvd Calendar'!$Q$523)&lt;=VAL_SERIAL)*1000000+47*1000+53))</f>
        <v/>
      </c>
      <c r="GF58" s="39">
        <f>IF(N('Dvd Calendar'!$R$524)=0,"",IF(('Dvd Calendar'!$R$524&gt;=GRID_FROM)*('Dvd Calendar'!$R$524&lt;=GRID_TO)*('Dvd Calendar'!$R$524&gt;VAL_DATE)=0,"",'Dvd Calendar'!$R$524*1000000000+ISNUMBER('Dvd Calendar'!$R$525)*100000000+0*10000000+(N('Dvd Calendar'!$R$523)&gt;0)*(N('Dvd Calendar'!$R$523)&lt;=VAL_SERIAL)*1000000+47*1000+54))</f>
        <v/>
      </c>
      <c r="GG58" s="39">
        <f>IF(N('Dvd Calendar'!$S$524)=0,"",IF(('Dvd Calendar'!$S$524&gt;=GRID_FROM)*('Dvd Calendar'!$S$524&lt;=GRID_TO)*('Dvd Calendar'!$S$524&gt;VAL_DATE)=0,"",'Dvd Calendar'!$S$524*1000000000+ISNUMBER('Dvd Calendar'!$S$525)*100000000+0*10000000+(N('Dvd Calendar'!$S$523)&gt;0)*(N('Dvd Calendar'!$S$523)&lt;=VAL_SERIAL)*1000000+47*1000+55))</f>
        <v/>
      </c>
      <c r="GH58" s="39">
        <f>IF(N('Dvd Calendar'!$T$524)=0,"",IF(('Dvd Calendar'!$T$524&gt;=GRID_FROM)*('Dvd Calendar'!$T$524&lt;=GRID_TO)*('Dvd Calendar'!$T$524&gt;VAL_DATE)=0,"",'Dvd Calendar'!$T$524*1000000000+ISNUMBER('Dvd Calendar'!$T$525)*100000000+0*10000000+(N('Dvd Calendar'!$T$523)&gt;0)*(N('Dvd Calendar'!$T$523)&lt;=VAL_SERIAL)*1000000+47*1000+56))</f>
        <v/>
      </c>
      <c r="GI58" s="39">
        <f>IF(N('Dvd Calendar'!$U$524)=0,"",IF(('Dvd Calendar'!$U$524&gt;=GRID_FROM)*('Dvd Calendar'!$U$524&lt;=GRID_TO)*('Dvd Calendar'!$U$524&gt;VAL_DATE)=0,"",'Dvd Calendar'!$U$524*1000000000+ISNUMBER('Dvd Calendar'!$U$525)*100000000+0*10000000+(N('Dvd Calendar'!$U$523)&gt;0)*(N('Dvd Calendar'!$U$523)&lt;=VAL_SERIAL)*1000000+47*1000+57))</f>
        <v/>
      </c>
      <c r="GJ58" s="39">
        <f>IF(N('Dvd Calendar'!$V$524)=0,"",IF(('Dvd Calendar'!$V$524&gt;=GRID_FROM)*('Dvd Calendar'!$V$524&lt;=GRID_TO)*('Dvd Calendar'!$V$524&gt;VAL_DATE)=0,"",'Dvd Calendar'!$V$524*1000000000+ISNUMBER('Dvd Calendar'!$V$525)*100000000+0*10000000+(N('Dvd Calendar'!$V$523)&gt;0)*(N('Dvd Calendar'!$V$523)&lt;=VAL_SERIAL)*1000000+47*1000+58))</f>
        <v/>
      </c>
      <c r="GK58" s="39">
        <f>IF(N('Dvd Calendar'!$W$524)=0,"",IF(('Dvd Calendar'!$W$524&gt;=GRID_FROM)*('Dvd Calendar'!$W$524&lt;=GRID_TO)*('Dvd Calendar'!$W$524&gt;VAL_DATE)=0,"",'Dvd Calendar'!$W$524*1000000000+ISNUMBER('Dvd Calendar'!$W$525)*100000000+0*10000000+(N('Dvd Calendar'!$W$523)&gt;0)*(N('Dvd Calendar'!$W$523)&lt;=VAL_SERIAL)*1000000+47*1000+59))</f>
        <v/>
      </c>
      <c r="GL58" s="39">
        <f>IF(N('Dvd Calendar'!$X$524)=0,"",IF(('Dvd Calendar'!$X$524&gt;=GRID_FROM)*('Dvd Calendar'!$X$524&lt;=GRID_TO)*('Dvd Calendar'!$X$524&gt;VAL_DATE)=0,"",'Dvd Calendar'!$X$524*1000000000+ISNUMBER('Dvd Calendar'!$X$525)*100000000+0*10000000+(N('Dvd Calendar'!$X$523)&gt;0)*(N('Dvd Calendar'!$X$523)&lt;=VAL_SERIAL)*1000000+47*1000+60))</f>
        <v/>
      </c>
      <c r="GM58" s="39">
        <f>IF(N('Dvd Calendar'!$Y$524)=0,"",IF(('Dvd Calendar'!$Y$524&gt;=GRID_FROM)*('Dvd Calendar'!$Y$524&lt;=GRID_TO)*('Dvd Calendar'!$Y$524&gt;VAL_DATE)=0,"",'Dvd Calendar'!$Y$524*1000000000+ISNUMBER('Dvd Calendar'!$Y$525)*100000000+0*10000000+(N('Dvd Calendar'!$Y$523)&gt;0)*(N('Dvd Calendar'!$Y$523)&lt;=VAL_SERIAL)*1000000+47*1000+61))</f>
        <v/>
      </c>
      <c r="GN58" s="39">
        <f>IF(N('Dvd Calendar'!$Z$524)=0,"",IF(('Dvd Calendar'!$Z$524&gt;=GRID_FROM)*('Dvd Calendar'!$Z$524&lt;=GRID_TO)*('Dvd Calendar'!$Z$524&gt;VAL_DATE)=0,"",'Dvd Calendar'!$Z$524*1000000000+ISNUMBER('Dvd Calendar'!$Z$525)*100000000+0*10000000+(N('Dvd Calendar'!$Z$523)&gt;0)*(N('Dvd Calendar'!$Z$523)&lt;=VAL_SERIAL)*1000000+47*1000+62))</f>
        <v/>
      </c>
      <c r="GO58" s="39">
        <f>IF(N('Dvd Calendar'!$AA$524)=0,"",IF(('Dvd Calendar'!$AA$524&gt;=GRID_FROM)*('Dvd Calendar'!$AA$524&lt;=GRID_TO)*('Dvd Calendar'!$AA$524&gt;VAL_DATE)=0,"",'Dvd Calendar'!$AA$524*1000000000+ISNUMBER('Dvd Calendar'!$AA$525)*100000000+0*10000000+(N('Dvd Calendar'!$AA$523)&gt;0)*(N('Dvd Calendar'!$AA$523)&lt;=VAL_SERIAL)*1000000+47*1000+63))</f>
        <v/>
      </c>
      <c r="GP58" s="39">
        <f>IF(N('Dvd Calendar'!$AB$524)=0,"",IF(('Dvd Calendar'!$AB$524&gt;=GRID_FROM)*('Dvd Calendar'!$AB$524&lt;=GRID_TO)*('Dvd Calendar'!$AB$524&gt;VAL_DATE)=0,"",'Dvd Calendar'!$AB$524*1000000000+ISNUMBER('Dvd Calendar'!$AB$525)*100000000+0*10000000+(N('Dvd Calendar'!$AB$523)&gt;0)*(N('Dvd Calendar'!$AB$523)&lt;=VAL_SERIAL)*1000000+47*1000+64))</f>
        <v/>
      </c>
      <c r="GQ58" s="39">
        <f>IF(N('Dvd Calendar'!$AC$524)=0,"",IF(('Dvd Calendar'!$AC$524&gt;=GRID_FROM)*('Dvd Calendar'!$AC$524&lt;=GRID_TO)*('Dvd Calendar'!$AC$524&gt;VAL_DATE)=0,"",'Dvd Calendar'!$AC$524*1000000000+ISNUMBER('Dvd Calendar'!$AC$525)*100000000+0*10000000+(N('Dvd Calendar'!$AC$523)&gt;0)*(N('Dvd Calendar'!$AC$523)&lt;=VAL_SERIAL)*1000000+47*1000+65))</f>
        <v/>
      </c>
    </row>
    <row r="59">
      <c r="B59" s="2">
        <f>IF(HSI!$C$54="","",HSI!$C$54)</f>
        <v/>
      </c>
      <c r="C59" s="110">
        <f>IF(EE59="","",IF(ISNUMBER('Dvd Calendar'!$E$531)=FALSE,"",IF((('Dvd Calendar'!$E$533=TYPE1)*(TYPE1&lt;&gt;"")+('Dvd Calendar'!$E$533=TYPE2)*(TYPE2&lt;&gt;"")+('Dvd Calendar'!$E$533=TYPE3)*(TYPE3&lt;&gt;"")+('Dvd Calendar'!$E$533=TYPE4)*(TYPE4&lt;&gt;"")+('Dvd Calendar'!$E$533=SPECIAL_LBL)*(INC_SPECIALS="Y"))=0,"",'Dvd Calendar'!$E$531)))</f>
        <v/>
      </c>
      <c r="D59" s="110">
        <f>IF(EF59="","",IF(ISNUMBER('Dvd Calendar'!$F$531)=FALSE,"",IF((('Dvd Calendar'!$F$533=TYPE1)*(TYPE1&lt;&gt;"")+('Dvd Calendar'!$F$533=TYPE2)*(TYPE2&lt;&gt;"")+('Dvd Calendar'!$F$533=TYPE3)*(TYPE3&lt;&gt;"")+('Dvd Calendar'!$F$533=TYPE4)*(TYPE4&lt;&gt;"")+('Dvd Calendar'!$F$533=SPECIAL_LBL)*(INC_SPECIALS="Y"))=0,"",'Dvd Calendar'!$F$531)))</f>
        <v/>
      </c>
      <c r="E59" s="110">
        <f>IF(EG59="","",IF(ISNUMBER('Dvd Calendar'!$G$531)=FALSE,"",IF((('Dvd Calendar'!$G$533=TYPE1)*(TYPE1&lt;&gt;"")+('Dvd Calendar'!$G$533=TYPE2)*(TYPE2&lt;&gt;"")+('Dvd Calendar'!$G$533=TYPE3)*(TYPE3&lt;&gt;"")+('Dvd Calendar'!$G$533=TYPE4)*(TYPE4&lt;&gt;"")+('Dvd Calendar'!$G$533=SPECIAL_LBL)*(INC_SPECIALS="Y"))=0,"",'Dvd Calendar'!$G$531)))</f>
        <v/>
      </c>
      <c r="F59" s="110">
        <f>IF(EH59="","",IF(ISNUMBER('Dvd Calendar'!$H$531)=FALSE,"",IF((('Dvd Calendar'!$H$533=TYPE1)*(TYPE1&lt;&gt;"")+('Dvd Calendar'!$H$533=TYPE2)*(TYPE2&lt;&gt;"")+('Dvd Calendar'!$H$533=TYPE3)*(TYPE3&lt;&gt;"")+('Dvd Calendar'!$H$533=TYPE4)*(TYPE4&lt;&gt;"")+('Dvd Calendar'!$H$533=SPECIAL_LBL)*(INC_SPECIALS="Y"))=0,"",'Dvd Calendar'!$H$531)))</f>
        <v/>
      </c>
      <c r="G59" s="110">
        <f>IF(EI59="","",IF(ISNUMBER('Dvd Calendar'!$I$531)=FALSE,"",IF((('Dvd Calendar'!$I$533=TYPE1)*(TYPE1&lt;&gt;"")+('Dvd Calendar'!$I$533=TYPE2)*(TYPE2&lt;&gt;"")+('Dvd Calendar'!$I$533=TYPE3)*(TYPE3&lt;&gt;"")+('Dvd Calendar'!$I$533=TYPE4)*(TYPE4&lt;&gt;"")+('Dvd Calendar'!$I$533=SPECIAL_LBL)*(INC_SPECIALS="Y"))=0,"",'Dvd Calendar'!$I$531)))</f>
        <v/>
      </c>
      <c r="H59" s="110">
        <f>IF(EJ59="","",IF(ISNUMBER('Dvd Calendar'!$J$531)=FALSE,"",IF((('Dvd Calendar'!$J$533=TYPE1)*(TYPE1&lt;&gt;"")+('Dvd Calendar'!$J$533=TYPE2)*(TYPE2&lt;&gt;"")+('Dvd Calendar'!$J$533=TYPE3)*(TYPE3&lt;&gt;"")+('Dvd Calendar'!$J$533=TYPE4)*(TYPE4&lt;&gt;"")+('Dvd Calendar'!$J$533=SPECIAL_LBL)*(INC_SPECIALS="Y"))=0,"",'Dvd Calendar'!$J$531)))</f>
        <v/>
      </c>
      <c r="I59" s="110">
        <f>IF(EK59="","",IF(ISNUMBER('Dvd Calendar'!$K$531)=FALSE,"",IF((('Dvd Calendar'!$K$533=TYPE1)*(TYPE1&lt;&gt;"")+('Dvd Calendar'!$K$533=TYPE2)*(TYPE2&lt;&gt;"")+('Dvd Calendar'!$K$533=TYPE3)*(TYPE3&lt;&gt;"")+('Dvd Calendar'!$K$533=TYPE4)*(TYPE4&lt;&gt;"")+('Dvd Calendar'!$K$533=SPECIAL_LBL)*(INC_SPECIALS="Y"))=0,"",'Dvd Calendar'!$K$531)))</f>
        <v/>
      </c>
      <c r="J59" s="110">
        <f>IF(EL59="","",IF(ISNUMBER('Dvd Calendar'!$L$531)=FALSE,"",IF((('Dvd Calendar'!$L$533=TYPE1)*(TYPE1&lt;&gt;"")+('Dvd Calendar'!$L$533=TYPE2)*(TYPE2&lt;&gt;"")+('Dvd Calendar'!$L$533=TYPE3)*(TYPE3&lt;&gt;"")+('Dvd Calendar'!$L$533=TYPE4)*(TYPE4&lt;&gt;"")+('Dvd Calendar'!$L$533=SPECIAL_LBL)*(INC_SPECIALS="Y"))=0,"",'Dvd Calendar'!$L$531)))</f>
        <v/>
      </c>
      <c r="K59" s="110">
        <f>IF(EM59="","",IF(ISNUMBER('Dvd Calendar'!$M$531)=FALSE,"",IF((('Dvd Calendar'!$M$533=TYPE1)*(TYPE1&lt;&gt;"")+('Dvd Calendar'!$M$533=TYPE2)*(TYPE2&lt;&gt;"")+('Dvd Calendar'!$M$533=TYPE3)*(TYPE3&lt;&gt;"")+('Dvd Calendar'!$M$533=TYPE4)*(TYPE4&lt;&gt;"")+('Dvd Calendar'!$M$533=SPECIAL_LBL)*(INC_SPECIALS="Y"))=0,"",'Dvd Calendar'!$M$531)))</f>
        <v/>
      </c>
      <c r="L59" s="110">
        <f>IF(EN59="","",IF(ISNUMBER('Dvd Calendar'!$N$531)=FALSE,"",IF((('Dvd Calendar'!$N$533=TYPE1)*(TYPE1&lt;&gt;"")+('Dvd Calendar'!$N$533=TYPE2)*(TYPE2&lt;&gt;"")+('Dvd Calendar'!$N$533=TYPE3)*(TYPE3&lt;&gt;"")+('Dvd Calendar'!$N$533=TYPE4)*(TYPE4&lt;&gt;"")+('Dvd Calendar'!$N$533=SPECIAL_LBL)*(INC_SPECIALS="Y"))=0,"",'Dvd Calendar'!$N$531)))</f>
        <v/>
      </c>
      <c r="M59" s="110">
        <f>IF(EO59="","",IF(ISNUMBER('Dvd Calendar'!$O$531)=FALSE,"",IF((('Dvd Calendar'!$O$533=TYPE1)*(TYPE1&lt;&gt;"")+('Dvd Calendar'!$O$533=TYPE2)*(TYPE2&lt;&gt;"")+('Dvd Calendar'!$O$533=TYPE3)*(TYPE3&lt;&gt;"")+('Dvd Calendar'!$O$533=TYPE4)*(TYPE4&lt;&gt;"")+('Dvd Calendar'!$O$533=SPECIAL_LBL)*(INC_SPECIALS="Y"))=0,"",'Dvd Calendar'!$O$531)))</f>
        <v/>
      </c>
      <c r="N59" s="110">
        <f>IF(EP59="","",IF(ISNUMBER('Dvd Calendar'!$P$531)=FALSE,"",IF((('Dvd Calendar'!$P$533=TYPE1)*(TYPE1&lt;&gt;"")+('Dvd Calendar'!$P$533=TYPE2)*(TYPE2&lt;&gt;"")+('Dvd Calendar'!$P$533=TYPE3)*(TYPE3&lt;&gt;"")+('Dvd Calendar'!$P$533=TYPE4)*(TYPE4&lt;&gt;"")+('Dvd Calendar'!$P$533=SPECIAL_LBL)*(INC_SPECIALS="Y"))=0,"",'Dvd Calendar'!$P$531)))</f>
        <v/>
      </c>
      <c r="O59" s="110">
        <f>IF(EQ59="","",IF(ISNUMBER('Dvd Calendar'!$Q$531)=FALSE,"",IF((('Dvd Calendar'!$Q$533=TYPE1)*(TYPE1&lt;&gt;"")+('Dvd Calendar'!$Q$533=TYPE2)*(TYPE2&lt;&gt;"")+('Dvd Calendar'!$Q$533=TYPE3)*(TYPE3&lt;&gt;"")+('Dvd Calendar'!$Q$533=TYPE4)*(TYPE4&lt;&gt;"")+('Dvd Calendar'!$Q$533=SPECIAL_LBL)*(INC_SPECIALS="Y"))=0,"",'Dvd Calendar'!$Q$531)))</f>
        <v/>
      </c>
      <c r="P59" s="110">
        <f>IF(ER59="","",IF(ISNUMBER('Dvd Calendar'!$R$531)=FALSE,"",IF((('Dvd Calendar'!$R$533=TYPE1)*(TYPE1&lt;&gt;"")+('Dvd Calendar'!$R$533=TYPE2)*(TYPE2&lt;&gt;"")+('Dvd Calendar'!$R$533=TYPE3)*(TYPE3&lt;&gt;"")+('Dvd Calendar'!$R$533=TYPE4)*(TYPE4&lt;&gt;"")+('Dvd Calendar'!$R$533=SPECIAL_LBL)*(INC_SPECIALS="Y"))=0,"",'Dvd Calendar'!$R$531)))</f>
        <v/>
      </c>
      <c r="Q59" s="110">
        <f>IF(ES59="","",IF(ISNUMBER('Dvd Calendar'!$S$531)=FALSE,"",IF((('Dvd Calendar'!$S$533=TYPE1)*(TYPE1&lt;&gt;"")+('Dvd Calendar'!$S$533=TYPE2)*(TYPE2&lt;&gt;"")+('Dvd Calendar'!$S$533=TYPE3)*(TYPE3&lt;&gt;"")+('Dvd Calendar'!$S$533=TYPE4)*(TYPE4&lt;&gt;"")+('Dvd Calendar'!$S$533=SPECIAL_LBL)*(INC_SPECIALS="Y"))=0,"",'Dvd Calendar'!$S$531)))</f>
        <v/>
      </c>
      <c r="R59" s="110">
        <f>IF(ET59="","",IF(ISNUMBER('Dvd Calendar'!$T$531)=FALSE,"",IF((('Dvd Calendar'!$T$533=TYPE1)*(TYPE1&lt;&gt;"")+('Dvd Calendar'!$T$533=TYPE2)*(TYPE2&lt;&gt;"")+('Dvd Calendar'!$T$533=TYPE3)*(TYPE3&lt;&gt;"")+('Dvd Calendar'!$T$533=TYPE4)*(TYPE4&lt;&gt;"")+('Dvd Calendar'!$T$533=SPECIAL_LBL)*(INC_SPECIALS="Y"))=0,"",'Dvd Calendar'!$T$531)))</f>
        <v/>
      </c>
      <c r="S59" s="110">
        <f>IF(EU59="","",IF(ISNUMBER('Dvd Calendar'!$U$531)=FALSE,"",IF((('Dvd Calendar'!$U$533=TYPE1)*(TYPE1&lt;&gt;"")+('Dvd Calendar'!$U$533=TYPE2)*(TYPE2&lt;&gt;"")+('Dvd Calendar'!$U$533=TYPE3)*(TYPE3&lt;&gt;"")+('Dvd Calendar'!$U$533=TYPE4)*(TYPE4&lt;&gt;"")+('Dvd Calendar'!$U$533=SPECIAL_LBL)*(INC_SPECIALS="Y"))=0,"",'Dvd Calendar'!$U$531)))</f>
        <v/>
      </c>
      <c r="T59" s="110">
        <f>IF(EV59="","",IF(ISNUMBER('Dvd Calendar'!$V$531)=FALSE,"",IF((('Dvd Calendar'!$V$533=TYPE1)*(TYPE1&lt;&gt;"")+('Dvd Calendar'!$V$533=TYPE2)*(TYPE2&lt;&gt;"")+('Dvd Calendar'!$V$533=TYPE3)*(TYPE3&lt;&gt;"")+('Dvd Calendar'!$V$533=TYPE4)*(TYPE4&lt;&gt;"")+('Dvd Calendar'!$V$533=SPECIAL_LBL)*(INC_SPECIALS="Y"))=0,"",'Dvd Calendar'!$V$531)))</f>
        <v/>
      </c>
      <c r="U59" s="110">
        <f>IF(EW59="","",IF(ISNUMBER('Dvd Calendar'!$W$531)=FALSE,"",IF((('Dvd Calendar'!$W$533=TYPE1)*(TYPE1&lt;&gt;"")+('Dvd Calendar'!$W$533=TYPE2)*(TYPE2&lt;&gt;"")+('Dvd Calendar'!$W$533=TYPE3)*(TYPE3&lt;&gt;"")+('Dvd Calendar'!$W$533=TYPE4)*(TYPE4&lt;&gt;"")+('Dvd Calendar'!$W$533=SPECIAL_LBL)*(INC_SPECIALS="Y"))=0,"",'Dvd Calendar'!$W$531)))</f>
        <v/>
      </c>
      <c r="V59" s="110">
        <f>IF(EX59="","",IF(ISNUMBER('Dvd Calendar'!$X$531)=FALSE,"",IF((('Dvd Calendar'!$X$533=TYPE1)*(TYPE1&lt;&gt;"")+('Dvd Calendar'!$X$533=TYPE2)*(TYPE2&lt;&gt;"")+('Dvd Calendar'!$X$533=TYPE3)*(TYPE3&lt;&gt;"")+('Dvd Calendar'!$X$533=TYPE4)*(TYPE4&lt;&gt;"")+('Dvd Calendar'!$X$533=SPECIAL_LBL)*(INC_SPECIALS="Y"))=0,"",'Dvd Calendar'!$X$531)))</f>
        <v/>
      </c>
      <c r="W59" s="110">
        <f>IF(EY59="","",IF(ISNUMBER('Dvd Calendar'!$Y$531)=FALSE,"",IF((('Dvd Calendar'!$Y$533=TYPE1)*(TYPE1&lt;&gt;"")+('Dvd Calendar'!$Y$533=TYPE2)*(TYPE2&lt;&gt;"")+('Dvd Calendar'!$Y$533=TYPE3)*(TYPE3&lt;&gt;"")+('Dvd Calendar'!$Y$533=TYPE4)*(TYPE4&lt;&gt;"")+('Dvd Calendar'!$Y$533=SPECIAL_LBL)*(INC_SPECIALS="Y"))=0,"",'Dvd Calendar'!$Y$531)))</f>
        <v/>
      </c>
      <c r="X59" s="110">
        <f>IF(EZ59="","",IF(ISNUMBER('Dvd Calendar'!$Z$531)=FALSE,"",IF((('Dvd Calendar'!$Z$533=TYPE1)*(TYPE1&lt;&gt;"")+('Dvd Calendar'!$Z$533=TYPE2)*(TYPE2&lt;&gt;"")+('Dvd Calendar'!$Z$533=TYPE3)*(TYPE3&lt;&gt;"")+('Dvd Calendar'!$Z$533=TYPE4)*(TYPE4&lt;&gt;"")+('Dvd Calendar'!$Z$533=SPECIAL_LBL)*(INC_SPECIALS="Y"))=0,"",'Dvd Calendar'!$Z$531)))</f>
        <v/>
      </c>
      <c r="Y59" s="110">
        <f>IF(FA59="","",IF(ISNUMBER('Dvd Calendar'!$AA$531)=FALSE,"",IF((('Dvd Calendar'!$AA$533=TYPE1)*(TYPE1&lt;&gt;"")+('Dvd Calendar'!$AA$533=TYPE2)*(TYPE2&lt;&gt;"")+('Dvd Calendar'!$AA$533=TYPE3)*(TYPE3&lt;&gt;"")+('Dvd Calendar'!$AA$533=TYPE4)*(TYPE4&lt;&gt;"")+('Dvd Calendar'!$AA$533=SPECIAL_LBL)*(INC_SPECIALS="Y"))=0,"",'Dvd Calendar'!$AA$531)))</f>
        <v/>
      </c>
      <c r="Z59" s="110">
        <f>IF(FB59="","",IF(ISNUMBER('Dvd Calendar'!$AB$531)=FALSE,"",IF((('Dvd Calendar'!$AB$533=TYPE1)*(TYPE1&lt;&gt;"")+('Dvd Calendar'!$AB$533=TYPE2)*(TYPE2&lt;&gt;"")+('Dvd Calendar'!$AB$533=TYPE3)*(TYPE3&lt;&gt;"")+('Dvd Calendar'!$AB$533=TYPE4)*(TYPE4&lt;&gt;"")+('Dvd Calendar'!$AB$533=SPECIAL_LBL)*(INC_SPECIALS="Y"))=0,"",'Dvd Calendar'!$AB$531)))</f>
        <v/>
      </c>
      <c r="AA59" s="110">
        <f>IF(FC59="","",IF(ISNUMBER('Dvd Calendar'!$AC$531)=FALSE,"",IF((('Dvd Calendar'!$AC$533=TYPE1)*(TYPE1&lt;&gt;"")+('Dvd Calendar'!$AC$533=TYPE2)*(TYPE2&lt;&gt;"")+('Dvd Calendar'!$AC$533=TYPE3)*(TYPE3&lt;&gt;"")+('Dvd Calendar'!$AC$533=TYPE4)*(TYPE4&lt;&gt;"")+('Dvd Calendar'!$AC$533=SPECIAL_LBL)*(INC_SPECIALS="Y"))=0,"",'Dvd Calendar'!$AC$531)))</f>
        <v/>
      </c>
      <c r="AB59" s="110">
        <f>IF(FD59="","",IF(ISNUMBER('Dvd Calendar'!$AD$531)=FALSE,"",IF((('Dvd Calendar'!$AD$533=TYPE1)*(TYPE1&lt;&gt;"")+('Dvd Calendar'!$AD$533=TYPE2)*(TYPE2&lt;&gt;"")+('Dvd Calendar'!$AD$533=TYPE3)*(TYPE3&lt;&gt;"")+('Dvd Calendar'!$AD$533=TYPE4)*(TYPE4&lt;&gt;"")+('Dvd Calendar'!$AD$533=SPECIAL_LBL)*(INC_SPECIALS="Y"))=0,"",'Dvd Calendar'!$AD$531)))</f>
        <v/>
      </c>
      <c r="AC59" s="110">
        <f>IF(FE59="","",IF(ISNUMBER('Dvd Calendar'!$AE$531)=FALSE,"",IF((('Dvd Calendar'!$AE$533=TYPE1)*(TYPE1&lt;&gt;"")+('Dvd Calendar'!$AE$533=TYPE2)*(TYPE2&lt;&gt;"")+('Dvd Calendar'!$AE$533=TYPE3)*(TYPE3&lt;&gt;"")+('Dvd Calendar'!$AE$533=TYPE4)*(TYPE4&lt;&gt;"")+('Dvd Calendar'!$AE$533=SPECIAL_LBL)*(INC_SPECIALS="Y"))=0,"",'Dvd Calendar'!$AE$531)))</f>
        <v/>
      </c>
      <c r="AD59" s="110">
        <f>IF(FF59="","",IF(ISNUMBER('Dvd Calendar'!$AF$531)=FALSE,"",IF((('Dvd Calendar'!$AF$533=TYPE1)*(TYPE1&lt;&gt;"")+('Dvd Calendar'!$AF$533=TYPE2)*(TYPE2&lt;&gt;"")+('Dvd Calendar'!$AF$533=TYPE3)*(TYPE3&lt;&gt;"")+('Dvd Calendar'!$AF$533=TYPE4)*(TYPE4&lt;&gt;"")+('Dvd Calendar'!$AF$533=SPECIAL_LBL)*(INC_SPECIALS="Y"))=0,"",'Dvd Calendar'!$AF$531)))</f>
        <v/>
      </c>
      <c r="AE59" s="110">
        <f>IF(FG59="","",IF(ISNUMBER('Dvd Calendar'!$AG$531)=FALSE,"",IF((('Dvd Calendar'!$AG$533=TYPE1)*(TYPE1&lt;&gt;"")+('Dvd Calendar'!$AG$533=TYPE2)*(TYPE2&lt;&gt;"")+('Dvd Calendar'!$AG$533=TYPE3)*(TYPE3&lt;&gt;"")+('Dvd Calendar'!$AG$533=TYPE4)*(TYPE4&lt;&gt;"")+('Dvd Calendar'!$AG$533=SPECIAL_LBL)*(INC_SPECIALS="Y"))=0,"",'Dvd Calendar'!$AG$531)))</f>
        <v/>
      </c>
      <c r="AF59" s="110">
        <f>IF(FH59="","",IF(ISNUMBER('Dvd Calendar'!$AH$531)=FALSE,"",IF((('Dvd Calendar'!$AH$533=TYPE1)*(TYPE1&lt;&gt;"")+('Dvd Calendar'!$AH$533=TYPE2)*(TYPE2&lt;&gt;"")+('Dvd Calendar'!$AH$533=TYPE3)*(TYPE3&lt;&gt;"")+('Dvd Calendar'!$AH$533=TYPE4)*(TYPE4&lt;&gt;"")+('Dvd Calendar'!$AH$533=SPECIAL_LBL)*(INC_SPECIALS="Y"))=0,"",'Dvd Calendar'!$AH$531)))</f>
        <v/>
      </c>
      <c r="AG59" s="110">
        <f>IF(FI59="","",IF(ISNUMBER('Dvd Calendar'!$AI$531)=FALSE,"",IF((('Dvd Calendar'!$AI$533=TYPE1)*(TYPE1&lt;&gt;"")+('Dvd Calendar'!$AI$533=TYPE2)*(TYPE2&lt;&gt;"")+('Dvd Calendar'!$AI$533=TYPE3)*(TYPE3&lt;&gt;"")+('Dvd Calendar'!$AI$533=TYPE4)*(TYPE4&lt;&gt;"")+('Dvd Calendar'!$AI$533=SPECIAL_LBL)*(INC_SPECIALS="Y"))=0,"",'Dvd Calendar'!$AI$531)))</f>
        <v/>
      </c>
      <c r="AH59" s="110">
        <f>IF(FJ59="","",IF(ISNUMBER('Dvd Calendar'!$AJ$531)=FALSE,"",IF((('Dvd Calendar'!$AJ$533=TYPE1)*(TYPE1&lt;&gt;"")+('Dvd Calendar'!$AJ$533=TYPE2)*(TYPE2&lt;&gt;"")+('Dvd Calendar'!$AJ$533=TYPE3)*(TYPE3&lt;&gt;"")+('Dvd Calendar'!$AJ$533=TYPE4)*(TYPE4&lt;&gt;"")+('Dvd Calendar'!$AJ$533=SPECIAL_LBL)*(INC_SPECIALS="Y"))=0,"",'Dvd Calendar'!$AJ$531)))</f>
        <v/>
      </c>
      <c r="AI59" s="110">
        <f>IF(FK59="","",IF(ISNUMBER('Dvd Calendar'!$AK$531)=FALSE,"",IF((('Dvd Calendar'!$AK$533=TYPE1)*(TYPE1&lt;&gt;"")+('Dvd Calendar'!$AK$533=TYPE2)*(TYPE2&lt;&gt;"")+('Dvd Calendar'!$AK$533=TYPE3)*(TYPE3&lt;&gt;"")+('Dvd Calendar'!$AK$533=TYPE4)*(TYPE4&lt;&gt;"")+('Dvd Calendar'!$AK$533=SPECIAL_LBL)*(INC_SPECIALS="Y"))=0,"",'Dvd Calendar'!$AK$531)))</f>
        <v/>
      </c>
      <c r="AJ59" s="110">
        <f>IF(FL59="","",IF(ISNUMBER('Dvd Calendar'!$AL$531)=FALSE,"",IF((('Dvd Calendar'!$AL$533=TYPE1)*(TYPE1&lt;&gt;"")+('Dvd Calendar'!$AL$533=TYPE2)*(TYPE2&lt;&gt;"")+('Dvd Calendar'!$AL$533=TYPE3)*(TYPE3&lt;&gt;"")+('Dvd Calendar'!$AL$533=TYPE4)*(TYPE4&lt;&gt;"")+('Dvd Calendar'!$AL$533=SPECIAL_LBL)*(INC_SPECIALS="Y"))=0,"",'Dvd Calendar'!$AL$531)))</f>
        <v/>
      </c>
      <c r="AK59" s="110">
        <f>IF(FM59="","",IF(ISNUMBER('Dvd Calendar'!$AM$531)=FALSE,"",IF((('Dvd Calendar'!$AM$533=TYPE1)*(TYPE1&lt;&gt;"")+('Dvd Calendar'!$AM$533=TYPE2)*(TYPE2&lt;&gt;"")+('Dvd Calendar'!$AM$533=TYPE3)*(TYPE3&lt;&gt;"")+('Dvd Calendar'!$AM$533=TYPE4)*(TYPE4&lt;&gt;"")+('Dvd Calendar'!$AM$533=SPECIAL_LBL)*(INC_SPECIALS="Y"))=0,"",'Dvd Calendar'!$AM$531)))</f>
        <v/>
      </c>
      <c r="AL59" s="110">
        <f>IF(FN59="","",IF(ISNUMBER('Dvd Calendar'!$AN$531)=FALSE,"",IF((('Dvd Calendar'!$AN$533=TYPE1)*(TYPE1&lt;&gt;"")+('Dvd Calendar'!$AN$533=TYPE2)*(TYPE2&lt;&gt;"")+('Dvd Calendar'!$AN$533=TYPE3)*(TYPE3&lt;&gt;"")+('Dvd Calendar'!$AN$533=TYPE4)*(TYPE4&lt;&gt;"")+('Dvd Calendar'!$AN$533=SPECIAL_LBL)*(INC_SPECIALS="Y"))=0,"",'Dvd Calendar'!$AN$531)))</f>
        <v/>
      </c>
      <c r="AM59" s="110">
        <f>IF(FO59="","",IF(ISNUMBER('Dvd Calendar'!$AO$531)=FALSE,"",IF((('Dvd Calendar'!$AO$533=TYPE1)*(TYPE1&lt;&gt;"")+('Dvd Calendar'!$AO$533=TYPE2)*(TYPE2&lt;&gt;"")+('Dvd Calendar'!$AO$533=TYPE3)*(TYPE3&lt;&gt;"")+('Dvd Calendar'!$AO$533=TYPE4)*(TYPE4&lt;&gt;"")+('Dvd Calendar'!$AO$533=SPECIAL_LBL)*(INC_SPECIALS="Y"))=0,"",'Dvd Calendar'!$AO$531)))</f>
        <v/>
      </c>
      <c r="AN59" s="110">
        <f>IF(FP59="","",IF(ISNUMBER('Dvd Calendar'!$AP$531)=FALSE,"",IF((('Dvd Calendar'!$AP$533=TYPE1)*(TYPE1&lt;&gt;"")+('Dvd Calendar'!$AP$533=TYPE2)*(TYPE2&lt;&gt;"")+('Dvd Calendar'!$AP$533=TYPE3)*(TYPE3&lt;&gt;"")+('Dvd Calendar'!$AP$533=TYPE4)*(TYPE4&lt;&gt;"")+('Dvd Calendar'!$AP$533=SPECIAL_LBL)*(INC_SPECIALS="Y"))=0,"",'Dvd Calendar'!$AP$531)))</f>
        <v/>
      </c>
      <c r="AO59" s="110">
        <f>IF(FQ59="","",IF(ISNUMBER('Dvd Calendar'!$AQ$531)=FALSE,"",IF((('Dvd Calendar'!$AQ$533=TYPE1)*(TYPE1&lt;&gt;"")+('Dvd Calendar'!$AQ$533=TYPE2)*(TYPE2&lt;&gt;"")+('Dvd Calendar'!$AQ$533=TYPE3)*(TYPE3&lt;&gt;"")+('Dvd Calendar'!$AQ$533=TYPE4)*(TYPE4&lt;&gt;"")+('Dvd Calendar'!$AQ$533=SPECIAL_LBL)*(INC_SPECIALS="Y"))=0,"",'Dvd Calendar'!$AQ$531)))</f>
        <v/>
      </c>
      <c r="AP59" s="110">
        <f>IF(FR59="","",IF(ISNUMBER('Dvd Calendar'!$AR$531)=FALSE,"",IF((('Dvd Calendar'!$AR$533=TYPE1)*(TYPE1&lt;&gt;"")+('Dvd Calendar'!$AR$533=TYPE2)*(TYPE2&lt;&gt;"")+('Dvd Calendar'!$AR$533=TYPE3)*(TYPE3&lt;&gt;"")+('Dvd Calendar'!$AR$533=TYPE4)*(TYPE4&lt;&gt;"")+('Dvd Calendar'!$AR$533=SPECIAL_LBL)*(INC_SPECIALS="Y"))=0,"",'Dvd Calendar'!$AR$531)))</f>
        <v/>
      </c>
      <c r="AQ59" s="110">
        <f>IF(FS59="","",IF(ISNUMBER('Dvd Calendar'!$E$536)=FALSE,"",'Dvd Calendar'!$E$536))</f>
        <v/>
      </c>
      <c r="AR59" s="110">
        <f>IF(FT59="","",IF(ISNUMBER('Dvd Calendar'!$F$536)=FALSE,"",'Dvd Calendar'!$F$536))</f>
        <v/>
      </c>
      <c r="AS59" s="110">
        <f>IF(FU59="","",IF(ISNUMBER('Dvd Calendar'!$G$536)=FALSE,"",'Dvd Calendar'!$G$536))</f>
        <v/>
      </c>
      <c r="AT59" s="110">
        <f>IF(FV59="","",IF(ISNUMBER('Dvd Calendar'!$H$536)=FALSE,"",'Dvd Calendar'!$H$536))</f>
        <v/>
      </c>
      <c r="AU59" s="110">
        <f>IF(FW59="","",IF(ISNUMBER('Dvd Calendar'!$I$536)=FALSE,"",'Dvd Calendar'!$I$536))</f>
        <v/>
      </c>
      <c r="AV59" s="110">
        <f>IF(FX59="","",IF(ISNUMBER('Dvd Calendar'!$J$536)=FALSE,"",'Dvd Calendar'!$J$536))</f>
        <v/>
      </c>
      <c r="AW59" s="110">
        <f>IF(FY59="","",IF(ISNUMBER('Dvd Calendar'!$K$536)=FALSE,"",'Dvd Calendar'!$K$536))</f>
        <v/>
      </c>
      <c r="AX59" s="110">
        <f>IF(FZ59="","",IF(ISNUMBER('Dvd Calendar'!$L$536)=FALSE,"",'Dvd Calendar'!$L$536))</f>
        <v/>
      </c>
      <c r="AY59" s="110">
        <f>IF(GA59="","",IF(ISNUMBER('Dvd Calendar'!$M$536)=FALSE,"",'Dvd Calendar'!$M$536))</f>
        <v/>
      </c>
      <c r="AZ59" s="110">
        <f>IF(GB59="","",IF(ISNUMBER('Dvd Calendar'!$N$536)=FALSE,"",'Dvd Calendar'!$N$536))</f>
        <v/>
      </c>
      <c r="BA59" s="110">
        <f>IF(GC59="","",IF(ISNUMBER('Dvd Calendar'!$O$536)=FALSE,"",'Dvd Calendar'!$O$536))</f>
        <v/>
      </c>
      <c r="BB59" s="110">
        <f>IF(GD59="","",IF(ISNUMBER('Dvd Calendar'!$P$536)=FALSE,"",'Dvd Calendar'!$P$536))</f>
        <v/>
      </c>
      <c r="BC59" s="110">
        <f>IF(GE59="","",IF(ISNUMBER('Dvd Calendar'!$Q$536)=FALSE,"",'Dvd Calendar'!$Q$536))</f>
        <v/>
      </c>
      <c r="BD59" s="110">
        <f>IF(GF59="","",IF(ISNUMBER('Dvd Calendar'!$R$536)=FALSE,"",'Dvd Calendar'!$R$536))</f>
        <v/>
      </c>
      <c r="BE59" s="110">
        <f>IF(GG59="","",IF(ISNUMBER('Dvd Calendar'!$S$536)=FALSE,"",'Dvd Calendar'!$S$536))</f>
        <v/>
      </c>
      <c r="BF59" s="110">
        <f>IF(GH59="","",IF(ISNUMBER('Dvd Calendar'!$T$536)=FALSE,"",'Dvd Calendar'!$T$536))</f>
        <v/>
      </c>
      <c r="BG59" s="110">
        <f>IF(GI59="","",IF(ISNUMBER('Dvd Calendar'!$U$536)=FALSE,"",'Dvd Calendar'!$U$536))</f>
        <v/>
      </c>
      <c r="BH59" s="110">
        <f>IF(GJ59="","",IF(ISNUMBER('Dvd Calendar'!$V$536)=FALSE,"",'Dvd Calendar'!$V$536))</f>
        <v/>
      </c>
      <c r="BI59" s="110">
        <f>IF(GK59="","",IF(ISNUMBER('Dvd Calendar'!$W$536)=FALSE,"",'Dvd Calendar'!$W$536))</f>
        <v/>
      </c>
      <c r="BJ59" s="110">
        <f>IF(GL59="","",IF(ISNUMBER('Dvd Calendar'!$X$536)=FALSE,"",'Dvd Calendar'!$X$536))</f>
        <v/>
      </c>
      <c r="BK59" s="110">
        <f>IF(GM59="","",IF(ISNUMBER('Dvd Calendar'!$Y$536)=FALSE,"",'Dvd Calendar'!$Y$536))</f>
        <v/>
      </c>
      <c r="BL59" s="110">
        <f>IF(GN59="","",IF(ISNUMBER('Dvd Calendar'!$Z$536)=FALSE,"",'Dvd Calendar'!$Z$536))</f>
        <v/>
      </c>
      <c r="BM59" s="110">
        <f>IF(GO59="","",IF(ISNUMBER('Dvd Calendar'!$AA$536)=FALSE,"",'Dvd Calendar'!$AA$536))</f>
        <v/>
      </c>
      <c r="BN59" s="110">
        <f>IF(GP59="","",IF(ISNUMBER('Dvd Calendar'!$AB$536)=FALSE,"",'Dvd Calendar'!$AB$536))</f>
        <v/>
      </c>
      <c r="BO59" s="110">
        <f>IF(GQ59="","",IF(ISNUMBER('Dvd Calendar'!$AC$536)=FALSE,"",'Dvd Calendar'!$AC$536))</f>
        <v/>
      </c>
      <c r="BQ59" s="110">
        <f>IF(C59="","",IFERROR(C59*HSI!$B$54*HSI!$G$54/HSI!$B$3,""))</f>
        <v/>
      </c>
      <c r="BR59" s="110">
        <f>IF(D59="","",IFERROR(D59*HSI!$B$54*HSI!$G$54/HSI!$B$3,""))</f>
        <v/>
      </c>
      <c r="BS59" s="110">
        <f>IF(E59="","",IFERROR(E59*HSI!$B$54*HSI!$G$54/HSI!$B$3,""))</f>
        <v/>
      </c>
      <c r="BT59" s="110">
        <f>IF(F59="","",IFERROR(F59*HSI!$B$54*HSI!$G$54/HSI!$B$3,""))</f>
        <v/>
      </c>
      <c r="BU59" s="110">
        <f>IF(G59="","",IFERROR(G59*HSI!$B$54*HSI!$G$54/HSI!$B$3,""))</f>
        <v/>
      </c>
      <c r="BV59" s="110">
        <f>IF(H59="","",IFERROR(H59*HSI!$B$54*HSI!$G$54/HSI!$B$3,""))</f>
        <v/>
      </c>
      <c r="BW59" s="110">
        <f>IF(I59="","",IFERROR(I59*HSI!$B$54*HSI!$G$54/HSI!$B$3,""))</f>
        <v/>
      </c>
      <c r="BX59" s="110">
        <f>IF(J59="","",IFERROR(J59*HSI!$B$54*HSI!$G$54/HSI!$B$3,""))</f>
        <v/>
      </c>
      <c r="BY59" s="110">
        <f>IF(K59="","",IFERROR(K59*HSI!$B$54*HSI!$G$54/HSI!$B$3,""))</f>
        <v/>
      </c>
      <c r="BZ59" s="110">
        <f>IF(L59="","",IFERROR(L59*HSI!$B$54*HSI!$G$54/HSI!$B$3,""))</f>
        <v/>
      </c>
      <c r="CA59" s="110">
        <f>IF(M59="","",IFERROR(M59*HSI!$B$54*HSI!$G$54/HSI!$B$3,""))</f>
        <v/>
      </c>
      <c r="CB59" s="110">
        <f>IF(N59="","",IFERROR(N59*HSI!$B$54*HSI!$G$54/HSI!$B$3,""))</f>
        <v/>
      </c>
      <c r="CC59" s="110">
        <f>IF(O59="","",IFERROR(O59*HSI!$B$54*HSI!$G$54/HSI!$B$3,""))</f>
        <v/>
      </c>
      <c r="CD59" s="110">
        <f>IF(P59="","",IFERROR(P59*HSI!$B$54*HSI!$G$54/HSI!$B$3,""))</f>
        <v/>
      </c>
      <c r="CE59" s="110">
        <f>IF(Q59="","",IFERROR(Q59*HSI!$B$54*HSI!$G$54/HSI!$B$3,""))</f>
        <v/>
      </c>
      <c r="CF59" s="110">
        <f>IF(R59="","",IFERROR(R59*HSI!$B$54*HSI!$G$54/HSI!$B$3,""))</f>
        <v/>
      </c>
      <c r="CG59" s="110">
        <f>IF(S59="","",IFERROR(S59*HSI!$B$54*HSI!$G$54/HSI!$B$3,""))</f>
        <v/>
      </c>
      <c r="CH59" s="110">
        <f>IF(T59="","",IFERROR(T59*HSI!$B$54*HSI!$G$54/HSI!$B$3,""))</f>
        <v/>
      </c>
      <c r="CI59" s="110">
        <f>IF(U59="","",IFERROR(U59*HSI!$B$54*HSI!$G$54/HSI!$B$3,""))</f>
        <v/>
      </c>
      <c r="CJ59" s="110">
        <f>IF(V59="","",IFERROR(V59*HSI!$B$54*HSI!$G$54/HSI!$B$3,""))</f>
        <v/>
      </c>
      <c r="CK59" s="110">
        <f>IF(W59="","",IFERROR(W59*HSI!$B$54*HSI!$G$54/HSI!$B$3,""))</f>
        <v/>
      </c>
      <c r="CL59" s="110">
        <f>IF(X59="","",IFERROR(X59*HSI!$B$54*HSI!$G$54/HSI!$B$3,""))</f>
        <v/>
      </c>
      <c r="CM59" s="110">
        <f>IF(Y59="","",IFERROR(Y59*HSI!$B$54*HSI!$G$54/HSI!$B$3,""))</f>
        <v/>
      </c>
      <c r="CN59" s="110">
        <f>IF(Z59="","",IFERROR(Z59*HSI!$B$54*HSI!$G$54/HSI!$B$3,""))</f>
        <v/>
      </c>
      <c r="CO59" s="110">
        <f>IF(AA59="","",IFERROR(AA59*HSI!$B$54*HSI!$G$54/HSI!$B$3,""))</f>
        <v/>
      </c>
      <c r="CP59" s="110">
        <f>IF(AB59="","",IFERROR(AB59*HSI!$B$54*HSI!$G$54/HSI!$B$3,""))</f>
        <v/>
      </c>
      <c r="CQ59" s="110">
        <f>IF(AC59="","",IFERROR(AC59*HSI!$B$54*HSI!$G$54/HSI!$B$3,""))</f>
        <v/>
      </c>
      <c r="CR59" s="110">
        <f>IF(AD59="","",IFERROR(AD59*HSI!$B$54*HSI!$G$54/HSI!$B$3,""))</f>
        <v/>
      </c>
      <c r="CS59" s="110">
        <f>IF(AE59="","",IFERROR(AE59*HSI!$B$54*HSI!$G$54/HSI!$B$3,""))</f>
        <v/>
      </c>
      <c r="CT59" s="110">
        <f>IF(AF59="","",IFERROR(AF59*HSI!$B$54*HSI!$G$54/HSI!$B$3,""))</f>
        <v/>
      </c>
      <c r="CU59" s="110">
        <f>IF(AG59="","",IFERROR(AG59*HSI!$B$54*HSI!$G$54/HSI!$B$3,""))</f>
        <v/>
      </c>
      <c r="CV59" s="110">
        <f>IF(AH59="","",IFERROR(AH59*HSI!$B$54*HSI!$G$54/HSI!$B$3,""))</f>
        <v/>
      </c>
      <c r="CW59" s="110">
        <f>IF(AI59="","",IFERROR(AI59*HSI!$B$54*HSI!$G$54/HSI!$B$3,""))</f>
        <v/>
      </c>
      <c r="CX59" s="110">
        <f>IF(AJ59="","",IFERROR(AJ59*HSI!$B$54*HSI!$G$54/HSI!$B$3,""))</f>
        <v/>
      </c>
      <c r="CY59" s="110">
        <f>IF(AK59="","",IFERROR(AK59*HSI!$B$54*HSI!$G$54/HSI!$B$3,""))</f>
        <v/>
      </c>
      <c r="CZ59" s="110">
        <f>IF(AL59="","",IFERROR(AL59*HSI!$B$54*HSI!$G$54/HSI!$B$3,""))</f>
        <v/>
      </c>
      <c r="DA59" s="110">
        <f>IF(AM59="","",IFERROR(AM59*HSI!$B$54*HSI!$G$54/HSI!$B$3,""))</f>
        <v/>
      </c>
      <c r="DB59" s="110">
        <f>IF(AN59="","",IFERROR(AN59*HSI!$B$54*HSI!$G$54/HSI!$B$3,""))</f>
        <v/>
      </c>
      <c r="DC59" s="110">
        <f>IF(AO59="","",IFERROR(AO59*HSI!$B$54*HSI!$G$54/HSI!$B$3,""))</f>
        <v/>
      </c>
      <c r="DD59" s="110">
        <f>IF(AP59="","",IFERROR(AP59*HSI!$B$54*HSI!$G$54/HSI!$B$3,""))</f>
        <v/>
      </c>
      <c r="DE59" s="110">
        <f>IF(AQ59="","",IFERROR(AQ59*HSI!$B$54*HSI!$G$54/HSI!$B$3,""))</f>
        <v/>
      </c>
      <c r="DF59" s="110">
        <f>IF(AR59="","",IFERROR(AR59*HSI!$B$54*HSI!$G$54/HSI!$B$3,""))</f>
        <v/>
      </c>
      <c r="DG59" s="110">
        <f>IF(AS59="","",IFERROR(AS59*HSI!$B$54*HSI!$G$54/HSI!$B$3,""))</f>
        <v/>
      </c>
      <c r="DH59" s="110">
        <f>IF(AT59="","",IFERROR(AT59*HSI!$B$54*HSI!$G$54/HSI!$B$3,""))</f>
        <v/>
      </c>
      <c r="DI59" s="110">
        <f>IF(AU59="","",IFERROR(AU59*HSI!$B$54*HSI!$G$54/HSI!$B$3,""))</f>
        <v/>
      </c>
      <c r="DJ59" s="110">
        <f>IF(AV59="","",IFERROR(AV59*HSI!$B$54*HSI!$G$54/HSI!$B$3,""))</f>
        <v/>
      </c>
      <c r="DK59" s="110">
        <f>IF(AW59="","",IFERROR(AW59*HSI!$B$54*HSI!$G$54/HSI!$B$3,""))</f>
        <v/>
      </c>
      <c r="DL59" s="110">
        <f>IF(AX59="","",IFERROR(AX59*HSI!$B$54*HSI!$G$54/HSI!$B$3,""))</f>
        <v/>
      </c>
      <c r="DM59" s="110">
        <f>IF(AY59="","",IFERROR(AY59*HSI!$B$54*HSI!$G$54/HSI!$B$3,""))</f>
        <v/>
      </c>
      <c r="DN59" s="110">
        <f>IF(AZ59="","",IFERROR(AZ59*HSI!$B$54*HSI!$G$54/HSI!$B$3,""))</f>
        <v/>
      </c>
      <c r="DO59" s="110">
        <f>IF(BA59="","",IFERROR(BA59*HSI!$B$54*HSI!$G$54/HSI!$B$3,""))</f>
        <v/>
      </c>
      <c r="DP59" s="110">
        <f>IF(BB59="","",IFERROR(BB59*HSI!$B$54*HSI!$G$54/HSI!$B$3,""))</f>
        <v/>
      </c>
      <c r="DQ59" s="110">
        <f>IF(BC59="","",IFERROR(BC59*HSI!$B$54*HSI!$G$54/HSI!$B$3,""))</f>
        <v/>
      </c>
      <c r="DR59" s="110">
        <f>IF(BD59="","",IFERROR(BD59*HSI!$B$54*HSI!$G$54/HSI!$B$3,""))</f>
        <v/>
      </c>
      <c r="DS59" s="110">
        <f>IF(BE59="","",IFERROR(BE59*HSI!$B$54*HSI!$G$54/HSI!$B$3,""))</f>
        <v/>
      </c>
      <c r="DT59" s="110">
        <f>IF(BF59="","",IFERROR(BF59*HSI!$B$54*HSI!$G$54/HSI!$B$3,""))</f>
        <v/>
      </c>
      <c r="DU59" s="110">
        <f>IF(BG59="","",IFERROR(BG59*HSI!$B$54*HSI!$G$54/HSI!$B$3,""))</f>
        <v/>
      </c>
      <c r="DV59" s="110">
        <f>IF(BH59="","",IFERROR(BH59*HSI!$B$54*HSI!$G$54/HSI!$B$3,""))</f>
        <v/>
      </c>
      <c r="DW59" s="110">
        <f>IF(BI59="","",IFERROR(BI59*HSI!$B$54*HSI!$G$54/HSI!$B$3,""))</f>
        <v/>
      </c>
      <c r="DX59" s="110">
        <f>IF(BJ59="","",IFERROR(BJ59*HSI!$B$54*HSI!$G$54/HSI!$B$3,""))</f>
        <v/>
      </c>
      <c r="DY59" s="110">
        <f>IF(BK59="","",IFERROR(BK59*HSI!$B$54*HSI!$G$54/HSI!$B$3,""))</f>
        <v/>
      </c>
      <c r="DZ59" s="110">
        <f>IF(BL59="","",IFERROR(BL59*HSI!$B$54*HSI!$G$54/HSI!$B$3,""))</f>
        <v/>
      </c>
      <c r="EA59" s="110">
        <f>IF(BM59="","",IFERROR(BM59*HSI!$B$54*HSI!$G$54/HSI!$B$3,""))</f>
        <v/>
      </c>
      <c r="EB59" s="110">
        <f>IF(BN59="","",IFERROR(BN59*HSI!$B$54*HSI!$G$54/HSI!$B$3,""))</f>
        <v/>
      </c>
      <c r="EC59" s="110">
        <f>IF(BO59="","",IFERROR(BO59*HSI!$B$54*HSI!$G$54/HSI!$B$3,""))</f>
        <v/>
      </c>
      <c r="EE59" s="39">
        <f>IF(N('Dvd Calendar'!$E$528)=0,"",IF(('Dvd Calendar'!$E$528&gt;=GRID_FROM)*('Dvd Calendar'!$E$528&lt;=GRID_TO)*((('Dvd Calendar'!$E$528&lt;=VAL_DATE)+(COUNTIF('Dvd Calendar'!$E$535:$AR$535,'Dvd Calendar'!$E$528)=0))&gt;0)=0,"",'Dvd Calendar'!$E$528*1000000000+ISNUMBER('Dvd Calendar'!$E$531)*100000000+('Dvd Calendar'!$E$533=SPECIAL_LBL)*10000000+(N('Dvd Calendar'!$E$527)&gt;0)*(N('Dvd Calendar'!$E$527)&lt;=VAL_SERIAL)*1000000+48*1000+1))</f>
        <v/>
      </c>
      <c r="EF59" s="39">
        <f>IF(N('Dvd Calendar'!$F$528)=0,"",IF(('Dvd Calendar'!$F$528&gt;=GRID_FROM)*('Dvd Calendar'!$F$528&lt;=GRID_TO)*((('Dvd Calendar'!$F$528&lt;=VAL_DATE)+(COUNTIF('Dvd Calendar'!$E$535:$AR$535,'Dvd Calendar'!$F$528)=0))&gt;0)=0,"",'Dvd Calendar'!$F$528*1000000000+ISNUMBER('Dvd Calendar'!$F$531)*100000000+('Dvd Calendar'!$F$533=SPECIAL_LBL)*10000000+(N('Dvd Calendar'!$F$527)&gt;0)*(N('Dvd Calendar'!$F$527)&lt;=VAL_SERIAL)*1000000+48*1000+2))</f>
        <v/>
      </c>
      <c r="EG59" s="39">
        <f>IF(N('Dvd Calendar'!$G$528)=0,"",IF(('Dvd Calendar'!$G$528&gt;=GRID_FROM)*('Dvd Calendar'!$G$528&lt;=GRID_TO)*((('Dvd Calendar'!$G$528&lt;=VAL_DATE)+(COUNTIF('Dvd Calendar'!$E$535:$AR$535,'Dvd Calendar'!$G$528)=0))&gt;0)=0,"",'Dvd Calendar'!$G$528*1000000000+ISNUMBER('Dvd Calendar'!$G$531)*100000000+('Dvd Calendar'!$G$533=SPECIAL_LBL)*10000000+(N('Dvd Calendar'!$G$527)&gt;0)*(N('Dvd Calendar'!$G$527)&lt;=VAL_SERIAL)*1000000+48*1000+3))</f>
        <v/>
      </c>
      <c r="EH59" s="39">
        <f>IF(N('Dvd Calendar'!$H$528)=0,"",IF(('Dvd Calendar'!$H$528&gt;=GRID_FROM)*('Dvd Calendar'!$H$528&lt;=GRID_TO)*((('Dvd Calendar'!$H$528&lt;=VAL_DATE)+(COUNTIF('Dvd Calendar'!$E$535:$AR$535,'Dvd Calendar'!$H$528)=0))&gt;0)=0,"",'Dvd Calendar'!$H$528*1000000000+ISNUMBER('Dvd Calendar'!$H$531)*100000000+('Dvd Calendar'!$H$533=SPECIAL_LBL)*10000000+(N('Dvd Calendar'!$H$527)&gt;0)*(N('Dvd Calendar'!$H$527)&lt;=VAL_SERIAL)*1000000+48*1000+4))</f>
        <v/>
      </c>
      <c r="EI59" s="39">
        <f>IF(N('Dvd Calendar'!$I$528)=0,"",IF(('Dvd Calendar'!$I$528&gt;=GRID_FROM)*('Dvd Calendar'!$I$528&lt;=GRID_TO)*((('Dvd Calendar'!$I$528&lt;=VAL_DATE)+(COUNTIF('Dvd Calendar'!$E$535:$AR$535,'Dvd Calendar'!$I$528)=0))&gt;0)=0,"",'Dvd Calendar'!$I$528*1000000000+ISNUMBER('Dvd Calendar'!$I$531)*100000000+('Dvd Calendar'!$I$533=SPECIAL_LBL)*10000000+(N('Dvd Calendar'!$I$527)&gt;0)*(N('Dvd Calendar'!$I$527)&lt;=VAL_SERIAL)*1000000+48*1000+5))</f>
        <v/>
      </c>
      <c r="EJ59" s="39">
        <f>IF(N('Dvd Calendar'!$J$528)=0,"",IF(('Dvd Calendar'!$J$528&gt;=GRID_FROM)*('Dvd Calendar'!$J$528&lt;=GRID_TO)*((('Dvd Calendar'!$J$528&lt;=VAL_DATE)+(COUNTIF('Dvd Calendar'!$E$535:$AR$535,'Dvd Calendar'!$J$528)=0))&gt;0)=0,"",'Dvd Calendar'!$J$528*1000000000+ISNUMBER('Dvd Calendar'!$J$531)*100000000+('Dvd Calendar'!$J$533=SPECIAL_LBL)*10000000+(N('Dvd Calendar'!$J$527)&gt;0)*(N('Dvd Calendar'!$J$527)&lt;=VAL_SERIAL)*1000000+48*1000+6))</f>
        <v/>
      </c>
      <c r="EK59" s="39">
        <f>IF(N('Dvd Calendar'!$K$528)=0,"",IF(('Dvd Calendar'!$K$528&gt;=GRID_FROM)*('Dvd Calendar'!$K$528&lt;=GRID_TO)*((('Dvd Calendar'!$K$528&lt;=VAL_DATE)+(COUNTIF('Dvd Calendar'!$E$535:$AR$535,'Dvd Calendar'!$K$528)=0))&gt;0)=0,"",'Dvd Calendar'!$K$528*1000000000+ISNUMBER('Dvd Calendar'!$K$531)*100000000+('Dvd Calendar'!$K$533=SPECIAL_LBL)*10000000+(N('Dvd Calendar'!$K$527)&gt;0)*(N('Dvd Calendar'!$K$527)&lt;=VAL_SERIAL)*1000000+48*1000+7))</f>
        <v/>
      </c>
      <c r="EL59" s="39">
        <f>IF(N('Dvd Calendar'!$L$528)=0,"",IF(('Dvd Calendar'!$L$528&gt;=GRID_FROM)*('Dvd Calendar'!$L$528&lt;=GRID_TO)*((('Dvd Calendar'!$L$528&lt;=VAL_DATE)+(COUNTIF('Dvd Calendar'!$E$535:$AR$535,'Dvd Calendar'!$L$528)=0))&gt;0)=0,"",'Dvd Calendar'!$L$528*1000000000+ISNUMBER('Dvd Calendar'!$L$531)*100000000+('Dvd Calendar'!$L$533=SPECIAL_LBL)*10000000+(N('Dvd Calendar'!$L$527)&gt;0)*(N('Dvd Calendar'!$L$527)&lt;=VAL_SERIAL)*1000000+48*1000+8))</f>
        <v/>
      </c>
      <c r="EM59" s="39">
        <f>IF(N('Dvd Calendar'!$M$528)=0,"",IF(('Dvd Calendar'!$M$528&gt;=GRID_FROM)*('Dvd Calendar'!$M$528&lt;=GRID_TO)*((('Dvd Calendar'!$M$528&lt;=VAL_DATE)+(COUNTIF('Dvd Calendar'!$E$535:$AR$535,'Dvd Calendar'!$M$528)=0))&gt;0)=0,"",'Dvd Calendar'!$M$528*1000000000+ISNUMBER('Dvd Calendar'!$M$531)*100000000+('Dvd Calendar'!$M$533=SPECIAL_LBL)*10000000+(N('Dvd Calendar'!$M$527)&gt;0)*(N('Dvd Calendar'!$M$527)&lt;=VAL_SERIAL)*1000000+48*1000+9))</f>
        <v/>
      </c>
      <c r="EN59" s="39">
        <f>IF(N('Dvd Calendar'!$N$528)=0,"",IF(('Dvd Calendar'!$N$528&gt;=GRID_FROM)*('Dvd Calendar'!$N$528&lt;=GRID_TO)*((('Dvd Calendar'!$N$528&lt;=VAL_DATE)+(COUNTIF('Dvd Calendar'!$E$535:$AR$535,'Dvd Calendar'!$N$528)=0))&gt;0)=0,"",'Dvd Calendar'!$N$528*1000000000+ISNUMBER('Dvd Calendar'!$N$531)*100000000+('Dvd Calendar'!$N$533=SPECIAL_LBL)*10000000+(N('Dvd Calendar'!$N$527)&gt;0)*(N('Dvd Calendar'!$N$527)&lt;=VAL_SERIAL)*1000000+48*1000+10))</f>
        <v/>
      </c>
      <c r="EO59" s="39">
        <f>IF(N('Dvd Calendar'!$O$528)=0,"",IF(('Dvd Calendar'!$O$528&gt;=GRID_FROM)*('Dvd Calendar'!$O$528&lt;=GRID_TO)*((('Dvd Calendar'!$O$528&lt;=VAL_DATE)+(COUNTIF('Dvd Calendar'!$E$535:$AR$535,'Dvd Calendar'!$O$528)=0))&gt;0)=0,"",'Dvd Calendar'!$O$528*1000000000+ISNUMBER('Dvd Calendar'!$O$531)*100000000+('Dvd Calendar'!$O$533=SPECIAL_LBL)*10000000+(N('Dvd Calendar'!$O$527)&gt;0)*(N('Dvd Calendar'!$O$527)&lt;=VAL_SERIAL)*1000000+48*1000+11))</f>
        <v/>
      </c>
      <c r="EP59" s="39">
        <f>IF(N('Dvd Calendar'!$P$528)=0,"",IF(('Dvd Calendar'!$P$528&gt;=GRID_FROM)*('Dvd Calendar'!$P$528&lt;=GRID_TO)*((('Dvd Calendar'!$P$528&lt;=VAL_DATE)+(COUNTIF('Dvd Calendar'!$E$535:$AR$535,'Dvd Calendar'!$P$528)=0))&gt;0)=0,"",'Dvd Calendar'!$P$528*1000000000+ISNUMBER('Dvd Calendar'!$P$531)*100000000+('Dvd Calendar'!$P$533=SPECIAL_LBL)*10000000+(N('Dvd Calendar'!$P$527)&gt;0)*(N('Dvd Calendar'!$P$527)&lt;=VAL_SERIAL)*1000000+48*1000+12))</f>
        <v/>
      </c>
      <c r="EQ59" s="39">
        <f>IF(N('Dvd Calendar'!$Q$528)=0,"",IF(('Dvd Calendar'!$Q$528&gt;=GRID_FROM)*('Dvd Calendar'!$Q$528&lt;=GRID_TO)*((('Dvd Calendar'!$Q$528&lt;=VAL_DATE)+(COUNTIF('Dvd Calendar'!$E$535:$AR$535,'Dvd Calendar'!$Q$528)=0))&gt;0)=0,"",'Dvd Calendar'!$Q$528*1000000000+ISNUMBER('Dvd Calendar'!$Q$531)*100000000+('Dvd Calendar'!$Q$533=SPECIAL_LBL)*10000000+(N('Dvd Calendar'!$Q$527)&gt;0)*(N('Dvd Calendar'!$Q$527)&lt;=VAL_SERIAL)*1000000+48*1000+13))</f>
        <v/>
      </c>
      <c r="ER59" s="39">
        <f>IF(N('Dvd Calendar'!$R$528)=0,"",IF(('Dvd Calendar'!$R$528&gt;=GRID_FROM)*('Dvd Calendar'!$R$528&lt;=GRID_TO)*((('Dvd Calendar'!$R$528&lt;=VAL_DATE)+(COUNTIF('Dvd Calendar'!$E$535:$AR$535,'Dvd Calendar'!$R$528)=0))&gt;0)=0,"",'Dvd Calendar'!$R$528*1000000000+ISNUMBER('Dvd Calendar'!$R$531)*100000000+('Dvd Calendar'!$R$533=SPECIAL_LBL)*10000000+(N('Dvd Calendar'!$R$527)&gt;0)*(N('Dvd Calendar'!$R$527)&lt;=VAL_SERIAL)*1000000+48*1000+14))</f>
        <v/>
      </c>
      <c r="ES59" s="39">
        <f>IF(N('Dvd Calendar'!$S$528)=0,"",IF(('Dvd Calendar'!$S$528&gt;=GRID_FROM)*('Dvd Calendar'!$S$528&lt;=GRID_TO)*((('Dvd Calendar'!$S$528&lt;=VAL_DATE)+(COUNTIF('Dvd Calendar'!$E$535:$AR$535,'Dvd Calendar'!$S$528)=0))&gt;0)=0,"",'Dvd Calendar'!$S$528*1000000000+ISNUMBER('Dvd Calendar'!$S$531)*100000000+('Dvd Calendar'!$S$533=SPECIAL_LBL)*10000000+(N('Dvd Calendar'!$S$527)&gt;0)*(N('Dvd Calendar'!$S$527)&lt;=VAL_SERIAL)*1000000+48*1000+15))</f>
        <v/>
      </c>
      <c r="ET59" s="39">
        <f>IF(N('Dvd Calendar'!$T$528)=0,"",IF(('Dvd Calendar'!$T$528&gt;=GRID_FROM)*('Dvd Calendar'!$T$528&lt;=GRID_TO)*((('Dvd Calendar'!$T$528&lt;=VAL_DATE)+(COUNTIF('Dvd Calendar'!$E$535:$AR$535,'Dvd Calendar'!$T$528)=0))&gt;0)=0,"",'Dvd Calendar'!$T$528*1000000000+ISNUMBER('Dvd Calendar'!$T$531)*100000000+('Dvd Calendar'!$T$533=SPECIAL_LBL)*10000000+(N('Dvd Calendar'!$T$527)&gt;0)*(N('Dvd Calendar'!$T$527)&lt;=VAL_SERIAL)*1000000+48*1000+16))</f>
        <v/>
      </c>
      <c r="EU59" s="39">
        <f>IF(N('Dvd Calendar'!$U$528)=0,"",IF(('Dvd Calendar'!$U$528&gt;=GRID_FROM)*('Dvd Calendar'!$U$528&lt;=GRID_TO)*((('Dvd Calendar'!$U$528&lt;=VAL_DATE)+(COUNTIF('Dvd Calendar'!$E$535:$AR$535,'Dvd Calendar'!$U$528)=0))&gt;0)=0,"",'Dvd Calendar'!$U$528*1000000000+ISNUMBER('Dvd Calendar'!$U$531)*100000000+('Dvd Calendar'!$U$533=SPECIAL_LBL)*10000000+(N('Dvd Calendar'!$U$527)&gt;0)*(N('Dvd Calendar'!$U$527)&lt;=VAL_SERIAL)*1000000+48*1000+17))</f>
        <v/>
      </c>
      <c r="EV59" s="39">
        <f>IF(N('Dvd Calendar'!$V$528)=0,"",IF(('Dvd Calendar'!$V$528&gt;=GRID_FROM)*('Dvd Calendar'!$V$528&lt;=GRID_TO)*((('Dvd Calendar'!$V$528&lt;=VAL_DATE)+(COUNTIF('Dvd Calendar'!$E$535:$AR$535,'Dvd Calendar'!$V$528)=0))&gt;0)=0,"",'Dvd Calendar'!$V$528*1000000000+ISNUMBER('Dvd Calendar'!$V$531)*100000000+('Dvd Calendar'!$V$533=SPECIAL_LBL)*10000000+(N('Dvd Calendar'!$V$527)&gt;0)*(N('Dvd Calendar'!$V$527)&lt;=VAL_SERIAL)*1000000+48*1000+18))</f>
        <v/>
      </c>
      <c r="EW59" s="39">
        <f>IF(N('Dvd Calendar'!$W$528)=0,"",IF(('Dvd Calendar'!$W$528&gt;=GRID_FROM)*('Dvd Calendar'!$W$528&lt;=GRID_TO)*((('Dvd Calendar'!$W$528&lt;=VAL_DATE)+(COUNTIF('Dvd Calendar'!$E$535:$AR$535,'Dvd Calendar'!$W$528)=0))&gt;0)=0,"",'Dvd Calendar'!$W$528*1000000000+ISNUMBER('Dvd Calendar'!$W$531)*100000000+('Dvd Calendar'!$W$533=SPECIAL_LBL)*10000000+(N('Dvd Calendar'!$W$527)&gt;0)*(N('Dvd Calendar'!$W$527)&lt;=VAL_SERIAL)*1000000+48*1000+19))</f>
        <v/>
      </c>
      <c r="EX59" s="39">
        <f>IF(N('Dvd Calendar'!$X$528)=0,"",IF(('Dvd Calendar'!$X$528&gt;=GRID_FROM)*('Dvd Calendar'!$X$528&lt;=GRID_TO)*((('Dvd Calendar'!$X$528&lt;=VAL_DATE)+(COUNTIF('Dvd Calendar'!$E$535:$AR$535,'Dvd Calendar'!$X$528)=0))&gt;0)=0,"",'Dvd Calendar'!$X$528*1000000000+ISNUMBER('Dvd Calendar'!$X$531)*100000000+('Dvd Calendar'!$X$533=SPECIAL_LBL)*10000000+(N('Dvd Calendar'!$X$527)&gt;0)*(N('Dvd Calendar'!$X$527)&lt;=VAL_SERIAL)*1000000+48*1000+20))</f>
        <v/>
      </c>
      <c r="EY59" s="39">
        <f>IF(N('Dvd Calendar'!$Y$528)=0,"",IF(('Dvd Calendar'!$Y$528&gt;=GRID_FROM)*('Dvd Calendar'!$Y$528&lt;=GRID_TO)*((('Dvd Calendar'!$Y$528&lt;=VAL_DATE)+(COUNTIF('Dvd Calendar'!$E$535:$AR$535,'Dvd Calendar'!$Y$528)=0))&gt;0)=0,"",'Dvd Calendar'!$Y$528*1000000000+ISNUMBER('Dvd Calendar'!$Y$531)*100000000+('Dvd Calendar'!$Y$533=SPECIAL_LBL)*10000000+(N('Dvd Calendar'!$Y$527)&gt;0)*(N('Dvd Calendar'!$Y$527)&lt;=VAL_SERIAL)*1000000+48*1000+21))</f>
        <v/>
      </c>
      <c r="EZ59" s="39">
        <f>IF(N('Dvd Calendar'!$Z$528)=0,"",IF(('Dvd Calendar'!$Z$528&gt;=GRID_FROM)*('Dvd Calendar'!$Z$528&lt;=GRID_TO)*((('Dvd Calendar'!$Z$528&lt;=VAL_DATE)+(COUNTIF('Dvd Calendar'!$E$535:$AR$535,'Dvd Calendar'!$Z$528)=0))&gt;0)=0,"",'Dvd Calendar'!$Z$528*1000000000+ISNUMBER('Dvd Calendar'!$Z$531)*100000000+('Dvd Calendar'!$Z$533=SPECIAL_LBL)*10000000+(N('Dvd Calendar'!$Z$527)&gt;0)*(N('Dvd Calendar'!$Z$527)&lt;=VAL_SERIAL)*1000000+48*1000+22))</f>
        <v/>
      </c>
      <c r="FA59" s="39">
        <f>IF(N('Dvd Calendar'!$AA$528)=0,"",IF(('Dvd Calendar'!$AA$528&gt;=GRID_FROM)*('Dvd Calendar'!$AA$528&lt;=GRID_TO)*((('Dvd Calendar'!$AA$528&lt;=VAL_DATE)+(COUNTIF('Dvd Calendar'!$E$535:$AR$535,'Dvd Calendar'!$AA$528)=0))&gt;0)=0,"",'Dvd Calendar'!$AA$528*1000000000+ISNUMBER('Dvd Calendar'!$AA$531)*100000000+('Dvd Calendar'!$AA$533=SPECIAL_LBL)*10000000+(N('Dvd Calendar'!$AA$527)&gt;0)*(N('Dvd Calendar'!$AA$527)&lt;=VAL_SERIAL)*1000000+48*1000+23))</f>
        <v/>
      </c>
      <c r="FB59" s="39">
        <f>IF(N('Dvd Calendar'!$AB$528)=0,"",IF(('Dvd Calendar'!$AB$528&gt;=GRID_FROM)*('Dvd Calendar'!$AB$528&lt;=GRID_TO)*((('Dvd Calendar'!$AB$528&lt;=VAL_DATE)+(COUNTIF('Dvd Calendar'!$E$535:$AR$535,'Dvd Calendar'!$AB$528)=0))&gt;0)=0,"",'Dvd Calendar'!$AB$528*1000000000+ISNUMBER('Dvd Calendar'!$AB$531)*100000000+('Dvd Calendar'!$AB$533=SPECIAL_LBL)*10000000+(N('Dvd Calendar'!$AB$527)&gt;0)*(N('Dvd Calendar'!$AB$527)&lt;=VAL_SERIAL)*1000000+48*1000+24))</f>
        <v/>
      </c>
      <c r="FC59" s="39">
        <f>IF(N('Dvd Calendar'!$AC$528)=0,"",IF(('Dvd Calendar'!$AC$528&gt;=GRID_FROM)*('Dvd Calendar'!$AC$528&lt;=GRID_TO)*((('Dvd Calendar'!$AC$528&lt;=VAL_DATE)+(COUNTIF('Dvd Calendar'!$E$535:$AR$535,'Dvd Calendar'!$AC$528)=0))&gt;0)=0,"",'Dvd Calendar'!$AC$528*1000000000+ISNUMBER('Dvd Calendar'!$AC$531)*100000000+('Dvd Calendar'!$AC$533=SPECIAL_LBL)*10000000+(N('Dvd Calendar'!$AC$527)&gt;0)*(N('Dvd Calendar'!$AC$527)&lt;=VAL_SERIAL)*1000000+48*1000+25))</f>
        <v/>
      </c>
      <c r="FD59" s="39">
        <f>IF(N('Dvd Calendar'!$AD$528)=0,"",IF(('Dvd Calendar'!$AD$528&gt;=GRID_FROM)*('Dvd Calendar'!$AD$528&lt;=GRID_TO)*((('Dvd Calendar'!$AD$528&lt;=VAL_DATE)+(COUNTIF('Dvd Calendar'!$E$535:$AR$535,'Dvd Calendar'!$AD$528)=0))&gt;0)=0,"",'Dvd Calendar'!$AD$528*1000000000+ISNUMBER('Dvd Calendar'!$AD$531)*100000000+('Dvd Calendar'!$AD$533=SPECIAL_LBL)*10000000+(N('Dvd Calendar'!$AD$527)&gt;0)*(N('Dvd Calendar'!$AD$527)&lt;=VAL_SERIAL)*1000000+48*1000+26))</f>
        <v/>
      </c>
      <c r="FE59" s="39">
        <f>IF(N('Dvd Calendar'!$AE$528)=0,"",IF(('Dvd Calendar'!$AE$528&gt;=GRID_FROM)*('Dvd Calendar'!$AE$528&lt;=GRID_TO)*((('Dvd Calendar'!$AE$528&lt;=VAL_DATE)+(COUNTIF('Dvd Calendar'!$E$535:$AR$535,'Dvd Calendar'!$AE$528)=0))&gt;0)=0,"",'Dvd Calendar'!$AE$528*1000000000+ISNUMBER('Dvd Calendar'!$AE$531)*100000000+('Dvd Calendar'!$AE$533=SPECIAL_LBL)*10000000+(N('Dvd Calendar'!$AE$527)&gt;0)*(N('Dvd Calendar'!$AE$527)&lt;=VAL_SERIAL)*1000000+48*1000+27))</f>
        <v/>
      </c>
      <c r="FF59" s="39">
        <f>IF(N('Dvd Calendar'!$AF$528)=0,"",IF(('Dvd Calendar'!$AF$528&gt;=GRID_FROM)*('Dvd Calendar'!$AF$528&lt;=GRID_TO)*((('Dvd Calendar'!$AF$528&lt;=VAL_DATE)+(COUNTIF('Dvd Calendar'!$E$535:$AR$535,'Dvd Calendar'!$AF$528)=0))&gt;0)=0,"",'Dvd Calendar'!$AF$528*1000000000+ISNUMBER('Dvd Calendar'!$AF$531)*100000000+('Dvd Calendar'!$AF$533=SPECIAL_LBL)*10000000+(N('Dvd Calendar'!$AF$527)&gt;0)*(N('Dvd Calendar'!$AF$527)&lt;=VAL_SERIAL)*1000000+48*1000+28))</f>
        <v/>
      </c>
      <c r="FG59" s="39">
        <f>IF(N('Dvd Calendar'!$AG$528)=0,"",IF(('Dvd Calendar'!$AG$528&gt;=GRID_FROM)*('Dvd Calendar'!$AG$528&lt;=GRID_TO)*((('Dvd Calendar'!$AG$528&lt;=VAL_DATE)+(COUNTIF('Dvd Calendar'!$E$535:$AR$535,'Dvd Calendar'!$AG$528)=0))&gt;0)=0,"",'Dvd Calendar'!$AG$528*1000000000+ISNUMBER('Dvd Calendar'!$AG$531)*100000000+('Dvd Calendar'!$AG$533=SPECIAL_LBL)*10000000+(N('Dvd Calendar'!$AG$527)&gt;0)*(N('Dvd Calendar'!$AG$527)&lt;=VAL_SERIAL)*1000000+48*1000+29))</f>
        <v/>
      </c>
      <c r="FH59" s="39">
        <f>IF(N('Dvd Calendar'!$AH$528)=0,"",IF(('Dvd Calendar'!$AH$528&gt;=GRID_FROM)*('Dvd Calendar'!$AH$528&lt;=GRID_TO)*((('Dvd Calendar'!$AH$528&lt;=VAL_DATE)+(COUNTIF('Dvd Calendar'!$E$535:$AR$535,'Dvd Calendar'!$AH$528)=0))&gt;0)=0,"",'Dvd Calendar'!$AH$528*1000000000+ISNUMBER('Dvd Calendar'!$AH$531)*100000000+('Dvd Calendar'!$AH$533=SPECIAL_LBL)*10000000+(N('Dvd Calendar'!$AH$527)&gt;0)*(N('Dvd Calendar'!$AH$527)&lt;=VAL_SERIAL)*1000000+48*1000+30))</f>
        <v/>
      </c>
      <c r="FI59" s="39">
        <f>IF(N('Dvd Calendar'!$AI$528)=0,"",IF(('Dvd Calendar'!$AI$528&gt;=GRID_FROM)*('Dvd Calendar'!$AI$528&lt;=GRID_TO)*((('Dvd Calendar'!$AI$528&lt;=VAL_DATE)+(COUNTIF('Dvd Calendar'!$E$535:$AR$535,'Dvd Calendar'!$AI$528)=0))&gt;0)=0,"",'Dvd Calendar'!$AI$528*1000000000+ISNUMBER('Dvd Calendar'!$AI$531)*100000000+('Dvd Calendar'!$AI$533=SPECIAL_LBL)*10000000+(N('Dvd Calendar'!$AI$527)&gt;0)*(N('Dvd Calendar'!$AI$527)&lt;=VAL_SERIAL)*1000000+48*1000+31))</f>
        <v/>
      </c>
      <c r="FJ59" s="39">
        <f>IF(N('Dvd Calendar'!$AJ$528)=0,"",IF(('Dvd Calendar'!$AJ$528&gt;=GRID_FROM)*('Dvd Calendar'!$AJ$528&lt;=GRID_TO)*((('Dvd Calendar'!$AJ$528&lt;=VAL_DATE)+(COUNTIF('Dvd Calendar'!$E$535:$AR$535,'Dvd Calendar'!$AJ$528)=0))&gt;0)=0,"",'Dvd Calendar'!$AJ$528*1000000000+ISNUMBER('Dvd Calendar'!$AJ$531)*100000000+('Dvd Calendar'!$AJ$533=SPECIAL_LBL)*10000000+(N('Dvd Calendar'!$AJ$527)&gt;0)*(N('Dvd Calendar'!$AJ$527)&lt;=VAL_SERIAL)*1000000+48*1000+32))</f>
        <v/>
      </c>
      <c r="FK59" s="39">
        <f>IF(N('Dvd Calendar'!$AK$528)=0,"",IF(('Dvd Calendar'!$AK$528&gt;=GRID_FROM)*('Dvd Calendar'!$AK$528&lt;=GRID_TO)*((('Dvd Calendar'!$AK$528&lt;=VAL_DATE)+(COUNTIF('Dvd Calendar'!$E$535:$AR$535,'Dvd Calendar'!$AK$528)=0))&gt;0)=0,"",'Dvd Calendar'!$AK$528*1000000000+ISNUMBER('Dvd Calendar'!$AK$531)*100000000+('Dvd Calendar'!$AK$533=SPECIAL_LBL)*10000000+(N('Dvd Calendar'!$AK$527)&gt;0)*(N('Dvd Calendar'!$AK$527)&lt;=VAL_SERIAL)*1000000+48*1000+33))</f>
        <v/>
      </c>
      <c r="FL59" s="39">
        <f>IF(N('Dvd Calendar'!$AL$528)=0,"",IF(('Dvd Calendar'!$AL$528&gt;=GRID_FROM)*('Dvd Calendar'!$AL$528&lt;=GRID_TO)*((('Dvd Calendar'!$AL$528&lt;=VAL_DATE)+(COUNTIF('Dvd Calendar'!$E$535:$AR$535,'Dvd Calendar'!$AL$528)=0))&gt;0)=0,"",'Dvd Calendar'!$AL$528*1000000000+ISNUMBER('Dvd Calendar'!$AL$531)*100000000+('Dvd Calendar'!$AL$533=SPECIAL_LBL)*10000000+(N('Dvd Calendar'!$AL$527)&gt;0)*(N('Dvd Calendar'!$AL$527)&lt;=VAL_SERIAL)*1000000+48*1000+34))</f>
        <v/>
      </c>
      <c r="FM59" s="39">
        <f>IF(N('Dvd Calendar'!$AM$528)=0,"",IF(('Dvd Calendar'!$AM$528&gt;=GRID_FROM)*('Dvd Calendar'!$AM$528&lt;=GRID_TO)*((('Dvd Calendar'!$AM$528&lt;=VAL_DATE)+(COUNTIF('Dvd Calendar'!$E$535:$AR$535,'Dvd Calendar'!$AM$528)=0))&gt;0)=0,"",'Dvd Calendar'!$AM$528*1000000000+ISNUMBER('Dvd Calendar'!$AM$531)*100000000+('Dvd Calendar'!$AM$533=SPECIAL_LBL)*10000000+(N('Dvd Calendar'!$AM$527)&gt;0)*(N('Dvd Calendar'!$AM$527)&lt;=VAL_SERIAL)*1000000+48*1000+35))</f>
        <v/>
      </c>
      <c r="FN59" s="39">
        <f>IF(N('Dvd Calendar'!$AN$528)=0,"",IF(('Dvd Calendar'!$AN$528&gt;=GRID_FROM)*('Dvd Calendar'!$AN$528&lt;=GRID_TO)*((('Dvd Calendar'!$AN$528&lt;=VAL_DATE)+(COUNTIF('Dvd Calendar'!$E$535:$AR$535,'Dvd Calendar'!$AN$528)=0))&gt;0)=0,"",'Dvd Calendar'!$AN$528*1000000000+ISNUMBER('Dvd Calendar'!$AN$531)*100000000+('Dvd Calendar'!$AN$533=SPECIAL_LBL)*10000000+(N('Dvd Calendar'!$AN$527)&gt;0)*(N('Dvd Calendar'!$AN$527)&lt;=VAL_SERIAL)*1000000+48*1000+36))</f>
        <v/>
      </c>
      <c r="FO59" s="39">
        <f>IF(N('Dvd Calendar'!$AO$528)=0,"",IF(('Dvd Calendar'!$AO$528&gt;=GRID_FROM)*('Dvd Calendar'!$AO$528&lt;=GRID_TO)*((('Dvd Calendar'!$AO$528&lt;=VAL_DATE)+(COUNTIF('Dvd Calendar'!$E$535:$AR$535,'Dvd Calendar'!$AO$528)=0))&gt;0)=0,"",'Dvd Calendar'!$AO$528*1000000000+ISNUMBER('Dvd Calendar'!$AO$531)*100000000+('Dvd Calendar'!$AO$533=SPECIAL_LBL)*10000000+(N('Dvd Calendar'!$AO$527)&gt;0)*(N('Dvd Calendar'!$AO$527)&lt;=VAL_SERIAL)*1000000+48*1000+37))</f>
        <v/>
      </c>
      <c r="FP59" s="39">
        <f>IF(N('Dvd Calendar'!$AP$528)=0,"",IF(('Dvd Calendar'!$AP$528&gt;=GRID_FROM)*('Dvd Calendar'!$AP$528&lt;=GRID_TO)*((('Dvd Calendar'!$AP$528&lt;=VAL_DATE)+(COUNTIF('Dvd Calendar'!$E$535:$AR$535,'Dvd Calendar'!$AP$528)=0))&gt;0)=0,"",'Dvd Calendar'!$AP$528*1000000000+ISNUMBER('Dvd Calendar'!$AP$531)*100000000+('Dvd Calendar'!$AP$533=SPECIAL_LBL)*10000000+(N('Dvd Calendar'!$AP$527)&gt;0)*(N('Dvd Calendar'!$AP$527)&lt;=VAL_SERIAL)*1000000+48*1000+38))</f>
        <v/>
      </c>
      <c r="FQ59" s="39">
        <f>IF(N('Dvd Calendar'!$AQ$528)=0,"",IF(('Dvd Calendar'!$AQ$528&gt;=GRID_FROM)*('Dvd Calendar'!$AQ$528&lt;=GRID_TO)*((('Dvd Calendar'!$AQ$528&lt;=VAL_DATE)+(COUNTIF('Dvd Calendar'!$E$535:$AR$535,'Dvd Calendar'!$AQ$528)=0))&gt;0)=0,"",'Dvd Calendar'!$AQ$528*1000000000+ISNUMBER('Dvd Calendar'!$AQ$531)*100000000+('Dvd Calendar'!$AQ$533=SPECIAL_LBL)*10000000+(N('Dvd Calendar'!$AQ$527)&gt;0)*(N('Dvd Calendar'!$AQ$527)&lt;=VAL_SERIAL)*1000000+48*1000+39))</f>
        <v/>
      </c>
      <c r="FR59" s="39">
        <f>IF(N('Dvd Calendar'!$AR$528)=0,"",IF(('Dvd Calendar'!$AR$528&gt;=GRID_FROM)*('Dvd Calendar'!$AR$528&lt;=GRID_TO)*((('Dvd Calendar'!$AR$528&lt;=VAL_DATE)+(COUNTIF('Dvd Calendar'!$E$535:$AR$535,'Dvd Calendar'!$AR$528)=0))&gt;0)=0,"",'Dvd Calendar'!$AR$528*1000000000+ISNUMBER('Dvd Calendar'!$AR$531)*100000000+('Dvd Calendar'!$AR$533=SPECIAL_LBL)*10000000+(N('Dvd Calendar'!$AR$527)&gt;0)*(N('Dvd Calendar'!$AR$527)&lt;=VAL_SERIAL)*1000000+48*1000+40))</f>
        <v/>
      </c>
      <c r="FS59" s="39">
        <f>IF(N('Dvd Calendar'!$E$535)=0,"",IF(('Dvd Calendar'!$E$535&gt;=GRID_FROM)*('Dvd Calendar'!$E$535&lt;=GRID_TO)*('Dvd Calendar'!$E$535&gt;VAL_DATE)=0,"",'Dvd Calendar'!$E$535*1000000000+ISNUMBER('Dvd Calendar'!$E$536)*100000000+0*10000000+(N('Dvd Calendar'!$E$534)&gt;0)*(N('Dvd Calendar'!$E$534)&lt;=VAL_SERIAL)*1000000+48*1000+41))</f>
        <v/>
      </c>
      <c r="FT59" s="39">
        <f>IF(N('Dvd Calendar'!$F$535)=0,"",IF(('Dvd Calendar'!$F$535&gt;=GRID_FROM)*('Dvd Calendar'!$F$535&lt;=GRID_TO)*('Dvd Calendar'!$F$535&gt;VAL_DATE)=0,"",'Dvd Calendar'!$F$535*1000000000+ISNUMBER('Dvd Calendar'!$F$536)*100000000+0*10000000+(N('Dvd Calendar'!$F$534)&gt;0)*(N('Dvd Calendar'!$F$534)&lt;=VAL_SERIAL)*1000000+48*1000+42))</f>
        <v/>
      </c>
      <c r="FU59" s="39">
        <f>IF(N('Dvd Calendar'!$G$535)=0,"",IF(('Dvd Calendar'!$G$535&gt;=GRID_FROM)*('Dvd Calendar'!$G$535&lt;=GRID_TO)*('Dvd Calendar'!$G$535&gt;VAL_DATE)=0,"",'Dvd Calendar'!$G$535*1000000000+ISNUMBER('Dvd Calendar'!$G$536)*100000000+0*10000000+(N('Dvd Calendar'!$G$534)&gt;0)*(N('Dvd Calendar'!$G$534)&lt;=VAL_SERIAL)*1000000+48*1000+43))</f>
        <v/>
      </c>
      <c r="FV59" s="39">
        <f>IF(N('Dvd Calendar'!$H$535)=0,"",IF(('Dvd Calendar'!$H$535&gt;=GRID_FROM)*('Dvd Calendar'!$H$535&lt;=GRID_TO)*('Dvd Calendar'!$H$535&gt;VAL_DATE)=0,"",'Dvd Calendar'!$H$535*1000000000+ISNUMBER('Dvd Calendar'!$H$536)*100000000+0*10000000+(N('Dvd Calendar'!$H$534)&gt;0)*(N('Dvd Calendar'!$H$534)&lt;=VAL_SERIAL)*1000000+48*1000+44))</f>
        <v/>
      </c>
      <c r="FW59" s="39">
        <f>IF(N('Dvd Calendar'!$I$535)=0,"",IF(('Dvd Calendar'!$I$535&gt;=GRID_FROM)*('Dvd Calendar'!$I$535&lt;=GRID_TO)*('Dvd Calendar'!$I$535&gt;VAL_DATE)=0,"",'Dvd Calendar'!$I$535*1000000000+ISNUMBER('Dvd Calendar'!$I$536)*100000000+0*10000000+(N('Dvd Calendar'!$I$534)&gt;0)*(N('Dvd Calendar'!$I$534)&lt;=VAL_SERIAL)*1000000+48*1000+45))</f>
        <v/>
      </c>
      <c r="FX59" s="39">
        <f>IF(N('Dvd Calendar'!$J$535)=0,"",IF(('Dvd Calendar'!$J$535&gt;=GRID_FROM)*('Dvd Calendar'!$J$535&lt;=GRID_TO)*('Dvd Calendar'!$J$535&gt;VAL_DATE)=0,"",'Dvd Calendar'!$J$535*1000000000+ISNUMBER('Dvd Calendar'!$J$536)*100000000+0*10000000+(N('Dvd Calendar'!$J$534)&gt;0)*(N('Dvd Calendar'!$J$534)&lt;=VAL_SERIAL)*1000000+48*1000+46))</f>
        <v/>
      </c>
      <c r="FY59" s="39">
        <f>IF(N('Dvd Calendar'!$K$535)=0,"",IF(('Dvd Calendar'!$K$535&gt;=GRID_FROM)*('Dvd Calendar'!$K$535&lt;=GRID_TO)*('Dvd Calendar'!$K$535&gt;VAL_DATE)=0,"",'Dvd Calendar'!$K$535*1000000000+ISNUMBER('Dvd Calendar'!$K$536)*100000000+0*10000000+(N('Dvd Calendar'!$K$534)&gt;0)*(N('Dvd Calendar'!$K$534)&lt;=VAL_SERIAL)*1000000+48*1000+47))</f>
        <v/>
      </c>
      <c r="FZ59" s="39">
        <f>IF(N('Dvd Calendar'!$L$535)=0,"",IF(('Dvd Calendar'!$L$535&gt;=GRID_FROM)*('Dvd Calendar'!$L$535&lt;=GRID_TO)*('Dvd Calendar'!$L$535&gt;VAL_DATE)=0,"",'Dvd Calendar'!$L$535*1000000000+ISNUMBER('Dvd Calendar'!$L$536)*100000000+0*10000000+(N('Dvd Calendar'!$L$534)&gt;0)*(N('Dvd Calendar'!$L$534)&lt;=VAL_SERIAL)*1000000+48*1000+48))</f>
        <v/>
      </c>
      <c r="GA59" s="39">
        <f>IF(N('Dvd Calendar'!$M$535)=0,"",IF(('Dvd Calendar'!$M$535&gt;=GRID_FROM)*('Dvd Calendar'!$M$535&lt;=GRID_TO)*('Dvd Calendar'!$M$535&gt;VAL_DATE)=0,"",'Dvd Calendar'!$M$535*1000000000+ISNUMBER('Dvd Calendar'!$M$536)*100000000+0*10000000+(N('Dvd Calendar'!$M$534)&gt;0)*(N('Dvd Calendar'!$M$534)&lt;=VAL_SERIAL)*1000000+48*1000+49))</f>
        <v/>
      </c>
      <c r="GB59" s="39">
        <f>IF(N('Dvd Calendar'!$N$535)=0,"",IF(('Dvd Calendar'!$N$535&gt;=GRID_FROM)*('Dvd Calendar'!$N$535&lt;=GRID_TO)*('Dvd Calendar'!$N$535&gt;VAL_DATE)=0,"",'Dvd Calendar'!$N$535*1000000000+ISNUMBER('Dvd Calendar'!$N$536)*100000000+0*10000000+(N('Dvd Calendar'!$N$534)&gt;0)*(N('Dvd Calendar'!$N$534)&lt;=VAL_SERIAL)*1000000+48*1000+50))</f>
        <v/>
      </c>
      <c r="GC59" s="39">
        <f>IF(N('Dvd Calendar'!$O$535)=0,"",IF(('Dvd Calendar'!$O$535&gt;=GRID_FROM)*('Dvd Calendar'!$O$535&lt;=GRID_TO)*('Dvd Calendar'!$O$535&gt;VAL_DATE)=0,"",'Dvd Calendar'!$O$535*1000000000+ISNUMBER('Dvd Calendar'!$O$536)*100000000+0*10000000+(N('Dvd Calendar'!$O$534)&gt;0)*(N('Dvd Calendar'!$O$534)&lt;=VAL_SERIAL)*1000000+48*1000+51))</f>
        <v/>
      </c>
      <c r="GD59" s="39">
        <f>IF(N('Dvd Calendar'!$P$535)=0,"",IF(('Dvd Calendar'!$P$535&gt;=GRID_FROM)*('Dvd Calendar'!$P$535&lt;=GRID_TO)*('Dvd Calendar'!$P$535&gt;VAL_DATE)=0,"",'Dvd Calendar'!$P$535*1000000000+ISNUMBER('Dvd Calendar'!$P$536)*100000000+0*10000000+(N('Dvd Calendar'!$P$534)&gt;0)*(N('Dvd Calendar'!$P$534)&lt;=VAL_SERIAL)*1000000+48*1000+52))</f>
        <v/>
      </c>
      <c r="GE59" s="39">
        <f>IF(N('Dvd Calendar'!$Q$535)=0,"",IF(('Dvd Calendar'!$Q$535&gt;=GRID_FROM)*('Dvd Calendar'!$Q$535&lt;=GRID_TO)*('Dvd Calendar'!$Q$535&gt;VAL_DATE)=0,"",'Dvd Calendar'!$Q$535*1000000000+ISNUMBER('Dvd Calendar'!$Q$536)*100000000+0*10000000+(N('Dvd Calendar'!$Q$534)&gt;0)*(N('Dvd Calendar'!$Q$534)&lt;=VAL_SERIAL)*1000000+48*1000+53))</f>
        <v/>
      </c>
      <c r="GF59" s="39">
        <f>IF(N('Dvd Calendar'!$R$535)=0,"",IF(('Dvd Calendar'!$R$535&gt;=GRID_FROM)*('Dvd Calendar'!$R$535&lt;=GRID_TO)*('Dvd Calendar'!$R$535&gt;VAL_DATE)=0,"",'Dvd Calendar'!$R$535*1000000000+ISNUMBER('Dvd Calendar'!$R$536)*100000000+0*10000000+(N('Dvd Calendar'!$R$534)&gt;0)*(N('Dvd Calendar'!$R$534)&lt;=VAL_SERIAL)*1000000+48*1000+54))</f>
        <v/>
      </c>
      <c r="GG59" s="39">
        <f>IF(N('Dvd Calendar'!$S$535)=0,"",IF(('Dvd Calendar'!$S$535&gt;=GRID_FROM)*('Dvd Calendar'!$S$535&lt;=GRID_TO)*('Dvd Calendar'!$S$535&gt;VAL_DATE)=0,"",'Dvd Calendar'!$S$535*1000000000+ISNUMBER('Dvd Calendar'!$S$536)*100000000+0*10000000+(N('Dvd Calendar'!$S$534)&gt;0)*(N('Dvd Calendar'!$S$534)&lt;=VAL_SERIAL)*1000000+48*1000+55))</f>
        <v/>
      </c>
      <c r="GH59" s="39">
        <f>IF(N('Dvd Calendar'!$T$535)=0,"",IF(('Dvd Calendar'!$T$535&gt;=GRID_FROM)*('Dvd Calendar'!$T$535&lt;=GRID_TO)*('Dvd Calendar'!$T$535&gt;VAL_DATE)=0,"",'Dvd Calendar'!$T$535*1000000000+ISNUMBER('Dvd Calendar'!$T$536)*100000000+0*10000000+(N('Dvd Calendar'!$T$534)&gt;0)*(N('Dvd Calendar'!$T$534)&lt;=VAL_SERIAL)*1000000+48*1000+56))</f>
        <v/>
      </c>
      <c r="GI59" s="39">
        <f>IF(N('Dvd Calendar'!$U$535)=0,"",IF(('Dvd Calendar'!$U$535&gt;=GRID_FROM)*('Dvd Calendar'!$U$535&lt;=GRID_TO)*('Dvd Calendar'!$U$535&gt;VAL_DATE)=0,"",'Dvd Calendar'!$U$535*1000000000+ISNUMBER('Dvd Calendar'!$U$536)*100000000+0*10000000+(N('Dvd Calendar'!$U$534)&gt;0)*(N('Dvd Calendar'!$U$534)&lt;=VAL_SERIAL)*1000000+48*1000+57))</f>
        <v/>
      </c>
      <c r="GJ59" s="39">
        <f>IF(N('Dvd Calendar'!$V$535)=0,"",IF(('Dvd Calendar'!$V$535&gt;=GRID_FROM)*('Dvd Calendar'!$V$535&lt;=GRID_TO)*('Dvd Calendar'!$V$535&gt;VAL_DATE)=0,"",'Dvd Calendar'!$V$535*1000000000+ISNUMBER('Dvd Calendar'!$V$536)*100000000+0*10000000+(N('Dvd Calendar'!$V$534)&gt;0)*(N('Dvd Calendar'!$V$534)&lt;=VAL_SERIAL)*1000000+48*1000+58))</f>
        <v/>
      </c>
      <c r="GK59" s="39">
        <f>IF(N('Dvd Calendar'!$W$535)=0,"",IF(('Dvd Calendar'!$W$535&gt;=GRID_FROM)*('Dvd Calendar'!$W$535&lt;=GRID_TO)*('Dvd Calendar'!$W$535&gt;VAL_DATE)=0,"",'Dvd Calendar'!$W$535*1000000000+ISNUMBER('Dvd Calendar'!$W$536)*100000000+0*10000000+(N('Dvd Calendar'!$W$534)&gt;0)*(N('Dvd Calendar'!$W$534)&lt;=VAL_SERIAL)*1000000+48*1000+59))</f>
        <v/>
      </c>
      <c r="GL59" s="39">
        <f>IF(N('Dvd Calendar'!$X$535)=0,"",IF(('Dvd Calendar'!$X$535&gt;=GRID_FROM)*('Dvd Calendar'!$X$535&lt;=GRID_TO)*('Dvd Calendar'!$X$535&gt;VAL_DATE)=0,"",'Dvd Calendar'!$X$535*1000000000+ISNUMBER('Dvd Calendar'!$X$536)*100000000+0*10000000+(N('Dvd Calendar'!$X$534)&gt;0)*(N('Dvd Calendar'!$X$534)&lt;=VAL_SERIAL)*1000000+48*1000+60))</f>
        <v/>
      </c>
      <c r="GM59" s="39">
        <f>IF(N('Dvd Calendar'!$Y$535)=0,"",IF(('Dvd Calendar'!$Y$535&gt;=GRID_FROM)*('Dvd Calendar'!$Y$535&lt;=GRID_TO)*('Dvd Calendar'!$Y$535&gt;VAL_DATE)=0,"",'Dvd Calendar'!$Y$535*1000000000+ISNUMBER('Dvd Calendar'!$Y$536)*100000000+0*10000000+(N('Dvd Calendar'!$Y$534)&gt;0)*(N('Dvd Calendar'!$Y$534)&lt;=VAL_SERIAL)*1000000+48*1000+61))</f>
        <v/>
      </c>
      <c r="GN59" s="39">
        <f>IF(N('Dvd Calendar'!$Z$535)=0,"",IF(('Dvd Calendar'!$Z$535&gt;=GRID_FROM)*('Dvd Calendar'!$Z$535&lt;=GRID_TO)*('Dvd Calendar'!$Z$535&gt;VAL_DATE)=0,"",'Dvd Calendar'!$Z$535*1000000000+ISNUMBER('Dvd Calendar'!$Z$536)*100000000+0*10000000+(N('Dvd Calendar'!$Z$534)&gt;0)*(N('Dvd Calendar'!$Z$534)&lt;=VAL_SERIAL)*1000000+48*1000+62))</f>
        <v/>
      </c>
      <c r="GO59" s="39">
        <f>IF(N('Dvd Calendar'!$AA$535)=0,"",IF(('Dvd Calendar'!$AA$535&gt;=GRID_FROM)*('Dvd Calendar'!$AA$535&lt;=GRID_TO)*('Dvd Calendar'!$AA$535&gt;VAL_DATE)=0,"",'Dvd Calendar'!$AA$535*1000000000+ISNUMBER('Dvd Calendar'!$AA$536)*100000000+0*10000000+(N('Dvd Calendar'!$AA$534)&gt;0)*(N('Dvd Calendar'!$AA$534)&lt;=VAL_SERIAL)*1000000+48*1000+63))</f>
        <v/>
      </c>
      <c r="GP59" s="39">
        <f>IF(N('Dvd Calendar'!$AB$535)=0,"",IF(('Dvd Calendar'!$AB$535&gt;=GRID_FROM)*('Dvd Calendar'!$AB$535&lt;=GRID_TO)*('Dvd Calendar'!$AB$535&gt;VAL_DATE)=0,"",'Dvd Calendar'!$AB$535*1000000000+ISNUMBER('Dvd Calendar'!$AB$536)*100000000+0*10000000+(N('Dvd Calendar'!$AB$534)&gt;0)*(N('Dvd Calendar'!$AB$534)&lt;=VAL_SERIAL)*1000000+48*1000+64))</f>
        <v/>
      </c>
      <c r="GQ59" s="39">
        <f>IF(N('Dvd Calendar'!$AC$535)=0,"",IF(('Dvd Calendar'!$AC$535&gt;=GRID_FROM)*('Dvd Calendar'!$AC$535&lt;=GRID_TO)*('Dvd Calendar'!$AC$535&gt;VAL_DATE)=0,"",'Dvd Calendar'!$AC$535*1000000000+ISNUMBER('Dvd Calendar'!$AC$536)*100000000+0*10000000+(N('Dvd Calendar'!$AC$534)&gt;0)*(N('Dvd Calendar'!$AC$534)&lt;=VAL_SERIAL)*1000000+48*1000+65))</f>
        <v/>
      </c>
    </row>
    <row r="60">
      <c r="B60" s="2">
        <f>IF(HSI!$C$55="","",HSI!$C$55)</f>
        <v/>
      </c>
      <c r="C60" s="110">
        <f>IF(EE60="","",IF(ISNUMBER('Dvd Calendar'!$E$542)=FALSE,"",IF((('Dvd Calendar'!$E$544=TYPE1)*(TYPE1&lt;&gt;"")+('Dvd Calendar'!$E$544=TYPE2)*(TYPE2&lt;&gt;"")+('Dvd Calendar'!$E$544=TYPE3)*(TYPE3&lt;&gt;"")+('Dvd Calendar'!$E$544=TYPE4)*(TYPE4&lt;&gt;"")+('Dvd Calendar'!$E$544=SPECIAL_LBL)*(INC_SPECIALS="Y"))=0,"",'Dvd Calendar'!$E$542)))</f>
        <v/>
      </c>
      <c r="D60" s="110">
        <f>IF(EF60="","",IF(ISNUMBER('Dvd Calendar'!$F$542)=FALSE,"",IF((('Dvd Calendar'!$F$544=TYPE1)*(TYPE1&lt;&gt;"")+('Dvd Calendar'!$F$544=TYPE2)*(TYPE2&lt;&gt;"")+('Dvd Calendar'!$F$544=TYPE3)*(TYPE3&lt;&gt;"")+('Dvd Calendar'!$F$544=TYPE4)*(TYPE4&lt;&gt;"")+('Dvd Calendar'!$F$544=SPECIAL_LBL)*(INC_SPECIALS="Y"))=0,"",'Dvd Calendar'!$F$542)))</f>
        <v/>
      </c>
      <c r="E60" s="110">
        <f>IF(EG60="","",IF(ISNUMBER('Dvd Calendar'!$G$542)=FALSE,"",IF((('Dvd Calendar'!$G$544=TYPE1)*(TYPE1&lt;&gt;"")+('Dvd Calendar'!$G$544=TYPE2)*(TYPE2&lt;&gt;"")+('Dvd Calendar'!$G$544=TYPE3)*(TYPE3&lt;&gt;"")+('Dvd Calendar'!$G$544=TYPE4)*(TYPE4&lt;&gt;"")+('Dvd Calendar'!$G$544=SPECIAL_LBL)*(INC_SPECIALS="Y"))=0,"",'Dvd Calendar'!$G$542)))</f>
        <v/>
      </c>
      <c r="F60" s="110">
        <f>IF(EH60="","",IF(ISNUMBER('Dvd Calendar'!$H$542)=FALSE,"",IF((('Dvd Calendar'!$H$544=TYPE1)*(TYPE1&lt;&gt;"")+('Dvd Calendar'!$H$544=TYPE2)*(TYPE2&lt;&gt;"")+('Dvd Calendar'!$H$544=TYPE3)*(TYPE3&lt;&gt;"")+('Dvd Calendar'!$H$544=TYPE4)*(TYPE4&lt;&gt;"")+('Dvd Calendar'!$H$544=SPECIAL_LBL)*(INC_SPECIALS="Y"))=0,"",'Dvd Calendar'!$H$542)))</f>
        <v/>
      </c>
      <c r="G60" s="110">
        <f>IF(EI60="","",IF(ISNUMBER('Dvd Calendar'!$I$542)=FALSE,"",IF((('Dvd Calendar'!$I$544=TYPE1)*(TYPE1&lt;&gt;"")+('Dvd Calendar'!$I$544=TYPE2)*(TYPE2&lt;&gt;"")+('Dvd Calendar'!$I$544=TYPE3)*(TYPE3&lt;&gt;"")+('Dvd Calendar'!$I$544=TYPE4)*(TYPE4&lt;&gt;"")+('Dvd Calendar'!$I$544=SPECIAL_LBL)*(INC_SPECIALS="Y"))=0,"",'Dvd Calendar'!$I$542)))</f>
        <v/>
      </c>
      <c r="H60" s="110">
        <f>IF(EJ60="","",IF(ISNUMBER('Dvd Calendar'!$J$542)=FALSE,"",IF((('Dvd Calendar'!$J$544=TYPE1)*(TYPE1&lt;&gt;"")+('Dvd Calendar'!$J$544=TYPE2)*(TYPE2&lt;&gt;"")+('Dvd Calendar'!$J$544=TYPE3)*(TYPE3&lt;&gt;"")+('Dvd Calendar'!$J$544=TYPE4)*(TYPE4&lt;&gt;"")+('Dvd Calendar'!$J$544=SPECIAL_LBL)*(INC_SPECIALS="Y"))=0,"",'Dvd Calendar'!$J$542)))</f>
        <v/>
      </c>
      <c r="I60" s="110">
        <f>IF(EK60="","",IF(ISNUMBER('Dvd Calendar'!$K$542)=FALSE,"",IF((('Dvd Calendar'!$K$544=TYPE1)*(TYPE1&lt;&gt;"")+('Dvd Calendar'!$K$544=TYPE2)*(TYPE2&lt;&gt;"")+('Dvd Calendar'!$K$544=TYPE3)*(TYPE3&lt;&gt;"")+('Dvd Calendar'!$K$544=TYPE4)*(TYPE4&lt;&gt;"")+('Dvd Calendar'!$K$544=SPECIAL_LBL)*(INC_SPECIALS="Y"))=0,"",'Dvd Calendar'!$K$542)))</f>
        <v/>
      </c>
      <c r="J60" s="110">
        <f>IF(EL60="","",IF(ISNUMBER('Dvd Calendar'!$L$542)=FALSE,"",IF((('Dvd Calendar'!$L$544=TYPE1)*(TYPE1&lt;&gt;"")+('Dvd Calendar'!$L$544=TYPE2)*(TYPE2&lt;&gt;"")+('Dvd Calendar'!$L$544=TYPE3)*(TYPE3&lt;&gt;"")+('Dvd Calendar'!$L$544=TYPE4)*(TYPE4&lt;&gt;"")+('Dvd Calendar'!$L$544=SPECIAL_LBL)*(INC_SPECIALS="Y"))=0,"",'Dvd Calendar'!$L$542)))</f>
        <v/>
      </c>
      <c r="K60" s="110">
        <f>IF(EM60="","",IF(ISNUMBER('Dvd Calendar'!$M$542)=FALSE,"",IF((('Dvd Calendar'!$M$544=TYPE1)*(TYPE1&lt;&gt;"")+('Dvd Calendar'!$M$544=TYPE2)*(TYPE2&lt;&gt;"")+('Dvd Calendar'!$M$544=TYPE3)*(TYPE3&lt;&gt;"")+('Dvd Calendar'!$M$544=TYPE4)*(TYPE4&lt;&gt;"")+('Dvd Calendar'!$M$544=SPECIAL_LBL)*(INC_SPECIALS="Y"))=0,"",'Dvd Calendar'!$M$542)))</f>
        <v/>
      </c>
      <c r="L60" s="110">
        <f>IF(EN60="","",IF(ISNUMBER('Dvd Calendar'!$N$542)=FALSE,"",IF((('Dvd Calendar'!$N$544=TYPE1)*(TYPE1&lt;&gt;"")+('Dvd Calendar'!$N$544=TYPE2)*(TYPE2&lt;&gt;"")+('Dvd Calendar'!$N$544=TYPE3)*(TYPE3&lt;&gt;"")+('Dvd Calendar'!$N$544=TYPE4)*(TYPE4&lt;&gt;"")+('Dvd Calendar'!$N$544=SPECIAL_LBL)*(INC_SPECIALS="Y"))=0,"",'Dvd Calendar'!$N$542)))</f>
        <v/>
      </c>
      <c r="M60" s="110">
        <f>IF(EO60="","",IF(ISNUMBER('Dvd Calendar'!$O$542)=FALSE,"",IF((('Dvd Calendar'!$O$544=TYPE1)*(TYPE1&lt;&gt;"")+('Dvd Calendar'!$O$544=TYPE2)*(TYPE2&lt;&gt;"")+('Dvd Calendar'!$O$544=TYPE3)*(TYPE3&lt;&gt;"")+('Dvd Calendar'!$O$544=TYPE4)*(TYPE4&lt;&gt;"")+('Dvd Calendar'!$O$544=SPECIAL_LBL)*(INC_SPECIALS="Y"))=0,"",'Dvd Calendar'!$O$542)))</f>
        <v/>
      </c>
      <c r="N60" s="110">
        <f>IF(EP60="","",IF(ISNUMBER('Dvd Calendar'!$P$542)=FALSE,"",IF((('Dvd Calendar'!$P$544=TYPE1)*(TYPE1&lt;&gt;"")+('Dvd Calendar'!$P$544=TYPE2)*(TYPE2&lt;&gt;"")+('Dvd Calendar'!$P$544=TYPE3)*(TYPE3&lt;&gt;"")+('Dvd Calendar'!$P$544=TYPE4)*(TYPE4&lt;&gt;"")+('Dvd Calendar'!$P$544=SPECIAL_LBL)*(INC_SPECIALS="Y"))=0,"",'Dvd Calendar'!$P$542)))</f>
        <v/>
      </c>
      <c r="O60" s="110">
        <f>IF(EQ60="","",IF(ISNUMBER('Dvd Calendar'!$Q$542)=FALSE,"",IF((('Dvd Calendar'!$Q$544=TYPE1)*(TYPE1&lt;&gt;"")+('Dvd Calendar'!$Q$544=TYPE2)*(TYPE2&lt;&gt;"")+('Dvd Calendar'!$Q$544=TYPE3)*(TYPE3&lt;&gt;"")+('Dvd Calendar'!$Q$544=TYPE4)*(TYPE4&lt;&gt;"")+('Dvd Calendar'!$Q$544=SPECIAL_LBL)*(INC_SPECIALS="Y"))=0,"",'Dvd Calendar'!$Q$542)))</f>
        <v/>
      </c>
      <c r="P60" s="110">
        <f>IF(ER60="","",IF(ISNUMBER('Dvd Calendar'!$R$542)=FALSE,"",IF((('Dvd Calendar'!$R$544=TYPE1)*(TYPE1&lt;&gt;"")+('Dvd Calendar'!$R$544=TYPE2)*(TYPE2&lt;&gt;"")+('Dvd Calendar'!$R$544=TYPE3)*(TYPE3&lt;&gt;"")+('Dvd Calendar'!$R$544=TYPE4)*(TYPE4&lt;&gt;"")+('Dvd Calendar'!$R$544=SPECIAL_LBL)*(INC_SPECIALS="Y"))=0,"",'Dvd Calendar'!$R$542)))</f>
        <v/>
      </c>
      <c r="Q60" s="110">
        <f>IF(ES60="","",IF(ISNUMBER('Dvd Calendar'!$S$542)=FALSE,"",IF((('Dvd Calendar'!$S$544=TYPE1)*(TYPE1&lt;&gt;"")+('Dvd Calendar'!$S$544=TYPE2)*(TYPE2&lt;&gt;"")+('Dvd Calendar'!$S$544=TYPE3)*(TYPE3&lt;&gt;"")+('Dvd Calendar'!$S$544=TYPE4)*(TYPE4&lt;&gt;"")+('Dvd Calendar'!$S$544=SPECIAL_LBL)*(INC_SPECIALS="Y"))=0,"",'Dvd Calendar'!$S$542)))</f>
        <v/>
      </c>
      <c r="R60" s="110">
        <f>IF(ET60="","",IF(ISNUMBER('Dvd Calendar'!$T$542)=FALSE,"",IF((('Dvd Calendar'!$T$544=TYPE1)*(TYPE1&lt;&gt;"")+('Dvd Calendar'!$T$544=TYPE2)*(TYPE2&lt;&gt;"")+('Dvd Calendar'!$T$544=TYPE3)*(TYPE3&lt;&gt;"")+('Dvd Calendar'!$T$544=TYPE4)*(TYPE4&lt;&gt;"")+('Dvd Calendar'!$T$544=SPECIAL_LBL)*(INC_SPECIALS="Y"))=0,"",'Dvd Calendar'!$T$542)))</f>
        <v/>
      </c>
      <c r="S60" s="110">
        <f>IF(EU60="","",IF(ISNUMBER('Dvd Calendar'!$U$542)=FALSE,"",IF((('Dvd Calendar'!$U$544=TYPE1)*(TYPE1&lt;&gt;"")+('Dvd Calendar'!$U$544=TYPE2)*(TYPE2&lt;&gt;"")+('Dvd Calendar'!$U$544=TYPE3)*(TYPE3&lt;&gt;"")+('Dvd Calendar'!$U$544=TYPE4)*(TYPE4&lt;&gt;"")+('Dvd Calendar'!$U$544=SPECIAL_LBL)*(INC_SPECIALS="Y"))=0,"",'Dvd Calendar'!$U$542)))</f>
        <v/>
      </c>
      <c r="T60" s="110">
        <f>IF(EV60="","",IF(ISNUMBER('Dvd Calendar'!$V$542)=FALSE,"",IF((('Dvd Calendar'!$V$544=TYPE1)*(TYPE1&lt;&gt;"")+('Dvd Calendar'!$V$544=TYPE2)*(TYPE2&lt;&gt;"")+('Dvd Calendar'!$V$544=TYPE3)*(TYPE3&lt;&gt;"")+('Dvd Calendar'!$V$544=TYPE4)*(TYPE4&lt;&gt;"")+('Dvd Calendar'!$V$544=SPECIAL_LBL)*(INC_SPECIALS="Y"))=0,"",'Dvd Calendar'!$V$542)))</f>
        <v/>
      </c>
      <c r="U60" s="110">
        <f>IF(EW60="","",IF(ISNUMBER('Dvd Calendar'!$W$542)=FALSE,"",IF((('Dvd Calendar'!$W$544=TYPE1)*(TYPE1&lt;&gt;"")+('Dvd Calendar'!$W$544=TYPE2)*(TYPE2&lt;&gt;"")+('Dvd Calendar'!$W$544=TYPE3)*(TYPE3&lt;&gt;"")+('Dvd Calendar'!$W$544=TYPE4)*(TYPE4&lt;&gt;"")+('Dvd Calendar'!$W$544=SPECIAL_LBL)*(INC_SPECIALS="Y"))=0,"",'Dvd Calendar'!$W$542)))</f>
        <v/>
      </c>
      <c r="V60" s="110">
        <f>IF(EX60="","",IF(ISNUMBER('Dvd Calendar'!$X$542)=FALSE,"",IF((('Dvd Calendar'!$X$544=TYPE1)*(TYPE1&lt;&gt;"")+('Dvd Calendar'!$X$544=TYPE2)*(TYPE2&lt;&gt;"")+('Dvd Calendar'!$X$544=TYPE3)*(TYPE3&lt;&gt;"")+('Dvd Calendar'!$X$544=TYPE4)*(TYPE4&lt;&gt;"")+('Dvd Calendar'!$X$544=SPECIAL_LBL)*(INC_SPECIALS="Y"))=0,"",'Dvd Calendar'!$X$542)))</f>
        <v/>
      </c>
      <c r="W60" s="110">
        <f>IF(EY60="","",IF(ISNUMBER('Dvd Calendar'!$Y$542)=FALSE,"",IF((('Dvd Calendar'!$Y$544=TYPE1)*(TYPE1&lt;&gt;"")+('Dvd Calendar'!$Y$544=TYPE2)*(TYPE2&lt;&gt;"")+('Dvd Calendar'!$Y$544=TYPE3)*(TYPE3&lt;&gt;"")+('Dvd Calendar'!$Y$544=TYPE4)*(TYPE4&lt;&gt;"")+('Dvd Calendar'!$Y$544=SPECIAL_LBL)*(INC_SPECIALS="Y"))=0,"",'Dvd Calendar'!$Y$542)))</f>
        <v/>
      </c>
      <c r="X60" s="110">
        <f>IF(EZ60="","",IF(ISNUMBER('Dvd Calendar'!$Z$542)=FALSE,"",IF((('Dvd Calendar'!$Z$544=TYPE1)*(TYPE1&lt;&gt;"")+('Dvd Calendar'!$Z$544=TYPE2)*(TYPE2&lt;&gt;"")+('Dvd Calendar'!$Z$544=TYPE3)*(TYPE3&lt;&gt;"")+('Dvd Calendar'!$Z$544=TYPE4)*(TYPE4&lt;&gt;"")+('Dvd Calendar'!$Z$544=SPECIAL_LBL)*(INC_SPECIALS="Y"))=0,"",'Dvd Calendar'!$Z$542)))</f>
        <v/>
      </c>
      <c r="Y60" s="110">
        <f>IF(FA60="","",IF(ISNUMBER('Dvd Calendar'!$AA$542)=FALSE,"",IF((('Dvd Calendar'!$AA$544=TYPE1)*(TYPE1&lt;&gt;"")+('Dvd Calendar'!$AA$544=TYPE2)*(TYPE2&lt;&gt;"")+('Dvd Calendar'!$AA$544=TYPE3)*(TYPE3&lt;&gt;"")+('Dvd Calendar'!$AA$544=TYPE4)*(TYPE4&lt;&gt;"")+('Dvd Calendar'!$AA$544=SPECIAL_LBL)*(INC_SPECIALS="Y"))=0,"",'Dvd Calendar'!$AA$542)))</f>
        <v/>
      </c>
      <c r="Z60" s="110">
        <f>IF(FB60="","",IF(ISNUMBER('Dvd Calendar'!$AB$542)=FALSE,"",IF((('Dvd Calendar'!$AB$544=TYPE1)*(TYPE1&lt;&gt;"")+('Dvd Calendar'!$AB$544=TYPE2)*(TYPE2&lt;&gt;"")+('Dvd Calendar'!$AB$544=TYPE3)*(TYPE3&lt;&gt;"")+('Dvd Calendar'!$AB$544=TYPE4)*(TYPE4&lt;&gt;"")+('Dvd Calendar'!$AB$544=SPECIAL_LBL)*(INC_SPECIALS="Y"))=0,"",'Dvd Calendar'!$AB$542)))</f>
        <v/>
      </c>
      <c r="AA60" s="110">
        <f>IF(FC60="","",IF(ISNUMBER('Dvd Calendar'!$AC$542)=FALSE,"",IF((('Dvd Calendar'!$AC$544=TYPE1)*(TYPE1&lt;&gt;"")+('Dvd Calendar'!$AC$544=TYPE2)*(TYPE2&lt;&gt;"")+('Dvd Calendar'!$AC$544=TYPE3)*(TYPE3&lt;&gt;"")+('Dvd Calendar'!$AC$544=TYPE4)*(TYPE4&lt;&gt;"")+('Dvd Calendar'!$AC$544=SPECIAL_LBL)*(INC_SPECIALS="Y"))=0,"",'Dvd Calendar'!$AC$542)))</f>
        <v/>
      </c>
      <c r="AB60" s="110">
        <f>IF(FD60="","",IF(ISNUMBER('Dvd Calendar'!$AD$542)=FALSE,"",IF((('Dvd Calendar'!$AD$544=TYPE1)*(TYPE1&lt;&gt;"")+('Dvd Calendar'!$AD$544=TYPE2)*(TYPE2&lt;&gt;"")+('Dvd Calendar'!$AD$544=TYPE3)*(TYPE3&lt;&gt;"")+('Dvd Calendar'!$AD$544=TYPE4)*(TYPE4&lt;&gt;"")+('Dvd Calendar'!$AD$544=SPECIAL_LBL)*(INC_SPECIALS="Y"))=0,"",'Dvd Calendar'!$AD$542)))</f>
        <v/>
      </c>
      <c r="AC60" s="110">
        <f>IF(FE60="","",IF(ISNUMBER('Dvd Calendar'!$AE$542)=FALSE,"",IF((('Dvd Calendar'!$AE$544=TYPE1)*(TYPE1&lt;&gt;"")+('Dvd Calendar'!$AE$544=TYPE2)*(TYPE2&lt;&gt;"")+('Dvd Calendar'!$AE$544=TYPE3)*(TYPE3&lt;&gt;"")+('Dvd Calendar'!$AE$544=TYPE4)*(TYPE4&lt;&gt;"")+('Dvd Calendar'!$AE$544=SPECIAL_LBL)*(INC_SPECIALS="Y"))=0,"",'Dvd Calendar'!$AE$542)))</f>
        <v/>
      </c>
      <c r="AD60" s="110">
        <f>IF(FF60="","",IF(ISNUMBER('Dvd Calendar'!$AF$542)=FALSE,"",IF((('Dvd Calendar'!$AF$544=TYPE1)*(TYPE1&lt;&gt;"")+('Dvd Calendar'!$AF$544=TYPE2)*(TYPE2&lt;&gt;"")+('Dvd Calendar'!$AF$544=TYPE3)*(TYPE3&lt;&gt;"")+('Dvd Calendar'!$AF$544=TYPE4)*(TYPE4&lt;&gt;"")+('Dvd Calendar'!$AF$544=SPECIAL_LBL)*(INC_SPECIALS="Y"))=0,"",'Dvd Calendar'!$AF$542)))</f>
        <v/>
      </c>
      <c r="AE60" s="110">
        <f>IF(FG60="","",IF(ISNUMBER('Dvd Calendar'!$AG$542)=FALSE,"",IF((('Dvd Calendar'!$AG$544=TYPE1)*(TYPE1&lt;&gt;"")+('Dvd Calendar'!$AG$544=TYPE2)*(TYPE2&lt;&gt;"")+('Dvd Calendar'!$AG$544=TYPE3)*(TYPE3&lt;&gt;"")+('Dvd Calendar'!$AG$544=TYPE4)*(TYPE4&lt;&gt;"")+('Dvd Calendar'!$AG$544=SPECIAL_LBL)*(INC_SPECIALS="Y"))=0,"",'Dvd Calendar'!$AG$542)))</f>
        <v/>
      </c>
      <c r="AF60" s="110">
        <f>IF(FH60="","",IF(ISNUMBER('Dvd Calendar'!$AH$542)=FALSE,"",IF((('Dvd Calendar'!$AH$544=TYPE1)*(TYPE1&lt;&gt;"")+('Dvd Calendar'!$AH$544=TYPE2)*(TYPE2&lt;&gt;"")+('Dvd Calendar'!$AH$544=TYPE3)*(TYPE3&lt;&gt;"")+('Dvd Calendar'!$AH$544=TYPE4)*(TYPE4&lt;&gt;"")+('Dvd Calendar'!$AH$544=SPECIAL_LBL)*(INC_SPECIALS="Y"))=0,"",'Dvd Calendar'!$AH$542)))</f>
        <v/>
      </c>
      <c r="AG60" s="110">
        <f>IF(FI60="","",IF(ISNUMBER('Dvd Calendar'!$AI$542)=FALSE,"",IF((('Dvd Calendar'!$AI$544=TYPE1)*(TYPE1&lt;&gt;"")+('Dvd Calendar'!$AI$544=TYPE2)*(TYPE2&lt;&gt;"")+('Dvd Calendar'!$AI$544=TYPE3)*(TYPE3&lt;&gt;"")+('Dvd Calendar'!$AI$544=TYPE4)*(TYPE4&lt;&gt;"")+('Dvd Calendar'!$AI$544=SPECIAL_LBL)*(INC_SPECIALS="Y"))=0,"",'Dvd Calendar'!$AI$542)))</f>
        <v/>
      </c>
      <c r="AH60" s="110">
        <f>IF(FJ60="","",IF(ISNUMBER('Dvd Calendar'!$AJ$542)=FALSE,"",IF((('Dvd Calendar'!$AJ$544=TYPE1)*(TYPE1&lt;&gt;"")+('Dvd Calendar'!$AJ$544=TYPE2)*(TYPE2&lt;&gt;"")+('Dvd Calendar'!$AJ$544=TYPE3)*(TYPE3&lt;&gt;"")+('Dvd Calendar'!$AJ$544=TYPE4)*(TYPE4&lt;&gt;"")+('Dvd Calendar'!$AJ$544=SPECIAL_LBL)*(INC_SPECIALS="Y"))=0,"",'Dvd Calendar'!$AJ$542)))</f>
        <v/>
      </c>
      <c r="AI60" s="110">
        <f>IF(FK60="","",IF(ISNUMBER('Dvd Calendar'!$AK$542)=FALSE,"",IF((('Dvd Calendar'!$AK$544=TYPE1)*(TYPE1&lt;&gt;"")+('Dvd Calendar'!$AK$544=TYPE2)*(TYPE2&lt;&gt;"")+('Dvd Calendar'!$AK$544=TYPE3)*(TYPE3&lt;&gt;"")+('Dvd Calendar'!$AK$544=TYPE4)*(TYPE4&lt;&gt;"")+('Dvd Calendar'!$AK$544=SPECIAL_LBL)*(INC_SPECIALS="Y"))=0,"",'Dvd Calendar'!$AK$542)))</f>
        <v/>
      </c>
      <c r="AJ60" s="110">
        <f>IF(FL60="","",IF(ISNUMBER('Dvd Calendar'!$AL$542)=FALSE,"",IF((('Dvd Calendar'!$AL$544=TYPE1)*(TYPE1&lt;&gt;"")+('Dvd Calendar'!$AL$544=TYPE2)*(TYPE2&lt;&gt;"")+('Dvd Calendar'!$AL$544=TYPE3)*(TYPE3&lt;&gt;"")+('Dvd Calendar'!$AL$544=TYPE4)*(TYPE4&lt;&gt;"")+('Dvd Calendar'!$AL$544=SPECIAL_LBL)*(INC_SPECIALS="Y"))=0,"",'Dvd Calendar'!$AL$542)))</f>
        <v/>
      </c>
      <c r="AK60" s="110">
        <f>IF(FM60="","",IF(ISNUMBER('Dvd Calendar'!$AM$542)=FALSE,"",IF((('Dvd Calendar'!$AM$544=TYPE1)*(TYPE1&lt;&gt;"")+('Dvd Calendar'!$AM$544=TYPE2)*(TYPE2&lt;&gt;"")+('Dvd Calendar'!$AM$544=TYPE3)*(TYPE3&lt;&gt;"")+('Dvd Calendar'!$AM$544=TYPE4)*(TYPE4&lt;&gt;"")+('Dvd Calendar'!$AM$544=SPECIAL_LBL)*(INC_SPECIALS="Y"))=0,"",'Dvd Calendar'!$AM$542)))</f>
        <v/>
      </c>
      <c r="AL60" s="110">
        <f>IF(FN60="","",IF(ISNUMBER('Dvd Calendar'!$AN$542)=FALSE,"",IF((('Dvd Calendar'!$AN$544=TYPE1)*(TYPE1&lt;&gt;"")+('Dvd Calendar'!$AN$544=TYPE2)*(TYPE2&lt;&gt;"")+('Dvd Calendar'!$AN$544=TYPE3)*(TYPE3&lt;&gt;"")+('Dvd Calendar'!$AN$544=TYPE4)*(TYPE4&lt;&gt;"")+('Dvd Calendar'!$AN$544=SPECIAL_LBL)*(INC_SPECIALS="Y"))=0,"",'Dvd Calendar'!$AN$542)))</f>
        <v/>
      </c>
      <c r="AM60" s="110">
        <f>IF(FO60="","",IF(ISNUMBER('Dvd Calendar'!$AO$542)=FALSE,"",IF((('Dvd Calendar'!$AO$544=TYPE1)*(TYPE1&lt;&gt;"")+('Dvd Calendar'!$AO$544=TYPE2)*(TYPE2&lt;&gt;"")+('Dvd Calendar'!$AO$544=TYPE3)*(TYPE3&lt;&gt;"")+('Dvd Calendar'!$AO$544=TYPE4)*(TYPE4&lt;&gt;"")+('Dvd Calendar'!$AO$544=SPECIAL_LBL)*(INC_SPECIALS="Y"))=0,"",'Dvd Calendar'!$AO$542)))</f>
        <v/>
      </c>
      <c r="AN60" s="110">
        <f>IF(FP60="","",IF(ISNUMBER('Dvd Calendar'!$AP$542)=FALSE,"",IF((('Dvd Calendar'!$AP$544=TYPE1)*(TYPE1&lt;&gt;"")+('Dvd Calendar'!$AP$544=TYPE2)*(TYPE2&lt;&gt;"")+('Dvd Calendar'!$AP$544=TYPE3)*(TYPE3&lt;&gt;"")+('Dvd Calendar'!$AP$544=TYPE4)*(TYPE4&lt;&gt;"")+('Dvd Calendar'!$AP$544=SPECIAL_LBL)*(INC_SPECIALS="Y"))=0,"",'Dvd Calendar'!$AP$542)))</f>
        <v/>
      </c>
      <c r="AO60" s="110">
        <f>IF(FQ60="","",IF(ISNUMBER('Dvd Calendar'!$AQ$542)=FALSE,"",IF((('Dvd Calendar'!$AQ$544=TYPE1)*(TYPE1&lt;&gt;"")+('Dvd Calendar'!$AQ$544=TYPE2)*(TYPE2&lt;&gt;"")+('Dvd Calendar'!$AQ$544=TYPE3)*(TYPE3&lt;&gt;"")+('Dvd Calendar'!$AQ$544=TYPE4)*(TYPE4&lt;&gt;"")+('Dvd Calendar'!$AQ$544=SPECIAL_LBL)*(INC_SPECIALS="Y"))=0,"",'Dvd Calendar'!$AQ$542)))</f>
        <v/>
      </c>
      <c r="AP60" s="110">
        <f>IF(FR60="","",IF(ISNUMBER('Dvd Calendar'!$AR$542)=FALSE,"",IF((('Dvd Calendar'!$AR$544=TYPE1)*(TYPE1&lt;&gt;"")+('Dvd Calendar'!$AR$544=TYPE2)*(TYPE2&lt;&gt;"")+('Dvd Calendar'!$AR$544=TYPE3)*(TYPE3&lt;&gt;"")+('Dvd Calendar'!$AR$544=TYPE4)*(TYPE4&lt;&gt;"")+('Dvd Calendar'!$AR$544=SPECIAL_LBL)*(INC_SPECIALS="Y"))=0,"",'Dvd Calendar'!$AR$542)))</f>
        <v/>
      </c>
      <c r="AQ60" s="110">
        <f>IF(FS60="","",IF(ISNUMBER('Dvd Calendar'!$E$547)=FALSE,"",'Dvd Calendar'!$E$547))</f>
        <v/>
      </c>
      <c r="AR60" s="110">
        <f>IF(FT60="","",IF(ISNUMBER('Dvd Calendar'!$F$547)=FALSE,"",'Dvd Calendar'!$F$547))</f>
        <v/>
      </c>
      <c r="AS60" s="110">
        <f>IF(FU60="","",IF(ISNUMBER('Dvd Calendar'!$G$547)=FALSE,"",'Dvd Calendar'!$G$547))</f>
        <v/>
      </c>
      <c r="AT60" s="110">
        <f>IF(FV60="","",IF(ISNUMBER('Dvd Calendar'!$H$547)=FALSE,"",'Dvd Calendar'!$H$547))</f>
        <v/>
      </c>
      <c r="AU60" s="110">
        <f>IF(FW60="","",IF(ISNUMBER('Dvd Calendar'!$I$547)=FALSE,"",'Dvd Calendar'!$I$547))</f>
        <v/>
      </c>
      <c r="AV60" s="110">
        <f>IF(FX60="","",IF(ISNUMBER('Dvd Calendar'!$J$547)=FALSE,"",'Dvd Calendar'!$J$547))</f>
        <v/>
      </c>
      <c r="AW60" s="110">
        <f>IF(FY60="","",IF(ISNUMBER('Dvd Calendar'!$K$547)=FALSE,"",'Dvd Calendar'!$K$547))</f>
        <v/>
      </c>
      <c r="AX60" s="110">
        <f>IF(FZ60="","",IF(ISNUMBER('Dvd Calendar'!$L$547)=FALSE,"",'Dvd Calendar'!$L$547))</f>
        <v/>
      </c>
      <c r="AY60" s="110">
        <f>IF(GA60="","",IF(ISNUMBER('Dvd Calendar'!$M$547)=FALSE,"",'Dvd Calendar'!$M$547))</f>
        <v/>
      </c>
      <c r="AZ60" s="110">
        <f>IF(GB60="","",IF(ISNUMBER('Dvd Calendar'!$N$547)=FALSE,"",'Dvd Calendar'!$N$547))</f>
        <v/>
      </c>
      <c r="BA60" s="110">
        <f>IF(GC60="","",IF(ISNUMBER('Dvd Calendar'!$O$547)=FALSE,"",'Dvd Calendar'!$O$547))</f>
        <v/>
      </c>
      <c r="BB60" s="110">
        <f>IF(GD60="","",IF(ISNUMBER('Dvd Calendar'!$P$547)=FALSE,"",'Dvd Calendar'!$P$547))</f>
        <v/>
      </c>
      <c r="BC60" s="110">
        <f>IF(GE60="","",IF(ISNUMBER('Dvd Calendar'!$Q$547)=FALSE,"",'Dvd Calendar'!$Q$547))</f>
        <v/>
      </c>
      <c r="BD60" s="110">
        <f>IF(GF60="","",IF(ISNUMBER('Dvd Calendar'!$R$547)=FALSE,"",'Dvd Calendar'!$R$547))</f>
        <v/>
      </c>
      <c r="BE60" s="110">
        <f>IF(GG60="","",IF(ISNUMBER('Dvd Calendar'!$S$547)=FALSE,"",'Dvd Calendar'!$S$547))</f>
        <v/>
      </c>
      <c r="BF60" s="110">
        <f>IF(GH60="","",IF(ISNUMBER('Dvd Calendar'!$T$547)=FALSE,"",'Dvd Calendar'!$T$547))</f>
        <v/>
      </c>
      <c r="BG60" s="110">
        <f>IF(GI60="","",IF(ISNUMBER('Dvd Calendar'!$U$547)=FALSE,"",'Dvd Calendar'!$U$547))</f>
        <v/>
      </c>
      <c r="BH60" s="110">
        <f>IF(GJ60="","",IF(ISNUMBER('Dvd Calendar'!$V$547)=FALSE,"",'Dvd Calendar'!$V$547))</f>
        <v/>
      </c>
      <c r="BI60" s="110">
        <f>IF(GK60="","",IF(ISNUMBER('Dvd Calendar'!$W$547)=FALSE,"",'Dvd Calendar'!$W$547))</f>
        <v/>
      </c>
      <c r="BJ60" s="110">
        <f>IF(GL60="","",IF(ISNUMBER('Dvd Calendar'!$X$547)=FALSE,"",'Dvd Calendar'!$X$547))</f>
        <v/>
      </c>
      <c r="BK60" s="110">
        <f>IF(GM60="","",IF(ISNUMBER('Dvd Calendar'!$Y$547)=FALSE,"",'Dvd Calendar'!$Y$547))</f>
        <v/>
      </c>
      <c r="BL60" s="110">
        <f>IF(GN60="","",IF(ISNUMBER('Dvd Calendar'!$Z$547)=FALSE,"",'Dvd Calendar'!$Z$547))</f>
        <v/>
      </c>
      <c r="BM60" s="110">
        <f>IF(GO60="","",IF(ISNUMBER('Dvd Calendar'!$AA$547)=FALSE,"",'Dvd Calendar'!$AA$547))</f>
        <v/>
      </c>
      <c r="BN60" s="110">
        <f>IF(GP60="","",IF(ISNUMBER('Dvd Calendar'!$AB$547)=FALSE,"",'Dvd Calendar'!$AB$547))</f>
        <v/>
      </c>
      <c r="BO60" s="110">
        <f>IF(GQ60="","",IF(ISNUMBER('Dvd Calendar'!$AC$547)=FALSE,"",'Dvd Calendar'!$AC$547))</f>
        <v/>
      </c>
      <c r="BQ60" s="110">
        <f>IF(C60="","",IFERROR(C60*HSI!$B$55*HSI!$G$55/HSI!$B$3,""))</f>
        <v/>
      </c>
      <c r="BR60" s="110">
        <f>IF(D60="","",IFERROR(D60*HSI!$B$55*HSI!$G$55/HSI!$B$3,""))</f>
        <v/>
      </c>
      <c r="BS60" s="110">
        <f>IF(E60="","",IFERROR(E60*HSI!$B$55*HSI!$G$55/HSI!$B$3,""))</f>
        <v/>
      </c>
      <c r="BT60" s="110">
        <f>IF(F60="","",IFERROR(F60*HSI!$B$55*HSI!$G$55/HSI!$B$3,""))</f>
        <v/>
      </c>
      <c r="BU60" s="110">
        <f>IF(G60="","",IFERROR(G60*HSI!$B$55*HSI!$G$55/HSI!$B$3,""))</f>
        <v/>
      </c>
      <c r="BV60" s="110">
        <f>IF(H60="","",IFERROR(H60*HSI!$B$55*HSI!$G$55/HSI!$B$3,""))</f>
        <v/>
      </c>
      <c r="BW60" s="110">
        <f>IF(I60="","",IFERROR(I60*HSI!$B$55*HSI!$G$55/HSI!$B$3,""))</f>
        <v/>
      </c>
      <c r="BX60" s="110">
        <f>IF(J60="","",IFERROR(J60*HSI!$B$55*HSI!$G$55/HSI!$B$3,""))</f>
        <v/>
      </c>
      <c r="BY60" s="110">
        <f>IF(K60="","",IFERROR(K60*HSI!$B$55*HSI!$G$55/HSI!$B$3,""))</f>
        <v/>
      </c>
      <c r="BZ60" s="110">
        <f>IF(L60="","",IFERROR(L60*HSI!$B$55*HSI!$G$55/HSI!$B$3,""))</f>
        <v/>
      </c>
      <c r="CA60" s="110">
        <f>IF(M60="","",IFERROR(M60*HSI!$B$55*HSI!$G$55/HSI!$B$3,""))</f>
        <v/>
      </c>
      <c r="CB60" s="110">
        <f>IF(N60="","",IFERROR(N60*HSI!$B$55*HSI!$G$55/HSI!$B$3,""))</f>
        <v/>
      </c>
      <c r="CC60" s="110">
        <f>IF(O60="","",IFERROR(O60*HSI!$B$55*HSI!$G$55/HSI!$B$3,""))</f>
        <v/>
      </c>
      <c r="CD60" s="110">
        <f>IF(P60="","",IFERROR(P60*HSI!$B$55*HSI!$G$55/HSI!$B$3,""))</f>
        <v/>
      </c>
      <c r="CE60" s="110">
        <f>IF(Q60="","",IFERROR(Q60*HSI!$B$55*HSI!$G$55/HSI!$B$3,""))</f>
        <v/>
      </c>
      <c r="CF60" s="110">
        <f>IF(R60="","",IFERROR(R60*HSI!$B$55*HSI!$G$55/HSI!$B$3,""))</f>
        <v/>
      </c>
      <c r="CG60" s="110">
        <f>IF(S60="","",IFERROR(S60*HSI!$B$55*HSI!$G$55/HSI!$B$3,""))</f>
        <v/>
      </c>
      <c r="CH60" s="110">
        <f>IF(T60="","",IFERROR(T60*HSI!$B$55*HSI!$G$55/HSI!$B$3,""))</f>
        <v/>
      </c>
      <c r="CI60" s="110">
        <f>IF(U60="","",IFERROR(U60*HSI!$B$55*HSI!$G$55/HSI!$B$3,""))</f>
        <v/>
      </c>
      <c r="CJ60" s="110">
        <f>IF(V60="","",IFERROR(V60*HSI!$B$55*HSI!$G$55/HSI!$B$3,""))</f>
        <v/>
      </c>
      <c r="CK60" s="110">
        <f>IF(W60="","",IFERROR(W60*HSI!$B$55*HSI!$G$55/HSI!$B$3,""))</f>
        <v/>
      </c>
      <c r="CL60" s="110">
        <f>IF(X60="","",IFERROR(X60*HSI!$B$55*HSI!$G$55/HSI!$B$3,""))</f>
        <v/>
      </c>
      <c r="CM60" s="110">
        <f>IF(Y60="","",IFERROR(Y60*HSI!$B$55*HSI!$G$55/HSI!$B$3,""))</f>
        <v/>
      </c>
      <c r="CN60" s="110">
        <f>IF(Z60="","",IFERROR(Z60*HSI!$B$55*HSI!$G$55/HSI!$B$3,""))</f>
        <v/>
      </c>
      <c r="CO60" s="110">
        <f>IF(AA60="","",IFERROR(AA60*HSI!$B$55*HSI!$G$55/HSI!$B$3,""))</f>
        <v/>
      </c>
      <c r="CP60" s="110">
        <f>IF(AB60="","",IFERROR(AB60*HSI!$B$55*HSI!$G$55/HSI!$B$3,""))</f>
        <v/>
      </c>
      <c r="CQ60" s="110">
        <f>IF(AC60="","",IFERROR(AC60*HSI!$B$55*HSI!$G$55/HSI!$B$3,""))</f>
        <v/>
      </c>
      <c r="CR60" s="110">
        <f>IF(AD60="","",IFERROR(AD60*HSI!$B$55*HSI!$G$55/HSI!$B$3,""))</f>
        <v/>
      </c>
      <c r="CS60" s="110">
        <f>IF(AE60="","",IFERROR(AE60*HSI!$B$55*HSI!$G$55/HSI!$B$3,""))</f>
        <v/>
      </c>
      <c r="CT60" s="110">
        <f>IF(AF60="","",IFERROR(AF60*HSI!$B$55*HSI!$G$55/HSI!$B$3,""))</f>
        <v/>
      </c>
      <c r="CU60" s="110">
        <f>IF(AG60="","",IFERROR(AG60*HSI!$B$55*HSI!$G$55/HSI!$B$3,""))</f>
        <v/>
      </c>
      <c r="CV60" s="110">
        <f>IF(AH60="","",IFERROR(AH60*HSI!$B$55*HSI!$G$55/HSI!$B$3,""))</f>
        <v/>
      </c>
      <c r="CW60" s="110">
        <f>IF(AI60="","",IFERROR(AI60*HSI!$B$55*HSI!$G$55/HSI!$B$3,""))</f>
        <v/>
      </c>
      <c r="CX60" s="110">
        <f>IF(AJ60="","",IFERROR(AJ60*HSI!$B$55*HSI!$G$55/HSI!$B$3,""))</f>
        <v/>
      </c>
      <c r="CY60" s="110">
        <f>IF(AK60="","",IFERROR(AK60*HSI!$B$55*HSI!$G$55/HSI!$B$3,""))</f>
        <v/>
      </c>
      <c r="CZ60" s="110">
        <f>IF(AL60="","",IFERROR(AL60*HSI!$B$55*HSI!$G$55/HSI!$B$3,""))</f>
        <v/>
      </c>
      <c r="DA60" s="110">
        <f>IF(AM60="","",IFERROR(AM60*HSI!$B$55*HSI!$G$55/HSI!$B$3,""))</f>
        <v/>
      </c>
      <c r="DB60" s="110">
        <f>IF(AN60="","",IFERROR(AN60*HSI!$B$55*HSI!$G$55/HSI!$B$3,""))</f>
        <v/>
      </c>
      <c r="DC60" s="110">
        <f>IF(AO60="","",IFERROR(AO60*HSI!$B$55*HSI!$G$55/HSI!$B$3,""))</f>
        <v/>
      </c>
      <c r="DD60" s="110">
        <f>IF(AP60="","",IFERROR(AP60*HSI!$B$55*HSI!$G$55/HSI!$B$3,""))</f>
        <v/>
      </c>
      <c r="DE60" s="110">
        <f>IF(AQ60="","",IFERROR(AQ60*HSI!$B$55*HSI!$G$55/HSI!$B$3,""))</f>
        <v/>
      </c>
      <c r="DF60" s="110">
        <f>IF(AR60="","",IFERROR(AR60*HSI!$B$55*HSI!$G$55/HSI!$B$3,""))</f>
        <v/>
      </c>
      <c r="DG60" s="110">
        <f>IF(AS60="","",IFERROR(AS60*HSI!$B$55*HSI!$G$55/HSI!$B$3,""))</f>
        <v/>
      </c>
      <c r="DH60" s="110">
        <f>IF(AT60="","",IFERROR(AT60*HSI!$B$55*HSI!$G$55/HSI!$B$3,""))</f>
        <v/>
      </c>
      <c r="DI60" s="110">
        <f>IF(AU60="","",IFERROR(AU60*HSI!$B$55*HSI!$G$55/HSI!$B$3,""))</f>
        <v/>
      </c>
      <c r="DJ60" s="110">
        <f>IF(AV60="","",IFERROR(AV60*HSI!$B$55*HSI!$G$55/HSI!$B$3,""))</f>
        <v/>
      </c>
      <c r="DK60" s="110">
        <f>IF(AW60="","",IFERROR(AW60*HSI!$B$55*HSI!$G$55/HSI!$B$3,""))</f>
        <v/>
      </c>
      <c r="DL60" s="110">
        <f>IF(AX60="","",IFERROR(AX60*HSI!$B$55*HSI!$G$55/HSI!$B$3,""))</f>
        <v/>
      </c>
      <c r="DM60" s="110">
        <f>IF(AY60="","",IFERROR(AY60*HSI!$B$55*HSI!$G$55/HSI!$B$3,""))</f>
        <v/>
      </c>
      <c r="DN60" s="110">
        <f>IF(AZ60="","",IFERROR(AZ60*HSI!$B$55*HSI!$G$55/HSI!$B$3,""))</f>
        <v/>
      </c>
      <c r="DO60" s="110">
        <f>IF(BA60="","",IFERROR(BA60*HSI!$B$55*HSI!$G$55/HSI!$B$3,""))</f>
        <v/>
      </c>
      <c r="DP60" s="110">
        <f>IF(BB60="","",IFERROR(BB60*HSI!$B$55*HSI!$G$55/HSI!$B$3,""))</f>
        <v/>
      </c>
      <c r="DQ60" s="110">
        <f>IF(BC60="","",IFERROR(BC60*HSI!$B$55*HSI!$G$55/HSI!$B$3,""))</f>
        <v/>
      </c>
      <c r="DR60" s="110">
        <f>IF(BD60="","",IFERROR(BD60*HSI!$B$55*HSI!$G$55/HSI!$B$3,""))</f>
        <v/>
      </c>
      <c r="DS60" s="110">
        <f>IF(BE60="","",IFERROR(BE60*HSI!$B$55*HSI!$G$55/HSI!$B$3,""))</f>
        <v/>
      </c>
      <c r="DT60" s="110">
        <f>IF(BF60="","",IFERROR(BF60*HSI!$B$55*HSI!$G$55/HSI!$B$3,""))</f>
        <v/>
      </c>
      <c r="DU60" s="110">
        <f>IF(BG60="","",IFERROR(BG60*HSI!$B$55*HSI!$G$55/HSI!$B$3,""))</f>
        <v/>
      </c>
      <c r="DV60" s="110">
        <f>IF(BH60="","",IFERROR(BH60*HSI!$B$55*HSI!$G$55/HSI!$B$3,""))</f>
        <v/>
      </c>
      <c r="DW60" s="110">
        <f>IF(BI60="","",IFERROR(BI60*HSI!$B$55*HSI!$G$55/HSI!$B$3,""))</f>
        <v/>
      </c>
      <c r="DX60" s="110">
        <f>IF(BJ60="","",IFERROR(BJ60*HSI!$B$55*HSI!$G$55/HSI!$B$3,""))</f>
        <v/>
      </c>
      <c r="DY60" s="110">
        <f>IF(BK60="","",IFERROR(BK60*HSI!$B$55*HSI!$G$55/HSI!$B$3,""))</f>
        <v/>
      </c>
      <c r="DZ60" s="110">
        <f>IF(BL60="","",IFERROR(BL60*HSI!$B$55*HSI!$G$55/HSI!$B$3,""))</f>
        <v/>
      </c>
      <c r="EA60" s="110">
        <f>IF(BM60="","",IFERROR(BM60*HSI!$B$55*HSI!$G$55/HSI!$B$3,""))</f>
        <v/>
      </c>
      <c r="EB60" s="110">
        <f>IF(BN60="","",IFERROR(BN60*HSI!$B$55*HSI!$G$55/HSI!$B$3,""))</f>
        <v/>
      </c>
      <c r="EC60" s="110">
        <f>IF(BO60="","",IFERROR(BO60*HSI!$B$55*HSI!$G$55/HSI!$B$3,""))</f>
        <v/>
      </c>
      <c r="EE60" s="39">
        <f>IF(N('Dvd Calendar'!$E$539)=0,"",IF(('Dvd Calendar'!$E$539&gt;=GRID_FROM)*('Dvd Calendar'!$E$539&lt;=GRID_TO)*((('Dvd Calendar'!$E$539&lt;=VAL_DATE)+(COUNTIF('Dvd Calendar'!$E$546:$AR$546,'Dvd Calendar'!$E$539)=0))&gt;0)=0,"",'Dvd Calendar'!$E$539*1000000000+ISNUMBER('Dvd Calendar'!$E$542)*100000000+('Dvd Calendar'!$E$544=SPECIAL_LBL)*10000000+(N('Dvd Calendar'!$E$538)&gt;0)*(N('Dvd Calendar'!$E$538)&lt;=VAL_SERIAL)*1000000+49*1000+1))</f>
        <v/>
      </c>
      <c r="EF60" s="39">
        <f>IF(N('Dvd Calendar'!$F$539)=0,"",IF(('Dvd Calendar'!$F$539&gt;=GRID_FROM)*('Dvd Calendar'!$F$539&lt;=GRID_TO)*((('Dvd Calendar'!$F$539&lt;=VAL_DATE)+(COUNTIF('Dvd Calendar'!$E$546:$AR$546,'Dvd Calendar'!$F$539)=0))&gt;0)=0,"",'Dvd Calendar'!$F$539*1000000000+ISNUMBER('Dvd Calendar'!$F$542)*100000000+('Dvd Calendar'!$F$544=SPECIAL_LBL)*10000000+(N('Dvd Calendar'!$F$538)&gt;0)*(N('Dvd Calendar'!$F$538)&lt;=VAL_SERIAL)*1000000+49*1000+2))</f>
        <v/>
      </c>
      <c r="EG60" s="39">
        <f>IF(N('Dvd Calendar'!$G$539)=0,"",IF(('Dvd Calendar'!$G$539&gt;=GRID_FROM)*('Dvd Calendar'!$G$539&lt;=GRID_TO)*((('Dvd Calendar'!$G$539&lt;=VAL_DATE)+(COUNTIF('Dvd Calendar'!$E$546:$AR$546,'Dvd Calendar'!$G$539)=0))&gt;0)=0,"",'Dvd Calendar'!$G$539*1000000000+ISNUMBER('Dvd Calendar'!$G$542)*100000000+('Dvd Calendar'!$G$544=SPECIAL_LBL)*10000000+(N('Dvd Calendar'!$G$538)&gt;0)*(N('Dvd Calendar'!$G$538)&lt;=VAL_SERIAL)*1000000+49*1000+3))</f>
        <v/>
      </c>
      <c r="EH60" s="39">
        <f>IF(N('Dvd Calendar'!$H$539)=0,"",IF(('Dvd Calendar'!$H$539&gt;=GRID_FROM)*('Dvd Calendar'!$H$539&lt;=GRID_TO)*((('Dvd Calendar'!$H$539&lt;=VAL_DATE)+(COUNTIF('Dvd Calendar'!$E$546:$AR$546,'Dvd Calendar'!$H$539)=0))&gt;0)=0,"",'Dvd Calendar'!$H$539*1000000000+ISNUMBER('Dvd Calendar'!$H$542)*100000000+('Dvd Calendar'!$H$544=SPECIAL_LBL)*10000000+(N('Dvd Calendar'!$H$538)&gt;0)*(N('Dvd Calendar'!$H$538)&lt;=VAL_SERIAL)*1000000+49*1000+4))</f>
        <v/>
      </c>
      <c r="EI60" s="39">
        <f>IF(N('Dvd Calendar'!$I$539)=0,"",IF(('Dvd Calendar'!$I$539&gt;=GRID_FROM)*('Dvd Calendar'!$I$539&lt;=GRID_TO)*((('Dvd Calendar'!$I$539&lt;=VAL_DATE)+(COUNTIF('Dvd Calendar'!$E$546:$AR$546,'Dvd Calendar'!$I$539)=0))&gt;0)=0,"",'Dvd Calendar'!$I$539*1000000000+ISNUMBER('Dvd Calendar'!$I$542)*100000000+('Dvd Calendar'!$I$544=SPECIAL_LBL)*10000000+(N('Dvd Calendar'!$I$538)&gt;0)*(N('Dvd Calendar'!$I$538)&lt;=VAL_SERIAL)*1000000+49*1000+5))</f>
        <v/>
      </c>
      <c r="EJ60" s="39">
        <f>IF(N('Dvd Calendar'!$J$539)=0,"",IF(('Dvd Calendar'!$J$539&gt;=GRID_FROM)*('Dvd Calendar'!$J$539&lt;=GRID_TO)*((('Dvd Calendar'!$J$539&lt;=VAL_DATE)+(COUNTIF('Dvd Calendar'!$E$546:$AR$546,'Dvd Calendar'!$J$539)=0))&gt;0)=0,"",'Dvd Calendar'!$J$539*1000000000+ISNUMBER('Dvd Calendar'!$J$542)*100000000+('Dvd Calendar'!$J$544=SPECIAL_LBL)*10000000+(N('Dvd Calendar'!$J$538)&gt;0)*(N('Dvd Calendar'!$J$538)&lt;=VAL_SERIAL)*1000000+49*1000+6))</f>
        <v/>
      </c>
      <c r="EK60" s="39">
        <f>IF(N('Dvd Calendar'!$K$539)=0,"",IF(('Dvd Calendar'!$K$539&gt;=GRID_FROM)*('Dvd Calendar'!$K$539&lt;=GRID_TO)*((('Dvd Calendar'!$K$539&lt;=VAL_DATE)+(COUNTIF('Dvd Calendar'!$E$546:$AR$546,'Dvd Calendar'!$K$539)=0))&gt;0)=0,"",'Dvd Calendar'!$K$539*1000000000+ISNUMBER('Dvd Calendar'!$K$542)*100000000+('Dvd Calendar'!$K$544=SPECIAL_LBL)*10000000+(N('Dvd Calendar'!$K$538)&gt;0)*(N('Dvd Calendar'!$K$538)&lt;=VAL_SERIAL)*1000000+49*1000+7))</f>
        <v/>
      </c>
      <c r="EL60" s="39">
        <f>IF(N('Dvd Calendar'!$L$539)=0,"",IF(('Dvd Calendar'!$L$539&gt;=GRID_FROM)*('Dvd Calendar'!$L$539&lt;=GRID_TO)*((('Dvd Calendar'!$L$539&lt;=VAL_DATE)+(COUNTIF('Dvd Calendar'!$E$546:$AR$546,'Dvd Calendar'!$L$539)=0))&gt;0)=0,"",'Dvd Calendar'!$L$539*1000000000+ISNUMBER('Dvd Calendar'!$L$542)*100000000+('Dvd Calendar'!$L$544=SPECIAL_LBL)*10000000+(N('Dvd Calendar'!$L$538)&gt;0)*(N('Dvd Calendar'!$L$538)&lt;=VAL_SERIAL)*1000000+49*1000+8))</f>
        <v/>
      </c>
      <c r="EM60" s="39">
        <f>IF(N('Dvd Calendar'!$M$539)=0,"",IF(('Dvd Calendar'!$M$539&gt;=GRID_FROM)*('Dvd Calendar'!$M$539&lt;=GRID_TO)*((('Dvd Calendar'!$M$539&lt;=VAL_DATE)+(COUNTIF('Dvd Calendar'!$E$546:$AR$546,'Dvd Calendar'!$M$539)=0))&gt;0)=0,"",'Dvd Calendar'!$M$539*1000000000+ISNUMBER('Dvd Calendar'!$M$542)*100000000+('Dvd Calendar'!$M$544=SPECIAL_LBL)*10000000+(N('Dvd Calendar'!$M$538)&gt;0)*(N('Dvd Calendar'!$M$538)&lt;=VAL_SERIAL)*1000000+49*1000+9))</f>
        <v/>
      </c>
      <c r="EN60" s="39">
        <f>IF(N('Dvd Calendar'!$N$539)=0,"",IF(('Dvd Calendar'!$N$539&gt;=GRID_FROM)*('Dvd Calendar'!$N$539&lt;=GRID_TO)*((('Dvd Calendar'!$N$539&lt;=VAL_DATE)+(COUNTIF('Dvd Calendar'!$E$546:$AR$546,'Dvd Calendar'!$N$539)=0))&gt;0)=0,"",'Dvd Calendar'!$N$539*1000000000+ISNUMBER('Dvd Calendar'!$N$542)*100000000+('Dvd Calendar'!$N$544=SPECIAL_LBL)*10000000+(N('Dvd Calendar'!$N$538)&gt;0)*(N('Dvd Calendar'!$N$538)&lt;=VAL_SERIAL)*1000000+49*1000+10))</f>
        <v/>
      </c>
      <c r="EO60" s="39">
        <f>IF(N('Dvd Calendar'!$O$539)=0,"",IF(('Dvd Calendar'!$O$539&gt;=GRID_FROM)*('Dvd Calendar'!$O$539&lt;=GRID_TO)*((('Dvd Calendar'!$O$539&lt;=VAL_DATE)+(COUNTIF('Dvd Calendar'!$E$546:$AR$546,'Dvd Calendar'!$O$539)=0))&gt;0)=0,"",'Dvd Calendar'!$O$539*1000000000+ISNUMBER('Dvd Calendar'!$O$542)*100000000+('Dvd Calendar'!$O$544=SPECIAL_LBL)*10000000+(N('Dvd Calendar'!$O$538)&gt;0)*(N('Dvd Calendar'!$O$538)&lt;=VAL_SERIAL)*1000000+49*1000+11))</f>
        <v/>
      </c>
      <c r="EP60" s="39">
        <f>IF(N('Dvd Calendar'!$P$539)=0,"",IF(('Dvd Calendar'!$P$539&gt;=GRID_FROM)*('Dvd Calendar'!$P$539&lt;=GRID_TO)*((('Dvd Calendar'!$P$539&lt;=VAL_DATE)+(COUNTIF('Dvd Calendar'!$E$546:$AR$546,'Dvd Calendar'!$P$539)=0))&gt;0)=0,"",'Dvd Calendar'!$P$539*1000000000+ISNUMBER('Dvd Calendar'!$P$542)*100000000+('Dvd Calendar'!$P$544=SPECIAL_LBL)*10000000+(N('Dvd Calendar'!$P$538)&gt;0)*(N('Dvd Calendar'!$P$538)&lt;=VAL_SERIAL)*1000000+49*1000+12))</f>
        <v/>
      </c>
      <c r="EQ60" s="39">
        <f>IF(N('Dvd Calendar'!$Q$539)=0,"",IF(('Dvd Calendar'!$Q$539&gt;=GRID_FROM)*('Dvd Calendar'!$Q$539&lt;=GRID_TO)*((('Dvd Calendar'!$Q$539&lt;=VAL_DATE)+(COUNTIF('Dvd Calendar'!$E$546:$AR$546,'Dvd Calendar'!$Q$539)=0))&gt;0)=0,"",'Dvd Calendar'!$Q$539*1000000000+ISNUMBER('Dvd Calendar'!$Q$542)*100000000+('Dvd Calendar'!$Q$544=SPECIAL_LBL)*10000000+(N('Dvd Calendar'!$Q$538)&gt;0)*(N('Dvd Calendar'!$Q$538)&lt;=VAL_SERIAL)*1000000+49*1000+13))</f>
        <v/>
      </c>
      <c r="ER60" s="39">
        <f>IF(N('Dvd Calendar'!$R$539)=0,"",IF(('Dvd Calendar'!$R$539&gt;=GRID_FROM)*('Dvd Calendar'!$R$539&lt;=GRID_TO)*((('Dvd Calendar'!$R$539&lt;=VAL_DATE)+(COUNTIF('Dvd Calendar'!$E$546:$AR$546,'Dvd Calendar'!$R$539)=0))&gt;0)=0,"",'Dvd Calendar'!$R$539*1000000000+ISNUMBER('Dvd Calendar'!$R$542)*100000000+('Dvd Calendar'!$R$544=SPECIAL_LBL)*10000000+(N('Dvd Calendar'!$R$538)&gt;0)*(N('Dvd Calendar'!$R$538)&lt;=VAL_SERIAL)*1000000+49*1000+14))</f>
        <v/>
      </c>
      <c r="ES60" s="39">
        <f>IF(N('Dvd Calendar'!$S$539)=0,"",IF(('Dvd Calendar'!$S$539&gt;=GRID_FROM)*('Dvd Calendar'!$S$539&lt;=GRID_TO)*((('Dvd Calendar'!$S$539&lt;=VAL_DATE)+(COUNTIF('Dvd Calendar'!$E$546:$AR$546,'Dvd Calendar'!$S$539)=0))&gt;0)=0,"",'Dvd Calendar'!$S$539*1000000000+ISNUMBER('Dvd Calendar'!$S$542)*100000000+('Dvd Calendar'!$S$544=SPECIAL_LBL)*10000000+(N('Dvd Calendar'!$S$538)&gt;0)*(N('Dvd Calendar'!$S$538)&lt;=VAL_SERIAL)*1000000+49*1000+15))</f>
        <v/>
      </c>
      <c r="ET60" s="39">
        <f>IF(N('Dvd Calendar'!$T$539)=0,"",IF(('Dvd Calendar'!$T$539&gt;=GRID_FROM)*('Dvd Calendar'!$T$539&lt;=GRID_TO)*((('Dvd Calendar'!$T$539&lt;=VAL_DATE)+(COUNTIF('Dvd Calendar'!$E$546:$AR$546,'Dvd Calendar'!$T$539)=0))&gt;0)=0,"",'Dvd Calendar'!$T$539*1000000000+ISNUMBER('Dvd Calendar'!$T$542)*100000000+('Dvd Calendar'!$T$544=SPECIAL_LBL)*10000000+(N('Dvd Calendar'!$T$538)&gt;0)*(N('Dvd Calendar'!$T$538)&lt;=VAL_SERIAL)*1000000+49*1000+16))</f>
        <v/>
      </c>
      <c r="EU60" s="39">
        <f>IF(N('Dvd Calendar'!$U$539)=0,"",IF(('Dvd Calendar'!$U$539&gt;=GRID_FROM)*('Dvd Calendar'!$U$539&lt;=GRID_TO)*((('Dvd Calendar'!$U$539&lt;=VAL_DATE)+(COUNTIF('Dvd Calendar'!$E$546:$AR$546,'Dvd Calendar'!$U$539)=0))&gt;0)=0,"",'Dvd Calendar'!$U$539*1000000000+ISNUMBER('Dvd Calendar'!$U$542)*100000000+('Dvd Calendar'!$U$544=SPECIAL_LBL)*10000000+(N('Dvd Calendar'!$U$538)&gt;0)*(N('Dvd Calendar'!$U$538)&lt;=VAL_SERIAL)*1000000+49*1000+17))</f>
        <v/>
      </c>
      <c r="EV60" s="39">
        <f>IF(N('Dvd Calendar'!$V$539)=0,"",IF(('Dvd Calendar'!$V$539&gt;=GRID_FROM)*('Dvd Calendar'!$V$539&lt;=GRID_TO)*((('Dvd Calendar'!$V$539&lt;=VAL_DATE)+(COUNTIF('Dvd Calendar'!$E$546:$AR$546,'Dvd Calendar'!$V$539)=0))&gt;0)=0,"",'Dvd Calendar'!$V$539*1000000000+ISNUMBER('Dvd Calendar'!$V$542)*100000000+('Dvd Calendar'!$V$544=SPECIAL_LBL)*10000000+(N('Dvd Calendar'!$V$538)&gt;0)*(N('Dvd Calendar'!$V$538)&lt;=VAL_SERIAL)*1000000+49*1000+18))</f>
        <v/>
      </c>
      <c r="EW60" s="39">
        <f>IF(N('Dvd Calendar'!$W$539)=0,"",IF(('Dvd Calendar'!$W$539&gt;=GRID_FROM)*('Dvd Calendar'!$W$539&lt;=GRID_TO)*((('Dvd Calendar'!$W$539&lt;=VAL_DATE)+(COUNTIF('Dvd Calendar'!$E$546:$AR$546,'Dvd Calendar'!$W$539)=0))&gt;0)=0,"",'Dvd Calendar'!$W$539*1000000000+ISNUMBER('Dvd Calendar'!$W$542)*100000000+('Dvd Calendar'!$W$544=SPECIAL_LBL)*10000000+(N('Dvd Calendar'!$W$538)&gt;0)*(N('Dvd Calendar'!$W$538)&lt;=VAL_SERIAL)*1000000+49*1000+19))</f>
        <v/>
      </c>
      <c r="EX60" s="39">
        <f>IF(N('Dvd Calendar'!$X$539)=0,"",IF(('Dvd Calendar'!$X$539&gt;=GRID_FROM)*('Dvd Calendar'!$X$539&lt;=GRID_TO)*((('Dvd Calendar'!$X$539&lt;=VAL_DATE)+(COUNTIF('Dvd Calendar'!$E$546:$AR$546,'Dvd Calendar'!$X$539)=0))&gt;0)=0,"",'Dvd Calendar'!$X$539*1000000000+ISNUMBER('Dvd Calendar'!$X$542)*100000000+('Dvd Calendar'!$X$544=SPECIAL_LBL)*10000000+(N('Dvd Calendar'!$X$538)&gt;0)*(N('Dvd Calendar'!$X$538)&lt;=VAL_SERIAL)*1000000+49*1000+20))</f>
        <v/>
      </c>
      <c r="EY60" s="39">
        <f>IF(N('Dvd Calendar'!$Y$539)=0,"",IF(('Dvd Calendar'!$Y$539&gt;=GRID_FROM)*('Dvd Calendar'!$Y$539&lt;=GRID_TO)*((('Dvd Calendar'!$Y$539&lt;=VAL_DATE)+(COUNTIF('Dvd Calendar'!$E$546:$AR$546,'Dvd Calendar'!$Y$539)=0))&gt;0)=0,"",'Dvd Calendar'!$Y$539*1000000000+ISNUMBER('Dvd Calendar'!$Y$542)*100000000+('Dvd Calendar'!$Y$544=SPECIAL_LBL)*10000000+(N('Dvd Calendar'!$Y$538)&gt;0)*(N('Dvd Calendar'!$Y$538)&lt;=VAL_SERIAL)*1000000+49*1000+21))</f>
        <v/>
      </c>
      <c r="EZ60" s="39">
        <f>IF(N('Dvd Calendar'!$Z$539)=0,"",IF(('Dvd Calendar'!$Z$539&gt;=GRID_FROM)*('Dvd Calendar'!$Z$539&lt;=GRID_TO)*((('Dvd Calendar'!$Z$539&lt;=VAL_DATE)+(COUNTIF('Dvd Calendar'!$E$546:$AR$546,'Dvd Calendar'!$Z$539)=0))&gt;0)=0,"",'Dvd Calendar'!$Z$539*1000000000+ISNUMBER('Dvd Calendar'!$Z$542)*100000000+('Dvd Calendar'!$Z$544=SPECIAL_LBL)*10000000+(N('Dvd Calendar'!$Z$538)&gt;0)*(N('Dvd Calendar'!$Z$538)&lt;=VAL_SERIAL)*1000000+49*1000+22))</f>
        <v/>
      </c>
      <c r="FA60" s="39">
        <f>IF(N('Dvd Calendar'!$AA$539)=0,"",IF(('Dvd Calendar'!$AA$539&gt;=GRID_FROM)*('Dvd Calendar'!$AA$539&lt;=GRID_TO)*((('Dvd Calendar'!$AA$539&lt;=VAL_DATE)+(COUNTIF('Dvd Calendar'!$E$546:$AR$546,'Dvd Calendar'!$AA$539)=0))&gt;0)=0,"",'Dvd Calendar'!$AA$539*1000000000+ISNUMBER('Dvd Calendar'!$AA$542)*100000000+('Dvd Calendar'!$AA$544=SPECIAL_LBL)*10000000+(N('Dvd Calendar'!$AA$538)&gt;0)*(N('Dvd Calendar'!$AA$538)&lt;=VAL_SERIAL)*1000000+49*1000+23))</f>
        <v/>
      </c>
      <c r="FB60" s="39">
        <f>IF(N('Dvd Calendar'!$AB$539)=0,"",IF(('Dvd Calendar'!$AB$539&gt;=GRID_FROM)*('Dvd Calendar'!$AB$539&lt;=GRID_TO)*((('Dvd Calendar'!$AB$539&lt;=VAL_DATE)+(COUNTIF('Dvd Calendar'!$E$546:$AR$546,'Dvd Calendar'!$AB$539)=0))&gt;0)=0,"",'Dvd Calendar'!$AB$539*1000000000+ISNUMBER('Dvd Calendar'!$AB$542)*100000000+('Dvd Calendar'!$AB$544=SPECIAL_LBL)*10000000+(N('Dvd Calendar'!$AB$538)&gt;0)*(N('Dvd Calendar'!$AB$538)&lt;=VAL_SERIAL)*1000000+49*1000+24))</f>
        <v/>
      </c>
      <c r="FC60" s="39">
        <f>IF(N('Dvd Calendar'!$AC$539)=0,"",IF(('Dvd Calendar'!$AC$539&gt;=GRID_FROM)*('Dvd Calendar'!$AC$539&lt;=GRID_TO)*((('Dvd Calendar'!$AC$539&lt;=VAL_DATE)+(COUNTIF('Dvd Calendar'!$E$546:$AR$546,'Dvd Calendar'!$AC$539)=0))&gt;0)=0,"",'Dvd Calendar'!$AC$539*1000000000+ISNUMBER('Dvd Calendar'!$AC$542)*100000000+('Dvd Calendar'!$AC$544=SPECIAL_LBL)*10000000+(N('Dvd Calendar'!$AC$538)&gt;0)*(N('Dvd Calendar'!$AC$538)&lt;=VAL_SERIAL)*1000000+49*1000+25))</f>
        <v/>
      </c>
      <c r="FD60" s="39">
        <f>IF(N('Dvd Calendar'!$AD$539)=0,"",IF(('Dvd Calendar'!$AD$539&gt;=GRID_FROM)*('Dvd Calendar'!$AD$539&lt;=GRID_TO)*((('Dvd Calendar'!$AD$539&lt;=VAL_DATE)+(COUNTIF('Dvd Calendar'!$E$546:$AR$546,'Dvd Calendar'!$AD$539)=0))&gt;0)=0,"",'Dvd Calendar'!$AD$539*1000000000+ISNUMBER('Dvd Calendar'!$AD$542)*100000000+('Dvd Calendar'!$AD$544=SPECIAL_LBL)*10000000+(N('Dvd Calendar'!$AD$538)&gt;0)*(N('Dvd Calendar'!$AD$538)&lt;=VAL_SERIAL)*1000000+49*1000+26))</f>
        <v/>
      </c>
      <c r="FE60" s="39">
        <f>IF(N('Dvd Calendar'!$AE$539)=0,"",IF(('Dvd Calendar'!$AE$539&gt;=GRID_FROM)*('Dvd Calendar'!$AE$539&lt;=GRID_TO)*((('Dvd Calendar'!$AE$539&lt;=VAL_DATE)+(COUNTIF('Dvd Calendar'!$E$546:$AR$546,'Dvd Calendar'!$AE$539)=0))&gt;0)=0,"",'Dvd Calendar'!$AE$539*1000000000+ISNUMBER('Dvd Calendar'!$AE$542)*100000000+('Dvd Calendar'!$AE$544=SPECIAL_LBL)*10000000+(N('Dvd Calendar'!$AE$538)&gt;0)*(N('Dvd Calendar'!$AE$538)&lt;=VAL_SERIAL)*1000000+49*1000+27))</f>
        <v/>
      </c>
      <c r="FF60" s="39">
        <f>IF(N('Dvd Calendar'!$AF$539)=0,"",IF(('Dvd Calendar'!$AF$539&gt;=GRID_FROM)*('Dvd Calendar'!$AF$539&lt;=GRID_TO)*((('Dvd Calendar'!$AF$539&lt;=VAL_DATE)+(COUNTIF('Dvd Calendar'!$E$546:$AR$546,'Dvd Calendar'!$AF$539)=0))&gt;0)=0,"",'Dvd Calendar'!$AF$539*1000000000+ISNUMBER('Dvd Calendar'!$AF$542)*100000000+('Dvd Calendar'!$AF$544=SPECIAL_LBL)*10000000+(N('Dvd Calendar'!$AF$538)&gt;0)*(N('Dvd Calendar'!$AF$538)&lt;=VAL_SERIAL)*1000000+49*1000+28))</f>
        <v/>
      </c>
      <c r="FG60" s="39">
        <f>IF(N('Dvd Calendar'!$AG$539)=0,"",IF(('Dvd Calendar'!$AG$539&gt;=GRID_FROM)*('Dvd Calendar'!$AG$539&lt;=GRID_TO)*((('Dvd Calendar'!$AG$539&lt;=VAL_DATE)+(COUNTIF('Dvd Calendar'!$E$546:$AR$546,'Dvd Calendar'!$AG$539)=0))&gt;0)=0,"",'Dvd Calendar'!$AG$539*1000000000+ISNUMBER('Dvd Calendar'!$AG$542)*100000000+('Dvd Calendar'!$AG$544=SPECIAL_LBL)*10000000+(N('Dvd Calendar'!$AG$538)&gt;0)*(N('Dvd Calendar'!$AG$538)&lt;=VAL_SERIAL)*1000000+49*1000+29))</f>
        <v/>
      </c>
      <c r="FH60" s="39">
        <f>IF(N('Dvd Calendar'!$AH$539)=0,"",IF(('Dvd Calendar'!$AH$539&gt;=GRID_FROM)*('Dvd Calendar'!$AH$539&lt;=GRID_TO)*((('Dvd Calendar'!$AH$539&lt;=VAL_DATE)+(COUNTIF('Dvd Calendar'!$E$546:$AR$546,'Dvd Calendar'!$AH$539)=0))&gt;0)=0,"",'Dvd Calendar'!$AH$539*1000000000+ISNUMBER('Dvd Calendar'!$AH$542)*100000000+('Dvd Calendar'!$AH$544=SPECIAL_LBL)*10000000+(N('Dvd Calendar'!$AH$538)&gt;0)*(N('Dvd Calendar'!$AH$538)&lt;=VAL_SERIAL)*1000000+49*1000+30))</f>
        <v/>
      </c>
      <c r="FI60" s="39">
        <f>IF(N('Dvd Calendar'!$AI$539)=0,"",IF(('Dvd Calendar'!$AI$539&gt;=GRID_FROM)*('Dvd Calendar'!$AI$539&lt;=GRID_TO)*((('Dvd Calendar'!$AI$539&lt;=VAL_DATE)+(COUNTIF('Dvd Calendar'!$E$546:$AR$546,'Dvd Calendar'!$AI$539)=0))&gt;0)=0,"",'Dvd Calendar'!$AI$539*1000000000+ISNUMBER('Dvd Calendar'!$AI$542)*100000000+('Dvd Calendar'!$AI$544=SPECIAL_LBL)*10000000+(N('Dvd Calendar'!$AI$538)&gt;0)*(N('Dvd Calendar'!$AI$538)&lt;=VAL_SERIAL)*1000000+49*1000+31))</f>
        <v/>
      </c>
      <c r="FJ60" s="39">
        <f>IF(N('Dvd Calendar'!$AJ$539)=0,"",IF(('Dvd Calendar'!$AJ$539&gt;=GRID_FROM)*('Dvd Calendar'!$AJ$539&lt;=GRID_TO)*((('Dvd Calendar'!$AJ$539&lt;=VAL_DATE)+(COUNTIF('Dvd Calendar'!$E$546:$AR$546,'Dvd Calendar'!$AJ$539)=0))&gt;0)=0,"",'Dvd Calendar'!$AJ$539*1000000000+ISNUMBER('Dvd Calendar'!$AJ$542)*100000000+('Dvd Calendar'!$AJ$544=SPECIAL_LBL)*10000000+(N('Dvd Calendar'!$AJ$538)&gt;0)*(N('Dvd Calendar'!$AJ$538)&lt;=VAL_SERIAL)*1000000+49*1000+32))</f>
        <v/>
      </c>
      <c r="FK60" s="39">
        <f>IF(N('Dvd Calendar'!$AK$539)=0,"",IF(('Dvd Calendar'!$AK$539&gt;=GRID_FROM)*('Dvd Calendar'!$AK$539&lt;=GRID_TO)*((('Dvd Calendar'!$AK$539&lt;=VAL_DATE)+(COUNTIF('Dvd Calendar'!$E$546:$AR$546,'Dvd Calendar'!$AK$539)=0))&gt;0)=0,"",'Dvd Calendar'!$AK$539*1000000000+ISNUMBER('Dvd Calendar'!$AK$542)*100000000+('Dvd Calendar'!$AK$544=SPECIAL_LBL)*10000000+(N('Dvd Calendar'!$AK$538)&gt;0)*(N('Dvd Calendar'!$AK$538)&lt;=VAL_SERIAL)*1000000+49*1000+33))</f>
        <v/>
      </c>
      <c r="FL60" s="39">
        <f>IF(N('Dvd Calendar'!$AL$539)=0,"",IF(('Dvd Calendar'!$AL$539&gt;=GRID_FROM)*('Dvd Calendar'!$AL$539&lt;=GRID_TO)*((('Dvd Calendar'!$AL$539&lt;=VAL_DATE)+(COUNTIF('Dvd Calendar'!$E$546:$AR$546,'Dvd Calendar'!$AL$539)=0))&gt;0)=0,"",'Dvd Calendar'!$AL$539*1000000000+ISNUMBER('Dvd Calendar'!$AL$542)*100000000+('Dvd Calendar'!$AL$544=SPECIAL_LBL)*10000000+(N('Dvd Calendar'!$AL$538)&gt;0)*(N('Dvd Calendar'!$AL$538)&lt;=VAL_SERIAL)*1000000+49*1000+34))</f>
        <v/>
      </c>
      <c r="FM60" s="39">
        <f>IF(N('Dvd Calendar'!$AM$539)=0,"",IF(('Dvd Calendar'!$AM$539&gt;=GRID_FROM)*('Dvd Calendar'!$AM$539&lt;=GRID_TO)*((('Dvd Calendar'!$AM$539&lt;=VAL_DATE)+(COUNTIF('Dvd Calendar'!$E$546:$AR$546,'Dvd Calendar'!$AM$539)=0))&gt;0)=0,"",'Dvd Calendar'!$AM$539*1000000000+ISNUMBER('Dvd Calendar'!$AM$542)*100000000+('Dvd Calendar'!$AM$544=SPECIAL_LBL)*10000000+(N('Dvd Calendar'!$AM$538)&gt;0)*(N('Dvd Calendar'!$AM$538)&lt;=VAL_SERIAL)*1000000+49*1000+35))</f>
        <v/>
      </c>
      <c r="FN60" s="39">
        <f>IF(N('Dvd Calendar'!$AN$539)=0,"",IF(('Dvd Calendar'!$AN$539&gt;=GRID_FROM)*('Dvd Calendar'!$AN$539&lt;=GRID_TO)*((('Dvd Calendar'!$AN$539&lt;=VAL_DATE)+(COUNTIF('Dvd Calendar'!$E$546:$AR$546,'Dvd Calendar'!$AN$539)=0))&gt;0)=0,"",'Dvd Calendar'!$AN$539*1000000000+ISNUMBER('Dvd Calendar'!$AN$542)*100000000+('Dvd Calendar'!$AN$544=SPECIAL_LBL)*10000000+(N('Dvd Calendar'!$AN$538)&gt;0)*(N('Dvd Calendar'!$AN$538)&lt;=VAL_SERIAL)*1000000+49*1000+36))</f>
        <v/>
      </c>
      <c r="FO60" s="39">
        <f>IF(N('Dvd Calendar'!$AO$539)=0,"",IF(('Dvd Calendar'!$AO$539&gt;=GRID_FROM)*('Dvd Calendar'!$AO$539&lt;=GRID_TO)*((('Dvd Calendar'!$AO$539&lt;=VAL_DATE)+(COUNTIF('Dvd Calendar'!$E$546:$AR$546,'Dvd Calendar'!$AO$539)=0))&gt;0)=0,"",'Dvd Calendar'!$AO$539*1000000000+ISNUMBER('Dvd Calendar'!$AO$542)*100000000+('Dvd Calendar'!$AO$544=SPECIAL_LBL)*10000000+(N('Dvd Calendar'!$AO$538)&gt;0)*(N('Dvd Calendar'!$AO$538)&lt;=VAL_SERIAL)*1000000+49*1000+37))</f>
        <v/>
      </c>
      <c r="FP60" s="39">
        <f>IF(N('Dvd Calendar'!$AP$539)=0,"",IF(('Dvd Calendar'!$AP$539&gt;=GRID_FROM)*('Dvd Calendar'!$AP$539&lt;=GRID_TO)*((('Dvd Calendar'!$AP$539&lt;=VAL_DATE)+(COUNTIF('Dvd Calendar'!$E$546:$AR$546,'Dvd Calendar'!$AP$539)=0))&gt;0)=0,"",'Dvd Calendar'!$AP$539*1000000000+ISNUMBER('Dvd Calendar'!$AP$542)*100000000+('Dvd Calendar'!$AP$544=SPECIAL_LBL)*10000000+(N('Dvd Calendar'!$AP$538)&gt;0)*(N('Dvd Calendar'!$AP$538)&lt;=VAL_SERIAL)*1000000+49*1000+38))</f>
        <v/>
      </c>
      <c r="FQ60" s="39">
        <f>IF(N('Dvd Calendar'!$AQ$539)=0,"",IF(('Dvd Calendar'!$AQ$539&gt;=GRID_FROM)*('Dvd Calendar'!$AQ$539&lt;=GRID_TO)*((('Dvd Calendar'!$AQ$539&lt;=VAL_DATE)+(COUNTIF('Dvd Calendar'!$E$546:$AR$546,'Dvd Calendar'!$AQ$539)=0))&gt;0)=0,"",'Dvd Calendar'!$AQ$539*1000000000+ISNUMBER('Dvd Calendar'!$AQ$542)*100000000+('Dvd Calendar'!$AQ$544=SPECIAL_LBL)*10000000+(N('Dvd Calendar'!$AQ$538)&gt;0)*(N('Dvd Calendar'!$AQ$538)&lt;=VAL_SERIAL)*1000000+49*1000+39))</f>
        <v/>
      </c>
      <c r="FR60" s="39">
        <f>IF(N('Dvd Calendar'!$AR$539)=0,"",IF(('Dvd Calendar'!$AR$539&gt;=GRID_FROM)*('Dvd Calendar'!$AR$539&lt;=GRID_TO)*((('Dvd Calendar'!$AR$539&lt;=VAL_DATE)+(COUNTIF('Dvd Calendar'!$E$546:$AR$546,'Dvd Calendar'!$AR$539)=0))&gt;0)=0,"",'Dvd Calendar'!$AR$539*1000000000+ISNUMBER('Dvd Calendar'!$AR$542)*100000000+('Dvd Calendar'!$AR$544=SPECIAL_LBL)*10000000+(N('Dvd Calendar'!$AR$538)&gt;0)*(N('Dvd Calendar'!$AR$538)&lt;=VAL_SERIAL)*1000000+49*1000+40))</f>
        <v/>
      </c>
      <c r="FS60" s="39">
        <f>IF(N('Dvd Calendar'!$E$546)=0,"",IF(('Dvd Calendar'!$E$546&gt;=GRID_FROM)*('Dvd Calendar'!$E$546&lt;=GRID_TO)*('Dvd Calendar'!$E$546&gt;VAL_DATE)=0,"",'Dvd Calendar'!$E$546*1000000000+ISNUMBER('Dvd Calendar'!$E$547)*100000000+0*10000000+(N('Dvd Calendar'!$E$545)&gt;0)*(N('Dvd Calendar'!$E$545)&lt;=VAL_SERIAL)*1000000+49*1000+41))</f>
        <v/>
      </c>
      <c r="FT60" s="39">
        <f>IF(N('Dvd Calendar'!$F$546)=0,"",IF(('Dvd Calendar'!$F$546&gt;=GRID_FROM)*('Dvd Calendar'!$F$546&lt;=GRID_TO)*('Dvd Calendar'!$F$546&gt;VAL_DATE)=0,"",'Dvd Calendar'!$F$546*1000000000+ISNUMBER('Dvd Calendar'!$F$547)*100000000+0*10000000+(N('Dvd Calendar'!$F$545)&gt;0)*(N('Dvd Calendar'!$F$545)&lt;=VAL_SERIAL)*1000000+49*1000+42))</f>
        <v/>
      </c>
      <c r="FU60" s="39">
        <f>IF(N('Dvd Calendar'!$G$546)=0,"",IF(('Dvd Calendar'!$G$546&gt;=GRID_FROM)*('Dvd Calendar'!$G$546&lt;=GRID_TO)*('Dvd Calendar'!$G$546&gt;VAL_DATE)=0,"",'Dvd Calendar'!$G$546*1000000000+ISNUMBER('Dvd Calendar'!$G$547)*100000000+0*10000000+(N('Dvd Calendar'!$G$545)&gt;0)*(N('Dvd Calendar'!$G$545)&lt;=VAL_SERIAL)*1000000+49*1000+43))</f>
        <v/>
      </c>
      <c r="FV60" s="39">
        <f>IF(N('Dvd Calendar'!$H$546)=0,"",IF(('Dvd Calendar'!$H$546&gt;=GRID_FROM)*('Dvd Calendar'!$H$546&lt;=GRID_TO)*('Dvd Calendar'!$H$546&gt;VAL_DATE)=0,"",'Dvd Calendar'!$H$546*1000000000+ISNUMBER('Dvd Calendar'!$H$547)*100000000+0*10000000+(N('Dvd Calendar'!$H$545)&gt;0)*(N('Dvd Calendar'!$H$545)&lt;=VAL_SERIAL)*1000000+49*1000+44))</f>
        <v/>
      </c>
      <c r="FW60" s="39">
        <f>IF(N('Dvd Calendar'!$I$546)=0,"",IF(('Dvd Calendar'!$I$546&gt;=GRID_FROM)*('Dvd Calendar'!$I$546&lt;=GRID_TO)*('Dvd Calendar'!$I$546&gt;VAL_DATE)=0,"",'Dvd Calendar'!$I$546*1000000000+ISNUMBER('Dvd Calendar'!$I$547)*100000000+0*10000000+(N('Dvd Calendar'!$I$545)&gt;0)*(N('Dvd Calendar'!$I$545)&lt;=VAL_SERIAL)*1000000+49*1000+45))</f>
        <v/>
      </c>
      <c r="FX60" s="39">
        <f>IF(N('Dvd Calendar'!$J$546)=0,"",IF(('Dvd Calendar'!$J$546&gt;=GRID_FROM)*('Dvd Calendar'!$J$546&lt;=GRID_TO)*('Dvd Calendar'!$J$546&gt;VAL_DATE)=0,"",'Dvd Calendar'!$J$546*1000000000+ISNUMBER('Dvd Calendar'!$J$547)*100000000+0*10000000+(N('Dvd Calendar'!$J$545)&gt;0)*(N('Dvd Calendar'!$J$545)&lt;=VAL_SERIAL)*1000000+49*1000+46))</f>
        <v/>
      </c>
      <c r="FY60" s="39">
        <f>IF(N('Dvd Calendar'!$K$546)=0,"",IF(('Dvd Calendar'!$K$546&gt;=GRID_FROM)*('Dvd Calendar'!$K$546&lt;=GRID_TO)*('Dvd Calendar'!$K$546&gt;VAL_DATE)=0,"",'Dvd Calendar'!$K$546*1000000000+ISNUMBER('Dvd Calendar'!$K$547)*100000000+0*10000000+(N('Dvd Calendar'!$K$545)&gt;0)*(N('Dvd Calendar'!$K$545)&lt;=VAL_SERIAL)*1000000+49*1000+47))</f>
        <v/>
      </c>
      <c r="FZ60" s="39">
        <f>IF(N('Dvd Calendar'!$L$546)=0,"",IF(('Dvd Calendar'!$L$546&gt;=GRID_FROM)*('Dvd Calendar'!$L$546&lt;=GRID_TO)*('Dvd Calendar'!$L$546&gt;VAL_DATE)=0,"",'Dvd Calendar'!$L$546*1000000000+ISNUMBER('Dvd Calendar'!$L$547)*100000000+0*10000000+(N('Dvd Calendar'!$L$545)&gt;0)*(N('Dvd Calendar'!$L$545)&lt;=VAL_SERIAL)*1000000+49*1000+48))</f>
        <v/>
      </c>
      <c r="GA60" s="39">
        <f>IF(N('Dvd Calendar'!$M$546)=0,"",IF(('Dvd Calendar'!$M$546&gt;=GRID_FROM)*('Dvd Calendar'!$M$546&lt;=GRID_TO)*('Dvd Calendar'!$M$546&gt;VAL_DATE)=0,"",'Dvd Calendar'!$M$546*1000000000+ISNUMBER('Dvd Calendar'!$M$547)*100000000+0*10000000+(N('Dvd Calendar'!$M$545)&gt;0)*(N('Dvd Calendar'!$M$545)&lt;=VAL_SERIAL)*1000000+49*1000+49))</f>
        <v/>
      </c>
      <c r="GB60" s="39">
        <f>IF(N('Dvd Calendar'!$N$546)=0,"",IF(('Dvd Calendar'!$N$546&gt;=GRID_FROM)*('Dvd Calendar'!$N$546&lt;=GRID_TO)*('Dvd Calendar'!$N$546&gt;VAL_DATE)=0,"",'Dvd Calendar'!$N$546*1000000000+ISNUMBER('Dvd Calendar'!$N$547)*100000000+0*10000000+(N('Dvd Calendar'!$N$545)&gt;0)*(N('Dvd Calendar'!$N$545)&lt;=VAL_SERIAL)*1000000+49*1000+50))</f>
        <v/>
      </c>
      <c r="GC60" s="39">
        <f>IF(N('Dvd Calendar'!$O$546)=0,"",IF(('Dvd Calendar'!$O$546&gt;=GRID_FROM)*('Dvd Calendar'!$O$546&lt;=GRID_TO)*('Dvd Calendar'!$O$546&gt;VAL_DATE)=0,"",'Dvd Calendar'!$O$546*1000000000+ISNUMBER('Dvd Calendar'!$O$547)*100000000+0*10000000+(N('Dvd Calendar'!$O$545)&gt;0)*(N('Dvd Calendar'!$O$545)&lt;=VAL_SERIAL)*1000000+49*1000+51))</f>
        <v/>
      </c>
      <c r="GD60" s="39">
        <f>IF(N('Dvd Calendar'!$P$546)=0,"",IF(('Dvd Calendar'!$P$546&gt;=GRID_FROM)*('Dvd Calendar'!$P$546&lt;=GRID_TO)*('Dvd Calendar'!$P$546&gt;VAL_DATE)=0,"",'Dvd Calendar'!$P$546*1000000000+ISNUMBER('Dvd Calendar'!$P$547)*100000000+0*10000000+(N('Dvd Calendar'!$P$545)&gt;0)*(N('Dvd Calendar'!$P$545)&lt;=VAL_SERIAL)*1000000+49*1000+52))</f>
        <v/>
      </c>
      <c r="GE60" s="39">
        <f>IF(N('Dvd Calendar'!$Q$546)=0,"",IF(('Dvd Calendar'!$Q$546&gt;=GRID_FROM)*('Dvd Calendar'!$Q$546&lt;=GRID_TO)*('Dvd Calendar'!$Q$546&gt;VAL_DATE)=0,"",'Dvd Calendar'!$Q$546*1000000000+ISNUMBER('Dvd Calendar'!$Q$547)*100000000+0*10000000+(N('Dvd Calendar'!$Q$545)&gt;0)*(N('Dvd Calendar'!$Q$545)&lt;=VAL_SERIAL)*1000000+49*1000+53))</f>
        <v/>
      </c>
      <c r="GF60" s="39">
        <f>IF(N('Dvd Calendar'!$R$546)=0,"",IF(('Dvd Calendar'!$R$546&gt;=GRID_FROM)*('Dvd Calendar'!$R$546&lt;=GRID_TO)*('Dvd Calendar'!$R$546&gt;VAL_DATE)=0,"",'Dvd Calendar'!$R$546*1000000000+ISNUMBER('Dvd Calendar'!$R$547)*100000000+0*10000000+(N('Dvd Calendar'!$R$545)&gt;0)*(N('Dvd Calendar'!$R$545)&lt;=VAL_SERIAL)*1000000+49*1000+54))</f>
        <v/>
      </c>
      <c r="GG60" s="39">
        <f>IF(N('Dvd Calendar'!$S$546)=0,"",IF(('Dvd Calendar'!$S$546&gt;=GRID_FROM)*('Dvd Calendar'!$S$546&lt;=GRID_TO)*('Dvd Calendar'!$S$546&gt;VAL_DATE)=0,"",'Dvd Calendar'!$S$546*1000000000+ISNUMBER('Dvd Calendar'!$S$547)*100000000+0*10000000+(N('Dvd Calendar'!$S$545)&gt;0)*(N('Dvd Calendar'!$S$545)&lt;=VAL_SERIAL)*1000000+49*1000+55))</f>
        <v/>
      </c>
      <c r="GH60" s="39">
        <f>IF(N('Dvd Calendar'!$T$546)=0,"",IF(('Dvd Calendar'!$T$546&gt;=GRID_FROM)*('Dvd Calendar'!$T$546&lt;=GRID_TO)*('Dvd Calendar'!$T$546&gt;VAL_DATE)=0,"",'Dvd Calendar'!$T$546*1000000000+ISNUMBER('Dvd Calendar'!$T$547)*100000000+0*10000000+(N('Dvd Calendar'!$T$545)&gt;0)*(N('Dvd Calendar'!$T$545)&lt;=VAL_SERIAL)*1000000+49*1000+56))</f>
        <v/>
      </c>
      <c r="GI60" s="39">
        <f>IF(N('Dvd Calendar'!$U$546)=0,"",IF(('Dvd Calendar'!$U$546&gt;=GRID_FROM)*('Dvd Calendar'!$U$546&lt;=GRID_TO)*('Dvd Calendar'!$U$546&gt;VAL_DATE)=0,"",'Dvd Calendar'!$U$546*1000000000+ISNUMBER('Dvd Calendar'!$U$547)*100000000+0*10000000+(N('Dvd Calendar'!$U$545)&gt;0)*(N('Dvd Calendar'!$U$545)&lt;=VAL_SERIAL)*1000000+49*1000+57))</f>
        <v/>
      </c>
      <c r="GJ60" s="39">
        <f>IF(N('Dvd Calendar'!$V$546)=0,"",IF(('Dvd Calendar'!$V$546&gt;=GRID_FROM)*('Dvd Calendar'!$V$546&lt;=GRID_TO)*('Dvd Calendar'!$V$546&gt;VAL_DATE)=0,"",'Dvd Calendar'!$V$546*1000000000+ISNUMBER('Dvd Calendar'!$V$547)*100000000+0*10000000+(N('Dvd Calendar'!$V$545)&gt;0)*(N('Dvd Calendar'!$V$545)&lt;=VAL_SERIAL)*1000000+49*1000+58))</f>
        <v/>
      </c>
      <c r="GK60" s="39">
        <f>IF(N('Dvd Calendar'!$W$546)=0,"",IF(('Dvd Calendar'!$W$546&gt;=GRID_FROM)*('Dvd Calendar'!$W$546&lt;=GRID_TO)*('Dvd Calendar'!$W$546&gt;VAL_DATE)=0,"",'Dvd Calendar'!$W$546*1000000000+ISNUMBER('Dvd Calendar'!$W$547)*100000000+0*10000000+(N('Dvd Calendar'!$W$545)&gt;0)*(N('Dvd Calendar'!$W$545)&lt;=VAL_SERIAL)*1000000+49*1000+59))</f>
        <v/>
      </c>
      <c r="GL60" s="39">
        <f>IF(N('Dvd Calendar'!$X$546)=0,"",IF(('Dvd Calendar'!$X$546&gt;=GRID_FROM)*('Dvd Calendar'!$X$546&lt;=GRID_TO)*('Dvd Calendar'!$X$546&gt;VAL_DATE)=0,"",'Dvd Calendar'!$X$546*1000000000+ISNUMBER('Dvd Calendar'!$X$547)*100000000+0*10000000+(N('Dvd Calendar'!$X$545)&gt;0)*(N('Dvd Calendar'!$X$545)&lt;=VAL_SERIAL)*1000000+49*1000+60))</f>
        <v/>
      </c>
      <c r="GM60" s="39">
        <f>IF(N('Dvd Calendar'!$Y$546)=0,"",IF(('Dvd Calendar'!$Y$546&gt;=GRID_FROM)*('Dvd Calendar'!$Y$546&lt;=GRID_TO)*('Dvd Calendar'!$Y$546&gt;VAL_DATE)=0,"",'Dvd Calendar'!$Y$546*1000000000+ISNUMBER('Dvd Calendar'!$Y$547)*100000000+0*10000000+(N('Dvd Calendar'!$Y$545)&gt;0)*(N('Dvd Calendar'!$Y$545)&lt;=VAL_SERIAL)*1000000+49*1000+61))</f>
        <v/>
      </c>
      <c r="GN60" s="39">
        <f>IF(N('Dvd Calendar'!$Z$546)=0,"",IF(('Dvd Calendar'!$Z$546&gt;=GRID_FROM)*('Dvd Calendar'!$Z$546&lt;=GRID_TO)*('Dvd Calendar'!$Z$546&gt;VAL_DATE)=0,"",'Dvd Calendar'!$Z$546*1000000000+ISNUMBER('Dvd Calendar'!$Z$547)*100000000+0*10000000+(N('Dvd Calendar'!$Z$545)&gt;0)*(N('Dvd Calendar'!$Z$545)&lt;=VAL_SERIAL)*1000000+49*1000+62))</f>
        <v/>
      </c>
      <c r="GO60" s="39">
        <f>IF(N('Dvd Calendar'!$AA$546)=0,"",IF(('Dvd Calendar'!$AA$546&gt;=GRID_FROM)*('Dvd Calendar'!$AA$546&lt;=GRID_TO)*('Dvd Calendar'!$AA$546&gt;VAL_DATE)=0,"",'Dvd Calendar'!$AA$546*1000000000+ISNUMBER('Dvd Calendar'!$AA$547)*100000000+0*10000000+(N('Dvd Calendar'!$AA$545)&gt;0)*(N('Dvd Calendar'!$AA$545)&lt;=VAL_SERIAL)*1000000+49*1000+63))</f>
        <v/>
      </c>
      <c r="GP60" s="39">
        <f>IF(N('Dvd Calendar'!$AB$546)=0,"",IF(('Dvd Calendar'!$AB$546&gt;=GRID_FROM)*('Dvd Calendar'!$AB$546&lt;=GRID_TO)*('Dvd Calendar'!$AB$546&gt;VAL_DATE)=0,"",'Dvd Calendar'!$AB$546*1000000000+ISNUMBER('Dvd Calendar'!$AB$547)*100000000+0*10000000+(N('Dvd Calendar'!$AB$545)&gt;0)*(N('Dvd Calendar'!$AB$545)&lt;=VAL_SERIAL)*1000000+49*1000+64))</f>
        <v/>
      </c>
      <c r="GQ60" s="39">
        <f>IF(N('Dvd Calendar'!$AC$546)=0,"",IF(('Dvd Calendar'!$AC$546&gt;=GRID_FROM)*('Dvd Calendar'!$AC$546&lt;=GRID_TO)*('Dvd Calendar'!$AC$546&gt;VAL_DATE)=0,"",'Dvd Calendar'!$AC$546*1000000000+ISNUMBER('Dvd Calendar'!$AC$547)*100000000+0*10000000+(N('Dvd Calendar'!$AC$545)&gt;0)*(N('Dvd Calendar'!$AC$545)&lt;=VAL_SERIAL)*1000000+49*1000+65))</f>
        <v/>
      </c>
    </row>
    <row r="61">
      <c r="B61" s="2">
        <f>IF(HSI!$C$56="","",HSI!$C$56)</f>
        <v/>
      </c>
      <c r="C61" s="110">
        <f>IF(EE61="","",IF(ISNUMBER('Dvd Calendar'!$E$553)=FALSE,"",IF((('Dvd Calendar'!$E$555=TYPE1)*(TYPE1&lt;&gt;"")+('Dvd Calendar'!$E$555=TYPE2)*(TYPE2&lt;&gt;"")+('Dvd Calendar'!$E$555=TYPE3)*(TYPE3&lt;&gt;"")+('Dvd Calendar'!$E$555=TYPE4)*(TYPE4&lt;&gt;"")+('Dvd Calendar'!$E$555=SPECIAL_LBL)*(INC_SPECIALS="Y"))=0,"",'Dvd Calendar'!$E$553)))</f>
        <v/>
      </c>
      <c r="D61" s="110">
        <f>IF(EF61="","",IF(ISNUMBER('Dvd Calendar'!$F$553)=FALSE,"",IF((('Dvd Calendar'!$F$555=TYPE1)*(TYPE1&lt;&gt;"")+('Dvd Calendar'!$F$555=TYPE2)*(TYPE2&lt;&gt;"")+('Dvd Calendar'!$F$555=TYPE3)*(TYPE3&lt;&gt;"")+('Dvd Calendar'!$F$555=TYPE4)*(TYPE4&lt;&gt;"")+('Dvd Calendar'!$F$555=SPECIAL_LBL)*(INC_SPECIALS="Y"))=0,"",'Dvd Calendar'!$F$553)))</f>
        <v/>
      </c>
      <c r="E61" s="110">
        <f>IF(EG61="","",IF(ISNUMBER('Dvd Calendar'!$G$553)=FALSE,"",IF((('Dvd Calendar'!$G$555=TYPE1)*(TYPE1&lt;&gt;"")+('Dvd Calendar'!$G$555=TYPE2)*(TYPE2&lt;&gt;"")+('Dvd Calendar'!$G$555=TYPE3)*(TYPE3&lt;&gt;"")+('Dvd Calendar'!$G$555=TYPE4)*(TYPE4&lt;&gt;"")+('Dvd Calendar'!$G$555=SPECIAL_LBL)*(INC_SPECIALS="Y"))=0,"",'Dvd Calendar'!$G$553)))</f>
        <v/>
      </c>
      <c r="F61" s="110">
        <f>IF(EH61="","",IF(ISNUMBER('Dvd Calendar'!$H$553)=FALSE,"",IF((('Dvd Calendar'!$H$555=TYPE1)*(TYPE1&lt;&gt;"")+('Dvd Calendar'!$H$555=TYPE2)*(TYPE2&lt;&gt;"")+('Dvd Calendar'!$H$555=TYPE3)*(TYPE3&lt;&gt;"")+('Dvd Calendar'!$H$555=TYPE4)*(TYPE4&lt;&gt;"")+('Dvd Calendar'!$H$555=SPECIAL_LBL)*(INC_SPECIALS="Y"))=0,"",'Dvd Calendar'!$H$553)))</f>
        <v/>
      </c>
      <c r="G61" s="110">
        <f>IF(EI61="","",IF(ISNUMBER('Dvd Calendar'!$I$553)=FALSE,"",IF((('Dvd Calendar'!$I$555=TYPE1)*(TYPE1&lt;&gt;"")+('Dvd Calendar'!$I$555=TYPE2)*(TYPE2&lt;&gt;"")+('Dvd Calendar'!$I$555=TYPE3)*(TYPE3&lt;&gt;"")+('Dvd Calendar'!$I$555=TYPE4)*(TYPE4&lt;&gt;"")+('Dvd Calendar'!$I$555=SPECIAL_LBL)*(INC_SPECIALS="Y"))=0,"",'Dvd Calendar'!$I$553)))</f>
        <v/>
      </c>
      <c r="H61" s="110">
        <f>IF(EJ61="","",IF(ISNUMBER('Dvd Calendar'!$J$553)=FALSE,"",IF((('Dvd Calendar'!$J$555=TYPE1)*(TYPE1&lt;&gt;"")+('Dvd Calendar'!$J$555=TYPE2)*(TYPE2&lt;&gt;"")+('Dvd Calendar'!$J$555=TYPE3)*(TYPE3&lt;&gt;"")+('Dvd Calendar'!$J$555=TYPE4)*(TYPE4&lt;&gt;"")+('Dvd Calendar'!$J$555=SPECIAL_LBL)*(INC_SPECIALS="Y"))=0,"",'Dvd Calendar'!$J$553)))</f>
        <v/>
      </c>
      <c r="I61" s="110">
        <f>IF(EK61="","",IF(ISNUMBER('Dvd Calendar'!$K$553)=FALSE,"",IF((('Dvd Calendar'!$K$555=TYPE1)*(TYPE1&lt;&gt;"")+('Dvd Calendar'!$K$555=TYPE2)*(TYPE2&lt;&gt;"")+('Dvd Calendar'!$K$555=TYPE3)*(TYPE3&lt;&gt;"")+('Dvd Calendar'!$K$555=TYPE4)*(TYPE4&lt;&gt;"")+('Dvd Calendar'!$K$555=SPECIAL_LBL)*(INC_SPECIALS="Y"))=0,"",'Dvd Calendar'!$K$553)))</f>
        <v/>
      </c>
      <c r="J61" s="110">
        <f>IF(EL61="","",IF(ISNUMBER('Dvd Calendar'!$L$553)=FALSE,"",IF((('Dvd Calendar'!$L$555=TYPE1)*(TYPE1&lt;&gt;"")+('Dvd Calendar'!$L$555=TYPE2)*(TYPE2&lt;&gt;"")+('Dvd Calendar'!$L$555=TYPE3)*(TYPE3&lt;&gt;"")+('Dvd Calendar'!$L$555=TYPE4)*(TYPE4&lt;&gt;"")+('Dvd Calendar'!$L$555=SPECIAL_LBL)*(INC_SPECIALS="Y"))=0,"",'Dvd Calendar'!$L$553)))</f>
        <v/>
      </c>
      <c r="K61" s="110">
        <f>IF(EM61="","",IF(ISNUMBER('Dvd Calendar'!$M$553)=FALSE,"",IF((('Dvd Calendar'!$M$555=TYPE1)*(TYPE1&lt;&gt;"")+('Dvd Calendar'!$M$555=TYPE2)*(TYPE2&lt;&gt;"")+('Dvd Calendar'!$M$555=TYPE3)*(TYPE3&lt;&gt;"")+('Dvd Calendar'!$M$555=TYPE4)*(TYPE4&lt;&gt;"")+('Dvd Calendar'!$M$555=SPECIAL_LBL)*(INC_SPECIALS="Y"))=0,"",'Dvd Calendar'!$M$553)))</f>
        <v/>
      </c>
      <c r="L61" s="110">
        <f>IF(EN61="","",IF(ISNUMBER('Dvd Calendar'!$N$553)=FALSE,"",IF((('Dvd Calendar'!$N$555=TYPE1)*(TYPE1&lt;&gt;"")+('Dvd Calendar'!$N$555=TYPE2)*(TYPE2&lt;&gt;"")+('Dvd Calendar'!$N$555=TYPE3)*(TYPE3&lt;&gt;"")+('Dvd Calendar'!$N$555=TYPE4)*(TYPE4&lt;&gt;"")+('Dvd Calendar'!$N$555=SPECIAL_LBL)*(INC_SPECIALS="Y"))=0,"",'Dvd Calendar'!$N$553)))</f>
        <v/>
      </c>
      <c r="M61" s="110">
        <f>IF(EO61="","",IF(ISNUMBER('Dvd Calendar'!$O$553)=FALSE,"",IF((('Dvd Calendar'!$O$555=TYPE1)*(TYPE1&lt;&gt;"")+('Dvd Calendar'!$O$555=TYPE2)*(TYPE2&lt;&gt;"")+('Dvd Calendar'!$O$555=TYPE3)*(TYPE3&lt;&gt;"")+('Dvd Calendar'!$O$555=TYPE4)*(TYPE4&lt;&gt;"")+('Dvd Calendar'!$O$555=SPECIAL_LBL)*(INC_SPECIALS="Y"))=0,"",'Dvd Calendar'!$O$553)))</f>
        <v/>
      </c>
      <c r="N61" s="110">
        <f>IF(EP61="","",IF(ISNUMBER('Dvd Calendar'!$P$553)=FALSE,"",IF((('Dvd Calendar'!$P$555=TYPE1)*(TYPE1&lt;&gt;"")+('Dvd Calendar'!$P$555=TYPE2)*(TYPE2&lt;&gt;"")+('Dvd Calendar'!$P$555=TYPE3)*(TYPE3&lt;&gt;"")+('Dvd Calendar'!$P$555=TYPE4)*(TYPE4&lt;&gt;"")+('Dvd Calendar'!$P$555=SPECIAL_LBL)*(INC_SPECIALS="Y"))=0,"",'Dvd Calendar'!$P$553)))</f>
        <v/>
      </c>
      <c r="O61" s="110">
        <f>IF(EQ61="","",IF(ISNUMBER('Dvd Calendar'!$Q$553)=FALSE,"",IF((('Dvd Calendar'!$Q$555=TYPE1)*(TYPE1&lt;&gt;"")+('Dvd Calendar'!$Q$555=TYPE2)*(TYPE2&lt;&gt;"")+('Dvd Calendar'!$Q$555=TYPE3)*(TYPE3&lt;&gt;"")+('Dvd Calendar'!$Q$555=TYPE4)*(TYPE4&lt;&gt;"")+('Dvd Calendar'!$Q$555=SPECIAL_LBL)*(INC_SPECIALS="Y"))=0,"",'Dvd Calendar'!$Q$553)))</f>
        <v/>
      </c>
      <c r="P61" s="110">
        <f>IF(ER61="","",IF(ISNUMBER('Dvd Calendar'!$R$553)=FALSE,"",IF((('Dvd Calendar'!$R$555=TYPE1)*(TYPE1&lt;&gt;"")+('Dvd Calendar'!$R$555=TYPE2)*(TYPE2&lt;&gt;"")+('Dvd Calendar'!$R$555=TYPE3)*(TYPE3&lt;&gt;"")+('Dvd Calendar'!$R$555=TYPE4)*(TYPE4&lt;&gt;"")+('Dvd Calendar'!$R$555=SPECIAL_LBL)*(INC_SPECIALS="Y"))=0,"",'Dvd Calendar'!$R$553)))</f>
        <v/>
      </c>
      <c r="Q61" s="110">
        <f>IF(ES61="","",IF(ISNUMBER('Dvd Calendar'!$S$553)=FALSE,"",IF((('Dvd Calendar'!$S$555=TYPE1)*(TYPE1&lt;&gt;"")+('Dvd Calendar'!$S$555=TYPE2)*(TYPE2&lt;&gt;"")+('Dvd Calendar'!$S$555=TYPE3)*(TYPE3&lt;&gt;"")+('Dvd Calendar'!$S$555=TYPE4)*(TYPE4&lt;&gt;"")+('Dvd Calendar'!$S$555=SPECIAL_LBL)*(INC_SPECIALS="Y"))=0,"",'Dvd Calendar'!$S$553)))</f>
        <v/>
      </c>
      <c r="R61" s="110">
        <f>IF(ET61="","",IF(ISNUMBER('Dvd Calendar'!$T$553)=FALSE,"",IF((('Dvd Calendar'!$T$555=TYPE1)*(TYPE1&lt;&gt;"")+('Dvd Calendar'!$T$555=TYPE2)*(TYPE2&lt;&gt;"")+('Dvd Calendar'!$T$555=TYPE3)*(TYPE3&lt;&gt;"")+('Dvd Calendar'!$T$555=TYPE4)*(TYPE4&lt;&gt;"")+('Dvd Calendar'!$T$555=SPECIAL_LBL)*(INC_SPECIALS="Y"))=0,"",'Dvd Calendar'!$T$553)))</f>
        <v/>
      </c>
      <c r="S61" s="110">
        <f>IF(EU61="","",IF(ISNUMBER('Dvd Calendar'!$U$553)=FALSE,"",IF((('Dvd Calendar'!$U$555=TYPE1)*(TYPE1&lt;&gt;"")+('Dvd Calendar'!$U$555=TYPE2)*(TYPE2&lt;&gt;"")+('Dvd Calendar'!$U$555=TYPE3)*(TYPE3&lt;&gt;"")+('Dvd Calendar'!$U$555=TYPE4)*(TYPE4&lt;&gt;"")+('Dvd Calendar'!$U$555=SPECIAL_LBL)*(INC_SPECIALS="Y"))=0,"",'Dvd Calendar'!$U$553)))</f>
        <v/>
      </c>
      <c r="T61" s="110">
        <f>IF(EV61="","",IF(ISNUMBER('Dvd Calendar'!$V$553)=FALSE,"",IF((('Dvd Calendar'!$V$555=TYPE1)*(TYPE1&lt;&gt;"")+('Dvd Calendar'!$V$555=TYPE2)*(TYPE2&lt;&gt;"")+('Dvd Calendar'!$V$555=TYPE3)*(TYPE3&lt;&gt;"")+('Dvd Calendar'!$V$555=TYPE4)*(TYPE4&lt;&gt;"")+('Dvd Calendar'!$V$555=SPECIAL_LBL)*(INC_SPECIALS="Y"))=0,"",'Dvd Calendar'!$V$553)))</f>
        <v/>
      </c>
      <c r="U61" s="110">
        <f>IF(EW61="","",IF(ISNUMBER('Dvd Calendar'!$W$553)=FALSE,"",IF((('Dvd Calendar'!$W$555=TYPE1)*(TYPE1&lt;&gt;"")+('Dvd Calendar'!$W$555=TYPE2)*(TYPE2&lt;&gt;"")+('Dvd Calendar'!$W$555=TYPE3)*(TYPE3&lt;&gt;"")+('Dvd Calendar'!$W$555=TYPE4)*(TYPE4&lt;&gt;"")+('Dvd Calendar'!$W$555=SPECIAL_LBL)*(INC_SPECIALS="Y"))=0,"",'Dvd Calendar'!$W$553)))</f>
        <v/>
      </c>
      <c r="V61" s="110">
        <f>IF(EX61="","",IF(ISNUMBER('Dvd Calendar'!$X$553)=FALSE,"",IF((('Dvd Calendar'!$X$555=TYPE1)*(TYPE1&lt;&gt;"")+('Dvd Calendar'!$X$555=TYPE2)*(TYPE2&lt;&gt;"")+('Dvd Calendar'!$X$555=TYPE3)*(TYPE3&lt;&gt;"")+('Dvd Calendar'!$X$555=TYPE4)*(TYPE4&lt;&gt;"")+('Dvd Calendar'!$X$555=SPECIAL_LBL)*(INC_SPECIALS="Y"))=0,"",'Dvd Calendar'!$X$553)))</f>
        <v/>
      </c>
      <c r="W61" s="110">
        <f>IF(EY61="","",IF(ISNUMBER('Dvd Calendar'!$Y$553)=FALSE,"",IF((('Dvd Calendar'!$Y$555=TYPE1)*(TYPE1&lt;&gt;"")+('Dvd Calendar'!$Y$555=TYPE2)*(TYPE2&lt;&gt;"")+('Dvd Calendar'!$Y$555=TYPE3)*(TYPE3&lt;&gt;"")+('Dvd Calendar'!$Y$555=TYPE4)*(TYPE4&lt;&gt;"")+('Dvd Calendar'!$Y$555=SPECIAL_LBL)*(INC_SPECIALS="Y"))=0,"",'Dvd Calendar'!$Y$553)))</f>
        <v/>
      </c>
      <c r="X61" s="110">
        <f>IF(EZ61="","",IF(ISNUMBER('Dvd Calendar'!$Z$553)=FALSE,"",IF((('Dvd Calendar'!$Z$555=TYPE1)*(TYPE1&lt;&gt;"")+('Dvd Calendar'!$Z$555=TYPE2)*(TYPE2&lt;&gt;"")+('Dvd Calendar'!$Z$555=TYPE3)*(TYPE3&lt;&gt;"")+('Dvd Calendar'!$Z$555=TYPE4)*(TYPE4&lt;&gt;"")+('Dvd Calendar'!$Z$555=SPECIAL_LBL)*(INC_SPECIALS="Y"))=0,"",'Dvd Calendar'!$Z$553)))</f>
        <v/>
      </c>
      <c r="Y61" s="110">
        <f>IF(FA61="","",IF(ISNUMBER('Dvd Calendar'!$AA$553)=FALSE,"",IF((('Dvd Calendar'!$AA$555=TYPE1)*(TYPE1&lt;&gt;"")+('Dvd Calendar'!$AA$555=TYPE2)*(TYPE2&lt;&gt;"")+('Dvd Calendar'!$AA$555=TYPE3)*(TYPE3&lt;&gt;"")+('Dvd Calendar'!$AA$555=TYPE4)*(TYPE4&lt;&gt;"")+('Dvd Calendar'!$AA$555=SPECIAL_LBL)*(INC_SPECIALS="Y"))=0,"",'Dvd Calendar'!$AA$553)))</f>
        <v/>
      </c>
      <c r="Z61" s="110">
        <f>IF(FB61="","",IF(ISNUMBER('Dvd Calendar'!$AB$553)=FALSE,"",IF((('Dvd Calendar'!$AB$555=TYPE1)*(TYPE1&lt;&gt;"")+('Dvd Calendar'!$AB$555=TYPE2)*(TYPE2&lt;&gt;"")+('Dvd Calendar'!$AB$555=TYPE3)*(TYPE3&lt;&gt;"")+('Dvd Calendar'!$AB$555=TYPE4)*(TYPE4&lt;&gt;"")+('Dvd Calendar'!$AB$555=SPECIAL_LBL)*(INC_SPECIALS="Y"))=0,"",'Dvd Calendar'!$AB$553)))</f>
        <v/>
      </c>
      <c r="AA61" s="110">
        <f>IF(FC61="","",IF(ISNUMBER('Dvd Calendar'!$AC$553)=FALSE,"",IF((('Dvd Calendar'!$AC$555=TYPE1)*(TYPE1&lt;&gt;"")+('Dvd Calendar'!$AC$555=TYPE2)*(TYPE2&lt;&gt;"")+('Dvd Calendar'!$AC$555=TYPE3)*(TYPE3&lt;&gt;"")+('Dvd Calendar'!$AC$555=TYPE4)*(TYPE4&lt;&gt;"")+('Dvd Calendar'!$AC$555=SPECIAL_LBL)*(INC_SPECIALS="Y"))=0,"",'Dvd Calendar'!$AC$553)))</f>
        <v/>
      </c>
      <c r="AB61" s="110">
        <f>IF(FD61="","",IF(ISNUMBER('Dvd Calendar'!$AD$553)=FALSE,"",IF((('Dvd Calendar'!$AD$555=TYPE1)*(TYPE1&lt;&gt;"")+('Dvd Calendar'!$AD$555=TYPE2)*(TYPE2&lt;&gt;"")+('Dvd Calendar'!$AD$555=TYPE3)*(TYPE3&lt;&gt;"")+('Dvd Calendar'!$AD$555=TYPE4)*(TYPE4&lt;&gt;"")+('Dvd Calendar'!$AD$555=SPECIAL_LBL)*(INC_SPECIALS="Y"))=0,"",'Dvd Calendar'!$AD$553)))</f>
        <v/>
      </c>
      <c r="AC61" s="110">
        <f>IF(FE61="","",IF(ISNUMBER('Dvd Calendar'!$AE$553)=FALSE,"",IF((('Dvd Calendar'!$AE$555=TYPE1)*(TYPE1&lt;&gt;"")+('Dvd Calendar'!$AE$555=TYPE2)*(TYPE2&lt;&gt;"")+('Dvd Calendar'!$AE$555=TYPE3)*(TYPE3&lt;&gt;"")+('Dvd Calendar'!$AE$555=TYPE4)*(TYPE4&lt;&gt;"")+('Dvd Calendar'!$AE$555=SPECIAL_LBL)*(INC_SPECIALS="Y"))=0,"",'Dvd Calendar'!$AE$553)))</f>
        <v/>
      </c>
      <c r="AD61" s="110">
        <f>IF(FF61="","",IF(ISNUMBER('Dvd Calendar'!$AF$553)=FALSE,"",IF((('Dvd Calendar'!$AF$555=TYPE1)*(TYPE1&lt;&gt;"")+('Dvd Calendar'!$AF$555=TYPE2)*(TYPE2&lt;&gt;"")+('Dvd Calendar'!$AF$555=TYPE3)*(TYPE3&lt;&gt;"")+('Dvd Calendar'!$AF$555=TYPE4)*(TYPE4&lt;&gt;"")+('Dvd Calendar'!$AF$555=SPECIAL_LBL)*(INC_SPECIALS="Y"))=0,"",'Dvd Calendar'!$AF$553)))</f>
        <v/>
      </c>
      <c r="AE61" s="110">
        <f>IF(FG61="","",IF(ISNUMBER('Dvd Calendar'!$AG$553)=FALSE,"",IF((('Dvd Calendar'!$AG$555=TYPE1)*(TYPE1&lt;&gt;"")+('Dvd Calendar'!$AG$555=TYPE2)*(TYPE2&lt;&gt;"")+('Dvd Calendar'!$AG$555=TYPE3)*(TYPE3&lt;&gt;"")+('Dvd Calendar'!$AG$555=TYPE4)*(TYPE4&lt;&gt;"")+('Dvd Calendar'!$AG$555=SPECIAL_LBL)*(INC_SPECIALS="Y"))=0,"",'Dvd Calendar'!$AG$553)))</f>
        <v/>
      </c>
      <c r="AF61" s="110">
        <f>IF(FH61="","",IF(ISNUMBER('Dvd Calendar'!$AH$553)=FALSE,"",IF((('Dvd Calendar'!$AH$555=TYPE1)*(TYPE1&lt;&gt;"")+('Dvd Calendar'!$AH$555=TYPE2)*(TYPE2&lt;&gt;"")+('Dvd Calendar'!$AH$555=TYPE3)*(TYPE3&lt;&gt;"")+('Dvd Calendar'!$AH$555=TYPE4)*(TYPE4&lt;&gt;"")+('Dvd Calendar'!$AH$555=SPECIAL_LBL)*(INC_SPECIALS="Y"))=0,"",'Dvd Calendar'!$AH$553)))</f>
        <v/>
      </c>
      <c r="AG61" s="110">
        <f>IF(FI61="","",IF(ISNUMBER('Dvd Calendar'!$AI$553)=FALSE,"",IF((('Dvd Calendar'!$AI$555=TYPE1)*(TYPE1&lt;&gt;"")+('Dvd Calendar'!$AI$555=TYPE2)*(TYPE2&lt;&gt;"")+('Dvd Calendar'!$AI$555=TYPE3)*(TYPE3&lt;&gt;"")+('Dvd Calendar'!$AI$555=TYPE4)*(TYPE4&lt;&gt;"")+('Dvd Calendar'!$AI$555=SPECIAL_LBL)*(INC_SPECIALS="Y"))=0,"",'Dvd Calendar'!$AI$553)))</f>
        <v/>
      </c>
      <c r="AH61" s="110">
        <f>IF(FJ61="","",IF(ISNUMBER('Dvd Calendar'!$AJ$553)=FALSE,"",IF((('Dvd Calendar'!$AJ$555=TYPE1)*(TYPE1&lt;&gt;"")+('Dvd Calendar'!$AJ$555=TYPE2)*(TYPE2&lt;&gt;"")+('Dvd Calendar'!$AJ$555=TYPE3)*(TYPE3&lt;&gt;"")+('Dvd Calendar'!$AJ$555=TYPE4)*(TYPE4&lt;&gt;"")+('Dvd Calendar'!$AJ$555=SPECIAL_LBL)*(INC_SPECIALS="Y"))=0,"",'Dvd Calendar'!$AJ$553)))</f>
        <v/>
      </c>
      <c r="AI61" s="110">
        <f>IF(FK61="","",IF(ISNUMBER('Dvd Calendar'!$AK$553)=FALSE,"",IF((('Dvd Calendar'!$AK$555=TYPE1)*(TYPE1&lt;&gt;"")+('Dvd Calendar'!$AK$555=TYPE2)*(TYPE2&lt;&gt;"")+('Dvd Calendar'!$AK$555=TYPE3)*(TYPE3&lt;&gt;"")+('Dvd Calendar'!$AK$555=TYPE4)*(TYPE4&lt;&gt;"")+('Dvd Calendar'!$AK$555=SPECIAL_LBL)*(INC_SPECIALS="Y"))=0,"",'Dvd Calendar'!$AK$553)))</f>
        <v/>
      </c>
      <c r="AJ61" s="110">
        <f>IF(FL61="","",IF(ISNUMBER('Dvd Calendar'!$AL$553)=FALSE,"",IF((('Dvd Calendar'!$AL$555=TYPE1)*(TYPE1&lt;&gt;"")+('Dvd Calendar'!$AL$555=TYPE2)*(TYPE2&lt;&gt;"")+('Dvd Calendar'!$AL$555=TYPE3)*(TYPE3&lt;&gt;"")+('Dvd Calendar'!$AL$555=TYPE4)*(TYPE4&lt;&gt;"")+('Dvd Calendar'!$AL$555=SPECIAL_LBL)*(INC_SPECIALS="Y"))=0,"",'Dvd Calendar'!$AL$553)))</f>
        <v/>
      </c>
      <c r="AK61" s="110">
        <f>IF(FM61="","",IF(ISNUMBER('Dvd Calendar'!$AM$553)=FALSE,"",IF((('Dvd Calendar'!$AM$555=TYPE1)*(TYPE1&lt;&gt;"")+('Dvd Calendar'!$AM$555=TYPE2)*(TYPE2&lt;&gt;"")+('Dvd Calendar'!$AM$555=TYPE3)*(TYPE3&lt;&gt;"")+('Dvd Calendar'!$AM$555=TYPE4)*(TYPE4&lt;&gt;"")+('Dvd Calendar'!$AM$555=SPECIAL_LBL)*(INC_SPECIALS="Y"))=0,"",'Dvd Calendar'!$AM$553)))</f>
        <v/>
      </c>
      <c r="AL61" s="110">
        <f>IF(FN61="","",IF(ISNUMBER('Dvd Calendar'!$AN$553)=FALSE,"",IF((('Dvd Calendar'!$AN$555=TYPE1)*(TYPE1&lt;&gt;"")+('Dvd Calendar'!$AN$555=TYPE2)*(TYPE2&lt;&gt;"")+('Dvd Calendar'!$AN$555=TYPE3)*(TYPE3&lt;&gt;"")+('Dvd Calendar'!$AN$555=TYPE4)*(TYPE4&lt;&gt;"")+('Dvd Calendar'!$AN$555=SPECIAL_LBL)*(INC_SPECIALS="Y"))=0,"",'Dvd Calendar'!$AN$553)))</f>
        <v/>
      </c>
      <c r="AM61" s="110">
        <f>IF(FO61="","",IF(ISNUMBER('Dvd Calendar'!$AO$553)=FALSE,"",IF((('Dvd Calendar'!$AO$555=TYPE1)*(TYPE1&lt;&gt;"")+('Dvd Calendar'!$AO$555=TYPE2)*(TYPE2&lt;&gt;"")+('Dvd Calendar'!$AO$555=TYPE3)*(TYPE3&lt;&gt;"")+('Dvd Calendar'!$AO$555=TYPE4)*(TYPE4&lt;&gt;"")+('Dvd Calendar'!$AO$555=SPECIAL_LBL)*(INC_SPECIALS="Y"))=0,"",'Dvd Calendar'!$AO$553)))</f>
        <v/>
      </c>
      <c r="AN61" s="110">
        <f>IF(FP61="","",IF(ISNUMBER('Dvd Calendar'!$AP$553)=FALSE,"",IF((('Dvd Calendar'!$AP$555=TYPE1)*(TYPE1&lt;&gt;"")+('Dvd Calendar'!$AP$555=TYPE2)*(TYPE2&lt;&gt;"")+('Dvd Calendar'!$AP$555=TYPE3)*(TYPE3&lt;&gt;"")+('Dvd Calendar'!$AP$555=TYPE4)*(TYPE4&lt;&gt;"")+('Dvd Calendar'!$AP$555=SPECIAL_LBL)*(INC_SPECIALS="Y"))=0,"",'Dvd Calendar'!$AP$553)))</f>
        <v/>
      </c>
      <c r="AO61" s="110">
        <f>IF(FQ61="","",IF(ISNUMBER('Dvd Calendar'!$AQ$553)=FALSE,"",IF((('Dvd Calendar'!$AQ$555=TYPE1)*(TYPE1&lt;&gt;"")+('Dvd Calendar'!$AQ$555=TYPE2)*(TYPE2&lt;&gt;"")+('Dvd Calendar'!$AQ$555=TYPE3)*(TYPE3&lt;&gt;"")+('Dvd Calendar'!$AQ$555=TYPE4)*(TYPE4&lt;&gt;"")+('Dvd Calendar'!$AQ$555=SPECIAL_LBL)*(INC_SPECIALS="Y"))=0,"",'Dvd Calendar'!$AQ$553)))</f>
        <v/>
      </c>
      <c r="AP61" s="110">
        <f>IF(FR61="","",IF(ISNUMBER('Dvd Calendar'!$AR$553)=FALSE,"",IF((('Dvd Calendar'!$AR$555=TYPE1)*(TYPE1&lt;&gt;"")+('Dvd Calendar'!$AR$555=TYPE2)*(TYPE2&lt;&gt;"")+('Dvd Calendar'!$AR$555=TYPE3)*(TYPE3&lt;&gt;"")+('Dvd Calendar'!$AR$555=TYPE4)*(TYPE4&lt;&gt;"")+('Dvd Calendar'!$AR$555=SPECIAL_LBL)*(INC_SPECIALS="Y"))=0,"",'Dvd Calendar'!$AR$553)))</f>
        <v/>
      </c>
      <c r="AQ61" s="110">
        <f>IF(FS61="","",IF(ISNUMBER('Dvd Calendar'!$E$558)=FALSE,"",'Dvd Calendar'!$E$558))</f>
        <v/>
      </c>
      <c r="AR61" s="110">
        <f>IF(FT61="","",IF(ISNUMBER('Dvd Calendar'!$F$558)=FALSE,"",'Dvd Calendar'!$F$558))</f>
        <v/>
      </c>
      <c r="AS61" s="110">
        <f>IF(FU61="","",IF(ISNUMBER('Dvd Calendar'!$G$558)=FALSE,"",'Dvd Calendar'!$G$558))</f>
        <v/>
      </c>
      <c r="AT61" s="110">
        <f>IF(FV61="","",IF(ISNUMBER('Dvd Calendar'!$H$558)=FALSE,"",'Dvd Calendar'!$H$558))</f>
        <v/>
      </c>
      <c r="AU61" s="110">
        <f>IF(FW61="","",IF(ISNUMBER('Dvd Calendar'!$I$558)=FALSE,"",'Dvd Calendar'!$I$558))</f>
        <v/>
      </c>
      <c r="AV61" s="110">
        <f>IF(FX61="","",IF(ISNUMBER('Dvd Calendar'!$J$558)=FALSE,"",'Dvd Calendar'!$J$558))</f>
        <v/>
      </c>
      <c r="AW61" s="110">
        <f>IF(FY61="","",IF(ISNUMBER('Dvd Calendar'!$K$558)=FALSE,"",'Dvd Calendar'!$K$558))</f>
        <v/>
      </c>
      <c r="AX61" s="110">
        <f>IF(FZ61="","",IF(ISNUMBER('Dvd Calendar'!$L$558)=FALSE,"",'Dvd Calendar'!$L$558))</f>
        <v/>
      </c>
      <c r="AY61" s="110">
        <f>IF(GA61="","",IF(ISNUMBER('Dvd Calendar'!$M$558)=FALSE,"",'Dvd Calendar'!$M$558))</f>
        <v/>
      </c>
      <c r="AZ61" s="110">
        <f>IF(GB61="","",IF(ISNUMBER('Dvd Calendar'!$N$558)=FALSE,"",'Dvd Calendar'!$N$558))</f>
        <v/>
      </c>
      <c r="BA61" s="110">
        <f>IF(GC61="","",IF(ISNUMBER('Dvd Calendar'!$O$558)=FALSE,"",'Dvd Calendar'!$O$558))</f>
        <v/>
      </c>
      <c r="BB61" s="110">
        <f>IF(GD61="","",IF(ISNUMBER('Dvd Calendar'!$P$558)=FALSE,"",'Dvd Calendar'!$P$558))</f>
        <v/>
      </c>
      <c r="BC61" s="110">
        <f>IF(GE61="","",IF(ISNUMBER('Dvd Calendar'!$Q$558)=FALSE,"",'Dvd Calendar'!$Q$558))</f>
        <v/>
      </c>
      <c r="BD61" s="110">
        <f>IF(GF61="","",IF(ISNUMBER('Dvd Calendar'!$R$558)=FALSE,"",'Dvd Calendar'!$R$558))</f>
        <v/>
      </c>
      <c r="BE61" s="110">
        <f>IF(GG61="","",IF(ISNUMBER('Dvd Calendar'!$S$558)=FALSE,"",'Dvd Calendar'!$S$558))</f>
        <v/>
      </c>
      <c r="BF61" s="110">
        <f>IF(GH61="","",IF(ISNUMBER('Dvd Calendar'!$T$558)=FALSE,"",'Dvd Calendar'!$T$558))</f>
        <v/>
      </c>
      <c r="BG61" s="110">
        <f>IF(GI61="","",IF(ISNUMBER('Dvd Calendar'!$U$558)=FALSE,"",'Dvd Calendar'!$U$558))</f>
        <v/>
      </c>
      <c r="BH61" s="110">
        <f>IF(GJ61="","",IF(ISNUMBER('Dvd Calendar'!$V$558)=FALSE,"",'Dvd Calendar'!$V$558))</f>
        <v/>
      </c>
      <c r="BI61" s="110">
        <f>IF(GK61="","",IF(ISNUMBER('Dvd Calendar'!$W$558)=FALSE,"",'Dvd Calendar'!$W$558))</f>
        <v/>
      </c>
      <c r="BJ61" s="110">
        <f>IF(GL61="","",IF(ISNUMBER('Dvd Calendar'!$X$558)=FALSE,"",'Dvd Calendar'!$X$558))</f>
        <v/>
      </c>
      <c r="BK61" s="110">
        <f>IF(GM61="","",IF(ISNUMBER('Dvd Calendar'!$Y$558)=FALSE,"",'Dvd Calendar'!$Y$558))</f>
        <v/>
      </c>
      <c r="BL61" s="110">
        <f>IF(GN61="","",IF(ISNUMBER('Dvd Calendar'!$Z$558)=FALSE,"",'Dvd Calendar'!$Z$558))</f>
        <v/>
      </c>
      <c r="BM61" s="110">
        <f>IF(GO61="","",IF(ISNUMBER('Dvd Calendar'!$AA$558)=FALSE,"",'Dvd Calendar'!$AA$558))</f>
        <v/>
      </c>
      <c r="BN61" s="110">
        <f>IF(GP61="","",IF(ISNUMBER('Dvd Calendar'!$AB$558)=FALSE,"",'Dvd Calendar'!$AB$558))</f>
        <v/>
      </c>
      <c r="BO61" s="110">
        <f>IF(GQ61="","",IF(ISNUMBER('Dvd Calendar'!$AC$558)=FALSE,"",'Dvd Calendar'!$AC$558))</f>
        <v/>
      </c>
      <c r="BQ61" s="110">
        <f>IF(C61="","",IFERROR(C61*HSI!$B$56*HSI!$G$56/HSI!$B$3,""))</f>
        <v/>
      </c>
      <c r="BR61" s="110">
        <f>IF(D61="","",IFERROR(D61*HSI!$B$56*HSI!$G$56/HSI!$B$3,""))</f>
        <v/>
      </c>
      <c r="BS61" s="110">
        <f>IF(E61="","",IFERROR(E61*HSI!$B$56*HSI!$G$56/HSI!$B$3,""))</f>
        <v/>
      </c>
      <c r="BT61" s="110">
        <f>IF(F61="","",IFERROR(F61*HSI!$B$56*HSI!$G$56/HSI!$B$3,""))</f>
        <v/>
      </c>
      <c r="BU61" s="110">
        <f>IF(G61="","",IFERROR(G61*HSI!$B$56*HSI!$G$56/HSI!$B$3,""))</f>
        <v/>
      </c>
      <c r="BV61" s="110">
        <f>IF(H61="","",IFERROR(H61*HSI!$B$56*HSI!$G$56/HSI!$B$3,""))</f>
        <v/>
      </c>
      <c r="BW61" s="110">
        <f>IF(I61="","",IFERROR(I61*HSI!$B$56*HSI!$G$56/HSI!$B$3,""))</f>
        <v/>
      </c>
      <c r="BX61" s="110">
        <f>IF(J61="","",IFERROR(J61*HSI!$B$56*HSI!$G$56/HSI!$B$3,""))</f>
        <v/>
      </c>
      <c r="BY61" s="110">
        <f>IF(K61="","",IFERROR(K61*HSI!$B$56*HSI!$G$56/HSI!$B$3,""))</f>
        <v/>
      </c>
      <c r="BZ61" s="110">
        <f>IF(L61="","",IFERROR(L61*HSI!$B$56*HSI!$G$56/HSI!$B$3,""))</f>
        <v/>
      </c>
      <c r="CA61" s="110">
        <f>IF(M61="","",IFERROR(M61*HSI!$B$56*HSI!$G$56/HSI!$B$3,""))</f>
        <v/>
      </c>
      <c r="CB61" s="110">
        <f>IF(N61="","",IFERROR(N61*HSI!$B$56*HSI!$G$56/HSI!$B$3,""))</f>
        <v/>
      </c>
      <c r="CC61" s="110">
        <f>IF(O61="","",IFERROR(O61*HSI!$B$56*HSI!$G$56/HSI!$B$3,""))</f>
        <v/>
      </c>
      <c r="CD61" s="110">
        <f>IF(P61="","",IFERROR(P61*HSI!$B$56*HSI!$G$56/HSI!$B$3,""))</f>
        <v/>
      </c>
      <c r="CE61" s="110">
        <f>IF(Q61="","",IFERROR(Q61*HSI!$B$56*HSI!$G$56/HSI!$B$3,""))</f>
        <v/>
      </c>
      <c r="CF61" s="110">
        <f>IF(R61="","",IFERROR(R61*HSI!$B$56*HSI!$G$56/HSI!$B$3,""))</f>
        <v/>
      </c>
      <c r="CG61" s="110">
        <f>IF(S61="","",IFERROR(S61*HSI!$B$56*HSI!$G$56/HSI!$B$3,""))</f>
        <v/>
      </c>
      <c r="CH61" s="110">
        <f>IF(T61="","",IFERROR(T61*HSI!$B$56*HSI!$G$56/HSI!$B$3,""))</f>
        <v/>
      </c>
      <c r="CI61" s="110">
        <f>IF(U61="","",IFERROR(U61*HSI!$B$56*HSI!$G$56/HSI!$B$3,""))</f>
        <v/>
      </c>
      <c r="CJ61" s="110">
        <f>IF(V61="","",IFERROR(V61*HSI!$B$56*HSI!$G$56/HSI!$B$3,""))</f>
        <v/>
      </c>
      <c r="CK61" s="110">
        <f>IF(W61="","",IFERROR(W61*HSI!$B$56*HSI!$G$56/HSI!$B$3,""))</f>
        <v/>
      </c>
      <c r="CL61" s="110">
        <f>IF(X61="","",IFERROR(X61*HSI!$B$56*HSI!$G$56/HSI!$B$3,""))</f>
        <v/>
      </c>
      <c r="CM61" s="110">
        <f>IF(Y61="","",IFERROR(Y61*HSI!$B$56*HSI!$G$56/HSI!$B$3,""))</f>
        <v/>
      </c>
      <c r="CN61" s="110">
        <f>IF(Z61="","",IFERROR(Z61*HSI!$B$56*HSI!$G$56/HSI!$B$3,""))</f>
        <v/>
      </c>
      <c r="CO61" s="110">
        <f>IF(AA61="","",IFERROR(AA61*HSI!$B$56*HSI!$G$56/HSI!$B$3,""))</f>
        <v/>
      </c>
      <c r="CP61" s="110">
        <f>IF(AB61="","",IFERROR(AB61*HSI!$B$56*HSI!$G$56/HSI!$B$3,""))</f>
        <v/>
      </c>
      <c r="CQ61" s="110">
        <f>IF(AC61="","",IFERROR(AC61*HSI!$B$56*HSI!$G$56/HSI!$B$3,""))</f>
        <v/>
      </c>
      <c r="CR61" s="110">
        <f>IF(AD61="","",IFERROR(AD61*HSI!$B$56*HSI!$G$56/HSI!$B$3,""))</f>
        <v/>
      </c>
      <c r="CS61" s="110">
        <f>IF(AE61="","",IFERROR(AE61*HSI!$B$56*HSI!$G$56/HSI!$B$3,""))</f>
        <v/>
      </c>
      <c r="CT61" s="110">
        <f>IF(AF61="","",IFERROR(AF61*HSI!$B$56*HSI!$G$56/HSI!$B$3,""))</f>
        <v/>
      </c>
      <c r="CU61" s="110">
        <f>IF(AG61="","",IFERROR(AG61*HSI!$B$56*HSI!$G$56/HSI!$B$3,""))</f>
        <v/>
      </c>
      <c r="CV61" s="110">
        <f>IF(AH61="","",IFERROR(AH61*HSI!$B$56*HSI!$G$56/HSI!$B$3,""))</f>
        <v/>
      </c>
      <c r="CW61" s="110">
        <f>IF(AI61="","",IFERROR(AI61*HSI!$B$56*HSI!$G$56/HSI!$B$3,""))</f>
        <v/>
      </c>
      <c r="CX61" s="110">
        <f>IF(AJ61="","",IFERROR(AJ61*HSI!$B$56*HSI!$G$56/HSI!$B$3,""))</f>
        <v/>
      </c>
      <c r="CY61" s="110">
        <f>IF(AK61="","",IFERROR(AK61*HSI!$B$56*HSI!$G$56/HSI!$B$3,""))</f>
        <v/>
      </c>
      <c r="CZ61" s="110">
        <f>IF(AL61="","",IFERROR(AL61*HSI!$B$56*HSI!$G$56/HSI!$B$3,""))</f>
        <v/>
      </c>
      <c r="DA61" s="110">
        <f>IF(AM61="","",IFERROR(AM61*HSI!$B$56*HSI!$G$56/HSI!$B$3,""))</f>
        <v/>
      </c>
      <c r="DB61" s="110">
        <f>IF(AN61="","",IFERROR(AN61*HSI!$B$56*HSI!$G$56/HSI!$B$3,""))</f>
        <v/>
      </c>
      <c r="DC61" s="110">
        <f>IF(AO61="","",IFERROR(AO61*HSI!$B$56*HSI!$G$56/HSI!$B$3,""))</f>
        <v/>
      </c>
      <c r="DD61" s="110">
        <f>IF(AP61="","",IFERROR(AP61*HSI!$B$56*HSI!$G$56/HSI!$B$3,""))</f>
        <v/>
      </c>
      <c r="DE61" s="110">
        <f>IF(AQ61="","",IFERROR(AQ61*HSI!$B$56*HSI!$G$56/HSI!$B$3,""))</f>
        <v/>
      </c>
      <c r="DF61" s="110">
        <f>IF(AR61="","",IFERROR(AR61*HSI!$B$56*HSI!$G$56/HSI!$B$3,""))</f>
        <v/>
      </c>
      <c r="DG61" s="110">
        <f>IF(AS61="","",IFERROR(AS61*HSI!$B$56*HSI!$G$56/HSI!$B$3,""))</f>
        <v/>
      </c>
      <c r="DH61" s="110">
        <f>IF(AT61="","",IFERROR(AT61*HSI!$B$56*HSI!$G$56/HSI!$B$3,""))</f>
        <v/>
      </c>
      <c r="DI61" s="110">
        <f>IF(AU61="","",IFERROR(AU61*HSI!$B$56*HSI!$G$56/HSI!$B$3,""))</f>
        <v/>
      </c>
      <c r="DJ61" s="110">
        <f>IF(AV61="","",IFERROR(AV61*HSI!$B$56*HSI!$G$56/HSI!$B$3,""))</f>
        <v/>
      </c>
      <c r="DK61" s="110">
        <f>IF(AW61="","",IFERROR(AW61*HSI!$B$56*HSI!$G$56/HSI!$B$3,""))</f>
        <v/>
      </c>
      <c r="DL61" s="110">
        <f>IF(AX61="","",IFERROR(AX61*HSI!$B$56*HSI!$G$56/HSI!$B$3,""))</f>
        <v/>
      </c>
      <c r="DM61" s="110">
        <f>IF(AY61="","",IFERROR(AY61*HSI!$B$56*HSI!$G$56/HSI!$B$3,""))</f>
        <v/>
      </c>
      <c r="DN61" s="110">
        <f>IF(AZ61="","",IFERROR(AZ61*HSI!$B$56*HSI!$G$56/HSI!$B$3,""))</f>
        <v/>
      </c>
      <c r="DO61" s="110">
        <f>IF(BA61="","",IFERROR(BA61*HSI!$B$56*HSI!$G$56/HSI!$B$3,""))</f>
        <v/>
      </c>
      <c r="DP61" s="110">
        <f>IF(BB61="","",IFERROR(BB61*HSI!$B$56*HSI!$G$56/HSI!$B$3,""))</f>
        <v/>
      </c>
      <c r="DQ61" s="110">
        <f>IF(BC61="","",IFERROR(BC61*HSI!$B$56*HSI!$G$56/HSI!$B$3,""))</f>
        <v/>
      </c>
      <c r="DR61" s="110">
        <f>IF(BD61="","",IFERROR(BD61*HSI!$B$56*HSI!$G$56/HSI!$B$3,""))</f>
        <v/>
      </c>
      <c r="DS61" s="110">
        <f>IF(BE61="","",IFERROR(BE61*HSI!$B$56*HSI!$G$56/HSI!$B$3,""))</f>
        <v/>
      </c>
      <c r="DT61" s="110">
        <f>IF(BF61="","",IFERROR(BF61*HSI!$B$56*HSI!$G$56/HSI!$B$3,""))</f>
        <v/>
      </c>
      <c r="DU61" s="110">
        <f>IF(BG61="","",IFERROR(BG61*HSI!$B$56*HSI!$G$56/HSI!$B$3,""))</f>
        <v/>
      </c>
      <c r="DV61" s="110">
        <f>IF(BH61="","",IFERROR(BH61*HSI!$B$56*HSI!$G$56/HSI!$B$3,""))</f>
        <v/>
      </c>
      <c r="DW61" s="110">
        <f>IF(BI61="","",IFERROR(BI61*HSI!$B$56*HSI!$G$56/HSI!$B$3,""))</f>
        <v/>
      </c>
      <c r="DX61" s="110">
        <f>IF(BJ61="","",IFERROR(BJ61*HSI!$B$56*HSI!$G$56/HSI!$B$3,""))</f>
        <v/>
      </c>
      <c r="DY61" s="110">
        <f>IF(BK61="","",IFERROR(BK61*HSI!$B$56*HSI!$G$56/HSI!$B$3,""))</f>
        <v/>
      </c>
      <c r="DZ61" s="110">
        <f>IF(BL61="","",IFERROR(BL61*HSI!$B$56*HSI!$G$56/HSI!$B$3,""))</f>
        <v/>
      </c>
      <c r="EA61" s="110">
        <f>IF(BM61="","",IFERROR(BM61*HSI!$B$56*HSI!$G$56/HSI!$B$3,""))</f>
        <v/>
      </c>
      <c r="EB61" s="110">
        <f>IF(BN61="","",IFERROR(BN61*HSI!$B$56*HSI!$G$56/HSI!$B$3,""))</f>
        <v/>
      </c>
      <c r="EC61" s="110">
        <f>IF(BO61="","",IFERROR(BO61*HSI!$B$56*HSI!$G$56/HSI!$B$3,""))</f>
        <v/>
      </c>
      <c r="EE61" s="39">
        <f>IF(N('Dvd Calendar'!$E$550)=0,"",IF(('Dvd Calendar'!$E$550&gt;=GRID_FROM)*('Dvd Calendar'!$E$550&lt;=GRID_TO)*((('Dvd Calendar'!$E$550&lt;=VAL_DATE)+(COUNTIF('Dvd Calendar'!$E$557:$AR$557,'Dvd Calendar'!$E$550)=0))&gt;0)=0,"",'Dvd Calendar'!$E$550*1000000000+ISNUMBER('Dvd Calendar'!$E$553)*100000000+('Dvd Calendar'!$E$555=SPECIAL_LBL)*10000000+(N('Dvd Calendar'!$E$549)&gt;0)*(N('Dvd Calendar'!$E$549)&lt;=VAL_SERIAL)*1000000+50*1000+1))</f>
        <v/>
      </c>
      <c r="EF61" s="39">
        <f>IF(N('Dvd Calendar'!$F$550)=0,"",IF(('Dvd Calendar'!$F$550&gt;=GRID_FROM)*('Dvd Calendar'!$F$550&lt;=GRID_TO)*((('Dvd Calendar'!$F$550&lt;=VAL_DATE)+(COUNTIF('Dvd Calendar'!$E$557:$AR$557,'Dvd Calendar'!$F$550)=0))&gt;0)=0,"",'Dvd Calendar'!$F$550*1000000000+ISNUMBER('Dvd Calendar'!$F$553)*100000000+('Dvd Calendar'!$F$555=SPECIAL_LBL)*10000000+(N('Dvd Calendar'!$F$549)&gt;0)*(N('Dvd Calendar'!$F$549)&lt;=VAL_SERIAL)*1000000+50*1000+2))</f>
        <v/>
      </c>
      <c r="EG61" s="39">
        <f>IF(N('Dvd Calendar'!$G$550)=0,"",IF(('Dvd Calendar'!$G$550&gt;=GRID_FROM)*('Dvd Calendar'!$G$550&lt;=GRID_TO)*((('Dvd Calendar'!$G$550&lt;=VAL_DATE)+(COUNTIF('Dvd Calendar'!$E$557:$AR$557,'Dvd Calendar'!$G$550)=0))&gt;0)=0,"",'Dvd Calendar'!$G$550*1000000000+ISNUMBER('Dvd Calendar'!$G$553)*100000000+('Dvd Calendar'!$G$555=SPECIAL_LBL)*10000000+(N('Dvd Calendar'!$G$549)&gt;0)*(N('Dvd Calendar'!$G$549)&lt;=VAL_SERIAL)*1000000+50*1000+3))</f>
        <v/>
      </c>
      <c r="EH61" s="39">
        <f>IF(N('Dvd Calendar'!$H$550)=0,"",IF(('Dvd Calendar'!$H$550&gt;=GRID_FROM)*('Dvd Calendar'!$H$550&lt;=GRID_TO)*((('Dvd Calendar'!$H$550&lt;=VAL_DATE)+(COUNTIF('Dvd Calendar'!$E$557:$AR$557,'Dvd Calendar'!$H$550)=0))&gt;0)=0,"",'Dvd Calendar'!$H$550*1000000000+ISNUMBER('Dvd Calendar'!$H$553)*100000000+('Dvd Calendar'!$H$555=SPECIAL_LBL)*10000000+(N('Dvd Calendar'!$H$549)&gt;0)*(N('Dvd Calendar'!$H$549)&lt;=VAL_SERIAL)*1000000+50*1000+4))</f>
        <v/>
      </c>
      <c r="EI61" s="39">
        <f>IF(N('Dvd Calendar'!$I$550)=0,"",IF(('Dvd Calendar'!$I$550&gt;=GRID_FROM)*('Dvd Calendar'!$I$550&lt;=GRID_TO)*((('Dvd Calendar'!$I$550&lt;=VAL_DATE)+(COUNTIF('Dvd Calendar'!$E$557:$AR$557,'Dvd Calendar'!$I$550)=0))&gt;0)=0,"",'Dvd Calendar'!$I$550*1000000000+ISNUMBER('Dvd Calendar'!$I$553)*100000000+('Dvd Calendar'!$I$555=SPECIAL_LBL)*10000000+(N('Dvd Calendar'!$I$549)&gt;0)*(N('Dvd Calendar'!$I$549)&lt;=VAL_SERIAL)*1000000+50*1000+5))</f>
        <v/>
      </c>
      <c r="EJ61" s="39">
        <f>IF(N('Dvd Calendar'!$J$550)=0,"",IF(('Dvd Calendar'!$J$550&gt;=GRID_FROM)*('Dvd Calendar'!$J$550&lt;=GRID_TO)*((('Dvd Calendar'!$J$550&lt;=VAL_DATE)+(COUNTIF('Dvd Calendar'!$E$557:$AR$557,'Dvd Calendar'!$J$550)=0))&gt;0)=0,"",'Dvd Calendar'!$J$550*1000000000+ISNUMBER('Dvd Calendar'!$J$553)*100000000+('Dvd Calendar'!$J$555=SPECIAL_LBL)*10000000+(N('Dvd Calendar'!$J$549)&gt;0)*(N('Dvd Calendar'!$J$549)&lt;=VAL_SERIAL)*1000000+50*1000+6))</f>
        <v/>
      </c>
      <c r="EK61" s="39">
        <f>IF(N('Dvd Calendar'!$K$550)=0,"",IF(('Dvd Calendar'!$K$550&gt;=GRID_FROM)*('Dvd Calendar'!$K$550&lt;=GRID_TO)*((('Dvd Calendar'!$K$550&lt;=VAL_DATE)+(COUNTIF('Dvd Calendar'!$E$557:$AR$557,'Dvd Calendar'!$K$550)=0))&gt;0)=0,"",'Dvd Calendar'!$K$550*1000000000+ISNUMBER('Dvd Calendar'!$K$553)*100000000+('Dvd Calendar'!$K$555=SPECIAL_LBL)*10000000+(N('Dvd Calendar'!$K$549)&gt;0)*(N('Dvd Calendar'!$K$549)&lt;=VAL_SERIAL)*1000000+50*1000+7))</f>
        <v/>
      </c>
      <c r="EL61" s="39">
        <f>IF(N('Dvd Calendar'!$L$550)=0,"",IF(('Dvd Calendar'!$L$550&gt;=GRID_FROM)*('Dvd Calendar'!$L$550&lt;=GRID_TO)*((('Dvd Calendar'!$L$550&lt;=VAL_DATE)+(COUNTIF('Dvd Calendar'!$E$557:$AR$557,'Dvd Calendar'!$L$550)=0))&gt;0)=0,"",'Dvd Calendar'!$L$550*1000000000+ISNUMBER('Dvd Calendar'!$L$553)*100000000+('Dvd Calendar'!$L$555=SPECIAL_LBL)*10000000+(N('Dvd Calendar'!$L$549)&gt;0)*(N('Dvd Calendar'!$L$549)&lt;=VAL_SERIAL)*1000000+50*1000+8))</f>
        <v/>
      </c>
      <c r="EM61" s="39">
        <f>IF(N('Dvd Calendar'!$M$550)=0,"",IF(('Dvd Calendar'!$M$550&gt;=GRID_FROM)*('Dvd Calendar'!$M$550&lt;=GRID_TO)*((('Dvd Calendar'!$M$550&lt;=VAL_DATE)+(COUNTIF('Dvd Calendar'!$E$557:$AR$557,'Dvd Calendar'!$M$550)=0))&gt;0)=0,"",'Dvd Calendar'!$M$550*1000000000+ISNUMBER('Dvd Calendar'!$M$553)*100000000+('Dvd Calendar'!$M$555=SPECIAL_LBL)*10000000+(N('Dvd Calendar'!$M$549)&gt;0)*(N('Dvd Calendar'!$M$549)&lt;=VAL_SERIAL)*1000000+50*1000+9))</f>
        <v/>
      </c>
      <c r="EN61" s="39">
        <f>IF(N('Dvd Calendar'!$N$550)=0,"",IF(('Dvd Calendar'!$N$550&gt;=GRID_FROM)*('Dvd Calendar'!$N$550&lt;=GRID_TO)*((('Dvd Calendar'!$N$550&lt;=VAL_DATE)+(COUNTIF('Dvd Calendar'!$E$557:$AR$557,'Dvd Calendar'!$N$550)=0))&gt;0)=0,"",'Dvd Calendar'!$N$550*1000000000+ISNUMBER('Dvd Calendar'!$N$553)*100000000+('Dvd Calendar'!$N$555=SPECIAL_LBL)*10000000+(N('Dvd Calendar'!$N$549)&gt;0)*(N('Dvd Calendar'!$N$549)&lt;=VAL_SERIAL)*1000000+50*1000+10))</f>
        <v/>
      </c>
      <c r="EO61" s="39">
        <f>IF(N('Dvd Calendar'!$O$550)=0,"",IF(('Dvd Calendar'!$O$550&gt;=GRID_FROM)*('Dvd Calendar'!$O$550&lt;=GRID_TO)*((('Dvd Calendar'!$O$550&lt;=VAL_DATE)+(COUNTIF('Dvd Calendar'!$E$557:$AR$557,'Dvd Calendar'!$O$550)=0))&gt;0)=0,"",'Dvd Calendar'!$O$550*1000000000+ISNUMBER('Dvd Calendar'!$O$553)*100000000+('Dvd Calendar'!$O$555=SPECIAL_LBL)*10000000+(N('Dvd Calendar'!$O$549)&gt;0)*(N('Dvd Calendar'!$O$549)&lt;=VAL_SERIAL)*1000000+50*1000+11))</f>
        <v/>
      </c>
      <c r="EP61" s="39">
        <f>IF(N('Dvd Calendar'!$P$550)=0,"",IF(('Dvd Calendar'!$P$550&gt;=GRID_FROM)*('Dvd Calendar'!$P$550&lt;=GRID_TO)*((('Dvd Calendar'!$P$550&lt;=VAL_DATE)+(COUNTIF('Dvd Calendar'!$E$557:$AR$557,'Dvd Calendar'!$P$550)=0))&gt;0)=0,"",'Dvd Calendar'!$P$550*1000000000+ISNUMBER('Dvd Calendar'!$P$553)*100000000+('Dvd Calendar'!$P$555=SPECIAL_LBL)*10000000+(N('Dvd Calendar'!$P$549)&gt;0)*(N('Dvd Calendar'!$P$549)&lt;=VAL_SERIAL)*1000000+50*1000+12))</f>
        <v/>
      </c>
      <c r="EQ61" s="39">
        <f>IF(N('Dvd Calendar'!$Q$550)=0,"",IF(('Dvd Calendar'!$Q$550&gt;=GRID_FROM)*('Dvd Calendar'!$Q$550&lt;=GRID_TO)*((('Dvd Calendar'!$Q$550&lt;=VAL_DATE)+(COUNTIF('Dvd Calendar'!$E$557:$AR$557,'Dvd Calendar'!$Q$550)=0))&gt;0)=0,"",'Dvd Calendar'!$Q$550*1000000000+ISNUMBER('Dvd Calendar'!$Q$553)*100000000+('Dvd Calendar'!$Q$555=SPECIAL_LBL)*10000000+(N('Dvd Calendar'!$Q$549)&gt;0)*(N('Dvd Calendar'!$Q$549)&lt;=VAL_SERIAL)*1000000+50*1000+13))</f>
        <v/>
      </c>
      <c r="ER61" s="39">
        <f>IF(N('Dvd Calendar'!$R$550)=0,"",IF(('Dvd Calendar'!$R$550&gt;=GRID_FROM)*('Dvd Calendar'!$R$550&lt;=GRID_TO)*((('Dvd Calendar'!$R$550&lt;=VAL_DATE)+(COUNTIF('Dvd Calendar'!$E$557:$AR$557,'Dvd Calendar'!$R$550)=0))&gt;0)=0,"",'Dvd Calendar'!$R$550*1000000000+ISNUMBER('Dvd Calendar'!$R$553)*100000000+('Dvd Calendar'!$R$555=SPECIAL_LBL)*10000000+(N('Dvd Calendar'!$R$549)&gt;0)*(N('Dvd Calendar'!$R$549)&lt;=VAL_SERIAL)*1000000+50*1000+14))</f>
        <v/>
      </c>
      <c r="ES61" s="39">
        <f>IF(N('Dvd Calendar'!$S$550)=0,"",IF(('Dvd Calendar'!$S$550&gt;=GRID_FROM)*('Dvd Calendar'!$S$550&lt;=GRID_TO)*((('Dvd Calendar'!$S$550&lt;=VAL_DATE)+(COUNTIF('Dvd Calendar'!$E$557:$AR$557,'Dvd Calendar'!$S$550)=0))&gt;0)=0,"",'Dvd Calendar'!$S$550*1000000000+ISNUMBER('Dvd Calendar'!$S$553)*100000000+('Dvd Calendar'!$S$555=SPECIAL_LBL)*10000000+(N('Dvd Calendar'!$S$549)&gt;0)*(N('Dvd Calendar'!$S$549)&lt;=VAL_SERIAL)*1000000+50*1000+15))</f>
        <v/>
      </c>
      <c r="ET61" s="39">
        <f>IF(N('Dvd Calendar'!$T$550)=0,"",IF(('Dvd Calendar'!$T$550&gt;=GRID_FROM)*('Dvd Calendar'!$T$550&lt;=GRID_TO)*((('Dvd Calendar'!$T$550&lt;=VAL_DATE)+(COUNTIF('Dvd Calendar'!$E$557:$AR$557,'Dvd Calendar'!$T$550)=0))&gt;0)=0,"",'Dvd Calendar'!$T$550*1000000000+ISNUMBER('Dvd Calendar'!$T$553)*100000000+('Dvd Calendar'!$T$555=SPECIAL_LBL)*10000000+(N('Dvd Calendar'!$T$549)&gt;0)*(N('Dvd Calendar'!$T$549)&lt;=VAL_SERIAL)*1000000+50*1000+16))</f>
        <v/>
      </c>
      <c r="EU61" s="39">
        <f>IF(N('Dvd Calendar'!$U$550)=0,"",IF(('Dvd Calendar'!$U$550&gt;=GRID_FROM)*('Dvd Calendar'!$U$550&lt;=GRID_TO)*((('Dvd Calendar'!$U$550&lt;=VAL_DATE)+(COUNTIF('Dvd Calendar'!$E$557:$AR$557,'Dvd Calendar'!$U$550)=0))&gt;0)=0,"",'Dvd Calendar'!$U$550*1000000000+ISNUMBER('Dvd Calendar'!$U$553)*100000000+('Dvd Calendar'!$U$555=SPECIAL_LBL)*10000000+(N('Dvd Calendar'!$U$549)&gt;0)*(N('Dvd Calendar'!$U$549)&lt;=VAL_SERIAL)*1000000+50*1000+17))</f>
        <v/>
      </c>
      <c r="EV61" s="39">
        <f>IF(N('Dvd Calendar'!$V$550)=0,"",IF(('Dvd Calendar'!$V$550&gt;=GRID_FROM)*('Dvd Calendar'!$V$550&lt;=GRID_TO)*((('Dvd Calendar'!$V$550&lt;=VAL_DATE)+(COUNTIF('Dvd Calendar'!$E$557:$AR$557,'Dvd Calendar'!$V$550)=0))&gt;0)=0,"",'Dvd Calendar'!$V$550*1000000000+ISNUMBER('Dvd Calendar'!$V$553)*100000000+('Dvd Calendar'!$V$555=SPECIAL_LBL)*10000000+(N('Dvd Calendar'!$V$549)&gt;0)*(N('Dvd Calendar'!$V$549)&lt;=VAL_SERIAL)*1000000+50*1000+18))</f>
        <v/>
      </c>
      <c r="EW61" s="39">
        <f>IF(N('Dvd Calendar'!$W$550)=0,"",IF(('Dvd Calendar'!$W$550&gt;=GRID_FROM)*('Dvd Calendar'!$W$550&lt;=GRID_TO)*((('Dvd Calendar'!$W$550&lt;=VAL_DATE)+(COUNTIF('Dvd Calendar'!$E$557:$AR$557,'Dvd Calendar'!$W$550)=0))&gt;0)=0,"",'Dvd Calendar'!$W$550*1000000000+ISNUMBER('Dvd Calendar'!$W$553)*100000000+('Dvd Calendar'!$W$555=SPECIAL_LBL)*10000000+(N('Dvd Calendar'!$W$549)&gt;0)*(N('Dvd Calendar'!$W$549)&lt;=VAL_SERIAL)*1000000+50*1000+19))</f>
        <v/>
      </c>
      <c r="EX61" s="39">
        <f>IF(N('Dvd Calendar'!$X$550)=0,"",IF(('Dvd Calendar'!$X$550&gt;=GRID_FROM)*('Dvd Calendar'!$X$550&lt;=GRID_TO)*((('Dvd Calendar'!$X$550&lt;=VAL_DATE)+(COUNTIF('Dvd Calendar'!$E$557:$AR$557,'Dvd Calendar'!$X$550)=0))&gt;0)=0,"",'Dvd Calendar'!$X$550*1000000000+ISNUMBER('Dvd Calendar'!$X$553)*100000000+('Dvd Calendar'!$X$555=SPECIAL_LBL)*10000000+(N('Dvd Calendar'!$X$549)&gt;0)*(N('Dvd Calendar'!$X$549)&lt;=VAL_SERIAL)*1000000+50*1000+20))</f>
        <v/>
      </c>
      <c r="EY61" s="39">
        <f>IF(N('Dvd Calendar'!$Y$550)=0,"",IF(('Dvd Calendar'!$Y$550&gt;=GRID_FROM)*('Dvd Calendar'!$Y$550&lt;=GRID_TO)*((('Dvd Calendar'!$Y$550&lt;=VAL_DATE)+(COUNTIF('Dvd Calendar'!$E$557:$AR$557,'Dvd Calendar'!$Y$550)=0))&gt;0)=0,"",'Dvd Calendar'!$Y$550*1000000000+ISNUMBER('Dvd Calendar'!$Y$553)*100000000+('Dvd Calendar'!$Y$555=SPECIAL_LBL)*10000000+(N('Dvd Calendar'!$Y$549)&gt;0)*(N('Dvd Calendar'!$Y$549)&lt;=VAL_SERIAL)*1000000+50*1000+21))</f>
        <v/>
      </c>
      <c r="EZ61" s="39">
        <f>IF(N('Dvd Calendar'!$Z$550)=0,"",IF(('Dvd Calendar'!$Z$550&gt;=GRID_FROM)*('Dvd Calendar'!$Z$550&lt;=GRID_TO)*((('Dvd Calendar'!$Z$550&lt;=VAL_DATE)+(COUNTIF('Dvd Calendar'!$E$557:$AR$557,'Dvd Calendar'!$Z$550)=0))&gt;0)=0,"",'Dvd Calendar'!$Z$550*1000000000+ISNUMBER('Dvd Calendar'!$Z$553)*100000000+('Dvd Calendar'!$Z$555=SPECIAL_LBL)*10000000+(N('Dvd Calendar'!$Z$549)&gt;0)*(N('Dvd Calendar'!$Z$549)&lt;=VAL_SERIAL)*1000000+50*1000+22))</f>
        <v/>
      </c>
      <c r="FA61" s="39">
        <f>IF(N('Dvd Calendar'!$AA$550)=0,"",IF(('Dvd Calendar'!$AA$550&gt;=GRID_FROM)*('Dvd Calendar'!$AA$550&lt;=GRID_TO)*((('Dvd Calendar'!$AA$550&lt;=VAL_DATE)+(COUNTIF('Dvd Calendar'!$E$557:$AR$557,'Dvd Calendar'!$AA$550)=0))&gt;0)=0,"",'Dvd Calendar'!$AA$550*1000000000+ISNUMBER('Dvd Calendar'!$AA$553)*100000000+('Dvd Calendar'!$AA$555=SPECIAL_LBL)*10000000+(N('Dvd Calendar'!$AA$549)&gt;0)*(N('Dvd Calendar'!$AA$549)&lt;=VAL_SERIAL)*1000000+50*1000+23))</f>
        <v/>
      </c>
      <c r="FB61" s="39">
        <f>IF(N('Dvd Calendar'!$AB$550)=0,"",IF(('Dvd Calendar'!$AB$550&gt;=GRID_FROM)*('Dvd Calendar'!$AB$550&lt;=GRID_TO)*((('Dvd Calendar'!$AB$550&lt;=VAL_DATE)+(COUNTIF('Dvd Calendar'!$E$557:$AR$557,'Dvd Calendar'!$AB$550)=0))&gt;0)=0,"",'Dvd Calendar'!$AB$550*1000000000+ISNUMBER('Dvd Calendar'!$AB$553)*100000000+('Dvd Calendar'!$AB$555=SPECIAL_LBL)*10000000+(N('Dvd Calendar'!$AB$549)&gt;0)*(N('Dvd Calendar'!$AB$549)&lt;=VAL_SERIAL)*1000000+50*1000+24))</f>
        <v/>
      </c>
      <c r="FC61" s="39">
        <f>IF(N('Dvd Calendar'!$AC$550)=0,"",IF(('Dvd Calendar'!$AC$550&gt;=GRID_FROM)*('Dvd Calendar'!$AC$550&lt;=GRID_TO)*((('Dvd Calendar'!$AC$550&lt;=VAL_DATE)+(COUNTIF('Dvd Calendar'!$E$557:$AR$557,'Dvd Calendar'!$AC$550)=0))&gt;0)=0,"",'Dvd Calendar'!$AC$550*1000000000+ISNUMBER('Dvd Calendar'!$AC$553)*100000000+('Dvd Calendar'!$AC$555=SPECIAL_LBL)*10000000+(N('Dvd Calendar'!$AC$549)&gt;0)*(N('Dvd Calendar'!$AC$549)&lt;=VAL_SERIAL)*1000000+50*1000+25))</f>
        <v/>
      </c>
      <c r="FD61" s="39">
        <f>IF(N('Dvd Calendar'!$AD$550)=0,"",IF(('Dvd Calendar'!$AD$550&gt;=GRID_FROM)*('Dvd Calendar'!$AD$550&lt;=GRID_TO)*((('Dvd Calendar'!$AD$550&lt;=VAL_DATE)+(COUNTIF('Dvd Calendar'!$E$557:$AR$557,'Dvd Calendar'!$AD$550)=0))&gt;0)=0,"",'Dvd Calendar'!$AD$550*1000000000+ISNUMBER('Dvd Calendar'!$AD$553)*100000000+('Dvd Calendar'!$AD$555=SPECIAL_LBL)*10000000+(N('Dvd Calendar'!$AD$549)&gt;0)*(N('Dvd Calendar'!$AD$549)&lt;=VAL_SERIAL)*1000000+50*1000+26))</f>
        <v/>
      </c>
      <c r="FE61" s="39">
        <f>IF(N('Dvd Calendar'!$AE$550)=0,"",IF(('Dvd Calendar'!$AE$550&gt;=GRID_FROM)*('Dvd Calendar'!$AE$550&lt;=GRID_TO)*((('Dvd Calendar'!$AE$550&lt;=VAL_DATE)+(COUNTIF('Dvd Calendar'!$E$557:$AR$557,'Dvd Calendar'!$AE$550)=0))&gt;0)=0,"",'Dvd Calendar'!$AE$550*1000000000+ISNUMBER('Dvd Calendar'!$AE$553)*100000000+('Dvd Calendar'!$AE$555=SPECIAL_LBL)*10000000+(N('Dvd Calendar'!$AE$549)&gt;0)*(N('Dvd Calendar'!$AE$549)&lt;=VAL_SERIAL)*1000000+50*1000+27))</f>
        <v/>
      </c>
      <c r="FF61" s="39">
        <f>IF(N('Dvd Calendar'!$AF$550)=0,"",IF(('Dvd Calendar'!$AF$550&gt;=GRID_FROM)*('Dvd Calendar'!$AF$550&lt;=GRID_TO)*((('Dvd Calendar'!$AF$550&lt;=VAL_DATE)+(COUNTIF('Dvd Calendar'!$E$557:$AR$557,'Dvd Calendar'!$AF$550)=0))&gt;0)=0,"",'Dvd Calendar'!$AF$550*1000000000+ISNUMBER('Dvd Calendar'!$AF$553)*100000000+('Dvd Calendar'!$AF$555=SPECIAL_LBL)*10000000+(N('Dvd Calendar'!$AF$549)&gt;0)*(N('Dvd Calendar'!$AF$549)&lt;=VAL_SERIAL)*1000000+50*1000+28))</f>
        <v/>
      </c>
      <c r="FG61" s="39">
        <f>IF(N('Dvd Calendar'!$AG$550)=0,"",IF(('Dvd Calendar'!$AG$550&gt;=GRID_FROM)*('Dvd Calendar'!$AG$550&lt;=GRID_TO)*((('Dvd Calendar'!$AG$550&lt;=VAL_DATE)+(COUNTIF('Dvd Calendar'!$E$557:$AR$557,'Dvd Calendar'!$AG$550)=0))&gt;0)=0,"",'Dvd Calendar'!$AG$550*1000000000+ISNUMBER('Dvd Calendar'!$AG$553)*100000000+('Dvd Calendar'!$AG$555=SPECIAL_LBL)*10000000+(N('Dvd Calendar'!$AG$549)&gt;0)*(N('Dvd Calendar'!$AG$549)&lt;=VAL_SERIAL)*1000000+50*1000+29))</f>
        <v/>
      </c>
      <c r="FH61" s="39">
        <f>IF(N('Dvd Calendar'!$AH$550)=0,"",IF(('Dvd Calendar'!$AH$550&gt;=GRID_FROM)*('Dvd Calendar'!$AH$550&lt;=GRID_TO)*((('Dvd Calendar'!$AH$550&lt;=VAL_DATE)+(COUNTIF('Dvd Calendar'!$E$557:$AR$557,'Dvd Calendar'!$AH$550)=0))&gt;0)=0,"",'Dvd Calendar'!$AH$550*1000000000+ISNUMBER('Dvd Calendar'!$AH$553)*100000000+('Dvd Calendar'!$AH$555=SPECIAL_LBL)*10000000+(N('Dvd Calendar'!$AH$549)&gt;0)*(N('Dvd Calendar'!$AH$549)&lt;=VAL_SERIAL)*1000000+50*1000+30))</f>
        <v/>
      </c>
      <c r="FI61" s="39">
        <f>IF(N('Dvd Calendar'!$AI$550)=0,"",IF(('Dvd Calendar'!$AI$550&gt;=GRID_FROM)*('Dvd Calendar'!$AI$550&lt;=GRID_TO)*((('Dvd Calendar'!$AI$550&lt;=VAL_DATE)+(COUNTIF('Dvd Calendar'!$E$557:$AR$557,'Dvd Calendar'!$AI$550)=0))&gt;0)=0,"",'Dvd Calendar'!$AI$550*1000000000+ISNUMBER('Dvd Calendar'!$AI$553)*100000000+('Dvd Calendar'!$AI$555=SPECIAL_LBL)*10000000+(N('Dvd Calendar'!$AI$549)&gt;0)*(N('Dvd Calendar'!$AI$549)&lt;=VAL_SERIAL)*1000000+50*1000+31))</f>
        <v/>
      </c>
      <c r="FJ61" s="39">
        <f>IF(N('Dvd Calendar'!$AJ$550)=0,"",IF(('Dvd Calendar'!$AJ$550&gt;=GRID_FROM)*('Dvd Calendar'!$AJ$550&lt;=GRID_TO)*((('Dvd Calendar'!$AJ$550&lt;=VAL_DATE)+(COUNTIF('Dvd Calendar'!$E$557:$AR$557,'Dvd Calendar'!$AJ$550)=0))&gt;0)=0,"",'Dvd Calendar'!$AJ$550*1000000000+ISNUMBER('Dvd Calendar'!$AJ$553)*100000000+('Dvd Calendar'!$AJ$555=SPECIAL_LBL)*10000000+(N('Dvd Calendar'!$AJ$549)&gt;0)*(N('Dvd Calendar'!$AJ$549)&lt;=VAL_SERIAL)*1000000+50*1000+32))</f>
        <v/>
      </c>
      <c r="FK61" s="39">
        <f>IF(N('Dvd Calendar'!$AK$550)=0,"",IF(('Dvd Calendar'!$AK$550&gt;=GRID_FROM)*('Dvd Calendar'!$AK$550&lt;=GRID_TO)*((('Dvd Calendar'!$AK$550&lt;=VAL_DATE)+(COUNTIF('Dvd Calendar'!$E$557:$AR$557,'Dvd Calendar'!$AK$550)=0))&gt;0)=0,"",'Dvd Calendar'!$AK$550*1000000000+ISNUMBER('Dvd Calendar'!$AK$553)*100000000+('Dvd Calendar'!$AK$555=SPECIAL_LBL)*10000000+(N('Dvd Calendar'!$AK$549)&gt;0)*(N('Dvd Calendar'!$AK$549)&lt;=VAL_SERIAL)*1000000+50*1000+33))</f>
        <v/>
      </c>
      <c r="FL61" s="39">
        <f>IF(N('Dvd Calendar'!$AL$550)=0,"",IF(('Dvd Calendar'!$AL$550&gt;=GRID_FROM)*('Dvd Calendar'!$AL$550&lt;=GRID_TO)*((('Dvd Calendar'!$AL$550&lt;=VAL_DATE)+(COUNTIF('Dvd Calendar'!$E$557:$AR$557,'Dvd Calendar'!$AL$550)=0))&gt;0)=0,"",'Dvd Calendar'!$AL$550*1000000000+ISNUMBER('Dvd Calendar'!$AL$553)*100000000+('Dvd Calendar'!$AL$555=SPECIAL_LBL)*10000000+(N('Dvd Calendar'!$AL$549)&gt;0)*(N('Dvd Calendar'!$AL$549)&lt;=VAL_SERIAL)*1000000+50*1000+34))</f>
        <v/>
      </c>
      <c r="FM61" s="39">
        <f>IF(N('Dvd Calendar'!$AM$550)=0,"",IF(('Dvd Calendar'!$AM$550&gt;=GRID_FROM)*('Dvd Calendar'!$AM$550&lt;=GRID_TO)*((('Dvd Calendar'!$AM$550&lt;=VAL_DATE)+(COUNTIF('Dvd Calendar'!$E$557:$AR$557,'Dvd Calendar'!$AM$550)=0))&gt;0)=0,"",'Dvd Calendar'!$AM$550*1000000000+ISNUMBER('Dvd Calendar'!$AM$553)*100000000+('Dvd Calendar'!$AM$555=SPECIAL_LBL)*10000000+(N('Dvd Calendar'!$AM$549)&gt;0)*(N('Dvd Calendar'!$AM$549)&lt;=VAL_SERIAL)*1000000+50*1000+35))</f>
        <v/>
      </c>
      <c r="FN61" s="39">
        <f>IF(N('Dvd Calendar'!$AN$550)=0,"",IF(('Dvd Calendar'!$AN$550&gt;=GRID_FROM)*('Dvd Calendar'!$AN$550&lt;=GRID_TO)*((('Dvd Calendar'!$AN$550&lt;=VAL_DATE)+(COUNTIF('Dvd Calendar'!$E$557:$AR$557,'Dvd Calendar'!$AN$550)=0))&gt;0)=0,"",'Dvd Calendar'!$AN$550*1000000000+ISNUMBER('Dvd Calendar'!$AN$553)*100000000+('Dvd Calendar'!$AN$555=SPECIAL_LBL)*10000000+(N('Dvd Calendar'!$AN$549)&gt;0)*(N('Dvd Calendar'!$AN$549)&lt;=VAL_SERIAL)*1000000+50*1000+36))</f>
        <v/>
      </c>
      <c r="FO61" s="39">
        <f>IF(N('Dvd Calendar'!$AO$550)=0,"",IF(('Dvd Calendar'!$AO$550&gt;=GRID_FROM)*('Dvd Calendar'!$AO$550&lt;=GRID_TO)*((('Dvd Calendar'!$AO$550&lt;=VAL_DATE)+(COUNTIF('Dvd Calendar'!$E$557:$AR$557,'Dvd Calendar'!$AO$550)=0))&gt;0)=0,"",'Dvd Calendar'!$AO$550*1000000000+ISNUMBER('Dvd Calendar'!$AO$553)*100000000+('Dvd Calendar'!$AO$555=SPECIAL_LBL)*10000000+(N('Dvd Calendar'!$AO$549)&gt;0)*(N('Dvd Calendar'!$AO$549)&lt;=VAL_SERIAL)*1000000+50*1000+37))</f>
        <v/>
      </c>
      <c r="FP61" s="39">
        <f>IF(N('Dvd Calendar'!$AP$550)=0,"",IF(('Dvd Calendar'!$AP$550&gt;=GRID_FROM)*('Dvd Calendar'!$AP$550&lt;=GRID_TO)*((('Dvd Calendar'!$AP$550&lt;=VAL_DATE)+(COUNTIF('Dvd Calendar'!$E$557:$AR$557,'Dvd Calendar'!$AP$550)=0))&gt;0)=0,"",'Dvd Calendar'!$AP$550*1000000000+ISNUMBER('Dvd Calendar'!$AP$553)*100000000+('Dvd Calendar'!$AP$555=SPECIAL_LBL)*10000000+(N('Dvd Calendar'!$AP$549)&gt;0)*(N('Dvd Calendar'!$AP$549)&lt;=VAL_SERIAL)*1000000+50*1000+38))</f>
        <v/>
      </c>
      <c r="FQ61" s="39">
        <f>IF(N('Dvd Calendar'!$AQ$550)=0,"",IF(('Dvd Calendar'!$AQ$550&gt;=GRID_FROM)*('Dvd Calendar'!$AQ$550&lt;=GRID_TO)*((('Dvd Calendar'!$AQ$550&lt;=VAL_DATE)+(COUNTIF('Dvd Calendar'!$E$557:$AR$557,'Dvd Calendar'!$AQ$550)=0))&gt;0)=0,"",'Dvd Calendar'!$AQ$550*1000000000+ISNUMBER('Dvd Calendar'!$AQ$553)*100000000+('Dvd Calendar'!$AQ$555=SPECIAL_LBL)*10000000+(N('Dvd Calendar'!$AQ$549)&gt;0)*(N('Dvd Calendar'!$AQ$549)&lt;=VAL_SERIAL)*1000000+50*1000+39))</f>
        <v/>
      </c>
      <c r="FR61" s="39">
        <f>IF(N('Dvd Calendar'!$AR$550)=0,"",IF(('Dvd Calendar'!$AR$550&gt;=GRID_FROM)*('Dvd Calendar'!$AR$550&lt;=GRID_TO)*((('Dvd Calendar'!$AR$550&lt;=VAL_DATE)+(COUNTIF('Dvd Calendar'!$E$557:$AR$557,'Dvd Calendar'!$AR$550)=0))&gt;0)=0,"",'Dvd Calendar'!$AR$550*1000000000+ISNUMBER('Dvd Calendar'!$AR$553)*100000000+('Dvd Calendar'!$AR$555=SPECIAL_LBL)*10000000+(N('Dvd Calendar'!$AR$549)&gt;0)*(N('Dvd Calendar'!$AR$549)&lt;=VAL_SERIAL)*1000000+50*1000+40))</f>
        <v/>
      </c>
      <c r="FS61" s="39">
        <f>IF(N('Dvd Calendar'!$E$557)=0,"",IF(('Dvd Calendar'!$E$557&gt;=GRID_FROM)*('Dvd Calendar'!$E$557&lt;=GRID_TO)*('Dvd Calendar'!$E$557&gt;VAL_DATE)=0,"",'Dvd Calendar'!$E$557*1000000000+ISNUMBER('Dvd Calendar'!$E$558)*100000000+0*10000000+(N('Dvd Calendar'!$E$556)&gt;0)*(N('Dvd Calendar'!$E$556)&lt;=VAL_SERIAL)*1000000+50*1000+41))</f>
        <v/>
      </c>
      <c r="FT61" s="39">
        <f>IF(N('Dvd Calendar'!$F$557)=0,"",IF(('Dvd Calendar'!$F$557&gt;=GRID_FROM)*('Dvd Calendar'!$F$557&lt;=GRID_TO)*('Dvd Calendar'!$F$557&gt;VAL_DATE)=0,"",'Dvd Calendar'!$F$557*1000000000+ISNUMBER('Dvd Calendar'!$F$558)*100000000+0*10000000+(N('Dvd Calendar'!$F$556)&gt;0)*(N('Dvd Calendar'!$F$556)&lt;=VAL_SERIAL)*1000000+50*1000+42))</f>
        <v/>
      </c>
      <c r="FU61" s="39">
        <f>IF(N('Dvd Calendar'!$G$557)=0,"",IF(('Dvd Calendar'!$G$557&gt;=GRID_FROM)*('Dvd Calendar'!$G$557&lt;=GRID_TO)*('Dvd Calendar'!$G$557&gt;VAL_DATE)=0,"",'Dvd Calendar'!$G$557*1000000000+ISNUMBER('Dvd Calendar'!$G$558)*100000000+0*10000000+(N('Dvd Calendar'!$G$556)&gt;0)*(N('Dvd Calendar'!$G$556)&lt;=VAL_SERIAL)*1000000+50*1000+43))</f>
        <v/>
      </c>
      <c r="FV61" s="39">
        <f>IF(N('Dvd Calendar'!$H$557)=0,"",IF(('Dvd Calendar'!$H$557&gt;=GRID_FROM)*('Dvd Calendar'!$H$557&lt;=GRID_TO)*('Dvd Calendar'!$H$557&gt;VAL_DATE)=0,"",'Dvd Calendar'!$H$557*1000000000+ISNUMBER('Dvd Calendar'!$H$558)*100000000+0*10000000+(N('Dvd Calendar'!$H$556)&gt;0)*(N('Dvd Calendar'!$H$556)&lt;=VAL_SERIAL)*1000000+50*1000+44))</f>
        <v/>
      </c>
      <c r="FW61" s="39">
        <f>IF(N('Dvd Calendar'!$I$557)=0,"",IF(('Dvd Calendar'!$I$557&gt;=GRID_FROM)*('Dvd Calendar'!$I$557&lt;=GRID_TO)*('Dvd Calendar'!$I$557&gt;VAL_DATE)=0,"",'Dvd Calendar'!$I$557*1000000000+ISNUMBER('Dvd Calendar'!$I$558)*100000000+0*10000000+(N('Dvd Calendar'!$I$556)&gt;0)*(N('Dvd Calendar'!$I$556)&lt;=VAL_SERIAL)*1000000+50*1000+45))</f>
        <v/>
      </c>
      <c r="FX61" s="39">
        <f>IF(N('Dvd Calendar'!$J$557)=0,"",IF(('Dvd Calendar'!$J$557&gt;=GRID_FROM)*('Dvd Calendar'!$J$557&lt;=GRID_TO)*('Dvd Calendar'!$J$557&gt;VAL_DATE)=0,"",'Dvd Calendar'!$J$557*1000000000+ISNUMBER('Dvd Calendar'!$J$558)*100000000+0*10000000+(N('Dvd Calendar'!$J$556)&gt;0)*(N('Dvd Calendar'!$J$556)&lt;=VAL_SERIAL)*1000000+50*1000+46))</f>
        <v/>
      </c>
      <c r="FY61" s="39">
        <f>IF(N('Dvd Calendar'!$K$557)=0,"",IF(('Dvd Calendar'!$K$557&gt;=GRID_FROM)*('Dvd Calendar'!$K$557&lt;=GRID_TO)*('Dvd Calendar'!$K$557&gt;VAL_DATE)=0,"",'Dvd Calendar'!$K$557*1000000000+ISNUMBER('Dvd Calendar'!$K$558)*100000000+0*10000000+(N('Dvd Calendar'!$K$556)&gt;0)*(N('Dvd Calendar'!$K$556)&lt;=VAL_SERIAL)*1000000+50*1000+47))</f>
        <v/>
      </c>
      <c r="FZ61" s="39">
        <f>IF(N('Dvd Calendar'!$L$557)=0,"",IF(('Dvd Calendar'!$L$557&gt;=GRID_FROM)*('Dvd Calendar'!$L$557&lt;=GRID_TO)*('Dvd Calendar'!$L$557&gt;VAL_DATE)=0,"",'Dvd Calendar'!$L$557*1000000000+ISNUMBER('Dvd Calendar'!$L$558)*100000000+0*10000000+(N('Dvd Calendar'!$L$556)&gt;0)*(N('Dvd Calendar'!$L$556)&lt;=VAL_SERIAL)*1000000+50*1000+48))</f>
        <v/>
      </c>
      <c r="GA61" s="39">
        <f>IF(N('Dvd Calendar'!$M$557)=0,"",IF(('Dvd Calendar'!$M$557&gt;=GRID_FROM)*('Dvd Calendar'!$M$557&lt;=GRID_TO)*('Dvd Calendar'!$M$557&gt;VAL_DATE)=0,"",'Dvd Calendar'!$M$557*1000000000+ISNUMBER('Dvd Calendar'!$M$558)*100000000+0*10000000+(N('Dvd Calendar'!$M$556)&gt;0)*(N('Dvd Calendar'!$M$556)&lt;=VAL_SERIAL)*1000000+50*1000+49))</f>
        <v/>
      </c>
      <c r="GB61" s="39">
        <f>IF(N('Dvd Calendar'!$N$557)=0,"",IF(('Dvd Calendar'!$N$557&gt;=GRID_FROM)*('Dvd Calendar'!$N$557&lt;=GRID_TO)*('Dvd Calendar'!$N$557&gt;VAL_DATE)=0,"",'Dvd Calendar'!$N$557*1000000000+ISNUMBER('Dvd Calendar'!$N$558)*100000000+0*10000000+(N('Dvd Calendar'!$N$556)&gt;0)*(N('Dvd Calendar'!$N$556)&lt;=VAL_SERIAL)*1000000+50*1000+50))</f>
        <v/>
      </c>
      <c r="GC61" s="39">
        <f>IF(N('Dvd Calendar'!$O$557)=0,"",IF(('Dvd Calendar'!$O$557&gt;=GRID_FROM)*('Dvd Calendar'!$O$557&lt;=GRID_TO)*('Dvd Calendar'!$O$557&gt;VAL_DATE)=0,"",'Dvd Calendar'!$O$557*1000000000+ISNUMBER('Dvd Calendar'!$O$558)*100000000+0*10000000+(N('Dvd Calendar'!$O$556)&gt;0)*(N('Dvd Calendar'!$O$556)&lt;=VAL_SERIAL)*1000000+50*1000+51))</f>
        <v/>
      </c>
      <c r="GD61" s="39">
        <f>IF(N('Dvd Calendar'!$P$557)=0,"",IF(('Dvd Calendar'!$P$557&gt;=GRID_FROM)*('Dvd Calendar'!$P$557&lt;=GRID_TO)*('Dvd Calendar'!$P$557&gt;VAL_DATE)=0,"",'Dvd Calendar'!$P$557*1000000000+ISNUMBER('Dvd Calendar'!$P$558)*100000000+0*10000000+(N('Dvd Calendar'!$P$556)&gt;0)*(N('Dvd Calendar'!$P$556)&lt;=VAL_SERIAL)*1000000+50*1000+52))</f>
        <v/>
      </c>
      <c r="GE61" s="39">
        <f>IF(N('Dvd Calendar'!$Q$557)=0,"",IF(('Dvd Calendar'!$Q$557&gt;=GRID_FROM)*('Dvd Calendar'!$Q$557&lt;=GRID_TO)*('Dvd Calendar'!$Q$557&gt;VAL_DATE)=0,"",'Dvd Calendar'!$Q$557*1000000000+ISNUMBER('Dvd Calendar'!$Q$558)*100000000+0*10000000+(N('Dvd Calendar'!$Q$556)&gt;0)*(N('Dvd Calendar'!$Q$556)&lt;=VAL_SERIAL)*1000000+50*1000+53))</f>
        <v/>
      </c>
      <c r="GF61" s="39">
        <f>IF(N('Dvd Calendar'!$R$557)=0,"",IF(('Dvd Calendar'!$R$557&gt;=GRID_FROM)*('Dvd Calendar'!$R$557&lt;=GRID_TO)*('Dvd Calendar'!$R$557&gt;VAL_DATE)=0,"",'Dvd Calendar'!$R$557*1000000000+ISNUMBER('Dvd Calendar'!$R$558)*100000000+0*10000000+(N('Dvd Calendar'!$R$556)&gt;0)*(N('Dvd Calendar'!$R$556)&lt;=VAL_SERIAL)*1000000+50*1000+54))</f>
        <v/>
      </c>
      <c r="GG61" s="39">
        <f>IF(N('Dvd Calendar'!$S$557)=0,"",IF(('Dvd Calendar'!$S$557&gt;=GRID_FROM)*('Dvd Calendar'!$S$557&lt;=GRID_TO)*('Dvd Calendar'!$S$557&gt;VAL_DATE)=0,"",'Dvd Calendar'!$S$557*1000000000+ISNUMBER('Dvd Calendar'!$S$558)*100000000+0*10000000+(N('Dvd Calendar'!$S$556)&gt;0)*(N('Dvd Calendar'!$S$556)&lt;=VAL_SERIAL)*1000000+50*1000+55))</f>
        <v/>
      </c>
      <c r="GH61" s="39">
        <f>IF(N('Dvd Calendar'!$T$557)=0,"",IF(('Dvd Calendar'!$T$557&gt;=GRID_FROM)*('Dvd Calendar'!$T$557&lt;=GRID_TO)*('Dvd Calendar'!$T$557&gt;VAL_DATE)=0,"",'Dvd Calendar'!$T$557*1000000000+ISNUMBER('Dvd Calendar'!$T$558)*100000000+0*10000000+(N('Dvd Calendar'!$T$556)&gt;0)*(N('Dvd Calendar'!$T$556)&lt;=VAL_SERIAL)*1000000+50*1000+56))</f>
        <v/>
      </c>
      <c r="GI61" s="39">
        <f>IF(N('Dvd Calendar'!$U$557)=0,"",IF(('Dvd Calendar'!$U$557&gt;=GRID_FROM)*('Dvd Calendar'!$U$557&lt;=GRID_TO)*('Dvd Calendar'!$U$557&gt;VAL_DATE)=0,"",'Dvd Calendar'!$U$557*1000000000+ISNUMBER('Dvd Calendar'!$U$558)*100000000+0*10000000+(N('Dvd Calendar'!$U$556)&gt;0)*(N('Dvd Calendar'!$U$556)&lt;=VAL_SERIAL)*1000000+50*1000+57))</f>
        <v/>
      </c>
      <c r="GJ61" s="39">
        <f>IF(N('Dvd Calendar'!$V$557)=0,"",IF(('Dvd Calendar'!$V$557&gt;=GRID_FROM)*('Dvd Calendar'!$V$557&lt;=GRID_TO)*('Dvd Calendar'!$V$557&gt;VAL_DATE)=0,"",'Dvd Calendar'!$V$557*1000000000+ISNUMBER('Dvd Calendar'!$V$558)*100000000+0*10000000+(N('Dvd Calendar'!$V$556)&gt;0)*(N('Dvd Calendar'!$V$556)&lt;=VAL_SERIAL)*1000000+50*1000+58))</f>
        <v/>
      </c>
      <c r="GK61" s="39">
        <f>IF(N('Dvd Calendar'!$W$557)=0,"",IF(('Dvd Calendar'!$W$557&gt;=GRID_FROM)*('Dvd Calendar'!$W$557&lt;=GRID_TO)*('Dvd Calendar'!$W$557&gt;VAL_DATE)=0,"",'Dvd Calendar'!$W$557*1000000000+ISNUMBER('Dvd Calendar'!$W$558)*100000000+0*10000000+(N('Dvd Calendar'!$W$556)&gt;0)*(N('Dvd Calendar'!$W$556)&lt;=VAL_SERIAL)*1000000+50*1000+59))</f>
        <v/>
      </c>
      <c r="GL61" s="39">
        <f>IF(N('Dvd Calendar'!$X$557)=0,"",IF(('Dvd Calendar'!$X$557&gt;=GRID_FROM)*('Dvd Calendar'!$X$557&lt;=GRID_TO)*('Dvd Calendar'!$X$557&gt;VAL_DATE)=0,"",'Dvd Calendar'!$X$557*1000000000+ISNUMBER('Dvd Calendar'!$X$558)*100000000+0*10000000+(N('Dvd Calendar'!$X$556)&gt;0)*(N('Dvd Calendar'!$X$556)&lt;=VAL_SERIAL)*1000000+50*1000+60))</f>
        <v/>
      </c>
      <c r="GM61" s="39">
        <f>IF(N('Dvd Calendar'!$Y$557)=0,"",IF(('Dvd Calendar'!$Y$557&gt;=GRID_FROM)*('Dvd Calendar'!$Y$557&lt;=GRID_TO)*('Dvd Calendar'!$Y$557&gt;VAL_DATE)=0,"",'Dvd Calendar'!$Y$557*1000000000+ISNUMBER('Dvd Calendar'!$Y$558)*100000000+0*10000000+(N('Dvd Calendar'!$Y$556)&gt;0)*(N('Dvd Calendar'!$Y$556)&lt;=VAL_SERIAL)*1000000+50*1000+61))</f>
        <v/>
      </c>
      <c r="GN61" s="39">
        <f>IF(N('Dvd Calendar'!$Z$557)=0,"",IF(('Dvd Calendar'!$Z$557&gt;=GRID_FROM)*('Dvd Calendar'!$Z$557&lt;=GRID_TO)*('Dvd Calendar'!$Z$557&gt;VAL_DATE)=0,"",'Dvd Calendar'!$Z$557*1000000000+ISNUMBER('Dvd Calendar'!$Z$558)*100000000+0*10000000+(N('Dvd Calendar'!$Z$556)&gt;0)*(N('Dvd Calendar'!$Z$556)&lt;=VAL_SERIAL)*1000000+50*1000+62))</f>
        <v/>
      </c>
      <c r="GO61" s="39">
        <f>IF(N('Dvd Calendar'!$AA$557)=0,"",IF(('Dvd Calendar'!$AA$557&gt;=GRID_FROM)*('Dvd Calendar'!$AA$557&lt;=GRID_TO)*('Dvd Calendar'!$AA$557&gt;VAL_DATE)=0,"",'Dvd Calendar'!$AA$557*1000000000+ISNUMBER('Dvd Calendar'!$AA$558)*100000000+0*10000000+(N('Dvd Calendar'!$AA$556)&gt;0)*(N('Dvd Calendar'!$AA$556)&lt;=VAL_SERIAL)*1000000+50*1000+63))</f>
        <v/>
      </c>
      <c r="GP61" s="39">
        <f>IF(N('Dvd Calendar'!$AB$557)=0,"",IF(('Dvd Calendar'!$AB$557&gt;=GRID_FROM)*('Dvd Calendar'!$AB$557&lt;=GRID_TO)*('Dvd Calendar'!$AB$557&gt;VAL_DATE)=0,"",'Dvd Calendar'!$AB$557*1000000000+ISNUMBER('Dvd Calendar'!$AB$558)*100000000+0*10000000+(N('Dvd Calendar'!$AB$556)&gt;0)*(N('Dvd Calendar'!$AB$556)&lt;=VAL_SERIAL)*1000000+50*1000+64))</f>
        <v/>
      </c>
      <c r="GQ61" s="39">
        <f>IF(N('Dvd Calendar'!$AC$557)=0,"",IF(('Dvd Calendar'!$AC$557&gt;=GRID_FROM)*('Dvd Calendar'!$AC$557&lt;=GRID_TO)*('Dvd Calendar'!$AC$557&gt;VAL_DATE)=0,"",'Dvd Calendar'!$AC$557*1000000000+ISNUMBER('Dvd Calendar'!$AC$558)*100000000+0*10000000+(N('Dvd Calendar'!$AC$556)&gt;0)*(N('Dvd Calendar'!$AC$556)&lt;=VAL_SERIAL)*1000000+50*1000+65))</f>
        <v/>
      </c>
    </row>
    <row r="62">
      <c r="B62" s="2">
        <f>IF(HSI!$C$57="","",HSI!$C$57)</f>
        <v/>
      </c>
      <c r="C62" s="110">
        <f>IF(EE62="","",IF(ISNUMBER('Dvd Calendar'!$E$564)=FALSE,"",IF((('Dvd Calendar'!$E$566=TYPE1)*(TYPE1&lt;&gt;"")+('Dvd Calendar'!$E$566=TYPE2)*(TYPE2&lt;&gt;"")+('Dvd Calendar'!$E$566=TYPE3)*(TYPE3&lt;&gt;"")+('Dvd Calendar'!$E$566=TYPE4)*(TYPE4&lt;&gt;"")+('Dvd Calendar'!$E$566=SPECIAL_LBL)*(INC_SPECIALS="Y"))=0,"",'Dvd Calendar'!$E$564)))</f>
        <v/>
      </c>
      <c r="D62" s="110">
        <f>IF(EF62="","",IF(ISNUMBER('Dvd Calendar'!$F$564)=FALSE,"",IF((('Dvd Calendar'!$F$566=TYPE1)*(TYPE1&lt;&gt;"")+('Dvd Calendar'!$F$566=TYPE2)*(TYPE2&lt;&gt;"")+('Dvd Calendar'!$F$566=TYPE3)*(TYPE3&lt;&gt;"")+('Dvd Calendar'!$F$566=TYPE4)*(TYPE4&lt;&gt;"")+('Dvd Calendar'!$F$566=SPECIAL_LBL)*(INC_SPECIALS="Y"))=0,"",'Dvd Calendar'!$F$564)))</f>
        <v/>
      </c>
      <c r="E62" s="110">
        <f>IF(EG62="","",IF(ISNUMBER('Dvd Calendar'!$G$564)=FALSE,"",IF((('Dvd Calendar'!$G$566=TYPE1)*(TYPE1&lt;&gt;"")+('Dvd Calendar'!$G$566=TYPE2)*(TYPE2&lt;&gt;"")+('Dvd Calendar'!$G$566=TYPE3)*(TYPE3&lt;&gt;"")+('Dvd Calendar'!$G$566=TYPE4)*(TYPE4&lt;&gt;"")+('Dvd Calendar'!$G$566=SPECIAL_LBL)*(INC_SPECIALS="Y"))=0,"",'Dvd Calendar'!$G$564)))</f>
        <v/>
      </c>
      <c r="F62" s="110">
        <f>IF(EH62="","",IF(ISNUMBER('Dvd Calendar'!$H$564)=FALSE,"",IF((('Dvd Calendar'!$H$566=TYPE1)*(TYPE1&lt;&gt;"")+('Dvd Calendar'!$H$566=TYPE2)*(TYPE2&lt;&gt;"")+('Dvd Calendar'!$H$566=TYPE3)*(TYPE3&lt;&gt;"")+('Dvd Calendar'!$H$566=TYPE4)*(TYPE4&lt;&gt;"")+('Dvd Calendar'!$H$566=SPECIAL_LBL)*(INC_SPECIALS="Y"))=0,"",'Dvd Calendar'!$H$564)))</f>
        <v/>
      </c>
      <c r="G62" s="110">
        <f>IF(EI62="","",IF(ISNUMBER('Dvd Calendar'!$I$564)=FALSE,"",IF((('Dvd Calendar'!$I$566=TYPE1)*(TYPE1&lt;&gt;"")+('Dvd Calendar'!$I$566=TYPE2)*(TYPE2&lt;&gt;"")+('Dvd Calendar'!$I$566=TYPE3)*(TYPE3&lt;&gt;"")+('Dvd Calendar'!$I$566=TYPE4)*(TYPE4&lt;&gt;"")+('Dvd Calendar'!$I$566=SPECIAL_LBL)*(INC_SPECIALS="Y"))=0,"",'Dvd Calendar'!$I$564)))</f>
        <v/>
      </c>
      <c r="H62" s="110">
        <f>IF(EJ62="","",IF(ISNUMBER('Dvd Calendar'!$J$564)=FALSE,"",IF((('Dvd Calendar'!$J$566=TYPE1)*(TYPE1&lt;&gt;"")+('Dvd Calendar'!$J$566=TYPE2)*(TYPE2&lt;&gt;"")+('Dvd Calendar'!$J$566=TYPE3)*(TYPE3&lt;&gt;"")+('Dvd Calendar'!$J$566=TYPE4)*(TYPE4&lt;&gt;"")+('Dvd Calendar'!$J$566=SPECIAL_LBL)*(INC_SPECIALS="Y"))=0,"",'Dvd Calendar'!$J$564)))</f>
        <v/>
      </c>
      <c r="I62" s="110">
        <f>IF(EK62="","",IF(ISNUMBER('Dvd Calendar'!$K$564)=FALSE,"",IF((('Dvd Calendar'!$K$566=TYPE1)*(TYPE1&lt;&gt;"")+('Dvd Calendar'!$K$566=TYPE2)*(TYPE2&lt;&gt;"")+('Dvd Calendar'!$K$566=TYPE3)*(TYPE3&lt;&gt;"")+('Dvd Calendar'!$K$566=TYPE4)*(TYPE4&lt;&gt;"")+('Dvd Calendar'!$K$566=SPECIAL_LBL)*(INC_SPECIALS="Y"))=0,"",'Dvd Calendar'!$K$564)))</f>
        <v/>
      </c>
      <c r="J62" s="110">
        <f>IF(EL62="","",IF(ISNUMBER('Dvd Calendar'!$L$564)=FALSE,"",IF((('Dvd Calendar'!$L$566=TYPE1)*(TYPE1&lt;&gt;"")+('Dvd Calendar'!$L$566=TYPE2)*(TYPE2&lt;&gt;"")+('Dvd Calendar'!$L$566=TYPE3)*(TYPE3&lt;&gt;"")+('Dvd Calendar'!$L$566=TYPE4)*(TYPE4&lt;&gt;"")+('Dvd Calendar'!$L$566=SPECIAL_LBL)*(INC_SPECIALS="Y"))=0,"",'Dvd Calendar'!$L$564)))</f>
        <v/>
      </c>
      <c r="K62" s="110">
        <f>IF(EM62="","",IF(ISNUMBER('Dvd Calendar'!$M$564)=FALSE,"",IF((('Dvd Calendar'!$M$566=TYPE1)*(TYPE1&lt;&gt;"")+('Dvd Calendar'!$M$566=TYPE2)*(TYPE2&lt;&gt;"")+('Dvd Calendar'!$M$566=TYPE3)*(TYPE3&lt;&gt;"")+('Dvd Calendar'!$M$566=TYPE4)*(TYPE4&lt;&gt;"")+('Dvd Calendar'!$M$566=SPECIAL_LBL)*(INC_SPECIALS="Y"))=0,"",'Dvd Calendar'!$M$564)))</f>
        <v/>
      </c>
      <c r="L62" s="110">
        <f>IF(EN62="","",IF(ISNUMBER('Dvd Calendar'!$N$564)=FALSE,"",IF((('Dvd Calendar'!$N$566=TYPE1)*(TYPE1&lt;&gt;"")+('Dvd Calendar'!$N$566=TYPE2)*(TYPE2&lt;&gt;"")+('Dvd Calendar'!$N$566=TYPE3)*(TYPE3&lt;&gt;"")+('Dvd Calendar'!$N$566=TYPE4)*(TYPE4&lt;&gt;"")+('Dvd Calendar'!$N$566=SPECIAL_LBL)*(INC_SPECIALS="Y"))=0,"",'Dvd Calendar'!$N$564)))</f>
        <v/>
      </c>
      <c r="M62" s="110">
        <f>IF(EO62="","",IF(ISNUMBER('Dvd Calendar'!$O$564)=FALSE,"",IF((('Dvd Calendar'!$O$566=TYPE1)*(TYPE1&lt;&gt;"")+('Dvd Calendar'!$O$566=TYPE2)*(TYPE2&lt;&gt;"")+('Dvd Calendar'!$O$566=TYPE3)*(TYPE3&lt;&gt;"")+('Dvd Calendar'!$O$566=TYPE4)*(TYPE4&lt;&gt;"")+('Dvd Calendar'!$O$566=SPECIAL_LBL)*(INC_SPECIALS="Y"))=0,"",'Dvd Calendar'!$O$564)))</f>
        <v/>
      </c>
      <c r="N62" s="110">
        <f>IF(EP62="","",IF(ISNUMBER('Dvd Calendar'!$P$564)=FALSE,"",IF((('Dvd Calendar'!$P$566=TYPE1)*(TYPE1&lt;&gt;"")+('Dvd Calendar'!$P$566=TYPE2)*(TYPE2&lt;&gt;"")+('Dvd Calendar'!$P$566=TYPE3)*(TYPE3&lt;&gt;"")+('Dvd Calendar'!$P$566=TYPE4)*(TYPE4&lt;&gt;"")+('Dvd Calendar'!$P$566=SPECIAL_LBL)*(INC_SPECIALS="Y"))=0,"",'Dvd Calendar'!$P$564)))</f>
        <v/>
      </c>
      <c r="O62" s="110">
        <f>IF(EQ62="","",IF(ISNUMBER('Dvd Calendar'!$Q$564)=FALSE,"",IF((('Dvd Calendar'!$Q$566=TYPE1)*(TYPE1&lt;&gt;"")+('Dvd Calendar'!$Q$566=TYPE2)*(TYPE2&lt;&gt;"")+('Dvd Calendar'!$Q$566=TYPE3)*(TYPE3&lt;&gt;"")+('Dvd Calendar'!$Q$566=TYPE4)*(TYPE4&lt;&gt;"")+('Dvd Calendar'!$Q$566=SPECIAL_LBL)*(INC_SPECIALS="Y"))=0,"",'Dvd Calendar'!$Q$564)))</f>
        <v/>
      </c>
      <c r="P62" s="110">
        <f>IF(ER62="","",IF(ISNUMBER('Dvd Calendar'!$R$564)=FALSE,"",IF((('Dvd Calendar'!$R$566=TYPE1)*(TYPE1&lt;&gt;"")+('Dvd Calendar'!$R$566=TYPE2)*(TYPE2&lt;&gt;"")+('Dvd Calendar'!$R$566=TYPE3)*(TYPE3&lt;&gt;"")+('Dvd Calendar'!$R$566=TYPE4)*(TYPE4&lt;&gt;"")+('Dvd Calendar'!$R$566=SPECIAL_LBL)*(INC_SPECIALS="Y"))=0,"",'Dvd Calendar'!$R$564)))</f>
        <v/>
      </c>
      <c r="Q62" s="110">
        <f>IF(ES62="","",IF(ISNUMBER('Dvd Calendar'!$S$564)=FALSE,"",IF((('Dvd Calendar'!$S$566=TYPE1)*(TYPE1&lt;&gt;"")+('Dvd Calendar'!$S$566=TYPE2)*(TYPE2&lt;&gt;"")+('Dvd Calendar'!$S$566=TYPE3)*(TYPE3&lt;&gt;"")+('Dvd Calendar'!$S$566=TYPE4)*(TYPE4&lt;&gt;"")+('Dvd Calendar'!$S$566=SPECIAL_LBL)*(INC_SPECIALS="Y"))=0,"",'Dvd Calendar'!$S$564)))</f>
        <v/>
      </c>
      <c r="R62" s="110">
        <f>IF(ET62="","",IF(ISNUMBER('Dvd Calendar'!$T$564)=FALSE,"",IF((('Dvd Calendar'!$T$566=TYPE1)*(TYPE1&lt;&gt;"")+('Dvd Calendar'!$T$566=TYPE2)*(TYPE2&lt;&gt;"")+('Dvd Calendar'!$T$566=TYPE3)*(TYPE3&lt;&gt;"")+('Dvd Calendar'!$T$566=TYPE4)*(TYPE4&lt;&gt;"")+('Dvd Calendar'!$T$566=SPECIAL_LBL)*(INC_SPECIALS="Y"))=0,"",'Dvd Calendar'!$T$564)))</f>
        <v/>
      </c>
      <c r="S62" s="110">
        <f>IF(EU62="","",IF(ISNUMBER('Dvd Calendar'!$U$564)=FALSE,"",IF((('Dvd Calendar'!$U$566=TYPE1)*(TYPE1&lt;&gt;"")+('Dvd Calendar'!$U$566=TYPE2)*(TYPE2&lt;&gt;"")+('Dvd Calendar'!$U$566=TYPE3)*(TYPE3&lt;&gt;"")+('Dvd Calendar'!$U$566=TYPE4)*(TYPE4&lt;&gt;"")+('Dvd Calendar'!$U$566=SPECIAL_LBL)*(INC_SPECIALS="Y"))=0,"",'Dvd Calendar'!$U$564)))</f>
        <v/>
      </c>
      <c r="T62" s="110">
        <f>IF(EV62="","",IF(ISNUMBER('Dvd Calendar'!$V$564)=FALSE,"",IF((('Dvd Calendar'!$V$566=TYPE1)*(TYPE1&lt;&gt;"")+('Dvd Calendar'!$V$566=TYPE2)*(TYPE2&lt;&gt;"")+('Dvd Calendar'!$V$566=TYPE3)*(TYPE3&lt;&gt;"")+('Dvd Calendar'!$V$566=TYPE4)*(TYPE4&lt;&gt;"")+('Dvd Calendar'!$V$566=SPECIAL_LBL)*(INC_SPECIALS="Y"))=0,"",'Dvd Calendar'!$V$564)))</f>
        <v/>
      </c>
      <c r="U62" s="110">
        <f>IF(EW62="","",IF(ISNUMBER('Dvd Calendar'!$W$564)=FALSE,"",IF((('Dvd Calendar'!$W$566=TYPE1)*(TYPE1&lt;&gt;"")+('Dvd Calendar'!$W$566=TYPE2)*(TYPE2&lt;&gt;"")+('Dvd Calendar'!$W$566=TYPE3)*(TYPE3&lt;&gt;"")+('Dvd Calendar'!$W$566=TYPE4)*(TYPE4&lt;&gt;"")+('Dvd Calendar'!$W$566=SPECIAL_LBL)*(INC_SPECIALS="Y"))=0,"",'Dvd Calendar'!$W$564)))</f>
        <v/>
      </c>
      <c r="V62" s="110">
        <f>IF(EX62="","",IF(ISNUMBER('Dvd Calendar'!$X$564)=FALSE,"",IF((('Dvd Calendar'!$X$566=TYPE1)*(TYPE1&lt;&gt;"")+('Dvd Calendar'!$X$566=TYPE2)*(TYPE2&lt;&gt;"")+('Dvd Calendar'!$X$566=TYPE3)*(TYPE3&lt;&gt;"")+('Dvd Calendar'!$X$566=TYPE4)*(TYPE4&lt;&gt;"")+('Dvd Calendar'!$X$566=SPECIAL_LBL)*(INC_SPECIALS="Y"))=0,"",'Dvd Calendar'!$X$564)))</f>
        <v/>
      </c>
      <c r="W62" s="110">
        <f>IF(EY62="","",IF(ISNUMBER('Dvd Calendar'!$Y$564)=FALSE,"",IF((('Dvd Calendar'!$Y$566=TYPE1)*(TYPE1&lt;&gt;"")+('Dvd Calendar'!$Y$566=TYPE2)*(TYPE2&lt;&gt;"")+('Dvd Calendar'!$Y$566=TYPE3)*(TYPE3&lt;&gt;"")+('Dvd Calendar'!$Y$566=TYPE4)*(TYPE4&lt;&gt;"")+('Dvd Calendar'!$Y$566=SPECIAL_LBL)*(INC_SPECIALS="Y"))=0,"",'Dvd Calendar'!$Y$564)))</f>
        <v/>
      </c>
      <c r="X62" s="110">
        <f>IF(EZ62="","",IF(ISNUMBER('Dvd Calendar'!$Z$564)=FALSE,"",IF((('Dvd Calendar'!$Z$566=TYPE1)*(TYPE1&lt;&gt;"")+('Dvd Calendar'!$Z$566=TYPE2)*(TYPE2&lt;&gt;"")+('Dvd Calendar'!$Z$566=TYPE3)*(TYPE3&lt;&gt;"")+('Dvd Calendar'!$Z$566=TYPE4)*(TYPE4&lt;&gt;"")+('Dvd Calendar'!$Z$566=SPECIAL_LBL)*(INC_SPECIALS="Y"))=0,"",'Dvd Calendar'!$Z$564)))</f>
        <v/>
      </c>
      <c r="Y62" s="110">
        <f>IF(FA62="","",IF(ISNUMBER('Dvd Calendar'!$AA$564)=FALSE,"",IF((('Dvd Calendar'!$AA$566=TYPE1)*(TYPE1&lt;&gt;"")+('Dvd Calendar'!$AA$566=TYPE2)*(TYPE2&lt;&gt;"")+('Dvd Calendar'!$AA$566=TYPE3)*(TYPE3&lt;&gt;"")+('Dvd Calendar'!$AA$566=TYPE4)*(TYPE4&lt;&gt;"")+('Dvd Calendar'!$AA$566=SPECIAL_LBL)*(INC_SPECIALS="Y"))=0,"",'Dvd Calendar'!$AA$564)))</f>
        <v/>
      </c>
      <c r="Z62" s="110">
        <f>IF(FB62="","",IF(ISNUMBER('Dvd Calendar'!$AB$564)=FALSE,"",IF((('Dvd Calendar'!$AB$566=TYPE1)*(TYPE1&lt;&gt;"")+('Dvd Calendar'!$AB$566=TYPE2)*(TYPE2&lt;&gt;"")+('Dvd Calendar'!$AB$566=TYPE3)*(TYPE3&lt;&gt;"")+('Dvd Calendar'!$AB$566=TYPE4)*(TYPE4&lt;&gt;"")+('Dvd Calendar'!$AB$566=SPECIAL_LBL)*(INC_SPECIALS="Y"))=0,"",'Dvd Calendar'!$AB$564)))</f>
        <v/>
      </c>
      <c r="AA62" s="110">
        <f>IF(FC62="","",IF(ISNUMBER('Dvd Calendar'!$AC$564)=FALSE,"",IF((('Dvd Calendar'!$AC$566=TYPE1)*(TYPE1&lt;&gt;"")+('Dvd Calendar'!$AC$566=TYPE2)*(TYPE2&lt;&gt;"")+('Dvd Calendar'!$AC$566=TYPE3)*(TYPE3&lt;&gt;"")+('Dvd Calendar'!$AC$566=TYPE4)*(TYPE4&lt;&gt;"")+('Dvd Calendar'!$AC$566=SPECIAL_LBL)*(INC_SPECIALS="Y"))=0,"",'Dvd Calendar'!$AC$564)))</f>
        <v/>
      </c>
      <c r="AB62" s="110">
        <f>IF(FD62="","",IF(ISNUMBER('Dvd Calendar'!$AD$564)=FALSE,"",IF((('Dvd Calendar'!$AD$566=TYPE1)*(TYPE1&lt;&gt;"")+('Dvd Calendar'!$AD$566=TYPE2)*(TYPE2&lt;&gt;"")+('Dvd Calendar'!$AD$566=TYPE3)*(TYPE3&lt;&gt;"")+('Dvd Calendar'!$AD$566=TYPE4)*(TYPE4&lt;&gt;"")+('Dvd Calendar'!$AD$566=SPECIAL_LBL)*(INC_SPECIALS="Y"))=0,"",'Dvd Calendar'!$AD$564)))</f>
        <v/>
      </c>
      <c r="AC62" s="110">
        <f>IF(FE62="","",IF(ISNUMBER('Dvd Calendar'!$AE$564)=FALSE,"",IF((('Dvd Calendar'!$AE$566=TYPE1)*(TYPE1&lt;&gt;"")+('Dvd Calendar'!$AE$566=TYPE2)*(TYPE2&lt;&gt;"")+('Dvd Calendar'!$AE$566=TYPE3)*(TYPE3&lt;&gt;"")+('Dvd Calendar'!$AE$566=TYPE4)*(TYPE4&lt;&gt;"")+('Dvd Calendar'!$AE$566=SPECIAL_LBL)*(INC_SPECIALS="Y"))=0,"",'Dvd Calendar'!$AE$564)))</f>
        <v/>
      </c>
      <c r="AD62" s="110">
        <f>IF(FF62="","",IF(ISNUMBER('Dvd Calendar'!$AF$564)=FALSE,"",IF((('Dvd Calendar'!$AF$566=TYPE1)*(TYPE1&lt;&gt;"")+('Dvd Calendar'!$AF$566=TYPE2)*(TYPE2&lt;&gt;"")+('Dvd Calendar'!$AF$566=TYPE3)*(TYPE3&lt;&gt;"")+('Dvd Calendar'!$AF$566=TYPE4)*(TYPE4&lt;&gt;"")+('Dvd Calendar'!$AF$566=SPECIAL_LBL)*(INC_SPECIALS="Y"))=0,"",'Dvd Calendar'!$AF$564)))</f>
        <v/>
      </c>
      <c r="AE62" s="110">
        <f>IF(FG62="","",IF(ISNUMBER('Dvd Calendar'!$AG$564)=FALSE,"",IF((('Dvd Calendar'!$AG$566=TYPE1)*(TYPE1&lt;&gt;"")+('Dvd Calendar'!$AG$566=TYPE2)*(TYPE2&lt;&gt;"")+('Dvd Calendar'!$AG$566=TYPE3)*(TYPE3&lt;&gt;"")+('Dvd Calendar'!$AG$566=TYPE4)*(TYPE4&lt;&gt;"")+('Dvd Calendar'!$AG$566=SPECIAL_LBL)*(INC_SPECIALS="Y"))=0,"",'Dvd Calendar'!$AG$564)))</f>
        <v/>
      </c>
      <c r="AF62" s="110">
        <f>IF(FH62="","",IF(ISNUMBER('Dvd Calendar'!$AH$564)=FALSE,"",IF((('Dvd Calendar'!$AH$566=TYPE1)*(TYPE1&lt;&gt;"")+('Dvd Calendar'!$AH$566=TYPE2)*(TYPE2&lt;&gt;"")+('Dvd Calendar'!$AH$566=TYPE3)*(TYPE3&lt;&gt;"")+('Dvd Calendar'!$AH$566=TYPE4)*(TYPE4&lt;&gt;"")+('Dvd Calendar'!$AH$566=SPECIAL_LBL)*(INC_SPECIALS="Y"))=0,"",'Dvd Calendar'!$AH$564)))</f>
        <v/>
      </c>
      <c r="AG62" s="110">
        <f>IF(FI62="","",IF(ISNUMBER('Dvd Calendar'!$AI$564)=FALSE,"",IF((('Dvd Calendar'!$AI$566=TYPE1)*(TYPE1&lt;&gt;"")+('Dvd Calendar'!$AI$566=TYPE2)*(TYPE2&lt;&gt;"")+('Dvd Calendar'!$AI$566=TYPE3)*(TYPE3&lt;&gt;"")+('Dvd Calendar'!$AI$566=TYPE4)*(TYPE4&lt;&gt;"")+('Dvd Calendar'!$AI$566=SPECIAL_LBL)*(INC_SPECIALS="Y"))=0,"",'Dvd Calendar'!$AI$564)))</f>
        <v/>
      </c>
      <c r="AH62" s="110">
        <f>IF(FJ62="","",IF(ISNUMBER('Dvd Calendar'!$AJ$564)=FALSE,"",IF((('Dvd Calendar'!$AJ$566=TYPE1)*(TYPE1&lt;&gt;"")+('Dvd Calendar'!$AJ$566=TYPE2)*(TYPE2&lt;&gt;"")+('Dvd Calendar'!$AJ$566=TYPE3)*(TYPE3&lt;&gt;"")+('Dvd Calendar'!$AJ$566=TYPE4)*(TYPE4&lt;&gt;"")+('Dvd Calendar'!$AJ$566=SPECIAL_LBL)*(INC_SPECIALS="Y"))=0,"",'Dvd Calendar'!$AJ$564)))</f>
        <v/>
      </c>
      <c r="AI62" s="110">
        <f>IF(FK62="","",IF(ISNUMBER('Dvd Calendar'!$AK$564)=FALSE,"",IF((('Dvd Calendar'!$AK$566=TYPE1)*(TYPE1&lt;&gt;"")+('Dvd Calendar'!$AK$566=TYPE2)*(TYPE2&lt;&gt;"")+('Dvd Calendar'!$AK$566=TYPE3)*(TYPE3&lt;&gt;"")+('Dvd Calendar'!$AK$566=TYPE4)*(TYPE4&lt;&gt;"")+('Dvd Calendar'!$AK$566=SPECIAL_LBL)*(INC_SPECIALS="Y"))=0,"",'Dvd Calendar'!$AK$564)))</f>
        <v/>
      </c>
      <c r="AJ62" s="110">
        <f>IF(FL62="","",IF(ISNUMBER('Dvd Calendar'!$AL$564)=FALSE,"",IF((('Dvd Calendar'!$AL$566=TYPE1)*(TYPE1&lt;&gt;"")+('Dvd Calendar'!$AL$566=TYPE2)*(TYPE2&lt;&gt;"")+('Dvd Calendar'!$AL$566=TYPE3)*(TYPE3&lt;&gt;"")+('Dvd Calendar'!$AL$566=TYPE4)*(TYPE4&lt;&gt;"")+('Dvd Calendar'!$AL$566=SPECIAL_LBL)*(INC_SPECIALS="Y"))=0,"",'Dvd Calendar'!$AL$564)))</f>
        <v/>
      </c>
      <c r="AK62" s="110">
        <f>IF(FM62="","",IF(ISNUMBER('Dvd Calendar'!$AM$564)=FALSE,"",IF((('Dvd Calendar'!$AM$566=TYPE1)*(TYPE1&lt;&gt;"")+('Dvd Calendar'!$AM$566=TYPE2)*(TYPE2&lt;&gt;"")+('Dvd Calendar'!$AM$566=TYPE3)*(TYPE3&lt;&gt;"")+('Dvd Calendar'!$AM$566=TYPE4)*(TYPE4&lt;&gt;"")+('Dvd Calendar'!$AM$566=SPECIAL_LBL)*(INC_SPECIALS="Y"))=0,"",'Dvd Calendar'!$AM$564)))</f>
        <v/>
      </c>
      <c r="AL62" s="110">
        <f>IF(FN62="","",IF(ISNUMBER('Dvd Calendar'!$AN$564)=FALSE,"",IF((('Dvd Calendar'!$AN$566=TYPE1)*(TYPE1&lt;&gt;"")+('Dvd Calendar'!$AN$566=TYPE2)*(TYPE2&lt;&gt;"")+('Dvd Calendar'!$AN$566=TYPE3)*(TYPE3&lt;&gt;"")+('Dvd Calendar'!$AN$566=TYPE4)*(TYPE4&lt;&gt;"")+('Dvd Calendar'!$AN$566=SPECIAL_LBL)*(INC_SPECIALS="Y"))=0,"",'Dvd Calendar'!$AN$564)))</f>
        <v/>
      </c>
      <c r="AM62" s="110">
        <f>IF(FO62="","",IF(ISNUMBER('Dvd Calendar'!$AO$564)=FALSE,"",IF((('Dvd Calendar'!$AO$566=TYPE1)*(TYPE1&lt;&gt;"")+('Dvd Calendar'!$AO$566=TYPE2)*(TYPE2&lt;&gt;"")+('Dvd Calendar'!$AO$566=TYPE3)*(TYPE3&lt;&gt;"")+('Dvd Calendar'!$AO$566=TYPE4)*(TYPE4&lt;&gt;"")+('Dvd Calendar'!$AO$566=SPECIAL_LBL)*(INC_SPECIALS="Y"))=0,"",'Dvd Calendar'!$AO$564)))</f>
        <v/>
      </c>
      <c r="AN62" s="110">
        <f>IF(FP62="","",IF(ISNUMBER('Dvd Calendar'!$AP$564)=FALSE,"",IF((('Dvd Calendar'!$AP$566=TYPE1)*(TYPE1&lt;&gt;"")+('Dvd Calendar'!$AP$566=TYPE2)*(TYPE2&lt;&gt;"")+('Dvd Calendar'!$AP$566=TYPE3)*(TYPE3&lt;&gt;"")+('Dvd Calendar'!$AP$566=TYPE4)*(TYPE4&lt;&gt;"")+('Dvd Calendar'!$AP$566=SPECIAL_LBL)*(INC_SPECIALS="Y"))=0,"",'Dvd Calendar'!$AP$564)))</f>
        <v/>
      </c>
      <c r="AO62" s="110">
        <f>IF(FQ62="","",IF(ISNUMBER('Dvd Calendar'!$AQ$564)=FALSE,"",IF((('Dvd Calendar'!$AQ$566=TYPE1)*(TYPE1&lt;&gt;"")+('Dvd Calendar'!$AQ$566=TYPE2)*(TYPE2&lt;&gt;"")+('Dvd Calendar'!$AQ$566=TYPE3)*(TYPE3&lt;&gt;"")+('Dvd Calendar'!$AQ$566=TYPE4)*(TYPE4&lt;&gt;"")+('Dvd Calendar'!$AQ$566=SPECIAL_LBL)*(INC_SPECIALS="Y"))=0,"",'Dvd Calendar'!$AQ$564)))</f>
        <v/>
      </c>
      <c r="AP62" s="110">
        <f>IF(FR62="","",IF(ISNUMBER('Dvd Calendar'!$AR$564)=FALSE,"",IF((('Dvd Calendar'!$AR$566=TYPE1)*(TYPE1&lt;&gt;"")+('Dvd Calendar'!$AR$566=TYPE2)*(TYPE2&lt;&gt;"")+('Dvd Calendar'!$AR$566=TYPE3)*(TYPE3&lt;&gt;"")+('Dvd Calendar'!$AR$566=TYPE4)*(TYPE4&lt;&gt;"")+('Dvd Calendar'!$AR$566=SPECIAL_LBL)*(INC_SPECIALS="Y"))=0,"",'Dvd Calendar'!$AR$564)))</f>
        <v/>
      </c>
      <c r="AQ62" s="110">
        <f>IF(FS62="","",IF(ISNUMBER('Dvd Calendar'!$E$569)=FALSE,"",'Dvd Calendar'!$E$569))</f>
        <v/>
      </c>
      <c r="AR62" s="110">
        <f>IF(FT62="","",IF(ISNUMBER('Dvd Calendar'!$F$569)=FALSE,"",'Dvd Calendar'!$F$569))</f>
        <v/>
      </c>
      <c r="AS62" s="110">
        <f>IF(FU62="","",IF(ISNUMBER('Dvd Calendar'!$G$569)=FALSE,"",'Dvd Calendar'!$G$569))</f>
        <v/>
      </c>
      <c r="AT62" s="110">
        <f>IF(FV62="","",IF(ISNUMBER('Dvd Calendar'!$H$569)=FALSE,"",'Dvd Calendar'!$H$569))</f>
        <v/>
      </c>
      <c r="AU62" s="110">
        <f>IF(FW62="","",IF(ISNUMBER('Dvd Calendar'!$I$569)=FALSE,"",'Dvd Calendar'!$I$569))</f>
        <v/>
      </c>
      <c r="AV62" s="110">
        <f>IF(FX62="","",IF(ISNUMBER('Dvd Calendar'!$J$569)=FALSE,"",'Dvd Calendar'!$J$569))</f>
        <v/>
      </c>
      <c r="AW62" s="110">
        <f>IF(FY62="","",IF(ISNUMBER('Dvd Calendar'!$K$569)=FALSE,"",'Dvd Calendar'!$K$569))</f>
        <v/>
      </c>
      <c r="AX62" s="110">
        <f>IF(FZ62="","",IF(ISNUMBER('Dvd Calendar'!$L$569)=FALSE,"",'Dvd Calendar'!$L$569))</f>
        <v/>
      </c>
      <c r="AY62" s="110">
        <f>IF(GA62="","",IF(ISNUMBER('Dvd Calendar'!$M$569)=FALSE,"",'Dvd Calendar'!$M$569))</f>
        <v/>
      </c>
      <c r="AZ62" s="110">
        <f>IF(GB62="","",IF(ISNUMBER('Dvd Calendar'!$N$569)=FALSE,"",'Dvd Calendar'!$N$569))</f>
        <v/>
      </c>
      <c r="BA62" s="110">
        <f>IF(GC62="","",IF(ISNUMBER('Dvd Calendar'!$O$569)=FALSE,"",'Dvd Calendar'!$O$569))</f>
        <v/>
      </c>
      <c r="BB62" s="110">
        <f>IF(GD62="","",IF(ISNUMBER('Dvd Calendar'!$P$569)=FALSE,"",'Dvd Calendar'!$P$569))</f>
        <v/>
      </c>
      <c r="BC62" s="110">
        <f>IF(GE62="","",IF(ISNUMBER('Dvd Calendar'!$Q$569)=FALSE,"",'Dvd Calendar'!$Q$569))</f>
        <v/>
      </c>
      <c r="BD62" s="110">
        <f>IF(GF62="","",IF(ISNUMBER('Dvd Calendar'!$R$569)=FALSE,"",'Dvd Calendar'!$R$569))</f>
        <v/>
      </c>
      <c r="BE62" s="110">
        <f>IF(GG62="","",IF(ISNUMBER('Dvd Calendar'!$S$569)=FALSE,"",'Dvd Calendar'!$S$569))</f>
        <v/>
      </c>
      <c r="BF62" s="110">
        <f>IF(GH62="","",IF(ISNUMBER('Dvd Calendar'!$T$569)=FALSE,"",'Dvd Calendar'!$T$569))</f>
        <v/>
      </c>
      <c r="BG62" s="110">
        <f>IF(GI62="","",IF(ISNUMBER('Dvd Calendar'!$U$569)=FALSE,"",'Dvd Calendar'!$U$569))</f>
        <v/>
      </c>
      <c r="BH62" s="110">
        <f>IF(GJ62="","",IF(ISNUMBER('Dvd Calendar'!$V$569)=FALSE,"",'Dvd Calendar'!$V$569))</f>
        <v/>
      </c>
      <c r="BI62" s="110">
        <f>IF(GK62="","",IF(ISNUMBER('Dvd Calendar'!$W$569)=FALSE,"",'Dvd Calendar'!$W$569))</f>
        <v/>
      </c>
      <c r="BJ62" s="110">
        <f>IF(GL62="","",IF(ISNUMBER('Dvd Calendar'!$X$569)=FALSE,"",'Dvd Calendar'!$X$569))</f>
        <v/>
      </c>
      <c r="BK62" s="110">
        <f>IF(GM62="","",IF(ISNUMBER('Dvd Calendar'!$Y$569)=FALSE,"",'Dvd Calendar'!$Y$569))</f>
        <v/>
      </c>
      <c r="BL62" s="110">
        <f>IF(GN62="","",IF(ISNUMBER('Dvd Calendar'!$Z$569)=FALSE,"",'Dvd Calendar'!$Z$569))</f>
        <v/>
      </c>
      <c r="BM62" s="110">
        <f>IF(GO62="","",IF(ISNUMBER('Dvd Calendar'!$AA$569)=FALSE,"",'Dvd Calendar'!$AA$569))</f>
        <v/>
      </c>
      <c r="BN62" s="110">
        <f>IF(GP62="","",IF(ISNUMBER('Dvd Calendar'!$AB$569)=FALSE,"",'Dvd Calendar'!$AB$569))</f>
        <v/>
      </c>
      <c r="BO62" s="110">
        <f>IF(GQ62="","",IF(ISNUMBER('Dvd Calendar'!$AC$569)=FALSE,"",'Dvd Calendar'!$AC$569))</f>
        <v/>
      </c>
      <c r="BQ62" s="110">
        <f>IF(C62="","",IFERROR(C62*HSI!$B$57*HSI!$G$57/HSI!$B$3,""))</f>
        <v/>
      </c>
      <c r="BR62" s="110">
        <f>IF(D62="","",IFERROR(D62*HSI!$B$57*HSI!$G$57/HSI!$B$3,""))</f>
        <v/>
      </c>
      <c r="BS62" s="110">
        <f>IF(E62="","",IFERROR(E62*HSI!$B$57*HSI!$G$57/HSI!$B$3,""))</f>
        <v/>
      </c>
      <c r="BT62" s="110">
        <f>IF(F62="","",IFERROR(F62*HSI!$B$57*HSI!$G$57/HSI!$B$3,""))</f>
        <v/>
      </c>
      <c r="BU62" s="110">
        <f>IF(G62="","",IFERROR(G62*HSI!$B$57*HSI!$G$57/HSI!$B$3,""))</f>
        <v/>
      </c>
      <c r="BV62" s="110">
        <f>IF(H62="","",IFERROR(H62*HSI!$B$57*HSI!$G$57/HSI!$B$3,""))</f>
        <v/>
      </c>
      <c r="BW62" s="110">
        <f>IF(I62="","",IFERROR(I62*HSI!$B$57*HSI!$G$57/HSI!$B$3,""))</f>
        <v/>
      </c>
      <c r="BX62" s="110">
        <f>IF(J62="","",IFERROR(J62*HSI!$B$57*HSI!$G$57/HSI!$B$3,""))</f>
        <v/>
      </c>
      <c r="BY62" s="110">
        <f>IF(K62="","",IFERROR(K62*HSI!$B$57*HSI!$G$57/HSI!$B$3,""))</f>
        <v/>
      </c>
      <c r="BZ62" s="110">
        <f>IF(L62="","",IFERROR(L62*HSI!$B$57*HSI!$G$57/HSI!$B$3,""))</f>
        <v/>
      </c>
      <c r="CA62" s="110">
        <f>IF(M62="","",IFERROR(M62*HSI!$B$57*HSI!$G$57/HSI!$B$3,""))</f>
        <v/>
      </c>
      <c r="CB62" s="110">
        <f>IF(N62="","",IFERROR(N62*HSI!$B$57*HSI!$G$57/HSI!$B$3,""))</f>
        <v/>
      </c>
      <c r="CC62" s="110">
        <f>IF(O62="","",IFERROR(O62*HSI!$B$57*HSI!$G$57/HSI!$B$3,""))</f>
        <v/>
      </c>
      <c r="CD62" s="110">
        <f>IF(P62="","",IFERROR(P62*HSI!$B$57*HSI!$G$57/HSI!$B$3,""))</f>
        <v/>
      </c>
      <c r="CE62" s="110">
        <f>IF(Q62="","",IFERROR(Q62*HSI!$B$57*HSI!$G$57/HSI!$B$3,""))</f>
        <v/>
      </c>
      <c r="CF62" s="110">
        <f>IF(R62="","",IFERROR(R62*HSI!$B$57*HSI!$G$57/HSI!$B$3,""))</f>
        <v/>
      </c>
      <c r="CG62" s="110">
        <f>IF(S62="","",IFERROR(S62*HSI!$B$57*HSI!$G$57/HSI!$B$3,""))</f>
        <v/>
      </c>
      <c r="CH62" s="110">
        <f>IF(T62="","",IFERROR(T62*HSI!$B$57*HSI!$G$57/HSI!$B$3,""))</f>
        <v/>
      </c>
      <c r="CI62" s="110">
        <f>IF(U62="","",IFERROR(U62*HSI!$B$57*HSI!$G$57/HSI!$B$3,""))</f>
        <v/>
      </c>
      <c r="CJ62" s="110">
        <f>IF(V62="","",IFERROR(V62*HSI!$B$57*HSI!$G$57/HSI!$B$3,""))</f>
        <v/>
      </c>
      <c r="CK62" s="110">
        <f>IF(W62="","",IFERROR(W62*HSI!$B$57*HSI!$G$57/HSI!$B$3,""))</f>
        <v/>
      </c>
      <c r="CL62" s="110">
        <f>IF(X62="","",IFERROR(X62*HSI!$B$57*HSI!$G$57/HSI!$B$3,""))</f>
        <v/>
      </c>
      <c r="CM62" s="110">
        <f>IF(Y62="","",IFERROR(Y62*HSI!$B$57*HSI!$G$57/HSI!$B$3,""))</f>
        <v/>
      </c>
      <c r="CN62" s="110">
        <f>IF(Z62="","",IFERROR(Z62*HSI!$B$57*HSI!$G$57/HSI!$B$3,""))</f>
        <v/>
      </c>
      <c r="CO62" s="110">
        <f>IF(AA62="","",IFERROR(AA62*HSI!$B$57*HSI!$G$57/HSI!$B$3,""))</f>
        <v/>
      </c>
      <c r="CP62" s="110">
        <f>IF(AB62="","",IFERROR(AB62*HSI!$B$57*HSI!$G$57/HSI!$B$3,""))</f>
        <v/>
      </c>
      <c r="CQ62" s="110">
        <f>IF(AC62="","",IFERROR(AC62*HSI!$B$57*HSI!$G$57/HSI!$B$3,""))</f>
        <v/>
      </c>
      <c r="CR62" s="110">
        <f>IF(AD62="","",IFERROR(AD62*HSI!$B$57*HSI!$G$57/HSI!$B$3,""))</f>
        <v/>
      </c>
      <c r="CS62" s="110">
        <f>IF(AE62="","",IFERROR(AE62*HSI!$B$57*HSI!$G$57/HSI!$B$3,""))</f>
        <v/>
      </c>
      <c r="CT62" s="110">
        <f>IF(AF62="","",IFERROR(AF62*HSI!$B$57*HSI!$G$57/HSI!$B$3,""))</f>
        <v/>
      </c>
      <c r="CU62" s="110">
        <f>IF(AG62="","",IFERROR(AG62*HSI!$B$57*HSI!$G$57/HSI!$B$3,""))</f>
        <v/>
      </c>
      <c r="CV62" s="110">
        <f>IF(AH62="","",IFERROR(AH62*HSI!$B$57*HSI!$G$57/HSI!$B$3,""))</f>
        <v/>
      </c>
      <c r="CW62" s="110">
        <f>IF(AI62="","",IFERROR(AI62*HSI!$B$57*HSI!$G$57/HSI!$B$3,""))</f>
        <v/>
      </c>
      <c r="CX62" s="110">
        <f>IF(AJ62="","",IFERROR(AJ62*HSI!$B$57*HSI!$G$57/HSI!$B$3,""))</f>
        <v/>
      </c>
      <c r="CY62" s="110">
        <f>IF(AK62="","",IFERROR(AK62*HSI!$B$57*HSI!$G$57/HSI!$B$3,""))</f>
        <v/>
      </c>
      <c r="CZ62" s="110">
        <f>IF(AL62="","",IFERROR(AL62*HSI!$B$57*HSI!$G$57/HSI!$B$3,""))</f>
        <v/>
      </c>
      <c r="DA62" s="110">
        <f>IF(AM62="","",IFERROR(AM62*HSI!$B$57*HSI!$G$57/HSI!$B$3,""))</f>
        <v/>
      </c>
      <c r="DB62" s="110">
        <f>IF(AN62="","",IFERROR(AN62*HSI!$B$57*HSI!$G$57/HSI!$B$3,""))</f>
        <v/>
      </c>
      <c r="DC62" s="110">
        <f>IF(AO62="","",IFERROR(AO62*HSI!$B$57*HSI!$G$57/HSI!$B$3,""))</f>
        <v/>
      </c>
      <c r="DD62" s="110">
        <f>IF(AP62="","",IFERROR(AP62*HSI!$B$57*HSI!$G$57/HSI!$B$3,""))</f>
        <v/>
      </c>
      <c r="DE62" s="110">
        <f>IF(AQ62="","",IFERROR(AQ62*HSI!$B$57*HSI!$G$57/HSI!$B$3,""))</f>
        <v/>
      </c>
      <c r="DF62" s="110">
        <f>IF(AR62="","",IFERROR(AR62*HSI!$B$57*HSI!$G$57/HSI!$B$3,""))</f>
        <v/>
      </c>
      <c r="DG62" s="110">
        <f>IF(AS62="","",IFERROR(AS62*HSI!$B$57*HSI!$G$57/HSI!$B$3,""))</f>
        <v/>
      </c>
      <c r="DH62" s="110">
        <f>IF(AT62="","",IFERROR(AT62*HSI!$B$57*HSI!$G$57/HSI!$B$3,""))</f>
        <v/>
      </c>
      <c r="DI62" s="110">
        <f>IF(AU62="","",IFERROR(AU62*HSI!$B$57*HSI!$G$57/HSI!$B$3,""))</f>
        <v/>
      </c>
      <c r="DJ62" s="110">
        <f>IF(AV62="","",IFERROR(AV62*HSI!$B$57*HSI!$G$57/HSI!$B$3,""))</f>
        <v/>
      </c>
      <c r="DK62" s="110">
        <f>IF(AW62="","",IFERROR(AW62*HSI!$B$57*HSI!$G$57/HSI!$B$3,""))</f>
        <v/>
      </c>
      <c r="DL62" s="110">
        <f>IF(AX62="","",IFERROR(AX62*HSI!$B$57*HSI!$G$57/HSI!$B$3,""))</f>
        <v/>
      </c>
      <c r="DM62" s="110">
        <f>IF(AY62="","",IFERROR(AY62*HSI!$B$57*HSI!$G$57/HSI!$B$3,""))</f>
        <v/>
      </c>
      <c r="DN62" s="110">
        <f>IF(AZ62="","",IFERROR(AZ62*HSI!$B$57*HSI!$G$57/HSI!$B$3,""))</f>
        <v/>
      </c>
      <c r="DO62" s="110">
        <f>IF(BA62="","",IFERROR(BA62*HSI!$B$57*HSI!$G$57/HSI!$B$3,""))</f>
        <v/>
      </c>
      <c r="DP62" s="110">
        <f>IF(BB62="","",IFERROR(BB62*HSI!$B$57*HSI!$G$57/HSI!$B$3,""))</f>
        <v/>
      </c>
      <c r="DQ62" s="110">
        <f>IF(BC62="","",IFERROR(BC62*HSI!$B$57*HSI!$G$57/HSI!$B$3,""))</f>
        <v/>
      </c>
      <c r="DR62" s="110">
        <f>IF(BD62="","",IFERROR(BD62*HSI!$B$57*HSI!$G$57/HSI!$B$3,""))</f>
        <v/>
      </c>
      <c r="DS62" s="110">
        <f>IF(BE62="","",IFERROR(BE62*HSI!$B$57*HSI!$G$57/HSI!$B$3,""))</f>
        <v/>
      </c>
      <c r="DT62" s="110">
        <f>IF(BF62="","",IFERROR(BF62*HSI!$B$57*HSI!$G$57/HSI!$B$3,""))</f>
        <v/>
      </c>
      <c r="DU62" s="110">
        <f>IF(BG62="","",IFERROR(BG62*HSI!$B$57*HSI!$G$57/HSI!$B$3,""))</f>
        <v/>
      </c>
      <c r="DV62" s="110">
        <f>IF(BH62="","",IFERROR(BH62*HSI!$B$57*HSI!$G$57/HSI!$B$3,""))</f>
        <v/>
      </c>
      <c r="DW62" s="110">
        <f>IF(BI62="","",IFERROR(BI62*HSI!$B$57*HSI!$G$57/HSI!$B$3,""))</f>
        <v/>
      </c>
      <c r="DX62" s="110">
        <f>IF(BJ62="","",IFERROR(BJ62*HSI!$B$57*HSI!$G$57/HSI!$B$3,""))</f>
        <v/>
      </c>
      <c r="DY62" s="110">
        <f>IF(BK62="","",IFERROR(BK62*HSI!$B$57*HSI!$G$57/HSI!$B$3,""))</f>
        <v/>
      </c>
      <c r="DZ62" s="110">
        <f>IF(BL62="","",IFERROR(BL62*HSI!$B$57*HSI!$G$57/HSI!$B$3,""))</f>
        <v/>
      </c>
      <c r="EA62" s="110">
        <f>IF(BM62="","",IFERROR(BM62*HSI!$B$57*HSI!$G$57/HSI!$B$3,""))</f>
        <v/>
      </c>
      <c r="EB62" s="110">
        <f>IF(BN62="","",IFERROR(BN62*HSI!$B$57*HSI!$G$57/HSI!$B$3,""))</f>
        <v/>
      </c>
      <c r="EC62" s="110">
        <f>IF(BO62="","",IFERROR(BO62*HSI!$B$57*HSI!$G$57/HSI!$B$3,""))</f>
        <v/>
      </c>
      <c r="EE62" s="39">
        <f>IF(N('Dvd Calendar'!$E$561)=0,"",IF(('Dvd Calendar'!$E$561&gt;=GRID_FROM)*('Dvd Calendar'!$E$561&lt;=GRID_TO)*((('Dvd Calendar'!$E$561&lt;=VAL_DATE)+(COUNTIF('Dvd Calendar'!$E$568:$AR$568,'Dvd Calendar'!$E$561)=0))&gt;0)=0,"",'Dvd Calendar'!$E$561*1000000000+ISNUMBER('Dvd Calendar'!$E$564)*100000000+('Dvd Calendar'!$E$566=SPECIAL_LBL)*10000000+(N('Dvd Calendar'!$E$560)&gt;0)*(N('Dvd Calendar'!$E$560)&lt;=VAL_SERIAL)*1000000+51*1000+1))</f>
        <v/>
      </c>
      <c r="EF62" s="39">
        <f>IF(N('Dvd Calendar'!$F$561)=0,"",IF(('Dvd Calendar'!$F$561&gt;=GRID_FROM)*('Dvd Calendar'!$F$561&lt;=GRID_TO)*((('Dvd Calendar'!$F$561&lt;=VAL_DATE)+(COUNTIF('Dvd Calendar'!$E$568:$AR$568,'Dvd Calendar'!$F$561)=0))&gt;0)=0,"",'Dvd Calendar'!$F$561*1000000000+ISNUMBER('Dvd Calendar'!$F$564)*100000000+('Dvd Calendar'!$F$566=SPECIAL_LBL)*10000000+(N('Dvd Calendar'!$F$560)&gt;0)*(N('Dvd Calendar'!$F$560)&lt;=VAL_SERIAL)*1000000+51*1000+2))</f>
        <v/>
      </c>
      <c r="EG62" s="39">
        <f>IF(N('Dvd Calendar'!$G$561)=0,"",IF(('Dvd Calendar'!$G$561&gt;=GRID_FROM)*('Dvd Calendar'!$G$561&lt;=GRID_TO)*((('Dvd Calendar'!$G$561&lt;=VAL_DATE)+(COUNTIF('Dvd Calendar'!$E$568:$AR$568,'Dvd Calendar'!$G$561)=0))&gt;0)=0,"",'Dvd Calendar'!$G$561*1000000000+ISNUMBER('Dvd Calendar'!$G$564)*100000000+('Dvd Calendar'!$G$566=SPECIAL_LBL)*10000000+(N('Dvd Calendar'!$G$560)&gt;0)*(N('Dvd Calendar'!$G$560)&lt;=VAL_SERIAL)*1000000+51*1000+3))</f>
        <v/>
      </c>
      <c r="EH62" s="39">
        <f>IF(N('Dvd Calendar'!$H$561)=0,"",IF(('Dvd Calendar'!$H$561&gt;=GRID_FROM)*('Dvd Calendar'!$H$561&lt;=GRID_TO)*((('Dvd Calendar'!$H$561&lt;=VAL_DATE)+(COUNTIF('Dvd Calendar'!$E$568:$AR$568,'Dvd Calendar'!$H$561)=0))&gt;0)=0,"",'Dvd Calendar'!$H$561*1000000000+ISNUMBER('Dvd Calendar'!$H$564)*100000000+('Dvd Calendar'!$H$566=SPECIAL_LBL)*10000000+(N('Dvd Calendar'!$H$560)&gt;0)*(N('Dvd Calendar'!$H$560)&lt;=VAL_SERIAL)*1000000+51*1000+4))</f>
        <v/>
      </c>
      <c r="EI62" s="39">
        <f>IF(N('Dvd Calendar'!$I$561)=0,"",IF(('Dvd Calendar'!$I$561&gt;=GRID_FROM)*('Dvd Calendar'!$I$561&lt;=GRID_TO)*((('Dvd Calendar'!$I$561&lt;=VAL_DATE)+(COUNTIF('Dvd Calendar'!$E$568:$AR$568,'Dvd Calendar'!$I$561)=0))&gt;0)=0,"",'Dvd Calendar'!$I$561*1000000000+ISNUMBER('Dvd Calendar'!$I$564)*100000000+('Dvd Calendar'!$I$566=SPECIAL_LBL)*10000000+(N('Dvd Calendar'!$I$560)&gt;0)*(N('Dvd Calendar'!$I$560)&lt;=VAL_SERIAL)*1000000+51*1000+5))</f>
        <v/>
      </c>
      <c r="EJ62" s="39">
        <f>IF(N('Dvd Calendar'!$J$561)=0,"",IF(('Dvd Calendar'!$J$561&gt;=GRID_FROM)*('Dvd Calendar'!$J$561&lt;=GRID_TO)*((('Dvd Calendar'!$J$561&lt;=VAL_DATE)+(COUNTIF('Dvd Calendar'!$E$568:$AR$568,'Dvd Calendar'!$J$561)=0))&gt;0)=0,"",'Dvd Calendar'!$J$561*1000000000+ISNUMBER('Dvd Calendar'!$J$564)*100000000+('Dvd Calendar'!$J$566=SPECIAL_LBL)*10000000+(N('Dvd Calendar'!$J$560)&gt;0)*(N('Dvd Calendar'!$J$560)&lt;=VAL_SERIAL)*1000000+51*1000+6))</f>
        <v/>
      </c>
      <c r="EK62" s="39">
        <f>IF(N('Dvd Calendar'!$K$561)=0,"",IF(('Dvd Calendar'!$K$561&gt;=GRID_FROM)*('Dvd Calendar'!$K$561&lt;=GRID_TO)*((('Dvd Calendar'!$K$561&lt;=VAL_DATE)+(COUNTIF('Dvd Calendar'!$E$568:$AR$568,'Dvd Calendar'!$K$561)=0))&gt;0)=0,"",'Dvd Calendar'!$K$561*1000000000+ISNUMBER('Dvd Calendar'!$K$564)*100000000+('Dvd Calendar'!$K$566=SPECIAL_LBL)*10000000+(N('Dvd Calendar'!$K$560)&gt;0)*(N('Dvd Calendar'!$K$560)&lt;=VAL_SERIAL)*1000000+51*1000+7))</f>
        <v/>
      </c>
      <c r="EL62" s="39">
        <f>IF(N('Dvd Calendar'!$L$561)=0,"",IF(('Dvd Calendar'!$L$561&gt;=GRID_FROM)*('Dvd Calendar'!$L$561&lt;=GRID_TO)*((('Dvd Calendar'!$L$561&lt;=VAL_DATE)+(COUNTIF('Dvd Calendar'!$E$568:$AR$568,'Dvd Calendar'!$L$561)=0))&gt;0)=0,"",'Dvd Calendar'!$L$561*1000000000+ISNUMBER('Dvd Calendar'!$L$564)*100000000+('Dvd Calendar'!$L$566=SPECIAL_LBL)*10000000+(N('Dvd Calendar'!$L$560)&gt;0)*(N('Dvd Calendar'!$L$560)&lt;=VAL_SERIAL)*1000000+51*1000+8))</f>
        <v/>
      </c>
      <c r="EM62" s="39">
        <f>IF(N('Dvd Calendar'!$M$561)=0,"",IF(('Dvd Calendar'!$M$561&gt;=GRID_FROM)*('Dvd Calendar'!$M$561&lt;=GRID_TO)*((('Dvd Calendar'!$M$561&lt;=VAL_DATE)+(COUNTIF('Dvd Calendar'!$E$568:$AR$568,'Dvd Calendar'!$M$561)=0))&gt;0)=0,"",'Dvd Calendar'!$M$561*1000000000+ISNUMBER('Dvd Calendar'!$M$564)*100000000+('Dvd Calendar'!$M$566=SPECIAL_LBL)*10000000+(N('Dvd Calendar'!$M$560)&gt;0)*(N('Dvd Calendar'!$M$560)&lt;=VAL_SERIAL)*1000000+51*1000+9))</f>
        <v/>
      </c>
      <c r="EN62" s="39">
        <f>IF(N('Dvd Calendar'!$N$561)=0,"",IF(('Dvd Calendar'!$N$561&gt;=GRID_FROM)*('Dvd Calendar'!$N$561&lt;=GRID_TO)*((('Dvd Calendar'!$N$561&lt;=VAL_DATE)+(COUNTIF('Dvd Calendar'!$E$568:$AR$568,'Dvd Calendar'!$N$561)=0))&gt;0)=0,"",'Dvd Calendar'!$N$561*1000000000+ISNUMBER('Dvd Calendar'!$N$564)*100000000+('Dvd Calendar'!$N$566=SPECIAL_LBL)*10000000+(N('Dvd Calendar'!$N$560)&gt;0)*(N('Dvd Calendar'!$N$560)&lt;=VAL_SERIAL)*1000000+51*1000+10))</f>
        <v/>
      </c>
      <c r="EO62" s="39">
        <f>IF(N('Dvd Calendar'!$O$561)=0,"",IF(('Dvd Calendar'!$O$561&gt;=GRID_FROM)*('Dvd Calendar'!$O$561&lt;=GRID_TO)*((('Dvd Calendar'!$O$561&lt;=VAL_DATE)+(COUNTIF('Dvd Calendar'!$E$568:$AR$568,'Dvd Calendar'!$O$561)=0))&gt;0)=0,"",'Dvd Calendar'!$O$561*1000000000+ISNUMBER('Dvd Calendar'!$O$564)*100000000+('Dvd Calendar'!$O$566=SPECIAL_LBL)*10000000+(N('Dvd Calendar'!$O$560)&gt;0)*(N('Dvd Calendar'!$O$560)&lt;=VAL_SERIAL)*1000000+51*1000+11))</f>
        <v/>
      </c>
      <c r="EP62" s="39">
        <f>IF(N('Dvd Calendar'!$P$561)=0,"",IF(('Dvd Calendar'!$P$561&gt;=GRID_FROM)*('Dvd Calendar'!$P$561&lt;=GRID_TO)*((('Dvd Calendar'!$P$561&lt;=VAL_DATE)+(COUNTIF('Dvd Calendar'!$E$568:$AR$568,'Dvd Calendar'!$P$561)=0))&gt;0)=0,"",'Dvd Calendar'!$P$561*1000000000+ISNUMBER('Dvd Calendar'!$P$564)*100000000+('Dvd Calendar'!$P$566=SPECIAL_LBL)*10000000+(N('Dvd Calendar'!$P$560)&gt;0)*(N('Dvd Calendar'!$P$560)&lt;=VAL_SERIAL)*1000000+51*1000+12))</f>
        <v/>
      </c>
      <c r="EQ62" s="39">
        <f>IF(N('Dvd Calendar'!$Q$561)=0,"",IF(('Dvd Calendar'!$Q$561&gt;=GRID_FROM)*('Dvd Calendar'!$Q$561&lt;=GRID_TO)*((('Dvd Calendar'!$Q$561&lt;=VAL_DATE)+(COUNTIF('Dvd Calendar'!$E$568:$AR$568,'Dvd Calendar'!$Q$561)=0))&gt;0)=0,"",'Dvd Calendar'!$Q$561*1000000000+ISNUMBER('Dvd Calendar'!$Q$564)*100000000+('Dvd Calendar'!$Q$566=SPECIAL_LBL)*10000000+(N('Dvd Calendar'!$Q$560)&gt;0)*(N('Dvd Calendar'!$Q$560)&lt;=VAL_SERIAL)*1000000+51*1000+13))</f>
        <v/>
      </c>
      <c r="ER62" s="39">
        <f>IF(N('Dvd Calendar'!$R$561)=0,"",IF(('Dvd Calendar'!$R$561&gt;=GRID_FROM)*('Dvd Calendar'!$R$561&lt;=GRID_TO)*((('Dvd Calendar'!$R$561&lt;=VAL_DATE)+(COUNTIF('Dvd Calendar'!$E$568:$AR$568,'Dvd Calendar'!$R$561)=0))&gt;0)=0,"",'Dvd Calendar'!$R$561*1000000000+ISNUMBER('Dvd Calendar'!$R$564)*100000000+('Dvd Calendar'!$R$566=SPECIAL_LBL)*10000000+(N('Dvd Calendar'!$R$560)&gt;0)*(N('Dvd Calendar'!$R$560)&lt;=VAL_SERIAL)*1000000+51*1000+14))</f>
        <v/>
      </c>
      <c r="ES62" s="39">
        <f>IF(N('Dvd Calendar'!$S$561)=0,"",IF(('Dvd Calendar'!$S$561&gt;=GRID_FROM)*('Dvd Calendar'!$S$561&lt;=GRID_TO)*((('Dvd Calendar'!$S$561&lt;=VAL_DATE)+(COUNTIF('Dvd Calendar'!$E$568:$AR$568,'Dvd Calendar'!$S$561)=0))&gt;0)=0,"",'Dvd Calendar'!$S$561*1000000000+ISNUMBER('Dvd Calendar'!$S$564)*100000000+('Dvd Calendar'!$S$566=SPECIAL_LBL)*10000000+(N('Dvd Calendar'!$S$560)&gt;0)*(N('Dvd Calendar'!$S$560)&lt;=VAL_SERIAL)*1000000+51*1000+15))</f>
        <v/>
      </c>
      <c r="ET62" s="39">
        <f>IF(N('Dvd Calendar'!$T$561)=0,"",IF(('Dvd Calendar'!$T$561&gt;=GRID_FROM)*('Dvd Calendar'!$T$561&lt;=GRID_TO)*((('Dvd Calendar'!$T$561&lt;=VAL_DATE)+(COUNTIF('Dvd Calendar'!$E$568:$AR$568,'Dvd Calendar'!$T$561)=0))&gt;0)=0,"",'Dvd Calendar'!$T$561*1000000000+ISNUMBER('Dvd Calendar'!$T$564)*100000000+('Dvd Calendar'!$T$566=SPECIAL_LBL)*10000000+(N('Dvd Calendar'!$T$560)&gt;0)*(N('Dvd Calendar'!$T$560)&lt;=VAL_SERIAL)*1000000+51*1000+16))</f>
        <v/>
      </c>
      <c r="EU62" s="39">
        <f>IF(N('Dvd Calendar'!$U$561)=0,"",IF(('Dvd Calendar'!$U$561&gt;=GRID_FROM)*('Dvd Calendar'!$U$561&lt;=GRID_TO)*((('Dvd Calendar'!$U$561&lt;=VAL_DATE)+(COUNTIF('Dvd Calendar'!$E$568:$AR$568,'Dvd Calendar'!$U$561)=0))&gt;0)=0,"",'Dvd Calendar'!$U$561*1000000000+ISNUMBER('Dvd Calendar'!$U$564)*100000000+('Dvd Calendar'!$U$566=SPECIAL_LBL)*10000000+(N('Dvd Calendar'!$U$560)&gt;0)*(N('Dvd Calendar'!$U$560)&lt;=VAL_SERIAL)*1000000+51*1000+17))</f>
        <v/>
      </c>
      <c r="EV62" s="39">
        <f>IF(N('Dvd Calendar'!$V$561)=0,"",IF(('Dvd Calendar'!$V$561&gt;=GRID_FROM)*('Dvd Calendar'!$V$561&lt;=GRID_TO)*((('Dvd Calendar'!$V$561&lt;=VAL_DATE)+(COUNTIF('Dvd Calendar'!$E$568:$AR$568,'Dvd Calendar'!$V$561)=0))&gt;0)=0,"",'Dvd Calendar'!$V$561*1000000000+ISNUMBER('Dvd Calendar'!$V$564)*100000000+('Dvd Calendar'!$V$566=SPECIAL_LBL)*10000000+(N('Dvd Calendar'!$V$560)&gt;0)*(N('Dvd Calendar'!$V$560)&lt;=VAL_SERIAL)*1000000+51*1000+18))</f>
        <v/>
      </c>
      <c r="EW62" s="39">
        <f>IF(N('Dvd Calendar'!$W$561)=0,"",IF(('Dvd Calendar'!$W$561&gt;=GRID_FROM)*('Dvd Calendar'!$W$561&lt;=GRID_TO)*((('Dvd Calendar'!$W$561&lt;=VAL_DATE)+(COUNTIF('Dvd Calendar'!$E$568:$AR$568,'Dvd Calendar'!$W$561)=0))&gt;0)=0,"",'Dvd Calendar'!$W$561*1000000000+ISNUMBER('Dvd Calendar'!$W$564)*100000000+('Dvd Calendar'!$W$566=SPECIAL_LBL)*10000000+(N('Dvd Calendar'!$W$560)&gt;0)*(N('Dvd Calendar'!$W$560)&lt;=VAL_SERIAL)*1000000+51*1000+19))</f>
        <v/>
      </c>
      <c r="EX62" s="39">
        <f>IF(N('Dvd Calendar'!$X$561)=0,"",IF(('Dvd Calendar'!$X$561&gt;=GRID_FROM)*('Dvd Calendar'!$X$561&lt;=GRID_TO)*((('Dvd Calendar'!$X$561&lt;=VAL_DATE)+(COUNTIF('Dvd Calendar'!$E$568:$AR$568,'Dvd Calendar'!$X$561)=0))&gt;0)=0,"",'Dvd Calendar'!$X$561*1000000000+ISNUMBER('Dvd Calendar'!$X$564)*100000000+('Dvd Calendar'!$X$566=SPECIAL_LBL)*10000000+(N('Dvd Calendar'!$X$560)&gt;0)*(N('Dvd Calendar'!$X$560)&lt;=VAL_SERIAL)*1000000+51*1000+20))</f>
        <v/>
      </c>
      <c r="EY62" s="39">
        <f>IF(N('Dvd Calendar'!$Y$561)=0,"",IF(('Dvd Calendar'!$Y$561&gt;=GRID_FROM)*('Dvd Calendar'!$Y$561&lt;=GRID_TO)*((('Dvd Calendar'!$Y$561&lt;=VAL_DATE)+(COUNTIF('Dvd Calendar'!$E$568:$AR$568,'Dvd Calendar'!$Y$561)=0))&gt;0)=0,"",'Dvd Calendar'!$Y$561*1000000000+ISNUMBER('Dvd Calendar'!$Y$564)*100000000+('Dvd Calendar'!$Y$566=SPECIAL_LBL)*10000000+(N('Dvd Calendar'!$Y$560)&gt;0)*(N('Dvd Calendar'!$Y$560)&lt;=VAL_SERIAL)*1000000+51*1000+21))</f>
        <v/>
      </c>
      <c r="EZ62" s="39">
        <f>IF(N('Dvd Calendar'!$Z$561)=0,"",IF(('Dvd Calendar'!$Z$561&gt;=GRID_FROM)*('Dvd Calendar'!$Z$561&lt;=GRID_TO)*((('Dvd Calendar'!$Z$561&lt;=VAL_DATE)+(COUNTIF('Dvd Calendar'!$E$568:$AR$568,'Dvd Calendar'!$Z$561)=0))&gt;0)=0,"",'Dvd Calendar'!$Z$561*1000000000+ISNUMBER('Dvd Calendar'!$Z$564)*100000000+('Dvd Calendar'!$Z$566=SPECIAL_LBL)*10000000+(N('Dvd Calendar'!$Z$560)&gt;0)*(N('Dvd Calendar'!$Z$560)&lt;=VAL_SERIAL)*1000000+51*1000+22))</f>
        <v/>
      </c>
      <c r="FA62" s="39">
        <f>IF(N('Dvd Calendar'!$AA$561)=0,"",IF(('Dvd Calendar'!$AA$561&gt;=GRID_FROM)*('Dvd Calendar'!$AA$561&lt;=GRID_TO)*((('Dvd Calendar'!$AA$561&lt;=VAL_DATE)+(COUNTIF('Dvd Calendar'!$E$568:$AR$568,'Dvd Calendar'!$AA$561)=0))&gt;0)=0,"",'Dvd Calendar'!$AA$561*1000000000+ISNUMBER('Dvd Calendar'!$AA$564)*100000000+('Dvd Calendar'!$AA$566=SPECIAL_LBL)*10000000+(N('Dvd Calendar'!$AA$560)&gt;0)*(N('Dvd Calendar'!$AA$560)&lt;=VAL_SERIAL)*1000000+51*1000+23))</f>
        <v/>
      </c>
      <c r="FB62" s="39">
        <f>IF(N('Dvd Calendar'!$AB$561)=0,"",IF(('Dvd Calendar'!$AB$561&gt;=GRID_FROM)*('Dvd Calendar'!$AB$561&lt;=GRID_TO)*((('Dvd Calendar'!$AB$561&lt;=VAL_DATE)+(COUNTIF('Dvd Calendar'!$E$568:$AR$568,'Dvd Calendar'!$AB$561)=0))&gt;0)=0,"",'Dvd Calendar'!$AB$561*1000000000+ISNUMBER('Dvd Calendar'!$AB$564)*100000000+('Dvd Calendar'!$AB$566=SPECIAL_LBL)*10000000+(N('Dvd Calendar'!$AB$560)&gt;0)*(N('Dvd Calendar'!$AB$560)&lt;=VAL_SERIAL)*1000000+51*1000+24))</f>
        <v/>
      </c>
      <c r="FC62" s="39">
        <f>IF(N('Dvd Calendar'!$AC$561)=0,"",IF(('Dvd Calendar'!$AC$561&gt;=GRID_FROM)*('Dvd Calendar'!$AC$561&lt;=GRID_TO)*((('Dvd Calendar'!$AC$561&lt;=VAL_DATE)+(COUNTIF('Dvd Calendar'!$E$568:$AR$568,'Dvd Calendar'!$AC$561)=0))&gt;0)=0,"",'Dvd Calendar'!$AC$561*1000000000+ISNUMBER('Dvd Calendar'!$AC$564)*100000000+('Dvd Calendar'!$AC$566=SPECIAL_LBL)*10000000+(N('Dvd Calendar'!$AC$560)&gt;0)*(N('Dvd Calendar'!$AC$560)&lt;=VAL_SERIAL)*1000000+51*1000+25))</f>
        <v/>
      </c>
      <c r="FD62" s="39">
        <f>IF(N('Dvd Calendar'!$AD$561)=0,"",IF(('Dvd Calendar'!$AD$561&gt;=GRID_FROM)*('Dvd Calendar'!$AD$561&lt;=GRID_TO)*((('Dvd Calendar'!$AD$561&lt;=VAL_DATE)+(COUNTIF('Dvd Calendar'!$E$568:$AR$568,'Dvd Calendar'!$AD$561)=0))&gt;0)=0,"",'Dvd Calendar'!$AD$561*1000000000+ISNUMBER('Dvd Calendar'!$AD$564)*100000000+('Dvd Calendar'!$AD$566=SPECIAL_LBL)*10000000+(N('Dvd Calendar'!$AD$560)&gt;0)*(N('Dvd Calendar'!$AD$560)&lt;=VAL_SERIAL)*1000000+51*1000+26))</f>
        <v/>
      </c>
      <c r="FE62" s="39">
        <f>IF(N('Dvd Calendar'!$AE$561)=0,"",IF(('Dvd Calendar'!$AE$561&gt;=GRID_FROM)*('Dvd Calendar'!$AE$561&lt;=GRID_TO)*((('Dvd Calendar'!$AE$561&lt;=VAL_DATE)+(COUNTIF('Dvd Calendar'!$E$568:$AR$568,'Dvd Calendar'!$AE$561)=0))&gt;0)=0,"",'Dvd Calendar'!$AE$561*1000000000+ISNUMBER('Dvd Calendar'!$AE$564)*100000000+('Dvd Calendar'!$AE$566=SPECIAL_LBL)*10000000+(N('Dvd Calendar'!$AE$560)&gt;0)*(N('Dvd Calendar'!$AE$560)&lt;=VAL_SERIAL)*1000000+51*1000+27))</f>
        <v/>
      </c>
      <c r="FF62" s="39">
        <f>IF(N('Dvd Calendar'!$AF$561)=0,"",IF(('Dvd Calendar'!$AF$561&gt;=GRID_FROM)*('Dvd Calendar'!$AF$561&lt;=GRID_TO)*((('Dvd Calendar'!$AF$561&lt;=VAL_DATE)+(COUNTIF('Dvd Calendar'!$E$568:$AR$568,'Dvd Calendar'!$AF$561)=0))&gt;0)=0,"",'Dvd Calendar'!$AF$561*1000000000+ISNUMBER('Dvd Calendar'!$AF$564)*100000000+('Dvd Calendar'!$AF$566=SPECIAL_LBL)*10000000+(N('Dvd Calendar'!$AF$560)&gt;0)*(N('Dvd Calendar'!$AF$560)&lt;=VAL_SERIAL)*1000000+51*1000+28))</f>
        <v/>
      </c>
      <c r="FG62" s="39">
        <f>IF(N('Dvd Calendar'!$AG$561)=0,"",IF(('Dvd Calendar'!$AG$561&gt;=GRID_FROM)*('Dvd Calendar'!$AG$561&lt;=GRID_TO)*((('Dvd Calendar'!$AG$561&lt;=VAL_DATE)+(COUNTIF('Dvd Calendar'!$E$568:$AR$568,'Dvd Calendar'!$AG$561)=0))&gt;0)=0,"",'Dvd Calendar'!$AG$561*1000000000+ISNUMBER('Dvd Calendar'!$AG$564)*100000000+('Dvd Calendar'!$AG$566=SPECIAL_LBL)*10000000+(N('Dvd Calendar'!$AG$560)&gt;0)*(N('Dvd Calendar'!$AG$560)&lt;=VAL_SERIAL)*1000000+51*1000+29))</f>
        <v/>
      </c>
      <c r="FH62" s="39">
        <f>IF(N('Dvd Calendar'!$AH$561)=0,"",IF(('Dvd Calendar'!$AH$561&gt;=GRID_FROM)*('Dvd Calendar'!$AH$561&lt;=GRID_TO)*((('Dvd Calendar'!$AH$561&lt;=VAL_DATE)+(COUNTIF('Dvd Calendar'!$E$568:$AR$568,'Dvd Calendar'!$AH$561)=0))&gt;0)=0,"",'Dvd Calendar'!$AH$561*1000000000+ISNUMBER('Dvd Calendar'!$AH$564)*100000000+('Dvd Calendar'!$AH$566=SPECIAL_LBL)*10000000+(N('Dvd Calendar'!$AH$560)&gt;0)*(N('Dvd Calendar'!$AH$560)&lt;=VAL_SERIAL)*1000000+51*1000+30))</f>
        <v/>
      </c>
      <c r="FI62" s="39">
        <f>IF(N('Dvd Calendar'!$AI$561)=0,"",IF(('Dvd Calendar'!$AI$561&gt;=GRID_FROM)*('Dvd Calendar'!$AI$561&lt;=GRID_TO)*((('Dvd Calendar'!$AI$561&lt;=VAL_DATE)+(COUNTIF('Dvd Calendar'!$E$568:$AR$568,'Dvd Calendar'!$AI$561)=0))&gt;0)=0,"",'Dvd Calendar'!$AI$561*1000000000+ISNUMBER('Dvd Calendar'!$AI$564)*100000000+('Dvd Calendar'!$AI$566=SPECIAL_LBL)*10000000+(N('Dvd Calendar'!$AI$560)&gt;0)*(N('Dvd Calendar'!$AI$560)&lt;=VAL_SERIAL)*1000000+51*1000+31))</f>
        <v/>
      </c>
      <c r="FJ62" s="39">
        <f>IF(N('Dvd Calendar'!$AJ$561)=0,"",IF(('Dvd Calendar'!$AJ$561&gt;=GRID_FROM)*('Dvd Calendar'!$AJ$561&lt;=GRID_TO)*((('Dvd Calendar'!$AJ$561&lt;=VAL_DATE)+(COUNTIF('Dvd Calendar'!$E$568:$AR$568,'Dvd Calendar'!$AJ$561)=0))&gt;0)=0,"",'Dvd Calendar'!$AJ$561*1000000000+ISNUMBER('Dvd Calendar'!$AJ$564)*100000000+('Dvd Calendar'!$AJ$566=SPECIAL_LBL)*10000000+(N('Dvd Calendar'!$AJ$560)&gt;0)*(N('Dvd Calendar'!$AJ$560)&lt;=VAL_SERIAL)*1000000+51*1000+32))</f>
        <v/>
      </c>
      <c r="FK62" s="39">
        <f>IF(N('Dvd Calendar'!$AK$561)=0,"",IF(('Dvd Calendar'!$AK$561&gt;=GRID_FROM)*('Dvd Calendar'!$AK$561&lt;=GRID_TO)*((('Dvd Calendar'!$AK$561&lt;=VAL_DATE)+(COUNTIF('Dvd Calendar'!$E$568:$AR$568,'Dvd Calendar'!$AK$561)=0))&gt;0)=0,"",'Dvd Calendar'!$AK$561*1000000000+ISNUMBER('Dvd Calendar'!$AK$564)*100000000+('Dvd Calendar'!$AK$566=SPECIAL_LBL)*10000000+(N('Dvd Calendar'!$AK$560)&gt;0)*(N('Dvd Calendar'!$AK$560)&lt;=VAL_SERIAL)*1000000+51*1000+33))</f>
        <v/>
      </c>
      <c r="FL62" s="39">
        <f>IF(N('Dvd Calendar'!$AL$561)=0,"",IF(('Dvd Calendar'!$AL$561&gt;=GRID_FROM)*('Dvd Calendar'!$AL$561&lt;=GRID_TO)*((('Dvd Calendar'!$AL$561&lt;=VAL_DATE)+(COUNTIF('Dvd Calendar'!$E$568:$AR$568,'Dvd Calendar'!$AL$561)=0))&gt;0)=0,"",'Dvd Calendar'!$AL$561*1000000000+ISNUMBER('Dvd Calendar'!$AL$564)*100000000+('Dvd Calendar'!$AL$566=SPECIAL_LBL)*10000000+(N('Dvd Calendar'!$AL$560)&gt;0)*(N('Dvd Calendar'!$AL$560)&lt;=VAL_SERIAL)*1000000+51*1000+34))</f>
        <v/>
      </c>
      <c r="FM62" s="39">
        <f>IF(N('Dvd Calendar'!$AM$561)=0,"",IF(('Dvd Calendar'!$AM$561&gt;=GRID_FROM)*('Dvd Calendar'!$AM$561&lt;=GRID_TO)*((('Dvd Calendar'!$AM$561&lt;=VAL_DATE)+(COUNTIF('Dvd Calendar'!$E$568:$AR$568,'Dvd Calendar'!$AM$561)=0))&gt;0)=0,"",'Dvd Calendar'!$AM$561*1000000000+ISNUMBER('Dvd Calendar'!$AM$564)*100000000+('Dvd Calendar'!$AM$566=SPECIAL_LBL)*10000000+(N('Dvd Calendar'!$AM$560)&gt;0)*(N('Dvd Calendar'!$AM$560)&lt;=VAL_SERIAL)*1000000+51*1000+35))</f>
        <v/>
      </c>
      <c r="FN62" s="39">
        <f>IF(N('Dvd Calendar'!$AN$561)=0,"",IF(('Dvd Calendar'!$AN$561&gt;=GRID_FROM)*('Dvd Calendar'!$AN$561&lt;=GRID_TO)*((('Dvd Calendar'!$AN$561&lt;=VAL_DATE)+(COUNTIF('Dvd Calendar'!$E$568:$AR$568,'Dvd Calendar'!$AN$561)=0))&gt;0)=0,"",'Dvd Calendar'!$AN$561*1000000000+ISNUMBER('Dvd Calendar'!$AN$564)*100000000+('Dvd Calendar'!$AN$566=SPECIAL_LBL)*10000000+(N('Dvd Calendar'!$AN$560)&gt;0)*(N('Dvd Calendar'!$AN$560)&lt;=VAL_SERIAL)*1000000+51*1000+36))</f>
        <v/>
      </c>
      <c r="FO62" s="39">
        <f>IF(N('Dvd Calendar'!$AO$561)=0,"",IF(('Dvd Calendar'!$AO$561&gt;=GRID_FROM)*('Dvd Calendar'!$AO$561&lt;=GRID_TO)*((('Dvd Calendar'!$AO$561&lt;=VAL_DATE)+(COUNTIF('Dvd Calendar'!$E$568:$AR$568,'Dvd Calendar'!$AO$561)=0))&gt;0)=0,"",'Dvd Calendar'!$AO$561*1000000000+ISNUMBER('Dvd Calendar'!$AO$564)*100000000+('Dvd Calendar'!$AO$566=SPECIAL_LBL)*10000000+(N('Dvd Calendar'!$AO$560)&gt;0)*(N('Dvd Calendar'!$AO$560)&lt;=VAL_SERIAL)*1000000+51*1000+37))</f>
        <v/>
      </c>
      <c r="FP62" s="39">
        <f>IF(N('Dvd Calendar'!$AP$561)=0,"",IF(('Dvd Calendar'!$AP$561&gt;=GRID_FROM)*('Dvd Calendar'!$AP$561&lt;=GRID_TO)*((('Dvd Calendar'!$AP$561&lt;=VAL_DATE)+(COUNTIF('Dvd Calendar'!$E$568:$AR$568,'Dvd Calendar'!$AP$561)=0))&gt;0)=0,"",'Dvd Calendar'!$AP$561*1000000000+ISNUMBER('Dvd Calendar'!$AP$564)*100000000+('Dvd Calendar'!$AP$566=SPECIAL_LBL)*10000000+(N('Dvd Calendar'!$AP$560)&gt;0)*(N('Dvd Calendar'!$AP$560)&lt;=VAL_SERIAL)*1000000+51*1000+38))</f>
        <v/>
      </c>
      <c r="FQ62" s="39">
        <f>IF(N('Dvd Calendar'!$AQ$561)=0,"",IF(('Dvd Calendar'!$AQ$561&gt;=GRID_FROM)*('Dvd Calendar'!$AQ$561&lt;=GRID_TO)*((('Dvd Calendar'!$AQ$561&lt;=VAL_DATE)+(COUNTIF('Dvd Calendar'!$E$568:$AR$568,'Dvd Calendar'!$AQ$561)=0))&gt;0)=0,"",'Dvd Calendar'!$AQ$561*1000000000+ISNUMBER('Dvd Calendar'!$AQ$564)*100000000+('Dvd Calendar'!$AQ$566=SPECIAL_LBL)*10000000+(N('Dvd Calendar'!$AQ$560)&gt;0)*(N('Dvd Calendar'!$AQ$560)&lt;=VAL_SERIAL)*1000000+51*1000+39))</f>
        <v/>
      </c>
      <c r="FR62" s="39">
        <f>IF(N('Dvd Calendar'!$AR$561)=0,"",IF(('Dvd Calendar'!$AR$561&gt;=GRID_FROM)*('Dvd Calendar'!$AR$561&lt;=GRID_TO)*((('Dvd Calendar'!$AR$561&lt;=VAL_DATE)+(COUNTIF('Dvd Calendar'!$E$568:$AR$568,'Dvd Calendar'!$AR$561)=0))&gt;0)=0,"",'Dvd Calendar'!$AR$561*1000000000+ISNUMBER('Dvd Calendar'!$AR$564)*100000000+('Dvd Calendar'!$AR$566=SPECIAL_LBL)*10000000+(N('Dvd Calendar'!$AR$560)&gt;0)*(N('Dvd Calendar'!$AR$560)&lt;=VAL_SERIAL)*1000000+51*1000+40))</f>
        <v/>
      </c>
      <c r="FS62" s="39">
        <f>IF(N('Dvd Calendar'!$E$568)=0,"",IF(('Dvd Calendar'!$E$568&gt;=GRID_FROM)*('Dvd Calendar'!$E$568&lt;=GRID_TO)*('Dvd Calendar'!$E$568&gt;VAL_DATE)=0,"",'Dvd Calendar'!$E$568*1000000000+ISNUMBER('Dvd Calendar'!$E$569)*100000000+0*10000000+(N('Dvd Calendar'!$E$567)&gt;0)*(N('Dvd Calendar'!$E$567)&lt;=VAL_SERIAL)*1000000+51*1000+41))</f>
        <v/>
      </c>
      <c r="FT62" s="39">
        <f>IF(N('Dvd Calendar'!$F$568)=0,"",IF(('Dvd Calendar'!$F$568&gt;=GRID_FROM)*('Dvd Calendar'!$F$568&lt;=GRID_TO)*('Dvd Calendar'!$F$568&gt;VAL_DATE)=0,"",'Dvd Calendar'!$F$568*1000000000+ISNUMBER('Dvd Calendar'!$F$569)*100000000+0*10000000+(N('Dvd Calendar'!$F$567)&gt;0)*(N('Dvd Calendar'!$F$567)&lt;=VAL_SERIAL)*1000000+51*1000+42))</f>
        <v/>
      </c>
      <c r="FU62" s="39">
        <f>IF(N('Dvd Calendar'!$G$568)=0,"",IF(('Dvd Calendar'!$G$568&gt;=GRID_FROM)*('Dvd Calendar'!$G$568&lt;=GRID_TO)*('Dvd Calendar'!$G$568&gt;VAL_DATE)=0,"",'Dvd Calendar'!$G$568*1000000000+ISNUMBER('Dvd Calendar'!$G$569)*100000000+0*10000000+(N('Dvd Calendar'!$G$567)&gt;0)*(N('Dvd Calendar'!$G$567)&lt;=VAL_SERIAL)*1000000+51*1000+43))</f>
        <v/>
      </c>
      <c r="FV62" s="39">
        <f>IF(N('Dvd Calendar'!$H$568)=0,"",IF(('Dvd Calendar'!$H$568&gt;=GRID_FROM)*('Dvd Calendar'!$H$568&lt;=GRID_TO)*('Dvd Calendar'!$H$568&gt;VAL_DATE)=0,"",'Dvd Calendar'!$H$568*1000000000+ISNUMBER('Dvd Calendar'!$H$569)*100000000+0*10000000+(N('Dvd Calendar'!$H$567)&gt;0)*(N('Dvd Calendar'!$H$567)&lt;=VAL_SERIAL)*1000000+51*1000+44))</f>
        <v/>
      </c>
      <c r="FW62" s="39">
        <f>IF(N('Dvd Calendar'!$I$568)=0,"",IF(('Dvd Calendar'!$I$568&gt;=GRID_FROM)*('Dvd Calendar'!$I$568&lt;=GRID_TO)*('Dvd Calendar'!$I$568&gt;VAL_DATE)=0,"",'Dvd Calendar'!$I$568*1000000000+ISNUMBER('Dvd Calendar'!$I$569)*100000000+0*10000000+(N('Dvd Calendar'!$I$567)&gt;0)*(N('Dvd Calendar'!$I$567)&lt;=VAL_SERIAL)*1000000+51*1000+45))</f>
        <v/>
      </c>
      <c r="FX62" s="39">
        <f>IF(N('Dvd Calendar'!$J$568)=0,"",IF(('Dvd Calendar'!$J$568&gt;=GRID_FROM)*('Dvd Calendar'!$J$568&lt;=GRID_TO)*('Dvd Calendar'!$J$568&gt;VAL_DATE)=0,"",'Dvd Calendar'!$J$568*1000000000+ISNUMBER('Dvd Calendar'!$J$569)*100000000+0*10000000+(N('Dvd Calendar'!$J$567)&gt;0)*(N('Dvd Calendar'!$J$567)&lt;=VAL_SERIAL)*1000000+51*1000+46))</f>
        <v/>
      </c>
      <c r="FY62" s="39">
        <f>IF(N('Dvd Calendar'!$K$568)=0,"",IF(('Dvd Calendar'!$K$568&gt;=GRID_FROM)*('Dvd Calendar'!$K$568&lt;=GRID_TO)*('Dvd Calendar'!$K$568&gt;VAL_DATE)=0,"",'Dvd Calendar'!$K$568*1000000000+ISNUMBER('Dvd Calendar'!$K$569)*100000000+0*10000000+(N('Dvd Calendar'!$K$567)&gt;0)*(N('Dvd Calendar'!$K$567)&lt;=VAL_SERIAL)*1000000+51*1000+47))</f>
        <v/>
      </c>
      <c r="FZ62" s="39">
        <f>IF(N('Dvd Calendar'!$L$568)=0,"",IF(('Dvd Calendar'!$L$568&gt;=GRID_FROM)*('Dvd Calendar'!$L$568&lt;=GRID_TO)*('Dvd Calendar'!$L$568&gt;VAL_DATE)=0,"",'Dvd Calendar'!$L$568*1000000000+ISNUMBER('Dvd Calendar'!$L$569)*100000000+0*10000000+(N('Dvd Calendar'!$L$567)&gt;0)*(N('Dvd Calendar'!$L$567)&lt;=VAL_SERIAL)*1000000+51*1000+48))</f>
        <v/>
      </c>
      <c r="GA62" s="39">
        <f>IF(N('Dvd Calendar'!$M$568)=0,"",IF(('Dvd Calendar'!$M$568&gt;=GRID_FROM)*('Dvd Calendar'!$M$568&lt;=GRID_TO)*('Dvd Calendar'!$M$568&gt;VAL_DATE)=0,"",'Dvd Calendar'!$M$568*1000000000+ISNUMBER('Dvd Calendar'!$M$569)*100000000+0*10000000+(N('Dvd Calendar'!$M$567)&gt;0)*(N('Dvd Calendar'!$M$567)&lt;=VAL_SERIAL)*1000000+51*1000+49))</f>
        <v/>
      </c>
      <c r="GB62" s="39">
        <f>IF(N('Dvd Calendar'!$N$568)=0,"",IF(('Dvd Calendar'!$N$568&gt;=GRID_FROM)*('Dvd Calendar'!$N$568&lt;=GRID_TO)*('Dvd Calendar'!$N$568&gt;VAL_DATE)=0,"",'Dvd Calendar'!$N$568*1000000000+ISNUMBER('Dvd Calendar'!$N$569)*100000000+0*10000000+(N('Dvd Calendar'!$N$567)&gt;0)*(N('Dvd Calendar'!$N$567)&lt;=VAL_SERIAL)*1000000+51*1000+50))</f>
        <v/>
      </c>
      <c r="GC62" s="39">
        <f>IF(N('Dvd Calendar'!$O$568)=0,"",IF(('Dvd Calendar'!$O$568&gt;=GRID_FROM)*('Dvd Calendar'!$O$568&lt;=GRID_TO)*('Dvd Calendar'!$O$568&gt;VAL_DATE)=0,"",'Dvd Calendar'!$O$568*1000000000+ISNUMBER('Dvd Calendar'!$O$569)*100000000+0*10000000+(N('Dvd Calendar'!$O$567)&gt;0)*(N('Dvd Calendar'!$O$567)&lt;=VAL_SERIAL)*1000000+51*1000+51))</f>
        <v/>
      </c>
      <c r="GD62" s="39">
        <f>IF(N('Dvd Calendar'!$P$568)=0,"",IF(('Dvd Calendar'!$P$568&gt;=GRID_FROM)*('Dvd Calendar'!$P$568&lt;=GRID_TO)*('Dvd Calendar'!$P$568&gt;VAL_DATE)=0,"",'Dvd Calendar'!$P$568*1000000000+ISNUMBER('Dvd Calendar'!$P$569)*100000000+0*10000000+(N('Dvd Calendar'!$P$567)&gt;0)*(N('Dvd Calendar'!$P$567)&lt;=VAL_SERIAL)*1000000+51*1000+52))</f>
        <v/>
      </c>
      <c r="GE62" s="39">
        <f>IF(N('Dvd Calendar'!$Q$568)=0,"",IF(('Dvd Calendar'!$Q$568&gt;=GRID_FROM)*('Dvd Calendar'!$Q$568&lt;=GRID_TO)*('Dvd Calendar'!$Q$568&gt;VAL_DATE)=0,"",'Dvd Calendar'!$Q$568*1000000000+ISNUMBER('Dvd Calendar'!$Q$569)*100000000+0*10000000+(N('Dvd Calendar'!$Q$567)&gt;0)*(N('Dvd Calendar'!$Q$567)&lt;=VAL_SERIAL)*1000000+51*1000+53))</f>
        <v/>
      </c>
      <c r="GF62" s="39">
        <f>IF(N('Dvd Calendar'!$R$568)=0,"",IF(('Dvd Calendar'!$R$568&gt;=GRID_FROM)*('Dvd Calendar'!$R$568&lt;=GRID_TO)*('Dvd Calendar'!$R$568&gt;VAL_DATE)=0,"",'Dvd Calendar'!$R$568*1000000000+ISNUMBER('Dvd Calendar'!$R$569)*100000000+0*10000000+(N('Dvd Calendar'!$R$567)&gt;0)*(N('Dvd Calendar'!$R$567)&lt;=VAL_SERIAL)*1000000+51*1000+54))</f>
        <v/>
      </c>
      <c r="GG62" s="39">
        <f>IF(N('Dvd Calendar'!$S$568)=0,"",IF(('Dvd Calendar'!$S$568&gt;=GRID_FROM)*('Dvd Calendar'!$S$568&lt;=GRID_TO)*('Dvd Calendar'!$S$568&gt;VAL_DATE)=0,"",'Dvd Calendar'!$S$568*1000000000+ISNUMBER('Dvd Calendar'!$S$569)*100000000+0*10000000+(N('Dvd Calendar'!$S$567)&gt;0)*(N('Dvd Calendar'!$S$567)&lt;=VAL_SERIAL)*1000000+51*1000+55))</f>
        <v/>
      </c>
      <c r="GH62" s="39">
        <f>IF(N('Dvd Calendar'!$T$568)=0,"",IF(('Dvd Calendar'!$T$568&gt;=GRID_FROM)*('Dvd Calendar'!$T$568&lt;=GRID_TO)*('Dvd Calendar'!$T$568&gt;VAL_DATE)=0,"",'Dvd Calendar'!$T$568*1000000000+ISNUMBER('Dvd Calendar'!$T$569)*100000000+0*10000000+(N('Dvd Calendar'!$T$567)&gt;0)*(N('Dvd Calendar'!$T$567)&lt;=VAL_SERIAL)*1000000+51*1000+56))</f>
        <v/>
      </c>
      <c r="GI62" s="39">
        <f>IF(N('Dvd Calendar'!$U$568)=0,"",IF(('Dvd Calendar'!$U$568&gt;=GRID_FROM)*('Dvd Calendar'!$U$568&lt;=GRID_TO)*('Dvd Calendar'!$U$568&gt;VAL_DATE)=0,"",'Dvd Calendar'!$U$568*1000000000+ISNUMBER('Dvd Calendar'!$U$569)*100000000+0*10000000+(N('Dvd Calendar'!$U$567)&gt;0)*(N('Dvd Calendar'!$U$567)&lt;=VAL_SERIAL)*1000000+51*1000+57))</f>
        <v/>
      </c>
      <c r="GJ62" s="39">
        <f>IF(N('Dvd Calendar'!$V$568)=0,"",IF(('Dvd Calendar'!$V$568&gt;=GRID_FROM)*('Dvd Calendar'!$V$568&lt;=GRID_TO)*('Dvd Calendar'!$V$568&gt;VAL_DATE)=0,"",'Dvd Calendar'!$V$568*1000000000+ISNUMBER('Dvd Calendar'!$V$569)*100000000+0*10000000+(N('Dvd Calendar'!$V$567)&gt;0)*(N('Dvd Calendar'!$V$567)&lt;=VAL_SERIAL)*1000000+51*1000+58))</f>
        <v/>
      </c>
      <c r="GK62" s="39">
        <f>IF(N('Dvd Calendar'!$W$568)=0,"",IF(('Dvd Calendar'!$W$568&gt;=GRID_FROM)*('Dvd Calendar'!$W$568&lt;=GRID_TO)*('Dvd Calendar'!$W$568&gt;VAL_DATE)=0,"",'Dvd Calendar'!$W$568*1000000000+ISNUMBER('Dvd Calendar'!$W$569)*100000000+0*10000000+(N('Dvd Calendar'!$W$567)&gt;0)*(N('Dvd Calendar'!$W$567)&lt;=VAL_SERIAL)*1000000+51*1000+59))</f>
        <v/>
      </c>
      <c r="GL62" s="39">
        <f>IF(N('Dvd Calendar'!$X$568)=0,"",IF(('Dvd Calendar'!$X$568&gt;=GRID_FROM)*('Dvd Calendar'!$X$568&lt;=GRID_TO)*('Dvd Calendar'!$X$568&gt;VAL_DATE)=0,"",'Dvd Calendar'!$X$568*1000000000+ISNUMBER('Dvd Calendar'!$X$569)*100000000+0*10000000+(N('Dvd Calendar'!$X$567)&gt;0)*(N('Dvd Calendar'!$X$567)&lt;=VAL_SERIAL)*1000000+51*1000+60))</f>
        <v/>
      </c>
      <c r="GM62" s="39">
        <f>IF(N('Dvd Calendar'!$Y$568)=0,"",IF(('Dvd Calendar'!$Y$568&gt;=GRID_FROM)*('Dvd Calendar'!$Y$568&lt;=GRID_TO)*('Dvd Calendar'!$Y$568&gt;VAL_DATE)=0,"",'Dvd Calendar'!$Y$568*1000000000+ISNUMBER('Dvd Calendar'!$Y$569)*100000000+0*10000000+(N('Dvd Calendar'!$Y$567)&gt;0)*(N('Dvd Calendar'!$Y$567)&lt;=VAL_SERIAL)*1000000+51*1000+61))</f>
        <v/>
      </c>
      <c r="GN62" s="39">
        <f>IF(N('Dvd Calendar'!$Z$568)=0,"",IF(('Dvd Calendar'!$Z$568&gt;=GRID_FROM)*('Dvd Calendar'!$Z$568&lt;=GRID_TO)*('Dvd Calendar'!$Z$568&gt;VAL_DATE)=0,"",'Dvd Calendar'!$Z$568*1000000000+ISNUMBER('Dvd Calendar'!$Z$569)*100000000+0*10000000+(N('Dvd Calendar'!$Z$567)&gt;0)*(N('Dvd Calendar'!$Z$567)&lt;=VAL_SERIAL)*1000000+51*1000+62))</f>
        <v/>
      </c>
      <c r="GO62" s="39">
        <f>IF(N('Dvd Calendar'!$AA$568)=0,"",IF(('Dvd Calendar'!$AA$568&gt;=GRID_FROM)*('Dvd Calendar'!$AA$568&lt;=GRID_TO)*('Dvd Calendar'!$AA$568&gt;VAL_DATE)=0,"",'Dvd Calendar'!$AA$568*1000000000+ISNUMBER('Dvd Calendar'!$AA$569)*100000000+0*10000000+(N('Dvd Calendar'!$AA$567)&gt;0)*(N('Dvd Calendar'!$AA$567)&lt;=VAL_SERIAL)*1000000+51*1000+63))</f>
        <v/>
      </c>
      <c r="GP62" s="39">
        <f>IF(N('Dvd Calendar'!$AB$568)=0,"",IF(('Dvd Calendar'!$AB$568&gt;=GRID_FROM)*('Dvd Calendar'!$AB$568&lt;=GRID_TO)*('Dvd Calendar'!$AB$568&gt;VAL_DATE)=0,"",'Dvd Calendar'!$AB$568*1000000000+ISNUMBER('Dvd Calendar'!$AB$569)*100000000+0*10000000+(N('Dvd Calendar'!$AB$567)&gt;0)*(N('Dvd Calendar'!$AB$567)&lt;=VAL_SERIAL)*1000000+51*1000+64))</f>
        <v/>
      </c>
      <c r="GQ62" s="39">
        <f>IF(N('Dvd Calendar'!$AC$568)=0,"",IF(('Dvd Calendar'!$AC$568&gt;=GRID_FROM)*('Dvd Calendar'!$AC$568&lt;=GRID_TO)*('Dvd Calendar'!$AC$568&gt;VAL_DATE)=0,"",'Dvd Calendar'!$AC$568*1000000000+ISNUMBER('Dvd Calendar'!$AC$569)*100000000+0*10000000+(N('Dvd Calendar'!$AC$567)&gt;0)*(N('Dvd Calendar'!$AC$567)&lt;=VAL_SERIAL)*1000000+51*1000+65))</f>
        <v/>
      </c>
    </row>
    <row r="63">
      <c r="B63" s="2">
        <f>IF(HSI!$C$58="","",HSI!$C$58)</f>
        <v/>
      </c>
      <c r="C63" s="110">
        <f>IF(EE63="","",IF(ISNUMBER('Dvd Calendar'!$E$575)=FALSE,"",IF((('Dvd Calendar'!$E$577=TYPE1)*(TYPE1&lt;&gt;"")+('Dvd Calendar'!$E$577=TYPE2)*(TYPE2&lt;&gt;"")+('Dvd Calendar'!$E$577=TYPE3)*(TYPE3&lt;&gt;"")+('Dvd Calendar'!$E$577=TYPE4)*(TYPE4&lt;&gt;"")+('Dvd Calendar'!$E$577=SPECIAL_LBL)*(INC_SPECIALS="Y"))=0,"",'Dvd Calendar'!$E$575)))</f>
        <v/>
      </c>
      <c r="D63" s="110">
        <f>IF(EF63="","",IF(ISNUMBER('Dvd Calendar'!$F$575)=FALSE,"",IF((('Dvd Calendar'!$F$577=TYPE1)*(TYPE1&lt;&gt;"")+('Dvd Calendar'!$F$577=TYPE2)*(TYPE2&lt;&gt;"")+('Dvd Calendar'!$F$577=TYPE3)*(TYPE3&lt;&gt;"")+('Dvd Calendar'!$F$577=TYPE4)*(TYPE4&lt;&gt;"")+('Dvd Calendar'!$F$577=SPECIAL_LBL)*(INC_SPECIALS="Y"))=0,"",'Dvd Calendar'!$F$575)))</f>
        <v/>
      </c>
      <c r="E63" s="110">
        <f>IF(EG63="","",IF(ISNUMBER('Dvd Calendar'!$G$575)=FALSE,"",IF((('Dvd Calendar'!$G$577=TYPE1)*(TYPE1&lt;&gt;"")+('Dvd Calendar'!$G$577=TYPE2)*(TYPE2&lt;&gt;"")+('Dvd Calendar'!$G$577=TYPE3)*(TYPE3&lt;&gt;"")+('Dvd Calendar'!$G$577=TYPE4)*(TYPE4&lt;&gt;"")+('Dvd Calendar'!$G$577=SPECIAL_LBL)*(INC_SPECIALS="Y"))=0,"",'Dvd Calendar'!$G$575)))</f>
        <v/>
      </c>
      <c r="F63" s="110">
        <f>IF(EH63="","",IF(ISNUMBER('Dvd Calendar'!$H$575)=FALSE,"",IF((('Dvd Calendar'!$H$577=TYPE1)*(TYPE1&lt;&gt;"")+('Dvd Calendar'!$H$577=TYPE2)*(TYPE2&lt;&gt;"")+('Dvd Calendar'!$H$577=TYPE3)*(TYPE3&lt;&gt;"")+('Dvd Calendar'!$H$577=TYPE4)*(TYPE4&lt;&gt;"")+('Dvd Calendar'!$H$577=SPECIAL_LBL)*(INC_SPECIALS="Y"))=0,"",'Dvd Calendar'!$H$575)))</f>
        <v/>
      </c>
      <c r="G63" s="110">
        <f>IF(EI63="","",IF(ISNUMBER('Dvd Calendar'!$I$575)=FALSE,"",IF((('Dvd Calendar'!$I$577=TYPE1)*(TYPE1&lt;&gt;"")+('Dvd Calendar'!$I$577=TYPE2)*(TYPE2&lt;&gt;"")+('Dvd Calendar'!$I$577=TYPE3)*(TYPE3&lt;&gt;"")+('Dvd Calendar'!$I$577=TYPE4)*(TYPE4&lt;&gt;"")+('Dvd Calendar'!$I$577=SPECIAL_LBL)*(INC_SPECIALS="Y"))=0,"",'Dvd Calendar'!$I$575)))</f>
        <v/>
      </c>
      <c r="H63" s="110">
        <f>IF(EJ63="","",IF(ISNUMBER('Dvd Calendar'!$J$575)=FALSE,"",IF((('Dvd Calendar'!$J$577=TYPE1)*(TYPE1&lt;&gt;"")+('Dvd Calendar'!$J$577=TYPE2)*(TYPE2&lt;&gt;"")+('Dvd Calendar'!$J$577=TYPE3)*(TYPE3&lt;&gt;"")+('Dvd Calendar'!$J$577=TYPE4)*(TYPE4&lt;&gt;"")+('Dvd Calendar'!$J$577=SPECIAL_LBL)*(INC_SPECIALS="Y"))=0,"",'Dvd Calendar'!$J$575)))</f>
        <v/>
      </c>
      <c r="I63" s="110">
        <f>IF(EK63="","",IF(ISNUMBER('Dvd Calendar'!$K$575)=FALSE,"",IF((('Dvd Calendar'!$K$577=TYPE1)*(TYPE1&lt;&gt;"")+('Dvd Calendar'!$K$577=TYPE2)*(TYPE2&lt;&gt;"")+('Dvd Calendar'!$K$577=TYPE3)*(TYPE3&lt;&gt;"")+('Dvd Calendar'!$K$577=TYPE4)*(TYPE4&lt;&gt;"")+('Dvd Calendar'!$K$577=SPECIAL_LBL)*(INC_SPECIALS="Y"))=0,"",'Dvd Calendar'!$K$575)))</f>
        <v/>
      </c>
      <c r="J63" s="110">
        <f>IF(EL63="","",IF(ISNUMBER('Dvd Calendar'!$L$575)=FALSE,"",IF((('Dvd Calendar'!$L$577=TYPE1)*(TYPE1&lt;&gt;"")+('Dvd Calendar'!$L$577=TYPE2)*(TYPE2&lt;&gt;"")+('Dvd Calendar'!$L$577=TYPE3)*(TYPE3&lt;&gt;"")+('Dvd Calendar'!$L$577=TYPE4)*(TYPE4&lt;&gt;"")+('Dvd Calendar'!$L$577=SPECIAL_LBL)*(INC_SPECIALS="Y"))=0,"",'Dvd Calendar'!$L$575)))</f>
        <v/>
      </c>
      <c r="K63" s="110">
        <f>IF(EM63="","",IF(ISNUMBER('Dvd Calendar'!$M$575)=FALSE,"",IF((('Dvd Calendar'!$M$577=TYPE1)*(TYPE1&lt;&gt;"")+('Dvd Calendar'!$M$577=TYPE2)*(TYPE2&lt;&gt;"")+('Dvd Calendar'!$M$577=TYPE3)*(TYPE3&lt;&gt;"")+('Dvd Calendar'!$M$577=TYPE4)*(TYPE4&lt;&gt;"")+('Dvd Calendar'!$M$577=SPECIAL_LBL)*(INC_SPECIALS="Y"))=0,"",'Dvd Calendar'!$M$575)))</f>
        <v/>
      </c>
      <c r="L63" s="110">
        <f>IF(EN63="","",IF(ISNUMBER('Dvd Calendar'!$N$575)=FALSE,"",IF((('Dvd Calendar'!$N$577=TYPE1)*(TYPE1&lt;&gt;"")+('Dvd Calendar'!$N$577=TYPE2)*(TYPE2&lt;&gt;"")+('Dvd Calendar'!$N$577=TYPE3)*(TYPE3&lt;&gt;"")+('Dvd Calendar'!$N$577=TYPE4)*(TYPE4&lt;&gt;"")+('Dvd Calendar'!$N$577=SPECIAL_LBL)*(INC_SPECIALS="Y"))=0,"",'Dvd Calendar'!$N$575)))</f>
        <v/>
      </c>
      <c r="M63" s="110">
        <f>IF(EO63="","",IF(ISNUMBER('Dvd Calendar'!$O$575)=FALSE,"",IF((('Dvd Calendar'!$O$577=TYPE1)*(TYPE1&lt;&gt;"")+('Dvd Calendar'!$O$577=TYPE2)*(TYPE2&lt;&gt;"")+('Dvd Calendar'!$O$577=TYPE3)*(TYPE3&lt;&gt;"")+('Dvd Calendar'!$O$577=TYPE4)*(TYPE4&lt;&gt;"")+('Dvd Calendar'!$O$577=SPECIAL_LBL)*(INC_SPECIALS="Y"))=0,"",'Dvd Calendar'!$O$575)))</f>
        <v/>
      </c>
      <c r="N63" s="110">
        <f>IF(EP63="","",IF(ISNUMBER('Dvd Calendar'!$P$575)=FALSE,"",IF((('Dvd Calendar'!$P$577=TYPE1)*(TYPE1&lt;&gt;"")+('Dvd Calendar'!$P$577=TYPE2)*(TYPE2&lt;&gt;"")+('Dvd Calendar'!$P$577=TYPE3)*(TYPE3&lt;&gt;"")+('Dvd Calendar'!$P$577=TYPE4)*(TYPE4&lt;&gt;"")+('Dvd Calendar'!$P$577=SPECIAL_LBL)*(INC_SPECIALS="Y"))=0,"",'Dvd Calendar'!$P$575)))</f>
        <v/>
      </c>
      <c r="O63" s="110">
        <f>IF(EQ63="","",IF(ISNUMBER('Dvd Calendar'!$Q$575)=FALSE,"",IF((('Dvd Calendar'!$Q$577=TYPE1)*(TYPE1&lt;&gt;"")+('Dvd Calendar'!$Q$577=TYPE2)*(TYPE2&lt;&gt;"")+('Dvd Calendar'!$Q$577=TYPE3)*(TYPE3&lt;&gt;"")+('Dvd Calendar'!$Q$577=TYPE4)*(TYPE4&lt;&gt;"")+('Dvd Calendar'!$Q$577=SPECIAL_LBL)*(INC_SPECIALS="Y"))=0,"",'Dvd Calendar'!$Q$575)))</f>
        <v/>
      </c>
      <c r="P63" s="110">
        <f>IF(ER63="","",IF(ISNUMBER('Dvd Calendar'!$R$575)=FALSE,"",IF((('Dvd Calendar'!$R$577=TYPE1)*(TYPE1&lt;&gt;"")+('Dvd Calendar'!$R$577=TYPE2)*(TYPE2&lt;&gt;"")+('Dvd Calendar'!$R$577=TYPE3)*(TYPE3&lt;&gt;"")+('Dvd Calendar'!$R$577=TYPE4)*(TYPE4&lt;&gt;"")+('Dvd Calendar'!$R$577=SPECIAL_LBL)*(INC_SPECIALS="Y"))=0,"",'Dvd Calendar'!$R$575)))</f>
        <v/>
      </c>
      <c r="Q63" s="110">
        <f>IF(ES63="","",IF(ISNUMBER('Dvd Calendar'!$S$575)=FALSE,"",IF((('Dvd Calendar'!$S$577=TYPE1)*(TYPE1&lt;&gt;"")+('Dvd Calendar'!$S$577=TYPE2)*(TYPE2&lt;&gt;"")+('Dvd Calendar'!$S$577=TYPE3)*(TYPE3&lt;&gt;"")+('Dvd Calendar'!$S$577=TYPE4)*(TYPE4&lt;&gt;"")+('Dvd Calendar'!$S$577=SPECIAL_LBL)*(INC_SPECIALS="Y"))=0,"",'Dvd Calendar'!$S$575)))</f>
        <v/>
      </c>
      <c r="R63" s="110">
        <f>IF(ET63="","",IF(ISNUMBER('Dvd Calendar'!$T$575)=FALSE,"",IF((('Dvd Calendar'!$T$577=TYPE1)*(TYPE1&lt;&gt;"")+('Dvd Calendar'!$T$577=TYPE2)*(TYPE2&lt;&gt;"")+('Dvd Calendar'!$T$577=TYPE3)*(TYPE3&lt;&gt;"")+('Dvd Calendar'!$T$577=TYPE4)*(TYPE4&lt;&gt;"")+('Dvd Calendar'!$T$577=SPECIAL_LBL)*(INC_SPECIALS="Y"))=0,"",'Dvd Calendar'!$T$575)))</f>
        <v/>
      </c>
      <c r="S63" s="110">
        <f>IF(EU63="","",IF(ISNUMBER('Dvd Calendar'!$U$575)=FALSE,"",IF((('Dvd Calendar'!$U$577=TYPE1)*(TYPE1&lt;&gt;"")+('Dvd Calendar'!$U$577=TYPE2)*(TYPE2&lt;&gt;"")+('Dvd Calendar'!$U$577=TYPE3)*(TYPE3&lt;&gt;"")+('Dvd Calendar'!$U$577=TYPE4)*(TYPE4&lt;&gt;"")+('Dvd Calendar'!$U$577=SPECIAL_LBL)*(INC_SPECIALS="Y"))=0,"",'Dvd Calendar'!$U$575)))</f>
        <v/>
      </c>
      <c r="T63" s="110">
        <f>IF(EV63="","",IF(ISNUMBER('Dvd Calendar'!$V$575)=FALSE,"",IF((('Dvd Calendar'!$V$577=TYPE1)*(TYPE1&lt;&gt;"")+('Dvd Calendar'!$V$577=TYPE2)*(TYPE2&lt;&gt;"")+('Dvd Calendar'!$V$577=TYPE3)*(TYPE3&lt;&gt;"")+('Dvd Calendar'!$V$577=TYPE4)*(TYPE4&lt;&gt;"")+('Dvd Calendar'!$V$577=SPECIAL_LBL)*(INC_SPECIALS="Y"))=0,"",'Dvd Calendar'!$V$575)))</f>
        <v/>
      </c>
      <c r="U63" s="110">
        <f>IF(EW63="","",IF(ISNUMBER('Dvd Calendar'!$W$575)=FALSE,"",IF((('Dvd Calendar'!$W$577=TYPE1)*(TYPE1&lt;&gt;"")+('Dvd Calendar'!$W$577=TYPE2)*(TYPE2&lt;&gt;"")+('Dvd Calendar'!$W$577=TYPE3)*(TYPE3&lt;&gt;"")+('Dvd Calendar'!$W$577=TYPE4)*(TYPE4&lt;&gt;"")+('Dvd Calendar'!$W$577=SPECIAL_LBL)*(INC_SPECIALS="Y"))=0,"",'Dvd Calendar'!$W$575)))</f>
        <v/>
      </c>
      <c r="V63" s="110">
        <f>IF(EX63="","",IF(ISNUMBER('Dvd Calendar'!$X$575)=FALSE,"",IF((('Dvd Calendar'!$X$577=TYPE1)*(TYPE1&lt;&gt;"")+('Dvd Calendar'!$X$577=TYPE2)*(TYPE2&lt;&gt;"")+('Dvd Calendar'!$X$577=TYPE3)*(TYPE3&lt;&gt;"")+('Dvd Calendar'!$X$577=TYPE4)*(TYPE4&lt;&gt;"")+('Dvd Calendar'!$X$577=SPECIAL_LBL)*(INC_SPECIALS="Y"))=0,"",'Dvd Calendar'!$X$575)))</f>
        <v/>
      </c>
      <c r="W63" s="110">
        <f>IF(EY63="","",IF(ISNUMBER('Dvd Calendar'!$Y$575)=FALSE,"",IF((('Dvd Calendar'!$Y$577=TYPE1)*(TYPE1&lt;&gt;"")+('Dvd Calendar'!$Y$577=TYPE2)*(TYPE2&lt;&gt;"")+('Dvd Calendar'!$Y$577=TYPE3)*(TYPE3&lt;&gt;"")+('Dvd Calendar'!$Y$577=TYPE4)*(TYPE4&lt;&gt;"")+('Dvd Calendar'!$Y$577=SPECIAL_LBL)*(INC_SPECIALS="Y"))=0,"",'Dvd Calendar'!$Y$575)))</f>
        <v/>
      </c>
      <c r="X63" s="110">
        <f>IF(EZ63="","",IF(ISNUMBER('Dvd Calendar'!$Z$575)=FALSE,"",IF((('Dvd Calendar'!$Z$577=TYPE1)*(TYPE1&lt;&gt;"")+('Dvd Calendar'!$Z$577=TYPE2)*(TYPE2&lt;&gt;"")+('Dvd Calendar'!$Z$577=TYPE3)*(TYPE3&lt;&gt;"")+('Dvd Calendar'!$Z$577=TYPE4)*(TYPE4&lt;&gt;"")+('Dvd Calendar'!$Z$577=SPECIAL_LBL)*(INC_SPECIALS="Y"))=0,"",'Dvd Calendar'!$Z$575)))</f>
        <v/>
      </c>
      <c r="Y63" s="110">
        <f>IF(FA63="","",IF(ISNUMBER('Dvd Calendar'!$AA$575)=FALSE,"",IF((('Dvd Calendar'!$AA$577=TYPE1)*(TYPE1&lt;&gt;"")+('Dvd Calendar'!$AA$577=TYPE2)*(TYPE2&lt;&gt;"")+('Dvd Calendar'!$AA$577=TYPE3)*(TYPE3&lt;&gt;"")+('Dvd Calendar'!$AA$577=TYPE4)*(TYPE4&lt;&gt;"")+('Dvd Calendar'!$AA$577=SPECIAL_LBL)*(INC_SPECIALS="Y"))=0,"",'Dvd Calendar'!$AA$575)))</f>
        <v/>
      </c>
      <c r="Z63" s="110">
        <f>IF(FB63="","",IF(ISNUMBER('Dvd Calendar'!$AB$575)=FALSE,"",IF((('Dvd Calendar'!$AB$577=TYPE1)*(TYPE1&lt;&gt;"")+('Dvd Calendar'!$AB$577=TYPE2)*(TYPE2&lt;&gt;"")+('Dvd Calendar'!$AB$577=TYPE3)*(TYPE3&lt;&gt;"")+('Dvd Calendar'!$AB$577=TYPE4)*(TYPE4&lt;&gt;"")+('Dvd Calendar'!$AB$577=SPECIAL_LBL)*(INC_SPECIALS="Y"))=0,"",'Dvd Calendar'!$AB$575)))</f>
        <v/>
      </c>
      <c r="AA63" s="110">
        <f>IF(FC63="","",IF(ISNUMBER('Dvd Calendar'!$AC$575)=FALSE,"",IF((('Dvd Calendar'!$AC$577=TYPE1)*(TYPE1&lt;&gt;"")+('Dvd Calendar'!$AC$577=TYPE2)*(TYPE2&lt;&gt;"")+('Dvd Calendar'!$AC$577=TYPE3)*(TYPE3&lt;&gt;"")+('Dvd Calendar'!$AC$577=TYPE4)*(TYPE4&lt;&gt;"")+('Dvd Calendar'!$AC$577=SPECIAL_LBL)*(INC_SPECIALS="Y"))=0,"",'Dvd Calendar'!$AC$575)))</f>
        <v/>
      </c>
      <c r="AB63" s="110">
        <f>IF(FD63="","",IF(ISNUMBER('Dvd Calendar'!$AD$575)=FALSE,"",IF((('Dvd Calendar'!$AD$577=TYPE1)*(TYPE1&lt;&gt;"")+('Dvd Calendar'!$AD$577=TYPE2)*(TYPE2&lt;&gt;"")+('Dvd Calendar'!$AD$577=TYPE3)*(TYPE3&lt;&gt;"")+('Dvd Calendar'!$AD$577=TYPE4)*(TYPE4&lt;&gt;"")+('Dvd Calendar'!$AD$577=SPECIAL_LBL)*(INC_SPECIALS="Y"))=0,"",'Dvd Calendar'!$AD$575)))</f>
        <v/>
      </c>
      <c r="AC63" s="110">
        <f>IF(FE63="","",IF(ISNUMBER('Dvd Calendar'!$AE$575)=FALSE,"",IF((('Dvd Calendar'!$AE$577=TYPE1)*(TYPE1&lt;&gt;"")+('Dvd Calendar'!$AE$577=TYPE2)*(TYPE2&lt;&gt;"")+('Dvd Calendar'!$AE$577=TYPE3)*(TYPE3&lt;&gt;"")+('Dvd Calendar'!$AE$577=TYPE4)*(TYPE4&lt;&gt;"")+('Dvd Calendar'!$AE$577=SPECIAL_LBL)*(INC_SPECIALS="Y"))=0,"",'Dvd Calendar'!$AE$575)))</f>
        <v/>
      </c>
      <c r="AD63" s="110">
        <f>IF(FF63="","",IF(ISNUMBER('Dvd Calendar'!$AF$575)=FALSE,"",IF((('Dvd Calendar'!$AF$577=TYPE1)*(TYPE1&lt;&gt;"")+('Dvd Calendar'!$AF$577=TYPE2)*(TYPE2&lt;&gt;"")+('Dvd Calendar'!$AF$577=TYPE3)*(TYPE3&lt;&gt;"")+('Dvd Calendar'!$AF$577=TYPE4)*(TYPE4&lt;&gt;"")+('Dvd Calendar'!$AF$577=SPECIAL_LBL)*(INC_SPECIALS="Y"))=0,"",'Dvd Calendar'!$AF$575)))</f>
        <v/>
      </c>
      <c r="AE63" s="110">
        <f>IF(FG63="","",IF(ISNUMBER('Dvd Calendar'!$AG$575)=FALSE,"",IF((('Dvd Calendar'!$AG$577=TYPE1)*(TYPE1&lt;&gt;"")+('Dvd Calendar'!$AG$577=TYPE2)*(TYPE2&lt;&gt;"")+('Dvd Calendar'!$AG$577=TYPE3)*(TYPE3&lt;&gt;"")+('Dvd Calendar'!$AG$577=TYPE4)*(TYPE4&lt;&gt;"")+('Dvd Calendar'!$AG$577=SPECIAL_LBL)*(INC_SPECIALS="Y"))=0,"",'Dvd Calendar'!$AG$575)))</f>
        <v/>
      </c>
      <c r="AF63" s="110">
        <f>IF(FH63="","",IF(ISNUMBER('Dvd Calendar'!$AH$575)=FALSE,"",IF((('Dvd Calendar'!$AH$577=TYPE1)*(TYPE1&lt;&gt;"")+('Dvd Calendar'!$AH$577=TYPE2)*(TYPE2&lt;&gt;"")+('Dvd Calendar'!$AH$577=TYPE3)*(TYPE3&lt;&gt;"")+('Dvd Calendar'!$AH$577=TYPE4)*(TYPE4&lt;&gt;"")+('Dvd Calendar'!$AH$577=SPECIAL_LBL)*(INC_SPECIALS="Y"))=0,"",'Dvd Calendar'!$AH$575)))</f>
        <v/>
      </c>
      <c r="AG63" s="110">
        <f>IF(FI63="","",IF(ISNUMBER('Dvd Calendar'!$AI$575)=FALSE,"",IF((('Dvd Calendar'!$AI$577=TYPE1)*(TYPE1&lt;&gt;"")+('Dvd Calendar'!$AI$577=TYPE2)*(TYPE2&lt;&gt;"")+('Dvd Calendar'!$AI$577=TYPE3)*(TYPE3&lt;&gt;"")+('Dvd Calendar'!$AI$577=TYPE4)*(TYPE4&lt;&gt;"")+('Dvd Calendar'!$AI$577=SPECIAL_LBL)*(INC_SPECIALS="Y"))=0,"",'Dvd Calendar'!$AI$575)))</f>
        <v/>
      </c>
      <c r="AH63" s="110">
        <f>IF(FJ63="","",IF(ISNUMBER('Dvd Calendar'!$AJ$575)=FALSE,"",IF((('Dvd Calendar'!$AJ$577=TYPE1)*(TYPE1&lt;&gt;"")+('Dvd Calendar'!$AJ$577=TYPE2)*(TYPE2&lt;&gt;"")+('Dvd Calendar'!$AJ$577=TYPE3)*(TYPE3&lt;&gt;"")+('Dvd Calendar'!$AJ$577=TYPE4)*(TYPE4&lt;&gt;"")+('Dvd Calendar'!$AJ$577=SPECIAL_LBL)*(INC_SPECIALS="Y"))=0,"",'Dvd Calendar'!$AJ$575)))</f>
        <v/>
      </c>
      <c r="AI63" s="110">
        <f>IF(FK63="","",IF(ISNUMBER('Dvd Calendar'!$AK$575)=FALSE,"",IF((('Dvd Calendar'!$AK$577=TYPE1)*(TYPE1&lt;&gt;"")+('Dvd Calendar'!$AK$577=TYPE2)*(TYPE2&lt;&gt;"")+('Dvd Calendar'!$AK$577=TYPE3)*(TYPE3&lt;&gt;"")+('Dvd Calendar'!$AK$577=TYPE4)*(TYPE4&lt;&gt;"")+('Dvd Calendar'!$AK$577=SPECIAL_LBL)*(INC_SPECIALS="Y"))=0,"",'Dvd Calendar'!$AK$575)))</f>
        <v/>
      </c>
      <c r="AJ63" s="110">
        <f>IF(FL63="","",IF(ISNUMBER('Dvd Calendar'!$AL$575)=FALSE,"",IF((('Dvd Calendar'!$AL$577=TYPE1)*(TYPE1&lt;&gt;"")+('Dvd Calendar'!$AL$577=TYPE2)*(TYPE2&lt;&gt;"")+('Dvd Calendar'!$AL$577=TYPE3)*(TYPE3&lt;&gt;"")+('Dvd Calendar'!$AL$577=TYPE4)*(TYPE4&lt;&gt;"")+('Dvd Calendar'!$AL$577=SPECIAL_LBL)*(INC_SPECIALS="Y"))=0,"",'Dvd Calendar'!$AL$575)))</f>
        <v/>
      </c>
      <c r="AK63" s="110">
        <f>IF(FM63="","",IF(ISNUMBER('Dvd Calendar'!$AM$575)=FALSE,"",IF((('Dvd Calendar'!$AM$577=TYPE1)*(TYPE1&lt;&gt;"")+('Dvd Calendar'!$AM$577=TYPE2)*(TYPE2&lt;&gt;"")+('Dvd Calendar'!$AM$577=TYPE3)*(TYPE3&lt;&gt;"")+('Dvd Calendar'!$AM$577=TYPE4)*(TYPE4&lt;&gt;"")+('Dvd Calendar'!$AM$577=SPECIAL_LBL)*(INC_SPECIALS="Y"))=0,"",'Dvd Calendar'!$AM$575)))</f>
        <v/>
      </c>
      <c r="AL63" s="110">
        <f>IF(FN63="","",IF(ISNUMBER('Dvd Calendar'!$AN$575)=FALSE,"",IF((('Dvd Calendar'!$AN$577=TYPE1)*(TYPE1&lt;&gt;"")+('Dvd Calendar'!$AN$577=TYPE2)*(TYPE2&lt;&gt;"")+('Dvd Calendar'!$AN$577=TYPE3)*(TYPE3&lt;&gt;"")+('Dvd Calendar'!$AN$577=TYPE4)*(TYPE4&lt;&gt;"")+('Dvd Calendar'!$AN$577=SPECIAL_LBL)*(INC_SPECIALS="Y"))=0,"",'Dvd Calendar'!$AN$575)))</f>
        <v/>
      </c>
      <c r="AM63" s="110">
        <f>IF(FO63="","",IF(ISNUMBER('Dvd Calendar'!$AO$575)=FALSE,"",IF((('Dvd Calendar'!$AO$577=TYPE1)*(TYPE1&lt;&gt;"")+('Dvd Calendar'!$AO$577=TYPE2)*(TYPE2&lt;&gt;"")+('Dvd Calendar'!$AO$577=TYPE3)*(TYPE3&lt;&gt;"")+('Dvd Calendar'!$AO$577=TYPE4)*(TYPE4&lt;&gt;"")+('Dvd Calendar'!$AO$577=SPECIAL_LBL)*(INC_SPECIALS="Y"))=0,"",'Dvd Calendar'!$AO$575)))</f>
        <v/>
      </c>
      <c r="AN63" s="110">
        <f>IF(FP63="","",IF(ISNUMBER('Dvd Calendar'!$AP$575)=FALSE,"",IF((('Dvd Calendar'!$AP$577=TYPE1)*(TYPE1&lt;&gt;"")+('Dvd Calendar'!$AP$577=TYPE2)*(TYPE2&lt;&gt;"")+('Dvd Calendar'!$AP$577=TYPE3)*(TYPE3&lt;&gt;"")+('Dvd Calendar'!$AP$577=TYPE4)*(TYPE4&lt;&gt;"")+('Dvd Calendar'!$AP$577=SPECIAL_LBL)*(INC_SPECIALS="Y"))=0,"",'Dvd Calendar'!$AP$575)))</f>
        <v/>
      </c>
      <c r="AO63" s="110">
        <f>IF(FQ63="","",IF(ISNUMBER('Dvd Calendar'!$AQ$575)=FALSE,"",IF((('Dvd Calendar'!$AQ$577=TYPE1)*(TYPE1&lt;&gt;"")+('Dvd Calendar'!$AQ$577=TYPE2)*(TYPE2&lt;&gt;"")+('Dvd Calendar'!$AQ$577=TYPE3)*(TYPE3&lt;&gt;"")+('Dvd Calendar'!$AQ$577=TYPE4)*(TYPE4&lt;&gt;"")+('Dvd Calendar'!$AQ$577=SPECIAL_LBL)*(INC_SPECIALS="Y"))=0,"",'Dvd Calendar'!$AQ$575)))</f>
        <v/>
      </c>
      <c r="AP63" s="110">
        <f>IF(FR63="","",IF(ISNUMBER('Dvd Calendar'!$AR$575)=FALSE,"",IF((('Dvd Calendar'!$AR$577=TYPE1)*(TYPE1&lt;&gt;"")+('Dvd Calendar'!$AR$577=TYPE2)*(TYPE2&lt;&gt;"")+('Dvd Calendar'!$AR$577=TYPE3)*(TYPE3&lt;&gt;"")+('Dvd Calendar'!$AR$577=TYPE4)*(TYPE4&lt;&gt;"")+('Dvd Calendar'!$AR$577=SPECIAL_LBL)*(INC_SPECIALS="Y"))=0,"",'Dvd Calendar'!$AR$575)))</f>
        <v/>
      </c>
      <c r="AQ63" s="110">
        <f>IF(FS63="","",IF(ISNUMBER('Dvd Calendar'!$E$580)=FALSE,"",'Dvd Calendar'!$E$580))</f>
        <v/>
      </c>
      <c r="AR63" s="110">
        <f>IF(FT63="","",IF(ISNUMBER('Dvd Calendar'!$F$580)=FALSE,"",'Dvd Calendar'!$F$580))</f>
        <v/>
      </c>
      <c r="AS63" s="110">
        <f>IF(FU63="","",IF(ISNUMBER('Dvd Calendar'!$G$580)=FALSE,"",'Dvd Calendar'!$G$580))</f>
        <v/>
      </c>
      <c r="AT63" s="110">
        <f>IF(FV63="","",IF(ISNUMBER('Dvd Calendar'!$H$580)=FALSE,"",'Dvd Calendar'!$H$580))</f>
        <v/>
      </c>
      <c r="AU63" s="110">
        <f>IF(FW63="","",IF(ISNUMBER('Dvd Calendar'!$I$580)=FALSE,"",'Dvd Calendar'!$I$580))</f>
        <v/>
      </c>
      <c r="AV63" s="110">
        <f>IF(FX63="","",IF(ISNUMBER('Dvd Calendar'!$J$580)=FALSE,"",'Dvd Calendar'!$J$580))</f>
        <v/>
      </c>
      <c r="AW63" s="110">
        <f>IF(FY63="","",IF(ISNUMBER('Dvd Calendar'!$K$580)=FALSE,"",'Dvd Calendar'!$K$580))</f>
        <v/>
      </c>
      <c r="AX63" s="110">
        <f>IF(FZ63="","",IF(ISNUMBER('Dvd Calendar'!$L$580)=FALSE,"",'Dvd Calendar'!$L$580))</f>
        <v/>
      </c>
      <c r="AY63" s="110">
        <f>IF(GA63="","",IF(ISNUMBER('Dvd Calendar'!$M$580)=FALSE,"",'Dvd Calendar'!$M$580))</f>
        <v/>
      </c>
      <c r="AZ63" s="110">
        <f>IF(GB63="","",IF(ISNUMBER('Dvd Calendar'!$N$580)=FALSE,"",'Dvd Calendar'!$N$580))</f>
        <v/>
      </c>
      <c r="BA63" s="110">
        <f>IF(GC63="","",IF(ISNUMBER('Dvd Calendar'!$O$580)=FALSE,"",'Dvd Calendar'!$O$580))</f>
        <v/>
      </c>
      <c r="BB63" s="110">
        <f>IF(GD63="","",IF(ISNUMBER('Dvd Calendar'!$P$580)=FALSE,"",'Dvd Calendar'!$P$580))</f>
        <v/>
      </c>
      <c r="BC63" s="110">
        <f>IF(GE63="","",IF(ISNUMBER('Dvd Calendar'!$Q$580)=FALSE,"",'Dvd Calendar'!$Q$580))</f>
        <v/>
      </c>
      <c r="BD63" s="110">
        <f>IF(GF63="","",IF(ISNUMBER('Dvd Calendar'!$R$580)=FALSE,"",'Dvd Calendar'!$R$580))</f>
        <v/>
      </c>
      <c r="BE63" s="110">
        <f>IF(GG63="","",IF(ISNUMBER('Dvd Calendar'!$S$580)=FALSE,"",'Dvd Calendar'!$S$580))</f>
        <v/>
      </c>
      <c r="BF63" s="110">
        <f>IF(GH63="","",IF(ISNUMBER('Dvd Calendar'!$T$580)=FALSE,"",'Dvd Calendar'!$T$580))</f>
        <v/>
      </c>
      <c r="BG63" s="110">
        <f>IF(GI63="","",IF(ISNUMBER('Dvd Calendar'!$U$580)=FALSE,"",'Dvd Calendar'!$U$580))</f>
        <v/>
      </c>
      <c r="BH63" s="110">
        <f>IF(GJ63="","",IF(ISNUMBER('Dvd Calendar'!$V$580)=FALSE,"",'Dvd Calendar'!$V$580))</f>
        <v/>
      </c>
      <c r="BI63" s="110">
        <f>IF(GK63="","",IF(ISNUMBER('Dvd Calendar'!$W$580)=FALSE,"",'Dvd Calendar'!$W$580))</f>
        <v/>
      </c>
      <c r="BJ63" s="110">
        <f>IF(GL63="","",IF(ISNUMBER('Dvd Calendar'!$X$580)=FALSE,"",'Dvd Calendar'!$X$580))</f>
        <v/>
      </c>
      <c r="BK63" s="110">
        <f>IF(GM63="","",IF(ISNUMBER('Dvd Calendar'!$Y$580)=FALSE,"",'Dvd Calendar'!$Y$580))</f>
        <v/>
      </c>
      <c r="BL63" s="110">
        <f>IF(GN63="","",IF(ISNUMBER('Dvd Calendar'!$Z$580)=FALSE,"",'Dvd Calendar'!$Z$580))</f>
        <v/>
      </c>
      <c r="BM63" s="110">
        <f>IF(GO63="","",IF(ISNUMBER('Dvd Calendar'!$AA$580)=FALSE,"",'Dvd Calendar'!$AA$580))</f>
        <v/>
      </c>
      <c r="BN63" s="110">
        <f>IF(GP63="","",IF(ISNUMBER('Dvd Calendar'!$AB$580)=FALSE,"",'Dvd Calendar'!$AB$580))</f>
        <v/>
      </c>
      <c r="BO63" s="110">
        <f>IF(GQ63="","",IF(ISNUMBER('Dvd Calendar'!$AC$580)=FALSE,"",'Dvd Calendar'!$AC$580))</f>
        <v/>
      </c>
      <c r="BQ63" s="110">
        <f>IF(C63="","",IFERROR(C63*HSI!$B$58*HSI!$G$58/HSI!$B$3,""))</f>
        <v/>
      </c>
      <c r="BR63" s="110">
        <f>IF(D63="","",IFERROR(D63*HSI!$B$58*HSI!$G$58/HSI!$B$3,""))</f>
        <v/>
      </c>
      <c r="BS63" s="110">
        <f>IF(E63="","",IFERROR(E63*HSI!$B$58*HSI!$G$58/HSI!$B$3,""))</f>
        <v/>
      </c>
      <c r="BT63" s="110">
        <f>IF(F63="","",IFERROR(F63*HSI!$B$58*HSI!$G$58/HSI!$B$3,""))</f>
        <v/>
      </c>
      <c r="BU63" s="110">
        <f>IF(G63="","",IFERROR(G63*HSI!$B$58*HSI!$G$58/HSI!$B$3,""))</f>
        <v/>
      </c>
      <c r="BV63" s="110">
        <f>IF(H63="","",IFERROR(H63*HSI!$B$58*HSI!$G$58/HSI!$B$3,""))</f>
        <v/>
      </c>
      <c r="BW63" s="110">
        <f>IF(I63="","",IFERROR(I63*HSI!$B$58*HSI!$G$58/HSI!$B$3,""))</f>
        <v/>
      </c>
      <c r="BX63" s="110">
        <f>IF(J63="","",IFERROR(J63*HSI!$B$58*HSI!$G$58/HSI!$B$3,""))</f>
        <v/>
      </c>
      <c r="BY63" s="110">
        <f>IF(K63="","",IFERROR(K63*HSI!$B$58*HSI!$G$58/HSI!$B$3,""))</f>
        <v/>
      </c>
      <c r="BZ63" s="110">
        <f>IF(L63="","",IFERROR(L63*HSI!$B$58*HSI!$G$58/HSI!$B$3,""))</f>
        <v/>
      </c>
      <c r="CA63" s="110">
        <f>IF(M63="","",IFERROR(M63*HSI!$B$58*HSI!$G$58/HSI!$B$3,""))</f>
        <v/>
      </c>
      <c r="CB63" s="110">
        <f>IF(N63="","",IFERROR(N63*HSI!$B$58*HSI!$G$58/HSI!$B$3,""))</f>
        <v/>
      </c>
      <c r="CC63" s="110">
        <f>IF(O63="","",IFERROR(O63*HSI!$B$58*HSI!$G$58/HSI!$B$3,""))</f>
        <v/>
      </c>
      <c r="CD63" s="110">
        <f>IF(P63="","",IFERROR(P63*HSI!$B$58*HSI!$G$58/HSI!$B$3,""))</f>
        <v/>
      </c>
      <c r="CE63" s="110">
        <f>IF(Q63="","",IFERROR(Q63*HSI!$B$58*HSI!$G$58/HSI!$B$3,""))</f>
        <v/>
      </c>
      <c r="CF63" s="110">
        <f>IF(R63="","",IFERROR(R63*HSI!$B$58*HSI!$G$58/HSI!$B$3,""))</f>
        <v/>
      </c>
      <c r="CG63" s="110">
        <f>IF(S63="","",IFERROR(S63*HSI!$B$58*HSI!$G$58/HSI!$B$3,""))</f>
        <v/>
      </c>
      <c r="CH63" s="110">
        <f>IF(T63="","",IFERROR(T63*HSI!$B$58*HSI!$G$58/HSI!$B$3,""))</f>
        <v/>
      </c>
      <c r="CI63" s="110">
        <f>IF(U63="","",IFERROR(U63*HSI!$B$58*HSI!$G$58/HSI!$B$3,""))</f>
        <v/>
      </c>
      <c r="CJ63" s="110">
        <f>IF(V63="","",IFERROR(V63*HSI!$B$58*HSI!$G$58/HSI!$B$3,""))</f>
        <v/>
      </c>
      <c r="CK63" s="110">
        <f>IF(W63="","",IFERROR(W63*HSI!$B$58*HSI!$G$58/HSI!$B$3,""))</f>
        <v/>
      </c>
      <c r="CL63" s="110">
        <f>IF(X63="","",IFERROR(X63*HSI!$B$58*HSI!$G$58/HSI!$B$3,""))</f>
        <v/>
      </c>
      <c r="CM63" s="110">
        <f>IF(Y63="","",IFERROR(Y63*HSI!$B$58*HSI!$G$58/HSI!$B$3,""))</f>
        <v/>
      </c>
      <c r="CN63" s="110">
        <f>IF(Z63="","",IFERROR(Z63*HSI!$B$58*HSI!$G$58/HSI!$B$3,""))</f>
        <v/>
      </c>
      <c r="CO63" s="110">
        <f>IF(AA63="","",IFERROR(AA63*HSI!$B$58*HSI!$G$58/HSI!$B$3,""))</f>
        <v/>
      </c>
      <c r="CP63" s="110">
        <f>IF(AB63="","",IFERROR(AB63*HSI!$B$58*HSI!$G$58/HSI!$B$3,""))</f>
        <v/>
      </c>
      <c r="CQ63" s="110">
        <f>IF(AC63="","",IFERROR(AC63*HSI!$B$58*HSI!$G$58/HSI!$B$3,""))</f>
        <v/>
      </c>
      <c r="CR63" s="110">
        <f>IF(AD63="","",IFERROR(AD63*HSI!$B$58*HSI!$G$58/HSI!$B$3,""))</f>
        <v/>
      </c>
      <c r="CS63" s="110">
        <f>IF(AE63="","",IFERROR(AE63*HSI!$B$58*HSI!$G$58/HSI!$B$3,""))</f>
        <v/>
      </c>
      <c r="CT63" s="110">
        <f>IF(AF63="","",IFERROR(AF63*HSI!$B$58*HSI!$G$58/HSI!$B$3,""))</f>
        <v/>
      </c>
      <c r="CU63" s="110">
        <f>IF(AG63="","",IFERROR(AG63*HSI!$B$58*HSI!$G$58/HSI!$B$3,""))</f>
        <v/>
      </c>
      <c r="CV63" s="110">
        <f>IF(AH63="","",IFERROR(AH63*HSI!$B$58*HSI!$G$58/HSI!$B$3,""))</f>
        <v/>
      </c>
      <c r="CW63" s="110">
        <f>IF(AI63="","",IFERROR(AI63*HSI!$B$58*HSI!$G$58/HSI!$B$3,""))</f>
        <v/>
      </c>
      <c r="CX63" s="110">
        <f>IF(AJ63="","",IFERROR(AJ63*HSI!$B$58*HSI!$G$58/HSI!$B$3,""))</f>
        <v/>
      </c>
      <c r="CY63" s="110">
        <f>IF(AK63="","",IFERROR(AK63*HSI!$B$58*HSI!$G$58/HSI!$B$3,""))</f>
        <v/>
      </c>
      <c r="CZ63" s="110">
        <f>IF(AL63="","",IFERROR(AL63*HSI!$B$58*HSI!$G$58/HSI!$B$3,""))</f>
        <v/>
      </c>
      <c r="DA63" s="110">
        <f>IF(AM63="","",IFERROR(AM63*HSI!$B$58*HSI!$G$58/HSI!$B$3,""))</f>
        <v/>
      </c>
      <c r="DB63" s="110">
        <f>IF(AN63="","",IFERROR(AN63*HSI!$B$58*HSI!$G$58/HSI!$B$3,""))</f>
        <v/>
      </c>
      <c r="DC63" s="110">
        <f>IF(AO63="","",IFERROR(AO63*HSI!$B$58*HSI!$G$58/HSI!$B$3,""))</f>
        <v/>
      </c>
      <c r="DD63" s="110">
        <f>IF(AP63="","",IFERROR(AP63*HSI!$B$58*HSI!$G$58/HSI!$B$3,""))</f>
        <v/>
      </c>
      <c r="DE63" s="110">
        <f>IF(AQ63="","",IFERROR(AQ63*HSI!$B$58*HSI!$G$58/HSI!$B$3,""))</f>
        <v/>
      </c>
      <c r="DF63" s="110">
        <f>IF(AR63="","",IFERROR(AR63*HSI!$B$58*HSI!$G$58/HSI!$B$3,""))</f>
        <v/>
      </c>
      <c r="DG63" s="110">
        <f>IF(AS63="","",IFERROR(AS63*HSI!$B$58*HSI!$G$58/HSI!$B$3,""))</f>
        <v/>
      </c>
      <c r="DH63" s="110">
        <f>IF(AT63="","",IFERROR(AT63*HSI!$B$58*HSI!$G$58/HSI!$B$3,""))</f>
        <v/>
      </c>
      <c r="DI63" s="110">
        <f>IF(AU63="","",IFERROR(AU63*HSI!$B$58*HSI!$G$58/HSI!$B$3,""))</f>
        <v/>
      </c>
      <c r="DJ63" s="110">
        <f>IF(AV63="","",IFERROR(AV63*HSI!$B$58*HSI!$G$58/HSI!$B$3,""))</f>
        <v/>
      </c>
      <c r="DK63" s="110">
        <f>IF(AW63="","",IFERROR(AW63*HSI!$B$58*HSI!$G$58/HSI!$B$3,""))</f>
        <v/>
      </c>
      <c r="DL63" s="110">
        <f>IF(AX63="","",IFERROR(AX63*HSI!$B$58*HSI!$G$58/HSI!$B$3,""))</f>
        <v/>
      </c>
      <c r="DM63" s="110">
        <f>IF(AY63="","",IFERROR(AY63*HSI!$B$58*HSI!$G$58/HSI!$B$3,""))</f>
        <v/>
      </c>
      <c r="DN63" s="110">
        <f>IF(AZ63="","",IFERROR(AZ63*HSI!$B$58*HSI!$G$58/HSI!$B$3,""))</f>
        <v/>
      </c>
      <c r="DO63" s="110">
        <f>IF(BA63="","",IFERROR(BA63*HSI!$B$58*HSI!$G$58/HSI!$B$3,""))</f>
        <v/>
      </c>
      <c r="DP63" s="110">
        <f>IF(BB63="","",IFERROR(BB63*HSI!$B$58*HSI!$G$58/HSI!$B$3,""))</f>
        <v/>
      </c>
      <c r="DQ63" s="110">
        <f>IF(BC63="","",IFERROR(BC63*HSI!$B$58*HSI!$G$58/HSI!$B$3,""))</f>
        <v/>
      </c>
      <c r="DR63" s="110">
        <f>IF(BD63="","",IFERROR(BD63*HSI!$B$58*HSI!$G$58/HSI!$B$3,""))</f>
        <v/>
      </c>
      <c r="DS63" s="110">
        <f>IF(BE63="","",IFERROR(BE63*HSI!$B$58*HSI!$G$58/HSI!$B$3,""))</f>
        <v/>
      </c>
      <c r="DT63" s="110">
        <f>IF(BF63="","",IFERROR(BF63*HSI!$B$58*HSI!$G$58/HSI!$B$3,""))</f>
        <v/>
      </c>
      <c r="DU63" s="110">
        <f>IF(BG63="","",IFERROR(BG63*HSI!$B$58*HSI!$G$58/HSI!$B$3,""))</f>
        <v/>
      </c>
      <c r="DV63" s="110">
        <f>IF(BH63="","",IFERROR(BH63*HSI!$B$58*HSI!$G$58/HSI!$B$3,""))</f>
        <v/>
      </c>
      <c r="DW63" s="110">
        <f>IF(BI63="","",IFERROR(BI63*HSI!$B$58*HSI!$G$58/HSI!$B$3,""))</f>
        <v/>
      </c>
      <c r="DX63" s="110">
        <f>IF(BJ63="","",IFERROR(BJ63*HSI!$B$58*HSI!$G$58/HSI!$B$3,""))</f>
        <v/>
      </c>
      <c r="DY63" s="110">
        <f>IF(BK63="","",IFERROR(BK63*HSI!$B$58*HSI!$G$58/HSI!$B$3,""))</f>
        <v/>
      </c>
      <c r="DZ63" s="110">
        <f>IF(BL63="","",IFERROR(BL63*HSI!$B$58*HSI!$G$58/HSI!$B$3,""))</f>
        <v/>
      </c>
      <c r="EA63" s="110">
        <f>IF(BM63="","",IFERROR(BM63*HSI!$B$58*HSI!$G$58/HSI!$B$3,""))</f>
        <v/>
      </c>
      <c r="EB63" s="110">
        <f>IF(BN63="","",IFERROR(BN63*HSI!$B$58*HSI!$G$58/HSI!$B$3,""))</f>
        <v/>
      </c>
      <c r="EC63" s="110">
        <f>IF(BO63="","",IFERROR(BO63*HSI!$B$58*HSI!$G$58/HSI!$B$3,""))</f>
        <v/>
      </c>
      <c r="EE63" s="39">
        <f>IF(N('Dvd Calendar'!$E$572)=0,"",IF(('Dvd Calendar'!$E$572&gt;=GRID_FROM)*('Dvd Calendar'!$E$572&lt;=GRID_TO)*((('Dvd Calendar'!$E$572&lt;=VAL_DATE)+(COUNTIF('Dvd Calendar'!$E$579:$AR$579,'Dvd Calendar'!$E$572)=0))&gt;0)=0,"",'Dvd Calendar'!$E$572*1000000000+ISNUMBER('Dvd Calendar'!$E$575)*100000000+('Dvd Calendar'!$E$577=SPECIAL_LBL)*10000000+(N('Dvd Calendar'!$E$571)&gt;0)*(N('Dvd Calendar'!$E$571)&lt;=VAL_SERIAL)*1000000+52*1000+1))</f>
        <v/>
      </c>
      <c r="EF63" s="39">
        <f>IF(N('Dvd Calendar'!$F$572)=0,"",IF(('Dvd Calendar'!$F$572&gt;=GRID_FROM)*('Dvd Calendar'!$F$572&lt;=GRID_TO)*((('Dvd Calendar'!$F$572&lt;=VAL_DATE)+(COUNTIF('Dvd Calendar'!$E$579:$AR$579,'Dvd Calendar'!$F$572)=0))&gt;0)=0,"",'Dvd Calendar'!$F$572*1000000000+ISNUMBER('Dvd Calendar'!$F$575)*100000000+('Dvd Calendar'!$F$577=SPECIAL_LBL)*10000000+(N('Dvd Calendar'!$F$571)&gt;0)*(N('Dvd Calendar'!$F$571)&lt;=VAL_SERIAL)*1000000+52*1000+2))</f>
        <v/>
      </c>
      <c r="EG63" s="39">
        <f>IF(N('Dvd Calendar'!$G$572)=0,"",IF(('Dvd Calendar'!$G$572&gt;=GRID_FROM)*('Dvd Calendar'!$G$572&lt;=GRID_TO)*((('Dvd Calendar'!$G$572&lt;=VAL_DATE)+(COUNTIF('Dvd Calendar'!$E$579:$AR$579,'Dvd Calendar'!$G$572)=0))&gt;0)=0,"",'Dvd Calendar'!$G$572*1000000000+ISNUMBER('Dvd Calendar'!$G$575)*100000000+('Dvd Calendar'!$G$577=SPECIAL_LBL)*10000000+(N('Dvd Calendar'!$G$571)&gt;0)*(N('Dvd Calendar'!$G$571)&lt;=VAL_SERIAL)*1000000+52*1000+3))</f>
        <v/>
      </c>
      <c r="EH63" s="39">
        <f>IF(N('Dvd Calendar'!$H$572)=0,"",IF(('Dvd Calendar'!$H$572&gt;=GRID_FROM)*('Dvd Calendar'!$H$572&lt;=GRID_TO)*((('Dvd Calendar'!$H$572&lt;=VAL_DATE)+(COUNTIF('Dvd Calendar'!$E$579:$AR$579,'Dvd Calendar'!$H$572)=0))&gt;0)=0,"",'Dvd Calendar'!$H$572*1000000000+ISNUMBER('Dvd Calendar'!$H$575)*100000000+('Dvd Calendar'!$H$577=SPECIAL_LBL)*10000000+(N('Dvd Calendar'!$H$571)&gt;0)*(N('Dvd Calendar'!$H$571)&lt;=VAL_SERIAL)*1000000+52*1000+4))</f>
        <v/>
      </c>
      <c r="EI63" s="39">
        <f>IF(N('Dvd Calendar'!$I$572)=0,"",IF(('Dvd Calendar'!$I$572&gt;=GRID_FROM)*('Dvd Calendar'!$I$572&lt;=GRID_TO)*((('Dvd Calendar'!$I$572&lt;=VAL_DATE)+(COUNTIF('Dvd Calendar'!$E$579:$AR$579,'Dvd Calendar'!$I$572)=0))&gt;0)=0,"",'Dvd Calendar'!$I$572*1000000000+ISNUMBER('Dvd Calendar'!$I$575)*100000000+('Dvd Calendar'!$I$577=SPECIAL_LBL)*10000000+(N('Dvd Calendar'!$I$571)&gt;0)*(N('Dvd Calendar'!$I$571)&lt;=VAL_SERIAL)*1000000+52*1000+5))</f>
        <v/>
      </c>
      <c r="EJ63" s="39">
        <f>IF(N('Dvd Calendar'!$J$572)=0,"",IF(('Dvd Calendar'!$J$572&gt;=GRID_FROM)*('Dvd Calendar'!$J$572&lt;=GRID_TO)*((('Dvd Calendar'!$J$572&lt;=VAL_DATE)+(COUNTIF('Dvd Calendar'!$E$579:$AR$579,'Dvd Calendar'!$J$572)=0))&gt;0)=0,"",'Dvd Calendar'!$J$572*1000000000+ISNUMBER('Dvd Calendar'!$J$575)*100000000+('Dvd Calendar'!$J$577=SPECIAL_LBL)*10000000+(N('Dvd Calendar'!$J$571)&gt;0)*(N('Dvd Calendar'!$J$571)&lt;=VAL_SERIAL)*1000000+52*1000+6))</f>
        <v/>
      </c>
      <c r="EK63" s="39">
        <f>IF(N('Dvd Calendar'!$K$572)=0,"",IF(('Dvd Calendar'!$K$572&gt;=GRID_FROM)*('Dvd Calendar'!$K$572&lt;=GRID_TO)*((('Dvd Calendar'!$K$572&lt;=VAL_DATE)+(COUNTIF('Dvd Calendar'!$E$579:$AR$579,'Dvd Calendar'!$K$572)=0))&gt;0)=0,"",'Dvd Calendar'!$K$572*1000000000+ISNUMBER('Dvd Calendar'!$K$575)*100000000+('Dvd Calendar'!$K$577=SPECIAL_LBL)*10000000+(N('Dvd Calendar'!$K$571)&gt;0)*(N('Dvd Calendar'!$K$571)&lt;=VAL_SERIAL)*1000000+52*1000+7))</f>
        <v/>
      </c>
      <c r="EL63" s="39">
        <f>IF(N('Dvd Calendar'!$L$572)=0,"",IF(('Dvd Calendar'!$L$572&gt;=GRID_FROM)*('Dvd Calendar'!$L$572&lt;=GRID_TO)*((('Dvd Calendar'!$L$572&lt;=VAL_DATE)+(COUNTIF('Dvd Calendar'!$E$579:$AR$579,'Dvd Calendar'!$L$572)=0))&gt;0)=0,"",'Dvd Calendar'!$L$572*1000000000+ISNUMBER('Dvd Calendar'!$L$575)*100000000+('Dvd Calendar'!$L$577=SPECIAL_LBL)*10000000+(N('Dvd Calendar'!$L$571)&gt;0)*(N('Dvd Calendar'!$L$571)&lt;=VAL_SERIAL)*1000000+52*1000+8))</f>
        <v/>
      </c>
      <c r="EM63" s="39">
        <f>IF(N('Dvd Calendar'!$M$572)=0,"",IF(('Dvd Calendar'!$M$572&gt;=GRID_FROM)*('Dvd Calendar'!$M$572&lt;=GRID_TO)*((('Dvd Calendar'!$M$572&lt;=VAL_DATE)+(COUNTIF('Dvd Calendar'!$E$579:$AR$579,'Dvd Calendar'!$M$572)=0))&gt;0)=0,"",'Dvd Calendar'!$M$572*1000000000+ISNUMBER('Dvd Calendar'!$M$575)*100000000+('Dvd Calendar'!$M$577=SPECIAL_LBL)*10000000+(N('Dvd Calendar'!$M$571)&gt;0)*(N('Dvd Calendar'!$M$571)&lt;=VAL_SERIAL)*1000000+52*1000+9))</f>
        <v/>
      </c>
      <c r="EN63" s="39">
        <f>IF(N('Dvd Calendar'!$N$572)=0,"",IF(('Dvd Calendar'!$N$572&gt;=GRID_FROM)*('Dvd Calendar'!$N$572&lt;=GRID_TO)*((('Dvd Calendar'!$N$572&lt;=VAL_DATE)+(COUNTIF('Dvd Calendar'!$E$579:$AR$579,'Dvd Calendar'!$N$572)=0))&gt;0)=0,"",'Dvd Calendar'!$N$572*1000000000+ISNUMBER('Dvd Calendar'!$N$575)*100000000+('Dvd Calendar'!$N$577=SPECIAL_LBL)*10000000+(N('Dvd Calendar'!$N$571)&gt;0)*(N('Dvd Calendar'!$N$571)&lt;=VAL_SERIAL)*1000000+52*1000+10))</f>
        <v/>
      </c>
      <c r="EO63" s="39">
        <f>IF(N('Dvd Calendar'!$O$572)=0,"",IF(('Dvd Calendar'!$O$572&gt;=GRID_FROM)*('Dvd Calendar'!$O$572&lt;=GRID_TO)*((('Dvd Calendar'!$O$572&lt;=VAL_DATE)+(COUNTIF('Dvd Calendar'!$E$579:$AR$579,'Dvd Calendar'!$O$572)=0))&gt;0)=0,"",'Dvd Calendar'!$O$572*1000000000+ISNUMBER('Dvd Calendar'!$O$575)*100000000+('Dvd Calendar'!$O$577=SPECIAL_LBL)*10000000+(N('Dvd Calendar'!$O$571)&gt;0)*(N('Dvd Calendar'!$O$571)&lt;=VAL_SERIAL)*1000000+52*1000+11))</f>
        <v/>
      </c>
      <c r="EP63" s="39">
        <f>IF(N('Dvd Calendar'!$P$572)=0,"",IF(('Dvd Calendar'!$P$572&gt;=GRID_FROM)*('Dvd Calendar'!$P$572&lt;=GRID_TO)*((('Dvd Calendar'!$P$572&lt;=VAL_DATE)+(COUNTIF('Dvd Calendar'!$E$579:$AR$579,'Dvd Calendar'!$P$572)=0))&gt;0)=0,"",'Dvd Calendar'!$P$572*1000000000+ISNUMBER('Dvd Calendar'!$P$575)*100000000+('Dvd Calendar'!$P$577=SPECIAL_LBL)*10000000+(N('Dvd Calendar'!$P$571)&gt;0)*(N('Dvd Calendar'!$P$571)&lt;=VAL_SERIAL)*1000000+52*1000+12))</f>
        <v/>
      </c>
      <c r="EQ63" s="39">
        <f>IF(N('Dvd Calendar'!$Q$572)=0,"",IF(('Dvd Calendar'!$Q$572&gt;=GRID_FROM)*('Dvd Calendar'!$Q$572&lt;=GRID_TO)*((('Dvd Calendar'!$Q$572&lt;=VAL_DATE)+(COUNTIF('Dvd Calendar'!$E$579:$AR$579,'Dvd Calendar'!$Q$572)=0))&gt;0)=0,"",'Dvd Calendar'!$Q$572*1000000000+ISNUMBER('Dvd Calendar'!$Q$575)*100000000+('Dvd Calendar'!$Q$577=SPECIAL_LBL)*10000000+(N('Dvd Calendar'!$Q$571)&gt;0)*(N('Dvd Calendar'!$Q$571)&lt;=VAL_SERIAL)*1000000+52*1000+13))</f>
        <v/>
      </c>
      <c r="ER63" s="39">
        <f>IF(N('Dvd Calendar'!$R$572)=0,"",IF(('Dvd Calendar'!$R$572&gt;=GRID_FROM)*('Dvd Calendar'!$R$572&lt;=GRID_TO)*((('Dvd Calendar'!$R$572&lt;=VAL_DATE)+(COUNTIF('Dvd Calendar'!$E$579:$AR$579,'Dvd Calendar'!$R$572)=0))&gt;0)=0,"",'Dvd Calendar'!$R$572*1000000000+ISNUMBER('Dvd Calendar'!$R$575)*100000000+('Dvd Calendar'!$R$577=SPECIAL_LBL)*10000000+(N('Dvd Calendar'!$R$571)&gt;0)*(N('Dvd Calendar'!$R$571)&lt;=VAL_SERIAL)*1000000+52*1000+14))</f>
        <v/>
      </c>
      <c r="ES63" s="39">
        <f>IF(N('Dvd Calendar'!$S$572)=0,"",IF(('Dvd Calendar'!$S$572&gt;=GRID_FROM)*('Dvd Calendar'!$S$572&lt;=GRID_TO)*((('Dvd Calendar'!$S$572&lt;=VAL_DATE)+(COUNTIF('Dvd Calendar'!$E$579:$AR$579,'Dvd Calendar'!$S$572)=0))&gt;0)=0,"",'Dvd Calendar'!$S$572*1000000000+ISNUMBER('Dvd Calendar'!$S$575)*100000000+('Dvd Calendar'!$S$577=SPECIAL_LBL)*10000000+(N('Dvd Calendar'!$S$571)&gt;0)*(N('Dvd Calendar'!$S$571)&lt;=VAL_SERIAL)*1000000+52*1000+15))</f>
        <v/>
      </c>
      <c r="ET63" s="39">
        <f>IF(N('Dvd Calendar'!$T$572)=0,"",IF(('Dvd Calendar'!$T$572&gt;=GRID_FROM)*('Dvd Calendar'!$T$572&lt;=GRID_TO)*((('Dvd Calendar'!$T$572&lt;=VAL_DATE)+(COUNTIF('Dvd Calendar'!$E$579:$AR$579,'Dvd Calendar'!$T$572)=0))&gt;0)=0,"",'Dvd Calendar'!$T$572*1000000000+ISNUMBER('Dvd Calendar'!$T$575)*100000000+('Dvd Calendar'!$T$577=SPECIAL_LBL)*10000000+(N('Dvd Calendar'!$T$571)&gt;0)*(N('Dvd Calendar'!$T$571)&lt;=VAL_SERIAL)*1000000+52*1000+16))</f>
        <v/>
      </c>
      <c r="EU63" s="39">
        <f>IF(N('Dvd Calendar'!$U$572)=0,"",IF(('Dvd Calendar'!$U$572&gt;=GRID_FROM)*('Dvd Calendar'!$U$572&lt;=GRID_TO)*((('Dvd Calendar'!$U$572&lt;=VAL_DATE)+(COUNTIF('Dvd Calendar'!$E$579:$AR$579,'Dvd Calendar'!$U$572)=0))&gt;0)=0,"",'Dvd Calendar'!$U$572*1000000000+ISNUMBER('Dvd Calendar'!$U$575)*100000000+('Dvd Calendar'!$U$577=SPECIAL_LBL)*10000000+(N('Dvd Calendar'!$U$571)&gt;0)*(N('Dvd Calendar'!$U$571)&lt;=VAL_SERIAL)*1000000+52*1000+17))</f>
        <v/>
      </c>
      <c r="EV63" s="39">
        <f>IF(N('Dvd Calendar'!$V$572)=0,"",IF(('Dvd Calendar'!$V$572&gt;=GRID_FROM)*('Dvd Calendar'!$V$572&lt;=GRID_TO)*((('Dvd Calendar'!$V$572&lt;=VAL_DATE)+(COUNTIF('Dvd Calendar'!$E$579:$AR$579,'Dvd Calendar'!$V$572)=0))&gt;0)=0,"",'Dvd Calendar'!$V$572*1000000000+ISNUMBER('Dvd Calendar'!$V$575)*100000000+('Dvd Calendar'!$V$577=SPECIAL_LBL)*10000000+(N('Dvd Calendar'!$V$571)&gt;0)*(N('Dvd Calendar'!$V$571)&lt;=VAL_SERIAL)*1000000+52*1000+18))</f>
        <v/>
      </c>
      <c r="EW63" s="39">
        <f>IF(N('Dvd Calendar'!$W$572)=0,"",IF(('Dvd Calendar'!$W$572&gt;=GRID_FROM)*('Dvd Calendar'!$W$572&lt;=GRID_TO)*((('Dvd Calendar'!$W$572&lt;=VAL_DATE)+(COUNTIF('Dvd Calendar'!$E$579:$AR$579,'Dvd Calendar'!$W$572)=0))&gt;0)=0,"",'Dvd Calendar'!$W$572*1000000000+ISNUMBER('Dvd Calendar'!$W$575)*100000000+('Dvd Calendar'!$W$577=SPECIAL_LBL)*10000000+(N('Dvd Calendar'!$W$571)&gt;0)*(N('Dvd Calendar'!$W$571)&lt;=VAL_SERIAL)*1000000+52*1000+19))</f>
        <v/>
      </c>
      <c r="EX63" s="39">
        <f>IF(N('Dvd Calendar'!$X$572)=0,"",IF(('Dvd Calendar'!$X$572&gt;=GRID_FROM)*('Dvd Calendar'!$X$572&lt;=GRID_TO)*((('Dvd Calendar'!$X$572&lt;=VAL_DATE)+(COUNTIF('Dvd Calendar'!$E$579:$AR$579,'Dvd Calendar'!$X$572)=0))&gt;0)=0,"",'Dvd Calendar'!$X$572*1000000000+ISNUMBER('Dvd Calendar'!$X$575)*100000000+('Dvd Calendar'!$X$577=SPECIAL_LBL)*10000000+(N('Dvd Calendar'!$X$571)&gt;0)*(N('Dvd Calendar'!$X$571)&lt;=VAL_SERIAL)*1000000+52*1000+20))</f>
        <v/>
      </c>
      <c r="EY63" s="39">
        <f>IF(N('Dvd Calendar'!$Y$572)=0,"",IF(('Dvd Calendar'!$Y$572&gt;=GRID_FROM)*('Dvd Calendar'!$Y$572&lt;=GRID_TO)*((('Dvd Calendar'!$Y$572&lt;=VAL_DATE)+(COUNTIF('Dvd Calendar'!$E$579:$AR$579,'Dvd Calendar'!$Y$572)=0))&gt;0)=0,"",'Dvd Calendar'!$Y$572*1000000000+ISNUMBER('Dvd Calendar'!$Y$575)*100000000+('Dvd Calendar'!$Y$577=SPECIAL_LBL)*10000000+(N('Dvd Calendar'!$Y$571)&gt;0)*(N('Dvd Calendar'!$Y$571)&lt;=VAL_SERIAL)*1000000+52*1000+21))</f>
        <v/>
      </c>
      <c r="EZ63" s="39">
        <f>IF(N('Dvd Calendar'!$Z$572)=0,"",IF(('Dvd Calendar'!$Z$572&gt;=GRID_FROM)*('Dvd Calendar'!$Z$572&lt;=GRID_TO)*((('Dvd Calendar'!$Z$572&lt;=VAL_DATE)+(COUNTIF('Dvd Calendar'!$E$579:$AR$579,'Dvd Calendar'!$Z$572)=0))&gt;0)=0,"",'Dvd Calendar'!$Z$572*1000000000+ISNUMBER('Dvd Calendar'!$Z$575)*100000000+('Dvd Calendar'!$Z$577=SPECIAL_LBL)*10000000+(N('Dvd Calendar'!$Z$571)&gt;0)*(N('Dvd Calendar'!$Z$571)&lt;=VAL_SERIAL)*1000000+52*1000+22))</f>
        <v/>
      </c>
      <c r="FA63" s="39">
        <f>IF(N('Dvd Calendar'!$AA$572)=0,"",IF(('Dvd Calendar'!$AA$572&gt;=GRID_FROM)*('Dvd Calendar'!$AA$572&lt;=GRID_TO)*((('Dvd Calendar'!$AA$572&lt;=VAL_DATE)+(COUNTIF('Dvd Calendar'!$E$579:$AR$579,'Dvd Calendar'!$AA$572)=0))&gt;0)=0,"",'Dvd Calendar'!$AA$572*1000000000+ISNUMBER('Dvd Calendar'!$AA$575)*100000000+('Dvd Calendar'!$AA$577=SPECIAL_LBL)*10000000+(N('Dvd Calendar'!$AA$571)&gt;0)*(N('Dvd Calendar'!$AA$571)&lt;=VAL_SERIAL)*1000000+52*1000+23))</f>
        <v/>
      </c>
      <c r="FB63" s="39">
        <f>IF(N('Dvd Calendar'!$AB$572)=0,"",IF(('Dvd Calendar'!$AB$572&gt;=GRID_FROM)*('Dvd Calendar'!$AB$572&lt;=GRID_TO)*((('Dvd Calendar'!$AB$572&lt;=VAL_DATE)+(COUNTIF('Dvd Calendar'!$E$579:$AR$579,'Dvd Calendar'!$AB$572)=0))&gt;0)=0,"",'Dvd Calendar'!$AB$572*1000000000+ISNUMBER('Dvd Calendar'!$AB$575)*100000000+('Dvd Calendar'!$AB$577=SPECIAL_LBL)*10000000+(N('Dvd Calendar'!$AB$571)&gt;0)*(N('Dvd Calendar'!$AB$571)&lt;=VAL_SERIAL)*1000000+52*1000+24))</f>
        <v/>
      </c>
      <c r="FC63" s="39">
        <f>IF(N('Dvd Calendar'!$AC$572)=0,"",IF(('Dvd Calendar'!$AC$572&gt;=GRID_FROM)*('Dvd Calendar'!$AC$572&lt;=GRID_TO)*((('Dvd Calendar'!$AC$572&lt;=VAL_DATE)+(COUNTIF('Dvd Calendar'!$E$579:$AR$579,'Dvd Calendar'!$AC$572)=0))&gt;0)=0,"",'Dvd Calendar'!$AC$572*1000000000+ISNUMBER('Dvd Calendar'!$AC$575)*100000000+('Dvd Calendar'!$AC$577=SPECIAL_LBL)*10000000+(N('Dvd Calendar'!$AC$571)&gt;0)*(N('Dvd Calendar'!$AC$571)&lt;=VAL_SERIAL)*1000000+52*1000+25))</f>
        <v/>
      </c>
      <c r="FD63" s="39">
        <f>IF(N('Dvd Calendar'!$AD$572)=0,"",IF(('Dvd Calendar'!$AD$572&gt;=GRID_FROM)*('Dvd Calendar'!$AD$572&lt;=GRID_TO)*((('Dvd Calendar'!$AD$572&lt;=VAL_DATE)+(COUNTIF('Dvd Calendar'!$E$579:$AR$579,'Dvd Calendar'!$AD$572)=0))&gt;0)=0,"",'Dvd Calendar'!$AD$572*1000000000+ISNUMBER('Dvd Calendar'!$AD$575)*100000000+('Dvd Calendar'!$AD$577=SPECIAL_LBL)*10000000+(N('Dvd Calendar'!$AD$571)&gt;0)*(N('Dvd Calendar'!$AD$571)&lt;=VAL_SERIAL)*1000000+52*1000+26))</f>
        <v/>
      </c>
      <c r="FE63" s="39">
        <f>IF(N('Dvd Calendar'!$AE$572)=0,"",IF(('Dvd Calendar'!$AE$572&gt;=GRID_FROM)*('Dvd Calendar'!$AE$572&lt;=GRID_TO)*((('Dvd Calendar'!$AE$572&lt;=VAL_DATE)+(COUNTIF('Dvd Calendar'!$E$579:$AR$579,'Dvd Calendar'!$AE$572)=0))&gt;0)=0,"",'Dvd Calendar'!$AE$572*1000000000+ISNUMBER('Dvd Calendar'!$AE$575)*100000000+('Dvd Calendar'!$AE$577=SPECIAL_LBL)*10000000+(N('Dvd Calendar'!$AE$571)&gt;0)*(N('Dvd Calendar'!$AE$571)&lt;=VAL_SERIAL)*1000000+52*1000+27))</f>
        <v/>
      </c>
      <c r="FF63" s="39">
        <f>IF(N('Dvd Calendar'!$AF$572)=0,"",IF(('Dvd Calendar'!$AF$572&gt;=GRID_FROM)*('Dvd Calendar'!$AF$572&lt;=GRID_TO)*((('Dvd Calendar'!$AF$572&lt;=VAL_DATE)+(COUNTIF('Dvd Calendar'!$E$579:$AR$579,'Dvd Calendar'!$AF$572)=0))&gt;0)=0,"",'Dvd Calendar'!$AF$572*1000000000+ISNUMBER('Dvd Calendar'!$AF$575)*100000000+('Dvd Calendar'!$AF$577=SPECIAL_LBL)*10000000+(N('Dvd Calendar'!$AF$571)&gt;0)*(N('Dvd Calendar'!$AF$571)&lt;=VAL_SERIAL)*1000000+52*1000+28))</f>
        <v/>
      </c>
      <c r="FG63" s="39">
        <f>IF(N('Dvd Calendar'!$AG$572)=0,"",IF(('Dvd Calendar'!$AG$572&gt;=GRID_FROM)*('Dvd Calendar'!$AG$572&lt;=GRID_TO)*((('Dvd Calendar'!$AG$572&lt;=VAL_DATE)+(COUNTIF('Dvd Calendar'!$E$579:$AR$579,'Dvd Calendar'!$AG$572)=0))&gt;0)=0,"",'Dvd Calendar'!$AG$572*1000000000+ISNUMBER('Dvd Calendar'!$AG$575)*100000000+('Dvd Calendar'!$AG$577=SPECIAL_LBL)*10000000+(N('Dvd Calendar'!$AG$571)&gt;0)*(N('Dvd Calendar'!$AG$571)&lt;=VAL_SERIAL)*1000000+52*1000+29))</f>
        <v/>
      </c>
      <c r="FH63" s="39">
        <f>IF(N('Dvd Calendar'!$AH$572)=0,"",IF(('Dvd Calendar'!$AH$572&gt;=GRID_FROM)*('Dvd Calendar'!$AH$572&lt;=GRID_TO)*((('Dvd Calendar'!$AH$572&lt;=VAL_DATE)+(COUNTIF('Dvd Calendar'!$E$579:$AR$579,'Dvd Calendar'!$AH$572)=0))&gt;0)=0,"",'Dvd Calendar'!$AH$572*1000000000+ISNUMBER('Dvd Calendar'!$AH$575)*100000000+('Dvd Calendar'!$AH$577=SPECIAL_LBL)*10000000+(N('Dvd Calendar'!$AH$571)&gt;0)*(N('Dvd Calendar'!$AH$571)&lt;=VAL_SERIAL)*1000000+52*1000+30))</f>
        <v/>
      </c>
      <c r="FI63" s="39">
        <f>IF(N('Dvd Calendar'!$AI$572)=0,"",IF(('Dvd Calendar'!$AI$572&gt;=GRID_FROM)*('Dvd Calendar'!$AI$572&lt;=GRID_TO)*((('Dvd Calendar'!$AI$572&lt;=VAL_DATE)+(COUNTIF('Dvd Calendar'!$E$579:$AR$579,'Dvd Calendar'!$AI$572)=0))&gt;0)=0,"",'Dvd Calendar'!$AI$572*1000000000+ISNUMBER('Dvd Calendar'!$AI$575)*100000000+('Dvd Calendar'!$AI$577=SPECIAL_LBL)*10000000+(N('Dvd Calendar'!$AI$571)&gt;0)*(N('Dvd Calendar'!$AI$571)&lt;=VAL_SERIAL)*1000000+52*1000+31))</f>
        <v/>
      </c>
      <c r="FJ63" s="39">
        <f>IF(N('Dvd Calendar'!$AJ$572)=0,"",IF(('Dvd Calendar'!$AJ$572&gt;=GRID_FROM)*('Dvd Calendar'!$AJ$572&lt;=GRID_TO)*((('Dvd Calendar'!$AJ$572&lt;=VAL_DATE)+(COUNTIF('Dvd Calendar'!$E$579:$AR$579,'Dvd Calendar'!$AJ$572)=0))&gt;0)=0,"",'Dvd Calendar'!$AJ$572*1000000000+ISNUMBER('Dvd Calendar'!$AJ$575)*100000000+('Dvd Calendar'!$AJ$577=SPECIAL_LBL)*10000000+(N('Dvd Calendar'!$AJ$571)&gt;0)*(N('Dvd Calendar'!$AJ$571)&lt;=VAL_SERIAL)*1000000+52*1000+32))</f>
        <v/>
      </c>
      <c r="FK63" s="39">
        <f>IF(N('Dvd Calendar'!$AK$572)=0,"",IF(('Dvd Calendar'!$AK$572&gt;=GRID_FROM)*('Dvd Calendar'!$AK$572&lt;=GRID_TO)*((('Dvd Calendar'!$AK$572&lt;=VAL_DATE)+(COUNTIF('Dvd Calendar'!$E$579:$AR$579,'Dvd Calendar'!$AK$572)=0))&gt;0)=0,"",'Dvd Calendar'!$AK$572*1000000000+ISNUMBER('Dvd Calendar'!$AK$575)*100000000+('Dvd Calendar'!$AK$577=SPECIAL_LBL)*10000000+(N('Dvd Calendar'!$AK$571)&gt;0)*(N('Dvd Calendar'!$AK$571)&lt;=VAL_SERIAL)*1000000+52*1000+33))</f>
        <v/>
      </c>
      <c r="FL63" s="39">
        <f>IF(N('Dvd Calendar'!$AL$572)=0,"",IF(('Dvd Calendar'!$AL$572&gt;=GRID_FROM)*('Dvd Calendar'!$AL$572&lt;=GRID_TO)*((('Dvd Calendar'!$AL$572&lt;=VAL_DATE)+(COUNTIF('Dvd Calendar'!$E$579:$AR$579,'Dvd Calendar'!$AL$572)=0))&gt;0)=0,"",'Dvd Calendar'!$AL$572*1000000000+ISNUMBER('Dvd Calendar'!$AL$575)*100000000+('Dvd Calendar'!$AL$577=SPECIAL_LBL)*10000000+(N('Dvd Calendar'!$AL$571)&gt;0)*(N('Dvd Calendar'!$AL$571)&lt;=VAL_SERIAL)*1000000+52*1000+34))</f>
        <v/>
      </c>
      <c r="FM63" s="39">
        <f>IF(N('Dvd Calendar'!$AM$572)=0,"",IF(('Dvd Calendar'!$AM$572&gt;=GRID_FROM)*('Dvd Calendar'!$AM$572&lt;=GRID_TO)*((('Dvd Calendar'!$AM$572&lt;=VAL_DATE)+(COUNTIF('Dvd Calendar'!$E$579:$AR$579,'Dvd Calendar'!$AM$572)=0))&gt;0)=0,"",'Dvd Calendar'!$AM$572*1000000000+ISNUMBER('Dvd Calendar'!$AM$575)*100000000+('Dvd Calendar'!$AM$577=SPECIAL_LBL)*10000000+(N('Dvd Calendar'!$AM$571)&gt;0)*(N('Dvd Calendar'!$AM$571)&lt;=VAL_SERIAL)*1000000+52*1000+35))</f>
        <v/>
      </c>
      <c r="FN63" s="39">
        <f>IF(N('Dvd Calendar'!$AN$572)=0,"",IF(('Dvd Calendar'!$AN$572&gt;=GRID_FROM)*('Dvd Calendar'!$AN$572&lt;=GRID_TO)*((('Dvd Calendar'!$AN$572&lt;=VAL_DATE)+(COUNTIF('Dvd Calendar'!$E$579:$AR$579,'Dvd Calendar'!$AN$572)=0))&gt;0)=0,"",'Dvd Calendar'!$AN$572*1000000000+ISNUMBER('Dvd Calendar'!$AN$575)*100000000+('Dvd Calendar'!$AN$577=SPECIAL_LBL)*10000000+(N('Dvd Calendar'!$AN$571)&gt;0)*(N('Dvd Calendar'!$AN$571)&lt;=VAL_SERIAL)*1000000+52*1000+36))</f>
        <v/>
      </c>
      <c r="FO63" s="39">
        <f>IF(N('Dvd Calendar'!$AO$572)=0,"",IF(('Dvd Calendar'!$AO$572&gt;=GRID_FROM)*('Dvd Calendar'!$AO$572&lt;=GRID_TO)*((('Dvd Calendar'!$AO$572&lt;=VAL_DATE)+(COUNTIF('Dvd Calendar'!$E$579:$AR$579,'Dvd Calendar'!$AO$572)=0))&gt;0)=0,"",'Dvd Calendar'!$AO$572*1000000000+ISNUMBER('Dvd Calendar'!$AO$575)*100000000+('Dvd Calendar'!$AO$577=SPECIAL_LBL)*10000000+(N('Dvd Calendar'!$AO$571)&gt;0)*(N('Dvd Calendar'!$AO$571)&lt;=VAL_SERIAL)*1000000+52*1000+37))</f>
        <v/>
      </c>
      <c r="FP63" s="39">
        <f>IF(N('Dvd Calendar'!$AP$572)=0,"",IF(('Dvd Calendar'!$AP$572&gt;=GRID_FROM)*('Dvd Calendar'!$AP$572&lt;=GRID_TO)*((('Dvd Calendar'!$AP$572&lt;=VAL_DATE)+(COUNTIF('Dvd Calendar'!$E$579:$AR$579,'Dvd Calendar'!$AP$572)=0))&gt;0)=0,"",'Dvd Calendar'!$AP$572*1000000000+ISNUMBER('Dvd Calendar'!$AP$575)*100000000+('Dvd Calendar'!$AP$577=SPECIAL_LBL)*10000000+(N('Dvd Calendar'!$AP$571)&gt;0)*(N('Dvd Calendar'!$AP$571)&lt;=VAL_SERIAL)*1000000+52*1000+38))</f>
        <v/>
      </c>
      <c r="FQ63" s="39">
        <f>IF(N('Dvd Calendar'!$AQ$572)=0,"",IF(('Dvd Calendar'!$AQ$572&gt;=GRID_FROM)*('Dvd Calendar'!$AQ$572&lt;=GRID_TO)*((('Dvd Calendar'!$AQ$572&lt;=VAL_DATE)+(COUNTIF('Dvd Calendar'!$E$579:$AR$579,'Dvd Calendar'!$AQ$572)=0))&gt;0)=0,"",'Dvd Calendar'!$AQ$572*1000000000+ISNUMBER('Dvd Calendar'!$AQ$575)*100000000+('Dvd Calendar'!$AQ$577=SPECIAL_LBL)*10000000+(N('Dvd Calendar'!$AQ$571)&gt;0)*(N('Dvd Calendar'!$AQ$571)&lt;=VAL_SERIAL)*1000000+52*1000+39))</f>
        <v/>
      </c>
      <c r="FR63" s="39">
        <f>IF(N('Dvd Calendar'!$AR$572)=0,"",IF(('Dvd Calendar'!$AR$572&gt;=GRID_FROM)*('Dvd Calendar'!$AR$572&lt;=GRID_TO)*((('Dvd Calendar'!$AR$572&lt;=VAL_DATE)+(COUNTIF('Dvd Calendar'!$E$579:$AR$579,'Dvd Calendar'!$AR$572)=0))&gt;0)=0,"",'Dvd Calendar'!$AR$572*1000000000+ISNUMBER('Dvd Calendar'!$AR$575)*100000000+('Dvd Calendar'!$AR$577=SPECIAL_LBL)*10000000+(N('Dvd Calendar'!$AR$571)&gt;0)*(N('Dvd Calendar'!$AR$571)&lt;=VAL_SERIAL)*1000000+52*1000+40))</f>
        <v/>
      </c>
      <c r="FS63" s="39">
        <f>IF(N('Dvd Calendar'!$E$579)=0,"",IF(('Dvd Calendar'!$E$579&gt;=GRID_FROM)*('Dvd Calendar'!$E$579&lt;=GRID_TO)*('Dvd Calendar'!$E$579&gt;VAL_DATE)=0,"",'Dvd Calendar'!$E$579*1000000000+ISNUMBER('Dvd Calendar'!$E$580)*100000000+0*10000000+(N('Dvd Calendar'!$E$578)&gt;0)*(N('Dvd Calendar'!$E$578)&lt;=VAL_SERIAL)*1000000+52*1000+41))</f>
        <v/>
      </c>
      <c r="FT63" s="39">
        <f>IF(N('Dvd Calendar'!$F$579)=0,"",IF(('Dvd Calendar'!$F$579&gt;=GRID_FROM)*('Dvd Calendar'!$F$579&lt;=GRID_TO)*('Dvd Calendar'!$F$579&gt;VAL_DATE)=0,"",'Dvd Calendar'!$F$579*1000000000+ISNUMBER('Dvd Calendar'!$F$580)*100000000+0*10000000+(N('Dvd Calendar'!$F$578)&gt;0)*(N('Dvd Calendar'!$F$578)&lt;=VAL_SERIAL)*1000000+52*1000+42))</f>
        <v/>
      </c>
      <c r="FU63" s="39">
        <f>IF(N('Dvd Calendar'!$G$579)=0,"",IF(('Dvd Calendar'!$G$579&gt;=GRID_FROM)*('Dvd Calendar'!$G$579&lt;=GRID_TO)*('Dvd Calendar'!$G$579&gt;VAL_DATE)=0,"",'Dvd Calendar'!$G$579*1000000000+ISNUMBER('Dvd Calendar'!$G$580)*100000000+0*10000000+(N('Dvd Calendar'!$G$578)&gt;0)*(N('Dvd Calendar'!$G$578)&lt;=VAL_SERIAL)*1000000+52*1000+43))</f>
        <v/>
      </c>
      <c r="FV63" s="39">
        <f>IF(N('Dvd Calendar'!$H$579)=0,"",IF(('Dvd Calendar'!$H$579&gt;=GRID_FROM)*('Dvd Calendar'!$H$579&lt;=GRID_TO)*('Dvd Calendar'!$H$579&gt;VAL_DATE)=0,"",'Dvd Calendar'!$H$579*1000000000+ISNUMBER('Dvd Calendar'!$H$580)*100000000+0*10000000+(N('Dvd Calendar'!$H$578)&gt;0)*(N('Dvd Calendar'!$H$578)&lt;=VAL_SERIAL)*1000000+52*1000+44))</f>
        <v/>
      </c>
      <c r="FW63" s="39">
        <f>IF(N('Dvd Calendar'!$I$579)=0,"",IF(('Dvd Calendar'!$I$579&gt;=GRID_FROM)*('Dvd Calendar'!$I$579&lt;=GRID_TO)*('Dvd Calendar'!$I$579&gt;VAL_DATE)=0,"",'Dvd Calendar'!$I$579*1000000000+ISNUMBER('Dvd Calendar'!$I$580)*100000000+0*10000000+(N('Dvd Calendar'!$I$578)&gt;0)*(N('Dvd Calendar'!$I$578)&lt;=VAL_SERIAL)*1000000+52*1000+45))</f>
        <v/>
      </c>
      <c r="FX63" s="39">
        <f>IF(N('Dvd Calendar'!$J$579)=0,"",IF(('Dvd Calendar'!$J$579&gt;=GRID_FROM)*('Dvd Calendar'!$J$579&lt;=GRID_TO)*('Dvd Calendar'!$J$579&gt;VAL_DATE)=0,"",'Dvd Calendar'!$J$579*1000000000+ISNUMBER('Dvd Calendar'!$J$580)*100000000+0*10000000+(N('Dvd Calendar'!$J$578)&gt;0)*(N('Dvd Calendar'!$J$578)&lt;=VAL_SERIAL)*1000000+52*1000+46))</f>
        <v/>
      </c>
      <c r="FY63" s="39">
        <f>IF(N('Dvd Calendar'!$K$579)=0,"",IF(('Dvd Calendar'!$K$579&gt;=GRID_FROM)*('Dvd Calendar'!$K$579&lt;=GRID_TO)*('Dvd Calendar'!$K$579&gt;VAL_DATE)=0,"",'Dvd Calendar'!$K$579*1000000000+ISNUMBER('Dvd Calendar'!$K$580)*100000000+0*10000000+(N('Dvd Calendar'!$K$578)&gt;0)*(N('Dvd Calendar'!$K$578)&lt;=VAL_SERIAL)*1000000+52*1000+47))</f>
        <v/>
      </c>
      <c r="FZ63" s="39">
        <f>IF(N('Dvd Calendar'!$L$579)=0,"",IF(('Dvd Calendar'!$L$579&gt;=GRID_FROM)*('Dvd Calendar'!$L$579&lt;=GRID_TO)*('Dvd Calendar'!$L$579&gt;VAL_DATE)=0,"",'Dvd Calendar'!$L$579*1000000000+ISNUMBER('Dvd Calendar'!$L$580)*100000000+0*10000000+(N('Dvd Calendar'!$L$578)&gt;0)*(N('Dvd Calendar'!$L$578)&lt;=VAL_SERIAL)*1000000+52*1000+48))</f>
        <v/>
      </c>
      <c r="GA63" s="39">
        <f>IF(N('Dvd Calendar'!$M$579)=0,"",IF(('Dvd Calendar'!$M$579&gt;=GRID_FROM)*('Dvd Calendar'!$M$579&lt;=GRID_TO)*('Dvd Calendar'!$M$579&gt;VAL_DATE)=0,"",'Dvd Calendar'!$M$579*1000000000+ISNUMBER('Dvd Calendar'!$M$580)*100000000+0*10000000+(N('Dvd Calendar'!$M$578)&gt;0)*(N('Dvd Calendar'!$M$578)&lt;=VAL_SERIAL)*1000000+52*1000+49))</f>
        <v/>
      </c>
      <c r="GB63" s="39">
        <f>IF(N('Dvd Calendar'!$N$579)=0,"",IF(('Dvd Calendar'!$N$579&gt;=GRID_FROM)*('Dvd Calendar'!$N$579&lt;=GRID_TO)*('Dvd Calendar'!$N$579&gt;VAL_DATE)=0,"",'Dvd Calendar'!$N$579*1000000000+ISNUMBER('Dvd Calendar'!$N$580)*100000000+0*10000000+(N('Dvd Calendar'!$N$578)&gt;0)*(N('Dvd Calendar'!$N$578)&lt;=VAL_SERIAL)*1000000+52*1000+50))</f>
        <v/>
      </c>
      <c r="GC63" s="39">
        <f>IF(N('Dvd Calendar'!$O$579)=0,"",IF(('Dvd Calendar'!$O$579&gt;=GRID_FROM)*('Dvd Calendar'!$O$579&lt;=GRID_TO)*('Dvd Calendar'!$O$579&gt;VAL_DATE)=0,"",'Dvd Calendar'!$O$579*1000000000+ISNUMBER('Dvd Calendar'!$O$580)*100000000+0*10000000+(N('Dvd Calendar'!$O$578)&gt;0)*(N('Dvd Calendar'!$O$578)&lt;=VAL_SERIAL)*1000000+52*1000+51))</f>
        <v/>
      </c>
      <c r="GD63" s="39">
        <f>IF(N('Dvd Calendar'!$P$579)=0,"",IF(('Dvd Calendar'!$P$579&gt;=GRID_FROM)*('Dvd Calendar'!$P$579&lt;=GRID_TO)*('Dvd Calendar'!$P$579&gt;VAL_DATE)=0,"",'Dvd Calendar'!$P$579*1000000000+ISNUMBER('Dvd Calendar'!$P$580)*100000000+0*10000000+(N('Dvd Calendar'!$P$578)&gt;0)*(N('Dvd Calendar'!$P$578)&lt;=VAL_SERIAL)*1000000+52*1000+52))</f>
        <v/>
      </c>
      <c r="GE63" s="39">
        <f>IF(N('Dvd Calendar'!$Q$579)=0,"",IF(('Dvd Calendar'!$Q$579&gt;=GRID_FROM)*('Dvd Calendar'!$Q$579&lt;=GRID_TO)*('Dvd Calendar'!$Q$579&gt;VAL_DATE)=0,"",'Dvd Calendar'!$Q$579*1000000000+ISNUMBER('Dvd Calendar'!$Q$580)*100000000+0*10000000+(N('Dvd Calendar'!$Q$578)&gt;0)*(N('Dvd Calendar'!$Q$578)&lt;=VAL_SERIAL)*1000000+52*1000+53))</f>
        <v/>
      </c>
      <c r="GF63" s="39">
        <f>IF(N('Dvd Calendar'!$R$579)=0,"",IF(('Dvd Calendar'!$R$579&gt;=GRID_FROM)*('Dvd Calendar'!$R$579&lt;=GRID_TO)*('Dvd Calendar'!$R$579&gt;VAL_DATE)=0,"",'Dvd Calendar'!$R$579*1000000000+ISNUMBER('Dvd Calendar'!$R$580)*100000000+0*10000000+(N('Dvd Calendar'!$R$578)&gt;0)*(N('Dvd Calendar'!$R$578)&lt;=VAL_SERIAL)*1000000+52*1000+54))</f>
        <v/>
      </c>
      <c r="GG63" s="39">
        <f>IF(N('Dvd Calendar'!$S$579)=0,"",IF(('Dvd Calendar'!$S$579&gt;=GRID_FROM)*('Dvd Calendar'!$S$579&lt;=GRID_TO)*('Dvd Calendar'!$S$579&gt;VAL_DATE)=0,"",'Dvd Calendar'!$S$579*1000000000+ISNUMBER('Dvd Calendar'!$S$580)*100000000+0*10000000+(N('Dvd Calendar'!$S$578)&gt;0)*(N('Dvd Calendar'!$S$578)&lt;=VAL_SERIAL)*1000000+52*1000+55))</f>
        <v/>
      </c>
      <c r="GH63" s="39">
        <f>IF(N('Dvd Calendar'!$T$579)=0,"",IF(('Dvd Calendar'!$T$579&gt;=GRID_FROM)*('Dvd Calendar'!$T$579&lt;=GRID_TO)*('Dvd Calendar'!$T$579&gt;VAL_DATE)=0,"",'Dvd Calendar'!$T$579*1000000000+ISNUMBER('Dvd Calendar'!$T$580)*100000000+0*10000000+(N('Dvd Calendar'!$T$578)&gt;0)*(N('Dvd Calendar'!$T$578)&lt;=VAL_SERIAL)*1000000+52*1000+56))</f>
        <v/>
      </c>
      <c r="GI63" s="39">
        <f>IF(N('Dvd Calendar'!$U$579)=0,"",IF(('Dvd Calendar'!$U$579&gt;=GRID_FROM)*('Dvd Calendar'!$U$579&lt;=GRID_TO)*('Dvd Calendar'!$U$579&gt;VAL_DATE)=0,"",'Dvd Calendar'!$U$579*1000000000+ISNUMBER('Dvd Calendar'!$U$580)*100000000+0*10000000+(N('Dvd Calendar'!$U$578)&gt;0)*(N('Dvd Calendar'!$U$578)&lt;=VAL_SERIAL)*1000000+52*1000+57))</f>
        <v/>
      </c>
      <c r="GJ63" s="39">
        <f>IF(N('Dvd Calendar'!$V$579)=0,"",IF(('Dvd Calendar'!$V$579&gt;=GRID_FROM)*('Dvd Calendar'!$V$579&lt;=GRID_TO)*('Dvd Calendar'!$V$579&gt;VAL_DATE)=0,"",'Dvd Calendar'!$V$579*1000000000+ISNUMBER('Dvd Calendar'!$V$580)*100000000+0*10000000+(N('Dvd Calendar'!$V$578)&gt;0)*(N('Dvd Calendar'!$V$578)&lt;=VAL_SERIAL)*1000000+52*1000+58))</f>
        <v/>
      </c>
      <c r="GK63" s="39">
        <f>IF(N('Dvd Calendar'!$W$579)=0,"",IF(('Dvd Calendar'!$W$579&gt;=GRID_FROM)*('Dvd Calendar'!$W$579&lt;=GRID_TO)*('Dvd Calendar'!$W$579&gt;VAL_DATE)=0,"",'Dvd Calendar'!$W$579*1000000000+ISNUMBER('Dvd Calendar'!$W$580)*100000000+0*10000000+(N('Dvd Calendar'!$W$578)&gt;0)*(N('Dvd Calendar'!$W$578)&lt;=VAL_SERIAL)*1000000+52*1000+59))</f>
        <v/>
      </c>
      <c r="GL63" s="39">
        <f>IF(N('Dvd Calendar'!$X$579)=0,"",IF(('Dvd Calendar'!$X$579&gt;=GRID_FROM)*('Dvd Calendar'!$X$579&lt;=GRID_TO)*('Dvd Calendar'!$X$579&gt;VAL_DATE)=0,"",'Dvd Calendar'!$X$579*1000000000+ISNUMBER('Dvd Calendar'!$X$580)*100000000+0*10000000+(N('Dvd Calendar'!$X$578)&gt;0)*(N('Dvd Calendar'!$X$578)&lt;=VAL_SERIAL)*1000000+52*1000+60))</f>
        <v/>
      </c>
      <c r="GM63" s="39">
        <f>IF(N('Dvd Calendar'!$Y$579)=0,"",IF(('Dvd Calendar'!$Y$579&gt;=GRID_FROM)*('Dvd Calendar'!$Y$579&lt;=GRID_TO)*('Dvd Calendar'!$Y$579&gt;VAL_DATE)=0,"",'Dvd Calendar'!$Y$579*1000000000+ISNUMBER('Dvd Calendar'!$Y$580)*100000000+0*10000000+(N('Dvd Calendar'!$Y$578)&gt;0)*(N('Dvd Calendar'!$Y$578)&lt;=VAL_SERIAL)*1000000+52*1000+61))</f>
        <v/>
      </c>
      <c r="GN63" s="39">
        <f>IF(N('Dvd Calendar'!$Z$579)=0,"",IF(('Dvd Calendar'!$Z$579&gt;=GRID_FROM)*('Dvd Calendar'!$Z$579&lt;=GRID_TO)*('Dvd Calendar'!$Z$579&gt;VAL_DATE)=0,"",'Dvd Calendar'!$Z$579*1000000000+ISNUMBER('Dvd Calendar'!$Z$580)*100000000+0*10000000+(N('Dvd Calendar'!$Z$578)&gt;0)*(N('Dvd Calendar'!$Z$578)&lt;=VAL_SERIAL)*1000000+52*1000+62))</f>
        <v/>
      </c>
      <c r="GO63" s="39">
        <f>IF(N('Dvd Calendar'!$AA$579)=0,"",IF(('Dvd Calendar'!$AA$579&gt;=GRID_FROM)*('Dvd Calendar'!$AA$579&lt;=GRID_TO)*('Dvd Calendar'!$AA$579&gt;VAL_DATE)=0,"",'Dvd Calendar'!$AA$579*1000000000+ISNUMBER('Dvd Calendar'!$AA$580)*100000000+0*10000000+(N('Dvd Calendar'!$AA$578)&gt;0)*(N('Dvd Calendar'!$AA$578)&lt;=VAL_SERIAL)*1000000+52*1000+63))</f>
        <v/>
      </c>
      <c r="GP63" s="39">
        <f>IF(N('Dvd Calendar'!$AB$579)=0,"",IF(('Dvd Calendar'!$AB$579&gt;=GRID_FROM)*('Dvd Calendar'!$AB$579&lt;=GRID_TO)*('Dvd Calendar'!$AB$579&gt;VAL_DATE)=0,"",'Dvd Calendar'!$AB$579*1000000000+ISNUMBER('Dvd Calendar'!$AB$580)*100000000+0*10000000+(N('Dvd Calendar'!$AB$578)&gt;0)*(N('Dvd Calendar'!$AB$578)&lt;=VAL_SERIAL)*1000000+52*1000+64))</f>
        <v/>
      </c>
      <c r="GQ63" s="39">
        <f>IF(N('Dvd Calendar'!$AC$579)=0,"",IF(('Dvd Calendar'!$AC$579&gt;=GRID_FROM)*('Dvd Calendar'!$AC$579&lt;=GRID_TO)*('Dvd Calendar'!$AC$579&gt;VAL_DATE)=0,"",'Dvd Calendar'!$AC$579*1000000000+ISNUMBER('Dvd Calendar'!$AC$580)*100000000+0*10000000+(N('Dvd Calendar'!$AC$578)&gt;0)*(N('Dvd Calendar'!$AC$578)&lt;=VAL_SERIAL)*1000000+52*1000+65))</f>
        <v/>
      </c>
    </row>
    <row r="64">
      <c r="B64" s="2">
        <f>IF(HSI!$C$59="","",HSI!$C$59)</f>
        <v/>
      </c>
      <c r="C64" s="110">
        <f>IF(EE64="","",IF(ISNUMBER('Dvd Calendar'!$E$586)=FALSE,"",IF((('Dvd Calendar'!$E$588=TYPE1)*(TYPE1&lt;&gt;"")+('Dvd Calendar'!$E$588=TYPE2)*(TYPE2&lt;&gt;"")+('Dvd Calendar'!$E$588=TYPE3)*(TYPE3&lt;&gt;"")+('Dvd Calendar'!$E$588=TYPE4)*(TYPE4&lt;&gt;"")+('Dvd Calendar'!$E$588=SPECIAL_LBL)*(INC_SPECIALS="Y"))=0,"",'Dvd Calendar'!$E$586)))</f>
        <v/>
      </c>
      <c r="D64" s="110">
        <f>IF(EF64="","",IF(ISNUMBER('Dvd Calendar'!$F$586)=FALSE,"",IF((('Dvd Calendar'!$F$588=TYPE1)*(TYPE1&lt;&gt;"")+('Dvd Calendar'!$F$588=TYPE2)*(TYPE2&lt;&gt;"")+('Dvd Calendar'!$F$588=TYPE3)*(TYPE3&lt;&gt;"")+('Dvd Calendar'!$F$588=TYPE4)*(TYPE4&lt;&gt;"")+('Dvd Calendar'!$F$588=SPECIAL_LBL)*(INC_SPECIALS="Y"))=0,"",'Dvd Calendar'!$F$586)))</f>
        <v/>
      </c>
      <c r="E64" s="110">
        <f>IF(EG64="","",IF(ISNUMBER('Dvd Calendar'!$G$586)=FALSE,"",IF((('Dvd Calendar'!$G$588=TYPE1)*(TYPE1&lt;&gt;"")+('Dvd Calendar'!$G$588=TYPE2)*(TYPE2&lt;&gt;"")+('Dvd Calendar'!$G$588=TYPE3)*(TYPE3&lt;&gt;"")+('Dvd Calendar'!$G$588=TYPE4)*(TYPE4&lt;&gt;"")+('Dvd Calendar'!$G$588=SPECIAL_LBL)*(INC_SPECIALS="Y"))=0,"",'Dvd Calendar'!$G$586)))</f>
        <v/>
      </c>
      <c r="F64" s="110">
        <f>IF(EH64="","",IF(ISNUMBER('Dvd Calendar'!$H$586)=FALSE,"",IF((('Dvd Calendar'!$H$588=TYPE1)*(TYPE1&lt;&gt;"")+('Dvd Calendar'!$H$588=TYPE2)*(TYPE2&lt;&gt;"")+('Dvd Calendar'!$H$588=TYPE3)*(TYPE3&lt;&gt;"")+('Dvd Calendar'!$H$588=TYPE4)*(TYPE4&lt;&gt;"")+('Dvd Calendar'!$H$588=SPECIAL_LBL)*(INC_SPECIALS="Y"))=0,"",'Dvd Calendar'!$H$586)))</f>
        <v/>
      </c>
      <c r="G64" s="110">
        <f>IF(EI64="","",IF(ISNUMBER('Dvd Calendar'!$I$586)=FALSE,"",IF((('Dvd Calendar'!$I$588=TYPE1)*(TYPE1&lt;&gt;"")+('Dvd Calendar'!$I$588=TYPE2)*(TYPE2&lt;&gt;"")+('Dvd Calendar'!$I$588=TYPE3)*(TYPE3&lt;&gt;"")+('Dvd Calendar'!$I$588=TYPE4)*(TYPE4&lt;&gt;"")+('Dvd Calendar'!$I$588=SPECIAL_LBL)*(INC_SPECIALS="Y"))=0,"",'Dvd Calendar'!$I$586)))</f>
        <v/>
      </c>
      <c r="H64" s="110">
        <f>IF(EJ64="","",IF(ISNUMBER('Dvd Calendar'!$J$586)=FALSE,"",IF((('Dvd Calendar'!$J$588=TYPE1)*(TYPE1&lt;&gt;"")+('Dvd Calendar'!$J$588=TYPE2)*(TYPE2&lt;&gt;"")+('Dvd Calendar'!$J$588=TYPE3)*(TYPE3&lt;&gt;"")+('Dvd Calendar'!$J$588=TYPE4)*(TYPE4&lt;&gt;"")+('Dvd Calendar'!$J$588=SPECIAL_LBL)*(INC_SPECIALS="Y"))=0,"",'Dvd Calendar'!$J$586)))</f>
        <v/>
      </c>
      <c r="I64" s="110">
        <f>IF(EK64="","",IF(ISNUMBER('Dvd Calendar'!$K$586)=FALSE,"",IF((('Dvd Calendar'!$K$588=TYPE1)*(TYPE1&lt;&gt;"")+('Dvd Calendar'!$K$588=TYPE2)*(TYPE2&lt;&gt;"")+('Dvd Calendar'!$K$588=TYPE3)*(TYPE3&lt;&gt;"")+('Dvd Calendar'!$K$588=TYPE4)*(TYPE4&lt;&gt;"")+('Dvd Calendar'!$K$588=SPECIAL_LBL)*(INC_SPECIALS="Y"))=0,"",'Dvd Calendar'!$K$586)))</f>
        <v/>
      </c>
      <c r="J64" s="110">
        <f>IF(EL64="","",IF(ISNUMBER('Dvd Calendar'!$L$586)=FALSE,"",IF((('Dvd Calendar'!$L$588=TYPE1)*(TYPE1&lt;&gt;"")+('Dvd Calendar'!$L$588=TYPE2)*(TYPE2&lt;&gt;"")+('Dvd Calendar'!$L$588=TYPE3)*(TYPE3&lt;&gt;"")+('Dvd Calendar'!$L$588=TYPE4)*(TYPE4&lt;&gt;"")+('Dvd Calendar'!$L$588=SPECIAL_LBL)*(INC_SPECIALS="Y"))=0,"",'Dvd Calendar'!$L$586)))</f>
        <v/>
      </c>
      <c r="K64" s="110">
        <f>IF(EM64="","",IF(ISNUMBER('Dvd Calendar'!$M$586)=FALSE,"",IF((('Dvd Calendar'!$M$588=TYPE1)*(TYPE1&lt;&gt;"")+('Dvd Calendar'!$M$588=TYPE2)*(TYPE2&lt;&gt;"")+('Dvd Calendar'!$M$588=TYPE3)*(TYPE3&lt;&gt;"")+('Dvd Calendar'!$M$588=TYPE4)*(TYPE4&lt;&gt;"")+('Dvd Calendar'!$M$588=SPECIAL_LBL)*(INC_SPECIALS="Y"))=0,"",'Dvd Calendar'!$M$586)))</f>
        <v/>
      </c>
      <c r="L64" s="110">
        <f>IF(EN64="","",IF(ISNUMBER('Dvd Calendar'!$N$586)=FALSE,"",IF((('Dvd Calendar'!$N$588=TYPE1)*(TYPE1&lt;&gt;"")+('Dvd Calendar'!$N$588=TYPE2)*(TYPE2&lt;&gt;"")+('Dvd Calendar'!$N$588=TYPE3)*(TYPE3&lt;&gt;"")+('Dvd Calendar'!$N$588=TYPE4)*(TYPE4&lt;&gt;"")+('Dvd Calendar'!$N$588=SPECIAL_LBL)*(INC_SPECIALS="Y"))=0,"",'Dvd Calendar'!$N$586)))</f>
        <v/>
      </c>
      <c r="M64" s="110">
        <f>IF(EO64="","",IF(ISNUMBER('Dvd Calendar'!$O$586)=FALSE,"",IF((('Dvd Calendar'!$O$588=TYPE1)*(TYPE1&lt;&gt;"")+('Dvd Calendar'!$O$588=TYPE2)*(TYPE2&lt;&gt;"")+('Dvd Calendar'!$O$588=TYPE3)*(TYPE3&lt;&gt;"")+('Dvd Calendar'!$O$588=TYPE4)*(TYPE4&lt;&gt;"")+('Dvd Calendar'!$O$588=SPECIAL_LBL)*(INC_SPECIALS="Y"))=0,"",'Dvd Calendar'!$O$586)))</f>
        <v/>
      </c>
      <c r="N64" s="110">
        <f>IF(EP64="","",IF(ISNUMBER('Dvd Calendar'!$P$586)=FALSE,"",IF((('Dvd Calendar'!$P$588=TYPE1)*(TYPE1&lt;&gt;"")+('Dvd Calendar'!$P$588=TYPE2)*(TYPE2&lt;&gt;"")+('Dvd Calendar'!$P$588=TYPE3)*(TYPE3&lt;&gt;"")+('Dvd Calendar'!$P$588=TYPE4)*(TYPE4&lt;&gt;"")+('Dvd Calendar'!$P$588=SPECIAL_LBL)*(INC_SPECIALS="Y"))=0,"",'Dvd Calendar'!$P$586)))</f>
        <v/>
      </c>
      <c r="O64" s="110">
        <f>IF(EQ64="","",IF(ISNUMBER('Dvd Calendar'!$Q$586)=FALSE,"",IF((('Dvd Calendar'!$Q$588=TYPE1)*(TYPE1&lt;&gt;"")+('Dvd Calendar'!$Q$588=TYPE2)*(TYPE2&lt;&gt;"")+('Dvd Calendar'!$Q$588=TYPE3)*(TYPE3&lt;&gt;"")+('Dvd Calendar'!$Q$588=TYPE4)*(TYPE4&lt;&gt;"")+('Dvd Calendar'!$Q$588=SPECIAL_LBL)*(INC_SPECIALS="Y"))=0,"",'Dvd Calendar'!$Q$586)))</f>
        <v/>
      </c>
      <c r="P64" s="110">
        <f>IF(ER64="","",IF(ISNUMBER('Dvd Calendar'!$R$586)=FALSE,"",IF((('Dvd Calendar'!$R$588=TYPE1)*(TYPE1&lt;&gt;"")+('Dvd Calendar'!$R$588=TYPE2)*(TYPE2&lt;&gt;"")+('Dvd Calendar'!$R$588=TYPE3)*(TYPE3&lt;&gt;"")+('Dvd Calendar'!$R$588=TYPE4)*(TYPE4&lt;&gt;"")+('Dvd Calendar'!$R$588=SPECIAL_LBL)*(INC_SPECIALS="Y"))=0,"",'Dvd Calendar'!$R$586)))</f>
        <v/>
      </c>
      <c r="Q64" s="110">
        <f>IF(ES64="","",IF(ISNUMBER('Dvd Calendar'!$S$586)=FALSE,"",IF((('Dvd Calendar'!$S$588=TYPE1)*(TYPE1&lt;&gt;"")+('Dvd Calendar'!$S$588=TYPE2)*(TYPE2&lt;&gt;"")+('Dvd Calendar'!$S$588=TYPE3)*(TYPE3&lt;&gt;"")+('Dvd Calendar'!$S$588=TYPE4)*(TYPE4&lt;&gt;"")+('Dvd Calendar'!$S$588=SPECIAL_LBL)*(INC_SPECIALS="Y"))=0,"",'Dvd Calendar'!$S$586)))</f>
        <v/>
      </c>
      <c r="R64" s="110">
        <f>IF(ET64="","",IF(ISNUMBER('Dvd Calendar'!$T$586)=FALSE,"",IF((('Dvd Calendar'!$T$588=TYPE1)*(TYPE1&lt;&gt;"")+('Dvd Calendar'!$T$588=TYPE2)*(TYPE2&lt;&gt;"")+('Dvd Calendar'!$T$588=TYPE3)*(TYPE3&lt;&gt;"")+('Dvd Calendar'!$T$588=TYPE4)*(TYPE4&lt;&gt;"")+('Dvd Calendar'!$T$588=SPECIAL_LBL)*(INC_SPECIALS="Y"))=0,"",'Dvd Calendar'!$T$586)))</f>
        <v/>
      </c>
      <c r="S64" s="110">
        <f>IF(EU64="","",IF(ISNUMBER('Dvd Calendar'!$U$586)=FALSE,"",IF((('Dvd Calendar'!$U$588=TYPE1)*(TYPE1&lt;&gt;"")+('Dvd Calendar'!$U$588=TYPE2)*(TYPE2&lt;&gt;"")+('Dvd Calendar'!$U$588=TYPE3)*(TYPE3&lt;&gt;"")+('Dvd Calendar'!$U$588=TYPE4)*(TYPE4&lt;&gt;"")+('Dvd Calendar'!$U$588=SPECIAL_LBL)*(INC_SPECIALS="Y"))=0,"",'Dvd Calendar'!$U$586)))</f>
        <v/>
      </c>
      <c r="T64" s="110">
        <f>IF(EV64="","",IF(ISNUMBER('Dvd Calendar'!$V$586)=FALSE,"",IF((('Dvd Calendar'!$V$588=TYPE1)*(TYPE1&lt;&gt;"")+('Dvd Calendar'!$V$588=TYPE2)*(TYPE2&lt;&gt;"")+('Dvd Calendar'!$V$588=TYPE3)*(TYPE3&lt;&gt;"")+('Dvd Calendar'!$V$588=TYPE4)*(TYPE4&lt;&gt;"")+('Dvd Calendar'!$V$588=SPECIAL_LBL)*(INC_SPECIALS="Y"))=0,"",'Dvd Calendar'!$V$586)))</f>
        <v/>
      </c>
      <c r="U64" s="110">
        <f>IF(EW64="","",IF(ISNUMBER('Dvd Calendar'!$W$586)=FALSE,"",IF((('Dvd Calendar'!$W$588=TYPE1)*(TYPE1&lt;&gt;"")+('Dvd Calendar'!$W$588=TYPE2)*(TYPE2&lt;&gt;"")+('Dvd Calendar'!$W$588=TYPE3)*(TYPE3&lt;&gt;"")+('Dvd Calendar'!$W$588=TYPE4)*(TYPE4&lt;&gt;"")+('Dvd Calendar'!$W$588=SPECIAL_LBL)*(INC_SPECIALS="Y"))=0,"",'Dvd Calendar'!$W$586)))</f>
        <v/>
      </c>
      <c r="V64" s="110">
        <f>IF(EX64="","",IF(ISNUMBER('Dvd Calendar'!$X$586)=FALSE,"",IF((('Dvd Calendar'!$X$588=TYPE1)*(TYPE1&lt;&gt;"")+('Dvd Calendar'!$X$588=TYPE2)*(TYPE2&lt;&gt;"")+('Dvd Calendar'!$X$588=TYPE3)*(TYPE3&lt;&gt;"")+('Dvd Calendar'!$X$588=TYPE4)*(TYPE4&lt;&gt;"")+('Dvd Calendar'!$X$588=SPECIAL_LBL)*(INC_SPECIALS="Y"))=0,"",'Dvd Calendar'!$X$586)))</f>
        <v/>
      </c>
      <c r="W64" s="110">
        <f>IF(EY64="","",IF(ISNUMBER('Dvd Calendar'!$Y$586)=FALSE,"",IF((('Dvd Calendar'!$Y$588=TYPE1)*(TYPE1&lt;&gt;"")+('Dvd Calendar'!$Y$588=TYPE2)*(TYPE2&lt;&gt;"")+('Dvd Calendar'!$Y$588=TYPE3)*(TYPE3&lt;&gt;"")+('Dvd Calendar'!$Y$588=TYPE4)*(TYPE4&lt;&gt;"")+('Dvd Calendar'!$Y$588=SPECIAL_LBL)*(INC_SPECIALS="Y"))=0,"",'Dvd Calendar'!$Y$586)))</f>
        <v/>
      </c>
      <c r="X64" s="110">
        <f>IF(EZ64="","",IF(ISNUMBER('Dvd Calendar'!$Z$586)=FALSE,"",IF((('Dvd Calendar'!$Z$588=TYPE1)*(TYPE1&lt;&gt;"")+('Dvd Calendar'!$Z$588=TYPE2)*(TYPE2&lt;&gt;"")+('Dvd Calendar'!$Z$588=TYPE3)*(TYPE3&lt;&gt;"")+('Dvd Calendar'!$Z$588=TYPE4)*(TYPE4&lt;&gt;"")+('Dvd Calendar'!$Z$588=SPECIAL_LBL)*(INC_SPECIALS="Y"))=0,"",'Dvd Calendar'!$Z$586)))</f>
        <v/>
      </c>
      <c r="Y64" s="110">
        <f>IF(FA64="","",IF(ISNUMBER('Dvd Calendar'!$AA$586)=FALSE,"",IF((('Dvd Calendar'!$AA$588=TYPE1)*(TYPE1&lt;&gt;"")+('Dvd Calendar'!$AA$588=TYPE2)*(TYPE2&lt;&gt;"")+('Dvd Calendar'!$AA$588=TYPE3)*(TYPE3&lt;&gt;"")+('Dvd Calendar'!$AA$588=TYPE4)*(TYPE4&lt;&gt;"")+('Dvd Calendar'!$AA$588=SPECIAL_LBL)*(INC_SPECIALS="Y"))=0,"",'Dvd Calendar'!$AA$586)))</f>
        <v/>
      </c>
      <c r="Z64" s="110">
        <f>IF(FB64="","",IF(ISNUMBER('Dvd Calendar'!$AB$586)=FALSE,"",IF((('Dvd Calendar'!$AB$588=TYPE1)*(TYPE1&lt;&gt;"")+('Dvd Calendar'!$AB$588=TYPE2)*(TYPE2&lt;&gt;"")+('Dvd Calendar'!$AB$588=TYPE3)*(TYPE3&lt;&gt;"")+('Dvd Calendar'!$AB$588=TYPE4)*(TYPE4&lt;&gt;"")+('Dvd Calendar'!$AB$588=SPECIAL_LBL)*(INC_SPECIALS="Y"))=0,"",'Dvd Calendar'!$AB$586)))</f>
        <v/>
      </c>
      <c r="AA64" s="110">
        <f>IF(FC64="","",IF(ISNUMBER('Dvd Calendar'!$AC$586)=FALSE,"",IF((('Dvd Calendar'!$AC$588=TYPE1)*(TYPE1&lt;&gt;"")+('Dvd Calendar'!$AC$588=TYPE2)*(TYPE2&lt;&gt;"")+('Dvd Calendar'!$AC$588=TYPE3)*(TYPE3&lt;&gt;"")+('Dvd Calendar'!$AC$588=TYPE4)*(TYPE4&lt;&gt;"")+('Dvd Calendar'!$AC$588=SPECIAL_LBL)*(INC_SPECIALS="Y"))=0,"",'Dvd Calendar'!$AC$586)))</f>
        <v/>
      </c>
      <c r="AB64" s="110">
        <f>IF(FD64="","",IF(ISNUMBER('Dvd Calendar'!$AD$586)=FALSE,"",IF((('Dvd Calendar'!$AD$588=TYPE1)*(TYPE1&lt;&gt;"")+('Dvd Calendar'!$AD$588=TYPE2)*(TYPE2&lt;&gt;"")+('Dvd Calendar'!$AD$588=TYPE3)*(TYPE3&lt;&gt;"")+('Dvd Calendar'!$AD$588=TYPE4)*(TYPE4&lt;&gt;"")+('Dvd Calendar'!$AD$588=SPECIAL_LBL)*(INC_SPECIALS="Y"))=0,"",'Dvd Calendar'!$AD$586)))</f>
        <v/>
      </c>
      <c r="AC64" s="110">
        <f>IF(FE64="","",IF(ISNUMBER('Dvd Calendar'!$AE$586)=FALSE,"",IF((('Dvd Calendar'!$AE$588=TYPE1)*(TYPE1&lt;&gt;"")+('Dvd Calendar'!$AE$588=TYPE2)*(TYPE2&lt;&gt;"")+('Dvd Calendar'!$AE$588=TYPE3)*(TYPE3&lt;&gt;"")+('Dvd Calendar'!$AE$588=TYPE4)*(TYPE4&lt;&gt;"")+('Dvd Calendar'!$AE$588=SPECIAL_LBL)*(INC_SPECIALS="Y"))=0,"",'Dvd Calendar'!$AE$586)))</f>
        <v/>
      </c>
      <c r="AD64" s="110">
        <f>IF(FF64="","",IF(ISNUMBER('Dvd Calendar'!$AF$586)=FALSE,"",IF((('Dvd Calendar'!$AF$588=TYPE1)*(TYPE1&lt;&gt;"")+('Dvd Calendar'!$AF$588=TYPE2)*(TYPE2&lt;&gt;"")+('Dvd Calendar'!$AF$588=TYPE3)*(TYPE3&lt;&gt;"")+('Dvd Calendar'!$AF$588=TYPE4)*(TYPE4&lt;&gt;"")+('Dvd Calendar'!$AF$588=SPECIAL_LBL)*(INC_SPECIALS="Y"))=0,"",'Dvd Calendar'!$AF$586)))</f>
        <v/>
      </c>
      <c r="AE64" s="110">
        <f>IF(FG64="","",IF(ISNUMBER('Dvd Calendar'!$AG$586)=FALSE,"",IF((('Dvd Calendar'!$AG$588=TYPE1)*(TYPE1&lt;&gt;"")+('Dvd Calendar'!$AG$588=TYPE2)*(TYPE2&lt;&gt;"")+('Dvd Calendar'!$AG$588=TYPE3)*(TYPE3&lt;&gt;"")+('Dvd Calendar'!$AG$588=TYPE4)*(TYPE4&lt;&gt;"")+('Dvd Calendar'!$AG$588=SPECIAL_LBL)*(INC_SPECIALS="Y"))=0,"",'Dvd Calendar'!$AG$586)))</f>
        <v/>
      </c>
      <c r="AF64" s="110">
        <f>IF(FH64="","",IF(ISNUMBER('Dvd Calendar'!$AH$586)=FALSE,"",IF((('Dvd Calendar'!$AH$588=TYPE1)*(TYPE1&lt;&gt;"")+('Dvd Calendar'!$AH$588=TYPE2)*(TYPE2&lt;&gt;"")+('Dvd Calendar'!$AH$588=TYPE3)*(TYPE3&lt;&gt;"")+('Dvd Calendar'!$AH$588=TYPE4)*(TYPE4&lt;&gt;"")+('Dvd Calendar'!$AH$588=SPECIAL_LBL)*(INC_SPECIALS="Y"))=0,"",'Dvd Calendar'!$AH$586)))</f>
        <v/>
      </c>
      <c r="AG64" s="110">
        <f>IF(FI64="","",IF(ISNUMBER('Dvd Calendar'!$AI$586)=FALSE,"",IF((('Dvd Calendar'!$AI$588=TYPE1)*(TYPE1&lt;&gt;"")+('Dvd Calendar'!$AI$588=TYPE2)*(TYPE2&lt;&gt;"")+('Dvd Calendar'!$AI$588=TYPE3)*(TYPE3&lt;&gt;"")+('Dvd Calendar'!$AI$588=TYPE4)*(TYPE4&lt;&gt;"")+('Dvd Calendar'!$AI$588=SPECIAL_LBL)*(INC_SPECIALS="Y"))=0,"",'Dvd Calendar'!$AI$586)))</f>
        <v/>
      </c>
      <c r="AH64" s="110">
        <f>IF(FJ64="","",IF(ISNUMBER('Dvd Calendar'!$AJ$586)=FALSE,"",IF((('Dvd Calendar'!$AJ$588=TYPE1)*(TYPE1&lt;&gt;"")+('Dvd Calendar'!$AJ$588=TYPE2)*(TYPE2&lt;&gt;"")+('Dvd Calendar'!$AJ$588=TYPE3)*(TYPE3&lt;&gt;"")+('Dvd Calendar'!$AJ$588=TYPE4)*(TYPE4&lt;&gt;"")+('Dvd Calendar'!$AJ$588=SPECIAL_LBL)*(INC_SPECIALS="Y"))=0,"",'Dvd Calendar'!$AJ$586)))</f>
        <v/>
      </c>
      <c r="AI64" s="110">
        <f>IF(FK64="","",IF(ISNUMBER('Dvd Calendar'!$AK$586)=FALSE,"",IF((('Dvd Calendar'!$AK$588=TYPE1)*(TYPE1&lt;&gt;"")+('Dvd Calendar'!$AK$588=TYPE2)*(TYPE2&lt;&gt;"")+('Dvd Calendar'!$AK$588=TYPE3)*(TYPE3&lt;&gt;"")+('Dvd Calendar'!$AK$588=TYPE4)*(TYPE4&lt;&gt;"")+('Dvd Calendar'!$AK$588=SPECIAL_LBL)*(INC_SPECIALS="Y"))=0,"",'Dvd Calendar'!$AK$586)))</f>
        <v/>
      </c>
      <c r="AJ64" s="110">
        <f>IF(FL64="","",IF(ISNUMBER('Dvd Calendar'!$AL$586)=FALSE,"",IF((('Dvd Calendar'!$AL$588=TYPE1)*(TYPE1&lt;&gt;"")+('Dvd Calendar'!$AL$588=TYPE2)*(TYPE2&lt;&gt;"")+('Dvd Calendar'!$AL$588=TYPE3)*(TYPE3&lt;&gt;"")+('Dvd Calendar'!$AL$588=TYPE4)*(TYPE4&lt;&gt;"")+('Dvd Calendar'!$AL$588=SPECIAL_LBL)*(INC_SPECIALS="Y"))=0,"",'Dvd Calendar'!$AL$586)))</f>
        <v/>
      </c>
      <c r="AK64" s="110">
        <f>IF(FM64="","",IF(ISNUMBER('Dvd Calendar'!$AM$586)=FALSE,"",IF((('Dvd Calendar'!$AM$588=TYPE1)*(TYPE1&lt;&gt;"")+('Dvd Calendar'!$AM$588=TYPE2)*(TYPE2&lt;&gt;"")+('Dvd Calendar'!$AM$588=TYPE3)*(TYPE3&lt;&gt;"")+('Dvd Calendar'!$AM$588=TYPE4)*(TYPE4&lt;&gt;"")+('Dvd Calendar'!$AM$588=SPECIAL_LBL)*(INC_SPECIALS="Y"))=0,"",'Dvd Calendar'!$AM$586)))</f>
        <v/>
      </c>
      <c r="AL64" s="110">
        <f>IF(FN64="","",IF(ISNUMBER('Dvd Calendar'!$AN$586)=FALSE,"",IF((('Dvd Calendar'!$AN$588=TYPE1)*(TYPE1&lt;&gt;"")+('Dvd Calendar'!$AN$588=TYPE2)*(TYPE2&lt;&gt;"")+('Dvd Calendar'!$AN$588=TYPE3)*(TYPE3&lt;&gt;"")+('Dvd Calendar'!$AN$588=TYPE4)*(TYPE4&lt;&gt;"")+('Dvd Calendar'!$AN$588=SPECIAL_LBL)*(INC_SPECIALS="Y"))=0,"",'Dvd Calendar'!$AN$586)))</f>
        <v/>
      </c>
      <c r="AM64" s="110">
        <f>IF(FO64="","",IF(ISNUMBER('Dvd Calendar'!$AO$586)=FALSE,"",IF((('Dvd Calendar'!$AO$588=TYPE1)*(TYPE1&lt;&gt;"")+('Dvd Calendar'!$AO$588=TYPE2)*(TYPE2&lt;&gt;"")+('Dvd Calendar'!$AO$588=TYPE3)*(TYPE3&lt;&gt;"")+('Dvd Calendar'!$AO$588=TYPE4)*(TYPE4&lt;&gt;"")+('Dvd Calendar'!$AO$588=SPECIAL_LBL)*(INC_SPECIALS="Y"))=0,"",'Dvd Calendar'!$AO$586)))</f>
        <v/>
      </c>
      <c r="AN64" s="110">
        <f>IF(FP64="","",IF(ISNUMBER('Dvd Calendar'!$AP$586)=FALSE,"",IF((('Dvd Calendar'!$AP$588=TYPE1)*(TYPE1&lt;&gt;"")+('Dvd Calendar'!$AP$588=TYPE2)*(TYPE2&lt;&gt;"")+('Dvd Calendar'!$AP$588=TYPE3)*(TYPE3&lt;&gt;"")+('Dvd Calendar'!$AP$588=TYPE4)*(TYPE4&lt;&gt;"")+('Dvd Calendar'!$AP$588=SPECIAL_LBL)*(INC_SPECIALS="Y"))=0,"",'Dvd Calendar'!$AP$586)))</f>
        <v/>
      </c>
      <c r="AO64" s="110">
        <f>IF(FQ64="","",IF(ISNUMBER('Dvd Calendar'!$AQ$586)=FALSE,"",IF((('Dvd Calendar'!$AQ$588=TYPE1)*(TYPE1&lt;&gt;"")+('Dvd Calendar'!$AQ$588=TYPE2)*(TYPE2&lt;&gt;"")+('Dvd Calendar'!$AQ$588=TYPE3)*(TYPE3&lt;&gt;"")+('Dvd Calendar'!$AQ$588=TYPE4)*(TYPE4&lt;&gt;"")+('Dvd Calendar'!$AQ$588=SPECIAL_LBL)*(INC_SPECIALS="Y"))=0,"",'Dvd Calendar'!$AQ$586)))</f>
        <v/>
      </c>
      <c r="AP64" s="110">
        <f>IF(FR64="","",IF(ISNUMBER('Dvd Calendar'!$AR$586)=FALSE,"",IF((('Dvd Calendar'!$AR$588=TYPE1)*(TYPE1&lt;&gt;"")+('Dvd Calendar'!$AR$588=TYPE2)*(TYPE2&lt;&gt;"")+('Dvd Calendar'!$AR$588=TYPE3)*(TYPE3&lt;&gt;"")+('Dvd Calendar'!$AR$588=TYPE4)*(TYPE4&lt;&gt;"")+('Dvd Calendar'!$AR$588=SPECIAL_LBL)*(INC_SPECIALS="Y"))=0,"",'Dvd Calendar'!$AR$586)))</f>
        <v/>
      </c>
      <c r="AQ64" s="110">
        <f>IF(FS64="","",IF(ISNUMBER('Dvd Calendar'!$E$591)=FALSE,"",'Dvd Calendar'!$E$591))</f>
        <v/>
      </c>
      <c r="AR64" s="110">
        <f>IF(FT64="","",IF(ISNUMBER('Dvd Calendar'!$F$591)=FALSE,"",'Dvd Calendar'!$F$591))</f>
        <v/>
      </c>
      <c r="AS64" s="110">
        <f>IF(FU64="","",IF(ISNUMBER('Dvd Calendar'!$G$591)=FALSE,"",'Dvd Calendar'!$G$591))</f>
        <v/>
      </c>
      <c r="AT64" s="110">
        <f>IF(FV64="","",IF(ISNUMBER('Dvd Calendar'!$H$591)=FALSE,"",'Dvd Calendar'!$H$591))</f>
        <v/>
      </c>
      <c r="AU64" s="110">
        <f>IF(FW64="","",IF(ISNUMBER('Dvd Calendar'!$I$591)=FALSE,"",'Dvd Calendar'!$I$591))</f>
        <v/>
      </c>
      <c r="AV64" s="110">
        <f>IF(FX64="","",IF(ISNUMBER('Dvd Calendar'!$J$591)=FALSE,"",'Dvd Calendar'!$J$591))</f>
        <v/>
      </c>
      <c r="AW64" s="110">
        <f>IF(FY64="","",IF(ISNUMBER('Dvd Calendar'!$K$591)=FALSE,"",'Dvd Calendar'!$K$591))</f>
        <v/>
      </c>
      <c r="AX64" s="110">
        <f>IF(FZ64="","",IF(ISNUMBER('Dvd Calendar'!$L$591)=FALSE,"",'Dvd Calendar'!$L$591))</f>
        <v/>
      </c>
      <c r="AY64" s="110">
        <f>IF(GA64="","",IF(ISNUMBER('Dvd Calendar'!$M$591)=FALSE,"",'Dvd Calendar'!$M$591))</f>
        <v/>
      </c>
      <c r="AZ64" s="110">
        <f>IF(GB64="","",IF(ISNUMBER('Dvd Calendar'!$N$591)=FALSE,"",'Dvd Calendar'!$N$591))</f>
        <v/>
      </c>
      <c r="BA64" s="110">
        <f>IF(GC64="","",IF(ISNUMBER('Dvd Calendar'!$O$591)=FALSE,"",'Dvd Calendar'!$O$591))</f>
        <v/>
      </c>
      <c r="BB64" s="110">
        <f>IF(GD64="","",IF(ISNUMBER('Dvd Calendar'!$P$591)=FALSE,"",'Dvd Calendar'!$P$591))</f>
        <v/>
      </c>
      <c r="BC64" s="110">
        <f>IF(GE64="","",IF(ISNUMBER('Dvd Calendar'!$Q$591)=FALSE,"",'Dvd Calendar'!$Q$591))</f>
        <v/>
      </c>
      <c r="BD64" s="110">
        <f>IF(GF64="","",IF(ISNUMBER('Dvd Calendar'!$R$591)=FALSE,"",'Dvd Calendar'!$R$591))</f>
        <v/>
      </c>
      <c r="BE64" s="110">
        <f>IF(GG64="","",IF(ISNUMBER('Dvd Calendar'!$S$591)=FALSE,"",'Dvd Calendar'!$S$591))</f>
        <v/>
      </c>
      <c r="BF64" s="110">
        <f>IF(GH64="","",IF(ISNUMBER('Dvd Calendar'!$T$591)=FALSE,"",'Dvd Calendar'!$T$591))</f>
        <v/>
      </c>
      <c r="BG64" s="110">
        <f>IF(GI64="","",IF(ISNUMBER('Dvd Calendar'!$U$591)=FALSE,"",'Dvd Calendar'!$U$591))</f>
        <v/>
      </c>
      <c r="BH64" s="110">
        <f>IF(GJ64="","",IF(ISNUMBER('Dvd Calendar'!$V$591)=FALSE,"",'Dvd Calendar'!$V$591))</f>
        <v/>
      </c>
      <c r="BI64" s="110">
        <f>IF(GK64="","",IF(ISNUMBER('Dvd Calendar'!$W$591)=FALSE,"",'Dvd Calendar'!$W$591))</f>
        <v/>
      </c>
      <c r="BJ64" s="110">
        <f>IF(GL64="","",IF(ISNUMBER('Dvd Calendar'!$X$591)=FALSE,"",'Dvd Calendar'!$X$591))</f>
        <v/>
      </c>
      <c r="BK64" s="110">
        <f>IF(GM64="","",IF(ISNUMBER('Dvd Calendar'!$Y$591)=FALSE,"",'Dvd Calendar'!$Y$591))</f>
        <v/>
      </c>
      <c r="BL64" s="110">
        <f>IF(GN64="","",IF(ISNUMBER('Dvd Calendar'!$Z$591)=FALSE,"",'Dvd Calendar'!$Z$591))</f>
        <v/>
      </c>
      <c r="BM64" s="110">
        <f>IF(GO64="","",IF(ISNUMBER('Dvd Calendar'!$AA$591)=FALSE,"",'Dvd Calendar'!$AA$591))</f>
        <v/>
      </c>
      <c r="BN64" s="110">
        <f>IF(GP64="","",IF(ISNUMBER('Dvd Calendar'!$AB$591)=FALSE,"",'Dvd Calendar'!$AB$591))</f>
        <v/>
      </c>
      <c r="BO64" s="110">
        <f>IF(GQ64="","",IF(ISNUMBER('Dvd Calendar'!$AC$591)=FALSE,"",'Dvd Calendar'!$AC$591))</f>
        <v/>
      </c>
      <c r="BQ64" s="110">
        <f>IF(C64="","",IFERROR(C64*HSI!$B$59*HSI!$G$59/HSI!$B$3,""))</f>
        <v/>
      </c>
      <c r="BR64" s="110">
        <f>IF(D64="","",IFERROR(D64*HSI!$B$59*HSI!$G$59/HSI!$B$3,""))</f>
        <v/>
      </c>
      <c r="BS64" s="110">
        <f>IF(E64="","",IFERROR(E64*HSI!$B$59*HSI!$G$59/HSI!$B$3,""))</f>
        <v/>
      </c>
      <c r="BT64" s="110">
        <f>IF(F64="","",IFERROR(F64*HSI!$B$59*HSI!$G$59/HSI!$B$3,""))</f>
        <v/>
      </c>
      <c r="BU64" s="110">
        <f>IF(G64="","",IFERROR(G64*HSI!$B$59*HSI!$G$59/HSI!$B$3,""))</f>
        <v/>
      </c>
      <c r="BV64" s="110">
        <f>IF(H64="","",IFERROR(H64*HSI!$B$59*HSI!$G$59/HSI!$B$3,""))</f>
        <v/>
      </c>
      <c r="BW64" s="110">
        <f>IF(I64="","",IFERROR(I64*HSI!$B$59*HSI!$G$59/HSI!$B$3,""))</f>
        <v/>
      </c>
      <c r="BX64" s="110">
        <f>IF(J64="","",IFERROR(J64*HSI!$B$59*HSI!$G$59/HSI!$B$3,""))</f>
        <v/>
      </c>
      <c r="BY64" s="110">
        <f>IF(K64="","",IFERROR(K64*HSI!$B$59*HSI!$G$59/HSI!$B$3,""))</f>
        <v/>
      </c>
      <c r="BZ64" s="110">
        <f>IF(L64="","",IFERROR(L64*HSI!$B$59*HSI!$G$59/HSI!$B$3,""))</f>
        <v/>
      </c>
      <c r="CA64" s="110">
        <f>IF(M64="","",IFERROR(M64*HSI!$B$59*HSI!$G$59/HSI!$B$3,""))</f>
        <v/>
      </c>
      <c r="CB64" s="110">
        <f>IF(N64="","",IFERROR(N64*HSI!$B$59*HSI!$G$59/HSI!$B$3,""))</f>
        <v/>
      </c>
      <c r="CC64" s="110">
        <f>IF(O64="","",IFERROR(O64*HSI!$B$59*HSI!$G$59/HSI!$B$3,""))</f>
        <v/>
      </c>
      <c r="CD64" s="110">
        <f>IF(P64="","",IFERROR(P64*HSI!$B$59*HSI!$G$59/HSI!$B$3,""))</f>
        <v/>
      </c>
      <c r="CE64" s="110">
        <f>IF(Q64="","",IFERROR(Q64*HSI!$B$59*HSI!$G$59/HSI!$B$3,""))</f>
        <v/>
      </c>
      <c r="CF64" s="110">
        <f>IF(R64="","",IFERROR(R64*HSI!$B$59*HSI!$G$59/HSI!$B$3,""))</f>
        <v/>
      </c>
      <c r="CG64" s="110">
        <f>IF(S64="","",IFERROR(S64*HSI!$B$59*HSI!$G$59/HSI!$B$3,""))</f>
        <v/>
      </c>
      <c r="CH64" s="110">
        <f>IF(T64="","",IFERROR(T64*HSI!$B$59*HSI!$G$59/HSI!$B$3,""))</f>
        <v/>
      </c>
      <c r="CI64" s="110">
        <f>IF(U64="","",IFERROR(U64*HSI!$B$59*HSI!$G$59/HSI!$B$3,""))</f>
        <v/>
      </c>
      <c r="CJ64" s="110">
        <f>IF(V64="","",IFERROR(V64*HSI!$B$59*HSI!$G$59/HSI!$B$3,""))</f>
        <v/>
      </c>
      <c r="CK64" s="110">
        <f>IF(W64="","",IFERROR(W64*HSI!$B$59*HSI!$G$59/HSI!$B$3,""))</f>
        <v/>
      </c>
      <c r="CL64" s="110">
        <f>IF(X64="","",IFERROR(X64*HSI!$B$59*HSI!$G$59/HSI!$B$3,""))</f>
        <v/>
      </c>
      <c r="CM64" s="110">
        <f>IF(Y64="","",IFERROR(Y64*HSI!$B$59*HSI!$G$59/HSI!$B$3,""))</f>
        <v/>
      </c>
      <c r="CN64" s="110">
        <f>IF(Z64="","",IFERROR(Z64*HSI!$B$59*HSI!$G$59/HSI!$B$3,""))</f>
        <v/>
      </c>
      <c r="CO64" s="110">
        <f>IF(AA64="","",IFERROR(AA64*HSI!$B$59*HSI!$G$59/HSI!$B$3,""))</f>
        <v/>
      </c>
      <c r="CP64" s="110">
        <f>IF(AB64="","",IFERROR(AB64*HSI!$B$59*HSI!$G$59/HSI!$B$3,""))</f>
        <v/>
      </c>
      <c r="CQ64" s="110">
        <f>IF(AC64="","",IFERROR(AC64*HSI!$B$59*HSI!$G$59/HSI!$B$3,""))</f>
        <v/>
      </c>
      <c r="CR64" s="110">
        <f>IF(AD64="","",IFERROR(AD64*HSI!$B$59*HSI!$G$59/HSI!$B$3,""))</f>
        <v/>
      </c>
      <c r="CS64" s="110">
        <f>IF(AE64="","",IFERROR(AE64*HSI!$B$59*HSI!$G$59/HSI!$B$3,""))</f>
        <v/>
      </c>
      <c r="CT64" s="110">
        <f>IF(AF64="","",IFERROR(AF64*HSI!$B$59*HSI!$G$59/HSI!$B$3,""))</f>
        <v/>
      </c>
      <c r="CU64" s="110">
        <f>IF(AG64="","",IFERROR(AG64*HSI!$B$59*HSI!$G$59/HSI!$B$3,""))</f>
        <v/>
      </c>
      <c r="CV64" s="110">
        <f>IF(AH64="","",IFERROR(AH64*HSI!$B$59*HSI!$G$59/HSI!$B$3,""))</f>
        <v/>
      </c>
      <c r="CW64" s="110">
        <f>IF(AI64="","",IFERROR(AI64*HSI!$B$59*HSI!$G$59/HSI!$B$3,""))</f>
        <v/>
      </c>
      <c r="CX64" s="110">
        <f>IF(AJ64="","",IFERROR(AJ64*HSI!$B$59*HSI!$G$59/HSI!$B$3,""))</f>
        <v/>
      </c>
      <c r="CY64" s="110">
        <f>IF(AK64="","",IFERROR(AK64*HSI!$B$59*HSI!$G$59/HSI!$B$3,""))</f>
        <v/>
      </c>
      <c r="CZ64" s="110">
        <f>IF(AL64="","",IFERROR(AL64*HSI!$B$59*HSI!$G$59/HSI!$B$3,""))</f>
        <v/>
      </c>
      <c r="DA64" s="110">
        <f>IF(AM64="","",IFERROR(AM64*HSI!$B$59*HSI!$G$59/HSI!$B$3,""))</f>
        <v/>
      </c>
      <c r="DB64" s="110">
        <f>IF(AN64="","",IFERROR(AN64*HSI!$B$59*HSI!$G$59/HSI!$B$3,""))</f>
        <v/>
      </c>
      <c r="DC64" s="110">
        <f>IF(AO64="","",IFERROR(AO64*HSI!$B$59*HSI!$G$59/HSI!$B$3,""))</f>
        <v/>
      </c>
      <c r="DD64" s="110">
        <f>IF(AP64="","",IFERROR(AP64*HSI!$B$59*HSI!$G$59/HSI!$B$3,""))</f>
        <v/>
      </c>
      <c r="DE64" s="110">
        <f>IF(AQ64="","",IFERROR(AQ64*HSI!$B$59*HSI!$G$59/HSI!$B$3,""))</f>
        <v/>
      </c>
      <c r="DF64" s="110">
        <f>IF(AR64="","",IFERROR(AR64*HSI!$B$59*HSI!$G$59/HSI!$B$3,""))</f>
        <v/>
      </c>
      <c r="DG64" s="110">
        <f>IF(AS64="","",IFERROR(AS64*HSI!$B$59*HSI!$G$59/HSI!$B$3,""))</f>
        <v/>
      </c>
      <c r="DH64" s="110">
        <f>IF(AT64="","",IFERROR(AT64*HSI!$B$59*HSI!$G$59/HSI!$B$3,""))</f>
        <v/>
      </c>
      <c r="DI64" s="110">
        <f>IF(AU64="","",IFERROR(AU64*HSI!$B$59*HSI!$G$59/HSI!$B$3,""))</f>
        <v/>
      </c>
      <c r="DJ64" s="110">
        <f>IF(AV64="","",IFERROR(AV64*HSI!$B$59*HSI!$G$59/HSI!$B$3,""))</f>
        <v/>
      </c>
      <c r="DK64" s="110">
        <f>IF(AW64="","",IFERROR(AW64*HSI!$B$59*HSI!$G$59/HSI!$B$3,""))</f>
        <v/>
      </c>
      <c r="DL64" s="110">
        <f>IF(AX64="","",IFERROR(AX64*HSI!$B$59*HSI!$G$59/HSI!$B$3,""))</f>
        <v/>
      </c>
      <c r="DM64" s="110">
        <f>IF(AY64="","",IFERROR(AY64*HSI!$B$59*HSI!$G$59/HSI!$B$3,""))</f>
        <v/>
      </c>
      <c r="DN64" s="110">
        <f>IF(AZ64="","",IFERROR(AZ64*HSI!$B$59*HSI!$G$59/HSI!$B$3,""))</f>
        <v/>
      </c>
      <c r="DO64" s="110">
        <f>IF(BA64="","",IFERROR(BA64*HSI!$B$59*HSI!$G$59/HSI!$B$3,""))</f>
        <v/>
      </c>
      <c r="DP64" s="110">
        <f>IF(BB64="","",IFERROR(BB64*HSI!$B$59*HSI!$G$59/HSI!$B$3,""))</f>
        <v/>
      </c>
      <c r="DQ64" s="110">
        <f>IF(BC64="","",IFERROR(BC64*HSI!$B$59*HSI!$G$59/HSI!$B$3,""))</f>
        <v/>
      </c>
      <c r="DR64" s="110">
        <f>IF(BD64="","",IFERROR(BD64*HSI!$B$59*HSI!$G$59/HSI!$B$3,""))</f>
        <v/>
      </c>
      <c r="DS64" s="110">
        <f>IF(BE64="","",IFERROR(BE64*HSI!$B$59*HSI!$G$59/HSI!$B$3,""))</f>
        <v/>
      </c>
      <c r="DT64" s="110">
        <f>IF(BF64="","",IFERROR(BF64*HSI!$B$59*HSI!$G$59/HSI!$B$3,""))</f>
        <v/>
      </c>
      <c r="DU64" s="110">
        <f>IF(BG64="","",IFERROR(BG64*HSI!$B$59*HSI!$G$59/HSI!$B$3,""))</f>
        <v/>
      </c>
      <c r="DV64" s="110">
        <f>IF(BH64="","",IFERROR(BH64*HSI!$B$59*HSI!$G$59/HSI!$B$3,""))</f>
        <v/>
      </c>
      <c r="DW64" s="110">
        <f>IF(BI64="","",IFERROR(BI64*HSI!$B$59*HSI!$G$59/HSI!$B$3,""))</f>
        <v/>
      </c>
      <c r="DX64" s="110">
        <f>IF(BJ64="","",IFERROR(BJ64*HSI!$B$59*HSI!$G$59/HSI!$B$3,""))</f>
        <v/>
      </c>
      <c r="DY64" s="110">
        <f>IF(BK64="","",IFERROR(BK64*HSI!$B$59*HSI!$G$59/HSI!$B$3,""))</f>
        <v/>
      </c>
      <c r="DZ64" s="110">
        <f>IF(BL64="","",IFERROR(BL64*HSI!$B$59*HSI!$G$59/HSI!$B$3,""))</f>
        <v/>
      </c>
      <c r="EA64" s="110">
        <f>IF(BM64="","",IFERROR(BM64*HSI!$B$59*HSI!$G$59/HSI!$B$3,""))</f>
        <v/>
      </c>
      <c r="EB64" s="110">
        <f>IF(BN64="","",IFERROR(BN64*HSI!$B$59*HSI!$G$59/HSI!$B$3,""))</f>
        <v/>
      </c>
      <c r="EC64" s="110">
        <f>IF(BO64="","",IFERROR(BO64*HSI!$B$59*HSI!$G$59/HSI!$B$3,""))</f>
        <v/>
      </c>
      <c r="EE64" s="39">
        <f>IF(N('Dvd Calendar'!$E$583)=0,"",IF(('Dvd Calendar'!$E$583&gt;=GRID_FROM)*('Dvd Calendar'!$E$583&lt;=GRID_TO)*((('Dvd Calendar'!$E$583&lt;=VAL_DATE)+(COUNTIF('Dvd Calendar'!$E$590:$AR$590,'Dvd Calendar'!$E$583)=0))&gt;0)=0,"",'Dvd Calendar'!$E$583*1000000000+ISNUMBER('Dvd Calendar'!$E$586)*100000000+('Dvd Calendar'!$E$588=SPECIAL_LBL)*10000000+(N('Dvd Calendar'!$E$582)&gt;0)*(N('Dvd Calendar'!$E$582)&lt;=VAL_SERIAL)*1000000+53*1000+1))</f>
        <v/>
      </c>
      <c r="EF64" s="39">
        <f>IF(N('Dvd Calendar'!$F$583)=0,"",IF(('Dvd Calendar'!$F$583&gt;=GRID_FROM)*('Dvd Calendar'!$F$583&lt;=GRID_TO)*((('Dvd Calendar'!$F$583&lt;=VAL_DATE)+(COUNTIF('Dvd Calendar'!$E$590:$AR$590,'Dvd Calendar'!$F$583)=0))&gt;0)=0,"",'Dvd Calendar'!$F$583*1000000000+ISNUMBER('Dvd Calendar'!$F$586)*100000000+('Dvd Calendar'!$F$588=SPECIAL_LBL)*10000000+(N('Dvd Calendar'!$F$582)&gt;0)*(N('Dvd Calendar'!$F$582)&lt;=VAL_SERIAL)*1000000+53*1000+2))</f>
        <v/>
      </c>
      <c r="EG64" s="39">
        <f>IF(N('Dvd Calendar'!$G$583)=0,"",IF(('Dvd Calendar'!$G$583&gt;=GRID_FROM)*('Dvd Calendar'!$G$583&lt;=GRID_TO)*((('Dvd Calendar'!$G$583&lt;=VAL_DATE)+(COUNTIF('Dvd Calendar'!$E$590:$AR$590,'Dvd Calendar'!$G$583)=0))&gt;0)=0,"",'Dvd Calendar'!$G$583*1000000000+ISNUMBER('Dvd Calendar'!$G$586)*100000000+('Dvd Calendar'!$G$588=SPECIAL_LBL)*10000000+(N('Dvd Calendar'!$G$582)&gt;0)*(N('Dvd Calendar'!$G$582)&lt;=VAL_SERIAL)*1000000+53*1000+3))</f>
        <v/>
      </c>
      <c r="EH64" s="39">
        <f>IF(N('Dvd Calendar'!$H$583)=0,"",IF(('Dvd Calendar'!$H$583&gt;=GRID_FROM)*('Dvd Calendar'!$H$583&lt;=GRID_TO)*((('Dvd Calendar'!$H$583&lt;=VAL_DATE)+(COUNTIF('Dvd Calendar'!$E$590:$AR$590,'Dvd Calendar'!$H$583)=0))&gt;0)=0,"",'Dvd Calendar'!$H$583*1000000000+ISNUMBER('Dvd Calendar'!$H$586)*100000000+('Dvd Calendar'!$H$588=SPECIAL_LBL)*10000000+(N('Dvd Calendar'!$H$582)&gt;0)*(N('Dvd Calendar'!$H$582)&lt;=VAL_SERIAL)*1000000+53*1000+4))</f>
        <v/>
      </c>
      <c r="EI64" s="39">
        <f>IF(N('Dvd Calendar'!$I$583)=0,"",IF(('Dvd Calendar'!$I$583&gt;=GRID_FROM)*('Dvd Calendar'!$I$583&lt;=GRID_TO)*((('Dvd Calendar'!$I$583&lt;=VAL_DATE)+(COUNTIF('Dvd Calendar'!$E$590:$AR$590,'Dvd Calendar'!$I$583)=0))&gt;0)=0,"",'Dvd Calendar'!$I$583*1000000000+ISNUMBER('Dvd Calendar'!$I$586)*100000000+('Dvd Calendar'!$I$588=SPECIAL_LBL)*10000000+(N('Dvd Calendar'!$I$582)&gt;0)*(N('Dvd Calendar'!$I$582)&lt;=VAL_SERIAL)*1000000+53*1000+5))</f>
        <v/>
      </c>
      <c r="EJ64" s="39">
        <f>IF(N('Dvd Calendar'!$J$583)=0,"",IF(('Dvd Calendar'!$J$583&gt;=GRID_FROM)*('Dvd Calendar'!$J$583&lt;=GRID_TO)*((('Dvd Calendar'!$J$583&lt;=VAL_DATE)+(COUNTIF('Dvd Calendar'!$E$590:$AR$590,'Dvd Calendar'!$J$583)=0))&gt;0)=0,"",'Dvd Calendar'!$J$583*1000000000+ISNUMBER('Dvd Calendar'!$J$586)*100000000+('Dvd Calendar'!$J$588=SPECIAL_LBL)*10000000+(N('Dvd Calendar'!$J$582)&gt;0)*(N('Dvd Calendar'!$J$582)&lt;=VAL_SERIAL)*1000000+53*1000+6))</f>
        <v/>
      </c>
      <c r="EK64" s="39">
        <f>IF(N('Dvd Calendar'!$K$583)=0,"",IF(('Dvd Calendar'!$K$583&gt;=GRID_FROM)*('Dvd Calendar'!$K$583&lt;=GRID_TO)*((('Dvd Calendar'!$K$583&lt;=VAL_DATE)+(COUNTIF('Dvd Calendar'!$E$590:$AR$590,'Dvd Calendar'!$K$583)=0))&gt;0)=0,"",'Dvd Calendar'!$K$583*1000000000+ISNUMBER('Dvd Calendar'!$K$586)*100000000+('Dvd Calendar'!$K$588=SPECIAL_LBL)*10000000+(N('Dvd Calendar'!$K$582)&gt;0)*(N('Dvd Calendar'!$K$582)&lt;=VAL_SERIAL)*1000000+53*1000+7))</f>
        <v/>
      </c>
      <c r="EL64" s="39">
        <f>IF(N('Dvd Calendar'!$L$583)=0,"",IF(('Dvd Calendar'!$L$583&gt;=GRID_FROM)*('Dvd Calendar'!$L$583&lt;=GRID_TO)*((('Dvd Calendar'!$L$583&lt;=VAL_DATE)+(COUNTIF('Dvd Calendar'!$E$590:$AR$590,'Dvd Calendar'!$L$583)=0))&gt;0)=0,"",'Dvd Calendar'!$L$583*1000000000+ISNUMBER('Dvd Calendar'!$L$586)*100000000+('Dvd Calendar'!$L$588=SPECIAL_LBL)*10000000+(N('Dvd Calendar'!$L$582)&gt;0)*(N('Dvd Calendar'!$L$582)&lt;=VAL_SERIAL)*1000000+53*1000+8))</f>
        <v/>
      </c>
      <c r="EM64" s="39">
        <f>IF(N('Dvd Calendar'!$M$583)=0,"",IF(('Dvd Calendar'!$M$583&gt;=GRID_FROM)*('Dvd Calendar'!$M$583&lt;=GRID_TO)*((('Dvd Calendar'!$M$583&lt;=VAL_DATE)+(COUNTIF('Dvd Calendar'!$E$590:$AR$590,'Dvd Calendar'!$M$583)=0))&gt;0)=0,"",'Dvd Calendar'!$M$583*1000000000+ISNUMBER('Dvd Calendar'!$M$586)*100000000+('Dvd Calendar'!$M$588=SPECIAL_LBL)*10000000+(N('Dvd Calendar'!$M$582)&gt;0)*(N('Dvd Calendar'!$M$582)&lt;=VAL_SERIAL)*1000000+53*1000+9))</f>
        <v/>
      </c>
      <c r="EN64" s="39">
        <f>IF(N('Dvd Calendar'!$N$583)=0,"",IF(('Dvd Calendar'!$N$583&gt;=GRID_FROM)*('Dvd Calendar'!$N$583&lt;=GRID_TO)*((('Dvd Calendar'!$N$583&lt;=VAL_DATE)+(COUNTIF('Dvd Calendar'!$E$590:$AR$590,'Dvd Calendar'!$N$583)=0))&gt;0)=0,"",'Dvd Calendar'!$N$583*1000000000+ISNUMBER('Dvd Calendar'!$N$586)*100000000+('Dvd Calendar'!$N$588=SPECIAL_LBL)*10000000+(N('Dvd Calendar'!$N$582)&gt;0)*(N('Dvd Calendar'!$N$582)&lt;=VAL_SERIAL)*1000000+53*1000+10))</f>
        <v/>
      </c>
      <c r="EO64" s="39">
        <f>IF(N('Dvd Calendar'!$O$583)=0,"",IF(('Dvd Calendar'!$O$583&gt;=GRID_FROM)*('Dvd Calendar'!$O$583&lt;=GRID_TO)*((('Dvd Calendar'!$O$583&lt;=VAL_DATE)+(COUNTIF('Dvd Calendar'!$E$590:$AR$590,'Dvd Calendar'!$O$583)=0))&gt;0)=0,"",'Dvd Calendar'!$O$583*1000000000+ISNUMBER('Dvd Calendar'!$O$586)*100000000+('Dvd Calendar'!$O$588=SPECIAL_LBL)*10000000+(N('Dvd Calendar'!$O$582)&gt;0)*(N('Dvd Calendar'!$O$582)&lt;=VAL_SERIAL)*1000000+53*1000+11))</f>
        <v/>
      </c>
      <c r="EP64" s="39">
        <f>IF(N('Dvd Calendar'!$P$583)=0,"",IF(('Dvd Calendar'!$P$583&gt;=GRID_FROM)*('Dvd Calendar'!$P$583&lt;=GRID_TO)*((('Dvd Calendar'!$P$583&lt;=VAL_DATE)+(COUNTIF('Dvd Calendar'!$E$590:$AR$590,'Dvd Calendar'!$P$583)=0))&gt;0)=0,"",'Dvd Calendar'!$P$583*1000000000+ISNUMBER('Dvd Calendar'!$P$586)*100000000+('Dvd Calendar'!$P$588=SPECIAL_LBL)*10000000+(N('Dvd Calendar'!$P$582)&gt;0)*(N('Dvd Calendar'!$P$582)&lt;=VAL_SERIAL)*1000000+53*1000+12))</f>
        <v/>
      </c>
      <c r="EQ64" s="39">
        <f>IF(N('Dvd Calendar'!$Q$583)=0,"",IF(('Dvd Calendar'!$Q$583&gt;=GRID_FROM)*('Dvd Calendar'!$Q$583&lt;=GRID_TO)*((('Dvd Calendar'!$Q$583&lt;=VAL_DATE)+(COUNTIF('Dvd Calendar'!$E$590:$AR$590,'Dvd Calendar'!$Q$583)=0))&gt;0)=0,"",'Dvd Calendar'!$Q$583*1000000000+ISNUMBER('Dvd Calendar'!$Q$586)*100000000+('Dvd Calendar'!$Q$588=SPECIAL_LBL)*10000000+(N('Dvd Calendar'!$Q$582)&gt;0)*(N('Dvd Calendar'!$Q$582)&lt;=VAL_SERIAL)*1000000+53*1000+13))</f>
        <v/>
      </c>
      <c r="ER64" s="39">
        <f>IF(N('Dvd Calendar'!$R$583)=0,"",IF(('Dvd Calendar'!$R$583&gt;=GRID_FROM)*('Dvd Calendar'!$R$583&lt;=GRID_TO)*((('Dvd Calendar'!$R$583&lt;=VAL_DATE)+(COUNTIF('Dvd Calendar'!$E$590:$AR$590,'Dvd Calendar'!$R$583)=0))&gt;0)=0,"",'Dvd Calendar'!$R$583*1000000000+ISNUMBER('Dvd Calendar'!$R$586)*100000000+('Dvd Calendar'!$R$588=SPECIAL_LBL)*10000000+(N('Dvd Calendar'!$R$582)&gt;0)*(N('Dvd Calendar'!$R$582)&lt;=VAL_SERIAL)*1000000+53*1000+14))</f>
        <v/>
      </c>
      <c r="ES64" s="39">
        <f>IF(N('Dvd Calendar'!$S$583)=0,"",IF(('Dvd Calendar'!$S$583&gt;=GRID_FROM)*('Dvd Calendar'!$S$583&lt;=GRID_TO)*((('Dvd Calendar'!$S$583&lt;=VAL_DATE)+(COUNTIF('Dvd Calendar'!$E$590:$AR$590,'Dvd Calendar'!$S$583)=0))&gt;0)=0,"",'Dvd Calendar'!$S$583*1000000000+ISNUMBER('Dvd Calendar'!$S$586)*100000000+('Dvd Calendar'!$S$588=SPECIAL_LBL)*10000000+(N('Dvd Calendar'!$S$582)&gt;0)*(N('Dvd Calendar'!$S$582)&lt;=VAL_SERIAL)*1000000+53*1000+15))</f>
        <v/>
      </c>
      <c r="ET64" s="39">
        <f>IF(N('Dvd Calendar'!$T$583)=0,"",IF(('Dvd Calendar'!$T$583&gt;=GRID_FROM)*('Dvd Calendar'!$T$583&lt;=GRID_TO)*((('Dvd Calendar'!$T$583&lt;=VAL_DATE)+(COUNTIF('Dvd Calendar'!$E$590:$AR$590,'Dvd Calendar'!$T$583)=0))&gt;0)=0,"",'Dvd Calendar'!$T$583*1000000000+ISNUMBER('Dvd Calendar'!$T$586)*100000000+('Dvd Calendar'!$T$588=SPECIAL_LBL)*10000000+(N('Dvd Calendar'!$T$582)&gt;0)*(N('Dvd Calendar'!$T$582)&lt;=VAL_SERIAL)*1000000+53*1000+16))</f>
        <v/>
      </c>
      <c r="EU64" s="39">
        <f>IF(N('Dvd Calendar'!$U$583)=0,"",IF(('Dvd Calendar'!$U$583&gt;=GRID_FROM)*('Dvd Calendar'!$U$583&lt;=GRID_TO)*((('Dvd Calendar'!$U$583&lt;=VAL_DATE)+(COUNTIF('Dvd Calendar'!$E$590:$AR$590,'Dvd Calendar'!$U$583)=0))&gt;0)=0,"",'Dvd Calendar'!$U$583*1000000000+ISNUMBER('Dvd Calendar'!$U$586)*100000000+('Dvd Calendar'!$U$588=SPECIAL_LBL)*10000000+(N('Dvd Calendar'!$U$582)&gt;0)*(N('Dvd Calendar'!$U$582)&lt;=VAL_SERIAL)*1000000+53*1000+17))</f>
        <v/>
      </c>
      <c r="EV64" s="39">
        <f>IF(N('Dvd Calendar'!$V$583)=0,"",IF(('Dvd Calendar'!$V$583&gt;=GRID_FROM)*('Dvd Calendar'!$V$583&lt;=GRID_TO)*((('Dvd Calendar'!$V$583&lt;=VAL_DATE)+(COUNTIF('Dvd Calendar'!$E$590:$AR$590,'Dvd Calendar'!$V$583)=0))&gt;0)=0,"",'Dvd Calendar'!$V$583*1000000000+ISNUMBER('Dvd Calendar'!$V$586)*100000000+('Dvd Calendar'!$V$588=SPECIAL_LBL)*10000000+(N('Dvd Calendar'!$V$582)&gt;0)*(N('Dvd Calendar'!$V$582)&lt;=VAL_SERIAL)*1000000+53*1000+18))</f>
        <v/>
      </c>
      <c r="EW64" s="39">
        <f>IF(N('Dvd Calendar'!$W$583)=0,"",IF(('Dvd Calendar'!$W$583&gt;=GRID_FROM)*('Dvd Calendar'!$W$583&lt;=GRID_TO)*((('Dvd Calendar'!$W$583&lt;=VAL_DATE)+(COUNTIF('Dvd Calendar'!$E$590:$AR$590,'Dvd Calendar'!$W$583)=0))&gt;0)=0,"",'Dvd Calendar'!$W$583*1000000000+ISNUMBER('Dvd Calendar'!$W$586)*100000000+('Dvd Calendar'!$W$588=SPECIAL_LBL)*10000000+(N('Dvd Calendar'!$W$582)&gt;0)*(N('Dvd Calendar'!$W$582)&lt;=VAL_SERIAL)*1000000+53*1000+19))</f>
        <v/>
      </c>
      <c r="EX64" s="39">
        <f>IF(N('Dvd Calendar'!$X$583)=0,"",IF(('Dvd Calendar'!$X$583&gt;=GRID_FROM)*('Dvd Calendar'!$X$583&lt;=GRID_TO)*((('Dvd Calendar'!$X$583&lt;=VAL_DATE)+(COUNTIF('Dvd Calendar'!$E$590:$AR$590,'Dvd Calendar'!$X$583)=0))&gt;0)=0,"",'Dvd Calendar'!$X$583*1000000000+ISNUMBER('Dvd Calendar'!$X$586)*100000000+('Dvd Calendar'!$X$588=SPECIAL_LBL)*10000000+(N('Dvd Calendar'!$X$582)&gt;0)*(N('Dvd Calendar'!$X$582)&lt;=VAL_SERIAL)*1000000+53*1000+20))</f>
        <v/>
      </c>
      <c r="EY64" s="39">
        <f>IF(N('Dvd Calendar'!$Y$583)=0,"",IF(('Dvd Calendar'!$Y$583&gt;=GRID_FROM)*('Dvd Calendar'!$Y$583&lt;=GRID_TO)*((('Dvd Calendar'!$Y$583&lt;=VAL_DATE)+(COUNTIF('Dvd Calendar'!$E$590:$AR$590,'Dvd Calendar'!$Y$583)=0))&gt;0)=0,"",'Dvd Calendar'!$Y$583*1000000000+ISNUMBER('Dvd Calendar'!$Y$586)*100000000+('Dvd Calendar'!$Y$588=SPECIAL_LBL)*10000000+(N('Dvd Calendar'!$Y$582)&gt;0)*(N('Dvd Calendar'!$Y$582)&lt;=VAL_SERIAL)*1000000+53*1000+21))</f>
        <v/>
      </c>
      <c r="EZ64" s="39">
        <f>IF(N('Dvd Calendar'!$Z$583)=0,"",IF(('Dvd Calendar'!$Z$583&gt;=GRID_FROM)*('Dvd Calendar'!$Z$583&lt;=GRID_TO)*((('Dvd Calendar'!$Z$583&lt;=VAL_DATE)+(COUNTIF('Dvd Calendar'!$E$590:$AR$590,'Dvd Calendar'!$Z$583)=0))&gt;0)=0,"",'Dvd Calendar'!$Z$583*1000000000+ISNUMBER('Dvd Calendar'!$Z$586)*100000000+('Dvd Calendar'!$Z$588=SPECIAL_LBL)*10000000+(N('Dvd Calendar'!$Z$582)&gt;0)*(N('Dvd Calendar'!$Z$582)&lt;=VAL_SERIAL)*1000000+53*1000+22))</f>
        <v/>
      </c>
      <c r="FA64" s="39">
        <f>IF(N('Dvd Calendar'!$AA$583)=0,"",IF(('Dvd Calendar'!$AA$583&gt;=GRID_FROM)*('Dvd Calendar'!$AA$583&lt;=GRID_TO)*((('Dvd Calendar'!$AA$583&lt;=VAL_DATE)+(COUNTIF('Dvd Calendar'!$E$590:$AR$590,'Dvd Calendar'!$AA$583)=0))&gt;0)=0,"",'Dvd Calendar'!$AA$583*1000000000+ISNUMBER('Dvd Calendar'!$AA$586)*100000000+('Dvd Calendar'!$AA$588=SPECIAL_LBL)*10000000+(N('Dvd Calendar'!$AA$582)&gt;0)*(N('Dvd Calendar'!$AA$582)&lt;=VAL_SERIAL)*1000000+53*1000+23))</f>
        <v/>
      </c>
      <c r="FB64" s="39">
        <f>IF(N('Dvd Calendar'!$AB$583)=0,"",IF(('Dvd Calendar'!$AB$583&gt;=GRID_FROM)*('Dvd Calendar'!$AB$583&lt;=GRID_TO)*((('Dvd Calendar'!$AB$583&lt;=VAL_DATE)+(COUNTIF('Dvd Calendar'!$E$590:$AR$590,'Dvd Calendar'!$AB$583)=0))&gt;0)=0,"",'Dvd Calendar'!$AB$583*1000000000+ISNUMBER('Dvd Calendar'!$AB$586)*100000000+('Dvd Calendar'!$AB$588=SPECIAL_LBL)*10000000+(N('Dvd Calendar'!$AB$582)&gt;0)*(N('Dvd Calendar'!$AB$582)&lt;=VAL_SERIAL)*1000000+53*1000+24))</f>
        <v/>
      </c>
      <c r="FC64" s="39">
        <f>IF(N('Dvd Calendar'!$AC$583)=0,"",IF(('Dvd Calendar'!$AC$583&gt;=GRID_FROM)*('Dvd Calendar'!$AC$583&lt;=GRID_TO)*((('Dvd Calendar'!$AC$583&lt;=VAL_DATE)+(COUNTIF('Dvd Calendar'!$E$590:$AR$590,'Dvd Calendar'!$AC$583)=0))&gt;0)=0,"",'Dvd Calendar'!$AC$583*1000000000+ISNUMBER('Dvd Calendar'!$AC$586)*100000000+('Dvd Calendar'!$AC$588=SPECIAL_LBL)*10000000+(N('Dvd Calendar'!$AC$582)&gt;0)*(N('Dvd Calendar'!$AC$582)&lt;=VAL_SERIAL)*1000000+53*1000+25))</f>
        <v/>
      </c>
      <c r="FD64" s="39">
        <f>IF(N('Dvd Calendar'!$AD$583)=0,"",IF(('Dvd Calendar'!$AD$583&gt;=GRID_FROM)*('Dvd Calendar'!$AD$583&lt;=GRID_TO)*((('Dvd Calendar'!$AD$583&lt;=VAL_DATE)+(COUNTIF('Dvd Calendar'!$E$590:$AR$590,'Dvd Calendar'!$AD$583)=0))&gt;0)=0,"",'Dvd Calendar'!$AD$583*1000000000+ISNUMBER('Dvd Calendar'!$AD$586)*100000000+('Dvd Calendar'!$AD$588=SPECIAL_LBL)*10000000+(N('Dvd Calendar'!$AD$582)&gt;0)*(N('Dvd Calendar'!$AD$582)&lt;=VAL_SERIAL)*1000000+53*1000+26))</f>
        <v/>
      </c>
      <c r="FE64" s="39">
        <f>IF(N('Dvd Calendar'!$AE$583)=0,"",IF(('Dvd Calendar'!$AE$583&gt;=GRID_FROM)*('Dvd Calendar'!$AE$583&lt;=GRID_TO)*((('Dvd Calendar'!$AE$583&lt;=VAL_DATE)+(COUNTIF('Dvd Calendar'!$E$590:$AR$590,'Dvd Calendar'!$AE$583)=0))&gt;0)=0,"",'Dvd Calendar'!$AE$583*1000000000+ISNUMBER('Dvd Calendar'!$AE$586)*100000000+('Dvd Calendar'!$AE$588=SPECIAL_LBL)*10000000+(N('Dvd Calendar'!$AE$582)&gt;0)*(N('Dvd Calendar'!$AE$582)&lt;=VAL_SERIAL)*1000000+53*1000+27))</f>
        <v/>
      </c>
      <c r="FF64" s="39">
        <f>IF(N('Dvd Calendar'!$AF$583)=0,"",IF(('Dvd Calendar'!$AF$583&gt;=GRID_FROM)*('Dvd Calendar'!$AF$583&lt;=GRID_TO)*((('Dvd Calendar'!$AF$583&lt;=VAL_DATE)+(COUNTIF('Dvd Calendar'!$E$590:$AR$590,'Dvd Calendar'!$AF$583)=0))&gt;0)=0,"",'Dvd Calendar'!$AF$583*1000000000+ISNUMBER('Dvd Calendar'!$AF$586)*100000000+('Dvd Calendar'!$AF$588=SPECIAL_LBL)*10000000+(N('Dvd Calendar'!$AF$582)&gt;0)*(N('Dvd Calendar'!$AF$582)&lt;=VAL_SERIAL)*1000000+53*1000+28))</f>
        <v/>
      </c>
      <c r="FG64" s="39">
        <f>IF(N('Dvd Calendar'!$AG$583)=0,"",IF(('Dvd Calendar'!$AG$583&gt;=GRID_FROM)*('Dvd Calendar'!$AG$583&lt;=GRID_TO)*((('Dvd Calendar'!$AG$583&lt;=VAL_DATE)+(COUNTIF('Dvd Calendar'!$E$590:$AR$590,'Dvd Calendar'!$AG$583)=0))&gt;0)=0,"",'Dvd Calendar'!$AG$583*1000000000+ISNUMBER('Dvd Calendar'!$AG$586)*100000000+('Dvd Calendar'!$AG$588=SPECIAL_LBL)*10000000+(N('Dvd Calendar'!$AG$582)&gt;0)*(N('Dvd Calendar'!$AG$582)&lt;=VAL_SERIAL)*1000000+53*1000+29))</f>
        <v/>
      </c>
      <c r="FH64" s="39">
        <f>IF(N('Dvd Calendar'!$AH$583)=0,"",IF(('Dvd Calendar'!$AH$583&gt;=GRID_FROM)*('Dvd Calendar'!$AH$583&lt;=GRID_TO)*((('Dvd Calendar'!$AH$583&lt;=VAL_DATE)+(COUNTIF('Dvd Calendar'!$E$590:$AR$590,'Dvd Calendar'!$AH$583)=0))&gt;0)=0,"",'Dvd Calendar'!$AH$583*1000000000+ISNUMBER('Dvd Calendar'!$AH$586)*100000000+('Dvd Calendar'!$AH$588=SPECIAL_LBL)*10000000+(N('Dvd Calendar'!$AH$582)&gt;0)*(N('Dvd Calendar'!$AH$582)&lt;=VAL_SERIAL)*1000000+53*1000+30))</f>
        <v/>
      </c>
      <c r="FI64" s="39">
        <f>IF(N('Dvd Calendar'!$AI$583)=0,"",IF(('Dvd Calendar'!$AI$583&gt;=GRID_FROM)*('Dvd Calendar'!$AI$583&lt;=GRID_TO)*((('Dvd Calendar'!$AI$583&lt;=VAL_DATE)+(COUNTIF('Dvd Calendar'!$E$590:$AR$590,'Dvd Calendar'!$AI$583)=0))&gt;0)=0,"",'Dvd Calendar'!$AI$583*1000000000+ISNUMBER('Dvd Calendar'!$AI$586)*100000000+('Dvd Calendar'!$AI$588=SPECIAL_LBL)*10000000+(N('Dvd Calendar'!$AI$582)&gt;0)*(N('Dvd Calendar'!$AI$582)&lt;=VAL_SERIAL)*1000000+53*1000+31))</f>
        <v/>
      </c>
      <c r="FJ64" s="39">
        <f>IF(N('Dvd Calendar'!$AJ$583)=0,"",IF(('Dvd Calendar'!$AJ$583&gt;=GRID_FROM)*('Dvd Calendar'!$AJ$583&lt;=GRID_TO)*((('Dvd Calendar'!$AJ$583&lt;=VAL_DATE)+(COUNTIF('Dvd Calendar'!$E$590:$AR$590,'Dvd Calendar'!$AJ$583)=0))&gt;0)=0,"",'Dvd Calendar'!$AJ$583*1000000000+ISNUMBER('Dvd Calendar'!$AJ$586)*100000000+('Dvd Calendar'!$AJ$588=SPECIAL_LBL)*10000000+(N('Dvd Calendar'!$AJ$582)&gt;0)*(N('Dvd Calendar'!$AJ$582)&lt;=VAL_SERIAL)*1000000+53*1000+32))</f>
        <v/>
      </c>
      <c r="FK64" s="39">
        <f>IF(N('Dvd Calendar'!$AK$583)=0,"",IF(('Dvd Calendar'!$AK$583&gt;=GRID_FROM)*('Dvd Calendar'!$AK$583&lt;=GRID_TO)*((('Dvd Calendar'!$AK$583&lt;=VAL_DATE)+(COUNTIF('Dvd Calendar'!$E$590:$AR$590,'Dvd Calendar'!$AK$583)=0))&gt;0)=0,"",'Dvd Calendar'!$AK$583*1000000000+ISNUMBER('Dvd Calendar'!$AK$586)*100000000+('Dvd Calendar'!$AK$588=SPECIAL_LBL)*10000000+(N('Dvd Calendar'!$AK$582)&gt;0)*(N('Dvd Calendar'!$AK$582)&lt;=VAL_SERIAL)*1000000+53*1000+33))</f>
        <v/>
      </c>
      <c r="FL64" s="39">
        <f>IF(N('Dvd Calendar'!$AL$583)=0,"",IF(('Dvd Calendar'!$AL$583&gt;=GRID_FROM)*('Dvd Calendar'!$AL$583&lt;=GRID_TO)*((('Dvd Calendar'!$AL$583&lt;=VAL_DATE)+(COUNTIF('Dvd Calendar'!$E$590:$AR$590,'Dvd Calendar'!$AL$583)=0))&gt;0)=0,"",'Dvd Calendar'!$AL$583*1000000000+ISNUMBER('Dvd Calendar'!$AL$586)*100000000+('Dvd Calendar'!$AL$588=SPECIAL_LBL)*10000000+(N('Dvd Calendar'!$AL$582)&gt;0)*(N('Dvd Calendar'!$AL$582)&lt;=VAL_SERIAL)*1000000+53*1000+34))</f>
        <v/>
      </c>
      <c r="FM64" s="39">
        <f>IF(N('Dvd Calendar'!$AM$583)=0,"",IF(('Dvd Calendar'!$AM$583&gt;=GRID_FROM)*('Dvd Calendar'!$AM$583&lt;=GRID_TO)*((('Dvd Calendar'!$AM$583&lt;=VAL_DATE)+(COUNTIF('Dvd Calendar'!$E$590:$AR$590,'Dvd Calendar'!$AM$583)=0))&gt;0)=0,"",'Dvd Calendar'!$AM$583*1000000000+ISNUMBER('Dvd Calendar'!$AM$586)*100000000+('Dvd Calendar'!$AM$588=SPECIAL_LBL)*10000000+(N('Dvd Calendar'!$AM$582)&gt;0)*(N('Dvd Calendar'!$AM$582)&lt;=VAL_SERIAL)*1000000+53*1000+35))</f>
        <v/>
      </c>
      <c r="FN64" s="39">
        <f>IF(N('Dvd Calendar'!$AN$583)=0,"",IF(('Dvd Calendar'!$AN$583&gt;=GRID_FROM)*('Dvd Calendar'!$AN$583&lt;=GRID_TO)*((('Dvd Calendar'!$AN$583&lt;=VAL_DATE)+(COUNTIF('Dvd Calendar'!$E$590:$AR$590,'Dvd Calendar'!$AN$583)=0))&gt;0)=0,"",'Dvd Calendar'!$AN$583*1000000000+ISNUMBER('Dvd Calendar'!$AN$586)*100000000+('Dvd Calendar'!$AN$588=SPECIAL_LBL)*10000000+(N('Dvd Calendar'!$AN$582)&gt;0)*(N('Dvd Calendar'!$AN$582)&lt;=VAL_SERIAL)*1000000+53*1000+36))</f>
        <v/>
      </c>
      <c r="FO64" s="39">
        <f>IF(N('Dvd Calendar'!$AO$583)=0,"",IF(('Dvd Calendar'!$AO$583&gt;=GRID_FROM)*('Dvd Calendar'!$AO$583&lt;=GRID_TO)*((('Dvd Calendar'!$AO$583&lt;=VAL_DATE)+(COUNTIF('Dvd Calendar'!$E$590:$AR$590,'Dvd Calendar'!$AO$583)=0))&gt;0)=0,"",'Dvd Calendar'!$AO$583*1000000000+ISNUMBER('Dvd Calendar'!$AO$586)*100000000+('Dvd Calendar'!$AO$588=SPECIAL_LBL)*10000000+(N('Dvd Calendar'!$AO$582)&gt;0)*(N('Dvd Calendar'!$AO$582)&lt;=VAL_SERIAL)*1000000+53*1000+37))</f>
        <v/>
      </c>
      <c r="FP64" s="39">
        <f>IF(N('Dvd Calendar'!$AP$583)=0,"",IF(('Dvd Calendar'!$AP$583&gt;=GRID_FROM)*('Dvd Calendar'!$AP$583&lt;=GRID_TO)*((('Dvd Calendar'!$AP$583&lt;=VAL_DATE)+(COUNTIF('Dvd Calendar'!$E$590:$AR$590,'Dvd Calendar'!$AP$583)=0))&gt;0)=0,"",'Dvd Calendar'!$AP$583*1000000000+ISNUMBER('Dvd Calendar'!$AP$586)*100000000+('Dvd Calendar'!$AP$588=SPECIAL_LBL)*10000000+(N('Dvd Calendar'!$AP$582)&gt;0)*(N('Dvd Calendar'!$AP$582)&lt;=VAL_SERIAL)*1000000+53*1000+38))</f>
        <v/>
      </c>
      <c r="FQ64" s="39">
        <f>IF(N('Dvd Calendar'!$AQ$583)=0,"",IF(('Dvd Calendar'!$AQ$583&gt;=GRID_FROM)*('Dvd Calendar'!$AQ$583&lt;=GRID_TO)*((('Dvd Calendar'!$AQ$583&lt;=VAL_DATE)+(COUNTIF('Dvd Calendar'!$E$590:$AR$590,'Dvd Calendar'!$AQ$583)=0))&gt;0)=0,"",'Dvd Calendar'!$AQ$583*1000000000+ISNUMBER('Dvd Calendar'!$AQ$586)*100000000+('Dvd Calendar'!$AQ$588=SPECIAL_LBL)*10000000+(N('Dvd Calendar'!$AQ$582)&gt;0)*(N('Dvd Calendar'!$AQ$582)&lt;=VAL_SERIAL)*1000000+53*1000+39))</f>
        <v/>
      </c>
      <c r="FR64" s="39">
        <f>IF(N('Dvd Calendar'!$AR$583)=0,"",IF(('Dvd Calendar'!$AR$583&gt;=GRID_FROM)*('Dvd Calendar'!$AR$583&lt;=GRID_TO)*((('Dvd Calendar'!$AR$583&lt;=VAL_DATE)+(COUNTIF('Dvd Calendar'!$E$590:$AR$590,'Dvd Calendar'!$AR$583)=0))&gt;0)=0,"",'Dvd Calendar'!$AR$583*1000000000+ISNUMBER('Dvd Calendar'!$AR$586)*100000000+('Dvd Calendar'!$AR$588=SPECIAL_LBL)*10000000+(N('Dvd Calendar'!$AR$582)&gt;0)*(N('Dvd Calendar'!$AR$582)&lt;=VAL_SERIAL)*1000000+53*1000+40))</f>
        <v/>
      </c>
      <c r="FS64" s="39">
        <f>IF(N('Dvd Calendar'!$E$590)=0,"",IF(('Dvd Calendar'!$E$590&gt;=GRID_FROM)*('Dvd Calendar'!$E$590&lt;=GRID_TO)*('Dvd Calendar'!$E$590&gt;VAL_DATE)=0,"",'Dvd Calendar'!$E$590*1000000000+ISNUMBER('Dvd Calendar'!$E$591)*100000000+0*10000000+(N('Dvd Calendar'!$E$589)&gt;0)*(N('Dvd Calendar'!$E$589)&lt;=VAL_SERIAL)*1000000+53*1000+41))</f>
        <v/>
      </c>
      <c r="FT64" s="39">
        <f>IF(N('Dvd Calendar'!$F$590)=0,"",IF(('Dvd Calendar'!$F$590&gt;=GRID_FROM)*('Dvd Calendar'!$F$590&lt;=GRID_TO)*('Dvd Calendar'!$F$590&gt;VAL_DATE)=0,"",'Dvd Calendar'!$F$590*1000000000+ISNUMBER('Dvd Calendar'!$F$591)*100000000+0*10000000+(N('Dvd Calendar'!$F$589)&gt;0)*(N('Dvd Calendar'!$F$589)&lt;=VAL_SERIAL)*1000000+53*1000+42))</f>
        <v/>
      </c>
      <c r="FU64" s="39">
        <f>IF(N('Dvd Calendar'!$G$590)=0,"",IF(('Dvd Calendar'!$G$590&gt;=GRID_FROM)*('Dvd Calendar'!$G$590&lt;=GRID_TO)*('Dvd Calendar'!$G$590&gt;VAL_DATE)=0,"",'Dvd Calendar'!$G$590*1000000000+ISNUMBER('Dvd Calendar'!$G$591)*100000000+0*10000000+(N('Dvd Calendar'!$G$589)&gt;0)*(N('Dvd Calendar'!$G$589)&lt;=VAL_SERIAL)*1000000+53*1000+43))</f>
        <v/>
      </c>
      <c r="FV64" s="39">
        <f>IF(N('Dvd Calendar'!$H$590)=0,"",IF(('Dvd Calendar'!$H$590&gt;=GRID_FROM)*('Dvd Calendar'!$H$590&lt;=GRID_TO)*('Dvd Calendar'!$H$590&gt;VAL_DATE)=0,"",'Dvd Calendar'!$H$590*1000000000+ISNUMBER('Dvd Calendar'!$H$591)*100000000+0*10000000+(N('Dvd Calendar'!$H$589)&gt;0)*(N('Dvd Calendar'!$H$589)&lt;=VAL_SERIAL)*1000000+53*1000+44))</f>
        <v/>
      </c>
      <c r="FW64" s="39">
        <f>IF(N('Dvd Calendar'!$I$590)=0,"",IF(('Dvd Calendar'!$I$590&gt;=GRID_FROM)*('Dvd Calendar'!$I$590&lt;=GRID_TO)*('Dvd Calendar'!$I$590&gt;VAL_DATE)=0,"",'Dvd Calendar'!$I$590*1000000000+ISNUMBER('Dvd Calendar'!$I$591)*100000000+0*10000000+(N('Dvd Calendar'!$I$589)&gt;0)*(N('Dvd Calendar'!$I$589)&lt;=VAL_SERIAL)*1000000+53*1000+45))</f>
        <v/>
      </c>
      <c r="FX64" s="39">
        <f>IF(N('Dvd Calendar'!$J$590)=0,"",IF(('Dvd Calendar'!$J$590&gt;=GRID_FROM)*('Dvd Calendar'!$J$590&lt;=GRID_TO)*('Dvd Calendar'!$J$590&gt;VAL_DATE)=0,"",'Dvd Calendar'!$J$590*1000000000+ISNUMBER('Dvd Calendar'!$J$591)*100000000+0*10000000+(N('Dvd Calendar'!$J$589)&gt;0)*(N('Dvd Calendar'!$J$589)&lt;=VAL_SERIAL)*1000000+53*1000+46))</f>
        <v/>
      </c>
      <c r="FY64" s="39">
        <f>IF(N('Dvd Calendar'!$K$590)=0,"",IF(('Dvd Calendar'!$K$590&gt;=GRID_FROM)*('Dvd Calendar'!$K$590&lt;=GRID_TO)*('Dvd Calendar'!$K$590&gt;VAL_DATE)=0,"",'Dvd Calendar'!$K$590*1000000000+ISNUMBER('Dvd Calendar'!$K$591)*100000000+0*10000000+(N('Dvd Calendar'!$K$589)&gt;0)*(N('Dvd Calendar'!$K$589)&lt;=VAL_SERIAL)*1000000+53*1000+47))</f>
        <v/>
      </c>
      <c r="FZ64" s="39">
        <f>IF(N('Dvd Calendar'!$L$590)=0,"",IF(('Dvd Calendar'!$L$590&gt;=GRID_FROM)*('Dvd Calendar'!$L$590&lt;=GRID_TO)*('Dvd Calendar'!$L$590&gt;VAL_DATE)=0,"",'Dvd Calendar'!$L$590*1000000000+ISNUMBER('Dvd Calendar'!$L$591)*100000000+0*10000000+(N('Dvd Calendar'!$L$589)&gt;0)*(N('Dvd Calendar'!$L$589)&lt;=VAL_SERIAL)*1000000+53*1000+48))</f>
        <v/>
      </c>
      <c r="GA64" s="39">
        <f>IF(N('Dvd Calendar'!$M$590)=0,"",IF(('Dvd Calendar'!$M$590&gt;=GRID_FROM)*('Dvd Calendar'!$M$590&lt;=GRID_TO)*('Dvd Calendar'!$M$590&gt;VAL_DATE)=0,"",'Dvd Calendar'!$M$590*1000000000+ISNUMBER('Dvd Calendar'!$M$591)*100000000+0*10000000+(N('Dvd Calendar'!$M$589)&gt;0)*(N('Dvd Calendar'!$M$589)&lt;=VAL_SERIAL)*1000000+53*1000+49))</f>
        <v/>
      </c>
      <c r="GB64" s="39">
        <f>IF(N('Dvd Calendar'!$N$590)=0,"",IF(('Dvd Calendar'!$N$590&gt;=GRID_FROM)*('Dvd Calendar'!$N$590&lt;=GRID_TO)*('Dvd Calendar'!$N$590&gt;VAL_DATE)=0,"",'Dvd Calendar'!$N$590*1000000000+ISNUMBER('Dvd Calendar'!$N$591)*100000000+0*10000000+(N('Dvd Calendar'!$N$589)&gt;0)*(N('Dvd Calendar'!$N$589)&lt;=VAL_SERIAL)*1000000+53*1000+50))</f>
        <v/>
      </c>
      <c r="GC64" s="39">
        <f>IF(N('Dvd Calendar'!$O$590)=0,"",IF(('Dvd Calendar'!$O$590&gt;=GRID_FROM)*('Dvd Calendar'!$O$590&lt;=GRID_TO)*('Dvd Calendar'!$O$590&gt;VAL_DATE)=0,"",'Dvd Calendar'!$O$590*1000000000+ISNUMBER('Dvd Calendar'!$O$591)*100000000+0*10000000+(N('Dvd Calendar'!$O$589)&gt;0)*(N('Dvd Calendar'!$O$589)&lt;=VAL_SERIAL)*1000000+53*1000+51))</f>
        <v/>
      </c>
      <c r="GD64" s="39">
        <f>IF(N('Dvd Calendar'!$P$590)=0,"",IF(('Dvd Calendar'!$P$590&gt;=GRID_FROM)*('Dvd Calendar'!$P$590&lt;=GRID_TO)*('Dvd Calendar'!$P$590&gt;VAL_DATE)=0,"",'Dvd Calendar'!$P$590*1000000000+ISNUMBER('Dvd Calendar'!$P$591)*100000000+0*10000000+(N('Dvd Calendar'!$P$589)&gt;0)*(N('Dvd Calendar'!$P$589)&lt;=VAL_SERIAL)*1000000+53*1000+52))</f>
        <v/>
      </c>
      <c r="GE64" s="39">
        <f>IF(N('Dvd Calendar'!$Q$590)=0,"",IF(('Dvd Calendar'!$Q$590&gt;=GRID_FROM)*('Dvd Calendar'!$Q$590&lt;=GRID_TO)*('Dvd Calendar'!$Q$590&gt;VAL_DATE)=0,"",'Dvd Calendar'!$Q$590*1000000000+ISNUMBER('Dvd Calendar'!$Q$591)*100000000+0*10000000+(N('Dvd Calendar'!$Q$589)&gt;0)*(N('Dvd Calendar'!$Q$589)&lt;=VAL_SERIAL)*1000000+53*1000+53))</f>
        <v/>
      </c>
      <c r="GF64" s="39">
        <f>IF(N('Dvd Calendar'!$R$590)=0,"",IF(('Dvd Calendar'!$R$590&gt;=GRID_FROM)*('Dvd Calendar'!$R$590&lt;=GRID_TO)*('Dvd Calendar'!$R$590&gt;VAL_DATE)=0,"",'Dvd Calendar'!$R$590*1000000000+ISNUMBER('Dvd Calendar'!$R$591)*100000000+0*10000000+(N('Dvd Calendar'!$R$589)&gt;0)*(N('Dvd Calendar'!$R$589)&lt;=VAL_SERIAL)*1000000+53*1000+54))</f>
        <v/>
      </c>
      <c r="GG64" s="39">
        <f>IF(N('Dvd Calendar'!$S$590)=0,"",IF(('Dvd Calendar'!$S$590&gt;=GRID_FROM)*('Dvd Calendar'!$S$590&lt;=GRID_TO)*('Dvd Calendar'!$S$590&gt;VAL_DATE)=0,"",'Dvd Calendar'!$S$590*1000000000+ISNUMBER('Dvd Calendar'!$S$591)*100000000+0*10000000+(N('Dvd Calendar'!$S$589)&gt;0)*(N('Dvd Calendar'!$S$589)&lt;=VAL_SERIAL)*1000000+53*1000+55))</f>
        <v/>
      </c>
      <c r="GH64" s="39">
        <f>IF(N('Dvd Calendar'!$T$590)=0,"",IF(('Dvd Calendar'!$T$590&gt;=GRID_FROM)*('Dvd Calendar'!$T$590&lt;=GRID_TO)*('Dvd Calendar'!$T$590&gt;VAL_DATE)=0,"",'Dvd Calendar'!$T$590*1000000000+ISNUMBER('Dvd Calendar'!$T$591)*100000000+0*10000000+(N('Dvd Calendar'!$T$589)&gt;0)*(N('Dvd Calendar'!$T$589)&lt;=VAL_SERIAL)*1000000+53*1000+56))</f>
        <v/>
      </c>
      <c r="GI64" s="39">
        <f>IF(N('Dvd Calendar'!$U$590)=0,"",IF(('Dvd Calendar'!$U$590&gt;=GRID_FROM)*('Dvd Calendar'!$U$590&lt;=GRID_TO)*('Dvd Calendar'!$U$590&gt;VAL_DATE)=0,"",'Dvd Calendar'!$U$590*1000000000+ISNUMBER('Dvd Calendar'!$U$591)*100000000+0*10000000+(N('Dvd Calendar'!$U$589)&gt;0)*(N('Dvd Calendar'!$U$589)&lt;=VAL_SERIAL)*1000000+53*1000+57))</f>
        <v/>
      </c>
      <c r="GJ64" s="39">
        <f>IF(N('Dvd Calendar'!$V$590)=0,"",IF(('Dvd Calendar'!$V$590&gt;=GRID_FROM)*('Dvd Calendar'!$V$590&lt;=GRID_TO)*('Dvd Calendar'!$V$590&gt;VAL_DATE)=0,"",'Dvd Calendar'!$V$590*1000000000+ISNUMBER('Dvd Calendar'!$V$591)*100000000+0*10000000+(N('Dvd Calendar'!$V$589)&gt;0)*(N('Dvd Calendar'!$V$589)&lt;=VAL_SERIAL)*1000000+53*1000+58))</f>
        <v/>
      </c>
      <c r="GK64" s="39">
        <f>IF(N('Dvd Calendar'!$W$590)=0,"",IF(('Dvd Calendar'!$W$590&gt;=GRID_FROM)*('Dvd Calendar'!$W$590&lt;=GRID_TO)*('Dvd Calendar'!$W$590&gt;VAL_DATE)=0,"",'Dvd Calendar'!$W$590*1000000000+ISNUMBER('Dvd Calendar'!$W$591)*100000000+0*10000000+(N('Dvd Calendar'!$W$589)&gt;0)*(N('Dvd Calendar'!$W$589)&lt;=VAL_SERIAL)*1000000+53*1000+59))</f>
        <v/>
      </c>
      <c r="GL64" s="39">
        <f>IF(N('Dvd Calendar'!$X$590)=0,"",IF(('Dvd Calendar'!$X$590&gt;=GRID_FROM)*('Dvd Calendar'!$X$590&lt;=GRID_TO)*('Dvd Calendar'!$X$590&gt;VAL_DATE)=0,"",'Dvd Calendar'!$X$590*1000000000+ISNUMBER('Dvd Calendar'!$X$591)*100000000+0*10000000+(N('Dvd Calendar'!$X$589)&gt;0)*(N('Dvd Calendar'!$X$589)&lt;=VAL_SERIAL)*1000000+53*1000+60))</f>
        <v/>
      </c>
      <c r="GM64" s="39">
        <f>IF(N('Dvd Calendar'!$Y$590)=0,"",IF(('Dvd Calendar'!$Y$590&gt;=GRID_FROM)*('Dvd Calendar'!$Y$590&lt;=GRID_TO)*('Dvd Calendar'!$Y$590&gt;VAL_DATE)=0,"",'Dvd Calendar'!$Y$590*1000000000+ISNUMBER('Dvd Calendar'!$Y$591)*100000000+0*10000000+(N('Dvd Calendar'!$Y$589)&gt;0)*(N('Dvd Calendar'!$Y$589)&lt;=VAL_SERIAL)*1000000+53*1000+61))</f>
        <v/>
      </c>
      <c r="GN64" s="39">
        <f>IF(N('Dvd Calendar'!$Z$590)=0,"",IF(('Dvd Calendar'!$Z$590&gt;=GRID_FROM)*('Dvd Calendar'!$Z$590&lt;=GRID_TO)*('Dvd Calendar'!$Z$590&gt;VAL_DATE)=0,"",'Dvd Calendar'!$Z$590*1000000000+ISNUMBER('Dvd Calendar'!$Z$591)*100000000+0*10000000+(N('Dvd Calendar'!$Z$589)&gt;0)*(N('Dvd Calendar'!$Z$589)&lt;=VAL_SERIAL)*1000000+53*1000+62))</f>
        <v/>
      </c>
      <c r="GO64" s="39">
        <f>IF(N('Dvd Calendar'!$AA$590)=0,"",IF(('Dvd Calendar'!$AA$590&gt;=GRID_FROM)*('Dvd Calendar'!$AA$590&lt;=GRID_TO)*('Dvd Calendar'!$AA$590&gt;VAL_DATE)=0,"",'Dvd Calendar'!$AA$590*1000000000+ISNUMBER('Dvd Calendar'!$AA$591)*100000000+0*10000000+(N('Dvd Calendar'!$AA$589)&gt;0)*(N('Dvd Calendar'!$AA$589)&lt;=VAL_SERIAL)*1000000+53*1000+63))</f>
        <v/>
      </c>
      <c r="GP64" s="39">
        <f>IF(N('Dvd Calendar'!$AB$590)=0,"",IF(('Dvd Calendar'!$AB$590&gt;=GRID_FROM)*('Dvd Calendar'!$AB$590&lt;=GRID_TO)*('Dvd Calendar'!$AB$590&gt;VAL_DATE)=0,"",'Dvd Calendar'!$AB$590*1000000000+ISNUMBER('Dvd Calendar'!$AB$591)*100000000+0*10000000+(N('Dvd Calendar'!$AB$589)&gt;0)*(N('Dvd Calendar'!$AB$589)&lt;=VAL_SERIAL)*1000000+53*1000+64))</f>
        <v/>
      </c>
      <c r="GQ64" s="39">
        <f>IF(N('Dvd Calendar'!$AC$590)=0,"",IF(('Dvd Calendar'!$AC$590&gt;=GRID_FROM)*('Dvd Calendar'!$AC$590&lt;=GRID_TO)*('Dvd Calendar'!$AC$590&gt;VAL_DATE)=0,"",'Dvd Calendar'!$AC$590*1000000000+ISNUMBER('Dvd Calendar'!$AC$591)*100000000+0*10000000+(N('Dvd Calendar'!$AC$589)&gt;0)*(N('Dvd Calendar'!$AC$589)&lt;=VAL_SERIAL)*1000000+53*1000+65))</f>
        <v/>
      </c>
    </row>
    <row r="65">
      <c r="B65" s="2">
        <f>IF(HSI!$C$60="","",HSI!$C$60)</f>
        <v/>
      </c>
      <c r="C65" s="110">
        <f>IF(EE65="","",IF(ISNUMBER('Dvd Calendar'!$E$597)=FALSE,"",IF((('Dvd Calendar'!$E$599=TYPE1)*(TYPE1&lt;&gt;"")+('Dvd Calendar'!$E$599=TYPE2)*(TYPE2&lt;&gt;"")+('Dvd Calendar'!$E$599=TYPE3)*(TYPE3&lt;&gt;"")+('Dvd Calendar'!$E$599=TYPE4)*(TYPE4&lt;&gt;"")+('Dvd Calendar'!$E$599=SPECIAL_LBL)*(INC_SPECIALS="Y"))=0,"",'Dvd Calendar'!$E$597)))</f>
        <v/>
      </c>
      <c r="D65" s="110">
        <f>IF(EF65="","",IF(ISNUMBER('Dvd Calendar'!$F$597)=FALSE,"",IF((('Dvd Calendar'!$F$599=TYPE1)*(TYPE1&lt;&gt;"")+('Dvd Calendar'!$F$599=TYPE2)*(TYPE2&lt;&gt;"")+('Dvd Calendar'!$F$599=TYPE3)*(TYPE3&lt;&gt;"")+('Dvd Calendar'!$F$599=TYPE4)*(TYPE4&lt;&gt;"")+('Dvd Calendar'!$F$599=SPECIAL_LBL)*(INC_SPECIALS="Y"))=0,"",'Dvd Calendar'!$F$597)))</f>
        <v/>
      </c>
      <c r="E65" s="110">
        <f>IF(EG65="","",IF(ISNUMBER('Dvd Calendar'!$G$597)=FALSE,"",IF((('Dvd Calendar'!$G$599=TYPE1)*(TYPE1&lt;&gt;"")+('Dvd Calendar'!$G$599=TYPE2)*(TYPE2&lt;&gt;"")+('Dvd Calendar'!$G$599=TYPE3)*(TYPE3&lt;&gt;"")+('Dvd Calendar'!$G$599=TYPE4)*(TYPE4&lt;&gt;"")+('Dvd Calendar'!$G$599=SPECIAL_LBL)*(INC_SPECIALS="Y"))=0,"",'Dvd Calendar'!$G$597)))</f>
        <v/>
      </c>
      <c r="F65" s="110">
        <f>IF(EH65="","",IF(ISNUMBER('Dvd Calendar'!$H$597)=FALSE,"",IF((('Dvd Calendar'!$H$599=TYPE1)*(TYPE1&lt;&gt;"")+('Dvd Calendar'!$H$599=TYPE2)*(TYPE2&lt;&gt;"")+('Dvd Calendar'!$H$599=TYPE3)*(TYPE3&lt;&gt;"")+('Dvd Calendar'!$H$599=TYPE4)*(TYPE4&lt;&gt;"")+('Dvd Calendar'!$H$599=SPECIAL_LBL)*(INC_SPECIALS="Y"))=0,"",'Dvd Calendar'!$H$597)))</f>
        <v/>
      </c>
      <c r="G65" s="110">
        <f>IF(EI65="","",IF(ISNUMBER('Dvd Calendar'!$I$597)=FALSE,"",IF((('Dvd Calendar'!$I$599=TYPE1)*(TYPE1&lt;&gt;"")+('Dvd Calendar'!$I$599=TYPE2)*(TYPE2&lt;&gt;"")+('Dvd Calendar'!$I$599=TYPE3)*(TYPE3&lt;&gt;"")+('Dvd Calendar'!$I$599=TYPE4)*(TYPE4&lt;&gt;"")+('Dvd Calendar'!$I$599=SPECIAL_LBL)*(INC_SPECIALS="Y"))=0,"",'Dvd Calendar'!$I$597)))</f>
        <v/>
      </c>
      <c r="H65" s="110">
        <f>IF(EJ65="","",IF(ISNUMBER('Dvd Calendar'!$J$597)=FALSE,"",IF((('Dvd Calendar'!$J$599=TYPE1)*(TYPE1&lt;&gt;"")+('Dvd Calendar'!$J$599=TYPE2)*(TYPE2&lt;&gt;"")+('Dvd Calendar'!$J$599=TYPE3)*(TYPE3&lt;&gt;"")+('Dvd Calendar'!$J$599=TYPE4)*(TYPE4&lt;&gt;"")+('Dvd Calendar'!$J$599=SPECIAL_LBL)*(INC_SPECIALS="Y"))=0,"",'Dvd Calendar'!$J$597)))</f>
        <v/>
      </c>
      <c r="I65" s="110">
        <f>IF(EK65="","",IF(ISNUMBER('Dvd Calendar'!$K$597)=FALSE,"",IF((('Dvd Calendar'!$K$599=TYPE1)*(TYPE1&lt;&gt;"")+('Dvd Calendar'!$K$599=TYPE2)*(TYPE2&lt;&gt;"")+('Dvd Calendar'!$K$599=TYPE3)*(TYPE3&lt;&gt;"")+('Dvd Calendar'!$K$599=TYPE4)*(TYPE4&lt;&gt;"")+('Dvd Calendar'!$K$599=SPECIAL_LBL)*(INC_SPECIALS="Y"))=0,"",'Dvd Calendar'!$K$597)))</f>
        <v/>
      </c>
      <c r="J65" s="110">
        <f>IF(EL65="","",IF(ISNUMBER('Dvd Calendar'!$L$597)=FALSE,"",IF((('Dvd Calendar'!$L$599=TYPE1)*(TYPE1&lt;&gt;"")+('Dvd Calendar'!$L$599=TYPE2)*(TYPE2&lt;&gt;"")+('Dvd Calendar'!$L$599=TYPE3)*(TYPE3&lt;&gt;"")+('Dvd Calendar'!$L$599=TYPE4)*(TYPE4&lt;&gt;"")+('Dvd Calendar'!$L$599=SPECIAL_LBL)*(INC_SPECIALS="Y"))=0,"",'Dvd Calendar'!$L$597)))</f>
        <v/>
      </c>
      <c r="K65" s="110">
        <f>IF(EM65="","",IF(ISNUMBER('Dvd Calendar'!$M$597)=FALSE,"",IF((('Dvd Calendar'!$M$599=TYPE1)*(TYPE1&lt;&gt;"")+('Dvd Calendar'!$M$599=TYPE2)*(TYPE2&lt;&gt;"")+('Dvd Calendar'!$M$599=TYPE3)*(TYPE3&lt;&gt;"")+('Dvd Calendar'!$M$599=TYPE4)*(TYPE4&lt;&gt;"")+('Dvd Calendar'!$M$599=SPECIAL_LBL)*(INC_SPECIALS="Y"))=0,"",'Dvd Calendar'!$M$597)))</f>
        <v/>
      </c>
      <c r="L65" s="110">
        <f>IF(EN65="","",IF(ISNUMBER('Dvd Calendar'!$N$597)=FALSE,"",IF((('Dvd Calendar'!$N$599=TYPE1)*(TYPE1&lt;&gt;"")+('Dvd Calendar'!$N$599=TYPE2)*(TYPE2&lt;&gt;"")+('Dvd Calendar'!$N$599=TYPE3)*(TYPE3&lt;&gt;"")+('Dvd Calendar'!$N$599=TYPE4)*(TYPE4&lt;&gt;"")+('Dvd Calendar'!$N$599=SPECIAL_LBL)*(INC_SPECIALS="Y"))=0,"",'Dvd Calendar'!$N$597)))</f>
        <v/>
      </c>
      <c r="M65" s="110">
        <f>IF(EO65="","",IF(ISNUMBER('Dvd Calendar'!$O$597)=FALSE,"",IF((('Dvd Calendar'!$O$599=TYPE1)*(TYPE1&lt;&gt;"")+('Dvd Calendar'!$O$599=TYPE2)*(TYPE2&lt;&gt;"")+('Dvd Calendar'!$O$599=TYPE3)*(TYPE3&lt;&gt;"")+('Dvd Calendar'!$O$599=TYPE4)*(TYPE4&lt;&gt;"")+('Dvd Calendar'!$O$599=SPECIAL_LBL)*(INC_SPECIALS="Y"))=0,"",'Dvd Calendar'!$O$597)))</f>
        <v/>
      </c>
      <c r="N65" s="110">
        <f>IF(EP65="","",IF(ISNUMBER('Dvd Calendar'!$P$597)=FALSE,"",IF((('Dvd Calendar'!$P$599=TYPE1)*(TYPE1&lt;&gt;"")+('Dvd Calendar'!$P$599=TYPE2)*(TYPE2&lt;&gt;"")+('Dvd Calendar'!$P$599=TYPE3)*(TYPE3&lt;&gt;"")+('Dvd Calendar'!$P$599=TYPE4)*(TYPE4&lt;&gt;"")+('Dvd Calendar'!$P$599=SPECIAL_LBL)*(INC_SPECIALS="Y"))=0,"",'Dvd Calendar'!$P$597)))</f>
        <v/>
      </c>
      <c r="O65" s="110">
        <f>IF(EQ65="","",IF(ISNUMBER('Dvd Calendar'!$Q$597)=FALSE,"",IF((('Dvd Calendar'!$Q$599=TYPE1)*(TYPE1&lt;&gt;"")+('Dvd Calendar'!$Q$599=TYPE2)*(TYPE2&lt;&gt;"")+('Dvd Calendar'!$Q$599=TYPE3)*(TYPE3&lt;&gt;"")+('Dvd Calendar'!$Q$599=TYPE4)*(TYPE4&lt;&gt;"")+('Dvd Calendar'!$Q$599=SPECIAL_LBL)*(INC_SPECIALS="Y"))=0,"",'Dvd Calendar'!$Q$597)))</f>
        <v/>
      </c>
      <c r="P65" s="110">
        <f>IF(ER65="","",IF(ISNUMBER('Dvd Calendar'!$R$597)=FALSE,"",IF((('Dvd Calendar'!$R$599=TYPE1)*(TYPE1&lt;&gt;"")+('Dvd Calendar'!$R$599=TYPE2)*(TYPE2&lt;&gt;"")+('Dvd Calendar'!$R$599=TYPE3)*(TYPE3&lt;&gt;"")+('Dvd Calendar'!$R$599=TYPE4)*(TYPE4&lt;&gt;"")+('Dvd Calendar'!$R$599=SPECIAL_LBL)*(INC_SPECIALS="Y"))=0,"",'Dvd Calendar'!$R$597)))</f>
        <v/>
      </c>
      <c r="Q65" s="110">
        <f>IF(ES65="","",IF(ISNUMBER('Dvd Calendar'!$S$597)=FALSE,"",IF((('Dvd Calendar'!$S$599=TYPE1)*(TYPE1&lt;&gt;"")+('Dvd Calendar'!$S$599=TYPE2)*(TYPE2&lt;&gt;"")+('Dvd Calendar'!$S$599=TYPE3)*(TYPE3&lt;&gt;"")+('Dvd Calendar'!$S$599=TYPE4)*(TYPE4&lt;&gt;"")+('Dvd Calendar'!$S$599=SPECIAL_LBL)*(INC_SPECIALS="Y"))=0,"",'Dvd Calendar'!$S$597)))</f>
        <v/>
      </c>
      <c r="R65" s="110">
        <f>IF(ET65="","",IF(ISNUMBER('Dvd Calendar'!$T$597)=FALSE,"",IF((('Dvd Calendar'!$T$599=TYPE1)*(TYPE1&lt;&gt;"")+('Dvd Calendar'!$T$599=TYPE2)*(TYPE2&lt;&gt;"")+('Dvd Calendar'!$T$599=TYPE3)*(TYPE3&lt;&gt;"")+('Dvd Calendar'!$T$599=TYPE4)*(TYPE4&lt;&gt;"")+('Dvd Calendar'!$T$599=SPECIAL_LBL)*(INC_SPECIALS="Y"))=0,"",'Dvd Calendar'!$T$597)))</f>
        <v/>
      </c>
      <c r="S65" s="110">
        <f>IF(EU65="","",IF(ISNUMBER('Dvd Calendar'!$U$597)=FALSE,"",IF((('Dvd Calendar'!$U$599=TYPE1)*(TYPE1&lt;&gt;"")+('Dvd Calendar'!$U$599=TYPE2)*(TYPE2&lt;&gt;"")+('Dvd Calendar'!$U$599=TYPE3)*(TYPE3&lt;&gt;"")+('Dvd Calendar'!$U$599=TYPE4)*(TYPE4&lt;&gt;"")+('Dvd Calendar'!$U$599=SPECIAL_LBL)*(INC_SPECIALS="Y"))=0,"",'Dvd Calendar'!$U$597)))</f>
        <v/>
      </c>
      <c r="T65" s="110">
        <f>IF(EV65="","",IF(ISNUMBER('Dvd Calendar'!$V$597)=FALSE,"",IF((('Dvd Calendar'!$V$599=TYPE1)*(TYPE1&lt;&gt;"")+('Dvd Calendar'!$V$599=TYPE2)*(TYPE2&lt;&gt;"")+('Dvd Calendar'!$V$599=TYPE3)*(TYPE3&lt;&gt;"")+('Dvd Calendar'!$V$599=TYPE4)*(TYPE4&lt;&gt;"")+('Dvd Calendar'!$V$599=SPECIAL_LBL)*(INC_SPECIALS="Y"))=0,"",'Dvd Calendar'!$V$597)))</f>
        <v/>
      </c>
      <c r="U65" s="110">
        <f>IF(EW65="","",IF(ISNUMBER('Dvd Calendar'!$W$597)=FALSE,"",IF((('Dvd Calendar'!$W$599=TYPE1)*(TYPE1&lt;&gt;"")+('Dvd Calendar'!$W$599=TYPE2)*(TYPE2&lt;&gt;"")+('Dvd Calendar'!$W$599=TYPE3)*(TYPE3&lt;&gt;"")+('Dvd Calendar'!$W$599=TYPE4)*(TYPE4&lt;&gt;"")+('Dvd Calendar'!$W$599=SPECIAL_LBL)*(INC_SPECIALS="Y"))=0,"",'Dvd Calendar'!$W$597)))</f>
        <v/>
      </c>
      <c r="V65" s="110">
        <f>IF(EX65="","",IF(ISNUMBER('Dvd Calendar'!$X$597)=FALSE,"",IF((('Dvd Calendar'!$X$599=TYPE1)*(TYPE1&lt;&gt;"")+('Dvd Calendar'!$X$599=TYPE2)*(TYPE2&lt;&gt;"")+('Dvd Calendar'!$X$599=TYPE3)*(TYPE3&lt;&gt;"")+('Dvd Calendar'!$X$599=TYPE4)*(TYPE4&lt;&gt;"")+('Dvd Calendar'!$X$599=SPECIAL_LBL)*(INC_SPECIALS="Y"))=0,"",'Dvd Calendar'!$X$597)))</f>
        <v/>
      </c>
      <c r="W65" s="110">
        <f>IF(EY65="","",IF(ISNUMBER('Dvd Calendar'!$Y$597)=FALSE,"",IF((('Dvd Calendar'!$Y$599=TYPE1)*(TYPE1&lt;&gt;"")+('Dvd Calendar'!$Y$599=TYPE2)*(TYPE2&lt;&gt;"")+('Dvd Calendar'!$Y$599=TYPE3)*(TYPE3&lt;&gt;"")+('Dvd Calendar'!$Y$599=TYPE4)*(TYPE4&lt;&gt;"")+('Dvd Calendar'!$Y$599=SPECIAL_LBL)*(INC_SPECIALS="Y"))=0,"",'Dvd Calendar'!$Y$597)))</f>
        <v/>
      </c>
      <c r="X65" s="110">
        <f>IF(EZ65="","",IF(ISNUMBER('Dvd Calendar'!$Z$597)=FALSE,"",IF((('Dvd Calendar'!$Z$599=TYPE1)*(TYPE1&lt;&gt;"")+('Dvd Calendar'!$Z$599=TYPE2)*(TYPE2&lt;&gt;"")+('Dvd Calendar'!$Z$599=TYPE3)*(TYPE3&lt;&gt;"")+('Dvd Calendar'!$Z$599=TYPE4)*(TYPE4&lt;&gt;"")+('Dvd Calendar'!$Z$599=SPECIAL_LBL)*(INC_SPECIALS="Y"))=0,"",'Dvd Calendar'!$Z$597)))</f>
        <v/>
      </c>
      <c r="Y65" s="110">
        <f>IF(FA65="","",IF(ISNUMBER('Dvd Calendar'!$AA$597)=FALSE,"",IF((('Dvd Calendar'!$AA$599=TYPE1)*(TYPE1&lt;&gt;"")+('Dvd Calendar'!$AA$599=TYPE2)*(TYPE2&lt;&gt;"")+('Dvd Calendar'!$AA$599=TYPE3)*(TYPE3&lt;&gt;"")+('Dvd Calendar'!$AA$599=TYPE4)*(TYPE4&lt;&gt;"")+('Dvd Calendar'!$AA$599=SPECIAL_LBL)*(INC_SPECIALS="Y"))=0,"",'Dvd Calendar'!$AA$597)))</f>
        <v/>
      </c>
      <c r="Z65" s="110">
        <f>IF(FB65="","",IF(ISNUMBER('Dvd Calendar'!$AB$597)=FALSE,"",IF((('Dvd Calendar'!$AB$599=TYPE1)*(TYPE1&lt;&gt;"")+('Dvd Calendar'!$AB$599=TYPE2)*(TYPE2&lt;&gt;"")+('Dvd Calendar'!$AB$599=TYPE3)*(TYPE3&lt;&gt;"")+('Dvd Calendar'!$AB$599=TYPE4)*(TYPE4&lt;&gt;"")+('Dvd Calendar'!$AB$599=SPECIAL_LBL)*(INC_SPECIALS="Y"))=0,"",'Dvd Calendar'!$AB$597)))</f>
        <v/>
      </c>
      <c r="AA65" s="110">
        <f>IF(FC65="","",IF(ISNUMBER('Dvd Calendar'!$AC$597)=FALSE,"",IF((('Dvd Calendar'!$AC$599=TYPE1)*(TYPE1&lt;&gt;"")+('Dvd Calendar'!$AC$599=TYPE2)*(TYPE2&lt;&gt;"")+('Dvd Calendar'!$AC$599=TYPE3)*(TYPE3&lt;&gt;"")+('Dvd Calendar'!$AC$599=TYPE4)*(TYPE4&lt;&gt;"")+('Dvd Calendar'!$AC$599=SPECIAL_LBL)*(INC_SPECIALS="Y"))=0,"",'Dvd Calendar'!$AC$597)))</f>
        <v/>
      </c>
      <c r="AB65" s="110">
        <f>IF(FD65="","",IF(ISNUMBER('Dvd Calendar'!$AD$597)=FALSE,"",IF((('Dvd Calendar'!$AD$599=TYPE1)*(TYPE1&lt;&gt;"")+('Dvd Calendar'!$AD$599=TYPE2)*(TYPE2&lt;&gt;"")+('Dvd Calendar'!$AD$599=TYPE3)*(TYPE3&lt;&gt;"")+('Dvd Calendar'!$AD$599=TYPE4)*(TYPE4&lt;&gt;"")+('Dvd Calendar'!$AD$599=SPECIAL_LBL)*(INC_SPECIALS="Y"))=0,"",'Dvd Calendar'!$AD$597)))</f>
        <v/>
      </c>
      <c r="AC65" s="110">
        <f>IF(FE65="","",IF(ISNUMBER('Dvd Calendar'!$AE$597)=FALSE,"",IF((('Dvd Calendar'!$AE$599=TYPE1)*(TYPE1&lt;&gt;"")+('Dvd Calendar'!$AE$599=TYPE2)*(TYPE2&lt;&gt;"")+('Dvd Calendar'!$AE$599=TYPE3)*(TYPE3&lt;&gt;"")+('Dvd Calendar'!$AE$599=TYPE4)*(TYPE4&lt;&gt;"")+('Dvd Calendar'!$AE$599=SPECIAL_LBL)*(INC_SPECIALS="Y"))=0,"",'Dvd Calendar'!$AE$597)))</f>
        <v/>
      </c>
      <c r="AD65" s="110">
        <f>IF(FF65="","",IF(ISNUMBER('Dvd Calendar'!$AF$597)=FALSE,"",IF((('Dvd Calendar'!$AF$599=TYPE1)*(TYPE1&lt;&gt;"")+('Dvd Calendar'!$AF$599=TYPE2)*(TYPE2&lt;&gt;"")+('Dvd Calendar'!$AF$599=TYPE3)*(TYPE3&lt;&gt;"")+('Dvd Calendar'!$AF$599=TYPE4)*(TYPE4&lt;&gt;"")+('Dvd Calendar'!$AF$599=SPECIAL_LBL)*(INC_SPECIALS="Y"))=0,"",'Dvd Calendar'!$AF$597)))</f>
        <v/>
      </c>
      <c r="AE65" s="110">
        <f>IF(FG65="","",IF(ISNUMBER('Dvd Calendar'!$AG$597)=FALSE,"",IF((('Dvd Calendar'!$AG$599=TYPE1)*(TYPE1&lt;&gt;"")+('Dvd Calendar'!$AG$599=TYPE2)*(TYPE2&lt;&gt;"")+('Dvd Calendar'!$AG$599=TYPE3)*(TYPE3&lt;&gt;"")+('Dvd Calendar'!$AG$599=TYPE4)*(TYPE4&lt;&gt;"")+('Dvd Calendar'!$AG$599=SPECIAL_LBL)*(INC_SPECIALS="Y"))=0,"",'Dvd Calendar'!$AG$597)))</f>
        <v/>
      </c>
      <c r="AF65" s="110">
        <f>IF(FH65="","",IF(ISNUMBER('Dvd Calendar'!$AH$597)=FALSE,"",IF((('Dvd Calendar'!$AH$599=TYPE1)*(TYPE1&lt;&gt;"")+('Dvd Calendar'!$AH$599=TYPE2)*(TYPE2&lt;&gt;"")+('Dvd Calendar'!$AH$599=TYPE3)*(TYPE3&lt;&gt;"")+('Dvd Calendar'!$AH$599=TYPE4)*(TYPE4&lt;&gt;"")+('Dvd Calendar'!$AH$599=SPECIAL_LBL)*(INC_SPECIALS="Y"))=0,"",'Dvd Calendar'!$AH$597)))</f>
        <v/>
      </c>
      <c r="AG65" s="110">
        <f>IF(FI65="","",IF(ISNUMBER('Dvd Calendar'!$AI$597)=FALSE,"",IF((('Dvd Calendar'!$AI$599=TYPE1)*(TYPE1&lt;&gt;"")+('Dvd Calendar'!$AI$599=TYPE2)*(TYPE2&lt;&gt;"")+('Dvd Calendar'!$AI$599=TYPE3)*(TYPE3&lt;&gt;"")+('Dvd Calendar'!$AI$599=TYPE4)*(TYPE4&lt;&gt;"")+('Dvd Calendar'!$AI$599=SPECIAL_LBL)*(INC_SPECIALS="Y"))=0,"",'Dvd Calendar'!$AI$597)))</f>
        <v/>
      </c>
      <c r="AH65" s="110">
        <f>IF(FJ65="","",IF(ISNUMBER('Dvd Calendar'!$AJ$597)=FALSE,"",IF((('Dvd Calendar'!$AJ$599=TYPE1)*(TYPE1&lt;&gt;"")+('Dvd Calendar'!$AJ$599=TYPE2)*(TYPE2&lt;&gt;"")+('Dvd Calendar'!$AJ$599=TYPE3)*(TYPE3&lt;&gt;"")+('Dvd Calendar'!$AJ$599=TYPE4)*(TYPE4&lt;&gt;"")+('Dvd Calendar'!$AJ$599=SPECIAL_LBL)*(INC_SPECIALS="Y"))=0,"",'Dvd Calendar'!$AJ$597)))</f>
        <v/>
      </c>
      <c r="AI65" s="110">
        <f>IF(FK65="","",IF(ISNUMBER('Dvd Calendar'!$AK$597)=FALSE,"",IF((('Dvd Calendar'!$AK$599=TYPE1)*(TYPE1&lt;&gt;"")+('Dvd Calendar'!$AK$599=TYPE2)*(TYPE2&lt;&gt;"")+('Dvd Calendar'!$AK$599=TYPE3)*(TYPE3&lt;&gt;"")+('Dvd Calendar'!$AK$599=TYPE4)*(TYPE4&lt;&gt;"")+('Dvd Calendar'!$AK$599=SPECIAL_LBL)*(INC_SPECIALS="Y"))=0,"",'Dvd Calendar'!$AK$597)))</f>
        <v/>
      </c>
      <c r="AJ65" s="110">
        <f>IF(FL65="","",IF(ISNUMBER('Dvd Calendar'!$AL$597)=FALSE,"",IF((('Dvd Calendar'!$AL$599=TYPE1)*(TYPE1&lt;&gt;"")+('Dvd Calendar'!$AL$599=TYPE2)*(TYPE2&lt;&gt;"")+('Dvd Calendar'!$AL$599=TYPE3)*(TYPE3&lt;&gt;"")+('Dvd Calendar'!$AL$599=TYPE4)*(TYPE4&lt;&gt;"")+('Dvd Calendar'!$AL$599=SPECIAL_LBL)*(INC_SPECIALS="Y"))=0,"",'Dvd Calendar'!$AL$597)))</f>
        <v/>
      </c>
      <c r="AK65" s="110">
        <f>IF(FM65="","",IF(ISNUMBER('Dvd Calendar'!$AM$597)=FALSE,"",IF((('Dvd Calendar'!$AM$599=TYPE1)*(TYPE1&lt;&gt;"")+('Dvd Calendar'!$AM$599=TYPE2)*(TYPE2&lt;&gt;"")+('Dvd Calendar'!$AM$599=TYPE3)*(TYPE3&lt;&gt;"")+('Dvd Calendar'!$AM$599=TYPE4)*(TYPE4&lt;&gt;"")+('Dvd Calendar'!$AM$599=SPECIAL_LBL)*(INC_SPECIALS="Y"))=0,"",'Dvd Calendar'!$AM$597)))</f>
        <v/>
      </c>
      <c r="AL65" s="110">
        <f>IF(FN65="","",IF(ISNUMBER('Dvd Calendar'!$AN$597)=FALSE,"",IF((('Dvd Calendar'!$AN$599=TYPE1)*(TYPE1&lt;&gt;"")+('Dvd Calendar'!$AN$599=TYPE2)*(TYPE2&lt;&gt;"")+('Dvd Calendar'!$AN$599=TYPE3)*(TYPE3&lt;&gt;"")+('Dvd Calendar'!$AN$599=TYPE4)*(TYPE4&lt;&gt;"")+('Dvd Calendar'!$AN$599=SPECIAL_LBL)*(INC_SPECIALS="Y"))=0,"",'Dvd Calendar'!$AN$597)))</f>
        <v/>
      </c>
      <c r="AM65" s="110">
        <f>IF(FO65="","",IF(ISNUMBER('Dvd Calendar'!$AO$597)=FALSE,"",IF((('Dvd Calendar'!$AO$599=TYPE1)*(TYPE1&lt;&gt;"")+('Dvd Calendar'!$AO$599=TYPE2)*(TYPE2&lt;&gt;"")+('Dvd Calendar'!$AO$599=TYPE3)*(TYPE3&lt;&gt;"")+('Dvd Calendar'!$AO$599=TYPE4)*(TYPE4&lt;&gt;"")+('Dvd Calendar'!$AO$599=SPECIAL_LBL)*(INC_SPECIALS="Y"))=0,"",'Dvd Calendar'!$AO$597)))</f>
        <v/>
      </c>
      <c r="AN65" s="110">
        <f>IF(FP65="","",IF(ISNUMBER('Dvd Calendar'!$AP$597)=FALSE,"",IF((('Dvd Calendar'!$AP$599=TYPE1)*(TYPE1&lt;&gt;"")+('Dvd Calendar'!$AP$599=TYPE2)*(TYPE2&lt;&gt;"")+('Dvd Calendar'!$AP$599=TYPE3)*(TYPE3&lt;&gt;"")+('Dvd Calendar'!$AP$599=TYPE4)*(TYPE4&lt;&gt;"")+('Dvd Calendar'!$AP$599=SPECIAL_LBL)*(INC_SPECIALS="Y"))=0,"",'Dvd Calendar'!$AP$597)))</f>
        <v/>
      </c>
      <c r="AO65" s="110">
        <f>IF(FQ65="","",IF(ISNUMBER('Dvd Calendar'!$AQ$597)=FALSE,"",IF((('Dvd Calendar'!$AQ$599=TYPE1)*(TYPE1&lt;&gt;"")+('Dvd Calendar'!$AQ$599=TYPE2)*(TYPE2&lt;&gt;"")+('Dvd Calendar'!$AQ$599=TYPE3)*(TYPE3&lt;&gt;"")+('Dvd Calendar'!$AQ$599=TYPE4)*(TYPE4&lt;&gt;"")+('Dvd Calendar'!$AQ$599=SPECIAL_LBL)*(INC_SPECIALS="Y"))=0,"",'Dvd Calendar'!$AQ$597)))</f>
        <v/>
      </c>
      <c r="AP65" s="110">
        <f>IF(FR65="","",IF(ISNUMBER('Dvd Calendar'!$AR$597)=FALSE,"",IF((('Dvd Calendar'!$AR$599=TYPE1)*(TYPE1&lt;&gt;"")+('Dvd Calendar'!$AR$599=TYPE2)*(TYPE2&lt;&gt;"")+('Dvd Calendar'!$AR$599=TYPE3)*(TYPE3&lt;&gt;"")+('Dvd Calendar'!$AR$599=TYPE4)*(TYPE4&lt;&gt;"")+('Dvd Calendar'!$AR$599=SPECIAL_LBL)*(INC_SPECIALS="Y"))=0,"",'Dvd Calendar'!$AR$597)))</f>
        <v/>
      </c>
      <c r="AQ65" s="110">
        <f>IF(FS65="","",IF(ISNUMBER('Dvd Calendar'!$E$602)=FALSE,"",'Dvd Calendar'!$E$602))</f>
        <v/>
      </c>
      <c r="AR65" s="110">
        <f>IF(FT65="","",IF(ISNUMBER('Dvd Calendar'!$F$602)=FALSE,"",'Dvd Calendar'!$F$602))</f>
        <v/>
      </c>
      <c r="AS65" s="110">
        <f>IF(FU65="","",IF(ISNUMBER('Dvd Calendar'!$G$602)=FALSE,"",'Dvd Calendar'!$G$602))</f>
        <v/>
      </c>
      <c r="AT65" s="110">
        <f>IF(FV65="","",IF(ISNUMBER('Dvd Calendar'!$H$602)=FALSE,"",'Dvd Calendar'!$H$602))</f>
        <v/>
      </c>
      <c r="AU65" s="110">
        <f>IF(FW65="","",IF(ISNUMBER('Dvd Calendar'!$I$602)=FALSE,"",'Dvd Calendar'!$I$602))</f>
        <v/>
      </c>
      <c r="AV65" s="110">
        <f>IF(FX65="","",IF(ISNUMBER('Dvd Calendar'!$J$602)=FALSE,"",'Dvd Calendar'!$J$602))</f>
        <v/>
      </c>
      <c r="AW65" s="110">
        <f>IF(FY65="","",IF(ISNUMBER('Dvd Calendar'!$K$602)=FALSE,"",'Dvd Calendar'!$K$602))</f>
        <v/>
      </c>
      <c r="AX65" s="110">
        <f>IF(FZ65="","",IF(ISNUMBER('Dvd Calendar'!$L$602)=FALSE,"",'Dvd Calendar'!$L$602))</f>
        <v/>
      </c>
      <c r="AY65" s="110">
        <f>IF(GA65="","",IF(ISNUMBER('Dvd Calendar'!$M$602)=FALSE,"",'Dvd Calendar'!$M$602))</f>
        <v/>
      </c>
      <c r="AZ65" s="110">
        <f>IF(GB65="","",IF(ISNUMBER('Dvd Calendar'!$N$602)=FALSE,"",'Dvd Calendar'!$N$602))</f>
        <v/>
      </c>
      <c r="BA65" s="110">
        <f>IF(GC65="","",IF(ISNUMBER('Dvd Calendar'!$O$602)=FALSE,"",'Dvd Calendar'!$O$602))</f>
        <v/>
      </c>
      <c r="BB65" s="110">
        <f>IF(GD65="","",IF(ISNUMBER('Dvd Calendar'!$P$602)=FALSE,"",'Dvd Calendar'!$P$602))</f>
        <v/>
      </c>
      <c r="BC65" s="110">
        <f>IF(GE65="","",IF(ISNUMBER('Dvd Calendar'!$Q$602)=FALSE,"",'Dvd Calendar'!$Q$602))</f>
        <v/>
      </c>
      <c r="BD65" s="110">
        <f>IF(GF65="","",IF(ISNUMBER('Dvd Calendar'!$R$602)=FALSE,"",'Dvd Calendar'!$R$602))</f>
        <v/>
      </c>
      <c r="BE65" s="110">
        <f>IF(GG65="","",IF(ISNUMBER('Dvd Calendar'!$S$602)=FALSE,"",'Dvd Calendar'!$S$602))</f>
        <v/>
      </c>
      <c r="BF65" s="110">
        <f>IF(GH65="","",IF(ISNUMBER('Dvd Calendar'!$T$602)=FALSE,"",'Dvd Calendar'!$T$602))</f>
        <v/>
      </c>
      <c r="BG65" s="110">
        <f>IF(GI65="","",IF(ISNUMBER('Dvd Calendar'!$U$602)=FALSE,"",'Dvd Calendar'!$U$602))</f>
        <v/>
      </c>
      <c r="BH65" s="110">
        <f>IF(GJ65="","",IF(ISNUMBER('Dvd Calendar'!$V$602)=FALSE,"",'Dvd Calendar'!$V$602))</f>
        <v/>
      </c>
      <c r="BI65" s="110">
        <f>IF(GK65="","",IF(ISNUMBER('Dvd Calendar'!$W$602)=FALSE,"",'Dvd Calendar'!$W$602))</f>
        <v/>
      </c>
      <c r="BJ65" s="110">
        <f>IF(GL65="","",IF(ISNUMBER('Dvd Calendar'!$X$602)=FALSE,"",'Dvd Calendar'!$X$602))</f>
        <v/>
      </c>
      <c r="BK65" s="110">
        <f>IF(GM65="","",IF(ISNUMBER('Dvd Calendar'!$Y$602)=FALSE,"",'Dvd Calendar'!$Y$602))</f>
        <v/>
      </c>
      <c r="BL65" s="110">
        <f>IF(GN65="","",IF(ISNUMBER('Dvd Calendar'!$Z$602)=FALSE,"",'Dvd Calendar'!$Z$602))</f>
        <v/>
      </c>
      <c r="BM65" s="110">
        <f>IF(GO65="","",IF(ISNUMBER('Dvd Calendar'!$AA$602)=FALSE,"",'Dvd Calendar'!$AA$602))</f>
        <v/>
      </c>
      <c r="BN65" s="110">
        <f>IF(GP65="","",IF(ISNUMBER('Dvd Calendar'!$AB$602)=FALSE,"",'Dvd Calendar'!$AB$602))</f>
        <v/>
      </c>
      <c r="BO65" s="110">
        <f>IF(GQ65="","",IF(ISNUMBER('Dvd Calendar'!$AC$602)=FALSE,"",'Dvd Calendar'!$AC$602))</f>
        <v/>
      </c>
      <c r="BQ65" s="110">
        <f>IF(C65="","",IFERROR(C65*HSI!$B$60*HSI!$G$60/HSI!$B$3,""))</f>
        <v/>
      </c>
      <c r="BR65" s="110">
        <f>IF(D65="","",IFERROR(D65*HSI!$B$60*HSI!$G$60/HSI!$B$3,""))</f>
        <v/>
      </c>
      <c r="BS65" s="110">
        <f>IF(E65="","",IFERROR(E65*HSI!$B$60*HSI!$G$60/HSI!$B$3,""))</f>
        <v/>
      </c>
      <c r="BT65" s="110">
        <f>IF(F65="","",IFERROR(F65*HSI!$B$60*HSI!$G$60/HSI!$B$3,""))</f>
        <v/>
      </c>
      <c r="BU65" s="110">
        <f>IF(G65="","",IFERROR(G65*HSI!$B$60*HSI!$G$60/HSI!$B$3,""))</f>
        <v/>
      </c>
      <c r="BV65" s="110">
        <f>IF(H65="","",IFERROR(H65*HSI!$B$60*HSI!$G$60/HSI!$B$3,""))</f>
        <v/>
      </c>
      <c r="BW65" s="110">
        <f>IF(I65="","",IFERROR(I65*HSI!$B$60*HSI!$G$60/HSI!$B$3,""))</f>
        <v/>
      </c>
      <c r="BX65" s="110">
        <f>IF(J65="","",IFERROR(J65*HSI!$B$60*HSI!$G$60/HSI!$B$3,""))</f>
        <v/>
      </c>
      <c r="BY65" s="110">
        <f>IF(K65="","",IFERROR(K65*HSI!$B$60*HSI!$G$60/HSI!$B$3,""))</f>
        <v/>
      </c>
      <c r="BZ65" s="110">
        <f>IF(L65="","",IFERROR(L65*HSI!$B$60*HSI!$G$60/HSI!$B$3,""))</f>
        <v/>
      </c>
      <c r="CA65" s="110">
        <f>IF(M65="","",IFERROR(M65*HSI!$B$60*HSI!$G$60/HSI!$B$3,""))</f>
        <v/>
      </c>
      <c r="CB65" s="110">
        <f>IF(N65="","",IFERROR(N65*HSI!$B$60*HSI!$G$60/HSI!$B$3,""))</f>
        <v/>
      </c>
      <c r="CC65" s="110">
        <f>IF(O65="","",IFERROR(O65*HSI!$B$60*HSI!$G$60/HSI!$B$3,""))</f>
        <v/>
      </c>
      <c r="CD65" s="110">
        <f>IF(P65="","",IFERROR(P65*HSI!$B$60*HSI!$G$60/HSI!$B$3,""))</f>
        <v/>
      </c>
      <c r="CE65" s="110">
        <f>IF(Q65="","",IFERROR(Q65*HSI!$B$60*HSI!$G$60/HSI!$B$3,""))</f>
        <v/>
      </c>
      <c r="CF65" s="110">
        <f>IF(R65="","",IFERROR(R65*HSI!$B$60*HSI!$G$60/HSI!$B$3,""))</f>
        <v/>
      </c>
      <c r="CG65" s="110">
        <f>IF(S65="","",IFERROR(S65*HSI!$B$60*HSI!$G$60/HSI!$B$3,""))</f>
        <v/>
      </c>
      <c r="CH65" s="110">
        <f>IF(T65="","",IFERROR(T65*HSI!$B$60*HSI!$G$60/HSI!$B$3,""))</f>
        <v/>
      </c>
      <c r="CI65" s="110">
        <f>IF(U65="","",IFERROR(U65*HSI!$B$60*HSI!$G$60/HSI!$B$3,""))</f>
        <v/>
      </c>
      <c r="CJ65" s="110">
        <f>IF(V65="","",IFERROR(V65*HSI!$B$60*HSI!$G$60/HSI!$B$3,""))</f>
        <v/>
      </c>
      <c r="CK65" s="110">
        <f>IF(W65="","",IFERROR(W65*HSI!$B$60*HSI!$G$60/HSI!$B$3,""))</f>
        <v/>
      </c>
      <c r="CL65" s="110">
        <f>IF(X65="","",IFERROR(X65*HSI!$B$60*HSI!$G$60/HSI!$B$3,""))</f>
        <v/>
      </c>
      <c r="CM65" s="110">
        <f>IF(Y65="","",IFERROR(Y65*HSI!$B$60*HSI!$G$60/HSI!$B$3,""))</f>
        <v/>
      </c>
      <c r="CN65" s="110">
        <f>IF(Z65="","",IFERROR(Z65*HSI!$B$60*HSI!$G$60/HSI!$B$3,""))</f>
        <v/>
      </c>
      <c r="CO65" s="110">
        <f>IF(AA65="","",IFERROR(AA65*HSI!$B$60*HSI!$G$60/HSI!$B$3,""))</f>
        <v/>
      </c>
      <c r="CP65" s="110">
        <f>IF(AB65="","",IFERROR(AB65*HSI!$B$60*HSI!$G$60/HSI!$B$3,""))</f>
        <v/>
      </c>
      <c r="CQ65" s="110">
        <f>IF(AC65="","",IFERROR(AC65*HSI!$B$60*HSI!$G$60/HSI!$B$3,""))</f>
        <v/>
      </c>
      <c r="CR65" s="110">
        <f>IF(AD65="","",IFERROR(AD65*HSI!$B$60*HSI!$G$60/HSI!$B$3,""))</f>
        <v/>
      </c>
      <c r="CS65" s="110">
        <f>IF(AE65="","",IFERROR(AE65*HSI!$B$60*HSI!$G$60/HSI!$B$3,""))</f>
        <v/>
      </c>
      <c r="CT65" s="110">
        <f>IF(AF65="","",IFERROR(AF65*HSI!$B$60*HSI!$G$60/HSI!$B$3,""))</f>
        <v/>
      </c>
      <c r="CU65" s="110">
        <f>IF(AG65="","",IFERROR(AG65*HSI!$B$60*HSI!$G$60/HSI!$B$3,""))</f>
        <v/>
      </c>
      <c r="CV65" s="110">
        <f>IF(AH65="","",IFERROR(AH65*HSI!$B$60*HSI!$G$60/HSI!$B$3,""))</f>
        <v/>
      </c>
      <c r="CW65" s="110">
        <f>IF(AI65="","",IFERROR(AI65*HSI!$B$60*HSI!$G$60/HSI!$B$3,""))</f>
        <v/>
      </c>
      <c r="CX65" s="110">
        <f>IF(AJ65="","",IFERROR(AJ65*HSI!$B$60*HSI!$G$60/HSI!$B$3,""))</f>
        <v/>
      </c>
      <c r="CY65" s="110">
        <f>IF(AK65="","",IFERROR(AK65*HSI!$B$60*HSI!$G$60/HSI!$B$3,""))</f>
        <v/>
      </c>
      <c r="CZ65" s="110">
        <f>IF(AL65="","",IFERROR(AL65*HSI!$B$60*HSI!$G$60/HSI!$B$3,""))</f>
        <v/>
      </c>
      <c r="DA65" s="110">
        <f>IF(AM65="","",IFERROR(AM65*HSI!$B$60*HSI!$G$60/HSI!$B$3,""))</f>
        <v/>
      </c>
      <c r="DB65" s="110">
        <f>IF(AN65="","",IFERROR(AN65*HSI!$B$60*HSI!$G$60/HSI!$B$3,""))</f>
        <v/>
      </c>
      <c r="DC65" s="110">
        <f>IF(AO65="","",IFERROR(AO65*HSI!$B$60*HSI!$G$60/HSI!$B$3,""))</f>
        <v/>
      </c>
      <c r="DD65" s="110">
        <f>IF(AP65="","",IFERROR(AP65*HSI!$B$60*HSI!$G$60/HSI!$B$3,""))</f>
        <v/>
      </c>
      <c r="DE65" s="110">
        <f>IF(AQ65="","",IFERROR(AQ65*HSI!$B$60*HSI!$G$60/HSI!$B$3,""))</f>
        <v/>
      </c>
      <c r="DF65" s="110">
        <f>IF(AR65="","",IFERROR(AR65*HSI!$B$60*HSI!$G$60/HSI!$B$3,""))</f>
        <v/>
      </c>
      <c r="DG65" s="110">
        <f>IF(AS65="","",IFERROR(AS65*HSI!$B$60*HSI!$G$60/HSI!$B$3,""))</f>
        <v/>
      </c>
      <c r="DH65" s="110">
        <f>IF(AT65="","",IFERROR(AT65*HSI!$B$60*HSI!$G$60/HSI!$B$3,""))</f>
        <v/>
      </c>
      <c r="DI65" s="110">
        <f>IF(AU65="","",IFERROR(AU65*HSI!$B$60*HSI!$G$60/HSI!$B$3,""))</f>
        <v/>
      </c>
      <c r="DJ65" s="110">
        <f>IF(AV65="","",IFERROR(AV65*HSI!$B$60*HSI!$G$60/HSI!$B$3,""))</f>
        <v/>
      </c>
      <c r="DK65" s="110">
        <f>IF(AW65="","",IFERROR(AW65*HSI!$B$60*HSI!$G$60/HSI!$B$3,""))</f>
        <v/>
      </c>
      <c r="DL65" s="110">
        <f>IF(AX65="","",IFERROR(AX65*HSI!$B$60*HSI!$G$60/HSI!$B$3,""))</f>
        <v/>
      </c>
      <c r="DM65" s="110">
        <f>IF(AY65="","",IFERROR(AY65*HSI!$B$60*HSI!$G$60/HSI!$B$3,""))</f>
        <v/>
      </c>
      <c r="DN65" s="110">
        <f>IF(AZ65="","",IFERROR(AZ65*HSI!$B$60*HSI!$G$60/HSI!$B$3,""))</f>
        <v/>
      </c>
      <c r="DO65" s="110">
        <f>IF(BA65="","",IFERROR(BA65*HSI!$B$60*HSI!$G$60/HSI!$B$3,""))</f>
        <v/>
      </c>
      <c r="DP65" s="110">
        <f>IF(BB65="","",IFERROR(BB65*HSI!$B$60*HSI!$G$60/HSI!$B$3,""))</f>
        <v/>
      </c>
      <c r="DQ65" s="110">
        <f>IF(BC65="","",IFERROR(BC65*HSI!$B$60*HSI!$G$60/HSI!$B$3,""))</f>
        <v/>
      </c>
      <c r="DR65" s="110">
        <f>IF(BD65="","",IFERROR(BD65*HSI!$B$60*HSI!$G$60/HSI!$B$3,""))</f>
        <v/>
      </c>
      <c r="DS65" s="110">
        <f>IF(BE65="","",IFERROR(BE65*HSI!$B$60*HSI!$G$60/HSI!$B$3,""))</f>
        <v/>
      </c>
      <c r="DT65" s="110">
        <f>IF(BF65="","",IFERROR(BF65*HSI!$B$60*HSI!$G$60/HSI!$B$3,""))</f>
        <v/>
      </c>
      <c r="DU65" s="110">
        <f>IF(BG65="","",IFERROR(BG65*HSI!$B$60*HSI!$G$60/HSI!$B$3,""))</f>
        <v/>
      </c>
      <c r="DV65" s="110">
        <f>IF(BH65="","",IFERROR(BH65*HSI!$B$60*HSI!$G$60/HSI!$B$3,""))</f>
        <v/>
      </c>
      <c r="DW65" s="110">
        <f>IF(BI65="","",IFERROR(BI65*HSI!$B$60*HSI!$G$60/HSI!$B$3,""))</f>
        <v/>
      </c>
      <c r="DX65" s="110">
        <f>IF(BJ65="","",IFERROR(BJ65*HSI!$B$60*HSI!$G$60/HSI!$B$3,""))</f>
        <v/>
      </c>
      <c r="DY65" s="110">
        <f>IF(BK65="","",IFERROR(BK65*HSI!$B$60*HSI!$G$60/HSI!$B$3,""))</f>
        <v/>
      </c>
      <c r="DZ65" s="110">
        <f>IF(BL65="","",IFERROR(BL65*HSI!$B$60*HSI!$G$60/HSI!$B$3,""))</f>
        <v/>
      </c>
      <c r="EA65" s="110">
        <f>IF(BM65="","",IFERROR(BM65*HSI!$B$60*HSI!$G$60/HSI!$B$3,""))</f>
        <v/>
      </c>
      <c r="EB65" s="110">
        <f>IF(BN65="","",IFERROR(BN65*HSI!$B$60*HSI!$G$60/HSI!$B$3,""))</f>
        <v/>
      </c>
      <c r="EC65" s="110">
        <f>IF(BO65="","",IFERROR(BO65*HSI!$B$60*HSI!$G$60/HSI!$B$3,""))</f>
        <v/>
      </c>
      <c r="EE65" s="39">
        <f>IF(N('Dvd Calendar'!$E$594)=0,"",IF(('Dvd Calendar'!$E$594&gt;=GRID_FROM)*('Dvd Calendar'!$E$594&lt;=GRID_TO)*((('Dvd Calendar'!$E$594&lt;=VAL_DATE)+(COUNTIF('Dvd Calendar'!$E$601:$AR$601,'Dvd Calendar'!$E$594)=0))&gt;0)=0,"",'Dvd Calendar'!$E$594*1000000000+ISNUMBER('Dvd Calendar'!$E$597)*100000000+('Dvd Calendar'!$E$599=SPECIAL_LBL)*10000000+(N('Dvd Calendar'!$E$593)&gt;0)*(N('Dvd Calendar'!$E$593)&lt;=VAL_SERIAL)*1000000+54*1000+1))</f>
        <v/>
      </c>
      <c r="EF65" s="39">
        <f>IF(N('Dvd Calendar'!$F$594)=0,"",IF(('Dvd Calendar'!$F$594&gt;=GRID_FROM)*('Dvd Calendar'!$F$594&lt;=GRID_TO)*((('Dvd Calendar'!$F$594&lt;=VAL_DATE)+(COUNTIF('Dvd Calendar'!$E$601:$AR$601,'Dvd Calendar'!$F$594)=0))&gt;0)=0,"",'Dvd Calendar'!$F$594*1000000000+ISNUMBER('Dvd Calendar'!$F$597)*100000000+('Dvd Calendar'!$F$599=SPECIAL_LBL)*10000000+(N('Dvd Calendar'!$F$593)&gt;0)*(N('Dvd Calendar'!$F$593)&lt;=VAL_SERIAL)*1000000+54*1000+2))</f>
        <v/>
      </c>
      <c r="EG65" s="39">
        <f>IF(N('Dvd Calendar'!$G$594)=0,"",IF(('Dvd Calendar'!$G$594&gt;=GRID_FROM)*('Dvd Calendar'!$G$594&lt;=GRID_TO)*((('Dvd Calendar'!$G$594&lt;=VAL_DATE)+(COUNTIF('Dvd Calendar'!$E$601:$AR$601,'Dvd Calendar'!$G$594)=0))&gt;0)=0,"",'Dvd Calendar'!$G$594*1000000000+ISNUMBER('Dvd Calendar'!$G$597)*100000000+('Dvd Calendar'!$G$599=SPECIAL_LBL)*10000000+(N('Dvd Calendar'!$G$593)&gt;0)*(N('Dvd Calendar'!$G$593)&lt;=VAL_SERIAL)*1000000+54*1000+3))</f>
        <v/>
      </c>
      <c r="EH65" s="39">
        <f>IF(N('Dvd Calendar'!$H$594)=0,"",IF(('Dvd Calendar'!$H$594&gt;=GRID_FROM)*('Dvd Calendar'!$H$594&lt;=GRID_TO)*((('Dvd Calendar'!$H$594&lt;=VAL_DATE)+(COUNTIF('Dvd Calendar'!$E$601:$AR$601,'Dvd Calendar'!$H$594)=0))&gt;0)=0,"",'Dvd Calendar'!$H$594*1000000000+ISNUMBER('Dvd Calendar'!$H$597)*100000000+('Dvd Calendar'!$H$599=SPECIAL_LBL)*10000000+(N('Dvd Calendar'!$H$593)&gt;0)*(N('Dvd Calendar'!$H$593)&lt;=VAL_SERIAL)*1000000+54*1000+4))</f>
        <v/>
      </c>
      <c r="EI65" s="39">
        <f>IF(N('Dvd Calendar'!$I$594)=0,"",IF(('Dvd Calendar'!$I$594&gt;=GRID_FROM)*('Dvd Calendar'!$I$594&lt;=GRID_TO)*((('Dvd Calendar'!$I$594&lt;=VAL_DATE)+(COUNTIF('Dvd Calendar'!$E$601:$AR$601,'Dvd Calendar'!$I$594)=0))&gt;0)=0,"",'Dvd Calendar'!$I$594*1000000000+ISNUMBER('Dvd Calendar'!$I$597)*100000000+('Dvd Calendar'!$I$599=SPECIAL_LBL)*10000000+(N('Dvd Calendar'!$I$593)&gt;0)*(N('Dvd Calendar'!$I$593)&lt;=VAL_SERIAL)*1000000+54*1000+5))</f>
        <v/>
      </c>
      <c r="EJ65" s="39">
        <f>IF(N('Dvd Calendar'!$J$594)=0,"",IF(('Dvd Calendar'!$J$594&gt;=GRID_FROM)*('Dvd Calendar'!$J$594&lt;=GRID_TO)*((('Dvd Calendar'!$J$594&lt;=VAL_DATE)+(COUNTIF('Dvd Calendar'!$E$601:$AR$601,'Dvd Calendar'!$J$594)=0))&gt;0)=0,"",'Dvd Calendar'!$J$594*1000000000+ISNUMBER('Dvd Calendar'!$J$597)*100000000+('Dvd Calendar'!$J$599=SPECIAL_LBL)*10000000+(N('Dvd Calendar'!$J$593)&gt;0)*(N('Dvd Calendar'!$J$593)&lt;=VAL_SERIAL)*1000000+54*1000+6))</f>
        <v/>
      </c>
      <c r="EK65" s="39">
        <f>IF(N('Dvd Calendar'!$K$594)=0,"",IF(('Dvd Calendar'!$K$594&gt;=GRID_FROM)*('Dvd Calendar'!$K$594&lt;=GRID_TO)*((('Dvd Calendar'!$K$594&lt;=VAL_DATE)+(COUNTIF('Dvd Calendar'!$E$601:$AR$601,'Dvd Calendar'!$K$594)=0))&gt;0)=0,"",'Dvd Calendar'!$K$594*1000000000+ISNUMBER('Dvd Calendar'!$K$597)*100000000+('Dvd Calendar'!$K$599=SPECIAL_LBL)*10000000+(N('Dvd Calendar'!$K$593)&gt;0)*(N('Dvd Calendar'!$K$593)&lt;=VAL_SERIAL)*1000000+54*1000+7))</f>
        <v/>
      </c>
      <c r="EL65" s="39">
        <f>IF(N('Dvd Calendar'!$L$594)=0,"",IF(('Dvd Calendar'!$L$594&gt;=GRID_FROM)*('Dvd Calendar'!$L$594&lt;=GRID_TO)*((('Dvd Calendar'!$L$594&lt;=VAL_DATE)+(COUNTIF('Dvd Calendar'!$E$601:$AR$601,'Dvd Calendar'!$L$594)=0))&gt;0)=0,"",'Dvd Calendar'!$L$594*1000000000+ISNUMBER('Dvd Calendar'!$L$597)*100000000+('Dvd Calendar'!$L$599=SPECIAL_LBL)*10000000+(N('Dvd Calendar'!$L$593)&gt;0)*(N('Dvd Calendar'!$L$593)&lt;=VAL_SERIAL)*1000000+54*1000+8))</f>
        <v/>
      </c>
      <c r="EM65" s="39">
        <f>IF(N('Dvd Calendar'!$M$594)=0,"",IF(('Dvd Calendar'!$M$594&gt;=GRID_FROM)*('Dvd Calendar'!$M$594&lt;=GRID_TO)*((('Dvd Calendar'!$M$594&lt;=VAL_DATE)+(COUNTIF('Dvd Calendar'!$E$601:$AR$601,'Dvd Calendar'!$M$594)=0))&gt;0)=0,"",'Dvd Calendar'!$M$594*1000000000+ISNUMBER('Dvd Calendar'!$M$597)*100000000+('Dvd Calendar'!$M$599=SPECIAL_LBL)*10000000+(N('Dvd Calendar'!$M$593)&gt;0)*(N('Dvd Calendar'!$M$593)&lt;=VAL_SERIAL)*1000000+54*1000+9))</f>
        <v/>
      </c>
      <c r="EN65" s="39">
        <f>IF(N('Dvd Calendar'!$N$594)=0,"",IF(('Dvd Calendar'!$N$594&gt;=GRID_FROM)*('Dvd Calendar'!$N$594&lt;=GRID_TO)*((('Dvd Calendar'!$N$594&lt;=VAL_DATE)+(COUNTIF('Dvd Calendar'!$E$601:$AR$601,'Dvd Calendar'!$N$594)=0))&gt;0)=0,"",'Dvd Calendar'!$N$594*1000000000+ISNUMBER('Dvd Calendar'!$N$597)*100000000+('Dvd Calendar'!$N$599=SPECIAL_LBL)*10000000+(N('Dvd Calendar'!$N$593)&gt;0)*(N('Dvd Calendar'!$N$593)&lt;=VAL_SERIAL)*1000000+54*1000+10))</f>
        <v/>
      </c>
      <c r="EO65" s="39">
        <f>IF(N('Dvd Calendar'!$O$594)=0,"",IF(('Dvd Calendar'!$O$594&gt;=GRID_FROM)*('Dvd Calendar'!$O$594&lt;=GRID_TO)*((('Dvd Calendar'!$O$594&lt;=VAL_DATE)+(COUNTIF('Dvd Calendar'!$E$601:$AR$601,'Dvd Calendar'!$O$594)=0))&gt;0)=0,"",'Dvd Calendar'!$O$594*1000000000+ISNUMBER('Dvd Calendar'!$O$597)*100000000+('Dvd Calendar'!$O$599=SPECIAL_LBL)*10000000+(N('Dvd Calendar'!$O$593)&gt;0)*(N('Dvd Calendar'!$O$593)&lt;=VAL_SERIAL)*1000000+54*1000+11))</f>
        <v/>
      </c>
      <c r="EP65" s="39">
        <f>IF(N('Dvd Calendar'!$P$594)=0,"",IF(('Dvd Calendar'!$P$594&gt;=GRID_FROM)*('Dvd Calendar'!$P$594&lt;=GRID_TO)*((('Dvd Calendar'!$P$594&lt;=VAL_DATE)+(COUNTIF('Dvd Calendar'!$E$601:$AR$601,'Dvd Calendar'!$P$594)=0))&gt;0)=0,"",'Dvd Calendar'!$P$594*1000000000+ISNUMBER('Dvd Calendar'!$P$597)*100000000+('Dvd Calendar'!$P$599=SPECIAL_LBL)*10000000+(N('Dvd Calendar'!$P$593)&gt;0)*(N('Dvd Calendar'!$P$593)&lt;=VAL_SERIAL)*1000000+54*1000+12))</f>
        <v/>
      </c>
      <c r="EQ65" s="39">
        <f>IF(N('Dvd Calendar'!$Q$594)=0,"",IF(('Dvd Calendar'!$Q$594&gt;=GRID_FROM)*('Dvd Calendar'!$Q$594&lt;=GRID_TO)*((('Dvd Calendar'!$Q$594&lt;=VAL_DATE)+(COUNTIF('Dvd Calendar'!$E$601:$AR$601,'Dvd Calendar'!$Q$594)=0))&gt;0)=0,"",'Dvd Calendar'!$Q$594*1000000000+ISNUMBER('Dvd Calendar'!$Q$597)*100000000+('Dvd Calendar'!$Q$599=SPECIAL_LBL)*10000000+(N('Dvd Calendar'!$Q$593)&gt;0)*(N('Dvd Calendar'!$Q$593)&lt;=VAL_SERIAL)*1000000+54*1000+13))</f>
        <v/>
      </c>
      <c r="ER65" s="39">
        <f>IF(N('Dvd Calendar'!$R$594)=0,"",IF(('Dvd Calendar'!$R$594&gt;=GRID_FROM)*('Dvd Calendar'!$R$594&lt;=GRID_TO)*((('Dvd Calendar'!$R$594&lt;=VAL_DATE)+(COUNTIF('Dvd Calendar'!$E$601:$AR$601,'Dvd Calendar'!$R$594)=0))&gt;0)=0,"",'Dvd Calendar'!$R$594*1000000000+ISNUMBER('Dvd Calendar'!$R$597)*100000000+('Dvd Calendar'!$R$599=SPECIAL_LBL)*10000000+(N('Dvd Calendar'!$R$593)&gt;0)*(N('Dvd Calendar'!$R$593)&lt;=VAL_SERIAL)*1000000+54*1000+14))</f>
        <v/>
      </c>
      <c r="ES65" s="39">
        <f>IF(N('Dvd Calendar'!$S$594)=0,"",IF(('Dvd Calendar'!$S$594&gt;=GRID_FROM)*('Dvd Calendar'!$S$594&lt;=GRID_TO)*((('Dvd Calendar'!$S$594&lt;=VAL_DATE)+(COUNTIF('Dvd Calendar'!$E$601:$AR$601,'Dvd Calendar'!$S$594)=0))&gt;0)=0,"",'Dvd Calendar'!$S$594*1000000000+ISNUMBER('Dvd Calendar'!$S$597)*100000000+('Dvd Calendar'!$S$599=SPECIAL_LBL)*10000000+(N('Dvd Calendar'!$S$593)&gt;0)*(N('Dvd Calendar'!$S$593)&lt;=VAL_SERIAL)*1000000+54*1000+15))</f>
        <v/>
      </c>
      <c r="ET65" s="39">
        <f>IF(N('Dvd Calendar'!$T$594)=0,"",IF(('Dvd Calendar'!$T$594&gt;=GRID_FROM)*('Dvd Calendar'!$T$594&lt;=GRID_TO)*((('Dvd Calendar'!$T$594&lt;=VAL_DATE)+(COUNTIF('Dvd Calendar'!$E$601:$AR$601,'Dvd Calendar'!$T$594)=0))&gt;0)=0,"",'Dvd Calendar'!$T$594*1000000000+ISNUMBER('Dvd Calendar'!$T$597)*100000000+('Dvd Calendar'!$T$599=SPECIAL_LBL)*10000000+(N('Dvd Calendar'!$T$593)&gt;0)*(N('Dvd Calendar'!$T$593)&lt;=VAL_SERIAL)*1000000+54*1000+16))</f>
        <v/>
      </c>
      <c r="EU65" s="39">
        <f>IF(N('Dvd Calendar'!$U$594)=0,"",IF(('Dvd Calendar'!$U$594&gt;=GRID_FROM)*('Dvd Calendar'!$U$594&lt;=GRID_TO)*((('Dvd Calendar'!$U$594&lt;=VAL_DATE)+(COUNTIF('Dvd Calendar'!$E$601:$AR$601,'Dvd Calendar'!$U$594)=0))&gt;0)=0,"",'Dvd Calendar'!$U$594*1000000000+ISNUMBER('Dvd Calendar'!$U$597)*100000000+('Dvd Calendar'!$U$599=SPECIAL_LBL)*10000000+(N('Dvd Calendar'!$U$593)&gt;0)*(N('Dvd Calendar'!$U$593)&lt;=VAL_SERIAL)*1000000+54*1000+17))</f>
        <v/>
      </c>
      <c r="EV65" s="39">
        <f>IF(N('Dvd Calendar'!$V$594)=0,"",IF(('Dvd Calendar'!$V$594&gt;=GRID_FROM)*('Dvd Calendar'!$V$594&lt;=GRID_TO)*((('Dvd Calendar'!$V$594&lt;=VAL_DATE)+(COUNTIF('Dvd Calendar'!$E$601:$AR$601,'Dvd Calendar'!$V$594)=0))&gt;0)=0,"",'Dvd Calendar'!$V$594*1000000000+ISNUMBER('Dvd Calendar'!$V$597)*100000000+('Dvd Calendar'!$V$599=SPECIAL_LBL)*10000000+(N('Dvd Calendar'!$V$593)&gt;0)*(N('Dvd Calendar'!$V$593)&lt;=VAL_SERIAL)*1000000+54*1000+18))</f>
        <v/>
      </c>
      <c r="EW65" s="39">
        <f>IF(N('Dvd Calendar'!$W$594)=0,"",IF(('Dvd Calendar'!$W$594&gt;=GRID_FROM)*('Dvd Calendar'!$W$594&lt;=GRID_TO)*((('Dvd Calendar'!$W$594&lt;=VAL_DATE)+(COUNTIF('Dvd Calendar'!$E$601:$AR$601,'Dvd Calendar'!$W$594)=0))&gt;0)=0,"",'Dvd Calendar'!$W$594*1000000000+ISNUMBER('Dvd Calendar'!$W$597)*100000000+('Dvd Calendar'!$W$599=SPECIAL_LBL)*10000000+(N('Dvd Calendar'!$W$593)&gt;0)*(N('Dvd Calendar'!$W$593)&lt;=VAL_SERIAL)*1000000+54*1000+19))</f>
        <v/>
      </c>
      <c r="EX65" s="39">
        <f>IF(N('Dvd Calendar'!$X$594)=0,"",IF(('Dvd Calendar'!$X$594&gt;=GRID_FROM)*('Dvd Calendar'!$X$594&lt;=GRID_TO)*((('Dvd Calendar'!$X$594&lt;=VAL_DATE)+(COUNTIF('Dvd Calendar'!$E$601:$AR$601,'Dvd Calendar'!$X$594)=0))&gt;0)=0,"",'Dvd Calendar'!$X$594*1000000000+ISNUMBER('Dvd Calendar'!$X$597)*100000000+('Dvd Calendar'!$X$599=SPECIAL_LBL)*10000000+(N('Dvd Calendar'!$X$593)&gt;0)*(N('Dvd Calendar'!$X$593)&lt;=VAL_SERIAL)*1000000+54*1000+20))</f>
        <v/>
      </c>
      <c r="EY65" s="39">
        <f>IF(N('Dvd Calendar'!$Y$594)=0,"",IF(('Dvd Calendar'!$Y$594&gt;=GRID_FROM)*('Dvd Calendar'!$Y$594&lt;=GRID_TO)*((('Dvd Calendar'!$Y$594&lt;=VAL_DATE)+(COUNTIF('Dvd Calendar'!$E$601:$AR$601,'Dvd Calendar'!$Y$594)=0))&gt;0)=0,"",'Dvd Calendar'!$Y$594*1000000000+ISNUMBER('Dvd Calendar'!$Y$597)*100000000+('Dvd Calendar'!$Y$599=SPECIAL_LBL)*10000000+(N('Dvd Calendar'!$Y$593)&gt;0)*(N('Dvd Calendar'!$Y$593)&lt;=VAL_SERIAL)*1000000+54*1000+21))</f>
        <v/>
      </c>
      <c r="EZ65" s="39">
        <f>IF(N('Dvd Calendar'!$Z$594)=0,"",IF(('Dvd Calendar'!$Z$594&gt;=GRID_FROM)*('Dvd Calendar'!$Z$594&lt;=GRID_TO)*((('Dvd Calendar'!$Z$594&lt;=VAL_DATE)+(COUNTIF('Dvd Calendar'!$E$601:$AR$601,'Dvd Calendar'!$Z$594)=0))&gt;0)=0,"",'Dvd Calendar'!$Z$594*1000000000+ISNUMBER('Dvd Calendar'!$Z$597)*100000000+('Dvd Calendar'!$Z$599=SPECIAL_LBL)*10000000+(N('Dvd Calendar'!$Z$593)&gt;0)*(N('Dvd Calendar'!$Z$593)&lt;=VAL_SERIAL)*1000000+54*1000+22))</f>
        <v/>
      </c>
      <c r="FA65" s="39">
        <f>IF(N('Dvd Calendar'!$AA$594)=0,"",IF(('Dvd Calendar'!$AA$594&gt;=GRID_FROM)*('Dvd Calendar'!$AA$594&lt;=GRID_TO)*((('Dvd Calendar'!$AA$594&lt;=VAL_DATE)+(COUNTIF('Dvd Calendar'!$E$601:$AR$601,'Dvd Calendar'!$AA$594)=0))&gt;0)=0,"",'Dvd Calendar'!$AA$594*1000000000+ISNUMBER('Dvd Calendar'!$AA$597)*100000000+('Dvd Calendar'!$AA$599=SPECIAL_LBL)*10000000+(N('Dvd Calendar'!$AA$593)&gt;0)*(N('Dvd Calendar'!$AA$593)&lt;=VAL_SERIAL)*1000000+54*1000+23))</f>
        <v/>
      </c>
      <c r="FB65" s="39">
        <f>IF(N('Dvd Calendar'!$AB$594)=0,"",IF(('Dvd Calendar'!$AB$594&gt;=GRID_FROM)*('Dvd Calendar'!$AB$594&lt;=GRID_TO)*((('Dvd Calendar'!$AB$594&lt;=VAL_DATE)+(COUNTIF('Dvd Calendar'!$E$601:$AR$601,'Dvd Calendar'!$AB$594)=0))&gt;0)=0,"",'Dvd Calendar'!$AB$594*1000000000+ISNUMBER('Dvd Calendar'!$AB$597)*100000000+('Dvd Calendar'!$AB$599=SPECIAL_LBL)*10000000+(N('Dvd Calendar'!$AB$593)&gt;0)*(N('Dvd Calendar'!$AB$593)&lt;=VAL_SERIAL)*1000000+54*1000+24))</f>
        <v/>
      </c>
      <c r="FC65" s="39">
        <f>IF(N('Dvd Calendar'!$AC$594)=0,"",IF(('Dvd Calendar'!$AC$594&gt;=GRID_FROM)*('Dvd Calendar'!$AC$594&lt;=GRID_TO)*((('Dvd Calendar'!$AC$594&lt;=VAL_DATE)+(COUNTIF('Dvd Calendar'!$E$601:$AR$601,'Dvd Calendar'!$AC$594)=0))&gt;0)=0,"",'Dvd Calendar'!$AC$594*1000000000+ISNUMBER('Dvd Calendar'!$AC$597)*100000000+('Dvd Calendar'!$AC$599=SPECIAL_LBL)*10000000+(N('Dvd Calendar'!$AC$593)&gt;0)*(N('Dvd Calendar'!$AC$593)&lt;=VAL_SERIAL)*1000000+54*1000+25))</f>
        <v/>
      </c>
      <c r="FD65" s="39">
        <f>IF(N('Dvd Calendar'!$AD$594)=0,"",IF(('Dvd Calendar'!$AD$594&gt;=GRID_FROM)*('Dvd Calendar'!$AD$594&lt;=GRID_TO)*((('Dvd Calendar'!$AD$594&lt;=VAL_DATE)+(COUNTIF('Dvd Calendar'!$E$601:$AR$601,'Dvd Calendar'!$AD$594)=0))&gt;0)=0,"",'Dvd Calendar'!$AD$594*1000000000+ISNUMBER('Dvd Calendar'!$AD$597)*100000000+('Dvd Calendar'!$AD$599=SPECIAL_LBL)*10000000+(N('Dvd Calendar'!$AD$593)&gt;0)*(N('Dvd Calendar'!$AD$593)&lt;=VAL_SERIAL)*1000000+54*1000+26))</f>
        <v/>
      </c>
      <c r="FE65" s="39">
        <f>IF(N('Dvd Calendar'!$AE$594)=0,"",IF(('Dvd Calendar'!$AE$594&gt;=GRID_FROM)*('Dvd Calendar'!$AE$594&lt;=GRID_TO)*((('Dvd Calendar'!$AE$594&lt;=VAL_DATE)+(COUNTIF('Dvd Calendar'!$E$601:$AR$601,'Dvd Calendar'!$AE$594)=0))&gt;0)=0,"",'Dvd Calendar'!$AE$594*1000000000+ISNUMBER('Dvd Calendar'!$AE$597)*100000000+('Dvd Calendar'!$AE$599=SPECIAL_LBL)*10000000+(N('Dvd Calendar'!$AE$593)&gt;0)*(N('Dvd Calendar'!$AE$593)&lt;=VAL_SERIAL)*1000000+54*1000+27))</f>
        <v/>
      </c>
      <c r="FF65" s="39">
        <f>IF(N('Dvd Calendar'!$AF$594)=0,"",IF(('Dvd Calendar'!$AF$594&gt;=GRID_FROM)*('Dvd Calendar'!$AF$594&lt;=GRID_TO)*((('Dvd Calendar'!$AF$594&lt;=VAL_DATE)+(COUNTIF('Dvd Calendar'!$E$601:$AR$601,'Dvd Calendar'!$AF$594)=0))&gt;0)=0,"",'Dvd Calendar'!$AF$594*1000000000+ISNUMBER('Dvd Calendar'!$AF$597)*100000000+('Dvd Calendar'!$AF$599=SPECIAL_LBL)*10000000+(N('Dvd Calendar'!$AF$593)&gt;0)*(N('Dvd Calendar'!$AF$593)&lt;=VAL_SERIAL)*1000000+54*1000+28))</f>
        <v/>
      </c>
      <c r="FG65" s="39">
        <f>IF(N('Dvd Calendar'!$AG$594)=0,"",IF(('Dvd Calendar'!$AG$594&gt;=GRID_FROM)*('Dvd Calendar'!$AG$594&lt;=GRID_TO)*((('Dvd Calendar'!$AG$594&lt;=VAL_DATE)+(COUNTIF('Dvd Calendar'!$E$601:$AR$601,'Dvd Calendar'!$AG$594)=0))&gt;0)=0,"",'Dvd Calendar'!$AG$594*1000000000+ISNUMBER('Dvd Calendar'!$AG$597)*100000000+('Dvd Calendar'!$AG$599=SPECIAL_LBL)*10000000+(N('Dvd Calendar'!$AG$593)&gt;0)*(N('Dvd Calendar'!$AG$593)&lt;=VAL_SERIAL)*1000000+54*1000+29))</f>
        <v/>
      </c>
      <c r="FH65" s="39">
        <f>IF(N('Dvd Calendar'!$AH$594)=0,"",IF(('Dvd Calendar'!$AH$594&gt;=GRID_FROM)*('Dvd Calendar'!$AH$594&lt;=GRID_TO)*((('Dvd Calendar'!$AH$594&lt;=VAL_DATE)+(COUNTIF('Dvd Calendar'!$E$601:$AR$601,'Dvd Calendar'!$AH$594)=0))&gt;0)=0,"",'Dvd Calendar'!$AH$594*1000000000+ISNUMBER('Dvd Calendar'!$AH$597)*100000000+('Dvd Calendar'!$AH$599=SPECIAL_LBL)*10000000+(N('Dvd Calendar'!$AH$593)&gt;0)*(N('Dvd Calendar'!$AH$593)&lt;=VAL_SERIAL)*1000000+54*1000+30))</f>
        <v/>
      </c>
      <c r="FI65" s="39">
        <f>IF(N('Dvd Calendar'!$AI$594)=0,"",IF(('Dvd Calendar'!$AI$594&gt;=GRID_FROM)*('Dvd Calendar'!$AI$594&lt;=GRID_TO)*((('Dvd Calendar'!$AI$594&lt;=VAL_DATE)+(COUNTIF('Dvd Calendar'!$E$601:$AR$601,'Dvd Calendar'!$AI$594)=0))&gt;0)=0,"",'Dvd Calendar'!$AI$594*1000000000+ISNUMBER('Dvd Calendar'!$AI$597)*100000000+('Dvd Calendar'!$AI$599=SPECIAL_LBL)*10000000+(N('Dvd Calendar'!$AI$593)&gt;0)*(N('Dvd Calendar'!$AI$593)&lt;=VAL_SERIAL)*1000000+54*1000+31))</f>
        <v/>
      </c>
      <c r="FJ65" s="39">
        <f>IF(N('Dvd Calendar'!$AJ$594)=0,"",IF(('Dvd Calendar'!$AJ$594&gt;=GRID_FROM)*('Dvd Calendar'!$AJ$594&lt;=GRID_TO)*((('Dvd Calendar'!$AJ$594&lt;=VAL_DATE)+(COUNTIF('Dvd Calendar'!$E$601:$AR$601,'Dvd Calendar'!$AJ$594)=0))&gt;0)=0,"",'Dvd Calendar'!$AJ$594*1000000000+ISNUMBER('Dvd Calendar'!$AJ$597)*100000000+('Dvd Calendar'!$AJ$599=SPECIAL_LBL)*10000000+(N('Dvd Calendar'!$AJ$593)&gt;0)*(N('Dvd Calendar'!$AJ$593)&lt;=VAL_SERIAL)*1000000+54*1000+32))</f>
        <v/>
      </c>
      <c r="FK65" s="39">
        <f>IF(N('Dvd Calendar'!$AK$594)=0,"",IF(('Dvd Calendar'!$AK$594&gt;=GRID_FROM)*('Dvd Calendar'!$AK$594&lt;=GRID_TO)*((('Dvd Calendar'!$AK$594&lt;=VAL_DATE)+(COUNTIF('Dvd Calendar'!$E$601:$AR$601,'Dvd Calendar'!$AK$594)=0))&gt;0)=0,"",'Dvd Calendar'!$AK$594*1000000000+ISNUMBER('Dvd Calendar'!$AK$597)*100000000+('Dvd Calendar'!$AK$599=SPECIAL_LBL)*10000000+(N('Dvd Calendar'!$AK$593)&gt;0)*(N('Dvd Calendar'!$AK$593)&lt;=VAL_SERIAL)*1000000+54*1000+33))</f>
        <v/>
      </c>
      <c r="FL65" s="39">
        <f>IF(N('Dvd Calendar'!$AL$594)=0,"",IF(('Dvd Calendar'!$AL$594&gt;=GRID_FROM)*('Dvd Calendar'!$AL$594&lt;=GRID_TO)*((('Dvd Calendar'!$AL$594&lt;=VAL_DATE)+(COUNTIF('Dvd Calendar'!$E$601:$AR$601,'Dvd Calendar'!$AL$594)=0))&gt;0)=0,"",'Dvd Calendar'!$AL$594*1000000000+ISNUMBER('Dvd Calendar'!$AL$597)*100000000+('Dvd Calendar'!$AL$599=SPECIAL_LBL)*10000000+(N('Dvd Calendar'!$AL$593)&gt;0)*(N('Dvd Calendar'!$AL$593)&lt;=VAL_SERIAL)*1000000+54*1000+34))</f>
        <v/>
      </c>
      <c r="FM65" s="39">
        <f>IF(N('Dvd Calendar'!$AM$594)=0,"",IF(('Dvd Calendar'!$AM$594&gt;=GRID_FROM)*('Dvd Calendar'!$AM$594&lt;=GRID_TO)*((('Dvd Calendar'!$AM$594&lt;=VAL_DATE)+(COUNTIF('Dvd Calendar'!$E$601:$AR$601,'Dvd Calendar'!$AM$594)=0))&gt;0)=0,"",'Dvd Calendar'!$AM$594*1000000000+ISNUMBER('Dvd Calendar'!$AM$597)*100000000+('Dvd Calendar'!$AM$599=SPECIAL_LBL)*10000000+(N('Dvd Calendar'!$AM$593)&gt;0)*(N('Dvd Calendar'!$AM$593)&lt;=VAL_SERIAL)*1000000+54*1000+35))</f>
        <v/>
      </c>
      <c r="FN65" s="39">
        <f>IF(N('Dvd Calendar'!$AN$594)=0,"",IF(('Dvd Calendar'!$AN$594&gt;=GRID_FROM)*('Dvd Calendar'!$AN$594&lt;=GRID_TO)*((('Dvd Calendar'!$AN$594&lt;=VAL_DATE)+(COUNTIF('Dvd Calendar'!$E$601:$AR$601,'Dvd Calendar'!$AN$594)=0))&gt;0)=0,"",'Dvd Calendar'!$AN$594*1000000000+ISNUMBER('Dvd Calendar'!$AN$597)*100000000+('Dvd Calendar'!$AN$599=SPECIAL_LBL)*10000000+(N('Dvd Calendar'!$AN$593)&gt;0)*(N('Dvd Calendar'!$AN$593)&lt;=VAL_SERIAL)*1000000+54*1000+36))</f>
        <v/>
      </c>
      <c r="FO65" s="39">
        <f>IF(N('Dvd Calendar'!$AO$594)=0,"",IF(('Dvd Calendar'!$AO$594&gt;=GRID_FROM)*('Dvd Calendar'!$AO$594&lt;=GRID_TO)*((('Dvd Calendar'!$AO$594&lt;=VAL_DATE)+(COUNTIF('Dvd Calendar'!$E$601:$AR$601,'Dvd Calendar'!$AO$594)=0))&gt;0)=0,"",'Dvd Calendar'!$AO$594*1000000000+ISNUMBER('Dvd Calendar'!$AO$597)*100000000+('Dvd Calendar'!$AO$599=SPECIAL_LBL)*10000000+(N('Dvd Calendar'!$AO$593)&gt;0)*(N('Dvd Calendar'!$AO$593)&lt;=VAL_SERIAL)*1000000+54*1000+37))</f>
        <v/>
      </c>
      <c r="FP65" s="39">
        <f>IF(N('Dvd Calendar'!$AP$594)=0,"",IF(('Dvd Calendar'!$AP$594&gt;=GRID_FROM)*('Dvd Calendar'!$AP$594&lt;=GRID_TO)*((('Dvd Calendar'!$AP$594&lt;=VAL_DATE)+(COUNTIF('Dvd Calendar'!$E$601:$AR$601,'Dvd Calendar'!$AP$594)=0))&gt;0)=0,"",'Dvd Calendar'!$AP$594*1000000000+ISNUMBER('Dvd Calendar'!$AP$597)*100000000+('Dvd Calendar'!$AP$599=SPECIAL_LBL)*10000000+(N('Dvd Calendar'!$AP$593)&gt;0)*(N('Dvd Calendar'!$AP$593)&lt;=VAL_SERIAL)*1000000+54*1000+38))</f>
        <v/>
      </c>
      <c r="FQ65" s="39">
        <f>IF(N('Dvd Calendar'!$AQ$594)=0,"",IF(('Dvd Calendar'!$AQ$594&gt;=GRID_FROM)*('Dvd Calendar'!$AQ$594&lt;=GRID_TO)*((('Dvd Calendar'!$AQ$594&lt;=VAL_DATE)+(COUNTIF('Dvd Calendar'!$E$601:$AR$601,'Dvd Calendar'!$AQ$594)=0))&gt;0)=0,"",'Dvd Calendar'!$AQ$594*1000000000+ISNUMBER('Dvd Calendar'!$AQ$597)*100000000+('Dvd Calendar'!$AQ$599=SPECIAL_LBL)*10000000+(N('Dvd Calendar'!$AQ$593)&gt;0)*(N('Dvd Calendar'!$AQ$593)&lt;=VAL_SERIAL)*1000000+54*1000+39))</f>
        <v/>
      </c>
      <c r="FR65" s="39">
        <f>IF(N('Dvd Calendar'!$AR$594)=0,"",IF(('Dvd Calendar'!$AR$594&gt;=GRID_FROM)*('Dvd Calendar'!$AR$594&lt;=GRID_TO)*((('Dvd Calendar'!$AR$594&lt;=VAL_DATE)+(COUNTIF('Dvd Calendar'!$E$601:$AR$601,'Dvd Calendar'!$AR$594)=0))&gt;0)=0,"",'Dvd Calendar'!$AR$594*1000000000+ISNUMBER('Dvd Calendar'!$AR$597)*100000000+('Dvd Calendar'!$AR$599=SPECIAL_LBL)*10000000+(N('Dvd Calendar'!$AR$593)&gt;0)*(N('Dvd Calendar'!$AR$593)&lt;=VAL_SERIAL)*1000000+54*1000+40))</f>
        <v/>
      </c>
      <c r="FS65" s="39">
        <f>IF(N('Dvd Calendar'!$E$601)=0,"",IF(('Dvd Calendar'!$E$601&gt;=GRID_FROM)*('Dvd Calendar'!$E$601&lt;=GRID_TO)*('Dvd Calendar'!$E$601&gt;VAL_DATE)=0,"",'Dvd Calendar'!$E$601*1000000000+ISNUMBER('Dvd Calendar'!$E$602)*100000000+0*10000000+(N('Dvd Calendar'!$E$600)&gt;0)*(N('Dvd Calendar'!$E$600)&lt;=VAL_SERIAL)*1000000+54*1000+41))</f>
        <v/>
      </c>
      <c r="FT65" s="39">
        <f>IF(N('Dvd Calendar'!$F$601)=0,"",IF(('Dvd Calendar'!$F$601&gt;=GRID_FROM)*('Dvd Calendar'!$F$601&lt;=GRID_TO)*('Dvd Calendar'!$F$601&gt;VAL_DATE)=0,"",'Dvd Calendar'!$F$601*1000000000+ISNUMBER('Dvd Calendar'!$F$602)*100000000+0*10000000+(N('Dvd Calendar'!$F$600)&gt;0)*(N('Dvd Calendar'!$F$600)&lt;=VAL_SERIAL)*1000000+54*1000+42))</f>
        <v/>
      </c>
      <c r="FU65" s="39">
        <f>IF(N('Dvd Calendar'!$G$601)=0,"",IF(('Dvd Calendar'!$G$601&gt;=GRID_FROM)*('Dvd Calendar'!$G$601&lt;=GRID_TO)*('Dvd Calendar'!$G$601&gt;VAL_DATE)=0,"",'Dvd Calendar'!$G$601*1000000000+ISNUMBER('Dvd Calendar'!$G$602)*100000000+0*10000000+(N('Dvd Calendar'!$G$600)&gt;0)*(N('Dvd Calendar'!$G$600)&lt;=VAL_SERIAL)*1000000+54*1000+43))</f>
        <v/>
      </c>
      <c r="FV65" s="39">
        <f>IF(N('Dvd Calendar'!$H$601)=0,"",IF(('Dvd Calendar'!$H$601&gt;=GRID_FROM)*('Dvd Calendar'!$H$601&lt;=GRID_TO)*('Dvd Calendar'!$H$601&gt;VAL_DATE)=0,"",'Dvd Calendar'!$H$601*1000000000+ISNUMBER('Dvd Calendar'!$H$602)*100000000+0*10000000+(N('Dvd Calendar'!$H$600)&gt;0)*(N('Dvd Calendar'!$H$600)&lt;=VAL_SERIAL)*1000000+54*1000+44))</f>
        <v/>
      </c>
      <c r="FW65" s="39">
        <f>IF(N('Dvd Calendar'!$I$601)=0,"",IF(('Dvd Calendar'!$I$601&gt;=GRID_FROM)*('Dvd Calendar'!$I$601&lt;=GRID_TO)*('Dvd Calendar'!$I$601&gt;VAL_DATE)=0,"",'Dvd Calendar'!$I$601*1000000000+ISNUMBER('Dvd Calendar'!$I$602)*100000000+0*10000000+(N('Dvd Calendar'!$I$600)&gt;0)*(N('Dvd Calendar'!$I$600)&lt;=VAL_SERIAL)*1000000+54*1000+45))</f>
        <v/>
      </c>
      <c r="FX65" s="39">
        <f>IF(N('Dvd Calendar'!$J$601)=0,"",IF(('Dvd Calendar'!$J$601&gt;=GRID_FROM)*('Dvd Calendar'!$J$601&lt;=GRID_TO)*('Dvd Calendar'!$J$601&gt;VAL_DATE)=0,"",'Dvd Calendar'!$J$601*1000000000+ISNUMBER('Dvd Calendar'!$J$602)*100000000+0*10000000+(N('Dvd Calendar'!$J$600)&gt;0)*(N('Dvd Calendar'!$J$600)&lt;=VAL_SERIAL)*1000000+54*1000+46))</f>
        <v/>
      </c>
      <c r="FY65" s="39">
        <f>IF(N('Dvd Calendar'!$K$601)=0,"",IF(('Dvd Calendar'!$K$601&gt;=GRID_FROM)*('Dvd Calendar'!$K$601&lt;=GRID_TO)*('Dvd Calendar'!$K$601&gt;VAL_DATE)=0,"",'Dvd Calendar'!$K$601*1000000000+ISNUMBER('Dvd Calendar'!$K$602)*100000000+0*10000000+(N('Dvd Calendar'!$K$600)&gt;0)*(N('Dvd Calendar'!$K$600)&lt;=VAL_SERIAL)*1000000+54*1000+47))</f>
        <v/>
      </c>
      <c r="FZ65" s="39">
        <f>IF(N('Dvd Calendar'!$L$601)=0,"",IF(('Dvd Calendar'!$L$601&gt;=GRID_FROM)*('Dvd Calendar'!$L$601&lt;=GRID_TO)*('Dvd Calendar'!$L$601&gt;VAL_DATE)=0,"",'Dvd Calendar'!$L$601*1000000000+ISNUMBER('Dvd Calendar'!$L$602)*100000000+0*10000000+(N('Dvd Calendar'!$L$600)&gt;0)*(N('Dvd Calendar'!$L$600)&lt;=VAL_SERIAL)*1000000+54*1000+48))</f>
        <v/>
      </c>
      <c r="GA65" s="39">
        <f>IF(N('Dvd Calendar'!$M$601)=0,"",IF(('Dvd Calendar'!$M$601&gt;=GRID_FROM)*('Dvd Calendar'!$M$601&lt;=GRID_TO)*('Dvd Calendar'!$M$601&gt;VAL_DATE)=0,"",'Dvd Calendar'!$M$601*1000000000+ISNUMBER('Dvd Calendar'!$M$602)*100000000+0*10000000+(N('Dvd Calendar'!$M$600)&gt;0)*(N('Dvd Calendar'!$M$600)&lt;=VAL_SERIAL)*1000000+54*1000+49))</f>
        <v/>
      </c>
      <c r="GB65" s="39">
        <f>IF(N('Dvd Calendar'!$N$601)=0,"",IF(('Dvd Calendar'!$N$601&gt;=GRID_FROM)*('Dvd Calendar'!$N$601&lt;=GRID_TO)*('Dvd Calendar'!$N$601&gt;VAL_DATE)=0,"",'Dvd Calendar'!$N$601*1000000000+ISNUMBER('Dvd Calendar'!$N$602)*100000000+0*10000000+(N('Dvd Calendar'!$N$600)&gt;0)*(N('Dvd Calendar'!$N$600)&lt;=VAL_SERIAL)*1000000+54*1000+50))</f>
        <v/>
      </c>
      <c r="GC65" s="39">
        <f>IF(N('Dvd Calendar'!$O$601)=0,"",IF(('Dvd Calendar'!$O$601&gt;=GRID_FROM)*('Dvd Calendar'!$O$601&lt;=GRID_TO)*('Dvd Calendar'!$O$601&gt;VAL_DATE)=0,"",'Dvd Calendar'!$O$601*1000000000+ISNUMBER('Dvd Calendar'!$O$602)*100000000+0*10000000+(N('Dvd Calendar'!$O$600)&gt;0)*(N('Dvd Calendar'!$O$600)&lt;=VAL_SERIAL)*1000000+54*1000+51))</f>
        <v/>
      </c>
      <c r="GD65" s="39">
        <f>IF(N('Dvd Calendar'!$P$601)=0,"",IF(('Dvd Calendar'!$P$601&gt;=GRID_FROM)*('Dvd Calendar'!$P$601&lt;=GRID_TO)*('Dvd Calendar'!$P$601&gt;VAL_DATE)=0,"",'Dvd Calendar'!$P$601*1000000000+ISNUMBER('Dvd Calendar'!$P$602)*100000000+0*10000000+(N('Dvd Calendar'!$P$600)&gt;0)*(N('Dvd Calendar'!$P$600)&lt;=VAL_SERIAL)*1000000+54*1000+52))</f>
        <v/>
      </c>
      <c r="GE65" s="39">
        <f>IF(N('Dvd Calendar'!$Q$601)=0,"",IF(('Dvd Calendar'!$Q$601&gt;=GRID_FROM)*('Dvd Calendar'!$Q$601&lt;=GRID_TO)*('Dvd Calendar'!$Q$601&gt;VAL_DATE)=0,"",'Dvd Calendar'!$Q$601*1000000000+ISNUMBER('Dvd Calendar'!$Q$602)*100000000+0*10000000+(N('Dvd Calendar'!$Q$600)&gt;0)*(N('Dvd Calendar'!$Q$600)&lt;=VAL_SERIAL)*1000000+54*1000+53))</f>
        <v/>
      </c>
      <c r="GF65" s="39">
        <f>IF(N('Dvd Calendar'!$R$601)=0,"",IF(('Dvd Calendar'!$R$601&gt;=GRID_FROM)*('Dvd Calendar'!$R$601&lt;=GRID_TO)*('Dvd Calendar'!$R$601&gt;VAL_DATE)=0,"",'Dvd Calendar'!$R$601*1000000000+ISNUMBER('Dvd Calendar'!$R$602)*100000000+0*10000000+(N('Dvd Calendar'!$R$600)&gt;0)*(N('Dvd Calendar'!$R$600)&lt;=VAL_SERIAL)*1000000+54*1000+54))</f>
        <v/>
      </c>
      <c r="GG65" s="39">
        <f>IF(N('Dvd Calendar'!$S$601)=0,"",IF(('Dvd Calendar'!$S$601&gt;=GRID_FROM)*('Dvd Calendar'!$S$601&lt;=GRID_TO)*('Dvd Calendar'!$S$601&gt;VAL_DATE)=0,"",'Dvd Calendar'!$S$601*1000000000+ISNUMBER('Dvd Calendar'!$S$602)*100000000+0*10000000+(N('Dvd Calendar'!$S$600)&gt;0)*(N('Dvd Calendar'!$S$600)&lt;=VAL_SERIAL)*1000000+54*1000+55))</f>
        <v/>
      </c>
      <c r="GH65" s="39">
        <f>IF(N('Dvd Calendar'!$T$601)=0,"",IF(('Dvd Calendar'!$T$601&gt;=GRID_FROM)*('Dvd Calendar'!$T$601&lt;=GRID_TO)*('Dvd Calendar'!$T$601&gt;VAL_DATE)=0,"",'Dvd Calendar'!$T$601*1000000000+ISNUMBER('Dvd Calendar'!$T$602)*100000000+0*10000000+(N('Dvd Calendar'!$T$600)&gt;0)*(N('Dvd Calendar'!$T$600)&lt;=VAL_SERIAL)*1000000+54*1000+56))</f>
        <v/>
      </c>
      <c r="GI65" s="39">
        <f>IF(N('Dvd Calendar'!$U$601)=0,"",IF(('Dvd Calendar'!$U$601&gt;=GRID_FROM)*('Dvd Calendar'!$U$601&lt;=GRID_TO)*('Dvd Calendar'!$U$601&gt;VAL_DATE)=0,"",'Dvd Calendar'!$U$601*1000000000+ISNUMBER('Dvd Calendar'!$U$602)*100000000+0*10000000+(N('Dvd Calendar'!$U$600)&gt;0)*(N('Dvd Calendar'!$U$600)&lt;=VAL_SERIAL)*1000000+54*1000+57))</f>
        <v/>
      </c>
      <c r="GJ65" s="39">
        <f>IF(N('Dvd Calendar'!$V$601)=0,"",IF(('Dvd Calendar'!$V$601&gt;=GRID_FROM)*('Dvd Calendar'!$V$601&lt;=GRID_TO)*('Dvd Calendar'!$V$601&gt;VAL_DATE)=0,"",'Dvd Calendar'!$V$601*1000000000+ISNUMBER('Dvd Calendar'!$V$602)*100000000+0*10000000+(N('Dvd Calendar'!$V$600)&gt;0)*(N('Dvd Calendar'!$V$600)&lt;=VAL_SERIAL)*1000000+54*1000+58))</f>
        <v/>
      </c>
      <c r="GK65" s="39">
        <f>IF(N('Dvd Calendar'!$W$601)=0,"",IF(('Dvd Calendar'!$W$601&gt;=GRID_FROM)*('Dvd Calendar'!$W$601&lt;=GRID_TO)*('Dvd Calendar'!$W$601&gt;VAL_DATE)=0,"",'Dvd Calendar'!$W$601*1000000000+ISNUMBER('Dvd Calendar'!$W$602)*100000000+0*10000000+(N('Dvd Calendar'!$W$600)&gt;0)*(N('Dvd Calendar'!$W$600)&lt;=VAL_SERIAL)*1000000+54*1000+59))</f>
        <v/>
      </c>
      <c r="GL65" s="39">
        <f>IF(N('Dvd Calendar'!$X$601)=0,"",IF(('Dvd Calendar'!$X$601&gt;=GRID_FROM)*('Dvd Calendar'!$X$601&lt;=GRID_TO)*('Dvd Calendar'!$X$601&gt;VAL_DATE)=0,"",'Dvd Calendar'!$X$601*1000000000+ISNUMBER('Dvd Calendar'!$X$602)*100000000+0*10000000+(N('Dvd Calendar'!$X$600)&gt;0)*(N('Dvd Calendar'!$X$600)&lt;=VAL_SERIAL)*1000000+54*1000+60))</f>
        <v/>
      </c>
      <c r="GM65" s="39">
        <f>IF(N('Dvd Calendar'!$Y$601)=0,"",IF(('Dvd Calendar'!$Y$601&gt;=GRID_FROM)*('Dvd Calendar'!$Y$601&lt;=GRID_TO)*('Dvd Calendar'!$Y$601&gt;VAL_DATE)=0,"",'Dvd Calendar'!$Y$601*1000000000+ISNUMBER('Dvd Calendar'!$Y$602)*100000000+0*10000000+(N('Dvd Calendar'!$Y$600)&gt;0)*(N('Dvd Calendar'!$Y$600)&lt;=VAL_SERIAL)*1000000+54*1000+61))</f>
        <v/>
      </c>
      <c r="GN65" s="39">
        <f>IF(N('Dvd Calendar'!$Z$601)=0,"",IF(('Dvd Calendar'!$Z$601&gt;=GRID_FROM)*('Dvd Calendar'!$Z$601&lt;=GRID_TO)*('Dvd Calendar'!$Z$601&gt;VAL_DATE)=0,"",'Dvd Calendar'!$Z$601*1000000000+ISNUMBER('Dvd Calendar'!$Z$602)*100000000+0*10000000+(N('Dvd Calendar'!$Z$600)&gt;0)*(N('Dvd Calendar'!$Z$600)&lt;=VAL_SERIAL)*1000000+54*1000+62))</f>
        <v/>
      </c>
      <c r="GO65" s="39">
        <f>IF(N('Dvd Calendar'!$AA$601)=0,"",IF(('Dvd Calendar'!$AA$601&gt;=GRID_FROM)*('Dvd Calendar'!$AA$601&lt;=GRID_TO)*('Dvd Calendar'!$AA$601&gt;VAL_DATE)=0,"",'Dvd Calendar'!$AA$601*1000000000+ISNUMBER('Dvd Calendar'!$AA$602)*100000000+0*10000000+(N('Dvd Calendar'!$AA$600)&gt;0)*(N('Dvd Calendar'!$AA$600)&lt;=VAL_SERIAL)*1000000+54*1000+63))</f>
        <v/>
      </c>
      <c r="GP65" s="39">
        <f>IF(N('Dvd Calendar'!$AB$601)=0,"",IF(('Dvd Calendar'!$AB$601&gt;=GRID_FROM)*('Dvd Calendar'!$AB$601&lt;=GRID_TO)*('Dvd Calendar'!$AB$601&gt;VAL_DATE)=0,"",'Dvd Calendar'!$AB$601*1000000000+ISNUMBER('Dvd Calendar'!$AB$602)*100000000+0*10000000+(N('Dvd Calendar'!$AB$600)&gt;0)*(N('Dvd Calendar'!$AB$600)&lt;=VAL_SERIAL)*1000000+54*1000+64))</f>
        <v/>
      </c>
      <c r="GQ65" s="39">
        <f>IF(N('Dvd Calendar'!$AC$601)=0,"",IF(('Dvd Calendar'!$AC$601&gt;=GRID_FROM)*('Dvd Calendar'!$AC$601&lt;=GRID_TO)*('Dvd Calendar'!$AC$601&gt;VAL_DATE)=0,"",'Dvd Calendar'!$AC$601*1000000000+ISNUMBER('Dvd Calendar'!$AC$602)*100000000+0*10000000+(N('Dvd Calendar'!$AC$600)&gt;0)*(N('Dvd Calendar'!$AC$600)&lt;=VAL_SERIAL)*1000000+54*1000+65))</f>
        <v/>
      </c>
    </row>
    <row r="66">
      <c r="B66" s="2">
        <f>IF(HSI!$C$61="","",HSI!$C$61)</f>
        <v/>
      </c>
      <c r="C66" s="110">
        <f>IF(EE66="","",IF(ISNUMBER('Dvd Calendar'!$E$608)=FALSE,"",IF((('Dvd Calendar'!$E$610=TYPE1)*(TYPE1&lt;&gt;"")+('Dvd Calendar'!$E$610=TYPE2)*(TYPE2&lt;&gt;"")+('Dvd Calendar'!$E$610=TYPE3)*(TYPE3&lt;&gt;"")+('Dvd Calendar'!$E$610=TYPE4)*(TYPE4&lt;&gt;"")+('Dvd Calendar'!$E$610=SPECIAL_LBL)*(INC_SPECIALS="Y"))=0,"",'Dvd Calendar'!$E$608)))</f>
        <v/>
      </c>
      <c r="D66" s="110">
        <f>IF(EF66="","",IF(ISNUMBER('Dvd Calendar'!$F$608)=FALSE,"",IF((('Dvd Calendar'!$F$610=TYPE1)*(TYPE1&lt;&gt;"")+('Dvd Calendar'!$F$610=TYPE2)*(TYPE2&lt;&gt;"")+('Dvd Calendar'!$F$610=TYPE3)*(TYPE3&lt;&gt;"")+('Dvd Calendar'!$F$610=TYPE4)*(TYPE4&lt;&gt;"")+('Dvd Calendar'!$F$610=SPECIAL_LBL)*(INC_SPECIALS="Y"))=0,"",'Dvd Calendar'!$F$608)))</f>
        <v/>
      </c>
      <c r="E66" s="110">
        <f>IF(EG66="","",IF(ISNUMBER('Dvd Calendar'!$G$608)=FALSE,"",IF((('Dvd Calendar'!$G$610=TYPE1)*(TYPE1&lt;&gt;"")+('Dvd Calendar'!$G$610=TYPE2)*(TYPE2&lt;&gt;"")+('Dvd Calendar'!$G$610=TYPE3)*(TYPE3&lt;&gt;"")+('Dvd Calendar'!$G$610=TYPE4)*(TYPE4&lt;&gt;"")+('Dvd Calendar'!$G$610=SPECIAL_LBL)*(INC_SPECIALS="Y"))=0,"",'Dvd Calendar'!$G$608)))</f>
        <v/>
      </c>
      <c r="F66" s="110">
        <f>IF(EH66="","",IF(ISNUMBER('Dvd Calendar'!$H$608)=FALSE,"",IF((('Dvd Calendar'!$H$610=TYPE1)*(TYPE1&lt;&gt;"")+('Dvd Calendar'!$H$610=TYPE2)*(TYPE2&lt;&gt;"")+('Dvd Calendar'!$H$610=TYPE3)*(TYPE3&lt;&gt;"")+('Dvd Calendar'!$H$610=TYPE4)*(TYPE4&lt;&gt;"")+('Dvd Calendar'!$H$610=SPECIAL_LBL)*(INC_SPECIALS="Y"))=0,"",'Dvd Calendar'!$H$608)))</f>
        <v/>
      </c>
      <c r="G66" s="110">
        <f>IF(EI66="","",IF(ISNUMBER('Dvd Calendar'!$I$608)=FALSE,"",IF((('Dvd Calendar'!$I$610=TYPE1)*(TYPE1&lt;&gt;"")+('Dvd Calendar'!$I$610=TYPE2)*(TYPE2&lt;&gt;"")+('Dvd Calendar'!$I$610=TYPE3)*(TYPE3&lt;&gt;"")+('Dvd Calendar'!$I$610=TYPE4)*(TYPE4&lt;&gt;"")+('Dvd Calendar'!$I$610=SPECIAL_LBL)*(INC_SPECIALS="Y"))=0,"",'Dvd Calendar'!$I$608)))</f>
        <v/>
      </c>
      <c r="H66" s="110">
        <f>IF(EJ66="","",IF(ISNUMBER('Dvd Calendar'!$J$608)=FALSE,"",IF((('Dvd Calendar'!$J$610=TYPE1)*(TYPE1&lt;&gt;"")+('Dvd Calendar'!$J$610=TYPE2)*(TYPE2&lt;&gt;"")+('Dvd Calendar'!$J$610=TYPE3)*(TYPE3&lt;&gt;"")+('Dvd Calendar'!$J$610=TYPE4)*(TYPE4&lt;&gt;"")+('Dvd Calendar'!$J$610=SPECIAL_LBL)*(INC_SPECIALS="Y"))=0,"",'Dvd Calendar'!$J$608)))</f>
        <v/>
      </c>
      <c r="I66" s="110">
        <f>IF(EK66="","",IF(ISNUMBER('Dvd Calendar'!$K$608)=FALSE,"",IF((('Dvd Calendar'!$K$610=TYPE1)*(TYPE1&lt;&gt;"")+('Dvd Calendar'!$K$610=TYPE2)*(TYPE2&lt;&gt;"")+('Dvd Calendar'!$K$610=TYPE3)*(TYPE3&lt;&gt;"")+('Dvd Calendar'!$K$610=TYPE4)*(TYPE4&lt;&gt;"")+('Dvd Calendar'!$K$610=SPECIAL_LBL)*(INC_SPECIALS="Y"))=0,"",'Dvd Calendar'!$K$608)))</f>
        <v/>
      </c>
      <c r="J66" s="110">
        <f>IF(EL66="","",IF(ISNUMBER('Dvd Calendar'!$L$608)=FALSE,"",IF((('Dvd Calendar'!$L$610=TYPE1)*(TYPE1&lt;&gt;"")+('Dvd Calendar'!$L$610=TYPE2)*(TYPE2&lt;&gt;"")+('Dvd Calendar'!$L$610=TYPE3)*(TYPE3&lt;&gt;"")+('Dvd Calendar'!$L$610=TYPE4)*(TYPE4&lt;&gt;"")+('Dvd Calendar'!$L$610=SPECIAL_LBL)*(INC_SPECIALS="Y"))=0,"",'Dvd Calendar'!$L$608)))</f>
        <v/>
      </c>
      <c r="K66" s="110">
        <f>IF(EM66="","",IF(ISNUMBER('Dvd Calendar'!$M$608)=FALSE,"",IF((('Dvd Calendar'!$M$610=TYPE1)*(TYPE1&lt;&gt;"")+('Dvd Calendar'!$M$610=TYPE2)*(TYPE2&lt;&gt;"")+('Dvd Calendar'!$M$610=TYPE3)*(TYPE3&lt;&gt;"")+('Dvd Calendar'!$M$610=TYPE4)*(TYPE4&lt;&gt;"")+('Dvd Calendar'!$M$610=SPECIAL_LBL)*(INC_SPECIALS="Y"))=0,"",'Dvd Calendar'!$M$608)))</f>
        <v/>
      </c>
      <c r="L66" s="110">
        <f>IF(EN66="","",IF(ISNUMBER('Dvd Calendar'!$N$608)=FALSE,"",IF((('Dvd Calendar'!$N$610=TYPE1)*(TYPE1&lt;&gt;"")+('Dvd Calendar'!$N$610=TYPE2)*(TYPE2&lt;&gt;"")+('Dvd Calendar'!$N$610=TYPE3)*(TYPE3&lt;&gt;"")+('Dvd Calendar'!$N$610=TYPE4)*(TYPE4&lt;&gt;"")+('Dvd Calendar'!$N$610=SPECIAL_LBL)*(INC_SPECIALS="Y"))=0,"",'Dvd Calendar'!$N$608)))</f>
        <v/>
      </c>
      <c r="M66" s="110">
        <f>IF(EO66="","",IF(ISNUMBER('Dvd Calendar'!$O$608)=FALSE,"",IF((('Dvd Calendar'!$O$610=TYPE1)*(TYPE1&lt;&gt;"")+('Dvd Calendar'!$O$610=TYPE2)*(TYPE2&lt;&gt;"")+('Dvd Calendar'!$O$610=TYPE3)*(TYPE3&lt;&gt;"")+('Dvd Calendar'!$O$610=TYPE4)*(TYPE4&lt;&gt;"")+('Dvd Calendar'!$O$610=SPECIAL_LBL)*(INC_SPECIALS="Y"))=0,"",'Dvd Calendar'!$O$608)))</f>
        <v/>
      </c>
      <c r="N66" s="110">
        <f>IF(EP66="","",IF(ISNUMBER('Dvd Calendar'!$P$608)=FALSE,"",IF((('Dvd Calendar'!$P$610=TYPE1)*(TYPE1&lt;&gt;"")+('Dvd Calendar'!$P$610=TYPE2)*(TYPE2&lt;&gt;"")+('Dvd Calendar'!$P$610=TYPE3)*(TYPE3&lt;&gt;"")+('Dvd Calendar'!$P$610=TYPE4)*(TYPE4&lt;&gt;"")+('Dvd Calendar'!$P$610=SPECIAL_LBL)*(INC_SPECIALS="Y"))=0,"",'Dvd Calendar'!$P$608)))</f>
        <v/>
      </c>
      <c r="O66" s="110">
        <f>IF(EQ66="","",IF(ISNUMBER('Dvd Calendar'!$Q$608)=FALSE,"",IF((('Dvd Calendar'!$Q$610=TYPE1)*(TYPE1&lt;&gt;"")+('Dvd Calendar'!$Q$610=TYPE2)*(TYPE2&lt;&gt;"")+('Dvd Calendar'!$Q$610=TYPE3)*(TYPE3&lt;&gt;"")+('Dvd Calendar'!$Q$610=TYPE4)*(TYPE4&lt;&gt;"")+('Dvd Calendar'!$Q$610=SPECIAL_LBL)*(INC_SPECIALS="Y"))=0,"",'Dvd Calendar'!$Q$608)))</f>
        <v/>
      </c>
      <c r="P66" s="110">
        <f>IF(ER66="","",IF(ISNUMBER('Dvd Calendar'!$R$608)=FALSE,"",IF((('Dvd Calendar'!$R$610=TYPE1)*(TYPE1&lt;&gt;"")+('Dvd Calendar'!$R$610=TYPE2)*(TYPE2&lt;&gt;"")+('Dvd Calendar'!$R$610=TYPE3)*(TYPE3&lt;&gt;"")+('Dvd Calendar'!$R$610=TYPE4)*(TYPE4&lt;&gt;"")+('Dvd Calendar'!$R$610=SPECIAL_LBL)*(INC_SPECIALS="Y"))=0,"",'Dvd Calendar'!$R$608)))</f>
        <v/>
      </c>
      <c r="Q66" s="110">
        <f>IF(ES66="","",IF(ISNUMBER('Dvd Calendar'!$S$608)=FALSE,"",IF((('Dvd Calendar'!$S$610=TYPE1)*(TYPE1&lt;&gt;"")+('Dvd Calendar'!$S$610=TYPE2)*(TYPE2&lt;&gt;"")+('Dvd Calendar'!$S$610=TYPE3)*(TYPE3&lt;&gt;"")+('Dvd Calendar'!$S$610=TYPE4)*(TYPE4&lt;&gt;"")+('Dvd Calendar'!$S$610=SPECIAL_LBL)*(INC_SPECIALS="Y"))=0,"",'Dvd Calendar'!$S$608)))</f>
        <v/>
      </c>
      <c r="R66" s="110">
        <f>IF(ET66="","",IF(ISNUMBER('Dvd Calendar'!$T$608)=FALSE,"",IF((('Dvd Calendar'!$T$610=TYPE1)*(TYPE1&lt;&gt;"")+('Dvd Calendar'!$T$610=TYPE2)*(TYPE2&lt;&gt;"")+('Dvd Calendar'!$T$610=TYPE3)*(TYPE3&lt;&gt;"")+('Dvd Calendar'!$T$610=TYPE4)*(TYPE4&lt;&gt;"")+('Dvd Calendar'!$T$610=SPECIAL_LBL)*(INC_SPECIALS="Y"))=0,"",'Dvd Calendar'!$T$608)))</f>
        <v/>
      </c>
      <c r="S66" s="110">
        <f>IF(EU66="","",IF(ISNUMBER('Dvd Calendar'!$U$608)=FALSE,"",IF((('Dvd Calendar'!$U$610=TYPE1)*(TYPE1&lt;&gt;"")+('Dvd Calendar'!$U$610=TYPE2)*(TYPE2&lt;&gt;"")+('Dvd Calendar'!$U$610=TYPE3)*(TYPE3&lt;&gt;"")+('Dvd Calendar'!$U$610=TYPE4)*(TYPE4&lt;&gt;"")+('Dvd Calendar'!$U$610=SPECIAL_LBL)*(INC_SPECIALS="Y"))=0,"",'Dvd Calendar'!$U$608)))</f>
        <v/>
      </c>
      <c r="T66" s="110">
        <f>IF(EV66="","",IF(ISNUMBER('Dvd Calendar'!$V$608)=FALSE,"",IF((('Dvd Calendar'!$V$610=TYPE1)*(TYPE1&lt;&gt;"")+('Dvd Calendar'!$V$610=TYPE2)*(TYPE2&lt;&gt;"")+('Dvd Calendar'!$V$610=TYPE3)*(TYPE3&lt;&gt;"")+('Dvd Calendar'!$V$610=TYPE4)*(TYPE4&lt;&gt;"")+('Dvd Calendar'!$V$610=SPECIAL_LBL)*(INC_SPECIALS="Y"))=0,"",'Dvd Calendar'!$V$608)))</f>
        <v/>
      </c>
      <c r="U66" s="110">
        <f>IF(EW66="","",IF(ISNUMBER('Dvd Calendar'!$W$608)=FALSE,"",IF((('Dvd Calendar'!$W$610=TYPE1)*(TYPE1&lt;&gt;"")+('Dvd Calendar'!$W$610=TYPE2)*(TYPE2&lt;&gt;"")+('Dvd Calendar'!$W$610=TYPE3)*(TYPE3&lt;&gt;"")+('Dvd Calendar'!$W$610=TYPE4)*(TYPE4&lt;&gt;"")+('Dvd Calendar'!$W$610=SPECIAL_LBL)*(INC_SPECIALS="Y"))=0,"",'Dvd Calendar'!$W$608)))</f>
        <v/>
      </c>
      <c r="V66" s="110">
        <f>IF(EX66="","",IF(ISNUMBER('Dvd Calendar'!$X$608)=FALSE,"",IF((('Dvd Calendar'!$X$610=TYPE1)*(TYPE1&lt;&gt;"")+('Dvd Calendar'!$X$610=TYPE2)*(TYPE2&lt;&gt;"")+('Dvd Calendar'!$X$610=TYPE3)*(TYPE3&lt;&gt;"")+('Dvd Calendar'!$X$610=TYPE4)*(TYPE4&lt;&gt;"")+('Dvd Calendar'!$X$610=SPECIAL_LBL)*(INC_SPECIALS="Y"))=0,"",'Dvd Calendar'!$X$608)))</f>
        <v/>
      </c>
      <c r="W66" s="110">
        <f>IF(EY66="","",IF(ISNUMBER('Dvd Calendar'!$Y$608)=FALSE,"",IF((('Dvd Calendar'!$Y$610=TYPE1)*(TYPE1&lt;&gt;"")+('Dvd Calendar'!$Y$610=TYPE2)*(TYPE2&lt;&gt;"")+('Dvd Calendar'!$Y$610=TYPE3)*(TYPE3&lt;&gt;"")+('Dvd Calendar'!$Y$610=TYPE4)*(TYPE4&lt;&gt;"")+('Dvd Calendar'!$Y$610=SPECIAL_LBL)*(INC_SPECIALS="Y"))=0,"",'Dvd Calendar'!$Y$608)))</f>
        <v/>
      </c>
      <c r="X66" s="110">
        <f>IF(EZ66="","",IF(ISNUMBER('Dvd Calendar'!$Z$608)=FALSE,"",IF((('Dvd Calendar'!$Z$610=TYPE1)*(TYPE1&lt;&gt;"")+('Dvd Calendar'!$Z$610=TYPE2)*(TYPE2&lt;&gt;"")+('Dvd Calendar'!$Z$610=TYPE3)*(TYPE3&lt;&gt;"")+('Dvd Calendar'!$Z$610=TYPE4)*(TYPE4&lt;&gt;"")+('Dvd Calendar'!$Z$610=SPECIAL_LBL)*(INC_SPECIALS="Y"))=0,"",'Dvd Calendar'!$Z$608)))</f>
        <v/>
      </c>
      <c r="Y66" s="110">
        <f>IF(FA66="","",IF(ISNUMBER('Dvd Calendar'!$AA$608)=FALSE,"",IF((('Dvd Calendar'!$AA$610=TYPE1)*(TYPE1&lt;&gt;"")+('Dvd Calendar'!$AA$610=TYPE2)*(TYPE2&lt;&gt;"")+('Dvd Calendar'!$AA$610=TYPE3)*(TYPE3&lt;&gt;"")+('Dvd Calendar'!$AA$610=TYPE4)*(TYPE4&lt;&gt;"")+('Dvd Calendar'!$AA$610=SPECIAL_LBL)*(INC_SPECIALS="Y"))=0,"",'Dvd Calendar'!$AA$608)))</f>
        <v/>
      </c>
      <c r="Z66" s="110">
        <f>IF(FB66="","",IF(ISNUMBER('Dvd Calendar'!$AB$608)=FALSE,"",IF((('Dvd Calendar'!$AB$610=TYPE1)*(TYPE1&lt;&gt;"")+('Dvd Calendar'!$AB$610=TYPE2)*(TYPE2&lt;&gt;"")+('Dvd Calendar'!$AB$610=TYPE3)*(TYPE3&lt;&gt;"")+('Dvd Calendar'!$AB$610=TYPE4)*(TYPE4&lt;&gt;"")+('Dvd Calendar'!$AB$610=SPECIAL_LBL)*(INC_SPECIALS="Y"))=0,"",'Dvd Calendar'!$AB$608)))</f>
        <v/>
      </c>
      <c r="AA66" s="110">
        <f>IF(FC66="","",IF(ISNUMBER('Dvd Calendar'!$AC$608)=FALSE,"",IF((('Dvd Calendar'!$AC$610=TYPE1)*(TYPE1&lt;&gt;"")+('Dvd Calendar'!$AC$610=TYPE2)*(TYPE2&lt;&gt;"")+('Dvd Calendar'!$AC$610=TYPE3)*(TYPE3&lt;&gt;"")+('Dvd Calendar'!$AC$610=TYPE4)*(TYPE4&lt;&gt;"")+('Dvd Calendar'!$AC$610=SPECIAL_LBL)*(INC_SPECIALS="Y"))=0,"",'Dvd Calendar'!$AC$608)))</f>
        <v/>
      </c>
      <c r="AB66" s="110">
        <f>IF(FD66="","",IF(ISNUMBER('Dvd Calendar'!$AD$608)=FALSE,"",IF((('Dvd Calendar'!$AD$610=TYPE1)*(TYPE1&lt;&gt;"")+('Dvd Calendar'!$AD$610=TYPE2)*(TYPE2&lt;&gt;"")+('Dvd Calendar'!$AD$610=TYPE3)*(TYPE3&lt;&gt;"")+('Dvd Calendar'!$AD$610=TYPE4)*(TYPE4&lt;&gt;"")+('Dvd Calendar'!$AD$610=SPECIAL_LBL)*(INC_SPECIALS="Y"))=0,"",'Dvd Calendar'!$AD$608)))</f>
        <v/>
      </c>
      <c r="AC66" s="110">
        <f>IF(FE66="","",IF(ISNUMBER('Dvd Calendar'!$AE$608)=FALSE,"",IF((('Dvd Calendar'!$AE$610=TYPE1)*(TYPE1&lt;&gt;"")+('Dvd Calendar'!$AE$610=TYPE2)*(TYPE2&lt;&gt;"")+('Dvd Calendar'!$AE$610=TYPE3)*(TYPE3&lt;&gt;"")+('Dvd Calendar'!$AE$610=TYPE4)*(TYPE4&lt;&gt;"")+('Dvd Calendar'!$AE$610=SPECIAL_LBL)*(INC_SPECIALS="Y"))=0,"",'Dvd Calendar'!$AE$608)))</f>
        <v/>
      </c>
      <c r="AD66" s="110">
        <f>IF(FF66="","",IF(ISNUMBER('Dvd Calendar'!$AF$608)=FALSE,"",IF((('Dvd Calendar'!$AF$610=TYPE1)*(TYPE1&lt;&gt;"")+('Dvd Calendar'!$AF$610=TYPE2)*(TYPE2&lt;&gt;"")+('Dvd Calendar'!$AF$610=TYPE3)*(TYPE3&lt;&gt;"")+('Dvd Calendar'!$AF$610=TYPE4)*(TYPE4&lt;&gt;"")+('Dvd Calendar'!$AF$610=SPECIAL_LBL)*(INC_SPECIALS="Y"))=0,"",'Dvd Calendar'!$AF$608)))</f>
        <v/>
      </c>
      <c r="AE66" s="110">
        <f>IF(FG66="","",IF(ISNUMBER('Dvd Calendar'!$AG$608)=FALSE,"",IF((('Dvd Calendar'!$AG$610=TYPE1)*(TYPE1&lt;&gt;"")+('Dvd Calendar'!$AG$610=TYPE2)*(TYPE2&lt;&gt;"")+('Dvd Calendar'!$AG$610=TYPE3)*(TYPE3&lt;&gt;"")+('Dvd Calendar'!$AG$610=TYPE4)*(TYPE4&lt;&gt;"")+('Dvd Calendar'!$AG$610=SPECIAL_LBL)*(INC_SPECIALS="Y"))=0,"",'Dvd Calendar'!$AG$608)))</f>
        <v/>
      </c>
      <c r="AF66" s="110">
        <f>IF(FH66="","",IF(ISNUMBER('Dvd Calendar'!$AH$608)=FALSE,"",IF((('Dvd Calendar'!$AH$610=TYPE1)*(TYPE1&lt;&gt;"")+('Dvd Calendar'!$AH$610=TYPE2)*(TYPE2&lt;&gt;"")+('Dvd Calendar'!$AH$610=TYPE3)*(TYPE3&lt;&gt;"")+('Dvd Calendar'!$AH$610=TYPE4)*(TYPE4&lt;&gt;"")+('Dvd Calendar'!$AH$610=SPECIAL_LBL)*(INC_SPECIALS="Y"))=0,"",'Dvd Calendar'!$AH$608)))</f>
        <v/>
      </c>
      <c r="AG66" s="110">
        <f>IF(FI66="","",IF(ISNUMBER('Dvd Calendar'!$AI$608)=FALSE,"",IF((('Dvd Calendar'!$AI$610=TYPE1)*(TYPE1&lt;&gt;"")+('Dvd Calendar'!$AI$610=TYPE2)*(TYPE2&lt;&gt;"")+('Dvd Calendar'!$AI$610=TYPE3)*(TYPE3&lt;&gt;"")+('Dvd Calendar'!$AI$610=TYPE4)*(TYPE4&lt;&gt;"")+('Dvd Calendar'!$AI$610=SPECIAL_LBL)*(INC_SPECIALS="Y"))=0,"",'Dvd Calendar'!$AI$608)))</f>
        <v/>
      </c>
      <c r="AH66" s="110">
        <f>IF(FJ66="","",IF(ISNUMBER('Dvd Calendar'!$AJ$608)=FALSE,"",IF((('Dvd Calendar'!$AJ$610=TYPE1)*(TYPE1&lt;&gt;"")+('Dvd Calendar'!$AJ$610=TYPE2)*(TYPE2&lt;&gt;"")+('Dvd Calendar'!$AJ$610=TYPE3)*(TYPE3&lt;&gt;"")+('Dvd Calendar'!$AJ$610=TYPE4)*(TYPE4&lt;&gt;"")+('Dvd Calendar'!$AJ$610=SPECIAL_LBL)*(INC_SPECIALS="Y"))=0,"",'Dvd Calendar'!$AJ$608)))</f>
        <v/>
      </c>
      <c r="AI66" s="110">
        <f>IF(FK66="","",IF(ISNUMBER('Dvd Calendar'!$AK$608)=FALSE,"",IF((('Dvd Calendar'!$AK$610=TYPE1)*(TYPE1&lt;&gt;"")+('Dvd Calendar'!$AK$610=TYPE2)*(TYPE2&lt;&gt;"")+('Dvd Calendar'!$AK$610=TYPE3)*(TYPE3&lt;&gt;"")+('Dvd Calendar'!$AK$610=TYPE4)*(TYPE4&lt;&gt;"")+('Dvd Calendar'!$AK$610=SPECIAL_LBL)*(INC_SPECIALS="Y"))=0,"",'Dvd Calendar'!$AK$608)))</f>
        <v/>
      </c>
      <c r="AJ66" s="110">
        <f>IF(FL66="","",IF(ISNUMBER('Dvd Calendar'!$AL$608)=FALSE,"",IF((('Dvd Calendar'!$AL$610=TYPE1)*(TYPE1&lt;&gt;"")+('Dvd Calendar'!$AL$610=TYPE2)*(TYPE2&lt;&gt;"")+('Dvd Calendar'!$AL$610=TYPE3)*(TYPE3&lt;&gt;"")+('Dvd Calendar'!$AL$610=TYPE4)*(TYPE4&lt;&gt;"")+('Dvd Calendar'!$AL$610=SPECIAL_LBL)*(INC_SPECIALS="Y"))=0,"",'Dvd Calendar'!$AL$608)))</f>
        <v/>
      </c>
      <c r="AK66" s="110">
        <f>IF(FM66="","",IF(ISNUMBER('Dvd Calendar'!$AM$608)=FALSE,"",IF((('Dvd Calendar'!$AM$610=TYPE1)*(TYPE1&lt;&gt;"")+('Dvd Calendar'!$AM$610=TYPE2)*(TYPE2&lt;&gt;"")+('Dvd Calendar'!$AM$610=TYPE3)*(TYPE3&lt;&gt;"")+('Dvd Calendar'!$AM$610=TYPE4)*(TYPE4&lt;&gt;"")+('Dvd Calendar'!$AM$610=SPECIAL_LBL)*(INC_SPECIALS="Y"))=0,"",'Dvd Calendar'!$AM$608)))</f>
        <v/>
      </c>
      <c r="AL66" s="110">
        <f>IF(FN66="","",IF(ISNUMBER('Dvd Calendar'!$AN$608)=FALSE,"",IF((('Dvd Calendar'!$AN$610=TYPE1)*(TYPE1&lt;&gt;"")+('Dvd Calendar'!$AN$610=TYPE2)*(TYPE2&lt;&gt;"")+('Dvd Calendar'!$AN$610=TYPE3)*(TYPE3&lt;&gt;"")+('Dvd Calendar'!$AN$610=TYPE4)*(TYPE4&lt;&gt;"")+('Dvd Calendar'!$AN$610=SPECIAL_LBL)*(INC_SPECIALS="Y"))=0,"",'Dvd Calendar'!$AN$608)))</f>
        <v/>
      </c>
      <c r="AM66" s="110">
        <f>IF(FO66="","",IF(ISNUMBER('Dvd Calendar'!$AO$608)=FALSE,"",IF((('Dvd Calendar'!$AO$610=TYPE1)*(TYPE1&lt;&gt;"")+('Dvd Calendar'!$AO$610=TYPE2)*(TYPE2&lt;&gt;"")+('Dvd Calendar'!$AO$610=TYPE3)*(TYPE3&lt;&gt;"")+('Dvd Calendar'!$AO$610=TYPE4)*(TYPE4&lt;&gt;"")+('Dvd Calendar'!$AO$610=SPECIAL_LBL)*(INC_SPECIALS="Y"))=0,"",'Dvd Calendar'!$AO$608)))</f>
        <v/>
      </c>
      <c r="AN66" s="110">
        <f>IF(FP66="","",IF(ISNUMBER('Dvd Calendar'!$AP$608)=FALSE,"",IF((('Dvd Calendar'!$AP$610=TYPE1)*(TYPE1&lt;&gt;"")+('Dvd Calendar'!$AP$610=TYPE2)*(TYPE2&lt;&gt;"")+('Dvd Calendar'!$AP$610=TYPE3)*(TYPE3&lt;&gt;"")+('Dvd Calendar'!$AP$610=TYPE4)*(TYPE4&lt;&gt;"")+('Dvd Calendar'!$AP$610=SPECIAL_LBL)*(INC_SPECIALS="Y"))=0,"",'Dvd Calendar'!$AP$608)))</f>
        <v/>
      </c>
      <c r="AO66" s="110">
        <f>IF(FQ66="","",IF(ISNUMBER('Dvd Calendar'!$AQ$608)=FALSE,"",IF((('Dvd Calendar'!$AQ$610=TYPE1)*(TYPE1&lt;&gt;"")+('Dvd Calendar'!$AQ$610=TYPE2)*(TYPE2&lt;&gt;"")+('Dvd Calendar'!$AQ$610=TYPE3)*(TYPE3&lt;&gt;"")+('Dvd Calendar'!$AQ$610=TYPE4)*(TYPE4&lt;&gt;"")+('Dvd Calendar'!$AQ$610=SPECIAL_LBL)*(INC_SPECIALS="Y"))=0,"",'Dvd Calendar'!$AQ$608)))</f>
        <v/>
      </c>
      <c r="AP66" s="110">
        <f>IF(FR66="","",IF(ISNUMBER('Dvd Calendar'!$AR$608)=FALSE,"",IF((('Dvd Calendar'!$AR$610=TYPE1)*(TYPE1&lt;&gt;"")+('Dvd Calendar'!$AR$610=TYPE2)*(TYPE2&lt;&gt;"")+('Dvd Calendar'!$AR$610=TYPE3)*(TYPE3&lt;&gt;"")+('Dvd Calendar'!$AR$610=TYPE4)*(TYPE4&lt;&gt;"")+('Dvd Calendar'!$AR$610=SPECIAL_LBL)*(INC_SPECIALS="Y"))=0,"",'Dvd Calendar'!$AR$608)))</f>
        <v/>
      </c>
      <c r="AQ66" s="110">
        <f>IF(FS66="","",IF(ISNUMBER('Dvd Calendar'!$E$613)=FALSE,"",'Dvd Calendar'!$E$613))</f>
        <v/>
      </c>
      <c r="AR66" s="110">
        <f>IF(FT66="","",IF(ISNUMBER('Dvd Calendar'!$F$613)=FALSE,"",'Dvd Calendar'!$F$613))</f>
        <v/>
      </c>
      <c r="AS66" s="110">
        <f>IF(FU66="","",IF(ISNUMBER('Dvd Calendar'!$G$613)=FALSE,"",'Dvd Calendar'!$G$613))</f>
        <v/>
      </c>
      <c r="AT66" s="110">
        <f>IF(FV66="","",IF(ISNUMBER('Dvd Calendar'!$H$613)=FALSE,"",'Dvd Calendar'!$H$613))</f>
        <v/>
      </c>
      <c r="AU66" s="110">
        <f>IF(FW66="","",IF(ISNUMBER('Dvd Calendar'!$I$613)=FALSE,"",'Dvd Calendar'!$I$613))</f>
        <v/>
      </c>
      <c r="AV66" s="110">
        <f>IF(FX66="","",IF(ISNUMBER('Dvd Calendar'!$J$613)=FALSE,"",'Dvd Calendar'!$J$613))</f>
        <v/>
      </c>
      <c r="AW66" s="110">
        <f>IF(FY66="","",IF(ISNUMBER('Dvd Calendar'!$K$613)=FALSE,"",'Dvd Calendar'!$K$613))</f>
        <v/>
      </c>
      <c r="AX66" s="110">
        <f>IF(FZ66="","",IF(ISNUMBER('Dvd Calendar'!$L$613)=FALSE,"",'Dvd Calendar'!$L$613))</f>
        <v/>
      </c>
      <c r="AY66" s="110">
        <f>IF(GA66="","",IF(ISNUMBER('Dvd Calendar'!$M$613)=FALSE,"",'Dvd Calendar'!$M$613))</f>
        <v/>
      </c>
      <c r="AZ66" s="110">
        <f>IF(GB66="","",IF(ISNUMBER('Dvd Calendar'!$N$613)=FALSE,"",'Dvd Calendar'!$N$613))</f>
        <v/>
      </c>
      <c r="BA66" s="110">
        <f>IF(GC66="","",IF(ISNUMBER('Dvd Calendar'!$O$613)=FALSE,"",'Dvd Calendar'!$O$613))</f>
        <v/>
      </c>
      <c r="BB66" s="110">
        <f>IF(GD66="","",IF(ISNUMBER('Dvd Calendar'!$P$613)=FALSE,"",'Dvd Calendar'!$P$613))</f>
        <v/>
      </c>
      <c r="BC66" s="110">
        <f>IF(GE66="","",IF(ISNUMBER('Dvd Calendar'!$Q$613)=FALSE,"",'Dvd Calendar'!$Q$613))</f>
        <v/>
      </c>
      <c r="BD66" s="110">
        <f>IF(GF66="","",IF(ISNUMBER('Dvd Calendar'!$R$613)=FALSE,"",'Dvd Calendar'!$R$613))</f>
        <v/>
      </c>
      <c r="BE66" s="110">
        <f>IF(GG66="","",IF(ISNUMBER('Dvd Calendar'!$S$613)=FALSE,"",'Dvd Calendar'!$S$613))</f>
        <v/>
      </c>
      <c r="BF66" s="110">
        <f>IF(GH66="","",IF(ISNUMBER('Dvd Calendar'!$T$613)=FALSE,"",'Dvd Calendar'!$T$613))</f>
        <v/>
      </c>
      <c r="BG66" s="110">
        <f>IF(GI66="","",IF(ISNUMBER('Dvd Calendar'!$U$613)=FALSE,"",'Dvd Calendar'!$U$613))</f>
        <v/>
      </c>
      <c r="BH66" s="110">
        <f>IF(GJ66="","",IF(ISNUMBER('Dvd Calendar'!$V$613)=FALSE,"",'Dvd Calendar'!$V$613))</f>
        <v/>
      </c>
      <c r="BI66" s="110">
        <f>IF(GK66="","",IF(ISNUMBER('Dvd Calendar'!$W$613)=FALSE,"",'Dvd Calendar'!$W$613))</f>
        <v/>
      </c>
      <c r="BJ66" s="110">
        <f>IF(GL66="","",IF(ISNUMBER('Dvd Calendar'!$X$613)=FALSE,"",'Dvd Calendar'!$X$613))</f>
        <v/>
      </c>
      <c r="BK66" s="110">
        <f>IF(GM66="","",IF(ISNUMBER('Dvd Calendar'!$Y$613)=FALSE,"",'Dvd Calendar'!$Y$613))</f>
        <v/>
      </c>
      <c r="BL66" s="110">
        <f>IF(GN66="","",IF(ISNUMBER('Dvd Calendar'!$Z$613)=FALSE,"",'Dvd Calendar'!$Z$613))</f>
        <v/>
      </c>
      <c r="BM66" s="110">
        <f>IF(GO66="","",IF(ISNUMBER('Dvd Calendar'!$AA$613)=FALSE,"",'Dvd Calendar'!$AA$613))</f>
        <v/>
      </c>
      <c r="BN66" s="110">
        <f>IF(GP66="","",IF(ISNUMBER('Dvd Calendar'!$AB$613)=FALSE,"",'Dvd Calendar'!$AB$613))</f>
        <v/>
      </c>
      <c r="BO66" s="110">
        <f>IF(GQ66="","",IF(ISNUMBER('Dvd Calendar'!$AC$613)=FALSE,"",'Dvd Calendar'!$AC$613))</f>
        <v/>
      </c>
      <c r="BQ66" s="110">
        <f>IF(C66="","",IFERROR(C66*HSI!$B$61*HSI!$G$61/HSI!$B$3,""))</f>
        <v/>
      </c>
      <c r="BR66" s="110">
        <f>IF(D66="","",IFERROR(D66*HSI!$B$61*HSI!$G$61/HSI!$B$3,""))</f>
        <v/>
      </c>
      <c r="BS66" s="110">
        <f>IF(E66="","",IFERROR(E66*HSI!$B$61*HSI!$G$61/HSI!$B$3,""))</f>
        <v/>
      </c>
      <c r="BT66" s="110">
        <f>IF(F66="","",IFERROR(F66*HSI!$B$61*HSI!$G$61/HSI!$B$3,""))</f>
        <v/>
      </c>
      <c r="BU66" s="110">
        <f>IF(G66="","",IFERROR(G66*HSI!$B$61*HSI!$G$61/HSI!$B$3,""))</f>
        <v/>
      </c>
      <c r="BV66" s="110">
        <f>IF(H66="","",IFERROR(H66*HSI!$B$61*HSI!$G$61/HSI!$B$3,""))</f>
        <v/>
      </c>
      <c r="BW66" s="110">
        <f>IF(I66="","",IFERROR(I66*HSI!$B$61*HSI!$G$61/HSI!$B$3,""))</f>
        <v/>
      </c>
      <c r="BX66" s="110">
        <f>IF(J66="","",IFERROR(J66*HSI!$B$61*HSI!$G$61/HSI!$B$3,""))</f>
        <v/>
      </c>
      <c r="BY66" s="110">
        <f>IF(K66="","",IFERROR(K66*HSI!$B$61*HSI!$G$61/HSI!$B$3,""))</f>
        <v/>
      </c>
      <c r="BZ66" s="110">
        <f>IF(L66="","",IFERROR(L66*HSI!$B$61*HSI!$G$61/HSI!$B$3,""))</f>
        <v/>
      </c>
      <c r="CA66" s="110">
        <f>IF(M66="","",IFERROR(M66*HSI!$B$61*HSI!$G$61/HSI!$B$3,""))</f>
        <v/>
      </c>
      <c r="CB66" s="110">
        <f>IF(N66="","",IFERROR(N66*HSI!$B$61*HSI!$G$61/HSI!$B$3,""))</f>
        <v/>
      </c>
      <c r="CC66" s="110">
        <f>IF(O66="","",IFERROR(O66*HSI!$B$61*HSI!$G$61/HSI!$B$3,""))</f>
        <v/>
      </c>
      <c r="CD66" s="110">
        <f>IF(P66="","",IFERROR(P66*HSI!$B$61*HSI!$G$61/HSI!$B$3,""))</f>
        <v/>
      </c>
      <c r="CE66" s="110">
        <f>IF(Q66="","",IFERROR(Q66*HSI!$B$61*HSI!$G$61/HSI!$B$3,""))</f>
        <v/>
      </c>
      <c r="CF66" s="110">
        <f>IF(R66="","",IFERROR(R66*HSI!$B$61*HSI!$G$61/HSI!$B$3,""))</f>
        <v/>
      </c>
      <c r="CG66" s="110">
        <f>IF(S66="","",IFERROR(S66*HSI!$B$61*HSI!$G$61/HSI!$B$3,""))</f>
        <v/>
      </c>
      <c r="CH66" s="110">
        <f>IF(T66="","",IFERROR(T66*HSI!$B$61*HSI!$G$61/HSI!$B$3,""))</f>
        <v/>
      </c>
      <c r="CI66" s="110">
        <f>IF(U66="","",IFERROR(U66*HSI!$B$61*HSI!$G$61/HSI!$B$3,""))</f>
        <v/>
      </c>
      <c r="CJ66" s="110">
        <f>IF(V66="","",IFERROR(V66*HSI!$B$61*HSI!$G$61/HSI!$B$3,""))</f>
        <v/>
      </c>
      <c r="CK66" s="110">
        <f>IF(W66="","",IFERROR(W66*HSI!$B$61*HSI!$G$61/HSI!$B$3,""))</f>
        <v/>
      </c>
      <c r="CL66" s="110">
        <f>IF(X66="","",IFERROR(X66*HSI!$B$61*HSI!$G$61/HSI!$B$3,""))</f>
        <v/>
      </c>
      <c r="CM66" s="110">
        <f>IF(Y66="","",IFERROR(Y66*HSI!$B$61*HSI!$G$61/HSI!$B$3,""))</f>
        <v/>
      </c>
      <c r="CN66" s="110">
        <f>IF(Z66="","",IFERROR(Z66*HSI!$B$61*HSI!$G$61/HSI!$B$3,""))</f>
        <v/>
      </c>
      <c r="CO66" s="110">
        <f>IF(AA66="","",IFERROR(AA66*HSI!$B$61*HSI!$G$61/HSI!$B$3,""))</f>
        <v/>
      </c>
      <c r="CP66" s="110">
        <f>IF(AB66="","",IFERROR(AB66*HSI!$B$61*HSI!$G$61/HSI!$B$3,""))</f>
        <v/>
      </c>
      <c r="CQ66" s="110">
        <f>IF(AC66="","",IFERROR(AC66*HSI!$B$61*HSI!$G$61/HSI!$B$3,""))</f>
        <v/>
      </c>
      <c r="CR66" s="110">
        <f>IF(AD66="","",IFERROR(AD66*HSI!$B$61*HSI!$G$61/HSI!$B$3,""))</f>
        <v/>
      </c>
      <c r="CS66" s="110">
        <f>IF(AE66="","",IFERROR(AE66*HSI!$B$61*HSI!$G$61/HSI!$B$3,""))</f>
        <v/>
      </c>
      <c r="CT66" s="110">
        <f>IF(AF66="","",IFERROR(AF66*HSI!$B$61*HSI!$G$61/HSI!$B$3,""))</f>
        <v/>
      </c>
      <c r="CU66" s="110">
        <f>IF(AG66="","",IFERROR(AG66*HSI!$B$61*HSI!$G$61/HSI!$B$3,""))</f>
        <v/>
      </c>
      <c r="CV66" s="110">
        <f>IF(AH66="","",IFERROR(AH66*HSI!$B$61*HSI!$G$61/HSI!$B$3,""))</f>
        <v/>
      </c>
      <c r="CW66" s="110">
        <f>IF(AI66="","",IFERROR(AI66*HSI!$B$61*HSI!$G$61/HSI!$B$3,""))</f>
        <v/>
      </c>
      <c r="CX66" s="110">
        <f>IF(AJ66="","",IFERROR(AJ66*HSI!$B$61*HSI!$G$61/HSI!$B$3,""))</f>
        <v/>
      </c>
      <c r="CY66" s="110">
        <f>IF(AK66="","",IFERROR(AK66*HSI!$B$61*HSI!$G$61/HSI!$B$3,""))</f>
        <v/>
      </c>
      <c r="CZ66" s="110">
        <f>IF(AL66="","",IFERROR(AL66*HSI!$B$61*HSI!$G$61/HSI!$B$3,""))</f>
        <v/>
      </c>
      <c r="DA66" s="110">
        <f>IF(AM66="","",IFERROR(AM66*HSI!$B$61*HSI!$G$61/HSI!$B$3,""))</f>
        <v/>
      </c>
      <c r="DB66" s="110">
        <f>IF(AN66="","",IFERROR(AN66*HSI!$B$61*HSI!$G$61/HSI!$B$3,""))</f>
        <v/>
      </c>
      <c r="DC66" s="110">
        <f>IF(AO66="","",IFERROR(AO66*HSI!$B$61*HSI!$G$61/HSI!$B$3,""))</f>
        <v/>
      </c>
      <c r="DD66" s="110">
        <f>IF(AP66="","",IFERROR(AP66*HSI!$B$61*HSI!$G$61/HSI!$B$3,""))</f>
        <v/>
      </c>
      <c r="DE66" s="110">
        <f>IF(AQ66="","",IFERROR(AQ66*HSI!$B$61*HSI!$G$61/HSI!$B$3,""))</f>
        <v/>
      </c>
      <c r="DF66" s="110">
        <f>IF(AR66="","",IFERROR(AR66*HSI!$B$61*HSI!$G$61/HSI!$B$3,""))</f>
        <v/>
      </c>
      <c r="DG66" s="110">
        <f>IF(AS66="","",IFERROR(AS66*HSI!$B$61*HSI!$G$61/HSI!$B$3,""))</f>
        <v/>
      </c>
      <c r="DH66" s="110">
        <f>IF(AT66="","",IFERROR(AT66*HSI!$B$61*HSI!$G$61/HSI!$B$3,""))</f>
        <v/>
      </c>
      <c r="DI66" s="110">
        <f>IF(AU66="","",IFERROR(AU66*HSI!$B$61*HSI!$G$61/HSI!$B$3,""))</f>
        <v/>
      </c>
      <c r="DJ66" s="110">
        <f>IF(AV66="","",IFERROR(AV66*HSI!$B$61*HSI!$G$61/HSI!$B$3,""))</f>
        <v/>
      </c>
      <c r="DK66" s="110">
        <f>IF(AW66="","",IFERROR(AW66*HSI!$B$61*HSI!$G$61/HSI!$B$3,""))</f>
        <v/>
      </c>
      <c r="DL66" s="110">
        <f>IF(AX66="","",IFERROR(AX66*HSI!$B$61*HSI!$G$61/HSI!$B$3,""))</f>
        <v/>
      </c>
      <c r="DM66" s="110">
        <f>IF(AY66="","",IFERROR(AY66*HSI!$B$61*HSI!$G$61/HSI!$B$3,""))</f>
        <v/>
      </c>
      <c r="DN66" s="110">
        <f>IF(AZ66="","",IFERROR(AZ66*HSI!$B$61*HSI!$G$61/HSI!$B$3,""))</f>
        <v/>
      </c>
      <c r="DO66" s="110">
        <f>IF(BA66="","",IFERROR(BA66*HSI!$B$61*HSI!$G$61/HSI!$B$3,""))</f>
        <v/>
      </c>
      <c r="DP66" s="110">
        <f>IF(BB66="","",IFERROR(BB66*HSI!$B$61*HSI!$G$61/HSI!$B$3,""))</f>
        <v/>
      </c>
      <c r="DQ66" s="110">
        <f>IF(BC66="","",IFERROR(BC66*HSI!$B$61*HSI!$G$61/HSI!$B$3,""))</f>
        <v/>
      </c>
      <c r="DR66" s="110">
        <f>IF(BD66="","",IFERROR(BD66*HSI!$B$61*HSI!$G$61/HSI!$B$3,""))</f>
        <v/>
      </c>
      <c r="DS66" s="110">
        <f>IF(BE66="","",IFERROR(BE66*HSI!$B$61*HSI!$G$61/HSI!$B$3,""))</f>
        <v/>
      </c>
      <c r="DT66" s="110">
        <f>IF(BF66="","",IFERROR(BF66*HSI!$B$61*HSI!$G$61/HSI!$B$3,""))</f>
        <v/>
      </c>
      <c r="DU66" s="110">
        <f>IF(BG66="","",IFERROR(BG66*HSI!$B$61*HSI!$G$61/HSI!$B$3,""))</f>
        <v/>
      </c>
      <c r="DV66" s="110">
        <f>IF(BH66="","",IFERROR(BH66*HSI!$B$61*HSI!$G$61/HSI!$B$3,""))</f>
        <v/>
      </c>
      <c r="DW66" s="110">
        <f>IF(BI66="","",IFERROR(BI66*HSI!$B$61*HSI!$G$61/HSI!$B$3,""))</f>
        <v/>
      </c>
      <c r="DX66" s="110">
        <f>IF(BJ66="","",IFERROR(BJ66*HSI!$B$61*HSI!$G$61/HSI!$B$3,""))</f>
        <v/>
      </c>
      <c r="DY66" s="110">
        <f>IF(BK66="","",IFERROR(BK66*HSI!$B$61*HSI!$G$61/HSI!$B$3,""))</f>
        <v/>
      </c>
      <c r="DZ66" s="110">
        <f>IF(BL66="","",IFERROR(BL66*HSI!$B$61*HSI!$G$61/HSI!$B$3,""))</f>
        <v/>
      </c>
      <c r="EA66" s="110">
        <f>IF(BM66="","",IFERROR(BM66*HSI!$B$61*HSI!$G$61/HSI!$B$3,""))</f>
        <v/>
      </c>
      <c r="EB66" s="110">
        <f>IF(BN66="","",IFERROR(BN66*HSI!$B$61*HSI!$G$61/HSI!$B$3,""))</f>
        <v/>
      </c>
      <c r="EC66" s="110">
        <f>IF(BO66="","",IFERROR(BO66*HSI!$B$61*HSI!$G$61/HSI!$B$3,""))</f>
        <v/>
      </c>
      <c r="EE66" s="39">
        <f>IF(N('Dvd Calendar'!$E$605)=0,"",IF(('Dvd Calendar'!$E$605&gt;=GRID_FROM)*('Dvd Calendar'!$E$605&lt;=GRID_TO)*((('Dvd Calendar'!$E$605&lt;=VAL_DATE)+(COUNTIF('Dvd Calendar'!$E$612:$AR$612,'Dvd Calendar'!$E$605)=0))&gt;0)=0,"",'Dvd Calendar'!$E$605*1000000000+ISNUMBER('Dvd Calendar'!$E$608)*100000000+('Dvd Calendar'!$E$610=SPECIAL_LBL)*10000000+(N('Dvd Calendar'!$E$604)&gt;0)*(N('Dvd Calendar'!$E$604)&lt;=VAL_SERIAL)*1000000+55*1000+1))</f>
        <v/>
      </c>
      <c r="EF66" s="39">
        <f>IF(N('Dvd Calendar'!$F$605)=0,"",IF(('Dvd Calendar'!$F$605&gt;=GRID_FROM)*('Dvd Calendar'!$F$605&lt;=GRID_TO)*((('Dvd Calendar'!$F$605&lt;=VAL_DATE)+(COUNTIF('Dvd Calendar'!$E$612:$AR$612,'Dvd Calendar'!$F$605)=0))&gt;0)=0,"",'Dvd Calendar'!$F$605*1000000000+ISNUMBER('Dvd Calendar'!$F$608)*100000000+('Dvd Calendar'!$F$610=SPECIAL_LBL)*10000000+(N('Dvd Calendar'!$F$604)&gt;0)*(N('Dvd Calendar'!$F$604)&lt;=VAL_SERIAL)*1000000+55*1000+2))</f>
        <v/>
      </c>
      <c r="EG66" s="39">
        <f>IF(N('Dvd Calendar'!$G$605)=0,"",IF(('Dvd Calendar'!$G$605&gt;=GRID_FROM)*('Dvd Calendar'!$G$605&lt;=GRID_TO)*((('Dvd Calendar'!$G$605&lt;=VAL_DATE)+(COUNTIF('Dvd Calendar'!$E$612:$AR$612,'Dvd Calendar'!$G$605)=0))&gt;0)=0,"",'Dvd Calendar'!$G$605*1000000000+ISNUMBER('Dvd Calendar'!$G$608)*100000000+('Dvd Calendar'!$G$610=SPECIAL_LBL)*10000000+(N('Dvd Calendar'!$G$604)&gt;0)*(N('Dvd Calendar'!$G$604)&lt;=VAL_SERIAL)*1000000+55*1000+3))</f>
        <v/>
      </c>
      <c r="EH66" s="39">
        <f>IF(N('Dvd Calendar'!$H$605)=0,"",IF(('Dvd Calendar'!$H$605&gt;=GRID_FROM)*('Dvd Calendar'!$H$605&lt;=GRID_TO)*((('Dvd Calendar'!$H$605&lt;=VAL_DATE)+(COUNTIF('Dvd Calendar'!$E$612:$AR$612,'Dvd Calendar'!$H$605)=0))&gt;0)=0,"",'Dvd Calendar'!$H$605*1000000000+ISNUMBER('Dvd Calendar'!$H$608)*100000000+('Dvd Calendar'!$H$610=SPECIAL_LBL)*10000000+(N('Dvd Calendar'!$H$604)&gt;0)*(N('Dvd Calendar'!$H$604)&lt;=VAL_SERIAL)*1000000+55*1000+4))</f>
        <v/>
      </c>
      <c r="EI66" s="39">
        <f>IF(N('Dvd Calendar'!$I$605)=0,"",IF(('Dvd Calendar'!$I$605&gt;=GRID_FROM)*('Dvd Calendar'!$I$605&lt;=GRID_TO)*((('Dvd Calendar'!$I$605&lt;=VAL_DATE)+(COUNTIF('Dvd Calendar'!$E$612:$AR$612,'Dvd Calendar'!$I$605)=0))&gt;0)=0,"",'Dvd Calendar'!$I$605*1000000000+ISNUMBER('Dvd Calendar'!$I$608)*100000000+('Dvd Calendar'!$I$610=SPECIAL_LBL)*10000000+(N('Dvd Calendar'!$I$604)&gt;0)*(N('Dvd Calendar'!$I$604)&lt;=VAL_SERIAL)*1000000+55*1000+5))</f>
        <v/>
      </c>
      <c r="EJ66" s="39">
        <f>IF(N('Dvd Calendar'!$J$605)=0,"",IF(('Dvd Calendar'!$J$605&gt;=GRID_FROM)*('Dvd Calendar'!$J$605&lt;=GRID_TO)*((('Dvd Calendar'!$J$605&lt;=VAL_DATE)+(COUNTIF('Dvd Calendar'!$E$612:$AR$612,'Dvd Calendar'!$J$605)=0))&gt;0)=0,"",'Dvd Calendar'!$J$605*1000000000+ISNUMBER('Dvd Calendar'!$J$608)*100000000+('Dvd Calendar'!$J$610=SPECIAL_LBL)*10000000+(N('Dvd Calendar'!$J$604)&gt;0)*(N('Dvd Calendar'!$J$604)&lt;=VAL_SERIAL)*1000000+55*1000+6))</f>
        <v/>
      </c>
      <c r="EK66" s="39">
        <f>IF(N('Dvd Calendar'!$K$605)=0,"",IF(('Dvd Calendar'!$K$605&gt;=GRID_FROM)*('Dvd Calendar'!$K$605&lt;=GRID_TO)*((('Dvd Calendar'!$K$605&lt;=VAL_DATE)+(COUNTIF('Dvd Calendar'!$E$612:$AR$612,'Dvd Calendar'!$K$605)=0))&gt;0)=0,"",'Dvd Calendar'!$K$605*1000000000+ISNUMBER('Dvd Calendar'!$K$608)*100000000+('Dvd Calendar'!$K$610=SPECIAL_LBL)*10000000+(N('Dvd Calendar'!$K$604)&gt;0)*(N('Dvd Calendar'!$K$604)&lt;=VAL_SERIAL)*1000000+55*1000+7))</f>
        <v/>
      </c>
      <c r="EL66" s="39">
        <f>IF(N('Dvd Calendar'!$L$605)=0,"",IF(('Dvd Calendar'!$L$605&gt;=GRID_FROM)*('Dvd Calendar'!$L$605&lt;=GRID_TO)*((('Dvd Calendar'!$L$605&lt;=VAL_DATE)+(COUNTIF('Dvd Calendar'!$E$612:$AR$612,'Dvd Calendar'!$L$605)=0))&gt;0)=0,"",'Dvd Calendar'!$L$605*1000000000+ISNUMBER('Dvd Calendar'!$L$608)*100000000+('Dvd Calendar'!$L$610=SPECIAL_LBL)*10000000+(N('Dvd Calendar'!$L$604)&gt;0)*(N('Dvd Calendar'!$L$604)&lt;=VAL_SERIAL)*1000000+55*1000+8))</f>
        <v/>
      </c>
      <c r="EM66" s="39">
        <f>IF(N('Dvd Calendar'!$M$605)=0,"",IF(('Dvd Calendar'!$M$605&gt;=GRID_FROM)*('Dvd Calendar'!$M$605&lt;=GRID_TO)*((('Dvd Calendar'!$M$605&lt;=VAL_DATE)+(COUNTIF('Dvd Calendar'!$E$612:$AR$612,'Dvd Calendar'!$M$605)=0))&gt;0)=0,"",'Dvd Calendar'!$M$605*1000000000+ISNUMBER('Dvd Calendar'!$M$608)*100000000+('Dvd Calendar'!$M$610=SPECIAL_LBL)*10000000+(N('Dvd Calendar'!$M$604)&gt;0)*(N('Dvd Calendar'!$M$604)&lt;=VAL_SERIAL)*1000000+55*1000+9))</f>
        <v/>
      </c>
      <c r="EN66" s="39">
        <f>IF(N('Dvd Calendar'!$N$605)=0,"",IF(('Dvd Calendar'!$N$605&gt;=GRID_FROM)*('Dvd Calendar'!$N$605&lt;=GRID_TO)*((('Dvd Calendar'!$N$605&lt;=VAL_DATE)+(COUNTIF('Dvd Calendar'!$E$612:$AR$612,'Dvd Calendar'!$N$605)=0))&gt;0)=0,"",'Dvd Calendar'!$N$605*1000000000+ISNUMBER('Dvd Calendar'!$N$608)*100000000+('Dvd Calendar'!$N$610=SPECIAL_LBL)*10000000+(N('Dvd Calendar'!$N$604)&gt;0)*(N('Dvd Calendar'!$N$604)&lt;=VAL_SERIAL)*1000000+55*1000+10))</f>
        <v/>
      </c>
      <c r="EO66" s="39">
        <f>IF(N('Dvd Calendar'!$O$605)=0,"",IF(('Dvd Calendar'!$O$605&gt;=GRID_FROM)*('Dvd Calendar'!$O$605&lt;=GRID_TO)*((('Dvd Calendar'!$O$605&lt;=VAL_DATE)+(COUNTIF('Dvd Calendar'!$E$612:$AR$612,'Dvd Calendar'!$O$605)=0))&gt;0)=0,"",'Dvd Calendar'!$O$605*1000000000+ISNUMBER('Dvd Calendar'!$O$608)*100000000+('Dvd Calendar'!$O$610=SPECIAL_LBL)*10000000+(N('Dvd Calendar'!$O$604)&gt;0)*(N('Dvd Calendar'!$O$604)&lt;=VAL_SERIAL)*1000000+55*1000+11))</f>
        <v/>
      </c>
      <c r="EP66" s="39">
        <f>IF(N('Dvd Calendar'!$P$605)=0,"",IF(('Dvd Calendar'!$P$605&gt;=GRID_FROM)*('Dvd Calendar'!$P$605&lt;=GRID_TO)*((('Dvd Calendar'!$P$605&lt;=VAL_DATE)+(COUNTIF('Dvd Calendar'!$E$612:$AR$612,'Dvd Calendar'!$P$605)=0))&gt;0)=0,"",'Dvd Calendar'!$P$605*1000000000+ISNUMBER('Dvd Calendar'!$P$608)*100000000+('Dvd Calendar'!$P$610=SPECIAL_LBL)*10000000+(N('Dvd Calendar'!$P$604)&gt;0)*(N('Dvd Calendar'!$P$604)&lt;=VAL_SERIAL)*1000000+55*1000+12))</f>
        <v/>
      </c>
      <c r="EQ66" s="39">
        <f>IF(N('Dvd Calendar'!$Q$605)=0,"",IF(('Dvd Calendar'!$Q$605&gt;=GRID_FROM)*('Dvd Calendar'!$Q$605&lt;=GRID_TO)*((('Dvd Calendar'!$Q$605&lt;=VAL_DATE)+(COUNTIF('Dvd Calendar'!$E$612:$AR$612,'Dvd Calendar'!$Q$605)=0))&gt;0)=0,"",'Dvd Calendar'!$Q$605*1000000000+ISNUMBER('Dvd Calendar'!$Q$608)*100000000+('Dvd Calendar'!$Q$610=SPECIAL_LBL)*10000000+(N('Dvd Calendar'!$Q$604)&gt;0)*(N('Dvd Calendar'!$Q$604)&lt;=VAL_SERIAL)*1000000+55*1000+13))</f>
        <v/>
      </c>
      <c r="ER66" s="39">
        <f>IF(N('Dvd Calendar'!$R$605)=0,"",IF(('Dvd Calendar'!$R$605&gt;=GRID_FROM)*('Dvd Calendar'!$R$605&lt;=GRID_TO)*((('Dvd Calendar'!$R$605&lt;=VAL_DATE)+(COUNTIF('Dvd Calendar'!$E$612:$AR$612,'Dvd Calendar'!$R$605)=0))&gt;0)=0,"",'Dvd Calendar'!$R$605*1000000000+ISNUMBER('Dvd Calendar'!$R$608)*100000000+('Dvd Calendar'!$R$610=SPECIAL_LBL)*10000000+(N('Dvd Calendar'!$R$604)&gt;0)*(N('Dvd Calendar'!$R$604)&lt;=VAL_SERIAL)*1000000+55*1000+14))</f>
        <v/>
      </c>
      <c r="ES66" s="39">
        <f>IF(N('Dvd Calendar'!$S$605)=0,"",IF(('Dvd Calendar'!$S$605&gt;=GRID_FROM)*('Dvd Calendar'!$S$605&lt;=GRID_TO)*((('Dvd Calendar'!$S$605&lt;=VAL_DATE)+(COUNTIF('Dvd Calendar'!$E$612:$AR$612,'Dvd Calendar'!$S$605)=0))&gt;0)=0,"",'Dvd Calendar'!$S$605*1000000000+ISNUMBER('Dvd Calendar'!$S$608)*100000000+('Dvd Calendar'!$S$610=SPECIAL_LBL)*10000000+(N('Dvd Calendar'!$S$604)&gt;0)*(N('Dvd Calendar'!$S$604)&lt;=VAL_SERIAL)*1000000+55*1000+15))</f>
        <v/>
      </c>
      <c r="ET66" s="39">
        <f>IF(N('Dvd Calendar'!$T$605)=0,"",IF(('Dvd Calendar'!$T$605&gt;=GRID_FROM)*('Dvd Calendar'!$T$605&lt;=GRID_TO)*((('Dvd Calendar'!$T$605&lt;=VAL_DATE)+(COUNTIF('Dvd Calendar'!$E$612:$AR$612,'Dvd Calendar'!$T$605)=0))&gt;0)=0,"",'Dvd Calendar'!$T$605*1000000000+ISNUMBER('Dvd Calendar'!$T$608)*100000000+('Dvd Calendar'!$T$610=SPECIAL_LBL)*10000000+(N('Dvd Calendar'!$T$604)&gt;0)*(N('Dvd Calendar'!$T$604)&lt;=VAL_SERIAL)*1000000+55*1000+16))</f>
        <v/>
      </c>
      <c r="EU66" s="39">
        <f>IF(N('Dvd Calendar'!$U$605)=0,"",IF(('Dvd Calendar'!$U$605&gt;=GRID_FROM)*('Dvd Calendar'!$U$605&lt;=GRID_TO)*((('Dvd Calendar'!$U$605&lt;=VAL_DATE)+(COUNTIF('Dvd Calendar'!$E$612:$AR$612,'Dvd Calendar'!$U$605)=0))&gt;0)=0,"",'Dvd Calendar'!$U$605*1000000000+ISNUMBER('Dvd Calendar'!$U$608)*100000000+('Dvd Calendar'!$U$610=SPECIAL_LBL)*10000000+(N('Dvd Calendar'!$U$604)&gt;0)*(N('Dvd Calendar'!$U$604)&lt;=VAL_SERIAL)*1000000+55*1000+17))</f>
        <v/>
      </c>
      <c r="EV66" s="39">
        <f>IF(N('Dvd Calendar'!$V$605)=0,"",IF(('Dvd Calendar'!$V$605&gt;=GRID_FROM)*('Dvd Calendar'!$V$605&lt;=GRID_TO)*((('Dvd Calendar'!$V$605&lt;=VAL_DATE)+(COUNTIF('Dvd Calendar'!$E$612:$AR$612,'Dvd Calendar'!$V$605)=0))&gt;0)=0,"",'Dvd Calendar'!$V$605*1000000000+ISNUMBER('Dvd Calendar'!$V$608)*100000000+('Dvd Calendar'!$V$610=SPECIAL_LBL)*10000000+(N('Dvd Calendar'!$V$604)&gt;0)*(N('Dvd Calendar'!$V$604)&lt;=VAL_SERIAL)*1000000+55*1000+18))</f>
        <v/>
      </c>
      <c r="EW66" s="39">
        <f>IF(N('Dvd Calendar'!$W$605)=0,"",IF(('Dvd Calendar'!$W$605&gt;=GRID_FROM)*('Dvd Calendar'!$W$605&lt;=GRID_TO)*((('Dvd Calendar'!$W$605&lt;=VAL_DATE)+(COUNTIF('Dvd Calendar'!$E$612:$AR$612,'Dvd Calendar'!$W$605)=0))&gt;0)=0,"",'Dvd Calendar'!$W$605*1000000000+ISNUMBER('Dvd Calendar'!$W$608)*100000000+('Dvd Calendar'!$W$610=SPECIAL_LBL)*10000000+(N('Dvd Calendar'!$W$604)&gt;0)*(N('Dvd Calendar'!$W$604)&lt;=VAL_SERIAL)*1000000+55*1000+19))</f>
        <v/>
      </c>
      <c r="EX66" s="39">
        <f>IF(N('Dvd Calendar'!$X$605)=0,"",IF(('Dvd Calendar'!$X$605&gt;=GRID_FROM)*('Dvd Calendar'!$X$605&lt;=GRID_TO)*((('Dvd Calendar'!$X$605&lt;=VAL_DATE)+(COUNTIF('Dvd Calendar'!$E$612:$AR$612,'Dvd Calendar'!$X$605)=0))&gt;0)=0,"",'Dvd Calendar'!$X$605*1000000000+ISNUMBER('Dvd Calendar'!$X$608)*100000000+('Dvd Calendar'!$X$610=SPECIAL_LBL)*10000000+(N('Dvd Calendar'!$X$604)&gt;0)*(N('Dvd Calendar'!$X$604)&lt;=VAL_SERIAL)*1000000+55*1000+20))</f>
        <v/>
      </c>
      <c r="EY66" s="39">
        <f>IF(N('Dvd Calendar'!$Y$605)=0,"",IF(('Dvd Calendar'!$Y$605&gt;=GRID_FROM)*('Dvd Calendar'!$Y$605&lt;=GRID_TO)*((('Dvd Calendar'!$Y$605&lt;=VAL_DATE)+(COUNTIF('Dvd Calendar'!$E$612:$AR$612,'Dvd Calendar'!$Y$605)=0))&gt;0)=0,"",'Dvd Calendar'!$Y$605*1000000000+ISNUMBER('Dvd Calendar'!$Y$608)*100000000+('Dvd Calendar'!$Y$610=SPECIAL_LBL)*10000000+(N('Dvd Calendar'!$Y$604)&gt;0)*(N('Dvd Calendar'!$Y$604)&lt;=VAL_SERIAL)*1000000+55*1000+21))</f>
        <v/>
      </c>
      <c r="EZ66" s="39">
        <f>IF(N('Dvd Calendar'!$Z$605)=0,"",IF(('Dvd Calendar'!$Z$605&gt;=GRID_FROM)*('Dvd Calendar'!$Z$605&lt;=GRID_TO)*((('Dvd Calendar'!$Z$605&lt;=VAL_DATE)+(COUNTIF('Dvd Calendar'!$E$612:$AR$612,'Dvd Calendar'!$Z$605)=0))&gt;0)=0,"",'Dvd Calendar'!$Z$605*1000000000+ISNUMBER('Dvd Calendar'!$Z$608)*100000000+('Dvd Calendar'!$Z$610=SPECIAL_LBL)*10000000+(N('Dvd Calendar'!$Z$604)&gt;0)*(N('Dvd Calendar'!$Z$604)&lt;=VAL_SERIAL)*1000000+55*1000+22))</f>
        <v/>
      </c>
      <c r="FA66" s="39">
        <f>IF(N('Dvd Calendar'!$AA$605)=0,"",IF(('Dvd Calendar'!$AA$605&gt;=GRID_FROM)*('Dvd Calendar'!$AA$605&lt;=GRID_TO)*((('Dvd Calendar'!$AA$605&lt;=VAL_DATE)+(COUNTIF('Dvd Calendar'!$E$612:$AR$612,'Dvd Calendar'!$AA$605)=0))&gt;0)=0,"",'Dvd Calendar'!$AA$605*1000000000+ISNUMBER('Dvd Calendar'!$AA$608)*100000000+('Dvd Calendar'!$AA$610=SPECIAL_LBL)*10000000+(N('Dvd Calendar'!$AA$604)&gt;0)*(N('Dvd Calendar'!$AA$604)&lt;=VAL_SERIAL)*1000000+55*1000+23))</f>
        <v/>
      </c>
      <c r="FB66" s="39">
        <f>IF(N('Dvd Calendar'!$AB$605)=0,"",IF(('Dvd Calendar'!$AB$605&gt;=GRID_FROM)*('Dvd Calendar'!$AB$605&lt;=GRID_TO)*((('Dvd Calendar'!$AB$605&lt;=VAL_DATE)+(COUNTIF('Dvd Calendar'!$E$612:$AR$612,'Dvd Calendar'!$AB$605)=0))&gt;0)=0,"",'Dvd Calendar'!$AB$605*1000000000+ISNUMBER('Dvd Calendar'!$AB$608)*100000000+('Dvd Calendar'!$AB$610=SPECIAL_LBL)*10000000+(N('Dvd Calendar'!$AB$604)&gt;0)*(N('Dvd Calendar'!$AB$604)&lt;=VAL_SERIAL)*1000000+55*1000+24))</f>
        <v/>
      </c>
      <c r="FC66" s="39">
        <f>IF(N('Dvd Calendar'!$AC$605)=0,"",IF(('Dvd Calendar'!$AC$605&gt;=GRID_FROM)*('Dvd Calendar'!$AC$605&lt;=GRID_TO)*((('Dvd Calendar'!$AC$605&lt;=VAL_DATE)+(COUNTIF('Dvd Calendar'!$E$612:$AR$612,'Dvd Calendar'!$AC$605)=0))&gt;0)=0,"",'Dvd Calendar'!$AC$605*1000000000+ISNUMBER('Dvd Calendar'!$AC$608)*100000000+('Dvd Calendar'!$AC$610=SPECIAL_LBL)*10000000+(N('Dvd Calendar'!$AC$604)&gt;0)*(N('Dvd Calendar'!$AC$604)&lt;=VAL_SERIAL)*1000000+55*1000+25))</f>
        <v/>
      </c>
      <c r="FD66" s="39">
        <f>IF(N('Dvd Calendar'!$AD$605)=0,"",IF(('Dvd Calendar'!$AD$605&gt;=GRID_FROM)*('Dvd Calendar'!$AD$605&lt;=GRID_TO)*((('Dvd Calendar'!$AD$605&lt;=VAL_DATE)+(COUNTIF('Dvd Calendar'!$E$612:$AR$612,'Dvd Calendar'!$AD$605)=0))&gt;0)=0,"",'Dvd Calendar'!$AD$605*1000000000+ISNUMBER('Dvd Calendar'!$AD$608)*100000000+('Dvd Calendar'!$AD$610=SPECIAL_LBL)*10000000+(N('Dvd Calendar'!$AD$604)&gt;0)*(N('Dvd Calendar'!$AD$604)&lt;=VAL_SERIAL)*1000000+55*1000+26))</f>
        <v/>
      </c>
      <c r="FE66" s="39">
        <f>IF(N('Dvd Calendar'!$AE$605)=0,"",IF(('Dvd Calendar'!$AE$605&gt;=GRID_FROM)*('Dvd Calendar'!$AE$605&lt;=GRID_TO)*((('Dvd Calendar'!$AE$605&lt;=VAL_DATE)+(COUNTIF('Dvd Calendar'!$E$612:$AR$612,'Dvd Calendar'!$AE$605)=0))&gt;0)=0,"",'Dvd Calendar'!$AE$605*1000000000+ISNUMBER('Dvd Calendar'!$AE$608)*100000000+('Dvd Calendar'!$AE$610=SPECIAL_LBL)*10000000+(N('Dvd Calendar'!$AE$604)&gt;0)*(N('Dvd Calendar'!$AE$604)&lt;=VAL_SERIAL)*1000000+55*1000+27))</f>
        <v/>
      </c>
      <c r="FF66" s="39">
        <f>IF(N('Dvd Calendar'!$AF$605)=0,"",IF(('Dvd Calendar'!$AF$605&gt;=GRID_FROM)*('Dvd Calendar'!$AF$605&lt;=GRID_TO)*((('Dvd Calendar'!$AF$605&lt;=VAL_DATE)+(COUNTIF('Dvd Calendar'!$E$612:$AR$612,'Dvd Calendar'!$AF$605)=0))&gt;0)=0,"",'Dvd Calendar'!$AF$605*1000000000+ISNUMBER('Dvd Calendar'!$AF$608)*100000000+('Dvd Calendar'!$AF$610=SPECIAL_LBL)*10000000+(N('Dvd Calendar'!$AF$604)&gt;0)*(N('Dvd Calendar'!$AF$604)&lt;=VAL_SERIAL)*1000000+55*1000+28))</f>
        <v/>
      </c>
      <c r="FG66" s="39">
        <f>IF(N('Dvd Calendar'!$AG$605)=0,"",IF(('Dvd Calendar'!$AG$605&gt;=GRID_FROM)*('Dvd Calendar'!$AG$605&lt;=GRID_TO)*((('Dvd Calendar'!$AG$605&lt;=VAL_DATE)+(COUNTIF('Dvd Calendar'!$E$612:$AR$612,'Dvd Calendar'!$AG$605)=0))&gt;0)=0,"",'Dvd Calendar'!$AG$605*1000000000+ISNUMBER('Dvd Calendar'!$AG$608)*100000000+('Dvd Calendar'!$AG$610=SPECIAL_LBL)*10000000+(N('Dvd Calendar'!$AG$604)&gt;0)*(N('Dvd Calendar'!$AG$604)&lt;=VAL_SERIAL)*1000000+55*1000+29))</f>
        <v/>
      </c>
      <c r="FH66" s="39">
        <f>IF(N('Dvd Calendar'!$AH$605)=0,"",IF(('Dvd Calendar'!$AH$605&gt;=GRID_FROM)*('Dvd Calendar'!$AH$605&lt;=GRID_TO)*((('Dvd Calendar'!$AH$605&lt;=VAL_DATE)+(COUNTIF('Dvd Calendar'!$E$612:$AR$612,'Dvd Calendar'!$AH$605)=0))&gt;0)=0,"",'Dvd Calendar'!$AH$605*1000000000+ISNUMBER('Dvd Calendar'!$AH$608)*100000000+('Dvd Calendar'!$AH$610=SPECIAL_LBL)*10000000+(N('Dvd Calendar'!$AH$604)&gt;0)*(N('Dvd Calendar'!$AH$604)&lt;=VAL_SERIAL)*1000000+55*1000+30))</f>
        <v/>
      </c>
      <c r="FI66" s="39">
        <f>IF(N('Dvd Calendar'!$AI$605)=0,"",IF(('Dvd Calendar'!$AI$605&gt;=GRID_FROM)*('Dvd Calendar'!$AI$605&lt;=GRID_TO)*((('Dvd Calendar'!$AI$605&lt;=VAL_DATE)+(COUNTIF('Dvd Calendar'!$E$612:$AR$612,'Dvd Calendar'!$AI$605)=0))&gt;0)=0,"",'Dvd Calendar'!$AI$605*1000000000+ISNUMBER('Dvd Calendar'!$AI$608)*100000000+('Dvd Calendar'!$AI$610=SPECIAL_LBL)*10000000+(N('Dvd Calendar'!$AI$604)&gt;0)*(N('Dvd Calendar'!$AI$604)&lt;=VAL_SERIAL)*1000000+55*1000+31))</f>
        <v/>
      </c>
      <c r="FJ66" s="39">
        <f>IF(N('Dvd Calendar'!$AJ$605)=0,"",IF(('Dvd Calendar'!$AJ$605&gt;=GRID_FROM)*('Dvd Calendar'!$AJ$605&lt;=GRID_TO)*((('Dvd Calendar'!$AJ$605&lt;=VAL_DATE)+(COUNTIF('Dvd Calendar'!$E$612:$AR$612,'Dvd Calendar'!$AJ$605)=0))&gt;0)=0,"",'Dvd Calendar'!$AJ$605*1000000000+ISNUMBER('Dvd Calendar'!$AJ$608)*100000000+('Dvd Calendar'!$AJ$610=SPECIAL_LBL)*10000000+(N('Dvd Calendar'!$AJ$604)&gt;0)*(N('Dvd Calendar'!$AJ$604)&lt;=VAL_SERIAL)*1000000+55*1000+32))</f>
        <v/>
      </c>
      <c r="FK66" s="39">
        <f>IF(N('Dvd Calendar'!$AK$605)=0,"",IF(('Dvd Calendar'!$AK$605&gt;=GRID_FROM)*('Dvd Calendar'!$AK$605&lt;=GRID_TO)*((('Dvd Calendar'!$AK$605&lt;=VAL_DATE)+(COUNTIF('Dvd Calendar'!$E$612:$AR$612,'Dvd Calendar'!$AK$605)=0))&gt;0)=0,"",'Dvd Calendar'!$AK$605*1000000000+ISNUMBER('Dvd Calendar'!$AK$608)*100000000+('Dvd Calendar'!$AK$610=SPECIAL_LBL)*10000000+(N('Dvd Calendar'!$AK$604)&gt;0)*(N('Dvd Calendar'!$AK$604)&lt;=VAL_SERIAL)*1000000+55*1000+33))</f>
        <v/>
      </c>
      <c r="FL66" s="39">
        <f>IF(N('Dvd Calendar'!$AL$605)=0,"",IF(('Dvd Calendar'!$AL$605&gt;=GRID_FROM)*('Dvd Calendar'!$AL$605&lt;=GRID_TO)*((('Dvd Calendar'!$AL$605&lt;=VAL_DATE)+(COUNTIF('Dvd Calendar'!$E$612:$AR$612,'Dvd Calendar'!$AL$605)=0))&gt;0)=0,"",'Dvd Calendar'!$AL$605*1000000000+ISNUMBER('Dvd Calendar'!$AL$608)*100000000+('Dvd Calendar'!$AL$610=SPECIAL_LBL)*10000000+(N('Dvd Calendar'!$AL$604)&gt;0)*(N('Dvd Calendar'!$AL$604)&lt;=VAL_SERIAL)*1000000+55*1000+34))</f>
        <v/>
      </c>
      <c r="FM66" s="39">
        <f>IF(N('Dvd Calendar'!$AM$605)=0,"",IF(('Dvd Calendar'!$AM$605&gt;=GRID_FROM)*('Dvd Calendar'!$AM$605&lt;=GRID_TO)*((('Dvd Calendar'!$AM$605&lt;=VAL_DATE)+(COUNTIF('Dvd Calendar'!$E$612:$AR$612,'Dvd Calendar'!$AM$605)=0))&gt;0)=0,"",'Dvd Calendar'!$AM$605*1000000000+ISNUMBER('Dvd Calendar'!$AM$608)*100000000+('Dvd Calendar'!$AM$610=SPECIAL_LBL)*10000000+(N('Dvd Calendar'!$AM$604)&gt;0)*(N('Dvd Calendar'!$AM$604)&lt;=VAL_SERIAL)*1000000+55*1000+35))</f>
        <v/>
      </c>
      <c r="FN66" s="39">
        <f>IF(N('Dvd Calendar'!$AN$605)=0,"",IF(('Dvd Calendar'!$AN$605&gt;=GRID_FROM)*('Dvd Calendar'!$AN$605&lt;=GRID_TO)*((('Dvd Calendar'!$AN$605&lt;=VAL_DATE)+(COUNTIF('Dvd Calendar'!$E$612:$AR$612,'Dvd Calendar'!$AN$605)=0))&gt;0)=0,"",'Dvd Calendar'!$AN$605*1000000000+ISNUMBER('Dvd Calendar'!$AN$608)*100000000+('Dvd Calendar'!$AN$610=SPECIAL_LBL)*10000000+(N('Dvd Calendar'!$AN$604)&gt;0)*(N('Dvd Calendar'!$AN$604)&lt;=VAL_SERIAL)*1000000+55*1000+36))</f>
        <v/>
      </c>
      <c r="FO66" s="39">
        <f>IF(N('Dvd Calendar'!$AO$605)=0,"",IF(('Dvd Calendar'!$AO$605&gt;=GRID_FROM)*('Dvd Calendar'!$AO$605&lt;=GRID_TO)*((('Dvd Calendar'!$AO$605&lt;=VAL_DATE)+(COUNTIF('Dvd Calendar'!$E$612:$AR$612,'Dvd Calendar'!$AO$605)=0))&gt;0)=0,"",'Dvd Calendar'!$AO$605*1000000000+ISNUMBER('Dvd Calendar'!$AO$608)*100000000+('Dvd Calendar'!$AO$610=SPECIAL_LBL)*10000000+(N('Dvd Calendar'!$AO$604)&gt;0)*(N('Dvd Calendar'!$AO$604)&lt;=VAL_SERIAL)*1000000+55*1000+37))</f>
        <v/>
      </c>
      <c r="FP66" s="39">
        <f>IF(N('Dvd Calendar'!$AP$605)=0,"",IF(('Dvd Calendar'!$AP$605&gt;=GRID_FROM)*('Dvd Calendar'!$AP$605&lt;=GRID_TO)*((('Dvd Calendar'!$AP$605&lt;=VAL_DATE)+(COUNTIF('Dvd Calendar'!$E$612:$AR$612,'Dvd Calendar'!$AP$605)=0))&gt;0)=0,"",'Dvd Calendar'!$AP$605*1000000000+ISNUMBER('Dvd Calendar'!$AP$608)*100000000+('Dvd Calendar'!$AP$610=SPECIAL_LBL)*10000000+(N('Dvd Calendar'!$AP$604)&gt;0)*(N('Dvd Calendar'!$AP$604)&lt;=VAL_SERIAL)*1000000+55*1000+38))</f>
        <v/>
      </c>
      <c r="FQ66" s="39">
        <f>IF(N('Dvd Calendar'!$AQ$605)=0,"",IF(('Dvd Calendar'!$AQ$605&gt;=GRID_FROM)*('Dvd Calendar'!$AQ$605&lt;=GRID_TO)*((('Dvd Calendar'!$AQ$605&lt;=VAL_DATE)+(COUNTIF('Dvd Calendar'!$E$612:$AR$612,'Dvd Calendar'!$AQ$605)=0))&gt;0)=0,"",'Dvd Calendar'!$AQ$605*1000000000+ISNUMBER('Dvd Calendar'!$AQ$608)*100000000+('Dvd Calendar'!$AQ$610=SPECIAL_LBL)*10000000+(N('Dvd Calendar'!$AQ$604)&gt;0)*(N('Dvd Calendar'!$AQ$604)&lt;=VAL_SERIAL)*1000000+55*1000+39))</f>
        <v/>
      </c>
      <c r="FR66" s="39">
        <f>IF(N('Dvd Calendar'!$AR$605)=0,"",IF(('Dvd Calendar'!$AR$605&gt;=GRID_FROM)*('Dvd Calendar'!$AR$605&lt;=GRID_TO)*((('Dvd Calendar'!$AR$605&lt;=VAL_DATE)+(COUNTIF('Dvd Calendar'!$E$612:$AR$612,'Dvd Calendar'!$AR$605)=0))&gt;0)=0,"",'Dvd Calendar'!$AR$605*1000000000+ISNUMBER('Dvd Calendar'!$AR$608)*100000000+('Dvd Calendar'!$AR$610=SPECIAL_LBL)*10000000+(N('Dvd Calendar'!$AR$604)&gt;0)*(N('Dvd Calendar'!$AR$604)&lt;=VAL_SERIAL)*1000000+55*1000+40))</f>
        <v/>
      </c>
      <c r="FS66" s="39">
        <f>IF(N('Dvd Calendar'!$E$612)=0,"",IF(('Dvd Calendar'!$E$612&gt;=GRID_FROM)*('Dvd Calendar'!$E$612&lt;=GRID_TO)*('Dvd Calendar'!$E$612&gt;VAL_DATE)=0,"",'Dvd Calendar'!$E$612*1000000000+ISNUMBER('Dvd Calendar'!$E$613)*100000000+0*10000000+(N('Dvd Calendar'!$E$611)&gt;0)*(N('Dvd Calendar'!$E$611)&lt;=VAL_SERIAL)*1000000+55*1000+41))</f>
        <v/>
      </c>
      <c r="FT66" s="39">
        <f>IF(N('Dvd Calendar'!$F$612)=0,"",IF(('Dvd Calendar'!$F$612&gt;=GRID_FROM)*('Dvd Calendar'!$F$612&lt;=GRID_TO)*('Dvd Calendar'!$F$612&gt;VAL_DATE)=0,"",'Dvd Calendar'!$F$612*1000000000+ISNUMBER('Dvd Calendar'!$F$613)*100000000+0*10000000+(N('Dvd Calendar'!$F$611)&gt;0)*(N('Dvd Calendar'!$F$611)&lt;=VAL_SERIAL)*1000000+55*1000+42))</f>
        <v/>
      </c>
      <c r="FU66" s="39">
        <f>IF(N('Dvd Calendar'!$G$612)=0,"",IF(('Dvd Calendar'!$G$612&gt;=GRID_FROM)*('Dvd Calendar'!$G$612&lt;=GRID_TO)*('Dvd Calendar'!$G$612&gt;VAL_DATE)=0,"",'Dvd Calendar'!$G$612*1000000000+ISNUMBER('Dvd Calendar'!$G$613)*100000000+0*10000000+(N('Dvd Calendar'!$G$611)&gt;0)*(N('Dvd Calendar'!$G$611)&lt;=VAL_SERIAL)*1000000+55*1000+43))</f>
        <v/>
      </c>
      <c r="FV66" s="39">
        <f>IF(N('Dvd Calendar'!$H$612)=0,"",IF(('Dvd Calendar'!$H$612&gt;=GRID_FROM)*('Dvd Calendar'!$H$612&lt;=GRID_TO)*('Dvd Calendar'!$H$612&gt;VAL_DATE)=0,"",'Dvd Calendar'!$H$612*1000000000+ISNUMBER('Dvd Calendar'!$H$613)*100000000+0*10000000+(N('Dvd Calendar'!$H$611)&gt;0)*(N('Dvd Calendar'!$H$611)&lt;=VAL_SERIAL)*1000000+55*1000+44))</f>
        <v/>
      </c>
      <c r="FW66" s="39">
        <f>IF(N('Dvd Calendar'!$I$612)=0,"",IF(('Dvd Calendar'!$I$612&gt;=GRID_FROM)*('Dvd Calendar'!$I$612&lt;=GRID_TO)*('Dvd Calendar'!$I$612&gt;VAL_DATE)=0,"",'Dvd Calendar'!$I$612*1000000000+ISNUMBER('Dvd Calendar'!$I$613)*100000000+0*10000000+(N('Dvd Calendar'!$I$611)&gt;0)*(N('Dvd Calendar'!$I$611)&lt;=VAL_SERIAL)*1000000+55*1000+45))</f>
        <v/>
      </c>
      <c r="FX66" s="39">
        <f>IF(N('Dvd Calendar'!$J$612)=0,"",IF(('Dvd Calendar'!$J$612&gt;=GRID_FROM)*('Dvd Calendar'!$J$612&lt;=GRID_TO)*('Dvd Calendar'!$J$612&gt;VAL_DATE)=0,"",'Dvd Calendar'!$J$612*1000000000+ISNUMBER('Dvd Calendar'!$J$613)*100000000+0*10000000+(N('Dvd Calendar'!$J$611)&gt;0)*(N('Dvd Calendar'!$J$611)&lt;=VAL_SERIAL)*1000000+55*1000+46))</f>
        <v/>
      </c>
      <c r="FY66" s="39">
        <f>IF(N('Dvd Calendar'!$K$612)=0,"",IF(('Dvd Calendar'!$K$612&gt;=GRID_FROM)*('Dvd Calendar'!$K$612&lt;=GRID_TO)*('Dvd Calendar'!$K$612&gt;VAL_DATE)=0,"",'Dvd Calendar'!$K$612*1000000000+ISNUMBER('Dvd Calendar'!$K$613)*100000000+0*10000000+(N('Dvd Calendar'!$K$611)&gt;0)*(N('Dvd Calendar'!$K$611)&lt;=VAL_SERIAL)*1000000+55*1000+47))</f>
        <v/>
      </c>
      <c r="FZ66" s="39">
        <f>IF(N('Dvd Calendar'!$L$612)=0,"",IF(('Dvd Calendar'!$L$612&gt;=GRID_FROM)*('Dvd Calendar'!$L$612&lt;=GRID_TO)*('Dvd Calendar'!$L$612&gt;VAL_DATE)=0,"",'Dvd Calendar'!$L$612*1000000000+ISNUMBER('Dvd Calendar'!$L$613)*100000000+0*10000000+(N('Dvd Calendar'!$L$611)&gt;0)*(N('Dvd Calendar'!$L$611)&lt;=VAL_SERIAL)*1000000+55*1000+48))</f>
        <v/>
      </c>
      <c r="GA66" s="39">
        <f>IF(N('Dvd Calendar'!$M$612)=0,"",IF(('Dvd Calendar'!$M$612&gt;=GRID_FROM)*('Dvd Calendar'!$M$612&lt;=GRID_TO)*('Dvd Calendar'!$M$612&gt;VAL_DATE)=0,"",'Dvd Calendar'!$M$612*1000000000+ISNUMBER('Dvd Calendar'!$M$613)*100000000+0*10000000+(N('Dvd Calendar'!$M$611)&gt;0)*(N('Dvd Calendar'!$M$611)&lt;=VAL_SERIAL)*1000000+55*1000+49))</f>
        <v/>
      </c>
      <c r="GB66" s="39">
        <f>IF(N('Dvd Calendar'!$N$612)=0,"",IF(('Dvd Calendar'!$N$612&gt;=GRID_FROM)*('Dvd Calendar'!$N$612&lt;=GRID_TO)*('Dvd Calendar'!$N$612&gt;VAL_DATE)=0,"",'Dvd Calendar'!$N$612*1000000000+ISNUMBER('Dvd Calendar'!$N$613)*100000000+0*10000000+(N('Dvd Calendar'!$N$611)&gt;0)*(N('Dvd Calendar'!$N$611)&lt;=VAL_SERIAL)*1000000+55*1000+50))</f>
        <v/>
      </c>
      <c r="GC66" s="39">
        <f>IF(N('Dvd Calendar'!$O$612)=0,"",IF(('Dvd Calendar'!$O$612&gt;=GRID_FROM)*('Dvd Calendar'!$O$612&lt;=GRID_TO)*('Dvd Calendar'!$O$612&gt;VAL_DATE)=0,"",'Dvd Calendar'!$O$612*1000000000+ISNUMBER('Dvd Calendar'!$O$613)*100000000+0*10000000+(N('Dvd Calendar'!$O$611)&gt;0)*(N('Dvd Calendar'!$O$611)&lt;=VAL_SERIAL)*1000000+55*1000+51))</f>
        <v/>
      </c>
      <c r="GD66" s="39">
        <f>IF(N('Dvd Calendar'!$P$612)=0,"",IF(('Dvd Calendar'!$P$612&gt;=GRID_FROM)*('Dvd Calendar'!$P$612&lt;=GRID_TO)*('Dvd Calendar'!$P$612&gt;VAL_DATE)=0,"",'Dvd Calendar'!$P$612*1000000000+ISNUMBER('Dvd Calendar'!$P$613)*100000000+0*10000000+(N('Dvd Calendar'!$P$611)&gt;0)*(N('Dvd Calendar'!$P$611)&lt;=VAL_SERIAL)*1000000+55*1000+52))</f>
        <v/>
      </c>
      <c r="GE66" s="39">
        <f>IF(N('Dvd Calendar'!$Q$612)=0,"",IF(('Dvd Calendar'!$Q$612&gt;=GRID_FROM)*('Dvd Calendar'!$Q$612&lt;=GRID_TO)*('Dvd Calendar'!$Q$612&gt;VAL_DATE)=0,"",'Dvd Calendar'!$Q$612*1000000000+ISNUMBER('Dvd Calendar'!$Q$613)*100000000+0*10000000+(N('Dvd Calendar'!$Q$611)&gt;0)*(N('Dvd Calendar'!$Q$611)&lt;=VAL_SERIAL)*1000000+55*1000+53))</f>
        <v/>
      </c>
      <c r="GF66" s="39">
        <f>IF(N('Dvd Calendar'!$R$612)=0,"",IF(('Dvd Calendar'!$R$612&gt;=GRID_FROM)*('Dvd Calendar'!$R$612&lt;=GRID_TO)*('Dvd Calendar'!$R$612&gt;VAL_DATE)=0,"",'Dvd Calendar'!$R$612*1000000000+ISNUMBER('Dvd Calendar'!$R$613)*100000000+0*10000000+(N('Dvd Calendar'!$R$611)&gt;0)*(N('Dvd Calendar'!$R$611)&lt;=VAL_SERIAL)*1000000+55*1000+54))</f>
        <v/>
      </c>
      <c r="GG66" s="39">
        <f>IF(N('Dvd Calendar'!$S$612)=0,"",IF(('Dvd Calendar'!$S$612&gt;=GRID_FROM)*('Dvd Calendar'!$S$612&lt;=GRID_TO)*('Dvd Calendar'!$S$612&gt;VAL_DATE)=0,"",'Dvd Calendar'!$S$612*1000000000+ISNUMBER('Dvd Calendar'!$S$613)*100000000+0*10000000+(N('Dvd Calendar'!$S$611)&gt;0)*(N('Dvd Calendar'!$S$611)&lt;=VAL_SERIAL)*1000000+55*1000+55))</f>
        <v/>
      </c>
      <c r="GH66" s="39">
        <f>IF(N('Dvd Calendar'!$T$612)=0,"",IF(('Dvd Calendar'!$T$612&gt;=GRID_FROM)*('Dvd Calendar'!$T$612&lt;=GRID_TO)*('Dvd Calendar'!$T$612&gt;VAL_DATE)=0,"",'Dvd Calendar'!$T$612*1000000000+ISNUMBER('Dvd Calendar'!$T$613)*100000000+0*10000000+(N('Dvd Calendar'!$T$611)&gt;0)*(N('Dvd Calendar'!$T$611)&lt;=VAL_SERIAL)*1000000+55*1000+56))</f>
        <v/>
      </c>
      <c r="GI66" s="39">
        <f>IF(N('Dvd Calendar'!$U$612)=0,"",IF(('Dvd Calendar'!$U$612&gt;=GRID_FROM)*('Dvd Calendar'!$U$612&lt;=GRID_TO)*('Dvd Calendar'!$U$612&gt;VAL_DATE)=0,"",'Dvd Calendar'!$U$612*1000000000+ISNUMBER('Dvd Calendar'!$U$613)*100000000+0*10000000+(N('Dvd Calendar'!$U$611)&gt;0)*(N('Dvd Calendar'!$U$611)&lt;=VAL_SERIAL)*1000000+55*1000+57))</f>
        <v/>
      </c>
      <c r="GJ66" s="39">
        <f>IF(N('Dvd Calendar'!$V$612)=0,"",IF(('Dvd Calendar'!$V$612&gt;=GRID_FROM)*('Dvd Calendar'!$V$612&lt;=GRID_TO)*('Dvd Calendar'!$V$612&gt;VAL_DATE)=0,"",'Dvd Calendar'!$V$612*1000000000+ISNUMBER('Dvd Calendar'!$V$613)*100000000+0*10000000+(N('Dvd Calendar'!$V$611)&gt;0)*(N('Dvd Calendar'!$V$611)&lt;=VAL_SERIAL)*1000000+55*1000+58))</f>
        <v/>
      </c>
      <c r="GK66" s="39">
        <f>IF(N('Dvd Calendar'!$W$612)=0,"",IF(('Dvd Calendar'!$W$612&gt;=GRID_FROM)*('Dvd Calendar'!$W$612&lt;=GRID_TO)*('Dvd Calendar'!$W$612&gt;VAL_DATE)=0,"",'Dvd Calendar'!$W$612*1000000000+ISNUMBER('Dvd Calendar'!$W$613)*100000000+0*10000000+(N('Dvd Calendar'!$W$611)&gt;0)*(N('Dvd Calendar'!$W$611)&lt;=VAL_SERIAL)*1000000+55*1000+59))</f>
        <v/>
      </c>
      <c r="GL66" s="39">
        <f>IF(N('Dvd Calendar'!$X$612)=0,"",IF(('Dvd Calendar'!$X$612&gt;=GRID_FROM)*('Dvd Calendar'!$X$612&lt;=GRID_TO)*('Dvd Calendar'!$X$612&gt;VAL_DATE)=0,"",'Dvd Calendar'!$X$612*1000000000+ISNUMBER('Dvd Calendar'!$X$613)*100000000+0*10000000+(N('Dvd Calendar'!$X$611)&gt;0)*(N('Dvd Calendar'!$X$611)&lt;=VAL_SERIAL)*1000000+55*1000+60))</f>
        <v/>
      </c>
      <c r="GM66" s="39">
        <f>IF(N('Dvd Calendar'!$Y$612)=0,"",IF(('Dvd Calendar'!$Y$612&gt;=GRID_FROM)*('Dvd Calendar'!$Y$612&lt;=GRID_TO)*('Dvd Calendar'!$Y$612&gt;VAL_DATE)=0,"",'Dvd Calendar'!$Y$612*1000000000+ISNUMBER('Dvd Calendar'!$Y$613)*100000000+0*10000000+(N('Dvd Calendar'!$Y$611)&gt;0)*(N('Dvd Calendar'!$Y$611)&lt;=VAL_SERIAL)*1000000+55*1000+61))</f>
        <v/>
      </c>
      <c r="GN66" s="39">
        <f>IF(N('Dvd Calendar'!$Z$612)=0,"",IF(('Dvd Calendar'!$Z$612&gt;=GRID_FROM)*('Dvd Calendar'!$Z$612&lt;=GRID_TO)*('Dvd Calendar'!$Z$612&gt;VAL_DATE)=0,"",'Dvd Calendar'!$Z$612*1000000000+ISNUMBER('Dvd Calendar'!$Z$613)*100000000+0*10000000+(N('Dvd Calendar'!$Z$611)&gt;0)*(N('Dvd Calendar'!$Z$611)&lt;=VAL_SERIAL)*1000000+55*1000+62))</f>
        <v/>
      </c>
      <c r="GO66" s="39">
        <f>IF(N('Dvd Calendar'!$AA$612)=0,"",IF(('Dvd Calendar'!$AA$612&gt;=GRID_FROM)*('Dvd Calendar'!$AA$612&lt;=GRID_TO)*('Dvd Calendar'!$AA$612&gt;VAL_DATE)=0,"",'Dvd Calendar'!$AA$612*1000000000+ISNUMBER('Dvd Calendar'!$AA$613)*100000000+0*10000000+(N('Dvd Calendar'!$AA$611)&gt;0)*(N('Dvd Calendar'!$AA$611)&lt;=VAL_SERIAL)*1000000+55*1000+63))</f>
        <v/>
      </c>
      <c r="GP66" s="39">
        <f>IF(N('Dvd Calendar'!$AB$612)=0,"",IF(('Dvd Calendar'!$AB$612&gt;=GRID_FROM)*('Dvd Calendar'!$AB$612&lt;=GRID_TO)*('Dvd Calendar'!$AB$612&gt;VAL_DATE)=0,"",'Dvd Calendar'!$AB$612*1000000000+ISNUMBER('Dvd Calendar'!$AB$613)*100000000+0*10000000+(N('Dvd Calendar'!$AB$611)&gt;0)*(N('Dvd Calendar'!$AB$611)&lt;=VAL_SERIAL)*1000000+55*1000+64))</f>
        <v/>
      </c>
      <c r="GQ66" s="39">
        <f>IF(N('Dvd Calendar'!$AC$612)=0,"",IF(('Dvd Calendar'!$AC$612&gt;=GRID_FROM)*('Dvd Calendar'!$AC$612&lt;=GRID_TO)*('Dvd Calendar'!$AC$612&gt;VAL_DATE)=0,"",'Dvd Calendar'!$AC$612*1000000000+ISNUMBER('Dvd Calendar'!$AC$613)*100000000+0*10000000+(N('Dvd Calendar'!$AC$611)&gt;0)*(N('Dvd Calendar'!$AC$611)&lt;=VAL_SERIAL)*1000000+55*1000+65))</f>
        <v/>
      </c>
    </row>
    <row r="67">
      <c r="B67" s="2">
        <f>IF(HSI!$C$62="","",HSI!$C$62)</f>
        <v/>
      </c>
      <c r="C67" s="110">
        <f>IF(EE67="","",IF(ISNUMBER('Dvd Calendar'!$E$619)=FALSE,"",IF((('Dvd Calendar'!$E$621=TYPE1)*(TYPE1&lt;&gt;"")+('Dvd Calendar'!$E$621=TYPE2)*(TYPE2&lt;&gt;"")+('Dvd Calendar'!$E$621=TYPE3)*(TYPE3&lt;&gt;"")+('Dvd Calendar'!$E$621=TYPE4)*(TYPE4&lt;&gt;"")+('Dvd Calendar'!$E$621=SPECIAL_LBL)*(INC_SPECIALS="Y"))=0,"",'Dvd Calendar'!$E$619)))</f>
        <v/>
      </c>
      <c r="D67" s="110">
        <f>IF(EF67="","",IF(ISNUMBER('Dvd Calendar'!$F$619)=FALSE,"",IF((('Dvd Calendar'!$F$621=TYPE1)*(TYPE1&lt;&gt;"")+('Dvd Calendar'!$F$621=TYPE2)*(TYPE2&lt;&gt;"")+('Dvd Calendar'!$F$621=TYPE3)*(TYPE3&lt;&gt;"")+('Dvd Calendar'!$F$621=TYPE4)*(TYPE4&lt;&gt;"")+('Dvd Calendar'!$F$621=SPECIAL_LBL)*(INC_SPECIALS="Y"))=0,"",'Dvd Calendar'!$F$619)))</f>
        <v/>
      </c>
      <c r="E67" s="110">
        <f>IF(EG67="","",IF(ISNUMBER('Dvd Calendar'!$G$619)=FALSE,"",IF((('Dvd Calendar'!$G$621=TYPE1)*(TYPE1&lt;&gt;"")+('Dvd Calendar'!$G$621=TYPE2)*(TYPE2&lt;&gt;"")+('Dvd Calendar'!$G$621=TYPE3)*(TYPE3&lt;&gt;"")+('Dvd Calendar'!$G$621=TYPE4)*(TYPE4&lt;&gt;"")+('Dvd Calendar'!$G$621=SPECIAL_LBL)*(INC_SPECIALS="Y"))=0,"",'Dvd Calendar'!$G$619)))</f>
        <v/>
      </c>
      <c r="F67" s="110">
        <f>IF(EH67="","",IF(ISNUMBER('Dvd Calendar'!$H$619)=FALSE,"",IF((('Dvd Calendar'!$H$621=TYPE1)*(TYPE1&lt;&gt;"")+('Dvd Calendar'!$H$621=TYPE2)*(TYPE2&lt;&gt;"")+('Dvd Calendar'!$H$621=TYPE3)*(TYPE3&lt;&gt;"")+('Dvd Calendar'!$H$621=TYPE4)*(TYPE4&lt;&gt;"")+('Dvd Calendar'!$H$621=SPECIAL_LBL)*(INC_SPECIALS="Y"))=0,"",'Dvd Calendar'!$H$619)))</f>
        <v/>
      </c>
      <c r="G67" s="110">
        <f>IF(EI67="","",IF(ISNUMBER('Dvd Calendar'!$I$619)=FALSE,"",IF((('Dvd Calendar'!$I$621=TYPE1)*(TYPE1&lt;&gt;"")+('Dvd Calendar'!$I$621=TYPE2)*(TYPE2&lt;&gt;"")+('Dvd Calendar'!$I$621=TYPE3)*(TYPE3&lt;&gt;"")+('Dvd Calendar'!$I$621=TYPE4)*(TYPE4&lt;&gt;"")+('Dvd Calendar'!$I$621=SPECIAL_LBL)*(INC_SPECIALS="Y"))=0,"",'Dvd Calendar'!$I$619)))</f>
        <v/>
      </c>
      <c r="H67" s="110">
        <f>IF(EJ67="","",IF(ISNUMBER('Dvd Calendar'!$J$619)=FALSE,"",IF((('Dvd Calendar'!$J$621=TYPE1)*(TYPE1&lt;&gt;"")+('Dvd Calendar'!$J$621=TYPE2)*(TYPE2&lt;&gt;"")+('Dvd Calendar'!$J$621=TYPE3)*(TYPE3&lt;&gt;"")+('Dvd Calendar'!$J$621=TYPE4)*(TYPE4&lt;&gt;"")+('Dvd Calendar'!$J$621=SPECIAL_LBL)*(INC_SPECIALS="Y"))=0,"",'Dvd Calendar'!$J$619)))</f>
        <v/>
      </c>
      <c r="I67" s="110">
        <f>IF(EK67="","",IF(ISNUMBER('Dvd Calendar'!$K$619)=FALSE,"",IF((('Dvd Calendar'!$K$621=TYPE1)*(TYPE1&lt;&gt;"")+('Dvd Calendar'!$K$621=TYPE2)*(TYPE2&lt;&gt;"")+('Dvd Calendar'!$K$621=TYPE3)*(TYPE3&lt;&gt;"")+('Dvd Calendar'!$K$621=TYPE4)*(TYPE4&lt;&gt;"")+('Dvd Calendar'!$K$621=SPECIAL_LBL)*(INC_SPECIALS="Y"))=0,"",'Dvd Calendar'!$K$619)))</f>
        <v/>
      </c>
      <c r="J67" s="110">
        <f>IF(EL67="","",IF(ISNUMBER('Dvd Calendar'!$L$619)=FALSE,"",IF((('Dvd Calendar'!$L$621=TYPE1)*(TYPE1&lt;&gt;"")+('Dvd Calendar'!$L$621=TYPE2)*(TYPE2&lt;&gt;"")+('Dvd Calendar'!$L$621=TYPE3)*(TYPE3&lt;&gt;"")+('Dvd Calendar'!$L$621=TYPE4)*(TYPE4&lt;&gt;"")+('Dvd Calendar'!$L$621=SPECIAL_LBL)*(INC_SPECIALS="Y"))=0,"",'Dvd Calendar'!$L$619)))</f>
        <v/>
      </c>
      <c r="K67" s="110">
        <f>IF(EM67="","",IF(ISNUMBER('Dvd Calendar'!$M$619)=FALSE,"",IF((('Dvd Calendar'!$M$621=TYPE1)*(TYPE1&lt;&gt;"")+('Dvd Calendar'!$M$621=TYPE2)*(TYPE2&lt;&gt;"")+('Dvd Calendar'!$M$621=TYPE3)*(TYPE3&lt;&gt;"")+('Dvd Calendar'!$M$621=TYPE4)*(TYPE4&lt;&gt;"")+('Dvd Calendar'!$M$621=SPECIAL_LBL)*(INC_SPECIALS="Y"))=0,"",'Dvd Calendar'!$M$619)))</f>
        <v/>
      </c>
      <c r="L67" s="110">
        <f>IF(EN67="","",IF(ISNUMBER('Dvd Calendar'!$N$619)=FALSE,"",IF((('Dvd Calendar'!$N$621=TYPE1)*(TYPE1&lt;&gt;"")+('Dvd Calendar'!$N$621=TYPE2)*(TYPE2&lt;&gt;"")+('Dvd Calendar'!$N$621=TYPE3)*(TYPE3&lt;&gt;"")+('Dvd Calendar'!$N$621=TYPE4)*(TYPE4&lt;&gt;"")+('Dvd Calendar'!$N$621=SPECIAL_LBL)*(INC_SPECIALS="Y"))=0,"",'Dvd Calendar'!$N$619)))</f>
        <v/>
      </c>
      <c r="M67" s="110">
        <f>IF(EO67="","",IF(ISNUMBER('Dvd Calendar'!$O$619)=FALSE,"",IF((('Dvd Calendar'!$O$621=TYPE1)*(TYPE1&lt;&gt;"")+('Dvd Calendar'!$O$621=TYPE2)*(TYPE2&lt;&gt;"")+('Dvd Calendar'!$O$621=TYPE3)*(TYPE3&lt;&gt;"")+('Dvd Calendar'!$O$621=TYPE4)*(TYPE4&lt;&gt;"")+('Dvd Calendar'!$O$621=SPECIAL_LBL)*(INC_SPECIALS="Y"))=0,"",'Dvd Calendar'!$O$619)))</f>
        <v/>
      </c>
      <c r="N67" s="110">
        <f>IF(EP67="","",IF(ISNUMBER('Dvd Calendar'!$P$619)=FALSE,"",IF((('Dvd Calendar'!$P$621=TYPE1)*(TYPE1&lt;&gt;"")+('Dvd Calendar'!$P$621=TYPE2)*(TYPE2&lt;&gt;"")+('Dvd Calendar'!$P$621=TYPE3)*(TYPE3&lt;&gt;"")+('Dvd Calendar'!$P$621=TYPE4)*(TYPE4&lt;&gt;"")+('Dvd Calendar'!$P$621=SPECIAL_LBL)*(INC_SPECIALS="Y"))=0,"",'Dvd Calendar'!$P$619)))</f>
        <v/>
      </c>
      <c r="O67" s="110">
        <f>IF(EQ67="","",IF(ISNUMBER('Dvd Calendar'!$Q$619)=FALSE,"",IF((('Dvd Calendar'!$Q$621=TYPE1)*(TYPE1&lt;&gt;"")+('Dvd Calendar'!$Q$621=TYPE2)*(TYPE2&lt;&gt;"")+('Dvd Calendar'!$Q$621=TYPE3)*(TYPE3&lt;&gt;"")+('Dvd Calendar'!$Q$621=TYPE4)*(TYPE4&lt;&gt;"")+('Dvd Calendar'!$Q$621=SPECIAL_LBL)*(INC_SPECIALS="Y"))=0,"",'Dvd Calendar'!$Q$619)))</f>
        <v/>
      </c>
      <c r="P67" s="110">
        <f>IF(ER67="","",IF(ISNUMBER('Dvd Calendar'!$R$619)=FALSE,"",IF((('Dvd Calendar'!$R$621=TYPE1)*(TYPE1&lt;&gt;"")+('Dvd Calendar'!$R$621=TYPE2)*(TYPE2&lt;&gt;"")+('Dvd Calendar'!$R$621=TYPE3)*(TYPE3&lt;&gt;"")+('Dvd Calendar'!$R$621=TYPE4)*(TYPE4&lt;&gt;"")+('Dvd Calendar'!$R$621=SPECIAL_LBL)*(INC_SPECIALS="Y"))=0,"",'Dvd Calendar'!$R$619)))</f>
        <v/>
      </c>
      <c r="Q67" s="110">
        <f>IF(ES67="","",IF(ISNUMBER('Dvd Calendar'!$S$619)=FALSE,"",IF((('Dvd Calendar'!$S$621=TYPE1)*(TYPE1&lt;&gt;"")+('Dvd Calendar'!$S$621=TYPE2)*(TYPE2&lt;&gt;"")+('Dvd Calendar'!$S$621=TYPE3)*(TYPE3&lt;&gt;"")+('Dvd Calendar'!$S$621=TYPE4)*(TYPE4&lt;&gt;"")+('Dvd Calendar'!$S$621=SPECIAL_LBL)*(INC_SPECIALS="Y"))=0,"",'Dvd Calendar'!$S$619)))</f>
        <v/>
      </c>
      <c r="R67" s="110">
        <f>IF(ET67="","",IF(ISNUMBER('Dvd Calendar'!$T$619)=FALSE,"",IF((('Dvd Calendar'!$T$621=TYPE1)*(TYPE1&lt;&gt;"")+('Dvd Calendar'!$T$621=TYPE2)*(TYPE2&lt;&gt;"")+('Dvd Calendar'!$T$621=TYPE3)*(TYPE3&lt;&gt;"")+('Dvd Calendar'!$T$621=TYPE4)*(TYPE4&lt;&gt;"")+('Dvd Calendar'!$T$621=SPECIAL_LBL)*(INC_SPECIALS="Y"))=0,"",'Dvd Calendar'!$T$619)))</f>
        <v/>
      </c>
      <c r="S67" s="110">
        <f>IF(EU67="","",IF(ISNUMBER('Dvd Calendar'!$U$619)=FALSE,"",IF((('Dvd Calendar'!$U$621=TYPE1)*(TYPE1&lt;&gt;"")+('Dvd Calendar'!$U$621=TYPE2)*(TYPE2&lt;&gt;"")+('Dvd Calendar'!$U$621=TYPE3)*(TYPE3&lt;&gt;"")+('Dvd Calendar'!$U$621=TYPE4)*(TYPE4&lt;&gt;"")+('Dvd Calendar'!$U$621=SPECIAL_LBL)*(INC_SPECIALS="Y"))=0,"",'Dvd Calendar'!$U$619)))</f>
        <v/>
      </c>
      <c r="T67" s="110">
        <f>IF(EV67="","",IF(ISNUMBER('Dvd Calendar'!$V$619)=FALSE,"",IF((('Dvd Calendar'!$V$621=TYPE1)*(TYPE1&lt;&gt;"")+('Dvd Calendar'!$V$621=TYPE2)*(TYPE2&lt;&gt;"")+('Dvd Calendar'!$V$621=TYPE3)*(TYPE3&lt;&gt;"")+('Dvd Calendar'!$V$621=TYPE4)*(TYPE4&lt;&gt;"")+('Dvd Calendar'!$V$621=SPECIAL_LBL)*(INC_SPECIALS="Y"))=0,"",'Dvd Calendar'!$V$619)))</f>
        <v/>
      </c>
      <c r="U67" s="110">
        <f>IF(EW67="","",IF(ISNUMBER('Dvd Calendar'!$W$619)=FALSE,"",IF((('Dvd Calendar'!$W$621=TYPE1)*(TYPE1&lt;&gt;"")+('Dvd Calendar'!$W$621=TYPE2)*(TYPE2&lt;&gt;"")+('Dvd Calendar'!$W$621=TYPE3)*(TYPE3&lt;&gt;"")+('Dvd Calendar'!$W$621=TYPE4)*(TYPE4&lt;&gt;"")+('Dvd Calendar'!$W$621=SPECIAL_LBL)*(INC_SPECIALS="Y"))=0,"",'Dvd Calendar'!$W$619)))</f>
        <v/>
      </c>
      <c r="V67" s="110">
        <f>IF(EX67="","",IF(ISNUMBER('Dvd Calendar'!$X$619)=FALSE,"",IF((('Dvd Calendar'!$X$621=TYPE1)*(TYPE1&lt;&gt;"")+('Dvd Calendar'!$X$621=TYPE2)*(TYPE2&lt;&gt;"")+('Dvd Calendar'!$X$621=TYPE3)*(TYPE3&lt;&gt;"")+('Dvd Calendar'!$X$621=TYPE4)*(TYPE4&lt;&gt;"")+('Dvd Calendar'!$X$621=SPECIAL_LBL)*(INC_SPECIALS="Y"))=0,"",'Dvd Calendar'!$X$619)))</f>
        <v/>
      </c>
      <c r="W67" s="110">
        <f>IF(EY67="","",IF(ISNUMBER('Dvd Calendar'!$Y$619)=FALSE,"",IF((('Dvd Calendar'!$Y$621=TYPE1)*(TYPE1&lt;&gt;"")+('Dvd Calendar'!$Y$621=TYPE2)*(TYPE2&lt;&gt;"")+('Dvd Calendar'!$Y$621=TYPE3)*(TYPE3&lt;&gt;"")+('Dvd Calendar'!$Y$621=TYPE4)*(TYPE4&lt;&gt;"")+('Dvd Calendar'!$Y$621=SPECIAL_LBL)*(INC_SPECIALS="Y"))=0,"",'Dvd Calendar'!$Y$619)))</f>
        <v/>
      </c>
      <c r="X67" s="110">
        <f>IF(EZ67="","",IF(ISNUMBER('Dvd Calendar'!$Z$619)=FALSE,"",IF((('Dvd Calendar'!$Z$621=TYPE1)*(TYPE1&lt;&gt;"")+('Dvd Calendar'!$Z$621=TYPE2)*(TYPE2&lt;&gt;"")+('Dvd Calendar'!$Z$621=TYPE3)*(TYPE3&lt;&gt;"")+('Dvd Calendar'!$Z$621=TYPE4)*(TYPE4&lt;&gt;"")+('Dvd Calendar'!$Z$621=SPECIAL_LBL)*(INC_SPECIALS="Y"))=0,"",'Dvd Calendar'!$Z$619)))</f>
        <v/>
      </c>
      <c r="Y67" s="110">
        <f>IF(FA67="","",IF(ISNUMBER('Dvd Calendar'!$AA$619)=FALSE,"",IF((('Dvd Calendar'!$AA$621=TYPE1)*(TYPE1&lt;&gt;"")+('Dvd Calendar'!$AA$621=TYPE2)*(TYPE2&lt;&gt;"")+('Dvd Calendar'!$AA$621=TYPE3)*(TYPE3&lt;&gt;"")+('Dvd Calendar'!$AA$621=TYPE4)*(TYPE4&lt;&gt;"")+('Dvd Calendar'!$AA$621=SPECIAL_LBL)*(INC_SPECIALS="Y"))=0,"",'Dvd Calendar'!$AA$619)))</f>
        <v/>
      </c>
      <c r="Z67" s="110">
        <f>IF(FB67="","",IF(ISNUMBER('Dvd Calendar'!$AB$619)=FALSE,"",IF((('Dvd Calendar'!$AB$621=TYPE1)*(TYPE1&lt;&gt;"")+('Dvd Calendar'!$AB$621=TYPE2)*(TYPE2&lt;&gt;"")+('Dvd Calendar'!$AB$621=TYPE3)*(TYPE3&lt;&gt;"")+('Dvd Calendar'!$AB$621=TYPE4)*(TYPE4&lt;&gt;"")+('Dvd Calendar'!$AB$621=SPECIAL_LBL)*(INC_SPECIALS="Y"))=0,"",'Dvd Calendar'!$AB$619)))</f>
        <v/>
      </c>
      <c r="AA67" s="110">
        <f>IF(FC67="","",IF(ISNUMBER('Dvd Calendar'!$AC$619)=FALSE,"",IF((('Dvd Calendar'!$AC$621=TYPE1)*(TYPE1&lt;&gt;"")+('Dvd Calendar'!$AC$621=TYPE2)*(TYPE2&lt;&gt;"")+('Dvd Calendar'!$AC$621=TYPE3)*(TYPE3&lt;&gt;"")+('Dvd Calendar'!$AC$621=TYPE4)*(TYPE4&lt;&gt;"")+('Dvd Calendar'!$AC$621=SPECIAL_LBL)*(INC_SPECIALS="Y"))=0,"",'Dvd Calendar'!$AC$619)))</f>
        <v/>
      </c>
      <c r="AB67" s="110">
        <f>IF(FD67="","",IF(ISNUMBER('Dvd Calendar'!$AD$619)=FALSE,"",IF((('Dvd Calendar'!$AD$621=TYPE1)*(TYPE1&lt;&gt;"")+('Dvd Calendar'!$AD$621=TYPE2)*(TYPE2&lt;&gt;"")+('Dvd Calendar'!$AD$621=TYPE3)*(TYPE3&lt;&gt;"")+('Dvd Calendar'!$AD$621=TYPE4)*(TYPE4&lt;&gt;"")+('Dvd Calendar'!$AD$621=SPECIAL_LBL)*(INC_SPECIALS="Y"))=0,"",'Dvd Calendar'!$AD$619)))</f>
        <v/>
      </c>
      <c r="AC67" s="110">
        <f>IF(FE67="","",IF(ISNUMBER('Dvd Calendar'!$AE$619)=FALSE,"",IF((('Dvd Calendar'!$AE$621=TYPE1)*(TYPE1&lt;&gt;"")+('Dvd Calendar'!$AE$621=TYPE2)*(TYPE2&lt;&gt;"")+('Dvd Calendar'!$AE$621=TYPE3)*(TYPE3&lt;&gt;"")+('Dvd Calendar'!$AE$621=TYPE4)*(TYPE4&lt;&gt;"")+('Dvd Calendar'!$AE$621=SPECIAL_LBL)*(INC_SPECIALS="Y"))=0,"",'Dvd Calendar'!$AE$619)))</f>
        <v/>
      </c>
      <c r="AD67" s="110">
        <f>IF(FF67="","",IF(ISNUMBER('Dvd Calendar'!$AF$619)=FALSE,"",IF((('Dvd Calendar'!$AF$621=TYPE1)*(TYPE1&lt;&gt;"")+('Dvd Calendar'!$AF$621=TYPE2)*(TYPE2&lt;&gt;"")+('Dvd Calendar'!$AF$621=TYPE3)*(TYPE3&lt;&gt;"")+('Dvd Calendar'!$AF$621=TYPE4)*(TYPE4&lt;&gt;"")+('Dvd Calendar'!$AF$621=SPECIAL_LBL)*(INC_SPECIALS="Y"))=0,"",'Dvd Calendar'!$AF$619)))</f>
        <v/>
      </c>
      <c r="AE67" s="110">
        <f>IF(FG67="","",IF(ISNUMBER('Dvd Calendar'!$AG$619)=FALSE,"",IF((('Dvd Calendar'!$AG$621=TYPE1)*(TYPE1&lt;&gt;"")+('Dvd Calendar'!$AG$621=TYPE2)*(TYPE2&lt;&gt;"")+('Dvd Calendar'!$AG$621=TYPE3)*(TYPE3&lt;&gt;"")+('Dvd Calendar'!$AG$621=TYPE4)*(TYPE4&lt;&gt;"")+('Dvd Calendar'!$AG$621=SPECIAL_LBL)*(INC_SPECIALS="Y"))=0,"",'Dvd Calendar'!$AG$619)))</f>
        <v/>
      </c>
      <c r="AF67" s="110">
        <f>IF(FH67="","",IF(ISNUMBER('Dvd Calendar'!$AH$619)=FALSE,"",IF((('Dvd Calendar'!$AH$621=TYPE1)*(TYPE1&lt;&gt;"")+('Dvd Calendar'!$AH$621=TYPE2)*(TYPE2&lt;&gt;"")+('Dvd Calendar'!$AH$621=TYPE3)*(TYPE3&lt;&gt;"")+('Dvd Calendar'!$AH$621=TYPE4)*(TYPE4&lt;&gt;"")+('Dvd Calendar'!$AH$621=SPECIAL_LBL)*(INC_SPECIALS="Y"))=0,"",'Dvd Calendar'!$AH$619)))</f>
        <v/>
      </c>
      <c r="AG67" s="110">
        <f>IF(FI67="","",IF(ISNUMBER('Dvd Calendar'!$AI$619)=FALSE,"",IF((('Dvd Calendar'!$AI$621=TYPE1)*(TYPE1&lt;&gt;"")+('Dvd Calendar'!$AI$621=TYPE2)*(TYPE2&lt;&gt;"")+('Dvd Calendar'!$AI$621=TYPE3)*(TYPE3&lt;&gt;"")+('Dvd Calendar'!$AI$621=TYPE4)*(TYPE4&lt;&gt;"")+('Dvd Calendar'!$AI$621=SPECIAL_LBL)*(INC_SPECIALS="Y"))=0,"",'Dvd Calendar'!$AI$619)))</f>
        <v/>
      </c>
      <c r="AH67" s="110">
        <f>IF(FJ67="","",IF(ISNUMBER('Dvd Calendar'!$AJ$619)=FALSE,"",IF((('Dvd Calendar'!$AJ$621=TYPE1)*(TYPE1&lt;&gt;"")+('Dvd Calendar'!$AJ$621=TYPE2)*(TYPE2&lt;&gt;"")+('Dvd Calendar'!$AJ$621=TYPE3)*(TYPE3&lt;&gt;"")+('Dvd Calendar'!$AJ$621=TYPE4)*(TYPE4&lt;&gt;"")+('Dvd Calendar'!$AJ$621=SPECIAL_LBL)*(INC_SPECIALS="Y"))=0,"",'Dvd Calendar'!$AJ$619)))</f>
        <v/>
      </c>
      <c r="AI67" s="110">
        <f>IF(FK67="","",IF(ISNUMBER('Dvd Calendar'!$AK$619)=FALSE,"",IF((('Dvd Calendar'!$AK$621=TYPE1)*(TYPE1&lt;&gt;"")+('Dvd Calendar'!$AK$621=TYPE2)*(TYPE2&lt;&gt;"")+('Dvd Calendar'!$AK$621=TYPE3)*(TYPE3&lt;&gt;"")+('Dvd Calendar'!$AK$621=TYPE4)*(TYPE4&lt;&gt;"")+('Dvd Calendar'!$AK$621=SPECIAL_LBL)*(INC_SPECIALS="Y"))=0,"",'Dvd Calendar'!$AK$619)))</f>
        <v/>
      </c>
      <c r="AJ67" s="110">
        <f>IF(FL67="","",IF(ISNUMBER('Dvd Calendar'!$AL$619)=FALSE,"",IF((('Dvd Calendar'!$AL$621=TYPE1)*(TYPE1&lt;&gt;"")+('Dvd Calendar'!$AL$621=TYPE2)*(TYPE2&lt;&gt;"")+('Dvd Calendar'!$AL$621=TYPE3)*(TYPE3&lt;&gt;"")+('Dvd Calendar'!$AL$621=TYPE4)*(TYPE4&lt;&gt;"")+('Dvd Calendar'!$AL$621=SPECIAL_LBL)*(INC_SPECIALS="Y"))=0,"",'Dvd Calendar'!$AL$619)))</f>
        <v/>
      </c>
      <c r="AK67" s="110">
        <f>IF(FM67="","",IF(ISNUMBER('Dvd Calendar'!$AM$619)=FALSE,"",IF((('Dvd Calendar'!$AM$621=TYPE1)*(TYPE1&lt;&gt;"")+('Dvd Calendar'!$AM$621=TYPE2)*(TYPE2&lt;&gt;"")+('Dvd Calendar'!$AM$621=TYPE3)*(TYPE3&lt;&gt;"")+('Dvd Calendar'!$AM$621=TYPE4)*(TYPE4&lt;&gt;"")+('Dvd Calendar'!$AM$621=SPECIAL_LBL)*(INC_SPECIALS="Y"))=0,"",'Dvd Calendar'!$AM$619)))</f>
        <v/>
      </c>
      <c r="AL67" s="110">
        <f>IF(FN67="","",IF(ISNUMBER('Dvd Calendar'!$AN$619)=FALSE,"",IF((('Dvd Calendar'!$AN$621=TYPE1)*(TYPE1&lt;&gt;"")+('Dvd Calendar'!$AN$621=TYPE2)*(TYPE2&lt;&gt;"")+('Dvd Calendar'!$AN$621=TYPE3)*(TYPE3&lt;&gt;"")+('Dvd Calendar'!$AN$621=TYPE4)*(TYPE4&lt;&gt;"")+('Dvd Calendar'!$AN$621=SPECIAL_LBL)*(INC_SPECIALS="Y"))=0,"",'Dvd Calendar'!$AN$619)))</f>
        <v/>
      </c>
      <c r="AM67" s="110">
        <f>IF(FO67="","",IF(ISNUMBER('Dvd Calendar'!$AO$619)=FALSE,"",IF((('Dvd Calendar'!$AO$621=TYPE1)*(TYPE1&lt;&gt;"")+('Dvd Calendar'!$AO$621=TYPE2)*(TYPE2&lt;&gt;"")+('Dvd Calendar'!$AO$621=TYPE3)*(TYPE3&lt;&gt;"")+('Dvd Calendar'!$AO$621=TYPE4)*(TYPE4&lt;&gt;"")+('Dvd Calendar'!$AO$621=SPECIAL_LBL)*(INC_SPECIALS="Y"))=0,"",'Dvd Calendar'!$AO$619)))</f>
        <v/>
      </c>
      <c r="AN67" s="110">
        <f>IF(FP67="","",IF(ISNUMBER('Dvd Calendar'!$AP$619)=FALSE,"",IF((('Dvd Calendar'!$AP$621=TYPE1)*(TYPE1&lt;&gt;"")+('Dvd Calendar'!$AP$621=TYPE2)*(TYPE2&lt;&gt;"")+('Dvd Calendar'!$AP$621=TYPE3)*(TYPE3&lt;&gt;"")+('Dvd Calendar'!$AP$621=TYPE4)*(TYPE4&lt;&gt;"")+('Dvd Calendar'!$AP$621=SPECIAL_LBL)*(INC_SPECIALS="Y"))=0,"",'Dvd Calendar'!$AP$619)))</f>
        <v/>
      </c>
      <c r="AO67" s="110">
        <f>IF(FQ67="","",IF(ISNUMBER('Dvd Calendar'!$AQ$619)=FALSE,"",IF((('Dvd Calendar'!$AQ$621=TYPE1)*(TYPE1&lt;&gt;"")+('Dvd Calendar'!$AQ$621=TYPE2)*(TYPE2&lt;&gt;"")+('Dvd Calendar'!$AQ$621=TYPE3)*(TYPE3&lt;&gt;"")+('Dvd Calendar'!$AQ$621=TYPE4)*(TYPE4&lt;&gt;"")+('Dvd Calendar'!$AQ$621=SPECIAL_LBL)*(INC_SPECIALS="Y"))=0,"",'Dvd Calendar'!$AQ$619)))</f>
        <v/>
      </c>
      <c r="AP67" s="110">
        <f>IF(FR67="","",IF(ISNUMBER('Dvd Calendar'!$AR$619)=FALSE,"",IF((('Dvd Calendar'!$AR$621=TYPE1)*(TYPE1&lt;&gt;"")+('Dvd Calendar'!$AR$621=TYPE2)*(TYPE2&lt;&gt;"")+('Dvd Calendar'!$AR$621=TYPE3)*(TYPE3&lt;&gt;"")+('Dvd Calendar'!$AR$621=TYPE4)*(TYPE4&lt;&gt;"")+('Dvd Calendar'!$AR$621=SPECIAL_LBL)*(INC_SPECIALS="Y"))=0,"",'Dvd Calendar'!$AR$619)))</f>
        <v/>
      </c>
      <c r="AQ67" s="110">
        <f>IF(FS67="","",IF(ISNUMBER('Dvd Calendar'!$E$624)=FALSE,"",'Dvd Calendar'!$E$624))</f>
        <v/>
      </c>
      <c r="AR67" s="110">
        <f>IF(FT67="","",IF(ISNUMBER('Dvd Calendar'!$F$624)=FALSE,"",'Dvd Calendar'!$F$624))</f>
        <v/>
      </c>
      <c r="AS67" s="110">
        <f>IF(FU67="","",IF(ISNUMBER('Dvd Calendar'!$G$624)=FALSE,"",'Dvd Calendar'!$G$624))</f>
        <v/>
      </c>
      <c r="AT67" s="110">
        <f>IF(FV67="","",IF(ISNUMBER('Dvd Calendar'!$H$624)=FALSE,"",'Dvd Calendar'!$H$624))</f>
        <v/>
      </c>
      <c r="AU67" s="110">
        <f>IF(FW67="","",IF(ISNUMBER('Dvd Calendar'!$I$624)=FALSE,"",'Dvd Calendar'!$I$624))</f>
        <v/>
      </c>
      <c r="AV67" s="110">
        <f>IF(FX67="","",IF(ISNUMBER('Dvd Calendar'!$J$624)=FALSE,"",'Dvd Calendar'!$J$624))</f>
        <v/>
      </c>
      <c r="AW67" s="110">
        <f>IF(FY67="","",IF(ISNUMBER('Dvd Calendar'!$K$624)=FALSE,"",'Dvd Calendar'!$K$624))</f>
        <v/>
      </c>
      <c r="AX67" s="110">
        <f>IF(FZ67="","",IF(ISNUMBER('Dvd Calendar'!$L$624)=FALSE,"",'Dvd Calendar'!$L$624))</f>
        <v/>
      </c>
      <c r="AY67" s="110">
        <f>IF(GA67="","",IF(ISNUMBER('Dvd Calendar'!$M$624)=FALSE,"",'Dvd Calendar'!$M$624))</f>
        <v/>
      </c>
      <c r="AZ67" s="110">
        <f>IF(GB67="","",IF(ISNUMBER('Dvd Calendar'!$N$624)=FALSE,"",'Dvd Calendar'!$N$624))</f>
        <v/>
      </c>
      <c r="BA67" s="110">
        <f>IF(GC67="","",IF(ISNUMBER('Dvd Calendar'!$O$624)=FALSE,"",'Dvd Calendar'!$O$624))</f>
        <v/>
      </c>
      <c r="BB67" s="110">
        <f>IF(GD67="","",IF(ISNUMBER('Dvd Calendar'!$P$624)=FALSE,"",'Dvd Calendar'!$P$624))</f>
        <v/>
      </c>
      <c r="BC67" s="110">
        <f>IF(GE67="","",IF(ISNUMBER('Dvd Calendar'!$Q$624)=FALSE,"",'Dvd Calendar'!$Q$624))</f>
        <v/>
      </c>
      <c r="BD67" s="110">
        <f>IF(GF67="","",IF(ISNUMBER('Dvd Calendar'!$R$624)=FALSE,"",'Dvd Calendar'!$R$624))</f>
        <v/>
      </c>
      <c r="BE67" s="110">
        <f>IF(GG67="","",IF(ISNUMBER('Dvd Calendar'!$S$624)=FALSE,"",'Dvd Calendar'!$S$624))</f>
        <v/>
      </c>
      <c r="BF67" s="110">
        <f>IF(GH67="","",IF(ISNUMBER('Dvd Calendar'!$T$624)=FALSE,"",'Dvd Calendar'!$T$624))</f>
        <v/>
      </c>
      <c r="BG67" s="110">
        <f>IF(GI67="","",IF(ISNUMBER('Dvd Calendar'!$U$624)=FALSE,"",'Dvd Calendar'!$U$624))</f>
        <v/>
      </c>
      <c r="BH67" s="110">
        <f>IF(GJ67="","",IF(ISNUMBER('Dvd Calendar'!$V$624)=FALSE,"",'Dvd Calendar'!$V$624))</f>
        <v/>
      </c>
      <c r="BI67" s="110">
        <f>IF(GK67="","",IF(ISNUMBER('Dvd Calendar'!$W$624)=FALSE,"",'Dvd Calendar'!$W$624))</f>
        <v/>
      </c>
      <c r="BJ67" s="110">
        <f>IF(GL67="","",IF(ISNUMBER('Dvd Calendar'!$X$624)=FALSE,"",'Dvd Calendar'!$X$624))</f>
        <v/>
      </c>
      <c r="BK67" s="110">
        <f>IF(GM67="","",IF(ISNUMBER('Dvd Calendar'!$Y$624)=FALSE,"",'Dvd Calendar'!$Y$624))</f>
        <v/>
      </c>
      <c r="BL67" s="110">
        <f>IF(GN67="","",IF(ISNUMBER('Dvd Calendar'!$Z$624)=FALSE,"",'Dvd Calendar'!$Z$624))</f>
        <v/>
      </c>
      <c r="BM67" s="110">
        <f>IF(GO67="","",IF(ISNUMBER('Dvd Calendar'!$AA$624)=FALSE,"",'Dvd Calendar'!$AA$624))</f>
        <v/>
      </c>
      <c r="BN67" s="110">
        <f>IF(GP67="","",IF(ISNUMBER('Dvd Calendar'!$AB$624)=FALSE,"",'Dvd Calendar'!$AB$624))</f>
        <v/>
      </c>
      <c r="BO67" s="110">
        <f>IF(GQ67="","",IF(ISNUMBER('Dvd Calendar'!$AC$624)=FALSE,"",'Dvd Calendar'!$AC$624))</f>
        <v/>
      </c>
      <c r="BQ67" s="110">
        <f>IF(C67="","",IFERROR(C67*HSI!$B$62*HSI!$G$62/HSI!$B$3,""))</f>
        <v/>
      </c>
      <c r="BR67" s="110">
        <f>IF(D67="","",IFERROR(D67*HSI!$B$62*HSI!$G$62/HSI!$B$3,""))</f>
        <v/>
      </c>
      <c r="BS67" s="110">
        <f>IF(E67="","",IFERROR(E67*HSI!$B$62*HSI!$G$62/HSI!$B$3,""))</f>
        <v/>
      </c>
      <c r="BT67" s="110">
        <f>IF(F67="","",IFERROR(F67*HSI!$B$62*HSI!$G$62/HSI!$B$3,""))</f>
        <v/>
      </c>
      <c r="BU67" s="110">
        <f>IF(G67="","",IFERROR(G67*HSI!$B$62*HSI!$G$62/HSI!$B$3,""))</f>
        <v/>
      </c>
      <c r="BV67" s="110">
        <f>IF(H67="","",IFERROR(H67*HSI!$B$62*HSI!$G$62/HSI!$B$3,""))</f>
        <v/>
      </c>
      <c r="BW67" s="110">
        <f>IF(I67="","",IFERROR(I67*HSI!$B$62*HSI!$G$62/HSI!$B$3,""))</f>
        <v/>
      </c>
      <c r="BX67" s="110">
        <f>IF(J67="","",IFERROR(J67*HSI!$B$62*HSI!$G$62/HSI!$B$3,""))</f>
        <v/>
      </c>
      <c r="BY67" s="110">
        <f>IF(K67="","",IFERROR(K67*HSI!$B$62*HSI!$G$62/HSI!$B$3,""))</f>
        <v/>
      </c>
      <c r="BZ67" s="110">
        <f>IF(L67="","",IFERROR(L67*HSI!$B$62*HSI!$G$62/HSI!$B$3,""))</f>
        <v/>
      </c>
      <c r="CA67" s="110">
        <f>IF(M67="","",IFERROR(M67*HSI!$B$62*HSI!$G$62/HSI!$B$3,""))</f>
        <v/>
      </c>
      <c r="CB67" s="110">
        <f>IF(N67="","",IFERROR(N67*HSI!$B$62*HSI!$G$62/HSI!$B$3,""))</f>
        <v/>
      </c>
      <c r="CC67" s="110">
        <f>IF(O67="","",IFERROR(O67*HSI!$B$62*HSI!$G$62/HSI!$B$3,""))</f>
        <v/>
      </c>
      <c r="CD67" s="110">
        <f>IF(P67="","",IFERROR(P67*HSI!$B$62*HSI!$G$62/HSI!$B$3,""))</f>
        <v/>
      </c>
      <c r="CE67" s="110">
        <f>IF(Q67="","",IFERROR(Q67*HSI!$B$62*HSI!$G$62/HSI!$B$3,""))</f>
        <v/>
      </c>
      <c r="CF67" s="110">
        <f>IF(R67="","",IFERROR(R67*HSI!$B$62*HSI!$G$62/HSI!$B$3,""))</f>
        <v/>
      </c>
      <c r="CG67" s="110">
        <f>IF(S67="","",IFERROR(S67*HSI!$B$62*HSI!$G$62/HSI!$B$3,""))</f>
        <v/>
      </c>
      <c r="CH67" s="110">
        <f>IF(T67="","",IFERROR(T67*HSI!$B$62*HSI!$G$62/HSI!$B$3,""))</f>
        <v/>
      </c>
      <c r="CI67" s="110">
        <f>IF(U67="","",IFERROR(U67*HSI!$B$62*HSI!$G$62/HSI!$B$3,""))</f>
        <v/>
      </c>
      <c r="CJ67" s="110">
        <f>IF(V67="","",IFERROR(V67*HSI!$B$62*HSI!$G$62/HSI!$B$3,""))</f>
        <v/>
      </c>
      <c r="CK67" s="110">
        <f>IF(W67="","",IFERROR(W67*HSI!$B$62*HSI!$G$62/HSI!$B$3,""))</f>
        <v/>
      </c>
      <c r="CL67" s="110">
        <f>IF(X67="","",IFERROR(X67*HSI!$B$62*HSI!$G$62/HSI!$B$3,""))</f>
        <v/>
      </c>
      <c r="CM67" s="110">
        <f>IF(Y67="","",IFERROR(Y67*HSI!$B$62*HSI!$G$62/HSI!$B$3,""))</f>
        <v/>
      </c>
      <c r="CN67" s="110">
        <f>IF(Z67="","",IFERROR(Z67*HSI!$B$62*HSI!$G$62/HSI!$B$3,""))</f>
        <v/>
      </c>
      <c r="CO67" s="110">
        <f>IF(AA67="","",IFERROR(AA67*HSI!$B$62*HSI!$G$62/HSI!$B$3,""))</f>
        <v/>
      </c>
      <c r="CP67" s="110">
        <f>IF(AB67="","",IFERROR(AB67*HSI!$B$62*HSI!$G$62/HSI!$B$3,""))</f>
        <v/>
      </c>
      <c r="CQ67" s="110">
        <f>IF(AC67="","",IFERROR(AC67*HSI!$B$62*HSI!$G$62/HSI!$B$3,""))</f>
        <v/>
      </c>
      <c r="CR67" s="110">
        <f>IF(AD67="","",IFERROR(AD67*HSI!$B$62*HSI!$G$62/HSI!$B$3,""))</f>
        <v/>
      </c>
      <c r="CS67" s="110">
        <f>IF(AE67="","",IFERROR(AE67*HSI!$B$62*HSI!$G$62/HSI!$B$3,""))</f>
        <v/>
      </c>
      <c r="CT67" s="110">
        <f>IF(AF67="","",IFERROR(AF67*HSI!$B$62*HSI!$G$62/HSI!$B$3,""))</f>
        <v/>
      </c>
      <c r="CU67" s="110">
        <f>IF(AG67="","",IFERROR(AG67*HSI!$B$62*HSI!$G$62/HSI!$B$3,""))</f>
        <v/>
      </c>
      <c r="CV67" s="110">
        <f>IF(AH67="","",IFERROR(AH67*HSI!$B$62*HSI!$G$62/HSI!$B$3,""))</f>
        <v/>
      </c>
      <c r="CW67" s="110">
        <f>IF(AI67="","",IFERROR(AI67*HSI!$B$62*HSI!$G$62/HSI!$B$3,""))</f>
        <v/>
      </c>
      <c r="CX67" s="110">
        <f>IF(AJ67="","",IFERROR(AJ67*HSI!$B$62*HSI!$G$62/HSI!$B$3,""))</f>
        <v/>
      </c>
      <c r="CY67" s="110">
        <f>IF(AK67="","",IFERROR(AK67*HSI!$B$62*HSI!$G$62/HSI!$B$3,""))</f>
        <v/>
      </c>
      <c r="CZ67" s="110">
        <f>IF(AL67="","",IFERROR(AL67*HSI!$B$62*HSI!$G$62/HSI!$B$3,""))</f>
        <v/>
      </c>
      <c r="DA67" s="110">
        <f>IF(AM67="","",IFERROR(AM67*HSI!$B$62*HSI!$G$62/HSI!$B$3,""))</f>
        <v/>
      </c>
      <c r="DB67" s="110">
        <f>IF(AN67="","",IFERROR(AN67*HSI!$B$62*HSI!$G$62/HSI!$B$3,""))</f>
        <v/>
      </c>
      <c r="DC67" s="110">
        <f>IF(AO67="","",IFERROR(AO67*HSI!$B$62*HSI!$G$62/HSI!$B$3,""))</f>
        <v/>
      </c>
      <c r="DD67" s="110">
        <f>IF(AP67="","",IFERROR(AP67*HSI!$B$62*HSI!$G$62/HSI!$B$3,""))</f>
        <v/>
      </c>
      <c r="DE67" s="110">
        <f>IF(AQ67="","",IFERROR(AQ67*HSI!$B$62*HSI!$G$62/HSI!$B$3,""))</f>
        <v/>
      </c>
      <c r="DF67" s="110">
        <f>IF(AR67="","",IFERROR(AR67*HSI!$B$62*HSI!$G$62/HSI!$B$3,""))</f>
        <v/>
      </c>
      <c r="DG67" s="110">
        <f>IF(AS67="","",IFERROR(AS67*HSI!$B$62*HSI!$G$62/HSI!$B$3,""))</f>
        <v/>
      </c>
      <c r="DH67" s="110">
        <f>IF(AT67="","",IFERROR(AT67*HSI!$B$62*HSI!$G$62/HSI!$B$3,""))</f>
        <v/>
      </c>
      <c r="DI67" s="110">
        <f>IF(AU67="","",IFERROR(AU67*HSI!$B$62*HSI!$G$62/HSI!$B$3,""))</f>
        <v/>
      </c>
      <c r="DJ67" s="110">
        <f>IF(AV67="","",IFERROR(AV67*HSI!$B$62*HSI!$G$62/HSI!$B$3,""))</f>
        <v/>
      </c>
      <c r="DK67" s="110">
        <f>IF(AW67="","",IFERROR(AW67*HSI!$B$62*HSI!$G$62/HSI!$B$3,""))</f>
        <v/>
      </c>
      <c r="DL67" s="110">
        <f>IF(AX67="","",IFERROR(AX67*HSI!$B$62*HSI!$G$62/HSI!$B$3,""))</f>
        <v/>
      </c>
      <c r="DM67" s="110">
        <f>IF(AY67="","",IFERROR(AY67*HSI!$B$62*HSI!$G$62/HSI!$B$3,""))</f>
        <v/>
      </c>
      <c r="DN67" s="110">
        <f>IF(AZ67="","",IFERROR(AZ67*HSI!$B$62*HSI!$G$62/HSI!$B$3,""))</f>
        <v/>
      </c>
      <c r="DO67" s="110">
        <f>IF(BA67="","",IFERROR(BA67*HSI!$B$62*HSI!$G$62/HSI!$B$3,""))</f>
        <v/>
      </c>
      <c r="DP67" s="110">
        <f>IF(BB67="","",IFERROR(BB67*HSI!$B$62*HSI!$G$62/HSI!$B$3,""))</f>
        <v/>
      </c>
      <c r="DQ67" s="110">
        <f>IF(BC67="","",IFERROR(BC67*HSI!$B$62*HSI!$G$62/HSI!$B$3,""))</f>
        <v/>
      </c>
      <c r="DR67" s="110">
        <f>IF(BD67="","",IFERROR(BD67*HSI!$B$62*HSI!$G$62/HSI!$B$3,""))</f>
        <v/>
      </c>
      <c r="DS67" s="110">
        <f>IF(BE67="","",IFERROR(BE67*HSI!$B$62*HSI!$G$62/HSI!$B$3,""))</f>
        <v/>
      </c>
      <c r="DT67" s="110">
        <f>IF(BF67="","",IFERROR(BF67*HSI!$B$62*HSI!$G$62/HSI!$B$3,""))</f>
        <v/>
      </c>
      <c r="DU67" s="110">
        <f>IF(BG67="","",IFERROR(BG67*HSI!$B$62*HSI!$G$62/HSI!$B$3,""))</f>
        <v/>
      </c>
      <c r="DV67" s="110">
        <f>IF(BH67="","",IFERROR(BH67*HSI!$B$62*HSI!$G$62/HSI!$B$3,""))</f>
        <v/>
      </c>
      <c r="DW67" s="110">
        <f>IF(BI67="","",IFERROR(BI67*HSI!$B$62*HSI!$G$62/HSI!$B$3,""))</f>
        <v/>
      </c>
      <c r="DX67" s="110">
        <f>IF(BJ67="","",IFERROR(BJ67*HSI!$B$62*HSI!$G$62/HSI!$B$3,""))</f>
        <v/>
      </c>
      <c r="DY67" s="110">
        <f>IF(BK67="","",IFERROR(BK67*HSI!$B$62*HSI!$G$62/HSI!$B$3,""))</f>
        <v/>
      </c>
      <c r="DZ67" s="110">
        <f>IF(BL67="","",IFERROR(BL67*HSI!$B$62*HSI!$G$62/HSI!$B$3,""))</f>
        <v/>
      </c>
      <c r="EA67" s="110">
        <f>IF(BM67="","",IFERROR(BM67*HSI!$B$62*HSI!$G$62/HSI!$B$3,""))</f>
        <v/>
      </c>
      <c r="EB67" s="110">
        <f>IF(BN67="","",IFERROR(BN67*HSI!$B$62*HSI!$G$62/HSI!$B$3,""))</f>
        <v/>
      </c>
      <c r="EC67" s="110">
        <f>IF(BO67="","",IFERROR(BO67*HSI!$B$62*HSI!$G$62/HSI!$B$3,""))</f>
        <v/>
      </c>
      <c r="EE67" s="39">
        <f>IF(N('Dvd Calendar'!$E$616)=0,"",IF(('Dvd Calendar'!$E$616&gt;=GRID_FROM)*('Dvd Calendar'!$E$616&lt;=GRID_TO)*((('Dvd Calendar'!$E$616&lt;=VAL_DATE)+(COUNTIF('Dvd Calendar'!$E$623:$AR$623,'Dvd Calendar'!$E$616)=0))&gt;0)=0,"",'Dvd Calendar'!$E$616*1000000000+ISNUMBER('Dvd Calendar'!$E$619)*100000000+('Dvd Calendar'!$E$621=SPECIAL_LBL)*10000000+(N('Dvd Calendar'!$E$615)&gt;0)*(N('Dvd Calendar'!$E$615)&lt;=VAL_SERIAL)*1000000+56*1000+1))</f>
        <v/>
      </c>
      <c r="EF67" s="39">
        <f>IF(N('Dvd Calendar'!$F$616)=0,"",IF(('Dvd Calendar'!$F$616&gt;=GRID_FROM)*('Dvd Calendar'!$F$616&lt;=GRID_TO)*((('Dvd Calendar'!$F$616&lt;=VAL_DATE)+(COUNTIF('Dvd Calendar'!$E$623:$AR$623,'Dvd Calendar'!$F$616)=0))&gt;0)=0,"",'Dvd Calendar'!$F$616*1000000000+ISNUMBER('Dvd Calendar'!$F$619)*100000000+('Dvd Calendar'!$F$621=SPECIAL_LBL)*10000000+(N('Dvd Calendar'!$F$615)&gt;0)*(N('Dvd Calendar'!$F$615)&lt;=VAL_SERIAL)*1000000+56*1000+2))</f>
        <v/>
      </c>
      <c r="EG67" s="39">
        <f>IF(N('Dvd Calendar'!$G$616)=0,"",IF(('Dvd Calendar'!$G$616&gt;=GRID_FROM)*('Dvd Calendar'!$G$616&lt;=GRID_TO)*((('Dvd Calendar'!$G$616&lt;=VAL_DATE)+(COUNTIF('Dvd Calendar'!$E$623:$AR$623,'Dvd Calendar'!$G$616)=0))&gt;0)=0,"",'Dvd Calendar'!$G$616*1000000000+ISNUMBER('Dvd Calendar'!$G$619)*100000000+('Dvd Calendar'!$G$621=SPECIAL_LBL)*10000000+(N('Dvd Calendar'!$G$615)&gt;0)*(N('Dvd Calendar'!$G$615)&lt;=VAL_SERIAL)*1000000+56*1000+3))</f>
        <v/>
      </c>
      <c r="EH67" s="39">
        <f>IF(N('Dvd Calendar'!$H$616)=0,"",IF(('Dvd Calendar'!$H$616&gt;=GRID_FROM)*('Dvd Calendar'!$H$616&lt;=GRID_TO)*((('Dvd Calendar'!$H$616&lt;=VAL_DATE)+(COUNTIF('Dvd Calendar'!$E$623:$AR$623,'Dvd Calendar'!$H$616)=0))&gt;0)=0,"",'Dvd Calendar'!$H$616*1000000000+ISNUMBER('Dvd Calendar'!$H$619)*100000000+('Dvd Calendar'!$H$621=SPECIAL_LBL)*10000000+(N('Dvd Calendar'!$H$615)&gt;0)*(N('Dvd Calendar'!$H$615)&lt;=VAL_SERIAL)*1000000+56*1000+4))</f>
        <v/>
      </c>
      <c r="EI67" s="39">
        <f>IF(N('Dvd Calendar'!$I$616)=0,"",IF(('Dvd Calendar'!$I$616&gt;=GRID_FROM)*('Dvd Calendar'!$I$616&lt;=GRID_TO)*((('Dvd Calendar'!$I$616&lt;=VAL_DATE)+(COUNTIF('Dvd Calendar'!$E$623:$AR$623,'Dvd Calendar'!$I$616)=0))&gt;0)=0,"",'Dvd Calendar'!$I$616*1000000000+ISNUMBER('Dvd Calendar'!$I$619)*100000000+('Dvd Calendar'!$I$621=SPECIAL_LBL)*10000000+(N('Dvd Calendar'!$I$615)&gt;0)*(N('Dvd Calendar'!$I$615)&lt;=VAL_SERIAL)*1000000+56*1000+5))</f>
        <v/>
      </c>
      <c r="EJ67" s="39">
        <f>IF(N('Dvd Calendar'!$J$616)=0,"",IF(('Dvd Calendar'!$J$616&gt;=GRID_FROM)*('Dvd Calendar'!$J$616&lt;=GRID_TO)*((('Dvd Calendar'!$J$616&lt;=VAL_DATE)+(COUNTIF('Dvd Calendar'!$E$623:$AR$623,'Dvd Calendar'!$J$616)=0))&gt;0)=0,"",'Dvd Calendar'!$J$616*1000000000+ISNUMBER('Dvd Calendar'!$J$619)*100000000+('Dvd Calendar'!$J$621=SPECIAL_LBL)*10000000+(N('Dvd Calendar'!$J$615)&gt;0)*(N('Dvd Calendar'!$J$615)&lt;=VAL_SERIAL)*1000000+56*1000+6))</f>
        <v/>
      </c>
      <c r="EK67" s="39">
        <f>IF(N('Dvd Calendar'!$K$616)=0,"",IF(('Dvd Calendar'!$K$616&gt;=GRID_FROM)*('Dvd Calendar'!$K$616&lt;=GRID_TO)*((('Dvd Calendar'!$K$616&lt;=VAL_DATE)+(COUNTIF('Dvd Calendar'!$E$623:$AR$623,'Dvd Calendar'!$K$616)=0))&gt;0)=0,"",'Dvd Calendar'!$K$616*1000000000+ISNUMBER('Dvd Calendar'!$K$619)*100000000+('Dvd Calendar'!$K$621=SPECIAL_LBL)*10000000+(N('Dvd Calendar'!$K$615)&gt;0)*(N('Dvd Calendar'!$K$615)&lt;=VAL_SERIAL)*1000000+56*1000+7))</f>
        <v/>
      </c>
      <c r="EL67" s="39">
        <f>IF(N('Dvd Calendar'!$L$616)=0,"",IF(('Dvd Calendar'!$L$616&gt;=GRID_FROM)*('Dvd Calendar'!$L$616&lt;=GRID_TO)*((('Dvd Calendar'!$L$616&lt;=VAL_DATE)+(COUNTIF('Dvd Calendar'!$E$623:$AR$623,'Dvd Calendar'!$L$616)=0))&gt;0)=0,"",'Dvd Calendar'!$L$616*1000000000+ISNUMBER('Dvd Calendar'!$L$619)*100000000+('Dvd Calendar'!$L$621=SPECIAL_LBL)*10000000+(N('Dvd Calendar'!$L$615)&gt;0)*(N('Dvd Calendar'!$L$615)&lt;=VAL_SERIAL)*1000000+56*1000+8))</f>
        <v/>
      </c>
      <c r="EM67" s="39">
        <f>IF(N('Dvd Calendar'!$M$616)=0,"",IF(('Dvd Calendar'!$M$616&gt;=GRID_FROM)*('Dvd Calendar'!$M$616&lt;=GRID_TO)*((('Dvd Calendar'!$M$616&lt;=VAL_DATE)+(COUNTIF('Dvd Calendar'!$E$623:$AR$623,'Dvd Calendar'!$M$616)=0))&gt;0)=0,"",'Dvd Calendar'!$M$616*1000000000+ISNUMBER('Dvd Calendar'!$M$619)*100000000+('Dvd Calendar'!$M$621=SPECIAL_LBL)*10000000+(N('Dvd Calendar'!$M$615)&gt;0)*(N('Dvd Calendar'!$M$615)&lt;=VAL_SERIAL)*1000000+56*1000+9))</f>
        <v/>
      </c>
      <c r="EN67" s="39">
        <f>IF(N('Dvd Calendar'!$N$616)=0,"",IF(('Dvd Calendar'!$N$616&gt;=GRID_FROM)*('Dvd Calendar'!$N$616&lt;=GRID_TO)*((('Dvd Calendar'!$N$616&lt;=VAL_DATE)+(COUNTIF('Dvd Calendar'!$E$623:$AR$623,'Dvd Calendar'!$N$616)=0))&gt;0)=0,"",'Dvd Calendar'!$N$616*1000000000+ISNUMBER('Dvd Calendar'!$N$619)*100000000+('Dvd Calendar'!$N$621=SPECIAL_LBL)*10000000+(N('Dvd Calendar'!$N$615)&gt;0)*(N('Dvd Calendar'!$N$615)&lt;=VAL_SERIAL)*1000000+56*1000+10))</f>
        <v/>
      </c>
      <c r="EO67" s="39">
        <f>IF(N('Dvd Calendar'!$O$616)=0,"",IF(('Dvd Calendar'!$O$616&gt;=GRID_FROM)*('Dvd Calendar'!$O$616&lt;=GRID_TO)*((('Dvd Calendar'!$O$616&lt;=VAL_DATE)+(COUNTIF('Dvd Calendar'!$E$623:$AR$623,'Dvd Calendar'!$O$616)=0))&gt;0)=0,"",'Dvd Calendar'!$O$616*1000000000+ISNUMBER('Dvd Calendar'!$O$619)*100000000+('Dvd Calendar'!$O$621=SPECIAL_LBL)*10000000+(N('Dvd Calendar'!$O$615)&gt;0)*(N('Dvd Calendar'!$O$615)&lt;=VAL_SERIAL)*1000000+56*1000+11))</f>
        <v/>
      </c>
      <c r="EP67" s="39">
        <f>IF(N('Dvd Calendar'!$P$616)=0,"",IF(('Dvd Calendar'!$P$616&gt;=GRID_FROM)*('Dvd Calendar'!$P$616&lt;=GRID_TO)*((('Dvd Calendar'!$P$616&lt;=VAL_DATE)+(COUNTIF('Dvd Calendar'!$E$623:$AR$623,'Dvd Calendar'!$P$616)=0))&gt;0)=0,"",'Dvd Calendar'!$P$616*1000000000+ISNUMBER('Dvd Calendar'!$P$619)*100000000+('Dvd Calendar'!$P$621=SPECIAL_LBL)*10000000+(N('Dvd Calendar'!$P$615)&gt;0)*(N('Dvd Calendar'!$P$615)&lt;=VAL_SERIAL)*1000000+56*1000+12))</f>
        <v/>
      </c>
      <c r="EQ67" s="39">
        <f>IF(N('Dvd Calendar'!$Q$616)=0,"",IF(('Dvd Calendar'!$Q$616&gt;=GRID_FROM)*('Dvd Calendar'!$Q$616&lt;=GRID_TO)*((('Dvd Calendar'!$Q$616&lt;=VAL_DATE)+(COUNTIF('Dvd Calendar'!$E$623:$AR$623,'Dvd Calendar'!$Q$616)=0))&gt;0)=0,"",'Dvd Calendar'!$Q$616*1000000000+ISNUMBER('Dvd Calendar'!$Q$619)*100000000+('Dvd Calendar'!$Q$621=SPECIAL_LBL)*10000000+(N('Dvd Calendar'!$Q$615)&gt;0)*(N('Dvd Calendar'!$Q$615)&lt;=VAL_SERIAL)*1000000+56*1000+13))</f>
        <v/>
      </c>
      <c r="ER67" s="39">
        <f>IF(N('Dvd Calendar'!$R$616)=0,"",IF(('Dvd Calendar'!$R$616&gt;=GRID_FROM)*('Dvd Calendar'!$R$616&lt;=GRID_TO)*((('Dvd Calendar'!$R$616&lt;=VAL_DATE)+(COUNTIF('Dvd Calendar'!$E$623:$AR$623,'Dvd Calendar'!$R$616)=0))&gt;0)=0,"",'Dvd Calendar'!$R$616*1000000000+ISNUMBER('Dvd Calendar'!$R$619)*100000000+('Dvd Calendar'!$R$621=SPECIAL_LBL)*10000000+(N('Dvd Calendar'!$R$615)&gt;0)*(N('Dvd Calendar'!$R$615)&lt;=VAL_SERIAL)*1000000+56*1000+14))</f>
        <v/>
      </c>
      <c r="ES67" s="39">
        <f>IF(N('Dvd Calendar'!$S$616)=0,"",IF(('Dvd Calendar'!$S$616&gt;=GRID_FROM)*('Dvd Calendar'!$S$616&lt;=GRID_TO)*((('Dvd Calendar'!$S$616&lt;=VAL_DATE)+(COUNTIF('Dvd Calendar'!$E$623:$AR$623,'Dvd Calendar'!$S$616)=0))&gt;0)=0,"",'Dvd Calendar'!$S$616*1000000000+ISNUMBER('Dvd Calendar'!$S$619)*100000000+('Dvd Calendar'!$S$621=SPECIAL_LBL)*10000000+(N('Dvd Calendar'!$S$615)&gt;0)*(N('Dvd Calendar'!$S$615)&lt;=VAL_SERIAL)*1000000+56*1000+15))</f>
        <v/>
      </c>
      <c r="ET67" s="39">
        <f>IF(N('Dvd Calendar'!$T$616)=0,"",IF(('Dvd Calendar'!$T$616&gt;=GRID_FROM)*('Dvd Calendar'!$T$616&lt;=GRID_TO)*((('Dvd Calendar'!$T$616&lt;=VAL_DATE)+(COUNTIF('Dvd Calendar'!$E$623:$AR$623,'Dvd Calendar'!$T$616)=0))&gt;0)=0,"",'Dvd Calendar'!$T$616*1000000000+ISNUMBER('Dvd Calendar'!$T$619)*100000000+('Dvd Calendar'!$T$621=SPECIAL_LBL)*10000000+(N('Dvd Calendar'!$T$615)&gt;0)*(N('Dvd Calendar'!$T$615)&lt;=VAL_SERIAL)*1000000+56*1000+16))</f>
        <v/>
      </c>
      <c r="EU67" s="39">
        <f>IF(N('Dvd Calendar'!$U$616)=0,"",IF(('Dvd Calendar'!$U$616&gt;=GRID_FROM)*('Dvd Calendar'!$U$616&lt;=GRID_TO)*((('Dvd Calendar'!$U$616&lt;=VAL_DATE)+(COUNTIF('Dvd Calendar'!$E$623:$AR$623,'Dvd Calendar'!$U$616)=0))&gt;0)=0,"",'Dvd Calendar'!$U$616*1000000000+ISNUMBER('Dvd Calendar'!$U$619)*100000000+('Dvd Calendar'!$U$621=SPECIAL_LBL)*10000000+(N('Dvd Calendar'!$U$615)&gt;0)*(N('Dvd Calendar'!$U$615)&lt;=VAL_SERIAL)*1000000+56*1000+17))</f>
        <v/>
      </c>
      <c r="EV67" s="39">
        <f>IF(N('Dvd Calendar'!$V$616)=0,"",IF(('Dvd Calendar'!$V$616&gt;=GRID_FROM)*('Dvd Calendar'!$V$616&lt;=GRID_TO)*((('Dvd Calendar'!$V$616&lt;=VAL_DATE)+(COUNTIF('Dvd Calendar'!$E$623:$AR$623,'Dvd Calendar'!$V$616)=0))&gt;0)=0,"",'Dvd Calendar'!$V$616*1000000000+ISNUMBER('Dvd Calendar'!$V$619)*100000000+('Dvd Calendar'!$V$621=SPECIAL_LBL)*10000000+(N('Dvd Calendar'!$V$615)&gt;0)*(N('Dvd Calendar'!$V$615)&lt;=VAL_SERIAL)*1000000+56*1000+18))</f>
        <v/>
      </c>
      <c r="EW67" s="39">
        <f>IF(N('Dvd Calendar'!$W$616)=0,"",IF(('Dvd Calendar'!$W$616&gt;=GRID_FROM)*('Dvd Calendar'!$W$616&lt;=GRID_TO)*((('Dvd Calendar'!$W$616&lt;=VAL_DATE)+(COUNTIF('Dvd Calendar'!$E$623:$AR$623,'Dvd Calendar'!$W$616)=0))&gt;0)=0,"",'Dvd Calendar'!$W$616*1000000000+ISNUMBER('Dvd Calendar'!$W$619)*100000000+('Dvd Calendar'!$W$621=SPECIAL_LBL)*10000000+(N('Dvd Calendar'!$W$615)&gt;0)*(N('Dvd Calendar'!$W$615)&lt;=VAL_SERIAL)*1000000+56*1000+19))</f>
        <v/>
      </c>
      <c r="EX67" s="39">
        <f>IF(N('Dvd Calendar'!$X$616)=0,"",IF(('Dvd Calendar'!$X$616&gt;=GRID_FROM)*('Dvd Calendar'!$X$616&lt;=GRID_TO)*((('Dvd Calendar'!$X$616&lt;=VAL_DATE)+(COUNTIF('Dvd Calendar'!$E$623:$AR$623,'Dvd Calendar'!$X$616)=0))&gt;0)=0,"",'Dvd Calendar'!$X$616*1000000000+ISNUMBER('Dvd Calendar'!$X$619)*100000000+('Dvd Calendar'!$X$621=SPECIAL_LBL)*10000000+(N('Dvd Calendar'!$X$615)&gt;0)*(N('Dvd Calendar'!$X$615)&lt;=VAL_SERIAL)*1000000+56*1000+20))</f>
        <v/>
      </c>
      <c r="EY67" s="39">
        <f>IF(N('Dvd Calendar'!$Y$616)=0,"",IF(('Dvd Calendar'!$Y$616&gt;=GRID_FROM)*('Dvd Calendar'!$Y$616&lt;=GRID_TO)*((('Dvd Calendar'!$Y$616&lt;=VAL_DATE)+(COUNTIF('Dvd Calendar'!$E$623:$AR$623,'Dvd Calendar'!$Y$616)=0))&gt;0)=0,"",'Dvd Calendar'!$Y$616*1000000000+ISNUMBER('Dvd Calendar'!$Y$619)*100000000+('Dvd Calendar'!$Y$621=SPECIAL_LBL)*10000000+(N('Dvd Calendar'!$Y$615)&gt;0)*(N('Dvd Calendar'!$Y$615)&lt;=VAL_SERIAL)*1000000+56*1000+21))</f>
        <v/>
      </c>
      <c r="EZ67" s="39">
        <f>IF(N('Dvd Calendar'!$Z$616)=0,"",IF(('Dvd Calendar'!$Z$616&gt;=GRID_FROM)*('Dvd Calendar'!$Z$616&lt;=GRID_TO)*((('Dvd Calendar'!$Z$616&lt;=VAL_DATE)+(COUNTIF('Dvd Calendar'!$E$623:$AR$623,'Dvd Calendar'!$Z$616)=0))&gt;0)=0,"",'Dvd Calendar'!$Z$616*1000000000+ISNUMBER('Dvd Calendar'!$Z$619)*100000000+('Dvd Calendar'!$Z$621=SPECIAL_LBL)*10000000+(N('Dvd Calendar'!$Z$615)&gt;0)*(N('Dvd Calendar'!$Z$615)&lt;=VAL_SERIAL)*1000000+56*1000+22))</f>
        <v/>
      </c>
      <c r="FA67" s="39">
        <f>IF(N('Dvd Calendar'!$AA$616)=0,"",IF(('Dvd Calendar'!$AA$616&gt;=GRID_FROM)*('Dvd Calendar'!$AA$616&lt;=GRID_TO)*((('Dvd Calendar'!$AA$616&lt;=VAL_DATE)+(COUNTIF('Dvd Calendar'!$E$623:$AR$623,'Dvd Calendar'!$AA$616)=0))&gt;0)=0,"",'Dvd Calendar'!$AA$616*1000000000+ISNUMBER('Dvd Calendar'!$AA$619)*100000000+('Dvd Calendar'!$AA$621=SPECIAL_LBL)*10000000+(N('Dvd Calendar'!$AA$615)&gt;0)*(N('Dvd Calendar'!$AA$615)&lt;=VAL_SERIAL)*1000000+56*1000+23))</f>
        <v/>
      </c>
      <c r="FB67" s="39">
        <f>IF(N('Dvd Calendar'!$AB$616)=0,"",IF(('Dvd Calendar'!$AB$616&gt;=GRID_FROM)*('Dvd Calendar'!$AB$616&lt;=GRID_TO)*((('Dvd Calendar'!$AB$616&lt;=VAL_DATE)+(COUNTIF('Dvd Calendar'!$E$623:$AR$623,'Dvd Calendar'!$AB$616)=0))&gt;0)=0,"",'Dvd Calendar'!$AB$616*1000000000+ISNUMBER('Dvd Calendar'!$AB$619)*100000000+('Dvd Calendar'!$AB$621=SPECIAL_LBL)*10000000+(N('Dvd Calendar'!$AB$615)&gt;0)*(N('Dvd Calendar'!$AB$615)&lt;=VAL_SERIAL)*1000000+56*1000+24))</f>
        <v/>
      </c>
      <c r="FC67" s="39">
        <f>IF(N('Dvd Calendar'!$AC$616)=0,"",IF(('Dvd Calendar'!$AC$616&gt;=GRID_FROM)*('Dvd Calendar'!$AC$616&lt;=GRID_TO)*((('Dvd Calendar'!$AC$616&lt;=VAL_DATE)+(COUNTIF('Dvd Calendar'!$E$623:$AR$623,'Dvd Calendar'!$AC$616)=0))&gt;0)=0,"",'Dvd Calendar'!$AC$616*1000000000+ISNUMBER('Dvd Calendar'!$AC$619)*100000000+('Dvd Calendar'!$AC$621=SPECIAL_LBL)*10000000+(N('Dvd Calendar'!$AC$615)&gt;0)*(N('Dvd Calendar'!$AC$615)&lt;=VAL_SERIAL)*1000000+56*1000+25))</f>
        <v/>
      </c>
      <c r="FD67" s="39">
        <f>IF(N('Dvd Calendar'!$AD$616)=0,"",IF(('Dvd Calendar'!$AD$616&gt;=GRID_FROM)*('Dvd Calendar'!$AD$616&lt;=GRID_TO)*((('Dvd Calendar'!$AD$616&lt;=VAL_DATE)+(COUNTIF('Dvd Calendar'!$E$623:$AR$623,'Dvd Calendar'!$AD$616)=0))&gt;0)=0,"",'Dvd Calendar'!$AD$616*1000000000+ISNUMBER('Dvd Calendar'!$AD$619)*100000000+('Dvd Calendar'!$AD$621=SPECIAL_LBL)*10000000+(N('Dvd Calendar'!$AD$615)&gt;0)*(N('Dvd Calendar'!$AD$615)&lt;=VAL_SERIAL)*1000000+56*1000+26))</f>
        <v/>
      </c>
      <c r="FE67" s="39">
        <f>IF(N('Dvd Calendar'!$AE$616)=0,"",IF(('Dvd Calendar'!$AE$616&gt;=GRID_FROM)*('Dvd Calendar'!$AE$616&lt;=GRID_TO)*((('Dvd Calendar'!$AE$616&lt;=VAL_DATE)+(COUNTIF('Dvd Calendar'!$E$623:$AR$623,'Dvd Calendar'!$AE$616)=0))&gt;0)=0,"",'Dvd Calendar'!$AE$616*1000000000+ISNUMBER('Dvd Calendar'!$AE$619)*100000000+('Dvd Calendar'!$AE$621=SPECIAL_LBL)*10000000+(N('Dvd Calendar'!$AE$615)&gt;0)*(N('Dvd Calendar'!$AE$615)&lt;=VAL_SERIAL)*1000000+56*1000+27))</f>
        <v/>
      </c>
      <c r="FF67" s="39">
        <f>IF(N('Dvd Calendar'!$AF$616)=0,"",IF(('Dvd Calendar'!$AF$616&gt;=GRID_FROM)*('Dvd Calendar'!$AF$616&lt;=GRID_TO)*((('Dvd Calendar'!$AF$616&lt;=VAL_DATE)+(COUNTIF('Dvd Calendar'!$E$623:$AR$623,'Dvd Calendar'!$AF$616)=0))&gt;0)=0,"",'Dvd Calendar'!$AF$616*1000000000+ISNUMBER('Dvd Calendar'!$AF$619)*100000000+('Dvd Calendar'!$AF$621=SPECIAL_LBL)*10000000+(N('Dvd Calendar'!$AF$615)&gt;0)*(N('Dvd Calendar'!$AF$615)&lt;=VAL_SERIAL)*1000000+56*1000+28))</f>
        <v/>
      </c>
      <c r="FG67" s="39">
        <f>IF(N('Dvd Calendar'!$AG$616)=0,"",IF(('Dvd Calendar'!$AG$616&gt;=GRID_FROM)*('Dvd Calendar'!$AG$616&lt;=GRID_TO)*((('Dvd Calendar'!$AG$616&lt;=VAL_DATE)+(COUNTIF('Dvd Calendar'!$E$623:$AR$623,'Dvd Calendar'!$AG$616)=0))&gt;0)=0,"",'Dvd Calendar'!$AG$616*1000000000+ISNUMBER('Dvd Calendar'!$AG$619)*100000000+('Dvd Calendar'!$AG$621=SPECIAL_LBL)*10000000+(N('Dvd Calendar'!$AG$615)&gt;0)*(N('Dvd Calendar'!$AG$615)&lt;=VAL_SERIAL)*1000000+56*1000+29))</f>
        <v/>
      </c>
      <c r="FH67" s="39">
        <f>IF(N('Dvd Calendar'!$AH$616)=0,"",IF(('Dvd Calendar'!$AH$616&gt;=GRID_FROM)*('Dvd Calendar'!$AH$616&lt;=GRID_TO)*((('Dvd Calendar'!$AH$616&lt;=VAL_DATE)+(COUNTIF('Dvd Calendar'!$E$623:$AR$623,'Dvd Calendar'!$AH$616)=0))&gt;0)=0,"",'Dvd Calendar'!$AH$616*1000000000+ISNUMBER('Dvd Calendar'!$AH$619)*100000000+('Dvd Calendar'!$AH$621=SPECIAL_LBL)*10000000+(N('Dvd Calendar'!$AH$615)&gt;0)*(N('Dvd Calendar'!$AH$615)&lt;=VAL_SERIAL)*1000000+56*1000+30))</f>
        <v/>
      </c>
      <c r="FI67" s="39">
        <f>IF(N('Dvd Calendar'!$AI$616)=0,"",IF(('Dvd Calendar'!$AI$616&gt;=GRID_FROM)*('Dvd Calendar'!$AI$616&lt;=GRID_TO)*((('Dvd Calendar'!$AI$616&lt;=VAL_DATE)+(COUNTIF('Dvd Calendar'!$E$623:$AR$623,'Dvd Calendar'!$AI$616)=0))&gt;0)=0,"",'Dvd Calendar'!$AI$616*1000000000+ISNUMBER('Dvd Calendar'!$AI$619)*100000000+('Dvd Calendar'!$AI$621=SPECIAL_LBL)*10000000+(N('Dvd Calendar'!$AI$615)&gt;0)*(N('Dvd Calendar'!$AI$615)&lt;=VAL_SERIAL)*1000000+56*1000+31))</f>
        <v/>
      </c>
      <c r="FJ67" s="39">
        <f>IF(N('Dvd Calendar'!$AJ$616)=0,"",IF(('Dvd Calendar'!$AJ$616&gt;=GRID_FROM)*('Dvd Calendar'!$AJ$616&lt;=GRID_TO)*((('Dvd Calendar'!$AJ$616&lt;=VAL_DATE)+(COUNTIF('Dvd Calendar'!$E$623:$AR$623,'Dvd Calendar'!$AJ$616)=0))&gt;0)=0,"",'Dvd Calendar'!$AJ$616*1000000000+ISNUMBER('Dvd Calendar'!$AJ$619)*100000000+('Dvd Calendar'!$AJ$621=SPECIAL_LBL)*10000000+(N('Dvd Calendar'!$AJ$615)&gt;0)*(N('Dvd Calendar'!$AJ$615)&lt;=VAL_SERIAL)*1000000+56*1000+32))</f>
        <v/>
      </c>
      <c r="FK67" s="39">
        <f>IF(N('Dvd Calendar'!$AK$616)=0,"",IF(('Dvd Calendar'!$AK$616&gt;=GRID_FROM)*('Dvd Calendar'!$AK$616&lt;=GRID_TO)*((('Dvd Calendar'!$AK$616&lt;=VAL_DATE)+(COUNTIF('Dvd Calendar'!$E$623:$AR$623,'Dvd Calendar'!$AK$616)=0))&gt;0)=0,"",'Dvd Calendar'!$AK$616*1000000000+ISNUMBER('Dvd Calendar'!$AK$619)*100000000+('Dvd Calendar'!$AK$621=SPECIAL_LBL)*10000000+(N('Dvd Calendar'!$AK$615)&gt;0)*(N('Dvd Calendar'!$AK$615)&lt;=VAL_SERIAL)*1000000+56*1000+33))</f>
        <v/>
      </c>
      <c r="FL67" s="39">
        <f>IF(N('Dvd Calendar'!$AL$616)=0,"",IF(('Dvd Calendar'!$AL$616&gt;=GRID_FROM)*('Dvd Calendar'!$AL$616&lt;=GRID_TO)*((('Dvd Calendar'!$AL$616&lt;=VAL_DATE)+(COUNTIF('Dvd Calendar'!$E$623:$AR$623,'Dvd Calendar'!$AL$616)=0))&gt;0)=0,"",'Dvd Calendar'!$AL$616*1000000000+ISNUMBER('Dvd Calendar'!$AL$619)*100000000+('Dvd Calendar'!$AL$621=SPECIAL_LBL)*10000000+(N('Dvd Calendar'!$AL$615)&gt;0)*(N('Dvd Calendar'!$AL$615)&lt;=VAL_SERIAL)*1000000+56*1000+34))</f>
        <v/>
      </c>
      <c r="FM67" s="39">
        <f>IF(N('Dvd Calendar'!$AM$616)=0,"",IF(('Dvd Calendar'!$AM$616&gt;=GRID_FROM)*('Dvd Calendar'!$AM$616&lt;=GRID_TO)*((('Dvd Calendar'!$AM$616&lt;=VAL_DATE)+(COUNTIF('Dvd Calendar'!$E$623:$AR$623,'Dvd Calendar'!$AM$616)=0))&gt;0)=0,"",'Dvd Calendar'!$AM$616*1000000000+ISNUMBER('Dvd Calendar'!$AM$619)*100000000+('Dvd Calendar'!$AM$621=SPECIAL_LBL)*10000000+(N('Dvd Calendar'!$AM$615)&gt;0)*(N('Dvd Calendar'!$AM$615)&lt;=VAL_SERIAL)*1000000+56*1000+35))</f>
        <v/>
      </c>
      <c r="FN67" s="39">
        <f>IF(N('Dvd Calendar'!$AN$616)=0,"",IF(('Dvd Calendar'!$AN$616&gt;=GRID_FROM)*('Dvd Calendar'!$AN$616&lt;=GRID_TO)*((('Dvd Calendar'!$AN$616&lt;=VAL_DATE)+(COUNTIF('Dvd Calendar'!$E$623:$AR$623,'Dvd Calendar'!$AN$616)=0))&gt;0)=0,"",'Dvd Calendar'!$AN$616*1000000000+ISNUMBER('Dvd Calendar'!$AN$619)*100000000+('Dvd Calendar'!$AN$621=SPECIAL_LBL)*10000000+(N('Dvd Calendar'!$AN$615)&gt;0)*(N('Dvd Calendar'!$AN$615)&lt;=VAL_SERIAL)*1000000+56*1000+36))</f>
        <v/>
      </c>
      <c r="FO67" s="39">
        <f>IF(N('Dvd Calendar'!$AO$616)=0,"",IF(('Dvd Calendar'!$AO$616&gt;=GRID_FROM)*('Dvd Calendar'!$AO$616&lt;=GRID_TO)*((('Dvd Calendar'!$AO$616&lt;=VAL_DATE)+(COUNTIF('Dvd Calendar'!$E$623:$AR$623,'Dvd Calendar'!$AO$616)=0))&gt;0)=0,"",'Dvd Calendar'!$AO$616*1000000000+ISNUMBER('Dvd Calendar'!$AO$619)*100000000+('Dvd Calendar'!$AO$621=SPECIAL_LBL)*10000000+(N('Dvd Calendar'!$AO$615)&gt;0)*(N('Dvd Calendar'!$AO$615)&lt;=VAL_SERIAL)*1000000+56*1000+37))</f>
        <v/>
      </c>
      <c r="FP67" s="39">
        <f>IF(N('Dvd Calendar'!$AP$616)=0,"",IF(('Dvd Calendar'!$AP$616&gt;=GRID_FROM)*('Dvd Calendar'!$AP$616&lt;=GRID_TO)*((('Dvd Calendar'!$AP$616&lt;=VAL_DATE)+(COUNTIF('Dvd Calendar'!$E$623:$AR$623,'Dvd Calendar'!$AP$616)=0))&gt;0)=0,"",'Dvd Calendar'!$AP$616*1000000000+ISNUMBER('Dvd Calendar'!$AP$619)*100000000+('Dvd Calendar'!$AP$621=SPECIAL_LBL)*10000000+(N('Dvd Calendar'!$AP$615)&gt;0)*(N('Dvd Calendar'!$AP$615)&lt;=VAL_SERIAL)*1000000+56*1000+38))</f>
        <v/>
      </c>
      <c r="FQ67" s="39">
        <f>IF(N('Dvd Calendar'!$AQ$616)=0,"",IF(('Dvd Calendar'!$AQ$616&gt;=GRID_FROM)*('Dvd Calendar'!$AQ$616&lt;=GRID_TO)*((('Dvd Calendar'!$AQ$616&lt;=VAL_DATE)+(COUNTIF('Dvd Calendar'!$E$623:$AR$623,'Dvd Calendar'!$AQ$616)=0))&gt;0)=0,"",'Dvd Calendar'!$AQ$616*1000000000+ISNUMBER('Dvd Calendar'!$AQ$619)*100000000+('Dvd Calendar'!$AQ$621=SPECIAL_LBL)*10000000+(N('Dvd Calendar'!$AQ$615)&gt;0)*(N('Dvd Calendar'!$AQ$615)&lt;=VAL_SERIAL)*1000000+56*1000+39))</f>
        <v/>
      </c>
      <c r="FR67" s="39">
        <f>IF(N('Dvd Calendar'!$AR$616)=0,"",IF(('Dvd Calendar'!$AR$616&gt;=GRID_FROM)*('Dvd Calendar'!$AR$616&lt;=GRID_TO)*((('Dvd Calendar'!$AR$616&lt;=VAL_DATE)+(COUNTIF('Dvd Calendar'!$E$623:$AR$623,'Dvd Calendar'!$AR$616)=0))&gt;0)=0,"",'Dvd Calendar'!$AR$616*1000000000+ISNUMBER('Dvd Calendar'!$AR$619)*100000000+('Dvd Calendar'!$AR$621=SPECIAL_LBL)*10000000+(N('Dvd Calendar'!$AR$615)&gt;0)*(N('Dvd Calendar'!$AR$615)&lt;=VAL_SERIAL)*1000000+56*1000+40))</f>
        <v/>
      </c>
      <c r="FS67" s="39">
        <f>IF(N('Dvd Calendar'!$E$623)=0,"",IF(('Dvd Calendar'!$E$623&gt;=GRID_FROM)*('Dvd Calendar'!$E$623&lt;=GRID_TO)*('Dvd Calendar'!$E$623&gt;VAL_DATE)=0,"",'Dvd Calendar'!$E$623*1000000000+ISNUMBER('Dvd Calendar'!$E$624)*100000000+0*10000000+(N('Dvd Calendar'!$E$622)&gt;0)*(N('Dvd Calendar'!$E$622)&lt;=VAL_SERIAL)*1000000+56*1000+41))</f>
        <v/>
      </c>
      <c r="FT67" s="39">
        <f>IF(N('Dvd Calendar'!$F$623)=0,"",IF(('Dvd Calendar'!$F$623&gt;=GRID_FROM)*('Dvd Calendar'!$F$623&lt;=GRID_TO)*('Dvd Calendar'!$F$623&gt;VAL_DATE)=0,"",'Dvd Calendar'!$F$623*1000000000+ISNUMBER('Dvd Calendar'!$F$624)*100000000+0*10000000+(N('Dvd Calendar'!$F$622)&gt;0)*(N('Dvd Calendar'!$F$622)&lt;=VAL_SERIAL)*1000000+56*1000+42))</f>
        <v/>
      </c>
      <c r="FU67" s="39">
        <f>IF(N('Dvd Calendar'!$G$623)=0,"",IF(('Dvd Calendar'!$G$623&gt;=GRID_FROM)*('Dvd Calendar'!$G$623&lt;=GRID_TO)*('Dvd Calendar'!$G$623&gt;VAL_DATE)=0,"",'Dvd Calendar'!$G$623*1000000000+ISNUMBER('Dvd Calendar'!$G$624)*100000000+0*10000000+(N('Dvd Calendar'!$G$622)&gt;0)*(N('Dvd Calendar'!$G$622)&lt;=VAL_SERIAL)*1000000+56*1000+43))</f>
        <v/>
      </c>
      <c r="FV67" s="39">
        <f>IF(N('Dvd Calendar'!$H$623)=0,"",IF(('Dvd Calendar'!$H$623&gt;=GRID_FROM)*('Dvd Calendar'!$H$623&lt;=GRID_TO)*('Dvd Calendar'!$H$623&gt;VAL_DATE)=0,"",'Dvd Calendar'!$H$623*1000000000+ISNUMBER('Dvd Calendar'!$H$624)*100000000+0*10000000+(N('Dvd Calendar'!$H$622)&gt;0)*(N('Dvd Calendar'!$H$622)&lt;=VAL_SERIAL)*1000000+56*1000+44))</f>
        <v/>
      </c>
      <c r="FW67" s="39">
        <f>IF(N('Dvd Calendar'!$I$623)=0,"",IF(('Dvd Calendar'!$I$623&gt;=GRID_FROM)*('Dvd Calendar'!$I$623&lt;=GRID_TO)*('Dvd Calendar'!$I$623&gt;VAL_DATE)=0,"",'Dvd Calendar'!$I$623*1000000000+ISNUMBER('Dvd Calendar'!$I$624)*100000000+0*10000000+(N('Dvd Calendar'!$I$622)&gt;0)*(N('Dvd Calendar'!$I$622)&lt;=VAL_SERIAL)*1000000+56*1000+45))</f>
        <v/>
      </c>
      <c r="FX67" s="39">
        <f>IF(N('Dvd Calendar'!$J$623)=0,"",IF(('Dvd Calendar'!$J$623&gt;=GRID_FROM)*('Dvd Calendar'!$J$623&lt;=GRID_TO)*('Dvd Calendar'!$J$623&gt;VAL_DATE)=0,"",'Dvd Calendar'!$J$623*1000000000+ISNUMBER('Dvd Calendar'!$J$624)*100000000+0*10000000+(N('Dvd Calendar'!$J$622)&gt;0)*(N('Dvd Calendar'!$J$622)&lt;=VAL_SERIAL)*1000000+56*1000+46))</f>
        <v/>
      </c>
      <c r="FY67" s="39">
        <f>IF(N('Dvd Calendar'!$K$623)=0,"",IF(('Dvd Calendar'!$K$623&gt;=GRID_FROM)*('Dvd Calendar'!$K$623&lt;=GRID_TO)*('Dvd Calendar'!$K$623&gt;VAL_DATE)=0,"",'Dvd Calendar'!$K$623*1000000000+ISNUMBER('Dvd Calendar'!$K$624)*100000000+0*10000000+(N('Dvd Calendar'!$K$622)&gt;0)*(N('Dvd Calendar'!$K$622)&lt;=VAL_SERIAL)*1000000+56*1000+47))</f>
        <v/>
      </c>
      <c r="FZ67" s="39">
        <f>IF(N('Dvd Calendar'!$L$623)=0,"",IF(('Dvd Calendar'!$L$623&gt;=GRID_FROM)*('Dvd Calendar'!$L$623&lt;=GRID_TO)*('Dvd Calendar'!$L$623&gt;VAL_DATE)=0,"",'Dvd Calendar'!$L$623*1000000000+ISNUMBER('Dvd Calendar'!$L$624)*100000000+0*10000000+(N('Dvd Calendar'!$L$622)&gt;0)*(N('Dvd Calendar'!$L$622)&lt;=VAL_SERIAL)*1000000+56*1000+48))</f>
        <v/>
      </c>
      <c r="GA67" s="39">
        <f>IF(N('Dvd Calendar'!$M$623)=0,"",IF(('Dvd Calendar'!$M$623&gt;=GRID_FROM)*('Dvd Calendar'!$M$623&lt;=GRID_TO)*('Dvd Calendar'!$M$623&gt;VAL_DATE)=0,"",'Dvd Calendar'!$M$623*1000000000+ISNUMBER('Dvd Calendar'!$M$624)*100000000+0*10000000+(N('Dvd Calendar'!$M$622)&gt;0)*(N('Dvd Calendar'!$M$622)&lt;=VAL_SERIAL)*1000000+56*1000+49))</f>
        <v/>
      </c>
      <c r="GB67" s="39">
        <f>IF(N('Dvd Calendar'!$N$623)=0,"",IF(('Dvd Calendar'!$N$623&gt;=GRID_FROM)*('Dvd Calendar'!$N$623&lt;=GRID_TO)*('Dvd Calendar'!$N$623&gt;VAL_DATE)=0,"",'Dvd Calendar'!$N$623*1000000000+ISNUMBER('Dvd Calendar'!$N$624)*100000000+0*10000000+(N('Dvd Calendar'!$N$622)&gt;0)*(N('Dvd Calendar'!$N$622)&lt;=VAL_SERIAL)*1000000+56*1000+50))</f>
        <v/>
      </c>
      <c r="GC67" s="39">
        <f>IF(N('Dvd Calendar'!$O$623)=0,"",IF(('Dvd Calendar'!$O$623&gt;=GRID_FROM)*('Dvd Calendar'!$O$623&lt;=GRID_TO)*('Dvd Calendar'!$O$623&gt;VAL_DATE)=0,"",'Dvd Calendar'!$O$623*1000000000+ISNUMBER('Dvd Calendar'!$O$624)*100000000+0*10000000+(N('Dvd Calendar'!$O$622)&gt;0)*(N('Dvd Calendar'!$O$622)&lt;=VAL_SERIAL)*1000000+56*1000+51))</f>
        <v/>
      </c>
      <c r="GD67" s="39">
        <f>IF(N('Dvd Calendar'!$P$623)=0,"",IF(('Dvd Calendar'!$P$623&gt;=GRID_FROM)*('Dvd Calendar'!$P$623&lt;=GRID_TO)*('Dvd Calendar'!$P$623&gt;VAL_DATE)=0,"",'Dvd Calendar'!$P$623*1000000000+ISNUMBER('Dvd Calendar'!$P$624)*100000000+0*10000000+(N('Dvd Calendar'!$P$622)&gt;0)*(N('Dvd Calendar'!$P$622)&lt;=VAL_SERIAL)*1000000+56*1000+52))</f>
        <v/>
      </c>
      <c r="GE67" s="39">
        <f>IF(N('Dvd Calendar'!$Q$623)=0,"",IF(('Dvd Calendar'!$Q$623&gt;=GRID_FROM)*('Dvd Calendar'!$Q$623&lt;=GRID_TO)*('Dvd Calendar'!$Q$623&gt;VAL_DATE)=0,"",'Dvd Calendar'!$Q$623*1000000000+ISNUMBER('Dvd Calendar'!$Q$624)*100000000+0*10000000+(N('Dvd Calendar'!$Q$622)&gt;0)*(N('Dvd Calendar'!$Q$622)&lt;=VAL_SERIAL)*1000000+56*1000+53))</f>
        <v/>
      </c>
      <c r="GF67" s="39">
        <f>IF(N('Dvd Calendar'!$R$623)=0,"",IF(('Dvd Calendar'!$R$623&gt;=GRID_FROM)*('Dvd Calendar'!$R$623&lt;=GRID_TO)*('Dvd Calendar'!$R$623&gt;VAL_DATE)=0,"",'Dvd Calendar'!$R$623*1000000000+ISNUMBER('Dvd Calendar'!$R$624)*100000000+0*10000000+(N('Dvd Calendar'!$R$622)&gt;0)*(N('Dvd Calendar'!$R$622)&lt;=VAL_SERIAL)*1000000+56*1000+54))</f>
        <v/>
      </c>
      <c r="GG67" s="39">
        <f>IF(N('Dvd Calendar'!$S$623)=0,"",IF(('Dvd Calendar'!$S$623&gt;=GRID_FROM)*('Dvd Calendar'!$S$623&lt;=GRID_TO)*('Dvd Calendar'!$S$623&gt;VAL_DATE)=0,"",'Dvd Calendar'!$S$623*1000000000+ISNUMBER('Dvd Calendar'!$S$624)*100000000+0*10000000+(N('Dvd Calendar'!$S$622)&gt;0)*(N('Dvd Calendar'!$S$622)&lt;=VAL_SERIAL)*1000000+56*1000+55))</f>
        <v/>
      </c>
      <c r="GH67" s="39">
        <f>IF(N('Dvd Calendar'!$T$623)=0,"",IF(('Dvd Calendar'!$T$623&gt;=GRID_FROM)*('Dvd Calendar'!$T$623&lt;=GRID_TO)*('Dvd Calendar'!$T$623&gt;VAL_DATE)=0,"",'Dvd Calendar'!$T$623*1000000000+ISNUMBER('Dvd Calendar'!$T$624)*100000000+0*10000000+(N('Dvd Calendar'!$T$622)&gt;0)*(N('Dvd Calendar'!$T$622)&lt;=VAL_SERIAL)*1000000+56*1000+56))</f>
        <v/>
      </c>
      <c r="GI67" s="39">
        <f>IF(N('Dvd Calendar'!$U$623)=0,"",IF(('Dvd Calendar'!$U$623&gt;=GRID_FROM)*('Dvd Calendar'!$U$623&lt;=GRID_TO)*('Dvd Calendar'!$U$623&gt;VAL_DATE)=0,"",'Dvd Calendar'!$U$623*1000000000+ISNUMBER('Dvd Calendar'!$U$624)*100000000+0*10000000+(N('Dvd Calendar'!$U$622)&gt;0)*(N('Dvd Calendar'!$U$622)&lt;=VAL_SERIAL)*1000000+56*1000+57))</f>
        <v/>
      </c>
      <c r="GJ67" s="39">
        <f>IF(N('Dvd Calendar'!$V$623)=0,"",IF(('Dvd Calendar'!$V$623&gt;=GRID_FROM)*('Dvd Calendar'!$V$623&lt;=GRID_TO)*('Dvd Calendar'!$V$623&gt;VAL_DATE)=0,"",'Dvd Calendar'!$V$623*1000000000+ISNUMBER('Dvd Calendar'!$V$624)*100000000+0*10000000+(N('Dvd Calendar'!$V$622)&gt;0)*(N('Dvd Calendar'!$V$622)&lt;=VAL_SERIAL)*1000000+56*1000+58))</f>
        <v/>
      </c>
      <c r="GK67" s="39">
        <f>IF(N('Dvd Calendar'!$W$623)=0,"",IF(('Dvd Calendar'!$W$623&gt;=GRID_FROM)*('Dvd Calendar'!$W$623&lt;=GRID_TO)*('Dvd Calendar'!$W$623&gt;VAL_DATE)=0,"",'Dvd Calendar'!$W$623*1000000000+ISNUMBER('Dvd Calendar'!$W$624)*100000000+0*10000000+(N('Dvd Calendar'!$W$622)&gt;0)*(N('Dvd Calendar'!$W$622)&lt;=VAL_SERIAL)*1000000+56*1000+59))</f>
        <v/>
      </c>
      <c r="GL67" s="39">
        <f>IF(N('Dvd Calendar'!$X$623)=0,"",IF(('Dvd Calendar'!$X$623&gt;=GRID_FROM)*('Dvd Calendar'!$X$623&lt;=GRID_TO)*('Dvd Calendar'!$X$623&gt;VAL_DATE)=0,"",'Dvd Calendar'!$X$623*1000000000+ISNUMBER('Dvd Calendar'!$X$624)*100000000+0*10000000+(N('Dvd Calendar'!$X$622)&gt;0)*(N('Dvd Calendar'!$X$622)&lt;=VAL_SERIAL)*1000000+56*1000+60))</f>
        <v/>
      </c>
      <c r="GM67" s="39">
        <f>IF(N('Dvd Calendar'!$Y$623)=0,"",IF(('Dvd Calendar'!$Y$623&gt;=GRID_FROM)*('Dvd Calendar'!$Y$623&lt;=GRID_TO)*('Dvd Calendar'!$Y$623&gt;VAL_DATE)=0,"",'Dvd Calendar'!$Y$623*1000000000+ISNUMBER('Dvd Calendar'!$Y$624)*100000000+0*10000000+(N('Dvd Calendar'!$Y$622)&gt;0)*(N('Dvd Calendar'!$Y$622)&lt;=VAL_SERIAL)*1000000+56*1000+61))</f>
        <v/>
      </c>
      <c r="GN67" s="39">
        <f>IF(N('Dvd Calendar'!$Z$623)=0,"",IF(('Dvd Calendar'!$Z$623&gt;=GRID_FROM)*('Dvd Calendar'!$Z$623&lt;=GRID_TO)*('Dvd Calendar'!$Z$623&gt;VAL_DATE)=0,"",'Dvd Calendar'!$Z$623*1000000000+ISNUMBER('Dvd Calendar'!$Z$624)*100000000+0*10000000+(N('Dvd Calendar'!$Z$622)&gt;0)*(N('Dvd Calendar'!$Z$622)&lt;=VAL_SERIAL)*1000000+56*1000+62))</f>
        <v/>
      </c>
      <c r="GO67" s="39">
        <f>IF(N('Dvd Calendar'!$AA$623)=0,"",IF(('Dvd Calendar'!$AA$623&gt;=GRID_FROM)*('Dvd Calendar'!$AA$623&lt;=GRID_TO)*('Dvd Calendar'!$AA$623&gt;VAL_DATE)=0,"",'Dvd Calendar'!$AA$623*1000000000+ISNUMBER('Dvd Calendar'!$AA$624)*100000000+0*10000000+(N('Dvd Calendar'!$AA$622)&gt;0)*(N('Dvd Calendar'!$AA$622)&lt;=VAL_SERIAL)*1000000+56*1000+63))</f>
        <v/>
      </c>
      <c r="GP67" s="39">
        <f>IF(N('Dvd Calendar'!$AB$623)=0,"",IF(('Dvd Calendar'!$AB$623&gt;=GRID_FROM)*('Dvd Calendar'!$AB$623&lt;=GRID_TO)*('Dvd Calendar'!$AB$623&gt;VAL_DATE)=0,"",'Dvd Calendar'!$AB$623*1000000000+ISNUMBER('Dvd Calendar'!$AB$624)*100000000+0*10000000+(N('Dvd Calendar'!$AB$622)&gt;0)*(N('Dvd Calendar'!$AB$622)&lt;=VAL_SERIAL)*1000000+56*1000+64))</f>
        <v/>
      </c>
      <c r="GQ67" s="39">
        <f>IF(N('Dvd Calendar'!$AC$623)=0,"",IF(('Dvd Calendar'!$AC$623&gt;=GRID_FROM)*('Dvd Calendar'!$AC$623&lt;=GRID_TO)*('Dvd Calendar'!$AC$623&gt;VAL_DATE)=0,"",'Dvd Calendar'!$AC$623*1000000000+ISNUMBER('Dvd Calendar'!$AC$624)*100000000+0*10000000+(N('Dvd Calendar'!$AC$622)&gt;0)*(N('Dvd Calendar'!$AC$622)&lt;=VAL_SERIAL)*1000000+56*1000+65))</f>
        <v/>
      </c>
    </row>
    <row r="68">
      <c r="B68" s="2">
        <f>IF(HSI!$C$63="","",HSI!$C$63)</f>
        <v/>
      </c>
      <c r="C68" s="110">
        <f>IF(EE68="","",IF(ISNUMBER('Dvd Calendar'!$E$630)=FALSE,"",IF((('Dvd Calendar'!$E$632=TYPE1)*(TYPE1&lt;&gt;"")+('Dvd Calendar'!$E$632=TYPE2)*(TYPE2&lt;&gt;"")+('Dvd Calendar'!$E$632=TYPE3)*(TYPE3&lt;&gt;"")+('Dvd Calendar'!$E$632=TYPE4)*(TYPE4&lt;&gt;"")+('Dvd Calendar'!$E$632=SPECIAL_LBL)*(INC_SPECIALS="Y"))=0,"",'Dvd Calendar'!$E$630)))</f>
        <v/>
      </c>
      <c r="D68" s="110">
        <f>IF(EF68="","",IF(ISNUMBER('Dvd Calendar'!$F$630)=FALSE,"",IF((('Dvd Calendar'!$F$632=TYPE1)*(TYPE1&lt;&gt;"")+('Dvd Calendar'!$F$632=TYPE2)*(TYPE2&lt;&gt;"")+('Dvd Calendar'!$F$632=TYPE3)*(TYPE3&lt;&gt;"")+('Dvd Calendar'!$F$632=TYPE4)*(TYPE4&lt;&gt;"")+('Dvd Calendar'!$F$632=SPECIAL_LBL)*(INC_SPECIALS="Y"))=0,"",'Dvd Calendar'!$F$630)))</f>
        <v/>
      </c>
      <c r="E68" s="110">
        <f>IF(EG68="","",IF(ISNUMBER('Dvd Calendar'!$G$630)=FALSE,"",IF((('Dvd Calendar'!$G$632=TYPE1)*(TYPE1&lt;&gt;"")+('Dvd Calendar'!$G$632=TYPE2)*(TYPE2&lt;&gt;"")+('Dvd Calendar'!$G$632=TYPE3)*(TYPE3&lt;&gt;"")+('Dvd Calendar'!$G$632=TYPE4)*(TYPE4&lt;&gt;"")+('Dvd Calendar'!$G$632=SPECIAL_LBL)*(INC_SPECIALS="Y"))=0,"",'Dvd Calendar'!$G$630)))</f>
        <v/>
      </c>
      <c r="F68" s="110">
        <f>IF(EH68="","",IF(ISNUMBER('Dvd Calendar'!$H$630)=FALSE,"",IF((('Dvd Calendar'!$H$632=TYPE1)*(TYPE1&lt;&gt;"")+('Dvd Calendar'!$H$632=TYPE2)*(TYPE2&lt;&gt;"")+('Dvd Calendar'!$H$632=TYPE3)*(TYPE3&lt;&gt;"")+('Dvd Calendar'!$H$632=TYPE4)*(TYPE4&lt;&gt;"")+('Dvd Calendar'!$H$632=SPECIAL_LBL)*(INC_SPECIALS="Y"))=0,"",'Dvd Calendar'!$H$630)))</f>
        <v/>
      </c>
      <c r="G68" s="110">
        <f>IF(EI68="","",IF(ISNUMBER('Dvd Calendar'!$I$630)=FALSE,"",IF((('Dvd Calendar'!$I$632=TYPE1)*(TYPE1&lt;&gt;"")+('Dvd Calendar'!$I$632=TYPE2)*(TYPE2&lt;&gt;"")+('Dvd Calendar'!$I$632=TYPE3)*(TYPE3&lt;&gt;"")+('Dvd Calendar'!$I$632=TYPE4)*(TYPE4&lt;&gt;"")+('Dvd Calendar'!$I$632=SPECIAL_LBL)*(INC_SPECIALS="Y"))=0,"",'Dvd Calendar'!$I$630)))</f>
        <v/>
      </c>
      <c r="H68" s="110">
        <f>IF(EJ68="","",IF(ISNUMBER('Dvd Calendar'!$J$630)=FALSE,"",IF((('Dvd Calendar'!$J$632=TYPE1)*(TYPE1&lt;&gt;"")+('Dvd Calendar'!$J$632=TYPE2)*(TYPE2&lt;&gt;"")+('Dvd Calendar'!$J$632=TYPE3)*(TYPE3&lt;&gt;"")+('Dvd Calendar'!$J$632=TYPE4)*(TYPE4&lt;&gt;"")+('Dvd Calendar'!$J$632=SPECIAL_LBL)*(INC_SPECIALS="Y"))=0,"",'Dvd Calendar'!$J$630)))</f>
        <v/>
      </c>
      <c r="I68" s="110">
        <f>IF(EK68="","",IF(ISNUMBER('Dvd Calendar'!$K$630)=FALSE,"",IF((('Dvd Calendar'!$K$632=TYPE1)*(TYPE1&lt;&gt;"")+('Dvd Calendar'!$K$632=TYPE2)*(TYPE2&lt;&gt;"")+('Dvd Calendar'!$K$632=TYPE3)*(TYPE3&lt;&gt;"")+('Dvd Calendar'!$K$632=TYPE4)*(TYPE4&lt;&gt;"")+('Dvd Calendar'!$K$632=SPECIAL_LBL)*(INC_SPECIALS="Y"))=0,"",'Dvd Calendar'!$K$630)))</f>
        <v/>
      </c>
      <c r="J68" s="110">
        <f>IF(EL68="","",IF(ISNUMBER('Dvd Calendar'!$L$630)=FALSE,"",IF((('Dvd Calendar'!$L$632=TYPE1)*(TYPE1&lt;&gt;"")+('Dvd Calendar'!$L$632=TYPE2)*(TYPE2&lt;&gt;"")+('Dvd Calendar'!$L$632=TYPE3)*(TYPE3&lt;&gt;"")+('Dvd Calendar'!$L$632=TYPE4)*(TYPE4&lt;&gt;"")+('Dvd Calendar'!$L$632=SPECIAL_LBL)*(INC_SPECIALS="Y"))=0,"",'Dvd Calendar'!$L$630)))</f>
        <v/>
      </c>
      <c r="K68" s="110">
        <f>IF(EM68="","",IF(ISNUMBER('Dvd Calendar'!$M$630)=FALSE,"",IF((('Dvd Calendar'!$M$632=TYPE1)*(TYPE1&lt;&gt;"")+('Dvd Calendar'!$M$632=TYPE2)*(TYPE2&lt;&gt;"")+('Dvd Calendar'!$M$632=TYPE3)*(TYPE3&lt;&gt;"")+('Dvd Calendar'!$M$632=TYPE4)*(TYPE4&lt;&gt;"")+('Dvd Calendar'!$M$632=SPECIAL_LBL)*(INC_SPECIALS="Y"))=0,"",'Dvd Calendar'!$M$630)))</f>
        <v/>
      </c>
      <c r="L68" s="110">
        <f>IF(EN68="","",IF(ISNUMBER('Dvd Calendar'!$N$630)=FALSE,"",IF((('Dvd Calendar'!$N$632=TYPE1)*(TYPE1&lt;&gt;"")+('Dvd Calendar'!$N$632=TYPE2)*(TYPE2&lt;&gt;"")+('Dvd Calendar'!$N$632=TYPE3)*(TYPE3&lt;&gt;"")+('Dvd Calendar'!$N$632=TYPE4)*(TYPE4&lt;&gt;"")+('Dvd Calendar'!$N$632=SPECIAL_LBL)*(INC_SPECIALS="Y"))=0,"",'Dvd Calendar'!$N$630)))</f>
        <v/>
      </c>
      <c r="M68" s="110">
        <f>IF(EO68="","",IF(ISNUMBER('Dvd Calendar'!$O$630)=FALSE,"",IF((('Dvd Calendar'!$O$632=TYPE1)*(TYPE1&lt;&gt;"")+('Dvd Calendar'!$O$632=TYPE2)*(TYPE2&lt;&gt;"")+('Dvd Calendar'!$O$632=TYPE3)*(TYPE3&lt;&gt;"")+('Dvd Calendar'!$O$632=TYPE4)*(TYPE4&lt;&gt;"")+('Dvd Calendar'!$O$632=SPECIAL_LBL)*(INC_SPECIALS="Y"))=0,"",'Dvd Calendar'!$O$630)))</f>
        <v/>
      </c>
      <c r="N68" s="110">
        <f>IF(EP68="","",IF(ISNUMBER('Dvd Calendar'!$P$630)=FALSE,"",IF((('Dvd Calendar'!$P$632=TYPE1)*(TYPE1&lt;&gt;"")+('Dvd Calendar'!$P$632=TYPE2)*(TYPE2&lt;&gt;"")+('Dvd Calendar'!$P$632=TYPE3)*(TYPE3&lt;&gt;"")+('Dvd Calendar'!$P$632=TYPE4)*(TYPE4&lt;&gt;"")+('Dvd Calendar'!$P$632=SPECIAL_LBL)*(INC_SPECIALS="Y"))=0,"",'Dvd Calendar'!$P$630)))</f>
        <v/>
      </c>
      <c r="O68" s="110">
        <f>IF(EQ68="","",IF(ISNUMBER('Dvd Calendar'!$Q$630)=FALSE,"",IF((('Dvd Calendar'!$Q$632=TYPE1)*(TYPE1&lt;&gt;"")+('Dvd Calendar'!$Q$632=TYPE2)*(TYPE2&lt;&gt;"")+('Dvd Calendar'!$Q$632=TYPE3)*(TYPE3&lt;&gt;"")+('Dvd Calendar'!$Q$632=TYPE4)*(TYPE4&lt;&gt;"")+('Dvd Calendar'!$Q$632=SPECIAL_LBL)*(INC_SPECIALS="Y"))=0,"",'Dvd Calendar'!$Q$630)))</f>
        <v/>
      </c>
      <c r="P68" s="110">
        <f>IF(ER68="","",IF(ISNUMBER('Dvd Calendar'!$R$630)=FALSE,"",IF((('Dvd Calendar'!$R$632=TYPE1)*(TYPE1&lt;&gt;"")+('Dvd Calendar'!$R$632=TYPE2)*(TYPE2&lt;&gt;"")+('Dvd Calendar'!$R$632=TYPE3)*(TYPE3&lt;&gt;"")+('Dvd Calendar'!$R$632=TYPE4)*(TYPE4&lt;&gt;"")+('Dvd Calendar'!$R$632=SPECIAL_LBL)*(INC_SPECIALS="Y"))=0,"",'Dvd Calendar'!$R$630)))</f>
        <v/>
      </c>
      <c r="Q68" s="110">
        <f>IF(ES68="","",IF(ISNUMBER('Dvd Calendar'!$S$630)=FALSE,"",IF((('Dvd Calendar'!$S$632=TYPE1)*(TYPE1&lt;&gt;"")+('Dvd Calendar'!$S$632=TYPE2)*(TYPE2&lt;&gt;"")+('Dvd Calendar'!$S$632=TYPE3)*(TYPE3&lt;&gt;"")+('Dvd Calendar'!$S$632=TYPE4)*(TYPE4&lt;&gt;"")+('Dvd Calendar'!$S$632=SPECIAL_LBL)*(INC_SPECIALS="Y"))=0,"",'Dvd Calendar'!$S$630)))</f>
        <v/>
      </c>
      <c r="R68" s="110">
        <f>IF(ET68="","",IF(ISNUMBER('Dvd Calendar'!$T$630)=FALSE,"",IF((('Dvd Calendar'!$T$632=TYPE1)*(TYPE1&lt;&gt;"")+('Dvd Calendar'!$T$632=TYPE2)*(TYPE2&lt;&gt;"")+('Dvd Calendar'!$T$632=TYPE3)*(TYPE3&lt;&gt;"")+('Dvd Calendar'!$T$632=TYPE4)*(TYPE4&lt;&gt;"")+('Dvd Calendar'!$T$632=SPECIAL_LBL)*(INC_SPECIALS="Y"))=0,"",'Dvd Calendar'!$T$630)))</f>
        <v/>
      </c>
      <c r="S68" s="110">
        <f>IF(EU68="","",IF(ISNUMBER('Dvd Calendar'!$U$630)=FALSE,"",IF((('Dvd Calendar'!$U$632=TYPE1)*(TYPE1&lt;&gt;"")+('Dvd Calendar'!$U$632=TYPE2)*(TYPE2&lt;&gt;"")+('Dvd Calendar'!$U$632=TYPE3)*(TYPE3&lt;&gt;"")+('Dvd Calendar'!$U$632=TYPE4)*(TYPE4&lt;&gt;"")+('Dvd Calendar'!$U$632=SPECIAL_LBL)*(INC_SPECIALS="Y"))=0,"",'Dvd Calendar'!$U$630)))</f>
        <v/>
      </c>
      <c r="T68" s="110">
        <f>IF(EV68="","",IF(ISNUMBER('Dvd Calendar'!$V$630)=FALSE,"",IF((('Dvd Calendar'!$V$632=TYPE1)*(TYPE1&lt;&gt;"")+('Dvd Calendar'!$V$632=TYPE2)*(TYPE2&lt;&gt;"")+('Dvd Calendar'!$V$632=TYPE3)*(TYPE3&lt;&gt;"")+('Dvd Calendar'!$V$632=TYPE4)*(TYPE4&lt;&gt;"")+('Dvd Calendar'!$V$632=SPECIAL_LBL)*(INC_SPECIALS="Y"))=0,"",'Dvd Calendar'!$V$630)))</f>
        <v/>
      </c>
      <c r="U68" s="110">
        <f>IF(EW68="","",IF(ISNUMBER('Dvd Calendar'!$W$630)=FALSE,"",IF((('Dvd Calendar'!$W$632=TYPE1)*(TYPE1&lt;&gt;"")+('Dvd Calendar'!$W$632=TYPE2)*(TYPE2&lt;&gt;"")+('Dvd Calendar'!$W$632=TYPE3)*(TYPE3&lt;&gt;"")+('Dvd Calendar'!$W$632=TYPE4)*(TYPE4&lt;&gt;"")+('Dvd Calendar'!$W$632=SPECIAL_LBL)*(INC_SPECIALS="Y"))=0,"",'Dvd Calendar'!$W$630)))</f>
        <v/>
      </c>
      <c r="V68" s="110">
        <f>IF(EX68="","",IF(ISNUMBER('Dvd Calendar'!$X$630)=FALSE,"",IF((('Dvd Calendar'!$X$632=TYPE1)*(TYPE1&lt;&gt;"")+('Dvd Calendar'!$X$632=TYPE2)*(TYPE2&lt;&gt;"")+('Dvd Calendar'!$X$632=TYPE3)*(TYPE3&lt;&gt;"")+('Dvd Calendar'!$X$632=TYPE4)*(TYPE4&lt;&gt;"")+('Dvd Calendar'!$X$632=SPECIAL_LBL)*(INC_SPECIALS="Y"))=0,"",'Dvd Calendar'!$X$630)))</f>
        <v/>
      </c>
      <c r="W68" s="110">
        <f>IF(EY68="","",IF(ISNUMBER('Dvd Calendar'!$Y$630)=FALSE,"",IF((('Dvd Calendar'!$Y$632=TYPE1)*(TYPE1&lt;&gt;"")+('Dvd Calendar'!$Y$632=TYPE2)*(TYPE2&lt;&gt;"")+('Dvd Calendar'!$Y$632=TYPE3)*(TYPE3&lt;&gt;"")+('Dvd Calendar'!$Y$632=TYPE4)*(TYPE4&lt;&gt;"")+('Dvd Calendar'!$Y$632=SPECIAL_LBL)*(INC_SPECIALS="Y"))=0,"",'Dvd Calendar'!$Y$630)))</f>
        <v/>
      </c>
      <c r="X68" s="110">
        <f>IF(EZ68="","",IF(ISNUMBER('Dvd Calendar'!$Z$630)=FALSE,"",IF((('Dvd Calendar'!$Z$632=TYPE1)*(TYPE1&lt;&gt;"")+('Dvd Calendar'!$Z$632=TYPE2)*(TYPE2&lt;&gt;"")+('Dvd Calendar'!$Z$632=TYPE3)*(TYPE3&lt;&gt;"")+('Dvd Calendar'!$Z$632=TYPE4)*(TYPE4&lt;&gt;"")+('Dvd Calendar'!$Z$632=SPECIAL_LBL)*(INC_SPECIALS="Y"))=0,"",'Dvd Calendar'!$Z$630)))</f>
        <v/>
      </c>
      <c r="Y68" s="110">
        <f>IF(FA68="","",IF(ISNUMBER('Dvd Calendar'!$AA$630)=FALSE,"",IF((('Dvd Calendar'!$AA$632=TYPE1)*(TYPE1&lt;&gt;"")+('Dvd Calendar'!$AA$632=TYPE2)*(TYPE2&lt;&gt;"")+('Dvd Calendar'!$AA$632=TYPE3)*(TYPE3&lt;&gt;"")+('Dvd Calendar'!$AA$632=TYPE4)*(TYPE4&lt;&gt;"")+('Dvd Calendar'!$AA$632=SPECIAL_LBL)*(INC_SPECIALS="Y"))=0,"",'Dvd Calendar'!$AA$630)))</f>
        <v/>
      </c>
      <c r="Z68" s="110">
        <f>IF(FB68="","",IF(ISNUMBER('Dvd Calendar'!$AB$630)=FALSE,"",IF((('Dvd Calendar'!$AB$632=TYPE1)*(TYPE1&lt;&gt;"")+('Dvd Calendar'!$AB$632=TYPE2)*(TYPE2&lt;&gt;"")+('Dvd Calendar'!$AB$632=TYPE3)*(TYPE3&lt;&gt;"")+('Dvd Calendar'!$AB$632=TYPE4)*(TYPE4&lt;&gt;"")+('Dvd Calendar'!$AB$632=SPECIAL_LBL)*(INC_SPECIALS="Y"))=0,"",'Dvd Calendar'!$AB$630)))</f>
        <v/>
      </c>
      <c r="AA68" s="110">
        <f>IF(FC68="","",IF(ISNUMBER('Dvd Calendar'!$AC$630)=FALSE,"",IF((('Dvd Calendar'!$AC$632=TYPE1)*(TYPE1&lt;&gt;"")+('Dvd Calendar'!$AC$632=TYPE2)*(TYPE2&lt;&gt;"")+('Dvd Calendar'!$AC$632=TYPE3)*(TYPE3&lt;&gt;"")+('Dvd Calendar'!$AC$632=TYPE4)*(TYPE4&lt;&gt;"")+('Dvd Calendar'!$AC$632=SPECIAL_LBL)*(INC_SPECIALS="Y"))=0,"",'Dvd Calendar'!$AC$630)))</f>
        <v/>
      </c>
      <c r="AB68" s="110">
        <f>IF(FD68="","",IF(ISNUMBER('Dvd Calendar'!$AD$630)=FALSE,"",IF((('Dvd Calendar'!$AD$632=TYPE1)*(TYPE1&lt;&gt;"")+('Dvd Calendar'!$AD$632=TYPE2)*(TYPE2&lt;&gt;"")+('Dvd Calendar'!$AD$632=TYPE3)*(TYPE3&lt;&gt;"")+('Dvd Calendar'!$AD$632=TYPE4)*(TYPE4&lt;&gt;"")+('Dvd Calendar'!$AD$632=SPECIAL_LBL)*(INC_SPECIALS="Y"))=0,"",'Dvd Calendar'!$AD$630)))</f>
        <v/>
      </c>
      <c r="AC68" s="110">
        <f>IF(FE68="","",IF(ISNUMBER('Dvd Calendar'!$AE$630)=FALSE,"",IF((('Dvd Calendar'!$AE$632=TYPE1)*(TYPE1&lt;&gt;"")+('Dvd Calendar'!$AE$632=TYPE2)*(TYPE2&lt;&gt;"")+('Dvd Calendar'!$AE$632=TYPE3)*(TYPE3&lt;&gt;"")+('Dvd Calendar'!$AE$632=TYPE4)*(TYPE4&lt;&gt;"")+('Dvd Calendar'!$AE$632=SPECIAL_LBL)*(INC_SPECIALS="Y"))=0,"",'Dvd Calendar'!$AE$630)))</f>
        <v/>
      </c>
      <c r="AD68" s="110">
        <f>IF(FF68="","",IF(ISNUMBER('Dvd Calendar'!$AF$630)=FALSE,"",IF((('Dvd Calendar'!$AF$632=TYPE1)*(TYPE1&lt;&gt;"")+('Dvd Calendar'!$AF$632=TYPE2)*(TYPE2&lt;&gt;"")+('Dvd Calendar'!$AF$632=TYPE3)*(TYPE3&lt;&gt;"")+('Dvd Calendar'!$AF$632=TYPE4)*(TYPE4&lt;&gt;"")+('Dvd Calendar'!$AF$632=SPECIAL_LBL)*(INC_SPECIALS="Y"))=0,"",'Dvd Calendar'!$AF$630)))</f>
        <v/>
      </c>
      <c r="AE68" s="110">
        <f>IF(FG68="","",IF(ISNUMBER('Dvd Calendar'!$AG$630)=FALSE,"",IF((('Dvd Calendar'!$AG$632=TYPE1)*(TYPE1&lt;&gt;"")+('Dvd Calendar'!$AG$632=TYPE2)*(TYPE2&lt;&gt;"")+('Dvd Calendar'!$AG$632=TYPE3)*(TYPE3&lt;&gt;"")+('Dvd Calendar'!$AG$632=TYPE4)*(TYPE4&lt;&gt;"")+('Dvd Calendar'!$AG$632=SPECIAL_LBL)*(INC_SPECIALS="Y"))=0,"",'Dvd Calendar'!$AG$630)))</f>
        <v/>
      </c>
      <c r="AF68" s="110">
        <f>IF(FH68="","",IF(ISNUMBER('Dvd Calendar'!$AH$630)=FALSE,"",IF((('Dvd Calendar'!$AH$632=TYPE1)*(TYPE1&lt;&gt;"")+('Dvd Calendar'!$AH$632=TYPE2)*(TYPE2&lt;&gt;"")+('Dvd Calendar'!$AH$632=TYPE3)*(TYPE3&lt;&gt;"")+('Dvd Calendar'!$AH$632=TYPE4)*(TYPE4&lt;&gt;"")+('Dvd Calendar'!$AH$632=SPECIAL_LBL)*(INC_SPECIALS="Y"))=0,"",'Dvd Calendar'!$AH$630)))</f>
        <v/>
      </c>
      <c r="AG68" s="110">
        <f>IF(FI68="","",IF(ISNUMBER('Dvd Calendar'!$AI$630)=FALSE,"",IF((('Dvd Calendar'!$AI$632=TYPE1)*(TYPE1&lt;&gt;"")+('Dvd Calendar'!$AI$632=TYPE2)*(TYPE2&lt;&gt;"")+('Dvd Calendar'!$AI$632=TYPE3)*(TYPE3&lt;&gt;"")+('Dvd Calendar'!$AI$632=TYPE4)*(TYPE4&lt;&gt;"")+('Dvd Calendar'!$AI$632=SPECIAL_LBL)*(INC_SPECIALS="Y"))=0,"",'Dvd Calendar'!$AI$630)))</f>
        <v/>
      </c>
      <c r="AH68" s="110">
        <f>IF(FJ68="","",IF(ISNUMBER('Dvd Calendar'!$AJ$630)=FALSE,"",IF((('Dvd Calendar'!$AJ$632=TYPE1)*(TYPE1&lt;&gt;"")+('Dvd Calendar'!$AJ$632=TYPE2)*(TYPE2&lt;&gt;"")+('Dvd Calendar'!$AJ$632=TYPE3)*(TYPE3&lt;&gt;"")+('Dvd Calendar'!$AJ$632=TYPE4)*(TYPE4&lt;&gt;"")+('Dvd Calendar'!$AJ$632=SPECIAL_LBL)*(INC_SPECIALS="Y"))=0,"",'Dvd Calendar'!$AJ$630)))</f>
        <v/>
      </c>
      <c r="AI68" s="110">
        <f>IF(FK68="","",IF(ISNUMBER('Dvd Calendar'!$AK$630)=FALSE,"",IF((('Dvd Calendar'!$AK$632=TYPE1)*(TYPE1&lt;&gt;"")+('Dvd Calendar'!$AK$632=TYPE2)*(TYPE2&lt;&gt;"")+('Dvd Calendar'!$AK$632=TYPE3)*(TYPE3&lt;&gt;"")+('Dvd Calendar'!$AK$632=TYPE4)*(TYPE4&lt;&gt;"")+('Dvd Calendar'!$AK$632=SPECIAL_LBL)*(INC_SPECIALS="Y"))=0,"",'Dvd Calendar'!$AK$630)))</f>
        <v/>
      </c>
      <c r="AJ68" s="110">
        <f>IF(FL68="","",IF(ISNUMBER('Dvd Calendar'!$AL$630)=FALSE,"",IF((('Dvd Calendar'!$AL$632=TYPE1)*(TYPE1&lt;&gt;"")+('Dvd Calendar'!$AL$632=TYPE2)*(TYPE2&lt;&gt;"")+('Dvd Calendar'!$AL$632=TYPE3)*(TYPE3&lt;&gt;"")+('Dvd Calendar'!$AL$632=TYPE4)*(TYPE4&lt;&gt;"")+('Dvd Calendar'!$AL$632=SPECIAL_LBL)*(INC_SPECIALS="Y"))=0,"",'Dvd Calendar'!$AL$630)))</f>
        <v/>
      </c>
      <c r="AK68" s="110">
        <f>IF(FM68="","",IF(ISNUMBER('Dvd Calendar'!$AM$630)=FALSE,"",IF((('Dvd Calendar'!$AM$632=TYPE1)*(TYPE1&lt;&gt;"")+('Dvd Calendar'!$AM$632=TYPE2)*(TYPE2&lt;&gt;"")+('Dvd Calendar'!$AM$632=TYPE3)*(TYPE3&lt;&gt;"")+('Dvd Calendar'!$AM$632=TYPE4)*(TYPE4&lt;&gt;"")+('Dvd Calendar'!$AM$632=SPECIAL_LBL)*(INC_SPECIALS="Y"))=0,"",'Dvd Calendar'!$AM$630)))</f>
        <v/>
      </c>
      <c r="AL68" s="110">
        <f>IF(FN68="","",IF(ISNUMBER('Dvd Calendar'!$AN$630)=FALSE,"",IF((('Dvd Calendar'!$AN$632=TYPE1)*(TYPE1&lt;&gt;"")+('Dvd Calendar'!$AN$632=TYPE2)*(TYPE2&lt;&gt;"")+('Dvd Calendar'!$AN$632=TYPE3)*(TYPE3&lt;&gt;"")+('Dvd Calendar'!$AN$632=TYPE4)*(TYPE4&lt;&gt;"")+('Dvd Calendar'!$AN$632=SPECIAL_LBL)*(INC_SPECIALS="Y"))=0,"",'Dvd Calendar'!$AN$630)))</f>
        <v/>
      </c>
      <c r="AM68" s="110">
        <f>IF(FO68="","",IF(ISNUMBER('Dvd Calendar'!$AO$630)=FALSE,"",IF((('Dvd Calendar'!$AO$632=TYPE1)*(TYPE1&lt;&gt;"")+('Dvd Calendar'!$AO$632=TYPE2)*(TYPE2&lt;&gt;"")+('Dvd Calendar'!$AO$632=TYPE3)*(TYPE3&lt;&gt;"")+('Dvd Calendar'!$AO$632=TYPE4)*(TYPE4&lt;&gt;"")+('Dvd Calendar'!$AO$632=SPECIAL_LBL)*(INC_SPECIALS="Y"))=0,"",'Dvd Calendar'!$AO$630)))</f>
        <v/>
      </c>
      <c r="AN68" s="110">
        <f>IF(FP68="","",IF(ISNUMBER('Dvd Calendar'!$AP$630)=FALSE,"",IF((('Dvd Calendar'!$AP$632=TYPE1)*(TYPE1&lt;&gt;"")+('Dvd Calendar'!$AP$632=TYPE2)*(TYPE2&lt;&gt;"")+('Dvd Calendar'!$AP$632=TYPE3)*(TYPE3&lt;&gt;"")+('Dvd Calendar'!$AP$632=TYPE4)*(TYPE4&lt;&gt;"")+('Dvd Calendar'!$AP$632=SPECIAL_LBL)*(INC_SPECIALS="Y"))=0,"",'Dvd Calendar'!$AP$630)))</f>
        <v/>
      </c>
      <c r="AO68" s="110">
        <f>IF(FQ68="","",IF(ISNUMBER('Dvd Calendar'!$AQ$630)=FALSE,"",IF((('Dvd Calendar'!$AQ$632=TYPE1)*(TYPE1&lt;&gt;"")+('Dvd Calendar'!$AQ$632=TYPE2)*(TYPE2&lt;&gt;"")+('Dvd Calendar'!$AQ$632=TYPE3)*(TYPE3&lt;&gt;"")+('Dvd Calendar'!$AQ$632=TYPE4)*(TYPE4&lt;&gt;"")+('Dvd Calendar'!$AQ$632=SPECIAL_LBL)*(INC_SPECIALS="Y"))=0,"",'Dvd Calendar'!$AQ$630)))</f>
        <v/>
      </c>
      <c r="AP68" s="110">
        <f>IF(FR68="","",IF(ISNUMBER('Dvd Calendar'!$AR$630)=FALSE,"",IF((('Dvd Calendar'!$AR$632=TYPE1)*(TYPE1&lt;&gt;"")+('Dvd Calendar'!$AR$632=TYPE2)*(TYPE2&lt;&gt;"")+('Dvd Calendar'!$AR$632=TYPE3)*(TYPE3&lt;&gt;"")+('Dvd Calendar'!$AR$632=TYPE4)*(TYPE4&lt;&gt;"")+('Dvd Calendar'!$AR$632=SPECIAL_LBL)*(INC_SPECIALS="Y"))=0,"",'Dvd Calendar'!$AR$630)))</f>
        <v/>
      </c>
      <c r="AQ68" s="110">
        <f>IF(FS68="","",IF(ISNUMBER('Dvd Calendar'!$E$635)=FALSE,"",'Dvd Calendar'!$E$635))</f>
        <v/>
      </c>
      <c r="AR68" s="110">
        <f>IF(FT68="","",IF(ISNUMBER('Dvd Calendar'!$F$635)=FALSE,"",'Dvd Calendar'!$F$635))</f>
        <v/>
      </c>
      <c r="AS68" s="110">
        <f>IF(FU68="","",IF(ISNUMBER('Dvd Calendar'!$G$635)=FALSE,"",'Dvd Calendar'!$G$635))</f>
        <v/>
      </c>
      <c r="AT68" s="110">
        <f>IF(FV68="","",IF(ISNUMBER('Dvd Calendar'!$H$635)=FALSE,"",'Dvd Calendar'!$H$635))</f>
        <v/>
      </c>
      <c r="AU68" s="110">
        <f>IF(FW68="","",IF(ISNUMBER('Dvd Calendar'!$I$635)=FALSE,"",'Dvd Calendar'!$I$635))</f>
        <v/>
      </c>
      <c r="AV68" s="110">
        <f>IF(FX68="","",IF(ISNUMBER('Dvd Calendar'!$J$635)=FALSE,"",'Dvd Calendar'!$J$635))</f>
        <v/>
      </c>
      <c r="AW68" s="110">
        <f>IF(FY68="","",IF(ISNUMBER('Dvd Calendar'!$K$635)=FALSE,"",'Dvd Calendar'!$K$635))</f>
        <v/>
      </c>
      <c r="AX68" s="110">
        <f>IF(FZ68="","",IF(ISNUMBER('Dvd Calendar'!$L$635)=FALSE,"",'Dvd Calendar'!$L$635))</f>
        <v/>
      </c>
      <c r="AY68" s="110">
        <f>IF(GA68="","",IF(ISNUMBER('Dvd Calendar'!$M$635)=FALSE,"",'Dvd Calendar'!$M$635))</f>
        <v/>
      </c>
      <c r="AZ68" s="110">
        <f>IF(GB68="","",IF(ISNUMBER('Dvd Calendar'!$N$635)=FALSE,"",'Dvd Calendar'!$N$635))</f>
        <v/>
      </c>
      <c r="BA68" s="110">
        <f>IF(GC68="","",IF(ISNUMBER('Dvd Calendar'!$O$635)=FALSE,"",'Dvd Calendar'!$O$635))</f>
        <v/>
      </c>
      <c r="BB68" s="110">
        <f>IF(GD68="","",IF(ISNUMBER('Dvd Calendar'!$P$635)=FALSE,"",'Dvd Calendar'!$P$635))</f>
        <v/>
      </c>
      <c r="BC68" s="110">
        <f>IF(GE68="","",IF(ISNUMBER('Dvd Calendar'!$Q$635)=FALSE,"",'Dvd Calendar'!$Q$635))</f>
        <v/>
      </c>
      <c r="BD68" s="110">
        <f>IF(GF68="","",IF(ISNUMBER('Dvd Calendar'!$R$635)=FALSE,"",'Dvd Calendar'!$R$635))</f>
        <v/>
      </c>
      <c r="BE68" s="110">
        <f>IF(GG68="","",IF(ISNUMBER('Dvd Calendar'!$S$635)=FALSE,"",'Dvd Calendar'!$S$635))</f>
        <v/>
      </c>
      <c r="BF68" s="110">
        <f>IF(GH68="","",IF(ISNUMBER('Dvd Calendar'!$T$635)=FALSE,"",'Dvd Calendar'!$T$635))</f>
        <v/>
      </c>
      <c r="BG68" s="110">
        <f>IF(GI68="","",IF(ISNUMBER('Dvd Calendar'!$U$635)=FALSE,"",'Dvd Calendar'!$U$635))</f>
        <v/>
      </c>
      <c r="BH68" s="110">
        <f>IF(GJ68="","",IF(ISNUMBER('Dvd Calendar'!$V$635)=FALSE,"",'Dvd Calendar'!$V$635))</f>
        <v/>
      </c>
      <c r="BI68" s="110">
        <f>IF(GK68="","",IF(ISNUMBER('Dvd Calendar'!$W$635)=FALSE,"",'Dvd Calendar'!$W$635))</f>
        <v/>
      </c>
      <c r="BJ68" s="110">
        <f>IF(GL68="","",IF(ISNUMBER('Dvd Calendar'!$X$635)=FALSE,"",'Dvd Calendar'!$X$635))</f>
        <v/>
      </c>
      <c r="BK68" s="110">
        <f>IF(GM68="","",IF(ISNUMBER('Dvd Calendar'!$Y$635)=FALSE,"",'Dvd Calendar'!$Y$635))</f>
        <v/>
      </c>
      <c r="BL68" s="110">
        <f>IF(GN68="","",IF(ISNUMBER('Dvd Calendar'!$Z$635)=FALSE,"",'Dvd Calendar'!$Z$635))</f>
        <v/>
      </c>
      <c r="BM68" s="110">
        <f>IF(GO68="","",IF(ISNUMBER('Dvd Calendar'!$AA$635)=FALSE,"",'Dvd Calendar'!$AA$635))</f>
        <v/>
      </c>
      <c r="BN68" s="110">
        <f>IF(GP68="","",IF(ISNUMBER('Dvd Calendar'!$AB$635)=FALSE,"",'Dvd Calendar'!$AB$635))</f>
        <v/>
      </c>
      <c r="BO68" s="110">
        <f>IF(GQ68="","",IF(ISNUMBER('Dvd Calendar'!$AC$635)=FALSE,"",'Dvd Calendar'!$AC$635))</f>
        <v/>
      </c>
      <c r="BQ68" s="110">
        <f>IF(C68="","",IFERROR(C68*HSI!$B$63*HSI!$G$63/HSI!$B$3,""))</f>
        <v/>
      </c>
      <c r="BR68" s="110">
        <f>IF(D68="","",IFERROR(D68*HSI!$B$63*HSI!$G$63/HSI!$B$3,""))</f>
        <v/>
      </c>
      <c r="BS68" s="110">
        <f>IF(E68="","",IFERROR(E68*HSI!$B$63*HSI!$G$63/HSI!$B$3,""))</f>
        <v/>
      </c>
      <c r="BT68" s="110">
        <f>IF(F68="","",IFERROR(F68*HSI!$B$63*HSI!$G$63/HSI!$B$3,""))</f>
        <v/>
      </c>
      <c r="BU68" s="110">
        <f>IF(G68="","",IFERROR(G68*HSI!$B$63*HSI!$G$63/HSI!$B$3,""))</f>
        <v/>
      </c>
      <c r="BV68" s="110">
        <f>IF(H68="","",IFERROR(H68*HSI!$B$63*HSI!$G$63/HSI!$B$3,""))</f>
        <v/>
      </c>
      <c r="BW68" s="110">
        <f>IF(I68="","",IFERROR(I68*HSI!$B$63*HSI!$G$63/HSI!$B$3,""))</f>
        <v/>
      </c>
      <c r="BX68" s="110">
        <f>IF(J68="","",IFERROR(J68*HSI!$B$63*HSI!$G$63/HSI!$B$3,""))</f>
        <v/>
      </c>
      <c r="BY68" s="110">
        <f>IF(K68="","",IFERROR(K68*HSI!$B$63*HSI!$G$63/HSI!$B$3,""))</f>
        <v/>
      </c>
      <c r="BZ68" s="110">
        <f>IF(L68="","",IFERROR(L68*HSI!$B$63*HSI!$G$63/HSI!$B$3,""))</f>
        <v/>
      </c>
      <c r="CA68" s="110">
        <f>IF(M68="","",IFERROR(M68*HSI!$B$63*HSI!$G$63/HSI!$B$3,""))</f>
        <v/>
      </c>
      <c r="CB68" s="110">
        <f>IF(N68="","",IFERROR(N68*HSI!$B$63*HSI!$G$63/HSI!$B$3,""))</f>
        <v/>
      </c>
      <c r="CC68" s="110">
        <f>IF(O68="","",IFERROR(O68*HSI!$B$63*HSI!$G$63/HSI!$B$3,""))</f>
        <v/>
      </c>
      <c r="CD68" s="110">
        <f>IF(P68="","",IFERROR(P68*HSI!$B$63*HSI!$G$63/HSI!$B$3,""))</f>
        <v/>
      </c>
      <c r="CE68" s="110">
        <f>IF(Q68="","",IFERROR(Q68*HSI!$B$63*HSI!$G$63/HSI!$B$3,""))</f>
        <v/>
      </c>
      <c r="CF68" s="110">
        <f>IF(R68="","",IFERROR(R68*HSI!$B$63*HSI!$G$63/HSI!$B$3,""))</f>
        <v/>
      </c>
      <c r="CG68" s="110">
        <f>IF(S68="","",IFERROR(S68*HSI!$B$63*HSI!$G$63/HSI!$B$3,""))</f>
        <v/>
      </c>
      <c r="CH68" s="110">
        <f>IF(T68="","",IFERROR(T68*HSI!$B$63*HSI!$G$63/HSI!$B$3,""))</f>
        <v/>
      </c>
      <c r="CI68" s="110">
        <f>IF(U68="","",IFERROR(U68*HSI!$B$63*HSI!$G$63/HSI!$B$3,""))</f>
        <v/>
      </c>
      <c r="CJ68" s="110">
        <f>IF(V68="","",IFERROR(V68*HSI!$B$63*HSI!$G$63/HSI!$B$3,""))</f>
        <v/>
      </c>
      <c r="CK68" s="110">
        <f>IF(W68="","",IFERROR(W68*HSI!$B$63*HSI!$G$63/HSI!$B$3,""))</f>
        <v/>
      </c>
      <c r="CL68" s="110">
        <f>IF(X68="","",IFERROR(X68*HSI!$B$63*HSI!$G$63/HSI!$B$3,""))</f>
        <v/>
      </c>
      <c r="CM68" s="110">
        <f>IF(Y68="","",IFERROR(Y68*HSI!$B$63*HSI!$G$63/HSI!$B$3,""))</f>
        <v/>
      </c>
      <c r="CN68" s="110">
        <f>IF(Z68="","",IFERROR(Z68*HSI!$B$63*HSI!$G$63/HSI!$B$3,""))</f>
        <v/>
      </c>
      <c r="CO68" s="110">
        <f>IF(AA68="","",IFERROR(AA68*HSI!$B$63*HSI!$G$63/HSI!$B$3,""))</f>
        <v/>
      </c>
      <c r="CP68" s="110">
        <f>IF(AB68="","",IFERROR(AB68*HSI!$B$63*HSI!$G$63/HSI!$B$3,""))</f>
        <v/>
      </c>
      <c r="CQ68" s="110">
        <f>IF(AC68="","",IFERROR(AC68*HSI!$B$63*HSI!$G$63/HSI!$B$3,""))</f>
        <v/>
      </c>
      <c r="CR68" s="110">
        <f>IF(AD68="","",IFERROR(AD68*HSI!$B$63*HSI!$G$63/HSI!$B$3,""))</f>
        <v/>
      </c>
      <c r="CS68" s="110">
        <f>IF(AE68="","",IFERROR(AE68*HSI!$B$63*HSI!$G$63/HSI!$B$3,""))</f>
        <v/>
      </c>
      <c r="CT68" s="110">
        <f>IF(AF68="","",IFERROR(AF68*HSI!$B$63*HSI!$G$63/HSI!$B$3,""))</f>
        <v/>
      </c>
      <c r="CU68" s="110">
        <f>IF(AG68="","",IFERROR(AG68*HSI!$B$63*HSI!$G$63/HSI!$B$3,""))</f>
        <v/>
      </c>
      <c r="CV68" s="110">
        <f>IF(AH68="","",IFERROR(AH68*HSI!$B$63*HSI!$G$63/HSI!$B$3,""))</f>
        <v/>
      </c>
      <c r="CW68" s="110">
        <f>IF(AI68="","",IFERROR(AI68*HSI!$B$63*HSI!$G$63/HSI!$B$3,""))</f>
        <v/>
      </c>
      <c r="CX68" s="110">
        <f>IF(AJ68="","",IFERROR(AJ68*HSI!$B$63*HSI!$G$63/HSI!$B$3,""))</f>
        <v/>
      </c>
      <c r="CY68" s="110">
        <f>IF(AK68="","",IFERROR(AK68*HSI!$B$63*HSI!$G$63/HSI!$B$3,""))</f>
        <v/>
      </c>
      <c r="CZ68" s="110">
        <f>IF(AL68="","",IFERROR(AL68*HSI!$B$63*HSI!$G$63/HSI!$B$3,""))</f>
        <v/>
      </c>
      <c r="DA68" s="110">
        <f>IF(AM68="","",IFERROR(AM68*HSI!$B$63*HSI!$G$63/HSI!$B$3,""))</f>
        <v/>
      </c>
      <c r="DB68" s="110">
        <f>IF(AN68="","",IFERROR(AN68*HSI!$B$63*HSI!$G$63/HSI!$B$3,""))</f>
        <v/>
      </c>
      <c r="DC68" s="110">
        <f>IF(AO68="","",IFERROR(AO68*HSI!$B$63*HSI!$G$63/HSI!$B$3,""))</f>
        <v/>
      </c>
      <c r="DD68" s="110">
        <f>IF(AP68="","",IFERROR(AP68*HSI!$B$63*HSI!$G$63/HSI!$B$3,""))</f>
        <v/>
      </c>
      <c r="DE68" s="110">
        <f>IF(AQ68="","",IFERROR(AQ68*HSI!$B$63*HSI!$G$63/HSI!$B$3,""))</f>
        <v/>
      </c>
      <c r="DF68" s="110">
        <f>IF(AR68="","",IFERROR(AR68*HSI!$B$63*HSI!$G$63/HSI!$B$3,""))</f>
        <v/>
      </c>
      <c r="DG68" s="110">
        <f>IF(AS68="","",IFERROR(AS68*HSI!$B$63*HSI!$G$63/HSI!$B$3,""))</f>
        <v/>
      </c>
      <c r="DH68" s="110">
        <f>IF(AT68="","",IFERROR(AT68*HSI!$B$63*HSI!$G$63/HSI!$B$3,""))</f>
        <v/>
      </c>
      <c r="DI68" s="110">
        <f>IF(AU68="","",IFERROR(AU68*HSI!$B$63*HSI!$G$63/HSI!$B$3,""))</f>
        <v/>
      </c>
      <c r="DJ68" s="110">
        <f>IF(AV68="","",IFERROR(AV68*HSI!$B$63*HSI!$G$63/HSI!$B$3,""))</f>
        <v/>
      </c>
      <c r="DK68" s="110">
        <f>IF(AW68="","",IFERROR(AW68*HSI!$B$63*HSI!$G$63/HSI!$B$3,""))</f>
        <v/>
      </c>
      <c r="DL68" s="110">
        <f>IF(AX68="","",IFERROR(AX68*HSI!$B$63*HSI!$G$63/HSI!$B$3,""))</f>
        <v/>
      </c>
      <c r="DM68" s="110">
        <f>IF(AY68="","",IFERROR(AY68*HSI!$B$63*HSI!$G$63/HSI!$B$3,""))</f>
        <v/>
      </c>
      <c r="DN68" s="110">
        <f>IF(AZ68="","",IFERROR(AZ68*HSI!$B$63*HSI!$G$63/HSI!$B$3,""))</f>
        <v/>
      </c>
      <c r="DO68" s="110">
        <f>IF(BA68="","",IFERROR(BA68*HSI!$B$63*HSI!$G$63/HSI!$B$3,""))</f>
        <v/>
      </c>
      <c r="DP68" s="110">
        <f>IF(BB68="","",IFERROR(BB68*HSI!$B$63*HSI!$G$63/HSI!$B$3,""))</f>
        <v/>
      </c>
      <c r="DQ68" s="110">
        <f>IF(BC68="","",IFERROR(BC68*HSI!$B$63*HSI!$G$63/HSI!$B$3,""))</f>
        <v/>
      </c>
      <c r="DR68" s="110">
        <f>IF(BD68="","",IFERROR(BD68*HSI!$B$63*HSI!$G$63/HSI!$B$3,""))</f>
        <v/>
      </c>
      <c r="DS68" s="110">
        <f>IF(BE68="","",IFERROR(BE68*HSI!$B$63*HSI!$G$63/HSI!$B$3,""))</f>
        <v/>
      </c>
      <c r="DT68" s="110">
        <f>IF(BF68="","",IFERROR(BF68*HSI!$B$63*HSI!$G$63/HSI!$B$3,""))</f>
        <v/>
      </c>
      <c r="DU68" s="110">
        <f>IF(BG68="","",IFERROR(BG68*HSI!$B$63*HSI!$G$63/HSI!$B$3,""))</f>
        <v/>
      </c>
      <c r="DV68" s="110">
        <f>IF(BH68="","",IFERROR(BH68*HSI!$B$63*HSI!$G$63/HSI!$B$3,""))</f>
        <v/>
      </c>
      <c r="DW68" s="110">
        <f>IF(BI68="","",IFERROR(BI68*HSI!$B$63*HSI!$G$63/HSI!$B$3,""))</f>
        <v/>
      </c>
      <c r="DX68" s="110">
        <f>IF(BJ68="","",IFERROR(BJ68*HSI!$B$63*HSI!$G$63/HSI!$B$3,""))</f>
        <v/>
      </c>
      <c r="DY68" s="110">
        <f>IF(BK68="","",IFERROR(BK68*HSI!$B$63*HSI!$G$63/HSI!$B$3,""))</f>
        <v/>
      </c>
      <c r="DZ68" s="110">
        <f>IF(BL68="","",IFERROR(BL68*HSI!$B$63*HSI!$G$63/HSI!$B$3,""))</f>
        <v/>
      </c>
      <c r="EA68" s="110">
        <f>IF(BM68="","",IFERROR(BM68*HSI!$B$63*HSI!$G$63/HSI!$B$3,""))</f>
        <v/>
      </c>
      <c r="EB68" s="110">
        <f>IF(BN68="","",IFERROR(BN68*HSI!$B$63*HSI!$G$63/HSI!$B$3,""))</f>
        <v/>
      </c>
      <c r="EC68" s="110">
        <f>IF(BO68="","",IFERROR(BO68*HSI!$B$63*HSI!$G$63/HSI!$B$3,""))</f>
        <v/>
      </c>
      <c r="EE68" s="39">
        <f>IF(N('Dvd Calendar'!$E$627)=0,"",IF(('Dvd Calendar'!$E$627&gt;=GRID_FROM)*('Dvd Calendar'!$E$627&lt;=GRID_TO)*((('Dvd Calendar'!$E$627&lt;=VAL_DATE)+(COUNTIF('Dvd Calendar'!$E$634:$AR$634,'Dvd Calendar'!$E$627)=0))&gt;0)=0,"",'Dvd Calendar'!$E$627*1000000000+ISNUMBER('Dvd Calendar'!$E$630)*100000000+('Dvd Calendar'!$E$632=SPECIAL_LBL)*10000000+(N('Dvd Calendar'!$E$626)&gt;0)*(N('Dvd Calendar'!$E$626)&lt;=VAL_SERIAL)*1000000+57*1000+1))</f>
        <v/>
      </c>
      <c r="EF68" s="39">
        <f>IF(N('Dvd Calendar'!$F$627)=0,"",IF(('Dvd Calendar'!$F$627&gt;=GRID_FROM)*('Dvd Calendar'!$F$627&lt;=GRID_TO)*((('Dvd Calendar'!$F$627&lt;=VAL_DATE)+(COUNTIF('Dvd Calendar'!$E$634:$AR$634,'Dvd Calendar'!$F$627)=0))&gt;0)=0,"",'Dvd Calendar'!$F$627*1000000000+ISNUMBER('Dvd Calendar'!$F$630)*100000000+('Dvd Calendar'!$F$632=SPECIAL_LBL)*10000000+(N('Dvd Calendar'!$F$626)&gt;0)*(N('Dvd Calendar'!$F$626)&lt;=VAL_SERIAL)*1000000+57*1000+2))</f>
        <v/>
      </c>
      <c r="EG68" s="39">
        <f>IF(N('Dvd Calendar'!$G$627)=0,"",IF(('Dvd Calendar'!$G$627&gt;=GRID_FROM)*('Dvd Calendar'!$G$627&lt;=GRID_TO)*((('Dvd Calendar'!$G$627&lt;=VAL_DATE)+(COUNTIF('Dvd Calendar'!$E$634:$AR$634,'Dvd Calendar'!$G$627)=0))&gt;0)=0,"",'Dvd Calendar'!$G$627*1000000000+ISNUMBER('Dvd Calendar'!$G$630)*100000000+('Dvd Calendar'!$G$632=SPECIAL_LBL)*10000000+(N('Dvd Calendar'!$G$626)&gt;0)*(N('Dvd Calendar'!$G$626)&lt;=VAL_SERIAL)*1000000+57*1000+3))</f>
        <v/>
      </c>
      <c r="EH68" s="39">
        <f>IF(N('Dvd Calendar'!$H$627)=0,"",IF(('Dvd Calendar'!$H$627&gt;=GRID_FROM)*('Dvd Calendar'!$H$627&lt;=GRID_TO)*((('Dvd Calendar'!$H$627&lt;=VAL_DATE)+(COUNTIF('Dvd Calendar'!$E$634:$AR$634,'Dvd Calendar'!$H$627)=0))&gt;0)=0,"",'Dvd Calendar'!$H$627*1000000000+ISNUMBER('Dvd Calendar'!$H$630)*100000000+('Dvd Calendar'!$H$632=SPECIAL_LBL)*10000000+(N('Dvd Calendar'!$H$626)&gt;0)*(N('Dvd Calendar'!$H$626)&lt;=VAL_SERIAL)*1000000+57*1000+4))</f>
        <v/>
      </c>
      <c r="EI68" s="39">
        <f>IF(N('Dvd Calendar'!$I$627)=0,"",IF(('Dvd Calendar'!$I$627&gt;=GRID_FROM)*('Dvd Calendar'!$I$627&lt;=GRID_TO)*((('Dvd Calendar'!$I$627&lt;=VAL_DATE)+(COUNTIF('Dvd Calendar'!$E$634:$AR$634,'Dvd Calendar'!$I$627)=0))&gt;0)=0,"",'Dvd Calendar'!$I$627*1000000000+ISNUMBER('Dvd Calendar'!$I$630)*100000000+('Dvd Calendar'!$I$632=SPECIAL_LBL)*10000000+(N('Dvd Calendar'!$I$626)&gt;0)*(N('Dvd Calendar'!$I$626)&lt;=VAL_SERIAL)*1000000+57*1000+5))</f>
        <v/>
      </c>
      <c r="EJ68" s="39">
        <f>IF(N('Dvd Calendar'!$J$627)=0,"",IF(('Dvd Calendar'!$J$627&gt;=GRID_FROM)*('Dvd Calendar'!$J$627&lt;=GRID_TO)*((('Dvd Calendar'!$J$627&lt;=VAL_DATE)+(COUNTIF('Dvd Calendar'!$E$634:$AR$634,'Dvd Calendar'!$J$627)=0))&gt;0)=0,"",'Dvd Calendar'!$J$627*1000000000+ISNUMBER('Dvd Calendar'!$J$630)*100000000+('Dvd Calendar'!$J$632=SPECIAL_LBL)*10000000+(N('Dvd Calendar'!$J$626)&gt;0)*(N('Dvd Calendar'!$J$626)&lt;=VAL_SERIAL)*1000000+57*1000+6))</f>
        <v/>
      </c>
      <c r="EK68" s="39">
        <f>IF(N('Dvd Calendar'!$K$627)=0,"",IF(('Dvd Calendar'!$K$627&gt;=GRID_FROM)*('Dvd Calendar'!$K$627&lt;=GRID_TO)*((('Dvd Calendar'!$K$627&lt;=VAL_DATE)+(COUNTIF('Dvd Calendar'!$E$634:$AR$634,'Dvd Calendar'!$K$627)=0))&gt;0)=0,"",'Dvd Calendar'!$K$627*1000000000+ISNUMBER('Dvd Calendar'!$K$630)*100000000+('Dvd Calendar'!$K$632=SPECIAL_LBL)*10000000+(N('Dvd Calendar'!$K$626)&gt;0)*(N('Dvd Calendar'!$K$626)&lt;=VAL_SERIAL)*1000000+57*1000+7))</f>
        <v/>
      </c>
      <c r="EL68" s="39">
        <f>IF(N('Dvd Calendar'!$L$627)=0,"",IF(('Dvd Calendar'!$L$627&gt;=GRID_FROM)*('Dvd Calendar'!$L$627&lt;=GRID_TO)*((('Dvd Calendar'!$L$627&lt;=VAL_DATE)+(COUNTIF('Dvd Calendar'!$E$634:$AR$634,'Dvd Calendar'!$L$627)=0))&gt;0)=0,"",'Dvd Calendar'!$L$627*1000000000+ISNUMBER('Dvd Calendar'!$L$630)*100000000+('Dvd Calendar'!$L$632=SPECIAL_LBL)*10000000+(N('Dvd Calendar'!$L$626)&gt;0)*(N('Dvd Calendar'!$L$626)&lt;=VAL_SERIAL)*1000000+57*1000+8))</f>
        <v/>
      </c>
      <c r="EM68" s="39">
        <f>IF(N('Dvd Calendar'!$M$627)=0,"",IF(('Dvd Calendar'!$M$627&gt;=GRID_FROM)*('Dvd Calendar'!$M$627&lt;=GRID_TO)*((('Dvd Calendar'!$M$627&lt;=VAL_DATE)+(COUNTIF('Dvd Calendar'!$E$634:$AR$634,'Dvd Calendar'!$M$627)=0))&gt;0)=0,"",'Dvd Calendar'!$M$627*1000000000+ISNUMBER('Dvd Calendar'!$M$630)*100000000+('Dvd Calendar'!$M$632=SPECIAL_LBL)*10000000+(N('Dvd Calendar'!$M$626)&gt;0)*(N('Dvd Calendar'!$M$626)&lt;=VAL_SERIAL)*1000000+57*1000+9))</f>
        <v/>
      </c>
      <c r="EN68" s="39">
        <f>IF(N('Dvd Calendar'!$N$627)=0,"",IF(('Dvd Calendar'!$N$627&gt;=GRID_FROM)*('Dvd Calendar'!$N$627&lt;=GRID_TO)*((('Dvd Calendar'!$N$627&lt;=VAL_DATE)+(COUNTIF('Dvd Calendar'!$E$634:$AR$634,'Dvd Calendar'!$N$627)=0))&gt;0)=0,"",'Dvd Calendar'!$N$627*1000000000+ISNUMBER('Dvd Calendar'!$N$630)*100000000+('Dvd Calendar'!$N$632=SPECIAL_LBL)*10000000+(N('Dvd Calendar'!$N$626)&gt;0)*(N('Dvd Calendar'!$N$626)&lt;=VAL_SERIAL)*1000000+57*1000+10))</f>
        <v/>
      </c>
      <c r="EO68" s="39">
        <f>IF(N('Dvd Calendar'!$O$627)=0,"",IF(('Dvd Calendar'!$O$627&gt;=GRID_FROM)*('Dvd Calendar'!$O$627&lt;=GRID_TO)*((('Dvd Calendar'!$O$627&lt;=VAL_DATE)+(COUNTIF('Dvd Calendar'!$E$634:$AR$634,'Dvd Calendar'!$O$627)=0))&gt;0)=0,"",'Dvd Calendar'!$O$627*1000000000+ISNUMBER('Dvd Calendar'!$O$630)*100000000+('Dvd Calendar'!$O$632=SPECIAL_LBL)*10000000+(N('Dvd Calendar'!$O$626)&gt;0)*(N('Dvd Calendar'!$O$626)&lt;=VAL_SERIAL)*1000000+57*1000+11))</f>
        <v/>
      </c>
      <c r="EP68" s="39">
        <f>IF(N('Dvd Calendar'!$P$627)=0,"",IF(('Dvd Calendar'!$P$627&gt;=GRID_FROM)*('Dvd Calendar'!$P$627&lt;=GRID_TO)*((('Dvd Calendar'!$P$627&lt;=VAL_DATE)+(COUNTIF('Dvd Calendar'!$E$634:$AR$634,'Dvd Calendar'!$P$627)=0))&gt;0)=0,"",'Dvd Calendar'!$P$627*1000000000+ISNUMBER('Dvd Calendar'!$P$630)*100000000+('Dvd Calendar'!$P$632=SPECIAL_LBL)*10000000+(N('Dvd Calendar'!$P$626)&gt;0)*(N('Dvd Calendar'!$P$626)&lt;=VAL_SERIAL)*1000000+57*1000+12))</f>
        <v/>
      </c>
      <c r="EQ68" s="39">
        <f>IF(N('Dvd Calendar'!$Q$627)=0,"",IF(('Dvd Calendar'!$Q$627&gt;=GRID_FROM)*('Dvd Calendar'!$Q$627&lt;=GRID_TO)*((('Dvd Calendar'!$Q$627&lt;=VAL_DATE)+(COUNTIF('Dvd Calendar'!$E$634:$AR$634,'Dvd Calendar'!$Q$627)=0))&gt;0)=0,"",'Dvd Calendar'!$Q$627*1000000000+ISNUMBER('Dvd Calendar'!$Q$630)*100000000+('Dvd Calendar'!$Q$632=SPECIAL_LBL)*10000000+(N('Dvd Calendar'!$Q$626)&gt;0)*(N('Dvd Calendar'!$Q$626)&lt;=VAL_SERIAL)*1000000+57*1000+13))</f>
        <v/>
      </c>
      <c r="ER68" s="39">
        <f>IF(N('Dvd Calendar'!$R$627)=0,"",IF(('Dvd Calendar'!$R$627&gt;=GRID_FROM)*('Dvd Calendar'!$R$627&lt;=GRID_TO)*((('Dvd Calendar'!$R$627&lt;=VAL_DATE)+(COUNTIF('Dvd Calendar'!$E$634:$AR$634,'Dvd Calendar'!$R$627)=0))&gt;0)=0,"",'Dvd Calendar'!$R$627*1000000000+ISNUMBER('Dvd Calendar'!$R$630)*100000000+('Dvd Calendar'!$R$632=SPECIAL_LBL)*10000000+(N('Dvd Calendar'!$R$626)&gt;0)*(N('Dvd Calendar'!$R$626)&lt;=VAL_SERIAL)*1000000+57*1000+14))</f>
        <v/>
      </c>
      <c r="ES68" s="39">
        <f>IF(N('Dvd Calendar'!$S$627)=0,"",IF(('Dvd Calendar'!$S$627&gt;=GRID_FROM)*('Dvd Calendar'!$S$627&lt;=GRID_TO)*((('Dvd Calendar'!$S$627&lt;=VAL_DATE)+(COUNTIF('Dvd Calendar'!$E$634:$AR$634,'Dvd Calendar'!$S$627)=0))&gt;0)=0,"",'Dvd Calendar'!$S$627*1000000000+ISNUMBER('Dvd Calendar'!$S$630)*100000000+('Dvd Calendar'!$S$632=SPECIAL_LBL)*10000000+(N('Dvd Calendar'!$S$626)&gt;0)*(N('Dvd Calendar'!$S$626)&lt;=VAL_SERIAL)*1000000+57*1000+15))</f>
        <v/>
      </c>
      <c r="ET68" s="39">
        <f>IF(N('Dvd Calendar'!$T$627)=0,"",IF(('Dvd Calendar'!$T$627&gt;=GRID_FROM)*('Dvd Calendar'!$T$627&lt;=GRID_TO)*((('Dvd Calendar'!$T$627&lt;=VAL_DATE)+(COUNTIF('Dvd Calendar'!$E$634:$AR$634,'Dvd Calendar'!$T$627)=0))&gt;0)=0,"",'Dvd Calendar'!$T$627*1000000000+ISNUMBER('Dvd Calendar'!$T$630)*100000000+('Dvd Calendar'!$T$632=SPECIAL_LBL)*10000000+(N('Dvd Calendar'!$T$626)&gt;0)*(N('Dvd Calendar'!$T$626)&lt;=VAL_SERIAL)*1000000+57*1000+16))</f>
        <v/>
      </c>
      <c r="EU68" s="39">
        <f>IF(N('Dvd Calendar'!$U$627)=0,"",IF(('Dvd Calendar'!$U$627&gt;=GRID_FROM)*('Dvd Calendar'!$U$627&lt;=GRID_TO)*((('Dvd Calendar'!$U$627&lt;=VAL_DATE)+(COUNTIF('Dvd Calendar'!$E$634:$AR$634,'Dvd Calendar'!$U$627)=0))&gt;0)=0,"",'Dvd Calendar'!$U$627*1000000000+ISNUMBER('Dvd Calendar'!$U$630)*100000000+('Dvd Calendar'!$U$632=SPECIAL_LBL)*10000000+(N('Dvd Calendar'!$U$626)&gt;0)*(N('Dvd Calendar'!$U$626)&lt;=VAL_SERIAL)*1000000+57*1000+17))</f>
        <v/>
      </c>
      <c r="EV68" s="39">
        <f>IF(N('Dvd Calendar'!$V$627)=0,"",IF(('Dvd Calendar'!$V$627&gt;=GRID_FROM)*('Dvd Calendar'!$V$627&lt;=GRID_TO)*((('Dvd Calendar'!$V$627&lt;=VAL_DATE)+(COUNTIF('Dvd Calendar'!$E$634:$AR$634,'Dvd Calendar'!$V$627)=0))&gt;0)=0,"",'Dvd Calendar'!$V$627*1000000000+ISNUMBER('Dvd Calendar'!$V$630)*100000000+('Dvd Calendar'!$V$632=SPECIAL_LBL)*10000000+(N('Dvd Calendar'!$V$626)&gt;0)*(N('Dvd Calendar'!$V$626)&lt;=VAL_SERIAL)*1000000+57*1000+18))</f>
        <v/>
      </c>
      <c r="EW68" s="39">
        <f>IF(N('Dvd Calendar'!$W$627)=0,"",IF(('Dvd Calendar'!$W$627&gt;=GRID_FROM)*('Dvd Calendar'!$W$627&lt;=GRID_TO)*((('Dvd Calendar'!$W$627&lt;=VAL_DATE)+(COUNTIF('Dvd Calendar'!$E$634:$AR$634,'Dvd Calendar'!$W$627)=0))&gt;0)=0,"",'Dvd Calendar'!$W$627*1000000000+ISNUMBER('Dvd Calendar'!$W$630)*100000000+('Dvd Calendar'!$W$632=SPECIAL_LBL)*10000000+(N('Dvd Calendar'!$W$626)&gt;0)*(N('Dvd Calendar'!$W$626)&lt;=VAL_SERIAL)*1000000+57*1000+19))</f>
        <v/>
      </c>
      <c r="EX68" s="39">
        <f>IF(N('Dvd Calendar'!$X$627)=0,"",IF(('Dvd Calendar'!$X$627&gt;=GRID_FROM)*('Dvd Calendar'!$X$627&lt;=GRID_TO)*((('Dvd Calendar'!$X$627&lt;=VAL_DATE)+(COUNTIF('Dvd Calendar'!$E$634:$AR$634,'Dvd Calendar'!$X$627)=0))&gt;0)=0,"",'Dvd Calendar'!$X$627*1000000000+ISNUMBER('Dvd Calendar'!$X$630)*100000000+('Dvd Calendar'!$X$632=SPECIAL_LBL)*10000000+(N('Dvd Calendar'!$X$626)&gt;0)*(N('Dvd Calendar'!$X$626)&lt;=VAL_SERIAL)*1000000+57*1000+20))</f>
        <v/>
      </c>
      <c r="EY68" s="39">
        <f>IF(N('Dvd Calendar'!$Y$627)=0,"",IF(('Dvd Calendar'!$Y$627&gt;=GRID_FROM)*('Dvd Calendar'!$Y$627&lt;=GRID_TO)*((('Dvd Calendar'!$Y$627&lt;=VAL_DATE)+(COUNTIF('Dvd Calendar'!$E$634:$AR$634,'Dvd Calendar'!$Y$627)=0))&gt;0)=0,"",'Dvd Calendar'!$Y$627*1000000000+ISNUMBER('Dvd Calendar'!$Y$630)*100000000+('Dvd Calendar'!$Y$632=SPECIAL_LBL)*10000000+(N('Dvd Calendar'!$Y$626)&gt;0)*(N('Dvd Calendar'!$Y$626)&lt;=VAL_SERIAL)*1000000+57*1000+21))</f>
        <v/>
      </c>
      <c r="EZ68" s="39">
        <f>IF(N('Dvd Calendar'!$Z$627)=0,"",IF(('Dvd Calendar'!$Z$627&gt;=GRID_FROM)*('Dvd Calendar'!$Z$627&lt;=GRID_TO)*((('Dvd Calendar'!$Z$627&lt;=VAL_DATE)+(COUNTIF('Dvd Calendar'!$E$634:$AR$634,'Dvd Calendar'!$Z$627)=0))&gt;0)=0,"",'Dvd Calendar'!$Z$627*1000000000+ISNUMBER('Dvd Calendar'!$Z$630)*100000000+('Dvd Calendar'!$Z$632=SPECIAL_LBL)*10000000+(N('Dvd Calendar'!$Z$626)&gt;0)*(N('Dvd Calendar'!$Z$626)&lt;=VAL_SERIAL)*1000000+57*1000+22))</f>
        <v/>
      </c>
      <c r="FA68" s="39">
        <f>IF(N('Dvd Calendar'!$AA$627)=0,"",IF(('Dvd Calendar'!$AA$627&gt;=GRID_FROM)*('Dvd Calendar'!$AA$627&lt;=GRID_TO)*((('Dvd Calendar'!$AA$627&lt;=VAL_DATE)+(COUNTIF('Dvd Calendar'!$E$634:$AR$634,'Dvd Calendar'!$AA$627)=0))&gt;0)=0,"",'Dvd Calendar'!$AA$627*1000000000+ISNUMBER('Dvd Calendar'!$AA$630)*100000000+('Dvd Calendar'!$AA$632=SPECIAL_LBL)*10000000+(N('Dvd Calendar'!$AA$626)&gt;0)*(N('Dvd Calendar'!$AA$626)&lt;=VAL_SERIAL)*1000000+57*1000+23))</f>
        <v/>
      </c>
      <c r="FB68" s="39">
        <f>IF(N('Dvd Calendar'!$AB$627)=0,"",IF(('Dvd Calendar'!$AB$627&gt;=GRID_FROM)*('Dvd Calendar'!$AB$627&lt;=GRID_TO)*((('Dvd Calendar'!$AB$627&lt;=VAL_DATE)+(COUNTIF('Dvd Calendar'!$E$634:$AR$634,'Dvd Calendar'!$AB$627)=0))&gt;0)=0,"",'Dvd Calendar'!$AB$627*1000000000+ISNUMBER('Dvd Calendar'!$AB$630)*100000000+('Dvd Calendar'!$AB$632=SPECIAL_LBL)*10000000+(N('Dvd Calendar'!$AB$626)&gt;0)*(N('Dvd Calendar'!$AB$626)&lt;=VAL_SERIAL)*1000000+57*1000+24))</f>
        <v/>
      </c>
      <c r="FC68" s="39">
        <f>IF(N('Dvd Calendar'!$AC$627)=0,"",IF(('Dvd Calendar'!$AC$627&gt;=GRID_FROM)*('Dvd Calendar'!$AC$627&lt;=GRID_TO)*((('Dvd Calendar'!$AC$627&lt;=VAL_DATE)+(COUNTIF('Dvd Calendar'!$E$634:$AR$634,'Dvd Calendar'!$AC$627)=0))&gt;0)=0,"",'Dvd Calendar'!$AC$627*1000000000+ISNUMBER('Dvd Calendar'!$AC$630)*100000000+('Dvd Calendar'!$AC$632=SPECIAL_LBL)*10000000+(N('Dvd Calendar'!$AC$626)&gt;0)*(N('Dvd Calendar'!$AC$626)&lt;=VAL_SERIAL)*1000000+57*1000+25))</f>
        <v/>
      </c>
      <c r="FD68" s="39">
        <f>IF(N('Dvd Calendar'!$AD$627)=0,"",IF(('Dvd Calendar'!$AD$627&gt;=GRID_FROM)*('Dvd Calendar'!$AD$627&lt;=GRID_TO)*((('Dvd Calendar'!$AD$627&lt;=VAL_DATE)+(COUNTIF('Dvd Calendar'!$E$634:$AR$634,'Dvd Calendar'!$AD$627)=0))&gt;0)=0,"",'Dvd Calendar'!$AD$627*1000000000+ISNUMBER('Dvd Calendar'!$AD$630)*100000000+('Dvd Calendar'!$AD$632=SPECIAL_LBL)*10000000+(N('Dvd Calendar'!$AD$626)&gt;0)*(N('Dvd Calendar'!$AD$626)&lt;=VAL_SERIAL)*1000000+57*1000+26))</f>
        <v/>
      </c>
      <c r="FE68" s="39">
        <f>IF(N('Dvd Calendar'!$AE$627)=0,"",IF(('Dvd Calendar'!$AE$627&gt;=GRID_FROM)*('Dvd Calendar'!$AE$627&lt;=GRID_TO)*((('Dvd Calendar'!$AE$627&lt;=VAL_DATE)+(COUNTIF('Dvd Calendar'!$E$634:$AR$634,'Dvd Calendar'!$AE$627)=0))&gt;0)=0,"",'Dvd Calendar'!$AE$627*1000000000+ISNUMBER('Dvd Calendar'!$AE$630)*100000000+('Dvd Calendar'!$AE$632=SPECIAL_LBL)*10000000+(N('Dvd Calendar'!$AE$626)&gt;0)*(N('Dvd Calendar'!$AE$626)&lt;=VAL_SERIAL)*1000000+57*1000+27))</f>
        <v/>
      </c>
      <c r="FF68" s="39">
        <f>IF(N('Dvd Calendar'!$AF$627)=0,"",IF(('Dvd Calendar'!$AF$627&gt;=GRID_FROM)*('Dvd Calendar'!$AF$627&lt;=GRID_TO)*((('Dvd Calendar'!$AF$627&lt;=VAL_DATE)+(COUNTIF('Dvd Calendar'!$E$634:$AR$634,'Dvd Calendar'!$AF$627)=0))&gt;0)=0,"",'Dvd Calendar'!$AF$627*1000000000+ISNUMBER('Dvd Calendar'!$AF$630)*100000000+('Dvd Calendar'!$AF$632=SPECIAL_LBL)*10000000+(N('Dvd Calendar'!$AF$626)&gt;0)*(N('Dvd Calendar'!$AF$626)&lt;=VAL_SERIAL)*1000000+57*1000+28))</f>
        <v/>
      </c>
      <c r="FG68" s="39">
        <f>IF(N('Dvd Calendar'!$AG$627)=0,"",IF(('Dvd Calendar'!$AG$627&gt;=GRID_FROM)*('Dvd Calendar'!$AG$627&lt;=GRID_TO)*((('Dvd Calendar'!$AG$627&lt;=VAL_DATE)+(COUNTIF('Dvd Calendar'!$E$634:$AR$634,'Dvd Calendar'!$AG$627)=0))&gt;0)=0,"",'Dvd Calendar'!$AG$627*1000000000+ISNUMBER('Dvd Calendar'!$AG$630)*100000000+('Dvd Calendar'!$AG$632=SPECIAL_LBL)*10000000+(N('Dvd Calendar'!$AG$626)&gt;0)*(N('Dvd Calendar'!$AG$626)&lt;=VAL_SERIAL)*1000000+57*1000+29))</f>
        <v/>
      </c>
      <c r="FH68" s="39">
        <f>IF(N('Dvd Calendar'!$AH$627)=0,"",IF(('Dvd Calendar'!$AH$627&gt;=GRID_FROM)*('Dvd Calendar'!$AH$627&lt;=GRID_TO)*((('Dvd Calendar'!$AH$627&lt;=VAL_DATE)+(COUNTIF('Dvd Calendar'!$E$634:$AR$634,'Dvd Calendar'!$AH$627)=0))&gt;0)=0,"",'Dvd Calendar'!$AH$627*1000000000+ISNUMBER('Dvd Calendar'!$AH$630)*100000000+('Dvd Calendar'!$AH$632=SPECIAL_LBL)*10000000+(N('Dvd Calendar'!$AH$626)&gt;0)*(N('Dvd Calendar'!$AH$626)&lt;=VAL_SERIAL)*1000000+57*1000+30))</f>
        <v/>
      </c>
      <c r="FI68" s="39">
        <f>IF(N('Dvd Calendar'!$AI$627)=0,"",IF(('Dvd Calendar'!$AI$627&gt;=GRID_FROM)*('Dvd Calendar'!$AI$627&lt;=GRID_TO)*((('Dvd Calendar'!$AI$627&lt;=VAL_DATE)+(COUNTIF('Dvd Calendar'!$E$634:$AR$634,'Dvd Calendar'!$AI$627)=0))&gt;0)=0,"",'Dvd Calendar'!$AI$627*1000000000+ISNUMBER('Dvd Calendar'!$AI$630)*100000000+('Dvd Calendar'!$AI$632=SPECIAL_LBL)*10000000+(N('Dvd Calendar'!$AI$626)&gt;0)*(N('Dvd Calendar'!$AI$626)&lt;=VAL_SERIAL)*1000000+57*1000+31))</f>
        <v/>
      </c>
      <c r="FJ68" s="39">
        <f>IF(N('Dvd Calendar'!$AJ$627)=0,"",IF(('Dvd Calendar'!$AJ$627&gt;=GRID_FROM)*('Dvd Calendar'!$AJ$627&lt;=GRID_TO)*((('Dvd Calendar'!$AJ$627&lt;=VAL_DATE)+(COUNTIF('Dvd Calendar'!$E$634:$AR$634,'Dvd Calendar'!$AJ$627)=0))&gt;0)=0,"",'Dvd Calendar'!$AJ$627*1000000000+ISNUMBER('Dvd Calendar'!$AJ$630)*100000000+('Dvd Calendar'!$AJ$632=SPECIAL_LBL)*10000000+(N('Dvd Calendar'!$AJ$626)&gt;0)*(N('Dvd Calendar'!$AJ$626)&lt;=VAL_SERIAL)*1000000+57*1000+32))</f>
        <v/>
      </c>
      <c r="FK68" s="39">
        <f>IF(N('Dvd Calendar'!$AK$627)=0,"",IF(('Dvd Calendar'!$AK$627&gt;=GRID_FROM)*('Dvd Calendar'!$AK$627&lt;=GRID_TO)*((('Dvd Calendar'!$AK$627&lt;=VAL_DATE)+(COUNTIF('Dvd Calendar'!$E$634:$AR$634,'Dvd Calendar'!$AK$627)=0))&gt;0)=0,"",'Dvd Calendar'!$AK$627*1000000000+ISNUMBER('Dvd Calendar'!$AK$630)*100000000+('Dvd Calendar'!$AK$632=SPECIAL_LBL)*10000000+(N('Dvd Calendar'!$AK$626)&gt;0)*(N('Dvd Calendar'!$AK$626)&lt;=VAL_SERIAL)*1000000+57*1000+33))</f>
        <v/>
      </c>
      <c r="FL68" s="39">
        <f>IF(N('Dvd Calendar'!$AL$627)=0,"",IF(('Dvd Calendar'!$AL$627&gt;=GRID_FROM)*('Dvd Calendar'!$AL$627&lt;=GRID_TO)*((('Dvd Calendar'!$AL$627&lt;=VAL_DATE)+(COUNTIF('Dvd Calendar'!$E$634:$AR$634,'Dvd Calendar'!$AL$627)=0))&gt;0)=0,"",'Dvd Calendar'!$AL$627*1000000000+ISNUMBER('Dvd Calendar'!$AL$630)*100000000+('Dvd Calendar'!$AL$632=SPECIAL_LBL)*10000000+(N('Dvd Calendar'!$AL$626)&gt;0)*(N('Dvd Calendar'!$AL$626)&lt;=VAL_SERIAL)*1000000+57*1000+34))</f>
        <v/>
      </c>
      <c r="FM68" s="39">
        <f>IF(N('Dvd Calendar'!$AM$627)=0,"",IF(('Dvd Calendar'!$AM$627&gt;=GRID_FROM)*('Dvd Calendar'!$AM$627&lt;=GRID_TO)*((('Dvd Calendar'!$AM$627&lt;=VAL_DATE)+(COUNTIF('Dvd Calendar'!$E$634:$AR$634,'Dvd Calendar'!$AM$627)=0))&gt;0)=0,"",'Dvd Calendar'!$AM$627*1000000000+ISNUMBER('Dvd Calendar'!$AM$630)*100000000+('Dvd Calendar'!$AM$632=SPECIAL_LBL)*10000000+(N('Dvd Calendar'!$AM$626)&gt;0)*(N('Dvd Calendar'!$AM$626)&lt;=VAL_SERIAL)*1000000+57*1000+35))</f>
        <v/>
      </c>
      <c r="FN68" s="39">
        <f>IF(N('Dvd Calendar'!$AN$627)=0,"",IF(('Dvd Calendar'!$AN$627&gt;=GRID_FROM)*('Dvd Calendar'!$AN$627&lt;=GRID_TO)*((('Dvd Calendar'!$AN$627&lt;=VAL_DATE)+(COUNTIF('Dvd Calendar'!$E$634:$AR$634,'Dvd Calendar'!$AN$627)=0))&gt;0)=0,"",'Dvd Calendar'!$AN$627*1000000000+ISNUMBER('Dvd Calendar'!$AN$630)*100000000+('Dvd Calendar'!$AN$632=SPECIAL_LBL)*10000000+(N('Dvd Calendar'!$AN$626)&gt;0)*(N('Dvd Calendar'!$AN$626)&lt;=VAL_SERIAL)*1000000+57*1000+36))</f>
        <v/>
      </c>
      <c r="FO68" s="39">
        <f>IF(N('Dvd Calendar'!$AO$627)=0,"",IF(('Dvd Calendar'!$AO$627&gt;=GRID_FROM)*('Dvd Calendar'!$AO$627&lt;=GRID_TO)*((('Dvd Calendar'!$AO$627&lt;=VAL_DATE)+(COUNTIF('Dvd Calendar'!$E$634:$AR$634,'Dvd Calendar'!$AO$627)=0))&gt;0)=0,"",'Dvd Calendar'!$AO$627*1000000000+ISNUMBER('Dvd Calendar'!$AO$630)*100000000+('Dvd Calendar'!$AO$632=SPECIAL_LBL)*10000000+(N('Dvd Calendar'!$AO$626)&gt;0)*(N('Dvd Calendar'!$AO$626)&lt;=VAL_SERIAL)*1000000+57*1000+37))</f>
        <v/>
      </c>
      <c r="FP68" s="39">
        <f>IF(N('Dvd Calendar'!$AP$627)=0,"",IF(('Dvd Calendar'!$AP$627&gt;=GRID_FROM)*('Dvd Calendar'!$AP$627&lt;=GRID_TO)*((('Dvd Calendar'!$AP$627&lt;=VAL_DATE)+(COUNTIF('Dvd Calendar'!$E$634:$AR$634,'Dvd Calendar'!$AP$627)=0))&gt;0)=0,"",'Dvd Calendar'!$AP$627*1000000000+ISNUMBER('Dvd Calendar'!$AP$630)*100000000+('Dvd Calendar'!$AP$632=SPECIAL_LBL)*10000000+(N('Dvd Calendar'!$AP$626)&gt;0)*(N('Dvd Calendar'!$AP$626)&lt;=VAL_SERIAL)*1000000+57*1000+38))</f>
        <v/>
      </c>
      <c r="FQ68" s="39">
        <f>IF(N('Dvd Calendar'!$AQ$627)=0,"",IF(('Dvd Calendar'!$AQ$627&gt;=GRID_FROM)*('Dvd Calendar'!$AQ$627&lt;=GRID_TO)*((('Dvd Calendar'!$AQ$627&lt;=VAL_DATE)+(COUNTIF('Dvd Calendar'!$E$634:$AR$634,'Dvd Calendar'!$AQ$627)=0))&gt;0)=0,"",'Dvd Calendar'!$AQ$627*1000000000+ISNUMBER('Dvd Calendar'!$AQ$630)*100000000+('Dvd Calendar'!$AQ$632=SPECIAL_LBL)*10000000+(N('Dvd Calendar'!$AQ$626)&gt;0)*(N('Dvd Calendar'!$AQ$626)&lt;=VAL_SERIAL)*1000000+57*1000+39))</f>
        <v/>
      </c>
      <c r="FR68" s="39">
        <f>IF(N('Dvd Calendar'!$AR$627)=0,"",IF(('Dvd Calendar'!$AR$627&gt;=GRID_FROM)*('Dvd Calendar'!$AR$627&lt;=GRID_TO)*((('Dvd Calendar'!$AR$627&lt;=VAL_DATE)+(COUNTIF('Dvd Calendar'!$E$634:$AR$634,'Dvd Calendar'!$AR$627)=0))&gt;0)=0,"",'Dvd Calendar'!$AR$627*1000000000+ISNUMBER('Dvd Calendar'!$AR$630)*100000000+('Dvd Calendar'!$AR$632=SPECIAL_LBL)*10000000+(N('Dvd Calendar'!$AR$626)&gt;0)*(N('Dvd Calendar'!$AR$626)&lt;=VAL_SERIAL)*1000000+57*1000+40))</f>
        <v/>
      </c>
      <c r="FS68" s="39">
        <f>IF(N('Dvd Calendar'!$E$634)=0,"",IF(('Dvd Calendar'!$E$634&gt;=GRID_FROM)*('Dvd Calendar'!$E$634&lt;=GRID_TO)*('Dvd Calendar'!$E$634&gt;VAL_DATE)=0,"",'Dvd Calendar'!$E$634*1000000000+ISNUMBER('Dvd Calendar'!$E$635)*100000000+0*10000000+(N('Dvd Calendar'!$E$633)&gt;0)*(N('Dvd Calendar'!$E$633)&lt;=VAL_SERIAL)*1000000+57*1000+41))</f>
        <v/>
      </c>
      <c r="FT68" s="39">
        <f>IF(N('Dvd Calendar'!$F$634)=0,"",IF(('Dvd Calendar'!$F$634&gt;=GRID_FROM)*('Dvd Calendar'!$F$634&lt;=GRID_TO)*('Dvd Calendar'!$F$634&gt;VAL_DATE)=0,"",'Dvd Calendar'!$F$634*1000000000+ISNUMBER('Dvd Calendar'!$F$635)*100000000+0*10000000+(N('Dvd Calendar'!$F$633)&gt;0)*(N('Dvd Calendar'!$F$633)&lt;=VAL_SERIAL)*1000000+57*1000+42))</f>
        <v/>
      </c>
      <c r="FU68" s="39">
        <f>IF(N('Dvd Calendar'!$G$634)=0,"",IF(('Dvd Calendar'!$G$634&gt;=GRID_FROM)*('Dvd Calendar'!$G$634&lt;=GRID_TO)*('Dvd Calendar'!$G$634&gt;VAL_DATE)=0,"",'Dvd Calendar'!$G$634*1000000000+ISNUMBER('Dvd Calendar'!$G$635)*100000000+0*10000000+(N('Dvd Calendar'!$G$633)&gt;0)*(N('Dvd Calendar'!$G$633)&lt;=VAL_SERIAL)*1000000+57*1000+43))</f>
        <v/>
      </c>
      <c r="FV68" s="39">
        <f>IF(N('Dvd Calendar'!$H$634)=0,"",IF(('Dvd Calendar'!$H$634&gt;=GRID_FROM)*('Dvd Calendar'!$H$634&lt;=GRID_TO)*('Dvd Calendar'!$H$634&gt;VAL_DATE)=0,"",'Dvd Calendar'!$H$634*1000000000+ISNUMBER('Dvd Calendar'!$H$635)*100000000+0*10000000+(N('Dvd Calendar'!$H$633)&gt;0)*(N('Dvd Calendar'!$H$633)&lt;=VAL_SERIAL)*1000000+57*1000+44))</f>
        <v/>
      </c>
      <c r="FW68" s="39">
        <f>IF(N('Dvd Calendar'!$I$634)=0,"",IF(('Dvd Calendar'!$I$634&gt;=GRID_FROM)*('Dvd Calendar'!$I$634&lt;=GRID_TO)*('Dvd Calendar'!$I$634&gt;VAL_DATE)=0,"",'Dvd Calendar'!$I$634*1000000000+ISNUMBER('Dvd Calendar'!$I$635)*100000000+0*10000000+(N('Dvd Calendar'!$I$633)&gt;0)*(N('Dvd Calendar'!$I$633)&lt;=VAL_SERIAL)*1000000+57*1000+45))</f>
        <v/>
      </c>
      <c r="FX68" s="39">
        <f>IF(N('Dvd Calendar'!$J$634)=0,"",IF(('Dvd Calendar'!$J$634&gt;=GRID_FROM)*('Dvd Calendar'!$J$634&lt;=GRID_TO)*('Dvd Calendar'!$J$634&gt;VAL_DATE)=0,"",'Dvd Calendar'!$J$634*1000000000+ISNUMBER('Dvd Calendar'!$J$635)*100000000+0*10000000+(N('Dvd Calendar'!$J$633)&gt;0)*(N('Dvd Calendar'!$J$633)&lt;=VAL_SERIAL)*1000000+57*1000+46))</f>
        <v/>
      </c>
      <c r="FY68" s="39">
        <f>IF(N('Dvd Calendar'!$K$634)=0,"",IF(('Dvd Calendar'!$K$634&gt;=GRID_FROM)*('Dvd Calendar'!$K$634&lt;=GRID_TO)*('Dvd Calendar'!$K$634&gt;VAL_DATE)=0,"",'Dvd Calendar'!$K$634*1000000000+ISNUMBER('Dvd Calendar'!$K$635)*100000000+0*10000000+(N('Dvd Calendar'!$K$633)&gt;0)*(N('Dvd Calendar'!$K$633)&lt;=VAL_SERIAL)*1000000+57*1000+47))</f>
        <v/>
      </c>
      <c r="FZ68" s="39">
        <f>IF(N('Dvd Calendar'!$L$634)=0,"",IF(('Dvd Calendar'!$L$634&gt;=GRID_FROM)*('Dvd Calendar'!$L$634&lt;=GRID_TO)*('Dvd Calendar'!$L$634&gt;VAL_DATE)=0,"",'Dvd Calendar'!$L$634*1000000000+ISNUMBER('Dvd Calendar'!$L$635)*100000000+0*10000000+(N('Dvd Calendar'!$L$633)&gt;0)*(N('Dvd Calendar'!$L$633)&lt;=VAL_SERIAL)*1000000+57*1000+48))</f>
        <v/>
      </c>
      <c r="GA68" s="39">
        <f>IF(N('Dvd Calendar'!$M$634)=0,"",IF(('Dvd Calendar'!$M$634&gt;=GRID_FROM)*('Dvd Calendar'!$M$634&lt;=GRID_TO)*('Dvd Calendar'!$M$634&gt;VAL_DATE)=0,"",'Dvd Calendar'!$M$634*1000000000+ISNUMBER('Dvd Calendar'!$M$635)*100000000+0*10000000+(N('Dvd Calendar'!$M$633)&gt;0)*(N('Dvd Calendar'!$M$633)&lt;=VAL_SERIAL)*1000000+57*1000+49))</f>
        <v/>
      </c>
      <c r="GB68" s="39">
        <f>IF(N('Dvd Calendar'!$N$634)=0,"",IF(('Dvd Calendar'!$N$634&gt;=GRID_FROM)*('Dvd Calendar'!$N$634&lt;=GRID_TO)*('Dvd Calendar'!$N$634&gt;VAL_DATE)=0,"",'Dvd Calendar'!$N$634*1000000000+ISNUMBER('Dvd Calendar'!$N$635)*100000000+0*10000000+(N('Dvd Calendar'!$N$633)&gt;0)*(N('Dvd Calendar'!$N$633)&lt;=VAL_SERIAL)*1000000+57*1000+50))</f>
        <v/>
      </c>
      <c r="GC68" s="39">
        <f>IF(N('Dvd Calendar'!$O$634)=0,"",IF(('Dvd Calendar'!$O$634&gt;=GRID_FROM)*('Dvd Calendar'!$O$634&lt;=GRID_TO)*('Dvd Calendar'!$O$634&gt;VAL_DATE)=0,"",'Dvd Calendar'!$O$634*1000000000+ISNUMBER('Dvd Calendar'!$O$635)*100000000+0*10000000+(N('Dvd Calendar'!$O$633)&gt;0)*(N('Dvd Calendar'!$O$633)&lt;=VAL_SERIAL)*1000000+57*1000+51))</f>
        <v/>
      </c>
      <c r="GD68" s="39">
        <f>IF(N('Dvd Calendar'!$P$634)=0,"",IF(('Dvd Calendar'!$P$634&gt;=GRID_FROM)*('Dvd Calendar'!$P$634&lt;=GRID_TO)*('Dvd Calendar'!$P$634&gt;VAL_DATE)=0,"",'Dvd Calendar'!$P$634*1000000000+ISNUMBER('Dvd Calendar'!$P$635)*100000000+0*10000000+(N('Dvd Calendar'!$P$633)&gt;0)*(N('Dvd Calendar'!$P$633)&lt;=VAL_SERIAL)*1000000+57*1000+52))</f>
        <v/>
      </c>
      <c r="GE68" s="39">
        <f>IF(N('Dvd Calendar'!$Q$634)=0,"",IF(('Dvd Calendar'!$Q$634&gt;=GRID_FROM)*('Dvd Calendar'!$Q$634&lt;=GRID_TO)*('Dvd Calendar'!$Q$634&gt;VAL_DATE)=0,"",'Dvd Calendar'!$Q$634*1000000000+ISNUMBER('Dvd Calendar'!$Q$635)*100000000+0*10000000+(N('Dvd Calendar'!$Q$633)&gt;0)*(N('Dvd Calendar'!$Q$633)&lt;=VAL_SERIAL)*1000000+57*1000+53))</f>
        <v/>
      </c>
      <c r="GF68" s="39">
        <f>IF(N('Dvd Calendar'!$R$634)=0,"",IF(('Dvd Calendar'!$R$634&gt;=GRID_FROM)*('Dvd Calendar'!$R$634&lt;=GRID_TO)*('Dvd Calendar'!$R$634&gt;VAL_DATE)=0,"",'Dvd Calendar'!$R$634*1000000000+ISNUMBER('Dvd Calendar'!$R$635)*100000000+0*10000000+(N('Dvd Calendar'!$R$633)&gt;0)*(N('Dvd Calendar'!$R$633)&lt;=VAL_SERIAL)*1000000+57*1000+54))</f>
        <v/>
      </c>
      <c r="GG68" s="39">
        <f>IF(N('Dvd Calendar'!$S$634)=0,"",IF(('Dvd Calendar'!$S$634&gt;=GRID_FROM)*('Dvd Calendar'!$S$634&lt;=GRID_TO)*('Dvd Calendar'!$S$634&gt;VAL_DATE)=0,"",'Dvd Calendar'!$S$634*1000000000+ISNUMBER('Dvd Calendar'!$S$635)*100000000+0*10000000+(N('Dvd Calendar'!$S$633)&gt;0)*(N('Dvd Calendar'!$S$633)&lt;=VAL_SERIAL)*1000000+57*1000+55))</f>
        <v/>
      </c>
      <c r="GH68" s="39">
        <f>IF(N('Dvd Calendar'!$T$634)=0,"",IF(('Dvd Calendar'!$T$634&gt;=GRID_FROM)*('Dvd Calendar'!$T$634&lt;=GRID_TO)*('Dvd Calendar'!$T$634&gt;VAL_DATE)=0,"",'Dvd Calendar'!$T$634*1000000000+ISNUMBER('Dvd Calendar'!$T$635)*100000000+0*10000000+(N('Dvd Calendar'!$T$633)&gt;0)*(N('Dvd Calendar'!$T$633)&lt;=VAL_SERIAL)*1000000+57*1000+56))</f>
        <v/>
      </c>
      <c r="GI68" s="39">
        <f>IF(N('Dvd Calendar'!$U$634)=0,"",IF(('Dvd Calendar'!$U$634&gt;=GRID_FROM)*('Dvd Calendar'!$U$634&lt;=GRID_TO)*('Dvd Calendar'!$U$634&gt;VAL_DATE)=0,"",'Dvd Calendar'!$U$634*1000000000+ISNUMBER('Dvd Calendar'!$U$635)*100000000+0*10000000+(N('Dvd Calendar'!$U$633)&gt;0)*(N('Dvd Calendar'!$U$633)&lt;=VAL_SERIAL)*1000000+57*1000+57))</f>
        <v/>
      </c>
      <c r="GJ68" s="39">
        <f>IF(N('Dvd Calendar'!$V$634)=0,"",IF(('Dvd Calendar'!$V$634&gt;=GRID_FROM)*('Dvd Calendar'!$V$634&lt;=GRID_TO)*('Dvd Calendar'!$V$634&gt;VAL_DATE)=0,"",'Dvd Calendar'!$V$634*1000000000+ISNUMBER('Dvd Calendar'!$V$635)*100000000+0*10000000+(N('Dvd Calendar'!$V$633)&gt;0)*(N('Dvd Calendar'!$V$633)&lt;=VAL_SERIAL)*1000000+57*1000+58))</f>
        <v/>
      </c>
      <c r="GK68" s="39">
        <f>IF(N('Dvd Calendar'!$W$634)=0,"",IF(('Dvd Calendar'!$W$634&gt;=GRID_FROM)*('Dvd Calendar'!$W$634&lt;=GRID_TO)*('Dvd Calendar'!$W$634&gt;VAL_DATE)=0,"",'Dvd Calendar'!$W$634*1000000000+ISNUMBER('Dvd Calendar'!$W$635)*100000000+0*10000000+(N('Dvd Calendar'!$W$633)&gt;0)*(N('Dvd Calendar'!$W$633)&lt;=VAL_SERIAL)*1000000+57*1000+59))</f>
        <v/>
      </c>
      <c r="GL68" s="39">
        <f>IF(N('Dvd Calendar'!$X$634)=0,"",IF(('Dvd Calendar'!$X$634&gt;=GRID_FROM)*('Dvd Calendar'!$X$634&lt;=GRID_TO)*('Dvd Calendar'!$X$634&gt;VAL_DATE)=0,"",'Dvd Calendar'!$X$634*1000000000+ISNUMBER('Dvd Calendar'!$X$635)*100000000+0*10000000+(N('Dvd Calendar'!$X$633)&gt;0)*(N('Dvd Calendar'!$X$633)&lt;=VAL_SERIAL)*1000000+57*1000+60))</f>
        <v/>
      </c>
      <c r="GM68" s="39">
        <f>IF(N('Dvd Calendar'!$Y$634)=0,"",IF(('Dvd Calendar'!$Y$634&gt;=GRID_FROM)*('Dvd Calendar'!$Y$634&lt;=GRID_TO)*('Dvd Calendar'!$Y$634&gt;VAL_DATE)=0,"",'Dvd Calendar'!$Y$634*1000000000+ISNUMBER('Dvd Calendar'!$Y$635)*100000000+0*10000000+(N('Dvd Calendar'!$Y$633)&gt;0)*(N('Dvd Calendar'!$Y$633)&lt;=VAL_SERIAL)*1000000+57*1000+61))</f>
        <v/>
      </c>
      <c r="GN68" s="39">
        <f>IF(N('Dvd Calendar'!$Z$634)=0,"",IF(('Dvd Calendar'!$Z$634&gt;=GRID_FROM)*('Dvd Calendar'!$Z$634&lt;=GRID_TO)*('Dvd Calendar'!$Z$634&gt;VAL_DATE)=0,"",'Dvd Calendar'!$Z$634*1000000000+ISNUMBER('Dvd Calendar'!$Z$635)*100000000+0*10000000+(N('Dvd Calendar'!$Z$633)&gt;0)*(N('Dvd Calendar'!$Z$633)&lt;=VAL_SERIAL)*1000000+57*1000+62))</f>
        <v/>
      </c>
      <c r="GO68" s="39">
        <f>IF(N('Dvd Calendar'!$AA$634)=0,"",IF(('Dvd Calendar'!$AA$634&gt;=GRID_FROM)*('Dvd Calendar'!$AA$634&lt;=GRID_TO)*('Dvd Calendar'!$AA$634&gt;VAL_DATE)=0,"",'Dvd Calendar'!$AA$634*1000000000+ISNUMBER('Dvd Calendar'!$AA$635)*100000000+0*10000000+(N('Dvd Calendar'!$AA$633)&gt;0)*(N('Dvd Calendar'!$AA$633)&lt;=VAL_SERIAL)*1000000+57*1000+63))</f>
        <v/>
      </c>
      <c r="GP68" s="39">
        <f>IF(N('Dvd Calendar'!$AB$634)=0,"",IF(('Dvd Calendar'!$AB$634&gt;=GRID_FROM)*('Dvd Calendar'!$AB$634&lt;=GRID_TO)*('Dvd Calendar'!$AB$634&gt;VAL_DATE)=0,"",'Dvd Calendar'!$AB$634*1000000000+ISNUMBER('Dvd Calendar'!$AB$635)*100000000+0*10000000+(N('Dvd Calendar'!$AB$633)&gt;0)*(N('Dvd Calendar'!$AB$633)&lt;=VAL_SERIAL)*1000000+57*1000+64))</f>
        <v/>
      </c>
      <c r="GQ68" s="39">
        <f>IF(N('Dvd Calendar'!$AC$634)=0,"",IF(('Dvd Calendar'!$AC$634&gt;=GRID_FROM)*('Dvd Calendar'!$AC$634&lt;=GRID_TO)*('Dvd Calendar'!$AC$634&gt;VAL_DATE)=0,"",'Dvd Calendar'!$AC$634*1000000000+ISNUMBER('Dvd Calendar'!$AC$635)*100000000+0*10000000+(N('Dvd Calendar'!$AC$633)&gt;0)*(N('Dvd Calendar'!$AC$633)&lt;=VAL_SERIAL)*1000000+57*1000+65))</f>
        <v/>
      </c>
    </row>
    <row r="69">
      <c r="B69" s="2">
        <f>IF(HSI!$C$64="","",HSI!$C$64)</f>
        <v/>
      </c>
      <c r="C69" s="110">
        <f>IF(EE69="","",IF(ISNUMBER('Dvd Calendar'!$E$641)=FALSE,"",IF((('Dvd Calendar'!$E$643=TYPE1)*(TYPE1&lt;&gt;"")+('Dvd Calendar'!$E$643=TYPE2)*(TYPE2&lt;&gt;"")+('Dvd Calendar'!$E$643=TYPE3)*(TYPE3&lt;&gt;"")+('Dvd Calendar'!$E$643=TYPE4)*(TYPE4&lt;&gt;"")+('Dvd Calendar'!$E$643=SPECIAL_LBL)*(INC_SPECIALS="Y"))=0,"",'Dvd Calendar'!$E$641)))</f>
        <v/>
      </c>
      <c r="D69" s="110">
        <f>IF(EF69="","",IF(ISNUMBER('Dvd Calendar'!$F$641)=FALSE,"",IF((('Dvd Calendar'!$F$643=TYPE1)*(TYPE1&lt;&gt;"")+('Dvd Calendar'!$F$643=TYPE2)*(TYPE2&lt;&gt;"")+('Dvd Calendar'!$F$643=TYPE3)*(TYPE3&lt;&gt;"")+('Dvd Calendar'!$F$643=TYPE4)*(TYPE4&lt;&gt;"")+('Dvd Calendar'!$F$643=SPECIAL_LBL)*(INC_SPECIALS="Y"))=0,"",'Dvd Calendar'!$F$641)))</f>
        <v/>
      </c>
      <c r="E69" s="110">
        <f>IF(EG69="","",IF(ISNUMBER('Dvd Calendar'!$G$641)=FALSE,"",IF((('Dvd Calendar'!$G$643=TYPE1)*(TYPE1&lt;&gt;"")+('Dvd Calendar'!$G$643=TYPE2)*(TYPE2&lt;&gt;"")+('Dvd Calendar'!$G$643=TYPE3)*(TYPE3&lt;&gt;"")+('Dvd Calendar'!$G$643=TYPE4)*(TYPE4&lt;&gt;"")+('Dvd Calendar'!$G$643=SPECIAL_LBL)*(INC_SPECIALS="Y"))=0,"",'Dvd Calendar'!$G$641)))</f>
        <v/>
      </c>
      <c r="F69" s="110">
        <f>IF(EH69="","",IF(ISNUMBER('Dvd Calendar'!$H$641)=FALSE,"",IF((('Dvd Calendar'!$H$643=TYPE1)*(TYPE1&lt;&gt;"")+('Dvd Calendar'!$H$643=TYPE2)*(TYPE2&lt;&gt;"")+('Dvd Calendar'!$H$643=TYPE3)*(TYPE3&lt;&gt;"")+('Dvd Calendar'!$H$643=TYPE4)*(TYPE4&lt;&gt;"")+('Dvd Calendar'!$H$643=SPECIAL_LBL)*(INC_SPECIALS="Y"))=0,"",'Dvd Calendar'!$H$641)))</f>
        <v/>
      </c>
      <c r="G69" s="110">
        <f>IF(EI69="","",IF(ISNUMBER('Dvd Calendar'!$I$641)=FALSE,"",IF((('Dvd Calendar'!$I$643=TYPE1)*(TYPE1&lt;&gt;"")+('Dvd Calendar'!$I$643=TYPE2)*(TYPE2&lt;&gt;"")+('Dvd Calendar'!$I$643=TYPE3)*(TYPE3&lt;&gt;"")+('Dvd Calendar'!$I$643=TYPE4)*(TYPE4&lt;&gt;"")+('Dvd Calendar'!$I$643=SPECIAL_LBL)*(INC_SPECIALS="Y"))=0,"",'Dvd Calendar'!$I$641)))</f>
        <v/>
      </c>
      <c r="H69" s="110">
        <f>IF(EJ69="","",IF(ISNUMBER('Dvd Calendar'!$J$641)=FALSE,"",IF((('Dvd Calendar'!$J$643=TYPE1)*(TYPE1&lt;&gt;"")+('Dvd Calendar'!$J$643=TYPE2)*(TYPE2&lt;&gt;"")+('Dvd Calendar'!$J$643=TYPE3)*(TYPE3&lt;&gt;"")+('Dvd Calendar'!$J$643=TYPE4)*(TYPE4&lt;&gt;"")+('Dvd Calendar'!$J$643=SPECIAL_LBL)*(INC_SPECIALS="Y"))=0,"",'Dvd Calendar'!$J$641)))</f>
        <v/>
      </c>
      <c r="I69" s="110">
        <f>IF(EK69="","",IF(ISNUMBER('Dvd Calendar'!$K$641)=FALSE,"",IF((('Dvd Calendar'!$K$643=TYPE1)*(TYPE1&lt;&gt;"")+('Dvd Calendar'!$K$643=TYPE2)*(TYPE2&lt;&gt;"")+('Dvd Calendar'!$K$643=TYPE3)*(TYPE3&lt;&gt;"")+('Dvd Calendar'!$K$643=TYPE4)*(TYPE4&lt;&gt;"")+('Dvd Calendar'!$K$643=SPECIAL_LBL)*(INC_SPECIALS="Y"))=0,"",'Dvd Calendar'!$K$641)))</f>
        <v/>
      </c>
      <c r="J69" s="110">
        <f>IF(EL69="","",IF(ISNUMBER('Dvd Calendar'!$L$641)=FALSE,"",IF((('Dvd Calendar'!$L$643=TYPE1)*(TYPE1&lt;&gt;"")+('Dvd Calendar'!$L$643=TYPE2)*(TYPE2&lt;&gt;"")+('Dvd Calendar'!$L$643=TYPE3)*(TYPE3&lt;&gt;"")+('Dvd Calendar'!$L$643=TYPE4)*(TYPE4&lt;&gt;"")+('Dvd Calendar'!$L$643=SPECIAL_LBL)*(INC_SPECIALS="Y"))=0,"",'Dvd Calendar'!$L$641)))</f>
        <v/>
      </c>
      <c r="K69" s="110">
        <f>IF(EM69="","",IF(ISNUMBER('Dvd Calendar'!$M$641)=FALSE,"",IF((('Dvd Calendar'!$M$643=TYPE1)*(TYPE1&lt;&gt;"")+('Dvd Calendar'!$M$643=TYPE2)*(TYPE2&lt;&gt;"")+('Dvd Calendar'!$M$643=TYPE3)*(TYPE3&lt;&gt;"")+('Dvd Calendar'!$M$643=TYPE4)*(TYPE4&lt;&gt;"")+('Dvd Calendar'!$M$643=SPECIAL_LBL)*(INC_SPECIALS="Y"))=0,"",'Dvd Calendar'!$M$641)))</f>
        <v/>
      </c>
      <c r="L69" s="110">
        <f>IF(EN69="","",IF(ISNUMBER('Dvd Calendar'!$N$641)=FALSE,"",IF((('Dvd Calendar'!$N$643=TYPE1)*(TYPE1&lt;&gt;"")+('Dvd Calendar'!$N$643=TYPE2)*(TYPE2&lt;&gt;"")+('Dvd Calendar'!$N$643=TYPE3)*(TYPE3&lt;&gt;"")+('Dvd Calendar'!$N$643=TYPE4)*(TYPE4&lt;&gt;"")+('Dvd Calendar'!$N$643=SPECIAL_LBL)*(INC_SPECIALS="Y"))=0,"",'Dvd Calendar'!$N$641)))</f>
        <v/>
      </c>
      <c r="M69" s="110">
        <f>IF(EO69="","",IF(ISNUMBER('Dvd Calendar'!$O$641)=FALSE,"",IF((('Dvd Calendar'!$O$643=TYPE1)*(TYPE1&lt;&gt;"")+('Dvd Calendar'!$O$643=TYPE2)*(TYPE2&lt;&gt;"")+('Dvd Calendar'!$O$643=TYPE3)*(TYPE3&lt;&gt;"")+('Dvd Calendar'!$O$643=TYPE4)*(TYPE4&lt;&gt;"")+('Dvd Calendar'!$O$643=SPECIAL_LBL)*(INC_SPECIALS="Y"))=0,"",'Dvd Calendar'!$O$641)))</f>
        <v/>
      </c>
      <c r="N69" s="110">
        <f>IF(EP69="","",IF(ISNUMBER('Dvd Calendar'!$P$641)=FALSE,"",IF((('Dvd Calendar'!$P$643=TYPE1)*(TYPE1&lt;&gt;"")+('Dvd Calendar'!$P$643=TYPE2)*(TYPE2&lt;&gt;"")+('Dvd Calendar'!$P$643=TYPE3)*(TYPE3&lt;&gt;"")+('Dvd Calendar'!$P$643=TYPE4)*(TYPE4&lt;&gt;"")+('Dvd Calendar'!$P$643=SPECIAL_LBL)*(INC_SPECIALS="Y"))=0,"",'Dvd Calendar'!$P$641)))</f>
        <v/>
      </c>
      <c r="O69" s="110">
        <f>IF(EQ69="","",IF(ISNUMBER('Dvd Calendar'!$Q$641)=FALSE,"",IF((('Dvd Calendar'!$Q$643=TYPE1)*(TYPE1&lt;&gt;"")+('Dvd Calendar'!$Q$643=TYPE2)*(TYPE2&lt;&gt;"")+('Dvd Calendar'!$Q$643=TYPE3)*(TYPE3&lt;&gt;"")+('Dvd Calendar'!$Q$643=TYPE4)*(TYPE4&lt;&gt;"")+('Dvd Calendar'!$Q$643=SPECIAL_LBL)*(INC_SPECIALS="Y"))=0,"",'Dvd Calendar'!$Q$641)))</f>
        <v/>
      </c>
      <c r="P69" s="110">
        <f>IF(ER69="","",IF(ISNUMBER('Dvd Calendar'!$R$641)=FALSE,"",IF((('Dvd Calendar'!$R$643=TYPE1)*(TYPE1&lt;&gt;"")+('Dvd Calendar'!$R$643=TYPE2)*(TYPE2&lt;&gt;"")+('Dvd Calendar'!$R$643=TYPE3)*(TYPE3&lt;&gt;"")+('Dvd Calendar'!$R$643=TYPE4)*(TYPE4&lt;&gt;"")+('Dvd Calendar'!$R$643=SPECIAL_LBL)*(INC_SPECIALS="Y"))=0,"",'Dvd Calendar'!$R$641)))</f>
        <v/>
      </c>
      <c r="Q69" s="110">
        <f>IF(ES69="","",IF(ISNUMBER('Dvd Calendar'!$S$641)=FALSE,"",IF((('Dvd Calendar'!$S$643=TYPE1)*(TYPE1&lt;&gt;"")+('Dvd Calendar'!$S$643=TYPE2)*(TYPE2&lt;&gt;"")+('Dvd Calendar'!$S$643=TYPE3)*(TYPE3&lt;&gt;"")+('Dvd Calendar'!$S$643=TYPE4)*(TYPE4&lt;&gt;"")+('Dvd Calendar'!$S$643=SPECIAL_LBL)*(INC_SPECIALS="Y"))=0,"",'Dvd Calendar'!$S$641)))</f>
        <v/>
      </c>
      <c r="R69" s="110">
        <f>IF(ET69="","",IF(ISNUMBER('Dvd Calendar'!$T$641)=FALSE,"",IF((('Dvd Calendar'!$T$643=TYPE1)*(TYPE1&lt;&gt;"")+('Dvd Calendar'!$T$643=TYPE2)*(TYPE2&lt;&gt;"")+('Dvd Calendar'!$T$643=TYPE3)*(TYPE3&lt;&gt;"")+('Dvd Calendar'!$T$643=TYPE4)*(TYPE4&lt;&gt;"")+('Dvd Calendar'!$T$643=SPECIAL_LBL)*(INC_SPECIALS="Y"))=0,"",'Dvd Calendar'!$T$641)))</f>
        <v/>
      </c>
      <c r="S69" s="110">
        <f>IF(EU69="","",IF(ISNUMBER('Dvd Calendar'!$U$641)=FALSE,"",IF((('Dvd Calendar'!$U$643=TYPE1)*(TYPE1&lt;&gt;"")+('Dvd Calendar'!$U$643=TYPE2)*(TYPE2&lt;&gt;"")+('Dvd Calendar'!$U$643=TYPE3)*(TYPE3&lt;&gt;"")+('Dvd Calendar'!$U$643=TYPE4)*(TYPE4&lt;&gt;"")+('Dvd Calendar'!$U$643=SPECIAL_LBL)*(INC_SPECIALS="Y"))=0,"",'Dvd Calendar'!$U$641)))</f>
        <v/>
      </c>
      <c r="T69" s="110">
        <f>IF(EV69="","",IF(ISNUMBER('Dvd Calendar'!$V$641)=FALSE,"",IF((('Dvd Calendar'!$V$643=TYPE1)*(TYPE1&lt;&gt;"")+('Dvd Calendar'!$V$643=TYPE2)*(TYPE2&lt;&gt;"")+('Dvd Calendar'!$V$643=TYPE3)*(TYPE3&lt;&gt;"")+('Dvd Calendar'!$V$643=TYPE4)*(TYPE4&lt;&gt;"")+('Dvd Calendar'!$V$643=SPECIAL_LBL)*(INC_SPECIALS="Y"))=0,"",'Dvd Calendar'!$V$641)))</f>
        <v/>
      </c>
      <c r="U69" s="110">
        <f>IF(EW69="","",IF(ISNUMBER('Dvd Calendar'!$W$641)=FALSE,"",IF((('Dvd Calendar'!$W$643=TYPE1)*(TYPE1&lt;&gt;"")+('Dvd Calendar'!$W$643=TYPE2)*(TYPE2&lt;&gt;"")+('Dvd Calendar'!$W$643=TYPE3)*(TYPE3&lt;&gt;"")+('Dvd Calendar'!$W$643=TYPE4)*(TYPE4&lt;&gt;"")+('Dvd Calendar'!$W$643=SPECIAL_LBL)*(INC_SPECIALS="Y"))=0,"",'Dvd Calendar'!$W$641)))</f>
        <v/>
      </c>
      <c r="V69" s="110">
        <f>IF(EX69="","",IF(ISNUMBER('Dvd Calendar'!$X$641)=FALSE,"",IF((('Dvd Calendar'!$X$643=TYPE1)*(TYPE1&lt;&gt;"")+('Dvd Calendar'!$X$643=TYPE2)*(TYPE2&lt;&gt;"")+('Dvd Calendar'!$X$643=TYPE3)*(TYPE3&lt;&gt;"")+('Dvd Calendar'!$X$643=TYPE4)*(TYPE4&lt;&gt;"")+('Dvd Calendar'!$X$643=SPECIAL_LBL)*(INC_SPECIALS="Y"))=0,"",'Dvd Calendar'!$X$641)))</f>
        <v/>
      </c>
      <c r="W69" s="110">
        <f>IF(EY69="","",IF(ISNUMBER('Dvd Calendar'!$Y$641)=FALSE,"",IF((('Dvd Calendar'!$Y$643=TYPE1)*(TYPE1&lt;&gt;"")+('Dvd Calendar'!$Y$643=TYPE2)*(TYPE2&lt;&gt;"")+('Dvd Calendar'!$Y$643=TYPE3)*(TYPE3&lt;&gt;"")+('Dvd Calendar'!$Y$643=TYPE4)*(TYPE4&lt;&gt;"")+('Dvd Calendar'!$Y$643=SPECIAL_LBL)*(INC_SPECIALS="Y"))=0,"",'Dvd Calendar'!$Y$641)))</f>
        <v/>
      </c>
      <c r="X69" s="110">
        <f>IF(EZ69="","",IF(ISNUMBER('Dvd Calendar'!$Z$641)=FALSE,"",IF((('Dvd Calendar'!$Z$643=TYPE1)*(TYPE1&lt;&gt;"")+('Dvd Calendar'!$Z$643=TYPE2)*(TYPE2&lt;&gt;"")+('Dvd Calendar'!$Z$643=TYPE3)*(TYPE3&lt;&gt;"")+('Dvd Calendar'!$Z$643=TYPE4)*(TYPE4&lt;&gt;"")+('Dvd Calendar'!$Z$643=SPECIAL_LBL)*(INC_SPECIALS="Y"))=0,"",'Dvd Calendar'!$Z$641)))</f>
        <v/>
      </c>
      <c r="Y69" s="110">
        <f>IF(FA69="","",IF(ISNUMBER('Dvd Calendar'!$AA$641)=FALSE,"",IF((('Dvd Calendar'!$AA$643=TYPE1)*(TYPE1&lt;&gt;"")+('Dvd Calendar'!$AA$643=TYPE2)*(TYPE2&lt;&gt;"")+('Dvd Calendar'!$AA$643=TYPE3)*(TYPE3&lt;&gt;"")+('Dvd Calendar'!$AA$643=TYPE4)*(TYPE4&lt;&gt;"")+('Dvd Calendar'!$AA$643=SPECIAL_LBL)*(INC_SPECIALS="Y"))=0,"",'Dvd Calendar'!$AA$641)))</f>
        <v/>
      </c>
      <c r="Z69" s="110">
        <f>IF(FB69="","",IF(ISNUMBER('Dvd Calendar'!$AB$641)=FALSE,"",IF((('Dvd Calendar'!$AB$643=TYPE1)*(TYPE1&lt;&gt;"")+('Dvd Calendar'!$AB$643=TYPE2)*(TYPE2&lt;&gt;"")+('Dvd Calendar'!$AB$643=TYPE3)*(TYPE3&lt;&gt;"")+('Dvd Calendar'!$AB$643=TYPE4)*(TYPE4&lt;&gt;"")+('Dvd Calendar'!$AB$643=SPECIAL_LBL)*(INC_SPECIALS="Y"))=0,"",'Dvd Calendar'!$AB$641)))</f>
        <v/>
      </c>
      <c r="AA69" s="110">
        <f>IF(FC69="","",IF(ISNUMBER('Dvd Calendar'!$AC$641)=FALSE,"",IF((('Dvd Calendar'!$AC$643=TYPE1)*(TYPE1&lt;&gt;"")+('Dvd Calendar'!$AC$643=TYPE2)*(TYPE2&lt;&gt;"")+('Dvd Calendar'!$AC$643=TYPE3)*(TYPE3&lt;&gt;"")+('Dvd Calendar'!$AC$643=TYPE4)*(TYPE4&lt;&gt;"")+('Dvd Calendar'!$AC$643=SPECIAL_LBL)*(INC_SPECIALS="Y"))=0,"",'Dvd Calendar'!$AC$641)))</f>
        <v/>
      </c>
      <c r="AB69" s="110">
        <f>IF(FD69="","",IF(ISNUMBER('Dvd Calendar'!$AD$641)=FALSE,"",IF((('Dvd Calendar'!$AD$643=TYPE1)*(TYPE1&lt;&gt;"")+('Dvd Calendar'!$AD$643=TYPE2)*(TYPE2&lt;&gt;"")+('Dvd Calendar'!$AD$643=TYPE3)*(TYPE3&lt;&gt;"")+('Dvd Calendar'!$AD$643=TYPE4)*(TYPE4&lt;&gt;"")+('Dvd Calendar'!$AD$643=SPECIAL_LBL)*(INC_SPECIALS="Y"))=0,"",'Dvd Calendar'!$AD$641)))</f>
        <v/>
      </c>
      <c r="AC69" s="110">
        <f>IF(FE69="","",IF(ISNUMBER('Dvd Calendar'!$AE$641)=FALSE,"",IF((('Dvd Calendar'!$AE$643=TYPE1)*(TYPE1&lt;&gt;"")+('Dvd Calendar'!$AE$643=TYPE2)*(TYPE2&lt;&gt;"")+('Dvd Calendar'!$AE$643=TYPE3)*(TYPE3&lt;&gt;"")+('Dvd Calendar'!$AE$643=TYPE4)*(TYPE4&lt;&gt;"")+('Dvd Calendar'!$AE$643=SPECIAL_LBL)*(INC_SPECIALS="Y"))=0,"",'Dvd Calendar'!$AE$641)))</f>
        <v/>
      </c>
      <c r="AD69" s="110">
        <f>IF(FF69="","",IF(ISNUMBER('Dvd Calendar'!$AF$641)=FALSE,"",IF((('Dvd Calendar'!$AF$643=TYPE1)*(TYPE1&lt;&gt;"")+('Dvd Calendar'!$AF$643=TYPE2)*(TYPE2&lt;&gt;"")+('Dvd Calendar'!$AF$643=TYPE3)*(TYPE3&lt;&gt;"")+('Dvd Calendar'!$AF$643=TYPE4)*(TYPE4&lt;&gt;"")+('Dvd Calendar'!$AF$643=SPECIAL_LBL)*(INC_SPECIALS="Y"))=0,"",'Dvd Calendar'!$AF$641)))</f>
        <v/>
      </c>
      <c r="AE69" s="110">
        <f>IF(FG69="","",IF(ISNUMBER('Dvd Calendar'!$AG$641)=FALSE,"",IF((('Dvd Calendar'!$AG$643=TYPE1)*(TYPE1&lt;&gt;"")+('Dvd Calendar'!$AG$643=TYPE2)*(TYPE2&lt;&gt;"")+('Dvd Calendar'!$AG$643=TYPE3)*(TYPE3&lt;&gt;"")+('Dvd Calendar'!$AG$643=TYPE4)*(TYPE4&lt;&gt;"")+('Dvd Calendar'!$AG$643=SPECIAL_LBL)*(INC_SPECIALS="Y"))=0,"",'Dvd Calendar'!$AG$641)))</f>
        <v/>
      </c>
      <c r="AF69" s="110">
        <f>IF(FH69="","",IF(ISNUMBER('Dvd Calendar'!$AH$641)=FALSE,"",IF((('Dvd Calendar'!$AH$643=TYPE1)*(TYPE1&lt;&gt;"")+('Dvd Calendar'!$AH$643=TYPE2)*(TYPE2&lt;&gt;"")+('Dvd Calendar'!$AH$643=TYPE3)*(TYPE3&lt;&gt;"")+('Dvd Calendar'!$AH$643=TYPE4)*(TYPE4&lt;&gt;"")+('Dvd Calendar'!$AH$643=SPECIAL_LBL)*(INC_SPECIALS="Y"))=0,"",'Dvd Calendar'!$AH$641)))</f>
        <v/>
      </c>
      <c r="AG69" s="110">
        <f>IF(FI69="","",IF(ISNUMBER('Dvd Calendar'!$AI$641)=FALSE,"",IF((('Dvd Calendar'!$AI$643=TYPE1)*(TYPE1&lt;&gt;"")+('Dvd Calendar'!$AI$643=TYPE2)*(TYPE2&lt;&gt;"")+('Dvd Calendar'!$AI$643=TYPE3)*(TYPE3&lt;&gt;"")+('Dvd Calendar'!$AI$643=TYPE4)*(TYPE4&lt;&gt;"")+('Dvd Calendar'!$AI$643=SPECIAL_LBL)*(INC_SPECIALS="Y"))=0,"",'Dvd Calendar'!$AI$641)))</f>
        <v/>
      </c>
      <c r="AH69" s="110">
        <f>IF(FJ69="","",IF(ISNUMBER('Dvd Calendar'!$AJ$641)=FALSE,"",IF((('Dvd Calendar'!$AJ$643=TYPE1)*(TYPE1&lt;&gt;"")+('Dvd Calendar'!$AJ$643=TYPE2)*(TYPE2&lt;&gt;"")+('Dvd Calendar'!$AJ$643=TYPE3)*(TYPE3&lt;&gt;"")+('Dvd Calendar'!$AJ$643=TYPE4)*(TYPE4&lt;&gt;"")+('Dvd Calendar'!$AJ$643=SPECIAL_LBL)*(INC_SPECIALS="Y"))=0,"",'Dvd Calendar'!$AJ$641)))</f>
        <v/>
      </c>
      <c r="AI69" s="110">
        <f>IF(FK69="","",IF(ISNUMBER('Dvd Calendar'!$AK$641)=FALSE,"",IF((('Dvd Calendar'!$AK$643=TYPE1)*(TYPE1&lt;&gt;"")+('Dvd Calendar'!$AK$643=TYPE2)*(TYPE2&lt;&gt;"")+('Dvd Calendar'!$AK$643=TYPE3)*(TYPE3&lt;&gt;"")+('Dvd Calendar'!$AK$643=TYPE4)*(TYPE4&lt;&gt;"")+('Dvd Calendar'!$AK$643=SPECIAL_LBL)*(INC_SPECIALS="Y"))=0,"",'Dvd Calendar'!$AK$641)))</f>
        <v/>
      </c>
      <c r="AJ69" s="110">
        <f>IF(FL69="","",IF(ISNUMBER('Dvd Calendar'!$AL$641)=FALSE,"",IF((('Dvd Calendar'!$AL$643=TYPE1)*(TYPE1&lt;&gt;"")+('Dvd Calendar'!$AL$643=TYPE2)*(TYPE2&lt;&gt;"")+('Dvd Calendar'!$AL$643=TYPE3)*(TYPE3&lt;&gt;"")+('Dvd Calendar'!$AL$643=TYPE4)*(TYPE4&lt;&gt;"")+('Dvd Calendar'!$AL$643=SPECIAL_LBL)*(INC_SPECIALS="Y"))=0,"",'Dvd Calendar'!$AL$641)))</f>
        <v/>
      </c>
      <c r="AK69" s="110">
        <f>IF(FM69="","",IF(ISNUMBER('Dvd Calendar'!$AM$641)=FALSE,"",IF((('Dvd Calendar'!$AM$643=TYPE1)*(TYPE1&lt;&gt;"")+('Dvd Calendar'!$AM$643=TYPE2)*(TYPE2&lt;&gt;"")+('Dvd Calendar'!$AM$643=TYPE3)*(TYPE3&lt;&gt;"")+('Dvd Calendar'!$AM$643=TYPE4)*(TYPE4&lt;&gt;"")+('Dvd Calendar'!$AM$643=SPECIAL_LBL)*(INC_SPECIALS="Y"))=0,"",'Dvd Calendar'!$AM$641)))</f>
        <v/>
      </c>
      <c r="AL69" s="110">
        <f>IF(FN69="","",IF(ISNUMBER('Dvd Calendar'!$AN$641)=FALSE,"",IF((('Dvd Calendar'!$AN$643=TYPE1)*(TYPE1&lt;&gt;"")+('Dvd Calendar'!$AN$643=TYPE2)*(TYPE2&lt;&gt;"")+('Dvd Calendar'!$AN$643=TYPE3)*(TYPE3&lt;&gt;"")+('Dvd Calendar'!$AN$643=TYPE4)*(TYPE4&lt;&gt;"")+('Dvd Calendar'!$AN$643=SPECIAL_LBL)*(INC_SPECIALS="Y"))=0,"",'Dvd Calendar'!$AN$641)))</f>
        <v/>
      </c>
      <c r="AM69" s="110">
        <f>IF(FO69="","",IF(ISNUMBER('Dvd Calendar'!$AO$641)=FALSE,"",IF((('Dvd Calendar'!$AO$643=TYPE1)*(TYPE1&lt;&gt;"")+('Dvd Calendar'!$AO$643=TYPE2)*(TYPE2&lt;&gt;"")+('Dvd Calendar'!$AO$643=TYPE3)*(TYPE3&lt;&gt;"")+('Dvd Calendar'!$AO$643=TYPE4)*(TYPE4&lt;&gt;"")+('Dvd Calendar'!$AO$643=SPECIAL_LBL)*(INC_SPECIALS="Y"))=0,"",'Dvd Calendar'!$AO$641)))</f>
        <v/>
      </c>
      <c r="AN69" s="110">
        <f>IF(FP69="","",IF(ISNUMBER('Dvd Calendar'!$AP$641)=FALSE,"",IF((('Dvd Calendar'!$AP$643=TYPE1)*(TYPE1&lt;&gt;"")+('Dvd Calendar'!$AP$643=TYPE2)*(TYPE2&lt;&gt;"")+('Dvd Calendar'!$AP$643=TYPE3)*(TYPE3&lt;&gt;"")+('Dvd Calendar'!$AP$643=TYPE4)*(TYPE4&lt;&gt;"")+('Dvd Calendar'!$AP$643=SPECIAL_LBL)*(INC_SPECIALS="Y"))=0,"",'Dvd Calendar'!$AP$641)))</f>
        <v/>
      </c>
      <c r="AO69" s="110">
        <f>IF(FQ69="","",IF(ISNUMBER('Dvd Calendar'!$AQ$641)=FALSE,"",IF((('Dvd Calendar'!$AQ$643=TYPE1)*(TYPE1&lt;&gt;"")+('Dvd Calendar'!$AQ$643=TYPE2)*(TYPE2&lt;&gt;"")+('Dvd Calendar'!$AQ$643=TYPE3)*(TYPE3&lt;&gt;"")+('Dvd Calendar'!$AQ$643=TYPE4)*(TYPE4&lt;&gt;"")+('Dvd Calendar'!$AQ$643=SPECIAL_LBL)*(INC_SPECIALS="Y"))=0,"",'Dvd Calendar'!$AQ$641)))</f>
        <v/>
      </c>
      <c r="AP69" s="110">
        <f>IF(FR69="","",IF(ISNUMBER('Dvd Calendar'!$AR$641)=FALSE,"",IF((('Dvd Calendar'!$AR$643=TYPE1)*(TYPE1&lt;&gt;"")+('Dvd Calendar'!$AR$643=TYPE2)*(TYPE2&lt;&gt;"")+('Dvd Calendar'!$AR$643=TYPE3)*(TYPE3&lt;&gt;"")+('Dvd Calendar'!$AR$643=TYPE4)*(TYPE4&lt;&gt;"")+('Dvd Calendar'!$AR$643=SPECIAL_LBL)*(INC_SPECIALS="Y"))=0,"",'Dvd Calendar'!$AR$641)))</f>
        <v/>
      </c>
      <c r="AQ69" s="110">
        <f>IF(FS69="","",IF(ISNUMBER('Dvd Calendar'!$E$646)=FALSE,"",'Dvd Calendar'!$E$646))</f>
        <v/>
      </c>
      <c r="AR69" s="110">
        <f>IF(FT69="","",IF(ISNUMBER('Dvd Calendar'!$F$646)=FALSE,"",'Dvd Calendar'!$F$646))</f>
        <v/>
      </c>
      <c r="AS69" s="110">
        <f>IF(FU69="","",IF(ISNUMBER('Dvd Calendar'!$G$646)=FALSE,"",'Dvd Calendar'!$G$646))</f>
        <v/>
      </c>
      <c r="AT69" s="110">
        <f>IF(FV69="","",IF(ISNUMBER('Dvd Calendar'!$H$646)=FALSE,"",'Dvd Calendar'!$H$646))</f>
        <v/>
      </c>
      <c r="AU69" s="110">
        <f>IF(FW69="","",IF(ISNUMBER('Dvd Calendar'!$I$646)=FALSE,"",'Dvd Calendar'!$I$646))</f>
        <v/>
      </c>
      <c r="AV69" s="110">
        <f>IF(FX69="","",IF(ISNUMBER('Dvd Calendar'!$J$646)=FALSE,"",'Dvd Calendar'!$J$646))</f>
        <v/>
      </c>
      <c r="AW69" s="110">
        <f>IF(FY69="","",IF(ISNUMBER('Dvd Calendar'!$K$646)=FALSE,"",'Dvd Calendar'!$K$646))</f>
        <v/>
      </c>
      <c r="AX69" s="110">
        <f>IF(FZ69="","",IF(ISNUMBER('Dvd Calendar'!$L$646)=FALSE,"",'Dvd Calendar'!$L$646))</f>
        <v/>
      </c>
      <c r="AY69" s="110">
        <f>IF(GA69="","",IF(ISNUMBER('Dvd Calendar'!$M$646)=FALSE,"",'Dvd Calendar'!$M$646))</f>
        <v/>
      </c>
      <c r="AZ69" s="110">
        <f>IF(GB69="","",IF(ISNUMBER('Dvd Calendar'!$N$646)=FALSE,"",'Dvd Calendar'!$N$646))</f>
        <v/>
      </c>
      <c r="BA69" s="110">
        <f>IF(GC69="","",IF(ISNUMBER('Dvd Calendar'!$O$646)=FALSE,"",'Dvd Calendar'!$O$646))</f>
        <v/>
      </c>
      <c r="BB69" s="110">
        <f>IF(GD69="","",IF(ISNUMBER('Dvd Calendar'!$P$646)=FALSE,"",'Dvd Calendar'!$P$646))</f>
        <v/>
      </c>
      <c r="BC69" s="110">
        <f>IF(GE69="","",IF(ISNUMBER('Dvd Calendar'!$Q$646)=FALSE,"",'Dvd Calendar'!$Q$646))</f>
        <v/>
      </c>
      <c r="BD69" s="110">
        <f>IF(GF69="","",IF(ISNUMBER('Dvd Calendar'!$R$646)=FALSE,"",'Dvd Calendar'!$R$646))</f>
        <v/>
      </c>
      <c r="BE69" s="110">
        <f>IF(GG69="","",IF(ISNUMBER('Dvd Calendar'!$S$646)=FALSE,"",'Dvd Calendar'!$S$646))</f>
        <v/>
      </c>
      <c r="BF69" s="110">
        <f>IF(GH69="","",IF(ISNUMBER('Dvd Calendar'!$T$646)=FALSE,"",'Dvd Calendar'!$T$646))</f>
        <v/>
      </c>
      <c r="BG69" s="110">
        <f>IF(GI69="","",IF(ISNUMBER('Dvd Calendar'!$U$646)=FALSE,"",'Dvd Calendar'!$U$646))</f>
        <v/>
      </c>
      <c r="BH69" s="110">
        <f>IF(GJ69="","",IF(ISNUMBER('Dvd Calendar'!$V$646)=FALSE,"",'Dvd Calendar'!$V$646))</f>
        <v/>
      </c>
      <c r="BI69" s="110">
        <f>IF(GK69="","",IF(ISNUMBER('Dvd Calendar'!$W$646)=FALSE,"",'Dvd Calendar'!$W$646))</f>
        <v/>
      </c>
      <c r="BJ69" s="110">
        <f>IF(GL69="","",IF(ISNUMBER('Dvd Calendar'!$X$646)=FALSE,"",'Dvd Calendar'!$X$646))</f>
        <v/>
      </c>
      <c r="BK69" s="110">
        <f>IF(GM69="","",IF(ISNUMBER('Dvd Calendar'!$Y$646)=FALSE,"",'Dvd Calendar'!$Y$646))</f>
        <v/>
      </c>
      <c r="BL69" s="110">
        <f>IF(GN69="","",IF(ISNUMBER('Dvd Calendar'!$Z$646)=FALSE,"",'Dvd Calendar'!$Z$646))</f>
        <v/>
      </c>
      <c r="BM69" s="110">
        <f>IF(GO69="","",IF(ISNUMBER('Dvd Calendar'!$AA$646)=FALSE,"",'Dvd Calendar'!$AA$646))</f>
        <v/>
      </c>
      <c r="BN69" s="110">
        <f>IF(GP69="","",IF(ISNUMBER('Dvd Calendar'!$AB$646)=FALSE,"",'Dvd Calendar'!$AB$646))</f>
        <v/>
      </c>
      <c r="BO69" s="110">
        <f>IF(GQ69="","",IF(ISNUMBER('Dvd Calendar'!$AC$646)=FALSE,"",'Dvd Calendar'!$AC$646))</f>
        <v/>
      </c>
      <c r="BQ69" s="110">
        <f>IF(C69="","",IFERROR(C69*HSI!$B$64*HSI!$G$64/HSI!$B$3,""))</f>
        <v/>
      </c>
      <c r="BR69" s="110">
        <f>IF(D69="","",IFERROR(D69*HSI!$B$64*HSI!$G$64/HSI!$B$3,""))</f>
        <v/>
      </c>
      <c r="BS69" s="110">
        <f>IF(E69="","",IFERROR(E69*HSI!$B$64*HSI!$G$64/HSI!$B$3,""))</f>
        <v/>
      </c>
      <c r="BT69" s="110">
        <f>IF(F69="","",IFERROR(F69*HSI!$B$64*HSI!$G$64/HSI!$B$3,""))</f>
        <v/>
      </c>
      <c r="BU69" s="110">
        <f>IF(G69="","",IFERROR(G69*HSI!$B$64*HSI!$G$64/HSI!$B$3,""))</f>
        <v/>
      </c>
      <c r="BV69" s="110">
        <f>IF(H69="","",IFERROR(H69*HSI!$B$64*HSI!$G$64/HSI!$B$3,""))</f>
        <v/>
      </c>
      <c r="BW69" s="110">
        <f>IF(I69="","",IFERROR(I69*HSI!$B$64*HSI!$G$64/HSI!$B$3,""))</f>
        <v/>
      </c>
      <c r="BX69" s="110">
        <f>IF(J69="","",IFERROR(J69*HSI!$B$64*HSI!$G$64/HSI!$B$3,""))</f>
        <v/>
      </c>
      <c r="BY69" s="110">
        <f>IF(K69="","",IFERROR(K69*HSI!$B$64*HSI!$G$64/HSI!$B$3,""))</f>
        <v/>
      </c>
      <c r="BZ69" s="110">
        <f>IF(L69="","",IFERROR(L69*HSI!$B$64*HSI!$G$64/HSI!$B$3,""))</f>
        <v/>
      </c>
      <c r="CA69" s="110">
        <f>IF(M69="","",IFERROR(M69*HSI!$B$64*HSI!$G$64/HSI!$B$3,""))</f>
        <v/>
      </c>
      <c r="CB69" s="110">
        <f>IF(N69="","",IFERROR(N69*HSI!$B$64*HSI!$G$64/HSI!$B$3,""))</f>
        <v/>
      </c>
      <c r="CC69" s="110">
        <f>IF(O69="","",IFERROR(O69*HSI!$B$64*HSI!$G$64/HSI!$B$3,""))</f>
        <v/>
      </c>
      <c r="CD69" s="110">
        <f>IF(P69="","",IFERROR(P69*HSI!$B$64*HSI!$G$64/HSI!$B$3,""))</f>
        <v/>
      </c>
      <c r="CE69" s="110">
        <f>IF(Q69="","",IFERROR(Q69*HSI!$B$64*HSI!$G$64/HSI!$B$3,""))</f>
        <v/>
      </c>
      <c r="CF69" s="110">
        <f>IF(R69="","",IFERROR(R69*HSI!$B$64*HSI!$G$64/HSI!$B$3,""))</f>
        <v/>
      </c>
      <c r="CG69" s="110">
        <f>IF(S69="","",IFERROR(S69*HSI!$B$64*HSI!$G$64/HSI!$B$3,""))</f>
        <v/>
      </c>
      <c r="CH69" s="110">
        <f>IF(T69="","",IFERROR(T69*HSI!$B$64*HSI!$G$64/HSI!$B$3,""))</f>
        <v/>
      </c>
      <c r="CI69" s="110">
        <f>IF(U69="","",IFERROR(U69*HSI!$B$64*HSI!$G$64/HSI!$B$3,""))</f>
        <v/>
      </c>
      <c r="CJ69" s="110">
        <f>IF(V69="","",IFERROR(V69*HSI!$B$64*HSI!$G$64/HSI!$B$3,""))</f>
        <v/>
      </c>
      <c r="CK69" s="110">
        <f>IF(W69="","",IFERROR(W69*HSI!$B$64*HSI!$G$64/HSI!$B$3,""))</f>
        <v/>
      </c>
      <c r="CL69" s="110">
        <f>IF(X69="","",IFERROR(X69*HSI!$B$64*HSI!$G$64/HSI!$B$3,""))</f>
        <v/>
      </c>
      <c r="CM69" s="110">
        <f>IF(Y69="","",IFERROR(Y69*HSI!$B$64*HSI!$G$64/HSI!$B$3,""))</f>
        <v/>
      </c>
      <c r="CN69" s="110">
        <f>IF(Z69="","",IFERROR(Z69*HSI!$B$64*HSI!$G$64/HSI!$B$3,""))</f>
        <v/>
      </c>
      <c r="CO69" s="110">
        <f>IF(AA69="","",IFERROR(AA69*HSI!$B$64*HSI!$G$64/HSI!$B$3,""))</f>
        <v/>
      </c>
      <c r="CP69" s="110">
        <f>IF(AB69="","",IFERROR(AB69*HSI!$B$64*HSI!$G$64/HSI!$B$3,""))</f>
        <v/>
      </c>
      <c r="CQ69" s="110">
        <f>IF(AC69="","",IFERROR(AC69*HSI!$B$64*HSI!$G$64/HSI!$B$3,""))</f>
        <v/>
      </c>
      <c r="CR69" s="110">
        <f>IF(AD69="","",IFERROR(AD69*HSI!$B$64*HSI!$G$64/HSI!$B$3,""))</f>
        <v/>
      </c>
      <c r="CS69" s="110">
        <f>IF(AE69="","",IFERROR(AE69*HSI!$B$64*HSI!$G$64/HSI!$B$3,""))</f>
        <v/>
      </c>
      <c r="CT69" s="110">
        <f>IF(AF69="","",IFERROR(AF69*HSI!$B$64*HSI!$G$64/HSI!$B$3,""))</f>
        <v/>
      </c>
      <c r="CU69" s="110">
        <f>IF(AG69="","",IFERROR(AG69*HSI!$B$64*HSI!$G$64/HSI!$B$3,""))</f>
        <v/>
      </c>
      <c r="CV69" s="110">
        <f>IF(AH69="","",IFERROR(AH69*HSI!$B$64*HSI!$G$64/HSI!$B$3,""))</f>
        <v/>
      </c>
      <c r="CW69" s="110">
        <f>IF(AI69="","",IFERROR(AI69*HSI!$B$64*HSI!$G$64/HSI!$B$3,""))</f>
        <v/>
      </c>
      <c r="CX69" s="110">
        <f>IF(AJ69="","",IFERROR(AJ69*HSI!$B$64*HSI!$G$64/HSI!$B$3,""))</f>
        <v/>
      </c>
      <c r="CY69" s="110">
        <f>IF(AK69="","",IFERROR(AK69*HSI!$B$64*HSI!$G$64/HSI!$B$3,""))</f>
        <v/>
      </c>
      <c r="CZ69" s="110">
        <f>IF(AL69="","",IFERROR(AL69*HSI!$B$64*HSI!$G$64/HSI!$B$3,""))</f>
        <v/>
      </c>
      <c r="DA69" s="110">
        <f>IF(AM69="","",IFERROR(AM69*HSI!$B$64*HSI!$G$64/HSI!$B$3,""))</f>
        <v/>
      </c>
      <c r="DB69" s="110">
        <f>IF(AN69="","",IFERROR(AN69*HSI!$B$64*HSI!$G$64/HSI!$B$3,""))</f>
        <v/>
      </c>
      <c r="DC69" s="110">
        <f>IF(AO69="","",IFERROR(AO69*HSI!$B$64*HSI!$G$64/HSI!$B$3,""))</f>
        <v/>
      </c>
      <c r="DD69" s="110">
        <f>IF(AP69="","",IFERROR(AP69*HSI!$B$64*HSI!$G$64/HSI!$B$3,""))</f>
        <v/>
      </c>
      <c r="DE69" s="110">
        <f>IF(AQ69="","",IFERROR(AQ69*HSI!$B$64*HSI!$G$64/HSI!$B$3,""))</f>
        <v/>
      </c>
      <c r="DF69" s="110">
        <f>IF(AR69="","",IFERROR(AR69*HSI!$B$64*HSI!$G$64/HSI!$B$3,""))</f>
        <v/>
      </c>
      <c r="DG69" s="110">
        <f>IF(AS69="","",IFERROR(AS69*HSI!$B$64*HSI!$G$64/HSI!$B$3,""))</f>
        <v/>
      </c>
      <c r="DH69" s="110">
        <f>IF(AT69="","",IFERROR(AT69*HSI!$B$64*HSI!$G$64/HSI!$B$3,""))</f>
        <v/>
      </c>
      <c r="DI69" s="110">
        <f>IF(AU69="","",IFERROR(AU69*HSI!$B$64*HSI!$G$64/HSI!$B$3,""))</f>
        <v/>
      </c>
      <c r="DJ69" s="110">
        <f>IF(AV69="","",IFERROR(AV69*HSI!$B$64*HSI!$G$64/HSI!$B$3,""))</f>
        <v/>
      </c>
      <c r="DK69" s="110">
        <f>IF(AW69="","",IFERROR(AW69*HSI!$B$64*HSI!$G$64/HSI!$B$3,""))</f>
        <v/>
      </c>
      <c r="DL69" s="110">
        <f>IF(AX69="","",IFERROR(AX69*HSI!$B$64*HSI!$G$64/HSI!$B$3,""))</f>
        <v/>
      </c>
      <c r="DM69" s="110">
        <f>IF(AY69="","",IFERROR(AY69*HSI!$B$64*HSI!$G$64/HSI!$B$3,""))</f>
        <v/>
      </c>
      <c r="DN69" s="110">
        <f>IF(AZ69="","",IFERROR(AZ69*HSI!$B$64*HSI!$G$64/HSI!$B$3,""))</f>
        <v/>
      </c>
      <c r="DO69" s="110">
        <f>IF(BA69="","",IFERROR(BA69*HSI!$B$64*HSI!$G$64/HSI!$B$3,""))</f>
        <v/>
      </c>
      <c r="DP69" s="110">
        <f>IF(BB69="","",IFERROR(BB69*HSI!$B$64*HSI!$G$64/HSI!$B$3,""))</f>
        <v/>
      </c>
      <c r="DQ69" s="110">
        <f>IF(BC69="","",IFERROR(BC69*HSI!$B$64*HSI!$G$64/HSI!$B$3,""))</f>
        <v/>
      </c>
      <c r="DR69" s="110">
        <f>IF(BD69="","",IFERROR(BD69*HSI!$B$64*HSI!$G$64/HSI!$B$3,""))</f>
        <v/>
      </c>
      <c r="DS69" s="110">
        <f>IF(BE69="","",IFERROR(BE69*HSI!$B$64*HSI!$G$64/HSI!$B$3,""))</f>
        <v/>
      </c>
      <c r="DT69" s="110">
        <f>IF(BF69="","",IFERROR(BF69*HSI!$B$64*HSI!$G$64/HSI!$B$3,""))</f>
        <v/>
      </c>
      <c r="DU69" s="110">
        <f>IF(BG69="","",IFERROR(BG69*HSI!$B$64*HSI!$G$64/HSI!$B$3,""))</f>
        <v/>
      </c>
      <c r="DV69" s="110">
        <f>IF(BH69="","",IFERROR(BH69*HSI!$B$64*HSI!$G$64/HSI!$B$3,""))</f>
        <v/>
      </c>
      <c r="DW69" s="110">
        <f>IF(BI69="","",IFERROR(BI69*HSI!$B$64*HSI!$G$64/HSI!$B$3,""))</f>
        <v/>
      </c>
      <c r="DX69" s="110">
        <f>IF(BJ69="","",IFERROR(BJ69*HSI!$B$64*HSI!$G$64/HSI!$B$3,""))</f>
        <v/>
      </c>
      <c r="DY69" s="110">
        <f>IF(BK69="","",IFERROR(BK69*HSI!$B$64*HSI!$G$64/HSI!$B$3,""))</f>
        <v/>
      </c>
      <c r="DZ69" s="110">
        <f>IF(BL69="","",IFERROR(BL69*HSI!$B$64*HSI!$G$64/HSI!$B$3,""))</f>
        <v/>
      </c>
      <c r="EA69" s="110">
        <f>IF(BM69="","",IFERROR(BM69*HSI!$B$64*HSI!$G$64/HSI!$B$3,""))</f>
        <v/>
      </c>
      <c r="EB69" s="110">
        <f>IF(BN69="","",IFERROR(BN69*HSI!$B$64*HSI!$G$64/HSI!$B$3,""))</f>
        <v/>
      </c>
      <c r="EC69" s="110">
        <f>IF(BO69="","",IFERROR(BO69*HSI!$B$64*HSI!$G$64/HSI!$B$3,""))</f>
        <v/>
      </c>
      <c r="EE69" s="39">
        <f>IF(N('Dvd Calendar'!$E$638)=0,"",IF(('Dvd Calendar'!$E$638&gt;=GRID_FROM)*('Dvd Calendar'!$E$638&lt;=GRID_TO)*((('Dvd Calendar'!$E$638&lt;=VAL_DATE)+(COUNTIF('Dvd Calendar'!$E$645:$AR$645,'Dvd Calendar'!$E$638)=0))&gt;0)=0,"",'Dvd Calendar'!$E$638*1000000000+ISNUMBER('Dvd Calendar'!$E$641)*100000000+('Dvd Calendar'!$E$643=SPECIAL_LBL)*10000000+(N('Dvd Calendar'!$E$637)&gt;0)*(N('Dvd Calendar'!$E$637)&lt;=VAL_SERIAL)*1000000+58*1000+1))</f>
        <v/>
      </c>
      <c r="EF69" s="39">
        <f>IF(N('Dvd Calendar'!$F$638)=0,"",IF(('Dvd Calendar'!$F$638&gt;=GRID_FROM)*('Dvd Calendar'!$F$638&lt;=GRID_TO)*((('Dvd Calendar'!$F$638&lt;=VAL_DATE)+(COUNTIF('Dvd Calendar'!$E$645:$AR$645,'Dvd Calendar'!$F$638)=0))&gt;0)=0,"",'Dvd Calendar'!$F$638*1000000000+ISNUMBER('Dvd Calendar'!$F$641)*100000000+('Dvd Calendar'!$F$643=SPECIAL_LBL)*10000000+(N('Dvd Calendar'!$F$637)&gt;0)*(N('Dvd Calendar'!$F$637)&lt;=VAL_SERIAL)*1000000+58*1000+2))</f>
        <v/>
      </c>
      <c r="EG69" s="39">
        <f>IF(N('Dvd Calendar'!$G$638)=0,"",IF(('Dvd Calendar'!$G$638&gt;=GRID_FROM)*('Dvd Calendar'!$G$638&lt;=GRID_TO)*((('Dvd Calendar'!$G$638&lt;=VAL_DATE)+(COUNTIF('Dvd Calendar'!$E$645:$AR$645,'Dvd Calendar'!$G$638)=0))&gt;0)=0,"",'Dvd Calendar'!$G$638*1000000000+ISNUMBER('Dvd Calendar'!$G$641)*100000000+('Dvd Calendar'!$G$643=SPECIAL_LBL)*10000000+(N('Dvd Calendar'!$G$637)&gt;0)*(N('Dvd Calendar'!$G$637)&lt;=VAL_SERIAL)*1000000+58*1000+3))</f>
        <v/>
      </c>
      <c r="EH69" s="39">
        <f>IF(N('Dvd Calendar'!$H$638)=0,"",IF(('Dvd Calendar'!$H$638&gt;=GRID_FROM)*('Dvd Calendar'!$H$638&lt;=GRID_TO)*((('Dvd Calendar'!$H$638&lt;=VAL_DATE)+(COUNTIF('Dvd Calendar'!$E$645:$AR$645,'Dvd Calendar'!$H$638)=0))&gt;0)=0,"",'Dvd Calendar'!$H$638*1000000000+ISNUMBER('Dvd Calendar'!$H$641)*100000000+('Dvd Calendar'!$H$643=SPECIAL_LBL)*10000000+(N('Dvd Calendar'!$H$637)&gt;0)*(N('Dvd Calendar'!$H$637)&lt;=VAL_SERIAL)*1000000+58*1000+4))</f>
        <v/>
      </c>
      <c r="EI69" s="39">
        <f>IF(N('Dvd Calendar'!$I$638)=0,"",IF(('Dvd Calendar'!$I$638&gt;=GRID_FROM)*('Dvd Calendar'!$I$638&lt;=GRID_TO)*((('Dvd Calendar'!$I$638&lt;=VAL_DATE)+(COUNTIF('Dvd Calendar'!$E$645:$AR$645,'Dvd Calendar'!$I$638)=0))&gt;0)=0,"",'Dvd Calendar'!$I$638*1000000000+ISNUMBER('Dvd Calendar'!$I$641)*100000000+('Dvd Calendar'!$I$643=SPECIAL_LBL)*10000000+(N('Dvd Calendar'!$I$637)&gt;0)*(N('Dvd Calendar'!$I$637)&lt;=VAL_SERIAL)*1000000+58*1000+5))</f>
        <v/>
      </c>
      <c r="EJ69" s="39">
        <f>IF(N('Dvd Calendar'!$J$638)=0,"",IF(('Dvd Calendar'!$J$638&gt;=GRID_FROM)*('Dvd Calendar'!$J$638&lt;=GRID_TO)*((('Dvd Calendar'!$J$638&lt;=VAL_DATE)+(COUNTIF('Dvd Calendar'!$E$645:$AR$645,'Dvd Calendar'!$J$638)=0))&gt;0)=0,"",'Dvd Calendar'!$J$638*1000000000+ISNUMBER('Dvd Calendar'!$J$641)*100000000+('Dvd Calendar'!$J$643=SPECIAL_LBL)*10000000+(N('Dvd Calendar'!$J$637)&gt;0)*(N('Dvd Calendar'!$J$637)&lt;=VAL_SERIAL)*1000000+58*1000+6))</f>
        <v/>
      </c>
      <c r="EK69" s="39">
        <f>IF(N('Dvd Calendar'!$K$638)=0,"",IF(('Dvd Calendar'!$K$638&gt;=GRID_FROM)*('Dvd Calendar'!$K$638&lt;=GRID_TO)*((('Dvd Calendar'!$K$638&lt;=VAL_DATE)+(COUNTIF('Dvd Calendar'!$E$645:$AR$645,'Dvd Calendar'!$K$638)=0))&gt;0)=0,"",'Dvd Calendar'!$K$638*1000000000+ISNUMBER('Dvd Calendar'!$K$641)*100000000+('Dvd Calendar'!$K$643=SPECIAL_LBL)*10000000+(N('Dvd Calendar'!$K$637)&gt;0)*(N('Dvd Calendar'!$K$637)&lt;=VAL_SERIAL)*1000000+58*1000+7))</f>
        <v/>
      </c>
      <c r="EL69" s="39">
        <f>IF(N('Dvd Calendar'!$L$638)=0,"",IF(('Dvd Calendar'!$L$638&gt;=GRID_FROM)*('Dvd Calendar'!$L$638&lt;=GRID_TO)*((('Dvd Calendar'!$L$638&lt;=VAL_DATE)+(COUNTIF('Dvd Calendar'!$E$645:$AR$645,'Dvd Calendar'!$L$638)=0))&gt;0)=0,"",'Dvd Calendar'!$L$638*1000000000+ISNUMBER('Dvd Calendar'!$L$641)*100000000+('Dvd Calendar'!$L$643=SPECIAL_LBL)*10000000+(N('Dvd Calendar'!$L$637)&gt;0)*(N('Dvd Calendar'!$L$637)&lt;=VAL_SERIAL)*1000000+58*1000+8))</f>
        <v/>
      </c>
      <c r="EM69" s="39">
        <f>IF(N('Dvd Calendar'!$M$638)=0,"",IF(('Dvd Calendar'!$M$638&gt;=GRID_FROM)*('Dvd Calendar'!$M$638&lt;=GRID_TO)*((('Dvd Calendar'!$M$638&lt;=VAL_DATE)+(COUNTIF('Dvd Calendar'!$E$645:$AR$645,'Dvd Calendar'!$M$638)=0))&gt;0)=0,"",'Dvd Calendar'!$M$638*1000000000+ISNUMBER('Dvd Calendar'!$M$641)*100000000+('Dvd Calendar'!$M$643=SPECIAL_LBL)*10000000+(N('Dvd Calendar'!$M$637)&gt;0)*(N('Dvd Calendar'!$M$637)&lt;=VAL_SERIAL)*1000000+58*1000+9))</f>
        <v/>
      </c>
      <c r="EN69" s="39">
        <f>IF(N('Dvd Calendar'!$N$638)=0,"",IF(('Dvd Calendar'!$N$638&gt;=GRID_FROM)*('Dvd Calendar'!$N$638&lt;=GRID_TO)*((('Dvd Calendar'!$N$638&lt;=VAL_DATE)+(COUNTIF('Dvd Calendar'!$E$645:$AR$645,'Dvd Calendar'!$N$638)=0))&gt;0)=0,"",'Dvd Calendar'!$N$638*1000000000+ISNUMBER('Dvd Calendar'!$N$641)*100000000+('Dvd Calendar'!$N$643=SPECIAL_LBL)*10000000+(N('Dvd Calendar'!$N$637)&gt;0)*(N('Dvd Calendar'!$N$637)&lt;=VAL_SERIAL)*1000000+58*1000+10))</f>
        <v/>
      </c>
      <c r="EO69" s="39">
        <f>IF(N('Dvd Calendar'!$O$638)=0,"",IF(('Dvd Calendar'!$O$638&gt;=GRID_FROM)*('Dvd Calendar'!$O$638&lt;=GRID_TO)*((('Dvd Calendar'!$O$638&lt;=VAL_DATE)+(COUNTIF('Dvd Calendar'!$E$645:$AR$645,'Dvd Calendar'!$O$638)=0))&gt;0)=0,"",'Dvd Calendar'!$O$638*1000000000+ISNUMBER('Dvd Calendar'!$O$641)*100000000+('Dvd Calendar'!$O$643=SPECIAL_LBL)*10000000+(N('Dvd Calendar'!$O$637)&gt;0)*(N('Dvd Calendar'!$O$637)&lt;=VAL_SERIAL)*1000000+58*1000+11))</f>
        <v/>
      </c>
      <c r="EP69" s="39">
        <f>IF(N('Dvd Calendar'!$P$638)=0,"",IF(('Dvd Calendar'!$P$638&gt;=GRID_FROM)*('Dvd Calendar'!$P$638&lt;=GRID_TO)*((('Dvd Calendar'!$P$638&lt;=VAL_DATE)+(COUNTIF('Dvd Calendar'!$E$645:$AR$645,'Dvd Calendar'!$P$638)=0))&gt;0)=0,"",'Dvd Calendar'!$P$638*1000000000+ISNUMBER('Dvd Calendar'!$P$641)*100000000+('Dvd Calendar'!$P$643=SPECIAL_LBL)*10000000+(N('Dvd Calendar'!$P$637)&gt;0)*(N('Dvd Calendar'!$P$637)&lt;=VAL_SERIAL)*1000000+58*1000+12))</f>
        <v/>
      </c>
      <c r="EQ69" s="39">
        <f>IF(N('Dvd Calendar'!$Q$638)=0,"",IF(('Dvd Calendar'!$Q$638&gt;=GRID_FROM)*('Dvd Calendar'!$Q$638&lt;=GRID_TO)*((('Dvd Calendar'!$Q$638&lt;=VAL_DATE)+(COUNTIF('Dvd Calendar'!$E$645:$AR$645,'Dvd Calendar'!$Q$638)=0))&gt;0)=0,"",'Dvd Calendar'!$Q$638*1000000000+ISNUMBER('Dvd Calendar'!$Q$641)*100000000+('Dvd Calendar'!$Q$643=SPECIAL_LBL)*10000000+(N('Dvd Calendar'!$Q$637)&gt;0)*(N('Dvd Calendar'!$Q$637)&lt;=VAL_SERIAL)*1000000+58*1000+13))</f>
        <v/>
      </c>
      <c r="ER69" s="39">
        <f>IF(N('Dvd Calendar'!$R$638)=0,"",IF(('Dvd Calendar'!$R$638&gt;=GRID_FROM)*('Dvd Calendar'!$R$638&lt;=GRID_TO)*((('Dvd Calendar'!$R$638&lt;=VAL_DATE)+(COUNTIF('Dvd Calendar'!$E$645:$AR$645,'Dvd Calendar'!$R$638)=0))&gt;0)=0,"",'Dvd Calendar'!$R$638*1000000000+ISNUMBER('Dvd Calendar'!$R$641)*100000000+('Dvd Calendar'!$R$643=SPECIAL_LBL)*10000000+(N('Dvd Calendar'!$R$637)&gt;0)*(N('Dvd Calendar'!$R$637)&lt;=VAL_SERIAL)*1000000+58*1000+14))</f>
        <v/>
      </c>
      <c r="ES69" s="39">
        <f>IF(N('Dvd Calendar'!$S$638)=0,"",IF(('Dvd Calendar'!$S$638&gt;=GRID_FROM)*('Dvd Calendar'!$S$638&lt;=GRID_TO)*((('Dvd Calendar'!$S$638&lt;=VAL_DATE)+(COUNTIF('Dvd Calendar'!$E$645:$AR$645,'Dvd Calendar'!$S$638)=0))&gt;0)=0,"",'Dvd Calendar'!$S$638*1000000000+ISNUMBER('Dvd Calendar'!$S$641)*100000000+('Dvd Calendar'!$S$643=SPECIAL_LBL)*10000000+(N('Dvd Calendar'!$S$637)&gt;0)*(N('Dvd Calendar'!$S$637)&lt;=VAL_SERIAL)*1000000+58*1000+15))</f>
        <v/>
      </c>
      <c r="ET69" s="39">
        <f>IF(N('Dvd Calendar'!$T$638)=0,"",IF(('Dvd Calendar'!$T$638&gt;=GRID_FROM)*('Dvd Calendar'!$T$638&lt;=GRID_TO)*((('Dvd Calendar'!$T$638&lt;=VAL_DATE)+(COUNTIF('Dvd Calendar'!$E$645:$AR$645,'Dvd Calendar'!$T$638)=0))&gt;0)=0,"",'Dvd Calendar'!$T$638*1000000000+ISNUMBER('Dvd Calendar'!$T$641)*100000000+('Dvd Calendar'!$T$643=SPECIAL_LBL)*10000000+(N('Dvd Calendar'!$T$637)&gt;0)*(N('Dvd Calendar'!$T$637)&lt;=VAL_SERIAL)*1000000+58*1000+16))</f>
        <v/>
      </c>
      <c r="EU69" s="39">
        <f>IF(N('Dvd Calendar'!$U$638)=0,"",IF(('Dvd Calendar'!$U$638&gt;=GRID_FROM)*('Dvd Calendar'!$U$638&lt;=GRID_TO)*((('Dvd Calendar'!$U$638&lt;=VAL_DATE)+(COUNTIF('Dvd Calendar'!$E$645:$AR$645,'Dvd Calendar'!$U$638)=0))&gt;0)=0,"",'Dvd Calendar'!$U$638*1000000000+ISNUMBER('Dvd Calendar'!$U$641)*100000000+('Dvd Calendar'!$U$643=SPECIAL_LBL)*10000000+(N('Dvd Calendar'!$U$637)&gt;0)*(N('Dvd Calendar'!$U$637)&lt;=VAL_SERIAL)*1000000+58*1000+17))</f>
        <v/>
      </c>
      <c r="EV69" s="39">
        <f>IF(N('Dvd Calendar'!$V$638)=0,"",IF(('Dvd Calendar'!$V$638&gt;=GRID_FROM)*('Dvd Calendar'!$V$638&lt;=GRID_TO)*((('Dvd Calendar'!$V$638&lt;=VAL_DATE)+(COUNTIF('Dvd Calendar'!$E$645:$AR$645,'Dvd Calendar'!$V$638)=0))&gt;0)=0,"",'Dvd Calendar'!$V$638*1000000000+ISNUMBER('Dvd Calendar'!$V$641)*100000000+('Dvd Calendar'!$V$643=SPECIAL_LBL)*10000000+(N('Dvd Calendar'!$V$637)&gt;0)*(N('Dvd Calendar'!$V$637)&lt;=VAL_SERIAL)*1000000+58*1000+18))</f>
        <v/>
      </c>
      <c r="EW69" s="39">
        <f>IF(N('Dvd Calendar'!$W$638)=0,"",IF(('Dvd Calendar'!$W$638&gt;=GRID_FROM)*('Dvd Calendar'!$W$638&lt;=GRID_TO)*((('Dvd Calendar'!$W$638&lt;=VAL_DATE)+(COUNTIF('Dvd Calendar'!$E$645:$AR$645,'Dvd Calendar'!$W$638)=0))&gt;0)=0,"",'Dvd Calendar'!$W$638*1000000000+ISNUMBER('Dvd Calendar'!$W$641)*100000000+('Dvd Calendar'!$W$643=SPECIAL_LBL)*10000000+(N('Dvd Calendar'!$W$637)&gt;0)*(N('Dvd Calendar'!$W$637)&lt;=VAL_SERIAL)*1000000+58*1000+19))</f>
        <v/>
      </c>
      <c r="EX69" s="39">
        <f>IF(N('Dvd Calendar'!$X$638)=0,"",IF(('Dvd Calendar'!$X$638&gt;=GRID_FROM)*('Dvd Calendar'!$X$638&lt;=GRID_TO)*((('Dvd Calendar'!$X$638&lt;=VAL_DATE)+(COUNTIF('Dvd Calendar'!$E$645:$AR$645,'Dvd Calendar'!$X$638)=0))&gt;0)=0,"",'Dvd Calendar'!$X$638*1000000000+ISNUMBER('Dvd Calendar'!$X$641)*100000000+('Dvd Calendar'!$X$643=SPECIAL_LBL)*10000000+(N('Dvd Calendar'!$X$637)&gt;0)*(N('Dvd Calendar'!$X$637)&lt;=VAL_SERIAL)*1000000+58*1000+20))</f>
        <v/>
      </c>
      <c r="EY69" s="39">
        <f>IF(N('Dvd Calendar'!$Y$638)=0,"",IF(('Dvd Calendar'!$Y$638&gt;=GRID_FROM)*('Dvd Calendar'!$Y$638&lt;=GRID_TO)*((('Dvd Calendar'!$Y$638&lt;=VAL_DATE)+(COUNTIF('Dvd Calendar'!$E$645:$AR$645,'Dvd Calendar'!$Y$638)=0))&gt;0)=0,"",'Dvd Calendar'!$Y$638*1000000000+ISNUMBER('Dvd Calendar'!$Y$641)*100000000+('Dvd Calendar'!$Y$643=SPECIAL_LBL)*10000000+(N('Dvd Calendar'!$Y$637)&gt;0)*(N('Dvd Calendar'!$Y$637)&lt;=VAL_SERIAL)*1000000+58*1000+21))</f>
        <v/>
      </c>
      <c r="EZ69" s="39">
        <f>IF(N('Dvd Calendar'!$Z$638)=0,"",IF(('Dvd Calendar'!$Z$638&gt;=GRID_FROM)*('Dvd Calendar'!$Z$638&lt;=GRID_TO)*((('Dvd Calendar'!$Z$638&lt;=VAL_DATE)+(COUNTIF('Dvd Calendar'!$E$645:$AR$645,'Dvd Calendar'!$Z$638)=0))&gt;0)=0,"",'Dvd Calendar'!$Z$638*1000000000+ISNUMBER('Dvd Calendar'!$Z$641)*100000000+('Dvd Calendar'!$Z$643=SPECIAL_LBL)*10000000+(N('Dvd Calendar'!$Z$637)&gt;0)*(N('Dvd Calendar'!$Z$637)&lt;=VAL_SERIAL)*1000000+58*1000+22))</f>
        <v/>
      </c>
      <c r="FA69" s="39">
        <f>IF(N('Dvd Calendar'!$AA$638)=0,"",IF(('Dvd Calendar'!$AA$638&gt;=GRID_FROM)*('Dvd Calendar'!$AA$638&lt;=GRID_TO)*((('Dvd Calendar'!$AA$638&lt;=VAL_DATE)+(COUNTIF('Dvd Calendar'!$E$645:$AR$645,'Dvd Calendar'!$AA$638)=0))&gt;0)=0,"",'Dvd Calendar'!$AA$638*1000000000+ISNUMBER('Dvd Calendar'!$AA$641)*100000000+('Dvd Calendar'!$AA$643=SPECIAL_LBL)*10000000+(N('Dvd Calendar'!$AA$637)&gt;0)*(N('Dvd Calendar'!$AA$637)&lt;=VAL_SERIAL)*1000000+58*1000+23))</f>
        <v/>
      </c>
      <c r="FB69" s="39">
        <f>IF(N('Dvd Calendar'!$AB$638)=0,"",IF(('Dvd Calendar'!$AB$638&gt;=GRID_FROM)*('Dvd Calendar'!$AB$638&lt;=GRID_TO)*((('Dvd Calendar'!$AB$638&lt;=VAL_DATE)+(COUNTIF('Dvd Calendar'!$E$645:$AR$645,'Dvd Calendar'!$AB$638)=0))&gt;0)=0,"",'Dvd Calendar'!$AB$638*1000000000+ISNUMBER('Dvd Calendar'!$AB$641)*100000000+('Dvd Calendar'!$AB$643=SPECIAL_LBL)*10000000+(N('Dvd Calendar'!$AB$637)&gt;0)*(N('Dvd Calendar'!$AB$637)&lt;=VAL_SERIAL)*1000000+58*1000+24))</f>
        <v/>
      </c>
      <c r="FC69" s="39">
        <f>IF(N('Dvd Calendar'!$AC$638)=0,"",IF(('Dvd Calendar'!$AC$638&gt;=GRID_FROM)*('Dvd Calendar'!$AC$638&lt;=GRID_TO)*((('Dvd Calendar'!$AC$638&lt;=VAL_DATE)+(COUNTIF('Dvd Calendar'!$E$645:$AR$645,'Dvd Calendar'!$AC$638)=0))&gt;0)=0,"",'Dvd Calendar'!$AC$638*1000000000+ISNUMBER('Dvd Calendar'!$AC$641)*100000000+('Dvd Calendar'!$AC$643=SPECIAL_LBL)*10000000+(N('Dvd Calendar'!$AC$637)&gt;0)*(N('Dvd Calendar'!$AC$637)&lt;=VAL_SERIAL)*1000000+58*1000+25))</f>
        <v/>
      </c>
      <c r="FD69" s="39">
        <f>IF(N('Dvd Calendar'!$AD$638)=0,"",IF(('Dvd Calendar'!$AD$638&gt;=GRID_FROM)*('Dvd Calendar'!$AD$638&lt;=GRID_TO)*((('Dvd Calendar'!$AD$638&lt;=VAL_DATE)+(COUNTIF('Dvd Calendar'!$E$645:$AR$645,'Dvd Calendar'!$AD$638)=0))&gt;0)=0,"",'Dvd Calendar'!$AD$638*1000000000+ISNUMBER('Dvd Calendar'!$AD$641)*100000000+('Dvd Calendar'!$AD$643=SPECIAL_LBL)*10000000+(N('Dvd Calendar'!$AD$637)&gt;0)*(N('Dvd Calendar'!$AD$637)&lt;=VAL_SERIAL)*1000000+58*1000+26))</f>
        <v/>
      </c>
      <c r="FE69" s="39">
        <f>IF(N('Dvd Calendar'!$AE$638)=0,"",IF(('Dvd Calendar'!$AE$638&gt;=GRID_FROM)*('Dvd Calendar'!$AE$638&lt;=GRID_TO)*((('Dvd Calendar'!$AE$638&lt;=VAL_DATE)+(COUNTIF('Dvd Calendar'!$E$645:$AR$645,'Dvd Calendar'!$AE$638)=0))&gt;0)=0,"",'Dvd Calendar'!$AE$638*1000000000+ISNUMBER('Dvd Calendar'!$AE$641)*100000000+('Dvd Calendar'!$AE$643=SPECIAL_LBL)*10000000+(N('Dvd Calendar'!$AE$637)&gt;0)*(N('Dvd Calendar'!$AE$637)&lt;=VAL_SERIAL)*1000000+58*1000+27))</f>
        <v/>
      </c>
      <c r="FF69" s="39">
        <f>IF(N('Dvd Calendar'!$AF$638)=0,"",IF(('Dvd Calendar'!$AF$638&gt;=GRID_FROM)*('Dvd Calendar'!$AF$638&lt;=GRID_TO)*((('Dvd Calendar'!$AF$638&lt;=VAL_DATE)+(COUNTIF('Dvd Calendar'!$E$645:$AR$645,'Dvd Calendar'!$AF$638)=0))&gt;0)=0,"",'Dvd Calendar'!$AF$638*1000000000+ISNUMBER('Dvd Calendar'!$AF$641)*100000000+('Dvd Calendar'!$AF$643=SPECIAL_LBL)*10000000+(N('Dvd Calendar'!$AF$637)&gt;0)*(N('Dvd Calendar'!$AF$637)&lt;=VAL_SERIAL)*1000000+58*1000+28))</f>
        <v/>
      </c>
      <c r="FG69" s="39">
        <f>IF(N('Dvd Calendar'!$AG$638)=0,"",IF(('Dvd Calendar'!$AG$638&gt;=GRID_FROM)*('Dvd Calendar'!$AG$638&lt;=GRID_TO)*((('Dvd Calendar'!$AG$638&lt;=VAL_DATE)+(COUNTIF('Dvd Calendar'!$E$645:$AR$645,'Dvd Calendar'!$AG$638)=0))&gt;0)=0,"",'Dvd Calendar'!$AG$638*1000000000+ISNUMBER('Dvd Calendar'!$AG$641)*100000000+('Dvd Calendar'!$AG$643=SPECIAL_LBL)*10000000+(N('Dvd Calendar'!$AG$637)&gt;0)*(N('Dvd Calendar'!$AG$637)&lt;=VAL_SERIAL)*1000000+58*1000+29))</f>
        <v/>
      </c>
      <c r="FH69" s="39">
        <f>IF(N('Dvd Calendar'!$AH$638)=0,"",IF(('Dvd Calendar'!$AH$638&gt;=GRID_FROM)*('Dvd Calendar'!$AH$638&lt;=GRID_TO)*((('Dvd Calendar'!$AH$638&lt;=VAL_DATE)+(COUNTIF('Dvd Calendar'!$E$645:$AR$645,'Dvd Calendar'!$AH$638)=0))&gt;0)=0,"",'Dvd Calendar'!$AH$638*1000000000+ISNUMBER('Dvd Calendar'!$AH$641)*100000000+('Dvd Calendar'!$AH$643=SPECIAL_LBL)*10000000+(N('Dvd Calendar'!$AH$637)&gt;0)*(N('Dvd Calendar'!$AH$637)&lt;=VAL_SERIAL)*1000000+58*1000+30))</f>
        <v/>
      </c>
      <c r="FI69" s="39">
        <f>IF(N('Dvd Calendar'!$AI$638)=0,"",IF(('Dvd Calendar'!$AI$638&gt;=GRID_FROM)*('Dvd Calendar'!$AI$638&lt;=GRID_TO)*((('Dvd Calendar'!$AI$638&lt;=VAL_DATE)+(COUNTIF('Dvd Calendar'!$E$645:$AR$645,'Dvd Calendar'!$AI$638)=0))&gt;0)=0,"",'Dvd Calendar'!$AI$638*1000000000+ISNUMBER('Dvd Calendar'!$AI$641)*100000000+('Dvd Calendar'!$AI$643=SPECIAL_LBL)*10000000+(N('Dvd Calendar'!$AI$637)&gt;0)*(N('Dvd Calendar'!$AI$637)&lt;=VAL_SERIAL)*1000000+58*1000+31))</f>
        <v/>
      </c>
      <c r="FJ69" s="39">
        <f>IF(N('Dvd Calendar'!$AJ$638)=0,"",IF(('Dvd Calendar'!$AJ$638&gt;=GRID_FROM)*('Dvd Calendar'!$AJ$638&lt;=GRID_TO)*((('Dvd Calendar'!$AJ$638&lt;=VAL_DATE)+(COUNTIF('Dvd Calendar'!$E$645:$AR$645,'Dvd Calendar'!$AJ$638)=0))&gt;0)=0,"",'Dvd Calendar'!$AJ$638*1000000000+ISNUMBER('Dvd Calendar'!$AJ$641)*100000000+('Dvd Calendar'!$AJ$643=SPECIAL_LBL)*10000000+(N('Dvd Calendar'!$AJ$637)&gt;0)*(N('Dvd Calendar'!$AJ$637)&lt;=VAL_SERIAL)*1000000+58*1000+32))</f>
        <v/>
      </c>
      <c r="FK69" s="39">
        <f>IF(N('Dvd Calendar'!$AK$638)=0,"",IF(('Dvd Calendar'!$AK$638&gt;=GRID_FROM)*('Dvd Calendar'!$AK$638&lt;=GRID_TO)*((('Dvd Calendar'!$AK$638&lt;=VAL_DATE)+(COUNTIF('Dvd Calendar'!$E$645:$AR$645,'Dvd Calendar'!$AK$638)=0))&gt;0)=0,"",'Dvd Calendar'!$AK$638*1000000000+ISNUMBER('Dvd Calendar'!$AK$641)*100000000+('Dvd Calendar'!$AK$643=SPECIAL_LBL)*10000000+(N('Dvd Calendar'!$AK$637)&gt;0)*(N('Dvd Calendar'!$AK$637)&lt;=VAL_SERIAL)*1000000+58*1000+33))</f>
        <v/>
      </c>
      <c r="FL69" s="39">
        <f>IF(N('Dvd Calendar'!$AL$638)=0,"",IF(('Dvd Calendar'!$AL$638&gt;=GRID_FROM)*('Dvd Calendar'!$AL$638&lt;=GRID_TO)*((('Dvd Calendar'!$AL$638&lt;=VAL_DATE)+(COUNTIF('Dvd Calendar'!$E$645:$AR$645,'Dvd Calendar'!$AL$638)=0))&gt;0)=0,"",'Dvd Calendar'!$AL$638*1000000000+ISNUMBER('Dvd Calendar'!$AL$641)*100000000+('Dvd Calendar'!$AL$643=SPECIAL_LBL)*10000000+(N('Dvd Calendar'!$AL$637)&gt;0)*(N('Dvd Calendar'!$AL$637)&lt;=VAL_SERIAL)*1000000+58*1000+34))</f>
        <v/>
      </c>
      <c r="FM69" s="39">
        <f>IF(N('Dvd Calendar'!$AM$638)=0,"",IF(('Dvd Calendar'!$AM$638&gt;=GRID_FROM)*('Dvd Calendar'!$AM$638&lt;=GRID_TO)*((('Dvd Calendar'!$AM$638&lt;=VAL_DATE)+(COUNTIF('Dvd Calendar'!$E$645:$AR$645,'Dvd Calendar'!$AM$638)=0))&gt;0)=0,"",'Dvd Calendar'!$AM$638*1000000000+ISNUMBER('Dvd Calendar'!$AM$641)*100000000+('Dvd Calendar'!$AM$643=SPECIAL_LBL)*10000000+(N('Dvd Calendar'!$AM$637)&gt;0)*(N('Dvd Calendar'!$AM$637)&lt;=VAL_SERIAL)*1000000+58*1000+35))</f>
        <v/>
      </c>
      <c r="FN69" s="39">
        <f>IF(N('Dvd Calendar'!$AN$638)=0,"",IF(('Dvd Calendar'!$AN$638&gt;=GRID_FROM)*('Dvd Calendar'!$AN$638&lt;=GRID_TO)*((('Dvd Calendar'!$AN$638&lt;=VAL_DATE)+(COUNTIF('Dvd Calendar'!$E$645:$AR$645,'Dvd Calendar'!$AN$638)=0))&gt;0)=0,"",'Dvd Calendar'!$AN$638*1000000000+ISNUMBER('Dvd Calendar'!$AN$641)*100000000+('Dvd Calendar'!$AN$643=SPECIAL_LBL)*10000000+(N('Dvd Calendar'!$AN$637)&gt;0)*(N('Dvd Calendar'!$AN$637)&lt;=VAL_SERIAL)*1000000+58*1000+36))</f>
        <v/>
      </c>
      <c r="FO69" s="39">
        <f>IF(N('Dvd Calendar'!$AO$638)=0,"",IF(('Dvd Calendar'!$AO$638&gt;=GRID_FROM)*('Dvd Calendar'!$AO$638&lt;=GRID_TO)*((('Dvd Calendar'!$AO$638&lt;=VAL_DATE)+(COUNTIF('Dvd Calendar'!$E$645:$AR$645,'Dvd Calendar'!$AO$638)=0))&gt;0)=0,"",'Dvd Calendar'!$AO$638*1000000000+ISNUMBER('Dvd Calendar'!$AO$641)*100000000+('Dvd Calendar'!$AO$643=SPECIAL_LBL)*10000000+(N('Dvd Calendar'!$AO$637)&gt;0)*(N('Dvd Calendar'!$AO$637)&lt;=VAL_SERIAL)*1000000+58*1000+37))</f>
        <v/>
      </c>
      <c r="FP69" s="39">
        <f>IF(N('Dvd Calendar'!$AP$638)=0,"",IF(('Dvd Calendar'!$AP$638&gt;=GRID_FROM)*('Dvd Calendar'!$AP$638&lt;=GRID_TO)*((('Dvd Calendar'!$AP$638&lt;=VAL_DATE)+(COUNTIF('Dvd Calendar'!$E$645:$AR$645,'Dvd Calendar'!$AP$638)=0))&gt;0)=0,"",'Dvd Calendar'!$AP$638*1000000000+ISNUMBER('Dvd Calendar'!$AP$641)*100000000+('Dvd Calendar'!$AP$643=SPECIAL_LBL)*10000000+(N('Dvd Calendar'!$AP$637)&gt;0)*(N('Dvd Calendar'!$AP$637)&lt;=VAL_SERIAL)*1000000+58*1000+38))</f>
        <v/>
      </c>
      <c r="FQ69" s="39">
        <f>IF(N('Dvd Calendar'!$AQ$638)=0,"",IF(('Dvd Calendar'!$AQ$638&gt;=GRID_FROM)*('Dvd Calendar'!$AQ$638&lt;=GRID_TO)*((('Dvd Calendar'!$AQ$638&lt;=VAL_DATE)+(COUNTIF('Dvd Calendar'!$E$645:$AR$645,'Dvd Calendar'!$AQ$638)=0))&gt;0)=0,"",'Dvd Calendar'!$AQ$638*1000000000+ISNUMBER('Dvd Calendar'!$AQ$641)*100000000+('Dvd Calendar'!$AQ$643=SPECIAL_LBL)*10000000+(N('Dvd Calendar'!$AQ$637)&gt;0)*(N('Dvd Calendar'!$AQ$637)&lt;=VAL_SERIAL)*1000000+58*1000+39))</f>
        <v/>
      </c>
      <c r="FR69" s="39">
        <f>IF(N('Dvd Calendar'!$AR$638)=0,"",IF(('Dvd Calendar'!$AR$638&gt;=GRID_FROM)*('Dvd Calendar'!$AR$638&lt;=GRID_TO)*((('Dvd Calendar'!$AR$638&lt;=VAL_DATE)+(COUNTIF('Dvd Calendar'!$E$645:$AR$645,'Dvd Calendar'!$AR$638)=0))&gt;0)=0,"",'Dvd Calendar'!$AR$638*1000000000+ISNUMBER('Dvd Calendar'!$AR$641)*100000000+('Dvd Calendar'!$AR$643=SPECIAL_LBL)*10000000+(N('Dvd Calendar'!$AR$637)&gt;0)*(N('Dvd Calendar'!$AR$637)&lt;=VAL_SERIAL)*1000000+58*1000+40))</f>
        <v/>
      </c>
      <c r="FS69" s="39">
        <f>IF(N('Dvd Calendar'!$E$645)=0,"",IF(('Dvd Calendar'!$E$645&gt;=GRID_FROM)*('Dvd Calendar'!$E$645&lt;=GRID_TO)*('Dvd Calendar'!$E$645&gt;VAL_DATE)=0,"",'Dvd Calendar'!$E$645*1000000000+ISNUMBER('Dvd Calendar'!$E$646)*100000000+0*10000000+(N('Dvd Calendar'!$E$644)&gt;0)*(N('Dvd Calendar'!$E$644)&lt;=VAL_SERIAL)*1000000+58*1000+41))</f>
        <v/>
      </c>
      <c r="FT69" s="39">
        <f>IF(N('Dvd Calendar'!$F$645)=0,"",IF(('Dvd Calendar'!$F$645&gt;=GRID_FROM)*('Dvd Calendar'!$F$645&lt;=GRID_TO)*('Dvd Calendar'!$F$645&gt;VAL_DATE)=0,"",'Dvd Calendar'!$F$645*1000000000+ISNUMBER('Dvd Calendar'!$F$646)*100000000+0*10000000+(N('Dvd Calendar'!$F$644)&gt;0)*(N('Dvd Calendar'!$F$644)&lt;=VAL_SERIAL)*1000000+58*1000+42))</f>
        <v/>
      </c>
      <c r="FU69" s="39">
        <f>IF(N('Dvd Calendar'!$G$645)=0,"",IF(('Dvd Calendar'!$G$645&gt;=GRID_FROM)*('Dvd Calendar'!$G$645&lt;=GRID_TO)*('Dvd Calendar'!$G$645&gt;VAL_DATE)=0,"",'Dvd Calendar'!$G$645*1000000000+ISNUMBER('Dvd Calendar'!$G$646)*100000000+0*10000000+(N('Dvd Calendar'!$G$644)&gt;0)*(N('Dvd Calendar'!$G$644)&lt;=VAL_SERIAL)*1000000+58*1000+43))</f>
        <v/>
      </c>
      <c r="FV69" s="39">
        <f>IF(N('Dvd Calendar'!$H$645)=0,"",IF(('Dvd Calendar'!$H$645&gt;=GRID_FROM)*('Dvd Calendar'!$H$645&lt;=GRID_TO)*('Dvd Calendar'!$H$645&gt;VAL_DATE)=0,"",'Dvd Calendar'!$H$645*1000000000+ISNUMBER('Dvd Calendar'!$H$646)*100000000+0*10000000+(N('Dvd Calendar'!$H$644)&gt;0)*(N('Dvd Calendar'!$H$644)&lt;=VAL_SERIAL)*1000000+58*1000+44))</f>
        <v/>
      </c>
      <c r="FW69" s="39">
        <f>IF(N('Dvd Calendar'!$I$645)=0,"",IF(('Dvd Calendar'!$I$645&gt;=GRID_FROM)*('Dvd Calendar'!$I$645&lt;=GRID_TO)*('Dvd Calendar'!$I$645&gt;VAL_DATE)=0,"",'Dvd Calendar'!$I$645*1000000000+ISNUMBER('Dvd Calendar'!$I$646)*100000000+0*10000000+(N('Dvd Calendar'!$I$644)&gt;0)*(N('Dvd Calendar'!$I$644)&lt;=VAL_SERIAL)*1000000+58*1000+45))</f>
        <v/>
      </c>
      <c r="FX69" s="39">
        <f>IF(N('Dvd Calendar'!$J$645)=0,"",IF(('Dvd Calendar'!$J$645&gt;=GRID_FROM)*('Dvd Calendar'!$J$645&lt;=GRID_TO)*('Dvd Calendar'!$J$645&gt;VAL_DATE)=0,"",'Dvd Calendar'!$J$645*1000000000+ISNUMBER('Dvd Calendar'!$J$646)*100000000+0*10000000+(N('Dvd Calendar'!$J$644)&gt;0)*(N('Dvd Calendar'!$J$644)&lt;=VAL_SERIAL)*1000000+58*1000+46))</f>
        <v/>
      </c>
      <c r="FY69" s="39">
        <f>IF(N('Dvd Calendar'!$K$645)=0,"",IF(('Dvd Calendar'!$K$645&gt;=GRID_FROM)*('Dvd Calendar'!$K$645&lt;=GRID_TO)*('Dvd Calendar'!$K$645&gt;VAL_DATE)=0,"",'Dvd Calendar'!$K$645*1000000000+ISNUMBER('Dvd Calendar'!$K$646)*100000000+0*10000000+(N('Dvd Calendar'!$K$644)&gt;0)*(N('Dvd Calendar'!$K$644)&lt;=VAL_SERIAL)*1000000+58*1000+47))</f>
        <v/>
      </c>
      <c r="FZ69" s="39">
        <f>IF(N('Dvd Calendar'!$L$645)=0,"",IF(('Dvd Calendar'!$L$645&gt;=GRID_FROM)*('Dvd Calendar'!$L$645&lt;=GRID_TO)*('Dvd Calendar'!$L$645&gt;VAL_DATE)=0,"",'Dvd Calendar'!$L$645*1000000000+ISNUMBER('Dvd Calendar'!$L$646)*100000000+0*10000000+(N('Dvd Calendar'!$L$644)&gt;0)*(N('Dvd Calendar'!$L$644)&lt;=VAL_SERIAL)*1000000+58*1000+48))</f>
        <v/>
      </c>
      <c r="GA69" s="39">
        <f>IF(N('Dvd Calendar'!$M$645)=0,"",IF(('Dvd Calendar'!$M$645&gt;=GRID_FROM)*('Dvd Calendar'!$M$645&lt;=GRID_TO)*('Dvd Calendar'!$M$645&gt;VAL_DATE)=0,"",'Dvd Calendar'!$M$645*1000000000+ISNUMBER('Dvd Calendar'!$M$646)*100000000+0*10000000+(N('Dvd Calendar'!$M$644)&gt;0)*(N('Dvd Calendar'!$M$644)&lt;=VAL_SERIAL)*1000000+58*1000+49))</f>
        <v/>
      </c>
      <c r="GB69" s="39">
        <f>IF(N('Dvd Calendar'!$N$645)=0,"",IF(('Dvd Calendar'!$N$645&gt;=GRID_FROM)*('Dvd Calendar'!$N$645&lt;=GRID_TO)*('Dvd Calendar'!$N$645&gt;VAL_DATE)=0,"",'Dvd Calendar'!$N$645*1000000000+ISNUMBER('Dvd Calendar'!$N$646)*100000000+0*10000000+(N('Dvd Calendar'!$N$644)&gt;0)*(N('Dvd Calendar'!$N$644)&lt;=VAL_SERIAL)*1000000+58*1000+50))</f>
        <v/>
      </c>
      <c r="GC69" s="39">
        <f>IF(N('Dvd Calendar'!$O$645)=0,"",IF(('Dvd Calendar'!$O$645&gt;=GRID_FROM)*('Dvd Calendar'!$O$645&lt;=GRID_TO)*('Dvd Calendar'!$O$645&gt;VAL_DATE)=0,"",'Dvd Calendar'!$O$645*1000000000+ISNUMBER('Dvd Calendar'!$O$646)*100000000+0*10000000+(N('Dvd Calendar'!$O$644)&gt;0)*(N('Dvd Calendar'!$O$644)&lt;=VAL_SERIAL)*1000000+58*1000+51))</f>
        <v/>
      </c>
      <c r="GD69" s="39">
        <f>IF(N('Dvd Calendar'!$P$645)=0,"",IF(('Dvd Calendar'!$P$645&gt;=GRID_FROM)*('Dvd Calendar'!$P$645&lt;=GRID_TO)*('Dvd Calendar'!$P$645&gt;VAL_DATE)=0,"",'Dvd Calendar'!$P$645*1000000000+ISNUMBER('Dvd Calendar'!$P$646)*100000000+0*10000000+(N('Dvd Calendar'!$P$644)&gt;0)*(N('Dvd Calendar'!$P$644)&lt;=VAL_SERIAL)*1000000+58*1000+52))</f>
        <v/>
      </c>
      <c r="GE69" s="39">
        <f>IF(N('Dvd Calendar'!$Q$645)=0,"",IF(('Dvd Calendar'!$Q$645&gt;=GRID_FROM)*('Dvd Calendar'!$Q$645&lt;=GRID_TO)*('Dvd Calendar'!$Q$645&gt;VAL_DATE)=0,"",'Dvd Calendar'!$Q$645*1000000000+ISNUMBER('Dvd Calendar'!$Q$646)*100000000+0*10000000+(N('Dvd Calendar'!$Q$644)&gt;0)*(N('Dvd Calendar'!$Q$644)&lt;=VAL_SERIAL)*1000000+58*1000+53))</f>
        <v/>
      </c>
      <c r="GF69" s="39">
        <f>IF(N('Dvd Calendar'!$R$645)=0,"",IF(('Dvd Calendar'!$R$645&gt;=GRID_FROM)*('Dvd Calendar'!$R$645&lt;=GRID_TO)*('Dvd Calendar'!$R$645&gt;VAL_DATE)=0,"",'Dvd Calendar'!$R$645*1000000000+ISNUMBER('Dvd Calendar'!$R$646)*100000000+0*10000000+(N('Dvd Calendar'!$R$644)&gt;0)*(N('Dvd Calendar'!$R$644)&lt;=VAL_SERIAL)*1000000+58*1000+54))</f>
        <v/>
      </c>
      <c r="GG69" s="39">
        <f>IF(N('Dvd Calendar'!$S$645)=0,"",IF(('Dvd Calendar'!$S$645&gt;=GRID_FROM)*('Dvd Calendar'!$S$645&lt;=GRID_TO)*('Dvd Calendar'!$S$645&gt;VAL_DATE)=0,"",'Dvd Calendar'!$S$645*1000000000+ISNUMBER('Dvd Calendar'!$S$646)*100000000+0*10000000+(N('Dvd Calendar'!$S$644)&gt;0)*(N('Dvd Calendar'!$S$644)&lt;=VAL_SERIAL)*1000000+58*1000+55))</f>
        <v/>
      </c>
      <c r="GH69" s="39">
        <f>IF(N('Dvd Calendar'!$T$645)=0,"",IF(('Dvd Calendar'!$T$645&gt;=GRID_FROM)*('Dvd Calendar'!$T$645&lt;=GRID_TO)*('Dvd Calendar'!$T$645&gt;VAL_DATE)=0,"",'Dvd Calendar'!$T$645*1000000000+ISNUMBER('Dvd Calendar'!$T$646)*100000000+0*10000000+(N('Dvd Calendar'!$T$644)&gt;0)*(N('Dvd Calendar'!$T$644)&lt;=VAL_SERIAL)*1000000+58*1000+56))</f>
        <v/>
      </c>
      <c r="GI69" s="39">
        <f>IF(N('Dvd Calendar'!$U$645)=0,"",IF(('Dvd Calendar'!$U$645&gt;=GRID_FROM)*('Dvd Calendar'!$U$645&lt;=GRID_TO)*('Dvd Calendar'!$U$645&gt;VAL_DATE)=0,"",'Dvd Calendar'!$U$645*1000000000+ISNUMBER('Dvd Calendar'!$U$646)*100000000+0*10000000+(N('Dvd Calendar'!$U$644)&gt;0)*(N('Dvd Calendar'!$U$644)&lt;=VAL_SERIAL)*1000000+58*1000+57))</f>
        <v/>
      </c>
      <c r="GJ69" s="39">
        <f>IF(N('Dvd Calendar'!$V$645)=0,"",IF(('Dvd Calendar'!$V$645&gt;=GRID_FROM)*('Dvd Calendar'!$V$645&lt;=GRID_TO)*('Dvd Calendar'!$V$645&gt;VAL_DATE)=0,"",'Dvd Calendar'!$V$645*1000000000+ISNUMBER('Dvd Calendar'!$V$646)*100000000+0*10000000+(N('Dvd Calendar'!$V$644)&gt;0)*(N('Dvd Calendar'!$V$644)&lt;=VAL_SERIAL)*1000000+58*1000+58))</f>
        <v/>
      </c>
      <c r="GK69" s="39">
        <f>IF(N('Dvd Calendar'!$W$645)=0,"",IF(('Dvd Calendar'!$W$645&gt;=GRID_FROM)*('Dvd Calendar'!$W$645&lt;=GRID_TO)*('Dvd Calendar'!$W$645&gt;VAL_DATE)=0,"",'Dvd Calendar'!$W$645*1000000000+ISNUMBER('Dvd Calendar'!$W$646)*100000000+0*10000000+(N('Dvd Calendar'!$W$644)&gt;0)*(N('Dvd Calendar'!$W$644)&lt;=VAL_SERIAL)*1000000+58*1000+59))</f>
        <v/>
      </c>
      <c r="GL69" s="39">
        <f>IF(N('Dvd Calendar'!$X$645)=0,"",IF(('Dvd Calendar'!$X$645&gt;=GRID_FROM)*('Dvd Calendar'!$X$645&lt;=GRID_TO)*('Dvd Calendar'!$X$645&gt;VAL_DATE)=0,"",'Dvd Calendar'!$X$645*1000000000+ISNUMBER('Dvd Calendar'!$X$646)*100000000+0*10000000+(N('Dvd Calendar'!$X$644)&gt;0)*(N('Dvd Calendar'!$X$644)&lt;=VAL_SERIAL)*1000000+58*1000+60))</f>
        <v/>
      </c>
      <c r="GM69" s="39">
        <f>IF(N('Dvd Calendar'!$Y$645)=0,"",IF(('Dvd Calendar'!$Y$645&gt;=GRID_FROM)*('Dvd Calendar'!$Y$645&lt;=GRID_TO)*('Dvd Calendar'!$Y$645&gt;VAL_DATE)=0,"",'Dvd Calendar'!$Y$645*1000000000+ISNUMBER('Dvd Calendar'!$Y$646)*100000000+0*10000000+(N('Dvd Calendar'!$Y$644)&gt;0)*(N('Dvd Calendar'!$Y$644)&lt;=VAL_SERIAL)*1000000+58*1000+61))</f>
        <v/>
      </c>
      <c r="GN69" s="39">
        <f>IF(N('Dvd Calendar'!$Z$645)=0,"",IF(('Dvd Calendar'!$Z$645&gt;=GRID_FROM)*('Dvd Calendar'!$Z$645&lt;=GRID_TO)*('Dvd Calendar'!$Z$645&gt;VAL_DATE)=0,"",'Dvd Calendar'!$Z$645*1000000000+ISNUMBER('Dvd Calendar'!$Z$646)*100000000+0*10000000+(N('Dvd Calendar'!$Z$644)&gt;0)*(N('Dvd Calendar'!$Z$644)&lt;=VAL_SERIAL)*1000000+58*1000+62))</f>
        <v/>
      </c>
      <c r="GO69" s="39">
        <f>IF(N('Dvd Calendar'!$AA$645)=0,"",IF(('Dvd Calendar'!$AA$645&gt;=GRID_FROM)*('Dvd Calendar'!$AA$645&lt;=GRID_TO)*('Dvd Calendar'!$AA$645&gt;VAL_DATE)=0,"",'Dvd Calendar'!$AA$645*1000000000+ISNUMBER('Dvd Calendar'!$AA$646)*100000000+0*10000000+(N('Dvd Calendar'!$AA$644)&gt;0)*(N('Dvd Calendar'!$AA$644)&lt;=VAL_SERIAL)*1000000+58*1000+63))</f>
        <v/>
      </c>
      <c r="GP69" s="39">
        <f>IF(N('Dvd Calendar'!$AB$645)=0,"",IF(('Dvd Calendar'!$AB$645&gt;=GRID_FROM)*('Dvd Calendar'!$AB$645&lt;=GRID_TO)*('Dvd Calendar'!$AB$645&gt;VAL_DATE)=0,"",'Dvd Calendar'!$AB$645*1000000000+ISNUMBER('Dvd Calendar'!$AB$646)*100000000+0*10000000+(N('Dvd Calendar'!$AB$644)&gt;0)*(N('Dvd Calendar'!$AB$644)&lt;=VAL_SERIAL)*1000000+58*1000+64))</f>
        <v/>
      </c>
      <c r="GQ69" s="39">
        <f>IF(N('Dvd Calendar'!$AC$645)=0,"",IF(('Dvd Calendar'!$AC$645&gt;=GRID_FROM)*('Dvd Calendar'!$AC$645&lt;=GRID_TO)*('Dvd Calendar'!$AC$645&gt;VAL_DATE)=0,"",'Dvd Calendar'!$AC$645*1000000000+ISNUMBER('Dvd Calendar'!$AC$646)*100000000+0*10000000+(N('Dvd Calendar'!$AC$644)&gt;0)*(N('Dvd Calendar'!$AC$644)&lt;=VAL_SERIAL)*1000000+58*1000+65))</f>
        <v/>
      </c>
    </row>
    <row r="70">
      <c r="B70" s="2">
        <f>IF(HSI!$C$65="","",HSI!$C$65)</f>
        <v/>
      </c>
      <c r="C70" s="110">
        <f>IF(EE70="","",IF(ISNUMBER('Dvd Calendar'!$E$652)=FALSE,"",IF((('Dvd Calendar'!$E$654=TYPE1)*(TYPE1&lt;&gt;"")+('Dvd Calendar'!$E$654=TYPE2)*(TYPE2&lt;&gt;"")+('Dvd Calendar'!$E$654=TYPE3)*(TYPE3&lt;&gt;"")+('Dvd Calendar'!$E$654=TYPE4)*(TYPE4&lt;&gt;"")+('Dvd Calendar'!$E$654=SPECIAL_LBL)*(INC_SPECIALS="Y"))=0,"",'Dvd Calendar'!$E$652)))</f>
        <v/>
      </c>
      <c r="D70" s="110">
        <f>IF(EF70="","",IF(ISNUMBER('Dvd Calendar'!$F$652)=FALSE,"",IF((('Dvd Calendar'!$F$654=TYPE1)*(TYPE1&lt;&gt;"")+('Dvd Calendar'!$F$654=TYPE2)*(TYPE2&lt;&gt;"")+('Dvd Calendar'!$F$654=TYPE3)*(TYPE3&lt;&gt;"")+('Dvd Calendar'!$F$654=TYPE4)*(TYPE4&lt;&gt;"")+('Dvd Calendar'!$F$654=SPECIAL_LBL)*(INC_SPECIALS="Y"))=0,"",'Dvd Calendar'!$F$652)))</f>
        <v/>
      </c>
      <c r="E70" s="110">
        <f>IF(EG70="","",IF(ISNUMBER('Dvd Calendar'!$G$652)=FALSE,"",IF((('Dvd Calendar'!$G$654=TYPE1)*(TYPE1&lt;&gt;"")+('Dvd Calendar'!$G$654=TYPE2)*(TYPE2&lt;&gt;"")+('Dvd Calendar'!$G$654=TYPE3)*(TYPE3&lt;&gt;"")+('Dvd Calendar'!$G$654=TYPE4)*(TYPE4&lt;&gt;"")+('Dvd Calendar'!$G$654=SPECIAL_LBL)*(INC_SPECIALS="Y"))=0,"",'Dvd Calendar'!$G$652)))</f>
        <v/>
      </c>
      <c r="F70" s="110">
        <f>IF(EH70="","",IF(ISNUMBER('Dvd Calendar'!$H$652)=FALSE,"",IF((('Dvd Calendar'!$H$654=TYPE1)*(TYPE1&lt;&gt;"")+('Dvd Calendar'!$H$654=TYPE2)*(TYPE2&lt;&gt;"")+('Dvd Calendar'!$H$654=TYPE3)*(TYPE3&lt;&gt;"")+('Dvd Calendar'!$H$654=TYPE4)*(TYPE4&lt;&gt;"")+('Dvd Calendar'!$H$654=SPECIAL_LBL)*(INC_SPECIALS="Y"))=0,"",'Dvd Calendar'!$H$652)))</f>
        <v/>
      </c>
      <c r="G70" s="110">
        <f>IF(EI70="","",IF(ISNUMBER('Dvd Calendar'!$I$652)=FALSE,"",IF((('Dvd Calendar'!$I$654=TYPE1)*(TYPE1&lt;&gt;"")+('Dvd Calendar'!$I$654=TYPE2)*(TYPE2&lt;&gt;"")+('Dvd Calendar'!$I$654=TYPE3)*(TYPE3&lt;&gt;"")+('Dvd Calendar'!$I$654=TYPE4)*(TYPE4&lt;&gt;"")+('Dvd Calendar'!$I$654=SPECIAL_LBL)*(INC_SPECIALS="Y"))=0,"",'Dvd Calendar'!$I$652)))</f>
        <v/>
      </c>
      <c r="H70" s="110">
        <f>IF(EJ70="","",IF(ISNUMBER('Dvd Calendar'!$J$652)=FALSE,"",IF((('Dvd Calendar'!$J$654=TYPE1)*(TYPE1&lt;&gt;"")+('Dvd Calendar'!$J$654=TYPE2)*(TYPE2&lt;&gt;"")+('Dvd Calendar'!$J$654=TYPE3)*(TYPE3&lt;&gt;"")+('Dvd Calendar'!$J$654=TYPE4)*(TYPE4&lt;&gt;"")+('Dvd Calendar'!$J$654=SPECIAL_LBL)*(INC_SPECIALS="Y"))=0,"",'Dvd Calendar'!$J$652)))</f>
        <v/>
      </c>
      <c r="I70" s="110">
        <f>IF(EK70="","",IF(ISNUMBER('Dvd Calendar'!$K$652)=FALSE,"",IF((('Dvd Calendar'!$K$654=TYPE1)*(TYPE1&lt;&gt;"")+('Dvd Calendar'!$K$654=TYPE2)*(TYPE2&lt;&gt;"")+('Dvd Calendar'!$K$654=TYPE3)*(TYPE3&lt;&gt;"")+('Dvd Calendar'!$K$654=TYPE4)*(TYPE4&lt;&gt;"")+('Dvd Calendar'!$K$654=SPECIAL_LBL)*(INC_SPECIALS="Y"))=0,"",'Dvd Calendar'!$K$652)))</f>
        <v/>
      </c>
      <c r="J70" s="110">
        <f>IF(EL70="","",IF(ISNUMBER('Dvd Calendar'!$L$652)=FALSE,"",IF((('Dvd Calendar'!$L$654=TYPE1)*(TYPE1&lt;&gt;"")+('Dvd Calendar'!$L$654=TYPE2)*(TYPE2&lt;&gt;"")+('Dvd Calendar'!$L$654=TYPE3)*(TYPE3&lt;&gt;"")+('Dvd Calendar'!$L$654=TYPE4)*(TYPE4&lt;&gt;"")+('Dvd Calendar'!$L$654=SPECIAL_LBL)*(INC_SPECIALS="Y"))=0,"",'Dvd Calendar'!$L$652)))</f>
        <v/>
      </c>
      <c r="K70" s="110">
        <f>IF(EM70="","",IF(ISNUMBER('Dvd Calendar'!$M$652)=FALSE,"",IF((('Dvd Calendar'!$M$654=TYPE1)*(TYPE1&lt;&gt;"")+('Dvd Calendar'!$M$654=TYPE2)*(TYPE2&lt;&gt;"")+('Dvd Calendar'!$M$654=TYPE3)*(TYPE3&lt;&gt;"")+('Dvd Calendar'!$M$654=TYPE4)*(TYPE4&lt;&gt;"")+('Dvd Calendar'!$M$654=SPECIAL_LBL)*(INC_SPECIALS="Y"))=0,"",'Dvd Calendar'!$M$652)))</f>
        <v/>
      </c>
      <c r="L70" s="110">
        <f>IF(EN70="","",IF(ISNUMBER('Dvd Calendar'!$N$652)=FALSE,"",IF((('Dvd Calendar'!$N$654=TYPE1)*(TYPE1&lt;&gt;"")+('Dvd Calendar'!$N$654=TYPE2)*(TYPE2&lt;&gt;"")+('Dvd Calendar'!$N$654=TYPE3)*(TYPE3&lt;&gt;"")+('Dvd Calendar'!$N$654=TYPE4)*(TYPE4&lt;&gt;"")+('Dvd Calendar'!$N$654=SPECIAL_LBL)*(INC_SPECIALS="Y"))=0,"",'Dvd Calendar'!$N$652)))</f>
        <v/>
      </c>
      <c r="M70" s="110">
        <f>IF(EO70="","",IF(ISNUMBER('Dvd Calendar'!$O$652)=FALSE,"",IF((('Dvd Calendar'!$O$654=TYPE1)*(TYPE1&lt;&gt;"")+('Dvd Calendar'!$O$654=TYPE2)*(TYPE2&lt;&gt;"")+('Dvd Calendar'!$O$654=TYPE3)*(TYPE3&lt;&gt;"")+('Dvd Calendar'!$O$654=TYPE4)*(TYPE4&lt;&gt;"")+('Dvd Calendar'!$O$654=SPECIAL_LBL)*(INC_SPECIALS="Y"))=0,"",'Dvd Calendar'!$O$652)))</f>
        <v/>
      </c>
      <c r="N70" s="110">
        <f>IF(EP70="","",IF(ISNUMBER('Dvd Calendar'!$P$652)=FALSE,"",IF((('Dvd Calendar'!$P$654=TYPE1)*(TYPE1&lt;&gt;"")+('Dvd Calendar'!$P$654=TYPE2)*(TYPE2&lt;&gt;"")+('Dvd Calendar'!$P$654=TYPE3)*(TYPE3&lt;&gt;"")+('Dvd Calendar'!$P$654=TYPE4)*(TYPE4&lt;&gt;"")+('Dvd Calendar'!$P$654=SPECIAL_LBL)*(INC_SPECIALS="Y"))=0,"",'Dvd Calendar'!$P$652)))</f>
        <v/>
      </c>
      <c r="O70" s="110">
        <f>IF(EQ70="","",IF(ISNUMBER('Dvd Calendar'!$Q$652)=FALSE,"",IF((('Dvd Calendar'!$Q$654=TYPE1)*(TYPE1&lt;&gt;"")+('Dvd Calendar'!$Q$654=TYPE2)*(TYPE2&lt;&gt;"")+('Dvd Calendar'!$Q$654=TYPE3)*(TYPE3&lt;&gt;"")+('Dvd Calendar'!$Q$654=TYPE4)*(TYPE4&lt;&gt;"")+('Dvd Calendar'!$Q$654=SPECIAL_LBL)*(INC_SPECIALS="Y"))=0,"",'Dvd Calendar'!$Q$652)))</f>
        <v/>
      </c>
      <c r="P70" s="110">
        <f>IF(ER70="","",IF(ISNUMBER('Dvd Calendar'!$R$652)=FALSE,"",IF((('Dvd Calendar'!$R$654=TYPE1)*(TYPE1&lt;&gt;"")+('Dvd Calendar'!$R$654=TYPE2)*(TYPE2&lt;&gt;"")+('Dvd Calendar'!$R$654=TYPE3)*(TYPE3&lt;&gt;"")+('Dvd Calendar'!$R$654=TYPE4)*(TYPE4&lt;&gt;"")+('Dvd Calendar'!$R$654=SPECIAL_LBL)*(INC_SPECIALS="Y"))=0,"",'Dvd Calendar'!$R$652)))</f>
        <v/>
      </c>
      <c r="Q70" s="110">
        <f>IF(ES70="","",IF(ISNUMBER('Dvd Calendar'!$S$652)=FALSE,"",IF((('Dvd Calendar'!$S$654=TYPE1)*(TYPE1&lt;&gt;"")+('Dvd Calendar'!$S$654=TYPE2)*(TYPE2&lt;&gt;"")+('Dvd Calendar'!$S$654=TYPE3)*(TYPE3&lt;&gt;"")+('Dvd Calendar'!$S$654=TYPE4)*(TYPE4&lt;&gt;"")+('Dvd Calendar'!$S$654=SPECIAL_LBL)*(INC_SPECIALS="Y"))=0,"",'Dvd Calendar'!$S$652)))</f>
        <v/>
      </c>
      <c r="R70" s="110">
        <f>IF(ET70="","",IF(ISNUMBER('Dvd Calendar'!$T$652)=FALSE,"",IF((('Dvd Calendar'!$T$654=TYPE1)*(TYPE1&lt;&gt;"")+('Dvd Calendar'!$T$654=TYPE2)*(TYPE2&lt;&gt;"")+('Dvd Calendar'!$T$654=TYPE3)*(TYPE3&lt;&gt;"")+('Dvd Calendar'!$T$654=TYPE4)*(TYPE4&lt;&gt;"")+('Dvd Calendar'!$T$654=SPECIAL_LBL)*(INC_SPECIALS="Y"))=0,"",'Dvd Calendar'!$T$652)))</f>
        <v/>
      </c>
      <c r="S70" s="110">
        <f>IF(EU70="","",IF(ISNUMBER('Dvd Calendar'!$U$652)=FALSE,"",IF((('Dvd Calendar'!$U$654=TYPE1)*(TYPE1&lt;&gt;"")+('Dvd Calendar'!$U$654=TYPE2)*(TYPE2&lt;&gt;"")+('Dvd Calendar'!$U$654=TYPE3)*(TYPE3&lt;&gt;"")+('Dvd Calendar'!$U$654=TYPE4)*(TYPE4&lt;&gt;"")+('Dvd Calendar'!$U$654=SPECIAL_LBL)*(INC_SPECIALS="Y"))=0,"",'Dvd Calendar'!$U$652)))</f>
        <v/>
      </c>
      <c r="T70" s="110">
        <f>IF(EV70="","",IF(ISNUMBER('Dvd Calendar'!$V$652)=FALSE,"",IF((('Dvd Calendar'!$V$654=TYPE1)*(TYPE1&lt;&gt;"")+('Dvd Calendar'!$V$654=TYPE2)*(TYPE2&lt;&gt;"")+('Dvd Calendar'!$V$654=TYPE3)*(TYPE3&lt;&gt;"")+('Dvd Calendar'!$V$654=TYPE4)*(TYPE4&lt;&gt;"")+('Dvd Calendar'!$V$654=SPECIAL_LBL)*(INC_SPECIALS="Y"))=0,"",'Dvd Calendar'!$V$652)))</f>
        <v/>
      </c>
      <c r="U70" s="110">
        <f>IF(EW70="","",IF(ISNUMBER('Dvd Calendar'!$W$652)=FALSE,"",IF((('Dvd Calendar'!$W$654=TYPE1)*(TYPE1&lt;&gt;"")+('Dvd Calendar'!$W$654=TYPE2)*(TYPE2&lt;&gt;"")+('Dvd Calendar'!$W$654=TYPE3)*(TYPE3&lt;&gt;"")+('Dvd Calendar'!$W$654=TYPE4)*(TYPE4&lt;&gt;"")+('Dvd Calendar'!$W$654=SPECIAL_LBL)*(INC_SPECIALS="Y"))=0,"",'Dvd Calendar'!$W$652)))</f>
        <v/>
      </c>
      <c r="V70" s="110">
        <f>IF(EX70="","",IF(ISNUMBER('Dvd Calendar'!$X$652)=FALSE,"",IF((('Dvd Calendar'!$X$654=TYPE1)*(TYPE1&lt;&gt;"")+('Dvd Calendar'!$X$654=TYPE2)*(TYPE2&lt;&gt;"")+('Dvd Calendar'!$X$654=TYPE3)*(TYPE3&lt;&gt;"")+('Dvd Calendar'!$X$654=TYPE4)*(TYPE4&lt;&gt;"")+('Dvd Calendar'!$X$654=SPECIAL_LBL)*(INC_SPECIALS="Y"))=0,"",'Dvd Calendar'!$X$652)))</f>
        <v/>
      </c>
      <c r="W70" s="110">
        <f>IF(EY70="","",IF(ISNUMBER('Dvd Calendar'!$Y$652)=FALSE,"",IF((('Dvd Calendar'!$Y$654=TYPE1)*(TYPE1&lt;&gt;"")+('Dvd Calendar'!$Y$654=TYPE2)*(TYPE2&lt;&gt;"")+('Dvd Calendar'!$Y$654=TYPE3)*(TYPE3&lt;&gt;"")+('Dvd Calendar'!$Y$654=TYPE4)*(TYPE4&lt;&gt;"")+('Dvd Calendar'!$Y$654=SPECIAL_LBL)*(INC_SPECIALS="Y"))=0,"",'Dvd Calendar'!$Y$652)))</f>
        <v/>
      </c>
      <c r="X70" s="110">
        <f>IF(EZ70="","",IF(ISNUMBER('Dvd Calendar'!$Z$652)=FALSE,"",IF((('Dvd Calendar'!$Z$654=TYPE1)*(TYPE1&lt;&gt;"")+('Dvd Calendar'!$Z$654=TYPE2)*(TYPE2&lt;&gt;"")+('Dvd Calendar'!$Z$654=TYPE3)*(TYPE3&lt;&gt;"")+('Dvd Calendar'!$Z$654=TYPE4)*(TYPE4&lt;&gt;"")+('Dvd Calendar'!$Z$654=SPECIAL_LBL)*(INC_SPECIALS="Y"))=0,"",'Dvd Calendar'!$Z$652)))</f>
        <v/>
      </c>
      <c r="Y70" s="110">
        <f>IF(FA70="","",IF(ISNUMBER('Dvd Calendar'!$AA$652)=FALSE,"",IF((('Dvd Calendar'!$AA$654=TYPE1)*(TYPE1&lt;&gt;"")+('Dvd Calendar'!$AA$654=TYPE2)*(TYPE2&lt;&gt;"")+('Dvd Calendar'!$AA$654=TYPE3)*(TYPE3&lt;&gt;"")+('Dvd Calendar'!$AA$654=TYPE4)*(TYPE4&lt;&gt;"")+('Dvd Calendar'!$AA$654=SPECIAL_LBL)*(INC_SPECIALS="Y"))=0,"",'Dvd Calendar'!$AA$652)))</f>
        <v/>
      </c>
      <c r="Z70" s="110">
        <f>IF(FB70="","",IF(ISNUMBER('Dvd Calendar'!$AB$652)=FALSE,"",IF((('Dvd Calendar'!$AB$654=TYPE1)*(TYPE1&lt;&gt;"")+('Dvd Calendar'!$AB$654=TYPE2)*(TYPE2&lt;&gt;"")+('Dvd Calendar'!$AB$654=TYPE3)*(TYPE3&lt;&gt;"")+('Dvd Calendar'!$AB$654=TYPE4)*(TYPE4&lt;&gt;"")+('Dvd Calendar'!$AB$654=SPECIAL_LBL)*(INC_SPECIALS="Y"))=0,"",'Dvd Calendar'!$AB$652)))</f>
        <v/>
      </c>
      <c r="AA70" s="110">
        <f>IF(FC70="","",IF(ISNUMBER('Dvd Calendar'!$AC$652)=FALSE,"",IF((('Dvd Calendar'!$AC$654=TYPE1)*(TYPE1&lt;&gt;"")+('Dvd Calendar'!$AC$654=TYPE2)*(TYPE2&lt;&gt;"")+('Dvd Calendar'!$AC$654=TYPE3)*(TYPE3&lt;&gt;"")+('Dvd Calendar'!$AC$654=TYPE4)*(TYPE4&lt;&gt;"")+('Dvd Calendar'!$AC$654=SPECIAL_LBL)*(INC_SPECIALS="Y"))=0,"",'Dvd Calendar'!$AC$652)))</f>
        <v/>
      </c>
      <c r="AB70" s="110">
        <f>IF(FD70="","",IF(ISNUMBER('Dvd Calendar'!$AD$652)=FALSE,"",IF((('Dvd Calendar'!$AD$654=TYPE1)*(TYPE1&lt;&gt;"")+('Dvd Calendar'!$AD$654=TYPE2)*(TYPE2&lt;&gt;"")+('Dvd Calendar'!$AD$654=TYPE3)*(TYPE3&lt;&gt;"")+('Dvd Calendar'!$AD$654=TYPE4)*(TYPE4&lt;&gt;"")+('Dvd Calendar'!$AD$654=SPECIAL_LBL)*(INC_SPECIALS="Y"))=0,"",'Dvd Calendar'!$AD$652)))</f>
        <v/>
      </c>
      <c r="AC70" s="110">
        <f>IF(FE70="","",IF(ISNUMBER('Dvd Calendar'!$AE$652)=FALSE,"",IF((('Dvd Calendar'!$AE$654=TYPE1)*(TYPE1&lt;&gt;"")+('Dvd Calendar'!$AE$654=TYPE2)*(TYPE2&lt;&gt;"")+('Dvd Calendar'!$AE$654=TYPE3)*(TYPE3&lt;&gt;"")+('Dvd Calendar'!$AE$654=TYPE4)*(TYPE4&lt;&gt;"")+('Dvd Calendar'!$AE$654=SPECIAL_LBL)*(INC_SPECIALS="Y"))=0,"",'Dvd Calendar'!$AE$652)))</f>
        <v/>
      </c>
      <c r="AD70" s="110">
        <f>IF(FF70="","",IF(ISNUMBER('Dvd Calendar'!$AF$652)=FALSE,"",IF((('Dvd Calendar'!$AF$654=TYPE1)*(TYPE1&lt;&gt;"")+('Dvd Calendar'!$AF$654=TYPE2)*(TYPE2&lt;&gt;"")+('Dvd Calendar'!$AF$654=TYPE3)*(TYPE3&lt;&gt;"")+('Dvd Calendar'!$AF$654=TYPE4)*(TYPE4&lt;&gt;"")+('Dvd Calendar'!$AF$654=SPECIAL_LBL)*(INC_SPECIALS="Y"))=0,"",'Dvd Calendar'!$AF$652)))</f>
        <v/>
      </c>
      <c r="AE70" s="110">
        <f>IF(FG70="","",IF(ISNUMBER('Dvd Calendar'!$AG$652)=FALSE,"",IF((('Dvd Calendar'!$AG$654=TYPE1)*(TYPE1&lt;&gt;"")+('Dvd Calendar'!$AG$654=TYPE2)*(TYPE2&lt;&gt;"")+('Dvd Calendar'!$AG$654=TYPE3)*(TYPE3&lt;&gt;"")+('Dvd Calendar'!$AG$654=TYPE4)*(TYPE4&lt;&gt;"")+('Dvd Calendar'!$AG$654=SPECIAL_LBL)*(INC_SPECIALS="Y"))=0,"",'Dvd Calendar'!$AG$652)))</f>
        <v/>
      </c>
      <c r="AF70" s="110">
        <f>IF(FH70="","",IF(ISNUMBER('Dvd Calendar'!$AH$652)=FALSE,"",IF((('Dvd Calendar'!$AH$654=TYPE1)*(TYPE1&lt;&gt;"")+('Dvd Calendar'!$AH$654=TYPE2)*(TYPE2&lt;&gt;"")+('Dvd Calendar'!$AH$654=TYPE3)*(TYPE3&lt;&gt;"")+('Dvd Calendar'!$AH$654=TYPE4)*(TYPE4&lt;&gt;"")+('Dvd Calendar'!$AH$654=SPECIAL_LBL)*(INC_SPECIALS="Y"))=0,"",'Dvd Calendar'!$AH$652)))</f>
        <v/>
      </c>
      <c r="AG70" s="110">
        <f>IF(FI70="","",IF(ISNUMBER('Dvd Calendar'!$AI$652)=FALSE,"",IF((('Dvd Calendar'!$AI$654=TYPE1)*(TYPE1&lt;&gt;"")+('Dvd Calendar'!$AI$654=TYPE2)*(TYPE2&lt;&gt;"")+('Dvd Calendar'!$AI$654=TYPE3)*(TYPE3&lt;&gt;"")+('Dvd Calendar'!$AI$654=TYPE4)*(TYPE4&lt;&gt;"")+('Dvd Calendar'!$AI$654=SPECIAL_LBL)*(INC_SPECIALS="Y"))=0,"",'Dvd Calendar'!$AI$652)))</f>
        <v/>
      </c>
      <c r="AH70" s="110">
        <f>IF(FJ70="","",IF(ISNUMBER('Dvd Calendar'!$AJ$652)=FALSE,"",IF((('Dvd Calendar'!$AJ$654=TYPE1)*(TYPE1&lt;&gt;"")+('Dvd Calendar'!$AJ$654=TYPE2)*(TYPE2&lt;&gt;"")+('Dvd Calendar'!$AJ$654=TYPE3)*(TYPE3&lt;&gt;"")+('Dvd Calendar'!$AJ$654=TYPE4)*(TYPE4&lt;&gt;"")+('Dvd Calendar'!$AJ$654=SPECIAL_LBL)*(INC_SPECIALS="Y"))=0,"",'Dvd Calendar'!$AJ$652)))</f>
        <v/>
      </c>
      <c r="AI70" s="110">
        <f>IF(FK70="","",IF(ISNUMBER('Dvd Calendar'!$AK$652)=FALSE,"",IF((('Dvd Calendar'!$AK$654=TYPE1)*(TYPE1&lt;&gt;"")+('Dvd Calendar'!$AK$654=TYPE2)*(TYPE2&lt;&gt;"")+('Dvd Calendar'!$AK$654=TYPE3)*(TYPE3&lt;&gt;"")+('Dvd Calendar'!$AK$654=TYPE4)*(TYPE4&lt;&gt;"")+('Dvd Calendar'!$AK$654=SPECIAL_LBL)*(INC_SPECIALS="Y"))=0,"",'Dvd Calendar'!$AK$652)))</f>
        <v/>
      </c>
      <c r="AJ70" s="110">
        <f>IF(FL70="","",IF(ISNUMBER('Dvd Calendar'!$AL$652)=FALSE,"",IF((('Dvd Calendar'!$AL$654=TYPE1)*(TYPE1&lt;&gt;"")+('Dvd Calendar'!$AL$654=TYPE2)*(TYPE2&lt;&gt;"")+('Dvd Calendar'!$AL$654=TYPE3)*(TYPE3&lt;&gt;"")+('Dvd Calendar'!$AL$654=TYPE4)*(TYPE4&lt;&gt;"")+('Dvd Calendar'!$AL$654=SPECIAL_LBL)*(INC_SPECIALS="Y"))=0,"",'Dvd Calendar'!$AL$652)))</f>
        <v/>
      </c>
      <c r="AK70" s="110">
        <f>IF(FM70="","",IF(ISNUMBER('Dvd Calendar'!$AM$652)=FALSE,"",IF((('Dvd Calendar'!$AM$654=TYPE1)*(TYPE1&lt;&gt;"")+('Dvd Calendar'!$AM$654=TYPE2)*(TYPE2&lt;&gt;"")+('Dvd Calendar'!$AM$654=TYPE3)*(TYPE3&lt;&gt;"")+('Dvd Calendar'!$AM$654=TYPE4)*(TYPE4&lt;&gt;"")+('Dvd Calendar'!$AM$654=SPECIAL_LBL)*(INC_SPECIALS="Y"))=0,"",'Dvd Calendar'!$AM$652)))</f>
        <v/>
      </c>
      <c r="AL70" s="110">
        <f>IF(FN70="","",IF(ISNUMBER('Dvd Calendar'!$AN$652)=FALSE,"",IF((('Dvd Calendar'!$AN$654=TYPE1)*(TYPE1&lt;&gt;"")+('Dvd Calendar'!$AN$654=TYPE2)*(TYPE2&lt;&gt;"")+('Dvd Calendar'!$AN$654=TYPE3)*(TYPE3&lt;&gt;"")+('Dvd Calendar'!$AN$654=TYPE4)*(TYPE4&lt;&gt;"")+('Dvd Calendar'!$AN$654=SPECIAL_LBL)*(INC_SPECIALS="Y"))=0,"",'Dvd Calendar'!$AN$652)))</f>
        <v/>
      </c>
      <c r="AM70" s="110">
        <f>IF(FO70="","",IF(ISNUMBER('Dvd Calendar'!$AO$652)=FALSE,"",IF((('Dvd Calendar'!$AO$654=TYPE1)*(TYPE1&lt;&gt;"")+('Dvd Calendar'!$AO$654=TYPE2)*(TYPE2&lt;&gt;"")+('Dvd Calendar'!$AO$654=TYPE3)*(TYPE3&lt;&gt;"")+('Dvd Calendar'!$AO$654=TYPE4)*(TYPE4&lt;&gt;"")+('Dvd Calendar'!$AO$654=SPECIAL_LBL)*(INC_SPECIALS="Y"))=0,"",'Dvd Calendar'!$AO$652)))</f>
        <v/>
      </c>
      <c r="AN70" s="110">
        <f>IF(FP70="","",IF(ISNUMBER('Dvd Calendar'!$AP$652)=FALSE,"",IF((('Dvd Calendar'!$AP$654=TYPE1)*(TYPE1&lt;&gt;"")+('Dvd Calendar'!$AP$654=TYPE2)*(TYPE2&lt;&gt;"")+('Dvd Calendar'!$AP$654=TYPE3)*(TYPE3&lt;&gt;"")+('Dvd Calendar'!$AP$654=TYPE4)*(TYPE4&lt;&gt;"")+('Dvd Calendar'!$AP$654=SPECIAL_LBL)*(INC_SPECIALS="Y"))=0,"",'Dvd Calendar'!$AP$652)))</f>
        <v/>
      </c>
      <c r="AO70" s="110">
        <f>IF(FQ70="","",IF(ISNUMBER('Dvd Calendar'!$AQ$652)=FALSE,"",IF((('Dvd Calendar'!$AQ$654=TYPE1)*(TYPE1&lt;&gt;"")+('Dvd Calendar'!$AQ$654=TYPE2)*(TYPE2&lt;&gt;"")+('Dvd Calendar'!$AQ$654=TYPE3)*(TYPE3&lt;&gt;"")+('Dvd Calendar'!$AQ$654=TYPE4)*(TYPE4&lt;&gt;"")+('Dvd Calendar'!$AQ$654=SPECIAL_LBL)*(INC_SPECIALS="Y"))=0,"",'Dvd Calendar'!$AQ$652)))</f>
        <v/>
      </c>
      <c r="AP70" s="110">
        <f>IF(FR70="","",IF(ISNUMBER('Dvd Calendar'!$AR$652)=FALSE,"",IF((('Dvd Calendar'!$AR$654=TYPE1)*(TYPE1&lt;&gt;"")+('Dvd Calendar'!$AR$654=TYPE2)*(TYPE2&lt;&gt;"")+('Dvd Calendar'!$AR$654=TYPE3)*(TYPE3&lt;&gt;"")+('Dvd Calendar'!$AR$654=TYPE4)*(TYPE4&lt;&gt;"")+('Dvd Calendar'!$AR$654=SPECIAL_LBL)*(INC_SPECIALS="Y"))=0,"",'Dvd Calendar'!$AR$652)))</f>
        <v/>
      </c>
      <c r="AQ70" s="110">
        <f>IF(FS70="","",IF(ISNUMBER('Dvd Calendar'!$E$657)=FALSE,"",'Dvd Calendar'!$E$657))</f>
        <v/>
      </c>
      <c r="AR70" s="110">
        <f>IF(FT70="","",IF(ISNUMBER('Dvd Calendar'!$F$657)=FALSE,"",'Dvd Calendar'!$F$657))</f>
        <v/>
      </c>
      <c r="AS70" s="110">
        <f>IF(FU70="","",IF(ISNUMBER('Dvd Calendar'!$G$657)=FALSE,"",'Dvd Calendar'!$G$657))</f>
        <v/>
      </c>
      <c r="AT70" s="110">
        <f>IF(FV70="","",IF(ISNUMBER('Dvd Calendar'!$H$657)=FALSE,"",'Dvd Calendar'!$H$657))</f>
        <v/>
      </c>
      <c r="AU70" s="110">
        <f>IF(FW70="","",IF(ISNUMBER('Dvd Calendar'!$I$657)=FALSE,"",'Dvd Calendar'!$I$657))</f>
        <v/>
      </c>
      <c r="AV70" s="110">
        <f>IF(FX70="","",IF(ISNUMBER('Dvd Calendar'!$J$657)=FALSE,"",'Dvd Calendar'!$J$657))</f>
        <v/>
      </c>
      <c r="AW70" s="110">
        <f>IF(FY70="","",IF(ISNUMBER('Dvd Calendar'!$K$657)=FALSE,"",'Dvd Calendar'!$K$657))</f>
        <v/>
      </c>
      <c r="AX70" s="110">
        <f>IF(FZ70="","",IF(ISNUMBER('Dvd Calendar'!$L$657)=FALSE,"",'Dvd Calendar'!$L$657))</f>
        <v/>
      </c>
      <c r="AY70" s="110">
        <f>IF(GA70="","",IF(ISNUMBER('Dvd Calendar'!$M$657)=FALSE,"",'Dvd Calendar'!$M$657))</f>
        <v/>
      </c>
      <c r="AZ70" s="110">
        <f>IF(GB70="","",IF(ISNUMBER('Dvd Calendar'!$N$657)=FALSE,"",'Dvd Calendar'!$N$657))</f>
        <v/>
      </c>
      <c r="BA70" s="110">
        <f>IF(GC70="","",IF(ISNUMBER('Dvd Calendar'!$O$657)=FALSE,"",'Dvd Calendar'!$O$657))</f>
        <v/>
      </c>
      <c r="BB70" s="110">
        <f>IF(GD70="","",IF(ISNUMBER('Dvd Calendar'!$P$657)=FALSE,"",'Dvd Calendar'!$P$657))</f>
        <v/>
      </c>
      <c r="BC70" s="110">
        <f>IF(GE70="","",IF(ISNUMBER('Dvd Calendar'!$Q$657)=FALSE,"",'Dvd Calendar'!$Q$657))</f>
        <v/>
      </c>
      <c r="BD70" s="110">
        <f>IF(GF70="","",IF(ISNUMBER('Dvd Calendar'!$R$657)=FALSE,"",'Dvd Calendar'!$R$657))</f>
        <v/>
      </c>
      <c r="BE70" s="110">
        <f>IF(GG70="","",IF(ISNUMBER('Dvd Calendar'!$S$657)=FALSE,"",'Dvd Calendar'!$S$657))</f>
        <v/>
      </c>
      <c r="BF70" s="110">
        <f>IF(GH70="","",IF(ISNUMBER('Dvd Calendar'!$T$657)=FALSE,"",'Dvd Calendar'!$T$657))</f>
        <v/>
      </c>
      <c r="BG70" s="110">
        <f>IF(GI70="","",IF(ISNUMBER('Dvd Calendar'!$U$657)=FALSE,"",'Dvd Calendar'!$U$657))</f>
        <v/>
      </c>
      <c r="BH70" s="110">
        <f>IF(GJ70="","",IF(ISNUMBER('Dvd Calendar'!$V$657)=FALSE,"",'Dvd Calendar'!$V$657))</f>
        <v/>
      </c>
      <c r="BI70" s="110">
        <f>IF(GK70="","",IF(ISNUMBER('Dvd Calendar'!$W$657)=FALSE,"",'Dvd Calendar'!$W$657))</f>
        <v/>
      </c>
      <c r="BJ70" s="110">
        <f>IF(GL70="","",IF(ISNUMBER('Dvd Calendar'!$X$657)=FALSE,"",'Dvd Calendar'!$X$657))</f>
        <v/>
      </c>
      <c r="BK70" s="110">
        <f>IF(GM70="","",IF(ISNUMBER('Dvd Calendar'!$Y$657)=FALSE,"",'Dvd Calendar'!$Y$657))</f>
        <v/>
      </c>
      <c r="BL70" s="110">
        <f>IF(GN70="","",IF(ISNUMBER('Dvd Calendar'!$Z$657)=FALSE,"",'Dvd Calendar'!$Z$657))</f>
        <v/>
      </c>
      <c r="BM70" s="110">
        <f>IF(GO70="","",IF(ISNUMBER('Dvd Calendar'!$AA$657)=FALSE,"",'Dvd Calendar'!$AA$657))</f>
        <v/>
      </c>
      <c r="BN70" s="110">
        <f>IF(GP70="","",IF(ISNUMBER('Dvd Calendar'!$AB$657)=FALSE,"",'Dvd Calendar'!$AB$657))</f>
        <v/>
      </c>
      <c r="BO70" s="110">
        <f>IF(GQ70="","",IF(ISNUMBER('Dvd Calendar'!$AC$657)=FALSE,"",'Dvd Calendar'!$AC$657))</f>
        <v/>
      </c>
      <c r="BQ70" s="110">
        <f>IF(C70="","",IFERROR(C70*HSI!$B$65*HSI!$G$65/HSI!$B$3,""))</f>
        <v/>
      </c>
      <c r="BR70" s="110">
        <f>IF(D70="","",IFERROR(D70*HSI!$B$65*HSI!$G$65/HSI!$B$3,""))</f>
        <v/>
      </c>
      <c r="BS70" s="110">
        <f>IF(E70="","",IFERROR(E70*HSI!$B$65*HSI!$G$65/HSI!$B$3,""))</f>
        <v/>
      </c>
      <c r="BT70" s="110">
        <f>IF(F70="","",IFERROR(F70*HSI!$B$65*HSI!$G$65/HSI!$B$3,""))</f>
        <v/>
      </c>
      <c r="BU70" s="110">
        <f>IF(G70="","",IFERROR(G70*HSI!$B$65*HSI!$G$65/HSI!$B$3,""))</f>
        <v/>
      </c>
      <c r="BV70" s="110">
        <f>IF(H70="","",IFERROR(H70*HSI!$B$65*HSI!$G$65/HSI!$B$3,""))</f>
        <v/>
      </c>
      <c r="BW70" s="110">
        <f>IF(I70="","",IFERROR(I70*HSI!$B$65*HSI!$G$65/HSI!$B$3,""))</f>
        <v/>
      </c>
      <c r="BX70" s="110">
        <f>IF(J70="","",IFERROR(J70*HSI!$B$65*HSI!$G$65/HSI!$B$3,""))</f>
        <v/>
      </c>
      <c r="BY70" s="110">
        <f>IF(K70="","",IFERROR(K70*HSI!$B$65*HSI!$G$65/HSI!$B$3,""))</f>
        <v/>
      </c>
      <c r="BZ70" s="110">
        <f>IF(L70="","",IFERROR(L70*HSI!$B$65*HSI!$G$65/HSI!$B$3,""))</f>
        <v/>
      </c>
      <c r="CA70" s="110">
        <f>IF(M70="","",IFERROR(M70*HSI!$B$65*HSI!$G$65/HSI!$B$3,""))</f>
        <v/>
      </c>
      <c r="CB70" s="110">
        <f>IF(N70="","",IFERROR(N70*HSI!$B$65*HSI!$G$65/HSI!$B$3,""))</f>
        <v/>
      </c>
      <c r="CC70" s="110">
        <f>IF(O70="","",IFERROR(O70*HSI!$B$65*HSI!$G$65/HSI!$B$3,""))</f>
        <v/>
      </c>
      <c r="CD70" s="110">
        <f>IF(P70="","",IFERROR(P70*HSI!$B$65*HSI!$G$65/HSI!$B$3,""))</f>
        <v/>
      </c>
      <c r="CE70" s="110">
        <f>IF(Q70="","",IFERROR(Q70*HSI!$B$65*HSI!$G$65/HSI!$B$3,""))</f>
        <v/>
      </c>
      <c r="CF70" s="110">
        <f>IF(R70="","",IFERROR(R70*HSI!$B$65*HSI!$G$65/HSI!$B$3,""))</f>
        <v/>
      </c>
      <c r="CG70" s="110">
        <f>IF(S70="","",IFERROR(S70*HSI!$B$65*HSI!$G$65/HSI!$B$3,""))</f>
        <v/>
      </c>
      <c r="CH70" s="110">
        <f>IF(T70="","",IFERROR(T70*HSI!$B$65*HSI!$G$65/HSI!$B$3,""))</f>
        <v/>
      </c>
      <c r="CI70" s="110">
        <f>IF(U70="","",IFERROR(U70*HSI!$B$65*HSI!$G$65/HSI!$B$3,""))</f>
        <v/>
      </c>
      <c r="CJ70" s="110">
        <f>IF(V70="","",IFERROR(V70*HSI!$B$65*HSI!$G$65/HSI!$B$3,""))</f>
        <v/>
      </c>
      <c r="CK70" s="110">
        <f>IF(W70="","",IFERROR(W70*HSI!$B$65*HSI!$G$65/HSI!$B$3,""))</f>
        <v/>
      </c>
      <c r="CL70" s="110">
        <f>IF(X70="","",IFERROR(X70*HSI!$B$65*HSI!$G$65/HSI!$B$3,""))</f>
        <v/>
      </c>
      <c r="CM70" s="110">
        <f>IF(Y70="","",IFERROR(Y70*HSI!$B$65*HSI!$G$65/HSI!$B$3,""))</f>
        <v/>
      </c>
      <c r="CN70" s="110">
        <f>IF(Z70="","",IFERROR(Z70*HSI!$B$65*HSI!$G$65/HSI!$B$3,""))</f>
        <v/>
      </c>
      <c r="CO70" s="110">
        <f>IF(AA70="","",IFERROR(AA70*HSI!$B$65*HSI!$G$65/HSI!$B$3,""))</f>
        <v/>
      </c>
      <c r="CP70" s="110">
        <f>IF(AB70="","",IFERROR(AB70*HSI!$B$65*HSI!$G$65/HSI!$B$3,""))</f>
        <v/>
      </c>
      <c r="CQ70" s="110">
        <f>IF(AC70="","",IFERROR(AC70*HSI!$B$65*HSI!$G$65/HSI!$B$3,""))</f>
        <v/>
      </c>
      <c r="CR70" s="110">
        <f>IF(AD70="","",IFERROR(AD70*HSI!$B$65*HSI!$G$65/HSI!$B$3,""))</f>
        <v/>
      </c>
      <c r="CS70" s="110">
        <f>IF(AE70="","",IFERROR(AE70*HSI!$B$65*HSI!$G$65/HSI!$B$3,""))</f>
        <v/>
      </c>
      <c r="CT70" s="110">
        <f>IF(AF70="","",IFERROR(AF70*HSI!$B$65*HSI!$G$65/HSI!$B$3,""))</f>
        <v/>
      </c>
      <c r="CU70" s="110">
        <f>IF(AG70="","",IFERROR(AG70*HSI!$B$65*HSI!$G$65/HSI!$B$3,""))</f>
        <v/>
      </c>
      <c r="CV70" s="110">
        <f>IF(AH70="","",IFERROR(AH70*HSI!$B$65*HSI!$G$65/HSI!$B$3,""))</f>
        <v/>
      </c>
      <c r="CW70" s="110">
        <f>IF(AI70="","",IFERROR(AI70*HSI!$B$65*HSI!$G$65/HSI!$B$3,""))</f>
        <v/>
      </c>
      <c r="CX70" s="110">
        <f>IF(AJ70="","",IFERROR(AJ70*HSI!$B$65*HSI!$G$65/HSI!$B$3,""))</f>
        <v/>
      </c>
      <c r="CY70" s="110">
        <f>IF(AK70="","",IFERROR(AK70*HSI!$B$65*HSI!$G$65/HSI!$B$3,""))</f>
        <v/>
      </c>
      <c r="CZ70" s="110">
        <f>IF(AL70="","",IFERROR(AL70*HSI!$B$65*HSI!$G$65/HSI!$B$3,""))</f>
        <v/>
      </c>
      <c r="DA70" s="110">
        <f>IF(AM70="","",IFERROR(AM70*HSI!$B$65*HSI!$G$65/HSI!$B$3,""))</f>
        <v/>
      </c>
      <c r="DB70" s="110">
        <f>IF(AN70="","",IFERROR(AN70*HSI!$B$65*HSI!$G$65/HSI!$B$3,""))</f>
        <v/>
      </c>
      <c r="DC70" s="110">
        <f>IF(AO70="","",IFERROR(AO70*HSI!$B$65*HSI!$G$65/HSI!$B$3,""))</f>
        <v/>
      </c>
      <c r="DD70" s="110">
        <f>IF(AP70="","",IFERROR(AP70*HSI!$B$65*HSI!$G$65/HSI!$B$3,""))</f>
        <v/>
      </c>
      <c r="DE70" s="110">
        <f>IF(AQ70="","",IFERROR(AQ70*HSI!$B$65*HSI!$G$65/HSI!$B$3,""))</f>
        <v/>
      </c>
      <c r="DF70" s="110">
        <f>IF(AR70="","",IFERROR(AR70*HSI!$B$65*HSI!$G$65/HSI!$B$3,""))</f>
        <v/>
      </c>
      <c r="DG70" s="110">
        <f>IF(AS70="","",IFERROR(AS70*HSI!$B$65*HSI!$G$65/HSI!$B$3,""))</f>
        <v/>
      </c>
      <c r="DH70" s="110">
        <f>IF(AT70="","",IFERROR(AT70*HSI!$B$65*HSI!$G$65/HSI!$B$3,""))</f>
        <v/>
      </c>
      <c r="DI70" s="110">
        <f>IF(AU70="","",IFERROR(AU70*HSI!$B$65*HSI!$G$65/HSI!$B$3,""))</f>
        <v/>
      </c>
      <c r="DJ70" s="110">
        <f>IF(AV70="","",IFERROR(AV70*HSI!$B$65*HSI!$G$65/HSI!$B$3,""))</f>
        <v/>
      </c>
      <c r="DK70" s="110">
        <f>IF(AW70="","",IFERROR(AW70*HSI!$B$65*HSI!$G$65/HSI!$B$3,""))</f>
        <v/>
      </c>
      <c r="DL70" s="110">
        <f>IF(AX70="","",IFERROR(AX70*HSI!$B$65*HSI!$G$65/HSI!$B$3,""))</f>
        <v/>
      </c>
      <c r="DM70" s="110">
        <f>IF(AY70="","",IFERROR(AY70*HSI!$B$65*HSI!$G$65/HSI!$B$3,""))</f>
        <v/>
      </c>
      <c r="DN70" s="110">
        <f>IF(AZ70="","",IFERROR(AZ70*HSI!$B$65*HSI!$G$65/HSI!$B$3,""))</f>
        <v/>
      </c>
      <c r="DO70" s="110">
        <f>IF(BA70="","",IFERROR(BA70*HSI!$B$65*HSI!$G$65/HSI!$B$3,""))</f>
        <v/>
      </c>
      <c r="DP70" s="110">
        <f>IF(BB70="","",IFERROR(BB70*HSI!$B$65*HSI!$G$65/HSI!$B$3,""))</f>
        <v/>
      </c>
      <c r="DQ70" s="110">
        <f>IF(BC70="","",IFERROR(BC70*HSI!$B$65*HSI!$G$65/HSI!$B$3,""))</f>
        <v/>
      </c>
      <c r="DR70" s="110">
        <f>IF(BD70="","",IFERROR(BD70*HSI!$B$65*HSI!$G$65/HSI!$B$3,""))</f>
        <v/>
      </c>
      <c r="DS70" s="110">
        <f>IF(BE70="","",IFERROR(BE70*HSI!$B$65*HSI!$G$65/HSI!$B$3,""))</f>
        <v/>
      </c>
      <c r="DT70" s="110">
        <f>IF(BF70="","",IFERROR(BF70*HSI!$B$65*HSI!$G$65/HSI!$B$3,""))</f>
        <v/>
      </c>
      <c r="DU70" s="110">
        <f>IF(BG70="","",IFERROR(BG70*HSI!$B$65*HSI!$G$65/HSI!$B$3,""))</f>
        <v/>
      </c>
      <c r="DV70" s="110">
        <f>IF(BH70="","",IFERROR(BH70*HSI!$B$65*HSI!$G$65/HSI!$B$3,""))</f>
        <v/>
      </c>
      <c r="DW70" s="110">
        <f>IF(BI70="","",IFERROR(BI70*HSI!$B$65*HSI!$G$65/HSI!$B$3,""))</f>
        <v/>
      </c>
      <c r="DX70" s="110">
        <f>IF(BJ70="","",IFERROR(BJ70*HSI!$B$65*HSI!$G$65/HSI!$B$3,""))</f>
        <v/>
      </c>
      <c r="DY70" s="110">
        <f>IF(BK70="","",IFERROR(BK70*HSI!$B$65*HSI!$G$65/HSI!$B$3,""))</f>
        <v/>
      </c>
      <c r="DZ70" s="110">
        <f>IF(BL70="","",IFERROR(BL70*HSI!$B$65*HSI!$G$65/HSI!$B$3,""))</f>
        <v/>
      </c>
      <c r="EA70" s="110">
        <f>IF(BM70="","",IFERROR(BM70*HSI!$B$65*HSI!$G$65/HSI!$B$3,""))</f>
        <v/>
      </c>
      <c r="EB70" s="110">
        <f>IF(BN70="","",IFERROR(BN70*HSI!$B$65*HSI!$G$65/HSI!$B$3,""))</f>
        <v/>
      </c>
      <c r="EC70" s="110">
        <f>IF(BO70="","",IFERROR(BO70*HSI!$B$65*HSI!$G$65/HSI!$B$3,""))</f>
        <v/>
      </c>
      <c r="EE70" s="39">
        <f>IF(N('Dvd Calendar'!$E$649)=0,"",IF(('Dvd Calendar'!$E$649&gt;=GRID_FROM)*('Dvd Calendar'!$E$649&lt;=GRID_TO)*((('Dvd Calendar'!$E$649&lt;=VAL_DATE)+(COUNTIF('Dvd Calendar'!$E$656:$AR$656,'Dvd Calendar'!$E$649)=0))&gt;0)=0,"",'Dvd Calendar'!$E$649*1000000000+ISNUMBER('Dvd Calendar'!$E$652)*100000000+('Dvd Calendar'!$E$654=SPECIAL_LBL)*10000000+(N('Dvd Calendar'!$E$648)&gt;0)*(N('Dvd Calendar'!$E$648)&lt;=VAL_SERIAL)*1000000+59*1000+1))</f>
        <v/>
      </c>
      <c r="EF70" s="39">
        <f>IF(N('Dvd Calendar'!$F$649)=0,"",IF(('Dvd Calendar'!$F$649&gt;=GRID_FROM)*('Dvd Calendar'!$F$649&lt;=GRID_TO)*((('Dvd Calendar'!$F$649&lt;=VAL_DATE)+(COUNTIF('Dvd Calendar'!$E$656:$AR$656,'Dvd Calendar'!$F$649)=0))&gt;0)=0,"",'Dvd Calendar'!$F$649*1000000000+ISNUMBER('Dvd Calendar'!$F$652)*100000000+('Dvd Calendar'!$F$654=SPECIAL_LBL)*10000000+(N('Dvd Calendar'!$F$648)&gt;0)*(N('Dvd Calendar'!$F$648)&lt;=VAL_SERIAL)*1000000+59*1000+2))</f>
        <v/>
      </c>
      <c r="EG70" s="39">
        <f>IF(N('Dvd Calendar'!$G$649)=0,"",IF(('Dvd Calendar'!$G$649&gt;=GRID_FROM)*('Dvd Calendar'!$G$649&lt;=GRID_TO)*((('Dvd Calendar'!$G$649&lt;=VAL_DATE)+(COUNTIF('Dvd Calendar'!$E$656:$AR$656,'Dvd Calendar'!$G$649)=0))&gt;0)=0,"",'Dvd Calendar'!$G$649*1000000000+ISNUMBER('Dvd Calendar'!$G$652)*100000000+('Dvd Calendar'!$G$654=SPECIAL_LBL)*10000000+(N('Dvd Calendar'!$G$648)&gt;0)*(N('Dvd Calendar'!$G$648)&lt;=VAL_SERIAL)*1000000+59*1000+3))</f>
        <v/>
      </c>
      <c r="EH70" s="39">
        <f>IF(N('Dvd Calendar'!$H$649)=0,"",IF(('Dvd Calendar'!$H$649&gt;=GRID_FROM)*('Dvd Calendar'!$H$649&lt;=GRID_TO)*((('Dvd Calendar'!$H$649&lt;=VAL_DATE)+(COUNTIF('Dvd Calendar'!$E$656:$AR$656,'Dvd Calendar'!$H$649)=0))&gt;0)=0,"",'Dvd Calendar'!$H$649*1000000000+ISNUMBER('Dvd Calendar'!$H$652)*100000000+('Dvd Calendar'!$H$654=SPECIAL_LBL)*10000000+(N('Dvd Calendar'!$H$648)&gt;0)*(N('Dvd Calendar'!$H$648)&lt;=VAL_SERIAL)*1000000+59*1000+4))</f>
        <v/>
      </c>
      <c r="EI70" s="39">
        <f>IF(N('Dvd Calendar'!$I$649)=0,"",IF(('Dvd Calendar'!$I$649&gt;=GRID_FROM)*('Dvd Calendar'!$I$649&lt;=GRID_TO)*((('Dvd Calendar'!$I$649&lt;=VAL_DATE)+(COUNTIF('Dvd Calendar'!$E$656:$AR$656,'Dvd Calendar'!$I$649)=0))&gt;0)=0,"",'Dvd Calendar'!$I$649*1000000000+ISNUMBER('Dvd Calendar'!$I$652)*100000000+('Dvd Calendar'!$I$654=SPECIAL_LBL)*10000000+(N('Dvd Calendar'!$I$648)&gt;0)*(N('Dvd Calendar'!$I$648)&lt;=VAL_SERIAL)*1000000+59*1000+5))</f>
        <v/>
      </c>
      <c r="EJ70" s="39">
        <f>IF(N('Dvd Calendar'!$J$649)=0,"",IF(('Dvd Calendar'!$J$649&gt;=GRID_FROM)*('Dvd Calendar'!$J$649&lt;=GRID_TO)*((('Dvd Calendar'!$J$649&lt;=VAL_DATE)+(COUNTIF('Dvd Calendar'!$E$656:$AR$656,'Dvd Calendar'!$J$649)=0))&gt;0)=0,"",'Dvd Calendar'!$J$649*1000000000+ISNUMBER('Dvd Calendar'!$J$652)*100000000+('Dvd Calendar'!$J$654=SPECIAL_LBL)*10000000+(N('Dvd Calendar'!$J$648)&gt;0)*(N('Dvd Calendar'!$J$648)&lt;=VAL_SERIAL)*1000000+59*1000+6))</f>
        <v/>
      </c>
      <c r="EK70" s="39">
        <f>IF(N('Dvd Calendar'!$K$649)=0,"",IF(('Dvd Calendar'!$K$649&gt;=GRID_FROM)*('Dvd Calendar'!$K$649&lt;=GRID_TO)*((('Dvd Calendar'!$K$649&lt;=VAL_DATE)+(COUNTIF('Dvd Calendar'!$E$656:$AR$656,'Dvd Calendar'!$K$649)=0))&gt;0)=0,"",'Dvd Calendar'!$K$649*1000000000+ISNUMBER('Dvd Calendar'!$K$652)*100000000+('Dvd Calendar'!$K$654=SPECIAL_LBL)*10000000+(N('Dvd Calendar'!$K$648)&gt;0)*(N('Dvd Calendar'!$K$648)&lt;=VAL_SERIAL)*1000000+59*1000+7))</f>
        <v/>
      </c>
      <c r="EL70" s="39">
        <f>IF(N('Dvd Calendar'!$L$649)=0,"",IF(('Dvd Calendar'!$L$649&gt;=GRID_FROM)*('Dvd Calendar'!$L$649&lt;=GRID_TO)*((('Dvd Calendar'!$L$649&lt;=VAL_DATE)+(COUNTIF('Dvd Calendar'!$E$656:$AR$656,'Dvd Calendar'!$L$649)=0))&gt;0)=0,"",'Dvd Calendar'!$L$649*1000000000+ISNUMBER('Dvd Calendar'!$L$652)*100000000+('Dvd Calendar'!$L$654=SPECIAL_LBL)*10000000+(N('Dvd Calendar'!$L$648)&gt;0)*(N('Dvd Calendar'!$L$648)&lt;=VAL_SERIAL)*1000000+59*1000+8))</f>
        <v/>
      </c>
      <c r="EM70" s="39">
        <f>IF(N('Dvd Calendar'!$M$649)=0,"",IF(('Dvd Calendar'!$M$649&gt;=GRID_FROM)*('Dvd Calendar'!$M$649&lt;=GRID_TO)*((('Dvd Calendar'!$M$649&lt;=VAL_DATE)+(COUNTIF('Dvd Calendar'!$E$656:$AR$656,'Dvd Calendar'!$M$649)=0))&gt;0)=0,"",'Dvd Calendar'!$M$649*1000000000+ISNUMBER('Dvd Calendar'!$M$652)*100000000+('Dvd Calendar'!$M$654=SPECIAL_LBL)*10000000+(N('Dvd Calendar'!$M$648)&gt;0)*(N('Dvd Calendar'!$M$648)&lt;=VAL_SERIAL)*1000000+59*1000+9))</f>
        <v/>
      </c>
      <c r="EN70" s="39">
        <f>IF(N('Dvd Calendar'!$N$649)=0,"",IF(('Dvd Calendar'!$N$649&gt;=GRID_FROM)*('Dvd Calendar'!$N$649&lt;=GRID_TO)*((('Dvd Calendar'!$N$649&lt;=VAL_DATE)+(COUNTIF('Dvd Calendar'!$E$656:$AR$656,'Dvd Calendar'!$N$649)=0))&gt;0)=0,"",'Dvd Calendar'!$N$649*1000000000+ISNUMBER('Dvd Calendar'!$N$652)*100000000+('Dvd Calendar'!$N$654=SPECIAL_LBL)*10000000+(N('Dvd Calendar'!$N$648)&gt;0)*(N('Dvd Calendar'!$N$648)&lt;=VAL_SERIAL)*1000000+59*1000+10))</f>
        <v/>
      </c>
      <c r="EO70" s="39">
        <f>IF(N('Dvd Calendar'!$O$649)=0,"",IF(('Dvd Calendar'!$O$649&gt;=GRID_FROM)*('Dvd Calendar'!$O$649&lt;=GRID_TO)*((('Dvd Calendar'!$O$649&lt;=VAL_DATE)+(COUNTIF('Dvd Calendar'!$E$656:$AR$656,'Dvd Calendar'!$O$649)=0))&gt;0)=0,"",'Dvd Calendar'!$O$649*1000000000+ISNUMBER('Dvd Calendar'!$O$652)*100000000+('Dvd Calendar'!$O$654=SPECIAL_LBL)*10000000+(N('Dvd Calendar'!$O$648)&gt;0)*(N('Dvd Calendar'!$O$648)&lt;=VAL_SERIAL)*1000000+59*1000+11))</f>
        <v/>
      </c>
      <c r="EP70" s="39">
        <f>IF(N('Dvd Calendar'!$P$649)=0,"",IF(('Dvd Calendar'!$P$649&gt;=GRID_FROM)*('Dvd Calendar'!$P$649&lt;=GRID_TO)*((('Dvd Calendar'!$P$649&lt;=VAL_DATE)+(COUNTIF('Dvd Calendar'!$E$656:$AR$656,'Dvd Calendar'!$P$649)=0))&gt;0)=0,"",'Dvd Calendar'!$P$649*1000000000+ISNUMBER('Dvd Calendar'!$P$652)*100000000+('Dvd Calendar'!$P$654=SPECIAL_LBL)*10000000+(N('Dvd Calendar'!$P$648)&gt;0)*(N('Dvd Calendar'!$P$648)&lt;=VAL_SERIAL)*1000000+59*1000+12))</f>
        <v/>
      </c>
      <c r="EQ70" s="39">
        <f>IF(N('Dvd Calendar'!$Q$649)=0,"",IF(('Dvd Calendar'!$Q$649&gt;=GRID_FROM)*('Dvd Calendar'!$Q$649&lt;=GRID_TO)*((('Dvd Calendar'!$Q$649&lt;=VAL_DATE)+(COUNTIF('Dvd Calendar'!$E$656:$AR$656,'Dvd Calendar'!$Q$649)=0))&gt;0)=0,"",'Dvd Calendar'!$Q$649*1000000000+ISNUMBER('Dvd Calendar'!$Q$652)*100000000+('Dvd Calendar'!$Q$654=SPECIAL_LBL)*10000000+(N('Dvd Calendar'!$Q$648)&gt;0)*(N('Dvd Calendar'!$Q$648)&lt;=VAL_SERIAL)*1000000+59*1000+13))</f>
        <v/>
      </c>
      <c r="ER70" s="39">
        <f>IF(N('Dvd Calendar'!$R$649)=0,"",IF(('Dvd Calendar'!$R$649&gt;=GRID_FROM)*('Dvd Calendar'!$R$649&lt;=GRID_TO)*((('Dvd Calendar'!$R$649&lt;=VAL_DATE)+(COUNTIF('Dvd Calendar'!$E$656:$AR$656,'Dvd Calendar'!$R$649)=0))&gt;0)=0,"",'Dvd Calendar'!$R$649*1000000000+ISNUMBER('Dvd Calendar'!$R$652)*100000000+('Dvd Calendar'!$R$654=SPECIAL_LBL)*10000000+(N('Dvd Calendar'!$R$648)&gt;0)*(N('Dvd Calendar'!$R$648)&lt;=VAL_SERIAL)*1000000+59*1000+14))</f>
        <v/>
      </c>
      <c r="ES70" s="39">
        <f>IF(N('Dvd Calendar'!$S$649)=0,"",IF(('Dvd Calendar'!$S$649&gt;=GRID_FROM)*('Dvd Calendar'!$S$649&lt;=GRID_TO)*((('Dvd Calendar'!$S$649&lt;=VAL_DATE)+(COUNTIF('Dvd Calendar'!$E$656:$AR$656,'Dvd Calendar'!$S$649)=0))&gt;0)=0,"",'Dvd Calendar'!$S$649*1000000000+ISNUMBER('Dvd Calendar'!$S$652)*100000000+('Dvd Calendar'!$S$654=SPECIAL_LBL)*10000000+(N('Dvd Calendar'!$S$648)&gt;0)*(N('Dvd Calendar'!$S$648)&lt;=VAL_SERIAL)*1000000+59*1000+15))</f>
        <v/>
      </c>
      <c r="ET70" s="39">
        <f>IF(N('Dvd Calendar'!$T$649)=0,"",IF(('Dvd Calendar'!$T$649&gt;=GRID_FROM)*('Dvd Calendar'!$T$649&lt;=GRID_TO)*((('Dvd Calendar'!$T$649&lt;=VAL_DATE)+(COUNTIF('Dvd Calendar'!$E$656:$AR$656,'Dvd Calendar'!$T$649)=0))&gt;0)=0,"",'Dvd Calendar'!$T$649*1000000000+ISNUMBER('Dvd Calendar'!$T$652)*100000000+('Dvd Calendar'!$T$654=SPECIAL_LBL)*10000000+(N('Dvd Calendar'!$T$648)&gt;0)*(N('Dvd Calendar'!$T$648)&lt;=VAL_SERIAL)*1000000+59*1000+16))</f>
        <v/>
      </c>
      <c r="EU70" s="39">
        <f>IF(N('Dvd Calendar'!$U$649)=0,"",IF(('Dvd Calendar'!$U$649&gt;=GRID_FROM)*('Dvd Calendar'!$U$649&lt;=GRID_TO)*((('Dvd Calendar'!$U$649&lt;=VAL_DATE)+(COUNTIF('Dvd Calendar'!$E$656:$AR$656,'Dvd Calendar'!$U$649)=0))&gt;0)=0,"",'Dvd Calendar'!$U$649*1000000000+ISNUMBER('Dvd Calendar'!$U$652)*100000000+('Dvd Calendar'!$U$654=SPECIAL_LBL)*10000000+(N('Dvd Calendar'!$U$648)&gt;0)*(N('Dvd Calendar'!$U$648)&lt;=VAL_SERIAL)*1000000+59*1000+17))</f>
        <v/>
      </c>
      <c r="EV70" s="39">
        <f>IF(N('Dvd Calendar'!$V$649)=0,"",IF(('Dvd Calendar'!$V$649&gt;=GRID_FROM)*('Dvd Calendar'!$V$649&lt;=GRID_TO)*((('Dvd Calendar'!$V$649&lt;=VAL_DATE)+(COUNTIF('Dvd Calendar'!$E$656:$AR$656,'Dvd Calendar'!$V$649)=0))&gt;0)=0,"",'Dvd Calendar'!$V$649*1000000000+ISNUMBER('Dvd Calendar'!$V$652)*100000000+('Dvd Calendar'!$V$654=SPECIAL_LBL)*10000000+(N('Dvd Calendar'!$V$648)&gt;0)*(N('Dvd Calendar'!$V$648)&lt;=VAL_SERIAL)*1000000+59*1000+18))</f>
        <v/>
      </c>
      <c r="EW70" s="39">
        <f>IF(N('Dvd Calendar'!$W$649)=0,"",IF(('Dvd Calendar'!$W$649&gt;=GRID_FROM)*('Dvd Calendar'!$W$649&lt;=GRID_TO)*((('Dvd Calendar'!$W$649&lt;=VAL_DATE)+(COUNTIF('Dvd Calendar'!$E$656:$AR$656,'Dvd Calendar'!$W$649)=0))&gt;0)=0,"",'Dvd Calendar'!$W$649*1000000000+ISNUMBER('Dvd Calendar'!$W$652)*100000000+('Dvd Calendar'!$W$654=SPECIAL_LBL)*10000000+(N('Dvd Calendar'!$W$648)&gt;0)*(N('Dvd Calendar'!$W$648)&lt;=VAL_SERIAL)*1000000+59*1000+19))</f>
        <v/>
      </c>
      <c r="EX70" s="39">
        <f>IF(N('Dvd Calendar'!$X$649)=0,"",IF(('Dvd Calendar'!$X$649&gt;=GRID_FROM)*('Dvd Calendar'!$X$649&lt;=GRID_TO)*((('Dvd Calendar'!$X$649&lt;=VAL_DATE)+(COUNTIF('Dvd Calendar'!$E$656:$AR$656,'Dvd Calendar'!$X$649)=0))&gt;0)=0,"",'Dvd Calendar'!$X$649*1000000000+ISNUMBER('Dvd Calendar'!$X$652)*100000000+('Dvd Calendar'!$X$654=SPECIAL_LBL)*10000000+(N('Dvd Calendar'!$X$648)&gt;0)*(N('Dvd Calendar'!$X$648)&lt;=VAL_SERIAL)*1000000+59*1000+20))</f>
        <v/>
      </c>
      <c r="EY70" s="39">
        <f>IF(N('Dvd Calendar'!$Y$649)=0,"",IF(('Dvd Calendar'!$Y$649&gt;=GRID_FROM)*('Dvd Calendar'!$Y$649&lt;=GRID_TO)*((('Dvd Calendar'!$Y$649&lt;=VAL_DATE)+(COUNTIF('Dvd Calendar'!$E$656:$AR$656,'Dvd Calendar'!$Y$649)=0))&gt;0)=0,"",'Dvd Calendar'!$Y$649*1000000000+ISNUMBER('Dvd Calendar'!$Y$652)*100000000+('Dvd Calendar'!$Y$654=SPECIAL_LBL)*10000000+(N('Dvd Calendar'!$Y$648)&gt;0)*(N('Dvd Calendar'!$Y$648)&lt;=VAL_SERIAL)*1000000+59*1000+21))</f>
        <v/>
      </c>
      <c r="EZ70" s="39">
        <f>IF(N('Dvd Calendar'!$Z$649)=0,"",IF(('Dvd Calendar'!$Z$649&gt;=GRID_FROM)*('Dvd Calendar'!$Z$649&lt;=GRID_TO)*((('Dvd Calendar'!$Z$649&lt;=VAL_DATE)+(COUNTIF('Dvd Calendar'!$E$656:$AR$656,'Dvd Calendar'!$Z$649)=0))&gt;0)=0,"",'Dvd Calendar'!$Z$649*1000000000+ISNUMBER('Dvd Calendar'!$Z$652)*100000000+('Dvd Calendar'!$Z$654=SPECIAL_LBL)*10000000+(N('Dvd Calendar'!$Z$648)&gt;0)*(N('Dvd Calendar'!$Z$648)&lt;=VAL_SERIAL)*1000000+59*1000+22))</f>
        <v/>
      </c>
      <c r="FA70" s="39">
        <f>IF(N('Dvd Calendar'!$AA$649)=0,"",IF(('Dvd Calendar'!$AA$649&gt;=GRID_FROM)*('Dvd Calendar'!$AA$649&lt;=GRID_TO)*((('Dvd Calendar'!$AA$649&lt;=VAL_DATE)+(COUNTIF('Dvd Calendar'!$E$656:$AR$656,'Dvd Calendar'!$AA$649)=0))&gt;0)=0,"",'Dvd Calendar'!$AA$649*1000000000+ISNUMBER('Dvd Calendar'!$AA$652)*100000000+('Dvd Calendar'!$AA$654=SPECIAL_LBL)*10000000+(N('Dvd Calendar'!$AA$648)&gt;0)*(N('Dvd Calendar'!$AA$648)&lt;=VAL_SERIAL)*1000000+59*1000+23))</f>
        <v/>
      </c>
      <c r="FB70" s="39">
        <f>IF(N('Dvd Calendar'!$AB$649)=0,"",IF(('Dvd Calendar'!$AB$649&gt;=GRID_FROM)*('Dvd Calendar'!$AB$649&lt;=GRID_TO)*((('Dvd Calendar'!$AB$649&lt;=VAL_DATE)+(COUNTIF('Dvd Calendar'!$E$656:$AR$656,'Dvd Calendar'!$AB$649)=0))&gt;0)=0,"",'Dvd Calendar'!$AB$649*1000000000+ISNUMBER('Dvd Calendar'!$AB$652)*100000000+('Dvd Calendar'!$AB$654=SPECIAL_LBL)*10000000+(N('Dvd Calendar'!$AB$648)&gt;0)*(N('Dvd Calendar'!$AB$648)&lt;=VAL_SERIAL)*1000000+59*1000+24))</f>
        <v/>
      </c>
      <c r="FC70" s="39">
        <f>IF(N('Dvd Calendar'!$AC$649)=0,"",IF(('Dvd Calendar'!$AC$649&gt;=GRID_FROM)*('Dvd Calendar'!$AC$649&lt;=GRID_TO)*((('Dvd Calendar'!$AC$649&lt;=VAL_DATE)+(COUNTIF('Dvd Calendar'!$E$656:$AR$656,'Dvd Calendar'!$AC$649)=0))&gt;0)=0,"",'Dvd Calendar'!$AC$649*1000000000+ISNUMBER('Dvd Calendar'!$AC$652)*100000000+('Dvd Calendar'!$AC$654=SPECIAL_LBL)*10000000+(N('Dvd Calendar'!$AC$648)&gt;0)*(N('Dvd Calendar'!$AC$648)&lt;=VAL_SERIAL)*1000000+59*1000+25))</f>
        <v/>
      </c>
      <c r="FD70" s="39">
        <f>IF(N('Dvd Calendar'!$AD$649)=0,"",IF(('Dvd Calendar'!$AD$649&gt;=GRID_FROM)*('Dvd Calendar'!$AD$649&lt;=GRID_TO)*((('Dvd Calendar'!$AD$649&lt;=VAL_DATE)+(COUNTIF('Dvd Calendar'!$E$656:$AR$656,'Dvd Calendar'!$AD$649)=0))&gt;0)=0,"",'Dvd Calendar'!$AD$649*1000000000+ISNUMBER('Dvd Calendar'!$AD$652)*100000000+('Dvd Calendar'!$AD$654=SPECIAL_LBL)*10000000+(N('Dvd Calendar'!$AD$648)&gt;0)*(N('Dvd Calendar'!$AD$648)&lt;=VAL_SERIAL)*1000000+59*1000+26))</f>
        <v/>
      </c>
      <c r="FE70" s="39">
        <f>IF(N('Dvd Calendar'!$AE$649)=0,"",IF(('Dvd Calendar'!$AE$649&gt;=GRID_FROM)*('Dvd Calendar'!$AE$649&lt;=GRID_TO)*((('Dvd Calendar'!$AE$649&lt;=VAL_DATE)+(COUNTIF('Dvd Calendar'!$E$656:$AR$656,'Dvd Calendar'!$AE$649)=0))&gt;0)=0,"",'Dvd Calendar'!$AE$649*1000000000+ISNUMBER('Dvd Calendar'!$AE$652)*100000000+('Dvd Calendar'!$AE$654=SPECIAL_LBL)*10000000+(N('Dvd Calendar'!$AE$648)&gt;0)*(N('Dvd Calendar'!$AE$648)&lt;=VAL_SERIAL)*1000000+59*1000+27))</f>
        <v/>
      </c>
      <c r="FF70" s="39">
        <f>IF(N('Dvd Calendar'!$AF$649)=0,"",IF(('Dvd Calendar'!$AF$649&gt;=GRID_FROM)*('Dvd Calendar'!$AF$649&lt;=GRID_TO)*((('Dvd Calendar'!$AF$649&lt;=VAL_DATE)+(COUNTIF('Dvd Calendar'!$E$656:$AR$656,'Dvd Calendar'!$AF$649)=0))&gt;0)=0,"",'Dvd Calendar'!$AF$649*1000000000+ISNUMBER('Dvd Calendar'!$AF$652)*100000000+('Dvd Calendar'!$AF$654=SPECIAL_LBL)*10000000+(N('Dvd Calendar'!$AF$648)&gt;0)*(N('Dvd Calendar'!$AF$648)&lt;=VAL_SERIAL)*1000000+59*1000+28))</f>
        <v/>
      </c>
      <c r="FG70" s="39">
        <f>IF(N('Dvd Calendar'!$AG$649)=0,"",IF(('Dvd Calendar'!$AG$649&gt;=GRID_FROM)*('Dvd Calendar'!$AG$649&lt;=GRID_TO)*((('Dvd Calendar'!$AG$649&lt;=VAL_DATE)+(COUNTIF('Dvd Calendar'!$E$656:$AR$656,'Dvd Calendar'!$AG$649)=0))&gt;0)=0,"",'Dvd Calendar'!$AG$649*1000000000+ISNUMBER('Dvd Calendar'!$AG$652)*100000000+('Dvd Calendar'!$AG$654=SPECIAL_LBL)*10000000+(N('Dvd Calendar'!$AG$648)&gt;0)*(N('Dvd Calendar'!$AG$648)&lt;=VAL_SERIAL)*1000000+59*1000+29))</f>
        <v/>
      </c>
      <c r="FH70" s="39">
        <f>IF(N('Dvd Calendar'!$AH$649)=0,"",IF(('Dvd Calendar'!$AH$649&gt;=GRID_FROM)*('Dvd Calendar'!$AH$649&lt;=GRID_TO)*((('Dvd Calendar'!$AH$649&lt;=VAL_DATE)+(COUNTIF('Dvd Calendar'!$E$656:$AR$656,'Dvd Calendar'!$AH$649)=0))&gt;0)=0,"",'Dvd Calendar'!$AH$649*1000000000+ISNUMBER('Dvd Calendar'!$AH$652)*100000000+('Dvd Calendar'!$AH$654=SPECIAL_LBL)*10000000+(N('Dvd Calendar'!$AH$648)&gt;0)*(N('Dvd Calendar'!$AH$648)&lt;=VAL_SERIAL)*1000000+59*1000+30))</f>
        <v/>
      </c>
      <c r="FI70" s="39">
        <f>IF(N('Dvd Calendar'!$AI$649)=0,"",IF(('Dvd Calendar'!$AI$649&gt;=GRID_FROM)*('Dvd Calendar'!$AI$649&lt;=GRID_TO)*((('Dvd Calendar'!$AI$649&lt;=VAL_DATE)+(COUNTIF('Dvd Calendar'!$E$656:$AR$656,'Dvd Calendar'!$AI$649)=0))&gt;0)=0,"",'Dvd Calendar'!$AI$649*1000000000+ISNUMBER('Dvd Calendar'!$AI$652)*100000000+('Dvd Calendar'!$AI$654=SPECIAL_LBL)*10000000+(N('Dvd Calendar'!$AI$648)&gt;0)*(N('Dvd Calendar'!$AI$648)&lt;=VAL_SERIAL)*1000000+59*1000+31))</f>
        <v/>
      </c>
      <c r="FJ70" s="39">
        <f>IF(N('Dvd Calendar'!$AJ$649)=0,"",IF(('Dvd Calendar'!$AJ$649&gt;=GRID_FROM)*('Dvd Calendar'!$AJ$649&lt;=GRID_TO)*((('Dvd Calendar'!$AJ$649&lt;=VAL_DATE)+(COUNTIF('Dvd Calendar'!$E$656:$AR$656,'Dvd Calendar'!$AJ$649)=0))&gt;0)=0,"",'Dvd Calendar'!$AJ$649*1000000000+ISNUMBER('Dvd Calendar'!$AJ$652)*100000000+('Dvd Calendar'!$AJ$654=SPECIAL_LBL)*10000000+(N('Dvd Calendar'!$AJ$648)&gt;0)*(N('Dvd Calendar'!$AJ$648)&lt;=VAL_SERIAL)*1000000+59*1000+32))</f>
        <v/>
      </c>
      <c r="FK70" s="39">
        <f>IF(N('Dvd Calendar'!$AK$649)=0,"",IF(('Dvd Calendar'!$AK$649&gt;=GRID_FROM)*('Dvd Calendar'!$AK$649&lt;=GRID_TO)*((('Dvd Calendar'!$AK$649&lt;=VAL_DATE)+(COUNTIF('Dvd Calendar'!$E$656:$AR$656,'Dvd Calendar'!$AK$649)=0))&gt;0)=0,"",'Dvd Calendar'!$AK$649*1000000000+ISNUMBER('Dvd Calendar'!$AK$652)*100000000+('Dvd Calendar'!$AK$654=SPECIAL_LBL)*10000000+(N('Dvd Calendar'!$AK$648)&gt;0)*(N('Dvd Calendar'!$AK$648)&lt;=VAL_SERIAL)*1000000+59*1000+33))</f>
        <v/>
      </c>
      <c r="FL70" s="39">
        <f>IF(N('Dvd Calendar'!$AL$649)=0,"",IF(('Dvd Calendar'!$AL$649&gt;=GRID_FROM)*('Dvd Calendar'!$AL$649&lt;=GRID_TO)*((('Dvd Calendar'!$AL$649&lt;=VAL_DATE)+(COUNTIF('Dvd Calendar'!$E$656:$AR$656,'Dvd Calendar'!$AL$649)=0))&gt;0)=0,"",'Dvd Calendar'!$AL$649*1000000000+ISNUMBER('Dvd Calendar'!$AL$652)*100000000+('Dvd Calendar'!$AL$654=SPECIAL_LBL)*10000000+(N('Dvd Calendar'!$AL$648)&gt;0)*(N('Dvd Calendar'!$AL$648)&lt;=VAL_SERIAL)*1000000+59*1000+34))</f>
        <v/>
      </c>
      <c r="FM70" s="39">
        <f>IF(N('Dvd Calendar'!$AM$649)=0,"",IF(('Dvd Calendar'!$AM$649&gt;=GRID_FROM)*('Dvd Calendar'!$AM$649&lt;=GRID_TO)*((('Dvd Calendar'!$AM$649&lt;=VAL_DATE)+(COUNTIF('Dvd Calendar'!$E$656:$AR$656,'Dvd Calendar'!$AM$649)=0))&gt;0)=0,"",'Dvd Calendar'!$AM$649*1000000000+ISNUMBER('Dvd Calendar'!$AM$652)*100000000+('Dvd Calendar'!$AM$654=SPECIAL_LBL)*10000000+(N('Dvd Calendar'!$AM$648)&gt;0)*(N('Dvd Calendar'!$AM$648)&lt;=VAL_SERIAL)*1000000+59*1000+35))</f>
        <v/>
      </c>
      <c r="FN70" s="39">
        <f>IF(N('Dvd Calendar'!$AN$649)=0,"",IF(('Dvd Calendar'!$AN$649&gt;=GRID_FROM)*('Dvd Calendar'!$AN$649&lt;=GRID_TO)*((('Dvd Calendar'!$AN$649&lt;=VAL_DATE)+(COUNTIF('Dvd Calendar'!$E$656:$AR$656,'Dvd Calendar'!$AN$649)=0))&gt;0)=0,"",'Dvd Calendar'!$AN$649*1000000000+ISNUMBER('Dvd Calendar'!$AN$652)*100000000+('Dvd Calendar'!$AN$654=SPECIAL_LBL)*10000000+(N('Dvd Calendar'!$AN$648)&gt;0)*(N('Dvd Calendar'!$AN$648)&lt;=VAL_SERIAL)*1000000+59*1000+36))</f>
        <v/>
      </c>
      <c r="FO70" s="39">
        <f>IF(N('Dvd Calendar'!$AO$649)=0,"",IF(('Dvd Calendar'!$AO$649&gt;=GRID_FROM)*('Dvd Calendar'!$AO$649&lt;=GRID_TO)*((('Dvd Calendar'!$AO$649&lt;=VAL_DATE)+(COUNTIF('Dvd Calendar'!$E$656:$AR$656,'Dvd Calendar'!$AO$649)=0))&gt;0)=0,"",'Dvd Calendar'!$AO$649*1000000000+ISNUMBER('Dvd Calendar'!$AO$652)*100000000+('Dvd Calendar'!$AO$654=SPECIAL_LBL)*10000000+(N('Dvd Calendar'!$AO$648)&gt;0)*(N('Dvd Calendar'!$AO$648)&lt;=VAL_SERIAL)*1000000+59*1000+37))</f>
        <v/>
      </c>
      <c r="FP70" s="39">
        <f>IF(N('Dvd Calendar'!$AP$649)=0,"",IF(('Dvd Calendar'!$AP$649&gt;=GRID_FROM)*('Dvd Calendar'!$AP$649&lt;=GRID_TO)*((('Dvd Calendar'!$AP$649&lt;=VAL_DATE)+(COUNTIF('Dvd Calendar'!$E$656:$AR$656,'Dvd Calendar'!$AP$649)=0))&gt;0)=0,"",'Dvd Calendar'!$AP$649*1000000000+ISNUMBER('Dvd Calendar'!$AP$652)*100000000+('Dvd Calendar'!$AP$654=SPECIAL_LBL)*10000000+(N('Dvd Calendar'!$AP$648)&gt;0)*(N('Dvd Calendar'!$AP$648)&lt;=VAL_SERIAL)*1000000+59*1000+38))</f>
        <v/>
      </c>
      <c r="FQ70" s="39">
        <f>IF(N('Dvd Calendar'!$AQ$649)=0,"",IF(('Dvd Calendar'!$AQ$649&gt;=GRID_FROM)*('Dvd Calendar'!$AQ$649&lt;=GRID_TO)*((('Dvd Calendar'!$AQ$649&lt;=VAL_DATE)+(COUNTIF('Dvd Calendar'!$E$656:$AR$656,'Dvd Calendar'!$AQ$649)=0))&gt;0)=0,"",'Dvd Calendar'!$AQ$649*1000000000+ISNUMBER('Dvd Calendar'!$AQ$652)*100000000+('Dvd Calendar'!$AQ$654=SPECIAL_LBL)*10000000+(N('Dvd Calendar'!$AQ$648)&gt;0)*(N('Dvd Calendar'!$AQ$648)&lt;=VAL_SERIAL)*1000000+59*1000+39))</f>
        <v/>
      </c>
      <c r="FR70" s="39">
        <f>IF(N('Dvd Calendar'!$AR$649)=0,"",IF(('Dvd Calendar'!$AR$649&gt;=GRID_FROM)*('Dvd Calendar'!$AR$649&lt;=GRID_TO)*((('Dvd Calendar'!$AR$649&lt;=VAL_DATE)+(COUNTIF('Dvd Calendar'!$E$656:$AR$656,'Dvd Calendar'!$AR$649)=0))&gt;0)=0,"",'Dvd Calendar'!$AR$649*1000000000+ISNUMBER('Dvd Calendar'!$AR$652)*100000000+('Dvd Calendar'!$AR$654=SPECIAL_LBL)*10000000+(N('Dvd Calendar'!$AR$648)&gt;0)*(N('Dvd Calendar'!$AR$648)&lt;=VAL_SERIAL)*1000000+59*1000+40))</f>
        <v/>
      </c>
      <c r="FS70" s="39">
        <f>IF(N('Dvd Calendar'!$E$656)=0,"",IF(('Dvd Calendar'!$E$656&gt;=GRID_FROM)*('Dvd Calendar'!$E$656&lt;=GRID_TO)*('Dvd Calendar'!$E$656&gt;VAL_DATE)=0,"",'Dvd Calendar'!$E$656*1000000000+ISNUMBER('Dvd Calendar'!$E$657)*100000000+0*10000000+(N('Dvd Calendar'!$E$655)&gt;0)*(N('Dvd Calendar'!$E$655)&lt;=VAL_SERIAL)*1000000+59*1000+41))</f>
        <v/>
      </c>
      <c r="FT70" s="39">
        <f>IF(N('Dvd Calendar'!$F$656)=0,"",IF(('Dvd Calendar'!$F$656&gt;=GRID_FROM)*('Dvd Calendar'!$F$656&lt;=GRID_TO)*('Dvd Calendar'!$F$656&gt;VAL_DATE)=0,"",'Dvd Calendar'!$F$656*1000000000+ISNUMBER('Dvd Calendar'!$F$657)*100000000+0*10000000+(N('Dvd Calendar'!$F$655)&gt;0)*(N('Dvd Calendar'!$F$655)&lt;=VAL_SERIAL)*1000000+59*1000+42))</f>
        <v/>
      </c>
      <c r="FU70" s="39">
        <f>IF(N('Dvd Calendar'!$G$656)=0,"",IF(('Dvd Calendar'!$G$656&gt;=GRID_FROM)*('Dvd Calendar'!$G$656&lt;=GRID_TO)*('Dvd Calendar'!$G$656&gt;VAL_DATE)=0,"",'Dvd Calendar'!$G$656*1000000000+ISNUMBER('Dvd Calendar'!$G$657)*100000000+0*10000000+(N('Dvd Calendar'!$G$655)&gt;0)*(N('Dvd Calendar'!$G$655)&lt;=VAL_SERIAL)*1000000+59*1000+43))</f>
        <v/>
      </c>
      <c r="FV70" s="39">
        <f>IF(N('Dvd Calendar'!$H$656)=0,"",IF(('Dvd Calendar'!$H$656&gt;=GRID_FROM)*('Dvd Calendar'!$H$656&lt;=GRID_TO)*('Dvd Calendar'!$H$656&gt;VAL_DATE)=0,"",'Dvd Calendar'!$H$656*1000000000+ISNUMBER('Dvd Calendar'!$H$657)*100000000+0*10000000+(N('Dvd Calendar'!$H$655)&gt;0)*(N('Dvd Calendar'!$H$655)&lt;=VAL_SERIAL)*1000000+59*1000+44))</f>
        <v/>
      </c>
      <c r="FW70" s="39">
        <f>IF(N('Dvd Calendar'!$I$656)=0,"",IF(('Dvd Calendar'!$I$656&gt;=GRID_FROM)*('Dvd Calendar'!$I$656&lt;=GRID_TO)*('Dvd Calendar'!$I$656&gt;VAL_DATE)=0,"",'Dvd Calendar'!$I$656*1000000000+ISNUMBER('Dvd Calendar'!$I$657)*100000000+0*10000000+(N('Dvd Calendar'!$I$655)&gt;0)*(N('Dvd Calendar'!$I$655)&lt;=VAL_SERIAL)*1000000+59*1000+45))</f>
        <v/>
      </c>
      <c r="FX70" s="39">
        <f>IF(N('Dvd Calendar'!$J$656)=0,"",IF(('Dvd Calendar'!$J$656&gt;=GRID_FROM)*('Dvd Calendar'!$J$656&lt;=GRID_TO)*('Dvd Calendar'!$J$656&gt;VAL_DATE)=0,"",'Dvd Calendar'!$J$656*1000000000+ISNUMBER('Dvd Calendar'!$J$657)*100000000+0*10000000+(N('Dvd Calendar'!$J$655)&gt;0)*(N('Dvd Calendar'!$J$655)&lt;=VAL_SERIAL)*1000000+59*1000+46))</f>
        <v/>
      </c>
      <c r="FY70" s="39">
        <f>IF(N('Dvd Calendar'!$K$656)=0,"",IF(('Dvd Calendar'!$K$656&gt;=GRID_FROM)*('Dvd Calendar'!$K$656&lt;=GRID_TO)*('Dvd Calendar'!$K$656&gt;VAL_DATE)=0,"",'Dvd Calendar'!$K$656*1000000000+ISNUMBER('Dvd Calendar'!$K$657)*100000000+0*10000000+(N('Dvd Calendar'!$K$655)&gt;0)*(N('Dvd Calendar'!$K$655)&lt;=VAL_SERIAL)*1000000+59*1000+47))</f>
        <v/>
      </c>
      <c r="FZ70" s="39">
        <f>IF(N('Dvd Calendar'!$L$656)=0,"",IF(('Dvd Calendar'!$L$656&gt;=GRID_FROM)*('Dvd Calendar'!$L$656&lt;=GRID_TO)*('Dvd Calendar'!$L$656&gt;VAL_DATE)=0,"",'Dvd Calendar'!$L$656*1000000000+ISNUMBER('Dvd Calendar'!$L$657)*100000000+0*10000000+(N('Dvd Calendar'!$L$655)&gt;0)*(N('Dvd Calendar'!$L$655)&lt;=VAL_SERIAL)*1000000+59*1000+48))</f>
        <v/>
      </c>
      <c r="GA70" s="39">
        <f>IF(N('Dvd Calendar'!$M$656)=0,"",IF(('Dvd Calendar'!$M$656&gt;=GRID_FROM)*('Dvd Calendar'!$M$656&lt;=GRID_TO)*('Dvd Calendar'!$M$656&gt;VAL_DATE)=0,"",'Dvd Calendar'!$M$656*1000000000+ISNUMBER('Dvd Calendar'!$M$657)*100000000+0*10000000+(N('Dvd Calendar'!$M$655)&gt;0)*(N('Dvd Calendar'!$M$655)&lt;=VAL_SERIAL)*1000000+59*1000+49))</f>
        <v/>
      </c>
      <c r="GB70" s="39">
        <f>IF(N('Dvd Calendar'!$N$656)=0,"",IF(('Dvd Calendar'!$N$656&gt;=GRID_FROM)*('Dvd Calendar'!$N$656&lt;=GRID_TO)*('Dvd Calendar'!$N$656&gt;VAL_DATE)=0,"",'Dvd Calendar'!$N$656*1000000000+ISNUMBER('Dvd Calendar'!$N$657)*100000000+0*10000000+(N('Dvd Calendar'!$N$655)&gt;0)*(N('Dvd Calendar'!$N$655)&lt;=VAL_SERIAL)*1000000+59*1000+50))</f>
        <v/>
      </c>
      <c r="GC70" s="39">
        <f>IF(N('Dvd Calendar'!$O$656)=0,"",IF(('Dvd Calendar'!$O$656&gt;=GRID_FROM)*('Dvd Calendar'!$O$656&lt;=GRID_TO)*('Dvd Calendar'!$O$656&gt;VAL_DATE)=0,"",'Dvd Calendar'!$O$656*1000000000+ISNUMBER('Dvd Calendar'!$O$657)*100000000+0*10000000+(N('Dvd Calendar'!$O$655)&gt;0)*(N('Dvd Calendar'!$O$655)&lt;=VAL_SERIAL)*1000000+59*1000+51))</f>
        <v/>
      </c>
      <c r="GD70" s="39">
        <f>IF(N('Dvd Calendar'!$P$656)=0,"",IF(('Dvd Calendar'!$P$656&gt;=GRID_FROM)*('Dvd Calendar'!$P$656&lt;=GRID_TO)*('Dvd Calendar'!$P$656&gt;VAL_DATE)=0,"",'Dvd Calendar'!$P$656*1000000000+ISNUMBER('Dvd Calendar'!$P$657)*100000000+0*10000000+(N('Dvd Calendar'!$P$655)&gt;0)*(N('Dvd Calendar'!$P$655)&lt;=VAL_SERIAL)*1000000+59*1000+52))</f>
        <v/>
      </c>
      <c r="GE70" s="39">
        <f>IF(N('Dvd Calendar'!$Q$656)=0,"",IF(('Dvd Calendar'!$Q$656&gt;=GRID_FROM)*('Dvd Calendar'!$Q$656&lt;=GRID_TO)*('Dvd Calendar'!$Q$656&gt;VAL_DATE)=0,"",'Dvd Calendar'!$Q$656*1000000000+ISNUMBER('Dvd Calendar'!$Q$657)*100000000+0*10000000+(N('Dvd Calendar'!$Q$655)&gt;0)*(N('Dvd Calendar'!$Q$655)&lt;=VAL_SERIAL)*1000000+59*1000+53))</f>
        <v/>
      </c>
      <c r="GF70" s="39">
        <f>IF(N('Dvd Calendar'!$R$656)=0,"",IF(('Dvd Calendar'!$R$656&gt;=GRID_FROM)*('Dvd Calendar'!$R$656&lt;=GRID_TO)*('Dvd Calendar'!$R$656&gt;VAL_DATE)=0,"",'Dvd Calendar'!$R$656*1000000000+ISNUMBER('Dvd Calendar'!$R$657)*100000000+0*10000000+(N('Dvd Calendar'!$R$655)&gt;0)*(N('Dvd Calendar'!$R$655)&lt;=VAL_SERIAL)*1000000+59*1000+54))</f>
        <v/>
      </c>
      <c r="GG70" s="39">
        <f>IF(N('Dvd Calendar'!$S$656)=0,"",IF(('Dvd Calendar'!$S$656&gt;=GRID_FROM)*('Dvd Calendar'!$S$656&lt;=GRID_TO)*('Dvd Calendar'!$S$656&gt;VAL_DATE)=0,"",'Dvd Calendar'!$S$656*1000000000+ISNUMBER('Dvd Calendar'!$S$657)*100000000+0*10000000+(N('Dvd Calendar'!$S$655)&gt;0)*(N('Dvd Calendar'!$S$655)&lt;=VAL_SERIAL)*1000000+59*1000+55))</f>
        <v/>
      </c>
      <c r="GH70" s="39">
        <f>IF(N('Dvd Calendar'!$T$656)=0,"",IF(('Dvd Calendar'!$T$656&gt;=GRID_FROM)*('Dvd Calendar'!$T$656&lt;=GRID_TO)*('Dvd Calendar'!$T$656&gt;VAL_DATE)=0,"",'Dvd Calendar'!$T$656*1000000000+ISNUMBER('Dvd Calendar'!$T$657)*100000000+0*10000000+(N('Dvd Calendar'!$T$655)&gt;0)*(N('Dvd Calendar'!$T$655)&lt;=VAL_SERIAL)*1000000+59*1000+56))</f>
        <v/>
      </c>
      <c r="GI70" s="39">
        <f>IF(N('Dvd Calendar'!$U$656)=0,"",IF(('Dvd Calendar'!$U$656&gt;=GRID_FROM)*('Dvd Calendar'!$U$656&lt;=GRID_TO)*('Dvd Calendar'!$U$656&gt;VAL_DATE)=0,"",'Dvd Calendar'!$U$656*1000000000+ISNUMBER('Dvd Calendar'!$U$657)*100000000+0*10000000+(N('Dvd Calendar'!$U$655)&gt;0)*(N('Dvd Calendar'!$U$655)&lt;=VAL_SERIAL)*1000000+59*1000+57))</f>
        <v/>
      </c>
      <c r="GJ70" s="39">
        <f>IF(N('Dvd Calendar'!$V$656)=0,"",IF(('Dvd Calendar'!$V$656&gt;=GRID_FROM)*('Dvd Calendar'!$V$656&lt;=GRID_TO)*('Dvd Calendar'!$V$656&gt;VAL_DATE)=0,"",'Dvd Calendar'!$V$656*1000000000+ISNUMBER('Dvd Calendar'!$V$657)*100000000+0*10000000+(N('Dvd Calendar'!$V$655)&gt;0)*(N('Dvd Calendar'!$V$655)&lt;=VAL_SERIAL)*1000000+59*1000+58))</f>
        <v/>
      </c>
      <c r="GK70" s="39">
        <f>IF(N('Dvd Calendar'!$W$656)=0,"",IF(('Dvd Calendar'!$W$656&gt;=GRID_FROM)*('Dvd Calendar'!$W$656&lt;=GRID_TO)*('Dvd Calendar'!$W$656&gt;VAL_DATE)=0,"",'Dvd Calendar'!$W$656*1000000000+ISNUMBER('Dvd Calendar'!$W$657)*100000000+0*10000000+(N('Dvd Calendar'!$W$655)&gt;0)*(N('Dvd Calendar'!$W$655)&lt;=VAL_SERIAL)*1000000+59*1000+59))</f>
        <v/>
      </c>
      <c r="GL70" s="39">
        <f>IF(N('Dvd Calendar'!$X$656)=0,"",IF(('Dvd Calendar'!$X$656&gt;=GRID_FROM)*('Dvd Calendar'!$X$656&lt;=GRID_TO)*('Dvd Calendar'!$X$656&gt;VAL_DATE)=0,"",'Dvd Calendar'!$X$656*1000000000+ISNUMBER('Dvd Calendar'!$X$657)*100000000+0*10000000+(N('Dvd Calendar'!$X$655)&gt;0)*(N('Dvd Calendar'!$X$655)&lt;=VAL_SERIAL)*1000000+59*1000+60))</f>
        <v/>
      </c>
      <c r="GM70" s="39">
        <f>IF(N('Dvd Calendar'!$Y$656)=0,"",IF(('Dvd Calendar'!$Y$656&gt;=GRID_FROM)*('Dvd Calendar'!$Y$656&lt;=GRID_TO)*('Dvd Calendar'!$Y$656&gt;VAL_DATE)=0,"",'Dvd Calendar'!$Y$656*1000000000+ISNUMBER('Dvd Calendar'!$Y$657)*100000000+0*10000000+(N('Dvd Calendar'!$Y$655)&gt;0)*(N('Dvd Calendar'!$Y$655)&lt;=VAL_SERIAL)*1000000+59*1000+61))</f>
        <v/>
      </c>
      <c r="GN70" s="39">
        <f>IF(N('Dvd Calendar'!$Z$656)=0,"",IF(('Dvd Calendar'!$Z$656&gt;=GRID_FROM)*('Dvd Calendar'!$Z$656&lt;=GRID_TO)*('Dvd Calendar'!$Z$656&gt;VAL_DATE)=0,"",'Dvd Calendar'!$Z$656*1000000000+ISNUMBER('Dvd Calendar'!$Z$657)*100000000+0*10000000+(N('Dvd Calendar'!$Z$655)&gt;0)*(N('Dvd Calendar'!$Z$655)&lt;=VAL_SERIAL)*1000000+59*1000+62))</f>
        <v/>
      </c>
      <c r="GO70" s="39">
        <f>IF(N('Dvd Calendar'!$AA$656)=0,"",IF(('Dvd Calendar'!$AA$656&gt;=GRID_FROM)*('Dvd Calendar'!$AA$656&lt;=GRID_TO)*('Dvd Calendar'!$AA$656&gt;VAL_DATE)=0,"",'Dvd Calendar'!$AA$656*1000000000+ISNUMBER('Dvd Calendar'!$AA$657)*100000000+0*10000000+(N('Dvd Calendar'!$AA$655)&gt;0)*(N('Dvd Calendar'!$AA$655)&lt;=VAL_SERIAL)*1000000+59*1000+63))</f>
        <v/>
      </c>
      <c r="GP70" s="39">
        <f>IF(N('Dvd Calendar'!$AB$656)=0,"",IF(('Dvd Calendar'!$AB$656&gt;=GRID_FROM)*('Dvd Calendar'!$AB$656&lt;=GRID_TO)*('Dvd Calendar'!$AB$656&gt;VAL_DATE)=0,"",'Dvd Calendar'!$AB$656*1000000000+ISNUMBER('Dvd Calendar'!$AB$657)*100000000+0*10000000+(N('Dvd Calendar'!$AB$655)&gt;0)*(N('Dvd Calendar'!$AB$655)&lt;=VAL_SERIAL)*1000000+59*1000+64))</f>
        <v/>
      </c>
      <c r="GQ70" s="39">
        <f>IF(N('Dvd Calendar'!$AC$656)=0,"",IF(('Dvd Calendar'!$AC$656&gt;=GRID_FROM)*('Dvd Calendar'!$AC$656&lt;=GRID_TO)*('Dvd Calendar'!$AC$656&gt;VAL_DATE)=0,"",'Dvd Calendar'!$AC$656*1000000000+ISNUMBER('Dvd Calendar'!$AC$657)*100000000+0*10000000+(N('Dvd Calendar'!$AC$655)&gt;0)*(N('Dvd Calendar'!$AC$655)&lt;=VAL_SERIAL)*1000000+59*1000+65))</f>
        <v/>
      </c>
    </row>
    <row r="71">
      <c r="B71" s="2">
        <f>IF(HSI!$C$66="","",HSI!$C$66)</f>
        <v/>
      </c>
      <c r="C71" s="110">
        <f>IF(EE71="","",IF(ISNUMBER('Dvd Calendar'!$E$663)=FALSE,"",IF((('Dvd Calendar'!$E$665=TYPE1)*(TYPE1&lt;&gt;"")+('Dvd Calendar'!$E$665=TYPE2)*(TYPE2&lt;&gt;"")+('Dvd Calendar'!$E$665=TYPE3)*(TYPE3&lt;&gt;"")+('Dvd Calendar'!$E$665=TYPE4)*(TYPE4&lt;&gt;"")+('Dvd Calendar'!$E$665=SPECIAL_LBL)*(INC_SPECIALS="Y"))=0,"",'Dvd Calendar'!$E$663)))</f>
        <v/>
      </c>
      <c r="D71" s="110">
        <f>IF(EF71="","",IF(ISNUMBER('Dvd Calendar'!$F$663)=FALSE,"",IF((('Dvd Calendar'!$F$665=TYPE1)*(TYPE1&lt;&gt;"")+('Dvd Calendar'!$F$665=TYPE2)*(TYPE2&lt;&gt;"")+('Dvd Calendar'!$F$665=TYPE3)*(TYPE3&lt;&gt;"")+('Dvd Calendar'!$F$665=TYPE4)*(TYPE4&lt;&gt;"")+('Dvd Calendar'!$F$665=SPECIAL_LBL)*(INC_SPECIALS="Y"))=0,"",'Dvd Calendar'!$F$663)))</f>
        <v/>
      </c>
      <c r="E71" s="110">
        <f>IF(EG71="","",IF(ISNUMBER('Dvd Calendar'!$G$663)=FALSE,"",IF((('Dvd Calendar'!$G$665=TYPE1)*(TYPE1&lt;&gt;"")+('Dvd Calendar'!$G$665=TYPE2)*(TYPE2&lt;&gt;"")+('Dvd Calendar'!$G$665=TYPE3)*(TYPE3&lt;&gt;"")+('Dvd Calendar'!$G$665=TYPE4)*(TYPE4&lt;&gt;"")+('Dvd Calendar'!$G$665=SPECIAL_LBL)*(INC_SPECIALS="Y"))=0,"",'Dvd Calendar'!$G$663)))</f>
        <v/>
      </c>
      <c r="F71" s="110">
        <f>IF(EH71="","",IF(ISNUMBER('Dvd Calendar'!$H$663)=FALSE,"",IF((('Dvd Calendar'!$H$665=TYPE1)*(TYPE1&lt;&gt;"")+('Dvd Calendar'!$H$665=TYPE2)*(TYPE2&lt;&gt;"")+('Dvd Calendar'!$H$665=TYPE3)*(TYPE3&lt;&gt;"")+('Dvd Calendar'!$H$665=TYPE4)*(TYPE4&lt;&gt;"")+('Dvd Calendar'!$H$665=SPECIAL_LBL)*(INC_SPECIALS="Y"))=0,"",'Dvd Calendar'!$H$663)))</f>
        <v/>
      </c>
      <c r="G71" s="110">
        <f>IF(EI71="","",IF(ISNUMBER('Dvd Calendar'!$I$663)=FALSE,"",IF((('Dvd Calendar'!$I$665=TYPE1)*(TYPE1&lt;&gt;"")+('Dvd Calendar'!$I$665=TYPE2)*(TYPE2&lt;&gt;"")+('Dvd Calendar'!$I$665=TYPE3)*(TYPE3&lt;&gt;"")+('Dvd Calendar'!$I$665=TYPE4)*(TYPE4&lt;&gt;"")+('Dvd Calendar'!$I$665=SPECIAL_LBL)*(INC_SPECIALS="Y"))=0,"",'Dvd Calendar'!$I$663)))</f>
        <v/>
      </c>
      <c r="H71" s="110">
        <f>IF(EJ71="","",IF(ISNUMBER('Dvd Calendar'!$J$663)=FALSE,"",IF((('Dvd Calendar'!$J$665=TYPE1)*(TYPE1&lt;&gt;"")+('Dvd Calendar'!$J$665=TYPE2)*(TYPE2&lt;&gt;"")+('Dvd Calendar'!$J$665=TYPE3)*(TYPE3&lt;&gt;"")+('Dvd Calendar'!$J$665=TYPE4)*(TYPE4&lt;&gt;"")+('Dvd Calendar'!$J$665=SPECIAL_LBL)*(INC_SPECIALS="Y"))=0,"",'Dvd Calendar'!$J$663)))</f>
        <v/>
      </c>
      <c r="I71" s="110">
        <f>IF(EK71="","",IF(ISNUMBER('Dvd Calendar'!$K$663)=FALSE,"",IF((('Dvd Calendar'!$K$665=TYPE1)*(TYPE1&lt;&gt;"")+('Dvd Calendar'!$K$665=TYPE2)*(TYPE2&lt;&gt;"")+('Dvd Calendar'!$K$665=TYPE3)*(TYPE3&lt;&gt;"")+('Dvd Calendar'!$K$665=TYPE4)*(TYPE4&lt;&gt;"")+('Dvd Calendar'!$K$665=SPECIAL_LBL)*(INC_SPECIALS="Y"))=0,"",'Dvd Calendar'!$K$663)))</f>
        <v/>
      </c>
      <c r="J71" s="110">
        <f>IF(EL71="","",IF(ISNUMBER('Dvd Calendar'!$L$663)=FALSE,"",IF((('Dvd Calendar'!$L$665=TYPE1)*(TYPE1&lt;&gt;"")+('Dvd Calendar'!$L$665=TYPE2)*(TYPE2&lt;&gt;"")+('Dvd Calendar'!$L$665=TYPE3)*(TYPE3&lt;&gt;"")+('Dvd Calendar'!$L$665=TYPE4)*(TYPE4&lt;&gt;"")+('Dvd Calendar'!$L$665=SPECIAL_LBL)*(INC_SPECIALS="Y"))=0,"",'Dvd Calendar'!$L$663)))</f>
        <v/>
      </c>
      <c r="K71" s="110">
        <f>IF(EM71="","",IF(ISNUMBER('Dvd Calendar'!$M$663)=FALSE,"",IF((('Dvd Calendar'!$M$665=TYPE1)*(TYPE1&lt;&gt;"")+('Dvd Calendar'!$M$665=TYPE2)*(TYPE2&lt;&gt;"")+('Dvd Calendar'!$M$665=TYPE3)*(TYPE3&lt;&gt;"")+('Dvd Calendar'!$M$665=TYPE4)*(TYPE4&lt;&gt;"")+('Dvd Calendar'!$M$665=SPECIAL_LBL)*(INC_SPECIALS="Y"))=0,"",'Dvd Calendar'!$M$663)))</f>
        <v/>
      </c>
      <c r="L71" s="110">
        <f>IF(EN71="","",IF(ISNUMBER('Dvd Calendar'!$N$663)=FALSE,"",IF((('Dvd Calendar'!$N$665=TYPE1)*(TYPE1&lt;&gt;"")+('Dvd Calendar'!$N$665=TYPE2)*(TYPE2&lt;&gt;"")+('Dvd Calendar'!$N$665=TYPE3)*(TYPE3&lt;&gt;"")+('Dvd Calendar'!$N$665=TYPE4)*(TYPE4&lt;&gt;"")+('Dvd Calendar'!$N$665=SPECIAL_LBL)*(INC_SPECIALS="Y"))=0,"",'Dvd Calendar'!$N$663)))</f>
        <v/>
      </c>
      <c r="M71" s="110">
        <f>IF(EO71="","",IF(ISNUMBER('Dvd Calendar'!$O$663)=FALSE,"",IF((('Dvd Calendar'!$O$665=TYPE1)*(TYPE1&lt;&gt;"")+('Dvd Calendar'!$O$665=TYPE2)*(TYPE2&lt;&gt;"")+('Dvd Calendar'!$O$665=TYPE3)*(TYPE3&lt;&gt;"")+('Dvd Calendar'!$O$665=TYPE4)*(TYPE4&lt;&gt;"")+('Dvd Calendar'!$O$665=SPECIAL_LBL)*(INC_SPECIALS="Y"))=0,"",'Dvd Calendar'!$O$663)))</f>
        <v/>
      </c>
      <c r="N71" s="110">
        <f>IF(EP71="","",IF(ISNUMBER('Dvd Calendar'!$P$663)=FALSE,"",IF((('Dvd Calendar'!$P$665=TYPE1)*(TYPE1&lt;&gt;"")+('Dvd Calendar'!$P$665=TYPE2)*(TYPE2&lt;&gt;"")+('Dvd Calendar'!$P$665=TYPE3)*(TYPE3&lt;&gt;"")+('Dvd Calendar'!$P$665=TYPE4)*(TYPE4&lt;&gt;"")+('Dvd Calendar'!$P$665=SPECIAL_LBL)*(INC_SPECIALS="Y"))=0,"",'Dvd Calendar'!$P$663)))</f>
        <v/>
      </c>
      <c r="O71" s="110">
        <f>IF(EQ71="","",IF(ISNUMBER('Dvd Calendar'!$Q$663)=FALSE,"",IF((('Dvd Calendar'!$Q$665=TYPE1)*(TYPE1&lt;&gt;"")+('Dvd Calendar'!$Q$665=TYPE2)*(TYPE2&lt;&gt;"")+('Dvd Calendar'!$Q$665=TYPE3)*(TYPE3&lt;&gt;"")+('Dvd Calendar'!$Q$665=TYPE4)*(TYPE4&lt;&gt;"")+('Dvd Calendar'!$Q$665=SPECIAL_LBL)*(INC_SPECIALS="Y"))=0,"",'Dvd Calendar'!$Q$663)))</f>
        <v/>
      </c>
      <c r="P71" s="110">
        <f>IF(ER71="","",IF(ISNUMBER('Dvd Calendar'!$R$663)=FALSE,"",IF((('Dvd Calendar'!$R$665=TYPE1)*(TYPE1&lt;&gt;"")+('Dvd Calendar'!$R$665=TYPE2)*(TYPE2&lt;&gt;"")+('Dvd Calendar'!$R$665=TYPE3)*(TYPE3&lt;&gt;"")+('Dvd Calendar'!$R$665=TYPE4)*(TYPE4&lt;&gt;"")+('Dvd Calendar'!$R$665=SPECIAL_LBL)*(INC_SPECIALS="Y"))=0,"",'Dvd Calendar'!$R$663)))</f>
        <v/>
      </c>
      <c r="Q71" s="110">
        <f>IF(ES71="","",IF(ISNUMBER('Dvd Calendar'!$S$663)=FALSE,"",IF((('Dvd Calendar'!$S$665=TYPE1)*(TYPE1&lt;&gt;"")+('Dvd Calendar'!$S$665=TYPE2)*(TYPE2&lt;&gt;"")+('Dvd Calendar'!$S$665=TYPE3)*(TYPE3&lt;&gt;"")+('Dvd Calendar'!$S$665=TYPE4)*(TYPE4&lt;&gt;"")+('Dvd Calendar'!$S$665=SPECIAL_LBL)*(INC_SPECIALS="Y"))=0,"",'Dvd Calendar'!$S$663)))</f>
        <v/>
      </c>
      <c r="R71" s="110">
        <f>IF(ET71="","",IF(ISNUMBER('Dvd Calendar'!$T$663)=FALSE,"",IF((('Dvd Calendar'!$T$665=TYPE1)*(TYPE1&lt;&gt;"")+('Dvd Calendar'!$T$665=TYPE2)*(TYPE2&lt;&gt;"")+('Dvd Calendar'!$T$665=TYPE3)*(TYPE3&lt;&gt;"")+('Dvd Calendar'!$T$665=TYPE4)*(TYPE4&lt;&gt;"")+('Dvd Calendar'!$T$665=SPECIAL_LBL)*(INC_SPECIALS="Y"))=0,"",'Dvd Calendar'!$T$663)))</f>
        <v/>
      </c>
      <c r="S71" s="110">
        <f>IF(EU71="","",IF(ISNUMBER('Dvd Calendar'!$U$663)=FALSE,"",IF((('Dvd Calendar'!$U$665=TYPE1)*(TYPE1&lt;&gt;"")+('Dvd Calendar'!$U$665=TYPE2)*(TYPE2&lt;&gt;"")+('Dvd Calendar'!$U$665=TYPE3)*(TYPE3&lt;&gt;"")+('Dvd Calendar'!$U$665=TYPE4)*(TYPE4&lt;&gt;"")+('Dvd Calendar'!$U$665=SPECIAL_LBL)*(INC_SPECIALS="Y"))=0,"",'Dvd Calendar'!$U$663)))</f>
        <v/>
      </c>
      <c r="T71" s="110">
        <f>IF(EV71="","",IF(ISNUMBER('Dvd Calendar'!$V$663)=FALSE,"",IF((('Dvd Calendar'!$V$665=TYPE1)*(TYPE1&lt;&gt;"")+('Dvd Calendar'!$V$665=TYPE2)*(TYPE2&lt;&gt;"")+('Dvd Calendar'!$V$665=TYPE3)*(TYPE3&lt;&gt;"")+('Dvd Calendar'!$V$665=TYPE4)*(TYPE4&lt;&gt;"")+('Dvd Calendar'!$V$665=SPECIAL_LBL)*(INC_SPECIALS="Y"))=0,"",'Dvd Calendar'!$V$663)))</f>
        <v/>
      </c>
      <c r="U71" s="110">
        <f>IF(EW71="","",IF(ISNUMBER('Dvd Calendar'!$W$663)=FALSE,"",IF((('Dvd Calendar'!$W$665=TYPE1)*(TYPE1&lt;&gt;"")+('Dvd Calendar'!$W$665=TYPE2)*(TYPE2&lt;&gt;"")+('Dvd Calendar'!$W$665=TYPE3)*(TYPE3&lt;&gt;"")+('Dvd Calendar'!$W$665=TYPE4)*(TYPE4&lt;&gt;"")+('Dvd Calendar'!$W$665=SPECIAL_LBL)*(INC_SPECIALS="Y"))=0,"",'Dvd Calendar'!$W$663)))</f>
        <v/>
      </c>
      <c r="V71" s="110">
        <f>IF(EX71="","",IF(ISNUMBER('Dvd Calendar'!$X$663)=FALSE,"",IF((('Dvd Calendar'!$X$665=TYPE1)*(TYPE1&lt;&gt;"")+('Dvd Calendar'!$X$665=TYPE2)*(TYPE2&lt;&gt;"")+('Dvd Calendar'!$X$665=TYPE3)*(TYPE3&lt;&gt;"")+('Dvd Calendar'!$X$665=TYPE4)*(TYPE4&lt;&gt;"")+('Dvd Calendar'!$X$665=SPECIAL_LBL)*(INC_SPECIALS="Y"))=0,"",'Dvd Calendar'!$X$663)))</f>
        <v/>
      </c>
      <c r="W71" s="110">
        <f>IF(EY71="","",IF(ISNUMBER('Dvd Calendar'!$Y$663)=FALSE,"",IF((('Dvd Calendar'!$Y$665=TYPE1)*(TYPE1&lt;&gt;"")+('Dvd Calendar'!$Y$665=TYPE2)*(TYPE2&lt;&gt;"")+('Dvd Calendar'!$Y$665=TYPE3)*(TYPE3&lt;&gt;"")+('Dvd Calendar'!$Y$665=TYPE4)*(TYPE4&lt;&gt;"")+('Dvd Calendar'!$Y$665=SPECIAL_LBL)*(INC_SPECIALS="Y"))=0,"",'Dvd Calendar'!$Y$663)))</f>
        <v/>
      </c>
      <c r="X71" s="110">
        <f>IF(EZ71="","",IF(ISNUMBER('Dvd Calendar'!$Z$663)=FALSE,"",IF((('Dvd Calendar'!$Z$665=TYPE1)*(TYPE1&lt;&gt;"")+('Dvd Calendar'!$Z$665=TYPE2)*(TYPE2&lt;&gt;"")+('Dvd Calendar'!$Z$665=TYPE3)*(TYPE3&lt;&gt;"")+('Dvd Calendar'!$Z$665=TYPE4)*(TYPE4&lt;&gt;"")+('Dvd Calendar'!$Z$665=SPECIAL_LBL)*(INC_SPECIALS="Y"))=0,"",'Dvd Calendar'!$Z$663)))</f>
        <v/>
      </c>
      <c r="Y71" s="110">
        <f>IF(FA71="","",IF(ISNUMBER('Dvd Calendar'!$AA$663)=FALSE,"",IF((('Dvd Calendar'!$AA$665=TYPE1)*(TYPE1&lt;&gt;"")+('Dvd Calendar'!$AA$665=TYPE2)*(TYPE2&lt;&gt;"")+('Dvd Calendar'!$AA$665=TYPE3)*(TYPE3&lt;&gt;"")+('Dvd Calendar'!$AA$665=TYPE4)*(TYPE4&lt;&gt;"")+('Dvd Calendar'!$AA$665=SPECIAL_LBL)*(INC_SPECIALS="Y"))=0,"",'Dvd Calendar'!$AA$663)))</f>
        <v/>
      </c>
      <c r="Z71" s="110">
        <f>IF(FB71="","",IF(ISNUMBER('Dvd Calendar'!$AB$663)=FALSE,"",IF((('Dvd Calendar'!$AB$665=TYPE1)*(TYPE1&lt;&gt;"")+('Dvd Calendar'!$AB$665=TYPE2)*(TYPE2&lt;&gt;"")+('Dvd Calendar'!$AB$665=TYPE3)*(TYPE3&lt;&gt;"")+('Dvd Calendar'!$AB$665=TYPE4)*(TYPE4&lt;&gt;"")+('Dvd Calendar'!$AB$665=SPECIAL_LBL)*(INC_SPECIALS="Y"))=0,"",'Dvd Calendar'!$AB$663)))</f>
        <v/>
      </c>
      <c r="AA71" s="110">
        <f>IF(FC71="","",IF(ISNUMBER('Dvd Calendar'!$AC$663)=FALSE,"",IF((('Dvd Calendar'!$AC$665=TYPE1)*(TYPE1&lt;&gt;"")+('Dvd Calendar'!$AC$665=TYPE2)*(TYPE2&lt;&gt;"")+('Dvd Calendar'!$AC$665=TYPE3)*(TYPE3&lt;&gt;"")+('Dvd Calendar'!$AC$665=TYPE4)*(TYPE4&lt;&gt;"")+('Dvd Calendar'!$AC$665=SPECIAL_LBL)*(INC_SPECIALS="Y"))=0,"",'Dvd Calendar'!$AC$663)))</f>
        <v/>
      </c>
      <c r="AB71" s="110">
        <f>IF(FD71="","",IF(ISNUMBER('Dvd Calendar'!$AD$663)=FALSE,"",IF((('Dvd Calendar'!$AD$665=TYPE1)*(TYPE1&lt;&gt;"")+('Dvd Calendar'!$AD$665=TYPE2)*(TYPE2&lt;&gt;"")+('Dvd Calendar'!$AD$665=TYPE3)*(TYPE3&lt;&gt;"")+('Dvd Calendar'!$AD$665=TYPE4)*(TYPE4&lt;&gt;"")+('Dvd Calendar'!$AD$665=SPECIAL_LBL)*(INC_SPECIALS="Y"))=0,"",'Dvd Calendar'!$AD$663)))</f>
        <v/>
      </c>
      <c r="AC71" s="110">
        <f>IF(FE71="","",IF(ISNUMBER('Dvd Calendar'!$AE$663)=FALSE,"",IF((('Dvd Calendar'!$AE$665=TYPE1)*(TYPE1&lt;&gt;"")+('Dvd Calendar'!$AE$665=TYPE2)*(TYPE2&lt;&gt;"")+('Dvd Calendar'!$AE$665=TYPE3)*(TYPE3&lt;&gt;"")+('Dvd Calendar'!$AE$665=TYPE4)*(TYPE4&lt;&gt;"")+('Dvd Calendar'!$AE$665=SPECIAL_LBL)*(INC_SPECIALS="Y"))=0,"",'Dvd Calendar'!$AE$663)))</f>
        <v/>
      </c>
      <c r="AD71" s="110">
        <f>IF(FF71="","",IF(ISNUMBER('Dvd Calendar'!$AF$663)=FALSE,"",IF((('Dvd Calendar'!$AF$665=TYPE1)*(TYPE1&lt;&gt;"")+('Dvd Calendar'!$AF$665=TYPE2)*(TYPE2&lt;&gt;"")+('Dvd Calendar'!$AF$665=TYPE3)*(TYPE3&lt;&gt;"")+('Dvd Calendar'!$AF$665=TYPE4)*(TYPE4&lt;&gt;"")+('Dvd Calendar'!$AF$665=SPECIAL_LBL)*(INC_SPECIALS="Y"))=0,"",'Dvd Calendar'!$AF$663)))</f>
        <v/>
      </c>
      <c r="AE71" s="110">
        <f>IF(FG71="","",IF(ISNUMBER('Dvd Calendar'!$AG$663)=FALSE,"",IF((('Dvd Calendar'!$AG$665=TYPE1)*(TYPE1&lt;&gt;"")+('Dvd Calendar'!$AG$665=TYPE2)*(TYPE2&lt;&gt;"")+('Dvd Calendar'!$AG$665=TYPE3)*(TYPE3&lt;&gt;"")+('Dvd Calendar'!$AG$665=TYPE4)*(TYPE4&lt;&gt;"")+('Dvd Calendar'!$AG$665=SPECIAL_LBL)*(INC_SPECIALS="Y"))=0,"",'Dvd Calendar'!$AG$663)))</f>
        <v/>
      </c>
      <c r="AF71" s="110">
        <f>IF(FH71="","",IF(ISNUMBER('Dvd Calendar'!$AH$663)=FALSE,"",IF((('Dvd Calendar'!$AH$665=TYPE1)*(TYPE1&lt;&gt;"")+('Dvd Calendar'!$AH$665=TYPE2)*(TYPE2&lt;&gt;"")+('Dvd Calendar'!$AH$665=TYPE3)*(TYPE3&lt;&gt;"")+('Dvd Calendar'!$AH$665=TYPE4)*(TYPE4&lt;&gt;"")+('Dvd Calendar'!$AH$665=SPECIAL_LBL)*(INC_SPECIALS="Y"))=0,"",'Dvd Calendar'!$AH$663)))</f>
        <v/>
      </c>
      <c r="AG71" s="110">
        <f>IF(FI71="","",IF(ISNUMBER('Dvd Calendar'!$AI$663)=FALSE,"",IF((('Dvd Calendar'!$AI$665=TYPE1)*(TYPE1&lt;&gt;"")+('Dvd Calendar'!$AI$665=TYPE2)*(TYPE2&lt;&gt;"")+('Dvd Calendar'!$AI$665=TYPE3)*(TYPE3&lt;&gt;"")+('Dvd Calendar'!$AI$665=TYPE4)*(TYPE4&lt;&gt;"")+('Dvd Calendar'!$AI$665=SPECIAL_LBL)*(INC_SPECIALS="Y"))=0,"",'Dvd Calendar'!$AI$663)))</f>
        <v/>
      </c>
      <c r="AH71" s="110">
        <f>IF(FJ71="","",IF(ISNUMBER('Dvd Calendar'!$AJ$663)=FALSE,"",IF((('Dvd Calendar'!$AJ$665=TYPE1)*(TYPE1&lt;&gt;"")+('Dvd Calendar'!$AJ$665=TYPE2)*(TYPE2&lt;&gt;"")+('Dvd Calendar'!$AJ$665=TYPE3)*(TYPE3&lt;&gt;"")+('Dvd Calendar'!$AJ$665=TYPE4)*(TYPE4&lt;&gt;"")+('Dvd Calendar'!$AJ$665=SPECIAL_LBL)*(INC_SPECIALS="Y"))=0,"",'Dvd Calendar'!$AJ$663)))</f>
        <v/>
      </c>
      <c r="AI71" s="110">
        <f>IF(FK71="","",IF(ISNUMBER('Dvd Calendar'!$AK$663)=FALSE,"",IF((('Dvd Calendar'!$AK$665=TYPE1)*(TYPE1&lt;&gt;"")+('Dvd Calendar'!$AK$665=TYPE2)*(TYPE2&lt;&gt;"")+('Dvd Calendar'!$AK$665=TYPE3)*(TYPE3&lt;&gt;"")+('Dvd Calendar'!$AK$665=TYPE4)*(TYPE4&lt;&gt;"")+('Dvd Calendar'!$AK$665=SPECIAL_LBL)*(INC_SPECIALS="Y"))=0,"",'Dvd Calendar'!$AK$663)))</f>
        <v/>
      </c>
      <c r="AJ71" s="110">
        <f>IF(FL71="","",IF(ISNUMBER('Dvd Calendar'!$AL$663)=FALSE,"",IF((('Dvd Calendar'!$AL$665=TYPE1)*(TYPE1&lt;&gt;"")+('Dvd Calendar'!$AL$665=TYPE2)*(TYPE2&lt;&gt;"")+('Dvd Calendar'!$AL$665=TYPE3)*(TYPE3&lt;&gt;"")+('Dvd Calendar'!$AL$665=TYPE4)*(TYPE4&lt;&gt;"")+('Dvd Calendar'!$AL$665=SPECIAL_LBL)*(INC_SPECIALS="Y"))=0,"",'Dvd Calendar'!$AL$663)))</f>
        <v/>
      </c>
      <c r="AK71" s="110">
        <f>IF(FM71="","",IF(ISNUMBER('Dvd Calendar'!$AM$663)=FALSE,"",IF((('Dvd Calendar'!$AM$665=TYPE1)*(TYPE1&lt;&gt;"")+('Dvd Calendar'!$AM$665=TYPE2)*(TYPE2&lt;&gt;"")+('Dvd Calendar'!$AM$665=TYPE3)*(TYPE3&lt;&gt;"")+('Dvd Calendar'!$AM$665=TYPE4)*(TYPE4&lt;&gt;"")+('Dvd Calendar'!$AM$665=SPECIAL_LBL)*(INC_SPECIALS="Y"))=0,"",'Dvd Calendar'!$AM$663)))</f>
        <v/>
      </c>
      <c r="AL71" s="110">
        <f>IF(FN71="","",IF(ISNUMBER('Dvd Calendar'!$AN$663)=FALSE,"",IF((('Dvd Calendar'!$AN$665=TYPE1)*(TYPE1&lt;&gt;"")+('Dvd Calendar'!$AN$665=TYPE2)*(TYPE2&lt;&gt;"")+('Dvd Calendar'!$AN$665=TYPE3)*(TYPE3&lt;&gt;"")+('Dvd Calendar'!$AN$665=TYPE4)*(TYPE4&lt;&gt;"")+('Dvd Calendar'!$AN$665=SPECIAL_LBL)*(INC_SPECIALS="Y"))=0,"",'Dvd Calendar'!$AN$663)))</f>
        <v/>
      </c>
      <c r="AM71" s="110">
        <f>IF(FO71="","",IF(ISNUMBER('Dvd Calendar'!$AO$663)=FALSE,"",IF((('Dvd Calendar'!$AO$665=TYPE1)*(TYPE1&lt;&gt;"")+('Dvd Calendar'!$AO$665=TYPE2)*(TYPE2&lt;&gt;"")+('Dvd Calendar'!$AO$665=TYPE3)*(TYPE3&lt;&gt;"")+('Dvd Calendar'!$AO$665=TYPE4)*(TYPE4&lt;&gt;"")+('Dvd Calendar'!$AO$665=SPECIAL_LBL)*(INC_SPECIALS="Y"))=0,"",'Dvd Calendar'!$AO$663)))</f>
        <v/>
      </c>
      <c r="AN71" s="110">
        <f>IF(FP71="","",IF(ISNUMBER('Dvd Calendar'!$AP$663)=FALSE,"",IF((('Dvd Calendar'!$AP$665=TYPE1)*(TYPE1&lt;&gt;"")+('Dvd Calendar'!$AP$665=TYPE2)*(TYPE2&lt;&gt;"")+('Dvd Calendar'!$AP$665=TYPE3)*(TYPE3&lt;&gt;"")+('Dvd Calendar'!$AP$665=TYPE4)*(TYPE4&lt;&gt;"")+('Dvd Calendar'!$AP$665=SPECIAL_LBL)*(INC_SPECIALS="Y"))=0,"",'Dvd Calendar'!$AP$663)))</f>
        <v/>
      </c>
      <c r="AO71" s="110">
        <f>IF(FQ71="","",IF(ISNUMBER('Dvd Calendar'!$AQ$663)=FALSE,"",IF((('Dvd Calendar'!$AQ$665=TYPE1)*(TYPE1&lt;&gt;"")+('Dvd Calendar'!$AQ$665=TYPE2)*(TYPE2&lt;&gt;"")+('Dvd Calendar'!$AQ$665=TYPE3)*(TYPE3&lt;&gt;"")+('Dvd Calendar'!$AQ$665=TYPE4)*(TYPE4&lt;&gt;"")+('Dvd Calendar'!$AQ$665=SPECIAL_LBL)*(INC_SPECIALS="Y"))=0,"",'Dvd Calendar'!$AQ$663)))</f>
        <v/>
      </c>
      <c r="AP71" s="110">
        <f>IF(FR71="","",IF(ISNUMBER('Dvd Calendar'!$AR$663)=FALSE,"",IF((('Dvd Calendar'!$AR$665=TYPE1)*(TYPE1&lt;&gt;"")+('Dvd Calendar'!$AR$665=TYPE2)*(TYPE2&lt;&gt;"")+('Dvd Calendar'!$AR$665=TYPE3)*(TYPE3&lt;&gt;"")+('Dvd Calendar'!$AR$665=TYPE4)*(TYPE4&lt;&gt;"")+('Dvd Calendar'!$AR$665=SPECIAL_LBL)*(INC_SPECIALS="Y"))=0,"",'Dvd Calendar'!$AR$663)))</f>
        <v/>
      </c>
      <c r="AQ71" s="110">
        <f>IF(FS71="","",IF(ISNUMBER('Dvd Calendar'!$E$668)=FALSE,"",'Dvd Calendar'!$E$668))</f>
        <v/>
      </c>
      <c r="AR71" s="110">
        <f>IF(FT71="","",IF(ISNUMBER('Dvd Calendar'!$F$668)=FALSE,"",'Dvd Calendar'!$F$668))</f>
        <v/>
      </c>
      <c r="AS71" s="110">
        <f>IF(FU71="","",IF(ISNUMBER('Dvd Calendar'!$G$668)=FALSE,"",'Dvd Calendar'!$G$668))</f>
        <v/>
      </c>
      <c r="AT71" s="110">
        <f>IF(FV71="","",IF(ISNUMBER('Dvd Calendar'!$H$668)=FALSE,"",'Dvd Calendar'!$H$668))</f>
        <v/>
      </c>
      <c r="AU71" s="110">
        <f>IF(FW71="","",IF(ISNUMBER('Dvd Calendar'!$I$668)=FALSE,"",'Dvd Calendar'!$I$668))</f>
        <v/>
      </c>
      <c r="AV71" s="110">
        <f>IF(FX71="","",IF(ISNUMBER('Dvd Calendar'!$J$668)=FALSE,"",'Dvd Calendar'!$J$668))</f>
        <v/>
      </c>
      <c r="AW71" s="110">
        <f>IF(FY71="","",IF(ISNUMBER('Dvd Calendar'!$K$668)=FALSE,"",'Dvd Calendar'!$K$668))</f>
        <v/>
      </c>
      <c r="AX71" s="110">
        <f>IF(FZ71="","",IF(ISNUMBER('Dvd Calendar'!$L$668)=FALSE,"",'Dvd Calendar'!$L$668))</f>
        <v/>
      </c>
      <c r="AY71" s="110">
        <f>IF(GA71="","",IF(ISNUMBER('Dvd Calendar'!$M$668)=FALSE,"",'Dvd Calendar'!$M$668))</f>
        <v/>
      </c>
      <c r="AZ71" s="110">
        <f>IF(GB71="","",IF(ISNUMBER('Dvd Calendar'!$N$668)=FALSE,"",'Dvd Calendar'!$N$668))</f>
        <v/>
      </c>
      <c r="BA71" s="110">
        <f>IF(GC71="","",IF(ISNUMBER('Dvd Calendar'!$O$668)=FALSE,"",'Dvd Calendar'!$O$668))</f>
        <v/>
      </c>
      <c r="BB71" s="110">
        <f>IF(GD71="","",IF(ISNUMBER('Dvd Calendar'!$P$668)=FALSE,"",'Dvd Calendar'!$P$668))</f>
        <v/>
      </c>
      <c r="BC71" s="110">
        <f>IF(GE71="","",IF(ISNUMBER('Dvd Calendar'!$Q$668)=FALSE,"",'Dvd Calendar'!$Q$668))</f>
        <v/>
      </c>
      <c r="BD71" s="110">
        <f>IF(GF71="","",IF(ISNUMBER('Dvd Calendar'!$R$668)=FALSE,"",'Dvd Calendar'!$R$668))</f>
        <v/>
      </c>
      <c r="BE71" s="110">
        <f>IF(GG71="","",IF(ISNUMBER('Dvd Calendar'!$S$668)=FALSE,"",'Dvd Calendar'!$S$668))</f>
        <v/>
      </c>
      <c r="BF71" s="110">
        <f>IF(GH71="","",IF(ISNUMBER('Dvd Calendar'!$T$668)=FALSE,"",'Dvd Calendar'!$T$668))</f>
        <v/>
      </c>
      <c r="BG71" s="110">
        <f>IF(GI71="","",IF(ISNUMBER('Dvd Calendar'!$U$668)=FALSE,"",'Dvd Calendar'!$U$668))</f>
        <v/>
      </c>
      <c r="BH71" s="110">
        <f>IF(GJ71="","",IF(ISNUMBER('Dvd Calendar'!$V$668)=FALSE,"",'Dvd Calendar'!$V$668))</f>
        <v/>
      </c>
      <c r="BI71" s="110">
        <f>IF(GK71="","",IF(ISNUMBER('Dvd Calendar'!$W$668)=FALSE,"",'Dvd Calendar'!$W$668))</f>
        <v/>
      </c>
      <c r="BJ71" s="110">
        <f>IF(GL71="","",IF(ISNUMBER('Dvd Calendar'!$X$668)=FALSE,"",'Dvd Calendar'!$X$668))</f>
        <v/>
      </c>
      <c r="BK71" s="110">
        <f>IF(GM71="","",IF(ISNUMBER('Dvd Calendar'!$Y$668)=FALSE,"",'Dvd Calendar'!$Y$668))</f>
        <v/>
      </c>
      <c r="BL71" s="110">
        <f>IF(GN71="","",IF(ISNUMBER('Dvd Calendar'!$Z$668)=FALSE,"",'Dvd Calendar'!$Z$668))</f>
        <v/>
      </c>
      <c r="BM71" s="110">
        <f>IF(GO71="","",IF(ISNUMBER('Dvd Calendar'!$AA$668)=FALSE,"",'Dvd Calendar'!$AA$668))</f>
        <v/>
      </c>
      <c r="BN71" s="110">
        <f>IF(GP71="","",IF(ISNUMBER('Dvd Calendar'!$AB$668)=FALSE,"",'Dvd Calendar'!$AB$668))</f>
        <v/>
      </c>
      <c r="BO71" s="110">
        <f>IF(GQ71="","",IF(ISNUMBER('Dvd Calendar'!$AC$668)=FALSE,"",'Dvd Calendar'!$AC$668))</f>
        <v/>
      </c>
      <c r="BQ71" s="110">
        <f>IF(C71="","",IFERROR(C71*HSI!$B$66*HSI!$G$66/HSI!$B$3,""))</f>
        <v/>
      </c>
      <c r="BR71" s="110">
        <f>IF(D71="","",IFERROR(D71*HSI!$B$66*HSI!$G$66/HSI!$B$3,""))</f>
        <v/>
      </c>
      <c r="BS71" s="110">
        <f>IF(E71="","",IFERROR(E71*HSI!$B$66*HSI!$G$66/HSI!$B$3,""))</f>
        <v/>
      </c>
      <c r="BT71" s="110">
        <f>IF(F71="","",IFERROR(F71*HSI!$B$66*HSI!$G$66/HSI!$B$3,""))</f>
        <v/>
      </c>
      <c r="BU71" s="110">
        <f>IF(G71="","",IFERROR(G71*HSI!$B$66*HSI!$G$66/HSI!$B$3,""))</f>
        <v/>
      </c>
      <c r="BV71" s="110">
        <f>IF(H71="","",IFERROR(H71*HSI!$B$66*HSI!$G$66/HSI!$B$3,""))</f>
        <v/>
      </c>
      <c r="BW71" s="110">
        <f>IF(I71="","",IFERROR(I71*HSI!$B$66*HSI!$G$66/HSI!$B$3,""))</f>
        <v/>
      </c>
      <c r="BX71" s="110">
        <f>IF(J71="","",IFERROR(J71*HSI!$B$66*HSI!$G$66/HSI!$B$3,""))</f>
        <v/>
      </c>
      <c r="BY71" s="110">
        <f>IF(K71="","",IFERROR(K71*HSI!$B$66*HSI!$G$66/HSI!$B$3,""))</f>
        <v/>
      </c>
      <c r="BZ71" s="110">
        <f>IF(L71="","",IFERROR(L71*HSI!$B$66*HSI!$G$66/HSI!$B$3,""))</f>
        <v/>
      </c>
      <c r="CA71" s="110">
        <f>IF(M71="","",IFERROR(M71*HSI!$B$66*HSI!$G$66/HSI!$B$3,""))</f>
        <v/>
      </c>
      <c r="CB71" s="110">
        <f>IF(N71="","",IFERROR(N71*HSI!$B$66*HSI!$G$66/HSI!$B$3,""))</f>
        <v/>
      </c>
      <c r="CC71" s="110">
        <f>IF(O71="","",IFERROR(O71*HSI!$B$66*HSI!$G$66/HSI!$B$3,""))</f>
        <v/>
      </c>
      <c r="CD71" s="110">
        <f>IF(P71="","",IFERROR(P71*HSI!$B$66*HSI!$G$66/HSI!$B$3,""))</f>
        <v/>
      </c>
      <c r="CE71" s="110">
        <f>IF(Q71="","",IFERROR(Q71*HSI!$B$66*HSI!$G$66/HSI!$B$3,""))</f>
        <v/>
      </c>
      <c r="CF71" s="110">
        <f>IF(R71="","",IFERROR(R71*HSI!$B$66*HSI!$G$66/HSI!$B$3,""))</f>
        <v/>
      </c>
      <c r="CG71" s="110">
        <f>IF(S71="","",IFERROR(S71*HSI!$B$66*HSI!$G$66/HSI!$B$3,""))</f>
        <v/>
      </c>
      <c r="CH71" s="110">
        <f>IF(T71="","",IFERROR(T71*HSI!$B$66*HSI!$G$66/HSI!$B$3,""))</f>
        <v/>
      </c>
      <c r="CI71" s="110">
        <f>IF(U71="","",IFERROR(U71*HSI!$B$66*HSI!$G$66/HSI!$B$3,""))</f>
        <v/>
      </c>
      <c r="CJ71" s="110">
        <f>IF(V71="","",IFERROR(V71*HSI!$B$66*HSI!$G$66/HSI!$B$3,""))</f>
        <v/>
      </c>
      <c r="CK71" s="110">
        <f>IF(W71="","",IFERROR(W71*HSI!$B$66*HSI!$G$66/HSI!$B$3,""))</f>
        <v/>
      </c>
      <c r="CL71" s="110">
        <f>IF(X71="","",IFERROR(X71*HSI!$B$66*HSI!$G$66/HSI!$B$3,""))</f>
        <v/>
      </c>
      <c r="CM71" s="110">
        <f>IF(Y71="","",IFERROR(Y71*HSI!$B$66*HSI!$G$66/HSI!$B$3,""))</f>
        <v/>
      </c>
      <c r="CN71" s="110">
        <f>IF(Z71="","",IFERROR(Z71*HSI!$B$66*HSI!$G$66/HSI!$B$3,""))</f>
        <v/>
      </c>
      <c r="CO71" s="110">
        <f>IF(AA71="","",IFERROR(AA71*HSI!$B$66*HSI!$G$66/HSI!$B$3,""))</f>
        <v/>
      </c>
      <c r="CP71" s="110">
        <f>IF(AB71="","",IFERROR(AB71*HSI!$B$66*HSI!$G$66/HSI!$B$3,""))</f>
        <v/>
      </c>
      <c r="CQ71" s="110">
        <f>IF(AC71="","",IFERROR(AC71*HSI!$B$66*HSI!$G$66/HSI!$B$3,""))</f>
        <v/>
      </c>
      <c r="CR71" s="110">
        <f>IF(AD71="","",IFERROR(AD71*HSI!$B$66*HSI!$G$66/HSI!$B$3,""))</f>
        <v/>
      </c>
      <c r="CS71" s="110">
        <f>IF(AE71="","",IFERROR(AE71*HSI!$B$66*HSI!$G$66/HSI!$B$3,""))</f>
        <v/>
      </c>
      <c r="CT71" s="110">
        <f>IF(AF71="","",IFERROR(AF71*HSI!$B$66*HSI!$G$66/HSI!$B$3,""))</f>
        <v/>
      </c>
      <c r="CU71" s="110">
        <f>IF(AG71="","",IFERROR(AG71*HSI!$B$66*HSI!$G$66/HSI!$B$3,""))</f>
        <v/>
      </c>
      <c r="CV71" s="110">
        <f>IF(AH71="","",IFERROR(AH71*HSI!$B$66*HSI!$G$66/HSI!$B$3,""))</f>
        <v/>
      </c>
      <c r="CW71" s="110">
        <f>IF(AI71="","",IFERROR(AI71*HSI!$B$66*HSI!$G$66/HSI!$B$3,""))</f>
        <v/>
      </c>
      <c r="CX71" s="110">
        <f>IF(AJ71="","",IFERROR(AJ71*HSI!$B$66*HSI!$G$66/HSI!$B$3,""))</f>
        <v/>
      </c>
      <c r="CY71" s="110">
        <f>IF(AK71="","",IFERROR(AK71*HSI!$B$66*HSI!$G$66/HSI!$B$3,""))</f>
        <v/>
      </c>
      <c r="CZ71" s="110">
        <f>IF(AL71="","",IFERROR(AL71*HSI!$B$66*HSI!$G$66/HSI!$B$3,""))</f>
        <v/>
      </c>
      <c r="DA71" s="110">
        <f>IF(AM71="","",IFERROR(AM71*HSI!$B$66*HSI!$G$66/HSI!$B$3,""))</f>
        <v/>
      </c>
      <c r="DB71" s="110">
        <f>IF(AN71="","",IFERROR(AN71*HSI!$B$66*HSI!$G$66/HSI!$B$3,""))</f>
        <v/>
      </c>
      <c r="DC71" s="110">
        <f>IF(AO71="","",IFERROR(AO71*HSI!$B$66*HSI!$G$66/HSI!$B$3,""))</f>
        <v/>
      </c>
      <c r="DD71" s="110">
        <f>IF(AP71="","",IFERROR(AP71*HSI!$B$66*HSI!$G$66/HSI!$B$3,""))</f>
        <v/>
      </c>
      <c r="DE71" s="110">
        <f>IF(AQ71="","",IFERROR(AQ71*HSI!$B$66*HSI!$G$66/HSI!$B$3,""))</f>
        <v/>
      </c>
      <c r="DF71" s="110">
        <f>IF(AR71="","",IFERROR(AR71*HSI!$B$66*HSI!$G$66/HSI!$B$3,""))</f>
        <v/>
      </c>
      <c r="DG71" s="110">
        <f>IF(AS71="","",IFERROR(AS71*HSI!$B$66*HSI!$G$66/HSI!$B$3,""))</f>
        <v/>
      </c>
      <c r="DH71" s="110">
        <f>IF(AT71="","",IFERROR(AT71*HSI!$B$66*HSI!$G$66/HSI!$B$3,""))</f>
        <v/>
      </c>
      <c r="DI71" s="110">
        <f>IF(AU71="","",IFERROR(AU71*HSI!$B$66*HSI!$G$66/HSI!$B$3,""))</f>
        <v/>
      </c>
      <c r="DJ71" s="110">
        <f>IF(AV71="","",IFERROR(AV71*HSI!$B$66*HSI!$G$66/HSI!$B$3,""))</f>
        <v/>
      </c>
      <c r="DK71" s="110">
        <f>IF(AW71="","",IFERROR(AW71*HSI!$B$66*HSI!$G$66/HSI!$B$3,""))</f>
        <v/>
      </c>
      <c r="DL71" s="110">
        <f>IF(AX71="","",IFERROR(AX71*HSI!$B$66*HSI!$G$66/HSI!$B$3,""))</f>
        <v/>
      </c>
      <c r="DM71" s="110">
        <f>IF(AY71="","",IFERROR(AY71*HSI!$B$66*HSI!$G$66/HSI!$B$3,""))</f>
        <v/>
      </c>
      <c r="DN71" s="110">
        <f>IF(AZ71="","",IFERROR(AZ71*HSI!$B$66*HSI!$G$66/HSI!$B$3,""))</f>
        <v/>
      </c>
      <c r="DO71" s="110">
        <f>IF(BA71="","",IFERROR(BA71*HSI!$B$66*HSI!$G$66/HSI!$B$3,""))</f>
        <v/>
      </c>
      <c r="DP71" s="110">
        <f>IF(BB71="","",IFERROR(BB71*HSI!$B$66*HSI!$G$66/HSI!$B$3,""))</f>
        <v/>
      </c>
      <c r="DQ71" s="110">
        <f>IF(BC71="","",IFERROR(BC71*HSI!$B$66*HSI!$G$66/HSI!$B$3,""))</f>
        <v/>
      </c>
      <c r="DR71" s="110">
        <f>IF(BD71="","",IFERROR(BD71*HSI!$B$66*HSI!$G$66/HSI!$B$3,""))</f>
        <v/>
      </c>
      <c r="DS71" s="110">
        <f>IF(BE71="","",IFERROR(BE71*HSI!$B$66*HSI!$G$66/HSI!$B$3,""))</f>
        <v/>
      </c>
      <c r="DT71" s="110">
        <f>IF(BF71="","",IFERROR(BF71*HSI!$B$66*HSI!$G$66/HSI!$B$3,""))</f>
        <v/>
      </c>
      <c r="DU71" s="110">
        <f>IF(BG71="","",IFERROR(BG71*HSI!$B$66*HSI!$G$66/HSI!$B$3,""))</f>
        <v/>
      </c>
      <c r="DV71" s="110">
        <f>IF(BH71="","",IFERROR(BH71*HSI!$B$66*HSI!$G$66/HSI!$B$3,""))</f>
        <v/>
      </c>
      <c r="DW71" s="110">
        <f>IF(BI71="","",IFERROR(BI71*HSI!$B$66*HSI!$G$66/HSI!$B$3,""))</f>
        <v/>
      </c>
      <c r="DX71" s="110">
        <f>IF(BJ71="","",IFERROR(BJ71*HSI!$B$66*HSI!$G$66/HSI!$B$3,""))</f>
        <v/>
      </c>
      <c r="DY71" s="110">
        <f>IF(BK71="","",IFERROR(BK71*HSI!$B$66*HSI!$G$66/HSI!$B$3,""))</f>
        <v/>
      </c>
      <c r="DZ71" s="110">
        <f>IF(BL71="","",IFERROR(BL71*HSI!$B$66*HSI!$G$66/HSI!$B$3,""))</f>
        <v/>
      </c>
      <c r="EA71" s="110">
        <f>IF(BM71="","",IFERROR(BM71*HSI!$B$66*HSI!$G$66/HSI!$B$3,""))</f>
        <v/>
      </c>
      <c r="EB71" s="110">
        <f>IF(BN71="","",IFERROR(BN71*HSI!$B$66*HSI!$G$66/HSI!$B$3,""))</f>
        <v/>
      </c>
      <c r="EC71" s="110">
        <f>IF(BO71="","",IFERROR(BO71*HSI!$B$66*HSI!$G$66/HSI!$B$3,""))</f>
        <v/>
      </c>
      <c r="EE71" s="39">
        <f>IF(N('Dvd Calendar'!$E$660)=0,"",IF(('Dvd Calendar'!$E$660&gt;=GRID_FROM)*('Dvd Calendar'!$E$660&lt;=GRID_TO)*((('Dvd Calendar'!$E$660&lt;=VAL_DATE)+(COUNTIF('Dvd Calendar'!$E$667:$AR$667,'Dvd Calendar'!$E$660)=0))&gt;0)=0,"",'Dvd Calendar'!$E$660*1000000000+ISNUMBER('Dvd Calendar'!$E$663)*100000000+('Dvd Calendar'!$E$665=SPECIAL_LBL)*10000000+(N('Dvd Calendar'!$E$659)&gt;0)*(N('Dvd Calendar'!$E$659)&lt;=VAL_SERIAL)*1000000+60*1000+1))</f>
        <v/>
      </c>
      <c r="EF71" s="39">
        <f>IF(N('Dvd Calendar'!$F$660)=0,"",IF(('Dvd Calendar'!$F$660&gt;=GRID_FROM)*('Dvd Calendar'!$F$660&lt;=GRID_TO)*((('Dvd Calendar'!$F$660&lt;=VAL_DATE)+(COUNTIF('Dvd Calendar'!$E$667:$AR$667,'Dvd Calendar'!$F$660)=0))&gt;0)=0,"",'Dvd Calendar'!$F$660*1000000000+ISNUMBER('Dvd Calendar'!$F$663)*100000000+('Dvd Calendar'!$F$665=SPECIAL_LBL)*10000000+(N('Dvd Calendar'!$F$659)&gt;0)*(N('Dvd Calendar'!$F$659)&lt;=VAL_SERIAL)*1000000+60*1000+2))</f>
        <v/>
      </c>
      <c r="EG71" s="39">
        <f>IF(N('Dvd Calendar'!$G$660)=0,"",IF(('Dvd Calendar'!$G$660&gt;=GRID_FROM)*('Dvd Calendar'!$G$660&lt;=GRID_TO)*((('Dvd Calendar'!$G$660&lt;=VAL_DATE)+(COUNTIF('Dvd Calendar'!$E$667:$AR$667,'Dvd Calendar'!$G$660)=0))&gt;0)=0,"",'Dvd Calendar'!$G$660*1000000000+ISNUMBER('Dvd Calendar'!$G$663)*100000000+('Dvd Calendar'!$G$665=SPECIAL_LBL)*10000000+(N('Dvd Calendar'!$G$659)&gt;0)*(N('Dvd Calendar'!$G$659)&lt;=VAL_SERIAL)*1000000+60*1000+3))</f>
        <v/>
      </c>
      <c r="EH71" s="39">
        <f>IF(N('Dvd Calendar'!$H$660)=0,"",IF(('Dvd Calendar'!$H$660&gt;=GRID_FROM)*('Dvd Calendar'!$H$660&lt;=GRID_TO)*((('Dvd Calendar'!$H$660&lt;=VAL_DATE)+(COUNTIF('Dvd Calendar'!$E$667:$AR$667,'Dvd Calendar'!$H$660)=0))&gt;0)=0,"",'Dvd Calendar'!$H$660*1000000000+ISNUMBER('Dvd Calendar'!$H$663)*100000000+('Dvd Calendar'!$H$665=SPECIAL_LBL)*10000000+(N('Dvd Calendar'!$H$659)&gt;0)*(N('Dvd Calendar'!$H$659)&lt;=VAL_SERIAL)*1000000+60*1000+4))</f>
        <v/>
      </c>
      <c r="EI71" s="39">
        <f>IF(N('Dvd Calendar'!$I$660)=0,"",IF(('Dvd Calendar'!$I$660&gt;=GRID_FROM)*('Dvd Calendar'!$I$660&lt;=GRID_TO)*((('Dvd Calendar'!$I$660&lt;=VAL_DATE)+(COUNTIF('Dvd Calendar'!$E$667:$AR$667,'Dvd Calendar'!$I$660)=0))&gt;0)=0,"",'Dvd Calendar'!$I$660*1000000000+ISNUMBER('Dvd Calendar'!$I$663)*100000000+('Dvd Calendar'!$I$665=SPECIAL_LBL)*10000000+(N('Dvd Calendar'!$I$659)&gt;0)*(N('Dvd Calendar'!$I$659)&lt;=VAL_SERIAL)*1000000+60*1000+5))</f>
        <v/>
      </c>
      <c r="EJ71" s="39">
        <f>IF(N('Dvd Calendar'!$J$660)=0,"",IF(('Dvd Calendar'!$J$660&gt;=GRID_FROM)*('Dvd Calendar'!$J$660&lt;=GRID_TO)*((('Dvd Calendar'!$J$660&lt;=VAL_DATE)+(COUNTIF('Dvd Calendar'!$E$667:$AR$667,'Dvd Calendar'!$J$660)=0))&gt;0)=0,"",'Dvd Calendar'!$J$660*1000000000+ISNUMBER('Dvd Calendar'!$J$663)*100000000+('Dvd Calendar'!$J$665=SPECIAL_LBL)*10000000+(N('Dvd Calendar'!$J$659)&gt;0)*(N('Dvd Calendar'!$J$659)&lt;=VAL_SERIAL)*1000000+60*1000+6))</f>
        <v/>
      </c>
      <c r="EK71" s="39">
        <f>IF(N('Dvd Calendar'!$K$660)=0,"",IF(('Dvd Calendar'!$K$660&gt;=GRID_FROM)*('Dvd Calendar'!$K$660&lt;=GRID_TO)*((('Dvd Calendar'!$K$660&lt;=VAL_DATE)+(COUNTIF('Dvd Calendar'!$E$667:$AR$667,'Dvd Calendar'!$K$660)=0))&gt;0)=0,"",'Dvd Calendar'!$K$660*1000000000+ISNUMBER('Dvd Calendar'!$K$663)*100000000+('Dvd Calendar'!$K$665=SPECIAL_LBL)*10000000+(N('Dvd Calendar'!$K$659)&gt;0)*(N('Dvd Calendar'!$K$659)&lt;=VAL_SERIAL)*1000000+60*1000+7))</f>
        <v/>
      </c>
      <c r="EL71" s="39">
        <f>IF(N('Dvd Calendar'!$L$660)=0,"",IF(('Dvd Calendar'!$L$660&gt;=GRID_FROM)*('Dvd Calendar'!$L$660&lt;=GRID_TO)*((('Dvd Calendar'!$L$660&lt;=VAL_DATE)+(COUNTIF('Dvd Calendar'!$E$667:$AR$667,'Dvd Calendar'!$L$660)=0))&gt;0)=0,"",'Dvd Calendar'!$L$660*1000000000+ISNUMBER('Dvd Calendar'!$L$663)*100000000+('Dvd Calendar'!$L$665=SPECIAL_LBL)*10000000+(N('Dvd Calendar'!$L$659)&gt;0)*(N('Dvd Calendar'!$L$659)&lt;=VAL_SERIAL)*1000000+60*1000+8))</f>
        <v/>
      </c>
      <c r="EM71" s="39">
        <f>IF(N('Dvd Calendar'!$M$660)=0,"",IF(('Dvd Calendar'!$M$660&gt;=GRID_FROM)*('Dvd Calendar'!$M$660&lt;=GRID_TO)*((('Dvd Calendar'!$M$660&lt;=VAL_DATE)+(COUNTIF('Dvd Calendar'!$E$667:$AR$667,'Dvd Calendar'!$M$660)=0))&gt;0)=0,"",'Dvd Calendar'!$M$660*1000000000+ISNUMBER('Dvd Calendar'!$M$663)*100000000+('Dvd Calendar'!$M$665=SPECIAL_LBL)*10000000+(N('Dvd Calendar'!$M$659)&gt;0)*(N('Dvd Calendar'!$M$659)&lt;=VAL_SERIAL)*1000000+60*1000+9))</f>
        <v/>
      </c>
      <c r="EN71" s="39">
        <f>IF(N('Dvd Calendar'!$N$660)=0,"",IF(('Dvd Calendar'!$N$660&gt;=GRID_FROM)*('Dvd Calendar'!$N$660&lt;=GRID_TO)*((('Dvd Calendar'!$N$660&lt;=VAL_DATE)+(COUNTIF('Dvd Calendar'!$E$667:$AR$667,'Dvd Calendar'!$N$660)=0))&gt;0)=0,"",'Dvd Calendar'!$N$660*1000000000+ISNUMBER('Dvd Calendar'!$N$663)*100000000+('Dvd Calendar'!$N$665=SPECIAL_LBL)*10000000+(N('Dvd Calendar'!$N$659)&gt;0)*(N('Dvd Calendar'!$N$659)&lt;=VAL_SERIAL)*1000000+60*1000+10))</f>
        <v/>
      </c>
      <c r="EO71" s="39">
        <f>IF(N('Dvd Calendar'!$O$660)=0,"",IF(('Dvd Calendar'!$O$660&gt;=GRID_FROM)*('Dvd Calendar'!$O$660&lt;=GRID_TO)*((('Dvd Calendar'!$O$660&lt;=VAL_DATE)+(COUNTIF('Dvd Calendar'!$E$667:$AR$667,'Dvd Calendar'!$O$660)=0))&gt;0)=0,"",'Dvd Calendar'!$O$660*1000000000+ISNUMBER('Dvd Calendar'!$O$663)*100000000+('Dvd Calendar'!$O$665=SPECIAL_LBL)*10000000+(N('Dvd Calendar'!$O$659)&gt;0)*(N('Dvd Calendar'!$O$659)&lt;=VAL_SERIAL)*1000000+60*1000+11))</f>
        <v/>
      </c>
      <c r="EP71" s="39">
        <f>IF(N('Dvd Calendar'!$P$660)=0,"",IF(('Dvd Calendar'!$P$660&gt;=GRID_FROM)*('Dvd Calendar'!$P$660&lt;=GRID_TO)*((('Dvd Calendar'!$P$660&lt;=VAL_DATE)+(COUNTIF('Dvd Calendar'!$E$667:$AR$667,'Dvd Calendar'!$P$660)=0))&gt;0)=0,"",'Dvd Calendar'!$P$660*1000000000+ISNUMBER('Dvd Calendar'!$P$663)*100000000+('Dvd Calendar'!$P$665=SPECIAL_LBL)*10000000+(N('Dvd Calendar'!$P$659)&gt;0)*(N('Dvd Calendar'!$P$659)&lt;=VAL_SERIAL)*1000000+60*1000+12))</f>
        <v/>
      </c>
      <c r="EQ71" s="39">
        <f>IF(N('Dvd Calendar'!$Q$660)=0,"",IF(('Dvd Calendar'!$Q$660&gt;=GRID_FROM)*('Dvd Calendar'!$Q$660&lt;=GRID_TO)*((('Dvd Calendar'!$Q$660&lt;=VAL_DATE)+(COUNTIF('Dvd Calendar'!$E$667:$AR$667,'Dvd Calendar'!$Q$660)=0))&gt;0)=0,"",'Dvd Calendar'!$Q$660*1000000000+ISNUMBER('Dvd Calendar'!$Q$663)*100000000+('Dvd Calendar'!$Q$665=SPECIAL_LBL)*10000000+(N('Dvd Calendar'!$Q$659)&gt;0)*(N('Dvd Calendar'!$Q$659)&lt;=VAL_SERIAL)*1000000+60*1000+13))</f>
        <v/>
      </c>
      <c r="ER71" s="39">
        <f>IF(N('Dvd Calendar'!$R$660)=0,"",IF(('Dvd Calendar'!$R$660&gt;=GRID_FROM)*('Dvd Calendar'!$R$660&lt;=GRID_TO)*((('Dvd Calendar'!$R$660&lt;=VAL_DATE)+(COUNTIF('Dvd Calendar'!$E$667:$AR$667,'Dvd Calendar'!$R$660)=0))&gt;0)=0,"",'Dvd Calendar'!$R$660*1000000000+ISNUMBER('Dvd Calendar'!$R$663)*100000000+('Dvd Calendar'!$R$665=SPECIAL_LBL)*10000000+(N('Dvd Calendar'!$R$659)&gt;0)*(N('Dvd Calendar'!$R$659)&lt;=VAL_SERIAL)*1000000+60*1000+14))</f>
        <v/>
      </c>
      <c r="ES71" s="39">
        <f>IF(N('Dvd Calendar'!$S$660)=0,"",IF(('Dvd Calendar'!$S$660&gt;=GRID_FROM)*('Dvd Calendar'!$S$660&lt;=GRID_TO)*((('Dvd Calendar'!$S$660&lt;=VAL_DATE)+(COUNTIF('Dvd Calendar'!$E$667:$AR$667,'Dvd Calendar'!$S$660)=0))&gt;0)=0,"",'Dvd Calendar'!$S$660*1000000000+ISNUMBER('Dvd Calendar'!$S$663)*100000000+('Dvd Calendar'!$S$665=SPECIAL_LBL)*10000000+(N('Dvd Calendar'!$S$659)&gt;0)*(N('Dvd Calendar'!$S$659)&lt;=VAL_SERIAL)*1000000+60*1000+15))</f>
        <v/>
      </c>
      <c r="ET71" s="39">
        <f>IF(N('Dvd Calendar'!$T$660)=0,"",IF(('Dvd Calendar'!$T$660&gt;=GRID_FROM)*('Dvd Calendar'!$T$660&lt;=GRID_TO)*((('Dvd Calendar'!$T$660&lt;=VAL_DATE)+(COUNTIF('Dvd Calendar'!$E$667:$AR$667,'Dvd Calendar'!$T$660)=0))&gt;0)=0,"",'Dvd Calendar'!$T$660*1000000000+ISNUMBER('Dvd Calendar'!$T$663)*100000000+('Dvd Calendar'!$T$665=SPECIAL_LBL)*10000000+(N('Dvd Calendar'!$T$659)&gt;0)*(N('Dvd Calendar'!$T$659)&lt;=VAL_SERIAL)*1000000+60*1000+16))</f>
        <v/>
      </c>
      <c r="EU71" s="39">
        <f>IF(N('Dvd Calendar'!$U$660)=0,"",IF(('Dvd Calendar'!$U$660&gt;=GRID_FROM)*('Dvd Calendar'!$U$660&lt;=GRID_TO)*((('Dvd Calendar'!$U$660&lt;=VAL_DATE)+(COUNTIF('Dvd Calendar'!$E$667:$AR$667,'Dvd Calendar'!$U$660)=0))&gt;0)=0,"",'Dvd Calendar'!$U$660*1000000000+ISNUMBER('Dvd Calendar'!$U$663)*100000000+('Dvd Calendar'!$U$665=SPECIAL_LBL)*10000000+(N('Dvd Calendar'!$U$659)&gt;0)*(N('Dvd Calendar'!$U$659)&lt;=VAL_SERIAL)*1000000+60*1000+17))</f>
        <v/>
      </c>
      <c r="EV71" s="39">
        <f>IF(N('Dvd Calendar'!$V$660)=0,"",IF(('Dvd Calendar'!$V$660&gt;=GRID_FROM)*('Dvd Calendar'!$V$660&lt;=GRID_TO)*((('Dvd Calendar'!$V$660&lt;=VAL_DATE)+(COUNTIF('Dvd Calendar'!$E$667:$AR$667,'Dvd Calendar'!$V$660)=0))&gt;0)=0,"",'Dvd Calendar'!$V$660*1000000000+ISNUMBER('Dvd Calendar'!$V$663)*100000000+('Dvd Calendar'!$V$665=SPECIAL_LBL)*10000000+(N('Dvd Calendar'!$V$659)&gt;0)*(N('Dvd Calendar'!$V$659)&lt;=VAL_SERIAL)*1000000+60*1000+18))</f>
        <v/>
      </c>
      <c r="EW71" s="39">
        <f>IF(N('Dvd Calendar'!$W$660)=0,"",IF(('Dvd Calendar'!$W$660&gt;=GRID_FROM)*('Dvd Calendar'!$W$660&lt;=GRID_TO)*((('Dvd Calendar'!$W$660&lt;=VAL_DATE)+(COUNTIF('Dvd Calendar'!$E$667:$AR$667,'Dvd Calendar'!$W$660)=0))&gt;0)=0,"",'Dvd Calendar'!$W$660*1000000000+ISNUMBER('Dvd Calendar'!$W$663)*100000000+('Dvd Calendar'!$W$665=SPECIAL_LBL)*10000000+(N('Dvd Calendar'!$W$659)&gt;0)*(N('Dvd Calendar'!$W$659)&lt;=VAL_SERIAL)*1000000+60*1000+19))</f>
        <v/>
      </c>
      <c r="EX71" s="39">
        <f>IF(N('Dvd Calendar'!$X$660)=0,"",IF(('Dvd Calendar'!$X$660&gt;=GRID_FROM)*('Dvd Calendar'!$X$660&lt;=GRID_TO)*((('Dvd Calendar'!$X$660&lt;=VAL_DATE)+(COUNTIF('Dvd Calendar'!$E$667:$AR$667,'Dvd Calendar'!$X$660)=0))&gt;0)=0,"",'Dvd Calendar'!$X$660*1000000000+ISNUMBER('Dvd Calendar'!$X$663)*100000000+('Dvd Calendar'!$X$665=SPECIAL_LBL)*10000000+(N('Dvd Calendar'!$X$659)&gt;0)*(N('Dvd Calendar'!$X$659)&lt;=VAL_SERIAL)*1000000+60*1000+20))</f>
        <v/>
      </c>
      <c r="EY71" s="39">
        <f>IF(N('Dvd Calendar'!$Y$660)=0,"",IF(('Dvd Calendar'!$Y$660&gt;=GRID_FROM)*('Dvd Calendar'!$Y$660&lt;=GRID_TO)*((('Dvd Calendar'!$Y$660&lt;=VAL_DATE)+(COUNTIF('Dvd Calendar'!$E$667:$AR$667,'Dvd Calendar'!$Y$660)=0))&gt;0)=0,"",'Dvd Calendar'!$Y$660*1000000000+ISNUMBER('Dvd Calendar'!$Y$663)*100000000+('Dvd Calendar'!$Y$665=SPECIAL_LBL)*10000000+(N('Dvd Calendar'!$Y$659)&gt;0)*(N('Dvd Calendar'!$Y$659)&lt;=VAL_SERIAL)*1000000+60*1000+21))</f>
        <v/>
      </c>
      <c r="EZ71" s="39">
        <f>IF(N('Dvd Calendar'!$Z$660)=0,"",IF(('Dvd Calendar'!$Z$660&gt;=GRID_FROM)*('Dvd Calendar'!$Z$660&lt;=GRID_TO)*((('Dvd Calendar'!$Z$660&lt;=VAL_DATE)+(COUNTIF('Dvd Calendar'!$E$667:$AR$667,'Dvd Calendar'!$Z$660)=0))&gt;0)=0,"",'Dvd Calendar'!$Z$660*1000000000+ISNUMBER('Dvd Calendar'!$Z$663)*100000000+('Dvd Calendar'!$Z$665=SPECIAL_LBL)*10000000+(N('Dvd Calendar'!$Z$659)&gt;0)*(N('Dvd Calendar'!$Z$659)&lt;=VAL_SERIAL)*1000000+60*1000+22))</f>
        <v/>
      </c>
      <c r="FA71" s="39">
        <f>IF(N('Dvd Calendar'!$AA$660)=0,"",IF(('Dvd Calendar'!$AA$660&gt;=GRID_FROM)*('Dvd Calendar'!$AA$660&lt;=GRID_TO)*((('Dvd Calendar'!$AA$660&lt;=VAL_DATE)+(COUNTIF('Dvd Calendar'!$E$667:$AR$667,'Dvd Calendar'!$AA$660)=0))&gt;0)=0,"",'Dvd Calendar'!$AA$660*1000000000+ISNUMBER('Dvd Calendar'!$AA$663)*100000000+('Dvd Calendar'!$AA$665=SPECIAL_LBL)*10000000+(N('Dvd Calendar'!$AA$659)&gt;0)*(N('Dvd Calendar'!$AA$659)&lt;=VAL_SERIAL)*1000000+60*1000+23))</f>
        <v/>
      </c>
      <c r="FB71" s="39">
        <f>IF(N('Dvd Calendar'!$AB$660)=0,"",IF(('Dvd Calendar'!$AB$660&gt;=GRID_FROM)*('Dvd Calendar'!$AB$660&lt;=GRID_TO)*((('Dvd Calendar'!$AB$660&lt;=VAL_DATE)+(COUNTIF('Dvd Calendar'!$E$667:$AR$667,'Dvd Calendar'!$AB$660)=0))&gt;0)=0,"",'Dvd Calendar'!$AB$660*1000000000+ISNUMBER('Dvd Calendar'!$AB$663)*100000000+('Dvd Calendar'!$AB$665=SPECIAL_LBL)*10000000+(N('Dvd Calendar'!$AB$659)&gt;0)*(N('Dvd Calendar'!$AB$659)&lt;=VAL_SERIAL)*1000000+60*1000+24))</f>
        <v/>
      </c>
      <c r="FC71" s="39">
        <f>IF(N('Dvd Calendar'!$AC$660)=0,"",IF(('Dvd Calendar'!$AC$660&gt;=GRID_FROM)*('Dvd Calendar'!$AC$660&lt;=GRID_TO)*((('Dvd Calendar'!$AC$660&lt;=VAL_DATE)+(COUNTIF('Dvd Calendar'!$E$667:$AR$667,'Dvd Calendar'!$AC$660)=0))&gt;0)=0,"",'Dvd Calendar'!$AC$660*1000000000+ISNUMBER('Dvd Calendar'!$AC$663)*100000000+('Dvd Calendar'!$AC$665=SPECIAL_LBL)*10000000+(N('Dvd Calendar'!$AC$659)&gt;0)*(N('Dvd Calendar'!$AC$659)&lt;=VAL_SERIAL)*1000000+60*1000+25))</f>
        <v/>
      </c>
      <c r="FD71" s="39">
        <f>IF(N('Dvd Calendar'!$AD$660)=0,"",IF(('Dvd Calendar'!$AD$660&gt;=GRID_FROM)*('Dvd Calendar'!$AD$660&lt;=GRID_TO)*((('Dvd Calendar'!$AD$660&lt;=VAL_DATE)+(COUNTIF('Dvd Calendar'!$E$667:$AR$667,'Dvd Calendar'!$AD$660)=0))&gt;0)=0,"",'Dvd Calendar'!$AD$660*1000000000+ISNUMBER('Dvd Calendar'!$AD$663)*100000000+('Dvd Calendar'!$AD$665=SPECIAL_LBL)*10000000+(N('Dvd Calendar'!$AD$659)&gt;0)*(N('Dvd Calendar'!$AD$659)&lt;=VAL_SERIAL)*1000000+60*1000+26))</f>
        <v/>
      </c>
      <c r="FE71" s="39">
        <f>IF(N('Dvd Calendar'!$AE$660)=0,"",IF(('Dvd Calendar'!$AE$660&gt;=GRID_FROM)*('Dvd Calendar'!$AE$660&lt;=GRID_TO)*((('Dvd Calendar'!$AE$660&lt;=VAL_DATE)+(COUNTIF('Dvd Calendar'!$E$667:$AR$667,'Dvd Calendar'!$AE$660)=0))&gt;0)=0,"",'Dvd Calendar'!$AE$660*1000000000+ISNUMBER('Dvd Calendar'!$AE$663)*100000000+('Dvd Calendar'!$AE$665=SPECIAL_LBL)*10000000+(N('Dvd Calendar'!$AE$659)&gt;0)*(N('Dvd Calendar'!$AE$659)&lt;=VAL_SERIAL)*1000000+60*1000+27))</f>
        <v/>
      </c>
      <c r="FF71" s="39">
        <f>IF(N('Dvd Calendar'!$AF$660)=0,"",IF(('Dvd Calendar'!$AF$660&gt;=GRID_FROM)*('Dvd Calendar'!$AF$660&lt;=GRID_TO)*((('Dvd Calendar'!$AF$660&lt;=VAL_DATE)+(COUNTIF('Dvd Calendar'!$E$667:$AR$667,'Dvd Calendar'!$AF$660)=0))&gt;0)=0,"",'Dvd Calendar'!$AF$660*1000000000+ISNUMBER('Dvd Calendar'!$AF$663)*100000000+('Dvd Calendar'!$AF$665=SPECIAL_LBL)*10000000+(N('Dvd Calendar'!$AF$659)&gt;0)*(N('Dvd Calendar'!$AF$659)&lt;=VAL_SERIAL)*1000000+60*1000+28))</f>
        <v/>
      </c>
      <c r="FG71" s="39">
        <f>IF(N('Dvd Calendar'!$AG$660)=0,"",IF(('Dvd Calendar'!$AG$660&gt;=GRID_FROM)*('Dvd Calendar'!$AG$660&lt;=GRID_TO)*((('Dvd Calendar'!$AG$660&lt;=VAL_DATE)+(COUNTIF('Dvd Calendar'!$E$667:$AR$667,'Dvd Calendar'!$AG$660)=0))&gt;0)=0,"",'Dvd Calendar'!$AG$660*1000000000+ISNUMBER('Dvd Calendar'!$AG$663)*100000000+('Dvd Calendar'!$AG$665=SPECIAL_LBL)*10000000+(N('Dvd Calendar'!$AG$659)&gt;0)*(N('Dvd Calendar'!$AG$659)&lt;=VAL_SERIAL)*1000000+60*1000+29))</f>
        <v/>
      </c>
      <c r="FH71" s="39">
        <f>IF(N('Dvd Calendar'!$AH$660)=0,"",IF(('Dvd Calendar'!$AH$660&gt;=GRID_FROM)*('Dvd Calendar'!$AH$660&lt;=GRID_TO)*((('Dvd Calendar'!$AH$660&lt;=VAL_DATE)+(COUNTIF('Dvd Calendar'!$E$667:$AR$667,'Dvd Calendar'!$AH$660)=0))&gt;0)=0,"",'Dvd Calendar'!$AH$660*1000000000+ISNUMBER('Dvd Calendar'!$AH$663)*100000000+('Dvd Calendar'!$AH$665=SPECIAL_LBL)*10000000+(N('Dvd Calendar'!$AH$659)&gt;0)*(N('Dvd Calendar'!$AH$659)&lt;=VAL_SERIAL)*1000000+60*1000+30))</f>
        <v/>
      </c>
      <c r="FI71" s="39">
        <f>IF(N('Dvd Calendar'!$AI$660)=0,"",IF(('Dvd Calendar'!$AI$660&gt;=GRID_FROM)*('Dvd Calendar'!$AI$660&lt;=GRID_TO)*((('Dvd Calendar'!$AI$660&lt;=VAL_DATE)+(COUNTIF('Dvd Calendar'!$E$667:$AR$667,'Dvd Calendar'!$AI$660)=0))&gt;0)=0,"",'Dvd Calendar'!$AI$660*1000000000+ISNUMBER('Dvd Calendar'!$AI$663)*100000000+('Dvd Calendar'!$AI$665=SPECIAL_LBL)*10000000+(N('Dvd Calendar'!$AI$659)&gt;0)*(N('Dvd Calendar'!$AI$659)&lt;=VAL_SERIAL)*1000000+60*1000+31))</f>
        <v/>
      </c>
      <c r="FJ71" s="39">
        <f>IF(N('Dvd Calendar'!$AJ$660)=0,"",IF(('Dvd Calendar'!$AJ$660&gt;=GRID_FROM)*('Dvd Calendar'!$AJ$660&lt;=GRID_TO)*((('Dvd Calendar'!$AJ$660&lt;=VAL_DATE)+(COUNTIF('Dvd Calendar'!$E$667:$AR$667,'Dvd Calendar'!$AJ$660)=0))&gt;0)=0,"",'Dvd Calendar'!$AJ$660*1000000000+ISNUMBER('Dvd Calendar'!$AJ$663)*100000000+('Dvd Calendar'!$AJ$665=SPECIAL_LBL)*10000000+(N('Dvd Calendar'!$AJ$659)&gt;0)*(N('Dvd Calendar'!$AJ$659)&lt;=VAL_SERIAL)*1000000+60*1000+32))</f>
        <v/>
      </c>
      <c r="FK71" s="39">
        <f>IF(N('Dvd Calendar'!$AK$660)=0,"",IF(('Dvd Calendar'!$AK$660&gt;=GRID_FROM)*('Dvd Calendar'!$AK$660&lt;=GRID_TO)*((('Dvd Calendar'!$AK$660&lt;=VAL_DATE)+(COUNTIF('Dvd Calendar'!$E$667:$AR$667,'Dvd Calendar'!$AK$660)=0))&gt;0)=0,"",'Dvd Calendar'!$AK$660*1000000000+ISNUMBER('Dvd Calendar'!$AK$663)*100000000+('Dvd Calendar'!$AK$665=SPECIAL_LBL)*10000000+(N('Dvd Calendar'!$AK$659)&gt;0)*(N('Dvd Calendar'!$AK$659)&lt;=VAL_SERIAL)*1000000+60*1000+33))</f>
        <v/>
      </c>
      <c r="FL71" s="39">
        <f>IF(N('Dvd Calendar'!$AL$660)=0,"",IF(('Dvd Calendar'!$AL$660&gt;=GRID_FROM)*('Dvd Calendar'!$AL$660&lt;=GRID_TO)*((('Dvd Calendar'!$AL$660&lt;=VAL_DATE)+(COUNTIF('Dvd Calendar'!$E$667:$AR$667,'Dvd Calendar'!$AL$660)=0))&gt;0)=0,"",'Dvd Calendar'!$AL$660*1000000000+ISNUMBER('Dvd Calendar'!$AL$663)*100000000+('Dvd Calendar'!$AL$665=SPECIAL_LBL)*10000000+(N('Dvd Calendar'!$AL$659)&gt;0)*(N('Dvd Calendar'!$AL$659)&lt;=VAL_SERIAL)*1000000+60*1000+34))</f>
        <v/>
      </c>
      <c r="FM71" s="39">
        <f>IF(N('Dvd Calendar'!$AM$660)=0,"",IF(('Dvd Calendar'!$AM$660&gt;=GRID_FROM)*('Dvd Calendar'!$AM$660&lt;=GRID_TO)*((('Dvd Calendar'!$AM$660&lt;=VAL_DATE)+(COUNTIF('Dvd Calendar'!$E$667:$AR$667,'Dvd Calendar'!$AM$660)=0))&gt;0)=0,"",'Dvd Calendar'!$AM$660*1000000000+ISNUMBER('Dvd Calendar'!$AM$663)*100000000+('Dvd Calendar'!$AM$665=SPECIAL_LBL)*10000000+(N('Dvd Calendar'!$AM$659)&gt;0)*(N('Dvd Calendar'!$AM$659)&lt;=VAL_SERIAL)*1000000+60*1000+35))</f>
        <v/>
      </c>
      <c r="FN71" s="39">
        <f>IF(N('Dvd Calendar'!$AN$660)=0,"",IF(('Dvd Calendar'!$AN$660&gt;=GRID_FROM)*('Dvd Calendar'!$AN$660&lt;=GRID_TO)*((('Dvd Calendar'!$AN$660&lt;=VAL_DATE)+(COUNTIF('Dvd Calendar'!$E$667:$AR$667,'Dvd Calendar'!$AN$660)=0))&gt;0)=0,"",'Dvd Calendar'!$AN$660*1000000000+ISNUMBER('Dvd Calendar'!$AN$663)*100000000+('Dvd Calendar'!$AN$665=SPECIAL_LBL)*10000000+(N('Dvd Calendar'!$AN$659)&gt;0)*(N('Dvd Calendar'!$AN$659)&lt;=VAL_SERIAL)*1000000+60*1000+36))</f>
        <v/>
      </c>
      <c r="FO71" s="39">
        <f>IF(N('Dvd Calendar'!$AO$660)=0,"",IF(('Dvd Calendar'!$AO$660&gt;=GRID_FROM)*('Dvd Calendar'!$AO$660&lt;=GRID_TO)*((('Dvd Calendar'!$AO$660&lt;=VAL_DATE)+(COUNTIF('Dvd Calendar'!$E$667:$AR$667,'Dvd Calendar'!$AO$660)=0))&gt;0)=0,"",'Dvd Calendar'!$AO$660*1000000000+ISNUMBER('Dvd Calendar'!$AO$663)*100000000+('Dvd Calendar'!$AO$665=SPECIAL_LBL)*10000000+(N('Dvd Calendar'!$AO$659)&gt;0)*(N('Dvd Calendar'!$AO$659)&lt;=VAL_SERIAL)*1000000+60*1000+37))</f>
        <v/>
      </c>
      <c r="FP71" s="39">
        <f>IF(N('Dvd Calendar'!$AP$660)=0,"",IF(('Dvd Calendar'!$AP$660&gt;=GRID_FROM)*('Dvd Calendar'!$AP$660&lt;=GRID_TO)*((('Dvd Calendar'!$AP$660&lt;=VAL_DATE)+(COUNTIF('Dvd Calendar'!$E$667:$AR$667,'Dvd Calendar'!$AP$660)=0))&gt;0)=0,"",'Dvd Calendar'!$AP$660*1000000000+ISNUMBER('Dvd Calendar'!$AP$663)*100000000+('Dvd Calendar'!$AP$665=SPECIAL_LBL)*10000000+(N('Dvd Calendar'!$AP$659)&gt;0)*(N('Dvd Calendar'!$AP$659)&lt;=VAL_SERIAL)*1000000+60*1000+38))</f>
        <v/>
      </c>
      <c r="FQ71" s="39">
        <f>IF(N('Dvd Calendar'!$AQ$660)=0,"",IF(('Dvd Calendar'!$AQ$660&gt;=GRID_FROM)*('Dvd Calendar'!$AQ$660&lt;=GRID_TO)*((('Dvd Calendar'!$AQ$660&lt;=VAL_DATE)+(COUNTIF('Dvd Calendar'!$E$667:$AR$667,'Dvd Calendar'!$AQ$660)=0))&gt;0)=0,"",'Dvd Calendar'!$AQ$660*1000000000+ISNUMBER('Dvd Calendar'!$AQ$663)*100000000+('Dvd Calendar'!$AQ$665=SPECIAL_LBL)*10000000+(N('Dvd Calendar'!$AQ$659)&gt;0)*(N('Dvd Calendar'!$AQ$659)&lt;=VAL_SERIAL)*1000000+60*1000+39))</f>
        <v/>
      </c>
      <c r="FR71" s="39">
        <f>IF(N('Dvd Calendar'!$AR$660)=0,"",IF(('Dvd Calendar'!$AR$660&gt;=GRID_FROM)*('Dvd Calendar'!$AR$660&lt;=GRID_TO)*((('Dvd Calendar'!$AR$660&lt;=VAL_DATE)+(COUNTIF('Dvd Calendar'!$E$667:$AR$667,'Dvd Calendar'!$AR$660)=0))&gt;0)=0,"",'Dvd Calendar'!$AR$660*1000000000+ISNUMBER('Dvd Calendar'!$AR$663)*100000000+('Dvd Calendar'!$AR$665=SPECIAL_LBL)*10000000+(N('Dvd Calendar'!$AR$659)&gt;0)*(N('Dvd Calendar'!$AR$659)&lt;=VAL_SERIAL)*1000000+60*1000+40))</f>
        <v/>
      </c>
      <c r="FS71" s="39">
        <f>IF(N('Dvd Calendar'!$E$667)=0,"",IF(('Dvd Calendar'!$E$667&gt;=GRID_FROM)*('Dvd Calendar'!$E$667&lt;=GRID_TO)*('Dvd Calendar'!$E$667&gt;VAL_DATE)=0,"",'Dvd Calendar'!$E$667*1000000000+ISNUMBER('Dvd Calendar'!$E$668)*100000000+0*10000000+(N('Dvd Calendar'!$E$666)&gt;0)*(N('Dvd Calendar'!$E$666)&lt;=VAL_SERIAL)*1000000+60*1000+41))</f>
        <v/>
      </c>
      <c r="FT71" s="39">
        <f>IF(N('Dvd Calendar'!$F$667)=0,"",IF(('Dvd Calendar'!$F$667&gt;=GRID_FROM)*('Dvd Calendar'!$F$667&lt;=GRID_TO)*('Dvd Calendar'!$F$667&gt;VAL_DATE)=0,"",'Dvd Calendar'!$F$667*1000000000+ISNUMBER('Dvd Calendar'!$F$668)*100000000+0*10000000+(N('Dvd Calendar'!$F$666)&gt;0)*(N('Dvd Calendar'!$F$666)&lt;=VAL_SERIAL)*1000000+60*1000+42))</f>
        <v/>
      </c>
      <c r="FU71" s="39">
        <f>IF(N('Dvd Calendar'!$G$667)=0,"",IF(('Dvd Calendar'!$G$667&gt;=GRID_FROM)*('Dvd Calendar'!$G$667&lt;=GRID_TO)*('Dvd Calendar'!$G$667&gt;VAL_DATE)=0,"",'Dvd Calendar'!$G$667*1000000000+ISNUMBER('Dvd Calendar'!$G$668)*100000000+0*10000000+(N('Dvd Calendar'!$G$666)&gt;0)*(N('Dvd Calendar'!$G$666)&lt;=VAL_SERIAL)*1000000+60*1000+43))</f>
        <v/>
      </c>
      <c r="FV71" s="39">
        <f>IF(N('Dvd Calendar'!$H$667)=0,"",IF(('Dvd Calendar'!$H$667&gt;=GRID_FROM)*('Dvd Calendar'!$H$667&lt;=GRID_TO)*('Dvd Calendar'!$H$667&gt;VAL_DATE)=0,"",'Dvd Calendar'!$H$667*1000000000+ISNUMBER('Dvd Calendar'!$H$668)*100000000+0*10000000+(N('Dvd Calendar'!$H$666)&gt;0)*(N('Dvd Calendar'!$H$666)&lt;=VAL_SERIAL)*1000000+60*1000+44))</f>
        <v/>
      </c>
      <c r="FW71" s="39">
        <f>IF(N('Dvd Calendar'!$I$667)=0,"",IF(('Dvd Calendar'!$I$667&gt;=GRID_FROM)*('Dvd Calendar'!$I$667&lt;=GRID_TO)*('Dvd Calendar'!$I$667&gt;VAL_DATE)=0,"",'Dvd Calendar'!$I$667*1000000000+ISNUMBER('Dvd Calendar'!$I$668)*100000000+0*10000000+(N('Dvd Calendar'!$I$666)&gt;0)*(N('Dvd Calendar'!$I$666)&lt;=VAL_SERIAL)*1000000+60*1000+45))</f>
        <v/>
      </c>
      <c r="FX71" s="39">
        <f>IF(N('Dvd Calendar'!$J$667)=0,"",IF(('Dvd Calendar'!$J$667&gt;=GRID_FROM)*('Dvd Calendar'!$J$667&lt;=GRID_TO)*('Dvd Calendar'!$J$667&gt;VAL_DATE)=0,"",'Dvd Calendar'!$J$667*1000000000+ISNUMBER('Dvd Calendar'!$J$668)*100000000+0*10000000+(N('Dvd Calendar'!$J$666)&gt;0)*(N('Dvd Calendar'!$J$666)&lt;=VAL_SERIAL)*1000000+60*1000+46))</f>
        <v/>
      </c>
      <c r="FY71" s="39">
        <f>IF(N('Dvd Calendar'!$K$667)=0,"",IF(('Dvd Calendar'!$K$667&gt;=GRID_FROM)*('Dvd Calendar'!$K$667&lt;=GRID_TO)*('Dvd Calendar'!$K$667&gt;VAL_DATE)=0,"",'Dvd Calendar'!$K$667*1000000000+ISNUMBER('Dvd Calendar'!$K$668)*100000000+0*10000000+(N('Dvd Calendar'!$K$666)&gt;0)*(N('Dvd Calendar'!$K$666)&lt;=VAL_SERIAL)*1000000+60*1000+47))</f>
        <v/>
      </c>
      <c r="FZ71" s="39">
        <f>IF(N('Dvd Calendar'!$L$667)=0,"",IF(('Dvd Calendar'!$L$667&gt;=GRID_FROM)*('Dvd Calendar'!$L$667&lt;=GRID_TO)*('Dvd Calendar'!$L$667&gt;VAL_DATE)=0,"",'Dvd Calendar'!$L$667*1000000000+ISNUMBER('Dvd Calendar'!$L$668)*100000000+0*10000000+(N('Dvd Calendar'!$L$666)&gt;0)*(N('Dvd Calendar'!$L$666)&lt;=VAL_SERIAL)*1000000+60*1000+48))</f>
        <v/>
      </c>
      <c r="GA71" s="39">
        <f>IF(N('Dvd Calendar'!$M$667)=0,"",IF(('Dvd Calendar'!$M$667&gt;=GRID_FROM)*('Dvd Calendar'!$M$667&lt;=GRID_TO)*('Dvd Calendar'!$M$667&gt;VAL_DATE)=0,"",'Dvd Calendar'!$M$667*1000000000+ISNUMBER('Dvd Calendar'!$M$668)*100000000+0*10000000+(N('Dvd Calendar'!$M$666)&gt;0)*(N('Dvd Calendar'!$M$666)&lt;=VAL_SERIAL)*1000000+60*1000+49))</f>
        <v/>
      </c>
      <c r="GB71" s="39">
        <f>IF(N('Dvd Calendar'!$N$667)=0,"",IF(('Dvd Calendar'!$N$667&gt;=GRID_FROM)*('Dvd Calendar'!$N$667&lt;=GRID_TO)*('Dvd Calendar'!$N$667&gt;VAL_DATE)=0,"",'Dvd Calendar'!$N$667*1000000000+ISNUMBER('Dvd Calendar'!$N$668)*100000000+0*10000000+(N('Dvd Calendar'!$N$666)&gt;0)*(N('Dvd Calendar'!$N$666)&lt;=VAL_SERIAL)*1000000+60*1000+50))</f>
        <v/>
      </c>
      <c r="GC71" s="39">
        <f>IF(N('Dvd Calendar'!$O$667)=0,"",IF(('Dvd Calendar'!$O$667&gt;=GRID_FROM)*('Dvd Calendar'!$O$667&lt;=GRID_TO)*('Dvd Calendar'!$O$667&gt;VAL_DATE)=0,"",'Dvd Calendar'!$O$667*1000000000+ISNUMBER('Dvd Calendar'!$O$668)*100000000+0*10000000+(N('Dvd Calendar'!$O$666)&gt;0)*(N('Dvd Calendar'!$O$666)&lt;=VAL_SERIAL)*1000000+60*1000+51))</f>
        <v/>
      </c>
      <c r="GD71" s="39">
        <f>IF(N('Dvd Calendar'!$P$667)=0,"",IF(('Dvd Calendar'!$P$667&gt;=GRID_FROM)*('Dvd Calendar'!$P$667&lt;=GRID_TO)*('Dvd Calendar'!$P$667&gt;VAL_DATE)=0,"",'Dvd Calendar'!$P$667*1000000000+ISNUMBER('Dvd Calendar'!$P$668)*100000000+0*10000000+(N('Dvd Calendar'!$P$666)&gt;0)*(N('Dvd Calendar'!$P$666)&lt;=VAL_SERIAL)*1000000+60*1000+52))</f>
        <v/>
      </c>
      <c r="GE71" s="39">
        <f>IF(N('Dvd Calendar'!$Q$667)=0,"",IF(('Dvd Calendar'!$Q$667&gt;=GRID_FROM)*('Dvd Calendar'!$Q$667&lt;=GRID_TO)*('Dvd Calendar'!$Q$667&gt;VAL_DATE)=0,"",'Dvd Calendar'!$Q$667*1000000000+ISNUMBER('Dvd Calendar'!$Q$668)*100000000+0*10000000+(N('Dvd Calendar'!$Q$666)&gt;0)*(N('Dvd Calendar'!$Q$666)&lt;=VAL_SERIAL)*1000000+60*1000+53))</f>
        <v/>
      </c>
      <c r="GF71" s="39">
        <f>IF(N('Dvd Calendar'!$R$667)=0,"",IF(('Dvd Calendar'!$R$667&gt;=GRID_FROM)*('Dvd Calendar'!$R$667&lt;=GRID_TO)*('Dvd Calendar'!$R$667&gt;VAL_DATE)=0,"",'Dvd Calendar'!$R$667*1000000000+ISNUMBER('Dvd Calendar'!$R$668)*100000000+0*10000000+(N('Dvd Calendar'!$R$666)&gt;0)*(N('Dvd Calendar'!$R$666)&lt;=VAL_SERIAL)*1000000+60*1000+54))</f>
        <v/>
      </c>
      <c r="GG71" s="39">
        <f>IF(N('Dvd Calendar'!$S$667)=0,"",IF(('Dvd Calendar'!$S$667&gt;=GRID_FROM)*('Dvd Calendar'!$S$667&lt;=GRID_TO)*('Dvd Calendar'!$S$667&gt;VAL_DATE)=0,"",'Dvd Calendar'!$S$667*1000000000+ISNUMBER('Dvd Calendar'!$S$668)*100000000+0*10000000+(N('Dvd Calendar'!$S$666)&gt;0)*(N('Dvd Calendar'!$S$666)&lt;=VAL_SERIAL)*1000000+60*1000+55))</f>
        <v/>
      </c>
      <c r="GH71" s="39">
        <f>IF(N('Dvd Calendar'!$T$667)=0,"",IF(('Dvd Calendar'!$T$667&gt;=GRID_FROM)*('Dvd Calendar'!$T$667&lt;=GRID_TO)*('Dvd Calendar'!$T$667&gt;VAL_DATE)=0,"",'Dvd Calendar'!$T$667*1000000000+ISNUMBER('Dvd Calendar'!$T$668)*100000000+0*10000000+(N('Dvd Calendar'!$T$666)&gt;0)*(N('Dvd Calendar'!$T$666)&lt;=VAL_SERIAL)*1000000+60*1000+56))</f>
        <v/>
      </c>
      <c r="GI71" s="39">
        <f>IF(N('Dvd Calendar'!$U$667)=0,"",IF(('Dvd Calendar'!$U$667&gt;=GRID_FROM)*('Dvd Calendar'!$U$667&lt;=GRID_TO)*('Dvd Calendar'!$U$667&gt;VAL_DATE)=0,"",'Dvd Calendar'!$U$667*1000000000+ISNUMBER('Dvd Calendar'!$U$668)*100000000+0*10000000+(N('Dvd Calendar'!$U$666)&gt;0)*(N('Dvd Calendar'!$U$666)&lt;=VAL_SERIAL)*1000000+60*1000+57))</f>
        <v/>
      </c>
      <c r="GJ71" s="39">
        <f>IF(N('Dvd Calendar'!$V$667)=0,"",IF(('Dvd Calendar'!$V$667&gt;=GRID_FROM)*('Dvd Calendar'!$V$667&lt;=GRID_TO)*('Dvd Calendar'!$V$667&gt;VAL_DATE)=0,"",'Dvd Calendar'!$V$667*1000000000+ISNUMBER('Dvd Calendar'!$V$668)*100000000+0*10000000+(N('Dvd Calendar'!$V$666)&gt;0)*(N('Dvd Calendar'!$V$666)&lt;=VAL_SERIAL)*1000000+60*1000+58))</f>
        <v/>
      </c>
      <c r="GK71" s="39">
        <f>IF(N('Dvd Calendar'!$W$667)=0,"",IF(('Dvd Calendar'!$W$667&gt;=GRID_FROM)*('Dvd Calendar'!$W$667&lt;=GRID_TO)*('Dvd Calendar'!$W$667&gt;VAL_DATE)=0,"",'Dvd Calendar'!$W$667*1000000000+ISNUMBER('Dvd Calendar'!$W$668)*100000000+0*10000000+(N('Dvd Calendar'!$W$666)&gt;0)*(N('Dvd Calendar'!$W$666)&lt;=VAL_SERIAL)*1000000+60*1000+59))</f>
        <v/>
      </c>
      <c r="GL71" s="39">
        <f>IF(N('Dvd Calendar'!$X$667)=0,"",IF(('Dvd Calendar'!$X$667&gt;=GRID_FROM)*('Dvd Calendar'!$X$667&lt;=GRID_TO)*('Dvd Calendar'!$X$667&gt;VAL_DATE)=0,"",'Dvd Calendar'!$X$667*1000000000+ISNUMBER('Dvd Calendar'!$X$668)*100000000+0*10000000+(N('Dvd Calendar'!$X$666)&gt;0)*(N('Dvd Calendar'!$X$666)&lt;=VAL_SERIAL)*1000000+60*1000+60))</f>
        <v/>
      </c>
      <c r="GM71" s="39">
        <f>IF(N('Dvd Calendar'!$Y$667)=0,"",IF(('Dvd Calendar'!$Y$667&gt;=GRID_FROM)*('Dvd Calendar'!$Y$667&lt;=GRID_TO)*('Dvd Calendar'!$Y$667&gt;VAL_DATE)=0,"",'Dvd Calendar'!$Y$667*1000000000+ISNUMBER('Dvd Calendar'!$Y$668)*100000000+0*10000000+(N('Dvd Calendar'!$Y$666)&gt;0)*(N('Dvd Calendar'!$Y$666)&lt;=VAL_SERIAL)*1000000+60*1000+61))</f>
        <v/>
      </c>
      <c r="GN71" s="39">
        <f>IF(N('Dvd Calendar'!$Z$667)=0,"",IF(('Dvd Calendar'!$Z$667&gt;=GRID_FROM)*('Dvd Calendar'!$Z$667&lt;=GRID_TO)*('Dvd Calendar'!$Z$667&gt;VAL_DATE)=0,"",'Dvd Calendar'!$Z$667*1000000000+ISNUMBER('Dvd Calendar'!$Z$668)*100000000+0*10000000+(N('Dvd Calendar'!$Z$666)&gt;0)*(N('Dvd Calendar'!$Z$666)&lt;=VAL_SERIAL)*1000000+60*1000+62))</f>
        <v/>
      </c>
      <c r="GO71" s="39">
        <f>IF(N('Dvd Calendar'!$AA$667)=0,"",IF(('Dvd Calendar'!$AA$667&gt;=GRID_FROM)*('Dvd Calendar'!$AA$667&lt;=GRID_TO)*('Dvd Calendar'!$AA$667&gt;VAL_DATE)=0,"",'Dvd Calendar'!$AA$667*1000000000+ISNUMBER('Dvd Calendar'!$AA$668)*100000000+0*10000000+(N('Dvd Calendar'!$AA$666)&gt;0)*(N('Dvd Calendar'!$AA$666)&lt;=VAL_SERIAL)*1000000+60*1000+63))</f>
        <v/>
      </c>
      <c r="GP71" s="39">
        <f>IF(N('Dvd Calendar'!$AB$667)=0,"",IF(('Dvd Calendar'!$AB$667&gt;=GRID_FROM)*('Dvd Calendar'!$AB$667&lt;=GRID_TO)*('Dvd Calendar'!$AB$667&gt;VAL_DATE)=0,"",'Dvd Calendar'!$AB$667*1000000000+ISNUMBER('Dvd Calendar'!$AB$668)*100000000+0*10000000+(N('Dvd Calendar'!$AB$666)&gt;0)*(N('Dvd Calendar'!$AB$666)&lt;=VAL_SERIAL)*1000000+60*1000+64))</f>
        <v/>
      </c>
      <c r="GQ71" s="39">
        <f>IF(N('Dvd Calendar'!$AC$667)=0,"",IF(('Dvd Calendar'!$AC$667&gt;=GRID_FROM)*('Dvd Calendar'!$AC$667&lt;=GRID_TO)*('Dvd Calendar'!$AC$667&gt;VAL_DATE)=0,"",'Dvd Calendar'!$AC$667*1000000000+ISNUMBER('Dvd Calendar'!$AC$668)*100000000+0*10000000+(N('Dvd Calendar'!$AC$666)&gt;0)*(N('Dvd Calendar'!$AC$666)&lt;=VAL_SERIAL)*1000000+60*1000+65))</f>
        <v/>
      </c>
    </row>
    <row r="72">
      <c r="B72" s="2">
        <f>IF(HSI!$C$67="","",HSI!$C$67)</f>
        <v/>
      </c>
      <c r="C72" s="110">
        <f>IF(EE72="","",IF(ISNUMBER('Dvd Calendar'!$E$674)=FALSE,"",IF((('Dvd Calendar'!$E$676=TYPE1)*(TYPE1&lt;&gt;"")+('Dvd Calendar'!$E$676=TYPE2)*(TYPE2&lt;&gt;"")+('Dvd Calendar'!$E$676=TYPE3)*(TYPE3&lt;&gt;"")+('Dvd Calendar'!$E$676=TYPE4)*(TYPE4&lt;&gt;"")+('Dvd Calendar'!$E$676=SPECIAL_LBL)*(INC_SPECIALS="Y"))=0,"",'Dvd Calendar'!$E$674)))</f>
        <v/>
      </c>
      <c r="D72" s="110">
        <f>IF(EF72="","",IF(ISNUMBER('Dvd Calendar'!$F$674)=FALSE,"",IF((('Dvd Calendar'!$F$676=TYPE1)*(TYPE1&lt;&gt;"")+('Dvd Calendar'!$F$676=TYPE2)*(TYPE2&lt;&gt;"")+('Dvd Calendar'!$F$676=TYPE3)*(TYPE3&lt;&gt;"")+('Dvd Calendar'!$F$676=TYPE4)*(TYPE4&lt;&gt;"")+('Dvd Calendar'!$F$676=SPECIAL_LBL)*(INC_SPECIALS="Y"))=0,"",'Dvd Calendar'!$F$674)))</f>
        <v/>
      </c>
      <c r="E72" s="110">
        <f>IF(EG72="","",IF(ISNUMBER('Dvd Calendar'!$G$674)=FALSE,"",IF((('Dvd Calendar'!$G$676=TYPE1)*(TYPE1&lt;&gt;"")+('Dvd Calendar'!$G$676=TYPE2)*(TYPE2&lt;&gt;"")+('Dvd Calendar'!$G$676=TYPE3)*(TYPE3&lt;&gt;"")+('Dvd Calendar'!$G$676=TYPE4)*(TYPE4&lt;&gt;"")+('Dvd Calendar'!$G$676=SPECIAL_LBL)*(INC_SPECIALS="Y"))=0,"",'Dvd Calendar'!$G$674)))</f>
        <v/>
      </c>
      <c r="F72" s="110">
        <f>IF(EH72="","",IF(ISNUMBER('Dvd Calendar'!$H$674)=FALSE,"",IF((('Dvd Calendar'!$H$676=TYPE1)*(TYPE1&lt;&gt;"")+('Dvd Calendar'!$H$676=TYPE2)*(TYPE2&lt;&gt;"")+('Dvd Calendar'!$H$676=TYPE3)*(TYPE3&lt;&gt;"")+('Dvd Calendar'!$H$676=TYPE4)*(TYPE4&lt;&gt;"")+('Dvd Calendar'!$H$676=SPECIAL_LBL)*(INC_SPECIALS="Y"))=0,"",'Dvd Calendar'!$H$674)))</f>
        <v/>
      </c>
      <c r="G72" s="110">
        <f>IF(EI72="","",IF(ISNUMBER('Dvd Calendar'!$I$674)=FALSE,"",IF((('Dvd Calendar'!$I$676=TYPE1)*(TYPE1&lt;&gt;"")+('Dvd Calendar'!$I$676=TYPE2)*(TYPE2&lt;&gt;"")+('Dvd Calendar'!$I$676=TYPE3)*(TYPE3&lt;&gt;"")+('Dvd Calendar'!$I$676=TYPE4)*(TYPE4&lt;&gt;"")+('Dvd Calendar'!$I$676=SPECIAL_LBL)*(INC_SPECIALS="Y"))=0,"",'Dvd Calendar'!$I$674)))</f>
        <v/>
      </c>
      <c r="H72" s="110">
        <f>IF(EJ72="","",IF(ISNUMBER('Dvd Calendar'!$J$674)=FALSE,"",IF((('Dvd Calendar'!$J$676=TYPE1)*(TYPE1&lt;&gt;"")+('Dvd Calendar'!$J$676=TYPE2)*(TYPE2&lt;&gt;"")+('Dvd Calendar'!$J$676=TYPE3)*(TYPE3&lt;&gt;"")+('Dvd Calendar'!$J$676=TYPE4)*(TYPE4&lt;&gt;"")+('Dvd Calendar'!$J$676=SPECIAL_LBL)*(INC_SPECIALS="Y"))=0,"",'Dvd Calendar'!$J$674)))</f>
        <v/>
      </c>
      <c r="I72" s="110">
        <f>IF(EK72="","",IF(ISNUMBER('Dvd Calendar'!$K$674)=FALSE,"",IF((('Dvd Calendar'!$K$676=TYPE1)*(TYPE1&lt;&gt;"")+('Dvd Calendar'!$K$676=TYPE2)*(TYPE2&lt;&gt;"")+('Dvd Calendar'!$K$676=TYPE3)*(TYPE3&lt;&gt;"")+('Dvd Calendar'!$K$676=TYPE4)*(TYPE4&lt;&gt;"")+('Dvd Calendar'!$K$676=SPECIAL_LBL)*(INC_SPECIALS="Y"))=0,"",'Dvd Calendar'!$K$674)))</f>
        <v/>
      </c>
      <c r="J72" s="110">
        <f>IF(EL72="","",IF(ISNUMBER('Dvd Calendar'!$L$674)=FALSE,"",IF((('Dvd Calendar'!$L$676=TYPE1)*(TYPE1&lt;&gt;"")+('Dvd Calendar'!$L$676=TYPE2)*(TYPE2&lt;&gt;"")+('Dvd Calendar'!$L$676=TYPE3)*(TYPE3&lt;&gt;"")+('Dvd Calendar'!$L$676=TYPE4)*(TYPE4&lt;&gt;"")+('Dvd Calendar'!$L$676=SPECIAL_LBL)*(INC_SPECIALS="Y"))=0,"",'Dvd Calendar'!$L$674)))</f>
        <v/>
      </c>
      <c r="K72" s="110">
        <f>IF(EM72="","",IF(ISNUMBER('Dvd Calendar'!$M$674)=FALSE,"",IF((('Dvd Calendar'!$M$676=TYPE1)*(TYPE1&lt;&gt;"")+('Dvd Calendar'!$M$676=TYPE2)*(TYPE2&lt;&gt;"")+('Dvd Calendar'!$M$676=TYPE3)*(TYPE3&lt;&gt;"")+('Dvd Calendar'!$M$676=TYPE4)*(TYPE4&lt;&gt;"")+('Dvd Calendar'!$M$676=SPECIAL_LBL)*(INC_SPECIALS="Y"))=0,"",'Dvd Calendar'!$M$674)))</f>
        <v/>
      </c>
      <c r="L72" s="110">
        <f>IF(EN72="","",IF(ISNUMBER('Dvd Calendar'!$N$674)=FALSE,"",IF((('Dvd Calendar'!$N$676=TYPE1)*(TYPE1&lt;&gt;"")+('Dvd Calendar'!$N$676=TYPE2)*(TYPE2&lt;&gt;"")+('Dvd Calendar'!$N$676=TYPE3)*(TYPE3&lt;&gt;"")+('Dvd Calendar'!$N$676=TYPE4)*(TYPE4&lt;&gt;"")+('Dvd Calendar'!$N$676=SPECIAL_LBL)*(INC_SPECIALS="Y"))=0,"",'Dvd Calendar'!$N$674)))</f>
        <v/>
      </c>
      <c r="M72" s="110">
        <f>IF(EO72="","",IF(ISNUMBER('Dvd Calendar'!$O$674)=FALSE,"",IF((('Dvd Calendar'!$O$676=TYPE1)*(TYPE1&lt;&gt;"")+('Dvd Calendar'!$O$676=TYPE2)*(TYPE2&lt;&gt;"")+('Dvd Calendar'!$O$676=TYPE3)*(TYPE3&lt;&gt;"")+('Dvd Calendar'!$O$676=TYPE4)*(TYPE4&lt;&gt;"")+('Dvd Calendar'!$O$676=SPECIAL_LBL)*(INC_SPECIALS="Y"))=0,"",'Dvd Calendar'!$O$674)))</f>
        <v/>
      </c>
      <c r="N72" s="110">
        <f>IF(EP72="","",IF(ISNUMBER('Dvd Calendar'!$P$674)=FALSE,"",IF((('Dvd Calendar'!$P$676=TYPE1)*(TYPE1&lt;&gt;"")+('Dvd Calendar'!$P$676=TYPE2)*(TYPE2&lt;&gt;"")+('Dvd Calendar'!$P$676=TYPE3)*(TYPE3&lt;&gt;"")+('Dvd Calendar'!$P$676=TYPE4)*(TYPE4&lt;&gt;"")+('Dvd Calendar'!$P$676=SPECIAL_LBL)*(INC_SPECIALS="Y"))=0,"",'Dvd Calendar'!$P$674)))</f>
        <v/>
      </c>
      <c r="O72" s="110">
        <f>IF(EQ72="","",IF(ISNUMBER('Dvd Calendar'!$Q$674)=FALSE,"",IF((('Dvd Calendar'!$Q$676=TYPE1)*(TYPE1&lt;&gt;"")+('Dvd Calendar'!$Q$676=TYPE2)*(TYPE2&lt;&gt;"")+('Dvd Calendar'!$Q$676=TYPE3)*(TYPE3&lt;&gt;"")+('Dvd Calendar'!$Q$676=TYPE4)*(TYPE4&lt;&gt;"")+('Dvd Calendar'!$Q$676=SPECIAL_LBL)*(INC_SPECIALS="Y"))=0,"",'Dvd Calendar'!$Q$674)))</f>
        <v/>
      </c>
      <c r="P72" s="110">
        <f>IF(ER72="","",IF(ISNUMBER('Dvd Calendar'!$R$674)=FALSE,"",IF((('Dvd Calendar'!$R$676=TYPE1)*(TYPE1&lt;&gt;"")+('Dvd Calendar'!$R$676=TYPE2)*(TYPE2&lt;&gt;"")+('Dvd Calendar'!$R$676=TYPE3)*(TYPE3&lt;&gt;"")+('Dvd Calendar'!$R$676=TYPE4)*(TYPE4&lt;&gt;"")+('Dvd Calendar'!$R$676=SPECIAL_LBL)*(INC_SPECIALS="Y"))=0,"",'Dvd Calendar'!$R$674)))</f>
        <v/>
      </c>
      <c r="Q72" s="110">
        <f>IF(ES72="","",IF(ISNUMBER('Dvd Calendar'!$S$674)=FALSE,"",IF((('Dvd Calendar'!$S$676=TYPE1)*(TYPE1&lt;&gt;"")+('Dvd Calendar'!$S$676=TYPE2)*(TYPE2&lt;&gt;"")+('Dvd Calendar'!$S$676=TYPE3)*(TYPE3&lt;&gt;"")+('Dvd Calendar'!$S$676=TYPE4)*(TYPE4&lt;&gt;"")+('Dvd Calendar'!$S$676=SPECIAL_LBL)*(INC_SPECIALS="Y"))=0,"",'Dvd Calendar'!$S$674)))</f>
        <v/>
      </c>
      <c r="R72" s="110">
        <f>IF(ET72="","",IF(ISNUMBER('Dvd Calendar'!$T$674)=FALSE,"",IF((('Dvd Calendar'!$T$676=TYPE1)*(TYPE1&lt;&gt;"")+('Dvd Calendar'!$T$676=TYPE2)*(TYPE2&lt;&gt;"")+('Dvd Calendar'!$T$676=TYPE3)*(TYPE3&lt;&gt;"")+('Dvd Calendar'!$T$676=TYPE4)*(TYPE4&lt;&gt;"")+('Dvd Calendar'!$T$676=SPECIAL_LBL)*(INC_SPECIALS="Y"))=0,"",'Dvd Calendar'!$T$674)))</f>
        <v/>
      </c>
      <c r="S72" s="110">
        <f>IF(EU72="","",IF(ISNUMBER('Dvd Calendar'!$U$674)=FALSE,"",IF((('Dvd Calendar'!$U$676=TYPE1)*(TYPE1&lt;&gt;"")+('Dvd Calendar'!$U$676=TYPE2)*(TYPE2&lt;&gt;"")+('Dvd Calendar'!$U$676=TYPE3)*(TYPE3&lt;&gt;"")+('Dvd Calendar'!$U$676=TYPE4)*(TYPE4&lt;&gt;"")+('Dvd Calendar'!$U$676=SPECIAL_LBL)*(INC_SPECIALS="Y"))=0,"",'Dvd Calendar'!$U$674)))</f>
        <v/>
      </c>
      <c r="T72" s="110">
        <f>IF(EV72="","",IF(ISNUMBER('Dvd Calendar'!$V$674)=FALSE,"",IF((('Dvd Calendar'!$V$676=TYPE1)*(TYPE1&lt;&gt;"")+('Dvd Calendar'!$V$676=TYPE2)*(TYPE2&lt;&gt;"")+('Dvd Calendar'!$V$676=TYPE3)*(TYPE3&lt;&gt;"")+('Dvd Calendar'!$V$676=TYPE4)*(TYPE4&lt;&gt;"")+('Dvd Calendar'!$V$676=SPECIAL_LBL)*(INC_SPECIALS="Y"))=0,"",'Dvd Calendar'!$V$674)))</f>
        <v/>
      </c>
      <c r="U72" s="110">
        <f>IF(EW72="","",IF(ISNUMBER('Dvd Calendar'!$W$674)=FALSE,"",IF((('Dvd Calendar'!$W$676=TYPE1)*(TYPE1&lt;&gt;"")+('Dvd Calendar'!$W$676=TYPE2)*(TYPE2&lt;&gt;"")+('Dvd Calendar'!$W$676=TYPE3)*(TYPE3&lt;&gt;"")+('Dvd Calendar'!$W$676=TYPE4)*(TYPE4&lt;&gt;"")+('Dvd Calendar'!$W$676=SPECIAL_LBL)*(INC_SPECIALS="Y"))=0,"",'Dvd Calendar'!$W$674)))</f>
        <v/>
      </c>
      <c r="V72" s="110">
        <f>IF(EX72="","",IF(ISNUMBER('Dvd Calendar'!$X$674)=FALSE,"",IF((('Dvd Calendar'!$X$676=TYPE1)*(TYPE1&lt;&gt;"")+('Dvd Calendar'!$X$676=TYPE2)*(TYPE2&lt;&gt;"")+('Dvd Calendar'!$X$676=TYPE3)*(TYPE3&lt;&gt;"")+('Dvd Calendar'!$X$676=TYPE4)*(TYPE4&lt;&gt;"")+('Dvd Calendar'!$X$676=SPECIAL_LBL)*(INC_SPECIALS="Y"))=0,"",'Dvd Calendar'!$X$674)))</f>
        <v/>
      </c>
      <c r="W72" s="110">
        <f>IF(EY72="","",IF(ISNUMBER('Dvd Calendar'!$Y$674)=FALSE,"",IF((('Dvd Calendar'!$Y$676=TYPE1)*(TYPE1&lt;&gt;"")+('Dvd Calendar'!$Y$676=TYPE2)*(TYPE2&lt;&gt;"")+('Dvd Calendar'!$Y$676=TYPE3)*(TYPE3&lt;&gt;"")+('Dvd Calendar'!$Y$676=TYPE4)*(TYPE4&lt;&gt;"")+('Dvd Calendar'!$Y$676=SPECIAL_LBL)*(INC_SPECIALS="Y"))=0,"",'Dvd Calendar'!$Y$674)))</f>
        <v/>
      </c>
      <c r="X72" s="110">
        <f>IF(EZ72="","",IF(ISNUMBER('Dvd Calendar'!$Z$674)=FALSE,"",IF((('Dvd Calendar'!$Z$676=TYPE1)*(TYPE1&lt;&gt;"")+('Dvd Calendar'!$Z$676=TYPE2)*(TYPE2&lt;&gt;"")+('Dvd Calendar'!$Z$676=TYPE3)*(TYPE3&lt;&gt;"")+('Dvd Calendar'!$Z$676=TYPE4)*(TYPE4&lt;&gt;"")+('Dvd Calendar'!$Z$676=SPECIAL_LBL)*(INC_SPECIALS="Y"))=0,"",'Dvd Calendar'!$Z$674)))</f>
        <v/>
      </c>
      <c r="Y72" s="110">
        <f>IF(FA72="","",IF(ISNUMBER('Dvd Calendar'!$AA$674)=FALSE,"",IF((('Dvd Calendar'!$AA$676=TYPE1)*(TYPE1&lt;&gt;"")+('Dvd Calendar'!$AA$676=TYPE2)*(TYPE2&lt;&gt;"")+('Dvd Calendar'!$AA$676=TYPE3)*(TYPE3&lt;&gt;"")+('Dvd Calendar'!$AA$676=TYPE4)*(TYPE4&lt;&gt;"")+('Dvd Calendar'!$AA$676=SPECIAL_LBL)*(INC_SPECIALS="Y"))=0,"",'Dvd Calendar'!$AA$674)))</f>
        <v/>
      </c>
      <c r="Z72" s="110">
        <f>IF(FB72="","",IF(ISNUMBER('Dvd Calendar'!$AB$674)=FALSE,"",IF((('Dvd Calendar'!$AB$676=TYPE1)*(TYPE1&lt;&gt;"")+('Dvd Calendar'!$AB$676=TYPE2)*(TYPE2&lt;&gt;"")+('Dvd Calendar'!$AB$676=TYPE3)*(TYPE3&lt;&gt;"")+('Dvd Calendar'!$AB$676=TYPE4)*(TYPE4&lt;&gt;"")+('Dvd Calendar'!$AB$676=SPECIAL_LBL)*(INC_SPECIALS="Y"))=0,"",'Dvd Calendar'!$AB$674)))</f>
        <v/>
      </c>
      <c r="AA72" s="110">
        <f>IF(FC72="","",IF(ISNUMBER('Dvd Calendar'!$AC$674)=FALSE,"",IF((('Dvd Calendar'!$AC$676=TYPE1)*(TYPE1&lt;&gt;"")+('Dvd Calendar'!$AC$676=TYPE2)*(TYPE2&lt;&gt;"")+('Dvd Calendar'!$AC$676=TYPE3)*(TYPE3&lt;&gt;"")+('Dvd Calendar'!$AC$676=TYPE4)*(TYPE4&lt;&gt;"")+('Dvd Calendar'!$AC$676=SPECIAL_LBL)*(INC_SPECIALS="Y"))=0,"",'Dvd Calendar'!$AC$674)))</f>
        <v/>
      </c>
      <c r="AB72" s="110">
        <f>IF(FD72="","",IF(ISNUMBER('Dvd Calendar'!$AD$674)=FALSE,"",IF((('Dvd Calendar'!$AD$676=TYPE1)*(TYPE1&lt;&gt;"")+('Dvd Calendar'!$AD$676=TYPE2)*(TYPE2&lt;&gt;"")+('Dvd Calendar'!$AD$676=TYPE3)*(TYPE3&lt;&gt;"")+('Dvd Calendar'!$AD$676=TYPE4)*(TYPE4&lt;&gt;"")+('Dvd Calendar'!$AD$676=SPECIAL_LBL)*(INC_SPECIALS="Y"))=0,"",'Dvd Calendar'!$AD$674)))</f>
        <v/>
      </c>
      <c r="AC72" s="110">
        <f>IF(FE72="","",IF(ISNUMBER('Dvd Calendar'!$AE$674)=FALSE,"",IF((('Dvd Calendar'!$AE$676=TYPE1)*(TYPE1&lt;&gt;"")+('Dvd Calendar'!$AE$676=TYPE2)*(TYPE2&lt;&gt;"")+('Dvd Calendar'!$AE$676=TYPE3)*(TYPE3&lt;&gt;"")+('Dvd Calendar'!$AE$676=TYPE4)*(TYPE4&lt;&gt;"")+('Dvd Calendar'!$AE$676=SPECIAL_LBL)*(INC_SPECIALS="Y"))=0,"",'Dvd Calendar'!$AE$674)))</f>
        <v/>
      </c>
      <c r="AD72" s="110">
        <f>IF(FF72="","",IF(ISNUMBER('Dvd Calendar'!$AF$674)=FALSE,"",IF((('Dvd Calendar'!$AF$676=TYPE1)*(TYPE1&lt;&gt;"")+('Dvd Calendar'!$AF$676=TYPE2)*(TYPE2&lt;&gt;"")+('Dvd Calendar'!$AF$676=TYPE3)*(TYPE3&lt;&gt;"")+('Dvd Calendar'!$AF$676=TYPE4)*(TYPE4&lt;&gt;"")+('Dvd Calendar'!$AF$676=SPECIAL_LBL)*(INC_SPECIALS="Y"))=0,"",'Dvd Calendar'!$AF$674)))</f>
        <v/>
      </c>
      <c r="AE72" s="110">
        <f>IF(FG72="","",IF(ISNUMBER('Dvd Calendar'!$AG$674)=FALSE,"",IF((('Dvd Calendar'!$AG$676=TYPE1)*(TYPE1&lt;&gt;"")+('Dvd Calendar'!$AG$676=TYPE2)*(TYPE2&lt;&gt;"")+('Dvd Calendar'!$AG$676=TYPE3)*(TYPE3&lt;&gt;"")+('Dvd Calendar'!$AG$676=TYPE4)*(TYPE4&lt;&gt;"")+('Dvd Calendar'!$AG$676=SPECIAL_LBL)*(INC_SPECIALS="Y"))=0,"",'Dvd Calendar'!$AG$674)))</f>
        <v/>
      </c>
      <c r="AF72" s="110">
        <f>IF(FH72="","",IF(ISNUMBER('Dvd Calendar'!$AH$674)=FALSE,"",IF((('Dvd Calendar'!$AH$676=TYPE1)*(TYPE1&lt;&gt;"")+('Dvd Calendar'!$AH$676=TYPE2)*(TYPE2&lt;&gt;"")+('Dvd Calendar'!$AH$676=TYPE3)*(TYPE3&lt;&gt;"")+('Dvd Calendar'!$AH$676=TYPE4)*(TYPE4&lt;&gt;"")+('Dvd Calendar'!$AH$676=SPECIAL_LBL)*(INC_SPECIALS="Y"))=0,"",'Dvd Calendar'!$AH$674)))</f>
        <v/>
      </c>
      <c r="AG72" s="110">
        <f>IF(FI72="","",IF(ISNUMBER('Dvd Calendar'!$AI$674)=FALSE,"",IF((('Dvd Calendar'!$AI$676=TYPE1)*(TYPE1&lt;&gt;"")+('Dvd Calendar'!$AI$676=TYPE2)*(TYPE2&lt;&gt;"")+('Dvd Calendar'!$AI$676=TYPE3)*(TYPE3&lt;&gt;"")+('Dvd Calendar'!$AI$676=TYPE4)*(TYPE4&lt;&gt;"")+('Dvd Calendar'!$AI$676=SPECIAL_LBL)*(INC_SPECIALS="Y"))=0,"",'Dvd Calendar'!$AI$674)))</f>
        <v/>
      </c>
      <c r="AH72" s="110">
        <f>IF(FJ72="","",IF(ISNUMBER('Dvd Calendar'!$AJ$674)=FALSE,"",IF((('Dvd Calendar'!$AJ$676=TYPE1)*(TYPE1&lt;&gt;"")+('Dvd Calendar'!$AJ$676=TYPE2)*(TYPE2&lt;&gt;"")+('Dvd Calendar'!$AJ$676=TYPE3)*(TYPE3&lt;&gt;"")+('Dvd Calendar'!$AJ$676=TYPE4)*(TYPE4&lt;&gt;"")+('Dvd Calendar'!$AJ$676=SPECIAL_LBL)*(INC_SPECIALS="Y"))=0,"",'Dvd Calendar'!$AJ$674)))</f>
        <v/>
      </c>
      <c r="AI72" s="110">
        <f>IF(FK72="","",IF(ISNUMBER('Dvd Calendar'!$AK$674)=FALSE,"",IF((('Dvd Calendar'!$AK$676=TYPE1)*(TYPE1&lt;&gt;"")+('Dvd Calendar'!$AK$676=TYPE2)*(TYPE2&lt;&gt;"")+('Dvd Calendar'!$AK$676=TYPE3)*(TYPE3&lt;&gt;"")+('Dvd Calendar'!$AK$676=TYPE4)*(TYPE4&lt;&gt;"")+('Dvd Calendar'!$AK$676=SPECIAL_LBL)*(INC_SPECIALS="Y"))=0,"",'Dvd Calendar'!$AK$674)))</f>
        <v/>
      </c>
      <c r="AJ72" s="110">
        <f>IF(FL72="","",IF(ISNUMBER('Dvd Calendar'!$AL$674)=FALSE,"",IF((('Dvd Calendar'!$AL$676=TYPE1)*(TYPE1&lt;&gt;"")+('Dvd Calendar'!$AL$676=TYPE2)*(TYPE2&lt;&gt;"")+('Dvd Calendar'!$AL$676=TYPE3)*(TYPE3&lt;&gt;"")+('Dvd Calendar'!$AL$676=TYPE4)*(TYPE4&lt;&gt;"")+('Dvd Calendar'!$AL$676=SPECIAL_LBL)*(INC_SPECIALS="Y"))=0,"",'Dvd Calendar'!$AL$674)))</f>
        <v/>
      </c>
      <c r="AK72" s="110">
        <f>IF(FM72="","",IF(ISNUMBER('Dvd Calendar'!$AM$674)=FALSE,"",IF((('Dvd Calendar'!$AM$676=TYPE1)*(TYPE1&lt;&gt;"")+('Dvd Calendar'!$AM$676=TYPE2)*(TYPE2&lt;&gt;"")+('Dvd Calendar'!$AM$676=TYPE3)*(TYPE3&lt;&gt;"")+('Dvd Calendar'!$AM$676=TYPE4)*(TYPE4&lt;&gt;"")+('Dvd Calendar'!$AM$676=SPECIAL_LBL)*(INC_SPECIALS="Y"))=0,"",'Dvd Calendar'!$AM$674)))</f>
        <v/>
      </c>
      <c r="AL72" s="110">
        <f>IF(FN72="","",IF(ISNUMBER('Dvd Calendar'!$AN$674)=FALSE,"",IF((('Dvd Calendar'!$AN$676=TYPE1)*(TYPE1&lt;&gt;"")+('Dvd Calendar'!$AN$676=TYPE2)*(TYPE2&lt;&gt;"")+('Dvd Calendar'!$AN$676=TYPE3)*(TYPE3&lt;&gt;"")+('Dvd Calendar'!$AN$676=TYPE4)*(TYPE4&lt;&gt;"")+('Dvd Calendar'!$AN$676=SPECIAL_LBL)*(INC_SPECIALS="Y"))=0,"",'Dvd Calendar'!$AN$674)))</f>
        <v/>
      </c>
      <c r="AM72" s="110">
        <f>IF(FO72="","",IF(ISNUMBER('Dvd Calendar'!$AO$674)=FALSE,"",IF((('Dvd Calendar'!$AO$676=TYPE1)*(TYPE1&lt;&gt;"")+('Dvd Calendar'!$AO$676=TYPE2)*(TYPE2&lt;&gt;"")+('Dvd Calendar'!$AO$676=TYPE3)*(TYPE3&lt;&gt;"")+('Dvd Calendar'!$AO$676=TYPE4)*(TYPE4&lt;&gt;"")+('Dvd Calendar'!$AO$676=SPECIAL_LBL)*(INC_SPECIALS="Y"))=0,"",'Dvd Calendar'!$AO$674)))</f>
        <v/>
      </c>
      <c r="AN72" s="110">
        <f>IF(FP72="","",IF(ISNUMBER('Dvd Calendar'!$AP$674)=FALSE,"",IF((('Dvd Calendar'!$AP$676=TYPE1)*(TYPE1&lt;&gt;"")+('Dvd Calendar'!$AP$676=TYPE2)*(TYPE2&lt;&gt;"")+('Dvd Calendar'!$AP$676=TYPE3)*(TYPE3&lt;&gt;"")+('Dvd Calendar'!$AP$676=TYPE4)*(TYPE4&lt;&gt;"")+('Dvd Calendar'!$AP$676=SPECIAL_LBL)*(INC_SPECIALS="Y"))=0,"",'Dvd Calendar'!$AP$674)))</f>
        <v/>
      </c>
      <c r="AO72" s="110">
        <f>IF(FQ72="","",IF(ISNUMBER('Dvd Calendar'!$AQ$674)=FALSE,"",IF((('Dvd Calendar'!$AQ$676=TYPE1)*(TYPE1&lt;&gt;"")+('Dvd Calendar'!$AQ$676=TYPE2)*(TYPE2&lt;&gt;"")+('Dvd Calendar'!$AQ$676=TYPE3)*(TYPE3&lt;&gt;"")+('Dvd Calendar'!$AQ$676=TYPE4)*(TYPE4&lt;&gt;"")+('Dvd Calendar'!$AQ$676=SPECIAL_LBL)*(INC_SPECIALS="Y"))=0,"",'Dvd Calendar'!$AQ$674)))</f>
        <v/>
      </c>
      <c r="AP72" s="110">
        <f>IF(FR72="","",IF(ISNUMBER('Dvd Calendar'!$AR$674)=FALSE,"",IF((('Dvd Calendar'!$AR$676=TYPE1)*(TYPE1&lt;&gt;"")+('Dvd Calendar'!$AR$676=TYPE2)*(TYPE2&lt;&gt;"")+('Dvd Calendar'!$AR$676=TYPE3)*(TYPE3&lt;&gt;"")+('Dvd Calendar'!$AR$676=TYPE4)*(TYPE4&lt;&gt;"")+('Dvd Calendar'!$AR$676=SPECIAL_LBL)*(INC_SPECIALS="Y"))=0,"",'Dvd Calendar'!$AR$674)))</f>
        <v/>
      </c>
      <c r="AQ72" s="110">
        <f>IF(FS72="","",IF(ISNUMBER('Dvd Calendar'!$E$679)=FALSE,"",'Dvd Calendar'!$E$679))</f>
        <v/>
      </c>
      <c r="AR72" s="110">
        <f>IF(FT72="","",IF(ISNUMBER('Dvd Calendar'!$F$679)=FALSE,"",'Dvd Calendar'!$F$679))</f>
        <v/>
      </c>
      <c r="AS72" s="110">
        <f>IF(FU72="","",IF(ISNUMBER('Dvd Calendar'!$G$679)=FALSE,"",'Dvd Calendar'!$G$679))</f>
        <v/>
      </c>
      <c r="AT72" s="110">
        <f>IF(FV72="","",IF(ISNUMBER('Dvd Calendar'!$H$679)=FALSE,"",'Dvd Calendar'!$H$679))</f>
        <v/>
      </c>
      <c r="AU72" s="110">
        <f>IF(FW72="","",IF(ISNUMBER('Dvd Calendar'!$I$679)=FALSE,"",'Dvd Calendar'!$I$679))</f>
        <v/>
      </c>
      <c r="AV72" s="110">
        <f>IF(FX72="","",IF(ISNUMBER('Dvd Calendar'!$J$679)=FALSE,"",'Dvd Calendar'!$J$679))</f>
        <v/>
      </c>
      <c r="AW72" s="110">
        <f>IF(FY72="","",IF(ISNUMBER('Dvd Calendar'!$K$679)=FALSE,"",'Dvd Calendar'!$K$679))</f>
        <v/>
      </c>
      <c r="AX72" s="110">
        <f>IF(FZ72="","",IF(ISNUMBER('Dvd Calendar'!$L$679)=FALSE,"",'Dvd Calendar'!$L$679))</f>
        <v/>
      </c>
      <c r="AY72" s="110">
        <f>IF(GA72="","",IF(ISNUMBER('Dvd Calendar'!$M$679)=FALSE,"",'Dvd Calendar'!$M$679))</f>
        <v/>
      </c>
      <c r="AZ72" s="110">
        <f>IF(GB72="","",IF(ISNUMBER('Dvd Calendar'!$N$679)=FALSE,"",'Dvd Calendar'!$N$679))</f>
        <v/>
      </c>
      <c r="BA72" s="110">
        <f>IF(GC72="","",IF(ISNUMBER('Dvd Calendar'!$O$679)=FALSE,"",'Dvd Calendar'!$O$679))</f>
        <v/>
      </c>
      <c r="BB72" s="110">
        <f>IF(GD72="","",IF(ISNUMBER('Dvd Calendar'!$P$679)=FALSE,"",'Dvd Calendar'!$P$679))</f>
        <v/>
      </c>
      <c r="BC72" s="110">
        <f>IF(GE72="","",IF(ISNUMBER('Dvd Calendar'!$Q$679)=FALSE,"",'Dvd Calendar'!$Q$679))</f>
        <v/>
      </c>
      <c r="BD72" s="110">
        <f>IF(GF72="","",IF(ISNUMBER('Dvd Calendar'!$R$679)=FALSE,"",'Dvd Calendar'!$R$679))</f>
        <v/>
      </c>
      <c r="BE72" s="110">
        <f>IF(GG72="","",IF(ISNUMBER('Dvd Calendar'!$S$679)=FALSE,"",'Dvd Calendar'!$S$679))</f>
        <v/>
      </c>
      <c r="BF72" s="110">
        <f>IF(GH72="","",IF(ISNUMBER('Dvd Calendar'!$T$679)=FALSE,"",'Dvd Calendar'!$T$679))</f>
        <v/>
      </c>
      <c r="BG72" s="110">
        <f>IF(GI72="","",IF(ISNUMBER('Dvd Calendar'!$U$679)=FALSE,"",'Dvd Calendar'!$U$679))</f>
        <v/>
      </c>
      <c r="BH72" s="110">
        <f>IF(GJ72="","",IF(ISNUMBER('Dvd Calendar'!$V$679)=FALSE,"",'Dvd Calendar'!$V$679))</f>
        <v/>
      </c>
      <c r="BI72" s="110">
        <f>IF(GK72="","",IF(ISNUMBER('Dvd Calendar'!$W$679)=FALSE,"",'Dvd Calendar'!$W$679))</f>
        <v/>
      </c>
      <c r="BJ72" s="110">
        <f>IF(GL72="","",IF(ISNUMBER('Dvd Calendar'!$X$679)=FALSE,"",'Dvd Calendar'!$X$679))</f>
        <v/>
      </c>
      <c r="BK72" s="110">
        <f>IF(GM72="","",IF(ISNUMBER('Dvd Calendar'!$Y$679)=FALSE,"",'Dvd Calendar'!$Y$679))</f>
        <v/>
      </c>
      <c r="BL72" s="110">
        <f>IF(GN72="","",IF(ISNUMBER('Dvd Calendar'!$Z$679)=FALSE,"",'Dvd Calendar'!$Z$679))</f>
        <v/>
      </c>
      <c r="BM72" s="110">
        <f>IF(GO72="","",IF(ISNUMBER('Dvd Calendar'!$AA$679)=FALSE,"",'Dvd Calendar'!$AA$679))</f>
        <v/>
      </c>
      <c r="BN72" s="110">
        <f>IF(GP72="","",IF(ISNUMBER('Dvd Calendar'!$AB$679)=FALSE,"",'Dvd Calendar'!$AB$679))</f>
        <v/>
      </c>
      <c r="BO72" s="110">
        <f>IF(GQ72="","",IF(ISNUMBER('Dvd Calendar'!$AC$679)=FALSE,"",'Dvd Calendar'!$AC$679))</f>
        <v/>
      </c>
      <c r="BQ72" s="110">
        <f>IF(C72="","",IFERROR(C72*HSI!$B$67*HSI!$G$67/HSI!$B$3,""))</f>
        <v/>
      </c>
      <c r="BR72" s="110">
        <f>IF(D72="","",IFERROR(D72*HSI!$B$67*HSI!$G$67/HSI!$B$3,""))</f>
        <v/>
      </c>
      <c r="BS72" s="110">
        <f>IF(E72="","",IFERROR(E72*HSI!$B$67*HSI!$G$67/HSI!$B$3,""))</f>
        <v/>
      </c>
      <c r="BT72" s="110">
        <f>IF(F72="","",IFERROR(F72*HSI!$B$67*HSI!$G$67/HSI!$B$3,""))</f>
        <v/>
      </c>
      <c r="BU72" s="110">
        <f>IF(G72="","",IFERROR(G72*HSI!$B$67*HSI!$G$67/HSI!$B$3,""))</f>
        <v/>
      </c>
      <c r="BV72" s="110">
        <f>IF(H72="","",IFERROR(H72*HSI!$B$67*HSI!$G$67/HSI!$B$3,""))</f>
        <v/>
      </c>
      <c r="BW72" s="110">
        <f>IF(I72="","",IFERROR(I72*HSI!$B$67*HSI!$G$67/HSI!$B$3,""))</f>
        <v/>
      </c>
      <c r="BX72" s="110">
        <f>IF(J72="","",IFERROR(J72*HSI!$B$67*HSI!$G$67/HSI!$B$3,""))</f>
        <v/>
      </c>
      <c r="BY72" s="110">
        <f>IF(K72="","",IFERROR(K72*HSI!$B$67*HSI!$G$67/HSI!$B$3,""))</f>
        <v/>
      </c>
      <c r="BZ72" s="110">
        <f>IF(L72="","",IFERROR(L72*HSI!$B$67*HSI!$G$67/HSI!$B$3,""))</f>
        <v/>
      </c>
      <c r="CA72" s="110">
        <f>IF(M72="","",IFERROR(M72*HSI!$B$67*HSI!$G$67/HSI!$B$3,""))</f>
        <v/>
      </c>
      <c r="CB72" s="110">
        <f>IF(N72="","",IFERROR(N72*HSI!$B$67*HSI!$G$67/HSI!$B$3,""))</f>
        <v/>
      </c>
      <c r="CC72" s="110">
        <f>IF(O72="","",IFERROR(O72*HSI!$B$67*HSI!$G$67/HSI!$B$3,""))</f>
        <v/>
      </c>
      <c r="CD72" s="110">
        <f>IF(P72="","",IFERROR(P72*HSI!$B$67*HSI!$G$67/HSI!$B$3,""))</f>
        <v/>
      </c>
      <c r="CE72" s="110">
        <f>IF(Q72="","",IFERROR(Q72*HSI!$B$67*HSI!$G$67/HSI!$B$3,""))</f>
        <v/>
      </c>
      <c r="CF72" s="110">
        <f>IF(R72="","",IFERROR(R72*HSI!$B$67*HSI!$G$67/HSI!$B$3,""))</f>
        <v/>
      </c>
      <c r="CG72" s="110">
        <f>IF(S72="","",IFERROR(S72*HSI!$B$67*HSI!$G$67/HSI!$B$3,""))</f>
        <v/>
      </c>
      <c r="CH72" s="110">
        <f>IF(T72="","",IFERROR(T72*HSI!$B$67*HSI!$G$67/HSI!$B$3,""))</f>
        <v/>
      </c>
      <c r="CI72" s="110">
        <f>IF(U72="","",IFERROR(U72*HSI!$B$67*HSI!$G$67/HSI!$B$3,""))</f>
        <v/>
      </c>
      <c r="CJ72" s="110">
        <f>IF(V72="","",IFERROR(V72*HSI!$B$67*HSI!$G$67/HSI!$B$3,""))</f>
        <v/>
      </c>
      <c r="CK72" s="110">
        <f>IF(W72="","",IFERROR(W72*HSI!$B$67*HSI!$G$67/HSI!$B$3,""))</f>
        <v/>
      </c>
      <c r="CL72" s="110">
        <f>IF(X72="","",IFERROR(X72*HSI!$B$67*HSI!$G$67/HSI!$B$3,""))</f>
        <v/>
      </c>
      <c r="CM72" s="110">
        <f>IF(Y72="","",IFERROR(Y72*HSI!$B$67*HSI!$G$67/HSI!$B$3,""))</f>
        <v/>
      </c>
      <c r="CN72" s="110">
        <f>IF(Z72="","",IFERROR(Z72*HSI!$B$67*HSI!$G$67/HSI!$B$3,""))</f>
        <v/>
      </c>
      <c r="CO72" s="110">
        <f>IF(AA72="","",IFERROR(AA72*HSI!$B$67*HSI!$G$67/HSI!$B$3,""))</f>
        <v/>
      </c>
      <c r="CP72" s="110">
        <f>IF(AB72="","",IFERROR(AB72*HSI!$B$67*HSI!$G$67/HSI!$B$3,""))</f>
        <v/>
      </c>
      <c r="CQ72" s="110">
        <f>IF(AC72="","",IFERROR(AC72*HSI!$B$67*HSI!$G$67/HSI!$B$3,""))</f>
        <v/>
      </c>
      <c r="CR72" s="110">
        <f>IF(AD72="","",IFERROR(AD72*HSI!$B$67*HSI!$G$67/HSI!$B$3,""))</f>
        <v/>
      </c>
      <c r="CS72" s="110">
        <f>IF(AE72="","",IFERROR(AE72*HSI!$B$67*HSI!$G$67/HSI!$B$3,""))</f>
        <v/>
      </c>
      <c r="CT72" s="110">
        <f>IF(AF72="","",IFERROR(AF72*HSI!$B$67*HSI!$G$67/HSI!$B$3,""))</f>
        <v/>
      </c>
      <c r="CU72" s="110">
        <f>IF(AG72="","",IFERROR(AG72*HSI!$B$67*HSI!$G$67/HSI!$B$3,""))</f>
        <v/>
      </c>
      <c r="CV72" s="110">
        <f>IF(AH72="","",IFERROR(AH72*HSI!$B$67*HSI!$G$67/HSI!$B$3,""))</f>
        <v/>
      </c>
      <c r="CW72" s="110">
        <f>IF(AI72="","",IFERROR(AI72*HSI!$B$67*HSI!$G$67/HSI!$B$3,""))</f>
        <v/>
      </c>
      <c r="CX72" s="110">
        <f>IF(AJ72="","",IFERROR(AJ72*HSI!$B$67*HSI!$G$67/HSI!$B$3,""))</f>
        <v/>
      </c>
      <c r="CY72" s="110">
        <f>IF(AK72="","",IFERROR(AK72*HSI!$B$67*HSI!$G$67/HSI!$B$3,""))</f>
        <v/>
      </c>
      <c r="CZ72" s="110">
        <f>IF(AL72="","",IFERROR(AL72*HSI!$B$67*HSI!$G$67/HSI!$B$3,""))</f>
        <v/>
      </c>
      <c r="DA72" s="110">
        <f>IF(AM72="","",IFERROR(AM72*HSI!$B$67*HSI!$G$67/HSI!$B$3,""))</f>
        <v/>
      </c>
      <c r="DB72" s="110">
        <f>IF(AN72="","",IFERROR(AN72*HSI!$B$67*HSI!$G$67/HSI!$B$3,""))</f>
        <v/>
      </c>
      <c r="DC72" s="110">
        <f>IF(AO72="","",IFERROR(AO72*HSI!$B$67*HSI!$G$67/HSI!$B$3,""))</f>
        <v/>
      </c>
      <c r="DD72" s="110">
        <f>IF(AP72="","",IFERROR(AP72*HSI!$B$67*HSI!$G$67/HSI!$B$3,""))</f>
        <v/>
      </c>
      <c r="DE72" s="110">
        <f>IF(AQ72="","",IFERROR(AQ72*HSI!$B$67*HSI!$G$67/HSI!$B$3,""))</f>
        <v/>
      </c>
      <c r="DF72" s="110">
        <f>IF(AR72="","",IFERROR(AR72*HSI!$B$67*HSI!$G$67/HSI!$B$3,""))</f>
        <v/>
      </c>
      <c r="DG72" s="110">
        <f>IF(AS72="","",IFERROR(AS72*HSI!$B$67*HSI!$G$67/HSI!$B$3,""))</f>
        <v/>
      </c>
      <c r="DH72" s="110">
        <f>IF(AT72="","",IFERROR(AT72*HSI!$B$67*HSI!$G$67/HSI!$B$3,""))</f>
        <v/>
      </c>
      <c r="DI72" s="110">
        <f>IF(AU72="","",IFERROR(AU72*HSI!$B$67*HSI!$G$67/HSI!$B$3,""))</f>
        <v/>
      </c>
      <c r="DJ72" s="110">
        <f>IF(AV72="","",IFERROR(AV72*HSI!$B$67*HSI!$G$67/HSI!$B$3,""))</f>
        <v/>
      </c>
      <c r="DK72" s="110">
        <f>IF(AW72="","",IFERROR(AW72*HSI!$B$67*HSI!$G$67/HSI!$B$3,""))</f>
        <v/>
      </c>
      <c r="DL72" s="110">
        <f>IF(AX72="","",IFERROR(AX72*HSI!$B$67*HSI!$G$67/HSI!$B$3,""))</f>
        <v/>
      </c>
      <c r="DM72" s="110">
        <f>IF(AY72="","",IFERROR(AY72*HSI!$B$67*HSI!$G$67/HSI!$B$3,""))</f>
        <v/>
      </c>
      <c r="DN72" s="110">
        <f>IF(AZ72="","",IFERROR(AZ72*HSI!$B$67*HSI!$G$67/HSI!$B$3,""))</f>
        <v/>
      </c>
      <c r="DO72" s="110">
        <f>IF(BA72="","",IFERROR(BA72*HSI!$B$67*HSI!$G$67/HSI!$B$3,""))</f>
        <v/>
      </c>
      <c r="DP72" s="110">
        <f>IF(BB72="","",IFERROR(BB72*HSI!$B$67*HSI!$G$67/HSI!$B$3,""))</f>
        <v/>
      </c>
      <c r="DQ72" s="110">
        <f>IF(BC72="","",IFERROR(BC72*HSI!$B$67*HSI!$G$67/HSI!$B$3,""))</f>
        <v/>
      </c>
      <c r="DR72" s="110">
        <f>IF(BD72="","",IFERROR(BD72*HSI!$B$67*HSI!$G$67/HSI!$B$3,""))</f>
        <v/>
      </c>
      <c r="DS72" s="110">
        <f>IF(BE72="","",IFERROR(BE72*HSI!$B$67*HSI!$G$67/HSI!$B$3,""))</f>
        <v/>
      </c>
      <c r="DT72" s="110">
        <f>IF(BF72="","",IFERROR(BF72*HSI!$B$67*HSI!$G$67/HSI!$B$3,""))</f>
        <v/>
      </c>
      <c r="DU72" s="110">
        <f>IF(BG72="","",IFERROR(BG72*HSI!$B$67*HSI!$G$67/HSI!$B$3,""))</f>
        <v/>
      </c>
      <c r="DV72" s="110">
        <f>IF(BH72="","",IFERROR(BH72*HSI!$B$67*HSI!$G$67/HSI!$B$3,""))</f>
        <v/>
      </c>
      <c r="DW72" s="110">
        <f>IF(BI72="","",IFERROR(BI72*HSI!$B$67*HSI!$G$67/HSI!$B$3,""))</f>
        <v/>
      </c>
      <c r="DX72" s="110">
        <f>IF(BJ72="","",IFERROR(BJ72*HSI!$B$67*HSI!$G$67/HSI!$B$3,""))</f>
        <v/>
      </c>
      <c r="DY72" s="110">
        <f>IF(BK72="","",IFERROR(BK72*HSI!$B$67*HSI!$G$67/HSI!$B$3,""))</f>
        <v/>
      </c>
      <c r="DZ72" s="110">
        <f>IF(BL72="","",IFERROR(BL72*HSI!$B$67*HSI!$G$67/HSI!$B$3,""))</f>
        <v/>
      </c>
      <c r="EA72" s="110">
        <f>IF(BM72="","",IFERROR(BM72*HSI!$B$67*HSI!$G$67/HSI!$B$3,""))</f>
        <v/>
      </c>
      <c r="EB72" s="110">
        <f>IF(BN72="","",IFERROR(BN72*HSI!$B$67*HSI!$G$67/HSI!$B$3,""))</f>
        <v/>
      </c>
      <c r="EC72" s="110">
        <f>IF(BO72="","",IFERROR(BO72*HSI!$B$67*HSI!$G$67/HSI!$B$3,""))</f>
        <v/>
      </c>
      <c r="EE72" s="39">
        <f>IF(N('Dvd Calendar'!$E$671)=0,"",IF(('Dvd Calendar'!$E$671&gt;=GRID_FROM)*('Dvd Calendar'!$E$671&lt;=GRID_TO)*((('Dvd Calendar'!$E$671&lt;=VAL_DATE)+(COUNTIF('Dvd Calendar'!$E$678:$AR$678,'Dvd Calendar'!$E$671)=0))&gt;0)=0,"",'Dvd Calendar'!$E$671*1000000000+ISNUMBER('Dvd Calendar'!$E$674)*100000000+('Dvd Calendar'!$E$676=SPECIAL_LBL)*10000000+(N('Dvd Calendar'!$E$670)&gt;0)*(N('Dvd Calendar'!$E$670)&lt;=VAL_SERIAL)*1000000+61*1000+1))</f>
        <v/>
      </c>
      <c r="EF72" s="39">
        <f>IF(N('Dvd Calendar'!$F$671)=0,"",IF(('Dvd Calendar'!$F$671&gt;=GRID_FROM)*('Dvd Calendar'!$F$671&lt;=GRID_TO)*((('Dvd Calendar'!$F$671&lt;=VAL_DATE)+(COUNTIF('Dvd Calendar'!$E$678:$AR$678,'Dvd Calendar'!$F$671)=0))&gt;0)=0,"",'Dvd Calendar'!$F$671*1000000000+ISNUMBER('Dvd Calendar'!$F$674)*100000000+('Dvd Calendar'!$F$676=SPECIAL_LBL)*10000000+(N('Dvd Calendar'!$F$670)&gt;0)*(N('Dvd Calendar'!$F$670)&lt;=VAL_SERIAL)*1000000+61*1000+2))</f>
        <v/>
      </c>
      <c r="EG72" s="39">
        <f>IF(N('Dvd Calendar'!$G$671)=0,"",IF(('Dvd Calendar'!$G$671&gt;=GRID_FROM)*('Dvd Calendar'!$G$671&lt;=GRID_TO)*((('Dvd Calendar'!$G$671&lt;=VAL_DATE)+(COUNTIF('Dvd Calendar'!$E$678:$AR$678,'Dvd Calendar'!$G$671)=0))&gt;0)=0,"",'Dvd Calendar'!$G$671*1000000000+ISNUMBER('Dvd Calendar'!$G$674)*100000000+('Dvd Calendar'!$G$676=SPECIAL_LBL)*10000000+(N('Dvd Calendar'!$G$670)&gt;0)*(N('Dvd Calendar'!$G$670)&lt;=VAL_SERIAL)*1000000+61*1000+3))</f>
        <v/>
      </c>
      <c r="EH72" s="39">
        <f>IF(N('Dvd Calendar'!$H$671)=0,"",IF(('Dvd Calendar'!$H$671&gt;=GRID_FROM)*('Dvd Calendar'!$H$671&lt;=GRID_TO)*((('Dvd Calendar'!$H$671&lt;=VAL_DATE)+(COUNTIF('Dvd Calendar'!$E$678:$AR$678,'Dvd Calendar'!$H$671)=0))&gt;0)=0,"",'Dvd Calendar'!$H$671*1000000000+ISNUMBER('Dvd Calendar'!$H$674)*100000000+('Dvd Calendar'!$H$676=SPECIAL_LBL)*10000000+(N('Dvd Calendar'!$H$670)&gt;0)*(N('Dvd Calendar'!$H$670)&lt;=VAL_SERIAL)*1000000+61*1000+4))</f>
        <v/>
      </c>
      <c r="EI72" s="39">
        <f>IF(N('Dvd Calendar'!$I$671)=0,"",IF(('Dvd Calendar'!$I$671&gt;=GRID_FROM)*('Dvd Calendar'!$I$671&lt;=GRID_TO)*((('Dvd Calendar'!$I$671&lt;=VAL_DATE)+(COUNTIF('Dvd Calendar'!$E$678:$AR$678,'Dvd Calendar'!$I$671)=0))&gt;0)=0,"",'Dvd Calendar'!$I$671*1000000000+ISNUMBER('Dvd Calendar'!$I$674)*100000000+('Dvd Calendar'!$I$676=SPECIAL_LBL)*10000000+(N('Dvd Calendar'!$I$670)&gt;0)*(N('Dvd Calendar'!$I$670)&lt;=VAL_SERIAL)*1000000+61*1000+5))</f>
        <v/>
      </c>
      <c r="EJ72" s="39">
        <f>IF(N('Dvd Calendar'!$J$671)=0,"",IF(('Dvd Calendar'!$J$671&gt;=GRID_FROM)*('Dvd Calendar'!$J$671&lt;=GRID_TO)*((('Dvd Calendar'!$J$671&lt;=VAL_DATE)+(COUNTIF('Dvd Calendar'!$E$678:$AR$678,'Dvd Calendar'!$J$671)=0))&gt;0)=0,"",'Dvd Calendar'!$J$671*1000000000+ISNUMBER('Dvd Calendar'!$J$674)*100000000+('Dvd Calendar'!$J$676=SPECIAL_LBL)*10000000+(N('Dvd Calendar'!$J$670)&gt;0)*(N('Dvd Calendar'!$J$670)&lt;=VAL_SERIAL)*1000000+61*1000+6))</f>
        <v/>
      </c>
      <c r="EK72" s="39">
        <f>IF(N('Dvd Calendar'!$K$671)=0,"",IF(('Dvd Calendar'!$K$671&gt;=GRID_FROM)*('Dvd Calendar'!$K$671&lt;=GRID_TO)*((('Dvd Calendar'!$K$671&lt;=VAL_DATE)+(COUNTIF('Dvd Calendar'!$E$678:$AR$678,'Dvd Calendar'!$K$671)=0))&gt;0)=0,"",'Dvd Calendar'!$K$671*1000000000+ISNUMBER('Dvd Calendar'!$K$674)*100000000+('Dvd Calendar'!$K$676=SPECIAL_LBL)*10000000+(N('Dvd Calendar'!$K$670)&gt;0)*(N('Dvd Calendar'!$K$670)&lt;=VAL_SERIAL)*1000000+61*1000+7))</f>
        <v/>
      </c>
      <c r="EL72" s="39">
        <f>IF(N('Dvd Calendar'!$L$671)=0,"",IF(('Dvd Calendar'!$L$671&gt;=GRID_FROM)*('Dvd Calendar'!$L$671&lt;=GRID_TO)*((('Dvd Calendar'!$L$671&lt;=VAL_DATE)+(COUNTIF('Dvd Calendar'!$E$678:$AR$678,'Dvd Calendar'!$L$671)=0))&gt;0)=0,"",'Dvd Calendar'!$L$671*1000000000+ISNUMBER('Dvd Calendar'!$L$674)*100000000+('Dvd Calendar'!$L$676=SPECIAL_LBL)*10000000+(N('Dvd Calendar'!$L$670)&gt;0)*(N('Dvd Calendar'!$L$670)&lt;=VAL_SERIAL)*1000000+61*1000+8))</f>
        <v/>
      </c>
      <c r="EM72" s="39">
        <f>IF(N('Dvd Calendar'!$M$671)=0,"",IF(('Dvd Calendar'!$M$671&gt;=GRID_FROM)*('Dvd Calendar'!$M$671&lt;=GRID_TO)*((('Dvd Calendar'!$M$671&lt;=VAL_DATE)+(COUNTIF('Dvd Calendar'!$E$678:$AR$678,'Dvd Calendar'!$M$671)=0))&gt;0)=0,"",'Dvd Calendar'!$M$671*1000000000+ISNUMBER('Dvd Calendar'!$M$674)*100000000+('Dvd Calendar'!$M$676=SPECIAL_LBL)*10000000+(N('Dvd Calendar'!$M$670)&gt;0)*(N('Dvd Calendar'!$M$670)&lt;=VAL_SERIAL)*1000000+61*1000+9))</f>
        <v/>
      </c>
      <c r="EN72" s="39">
        <f>IF(N('Dvd Calendar'!$N$671)=0,"",IF(('Dvd Calendar'!$N$671&gt;=GRID_FROM)*('Dvd Calendar'!$N$671&lt;=GRID_TO)*((('Dvd Calendar'!$N$671&lt;=VAL_DATE)+(COUNTIF('Dvd Calendar'!$E$678:$AR$678,'Dvd Calendar'!$N$671)=0))&gt;0)=0,"",'Dvd Calendar'!$N$671*1000000000+ISNUMBER('Dvd Calendar'!$N$674)*100000000+('Dvd Calendar'!$N$676=SPECIAL_LBL)*10000000+(N('Dvd Calendar'!$N$670)&gt;0)*(N('Dvd Calendar'!$N$670)&lt;=VAL_SERIAL)*1000000+61*1000+10))</f>
        <v/>
      </c>
      <c r="EO72" s="39">
        <f>IF(N('Dvd Calendar'!$O$671)=0,"",IF(('Dvd Calendar'!$O$671&gt;=GRID_FROM)*('Dvd Calendar'!$O$671&lt;=GRID_TO)*((('Dvd Calendar'!$O$671&lt;=VAL_DATE)+(COUNTIF('Dvd Calendar'!$E$678:$AR$678,'Dvd Calendar'!$O$671)=0))&gt;0)=0,"",'Dvd Calendar'!$O$671*1000000000+ISNUMBER('Dvd Calendar'!$O$674)*100000000+('Dvd Calendar'!$O$676=SPECIAL_LBL)*10000000+(N('Dvd Calendar'!$O$670)&gt;0)*(N('Dvd Calendar'!$O$670)&lt;=VAL_SERIAL)*1000000+61*1000+11))</f>
        <v/>
      </c>
      <c r="EP72" s="39">
        <f>IF(N('Dvd Calendar'!$P$671)=0,"",IF(('Dvd Calendar'!$P$671&gt;=GRID_FROM)*('Dvd Calendar'!$P$671&lt;=GRID_TO)*((('Dvd Calendar'!$P$671&lt;=VAL_DATE)+(COUNTIF('Dvd Calendar'!$E$678:$AR$678,'Dvd Calendar'!$P$671)=0))&gt;0)=0,"",'Dvd Calendar'!$P$671*1000000000+ISNUMBER('Dvd Calendar'!$P$674)*100000000+('Dvd Calendar'!$P$676=SPECIAL_LBL)*10000000+(N('Dvd Calendar'!$P$670)&gt;0)*(N('Dvd Calendar'!$P$670)&lt;=VAL_SERIAL)*1000000+61*1000+12))</f>
        <v/>
      </c>
      <c r="EQ72" s="39">
        <f>IF(N('Dvd Calendar'!$Q$671)=0,"",IF(('Dvd Calendar'!$Q$671&gt;=GRID_FROM)*('Dvd Calendar'!$Q$671&lt;=GRID_TO)*((('Dvd Calendar'!$Q$671&lt;=VAL_DATE)+(COUNTIF('Dvd Calendar'!$E$678:$AR$678,'Dvd Calendar'!$Q$671)=0))&gt;0)=0,"",'Dvd Calendar'!$Q$671*1000000000+ISNUMBER('Dvd Calendar'!$Q$674)*100000000+('Dvd Calendar'!$Q$676=SPECIAL_LBL)*10000000+(N('Dvd Calendar'!$Q$670)&gt;0)*(N('Dvd Calendar'!$Q$670)&lt;=VAL_SERIAL)*1000000+61*1000+13))</f>
        <v/>
      </c>
      <c r="ER72" s="39">
        <f>IF(N('Dvd Calendar'!$R$671)=0,"",IF(('Dvd Calendar'!$R$671&gt;=GRID_FROM)*('Dvd Calendar'!$R$671&lt;=GRID_TO)*((('Dvd Calendar'!$R$671&lt;=VAL_DATE)+(COUNTIF('Dvd Calendar'!$E$678:$AR$678,'Dvd Calendar'!$R$671)=0))&gt;0)=0,"",'Dvd Calendar'!$R$671*1000000000+ISNUMBER('Dvd Calendar'!$R$674)*100000000+('Dvd Calendar'!$R$676=SPECIAL_LBL)*10000000+(N('Dvd Calendar'!$R$670)&gt;0)*(N('Dvd Calendar'!$R$670)&lt;=VAL_SERIAL)*1000000+61*1000+14))</f>
        <v/>
      </c>
      <c r="ES72" s="39">
        <f>IF(N('Dvd Calendar'!$S$671)=0,"",IF(('Dvd Calendar'!$S$671&gt;=GRID_FROM)*('Dvd Calendar'!$S$671&lt;=GRID_TO)*((('Dvd Calendar'!$S$671&lt;=VAL_DATE)+(COUNTIF('Dvd Calendar'!$E$678:$AR$678,'Dvd Calendar'!$S$671)=0))&gt;0)=0,"",'Dvd Calendar'!$S$671*1000000000+ISNUMBER('Dvd Calendar'!$S$674)*100000000+('Dvd Calendar'!$S$676=SPECIAL_LBL)*10000000+(N('Dvd Calendar'!$S$670)&gt;0)*(N('Dvd Calendar'!$S$670)&lt;=VAL_SERIAL)*1000000+61*1000+15))</f>
        <v/>
      </c>
      <c r="ET72" s="39">
        <f>IF(N('Dvd Calendar'!$T$671)=0,"",IF(('Dvd Calendar'!$T$671&gt;=GRID_FROM)*('Dvd Calendar'!$T$671&lt;=GRID_TO)*((('Dvd Calendar'!$T$671&lt;=VAL_DATE)+(COUNTIF('Dvd Calendar'!$E$678:$AR$678,'Dvd Calendar'!$T$671)=0))&gt;0)=0,"",'Dvd Calendar'!$T$671*1000000000+ISNUMBER('Dvd Calendar'!$T$674)*100000000+('Dvd Calendar'!$T$676=SPECIAL_LBL)*10000000+(N('Dvd Calendar'!$T$670)&gt;0)*(N('Dvd Calendar'!$T$670)&lt;=VAL_SERIAL)*1000000+61*1000+16))</f>
        <v/>
      </c>
      <c r="EU72" s="39">
        <f>IF(N('Dvd Calendar'!$U$671)=0,"",IF(('Dvd Calendar'!$U$671&gt;=GRID_FROM)*('Dvd Calendar'!$U$671&lt;=GRID_TO)*((('Dvd Calendar'!$U$671&lt;=VAL_DATE)+(COUNTIF('Dvd Calendar'!$E$678:$AR$678,'Dvd Calendar'!$U$671)=0))&gt;0)=0,"",'Dvd Calendar'!$U$671*1000000000+ISNUMBER('Dvd Calendar'!$U$674)*100000000+('Dvd Calendar'!$U$676=SPECIAL_LBL)*10000000+(N('Dvd Calendar'!$U$670)&gt;0)*(N('Dvd Calendar'!$U$670)&lt;=VAL_SERIAL)*1000000+61*1000+17))</f>
        <v/>
      </c>
      <c r="EV72" s="39">
        <f>IF(N('Dvd Calendar'!$V$671)=0,"",IF(('Dvd Calendar'!$V$671&gt;=GRID_FROM)*('Dvd Calendar'!$V$671&lt;=GRID_TO)*((('Dvd Calendar'!$V$671&lt;=VAL_DATE)+(COUNTIF('Dvd Calendar'!$E$678:$AR$678,'Dvd Calendar'!$V$671)=0))&gt;0)=0,"",'Dvd Calendar'!$V$671*1000000000+ISNUMBER('Dvd Calendar'!$V$674)*100000000+('Dvd Calendar'!$V$676=SPECIAL_LBL)*10000000+(N('Dvd Calendar'!$V$670)&gt;0)*(N('Dvd Calendar'!$V$670)&lt;=VAL_SERIAL)*1000000+61*1000+18))</f>
        <v/>
      </c>
      <c r="EW72" s="39">
        <f>IF(N('Dvd Calendar'!$W$671)=0,"",IF(('Dvd Calendar'!$W$671&gt;=GRID_FROM)*('Dvd Calendar'!$W$671&lt;=GRID_TO)*((('Dvd Calendar'!$W$671&lt;=VAL_DATE)+(COUNTIF('Dvd Calendar'!$E$678:$AR$678,'Dvd Calendar'!$W$671)=0))&gt;0)=0,"",'Dvd Calendar'!$W$671*1000000000+ISNUMBER('Dvd Calendar'!$W$674)*100000000+('Dvd Calendar'!$W$676=SPECIAL_LBL)*10000000+(N('Dvd Calendar'!$W$670)&gt;0)*(N('Dvd Calendar'!$W$670)&lt;=VAL_SERIAL)*1000000+61*1000+19))</f>
        <v/>
      </c>
      <c r="EX72" s="39">
        <f>IF(N('Dvd Calendar'!$X$671)=0,"",IF(('Dvd Calendar'!$X$671&gt;=GRID_FROM)*('Dvd Calendar'!$X$671&lt;=GRID_TO)*((('Dvd Calendar'!$X$671&lt;=VAL_DATE)+(COUNTIF('Dvd Calendar'!$E$678:$AR$678,'Dvd Calendar'!$X$671)=0))&gt;0)=0,"",'Dvd Calendar'!$X$671*1000000000+ISNUMBER('Dvd Calendar'!$X$674)*100000000+('Dvd Calendar'!$X$676=SPECIAL_LBL)*10000000+(N('Dvd Calendar'!$X$670)&gt;0)*(N('Dvd Calendar'!$X$670)&lt;=VAL_SERIAL)*1000000+61*1000+20))</f>
        <v/>
      </c>
      <c r="EY72" s="39">
        <f>IF(N('Dvd Calendar'!$Y$671)=0,"",IF(('Dvd Calendar'!$Y$671&gt;=GRID_FROM)*('Dvd Calendar'!$Y$671&lt;=GRID_TO)*((('Dvd Calendar'!$Y$671&lt;=VAL_DATE)+(COUNTIF('Dvd Calendar'!$E$678:$AR$678,'Dvd Calendar'!$Y$671)=0))&gt;0)=0,"",'Dvd Calendar'!$Y$671*1000000000+ISNUMBER('Dvd Calendar'!$Y$674)*100000000+('Dvd Calendar'!$Y$676=SPECIAL_LBL)*10000000+(N('Dvd Calendar'!$Y$670)&gt;0)*(N('Dvd Calendar'!$Y$670)&lt;=VAL_SERIAL)*1000000+61*1000+21))</f>
        <v/>
      </c>
      <c r="EZ72" s="39">
        <f>IF(N('Dvd Calendar'!$Z$671)=0,"",IF(('Dvd Calendar'!$Z$671&gt;=GRID_FROM)*('Dvd Calendar'!$Z$671&lt;=GRID_TO)*((('Dvd Calendar'!$Z$671&lt;=VAL_DATE)+(COUNTIF('Dvd Calendar'!$E$678:$AR$678,'Dvd Calendar'!$Z$671)=0))&gt;0)=0,"",'Dvd Calendar'!$Z$671*1000000000+ISNUMBER('Dvd Calendar'!$Z$674)*100000000+('Dvd Calendar'!$Z$676=SPECIAL_LBL)*10000000+(N('Dvd Calendar'!$Z$670)&gt;0)*(N('Dvd Calendar'!$Z$670)&lt;=VAL_SERIAL)*1000000+61*1000+22))</f>
        <v/>
      </c>
      <c r="FA72" s="39">
        <f>IF(N('Dvd Calendar'!$AA$671)=0,"",IF(('Dvd Calendar'!$AA$671&gt;=GRID_FROM)*('Dvd Calendar'!$AA$671&lt;=GRID_TO)*((('Dvd Calendar'!$AA$671&lt;=VAL_DATE)+(COUNTIF('Dvd Calendar'!$E$678:$AR$678,'Dvd Calendar'!$AA$671)=0))&gt;0)=0,"",'Dvd Calendar'!$AA$671*1000000000+ISNUMBER('Dvd Calendar'!$AA$674)*100000000+('Dvd Calendar'!$AA$676=SPECIAL_LBL)*10000000+(N('Dvd Calendar'!$AA$670)&gt;0)*(N('Dvd Calendar'!$AA$670)&lt;=VAL_SERIAL)*1000000+61*1000+23))</f>
        <v/>
      </c>
      <c r="FB72" s="39">
        <f>IF(N('Dvd Calendar'!$AB$671)=0,"",IF(('Dvd Calendar'!$AB$671&gt;=GRID_FROM)*('Dvd Calendar'!$AB$671&lt;=GRID_TO)*((('Dvd Calendar'!$AB$671&lt;=VAL_DATE)+(COUNTIF('Dvd Calendar'!$E$678:$AR$678,'Dvd Calendar'!$AB$671)=0))&gt;0)=0,"",'Dvd Calendar'!$AB$671*1000000000+ISNUMBER('Dvd Calendar'!$AB$674)*100000000+('Dvd Calendar'!$AB$676=SPECIAL_LBL)*10000000+(N('Dvd Calendar'!$AB$670)&gt;0)*(N('Dvd Calendar'!$AB$670)&lt;=VAL_SERIAL)*1000000+61*1000+24))</f>
        <v/>
      </c>
      <c r="FC72" s="39">
        <f>IF(N('Dvd Calendar'!$AC$671)=0,"",IF(('Dvd Calendar'!$AC$671&gt;=GRID_FROM)*('Dvd Calendar'!$AC$671&lt;=GRID_TO)*((('Dvd Calendar'!$AC$671&lt;=VAL_DATE)+(COUNTIF('Dvd Calendar'!$E$678:$AR$678,'Dvd Calendar'!$AC$671)=0))&gt;0)=0,"",'Dvd Calendar'!$AC$671*1000000000+ISNUMBER('Dvd Calendar'!$AC$674)*100000000+('Dvd Calendar'!$AC$676=SPECIAL_LBL)*10000000+(N('Dvd Calendar'!$AC$670)&gt;0)*(N('Dvd Calendar'!$AC$670)&lt;=VAL_SERIAL)*1000000+61*1000+25))</f>
        <v/>
      </c>
      <c r="FD72" s="39">
        <f>IF(N('Dvd Calendar'!$AD$671)=0,"",IF(('Dvd Calendar'!$AD$671&gt;=GRID_FROM)*('Dvd Calendar'!$AD$671&lt;=GRID_TO)*((('Dvd Calendar'!$AD$671&lt;=VAL_DATE)+(COUNTIF('Dvd Calendar'!$E$678:$AR$678,'Dvd Calendar'!$AD$671)=0))&gt;0)=0,"",'Dvd Calendar'!$AD$671*1000000000+ISNUMBER('Dvd Calendar'!$AD$674)*100000000+('Dvd Calendar'!$AD$676=SPECIAL_LBL)*10000000+(N('Dvd Calendar'!$AD$670)&gt;0)*(N('Dvd Calendar'!$AD$670)&lt;=VAL_SERIAL)*1000000+61*1000+26))</f>
        <v/>
      </c>
      <c r="FE72" s="39">
        <f>IF(N('Dvd Calendar'!$AE$671)=0,"",IF(('Dvd Calendar'!$AE$671&gt;=GRID_FROM)*('Dvd Calendar'!$AE$671&lt;=GRID_TO)*((('Dvd Calendar'!$AE$671&lt;=VAL_DATE)+(COUNTIF('Dvd Calendar'!$E$678:$AR$678,'Dvd Calendar'!$AE$671)=0))&gt;0)=0,"",'Dvd Calendar'!$AE$671*1000000000+ISNUMBER('Dvd Calendar'!$AE$674)*100000000+('Dvd Calendar'!$AE$676=SPECIAL_LBL)*10000000+(N('Dvd Calendar'!$AE$670)&gt;0)*(N('Dvd Calendar'!$AE$670)&lt;=VAL_SERIAL)*1000000+61*1000+27))</f>
        <v/>
      </c>
      <c r="FF72" s="39">
        <f>IF(N('Dvd Calendar'!$AF$671)=0,"",IF(('Dvd Calendar'!$AF$671&gt;=GRID_FROM)*('Dvd Calendar'!$AF$671&lt;=GRID_TO)*((('Dvd Calendar'!$AF$671&lt;=VAL_DATE)+(COUNTIF('Dvd Calendar'!$E$678:$AR$678,'Dvd Calendar'!$AF$671)=0))&gt;0)=0,"",'Dvd Calendar'!$AF$671*1000000000+ISNUMBER('Dvd Calendar'!$AF$674)*100000000+('Dvd Calendar'!$AF$676=SPECIAL_LBL)*10000000+(N('Dvd Calendar'!$AF$670)&gt;0)*(N('Dvd Calendar'!$AF$670)&lt;=VAL_SERIAL)*1000000+61*1000+28))</f>
        <v/>
      </c>
      <c r="FG72" s="39">
        <f>IF(N('Dvd Calendar'!$AG$671)=0,"",IF(('Dvd Calendar'!$AG$671&gt;=GRID_FROM)*('Dvd Calendar'!$AG$671&lt;=GRID_TO)*((('Dvd Calendar'!$AG$671&lt;=VAL_DATE)+(COUNTIF('Dvd Calendar'!$E$678:$AR$678,'Dvd Calendar'!$AG$671)=0))&gt;0)=0,"",'Dvd Calendar'!$AG$671*1000000000+ISNUMBER('Dvd Calendar'!$AG$674)*100000000+('Dvd Calendar'!$AG$676=SPECIAL_LBL)*10000000+(N('Dvd Calendar'!$AG$670)&gt;0)*(N('Dvd Calendar'!$AG$670)&lt;=VAL_SERIAL)*1000000+61*1000+29))</f>
        <v/>
      </c>
      <c r="FH72" s="39">
        <f>IF(N('Dvd Calendar'!$AH$671)=0,"",IF(('Dvd Calendar'!$AH$671&gt;=GRID_FROM)*('Dvd Calendar'!$AH$671&lt;=GRID_TO)*((('Dvd Calendar'!$AH$671&lt;=VAL_DATE)+(COUNTIF('Dvd Calendar'!$E$678:$AR$678,'Dvd Calendar'!$AH$671)=0))&gt;0)=0,"",'Dvd Calendar'!$AH$671*1000000000+ISNUMBER('Dvd Calendar'!$AH$674)*100000000+('Dvd Calendar'!$AH$676=SPECIAL_LBL)*10000000+(N('Dvd Calendar'!$AH$670)&gt;0)*(N('Dvd Calendar'!$AH$670)&lt;=VAL_SERIAL)*1000000+61*1000+30))</f>
        <v/>
      </c>
      <c r="FI72" s="39">
        <f>IF(N('Dvd Calendar'!$AI$671)=0,"",IF(('Dvd Calendar'!$AI$671&gt;=GRID_FROM)*('Dvd Calendar'!$AI$671&lt;=GRID_TO)*((('Dvd Calendar'!$AI$671&lt;=VAL_DATE)+(COUNTIF('Dvd Calendar'!$E$678:$AR$678,'Dvd Calendar'!$AI$671)=0))&gt;0)=0,"",'Dvd Calendar'!$AI$671*1000000000+ISNUMBER('Dvd Calendar'!$AI$674)*100000000+('Dvd Calendar'!$AI$676=SPECIAL_LBL)*10000000+(N('Dvd Calendar'!$AI$670)&gt;0)*(N('Dvd Calendar'!$AI$670)&lt;=VAL_SERIAL)*1000000+61*1000+31))</f>
        <v/>
      </c>
      <c r="FJ72" s="39">
        <f>IF(N('Dvd Calendar'!$AJ$671)=0,"",IF(('Dvd Calendar'!$AJ$671&gt;=GRID_FROM)*('Dvd Calendar'!$AJ$671&lt;=GRID_TO)*((('Dvd Calendar'!$AJ$671&lt;=VAL_DATE)+(COUNTIF('Dvd Calendar'!$E$678:$AR$678,'Dvd Calendar'!$AJ$671)=0))&gt;0)=0,"",'Dvd Calendar'!$AJ$671*1000000000+ISNUMBER('Dvd Calendar'!$AJ$674)*100000000+('Dvd Calendar'!$AJ$676=SPECIAL_LBL)*10000000+(N('Dvd Calendar'!$AJ$670)&gt;0)*(N('Dvd Calendar'!$AJ$670)&lt;=VAL_SERIAL)*1000000+61*1000+32))</f>
        <v/>
      </c>
      <c r="FK72" s="39">
        <f>IF(N('Dvd Calendar'!$AK$671)=0,"",IF(('Dvd Calendar'!$AK$671&gt;=GRID_FROM)*('Dvd Calendar'!$AK$671&lt;=GRID_TO)*((('Dvd Calendar'!$AK$671&lt;=VAL_DATE)+(COUNTIF('Dvd Calendar'!$E$678:$AR$678,'Dvd Calendar'!$AK$671)=0))&gt;0)=0,"",'Dvd Calendar'!$AK$671*1000000000+ISNUMBER('Dvd Calendar'!$AK$674)*100000000+('Dvd Calendar'!$AK$676=SPECIAL_LBL)*10000000+(N('Dvd Calendar'!$AK$670)&gt;0)*(N('Dvd Calendar'!$AK$670)&lt;=VAL_SERIAL)*1000000+61*1000+33))</f>
        <v/>
      </c>
      <c r="FL72" s="39">
        <f>IF(N('Dvd Calendar'!$AL$671)=0,"",IF(('Dvd Calendar'!$AL$671&gt;=GRID_FROM)*('Dvd Calendar'!$AL$671&lt;=GRID_TO)*((('Dvd Calendar'!$AL$671&lt;=VAL_DATE)+(COUNTIF('Dvd Calendar'!$E$678:$AR$678,'Dvd Calendar'!$AL$671)=0))&gt;0)=0,"",'Dvd Calendar'!$AL$671*1000000000+ISNUMBER('Dvd Calendar'!$AL$674)*100000000+('Dvd Calendar'!$AL$676=SPECIAL_LBL)*10000000+(N('Dvd Calendar'!$AL$670)&gt;0)*(N('Dvd Calendar'!$AL$670)&lt;=VAL_SERIAL)*1000000+61*1000+34))</f>
        <v/>
      </c>
      <c r="FM72" s="39">
        <f>IF(N('Dvd Calendar'!$AM$671)=0,"",IF(('Dvd Calendar'!$AM$671&gt;=GRID_FROM)*('Dvd Calendar'!$AM$671&lt;=GRID_TO)*((('Dvd Calendar'!$AM$671&lt;=VAL_DATE)+(COUNTIF('Dvd Calendar'!$E$678:$AR$678,'Dvd Calendar'!$AM$671)=0))&gt;0)=0,"",'Dvd Calendar'!$AM$671*1000000000+ISNUMBER('Dvd Calendar'!$AM$674)*100000000+('Dvd Calendar'!$AM$676=SPECIAL_LBL)*10000000+(N('Dvd Calendar'!$AM$670)&gt;0)*(N('Dvd Calendar'!$AM$670)&lt;=VAL_SERIAL)*1000000+61*1000+35))</f>
        <v/>
      </c>
      <c r="FN72" s="39">
        <f>IF(N('Dvd Calendar'!$AN$671)=0,"",IF(('Dvd Calendar'!$AN$671&gt;=GRID_FROM)*('Dvd Calendar'!$AN$671&lt;=GRID_TO)*((('Dvd Calendar'!$AN$671&lt;=VAL_DATE)+(COUNTIF('Dvd Calendar'!$E$678:$AR$678,'Dvd Calendar'!$AN$671)=0))&gt;0)=0,"",'Dvd Calendar'!$AN$671*1000000000+ISNUMBER('Dvd Calendar'!$AN$674)*100000000+('Dvd Calendar'!$AN$676=SPECIAL_LBL)*10000000+(N('Dvd Calendar'!$AN$670)&gt;0)*(N('Dvd Calendar'!$AN$670)&lt;=VAL_SERIAL)*1000000+61*1000+36))</f>
        <v/>
      </c>
      <c r="FO72" s="39">
        <f>IF(N('Dvd Calendar'!$AO$671)=0,"",IF(('Dvd Calendar'!$AO$671&gt;=GRID_FROM)*('Dvd Calendar'!$AO$671&lt;=GRID_TO)*((('Dvd Calendar'!$AO$671&lt;=VAL_DATE)+(COUNTIF('Dvd Calendar'!$E$678:$AR$678,'Dvd Calendar'!$AO$671)=0))&gt;0)=0,"",'Dvd Calendar'!$AO$671*1000000000+ISNUMBER('Dvd Calendar'!$AO$674)*100000000+('Dvd Calendar'!$AO$676=SPECIAL_LBL)*10000000+(N('Dvd Calendar'!$AO$670)&gt;0)*(N('Dvd Calendar'!$AO$670)&lt;=VAL_SERIAL)*1000000+61*1000+37))</f>
        <v/>
      </c>
      <c r="FP72" s="39">
        <f>IF(N('Dvd Calendar'!$AP$671)=0,"",IF(('Dvd Calendar'!$AP$671&gt;=GRID_FROM)*('Dvd Calendar'!$AP$671&lt;=GRID_TO)*((('Dvd Calendar'!$AP$671&lt;=VAL_DATE)+(COUNTIF('Dvd Calendar'!$E$678:$AR$678,'Dvd Calendar'!$AP$671)=0))&gt;0)=0,"",'Dvd Calendar'!$AP$671*1000000000+ISNUMBER('Dvd Calendar'!$AP$674)*100000000+('Dvd Calendar'!$AP$676=SPECIAL_LBL)*10000000+(N('Dvd Calendar'!$AP$670)&gt;0)*(N('Dvd Calendar'!$AP$670)&lt;=VAL_SERIAL)*1000000+61*1000+38))</f>
        <v/>
      </c>
      <c r="FQ72" s="39">
        <f>IF(N('Dvd Calendar'!$AQ$671)=0,"",IF(('Dvd Calendar'!$AQ$671&gt;=GRID_FROM)*('Dvd Calendar'!$AQ$671&lt;=GRID_TO)*((('Dvd Calendar'!$AQ$671&lt;=VAL_DATE)+(COUNTIF('Dvd Calendar'!$E$678:$AR$678,'Dvd Calendar'!$AQ$671)=0))&gt;0)=0,"",'Dvd Calendar'!$AQ$671*1000000000+ISNUMBER('Dvd Calendar'!$AQ$674)*100000000+('Dvd Calendar'!$AQ$676=SPECIAL_LBL)*10000000+(N('Dvd Calendar'!$AQ$670)&gt;0)*(N('Dvd Calendar'!$AQ$670)&lt;=VAL_SERIAL)*1000000+61*1000+39))</f>
        <v/>
      </c>
      <c r="FR72" s="39">
        <f>IF(N('Dvd Calendar'!$AR$671)=0,"",IF(('Dvd Calendar'!$AR$671&gt;=GRID_FROM)*('Dvd Calendar'!$AR$671&lt;=GRID_TO)*((('Dvd Calendar'!$AR$671&lt;=VAL_DATE)+(COUNTIF('Dvd Calendar'!$E$678:$AR$678,'Dvd Calendar'!$AR$671)=0))&gt;0)=0,"",'Dvd Calendar'!$AR$671*1000000000+ISNUMBER('Dvd Calendar'!$AR$674)*100000000+('Dvd Calendar'!$AR$676=SPECIAL_LBL)*10000000+(N('Dvd Calendar'!$AR$670)&gt;0)*(N('Dvd Calendar'!$AR$670)&lt;=VAL_SERIAL)*1000000+61*1000+40))</f>
        <v/>
      </c>
      <c r="FS72" s="39">
        <f>IF(N('Dvd Calendar'!$E$678)=0,"",IF(('Dvd Calendar'!$E$678&gt;=GRID_FROM)*('Dvd Calendar'!$E$678&lt;=GRID_TO)*('Dvd Calendar'!$E$678&gt;VAL_DATE)=0,"",'Dvd Calendar'!$E$678*1000000000+ISNUMBER('Dvd Calendar'!$E$679)*100000000+0*10000000+(N('Dvd Calendar'!$E$677)&gt;0)*(N('Dvd Calendar'!$E$677)&lt;=VAL_SERIAL)*1000000+61*1000+41))</f>
        <v/>
      </c>
      <c r="FT72" s="39">
        <f>IF(N('Dvd Calendar'!$F$678)=0,"",IF(('Dvd Calendar'!$F$678&gt;=GRID_FROM)*('Dvd Calendar'!$F$678&lt;=GRID_TO)*('Dvd Calendar'!$F$678&gt;VAL_DATE)=0,"",'Dvd Calendar'!$F$678*1000000000+ISNUMBER('Dvd Calendar'!$F$679)*100000000+0*10000000+(N('Dvd Calendar'!$F$677)&gt;0)*(N('Dvd Calendar'!$F$677)&lt;=VAL_SERIAL)*1000000+61*1000+42))</f>
        <v/>
      </c>
      <c r="FU72" s="39">
        <f>IF(N('Dvd Calendar'!$G$678)=0,"",IF(('Dvd Calendar'!$G$678&gt;=GRID_FROM)*('Dvd Calendar'!$G$678&lt;=GRID_TO)*('Dvd Calendar'!$G$678&gt;VAL_DATE)=0,"",'Dvd Calendar'!$G$678*1000000000+ISNUMBER('Dvd Calendar'!$G$679)*100000000+0*10000000+(N('Dvd Calendar'!$G$677)&gt;0)*(N('Dvd Calendar'!$G$677)&lt;=VAL_SERIAL)*1000000+61*1000+43))</f>
        <v/>
      </c>
      <c r="FV72" s="39">
        <f>IF(N('Dvd Calendar'!$H$678)=0,"",IF(('Dvd Calendar'!$H$678&gt;=GRID_FROM)*('Dvd Calendar'!$H$678&lt;=GRID_TO)*('Dvd Calendar'!$H$678&gt;VAL_DATE)=0,"",'Dvd Calendar'!$H$678*1000000000+ISNUMBER('Dvd Calendar'!$H$679)*100000000+0*10000000+(N('Dvd Calendar'!$H$677)&gt;0)*(N('Dvd Calendar'!$H$677)&lt;=VAL_SERIAL)*1000000+61*1000+44))</f>
        <v/>
      </c>
      <c r="FW72" s="39">
        <f>IF(N('Dvd Calendar'!$I$678)=0,"",IF(('Dvd Calendar'!$I$678&gt;=GRID_FROM)*('Dvd Calendar'!$I$678&lt;=GRID_TO)*('Dvd Calendar'!$I$678&gt;VAL_DATE)=0,"",'Dvd Calendar'!$I$678*1000000000+ISNUMBER('Dvd Calendar'!$I$679)*100000000+0*10000000+(N('Dvd Calendar'!$I$677)&gt;0)*(N('Dvd Calendar'!$I$677)&lt;=VAL_SERIAL)*1000000+61*1000+45))</f>
        <v/>
      </c>
      <c r="FX72" s="39">
        <f>IF(N('Dvd Calendar'!$J$678)=0,"",IF(('Dvd Calendar'!$J$678&gt;=GRID_FROM)*('Dvd Calendar'!$J$678&lt;=GRID_TO)*('Dvd Calendar'!$J$678&gt;VAL_DATE)=0,"",'Dvd Calendar'!$J$678*1000000000+ISNUMBER('Dvd Calendar'!$J$679)*100000000+0*10000000+(N('Dvd Calendar'!$J$677)&gt;0)*(N('Dvd Calendar'!$J$677)&lt;=VAL_SERIAL)*1000000+61*1000+46))</f>
        <v/>
      </c>
      <c r="FY72" s="39">
        <f>IF(N('Dvd Calendar'!$K$678)=0,"",IF(('Dvd Calendar'!$K$678&gt;=GRID_FROM)*('Dvd Calendar'!$K$678&lt;=GRID_TO)*('Dvd Calendar'!$K$678&gt;VAL_DATE)=0,"",'Dvd Calendar'!$K$678*1000000000+ISNUMBER('Dvd Calendar'!$K$679)*100000000+0*10000000+(N('Dvd Calendar'!$K$677)&gt;0)*(N('Dvd Calendar'!$K$677)&lt;=VAL_SERIAL)*1000000+61*1000+47))</f>
        <v/>
      </c>
      <c r="FZ72" s="39">
        <f>IF(N('Dvd Calendar'!$L$678)=0,"",IF(('Dvd Calendar'!$L$678&gt;=GRID_FROM)*('Dvd Calendar'!$L$678&lt;=GRID_TO)*('Dvd Calendar'!$L$678&gt;VAL_DATE)=0,"",'Dvd Calendar'!$L$678*1000000000+ISNUMBER('Dvd Calendar'!$L$679)*100000000+0*10000000+(N('Dvd Calendar'!$L$677)&gt;0)*(N('Dvd Calendar'!$L$677)&lt;=VAL_SERIAL)*1000000+61*1000+48))</f>
        <v/>
      </c>
      <c r="GA72" s="39">
        <f>IF(N('Dvd Calendar'!$M$678)=0,"",IF(('Dvd Calendar'!$M$678&gt;=GRID_FROM)*('Dvd Calendar'!$M$678&lt;=GRID_TO)*('Dvd Calendar'!$M$678&gt;VAL_DATE)=0,"",'Dvd Calendar'!$M$678*1000000000+ISNUMBER('Dvd Calendar'!$M$679)*100000000+0*10000000+(N('Dvd Calendar'!$M$677)&gt;0)*(N('Dvd Calendar'!$M$677)&lt;=VAL_SERIAL)*1000000+61*1000+49))</f>
        <v/>
      </c>
      <c r="GB72" s="39">
        <f>IF(N('Dvd Calendar'!$N$678)=0,"",IF(('Dvd Calendar'!$N$678&gt;=GRID_FROM)*('Dvd Calendar'!$N$678&lt;=GRID_TO)*('Dvd Calendar'!$N$678&gt;VAL_DATE)=0,"",'Dvd Calendar'!$N$678*1000000000+ISNUMBER('Dvd Calendar'!$N$679)*100000000+0*10000000+(N('Dvd Calendar'!$N$677)&gt;0)*(N('Dvd Calendar'!$N$677)&lt;=VAL_SERIAL)*1000000+61*1000+50))</f>
        <v/>
      </c>
      <c r="GC72" s="39">
        <f>IF(N('Dvd Calendar'!$O$678)=0,"",IF(('Dvd Calendar'!$O$678&gt;=GRID_FROM)*('Dvd Calendar'!$O$678&lt;=GRID_TO)*('Dvd Calendar'!$O$678&gt;VAL_DATE)=0,"",'Dvd Calendar'!$O$678*1000000000+ISNUMBER('Dvd Calendar'!$O$679)*100000000+0*10000000+(N('Dvd Calendar'!$O$677)&gt;0)*(N('Dvd Calendar'!$O$677)&lt;=VAL_SERIAL)*1000000+61*1000+51))</f>
        <v/>
      </c>
      <c r="GD72" s="39">
        <f>IF(N('Dvd Calendar'!$P$678)=0,"",IF(('Dvd Calendar'!$P$678&gt;=GRID_FROM)*('Dvd Calendar'!$P$678&lt;=GRID_TO)*('Dvd Calendar'!$P$678&gt;VAL_DATE)=0,"",'Dvd Calendar'!$P$678*1000000000+ISNUMBER('Dvd Calendar'!$P$679)*100000000+0*10000000+(N('Dvd Calendar'!$P$677)&gt;0)*(N('Dvd Calendar'!$P$677)&lt;=VAL_SERIAL)*1000000+61*1000+52))</f>
        <v/>
      </c>
      <c r="GE72" s="39">
        <f>IF(N('Dvd Calendar'!$Q$678)=0,"",IF(('Dvd Calendar'!$Q$678&gt;=GRID_FROM)*('Dvd Calendar'!$Q$678&lt;=GRID_TO)*('Dvd Calendar'!$Q$678&gt;VAL_DATE)=0,"",'Dvd Calendar'!$Q$678*1000000000+ISNUMBER('Dvd Calendar'!$Q$679)*100000000+0*10000000+(N('Dvd Calendar'!$Q$677)&gt;0)*(N('Dvd Calendar'!$Q$677)&lt;=VAL_SERIAL)*1000000+61*1000+53))</f>
        <v/>
      </c>
      <c r="GF72" s="39">
        <f>IF(N('Dvd Calendar'!$R$678)=0,"",IF(('Dvd Calendar'!$R$678&gt;=GRID_FROM)*('Dvd Calendar'!$R$678&lt;=GRID_TO)*('Dvd Calendar'!$R$678&gt;VAL_DATE)=0,"",'Dvd Calendar'!$R$678*1000000000+ISNUMBER('Dvd Calendar'!$R$679)*100000000+0*10000000+(N('Dvd Calendar'!$R$677)&gt;0)*(N('Dvd Calendar'!$R$677)&lt;=VAL_SERIAL)*1000000+61*1000+54))</f>
        <v/>
      </c>
      <c r="GG72" s="39">
        <f>IF(N('Dvd Calendar'!$S$678)=0,"",IF(('Dvd Calendar'!$S$678&gt;=GRID_FROM)*('Dvd Calendar'!$S$678&lt;=GRID_TO)*('Dvd Calendar'!$S$678&gt;VAL_DATE)=0,"",'Dvd Calendar'!$S$678*1000000000+ISNUMBER('Dvd Calendar'!$S$679)*100000000+0*10000000+(N('Dvd Calendar'!$S$677)&gt;0)*(N('Dvd Calendar'!$S$677)&lt;=VAL_SERIAL)*1000000+61*1000+55))</f>
        <v/>
      </c>
      <c r="GH72" s="39">
        <f>IF(N('Dvd Calendar'!$T$678)=0,"",IF(('Dvd Calendar'!$T$678&gt;=GRID_FROM)*('Dvd Calendar'!$T$678&lt;=GRID_TO)*('Dvd Calendar'!$T$678&gt;VAL_DATE)=0,"",'Dvd Calendar'!$T$678*1000000000+ISNUMBER('Dvd Calendar'!$T$679)*100000000+0*10000000+(N('Dvd Calendar'!$T$677)&gt;0)*(N('Dvd Calendar'!$T$677)&lt;=VAL_SERIAL)*1000000+61*1000+56))</f>
        <v/>
      </c>
      <c r="GI72" s="39">
        <f>IF(N('Dvd Calendar'!$U$678)=0,"",IF(('Dvd Calendar'!$U$678&gt;=GRID_FROM)*('Dvd Calendar'!$U$678&lt;=GRID_TO)*('Dvd Calendar'!$U$678&gt;VAL_DATE)=0,"",'Dvd Calendar'!$U$678*1000000000+ISNUMBER('Dvd Calendar'!$U$679)*100000000+0*10000000+(N('Dvd Calendar'!$U$677)&gt;0)*(N('Dvd Calendar'!$U$677)&lt;=VAL_SERIAL)*1000000+61*1000+57))</f>
        <v/>
      </c>
      <c r="GJ72" s="39">
        <f>IF(N('Dvd Calendar'!$V$678)=0,"",IF(('Dvd Calendar'!$V$678&gt;=GRID_FROM)*('Dvd Calendar'!$V$678&lt;=GRID_TO)*('Dvd Calendar'!$V$678&gt;VAL_DATE)=0,"",'Dvd Calendar'!$V$678*1000000000+ISNUMBER('Dvd Calendar'!$V$679)*100000000+0*10000000+(N('Dvd Calendar'!$V$677)&gt;0)*(N('Dvd Calendar'!$V$677)&lt;=VAL_SERIAL)*1000000+61*1000+58))</f>
        <v/>
      </c>
      <c r="GK72" s="39">
        <f>IF(N('Dvd Calendar'!$W$678)=0,"",IF(('Dvd Calendar'!$W$678&gt;=GRID_FROM)*('Dvd Calendar'!$W$678&lt;=GRID_TO)*('Dvd Calendar'!$W$678&gt;VAL_DATE)=0,"",'Dvd Calendar'!$W$678*1000000000+ISNUMBER('Dvd Calendar'!$W$679)*100000000+0*10000000+(N('Dvd Calendar'!$W$677)&gt;0)*(N('Dvd Calendar'!$W$677)&lt;=VAL_SERIAL)*1000000+61*1000+59))</f>
        <v/>
      </c>
      <c r="GL72" s="39">
        <f>IF(N('Dvd Calendar'!$X$678)=0,"",IF(('Dvd Calendar'!$X$678&gt;=GRID_FROM)*('Dvd Calendar'!$X$678&lt;=GRID_TO)*('Dvd Calendar'!$X$678&gt;VAL_DATE)=0,"",'Dvd Calendar'!$X$678*1000000000+ISNUMBER('Dvd Calendar'!$X$679)*100000000+0*10000000+(N('Dvd Calendar'!$X$677)&gt;0)*(N('Dvd Calendar'!$X$677)&lt;=VAL_SERIAL)*1000000+61*1000+60))</f>
        <v/>
      </c>
      <c r="GM72" s="39">
        <f>IF(N('Dvd Calendar'!$Y$678)=0,"",IF(('Dvd Calendar'!$Y$678&gt;=GRID_FROM)*('Dvd Calendar'!$Y$678&lt;=GRID_TO)*('Dvd Calendar'!$Y$678&gt;VAL_DATE)=0,"",'Dvd Calendar'!$Y$678*1000000000+ISNUMBER('Dvd Calendar'!$Y$679)*100000000+0*10000000+(N('Dvd Calendar'!$Y$677)&gt;0)*(N('Dvd Calendar'!$Y$677)&lt;=VAL_SERIAL)*1000000+61*1000+61))</f>
        <v/>
      </c>
      <c r="GN72" s="39">
        <f>IF(N('Dvd Calendar'!$Z$678)=0,"",IF(('Dvd Calendar'!$Z$678&gt;=GRID_FROM)*('Dvd Calendar'!$Z$678&lt;=GRID_TO)*('Dvd Calendar'!$Z$678&gt;VAL_DATE)=0,"",'Dvd Calendar'!$Z$678*1000000000+ISNUMBER('Dvd Calendar'!$Z$679)*100000000+0*10000000+(N('Dvd Calendar'!$Z$677)&gt;0)*(N('Dvd Calendar'!$Z$677)&lt;=VAL_SERIAL)*1000000+61*1000+62))</f>
        <v/>
      </c>
      <c r="GO72" s="39">
        <f>IF(N('Dvd Calendar'!$AA$678)=0,"",IF(('Dvd Calendar'!$AA$678&gt;=GRID_FROM)*('Dvd Calendar'!$AA$678&lt;=GRID_TO)*('Dvd Calendar'!$AA$678&gt;VAL_DATE)=0,"",'Dvd Calendar'!$AA$678*1000000000+ISNUMBER('Dvd Calendar'!$AA$679)*100000000+0*10000000+(N('Dvd Calendar'!$AA$677)&gt;0)*(N('Dvd Calendar'!$AA$677)&lt;=VAL_SERIAL)*1000000+61*1000+63))</f>
        <v/>
      </c>
      <c r="GP72" s="39">
        <f>IF(N('Dvd Calendar'!$AB$678)=0,"",IF(('Dvd Calendar'!$AB$678&gt;=GRID_FROM)*('Dvd Calendar'!$AB$678&lt;=GRID_TO)*('Dvd Calendar'!$AB$678&gt;VAL_DATE)=0,"",'Dvd Calendar'!$AB$678*1000000000+ISNUMBER('Dvd Calendar'!$AB$679)*100000000+0*10000000+(N('Dvd Calendar'!$AB$677)&gt;0)*(N('Dvd Calendar'!$AB$677)&lt;=VAL_SERIAL)*1000000+61*1000+64))</f>
        <v/>
      </c>
      <c r="GQ72" s="39">
        <f>IF(N('Dvd Calendar'!$AC$678)=0,"",IF(('Dvd Calendar'!$AC$678&gt;=GRID_FROM)*('Dvd Calendar'!$AC$678&lt;=GRID_TO)*('Dvd Calendar'!$AC$678&gt;VAL_DATE)=0,"",'Dvd Calendar'!$AC$678*1000000000+ISNUMBER('Dvd Calendar'!$AC$679)*100000000+0*10000000+(N('Dvd Calendar'!$AC$677)&gt;0)*(N('Dvd Calendar'!$AC$677)&lt;=VAL_SERIAL)*1000000+61*1000+65))</f>
        <v/>
      </c>
    </row>
    <row r="73">
      <c r="B73" s="2">
        <f>IF(HSI!$C$68="","",HSI!$C$68)</f>
        <v/>
      </c>
      <c r="C73" s="110">
        <f>IF(EE73="","",IF(ISNUMBER('Dvd Calendar'!$E$685)=FALSE,"",IF((('Dvd Calendar'!$E$687=TYPE1)*(TYPE1&lt;&gt;"")+('Dvd Calendar'!$E$687=TYPE2)*(TYPE2&lt;&gt;"")+('Dvd Calendar'!$E$687=TYPE3)*(TYPE3&lt;&gt;"")+('Dvd Calendar'!$E$687=TYPE4)*(TYPE4&lt;&gt;"")+('Dvd Calendar'!$E$687=SPECIAL_LBL)*(INC_SPECIALS="Y"))=0,"",'Dvd Calendar'!$E$685)))</f>
        <v/>
      </c>
      <c r="D73" s="110">
        <f>IF(EF73="","",IF(ISNUMBER('Dvd Calendar'!$F$685)=FALSE,"",IF((('Dvd Calendar'!$F$687=TYPE1)*(TYPE1&lt;&gt;"")+('Dvd Calendar'!$F$687=TYPE2)*(TYPE2&lt;&gt;"")+('Dvd Calendar'!$F$687=TYPE3)*(TYPE3&lt;&gt;"")+('Dvd Calendar'!$F$687=TYPE4)*(TYPE4&lt;&gt;"")+('Dvd Calendar'!$F$687=SPECIAL_LBL)*(INC_SPECIALS="Y"))=0,"",'Dvd Calendar'!$F$685)))</f>
        <v/>
      </c>
      <c r="E73" s="110">
        <f>IF(EG73="","",IF(ISNUMBER('Dvd Calendar'!$G$685)=FALSE,"",IF((('Dvd Calendar'!$G$687=TYPE1)*(TYPE1&lt;&gt;"")+('Dvd Calendar'!$G$687=TYPE2)*(TYPE2&lt;&gt;"")+('Dvd Calendar'!$G$687=TYPE3)*(TYPE3&lt;&gt;"")+('Dvd Calendar'!$G$687=TYPE4)*(TYPE4&lt;&gt;"")+('Dvd Calendar'!$G$687=SPECIAL_LBL)*(INC_SPECIALS="Y"))=0,"",'Dvd Calendar'!$G$685)))</f>
        <v/>
      </c>
      <c r="F73" s="110">
        <f>IF(EH73="","",IF(ISNUMBER('Dvd Calendar'!$H$685)=FALSE,"",IF((('Dvd Calendar'!$H$687=TYPE1)*(TYPE1&lt;&gt;"")+('Dvd Calendar'!$H$687=TYPE2)*(TYPE2&lt;&gt;"")+('Dvd Calendar'!$H$687=TYPE3)*(TYPE3&lt;&gt;"")+('Dvd Calendar'!$H$687=TYPE4)*(TYPE4&lt;&gt;"")+('Dvd Calendar'!$H$687=SPECIAL_LBL)*(INC_SPECIALS="Y"))=0,"",'Dvd Calendar'!$H$685)))</f>
        <v/>
      </c>
      <c r="G73" s="110">
        <f>IF(EI73="","",IF(ISNUMBER('Dvd Calendar'!$I$685)=FALSE,"",IF((('Dvd Calendar'!$I$687=TYPE1)*(TYPE1&lt;&gt;"")+('Dvd Calendar'!$I$687=TYPE2)*(TYPE2&lt;&gt;"")+('Dvd Calendar'!$I$687=TYPE3)*(TYPE3&lt;&gt;"")+('Dvd Calendar'!$I$687=TYPE4)*(TYPE4&lt;&gt;"")+('Dvd Calendar'!$I$687=SPECIAL_LBL)*(INC_SPECIALS="Y"))=0,"",'Dvd Calendar'!$I$685)))</f>
        <v/>
      </c>
      <c r="H73" s="110">
        <f>IF(EJ73="","",IF(ISNUMBER('Dvd Calendar'!$J$685)=FALSE,"",IF((('Dvd Calendar'!$J$687=TYPE1)*(TYPE1&lt;&gt;"")+('Dvd Calendar'!$J$687=TYPE2)*(TYPE2&lt;&gt;"")+('Dvd Calendar'!$J$687=TYPE3)*(TYPE3&lt;&gt;"")+('Dvd Calendar'!$J$687=TYPE4)*(TYPE4&lt;&gt;"")+('Dvd Calendar'!$J$687=SPECIAL_LBL)*(INC_SPECIALS="Y"))=0,"",'Dvd Calendar'!$J$685)))</f>
        <v/>
      </c>
      <c r="I73" s="110">
        <f>IF(EK73="","",IF(ISNUMBER('Dvd Calendar'!$K$685)=FALSE,"",IF((('Dvd Calendar'!$K$687=TYPE1)*(TYPE1&lt;&gt;"")+('Dvd Calendar'!$K$687=TYPE2)*(TYPE2&lt;&gt;"")+('Dvd Calendar'!$K$687=TYPE3)*(TYPE3&lt;&gt;"")+('Dvd Calendar'!$K$687=TYPE4)*(TYPE4&lt;&gt;"")+('Dvd Calendar'!$K$687=SPECIAL_LBL)*(INC_SPECIALS="Y"))=0,"",'Dvd Calendar'!$K$685)))</f>
        <v/>
      </c>
      <c r="J73" s="110">
        <f>IF(EL73="","",IF(ISNUMBER('Dvd Calendar'!$L$685)=FALSE,"",IF((('Dvd Calendar'!$L$687=TYPE1)*(TYPE1&lt;&gt;"")+('Dvd Calendar'!$L$687=TYPE2)*(TYPE2&lt;&gt;"")+('Dvd Calendar'!$L$687=TYPE3)*(TYPE3&lt;&gt;"")+('Dvd Calendar'!$L$687=TYPE4)*(TYPE4&lt;&gt;"")+('Dvd Calendar'!$L$687=SPECIAL_LBL)*(INC_SPECIALS="Y"))=0,"",'Dvd Calendar'!$L$685)))</f>
        <v/>
      </c>
      <c r="K73" s="110">
        <f>IF(EM73="","",IF(ISNUMBER('Dvd Calendar'!$M$685)=FALSE,"",IF((('Dvd Calendar'!$M$687=TYPE1)*(TYPE1&lt;&gt;"")+('Dvd Calendar'!$M$687=TYPE2)*(TYPE2&lt;&gt;"")+('Dvd Calendar'!$M$687=TYPE3)*(TYPE3&lt;&gt;"")+('Dvd Calendar'!$M$687=TYPE4)*(TYPE4&lt;&gt;"")+('Dvd Calendar'!$M$687=SPECIAL_LBL)*(INC_SPECIALS="Y"))=0,"",'Dvd Calendar'!$M$685)))</f>
        <v/>
      </c>
      <c r="L73" s="110">
        <f>IF(EN73="","",IF(ISNUMBER('Dvd Calendar'!$N$685)=FALSE,"",IF((('Dvd Calendar'!$N$687=TYPE1)*(TYPE1&lt;&gt;"")+('Dvd Calendar'!$N$687=TYPE2)*(TYPE2&lt;&gt;"")+('Dvd Calendar'!$N$687=TYPE3)*(TYPE3&lt;&gt;"")+('Dvd Calendar'!$N$687=TYPE4)*(TYPE4&lt;&gt;"")+('Dvd Calendar'!$N$687=SPECIAL_LBL)*(INC_SPECIALS="Y"))=0,"",'Dvd Calendar'!$N$685)))</f>
        <v/>
      </c>
      <c r="M73" s="110">
        <f>IF(EO73="","",IF(ISNUMBER('Dvd Calendar'!$O$685)=FALSE,"",IF((('Dvd Calendar'!$O$687=TYPE1)*(TYPE1&lt;&gt;"")+('Dvd Calendar'!$O$687=TYPE2)*(TYPE2&lt;&gt;"")+('Dvd Calendar'!$O$687=TYPE3)*(TYPE3&lt;&gt;"")+('Dvd Calendar'!$O$687=TYPE4)*(TYPE4&lt;&gt;"")+('Dvd Calendar'!$O$687=SPECIAL_LBL)*(INC_SPECIALS="Y"))=0,"",'Dvd Calendar'!$O$685)))</f>
        <v/>
      </c>
      <c r="N73" s="110">
        <f>IF(EP73="","",IF(ISNUMBER('Dvd Calendar'!$P$685)=FALSE,"",IF((('Dvd Calendar'!$P$687=TYPE1)*(TYPE1&lt;&gt;"")+('Dvd Calendar'!$P$687=TYPE2)*(TYPE2&lt;&gt;"")+('Dvd Calendar'!$P$687=TYPE3)*(TYPE3&lt;&gt;"")+('Dvd Calendar'!$P$687=TYPE4)*(TYPE4&lt;&gt;"")+('Dvd Calendar'!$P$687=SPECIAL_LBL)*(INC_SPECIALS="Y"))=0,"",'Dvd Calendar'!$P$685)))</f>
        <v/>
      </c>
      <c r="O73" s="110">
        <f>IF(EQ73="","",IF(ISNUMBER('Dvd Calendar'!$Q$685)=FALSE,"",IF((('Dvd Calendar'!$Q$687=TYPE1)*(TYPE1&lt;&gt;"")+('Dvd Calendar'!$Q$687=TYPE2)*(TYPE2&lt;&gt;"")+('Dvd Calendar'!$Q$687=TYPE3)*(TYPE3&lt;&gt;"")+('Dvd Calendar'!$Q$687=TYPE4)*(TYPE4&lt;&gt;"")+('Dvd Calendar'!$Q$687=SPECIAL_LBL)*(INC_SPECIALS="Y"))=0,"",'Dvd Calendar'!$Q$685)))</f>
        <v/>
      </c>
      <c r="P73" s="110">
        <f>IF(ER73="","",IF(ISNUMBER('Dvd Calendar'!$R$685)=FALSE,"",IF((('Dvd Calendar'!$R$687=TYPE1)*(TYPE1&lt;&gt;"")+('Dvd Calendar'!$R$687=TYPE2)*(TYPE2&lt;&gt;"")+('Dvd Calendar'!$R$687=TYPE3)*(TYPE3&lt;&gt;"")+('Dvd Calendar'!$R$687=TYPE4)*(TYPE4&lt;&gt;"")+('Dvd Calendar'!$R$687=SPECIAL_LBL)*(INC_SPECIALS="Y"))=0,"",'Dvd Calendar'!$R$685)))</f>
        <v/>
      </c>
      <c r="Q73" s="110">
        <f>IF(ES73="","",IF(ISNUMBER('Dvd Calendar'!$S$685)=FALSE,"",IF((('Dvd Calendar'!$S$687=TYPE1)*(TYPE1&lt;&gt;"")+('Dvd Calendar'!$S$687=TYPE2)*(TYPE2&lt;&gt;"")+('Dvd Calendar'!$S$687=TYPE3)*(TYPE3&lt;&gt;"")+('Dvd Calendar'!$S$687=TYPE4)*(TYPE4&lt;&gt;"")+('Dvd Calendar'!$S$687=SPECIAL_LBL)*(INC_SPECIALS="Y"))=0,"",'Dvd Calendar'!$S$685)))</f>
        <v/>
      </c>
      <c r="R73" s="110">
        <f>IF(ET73="","",IF(ISNUMBER('Dvd Calendar'!$T$685)=FALSE,"",IF((('Dvd Calendar'!$T$687=TYPE1)*(TYPE1&lt;&gt;"")+('Dvd Calendar'!$T$687=TYPE2)*(TYPE2&lt;&gt;"")+('Dvd Calendar'!$T$687=TYPE3)*(TYPE3&lt;&gt;"")+('Dvd Calendar'!$T$687=TYPE4)*(TYPE4&lt;&gt;"")+('Dvd Calendar'!$T$687=SPECIAL_LBL)*(INC_SPECIALS="Y"))=0,"",'Dvd Calendar'!$T$685)))</f>
        <v/>
      </c>
      <c r="S73" s="110">
        <f>IF(EU73="","",IF(ISNUMBER('Dvd Calendar'!$U$685)=FALSE,"",IF((('Dvd Calendar'!$U$687=TYPE1)*(TYPE1&lt;&gt;"")+('Dvd Calendar'!$U$687=TYPE2)*(TYPE2&lt;&gt;"")+('Dvd Calendar'!$U$687=TYPE3)*(TYPE3&lt;&gt;"")+('Dvd Calendar'!$U$687=TYPE4)*(TYPE4&lt;&gt;"")+('Dvd Calendar'!$U$687=SPECIAL_LBL)*(INC_SPECIALS="Y"))=0,"",'Dvd Calendar'!$U$685)))</f>
        <v/>
      </c>
      <c r="T73" s="110">
        <f>IF(EV73="","",IF(ISNUMBER('Dvd Calendar'!$V$685)=FALSE,"",IF((('Dvd Calendar'!$V$687=TYPE1)*(TYPE1&lt;&gt;"")+('Dvd Calendar'!$V$687=TYPE2)*(TYPE2&lt;&gt;"")+('Dvd Calendar'!$V$687=TYPE3)*(TYPE3&lt;&gt;"")+('Dvd Calendar'!$V$687=TYPE4)*(TYPE4&lt;&gt;"")+('Dvd Calendar'!$V$687=SPECIAL_LBL)*(INC_SPECIALS="Y"))=0,"",'Dvd Calendar'!$V$685)))</f>
        <v/>
      </c>
      <c r="U73" s="110">
        <f>IF(EW73="","",IF(ISNUMBER('Dvd Calendar'!$W$685)=FALSE,"",IF((('Dvd Calendar'!$W$687=TYPE1)*(TYPE1&lt;&gt;"")+('Dvd Calendar'!$W$687=TYPE2)*(TYPE2&lt;&gt;"")+('Dvd Calendar'!$W$687=TYPE3)*(TYPE3&lt;&gt;"")+('Dvd Calendar'!$W$687=TYPE4)*(TYPE4&lt;&gt;"")+('Dvd Calendar'!$W$687=SPECIAL_LBL)*(INC_SPECIALS="Y"))=0,"",'Dvd Calendar'!$W$685)))</f>
        <v/>
      </c>
      <c r="V73" s="110">
        <f>IF(EX73="","",IF(ISNUMBER('Dvd Calendar'!$X$685)=FALSE,"",IF((('Dvd Calendar'!$X$687=TYPE1)*(TYPE1&lt;&gt;"")+('Dvd Calendar'!$X$687=TYPE2)*(TYPE2&lt;&gt;"")+('Dvd Calendar'!$X$687=TYPE3)*(TYPE3&lt;&gt;"")+('Dvd Calendar'!$X$687=TYPE4)*(TYPE4&lt;&gt;"")+('Dvd Calendar'!$X$687=SPECIAL_LBL)*(INC_SPECIALS="Y"))=0,"",'Dvd Calendar'!$X$685)))</f>
        <v/>
      </c>
      <c r="W73" s="110">
        <f>IF(EY73="","",IF(ISNUMBER('Dvd Calendar'!$Y$685)=FALSE,"",IF((('Dvd Calendar'!$Y$687=TYPE1)*(TYPE1&lt;&gt;"")+('Dvd Calendar'!$Y$687=TYPE2)*(TYPE2&lt;&gt;"")+('Dvd Calendar'!$Y$687=TYPE3)*(TYPE3&lt;&gt;"")+('Dvd Calendar'!$Y$687=TYPE4)*(TYPE4&lt;&gt;"")+('Dvd Calendar'!$Y$687=SPECIAL_LBL)*(INC_SPECIALS="Y"))=0,"",'Dvd Calendar'!$Y$685)))</f>
        <v/>
      </c>
      <c r="X73" s="110">
        <f>IF(EZ73="","",IF(ISNUMBER('Dvd Calendar'!$Z$685)=FALSE,"",IF((('Dvd Calendar'!$Z$687=TYPE1)*(TYPE1&lt;&gt;"")+('Dvd Calendar'!$Z$687=TYPE2)*(TYPE2&lt;&gt;"")+('Dvd Calendar'!$Z$687=TYPE3)*(TYPE3&lt;&gt;"")+('Dvd Calendar'!$Z$687=TYPE4)*(TYPE4&lt;&gt;"")+('Dvd Calendar'!$Z$687=SPECIAL_LBL)*(INC_SPECIALS="Y"))=0,"",'Dvd Calendar'!$Z$685)))</f>
        <v/>
      </c>
      <c r="Y73" s="110">
        <f>IF(FA73="","",IF(ISNUMBER('Dvd Calendar'!$AA$685)=FALSE,"",IF((('Dvd Calendar'!$AA$687=TYPE1)*(TYPE1&lt;&gt;"")+('Dvd Calendar'!$AA$687=TYPE2)*(TYPE2&lt;&gt;"")+('Dvd Calendar'!$AA$687=TYPE3)*(TYPE3&lt;&gt;"")+('Dvd Calendar'!$AA$687=TYPE4)*(TYPE4&lt;&gt;"")+('Dvd Calendar'!$AA$687=SPECIAL_LBL)*(INC_SPECIALS="Y"))=0,"",'Dvd Calendar'!$AA$685)))</f>
        <v/>
      </c>
      <c r="Z73" s="110">
        <f>IF(FB73="","",IF(ISNUMBER('Dvd Calendar'!$AB$685)=FALSE,"",IF((('Dvd Calendar'!$AB$687=TYPE1)*(TYPE1&lt;&gt;"")+('Dvd Calendar'!$AB$687=TYPE2)*(TYPE2&lt;&gt;"")+('Dvd Calendar'!$AB$687=TYPE3)*(TYPE3&lt;&gt;"")+('Dvd Calendar'!$AB$687=TYPE4)*(TYPE4&lt;&gt;"")+('Dvd Calendar'!$AB$687=SPECIAL_LBL)*(INC_SPECIALS="Y"))=0,"",'Dvd Calendar'!$AB$685)))</f>
        <v/>
      </c>
      <c r="AA73" s="110">
        <f>IF(FC73="","",IF(ISNUMBER('Dvd Calendar'!$AC$685)=FALSE,"",IF((('Dvd Calendar'!$AC$687=TYPE1)*(TYPE1&lt;&gt;"")+('Dvd Calendar'!$AC$687=TYPE2)*(TYPE2&lt;&gt;"")+('Dvd Calendar'!$AC$687=TYPE3)*(TYPE3&lt;&gt;"")+('Dvd Calendar'!$AC$687=TYPE4)*(TYPE4&lt;&gt;"")+('Dvd Calendar'!$AC$687=SPECIAL_LBL)*(INC_SPECIALS="Y"))=0,"",'Dvd Calendar'!$AC$685)))</f>
        <v/>
      </c>
      <c r="AB73" s="110">
        <f>IF(FD73="","",IF(ISNUMBER('Dvd Calendar'!$AD$685)=FALSE,"",IF((('Dvd Calendar'!$AD$687=TYPE1)*(TYPE1&lt;&gt;"")+('Dvd Calendar'!$AD$687=TYPE2)*(TYPE2&lt;&gt;"")+('Dvd Calendar'!$AD$687=TYPE3)*(TYPE3&lt;&gt;"")+('Dvd Calendar'!$AD$687=TYPE4)*(TYPE4&lt;&gt;"")+('Dvd Calendar'!$AD$687=SPECIAL_LBL)*(INC_SPECIALS="Y"))=0,"",'Dvd Calendar'!$AD$685)))</f>
        <v/>
      </c>
      <c r="AC73" s="110">
        <f>IF(FE73="","",IF(ISNUMBER('Dvd Calendar'!$AE$685)=FALSE,"",IF((('Dvd Calendar'!$AE$687=TYPE1)*(TYPE1&lt;&gt;"")+('Dvd Calendar'!$AE$687=TYPE2)*(TYPE2&lt;&gt;"")+('Dvd Calendar'!$AE$687=TYPE3)*(TYPE3&lt;&gt;"")+('Dvd Calendar'!$AE$687=TYPE4)*(TYPE4&lt;&gt;"")+('Dvd Calendar'!$AE$687=SPECIAL_LBL)*(INC_SPECIALS="Y"))=0,"",'Dvd Calendar'!$AE$685)))</f>
        <v/>
      </c>
      <c r="AD73" s="110">
        <f>IF(FF73="","",IF(ISNUMBER('Dvd Calendar'!$AF$685)=FALSE,"",IF((('Dvd Calendar'!$AF$687=TYPE1)*(TYPE1&lt;&gt;"")+('Dvd Calendar'!$AF$687=TYPE2)*(TYPE2&lt;&gt;"")+('Dvd Calendar'!$AF$687=TYPE3)*(TYPE3&lt;&gt;"")+('Dvd Calendar'!$AF$687=TYPE4)*(TYPE4&lt;&gt;"")+('Dvd Calendar'!$AF$687=SPECIAL_LBL)*(INC_SPECIALS="Y"))=0,"",'Dvd Calendar'!$AF$685)))</f>
        <v/>
      </c>
      <c r="AE73" s="110">
        <f>IF(FG73="","",IF(ISNUMBER('Dvd Calendar'!$AG$685)=FALSE,"",IF((('Dvd Calendar'!$AG$687=TYPE1)*(TYPE1&lt;&gt;"")+('Dvd Calendar'!$AG$687=TYPE2)*(TYPE2&lt;&gt;"")+('Dvd Calendar'!$AG$687=TYPE3)*(TYPE3&lt;&gt;"")+('Dvd Calendar'!$AG$687=TYPE4)*(TYPE4&lt;&gt;"")+('Dvd Calendar'!$AG$687=SPECIAL_LBL)*(INC_SPECIALS="Y"))=0,"",'Dvd Calendar'!$AG$685)))</f>
        <v/>
      </c>
      <c r="AF73" s="110">
        <f>IF(FH73="","",IF(ISNUMBER('Dvd Calendar'!$AH$685)=FALSE,"",IF((('Dvd Calendar'!$AH$687=TYPE1)*(TYPE1&lt;&gt;"")+('Dvd Calendar'!$AH$687=TYPE2)*(TYPE2&lt;&gt;"")+('Dvd Calendar'!$AH$687=TYPE3)*(TYPE3&lt;&gt;"")+('Dvd Calendar'!$AH$687=TYPE4)*(TYPE4&lt;&gt;"")+('Dvd Calendar'!$AH$687=SPECIAL_LBL)*(INC_SPECIALS="Y"))=0,"",'Dvd Calendar'!$AH$685)))</f>
        <v/>
      </c>
      <c r="AG73" s="110">
        <f>IF(FI73="","",IF(ISNUMBER('Dvd Calendar'!$AI$685)=FALSE,"",IF((('Dvd Calendar'!$AI$687=TYPE1)*(TYPE1&lt;&gt;"")+('Dvd Calendar'!$AI$687=TYPE2)*(TYPE2&lt;&gt;"")+('Dvd Calendar'!$AI$687=TYPE3)*(TYPE3&lt;&gt;"")+('Dvd Calendar'!$AI$687=TYPE4)*(TYPE4&lt;&gt;"")+('Dvd Calendar'!$AI$687=SPECIAL_LBL)*(INC_SPECIALS="Y"))=0,"",'Dvd Calendar'!$AI$685)))</f>
        <v/>
      </c>
      <c r="AH73" s="110">
        <f>IF(FJ73="","",IF(ISNUMBER('Dvd Calendar'!$AJ$685)=FALSE,"",IF((('Dvd Calendar'!$AJ$687=TYPE1)*(TYPE1&lt;&gt;"")+('Dvd Calendar'!$AJ$687=TYPE2)*(TYPE2&lt;&gt;"")+('Dvd Calendar'!$AJ$687=TYPE3)*(TYPE3&lt;&gt;"")+('Dvd Calendar'!$AJ$687=TYPE4)*(TYPE4&lt;&gt;"")+('Dvd Calendar'!$AJ$687=SPECIAL_LBL)*(INC_SPECIALS="Y"))=0,"",'Dvd Calendar'!$AJ$685)))</f>
        <v/>
      </c>
      <c r="AI73" s="110">
        <f>IF(FK73="","",IF(ISNUMBER('Dvd Calendar'!$AK$685)=FALSE,"",IF((('Dvd Calendar'!$AK$687=TYPE1)*(TYPE1&lt;&gt;"")+('Dvd Calendar'!$AK$687=TYPE2)*(TYPE2&lt;&gt;"")+('Dvd Calendar'!$AK$687=TYPE3)*(TYPE3&lt;&gt;"")+('Dvd Calendar'!$AK$687=TYPE4)*(TYPE4&lt;&gt;"")+('Dvd Calendar'!$AK$687=SPECIAL_LBL)*(INC_SPECIALS="Y"))=0,"",'Dvd Calendar'!$AK$685)))</f>
        <v/>
      </c>
      <c r="AJ73" s="110">
        <f>IF(FL73="","",IF(ISNUMBER('Dvd Calendar'!$AL$685)=FALSE,"",IF((('Dvd Calendar'!$AL$687=TYPE1)*(TYPE1&lt;&gt;"")+('Dvd Calendar'!$AL$687=TYPE2)*(TYPE2&lt;&gt;"")+('Dvd Calendar'!$AL$687=TYPE3)*(TYPE3&lt;&gt;"")+('Dvd Calendar'!$AL$687=TYPE4)*(TYPE4&lt;&gt;"")+('Dvd Calendar'!$AL$687=SPECIAL_LBL)*(INC_SPECIALS="Y"))=0,"",'Dvd Calendar'!$AL$685)))</f>
        <v/>
      </c>
      <c r="AK73" s="110">
        <f>IF(FM73="","",IF(ISNUMBER('Dvd Calendar'!$AM$685)=FALSE,"",IF((('Dvd Calendar'!$AM$687=TYPE1)*(TYPE1&lt;&gt;"")+('Dvd Calendar'!$AM$687=TYPE2)*(TYPE2&lt;&gt;"")+('Dvd Calendar'!$AM$687=TYPE3)*(TYPE3&lt;&gt;"")+('Dvd Calendar'!$AM$687=TYPE4)*(TYPE4&lt;&gt;"")+('Dvd Calendar'!$AM$687=SPECIAL_LBL)*(INC_SPECIALS="Y"))=0,"",'Dvd Calendar'!$AM$685)))</f>
        <v/>
      </c>
      <c r="AL73" s="110">
        <f>IF(FN73="","",IF(ISNUMBER('Dvd Calendar'!$AN$685)=FALSE,"",IF((('Dvd Calendar'!$AN$687=TYPE1)*(TYPE1&lt;&gt;"")+('Dvd Calendar'!$AN$687=TYPE2)*(TYPE2&lt;&gt;"")+('Dvd Calendar'!$AN$687=TYPE3)*(TYPE3&lt;&gt;"")+('Dvd Calendar'!$AN$687=TYPE4)*(TYPE4&lt;&gt;"")+('Dvd Calendar'!$AN$687=SPECIAL_LBL)*(INC_SPECIALS="Y"))=0,"",'Dvd Calendar'!$AN$685)))</f>
        <v/>
      </c>
      <c r="AM73" s="110">
        <f>IF(FO73="","",IF(ISNUMBER('Dvd Calendar'!$AO$685)=FALSE,"",IF((('Dvd Calendar'!$AO$687=TYPE1)*(TYPE1&lt;&gt;"")+('Dvd Calendar'!$AO$687=TYPE2)*(TYPE2&lt;&gt;"")+('Dvd Calendar'!$AO$687=TYPE3)*(TYPE3&lt;&gt;"")+('Dvd Calendar'!$AO$687=TYPE4)*(TYPE4&lt;&gt;"")+('Dvd Calendar'!$AO$687=SPECIAL_LBL)*(INC_SPECIALS="Y"))=0,"",'Dvd Calendar'!$AO$685)))</f>
        <v/>
      </c>
      <c r="AN73" s="110">
        <f>IF(FP73="","",IF(ISNUMBER('Dvd Calendar'!$AP$685)=FALSE,"",IF((('Dvd Calendar'!$AP$687=TYPE1)*(TYPE1&lt;&gt;"")+('Dvd Calendar'!$AP$687=TYPE2)*(TYPE2&lt;&gt;"")+('Dvd Calendar'!$AP$687=TYPE3)*(TYPE3&lt;&gt;"")+('Dvd Calendar'!$AP$687=TYPE4)*(TYPE4&lt;&gt;"")+('Dvd Calendar'!$AP$687=SPECIAL_LBL)*(INC_SPECIALS="Y"))=0,"",'Dvd Calendar'!$AP$685)))</f>
        <v/>
      </c>
      <c r="AO73" s="110">
        <f>IF(FQ73="","",IF(ISNUMBER('Dvd Calendar'!$AQ$685)=FALSE,"",IF((('Dvd Calendar'!$AQ$687=TYPE1)*(TYPE1&lt;&gt;"")+('Dvd Calendar'!$AQ$687=TYPE2)*(TYPE2&lt;&gt;"")+('Dvd Calendar'!$AQ$687=TYPE3)*(TYPE3&lt;&gt;"")+('Dvd Calendar'!$AQ$687=TYPE4)*(TYPE4&lt;&gt;"")+('Dvd Calendar'!$AQ$687=SPECIAL_LBL)*(INC_SPECIALS="Y"))=0,"",'Dvd Calendar'!$AQ$685)))</f>
        <v/>
      </c>
      <c r="AP73" s="110">
        <f>IF(FR73="","",IF(ISNUMBER('Dvd Calendar'!$AR$685)=FALSE,"",IF((('Dvd Calendar'!$AR$687=TYPE1)*(TYPE1&lt;&gt;"")+('Dvd Calendar'!$AR$687=TYPE2)*(TYPE2&lt;&gt;"")+('Dvd Calendar'!$AR$687=TYPE3)*(TYPE3&lt;&gt;"")+('Dvd Calendar'!$AR$687=TYPE4)*(TYPE4&lt;&gt;"")+('Dvd Calendar'!$AR$687=SPECIAL_LBL)*(INC_SPECIALS="Y"))=0,"",'Dvd Calendar'!$AR$685)))</f>
        <v/>
      </c>
      <c r="AQ73" s="110">
        <f>IF(FS73="","",IF(ISNUMBER('Dvd Calendar'!$E$690)=FALSE,"",'Dvd Calendar'!$E$690))</f>
        <v/>
      </c>
      <c r="AR73" s="110">
        <f>IF(FT73="","",IF(ISNUMBER('Dvd Calendar'!$F$690)=FALSE,"",'Dvd Calendar'!$F$690))</f>
        <v/>
      </c>
      <c r="AS73" s="110">
        <f>IF(FU73="","",IF(ISNUMBER('Dvd Calendar'!$G$690)=FALSE,"",'Dvd Calendar'!$G$690))</f>
        <v/>
      </c>
      <c r="AT73" s="110">
        <f>IF(FV73="","",IF(ISNUMBER('Dvd Calendar'!$H$690)=FALSE,"",'Dvd Calendar'!$H$690))</f>
        <v/>
      </c>
      <c r="AU73" s="110">
        <f>IF(FW73="","",IF(ISNUMBER('Dvd Calendar'!$I$690)=FALSE,"",'Dvd Calendar'!$I$690))</f>
        <v/>
      </c>
      <c r="AV73" s="110">
        <f>IF(FX73="","",IF(ISNUMBER('Dvd Calendar'!$J$690)=FALSE,"",'Dvd Calendar'!$J$690))</f>
        <v/>
      </c>
      <c r="AW73" s="110">
        <f>IF(FY73="","",IF(ISNUMBER('Dvd Calendar'!$K$690)=FALSE,"",'Dvd Calendar'!$K$690))</f>
        <v/>
      </c>
      <c r="AX73" s="110">
        <f>IF(FZ73="","",IF(ISNUMBER('Dvd Calendar'!$L$690)=FALSE,"",'Dvd Calendar'!$L$690))</f>
        <v/>
      </c>
      <c r="AY73" s="110">
        <f>IF(GA73="","",IF(ISNUMBER('Dvd Calendar'!$M$690)=FALSE,"",'Dvd Calendar'!$M$690))</f>
        <v/>
      </c>
      <c r="AZ73" s="110">
        <f>IF(GB73="","",IF(ISNUMBER('Dvd Calendar'!$N$690)=FALSE,"",'Dvd Calendar'!$N$690))</f>
        <v/>
      </c>
      <c r="BA73" s="110">
        <f>IF(GC73="","",IF(ISNUMBER('Dvd Calendar'!$O$690)=FALSE,"",'Dvd Calendar'!$O$690))</f>
        <v/>
      </c>
      <c r="BB73" s="110">
        <f>IF(GD73="","",IF(ISNUMBER('Dvd Calendar'!$P$690)=FALSE,"",'Dvd Calendar'!$P$690))</f>
        <v/>
      </c>
      <c r="BC73" s="110">
        <f>IF(GE73="","",IF(ISNUMBER('Dvd Calendar'!$Q$690)=FALSE,"",'Dvd Calendar'!$Q$690))</f>
        <v/>
      </c>
      <c r="BD73" s="110">
        <f>IF(GF73="","",IF(ISNUMBER('Dvd Calendar'!$R$690)=FALSE,"",'Dvd Calendar'!$R$690))</f>
        <v/>
      </c>
      <c r="BE73" s="110">
        <f>IF(GG73="","",IF(ISNUMBER('Dvd Calendar'!$S$690)=FALSE,"",'Dvd Calendar'!$S$690))</f>
        <v/>
      </c>
      <c r="BF73" s="110">
        <f>IF(GH73="","",IF(ISNUMBER('Dvd Calendar'!$T$690)=FALSE,"",'Dvd Calendar'!$T$690))</f>
        <v/>
      </c>
      <c r="BG73" s="110">
        <f>IF(GI73="","",IF(ISNUMBER('Dvd Calendar'!$U$690)=FALSE,"",'Dvd Calendar'!$U$690))</f>
        <v/>
      </c>
      <c r="BH73" s="110">
        <f>IF(GJ73="","",IF(ISNUMBER('Dvd Calendar'!$V$690)=FALSE,"",'Dvd Calendar'!$V$690))</f>
        <v/>
      </c>
      <c r="BI73" s="110">
        <f>IF(GK73="","",IF(ISNUMBER('Dvd Calendar'!$W$690)=FALSE,"",'Dvd Calendar'!$W$690))</f>
        <v/>
      </c>
      <c r="BJ73" s="110">
        <f>IF(GL73="","",IF(ISNUMBER('Dvd Calendar'!$X$690)=FALSE,"",'Dvd Calendar'!$X$690))</f>
        <v/>
      </c>
      <c r="BK73" s="110">
        <f>IF(GM73="","",IF(ISNUMBER('Dvd Calendar'!$Y$690)=FALSE,"",'Dvd Calendar'!$Y$690))</f>
        <v/>
      </c>
      <c r="BL73" s="110">
        <f>IF(GN73="","",IF(ISNUMBER('Dvd Calendar'!$Z$690)=FALSE,"",'Dvd Calendar'!$Z$690))</f>
        <v/>
      </c>
      <c r="BM73" s="110">
        <f>IF(GO73="","",IF(ISNUMBER('Dvd Calendar'!$AA$690)=FALSE,"",'Dvd Calendar'!$AA$690))</f>
        <v/>
      </c>
      <c r="BN73" s="110">
        <f>IF(GP73="","",IF(ISNUMBER('Dvd Calendar'!$AB$690)=FALSE,"",'Dvd Calendar'!$AB$690))</f>
        <v/>
      </c>
      <c r="BO73" s="110">
        <f>IF(GQ73="","",IF(ISNUMBER('Dvd Calendar'!$AC$690)=FALSE,"",'Dvd Calendar'!$AC$690))</f>
        <v/>
      </c>
      <c r="BQ73" s="110">
        <f>IF(C73="","",IFERROR(C73*HSI!$B$68*HSI!$G$68/HSI!$B$3,""))</f>
        <v/>
      </c>
      <c r="BR73" s="110">
        <f>IF(D73="","",IFERROR(D73*HSI!$B$68*HSI!$G$68/HSI!$B$3,""))</f>
        <v/>
      </c>
      <c r="BS73" s="110">
        <f>IF(E73="","",IFERROR(E73*HSI!$B$68*HSI!$G$68/HSI!$B$3,""))</f>
        <v/>
      </c>
      <c r="BT73" s="110">
        <f>IF(F73="","",IFERROR(F73*HSI!$B$68*HSI!$G$68/HSI!$B$3,""))</f>
        <v/>
      </c>
      <c r="BU73" s="110">
        <f>IF(G73="","",IFERROR(G73*HSI!$B$68*HSI!$G$68/HSI!$B$3,""))</f>
        <v/>
      </c>
      <c r="BV73" s="110">
        <f>IF(H73="","",IFERROR(H73*HSI!$B$68*HSI!$G$68/HSI!$B$3,""))</f>
        <v/>
      </c>
      <c r="BW73" s="110">
        <f>IF(I73="","",IFERROR(I73*HSI!$B$68*HSI!$G$68/HSI!$B$3,""))</f>
        <v/>
      </c>
      <c r="BX73" s="110">
        <f>IF(J73="","",IFERROR(J73*HSI!$B$68*HSI!$G$68/HSI!$B$3,""))</f>
        <v/>
      </c>
      <c r="BY73" s="110">
        <f>IF(K73="","",IFERROR(K73*HSI!$B$68*HSI!$G$68/HSI!$B$3,""))</f>
        <v/>
      </c>
      <c r="BZ73" s="110">
        <f>IF(L73="","",IFERROR(L73*HSI!$B$68*HSI!$G$68/HSI!$B$3,""))</f>
        <v/>
      </c>
      <c r="CA73" s="110">
        <f>IF(M73="","",IFERROR(M73*HSI!$B$68*HSI!$G$68/HSI!$B$3,""))</f>
        <v/>
      </c>
      <c r="CB73" s="110">
        <f>IF(N73="","",IFERROR(N73*HSI!$B$68*HSI!$G$68/HSI!$B$3,""))</f>
        <v/>
      </c>
      <c r="CC73" s="110">
        <f>IF(O73="","",IFERROR(O73*HSI!$B$68*HSI!$G$68/HSI!$B$3,""))</f>
        <v/>
      </c>
      <c r="CD73" s="110">
        <f>IF(P73="","",IFERROR(P73*HSI!$B$68*HSI!$G$68/HSI!$B$3,""))</f>
        <v/>
      </c>
      <c r="CE73" s="110">
        <f>IF(Q73="","",IFERROR(Q73*HSI!$B$68*HSI!$G$68/HSI!$B$3,""))</f>
        <v/>
      </c>
      <c r="CF73" s="110">
        <f>IF(R73="","",IFERROR(R73*HSI!$B$68*HSI!$G$68/HSI!$B$3,""))</f>
        <v/>
      </c>
      <c r="CG73" s="110">
        <f>IF(S73="","",IFERROR(S73*HSI!$B$68*HSI!$G$68/HSI!$B$3,""))</f>
        <v/>
      </c>
      <c r="CH73" s="110">
        <f>IF(T73="","",IFERROR(T73*HSI!$B$68*HSI!$G$68/HSI!$B$3,""))</f>
        <v/>
      </c>
      <c r="CI73" s="110">
        <f>IF(U73="","",IFERROR(U73*HSI!$B$68*HSI!$G$68/HSI!$B$3,""))</f>
        <v/>
      </c>
      <c r="CJ73" s="110">
        <f>IF(V73="","",IFERROR(V73*HSI!$B$68*HSI!$G$68/HSI!$B$3,""))</f>
        <v/>
      </c>
      <c r="CK73" s="110">
        <f>IF(W73="","",IFERROR(W73*HSI!$B$68*HSI!$G$68/HSI!$B$3,""))</f>
        <v/>
      </c>
      <c r="CL73" s="110">
        <f>IF(X73="","",IFERROR(X73*HSI!$B$68*HSI!$G$68/HSI!$B$3,""))</f>
        <v/>
      </c>
      <c r="CM73" s="110">
        <f>IF(Y73="","",IFERROR(Y73*HSI!$B$68*HSI!$G$68/HSI!$B$3,""))</f>
        <v/>
      </c>
      <c r="CN73" s="110">
        <f>IF(Z73="","",IFERROR(Z73*HSI!$B$68*HSI!$G$68/HSI!$B$3,""))</f>
        <v/>
      </c>
      <c r="CO73" s="110">
        <f>IF(AA73="","",IFERROR(AA73*HSI!$B$68*HSI!$G$68/HSI!$B$3,""))</f>
        <v/>
      </c>
      <c r="CP73" s="110">
        <f>IF(AB73="","",IFERROR(AB73*HSI!$B$68*HSI!$G$68/HSI!$B$3,""))</f>
        <v/>
      </c>
      <c r="CQ73" s="110">
        <f>IF(AC73="","",IFERROR(AC73*HSI!$B$68*HSI!$G$68/HSI!$B$3,""))</f>
        <v/>
      </c>
      <c r="CR73" s="110">
        <f>IF(AD73="","",IFERROR(AD73*HSI!$B$68*HSI!$G$68/HSI!$B$3,""))</f>
        <v/>
      </c>
      <c r="CS73" s="110">
        <f>IF(AE73="","",IFERROR(AE73*HSI!$B$68*HSI!$G$68/HSI!$B$3,""))</f>
        <v/>
      </c>
      <c r="CT73" s="110">
        <f>IF(AF73="","",IFERROR(AF73*HSI!$B$68*HSI!$G$68/HSI!$B$3,""))</f>
        <v/>
      </c>
      <c r="CU73" s="110">
        <f>IF(AG73="","",IFERROR(AG73*HSI!$B$68*HSI!$G$68/HSI!$B$3,""))</f>
        <v/>
      </c>
      <c r="CV73" s="110">
        <f>IF(AH73="","",IFERROR(AH73*HSI!$B$68*HSI!$G$68/HSI!$B$3,""))</f>
        <v/>
      </c>
      <c r="CW73" s="110">
        <f>IF(AI73="","",IFERROR(AI73*HSI!$B$68*HSI!$G$68/HSI!$B$3,""))</f>
        <v/>
      </c>
      <c r="CX73" s="110">
        <f>IF(AJ73="","",IFERROR(AJ73*HSI!$B$68*HSI!$G$68/HSI!$B$3,""))</f>
        <v/>
      </c>
      <c r="CY73" s="110">
        <f>IF(AK73="","",IFERROR(AK73*HSI!$B$68*HSI!$G$68/HSI!$B$3,""))</f>
        <v/>
      </c>
      <c r="CZ73" s="110">
        <f>IF(AL73="","",IFERROR(AL73*HSI!$B$68*HSI!$G$68/HSI!$B$3,""))</f>
        <v/>
      </c>
      <c r="DA73" s="110">
        <f>IF(AM73="","",IFERROR(AM73*HSI!$B$68*HSI!$G$68/HSI!$B$3,""))</f>
        <v/>
      </c>
      <c r="DB73" s="110">
        <f>IF(AN73="","",IFERROR(AN73*HSI!$B$68*HSI!$G$68/HSI!$B$3,""))</f>
        <v/>
      </c>
      <c r="DC73" s="110">
        <f>IF(AO73="","",IFERROR(AO73*HSI!$B$68*HSI!$G$68/HSI!$B$3,""))</f>
        <v/>
      </c>
      <c r="DD73" s="110">
        <f>IF(AP73="","",IFERROR(AP73*HSI!$B$68*HSI!$G$68/HSI!$B$3,""))</f>
        <v/>
      </c>
      <c r="DE73" s="110">
        <f>IF(AQ73="","",IFERROR(AQ73*HSI!$B$68*HSI!$G$68/HSI!$B$3,""))</f>
        <v/>
      </c>
      <c r="DF73" s="110">
        <f>IF(AR73="","",IFERROR(AR73*HSI!$B$68*HSI!$G$68/HSI!$B$3,""))</f>
        <v/>
      </c>
      <c r="DG73" s="110">
        <f>IF(AS73="","",IFERROR(AS73*HSI!$B$68*HSI!$G$68/HSI!$B$3,""))</f>
        <v/>
      </c>
      <c r="DH73" s="110">
        <f>IF(AT73="","",IFERROR(AT73*HSI!$B$68*HSI!$G$68/HSI!$B$3,""))</f>
        <v/>
      </c>
      <c r="DI73" s="110">
        <f>IF(AU73="","",IFERROR(AU73*HSI!$B$68*HSI!$G$68/HSI!$B$3,""))</f>
        <v/>
      </c>
      <c r="DJ73" s="110">
        <f>IF(AV73="","",IFERROR(AV73*HSI!$B$68*HSI!$G$68/HSI!$B$3,""))</f>
        <v/>
      </c>
      <c r="DK73" s="110">
        <f>IF(AW73="","",IFERROR(AW73*HSI!$B$68*HSI!$G$68/HSI!$B$3,""))</f>
        <v/>
      </c>
      <c r="DL73" s="110">
        <f>IF(AX73="","",IFERROR(AX73*HSI!$B$68*HSI!$G$68/HSI!$B$3,""))</f>
        <v/>
      </c>
      <c r="DM73" s="110">
        <f>IF(AY73="","",IFERROR(AY73*HSI!$B$68*HSI!$G$68/HSI!$B$3,""))</f>
        <v/>
      </c>
      <c r="DN73" s="110">
        <f>IF(AZ73="","",IFERROR(AZ73*HSI!$B$68*HSI!$G$68/HSI!$B$3,""))</f>
        <v/>
      </c>
      <c r="DO73" s="110">
        <f>IF(BA73="","",IFERROR(BA73*HSI!$B$68*HSI!$G$68/HSI!$B$3,""))</f>
        <v/>
      </c>
      <c r="DP73" s="110">
        <f>IF(BB73="","",IFERROR(BB73*HSI!$B$68*HSI!$G$68/HSI!$B$3,""))</f>
        <v/>
      </c>
      <c r="DQ73" s="110">
        <f>IF(BC73="","",IFERROR(BC73*HSI!$B$68*HSI!$G$68/HSI!$B$3,""))</f>
        <v/>
      </c>
      <c r="DR73" s="110">
        <f>IF(BD73="","",IFERROR(BD73*HSI!$B$68*HSI!$G$68/HSI!$B$3,""))</f>
        <v/>
      </c>
      <c r="DS73" s="110">
        <f>IF(BE73="","",IFERROR(BE73*HSI!$B$68*HSI!$G$68/HSI!$B$3,""))</f>
        <v/>
      </c>
      <c r="DT73" s="110">
        <f>IF(BF73="","",IFERROR(BF73*HSI!$B$68*HSI!$G$68/HSI!$B$3,""))</f>
        <v/>
      </c>
      <c r="DU73" s="110">
        <f>IF(BG73="","",IFERROR(BG73*HSI!$B$68*HSI!$G$68/HSI!$B$3,""))</f>
        <v/>
      </c>
      <c r="DV73" s="110">
        <f>IF(BH73="","",IFERROR(BH73*HSI!$B$68*HSI!$G$68/HSI!$B$3,""))</f>
        <v/>
      </c>
      <c r="DW73" s="110">
        <f>IF(BI73="","",IFERROR(BI73*HSI!$B$68*HSI!$G$68/HSI!$B$3,""))</f>
        <v/>
      </c>
      <c r="DX73" s="110">
        <f>IF(BJ73="","",IFERROR(BJ73*HSI!$B$68*HSI!$G$68/HSI!$B$3,""))</f>
        <v/>
      </c>
      <c r="DY73" s="110">
        <f>IF(BK73="","",IFERROR(BK73*HSI!$B$68*HSI!$G$68/HSI!$B$3,""))</f>
        <v/>
      </c>
      <c r="DZ73" s="110">
        <f>IF(BL73="","",IFERROR(BL73*HSI!$B$68*HSI!$G$68/HSI!$B$3,""))</f>
        <v/>
      </c>
      <c r="EA73" s="110">
        <f>IF(BM73="","",IFERROR(BM73*HSI!$B$68*HSI!$G$68/HSI!$B$3,""))</f>
        <v/>
      </c>
      <c r="EB73" s="110">
        <f>IF(BN73="","",IFERROR(BN73*HSI!$B$68*HSI!$G$68/HSI!$B$3,""))</f>
        <v/>
      </c>
      <c r="EC73" s="110">
        <f>IF(BO73="","",IFERROR(BO73*HSI!$B$68*HSI!$G$68/HSI!$B$3,""))</f>
        <v/>
      </c>
      <c r="EE73" s="39">
        <f>IF(N('Dvd Calendar'!$E$682)=0,"",IF(('Dvd Calendar'!$E$682&gt;=GRID_FROM)*('Dvd Calendar'!$E$682&lt;=GRID_TO)*((('Dvd Calendar'!$E$682&lt;=VAL_DATE)+(COUNTIF('Dvd Calendar'!$E$689:$AR$689,'Dvd Calendar'!$E$682)=0))&gt;0)=0,"",'Dvd Calendar'!$E$682*1000000000+ISNUMBER('Dvd Calendar'!$E$685)*100000000+('Dvd Calendar'!$E$687=SPECIAL_LBL)*10000000+(N('Dvd Calendar'!$E$681)&gt;0)*(N('Dvd Calendar'!$E$681)&lt;=VAL_SERIAL)*1000000+62*1000+1))</f>
        <v/>
      </c>
      <c r="EF73" s="39">
        <f>IF(N('Dvd Calendar'!$F$682)=0,"",IF(('Dvd Calendar'!$F$682&gt;=GRID_FROM)*('Dvd Calendar'!$F$682&lt;=GRID_TO)*((('Dvd Calendar'!$F$682&lt;=VAL_DATE)+(COUNTIF('Dvd Calendar'!$E$689:$AR$689,'Dvd Calendar'!$F$682)=0))&gt;0)=0,"",'Dvd Calendar'!$F$682*1000000000+ISNUMBER('Dvd Calendar'!$F$685)*100000000+('Dvd Calendar'!$F$687=SPECIAL_LBL)*10000000+(N('Dvd Calendar'!$F$681)&gt;0)*(N('Dvd Calendar'!$F$681)&lt;=VAL_SERIAL)*1000000+62*1000+2))</f>
        <v/>
      </c>
      <c r="EG73" s="39">
        <f>IF(N('Dvd Calendar'!$G$682)=0,"",IF(('Dvd Calendar'!$G$682&gt;=GRID_FROM)*('Dvd Calendar'!$G$682&lt;=GRID_TO)*((('Dvd Calendar'!$G$682&lt;=VAL_DATE)+(COUNTIF('Dvd Calendar'!$E$689:$AR$689,'Dvd Calendar'!$G$682)=0))&gt;0)=0,"",'Dvd Calendar'!$G$682*1000000000+ISNUMBER('Dvd Calendar'!$G$685)*100000000+('Dvd Calendar'!$G$687=SPECIAL_LBL)*10000000+(N('Dvd Calendar'!$G$681)&gt;0)*(N('Dvd Calendar'!$G$681)&lt;=VAL_SERIAL)*1000000+62*1000+3))</f>
        <v/>
      </c>
      <c r="EH73" s="39">
        <f>IF(N('Dvd Calendar'!$H$682)=0,"",IF(('Dvd Calendar'!$H$682&gt;=GRID_FROM)*('Dvd Calendar'!$H$682&lt;=GRID_TO)*((('Dvd Calendar'!$H$682&lt;=VAL_DATE)+(COUNTIF('Dvd Calendar'!$E$689:$AR$689,'Dvd Calendar'!$H$682)=0))&gt;0)=0,"",'Dvd Calendar'!$H$682*1000000000+ISNUMBER('Dvd Calendar'!$H$685)*100000000+('Dvd Calendar'!$H$687=SPECIAL_LBL)*10000000+(N('Dvd Calendar'!$H$681)&gt;0)*(N('Dvd Calendar'!$H$681)&lt;=VAL_SERIAL)*1000000+62*1000+4))</f>
        <v/>
      </c>
      <c r="EI73" s="39">
        <f>IF(N('Dvd Calendar'!$I$682)=0,"",IF(('Dvd Calendar'!$I$682&gt;=GRID_FROM)*('Dvd Calendar'!$I$682&lt;=GRID_TO)*((('Dvd Calendar'!$I$682&lt;=VAL_DATE)+(COUNTIF('Dvd Calendar'!$E$689:$AR$689,'Dvd Calendar'!$I$682)=0))&gt;0)=0,"",'Dvd Calendar'!$I$682*1000000000+ISNUMBER('Dvd Calendar'!$I$685)*100000000+('Dvd Calendar'!$I$687=SPECIAL_LBL)*10000000+(N('Dvd Calendar'!$I$681)&gt;0)*(N('Dvd Calendar'!$I$681)&lt;=VAL_SERIAL)*1000000+62*1000+5))</f>
        <v/>
      </c>
      <c r="EJ73" s="39">
        <f>IF(N('Dvd Calendar'!$J$682)=0,"",IF(('Dvd Calendar'!$J$682&gt;=GRID_FROM)*('Dvd Calendar'!$J$682&lt;=GRID_TO)*((('Dvd Calendar'!$J$682&lt;=VAL_DATE)+(COUNTIF('Dvd Calendar'!$E$689:$AR$689,'Dvd Calendar'!$J$682)=0))&gt;0)=0,"",'Dvd Calendar'!$J$682*1000000000+ISNUMBER('Dvd Calendar'!$J$685)*100000000+('Dvd Calendar'!$J$687=SPECIAL_LBL)*10000000+(N('Dvd Calendar'!$J$681)&gt;0)*(N('Dvd Calendar'!$J$681)&lt;=VAL_SERIAL)*1000000+62*1000+6))</f>
        <v/>
      </c>
      <c r="EK73" s="39">
        <f>IF(N('Dvd Calendar'!$K$682)=0,"",IF(('Dvd Calendar'!$K$682&gt;=GRID_FROM)*('Dvd Calendar'!$K$682&lt;=GRID_TO)*((('Dvd Calendar'!$K$682&lt;=VAL_DATE)+(COUNTIF('Dvd Calendar'!$E$689:$AR$689,'Dvd Calendar'!$K$682)=0))&gt;0)=0,"",'Dvd Calendar'!$K$682*1000000000+ISNUMBER('Dvd Calendar'!$K$685)*100000000+('Dvd Calendar'!$K$687=SPECIAL_LBL)*10000000+(N('Dvd Calendar'!$K$681)&gt;0)*(N('Dvd Calendar'!$K$681)&lt;=VAL_SERIAL)*1000000+62*1000+7))</f>
        <v/>
      </c>
      <c r="EL73" s="39">
        <f>IF(N('Dvd Calendar'!$L$682)=0,"",IF(('Dvd Calendar'!$L$682&gt;=GRID_FROM)*('Dvd Calendar'!$L$682&lt;=GRID_TO)*((('Dvd Calendar'!$L$682&lt;=VAL_DATE)+(COUNTIF('Dvd Calendar'!$E$689:$AR$689,'Dvd Calendar'!$L$682)=0))&gt;0)=0,"",'Dvd Calendar'!$L$682*1000000000+ISNUMBER('Dvd Calendar'!$L$685)*100000000+('Dvd Calendar'!$L$687=SPECIAL_LBL)*10000000+(N('Dvd Calendar'!$L$681)&gt;0)*(N('Dvd Calendar'!$L$681)&lt;=VAL_SERIAL)*1000000+62*1000+8))</f>
        <v/>
      </c>
      <c r="EM73" s="39">
        <f>IF(N('Dvd Calendar'!$M$682)=0,"",IF(('Dvd Calendar'!$M$682&gt;=GRID_FROM)*('Dvd Calendar'!$M$682&lt;=GRID_TO)*((('Dvd Calendar'!$M$682&lt;=VAL_DATE)+(COUNTIF('Dvd Calendar'!$E$689:$AR$689,'Dvd Calendar'!$M$682)=0))&gt;0)=0,"",'Dvd Calendar'!$M$682*1000000000+ISNUMBER('Dvd Calendar'!$M$685)*100000000+('Dvd Calendar'!$M$687=SPECIAL_LBL)*10000000+(N('Dvd Calendar'!$M$681)&gt;0)*(N('Dvd Calendar'!$M$681)&lt;=VAL_SERIAL)*1000000+62*1000+9))</f>
        <v/>
      </c>
      <c r="EN73" s="39">
        <f>IF(N('Dvd Calendar'!$N$682)=0,"",IF(('Dvd Calendar'!$N$682&gt;=GRID_FROM)*('Dvd Calendar'!$N$682&lt;=GRID_TO)*((('Dvd Calendar'!$N$682&lt;=VAL_DATE)+(COUNTIF('Dvd Calendar'!$E$689:$AR$689,'Dvd Calendar'!$N$682)=0))&gt;0)=0,"",'Dvd Calendar'!$N$682*1000000000+ISNUMBER('Dvd Calendar'!$N$685)*100000000+('Dvd Calendar'!$N$687=SPECIAL_LBL)*10000000+(N('Dvd Calendar'!$N$681)&gt;0)*(N('Dvd Calendar'!$N$681)&lt;=VAL_SERIAL)*1000000+62*1000+10))</f>
        <v/>
      </c>
      <c r="EO73" s="39">
        <f>IF(N('Dvd Calendar'!$O$682)=0,"",IF(('Dvd Calendar'!$O$682&gt;=GRID_FROM)*('Dvd Calendar'!$O$682&lt;=GRID_TO)*((('Dvd Calendar'!$O$682&lt;=VAL_DATE)+(COUNTIF('Dvd Calendar'!$E$689:$AR$689,'Dvd Calendar'!$O$682)=0))&gt;0)=0,"",'Dvd Calendar'!$O$682*1000000000+ISNUMBER('Dvd Calendar'!$O$685)*100000000+('Dvd Calendar'!$O$687=SPECIAL_LBL)*10000000+(N('Dvd Calendar'!$O$681)&gt;0)*(N('Dvd Calendar'!$O$681)&lt;=VAL_SERIAL)*1000000+62*1000+11))</f>
        <v/>
      </c>
      <c r="EP73" s="39">
        <f>IF(N('Dvd Calendar'!$P$682)=0,"",IF(('Dvd Calendar'!$P$682&gt;=GRID_FROM)*('Dvd Calendar'!$P$682&lt;=GRID_TO)*((('Dvd Calendar'!$P$682&lt;=VAL_DATE)+(COUNTIF('Dvd Calendar'!$E$689:$AR$689,'Dvd Calendar'!$P$682)=0))&gt;0)=0,"",'Dvd Calendar'!$P$682*1000000000+ISNUMBER('Dvd Calendar'!$P$685)*100000000+('Dvd Calendar'!$P$687=SPECIAL_LBL)*10000000+(N('Dvd Calendar'!$P$681)&gt;0)*(N('Dvd Calendar'!$P$681)&lt;=VAL_SERIAL)*1000000+62*1000+12))</f>
        <v/>
      </c>
      <c r="EQ73" s="39">
        <f>IF(N('Dvd Calendar'!$Q$682)=0,"",IF(('Dvd Calendar'!$Q$682&gt;=GRID_FROM)*('Dvd Calendar'!$Q$682&lt;=GRID_TO)*((('Dvd Calendar'!$Q$682&lt;=VAL_DATE)+(COUNTIF('Dvd Calendar'!$E$689:$AR$689,'Dvd Calendar'!$Q$682)=0))&gt;0)=0,"",'Dvd Calendar'!$Q$682*1000000000+ISNUMBER('Dvd Calendar'!$Q$685)*100000000+('Dvd Calendar'!$Q$687=SPECIAL_LBL)*10000000+(N('Dvd Calendar'!$Q$681)&gt;0)*(N('Dvd Calendar'!$Q$681)&lt;=VAL_SERIAL)*1000000+62*1000+13))</f>
        <v/>
      </c>
      <c r="ER73" s="39">
        <f>IF(N('Dvd Calendar'!$R$682)=0,"",IF(('Dvd Calendar'!$R$682&gt;=GRID_FROM)*('Dvd Calendar'!$R$682&lt;=GRID_TO)*((('Dvd Calendar'!$R$682&lt;=VAL_DATE)+(COUNTIF('Dvd Calendar'!$E$689:$AR$689,'Dvd Calendar'!$R$682)=0))&gt;0)=0,"",'Dvd Calendar'!$R$682*1000000000+ISNUMBER('Dvd Calendar'!$R$685)*100000000+('Dvd Calendar'!$R$687=SPECIAL_LBL)*10000000+(N('Dvd Calendar'!$R$681)&gt;0)*(N('Dvd Calendar'!$R$681)&lt;=VAL_SERIAL)*1000000+62*1000+14))</f>
        <v/>
      </c>
      <c r="ES73" s="39">
        <f>IF(N('Dvd Calendar'!$S$682)=0,"",IF(('Dvd Calendar'!$S$682&gt;=GRID_FROM)*('Dvd Calendar'!$S$682&lt;=GRID_TO)*((('Dvd Calendar'!$S$682&lt;=VAL_DATE)+(COUNTIF('Dvd Calendar'!$E$689:$AR$689,'Dvd Calendar'!$S$682)=0))&gt;0)=0,"",'Dvd Calendar'!$S$682*1000000000+ISNUMBER('Dvd Calendar'!$S$685)*100000000+('Dvd Calendar'!$S$687=SPECIAL_LBL)*10000000+(N('Dvd Calendar'!$S$681)&gt;0)*(N('Dvd Calendar'!$S$681)&lt;=VAL_SERIAL)*1000000+62*1000+15))</f>
        <v/>
      </c>
      <c r="ET73" s="39">
        <f>IF(N('Dvd Calendar'!$T$682)=0,"",IF(('Dvd Calendar'!$T$682&gt;=GRID_FROM)*('Dvd Calendar'!$T$682&lt;=GRID_TO)*((('Dvd Calendar'!$T$682&lt;=VAL_DATE)+(COUNTIF('Dvd Calendar'!$E$689:$AR$689,'Dvd Calendar'!$T$682)=0))&gt;0)=0,"",'Dvd Calendar'!$T$682*1000000000+ISNUMBER('Dvd Calendar'!$T$685)*100000000+('Dvd Calendar'!$T$687=SPECIAL_LBL)*10000000+(N('Dvd Calendar'!$T$681)&gt;0)*(N('Dvd Calendar'!$T$681)&lt;=VAL_SERIAL)*1000000+62*1000+16))</f>
        <v/>
      </c>
      <c r="EU73" s="39">
        <f>IF(N('Dvd Calendar'!$U$682)=0,"",IF(('Dvd Calendar'!$U$682&gt;=GRID_FROM)*('Dvd Calendar'!$U$682&lt;=GRID_TO)*((('Dvd Calendar'!$U$682&lt;=VAL_DATE)+(COUNTIF('Dvd Calendar'!$E$689:$AR$689,'Dvd Calendar'!$U$682)=0))&gt;0)=0,"",'Dvd Calendar'!$U$682*1000000000+ISNUMBER('Dvd Calendar'!$U$685)*100000000+('Dvd Calendar'!$U$687=SPECIAL_LBL)*10000000+(N('Dvd Calendar'!$U$681)&gt;0)*(N('Dvd Calendar'!$U$681)&lt;=VAL_SERIAL)*1000000+62*1000+17))</f>
        <v/>
      </c>
      <c r="EV73" s="39">
        <f>IF(N('Dvd Calendar'!$V$682)=0,"",IF(('Dvd Calendar'!$V$682&gt;=GRID_FROM)*('Dvd Calendar'!$V$682&lt;=GRID_TO)*((('Dvd Calendar'!$V$682&lt;=VAL_DATE)+(COUNTIF('Dvd Calendar'!$E$689:$AR$689,'Dvd Calendar'!$V$682)=0))&gt;0)=0,"",'Dvd Calendar'!$V$682*1000000000+ISNUMBER('Dvd Calendar'!$V$685)*100000000+('Dvd Calendar'!$V$687=SPECIAL_LBL)*10000000+(N('Dvd Calendar'!$V$681)&gt;0)*(N('Dvd Calendar'!$V$681)&lt;=VAL_SERIAL)*1000000+62*1000+18))</f>
        <v/>
      </c>
      <c r="EW73" s="39">
        <f>IF(N('Dvd Calendar'!$W$682)=0,"",IF(('Dvd Calendar'!$W$682&gt;=GRID_FROM)*('Dvd Calendar'!$W$682&lt;=GRID_TO)*((('Dvd Calendar'!$W$682&lt;=VAL_DATE)+(COUNTIF('Dvd Calendar'!$E$689:$AR$689,'Dvd Calendar'!$W$682)=0))&gt;0)=0,"",'Dvd Calendar'!$W$682*1000000000+ISNUMBER('Dvd Calendar'!$W$685)*100000000+('Dvd Calendar'!$W$687=SPECIAL_LBL)*10000000+(N('Dvd Calendar'!$W$681)&gt;0)*(N('Dvd Calendar'!$W$681)&lt;=VAL_SERIAL)*1000000+62*1000+19))</f>
        <v/>
      </c>
      <c r="EX73" s="39">
        <f>IF(N('Dvd Calendar'!$X$682)=0,"",IF(('Dvd Calendar'!$X$682&gt;=GRID_FROM)*('Dvd Calendar'!$X$682&lt;=GRID_TO)*((('Dvd Calendar'!$X$682&lt;=VAL_DATE)+(COUNTIF('Dvd Calendar'!$E$689:$AR$689,'Dvd Calendar'!$X$682)=0))&gt;0)=0,"",'Dvd Calendar'!$X$682*1000000000+ISNUMBER('Dvd Calendar'!$X$685)*100000000+('Dvd Calendar'!$X$687=SPECIAL_LBL)*10000000+(N('Dvd Calendar'!$X$681)&gt;0)*(N('Dvd Calendar'!$X$681)&lt;=VAL_SERIAL)*1000000+62*1000+20))</f>
        <v/>
      </c>
      <c r="EY73" s="39">
        <f>IF(N('Dvd Calendar'!$Y$682)=0,"",IF(('Dvd Calendar'!$Y$682&gt;=GRID_FROM)*('Dvd Calendar'!$Y$682&lt;=GRID_TO)*((('Dvd Calendar'!$Y$682&lt;=VAL_DATE)+(COUNTIF('Dvd Calendar'!$E$689:$AR$689,'Dvd Calendar'!$Y$682)=0))&gt;0)=0,"",'Dvd Calendar'!$Y$682*1000000000+ISNUMBER('Dvd Calendar'!$Y$685)*100000000+('Dvd Calendar'!$Y$687=SPECIAL_LBL)*10000000+(N('Dvd Calendar'!$Y$681)&gt;0)*(N('Dvd Calendar'!$Y$681)&lt;=VAL_SERIAL)*1000000+62*1000+21))</f>
        <v/>
      </c>
      <c r="EZ73" s="39">
        <f>IF(N('Dvd Calendar'!$Z$682)=0,"",IF(('Dvd Calendar'!$Z$682&gt;=GRID_FROM)*('Dvd Calendar'!$Z$682&lt;=GRID_TO)*((('Dvd Calendar'!$Z$682&lt;=VAL_DATE)+(COUNTIF('Dvd Calendar'!$E$689:$AR$689,'Dvd Calendar'!$Z$682)=0))&gt;0)=0,"",'Dvd Calendar'!$Z$682*1000000000+ISNUMBER('Dvd Calendar'!$Z$685)*100000000+('Dvd Calendar'!$Z$687=SPECIAL_LBL)*10000000+(N('Dvd Calendar'!$Z$681)&gt;0)*(N('Dvd Calendar'!$Z$681)&lt;=VAL_SERIAL)*1000000+62*1000+22))</f>
        <v/>
      </c>
      <c r="FA73" s="39">
        <f>IF(N('Dvd Calendar'!$AA$682)=0,"",IF(('Dvd Calendar'!$AA$682&gt;=GRID_FROM)*('Dvd Calendar'!$AA$682&lt;=GRID_TO)*((('Dvd Calendar'!$AA$682&lt;=VAL_DATE)+(COUNTIF('Dvd Calendar'!$E$689:$AR$689,'Dvd Calendar'!$AA$682)=0))&gt;0)=0,"",'Dvd Calendar'!$AA$682*1000000000+ISNUMBER('Dvd Calendar'!$AA$685)*100000000+('Dvd Calendar'!$AA$687=SPECIAL_LBL)*10000000+(N('Dvd Calendar'!$AA$681)&gt;0)*(N('Dvd Calendar'!$AA$681)&lt;=VAL_SERIAL)*1000000+62*1000+23))</f>
        <v/>
      </c>
      <c r="FB73" s="39">
        <f>IF(N('Dvd Calendar'!$AB$682)=0,"",IF(('Dvd Calendar'!$AB$682&gt;=GRID_FROM)*('Dvd Calendar'!$AB$682&lt;=GRID_TO)*((('Dvd Calendar'!$AB$682&lt;=VAL_DATE)+(COUNTIF('Dvd Calendar'!$E$689:$AR$689,'Dvd Calendar'!$AB$682)=0))&gt;0)=0,"",'Dvd Calendar'!$AB$682*1000000000+ISNUMBER('Dvd Calendar'!$AB$685)*100000000+('Dvd Calendar'!$AB$687=SPECIAL_LBL)*10000000+(N('Dvd Calendar'!$AB$681)&gt;0)*(N('Dvd Calendar'!$AB$681)&lt;=VAL_SERIAL)*1000000+62*1000+24))</f>
        <v/>
      </c>
      <c r="FC73" s="39">
        <f>IF(N('Dvd Calendar'!$AC$682)=0,"",IF(('Dvd Calendar'!$AC$682&gt;=GRID_FROM)*('Dvd Calendar'!$AC$682&lt;=GRID_TO)*((('Dvd Calendar'!$AC$682&lt;=VAL_DATE)+(COUNTIF('Dvd Calendar'!$E$689:$AR$689,'Dvd Calendar'!$AC$682)=0))&gt;0)=0,"",'Dvd Calendar'!$AC$682*1000000000+ISNUMBER('Dvd Calendar'!$AC$685)*100000000+('Dvd Calendar'!$AC$687=SPECIAL_LBL)*10000000+(N('Dvd Calendar'!$AC$681)&gt;0)*(N('Dvd Calendar'!$AC$681)&lt;=VAL_SERIAL)*1000000+62*1000+25))</f>
        <v/>
      </c>
      <c r="FD73" s="39">
        <f>IF(N('Dvd Calendar'!$AD$682)=0,"",IF(('Dvd Calendar'!$AD$682&gt;=GRID_FROM)*('Dvd Calendar'!$AD$682&lt;=GRID_TO)*((('Dvd Calendar'!$AD$682&lt;=VAL_DATE)+(COUNTIF('Dvd Calendar'!$E$689:$AR$689,'Dvd Calendar'!$AD$682)=0))&gt;0)=0,"",'Dvd Calendar'!$AD$682*1000000000+ISNUMBER('Dvd Calendar'!$AD$685)*100000000+('Dvd Calendar'!$AD$687=SPECIAL_LBL)*10000000+(N('Dvd Calendar'!$AD$681)&gt;0)*(N('Dvd Calendar'!$AD$681)&lt;=VAL_SERIAL)*1000000+62*1000+26))</f>
        <v/>
      </c>
      <c r="FE73" s="39">
        <f>IF(N('Dvd Calendar'!$AE$682)=0,"",IF(('Dvd Calendar'!$AE$682&gt;=GRID_FROM)*('Dvd Calendar'!$AE$682&lt;=GRID_TO)*((('Dvd Calendar'!$AE$682&lt;=VAL_DATE)+(COUNTIF('Dvd Calendar'!$E$689:$AR$689,'Dvd Calendar'!$AE$682)=0))&gt;0)=0,"",'Dvd Calendar'!$AE$682*1000000000+ISNUMBER('Dvd Calendar'!$AE$685)*100000000+('Dvd Calendar'!$AE$687=SPECIAL_LBL)*10000000+(N('Dvd Calendar'!$AE$681)&gt;0)*(N('Dvd Calendar'!$AE$681)&lt;=VAL_SERIAL)*1000000+62*1000+27))</f>
        <v/>
      </c>
      <c r="FF73" s="39">
        <f>IF(N('Dvd Calendar'!$AF$682)=0,"",IF(('Dvd Calendar'!$AF$682&gt;=GRID_FROM)*('Dvd Calendar'!$AF$682&lt;=GRID_TO)*((('Dvd Calendar'!$AF$682&lt;=VAL_DATE)+(COUNTIF('Dvd Calendar'!$E$689:$AR$689,'Dvd Calendar'!$AF$682)=0))&gt;0)=0,"",'Dvd Calendar'!$AF$682*1000000000+ISNUMBER('Dvd Calendar'!$AF$685)*100000000+('Dvd Calendar'!$AF$687=SPECIAL_LBL)*10000000+(N('Dvd Calendar'!$AF$681)&gt;0)*(N('Dvd Calendar'!$AF$681)&lt;=VAL_SERIAL)*1000000+62*1000+28))</f>
        <v/>
      </c>
      <c r="FG73" s="39">
        <f>IF(N('Dvd Calendar'!$AG$682)=0,"",IF(('Dvd Calendar'!$AG$682&gt;=GRID_FROM)*('Dvd Calendar'!$AG$682&lt;=GRID_TO)*((('Dvd Calendar'!$AG$682&lt;=VAL_DATE)+(COUNTIF('Dvd Calendar'!$E$689:$AR$689,'Dvd Calendar'!$AG$682)=0))&gt;0)=0,"",'Dvd Calendar'!$AG$682*1000000000+ISNUMBER('Dvd Calendar'!$AG$685)*100000000+('Dvd Calendar'!$AG$687=SPECIAL_LBL)*10000000+(N('Dvd Calendar'!$AG$681)&gt;0)*(N('Dvd Calendar'!$AG$681)&lt;=VAL_SERIAL)*1000000+62*1000+29))</f>
        <v/>
      </c>
      <c r="FH73" s="39">
        <f>IF(N('Dvd Calendar'!$AH$682)=0,"",IF(('Dvd Calendar'!$AH$682&gt;=GRID_FROM)*('Dvd Calendar'!$AH$682&lt;=GRID_TO)*((('Dvd Calendar'!$AH$682&lt;=VAL_DATE)+(COUNTIF('Dvd Calendar'!$E$689:$AR$689,'Dvd Calendar'!$AH$682)=0))&gt;0)=0,"",'Dvd Calendar'!$AH$682*1000000000+ISNUMBER('Dvd Calendar'!$AH$685)*100000000+('Dvd Calendar'!$AH$687=SPECIAL_LBL)*10000000+(N('Dvd Calendar'!$AH$681)&gt;0)*(N('Dvd Calendar'!$AH$681)&lt;=VAL_SERIAL)*1000000+62*1000+30))</f>
        <v/>
      </c>
      <c r="FI73" s="39">
        <f>IF(N('Dvd Calendar'!$AI$682)=0,"",IF(('Dvd Calendar'!$AI$682&gt;=GRID_FROM)*('Dvd Calendar'!$AI$682&lt;=GRID_TO)*((('Dvd Calendar'!$AI$682&lt;=VAL_DATE)+(COUNTIF('Dvd Calendar'!$E$689:$AR$689,'Dvd Calendar'!$AI$682)=0))&gt;0)=0,"",'Dvd Calendar'!$AI$682*1000000000+ISNUMBER('Dvd Calendar'!$AI$685)*100000000+('Dvd Calendar'!$AI$687=SPECIAL_LBL)*10000000+(N('Dvd Calendar'!$AI$681)&gt;0)*(N('Dvd Calendar'!$AI$681)&lt;=VAL_SERIAL)*1000000+62*1000+31))</f>
        <v/>
      </c>
      <c r="FJ73" s="39">
        <f>IF(N('Dvd Calendar'!$AJ$682)=0,"",IF(('Dvd Calendar'!$AJ$682&gt;=GRID_FROM)*('Dvd Calendar'!$AJ$682&lt;=GRID_TO)*((('Dvd Calendar'!$AJ$682&lt;=VAL_DATE)+(COUNTIF('Dvd Calendar'!$E$689:$AR$689,'Dvd Calendar'!$AJ$682)=0))&gt;0)=0,"",'Dvd Calendar'!$AJ$682*1000000000+ISNUMBER('Dvd Calendar'!$AJ$685)*100000000+('Dvd Calendar'!$AJ$687=SPECIAL_LBL)*10000000+(N('Dvd Calendar'!$AJ$681)&gt;0)*(N('Dvd Calendar'!$AJ$681)&lt;=VAL_SERIAL)*1000000+62*1000+32))</f>
        <v/>
      </c>
      <c r="FK73" s="39">
        <f>IF(N('Dvd Calendar'!$AK$682)=0,"",IF(('Dvd Calendar'!$AK$682&gt;=GRID_FROM)*('Dvd Calendar'!$AK$682&lt;=GRID_TO)*((('Dvd Calendar'!$AK$682&lt;=VAL_DATE)+(COUNTIF('Dvd Calendar'!$E$689:$AR$689,'Dvd Calendar'!$AK$682)=0))&gt;0)=0,"",'Dvd Calendar'!$AK$682*1000000000+ISNUMBER('Dvd Calendar'!$AK$685)*100000000+('Dvd Calendar'!$AK$687=SPECIAL_LBL)*10000000+(N('Dvd Calendar'!$AK$681)&gt;0)*(N('Dvd Calendar'!$AK$681)&lt;=VAL_SERIAL)*1000000+62*1000+33))</f>
        <v/>
      </c>
      <c r="FL73" s="39">
        <f>IF(N('Dvd Calendar'!$AL$682)=0,"",IF(('Dvd Calendar'!$AL$682&gt;=GRID_FROM)*('Dvd Calendar'!$AL$682&lt;=GRID_TO)*((('Dvd Calendar'!$AL$682&lt;=VAL_DATE)+(COUNTIF('Dvd Calendar'!$E$689:$AR$689,'Dvd Calendar'!$AL$682)=0))&gt;0)=0,"",'Dvd Calendar'!$AL$682*1000000000+ISNUMBER('Dvd Calendar'!$AL$685)*100000000+('Dvd Calendar'!$AL$687=SPECIAL_LBL)*10000000+(N('Dvd Calendar'!$AL$681)&gt;0)*(N('Dvd Calendar'!$AL$681)&lt;=VAL_SERIAL)*1000000+62*1000+34))</f>
        <v/>
      </c>
      <c r="FM73" s="39">
        <f>IF(N('Dvd Calendar'!$AM$682)=0,"",IF(('Dvd Calendar'!$AM$682&gt;=GRID_FROM)*('Dvd Calendar'!$AM$682&lt;=GRID_TO)*((('Dvd Calendar'!$AM$682&lt;=VAL_DATE)+(COUNTIF('Dvd Calendar'!$E$689:$AR$689,'Dvd Calendar'!$AM$682)=0))&gt;0)=0,"",'Dvd Calendar'!$AM$682*1000000000+ISNUMBER('Dvd Calendar'!$AM$685)*100000000+('Dvd Calendar'!$AM$687=SPECIAL_LBL)*10000000+(N('Dvd Calendar'!$AM$681)&gt;0)*(N('Dvd Calendar'!$AM$681)&lt;=VAL_SERIAL)*1000000+62*1000+35))</f>
        <v/>
      </c>
      <c r="FN73" s="39">
        <f>IF(N('Dvd Calendar'!$AN$682)=0,"",IF(('Dvd Calendar'!$AN$682&gt;=GRID_FROM)*('Dvd Calendar'!$AN$682&lt;=GRID_TO)*((('Dvd Calendar'!$AN$682&lt;=VAL_DATE)+(COUNTIF('Dvd Calendar'!$E$689:$AR$689,'Dvd Calendar'!$AN$682)=0))&gt;0)=0,"",'Dvd Calendar'!$AN$682*1000000000+ISNUMBER('Dvd Calendar'!$AN$685)*100000000+('Dvd Calendar'!$AN$687=SPECIAL_LBL)*10000000+(N('Dvd Calendar'!$AN$681)&gt;0)*(N('Dvd Calendar'!$AN$681)&lt;=VAL_SERIAL)*1000000+62*1000+36))</f>
        <v/>
      </c>
      <c r="FO73" s="39">
        <f>IF(N('Dvd Calendar'!$AO$682)=0,"",IF(('Dvd Calendar'!$AO$682&gt;=GRID_FROM)*('Dvd Calendar'!$AO$682&lt;=GRID_TO)*((('Dvd Calendar'!$AO$682&lt;=VAL_DATE)+(COUNTIF('Dvd Calendar'!$E$689:$AR$689,'Dvd Calendar'!$AO$682)=0))&gt;0)=0,"",'Dvd Calendar'!$AO$682*1000000000+ISNUMBER('Dvd Calendar'!$AO$685)*100000000+('Dvd Calendar'!$AO$687=SPECIAL_LBL)*10000000+(N('Dvd Calendar'!$AO$681)&gt;0)*(N('Dvd Calendar'!$AO$681)&lt;=VAL_SERIAL)*1000000+62*1000+37))</f>
        <v/>
      </c>
      <c r="FP73" s="39">
        <f>IF(N('Dvd Calendar'!$AP$682)=0,"",IF(('Dvd Calendar'!$AP$682&gt;=GRID_FROM)*('Dvd Calendar'!$AP$682&lt;=GRID_TO)*((('Dvd Calendar'!$AP$682&lt;=VAL_DATE)+(COUNTIF('Dvd Calendar'!$E$689:$AR$689,'Dvd Calendar'!$AP$682)=0))&gt;0)=0,"",'Dvd Calendar'!$AP$682*1000000000+ISNUMBER('Dvd Calendar'!$AP$685)*100000000+('Dvd Calendar'!$AP$687=SPECIAL_LBL)*10000000+(N('Dvd Calendar'!$AP$681)&gt;0)*(N('Dvd Calendar'!$AP$681)&lt;=VAL_SERIAL)*1000000+62*1000+38))</f>
        <v/>
      </c>
      <c r="FQ73" s="39">
        <f>IF(N('Dvd Calendar'!$AQ$682)=0,"",IF(('Dvd Calendar'!$AQ$682&gt;=GRID_FROM)*('Dvd Calendar'!$AQ$682&lt;=GRID_TO)*((('Dvd Calendar'!$AQ$682&lt;=VAL_DATE)+(COUNTIF('Dvd Calendar'!$E$689:$AR$689,'Dvd Calendar'!$AQ$682)=0))&gt;0)=0,"",'Dvd Calendar'!$AQ$682*1000000000+ISNUMBER('Dvd Calendar'!$AQ$685)*100000000+('Dvd Calendar'!$AQ$687=SPECIAL_LBL)*10000000+(N('Dvd Calendar'!$AQ$681)&gt;0)*(N('Dvd Calendar'!$AQ$681)&lt;=VAL_SERIAL)*1000000+62*1000+39))</f>
        <v/>
      </c>
      <c r="FR73" s="39">
        <f>IF(N('Dvd Calendar'!$AR$682)=0,"",IF(('Dvd Calendar'!$AR$682&gt;=GRID_FROM)*('Dvd Calendar'!$AR$682&lt;=GRID_TO)*((('Dvd Calendar'!$AR$682&lt;=VAL_DATE)+(COUNTIF('Dvd Calendar'!$E$689:$AR$689,'Dvd Calendar'!$AR$682)=0))&gt;0)=0,"",'Dvd Calendar'!$AR$682*1000000000+ISNUMBER('Dvd Calendar'!$AR$685)*100000000+('Dvd Calendar'!$AR$687=SPECIAL_LBL)*10000000+(N('Dvd Calendar'!$AR$681)&gt;0)*(N('Dvd Calendar'!$AR$681)&lt;=VAL_SERIAL)*1000000+62*1000+40))</f>
        <v/>
      </c>
      <c r="FS73" s="39">
        <f>IF(N('Dvd Calendar'!$E$689)=0,"",IF(('Dvd Calendar'!$E$689&gt;=GRID_FROM)*('Dvd Calendar'!$E$689&lt;=GRID_TO)*('Dvd Calendar'!$E$689&gt;VAL_DATE)=0,"",'Dvd Calendar'!$E$689*1000000000+ISNUMBER('Dvd Calendar'!$E$690)*100000000+0*10000000+(N('Dvd Calendar'!$E$688)&gt;0)*(N('Dvd Calendar'!$E$688)&lt;=VAL_SERIAL)*1000000+62*1000+41))</f>
        <v/>
      </c>
      <c r="FT73" s="39">
        <f>IF(N('Dvd Calendar'!$F$689)=0,"",IF(('Dvd Calendar'!$F$689&gt;=GRID_FROM)*('Dvd Calendar'!$F$689&lt;=GRID_TO)*('Dvd Calendar'!$F$689&gt;VAL_DATE)=0,"",'Dvd Calendar'!$F$689*1000000000+ISNUMBER('Dvd Calendar'!$F$690)*100000000+0*10000000+(N('Dvd Calendar'!$F$688)&gt;0)*(N('Dvd Calendar'!$F$688)&lt;=VAL_SERIAL)*1000000+62*1000+42))</f>
        <v/>
      </c>
      <c r="FU73" s="39">
        <f>IF(N('Dvd Calendar'!$G$689)=0,"",IF(('Dvd Calendar'!$G$689&gt;=GRID_FROM)*('Dvd Calendar'!$G$689&lt;=GRID_TO)*('Dvd Calendar'!$G$689&gt;VAL_DATE)=0,"",'Dvd Calendar'!$G$689*1000000000+ISNUMBER('Dvd Calendar'!$G$690)*100000000+0*10000000+(N('Dvd Calendar'!$G$688)&gt;0)*(N('Dvd Calendar'!$G$688)&lt;=VAL_SERIAL)*1000000+62*1000+43))</f>
        <v/>
      </c>
      <c r="FV73" s="39">
        <f>IF(N('Dvd Calendar'!$H$689)=0,"",IF(('Dvd Calendar'!$H$689&gt;=GRID_FROM)*('Dvd Calendar'!$H$689&lt;=GRID_TO)*('Dvd Calendar'!$H$689&gt;VAL_DATE)=0,"",'Dvd Calendar'!$H$689*1000000000+ISNUMBER('Dvd Calendar'!$H$690)*100000000+0*10000000+(N('Dvd Calendar'!$H$688)&gt;0)*(N('Dvd Calendar'!$H$688)&lt;=VAL_SERIAL)*1000000+62*1000+44))</f>
        <v/>
      </c>
      <c r="FW73" s="39">
        <f>IF(N('Dvd Calendar'!$I$689)=0,"",IF(('Dvd Calendar'!$I$689&gt;=GRID_FROM)*('Dvd Calendar'!$I$689&lt;=GRID_TO)*('Dvd Calendar'!$I$689&gt;VAL_DATE)=0,"",'Dvd Calendar'!$I$689*1000000000+ISNUMBER('Dvd Calendar'!$I$690)*100000000+0*10000000+(N('Dvd Calendar'!$I$688)&gt;0)*(N('Dvd Calendar'!$I$688)&lt;=VAL_SERIAL)*1000000+62*1000+45))</f>
        <v/>
      </c>
      <c r="FX73" s="39">
        <f>IF(N('Dvd Calendar'!$J$689)=0,"",IF(('Dvd Calendar'!$J$689&gt;=GRID_FROM)*('Dvd Calendar'!$J$689&lt;=GRID_TO)*('Dvd Calendar'!$J$689&gt;VAL_DATE)=0,"",'Dvd Calendar'!$J$689*1000000000+ISNUMBER('Dvd Calendar'!$J$690)*100000000+0*10000000+(N('Dvd Calendar'!$J$688)&gt;0)*(N('Dvd Calendar'!$J$688)&lt;=VAL_SERIAL)*1000000+62*1000+46))</f>
        <v/>
      </c>
      <c r="FY73" s="39">
        <f>IF(N('Dvd Calendar'!$K$689)=0,"",IF(('Dvd Calendar'!$K$689&gt;=GRID_FROM)*('Dvd Calendar'!$K$689&lt;=GRID_TO)*('Dvd Calendar'!$K$689&gt;VAL_DATE)=0,"",'Dvd Calendar'!$K$689*1000000000+ISNUMBER('Dvd Calendar'!$K$690)*100000000+0*10000000+(N('Dvd Calendar'!$K$688)&gt;0)*(N('Dvd Calendar'!$K$688)&lt;=VAL_SERIAL)*1000000+62*1000+47))</f>
        <v/>
      </c>
      <c r="FZ73" s="39">
        <f>IF(N('Dvd Calendar'!$L$689)=0,"",IF(('Dvd Calendar'!$L$689&gt;=GRID_FROM)*('Dvd Calendar'!$L$689&lt;=GRID_TO)*('Dvd Calendar'!$L$689&gt;VAL_DATE)=0,"",'Dvd Calendar'!$L$689*1000000000+ISNUMBER('Dvd Calendar'!$L$690)*100000000+0*10000000+(N('Dvd Calendar'!$L$688)&gt;0)*(N('Dvd Calendar'!$L$688)&lt;=VAL_SERIAL)*1000000+62*1000+48))</f>
        <v/>
      </c>
      <c r="GA73" s="39">
        <f>IF(N('Dvd Calendar'!$M$689)=0,"",IF(('Dvd Calendar'!$M$689&gt;=GRID_FROM)*('Dvd Calendar'!$M$689&lt;=GRID_TO)*('Dvd Calendar'!$M$689&gt;VAL_DATE)=0,"",'Dvd Calendar'!$M$689*1000000000+ISNUMBER('Dvd Calendar'!$M$690)*100000000+0*10000000+(N('Dvd Calendar'!$M$688)&gt;0)*(N('Dvd Calendar'!$M$688)&lt;=VAL_SERIAL)*1000000+62*1000+49))</f>
        <v/>
      </c>
      <c r="GB73" s="39">
        <f>IF(N('Dvd Calendar'!$N$689)=0,"",IF(('Dvd Calendar'!$N$689&gt;=GRID_FROM)*('Dvd Calendar'!$N$689&lt;=GRID_TO)*('Dvd Calendar'!$N$689&gt;VAL_DATE)=0,"",'Dvd Calendar'!$N$689*1000000000+ISNUMBER('Dvd Calendar'!$N$690)*100000000+0*10000000+(N('Dvd Calendar'!$N$688)&gt;0)*(N('Dvd Calendar'!$N$688)&lt;=VAL_SERIAL)*1000000+62*1000+50))</f>
        <v/>
      </c>
      <c r="GC73" s="39">
        <f>IF(N('Dvd Calendar'!$O$689)=0,"",IF(('Dvd Calendar'!$O$689&gt;=GRID_FROM)*('Dvd Calendar'!$O$689&lt;=GRID_TO)*('Dvd Calendar'!$O$689&gt;VAL_DATE)=0,"",'Dvd Calendar'!$O$689*1000000000+ISNUMBER('Dvd Calendar'!$O$690)*100000000+0*10000000+(N('Dvd Calendar'!$O$688)&gt;0)*(N('Dvd Calendar'!$O$688)&lt;=VAL_SERIAL)*1000000+62*1000+51))</f>
        <v/>
      </c>
      <c r="GD73" s="39">
        <f>IF(N('Dvd Calendar'!$P$689)=0,"",IF(('Dvd Calendar'!$P$689&gt;=GRID_FROM)*('Dvd Calendar'!$P$689&lt;=GRID_TO)*('Dvd Calendar'!$P$689&gt;VAL_DATE)=0,"",'Dvd Calendar'!$P$689*1000000000+ISNUMBER('Dvd Calendar'!$P$690)*100000000+0*10000000+(N('Dvd Calendar'!$P$688)&gt;0)*(N('Dvd Calendar'!$P$688)&lt;=VAL_SERIAL)*1000000+62*1000+52))</f>
        <v/>
      </c>
      <c r="GE73" s="39">
        <f>IF(N('Dvd Calendar'!$Q$689)=0,"",IF(('Dvd Calendar'!$Q$689&gt;=GRID_FROM)*('Dvd Calendar'!$Q$689&lt;=GRID_TO)*('Dvd Calendar'!$Q$689&gt;VAL_DATE)=0,"",'Dvd Calendar'!$Q$689*1000000000+ISNUMBER('Dvd Calendar'!$Q$690)*100000000+0*10000000+(N('Dvd Calendar'!$Q$688)&gt;0)*(N('Dvd Calendar'!$Q$688)&lt;=VAL_SERIAL)*1000000+62*1000+53))</f>
        <v/>
      </c>
      <c r="GF73" s="39">
        <f>IF(N('Dvd Calendar'!$R$689)=0,"",IF(('Dvd Calendar'!$R$689&gt;=GRID_FROM)*('Dvd Calendar'!$R$689&lt;=GRID_TO)*('Dvd Calendar'!$R$689&gt;VAL_DATE)=0,"",'Dvd Calendar'!$R$689*1000000000+ISNUMBER('Dvd Calendar'!$R$690)*100000000+0*10000000+(N('Dvd Calendar'!$R$688)&gt;0)*(N('Dvd Calendar'!$R$688)&lt;=VAL_SERIAL)*1000000+62*1000+54))</f>
        <v/>
      </c>
      <c r="GG73" s="39">
        <f>IF(N('Dvd Calendar'!$S$689)=0,"",IF(('Dvd Calendar'!$S$689&gt;=GRID_FROM)*('Dvd Calendar'!$S$689&lt;=GRID_TO)*('Dvd Calendar'!$S$689&gt;VAL_DATE)=0,"",'Dvd Calendar'!$S$689*1000000000+ISNUMBER('Dvd Calendar'!$S$690)*100000000+0*10000000+(N('Dvd Calendar'!$S$688)&gt;0)*(N('Dvd Calendar'!$S$688)&lt;=VAL_SERIAL)*1000000+62*1000+55))</f>
        <v/>
      </c>
      <c r="GH73" s="39">
        <f>IF(N('Dvd Calendar'!$T$689)=0,"",IF(('Dvd Calendar'!$T$689&gt;=GRID_FROM)*('Dvd Calendar'!$T$689&lt;=GRID_TO)*('Dvd Calendar'!$T$689&gt;VAL_DATE)=0,"",'Dvd Calendar'!$T$689*1000000000+ISNUMBER('Dvd Calendar'!$T$690)*100000000+0*10000000+(N('Dvd Calendar'!$T$688)&gt;0)*(N('Dvd Calendar'!$T$688)&lt;=VAL_SERIAL)*1000000+62*1000+56))</f>
        <v/>
      </c>
      <c r="GI73" s="39">
        <f>IF(N('Dvd Calendar'!$U$689)=0,"",IF(('Dvd Calendar'!$U$689&gt;=GRID_FROM)*('Dvd Calendar'!$U$689&lt;=GRID_TO)*('Dvd Calendar'!$U$689&gt;VAL_DATE)=0,"",'Dvd Calendar'!$U$689*1000000000+ISNUMBER('Dvd Calendar'!$U$690)*100000000+0*10000000+(N('Dvd Calendar'!$U$688)&gt;0)*(N('Dvd Calendar'!$U$688)&lt;=VAL_SERIAL)*1000000+62*1000+57))</f>
        <v/>
      </c>
      <c r="GJ73" s="39">
        <f>IF(N('Dvd Calendar'!$V$689)=0,"",IF(('Dvd Calendar'!$V$689&gt;=GRID_FROM)*('Dvd Calendar'!$V$689&lt;=GRID_TO)*('Dvd Calendar'!$V$689&gt;VAL_DATE)=0,"",'Dvd Calendar'!$V$689*1000000000+ISNUMBER('Dvd Calendar'!$V$690)*100000000+0*10000000+(N('Dvd Calendar'!$V$688)&gt;0)*(N('Dvd Calendar'!$V$688)&lt;=VAL_SERIAL)*1000000+62*1000+58))</f>
        <v/>
      </c>
      <c r="GK73" s="39">
        <f>IF(N('Dvd Calendar'!$W$689)=0,"",IF(('Dvd Calendar'!$W$689&gt;=GRID_FROM)*('Dvd Calendar'!$W$689&lt;=GRID_TO)*('Dvd Calendar'!$W$689&gt;VAL_DATE)=0,"",'Dvd Calendar'!$W$689*1000000000+ISNUMBER('Dvd Calendar'!$W$690)*100000000+0*10000000+(N('Dvd Calendar'!$W$688)&gt;0)*(N('Dvd Calendar'!$W$688)&lt;=VAL_SERIAL)*1000000+62*1000+59))</f>
        <v/>
      </c>
      <c r="GL73" s="39">
        <f>IF(N('Dvd Calendar'!$X$689)=0,"",IF(('Dvd Calendar'!$X$689&gt;=GRID_FROM)*('Dvd Calendar'!$X$689&lt;=GRID_TO)*('Dvd Calendar'!$X$689&gt;VAL_DATE)=0,"",'Dvd Calendar'!$X$689*1000000000+ISNUMBER('Dvd Calendar'!$X$690)*100000000+0*10000000+(N('Dvd Calendar'!$X$688)&gt;0)*(N('Dvd Calendar'!$X$688)&lt;=VAL_SERIAL)*1000000+62*1000+60))</f>
        <v/>
      </c>
      <c r="GM73" s="39">
        <f>IF(N('Dvd Calendar'!$Y$689)=0,"",IF(('Dvd Calendar'!$Y$689&gt;=GRID_FROM)*('Dvd Calendar'!$Y$689&lt;=GRID_TO)*('Dvd Calendar'!$Y$689&gt;VAL_DATE)=0,"",'Dvd Calendar'!$Y$689*1000000000+ISNUMBER('Dvd Calendar'!$Y$690)*100000000+0*10000000+(N('Dvd Calendar'!$Y$688)&gt;0)*(N('Dvd Calendar'!$Y$688)&lt;=VAL_SERIAL)*1000000+62*1000+61))</f>
        <v/>
      </c>
      <c r="GN73" s="39">
        <f>IF(N('Dvd Calendar'!$Z$689)=0,"",IF(('Dvd Calendar'!$Z$689&gt;=GRID_FROM)*('Dvd Calendar'!$Z$689&lt;=GRID_TO)*('Dvd Calendar'!$Z$689&gt;VAL_DATE)=0,"",'Dvd Calendar'!$Z$689*1000000000+ISNUMBER('Dvd Calendar'!$Z$690)*100000000+0*10000000+(N('Dvd Calendar'!$Z$688)&gt;0)*(N('Dvd Calendar'!$Z$688)&lt;=VAL_SERIAL)*1000000+62*1000+62))</f>
        <v/>
      </c>
      <c r="GO73" s="39">
        <f>IF(N('Dvd Calendar'!$AA$689)=0,"",IF(('Dvd Calendar'!$AA$689&gt;=GRID_FROM)*('Dvd Calendar'!$AA$689&lt;=GRID_TO)*('Dvd Calendar'!$AA$689&gt;VAL_DATE)=0,"",'Dvd Calendar'!$AA$689*1000000000+ISNUMBER('Dvd Calendar'!$AA$690)*100000000+0*10000000+(N('Dvd Calendar'!$AA$688)&gt;0)*(N('Dvd Calendar'!$AA$688)&lt;=VAL_SERIAL)*1000000+62*1000+63))</f>
        <v/>
      </c>
      <c r="GP73" s="39">
        <f>IF(N('Dvd Calendar'!$AB$689)=0,"",IF(('Dvd Calendar'!$AB$689&gt;=GRID_FROM)*('Dvd Calendar'!$AB$689&lt;=GRID_TO)*('Dvd Calendar'!$AB$689&gt;VAL_DATE)=0,"",'Dvd Calendar'!$AB$689*1000000000+ISNUMBER('Dvd Calendar'!$AB$690)*100000000+0*10000000+(N('Dvd Calendar'!$AB$688)&gt;0)*(N('Dvd Calendar'!$AB$688)&lt;=VAL_SERIAL)*1000000+62*1000+64))</f>
        <v/>
      </c>
      <c r="GQ73" s="39">
        <f>IF(N('Dvd Calendar'!$AC$689)=0,"",IF(('Dvd Calendar'!$AC$689&gt;=GRID_FROM)*('Dvd Calendar'!$AC$689&lt;=GRID_TO)*('Dvd Calendar'!$AC$689&gt;VAL_DATE)=0,"",'Dvd Calendar'!$AC$689*1000000000+ISNUMBER('Dvd Calendar'!$AC$690)*100000000+0*10000000+(N('Dvd Calendar'!$AC$688)&gt;0)*(N('Dvd Calendar'!$AC$688)&lt;=VAL_SERIAL)*1000000+62*1000+65))</f>
        <v/>
      </c>
    </row>
    <row r="74">
      <c r="B74" s="2">
        <f>IF(HSI!$C$69="","",HSI!$C$69)</f>
        <v/>
      </c>
      <c r="C74" s="110">
        <f>IF(EE74="","",IF(ISNUMBER('Dvd Calendar'!$E$696)=FALSE,"",IF((('Dvd Calendar'!$E$698=TYPE1)*(TYPE1&lt;&gt;"")+('Dvd Calendar'!$E$698=TYPE2)*(TYPE2&lt;&gt;"")+('Dvd Calendar'!$E$698=TYPE3)*(TYPE3&lt;&gt;"")+('Dvd Calendar'!$E$698=TYPE4)*(TYPE4&lt;&gt;"")+('Dvd Calendar'!$E$698=SPECIAL_LBL)*(INC_SPECIALS="Y"))=0,"",'Dvd Calendar'!$E$696)))</f>
        <v/>
      </c>
      <c r="D74" s="110">
        <f>IF(EF74="","",IF(ISNUMBER('Dvd Calendar'!$F$696)=FALSE,"",IF((('Dvd Calendar'!$F$698=TYPE1)*(TYPE1&lt;&gt;"")+('Dvd Calendar'!$F$698=TYPE2)*(TYPE2&lt;&gt;"")+('Dvd Calendar'!$F$698=TYPE3)*(TYPE3&lt;&gt;"")+('Dvd Calendar'!$F$698=TYPE4)*(TYPE4&lt;&gt;"")+('Dvd Calendar'!$F$698=SPECIAL_LBL)*(INC_SPECIALS="Y"))=0,"",'Dvd Calendar'!$F$696)))</f>
        <v/>
      </c>
      <c r="E74" s="110">
        <f>IF(EG74="","",IF(ISNUMBER('Dvd Calendar'!$G$696)=FALSE,"",IF((('Dvd Calendar'!$G$698=TYPE1)*(TYPE1&lt;&gt;"")+('Dvd Calendar'!$G$698=TYPE2)*(TYPE2&lt;&gt;"")+('Dvd Calendar'!$G$698=TYPE3)*(TYPE3&lt;&gt;"")+('Dvd Calendar'!$G$698=TYPE4)*(TYPE4&lt;&gt;"")+('Dvd Calendar'!$G$698=SPECIAL_LBL)*(INC_SPECIALS="Y"))=0,"",'Dvd Calendar'!$G$696)))</f>
        <v/>
      </c>
      <c r="F74" s="110">
        <f>IF(EH74="","",IF(ISNUMBER('Dvd Calendar'!$H$696)=FALSE,"",IF((('Dvd Calendar'!$H$698=TYPE1)*(TYPE1&lt;&gt;"")+('Dvd Calendar'!$H$698=TYPE2)*(TYPE2&lt;&gt;"")+('Dvd Calendar'!$H$698=TYPE3)*(TYPE3&lt;&gt;"")+('Dvd Calendar'!$H$698=TYPE4)*(TYPE4&lt;&gt;"")+('Dvd Calendar'!$H$698=SPECIAL_LBL)*(INC_SPECIALS="Y"))=0,"",'Dvd Calendar'!$H$696)))</f>
        <v/>
      </c>
      <c r="G74" s="110">
        <f>IF(EI74="","",IF(ISNUMBER('Dvd Calendar'!$I$696)=FALSE,"",IF((('Dvd Calendar'!$I$698=TYPE1)*(TYPE1&lt;&gt;"")+('Dvd Calendar'!$I$698=TYPE2)*(TYPE2&lt;&gt;"")+('Dvd Calendar'!$I$698=TYPE3)*(TYPE3&lt;&gt;"")+('Dvd Calendar'!$I$698=TYPE4)*(TYPE4&lt;&gt;"")+('Dvd Calendar'!$I$698=SPECIAL_LBL)*(INC_SPECIALS="Y"))=0,"",'Dvd Calendar'!$I$696)))</f>
        <v/>
      </c>
      <c r="H74" s="110">
        <f>IF(EJ74="","",IF(ISNUMBER('Dvd Calendar'!$J$696)=FALSE,"",IF((('Dvd Calendar'!$J$698=TYPE1)*(TYPE1&lt;&gt;"")+('Dvd Calendar'!$J$698=TYPE2)*(TYPE2&lt;&gt;"")+('Dvd Calendar'!$J$698=TYPE3)*(TYPE3&lt;&gt;"")+('Dvd Calendar'!$J$698=TYPE4)*(TYPE4&lt;&gt;"")+('Dvd Calendar'!$J$698=SPECIAL_LBL)*(INC_SPECIALS="Y"))=0,"",'Dvd Calendar'!$J$696)))</f>
        <v/>
      </c>
      <c r="I74" s="110">
        <f>IF(EK74="","",IF(ISNUMBER('Dvd Calendar'!$K$696)=FALSE,"",IF((('Dvd Calendar'!$K$698=TYPE1)*(TYPE1&lt;&gt;"")+('Dvd Calendar'!$K$698=TYPE2)*(TYPE2&lt;&gt;"")+('Dvd Calendar'!$K$698=TYPE3)*(TYPE3&lt;&gt;"")+('Dvd Calendar'!$K$698=TYPE4)*(TYPE4&lt;&gt;"")+('Dvd Calendar'!$K$698=SPECIAL_LBL)*(INC_SPECIALS="Y"))=0,"",'Dvd Calendar'!$K$696)))</f>
        <v/>
      </c>
      <c r="J74" s="110">
        <f>IF(EL74="","",IF(ISNUMBER('Dvd Calendar'!$L$696)=FALSE,"",IF((('Dvd Calendar'!$L$698=TYPE1)*(TYPE1&lt;&gt;"")+('Dvd Calendar'!$L$698=TYPE2)*(TYPE2&lt;&gt;"")+('Dvd Calendar'!$L$698=TYPE3)*(TYPE3&lt;&gt;"")+('Dvd Calendar'!$L$698=TYPE4)*(TYPE4&lt;&gt;"")+('Dvd Calendar'!$L$698=SPECIAL_LBL)*(INC_SPECIALS="Y"))=0,"",'Dvd Calendar'!$L$696)))</f>
        <v/>
      </c>
      <c r="K74" s="110">
        <f>IF(EM74="","",IF(ISNUMBER('Dvd Calendar'!$M$696)=FALSE,"",IF((('Dvd Calendar'!$M$698=TYPE1)*(TYPE1&lt;&gt;"")+('Dvd Calendar'!$M$698=TYPE2)*(TYPE2&lt;&gt;"")+('Dvd Calendar'!$M$698=TYPE3)*(TYPE3&lt;&gt;"")+('Dvd Calendar'!$M$698=TYPE4)*(TYPE4&lt;&gt;"")+('Dvd Calendar'!$M$698=SPECIAL_LBL)*(INC_SPECIALS="Y"))=0,"",'Dvd Calendar'!$M$696)))</f>
        <v/>
      </c>
      <c r="L74" s="110">
        <f>IF(EN74="","",IF(ISNUMBER('Dvd Calendar'!$N$696)=FALSE,"",IF((('Dvd Calendar'!$N$698=TYPE1)*(TYPE1&lt;&gt;"")+('Dvd Calendar'!$N$698=TYPE2)*(TYPE2&lt;&gt;"")+('Dvd Calendar'!$N$698=TYPE3)*(TYPE3&lt;&gt;"")+('Dvd Calendar'!$N$698=TYPE4)*(TYPE4&lt;&gt;"")+('Dvd Calendar'!$N$698=SPECIAL_LBL)*(INC_SPECIALS="Y"))=0,"",'Dvd Calendar'!$N$696)))</f>
        <v/>
      </c>
      <c r="M74" s="110">
        <f>IF(EO74="","",IF(ISNUMBER('Dvd Calendar'!$O$696)=FALSE,"",IF((('Dvd Calendar'!$O$698=TYPE1)*(TYPE1&lt;&gt;"")+('Dvd Calendar'!$O$698=TYPE2)*(TYPE2&lt;&gt;"")+('Dvd Calendar'!$O$698=TYPE3)*(TYPE3&lt;&gt;"")+('Dvd Calendar'!$O$698=TYPE4)*(TYPE4&lt;&gt;"")+('Dvd Calendar'!$O$698=SPECIAL_LBL)*(INC_SPECIALS="Y"))=0,"",'Dvd Calendar'!$O$696)))</f>
        <v/>
      </c>
      <c r="N74" s="110">
        <f>IF(EP74="","",IF(ISNUMBER('Dvd Calendar'!$P$696)=FALSE,"",IF((('Dvd Calendar'!$P$698=TYPE1)*(TYPE1&lt;&gt;"")+('Dvd Calendar'!$P$698=TYPE2)*(TYPE2&lt;&gt;"")+('Dvd Calendar'!$P$698=TYPE3)*(TYPE3&lt;&gt;"")+('Dvd Calendar'!$P$698=TYPE4)*(TYPE4&lt;&gt;"")+('Dvd Calendar'!$P$698=SPECIAL_LBL)*(INC_SPECIALS="Y"))=0,"",'Dvd Calendar'!$P$696)))</f>
        <v/>
      </c>
      <c r="O74" s="110">
        <f>IF(EQ74="","",IF(ISNUMBER('Dvd Calendar'!$Q$696)=FALSE,"",IF((('Dvd Calendar'!$Q$698=TYPE1)*(TYPE1&lt;&gt;"")+('Dvd Calendar'!$Q$698=TYPE2)*(TYPE2&lt;&gt;"")+('Dvd Calendar'!$Q$698=TYPE3)*(TYPE3&lt;&gt;"")+('Dvd Calendar'!$Q$698=TYPE4)*(TYPE4&lt;&gt;"")+('Dvd Calendar'!$Q$698=SPECIAL_LBL)*(INC_SPECIALS="Y"))=0,"",'Dvd Calendar'!$Q$696)))</f>
        <v/>
      </c>
      <c r="P74" s="110">
        <f>IF(ER74="","",IF(ISNUMBER('Dvd Calendar'!$R$696)=FALSE,"",IF((('Dvd Calendar'!$R$698=TYPE1)*(TYPE1&lt;&gt;"")+('Dvd Calendar'!$R$698=TYPE2)*(TYPE2&lt;&gt;"")+('Dvd Calendar'!$R$698=TYPE3)*(TYPE3&lt;&gt;"")+('Dvd Calendar'!$R$698=TYPE4)*(TYPE4&lt;&gt;"")+('Dvd Calendar'!$R$698=SPECIAL_LBL)*(INC_SPECIALS="Y"))=0,"",'Dvd Calendar'!$R$696)))</f>
        <v/>
      </c>
      <c r="Q74" s="110">
        <f>IF(ES74="","",IF(ISNUMBER('Dvd Calendar'!$S$696)=FALSE,"",IF((('Dvd Calendar'!$S$698=TYPE1)*(TYPE1&lt;&gt;"")+('Dvd Calendar'!$S$698=TYPE2)*(TYPE2&lt;&gt;"")+('Dvd Calendar'!$S$698=TYPE3)*(TYPE3&lt;&gt;"")+('Dvd Calendar'!$S$698=TYPE4)*(TYPE4&lt;&gt;"")+('Dvd Calendar'!$S$698=SPECIAL_LBL)*(INC_SPECIALS="Y"))=0,"",'Dvd Calendar'!$S$696)))</f>
        <v/>
      </c>
      <c r="R74" s="110">
        <f>IF(ET74="","",IF(ISNUMBER('Dvd Calendar'!$T$696)=FALSE,"",IF((('Dvd Calendar'!$T$698=TYPE1)*(TYPE1&lt;&gt;"")+('Dvd Calendar'!$T$698=TYPE2)*(TYPE2&lt;&gt;"")+('Dvd Calendar'!$T$698=TYPE3)*(TYPE3&lt;&gt;"")+('Dvd Calendar'!$T$698=TYPE4)*(TYPE4&lt;&gt;"")+('Dvd Calendar'!$T$698=SPECIAL_LBL)*(INC_SPECIALS="Y"))=0,"",'Dvd Calendar'!$T$696)))</f>
        <v/>
      </c>
      <c r="S74" s="110">
        <f>IF(EU74="","",IF(ISNUMBER('Dvd Calendar'!$U$696)=FALSE,"",IF((('Dvd Calendar'!$U$698=TYPE1)*(TYPE1&lt;&gt;"")+('Dvd Calendar'!$U$698=TYPE2)*(TYPE2&lt;&gt;"")+('Dvd Calendar'!$U$698=TYPE3)*(TYPE3&lt;&gt;"")+('Dvd Calendar'!$U$698=TYPE4)*(TYPE4&lt;&gt;"")+('Dvd Calendar'!$U$698=SPECIAL_LBL)*(INC_SPECIALS="Y"))=0,"",'Dvd Calendar'!$U$696)))</f>
        <v/>
      </c>
      <c r="T74" s="110">
        <f>IF(EV74="","",IF(ISNUMBER('Dvd Calendar'!$V$696)=FALSE,"",IF((('Dvd Calendar'!$V$698=TYPE1)*(TYPE1&lt;&gt;"")+('Dvd Calendar'!$V$698=TYPE2)*(TYPE2&lt;&gt;"")+('Dvd Calendar'!$V$698=TYPE3)*(TYPE3&lt;&gt;"")+('Dvd Calendar'!$V$698=TYPE4)*(TYPE4&lt;&gt;"")+('Dvd Calendar'!$V$698=SPECIAL_LBL)*(INC_SPECIALS="Y"))=0,"",'Dvd Calendar'!$V$696)))</f>
        <v/>
      </c>
      <c r="U74" s="110">
        <f>IF(EW74="","",IF(ISNUMBER('Dvd Calendar'!$W$696)=FALSE,"",IF((('Dvd Calendar'!$W$698=TYPE1)*(TYPE1&lt;&gt;"")+('Dvd Calendar'!$W$698=TYPE2)*(TYPE2&lt;&gt;"")+('Dvd Calendar'!$W$698=TYPE3)*(TYPE3&lt;&gt;"")+('Dvd Calendar'!$W$698=TYPE4)*(TYPE4&lt;&gt;"")+('Dvd Calendar'!$W$698=SPECIAL_LBL)*(INC_SPECIALS="Y"))=0,"",'Dvd Calendar'!$W$696)))</f>
        <v/>
      </c>
      <c r="V74" s="110">
        <f>IF(EX74="","",IF(ISNUMBER('Dvd Calendar'!$X$696)=FALSE,"",IF((('Dvd Calendar'!$X$698=TYPE1)*(TYPE1&lt;&gt;"")+('Dvd Calendar'!$X$698=TYPE2)*(TYPE2&lt;&gt;"")+('Dvd Calendar'!$X$698=TYPE3)*(TYPE3&lt;&gt;"")+('Dvd Calendar'!$X$698=TYPE4)*(TYPE4&lt;&gt;"")+('Dvd Calendar'!$X$698=SPECIAL_LBL)*(INC_SPECIALS="Y"))=0,"",'Dvd Calendar'!$X$696)))</f>
        <v/>
      </c>
      <c r="W74" s="110">
        <f>IF(EY74="","",IF(ISNUMBER('Dvd Calendar'!$Y$696)=FALSE,"",IF((('Dvd Calendar'!$Y$698=TYPE1)*(TYPE1&lt;&gt;"")+('Dvd Calendar'!$Y$698=TYPE2)*(TYPE2&lt;&gt;"")+('Dvd Calendar'!$Y$698=TYPE3)*(TYPE3&lt;&gt;"")+('Dvd Calendar'!$Y$698=TYPE4)*(TYPE4&lt;&gt;"")+('Dvd Calendar'!$Y$698=SPECIAL_LBL)*(INC_SPECIALS="Y"))=0,"",'Dvd Calendar'!$Y$696)))</f>
        <v/>
      </c>
      <c r="X74" s="110">
        <f>IF(EZ74="","",IF(ISNUMBER('Dvd Calendar'!$Z$696)=FALSE,"",IF((('Dvd Calendar'!$Z$698=TYPE1)*(TYPE1&lt;&gt;"")+('Dvd Calendar'!$Z$698=TYPE2)*(TYPE2&lt;&gt;"")+('Dvd Calendar'!$Z$698=TYPE3)*(TYPE3&lt;&gt;"")+('Dvd Calendar'!$Z$698=TYPE4)*(TYPE4&lt;&gt;"")+('Dvd Calendar'!$Z$698=SPECIAL_LBL)*(INC_SPECIALS="Y"))=0,"",'Dvd Calendar'!$Z$696)))</f>
        <v/>
      </c>
      <c r="Y74" s="110">
        <f>IF(FA74="","",IF(ISNUMBER('Dvd Calendar'!$AA$696)=FALSE,"",IF((('Dvd Calendar'!$AA$698=TYPE1)*(TYPE1&lt;&gt;"")+('Dvd Calendar'!$AA$698=TYPE2)*(TYPE2&lt;&gt;"")+('Dvd Calendar'!$AA$698=TYPE3)*(TYPE3&lt;&gt;"")+('Dvd Calendar'!$AA$698=TYPE4)*(TYPE4&lt;&gt;"")+('Dvd Calendar'!$AA$698=SPECIAL_LBL)*(INC_SPECIALS="Y"))=0,"",'Dvd Calendar'!$AA$696)))</f>
        <v/>
      </c>
      <c r="Z74" s="110">
        <f>IF(FB74="","",IF(ISNUMBER('Dvd Calendar'!$AB$696)=FALSE,"",IF((('Dvd Calendar'!$AB$698=TYPE1)*(TYPE1&lt;&gt;"")+('Dvd Calendar'!$AB$698=TYPE2)*(TYPE2&lt;&gt;"")+('Dvd Calendar'!$AB$698=TYPE3)*(TYPE3&lt;&gt;"")+('Dvd Calendar'!$AB$698=TYPE4)*(TYPE4&lt;&gt;"")+('Dvd Calendar'!$AB$698=SPECIAL_LBL)*(INC_SPECIALS="Y"))=0,"",'Dvd Calendar'!$AB$696)))</f>
        <v/>
      </c>
      <c r="AA74" s="110">
        <f>IF(FC74="","",IF(ISNUMBER('Dvd Calendar'!$AC$696)=FALSE,"",IF((('Dvd Calendar'!$AC$698=TYPE1)*(TYPE1&lt;&gt;"")+('Dvd Calendar'!$AC$698=TYPE2)*(TYPE2&lt;&gt;"")+('Dvd Calendar'!$AC$698=TYPE3)*(TYPE3&lt;&gt;"")+('Dvd Calendar'!$AC$698=TYPE4)*(TYPE4&lt;&gt;"")+('Dvd Calendar'!$AC$698=SPECIAL_LBL)*(INC_SPECIALS="Y"))=0,"",'Dvd Calendar'!$AC$696)))</f>
        <v/>
      </c>
      <c r="AB74" s="110">
        <f>IF(FD74="","",IF(ISNUMBER('Dvd Calendar'!$AD$696)=FALSE,"",IF((('Dvd Calendar'!$AD$698=TYPE1)*(TYPE1&lt;&gt;"")+('Dvd Calendar'!$AD$698=TYPE2)*(TYPE2&lt;&gt;"")+('Dvd Calendar'!$AD$698=TYPE3)*(TYPE3&lt;&gt;"")+('Dvd Calendar'!$AD$698=TYPE4)*(TYPE4&lt;&gt;"")+('Dvd Calendar'!$AD$698=SPECIAL_LBL)*(INC_SPECIALS="Y"))=0,"",'Dvd Calendar'!$AD$696)))</f>
        <v/>
      </c>
      <c r="AC74" s="110">
        <f>IF(FE74="","",IF(ISNUMBER('Dvd Calendar'!$AE$696)=FALSE,"",IF((('Dvd Calendar'!$AE$698=TYPE1)*(TYPE1&lt;&gt;"")+('Dvd Calendar'!$AE$698=TYPE2)*(TYPE2&lt;&gt;"")+('Dvd Calendar'!$AE$698=TYPE3)*(TYPE3&lt;&gt;"")+('Dvd Calendar'!$AE$698=TYPE4)*(TYPE4&lt;&gt;"")+('Dvd Calendar'!$AE$698=SPECIAL_LBL)*(INC_SPECIALS="Y"))=0,"",'Dvd Calendar'!$AE$696)))</f>
        <v/>
      </c>
      <c r="AD74" s="110">
        <f>IF(FF74="","",IF(ISNUMBER('Dvd Calendar'!$AF$696)=FALSE,"",IF((('Dvd Calendar'!$AF$698=TYPE1)*(TYPE1&lt;&gt;"")+('Dvd Calendar'!$AF$698=TYPE2)*(TYPE2&lt;&gt;"")+('Dvd Calendar'!$AF$698=TYPE3)*(TYPE3&lt;&gt;"")+('Dvd Calendar'!$AF$698=TYPE4)*(TYPE4&lt;&gt;"")+('Dvd Calendar'!$AF$698=SPECIAL_LBL)*(INC_SPECIALS="Y"))=0,"",'Dvd Calendar'!$AF$696)))</f>
        <v/>
      </c>
      <c r="AE74" s="110">
        <f>IF(FG74="","",IF(ISNUMBER('Dvd Calendar'!$AG$696)=FALSE,"",IF((('Dvd Calendar'!$AG$698=TYPE1)*(TYPE1&lt;&gt;"")+('Dvd Calendar'!$AG$698=TYPE2)*(TYPE2&lt;&gt;"")+('Dvd Calendar'!$AG$698=TYPE3)*(TYPE3&lt;&gt;"")+('Dvd Calendar'!$AG$698=TYPE4)*(TYPE4&lt;&gt;"")+('Dvd Calendar'!$AG$698=SPECIAL_LBL)*(INC_SPECIALS="Y"))=0,"",'Dvd Calendar'!$AG$696)))</f>
        <v/>
      </c>
      <c r="AF74" s="110">
        <f>IF(FH74="","",IF(ISNUMBER('Dvd Calendar'!$AH$696)=FALSE,"",IF((('Dvd Calendar'!$AH$698=TYPE1)*(TYPE1&lt;&gt;"")+('Dvd Calendar'!$AH$698=TYPE2)*(TYPE2&lt;&gt;"")+('Dvd Calendar'!$AH$698=TYPE3)*(TYPE3&lt;&gt;"")+('Dvd Calendar'!$AH$698=TYPE4)*(TYPE4&lt;&gt;"")+('Dvd Calendar'!$AH$698=SPECIAL_LBL)*(INC_SPECIALS="Y"))=0,"",'Dvd Calendar'!$AH$696)))</f>
        <v/>
      </c>
      <c r="AG74" s="110">
        <f>IF(FI74="","",IF(ISNUMBER('Dvd Calendar'!$AI$696)=FALSE,"",IF((('Dvd Calendar'!$AI$698=TYPE1)*(TYPE1&lt;&gt;"")+('Dvd Calendar'!$AI$698=TYPE2)*(TYPE2&lt;&gt;"")+('Dvd Calendar'!$AI$698=TYPE3)*(TYPE3&lt;&gt;"")+('Dvd Calendar'!$AI$698=TYPE4)*(TYPE4&lt;&gt;"")+('Dvd Calendar'!$AI$698=SPECIAL_LBL)*(INC_SPECIALS="Y"))=0,"",'Dvd Calendar'!$AI$696)))</f>
        <v/>
      </c>
      <c r="AH74" s="110">
        <f>IF(FJ74="","",IF(ISNUMBER('Dvd Calendar'!$AJ$696)=FALSE,"",IF((('Dvd Calendar'!$AJ$698=TYPE1)*(TYPE1&lt;&gt;"")+('Dvd Calendar'!$AJ$698=TYPE2)*(TYPE2&lt;&gt;"")+('Dvd Calendar'!$AJ$698=TYPE3)*(TYPE3&lt;&gt;"")+('Dvd Calendar'!$AJ$698=TYPE4)*(TYPE4&lt;&gt;"")+('Dvd Calendar'!$AJ$698=SPECIAL_LBL)*(INC_SPECIALS="Y"))=0,"",'Dvd Calendar'!$AJ$696)))</f>
        <v/>
      </c>
      <c r="AI74" s="110">
        <f>IF(FK74="","",IF(ISNUMBER('Dvd Calendar'!$AK$696)=FALSE,"",IF((('Dvd Calendar'!$AK$698=TYPE1)*(TYPE1&lt;&gt;"")+('Dvd Calendar'!$AK$698=TYPE2)*(TYPE2&lt;&gt;"")+('Dvd Calendar'!$AK$698=TYPE3)*(TYPE3&lt;&gt;"")+('Dvd Calendar'!$AK$698=TYPE4)*(TYPE4&lt;&gt;"")+('Dvd Calendar'!$AK$698=SPECIAL_LBL)*(INC_SPECIALS="Y"))=0,"",'Dvd Calendar'!$AK$696)))</f>
        <v/>
      </c>
      <c r="AJ74" s="110">
        <f>IF(FL74="","",IF(ISNUMBER('Dvd Calendar'!$AL$696)=FALSE,"",IF((('Dvd Calendar'!$AL$698=TYPE1)*(TYPE1&lt;&gt;"")+('Dvd Calendar'!$AL$698=TYPE2)*(TYPE2&lt;&gt;"")+('Dvd Calendar'!$AL$698=TYPE3)*(TYPE3&lt;&gt;"")+('Dvd Calendar'!$AL$698=TYPE4)*(TYPE4&lt;&gt;"")+('Dvd Calendar'!$AL$698=SPECIAL_LBL)*(INC_SPECIALS="Y"))=0,"",'Dvd Calendar'!$AL$696)))</f>
        <v/>
      </c>
      <c r="AK74" s="110">
        <f>IF(FM74="","",IF(ISNUMBER('Dvd Calendar'!$AM$696)=FALSE,"",IF((('Dvd Calendar'!$AM$698=TYPE1)*(TYPE1&lt;&gt;"")+('Dvd Calendar'!$AM$698=TYPE2)*(TYPE2&lt;&gt;"")+('Dvd Calendar'!$AM$698=TYPE3)*(TYPE3&lt;&gt;"")+('Dvd Calendar'!$AM$698=TYPE4)*(TYPE4&lt;&gt;"")+('Dvd Calendar'!$AM$698=SPECIAL_LBL)*(INC_SPECIALS="Y"))=0,"",'Dvd Calendar'!$AM$696)))</f>
        <v/>
      </c>
      <c r="AL74" s="110">
        <f>IF(FN74="","",IF(ISNUMBER('Dvd Calendar'!$AN$696)=FALSE,"",IF((('Dvd Calendar'!$AN$698=TYPE1)*(TYPE1&lt;&gt;"")+('Dvd Calendar'!$AN$698=TYPE2)*(TYPE2&lt;&gt;"")+('Dvd Calendar'!$AN$698=TYPE3)*(TYPE3&lt;&gt;"")+('Dvd Calendar'!$AN$698=TYPE4)*(TYPE4&lt;&gt;"")+('Dvd Calendar'!$AN$698=SPECIAL_LBL)*(INC_SPECIALS="Y"))=0,"",'Dvd Calendar'!$AN$696)))</f>
        <v/>
      </c>
      <c r="AM74" s="110">
        <f>IF(FO74="","",IF(ISNUMBER('Dvd Calendar'!$AO$696)=FALSE,"",IF((('Dvd Calendar'!$AO$698=TYPE1)*(TYPE1&lt;&gt;"")+('Dvd Calendar'!$AO$698=TYPE2)*(TYPE2&lt;&gt;"")+('Dvd Calendar'!$AO$698=TYPE3)*(TYPE3&lt;&gt;"")+('Dvd Calendar'!$AO$698=TYPE4)*(TYPE4&lt;&gt;"")+('Dvd Calendar'!$AO$698=SPECIAL_LBL)*(INC_SPECIALS="Y"))=0,"",'Dvd Calendar'!$AO$696)))</f>
        <v/>
      </c>
      <c r="AN74" s="110">
        <f>IF(FP74="","",IF(ISNUMBER('Dvd Calendar'!$AP$696)=FALSE,"",IF((('Dvd Calendar'!$AP$698=TYPE1)*(TYPE1&lt;&gt;"")+('Dvd Calendar'!$AP$698=TYPE2)*(TYPE2&lt;&gt;"")+('Dvd Calendar'!$AP$698=TYPE3)*(TYPE3&lt;&gt;"")+('Dvd Calendar'!$AP$698=TYPE4)*(TYPE4&lt;&gt;"")+('Dvd Calendar'!$AP$698=SPECIAL_LBL)*(INC_SPECIALS="Y"))=0,"",'Dvd Calendar'!$AP$696)))</f>
        <v/>
      </c>
      <c r="AO74" s="110">
        <f>IF(FQ74="","",IF(ISNUMBER('Dvd Calendar'!$AQ$696)=FALSE,"",IF((('Dvd Calendar'!$AQ$698=TYPE1)*(TYPE1&lt;&gt;"")+('Dvd Calendar'!$AQ$698=TYPE2)*(TYPE2&lt;&gt;"")+('Dvd Calendar'!$AQ$698=TYPE3)*(TYPE3&lt;&gt;"")+('Dvd Calendar'!$AQ$698=TYPE4)*(TYPE4&lt;&gt;"")+('Dvd Calendar'!$AQ$698=SPECIAL_LBL)*(INC_SPECIALS="Y"))=0,"",'Dvd Calendar'!$AQ$696)))</f>
        <v/>
      </c>
      <c r="AP74" s="110">
        <f>IF(FR74="","",IF(ISNUMBER('Dvd Calendar'!$AR$696)=FALSE,"",IF((('Dvd Calendar'!$AR$698=TYPE1)*(TYPE1&lt;&gt;"")+('Dvd Calendar'!$AR$698=TYPE2)*(TYPE2&lt;&gt;"")+('Dvd Calendar'!$AR$698=TYPE3)*(TYPE3&lt;&gt;"")+('Dvd Calendar'!$AR$698=TYPE4)*(TYPE4&lt;&gt;"")+('Dvd Calendar'!$AR$698=SPECIAL_LBL)*(INC_SPECIALS="Y"))=0,"",'Dvd Calendar'!$AR$696)))</f>
        <v/>
      </c>
      <c r="AQ74" s="110">
        <f>IF(FS74="","",IF(ISNUMBER('Dvd Calendar'!$E$701)=FALSE,"",'Dvd Calendar'!$E$701))</f>
        <v/>
      </c>
      <c r="AR74" s="110">
        <f>IF(FT74="","",IF(ISNUMBER('Dvd Calendar'!$F$701)=FALSE,"",'Dvd Calendar'!$F$701))</f>
        <v/>
      </c>
      <c r="AS74" s="110">
        <f>IF(FU74="","",IF(ISNUMBER('Dvd Calendar'!$G$701)=FALSE,"",'Dvd Calendar'!$G$701))</f>
        <v/>
      </c>
      <c r="AT74" s="110">
        <f>IF(FV74="","",IF(ISNUMBER('Dvd Calendar'!$H$701)=FALSE,"",'Dvd Calendar'!$H$701))</f>
        <v/>
      </c>
      <c r="AU74" s="110">
        <f>IF(FW74="","",IF(ISNUMBER('Dvd Calendar'!$I$701)=FALSE,"",'Dvd Calendar'!$I$701))</f>
        <v/>
      </c>
      <c r="AV74" s="110">
        <f>IF(FX74="","",IF(ISNUMBER('Dvd Calendar'!$J$701)=FALSE,"",'Dvd Calendar'!$J$701))</f>
        <v/>
      </c>
      <c r="AW74" s="110">
        <f>IF(FY74="","",IF(ISNUMBER('Dvd Calendar'!$K$701)=FALSE,"",'Dvd Calendar'!$K$701))</f>
        <v/>
      </c>
      <c r="AX74" s="110">
        <f>IF(FZ74="","",IF(ISNUMBER('Dvd Calendar'!$L$701)=FALSE,"",'Dvd Calendar'!$L$701))</f>
        <v/>
      </c>
      <c r="AY74" s="110">
        <f>IF(GA74="","",IF(ISNUMBER('Dvd Calendar'!$M$701)=FALSE,"",'Dvd Calendar'!$M$701))</f>
        <v/>
      </c>
      <c r="AZ74" s="110">
        <f>IF(GB74="","",IF(ISNUMBER('Dvd Calendar'!$N$701)=FALSE,"",'Dvd Calendar'!$N$701))</f>
        <v/>
      </c>
      <c r="BA74" s="110">
        <f>IF(GC74="","",IF(ISNUMBER('Dvd Calendar'!$O$701)=FALSE,"",'Dvd Calendar'!$O$701))</f>
        <v/>
      </c>
      <c r="BB74" s="110">
        <f>IF(GD74="","",IF(ISNUMBER('Dvd Calendar'!$P$701)=FALSE,"",'Dvd Calendar'!$P$701))</f>
        <v/>
      </c>
      <c r="BC74" s="110">
        <f>IF(GE74="","",IF(ISNUMBER('Dvd Calendar'!$Q$701)=FALSE,"",'Dvd Calendar'!$Q$701))</f>
        <v/>
      </c>
      <c r="BD74" s="110">
        <f>IF(GF74="","",IF(ISNUMBER('Dvd Calendar'!$R$701)=FALSE,"",'Dvd Calendar'!$R$701))</f>
        <v/>
      </c>
      <c r="BE74" s="110">
        <f>IF(GG74="","",IF(ISNUMBER('Dvd Calendar'!$S$701)=FALSE,"",'Dvd Calendar'!$S$701))</f>
        <v/>
      </c>
      <c r="BF74" s="110">
        <f>IF(GH74="","",IF(ISNUMBER('Dvd Calendar'!$T$701)=FALSE,"",'Dvd Calendar'!$T$701))</f>
        <v/>
      </c>
      <c r="BG74" s="110">
        <f>IF(GI74="","",IF(ISNUMBER('Dvd Calendar'!$U$701)=FALSE,"",'Dvd Calendar'!$U$701))</f>
        <v/>
      </c>
      <c r="BH74" s="110">
        <f>IF(GJ74="","",IF(ISNUMBER('Dvd Calendar'!$V$701)=FALSE,"",'Dvd Calendar'!$V$701))</f>
        <v/>
      </c>
      <c r="BI74" s="110">
        <f>IF(GK74="","",IF(ISNUMBER('Dvd Calendar'!$W$701)=FALSE,"",'Dvd Calendar'!$W$701))</f>
        <v/>
      </c>
      <c r="BJ74" s="110">
        <f>IF(GL74="","",IF(ISNUMBER('Dvd Calendar'!$X$701)=FALSE,"",'Dvd Calendar'!$X$701))</f>
        <v/>
      </c>
      <c r="BK74" s="110">
        <f>IF(GM74="","",IF(ISNUMBER('Dvd Calendar'!$Y$701)=FALSE,"",'Dvd Calendar'!$Y$701))</f>
        <v/>
      </c>
      <c r="BL74" s="110">
        <f>IF(GN74="","",IF(ISNUMBER('Dvd Calendar'!$Z$701)=FALSE,"",'Dvd Calendar'!$Z$701))</f>
        <v/>
      </c>
      <c r="BM74" s="110">
        <f>IF(GO74="","",IF(ISNUMBER('Dvd Calendar'!$AA$701)=FALSE,"",'Dvd Calendar'!$AA$701))</f>
        <v/>
      </c>
      <c r="BN74" s="110">
        <f>IF(GP74="","",IF(ISNUMBER('Dvd Calendar'!$AB$701)=FALSE,"",'Dvd Calendar'!$AB$701))</f>
        <v/>
      </c>
      <c r="BO74" s="110">
        <f>IF(GQ74="","",IF(ISNUMBER('Dvd Calendar'!$AC$701)=FALSE,"",'Dvd Calendar'!$AC$701))</f>
        <v/>
      </c>
      <c r="BQ74" s="110">
        <f>IF(C74="","",IFERROR(C74*HSI!$B$69*HSI!$G$69/HSI!$B$3,""))</f>
        <v/>
      </c>
      <c r="BR74" s="110">
        <f>IF(D74="","",IFERROR(D74*HSI!$B$69*HSI!$G$69/HSI!$B$3,""))</f>
        <v/>
      </c>
      <c r="BS74" s="110">
        <f>IF(E74="","",IFERROR(E74*HSI!$B$69*HSI!$G$69/HSI!$B$3,""))</f>
        <v/>
      </c>
      <c r="BT74" s="110">
        <f>IF(F74="","",IFERROR(F74*HSI!$B$69*HSI!$G$69/HSI!$B$3,""))</f>
        <v/>
      </c>
      <c r="BU74" s="110">
        <f>IF(G74="","",IFERROR(G74*HSI!$B$69*HSI!$G$69/HSI!$B$3,""))</f>
        <v/>
      </c>
      <c r="BV74" s="110">
        <f>IF(H74="","",IFERROR(H74*HSI!$B$69*HSI!$G$69/HSI!$B$3,""))</f>
        <v/>
      </c>
      <c r="BW74" s="110">
        <f>IF(I74="","",IFERROR(I74*HSI!$B$69*HSI!$G$69/HSI!$B$3,""))</f>
        <v/>
      </c>
      <c r="BX74" s="110">
        <f>IF(J74="","",IFERROR(J74*HSI!$B$69*HSI!$G$69/HSI!$B$3,""))</f>
        <v/>
      </c>
      <c r="BY74" s="110">
        <f>IF(K74="","",IFERROR(K74*HSI!$B$69*HSI!$G$69/HSI!$B$3,""))</f>
        <v/>
      </c>
      <c r="BZ74" s="110">
        <f>IF(L74="","",IFERROR(L74*HSI!$B$69*HSI!$G$69/HSI!$B$3,""))</f>
        <v/>
      </c>
      <c r="CA74" s="110">
        <f>IF(M74="","",IFERROR(M74*HSI!$B$69*HSI!$G$69/HSI!$B$3,""))</f>
        <v/>
      </c>
      <c r="CB74" s="110">
        <f>IF(N74="","",IFERROR(N74*HSI!$B$69*HSI!$G$69/HSI!$B$3,""))</f>
        <v/>
      </c>
      <c r="CC74" s="110">
        <f>IF(O74="","",IFERROR(O74*HSI!$B$69*HSI!$G$69/HSI!$B$3,""))</f>
        <v/>
      </c>
      <c r="CD74" s="110">
        <f>IF(P74="","",IFERROR(P74*HSI!$B$69*HSI!$G$69/HSI!$B$3,""))</f>
        <v/>
      </c>
      <c r="CE74" s="110">
        <f>IF(Q74="","",IFERROR(Q74*HSI!$B$69*HSI!$G$69/HSI!$B$3,""))</f>
        <v/>
      </c>
      <c r="CF74" s="110">
        <f>IF(R74="","",IFERROR(R74*HSI!$B$69*HSI!$G$69/HSI!$B$3,""))</f>
        <v/>
      </c>
      <c r="CG74" s="110">
        <f>IF(S74="","",IFERROR(S74*HSI!$B$69*HSI!$G$69/HSI!$B$3,""))</f>
        <v/>
      </c>
      <c r="CH74" s="110">
        <f>IF(T74="","",IFERROR(T74*HSI!$B$69*HSI!$G$69/HSI!$B$3,""))</f>
        <v/>
      </c>
      <c r="CI74" s="110">
        <f>IF(U74="","",IFERROR(U74*HSI!$B$69*HSI!$G$69/HSI!$B$3,""))</f>
        <v/>
      </c>
      <c r="CJ74" s="110">
        <f>IF(V74="","",IFERROR(V74*HSI!$B$69*HSI!$G$69/HSI!$B$3,""))</f>
        <v/>
      </c>
      <c r="CK74" s="110">
        <f>IF(W74="","",IFERROR(W74*HSI!$B$69*HSI!$G$69/HSI!$B$3,""))</f>
        <v/>
      </c>
      <c r="CL74" s="110">
        <f>IF(X74="","",IFERROR(X74*HSI!$B$69*HSI!$G$69/HSI!$B$3,""))</f>
        <v/>
      </c>
      <c r="CM74" s="110">
        <f>IF(Y74="","",IFERROR(Y74*HSI!$B$69*HSI!$G$69/HSI!$B$3,""))</f>
        <v/>
      </c>
      <c r="CN74" s="110">
        <f>IF(Z74="","",IFERROR(Z74*HSI!$B$69*HSI!$G$69/HSI!$B$3,""))</f>
        <v/>
      </c>
      <c r="CO74" s="110">
        <f>IF(AA74="","",IFERROR(AA74*HSI!$B$69*HSI!$G$69/HSI!$B$3,""))</f>
        <v/>
      </c>
      <c r="CP74" s="110">
        <f>IF(AB74="","",IFERROR(AB74*HSI!$B$69*HSI!$G$69/HSI!$B$3,""))</f>
        <v/>
      </c>
      <c r="CQ74" s="110">
        <f>IF(AC74="","",IFERROR(AC74*HSI!$B$69*HSI!$G$69/HSI!$B$3,""))</f>
        <v/>
      </c>
      <c r="CR74" s="110">
        <f>IF(AD74="","",IFERROR(AD74*HSI!$B$69*HSI!$G$69/HSI!$B$3,""))</f>
        <v/>
      </c>
      <c r="CS74" s="110">
        <f>IF(AE74="","",IFERROR(AE74*HSI!$B$69*HSI!$G$69/HSI!$B$3,""))</f>
        <v/>
      </c>
      <c r="CT74" s="110">
        <f>IF(AF74="","",IFERROR(AF74*HSI!$B$69*HSI!$G$69/HSI!$B$3,""))</f>
        <v/>
      </c>
      <c r="CU74" s="110">
        <f>IF(AG74="","",IFERROR(AG74*HSI!$B$69*HSI!$G$69/HSI!$B$3,""))</f>
        <v/>
      </c>
      <c r="CV74" s="110">
        <f>IF(AH74="","",IFERROR(AH74*HSI!$B$69*HSI!$G$69/HSI!$B$3,""))</f>
        <v/>
      </c>
      <c r="CW74" s="110">
        <f>IF(AI74="","",IFERROR(AI74*HSI!$B$69*HSI!$G$69/HSI!$B$3,""))</f>
        <v/>
      </c>
      <c r="CX74" s="110">
        <f>IF(AJ74="","",IFERROR(AJ74*HSI!$B$69*HSI!$G$69/HSI!$B$3,""))</f>
        <v/>
      </c>
      <c r="CY74" s="110">
        <f>IF(AK74="","",IFERROR(AK74*HSI!$B$69*HSI!$G$69/HSI!$B$3,""))</f>
        <v/>
      </c>
      <c r="CZ74" s="110">
        <f>IF(AL74="","",IFERROR(AL74*HSI!$B$69*HSI!$G$69/HSI!$B$3,""))</f>
        <v/>
      </c>
      <c r="DA74" s="110">
        <f>IF(AM74="","",IFERROR(AM74*HSI!$B$69*HSI!$G$69/HSI!$B$3,""))</f>
        <v/>
      </c>
      <c r="DB74" s="110">
        <f>IF(AN74="","",IFERROR(AN74*HSI!$B$69*HSI!$G$69/HSI!$B$3,""))</f>
        <v/>
      </c>
      <c r="DC74" s="110">
        <f>IF(AO74="","",IFERROR(AO74*HSI!$B$69*HSI!$G$69/HSI!$B$3,""))</f>
        <v/>
      </c>
      <c r="DD74" s="110">
        <f>IF(AP74="","",IFERROR(AP74*HSI!$B$69*HSI!$G$69/HSI!$B$3,""))</f>
        <v/>
      </c>
      <c r="DE74" s="110">
        <f>IF(AQ74="","",IFERROR(AQ74*HSI!$B$69*HSI!$G$69/HSI!$B$3,""))</f>
        <v/>
      </c>
      <c r="DF74" s="110">
        <f>IF(AR74="","",IFERROR(AR74*HSI!$B$69*HSI!$G$69/HSI!$B$3,""))</f>
        <v/>
      </c>
      <c r="DG74" s="110">
        <f>IF(AS74="","",IFERROR(AS74*HSI!$B$69*HSI!$G$69/HSI!$B$3,""))</f>
        <v/>
      </c>
      <c r="DH74" s="110">
        <f>IF(AT74="","",IFERROR(AT74*HSI!$B$69*HSI!$G$69/HSI!$B$3,""))</f>
        <v/>
      </c>
      <c r="DI74" s="110">
        <f>IF(AU74="","",IFERROR(AU74*HSI!$B$69*HSI!$G$69/HSI!$B$3,""))</f>
        <v/>
      </c>
      <c r="DJ74" s="110">
        <f>IF(AV74="","",IFERROR(AV74*HSI!$B$69*HSI!$G$69/HSI!$B$3,""))</f>
        <v/>
      </c>
      <c r="DK74" s="110">
        <f>IF(AW74="","",IFERROR(AW74*HSI!$B$69*HSI!$G$69/HSI!$B$3,""))</f>
        <v/>
      </c>
      <c r="DL74" s="110">
        <f>IF(AX74="","",IFERROR(AX74*HSI!$B$69*HSI!$G$69/HSI!$B$3,""))</f>
        <v/>
      </c>
      <c r="DM74" s="110">
        <f>IF(AY74="","",IFERROR(AY74*HSI!$B$69*HSI!$G$69/HSI!$B$3,""))</f>
        <v/>
      </c>
      <c r="DN74" s="110">
        <f>IF(AZ74="","",IFERROR(AZ74*HSI!$B$69*HSI!$G$69/HSI!$B$3,""))</f>
        <v/>
      </c>
      <c r="DO74" s="110">
        <f>IF(BA74="","",IFERROR(BA74*HSI!$B$69*HSI!$G$69/HSI!$B$3,""))</f>
        <v/>
      </c>
      <c r="DP74" s="110">
        <f>IF(BB74="","",IFERROR(BB74*HSI!$B$69*HSI!$G$69/HSI!$B$3,""))</f>
        <v/>
      </c>
      <c r="DQ74" s="110">
        <f>IF(BC74="","",IFERROR(BC74*HSI!$B$69*HSI!$G$69/HSI!$B$3,""))</f>
        <v/>
      </c>
      <c r="DR74" s="110">
        <f>IF(BD74="","",IFERROR(BD74*HSI!$B$69*HSI!$G$69/HSI!$B$3,""))</f>
        <v/>
      </c>
      <c r="DS74" s="110">
        <f>IF(BE74="","",IFERROR(BE74*HSI!$B$69*HSI!$G$69/HSI!$B$3,""))</f>
        <v/>
      </c>
      <c r="DT74" s="110">
        <f>IF(BF74="","",IFERROR(BF74*HSI!$B$69*HSI!$G$69/HSI!$B$3,""))</f>
        <v/>
      </c>
      <c r="DU74" s="110">
        <f>IF(BG74="","",IFERROR(BG74*HSI!$B$69*HSI!$G$69/HSI!$B$3,""))</f>
        <v/>
      </c>
      <c r="DV74" s="110">
        <f>IF(BH74="","",IFERROR(BH74*HSI!$B$69*HSI!$G$69/HSI!$B$3,""))</f>
        <v/>
      </c>
      <c r="DW74" s="110">
        <f>IF(BI74="","",IFERROR(BI74*HSI!$B$69*HSI!$G$69/HSI!$B$3,""))</f>
        <v/>
      </c>
      <c r="DX74" s="110">
        <f>IF(BJ74="","",IFERROR(BJ74*HSI!$B$69*HSI!$G$69/HSI!$B$3,""))</f>
        <v/>
      </c>
      <c r="DY74" s="110">
        <f>IF(BK74="","",IFERROR(BK74*HSI!$B$69*HSI!$G$69/HSI!$B$3,""))</f>
        <v/>
      </c>
      <c r="DZ74" s="110">
        <f>IF(BL74="","",IFERROR(BL74*HSI!$B$69*HSI!$G$69/HSI!$B$3,""))</f>
        <v/>
      </c>
      <c r="EA74" s="110">
        <f>IF(BM74="","",IFERROR(BM74*HSI!$B$69*HSI!$G$69/HSI!$B$3,""))</f>
        <v/>
      </c>
      <c r="EB74" s="110">
        <f>IF(BN74="","",IFERROR(BN74*HSI!$B$69*HSI!$G$69/HSI!$B$3,""))</f>
        <v/>
      </c>
      <c r="EC74" s="110">
        <f>IF(BO74="","",IFERROR(BO74*HSI!$B$69*HSI!$G$69/HSI!$B$3,""))</f>
        <v/>
      </c>
      <c r="EE74" s="39">
        <f>IF(N('Dvd Calendar'!$E$693)=0,"",IF(('Dvd Calendar'!$E$693&gt;=GRID_FROM)*('Dvd Calendar'!$E$693&lt;=GRID_TO)*((('Dvd Calendar'!$E$693&lt;=VAL_DATE)+(COUNTIF('Dvd Calendar'!$E$700:$AR$700,'Dvd Calendar'!$E$693)=0))&gt;0)=0,"",'Dvd Calendar'!$E$693*1000000000+ISNUMBER('Dvd Calendar'!$E$696)*100000000+('Dvd Calendar'!$E$698=SPECIAL_LBL)*10000000+(N('Dvd Calendar'!$E$692)&gt;0)*(N('Dvd Calendar'!$E$692)&lt;=VAL_SERIAL)*1000000+63*1000+1))</f>
        <v/>
      </c>
      <c r="EF74" s="39">
        <f>IF(N('Dvd Calendar'!$F$693)=0,"",IF(('Dvd Calendar'!$F$693&gt;=GRID_FROM)*('Dvd Calendar'!$F$693&lt;=GRID_TO)*((('Dvd Calendar'!$F$693&lt;=VAL_DATE)+(COUNTIF('Dvd Calendar'!$E$700:$AR$700,'Dvd Calendar'!$F$693)=0))&gt;0)=0,"",'Dvd Calendar'!$F$693*1000000000+ISNUMBER('Dvd Calendar'!$F$696)*100000000+('Dvd Calendar'!$F$698=SPECIAL_LBL)*10000000+(N('Dvd Calendar'!$F$692)&gt;0)*(N('Dvd Calendar'!$F$692)&lt;=VAL_SERIAL)*1000000+63*1000+2))</f>
        <v/>
      </c>
      <c r="EG74" s="39">
        <f>IF(N('Dvd Calendar'!$G$693)=0,"",IF(('Dvd Calendar'!$G$693&gt;=GRID_FROM)*('Dvd Calendar'!$G$693&lt;=GRID_TO)*((('Dvd Calendar'!$G$693&lt;=VAL_DATE)+(COUNTIF('Dvd Calendar'!$E$700:$AR$700,'Dvd Calendar'!$G$693)=0))&gt;0)=0,"",'Dvd Calendar'!$G$693*1000000000+ISNUMBER('Dvd Calendar'!$G$696)*100000000+('Dvd Calendar'!$G$698=SPECIAL_LBL)*10000000+(N('Dvd Calendar'!$G$692)&gt;0)*(N('Dvd Calendar'!$G$692)&lt;=VAL_SERIAL)*1000000+63*1000+3))</f>
        <v/>
      </c>
      <c r="EH74" s="39">
        <f>IF(N('Dvd Calendar'!$H$693)=0,"",IF(('Dvd Calendar'!$H$693&gt;=GRID_FROM)*('Dvd Calendar'!$H$693&lt;=GRID_TO)*((('Dvd Calendar'!$H$693&lt;=VAL_DATE)+(COUNTIF('Dvd Calendar'!$E$700:$AR$700,'Dvd Calendar'!$H$693)=0))&gt;0)=0,"",'Dvd Calendar'!$H$693*1000000000+ISNUMBER('Dvd Calendar'!$H$696)*100000000+('Dvd Calendar'!$H$698=SPECIAL_LBL)*10000000+(N('Dvd Calendar'!$H$692)&gt;0)*(N('Dvd Calendar'!$H$692)&lt;=VAL_SERIAL)*1000000+63*1000+4))</f>
        <v/>
      </c>
      <c r="EI74" s="39">
        <f>IF(N('Dvd Calendar'!$I$693)=0,"",IF(('Dvd Calendar'!$I$693&gt;=GRID_FROM)*('Dvd Calendar'!$I$693&lt;=GRID_TO)*((('Dvd Calendar'!$I$693&lt;=VAL_DATE)+(COUNTIF('Dvd Calendar'!$E$700:$AR$700,'Dvd Calendar'!$I$693)=0))&gt;0)=0,"",'Dvd Calendar'!$I$693*1000000000+ISNUMBER('Dvd Calendar'!$I$696)*100000000+('Dvd Calendar'!$I$698=SPECIAL_LBL)*10000000+(N('Dvd Calendar'!$I$692)&gt;0)*(N('Dvd Calendar'!$I$692)&lt;=VAL_SERIAL)*1000000+63*1000+5))</f>
        <v/>
      </c>
      <c r="EJ74" s="39">
        <f>IF(N('Dvd Calendar'!$J$693)=0,"",IF(('Dvd Calendar'!$J$693&gt;=GRID_FROM)*('Dvd Calendar'!$J$693&lt;=GRID_TO)*((('Dvd Calendar'!$J$693&lt;=VAL_DATE)+(COUNTIF('Dvd Calendar'!$E$700:$AR$700,'Dvd Calendar'!$J$693)=0))&gt;0)=0,"",'Dvd Calendar'!$J$693*1000000000+ISNUMBER('Dvd Calendar'!$J$696)*100000000+('Dvd Calendar'!$J$698=SPECIAL_LBL)*10000000+(N('Dvd Calendar'!$J$692)&gt;0)*(N('Dvd Calendar'!$J$692)&lt;=VAL_SERIAL)*1000000+63*1000+6))</f>
        <v/>
      </c>
      <c r="EK74" s="39">
        <f>IF(N('Dvd Calendar'!$K$693)=0,"",IF(('Dvd Calendar'!$K$693&gt;=GRID_FROM)*('Dvd Calendar'!$K$693&lt;=GRID_TO)*((('Dvd Calendar'!$K$693&lt;=VAL_DATE)+(COUNTIF('Dvd Calendar'!$E$700:$AR$700,'Dvd Calendar'!$K$693)=0))&gt;0)=0,"",'Dvd Calendar'!$K$693*1000000000+ISNUMBER('Dvd Calendar'!$K$696)*100000000+('Dvd Calendar'!$K$698=SPECIAL_LBL)*10000000+(N('Dvd Calendar'!$K$692)&gt;0)*(N('Dvd Calendar'!$K$692)&lt;=VAL_SERIAL)*1000000+63*1000+7))</f>
        <v/>
      </c>
      <c r="EL74" s="39">
        <f>IF(N('Dvd Calendar'!$L$693)=0,"",IF(('Dvd Calendar'!$L$693&gt;=GRID_FROM)*('Dvd Calendar'!$L$693&lt;=GRID_TO)*((('Dvd Calendar'!$L$693&lt;=VAL_DATE)+(COUNTIF('Dvd Calendar'!$E$700:$AR$700,'Dvd Calendar'!$L$693)=0))&gt;0)=0,"",'Dvd Calendar'!$L$693*1000000000+ISNUMBER('Dvd Calendar'!$L$696)*100000000+('Dvd Calendar'!$L$698=SPECIAL_LBL)*10000000+(N('Dvd Calendar'!$L$692)&gt;0)*(N('Dvd Calendar'!$L$692)&lt;=VAL_SERIAL)*1000000+63*1000+8))</f>
        <v/>
      </c>
      <c r="EM74" s="39">
        <f>IF(N('Dvd Calendar'!$M$693)=0,"",IF(('Dvd Calendar'!$M$693&gt;=GRID_FROM)*('Dvd Calendar'!$M$693&lt;=GRID_TO)*((('Dvd Calendar'!$M$693&lt;=VAL_DATE)+(COUNTIF('Dvd Calendar'!$E$700:$AR$700,'Dvd Calendar'!$M$693)=0))&gt;0)=0,"",'Dvd Calendar'!$M$693*1000000000+ISNUMBER('Dvd Calendar'!$M$696)*100000000+('Dvd Calendar'!$M$698=SPECIAL_LBL)*10000000+(N('Dvd Calendar'!$M$692)&gt;0)*(N('Dvd Calendar'!$M$692)&lt;=VAL_SERIAL)*1000000+63*1000+9))</f>
        <v/>
      </c>
      <c r="EN74" s="39">
        <f>IF(N('Dvd Calendar'!$N$693)=0,"",IF(('Dvd Calendar'!$N$693&gt;=GRID_FROM)*('Dvd Calendar'!$N$693&lt;=GRID_TO)*((('Dvd Calendar'!$N$693&lt;=VAL_DATE)+(COUNTIF('Dvd Calendar'!$E$700:$AR$700,'Dvd Calendar'!$N$693)=0))&gt;0)=0,"",'Dvd Calendar'!$N$693*1000000000+ISNUMBER('Dvd Calendar'!$N$696)*100000000+('Dvd Calendar'!$N$698=SPECIAL_LBL)*10000000+(N('Dvd Calendar'!$N$692)&gt;0)*(N('Dvd Calendar'!$N$692)&lt;=VAL_SERIAL)*1000000+63*1000+10))</f>
        <v/>
      </c>
      <c r="EO74" s="39">
        <f>IF(N('Dvd Calendar'!$O$693)=0,"",IF(('Dvd Calendar'!$O$693&gt;=GRID_FROM)*('Dvd Calendar'!$O$693&lt;=GRID_TO)*((('Dvd Calendar'!$O$693&lt;=VAL_DATE)+(COUNTIF('Dvd Calendar'!$E$700:$AR$700,'Dvd Calendar'!$O$693)=0))&gt;0)=0,"",'Dvd Calendar'!$O$693*1000000000+ISNUMBER('Dvd Calendar'!$O$696)*100000000+('Dvd Calendar'!$O$698=SPECIAL_LBL)*10000000+(N('Dvd Calendar'!$O$692)&gt;0)*(N('Dvd Calendar'!$O$692)&lt;=VAL_SERIAL)*1000000+63*1000+11))</f>
        <v/>
      </c>
      <c r="EP74" s="39">
        <f>IF(N('Dvd Calendar'!$P$693)=0,"",IF(('Dvd Calendar'!$P$693&gt;=GRID_FROM)*('Dvd Calendar'!$P$693&lt;=GRID_TO)*((('Dvd Calendar'!$P$693&lt;=VAL_DATE)+(COUNTIF('Dvd Calendar'!$E$700:$AR$700,'Dvd Calendar'!$P$693)=0))&gt;0)=0,"",'Dvd Calendar'!$P$693*1000000000+ISNUMBER('Dvd Calendar'!$P$696)*100000000+('Dvd Calendar'!$P$698=SPECIAL_LBL)*10000000+(N('Dvd Calendar'!$P$692)&gt;0)*(N('Dvd Calendar'!$P$692)&lt;=VAL_SERIAL)*1000000+63*1000+12))</f>
        <v/>
      </c>
      <c r="EQ74" s="39">
        <f>IF(N('Dvd Calendar'!$Q$693)=0,"",IF(('Dvd Calendar'!$Q$693&gt;=GRID_FROM)*('Dvd Calendar'!$Q$693&lt;=GRID_TO)*((('Dvd Calendar'!$Q$693&lt;=VAL_DATE)+(COUNTIF('Dvd Calendar'!$E$700:$AR$700,'Dvd Calendar'!$Q$693)=0))&gt;0)=0,"",'Dvd Calendar'!$Q$693*1000000000+ISNUMBER('Dvd Calendar'!$Q$696)*100000000+('Dvd Calendar'!$Q$698=SPECIAL_LBL)*10000000+(N('Dvd Calendar'!$Q$692)&gt;0)*(N('Dvd Calendar'!$Q$692)&lt;=VAL_SERIAL)*1000000+63*1000+13))</f>
        <v/>
      </c>
      <c r="ER74" s="39">
        <f>IF(N('Dvd Calendar'!$R$693)=0,"",IF(('Dvd Calendar'!$R$693&gt;=GRID_FROM)*('Dvd Calendar'!$R$693&lt;=GRID_TO)*((('Dvd Calendar'!$R$693&lt;=VAL_DATE)+(COUNTIF('Dvd Calendar'!$E$700:$AR$700,'Dvd Calendar'!$R$693)=0))&gt;0)=0,"",'Dvd Calendar'!$R$693*1000000000+ISNUMBER('Dvd Calendar'!$R$696)*100000000+('Dvd Calendar'!$R$698=SPECIAL_LBL)*10000000+(N('Dvd Calendar'!$R$692)&gt;0)*(N('Dvd Calendar'!$R$692)&lt;=VAL_SERIAL)*1000000+63*1000+14))</f>
        <v/>
      </c>
      <c r="ES74" s="39">
        <f>IF(N('Dvd Calendar'!$S$693)=0,"",IF(('Dvd Calendar'!$S$693&gt;=GRID_FROM)*('Dvd Calendar'!$S$693&lt;=GRID_TO)*((('Dvd Calendar'!$S$693&lt;=VAL_DATE)+(COUNTIF('Dvd Calendar'!$E$700:$AR$700,'Dvd Calendar'!$S$693)=0))&gt;0)=0,"",'Dvd Calendar'!$S$693*1000000000+ISNUMBER('Dvd Calendar'!$S$696)*100000000+('Dvd Calendar'!$S$698=SPECIAL_LBL)*10000000+(N('Dvd Calendar'!$S$692)&gt;0)*(N('Dvd Calendar'!$S$692)&lt;=VAL_SERIAL)*1000000+63*1000+15))</f>
        <v/>
      </c>
      <c r="ET74" s="39">
        <f>IF(N('Dvd Calendar'!$T$693)=0,"",IF(('Dvd Calendar'!$T$693&gt;=GRID_FROM)*('Dvd Calendar'!$T$693&lt;=GRID_TO)*((('Dvd Calendar'!$T$693&lt;=VAL_DATE)+(COUNTIF('Dvd Calendar'!$E$700:$AR$700,'Dvd Calendar'!$T$693)=0))&gt;0)=0,"",'Dvd Calendar'!$T$693*1000000000+ISNUMBER('Dvd Calendar'!$T$696)*100000000+('Dvd Calendar'!$T$698=SPECIAL_LBL)*10000000+(N('Dvd Calendar'!$T$692)&gt;0)*(N('Dvd Calendar'!$T$692)&lt;=VAL_SERIAL)*1000000+63*1000+16))</f>
        <v/>
      </c>
      <c r="EU74" s="39">
        <f>IF(N('Dvd Calendar'!$U$693)=0,"",IF(('Dvd Calendar'!$U$693&gt;=GRID_FROM)*('Dvd Calendar'!$U$693&lt;=GRID_TO)*((('Dvd Calendar'!$U$693&lt;=VAL_DATE)+(COUNTIF('Dvd Calendar'!$E$700:$AR$700,'Dvd Calendar'!$U$693)=0))&gt;0)=0,"",'Dvd Calendar'!$U$693*1000000000+ISNUMBER('Dvd Calendar'!$U$696)*100000000+('Dvd Calendar'!$U$698=SPECIAL_LBL)*10000000+(N('Dvd Calendar'!$U$692)&gt;0)*(N('Dvd Calendar'!$U$692)&lt;=VAL_SERIAL)*1000000+63*1000+17))</f>
        <v/>
      </c>
      <c r="EV74" s="39">
        <f>IF(N('Dvd Calendar'!$V$693)=0,"",IF(('Dvd Calendar'!$V$693&gt;=GRID_FROM)*('Dvd Calendar'!$V$693&lt;=GRID_TO)*((('Dvd Calendar'!$V$693&lt;=VAL_DATE)+(COUNTIF('Dvd Calendar'!$E$700:$AR$700,'Dvd Calendar'!$V$693)=0))&gt;0)=0,"",'Dvd Calendar'!$V$693*1000000000+ISNUMBER('Dvd Calendar'!$V$696)*100000000+('Dvd Calendar'!$V$698=SPECIAL_LBL)*10000000+(N('Dvd Calendar'!$V$692)&gt;0)*(N('Dvd Calendar'!$V$692)&lt;=VAL_SERIAL)*1000000+63*1000+18))</f>
        <v/>
      </c>
      <c r="EW74" s="39">
        <f>IF(N('Dvd Calendar'!$W$693)=0,"",IF(('Dvd Calendar'!$W$693&gt;=GRID_FROM)*('Dvd Calendar'!$W$693&lt;=GRID_TO)*((('Dvd Calendar'!$W$693&lt;=VAL_DATE)+(COUNTIF('Dvd Calendar'!$E$700:$AR$700,'Dvd Calendar'!$W$693)=0))&gt;0)=0,"",'Dvd Calendar'!$W$693*1000000000+ISNUMBER('Dvd Calendar'!$W$696)*100000000+('Dvd Calendar'!$W$698=SPECIAL_LBL)*10000000+(N('Dvd Calendar'!$W$692)&gt;0)*(N('Dvd Calendar'!$W$692)&lt;=VAL_SERIAL)*1000000+63*1000+19))</f>
        <v/>
      </c>
      <c r="EX74" s="39">
        <f>IF(N('Dvd Calendar'!$X$693)=0,"",IF(('Dvd Calendar'!$X$693&gt;=GRID_FROM)*('Dvd Calendar'!$X$693&lt;=GRID_TO)*((('Dvd Calendar'!$X$693&lt;=VAL_DATE)+(COUNTIF('Dvd Calendar'!$E$700:$AR$700,'Dvd Calendar'!$X$693)=0))&gt;0)=0,"",'Dvd Calendar'!$X$693*1000000000+ISNUMBER('Dvd Calendar'!$X$696)*100000000+('Dvd Calendar'!$X$698=SPECIAL_LBL)*10000000+(N('Dvd Calendar'!$X$692)&gt;0)*(N('Dvd Calendar'!$X$692)&lt;=VAL_SERIAL)*1000000+63*1000+20))</f>
        <v/>
      </c>
      <c r="EY74" s="39">
        <f>IF(N('Dvd Calendar'!$Y$693)=0,"",IF(('Dvd Calendar'!$Y$693&gt;=GRID_FROM)*('Dvd Calendar'!$Y$693&lt;=GRID_TO)*((('Dvd Calendar'!$Y$693&lt;=VAL_DATE)+(COUNTIF('Dvd Calendar'!$E$700:$AR$700,'Dvd Calendar'!$Y$693)=0))&gt;0)=0,"",'Dvd Calendar'!$Y$693*1000000000+ISNUMBER('Dvd Calendar'!$Y$696)*100000000+('Dvd Calendar'!$Y$698=SPECIAL_LBL)*10000000+(N('Dvd Calendar'!$Y$692)&gt;0)*(N('Dvd Calendar'!$Y$692)&lt;=VAL_SERIAL)*1000000+63*1000+21))</f>
        <v/>
      </c>
      <c r="EZ74" s="39">
        <f>IF(N('Dvd Calendar'!$Z$693)=0,"",IF(('Dvd Calendar'!$Z$693&gt;=GRID_FROM)*('Dvd Calendar'!$Z$693&lt;=GRID_TO)*((('Dvd Calendar'!$Z$693&lt;=VAL_DATE)+(COUNTIF('Dvd Calendar'!$E$700:$AR$700,'Dvd Calendar'!$Z$693)=0))&gt;0)=0,"",'Dvd Calendar'!$Z$693*1000000000+ISNUMBER('Dvd Calendar'!$Z$696)*100000000+('Dvd Calendar'!$Z$698=SPECIAL_LBL)*10000000+(N('Dvd Calendar'!$Z$692)&gt;0)*(N('Dvd Calendar'!$Z$692)&lt;=VAL_SERIAL)*1000000+63*1000+22))</f>
        <v/>
      </c>
      <c r="FA74" s="39">
        <f>IF(N('Dvd Calendar'!$AA$693)=0,"",IF(('Dvd Calendar'!$AA$693&gt;=GRID_FROM)*('Dvd Calendar'!$AA$693&lt;=GRID_TO)*((('Dvd Calendar'!$AA$693&lt;=VAL_DATE)+(COUNTIF('Dvd Calendar'!$E$700:$AR$700,'Dvd Calendar'!$AA$693)=0))&gt;0)=0,"",'Dvd Calendar'!$AA$693*1000000000+ISNUMBER('Dvd Calendar'!$AA$696)*100000000+('Dvd Calendar'!$AA$698=SPECIAL_LBL)*10000000+(N('Dvd Calendar'!$AA$692)&gt;0)*(N('Dvd Calendar'!$AA$692)&lt;=VAL_SERIAL)*1000000+63*1000+23))</f>
        <v/>
      </c>
      <c r="FB74" s="39">
        <f>IF(N('Dvd Calendar'!$AB$693)=0,"",IF(('Dvd Calendar'!$AB$693&gt;=GRID_FROM)*('Dvd Calendar'!$AB$693&lt;=GRID_TO)*((('Dvd Calendar'!$AB$693&lt;=VAL_DATE)+(COUNTIF('Dvd Calendar'!$E$700:$AR$700,'Dvd Calendar'!$AB$693)=0))&gt;0)=0,"",'Dvd Calendar'!$AB$693*1000000000+ISNUMBER('Dvd Calendar'!$AB$696)*100000000+('Dvd Calendar'!$AB$698=SPECIAL_LBL)*10000000+(N('Dvd Calendar'!$AB$692)&gt;0)*(N('Dvd Calendar'!$AB$692)&lt;=VAL_SERIAL)*1000000+63*1000+24))</f>
        <v/>
      </c>
      <c r="FC74" s="39">
        <f>IF(N('Dvd Calendar'!$AC$693)=0,"",IF(('Dvd Calendar'!$AC$693&gt;=GRID_FROM)*('Dvd Calendar'!$AC$693&lt;=GRID_TO)*((('Dvd Calendar'!$AC$693&lt;=VAL_DATE)+(COUNTIF('Dvd Calendar'!$E$700:$AR$700,'Dvd Calendar'!$AC$693)=0))&gt;0)=0,"",'Dvd Calendar'!$AC$693*1000000000+ISNUMBER('Dvd Calendar'!$AC$696)*100000000+('Dvd Calendar'!$AC$698=SPECIAL_LBL)*10000000+(N('Dvd Calendar'!$AC$692)&gt;0)*(N('Dvd Calendar'!$AC$692)&lt;=VAL_SERIAL)*1000000+63*1000+25))</f>
        <v/>
      </c>
      <c r="FD74" s="39">
        <f>IF(N('Dvd Calendar'!$AD$693)=0,"",IF(('Dvd Calendar'!$AD$693&gt;=GRID_FROM)*('Dvd Calendar'!$AD$693&lt;=GRID_TO)*((('Dvd Calendar'!$AD$693&lt;=VAL_DATE)+(COUNTIF('Dvd Calendar'!$E$700:$AR$700,'Dvd Calendar'!$AD$693)=0))&gt;0)=0,"",'Dvd Calendar'!$AD$693*1000000000+ISNUMBER('Dvd Calendar'!$AD$696)*100000000+('Dvd Calendar'!$AD$698=SPECIAL_LBL)*10000000+(N('Dvd Calendar'!$AD$692)&gt;0)*(N('Dvd Calendar'!$AD$692)&lt;=VAL_SERIAL)*1000000+63*1000+26))</f>
        <v/>
      </c>
      <c r="FE74" s="39">
        <f>IF(N('Dvd Calendar'!$AE$693)=0,"",IF(('Dvd Calendar'!$AE$693&gt;=GRID_FROM)*('Dvd Calendar'!$AE$693&lt;=GRID_TO)*((('Dvd Calendar'!$AE$693&lt;=VAL_DATE)+(COUNTIF('Dvd Calendar'!$E$700:$AR$700,'Dvd Calendar'!$AE$693)=0))&gt;0)=0,"",'Dvd Calendar'!$AE$693*1000000000+ISNUMBER('Dvd Calendar'!$AE$696)*100000000+('Dvd Calendar'!$AE$698=SPECIAL_LBL)*10000000+(N('Dvd Calendar'!$AE$692)&gt;0)*(N('Dvd Calendar'!$AE$692)&lt;=VAL_SERIAL)*1000000+63*1000+27))</f>
        <v/>
      </c>
      <c r="FF74" s="39">
        <f>IF(N('Dvd Calendar'!$AF$693)=0,"",IF(('Dvd Calendar'!$AF$693&gt;=GRID_FROM)*('Dvd Calendar'!$AF$693&lt;=GRID_TO)*((('Dvd Calendar'!$AF$693&lt;=VAL_DATE)+(COUNTIF('Dvd Calendar'!$E$700:$AR$700,'Dvd Calendar'!$AF$693)=0))&gt;0)=0,"",'Dvd Calendar'!$AF$693*1000000000+ISNUMBER('Dvd Calendar'!$AF$696)*100000000+('Dvd Calendar'!$AF$698=SPECIAL_LBL)*10000000+(N('Dvd Calendar'!$AF$692)&gt;0)*(N('Dvd Calendar'!$AF$692)&lt;=VAL_SERIAL)*1000000+63*1000+28))</f>
        <v/>
      </c>
      <c r="FG74" s="39">
        <f>IF(N('Dvd Calendar'!$AG$693)=0,"",IF(('Dvd Calendar'!$AG$693&gt;=GRID_FROM)*('Dvd Calendar'!$AG$693&lt;=GRID_TO)*((('Dvd Calendar'!$AG$693&lt;=VAL_DATE)+(COUNTIF('Dvd Calendar'!$E$700:$AR$700,'Dvd Calendar'!$AG$693)=0))&gt;0)=0,"",'Dvd Calendar'!$AG$693*1000000000+ISNUMBER('Dvd Calendar'!$AG$696)*100000000+('Dvd Calendar'!$AG$698=SPECIAL_LBL)*10000000+(N('Dvd Calendar'!$AG$692)&gt;0)*(N('Dvd Calendar'!$AG$692)&lt;=VAL_SERIAL)*1000000+63*1000+29))</f>
        <v/>
      </c>
      <c r="FH74" s="39">
        <f>IF(N('Dvd Calendar'!$AH$693)=0,"",IF(('Dvd Calendar'!$AH$693&gt;=GRID_FROM)*('Dvd Calendar'!$AH$693&lt;=GRID_TO)*((('Dvd Calendar'!$AH$693&lt;=VAL_DATE)+(COUNTIF('Dvd Calendar'!$E$700:$AR$700,'Dvd Calendar'!$AH$693)=0))&gt;0)=0,"",'Dvd Calendar'!$AH$693*1000000000+ISNUMBER('Dvd Calendar'!$AH$696)*100000000+('Dvd Calendar'!$AH$698=SPECIAL_LBL)*10000000+(N('Dvd Calendar'!$AH$692)&gt;0)*(N('Dvd Calendar'!$AH$692)&lt;=VAL_SERIAL)*1000000+63*1000+30))</f>
        <v/>
      </c>
      <c r="FI74" s="39">
        <f>IF(N('Dvd Calendar'!$AI$693)=0,"",IF(('Dvd Calendar'!$AI$693&gt;=GRID_FROM)*('Dvd Calendar'!$AI$693&lt;=GRID_TO)*((('Dvd Calendar'!$AI$693&lt;=VAL_DATE)+(COUNTIF('Dvd Calendar'!$E$700:$AR$700,'Dvd Calendar'!$AI$693)=0))&gt;0)=0,"",'Dvd Calendar'!$AI$693*1000000000+ISNUMBER('Dvd Calendar'!$AI$696)*100000000+('Dvd Calendar'!$AI$698=SPECIAL_LBL)*10000000+(N('Dvd Calendar'!$AI$692)&gt;0)*(N('Dvd Calendar'!$AI$692)&lt;=VAL_SERIAL)*1000000+63*1000+31))</f>
        <v/>
      </c>
      <c r="FJ74" s="39">
        <f>IF(N('Dvd Calendar'!$AJ$693)=0,"",IF(('Dvd Calendar'!$AJ$693&gt;=GRID_FROM)*('Dvd Calendar'!$AJ$693&lt;=GRID_TO)*((('Dvd Calendar'!$AJ$693&lt;=VAL_DATE)+(COUNTIF('Dvd Calendar'!$E$700:$AR$700,'Dvd Calendar'!$AJ$693)=0))&gt;0)=0,"",'Dvd Calendar'!$AJ$693*1000000000+ISNUMBER('Dvd Calendar'!$AJ$696)*100000000+('Dvd Calendar'!$AJ$698=SPECIAL_LBL)*10000000+(N('Dvd Calendar'!$AJ$692)&gt;0)*(N('Dvd Calendar'!$AJ$692)&lt;=VAL_SERIAL)*1000000+63*1000+32))</f>
        <v/>
      </c>
      <c r="FK74" s="39">
        <f>IF(N('Dvd Calendar'!$AK$693)=0,"",IF(('Dvd Calendar'!$AK$693&gt;=GRID_FROM)*('Dvd Calendar'!$AK$693&lt;=GRID_TO)*((('Dvd Calendar'!$AK$693&lt;=VAL_DATE)+(COUNTIF('Dvd Calendar'!$E$700:$AR$700,'Dvd Calendar'!$AK$693)=0))&gt;0)=0,"",'Dvd Calendar'!$AK$693*1000000000+ISNUMBER('Dvd Calendar'!$AK$696)*100000000+('Dvd Calendar'!$AK$698=SPECIAL_LBL)*10000000+(N('Dvd Calendar'!$AK$692)&gt;0)*(N('Dvd Calendar'!$AK$692)&lt;=VAL_SERIAL)*1000000+63*1000+33))</f>
        <v/>
      </c>
      <c r="FL74" s="39">
        <f>IF(N('Dvd Calendar'!$AL$693)=0,"",IF(('Dvd Calendar'!$AL$693&gt;=GRID_FROM)*('Dvd Calendar'!$AL$693&lt;=GRID_TO)*((('Dvd Calendar'!$AL$693&lt;=VAL_DATE)+(COUNTIF('Dvd Calendar'!$E$700:$AR$700,'Dvd Calendar'!$AL$693)=0))&gt;0)=0,"",'Dvd Calendar'!$AL$693*1000000000+ISNUMBER('Dvd Calendar'!$AL$696)*100000000+('Dvd Calendar'!$AL$698=SPECIAL_LBL)*10000000+(N('Dvd Calendar'!$AL$692)&gt;0)*(N('Dvd Calendar'!$AL$692)&lt;=VAL_SERIAL)*1000000+63*1000+34))</f>
        <v/>
      </c>
      <c r="FM74" s="39">
        <f>IF(N('Dvd Calendar'!$AM$693)=0,"",IF(('Dvd Calendar'!$AM$693&gt;=GRID_FROM)*('Dvd Calendar'!$AM$693&lt;=GRID_TO)*((('Dvd Calendar'!$AM$693&lt;=VAL_DATE)+(COUNTIF('Dvd Calendar'!$E$700:$AR$700,'Dvd Calendar'!$AM$693)=0))&gt;0)=0,"",'Dvd Calendar'!$AM$693*1000000000+ISNUMBER('Dvd Calendar'!$AM$696)*100000000+('Dvd Calendar'!$AM$698=SPECIAL_LBL)*10000000+(N('Dvd Calendar'!$AM$692)&gt;0)*(N('Dvd Calendar'!$AM$692)&lt;=VAL_SERIAL)*1000000+63*1000+35))</f>
        <v/>
      </c>
      <c r="FN74" s="39">
        <f>IF(N('Dvd Calendar'!$AN$693)=0,"",IF(('Dvd Calendar'!$AN$693&gt;=GRID_FROM)*('Dvd Calendar'!$AN$693&lt;=GRID_TO)*((('Dvd Calendar'!$AN$693&lt;=VAL_DATE)+(COUNTIF('Dvd Calendar'!$E$700:$AR$700,'Dvd Calendar'!$AN$693)=0))&gt;0)=0,"",'Dvd Calendar'!$AN$693*1000000000+ISNUMBER('Dvd Calendar'!$AN$696)*100000000+('Dvd Calendar'!$AN$698=SPECIAL_LBL)*10000000+(N('Dvd Calendar'!$AN$692)&gt;0)*(N('Dvd Calendar'!$AN$692)&lt;=VAL_SERIAL)*1000000+63*1000+36))</f>
        <v/>
      </c>
      <c r="FO74" s="39">
        <f>IF(N('Dvd Calendar'!$AO$693)=0,"",IF(('Dvd Calendar'!$AO$693&gt;=GRID_FROM)*('Dvd Calendar'!$AO$693&lt;=GRID_TO)*((('Dvd Calendar'!$AO$693&lt;=VAL_DATE)+(COUNTIF('Dvd Calendar'!$E$700:$AR$700,'Dvd Calendar'!$AO$693)=0))&gt;0)=0,"",'Dvd Calendar'!$AO$693*1000000000+ISNUMBER('Dvd Calendar'!$AO$696)*100000000+('Dvd Calendar'!$AO$698=SPECIAL_LBL)*10000000+(N('Dvd Calendar'!$AO$692)&gt;0)*(N('Dvd Calendar'!$AO$692)&lt;=VAL_SERIAL)*1000000+63*1000+37))</f>
        <v/>
      </c>
      <c r="FP74" s="39">
        <f>IF(N('Dvd Calendar'!$AP$693)=0,"",IF(('Dvd Calendar'!$AP$693&gt;=GRID_FROM)*('Dvd Calendar'!$AP$693&lt;=GRID_TO)*((('Dvd Calendar'!$AP$693&lt;=VAL_DATE)+(COUNTIF('Dvd Calendar'!$E$700:$AR$700,'Dvd Calendar'!$AP$693)=0))&gt;0)=0,"",'Dvd Calendar'!$AP$693*1000000000+ISNUMBER('Dvd Calendar'!$AP$696)*100000000+('Dvd Calendar'!$AP$698=SPECIAL_LBL)*10000000+(N('Dvd Calendar'!$AP$692)&gt;0)*(N('Dvd Calendar'!$AP$692)&lt;=VAL_SERIAL)*1000000+63*1000+38))</f>
        <v/>
      </c>
      <c r="FQ74" s="39">
        <f>IF(N('Dvd Calendar'!$AQ$693)=0,"",IF(('Dvd Calendar'!$AQ$693&gt;=GRID_FROM)*('Dvd Calendar'!$AQ$693&lt;=GRID_TO)*((('Dvd Calendar'!$AQ$693&lt;=VAL_DATE)+(COUNTIF('Dvd Calendar'!$E$700:$AR$700,'Dvd Calendar'!$AQ$693)=0))&gt;0)=0,"",'Dvd Calendar'!$AQ$693*1000000000+ISNUMBER('Dvd Calendar'!$AQ$696)*100000000+('Dvd Calendar'!$AQ$698=SPECIAL_LBL)*10000000+(N('Dvd Calendar'!$AQ$692)&gt;0)*(N('Dvd Calendar'!$AQ$692)&lt;=VAL_SERIAL)*1000000+63*1000+39))</f>
        <v/>
      </c>
      <c r="FR74" s="39">
        <f>IF(N('Dvd Calendar'!$AR$693)=0,"",IF(('Dvd Calendar'!$AR$693&gt;=GRID_FROM)*('Dvd Calendar'!$AR$693&lt;=GRID_TO)*((('Dvd Calendar'!$AR$693&lt;=VAL_DATE)+(COUNTIF('Dvd Calendar'!$E$700:$AR$700,'Dvd Calendar'!$AR$693)=0))&gt;0)=0,"",'Dvd Calendar'!$AR$693*1000000000+ISNUMBER('Dvd Calendar'!$AR$696)*100000000+('Dvd Calendar'!$AR$698=SPECIAL_LBL)*10000000+(N('Dvd Calendar'!$AR$692)&gt;0)*(N('Dvd Calendar'!$AR$692)&lt;=VAL_SERIAL)*1000000+63*1000+40))</f>
        <v/>
      </c>
      <c r="FS74" s="39">
        <f>IF(N('Dvd Calendar'!$E$700)=0,"",IF(('Dvd Calendar'!$E$700&gt;=GRID_FROM)*('Dvd Calendar'!$E$700&lt;=GRID_TO)*('Dvd Calendar'!$E$700&gt;VAL_DATE)=0,"",'Dvd Calendar'!$E$700*1000000000+ISNUMBER('Dvd Calendar'!$E$701)*100000000+0*10000000+(N('Dvd Calendar'!$E$699)&gt;0)*(N('Dvd Calendar'!$E$699)&lt;=VAL_SERIAL)*1000000+63*1000+41))</f>
        <v/>
      </c>
      <c r="FT74" s="39">
        <f>IF(N('Dvd Calendar'!$F$700)=0,"",IF(('Dvd Calendar'!$F$700&gt;=GRID_FROM)*('Dvd Calendar'!$F$700&lt;=GRID_TO)*('Dvd Calendar'!$F$700&gt;VAL_DATE)=0,"",'Dvd Calendar'!$F$700*1000000000+ISNUMBER('Dvd Calendar'!$F$701)*100000000+0*10000000+(N('Dvd Calendar'!$F$699)&gt;0)*(N('Dvd Calendar'!$F$699)&lt;=VAL_SERIAL)*1000000+63*1000+42))</f>
        <v/>
      </c>
      <c r="FU74" s="39">
        <f>IF(N('Dvd Calendar'!$G$700)=0,"",IF(('Dvd Calendar'!$G$700&gt;=GRID_FROM)*('Dvd Calendar'!$G$700&lt;=GRID_TO)*('Dvd Calendar'!$G$700&gt;VAL_DATE)=0,"",'Dvd Calendar'!$G$700*1000000000+ISNUMBER('Dvd Calendar'!$G$701)*100000000+0*10000000+(N('Dvd Calendar'!$G$699)&gt;0)*(N('Dvd Calendar'!$G$699)&lt;=VAL_SERIAL)*1000000+63*1000+43))</f>
        <v/>
      </c>
      <c r="FV74" s="39">
        <f>IF(N('Dvd Calendar'!$H$700)=0,"",IF(('Dvd Calendar'!$H$700&gt;=GRID_FROM)*('Dvd Calendar'!$H$700&lt;=GRID_TO)*('Dvd Calendar'!$H$700&gt;VAL_DATE)=0,"",'Dvd Calendar'!$H$700*1000000000+ISNUMBER('Dvd Calendar'!$H$701)*100000000+0*10000000+(N('Dvd Calendar'!$H$699)&gt;0)*(N('Dvd Calendar'!$H$699)&lt;=VAL_SERIAL)*1000000+63*1000+44))</f>
        <v/>
      </c>
      <c r="FW74" s="39">
        <f>IF(N('Dvd Calendar'!$I$700)=0,"",IF(('Dvd Calendar'!$I$700&gt;=GRID_FROM)*('Dvd Calendar'!$I$700&lt;=GRID_TO)*('Dvd Calendar'!$I$700&gt;VAL_DATE)=0,"",'Dvd Calendar'!$I$700*1000000000+ISNUMBER('Dvd Calendar'!$I$701)*100000000+0*10000000+(N('Dvd Calendar'!$I$699)&gt;0)*(N('Dvd Calendar'!$I$699)&lt;=VAL_SERIAL)*1000000+63*1000+45))</f>
        <v/>
      </c>
      <c r="FX74" s="39">
        <f>IF(N('Dvd Calendar'!$J$700)=0,"",IF(('Dvd Calendar'!$J$700&gt;=GRID_FROM)*('Dvd Calendar'!$J$700&lt;=GRID_TO)*('Dvd Calendar'!$J$700&gt;VAL_DATE)=0,"",'Dvd Calendar'!$J$700*1000000000+ISNUMBER('Dvd Calendar'!$J$701)*100000000+0*10000000+(N('Dvd Calendar'!$J$699)&gt;0)*(N('Dvd Calendar'!$J$699)&lt;=VAL_SERIAL)*1000000+63*1000+46))</f>
        <v/>
      </c>
      <c r="FY74" s="39">
        <f>IF(N('Dvd Calendar'!$K$700)=0,"",IF(('Dvd Calendar'!$K$700&gt;=GRID_FROM)*('Dvd Calendar'!$K$700&lt;=GRID_TO)*('Dvd Calendar'!$K$700&gt;VAL_DATE)=0,"",'Dvd Calendar'!$K$700*1000000000+ISNUMBER('Dvd Calendar'!$K$701)*100000000+0*10000000+(N('Dvd Calendar'!$K$699)&gt;0)*(N('Dvd Calendar'!$K$699)&lt;=VAL_SERIAL)*1000000+63*1000+47))</f>
        <v/>
      </c>
      <c r="FZ74" s="39">
        <f>IF(N('Dvd Calendar'!$L$700)=0,"",IF(('Dvd Calendar'!$L$700&gt;=GRID_FROM)*('Dvd Calendar'!$L$700&lt;=GRID_TO)*('Dvd Calendar'!$L$700&gt;VAL_DATE)=0,"",'Dvd Calendar'!$L$700*1000000000+ISNUMBER('Dvd Calendar'!$L$701)*100000000+0*10000000+(N('Dvd Calendar'!$L$699)&gt;0)*(N('Dvd Calendar'!$L$699)&lt;=VAL_SERIAL)*1000000+63*1000+48))</f>
        <v/>
      </c>
      <c r="GA74" s="39">
        <f>IF(N('Dvd Calendar'!$M$700)=0,"",IF(('Dvd Calendar'!$M$700&gt;=GRID_FROM)*('Dvd Calendar'!$M$700&lt;=GRID_TO)*('Dvd Calendar'!$M$700&gt;VAL_DATE)=0,"",'Dvd Calendar'!$M$700*1000000000+ISNUMBER('Dvd Calendar'!$M$701)*100000000+0*10000000+(N('Dvd Calendar'!$M$699)&gt;0)*(N('Dvd Calendar'!$M$699)&lt;=VAL_SERIAL)*1000000+63*1000+49))</f>
        <v/>
      </c>
      <c r="GB74" s="39">
        <f>IF(N('Dvd Calendar'!$N$700)=0,"",IF(('Dvd Calendar'!$N$700&gt;=GRID_FROM)*('Dvd Calendar'!$N$700&lt;=GRID_TO)*('Dvd Calendar'!$N$700&gt;VAL_DATE)=0,"",'Dvd Calendar'!$N$700*1000000000+ISNUMBER('Dvd Calendar'!$N$701)*100000000+0*10000000+(N('Dvd Calendar'!$N$699)&gt;0)*(N('Dvd Calendar'!$N$699)&lt;=VAL_SERIAL)*1000000+63*1000+50))</f>
        <v/>
      </c>
      <c r="GC74" s="39">
        <f>IF(N('Dvd Calendar'!$O$700)=0,"",IF(('Dvd Calendar'!$O$700&gt;=GRID_FROM)*('Dvd Calendar'!$O$700&lt;=GRID_TO)*('Dvd Calendar'!$O$700&gt;VAL_DATE)=0,"",'Dvd Calendar'!$O$700*1000000000+ISNUMBER('Dvd Calendar'!$O$701)*100000000+0*10000000+(N('Dvd Calendar'!$O$699)&gt;0)*(N('Dvd Calendar'!$O$699)&lt;=VAL_SERIAL)*1000000+63*1000+51))</f>
        <v/>
      </c>
      <c r="GD74" s="39">
        <f>IF(N('Dvd Calendar'!$P$700)=0,"",IF(('Dvd Calendar'!$P$700&gt;=GRID_FROM)*('Dvd Calendar'!$P$700&lt;=GRID_TO)*('Dvd Calendar'!$P$700&gt;VAL_DATE)=0,"",'Dvd Calendar'!$P$700*1000000000+ISNUMBER('Dvd Calendar'!$P$701)*100000000+0*10000000+(N('Dvd Calendar'!$P$699)&gt;0)*(N('Dvd Calendar'!$P$699)&lt;=VAL_SERIAL)*1000000+63*1000+52))</f>
        <v/>
      </c>
      <c r="GE74" s="39">
        <f>IF(N('Dvd Calendar'!$Q$700)=0,"",IF(('Dvd Calendar'!$Q$700&gt;=GRID_FROM)*('Dvd Calendar'!$Q$700&lt;=GRID_TO)*('Dvd Calendar'!$Q$700&gt;VAL_DATE)=0,"",'Dvd Calendar'!$Q$700*1000000000+ISNUMBER('Dvd Calendar'!$Q$701)*100000000+0*10000000+(N('Dvd Calendar'!$Q$699)&gt;0)*(N('Dvd Calendar'!$Q$699)&lt;=VAL_SERIAL)*1000000+63*1000+53))</f>
        <v/>
      </c>
      <c r="GF74" s="39">
        <f>IF(N('Dvd Calendar'!$R$700)=0,"",IF(('Dvd Calendar'!$R$700&gt;=GRID_FROM)*('Dvd Calendar'!$R$700&lt;=GRID_TO)*('Dvd Calendar'!$R$700&gt;VAL_DATE)=0,"",'Dvd Calendar'!$R$700*1000000000+ISNUMBER('Dvd Calendar'!$R$701)*100000000+0*10000000+(N('Dvd Calendar'!$R$699)&gt;0)*(N('Dvd Calendar'!$R$699)&lt;=VAL_SERIAL)*1000000+63*1000+54))</f>
        <v/>
      </c>
      <c r="GG74" s="39">
        <f>IF(N('Dvd Calendar'!$S$700)=0,"",IF(('Dvd Calendar'!$S$700&gt;=GRID_FROM)*('Dvd Calendar'!$S$700&lt;=GRID_TO)*('Dvd Calendar'!$S$700&gt;VAL_DATE)=0,"",'Dvd Calendar'!$S$700*1000000000+ISNUMBER('Dvd Calendar'!$S$701)*100000000+0*10000000+(N('Dvd Calendar'!$S$699)&gt;0)*(N('Dvd Calendar'!$S$699)&lt;=VAL_SERIAL)*1000000+63*1000+55))</f>
        <v/>
      </c>
      <c r="GH74" s="39">
        <f>IF(N('Dvd Calendar'!$T$700)=0,"",IF(('Dvd Calendar'!$T$700&gt;=GRID_FROM)*('Dvd Calendar'!$T$700&lt;=GRID_TO)*('Dvd Calendar'!$T$700&gt;VAL_DATE)=0,"",'Dvd Calendar'!$T$700*1000000000+ISNUMBER('Dvd Calendar'!$T$701)*100000000+0*10000000+(N('Dvd Calendar'!$T$699)&gt;0)*(N('Dvd Calendar'!$T$699)&lt;=VAL_SERIAL)*1000000+63*1000+56))</f>
        <v/>
      </c>
      <c r="GI74" s="39">
        <f>IF(N('Dvd Calendar'!$U$700)=0,"",IF(('Dvd Calendar'!$U$700&gt;=GRID_FROM)*('Dvd Calendar'!$U$700&lt;=GRID_TO)*('Dvd Calendar'!$U$700&gt;VAL_DATE)=0,"",'Dvd Calendar'!$U$700*1000000000+ISNUMBER('Dvd Calendar'!$U$701)*100000000+0*10000000+(N('Dvd Calendar'!$U$699)&gt;0)*(N('Dvd Calendar'!$U$699)&lt;=VAL_SERIAL)*1000000+63*1000+57))</f>
        <v/>
      </c>
      <c r="GJ74" s="39">
        <f>IF(N('Dvd Calendar'!$V$700)=0,"",IF(('Dvd Calendar'!$V$700&gt;=GRID_FROM)*('Dvd Calendar'!$V$700&lt;=GRID_TO)*('Dvd Calendar'!$V$700&gt;VAL_DATE)=0,"",'Dvd Calendar'!$V$700*1000000000+ISNUMBER('Dvd Calendar'!$V$701)*100000000+0*10000000+(N('Dvd Calendar'!$V$699)&gt;0)*(N('Dvd Calendar'!$V$699)&lt;=VAL_SERIAL)*1000000+63*1000+58))</f>
        <v/>
      </c>
      <c r="GK74" s="39">
        <f>IF(N('Dvd Calendar'!$W$700)=0,"",IF(('Dvd Calendar'!$W$700&gt;=GRID_FROM)*('Dvd Calendar'!$W$700&lt;=GRID_TO)*('Dvd Calendar'!$W$700&gt;VAL_DATE)=0,"",'Dvd Calendar'!$W$700*1000000000+ISNUMBER('Dvd Calendar'!$W$701)*100000000+0*10000000+(N('Dvd Calendar'!$W$699)&gt;0)*(N('Dvd Calendar'!$W$699)&lt;=VAL_SERIAL)*1000000+63*1000+59))</f>
        <v/>
      </c>
      <c r="GL74" s="39">
        <f>IF(N('Dvd Calendar'!$X$700)=0,"",IF(('Dvd Calendar'!$X$700&gt;=GRID_FROM)*('Dvd Calendar'!$X$700&lt;=GRID_TO)*('Dvd Calendar'!$X$700&gt;VAL_DATE)=0,"",'Dvd Calendar'!$X$700*1000000000+ISNUMBER('Dvd Calendar'!$X$701)*100000000+0*10000000+(N('Dvd Calendar'!$X$699)&gt;0)*(N('Dvd Calendar'!$X$699)&lt;=VAL_SERIAL)*1000000+63*1000+60))</f>
        <v/>
      </c>
      <c r="GM74" s="39">
        <f>IF(N('Dvd Calendar'!$Y$700)=0,"",IF(('Dvd Calendar'!$Y$700&gt;=GRID_FROM)*('Dvd Calendar'!$Y$700&lt;=GRID_TO)*('Dvd Calendar'!$Y$700&gt;VAL_DATE)=0,"",'Dvd Calendar'!$Y$700*1000000000+ISNUMBER('Dvd Calendar'!$Y$701)*100000000+0*10000000+(N('Dvd Calendar'!$Y$699)&gt;0)*(N('Dvd Calendar'!$Y$699)&lt;=VAL_SERIAL)*1000000+63*1000+61))</f>
        <v/>
      </c>
      <c r="GN74" s="39">
        <f>IF(N('Dvd Calendar'!$Z$700)=0,"",IF(('Dvd Calendar'!$Z$700&gt;=GRID_FROM)*('Dvd Calendar'!$Z$700&lt;=GRID_TO)*('Dvd Calendar'!$Z$700&gt;VAL_DATE)=0,"",'Dvd Calendar'!$Z$700*1000000000+ISNUMBER('Dvd Calendar'!$Z$701)*100000000+0*10000000+(N('Dvd Calendar'!$Z$699)&gt;0)*(N('Dvd Calendar'!$Z$699)&lt;=VAL_SERIAL)*1000000+63*1000+62))</f>
        <v/>
      </c>
      <c r="GO74" s="39">
        <f>IF(N('Dvd Calendar'!$AA$700)=0,"",IF(('Dvd Calendar'!$AA$700&gt;=GRID_FROM)*('Dvd Calendar'!$AA$700&lt;=GRID_TO)*('Dvd Calendar'!$AA$700&gt;VAL_DATE)=0,"",'Dvd Calendar'!$AA$700*1000000000+ISNUMBER('Dvd Calendar'!$AA$701)*100000000+0*10000000+(N('Dvd Calendar'!$AA$699)&gt;0)*(N('Dvd Calendar'!$AA$699)&lt;=VAL_SERIAL)*1000000+63*1000+63))</f>
        <v/>
      </c>
      <c r="GP74" s="39">
        <f>IF(N('Dvd Calendar'!$AB$700)=0,"",IF(('Dvd Calendar'!$AB$700&gt;=GRID_FROM)*('Dvd Calendar'!$AB$700&lt;=GRID_TO)*('Dvd Calendar'!$AB$700&gt;VAL_DATE)=0,"",'Dvd Calendar'!$AB$700*1000000000+ISNUMBER('Dvd Calendar'!$AB$701)*100000000+0*10000000+(N('Dvd Calendar'!$AB$699)&gt;0)*(N('Dvd Calendar'!$AB$699)&lt;=VAL_SERIAL)*1000000+63*1000+64))</f>
        <v/>
      </c>
      <c r="GQ74" s="39">
        <f>IF(N('Dvd Calendar'!$AC$700)=0,"",IF(('Dvd Calendar'!$AC$700&gt;=GRID_FROM)*('Dvd Calendar'!$AC$700&lt;=GRID_TO)*('Dvd Calendar'!$AC$700&gt;VAL_DATE)=0,"",'Dvd Calendar'!$AC$700*1000000000+ISNUMBER('Dvd Calendar'!$AC$701)*100000000+0*10000000+(N('Dvd Calendar'!$AC$699)&gt;0)*(N('Dvd Calendar'!$AC$699)&lt;=VAL_SERIAL)*1000000+63*1000+65))</f>
        <v/>
      </c>
    </row>
    <row r="75">
      <c r="B75" s="2">
        <f>IF(HSI!$C$70="","",HSI!$C$70)</f>
        <v/>
      </c>
      <c r="C75" s="110">
        <f>IF(EE75="","",IF(ISNUMBER('Dvd Calendar'!$E$707)=FALSE,"",IF((('Dvd Calendar'!$E$709=TYPE1)*(TYPE1&lt;&gt;"")+('Dvd Calendar'!$E$709=TYPE2)*(TYPE2&lt;&gt;"")+('Dvd Calendar'!$E$709=TYPE3)*(TYPE3&lt;&gt;"")+('Dvd Calendar'!$E$709=TYPE4)*(TYPE4&lt;&gt;"")+('Dvd Calendar'!$E$709=SPECIAL_LBL)*(INC_SPECIALS="Y"))=0,"",'Dvd Calendar'!$E$707)))</f>
        <v/>
      </c>
      <c r="D75" s="110">
        <f>IF(EF75="","",IF(ISNUMBER('Dvd Calendar'!$F$707)=FALSE,"",IF((('Dvd Calendar'!$F$709=TYPE1)*(TYPE1&lt;&gt;"")+('Dvd Calendar'!$F$709=TYPE2)*(TYPE2&lt;&gt;"")+('Dvd Calendar'!$F$709=TYPE3)*(TYPE3&lt;&gt;"")+('Dvd Calendar'!$F$709=TYPE4)*(TYPE4&lt;&gt;"")+('Dvd Calendar'!$F$709=SPECIAL_LBL)*(INC_SPECIALS="Y"))=0,"",'Dvd Calendar'!$F$707)))</f>
        <v/>
      </c>
      <c r="E75" s="110">
        <f>IF(EG75="","",IF(ISNUMBER('Dvd Calendar'!$G$707)=FALSE,"",IF((('Dvd Calendar'!$G$709=TYPE1)*(TYPE1&lt;&gt;"")+('Dvd Calendar'!$G$709=TYPE2)*(TYPE2&lt;&gt;"")+('Dvd Calendar'!$G$709=TYPE3)*(TYPE3&lt;&gt;"")+('Dvd Calendar'!$G$709=TYPE4)*(TYPE4&lt;&gt;"")+('Dvd Calendar'!$G$709=SPECIAL_LBL)*(INC_SPECIALS="Y"))=0,"",'Dvd Calendar'!$G$707)))</f>
        <v/>
      </c>
      <c r="F75" s="110">
        <f>IF(EH75="","",IF(ISNUMBER('Dvd Calendar'!$H$707)=FALSE,"",IF((('Dvd Calendar'!$H$709=TYPE1)*(TYPE1&lt;&gt;"")+('Dvd Calendar'!$H$709=TYPE2)*(TYPE2&lt;&gt;"")+('Dvd Calendar'!$H$709=TYPE3)*(TYPE3&lt;&gt;"")+('Dvd Calendar'!$H$709=TYPE4)*(TYPE4&lt;&gt;"")+('Dvd Calendar'!$H$709=SPECIAL_LBL)*(INC_SPECIALS="Y"))=0,"",'Dvd Calendar'!$H$707)))</f>
        <v/>
      </c>
      <c r="G75" s="110">
        <f>IF(EI75="","",IF(ISNUMBER('Dvd Calendar'!$I$707)=FALSE,"",IF((('Dvd Calendar'!$I$709=TYPE1)*(TYPE1&lt;&gt;"")+('Dvd Calendar'!$I$709=TYPE2)*(TYPE2&lt;&gt;"")+('Dvd Calendar'!$I$709=TYPE3)*(TYPE3&lt;&gt;"")+('Dvd Calendar'!$I$709=TYPE4)*(TYPE4&lt;&gt;"")+('Dvd Calendar'!$I$709=SPECIAL_LBL)*(INC_SPECIALS="Y"))=0,"",'Dvd Calendar'!$I$707)))</f>
        <v/>
      </c>
      <c r="H75" s="110">
        <f>IF(EJ75="","",IF(ISNUMBER('Dvd Calendar'!$J$707)=FALSE,"",IF((('Dvd Calendar'!$J$709=TYPE1)*(TYPE1&lt;&gt;"")+('Dvd Calendar'!$J$709=TYPE2)*(TYPE2&lt;&gt;"")+('Dvd Calendar'!$J$709=TYPE3)*(TYPE3&lt;&gt;"")+('Dvd Calendar'!$J$709=TYPE4)*(TYPE4&lt;&gt;"")+('Dvd Calendar'!$J$709=SPECIAL_LBL)*(INC_SPECIALS="Y"))=0,"",'Dvd Calendar'!$J$707)))</f>
        <v/>
      </c>
      <c r="I75" s="110">
        <f>IF(EK75="","",IF(ISNUMBER('Dvd Calendar'!$K$707)=FALSE,"",IF((('Dvd Calendar'!$K$709=TYPE1)*(TYPE1&lt;&gt;"")+('Dvd Calendar'!$K$709=TYPE2)*(TYPE2&lt;&gt;"")+('Dvd Calendar'!$K$709=TYPE3)*(TYPE3&lt;&gt;"")+('Dvd Calendar'!$K$709=TYPE4)*(TYPE4&lt;&gt;"")+('Dvd Calendar'!$K$709=SPECIAL_LBL)*(INC_SPECIALS="Y"))=0,"",'Dvd Calendar'!$K$707)))</f>
        <v/>
      </c>
      <c r="J75" s="110">
        <f>IF(EL75="","",IF(ISNUMBER('Dvd Calendar'!$L$707)=FALSE,"",IF((('Dvd Calendar'!$L$709=TYPE1)*(TYPE1&lt;&gt;"")+('Dvd Calendar'!$L$709=TYPE2)*(TYPE2&lt;&gt;"")+('Dvd Calendar'!$L$709=TYPE3)*(TYPE3&lt;&gt;"")+('Dvd Calendar'!$L$709=TYPE4)*(TYPE4&lt;&gt;"")+('Dvd Calendar'!$L$709=SPECIAL_LBL)*(INC_SPECIALS="Y"))=0,"",'Dvd Calendar'!$L$707)))</f>
        <v/>
      </c>
      <c r="K75" s="110">
        <f>IF(EM75="","",IF(ISNUMBER('Dvd Calendar'!$M$707)=FALSE,"",IF((('Dvd Calendar'!$M$709=TYPE1)*(TYPE1&lt;&gt;"")+('Dvd Calendar'!$M$709=TYPE2)*(TYPE2&lt;&gt;"")+('Dvd Calendar'!$M$709=TYPE3)*(TYPE3&lt;&gt;"")+('Dvd Calendar'!$M$709=TYPE4)*(TYPE4&lt;&gt;"")+('Dvd Calendar'!$M$709=SPECIAL_LBL)*(INC_SPECIALS="Y"))=0,"",'Dvd Calendar'!$M$707)))</f>
        <v/>
      </c>
      <c r="L75" s="110">
        <f>IF(EN75="","",IF(ISNUMBER('Dvd Calendar'!$N$707)=FALSE,"",IF((('Dvd Calendar'!$N$709=TYPE1)*(TYPE1&lt;&gt;"")+('Dvd Calendar'!$N$709=TYPE2)*(TYPE2&lt;&gt;"")+('Dvd Calendar'!$N$709=TYPE3)*(TYPE3&lt;&gt;"")+('Dvd Calendar'!$N$709=TYPE4)*(TYPE4&lt;&gt;"")+('Dvd Calendar'!$N$709=SPECIAL_LBL)*(INC_SPECIALS="Y"))=0,"",'Dvd Calendar'!$N$707)))</f>
        <v/>
      </c>
      <c r="M75" s="110">
        <f>IF(EO75="","",IF(ISNUMBER('Dvd Calendar'!$O$707)=FALSE,"",IF((('Dvd Calendar'!$O$709=TYPE1)*(TYPE1&lt;&gt;"")+('Dvd Calendar'!$O$709=TYPE2)*(TYPE2&lt;&gt;"")+('Dvd Calendar'!$O$709=TYPE3)*(TYPE3&lt;&gt;"")+('Dvd Calendar'!$O$709=TYPE4)*(TYPE4&lt;&gt;"")+('Dvd Calendar'!$O$709=SPECIAL_LBL)*(INC_SPECIALS="Y"))=0,"",'Dvd Calendar'!$O$707)))</f>
        <v/>
      </c>
      <c r="N75" s="110">
        <f>IF(EP75="","",IF(ISNUMBER('Dvd Calendar'!$P$707)=FALSE,"",IF((('Dvd Calendar'!$P$709=TYPE1)*(TYPE1&lt;&gt;"")+('Dvd Calendar'!$P$709=TYPE2)*(TYPE2&lt;&gt;"")+('Dvd Calendar'!$P$709=TYPE3)*(TYPE3&lt;&gt;"")+('Dvd Calendar'!$P$709=TYPE4)*(TYPE4&lt;&gt;"")+('Dvd Calendar'!$P$709=SPECIAL_LBL)*(INC_SPECIALS="Y"))=0,"",'Dvd Calendar'!$P$707)))</f>
        <v/>
      </c>
      <c r="O75" s="110">
        <f>IF(EQ75="","",IF(ISNUMBER('Dvd Calendar'!$Q$707)=FALSE,"",IF((('Dvd Calendar'!$Q$709=TYPE1)*(TYPE1&lt;&gt;"")+('Dvd Calendar'!$Q$709=TYPE2)*(TYPE2&lt;&gt;"")+('Dvd Calendar'!$Q$709=TYPE3)*(TYPE3&lt;&gt;"")+('Dvd Calendar'!$Q$709=TYPE4)*(TYPE4&lt;&gt;"")+('Dvd Calendar'!$Q$709=SPECIAL_LBL)*(INC_SPECIALS="Y"))=0,"",'Dvd Calendar'!$Q$707)))</f>
        <v/>
      </c>
      <c r="P75" s="110">
        <f>IF(ER75="","",IF(ISNUMBER('Dvd Calendar'!$R$707)=FALSE,"",IF((('Dvd Calendar'!$R$709=TYPE1)*(TYPE1&lt;&gt;"")+('Dvd Calendar'!$R$709=TYPE2)*(TYPE2&lt;&gt;"")+('Dvd Calendar'!$R$709=TYPE3)*(TYPE3&lt;&gt;"")+('Dvd Calendar'!$R$709=TYPE4)*(TYPE4&lt;&gt;"")+('Dvd Calendar'!$R$709=SPECIAL_LBL)*(INC_SPECIALS="Y"))=0,"",'Dvd Calendar'!$R$707)))</f>
        <v/>
      </c>
      <c r="Q75" s="110">
        <f>IF(ES75="","",IF(ISNUMBER('Dvd Calendar'!$S$707)=FALSE,"",IF((('Dvd Calendar'!$S$709=TYPE1)*(TYPE1&lt;&gt;"")+('Dvd Calendar'!$S$709=TYPE2)*(TYPE2&lt;&gt;"")+('Dvd Calendar'!$S$709=TYPE3)*(TYPE3&lt;&gt;"")+('Dvd Calendar'!$S$709=TYPE4)*(TYPE4&lt;&gt;"")+('Dvd Calendar'!$S$709=SPECIAL_LBL)*(INC_SPECIALS="Y"))=0,"",'Dvd Calendar'!$S$707)))</f>
        <v/>
      </c>
      <c r="R75" s="110">
        <f>IF(ET75="","",IF(ISNUMBER('Dvd Calendar'!$T$707)=FALSE,"",IF((('Dvd Calendar'!$T$709=TYPE1)*(TYPE1&lt;&gt;"")+('Dvd Calendar'!$T$709=TYPE2)*(TYPE2&lt;&gt;"")+('Dvd Calendar'!$T$709=TYPE3)*(TYPE3&lt;&gt;"")+('Dvd Calendar'!$T$709=TYPE4)*(TYPE4&lt;&gt;"")+('Dvd Calendar'!$T$709=SPECIAL_LBL)*(INC_SPECIALS="Y"))=0,"",'Dvd Calendar'!$T$707)))</f>
        <v/>
      </c>
      <c r="S75" s="110">
        <f>IF(EU75="","",IF(ISNUMBER('Dvd Calendar'!$U$707)=FALSE,"",IF((('Dvd Calendar'!$U$709=TYPE1)*(TYPE1&lt;&gt;"")+('Dvd Calendar'!$U$709=TYPE2)*(TYPE2&lt;&gt;"")+('Dvd Calendar'!$U$709=TYPE3)*(TYPE3&lt;&gt;"")+('Dvd Calendar'!$U$709=TYPE4)*(TYPE4&lt;&gt;"")+('Dvd Calendar'!$U$709=SPECIAL_LBL)*(INC_SPECIALS="Y"))=0,"",'Dvd Calendar'!$U$707)))</f>
        <v/>
      </c>
      <c r="T75" s="110">
        <f>IF(EV75="","",IF(ISNUMBER('Dvd Calendar'!$V$707)=FALSE,"",IF((('Dvd Calendar'!$V$709=TYPE1)*(TYPE1&lt;&gt;"")+('Dvd Calendar'!$V$709=TYPE2)*(TYPE2&lt;&gt;"")+('Dvd Calendar'!$V$709=TYPE3)*(TYPE3&lt;&gt;"")+('Dvd Calendar'!$V$709=TYPE4)*(TYPE4&lt;&gt;"")+('Dvd Calendar'!$V$709=SPECIAL_LBL)*(INC_SPECIALS="Y"))=0,"",'Dvd Calendar'!$V$707)))</f>
        <v/>
      </c>
      <c r="U75" s="110">
        <f>IF(EW75="","",IF(ISNUMBER('Dvd Calendar'!$W$707)=FALSE,"",IF((('Dvd Calendar'!$W$709=TYPE1)*(TYPE1&lt;&gt;"")+('Dvd Calendar'!$W$709=TYPE2)*(TYPE2&lt;&gt;"")+('Dvd Calendar'!$W$709=TYPE3)*(TYPE3&lt;&gt;"")+('Dvd Calendar'!$W$709=TYPE4)*(TYPE4&lt;&gt;"")+('Dvd Calendar'!$W$709=SPECIAL_LBL)*(INC_SPECIALS="Y"))=0,"",'Dvd Calendar'!$W$707)))</f>
        <v/>
      </c>
      <c r="V75" s="110">
        <f>IF(EX75="","",IF(ISNUMBER('Dvd Calendar'!$X$707)=FALSE,"",IF((('Dvd Calendar'!$X$709=TYPE1)*(TYPE1&lt;&gt;"")+('Dvd Calendar'!$X$709=TYPE2)*(TYPE2&lt;&gt;"")+('Dvd Calendar'!$X$709=TYPE3)*(TYPE3&lt;&gt;"")+('Dvd Calendar'!$X$709=TYPE4)*(TYPE4&lt;&gt;"")+('Dvd Calendar'!$X$709=SPECIAL_LBL)*(INC_SPECIALS="Y"))=0,"",'Dvd Calendar'!$X$707)))</f>
        <v/>
      </c>
      <c r="W75" s="110">
        <f>IF(EY75="","",IF(ISNUMBER('Dvd Calendar'!$Y$707)=FALSE,"",IF((('Dvd Calendar'!$Y$709=TYPE1)*(TYPE1&lt;&gt;"")+('Dvd Calendar'!$Y$709=TYPE2)*(TYPE2&lt;&gt;"")+('Dvd Calendar'!$Y$709=TYPE3)*(TYPE3&lt;&gt;"")+('Dvd Calendar'!$Y$709=TYPE4)*(TYPE4&lt;&gt;"")+('Dvd Calendar'!$Y$709=SPECIAL_LBL)*(INC_SPECIALS="Y"))=0,"",'Dvd Calendar'!$Y$707)))</f>
        <v/>
      </c>
      <c r="X75" s="110">
        <f>IF(EZ75="","",IF(ISNUMBER('Dvd Calendar'!$Z$707)=FALSE,"",IF((('Dvd Calendar'!$Z$709=TYPE1)*(TYPE1&lt;&gt;"")+('Dvd Calendar'!$Z$709=TYPE2)*(TYPE2&lt;&gt;"")+('Dvd Calendar'!$Z$709=TYPE3)*(TYPE3&lt;&gt;"")+('Dvd Calendar'!$Z$709=TYPE4)*(TYPE4&lt;&gt;"")+('Dvd Calendar'!$Z$709=SPECIAL_LBL)*(INC_SPECIALS="Y"))=0,"",'Dvd Calendar'!$Z$707)))</f>
        <v/>
      </c>
      <c r="Y75" s="110">
        <f>IF(FA75="","",IF(ISNUMBER('Dvd Calendar'!$AA$707)=FALSE,"",IF((('Dvd Calendar'!$AA$709=TYPE1)*(TYPE1&lt;&gt;"")+('Dvd Calendar'!$AA$709=TYPE2)*(TYPE2&lt;&gt;"")+('Dvd Calendar'!$AA$709=TYPE3)*(TYPE3&lt;&gt;"")+('Dvd Calendar'!$AA$709=TYPE4)*(TYPE4&lt;&gt;"")+('Dvd Calendar'!$AA$709=SPECIAL_LBL)*(INC_SPECIALS="Y"))=0,"",'Dvd Calendar'!$AA$707)))</f>
        <v/>
      </c>
      <c r="Z75" s="110">
        <f>IF(FB75="","",IF(ISNUMBER('Dvd Calendar'!$AB$707)=FALSE,"",IF((('Dvd Calendar'!$AB$709=TYPE1)*(TYPE1&lt;&gt;"")+('Dvd Calendar'!$AB$709=TYPE2)*(TYPE2&lt;&gt;"")+('Dvd Calendar'!$AB$709=TYPE3)*(TYPE3&lt;&gt;"")+('Dvd Calendar'!$AB$709=TYPE4)*(TYPE4&lt;&gt;"")+('Dvd Calendar'!$AB$709=SPECIAL_LBL)*(INC_SPECIALS="Y"))=0,"",'Dvd Calendar'!$AB$707)))</f>
        <v/>
      </c>
      <c r="AA75" s="110">
        <f>IF(FC75="","",IF(ISNUMBER('Dvd Calendar'!$AC$707)=FALSE,"",IF((('Dvd Calendar'!$AC$709=TYPE1)*(TYPE1&lt;&gt;"")+('Dvd Calendar'!$AC$709=TYPE2)*(TYPE2&lt;&gt;"")+('Dvd Calendar'!$AC$709=TYPE3)*(TYPE3&lt;&gt;"")+('Dvd Calendar'!$AC$709=TYPE4)*(TYPE4&lt;&gt;"")+('Dvd Calendar'!$AC$709=SPECIAL_LBL)*(INC_SPECIALS="Y"))=0,"",'Dvd Calendar'!$AC$707)))</f>
        <v/>
      </c>
      <c r="AB75" s="110">
        <f>IF(FD75="","",IF(ISNUMBER('Dvd Calendar'!$AD$707)=FALSE,"",IF((('Dvd Calendar'!$AD$709=TYPE1)*(TYPE1&lt;&gt;"")+('Dvd Calendar'!$AD$709=TYPE2)*(TYPE2&lt;&gt;"")+('Dvd Calendar'!$AD$709=TYPE3)*(TYPE3&lt;&gt;"")+('Dvd Calendar'!$AD$709=TYPE4)*(TYPE4&lt;&gt;"")+('Dvd Calendar'!$AD$709=SPECIAL_LBL)*(INC_SPECIALS="Y"))=0,"",'Dvd Calendar'!$AD$707)))</f>
        <v/>
      </c>
      <c r="AC75" s="110">
        <f>IF(FE75="","",IF(ISNUMBER('Dvd Calendar'!$AE$707)=FALSE,"",IF((('Dvd Calendar'!$AE$709=TYPE1)*(TYPE1&lt;&gt;"")+('Dvd Calendar'!$AE$709=TYPE2)*(TYPE2&lt;&gt;"")+('Dvd Calendar'!$AE$709=TYPE3)*(TYPE3&lt;&gt;"")+('Dvd Calendar'!$AE$709=TYPE4)*(TYPE4&lt;&gt;"")+('Dvd Calendar'!$AE$709=SPECIAL_LBL)*(INC_SPECIALS="Y"))=0,"",'Dvd Calendar'!$AE$707)))</f>
        <v/>
      </c>
      <c r="AD75" s="110">
        <f>IF(FF75="","",IF(ISNUMBER('Dvd Calendar'!$AF$707)=FALSE,"",IF((('Dvd Calendar'!$AF$709=TYPE1)*(TYPE1&lt;&gt;"")+('Dvd Calendar'!$AF$709=TYPE2)*(TYPE2&lt;&gt;"")+('Dvd Calendar'!$AF$709=TYPE3)*(TYPE3&lt;&gt;"")+('Dvd Calendar'!$AF$709=TYPE4)*(TYPE4&lt;&gt;"")+('Dvd Calendar'!$AF$709=SPECIAL_LBL)*(INC_SPECIALS="Y"))=0,"",'Dvd Calendar'!$AF$707)))</f>
        <v/>
      </c>
      <c r="AE75" s="110">
        <f>IF(FG75="","",IF(ISNUMBER('Dvd Calendar'!$AG$707)=FALSE,"",IF((('Dvd Calendar'!$AG$709=TYPE1)*(TYPE1&lt;&gt;"")+('Dvd Calendar'!$AG$709=TYPE2)*(TYPE2&lt;&gt;"")+('Dvd Calendar'!$AG$709=TYPE3)*(TYPE3&lt;&gt;"")+('Dvd Calendar'!$AG$709=TYPE4)*(TYPE4&lt;&gt;"")+('Dvd Calendar'!$AG$709=SPECIAL_LBL)*(INC_SPECIALS="Y"))=0,"",'Dvd Calendar'!$AG$707)))</f>
        <v/>
      </c>
      <c r="AF75" s="110">
        <f>IF(FH75="","",IF(ISNUMBER('Dvd Calendar'!$AH$707)=FALSE,"",IF((('Dvd Calendar'!$AH$709=TYPE1)*(TYPE1&lt;&gt;"")+('Dvd Calendar'!$AH$709=TYPE2)*(TYPE2&lt;&gt;"")+('Dvd Calendar'!$AH$709=TYPE3)*(TYPE3&lt;&gt;"")+('Dvd Calendar'!$AH$709=TYPE4)*(TYPE4&lt;&gt;"")+('Dvd Calendar'!$AH$709=SPECIAL_LBL)*(INC_SPECIALS="Y"))=0,"",'Dvd Calendar'!$AH$707)))</f>
        <v/>
      </c>
      <c r="AG75" s="110">
        <f>IF(FI75="","",IF(ISNUMBER('Dvd Calendar'!$AI$707)=FALSE,"",IF((('Dvd Calendar'!$AI$709=TYPE1)*(TYPE1&lt;&gt;"")+('Dvd Calendar'!$AI$709=TYPE2)*(TYPE2&lt;&gt;"")+('Dvd Calendar'!$AI$709=TYPE3)*(TYPE3&lt;&gt;"")+('Dvd Calendar'!$AI$709=TYPE4)*(TYPE4&lt;&gt;"")+('Dvd Calendar'!$AI$709=SPECIAL_LBL)*(INC_SPECIALS="Y"))=0,"",'Dvd Calendar'!$AI$707)))</f>
        <v/>
      </c>
      <c r="AH75" s="110">
        <f>IF(FJ75="","",IF(ISNUMBER('Dvd Calendar'!$AJ$707)=FALSE,"",IF((('Dvd Calendar'!$AJ$709=TYPE1)*(TYPE1&lt;&gt;"")+('Dvd Calendar'!$AJ$709=TYPE2)*(TYPE2&lt;&gt;"")+('Dvd Calendar'!$AJ$709=TYPE3)*(TYPE3&lt;&gt;"")+('Dvd Calendar'!$AJ$709=TYPE4)*(TYPE4&lt;&gt;"")+('Dvd Calendar'!$AJ$709=SPECIAL_LBL)*(INC_SPECIALS="Y"))=0,"",'Dvd Calendar'!$AJ$707)))</f>
        <v/>
      </c>
      <c r="AI75" s="110">
        <f>IF(FK75="","",IF(ISNUMBER('Dvd Calendar'!$AK$707)=FALSE,"",IF((('Dvd Calendar'!$AK$709=TYPE1)*(TYPE1&lt;&gt;"")+('Dvd Calendar'!$AK$709=TYPE2)*(TYPE2&lt;&gt;"")+('Dvd Calendar'!$AK$709=TYPE3)*(TYPE3&lt;&gt;"")+('Dvd Calendar'!$AK$709=TYPE4)*(TYPE4&lt;&gt;"")+('Dvd Calendar'!$AK$709=SPECIAL_LBL)*(INC_SPECIALS="Y"))=0,"",'Dvd Calendar'!$AK$707)))</f>
        <v/>
      </c>
      <c r="AJ75" s="110">
        <f>IF(FL75="","",IF(ISNUMBER('Dvd Calendar'!$AL$707)=FALSE,"",IF((('Dvd Calendar'!$AL$709=TYPE1)*(TYPE1&lt;&gt;"")+('Dvd Calendar'!$AL$709=TYPE2)*(TYPE2&lt;&gt;"")+('Dvd Calendar'!$AL$709=TYPE3)*(TYPE3&lt;&gt;"")+('Dvd Calendar'!$AL$709=TYPE4)*(TYPE4&lt;&gt;"")+('Dvd Calendar'!$AL$709=SPECIAL_LBL)*(INC_SPECIALS="Y"))=0,"",'Dvd Calendar'!$AL$707)))</f>
        <v/>
      </c>
      <c r="AK75" s="110">
        <f>IF(FM75="","",IF(ISNUMBER('Dvd Calendar'!$AM$707)=FALSE,"",IF((('Dvd Calendar'!$AM$709=TYPE1)*(TYPE1&lt;&gt;"")+('Dvd Calendar'!$AM$709=TYPE2)*(TYPE2&lt;&gt;"")+('Dvd Calendar'!$AM$709=TYPE3)*(TYPE3&lt;&gt;"")+('Dvd Calendar'!$AM$709=TYPE4)*(TYPE4&lt;&gt;"")+('Dvd Calendar'!$AM$709=SPECIAL_LBL)*(INC_SPECIALS="Y"))=0,"",'Dvd Calendar'!$AM$707)))</f>
        <v/>
      </c>
      <c r="AL75" s="110">
        <f>IF(FN75="","",IF(ISNUMBER('Dvd Calendar'!$AN$707)=FALSE,"",IF((('Dvd Calendar'!$AN$709=TYPE1)*(TYPE1&lt;&gt;"")+('Dvd Calendar'!$AN$709=TYPE2)*(TYPE2&lt;&gt;"")+('Dvd Calendar'!$AN$709=TYPE3)*(TYPE3&lt;&gt;"")+('Dvd Calendar'!$AN$709=TYPE4)*(TYPE4&lt;&gt;"")+('Dvd Calendar'!$AN$709=SPECIAL_LBL)*(INC_SPECIALS="Y"))=0,"",'Dvd Calendar'!$AN$707)))</f>
        <v/>
      </c>
      <c r="AM75" s="110">
        <f>IF(FO75="","",IF(ISNUMBER('Dvd Calendar'!$AO$707)=FALSE,"",IF((('Dvd Calendar'!$AO$709=TYPE1)*(TYPE1&lt;&gt;"")+('Dvd Calendar'!$AO$709=TYPE2)*(TYPE2&lt;&gt;"")+('Dvd Calendar'!$AO$709=TYPE3)*(TYPE3&lt;&gt;"")+('Dvd Calendar'!$AO$709=TYPE4)*(TYPE4&lt;&gt;"")+('Dvd Calendar'!$AO$709=SPECIAL_LBL)*(INC_SPECIALS="Y"))=0,"",'Dvd Calendar'!$AO$707)))</f>
        <v/>
      </c>
      <c r="AN75" s="110">
        <f>IF(FP75="","",IF(ISNUMBER('Dvd Calendar'!$AP$707)=FALSE,"",IF((('Dvd Calendar'!$AP$709=TYPE1)*(TYPE1&lt;&gt;"")+('Dvd Calendar'!$AP$709=TYPE2)*(TYPE2&lt;&gt;"")+('Dvd Calendar'!$AP$709=TYPE3)*(TYPE3&lt;&gt;"")+('Dvd Calendar'!$AP$709=TYPE4)*(TYPE4&lt;&gt;"")+('Dvd Calendar'!$AP$709=SPECIAL_LBL)*(INC_SPECIALS="Y"))=0,"",'Dvd Calendar'!$AP$707)))</f>
        <v/>
      </c>
      <c r="AO75" s="110">
        <f>IF(FQ75="","",IF(ISNUMBER('Dvd Calendar'!$AQ$707)=FALSE,"",IF((('Dvd Calendar'!$AQ$709=TYPE1)*(TYPE1&lt;&gt;"")+('Dvd Calendar'!$AQ$709=TYPE2)*(TYPE2&lt;&gt;"")+('Dvd Calendar'!$AQ$709=TYPE3)*(TYPE3&lt;&gt;"")+('Dvd Calendar'!$AQ$709=TYPE4)*(TYPE4&lt;&gt;"")+('Dvd Calendar'!$AQ$709=SPECIAL_LBL)*(INC_SPECIALS="Y"))=0,"",'Dvd Calendar'!$AQ$707)))</f>
        <v/>
      </c>
      <c r="AP75" s="110">
        <f>IF(FR75="","",IF(ISNUMBER('Dvd Calendar'!$AR$707)=FALSE,"",IF((('Dvd Calendar'!$AR$709=TYPE1)*(TYPE1&lt;&gt;"")+('Dvd Calendar'!$AR$709=TYPE2)*(TYPE2&lt;&gt;"")+('Dvd Calendar'!$AR$709=TYPE3)*(TYPE3&lt;&gt;"")+('Dvd Calendar'!$AR$709=TYPE4)*(TYPE4&lt;&gt;"")+('Dvd Calendar'!$AR$709=SPECIAL_LBL)*(INC_SPECIALS="Y"))=0,"",'Dvd Calendar'!$AR$707)))</f>
        <v/>
      </c>
      <c r="AQ75" s="110">
        <f>IF(FS75="","",IF(ISNUMBER('Dvd Calendar'!$E$712)=FALSE,"",'Dvd Calendar'!$E$712))</f>
        <v/>
      </c>
      <c r="AR75" s="110">
        <f>IF(FT75="","",IF(ISNUMBER('Dvd Calendar'!$F$712)=FALSE,"",'Dvd Calendar'!$F$712))</f>
        <v/>
      </c>
      <c r="AS75" s="110">
        <f>IF(FU75="","",IF(ISNUMBER('Dvd Calendar'!$G$712)=FALSE,"",'Dvd Calendar'!$G$712))</f>
        <v/>
      </c>
      <c r="AT75" s="110">
        <f>IF(FV75="","",IF(ISNUMBER('Dvd Calendar'!$H$712)=FALSE,"",'Dvd Calendar'!$H$712))</f>
        <v/>
      </c>
      <c r="AU75" s="110">
        <f>IF(FW75="","",IF(ISNUMBER('Dvd Calendar'!$I$712)=FALSE,"",'Dvd Calendar'!$I$712))</f>
        <v/>
      </c>
      <c r="AV75" s="110">
        <f>IF(FX75="","",IF(ISNUMBER('Dvd Calendar'!$J$712)=FALSE,"",'Dvd Calendar'!$J$712))</f>
        <v/>
      </c>
      <c r="AW75" s="110">
        <f>IF(FY75="","",IF(ISNUMBER('Dvd Calendar'!$K$712)=FALSE,"",'Dvd Calendar'!$K$712))</f>
        <v/>
      </c>
      <c r="AX75" s="110">
        <f>IF(FZ75="","",IF(ISNUMBER('Dvd Calendar'!$L$712)=FALSE,"",'Dvd Calendar'!$L$712))</f>
        <v/>
      </c>
      <c r="AY75" s="110">
        <f>IF(GA75="","",IF(ISNUMBER('Dvd Calendar'!$M$712)=FALSE,"",'Dvd Calendar'!$M$712))</f>
        <v/>
      </c>
      <c r="AZ75" s="110">
        <f>IF(GB75="","",IF(ISNUMBER('Dvd Calendar'!$N$712)=FALSE,"",'Dvd Calendar'!$N$712))</f>
        <v/>
      </c>
      <c r="BA75" s="110">
        <f>IF(GC75="","",IF(ISNUMBER('Dvd Calendar'!$O$712)=FALSE,"",'Dvd Calendar'!$O$712))</f>
        <v/>
      </c>
      <c r="BB75" s="110">
        <f>IF(GD75="","",IF(ISNUMBER('Dvd Calendar'!$P$712)=FALSE,"",'Dvd Calendar'!$P$712))</f>
        <v/>
      </c>
      <c r="BC75" s="110">
        <f>IF(GE75="","",IF(ISNUMBER('Dvd Calendar'!$Q$712)=FALSE,"",'Dvd Calendar'!$Q$712))</f>
        <v/>
      </c>
      <c r="BD75" s="110">
        <f>IF(GF75="","",IF(ISNUMBER('Dvd Calendar'!$R$712)=FALSE,"",'Dvd Calendar'!$R$712))</f>
        <v/>
      </c>
      <c r="BE75" s="110">
        <f>IF(GG75="","",IF(ISNUMBER('Dvd Calendar'!$S$712)=FALSE,"",'Dvd Calendar'!$S$712))</f>
        <v/>
      </c>
      <c r="BF75" s="110">
        <f>IF(GH75="","",IF(ISNUMBER('Dvd Calendar'!$T$712)=FALSE,"",'Dvd Calendar'!$T$712))</f>
        <v/>
      </c>
      <c r="BG75" s="110">
        <f>IF(GI75="","",IF(ISNUMBER('Dvd Calendar'!$U$712)=FALSE,"",'Dvd Calendar'!$U$712))</f>
        <v/>
      </c>
      <c r="BH75" s="110">
        <f>IF(GJ75="","",IF(ISNUMBER('Dvd Calendar'!$V$712)=FALSE,"",'Dvd Calendar'!$V$712))</f>
        <v/>
      </c>
      <c r="BI75" s="110">
        <f>IF(GK75="","",IF(ISNUMBER('Dvd Calendar'!$W$712)=FALSE,"",'Dvd Calendar'!$W$712))</f>
        <v/>
      </c>
      <c r="BJ75" s="110">
        <f>IF(GL75="","",IF(ISNUMBER('Dvd Calendar'!$X$712)=FALSE,"",'Dvd Calendar'!$X$712))</f>
        <v/>
      </c>
      <c r="BK75" s="110">
        <f>IF(GM75="","",IF(ISNUMBER('Dvd Calendar'!$Y$712)=FALSE,"",'Dvd Calendar'!$Y$712))</f>
        <v/>
      </c>
      <c r="BL75" s="110">
        <f>IF(GN75="","",IF(ISNUMBER('Dvd Calendar'!$Z$712)=FALSE,"",'Dvd Calendar'!$Z$712))</f>
        <v/>
      </c>
      <c r="BM75" s="110">
        <f>IF(GO75="","",IF(ISNUMBER('Dvd Calendar'!$AA$712)=FALSE,"",'Dvd Calendar'!$AA$712))</f>
        <v/>
      </c>
      <c r="BN75" s="110">
        <f>IF(GP75="","",IF(ISNUMBER('Dvd Calendar'!$AB$712)=FALSE,"",'Dvd Calendar'!$AB$712))</f>
        <v/>
      </c>
      <c r="BO75" s="110">
        <f>IF(GQ75="","",IF(ISNUMBER('Dvd Calendar'!$AC$712)=FALSE,"",'Dvd Calendar'!$AC$712))</f>
        <v/>
      </c>
      <c r="BQ75" s="110">
        <f>IF(C75="","",IFERROR(C75*HSI!$B$70*HSI!$G$70/HSI!$B$3,""))</f>
        <v/>
      </c>
      <c r="BR75" s="110">
        <f>IF(D75="","",IFERROR(D75*HSI!$B$70*HSI!$G$70/HSI!$B$3,""))</f>
        <v/>
      </c>
      <c r="BS75" s="110">
        <f>IF(E75="","",IFERROR(E75*HSI!$B$70*HSI!$G$70/HSI!$B$3,""))</f>
        <v/>
      </c>
      <c r="BT75" s="110">
        <f>IF(F75="","",IFERROR(F75*HSI!$B$70*HSI!$G$70/HSI!$B$3,""))</f>
        <v/>
      </c>
      <c r="BU75" s="110">
        <f>IF(G75="","",IFERROR(G75*HSI!$B$70*HSI!$G$70/HSI!$B$3,""))</f>
        <v/>
      </c>
      <c r="BV75" s="110">
        <f>IF(H75="","",IFERROR(H75*HSI!$B$70*HSI!$G$70/HSI!$B$3,""))</f>
        <v/>
      </c>
      <c r="BW75" s="110">
        <f>IF(I75="","",IFERROR(I75*HSI!$B$70*HSI!$G$70/HSI!$B$3,""))</f>
        <v/>
      </c>
      <c r="BX75" s="110">
        <f>IF(J75="","",IFERROR(J75*HSI!$B$70*HSI!$G$70/HSI!$B$3,""))</f>
        <v/>
      </c>
      <c r="BY75" s="110">
        <f>IF(K75="","",IFERROR(K75*HSI!$B$70*HSI!$G$70/HSI!$B$3,""))</f>
        <v/>
      </c>
      <c r="BZ75" s="110">
        <f>IF(L75="","",IFERROR(L75*HSI!$B$70*HSI!$G$70/HSI!$B$3,""))</f>
        <v/>
      </c>
      <c r="CA75" s="110">
        <f>IF(M75="","",IFERROR(M75*HSI!$B$70*HSI!$G$70/HSI!$B$3,""))</f>
        <v/>
      </c>
      <c r="CB75" s="110">
        <f>IF(N75="","",IFERROR(N75*HSI!$B$70*HSI!$G$70/HSI!$B$3,""))</f>
        <v/>
      </c>
      <c r="CC75" s="110">
        <f>IF(O75="","",IFERROR(O75*HSI!$B$70*HSI!$G$70/HSI!$B$3,""))</f>
        <v/>
      </c>
      <c r="CD75" s="110">
        <f>IF(P75="","",IFERROR(P75*HSI!$B$70*HSI!$G$70/HSI!$B$3,""))</f>
        <v/>
      </c>
      <c r="CE75" s="110">
        <f>IF(Q75="","",IFERROR(Q75*HSI!$B$70*HSI!$G$70/HSI!$B$3,""))</f>
        <v/>
      </c>
      <c r="CF75" s="110">
        <f>IF(R75="","",IFERROR(R75*HSI!$B$70*HSI!$G$70/HSI!$B$3,""))</f>
        <v/>
      </c>
      <c r="CG75" s="110">
        <f>IF(S75="","",IFERROR(S75*HSI!$B$70*HSI!$G$70/HSI!$B$3,""))</f>
        <v/>
      </c>
      <c r="CH75" s="110">
        <f>IF(T75="","",IFERROR(T75*HSI!$B$70*HSI!$G$70/HSI!$B$3,""))</f>
        <v/>
      </c>
      <c r="CI75" s="110">
        <f>IF(U75="","",IFERROR(U75*HSI!$B$70*HSI!$G$70/HSI!$B$3,""))</f>
        <v/>
      </c>
      <c r="CJ75" s="110">
        <f>IF(V75="","",IFERROR(V75*HSI!$B$70*HSI!$G$70/HSI!$B$3,""))</f>
        <v/>
      </c>
      <c r="CK75" s="110">
        <f>IF(W75="","",IFERROR(W75*HSI!$B$70*HSI!$G$70/HSI!$B$3,""))</f>
        <v/>
      </c>
      <c r="CL75" s="110">
        <f>IF(X75="","",IFERROR(X75*HSI!$B$70*HSI!$G$70/HSI!$B$3,""))</f>
        <v/>
      </c>
      <c r="CM75" s="110">
        <f>IF(Y75="","",IFERROR(Y75*HSI!$B$70*HSI!$G$70/HSI!$B$3,""))</f>
        <v/>
      </c>
      <c r="CN75" s="110">
        <f>IF(Z75="","",IFERROR(Z75*HSI!$B$70*HSI!$G$70/HSI!$B$3,""))</f>
        <v/>
      </c>
      <c r="CO75" s="110">
        <f>IF(AA75="","",IFERROR(AA75*HSI!$B$70*HSI!$G$70/HSI!$B$3,""))</f>
        <v/>
      </c>
      <c r="CP75" s="110">
        <f>IF(AB75="","",IFERROR(AB75*HSI!$B$70*HSI!$G$70/HSI!$B$3,""))</f>
        <v/>
      </c>
      <c r="CQ75" s="110">
        <f>IF(AC75="","",IFERROR(AC75*HSI!$B$70*HSI!$G$70/HSI!$B$3,""))</f>
        <v/>
      </c>
      <c r="CR75" s="110">
        <f>IF(AD75="","",IFERROR(AD75*HSI!$B$70*HSI!$G$70/HSI!$B$3,""))</f>
        <v/>
      </c>
      <c r="CS75" s="110">
        <f>IF(AE75="","",IFERROR(AE75*HSI!$B$70*HSI!$G$70/HSI!$B$3,""))</f>
        <v/>
      </c>
      <c r="CT75" s="110">
        <f>IF(AF75="","",IFERROR(AF75*HSI!$B$70*HSI!$G$70/HSI!$B$3,""))</f>
        <v/>
      </c>
      <c r="CU75" s="110">
        <f>IF(AG75="","",IFERROR(AG75*HSI!$B$70*HSI!$G$70/HSI!$B$3,""))</f>
        <v/>
      </c>
      <c r="CV75" s="110">
        <f>IF(AH75="","",IFERROR(AH75*HSI!$B$70*HSI!$G$70/HSI!$B$3,""))</f>
        <v/>
      </c>
      <c r="CW75" s="110">
        <f>IF(AI75="","",IFERROR(AI75*HSI!$B$70*HSI!$G$70/HSI!$B$3,""))</f>
        <v/>
      </c>
      <c r="CX75" s="110">
        <f>IF(AJ75="","",IFERROR(AJ75*HSI!$B$70*HSI!$G$70/HSI!$B$3,""))</f>
        <v/>
      </c>
      <c r="CY75" s="110">
        <f>IF(AK75="","",IFERROR(AK75*HSI!$B$70*HSI!$G$70/HSI!$B$3,""))</f>
        <v/>
      </c>
      <c r="CZ75" s="110">
        <f>IF(AL75="","",IFERROR(AL75*HSI!$B$70*HSI!$G$70/HSI!$B$3,""))</f>
        <v/>
      </c>
      <c r="DA75" s="110">
        <f>IF(AM75="","",IFERROR(AM75*HSI!$B$70*HSI!$G$70/HSI!$B$3,""))</f>
        <v/>
      </c>
      <c r="DB75" s="110">
        <f>IF(AN75="","",IFERROR(AN75*HSI!$B$70*HSI!$G$70/HSI!$B$3,""))</f>
        <v/>
      </c>
      <c r="DC75" s="110">
        <f>IF(AO75="","",IFERROR(AO75*HSI!$B$70*HSI!$G$70/HSI!$B$3,""))</f>
        <v/>
      </c>
      <c r="DD75" s="110">
        <f>IF(AP75="","",IFERROR(AP75*HSI!$B$70*HSI!$G$70/HSI!$B$3,""))</f>
        <v/>
      </c>
      <c r="DE75" s="110">
        <f>IF(AQ75="","",IFERROR(AQ75*HSI!$B$70*HSI!$G$70/HSI!$B$3,""))</f>
        <v/>
      </c>
      <c r="DF75" s="110">
        <f>IF(AR75="","",IFERROR(AR75*HSI!$B$70*HSI!$G$70/HSI!$B$3,""))</f>
        <v/>
      </c>
      <c r="DG75" s="110">
        <f>IF(AS75="","",IFERROR(AS75*HSI!$B$70*HSI!$G$70/HSI!$B$3,""))</f>
        <v/>
      </c>
      <c r="DH75" s="110">
        <f>IF(AT75="","",IFERROR(AT75*HSI!$B$70*HSI!$G$70/HSI!$B$3,""))</f>
        <v/>
      </c>
      <c r="DI75" s="110">
        <f>IF(AU75="","",IFERROR(AU75*HSI!$B$70*HSI!$G$70/HSI!$B$3,""))</f>
        <v/>
      </c>
      <c r="DJ75" s="110">
        <f>IF(AV75="","",IFERROR(AV75*HSI!$B$70*HSI!$G$70/HSI!$B$3,""))</f>
        <v/>
      </c>
      <c r="DK75" s="110">
        <f>IF(AW75="","",IFERROR(AW75*HSI!$B$70*HSI!$G$70/HSI!$B$3,""))</f>
        <v/>
      </c>
      <c r="DL75" s="110">
        <f>IF(AX75="","",IFERROR(AX75*HSI!$B$70*HSI!$G$70/HSI!$B$3,""))</f>
        <v/>
      </c>
      <c r="DM75" s="110">
        <f>IF(AY75="","",IFERROR(AY75*HSI!$B$70*HSI!$G$70/HSI!$B$3,""))</f>
        <v/>
      </c>
      <c r="DN75" s="110">
        <f>IF(AZ75="","",IFERROR(AZ75*HSI!$B$70*HSI!$G$70/HSI!$B$3,""))</f>
        <v/>
      </c>
      <c r="DO75" s="110">
        <f>IF(BA75="","",IFERROR(BA75*HSI!$B$70*HSI!$G$70/HSI!$B$3,""))</f>
        <v/>
      </c>
      <c r="DP75" s="110">
        <f>IF(BB75="","",IFERROR(BB75*HSI!$B$70*HSI!$G$70/HSI!$B$3,""))</f>
        <v/>
      </c>
      <c r="DQ75" s="110">
        <f>IF(BC75="","",IFERROR(BC75*HSI!$B$70*HSI!$G$70/HSI!$B$3,""))</f>
        <v/>
      </c>
      <c r="DR75" s="110">
        <f>IF(BD75="","",IFERROR(BD75*HSI!$B$70*HSI!$G$70/HSI!$B$3,""))</f>
        <v/>
      </c>
      <c r="DS75" s="110">
        <f>IF(BE75="","",IFERROR(BE75*HSI!$B$70*HSI!$G$70/HSI!$B$3,""))</f>
        <v/>
      </c>
      <c r="DT75" s="110">
        <f>IF(BF75="","",IFERROR(BF75*HSI!$B$70*HSI!$G$70/HSI!$B$3,""))</f>
        <v/>
      </c>
      <c r="DU75" s="110">
        <f>IF(BG75="","",IFERROR(BG75*HSI!$B$70*HSI!$G$70/HSI!$B$3,""))</f>
        <v/>
      </c>
      <c r="DV75" s="110">
        <f>IF(BH75="","",IFERROR(BH75*HSI!$B$70*HSI!$G$70/HSI!$B$3,""))</f>
        <v/>
      </c>
      <c r="DW75" s="110">
        <f>IF(BI75="","",IFERROR(BI75*HSI!$B$70*HSI!$G$70/HSI!$B$3,""))</f>
        <v/>
      </c>
      <c r="DX75" s="110">
        <f>IF(BJ75="","",IFERROR(BJ75*HSI!$B$70*HSI!$G$70/HSI!$B$3,""))</f>
        <v/>
      </c>
      <c r="DY75" s="110">
        <f>IF(BK75="","",IFERROR(BK75*HSI!$B$70*HSI!$G$70/HSI!$B$3,""))</f>
        <v/>
      </c>
      <c r="DZ75" s="110">
        <f>IF(BL75="","",IFERROR(BL75*HSI!$B$70*HSI!$G$70/HSI!$B$3,""))</f>
        <v/>
      </c>
      <c r="EA75" s="110">
        <f>IF(BM75="","",IFERROR(BM75*HSI!$B$70*HSI!$G$70/HSI!$B$3,""))</f>
        <v/>
      </c>
      <c r="EB75" s="110">
        <f>IF(BN75="","",IFERROR(BN75*HSI!$B$70*HSI!$G$70/HSI!$B$3,""))</f>
        <v/>
      </c>
      <c r="EC75" s="110">
        <f>IF(BO75="","",IFERROR(BO75*HSI!$B$70*HSI!$G$70/HSI!$B$3,""))</f>
        <v/>
      </c>
      <c r="EE75" s="39">
        <f>IF(N('Dvd Calendar'!$E$704)=0,"",IF(('Dvd Calendar'!$E$704&gt;=GRID_FROM)*('Dvd Calendar'!$E$704&lt;=GRID_TO)*((('Dvd Calendar'!$E$704&lt;=VAL_DATE)+(COUNTIF('Dvd Calendar'!$E$711:$AR$711,'Dvd Calendar'!$E$704)=0))&gt;0)=0,"",'Dvd Calendar'!$E$704*1000000000+ISNUMBER('Dvd Calendar'!$E$707)*100000000+('Dvd Calendar'!$E$709=SPECIAL_LBL)*10000000+(N('Dvd Calendar'!$E$703)&gt;0)*(N('Dvd Calendar'!$E$703)&lt;=VAL_SERIAL)*1000000+64*1000+1))</f>
        <v/>
      </c>
      <c r="EF75" s="39">
        <f>IF(N('Dvd Calendar'!$F$704)=0,"",IF(('Dvd Calendar'!$F$704&gt;=GRID_FROM)*('Dvd Calendar'!$F$704&lt;=GRID_TO)*((('Dvd Calendar'!$F$704&lt;=VAL_DATE)+(COUNTIF('Dvd Calendar'!$E$711:$AR$711,'Dvd Calendar'!$F$704)=0))&gt;0)=0,"",'Dvd Calendar'!$F$704*1000000000+ISNUMBER('Dvd Calendar'!$F$707)*100000000+('Dvd Calendar'!$F$709=SPECIAL_LBL)*10000000+(N('Dvd Calendar'!$F$703)&gt;0)*(N('Dvd Calendar'!$F$703)&lt;=VAL_SERIAL)*1000000+64*1000+2))</f>
        <v/>
      </c>
      <c r="EG75" s="39">
        <f>IF(N('Dvd Calendar'!$G$704)=0,"",IF(('Dvd Calendar'!$G$704&gt;=GRID_FROM)*('Dvd Calendar'!$G$704&lt;=GRID_TO)*((('Dvd Calendar'!$G$704&lt;=VAL_DATE)+(COUNTIF('Dvd Calendar'!$E$711:$AR$711,'Dvd Calendar'!$G$704)=0))&gt;0)=0,"",'Dvd Calendar'!$G$704*1000000000+ISNUMBER('Dvd Calendar'!$G$707)*100000000+('Dvd Calendar'!$G$709=SPECIAL_LBL)*10000000+(N('Dvd Calendar'!$G$703)&gt;0)*(N('Dvd Calendar'!$G$703)&lt;=VAL_SERIAL)*1000000+64*1000+3))</f>
        <v/>
      </c>
      <c r="EH75" s="39">
        <f>IF(N('Dvd Calendar'!$H$704)=0,"",IF(('Dvd Calendar'!$H$704&gt;=GRID_FROM)*('Dvd Calendar'!$H$704&lt;=GRID_TO)*((('Dvd Calendar'!$H$704&lt;=VAL_DATE)+(COUNTIF('Dvd Calendar'!$E$711:$AR$711,'Dvd Calendar'!$H$704)=0))&gt;0)=0,"",'Dvd Calendar'!$H$704*1000000000+ISNUMBER('Dvd Calendar'!$H$707)*100000000+('Dvd Calendar'!$H$709=SPECIAL_LBL)*10000000+(N('Dvd Calendar'!$H$703)&gt;0)*(N('Dvd Calendar'!$H$703)&lt;=VAL_SERIAL)*1000000+64*1000+4))</f>
        <v/>
      </c>
      <c r="EI75" s="39">
        <f>IF(N('Dvd Calendar'!$I$704)=0,"",IF(('Dvd Calendar'!$I$704&gt;=GRID_FROM)*('Dvd Calendar'!$I$704&lt;=GRID_TO)*((('Dvd Calendar'!$I$704&lt;=VAL_DATE)+(COUNTIF('Dvd Calendar'!$E$711:$AR$711,'Dvd Calendar'!$I$704)=0))&gt;0)=0,"",'Dvd Calendar'!$I$704*1000000000+ISNUMBER('Dvd Calendar'!$I$707)*100000000+('Dvd Calendar'!$I$709=SPECIAL_LBL)*10000000+(N('Dvd Calendar'!$I$703)&gt;0)*(N('Dvd Calendar'!$I$703)&lt;=VAL_SERIAL)*1000000+64*1000+5))</f>
        <v/>
      </c>
      <c r="EJ75" s="39">
        <f>IF(N('Dvd Calendar'!$J$704)=0,"",IF(('Dvd Calendar'!$J$704&gt;=GRID_FROM)*('Dvd Calendar'!$J$704&lt;=GRID_TO)*((('Dvd Calendar'!$J$704&lt;=VAL_DATE)+(COUNTIF('Dvd Calendar'!$E$711:$AR$711,'Dvd Calendar'!$J$704)=0))&gt;0)=0,"",'Dvd Calendar'!$J$704*1000000000+ISNUMBER('Dvd Calendar'!$J$707)*100000000+('Dvd Calendar'!$J$709=SPECIAL_LBL)*10000000+(N('Dvd Calendar'!$J$703)&gt;0)*(N('Dvd Calendar'!$J$703)&lt;=VAL_SERIAL)*1000000+64*1000+6))</f>
        <v/>
      </c>
      <c r="EK75" s="39">
        <f>IF(N('Dvd Calendar'!$K$704)=0,"",IF(('Dvd Calendar'!$K$704&gt;=GRID_FROM)*('Dvd Calendar'!$K$704&lt;=GRID_TO)*((('Dvd Calendar'!$K$704&lt;=VAL_DATE)+(COUNTIF('Dvd Calendar'!$E$711:$AR$711,'Dvd Calendar'!$K$704)=0))&gt;0)=0,"",'Dvd Calendar'!$K$704*1000000000+ISNUMBER('Dvd Calendar'!$K$707)*100000000+('Dvd Calendar'!$K$709=SPECIAL_LBL)*10000000+(N('Dvd Calendar'!$K$703)&gt;0)*(N('Dvd Calendar'!$K$703)&lt;=VAL_SERIAL)*1000000+64*1000+7))</f>
        <v/>
      </c>
      <c r="EL75" s="39">
        <f>IF(N('Dvd Calendar'!$L$704)=0,"",IF(('Dvd Calendar'!$L$704&gt;=GRID_FROM)*('Dvd Calendar'!$L$704&lt;=GRID_TO)*((('Dvd Calendar'!$L$704&lt;=VAL_DATE)+(COUNTIF('Dvd Calendar'!$E$711:$AR$711,'Dvd Calendar'!$L$704)=0))&gt;0)=0,"",'Dvd Calendar'!$L$704*1000000000+ISNUMBER('Dvd Calendar'!$L$707)*100000000+('Dvd Calendar'!$L$709=SPECIAL_LBL)*10000000+(N('Dvd Calendar'!$L$703)&gt;0)*(N('Dvd Calendar'!$L$703)&lt;=VAL_SERIAL)*1000000+64*1000+8))</f>
        <v/>
      </c>
      <c r="EM75" s="39">
        <f>IF(N('Dvd Calendar'!$M$704)=0,"",IF(('Dvd Calendar'!$M$704&gt;=GRID_FROM)*('Dvd Calendar'!$M$704&lt;=GRID_TO)*((('Dvd Calendar'!$M$704&lt;=VAL_DATE)+(COUNTIF('Dvd Calendar'!$E$711:$AR$711,'Dvd Calendar'!$M$704)=0))&gt;0)=0,"",'Dvd Calendar'!$M$704*1000000000+ISNUMBER('Dvd Calendar'!$M$707)*100000000+('Dvd Calendar'!$M$709=SPECIAL_LBL)*10000000+(N('Dvd Calendar'!$M$703)&gt;0)*(N('Dvd Calendar'!$M$703)&lt;=VAL_SERIAL)*1000000+64*1000+9))</f>
        <v/>
      </c>
      <c r="EN75" s="39">
        <f>IF(N('Dvd Calendar'!$N$704)=0,"",IF(('Dvd Calendar'!$N$704&gt;=GRID_FROM)*('Dvd Calendar'!$N$704&lt;=GRID_TO)*((('Dvd Calendar'!$N$704&lt;=VAL_DATE)+(COUNTIF('Dvd Calendar'!$E$711:$AR$711,'Dvd Calendar'!$N$704)=0))&gt;0)=0,"",'Dvd Calendar'!$N$704*1000000000+ISNUMBER('Dvd Calendar'!$N$707)*100000000+('Dvd Calendar'!$N$709=SPECIAL_LBL)*10000000+(N('Dvd Calendar'!$N$703)&gt;0)*(N('Dvd Calendar'!$N$703)&lt;=VAL_SERIAL)*1000000+64*1000+10))</f>
        <v/>
      </c>
      <c r="EO75" s="39">
        <f>IF(N('Dvd Calendar'!$O$704)=0,"",IF(('Dvd Calendar'!$O$704&gt;=GRID_FROM)*('Dvd Calendar'!$O$704&lt;=GRID_TO)*((('Dvd Calendar'!$O$704&lt;=VAL_DATE)+(COUNTIF('Dvd Calendar'!$E$711:$AR$711,'Dvd Calendar'!$O$704)=0))&gt;0)=0,"",'Dvd Calendar'!$O$704*1000000000+ISNUMBER('Dvd Calendar'!$O$707)*100000000+('Dvd Calendar'!$O$709=SPECIAL_LBL)*10000000+(N('Dvd Calendar'!$O$703)&gt;0)*(N('Dvd Calendar'!$O$703)&lt;=VAL_SERIAL)*1000000+64*1000+11))</f>
        <v/>
      </c>
      <c r="EP75" s="39">
        <f>IF(N('Dvd Calendar'!$P$704)=0,"",IF(('Dvd Calendar'!$P$704&gt;=GRID_FROM)*('Dvd Calendar'!$P$704&lt;=GRID_TO)*((('Dvd Calendar'!$P$704&lt;=VAL_DATE)+(COUNTIF('Dvd Calendar'!$E$711:$AR$711,'Dvd Calendar'!$P$704)=0))&gt;0)=0,"",'Dvd Calendar'!$P$704*1000000000+ISNUMBER('Dvd Calendar'!$P$707)*100000000+('Dvd Calendar'!$P$709=SPECIAL_LBL)*10000000+(N('Dvd Calendar'!$P$703)&gt;0)*(N('Dvd Calendar'!$P$703)&lt;=VAL_SERIAL)*1000000+64*1000+12))</f>
        <v/>
      </c>
      <c r="EQ75" s="39">
        <f>IF(N('Dvd Calendar'!$Q$704)=0,"",IF(('Dvd Calendar'!$Q$704&gt;=GRID_FROM)*('Dvd Calendar'!$Q$704&lt;=GRID_TO)*((('Dvd Calendar'!$Q$704&lt;=VAL_DATE)+(COUNTIF('Dvd Calendar'!$E$711:$AR$711,'Dvd Calendar'!$Q$704)=0))&gt;0)=0,"",'Dvd Calendar'!$Q$704*1000000000+ISNUMBER('Dvd Calendar'!$Q$707)*100000000+('Dvd Calendar'!$Q$709=SPECIAL_LBL)*10000000+(N('Dvd Calendar'!$Q$703)&gt;0)*(N('Dvd Calendar'!$Q$703)&lt;=VAL_SERIAL)*1000000+64*1000+13))</f>
        <v/>
      </c>
      <c r="ER75" s="39">
        <f>IF(N('Dvd Calendar'!$R$704)=0,"",IF(('Dvd Calendar'!$R$704&gt;=GRID_FROM)*('Dvd Calendar'!$R$704&lt;=GRID_TO)*((('Dvd Calendar'!$R$704&lt;=VAL_DATE)+(COUNTIF('Dvd Calendar'!$E$711:$AR$711,'Dvd Calendar'!$R$704)=0))&gt;0)=0,"",'Dvd Calendar'!$R$704*1000000000+ISNUMBER('Dvd Calendar'!$R$707)*100000000+('Dvd Calendar'!$R$709=SPECIAL_LBL)*10000000+(N('Dvd Calendar'!$R$703)&gt;0)*(N('Dvd Calendar'!$R$703)&lt;=VAL_SERIAL)*1000000+64*1000+14))</f>
        <v/>
      </c>
      <c r="ES75" s="39">
        <f>IF(N('Dvd Calendar'!$S$704)=0,"",IF(('Dvd Calendar'!$S$704&gt;=GRID_FROM)*('Dvd Calendar'!$S$704&lt;=GRID_TO)*((('Dvd Calendar'!$S$704&lt;=VAL_DATE)+(COUNTIF('Dvd Calendar'!$E$711:$AR$711,'Dvd Calendar'!$S$704)=0))&gt;0)=0,"",'Dvd Calendar'!$S$704*1000000000+ISNUMBER('Dvd Calendar'!$S$707)*100000000+('Dvd Calendar'!$S$709=SPECIAL_LBL)*10000000+(N('Dvd Calendar'!$S$703)&gt;0)*(N('Dvd Calendar'!$S$703)&lt;=VAL_SERIAL)*1000000+64*1000+15))</f>
        <v/>
      </c>
      <c r="ET75" s="39">
        <f>IF(N('Dvd Calendar'!$T$704)=0,"",IF(('Dvd Calendar'!$T$704&gt;=GRID_FROM)*('Dvd Calendar'!$T$704&lt;=GRID_TO)*((('Dvd Calendar'!$T$704&lt;=VAL_DATE)+(COUNTIF('Dvd Calendar'!$E$711:$AR$711,'Dvd Calendar'!$T$704)=0))&gt;0)=0,"",'Dvd Calendar'!$T$704*1000000000+ISNUMBER('Dvd Calendar'!$T$707)*100000000+('Dvd Calendar'!$T$709=SPECIAL_LBL)*10000000+(N('Dvd Calendar'!$T$703)&gt;0)*(N('Dvd Calendar'!$T$703)&lt;=VAL_SERIAL)*1000000+64*1000+16))</f>
        <v/>
      </c>
      <c r="EU75" s="39">
        <f>IF(N('Dvd Calendar'!$U$704)=0,"",IF(('Dvd Calendar'!$U$704&gt;=GRID_FROM)*('Dvd Calendar'!$U$704&lt;=GRID_TO)*((('Dvd Calendar'!$U$704&lt;=VAL_DATE)+(COUNTIF('Dvd Calendar'!$E$711:$AR$711,'Dvd Calendar'!$U$704)=0))&gt;0)=0,"",'Dvd Calendar'!$U$704*1000000000+ISNUMBER('Dvd Calendar'!$U$707)*100000000+('Dvd Calendar'!$U$709=SPECIAL_LBL)*10000000+(N('Dvd Calendar'!$U$703)&gt;0)*(N('Dvd Calendar'!$U$703)&lt;=VAL_SERIAL)*1000000+64*1000+17))</f>
        <v/>
      </c>
      <c r="EV75" s="39">
        <f>IF(N('Dvd Calendar'!$V$704)=0,"",IF(('Dvd Calendar'!$V$704&gt;=GRID_FROM)*('Dvd Calendar'!$V$704&lt;=GRID_TO)*((('Dvd Calendar'!$V$704&lt;=VAL_DATE)+(COUNTIF('Dvd Calendar'!$E$711:$AR$711,'Dvd Calendar'!$V$704)=0))&gt;0)=0,"",'Dvd Calendar'!$V$704*1000000000+ISNUMBER('Dvd Calendar'!$V$707)*100000000+('Dvd Calendar'!$V$709=SPECIAL_LBL)*10000000+(N('Dvd Calendar'!$V$703)&gt;0)*(N('Dvd Calendar'!$V$703)&lt;=VAL_SERIAL)*1000000+64*1000+18))</f>
        <v/>
      </c>
      <c r="EW75" s="39">
        <f>IF(N('Dvd Calendar'!$W$704)=0,"",IF(('Dvd Calendar'!$W$704&gt;=GRID_FROM)*('Dvd Calendar'!$W$704&lt;=GRID_TO)*((('Dvd Calendar'!$W$704&lt;=VAL_DATE)+(COUNTIF('Dvd Calendar'!$E$711:$AR$711,'Dvd Calendar'!$W$704)=0))&gt;0)=0,"",'Dvd Calendar'!$W$704*1000000000+ISNUMBER('Dvd Calendar'!$W$707)*100000000+('Dvd Calendar'!$W$709=SPECIAL_LBL)*10000000+(N('Dvd Calendar'!$W$703)&gt;0)*(N('Dvd Calendar'!$W$703)&lt;=VAL_SERIAL)*1000000+64*1000+19))</f>
        <v/>
      </c>
      <c r="EX75" s="39">
        <f>IF(N('Dvd Calendar'!$X$704)=0,"",IF(('Dvd Calendar'!$X$704&gt;=GRID_FROM)*('Dvd Calendar'!$X$704&lt;=GRID_TO)*((('Dvd Calendar'!$X$704&lt;=VAL_DATE)+(COUNTIF('Dvd Calendar'!$E$711:$AR$711,'Dvd Calendar'!$X$704)=0))&gt;0)=0,"",'Dvd Calendar'!$X$704*1000000000+ISNUMBER('Dvd Calendar'!$X$707)*100000000+('Dvd Calendar'!$X$709=SPECIAL_LBL)*10000000+(N('Dvd Calendar'!$X$703)&gt;0)*(N('Dvd Calendar'!$X$703)&lt;=VAL_SERIAL)*1000000+64*1000+20))</f>
        <v/>
      </c>
      <c r="EY75" s="39">
        <f>IF(N('Dvd Calendar'!$Y$704)=0,"",IF(('Dvd Calendar'!$Y$704&gt;=GRID_FROM)*('Dvd Calendar'!$Y$704&lt;=GRID_TO)*((('Dvd Calendar'!$Y$704&lt;=VAL_DATE)+(COUNTIF('Dvd Calendar'!$E$711:$AR$711,'Dvd Calendar'!$Y$704)=0))&gt;0)=0,"",'Dvd Calendar'!$Y$704*1000000000+ISNUMBER('Dvd Calendar'!$Y$707)*100000000+('Dvd Calendar'!$Y$709=SPECIAL_LBL)*10000000+(N('Dvd Calendar'!$Y$703)&gt;0)*(N('Dvd Calendar'!$Y$703)&lt;=VAL_SERIAL)*1000000+64*1000+21))</f>
        <v/>
      </c>
      <c r="EZ75" s="39">
        <f>IF(N('Dvd Calendar'!$Z$704)=0,"",IF(('Dvd Calendar'!$Z$704&gt;=GRID_FROM)*('Dvd Calendar'!$Z$704&lt;=GRID_TO)*((('Dvd Calendar'!$Z$704&lt;=VAL_DATE)+(COUNTIF('Dvd Calendar'!$E$711:$AR$711,'Dvd Calendar'!$Z$704)=0))&gt;0)=0,"",'Dvd Calendar'!$Z$704*1000000000+ISNUMBER('Dvd Calendar'!$Z$707)*100000000+('Dvd Calendar'!$Z$709=SPECIAL_LBL)*10000000+(N('Dvd Calendar'!$Z$703)&gt;0)*(N('Dvd Calendar'!$Z$703)&lt;=VAL_SERIAL)*1000000+64*1000+22))</f>
        <v/>
      </c>
      <c r="FA75" s="39">
        <f>IF(N('Dvd Calendar'!$AA$704)=0,"",IF(('Dvd Calendar'!$AA$704&gt;=GRID_FROM)*('Dvd Calendar'!$AA$704&lt;=GRID_TO)*((('Dvd Calendar'!$AA$704&lt;=VAL_DATE)+(COUNTIF('Dvd Calendar'!$E$711:$AR$711,'Dvd Calendar'!$AA$704)=0))&gt;0)=0,"",'Dvd Calendar'!$AA$704*1000000000+ISNUMBER('Dvd Calendar'!$AA$707)*100000000+('Dvd Calendar'!$AA$709=SPECIAL_LBL)*10000000+(N('Dvd Calendar'!$AA$703)&gt;0)*(N('Dvd Calendar'!$AA$703)&lt;=VAL_SERIAL)*1000000+64*1000+23))</f>
        <v/>
      </c>
      <c r="FB75" s="39">
        <f>IF(N('Dvd Calendar'!$AB$704)=0,"",IF(('Dvd Calendar'!$AB$704&gt;=GRID_FROM)*('Dvd Calendar'!$AB$704&lt;=GRID_TO)*((('Dvd Calendar'!$AB$704&lt;=VAL_DATE)+(COUNTIF('Dvd Calendar'!$E$711:$AR$711,'Dvd Calendar'!$AB$704)=0))&gt;0)=0,"",'Dvd Calendar'!$AB$704*1000000000+ISNUMBER('Dvd Calendar'!$AB$707)*100000000+('Dvd Calendar'!$AB$709=SPECIAL_LBL)*10000000+(N('Dvd Calendar'!$AB$703)&gt;0)*(N('Dvd Calendar'!$AB$703)&lt;=VAL_SERIAL)*1000000+64*1000+24))</f>
        <v/>
      </c>
      <c r="FC75" s="39">
        <f>IF(N('Dvd Calendar'!$AC$704)=0,"",IF(('Dvd Calendar'!$AC$704&gt;=GRID_FROM)*('Dvd Calendar'!$AC$704&lt;=GRID_TO)*((('Dvd Calendar'!$AC$704&lt;=VAL_DATE)+(COUNTIF('Dvd Calendar'!$E$711:$AR$711,'Dvd Calendar'!$AC$704)=0))&gt;0)=0,"",'Dvd Calendar'!$AC$704*1000000000+ISNUMBER('Dvd Calendar'!$AC$707)*100000000+('Dvd Calendar'!$AC$709=SPECIAL_LBL)*10000000+(N('Dvd Calendar'!$AC$703)&gt;0)*(N('Dvd Calendar'!$AC$703)&lt;=VAL_SERIAL)*1000000+64*1000+25))</f>
        <v/>
      </c>
      <c r="FD75" s="39">
        <f>IF(N('Dvd Calendar'!$AD$704)=0,"",IF(('Dvd Calendar'!$AD$704&gt;=GRID_FROM)*('Dvd Calendar'!$AD$704&lt;=GRID_TO)*((('Dvd Calendar'!$AD$704&lt;=VAL_DATE)+(COUNTIF('Dvd Calendar'!$E$711:$AR$711,'Dvd Calendar'!$AD$704)=0))&gt;0)=0,"",'Dvd Calendar'!$AD$704*1000000000+ISNUMBER('Dvd Calendar'!$AD$707)*100000000+('Dvd Calendar'!$AD$709=SPECIAL_LBL)*10000000+(N('Dvd Calendar'!$AD$703)&gt;0)*(N('Dvd Calendar'!$AD$703)&lt;=VAL_SERIAL)*1000000+64*1000+26))</f>
        <v/>
      </c>
      <c r="FE75" s="39">
        <f>IF(N('Dvd Calendar'!$AE$704)=0,"",IF(('Dvd Calendar'!$AE$704&gt;=GRID_FROM)*('Dvd Calendar'!$AE$704&lt;=GRID_TO)*((('Dvd Calendar'!$AE$704&lt;=VAL_DATE)+(COUNTIF('Dvd Calendar'!$E$711:$AR$711,'Dvd Calendar'!$AE$704)=0))&gt;0)=0,"",'Dvd Calendar'!$AE$704*1000000000+ISNUMBER('Dvd Calendar'!$AE$707)*100000000+('Dvd Calendar'!$AE$709=SPECIAL_LBL)*10000000+(N('Dvd Calendar'!$AE$703)&gt;0)*(N('Dvd Calendar'!$AE$703)&lt;=VAL_SERIAL)*1000000+64*1000+27))</f>
        <v/>
      </c>
      <c r="FF75" s="39">
        <f>IF(N('Dvd Calendar'!$AF$704)=0,"",IF(('Dvd Calendar'!$AF$704&gt;=GRID_FROM)*('Dvd Calendar'!$AF$704&lt;=GRID_TO)*((('Dvd Calendar'!$AF$704&lt;=VAL_DATE)+(COUNTIF('Dvd Calendar'!$E$711:$AR$711,'Dvd Calendar'!$AF$704)=0))&gt;0)=0,"",'Dvd Calendar'!$AF$704*1000000000+ISNUMBER('Dvd Calendar'!$AF$707)*100000000+('Dvd Calendar'!$AF$709=SPECIAL_LBL)*10000000+(N('Dvd Calendar'!$AF$703)&gt;0)*(N('Dvd Calendar'!$AF$703)&lt;=VAL_SERIAL)*1000000+64*1000+28))</f>
        <v/>
      </c>
      <c r="FG75" s="39">
        <f>IF(N('Dvd Calendar'!$AG$704)=0,"",IF(('Dvd Calendar'!$AG$704&gt;=GRID_FROM)*('Dvd Calendar'!$AG$704&lt;=GRID_TO)*((('Dvd Calendar'!$AG$704&lt;=VAL_DATE)+(COUNTIF('Dvd Calendar'!$E$711:$AR$711,'Dvd Calendar'!$AG$704)=0))&gt;0)=0,"",'Dvd Calendar'!$AG$704*1000000000+ISNUMBER('Dvd Calendar'!$AG$707)*100000000+('Dvd Calendar'!$AG$709=SPECIAL_LBL)*10000000+(N('Dvd Calendar'!$AG$703)&gt;0)*(N('Dvd Calendar'!$AG$703)&lt;=VAL_SERIAL)*1000000+64*1000+29))</f>
        <v/>
      </c>
      <c r="FH75" s="39">
        <f>IF(N('Dvd Calendar'!$AH$704)=0,"",IF(('Dvd Calendar'!$AH$704&gt;=GRID_FROM)*('Dvd Calendar'!$AH$704&lt;=GRID_TO)*((('Dvd Calendar'!$AH$704&lt;=VAL_DATE)+(COUNTIF('Dvd Calendar'!$E$711:$AR$711,'Dvd Calendar'!$AH$704)=0))&gt;0)=0,"",'Dvd Calendar'!$AH$704*1000000000+ISNUMBER('Dvd Calendar'!$AH$707)*100000000+('Dvd Calendar'!$AH$709=SPECIAL_LBL)*10000000+(N('Dvd Calendar'!$AH$703)&gt;0)*(N('Dvd Calendar'!$AH$703)&lt;=VAL_SERIAL)*1000000+64*1000+30))</f>
        <v/>
      </c>
      <c r="FI75" s="39">
        <f>IF(N('Dvd Calendar'!$AI$704)=0,"",IF(('Dvd Calendar'!$AI$704&gt;=GRID_FROM)*('Dvd Calendar'!$AI$704&lt;=GRID_TO)*((('Dvd Calendar'!$AI$704&lt;=VAL_DATE)+(COUNTIF('Dvd Calendar'!$E$711:$AR$711,'Dvd Calendar'!$AI$704)=0))&gt;0)=0,"",'Dvd Calendar'!$AI$704*1000000000+ISNUMBER('Dvd Calendar'!$AI$707)*100000000+('Dvd Calendar'!$AI$709=SPECIAL_LBL)*10000000+(N('Dvd Calendar'!$AI$703)&gt;0)*(N('Dvd Calendar'!$AI$703)&lt;=VAL_SERIAL)*1000000+64*1000+31))</f>
        <v/>
      </c>
      <c r="FJ75" s="39">
        <f>IF(N('Dvd Calendar'!$AJ$704)=0,"",IF(('Dvd Calendar'!$AJ$704&gt;=GRID_FROM)*('Dvd Calendar'!$AJ$704&lt;=GRID_TO)*((('Dvd Calendar'!$AJ$704&lt;=VAL_DATE)+(COUNTIF('Dvd Calendar'!$E$711:$AR$711,'Dvd Calendar'!$AJ$704)=0))&gt;0)=0,"",'Dvd Calendar'!$AJ$704*1000000000+ISNUMBER('Dvd Calendar'!$AJ$707)*100000000+('Dvd Calendar'!$AJ$709=SPECIAL_LBL)*10000000+(N('Dvd Calendar'!$AJ$703)&gt;0)*(N('Dvd Calendar'!$AJ$703)&lt;=VAL_SERIAL)*1000000+64*1000+32))</f>
        <v/>
      </c>
      <c r="FK75" s="39">
        <f>IF(N('Dvd Calendar'!$AK$704)=0,"",IF(('Dvd Calendar'!$AK$704&gt;=GRID_FROM)*('Dvd Calendar'!$AK$704&lt;=GRID_TO)*((('Dvd Calendar'!$AK$704&lt;=VAL_DATE)+(COUNTIF('Dvd Calendar'!$E$711:$AR$711,'Dvd Calendar'!$AK$704)=0))&gt;0)=0,"",'Dvd Calendar'!$AK$704*1000000000+ISNUMBER('Dvd Calendar'!$AK$707)*100000000+('Dvd Calendar'!$AK$709=SPECIAL_LBL)*10000000+(N('Dvd Calendar'!$AK$703)&gt;0)*(N('Dvd Calendar'!$AK$703)&lt;=VAL_SERIAL)*1000000+64*1000+33))</f>
        <v/>
      </c>
      <c r="FL75" s="39">
        <f>IF(N('Dvd Calendar'!$AL$704)=0,"",IF(('Dvd Calendar'!$AL$704&gt;=GRID_FROM)*('Dvd Calendar'!$AL$704&lt;=GRID_TO)*((('Dvd Calendar'!$AL$704&lt;=VAL_DATE)+(COUNTIF('Dvd Calendar'!$E$711:$AR$711,'Dvd Calendar'!$AL$704)=0))&gt;0)=0,"",'Dvd Calendar'!$AL$704*1000000000+ISNUMBER('Dvd Calendar'!$AL$707)*100000000+('Dvd Calendar'!$AL$709=SPECIAL_LBL)*10000000+(N('Dvd Calendar'!$AL$703)&gt;0)*(N('Dvd Calendar'!$AL$703)&lt;=VAL_SERIAL)*1000000+64*1000+34))</f>
        <v/>
      </c>
      <c r="FM75" s="39">
        <f>IF(N('Dvd Calendar'!$AM$704)=0,"",IF(('Dvd Calendar'!$AM$704&gt;=GRID_FROM)*('Dvd Calendar'!$AM$704&lt;=GRID_TO)*((('Dvd Calendar'!$AM$704&lt;=VAL_DATE)+(COUNTIF('Dvd Calendar'!$E$711:$AR$711,'Dvd Calendar'!$AM$704)=0))&gt;0)=0,"",'Dvd Calendar'!$AM$704*1000000000+ISNUMBER('Dvd Calendar'!$AM$707)*100000000+('Dvd Calendar'!$AM$709=SPECIAL_LBL)*10000000+(N('Dvd Calendar'!$AM$703)&gt;0)*(N('Dvd Calendar'!$AM$703)&lt;=VAL_SERIAL)*1000000+64*1000+35))</f>
        <v/>
      </c>
      <c r="FN75" s="39">
        <f>IF(N('Dvd Calendar'!$AN$704)=0,"",IF(('Dvd Calendar'!$AN$704&gt;=GRID_FROM)*('Dvd Calendar'!$AN$704&lt;=GRID_TO)*((('Dvd Calendar'!$AN$704&lt;=VAL_DATE)+(COUNTIF('Dvd Calendar'!$E$711:$AR$711,'Dvd Calendar'!$AN$704)=0))&gt;0)=0,"",'Dvd Calendar'!$AN$704*1000000000+ISNUMBER('Dvd Calendar'!$AN$707)*100000000+('Dvd Calendar'!$AN$709=SPECIAL_LBL)*10000000+(N('Dvd Calendar'!$AN$703)&gt;0)*(N('Dvd Calendar'!$AN$703)&lt;=VAL_SERIAL)*1000000+64*1000+36))</f>
        <v/>
      </c>
      <c r="FO75" s="39">
        <f>IF(N('Dvd Calendar'!$AO$704)=0,"",IF(('Dvd Calendar'!$AO$704&gt;=GRID_FROM)*('Dvd Calendar'!$AO$704&lt;=GRID_TO)*((('Dvd Calendar'!$AO$704&lt;=VAL_DATE)+(COUNTIF('Dvd Calendar'!$E$711:$AR$711,'Dvd Calendar'!$AO$704)=0))&gt;0)=0,"",'Dvd Calendar'!$AO$704*1000000000+ISNUMBER('Dvd Calendar'!$AO$707)*100000000+('Dvd Calendar'!$AO$709=SPECIAL_LBL)*10000000+(N('Dvd Calendar'!$AO$703)&gt;0)*(N('Dvd Calendar'!$AO$703)&lt;=VAL_SERIAL)*1000000+64*1000+37))</f>
        <v/>
      </c>
      <c r="FP75" s="39">
        <f>IF(N('Dvd Calendar'!$AP$704)=0,"",IF(('Dvd Calendar'!$AP$704&gt;=GRID_FROM)*('Dvd Calendar'!$AP$704&lt;=GRID_TO)*((('Dvd Calendar'!$AP$704&lt;=VAL_DATE)+(COUNTIF('Dvd Calendar'!$E$711:$AR$711,'Dvd Calendar'!$AP$704)=0))&gt;0)=0,"",'Dvd Calendar'!$AP$704*1000000000+ISNUMBER('Dvd Calendar'!$AP$707)*100000000+('Dvd Calendar'!$AP$709=SPECIAL_LBL)*10000000+(N('Dvd Calendar'!$AP$703)&gt;0)*(N('Dvd Calendar'!$AP$703)&lt;=VAL_SERIAL)*1000000+64*1000+38))</f>
        <v/>
      </c>
      <c r="FQ75" s="39">
        <f>IF(N('Dvd Calendar'!$AQ$704)=0,"",IF(('Dvd Calendar'!$AQ$704&gt;=GRID_FROM)*('Dvd Calendar'!$AQ$704&lt;=GRID_TO)*((('Dvd Calendar'!$AQ$704&lt;=VAL_DATE)+(COUNTIF('Dvd Calendar'!$E$711:$AR$711,'Dvd Calendar'!$AQ$704)=0))&gt;0)=0,"",'Dvd Calendar'!$AQ$704*1000000000+ISNUMBER('Dvd Calendar'!$AQ$707)*100000000+('Dvd Calendar'!$AQ$709=SPECIAL_LBL)*10000000+(N('Dvd Calendar'!$AQ$703)&gt;0)*(N('Dvd Calendar'!$AQ$703)&lt;=VAL_SERIAL)*1000000+64*1000+39))</f>
        <v/>
      </c>
      <c r="FR75" s="39">
        <f>IF(N('Dvd Calendar'!$AR$704)=0,"",IF(('Dvd Calendar'!$AR$704&gt;=GRID_FROM)*('Dvd Calendar'!$AR$704&lt;=GRID_TO)*((('Dvd Calendar'!$AR$704&lt;=VAL_DATE)+(COUNTIF('Dvd Calendar'!$E$711:$AR$711,'Dvd Calendar'!$AR$704)=0))&gt;0)=0,"",'Dvd Calendar'!$AR$704*1000000000+ISNUMBER('Dvd Calendar'!$AR$707)*100000000+('Dvd Calendar'!$AR$709=SPECIAL_LBL)*10000000+(N('Dvd Calendar'!$AR$703)&gt;0)*(N('Dvd Calendar'!$AR$703)&lt;=VAL_SERIAL)*1000000+64*1000+40))</f>
        <v/>
      </c>
      <c r="FS75" s="39">
        <f>IF(N('Dvd Calendar'!$E$711)=0,"",IF(('Dvd Calendar'!$E$711&gt;=GRID_FROM)*('Dvd Calendar'!$E$711&lt;=GRID_TO)*('Dvd Calendar'!$E$711&gt;VAL_DATE)=0,"",'Dvd Calendar'!$E$711*1000000000+ISNUMBER('Dvd Calendar'!$E$712)*100000000+0*10000000+(N('Dvd Calendar'!$E$710)&gt;0)*(N('Dvd Calendar'!$E$710)&lt;=VAL_SERIAL)*1000000+64*1000+41))</f>
        <v/>
      </c>
      <c r="FT75" s="39">
        <f>IF(N('Dvd Calendar'!$F$711)=0,"",IF(('Dvd Calendar'!$F$711&gt;=GRID_FROM)*('Dvd Calendar'!$F$711&lt;=GRID_TO)*('Dvd Calendar'!$F$711&gt;VAL_DATE)=0,"",'Dvd Calendar'!$F$711*1000000000+ISNUMBER('Dvd Calendar'!$F$712)*100000000+0*10000000+(N('Dvd Calendar'!$F$710)&gt;0)*(N('Dvd Calendar'!$F$710)&lt;=VAL_SERIAL)*1000000+64*1000+42))</f>
        <v/>
      </c>
      <c r="FU75" s="39">
        <f>IF(N('Dvd Calendar'!$G$711)=0,"",IF(('Dvd Calendar'!$G$711&gt;=GRID_FROM)*('Dvd Calendar'!$G$711&lt;=GRID_TO)*('Dvd Calendar'!$G$711&gt;VAL_DATE)=0,"",'Dvd Calendar'!$G$711*1000000000+ISNUMBER('Dvd Calendar'!$G$712)*100000000+0*10000000+(N('Dvd Calendar'!$G$710)&gt;0)*(N('Dvd Calendar'!$G$710)&lt;=VAL_SERIAL)*1000000+64*1000+43))</f>
        <v/>
      </c>
      <c r="FV75" s="39">
        <f>IF(N('Dvd Calendar'!$H$711)=0,"",IF(('Dvd Calendar'!$H$711&gt;=GRID_FROM)*('Dvd Calendar'!$H$711&lt;=GRID_TO)*('Dvd Calendar'!$H$711&gt;VAL_DATE)=0,"",'Dvd Calendar'!$H$711*1000000000+ISNUMBER('Dvd Calendar'!$H$712)*100000000+0*10000000+(N('Dvd Calendar'!$H$710)&gt;0)*(N('Dvd Calendar'!$H$710)&lt;=VAL_SERIAL)*1000000+64*1000+44))</f>
        <v/>
      </c>
      <c r="FW75" s="39">
        <f>IF(N('Dvd Calendar'!$I$711)=0,"",IF(('Dvd Calendar'!$I$711&gt;=GRID_FROM)*('Dvd Calendar'!$I$711&lt;=GRID_TO)*('Dvd Calendar'!$I$711&gt;VAL_DATE)=0,"",'Dvd Calendar'!$I$711*1000000000+ISNUMBER('Dvd Calendar'!$I$712)*100000000+0*10000000+(N('Dvd Calendar'!$I$710)&gt;0)*(N('Dvd Calendar'!$I$710)&lt;=VAL_SERIAL)*1000000+64*1000+45))</f>
        <v/>
      </c>
      <c r="FX75" s="39">
        <f>IF(N('Dvd Calendar'!$J$711)=0,"",IF(('Dvd Calendar'!$J$711&gt;=GRID_FROM)*('Dvd Calendar'!$J$711&lt;=GRID_TO)*('Dvd Calendar'!$J$711&gt;VAL_DATE)=0,"",'Dvd Calendar'!$J$711*1000000000+ISNUMBER('Dvd Calendar'!$J$712)*100000000+0*10000000+(N('Dvd Calendar'!$J$710)&gt;0)*(N('Dvd Calendar'!$J$710)&lt;=VAL_SERIAL)*1000000+64*1000+46))</f>
        <v/>
      </c>
      <c r="FY75" s="39">
        <f>IF(N('Dvd Calendar'!$K$711)=0,"",IF(('Dvd Calendar'!$K$711&gt;=GRID_FROM)*('Dvd Calendar'!$K$711&lt;=GRID_TO)*('Dvd Calendar'!$K$711&gt;VAL_DATE)=0,"",'Dvd Calendar'!$K$711*1000000000+ISNUMBER('Dvd Calendar'!$K$712)*100000000+0*10000000+(N('Dvd Calendar'!$K$710)&gt;0)*(N('Dvd Calendar'!$K$710)&lt;=VAL_SERIAL)*1000000+64*1000+47))</f>
        <v/>
      </c>
      <c r="FZ75" s="39">
        <f>IF(N('Dvd Calendar'!$L$711)=0,"",IF(('Dvd Calendar'!$L$711&gt;=GRID_FROM)*('Dvd Calendar'!$L$711&lt;=GRID_TO)*('Dvd Calendar'!$L$711&gt;VAL_DATE)=0,"",'Dvd Calendar'!$L$711*1000000000+ISNUMBER('Dvd Calendar'!$L$712)*100000000+0*10000000+(N('Dvd Calendar'!$L$710)&gt;0)*(N('Dvd Calendar'!$L$710)&lt;=VAL_SERIAL)*1000000+64*1000+48))</f>
        <v/>
      </c>
      <c r="GA75" s="39">
        <f>IF(N('Dvd Calendar'!$M$711)=0,"",IF(('Dvd Calendar'!$M$711&gt;=GRID_FROM)*('Dvd Calendar'!$M$711&lt;=GRID_TO)*('Dvd Calendar'!$M$711&gt;VAL_DATE)=0,"",'Dvd Calendar'!$M$711*1000000000+ISNUMBER('Dvd Calendar'!$M$712)*100000000+0*10000000+(N('Dvd Calendar'!$M$710)&gt;0)*(N('Dvd Calendar'!$M$710)&lt;=VAL_SERIAL)*1000000+64*1000+49))</f>
        <v/>
      </c>
      <c r="GB75" s="39">
        <f>IF(N('Dvd Calendar'!$N$711)=0,"",IF(('Dvd Calendar'!$N$711&gt;=GRID_FROM)*('Dvd Calendar'!$N$711&lt;=GRID_TO)*('Dvd Calendar'!$N$711&gt;VAL_DATE)=0,"",'Dvd Calendar'!$N$711*1000000000+ISNUMBER('Dvd Calendar'!$N$712)*100000000+0*10000000+(N('Dvd Calendar'!$N$710)&gt;0)*(N('Dvd Calendar'!$N$710)&lt;=VAL_SERIAL)*1000000+64*1000+50))</f>
        <v/>
      </c>
      <c r="GC75" s="39">
        <f>IF(N('Dvd Calendar'!$O$711)=0,"",IF(('Dvd Calendar'!$O$711&gt;=GRID_FROM)*('Dvd Calendar'!$O$711&lt;=GRID_TO)*('Dvd Calendar'!$O$711&gt;VAL_DATE)=0,"",'Dvd Calendar'!$O$711*1000000000+ISNUMBER('Dvd Calendar'!$O$712)*100000000+0*10000000+(N('Dvd Calendar'!$O$710)&gt;0)*(N('Dvd Calendar'!$O$710)&lt;=VAL_SERIAL)*1000000+64*1000+51))</f>
        <v/>
      </c>
      <c r="GD75" s="39">
        <f>IF(N('Dvd Calendar'!$P$711)=0,"",IF(('Dvd Calendar'!$P$711&gt;=GRID_FROM)*('Dvd Calendar'!$P$711&lt;=GRID_TO)*('Dvd Calendar'!$P$711&gt;VAL_DATE)=0,"",'Dvd Calendar'!$P$711*1000000000+ISNUMBER('Dvd Calendar'!$P$712)*100000000+0*10000000+(N('Dvd Calendar'!$P$710)&gt;0)*(N('Dvd Calendar'!$P$710)&lt;=VAL_SERIAL)*1000000+64*1000+52))</f>
        <v/>
      </c>
      <c r="GE75" s="39">
        <f>IF(N('Dvd Calendar'!$Q$711)=0,"",IF(('Dvd Calendar'!$Q$711&gt;=GRID_FROM)*('Dvd Calendar'!$Q$711&lt;=GRID_TO)*('Dvd Calendar'!$Q$711&gt;VAL_DATE)=0,"",'Dvd Calendar'!$Q$711*1000000000+ISNUMBER('Dvd Calendar'!$Q$712)*100000000+0*10000000+(N('Dvd Calendar'!$Q$710)&gt;0)*(N('Dvd Calendar'!$Q$710)&lt;=VAL_SERIAL)*1000000+64*1000+53))</f>
        <v/>
      </c>
      <c r="GF75" s="39">
        <f>IF(N('Dvd Calendar'!$R$711)=0,"",IF(('Dvd Calendar'!$R$711&gt;=GRID_FROM)*('Dvd Calendar'!$R$711&lt;=GRID_TO)*('Dvd Calendar'!$R$711&gt;VAL_DATE)=0,"",'Dvd Calendar'!$R$711*1000000000+ISNUMBER('Dvd Calendar'!$R$712)*100000000+0*10000000+(N('Dvd Calendar'!$R$710)&gt;0)*(N('Dvd Calendar'!$R$710)&lt;=VAL_SERIAL)*1000000+64*1000+54))</f>
        <v/>
      </c>
      <c r="GG75" s="39">
        <f>IF(N('Dvd Calendar'!$S$711)=0,"",IF(('Dvd Calendar'!$S$711&gt;=GRID_FROM)*('Dvd Calendar'!$S$711&lt;=GRID_TO)*('Dvd Calendar'!$S$711&gt;VAL_DATE)=0,"",'Dvd Calendar'!$S$711*1000000000+ISNUMBER('Dvd Calendar'!$S$712)*100000000+0*10000000+(N('Dvd Calendar'!$S$710)&gt;0)*(N('Dvd Calendar'!$S$710)&lt;=VAL_SERIAL)*1000000+64*1000+55))</f>
        <v/>
      </c>
      <c r="GH75" s="39">
        <f>IF(N('Dvd Calendar'!$T$711)=0,"",IF(('Dvd Calendar'!$T$711&gt;=GRID_FROM)*('Dvd Calendar'!$T$711&lt;=GRID_TO)*('Dvd Calendar'!$T$711&gt;VAL_DATE)=0,"",'Dvd Calendar'!$T$711*1000000000+ISNUMBER('Dvd Calendar'!$T$712)*100000000+0*10000000+(N('Dvd Calendar'!$T$710)&gt;0)*(N('Dvd Calendar'!$T$710)&lt;=VAL_SERIAL)*1000000+64*1000+56))</f>
        <v/>
      </c>
      <c r="GI75" s="39">
        <f>IF(N('Dvd Calendar'!$U$711)=0,"",IF(('Dvd Calendar'!$U$711&gt;=GRID_FROM)*('Dvd Calendar'!$U$711&lt;=GRID_TO)*('Dvd Calendar'!$U$711&gt;VAL_DATE)=0,"",'Dvd Calendar'!$U$711*1000000000+ISNUMBER('Dvd Calendar'!$U$712)*100000000+0*10000000+(N('Dvd Calendar'!$U$710)&gt;0)*(N('Dvd Calendar'!$U$710)&lt;=VAL_SERIAL)*1000000+64*1000+57))</f>
        <v/>
      </c>
      <c r="GJ75" s="39">
        <f>IF(N('Dvd Calendar'!$V$711)=0,"",IF(('Dvd Calendar'!$V$711&gt;=GRID_FROM)*('Dvd Calendar'!$V$711&lt;=GRID_TO)*('Dvd Calendar'!$V$711&gt;VAL_DATE)=0,"",'Dvd Calendar'!$V$711*1000000000+ISNUMBER('Dvd Calendar'!$V$712)*100000000+0*10000000+(N('Dvd Calendar'!$V$710)&gt;0)*(N('Dvd Calendar'!$V$710)&lt;=VAL_SERIAL)*1000000+64*1000+58))</f>
        <v/>
      </c>
      <c r="GK75" s="39">
        <f>IF(N('Dvd Calendar'!$W$711)=0,"",IF(('Dvd Calendar'!$W$711&gt;=GRID_FROM)*('Dvd Calendar'!$W$711&lt;=GRID_TO)*('Dvd Calendar'!$W$711&gt;VAL_DATE)=0,"",'Dvd Calendar'!$W$711*1000000000+ISNUMBER('Dvd Calendar'!$W$712)*100000000+0*10000000+(N('Dvd Calendar'!$W$710)&gt;0)*(N('Dvd Calendar'!$W$710)&lt;=VAL_SERIAL)*1000000+64*1000+59))</f>
        <v/>
      </c>
      <c r="GL75" s="39">
        <f>IF(N('Dvd Calendar'!$X$711)=0,"",IF(('Dvd Calendar'!$X$711&gt;=GRID_FROM)*('Dvd Calendar'!$X$711&lt;=GRID_TO)*('Dvd Calendar'!$X$711&gt;VAL_DATE)=0,"",'Dvd Calendar'!$X$711*1000000000+ISNUMBER('Dvd Calendar'!$X$712)*100000000+0*10000000+(N('Dvd Calendar'!$X$710)&gt;0)*(N('Dvd Calendar'!$X$710)&lt;=VAL_SERIAL)*1000000+64*1000+60))</f>
        <v/>
      </c>
      <c r="GM75" s="39">
        <f>IF(N('Dvd Calendar'!$Y$711)=0,"",IF(('Dvd Calendar'!$Y$711&gt;=GRID_FROM)*('Dvd Calendar'!$Y$711&lt;=GRID_TO)*('Dvd Calendar'!$Y$711&gt;VAL_DATE)=0,"",'Dvd Calendar'!$Y$711*1000000000+ISNUMBER('Dvd Calendar'!$Y$712)*100000000+0*10000000+(N('Dvd Calendar'!$Y$710)&gt;0)*(N('Dvd Calendar'!$Y$710)&lt;=VAL_SERIAL)*1000000+64*1000+61))</f>
        <v/>
      </c>
      <c r="GN75" s="39">
        <f>IF(N('Dvd Calendar'!$Z$711)=0,"",IF(('Dvd Calendar'!$Z$711&gt;=GRID_FROM)*('Dvd Calendar'!$Z$711&lt;=GRID_TO)*('Dvd Calendar'!$Z$711&gt;VAL_DATE)=0,"",'Dvd Calendar'!$Z$711*1000000000+ISNUMBER('Dvd Calendar'!$Z$712)*100000000+0*10000000+(N('Dvd Calendar'!$Z$710)&gt;0)*(N('Dvd Calendar'!$Z$710)&lt;=VAL_SERIAL)*1000000+64*1000+62))</f>
        <v/>
      </c>
      <c r="GO75" s="39">
        <f>IF(N('Dvd Calendar'!$AA$711)=0,"",IF(('Dvd Calendar'!$AA$711&gt;=GRID_FROM)*('Dvd Calendar'!$AA$711&lt;=GRID_TO)*('Dvd Calendar'!$AA$711&gt;VAL_DATE)=0,"",'Dvd Calendar'!$AA$711*1000000000+ISNUMBER('Dvd Calendar'!$AA$712)*100000000+0*10000000+(N('Dvd Calendar'!$AA$710)&gt;0)*(N('Dvd Calendar'!$AA$710)&lt;=VAL_SERIAL)*1000000+64*1000+63))</f>
        <v/>
      </c>
      <c r="GP75" s="39">
        <f>IF(N('Dvd Calendar'!$AB$711)=0,"",IF(('Dvd Calendar'!$AB$711&gt;=GRID_FROM)*('Dvd Calendar'!$AB$711&lt;=GRID_TO)*('Dvd Calendar'!$AB$711&gt;VAL_DATE)=0,"",'Dvd Calendar'!$AB$711*1000000000+ISNUMBER('Dvd Calendar'!$AB$712)*100000000+0*10000000+(N('Dvd Calendar'!$AB$710)&gt;0)*(N('Dvd Calendar'!$AB$710)&lt;=VAL_SERIAL)*1000000+64*1000+64))</f>
        <v/>
      </c>
      <c r="GQ75" s="39">
        <f>IF(N('Dvd Calendar'!$AC$711)=0,"",IF(('Dvd Calendar'!$AC$711&gt;=GRID_FROM)*('Dvd Calendar'!$AC$711&lt;=GRID_TO)*('Dvd Calendar'!$AC$711&gt;VAL_DATE)=0,"",'Dvd Calendar'!$AC$711*1000000000+ISNUMBER('Dvd Calendar'!$AC$712)*100000000+0*10000000+(N('Dvd Calendar'!$AC$710)&gt;0)*(N('Dvd Calendar'!$AC$710)&lt;=VAL_SERIAL)*1000000+64*1000+65))</f>
        <v/>
      </c>
    </row>
    <row r="76">
      <c r="B76" s="2">
        <f>IF(HSI!$C$71="","",HSI!$C$71)</f>
        <v/>
      </c>
      <c r="C76" s="110">
        <f>IF(EE76="","",IF(ISNUMBER('Dvd Calendar'!$E$718)=FALSE,"",IF((('Dvd Calendar'!$E$720=TYPE1)*(TYPE1&lt;&gt;"")+('Dvd Calendar'!$E$720=TYPE2)*(TYPE2&lt;&gt;"")+('Dvd Calendar'!$E$720=TYPE3)*(TYPE3&lt;&gt;"")+('Dvd Calendar'!$E$720=TYPE4)*(TYPE4&lt;&gt;"")+('Dvd Calendar'!$E$720=SPECIAL_LBL)*(INC_SPECIALS="Y"))=0,"",'Dvd Calendar'!$E$718)))</f>
        <v/>
      </c>
      <c r="D76" s="110">
        <f>IF(EF76="","",IF(ISNUMBER('Dvd Calendar'!$F$718)=FALSE,"",IF((('Dvd Calendar'!$F$720=TYPE1)*(TYPE1&lt;&gt;"")+('Dvd Calendar'!$F$720=TYPE2)*(TYPE2&lt;&gt;"")+('Dvd Calendar'!$F$720=TYPE3)*(TYPE3&lt;&gt;"")+('Dvd Calendar'!$F$720=TYPE4)*(TYPE4&lt;&gt;"")+('Dvd Calendar'!$F$720=SPECIAL_LBL)*(INC_SPECIALS="Y"))=0,"",'Dvd Calendar'!$F$718)))</f>
        <v/>
      </c>
      <c r="E76" s="110">
        <f>IF(EG76="","",IF(ISNUMBER('Dvd Calendar'!$G$718)=FALSE,"",IF((('Dvd Calendar'!$G$720=TYPE1)*(TYPE1&lt;&gt;"")+('Dvd Calendar'!$G$720=TYPE2)*(TYPE2&lt;&gt;"")+('Dvd Calendar'!$G$720=TYPE3)*(TYPE3&lt;&gt;"")+('Dvd Calendar'!$G$720=TYPE4)*(TYPE4&lt;&gt;"")+('Dvd Calendar'!$G$720=SPECIAL_LBL)*(INC_SPECIALS="Y"))=0,"",'Dvd Calendar'!$G$718)))</f>
        <v/>
      </c>
      <c r="F76" s="110">
        <f>IF(EH76="","",IF(ISNUMBER('Dvd Calendar'!$H$718)=FALSE,"",IF((('Dvd Calendar'!$H$720=TYPE1)*(TYPE1&lt;&gt;"")+('Dvd Calendar'!$H$720=TYPE2)*(TYPE2&lt;&gt;"")+('Dvd Calendar'!$H$720=TYPE3)*(TYPE3&lt;&gt;"")+('Dvd Calendar'!$H$720=TYPE4)*(TYPE4&lt;&gt;"")+('Dvd Calendar'!$H$720=SPECIAL_LBL)*(INC_SPECIALS="Y"))=0,"",'Dvd Calendar'!$H$718)))</f>
        <v/>
      </c>
      <c r="G76" s="110">
        <f>IF(EI76="","",IF(ISNUMBER('Dvd Calendar'!$I$718)=FALSE,"",IF((('Dvd Calendar'!$I$720=TYPE1)*(TYPE1&lt;&gt;"")+('Dvd Calendar'!$I$720=TYPE2)*(TYPE2&lt;&gt;"")+('Dvd Calendar'!$I$720=TYPE3)*(TYPE3&lt;&gt;"")+('Dvd Calendar'!$I$720=TYPE4)*(TYPE4&lt;&gt;"")+('Dvd Calendar'!$I$720=SPECIAL_LBL)*(INC_SPECIALS="Y"))=0,"",'Dvd Calendar'!$I$718)))</f>
        <v/>
      </c>
      <c r="H76" s="110">
        <f>IF(EJ76="","",IF(ISNUMBER('Dvd Calendar'!$J$718)=FALSE,"",IF((('Dvd Calendar'!$J$720=TYPE1)*(TYPE1&lt;&gt;"")+('Dvd Calendar'!$J$720=TYPE2)*(TYPE2&lt;&gt;"")+('Dvd Calendar'!$J$720=TYPE3)*(TYPE3&lt;&gt;"")+('Dvd Calendar'!$J$720=TYPE4)*(TYPE4&lt;&gt;"")+('Dvd Calendar'!$J$720=SPECIAL_LBL)*(INC_SPECIALS="Y"))=0,"",'Dvd Calendar'!$J$718)))</f>
        <v/>
      </c>
      <c r="I76" s="110">
        <f>IF(EK76="","",IF(ISNUMBER('Dvd Calendar'!$K$718)=FALSE,"",IF((('Dvd Calendar'!$K$720=TYPE1)*(TYPE1&lt;&gt;"")+('Dvd Calendar'!$K$720=TYPE2)*(TYPE2&lt;&gt;"")+('Dvd Calendar'!$K$720=TYPE3)*(TYPE3&lt;&gt;"")+('Dvd Calendar'!$K$720=TYPE4)*(TYPE4&lt;&gt;"")+('Dvd Calendar'!$K$720=SPECIAL_LBL)*(INC_SPECIALS="Y"))=0,"",'Dvd Calendar'!$K$718)))</f>
        <v/>
      </c>
      <c r="J76" s="110">
        <f>IF(EL76="","",IF(ISNUMBER('Dvd Calendar'!$L$718)=FALSE,"",IF((('Dvd Calendar'!$L$720=TYPE1)*(TYPE1&lt;&gt;"")+('Dvd Calendar'!$L$720=TYPE2)*(TYPE2&lt;&gt;"")+('Dvd Calendar'!$L$720=TYPE3)*(TYPE3&lt;&gt;"")+('Dvd Calendar'!$L$720=TYPE4)*(TYPE4&lt;&gt;"")+('Dvd Calendar'!$L$720=SPECIAL_LBL)*(INC_SPECIALS="Y"))=0,"",'Dvd Calendar'!$L$718)))</f>
        <v/>
      </c>
      <c r="K76" s="110">
        <f>IF(EM76="","",IF(ISNUMBER('Dvd Calendar'!$M$718)=FALSE,"",IF((('Dvd Calendar'!$M$720=TYPE1)*(TYPE1&lt;&gt;"")+('Dvd Calendar'!$M$720=TYPE2)*(TYPE2&lt;&gt;"")+('Dvd Calendar'!$M$720=TYPE3)*(TYPE3&lt;&gt;"")+('Dvd Calendar'!$M$720=TYPE4)*(TYPE4&lt;&gt;"")+('Dvd Calendar'!$M$720=SPECIAL_LBL)*(INC_SPECIALS="Y"))=0,"",'Dvd Calendar'!$M$718)))</f>
        <v/>
      </c>
      <c r="L76" s="110">
        <f>IF(EN76="","",IF(ISNUMBER('Dvd Calendar'!$N$718)=FALSE,"",IF((('Dvd Calendar'!$N$720=TYPE1)*(TYPE1&lt;&gt;"")+('Dvd Calendar'!$N$720=TYPE2)*(TYPE2&lt;&gt;"")+('Dvd Calendar'!$N$720=TYPE3)*(TYPE3&lt;&gt;"")+('Dvd Calendar'!$N$720=TYPE4)*(TYPE4&lt;&gt;"")+('Dvd Calendar'!$N$720=SPECIAL_LBL)*(INC_SPECIALS="Y"))=0,"",'Dvd Calendar'!$N$718)))</f>
        <v/>
      </c>
      <c r="M76" s="110">
        <f>IF(EO76="","",IF(ISNUMBER('Dvd Calendar'!$O$718)=FALSE,"",IF((('Dvd Calendar'!$O$720=TYPE1)*(TYPE1&lt;&gt;"")+('Dvd Calendar'!$O$720=TYPE2)*(TYPE2&lt;&gt;"")+('Dvd Calendar'!$O$720=TYPE3)*(TYPE3&lt;&gt;"")+('Dvd Calendar'!$O$720=TYPE4)*(TYPE4&lt;&gt;"")+('Dvd Calendar'!$O$720=SPECIAL_LBL)*(INC_SPECIALS="Y"))=0,"",'Dvd Calendar'!$O$718)))</f>
        <v/>
      </c>
      <c r="N76" s="110">
        <f>IF(EP76="","",IF(ISNUMBER('Dvd Calendar'!$P$718)=FALSE,"",IF((('Dvd Calendar'!$P$720=TYPE1)*(TYPE1&lt;&gt;"")+('Dvd Calendar'!$P$720=TYPE2)*(TYPE2&lt;&gt;"")+('Dvd Calendar'!$P$720=TYPE3)*(TYPE3&lt;&gt;"")+('Dvd Calendar'!$P$720=TYPE4)*(TYPE4&lt;&gt;"")+('Dvd Calendar'!$P$720=SPECIAL_LBL)*(INC_SPECIALS="Y"))=0,"",'Dvd Calendar'!$P$718)))</f>
        <v/>
      </c>
      <c r="O76" s="110">
        <f>IF(EQ76="","",IF(ISNUMBER('Dvd Calendar'!$Q$718)=FALSE,"",IF((('Dvd Calendar'!$Q$720=TYPE1)*(TYPE1&lt;&gt;"")+('Dvd Calendar'!$Q$720=TYPE2)*(TYPE2&lt;&gt;"")+('Dvd Calendar'!$Q$720=TYPE3)*(TYPE3&lt;&gt;"")+('Dvd Calendar'!$Q$720=TYPE4)*(TYPE4&lt;&gt;"")+('Dvd Calendar'!$Q$720=SPECIAL_LBL)*(INC_SPECIALS="Y"))=0,"",'Dvd Calendar'!$Q$718)))</f>
        <v/>
      </c>
      <c r="P76" s="110">
        <f>IF(ER76="","",IF(ISNUMBER('Dvd Calendar'!$R$718)=FALSE,"",IF((('Dvd Calendar'!$R$720=TYPE1)*(TYPE1&lt;&gt;"")+('Dvd Calendar'!$R$720=TYPE2)*(TYPE2&lt;&gt;"")+('Dvd Calendar'!$R$720=TYPE3)*(TYPE3&lt;&gt;"")+('Dvd Calendar'!$R$720=TYPE4)*(TYPE4&lt;&gt;"")+('Dvd Calendar'!$R$720=SPECIAL_LBL)*(INC_SPECIALS="Y"))=0,"",'Dvd Calendar'!$R$718)))</f>
        <v/>
      </c>
      <c r="Q76" s="110">
        <f>IF(ES76="","",IF(ISNUMBER('Dvd Calendar'!$S$718)=FALSE,"",IF((('Dvd Calendar'!$S$720=TYPE1)*(TYPE1&lt;&gt;"")+('Dvd Calendar'!$S$720=TYPE2)*(TYPE2&lt;&gt;"")+('Dvd Calendar'!$S$720=TYPE3)*(TYPE3&lt;&gt;"")+('Dvd Calendar'!$S$720=TYPE4)*(TYPE4&lt;&gt;"")+('Dvd Calendar'!$S$720=SPECIAL_LBL)*(INC_SPECIALS="Y"))=0,"",'Dvd Calendar'!$S$718)))</f>
        <v/>
      </c>
      <c r="R76" s="110">
        <f>IF(ET76="","",IF(ISNUMBER('Dvd Calendar'!$T$718)=FALSE,"",IF((('Dvd Calendar'!$T$720=TYPE1)*(TYPE1&lt;&gt;"")+('Dvd Calendar'!$T$720=TYPE2)*(TYPE2&lt;&gt;"")+('Dvd Calendar'!$T$720=TYPE3)*(TYPE3&lt;&gt;"")+('Dvd Calendar'!$T$720=TYPE4)*(TYPE4&lt;&gt;"")+('Dvd Calendar'!$T$720=SPECIAL_LBL)*(INC_SPECIALS="Y"))=0,"",'Dvd Calendar'!$T$718)))</f>
        <v/>
      </c>
      <c r="S76" s="110">
        <f>IF(EU76="","",IF(ISNUMBER('Dvd Calendar'!$U$718)=FALSE,"",IF((('Dvd Calendar'!$U$720=TYPE1)*(TYPE1&lt;&gt;"")+('Dvd Calendar'!$U$720=TYPE2)*(TYPE2&lt;&gt;"")+('Dvd Calendar'!$U$720=TYPE3)*(TYPE3&lt;&gt;"")+('Dvd Calendar'!$U$720=TYPE4)*(TYPE4&lt;&gt;"")+('Dvd Calendar'!$U$720=SPECIAL_LBL)*(INC_SPECIALS="Y"))=0,"",'Dvd Calendar'!$U$718)))</f>
        <v/>
      </c>
      <c r="T76" s="110">
        <f>IF(EV76="","",IF(ISNUMBER('Dvd Calendar'!$V$718)=FALSE,"",IF((('Dvd Calendar'!$V$720=TYPE1)*(TYPE1&lt;&gt;"")+('Dvd Calendar'!$V$720=TYPE2)*(TYPE2&lt;&gt;"")+('Dvd Calendar'!$V$720=TYPE3)*(TYPE3&lt;&gt;"")+('Dvd Calendar'!$V$720=TYPE4)*(TYPE4&lt;&gt;"")+('Dvd Calendar'!$V$720=SPECIAL_LBL)*(INC_SPECIALS="Y"))=0,"",'Dvd Calendar'!$V$718)))</f>
        <v/>
      </c>
      <c r="U76" s="110">
        <f>IF(EW76="","",IF(ISNUMBER('Dvd Calendar'!$W$718)=FALSE,"",IF((('Dvd Calendar'!$W$720=TYPE1)*(TYPE1&lt;&gt;"")+('Dvd Calendar'!$W$720=TYPE2)*(TYPE2&lt;&gt;"")+('Dvd Calendar'!$W$720=TYPE3)*(TYPE3&lt;&gt;"")+('Dvd Calendar'!$W$720=TYPE4)*(TYPE4&lt;&gt;"")+('Dvd Calendar'!$W$720=SPECIAL_LBL)*(INC_SPECIALS="Y"))=0,"",'Dvd Calendar'!$W$718)))</f>
        <v/>
      </c>
      <c r="V76" s="110">
        <f>IF(EX76="","",IF(ISNUMBER('Dvd Calendar'!$X$718)=FALSE,"",IF((('Dvd Calendar'!$X$720=TYPE1)*(TYPE1&lt;&gt;"")+('Dvd Calendar'!$X$720=TYPE2)*(TYPE2&lt;&gt;"")+('Dvd Calendar'!$X$720=TYPE3)*(TYPE3&lt;&gt;"")+('Dvd Calendar'!$X$720=TYPE4)*(TYPE4&lt;&gt;"")+('Dvd Calendar'!$X$720=SPECIAL_LBL)*(INC_SPECIALS="Y"))=0,"",'Dvd Calendar'!$X$718)))</f>
        <v/>
      </c>
      <c r="W76" s="110">
        <f>IF(EY76="","",IF(ISNUMBER('Dvd Calendar'!$Y$718)=FALSE,"",IF((('Dvd Calendar'!$Y$720=TYPE1)*(TYPE1&lt;&gt;"")+('Dvd Calendar'!$Y$720=TYPE2)*(TYPE2&lt;&gt;"")+('Dvd Calendar'!$Y$720=TYPE3)*(TYPE3&lt;&gt;"")+('Dvd Calendar'!$Y$720=TYPE4)*(TYPE4&lt;&gt;"")+('Dvd Calendar'!$Y$720=SPECIAL_LBL)*(INC_SPECIALS="Y"))=0,"",'Dvd Calendar'!$Y$718)))</f>
        <v/>
      </c>
      <c r="X76" s="110">
        <f>IF(EZ76="","",IF(ISNUMBER('Dvd Calendar'!$Z$718)=FALSE,"",IF((('Dvd Calendar'!$Z$720=TYPE1)*(TYPE1&lt;&gt;"")+('Dvd Calendar'!$Z$720=TYPE2)*(TYPE2&lt;&gt;"")+('Dvd Calendar'!$Z$720=TYPE3)*(TYPE3&lt;&gt;"")+('Dvd Calendar'!$Z$720=TYPE4)*(TYPE4&lt;&gt;"")+('Dvd Calendar'!$Z$720=SPECIAL_LBL)*(INC_SPECIALS="Y"))=0,"",'Dvd Calendar'!$Z$718)))</f>
        <v/>
      </c>
      <c r="Y76" s="110">
        <f>IF(FA76="","",IF(ISNUMBER('Dvd Calendar'!$AA$718)=FALSE,"",IF((('Dvd Calendar'!$AA$720=TYPE1)*(TYPE1&lt;&gt;"")+('Dvd Calendar'!$AA$720=TYPE2)*(TYPE2&lt;&gt;"")+('Dvd Calendar'!$AA$720=TYPE3)*(TYPE3&lt;&gt;"")+('Dvd Calendar'!$AA$720=TYPE4)*(TYPE4&lt;&gt;"")+('Dvd Calendar'!$AA$720=SPECIAL_LBL)*(INC_SPECIALS="Y"))=0,"",'Dvd Calendar'!$AA$718)))</f>
        <v/>
      </c>
      <c r="Z76" s="110">
        <f>IF(FB76="","",IF(ISNUMBER('Dvd Calendar'!$AB$718)=FALSE,"",IF((('Dvd Calendar'!$AB$720=TYPE1)*(TYPE1&lt;&gt;"")+('Dvd Calendar'!$AB$720=TYPE2)*(TYPE2&lt;&gt;"")+('Dvd Calendar'!$AB$720=TYPE3)*(TYPE3&lt;&gt;"")+('Dvd Calendar'!$AB$720=TYPE4)*(TYPE4&lt;&gt;"")+('Dvd Calendar'!$AB$720=SPECIAL_LBL)*(INC_SPECIALS="Y"))=0,"",'Dvd Calendar'!$AB$718)))</f>
        <v/>
      </c>
      <c r="AA76" s="110">
        <f>IF(FC76="","",IF(ISNUMBER('Dvd Calendar'!$AC$718)=FALSE,"",IF((('Dvd Calendar'!$AC$720=TYPE1)*(TYPE1&lt;&gt;"")+('Dvd Calendar'!$AC$720=TYPE2)*(TYPE2&lt;&gt;"")+('Dvd Calendar'!$AC$720=TYPE3)*(TYPE3&lt;&gt;"")+('Dvd Calendar'!$AC$720=TYPE4)*(TYPE4&lt;&gt;"")+('Dvd Calendar'!$AC$720=SPECIAL_LBL)*(INC_SPECIALS="Y"))=0,"",'Dvd Calendar'!$AC$718)))</f>
        <v/>
      </c>
      <c r="AB76" s="110">
        <f>IF(FD76="","",IF(ISNUMBER('Dvd Calendar'!$AD$718)=FALSE,"",IF((('Dvd Calendar'!$AD$720=TYPE1)*(TYPE1&lt;&gt;"")+('Dvd Calendar'!$AD$720=TYPE2)*(TYPE2&lt;&gt;"")+('Dvd Calendar'!$AD$720=TYPE3)*(TYPE3&lt;&gt;"")+('Dvd Calendar'!$AD$720=TYPE4)*(TYPE4&lt;&gt;"")+('Dvd Calendar'!$AD$720=SPECIAL_LBL)*(INC_SPECIALS="Y"))=0,"",'Dvd Calendar'!$AD$718)))</f>
        <v/>
      </c>
      <c r="AC76" s="110">
        <f>IF(FE76="","",IF(ISNUMBER('Dvd Calendar'!$AE$718)=FALSE,"",IF((('Dvd Calendar'!$AE$720=TYPE1)*(TYPE1&lt;&gt;"")+('Dvd Calendar'!$AE$720=TYPE2)*(TYPE2&lt;&gt;"")+('Dvd Calendar'!$AE$720=TYPE3)*(TYPE3&lt;&gt;"")+('Dvd Calendar'!$AE$720=TYPE4)*(TYPE4&lt;&gt;"")+('Dvd Calendar'!$AE$720=SPECIAL_LBL)*(INC_SPECIALS="Y"))=0,"",'Dvd Calendar'!$AE$718)))</f>
        <v/>
      </c>
      <c r="AD76" s="110">
        <f>IF(FF76="","",IF(ISNUMBER('Dvd Calendar'!$AF$718)=FALSE,"",IF((('Dvd Calendar'!$AF$720=TYPE1)*(TYPE1&lt;&gt;"")+('Dvd Calendar'!$AF$720=TYPE2)*(TYPE2&lt;&gt;"")+('Dvd Calendar'!$AF$720=TYPE3)*(TYPE3&lt;&gt;"")+('Dvd Calendar'!$AF$720=TYPE4)*(TYPE4&lt;&gt;"")+('Dvd Calendar'!$AF$720=SPECIAL_LBL)*(INC_SPECIALS="Y"))=0,"",'Dvd Calendar'!$AF$718)))</f>
        <v/>
      </c>
      <c r="AE76" s="110">
        <f>IF(FG76="","",IF(ISNUMBER('Dvd Calendar'!$AG$718)=FALSE,"",IF((('Dvd Calendar'!$AG$720=TYPE1)*(TYPE1&lt;&gt;"")+('Dvd Calendar'!$AG$720=TYPE2)*(TYPE2&lt;&gt;"")+('Dvd Calendar'!$AG$720=TYPE3)*(TYPE3&lt;&gt;"")+('Dvd Calendar'!$AG$720=TYPE4)*(TYPE4&lt;&gt;"")+('Dvd Calendar'!$AG$720=SPECIAL_LBL)*(INC_SPECIALS="Y"))=0,"",'Dvd Calendar'!$AG$718)))</f>
        <v/>
      </c>
      <c r="AF76" s="110">
        <f>IF(FH76="","",IF(ISNUMBER('Dvd Calendar'!$AH$718)=FALSE,"",IF((('Dvd Calendar'!$AH$720=TYPE1)*(TYPE1&lt;&gt;"")+('Dvd Calendar'!$AH$720=TYPE2)*(TYPE2&lt;&gt;"")+('Dvd Calendar'!$AH$720=TYPE3)*(TYPE3&lt;&gt;"")+('Dvd Calendar'!$AH$720=TYPE4)*(TYPE4&lt;&gt;"")+('Dvd Calendar'!$AH$720=SPECIAL_LBL)*(INC_SPECIALS="Y"))=0,"",'Dvd Calendar'!$AH$718)))</f>
        <v/>
      </c>
      <c r="AG76" s="110">
        <f>IF(FI76="","",IF(ISNUMBER('Dvd Calendar'!$AI$718)=FALSE,"",IF((('Dvd Calendar'!$AI$720=TYPE1)*(TYPE1&lt;&gt;"")+('Dvd Calendar'!$AI$720=TYPE2)*(TYPE2&lt;&gt;"")+('Dvd Calendar'!$AI$720=TYPE3)*(TYPE3&lt;&gt;"")+('Dvd Calendar'!$AI$720=TYPE4)*(TYPE4&lt;&gt;"")+('Dvd Calendar'!$AI$720=SPECIAL_LBL)*(INC_SPECIALS="Y"))=0,"",'Dvd Calendar'!$AI$718)))</f>
        <v/>
      </c>
      <c r="AH76" s="110">
        <f>IF(FJ76="","",IF(ISNUMBER('Dvd Calendar'!$AJ$718)=FALSE,"",IF((('Dvd Calendar'!$AJ$720=TYPE1)*(TYPE1&lt;&gt;"")+('Dvd Calendar'!$AJ$720=TYPE2)*(TYPE2&lt;&gt;"")+('Dvd Calendar'!$AJ$720=TYPE3)*(TYPE3&lt;&gt;"")+('Dvd Calendar'!$AJ$720=TYPE4)*(TYPE4&lt;&gt;"")+('Dvd Calendar'!$AJ$720=SPECIAL_LBL)*(INC_SPECIALS="Y"))=0,"",'Dvd Calendar'!$AJ$718)))</f>
        <v/>
      </c>
      <c r="AI76" s="110">
        <f>IF(FK76="","",IF(ISNUMBER('Dvd Calendar'!$AK$718)=FALSE,"",IF((('Dvd Calendar'!$AK$720=TYPE1)*(TYPE1&lt;&gt;"")+('Dvd Calendar'!$AK$720=TYPE2)*(TYPE2&lt;&gt;"")+('Dvd Calendar'!$AK$720=TYPE3)*(TYPE3&lt;&gt;"")+('Dvd Calendar'!$AK$720=TYPE4)*(TYPE4&lt;&gt;"")+('Dvd Calendar'!$AK$720=SPECIAL_LBL)*(INC_SPECIALS="Y"))=0,"",'Dvd Calendar'!$AK$718)))</f>
        <v/>
      </c>
      <c r="AJ76" s="110">
        <f>IF(FL76="","",IF(ISNUMBER('Dvd Calendar'!$AL$718)=FALSE,"",IF((('Dvd Calendar'!$AL$720=TYPE1)*(TYPE1&lt;&gt;"")+('Dvd Calendar'!$AL$720=TYPE2)*(TYPE2&lt;&gt;"")+('Dvd Calendar'!$AL$720=TYPE3)*(TYPE3&lt;&gt;"")+('Dvd Calendar'!$AL$720=TYPE4)*(TYPE4&lt;&gt;"")+('Dvd Calendar'!$AL$720=SPECIAL_LBL)*(INC_SPECIALS="Y"))=0,"",'Dvd Calendar'!$AL$718)))</f>
        <v/>
      </c>
      <c r="AK76" s="110">
        <f>IF(FM76="","",IF(ISNUMBER('Dvd Calendar'!$AM$718)=FALSE,"",IF((('Dvd Calendar'!$AM$720=TYPE1)*(TYPE1&lt;&gt;"")+('Dvd Calendar'!$AM$720=TYPE2)*(TYPE2&lt;&gt;"")+('Dvd Calendar'!$AM$720=TYPE3)*(TYPE3&lt;&gt;"")+('Dvd Calendar'!$AM$720=TYPE4)*(TYPE4&lt;&gt;"")+('Dvd Calendar'!$AM$720=SPECIAL_LBL)*(INC_SPECIALS="Y"))=0,"",'Dvd Calendar'!$AM$718)))</f>
        <v/>
      </c>
      <c r="AL76" s="110">
        <f>IF(FN76="","",IF(ISNUMBER('Dvd Calendar'!$AN$718)=FALSE,"",IF((('Dvd Calendar'!$AN$720=TYPE1)*(TYPE1&lt;&gt;"")+('Dvd Calendar'!$AN$720=TYPE2)*(TYPE2&lt;&gt;"")+('Dvd Calendar'!$AN$720=TYPE3)*(TYPE3&lt;&gt;"")+('Dvd Calendar'!$AN$720=TYPE4)*(TYPE4&lt;&gt;"")+('Dvd Calendar'!$AN$720=SPECIAL_LBL)*(INC_SPECIALS="Y"))=0,"",'Dvd Calendar'!$AN$718)))</f>
        <v/>
      </c>
      <c r="AM76" s="110">
        <f>IF(FO76="","",IF(ISNUMBER('Dvd Calendar'!$AO$718)=FALSE,"",IF((('Dvd Calendar'!$AO$720=TYPE1)*(TYPE1&lt;&gt;"")+('Dvd Calendar'!$AO$720=TYPE2)*(TYPE2&lt;&gt;"")+('Dvd Calendar'!$AO$720=TYPE3)*(TYPE3&lt;&gt;"")+('Dvd Calendar'!$AO$720=TYPE4)*(TYPE4&lt;&gt;"")+('Dvd Calendar'!$AO$720=SPECIAL_LBL)*(INC_SPECIALS="Y"))=0,"",'Dvd Calendar'!$AO$718)))</f>
        <v/>
      </c>
      <c r="AN76" s="110">
        <f>IF(FP76="","",IF(ISNUMBER('Dvd Calendar'!$AP$718)=FALSE,"",IF((('Dvd Calendar'!$AP$720=TYPE1)*(TYPE1&lt;&gt;"")+('Dvd Calendar'!$AP$720=TYPE2)*(TYPE2&lt;&gt;"")+('Dvd Calendar'!$AP$720=TYPE3)*(TYPE3&lt;&gt;"")+('Dvd Calendar'!$AP$720=TYPE4)*(TYPE4&lt;&gt;"")+('Dvd Calendar'!$AP$720=SPECIAL_LBL)*(INC_SPECIALS="Y"))=0,"",'Dvd Calendar'!$AP$718)))</f>
        <v/>
      </c>
      <c r="AO76" s="110">
        <f>IF(FQ76="","",IF(ISNUMBER('Dvd Calendar'!$AQ$718)=FALSE,"",IF((('Dvd Calendar'!$AQ$720=TYPE1)*(TYPE1&lt;&gt;"")+('Dvd Calendar'!$AQ$720=TYPE2)*(TYPE2&lt;&gt;"")+('Dvd Calendar'!$AQ$720=TYPE3)*(TYPE3&lt;&gt;"")+('Dvd Calendar'!$AQ$720=TYPE4)*(TYPE4&lt;&gt;"")+('Dvd Calendar'!$AQ$720=SPECIAL_LBL)*(INC_SPECIALS="Y"))=0,"",'Dvd Calendar'!$AQ$718)))</f>
        <v/>
      </c>
      <c r="AP76" s="110">
        <f>IF(FR76="","",IF(ISNUMBER('Dvd Calendar'!$AR$718)=FALSE,"",IF((('Dvd Calendar'!$AR$720=TYPE1)*(TYPE1&lt;&gt;"")+('Dvd Calendar'!$AR$720=TYPE2)*(TYPE2&lt;&gt;"")+('Dvd Calendar'!$AR$720=TYPE3)*(TYPE3&lt;&gt;"")+('Dvd Calendar'!$AR$720=TYPE4)*(TYPE4&lt;&gt;"")+('Dvd Calendar'!$AR$720=SPECIAL_LBL)*(INC_SPECIALS="Y"))=0,"",'Dvd Calendar'!$AR$718)))</f>
        <v/>
      </c>
      <c r="AQ76" s="110">
        <f>IF(FS76="","",IF(ISNUMBER('Dvd Calendar'!$E$723)=FALSE,"",'Dvd Calendar'!$E$723))</f>
        <v/>
      </c>
      <c r="AR76" s="110">
        <f>IF(FT76="","",IF(ISNUMBER('Dvd Calendar'!$F$723)=FALSE,"",'Dvd Calendar'!$F$723))</f>
        <v/>
      </c>
      <c r="AS76" s="110">
        <f>IF(FU76="","",IF(ISNUMBER('Dvd Calendar'!$G$723)=FALSE,"",'Dvd Calendar'!$G$723))</f>
        <v/>
      </c>
      <c r="AT76" s="110">
        <f>IF(FV76="","",IF(ISNUMBER('Dvd Calendar'!$H$723)=FALSE,"",'Dvd Calendar'!$H$723))</f>
        <v/>
      </c>
      <c r="AU76" s="110">
        <f>IF(FW76="","",IF(ISNUMBER('Dvd Calendar'!$I$723)=FALSE,"",'Dvd Calendar'!$I$723))</f>
        <v/>
      </c>
      <c r="AV76" s="110">
        <f>IF(FX76="","",IF(ISNUMBER('Dvd Calendar'!$J$723)=FALSE,"",'Dvd Calendar'!$J$723))</f>
        <v/>
      </c>
      <c r="AW76" s="110">
        <f>IF(FY76="","",IF(ISNUMBER('Dvd Calendar'!$K$723)=FALSE,"",'Dvd Calendar'!$K$723))</f>
        <v/>
      </c>
      <c r="AX76" s="110">
        <f>IF(FZ76="","",IF(ISNUMBER('Dvd Calendar'!$L$723)=FALSE,"",'Dvd Calendar'!$L$723))</f>
        <v/>
      </c>
      <c r="AY76" s="110">
        <f>IF(GA76="","",IF(ISNUMBER('Dvd Calendar'!$M$723)=FALSE,"",'Dvd Calendar'!$M$723))</f>
        <v/>
      </c>
      <c r="AZ76" s="110">
        <f>IF(GB76="","",IF(ISNUMBER('Dvd Calendar'!$N$723)=FALSE,"",'Dvd Calendar'!$N$723))</f>
        <v/>
      </c>
      <c r="BA76" s="110">
        <f>IF(GC76="","",IF(ISNUMBER('Dvd Calendar'!$O$723)=FALSE,"",'Dvd Calendar'!$O$723))</f>
        <v/>
      </c>
      <c r="BB76" s="110">
        <f>IF(GD76="","",IF(ISNUMBER('Dvd Calendar'!$P$723)=FALSE,"",'Dvd Calendar'!$P$723))</f>
        <v/>
      </c>
      <c r="BC76" s="110">
        <f>IF(GE76="","",IF(ISNUMBER('Dvd Calendar'!$Q$723)=FALSE,"",'Dvd Calendar'!$Q$723))</f>
        <v/>
      </c>
      <c r="BD76" s="110">
        <f>IF(GF76="","",IF(ISNUMBER('Dvd Calendar'!$R$723)=FALSE,"",'Dvd Calendar'!$R$723))</f>
        <v/>
      </c>
      <c r="BE76" s="110">
        <f>IF(GG76="","",IF(ISNUMBER('Dvd Calendar'!$S$723)=FALSE,"",'Dvd Calendar'!$S$723))</f>
        <v/>
      </c>
      <c r="BF76" s="110">
        <f>IF(GH76="","",IF(ISNUMBER('Dvd Calendar'!$T$723)=FALSE,"",'Dvd Calendar'!$T$723))</f>
        <v/>
      </c>
      <c r="BG76" s="110">
        <f>IF(GI76="","",IF(ISNUMBER('Dvd Calendar'!$U$723)=FALSE,"",'Dvd Calendar'!$U$723))</f>
        <v/>
      </c>
      <c r="BH76" s="110">
        <f>IF(GJ76="","",IF(ISNUMBER('Dvd Calendar'!$V$723)=FALSE,"",'Dvd Calendar'!$V$723))</f>
        <v/>
      </c>
      <c r="BI76" s="110">
        <f>IF(GK76="","",IF(ISNUMBER('Dvd Calendar'!$W$723)=FALSE,"",'Dvd Calendar'!$W$723))</f>
        <v/>
      </c>
      <c r="BJ76" s="110">
        <f>IF(GL76="","",IF(ISNUMBER('Dvd Calendar'!$X$723)=FALSE,"",'Dvd Calendar'!$X$723))</f>
        <v/>
      </c>
      <c r="BK76" s="110">
        <f>IF(GM76="","",IF(ISNUMBER('Dvd Calendar'!$Y$723)=FALSE,"",'Dvd Calendar'!$Y$723))</f>
        <v/>
      </c>
      <c r="BL76" s="110">
        <f>IF(GN76="","",IF(ISNUMBER('Dvd Calendar'!$Z$723)=FALSE,"",'Dvd Calendar'!$Z$723))</f>
        <v/>
      </c>
      <c r="BM76" s="110">
        <f>IF(GO76="","",IF(ISNUMBER('Dvd Calendar'!$AA$723)=FALSE,"",'Dvd Calendar'!$AA$723))</f>
        <v/>
      </c>
      <c r="BN76" s="110">
        <f>IF(GP76="","",IF(ISNUMBER('Dvd Calendar'!$AB$723)=FALSE,"",'Dvd Calendar'!$AB$723))</f>
        <v/>
      </c>
      <c r="BO76" s="110">
        <f>IF(GQ76="","",IF(ISNUMBER('Dvd Calendar'!$AC$723)=FALSE,"",'Dvd Calendar'!$AC$723))</f>
        <v/>
      </c>
      <c r="BQ76" s="110">
        <f>IF(C76="","",IFERROR(C76*HSI!$B$71*HSI!$G$71/HSI!$B$3,""))</f>
        <v/>
      </c>
      <c r="BR76" s="110">
        <f>IF(D76="","",IFERROR(D76*HSI!$B$71*HSI!$G$71/HSI!$B$3,""))</f>
        <v/>
      </c>
      <c r="BS76" s="110">
        <f>IF(E76="","",IFERROR(E76*HSI!$B$71*HSI!$G$71/HSI!$B$3,""))</f>
        <v/>
      </c>
      <c r="BT76" s="110">
        <f>IF(F76="","",IFERROR(F76*HSI!$B$71*HSI!$G$71/HSI!$B$3,""))</f>
        <v/>
      </c>
      <c r="BU76" s="110">
        <f>IF(G76="","",IFERROR(G76*HSI!$B$71*HSI!$G$71/HSI!$B$3,""))</f>
        <v/>
      </c>
      <c r="BV76" s="110">
        <f>IF(H76="","",IFERROR(H76*HSI!$B$71*HSI!$G$71/HSI!$B$3,""))</f>
        <v/>
      </c>
      <c r="BW76" s="110">
        <f>IF(I76="","",IFERROR(I76*HSI!$B$71*HSI!$G$71/HSI!$B$3,""))</f>
        <v/>
      </c>
      <c r="BX76" s="110">
        <f>IF(J76="","",IFERROR(J76*HSI!$B$71*HSI!$G$71/HSI!$B$3,""))</f>
        <v/>
      </c>
      <c r="BY76" s="110">
        <f>IF(K76="","",IFERROR(K76*HSI!$B$71*HSI!$G$71/HSI!$B$3,""))</f>
        <v/>
      </c>
      <c r="BZ76" s="110">
        <f>IF(L76="","",IFERROR(L76*HSI!$B$71*HSI!$G$71/HSI!$B$3,""))</f>
        <v/>
      </c>
      <c r="CA76" s="110">
        <f>IF(M76="","",IFERROR(M76*HSI!$B$71*HSI!$G$71/HSI!$B$3,""))</f>
        <v/>
      </c>
      <c r="CB76" s="110">
        <f>IF(N76="","",IFERROR(N76*HSI!$B$71*HSI!$G$71/HSI!$B$3,""))</f>
        <v/>
      </c>
      <c r="CC76" s="110">
        <f>IF(O76="","",IFERROR(O76*HSI!$B$71*HSI!$G$71/HSI!$B$3,""))</f>
        <v/>
      </c>
      <c r="CD76" s="110">
        <f>IF(P76="","",IFERROR(P76*HSI!$B$71*HSI!$G$71/HSI!$B$3,""))</f>
        <v/>
      </c>
      <c r="CE76" s="110">
        <f>IF(Q76="","",IFERROR(Q76*HSI!$B$71*HSI!$G$71/HSI!$B$3,""))</f>
        <v/>
      </c>
      <c r="CF76" s="110">
        <f>IF(R76="","",IFERROR(R76*HSI!$B$71*HSI!$G$71/HSI!$B$3,""))</f>
        <v/>
      </c>
      <c r="CG76" s="110">
        <f>IF(S76="","",IFERROR(S76*HSI!$B$71*HSI!$G$71/HSI!$B$3,""))</f>
        <v/>
      </c>
      <c r="CH76" s="110">
        <f>IF(T76="","",IFERROR(T76*HSI!$B$71*HSI!$G$71/HSI!$B$3,""))</f>
        <v/>
      </c>
      <c r="CI76" s="110">
        <f>IF(U76="","",IFERROR(U76*HSI!$B$71*HSI!$G$71/HSI!$B$3,""))</f>
        <v/>
      </c>
      <c r="CJ76" s="110">
        <f>IF(V76="","",IFERROR(V76*HSI!$B$71*HSI!$G$71/HSI!$B$3,""))</f>
        <v/>
      </c>
      <c r="CK76" s="110">
        <f>IF(W76="","",IFERROR(W76*HSI!$B$71*HSI!$G$71/HSI!$B$3,""))</f>
        <v/>
      </c>
      <c r="CL76" s="110">
        <f>IF(X76="","",IFERROR(X76*HSI!$B$71*HSI!$G$71/HSI!$B$3,""))</f>
        <v/>
      </c>
      <c r="CM76" s="110">
        <f>IF(Y76="","",IFERROR(Y76*HSI!$B$71*HSI!$G$71/HSI!$B$3,""))</f>
        <v/>
      </c>
      <c r="CN76" s="110">
        <f>IF(Z76="","",IFERROR(Z76*HSI!$B$71*HSI!$G$71/HSI!$B$3,""))</f>
        <v/>
      </c>
      <c r="CO76" s="110">
        <f>IF(AA76="","",IFERROR(AA76*HSI!$B$71*HSI!$G$71/HSI!$B$3,""))</f>
        <v/>
      </c>
      <c r="CP76" s="110">
        <f>IF(AB76="","",IFERROR(AB76*HSI!$B$71*HSI!$G$71/HSI!$B$3,""))</f>
        <v/>
      </c>
      <c r="CQ76" s="110">
        <f>IF(AC76="","",IFERROR(AC76*HSI!$B$71*HSI!$G$71/HSI!$B$3,""))</f>
        <v/>
      </c>
      <c r="CR76" s="110">
        <f>IF(AD76="","",IFERROR(AD76*HSI!$B$71*HSI!$G$71/HSI!$B$3,""))</f>
        <v/>
      </c>
      <c r="CS76" s="110">
        <f>IF(AE76="","",IFERROR(AE76*HSI!$B$71*HSI!$G$71/HSI!$B$3,""))</f>
        <v/>
      </c>
      <c r="CT76" s="110">
        <f>IF(AF76="","",IFERROR(AF76*HSI!$B$71*HSI!$G$71/HSI!$B$3,""))</f>
        <v/>
      </c>
      <c r="CU76" s="110">
        <f>IF(AG76="","",IFERROR(AG76*HSI!$B$71*HSI!$G$71/HSI!$B$3,""))</f>
        <v/>
      </c>
      <c r="CV76" s="110">
        <f>IF(AH76="","",IFERROR(AH76*HSI!$B$71*HSI!$G$71/HSI!$B$3,""))</f>
        <v/>
      </c>
      <c r="CW76" s="110">
        <f>IF(AI76="","",IFERROR(AI76*HSI!$B$71*HSI!$G$71/HSI!$B$3,""))</f>
        <v/>
      </c>
      <c r="CX76" s="110">
        <f>IF(AJ76="","",IFERROR(AJ76*HSI!$B$71*HSI!$G$71/HSI!$B$3,""))</f>
        <v/>
      </c>
      <c r="CY76" s="110">
        <f>IF(AK76="","",IFERROR(AK76*HSI!$B$71*HSI!$G$71/HSI!$B$3,""))</f>
        <v/>
      </c>
      <c r="CZ76" s="110">
        <f>IF(AL76="","",IFERROR(AL76*HSI!$B$71*HSI!$G$71/HSI!$B$3,""))</f>
        <v/>
      </c>
      <c r="DA76" s="110">
        <f>IF(AM76="","",IFERROR(AM76*HSI!$B$71*HSI!$G$71/HSI!$B$3,""))</f>
        <v/>
      </c>
      <c r="DB76" s="110">
        <f>IF(AN76="","",IFERROR(AN76*HSI!$B$71*HSI!$G$71/HSI!$B$3,""))</f>
        <v/>
      </c>
      <c r="DC76" s="110">
        <f>IF(AO76="","",IFERROR(AO76*HSI!$B$71*HSI!$G$71/HSI!$B$3,""))</f>
        <v/>
      </c>
      <c r="DD76" s="110">
        <f>IF(AP76="","",IFERROR(AP76*HSI!$B$71*HSI!$G$71/HSI!$B$3,""))</f>
        <v/>
      </c>
      <c r="DE76" s="110">
        <f>IF(AQ76="","",IFERROR(AQ76*HSI!$B$71*HSI!$G$71/HSI!$B$3,""))</f>
        <v/>
      </c>
      <c r="DF76" s="110">
        <f>IF(AR76="","",IFERROR(AR76*HSI!$B$71*HSI!$G$71/HSI!$B$3,""))</f>
        <v/>
      </c>
      <c r="DG76" s="110">
        <f>IF(AS76="","",IFERROR(AS76*HSI!$B$71*HSI!$G$71/HSI!$B$3,""))</f>
        <v/>
      </c>
      <c r="DH76" s="110">
        <f>IF(AT76="","",IFERROR(AT76*HSI!$B$71*HSI!$G$71/HSI!$B$3,""))</f>
        <v/>
      </c>
      <c r="DI76" s="110">
        <f>IF(AU76="","",IFERROR(AU76*HSI!$B$71*HSI!$G$71/HSI!$B$3,""))</f>
        <v/>
      </c>
      <c r="DJ76" s="110">
        <f>IF(AV76="","",IFERROR(AV76*HSI!$B$71*HSI!$G$71/HSI!$B$3,""))</f>
        <v/>
      </c>
      <c r="DK76" s="110">
        <f>IF(AW76="","",IFERROR(AW76*HSI!$B$71*HSI!$G$71/HSI!$B$3,""))</f>
        <v/>
      </c>
      <c r="DL76" s="110">
        <f>IF(AX76="","",IFERROR(AX76*HSI!$B$71*HSI!$G$71/HSI!$B$3,""))</f>
        <v/>
      </c>
      <c r="DM76" s="110">
        <f>IF(AY76="","",IFERROR(AY76*HSI!$B$71*HSI!$G$71/HSI!$B$3,""))</f>
        <v/>
      </c>
      <c r="DN76" s="110">
        <f>IF(AZ76="","",IFERROR(AZ76*HSI!$B$71*HSI!$G$71/HSI!$B$3,""))</f>
        <v/>
      </c>
      <c r="DO76" s="110">
        <f>IF(BA76="","",IFERROR(BA76*HSI!$B$71*HSI!$G$71/HSI!$B$3,""))</f>
        <v/>
      </c>
      <c r="DP76" s="110">
        <f>IF(BB76="","",IFERROR(BB76*HSI!$B$71*HSI!$G$71/HSI!$B$3,""))</f>
        <v/>
      </c>
      <c r="DQ76" s="110">
        <f>IF(BC76="","",IFERROR(BC76*HSI!$B$71*HSI!$G$71/HSI!$B$3,""))</f>
        <v/>
      </c>
      <c r="DR76" s="110">
        <f>IF(BD76="","",IFERROR(BD76*HSI!$B$71*HSI!$G$71/HSI!$B$3,""))</f>
        <v/>
      </c>
      <c r="DS76" s="110">
        <f>IF(BE76="","",IFERROR(BE76*HSI!$B$71*HSI!$G$71/HSI!$B$3,""))</f>
        <v/>
      </c>
      <c r="DT76" s="110">
        <f>IF(BF76="","",IFERROR(BF76*HSI!$B$71*HSI!$G$71/HSI!$B$3,""))</f>
        <v/>
      </c>
      <c r="DU76" s="110">
        <f>IF(BG76="","",IFERROR(BG76*HSI!$B$71*HSI!$G$71/HSI!$B$3,""))</f>
        <v/>
      </c>
      <c r="DV76" s="110">
        <f>IF(BH76="","",IFERROR(BH76*HSI!$B$71*HSI!$G$71/HSI!$B$3,""))</f>
        <v/>
      </c>
      <c r="DW76" s="110">
        <f>IF(BI76="","",IFERROR(BI76*HSI!$B$71*HSI!$G$71/HSI!$B$3,""))</f>
        <v/>
      </c>
      <c r="DX76" s="110">
        <f>IF(BJ76="","",IFERROR(BJ76*HSI!$B$71*HSI!$G$71/HSI!$B$3,""))</f>
        <v/>
      </c>
      <c r="DY76" s="110">
        <f>IF(BK76="","",IFERROR(BK76*HSI!$B$71*HSI!$G$71/HSI!$B$3,""))</f>
        <v/>
      </c>
      <c r="DZ76" s="110">
        <f>IF(BL76="","",IFERROR(BL76*HSI!$B$71*HSI!$G$71/HSI!$B$3,""))</f>
        <v/>
      </c>
      <c r="EA76" s="110">
        <f>IF(BM76="","",IFERROR(BM76*HSI!$B$71*HSI!$G$71/HSI!$B$3,""))</f>
        <v/>
      </c>
      <c r="EB76" s="110">
        <f>IF(BN76="","",IFERROR(BN76*HSI!$B$71*HSI!$G$71/HSI!$B$3,""))</f>
        <v/>
      </c>
      <c r="EC76" s="110">
        <f>IF(BO76="","",IFERROR(BO76*HSI!$B$71*HSI!$G$71/HSI!$B$3,""))</f>
        <v/>
      </c>
      <c r="EE76" s="39">
        <f>IF(N('Dvd Calendar'!$E$715)=0,"",IF(('Dvd Calendar'!$E$715&gt;=GRID_FROM)*('Dvd Calendar'!$E$715&lt;=GRID_TO)*((('Dvd Calendar'!$E$715&lt;=VAL_DATE)+(COUNTIF('Dvd Calendar'!$E$722:$AR$722,'Dvd Calendar'!$E$715)=0))&gt;0)=0,"",'Dvd Calendar'!$E$715*1000000000+ISNUMBER('Dvd Calendar'!$E$718)*100000000+('Dvd Calendar'!$E$720=SPECIAL_LBL)*10000000+(N('Dvd Calendar'!$E$714)&gt;0)*(N('Dvd Calendar'!$E$714)&lt;=VAL_SERIAL)*1000000+65*1000+1))</f>
        <v/>
      </c>
      <c r="EF76" s="39">
        <f>IF(N('Dvd Calendar'!$F$715)=0,"",IF(('Dvd Calendar'!$F$715&gt;=GRID_FROM)*('Dvd Calendar'!$F$715&lt;=GRID_TO)*((('Dvd Calendar'!$F$715&lt;=VAL_DATE)+(COUNTIF('Dvd Calendar'!$E$722:$AR$722,'Dvd Calendar'!$F$715)=0))&gt;0)=0,"",'Dvd Calendar'!$F$715*1000000000+ISNUMBER('Dvd Calendar'!$F$718)*100000000+('Dvd Calendar'!$F$720=SPECIAL_LBL)*10000000+(N('Dvd Calendar'!$F$714)&gt;0)*(N('Dvd Calendar'!$F$714)&lt;=VAL_SERIAL)*1000000+65*1000+2))</f>
        <v/>
      </c>
      <c r="EG76" s="39">
        <f>IF(N('Dvd Calendar'!$G$715)=0,"",IF(('Dvd Calendar'!$G$715&gt;=GRID_FROM)*('Dvd Calendar'!$G$715&lt;=GRID_TO)*((('Dvd Calendar'!$G$715&lt;=VAL_DATE)+(COUNTIF('Dvd Calendar'!$E$722:$AR$722,'Dvd Calendar'!$G$715)=0))&gt;0)=0,"",'Dvd Calendar'!$G$715*1000000000+ISNUMBER('Dvd Calendar'!$G$718)*100000000+('Dvd Calendar'!$G$720=SPECIAL_LBL)*10000000+(N('Dvd Calendar'!$G$714)&gt;0)*(N('Dvd Calendar'!$G$714)&lt;=VAL_SERIAL)*1000000+65*1000+3))</f>
        <v/>
      </c>
      <c r="EH76" s="39">
        <f>IF(N('Dvd Calendar'!$H$715)=0,"",IF(('Dvd Calendar'!$H$715&gt;=GRID_FROM)*('Dvd Calendar'!$H$715&lt;=GRID_TO)*((('Dvd Calendar'!$H$715&lt;=VAL_DATE)+(COUNTIF('Dvd Calendar'!$E$722:$AR$722,'Dvd Calendar'!$H$715)=0))&gt;0)=0,"",'Dvd Calendar'!$H$715*1000000000+ISNUMBER('Dvd Calendar'!$H$718)*100000000+('Dvd Calendar'!$H$720=SPECIAL_LBL)*10000000+(N('Dvd Calendar'!$H$714)&gt;0)*(N('Dvd Calendar'!$H$714)&lt;=VAL_SERIAL)*1000000+65*1000+4))</f>
        <v/>
      </c>
      <c r="EI76" s="39">
        <f>IF(N('Dvd Calendar'!$I$715)=0,"",IF(('Dvd Calendar'!$I$715&gt;=GRID_FROM)*('Dvd Calendar'!$I$715&lt;=GRID_TO)*((('Dvd Calendar'!$I$715&lt;=VAL_DATE)+(COUNTIF('Dvd Calendar'!$E$722:$AR$722,'Dvd Calendar'!$I$715)=0))&gt;0)=0,"",'Dvd Calendar'!$I$715*1000000000+ISNUMBER('Dvd Calendar'!$I$718)*100000000+('Dvd Calendar'!$I$720=SPECIAL_LBL)*10000000+(N('Dvd Calendar'!$I$714)&gt;0)*(N('Dvd Calendar'!$I$714)&lt;=VAL_SERIAL)*1000000+65*1000+5))</f>
        <v/>
      </c>
      <c r="EJ76" s="39">
        <f>IF(N('Dvd Calendar'!$J$715)=0,"",IF(('Dvd Calendar'!$J$715&gt;=GRID_FROM)*('Dvd Calendar'!$J$715&lt;=GRID_TO)*((('Dvd Calendar'!$J$715&lt;=VAL_DATE)+(COUNTIF('Dvd Calendar'!$E$722:$AR$722,'Dvd Calendar'!$J$715)=0))&gt;0)=0,"",'Dvd Calendar'!$J$715*1000000000+ISNUMBER('Dvd Calendar'!$J$718)*100000000+('Dvd Calendar'!$J$720=SPECIAL_LBL)*10000000+(N('Dvd Calendar'!$J$714)&gt;0)*(N('Dvd Calendar'!$J$714)&lt;=VAL_SERIAL)*1000000+65*1000+6))</f>
        <v/>
      </c>
      <c r="EK76" s="39">
        <f>IF(N('Dvd Calendar'!$K$715)=0,"",IF(('Dvd Calendar'!$K$715&gt;=GRID_FROM)*('Dvd Calendar'!$K$715&lt;=GRID_TO)*((('Dvd Calendar'!$K$715&lt;=VAL_DATE)+(COUNTIF('Dvd Calendar'!$E$722:$AR$722,'Dvd Calendar'!$K$715)=0))&gt;0)=0,"",'Dvd Calendar'!$K$715*1000000000+ISNUMBER('Dvd Calendar'!$K$718)*100000000+('Dvd Calendar'!$K$720=SPECIAL_LBL)*10000000+(N('Dvd Calendar'!$K$714)&gt;0)*(N('Dvd Calendar'!$K$714)&lt;=VAL_SERIAL)*1000000+65*1000+7))</f>
        <v/>
      </c>
      <c r="EL76" s="39">
        <f>IF(N('Dvd Calendar'!$L$715)=0,"",IF(('Dvd Calendar'!$L$715&gt;=GRID_FROM)*('Dvd Calendar'!$L$715&lt;=GRID_TO)*((('Dvd Calendar'!$L$715&lt;=VAL_DATE)+(COUNTIF('Dvd Calendar'!$E$722:$AR$722,'Dvd Calendar'!$L$715)=0))&gt;0)=0,"",'Dvd Calendar'!$L$715*1000000000+ISNUMBER('Dvd Calendar'!$L$718)*100000000+('Dvd Calendar'!$L$720=SPECIAL_LBL)*10000000+(N('Dvd Calendar'!$L$714)&gt;0)*(N('Dvd Calendar'!$L$714)&lt;=VAL_SERIAL)*1000000+65*1000+8))</f>
        <v/>
      </c>
      <c r="EM76" s="39">
        <f>IF(N('Dvd Calendar'!$M$715)=0,"",IF(('Dvd Calendar'!$M$715&gt;=GRID_FROM)*('Dvd Calendar'!$M$715&lt;=GRID_TO)*((('Dvd Calendar'!$M$715&lt;=VAL_DATE)+(COUNTIF('Dvd Calendar'!$E$722:$AR$722,'Dvd Calendar'!$M$715)=0))&gt;0)=0,"",'Dvd Calendar'!$M$715*1000000000+ISNUMBER('Dvd Calendar'!$M$718)*100000000+('Dvd Calendar'!$M$720=SPECIAL_LBL)*10000000+(N('Dvd Calendar'!$M$714)&gt;0)*(N('Dvd Calendar'!$M$714)&lt;=VAL_SERIAL)*1000000+65*1000+9))</f>
        <v/>
      </c>
      <c r="EN76" s="39">
        <f>IF(N('Dvd Calendar'!$N$715)=0,"",IF(('Dvd Calendar'!$N$715&gt;=GRID_FROM)*('Dvd Calendar'!$N$715&lt;=GRID_TO)*((('Dvd Calendar'!$N$715&lt;=VAL_DATE)+(COUNTIF('Dvd Calendar'!$E$722:$AR$722,'Dvd Calendar'!$N$715)=0))&gt;0)=0,"",'Dvd Calendar'!$N$715*1000000000+ISNUMBER('Dvd Calendar'!$N$718)*100000000+('Dvd Calendar'!$N$720=SPECIAL_LBL)*10000000+(N('Dvd Calendar'!$N$714)&gt;0)*(N('Dvd Calendar'!$N$714)&lt;=VAL_SERIAL)*1000000+65*1000+10))</f>
        <v/>
      </c>
      <c r="EO76" s="39">
        <f>IF(N('Dvd Calendar'!$O$715)=0,"",IF(('Dvd Calendar'!$O$715&gt;=GRID_FROM)*('Dvd Calendar'!$O$715&lt;=GRID_TO)*((('Dvd Calendar'!$O$715&lt;=VAL_DATE)+(COUNTIF('Dvd Calendar'!$E$722:$AR$722,'Dvd Calendar'!$O$715)=0))&gt;0)=0,"",'Dvd Calendar'!$O$715*1000000000+ISNUMBER('Dvd Calendar'!$O$718)*100000000+('Dvd Calendar'!$O$720=SPECIAL_LBL)*10000000+(N('Dvd Calendar'!$O$714)&gt;0)*(N('Dvd Calendar'!$O$714)&lt;=VAL_SERIAL)*1000000+65*1000+11))</f>
        <v/>
      </c>
      <c r="EP76" s="39">
        <f>IF(N('Dvd Calendar'!$P$715)=0,"",IF(('Dvd Calendar'!$P$715&gt;=GRID_FROM)*('Dvd Calendar'!$P$715&lt;=GRID_TO)*((('Dvd Calendar'!$P$715&lt;=VAL_DATE)+(COUNTIF('Dvd Calendar'!$E$722:$AR$722,'Dvd Calendar'!$P$715)=0))&gt;0)=0,"",'Dvd Calendar'!$P$715*1000000000+ISNUMBER('Dvd Calendar'!$P$718)*100000000+('Dvd Calendar'!$P$720=SPECIAL_LBL)*10000000+(N('Dvd Calendar'!$P$714)&gt;0)*(N('Dvd Calendar'!$P$714)&lt;=VAL_SERIAL)*1000000+65*1000+12))</f>
        <v/>
      </c>
      <c r="EQ76" s="39">
        <f>IF(N('Dvd Calendar'!$Q$715)=0,"",IF(('Dvd Calendar'!$Q$715&gt;=GRID_FROM)*('Dvd Calendar'!$Q$715&lt;=GRID_TO)*((('Dvd Calendar'!$Q$715&lt;=VAL_DATE)+(COUNTIF('Dvd Calendar'!$E$722:$AR$722,'Dvd Calendar'!$Q$715)=0))&gt;0)=0,"",'Dvd Calendar'!$Q$715*1000000000+ISNUMBER('Dvd Calendar'!$Q$718)*100000000+('Dvd Calendar'!$Q$720=SPECIAL_LBL)*10000000+(N('Dvd Calendar'!$Q$714)&gt;0)*(N('Dvd Calendar'!$Q$714)&lt;=VAL_SERIAL)*1000000+65*1000+13))</f>
        <v/>
      </c>
      <c r="ER76" s="39">
        <f>IF(N('Dvd Calendar'!$R$715)=0,"",IF(('Dvd Calendar'!$R$715&gt;=GRID_FROM)*('Dvd Calendar'!$R$715&lt;=GRID_TO)*((('Dvd Calendar'!$R$715&lt;=VAL_DATE)+(COUNTIF('Dvd Calendar'!$E$722:$AR$722,'Dvd Calendar'!$R$715)=0))&gt;0)=0,"",'Dvd Calendar'!$R$715*1000000000+ISNUMBER('Dvd Calendar'!$R$718)*100000000+('Dvd Calendar'!$R$720=SPECIAL_LBL)*10000000+(N('Dvd Calendar'!$R$714)&gt;0)*(N('Dvd Calendar'!$R$714)&lt;=VAL_SERIAL)*1000000+65*1000+14))</f>
        <v/>
      </c>
      <c r="ES76" s="39">
        <f>IF(N('Dvd Calendar'!$S$715)=0,"",IF(('Dvd Calendar'!$S$715&gt;=GRID_FROM)*('Dvd Calendar'!$S$715&lt;=GRID_TO)*((('Dvd Calendar'!$S$715&lt;=VAL_DATE)+(COUNTIF('Dvd Calendar'!$E$722:$AR$722,'Dvd Calendar'!$S$715)=0))&gt;0)=0,"",'Dvd Calendar'!$S$715*1000000000+ISNUMBER('Dvd Calendar'!$S$718)*100000000+('Dvd Calendar'!$S$720=SPECIAL_LBL)*10000000+(N('Dvd Calendar'!$S$714)&gt;0)*(N('Dvd Calendar'!$S$714)&lt;=VAL_SERIAL)*1000000+65*1000+15))</f>
        <v/>
      </c>
      <c r="ET76" s="39">
        <f>IF(N('Dvd Calendar'!$T$715)=0,"",IF(('Dvd Calendar'!$T$715&gt;=GRID_FROM)*('Dvd Calendar'!$T$715&lt;=GRID_TO)*((('Dvd Calendar'!$T$715&lt;=VAL_DATE)+(COUNTIF('Dvd Calendar'!$E$722:$AR$722,'Dvd Calendar'!$T$715)=0))&gt;0)=0,"",'Dvd Calendar'!$T$715*1000000000+ISNUMBER('Dvd Calendar'!$T$718)*100000000+('Dvd Calendar'!$T$720=SPECIAL_LBL)*10000000+(N('Dvd Calendar'!$T$714)&gt;0)*(N('Dvd Calendar'!$T$714)&lt;=VAL_SERIAL)*1000000+65*1000+16))</f>
        <v/>
      </c>
      <c r="EU76" s="39">
        <f>IF(N('Dvd Calendar'!$U$715)=0,"",IF(('Dvd Calendar'!$U$715&gt;=GRID_FROM)*('Dvd Calendar'!$U$715&lt;=GRID_TO)*((('Dvd Calendar'!$U$715&lt;=VAL_DATE)+(COUNTIF('Dvd Calendar'!$E$722:$AR$722,'Dvd Calendar'!$U$715)=0))&gt;0)=0,"",'Dvd Calendar'!$U$715*1000000000+ISNUMBER('Dvd Calendar'!$U$718)*100000000+('Dvd Calendar'!$U$720=SPECIAL_LBL)*10000000+(N('Dvd Calendar'!$U$714)&gt;0)*(N('Dvd Calendar'!$U$714)&lt;=VAL_SERIAL)*1000000+65*1000+17))</f>
        <v/>
      </c>
      <c r="EV76" s="39">
        <f>IF(N('Dvd Calendar'!$V$715)=0,"",IF(('Dvd Calendar'!$V$715&gt;=GRID_FROM)*('Dvd Calendar'!$V$715&lt;=GRID_TO)*((('Dvd Calendar'!$V$715&lt;=VAL_DATE)+(COUNTIF('Dvd Calendar'!$E$722:$AR$722,'Dvd Calendar'!$V$715)=0))&gt;0)=0,"",'Dvd Calendar'!$V$715*1000000000+ISNUMBER('Dvd Calendar'!$V$718)*100000000+('Dvd Calendar'!$V$720=SPECIAL_LBL)*10000000+(N('Dvd Calendar'!$V$714)&gt;0)*(N('Dvd Calendar'!$V$714)&lt;=VAL_SERIAL)*1000000+65*1000+18))</f>
        <v/>
      </c>
      <c r="EW76" s="39">
        <f>IF(N('Dvd Calendar'!$W$715)=0,"",IF(('Dvd Calendar'!$W$715&gt;=GRID_FROM)*('Dvd Calendar'!$W$715&lt;=GRID_TO)*((('Dvd Calendar'!$W$715&lt;=VAL_DATE)+(COUNTIF('Dvd Calendar'!$E$722:$AR$722,'Dvd Calendar'!$W$715)=0))&gt;0)=0,"",'Dvd Calendar'!$W$715*1000000000+ISNUMBER('Dvd Calendar'!$W$718)*100000000+('Dvd Calendar'!$W$720=SPECIAL_LBL)*10000000+(N('Dvd Calendar'!$W$714)&gt;0)*(N('Dvd Calendar'!$W$714)&lt;=VAL_SERIAL)*1000000+65*1000+19))</f>
        <v/>
      </c>
      <c r="EX76" s="39">
        <f>IF(N('Dvd Calendar'!$X$715)=0,"",IF(('Dvd Calendar'!$X$715&gt;=GRID_FROM)*('Dvd Calendar'!$X$715&lt;=GRID_TO)*((('Dvd Calendar'!$X$715&lt;=VAL_DATE)+(COUNTIF('Dvd Calendar'!$E$722:$AR$722,'Dvd Calendar'!$X$715)=0))&gt;0)=0,"",'Dvd Calendar'!$X$715*1000000000+ISNUMBER('Dvd Calendar'!$X$718)*100000000+('Dvd Calendar'!$X$720=SPECIAL_LBL)*10000000+(N('Dvd Calendar'!$X$714)&gt;0)*(N('Dvd Calendar'!$X$714)&lt;=VAL_SERIAL)*1000000+65*1000+20))</f>
        <v/>
      </c>
      <c r="EY76" s="39">
        <f>IF(N('Dvd Calendar'!$Y$715)=0,"",IF(('Dvd Calendar'!$Y$715&gt;=GRID_FROM)*('Dvd Calendar'!$Y$715&lt;=GRID_TO)*((('Dvd Calendar'!$Y$715&lt;=VAL_DATE)+(COUNTIF('Dvd Calendar'!$E$722:$AR$722,'Dvd Calendar'!$Y$715)=0))&gt;0)=0,"",'Dvd Calendar'!$Y$715*1000000000+ISNUMBER('Dvd Calendar'!$Y$718)*100000000+('Dvd Calendar'!$Y$720=SPECIAL_LBL)*10000000+(N('Dvd Calendar'!$Y$714)&gt;0)*(N('Dvd Calendar'!$Y$714)&lt;=VAL_SERIAL)*1000000+65*1000+21))</f>
        <v/>
      </c>
      <c r="EZ76" s="39">
        <f>IF(N('Dvd Calendar'!$Z$715)=0,"",IF(('Dvd Calendar'!$Z$715&gt;=GRID_FROM)*('Dvd Calendar'!$Z$715&lt;=GRID_TO)*((('Dvd Calendar'!$Z$715&lt;=VAL_DATE)+(COUNTIF('Dvd Calendar'!$E$722:$AR$722,'Dvd Calendar'!$Z$715)=0))&gt;0)=0,"",'Dvd Calendar'!$Z$715*1000000000+ISNUMBER('Dvd Calendar'!$Z$718)*100000000+('Dvd Calendar'!$Z$720=SPECIAL_LBL)*10000000+(N('Dvd Calendar'!$Z$714)&gt;0)*(N('Dvd Calendar'!$Z$714)&lt;=VAL_SERIAL)*1000000+65*1000+22))</f>
        <v/>
      </c>
      <c r="FA76" s="39">
        <f>IF(N('Dvd Calendar'!$AA$715)=0,"",IF(('Dvd Calendar'!$AA$715&gt;=GRID_FROM)*('Dvd Calendar'!$AA$715&lt;=GRID_TO)*((('Dvd Calendar'!$AA$715&lt;=VAL_DATE)+(COUNTIF('Dvd Calendar'!$E$722:$AR$722,'Dvd Calendar'!$AA$715)=0))&gt;0)=0,"",'Dvd Calendar'!$AA$715*1000000000+ISNUMBER('Dvd Calendar'!$AA$718)*100000000+('Dvd Calendar'!$AA$720=SPECIAL_LBL)*10000000+(N('Dvd Calendar'!$AA$714)&gt;0)*(N('Dvd Calendar'!$AA$714)&lt;=VAL_SERIAL)*1000000+65*1000+23))</f>
        <v/>
      </c>
      <c r="FB76" s="39">
        <f>IF(N('Dvd Calendar'!$AB$715)=0,"",IF(('Dvd Calendar'!$AB$715&gt;=GRID_FROM)*('Dvd Calendar'!$AB$715&lt;=GRID_TO)*((('Dvd Calendar'!$AB$715&lt;=VAL_DATE)+(COUNTIF('Dvd Calendar'!$E$722:$AR$722,'Dvd Calendar'!$AB$715)=0))&gt;0)=0,"",'Dvd Calendar'!$AB$715*1000000000+ISNUMBER('Dvd Calendar'!$AB$718)*100000000+('Dvd Calendar'!$AB$720=SPECIAL_LBL)*10000000+(N('Dvd Calendar'!$AB$714)&gt;0)*(N('Dvd Calendar'!$AB$714)&lt;=VAL_SERIAL)*1000000+65*1000+24))</f>
        <v/>
      </c>
      <c r="FC76" s="39">
        <f>IF(N('Dvd Calendar'!$AC$715)=0,"",IF(('Dvd Calendar'!$AC$715&gt;=GRID_FROM)*('Dvd Calendar'!$AC$715&lt;=GRID_TO)*((('Dvd Calendar'!$AC$715&lt;=VAL_DATE)+(COUNTIF('Dvd Calendar'!$E$722:$AR$722,'Dvd Calendar'!$AC$715)=0))&gt;0)=0,"",'Dvd Calendar'!$AC$715*1000000000+ISNUMBER('Dvd Calendar'!$AC$718)*100000000+('Dvd Calendar'!$AC$720=SPECIAL_LBL)*10000000+(N('Dvd Calendar'!$AC$714)&gt;0)*(N('Dvd Calendar'!$AC$714)&lt;=VAL_SERIAL)*1000000+65*1000+25))</f>
        <v/>
      </c>
      <c r="FD76" s="39">
        <f>IF(N('Dvd Calendar'!$AD$715)=0,"",IF(('Dvd Calendar'!$AD$715&gt;=GRID_FROM)*('Dvd Calendar'!$AD$715&lt;=GRID_TO)*((('Dvd Calendar'!$AD$715&lt;=VAL_DATE)+(COUNTIF('Dvd Calendar'!$E$722:$AR$722,'Dvd Calendar'!$AD$715)=0))&gt;0)=0,"",'Dvd Calendar'!$AD$715*1000000000+ISNUMBER('Dvd Calendar'!$AD$718)*100000000+('Dvd Calendar'!$AD$720=SPECIAL_LBL)*10000000+(N('Dvd Calendar'!$AD$714)&gt;0)*(N('Dvd Calendar'!$AD$714)&lt;=VAL_SERIAL)*1000000+65*1000+26))</f>
        <v/>
      </c>
      <c r="FE76" s="39">
        <f>IF(N('Dvd Calendar'!$AE$715)=0,"",IF(('Dvd Calendar'!$AE$715&gt;=GRID_FROM)*('Dvd Calendar'!$AE$715&lt;=GRID_TO)*((('Dvd Calendar'!$AE$715&lt;=VAL_DATE)+(COUNTIF('Dvd Calendar'!$E$722:$AR$722,'Dvd Calendar'!$AE$715)=0))&gt;0)=0,"",'Dvd Calendar'!$AE$715*1000000000+ISNUMBER('Dvd Calendar'!$AE$718)*100000000+('Dvd Calendar'!$AE$720=SPECIAL_LBL)*10000000+(N('Dvd Calendar'!$AE$714)&gt;0)*(N('Dvd Calendar'!$AE$714)&lt;=VAL_SERIAL)*1000000+65*1000+27))</f>
        <v/>
      </c>
      <c r="FF76" s="39">
        <f>IF(N('Dvd Calendar'!$AF$715)=0,"",IF(('Dvd Calendar'!$AF$715&gt;=GRID_FROM)*('Dvd Calendar'!$AF$715&lt;=GRID_TO)*((('Dvd Calendar'!$AF$715&lt;=VAL_DATE)+(COUNTIF('Dvd Calendar'!$E$722:$AR$722,'Dvd Calendar'!$AF$715)=0))&gt;0)=0,"",'Dvd Calendar'!$AF$715*1000000000+ISNUMBER('Dvd Calendar'!$AF$718)*100000000+('Dvd Calendar'!$AF$720=SPECIAL_LBL)*10000000+(N('Dvd Calendar'!$AF$714)&gt;0)*(N('Dvd Calendar'!$AF$714)&lt;=VAL_SERIAL)*1000000+65*1000+28))</f>
        <v/>
      </c>
      <c r="FG76" s="39">
        <f>IF(N('Dvd Calendar'!$AG$715)=0,"",IF(('Dvd Calendar'!$AG$715&gt;=GRID_FROM)*('Dvd Calendar'!$AG$715&lt;=GRID_TO)*((('Dvd Calendar'!$AG$715&lt;=VAL_DATE)+(COUNTIF('Dvd Calendar'!$E$722:$AR$722,'Dvd Calendar'!$AG$715)=0))&gt;0)=0,"",'Dvd Calendar'!$AG$715*1000000000+ISNUMBER('Dvd Calendar'!$AG$718)*100000000+('Dvd Calendar'!$AG$720=SPECIAL_LBL)*10000000+(N('Dvd Calendar'!$AG$714)&gt;0)*(N('Dvd Calendar'!$AG$714)&lt;=VAL_SERIAL)*1000000+65*1000+29))</f>
        <v/>
      </c>
      <c r="FH76" s="39">
        <f>IF(N('Dvd Calendar'!$AH$715)=0,"",IF(('Dvd Calendar'!$AH$715&gt;=GRID_FROM)*('Dvd Calendar'!$AH$715&lt;=GRID_TO)*((('Dvd Calendar'!$AH$715&lt;=VAL_DATE)+(COUNTIF('Dvd Calendar'!$E$722:$AR$722,'Dvd Calendar'!$AH$715)=0))&gt;0)=0,"",'Dvd Calendar'!$AH$715*1000000000+ISNUMBER('Dvd Calendar'!$AH$718)*100000000+('Dvd Calendar'!$AH$720=SPECIAL_LBL)*10000000+(N('Dvd Calendar'!$AH$714)&gt;0)*(N('Dvd Calendar'!$AH$714)&lt;=VAL_SERIAL)*1000000+65*1000+30))</f>
        <v/>
      </c>
      <c r="FI76" s="39">
        <f>IF(N('Dvd Calendar'!$AI$715)=0,"",IF(('Dvd Calendar'!$AI$715&gt;=GRID_FROM)*('Dvd Calendar'!$AI$715&lt;=GRID_TO)*((('Dvd Calendar'!$AI$715&lt;=VAL_DATE)+(COUNTIF('Dvd Calendar'!$E$722:$AR$722,'Dvd Calendar'!$AI$715)=0))&gt;0)=0,"",'Dvd Calendar'!$AI$715*1000000000+ISNUMBER('Dvd Calendar'!$AI$718)*100000000+('Dvd Calendar'!$AI$720=SPECIAL_LBL)*10000000+(N('Dvd Calendar'!$AI$714)&gt;0)*(N('Dvd Calendar'!$AI$714)&lt;=VAL_SERIAL)*1000000+65*1000+31))</f>
        <v/>
      </c>
      <c r="FJ76" s="39">
        <f>IF(N('Dvd Calendar'!$AJ$715)=0,"",IF(('Dvd Calendar'!$AJ$715&gt;=GRID_FROM)*('Dvd Calendar'!$AJ$715&lt;=GRID_TO)*((('Dvd Calendar'!$AJ$715&lt;=VAL_DATE)+(COUNTIF('Dvd Calendar'!$E$722:$AR$722,'Dvd Calendar'!$AJ$715)=0))&gt;0)=0,"",'Dvd Calendar'!$AJ$715*1000000000+ISNUMBER('Dvd Calendar'!$AJ$718)*100000000+('Dvd Calendar'!$AJ$720=SPECIAL_LBL)*10000000+(N('Dvd Calendar'!$AJ$714)&gt;0)*(N('Dvd Calendar'!$AJ$714)&lt;=VAL_SERIAL)*1000000+65*1000+32))</f>
        <v/>
      </c>
      <c r="FK76" s="39">
        <f>IF(N('Dvd Calendar'!$AK$715)=0,"",IF(('Dvd Calendar'!$AK$715&gt;=GRID_FROM)*('Dvd Calendar'!$AK$715&lt;=GRID_TO)*((('Dvd Calendar'!$AK$715&lt;=VAL_DATE)+(COUNTIF('Dvd Calendar'!$E$722:$AR$722,'Dvd Calendar'!$AK$715)=0))&gt;0)=0,"",'Dvd Calendar'!$AK$715*1000000000+ISNUMBER('Dvd Calendar'!$AK$718)*100000000+('Dvd Calendar'!$AK$720=SPECIAL_LBL)*10000000+(N('Dvd Calendar'!$AK$714)&gt;0)*(N('Dvd Calendar'!$AK$714)&lt;=VAL_SERIAL)*1000000+65*1000+33))</f>
        <v/>
      </c>
      <c r="FL76" s="39">
        <f>IF(N('Dvd Calendar'!$AL$715)=0,"",IF(('Dvd Calendar'!$AL$715&gt;=GRID_FROM)*('Dvd Calendar'!$AL$715&lt;=GRID_TO)*((('Dvd Calendar'!$AL$715&lt;=VAL_DATE)+(COUNTIF('Dvd Calendar'!$E$722:$AR$722,'Dvd Calendar'!$AL$715)=0))&gt;0)=0,"",'Dvd Calendar'!$AL$715*1000000000+ISNUMBER('Dvd Calendar'!$AL$718)*100000000+('Dvd Calendar'!$AL$720=SPECIAL_LBL)*10000000+(N('Dvd Calendar'!$AL$714)&gt;0)*(N('Dvd Calendar'!$AL$714)&lt;=VAL_SERIAL)*1000000+65*1000+34))</f>
        <v/>
      </c>
      <c r="FM76" s="39">
        <f>IF(N('Dvd Calendar'!$AM$715)=0,"",IF(('Dvd Calendar'!$AM$715&gt;=GRID_FROM)*('Dvd Calendar'!$AM$715&lt;=GRID_TO)*((('Dvd Calendar'!$AM$715&lt;=VAL_DATE)+(COUNTIF('Dvd Calendar'!$E$722:$AR$722,'Dvd Calendar'!$AM$715)=0))&gt;0)=0,"",'Dvd Calendar'!$AM$715*1000000000+ISNUMBER('Dvd Calendar'!$AM$718)*100000000+('Dvd Calendar'!$AM$720=SPECIAL_LBL)*10000000+(N('Dvd Calendar'!$AM$714)&gt;0)*(N('Dvd Calendar'!$AM$714)&lt;=VAL_SERIAL)*1000000+65*1000+35))</f>
        <v/>
      </c>
      <c r="FN76" s="39">
        <f>IF(N('Dvd Calendar'!$AN$715)=0,"",IF(('Dvd Calendar'!$AN$715&gt;=GRID_FROM)*('Dvd Calendar'!$AN$715&lt;=GRID_TO)*((('Dvd Calendar'!$AN$715&lt;=VAL_DATE)+(COUNTIF('Dvd Calendar'!$E$722:$AR$722,'Dvd Calendar'!$AN$715)=0))&gt;0)=0,"",'Dvd Calendar'!$AN$715*1000000000+ISNUMBER('Dvd Calendar'!$AN$718)*100000000+('Dvd Calendar'!$AN$720=SPECIAL_LBL)*10000000+(N('Dvd Calendar'!$AN$714)&gt;0)*(N('Dvd Calendar'!$AN$714)&lt;=VAL_SERIAL)*1000000+65*1000+36))</f>
        <v/>
      </c>
      <c r="FO76" s="39">
        <f>IF(N('Dvd Calendar'!$AO$715)=0,"",IF(('Dvd Calendar'!$AO$715&gt;=GRID_FROM)*('Dvd Calendar'!$AO$715&lt;=GRID_TO)*((('Dvd Calendar'!$AO$715&lt;=VAL_DATE)+(COUNTIF('Dvd Calendar'!$E$722:$AR$722,'Dvd Calendar'!$AO$715)=0))&gt;0)=0,"",'Dvd Calendar'!$AO$715*1000000000+ISNUMBER('Dvd Calendar'!$AO$718)*100000000+('Dvd Calendar'!$AO$720=SPECIAL_LBL)*10000000+(N('Dvd Calendar'!$AO$714)&gt;0)*(N('Dvd Calendar'!$AO$714)&lt;=VAL_SERIAL)*1000000+65*1000+37))</f>
        <v/>
      </c>
      <c r="FP76" s="39">
        <f>IF(N('Dvd Calendar'!$AP$715)=0,"",IF(('Dvd Calendar'!$AP$715&gt;=GRID_FROM)*('Dvd Calendar'!$AP$715&lt;=GRID_TO)*((('Dvd Calendar'!$AP$715&lt;=VAL_DATE)+(COUNTIF('Dvd Calendar'!$E$722:$AR$722,'Dvd Calendar'!$AP$715)=0))&gt;0)=0,"",'Dvd Calendar'!$AP$715*1000000000+ISNUMBER('Dvd Calendar'!$AP$718)*100000000+('Dvd Calendar'!$AP$720=SPECIAL_LBL)*10000000+(N('Dvd Calendar'!$AP$714)&gt;0)*(N('Dvd Calendar'!$AP$714)&lt;=VAL_SERIAL)*1000000+65*1000+38))</f>
        <v/>
      </c>
      <c r="FQ76" s="39">
        <f>IF(N('Dvd Calendar'!$AQ$715)=0,"",IF(('Dvd Calendar'!$AQ$715&gt;=GRID_FROM)*('Dvd Calendar'!$AQ$715&lt;=GRID_TO)*((('Dvd Calendar'!$AQ$715&lt;=VAL_DATE)+(COUNTIF('Dvd Calendar'!$E$722:$AR$722,'Dvd Calendar'!$AQ$715)=0))&gt;0)=0,"",'Dvd Calendar'!$AQ$715*1000000000+ISNUMBER('Dvd Calendar'!$AQ$718)*100000000+('Dvd Calendar'!$AQ$720=SPECIAL_LBL)*10000000+(N('Dvd Calendar'!$AQ$714)&gt;0)*(N('Dvd Calendar'!$AQ$714)&lt;=VAL_SERIAL)*1000000+65*1000+39))</f>
        <v/>
      </c>
      <c r="FR76" s="39">
        <f>IF(N('Dvd Calendar'!$AR$715)=0,"",IF(('Dvd Calendar'!$AR$715&gt;=GRID_FROM)*('Dvd Calendar'!$AR$715&lt;=GRID_TO)*((('Dvd Calendar'!$AR$715&lt;=VAL_DATE)+(COUNTIF('Dvd Calendar'!$E$722:$AR$722,'Dvd Calendar'!$AR$715)=0))&gt;0)=0,"",'Dvd Calendar'!$AR$715*1000000000+ISNUMBER('Dvd Calendar'!$AR$718)*100000000+('Dvd Calendar'!$AR$720=SPECIAL_LBL)*10000000+(N('Dvd Calendar'!$AR$714)&gt;0)*(N('Dvd Calendar'!$AR$714)&lt;=VAL_SERIAL)*1000000+65*1000+40))</f>
        <v/>
      </c>
      <c r="FS76" s="39">
        <f>IF(N('Dvd Calendar'!$E$722)=0,"",IF(('Dvd Calendar'!$E$722&gt;=GRID_FROM)*('Dvd Calendar'!$E$722&lt;=GRID_TO)*('Dvd Calendar'!$E$722&gt;VAL_DATE)=0,"",'Dvd Calendar'!$E$722*1000000000+ISNUMBER('Dvd Calendar'!$E$723)*100000000+0*10000000+(N('Dvd Calendar'!$E$721)&gt;0)*(N('Dvd Calendar'!$E$721)&lt;=VAL_SERIAL)*1000000+65*1000+41))</f>
        <v/>
      </c>
      <c r="FT76" s="39">
        <f>IF(N('Dvd Calendar'!$F$722)=0,"",IF(('Dvd Calendar'!$F$722&gt;=GRID_FROM)*('Dvd Calendar'!$F$722&lt;=GRID_TO)*('Dvd Calendar'!$F$722&gt;VAL_DATE)=0,"",'Dvd Calendar'!$F$722*1000000000+ISNUMBER('Dvd Calendar'!$F$723)*100000000+0*10000000+(N('Dvd Calendar'!$F$721)&gt;0)*(N('Dvd Calendar'!$F$721)&lt;=VAL_SERIAL)*1000000+65*1000+42))</f>
        <v/>
      </c>
      <c r="FU76" s="39">
        <f>IF(N('Dvd Calendar'!$G$722)=0,"",IF(('Dvd Calendar'!$G$722&gt;=GRID_FROM)*('Dvd Calendar'!$G$722&lt;=GRID_TO)*('Dvd Calendar'!$G$722&gt;VAL_DATE)=0,"",'Dvd Calendar'!$G$722*1000000000+ISNUMBER('Dvd Calendar'!$G$723)*100000000+0*10000000+(N('Dvd Calendar'!$G$721)&gt;0)*(N('Dvd Calendar'!$G$721)&lt;=VAL_SERIAL)*1000000+65*1000+43))</f>
        <v/>
      </c>
      <c r="FV76" s="39">
        <f>IF(N('Dvd Calendar'!$H$722)=0,"",IF(('Dvd Calendar'!$H$722&gt;=GRID_FROM)*('Dvd Calendar'!$H$722&lt;=GRID_TO)*('Dvd Calendar'!$H$722&gt;VAL_DATE)=0,"",'Dvd Calendar'!$H$722*1000000000+ISNUMBER('Dvd Calendar'!$H$723)*100000000+0*10000000+(N('Dvd Calendar'!$H$721)&gt;0)*(N('Dvd Calendar'!$H$721)&lt;=VAL_SERIAL)*1000000+65*1000+44))</f>
        <v/>
      </c>
      <c r="FW76" s="39">
        <f>IF(N('Dvd Calendar'!$I$722)=0,"",IF(('Dvd Calendar'!$I$722&gt;=GRID_FROM)*('Dvd Calendar'!$I$722&lt;=GRID_TO)*('Dvd Calendar'!$I$722&gt;VAL_DATE)=0,"",'Dvd Calendar'!$I$722*1000000000+ISNUMBER('Dvd Calendar'!$I$723)*100000000+0*10000000+(N('Dvd Calendar'!$I$721)&gt;0)*(N('Dvd Calendar'!$I$721)&lt;=VAL_SERIAL)*1000000+65*1000+45))</f>
        <v/>
      </c>
      <c r="FX76" s="39">
        <f>IF(N('Dvd Calendar'!$J$722)=0,"",IF(('Dvd Calendar'!$J$722&gt;=GRID_FROM)*('Dvd Calendar'!$J$722&lt;=GRID_TO)*('Dvd Calendar'!$J$722&gt;VAL_DATE)=0,"",'Dvd Calendar'!$J$722*1000000000+ISNUMBER('Dvd Calendar'!$J$723)*100000000+0*10000000+(N('Dvd Calendar'!$J$721)&gt;0)*(N('Dvd Calendar'!$J$721)&lt;=VAL_SERIAL)*1000000+65*1000+46))</f>
        <v/>
      </c>
      <c r="FY76" s="39">
        <f>IF(N('Dvd Calendar'!$K$722)=0,"",IF(('Dvd Calendar'!$K$722&gt;=GRID_FROM)*('Dvd Calendar'!$K$722&lt;=GRID_TO)*('Dvd Calendar'!$K$722&gt;VAL_DATE)=0,"",'Dvd Calendar'!$K$722*1000000000+ISNUMBER('Dvd Calendar'!$K$723)*100000000+0*10000000+(N('Dvd Calendar'!$K$721)&gt;0)*(N('Dvd Calendar'!$K$721)&lt;=VAL_SERIAL)*1000000+65*1000+47))</f>
        <v/>
      </c>
      <c r="FZ76" s="39">
        <f>IF(N('Dvd Calendar'!$L$722)=0,"",IF(('Dvd Calendar'!$L$722&gt;=GRID_FROM)*('Dvd Calendar'!$L$722&lt;=GRID_TO)*('Dvd Calendar'!$L$722&gt;VAL_DATE)=0,"",'Dvd Calendar'!$L$722*1000000000+ISNUMBER('Dvd Calendar'!$L$723)*100000000+0*10000000+(N('Dvd Calendar'!$L$721)&gt;0)*(N('Dvd Calendar'!$L$721)&lt;=VAL_SERIAL)*1000000+65*1000+48))</f>
        <v/>
      </c>
      <c r="GA76" s="39">
        <f>IF(N('Dvd Calendar'!$M$722)=0,"",IF(('Dvd Calendar'!$M$722&gt;=GRID_FROM)*('Dvd Calendar'!$M$722&lt;=GRID_TO)*('Dvd Calendar'!$M$722&gt;VAL_DATE)=0,"",'Dvd Calendar'!$M$722*1000000000+ISNUMBER('Dvd Calendar'!$M$723)*100000000+0*10000000+(N('Dvd Calendar'!$M$721)&gt;0)*(N('Dvd Calendar'!$M$721)&lt;=VAL_SERIAL)*1000000+65*1000+49))</f>
        <v/>
      </c>
      <c r="GB76" s="39">
        <f>IF(N('Dvd Calendar'!$N$722)=0,"",IF(('Dvd Calendar'!$N$722&gt;=GRID_FROM)*('Dvd Calendar'!$N$722&lt;=GRID_TO)*('Dvd Calendar'!$N$722&gt;VAL_DATE)=0,"",'Dvd Calendar'!$N$722*1000000000+ISNUMBER('Dvd Calendar'!$N$723)*100000000+0*10000000+(N('Dvd Calendar'!$N$721)&gt;0)*(N('Dvd Calendar'!$N$721)&lt;=VAL_SERIAL)*1000000+65*1000+50))</f>
        <v/>
      </c>
      <c r="GC76" s="39">
        <f>IF(N('Dvd Calendar'!$O$722)=0,"",IF(('Dvd Calendar'!$O$722&gt;=GRID_FROM)*('Dvd Calendar'!$O$722&lt;=GRID_TO)*('Dvd Calendar'!$O$722&gt;VAL_DATE)=0,"",'Dvd Calendar'!$O$722*1000000000+ISNUMBER('Dvd Calendar'!$O$723)*100000000+0*10000000+(N('Dvd Calendar'!$O$721)&gt;0)*(N('Dvd Calendar'!$O$721)&lt;=VAL_SERIAL)*1000000+65*1000+51))</f>
        <v/>
      </c>
      <c r="GD76" s="39">
        <f>IF(N('Dvd Calendar'!$P$722)=0,"",IF(('Dvd Calendar'!$P$722&gt;=GRID_FROM)*('Dvd Calendar'!$P$722&lt;=GRID_TO)*('Dvd Calendar'!$P$722&gt;VAL_DATE)=0,"",'Dvd Calendar'!$P$722*1000000000+ISNUMBER('Dvd Calendar'!$P$723)*100000000+0*10000000+(N('Dvd Calendar'!$P$721)&gt;0)*(N('Dvd Calendar'!$P$721)&lt;=VAL_SERIAL)*1000000+65*1000+52))</f>
        <v/>
      </c>
      <c r="GE76" s="39">
        <f>IF(N('Dvd Calendar'!$Q$722)=0,"",IF(('Dvd Calendar'!$Q$722&gt;=GRID_FROM)*('Dvd Calendar'!$Q$722&lt;=GRID_TO)*('Dvd Calendar'!$Q$722&gt;VAL_DATE)=0,"",'Dvd Calendar'!$Q$722*1000000000+ISNUMBER('Dvd Calendar'!$Q$723)*100000000+0*10000000+(N('Dvd Calendar'!$Q$721)&gt;0)*(N('Dvd Calendar'!$Q$721)&lt;=VAL_SERIAL)*1000000+65*1000+53))</f>
        <v/>
      </c>
      <c r="GF76" s="39">
        <f>IF(N('Dvd Calendar'!$R$722)=0,"",IF(('Dvd Calendar'!$R$722&gt;=GRID_FROM)*('Dvd Calendar'!$R$722&lt;=GRID_TO)*('Dvd Calendar'!$R$722&gt;VAL_DATE)=0,"",'Dvd Calendar'!$R$722*1000000000+ISNUMBER('Dvd Calendar'!$R$723)*100000000+0*10000000+(N('Dvd Calendar'!$R$721)&gt;0)*(N('Dvd Calendar'!$R$721)&lt;=VAL_SERIAL)*1000000+65*1000+54))</f>
        <v/>
      </c>
      <c r="GG76" s="39">
        <f>IF(N('Dvd Calendar'!$S$722)=0,"",IF(('Dvd Calendar'!$S$722&gt;=GRID_FROM)*('Dvd Calendar'!$S$722&lt;=GRID_TO)*('Dvd Calendar'!$S$722&gt;VAL_DATE)=0,"",'Dvd Calendar'!$S$722*1000000000+ISNUMBER('Dvd Calendar'!$S$723)*100000000+0*10000000+(N('Dvd Calendar'!$S$721)&gt;0)*(N('Dvd Calendar'!$S$721)&lt;=VAL_SERIAL)*1000000+65*1000+55))</f>
        <v/>
      </c>
      <c r="GH76" s="39">
        <f>IF(N('Dvd Calendar'!$T$722)=0,"",IF(('Dvd Calendar'!$T$722&gt;=GRID_FROM)*('Dvd Calendar'!$T$722&lt;=GRID_TO)*('Dvd Calendar'!$T$722&gt;VAL_DATE)=0,"",'Dvd Calendar'!$T$722*1000000000+ISNUMBER('Dvd Calendar'!$T$723)*100000000+0*10000000+(N('Dvd Calendar'!$T$721)&gt;0)*(N('Dvd Calendar'!$T$721)&lt;=VAL_SERIAL)*1000000+65*1000+56))</f>
        <v/>
      </c>
      <c r="GI76" s="39">
        <f>IF(N('Dvd Calendar'!$U$722)=0,"",IF(('Dvd Calendar'!$U$722&gt;=GRID_FROM)*('Dvd Calendar'!$U$722&lt;=GRID_TO)*('Dvd Calendar'!$U$722&gt;VAL_DATE)=0,"",'Dvd Calendar'!$U$722*1000000000+ISNUMBER('Dvd Calendar'!$U$723)*100000000+0*10000000+(N('Dvd Calendar'!$U$721)&gt;0)*(N('Dvd Calendar'!$U$721)&lt;=VAL_SERIAL)*1000000+65*1000+57))</f>
        <v/>
      </c>
      <c r="GJ76" s="39">
        <f>IF(N('Dvd Calendar'!$V$722)=0,"",IF(('Dvd Calendar'!$V$722&gt;=GRID_FROM)*('Dvd Calendar'!$V$722&lt;=GRID_TO)*('Dvd Calendar'!$V$722&gt;VAL_DATE)=0,"",'Dvd Calendar'!$V$722*1000000000+ISNUMBER('Dvd Calendar'!$V$723)*100000000+0*10000000+(N('Dvd Calendar'!$V$721)&gt;0)*(N('Dvd Calendar'!$V$721)&lt;=VAL_SERIAL)*1000000+65*1000+58))</f>
        <v/>
      </c>
      <c r="GK76" s="39">
        <f>IF(N('Dvd Calendar'!$W$722)=0,"",IF(('Dvd Calendar'!$W$722&gt;=GRID_FROM)*('Dvd Calendar'!$W$722&lt;=GRID_TO)*('Dvd Calendar'!$W$722&gt;VAL_DATE)=0,"",'Dvd Calendar'!$W$722*1000000000+ISNUMBER('Dvd Calendar'!$W$723)*100000000+0*10000000+(N('Dvd Calendar'!$W$721)&gt;0)*(N('Dvd Calendar'!$W$721)&lt;=VAL_SERIAL)*1000000+65*1000+59))</f>
        <v/>
      </c>
      <c r="GL76" s="39">
        <f>IF(N('Dvd Calendar'!$X$722)=0,"",IF(('Dvd Calendar'!$X$722&gt;=GRID_FROM)*('Dvd Calendar'!$X$722&lt;=GRID_TO)*('Dvd Calendar'!$X$722&gt;VAL_DATE)=0,"",'Dvd Calendar'!$X$722*1000000000+ISNUMBER('Dvd Calendar'!$X$723)*100000000+0*10000000+(N('Dvd Calendar'!$X$721)&gt;0)*(N('Dvd Calendar'!$X$721)&lt;=VAL_SERIAL)*1000000+65*1000+60))</f>
        <v/>
      </c>
      <c r="GM76" s="39">
        <f>IF(N('Dvd Calendar'!$Y$722)=0,"",IF(('Dvd Calendar'!$Y$722&gt;=GRID_FROM)*('Dvd Calendar'!$Y$722&lt;=GRID_TO)*('Dvd Calendar'!$Y$722&gt;VAL_DATE)=0,"",'Dvd Calendar'!$Y$722*1000000000+ISNUMBER('Dvd Calendar'!$Y$723)*100000000+0*10000000+(N('Dvd Calendar'!$Y$721)&gt;0)*(N('Dvd Calendar'!$Y$721)&lt;=VAL_SERIAL)*1000000+65*1000+61))</f>
        <v/>
      </c>
      <c r="GN76" s="39">
        <f>IF(N('Dvd Calendar'!$Z$722)=0,"",IF(('Dvd Calendar'!$Z$722&gt;=GRID_FROM)*('Dvd Calendar'!$Z$722&lt;=GRID_TO)*('Dvd Calendar'!$Z$722&gt;VAL_DATE)=0,"",'Dvd Calendar'!$Z$722*1000000000+ISNUMBER('Dvd Calendar'!$Z$723)*100000000+0*10000000+(N('Dvd Calendar'!$Z$721)&gt;0)*(N('Dvd Calendar'!$Z$721)&lt;=VAL_SERIAL)*1000000+65*1000+62))</f>
        <v/>
      </c>
      <c r="GO76" s="39">
        <f>IF(N('Dvd Calendar'!$AA$722)=0,"",IF(('Dvd Calendar'!$AA$722&gt;=GRID_FROM)*('Dvd Calendar'!$AA$722&lt;=GRID_TO)*('Dvd Calendar'!$AA$722&gt;VAL_DATE)=0,"",'Dvd Calendar'!$AA$722*1000000000+ISNUMBER('Dvd Calendar'!$AA$723)*100000000+0*10000000+(N('Dvd Calendar'!$AA$721)&gt;0)*(N('Dvd Calendar'!$AA$721)&lt;=VAL_SERIAL)*1000000+65*1000+63))</f>
        <v/>
      </c>
      <c r="GP76" s="39">
        <f>IF(N('Dvd Calendar'!$AB$722)=0,"",IF(('Dvd Calendar'!$AB$722&gt;=GRID_FROM)*('Dvd Calendar'!$AB$722&lt;=GRID_TO)*('Dvd Calendar'!$AB$722&gt;VAL_DATE)=0,"",'Dvd Calendar'!$AB$722*1000000000+ISNUMBER('Dvd Calendar'!$AB$723)*100000000+0*10000000+(N('Dvd Calendar'!$AB$721)&gt;0)*(N('Dvd Calendar'!$AB$721)&lt;=VAL_SERIAL)*1000000+65*1000+64))</f>
        <v/>
      </c>
      <c r="GQ76" s="39">
        <f>IF(N('Dvd Calendar'!$AC$722)=0,"",IF(('Dvd Calendar'!$AC$722&gt;=GRID_FROM)*('Dvd Calendar'!$AC$722&lt;=GRID_TO)*('Dvd Calendar'!$AC$722&gt;VAL_DATE)=0,"",'Dvd Calendar'!$AC$722*1000000000+ISNUMBER('Dvd Calendar'!$AC$723)*100000000+0*10000000+(N('Dvd Calendar'!$AC$721)&gt;0)*(N('Dvd Calendar'!$AC$721)&lt;=VAL_SERIAL)*1000000+65*1000+65))</f>
        <v/>
      </c>
    </row>
    <row r="77">
      <c r="B77" s="2">
        <f>IF(HSI!$C$72="","",HSI!$C$72)</f>
        <v/>
      </c>
      <c r="C77" s="110">
        <f>IF(EE77="","",IF(ISNUMBER('Dvd Calendar'!$E$729)=FALSE,"",IF((('Dvd Calendar'!$E$731=TYPE1)*(TYPE1&lt;&gt;"")+('Dvd Calendar'!$E$731=TYPE2)*(TYPE2&lt;&gt;"")+('Dvd Calendar'!$E$731=TYPE3)*(TYPE3&lt;&gt;"")+('Dvd Calendar'!$E$731=TYPE4)*(TYPE4&lt;&gt;"")+('Dvd Calendar'!$E$731=SPECIAL_LBL)*(INC_SPECIALS="Y"))=0,"",'Dvd Calendar'!$E$729)))</f>
        <v/>
      </c>
      <c r="D77" s="110">
        <f>IF(EF77="","",IF(ISNUMBER('Dvd Calendar'!$F$729)=FALSE,"",IF((('Dvd Calendar'!$F$731=TYPE1)*(TYPE1&lt;&gt;"")+('Dvd Calendar'!$F$731=TYPE2)*(TYPE2&lt;&gt;"")+('Dvd Calendar'!$F$731=TYPE3)*(TYPE3&lt;&gt;"")+('Dvd Calendar'!$F$731=TYPE4)*(TYPE4&lt;&gt;"")+('Dvd Calendar'!$F$731=SPECIAL_LBL)*(INC_SPECIALS="Y"))=0,"",'Dvd Calendar'!$F$729)))</f>
        <v/>
      </c>
      <c r="E77" s="110">
        <f>IF(EG77="","",IF(ISNUMBER('Dvd Calendar'!$G$729)=FALSE,"",IF((('Dvd Calendar'!$G$731=TYPE1)*(TYPE1&lt;&gt;"")+('Dvd Calendar'!$G$731=TYPE2)*(TYPE2&lt;&gt;"")+('Dvd Calendar'!$G$731=TYPE3)*(TYPE3&lt;&gt;"")+('Dvd Calendar'!$G$731=TYPE4)*(TYPE4&lt;&gt;"")+('Dvd Calendar'!$G$731=SPECIAL_LBL)*(INC_SPECIALS="Y"))=0,"",'Dvd Calendar'!$G$729)))</f>
        <v/>
      </c>
      <c r="F77" s="110">
        <f>IF(EH77="","",IF(ISNUMBER('Dvd Calendar'!$H$729)=FALSE,"",IF((('Dvd Calendar'!$H$731=TYPE1)*(TYPE1&lt;&gt;"")+('Dvd Calendar'!$H$731=TYPE2)*(TYPE2&lt;&gt;"")+('Dvd Calendar'!$H$731=TYPE3)*(TYPE3&lt;&gt;"")+('Dvd Calendar'!$H$731=TYPE4)*(TYPE4&lt;&gt;"")+('Dvd Calendar'!$H$731=SPECIAL_LBL)*(INC_SPECIALS="Y"))=0,"",'Dvd Calendar'!$H$729)))</f>
        <v/>
      </c>
      <c r="G77" s="110">
        <f>IF(EI77="","",IF(ISNUMBER('Dvd Calendar'!$I$729)=FALSE,"",IF((('Dvd Calendar'!$I$731=TYPE1)*(TYPE1&lt;&gt;"")+('Dvd Calendar'!$I$731=TYPE2)*(TYPE2&lt;&gt;"")+('Dvd Calendar'!$I$731=TYPE3)*(TYPE3&lt;&gt;"")+('Dvd Calendar'!$I$731=TYPE4)*(TYPE4&lt;&gt;"")+('Dvd Calendar'!$I$731=SPECIAL_LBL)*(INC_SPECIALS="Y"))=0,"",'Dvd Calendar'!$I$729)))</f>
        <v/>
      </c>
      <c r="H77" s="110">
        <f>IF(EJ77="","",IF(ISNUMBER('Dvd Calendar'!$J$729)=FALSE,"",IF((('Dvd Calendar'!$J$731=TYPE1)*(TYPE1&lt;&gt;"")+('Dvd Calendar'!$J$731=TYPE2)*(TYPE2&lt;&gt;"")+('Dvd Calendar'!$J$731=TYPE3)*(TYPE3&lt;&gt;"")+('Dvd Calendar'!$J$731=TYPE4)*(TYPE4&lt;&gt;"")+('Dvd Calendar'!$J$731=SPECIAL_LBL)*(INC_SPECIALS="Y"))=0,"",'Dvd Calendar'!$J$729)))</f>
        <v/>
      </c>
      <c r="I77" s="110">
        <f>IF(EK77="","",IF(ISNUMBER('Dvd Calendar'!$K$729)=FALSE,"",IF((('Dvd Calendar'!$K$731=TYPE1)*(TYPE1&lt;&gt;"")+('Dvd Calendar'!$K$731=TYPE2)*(TYPE2&lt;&gt;"")+('Dvd Calendar'!$K$731=TYPE3)*(TYPE3&lt;&gt;"")+('Dvd Calendar'!$K$731=TYPE4)*(TYPE4&lt;&gt;"")+('Dvd Calendar'!$K$731=SPECIAL_LBL)*(INC_SPECIALS="Y"))=0,"",'Dvd Calendar'!$K$729)))</f>
        <v/>
      </c>
      <c r="J77" s="110">
        <f>IF(EL77="","",IF(ISNUMBER('Dvd Calendar'!$L$729)=FALSE,"",IF((('Dvd Calendar'!$L$731=TYPE1)*(TYPE1&lt;&gt;"")+('Dvd Calendar'!$L$731=TYPE2)*(TYPE2&lt;&gt;"")+('Dvd Calendar'!$L$731=TYPE3)*(TYPE3&lt;&gt;"")+('Dvd Calendar'!$L$731=TYPE4)*(TYPE4&lt;&gt;"")+('Dvd Calendar'!$L$731=SPECIAL_LBL)*(INC_SPECIALS="Y"))=0,"",'Dvd Calendar'!$L$729)))</f>
        <v/>
      </c>
      <c r="K77" s="110">
        <f>IF(EM77="","",IF(ISNUMBER('Dvd Calendar'!$M$729)=FALSE,"",IF((('Dvd Calendar'!$M$731=TYPE1)*(TYPE1&lt;&gt;"")+('Dvd Calendar'!$M$731=TYPE2)*(TYPE2&lt;&gt;"")+('Dvd Calendar'!$M$731=TYPE3)*(TYPE3&lt;&gt;"")+('Dvd Calendar'!$M$731=TYPE4)*(TYPE4&lt;&gt;"")+('Dvd Calendar'!$M$731=SPECIAL_LBL)*(INC_SPECIALS="Y"))=0,"",'Dvd Calendar'!$M$729)))</f>
        <v/>
      </c>
      <c r="L77" s="110">
        <f>IF(EN77="","",IF(ISNUMBER('Dvd Calendar'!$N$729)=FALSE,"",IF((('Dvd Calendar'!$N$731=TYPE1)*(TYPE1&lt;&gt;"")+('Dvd Calendar'!$N$731=TYPE2)*(TYPE2&lt;&gt;"")+('Dvd Calendar'!$N$731=TYPE3)*(TYPE3&lt;&gt;"")+('Dvd Calendar'!$N$731=TYPE4)*(TYPE4&lt;&gt;"")+('Dvd Calendar'!$N$731=SPECIAL_LBL)*(INC_SPECIALS="Y"))=0,"",'Dvd Calendar'!$N$729)))</f>
        <v/>
      </c>
      <c r="M77" s="110">
        <f>IF(EO77="","",IF(ISNUMBER('Dvd Calendar'!$O$729)=FALSE,"",IF((('Dvd Calendar'!$O$731=TYPE1)*(TYPE1&lt;&gt;"")+('Dvd Calendar'!$O$731=TYPE2)*(TYPE2&lt;&gt;"")+('Dvd Calendar'!$O$731=TYPE3)*(TYPE3&lt;&gt;"")+('Dvd Calendar'!$O$731=TYPE4)*(TYPE4&lt;&gt;"")+('Dvd Calendar'!$O$731=SPECIAL_LBL)*(INC_SPECIALS="Y"))=0,"",'Dvd Calendar'!$O$729)))</f>
        <v/>
      </c>
      <c r="N77" s="110">
        <f>IF(EP77="","",IF(ISNUMBER('Dvd Calendar'!$P$729)=FALSE,"",IF((('Dvd Calendar'!$P$731=TYPE1)*(TYPE1&lt;&gt;"")+('Dvd Calendar'!$P$731=TYPE2)*(TYPE2&lt;&gt;"")+('Dvd Calendar'!$P$731=TYPE3)*(TYPE3&lt;&gt;"")+('Dvd Calendar'!$P$731=TYPE4)*(TYPE4&lt;&gt;"")+('Dvd Calendar'!$P$731=SPECIAL_LBL)*(INC_SPECIALS="Y"))=0,"",'Dvd Calendar'!$P$729)))</f>
        <v/>
      </c>
      <c r="O77" s="110">
        <f>IF(EQ77="","",IF(ISNUMBER('Dvd Calendar'!$Q$729)=FALSE,"",IF((('Dvd Calendar'!$Q$731=TYPE1)*(TYPE1&lt;&gt;"")+('Dvd Calendar'!$Q$731=TYPE2)*(TYPE2&lt;&gt;"")+('Dvd Calendar'!$Q$731=TYPE3)*(TYPE3&lt;&gt;"")+('Dvd Calendar'!$Q$731=TYPE4)*(TYPE4&lt;&gt;"")+('Dvd Calendar'!$Q$731=SPECIAL_LBL)*(INC_SPECIALS="Y"))=0,"",'Dvd Calendar'!$Q$729)))</f>
        <v/>
      </c>
      <c r="P77" s="110">
        <f>IF(ER77="","",IF(ISNUMBER('Dvd Calendar'!$R$729)=FALSE,"",IF((('Dvd Calendar'!$R$731=TYPE1)*(TYPE1&lt;&gt;"")+('Dvd Calendar'!$R$731=TYPE2)*(TYPE2&lt;&gt;"")+('Dvd Calendar'!$R$731=TYPE3)*(TYPE3&lt;&gt;"")+('Dvd Calendar'!$R$731=TYPE4)*(TYPE4&lt;&gt;"")+('Dvd Calendar'!$R$731=SPECIAL_LBL)*(INC_SPECIALS="Y"))=0,"",'Dvd Calendar'!$R$729)))</f>
        <v/>
      </c>
      <c r="Q77" s="110">
        <f>IF(ES77="","",IF(ISNUMBER('Dvd Calendar'!$S$729)=FALSE,"",IF((('Dvd Calendar'!$S$731=TYPE1)*(TYPE1&lt;&gt;"")+('Dvd Calendar'!$S$731=TYPE2)*(TYPE2&lt;&gt;"")+('Dvd Calendar'!$S$731=TYPE3)*(TYPE3&lt;&gt;"")+('Dvd Calendar'!$S$731=TYPE4)*(TYPE4&lt;&gt;"")+('Dvd Calendar'!$S$731=SPECIAL_LBL)*(INC_SPECIALS="Y"))=0,"",'Dvd Calendar'!$S$729)))</f>
        <v/>
      </c>
      <c r="R77" s="110">
        <f>IF(ET77="","",IF(ISNUMBER('Dvd Calendar'!$T$729)=FALSE,"",IF((('Dvd Calendar'!$T$731=TYPE1)*(TYPE1&lt;&gt;"")+('Dvd Calendar'!$T$731=TYPE2)*(TYPE2&lt;&gt;"")+('Dvd Calendar'!$T$731=TYPE3)*(TYPE3&lt;&gt;"")+('Dvd Calendar'!$T$731=TYPE4)*(TYPE4&lt;&gt;"")+('Dvd Calendar'!$T$731=SPECIAL_LBL)*(INC_SPECIALS="Y"))=0,"",'Dvd Calendar'!$T$729)))</f>
        <v/>
      </c>
      <c r="S77" s="110">
        <f>IF(EU77="","",IF(ISNUMBER('Dvd Calendar'!$U$729)=FALSE,"",IF((('Dvd Calendar'!$U$731=TYPE1)*(TYPE1&lt;&gt;"")+('Dvd Calendar'!$U$731=TYPE2)*(TYPE2&lt;&gt;"")+('Dvd Calendar'!$U$731=TYPE3)*(TYPE3&lt;&gt;"")+('Dvd Calendar'!$U$731=TYPE4)*(TYPE4&lt;&gt;"")+('Dvd Calendar'!$U$731=SPECIAL_LBL)*(INC_SPECIALS="Y"))=0,"",'Dvd Calendar'!$U$729)))</f>
        <v/>
      </c>
      <c r="T77" s="110">
        <f>IF(EV77="","",IF(ISNUMBER('Dvd Calendar'!$V$729)=FALSE,"",IF((('Dvd Calendar'!$V$731=TYPE1)*(TYPE1&lt;&gt;"")+('Dvd Calendar'!$V$731=TYPE2)*(TYPE2&lt;&gt;"")+('Dvd Calendar'!$V$731=TYPE3)*(TYPE3&lt;&gt;"")+('Dvd Calendar'!$V$731=TYPE4)*(TYPE4&lt;&gt;"")+('Dvd Calendar'!$V$731=SPECIAL_LBL)*(INC_SPECIALS="Y"))=0,"",'Dvd Calendar'!$V$729)))</f>
        <v/>
      </c>
      <c r="U77" s="110">
        <f>IF(EW77="","",IF(ISNUMBER('Dvd Calendar'!$W$729)=FALSE,"",IF((('Dvd Calendar'!$W$731=TYPE1)*(TYPE1&lt;&gt;"")+('Dvd Calendar'!$W$731=TYPE2)*(TYPE2&lt;&gt;"")+('Dvd Calendar'!$W$731=TYPE3)*(TYPE3&lt;&gt;"")+('Dvd Calendar'!$W$731=TYPE4)*(TYPE4&lt;&gt;"")+('Dvd Calendar'!$W$731=SPECIAL_LBL)*(INC_SPECIALS="Y"))=0,"",'Dvd Calendar'!$W$729)))</f>
        <v/>
      </c>
      <c r="V77" s="110">
        <f>IF(EX77="","",IF(ISNUMBER('Dvd Calendar'!$X$729)=FALSE,"",IF((('Dvd Calendar'!$X$731=TYPE1)*(TYPE1&lt;&gt;"")+('Dvd Calendar'!$X$731=TYPE2)*(TYPE2&lt;&gt;"")+('Dvd Calendar'!$X$731=TYPE3)*(TYPE3&lt;&gt;"")+('Dvd Calendar'!$X$731=TYPE4)*(TYPE4&lt;&gt;"")+('Dvd Calendar'!$X$731=SPECIAL_LBL)*(INC_SPECIALS="Y"))=0,"",'Dvd Calendar'!$X$729)))</f>
        <v/>
      </c>
      <c r="W77" s="110">
        <f>IF(EY77="","",IF(ISNUMBER('Dvd Calendar'!$Y$729)=FALSE,"",IF((('Dvd Calendar'!$Y$731=TYPE1)*(TYPE1&lt;&gt;"")+('Dvd Calendar'!$Y$731=TYPE2)*(TYPE2&lt;&gt;"")+('Dvd Calendar'!$Y$731=TYPE3)*(TYPE3&lt;&gt;"")+('Dvd Calendar'!$Y$731=TYPE4)*(TYPE4&lt;&gt;"")+('Dvd Calendar'!$Y$731=SPECIAL_LBL)*(INC_SPECIALS="Y"))=0,"",'Dvd Calendar'!$Y$729)))</f>
        <v/>
      </c>
      <c r="X77" s="110">
        <f>IF(EZ77="","",IF(ISNUMBER('Dvd Calendar'!$Z$729)=FALSE,"",IF((('Dvd Calendar'!$Z$731=TYPE1)*(TYPE1&lt;&gt;"")+('Dvd Calendar'!$Z$731=TYPE2)*(TYPE2&lt;&gt;"")+('Dvd Calendar'!$Z$731=TYPE3)*(TYPE3&lt;&gt;"")+('Dvd Calendar'!$Z$731=TYPE4)*(TYPE4&lt;&gt;"")+('Dvd Calendar'!$Z$731=SPECIAL_LBL)*(INC_SPECIALS="Y"))=0,"",'Dvd Calendar'!$Z$729)))</f>
        <v/>
      </c>
      <c r="Y77" s="110">
        <f>IF(FA77="","",IF(ISNUMBER('Dvd Calendar'!$AA$729)=FALSE,"",IF((('Dvd Calendar'!$AA$731=TYPE1)*(TYPE1&lt;&gt;"")+('Dvd Calendar'!$AA$731=TYPE2)*(TYPE2&lt;&gt;"")+('Dvd Calendar'!$AA$731=TYPE3)*(TYPE3&lt;&gt;"")+('Dvd Calendar'!$AA$731=TYPE4)*(TYPE4&lt;&gt;"")+('Dvd Calendar'!$AA$731=SPECIAL_LBL)*(INC_SPECIALS="Y"))=0,"",'Dvd Calendar'!$AA$729)))</f>
        <v/>
      </c>
      <c r="Z77" s="110">
        <f>IF(FB77="","",IF(ISNUMBER('Dvd Calendar'!$AB$729)=FALSE,"",IF((('Dvd Calendar'!$AB$731=TYPE1)*(TYPE1&lt;&gt;"")+('Dvd Calendar'!$AB$731=TYPE2)*(TYPE2&lt;&gt;"")+('Dvd Calendar'!$AB$731=TYPE3)*(TYPE3&lt;&gt;"")+('Dvd Calendar'!$AB$731=TYPE4)*(TYPE4&lt;&gt;"")+('Dvd Calendar'!$AB$731=SPECIAL_LBL)*(INC_SPECIALS="Y"))=0,"",'Dvd Calendar'!$AB$729)))</f>
        <v/>
      </c>
      <c r="AA77" s="110">
        <f>IF(FC77="","",IF(ISNUMBER('Dvd Calendar'!$AC$729)=FALSE,"",IF((('Dvd Calendar'!$AC$731=TYPE1)*(TYPE1&lt;&gt;"")+('Dvd Calendar'!$AC$731=TYPE2)*(TYPE2&lt;&gt;"")+('Dvd Calendar'!$AC$731=TYPE3)*(TYPE3&lt;&gt;"")+('Dvd Calendar'!$AC$731=TYPE4)*(TYPE4&lt;&gt;"")+('Dvd Calendar'!$AC$731=SPECIAL_LBL)*(INC_SPECIALS="Y"))=0,"",'Dvd Calendar'!$AC$729)))</f>
        <v/>
      </c>
      <c r="AB77" s="110">
        <f>IF(FD77="","",IF(ISNUMBER('Dvd Calendar'!$AD$729)=FALSE,"",IF((('Dvd Calendar'!$AD$731=TYPE1)*(TYPE1&lt;&gt;"")+('Dvd Calendar'!$AD$731=TYPE2)*(TYPE2&lt;&gt;"")+('Dvd Calendar'!$AD$731=TYPE3)*(TYPE3&lt;&gt;"")+('Dvd Calendar'!$AD$731=TYPE4)*(TYPE4&lt;&gt;"")+('Dvd Calendar'!$AD$731=SPECIAL_LBL)*(INC_SPECIALS="Y"))=0,"",'Dvd Calendar'!$AD$729)))</f>
        <v/>
      </c>
      <c r="AC77" s="110">
        <f>IF(FE77="","",IF(ISNUMBER('Dvd Calendar'!$AE$729)=FALSE,"",IF((('Dvd Calendar'!$AE$731=TYPE1)*(TYPE1&lt;&gt;"")+('Dvd Calendar'!$AE$731=TYPE2)*(TYPE2&lt;&gt;"")+('Dvd Calendar'!$AE$731=TYPE3)*(TYPE3&lt;&gt;"")+('Dvd Calendar'!$AE$731=TYPE4)*(TYPE4&lt;&gt;"")+('Dvd Calendar'!$AE$731=SPECIAL_LBL)*(INC_SPECIALS="Y"))=0,"",'Dvd Calendar'!$AE$729)))</f>
        <v/>
      </c>
      <c r="AD77" s="110">
        <f>IF(FF77="","",IF(ISNUMBER('Dvd Calendar'!$AF$729)=FALSE,"",IF((('Dvd Calendar'!$AF$731=TYPE1)*(TYPE1&lt;&gt;"")+('Dvd Calendar'!$AF$731=TYPE2)*(TYPE2&lt;&gt;"")+('Dvd Calendar'!$AF$731=TYPE3)*(TYPE3&lt;&gt;"")+('Dvd Calendar'!$AF$731=TYPE4)*(TYPE4&lt;&gt;"")+('Dvd Calendar'!$AF$731=SPECIAL_LBL)*(INC_SPECIALS="Y"))=0,"",'Dvd Calendar'!$AF$729)))</f>
        <v/>
      </c>
      <c r="AE77" s="110">
        <f>IF(FG77="","",IF(ISNUMBER('Dvd Calendar'!$AG$729)=FALSE,"",IF((('Dvd Calendar'!$AG$731=TYPE1)*(TYPE1&lt;&gt;"")+('Dvd Calendar'!$AG$731=TYPE2)*(TYPE2&lt;&gt;"")+('Dvd Calendar'!$AG$731=TYPE3)*(TYPE3&lt;&gt;"")+('Dvd Calendar'!$AG$731=TYPE4)*(TYPE4&lt;&gt;"")+('Dvd Calendar'!$AG$731=SPECIAL_LBL)*(INC_SPECIALS="Y"))=0,"",'Dvd Calendar'!$AG$729)))</f>
        <v/>
      </c>
      <c r="AF77" s="110">
        <f>IF(FH77="","",IF(ISNUMBER('Dvd Calendar'!$AH$729)=FALSE,"",IF((('Dvd Calendar'!$AH$731=TYPE1)*(TYPE1&lt;&gt;"")+('Dvd Calendar'!$AH$731=TYPE2)*(TYPE2&lt;&gt;"")+('Dvd Calendar'!$AH$731=TYPE3)*(TYPE3&lt;&gt;"")+('Dvd Calendar'!$AH$731=TYPE4)*(TYPE4&lt;&gt;"")+('Dvd Calendar'!$AH$731=SPECIAL_LBL)*(INC_SPECIALS="Y"))=0,"",'Dvd Calendar'!$AH$729)))</f>
        <v/>
      </c>
      <c r="AG77" s="110">
        <f>IF(FI77="","",IF(ISNUMBER('Dvd Calendar'!$AI$729)=FALSE,"",IF((('Dvd Calendar'!$AI$731=TYPE1)*(TYPE1&lt;&gt;"")+('Dvd Calendar'!$AI$731=TYPE2)*(TYPE2&lt;&gt;"")+('Dvd Calendar'!$AI$731=TYPE3)*(TYPE3&lt;&gt;"")+('Dvd Calendar'!$AI$731=TYPE4)*(TYPE4&lt;&gt;"")+('Dvd Calendar'!$AI$731=SPECIAL_LBL)*(INC_SPECIALS="Y"))=0,"",'Dvd Calendar'!$AI$729)))</f>
        <v/>
      </c>
      <c r="AH77" s="110">
        <f>IF(FJ77="","",IF(ISNUMBER('Dvd Calendar'!$AJ$729)=FALSE,"",IF((('Dvd Calendar'!$AJ$731=TYPE1)*(TYPE1&lt;&gt;"")+('Dvd Calendar'!$AJ$731=TYPE2)*(TYPE2&lt;&gt;"")+('Dvd Calendar'!$AJ$731=TYPE3)*(TYPE3&lt;&gt;"")+('Dvd Calendar'!$AJ$731=TYPE4)*(TYPE4&lt;&gt;"")+('Dvd Calendar'!$AJ$731=SPECIAL_LBL)*(INC_SPECIALS="Y"))=0,"",'Dvd Calendar'!$AJ$729)))</f>
        <v/>
      </c>
      <c r="AI77" s="110">
        <f>IF(FK77="","",IF(ISNUMBER('Dvd Calendar'!$AK$729)=FALSE,"",IF((('Dvd Calendar'!$AK$731=TYPE1)*(TYPE1&lt;&gt;"")+('Dvd Calendar'!$AK$731=TYPE2)*(TYPE2&lt;&gt;"")+('Dvd Calendar'!$AK$731=TYPE3)*(TYPE3&lt;&gt;"")+('Dvd Calendar'!$AK$731=TYPE4)*(TYPE4&lt;&gt;"")+('Dvd Calendar'!$AK$731=SPECIAL_LBL)*(INC_SPECIALS="Y"))=0,"",'Dvd Calendar'!$AK$729)))</f>
        <v/>
      </c>
      <c r="AJ77" s="110">
        <f>IF(FL77="","",IF(ISNUMBER('Dvd Calendar'!$AL$729)=FALSE,"",IF((('Dvd Calendar'!$AL$731=TYPE1)*(TYPE1&lt;&gt;"")+('Dvd Calendar'!$AL$731=TYPE2)*(TYPE2&lt;&gt;"")+('Dvd Calendar'!$AL$731=TYPE3)*(TYPE3&lt;&gt;"")+('Dvd Calendar'!$AL$731=TYPE4)*(TYPE4&lt;&gt;"")+('Dvd Calendar'!$AL$731=SPECIAL_LBL)*(INC_SPECIALS="Y"))=0,"",'Dvd Calendar'!$AL$729)))</f>
        <v/>
      </c>
      <c r="AK77" s="110">
        <f>IF(FM77="","",IF(ISNUMBER('Dvd Calendar'!$AM$729)=FALSE,"",IF((('Dvd Calendar'!$AM$731=TYPE1)*(TYPE1&lt;&gt;"")+('Dvd Calendar'!$AM$731=TYPE2)*(TYPE2&lt;&gt;"")+('Dvd Calendar'!$AM$731=TYPE3)*(TYPE3&lt;&gt;"")+('Dvd Calendar'!$AM$731=TYPE4)*(TYPE4&lt;&gt;"")+('Dvd Calendar'!$AM$731=SPECIAL_LBL)*(INC_SPECIALS="Y"))=0,"",'Dvd Calendar'!$AM$729)))</f>
        <v/>
      </c>
      <c r="AL77" s="110">
        <f>IF(FN77="","",IF(ISNUMBER('Dvd Calendar'!$AN$729)=FALSE,"",IF((('Dvd Calendar'!$AN$731=TYPE1)*(TYPE1&lt;&gt;"")+('Dvd Calendar'!$AN$731=TYPE2)*(TYPE2&lt;&gt;"")+('Dvd Calendar'!$AN$731=TYPE3)*(TYPE3&lt;&gt;"")+('Dvd Calendar'!$AN$731=TYPE4)*(TYPE4&lt;&gt;"")+('Dvd Calendar'!$AN$731=SPECIAL_LBL)*(INC_SPECIALS="Y"))=0,"",'Dvd Calendar'!$AN$729)))</f>
        <v/>
      </c>
      <c r="AM77" s="110">
        <f>IF(FO77="","",IF(ISNUMBER('Dvd Calendar'!$AO$729)=FALSE,"",IF((('Dvd Calendar'!$AO$731=TYPE1)*(TYPE1&lt;&gt;"")+('Dvd Calendar'!$AO$731=TYPE2)*(TYPE2&lt;&gt;"")+('Dvd Calendar'!$AO$731=TYPE3)*(TYPE3&lt;&gt;"")+('Dvd Calendar'!$AO$731=TYPE4)*(TYPE4&lt;&gt;"")+('Dvd Calendar'!$AO$731=SPECIAL_LBL)*(INC_SPECIALS="Y"))=0,"",'Dvd Calendar'!$AO$729)))</f>
        <v/>
      </c>
      <c r="AN77" s="110">
        <f>IF(FP77="","",IF(ISNUMBER('Dvd Calendar'!$AP$729)=FALSE,"",IF((('Dvd Calendar'!$AP$731=TYPE1)*(TYPE1&lt;&gt;"")+('Dvd Calendar'!$AP$731=TYPE2)*(TYPE2&lt;&gt;"")+('Dvd Calendar'!$AP$731=TYPE3)*(TYPE3&lt;&gt;"")+('Dvd Calendar'!$AP$731=TYPE4)*(TYPE4&lt;&gt;"")+('Dvd Calendar'!$AP$731=SPECIAL_LBL)*(INC_SPECIALS="Y"))=0,"",'Dvd Calendar'!$AP$729)))</f>
        <v/>
      </c>
      <c r="AO77" s="110">
        <f>IF(FQ77="","",IF(ISNUMBER('Dvd Calendar'!$AQ$729)=FALSE,"",IF((('Dvd Calendar'!$AQ$731=TYPE1)*(TYPE1&lt;&gt;"")+('Dvd Calendar'!$AQ$731=TYPE2)*(TYPE2&lt;&gt;"")+('Dvd Calendar'!$AQ$731=TYPE3)*(TYPE3&lt;&gt;"")+('Dvd Calendar'!$AQ$731=TYPE4)*(TYPE4&lt;&gt;"")+('Dvd Calendar'!$AQ$731=SPECIAL_LBL)*(INC_SPECIALS="Y"))=0,"",'Dvd Calendar'!$AQ$729)))</f>
        <v/>
      </c>
      <c r="AP77" s="110">
        <f>IF(FR77="","",IF(ISNUMBER('Dvd Calendar'!$AR$729)=FALSE,"",IF((('Dvd Calendar'!$AR$731=TYPE1)*(TYPE1&lt;&gt;"")+('Dvd Calendar'!$AR$731=TYPE2)*(TYPE2&lt;&gt;"")+('Dvd Calendar'!$AR$731=TYPE3)*(TYPE3&lt;&gt;"")+('Dvd Calendar'!$AR$731=TYPE4)*(TYPE4&lt;&gt;"")+('Dvd Calendar'!$AR$731=SPECIAL_LBL)*(INC_SPECIALS="Y"))=0,"",'Dvd Calendar'!$AR$729)))</f>
        <v/>
      </c>
      <c r="AQ77" s="110">
        <f>IF(FS77="","",IF(ISNUMBER('Dvd Calendar'!$E$734)=FALSE,"",'Dvd Calendar'!$E$734))</f>
        <v/>
      </c>
      <c r="AR77" s="110">
        <f>IF(FT77="","",IF(ISNUMBER('Dvd Calendar'!$F$734)=FALSE,"",'Dvd Calendar'!$F$734))</f>
        <v/>
      </c>
      <c r="AS77" s="110">
        <f>IF(FU77="","",IF(ISNUMBER('Dvd Calendar'!$G$734)=FALSE,"",'Dvd Calendar'!$G$734))</f>
        <v/>
      </c>
      <c r="AT77" s="110">
        <f>IF(FV77="","",IF(ISNUMBER('Dvd Calendar'!$H$734)=FALSE,"",'Dvd Calendar'!$H$734))</f>
        <v/>
      </c>
      <c r="AU77" s="110">
        <f>IF(FW77="","",IF(ISNUMBER('Dvd Calendar'!$I$734)=FALSE,"",'Dvd Calendar'!$I$734))</f>
        <v/>
      </c>
      <c r="AV77" s="110">
        <f>IF(FX77="","",IF(ISNUMBER('Dvd Calendar'!$J$734)=FALSE,"",'Dvd Calendar'!$J$734))</f>
        <v/>
      </c>
      <c r="AW77" s="110">
        <f>IF(FY77="","",IF(ISNUMBER('Dvd Calendar'!$K$734)=FALSE,"",'Dvd Calendar'!$K$734))</f>
        <v/>
      </c>
      <c r="AX77" s="110">
        <f>IF(FZ77="","",IF(ISNUMBER('Dvd Calendar'!$L$734)=FALSE,"",'Dvd Calendar'!$L$734))</f>
        <v/>
      </c>
      <c r="AY77" s="110">
        <f>IF(GA77="","",IF(ISNUMBER('Dvd Calendar'!$M$734)=FALSE,"",'Dvd Calendar'!$M$734))</f>
        <v/>
      </c>
      <c r="AZ77" s="110">
        <f>IF(GB77="","",IF(ISNUMBER('Dvd Calendar'!$N$734)=FALSE,"",'Dvd Calendar'!$N$734))</f>
        <v/>
      </c>
      <c r="BA77" s="110">
        <f>IF(GC77="","",IF(ISNUMBER('Dvd Calendar'!$O$734)=FALSE,"",'Dvd Calendar'!$O$734))</f>
        <v/>
      </c>
      <c r="BB77" s="110">
        <f>IF(GD77="","",IF(ISNUMBER('Dvd Calendar'!$P$734)=FALSE,"",'Dvd Calendar'!$P$734))</f>
        <v/>
      </c>
      <c r="BC77" s="110">
        <f>IF(GE77="","",IF(ISNUMBER('Dvd Calendar'!$Q$734)=FALSE,"",'Dvd Calendar'!$Q$734))</f>
        <v/>
      </c>
      <c r="BD77" s="110">
        <f>IF(GF77="","",IF(ISNUMBER('Dvd Calendar'!$R$734)=FALSE,"",'Dvd Calendar'!$R$734))</f>
        <v/>
      </c>
      <c r="BE77" s="110">
        <f>IF(GG77="","",IF(ISNUMBER('Dvd Calendar'!$S$734)=FALSE,"",'Dvd Calendar'!$S$734))</f>
        <v/>
      </c>
      <c r="BF77" s="110">
        <f>IF(GH77="","",IF(ISNUMBER('Dvd Calendar'!$T$734)=FALSE,"",'Dvd Calendar'!$T$734))</f>
        <v/>
      </c>
      <c r="BG77" s="110">
        <f>IF(GI77="","",IF(ISNUMBER('Dvd Calendar'!$U$734)=FALSE,"",'Dvd Calendar'!$U$734))</f>
        <v/>
      </c>
      <c r="BH77" s="110">
        <f>IF(GJ77="","",IF(ISNUMBER('Dvd Calendar'!$V$734)=FALSE,"",'Dvd Calendar'!$V$734))</f>
        <v/>
      </c>
      <c r="BI77" s="110">
        <f>IF(GK77="","",IF(ISNUMBER('Dvd Calendar'!$W$734)=FALSE,"",'Dvd Calendar'!$W$734))</f>
        <v/>
      </c>
      <c r="BJ77" s="110">
        <f>IF(GL77="","",IF(ISNUMBER('Dvd Calendar'!$X$734)=FALSE,"",'Dvd Calendar'!$X$734))</f>
        <v/>
      </c>
      <c r="BK77" s="110">
        <f>IF(GM77="","",IF(ISNUMBER('Dvd Calendar'!$Y$734)=FALSE,"",'Dvd Calendar'!$Y$734))</f>
        <v/>
      </c>
      <c r="BL77" s="110">
        <f>IF(GN77="","",IF(ISNUMBER('Dvd Calendar'!$Z$734)=FALSE,"",'Dvd Calendar'!$Z$734))</f>
        <v/>
      </c>
      <c r="BM77" s="110">
        <f>IF(GO77="","",IF(ISNUMBER('Dvd Calendar'!$AA$734)=FALSE,"",'Dvd Calendar'!$AA$734))</f>
        <v/>
      </c>
      <c r="BN77" s="110">
        <f>IF(GP77="","",IF(ISNUMBER('Dvd Calendar'!$AB$734)=FALSE,"",'Dvd Calendar'!$AB$734))</f>
        <v/>
      </c>
      <c r="BO77" s="110">
        <f>IF(GQ77="","",IF(ISNUMBER('Dvd Calendar'!$AC$734)=FALSE,"",'Dvd Calendar'!$AC$734))</f>
        <v/>
      </c>
      <c r="BQ77" s="110">
        <f>IF(C77="","",IFERROR(C77*HSI!$B$72*HSI!$G$72/HSI!$B$3,""))</f>
        <v/>
      </c>
      <c r="BR77" s="110">
        <f>IF(D77="","",IFERROR(D77*HSI!$B$72*HSI!$G$72/HSI!$B$3,""))</f>
        <v/>
      </c>
      <c r="BS77" s="110">
        <f>IF(E77="","",IFERROR(E77*HSI!$B$72*HSI!$G$72/HSI!$B$3,""))</f>
        <v/>
      </c>
      <c r="BT77" s="110">
        <f>IF(F77="","",IFERROR(F77*HSI!$B$72*HSI!$G$72/HSI!$B$3,""))</f>
        <v/>
      </c>
      <c r="BU77" s="110">
        <f>IF(G77="","",IFERROR(G77*HSI!$B$72*HSI!$G$72/HSI!$B$3,""))</f>
        <v/>
      </c>
      <c r="BV77" s="110">
        <f>IF(H77="","",IFERROR(H77*HSI!$B$72*HSI!$G$72/HSI!$B$3,""))</f>
        <v/>
      </c>
      <c r="BW77" s="110">
        <f>IF(I77="","",IFERROR(I77*HSI!$B$72*HSI!$G$72/HSI!$B$3,""))</f>
        <v/>
      </c>
      <c r="BX77" s="110">
        <f>IF(J77="","",IFERROR(J77*HSI!$B$72*HSI!$G$72/HSI!$B$3,""))</f>
        <v/>
      </c>
      <c r="BY77" s="110">
        <f>IF(K77="","",IFERROR(K77*HSI!$B$72*HSI!$G$72/HSI!$B$3,""))</f>
        <v/>
      </c>
      <c r="BZ77" s="110">
        <f>IF(L77="","",IFERROR(L77*HSI!$B$72*HSI!$G$72/HSI!$B$3,""))</f>
        <v/>
      </c>
      <c r="CA77" s="110">
        <f>IF(M77="","",IFERROR(M77*HSI!$B$72*HSI!$G$72/HSI!$B$3,""))</f>
        <v/>
      </c>
      <c r="CB77" s="110">
        <f>IF(N77="","",IFERROR(N77*HSI!$B$72*HSI!$G$72/HSI!$B$3,""))</f>
        <v/>
      </c>
      <c r="CC77" s="110">
        <f>IF(O77="","",IFERROR(O77*HSI!$B$72*HSI!$G$72/HSI!$B$3,""))</f>
        <v/>
      </c>
      <c r="CD77" s="110">
        <f>IF(P77="","",IFERROR(P77*HSI!$B$72*HSI!$G$72/HSI!$B$3,""))</f>
        <v/>
      </c>
      <c r="CE77" s="110">
        <f>IF(Q77="","",IFERROR(Q77*HSI!$B$72*HSI!$G$72/HSI!$B$3,""))</f>
        <v/>
      </c>
      <c r="CF77" s="110">
        <f>IF(R77="","",IFERROR(R77*HSI!$B$72*HSI!$G$72/HSI!$B$3,""))</f>
        <v/>
      </c>
      <c r="CG77" s="110">
        <f>IF(S77="","",IFERROR(S77*HSI!$B$72*HSI!$G$72/HSI!$B$3,""))</f>
        <v/>
      </c>
      <c r="CH77" s="110">
        <f>IF(T77="","",IFERROR(T77*HSI!$B$72*HSI!$G$72/HSI!$B$3,""))</f>
        <v/>
      </c>
      <c r="CI77" s="110">
        <f>IF(U77="","",IFERROR(U77*HSI!$B$72*HSI!$G$72/HSI!$B$3,""))</f>
        <v/>
      </c>
      <c r="CJ77" s="110">
        <f>IF(V77="","",IFERROR(V77*HSI!$B$72*HSI!$G$72/HSI!$B$3,""))</f>
        <v/>
      </c>
      <c r="CK77" s="110">
        <f>IF(W77="","",IFERROR(W77*HSI!$B$72*HSI!$G$72/HSI!$B$3,""))</f>
        <v/>
      </c>
      <c r="CL77" s="110">
        <f>IF(X77="","",IFERROR(X77*HSI!$B$72*HSI!$G$72/HSI!$B$3,""))</f>
        <v/>
      </c>
      <c r="CM77" s="110">
        <f>IF(Y77="","",IFERROR(Y77*HSI!$B$72*HSI!$G$72/HSI!$B$3,""))</f>
        <v/>
      </c>
      <c r="CN77" s="110">
        <f>IF(Z77="","",IFERROR(Z77*HSI!$B$72*HSI!$G$72/HSI!$B$3,""))</f>
        <v/>
      </c>
      <c r="CO77" s="110">
        <f>IF(AA77="","",IFERROR(AA77*HSI!$B$72*HSI!$G$72/HSI!$B$3,""))</f>
        <v/>
      </c>
      <c r="CP77" s="110">
        <f>IF(AB77="","",IFERROR(AB77*HSI!$B$72*HSI!$G$72/HSI!$B$3,""))</f>
        <v/>
      </c>
      <c r="CQ77" s="110">
        <f>IF(AC77="","",IFERROR(AC77*HSI!$B$72*HSI!$G$72/HSI!$B$3,""))</f>
        <v/>
      </c>
      <c r="CR77" s="110">
        <f>IF(AD77="","",IFERROR(AD77*HSI!$B$72*HSI!$G$72/HSI!$B$3,""))</f>
        <v/>
      </c>
      <c r="CS77" s="110">
        <f>IF(AE77="","",IFERROR(AE77*HSI!$B$72*HSI!$G$72/HSI!$B$3,""))</f>
        <v/>
      </c>
      <c r="CT77" s="110">
        <f>IF(AF77="","",IFERROR(AF77*HSI!$B$72*HSI!$G$72/HSI!$B$3,""))</f>
        <v/>
      </c>
      <c r="CU77" s="110">
        <f>IF(AG77="","",IFERROR(AG77*HSI!$B$72*HSI!$G$72/HSI!$B$3,""))</f>
        <v/>
      </c>
      <c r="CV77" s="110">
        <f>IF(AH77="","",IFERROR(AH77*HSI!$B$72*HSI!$G$72/HSI!$B$3,""))</f>
        <v/>
      </c>
      <c r="CW77" s="110">
        <f>IF(AI77="","",IFERROR(AI77*HSI!$B$72*HSI!$G$72/HSI!$B$3,""))</f>
        <v/>
      </c>
      <c r="CX77" s="110">
        <f>IF(AJ77="","",IFERROR(AJ77*HSI!$B$72*HSI!$G$72/HSI!$B$3,""))</f>
        <v/>
      </c>
      <c r="CY77" s="110">
        <f>IF(AK77="","",IFERROR(AK77*HSI!$B$72*HSI!$G$72/HSI!$B$3,""))</f>
        <v/>
      </c>
      <c r="CZ77" s="110">
        <f>IF(AL77="","",IFERROR(AL77*HSI!$B$72*HSI!$G$72/HSI!$B$3,""))</f>
        <v/>
      </c>
      <c r="DA77" s="110">
        <f>IF(AM77="","",IFERROR(AM77*HSI!$B$72*HSI!$G$72/HSI!$B$3,""))</f>
        <v/>
      </c>
      <c r="DB77" s="110">
        <f>IF(AN77="","",IFERROR(AN77*HSI!$B$72*HSI!$G$72/HSI!$B$3,""))</f>
        <v/>
      </c>
      <c r="DC77" s="110">
        <f>IF(AO77="","",IFERROR(AO77*HSI!$B$72*HSI!$G$72/HSI!$B$3,""))</f>
        <v/>
      </c>
      <c r="DD77" s="110">
        <f>IF(AP77="","",IFERROR(AP77*HSI!$B$72*HSI!$G$72/HSI!$B$3,""))</f>
        <v/>
      </c>
      <c r="DE77" s="110">
        <f>IF(AQ77="","",IFERROR(AQ77*HSI!$B$72*HSI!$G$72/HSI!$B$3,""))</f>
        <v/>
      </c>
      <c r="DF77" s="110">
        <f>IF(AR77="","",IFERROR(AR77*HSI!$B$72*HSI!$G$72/HSI!$B$3,""))</f>
        <v/>
      </c>
      <c r="DG77" s="110">
        <f>IF(AS77="","",IFERROR(AS77*HSI!$B$72*HSI!$G$72/HSI!$B$3,""))</f>
        <v/>
      </c>
      <c r="DH77" s="110">
        <f>IF(AT77="","",IFERROR(AT77*HSI!$B$72*HSI!$G$72/HSI!$B$3,""))</f>
        <v/>
      </c>
      <c r="DI77" s="110">
        <f>IF(AU77="","",IFERROR(AU77*HSI!$B$72*HSI!$G$72/HSI!$B$3,""))</f>
        <v/>
      </c>
      <c r="DJ77" s="110">
        <f>IF(AV77="","",IFERROR(AV77*HSI!$B$72*HSI!$G$72/HSI!$B$3,""))</f>
        <v/>
      </c>
      <c r="DK77" s="110">
        <f>IF(AW77="","",IFERROR(AW77*HSI!$B$72*HSI!$G$72/HSI!$B$3,""))</f>
        <v/>
      </c>
      <c r="DL77" s="110">
        <f>IF(AX77="","",IFERROR(AX77*HSI!$B$72*HSI!$G$72/HSI!$B$3,""))</f>
        <v/>
      </c>
      <c r="DM77" s="110">
        <f>IF(AY77="","",IFERROR(AY77*HSI!$B$72*HSI!$G$72/HSI!$B$3,""))</f>
        <v/>
      </c>
      <c r="DN77" s="110">
        <f>IF(AZ77="","",IFERROR(AZ77*HSI!$B$72*HSI!$G$72/HSI!$B$3,""))</f>
        <v/>
      </c>
      <c r="DO77" s="110">
        <f>IF(BA77="","",IFERROR(BA77*HSI!$B$72*HSI!$G$72/HSI!$B$3,""))</f>
        <v/>
      </c>
      <c r="DP77" s="110">
        <f>IF(BB77="","",IFERROR(BB77*HSI!$B$72*HSI!$G$72/HSI!$B$3,""))</f>
        <v/>
      </c>
      <c r="DQ77" s="110">
        <f>IF(BC77="","",IFERROR(BC77*HSI!$B$72*HSI!$G$72/HSI!$B$3,""))</f>
        <v/>
      </c>
      <c r="DR77" s="110">
        <f>IF(BD77="","",IFERROR(BD77*HSI!$B$72*HSI!$G$72/HSI!$B$3,""))</f>
        <v/>
      </c>
      <c r="DS77" s="110">
        <f>IF(BE77="","",IFERROR(BE77*HSI!$B$72*HSI!$G$72/HSI!$B$3,""))</f>
        <v/>
      </c>
      <c r="DT77" s="110">
        <f>IF(BF77="","",IFERROR(BF77*HSI!$B$72*HSI!$G$72/HSI!$B$3,""))</f>
        <v/>
      </c>
      <c r="DU77" s="110">
        <f>IF(BG77="","",IFERROR(BG77*HSI!$B$72*HSI!$G$72/HSI!$B$3,""))</f>
        <v/>
      </c>
      <c r="DV77" s="110">
        <f>IF(BH77="","",IFERROR(BH77*HSI!$B$72*HSI!$G$72/HSI!$B$3,""))</f>
        <v/>
      </c>
      <c r="DW77" s="110">
        <f>IF(BI77="","",IFERROR(BI77*HSI!$B$72*HSI!$G$72/HSI!$B$3,""))</f>
        <v/>
      </c>
      <c r="DX77" s="110">
        <f>IF(BJ77="","",IFERROR(BJ77*HSI!$B$72*HSI!$G$72/HSI!$B$3,""))</f>
        <v/>
      </c>
      <c r="DY77" s="110">
        <f>IF(BK77="","",IFERROR(BK77*HSI!$B$72*HSI!$G$72/HSI!$B$3,""))</f>
        <v/>
      </c>
      <c r="DZ77" s="110">
        <f>IF(BL77="","",IFERROR(BL77*HSI!$B$72*HSI!$G$72/HSI!$B$3,""))</f>
        <v/>
      </c>
      <c r="EA77" s="110">
        <f>IF(BM77="","",IFERROR(BM77*HSI!$B$72*HSI!$G$72/HSI!$B$3,""))</f>
        <v/>
      </c>
      <c r="EB77" s="110">
        <f>IF(BN77="","",IFERROR(BN77*HSI!$B$72*HSI!$G$72/HSI!$B$3,""))</f>
        <v/>
      </c>
      <c r="EC77" s="110">
        <f>IF(BO77="","",IFERROR(BO77*HSI!$B$72*HSI!$G$72/HSI!$B$3,""))</f>
        <v/>
      </c>
      <c r="EE77" s="39">
        <f>IF(N('Dvd Calendar'!$E$726)=0,"",IF(('Dvd Calendar'!$E$726&gt;=GRID_FROM)*('Dvd Calendar'!$E$726&lt;=GRID_TO)*((('Dvd Calendar'!$E$726&lt;=VAL_DATE)+(COUNTIF('Dvd Calendar'!$E$733:$AR$733,'Dvd Calendar'!$E$726)=0))&gt;0)=0,"",'Dvd Calendar'!$E$726*1000000000+ISNUMBER('Dvd Calendar'!$E$729)*100000000+('Dvd Calendar'!$E$731=SPECIAL_LBL)*10000000+(N('Dvd Calendar'!$E$725)&gt;0)*(N('Dvd Calendar'!$E$725)&lt;=VAL_SERIAL)*1000000+66*1000+1))</f>
        <v/>
      </c>
      <c r="EF77" s="39">
        <f>IF(N('Dvd Calendar'!$F$726)=0,"",IF(('Dvd Calendar'!$F$726&gt;=GRID_FROM)*('Dvd Calendar'!$F$726&lt;=GRID_TO)*((('Dvd Calendar'!$F$726&lt;=VAL_DATE)+(COUNTIF('Dvd Calendar'!$E$733:$AR$733,'Dvd Calendar'!$F$726)=0))&gt;0)=0,"",'Dvd Calendar'!$F$726*1000000000+ISNUMBER('Dvd Calendar'!$F$729)*100000000+('Dvd Calendar'!$F$731=SPECIAL_LBL)*10000000+(N('Dvd Calendar'!$F$725)&gt;0)*(N('Dvd Calendar'!$F$725)&lt;=VAL_SERIAL)*1000000+66*1000+2))</f>
        <v/>
      </c>
      <c r="EG77" s="39">
        <f>IF(N('Dvd Calendar'!$G$726)=0,"",IF(('Dvd Calendar'!$G$726&gt;=GRID_FROM)*('Dvd Calendar'!$G$726&lt;=GRID_TO)*((('Dvd Calendar'!$G$726&lt;=VAL_DATE)+(COUNTIF('Dvd Calendar'!$E$733:$AR$733,'Dvd Calendar'!$G$726)=0))&gt;0)=0,"",'Dvd Calendar'!$G$726*1000000000+ISNUMBER('Dvd Calendar'!$G$729)*100000000+('Dvd Calendar'!$G$731=SPECIAL_LBL)*10000000+(N('Dvd Calendar'!$G$725)&gt;0)*(N('Dvd Calendar'!$G$725)&lt;=VAL_SERIAL)*1000000+66*1000+3))</f>
        <v/>
      </c>
      <c r="EH77" s="39">
        <f>IF(N('Dvd Calendar'!$H$726)=0,"",IF(('Dvd Calendar'!$H$726&gt;=GRID_FROM)*('Dvd Calendar'!$H$726&lt;=GRID_TO)*((('Dvd Calendar'!$H$726&lt;=VAL_DATE)+(COUNTIF('Dvd Calendar'!$E$733:$AR$733,'Dvd Calendar'!$H$726)=0))&gt;0)=0,"",'Dvd Calendar'!$H$726*1000000000+ISNUMBER('Dvd Calendar'!$H$729)*100000000+('Dvd Calendar'!$H$731=SPECIAL_LBL)*10000000+(N('Dvd Calendar'!$H$725)&gt;0)*(N('Dvd Calendar'!$H$725)&lt;=VAL_SERIAL)*1000000+66*1000+4))</f>
        <v/>
      </c>
      <c r="EI77" s="39">
        <f>IF(N('Dvd Calendar'!$I$726)=0,"",IF(('Dvd Calendar'!$I$726&gt;=GRID_FROM)*('Dvd Calendar'!$I$726&lt;=GRID_TO)*((('Dvd Calendar'!$I$726&lt;=VAL_DATE)+(COUNTIF('Dvd Calendar'!$E$733:$AR$733,'Dvd Calendar'!$I$726)=0))&gt;0)=0,"",'Dvd Calendar'!$I$726*1000000000+ISNUMBER('Dvd Calendar'!$I$729)*100000000+('Dvd Calendar'!$I$731=SPECIAL_LBL)*10000000+(N('Dvd Calendar'!$I$725)&gt;0)*(N('Dvd Calendar'!$I$725)&lt;=VAL_SERIAL)*1000000+66*1000+5))</f>
        <v/>
      </c>
      <c r="EJ77" s="39">
        <f>IF(N('Dvd Calendar'!$J$726)=0,"",IF(('Dvd Calendar'!$J$726&gt;=GRID_FROM)*('Dvd Calendar'!$J$726&lt;=GRID_TO)*((('Dvd Calendar'!$J$726&lt;=VAL_DATE)+(COUNTIF('Dvd Calendar'!$E$733:$AR$733,'Dvd Calendar'!$J$726)=0))&gt;0)=0,"",'Dvd Calendar'!$J$726*1000000000+ISNUMBER('Dvd Calendar'!$J$729)*100000000+('Dvd Calendar'!$J$731=SPECIAL_LBL)*10000000+(N('Dvd Calendar'!$J$725)&gt;0)*(N('Dvd Calendar'!$J$725)&lt;=VAL_SERIAL)*1000000+66*1000+6))</f>
        <v/>
      </c>
      <c r="EK77" s="39">
        <f>IF(N('Dvd Calendar'!$K$726)=0,"",IF(('Dvd Calendar'!$K$726&gt;=GRID_FROM)*('Dvd Calendar'!$K$726&lt;=GRID_TO)*((('Dvd Calendar'!$K$726&lt;=VAL_DATE)+(COUNTIF('Dvd Calendar'!$E$733:$AR$733,'Dvd Calendar'!$K$726)=0))&gt;0)=0,"",'Dvd Calendar'!$K$726*1000000000+ISNUMBER('Dvd Calendar'!$K$729)*100000000+('Dvd Calendar'!$K$731=SPECIAL_LBL)*10000000+(N('Dvd Calendar'!$K$725)&gt;0)*(N('Dvd Calendar'!$K$725)&lt;=VAL_SERIAL)*1000000+66*1000+7))</f>
        <v/>
      </c>
      <c r="EL77" s="39">
        <f>IF(N('Dvd Calendar'!$L$726)=0,"",IF(('Dvd Calendar'!$L$726&gt;=GRID_FROM)*('Dvd Calendar'!$L$726&lt;=GRID_TO)*((('Dvd Calendar'!$L$726&lt;=VAL_DATE)+(COUNTIF('Dvd Calendar'!$E$733:$AR$733,'Dvd Calendar'!$L$726)=0))&gt;0)=0,"",'Dvd Calendar'!$L$726*1000000000+ISNUMBER('Dvd Calendar'!$L$729)*100000000+('Dvd Calendar'!$L$731=SPECIAL_LBL)*10000000+(N('Dvd Calendar'!$L$725)&gt;0)*(N('Dvd Calendar'!$L$725)&lt;=VAL_SERIAL)*1000000+66*1000+8))</f>
        <v/>
      </c>
      <c r="EM77" s="39">
        <f>IF(N('Dvd Calendar'!$M$726)=0,"",IF(('Dvd Calendar'!$M$726&gt;=GRID_FROM)*('Dvd Calendar'!$M$726&lt;=GRID_TO)*((('Dvd Calendar'!$M$726&lt;=VAL_DATE)+(COUNTIF('Dvd Calendar'!$E$733:$AR$733,'Dvd Calendar'!$M$726)=0))&gt;0)=0,"",'Dvd Calendar'!$M$726*1000000000+ISNUMBER('Dvd Calendar'!$M$729)*100000000+('Dvd Calendar'!$M$731=SPECIAL_LBL)*10000000+(N('Dvd Calendar'!$M$725)&gt;0)*(N('Dvd Calendar'!$M$725)&lt;=VAL_SERIAL)*1000000+66*1000+9))</f>
        <v/>
      </c>
      <c r="EN77" s="39">
        <f>IF(N('Dvd Calendar'!$N$726)=0,"",IF(('Dvd Calendar'!$N$726&gt;=GRID_FROM)*('Dvd Calendar'!$N$726&lt;=GRID_TO)*((('Dvd Calendar'!$N$726&lt;=VAL_DATE)+(COUNTIF('Dvd Calendar'!$E$733:$AR$733,'Dvd Calendar'!$N$726)=0))&gt;0)=0,"",'Dvd Calendar'!$N$726*1000000000+ISNUMBER('Dvd Calendar'!$N$729)*100000000+('Dvd Calendar'!$N$731=SPECIAL_LBL)*10000000+(N('Dvd Calendar'!$N$725)&gt;0)*(N('Dvd Calendar'!$N$725)&lt;=VAL_SERIAL)*1000000+66*1000+10))</f>
        <v/>
      </c>
      <c r="EO77" s="39">
        <f>IF(N('Dvd Calendar'!$O$726)=0,"",IF(('Dvd Calendar'!$O$726&gt;=GRID_FROM)*('Dvd Calendar'!$O$726&lt;=GRID_TO)*((('Dvd Calendar'!$O$726&lt;=VAL_DATE)+(COUNTIF('Dvd Calendar'!$E$733:$AR$733,'Dvd Calendar'!$O$726)=0))&gt;0)=0,"",'Dvd Calendar'!$O$726*1000000000+ISNUMBER('Dvd Calendar'!$O$729)*100000000+('Dvd Calendar'!$O$731=SPECIAL_LBL)*10000000+(N('Dvd Calendar'!$O$725)&gt;0)*(N('Dvd Calendar'!$O$725)&lt;=VAL_SERIAL)*1000000+66*1000+11))</f>
        <v/>
      </c>
      <c r="EP77" s="39">
        <f>IF(N('Dvd Calendar'!$P$726)=0,"",IF(('Dvd Calendar'!$P$726&gt;=GRID_FROM)*('Dvd Calendar'!$P$726&lt;=GRID_TO)*((('Dvd Calendar'!$P$726&lt;=VAL_DATE)+(COUNTIF('Dvd Calendar'!$E$733:$AR$733,'Dvd Calendar'!$P$726)=0))&gt;0)=0,"",'Dvd Calendar'!$P$726*1000000000+ISNUMBER('Dvd Calendar'!$P$729)*100000000+('Dvd Calendar'!$P$731=SPECIAL_LBL)*10000000+(N('Dvd Calendar'!$P$725)&gt;0)*(N('Dvd Calendar'!$P$725)&lt;=VAL_SERIAL)*1000000+66*1000+12))</f>
        <v/>
      </c>
      <c r="EQ77" s="39">
        <f>IF(N('Dvd Calendar'!$Q$726)=0,"",IF(('Dvd Calendar'!$Q$726&gt;=GRID_FROM)*('Dvd Calendar'!$Q$726&lt;=GRID_TO)*((('Dvd Calendar'!$Q$726&lt;=VAL_DATE)+(COUNTIF('Dvd Calendar'!$E$733:$AR$733,'Dvd Calendar'!$Q$726)=0))&gt;0)=0,"",'Dvd Calendar'!$Q$726*1000000000+ISNUMBER('Dvd Calendar'!$Q$729)*100000000+('Dvd Calendar'!$Q$731=SPECIAL_LBL)*10000000+(N('Dvd Calendar'!$Q$725)&gt;0)*(N('Dvd Calendar'!$Q$725)&lt;=VAL_SERIAL)*1000000+66*1000+13))</f>
        <v/>
      </c>
      <c r="ER77" s="39">
        <f>IF(N('Dvd Calendar'!$R$726)=0,"",IF(('Dvd Calendar'!$R$726&gt;=GRID_FROM)*('Dvd Calendar'!$R$726&lt;=GRID_TO)*((('Dvd Calendar'!$R$726&lt;=VAL_DATE)+(COUNTIF('Dvd Calendar'!$E$733:$AR$733,'Dvd Calendar'!$R$726)=0))&gt;0)=0,"",'Dvd Calendar'!$R$726*1000000000+ISNUMBER('Dvd Calendar'!$R$729)*100000000+('Dvd Calendar'!$R$731=SPECIAL_LBL)*10000000+(N('Dvd Calendar'!$R$725)&gt;0)*(N('Dvd Calendar'!$R$725)&lt;=VAL_SERIAL)*1000000+66*1000+14))</f>
        <v/>
      </c>
      <c r="ES77" s="39">
        <f>IF(N('Dvd Calendar'!$S$726)=0,"",IF(('Dvd Calendar'!$S$726&gt;=GRID_FROM)*('Dvd Calendar'!$S$726&lt;=GRID_TO)*((('Dvd Calendar'!$S$726&lt;=VAL_DATE)+(COUNTIF('Dvd Calendar'!$E$733:$AR$733,'Dvd Calendar'!$S$726)=0))&gt;0)=0,"",'Dvd Calendar'!$S$726*1000000000+ISNUMBER('Dvd Calendar'!$S$729)*100000000+('Dvd Calendar'!$S$731=SPECIAL_LBL)*10000000+(N('Dvd Calendar'!$S$725)&gt;0)*(N('Dvd Calendar'!$S$725)&lt;=VAL_SERIAL)*1000000+66*1000+15))</f>
        <v/>
      </c>
      <c r="ET77" s="39">
        <f>IF(N('Dvd Calendar'!$T$726)=0,"",IF(('Dvd Calendar'!$T$726&gt;=GRID_FROM)*('Dvd Calendar'!$T$726&lt;=GRID_TO)*((('Dvd Calendar'!$T$726&lt;=VAL_DATE)+(COUNTIF('Dvd Calendar'!$E$733:$AR$733,'Dvd Calendar'!$T$726)=0))&gt;0)=0,"",'Dvd Calendar'!$T$726*1000000000+ISNUMBER('Dvd Calendar'!$T$729)*100000000+('Dvd Calendar'!$T$731=SPECIAL_LBL)*10000000+(N('Dvd Calendar'!$T$725)&gt;0)*(N('Dvd Calendar'!$T$725)&lt;=VAL_SERIAL)*1000000+66*1000+16))</f>
        <v/>
      </c>
      <c r="EU77" s="39">
        <f>IF(N('Dvd Calendar'!$U$726)=0,"",IF(('Dvd Calendar'!$U$726&gt;=GRID_FROM)*('Dvd Calendar'!$U$726&lt;=GRID_TO)*((('Dvd Calendar'!$U$726&lt;=VAL_DATE)+(COUNTIF('Dvd Calendar'!$E$733:$AR$733,'Dvd Calendar'!$U$726)=0))&gt;0)=0,"",'Dvd Calendar'!$U$726*1000000000+ISNUMBER('Dvd Calendar'!$U$729)*100000000+('Dvd Calendar'!$U$731=SPECIAL_LBL)*10000000+(N('Dvd Calendar'!$U$725)&gt;0)*(N('Dvd Calendar'!$U$725)&lt;=VAL_SERIAL)*1000000+66*1000+17))</f>
        <v/>
      </c>
      <c r="EV77" s="39">
        <f>IF(N('Dvd Calendar'!$V$726)=0,"",IF(('Dvd Calendar'!$V$726&gt;=GRID_FROM)*('Dvd Calendar'!$V$726&lt;=GRID_TO)*((('Dvd Calendar'!$V$726&lt;=VAL_DATE)+(COUNTIF('Dvd Calendar'!$E$733:$AR$733,'Dvd Calendar'!$V$726)=0))&gt;0)=0,"",'Dvd Calendar'!$V$726*1000000000+ISNUMBER('Dvd Calendar'!$V$729)*100000000+('Dvd Calendar'!$V$731=SPECIAL_LBL)*10000000+(N('Dvd Calendar'!$V$725)&gt;0)*(N('Dvd Calendar'!$V$725)&lt;=VAL_SERIAL)*1000000+66*1000+18))</f>
        <v/>
      </c>
      <c r="EW77" s="39">
        <f>IF(N('Dvd Calendar'!$W$726)=0,"",IF(('Dvd Calendar'!$W$726&gt;=GRID_FROM)*('Dvd Calendar'!$W$726&lt;=GRID_TO)*((('Dvd Calendar'!$W$726&lt;=VAL_DATE)+(COUNTIF('Dvd Calendar'!$E$733:$AR$733,'Dvd Calendar'!$W$726)=0))&gt;0)=0,"",'Dvd Calendar'!$W$726*1000000000+ISNUMBER('Dvd Calendar'!$W$729)*100000000+('Dvd Calendar'!$W$731=SPECIAL_LBL)*10000000+(N('Dvd Calendar'!$W$725)&gt;0)*(N('Dvd Calendar'!$W$725)&lt;=VAL_SERIAL)*1000000+66*1000+19))</f>
        <v/>
      </c>
      <c r="EX77" s="39">
        <f>IF(N('Dvd Calendar'!$X$726)=0,"",IF(('Dvd Calendar'!$X$726&gt;=GRID_FROM)*('Dvd Calendar'!$X$726&lt;=GRID_TO)*((('Dvd Calendar'!$X$726&lt;=VAL_DATE)+(COUNTIF('Dvd Calendar'!$E$733:$AR$733,'Dvd Calendar'!$X$726)=0))&gt;0)=0,"",'Dvd Calendar'!$X$726*1000000000+ISNUMBER('Dvd Calendar'!$X$729)*100000000+('Dvd Calendar'!$X$731=SPECIAL_LBL)*10000000+(N('Dvd Calendar'!$X$725)&gt;0)*(N('Dvd Calendar'!$X$725)&lt;=VAL_SERIAL)*1000000+66*1000+20))</f>
        <v/>
      </c>
      <c r="EY77" s="39">
        <f>IF(N('Dvd Calendar'!$Y$726)=0,"",IF(('Dvd Calendar'!$Y$726&gt;=GRID_FROM)*('Dvd Calendar'!$Y$726&lt;=GRID_TO)*((('Dvd Calendar'!$Y$726&lt;=VAL_DATE)+(COUNTIF('Dvd Calendar'!$E$733:$AR$733,'Dvd Calendar'!$Y$726)=0))&gt;0)=0,"",'Dvd Calendar'!$Y$726*1000000000+ISNUMBER('Dvd Calendar'!$Y$729)*100000000+('Dvd Calendar'!$Y$731=SPECIAL_LBL)*10000000+(N('Dvd Calendar'!$Y$725)&gt;0)*(N('Dvd Calendar'!$Y$725)&lt;=VAL_SERIAL)*1000000+66*1000+21))</f>
        <v/>
      </c>
      <c r="EZ77" s="39">
        <f>IF(N('Dvd Calendar'!$Z$726)=0,"",IF(('Dvd Calendar'!$Z$726&gt;=GRID_FROM)*('Dvd Calendar'!$Z$726&lt;=GRID_TO)*((('Dvd Calendar'!$Z$726&lt;=VAL_DATE)+(COUNTIF('Dvd Calendar'!$E$733:$AR$733,'Dvd Calendar'!$Z$726)=0))&gt;0)=0,"",'Dvd Calendar'!$Z$726*1000000000+ISNUMBER('Dvd Calendar'!$Z$729)*100000000+('Dvd Calendar'!$Z$731=SPECIAL_LBL)*10000000+(N('Dvd Calendar'!$Z$725)&gt;0)*(N('Dvd Calendar'!$Z$725)&lt;=VAL_SERIAL)*1000000+66*1000+22))</f>
        <v/>
      </c>
      <c r="FA77" s="39">
        <f>IF(N('Dvd Calendar'!$AA$726)=0,"",IF(('Dvd Calendar'!$AA$726&gt;=GRID_FROM)*('Dvd Calendar'!$AA$726&lt;=GRID_TO)*((('Dvd Calendar'!$AA$726&lt;=VAL_DATE)+(COUNTIF('Dvd Calendar'!$E$733:$AR$733,'Dvd Calendar'!$AA$726)=0))&gt;0)=0,"",'Dvd Calendar'!$AA$726*1000000000+ISNUMBER('Dvd Calendar'!$AA$729)*100000000+('Dvd Calendar'!$AA$731=SPECIAL_LBL)*10000000+(N('Dvd Calendar'!$AA$725)&gt;0)*(N('Dvd Calendar'!$AA$725)&lt;=VAL_SERIAL)*1000000+66*1000+23))</f>
        <v/>
      </c>
      <c r="FB77" s="39">
        <f>IF(N('Dvd Calendar'!$AB$726)=0,"",IF(('Dvd Calendar'!$AB$726&gt;=GRID_FROM)*('Dvd Calendar'!$AB$726&lt;=GRID_TO)*((('Dvd Calendar'!$AB$726&lt;=VAL_DATE)+(COUNTIF('Dvd Calendar'!$E$733:$AR$733,'Dvd Calendar'!$AB$726)=0))&gt;0)=0,"",'Dvd Calendar'!$AB$726*1000000000+ISNUMBER('Dvd Calendar'!$AB$729)*100000000+('Dvd Calendar'!$AB$731=SPECIAL_LBL)*10000000+(N('Dvd Calendar'!$AB$725)&gt;0)*(N('Dvd Calendar'!$AB$725)&lt;=VAL_SERIAL)*1000000+66*1000+24))</f>
        <v/>
      </c>
      <c r="FC77" s="39">
        <f>IF(N('Dvd Calendar'!$AC$726)=0,"",IF(('Dvd Calendar'!$AC$726&gt;=GRID_FROM)*('Dvd Calendar'!$AC$726&lt;=GRID_TO)*((('Dvd Calendar'!$AC$726&lt;=VAL_DATE)+(COUNTIF('Dvd Calendar'!$E$733:$AR$733,'Dvd Calendar'!$AC$726)=0))&gt;0)=0,"",'Dvd Calendar'!$AC$726*1000000000+ISNUMBER('Dvd Calendar'!$AC$729)*100000000+('Dvd Calendar'!$AC$731=SPECIAL_LBL)*10000000+(N('Dvd Calendar'!$AC$725)&gt;0)*(N('Dvd Calendar'!$AC$725)&lt;=VAL_SERIAL)*1000000+66*1000+25))</f>
        <v/>
      </c>
      <c r="FD77" s="39">
        <f>IF(N('Dvd Calendar'!$AD$726)=0,"",IF(('Dvd Calendar'!$AD$726&gt;=GRID_FROM)*('Dvd Calendar'!$AD$726&lt;=GRID_TO)*((('Dvd Calendar'!$AD$726&lt;=VAL_DATE)+(COUNTIF('Dvd Calendar'!$E$733:$AR$733,'Dvd Calendar'!$AD$726)=0))&gt;0)=0,"",'Dvd Calendar'!$AD$726*1000000000+ISNUMBER('Dvd Calendar'!$AD$729)*100000000+('Dvd Calendar'!$AD$731=SPECIAL_LBL)*10000000+(N('Dvd Calendar'!$AD$725)&gt;0)*(N('Dvd Calendar'!$AD$725)&lt;=VAL_SERIAL)*1000000+66*1000+26))</f>
        <v/>
      </c>
      <c r="FE77" s="39">
        <f>IF(N('Dvd Calendar'!$AE$726)=0,"",IF(('Dvd Calendar'!$AE$726&gt;=GRID_FROM)*('Dvd Calendar'!$AE$726&lt;=GRID_TO)*((('Dvd Calendar'!$AE$726&lt;=VAL_DATE)+(COUNTIF('Dvd Calendar'!$E$733:$AR$733,'Dvd Calendar'!$AE$726)=0))&gt;0)=0,"",'Dvd Calendar'!$AE$726*1000000000+ISNUMBER('Dvd Calendar'!$AE$729)*100000000+('Dvd Calendar'!$AE$731=SPECIAL_LBL)*10000000+(N('Dvd Calendar'!$AE$725)&gt;0)*(N('Dvd Calendar'!$AE$725)&lt;=VAL_SERIAL)*1000000+66*1000+27))</f>
        <v/>
      </c>
      <c r="FF77" s="39">
        <f>IF(N('Dvd Calendar'!$AF$726)=0,"",IF(('Dvd Calendar'!$AF$726&gt;=GRID_FROM)*('Dvd Calendar'!$AF$726&lt;=GRID_TO)*((('Dvd Calendar'!$AF$726&lt;=VAL_DATE)+(COUNTIF('Dvd Calendar'!$E$733:$AR$733,'Dvd Calendar'!$AF$726)=0))&gt;0)=0,"",'Dvd Calendar'!$AF$726*1000000000+ISNUMBER('Dvd Calendar'!$AF$729)*100000000+('Dvd Calendar'!$AF$731=SPECIAL_LBL)*10000000+(N('Dvd Calendar'!$AF$725)&gt;0)*(N('Dvd Calendar'!$AF$725)&lt;=VAL_SERIAL)*1000000+66*1000+28))</f>
        <v/>
      </c>
      <c r="FG77" s="39">
        <f>IF(N('Dvd Calendar'!$AG$726)=0,"",IF(('Dvd Calendar'!$AG$726&gt;=GRID_FROM)*('Dvd Calendar'!$AG$726&lt;=GRID_TO)*((('Dvd Calendar'!$AG$726&lt;=VAL_DATE)+(COUNTIF('Dvd Calendar'!$E$733:$AR$733,'Dvd Calendar'!$AG$726)=0))&gt;0)=0,"",'Dvd Calendar'!$AG$726*1000000000+ISNUMBER('Dvd Calendar'!$AG$729)*100000000+('Dvd Calendar'!$AG$731=SPECIAL_LBL)*10000000+(N('Dvd Calendar'!$AG$725)&gt;0)*(N('Dvd Calendar'!$AG$725)&lt;=VAL_SERIAL)*1000000+66*1000+29))</f>
        <v/>
      </c>
      <c r="FH77" s="39">
        <f>IF(N('Dvd Calendar'!$AH$726)=0,"",IF(('Dvd Calendar'!$AH$726&gt;=GRID_FROM)*('Dvd Calendar'!$AH$726&lt;=GRID_TO)*((('Dvd Calendar'!$AH$726&lt;=VAL_DATE)+(COUNTIF('Dvd Calendar'!$E$733:$AR$733,'Dvd Calendar'!$AH$726)=0))&gt;0)=0,"",'Dvd Calendar'!$AH$726*1000000000+ISNUMBER('Dvd Calendar'!$AH$729)*100000000+('Dvd Calendar'!$AH$731=SPECIAL_LBL)*10000000+(N('Dvd Calendar'!$AH$725)&gt;0)*(N('Dvd Calendar'!$AH$725)&lt;=VAL_SERIAL)*1000000+66*1000+30))</f>
        <v/>
      </c>
      <c r="FI77" s="39">
        <f>IF(N('Dvd Calendar'!$AI$726)=0,"",IF(('Dvd Calendar'!$AI$726&gt;=GRID_FROM)*('Dvd Calendar'!$AI$726&lt;=GRID_TO)*((('Dvd Calendar'!$AI$726&lt;=VAL_DATE)+(COUNTIF('Dvd Calendar'!$E$733:$AR$733,'Dvd Calendar'!$AI$726)=0))&gt;0)=0,"",'Dvd Calendar'!$AI$726*1000000000+ISNUMBER('Dvd Calendar'!$AI$729)*100000000+('Dvd Calendar'!$AI$731=SPECIAL_LBL)*10000000+(N('Dvd Calendar'!$AI$725)&gt;0)*(N('Dvd Calendar'!$AI$725)&lt;=VAL_SERIAL)*1000000+66*1000+31))</f>
        <v/>
      </c>
      <c r="FJ77" s="39">
        <f>IF(N('Dvd Calendar'!$AJ$726)=0,"",IF(('Dvd Calendar'!$AJ$726&gt;=GRID_FROM)*('Dvd Calendar'!$AJ$726&lt;=GRID_TO)*((('Dvd Calendar'!$AJ$726&lt;=VAL_DATE)+(COUNTIF('Dvd Calendar'!$E$733:$AR$733,'Dvd Calendar'!$AJ$726)=0))&gt;0)=0,"",'Dvd Calendar'!$AJ$726*1000000000+ISNUMBER('Dvd Calendar'!$AJ$729)*100000000+('Dvd Calendar'!$AJ$731=SPECIAL_LBL)*10000000+(N('Dvd Calendar'!$AJ$725)&gt;0)*(N('Dvd Calendar'!$AJ$725)&lt;=VAL_SERIAL)*1000000+66*1000+32))</f>
        <v/>
      </c>
      <c r="FK77" s="39">
        <f>IF(N('Dvd Calendar'!$AK$726)=0,"",IF(('Dvd Calendar'!$AK$726&gt;=GRID_FROM)*('Dvd Calendar'!$AK$726&lt;=GRID_TO)*((('Dvd Calendar'!$AK$726&lt;=VAL_DATE)+(COUNTIF('Dvd Calendar'!$E$733:$AR$733,'Dvd Calendar'!$AK$726)=0))&gt;0)=0,"",'Dvd Calendar'!$AK$726*1000000000+ISNUMBER('Dvd Calendar'!$AK$729)*100000000+('Dvd Calendar'!$AK$731=SPECIAL_LBL)*10000000+(N('Dvd Calendar'!$AK$725)&gt;0)*(N('Dvd Calendar'!$AK$725)&lt;=VAL_SERIAL)*1000000+66*1000+33))</f>
        <v/>
      </c>
      <c r="FL77" s="39">
        <f>IF(N('Dvd Calendar'!$AL$726)=0,"",IF(('Dvd Calendar'!$AL$726&gt;=GRID_FROM)*('Dvd Calendar'!$AL$726&lt;=GRID_TO)*((('Dvd Calendar'!$AL$726&lt;=VAL_DATE)+(COUNTIF('Dvd Calendar'!$E$733:$AR$733,'Dvd Calendar'!$AL$726)=0))&gt;0)=0,"",'Dvd Calendar'!$AL$726*1000000000+ISNUMBER('Dvd Calendar'!$AL$729)*100000000+('Dvd Calendar'!$AL$731=SPECIAL_LBL)*10000000+(N('Dvd Calendar'!$AL$725)&gt;0)*(N('Dvd Calendar'!$AL$725)&lt;=VAL_SERIAL)*1000000+66*1000+34))</f>
        <v/>
      </c>
      <c r="FM77" s="39">
        <f>IF(N('Dvd Calendar'!$AM$726)=0,"",IF(('Dvd Calendar'!$AM$726&gt;=GRID_FROM)*('Dvd Calendar'!$AM$726&lt;=GRID_TO)*((('Dvd Calendar'!$AM$726&lt;=VAL_DATE)+(COUNTIF('Dvd Calendar'!$E$733:$AR$733,'Dvd Calendar'!$AM$726)=0))&gt;0)=0,"",'Dvd Calendar'!$AM$726*1000000000+ISNUMBER('Dvd Calendar'!$AM$729)*100000000+('Dvd Calendar'!$AM$731=SPECIAL_LBL)*10000000+(N('Dvd Calendar'!$AM$725)&gt;0)*(N('Dvd Calendar'!$AM$725)&lt;=VAL_SERIAL)*1000000+66*1000+35))</f>
        <v/>
      </c>
      <c r="FN77" s="39">
        <f>IF(N('Dvd Calendar'!$AN$726)=0,"",IF(('Dvd Calendar'!$AN$726&gt;=GRID_FROM)*('Dvd Calendar'!$AN$726&lt;=GRID_TO)*((('Dvd Calendar'!$AN$726&lt;=VAL_DATE)+(COUNTIF('Dvd Calendar'!$E$733:$AR$733,'Dvd Calendar'!$AN$726)=0))&gt;0)=0,"",'Dvd Calendar'!$AN$726*1000000000+ISNUMBER('Dvd Calendar'!$AN$729)*100000000+('Dvd Calendar'!$AN$731=SPECIAL_LBL)*10000000+(N('Dvd Calendar'!$AN$725)&gt;0)*(N('Dvd Calendar'!$AN$725)&lt;=VAL_SERIAL)*1000000+66*1000+36))</f>
        <v/>
      </c>
      <c r="FO77" s="39">
        <f>IF(N('Dvd Calendar'!$AO$726)=0,"",IF(('Dvd Calendar'!$AO$726&gt;=GRID_FROM)*('Dvd Calendar'!$AO$726&lt;=GRID_TO)*((('Dvd Calendar'!$AO$726&lt;=VAL_DATE)+(COUNTIF('Dvd Calendar'!$E$733:$AR$733,'Dvd Calendar'!$AO$726)=0))&gt;0)=0,"",'Dvd Calendar'!$AO$726*1000000000+ISNUMBER('Dvd Calendar'!$AO$729)*100000000+('Dvd Calendar'!$AO$731=SPECIAL_LBL)*10000000+(N('Dvd Calendar'!$AO$725)&gt;0)*(N('Dvd Calendar'!$AO$725)&lt;=VAL_SERIAL)*1000000+66*1000+37))</f>
        <v/>
      </c>
      <c r="FP77" s="39">
        <f>IF(N('Dvd Calendar'!$AP$726)=0,"",IF(('Dvd Calendar'!$AP$726&gt;=GRID_FROM)*('Dvd Calendar'!$AP$726&lt;=GRID_TO)*((('Dvd Calendar'!$AP$726&lt;=VAL_DATE)+(COUNTIF('Dvd Calendar'!$E$733:$AR$733,'Dvd Calendar'!$AP$726)=0))&gt;0)=0,"",'Dvd Calendar'!$AP$726*1000000000+ISNUMBER('Dvd Calendar'!$AP$729)*100000000+('Dvd Calendar'!$AP$731=SPECIAL_LBL)*10000000+(N('Dvd Calendar'!$AP$725)&gt;0)*(N('Dvd Calendar'!$AP$725)&lt;=VAL_SERIAL)*1000000+66*1000+38))</f>
        <v/>
      </c>
      <c r="FQ77" s="39">
        <f>IF(N('Dvd Calendar'!$AQ$726)=0,"",IF(('Dvd Calendar'!$AQ$726&gt;=GRID_FROM)*('Dvd Calendar'!$AQ$726&lt;=GRID_TO)*((('Dvd Calendar'!$AQ$726&lt;=VAL_DATE)+(COUNTIF('Dvd Calendar'!$E$733:$AR$733,'Dvd Calendar'!$AQ$726)=0))&gt;0)=0,"",'Dvd Calendar'!$AQ$726*1000000000+ISNUMBER('Dvd Calendar'!$AQ$729)*100000000+('Dvd Calendar'!$AQ$731=SPECIAL_LBL)*10000000+(N('Dvd Calendar'!$AQ$725)&gt;0)*(N('Dvd Calendar'!$AQ$725)&lt;=VAL_SERIAL)*1000000+66*1000+39))</f>
        <v/>
      </c>
      <c r="FR77" s="39">
        <f>IF(N('Dvd Calendar'!$AR$726)=0,"",IF(('Dvd Calendar'!$AR$726&gt;=GRID_FROM)*('Dvd Calendar'!$AR$726&lt;=GRID_TO)*((('Dvd Calendar'!$AR$726&lt;=VAL_DATE)+(COUNTIF('Dvd Calendar'!$E$733:$AR$733,'Dvd Calendar'!$AR$726)=0))&gt;0)=0,"",'Dvd Calendar'!$AR$726*1000000000+ISNUMBER('Dvd Calendar'!$AR$729)*100000000+('Dvd Calendar'!$AR$731=SPECIAL_LBL)*10000000+(N('Dvd Calendar'!$AR$725)&gt;0)*(N('Dvd Calendar'!$AR$725)&lt;=VAL_SERIAL)*1000000+66*1000+40))</f>
        <v/>
      </c>
      <c r="FS77" s="39">
        <f>IF(N('Dvd Calendar'!$E$733)=0,"",IF(('Dvd Calendar'!$E$733&gt;=GRID_FROM)*('Dvd Calendar'!$E$733&lt;=GRID_TO)*('Dvd Calendar'!$E$733&gt;VAL_DATE)=0,"",'Dvd Calendar'!$E$733*1000000000+ISNUMBER('Dvd Calendar'!$E$734)*100000000+0*10000000+(N('Dvd Calendar'!$E$732)&gt;0)*(N('Dvd Calendar'!$E$732)&lt;=VAL_SERIAL)*1000000+66*1000+41))</f>
        <v/>
      </c>
      <c r="FT77" s="39">
        <f>IF(N('Dvd Calendar'!$F$733)=0,"",IF(('Dvd Calendar'!$F$733&gt;=GRID_FROM)*('Dvd Calendar'!$F$733&lt;=GRID_TO)*('Dvd Calendar'!$F$733&gt;VAL_DATE)=0,"",'Dvd Calendar'!$F$733*1000000000+ISNUMBER('Dvd Calendar'!$F$734)*100000000+0*10000000+(N('Dvd Calendar'!$F$732)&gt;0)*(N('Dvd Calendar'!$F$732)&lt;=VAL_SERIAL)*1000000+66*1000+42))</f>
        <v/>
      </c>
      <c r="FU77" s="39">
        <f>IF(N('Dvd Calendar'!$G$733)=0,"",IF(('Dvd Calendar'!$G$733&gt;=GRID_FROM)*('Dvd Calendar'!$G$733&lt;=GRID_TO)*('Dvd Calendar'!$G$733&gt;VAL_DATE)=0,"",'Dvd Calendar'!$G$733*1000000000+ISNUMBER('Dvd Calendar'!$G$734)*100000000+0*10000000+(N('Dvd Calendar'!$G$732)&gt;0)*(N('Dvd Calendar'!$G$732)&lt;=VAL_SERIAL)*1000000+66*1000+43))</f>
        <v/>
      </c>
      <c r="FV77" s="39">
        <f>IF(N('Dvd Calendar'!$H$733)=0,"",IF(('Dvd Calendar'!$H$733&gt;=GRID_FROM)*('Dvd Calendar'!$H$733&lt;=GRID_TO)*('Dvd Calendar'!$H$733&gt;VAL_DATE)=0,"",'Dvd Calendar'!$H$733*1000000000+ISNUMBER('Dvd Calendar'!$H$734)*100000000+0*10000000+(N('Dvd Calendar'!$H$732)&gt;0)*(N('Dvd Calendar'!$H$732)&lt;=VAL_SERIAL)*1000000+66*1000+44))</f>
        <v/>
      </c>
      <c r="FW77" s="39">
        <f>IF(N('Dvd Calendar'!$I$733)=0,"",IF(('Dvd Calendar'!$I$733&gt;=GRID_FROM)*('Dvd Calendar'!$I$733&lt;=GRID_TO)*('Dvd Calendar'!$I$733&gt;VAL_DATE)=0,"",'Dvd Calendar'!$I$733*1000000000+ISNUMBER('Dvd Calendar'!$I$734)*100000000+0*10000000+(N('Dvd Calendar'!$I$732)&gt;0)*(N('Dvd Calendar'!$I$732)&lt;=VAL_SERIAL)*1000000+66*1000+45))</f>
        <v/>
      </c>
      <c r="FX77" s="39">
        <f>IF(N('Dvd Calendar'!$J$733)=0,"",IF(('Dvd Calendar'!$J$733&gt;=GRID_FROM)*('Dvd Calendar'!$J$733&lt;=GRID_TO)*('Dvd Calendar'!$J$733&gt;VAL_DATE)=0,"",'Dvd Calendar'!$J$733*1000000000+ISNUMBER('Dvd Calendar'!$J$734)*100000000+0*10000000+(N('Dvd Calendar'!$J$732)&gt;0)*(N('Dvd Calendar'!$J$732)&lt;=VAL_SERIAL)*1000000+66*1000+46))</f>
        <v/>
      </c>
      <c r="FY77" s="39">
        <f>IF(N('Dvd Calendar'!$K$733)=0,"",IF(('Dvd Calendar'!$K$733&gt;=GRID_FROM)*('Dvd Calendar'!$K$733&lt;=GRID_TO)*('Dvd Calendar'!$K$733&gt;VAL_DATE)=0,"",'Dvd Calendar'!$K$733*1000000000+ISNUMBER('Dvd Calendar'!$K$734)*100000000+0*10000000+(N('Dvd Calendar'!$K$732)&gt;0)*(N('Dvd Calendar'!$K$732)&lt;=VAL_SERIAL)*1000000+66*1000+47))</f>
        <v/>
      </c>
      <c r="FZ77" s="39">
        <f>IF(N('Dvd Calendar'!$L$733)=0,"",IF(('Dvd Calendar'!$L$733&gt;=GRID_FROM)*('Dvd Calendar'!$L$733&lt;=GRID_TO)*('Dvd Calendar'!$L$733&gt;VAL_DATE)=0,"",'Dvd Calendar'!$L$733*1000000000+ISNUMBER('Dvd Calendar'!$L$734)*100000000+0*10000000+(N('Dvd Calendar'!$L$732)&gt;0)*(N('Dvd Calendar'!$L$732)&lt;=VAL_SERIAL)*1000000+66*1000+48))</f>
        <v/>
      </c>
      <c r="GA77" s="39">
        <f>IF(N('Dvd Calendar'!$M$733)=0,"",IF(('Dvd Calendar'!$M$733&gt;=GRID_FROM)*('Dvd Calendar'!$M$733&lt;=GRID_TO)*('Dvd Calendar'!$M$733&gt;VAL_DATE)=0,"",'Dvd Calendar'!$M$733*1000000000+ISNUMBER('Dvd Calendar'!$M$734)*100000000+0*10000000+(N('Dvd Calendar'!$M$732)&gt;0)*(N('Dvd Calendar'!$M$732)&lt;=VAL_SERIAL)*1000000+66*1000+49))</f>
        <v/>
      </c>
      <c r="GB77" s="39">
        <f>IF(N('Dvd Calendar'!$N$733)=0,"",IF(('Dvd Calendar'!$N$733&gt;=GRID_FROM)*('Dvd Calendar'!$N$733&lt;=GRID_TO)*('Dvd Calendar'!$N$733&gt;VAL_DATE)=0,"",'Dvd Calendar'!$N$733*1000000000+ISNUMBER('Dvd Calendar'!$N$734)*100000000+0*10000000+(N('Dvd Calendar'!$N$732)&gt;0)*(N('Dvd Calendar'!$N$732)&lt;=VAL_SERIAL)*1000000+66*1000+50))</f>
        <v/>
      </c>
      <c r="GC77" s="39">
        <f>IF(N('Dvd Calendar'!$O$733)=0,"",IF(('Dvd Calendar'!$O$733&gt;=GRID_FROM)*('Dvd Calendar'!$O$733&lt;=GRID_TO)*('Dvd Calendar'!$O$733&gt;VAL_DATE)=0,"",'Dvd Calendar'!$O$733*1000000000+ISNUMBER('Dvd Calendar'!$O$734)*100000000+0*10000000+(N('Dvd Calendar'!$O$732)&gt;0)*(N('Dvd Calendar'!$O$732)&lt;=VAL_SERIAL)*1000000+66*1000+51))</f>
        <v/>
      </c>
      <c r="GD77" s="39">
        <f>IF(N('Dvd Calendar'!$P$733)=0,"",IF(('Dvd Calendar'!$P$733&gt;=GRID_FROM)*('Dvd Calendar'!$P$733&lt;=GRID_TO)*('Dvd Calendar'!$P$733&gt;VAL_DATE)=0,"",'Dvd Calendar'!$P$733*1000000000+ISNUMBER('Dvd Calendar'!$P$734)*100000000+0*10000000+(N('Dvd Calendar'!$P$732)&gt;0)*(N('Dvd Calendar'!$P$732)&lt;=VAL_SERIAL)*1000000+66*1000+52))</f>
        <v/>
      </c>
      <c r="GE77" s="39">
        <f>IF(N('Dvd Calendar'!$Q$733)=0,"",IF(('Dvd Calendar'!$Q$733&gt;=GRID_FROM)*('Dvd Calendar'!$Q$733&lt;=GRID_TO)*('Dvd Calendar'!$Q$733&gt;VAL_DATE)=0,"",'Dvd Calendar'!$Q$733*1000000000+ISNUMBER('Dvd Calendar'!$Q$734)*100000000+0*10000000+(N('Dvd Calendar'!$Q$732)&gt;0)*(N('Dvd Calendar'!$Q$732)&lt;=VAL_SERIAL)*1000000+66*1000+53))</f>
        <v/>
      </c>
      <c r="GF77" s="39">
        <f>IF(N('Dvd Calendar'!$R$733)=0,"",IF(('Dvd Calendar'!$R$733&gt;=GRID_FROM)*('Dvd Calendar'!$R$733&lt;=GRID_TO)*('Dvd Calendar'!$R$733&gt;VAL_DATE)=0,"",'Dvd Calendar'!$R$733*1000000000+ISNUMBER('Dvd Calendar'!$R$734)*100000000+0*10000000+(N('Dvd Calendar'!$R$732)&gt;0)*(N('Dvd Calendar'!$R$732)&lt;=VAL_SERIAL)*1000000+66*1000+54))</f>
        <v/>
      </c>
      <c r="GG77" s="39">
        <f>IF(N('Dvd Calendar'!$S$733)=0,"",IF(('Dvd Calendar'!$S$733&gt;=GRID_FROM)*('Dvd Calendar'!$S$733&lt;=GRID_TO)*('Dvd Calendar'!$S$733&gt;VAL_DATE)=0,"",'Dvd Calendar'!$S$733*1000000000+ISNUMBER('Dvd Calendar'!$S$734)*100000000+0*10000000+(N('Dvd Calendar'!$S$732)&gt;0)*(N('Dvd Calendar'!$S$732)&lt;=VAL_SERIAL)*1000000+66*1000+55))</f>
        <v/>
      </c>
      <c r="GH77" s="39">
        <f>IF(N('Dvd Calendar'!$T$733)=0,"",IF(('Dvd Calendar'!$T$733&gt;=GRID_FROM)*('Dvd Calendar'!$T$733&lt;=GRID_TO)*('Dvd Calendar'!$T$733&gt;VAL_DATE)=0,"",'Dvd Calendar'!$T$733*1000000000+ISNUMBER('Dvd Calendar'!$T$734)*100000000+0*10000000+(N('Dvd Calendar'!$T$732)&gt;0)*(N('Dvd Calendar'!$T$732)&lt;=VAL_SERIAL)*1000000+66*1000+56))</f>
        <v/>
      </c>
      <c r="GI77" s="39">
        <f>IF(N('Dvd Calendar'!$U$733)=0,"",IF(('Dvd Calendar'!$U$733&gt;=GRID_FROM)*('Dvd Calendar'!$U$733&lt;=GRID_TO)*('Dvd Calendar'!$U$733&gt;VAL_DATE)=0,"",'Dvd Calendar'!$U$733*1000000000+ISNUMBER('Dvd Calendar'!$U$734)*100000000+0*10000000+(N('Dvd Calendar'!$U$732)&gt;0)*(N('Dvd Calendar'!$U$732)&lt;=VAL_SERIAL)*1000000+66*1000+57))</f>
        <v/>
      </c>
      <c r="GJ77" s="39">
        <f>IF(N('Dvd Calendar'!$V$733)=0,"",IF(('Dvd Calendar'!$V$733&gt;=GRID_FROM)*('Dvd Calendar'!$V$733&lt;=GRID_TO)*('Dvd Calendar'!$V$733&gt;VAL_DATE)=0,"",'Dvd Calendar'!$V$733*1000000000+ISNUMBER('Dvd Calendar'!$V$734)*100000000+0*10000000+(N('Dvd Calendar'!$V$732)&gt;0)*(N('Dvd Calendar'!$V$732)&lt;=VAL_SERIAL)*1000000+66*1000+58))</f>
        <v/>
      </c>
      <c r="GK77" s="39">
        <f>IF(N('Dvd Calendar'!$W$733)=0,"",IF(('Dvd Calendar'!$W$733&gt;=GRID_FROM)*('Dvd Calendar'!$W$733&lt;=GRID_TO)*('Dvd Calendar'!$W$733&gt;VAL_DATE)=0,"",'Dvd Calendar'!$W$733*1000000000+ISNUMBER('Dvd Calendar'!$W$734)*100000000+0*10000000+(N('Dvd Calendar'!$W$732)&gt;0)*(N('Dvd Calendar'!$W$732)&lt;=VAL_SERIAL)*1000000+66*1000+59))</f>
        <v/>
      </c>
      <c r="GL77" s="39">
        <f>IF(N('Dvd Calendar'!$X$733)=0,"",IF(('Dvd Calendar'!$X$733&gt;=GRID_FROM)*('Dvd Calendar'!$X$733&lt;=GRID_TO)*('Dvd Calendar'!$X$733&gt;VAL_DATE)=0,"",'Dvd Calendar'!$X$733*1000000000+ISNUMBER('Dvd Calendar'!$X$734)*100000000+0*10000000+(N('Dvd Calendar'!$X$732)&gt;0)*(N('Dvd Calendar'!$X$732)&lt;=VAL_SERIAL)*1000000+66*1000+60))</f>
        <v/>
      </c>
      <c r="GM77" s="39">
        <f>IF(N('Dvd Calendar'!$Y$733)=0,"",IF(('Dvd Calendar'!$Y$733&gt;=GRID_FROM)*('Dvd Calendar'!$Y$733&lt;=GRID_TO)*('Dvd Calendar'!$Y$733&gt;VAL_DATE)=0,"",'Dvd Calendar'!$Y$733*1000000000+ISNUMBER('Dvd Calendar'!$Y$734)*100000000+0*10000000+(N('Dvd Calendar'!$Y$732)&gt;0)*(N('Dvd Calendar'!$Y$732)&lt;=VAL_SERIAL)*1000000+66*1000+61))</f>
        <v/>
      </c>
      <c r="GN77" s="39">
        <f>IF(N('Dvd Calendar'!$Z$733)=0,"",IF(('Dvd Calendar'!$Z$733&gt;=GRID_FROM)*('Dvd Calendar'!$Z$733&lt;=GRID_TO)*('Dvd Calendar'!$Z$733&gt;VAL_DATE)=0,"",'Dvd Calendar'!$Z$733*1000000000+ISNUMBER('Dvd Calendar'!$Z$734)*100000000+0*10000000+(N('Dvd Calendar'!$Z$732)&gt;0)*(N('Dvd Calendar'!$Z$732)&lt;=VAL_SERIAL)*1000000+66*1000+62))</f>
        <v/>
      </c>
      <c r="GO77" s="39">
        <f>IF(N('Dvd Calendar'!$AA$733)=0,"",IF(('Dvd Calendar'!$AA$733&gt;=GRID_FROM)*('Dvd Calendar'!$AA$733&lt;=GRID_TO)*('Dvd Calendar'!$AA$733&gt;VAL_DATE)=0,"",'Dvd Calendar'!$AA$733*1000000000+ISNUMBER('Dvd Calendar'!$AA$734)*100000000+0*10000000+(N('Dvd Calendar'!$AA$732)&gt;0)*(N('Dvd Calendar'!$AA$732)&lt;=VAL_SERIAL)*1000000+66*1000+63))</f>
        <v/>
      </c>
      <c r="GP77" s="39">
        <f>IF(N('Dvd Calendar'!$AB$733)=0,"",IF(('Dvd Calendar'!$AB$733&gt;=GRID_FROM)*('Dvd Calendar'!$AB$733&lt;=GRID_TO)*('Dvd Calendar'!$AB$733&gt;VAL_DATE)=0,"",'Dvd Calendar'!$AB$733*1000000000+ISNUMBER('Dvd Calendar'!$AB$734)*100000000+0*10000000+(N('Dvd Calendar'!$AB$732)&gt;0)*(N('Dvd Calendar'!$AB$732)&lt;=VAL_SERIAL)*1000000+66*1000+64))</f>
        <v/>
      </c>
      <c r="GQ77" s="39">
        <f>IF(N('Dvd Calendar'!$AC$733)=0,"",IF(('Dvd Calendar'!$AC$733&gt;=GRID_FROM)*('Dvd Calendar'!$AC$733&lt;=GRID_TO)*('Dvd Calendar'!$AC$733&gt;VAL_DATE)=0,"",'Dvd Calendar'!$AC$733*1000000000+ISNUMBER('Dvd Calendar'!$AC$734)*100000000+0*10000000+(N('Dvd Calendar'!$AC$732)&gt;0)*(N('Dvd Calendar'!$AC$732)&lt;=VAL_SERIAL)*1000000+66*1000+65))</f>
        <v/>
      </c>
    </row>
    <row r="78">
      <c r="B78" s="2">
        <f>IF(HSI!$C$73="","",HSI!$C$73)</f>
        <v/>
      </c>
      <c r="C78" s="110">
        <f>IF(EE78="","",IF(ISNUMBER('Dvd Calendar'!$E$740)=FALSE,"",IF((('Dvd Calendar'!$E$742=TYPE1)*(TYPE1&lt;&gt;"")+('Dvd Calendar'!$E$742=TYPE2)*(TYPE2&lt;&gt;"")+('Dvd Calendar'!$E$742=TYPE3)*(TYPE3&lt;&gt;"")+('Dvd Calendar'!$E$742=TYPE4)*(TYPE4&lt;&gt;"")+('Dvd Calendar'!$E$742=SPECIAL_LBL)*(INC_SPECIALS="Y"))=0,"",'Dvd Calendar'!$E$740)))</f>
        <v/>
      </c>
      <c r="D78" s="110">
        <f>IF(EF78="","",IF(ISNUMBER('Dvd Calendar'!$F$740)=FALSE,"",IF((('Dvd Calendar'!$F$742=TYPE1)*(TYPE1&lt;&gt;"")+('Dvd Calendar'!$F$742=TYPE2)*(TYPE2&lt;&gt;"")+('Dvd Calendar'!$F$742=TYPE3)*(TYPE3&lt;&gt;"")+('Dvd Calendar'!$F$742=TYPE4)*(TYPE4&lt;&gt;"")+('Dvd Calendar'!$F$742=SPECIAL_LBL)*(INC_SPECIALS="Y"))=0,"",'Dvd Calendar'!$F$740)))</f>
        <v/>
      </c>
      <c r="E78" s="110">
        <f>IF(EG78="","",IF(ISNUMBER('Dvd Calendar'!$G$740)=FALSE,"",IF((('Dvd Calendar'!$G$742=TYPE1)*(TYPE1&lt;&gt;"")+('Dvd Calendar'!$G$742=TYPE2)*(TYPE2&lt;&gt;"")+('Dvd Calendar'!$G$742=TYPE3)*(TYPE3&lt;&gt;"")+('Dvd Calendar'!$G$742=TYPE4)*(TYPE4&lt;&gt;"")+('Dvd Calendar'!$G$742=SPECIAL_LBL)*(INC_SPECIALS="Y"))=0,"",'Dvd Calendar'!$G$740)))</f>
        <v/>
      </c>
      <c r="F78" s="110">
        <f>IF(EH78="","",IF(ISNUMBER('Dvd Calendar'!$H$740)=FALSE,"",IF((('Dvd Calendar'!$H$742=TYPE1)*(TYPE1&lt;&gt;"")+('Dvd Calendar'!$H$742=TYPE2)*(TYPE2&lt;&gt;"")+('Dvd Calendar'!$H$742=TYPE3)*(TYPE3&lt;&gt;"")+('Dvd Calendar'!$H$742=TYPE4)*(TYPE4&lt;&gt;"")+('Dvd Calendar'!$H$742=SPECIAL_LBL)*(INC_SPECIALS="Y"))=0,"",'Dvd Calendar'!$H$740)))</f>
        <v/>
      </c>
      <c r="G78" s="110">
        <f>IF(EI78="","",IF(ISNUMBER('Dvd Calendar'!$I$740)=FALSE,"",IF((('Dvd Calendar'!$I$742=TYPE1)*(TYPE1&lt;&gt;"")+('Dvd Calendar'!$I$742=TYPE2)*(TYPE2&lt;&gt;"")+('Dvd Calendar'!$I$742=TYPE3)*(TYPE3&lt;&gt;"")+('Dvd Calendar'!$I$742=TYPE4)*(TYPE4&lt;&gt;"")+('Dvd Calendar'!$I$742=SPECIAL_LBL)*(INC_SPECIALS="Y"))=0,"",'Dvd Calendar'!$I$740)))</f>
        <v/>
      </c>
      <c r="H78" s="110">
        <f>IF(EJ78="","",IF(ISNUMBER('Dvd Calendar'!$J$740)=FALSE,"",IF((('Dvd Calendar'!$J$742=TYPE1)*(TYPE1&lt;&gt;"")+('Dvd Calendar'!$J$742=TYPE2)*(TYPE2&lt;&gt;"")+('Dvd Calendar'!$J$742=TYPE3)*(TYPE3&lt;&gt;"")+('Dvd Calendar'!$J$742=TYPE4)*(TYPE4&lt;&gt;"")+('Dvd Calendar'!$J$742=SPECIAL_LBL)*(INC_SPECIALS="Y"))=0,"",'Dvd Calendar'!$J$740)))</f>
        <v/>
      </c>
      <c r="I78" s="110">
        <f>IF(EK78="","",IF(ISNUMBER('Dvd Calendar'!$K$740)=FALSE,"",IF((('Dvd Calendar'!$K$742=TYPE1)*(TYPE1&lt;&gt;"")+('Dvd Calendar'!$K$742=TYPE2)*(TYPE2&lt;&gt;"")+('Dvd Calendar'!$K$742=TYPE3)*(TYPE3&lt;&gt;"")+('Dvd Calendar'!$K$742=TYPE4)*(TYPE4&lt;&gt;"")+('Dvd Calendar'!$K$742=SPECIAL_LBL)*(INC_SPECIALS="Y"))=0,"",'Dvd Calendar'!$K$740)))</f>
        <v/>
      </c>
      <c r="J78" s="110">
        <f>IF(EL78="","",IF(ISNUMBER('Dvd Calendar'!$L$740)=FALSE,"",IF((('Dvd Calendar'!$L$742=TYPE1)*(TYPE1&lt;&gt;"")+('Dvd Calendar'!$L$742=TYPE2)*(TYPE2&lt;&gt;"")+('Dvd Calendar'!$L$742=TYPE3)*(TYPE3&lt;&gt;"")+('Dvd Calendar'!$L$742=TYPE4)*(TYPE4&lt;&gt;"")+('Dvd Calendar'!$L$742=SPECIAL_LBL)*(INC_SPECIALS="Y"))=0,"",'Dvd Calendar'!$L$740)))</f>
        <v/>
      </c>
      <c r="K78" s="110">
        <f>IF(EM78="","",IF(ISNUMBER('Dvd Calendar'!$M$740)=FALSE,"",IF((('Dvd Calendar'!$M$742=TYPE1)*(TYPE1&lt;&gt;"")+('Dvd Calendar'!$M$742=TYPE2)*(TYPE2&lt;&gt;"")+('Dvd Calendar'!$M$742=TYPE3)*(TYPE3&lt;&gt;"")+('Dvd Calendar'!$M$742=TYPE4)*(TYPE4&lt;&gt;"")+('Dvd Calendar'!$M$742=SPECIAL_LBL)*(INC_SPECIALS="Y"))=0,"",'Dvd Calendar'!$M$740)))</f>
        <v/>
      </c>
      <c r="L78" s="110">
        <f>IF(EN78="","",IF(ISNUMBER('Dvd Calendar'!$N$740)=FALSE,"",IF((('Dvd Calendar'!$N$742=TYPE1)*(TYPE1&lt;&gt;"")+('Dvd Calendar'!$N$742=TYPE2)*(TYPE2&lt;&gt;"")+('Dvd Calendar'!$N$742=TYPE3)*(TYPE3&lt;&gt;"")+('Dvd Calendar'!$N$742=TYPE4)*(TYPE4&lt;&gt;"")+('Dvd Calendar'!$N$742=SPECIAL_LBL)*(INC_SPECIALS="Y"))=0,"",'Dvd Calendar'!$N$740)))</f>
        <v/>
      </c>
      <c r="M78" s="110">
        <f>IF(EO78="","",IF(ISNUMBER('Dvd Calendar'!$O$740)=FALSE,"",IF((('Dvd Calendar'!$O$742=TYPE1)*(TYPE1&lt;&gt;"")+('Dvd Calendar'!$O$742=TYPE2)*(TYPE2&lt;&gt;"")+('Dvd Calendar'!$O$742=TYPE3)*(TYPE3&lt;&gt;"")+('Dvd Calendar'!$O$742=TYPE4)*(TYPE4&lt;&gt;"")+('Dvd Calendar'!$O$742=SPECIAL_LBL)*(INC_SPECIALS="Y"))=0,"",'Dvd Calendar'!$O$740)))</f>
        <v/>
      </c>
      <c r="N78" s="110">
        <f>IF(EP78="","",IF(ISNUMBER('Dvd Calendar'!$P$740)=FALSE,"",IF((('Dvd Calendar'!$P$742=TYPE1)*(TYPE1&lt;&gt;"")+('Dvd Calendar'!$P$742=TYPE2)*(TYPE2&lt;&gt;"")+('Dvd Calendar'!$P$742=TYPE3)*(TYPE3&lt;&gt;"")+('Dvd Calendar'!$P$742=TYPE4)*(TYPE4&lt;&gt;"")+('Dvd Calendar'!$P$742=SPECIAL_LBL)*(INC_SPECIALS="Y"))=0,"",'Dvd Calendar'!$P$740)))</f>
        <v/>
      </c>
      <c r="O78" s="110">
        <f>IF(EQ78="","",IF(ISNUMBER('Dvd Calendar'!$Q$740)=FALSE,"",IF((('Dvd Calendar'!$Q$742=TYPE1)*(TYPE1&lt;&gt;"")+('Dvd Calendar'!$Q$742=TYPE2)*(TYPE2&lt;&gt;"")+('Dvd Calendar'!$Q$742=TYPE3)*(TYPE3&lt;&gt;"")+('Dvd Calendar'!$Q$742=TYPE4)*(TYPE4&lt;&gt;"")+('Dvd Calendar'!$Q$742=SPECIAL_LBL)*(INC_SPECIALS="Y"))=0,"",'Dvd Calendar'!$Q$740)))</f>
        <v/>
      </c>
      <c r="P78" s="110">
        <f>IF(ER78="","",IF(ISNUMBER('Dvd Calendar'!$R$740)=FALSE,"",IF((('Dvd Calendar'!$R$742=TYPE1)*(TYPE1&lt;&gt;"")+('Dvd Calendar'!$R$742=TYPE2)*(TYPE2&lt;&gt;"")+('Dvd Calendar'!$R$742=TYPE3)*(TYPE3&lt;&gt;"")+('Dvd Calendar'!$R$742=TYPE4)*(TYPE4&lt;&gt;"")+('Dvd Calendar'!$R$742=SPECIAL_LBL)*(INC_SPECIALS="Y"))=0,"",'Dvd Calendar'!$R$740)))</f>
        <v/>
      </c>
      <c r="Q78" s="110">
        <f>IF(ES78="","",IF(ISNUMBER('Dvd Calendar'!$S$740)=FALSE,"",IF((('Dvd Calendar'!$S$742=TYPE1)*(TYPE1&lt;&gt;"")+('Dvd Calendar'!$S$742=TYPE2)*(TYPE2&lt;&gt;"")+('Dvd Calendar'!$S$742=TYPE3)*(TYPE3&lt;&gt;"")+('Dvd Calendar'!$S$742=TYPE4)*(TYPE4&lt;&gt;"")+('Dvd Calendar'!$S$742=SPECIAL_LBL)*(INC_SPECIALS="Y"))=0,"",'Dvd Calendar'!$S$740)))</f>
        <v/>
      </c>
      <c r="R78" s="110">
        <f>IF(ET78="","",IF(ISNUMBER('Dvd Calendar'!$T$740)=FALSE,"",IF((('Dvd Calendar'!$T$742=TYPE1)*(TYPE1&lt;&gt;"")+('Dvd Calendar'!$T$742=TYPE2)*(TYPE2&lt;&gt;"")+('Dvd Calendar'!$T$742=TYPE3)*(TYPE3&lt;&gt;"")+('Dvd Calendar'!$T$742=TYPE4)*(TYPE4&lt;&gt;"")+('Dvd Calendar'!$T$742=SPECIAL_LBL)*(INC_SPECIALS="Y"))=0,"",'Dvd Calendar'!$T$740)))</f>
        <v/>
      </c>
      <c r="S78" s="110">
        <f>IF(EU78="","",IF(ISNUMBER('Dvd Calendar'!$U$740)=FALSE,"",IF((('Dvd Calendar'!$U$742=TYPE1)*(TYPE1&lt;&gt;"")+('Dvd Calendar'!$U$742=TYPE2)*(TYPE2&lt;&gt;"")+('Dvd Calendar'!$U$742=TYPE3)*(TYPE3&lt;&gt;"")+('Dvd Calendar'!$U$742=TYPE4)*(TYPE4&lt;&gt;"")+('Dvd Calendar'!$U$742=SPECIAL_LBL)*(INC_SPECIALS="Y"))=0,"",'Dvd Calendar'!$U$740)))</f>
        <v/>
      </c>
      <c r="T78" s="110">
        <f>IF(EV78="","",IF(ISNUMBER('Dvd Calendar'!$V$740)=FALSE,"",IF((('Dvd Calendar'!$V$742=TYPE1)*(TYPE1&lt;&gt;"")+('Dvd Calendar'!$V$742=TYPE2)*(TYPE2&lt;&gt;"")+('Dvd Calendar'!$V$742=TYPE3)*(TYPE3&lt;&gt;"")+('Dvd Calendar'!$V$742=TYPE4)*(TYPE4&lt;&gt;"")+('Dvd Calendar'!$V$742=SPECIAL_LBL)*(INC_SPECIALS="Y"))=0,"",'Dvd Calendar'!$V$740)))</f>
        <v/>
      </c>
      <c r="U78" s="110">
        <f>IF(EW78="","",IF(ISNUMBER('Dvd Calendar'!$W$740)=FALSE,"",IF((('Dvd Calendar'!$W$742=TYPE1)*(TYPE1&lt;&gt;"")+('Dvd Calendar'!$W$742=TYPE2)*(TYPE2&lt;&gt;"")+('Dvd Calendar'!$W$742=TYPE3)*(TYPE3&lt;&gt;"")+('Dvd Calendar'!$W$742=TYPE4)*(TYPE4&lt;&gt;"")+('Dvd Calendar'!$W$742=SPECIAL_LBL)*(INC_SPECIALS="Y"))=0,"",'Dvd Calendar'!$W$740)))</f>
        <v/>
      </c>
      <c r="V78" s="110">
        <f>IF(EX78="","",IF(ISNUMBER('Dvd Calendar'!$X$740)=FALSE,"",IF((('Dvd Calendar'!$X$742=TYPE1)*(TYPE1&lt;&gt;"")+('Dvd Calendar'!$X$742=TYPE2)*(TYPE2&lt;&gt;"")+('Dvd Calendar'!$X$742=TYPE3)*(TYPE3&lt;&gt;"")+('Dvd Calendar'!$X$742=TYPE4)*(TYPE4&lt;&gt;"")+('Dvd Calendar'!$X$742=SPECIAL_LBL)*(INC_SPECIALS="Y"))=0,"",'Dvd Calendar'!$X$740)))</f>
        <v/>
      </c>
      <c r="W78" s="110">
        <f>IF(EY78="","",IF(ISNUMBER('Dvd Calendar'!$Y$740)=FALSE,"",IF((('Dvd Calendar'!$Y$742=TYPE1)*(TYPE1&lt;&gt;"")+('Dvd Calendar'!$Y$742=TYPE2)*(TYPE2&lt;&gt;"")+('Dvd Calendar'!$Y$742=TYPE3)*(TYPE3&lt;&gt;"")+('Dvd Calendar'!$Y$742=TYPE4)*(TYPE4&lt;&gt;"")+('Dvd Calendar'!$Y$742=SPECIAL_LBL)*(INC_SPECIALS="Y"))=0,"",'Dvd Calendar'!$Y$740)))</f>
        <v/>
      </c>
      <c r="X78" s="110">
        <f>IF(EZ78="","",IF(ISNUMBER('Dvd Calendar'!$Z$740)=FALSE,"",IF((('Dvd Calendar'!$Z$742=TYPE1)*(TYPE1&lt;&gt;"")+('Dvd Calendar'!$Z$742=TYPE2)*(TYPE2&lt;&gt;"")+('Dvd Calendar'!$Z$742=TYPE3)*(TYPE3&lt;&gt;"")+('Dvd Calendar'!$Z$742=TYPE4)*(TYPE4&lt;&gt;"")+('Dvd Calendar'!$Z$742=SPECIAL_LBL)*(INC_SPECIALS="Y"))=0,"",'Dvd Calendar'!$Z$740)))</f>
        <v/>
      </c>
      <c r="Y78" s="110">
        <f>IF(FA78="","",IF(ISNUMBER('Dvd Calendar'!$AA$740)=FALSE,"",IF((('Dvd Calendar'!$AA$742=TYPE1)*(TYPE1&lt;&gt;"")+('Dvd Calendar'!$AA$742=TYPE2)*(TYPE2&lt;&gt;"")+('Dvd Calendar'!$AA$742=TYPE3)*(TYPE3&lt;&gt;"")+('Dvd Calendar'!$AA$742=TYPE4)*(TYPE4&lt;&gt;"")+('Dvd Calendar'!$AA$742=SPECIAL_LBL)*(INC_SPECIALS="Y"))=0,"",'Dvd Calendar'!$AA$740)))</f>
        <v/>
      </c>
      <c r="Z78" s="110">
        <f>IF(FB78="","",IF(ISNUMBER('Dvd Calendar'!$AB$740)=FALSE,"",IF((('Dvd Calendar'!$AB$742=TYPE1)*(TYPE1&lt;&gt;"")+('Dvd Calendar'!$AB$742=TYPE2)*(TYPE2&lt;&gt;"")+('Dvd Calendar'!$AB$742=TYPE3)*(TYPE3&lt;&gt;"")+('Dvd Calendar'!$AB$742=TYPE4)*(TYPE4&lt;&gt;"")+('Dvd Calendar'!$AB$742=SPECIAL_LBL)*(INC_SPECIALS="Y"))=0,"",'Dvd Calendar'!$AB$740)))</f>
        <v/>
      </c>
      <c r="AA78" s="110">
        <f>IF(FC78="","",IF(ISNUMBER('Dvd Calendar'!$AC$740)=FALSE,"",IF((('Dvd Calendar'!$AC$742=TYPE1)*(TYPE1&lt;&gt;"")+('Dvd Calendar'!$AC$742=TYPE2)*(TYPE2&lt;&gt;"")+('Dvd Calendar'!$AC$742=TYPE3)*(TYPE3&lt;&gt;"")+('Dvd Calendar'!$AC$742=TYPE4)*(TYPE4&lt;&gt;"")+('Dvd Calendar'!$AC$742=SPECIAL_LBL)*(INC_SPECIALS="Y"))=0,"",'Dvd Calendar'!$AC$740)))</f>
        <v/>
      </c>
      <c r="AB78" s="110">
        <f>IF(FD78="","",IF(ISNUMBER('Dvd Calendar'!$AD$740)=FALSE,"",IF((('Dvd Calendar'!$AD$742=TYPE1)*(TYPE1&lt;&gt;"")+('Dvd Calendar'!$AD$742=TYPE2)*(TYPE2&lt;&gt;"")+('Dvd Calendar'!$AD$742=TYPE3)*(TYPE3&lt;&gt;"")+('Dvd Calendar'!$AD$742=TYPE4)*(TYPE4&lt;&gt;"")+('Dvd Calendar'!$AD$742=SPECIAL_LBL)*(INC_SPECIALS="Y"))=0,"",'Dvd Calendar'!$AD$740)))</f>
        <v/>
      </c>
      <c r="AC78" s="110">
        <f>IF(FE78="","",IF(ISNUMBER('Dvd Calendar'!$AE$740)=FALSE,"",IF((('Dvd Calendar'!$AE$742=TYPE1)*(TYPE1&lt;&gt;"")+('Dvd Calendar'!$AE$742=TYPE2)*(TYPE2&lt;&gt;"")+('Dvd Calendar'!$AE$742=TYPE3)*(TYPE3&lt;&gt;"")+('Dvd Calendar'!$AE$742=TYPE4)*(TYPE4&lt;&gt;"")+('Dvd Calendar'!$AE$742=SPECIAL_LBL)*(INC_SPECIALS="Y"))=0,"",'Dvd Calendar'!$AE$740)))</f>
        <v/>
      </c>
      <c r="AD78" s="110">
        <f>IF(FF78="","",IF(ISNUMBER('Dvd Calendar'!$AF$740)=FALSE,"",IF((('Dvd Calendar'!$AF$742=TYPE1)*(TYPE1&lt;&gt;"")+('Dvd Calendar'!$AF$742=TYPE2)*(TYPE2&lt;&gt;"")+('Dvd Calendar'!$AF$742=TYPE3)*(TYPE3&lt;&gt;"")+('Dvd Calendar'!$AF$742=TYPE4)*(TYPE4&lt;&gt;"")+('Dvd Calendar'!$AF$742=SPECIAL_LBL)*(INC_SPECIALS="Y"))=0,"",'Dvd Calendar'!$AF$740)))</f>
        <v/>
      </c>
      <c r="AE78" s="110">
        <f>IF(FG78="","",IF(ISNUMBER('Dvd Calendar'!$AG$740)=FALSE,"",IF((('Dvd Calendar'!$AG$742=TYPE1)*(TYPE1&lt;&gt;"")+('Dvd Calendar'!$AG$742=TYPE2)*(TYPE2&lt;&gt;"")+('Dvd Calendar'!$AG$742=TYPE3)*(TYPE3&lt;&gt;"")+('Dvd Calendar'!$AG$742=TYPE4)*(TYPE4&lt;&gt;"")+('Dvd Calendar'!$AG$742=SPECIAL_LBL)*(INC_SPECIALS="Y"))=0,"",'Dvd Calendar'!$AG$740)))</f>
        <v/>
      </c>
      <c r="AF78" s="110">
        <f>IF(FH78="","",IF(ISNUMBER('Dvd Calendar'!$AH$740)=FALSE,"",IF((('Dvd Calendar'!$AH$742=TYPE1)*(TYPE1&lt;&gt;"")+('Dvd Calendar'!$AH$742=TYPE2)*(TYPE2&lt;&gt;"")+('Dvd Calendar'!$AH$742=TYPE3)*(TYPE3&lt;&gt;"")+('Dvd Calendar'!$AH$742=TYPE4)*(TYPE4&lt;&gt;"")+('Dvd Calendar'!$AH$742=SPECIAL_LBL)*(INC_SPECIALS="Y"))=0,"",'Dvd Calendar'!$AH$740)))</f>
        <v/>
      </c>
      <c r="AG78" s="110">
        <f>IF(FI78="","",IF(ISNUMBER('Dvd Calendar'!$AI$740)=FALSE,"",IF((('Dvd Calendar'!$AI$742=TYPE1)*(TYPE1&lt;&gt;"")+('Dvd Calendar'!$AI$742=TYPE2)*(TYPE2&lt;&gt;"")+('Dvd Calendar'!$AI$742=TYPE3)*(TYPE3&lt;&gt;"")+('Dvd Calendar'!$AI$742=TYPE4)*(TYPE4&lt;&gt;"")+('Dvd Calendar'!$AI$742=SPECIAL_LBL)*(INC_SPECIALS="Y"))=0,"",'Dvd Calendar'!$AI$740)))</f>
        <v/>
      </c>
      <c r="AH78" s="110">
        <f>IF(FJ78="","",IF(ISNUMBER('Dvd Calendar'!$AJ$740)=FALSE,"",IF((('Dvd Calendar'!$AJ$742=TYPE1)*(TYPE1&lt;&gt;"")+('Dvd Calendar'!$AJ$742=TYPE2)*(TYPE2&lt;&gt;"")+('Dvd Calendar'!$AJ$742=TYPE3)*(TYPE3&lt;&gt;"")+('Dvd Calendar'!$AJ$742=TYPE4)*(TYPE4&lt;&gt;"")+('Dvd Calendar'!$AJ$742=SPECIAL_LBL)*(INC_SPECIALS="Y"))=0,"",'Dvd Calendar'!$AJ$740)))</f>
        <v/>
      </c>
      <c r="AI78" s="110">
        <f>IF(FK78="","",IF(ISNUMBER('Dvd Calendar'!$AK$740)=FALSE,"",IF((('Dvd Calendar'!$AK$742=TYPE1)*(TYPE1&lt;&gt;"")+('Dvd Calendar'!$AK$742=TYPE2)*(TYPE2&lt;&gt;"")+('Dvd Calendar'!$AK$742=TYPE3)*(TYPE3&lt;&gt;"")+('Dvd Calendar'!$AK$742=TYPE4)*(TYPE4&lt;&gt;"")+('Dvd Calendar'!$AK$742=SPECIAL_LBL)*(INC_SPECIALS="Y"))=0,"",'Dvd Calendar'!$AK$740)))</f>
        <v/>
      </c>
      <c r="AJ78" s="110">
        <f>IF(FL78="","",IF(ISNUMBER('Dvd Calendar'!$AL$740)=FALSE,"",IF((('Dvd Calendar'!$AL$742=TYPE1)*(TYPE1&lt;&gt;"")+('Dvd Calendar'!$AL$742=TYPE2)*(TYPE2&lt;&gt;"")+('Dvd Calendar'!$AL$742=TYPE3)*(TYPE3&lt;&gt;"")+('Dvd Calendar'!$AL$742=TYPE4)*(TYPE4&lt;&gt;"")+('Dvd Calendar'!$AL$742=SPECIAL_LBL)*(INC_SPECIALS="Y"))=0,"",'Dvd Calendar'!$AL$740)))</f>
        <v/>
      </c>
      <c r="AK78" s="110">
        <f>IF(FM78="","",IF(ISNUMBER('Dvd Calendar'!$AM$740)=FALSE,"",IF((('Dvd Calendar'!$AM$742=TYPE1)*(TYPE1&lt;&gt;"")+('Dvd Calendar'!$AM$742=TYPE2)*(TYPE2&lt;&gt;"")+('Dvd Calendar'!$AM$742=TYPE3)*(TYPE3&lt;&gt;"")+('Dvd Calendar'!$AM$742=TYPE4)*(TYPE4&lt;&gt;"")+('Dvd Calendar'!$AM$742=SPECIAL_LBL)*(INC_SPECIALS="Y"))=0,"",'Dvd Calendar'!$AM$740)))</f>
        <v/>
      </c>
      <c r="AL78" s="110">
        <f>IF(FN78="","",IF(ISNUMBER('Dvd Calendar'!$AN$740)=FALSE,"",IF((('Dvd Calendar'!$AN$742=TYPE1)*(TYPE1&lt;&gt;"")+('Dvd Calendar'!$AN$742=TYPE2)*(TYPE2&lt;&gt;"")+('Dvd Calendar'!$AN$742=TYPE3)*(TYPE3&lt;&gt;"")+('Dvd Calendar'!$AN$742=TYPE4)*(TYPE4&lt;&gt;"")+('Dvd Calendar'!$AN$742=SPECIAL_LBL)*(INC_SPECIALS="Y"))=0,"",'Dvd Calendar'!$AN$740)))</f>
        <v/>
      </c>
      <c r="AM78" s="110">
        <f>IF(FO78="","",IF(ISNUMBER('Dvd Calendar'!$AO$740)=FALSE,"",IF((('Dvd Calendar'!$AO$742=TYPE1)*(TYPE1&lt;&gt;"")+('Dvd Calendar'!$AO$742=TYPE2)*(TYPE2&lt;&gt;"")+('Dvd Calendar'!$AO$742=TYPE3)*(TYPE3&lt;&gt;"")+('Dvd Calendar'!$AO$742=TYPE4)*(TYPE4&lt;&gt;"")+('Dvd Calendar'!$AO$742=SPECIAL_LBL)*(INC_SPECIALS="Y"))=0,"",'Dvd Calendar'!$AO$740)))</f>
        <v/>
      </c>
      <c r="AN78" s="110">
        <f>IF(FP78="","",IF(ISNUMBER('Dvd Calendar'!$AP$740)=FALSE,"",IF((('Dvd Calendar'!$AP$742=TYPE1)*(TYPE1&lt;&gt;"")+('Dvd Calendar'!$AP$742=TYPE2)*(TYPE2&lt;&gt;"")+('Dvd Calendar'!$AP$742=TYPE3)*(TYPE3&lt;&gt;"")+('Dvd Calendar'!$AP$742=TYPE4)*(TYPE4&lt;&gt;"")+('Dvd Calendar'!$AP$742=SPECIAL_LBL)*(INC_SPECIALS="Y"))=0,"",'Dvd Calendar'!$AP$740)))</f>
        <v/>
      </c>
      <c r="AO78" s="110">
        <f>IF(FQ78="","",IF(ISNUMBER('Dvd Calendar'!$AQ$740)=FALSE,"",IF((('Dvd Calendar'!$AQ$742=TYPE1)*(TYPE1&lt;&gt;"")+('Dvd Calendar'!$AQ$742=TYPE2)*(TYPE2&lt;&gt;"")+('Dvd Calendar'!$AQ$742=TYPE3)*(TYPE3&lt;&gt;"")+('Dvd Calendar'!$AQ$742=TYPE4)*(TYPE4&lt;&gt;"")+('Dvd Calendar'!$AQ$742=SPECIAL_LBL)*(INC_SPECIALS="Y"))=0,"",'Dvd Calendar'!$AQ$740)))</f>
        <v/>
      </c>
      <c r="AP78" s="110">
        <f>IF(FR78="","",IF(ISNUMBER('Dvd Calendar'!$AR$740)=FALSE,"",IF((('Dvd Calendar'!$AR$742=TYPE1)*(TYPE1&lt;&gt;"")+('Dvd Calendar'!$AR$742=TYPE2)*(TYPE2&lt;&gt;"")+('Dvd Calendar'!$AR$742=TYPE3)*(TYPE3&lt;&gt;"")+('Dvd Calendar'!$AR$742=TYPE4)*(TYPE4&lt;&gt;"")+('Dvd Calendar'!$AR$742=SPECIAL_LBL)*(INC_SPECIALS="Y"))=0,"",'Dvd Calendar'!$AR$740)))</f>
        <v/>
      </c>
      <c r="AQ78" s="110">
        <f>IF(FS78="","",IF(ISNUMBER('Dvd Calendar'!$E$745)=FALSE,"",'Dvd Calendar'!$E$745))</f>
        <v/>
      </c>
      <c r="AR78" s="110">
        <f>IF(FT78="","",IF(ISNUMBER('Dvd Calendar'!$F$745)=FALSE,"",'Dvd Calendar'!$F$745))</f>
        <v/>
      </c>
      <c r="AS78" s="110">
        <f>IF(FU78="","",IF(ISNUMBER('Dvd Calendar'!$G$745)=FALSE,"",'Dvd Calendar'!$G$745))</f>
        <v/>
      </c>
      <c r="AT78" s="110">
        <f>IF(FV78="","",IF(ISNUMBER('Dvd Calendar'!$H$745)=FALSE,"",'Dvd Calendar'!$H$745))</f>
        <v/>
      </c>
      <c r="AU78" s="110">
        <f>IF(FW78="","",IF(ISNUMBER('Dvd Calendar'!$I$745)=FALSE,"",'Dvd Calendar'!$I$745))</f>
        <v/>
      </c>
      <c r="AV78" s="110">
        <f>IF(FX78="","",IF(ISNUMBER('Dvd Calendar'!$J$745)=FALSE,"",'Dvd Calendar'!$J$745))</f>
        <v/>
      </c>
      <c r="AW78" s="110">
        <f>IF(FY78="","",IF(ISNUMBER('Dvd Calendar'!$K$745)=FALSE,"",'Dvd Calendar'!$K$745))</f>
        <v/>
      </c>
      <c r="AX78" s="110">
        <f>IF(FZ78="","",IF(ISNUMBER('Dvd Calendar'!$L$745)=FALSE,"",'Dvd Calendar'!$L$745))</f>
        <v/>
      </c>
      <c r="AY78" s="110">
        <f>IF(GA78="","",IF(ISNUMBER('Dvd Calendar'!$M$745)=FALSE,"",'Dvd Calendar'!$M$745))</f>
        <v/>
      </c>
      <c r="AZ78" s="110">
        <f>IF(GB78="","",IF(ISNUMBER('Dvd Calendar'!$N$745)=FALSE,"",'Dvd Calendar'!$N$745))</f>
        <v/>
      </c>
      <c r="BA78" s="110">
        <f>IF(GC78="","",IF(ISNUMBER('Dvd Calendar'!$O$745)=FALSE,"",'Dvd Calendar'!$O$745))</f>
        <v/>
      </c>
      <c r="BB78" s="110">
        <f>IF(GD78="","",IF(ISNUMBER('Dvd Calendar'!$P$745)=FALSE,"",'Dvd Calendar'!$P$745))</f>
        <v/>
      </c>
      <c r="BC78" s="110">
        <f>IF(GE78="","",IF(ISNUMBER('Dvd Calendar'!$Q$745)=FALSE,"",'Dvd Calendar'!$Q$745))</f>
        <v/>
      </c>
      <c r="BD78" s="110">
        <f>IF(GF78="","",IF(ISNUMBER('Dvd Calendar'!$R$745)=FALSE,"",'Dvd Calendar'!$R$745))</f>
        <v/>
      </c>
      <c r="BE78" s="110">
        <f>IF(GG78="","",IF(ISNUMBER('Dvd Calendar'!$S$745)=FALSE,"",'Dvd Calendar'!$S$745))</f>
        <v/>
      </c>
      <c r="BF78" s="110">
        <f>IF(GH78="","",IF(ISNUMBER('Dvd Calendar'!$T$745)=FALSE,"",'Dvd Calendar'!$T$745))</f>
        <v/>
      </c>
      <c r="BG78" s="110">
        <f>IF(GI78="","",IF(ISNUMBER('Dvd Calendar'!$U$745)=FALSE,"",'Dvd Calendar'!$U$745))</f>
        <v/>
      </c>
      <c r="BH78" s="110">
        <f>IF(GJ78="","",IF(ISNUMBER('Dvd Calendar'!$V$745)=FALSE,"",'Dvd Calendar'!$V$745))</f>
        <v/>
      </c>
      <c r="BI78" s="110">
        <f>IF(GK78="","",IF(ISNUMBER('Dvd Calendar'!$W$745)=FALSE,"",'Dvd Calendar'!$W$745))</f>
        <v/>
      </c>
      <c r="BJ78" s="110">
        <f>IF(GL78="","",IF(ISNUMBER('Dvd Calendar'!$X$745)=FALSE,"",'Dvd Calendar'!$X$745))</f>
        <v/>
      </c>
      <c r="BK78" s="110">
        <f>IF(GM78="","",IF(ISNUMBER('Dvd Calendar'!$Y$745)=FALSE,"",'Dvd Calendar'!$Y$745))</f>
        <v/>
      </c>
      <c r="BL78" s="110">
        <f>IF(GN78="","",IF(ISNUMBER('Dvd Calendar'!$Z$745)=FALSE,"",'Dvd Calendar'!$Z$745))</f>
        <v/>
      </c>
      <c r="BM78" s="110">
        <f>IF(GO78="","",IF(ISNUMBER('Dvd Calendar'!$AA$745)=FALSE,"",'Dvd Calendar'!$AA$745))</f>
        <v/>
      </c>
      <c r="BN78" s="110">
        <f>IF(GP78="","",IF(ISNUMBER('Dvd Calendar'!$AB$745)=FALSE,"",'Dvd Calendar'!$AB$745))</f>
        <v/>
      </c>
      <c r="BO78" s="110">
        <f>IF(GQ78="","",IF(ISNUMBER('Dvd Calendar'!$AC$745)=FALSE,"",'Dvd Calendar'!$AC$745))</f>
        <v/>
      </c>
      <c r="BQ78" s="110">
        <f>IF(C78="","",IFERROR(C78*HSI!$B$73*HSI!$G$73/HSI!$B$3,""))</f>
        <v/>
      </c>
      <c r="BR78" s="110">
        <f>IF(D78="","",IFERROR(D78*HSI!$B$73*HSI!$G$73/HSI!$B$3,""))</f>
        <v/>
      </c>
      <c r="BS78" s="110">
        <f>IF(E78="","",IFERROR(E78*HSI!$B$73*HSI!$G$73/HSI!$B$3,""))</f>
        <v/>
      </c>
      <c r="BT78" s="110">
        <f>IF(F78="","",IFERROR(F78*HSI!$B$73*HSI!$G$73/HSI!$B$3,""))</f>
        <v/>
      </c>
      <c r="BU78" s="110">
        <f>IF(G78="","",IFERROR(G78*HSI!$B$73*HSI!$G$73/HSI!$B$3,""))</f>
        <v/>
      </c>
      <c r="BV78" s="110">
        <f>IF(H78="","",IFERROR(H78*HSI!$B$73*HSI!$G$73/HSI!$B$3,""))</f>
        <v/>
      </c>
      <c r="BW78" s="110">
        <f>IF(I78="","",IFERROR(I78*HSI!$B$73*HSI!$G$73/HSI!$B$3,""))</f>
        <v/>
      </c>
      <c r="BX78" s="110">
        <f>IF(J78="","",IFERROR(J78*HSI!$B$73*HSI!$G$73/HSI!$B$3,""))</f>
        <v/>
      </c>
      <c r="BY78" s="110">
        <f>IF(K78="","",IFERROR(K78*HSI!$B$73*HSI!$G$73/HSI!$B$3,""))</f>
        <v/>
      </c>
      <c r="BZ78" s="110">
        <f>IF(L78="","",IFERROR(L78*HSI!$B$73*HSI!$G$73/HSI!$B$3,""))</f>
        <v/>
      </c>
      <c r="CA78" s="110">
        <f>IF(M78="","",IFERROR(M78*HSI!$B$73*HSI!$G$73/HSI!$B$3,""))</f>
        <v/>
      </c>
      <c r="CB78" s="110">
        <f>IF(N78="","",IFERROR(N78*HSI!$B$73*HSI!$G$73/HSI!$B$3,""))</f>
        <v/>
      </c>
      <c r="CC78" s="110">
        <f>IF(O78="","",IFERROR(O78*HSI!$B$73*HSI!$G$73/HSI!$B$3,""))</f>
        <v/>
      </c>
      <c r="CD78" s="110">
        <f>IF(P78="","",IFERROR(P78*HSI!$B$73*HSI!$G$73/HSI!$B$3,""))</f>
        <v/>
      </c>
      <c r="CE78" s="110">
        <f>IF(Q78="","",IFERROR(Q78*HSI!$B$73*HSI!$G$73/HSI!$B$3,""))</f>
        <v/>
      </c>
      <c r="CF78" s="110">
        <f>IF(R78="","",IFERROR(R78*HSI!$B$73*HSI!$G$73/HSI!$B$3,""))</f>
        <v/>
      </c>
      <c r="CG78" s="110">
        <f>IF(S78="","",IFERROR(S78*HSI!$B$73*HSI!$G$73/HSI!$B$3,""))</f>
        <v/>
      </c>
      <c r="CH78" s="110">
        <f>IF(T78="","",IFERROR(T78*HSI!$B$73*HSI!$G$73/HSI!$B$3,""))</f>
        <v/>
      </c>
      <c r="CI78" s="110">
        <f>IF(U78="","",IFERROR(U78*HSI!$B$73*HSI!$G$73/HSI!$B$3,""))</f>
        <v/>
      </c>
      <c r="CJ78" s="110">
        <f>IF(V78="","",IFERROR(V78*HSI!$B$73*HSI!$G$73/HSI!$B$3,""))</f>
        <v/>
      </c>
      <c r="CK78" s="110">
        <f>IF(W78="","",IFERROR(W78*HSI!$B$73*HSI!$G$73/HSI!$B$3,""))</f>
        <v/>
      </c>
      <c r="CL78" s="110">
        <f>IF(X78="","",IFERROR(X78*HSI!$B$73*HSI!$G$73/HSI!$B$3,""))</f>
        <v/>
      </c>
      <c r="CM78" s="110">
        <f>IF(Y78="","",IFERROR(Y78*HSI!$B$73*HSI!$G$73/HSI!$B$3,""))</f>
        <v/>
      </c>
      <c r="CN78" s="110">
        <f>IF(Z78="","",IFERROR(Z78*HSI!$B$73*HSI!$G$73/HSI!$B$3,""))</f>
        <v/>
      </c>
      <c r="CO78" s="110">
        <f>IF(AA78="","",IFERROR(AA78*HSI!$B$73*HSI!$G$73/HSI!$B$3,""))</f>
        <v/>
      </c>
      <c r="CP78" s="110">
        <f>IF(AB78="","",IFERROR(AB78*HSI!$B$73*HSI!$G$73/HSI!$B$3,""))</f>
        <v/>
      </c>
      <c r="CQ78" s="110">
        <f>IF(AC78="","",IFERROR(AC78*HSI!$B$73*HSI!$G$73/HSI!$B$3,""))</f>
        <v/>
      </c>
      <c r="CR78" s="110">
        <f>IF(AD78="","",IFERROR(AD78*HSI!$B$73*HSI!$G$73/HSI!$B$3,""))</f>
        <v/>
      </c>
      <c r="CS78" s="110">
        <f>IF(AE78="","",IFERROR(AE78*HSI!$B$73*HSI!$G$73/HSI!$B$3,""))</f>
        <v/>
      </c>
      <c r="CT78" s="110">
        <f>IF(AF78="","",IFERROR(AF78*HSI!$B$73*HSI!$G$73/HSI!$B$3,""))</f>
        <v/>
      </c>
      <c r="CU78" s="110">
        <f>IF(AG78="","",IFERROR(AG78*HSI!$B$73*HSI!$G$73/HSI!$B$3,""))</f>
        <v/>
      </c>
      <c r="CV78" s="110">
        <f>IF(AH78="","",IFERROR(AH78*HSI!$B$73*HSI!$G$73/HSI!$B$3,""))</f>
        <v/>
      </c>
      <c r="CW78" s="110">
        <f>IF(AI78="","",IFERROR(AI78*HSI!$B$73*HSI!$G$73/HSI!$B$3,""))</f>
        <v/>
      </c>
      <c r="CX78" s="110">
        <f>IF(AJ78="","",IFERROR(AJ78*HSI!$B$73*HSI!$G$73/HSI!$B$3,""))</f>
        <v/>
      </c>
      <c r="CY78" s="110">
        <f>IF(AK78="","",IFERROR(AK78*HSI!$B$73*HSI!$G$73/HSI!$B$3,""))</f>
        <v/>
      </c>
      <c r="CZ78" s="110">
        <f>IF(AL78="","",IFERROR(AL78*HSI!$B$73*HSI!$G$73/HSI!$B$3,""))</f>
        <v/>
      </c>
      <c r="DA78" s="110">
        <f>IF(AM78="","",IFERROR(AM78*HSI!$B$73*HSI!$G$73/HSI!$B$3,""))</f>
        <v/>
      </c>
      <c r="DB78" s="110">
        <f>IF(AN78="","",IFERROR(AN78*HSI!$B$73*HSI!$G$73/HSI!$B$3,""))</f>
        <v/>
      </c>
      <c r="DC78" s="110">
        <f>IF(AO78="","",IFERROR(AO78*HSI!$B$73*HSI!$G$73/HSI!$B$3,""))</f>
        <v/>
      </c>
      <c r="DD78" s="110">
        <f>IF(AP78="","",IFERROR(AP78*HSI!$B$73*HSI!$G$73/HSI!$B$3,""))</f>
        <v/>
      </c>
      <c r="DE78" s="110">
        <f>IF(AQ78="","",IFERROR(AQ78*HSI!$B$73*HSI!$G$73/HSI!$B$3,""))</f>
        <v/>
      </c>
      <c r="DF78" s="110">
        <f>IF(AR78="","",IFERROR(AR78*HSI!$B$73*HSI!$G$73/HSI!$B$3,""))</f>
        <v/>
      </c>
      <c r="DG78" s="110">
        <f>IF(AS78="","",IFERROR(AS78*HSI!$B$73*HSI!$G$73/HSI!$B$3,""))</f>
        <v/>
      </c>
      <c r="DH78" s="110">
        <f>IF(AT78="","",IFERROR(AT78*HSI!$B$73*HSI!$G$73/HSI!$B$3,""))</f>
        <v/>
      </c>
      <c r="DI78" s="110">
        <f>IF(AU78="","",IFERROR(AU78*HSI!$B$73*HSI!$G$73/HSI!$B$3,""))</f>
        <v/>
      </c>
      <c r="DJ78" s="110">
        <f>IF(AV78="","",IFERROR(AV78*HSI!$B$73*HSI!$G$73/HSI!$B$3,""))</f>
        <v/>
      </c>
      <c r="DK78" s="110">
        <f>IF(AW78="","",IFERROR(AW78*HSI!$B$73*HSI!$G$73/HSI!$B$3,""))</f>
        <v/>
      </c>
      <c r="DL78" s="110">
        <f>IF(AX78="","",IFERROR(AX78*HSI!$B$73*HSI!$G$73/HSI!$B$3,""))</f>
        <v/>
      </c>
      <c r="DM78" s="110">
        <f>IF(AY78="","",IFERROR(AY78*HSI!$B$73*HSI!$G$73/HSI!$B$3,""))</f>
        <v/>
      </c>
      <c r="DN78" s="110">
        <f>IF(AZ78="","",IFERROR(AZ78*HSI!$B$73*HSI!$G$73/HSI!$B$3,""))</f>
        <v/>
      </c>
      <c r="DO78" s="110">
        <f>IF(BA78="","",IFERROR(BA78*HSI!$B$73*HSI!$G$73/HSI!$B$3,""))</f>
        <v/>
      </c>
      <c r="DP78" s="110">
        <f>IF(BB78="","",IFERROR(BB78*HSI!$B$73*HSI!$G$73/HSI!$B$3,""))</f>
        <v/>
      </c>
      <c r="DQ78" s="110">
        <f>IF(BC78="","",IFERROR(BC78*HSI!$B$73*HSI!$G$73/HSI!$B$3,""))</f>
        <v/>
      </c>
      <c r="DR78" s="110">
        <f>IF(BD78="","",IFERROR(BD78*HSI!$B$73*HSI!$G$73/HSI!$B$3,""))</f>
        <v/>
      </c>
      <c r="DS78" s="110">
        <f>IF(BE78="","",IFERROR(BE78*HSI!$B$73*HSI!$G$73/HSI!$B$3,""))</f>
        <v/>
      </c>
      <c r="DT78" s="110">
        <f>IF(BF78="","",IFERROR(BF78*HSI!$B$73*HSI!$G$73/HSI!$B$3,""))</f>
        <v/>
      </c>
      <c r="DU78" s="110">
        <f>IF(BG78="","",IFERROR(BG78*HSI!$B$73*HSI!$G$73/HSI!$B$3,""))</f>
        <v/>
      </c>
      <c r="DV78" s="110">
        <f>IF(BH78="","",IFERROR(BH78*HSI!$B$73*HSI!$G$73/HSI!$B$3,""))</f>
        <v/>
      </c>
      <c r="DW78" s="110">
        <f>IF(BI78="","",IFERROR(BI78*HSI!$B$73*HSI!$G$73/HSI!$B$3,""))</f>
        <v/>
      </c>
      <c r="DX78" s="110">
        <f>IF(BJ78="","",IFERROR(BJ78*HSI!$B$73*HSI!$G$73/HSI!$B$3,""))</f>
        <v/>
      </c>
      <c r="DY78" s="110">
        <f>IF(BK78="","",IFERROR(BK78*HSI!$B$73*HSI!$G$73/HSI!$B$3,""))</f>
        <v/>
      </c>
      <c r="DZ78" s="110">
        <f>IF(BL78="","",IFERROR(BL78*HSI!$B$73*HSI!$G$73/HSI!$B$3,""))</f>
        <v/>
      </c>
      <c r="EA78" s="110">
        <f>IF(BM78="","",IFERROR(BM78*HSI!$B$73*HSI!$G$73/HSI!$B$3,""))</f>
        <v/>
      </c>
      <c r="EB78" s="110">
        <f>IF(BN78="","",IFERROR(BN78*HSI!$B$73*HSI!$G$73/HSI!$B$3,""))</f>
        <v/>
      </c>
      <c r="EC78" s="110">
        <f>IF(BO78="","",IFERROR(BO78*HSI!$B$73*HSI!$G$73/HSI!$B$3,""))</f>
        <v/>
      </c>
      <c r="EE78" s="39">
        <f>IF(N('Dvd Calendar'!$E$737)=0,"",IF(('Dvd Calendar'!$E$737&gt;=GRID_FROM)*('Dvd Calendar'!$E$737&lt;=GRID_TO)*((('Dvd Calendar'!$E$737&lt;=VAL_DATE)+(COUNTIF('Dvd Calendar'!$E$744:$AR$744,'Dvd Calendar'!$E$737)=0))&gt;0)=0,"",'Dvd Calendar'!$E$737*1000000000+ISNUMBER('Dvd Calendar'!$E$740)*100000000+('Dvd Calendar'!$E$742=SPECIAL_LBL)*10000000+(N('Dvd Calendar'!$E$736)&gt;0)*(N('Dvd Calendar'!$E$736)&lt;=VAL_SERIAL)*1000000+67*1000+1))</f>
        <v/>
      </c>
      <c r="EF78" s="39">
        <f>IF(N('Dvd Calendar'!$F$737)=0,"",IF(('Dvd Calendar'!$F$737&gt;=GRID_FROM)*('Dvd Calendar'!$F$737&lt;=GRID_TO)*((('Dvd Calendar'!$F$737&lt;=VAL_DATE)+(COUNTIF('Dvd Calendar'!$E$744:$AR$744,'Dvd Calendar'!$F$737)=0))&gt;0)=0,"",'Dvd Calendar'!$F$737*1000000000+ISNUMBER('Dvd Calendar'!$F$740)*100000000+('Dvd Calendar'!$F$742=SPECIAL_LBL)*10000000+(N('Dvd Calendar'!$F$736)&gt;0)*(N('Dvd Calendar'!$F$736)&lt;=VAL_SERIAL)*1000000+67*1000+2))</f>
        <v/>
      </c>
      <c r="EG78" s="39">
        <f>IF(N('Dvd Calendar'!$G$737)=0,"",IF(('Dvd Calendar'!$G$737&gt;=GRID_FROM)*('Dvd Calendar'!$G$737&lt;=GRID_TO)*((('Dvd Calendar'!$G$737&lt;=VAL_DATE)+(COUNTIF('Dvd Calendar'!$E$744:$AR$744,'Dvd Calendar'!$G$737)=0))&gt;0)=0,"",'Dvd Calendar'!$G$737*1000000000+ISNUMBER('Dvd Calendar'!$G$740)*100000000+('Dvd Calendar'!$G$742=SPECIAL_LBL)*10000000+(N('Dvd Calendar'!$G$736)&gt;0)*(N('Dvd Calendar'!$G$736)&lt;=VAL_SERIAL)*1000000+67*1000+3))</f>
        <v/>
      </c>
      <c r="EH78" s="39">
        <f>IF(N('Dvd Calendar'!$H$737)=0,"",IF(('Dvd Calendar'!$H$737&gt;=GRID_FROM)*('Dvd Calendar'!$H$737&lt;=GRID_TO)*((('Dvd Calendar'!$H$737&lt;=VAL_DATE)+(COUNTIF('Dvd Calendar'!$E$744:$AR$744,'Dvd Calendar'!$H$737)=0))&gt;0)=0,"",'Dvd Calendar'!$H$737*1000000000+ISNUMBER('Dvd Calendar'!$H$740)*100000000+('Dvd Calendar'!$H$742=SPECIAL_LBL)*10000000+(N('Dvd Calendar'!$H$736)&gt;0)*(N('Dvd Calendar'!$H$736)&lt;=VAL_SERIAL)*1000000+67*1000+4))</f>
        <v/>
      </c>
      <c r="EI78" s="39">
        <f>IF(N('Dvd Calendar'!$I$737)=0,"",IF(('Dvd Calendar'!$I$737&gt;=GRID_FROM)*('Dvd Calendar'!$I$737&lt;=GRID_TO)*((('Dvd Calendar'!$I$737&lt;=VAL_DATE)+(COUNTIF('Dvd Calendar'!$E$744:$AR$744,'Dvd Calendar'!$I$737)=0))&gt;0)=0,"",'Dvd Calendar'!$I$737*1000000000+ISNUMBER('Dvd Calendar'!$I$740)*100000000+('Dvd Calendar'!$I$742=SPECIAL_LBL)*10000000+(N('Dvd Calendar'!$I$736)&gt;0)*(N('Dvd Calendar'!$I$736)&lt;=VAL_SERIAL)*1000000+67*1000+5))</f>
        <v/>
      </c>
      <c r="EJ78" s="39">
        <f>IF(N('Dvd Calendar'!$J$737)=0,"",IF(('Dvd Calendar'!$J$737&gt;=GRID_FROM)*('Dvd Calendar'!$J$737&lt;=GRID_TO)*((('Dvd Calendar'!$J$737&lt;=VAL_DATE)+(COUNTIF('Dvd Calendar'!$E$744:$AR$744,'Dvd Calendar'!$J$737)=0))&gt;0)=0,"",'Dvd Calendar'!$J$737*1000000000+ISNUMBER('Dvd Calendar'!$J$740)*100000000+('Dvd Calendar'!$J$742=SPECIAL_LBL)*10000000+(N('Dvd Calendar'!$J$736)&gt;0)*(N('Dvd Calendar'!$J$736)&lt;=VAL_SERIAL)*1000000+67*1000+6))</f>
        <v/>
      </c>
      <c r="EK78" s="39">
        <f>IF(N('Dvd Calendar'!$K$737)=0,"",IF(('Dvd Calendar'!$K$737&gt;=GRID_FROM)*('Dvd Calendar'!$K$737&lt;=GRID_TO)*((('Dvd Calendar'!$K$737&lt;=VAL_DATE)+(COUNTIF('Dvd Calendar'!$E$744:$AR$744,'Dvd Calendar'!$K$737)=0))&gt;0)=0,"",'Dvd Calendar'!$K$737*1000000000+ISNUMBER('Dvd Calendar'!$K$740)*100000000+('Dvd Calendar'!$K$742=SPECIAL_LBL)*10000000+(N('Dvd Calendar'!$K$736)&gt;0)*(N('Dvd Calendar'!$K$736)&lt;=VAL_SERIAL)*1000000+67*1000+7))</f>
        <v/>
      </c>
      <c r="EL78" s="39">
        <f>IF(N('Dvd Calendar'!$L$737)=0,"",IF(('Dvd Calendar'!$L$737&gt;=GRID_FROM)*('Dvd Calendar'!$L$737&lt;=GRID_TO)*((('Dvd Calendar'!$L$737&lt;=VAL_DATE)+(COUNTIF('Dvd Calendar'!$E$744:$AR$744,'Dvd Calendar'!$L$737)=0))&gt;0)=0,"",'Dvd Calendar'!$L$737*1000000000+ISNUMBER('Dvd Calendar'!$L$740)*100000000+('Dvd Calendar'!$L$742=SPECIAL_LBL)*10000000+(N('Dvd Calendar'!$L$736)&gt;0)*(N('Dvd Calendar'!$L$736)&lt;=VAL_SERIAL)*1000000+67*1000+8))</f>
        <v/>
      </c>
      <c r="EM78" s="39">
        <f>IF(N('Dvd Calendar'!$M$737)=0,"",IF(('Dvd Calendar'!$M$737&gt;=GRID_FROM)*('Dvd Calendar'!$M$737&lt;=GRID_TO)*((('Dvd Calendar'!$M$737&lt;=VAL_DATE)+(COUNTIF('Dvd Calendar'!$E$744:$AR$744,'Dvd Calendar'!$M$737)=0))&gt;0)=0,"",'Dvd Calendar'!$M$737*1000000000+ISNUMBER('Dvd Calendar'!$M$740)*100000000+('Dvd Calendar'!$M$742=SPECIAL_LBL)*10000000+(N('Dvd Calendar'!$M$736)&gt;0)*(N('Dvd Calendar'!$M$736)&lt;=VAL_SERIAL)*1000000+67*1000+9))</f>
        <v/>
      </c>
      <c r="EN78" s="39">
        <f>IF(N('Dvd Calendar'!$N$737)=0,"",IF(('Dvd Calendar'!$N$737&gt;=GRID_FROM)*('Dvd Calendar'!$N$737&lt;=GRID_TO)*((('Dvd Calendar'!$N$737&lt;=VAL_DATE)+(COUNTIF('Dvd Calendar'!$E$744:$AR$744,'Dvd Calendar'!$N$737)=0))&gt;0)=0,"",'Dvd Calendar'!$N$737*1000000000+ISNUMBER('Dvd Calendar'!$N$740)*100000000+('Dvd Calendar'!$N$742=SPECIAL_LBL)*10000000+(N('Dvd Calendar'!$N$736)&gt;0)*(N('Dvd Calendar'!$N$736)&lt;=VAL_SERIAL)*1000000+67*1000+10))</f>
        <v/>
      </c>
      <c r="EO78" s="39">
        <f>IF(N('Dvd Calendar'!$O$737)=0,"",IF(('Dvd Calendar'!$O$737&gt;=GRID_FROM)*('Dvd Calendar'!$O$737&lt;=GRID_TO)*((('Dvd Calendar'!$O$737&lt;=VAL_DATE)+(COUNTIF('Dvd Calendar'!$E$744:$AR$744,'Dvd Calendar'!$O$737)=0))&gt;0)=0,"",'Dvd Calendar'!$O$737*1000000000+ISNUMBER('Dvd Calendar'!$O$740)*100000000+('Dvd Calendar'!$O$742=SPECIAL_LBL)*10000000+(N('Dvd Calendar'!$O$736)&gt;0)*(N('Dvd Calendar'!$O$736)&lt;=VAL_SERIAL)*1000000+67*1000+11))</f>
        <v/>
      </c>
      <c r="EP78" s="39">
        <f>IF(N('Dvd Calendar'!$P$737)=0,"",IF(('Dvd Calendar'!$P$737&gt;=GRID_FROM)*('Dvd Calendar'!$P$737&lt;=GRID_TO)*((('Dvd Calendar'!$P$737&lt;=VAL_DATE)+(COUNTIF('Dvd Calendar'!$E$744:$AR$744,'Dvd Calendar'!$P$737)=0))&gt;0)=0,"",'Dvd Calendar'!$P$737*1000000000+ISNUMBER('Dvd Calendar'!$P$740)*100000000+('Dvd Calendar'!$P$742=SPECIAL_LBL)*10000000+(N('Dvd Calendar'!$P$736)&gt;0)*(N('Dvd Calendar'!$P$736)&lt;=VAL_SERIAL)*1000000+67*1000+12))</f>
        <v/>
      </c>
      <c r="EQ78" s="39">
        <f>IF(N('Dvd Calendar'!$Q$737)=0,"",IF(('Dvd Calendar'!$Q$737&gt;=GRID_FROM)*('Dvd Calendar'!$Q$737&lt;=GRID_TO)*((('Dvd Calendar'!$Q$737&lt;=VAL_DATE)+(COUNTIF('Dvd Calendar'!$E$744:$AR$744,'Dvd Calendar'!$Q$737)=0))&gt;0)=0,"",'Dvd Calendar'!$Q$737*1000000000+ISNUMBER('Dvd Calendar'!$Q$740)*100000000+('Dvd Calendar'!$Q$742=SPECIAL_LBL)*10000000+(N('Dvd Calendar'!$Q$736)&gt;0)*(N('Dvd Calendar'!$Q$736)&lt;=VAL_SERIAL)*1000000+67*1000+13))</f>
        <v/>
      </c>
      <c r="ER78" s="39">
        <f>IF(N('Dvd Calendar'!$R$737)=0,"",IF(('Dvd Calendar'!$R$737&gt;=GRID_FROM)*('Dvd Calendar'!$R$737&lt;=GRID_TO)*((('Dvd Calendar'!$R$737&lt;=VAL_DATE)+(COUNTIF('Dvd Calendar'!$E$744:$AR$744,'Dvd Calendar'!$R$737)=0))&gt;0)=0,"",'Dvd Calendar'!$R$737*1000000000+ISNUMBER('Dvd Calendar'!$R$740)*100000000+('Dvd Calendar'!$R$742=SPECIAL_LBL)*10000000+(N('Dvd Calendar'!$R$736)&gt;0)*(N('Dvd Calendar'!$R$736)&lt;=VAL_SERIAL)*1000000+67*1000+14))</f>
        <v/>
      </c>
      <c r="ES78" s="39">
        <f>IF(N('Dvd Calendar'!$S$737)=0,"",IF(('Dvd Calendar'!$S$737&gt;=GRID_FROM)*('Dvd Calendar'!$S$737&lt;=GRID_TO)*((('Dvd Calendar'!$S$737&lt;=VAL_DATE)+(COUNTIF('Dvd Calendar'!$E$744:$AR$744,'Dvd Calendar'!$S$737)=0))&gt;0)=0,"",'Dvd Calendar'!$S$737*1000000000+ISNUMBER('Dvd Calendar'!$S$740)*100000000+('Dvd Calendar'!$S$742=SPECIAL_LBL)*10000000+(N('Dvd Calendar'!$S$736)&gt;0)*(N('Dvd Calendar'!$S$736)&lt;=VAL_SERIAL)*1000000+67*1000+15))</f>
        <v/>
      </c>
      <c r="ET78" s="39">
        <f>IF(N('Dvd Calendar'!$T$737)=0,"",IF(('Dvd Calendar'!$T$737&gt;=GRID_FROM)*('Dvd Calendar'!$T$737&lt;=GRID_TO)*((('Dvd Calendar'!$T$737&lt;=VAL_DATE)+(COUNTIF('Dvd Calendar'!$E$744:$AR$744,'Dvd Calendar'!$T$737)=0))&gt;0)=0,"",'Dvd Calendar'!$T$737*1000000000+ISNUMBER('Dvd Calendar'!$T$740)*100000000+('Dvd Calendar'!$T$742=SPECIAL_LBL)*10000000+(N('Dvd Calendar'!$T$736)&gt;0)*(N('Dvd Calendar'!$T$736)&lt;=VAL_SERIAL)*1000000+67*1000+16))</f>
        <v/>
      </c>
      <c r="EU78" s="39">
        <f>IF(N('Dvd Calendar'!$U$737)=0,"",IF(('Dvd Calendar'!$U$737&gt;=GRID_FROM)*('Dvd Calendar'!$U$737&lt;=GRID_TO)*((('Dvd Calendar'!$U$737&lt;=VAL_DATE)+(COUNTIF('Dvd Calendar'!$E$744:$AR$744,'Dvd Calendar'!$U$737)=0))&gt;0)=0,"",'Dvd Calendar'!$U$737*1000000000+ISNUMBER('Dvd Calendar'!$U$740)*100000000+('Dvd Calendar'!$U$742=SPECIAL_LBL)*10000000+(N('Dvd Calendar'!$U$736)&gt;0)*(N('Dvd Calendar'!$U$736)&lt;=VAL_SERIAL)*1000000+67*1000+17))</f>
        <v/>
      </c>
      <c r="EV78" s="39">
        <f>IF(N('Dvd Calendar'!$V$737)=0,"",IF(('Dvd Calendar'!$V$737&gt;=GRID_FROM)*('Dvd Calendar'!$V$737&lt;=GRID_TO)*((('Dvd Calendar'!$V$737&lt;=VAL_DATE)+(COUNTIF('Dvd Calendar'!$E$744:$AR$744,'Dvd Calendar'!$V$737)=0))&gt;0)=0,"",'Dvd Calendar'!$V$737*1000000000+ISNUMBER('Dvd Calendar'!$V$740)*100000000+('Dvd Calendar'!$V$742=SPECIAL_LBL)*10000000+(N('Dvd Calendar'!$V$736)&gt;0)*(N('Dvd Calendar'!$V$736)&lt;=VAL_SERIAL)*1000000+67*1000+18))</f>
        <v/>
      </c>
      <c r="EW78" s="39">
        <f>IF(N('Dvd Calendar'!$W$737)=0,"",IF(('Dvd Calendar'!$W$737&gt;=GRID_FROM)*('Dvd Calendar'!$W$737&lt;=GRID_TO)*((('Dvd Calendar'!$W$737&lt;=VAL_DATE)+(COUNTIF('Dvd Calendar'!$E$744:$AR$744,'Dvd Calendar'!$W$737)=0))&gt;0)=0,"",'Dvd Calendar'!$W$737*1000000000+ISNUMBER('Dvd Calendar'!$W$740)*100000000+('Dvd Calendar'!$W$742=SPECIAL_LBL)*10000000+(N('Dvd Calendar'!$W$736)&gt;0)*(N('Dvd Calendar'!$W$736)&lt;=VAL_SERIAL)*1000000+67*1000+19))</f>
        <v/>
      </c>
      <c r="EX78" s="39">
        <f>IF(N('Dvd Calendar'!$X$737)=0,"",IF(('Dvd Calendar'!$X$737&gt;=GRID_FROM)*('Dvd Calendar'!$X$737&lt;=GRID_TO)*((('Dvd Calendar'!$X$737&lt;=VAL_DATE)+(COUNTIF('Dvd Calendar'!$E$744:$AR$744,'Dvd Calendar'!$X$737)=0))&gt;0)=0,"",'Dvd Calendar'!$X$737*1000000000+ISNUMBER('Dvd Calendar'!$X$740)*100000000+('Dvd Calendar'!$X$742=SPECIAL_LBL)*10000000+(N('Dvd Calendar'!$X$736)&gt;0)*(N('Dvd Calendar'!$X$736)&lt;=VAL_SERIAL)*1000000+67*1000+20))</f>
        <v/>
      </c>
      <c r="EY78" s="39">
        <f>IF(N('Dvd Calendar'!$Y$737)=0,"",IF(('Dvd Calendar'!$Y$737&gt;=GRID_FROM)*('Dvd Calendar'!$Y$737&lt;=GRID_TO)*((('Dvd Calendar'!$Y$737&lt;=VAL_DATE)+(COUNTIF('Dvd Calendar'!$E$744:$AR$744,'Dvd Calendar'!$Y$737)=0))&gt;0)=0,"",'Dvd Calendar'!$Y$737*1000000000+ISNUMBER('Dvd Calendar'!$Y$740)*100000000+('Dvd Calendar'!$Y$742=SPECIAL_LBL)*10000000+(N('Dvd Calendar'!$Y$736)&gt;0)*(N('Dvd Calendar'!$Y$736)&lt;=VAL_SERIAL)*1000000+67*1000+21))</f>
        <v/>
      </c>
      <c r="EZ78" s="39">
        <f>IF(N('Dvd Calendar'!$Z$737)=0,"",IF(('Dvd Calendar'!$Z$737&gt;=GRID_FROM)*('Dvd Calendar'!$Z$737&lt;=GRID_TO)*((('Dvd Calendar'!$Z$737&lt;=VAL_DATE)+(COUNTIF('Dvd Calendar'!$E$744:$AR$744,'Dvd Calendar'!$Z$737)=0))&gt;0)=0,"",'Dvd Calendar'!$Z$737*1000000000+ISNUMBER('Dvd Calendar'!$Z$740)*100000000+('Dvd Calendar'!$Z$742=SPECIAL_LBL)*10000000+(N('Dvd Calendar'!$Z$736)&gt;0)*(N('Dvd Calendar'!$Z$736)&lt;=VAL_SERIAL)*1000000+67*1000+22))</f>
        <v/>
      </c>
      <c r="FA78" s="39">
        <f>IF(N('Dvd Calendar'!$AA$737)=0,"",IF(('Dvd Calendar'!$AA$737&gt;=GRID_FROM)*('Dvd Calendar'!$AA$737&lt;=GRID_TO)*((('Dvd Calendar'!$AA$737&lt;=VAL_DATE)+(COUNTIF('Dvd Calendar'!$E$744:$AR$744,'Dvd Calendar'!$AA$737)=0))&gt;0)=0,"",'Dvd Calendar'!$AA$737*1000000000+ISNUMBER('Dvd Calendar'!$AA$740)*100000000+('Dvd Calendar'!$AA$742=SPECIAL_LBL)*10000000+(N('Dvd Calendar'!$AA$736)&gt;0)*(N('Dvd Calendar'!$AA$736)&lt;=VAL_SERIAL)*1000000+67*1000+23))</f>
        <v/>
      </c>
      <c r="FB78" s="39">
        <f>IF(N('Dvd Calendar'!$AB$737)=0,"",IF(('Dvd Calendar'!$AB$737&gt;=GRID_FROM)*('Dvd Calendar'!$AB$737&lt;=GRID_TO)*((('Dvd Calendar'!$AB$737&lt;=VAL_DATE)+(COUNTIF('Dvd Calendar'!$E$744:$AR$744,'Dvd Calendar'!$AB$737)=0))&gt;0)=0,"",'Dvd Calendar'!$AB$737*1000000000+ISNUMBER('Dvd Calendar'!$AB$740)*100000000+('Dvd Calendar'!$AB$742=SPECIAL_LBL)*10000000+(N('Dvd Calendar'!$AB$736)&gt;0)*(N('Dvd Calendar'!$AB$736)&lt;=VAL_SERIAL)*1000000+67*1000+24))</f>
        <v/>
      </c>
      <c r="FC78" s="39">
        <f>IF(N('Dvd Calendar'!$AC$737)=0,"",IF(('Dvd Calendar'!$AC$737&gt;=GRID_FROM)*('Dvd Calendar'!$AC$737&lt;=GRID_TO)*((('Dvd Calendar'!$AC$737&lt;=VAL_DATE)+(COUNTIF('Dvd Calendar'!$E$744:$AR$744,'Dvd Calendar'!$AC$737)=0))&gt;0)=0,"",'Dvd Calendar'!$AC$737*1000000000+ISNUMBER('Dvd Calendar'!$AC$740)*100000000+('Dvd Calendar'!$AC$742=SPECIAL_LBL)*10000000+(N('Dvd Calendar'!$AC$736)&gt;0)*(N('Dvd Calendar'!$AC$736)&lt;=VAL_SERIAL)*1000000+67*1000+25))</f>
        <v/>
      </c>
      <c r="FD78" s="39">
        <f>IF(N('Dvd Calendar'!$AD$737)=0,"",IF(('Dvd Calendar'!$AD$737&gt;=GRID_FROM)*('Dvd Calendar'!$AD$737&lt;=GRID_TO)*((('Dvd Calendar'!$AD$737&lt;=VAL_DATE)+(COUNTIF('Dvd Calendar'!$E$744:$AR$744,'Dvd Calendar'!$AD$737)=0))&gt;0)=0,"",'Dvd Calendar'!$AD$737*1000000000+ISNUMBER('Dvd Calendar'!$AD$740)*100000000+('Dvd Calendar'!$AD$742=SPECIAL_LBL)*10000000+(N('Dvd Calendar'!$AD$736)&gt;0)*(N('Dvd Calendar'!$AD$736)&lt;=VAL_SERIAL)*1000000+67*1000+26))</f>
        <v/>
      </c>
      <c r="FE78" s="39">
        <f>IF(N('Dvd Calendar'!$AE$737)=0,"",IF(('Dvd Calendar'!$AE$737&gt;=GRID_FROM)*('Dvd Calendar'!$AE$737&lt;=GRID_TO)*((('Dvd Calendar'!$AE$737&lt;=VAL_DATE)+(COUNTIF('Dvd Calendar'!$E$744:$AR$744,'Dvd Calendar'!$AE$737)=0))&gt;0)=0,"",'Dvd Calendar'!$AE$737*1000000000+ISNUMBER('Dvd Calendar'!$AE$740)*100000000+('Dvd Calendar'!$AE$742=SPECIAL_LBL)*10000000+(N('Dvd Calendar'!$AE$736)&gt;0)*(N('Dvd Calendar'!$AE$736)&lt;=VAL_SERIAL)*1000000+67*1000+27))</f>
        <v/>
      </c>
      <c r="FF78" s="39">
        <f>IF(N('Dvd Calendar'!$AF$737)=0,"",IF(('Dvd Calendar'!$AF$737&gt;=GRID_FROM)*('Dvd Calendar'!$AF$737&lt;=GRID_TO)*((('Dvd Calendar'!$AF$737&lt;=VAL_DATE)+(COUNTIF('Dvd Calendar'!$E$744:$AR$744,'Dvd Calendar'!$AF$737)=0))&gt;0)=0,"",'Dvd Calendar'!$AF$737*1000000000+ISNUMBER('Dvd Calendar'!$AF$740)*100000000+('Dvd Calendar'!$AF$742=SPECIAL_LBL)*10000000+(N('Dvd Calendar'!$AF$736)&gt;0)*(N('Dvd Calendar'!$AF$736)&lt;=VAL_SERIAL)*1000000+67*1000+28))</f>
        <v/>
      </c>
      <c r="FG78" s="39">
        <f>IF(N('Dvd Calendar'!$AG$737)=0,"",IF(('Dvd Calendar'!$AG$737&gt;=GRID_FROM)*('Dvd Calendar'!$AG$737&lt;=GRID_TO)*((('Dvd Calendar'!$AG$737&lt;=VAL_DATE)+(COUNTIF('Dvd Calendar'!$E$744:$AR$744,'Dvd Calendar'!$AG$737)=0))&gt;0)=0,"",'Dvd Calendar'!$AG$737*1000000000+ISNUMBER('Dvd Calendar'!$AG$740)*100000000+('Dvd Calendar'!$AG$742=SPECIAL_LBL)*10000000+(N('Dvd Calendar'!$AG$736)&gt;0)*(N('Dvd Calendar'!$AG$736)&lt;=VAL_SERIAL)*1000000+67*1000+29))</f>
        <v/>
      </c>
      <c r="FH78" s="39">
        <f>IF(N('Dvd Calendar'!$AH$737)=0,"",IF(('Dvd Calendar'!$AH$737&gt;=GRID_FROM)*('Dvd Calendar'!$AH$737&lt;=GRID_TO)*((('Dvd Calendar'!$AH$737&lt;=VAL_DATE)+(COUNTIF('Dvd Calendar'!$E$744:$AR$744,'Dvd Calendar'!$AH$737)=0))&gt;0)=0,"",'Dvd Calendar'!$AH$737*1000000000+ISNUMBER('Dvd Calendar'!$AH$740)*100000000+('Dvd Calendar'!$AH$742=SPECIAL_LBL)*10000000+(N('Dvd Calendar'!$AH$736)&gt;0)*(N('Dvd Calendar'!$AH$736)&lt;=VAL_SERIAL)*1000000+67*1000+30))</f>
        <v/>
      </c>
      <c r="FI78" s="39">
        <f>IF(N('Dvd Calendar'!$AI$737)=0,"",IF(('Dvd Calendar'!$AI$737&gt;=GRID_FROM)*('Dvd Calendar'!$AI$737&lt;=GRID_TO)*((('Dvd Calendar'!$AI$737&lt;=VAL_DATE)+(COUNTIF('Dvd Calendar'!$E$744:$AR$744,'Dvd Calendar'!$AI$737)=0))&gt;0)=0,"",'Dvd Calendar'!$AI$737*1000000000+ISNUMBER('Dvd Calendar'!$AI$740)*100000000+('Dvd Calendar'!$AI$742=SPECIAL_LBL)*10000000+(N('Dvd Calendar'!$AI$736)&gt;0)*(N('Dvd Calendar'!$AI$736)&lt;=VAL_SERIAL)*1000000+67*1000+31))</f>
        <v/>
      </c>
      <c r="FJ78" s="39">
        <f>IF(N('Dvd Calendar'!$AJ$737)=0,"",IF(('Dvd Calendar'!$AJ$737&gt;=GRID_FROM)*('Dvd Calendar'!$AJ$737&lt;=GRID_TO)*((('Dvd Calendar'!$AJ$737&lt;=VAL_DATE)+(COUNTIF('Dvd Calendar'!$E$744:$AR$744,'Dvd Calendar'!$AJ$737)=0))&gt;0)=0,"",'Dvd Calendar'!$AJ$737*1000000000+ISNUMBER('Dvd Calendar'!$AJ$740)*100000000+('Dvd Calendar'!$AJ$742=SPECIAL_LBL)*10000000+(N('Dvd Calendar'!$AJ$736)&gt;0)*(N('Dvd Calendar'!$AJ$736)&lt;=VAL_SERIAL)*1000000+67*1000+32))</f>
        <v/>
      </c>
      <c r="FK78" s="39">
        <f>IF(N('Dvd Calendar'!$AK$737)=0,"",IF(('Dvd Calendar'!$AK$737&gt;=GRID_FROM)*('Dvd Calendar'!$AK$737&lt;=GRID_TO)*((('Dvd Calendar'!$AK$737&lt;=VAL_DATE)+(COUNTIF('Dvd Calendar'!$E$744:$AR$744,'Dvd Calendar'!$AK$737)=0))&gt;0)=0,"",'Dvd Calendar'!$AK$737*1000000000+ISNUMBER('Dvd Calendar'!$AK$740)*100000000+('Dvd Calendar'!$AK$742=SPECIAL_LBL)*10000000+(N('Dvd Calendar'!$AK$736)&gt;0)*(N('Dvd Calendar'!$AK$736)&lt;=VAL_SERIAL)*1000000+67*1000+33))</f>
        <v/>
      </c>
      <c r="FL78" s="39">
        <f>IF(N('Dvd Calendar'!$AL$737)=0,"",IF(('Dvd Calendar'!$AL$737&gt;=GRID_FROM)*('Dvd Calendar'!$AL$737&lt;=GRID_TO)*((('Dvd Calendar'!$AL$737&lt;=VAL_DATE)+(COUNTIF('Dvd Calendar'!$E$744:$AR$744,'Dvd Calendar'!$AL$737)=0))&gt;0)=0,"",'Dvd Calendar'!$AL$737*1000000000+ISNUMBER('Dvd Calendar'!$AL$740)*100000000+('Dvd Calendar'!$AL$742=SPECIAL_LBL)*10000000+(N('Dvd Calendar'!$AL$736)&gt;0)*(N('Dvd Calendar'!$AL$736)&lt;=VAL_SERIAL)*1000000+67*1000+34))</f>
        <v/>
      </c>
      <c r="FM78" s="39">
        <f>IF(N('Dvd Calendar'!$AM$737)=0,"",IF(('Dvd Calendar'!$AM$737&gt;=GRID_FROM)*('Dvd Calendar'!$AM$737&lt;=GRID_TO)*((('Dvd Calendar'!$AM$737&lt;=VAL_DATE)+(COUNTIF('Dvd Calendar'!$E$744:$AR$744,'Dvd Calendar'!$AM$737)=0))&gt;0)=0,"",'Dvd Calendar'!$AM$737*1000000000+ISNUMBER('Dvd Calendar'!$AM$740)*100000000+('Dvd Calendar'!$AM$742=SPECIAL_LBL)*10000000+(N('Dvd Calendar'!$AM$736)&gt;0)*(N('Dvd Calendar'!$AM$736)&lt;=VAL_SERIAL)*1000000+67*1000+35))</f>
        <v/>
      </c>
      <c r="FN78" s="39">
        <f>IF(N('Dvd Calendar'!$AN$737)=0,"",IF(('Dvd Calendar'!$AN$737&gt;=GRID_FROM)*('Dvd Calendar'!$AN$737&lt;=GRID_TO)*((('Dvd Calendar'!$AN$737&lt;=VAL_DATE)+(COUNTIF('Dvd Calendar'!$E$744:$AR$744,'Dvd Calendar'!$AN$737)=0))&gt;0)=0,"",'Dvd Calendar'!$AN$737*1000000000+ISNUMBER('Dvd Calendar'!$AN$740)*100000000+('Dvd Calendar'!$AN$742=SPECIAL_LBL)*10000000+(N('Dvd Calendar'!$AN$736)&gt;0)*(N('Dvd Calendar'!$AN$736)&lt;=VAL_SERIAL)*1000000+67*1000+36))</f>
        <v/>
      </c>
      <c r="FO78" s="39">
        <f>IF(N('Dvd Calendar'!$AO$737)=0,"",IF(('Dvd Calendar'!$AO$737&gt;=GRID_FROM)*('Dvd Calendar'!$AO$737&lt;=GRID_TO)*((('Dvd Calendar'!$AO$737&lt;=VAL_DATE)+(COUNTIF('Dvd Calendar'!$E$744:$AR$744,'Dvd Calendar'!$AO$737)=0))&gt;0)=0,"",'Dvd Calendar'!$AO$737*1000000000+ISNUMBER('Dvd Calendar'!$AO$740)*100000000+('Dvd Calendar'!$AO$742=SPECIAL_LBL)*10000000+(N('Dvd Calendar'!$AO$736)&gt;0)*(N('Dvd Calendar'!$AO$736)&lt;=VAL_SERIAL)*1000000+67*1000+37))</f>
        <v/>
      </c>
      <c r="FP78" s="39">
        <f>IF(N('Dvd Calendar'!$AP$737)=0,"",IF(('Dvd Calendar'!$AP$737&gt;=GRID_FROM)*('Dvd Calendar'!$AP$737&lt;=GRID_TO)*((('Dvd Calendar'!$AP$737&lt;=VAL_DATE)+(COUNTIF('Dvd Calendar'!$E$744:$AR$744,'Dvd Calendar'!$AP$737)=0))&gt;0)=0,"",'Dvd Calendar'!$AP$737*1000000000+ISNUMBER('Dvd Calendar'!$AP$740)*100000000+('Dvd Calendar'!$AP$742=SPECIAL_LBL)*10000000+(N('Dvd Calendar'!$AP$736)&gt;0)*(N('Dvd Calendar'!$AP$736)&lt;=VAL_SERIAL)*1000000+67*1000+38))</f>
        <v/>
      </c>
      <c r="FQ78" s="39">
        <f>IF(N('Dvd Calendar'!$AQ$737)=0,"",IF(('Dvd Calendar'!$AQ$737&gt;=GRID_FROM)*('Dvd Calendar'!$AQ$737&lt;=GRID_TO)*((('Dvd Calendar'!$AQ$737&lt;=VAL_DATE)+(COUNTIF('Dvd Calendar'!$E$744:$AR$744,'Dvd Calendar'!$AQ$737)=0))&gt;0)=0,"",'Dvd Calendar'!$AQ$737*1000000000+ISNUMBER('Dvd Calendar'!$AQ$740)*100000000+('Dvd Calendar'!$AQ$742=SPECIAL_LBL)*10000000+(N('Dvd Calendar'!$AQ$736)&gt;0)*(N('Dvd Calendar'!$AQ$736)&lt;=VAL_SERIAL)*1000000+67*1000+39))</f>
        <v/>
      </c>
      <c r="FR78" s="39">
        <f>IF(N('Dvd Calendar'!$AR$737)=0,"",IF(('Dvd Calendar'!$AR$737&gt;=GRID_FROM)*('Dvd Calendar'!$AR$737&lt;=GRID_TO)*((('Dvd Calendar'!$AR$737&lt;=VAL_DATE)+(COUNTIF('Dvd Calendar'!$E$744:$AR$744,'Dvd Calendar'!$AR$737)=0))&gt;0)=0,"",'Dvd Calendar'!$AR$737*1000000000+ISNUMBER('Dvd Calendar'!$AR$740)*100000000+('Dvd Calendar'!$AR$742=SPECIAL_LBL)*10000000+(N('Dvd Calendar'!$AR$736)&gt;0)*(N('Dvd Calendar'!$AR$736)&lt;=VAL_SERIAL)*1000000+67*1000+40))</f>
        <v/>
      </c>
      <c r="FS78" s="39">
        <f>IF(N('Dvd Calendar'!$E$744)=0,"",IF(('Dvd Calendar'!$E$744&gt;=GRID_FROM)*('Dvd Calendar'!$E$744&lt;=GRID_TO)*('Dvd Calendar'!$E$744&gt;VAL_DATE)=0,"",'Dvd Calendar'!$E$744*1000000000+ISNUMBER('Dvd Calendar'!$E$745)*100000000+0*10000000+(N('Dvd Calendar'!$E$743)&gt;0)*(N('Dvd Calendar'!$E$743)&lt;=VAL_SERIAL)*1000000+67*1000+41))</f>
        <v/>
      </c>
      <c r="FT78" s="39">
        <f>IF(N('Dvd Calendar'!$F$744)=0,"",IF(('Dvd Calendar'!$F$744&gt;=GRID_FROM)*('Dvd Calendar'!$F$744&lt;=GRID_TO)*('Dvd Calendar'!$F$744&gt;VAL_DATE)=0,"",'Dvd Calendar'!$F$744*1000000000+ISNUMBER('Dvd Calendar'!$F$745)*100000000+0*10000000+(N('Dvd Calendar'!$F$743)&gt;0)*(N('Dvd Calendar'!$F$743)&lt;=VAL_SERIAL)*1000000+67*1000+42))</f>
        <v/>
      </c>
      <c r="FU78" s="39">
        <f>IF(N('Dvd Calendar'!$G$744)=0,"",IF(('Dvd Calendar'!$G$744&gt;=GRID_FROM)*('Dvd Calendar'!$G$744&lt;=GRID_TO)*('Dvd Calendar'!$G$744&gt;VAL_DATE)=0,"",'Dvd Calendar'!$G$744*1000000000+ISNUMBER('Dvd Calendar'!$G$745)*100000000+0*10000000+(N('Dvd Calendar'!$G$743)&gt;0)*(N('Dvd Calendar'!$G$743)&lt;=VAL_SERIAL)*1000000+67*1000+43))</f>
        <v/>
      </c>
      <c r="FV78" s="39">
        <f>IF(N('Dvd Calendar'!$H$744)=0,"",IF(('Dvd Calendar'!$H$744&gt;=GRID_FROM)*('Dvd Calendar'!$H$744&lt;=GRID_TO)*('Dvd Calendar'!$H$744&gt;VAL_DATE)=0,"",'Dvd Calendar'!$H$744*1000000000+ISNUMBER('Dvd Calendar'!$H$745)*100000000+0*10000000+(N('Dvd Calendar'!$H$743)&gt;0)*(N('Dvd Calendar'!$H$743)&lt;=VAL_SERIAL)*1000000+67*1000+44))</f>
        <v/>
      </c>
      <c r="FW78" s="39">
        <f>IF(N('Dvd Calendar'!$I$744)=0,"",IF(('Dvd Calendar'!$I$744&gt;=GRID_FROM)*('Dvd Calendar'!$I$744&lt;=GRID_TO)*('Dvd Calendar'!$I$744&gt;VAL_DATE)=0,"",'Dvd Calendar'!$I$744*1000000000+ISNUMBER('Dvd Calendar'!$I$745)*100000000+0*10000000+(N('Dvd Calendar'!$I$743)&gt;0)*(N('Dvd Calendar'!$I$743)&lt;=VAL_SERIAL)*1000000+67*1000+45))</f>
        <v/>
      </c>
      <c r="FX78" s="39">
        <f>IF(N('Dvd Calendar'!$J$744)=0,"",IF(('Dvd Calendar'!$J$744&gt;=GRID_FROM)*('Dvd Calendar'!$J$744&lt;=GRID_TO)*('Dvd Calendar'!$J$744&gt;VAL_DATE)=0,"",'Dvd Calendar'!$J$744*1000000000+ISNUMBER('Dvd Calendar'!$J$745)*100000000+0*10000000+(N('Dvd Calendar'!$J$743)&gt;0)*(N('Dvd Calendar'!$J$743)&lt;=VAL_SERIAL)*1000000+67*1000+46))</f>
        <v/>
      </c>
      <c r="FY78" s="39">
        <f>IF(N('Dvd Calendar'!$K$744)=0,"",IF(('Dvd Calendar'!$K$744&gt;=GRID_FROM)*('Dvd Calendar'!$K$744&lt;=GRID_TO)*('Dvd Calendar'!$K$744&gt;VAL_DATE)=0,"",'Dvd Calendar'!$K$744*1000000000+ISNUMBER('Dvd Calendar'!$K$745)*100000000+0*10000000+(N('Dvd Calendar'!$K$743)&gt;0)*(N('Dvd Calendar'!$K$743)&lt;=VAL_SERIAL)*1000000+67*1000+47))</f>
        <v/>
      </c>
      <c r="FZ78" s="39">
        <f>IF(N('Dvd Calendar'!$L$744)=0,"",IF(('Dvd Calendar'!$L$744&gt;=GRID_FROM)*('Dvd Calendar'!$L$744&lt;=GRID_TO)*('Dvd Calendar'!$L$744&gt;VAL_DATE)=0,"",'Dvd Calendar'!$L$744*1000000000+ISNUMBER('Dvd Calendar'!$L$745)*100000000+0*10000000+(N('Dvd Calendar'!$L$743)&gt;0)*(N('Dvd Calendar'!$L$743)&lt;=VAL_SERIAL)*1000000+67*1000+48))</f>
        <v/>
      </c>
      <c r="GA78" s="39">
        <f>IF(N('Dvd Calendar'!$M$744)=0,"",IF(('Dvd Calendar'!$M$744&gt;=GRID_FROM)*('Dvd Calendar'!$M$744&lt;=GRID_TO)*('Dvd Calendar'!$M$744&gt;VAL_DATE)=0,"",'Dvd Calendar'!$M$744*1000000000+ISNUMBER('Dvd Calendar'!$M$745)*100000000+0*10000000+(N('Dvd Calendar'!$M$743)&gt;0)*(N('Dvd Calendar'!$M$743)&lt;=VAL_SERIAL)*1000000+67*1000+49))</f>
        <v/>
      </c>
      <c r="GB78" s="39">
        <f>IF(N('Dvd Calendar'!$N$744)=0,"",IF(('Dvd Calendar'!$N$744&gt;=GRID_FROM)*('Dvd Calendar'!$N$744&lt;=GRID_TO)*('Dvd Calendar'!$N$744&gt;VAL_DATE)=0,"",'Dvd Calendar'!$N$744*1000000000+ISNUMBER('Dvd Calendar'!$N$745)*100000000+0*10000000+(N('Dvd Calendar'!$N$743)&gt;0)*(N('Dvd Calendar'!$N$743)&lt;=VAL_SERIAL)*1000000+67*1000+50))</f>
        <v/>
      </c>
      <c r="GC78" s="39">
        <f>IF(N('Dvd Calendar'!$O$744)=0,"",IF(('Dvd Calendar'!$O$744&gt;=GRID_FROM)*('Dvd Calendar'!$O$744&lt;=GRID_TO)*('Dvd Calendar'!$O$744&gt;VAL_DATE)=0,"",'Dvd Calendar'!$O$744*1000000000+ISNUMBER('Dvd Calendar'!$O$745)*100000000+0*10000000+(N('Dvd Calendar'!$O$743)&gt;0)*(N('Dvd Calendar'!$O$743)&lt;=VAL_SERIAL)*1000000+67*1000+51))</f>
        <v/>
      </c>
      <c r="GD78" s="39">
        <f>IF(N('Dvd Calendar'!$P$744)=0,"",IF(('Dvd Calendar'!$P$744&gt;=GRID_FROM)*('Dvd Calendar'!$P$744&lt;=GRID_TO)*('Dvd Calendar'!$P$744&gt;VAL_DATE)=0,"",'Dvd Calendar'!$P$744*1000000000+ISNUMBER('Dvd Calendar'!$P$745)*100000000+0*10000000+(N('Dvd Calendar'!$P$743)&gt;0)*(N('Dvd Calendar'!$P$743)&lt;=VAL_SERIAL)*1000000+67*1000+52))</f>
        <v/>
      </c>
      <c r="GE78" s="39">
        <f>IF(N('Dvd Calendar'!$Q$744)=0,"",IF(('Dvd Calendar'!$Q$744&gt;=GRID_FROM)*('Dvd Calendar'!$Q$744&lt;=GRID_TO)*('Dvd Calendar'!$Q$744&gt;VAL_DATE)=0,"",'Dvd Calendar'!$Q$744*1000000000+ISNUMBER('Dvd Calendar'!$Q$745)*100000000+0*10000000+(N('Dvd Calendar'!$Q$743)&gt;0)*(N('Dvd Calendar'!$Q$743)&lt;=VAL_SERIAL)*1000000+67*1000+53))</f>
        <v/>
      </c>
      <c r="GF78" s="39">
        <f>IF(N('Dvd Calendar'!$R$744)=0,"",IF(('Dvd Calendar'!$R$744&gt;=GRID_FROM)*('Dvd Calendar'!$R$744&lt;=GRID_TO)*('Dvd Calendar'!$R$744&gt;VAL_DATE)=0,"",'Dvd Calendar'!$R$744*1000000000+ISNUMBER('Dvd Calendar'!$R$745)*100000000+0*10000000+(N('Dvd Calendar'!$R$743)&gt;0)*(N('Dvd Calendar'!$R$743)&lt;=VAL_SERIAL)*1000000+67*1000+54))</f>
        <v/>
      </c>
      <c r="GG78" s="39">
        <f>IF(N('Dvd Calendar'!$S$744)=0,"",IF(('Dvd Calendar'!$S$744&gt;=GRID_FROM)*('Dvd Calendar'!$S$744&lt;=GRID_TO)*('Dvd Calendar'!$S$744&gt;VAL_DATE)=0,"",'Dvd Calendar'!$S$744*1000000000+ISNUMBER('Dvd Calendar'!$S$745)*100000000+0*10000000+(N('Dvd Calendar'!$S$743)&gt;0)*(N('Dvd Calendar'!$S$743)&lt;=VAL_SERIAL)*1000000+67*1000+55))</f>
        <v/>
      </c>
      <c r="GH78" s="39">
        <f>IF(N('Dvd Calendar'!$T$744)=0,"",IF(('Dvd Calendar'!$T$744&gt;=GRID_FROM)*('Dvd Calendar'!$T$744&lt;=GRID_TO)*('Dvd Calendar'!$T$744&gt;VAL_DATE)=0,"",'Dvd Calendar'!$T$744*1000000000+ISNUMBER('Dvd Calendar'!$T$745)*100000000+0*10000000+(N('Dvd Calendar'!$T$743)&gt;0)*(N('Dvd Calendar'!$T$743)&lt;=VAL_SERIAL)*1000000+67*1000+56))</f>
        <v/>
      </c>
      <c r="GI78" s="39">
        <f>IF(N('Dvd Calendar'!$U$744)=0,"",IF(('Dvd Calendar'!$U$744&gt;=GRID_FROM)*('Dvd Calendar'!$U$744&lt;=GRID_TO)*('Dvd Calendar'!$U$744&gt;VAL_DATE)=0,"",'Dvd Calendar'!$U$744*1000000000+ISNUMBER('Dvd Calendar'!$U$745)*100000000+0*10000000+(N('Dvd Calendar'!$U$743)&gt;0)*(N('Dvd Calendar'!$U$743)&lt;=VAL_SERIAL)*1000000+67*1000+57))</f>
        <v/>
      </c>
      <c r="GJ78" s="39">
        <f>IF(N('Dvd Calendar'!$V$744)=0,"",IF(('Dvd Calendar'!$V$744&gt;=GRID_FROM)*('Dvd Calendar'!$V$744&lt;=GRID_TO)*('Dvd Calendar'!$V$744&gt;VAL_DATE)=0,"",'Dvd Calendar'!$V$744*1000000000+ISNUMBER('Dvd Calendar'!$V$745)*100000000+0*10000000+(N('Dvd Calendar'!$V$743)&gt;0)*(N('Dvd Calendar'!$V$743)&lt;=VAL_SERIAL)*1000000+67*1000+58))</f>
        <v/>
      </c>
      <c r="GK78" s="39">
        <f>IF(N('Dvd Calendar'!$W$744)=0,"",IF(('Dvd Calendar'!$W$744&gt;=GRID_FROM)*('Dvd Calendar'!$W$744&lt;=GRID_TO)*('Dvd Calendar'!$W$744&gt;VAL_DATE)=0,"",'Dvd Calendar'!$W$744*1000000000+ISNUMBER('Dvd Calendar'!$W$745)*100000000+0*10000000+(N('Dvd Calendar'!$W$743)&gt;0)*(N('Dvd Calendar'!$W$743)&lt;=VAL_SERIAL)*1000000+67*1000+59))</f>
        <v/>
      </c>
      <c r="GL78" s="39">
        <f>IF(N('Dvd Calendar'!$X$744)=0,"",IF(('Dvd Calendar'!$X$744&gt;=GRID_FROM)*('Dvd Calendar'!$X$744&lt;=GRID_TO)*('Dvd Calendar'!$X$744&gt;VAL_DATE)=0,"",'Dvd Calendar'!$X$744*1000000000+ISNUMBER('Dvd Calendar'!$X$745)*100000000+0*10000000+(N('Dvd Calendar'!$X$743)&gt;0)*(N('Dvd Calendar'!$X$743)&lt;=VAL_SERIAL)*1000000+67*1000+60))</f>
        <v/>
      </c>
      <c r="GM78" s="39">
        <f>IF(N('Dvd Calendar'!$Y$744)=0,"",IF(('Dvd Calendar'!$Y$744&gt;=GRID_FROM)*('Dvd Calendar'!$Y$744&lt;=GRID_TO)*('Dvd Calendar'!$Y$744&gt;VAL_DATE)=0,"",'Dvd Calendar'!$Y$744*1000000000+ISNUMBER('Dvd Calendar'!$Y$745)*100000000+0*10000000+(N('Dvd Calendar'!$Y$743)&gt;0)*(N('Dvd Calendar'!$Y$743)&lt;=VAL_SERIAL)*1000000+67*1000+61))</f>
        <v/>
      </c>
      <c r="GN78" s="39">
        <f>IF(N('Dvd Calendar'!$Z$744)=0,"",IF(('Dvd Calendar'!$Z$744&gt;=GRID_FROM)*('Dvd Calendar'!$Z$744&lt;=GRID_TO)*('Dvd Calendar'!$Z$744&gt;VAL_DATE)=0,"",'Dvd Calendar'!$Z$744*1000000000+ISNUMBER('Dvd Calendar'!$Z$745)*100000000+0*10000000+(N('Dvd Calendar'!$Z$743)&gt;0)*(N('Dvd Calendar'!$Z$743)&lt;=VAL_SERIAL)*1000000+67*1000+62))</f>
        <v/>
      </c>
      <c r="GO78" s="39">
        <f>IF(N('Dvd Calendar'!$AA$744)=0,"",IF(('Dvd Calendar'!$AA$744&gt;=GRID_FROM)*('Dvd Calendar'!$AA$744&lt;=GRID_TO)*('Dvd Calendar'!$AA$744&gt;VAL_DATE)=0,"",'Dvd Calendar'!$AA$744*1000000000+ISNUMBER('Dvd Calendar'!$AA$745)*100000000+0*10000000+(N('Dvd Calendar'!$AA$743)&gt;0)*(N('Dvd Calendar'!$AA$743)&lt;=VAL_SERIAL)*1000000+67*1000+63))</f>
        <v/>
      </c>
      <c r="GP78" s="39">
        <f>IF(N('Dvd Calendar'!$AB$744)=0,"",IF(('Dvd Calendar'!$AB$744&gt;=GRID_FROM)*('Dvd Calendar'!$AB$744&lt;=GRID_TO)*('Dvd Calendar'!$AB$744&gt;VAL_DATE)=0,"",'Dvd Calendar'!$AB$744*1000000000+ISNUMBER('Dvd Calendar'!$AB$745)*100000000+0*10000000+(N('Dvd Calendar'!$AB$743)&gt;0)*(N('Dvd Calendar'!$AB$743)&lt;=VAL_SERIAL)*1000000+67*1000+64))</f>
        <v/>
      </c>
      <c r="GQ78" s="39">
        <f>IF(N('Dvd Calendar'!$AC$744)=0,"",IF(('Dvd Calendar'!$AC$744&gt;=GRID_FROM)*('Dvd Calendar'!$AC$744&lt;=GRID_TO)*('Dvd Calendar'!$AC$744&gt;VAL_DATE)=0,"",'Dvd Calendar'!$AC$744*1000000000+ISNUMBER('Dvd Calendar'!$AC$745)*100000000+0*10000000+(N('Dvd Calendar'!$AC$743)&gt;0)*(N('Dvd Calendar'!$AC$743)&lt;=VAL_SERIAL)*1000000+67*1000+65))</f>
        <v/>
      </c>
    </row>
    <row r="79">
      <c r="B79" s="2">
        <f>IF(HSI!$C$74="","",HSI!$C$74)</f>
        <v/>
      </c>
      <c r="C79" s="110">
        <f>IF(EE79="","",IF(ISNUMBER('Dvd Calendar'!$E$751)=FALSE,"",IF((('Dvd Calendar'!$E$753=TYPE1)*(TYPE1&lt;&gt;"")+('Dvd Calendar'!$E$753=TYPE2)*(TYPE2&lt;&gt;"")+('Dvd Calendar'!$E$753=TYPE3)*(TYPE3&lt;&gt;"")+('Dvd Calendar'!$E$753=TYPE4)*(TYPE4&lt;&gt;"")+('Dvd Calendar'!$E$753=SPECIAL_LBL)*(INC_SPECIALS="Y"))=0,"",'Dvd Calendar'!$E$751)))</f>
        <v/>
      </c>
      <c r="D79" s="110">
        <f>IF(EF79="","",IF(ISNUMBER('Dvd Calendar'!$F$751)=FALSE,"",IF((('Dvd Calendar'!$F$753=TYPE1)*(TYPE1&lt;&gt;"")+('Dvd Calendar'!$F$753=TYPE2)*(TYPE2&lt;&gt;"")+('Dvd Calendar'!$F$753=TYPE3)*(TYPE3&lt;&gt;"")+('Dvd Calendar'!$F$753=TYPE4)*(TYPE4&lt;&gt;"")+('Dvd Calendar'!$F$753=SPECIAL_LBL)*(INC_SPECIALS="Y"))=0,"",'Dvd Calendar'!$F$751)))</f>
        <v/>
      </c>
      <c r="E79" s="110">
        <f>IF(EG79="","",IF(ISNUMBER('Dvd Calendar'!$G$751)=FALSE,"",IF((('Dvd Calendar'!$G$753=TYPE1)*(TYPE1&lt;&gt;"")+('Dvd Calendar'!$G$753=TYPE2)*(TYPE2&lt;&gt;"")+('Dvd Calendar'!$G$753=TYPE3)*(TYPE3&lt;&gt;"")+('Dvd Calendar'!$G$753=TYPE4)*(TYPE4&lt;&gt;"")+('Dvd Calendar'!$G$753=SPECIAL_LBL)*(INC_SPECIALS="Y"))=0,"",'Dvd Calendar'!$G$751)))</f>
        <v/>
      </c>
      <c r="F79" s="110">
        <f>IF(EH79="","",IF(ISNUMBER('Dvd Calendar'!$H$751)=FALSE,"",IF((('Dvd Calendar'!$H$753=TYPE1)*(TYPE1&lt;&gt;"")+('Dvd Calendar'!$H$753=TYPE2)*(TYPE2&lt;&gt;"")+('Dvd Calendar'!$H$753=TYPE3)*(TYPE3&lt;&gt;"")+('Dvd Calendar'!$H$753=TYPE4)*(TYPE4&lt;&gt;"")+('Dvd Calendar'!$H$753=SPECIAL_LBL)*(INC_SPECIALS="Y"))=0,"",'Dvd Calendar'!$H$751)))</f>
        <v/>
      </c>
      <c r="G79" s="110">
        <f>IF(EI79="","",IF(ISNUMBER('Dvd Calendar'!$I$751)=FALSE,"",IF((('Dvd Calendar'!$I$753=TYPE1)*(TYPE1&lt;&gt;"")+('Dvd Calendar'!$I$753=TYPE2)*(TYPE2&lt;&gt;"")+('Dvd Calendar'!$I$753=TYPE3)*(TYPE3&lt;&gt;"")+('Dvd Calendar'!$I$753=TYPE4)*(TYPE4&lt;&gt;"")+('Dvd Calendar'!$I$753=SPECIAL_LBL)*(INC_SPECIALS="Y"))=0,"",'Dvd Calendar'!$I$751)))</f>
        <v/>
      </c>
      <c r="H79" s="110">
        <f>IF(EJ79="","",IF(ISNUMBER('Dvd Calendar'!$J$751)=FALSE,"",IF((('Dvd Calendar'!$J$753=TYPE1)*(TYPE1&lt;&gt;"")+('Dvd Calendar'!$J$753=TYPE2)*(TYPE2&lt;&gt;"")+('Dvd Calendar'!$J$753=TYPE3)*(TYPE3&lt;&gt;"")+('Dvd Calendar'!$J$753=TYPE4)*(TYPE4&lt;&gt;"")+('Dvd Calendar'!$J$753=SPECIAL_LBL)*(INC_SPECIALS="Y"))=0,"",'Dvd Calendar'!$J$751)))</f>
        <v/>
      </c>
      <c r="I79" s="110">
        <f>IF(EK79="","",IF(ISNUMBER('Dvd Calendar'!$K$751)=FALSE,"",IF((('Dvd Calendar'!$K$753=TYPE1)*(TYPE1&lt;&gt;"")+('Dvd Calendar'!$K$753=TYPE2)*(TYPE2&lt;&gt;"")+('Dvd Calendar'!$K$753=TYPE3)*(TYPE3&lt;&gt;"")+('Dvd Calendar'!$K$753=TYPE4)*(TYPE4&lt;&gt;"")+('Dvd Calendar'!$K$753=SPECIAL_LBL)*(INC_SPECIALS="Y"))=0,"",'Dvd Calendar'!$K$751)))</f>
        <v/>
      </c>
      <c r="J79" s="110">
        <f>IF(EL79="","",IF(ISNUMBER('Dvd Calendar'!$L$751)=FALSE,"",IF((('Dvd Calendar'!$L$753=TYPE1)*(TYPE1&lt;&gt;"")+('Dvd Calendar'!$L$753=TYPE2)*(TYPE2&lt;&gt;"")+('Dvd Calendar'!$L$753=TYPE3)*(TYPE3&lt;&gt;"")+('Dvd Calendar'!$L$753=TYPE4)*(TYPE4&lt;&gt;"")+('Dvd Calendar'!$L$753=SPECIAL_LBL)*(INC_SPECIALS="Y"))=0,"",'Dvd Calendar'!$L$751)))</f>
        <v/>
      </c>
      <c r="K79" s="110">
        <f>IF(EM79="","",IF(ISNUMBER('Dvd Calendar'!$M$751)=FALSE,"",IF((('Dvd Calendar'!$M$753=TYPE1)*(TYPE1&lt;&gt;"")+('Dvd Calendar'!$M$753=TYPE2)*(TYPE2&lt;&gt;"")+('Dvd Calendar'!$M$753=TYPE3)*(TYPE3&lt;&gt;"")+('Dvd Calendar'!$M$753=TYPE4)*(TYPE4&lt;&gt;"")+('Dvd Calendar'!$M$753=SPECIAL_LBL)*(INC_SPECIALS="Y"))=0,"",'Dvd Calendar'!$M$751)))</f>
        <v/>
      </c>
      <c r="L79" s="110">
        <f>IF(EN79="","",IF(ISNUMBER('Dvd Calendar'!$N$751)=FALSE,"",IF((('Dvd Calendar'!$N$753=TYPE1)*(TYPE1&lt;&gt;"")+('Dvd Calendar'!$N$753=TYPE2)*(TYPE2&lt;&gt;"")+('Dvd Calendar'!$N$753=TYPE3)*(TYPE3&lt;&gt;"")+('Dvd Calendar'!$N$753=TYPE4)*(TYPE4&lt;&gt;"")+('Dvd Calendar'!$N$753=SPECIAL_LBL)*(INC_SPECIALS="Y"))=0,"",'Dvd Calendar'!$N$751)))</f>
        <v/>
      </c>
      <c r="M79" s="110">
        <f>IF(EO79="","",IF(ISNUMBER('Dvd Calendar'!$O$751)=FALSE,"",IF((('Dvd Calendar'!$O$753=TYPE1)*(TYPE1&lt;&gt;"")+('Dvd Calendar'!$O$753=TYPE2)*(TYPE2&lt;&gt;"")+('Dvd Calendar'!$O$753=TYPE3)*(TYPE3&lt;&gt;"")+('Dvd Calendar'!$O$753=TYPE4)*(TYPE4&lt;&gt;"")+('Dvd Calendar'!$O$753=SPECIAL_LBL)*(INC_SPECIALS="Y"))=0,"",'Dvd Calendar'!$O$751)))</f>
        <v/>
      </c>
      <c r="N79" s="110">
        <f>IF(EP79="","",IF(ISNUMBER('Dvd Calendar'!$P$751)=FALSE,"",IF((('Dvd Calendar'!$P$753=TYPE1)*(TYPE1&lt;&gt;"")+('Dvd Calendar'!$P$753=TYPE2)*(TYPE2&lt;&gt;"")+('Dvd Calendar'!$P$753=TYPE3)*(TYPE3&lt;&gt;"")+('Dvd Calendar'!$P$753=TYPE4)*(TYPE4&lt;&gt;"")+('Dvd Calendar'!$P$753=SPECIAL_LBL)*(INC_SPECIALS="Y"))=0,"",'Dvd Calendar'!$P$751)))</f>
        <v/>
      </c>
      <c r="O79" s="110">
        <f>IF(EQ79="","",IF(ISNUMBER('Dvd Calendar'!$Q$751)=FALSE,"",IF((('Dvd Calendar'!$Q$753=TYPE1)*(TYPE1&lt;&gt;"")+('Dvd Calendar'!$Q$753=TYPE2)*(TYPE2&lt;&gt;"")+('Dvd Calendar'!$Q$753=TYPE3)*(TYPE3&lt;&gt;"")+('Dvd Calendar'!$Q$753=TYPE4)*(TYPE4&lt;&gt;"")+('Dvd Calendar'!$Q$753=SPECIAL_LBL)*(INC_SPECIALS="Y"))=0,"",'Dvd Calendar'!$Q$751)))</f>
        <v/>
      </c>
      <c r="P79" s="110">
        <f>IF(ER79="","",IF(ISNUMBER('Dvd Calendar'!$R$751)=FALSE,"",IF((('Dvd Calendar'!$R$753=TYPE1)*(TYPE1&lt;&gt;"")+('Dvd Calendar'!$R$753=TYPE2)*(TYPE2&lt;&gt;"")+('Dvd Calendar'!$R$753=TYPE3)*(TYPE3&lt;&gt;"")+('Dvd Calendar'!$R$753=TYPE4)*(TYPE4&lt;&gt;"")+('Dvd Calendar'!$R$753=SPECIAL_LBL)*(INC_SPECIALS="Y"))=0,"",'Dvd Calendar'!$R$751)))</f>
        <v/>
      </c>
      <c r="Q79" s="110">
        <f>IF(ES79="","",IF(ISNUMBER('Dvd Calendar'!$S$751)=FALSE,"",IF((('Dvd Calendar'!$S$753=TYPE1)*(TYPE1&lt;&gt;"")+('Dvd Calendar'!$S$753=TYPE2)*(TYPE2&lt;&gt;"")+('Dvd Calendar'!$S$753=TYPE3)*(TYPE3&lt;&gt;"")+('Dvd Calendar'!$S$753=TYPE4)*(TYPE4&lt;&gt;"")+('Dvd Calendar'!$S$753=SPECIAL_LBL)*(INC_SPECIALS="Y"))=0,"",'Dvd Calendar'!$S$751)))</f>
        <v/>
      </c>
      <c r="R79" s="110">
        <f>IF(ET79="","",IF(ISNUMBER('Dvd Calendar'!$T$751)=FALSE,"",IF((('Dvd Calendar'!$T$753=TYPE1)*(TYPE1&lt;&gt;"")+('Dvd Calendar'!$T$753=TYPE2)*(TYPE2&lt;&gt;"")+('Dvd Calendar'!$T$753=TYPE3)*(TYPE3&lt;&gt;"")+('Dvd Calendar'!$T$753=TYPE4)*(TYPE4&lt;&gt;"")+('Dvd Calendar'!$T$753=SPECIAL_LBL)*(INC_SPECIALS="Y"))=0,"",'Dvd Calendar'!$T$751)))</f>
        <v/>
      </c>
      <c r="S79" s="110">
        <f>IF(EU79="","",IF(ISNUMBER('Dvd Calendar'!$U$751)=FALSE,"",IF((('Dvd Calendar'!$U$753=TYPE1)*(TYPE1&lt;&gt;"")+('Dvd Calendar'!$U$753=TYPE2)*(TYPE2&lt;&gt;"")+('Dvd Calendar'!$U$753=TYPE3)*(TYPE3&lt;&gt;"")+('Dvd Calendar'!$U$753=TYPE4)*(TYPE4&lt;&gt;"")+('Dvd Calendar'!$U$753=SPECIAL_LBL)*(INC_SPECIALS="Y"))=0,"",'Dvd Calendar'!$U$751)))</f>
        <v/>
      </c>
      <c r="T79" s="110">
        <f>IF(EV79="","",IF(ISNUMBER('Dvd Calendar'!$V$751)=FALSE,"",IF((('Dvd Calendar'!$V$753=TYPE1)*(TYPE1&lt;&gt;"")+('Dvd Calendar'!$V$753=TYPE2)*(TYPE2&lt;&gt;"")+('Dvd Calendar'!$V$753=TYPE3)*(TYPE3&lt;&gt;"")+('Dvd Calendar'!$V$753=TYPE4)*(TYPE4&lt;&gt;"")+('Dvd Calendar'!$V$753=SPECIAL_LBL)*(INC_SPECIALS="Y"))=0,"",'Dvd Calendar'!$V$751)))</f>
        <v/>
      </c>
      <c r="U79" s="110">
        <f>IF(EW79="","",IF(ISNUMBER('Dvd Calendar'!$W$751)=FALSE,"",IF((('Dvd Calendar'!$W$753=TYPE1)*(TYPE1&lt;&gt;"")+('Dvd Calendar'!$W$753=TYPE2)*(TYPE2&lt;&gt;"")+('Dvd Calendar'!$W$753=TYPE3)*(TYPE3&lt;&gt;"")+('Dvd Calendar'!$W$753=TYPE4)*(TYPE4&lt;&gt;"")+('Dvd Calendar'!$W$753=SPECIAL_LBL)*(INC_SPECIALS="Y"))=0,"",'Dvd Calendar'!$W$751)))</f>
        <v/>
      </c>
      <c r="V79" s="110">
        <f>IF(EX79="","",IF(ISNUMBER('Dvd Calendar'!$X$751)=FALSE,"",IF((('Dvd Calendar'!$X$753=TYPE1)*(TYPE1&lt;&gt;"")+('Dvd Calendar'!$X$753=TYPE2)*(TYPE2&lt;&gt;"")+('Dvd Calendar'!$X$753=TYPE3)*(TYPE3&lt;&gt;"")+('Dvd Calendar'!$X$753=TYPE4)*(TYPE4&lt;&gt;"")+('Dvd Calendar'!$X$753=SPECIAL_LBL)*(INC_SPECIALS="Y"))=0,"",'Dvd Calendar'!$X$751)))</f>
        <v/>
      </c>
      <c r="W79" s="110">
        <f>IF(EY79="","",IF(ISNUMBER('Dvd Calendar'!$Y$751)=FALSE,"",IF((('Dvd Calendar'!$Y$753=TYPE1)*(TYPE1&lt;&gt;"")+('Dvd Calendar'!$Y$753=TYPE2)*(TYPE2&lt;&gt;"")+('Dvd Calendar'!$Y$753=TYPE3)*(TYPE3&lt;&gt;"")+('Dvd Calendar'!$Y$753=TYPE4)*(TYPE4&lt;&gt;"")+('Dvd Calendar'!$Y$753=SPECIAL_LBL)*(INC_SPECIALS="Y"))=0,"",'Dvd Calendar'!$Y$751)))</f>
        <v/>
      </c>
      <c r="X79" s="110">
        <f>IF(EZ79="","",IF(ISNUMBER('Dvd Calendar'!$Z$751)=FALSE,"",IF((('Dvd Calendar'!$Z$753=TYPE1)*(TYPE1&lt;&gt;"")+('Dvd Calendar'!$Z$753=TYPE2)*(TYPE2&lt;&gt;"")+('Dvd Calendar'!$Z$753=TYPE3)*(TYPE3&lt;&gt;"")+('Dvd Calendar'!$Z$753=TYPE4)*(TYPE4&lt;&gt;"")+('Dvd Calendar'!$Z$753=SPECIAL_LBL)*(INC_SPECIALS="Y"))=0,"",'Dvd Calendar'!$Z$751)))</f>
        <v/>
      </c>
      <c r="Y79" s="110">
        <f>IF(FA79="","",IF(ISNUMBER('Dvd Calendar'!$AA$751)=FALSE,"",IF((('Dvd Calendar'!$AA$753=TYPE1)*(TYPE1&lt;&gt;"")+('Dvd Calendar'!$AA$753=TYPE2)*(TYPE2&lt;&gt;"")+('Dvd Calendar'!$AA$753=TYPE3)*(TYPE3&lt;&gt;"")+('Dvd Calendar'!$AA$753=TYPE4)*(TYPE4&lt;&gt;"")+('Dvd Calendar'!$AA$753=SPECIAL_LBL)*(INC_SPECIALS="Y"))=0,"",'Dvd Calendar'!$AA$751)))</f>
        <v/>
      </c>
      <c r="Z79" s="110">
        <f>IF(FB79="","",IF(ISNUMBER('Dvd Calendar'!$AB$751)=FALSE,"",IF((('Dvd Calendar'!$AB$753=TYPE1)*(TYPE1&lt;&gt;"")+('Dvd Calendar'!$AB$753=TYPE2)*(TYPE2&lt;&gt;"")+('Dvd Calendar'!$AB$753=TYPE3)*(TYPE3&lt;&gt;"")+('Dvd Calendar'!$AB$753=TYPE4)*(TYPE4&lt;&gt;"")+('Dvd Calendar'!$AB$753=SPECIAL_LBL)*(INC_SPECIALS="Y"))=0,"",'Dvd Calendar'!$AB$751)))</f>
        <v/>
      </c>
      <c r="AA79" s="110">
        <f>IF(FC79="","",IF(ISNUMBER('Dvd Calendar'!$AC$751)=FALSE,"",IF((('Dvd Calendar'!$AC$753=TYPE1)*(TYPE1&lt;&gt;"")+('Dvd Calendar'!$AC$753=TYPE2)*(TYPE2&lt;&gt;"")+('Dvd Calendar'!$AC$753=TYPE3)*(TYPE3&lt;&gt;"")+('Dvd Calendar'!$AC$753=TYPE4)*(TYPE4&lt;&gt;"")+('Dvd Calendar'!$AC$753=SPECIAL_LBL)*(INC_SPECIALS="Y"))=0,"",'Dvd Calendar'!$AC$751)))</f>
        <v/>
      </c>
      <c r="AB79" s="110">
        <f>IF(FD79="","",IF(ISNUMBER('Dvd Calendar'!$AD$751)=FALSE,"",IF((('Dvd Calendar'!$AD$753=TYPE1)*(TYPE1&lt;&gt;"")+('Dvd Calendar'!$AD$753=TYPE2)*(TYPE2&lt;&gt;"")+('Dvd Calendar'!$AD$753=TYPE3)*(TYPE3&lt;&gt;"")+('Dvd Calendar'!$AD$753=TYPE4)*(TYPE4&lt;&gt;"")+('Dvd Calendar'!$AD$753=SPECIAL_LBL)*(INC_SPECIALS="Y"))=0,"",'Dvd Calendar'!$AD$751)))</f>
        <v/>
      </c>
      <c r="AC79" s="110">
        <f>IF(FE79="","",IF(ISNUMBER('Dvd Calendar'!$AE$751)=FALSE,"",IF((('Dvd Calendar'!$AE$753=TYPE1)*(TYPE1&lt;&gt;"")+('Dvd Calendar'!$AE$753=TYPE2)*(TYPE2&lt;&gt;"")+('Dvd Calendar'!$AE$753=TYPE3)*(TYPE3&lt;&gt;"")+('Dvd Calendar'!$AE$753=TYPE4)*(TYPE4&lt;&gt;"")+('Dvd Calendar'!$AE$753=SPECIAL_LBL)*(INC_SPECIALS="Y"))=0,"",'Dvd Calendar'!$AE$751)))</f>
        <v/>
      </c>
      <c r="AD79" s="110">
        <f>IF(FF79="","",IF(ISNUMBER('Dvd Calendar'!$AF$751)=FALSE,"",IF((('Dvd Calendar'!$AF$753=TYPE1)*(TYPE1&lt;&gt;"")+('Dvd Calendar'!$AF$753=TYPE2)*(TYPE2&lt;&gt;"")+('Dvd Calendar'!$AF$753=TYPE3)*(TYPE3&lt;&gt;"")+('Dvd Calendar'!$AF$753=TYPE4)*(TYPE4&lt;&gt;"")+('Dvd Calendar'!$AF$753=SPECIAL_LBL)*(INC_SPECIALS="Y"))=0,"",'Dvd Calendar'!$AF$751)))</f>
        <v/>
      </c>
      <c r="AE79" s="110">
        <f>IF(FG79="","",IF(ISNUMBER('Dvd Calendar'!$AG$751)=FALSE,"",IF((('Dvd Calendar'!$AG$753=TYPE1)*(TYPE1&lt;&gt;"")+('Dvd Calendar'!$AG$753=TYPE2)*(TYPE2&lt;&gt;"")+('Dvd Calendar'!$AG$753=TYPE3)*(TYPE3&lt;&gt;"")+('Dvd Calendar'!$AG$753=TYPE4)*(TYPE4&lt;&gt;"")+('Dvd Calendar'!$AG$753=SPECIAL_LBL)*(INC_SPECIALS="Y"))=0,"",'Dvd Calendar'!$AG$751)))</f>
        <v/>
      </c>
      <c r="AF79" s="110">
        <f>IF(FH79="","",IF(ISNUMBER('Dvd Calendar'!$AH$751)=FALSE,"",IF((('Dvd Calendar'!$AH$753=TYPE1)*(TYPE1&lt;&gt;"")+('Dvd Calendar'!$AH$753=TYPE2)*(TYPE2&lt;&gt;"")+('Dvd Calendar'!$AH$753=TYPE3)*(TYPE3&lt;&gt;"")+('Dvd Calendar'!$AH$753=TYPE4)*(TYPE4&lt;&gt;"")+('Dvd Calendar'!$AH$753=SPECIAL_LBL)*(INC_SPECIALS="Y"))=0,"",'Dvd Calendar'!$AH$751)))</f>
        <v/>
      </c>
      <c r="AG79" s="110">
        <f>IF(FI79="","",IF(ISNUMBER('Dvd Calendar'!$AI$751)=FALSE,"",IF((('Dvd Calendar'!$AI$753=TYPE1)*(TYPE1&lt;&gt;"")+('Dvd Calendar'!$AI$753=TYPE2)*(TYPE2&lt;&gt;"")+('Dvd Calendar'!$AI$753=TYPE3)*(TYPE3&lt;&gt;"")+('Dvd Calendar'!$AI$753=TYPE4)*(TYPE4&lt;&gt;"")+('Dvd Calendar'!$AI$753=SPECIAL_LBL)*(INC_SPECIALS="Y"))=0,"",'Dvd Calendar'!$AI$751)))</f>
        <v/>
      </c>
      <c r="AH79" s="110">
        <f>IF(FJ79="","",IF(ISNUMBER('Dvd Calendar'!$AJ$751)=FALSE,"",IF((('Dvd Calendar'!$AJ$753=TYPE1)*(TYPE1&lt;&gt;"")+('Dvd Calendar'!$AJ$753=TYPE2)*(TYPE2&lt;&gt;"")+('Dvd Calendar'!$AJ$753=TYPE3)*(TYPE3&lt;&gt;"")+('Dvd Calendar'!$AJ$753=TYPE4)*(TYPE4&lt;&gt;"")+('Dvd Calendar'!$AJ$753=SPECIAL_LBL)*(INC_SPECIALS="Y"))=0,"",'Dvd Calendar'!$AJ$751)))</f>
        <v/>
      </c>
      <c r="AI79" s="110">
        <f>IF(FK79="","",IF(ISNUMBER('Dvd Calendar'!$AK$751)=FALSE,"",IF((('Dvd Calendar'!$AK$753=TYPE1)*(TYPE1&lt;&gt;"")+('Dvd Calendar'!$AK$753=TYPE2)*(TYPE2&lt;&gt;"")+('Dvd Calendar'!$AK$753=TYPE3)*(TYPE3&lt;&gt;"")+('Dvd Calendar'!$AK$753=TYPE4)*(TYPE4&lt;&gt;"")+('Dvd Calendar'!$AK$753=SPECIAL_LBL)*(INC_SPECIALS="Y"))=0,"",'Dvd Calendar'!$AK$751)))</f>
        <v/>
      </c>
      <c r="AJ79" s="110">
        <f>IF(FL79="","",IF(ISNUMBER('Dvd Calendar'!$AL$751)=FALSE,"",IF((('Dvd Calendar'!$AL$753=TYPE1)*(TYPE1&lt;&gt;"")+('Dvd Calendar'!$AL$753=TYPE2)*(TYPE2&lt;&gt;"")+('Dvd Calendar'!$AL$753=TYPE3)*(TYPE3&lt;&gt;"")+('Dvd Calendar'!$AL$753=TYPE4)*(TYPE4&lt;&gt;"")+('Dvd Calendar'!$AL$753=SPECIAL_LBL)*(INC_SPECIALS="Y"))=0,"",'Dvd Calendar'!$AL$751)))</f>
        <v/>
      </c>
      <c r="AK79" s="110">
        <f>IF(FM79="","",IF(ISNUMBER('Dvd Calendar'!$AM$751)=FALSE,"",IF((('Dvd Calendar'!$AM$753=TYPE1)*(TYPE1&lt;&gt;"")+('Dvd Calendar'!$AM$753=TYPE2)*(TYPE2&lt;&gt;"")+('Dvd Calendar'!$AM$753=TYPE3)*(TYPE3&lt;&gt;"")+('Dvd Calendar'!$AM$753=TYPE4)*(TYPE4&lt;&gt;"")+('Dvd Calendar'!$AM$753=SPECIAL_LBL)*(INC_SPECIALS="Y"))=0,"",'Dvd Calendar'!$AM$751)))</f>
        <v/>
      </c>
      <c r="AL79" s="110">
        <f>IF(FN79="","",IF(ISNUMBER('Dvd Calendar'!$AN$751)=FALSE,"",IF((('Dvd Calendar'!$AN$753=TYPE1)*(TYPE1&lt;&gt;"")+('Dvd Calendar'!$AN$753=TYPE2)*(TYPE2&lt;&gt;"")+('Dvd Calendar'!$AN$753=TYPE3)*(TYPE3&lt;&gt;"")+('Dvd Calendar'!$AN$753=TYPE4)*(TYPE4&lt;&gt;"")+('Dvd Calendar'!$AN$753=SPECIAL_LBL)*(INC_SPECIALS="Y"))=0,"",'Dvd Calendar'!$AN$751)))</f>
        <v/>
      </c>
      <c r="AM79" s="110">
        <f>IF(FO79="","",IF(ISNUMBER('Dvd Calendar'!$AO$751)=FALSE,"",IF((('Dvd Calendar'!$AO$753=TYPE1)*(TYPE1&lt;&gt;"")+('Dvd Calendar'!$AO$753=TYPE2)*(TYPE2&lt;&gt;"")+('Dvd Calendar'!$AO$753=TYPE3)*(TYPE3&lt;&gt;"")+('Dvd Calendar'!$AO$753=TYPE4)*(TYPE4&lt;&gt;"")+('Dvd Calendar'!$AO$753=SPECIAL_LBL)*(INC_SPECIALS="Y"))=0,"",'Dvd Calendar'!$AO$751)))</f>
        <v/>
      </c>
      <c r="AN79" s="110">
        <f>IF(FP79="","",IF(ISNUMBER('Dvd Calendar'!$AP$751)=FALSE,"",IF((('Dvd Calendar'!$AP$753=TYPE1)*(TYPE1&lt;&gt;"")+('Dvd Calendar'!$AP$753=TYPE2)*(TYPE2&lt;&gt;"")+('Dvd Calendar'!$AP$753=TYPE3)*(TYPE3&lt;&gt;"")+('Dvd Calendar'!$AP$753=TYPE4)*(TYPE4&lt;&gt;"")+('Dvd Calendar'!$AP$753=SPECIAL_LBL)*(INC_SPECIALS="Y"))=0,"",'Dvd Calendar'!$AP$751)))</f>
        <v/>
      </c>
      <c r="AO79" s="110">
        <f>IF(FQ79="","",IF(ISNUMBER('Dvd Calendar'!$AQ$751)=FALSE,"",IF((('Dvd Calendar'!$AQ$753=TYPE1)*(TYPE1&lt;&gt;"")+('Dvd Calendar'!$AQ$753=TYPE2)*(TYPE2&lt;&gt;"")+('Dvd Calendar'!$AQ$753=TYPE3)*(TYPE3&lt;&gt;"")+('Dvd Calendar'!$AQ$753=TYPE4)*(TYPE4&lt;&gt;"")+('Dvd Calendar'!$AQ$753=SPECIAL_LBL)*(INC_SPECIALS="Y"))=0,"",'Dvd Calendar'!$AQ$751)))</f>
        <v/>
      </c>
      <c r="AP79" s="110">
        <f>IF(FR79="","",IF(ISNUMBER('Dvd Calendar'!$AR$751)=FALSE,"",IF((('Dvd Calendar'!$AR$753=TYPE1)*(TYPE1&lt;&gt;"")+('Dvd Calendar'!$AR$753=TYPE2)*(TYPE2&lt;&gt;"")+('Dvd Calendar'!$AR$753=TYPE3)*(TYPE3&lt;&gt;"")+('Dvd Calendar'!$AR$753=TYPE4)*(TYPE4&lt;&gt;"")+('Dvd Calendar'!$AR$753=SPECIAL_LBL)*(INC_SPECIALS="Y"))=0,"",'Dvd Calendar'!$AR$751)))</f>
        <v/>
      </c>
      <c r="AQ79" s="110">
        <f>IF(FS79="","",IF(ISNUMBER('Dvd Calendar'!$E$756)=FALSE,"",'Dvd Calendar'!$E$756))</f>
        <v/>
      </c>
      <c r="AR79" s="110">
        <f>IF(FT79="","",IF(ISNUMBER('Dvd Calendar'!$F$756)=FALSE,"",'Dvd Calendar'!$F$756))</f>
        <v/>
      </c>
      <c r="AS79" s="110">
        <f>IF(FU79="","",IF(ISNUMBER('Dvd Calendar'!$G$756)=FALSE,"",'Dvd Calendar'!$G$756))</f>
        <v/>
      </c>
      <c r="AT79" s="110">
        <f>IF(FV79="","",IF(ISNUMBER('Dvd Calendar'!$H$756)=FALSE,"",'Dvd Calendar'!$H$756))</f>
        <v/>
      </c>
      <c r="AU79" s="110">
        <f>IF(FW79="","",IF(ISNUMBER('Dvd Calendar'!$I$756)=FALSE,"",'Dvd Calendar'!$I$756))</f>
        <v/>
      </c>
      <c r="AV79" s="110">
        <f>IF(FX79="","",IF(ISNUMBER('Dvd Calendar'!$J$756)=FALSE,"",'Dvd Calendar'!$J$756))</f>
        <v/>
      </c>
      <c r="AW79" s="110">
        <f>IF(FY79="","",IF(ISNUMBER('Dvd Calendar'!$K$756)=FALSE,"",'Dvd Calendar'!$K$756))</f>
        <v/>
      </c>
      <c r="AX79" s="110">
        <f>IF(FZ79="","",IF(ISNUMBER('Dvd Calendar'!$L$756)=FALSE,"",'Dvd Calendar'!$L$756))</f>
        <v/>
      </c>
      <c r="AY79" s="110">
        <f>IF(GA79="","",IF(ISNUMBER('Dvd Calendar'!$M$756)=FALSE,"",'Dvd Calendar'!$M$756))</f>
        <v/>
      </c>
      <c r="AZ79" s="110">
        <f>IF(GB79="","",IF(ISNUMBER('Dvd Calendar'!$N$756)=FALSE,"",'Dvd Calendar'!$N$756))</f>
        <v/>
      </c>
      <c r="BA79" s="110">
        <f>IF(GC79="","",IF(ISNUMBER('Dvd Calendar'!$O$756)=FALSE,"",'Dvd Calendar'!$O$756))</f>
        <v/>
      </c>
      <c r="BB79" s="110">
        <f>IF(GD79="","",IF(ISNUMBER('Dvd Calendar'!$P$756)=FALSE,"",'Dvd Calendar'!$P$756))</f>
        <v/>
      </c>
      <c r="BC79" s="110">
        <f>IF(GE79="","",IF(ISNUMBER('Dvd Calendar'!$Q$756)=FALSE,"",'Dvd Calendar'!$Q$756))</f>
        <v/>
      </c>
      <c r="BD79" s="110">
        <f>IF(GF79="","",IF(ISNUMBER('Dvd Calendar'!$R$756)=FALSE,"",'Dvd Calendar'!$R$756))</f>
        <v/>
      </c>
      <c r="BE79" s="110">
        <f>IF(GG79="","",IF(ISNUMBER('Dvd Calendar'!$S$756)=FALSE,"",'Dvd Calendar'!$S$756))</f>
        <v/>
      </c>
      <c r="BF79" s="110">
        <f>IF(GH79="","",IF(ISNUMBER('Dvd Calendar'!$T$756)=FALSE,"",'Dvd Calendar'!$T$756))</f>
        <v/>
      </c>
      <c r="BG79" s="110">
        <f>IF(GI79="","",IF(ISNUMBER('Dvd Calendar'!$U$756)=FALSE,"",'Dvd Calendar'!$U$756))</f>
        <v/>
      </c>
      <c r="BH79" s="110">
        <f>IF(GJ79="","",IF(ISNUMBER('Dvd Calendar'!$V$756)=FALSE,"",'Dvd Calendar'!$V$756))</f>
        <v/>
      </c>
      <c r="BI79" s="110">
        <f>IF(GK79="","",IF(ISNUMBER('Dvd Calendar'!$W$756)=FALSE,"",'Dvd Calendar'!$W$756))</f>
        <v/>
      </c>
      <c r="BJ79" s="110">
        <f>IF(GL79="","",IF(ISNUMBER('Dvd Calendar'!$X$756)=FALSE,"",'Dvd Calendar'!$X$756))</f>
        <v/>
      </c>
      <c r="BK79" s="110">
        <f>IF(GM79="","",IF(ISNUMBER('Dvd Calendar'!$Y$756)=FALSE,"",'Dvd Calendar'!$Y$756))</f>
        <v/>
      </c>
      <c r="BL79" s="110">
        <f>IF(GN79="","",IF(ISNUMBER('Dvd Calendar'!$Z$756)=FALSE,"",'Dvd Calendar'!$Z$756))</f>
        <v/>
      </c>
      <c r="BM79" s="110">
        <f>IF(GO79="","",IF(ISNUMBER('Dvd Calendar'!$AA$756)=FALSE,"",'Dvd Calendar'!$AA$756))</f>
        <v/>
      </c>
      <c r="BN79" s="110">
        <f>IF(GP79="","",IF(ISNUMBER('Dvd Calendar'!$AB$756)=FALSE,"",'Dvd Calendar'!$AB$756))</f>
        <v/>
      </c>
      <c r="BO79" s="110">
        <f>IF(GQ79="","",IF(ISNUMBER('Dvd Calendar'!$AC$756)=FALSE,"",'Dvd Calendar'!$AC$756))</f>
        <v/>
      </c>
      <c r="BQ79" s="110">
        <f>IF(C79="","",IFERROR(C79*HSI!$B$74*HSI!$G$74/HSI!$B$3,""))</f>
        <v/>
      </c>
      <c r="BR79" s="110">
        <f>IF(D79="","",IFERROR(D79*HSI!$B$74*HSI!$G$74/HSI!$B$3,""))</f>
        <v/>
      </c>
      <c r="BS79" s="110">
        <f>IF(E79="","",IFERROR(E79*HSI!$B$74*HSI!$G$74/HSI!$B$3,""))</f>
        <v/>
      </c>
      <c r="BT79" s="110">
        <f>IF(F79="","",IFERROR(F79*HSI!$B$74*HSI!$G$74/HSI!$B$3,""))</f>
        <v/>
      </c>
      <c r="BU79" s="110">
        <f>IF(G79="","",IFERROR(G79*HSI!$B$74*HSI!$G$74/HSI!$B$3,""))</f>
        <v/>
      </c>
      <c r="BV79" s="110">
        <f>IF(H79="","",IFERROR(H79*HSI!$B$74*HSI!$G$74/HSI!$B$3,""))</f>
        <v/>
      </c>
      <c r="BW79" s="110">
        <f>IF(I79="","",IFERROR(I79*HSI!$B$74*HSI!$G$74/HSI!$B$3,""))</f>
        <v/>
      </c>
      <c r="BX79" s="110">
        <f>IF(J79="","",IFERROR(J79*HSI!$B$74*HSI!$G$74/HSI!$B$3,""))</f>
        <v/>
      </c>
      <c r="BY79" s="110">
        <f>IF(K79="","",IFERROR(K79*HSI!$B$74*HSI!$G$74/HSI!$B$3,""))</f>
        <v/>
      </c>
      <c r="BZ79" s="110">
        <f>IF(L79="","",IFERROR(L79*HSI!$B$74*HSI!$G$74/HSI!$B$3,""))</f>
        <v/>
      </c>
      <c r="CA79" s="110">
        <f>IF(M79="","",IFERROR(M79*HSI!$B$74*HSI!$G$74/HSI!$B$3,""))</f>
        <v/>
      </c>
      <c r="CB79" s="110">
        <f>IF(N79="","",IFERROR(N79*HSI!$B$74*HSI!$G$74/HSI!$B$3,""))</f>
        <v/>
      </c>
      <c r="CC79" s="110">
        <f>IF(O79="","",IFERROR(O79*HSI!$B$74*HSI!$G$74/HSI!$B$3,""))</f>
        <v/>
      </c>
      <c r="CD79" s="110">
        <f>IF(P79="","",IFERROR(P79*HSI!$B$74*HSI!$G$74/HSI!$B$3,""))</f>
        <v/>
      </c>
      <c r="CE79" s="110">
        <f>IF(Q79="","",IFERROR(Q79*HSI!$B$74*HSI!$G$74/HSI!$B$3,""))</f>
        <v/>
      </c>
      <c r="CF79" s="110">
        <f>IF(R79="","",IFERROR(R79*HSI!$B$74*HSI!$G$74/HSI!$B$3,""))</f>
        <v/>
      </c>
      <c r="CG79" s="110">
        <f>IF(S79="","",IFERROR(S79*HSI!$B$74*HSI!$G$74/HSI!$B$3,""))</f>
        <v/>
      </c>
      <c r="CH79" s="110">
        <f>IF(T79="","",IFERROR(T79*HSI!$B$74*HSI!$G$74/HSI!$B$3,""))</f>
        <v/>
      </c>
      <c r="CI79" s="110">
        <f>IF(U79="","",IFERROR(U79*HSI!$B$74*HSI!$G$74/HSI!$B$3,""))</f>
        <v/>
      </c>
      <c r="CJ79" s="110">
        <f>IF(V79="","",IFERROR(V79*HSI!$B$74*HSI!$G$74/HSI!$B$3,""))</f>
        <v/>
      </c>
      <c r="CK79" s="110">
        <f>IF(W79="","",IFERROR(W79*HSI!$B$74*HSI!$G$74/HSI!$B$3,""))</f>
        <v/>
      </c>
      <c r="CL79" s="110">
        <f>IF(X79="","",IFERROR(X79*HSI!$B$74*HSI!$G$74/HSI!$B$3,""))</f>
        <v/>
      </c>
      <c r="CM79" s="110">
        <f>IF(Y79="","",IFERROR(Y79*HSI!$B$74*HSI!$G$74/HSI!$B$3,""))</f>
        <v/>
      </c>
      <c r="CN79" s="110">
        <f>IF(Z79="","",IFERROR(Z79*HSI!$B$74*HSI!$G$74/HSI!$B$3,""))</f>
        <v/>
      </c>
      <c r="CO79" s="110">
        <f>IF(AA79="","",IFERROR(AA79*HSI!$B$74*HSI!$G$74/HSI!$B$3,""))</f>
        <v/>
      </c>
      <c r="CP79" s="110">
        <f>IF(AB79="","",IFERROR(AB79*HSI!$B$74*HSI!$G$74/HSI!$B$3,""))</f>
        <v/>
      </c>
      <c r="CQ79" s="110">
        <f>IF(AC79="","",IFERROR(AC79*HSI!$B$74*HSI!$G$74/HSI!$B$3,""))</f>
        <v/>
      </c>
      <c r="CR79" s="110">
        <f>IF(AD79="","",IFERROR(AD79*HSI!$B$74*HSI!$G$74/HSI!$B$3,""))</f>
        <v/>
      </c>
      <c r="CS79" s="110">
        <f>IF(AE79="","",IFERROR(AE79*HSI!$B$74*HSI!$G$74/HSI!$B$3,""))</f>
        <v/>
      </c>
      <c r="CT79" s="110">
        <f>IF(AF79="","",IFERROR(AF79*HSI!$B$74*HSI!$G$74/HSI!$B$3,""))</f>
        <v/>
      </c>
      <c r="CU79" s="110">
        <f>IF(AG79="","",IFERROR(AG79*HSI!$B$74*HSI!$G$74/HSI!$B$3,""))</f>
        <v/>
      </c>
      <c r="CV79" s="110">
        <f>IF(AH79="","",IFERROR(AH79*HSI!$B$74*HSI!$G$74/HSI!$B$3,""))</f>
        <v/>
      </c>
      <c r="CW79" s="110">
        <f>IF(AI79="","",IFERROR(AI79*HSI!$B$74*HSI!$G$74/HSI!$B$3,""))</f>
        <v/>
      </c>
      <c r="CX79" s="110">
        <f>IF(AJ79="","",IFERROR(AJ79*HSI!$B$74*HSI!$G$74/HSI!$B$3,""))</f>
        <v/>
      </c>
      <c r="CY79" s="110">
        <f>IF(AK79="","",IFERROR(AK79*HSI!$B$74*HSI!$G$74/HSI!$B$3,""))</f>
        <v/>
      </c>
      <c r="CZ79" s="110">
        <f>IF(AL79="","",IFERROR(AL79*HSI!$B$74*HSI!$G$74/HSI!$B$3,""))</f>
        <v/>
      </c>
      <c r="DA79" s="110">
        <f>IF(AM79="","",IFERROR(AM79*HSI!$B$74*HSI!$G$74/HSI!$B$3,""))</f>
        <v/>
      </c>
      <c r="DB79" s="110">
        <f>IF(AN79="","",IFERROR(AN79*HSI!$B$74*HSI!$G$74/HSI!$B$3,""))</f>
        <v/>
      </c>
      <c r="DC79" s="110">
        <f>IF(AO79="","",IFERROR(AO79*HSI!$B$74*HSI!$G$74/HSI!$B$3,""))</f>
        <v/>
      </c>
      <c r="DD79" s="110">
        <f>IF(AP79="","",IFERROR(AP79*HSI!$B$74*HSI!$G$74/HSI!$B$3,""))</f>
        <v/>
      </c>
      <c r="DE79" s="110">
        <f>IF(AQ79="","",IFERROR(AQ79*HSI!$B$74*HSI!$G$74/HSI!$B$3,""))</f>
        <v/>
      </c>
      <c r="DF79" s="110">
        <f>IF(AR79="","",IFERROR(AR79*HSI!$B$74*HSI!$G$74/HSI!$B$3,""))</f>
        <v/>
      </c>
      <c r="DG79" s="110">
        <f>IF(AS79="","",IFERROR(AS79*HSI!$B$74*HSI!$G$74/HSI!$B$3,""))</f>
        <v/>
      </c>
      <c r="DH79" s="110">
        <f>IF(AT79="","",IFERROR(AT79*HSI!$B$74*HSI!$G$74/HSI!$B$3,""))</f>
        <v/>
      </c>
      <c r="DI79" s="110">
        <f>IF(AU79="","",IFERROR(AU79*HSI!$B$74*HSI!$G$74/HSI!$B$3,""))</f>
        <v/>
      </c>
      <c r="DJ79" s="110">
        <f>IF(AV79="","",IFERROR(AV79*HSI!$B$74*HSI!$G$74/HSI!$B$3,""))</f>
        <v/>
      </c>
      <c r="DK79" s="110">
        <f>IF(AW79="","",IFERROR(AW79*HSI!$B$74*HSI!$G$74/HSI!$B$3,""))</f>
        <v/>
      </c>
      <c r="DL79" s="110">
        <f>IF(AX79="","",IFERROR(AX79*HSI!$B$74*HSI!$G$74/HSI!$B$3,""))</f>
        <v/>
      </c>
      <c r="DM79" s="110">
        <f>IF(AY79="","",IFERROR(AY79*HSI!$B$74*HSI!$G$74/HSI!$B$3,""))</f>
        <v/>
      </c>
      <c r="DN79" s="110">
        <f>IF(AZ79="","",IFERROR(AZ79*HSI!$B$74*HSI!$G$74/HSI!$B$3,""))</f>
        <v/>
      </c>
      <c r="DO79" s="110">
        <f>IF(BA79="","",IFERROR(BA79*HSI!$B$74*HSI!$G$74/HSI!$B$3,""))</f>
        <v/>
      </c>
      <c r="DP79" s="110">
        <f>IF(BB79="","",IFERROR(BB79*HSI!$B$74*HSI!$G$74/HSI!$B$3,""))</f>
        <v/>
      </c>
      <c r="DQ79" s="110">
        <f>IF(BC79="","",IFERROR(BC79*HSI!$B$74*HSI!$G$74/HSI!$B$3,""))</f>
        <v/>
      </c>
      <c r="DR79" s="110">
        <f>IF(BD79="","",IFERROR(BD79*HSI!$B$74*HSI!$G$74/HSI!$B$3,""))</f>
        <v/>
      </c>
      <c r="DS79" s="110">
        <f>IF(BE79="","",IFERROR(BE79*HSI!$B$74*HSI!$G$74/HSI!$B$3,""))</f>
        <v/>
      </c>
      <c r="DT79" s="110">
        <f>IF(BF79="","",IFERROR(BF79*HSI!$B$74*HSI!$G$74/HSI!$B$3,""))</f>
        <v/>
      </c>
      <c r="DU79" s="110">
        <f>IF(BG79="","",IFERROR(BG79*HSI!$B$74*HSI!$G$74/HSI!$B$3,""))</f>
        <v/>
      </c>
      <c r="DV79" s="110">
        <f>IF(BH79="","",IFERROR(BH79*HSI!$B$74*HSI!$G$74/HSI!$B$3,""))</f>
        <v/>
      </c>
      <c r="DW79" s="110">
        <f>IF(BI79="","",IFERROR(BI79*HSI!$B$74*HSI!$G$74/HSI!$B$3,""))</f>
        <v/>
      </c>
      <c r="DX79" s="110">
        <f>IF(BJ79="","",IFERROR(BJ79*HSI!$B$74*HSI!$G$74/HSI!$B$3,""))</f>
        <v/>
      </c>
      <c r="DY79" s="110">
        <f>IF(BK79="","",IFERROR(BK79*HSI!$B$74*HSI!$G$74/HSI!$B$3,""))</f>
        <v/>
      </c>
      <c r="DZ79" s="110">
        <f>IF(BL79="","",IFERROR(BL79*HSI!$B$74*HSI!$G$74/HSI!$B$3,""))</f>
        <v/>
      </c>
      <c r="EA79" s="110">
        <f>IF(BM79="","",IFERROR(BM79*HSI!$B$74*HSI!$G$74/HSI!$B$3,""))</f>
        <v/>
      </c>
      <c r="EB79" s="110">
        <f>IF(BN79="","",IFERROR(BN79*HSI!$B$74*HSI!$G$74/HSI!$B$3,""))</f>
        <v/>
      </c>
      <c r="EC79" s="110">
        <f>IF(BO79="","",IFERROR(BO79*HSI!$B$74*HSI!$G$74/HSI!$B$3,""))</f>
        <v/>
      </c>
      <c r="EE79" s="39">
        <f>IF(N('Dvd Calendar'!$E$748)=0,"",IF(('Dvd Calendar'!$E$748&gt;=GRID_FROM)*('Dvd Calendar'!$E$748&lt;=GRID_TO)*((('Dvd Calendar'!$E$748&lt;=VAL_DATE)+(COUNTIF('Dvd Calendar'!$E$755:$AR$755,'Dvd Calendar'!$E$748)=0))&gt;0)=0,"",'Dvd Calendar'!$E$748*1000000000+ISNUMBER('Dvd Calendar'!$E$751)*100000000+('Dvd Calendar'!$E$753=SPECIAL_LBL)*10000000+(N('Dvd Calendar'!$E$747)&gt;0)*(N('Dvd Calendar'!$E$747)&lt;=VAL_SERIAL)*1000000+68*1000+1))</f>
        <v/>
      </c>
      <c r="EF79" s="39">
        <f>IF(N('Dvd Calendar'!$F$748)=0,"",IF(('Dvd Calendar'!$F$748&gt;=GRID_FROM)*('Dvd Calendar'!$F$748&lt;=GRID_TO)*((('Dvd Calendar'!$F$748&lt;=VAL_DATE)+(COUNTIF('Dvd Calendar'!$E$755:$AR$755,'Dvd Calendar'!$F$748)=0))&gt;0)=0,"",'Dvd Calendar'!$F$748*1000000000+ISNUMBER('Dvd Calendar'!$F$751)*100000000+('Dvd Calendar'!$F$753=SPECIAL_LBL)*10000000+(N('Dvd Calendar'!$F$747)&gt;0)*(N('Dvd Calendar'!$F$747)&lt;=VAL_SERIAL)*1000000+68*1000+2))</f>
        <v/>
      </c>
      <c r="EG79" s="39">
        <f>IF(N('Dvd Calendar'!$G$748)=0,"",IF(('Dvd Calendar'!$G$748&gt;=GRID_FROM)*('Dvd Calendar'!$G$748&lt;=GRID_TO)*((('Dvd Calendar'!$G$748&lt;=VAL_DATE)+(COUNTIF('Dvd Calendar'!$E$755:$AR$755,'Dvd Calendar'!$G$748)=0))&gt;0)=0,"",'Dvd Calendar'!$G$748*1000000000+ISNUMBER('Dvd Calendar'!$G$751)*100000000+('Dvd Calendar'!$G$753=SPECIAL_LBL)*10000000+(N('Dvd Calendar'!$G$747)&gt;0)*(N('Dvd Calendar'!$G$747)&lt;=VAL_SERIAL)*1000000+68*1000+3))</f>
        <v/>
      </c>
      <c r="EH79" s="39">
        <f>IF(N('Dvd Calendar'!$H$748)=0,"",IF(('Dvd Calendar'!$H$748&gt;=GRID_FROM)*('Dvd Calendar'!$H$748&lt;=GRID_TO)*((('Dvd Calendar'!$H$748&lt;=VAL_DATE)+(COUNTIF('Dvd Calendar'!$E$755:$AR$755,'Dvd Calendar'!$H$748)=0))&gt;0)=0,"",'Dvd Calendar'!$H$748*1000000000+ISNUMBER('Dvd Calendar'!$H$751)*100000000+('Dvd Calendar'!$H$753=SPECIAL_LBL)*10000000+(N('Dvd Calendar'!$H$747)&gt;0)*(N('Dvd Calendar'!$H$747)&lt;=VAL_SERIAL)*1000000+68*1000+4))</f>
        <v/>
      </c>
      <c r="EI79" s="39">
        <f>IF(N('Dvd Calendar'!$I$748)=0,"",IF(('Dvd Calendar'!$I$748&gt;=GRID_FROM)*('Dvd Calendar'!$I$748&lt;=GRID_TO)*((('Dvd Calendar'!$I$748&lt;=VAL_DATE)+(COUNTIF('Dvd Calendar'!$E$755:$AR$755,'Dvd Calendar'!$I$748)=0))&gt;0)=0,"",'Dvd Calendar'!$I$748*1000000000+ISNUMBER('Dvd Calendar'!$I$751)*100000000+('Dvd Calendar'!$I$753=SPECIAL_LBL)*10000000+(N('Dvd Calendar'!$I$747)&gt;0)*(N('Dvd Calendar'!$I$747)&lt;=VAL_SERIAL)*1000000+68*1000+5))</f>
        <v/>
      </c>
      <c r="EJ79" s="39">
        <f>IF(N('Dvd Calendar'!$J$748)=0,"",IF(('Dvd Calendar'!$J$748&gt;=GRID_FROM)*('Dvd Calendar'!$J$748&lt;=GRID_TO)*((('Dvd Calendar'!$J$748&lt;=VAL_DATE)+(COUNTIF('Dvd Calendar'!$E$755:$AR$755,'Dvd Calendar'!$J$748)=0))&gt;0)=0,"",'Dvd Calendar'!$J$748*1000000000+ISNUMBER('Dvd Calendar'!$J$751)*100000000+('Dvd Calendar'!$J$753=SPECIAL_LBL)*10000000+(N('Dvd Calendar'!$J$747)&gt;0)*(N('Dvd Calendar'!$J$747)&lt;=VAL_SERIAL)*1000000+68*1000+6))</f>
        <v/>
      </c>
      <c r="EK79" s="39">
        <f>IF(N('Dvd Calendar'!$K$748)=0,"",IF(('Dvd Calendar'!$K$748&gt;=GRID_FROM)*('Dvd Calendar'!$K$748&lt;=GRID_TO)*((('Dvd Calendar'!$K$748&lt;=VAL_DATE)+(COUNTIF('Dvd Calendar'!$E$755:$AR$755,'Dvd Calendar'!$K$748)=0))&gt;0)=0,"",'Dvd Calendar'!$K$748*1000000000+ISNUMBER('Dvd Calendar'!$K$751)*100000000+('Dvd Calendar'!$K$753=SPECIAL_LBL)*10000000+(N('Dvd Calendar'!$K$747)&gt;0)*(N('Dvd Calendar'!$K$747)&lt;=VAL_SERIAL)*1000000+68*1000+7))</f>
        <v/>
      </c>
      <c r="EL79" s="39">
        <f>IF(N('Dvd Calendar'!$L$748)=0,"",IF(('Dvd Calendar'!$L$748&gt;=GRID_FROM)*('Dvd Calendar'!$L$748&lt;=GRID_TO)*((('Dvd Calendar'!$L$748&lt;=VAL_DATE)+(COUNTIF('Dvd Calendar'!$E$755:$AR$755,'Dvd Calendar'!$L$748)=0))&gt;0)=0,"",'Dvd Calendar'!$L$748*1000000000+ISNUMBER('Dvd Calendar'!$L$751)*100000000+('Dvd Calendar'!$L$753=SPECIAL_LBL)*10000000+(N('Dvd Calendar'!$L$747)&gt;0)*(N('Dvd Calendar'!$L$747)&lt;=VAL_SERIAL)*1000000+68*1000+8))</f>
        <v/>
      </c>
      <c r="EM79" s="39">
        <f>IF(N('Dvd Calendar'!$M$748)=0,"",IF(('Dvd Calendar'!$M$748&gt;=GRID_FROM)*('Dvd Calendar'!$M$748&lt;=GRID_TO)*((('Dvd Calendar'!$M$748&lt;=VAL_DATE)+(COUNTIF('Dvd Calendar'!$E$755:$AR$755,'Dvd Calendar'!$M$748)=0))&gt;0)=0,"",'Dvd Calendar'!$M$748*1000000000+ISNUMBER('Dvd Calendar'!$M$751)*100000000+('Dvd Calendar'!$M$753=SPECIAL_LBL)*10000000+(N('Dvd Calendar'!$M$747)&gt;0)*(N('Dvd Calendar'!$M$747)&lt;=VAL_SERIAL)*1000000+68*1000+9))</f>
        <v/>
      </c>
      <c r="EN79" s="39">
        <f>IF(N('Dvd Calendar'!$N$748)=0,"",IF(('Dvd Calendar'!$N$748&gt;=GRID_FROM)*('Dvd Calendar'!$N$748&lt;=GRID_TO)*((('Dvd Calendar'!$N$748&lt;=VAL_DATE)+(COUNTIF('Dvd Calendar'!$E$755:$AR$755,'Dvd Calendar'!$N$748)=0))&gt;0)=0,"",'Dvd Calendar'!$N$748*1000000000+ISNUMBER('Dvd Calendar'!$N$751)*100000000+('Dvd Calendar'!$N$753=SPECIAL_LBL)*10000000+(N('Dvd Calendar'!$N$747)&gt;0)*(N('Dvd Calendar'!$N$747)&lt;=VAL_SERIAL)*1000000+68*1000+10))</f>
        <v/>
      </c>
      <c r="EO79" s="39">
        <f>IF(N('Dvd Calendar'!$O$748)=0,"",IF(('Dvd Calendar'!$O$748&gt;=GRID_FROM)*('Dvd Calendar'!$O$748&lt;=GRID_TO)*((('Dvd Calendar'!$O$748&lt;=VAL_DATE)+(COUNTIF('Dvd Calendar'!$E$755:$AR$755,'Dvd Calendar'!$O$748)=0))&gt;0)=0,"",'Dvd Calendar'!$O$748*1000000000+ISNUMBER('Dvd Calendar'!$O$751)*100000000+('Dvd Calendar'!$O$753=SPECIAL_LBL)*10000000+(N('Dvd Calendar'!$O$747)&gt;0)*(N('Dvd Calendar'!$O$747)&lt;=VAL_SERIAL)*1000000+68*1000+11))</f>
        <v/>
      </c>
      <c r="EP79" s="39">
        <f>IF(N('Dvd Calendar'!$P$748)=0,"",IF(('Dvd Calendar'!$P$748&gt;=GRID_FROM)*('Dvd Calendar'!$P$748&lt;=GRID_TO)*((('Dvd Calendar'!$P$748&lt;=VAL_DATE)+(COUNTIF('Dvd Calendar'!$E$755:$AR$755,'Dvd Calendar'!$P$748)=0))&gt;0)=0,"",'Dvd Calendar'!$P$748*1000000000+ISNUMBER('Dvd Calendar'!$P$751)*100000000+('Dvd Calendar'!$P$753=SPECIAL_LBL)*10000000+(N('Dvd Calendar'!$P$747)&gt;0)*(N('Dvd Calendar'!$P$747)&lt;=VAL_SERIAL)*1000000+68*1000+12))</f>
        <v/>
      </c>
      <c r="EQ79" s="39">
        <f>IF(N('Dvd Calendar'!$Q$748)=0,"",IF(('Dvd Calendar'!$Q$748&gt;=GRID_FROM)*('Dvd Calendar'!$Q$748&lt;=GRID_TO)*((('Dvd Calendar'!$Q$748&lt;=VAL_DATE)+(COUNTIF('Dvd Calendar'!$E$755:$AR$755,'Dvd Calendar'!$Q$748)=0))&gt;0)=0,"",'Dvd Calendar'!$Q$748*1000000000+ISNUMBER('Dvd Calendar'!$Q$751)*100000000+('Dvd Calendar'!$Q$753=SPECIAL_LBL)*10000000+(N('Dvd Calendar'!$Q$747)&gt;0)*(N('Dvd Calendar'!$Q$747)&lt;=VAL_SERIAL)*1000000+68*1000+13))</f>
        <v/>
      </c>
      <c r="ER79" s="39">
        <f>IF(N('Dvd Calendar'!$R$748)=0,"",IF(('Dvd Calendar'!$R$748&gt;=GRID_FROM)*('Dvd Calendar'!$R$748&lt;=GRID_TO)*((('Dvd Calendar'!$R$748&lt;=VAL_DATE)+(COUNTIF('Dvd Calendar'!$E$755:$AR$755,'Dvd Calendar'!$R$748)=0))&gt;0)=0,"",'Dvd Calendar'!$R$748*1000000000+ISNUMBER('Dvd Calendar'!$R$751)*100000000+('Dvd Calendar'!$R$753=SPECIAL_LBL)*10000000+(N('Dvd Calendar'!$R$747)&gt;0)*(N('Dvd Calendar'!$R$747)&lt;=VAL_SERIAL)*1000000+68*1000+14))</f>
        <v/>
      </c>
      <c r="ES79" s="39">
        <f>IF(N('Dvd Calendar'!$S$748)=0,"",IF(('Dvd Calendar'!$S$748&gt;=GRID_FROM)*('Dvd Calendar'!$S$748&lt;=GRID_TO)*((('Dvd Calendar'!$S$748&lt;=VAL_DATE)+(COUNTIF('Dvd Calendar'!$E$755:$AR$755,'Dvd Calendar'!$S$748)=0))&gt;0)=0,"",'Dvd Calendar'!$S$748*1000000000+ISNUMBER('Dvd Calendar'!$S$751)*100000000+('Dvd Calendar'!$S$753=SPECIAL_LBL)*10000000+(N('Dvd Calendar'!$S$747)&gt;0)*(N('Dvd Calendar'!$S$747)&lt;=VAL_SERIAL)*1000000+68*1000+15))</f>
        <v/>
      </c>
      <c r="ET79" s="39">
        <f>IF(N('Dvd Calendar'!$T$748)=0,"",IF(('Dvd Calendar'!$T$748&gt;=GRID_FROM)*('Dvd Calendar'!$T$748&lt;=GRID_TO)*((('Dvd Calendar'!$T$748&lt;=VAL_DATE)+(COUNTIF('Dvd Calendar'!$E$755:$AR$755,'Dvd Calendar'!$T$748)=0))&gt;0)=0,"",'Dvd Calendar'!$T$748*1000000000+ISNUMBER('Dvd Calendar'!$T$751)*100000000+('Dvd Calendar'!$T$753=SPECIAL_LBL)*10000000+(N('Dvd Calendar'!$T$747)&gt;0)*(N('Dvd Calendar'!$T$747)&lt;=VAL_SERIAL)*1000000+68*1000+16))</f>
        <v/>
      </c>
      <c r="EU79" s="39">
        <f>IF(N('Dvd Calendar'!$U$748)=0,"",IF(('Dvd Calendar'!$U$748&gt;=GRID_FROM)*('Dvd Calendar'!$U$748&lt;=GRID_TO)*((('Dvd Calendar'!$U$748&lt;=VAL_DATE)+(COUNTIF('Dvd Calendar'!$E$755:$AR$755,'Dvd Calendar'!$U$748)=0))&gt;0)=0,"",'Dvd Calendar'!$U$748*1000000000+ISNUMBER('Dvd Calendar'!$U$751)*100000000+('Dvd Calendar'!$U$753=SPECIAL_LBL)*10000000+(N('Dvd Calendar'!$U$747)&gt;0)*(N('Dvd Calendar'!$U$747)&lt;=VAL_SERIAL)*1000000+68*1000+17))</f>
        <v/>
      </c>
      <c r="EV79" s="39">
        <f>IF(N('Dvd Calendar'!$V$748)=0,"",IF(('Dvd Calendar'!$V$748&gt;=GRID_FROM)*('Dvd Calendar'!$V$748&lt;=GRID_TO)*((('Dvd Calendar'!$V$748&lt;=VAL_DATE)+(COUNTIF('Dvd Calendar'!$E$755:$AR$755,'Dvd Calendar'!$V$748)=0))&gt;0)=0,"",'Dvd Calendar'!$V$748*1000000000+ISNUMBER('Dvd Calendar'!$V$751)*100000000+('Dvd Calendar'!$V$753=SPECIAL_LBL)*10000000+(N('Dvd Calendar'!$V$747)&gt;0)*(N('Dvd Calendar'!$V$747)&lt;=VAL_SERIAL)*1000000+68*1000+18))</f>
        <v/>
      </c>
      <c r="EW79" s="39">
        <f>IF(N('Dvd Calendar'!$W$748)=0,"",IF(('Dvd Calendar'!$W$748&gt;=GRID_FROM)*('Dvd Calendar'!$W$748&lt;=GRID_TO)*((('Dvd Calendar'!$W$748&lt;=VAL_DATE)+(COUNTIF('Dvd Calendar'!$E$755:$AR$755,'Dvd Calendar'!$W$748)=0))&gt;0)=0,"",'Dvd Calendar'!$W$748*1000000000+ISNUMBER('Dvd Calendar'!$W$751)*100000000+('Dvd Calendar'!$W$753=SPECIAL_LBL)*10000000+(N('Dvd Calendar'!$W$747)&gt;0)*(N('Dvd Calendar'!$W$747)&lt;=VAL_SERIAL)*1000000+68*1000+19))</f>
        <v/>
      </c>
      <c r="EX79" s="39">
        <f>IF(N('Dvd Calendar'!$X$748)=0,"",IF(('Dvd Calendar'!$X$748&gt;=GRID_FROM)*('Dvd Calendar'!$X$748&lt;=GRID_TO)*((('Dvd Calendar'!$X$748&lt;=VAL_DATE)+(COUNTIF('Dvd Calendar'!$E$755:$AR$755,'Dvd Calendar'!$X$748)=0))&gt;0)=0,"",'Dvd Calendar'!$X$748*1000000000+ISNUMBER('Dvd Calendar'!$X$751)*100000000+('Dvd Calendar'!$X$753=SPECIAL_LBL)*10000000+(N('Dvd Calendar'!$X$747)&gt;0)*(N('Dvd Calendar'!$X$747)&lt;=VAL_SERIAL)*1000000+68*1000+20))</f>
        <v/>
      </c>
      <c r="EY79" s="39">
        <f>IF(N('Dvd Calendar'!$Y$748)=0,"",IF(('Dvd Calendar'!$Y$748&gt;=GRID_FROM)*('Dvd Calendar'!$Y$748&lt;=GRID_TO)*((('Dvd Calendar'!$Y$748&lt;=VAL_DATE)+(COUNTIF('Dvd Calendar'!$E$755:$AR$755,'Dvd Calendar'!$Y$748)=0))&gt;0)=0,"",'Dvd Calendar'!$Y$748*1000000000+ISNUMBER('Dvd Calendar'!$Y$751)*100000000+('Dvd Calendar'!$Y$753=SPECIAL_LBL)*10000000+(N('Dvd Calendar'!$Y$747)&gt;0)*(N('Dvd Calendar'!$Y$747)&lt;=VAL_SERIAL)*1000000+68*1000+21))</f>
        <v/>
      </c>
      <c r="EZ79" s="39">
        <f>IF(N('Dvd Calendar'!$Z$748)=0,"",IF(('Dvd Calendar'!$Z$748&gt;=GRID_FROM)*('Dvd Calendar'!$Z$748&lt;=GRID_TO)*((('Dvd Calendar'!$Z$748&lt;=VAL_DATE)+(COUNTIF('Dvd Calendar'!$E$755:$AR$755,'Dvd Calendar'!$Z$748)=0))&gt;0)=0,"",'Dvd Calendar'!$Z$748*1000000000+ISNUMBER('Dvd Calendar'!$Z$751)*100000000+('Dvd Calendar'!$Z$753=SPECIAL_LBL)*10000000+(N('Dvd Calendar'!$Z$747)&gt;0)*(N('Dvd Calendar'!$Z$747)&lt;=VAL_SERIAL)*1000000+68*1000+22))</f>
        <v/>
      </c>
      <c r="FA79" s="39">
        <f>IF(N('Dvd Calendar'!$AA$748)=0,"",IF(('Dvd Calendar'!$AA$748&gt;=GRID_FROM)*('Dvd Calendar'!$AA$748&lt;=GRID_TO)*((('Dvd Calendar'!$AA$748&lt;=VAL_DATE)+(COUNTIF('Dvd Calendar'!$E$755:$AR$755,'Dvd Calendar'!$AA$748)=0))&gt;0)=0,"",'Dvd Calendar'!$AA$748*1000000000+ISNUMBER('Dvd Calendar'!$AA$751)*100000000+('Dvd Calendar'!$AA$753=SPECIAL_LBL)*10000000+(N('Dvd Calendar'!$AA$747)&gt;0)*(N('Dvd Calendar'!$AA$747)&lt;=VAL_SERIAL)*1000000+68*1000+23))</f>
        <v/>
      </c>
      <c r="FB79" s="39">
        <f>IF(N('Dvd Calendar'!$AB$748)=0,"",IF(('Dvd Calendar'!$AB$748&gt;=GRID_FROM)*('Dvd Calendar'!$AB$748&lt;=GRID_TO)*((('Dvd Calendar'!$AB$748&lt;=VAL_DATE)+(COUNTIF('Dvd Calendar'!$E$755:$AR$755,'Dvd Calendar'!$AB$748)=0))&gt;0)=0,"",'Dvd Calendar'!$AB$748*1000000000+ISNUMBER('Dvd Calendar'!$AB$751)*100000000+('Dvd Calendar'!$AB$753=SPECIAL_LBL)*10000000+(N('Dvd Calendar'!$AB$747)&gt;0)*(N('Dvd Calendar'!$AB$747)&lt;=VAL_SERIAL)*1000000+68*1000+24))</f>
        <v/>
      </c>
      <c r="FC79" s="39">
        <f>IF(N('Dvd Calendar'!$AC$748)=0,"",IF(('Dvd Calendar'!$AC$748&gt;=GRID_FROM)*('Dvd Calendar'!$AC$748&lt;=GRID_TO)*((('Dvd Calendar'!$AC$748&lt;=VAL_DATE)+(COUNTIF('Dvd Calendar'!$E$755:$AR$755,'Dvd Calendar'!$AC$748)=0))&gt;0)=0,"",'Dvd Calendar'!$AC$748*1000000000+ISNUMBER('Dvd Calendar'!$AC$751)*100000000+('Dvd Calendar'!$AC$753=SPECIAL_LBL)*10000000+(N('Dvd Calendar'!$AC$747)&gt;0)*(N('Dvd Calendar'!$AC$747)&lt;=VAL_SERIAL)*1000000+68*1000+25))</f>
        <v/>
      </c>
      <c r="FD79" s="39">
        <f>IF(N('Dvd Calendar'!$AD$748)=0,"",IF(('Dvd Calendar'!$AD$748&gt;=GRID_FROM)*('Dvd Calendar'!$AD$748&lt;=GRID_TO)*((('Dvd Calendar'!$AD$748&lt;=VAL_DATE)+(COUNTIF('Dvd Calendar'!$E$755:$AR$755,'Dvd Calendar'!$AD$748)=0))&gt;0)=0,"",'Dvd Calendar'!$AD$748*1000000000+ISNUMBER('Dvd Calendar'!$AD$751)*100000000+('Dvd Calendar'!$AD$753=SPECIAL_LBL)*10000000+(N('Dvd Calendar'!$AD$747)&gt;0)*(N('Dvd Calendar'!$AD$747)&lt;=VAL_SERIAL)*1000000+68*1000+26))</f>
        <v/>
      </c>
      <c r="FE79" s="39">
        <f>IF(N('Dvd Calendar'!$AE$748)=0,"",IF(('Dvd Calendar'!$AE$748&gt;=GRID_FROM)*('Dvd Calendar'!$AE$748&lt;=GRID_TO)*((('Dvd Calendar'!$AE$748&lt;=VAL_DATE)+(COUNTIF('Dvd Calendar'!$E$755:$AR$755,'Dvd Calendar'!$AE$748)=0))&gt;0)=0,"",'Dvd Calendar'!$AE$748*1000000000+ISNUMBER('Dvd Calendar'!$AE$751)*100000000+('Dvd Calendar'!$AE$753=SPECIAL_LBL)*10000000+(N('Dvd Calendar'!$AE$747)&gt;0)*(N('Dvd Calendar'!$AE$747)&lt;=VAL_SERIAL)*1000000+68*1000+27))</f>
        <v/>
      </c>
      <c r="FF79" s="39">
        <f>IF(N('Dvd Calendar'!$AF$748)=0,"",IF(('Dvd Calendar'!$AF$748&gt;=GRID_FROM)*('Dvd Calendar'!$AF$748&lt;=GRID_TO)*((('Dvd Calendar'!$AF$748&lt;=VAL_DATE)+(COUNTIF('Dvd Calendar'!$E$755:$AR$755,'Dvd Calendar'!$AF$748)=0))&gt;0)=0,"",'Dvd Calendar'!$AF$748*1000000000+ISNUMBER('Dvd Calendar'!$AF$751)*100000000+('Dvd Calendar'!$AF$753=SPECIAL_LBL)*10000000+(N('Dvd Calendar'!$AF$747)&gt;0)*(N('Dvd Calendar'!$AF$747)&lt;=VAL_SERIAL)*1000000+68*1000+28))</f>
        <v/>
      </c>
      <c r="FG79" s="39">
        <f>IF(N('Dvd Calendar'!$AG$748)=0,"",IF(('Dvd Calendar'!$AG$748&gt;=GRID_FROM)*('Dvd Calendar'!$AG$748&lt;=GRID_TO)*((('Dvd Calendar'!$AG$748&lt;=VAL_DATE)+(COUNTIF('Dvd Calendar'!$E$755:$AR$755,'Dvd Calendar'!$AG$748)=0))&gt;0)=0,"",'Dvd Calendar'!$AG$748*1000000000+ISNUMBER('Dvd Calendar'!$AG$751)*100000000+('Dvd Calendar'!$AG$753=SPECIAL_LBL)*10000000+(N('Dvd Calendar'!$AG$747)&gt;0)*(N('Dvd Calendar'!$AG$747)&lt;=VAL_SERIAL)*1000000+68*1000+29))</f>
        <v/>
      </c>
      <c r="FH79" s="39">
        <f>IF(N('Dvd Calendar'!$AH$748)=0,"",IF(('Dvd Calendar'!$AH$748&gt;=GRID_FROM)*('Dvd Calendar'!$AH$748&lt;=GRID_TO)*((('Dvd Calendar'!$AH$748&lt;=VAL_DATE)+(COUNTIF('Dvd Calendar'!$E$755:$AR$755,'Dvd Calendar'!$AH$748)=0))&gt;0)=0,"",'Dvd Calendar'!$AH$748*1000000000+ISNUMBER('Dvd Calendar'!$AH$751)*100000000+('Dvd Calendar'!$AH$753=SPECIAL_LBL)*10000000+(N('Dvd Calendar'!$AH$747)&gt;0)*(N('Dvd Calendar'!$AH$747)&lt;=VAL_SERIAL)*1000000+68*1000+30))</f>
        <v/>
      </c>
      <c r="FI79" s="39">
        <f>IF(N('Dvd Calendar'!$AI$748)=0,"",IF(('Dvd Calendar'!$AI$748&gt;=GRID_FROM)*('Dvd Calendar'!$AI$748&lt;=GRID_TO)*((('Dvd Calendar'!$AI$748&lt;=VAL_DATE)+(COUNTIF('Dvd Calendar'!$E$755:$AR$755,'Dvd Calendar'!$AI$748)=0))&gt;0)=0,"",'Dvd Calendar'!$AI$748*1000000000+ISNUMBER('Dvd Calendar'!$AI$751)*100000000+('Dvd Calendar'!$AI$753=SPECIAL_LBL)*10000000+(N('Dvd Calendar'!$AI$747)&gt;0)*(N('Dvd Calendar'!$AI$747)&lt;=VAL_SERIAL)*1000000+68*1000+31))</f>
        <v/>
      </c>
      <c r="FJ79" s="39">
        <f>IF(N('Dvd Calendar'!$AJ$748)=0,"",IF(('Dvd Calendar'!$AJ$748&gt;=GRID_FROM)*('Dvd Calendar'!$AJ$748&lt;=GRID_TO)*((('Dvd Calendar'!$AJ$748&lt;=VAL_DATE)+(COUNTIF('Dvd Calendar'!$E$755:$AR$755,'Dvd Calendar'!$AJ$748)=0))&gt;0)=0,"",'Dvd Calendar'!$AJ$748*1000000000+ISNUMBER('Dvd Calendar'!$AJ$751)*100000000+('Dvd Calendar'!$AJ$753=SPECIAL_LBL)*10000000+(N('Dvd Calendar'!$AJ$747)&gt;0)*(N('Dvd Calendar'!$AJ$747)&lt;=VAL_SERIAL)*1000000+68*1000+32))</f>
        <v/>
      </c>
      <c r="FK79" s="39">
        <f>IF(N('Dvd Calendar'!$AK$748)=0,"",IF(('Dvd Calendar'!$AK$748&gt;=GRID_FROM)*('Dvd Calendar'!$AK$748&lt;=GRID_TO)*((('Dvd Calendar'!$AK$748&lt;=VAL_DATE)+(COUNTIF('Dvd Calendar'!$E$755:$AR$755,'Dvd Calendar'!$AK$748)=0))&gt;0)=0,"",'Dvd Calendar'!$AK$748*1000000000+ISNUMBER('Dvd Calendar'!$AK$751)*100000000+('Dvd Calendar'!$AK$753=SPECIAL_LBL)*10000000+(N('Dvd Calendar'!$AK$747)&gt;0)*(N('Dvd Calendar'!$AK$747)&lt;=VAL_SERIAL)*1000000+68*1000+33))</f>
        <v/>
      </c>
      <c r="FL79" s="39">
        <f>IF(N('Dvd Calendar'!$AL$748)=0,"",IF(('Dvd Calendar'!$AL$748&gt;=GRID_FROM)*('Dvd Calendar'!$AL$748&lt;=GRID_TO)*((('Dvd Calendar'!$AL$748&lt;=VAL_DATE)+(COUNTIF('Dvd Calendar'!$E$755:$AR$755,'Dvd Calendar'!$AL$748)=0))&gt;0)=0,"",'Dvd Calendar'!$AL$748*1000000000+ISNUMBER('Dvd Calendar'!$AL$751)*100000000+('Dvd Calendar'!$AL$753=SPECIAL_LBL)*10000000+(N('Dvd Calendar'!$AL$747)&gt;0)*(N('Dvd Calendar'!$AL$747)&lt;=VAL_SERIAL)*1000000+68*1000+34))</f>
        <v/>
      </c>
      <c r="FM79" s="39">
        <f>IF(N('Dvd Calendar'!$AM$748)=0,"",IF(('Dvd Calendar'!$AM$748&gt;=GRID_FROM)*('Dvd Calendar'!$AM$748&lt;=GRID_TO)*((('Dvd Calendar'!$AM$748&lt;=VAL_DATE)+(COUNTIF('Dvd Calendar'!$E$755:$AR$755,'Dvd Calendar'!$AM$748)=0))&gt;0)=0,"",'Dvd Calendar'!$AM$748*1000000000+ISNUMBER('Dvd Calendar'!$AM$751)*100000000+('Dvd Calendar'!$AM$753=SPECIAL_LBL)*10000000+(N('Dvd Calendar'!$AM$747)&gt;0)*(N('Dvd Calendar'!$AM$747)&lt;=VAL_SERIAL)*1000000+68*1000+35))</f>
        <v/>
      </c>
      <c r="FN79" s="39">
        <f>IF(N('Dvd Calendar'!$AN$748)=0,"",IF(('Dvd Calendar'!$AN$748&gt;=GRID_FROM)*('Dvd Calendar'!$AN$748&lt;=GRID_TO)*((('Dvd Calendar'!$AN$748&lt;=VAL_DATE)+(COUNTIF('Dvd Calendar'!$E$755:$AR$755,'Dvd Calendar'!$AN$748)=0))&gt;0)=0,"",'Dvd Calendar'!$AN$748*1000000000+ISNUMBER('Dvd Calendar'!$AN$751)*100000000+('Dvd Calendar'!$AN$753=SPECIAL_LBL)*10000000+(N('Dvd Calendar'!$AN$747)&gt;0)*(N('Dvd Calendar'!$AN$747)&lt;=VAL_SERIAL)*1000000+68*1000+36))</f>
        <v/>
      </c>
      <c r="FO79" s="39">
        <f>IF(N('Dvd Calendar'!$AO$748)=0,"",IF(('Dvd Calendar'!$AO$748&gt;=GRID_FROM)*('Dvd Calendar'!$AO$748&lt;=GRID_TO)*((('Dvd Calendar'!$AO$748&lt;=VAL_DATE)+(COUNTIF('Dvd Calendar'!$E$755:$AR$755,'Dvd Calendar'!$AO$748)=0))&gt;0)=0,"",'Dvd Calendar'!$AO$748*1000000000+ISNUMBER('Dvd Calendar'!$AO$751)*100000000+('Dvd Calendar'!$AO$753=SPECIAL_LBL)*10000000+(N('Dvd Calendar'!$AO$747)&gt;0)*(N('Dvd Calendar'!$AO$747)&lt;=VAL_SERIAL)*1000000+68*1000+37))</f>
        <v/>
      </c>
      <c r="FP79" s="39">
        <f>IF(N('Dvd Calendar'!$AP$748)=0,"",IF(('Dvd Calendar'!$AP$748&gt;=GRID_FROM)*('Dvd Calendar'!$AP$748&lt;=GRID_TO)*((('Dvd Calendar'!$AP$748&lt;=VAL_DATE)+(COUNTIF('Dvd Calendar'!$E$755:$AR$755,'Dvd Calendar'!$AP$748)=0))&gt;0)=0,"",'Dvd Calendar'!$AP$748*1000000000+ISNUMBER('Dvd Calendar'!$AP$751)*100000000+('Dvd Calendar'!$AP$753=SPECIAL_LBL)*10000000+(N('Dvd Calendar'!$AP$747)&gt;0)*(N('Dvd Calendar'!$AP$747)&lt;=VAL_SERIAL)*1000000+68*1000+38))</f>
        <v/>
      </c>
      <c r="FQ79" s="39">
        <f>IF(N('Dvd Calendar'!$AQ$748)=0,"",IF(('Dvd Calendar'!$AQ$748&gt;=GRID_FROM)*('Dvd Calendar'!$AQ$748&lt;=GRID_TO)*((('Dvd Calendar'!$AQ$748&lt;=VAL_DATE)+(COUNTIF('Dvd Calendar'!$E$755:$AR$755,'Dvd Calendar'!$AQ$748)=0))&gt;0)=0,"",'Dvd Calendar'!$AQ$748*1000000000+ISNUMBER('Dvd Calendar'!$AQ$751)*100000000+('Dvd Calendar'!$AQ$753=SPECIAL_LBL)*10000000+(N('Dvd Calendar'!$AQ$747)&gt;0)*(N('Dvd Calendar'!$AQ$747)&lt;=VAL_SERIAL)*1000000+68*1000+39))</f>
        <v/>
      </c>
      <c r="FR79" s="39">
        <f>IF(N('Dvd Calendar'!$AR$748)=0,"",IF(('Dvd Calendar'!$AR$748&gt;=GRID_FROM)*('Dvd Calendar'!$AR$748&lt;=GRID_TO)*((('Dvd Calendar'!$AR$748&lt;=VAL_DATE)+(COUNTIF('Dvd Calendar'!$E$755:$AR$755,'Dvd Calendar'!$AR$748)=0))&gt;0)=0,"",'Dvd Calendar'!$AR$748*1000000000+ISNUMBER('Dvd Calendar'!$AR$751)*100000000+('Dvd Calendar'!$AR$753=SPECIAL_LBL)*10000000+(N('Dvd Calendar'!$AR$747)&gt;0)*(N('Dvd Calendar'!$AR$747)&lt;=VAL_SERIAL)*1000000+68*1000+40))</f>
        <v/>
      </c>
      <c r="FS79" s="39">
        <f>IF(N('Dvd Calendar'!$E$755)=0,"",IF(('Dvd Calendar'!$E$755&gt;=GRID_FROM)*('Dvd Calendar'!$E$755&lt;=GRID_TO)*('Dvd Calendar'!$E$755&gt;VAL_DATE)=0,"",'Dvd Calendar'!$E$755*1000000000+ISNUMBER('Dvd Calendar'!$E$756)*100000000+0*10000000+(N('Dvd Calendar'!$E$754)&gt;0)*(N('Dvd Calendar'!$E$754)&lt;=VAL_SERIAL)*1000000+68*1000+41))</f>
        <v/>
      </c>
      <c r="FT79" s="39">
        <f>IF(N('Dvd Calendar'!$F$755)=0,"",IF(('Dvd Calendar'!$F$755&gt;=GRID_FROM)*('Dvd Calendar'!$F$755&lt;=GRID_TO)*('Dvd Calendar'!$F$755&gt;VAL_DATE)=0,"",'Dvd Calendar'!$F$755*1000000000+ISNUMBER('Dvd Calendar'!$F$756)*100000000+0*10000000+(N('Dvd Calendar'!$F$754)&gt;0)*(N('Dvd Calendar'!$F$754)&lt;=VAL_SERIAL)*1000000+68*1000+42))</f>
        <v/>
      </c>
      <c r="FU79" s="39">
        <f>IF(N('Dvd Calendar'!$G$755)=0,"",IF(('Dvd Calendar'!$G$755&gt;=GRID_FROM)*('Dvd Calendar'!$G$755&lt;=GRID_TO)*('Dvd Calendar'!$G$755&gt;VAL_DATE)=0,"",'Dvd Calendar'!$G$755*1000000000+ISNUMBER('Dvd Calendar'!$G$756)*100000000+0*10000000+(N('Dvd Calendar'!$G$754)&gt;0)*(N('Dvd Calendar'!$G$754)&lt;=VAL_SERIAL)*1000000+68*1000+43))</f>
        <v/>
      </c>
      <c r="FV79" s="39">
        <f>IF(N('Dvd Calendar'!$H$755)=0,"",IF(('Dvd Calendar'!$H$755&gt;=GRID_FROM)*('Dvd Calendar'!$H$755&lt;=GRID_TO)*('Dvd Calendar'!$H$755&gt;VAL_DATE)=0,"",'Dvd Calendar'!$H$755*1000000000+ISNUMBER('Dvd Calendar'!$H$756)*100000000+0*10000000+(N('Dvd Calendar'!$H$754)&gt;0)*(N('Dvd Calendar'!$H$754)&lt;=VAL_SERIAL)*1000000+68*1000+44))</f>
        <v/>
      </c>
      <c r="FW79" s="39">
        <f>IF(N('Dvd Calendar'!$I$755)=0,"",IF(('Dvd Calendar'!$I$755&gt;=GRID_FROM)*('Dvd Calendar'!$I$755&lt;=GRID_TO)*('Dvd Calendar'!$I$755&gt;VAL_DATE)=0,"",'Dvd Calendar'!$I$755*1000000000+ISNUMBER('Dvd Calendar'!$I$756)*100000000+0*10000000+(N('Dvd Calendar'!$I$754)&gt;0)*(N('Dvd Calendar'!$I$754)&lt;=VAL_SERIAL)*1000000+68*1000+45))</f>
        <v/>
      </c>
      <c r="FX79" s="39">
        <f>IF(N('Dvd Calendar'!$J$755)=0,"",IF(('Dvd Calendar'!$J$755&gt;=GRID_FROM)*('Dvd Calendar'!$J$755&lt;=GRID_TO)*('Dvd Calendar'!$J$755&gt;VAL_DATE)=0,"",'Dvd Calendar'!$J$755*1000000000+ISNUMBER('Dvd Calendar'!$J$756)*100000000+0*10000000+(N('Dvd Calendar'!$J$754)&gt;0)*(N('Dvd Calendar'!$J$754)&lt;=VAL_SERIAL)*1000000+68*1000+46))</f>
        <v/>
      </c>
      <c r="FY79" s="39">
        <f>IF(N('Dvd Calendar'!$K$755)=0,"",IF(('Dvd Calendar'!$K$755&gt;=GRID_FROM)*('Dvd Calendar'!$K$755&lt;=GRID_TO)*('Dvd Calendar'!$K$755&gt;VAL_DATE)=0,"",'Dvd Calendar'!$K$755*1000000000+ISNUMBER('Dvd Calendar'!$K$756)*100000000+0*10000000+(N('Dvd Calendar'!$K$754)&gt;0)*(N('Dvd Calendar'!$K$754)&lt;=VAL_SERIAL)*1000000+68*1000+47))</f>
        <v/>
      </c>
      <c r="FZ79" s="39">
        <f>IF(N('Dvd Calendar'!$L$755)=0,"",IF(('Dvd Calendar'!$L$755&gt;=GRID_FROM)*('Dvd Calendar'!$L$755&lt;=GRID_TO)*('Dvd Calendar'!$L$755&gt;VAL_DATE)=0,"",'Dvd Calendar'!$L$755*1000000000+ISNUMBER('Dvd Calendar'!$L$756)*100000000+0*10000000+(N('Dvd Calendar'!$L$754)&gt;0)*(N('Dvd Calendar'!$L$754)&lt;=VAL_SERIAL)*1000000+68*1000+48))</f>
        <v/>
      </c>
      <c r="GA79" s="39">
        <f>IF(N('Dvd Calendar'!$M$755)=0,"",IF(('Dvd Calendar'!$M$755&gt;=GRID_FROM)*('Dvd Calendar'!$M$755&lt;=GRID_TO)*('Dvd Calendar'!$M$755&gt;VAL_DATE)=0,"",'Dvd Calendar'!$M$755*1000000000+ISNUMBER('Dvd Calendar'!$M$756)*100000000+0*10000000+(N('Dvd Calendar'!$M$754)&gt;0)*(N('Dvd Calendar'!$M$754)&lt;=VAL_SERIAL)*1000000+68*1000+49))</f>
        <v/>
      </c>
      <c r="GB79" s="39">
        <f>IF(N('Dvd Calendar'!$N$755)=0,"",IF(('Dvd Calendar'!$N$755&gt;=GRID_FROM)*('Dvd Calendar'!$N$755&lt;=GRID_TO)*('Dvd Calendar'!$N$755&gt;VAL_DATE)=0,"",'Dvd Calendar'!$N$755*1000000000+ISNUMBER('Dvd Calendar'!$N$756)*100000000+0*10000000+(N('Dvd Calendar'!$N$754)&gt;0)*(N('Dvd Calendar'!$N$754)&lt;=VAL_SERIAL)*1000000+68*1000+50))</f>
        <v/>
      </c>
      <c r="GC79" s="39">
        <f>IF(N('Dvd Calendar'!$O$755)=0,"",IF(('Dvd Calendar'!$O$755&gt;=GRID_FROM)*('Dvd Calendar'!$O$755&lt;=GRID_TO)*('Dvd Calendar'!$O$755&gt;VAL_DATE)=0,"",'Dvd Calendar'!$O$755*1000000000+ISNUMBER('Dvd Calendar'!$O$756)*100000000+0*10000000+(N('Dvd Calendar'!$O$754)&gt;0)*(N('Dvd Calendar'!$O$754)&lt;=VAL_SERIAL)*1000000+68*1000+51))</f>
        <v/>
      </c>
      <c r="GD79" s="39">
        <f>IF(N('Dvd Calendar'!$P$755)=0,"",IF(('Dvd Calendar'!$P$755&gt;=GRID_FROM)*('Dvd Calendar'!$P$755&lt;=GRID_TO)*('Dvd Calendar'!$P$755&gt;VAL_DATE)=0,"",'Dvd Calendar'!$P$755*1000000000+ISNUMBER('Dvd Calendar'!$P$756)*100000000+0*10000000+(N('Dvd Calendar'!$P$754)&gt;0)*(N('Dvd Calendar'!$P$754)&lt;=VAL_SERIAL)*1000000+68*1000+52))</f>
        <v/>
      </c>
      <c r="GE79" s="39">
        <f>IF(N('Dvd Calendar'!$Q$755)=0,"",IF(('Dvd Calendar'!$Q$755&gt;=GRID_FROM)*('Dvd Calendar'!$Q$755&lt;=GRID_TO)*('Dvd Calendar'!$Q$755&gt;VAL_DATE)=0,"",'Dvd Calendar'!$Q$755*1000000000+ISNUMBER('Dvd Calendar'!$Q$756)*100000000+0*10000000+(N('Dvd Calendar'!$Q$754)&gt;0)*(N('Dvd Calendar'!$Q$754)&lt;=VAL_SERIAL)*1000000+68*1000+53))</f>
        <v/>
      </c>
      <c r="GF79" s="39">
        <f>IF(N('Dvd Calendar'!$R$755)=0,"",IF(('Dvd Calendar'!$R$755&gt;=GRID_FROM)*('Dvd Calendar'!$R$755&lt;=GRID_TO)*('Dvd Calendar'!$R$755&gt;VAL_DATE)=0,"",'Dvd Calendar'!$R$755*1000000000+ISNUMBER('Dvd Calendar'!$R$756)*100000000+0*10000000+(N('Dvd Calendar'!$R$754)&gt;0)*(N('Dvd Calendar'!$R$754)&lt;=VAL_SERIAL)*1000000+68*1000+54))</f>
        <v/>
      </c>
      <c r="GG79" s="39">
        <f>IF(N('Dvd Calendar'!$S$755)=0,"",IF(('Dvd Calendar'!$S$755&gt;=GRID_FROM)*('Dvd Calendar'!$S$755&lt;=GRID_TO)*('Dvd Calendar'!$S$755&gt;VAL_DATE)=0,"",'Dvd Calendar'!$S$755*1000000000+ISNUMBER('Dvd Calendar'!$S$756)*100000000+0*10000000+(N('Dvd Calendar'!$S$754)&gt;0)*(N('Dvd Calendar'!$S$754)&lt;=VAL_SERIAL)*1000000+68*1000+55))</f>
        <v/>
      </c>
      <c r="GH79" s="39">
        <f>IF(N('Dvd Calendar'!$T$755)=0,"",IF(('Dvd Calendar'!$T$755&gt;=GRID_FROM)*('Dvd Calendar'!$T$755&lt;=GRID_TO)*('Dvd Calendar'!$T$755&gt;VAL_DATE)=0,"",'Dvd Calendar'!$T$755*1000000000+ISNUMBER('Dvd Calendar'!$T$756)*100000000+0*10000000+(N('Dvd Calendar'!$T$754)&gt;0)*(N('Dvd Calendar'!$T$754)&lt;=VAL_SERIAL)*1000000+68*1000+56))</f>
        <v/>
      </c>
      <c r="GI79" s="39">
        <f>IF(N('Dvd Calendar'!$U$755)=0,"",IF(('Dvd Calendar'!$U$755&gt;=GRID_FROM)*('Dvd Calendar'!$U$755&lt;=GRID_TO)*('Dvd Calendar'!$U$755&gt;VAL_DATE)=0,"",'Dvd Calendar'!$U$755*1000000000+ISNUMBER('Dvd Calendar'!$U$756)*100000000+0*10000000+(N('Dvd Calendar'!$U$754)&gt;0)*(N('Dvd Calendar'!$U$754)&lt;=VAL_SERIAL)*1000000+68*1000+57))</f>
        <v/>
      </c>
      <c r="GJ79" s="39">
        <f>IF(N('Dvd Calendar'!$V$755)=0,"",IF(('Dvd Calendar'!$V$755&gt;=GRID_FROM)*('Dvd Calendar'!$V$755&lt;=GRID_TO)*('Dvd Calendar'!$V$755&gt;VAL_DATE)=0,"",'Dvd Calendar'!$V$755*1000000000+ISNUMBER('Dvd Calendar'!$V$756)*100000000+0*10000000+(N('Dvd Calendar'!$V$754)&gt;0)*(N('Dvd Calendar'!$V$754)&lt;=VAL_SERIAL)*1000000+68*1000+58))</f>
        <v/>
      </c>
      <c r="GK79" s="39">
        <f>IF(N('Dvd Calendar'!$W$755)=0,"",IF(('Dvd Calendar'!$W$755&gt;=GRID_FROM)*('Dvd Calendar'!$W$755&lt;=GRID_TO)*('Dvd Calendar'!$W$755&gt;VAL_DATE)=0,"",'Dvd Calendar'!$W$755*1000000000+ISNUMBER('Dvd Calendar'!$W$756)*100000000+0*10000000+(N('Dvd Calendar'!$W$754)&gt;0)*(N('Dvd Calendar'!$W$754)&lt;=VAL_SERIAL)*1000000+68*1000+59))</f>
        <v/>
      </c>
      <c r="GL79" s="39">
        <f>IF(N('Dvd Calendar'!$X$755)=0,"",IF(('Dvd Calendar'!$X$755&gt;=GRID_FROM)*('Dvd Calendar'!$X$755&lt;=GRID_TO)*('Dvd Calendar'!$X$755&gt;VAL_DATE)=0,"",'Dvd Calendar'!$X$755*1000000000+ISNUMBER('Dvd Calendar'!$X$756)*100000000+0*10000000+(N('Dvd Calendar'!$X$754)&gt;0)*(N('Dvd Calendar'!$X$754)&lt;=VAL_SERIAL)*1000000+68*1000+60))</f>
        <v/>
      </c>
      <c r="GM79" s="39">
        <f>IF(N('Dvd Calendar'!$Y$755)=0,"",IF(('Dvd Calendar'!$Y$755&gt;=GRID_FROM)*('Dvd Calendar'!$Y$755&lt;=GRID_TO)*('Dvd Calendar'!$Y$755&gt;VAL_DATE)=0,"",'Dvd Calendar'!$Y$755*1000000000+ISNUMBER('Dvd Calendar'!$Y$756)*100000000+0*10000000+(N('Dvd Calendar'!$Y$754)&gt;0)*(N('Dvd Calendar'!$Y$754)&lt;=VAL_SERIAL)*1000000+68*1000+61))</f>
        <v/>
      </c>
      <c r="GN79" s="39">
        <f>IF(N('Dvd Calendar'!$Z$755)=0,"",IF(('Dvd Calendar'!$Z$755&gt;=GRID_FROM)*('Dvd Calendar'!$Z$755&lt;=GRID_TO)*('Dvd Calendar'!$Z$755&gt;VAL_DATE)=0,"",'Dvd Calendar'!$Z$755*1000000000+ISNUMBER('Dvd Calendar'!$Z$756)*100000000+0*10000000+(N('Dvd Calendar'!$Z$754)&gt;0)*(N('Dvd Calendar'!$Z$754)&lt;=VAL_SERIAL)*1000000+68*1000+62))</f>
        <v/>
      </c>
      <c r="GO79" s="39">
        <f>IF(N('Dvd Calendar'!$AA$755)=0,"",IF(('Dvd Calendar'!$AA$755&gt;=GRID_FROM)*('Dvd Calendar'!$AA$755&lt;=GRID_TO)*('Dvd Calendar'!$AA$755&gt;VAL_DATE)=0,"",'Dvd Calendar'!$AA$755*1000000000+ISNUMBER('Dvd Calendar'!$AA$756)*100000000+0*10000000+(N('Dvd Calendar'!$AA$754)&gt;0)*(N('Dvd Calendar'!$AA$754)&lt;=VAL_SERIAL)*1000000+68*1000+63))</f>
        <v/>
      </c>
      <c r="GP79" s="39">
        <f>IF(N('Dvd Calendar'!$AB$755)=0,"",IF(('Dvd Calendar'!$AB$755&gt;=GRID_FROM)*('Dvd Calendar'!$AB$755&lt;=GRID_TO)*('Dvd Calendar'!$AB$755&gt;VAL_DATE)=0,"",'Dvd Calendar'!$AB$755*1000000000+ISNUMBER('Dvd Calendar'!$AB$756)*100000000+0*10000000+(N('Dvd Calendar'!$AB$754)&gt;0)*(N('Dvd Calendar'!$AB$754)&lt;=VAL_SERIAL)*1000000+68*1000+64))</f>
        <v/>
      </c>
      <c r="GQ79" s="39">
        <f>IF(N('Dvd Calendar'!$AC$755)=0,"",IF(('Dvd Calendar'!$AC$755&gt;=GRID_FROM)*('Dvd Calendar'!$AC$755&lt;=GRID_TO)*('Dvd Calendar'!$AC$755&gt;VAL_DATE)=0,"",'Dvd Calendar'!$AC$755*1000000000+ISNUMBER('Dvd Calendar'!$AC$756)*100000000+0*10000000+(N('Dvd Calendar'!$AC$754)&gt;0)*(N('Dvd Calendar'!$AC$754)&lt;=VAL_SERIAL)*1000000+68*1000+65))</f>
        <v/>
      </c>
    </row>
    <row r="80">
      <c r="B80" s="2">
        <f>IF(HSI!$C$75="","",HSI!$C$75)</f>
        <v/>
      </c>
      <c r="C80" s="110">
        <f>IF(EE80="","",IF(ISNUMBER('Dvd Calendar'!$E$762)=FALSE,"",IF((('Dvd Calendar'!$E$764=TYPE1)*(TYPE1&lt;&gt;"")+('Dvd Calendar'!$E$764=TYPE2)*(TYPE2&lt;&gt;"")+('Dvd Calendar'!$E$764=TYPE3)*(TYPE3&lt;&gt;"")+('Dvd Calendar'!$E$764=TYPE4)*(TYPE4&lt;&gt;"")+('Dvd Calendar'!$E$764=SPECIAL_LBL)*(INC_SPECIALS="Y"))=0,"",'Dvd Calendar'!$E$762)))</f>
        <v/>
      </c>
      <c r="D80" s="110">
        <f>IF(EF80="","",IF(ISNUMBER('Dvd Calendar'!$F$762)=FALSE,"",IF((('Dvd Calendar'!$F$764=TYPE1)*(TYPE1&lt;&gt;"")+('Dvd Calendar'!$F$764=TYPE2)*(TYPE2&lt;&gt;"")+('Dvd Calendar'!$F$764=TYPE3)*(TYPE3&lt;&gt;"")+('Dvd Calendar'!$F$764=TYPE4)*(TYPE4&lt;&gt;"")+('Dvd Calendar'!$F$764=SPECIAL_LBL)*(INC_SPECIALS="Y"))=0,"",'Dvd Calendar'!$F$762)))</f>
        <v/>
      </c>
      <c r="E80" s="110">
        <f>IF(EG80="","",IF(ISNUMBER('Dvd Calendar'!$G$762)=FALSE,"",IF((('Dvd Calendar'!$G$764=TYPE1)*(TYPE1&lt;&gt;"")+('Dvd Calendar'!$G$764=TYPE2)*(TYPE2&lt;&gt;"")+('Dvd Calendar'!$G$764=TYPE3)*(TYPE3&lt;&gt;"")+('Dvd Calendar'!$G$764=TYPE4)*(TYPE4&lt;&gt;"")+('Dvd Calendar'!$G$764=SPECIAL_LBL)*(INC_SPECIALS="Y"))=0,"",'Dvd Calendar'!$G$762)))</f>
        <v/>
      </c>
      <c r="F80" s="110">
        <f>IF(EH80="","",IF(ISNUMBER('Dvd Calendar'!$H$762)=FALSE,"",IF((('Dvd Calendar'!$H$764=TYPE1)*(TYPE1&lt;&gt;"")+('Dvd Calendar'!$H$764=TYPE2)*(TYPE2&lt;&gt;"")+('Dvd Calendar'!$H$764=TYPE3)*(TYPE3&lt;&gt;"")+('Dvd Calendar'!$H$764=TYPE4)*(TYPE4&lt;&gt;"")+('Dvd Calendar'!$H$764=SPECIAL_LBL)*(INC_SPECIALS="Y"))=0,"",'Dvd Calendar'!$H$762)))</f>
        <v/>
      </c>
      <c r="G80" s="110">
        <f>IF(EI80="","",IF(ISNUMBER('Dvd Calendar'!$I$762)=FALSE,"",IF((('Dvd Calendar'!$I$764=TYPE1)*(TYPE1&lt;&gt;"")+('Dvd Calendar'!$I$764=TYPE2)*(TYPE2&lt;&gt;"")+('Dvd Calendar'!$I$764=TYPE3)*(TYPE3&lt;&gt;"")+('Dvd Calendar'!$I$764=TYPE4)*(TYPE4&lt;&gt;"")+('Dvd Calendar'!$I$764=SPECIAL_LBL)*(INC_SPECIALS="Y"))=0,"",'Dvd Calendar'!$I$762)))</f>
        <v/>
      </c>
      <c r="H80" s="110">
        <f>IF(EJ80="","",IF(ISNUMBER('Dvd Calendar'!$J$762)=FALSE,"",IF((('Dvd Calendar'!$J$764=TYPE1)*(TYPE1&lt;&gt;"")+('Dvd Calendar'!$J$764=TYPE2)*(TYPE2&lt;&gt;"")+('Dvd Calendar'!$J$764=TYPE3)*(TYPE3&lt;&gt;"")+('Dvd Calendar'!$J$764=TYPE4)*(TYPE4&lt;&gt;"")+('Dvd Calendar'!$J$764=SPECIAL_LBL)*(INC_SPECIALS="Y"))=0,"",'Dvd Calendar'!$J$762)))</f>
        <v/>
      </c>
      <c r="I80" s="110">
        <f>IF(EK80="","",IF(ISNUMBER('Dvd Calendar'!$K$762)=FALSE,"",IF((('Dvd Calendar'!$K$764=TYPE1)*(TYPE1&lt;&gt;"")+('Dvd Calendar'!$K$764=TYPE2)*(TYPE2&lt;&gt;"")+('Dvd Calendar'!$K$764=TYPE3)*(TYPE3&lt;&gt;"")+('Dvd Calendar'!$K$764=TYPE4)*(TYPE4&lt;&gt;"")+('Dvd Calendar'!$K$764=SPECIAL_LBL)*(INC_SPECIALS="Y"))=0,"",'Dvd Calendar'!$K$762)))</f>
        <v/>
      </c>
      <c r="J80" s="110">
        <f>IF(EL80="","",IF(ISNUMBER('Dvd Calendar'!$L$762)=FALSE,"",IF((('Dvd Calendar'!$L$764=TYPE1)*(TYPE1&lt;&gt;"")+('Dvd Calendar'!$L$764=TYPE2)*(TYPE2&lt;&gt;"")+('Dvd Calendar'!$L$764=TYPE3)*(TYPE3&lt;&gt;"")+('Dvd Calendar'!$L$764=TYPE4)*(TYPE4&lt;&gt;"")+('Dvd Calendar'!$L$764=SPECIAL_LBL)*(INC_SPECIALS="Y"))=0,"",'Dvd Calendar'!$L$762)))</f>
        <v/>
      </c>
      <c r="K80" s="110">
        <f>IF(EM80="","",IF(ISNUMBER('Dvd Calendar'!$M$762)=FALSE,"",IF((('Dvd Calendar'!$M$764=TYPE1)*(TYPE1&lt;&gt;"")+('Dvd Calendar'!$M$764=TYPE2)*(TYPE2&lt;&gt;"")+('Dvd Calendar'!$M$764=TYPE3)*(TYPE3&lt;&gt;"")+('Dvd Calendar'!$M$764=TYPE4)*(TYPE4&lt;&gt;"")+('Dvd Calendar'!$M$764=SPECIAL_LBL)*(INC_SPECIALS="Y"))=0,"",'Dvd Calendar'!$M$762)))</f>
        <v/>
      </c>
      <c r="L80" s="110">
        <f>IF(EN80="","",IF(ISNUMBER('Dvd Calendar'!$N$762)=FALSE,"",IF((('Dvd Calendar'!$N$764=TYPE1)*(TYPE1&lt;&gt;"")+('Dvd Calendar'!$N$764=TYPE2)*(TYPE2&lt;&gt;"")+('Dvd Calendar'!$N$764=TYPE3)*(TYPE3&lt;&gt;"")+('Dvd Calendar'!$N$764=TYPE4)*(TYPE4&lt;&gt;"")+('Dvd Calendar'!$N$764=SPECIAL_LBL)*(INC_SPECIALS="Y"))=0,"",'Dvd Calendar'!$N$762)))</f>
        <v/>
      </c>
      <c r="M80" s="110">
        <f>IF(EO80="","",IF(ISNUMBER('Dvd Calendar'!$O$762)=FALSE,"",IF((('Dvd Calendar'!$O$764=TYPE1)*(TYPE1&lt;&gt;"")+('Dvd Calendar'!$O$764=TYPE2)*(TYPE2&lt;&gt;"")+('Dvd Calendar'!$O$764=TYPE3)*(TYPE3&lt;&gt;"")+('Dvd Calendar'!$O$764=TYPE4)*(TYPE4&lt;&gt;"")+('Dvd Calendar'!$O$764=SPECIAL_LBL)*(INC_SPECIALS="Y"))=0,"",'Dvd Calendar'!$O$762)))</f>
        <v/>
      </c>
      <c r="N80" s="110">
        <f>IF(EP80="","",IF(ISNUMBER('Dvd Calendar'!$P$762)=FALSE,"",IF((('Dvd Calendar'!$P$764=TYPE1)*(TYPE1&lt;&gt;"")+('Dvd Calendar'!$P$764=TYPE2)*(TYPE2&lt;&gt;"")+('Dvd Calendar'!$P$764=TYPE3)*(TYPE3&lt;&gt;"")+('Dvd Calendar'!$P$764=TYPE4)*(TYPE4&lt;&gt;"")+('Dvd Calendar'!$P$764=SPECIAL_LBL)*(INC_SPECIALS="Y"))=0,"",'Dvd Calendar'!$P$762)))</f>
        <v/>
      </c>
      <c r="O80" s="110">
        <f>IF(EQ80="","",IF(ISNUMBER('Dvd Calendar'!$Q$762)=FALSE,"",IF((('Dvd Calendar'!$Q$764=TYPE1)*(TYPE1&lt;&gt;"")+('Dvd Calendar'!$Q$764=TYPE2)*(TYPE2&lt;&gt;"")+('Dvd Calendar'!$Q$764=TYPE3)*(TYPE3&lt;&gt;"")+('Dvd Calendar'!$Q$764=TYPE4)*(TYPE4&lt;&gt;"")+('Dvd Calendar'!$Q$764=SPECIAL_LBL)*(INC_SPECIALS="Y"))=0,"",'Dvd Calendar'!$Q$762)))</f>
        <v/>
      </c>
      <c r="P80" s="110">
        <f>IF(ER80="","",IF(ISNUMBER('Dvd Calendar'!$R$762)=FALSE,"",IF((('Dvd Calendar'!$R$764=TYPE1)*(TYPE1&lt;&gt;"")+('Dvd Calendar'!$R$764=TYPE2)*(TYPE2&lt;&gt;"")+('Dvd Calendar'!$R$764=TYPE3)*(TYPE3&lt;&gt;"")+('Dvd Calendar'!$R$764=TYPE4)*(TYPE4&lt;&gt;"")+('Dvd Calendar'!$R$764=SPECIAL_LBL)*(INC_SPECIALS="Y"))=0,"",'Dvd Calendar'!$R$762)))</f>
        <v/>
      </c>
      <c r="Q80" s="110">
        <f>IF(ES80="","",IF(ISNUMBER('Dvd Calendar'!$S$762)=FALSE,"",IF((('Dvd Calendar'!$S$764=TYPE1)*(TYPE1&lt;&gt;"")+('Dvd Calendar'!$S$764=TYPE2)*(TYPE2&lt;&gt;"")+('Dvd Calendar'!$S$764=TYPE3)*(TYPE3&lt;&gt;"")+('Dvd Calendar'!$S$764=TYPE4)*(TYPE4&lt;&gt;"")+('Dvd Calendar'!$S$764=SPECIAL_LBL)*(INC_SPECIALS="Y"))=0,"",'Dvd Calendar'!$S$762)))</f>
        <v/>
      </c>
      <c r="R80" s="110">
        <f>IF(ET80="","",IF(ISNUMBER('Dvd Calendar'!$T$762)=FALSE,"",IF((('Dvd Calendar'!$T$764=TYPE1)*(TYPE1&lt;&gt;"")+('Dvd Calendar'!$T$764=TYPE2)*(TYPE2&lt;&gt;"")+('Dvd Calendar'!$T$764=TYPE3)*(TYPE3&lt;&gt;"")+('Dvd Calendar'!$T$764=TYPE4)*(TYPE4&lt;&gt;"")+('Dvd Calendar'!$T$764=SPECIAL_LBL)*(INC_SPECIALS="Y"))=0,"",'Dvd Calendar'!$T$762)))</f>
        <v/>
      </c>
      <c r="S80" s="110">
        <f>IF(EU80="","",IF(ISNUMBER('Dvd Calendar'!$U$762)=FALSE,"",IF((('Dvd Calendar'!$U$764=TYPE1)*(TYPE1&lt;&gt;"")+('Dvd Calendar'!$U$764=TYPE2)*(TYPE2&lt;&gt;"")+('Dvd Calendar'!$U$764=TYPE3)*(TYPE3&lt;&gt;"")+('Dvd Calendar'!$U$764=TYPE4)*(TYPE4&lt;&gt;"")+('Dvd Calendar'!$U$764=SPECIAL_LBL)*(INC_SPECIALS="Y"))=0,"",'Dvd Calendar'!$U$762)))</f>
        <v/>
      </c>
      <c r="T80" s="110">
        <f>IF(EV80="","",IF(ISNUMBER('Dvd Calendar'!$V$762)=FALSE,"",IF((('Dvd Calendar'!$V$764=TYPE1)*(TYPE1&lt;&gt;"")+('Dvd Calendar'!$V$764=TYPE2)*(TYPE2&lt;&gt;"")+('Dvd Calendar'!$V$764=TYPE3)*(TYPE3&lt;&gt;"")+('Dvd Calendar'!$V$764=TYPE4)*(TYPE4&lt;&gt;"")+('Dvd Calendar'!$V$764=SPECIAL_LBL)*(INC_SPECIALS="Y"))=0,"",'Dvd Calendar'!$V$762)))</f>
        <v/>
      </c>
      <c r="U80" s="110">
        <f>IF(EW80="","",IF(ISNUMBER('Dvd Calendar'!$W$762)=FALSE,"",IF((('Dvd Calendar'!$W$764=TYPE1)*(TYPE1&lt;&gt;"")+('Dvd Calendar'!$W$764=TYPE2)*(TYPE2&lt;&gt;"")+('Dvd Calendar'!$W$764=TYPE3)*(TYPE3&lt;&gt;"")+('Dvd Calendar'!$W$764=TYPE4)*(TYPE4&lt;&gt;"")+('Dvd Calendar'!$W$764=SPECIAL_LBL)*(INC_SPECIALS="Y"))=0,"",'Dvd Calendar'!$W$762)))</f>
        <v/>
      </c>
      <c r="V80" s="110">
        <f>IF(EX80="","",IF(ISNUMBER('Dvd Calendar'!$X$762)=FALSE,"",IF((('Dvd Calendar'!$X$764=TYPE1)*(TYPE1&lt;&gt;"")+('Dvd Calendar'!$X$764=TYPE2)*(TYPE2&lt;&gt;"")+('Dvd Calendar'!$X$764=TYPE3)*(TYPE3&lt;&gt;"")+('Dvd Calendar'!$X$764=TYPE4)*(TYPE4&lt;&gt;"")+('Dvd Calendar'!$X$764=SPECIAL_LBL)*(INC_SPECIALS="Y"))=0,"",'Dvd Calendar'!$X$762)))</f>
        <v/>
      </c>
      <c r="W80" s="110">
        <f>IF(EY80="","",IF(ISNUMBER('Dvd Calendar'!$Y$762)=FALSE,"",IF((('Dvd Calendar'!$Y$764=TYPE1)*(TYPE1&lt;&gt;"")+('Dvd Calendar'!$Y$764=TYPE2)*(TYPE2&lt;&gt;"")+('Dvd Calendar'!$Y$764=TYPE3)*(TYPE3&lt;&gt;"")+('Dvd Calendar'!$Y$764=TYPE4)*(TYPE4&lt;&gt;"")+('Dvd Calendar'!$Y$764=SPECIAL_LBL)*(INC_SPECIALS="Y"))=0,"",'Dvd Calendar'!$Y$762)))</f>
        <v/>
      </c>
      <c r="X80" s="110">
        <f>IF(EZ80="","",IF(ISNUMBER('Dvd Calendar'!$Z$762)=FALSE,"",IF((('Dvd Calendar'!$Z$764=TYPE1)*(TYPE1&lt;&gt;"")+('Dvd Calendar'!$Z$764=TYPE2)*(TYPE2&lt;&gt;"")+('Dvd Calendar'!$Z$764=TYPE3)*(TYPE3&lt;&gt;"")+('Dvd Calendar'!$Z$764=TYPE4)*(TYPE4&lt;&gt;"")+('Dvd Calendar'!$Z$764=SPECIAL_LBL)*(INC_SPECIALS="Y"))=0,"",'Dvd Calendar'!$Z$762)))</f>
        <v/>
      </c>
      <c r="Y80" s="110">
        <f>IF(FA80="","",IF(ISNUMBER('Dvd Calendar'!$AA$762)=FALSE,"",IF((('Dvd Calendar'!$AA$764=TYPE1)*(TYPE1&lt;&gt;"")+('Dvd Calendar'!$AA$764=TYPE2)*(TYPE2&lt;&gt;"")+('Dvd Calendar'!$AA$764=TYPE3)*(TYPE3&lt;&gt;"")+('Dvd Calendar'!$AA$764=TYPE4)*(TYPE4&lt;&gt;"")+('Dvd Calendar'!$AA$764=SPECIAL_LBL)*(INC_SPECIALS="Y"))=0,"",'Dvd Calendar'!$AA$762)))</f>
        <v/>
      </c>
      <c r="Z80" s="110">
        <f>IF(FB80="","",IF(ISNUMBER('Dvd Calendar'!$AB$762)=FALSE,"",IF((('Dvd Calendar'!$AB$764=TYPE1)*(TYPE1&lt;&gt;"")+('Dvd Calendar'!$AB$764=TYPE2)*(TYPE2&lt;&gt;"")+('Dvd Calendar'!$AB$764=TYPE3)*(TYPE3&lt;&gt;"")+('Dvd Calendar'!$AB$764=TYPE4)*(TYPE4&lt;&gt;"")+('Dvd Calendar'!$AB$764=SPECIAL_LBL)*(INC_SPECIALS="Y"))=0,"",'Dvd Calendar'!$AB$762)))</f>
        <v/>
      </c>
      <c r="AA80" s="110">
        <f>IF(FC80="","",IF(ISNUMBER('Dvd Calendar'!$AC$762)=FALSE,"",IF((('Dvd Calendar'!$AC$764=TYPE1)*(TYPE1&lt;&gt;"")+('Dvd Calendar'!$AC$764=TYPE2)*(TYPE2&lt;&gt;"")+('Dvd Calendar'!$AC$764=TYPE3)*(TYPE3&lt;&gt;"")+('Dvd Calendar'!$AC$764=TYPE4)*(TYPE4&lt;&gt;"")+('Dvd Calendar'!$AC$764=SPECIAL_LBL)*(INC_SPECIALS="Y"))=0,"",'Dvd Calendar'!$AC$762)))</f>
        <v/>
      </c>
      <c r="AB80" s="110">
        <f>IF(FD80="","",IF(ISNUMBER('Dvd Calendar'!$AD$762)=FALSE,"",IF((('Dvd Calendar'!$AD$764=TYPE1)*(TYPE1&lt;&gt;"")+('Dvd Calendar'!$AD$764=TYPE2)*(TYPE2&lt;&gt;"")+('Dvd Calendar'!$AD$764=TYPE3)*(TYPE3&lt;&gt;"")+('Dvd Calendar'!$AD$764=TYPE4)*(TYPE4&lt;&gt;"")+('Dvd Calendar'!$AD$764=SPECIAL_LBL)*(INC_SPECIALS="Y"))=0,"",'Dvd Calendar'!$AD$762)))</f>
        <v/>
      </c>
      <c r="AC80" s="110">
        <f>IF(FE80="","",IF(ISNUMBER('Dvd Calendar'!$AE$762)=FALSE,"",IF((('Dvd Calendar'!$AE$764=TYPE1)*(TYPE1&lt;&gt;"")+('Dvd Calendar'!$AE$764=TYPE2)*(TYPE2&lt;&gt;"")+('Dvd Calendar'!$AE$764=TYPE3)*(TYPE3&lt;&gt;"")+('Dvd Calendar'!$AE$764=TYPE4)*(TYPE4&lt;&gt;"")+('Dvd Calendar'!$AE$764=SPECIAL_LBL)*(INC_SPECIALS="Y"))=0,"",'Dvd Calendar'!$AE$762)))</f>
        <v/>
      </c>
      <c r="AD80" s="110">
        <f>IF(FF80="","",IF(ISNUMBER('Dvd Calendar'!$AF$762)=FALSE,"",IF((('Dvd Calendar'!$AF$764=TYPE1)*(TYPE1&lt;&gt;"")+('Dvd Calendar'!$AF$764=TYPE2)*(TYPE2&lt;&gt;"")+('Dvd Calendar'!$AF$764=TYPE3)*(TYPE3&lt;&gt;"")+('Dvd Calendar'!$AF$764=TYPE4)*(TYPE4&lt;&gt;"")+('Dvd Calendar'!$AF$764=SPECIAL_LBL)*(INC_SPECIALS="Y"))=0,"",'Dvd Calendar'!$AF$762)))</f>
        <v/>
      </c>
      <c r="AE80" s="110">
        <f>IF(FG80="","",IF(ISNUMBER('Dvd Calendar'!$AG$762)=FALSE,"",IF((('Dvd Calendar'!$AG$764=TYPE1)*(TYPE1&lt;&gt;"")+('Dvd Calendar'!$AG$764=TYPE2)*(TYPE2&lt;&gt;"")+('Dvd Calendar'!$AG$764=TYPE3)*(TYPE3&lt;&gt;"")+('Dvd Calendar'!$AG$764=TYPE4)*(TYPE4&lt;&gt;"")+('Dvd Calendar'!$AG$764=SPECIAL_LBL)*(INC_SPECIALS="Y"))=0,"",'Dvd Calendar'!$AG$762)))</f>
        <v/>
      </c>
      <c r="AF80" s="110">
        <f>IF(FH80="","",IF(ISNUMBER('Dvd Calendar'!$AH$762)=FALSE,"",IF((('Dvd Calendar'!$AH$764=TYPE1)*(TYPE1&lt;&gt;"")+('Dvd Calendar'!$AH$764=TYPE2)*(TYPE2&lt;&gt;"")+('Dvd Calendar'!$AH$764=TYPE3)*(TYPE3&lt;&gt;"")+('Dvd Calendar'!$AH$764=TYPE4)*(TYPE4&lt;&gt;"")+('Dvd Calendar'!$AH$764=SPECIAL_LBL)*(INC_SPECIALS="Y"))=0,"",'Dvd Calendar'!$AH$762)))</f>
        <v/>
      </c>
      <c r="AG80" s="110">
        <f>IF(FI80="","",IF(ISNUMBER('Dvd Calendar'!$AI$762)=FALSE,"",IF((('Dvd Calendar'!$AI$764=TYPE1)*(TYPE1&lt;&gt;"")+('Dvd Calendar'!$AI$764=TYPE2)*(TYPE2&lt;&gt;"")+('Dvd Calendar'!$AI$764=TYPE3)*(TYPE3&lt;&gt;"")+('Dvd Calendar'!$AI$764=TYPE4)*(TYPE4&lt;&gt;"")+('Dvd Calendar'!$AI$764=SPECIAL_LBL)*(INC_SPECIALS="Y"))=0,"",'Dvd Calendar'!$AI$762)))</f>
        <v/>
      </c>
      <c r="AH80" s="110">
        <f>IF(FJ80="","",IF(ISNUMBER('Dvd Calendar'!$AJ$762)=FALSE,"",IF((('Dvd Calendar'!$AJ$764=TYPE1)*(TYPE1&lt;&gt;"")+('Dvd Calendar'!$AJ$764=TYPE2)*(TYPE2&lt;&gt;"")+('Dvd Calendar'!$AJ$764=TYPE3)*(TYPE3&lt;&gt;"")+('Dvd Calendar'!$AJ$764=TYPE4)*(TYPE4&lt;&gt;"")+('Dvd Calendar'!$AJ$764=SPECIAL_LBL)*(INC_SPECIALS="Y"))=0,"",'Dvd Calendar'!$AJ$762)))</f>
        <v/>
      </c>
      <c r="AI80" s="110">
        <f>IF(FK80="","",IF(ISNUMBER('Dvd Calendar'!$AK$762)=FALSE,"",IF((('Dvd Calendar'!$AK$764=TYPE1)*(TYPE1&lt;&gt;"")+('Dvd Calendar'!$AK$764=TYPE2)*(TYPE2&lt;&gt;"")+('Dvd Calendar'!$AK$764=TYPE3)*(TYPE3&lt;&gt;"")+('Dvd Calendar'!$AK$764=TYPE4)*(TYPE4&lt;&gt;"")+('Dvd Calendar'!$AK$764=SPECIAL_LBL)*(INC_SPECIALS="Y"))=0,"",'Dvd Calendar'!$AK$762)))</f>
        <v/>
      </c>
      <c r="AJ80" s="110">
        <f>IF(FL80="","",IF(ISNUMBER('Dvd Calendar'!$AL$762)=FALSE,"",IF((('Dvd Calendar'!$AL$764=TYPE1)*(TYPE1&lt;&gt;"")+('Dvd Calendar'!$AL$764=TYPE2)*(TYPE2&lt;&gt;"")+('Dvd Calendar'!$AL$764=TYPE3)*(TYPE3&lt;&gt;"")+('Dvd Calendar'!$AL$764=TYPE4)*(TYPE4&lt;&gt;"")+('Dvd Calendar'!$AL$764=SPECIAL_LBL)*(INC_SPECIALS="Y"))=0,"",'Dvd Calendar'!$AL$762)))</f>
        <v/>
      </c>
      <c r="AK80" s="110">
        <f>IF(FM80="","",IF(ISNUMBER('Dvd Calendar'!$AM$762)=FALSE,"",IF((('Dvd Calendar'!$AM$764=TYPE1)*(TYPE1&lt;&gt;"")+('Dvd Calendar'!$AM$764=TYPE2)*(TYPE2&lt;&gt;"")+('Dvd Calendar'!$AM$764=TYPE3)*(TYPE3&lt;&gt;"")+('Dvd Calendar'!$AM$764=TYPE4)*(TYPE4&lt;&gt;"")+('Dvd Calendar'!$AM$764=SPECIAL_LBL)*(INC_SPECIALS="Y"))=0,"",'Dvd Calendar'!$AM$762)))</f>
        <v/>
      </c>
      <c r="AL80" s="110">
        <f>IF(FN80="","",IF(ISNUMBER('Dvd Calendar'!$AN$762)=FALSE,"",IF((('Dvd Calendar'!$AN$764=TYPE1)*(TYPE1&lt;&gt;"")+('Dvd Calendar'!$AN$764=TYPE2)*(TYPE2&lt;&gt;"")+('Dvd Calendar'!$AN$764=TYPE3)*(TYPE3&lt;&gt;"")+('Dvd Calendar'!$AN$764=TYPE4)*(TYPE4&lt;&gt;"")+('Dvd Calendar'!$AN$764=SPECIAL_LBL)*(INC_SPECIALS="Y"))=0,"",'Dvd Calendar'!$AN$762)))</f>
        <v/>
      </c>
      <c r="AM80" s="110">
        <f>IF(FO80="","",IF(ISNUMBER('Dvd Calendar'!$AO$762)=FALSE,"",IF((('Dvd Calendar'!$AO$764=TYPE1)*(TYPE1&lt;&gt;"")+('Dvd Calendar'!$AO$764=TYPE2)*(TYPE2&lt;&gt;"")+('Dvd Calendar'!$AO$764=TYPE3)*(TYPE3&lt;&gt;"")+('Dvd Calendar'!$AO$764=TYPE4)*(TYPE4&lt;&gt;"")+('Dvd Calendar'!$AO$764=SPECIAL_LBL)*(INC_SPECIALS="Y"))=0,"",'Dvd Calendar'!$AO$762)))</f>
        <v/>
      </c>
      <c r="AN80" s="110">
        <f>IF(FP80="","",IF(ISNUMBER('Dvd Calendar'!$AP$762)=FALSE,"",IF((('Dvd Calendar'!$AP$764=TYPE1)*(TYPE1&lt;&gt;"")+('Dvd Calendar'!$AP$764=TYPE2)*(TYPE2&lt;&gt;"")+('Dvd Calendar'!$AP$764=TYPE3)*(TYPE3&lt;&gt;"")+('Dvd Calendar'!$AP$764=TYPE4)*(TYPE4&lt;&gt;"")+('Dvd Calendar'!$AP$764=SPECIAL_LBL)*(INC_SPECIALS="Y"))=0,"",'Dvd Calendar'!$AP$762)))</f>
        <v/>
      </c>
      <c r="AO80" s="110">
        <f>IF(FQ80="","",IF(ISNUMBER('Dvd Calendar'!$AQ$762)=FALSE,"",IF((('Dvd Calendar'!$AQ$764=TYPE1)*(TYPE1&lt;&gt;"")+('Dvd Calendar'!$AQ$764=TYPE2)*(TYPE2&lt;&gt;"")+('Dvd Calendar'!$AQ$764=TYPE3)*(TYPE3&lt;&gt;"")+('Dvd Calendar'!$AQ$764=TYPE4)*(TYPE4&lt;&gt;"")+('Dvd Calendar'!$AQ$764=SPECIAL_LBL)*(INC_SPECIALS="Y"))=0,"",'Dvd Calendar'!$AQ$762)))</f>
        <v/>
      </c>
      <c r="AP80" s="110">
        <f>IF(FR80="","",IF(ISNUMBER('Dvd Calendar'!$AR$762)=FALSE,"",IF((('Dvd Calendar'!$AR$764=TYPE1)*(TYPE1&lt;&gt;"")+('Dvd Calendar'!$AR$764=TYPE2)*(TYPE2&lt;&gt;"")+('Dvd Calendar'!$AR$764=TYPE3)*(TYPE3&lt;&gt;"")+('Dvd Calendar'!$AR$764=TYPE4)*(TYPE4&lt;&gt;"")+('Dvd Calendar'!$AR$764=SPECIAL_LBL)*(INC_SPECIALS="Y"))=0,"",'Dvd Calendar'!$AR$762)))</f>
        <v/>
      </c>
      <c r="AQ80" s="110">
        <f>IF(FS80="","",IF(ISNUMBER('Dvd Calendar'!$E$767)=FALSE,"",'Dvd Calendar'!$E$767))</f>
        <v/>
      </c>
      <c r="AR80" s="110">
        <f>IF(FT80="","",IF(ISNUMBER('Dvd Calendar'!$F$767)=FALSE,"",'Dvd Calendar'!$F$767))</f>
        <v/>
      </c>
      <c r="AS80" s="110">
        <f>IF(FU80="","",IF(ISNUMBER('Dvd Calendar'!$G$767)=FALSE,"",'Dvd Calendar'!$G$767))</f>
        <v/>
      </c>
      <c r="AT80" s="110">
        <f>IF(FV80="","",IF(ISNUMBER('Dvd Calendar'!$H$767)=FALSE,"",'Dvd Calendar'!$H$767))</f>
        <v/>
      </c>
      <c r="AU80" s="110">
        <f>IF(FW80="","",IF(ISNUMBER('Dvd Calendar'!$I$767)=FALSE,"",'Dvd Calendar'!$I$767))</f>
        <v/>
      </c>
      <c r="AV80" s="110">
        <f>IF(FX80="","",IF(ISNUMBER('Dvd Calendar'!$J$767)=FALSE,"",'Dvd Calendar'!$J$767))</f>
        <v/>
      </c>
      <c r="AW80" s="110">
        <f>IF(FY80="","",IF(ISNUMBER('Dvd Calendar'!$K$767)=FALSE,"",'Dvd Calendar'!$K$767))</f>
        <v/>
      </c>
      <c r="AX80" s="110">
        <f>IF(FZ80="","",IF(ISNUMBER('Dvd Calendar'!$L$767)=FALSE,"",'Dvd Calendar'!$L$767))</f>
        <v/>
      </c>
      <c r="AY80" s="110">
        <f>IF(GA80="","",IF(ISNUMBER('Dvd Calendar'!$M$767)=FALSE,"",'Dvd Calendar'!$M$767))</f>
        <v/>
      </c>
      <c r="AZ80" s="110">
        <f>IF(GB80="","",IF(ISNUMBER('Dvd Calendar'!$N$767)=FALSE,"",'Dvd Calendar'!$N$767))</f>
        <v/>
      </c>
      <c r="BA80" s="110">
        <f>IF(GC80="","",IF(ISNUMBER('Dvd Calendar'!$O$767)=FALSE,"",'Dvd Calendar'!$O$767))</f>
        <v/>
      </c>
      <c r="BB80" s="110">
        <f>IF(GD80="","",IF(ISNUMBER('Dvd Calendar'!$P$767)=FALSE,"",'Dvd Calendar'!$P$767))</f>
        <v/>
      </c>
      <c r="BC80" s="110">
        <f>IF(GE80="","",IF(ISNUMBER('Dvd Calendar'!$Q$767)=FALSE,"",'Dvd Calendar'!$Q$767))</f>
        <v/>
      </c>
      <c r="BD80" s="110">
        <f>IF(GF80="","",IF(ISNUMBER('Dvd Calendar'!$R$767)=FALSE,"",'Dvd Calendar'!$R$767))</f>
        <v/>
      </c>
      <c r="BE80" s="110">
        <f>IF(GG80="","",IF(ISNUMBER('Dvd Calendar'!$S$767)=FALSE,"",'Dvd Calendar'!$S$767))</f>
        <v/>
      </c>
      <c r="BF80" s="110">
        <f>IF(GH80="","",IF(ISNUMBER('Dvd Calendar'!$T$767)=FALSE,"",'Dvd Calendar'!$T$767))</f>
        <v/>
      </c>
      <c r="BG80" s="110">
        <f>IF(GI80="","",IF(ISNUMBER('Dvd Calendar'!$U$767)=FALSE,"",'Dvd Calendar'!$U$767))</f>
        <v/>
      </c>
      <c r="BH80" s="110">
        <f>IF(GJ80="","",IF(ISNUMBER('Dvd Calendar'!$V$767)=FALSE,"",'Dvd Calendar'!$V$767))</f>
        <v/>
      </c>
      <c r="BI80" s="110">
        <f>IF(GK80="","",IF(ISNUMBER('Dvd Calendar'!$W$767)=FALSE,"",'Dvd Calendar'!$W$767))</f>
        <v/>
      </c>
      <c r="BJ80" s="110">
        <f>IF(GL80="","",IF(ISNUMBER('Dvd Calendar'!$X$767)=FALSE,"",'Dvd Calendar'!$X$767))</f>
        <v/>
      </c>
      <c r="BK80" s="110">
        <f>IF(GM80="","",IF(ISNUMBER('Dvd Calendar'!$Y$767)=FALSE,"",'Dvd Calendar'!$Y$767))</f>
        <v/>
      </c>
      <c r="BL80" s="110">
        <f>IF(GN80="","",IF(ISNUMBER('Dvd Calendar'!$Z$767)=FALSE,"",'Dvd Calendar'!$Z$767))</f>
        <v/>
      </c>
      <c r="BM80" s="110">
        <f>IF(GO80="","",IF(ISNUMBER('Dvd Calendar'!$AA$767)=FALSE,"",'Dvd Calendar'!$AA$767))</f>
        <v/>
      </c>
      <c r="BN80" s="110">
        <f>IF(GP80="","",IF(ISNUMBER('Dvd Calendar'!$AB$767)=FALSE,"",'Dvd Calendar'!$AB$767))</f>
        <v/>
      </c>
      <c r="BO80" s="110">
        <f>IF(GQ80="","",IF(ISNUMBER('Dvd Calendar'!$AC$767)=FALSE,"",'Dvd Calendar'!$AC$767))</f>
        <v/>
      </c>
      <c r="BQ80" s="110">
        <f>IF(C80="","",IFERROR(C80*HSI!$B$75*HSI!$G$75/HSI!$B$3,""))</f>
        <v/>
      </c>
      <c r="BR80" s="110">
        <f>IF(D80="","",IFERROR(D80*HSI!$B$75*HSI!$G$75/HSI!$B$3,""))</f>
        <v/>
      </c>
      <c r="BS80" s="110">
        <f>IF(E80="","",IFERROR(E80*HSI!$B$75*HSI!$G$75/HSI!$B$3,""))</f>
        <v/>
      </c>
      <c r="BT80" s="110">
        <f>IF(F80="","",IFERROR(F80*HSI!$B$75*HSI!$G$75/HSI!$B$3,""))</f>
        <v/>
      </c>
      <c r="BU80" s="110">
        <f>IF(G80="","",IFERROR(G80*HSI!$B$75*HSI!$G$75/HSI!$B$3,""))</f>
        <v/>
      </c>
      <c r="BV80" s="110">
        <f>IF(H80="","",IFERROR(H80*HSI!$B$75*HSI!$G$75/HSI!$B$3,""))</f>
        <v/>
      </c>
      <c r="BW80" s="110">
        <f>IF(I80="","",IFERROR(I80*HSI!$B$75*HSI!$G$75/HSI!$B$3,""))</f>
        <v/>
      </c>
      <c r="BX80" s="110">
        <f>IF(J80="","",IFERROR(J80*HSI!$B$75*HSI!$G$75/HSI!$B$3,""))</f>
        <v/>
      </c>
      <c r="BY80" s="110">
        <f>IF(K80="","",IFERROR(K80*HSI!$B$75*HSI!$G$75/HSI!$B$3,""))</f>
        <v/>
      </c>
      <c r="BZ80" s="110">
        <f>IF(L80="","",IFERROR(L80*HSI!$B$75*HSI!$G$75/HSI!$B$3,""))</f>
        <v/>
      </c>
      <c r="CA80" s="110">
        <f>IF(M80="","",IFERROR(M80*HSI!$B$75*HSI!$G$75/HSI!$B$3,""))</f>
        <v/>
      </c>
      <c r="CB80" s="110">
        <f>IF(N80="","",IFERROR(N80*HSI!$B$75*HSI!$G$75/HSI!$B$3,""))</f>
        <v/>
      </c>
      <c r="CC80" s="110">
        <f>IF(O80="","",IFERROR(O80*HSI!$B$75*HSI!$G$75/HSI!$B$3,""))</f>
        <v/>
      </c>
      <c r="CD80" s="110">
        <f>IF(P80="","",IFERROR(P80*HSI!$B$75*HSI!$G$75/HSI!$B$3,""))</f>
        <v/>
      </c>
      <c r="CE80" s="110">
        <f>IF(Q80="","",IFERROR(Q80*HSI!$B$75*HSI!$G$75/HSI!$B$3,""))</f>
        <v/>
      </c>
      <c r="CF80" s="110">
        <f>IF(R80="","",IFERROR(R80*HSI!$B$75*HSI!$G$75/HSI!$B$3,""))</f>
        <v/>
      </c>
      <c r="CG80" s="110">
        <f>IF(S80="","",IFERROR(S80*HSI!$B$75*HSI!$G$75/HSI!$B$3,""))</f>
        <v/>
      </c>
      <c r="CH80" s="110">
        <f>IF(T80="","",IFERROR(T80*HSI!$B$75*HSI!$G$75/HSI!$B$3,""))</f>
        <v/>
      </c>
      <c r="CI80" s="110">
        <f>IF(U80="","",IFERROR(U80*HSI!$B$75*HSI!$G$75/HSI!$B$3,""))</f>
        <v/>
      </c>
      <c r="CJ80" s="110">
        <f>IF(V80="","",IFERROR(V80*HSI!$B$75*HSI!$G$75/HSI!$B$3,""))</f>
        <v/>
      </c>
      <c r="CK80" s="110">
        <f>IF(W80="","",IFERROR(W80*HSI!$B$75*HSI!$G$75/HSI!$B$3,""))</f>
        <v/>
      </c>
      <c r="CL80" s="110">
        <f>IF(X80="","",IFERROR(X80*HSI!$B$75*HSI!$G$75/HSI!$B$3,""))</f>
        <v/>
      </c>
      <c r="CM80" s="110">
        <f>IF(Y80="","",IFERROR(Y80*HSI!$B$75*HSI!$G$75/HSI!$B$3,""))</f>
        <v/>
      </c>
      <c r="CN80" s="110">
        <f>IF(Z80="","",IFERROR(Z80*HSI!$B$75*HSI!$G$75/HSI!$B$3,""))</f>
        <v/>
      </c>
      <c r="CO80" s="110">
        <f>IF(AA80="","",IFERROR(AA80*HSI!$B$75*HSI!$G$75/HSI!$B$3,""))</f>
        <v/>
      </c>
      <c r="CP80" s="110">
        <f>IF(AB80="","",IFERROR(AB80*HSI!$B$75*HSI!$G$75/HSI!$B$3,""))</f>
        <v/>
      </c>
      <c r="CQ80" s="110">
        <f>IF(AC80="","",IFERROR(AC80*HSI!$B$75*HSI!$G$75/HSI!$B$3,""))</f>
        <v/>
      </c>
      <c r="CR80" s="110">
        <f>IF(AD80="","",IFERROR(AD80*HSI!$B$75*HSI!$G$75/HSI!$B$3,""))</f>
        <v/>
      </c>
      <c r="CS80" s="110">
        <f>IF(AE80="","",IFERROR(AE80*HSI!$B$75*HSI!$G$75/HSI!$B$3,""))</f>
        <v/>
      </c>
      <c r="CT80" s="110">
        <f>IF(AF80="","",IFERROR(AF80*HSI!$B$75*HSI!$G$75/HSI!$B$3,""))</f>
        <v/>
      </c>
      <c r="CU80" s="110">
        <f>IF(AG80="","",IFERROR(AG80*HSI!$B$75*HSI!$G$75/HSI!$B$3,""))</f>
        <v/>
      </c>
      <c r="CV80" s="110">
        <f>IF(AH80="","",IFERROR(AH80*HSI!$B$75*HSI!$G$75/HSI!$B$3,""))</f>
        <v/>
      </c>
      <c r="CW80" s="110">
        <f>IF(AI80="","",IFERROR(AI80*HSI!$B$75*HSI!$G$75/HSI!$B$3,""))</f>
        <v/>
      </c>
      <c r="CX80" s="110">
        <f>IF(AJ80="","",IFERROR(AJ80*HSI!$B$75*HSI!$G$75/HSI!$B$3,""))</f>
        <v/>
      </c>
      <c r="CY80" s="110">
        <f>IF(AK80="","",IFERROR(AK80*HSI!$B$75*HSI!$G$75/HSI!$B$3,""))</f>
        <v/>
      </c>
      <c r="CZ80" s="110">
        <f>IF(AL80="","",IFERROR(AL80*HSI!$B$75*HSI!$G$75/HSI!$B$3,""))</f>
        <v/>
      </c>
      <c r="DA80" s="110">
        <f>IF(AM80="","",IFERROR(AM80*HSI!$B$75*HSI!$G$75/HSI!$B$3,""))</f>
        <v/>
      </c>
      <c r="DB80" s="110">
        <f>IF(AN80="","",IFERROR(AN80*HSI!$B$75*HSI!$G$75/HSI!$B$3,""))</f>
        <v/>
      </c>
      <c r="DC80" s="110">
        <f>IF(AO80="","",IFERROR(AO80*HSI!$B$75*HSI!$G$75/HSI!$B$3,""))</f>
        <v/>
      </c>
      <c r="DD80" s="110">
        <f>IF(AP80="","",IFERROR(AP80*HSI!$B$75*HSI!$G$75/HSI!$B$3,""))</f>
        <v/>
      </c>
      <c r="DE80" s="110">
        <f>IF(AQ80="","",IFERROR(AQ80*HSI!$B$75*HSI!$G$75/HSI!$B$3,""))</f>
        <v/>
      </c>
      <c r="DF80" s="110">
        <f>IF(AR80="","",IFERROR(AR80*HSI!$B$75*HSI!$G$75/HSI!$B$3,""))</f>
        <v/>
      </c>
      <c r="DG80" s="110">
        <f>IF(AS80="","",IFERROR(AS80*HSI!$B$75*HSI!$G$75/HSI!$B$3,""))</f>
        <v/>
      </c>
      <c r="DH80" s="110">
        <f>IF(AT80="","",IFERROR(AT80*HSI!$B$75*HSI!$G$75/HSI!$B$3,""))</f>
        <v/>
      </c>
      <c r="DI80" s="110">
        <f>IF(AU80="","",IFERROR(AU80*HSI!$B$75*HSI!$G$75/HSI!$B$3,""))</f>
        <v/>
      </c>
      <c r="DJ80" s="110">
        <f>IF(AV80="","",IFERROR(AV80*HSI!$B$75*HSI!$G$75/HSI!$B$3,""))</f>
        <v/>
      </c>
      <c r="DK80" s="110">
        <f>IF(AW80="","",IFERROR(AW80*HSI!$B$75*HSI!$G$75/HSI!$B$3,""))</f>
        <v/>
      </c>
      <c r="DL80" s="110">
        <f>IF(AX80="","",IFERROR(AX80*HSI!$B$75*HSI!$G$75/HSI!$B$3,""))</f>
        <v/>
      </c>
      <c r="DM80" s="110">
        <f>IF(AY80="","",IFERROR(AY80*HSI!$B$75*HSI!$G$75/HSI!$B$3,""))</f>
        <v/>
      </c>
      <c r="DN80" s="110">
        <f>IF(AZ80="","",IFERROR(AZ80*HSI!$B$75*HSI!$G$75/HSI!$B$3,""))</f>
        <v/>
      </c>
      <c r="DO80" s="110">
        <f>IF(BA80="","",IFERROR(BA80*HSI!$B$75*HSI!$G$75/HSI!$B$3,""))</f>
        <v/>
      </c>
      <c r="DP80" s="110">
        <f>IF(BB80="","",IFERROR(BB80*HSI!$B$75*HSI!$G$75/HSI!$B$3,""))</f>
        <v/>
      </c>
      <c r="DQ80" s="110">
        <f>IF(BC80="","",IFERROR(BC80*HSI!$B$75*HSI!$G$75/HSI!$B$3,""))</f>
        <v/>
      </c>
      <c r="DR80" s="110">
        <f>IF(BD80="","",IFERROR(BD80*HSI!$B$75*HSI!$G$75/HSI!$B$3,""))</f>
        <v/>
      </c>
      <c r="DS80" s="110">
        <f>IF(BE80="","",IFERROR(BE80*HSI!$B$75*HSI!$G$75/HSI!$B$3,""))</f>
        <v/>
      </c>
      <c r="DT80" s="110">
        <f>IF(BF80="","",IFERROR(BF80*HSI!$B$75*HSI!$G$75/HSI!$B$3,""))</f>
        <v/>
      </c>
      <c r="DU80" s="110">
        <f>IF(BG80="","",IFERROR(BG80*HSI!$B$75*HSI!$G$75/HSI!$B$3,""))</f>
        <v/>
      </c>
      <c r="DV80" s="110">
        <f>IF(BH80="","",IFERROR(BH80*HSI!$B$75*HSI!$G$75/HSI!$B$3,""))</f>
        <v/>
      </c>
      <c r="DW80" s="110">
        <f>IF(BI80="","",IFERROR(BI80*HSI!$B$75*HSI!$G$75/HSI!$B$3,""))</f>
        <v/>
      </c>
      <c r="DX80" s="110">
        <f>IF(BJ80="","",IFERROR(BJ80*HSI!$B$75*HSI!$G$75/HSI!$B$3,""))</f>
        <v/>
      </c>
      <c r="DY80" s="110">
        <f>IF(BK80="","",IFERROR(BK80*HSI!$B$75*HSI!$G$75/HSI!$B$3,""))</f>
        <v/>
      </c>
      <c r="DZ80" s="110">
        <f>IF(BL80="","",IFERROR(BL80*HSI!$B$75*HSI!$G$75/HSI!$B$3,""))</f>
        <v/>
      </c>
      <c r="EA80" s="110">
        <f>IF(BM80="","",IFERROR(BM80*HSI!$B$75*HSI!$G$75/HSI!$B$3,""))</f>
        <v/>
      </c>
      <c r="EB80" s="110">
        <f>IF(BN80="","",IFERROR(BN80*HSI!$B$75*HSI!$G$75/HSI!$B$3,""))</f>
        <v/>
      </c>
      <c r="EC80" s="110">
        <f>IF(BO80="","",IFERROR(BO80*HSI!$B$75*HSI!$G$75/HSI!$B$3,""))</f>
        <v/>
      </c>
      <c r="EE80" s="39">
        <f>IF(N('Dvd Calendar'!$E$759)=0,"",IF(('Dvd Calendar'!$E$759&gt;=GRID_FROM)*('Dvd Calendar'!$E$759&lt;=GRID_TO)*((('Dvd Calendar'!$E$759&lt;=VAL_DATE)+(COUNTIF('Dvd Calendar'!$E$766:$AR$766,'Dvd Calendar'!$E$759)=0))&gt;0)=0,"",'Dvd Calendar'!$E$759*1000000000+ISNUMBER('Dvd Calendar'!$E$762)*100000000+('Dvd Calendar'!$E$764=SPECIAL_LBL)*10000000+(N('Dvd Calendar'!$E$758)&gt;0)*(N('Dvd Calendar'!$E$758)&lt;=VAL_SERIAL)*1000000+69*1000+1))</f>
        <v/>
      </c>
      <c r="EF80" s="39">
        <f>IF(N('Dvd Calendar'!$F$759)=0,"",IF(('Dvd Calendar'!$F$759&gt;=GRID_FROM)*('Dvd Calendar'!$F$759&lt;=GRID_TO)*((('Dvd Calendar'!$F$759&lt;=VAL_DATE)+(COUNTIF('Dvd Calendar'!$E$766:$AR$766,'Dvd Calendar'!$F$759)=0))&gt;0)=0,"",'Dvd Calendar'!$F$759*1000000000+ISNUMBER('Dvd Calendar'!$F$762)*100000000+('Dvd Calendar'!$F$764=SPECIAL_LBL)*10000000+(N('Dvd Calendar'!$F$758)&gt;0)*(N('Dvd Calendar'!$F$758)&lt;=VAL_SERIAL)*1000000+69*1000+2))</f>
        <v/>
      </c>
      <c r="EG80" s="39">
        <f>IF(N('Dvd Calendar'!$G$759)=0,"",IF(('Dvd Calendar'!$G$759&gt;=GRID_FROM)*('Dvd Calendar'!$G$759&lt;=GRID_TO)*((('Dvd Calendar'!$G$759&lt;=VAL_DATE)+(COUNTIF('Dvd Calendar'!$E$766:$AR$766,'Dvd Calendar'!$G$759)=0))&gt;0)=0,"",'Dvd Calendar'!$G$759*1000000000+ISNUMBER('Dvd Calendar'!$G$762)*100000000+('Dvd Calendar'!$G$764=SPECIAL_LBL)*10000000+(N('Dvd Calendar'!$G$758)&gt;0)*(N('Dvd Calendar'!$G$758)&lt;=VAL_SERIAL)*1000000+69*1000+3))</f>
        <v/>
      </c>
      <c r="EH80" s="39">
        <f>IF(N('Dvd Calendar'!$H$759)=0,"",IF(('Dvd Calendar'!$H$759&gt;=GRID_FROM)*('Dvd Calendar'!$H$759&lt;=GRID_TO)*((('Dvd Calendar'!$H$759&lt;=VAL_DATE)+(COUNTIF('Dvd Calendar'!$E$766:$AR$766,'Dvd Calendar'!$H$759)=0))&gt;0)=0,"",'Dvd Calendar'!$H$759*1000000000+ISNUMBER('Dvd Calendar'!$H$762)*100000000+('Dvd Calendar'!$H$764=SPECIAL_LBL)*10000000+(N('Dvd Calendar'!$H$758)&gt;0)*(N('Dvd Calendar'!$H$758)&lt;=VAL_SERIAL)*1000000+69*1000+4))</f>
        <v/>
      </c>
      <c r="EI80" s="39">
        <f>IF(N('Dvd Calendar'!$I$759)=0,"",IF(('Dvd Calendar'!$I$759&gt;=GRID_FROM)*('Dvd Calendar'!$I$759&lt;=GRID_TO)*((('Dvd Calendar'!$I$759&lt;=VAL_DATE)+(COUNTIF('Dvd Calendar'!$E$766:$AR$766,'Dvd Calendar'!$I$759)=0))&gt;0)=0,"",'Dvd Calendar'!$I$759*1000000000+ISNUMBER('Dvd Calendar'!$I$762)*100000000+('Dvd Calendar'!$I$764=SPECIAL_LBL)*10000000+(N('Dvd Calendar'!$I$758)&gt;0)*(N('Dvd Calendar'!$I$758)&lt;=VAL_SERIAL)*1000000+69*1000+5))</f>
        <v/>
      </c>
      <c r="EJ80" s="39">
        <f>IF(N('Dvd Calendar'!$J$759)=0,"",IF(('Dvd Calendar'!$J$759&gt;=GRID_FROM)*('Dvd Calendar'!$J$759&lt;=GRID_TO)*((('Dvd Calendar'!$J$759&lt;=VAL_DATE)+(COUNTIF('Dvd Calendar'!$E$766:$AR$766,'Dvd Calendar'!$J$759)=0))&gt;0)=0,"",'Dvd Calendar'!$J$759*1000000000+ISNUMBER('Dvd Calendar'!$J$762)*100000000+('Dvd Calendar'!$J$764=SPECIAL_LBL)*10000000+(N('Dvd Calendar'!$J$758)&gt;0)*(N('Dvd Calendar'!$J$758)&lt;=VAL_SERIAL)*1000000+69*1000+6))</f>
        <v/>
      </c>
      <c r="EK80" s="39">
        <f>IF(N('Dvd Calendar'!$K$759)=0,"",IF(('Dvd Calendar'!$K$759&gt;=GRID_FROM)*('Dvd Calendar'!$K$759&lt;=GRID_TO)*((('Dvd Calendar'!$K$759&lt;=VAL_DATE)+(COUNTIF('Dvd Calendar'!$E$766:$AR$766,'Dvd Calendar'!$K$759)=0))&gt;0)=0,"",'Dvd Calendar'!$K$759*1000000000+ISNUMBER('Dvd Calendar'!$K$762)*100000000+('Dvd Calendar'!$K$764=SPECIAL_LBL)*10000000+(N('Dvd Calendar'!$K$758)&gt;0)*(N('Dvd Calendar'!$K$758)&lt;=VAL_SERIAL)*1000000+69*1000+7))</f>
        <v/>
      </c>
      <c r="EL80" s="39">
        <f>IF(N('Dvd Calendar'!$L$759)=0,"",IF(('Dvd Calendar'!$L$759&gt;=GRID_FROM)*('Dvd Calendar'!$L$759&lt;=GRID_TO)*((('Dvd Calendar'!$L$759&lt;=VAL_DATE)+(COUNTIF('Dvd Calendar'!$E$766:$AR$766,'Dvd Calendar'!$L$759)=0))&gt;0)=0,"",'Dvd Calendar'!$L$759*1000000000+ISNUMBER('Dvd Calendar'!$L$762)*100000000+('Dvd Calendar'!$L$764=SPECIAL_LBL)*10000000+(N('Dvd Calendar'!$L$758)&gt;0)*(N('Dvd Calendar'!$L$758)&lt;=VAL_SERIAL)*1000000+69*1000+8))</f>
        <v/>
      </c>
      <c r="EM80" s="39">
        <f>IF(N('Dvd Calendar'!$M$759)=0,"",IF(('Dvd Calendar'!$M$759&gt;=GRID_FROM)*('Dvd Calendar'!$M$759&lt;=GRID_TO)*((('Dvd Calendar'!$M$759&lt;=VAL_DATE)+(COUNTIF('Dvd Calendar'!$E$766:$AR$766,'Dvd Calendar'!$M$759)=0))&gt;0)=0,"",'Dvd Calendar'!$M$759*1000000000+ISNUMBER('Dvd Calendar'!$M$762)*100000000+('Dvd Calendar'!$M$764=SPECIAL_LBL)*10000000+(N('Dvd Calendar'!$M$758)&gt;0)*(N('Dvd Calendar'!$M$758)&lt;=VAL_SERIAL)*1000000+69*1000+9))</f>
        <v/>
      </c>
      <c r="EN80" s="39">
        <f>IF(N('Dvd Calendar'!$N$759)=0,"",IF(('Dvd Calendar'!$N$759&gt;=GRID_FROM)*('Dvd Calendar'!$N$759&lt;=GRID_TO)*((('Dvd Calendar'!$N$759&lt;=VAL_DATE)+(COUNTIF('Dvd Calendar'!$E$766:$AR$766,'Dvd Calendar'!$N$759)=0))&gt;0)=0,"",'Dvd Calendar'!$N$759*1000000000+ISNUMBER('Dvd Calendar'!$N$762)*100000000+('Dvd Calendar'!$N$764=SPECIAL_LBL)*10000000+(N('Dvd Calendar'!$N$758)&gt;0)*(N('Dvd Calendar'!$N$758)&lt;=VAL_SERIAL)*1000000+69*1000+10))</f>
        <v/>
      </c>
      <c r="EO80" s="39">
        <f>IF(N('Dvd Calendar'!$O$759)=0,"",IF(('Dvd Calendar'!$O$759&gt;=GRID_FROM)*('Dvd Calendar'!$O$759&lt;=GRID_TO)*((('Dvd Calendar'!$O$759&lt;=VAL_DATE)+(COUNTIF('Dvd Calendar'!$E$766:$AR$766,'Dvd Calendar'!$O$759)=0))&gt;0)=0,"",'Dvd Calendar'!$O$759*1000000000+ISNUMBER('Dvd Calendar'!$O$762)*100000000+('Dvd Calendar'!$O$764=SPECIAL_LBL)*10000000+(N('Dvd Calendar'!$O$758)&gt;0)*(N('Dvd Calendar'!$O$758)&lt;=VAL_SERIAL)*1000000+69*1000+11))</f>
        <v/>
      </c>
      <c r="EP80" s="39">
        <f>IF(N('Dvd Calendar'!$P$759)=0,"",IF(('Dvd Calendar'!$P$759&gt;=GRID_FROM)*('Dvd Calendar'!$P$759&lt;=GRID_TO)*((('Dvd Calendar'!$P$759&lt;=VAL_DATE)+(COUNTIF('Dvd Calendar'!$E$766:$AR$766,'Dvd Calendar'!$P$759)=0))&gt;0)=0,"",'Dvd Calendar'!$P$759*1000000000+ISNUMBER('Dvd Calendar'!$P$762)*100000000+('Dvd Calendar'!$P$764=SPECIAL_LBL)*10000000+(N('Dvd Calendar'!$P$758)&gt;0)*(N('Dvd Calendar'!$P$758)&lt;=VAL_SERIAL)*1000000+69*1000+12))</f>
        <v/>
      </c>
      <c r="EQ80" s="39">
        <f>IF(N('Dvd Calendar'!$Q$759)=0,"",IF(('Dvd Calendar'!$Q$759&gt;=GRID_FROM)*('Dvd Calendar'!$Q$759&lt;=GRID_TO)*((('Dvd Calendar'!$Q$759&lt;=VAL_DATE)+(COUNTIF('Dvd Calendar'!$E$766:$AR$766,'Dvd Calendar'!$Q$759)=0))&gt;0)=0,"",'Dvd Calendar'!$Q$759*1000000000+ISNUMBER('Dvd Calendar'!$Q$762)*100000000+('Dvd Calendar'!$Q$764=SPECIAL_LBL)*10000000+(N('Dvd Calendar'!$Q$758)&gt;0)*(N('Dvd Calendar'!$Q$758)&lt;=VAL_SERIAL)*1000000+69*1000+13))</f>
        <v/>
      </c>
      <c r="ER80" s="39">
        <f>IF(N('Dvd Calendar'!$R$759)=0,"",IF(('Dvd Calendar'!$R$759&gt;=GRID_FROM)*('Dvd Calendar'!$R$759&lt;=GRID_TO)*((('Dvd Calendar'!$R$759&lt;=VAL_DATE)+(COUNTIF('Dvd Calendar'!$E$766:$AR$766,'Dvd Calendar'!$R$759)=0))&gt;0)=0,"",'Dvd Calendar'!$R$759*1000000000+ISNUMBER('Dvd Calendar'!$R$762)*100000000+('Dvd Calendar'!$R$764=SPECIAL_LBL)*10000000+(N('Dvd Calendar'!$R$758)&gt;0)*(N('Dvd Calendar'!$R$758)&lt;=VAL_SERIAL)*1000000+69*1000+14))</f>
        <v/>
      </c>
      <c r="ES80" s="39">
        <f>IF(N('Dvd Calendar'!$S$759)=0,"",IF(('Dvd Calendar'!$S$759&gt;=GRID_FROM)*('Dvd Calendar'!$S$759&lt;=GRID_TO)*((('Dvd Calendar'!$S$759&lt;=VAL_DATE)+(COUNTIF('Dvd Calendar'!$E$766:$AR$766,'Dvd Calendar'!$S$759)=0))&gt;0)=0,"",'Dvd Calendar'!$S$759*1000000000+ISNUMBER('Dvd Calendar'!$S$762)*100000000+('Dvd Calendar'!$S$764=SPECIAL_LBL)*10000000+(N('Dvd Calendar'!$S$758)&gt;0)*(N('Dvd Calendar'!$S$758)&lt;=VAL_SERIAL)*1000000+69*1000+15))</f>
        <v/>
      </c>
      <c r="ET80" s="39">
        <f>IF(N('Dvd Calendar'!$T$759)=0,"",IF(('Dvd Calendar'!$T$759&gt;=GRID_FROM)*('Dvd Calendar'!$T$759&lt;=GRID_TO)*((('Dvd Calendar'!$T$759&lt;=VAL_DATE)+(COUNTIF('Dvd Calendar'!$E$766:$AR$766,'Dvd Calendar'!$T$759)=0))&gt;0)=0,"",'Dvd Calendar'!$T$759*1000000000+ISNUMBER('Dvd Calendar'!$T$762)*100000000+('Dvd Calendar'!$T$764=SPECIAL_LBL)*10000000+(N('Dvd Calendar'!$T$758)&gt;0)*(N('Dvd Calendar'!$T$758)&lt;=VAL_SERIAL)*1000000+69*1000+16))</f>
        <v/>
      </c>
      <c r="EU80" s="39">
        <f>IF(N('Dvd Calendar'!$U$759)=0,"",IF(('Dvd Calendar'!$U$759&gt;=GRID_FROM)*('Dvd Calendar'!$U$759&lt;=GRID_TO)*((('Dvd Calendar'!$U$759&lt;=VAL_DATE)+(COUNTIF('Dvd Calendar'!$E$766:$AR$766,'Dvd Calendar'!$U$759)=0))&gt;0)=0,"",'Dvd Calendar'!$U$759*1000000000+ISNUMBER('Dvd Calendar'!$U$762)*100000000+('Dvd Calendar'!$U$764=SPECIAL_LBL)*10000000+(N('Dvd Calendar'!$U$758)&gt;0)*(N('Dvd Calendar'!$U$758)&lt;=VAL_SERIAL)*1000000+69*1000+17))</f>
        <v/>
      </c>
      <c r="EV80" s="39">
        <f>IF(N('Dvd Calendar'!$V$759)=0,"",IF(('Dvd Calendar'!$V$759&gt;=GRID_FROM)*('Dvd Calendar'!$V$759&lt;=GRID_TO)*((('Dvd Calendar'!$V$759&lt;=VAL_DATE)+(COUNTIF('Dvd Calendar'!$E$766:$AR$766,'Dvd Calendar'!$V$759)=0))&gt;0)=0,"",'Dvd Calendar'!$V$759*1000000000+ISNUMBER('Dvd Calendar'!$V$762)*100000000+('Dvd Calendar'!$V$764=SPECIAL_LBL)*10000000+(N('Dvd Calendar'!$V$758)&gt;0)*(N('Dvd Calendar'!$V$758)&lt;=VAL_SERIAL)*1000000+69*1000+18))</f>
        <v/>
      </c>
      <c r="EW80" s="39">
        <f>IF(N('Dvd Calendar'!$W$759)=0,"",IF(('Dvd Calendar'!$W$759&gt;=GRID_FROM)*('Dvd Calendar'!$W$759&lt;=GRID_TO)*((('Dvd Calendar'!$W$759&lt;=VAL_DATE)+(COUNTIF('Dvd Calendar'!$E$766:$AR$766,'Dvd Calendar'!$W$759)=0))&gt;0)=0,"",'Dvd Calendar'!$W$759*1000000000+ISNUMBER('Dvd Calendar'!$W$762)*100000000+('Dvd Calendar'!$W$764=SPECIAL_LBL)*10000000+(N('Dvd Calendar'!$W$758)&gt;0)*(N('Dvd Calendar'!$W$758)&lt;=VAL_SERIAL)*1000000+69*1000+19))</f>
        <v/>
      </c>
      <c r="EX80" s="39">
        <f>IF(N('Dvd Calendar'!$X$759)=0,"",IF(('Dvd Calendar'!$X$759&gt;=GRID_FROM)*('Dvd Calendar'!$X$759&lt;=GRID_TO)*((('Dvd Calendar'!$X$759&lt;=VAL_DATE)+(COUNTIF('Dvd Calendar'!$E$766:$AR$766,'Dvd Calendar'!$X$759)=0))&gt;0)=0,"",'Dvd Calendar'!$X$759*1000000000+ISNUMBER('Dvd Calendar'!$X$762)*100000000+('Dvd Calendar'!$X$764=SPECIAL_LBL)*10000000+(N('Dvd Calendar'!$X$758)&gt;0)*(N('Dvd Calendar'!$X$758)&lt;=VAL_SERIAL)*1000000+69*1000+20))</f>
        <v/>
      </c>
      <c r="EY80" s="39">
        <f>IF(N('Dvd Calendar'!$Y$759)=0,"",IF(('Dvd Calendar'!$Y$759&gt;=GRID_FROM)*('Dvd Calendar'!$Y$759&lt;=GRID_TO)*((('Dvd Calendar'!$Y$759&lt;=VAL_DATE)+(COUNTIF('Dvd Calendar'!$E$766:$AR$766,'Dvd Calendar'!$Y$759)=0))&gt;0)=0,"",'Dvd Calendar'!$Y$759*1000000000+ISNUMBER('Dvd Calendar'!$Y$762)*100000000+('Dvd Calendar'!$Y$764=SPECIAL_LBL)*10000000+(N('Dvd Calendar'!$Y$758)&gt;0)*(N('Dvd Calendar'!$Y$758)&lt;=VAL_SERIAL)*1000000+69*1000+21))</f>
        <v/>
      </c>
      <c r="EZ80" s="39">
        <f>IF(N('Dvd Calendar'!$Z$759)=0,"",IF(('Dvd Calendar'!$Z$759&gt;=GRID_FROM)*('Dvd Calendar'!$Z$759&lt;=GRID_TO)*((('Dvd Calendar'!$Z$759&lt;=VAL_DATE)+(COUNTIF('Dvd Calendar'!$E$766:$AR$766,'Dvd Calendar'!$Z$759)=0))&gt;0)=0,"",'Dvd Calendar'!$Z$759*1000000000+ISNUMBER('Dvd Calendar'!$Z$762)*100000000+('Dvd Calendar'!$Z$764=SPECIAL_LBL)*10000000+(N('Dvd Calendar'!$Z$758)&gt;0)*(N('Dvd Calendar'!$Z$758)&lt;=VAL_SERIAL)*1000000+69*1000+22))</f>
        <v/>
      </c>
      <c r="FA80" s="39">
        <f>IF(N('Dvd Calendar'!$AA$759)=0,"",IF(('Dvd Calendar'!$AA$759&gt;=GRID_FROM)*('Dvd Calendar'!$AA$759&lt;=GRID_TO)*((('Dvd Calendar'!$AA$759&lt;=VAL_DATE)+(COUNTIF('Dvd Calendar'!$E$766:$AR$766,'Dvd Calendar'!$AA$759)=0))&gt;0)=0,"",'Dvd Calendar'!$AA$759*1000000000+ISNUMBER('Dvd Calendar'!$AA$762)*100000000+('Dvd Calendar'!$AA$764=SPECIAL_LBL)*10000000+(N('Dvd Calendar'!$AA$758)&gt;0)*(N('Dvd Calendar'!$AA$758)&lt;=VAL_SERIAL)*1000000+69*1000+23))</f>
        <v/>
      </c>
      <c r="FB80" s="39">
        <f>IF(N('Dvd Calendar'!$AB$759)=0,"",IF(('Dvd Calendar'!$AB$759&gt;=GRID_FROM)*('Dvd Calendar'!$AB$759&lt;=GRID_TO)*((('Dvd Calendar'!$AB$759&lt;=VAL_DATE)+(COUNTIF('Dvd Calendar'!$E$766:$AR$766,'Dvd Calendar'!$AB$759)=0))&gt;0)=0,"",'Dvd Calendar'!$AB$759*1000000000+ISNUMBER('Dvd Calendar'!$AB$762)*100000000+('Dvd Calendar'!$AB$764=SPECIAL_LBL)*10000000+(N('Dvd Calendar'!$AB$758)&gt;0)*(N('Dvd Calendar'!$AB$758)&lt;=VAL_SERIAL)*1000000+69*1000+24))</f>
        <v/>
      </c>
      <c r="FC80" s="39">
        <f>IF(N('Dvd Calendar'!$AC$759)=0,"",IF(('Dvd Calendar'!$AC$759&gt;=GRID_FROM)*('Dvd Calendar'!$AC$759&lt;=GRID_TO)*((('Dvd Calendar'!$AC$759&lt;=VAL_DATE)+(COUNTIF('Dvd Calendar'!$E$766:$AR$766,'Dvd Calendar'!$AC$759)=0))&gt;0)=0,"",'Dvd Calendar'!$AC$759*1000000000+ISNUMBER('Dvd Calendar'!$AC$762)*100000000+('Dvd Calendar'!$AC$764=SPECIAL_LBL)*10000000+(N('Dvd Calendar'!$AC$758)&gt;0)*(N('Dvd Calendar'!$AC$758)&lt;=VAL_SERIAL)*1000000+69*1000+25))</f>
        <v/>
      </c>
      <c r="FD80" s="39">
        <f>IF(N('Dvd Calendar'!$AD$759)=0,"",IF(('Dvd Calendar'!$AD$759&gt;=GRID_FROM)*('Dvd Calendar'!$AD$759&lt;=GRID_TO)*((('Dvd Calendar'!$AD$759&lt;=VAL_DATE)+(COUNTIF('Dvd Calendar'!$E$766:$AR$766,'Dvd Calendar'!$AD$759)=0))&gt;0)=0,"",'Dvd Calendar'!$AD$759*1000000000+ISNUMBER('Dvd Calendar'!$AD$762)*100000000+('Dvd Calendar'!$AD$764=SPECIAL_LBL)*10000000+(N('Dvd Calendar'!$AD$758)&gt;0)*(N('Dvd Calendar'!$AD$758)&lt;=VAL_SERIAL)*1000000+69*1000+26))</f>
        <v/>
      </c>
      <c r="FE80" s="39">
        <f>IF(N('Dvd Calendar'!$AE$759)=0,"",IF(('Dvd Calendar'!$AE$759&gt;=GRID_FROM)*('Dvd Calendar'!$AE$759&lt;=GRID_TO)*((('Dvd Calendar'!$AE$759&lt;=VAL_DATE)+(COUNTIF('Dvd Calendar'!$E$766:$AR$766,'Dvd Calendar'!$AE$759)=0))&gt;0)=0,"",'Dvd Calendar'!$AE$759*1000000000+ISNUMBER('Dvd Calendar'!$AE$762)*100000000+('Dvd Calendar'!$AE$764=SPECIAL_LBL)*10000000+(N('Dvd Calendar'!$AE$758)&gt;0)*(N('Dvd Calendar'!$AE$758)&lt;=VAL_SERIAL)*1000000+69*1000+27))</f>
        <v/>
      </c>
      <c r="FF80" s="39">
        <f>IF(N('Dvd Calendar'!$AF$759)=0,"",IF(('Dvd Calendar'!$AF$759&gt;=GRID_FROM)*('Dvd Calendar'!$AF$759&lt;=GRID_TO)*((('Dvd Calendar'!$AF$759&lt;=VAL_DATE)+(COUNTIF('Dvd Calendar'!$E$766:$AR$766,'Dvd Calendar'!$AF$759)=0))&gt;0)=0,"",'Dvd Calendar'!$AF$759*1000000000+ISNUMBER('Dvd Calendar'!$AF$762)*100000000+('Dvd Calendar'!$AF$764=SPECIAL_LBL)*10000000+(N('Dvd Calendar'!$AF$758)&gt;0)*(N('Dvd Calendar'!$AF$758)&lt;=VAL_SERIAL)*1000000+69*1000+28))</f>
        <v/>
      </c>
      <c r="FG80" s="39">
        <f>IF(N('Dvd Calendar'!$AG$759)=0,"",IF(('Dvd Calendar'!$AG$759&gt;=GRID_FROM)*('Dvd Calendar'!$AG$759&lt;=GRID_TO)*((('Dvd Calendar'!$AG$759&lt;=VAL_DATE)+(COUNTIF('Dvd Calendar'!$E$766:$AR$766,'Dvd Calendar'!$AG$759)=0))&gt;0)=0,"",'Dvd Calendar'!$AG$759*1000000000+ISNUMBER('Dvd Calendar'!$AG$762)*100000000+('Dvd Calendar'!$AG$764=SPECIAL_LBL)*10000000+(N('Dvd Calendar'!$AG$758)&gt;0)*(N('Dvd Calendar'!$AG$758)&lt;=VAL_SERIAL)*1000000+69*1000+29))</f>
        <v/>
      </c>
      <c r="FH80" s="39">
        <f>IF(N('Dvd Calendar'!$AH$759)=0,"",IF(('Dvd Calendar'!$AH$759&gt;=GRID_FROM)*('Dvd Calendar'!$AH$759&lt;=GRID_TO)*((('Dvd Calendar'!$AH$759&lt;=VAL_DATE)+(COUNTIF('Dvd Calendar'!$E$766:$AR$766,'Dvd Calendar'!$AH$759)=0))&gt;0)=0,"",'Dvd Calendar'!$AH$759*1000000000+ISNUMBER('Dvd Calendar'!$AH$762)*100000000+('Dvd Calendar'!$AH$764=SPECIAL_LBL)*10000000+(N('Dvd Calendar'!$AH$758)&gt;0)*(N('Dvd Calendar'!$AH$758)&lt;=VAL_SERIAL)*1000000+69*1000+30))</f>
        <v/>
      </c>
      <c r="FI80" s="39">
        <f>IF(N('Dvd Calendar'!$AI$759)=0,"",IF(('Dvd Calendar'!$AI$759&gt;=GRID_FROM)*('Dvd Calendar'!$AI$759&lt;=GRID_TO)*((('Dvd Calendar'!$AI$759&lt;=VAL_DATE)+(COUNTIF('Dvd Calendar'!$E$766:$AR$766,'Dvd Calendar'!$AI$759)=0))&gt;0)=0,"",'Dvd Calendar'!$AI$759*1000000000+ISNUMBER('Dvd Calendar'!$AI$762)*100000000+('Dvd Calendar'!$AI$764=SPECIAL_LBL)*10000000+(N('Dvd Calendar'!$AI$758)&gt;0)*(N('Dvd Calendar'!$AI$758)&lt;=VAL_SERIAL)*1000000+69*1000+31))</f>
        <v/>
      </c>
      <c r="FJ80" s="39">
        <f>IF(N('Dvd Calendar'!$AJ$759)=0,"",IF(('Dvd Calendar'!$AJ$759&gt;=GRID_FROM)*('Dvd Calendar'!$AJ$759&lt;=GRID_TO)*((('Dvd Calendar'!$AJ$759&lt;=VAL_DATE)+(COUNTIF('Dvd Calendar'!$E$766:$AR$766,'Dvd Calendar'!$AJ$759)=0))&gt;0)=0,"",'Dvd Calendar'!$AJ$759*1000000000+ISNUMBER('Dvd Calendar'!$AJ$762)*100000000+('Dvd Calendar'!$AJ$764=SPECIAL_LBL)*10000000+(N('Dvd Calendar'!$AJ$758)&gt;0)*(N('Dvd Calendar'!$AJ$758)&lt;=VAL_SERIAL)*1000000+69*1000+32))</f>
        <v/>
      </c>
      <c r="FK80" s="39">
        <f>IF(N('Dvd Calendar'!$AK$759)=0,"",IF(('Dvd Calendar'!$AK$759&gt;=GRID_FROM)*('Dvd Calendar'!$AK$759&lt;=GRID_TO)*((('Dvd Calendar'!$AK$759&lt;=VAL_DATE)+(COUNTIF('Dvd Calendar'!$E$766:$AR$766,'Dvd Calendar'!$AK$759)=0))&gt;0)=0,"",'Dvd Calendar'!$AK$759*1000000000+ISNUMBER('Dvd Calendar'!$AK$762)*100000000+('Dvd Calendar'!$AK$764=SPECIAL_LBL)*10000000+(N('Dvd Calendar'!$AK$758)&gt;0)*(N('Dvd Calendar'!$AK$758)&lt;=VAL_SERIAL)*1000000+69*1000+33))</f>
        <v/>
      </c>
      <c r="FL80" s="39">
        <f>IF(N('Dvd Calendar'!$AL$759)=0,"",IF(('Dvd Calendar'!$AL$759&gt;=GRID_FROM)*('Dvd Calendar'!$AL$759&lt;=GRID_TO)*((('Dvd Calendar'!$AL$759&lt;=VAL_DATE)+(COUNTIF('Dvd Calendar'!$E$766:$AR$766,'Dvd Calendar'!$AL$759)=0))&gt;0)=0,"",'Dvd Calendar'!$AL$759*1000000000+ISNUMBER('Dvd Calendar'!$AL$762)*100000000+('Dvd Calendar'!$AL$764=SPECIAL_LBL)*10000000+(N('Dvd Calendar'!$AL$758)&gt;0)*(N('Dvd Calendar'!$AL$758)&lt;=VAL_SERIAL)*1000000+69*1000+34))</f>
        <v/>
      </c>
      <c r="FM80" s="39">
        <f>IF(N('Dvd Calendar'!$AM$759)=0,"",IF(('Dvd Calendar'!$AM$759&gt;=GRID_FROM)*('Dvd Calendar'!$AM$759&lt;=GRID_TO)*((('Dvd Calendar'!$AM$759&lt;=VAL_DATE)+(COUNTIF('Dvd Calendar'!$E$766:$AR$766,'Dvd Calendar'!$AM$759)=0))&gt;0)=0,"",'Dvd Calendar'!$AM$759*1000000000+ISNUMBER('Dvd Calendar'!$AM$762)*100000000+('Dvd Calendar'!$AM$764=SPECIAL_LBL)*10000000+(N('Dvd Calendar'!$AM$758)&gt;0)*(N('Dvd Calendar'!$AM$758)&lt;=VAL_SERIAL)*1000000+69*1000+35))</f>
        <v/>
      </c>
      <c r="FN80" s="39">
        <f>IF(N('Dvd Calendar'!$AN$759)=0,"",IF(('Dvd Calendar'!$AN$759&gt;=GRID_FROM)*('Dvd Calendar'!$AN$759&lt;=GRID_TO)*((('Dvd Calendar'!$AN$759&lt;=VAL_DATE)+(COUNTIF('Dvd Calendar'!$E$766:$AR$766,'Dvd Calendar'!$AN$759)=0))&gt;0)=0,"",'Dvd Calendar'!$AN$759*1000000000+ISNUMBER('Dvd Calendar'!$AN$762)*100000000+('Dvd Calendar'!$AN$764=SPECIAL_LBL)*10000000+(N('Dvd Calendar'!$AN$758)&gt;0)*(N('Dvd Calendar'!$AN$758)&lt;=VAL_SERIAL)*1000000+69*1000+36))</f>
        <v/>
      </c>
      <c r="FO80" s="39">
        <f>IF(N('Dvd Calendar'!$AO$759)=0,"",IF(('Dvd Calendar'!$AO$759&gt;=GRID_FROM)*('Dvd Calendar'!$AO$759&lt;=GRID_TO)*((('Dvd Calendar'!$AO$759&lt;=VAL_DATE)+(COUNTIF('Dvd Calendar'!$E$766:$AR$766,'Dvd Calendar'!$AO$759)=0))&gt;0)=0,"",'Dvd Calendar'!$AO$759*1000000000+ISNUMBER('Dvd Calendar'!$AO$762)*100000000+('Dvd Calendar'!$AO$764=SPECIAL_LBL)*10000000+(N('Dvd Calendar'!$AO$758)&gt;0)*(N('Dvd Calendar'!$AO$758)&lt;=VAL_SERIAL)*1000000+69*1000+37))</f>
        <v/>
      </c>
      <c r="FP80" s="39">
        <f>IF(N('Dvd Calendar'!$AP$759)=0,"",IF(('Dvd Calendar'!$AP$759&gt;=GRID_FROM)*('Dvd Calendar'!$AP$759&lt;=GRID_TO)*((('Dvd Calendar'!$AP$759&lt;=VAL_DATE)+(COUNTIF('Dvd Calendar'!$E$766:$AR$766,'Dvd Calendar'!$AP$759)=0))&gt;0)=0,"",'Dvd Calendar'!$AP$759*1000000000+ISNUMBER('Dvd Calendar'!$AP$762)*100000000+('Dvd Calendar'!$AP$764=SPECIAL_LBL)*10000000+(N('Dvd Calendar'!$AP$758)&gt;0)*(N('Dvd Calendar'!$AP$758)&lt;=VAL_SERIAL)*1000000+69*1000+38))</f>
        <v/>
      </c>
      <c r="FQ80" s="39">
        <f>IF(N('Dvd Calendar'!$AQ$759)=0,"",IF(('Dvd Calendar'!$AQ$759&gt;=GRID_FROM)*('Dvd Calendar'!$AQ$759&lt;=GRID_TO)*((('Dvd Calendar'!$AQ$759&lt;=VAL_DATE)+(COUNTIF('Dvd Calendar'!$E$766:$AR$766,'Dvd Calendar'!$AQ$759)=0))&gt;0)=0,"",'Dvd Calendar'!$AQ$759*1000000000+ISNUMBER('Dvd Calendar'!$AQ$762)*100000000+('Dvd Calendar'!$AQ$764=SPECIAL_LBL)*10000000+(N('Dvd Calendar'!$AQ$758)&gt;0)*(N('Dvd Calendar'!$AQ$758)&lt;=VAL_SERIAL)*1000000+69*1000+39))</f>
        <v/>
      </c>
      <c r="FR80" s="39">
        <f>IF(N('Dvd Calendar'!$AR$759)=0,"",IF(('Dvd Calendar'!$AR$759&gt;=GRID_FROM)*('Dvd Calendar'!$AR$759&lt;=GRID_TO)*((('Dvd Calendar'!$AR$759&lt;=VAL_DATE)+(COUNTIF('Dvd Calendar'!$E$766:$AR$766,'Dvd Calendar'!$AR$759)=0))&gt;0)=0,"",'Dvd Calendar'!$AR$759*1000000000+ISNUMBER('Dvd Calendar'!$AR$762)*100000000+('Dvd Calendar'!$AR$764=SPECIAL_LBL)*10000000+(N('Dvd Calendar'!$AR$758)&gt;0)*(N('Dvd Calendar'!$AR$758)&lt;=VAL_SERIAL)*1000000+69*1000+40))</f>
        <v/>
      </c>
      <c r="FS80" s="39">
        <f>IF(N('Dvd Calendar'!$E$766)=0,"",IF(('Dvd Calendar'!$E$766&gt;=GRID_FROM)*('Dvd Calendar'!$E$766&lt;=GRID_TO)*('Dvd Calendar'!$E$766&gt;VAL_DATE)=0,"",'Dvd Calendar'!$E$766*1000000000+ISNUMBER('Dvd Calendar'!$E$767)*100000000+0*10000000+(N('Dvd Calendar'!$E$765)&gt;0)*(N('Dvd Calendar'!$E$765)&lt;=VAL_SERIAL)*1000000+69*1000+41))</f>
        <v/>
      </c>
      <c r="FT80" s="39">
        <f>IF(N('Dvd Calendar'!$F$766)=0,"",IF(('Dvd Calendar'!$F$766&gt;=GRID_FROM)*('Dvd Calendar'!$F$766&lt;=GRID_TO)*('Dvd Calendar'!$F$766&gt;VAL_DATE)=0,"",'Dvd Calendar'!$F$766*1000000000+ISNUMBER('Dvd Calendar'!$F$767)*100000000+0*10000000+(N('Dvd Calendar'!$F$765)&gt;0)*(N('Dvd Calendar'!$F$765)&lt;=VAL_SERIAL)*1000000+69*1000+42))</f>
        <v/>
      </c>
      <c r="FU80" s="39">
        <f>IF(N('Dvd Calendar'!$G$766)=0,"",IF(('Dvd Calendar'!$G$766&gt;=GRID_FROM)*('Dvd Calendar'!$G$766&lt;=GRID_TO)*('Dvd Calendar'!$G$766&gt;VAL_DATE)=0,"",'Dvd Calendar'!$G$766*1000000000+ISNUMBER('Dvd Calendar'!$G$767)*100000000+0*10000000+(N('Dvd Calendar'!$G$765)&gt;0)*(N('Dvd Calendar'!$G$765)&lt;=VAL_SERIAL)*1000000+69*1000+43))</f>
        <v/>
      </c>
      <c r="FV80" s="39">
        <f>IF(N('Dvd Calendar'!$H$766)=0,"",IF(('Dvd Calendar'!$H$766&gt;=GRID_FROM)*('Dvd Calendar'!$H$766&lt;=GRID_TO)*('Dvd Calendar'!$H$766&gt;VAL_DATE)=0,"",'Dvd Calendar'!$H$766*1000000000+ISNUMBER('Dvd Calendar'!$H$767)*100000000+0*10000000+(N('Dvd Calendar'!$H$765)&gt;0)*(N('Dvd Calendar'!$H$765)&lt;=VAL_SERIAL)*1000000+69*1000+44))</f>
        <v/>
      </c>
      <c r="FW80" s="39">
        <f>IF(N('Dvd Calendar'!$I$766)=0,"",IF(('Dvd Calendar'!$I$766&gt;=GRID_FROM)*('Dvd Calendar'!$I$766&lt;=GRID_TO)*('Dvd Calendar'!$I$766&gt;VAL_DATE)=0,"",'Dvd Calendar'!$I$766*1000000000+ISNUMBER('Dvd Calendar'!$I$767)*100000000+0*10000000+(N('Dvd Calendar'!$I$765)&gt;0)*(N('Dvd Calendar'!$I$765)&lt;=VAL_SERIAL)*1000000+69*1000+45))</f>
        <v/>
      </c>
      <c r="FX80" s="39">
        <f>IF(N('Dvd Calendar'!$J$766)=0,"",IF(('Dvd Calendar'!$J$766&gt;=GRID_FROM)*('Dvd Calendar'!$J$766&lt;=GRID_TO)*('Dvd Calendar'!$J$766&gt;VAL_DATE)=0,"",'Dvd Calendar'!$J$766*1000000000+ISNUMBER('Dvd Calendar'!$J$767)*100000000+0*10000000+(N('Dvd Calendar'!$J$765)&gt;0)*(N('Dvd Calendar'!$J$765)&lt;=VAL_SERIAL)*1000000+69*1000+46))</f>
        <v/>
      </c>
      <c r="FY80" s="39">
        <f>IF(N('Dvd Calendar'!$K$766)=0,"",IF(('Dvd Calendar'!$K$766&gt;=GRID_FROM)*('Dvd Calendar'!$K$766&lt;=GRID_TO)*('Dvd Calendar'!$K$766&gt;VAL_DATE)=0,"",'Dvd Calendar'!$K$766*1000000000+ISNUMBER('Dvd Calendar'!$K$767)*100000000+0*10000000+(N('Dvd Calendar'!$K$765)&gt;0)*(N('Dvd Calendar'!$K$765)&lt;=VAL_SERIAL)*1000000+69*1000+47))</f>
        <v/>
      </c>
      <c r="FZ80" s="39">
        <f>IF(N('Dvd Calendar'!$L$766)=0,"",IF(('Dvd Calendar'!$L$766&gt;=GRID_FROM)*('Dvd Calendar'!$L$766&lt;=GRID_TO)*('Dvd Calendar'!$L$766&gt;VAL_DATE)=0,"",'Dvd Calendar'!$L$766*1000000000+ISNUMBER('Dvd Calendar'!$L$767)*100000000+0*10000000+(N('Dvd Calendar'!$L$765)&gt;0)*(N('Dvd Calendar'!$L$765)&lt;=VAL_SERIAL)*1000000+69*1000+48))</f>
        <v/>
      </c>
      <c r="GA80" s="39">
        <f>IF(N('Dvd Calendar'!$M$766)=0,"",IF(('Dvd Calendar'!$M$766&gt;=GRID_FROM)*('Dvd Calendar'!$M$766&lt;=GRID_TO)*('Dvd Calendar'!$M$766&gt;VAL_DATE)=0,"",'Dvd Calendar'!$M$766*1000000000+ISNUMBER('Dvd Calendar'!$M$767)*100000000+0*10000000+(N('Dvd Calendar'!$M$765)&gt;0)*(N('Dvd Calendar'!$M$765)&lt;=VAL_SERIAL)*1000000+69*1000+49))</f>
        <v/>
      </c>
      <c r="GB80" s="39">
        <f>IF(N('Dvd Calendar'!$N$766)=0,"",IF(('Dvd Calendar'!$N$766&gt;=GRID_FROM)*('Dvd Calendar'!$N$766&lt;=GRID_TO)*('Dvd Calendar'!$N$766&gt;VAL_DATE)=0,"",'Dvd Calendar'!$N$766*1000000000+ISNUMBER('Dvd Calendar'!$N$767)*100000000+0*10000000+(N('Dvd Calendar'!$N$765)&gt;0)*(N('Dvd Calendar'!$N$765)&lt;=VAL_SERIAL)*1000000+69*1000+50))</f>
        <v/>
      </c>
      <c r="GC80" s="39">
        <f>IF(N('Dvd Calendar'!$O$766)=0,"",IF(('Dvd Calendar'!$O$766&gt;=GRID_FROM)*('Dvd Calendar'!$O$766&lt;=GRID_TO)*('Dvd Calendar'!$O$766&gt;VAL_DATE)=0,"",'Dvd Calendar'!$O$766*1000000000+ISNUMBER('Dvd Calendar'!$O$767)*100000000+0*10000000+(N('Dvd Calendar'!$O$765)&gt;0)*(N('Dvd Calendar'!$O$765)&lt;=VAL_SERIAL)*1000000+69*1000+51))</f>
        <v/>
      </c>
      <c r="GD80" s="39">
        <f>IF(N('Dvd Calendar'!$P$766)=0,"",IF(('Dvd Calendar'!$P$766&gt;=GRID_FROM)*('Dvd Calendar'!$P$766&lt;=GRID_TO)*('Dvd Calendar'!$P$766&gt;VAL_DATE)=0,"",'Dvd Calendar'!$P$766*1000000000+ISNUMBER('Dvd Calendar'!$P$767)*100000000+0*10000000+(N('Dvd Calendar'!$P$765)&gt;0)*(N('Dvd Calendar'!$P$765)&lt;=VAL_SERIAL)*1000000+69*1000+52))</f>
        <v/>
      </c>
      <c r="GE80" s="39">
        <f>IF(N('Dvd Calendar'!$Q$766)=0,"",IF(('Dvd Calendar'!$Q$766&gt;=GRID_FROM)*('Dvd Calendar'!$Q$766&lt;=GRID_TO)*('Dvd Calendar'!$Q$766&gt;VAL_DATE)=0,"",'Dvd Calendar'!$Q$766*1000000000+ISNUMBER('Dvd Calendar'!$Q$767)*100000000+0*10000000+(N('Dvd Calendar'!$Q$765)&gt;0)*(N('Dvd Calendar'!$Q$765)&lt;=VAL_SERIAL)*1000000+69*1000+53))</f>
        <v/>
      </c>
      <c r="GF80" s="39">
        <f>IF(N('Dvd Calendar'!$R$766)=0,"",IF(('Dvd Calendar'!$R$766&gt;=GRID_FROM)*('Dvd Calendar'!$R$766&lt;=GRID_TO)*('Dvd Calendar'!$R$766&gt;VAL_DATE)=0,"",'Dvd Calendar'!$R$766*1000000000+ISNUMBER('Dvd Calendar'!$R$767)*100000000+0*10000000+(N('Dvd Calendar'!$R$765)&gt;0)*(N('Dvd Calendar'!$R$765)&lt;=VAL_SERIAL)*1000000+69*1000+54))</f>
        <v/>
      </c>
      <c r="GG80" s="39">
        <f>IF(N('Dvd Calendar'!$S$766)=0,"",IF(('Dvd Calendar'!$S$766&gt;=GRID_FROM)*('Dvd Calendar'!$S$766&lt;=GRID_TO)*('Dvd Calendar'!$S$766&gt;VAL_DATE)=0,"",'Dvd Calendar'!$S$766*1000000000+ISNUMBER('Dvd Calendar'!$S$767)*100000000+0*10000000+(N('Dvd Calendar'!$S$765)&gt;0)*(N('Dvd Calendar'!$S$765)&lt;=VAL_SERIAL)*1000000+69*1000+55))</f>
        <v/>
      </c>
      <c r="GH80" s="39">
        <f>IF(N('Dvd Calendar'!$T$766)=0,"",IF(('Dvd Calendar'!$T$766&gt;=GRID_FROM)*('Dvd Calendar'!$T$766&lt;=GRID_TO)*('Dvd Calendar'!$T$766&gt;VAL_DATE)=0,"",'Dvd Calendar'!$T$766*1000000000+ISNUMBER('Dvd Calendar'!$T$767)*100000000+0*10000000+(N('Dvd Calendar'!$T$765)&gt;0)*(N('Dvd Calendar'!$T$765)&lt;=VAL_SERIAL)*1000000+69*1000+56))</f>
        <v/>
      </c>
      <c r="GI80" s="39">
        <f>IF(N('Dvd Calendar'!$U$766)=0,"",IF(('Dvd Calendar'!$U$766&gt;=GRID_FROM)*('Dvd Calendar'!$U$766&lt;=GRID_TO)*('Dvd Calendar'!$U$766&gt;VAL_DATE)=0,"",'Dvd Calendar'!$U$766*1000000000+ISNUMBER('Dvd Calendar'!$U$767)*100000000+0*10000000+(N('Dvd Calendar'!$U$765)&gt;0)*(N('Dvd Calendar'!$U$765)&lt;=VAL_SERIAL)*1000000+69*1000+57))</f>
        <v/>
      </c>
      <c r="GJ80" s="39">
        <f>IF(N('Dvd Calendar'!$V$766)=0,"",IF(('Dvd Calendar'!$V$766&gt;=GRID_FROM)*('Dvd Calendar'!$V$766&lt;=GRID_TO)*('Dvd Calendar'!$V$766&gt;VAL_DATE)=0,"",'Dvd Calendar'!$V$766*1000000000+ISNUMBER('Dvd Calendar'!$V$767)*100000000+0*10000000+(N('Dvd Calendar'!$V$765)&gt;0)*(N('Dvd Calendar'!$V$765)&lt;=VAL_SERIAL)*1000000+69*1000+58))</f>
        <v/>
      </c>
      <c r="GK80" s="39">
        <f>IF(N('Dvd Calendar'!$W$766)=0,"",IF(('Dvd Calendar'!$W$766&gt;=GRID_FROM)*('Dvd Calendar'!$W$766&lt;=GRID_TO)*('Dvd Calendar'!$W$766&gt;VAL_DATE)=0,"",'Dvd Calendar'!$W$766*1000000000+ISNUMBER('Dvd Calendar'!$W$767)*100000000+0*10000000+(N('Dvd Calendar'!$W$765)&gt;0)*(N('Dvd Calendar'!$W$765)&lt;=VAL_SERIAL)*1000000+69*1000+59))</f>
        <v/>
      </c>
      <c r="GL80" s="39">
        <f>IF(N('Dvd Calendar'!$X$766)=0,"",IF(('Dvd Calendar'!$X$766&gt;=GRID_FROM)*('Dvd Calendar'!$X$766&lt;=GRID_TO)*('Dvd Calendar'!$X$766&gt;VAL_DATE)=0,"",'Dvd Calendar'!$X$766*1000000000+ISNUMBER('Dvd Calendar'!$X$767)*100000000+0*10000000+(N('Dvd Calendar'!$X$765)&gt;0)*(N('Dvd Calendar'!$X$765)&lt;=VAL_SERIAL)*1000000+69*1000+60))</f>
        <v/>
      </c>
      <c r="GM80" s="39">
        <f>IF(N('Dvd Calendar'!$Y$766)=0,"",IF(('Dvd Calendar'!$Y$766&gt;=GRID_FROM)*('Dvd Calendar'!$Y$766&lt;=GRID_TO)*('Dvd Calendar'!$Y$766&gt;VAL_DATE)=0,"",'Dvd Calendar'!$Y$766*1000000000+ISNUMBER('Dvd Calendar'!$Y$767)*100000000+0*10000000+(N('Dvd Calendar'!$Y$765)&gt;0)*(N('Dvd Calendar'!$Y$765)&lt;=VAL_SERIAL)*1000000+69*1000+61))</f>
        <v/>
      </c>
      <c r="GN80" s="39">
        <f>IF(N('Dvd Calendar'!$Z$766)=0,"",IF(('Dvd Calendar'!$Z$766&gt;=GRID_FROM)*('Dvd Calendar'!$Z$766&lt;=GRID_TO)*('Dvd Calendar'!$Z$766&gt;VAL_DATE)=0,"",'Dvd Calendar'!$Z$766*1000000000+ISNUMBER('Dvd Calendar'!$Z$767)*100000000+0*10000000+(N('Dvd Calendar'!$Z$765)&gt;0)*(N('Dvd Calendar'!$Z$765)&lt;=VAL_SERIAL)*1000000+69*1000+62))</f>
        <v/>
      </c>
      <c r="GO80" s="39">
        <f>IF(N('Dvd Calendar'!$AA$766)=0,"",IF(('Dvd Calendar'!$AA$766&gt;=GRID_FROM)*('Dvd Calendar'!$AA$766&lt;=GRID_TO)*('Dvd Calendar'!$AA$766&gt;VAL_DATE)=0,"",'Dvd Calendar'!$AA$766*1000000000+ISNUMBER('Dvd Calendar'!$AA$767)*100000000+0*10000000+(N('Dvd Calendar'!$AA$765)&gt;0)*(N('Dvd Calendar'!$AA$765)&lt;=VAL_SERIAL)*1000000+69*1000+63))</f>
        <v/>
      </c>
      <c r="GP80" s="39">
        <f>IF(N('Dvd Calendar'!$AB$766)=0,"",IF(('Dvd Calendar'!$AB$766&gt;=GRID_FROM)*('Dvd Calendar'!$AB$766&lt;=GRID_TO)*('Dvd Calendar'!$AB$766&gt;VAL_DATE)=0,"",'Dvd Calendar'!$AB$766*1000000000+ISNUMBER('Dvd Calendar'!$AB$767)*100000000+0*10000000+(N('Dvd Calendar'!$AB$765)&gt;0)*(N('Dvd Calendar'!$AB$765)&lt;=VAL_SERIAL)*1000000+69*1000+64))</f>
        <v/>
      </c>
      <c r="GQ80" s="39">
        <f>IF(N('Dvd Calendar'!$AC$766)=0,"",IF(('Dvd Calendar'!$AC$766&gt;=GRID_FROM)*('Dvd Calendar'!$AC$766&lt;=GRID_TO)*('Dvd Calendar'!$AC$766&gt;VAL_DATE)=0,"",'Dvd Calendar'!$AC$766*1000000000+ISNUMBER('Dvd Calendar'!$AC$767)*100000000+0*10000000+(N('Dvd Calendar'!$AC$765)&gt;0)*(N('Dvd Calendar'!$AC$765)&lt;=VAL_SERIAL)*1000000+69*1000+65))</f>
        <v/>
      </c>
    </row>
    <row r="81">
      <c r="B81" s="2">
        <f>IF(HSI!$C$76="","",HSI!$C$76)</f>
        <v/>
      </c>
      <c r="C81" s="110">
        <f>IF(EE81="","",IF(ISNUMBER('Dvd Calendar'!$E$773)=FALSE,"",IF((('Dvd Calendar'!$E$775=TYPE1)*(TYPE1&lt;&gt;"")+('Dvd Calendar'!$E$775=TYPE2)*(TYPE2&lt;&gt;"")+('Dvd Calendar'!$E$775=TYPE3)*(TYPE3&lt;&gt;"")+('Dvd Calendar'!$E$775=TYPE4)*(TYPE4&lt;&gt;"")+('Dvd Calendar'!$E$775=SPECIAL_LBL)*(INC_SPECIALS="Y"))=0,"",'Dvd Calendar'!$E$773)))</f>
        <v/>
      </c>
      <c r="D81" s="110">
        <f>IF(EF81="","",IF(ISNUMBER('Dvd Calendar'!$F$773)=FALSE,"",IF((('Dvd Calendar'!$F$775=TYPE1)*(TYPE1&lt;&gt;"")+('Dvd Calendar'!$F$775=TYPE2)*(TYPE2&lt;&gt;"")+('Dvd Calendar'!$F$775=TYPE3)*(TYPE3&lt;&gt;"")+('Dvd Calendar'!$F$775=TYPE4)*(TYPE4&lt;&gt;"")+('Dvd Calendar'!$F$775=SPECIAL_LBL)*(INC_SPECIALS="Y"))=0,"",'Dvd Calendar'!$F$773)))</f>
        <v/>
      </c>
      <c r="E81" s="110">
        <f>IF(EG81="","",IF(ISNUMBER('Dvd Calendar'!$G$773)=FALSE,"",IF((('Dvd Calendar'!$G$775=TYPE1)*(TYPE1&lt;&gt;"")+('Dvd Calendar'!$G$775=TYPE2)*(TYPE2&lt;&gt;"")+('Dvd Calendar'!$G$775=TYPE3)*(TYPE3&lt;&gt;"")+('Dvd Calendar'!$G$775=TYPE4)*(TYPE4&lt;&gt;"")+('Dvd Calendar'!$G$775=SPECIAL_LBL)*(INC_SPECIALS="Y"))=0,"",'Dvd Calendar'!$G$773)))</f>
        <v/>
      </c>
      <c r="F81" s="110">
        <f>IF(EH81="","",IF(ISNUMBER('Dvd Calendar'!$H$773)=FALSE,"",IF((('Dvd Calendar'!$H$775=TYPE1)*(TYPE1&lt;&gt;"")+('Dvd Calendar'!$H$775=TYPE2)*(TYPE2&lt;&gt;"")+('Dvd Calendar'!$H$775=TYPE3)*(TYPE3&lt;&gt;"")+('Dvd Calendar'!$H$775=TYPE4)*(TYPE4&lt;&gt;"")+('Dvd Calendar'!$H$775=SPECIAL_LBL)*(INC_SPECIALS="Y"))=0,"",'Dvd Calendar'!$H$773)))</f>
        <v/>
      </c>
      <c r="G81" s="110">
        <f>IF(EI81="","",IF(ISNUMBER('Dvd Calendar'!$I$773)=FALSE,"",IF((('Dvd Calendar'!$I$775=TYPE1)*(TYPE1&lt;&gt;"")+('Dvd Calendar'!$I$775=TYPE2)*(TYPE2&lt;&gt;"")+('Dvd Calendar'!$I$775=TYPE3)*(TYPE3&lt;&gt;"")+('Dvd Calendar'!$I$775=TYPE4)*(TYPE4&lt;&gt;"")+('Dvd Calendar'!$I$775=SPECIAL_LBL)*(INC_SPECIALS="Y"))=0,"",'Dvd Calendar'!$I$773)))</f>
        <v/>
      </c>
      <c r="H81" s="110">
        <f>IF(EJ81="","",IF(ISNUMBER('Dvd Calendar'!$J$773)=FALSE,"",IF((('Dvd Calendar'!$J$775=TYPE1)*(TYPE1&lt;&gt;"")+('Dvd Calendar'!$J$775=TYPE2)*(TYPE2&lt;&gt;"")+('Dvd Calendar'!$J$775=TYPE3)*(TYPE3&lt;&gt;"")+('Dvd Calendar'!$J$775=TYPE4)*(TYPE4&lt;&gt;"")+('Dvd Calendar'!$J$775=SPECIAL_LBL)*(INC_SPECIALS="Y"))=0,"",'Dvd Calendar'!$J$773)))</f>
        <v/>
      </c>
      <c r="I81" s="110">
        <f>IF(EK81="","",IF(ISNUMBER('Dvd Calendar'!$K$773)=FALSE,"",IF((('Dvd Calendar'!$K$775=TYPE1)*(TYPE1&lt;&gt;"")+('Dvd Calendar'!$K$775=TYPE2)*(TYPE2&lt;&gt;"")+('Dvd Calendar'!$K$775=TYPE3)*(TYPE3&lt;&gt;"")+('Dvd Calendar'!$K$775=TYPE4)*(TYPE4&lt;&gt;"")+('Dvd Calendar'!$K$775=SPECIAL_LBL)*(INC_SPECIALS="Y"))=0,"",'Dvd Calendar'!$K$773)))</f>
        <v/>
      </c>
      <c r="J81" s="110">
        <f>IF(EL81="","",IF(ISNUMBER('Dvd Calendar'!$L$773)=FALSE,"",IF((('Dvd Calendar'!$L$775=TYPE1)*(TYPE1&lt;&gt;"")+('Dvd Calendar'!$L$775=TYPE2)*(TYPE2&lt;&gt;"")+('Dvd Calendar'!$L$775=TYPE3)*(TYPE3&lt;&gt;"")+('Dvd Calendar'!$L$775=TYPE4)*(TYPE4&lt;&gt;"")+('Dvd Calendar'!$L$775=SPECIAL_LBL)*(INC_SPECIALS="Y"))=0,"",'Dvd Calendar'!$L$773)))</f>
        <v/>
      </c>
      <c r="K81" s="110">
        <f>IF(EM81="","",IF(ISNUMBER('Dvd Calendar'!$M$773)=FALSE,"",IF((('Dvd Calendar'!$M$775=TYPE1)*(TYPE1&lt;&gt;"")+('Dvd Calendar'!$M$775=TYPE2)*(TYPE2&lt;&gt;"")+('Dvd Calendar'!$M$775=TYPE3)*(TYPE3&lt;&gt;"")+('Dvd Calendar'!$M$775=TYPE4)*(TYPE4&lt;&gt;"")+('Dvd Calendar'!$M$775=SPECIAL_LBL)*(INC_SPECIALS="Y"))=0,"",'Dvd Calendar'!$M$773)))</f>
        <v/>
      </c>
      <c r="L81" s="110">
        <f>IF(EN81="","",IF(ISNUMBER('Dvd Calendar'!$N$773)=FALSE,"",IF((('Dvd Calendar'!$N$775=TYPE1)*(TYPE1&lt;&gt;"")+('Dvd Calendar'!$N$775=TYPE2)*(TYPE2&lt;&gt;"")+('Dvd Calendar'!$N$775=TYPE3)*(TYPE3&lt;&gt;"")+('Dvd Calendar'!$N$775=TYPE4)*(TYPE4&lt;&gt;"")+('Dvd Calendar'!$N$775=SPECIAL_LBL)*(INC_SPECIALS="Y"))=0,"",'Dvd Calendar'!$N$773)))</f>
        <v/>
      </c>
      <c r="M81" s="110">
        <f>IF(EO81="","",IF(ISNUMBER('Dvd Calendar'!$O$773)=FALSE,"",IF((('Dvd Calendar'!$O$775=TYPE1)*(TYPE1&lt;&gt;"")+('Dvd Calendar'!$O$775=TYPE2)*(TYPE2&lt;&gt;"")+('Dvd Calendar'!$O$775=TYPE3)*(TYPE3&lt;&gt;"")+('Dvd Calendar'!$O$775=TYPE4)*(TYPE4&lt;&gt;"")+('Dvd Calendar'!$O$775=SPECIAL_LBL)*(INC_SPECIALS="Y"))=0,"",'Dvd Calendar'!$O$773)))</f>
        <v/>
      </c>
      <c r="N81" s="110">
        <f>IF(EP81="","",IF(ISNUMBER('Dvd Calendar'!$P$773)=FALSE,"",IF((('Dvd Calendar'!$P$775=TYPE1)*(TYPE1&lt;&gt;"")+('Dvd Calendar'!$P$775=TYPE2)*(TYPE2&lt;&gt;"")+('Dvd Calendar'!$P$775=TYPE3)*(TYPE3&lt;&gt;"")+('Dvd Calendar'!$P$775=TYPE4)*(TYPE4&lt;&gt;"")+('Dvd Calendar'!$P$775=SPECIAL_LBL)*(INC_SPECIALS="Y"))=0,"",'Dvd Calendar'!$P$773)))</f>
        <v/>
      </c>
      <c r="O81" s="110">
        <f>IF(EQ81="","",IF(ISNUMBER('Dvd Calendar'!$Q$773)=FALSE,"",IF((('Dvd Calendar'!$Q$775=TYPE1)*(TYPE1&lt;&gt;"")+('Dvd Calendar'!$Q$775=TYPE2)*(TYPE2&lt;&gt;"")+('Dvd Calendar'!$Q$775=TYPE3)*(TYPE3&lt;&gt;"")+('Dvd Calendar'!$Q$775=TYPE4)*(TYPE4&lt;&gt;"")+('Dvd Calendar'!$Q$775=SPECIAL_LBL)*(INC_SPECIALS="Y"))=0,"",'Dvd Calendar'!$Q$773)))</f>
        <v/>
      </c>
      <c r="P81" s="110">
        <f>IF(ER81="","",IF(ISNUMBER('Dvd Calendar'!$R$773)=FALSE,"",IF((('Dvd Calendar'!$R$775=TYPE1)*(TYPE1&lt;&gt;"")+('Dvd Calendar'!$R$775=TYPE2)*(TYPE2&lt;&gt;"")+('Dvd Calendar'!$R$775=TYPE3)*(TYPE3&lt;&gt;"")+('Dvd Calendar'!$R$775=TYPE4)*(TYPE4&lt;&gt;"")+('Dvd Calendar'!$R$775=SPECIAL_LBL)*(INC_SPECIALS="Y"))=0,"",'Dvd Calendar'!$R$773)))</f>
        <v/>
      </c>
      <c r="Q81" s="110">
        <f>IF(ES81="","",IF(ISNUMBER('Dvd Calendar'!$S$773)=FALSE,"",IF((('Dvd Calendar'!$S$775=TYPE1)*(TYPE1&lt;&gt;"")+('Dvd Calendar'!$S$775=TYPE2)*(TYPE2&lt;&gt;"")+('Dvd Calendar'!$S$775=TYPE3)*(TYPE3&lt;&gt;"")+('Dvd Calendar'!$S$775=TYPE4)*(TYPE4&lt;&gt;"")+('Dvd Calendar'!$S$775=SPECIAL_LBL)*(INC_SPECIALS="Y"))=0,"",'Dvd Calendar'!$S$773)))</f>
        <v/>
      </c>
      <c r="R81" s="110">
        <f>IF(ET81="","",IF(ISNUMBER('Dvd Calendar'!$T$773)=FALSE,"",IF((('Dvd Calendar'!$T$775=TYPE1)*(TYPE1&lt;&gt;"")+('Dvd Calendar'!$T$775=TYPE2)*(TYPE2&lt;&gt;"")+('Dvd Calendar'!$T$775=TYPE3)*(TYPE3&lt;&gt;"")+('Dvd Calendar'!$T$775=TYPE4)*(TYPE4&lt;&gt;"")+('Dvd Calendar'!$T$775=SPECIAL_LBL)*(INC_SPECIALS="Y"))=0,"",'Dvd Calendar'!$T$773)))</f>
        <v/>
      </c>
      <c r="S81" s="110">
        <f>IF(EU81="","",IF(ISNUMBER('Dvd Calendar'!$U$773)=FALSE,"",IF((('Dvd Calendar'!$U$775=TYPE1)*(TYPE1&lt;&gt;"")+('Dvd Calendar'!$U$775=TYPE2)*(TYPE2&lt;&gt;"")+('Dvd Calendar'!$U$775=TYPE3)*(TYPE3&lt;&gt;"")+('Dvd Calendar'!$U$775=TYPE4)*(TYPE4&lt;&gt;"")+('Dvd Calendar'!$U$775=SPECIAL_LBL)*(INC_SPECIALS="Y"))=0,"",'Dvd Calendar'!$U$773)))</f>
        <v/>
      </c>
      <c r="T81" s="110">
        <f>IF(EV81="","",IF(ISNUMBER('Dvd Calendar'!$V$773)=FALSE,"",IF((('Dvd Calendar'!$V$775=TYPE1)*(TYPE1&lt;&gt;"")+('Dvd Calendar'!$V$775=TYPE2)*(TYPE2&lt;&gt;"")+('Dvd Calendar'!$V$775=TYPE3)*(TYPE3&lt;&gt;"")+('Dvd Calendar'!$V$775=TYPE4)*(TYPE4&lt;&gt;"")+('Dvd Calendar'!$V$775=SPECIAL_LBL)*(INC_SPECIALS="Y"))=0,"",'Dvd Calendar'!$V$773)))</f>
        <v/>
      </c>
      <c r="U81" s="110">
        <f>IF(EW81="","",IF(ISNUMBER('Dvd Calendar'!$W$773)=FALSE,"",IF((('Dvd Calendar'!$W$775=TYPE1)*(TYPE1&lt;&gt;"")+('Dvd Calendar'!$W$775=TYPE2)*(TYPE2&lt;&gt;"")+('Dvd Calendar'!$W$775=TYPE3)*(TYPE3&lt;&gt;"")+('Dvd Calendar'!$W$775=TYPE4)*(TYPE4&lt;&gt;"")+('Dvd Calendar'!$W$775=SPECIAL_LBL)*(INC_SPECIALS="Y"))=0,"",'Dvd Calendar'!$W$773)))</f>
        <v/>
      </c>
      <c r="V81" s="110">
        <f>IF(EX81="","",IF(ISNUMBER('Dvd Calendar'!$X$773)=FALSE,"",IF((('Dvd Calendar'!$X$775=TYPE1)*(TYPE1&lt;&gt;"")+('Dvd Calendar'!$X$775=TYPE2)*(TYPE2&lt;&gt;"")+('Dvd Calendar'!$X$775=TYPE3)*(TYPE3&lt;&gt;"")+('Dvd Calendar'!$X$775=TYPE4)*(TYPE4&lt;&gt;"")+('Dvd Calendar'!$X$775=SPECIAL_LBL)*(INC_SPECIALS="Y"))=0,"",'Dvd Calendar'!$X$773)))</f>
        <v/>
      </c>
      <c r="W81" s="110">
        <f>IF(EY81="","",IF(ISNUMBER('Dvd Calendar'!$Y$773)=FALSE,"",IF((('Dvd Calendar'!$Y$775=TYPE1)*(TYPE1&lt;&gt;"")+('Dvd Calendar'!$Y$775=TYPE2)*(TYPE2&lt;&gt;"")+('Dvd Calendar'!$Y$775=TYPE3)*(TYPE3&lt;&gt;"")+('Dvd Calendar'!$Y$775=TYPE4)*(TYPE4&lt;&gt;"")+('Dvd Calendar'!$Y$775=SPECIAL_LBL)*(INC_SPECIALS="Y"))=0,"",'Dvd Calendar'!$Y$773)))</f>
        <v/>
      </c>
      <c r="X81" s="110">
        <f>IF(EZ81="","",IF(ISNUMBER('Dvd Calendar'!$Z$773)=FALSE,"",IF((('Dvd Calendar'!$Z$775=TYPE1)*(TYPE1&lt;&gt;"")+('Dvd Calendar'!$Z$775=TYPE2)*(TYPE2&lt;&gt;"")+('Dvd Calendar'!$Z$775=TYPE3)*(TYPE3&lt;&gt;"")+('Dvd Calendar'!$Z$775=TYPE4)*(TYPE4&lt;&gt;"")+('Dvd Calendar'!$Z$775=SPECIAL_LBL)*(INC_SPECIALS="Y"))=0,"",'Dvd Calendar'!$Z$773)))</f>
        <v/>
      </c>
      <c r="Y81" s="110">
        <f>IF(FA81="","",IF(ISNUMBER('Dvd Calendar'!$AA$773)=FALSE,"",IF((('Dvd Calendar'!$AA$775=TYPE1)*(TYPE1&lt;&gt;"")+('Dvd Calendar'!$AA$775=TYPE2)*(TYPE2&lt;&gt;"")+('Dvd Calendar'!$AA$775=TYPE3)*(TYPE3&lt;&gt;"")+('Dvd Calendar'!$AA$775=TYPE4)*(TYPE4&lt;&gt;"")+('Dvd Calendar'!$AA$775=SPECIAL_LBL)*(INC_SPECIALS="Y"))=0,"",'Dvd Calendar'!$AA$773)))</f>
        <v/>
      </c>
      <c r="Z81" s="110">
        <f>IF(FB81="","",IF(ISNUMBER('Dvd Calendar'!$AB$773)=FALSE,"",IF((('Dvd Calendar'!$AB$775=TYPE1)*(TYPE1&lt;&gt;"")+('Dvd Calendar'!$AB$775=TYPE2)*(TYPE2&lt;&gt;"")+('Dvd Calendar'!$AB$775=TYPE3)*(TYPE3&lt;&gt;"")+('Dvd Calendar'!$AB$775=TYPE4)*(TYPE4&lt;&gt;"")+('Dvd Calendar'!$AB$775=SPECIAL_LBL)*(INC_SPECIALS="Y"))=0,"",'Dvd Calendar'!$AB$773)))</f>
        <v/>
      </c>
      <c r="AA81" s="110">
        <f>IF(FC81="","",IF(ISNUMBER('Dvd Calendar'!$AC$773)=FALSE,"",IF((('Dvd Calendar'!$AC$775=TYPE1)*(TYPE1&lt;&gt;"")+('Dvd Calendar'!$AC$775=TYPE2)*(TYPE2&lt;&gt;"")+('Dvd Calendar'!$AC$775=TYPE3)*(TYPE3&lt;&gt;"")+('Dvd Calendar'!$AC$775=TYPE4)*(TYPE4&lt;&gt;"")+('Dvd Calendar'!$AC$775=SPECIAL_LBL)*(INC_SPECIALS="Y"))=0,"",'Dvd Calendar'!$AC$773)))</f>
        <v/>
      </c>
      <c r="AB81" s="110">
        <f>IF(FD81="","",IF(ISNUMBER('Dvd Calendar'!$AD$773)=FALSE,"",IF((('Dvd Calendar'!$AD$775=TYPE1)*(TYPE1&lt;&gt;"")+('Dvd Calendar'!$AD$775=TYPE2)*(TYPE2&lt;&gt;"")+('Dvd Calendar'!$AD$775=TYPE3)*(TYPE3&lt;&gt;"")+('Dvd Calendar'!$AD$775=TYPE4)*(TYPE4&lt;&gt;"")+('Dvd Calendar'!$AD$775=SPECIAL_LBL)*(INC_SPECIALS="Y"))=0,"",'Dvd Calendar'!$AD$773)))</f>
        <v/>
      </c>
      <c r="AC81" s="110">
        <f>IF(FE81="","",IF(ISNUMBER('Dvd Calendar'!$AE$773)=FALSE,"",IF((('Dvd Calendar'!$AE$775=TYPE1)*(TYPE1&lt;&gt;"")+('Dvd Calendar'!$AE$775=TYPE2)*(TYPE2&lt;&gt;"")+('Dvd Calendar'!$AE$775=TYPE3)*(TYPE3&lt;&gt;"")+('Dvd Calendar'!$AE$775=TYPE4)*(TYPE4&lt;&gt;"")+('Dvd Calendar'!$AE$775=SPECIAL_LBL)*(INC_SPECIALS="Y"))=0,"",'Dvd Calendar'!$AE$773)))</f>
        <v/>
      </c>
      <c r="AD81" s="110">
        <f>IF(FF81="","",IF(ISNUMBER('Dvd Calendar'!$AF$773)=FALSE,"",IF((('Dvd Calendar'!$AF$775=TYPE1)*(TYPE1&lt;&gt;"")+('Dvd Calendar'!$AF$775=TYPE2)*(TYPE2&lt;&gt;"")+('Dvd Calendar'!$AF$775=TYPE3)*(TYPE3&lt;&gt;"")+('Dvd Calendar'!$AF$775=TYPE4)*(TYPE4&lt;&gt;"")+('Dvd Calendar'!$AF$775=SPECIAL_LBL)*(INC_SPECIALS="Y"))=0,"",'Dvd Calendar'!$AF$773)))</f>
        <v/>
      </c>
      <c r="AE81" s="110">
        <f>IF(FG81="","",IF(ISNUMBER('Dvd Calendar'!$AG$773)=FALSE,"",IF((('Dvd Calendar'!$AG$775=TYPE1)*(TYPE1&lt;&gt;"")+('Dvd Calendar'!$AG$775=TYPE2)*(TYPE2&lt;&gt;"")+('Dvd Calendar'!$AG$775=TYPE3)*(TYPE3&lt;&gt;"")+('Dvd Calendar'!$AG$775=TYPE4)*(TYPE4&lt;&gt;"")+('Dvd Calendar'!$AG$775=SPECIAL_LBL)*(INC_SPECIALS="Y"))=0,"",'Dvd Calendar'!$AG$773)))</f>
        <v/>
      </c>
      <c r="AF81" s="110">
        <f>IF(FH81="","",IF(ISNUMBER('Dvd Calendar'!$AH$773)=FALSE,"",IF((('Dvd Calendar'!$AH$775=TYPE1)*(TYPE1&lt;&gt;"")+('Dvd Calendar'!$AH$775=TYPE2)*(TYPE2&lt;&gt;"")+('Dvd Calendar'!$AH$775=TYPE3)*(TYPE3&lt;&gt;"")+('Dvd Calendar'!$AH$775=TYPE4)*(TYPE4&lt;&gt;"")+('Dvd Calendar'!$AH$775=SPECIAL_LBL)*(INC_SPECIALS="Y"))=0,"",'Dvd Calendar'!$AH$773)))</f>
        <v/>
      </c>
      <c r="AG81" s="110">
        <f>IF(FI81="","",IF(ISNUMBER('Dvd Calendar'!$AI$773)=FALSE,"",IF((('Dvd Calendar'!$AI$775=TYPE1)*(TYPE1&lt;&gt;"")+('Dvd Calendar'!$AI$775=TYPE2)*(TYPE2&lt;&gt;"")+('Dvd Calendar'!$AI$775=TYPE3)*(TYPE3&lt;&gt;"")+('Dvd Calendar'!$AI$775=TYPE4)*(TYPE4&lt;&gt;"")+('Dvd Calendar'!$AI$775=SPECIAL_LBL)*(INC_SPECIALS="Y"))=0,"",'Dvd Calendar'!$AI$773)))</f>
        <v/>
      </c>
      <c r="AH81" s="110">
        <f>IF(FJ81="","",IF(ISNUMBER('Dvd Calendar'!$AJ$773)=FALSE,"",IF((('Dvd Calendar'!$AJ$775=TYPE1)*(TYPE1&lt;&gt;"")+('Dvd Calendar'!$AJ$775=TYPE2)*(TYPE2&lt;&gt;"")+('Dvd Calendar'!$AJ$775=TYPE3)*(TYPE3&lt;&gt;"")+('Dvd Calendar'!$AJ$775=TYPE4)*(TYPE4&lt;&gt;"")+('Dvd Calendar'!$AJ$775=SPECIAL_LBL)*(INC_SPECIALS="Y"))=0,"",'Dvd Calendar'!$AJ$773)))</f>
        <v/>
      </c>
      <c r="AI81" s="110">
        <f>IF(FK81="","",IF(ISNUMBER('Dvd Calendar'!$AK$773)=FALSE,"",IF((('Dvd Calendar'!$AK$775=TYPE1)*(TYPE1&lt;&gt;"")+('Dvd Calendar'!$AK$775=TYPE2)*(TYPE2&lt;&gt;"")+('Dvd Calendar'!$AK$775=TYPE3)*(TYPE3&lt;&gt;"")+('Dvd Calendar'!$AK$775=TYPE4)*(TYPE4&lt;&gt;"")+('Dvd Calendar'!$AK$775=SPECIAL_LBL)*(INC_SPECIALS="Y"))=0,"",'Dvd Calendar'!$AK$773)))</f>
        <v/>
      </c>
      <c r="AJ81" s="110">
        <f>IF(FL81="","",IF(ISNUMBER('Dvd Calendar'!$AL$773)=FALSE,"",IF((('Dvd Calendar'!$AL$775=TYPE1)*(TYPE1&lt;&gt;"")+('Dvd Calendar'!$AL$775=TYPE2)*(TYPE2&lt;&gt;"")+('Dvd Calendar'!$AL$775=TYPE3)*(TYPE3&lt;&gt;"")+('Dvd Calendar'!$AL$775=TYPE4)*(TYPE4&lt;&gt;"")+('Dvd Calendar'!$AL$775=SPECIAL_LBL)*(INC_SPECIALS="Y"))=0,"",'Dvd Calendar'!$AL$773)))</f>
        <v/>
      </c>
      <c r="AK81" s="110">
        <f>IF(FM81="","",IF(ISNUMBER('Dvd Calendar'!$AM$773)=FALSE,"",IF((('Dvd Calendar'!$AM$775=TYPE1)*(TYPE1&lt;&gt;"")+('Dvd Calendar'!$AM$775=TYPE2)*(TYPE2&lt;&gt;"")+('Dvd Calendar'!$AM$775=TYPE3)*(TYPE3&lt;&gt;"")+('Dvd Calendar'!$AM$775=TYPE4)*(TYPE4&lt;&gt;"")+('Dvd Calendar'!$AM$775=SPECIAL_LBL)*(INC_SPECIALS="Y"))=0,"",'Dvd Calendar'!$AM$773)))</f>
        <v/>
      </c>
      <c r="AL81" s="110">
        <f>IF(FN81="","",IF(ISNUMBER('Dvd Calendar'!$AN$773)=FALSE,"",IF((('Dvd Calendar'!$AN$775=TYPE1)*(TYPE1&lt;&gt;"")+('Dvd Calendar'!$AN$775=TYPE2)*(TYPE2&lt;&gt;"")+('Dvd Calendar'!$AN$775=TYPE3)*(TYPE3&lt;&gt;"")+('Dvd Calendar'!$AN$775=TYPE4)*(TYPE4&lt;&gt;"")+('Dvd Calendar'!$AN$775=SPECIAL_LBL)*(INC_SPECIALS="Y"))=0,"",'Dvd Calendar'!$AN$773)))</f>
        <v/>
      </c>
      <c r="AM81" s="110">
        <f>IF(FO81="","",IF(ISNUMBER('Dvd Calendar'!$AO$773)=FALSE,"",IF((('Dvd Calendar'!$AO$775=TYPE1)*(TYPE1&lt;&gt;"")+('Dvd Calendar'!$AO$775=TYPE2)*(TYPE2&lt;&gt;"")+('Dvd Calendar'!$AO$775=TYPE3)*(TYPE3&lt;&gt;"")+('Dvd Calendar'!$AO$775=TYPE4)*(TYPE4&lt;&gt;"")+('Dvd Calendar'!$AO$775=SPECIAL_LBL)*(INC_SPECIALS="Y"))=0,"",'Dvd Calendar'!$AO$773)))</f>
        <v/>
      </c>
      <c r="AN81" s="110">
        <f>IF(FP81="","",IF(ISNUMBER('Dvd Calendar'!$AP$773)=FALSE,"",IF((('Dvd Calendar'!$AP$775=TYPE1)*(TYPE1&lt;&gt;"")+('Dvd Calendar'!$AP$775=TYPE2)*(TYPE2&lt;&gt;"")+('Dvd Calendar'!$AP$775=TYPE3)*(TYPE3&lt;&gt;"")+('Dvd Calendar'!$AP$775=TYPE4)*(TYPE4&lt;&gt;"")+('Dvd Calendar'!$AP$775=SPECIAL_LBL)*(INC_SPECIALS="Y"))=0,"",'Dvd Calendar'!$AP$773)))</f>
        <v/>
      </c>
      <c r="AO81" s="110">
        <f>IF(FQ81="","",IF(ISNUMBER('Dvd Calendar'!$AQ$773)=FALSE,"",IF((('Dvd Calendar'!$AQ$775=TYPE1)*(TYPE1&lt;&gt;"")+('Dvd Calendar'!$AQ$775=TYPE2)*(TYPE2&lt;&gt;"")+('Dvd Calendar'!$AQ$775=TYPE3)*(TYPE3&lt;&gt;"")+('Dvd Calendar'!$AQ$775=TYPE4)*(TYPE4&lt;&gt;"")+('Dvd Calendar'!$AQ$775=SPECIAL_LBL)*(INC_SPECIALS="Y"))=0,"",'Dvd Calendar'!$AQ$773)))</f>
        <v/>
      </c>
      <c r="AP81" s="110">
        <f>IF(FR81="","",IF(ISNUMBER('Dvd Calendar'!$AR$773)=FALSE,"",IF((('Dvd Calendar'!$AR$775=TYPE1)*(TYPE1&lt;&gt;"")+('Dvd Calendar'!$AR$775=TYPE2)*(TYPE2&lt;&gt;"")+('Dvd Calendar'!$AR$775=TYPE3)*(TYPE3&lt;&gt;"")+('Dvd Calendar'!$AR$775=TYPE4)*(TYPE4&lt;&gt;"")+('Dvd Calendar'!$AR$775=SPECIAL_LBL)*(INC_SPECIALS="Y"))=0,"",'Dvd Calendar'!$AR$773)))</f>
        <v/>
      </c>
      <c r="AQ81" s="110">
        <f>IF(FS81="","",IF(ISNUMBER('Dvd Calendar'!$E$778)=FALSE,"",'Dvd Calendar'!$E$778))</f>
        <v/>
      </c>
      <c r="AR81" s="110">
        <f>IF(FT81="","",IF(ISNUMBER('Dvd Calendar'!$F$778)=FALSE,"",'Dvd Calendar'!$F$778))</f>
        <v/>
      </c>
      <c r="AS81" s="110">
        <f>IF(FU81="","",IF(ISNUMBER('Dvd Calendar'!$G$778)=FALSE,"",'Dvd Calendar'!$G$778))</f>
        <v/>
      </c>
      <c r="AT81" s="110">
        <f>IF(FV81="","",IF(ISNUMBER('Dvd Calendar'!$H$778)=FALSE,"",'Dvd Calendar'!$H$778))</f>
        <v/>
      </c>
      <c r="AU81" s="110">
        <f>IF(FW81="","",IF(ISNUMBER('Dvd Calendar'!$I$778)=FALSE,"",'Dvd Calendar'!$I$778))</f>
        <v/>
      </c>
      <c r="AV81" s="110">
        <f>IF(FX81="","",IF(ISNUMBER('Dvd Calendar'!$J$778)=FALSE,"",'Dvd Calendar'!$J$778))</f>
        <v/>
      </c>
      <c r="AW81" s="110">
        <f>IF(FY81="","",IF(ISNUMBER('Dvd Calendar'!$K$778)=FALSE,"",'Dvd Calendar'!$K$778))</f>
        <v/>
      </c>
      <c r="AX81" s="110">
        <f>IF(FZ81="","",IF(ISNUMBER('Dvd Calendar'!$L$778)=FALSE,"",'Dvd Calendar'!$L$778))</f>
        <v/>
      </c>
      <c r="AY81" s="110">
        <f>IF(GA81="","",IF(ISNUMBER('Dvd Calendar'!$M$778)=FALSE,"",'Dvd Calendar'!$M$778))</f>
        <v/>
      </c>
      <c r="AZ81" s="110">
        <f>IF(GB81="","",IF(ISNUMBER('Dvd Calendar'!$N$778)=FALSE,"",'Dvd Calendar'!$N$778))</f>
        <v/>
      </c>
      <c r="BA81" s="110">
        <f>IF(GC81="","",IF(ISNUMBER('Dvd Calendar'!$O$778)=FALSE,"",'Dvd Calendar'!$O$778))</f>
        <v/>
      </c>
      <c r="BB81" s="110">
        <f>IF(GD81="","",IF(ISNUMBER('Dvd Calendar'!$P$778)=FALSE,"",'Dvd Calendar'!$P$778))</f>
        <v/>
      </c>
      <c r="BC81" s="110">
        <f>IF(GE81="","",IF(ISNUMBER('Dvd Calendar'!$Q$778)=FALSE,"",'Dvd Calendar'!$Q$778))</f>
        <v/>
      </c>
      <c r="BD81" s="110">
        <f>IF(GF81="","",IF(ISNUMBER('Dvd Calendar'!$R$778)=FALSE,"",'Dvd Calendar'!$R$778))</f>
        <v/>
      </c>
      <c r="BE81" s="110">
        <f>IF(GG81="","",IF(ISNUMBER('Dvd Calendar'!$S$778)=FALSE,"",'Dvd Calendar'!$S$778))</f>
        <v/>
      </c>
      <c r="BF81" s="110">
        <f>IF(GH81="","",IF(ISNUMBER('Dvd Calendar'!$T$778)=FALSE,"",'Dvd Calendar'!$T$778))</f>
        <v/>
      </c>
      <c r="BG81" s="110">
        <f>IF(GI81="","",IF(ISNUMBER('Dvd Calendar'!$U$778)=FALSE,"",'Dvd Calendar'!$U$778))</f>
        <v/>
      </c>
      <c r="BH81" s="110">
        <f>IF(GJ81="","",IF(ISNUMBER('Dvd Calendar'!$V$778)=FALSE,"",'Dvd Calendar'!$V$778))</f>
        <v/>
      </c>
      <c r="BI81" s="110">
        <f>IF(GK81="","",IF(ISNUMBER('Dvd Calendar'!$W$778)=FALSE,"",'Dvd Calendar'!$W$778))</f>
        <v/>
      </c>
      <c r="BJ81" s="110">
        <f>IF(GL81="","",IF(ISNUMBER('Dvd Calendar'!$X$778)=FALSE,"",'Dvd Calendar'!$X$778))</f>
        <v/>
      </c>
      <c r="BK81" s="110">
        <f>IF(GM81="","",IF(ISNUMBER('Dvd Calendar'!$Y$778)=FALSE,"",'Dvd Calendar'!$Y$778))</f>
        <v/>
      </c>
      <c r="BL81" s="110">
        <f>IF(GN81="","",IF(ISNUMBER('Dvd Calendar'!$Z$778)=FALSE,"",'Dvd Calendar'!$Z$778))</f>
        <v/>
      </c>
      <c r="BM81" s="110">
        <f>IF(GO81="","",IF(ISNUMBER('Dvd Calendar'!$AA$778)=FALSE,"",'Dvd Calendar'!$AA$778))</f>
        <v/>
      </c>
      <c r="BN81" s="110">
        <f>IF(GP81="","",IF(ISNUMBER('Dvd Calendar'!$AB$778)=FALSE,"",'Dvd Calendar'!$AB$778))</f>
        <v/>
      </c>
      <c r="BO81" s="110">
        <f>IF(GQ81="","",IF(ISNUMBER('Dvd Calendar'!$AC$778)=FALSE,"",'Dvd Calendar'!$AC$778))</f>
        <v/>
      </c>
      <c r="BQ81" s="110">
        <f>IF(C81="","",IFERROR(C81*HSI!$B$76*HSI!$G$76/HSI!$B$3,""))</f>
        <v/>
      </c>
      <c r="BR81" s="110">
        <f>IF(D81="","",IFERROR(D81*HSI!$B$76*HSI!$G$76/HSI!$B$3,""))</f>
        <v/>
      </c>
      <c r="BS81" s="110">
        <f>IF(E81="","",IFERROR(E81*HSI!$B$76*HSI!$G$76/HSI!$B$3,""))</f>
        <v/>
      </c>
      <c r="BT81" s="110">
        <f>IF(F81="","",IFERROR(F81*HSI!$B$76*HSI!$G$76/HSI!$B$3,""))</f>
        <v/>
      </c>
      <c r="BU81" s="110">
        <f>IF(G81="","",IFERROR(G81*HSI!$B$76*HSI!$G$76/HSI!$B$3,""))</f>
        <v/>
      </c>
      <c r="BV81" s="110">
        <f>IF(H81="","",IFERROR(H81*HSI!$B$76*HSI!$G$76/HSI!$B$3,""))</f>
        <v/>
      </c>
      <c r="BW81" s="110">
        <f>IF(I81="","",IFERROR(I81*HSI!$B$76*HSI!$G$76/HSI!$B$3,""))</f>
        <v/>
      </c>
      <c r="BX81" s="110">
        <f>IF(J81="","",IFERROR(J81*HSI!$B$76*HSI!$G$76/HSI!$B$3,""))</f>
        <v/>
      </c>
      <c r="BY81" s="110">
        <f>IF(K81="","",IFERROR(K81*HSI!$B$76*HSI!$G$76/HSI!$B$3,""))</f>
        <v/>
      </c>
      <c r="BZ81" s="110">
        <f>IF(L81="","",IFERROR(L81*HSI!$B$76*HSI!$G$76/HSI!$B$3,""))</f>
        <v/>
      </c>
      <c r="CA81" s="110">
        <f>IF(M81="","",IFERROR(M81*HSI!$B$76*HSI!$G$76/HSI!$B$3,""))</f>
        <v/>
      </c>
      <c r="CB81" s="110">
        <f>IF(N81="","",IFERROR(N81*HSI!$B$76*HSI!$G$76/HSI!$B$3,""))</f>
        <v/>
      </c>
      <c r="CC81" s="110">
        <f>IF(O81="","",IFERROR(O81*HSI!$B$76*HSI!$G$76/HSI!$B$3,""))</f>
        <v/>
      </c>
      <c r="CD81" s="110">
        <f>IF(P81="","",IFERROR(P81*HSI!$B$76*HSI!$G$76/HSI!$B$3,""))</f>
        <v/>
      </c>
      <c r="CE81" s="110">
        <f>IF(Q81="","",IFERROR(Q81*HSI!$B$76*HSI!$G$76/HSI!$B$3,""))</f>
        <v/>
      </c>
      <c r="CF81" s="110">
        <f>IF(R81="","",IFERROR(R81*HSI!$B$76*HSI!$G$76/HSI!$B$3,""))</f>
        <v/>
      </c>
      <c r="CG81" s="110">
        <f>IF(S81="","",IFERROR(S81*HSI!$B$76*HSI!$G$76/HSI!$B$3,""))</f>
        <v/>
      </c>
      <c r="CH81" s="110">
        <f>IF(T81="","",IFERROR(T81*HSI!$B$76*HSI!$G$76/HSI!$B$3,""))</f>
        <v/>
      </c>
      <c r="CI81" s="110">
        <f>IF(U81="","",IFERROR(U81*HSI!$B$76*HSI!$G$76/HSI!$B$3,""))</f>
        <v/>
      </c>
      <c r="CJ81" s="110">
        <f>IF(V81="","",IFERROR(V81*HSI!$B$76*HSI!$G$76/HSI!$B$3,""))</f>
        <v/>
      </c>
      <c r="CK81" s="110">
        <f>IF(W81="","",IFERROR(W81*HSI!$B$76*HSI!$G$76/HSI!$B$3,""))</f>
        <v/>
      </c>
      <c r="CL81" s="110">
        <f>IF(X81="","",IFERROR(X81*HSI!$B$76*HSI!$G$76/HSI!$B$3,""))</f>
        <v/>
      </c>
      <c r="CM81" s="110">
        <f>IF(Y81="","",IFERROR(Y81*HSI!$B$76*HSI!$G$76/HSI!$B$3,""))</f>
        <v/>
      </c>
      <c r="CN81" s="110">
        <f>IF(Z81="","",IFERROR(Z81*HSI!$B$76*HSI!$G$76/HSI!$B$3,""))</f>
        <v/>
      </c>
      <c r="CO81" s="110">
        <f>IF(AA81="","",IFERROR(AA81*HSI!$B$76*HSI!$G$76/HSI!$B$3,""))</f>
        <v/>
      </c>
      <c r="CP81" s="110">
        <f>IF(AB81="","",IFERROR(AB81*HSI!$B$76*HSI!$G$76/HSI!$B$3,""))</f>
        <v/>
      </c>
      <c r="CQ81" s="110">
        <f>IF(AC81="","",IFERROR(AC81*HSI!$B$76*HSI!$G$76/HSI!$B$3,""))</f>
        <v/>
      </c>
      <c r="CR81" s="110">
        <f>IF(AD81="","",IFERROR(AD81*HSI!$B$76*HSI!$G$76/HSI!$B$3,""))</f>
        <v/>
      </c>
      <c r="CS81" s="110">
        <f>IF(AE81="","",IFERROR(AE81*HSI!$B$76*HSI!$G$76/HSI!$B$3,""))</f>
        <v/>
      </c>
      <c r="CT81" s="110">
        <f>IF(AF81="","",IFERROR(AF81*HSI!$B$76*HSI!$G$76/HSI!$B$3,""))</f>
        <v/>
      </c>
      <c r="CU81" s="110">
        <f>IF(AG81="","",IFERROR(AG81*HSI!$B$76*HSI!$G$76/HSI!$B$3,""))</f>
        <v/>
      </c>
      <c r="CV81" s="110">
        <f>IF(AH81="","",IFERROR(AH81*HSI!$B$76*HSI!$G$76/HSI!$B$3,""))</f>
        <v/>
      </c>
      <c r="CW81" s="110">
        <f>IF(AI81="","",IFERROR(AI81*HSI!$B$76*HSI!$G$76/HSI!$B$3,""))</f>
        <v/>
      </c>
      <c r="CX81" s="110">
        <f>IF(AJ81="","",IFERROR(AJ81*HSI!$B$76*HSI!$G$76/HSI!$B$3,""))</f>
        <v/>
      </c>
      <c r="CY81" s="110">
        <f>IF(AK81="","",IFERROR(AK81*HSI!$B$76*HSI!$G$76/HSI!$B$3,""))</f>
        <v/>
      </c>
      <c r="CZ81" s="110">
        <f>IF(AL81="","",IFERROR(AL81*HSI!$B$76*HSI!$G$76/HSI!$B$3,""))</f>
        <v/>
      </c>
      <c r="DA81" s="110">
        <f>IF(AM81="","",IFERROR(AM81*HSI!$B$76*HSI!$G$76/HSI!$B$3,""))</f>
        <v/>
      </c>
      <c r="DB81" s="110">
        <f>IF(AN81="","",IFERROR(AN81*HSI!$B$76*HSI!$G$76/HSI!$B$3,""))</f>
        <v/>
      </c>
      <c r="DC81" s="110">
        <f>IF(AO81="","",IFERROR(AO81*HSI!$B$76*HSI!$G$76/HSI!$B$3,""))</f>
        <v/>
      </c>
      <c r="DD81" s="110">
        <f>IF(AP81="","",IFERROR(AP81*HSI!$B$76*HSI!$G$76/HSI!$B$3,""))</f>
        <v/>
      </c>
      <c r="DE81" s="110">
        <f>IF(AQ81="","",IFERROR(AQ81*HSI!$B$76*HSI!$G$76/HSI!$B$3,""))</f>
        <v/>
      </c>
      <c r="DF81" s="110">
        <f>IF(AR81="","",IFERROR(AR81*HSI!$B$76*HSI!$G$76/HSI!$B$3,""))</f>
        <v/>
      </c>
      <c r="DG81" s="110">
        <f>IF(AS81="","",IFERROR(AS81*HSI!$B$76*HSI!$G$76/HSI!$B$3,""))</f>
        <v/>
      </c>
      <c r="DH81" s="110">
        <f>IF(AT81="","",IFERROR(AT81*HSI!$B$76*HSI!$G$76/HSI!$B$3,""))</f>
        <v/>
      </c>
      <c r="DI81" s="110">
        <f>IF(AU81="","",IFERROR(AU81*HSI!$B$76*HSI!$G$76/HSI!$B$3,""))</f>
        <v/>
      </c>
      <c r="DJ81" s="110">
        <f>IF(AV81="","",IFERROR(AV81*HSI!$B$76*HSI!$G$76/HSI!$B$3,""))</f>
        <v/>
      </c>
      <c r="DK81" s="110">
        <f>IF(AW81="","",IFERROR(AW81*HSI!$B$76*HSI!$G$76/HSI!$B$3,""))</f>
        <v/>
      </c>
      <c r="DL81" s="110">
        <f>IF(AX81="","",IFERROR(AX81*HSI!$B$76*HSI!$G$76/HSI!$B$3,""))</f>
        <v/>
      </c>
      <c r="DM81" s="110">
        <f>IF(AY81="","",IFERROR(AY81*HSI!$B$76*HSI!$G$76/HSI!$B$3,""))</f>
        <v/>
      </c>
      <c r="DN81" s="110">
        <f>IF(AZ81="","",IFERROR(AZ81*HSI!$B$76*HSI!$G$76/HSI!$B$3,""))</f>
        <v/>
      </c>
      <c r="DO81" s="110">
        <f>IF(BA81="","",IFERROR(BA81*HSI!$B$76*HSI!$G$76/HSI!$B$3,""))</f>
        <v/>
      </c>
      <c r="DP81" s="110">
        <f>IF(BB81="","",IFERROR(BB81*HSI!$B$76*HSI!$G$76/HSI!$B$3,""))</f>
        <v/>
      </c>
      <c r="DQ81" s="110">
        <f>IF(BC81="","",IFERROR(BC81*HSI!$B$76*HSI!$G$76/HSI!$B$3,""))</f>
        <v/>
      </c>
      <c r="DR81" s="110">
        <f>IF(BD81="","",IFERROR(BD81*HSI!$B$76*HSI!$G$76/HSI!$B$3,""))</f>
        <v/>
      </c>
      <c r="DS81" s="110">
        <f>IF(BE81="","",IFERROR(BE81*HSI!$B$76*HSI!$G$76/HSI!$B$3,""))</f>
        <v/>
      </c>
      <c r="DT81" s="110">
        <f>IF(BF81="","",IFERROR(BF81*HSI!$B$76*HSI!$G$76/HSI!$B$3,""))</f>
        <v/>
      </c>
      <c r="DU81" s="110">
        <f>IF(BG81="","",IFERROR(BG81*HSI!$B$76*HSI!$G$76/HSI!$B$3,""))</f>
        <v/>
      </c>
      <c r="DV81" s="110">
        <f>IF(BH81="","",IFERROR(BH81*HSI!$B$76*HSI!$G$76/HSI!$B$3,""))</f>
        <v/>
      </c>
      <c r="DW81" s="110">
        <f>IF(BI81="","",IFERROR(BI81*HSI!$B$76*HSI!$G$76/HSI!$B$3,""))</f>
        <v/>
      </c>
      <c r="DX81" s="110">
        <f>IF(BJ81="","",IFERROR(BJ81*HSI!$B$76*HSI!$G$76/HSI!$B$3,""))</f>
        <v/>
      </c>
      <c r="DY81" s="110">
        <f>IF(BK81="","",IFERROR(BK81*HSI!$B$76*HSI!$G$76/HSI!$B$3,""))</f>
        <v/>
      </c>
      <c r="DZ81" s="110">
        <f>IF(BL81="","",IFERROR(BL81*HSI!$B$76*HSI!$G$76/HSI!$B$3,""))</f>
        <v/>
      </c>
      <c r="EA81" s="110">
        <f>IF(BM81="","",IFERROR(BM81*HSI!$B$76*HSI!$G$76/HSI!$B$3,""))</f>
        <v/>
      </c>
      <c r="EB81" s="110">
        <f>IF(BN81="","",IFERROR(BN81*HSI!$B$76*HSI!$G$76/HSI!$B$3,""))</f>
        <v/>
      </c>
      <c r="EC81" s="110">
        <f>IF(BO81="","",IFERROR(BO81*HSI!$B$76*HSI!$G$76/HSI!$B$3,""))</f>
        <v/>
      </c>
      <c r="EE81" s="39">
        <f>IF(N('Dvd Calendar'!$E$770)=0,"",IF(('Dvd Calendar'!$E$770&gt;=GRID_FROM)*('Dvd Calendar'!$E$770&lt;=GRID_TO)*((('Dvd Calendar'!$E$770&lt;=VAL_DATE)+(COUNTIF('Dvd Calendar'!$E$777:$AR$777,'Dvd Calendar'!$E$770)=0))&gt;0)=0,"",'Dvd Calendar'!$E$770*1000000000+ISNUMBER('Dvd Calendar'!$E$773)*100000000+('Dvd Calendar'!$E$775=SPECIAL_LBL)*10000000+(N('Dvd Calendar'!$E$769)&gt;0)*(N('Dvd Calendar'!$E$769)&lt;=VAL_SERIAL)*1000000+70*1000+1))</f>
        <v/>
      </c>
      <c r="EF81" s="39">
        <f>IF(N('Dvd Calendar'!$F$770)=0,"",IF(('Dvd Calendar'!$F$770&gt;=GRID_FROM)*('Dvd Calendar'!$F$770&lt;=GRID_TO)*((('Dvd Calendar'!$F$770&lt;=VAL_DATE)+(COUNTIF('Dvd Calendar'!$E$777:$AR$777,'Dvd Calendar'!$F$770)=0))&gt;0)=0,"",'Dvd Calendar'!$F$770*1000000000+ISNUMBER('Dvd Calendar'!$F$773)*100000000+('Dvd Calendar'!$F$775=SPECIAL_LBL)*10000000+(N('Dvd Calendar'!$F$769)&gt;0)*(N('Dvd Calendar'!$F$769)&lt;=VAL_SERIAL)*1000000+70*1000+2))</f>
        <v/>
      </c>
      <c r="EG81" s="39">
        <f>IF(N('Dvd Calendar'!$G$770)=0,"",IF(('Dvd Calendar'!$G$770&gt;=GRID_FROM)*('Dvd Calendar'!$G$770&lt;=GRID_TO)*((('Dvd Calendar'!$G$770&lt;=VAL_DATE)+(COUNTIF('Dvd Calendar'!$E$777:$AR$777,'Dvd Calendar'!$G$770)=0))&gt;0)=0,"",'Dvd Calendar'!$G$770*1000000000+ISNUMBER('Dvd Calendar'!$G$773)*100000000+('Dvd Calendar'!$G$775=SPECIAL_LBL)*10000000+(N('Dvd Calendar'!$G$769)&gt;0)*(N('Dvd Calendar'!$G$769)&lt;=VAL_SERIAL)*1000000+70*1000+3))</f>
        <v/>
      </c>
      <c r="EH81" s="39">
        <f>IF(N('Dvd Calendar'!$H$770)=0,"",IF(('Dvd Calendar'!$H$770&gt;=GRID_FROM)*('Dvd Calendar'!$H$770&lt;=GRID_TO)*((('Dvd Calendar'!$H$770&lt;=VAL_DATE)+(COUNTIF('Dvd Calendar'!$E$777:$AR$777,'Dvd Calendar'!$H$770)=0))&gt;0)=0,"",'Dvd Calendar'!$H$770*1000000000+ISNUMBER('Dvd Calendar'!$H$773)*100000000+('Dvd Calendar'!$H$775=SPECIAL_LBL)*10000000+(N('Dvd Calendar'!$H$769)&gt;0)*(N('Dvd Calendar'!$H$769)&lt;=VAL_SERIAL)*1000000+70*1000+4))</f>
        <v/>
      </c>
      <c r="EI81" s="39">
        <f>IF(N('Dvd Calendar'!$I$770)=0,"",IF(('Dvd Calendar'!$I$770&gt;=GRID_FROM)*('Dvd Calendar'!$I$770&lt;=GRID_TO)*((('Dvd Calendar'!$I$770&lt;=VAL_DATE)+(COUNTIF('Dvd Calendar'!$E$777:$AR$777,'Dvd Calendar'!$I$770)=0))&gt;0)=0,"",'Dvd Calendar'!$I$770*1000000000+ISNUMBER('Dvd Calendar'!$I$773)*100000000+('Dvd Calendar'!$I$775=SPECIAL_LBL)*10000000+(N('Dvd Calendar'!$I$769)&gt;0)*(N('Dvd Calendar'!$I$769)&lt;=VAL_SERIAL)*1000000+70*1000+5))</f>
        <v/>
      </c>
      <c r="EJ81" s="39">
        <f>IF(N('Dvd Calendar'!$J$770)=0,"",IF(('Dvd Calendar'!$J$770&gt;=GRID_FROM)*('Dvd Calendar'!$J$770&lt;=GRID_TO)*((('Dvd Calendar'!$J$770&lt;=VAL_DATE)+(COUNTIF('Dvd Calendar'!$E$777:$AR$777,'Dvd Calendar'!$J$770)=0))&gt;0)=0,"",'Dvd Calendar'!$J$770*1000000000+ISNUMBER('Dvd Calendar'!$J$773)*100000000+('Dvd Calendar'!$J$775=SPECIAL_LBL)*10000000+(N('Dvd Calendar'!$J$769)&gt;0)*(N('Dvd Calendar'!$J$769)&lt;=VAL_SERIAL)*1000000+70*1000+6))</f>
        <v/>
      </c>
      <c r="EK81" s="39">
        <f>IF(N('Dvd Calendar'!$K$770)=0,"",IF(('Dvd Calendar'!$K$770&gt;=GRID_FROM)*('Dvd Calendar'!$K$770&lt;=GRID_TO)*((('Dvd Calendar'!$K$770&lt;=VAL_DATE)+(COUNTIF('Dvd Calendar'!$E$777:$AR$777,'Dvd Calendar'!$K$770)=0))&gt;0)=0,"",'Dvd Calendar'!$K$770*1000000000+ISNUMBER('Dvd Calendar'!$K$773)*100000000+('Dvd Calendar'!$K$775=SPECIAL_LBL)*10000000+(N('Dvd Calendar'!$K$769)&gt;0)*(N('Dvd Calendar'!$K$769)&lt;=VAL_SERIAL)*1000000+70*1000+7))</f>
        <v/>
      </c>
      <c r="EL81" s="39">
        <f>IF(N('Dvd Calendar'!$L$770)=0,"",IF(('Dvd Calendar'!$L$770&gt;=GRID_FROM)*('Dvd Calendar'!$L$770&lt;=GRID_TO)*((('Dvd Calendar'!$L$770&lt;=VAL_DATE)+(COUNTIF('Dvd Calendar'!$E$777:$AR$777,'Dvd Calendar'!$L$770)=0))&gt;0)=0,"",'Dvd Calendar'!$L$770*1000000000+ISNUMBER('Dvd Calendar'!$L$773)*100000000+('Dvd Calendar'!$L$775=SPECIAL_LBL)*10000000+(N('Dvd Calendar'!$L$769)&gt;0)*(N('Dvd Calendar'!$L$769)&lt;=VAL_SERIAL)*1000000+70*1000+8))</f>
        <v/>
      </c>
      <c r="EM81" s="39">
        <f>IF(N('Dvd Calendar'!$M$770)=0,"",IF(('Dvd Calendar'!$M$770&gt;=GRID_FROM)*('Dvd Calendar'!$M$770&lt;=GRID_TO)*((('Dvd Calendar'!$M$770&lt;=VAL_DATE)+(COUNTIF('Dvd Calendar'!$E$777:$AR$777,'Dvd Calendar'!$M$770)=0))&gt;0)=0,"",'Dvd Calendar'!$M$770*1000000000+ISNUMBER('Dvd Calendar'!$M$773)*100000000+('Dvd Calendar'!$M$775=SPECIAL_LBL)*10000000+(N('Dvd Calendar'!$M$769)&gt;0)*(N('Dvd Calendar'!$M$769)&lt;=VAL_SERIAL)*1000000+70*1000+9))</f>
        <v/>
      </c>
      <c r="EN81" s="39">
        <f>IF(N('Dvd Calendar'!$N$770)=0,"",IF(('Dvd Calendar'!$N$770&gt;=GRID_FROM)*('Dvd Calendar'!$N$770&lt;=GRID_TO)*((('Dvd Calendar'!$N$770&lt;=VAL_DATE)+(COUNTIF('Dvd Calendar'!$E$777:$AR$777,'Dvd Calendar'!$N$770)=0))&gt;0)=0,"",'Dvd Calendar'!$N$770*1000000000+ISNUMBER('Dvd Calendar'!$N$773)*100000000+('Dvd Calendar'!$N$775=SPECIAL_LBL)*10000000+(N('Dvd Calendar'!$N$769)&gt;0)*(N('Dvd Calendar'!$N$769)&lt;=VAL_SERIAL)*1000000+70*1000+10))</f>
        <v/>
      </c>
      <c r="EO81" s="39">
        <f>IF(N('Dvd Calendar'!$O$770)=0,"",IF(('Dvd Calendar'!$O$770&gt;=GRID_FROM)*('Dvd Calendar'!$O$770&lt;=GRID_TO)*((('Dvd Calendar'!$O$770&lt;=VAL_DATE)+(COUNTIF('Dvd Calendar'!$E$777:$AR$777,'Dvd Calendar'!$O$770)=0))&gt;0)=0,"",'Dvd Calendar'!$O$770*1000000000+ISNUMBER('Dvd Calendar'!$O$773)*100000000+('Dvd Calendar'!$O$775=SPECIAL_LBL)*10000000+(N('Dvd Calendar'!$O$769)&gt;0)*(N('Dvd Calendar'!$O$769)&lt;=VAL_SERIAL)*1000000+70*1000+11))</f>
        <v/>
      </c>
      <c r="EP81" s="39">
        <f>IF(N('Dvd Calendar'!$P$770)=0,"",IF(('Dvd Calendar'!$P$770&gt;=GRID_FROM)*('Dvd Calendar'!$P$770&lt;=GRID_TO)*((('Dvd Calendar'!$P$770&lt;=VAL_DATE)+(COUNTIF('Dvd Calendar'!$E$777:$AR$777,'Dvd Calendar'!$P$770)=0))&gt;0)=0,"",'Dvd Calendar'!$P$770*1000000000+ISNUMBER('Dvd Calendar'!$P$773)*100000000+('Dvd Calendar'!$P$775=SPECIAL_LBL)*10000000+(N('Dvd Calendar'!$P$769)&gt;0)*(N('Dvd Calendar'!$P$769)&lt;=VAL_SERIAL)*1000000+70*1000+12))</f>
        <v/>
      </c>
      <c r="EQ81" s="39">
        <f>IF(N('Dvd Calendar'!$Q$770)=0,"",IF(('Dvd Calendar'!$Q$770&gt;=GRID_FROM)*('Dvd Calendar'!$Q$770&lt;=GRID_TO)*((('Dvd Calendar'!$Q$770&lt;=VAL_DATE)+(COUNTIF('Dvd Calendar'!$E$777:$AR$777,'Dvd Calendar'!$Q$770)=0))&gt;0)=0,"",'Dvd Calendar'!$Q$770*1000000000+ISNUMBER('Dvd Calendar'!$Q$773)*100000000+('Dvd Calendar'!$Q$775=SPECIAL_LBL)*10000000+(N('Dvd Calendar'!$Q$769)&gt;0)*(N('Dvd Calendar'!$Q$769)&lt;=VAL_SERIAL)*1000000+70*1000+13))</f>
        <v/>
      </c>
      <c r="ER81" s="39">
        <f>IF(N('Dvd Calendar'!$R$770)=0,"",IF(('Dvd Calendar'!$R$770&gt;=GRID_FROM)*('Dvd Calendar'!$R$770&lt;=GRID_TO)*((('Dvd Calendar'!$R$770&lt;=VAL_DATE)+(COUNTIF('Dvd Calendar'!$E$777:$AR$777,'Dvd Calendar'!$R$770)=0))&gt;0)=0,"",'Dvd Calendar'!$R$770*1000000000+ISNUMBER('Dvd Calendar'!$R$773)*100000000+('Dvd Calendar'!$R$775=SPECIAL_LBL)*10000000+(N('Dvd Calendar'!$R$769)&gt;0)*(N('Dvd Calendar'!$R$769)&lt;=VAL_SERIAL)*1000000+70*1000+14))</f>
        <v/>
      </c>
      <c r="ES81" s="39">
        <f>IF(N('Dvd Calendar'!$S$770)=0,"",IF(('Dvd Calendar'!$S$770&gt;=GRID_FROM)*('Dvd Calendar'!$S$770&lt;=GRID_TO)*((('Dvd Calendar'!$S$770&lt;=VAL_DATE)+(COUNTIF('Dvd Calendar'!$E$777:$AR$777,'Dvd Calendar'!$S$770)=0))&gt;0)=0,"",'Dvd Calendar'!$S$770*1000000000+ISNUMBER('Dvd Calendar'!$S$773)*100000000+('Dvd Calendar'!$S$775=SPECIAL_LBL)*10000000+(N('Dvd Calendar'!$S$769)&gt;0)*(N('Dvd Calendar'!$S$769)&lt;=VAL_SERIAL)*1000000+70*1000+15))</f>
        <v/>
      </c>
      <c r="ET81" s="39">
        <f>IF(N('Dvd Calendar'!$T$770)=0,"",IF(('Dvd Calendar'!$T$770&gt;=GRID_FROM)*('Dvd Calendar'!$T$770&lt;=GRID_TO)*((('Dvd Calendar'!$T$770&lt;=VAL_DATE)+(COUNTIF('Dvd Calendar'!$E$777:$AR$777,'Dvd Calendar'!$T$770)=0))&gt;0)=0,"",'Dvd Calendar'!$T$770*1000000000+ISNUMBER('Dvd Calendar'!$T$773)*100000000+('Dvd Calendar'!$T$775=SPECIAL_LBL)*10000000+(N('Dvd Calendar'!$T$769)&gt;0)*(N('Dvd Calendar'!$T$769)&lt;=VAL_SERIAL)*1000000+70*1000+16))</f>
        <v/>
      </c>
      <c r="EU81" s="39">
        <f>IF(N('Dvd Calendar'!$U$770)=0,"",IF(('Dvd Calendar'!$U$770&gt;=GRID_FROM)*('Dvd Calendar'!$U$770&lt;=GRID_TO)*((('Dvd Calendar'!$U$770&lt;=VAL_DATE)+(COUNTIF('Dvd Calendar'!$E$777:$AR$777,'Dvd Calendar'!$U$770)=0))&gt;0)=0,"",'Dvd Calendar'!$U$770*1000000000+ISNUMBER('Dvd Calendar'!$U$773)*100000000+('Dvd Calendar'!$U$775=SPECIAL_LBL)*10000000+(N('Dvd Calendar'!$U$769)&gt;0)*(N('Dvd Calendar'!$U$769)&lt;=VAL_SERIAL)*1000000+70*1000+17))</f>
        <v/>
      </c>
      <c r="EV81" s="39">
        <f>IF(N('Dvd Calendar'!$V$770)=0,"",IF(('Dvd Calendar'!$V$770&gt;=GRID_FROM)*('Dvd Calendar'!$V$770&lt;=GRID_TO)*((('Dvd Calendar'!$V$770&lt;=VAL_DATE)+(COUNTIF('Dvd Calendar'!$E$777:$AR$777,'Dvd Calendar'!$V$770)=0))&gt;0)=0,"",'Dvd Calendar'!$V$770*1000000000+ISNUMBER('Dvd Calendar'!$V$773)*100000000+('Dvd Calendar'!$V$775=SPECIAL_LBL)*10000000+(N('Dvd Calendar'!$V$769)&gt;0)*(N('Dvd Calendar'!$V$769)&lt;=VAL_SERIAL)*1000000+70*1000+18))</f>
        <v/>
      </c>
      <c r="EW81" s="39">
        <f>IF(N('Dvd Calendar'!$W$770)=0,"",IF(('Dvd Calendar'!$W$770&gt;=GRID_FROM)*('Dvd Calendar'!$W$770&lt;=GRID_TO)*((('Dvd Calendar'!$W$770&lt;=VAL_DATE)+(COUNTIF('Dvd Calendar'!$E$777:$AR$777,'Dvd Calendar'!$W$770)=0))&gt;0)=0,"",'Dvd Calendar'!$W$770*1000000000+ISNUMBER('Dvd Calendar'!$W$773)*100000000+('Dvd Calendar'!$W$775=SPECIAL_LBL)*10000000+(N('Dvd Calendar'!$W$769)&gt;0)*(N('Dvd Calendar'!$W$769)&lt;=VAL_SERIAL)*1000000+70*1000+19))</f>
        <v/>
      </c>
      <c r="EX81" s="39">
        <f>IF(N('Dvd Calendar'!$X$770)=0,"",IF(('Dvd Calendar'!$X$770&gt;=GRID_FROM)*('Dvd Calendar'!$X$770&lt;=GRID_TO)*((('Dvd Calendar'!$X$770&lt;=VAL_DATE)+(COUNTIF('Dvd Calendar'!$E$777:$AR$777,'Dvd Calendar'!$X$770)=0))&gt;0)=0,"",'Dvd Calendar'!$X$770*1000000000+ISNUMBER('Dvd Calendar'!$X$773)*100000000+('Dvd Calendar'!$X$775=SPECIAL_LBL)*10000000+(N('Dvd Calendar'!$X$769)&gt;0)*(N('Dvd Calendar'!$X$769)&lt;=VAL_SERIAL)*1000000+70*1000+20))</f>
        <v/>
      </c>
      <c r="EY81" s="39">
        <f>IF(N('Dvd Calendar'!$Y$770)=0,"",IF(('Dvd Calendar'!$Y$770&gt;=GRID_FROM)*('Dvd Calendar'!$Y$770&lt;=GRID_TO)*((('Dvd Calendar'!$Y$770&lt;=VAL_DATE)+(COUNTIF('Dvd Calendar'!$E$777:$AR$777,'Dvd Calendar'!$Y$770)=0))&gt;0)=0,"",'Dvd Calendar'!$Y$770*1000000000+ISNUMBER('Dvd Calendar'!$Y$773)*100000000+('Dvd Calendar'!$Y$775=SPECIAL_LBL)*10000000+(N('Dvd Calendar'!$Y$769)&gt;0)*(N('Dvd Calendar'!$Y$769)&lt;=VAL_SERIAL)*1000000+70*1000+21))</f>
        <v/>
      </c>
      <c r="EZ81" s="39">
        <f>IF(N('Dvd Calendar'!$Z$770)=0,"",IF(('Dvd Calendar'!$Z$770&gt;=GRID_FROM)*('Dvd Calendar'!$Z$770&lt;=GRID_TO)*((('Dvd Calendar'!$Z$770&lt;=VAL_DATE)+(COUNTIF('Dvd Calendar'!$E$777:$AR$777,'Dvd Calendar'!$Z$770)=0))&gt;0)=0,"",'Dvd Calendar'!$Z$770*1000000000+ISNUMBER('Dvd Calendar'!$Z$773)*100000000+('Dvd Calendar'!$Z$775=SPECIAL_LBL)*10000000+(N('Dvd Calendar'!$Z$769)&gt;0)*(N('Dvd Calendar'!$Z$769)&lt;=VAL_SERIAL)*1000000+70*1000+22))</f>
        <v/>
      </c>
      <c r="FA81" s="39">
        <f>IF(N('Dvd Calendar'!$AA$770)=0,"",IF(('Dvd Calendar'!$AA$770&gt;=GRID_FROM)*('Dvd Calendar'!$AA$770&lt;=GRID_TO)*((('Dvd Calendar'!$AA$770&lt;=VAL_DATE)+(COUNTIF('Dvd Calendar'!$E$777:$AR$777,'Dvd Calendar'!$AA$770)=0))&gt;0)=0,"",'Dvd Calendar'!$AA$770*1000000000+ISNUMBER('Dvd Calendar'!$AA$773)*100000000+('Dvd Calendar'!$AA$775=SPECIAL_LBL)*10000000+(N('Dvd Calendar'!$AA$769)&gt;0)*(N('Dvd Calendar'!$AA$769)&lt;=VAL_SERIAL)*1000000+70*1000+23))</f>
        <v/>
      </c>
      <c r="FB81" s="39">
        <f>IF(N('Dvd Calendar'!$AB$770)=0,"",IF(('Dvd Calendar'!$AB$770&gt;=GRID_FROM)*('Dvd Calendar'!$AB$770&lt;=GRID_TO)*((('Dvd Calendar'!$AB$770&lt;=VAL_DATE)+(COUNTIF('Dvd Calendar'!$E$777:$AR$777,'Dvd Calendar'!$AB$770)=0))&gt;0)=0,"",'Dvd Calendar'!$AB$770*1000000000+ISNUMBER('Dvd Calendar'!$AB$773)*100000000+('Dvd Calendar'!$AB$775=SPECIAL_LBL)*10000000+(N('Dvd Calendar'!$AB$769)&gt;0)*(N('Dvd Calendar'!$AB$769)&lt;=VAL_SERIAL)*1000000+70*1000+24))</f>
        <v/>
      </c>
      <c r="FC81" s="39">
        <f>IF(N('Dvd Calendar'!$AC$770)=0,"",IF(('Dvd Calendar'!$AC$770&gt;=GRID_FROM)*('Dvd Calendar'!$AC$770&lt;=GRID_TO)*((('Dvd Calendar'!$AC$770&lt;=VAL_DATE)+(COUNTIF('Dvd Calendar'!$E$777:$AR$777,'Dvd Calendar'!$AC$770)=0))&gt;0)=0,"",'Dvd Calendar'!$AC$770*1000000000+ISNUMBER('Dvd Calendar'!$AC$773)*100000000+('Dvd Calendar'!$AC$775=SPECIAL_LBL)*10000000+(N('Dvd Calendar'!$AC$769)&gt;0)*(N('Dvd Calendar'!$AC$769)&lt;=VAL_SERIAL)*1000000+70*1000+25))</f>
        <v/>
      </c>
      <c r="FD81" s="39">
        <f>IF(N('Dvd Calendar'!$AD$770)=0,"",IF(('Dvd Calendar'!$AD$770&gt;=GRID_FROM)*('Dvd Calendar'!$AD$770&lt;=GRID_TO)*((('Dvd Calendar'!$AD$770&lt;=VAL_DATE)+(COUNTIF('Dvd Calendar'!$E$777:$AR$777,'Dvd Calendar'!$AD$770)=0))&gt;0)=0,"",'Dvd Calendar'!$AD$770*1000000000+ISNUMBER('Dvd Calendar'!$AD$773)*100000000+('Dvd Calendar'!$AD$775=SPECIAL_LBL)*10000000+(N('Dvd Calendar'!$AD$769)&gt;0)*(N('Dvd Calendar'!$AD$769)&lt;=VAL_SERIAL)*1000000+70*1000+26))</f>
        <v/>
      </c>
      <c r="FE81" s="39">
        <f>IF(N('Dvd Calendar'!$AE$770)=0,"",IF(('Dvd Calendar'!$AE$770&gt;=GRID_FROM)*('Dvd Calendar'!$AE$770&lt;=GRID_TO)*((('Dvd Calendar'!$AE$770&lt;=VAL_DATE)+(COUNTIF('Dvd Calendar'!$E$777:$AR$777,'Dvd Calendar'!$AE$770)=0))&gt;0)=0,"",'Dvd Calendar'!$AE$770*1000000000+ISNUMBER('Dvd Calendar'!$AE$773)*100000000+('Dvd Calendar'!$AE$775=SPECIAL_LBL)*10000000+(N('Dvd Calendar'!$AE$769)&gt;0)*(N('Dvd Calendar'!$AE$769)&lt;=VAL_SERIAL)*1000000+70*1000+27))</f>
        <v/>
      </c>
      <c r="FF81" s="39">
        <f>IF(N('Dvd Calendar'!$AF$770)=0,"",IF(('Dvd Calendar'!$AF$770&gt;=GRID_FROM)*('Dvd Calendar'!$AF$770&lt;=GRID_TO)*((('Dvd Calendar'!$AF$770&lt;=VAL_DATE)+(COUNTIF('Dvd Calendar'!$E$777:$AR$777,'Dvd Calendar'!$AF$770)=0))&gt;0)=0,"",'Dvd Calendar'!$AF$770*1000000000+ISNUMBER('Dvd Calendar'!$AF$773)*100000000+('Dvd Calendar'!$AF$775=SPECIAL_LBL)*10000000+(N('Dvd Calendar'!$AF$769)&gt;0)*(N('Dvd Calendar'!$AF$769)&lt;=VAL_SERIAL)*1000000+70*1000+28))</f>
        <v/>
      </c>
      <c r="FG81" s="39">
        <f>IF(N('Dvd Calendar'!$AG$770)=0,"",IF(('Dvd Calendar'!$AG$770&gt;=GRID_FROM)*('Dvd Calendar'!$AG$770&lt;=GRID_TO)*((('Dvd Calendar'!$AG$770&lt;=VAL_DATE)+(COUNTIF('Dvd Calendar'!$E$777:$AR$777,'Dvd Calendar'!$AG$770)=0))&gt;0)=0,"",'Dvd Calendar'!$AG$770*1000000000+ISNUMBER('Dvd Calendar'!$AG$773)*100000000+('Dvd Calendar'!$AG$775=SPECIAL_LBL)*10000000+(N('Dvd Calendar'!$AG$769)&gt;0)*(N('Dvd Calendar'!$AG$769)&lt;=VAL_SERIAL)*1000000+70*1000+29))</f>
        <v/>
      </c>
      <c r="FH81" s="39">
        <f>IF(N('Dvd Calendar'!$AH$770)=0,"",IF(('Dvd Calendar'!$AH$770&gt;=GRID_FROM)*('Dvd Calendar'!$AH$770&lt;=GRID_TO)*((('Dvd Calendar'!$AH$770&lt;=VAL_DATE)+(COUNTIF('Dvd Calendar'!$E$777:$AR$777,'Dvd Calendar'!$AH$770)=0))&gt;0)=0,"",'Dvd Calendar'!$AH$770*1000000000+ISNUMBER('Dvd Calendar'!$AH$773)*100000000+('Dvd Calendar'!$AH$775=SPECIAL_LBL)*10000000+(N('Dvd Calendar'!$AH$769)&gt;0)*(N('Dvd Calendar'!$AH$769)&lt;=VAL_SERIAL)*1000000+70*1000+30))</f>
        <v/>
      </c>
      <c r="FI81" s="39">
        <f>IF(N('Dvd Calendar'!$AI$770)=0,"",IF(('Dvd Calendar'!$AI$770&gt;=GRID_FROM)*('Dvd Calendar'!$AI$770&lt;=GRID_TO)*((('Dvd Calendar'!$AI$770&lt;=VAL_DATE)+(COUNTIF('Dvd Calendar'!$E$777:$AR$777,'Dvd Calendar'!$AI$770)=0))&gt;0)=0,"",'Dvd Calendar'!$AI$770*1000000000+ISNUMBER('Dvd Calendar'!$AI$773)*100000000+('Dvd Calendar'!$AI$775=SPECIAL_LBL)*10000000+(N('Dvd Calendar'!$AI$769)&gt;0)*(N('Dvd Calendar'!$AI$769)&lt;=VAL_SERIAL)*1000000+70*1000+31))</f>
        <v/>
      </c>
      <c r="FJ81" s="39">
        <f>IF(N('Dvd Calendar'!$AJ$770)=0,"",IF(('Dvd Calendar'!$AJ$770&gt;=GRID_FROM)*('Dvd Calendar'!$AJ$770&lt;=GRID_TO)*((('Dvd Calendar'!$AJ$770&lt;=VAL_DATE)+(COUNTIF('Dvd Calendar'!$E$777:$AR$777,'Dvd Calendar'!$AJ$770)=0))&gt;0)=0,"",'Dvd Calendar'!$AJ$770*1000000000+ISNUMBER('Dvd Calendar'!$AJ$773)*100000000+('Dvd Calendar'!$AJ$775=SPECIAL_LBL)*10000000+(N('Dvd Calendar'!$AJ$769)&gt;0)*(N('Dvd Calendar'!$AJ$769)&lt;=VAL_SERIAL)*1000000+70*1000+32))</f>
        <v/>
      </c>
      <c r="FK81" s="39">
        <f>IF(N('Dvd Calendar'!$AK$770)=0,"",IF(('Dvd Calendar'!$AK$770&gt;=GRID_FROM)*('Dvd Calendar'!$AK$770&lt;=GRID_TO)*((('Dvd Calendar'!$AK$770&lt;=VAL_DATE)+(COUNTIF('Dvd Calendar'!$E$777:$AR$777,'Dvd Calendar'!$AK$770)=0))&gt;0)=0,"",'Dvd Calendar'!$AK$770*1000000000+ISNUMBER('Dvd Calendar'!$AK$773)*100000000+('Dvd Calendar'!$AK$775=SPECIAL_LBL)*10000000+(N('Dvd Calendar'!$AK$769)&gt;0)*(N('Dvd Calendar'!$AK$769)&lt;=VAL_SERIAL)*1000000+70*1000+33))</f>
        <v/>
      </c>
      <c r="FL81" s="39">
        <f>IF(N('Dvd Calendar'!$AL$770)=0,"",IF(('Dvd Calendar'!$AL$770&gt;=GRID_FROM)*('Dvd Calendar'!$AL$770&lt;=GRID_TO)*((('Dvd Calendar'!$AL$770&lt;=VAL_DATE)+(COUNTIF('Dvd Calendar'!$E$777:$AR$777,'Dvd Calendar'!$AL$770)=0))&gt;0)=0,"",'Dvd Calendar'!$AL$770*1000000000+ISNUMBER('Dvd Calendar'!$AL$773)*100000000+('Dvd Calendar'!$AL$775=SPECIAL_LBL)*10000000+(N('Dvd Calendar'!$AL$769)&gt;0)*(N('Dvd Calendar'!$AL$769)&lt;=VAL_SERIAL)*1000000+70*1000+34))</f>
        <v/>
      </c>
      <c r="FM81" s="39">
        <f>IF(N('Dvd Calendar'!$AM$770)=0,"",IF(('Dvd Calendar'!$AM$770&gt;=GRID_FROM)*('Dvd Calendar'!$AM$770&lt;=GRID_TO)*((('Dvd Calendar'!$AM$770&lt;=VAL_DATE)+(COUNTIF('Dvd Calendar'!$E$777:$AR$777,'Dvd Calendar'!$AM$770)=0))&gt;0)=0,"",'Dvd Calendar'!$AM$770*1000000000+ISNUMBER('Dvd Calendar'!$AM$773)*100000000+('Dvd Calendar'!$AM$775=SPECIAL_LBL)*10000000+(N('Dvd Calendar'!$AM$769)&gt;0)*(N('Dvd Calendar'!$AM$769)&lt;=VAL_SERIAL)*1000000+70*1000+35))</f>
        <v/>
      </c>
      <c r="FN81" s="39">
        <f>IF(N('Dvd Calendar'!$AN$770)=0,"",IF(('Dvd Calendar'!$AN$770&gt;=GRID_FROM)*('Dvd Calendar'!$AN$770&lt;=GRID_TO)*((('Dvd Calendar'!$AN$770&lt;=VAL_DATE)+(COUNTIF('Dvd Calendar'!$E$777:$AR$777,'Dvd Calendar'!$AN$770)=0))&gt;0)=0,"",'Dvd Calendar'!$AN$770*1000000000+ISNUMBER('Dvd Calendar'!$AN$773)*100000000+('Dvd Calendar'!$AN$775=SPECIAL_LBL)*10000000+(N('Dvd Calendar'!$AN$769)&gt;0)*(N('Dvd Calendar'!$AN$769)&lt;=VAL_SERIAL)*1000000+70*1000+36))</f>
        <v/>
      </c>
      <c r="FO81" s="39">
        <f>IF(N('Dvd Calendar'!$AO$770)=0,"",IF(('Dvd Calendar'!$AO$770&gt;=GRID_FROM)*('Dvd Calendar'!$AO$770&lt;=GRID_TO)*((('Dvd Calendar'!$AO$770&lt;=VAL_DATE)+(COUNTIF('Dvd Calendar'!$E$777:$AR$777,'Dvd Calendar'!$AO$770)=0))&gt;0)=0,"",'Dvd Calendar'!$AO$770*1000000000+ISNUMBER('Dvd Calendar'!$AO$773)*100000000+('Dvd Calendar'!$AO$775=SPECIAL_LBL)*10000000+(N('Dvd Calendar'!$AO$769)&gt;0)*(N('Dvd Calendar'!$AO$769)&lt;=VAL_SERIAL)*1000000+70*1000+37))</f>
        <v/>
      </c>
      <c r="FP81" s="39">
        <f>IF(N('Dvd Calendar'!$AP$770)=0,"",IF(('Dvd Calendar'!$AP$770&gt;=GRID_FROM)*('Dvd Calendar'!$AP$770&lt;=GRID_TO)*((('Dvd Calendar'!$AP$770&lt;=VAL_DATE)+(COUNTIF('Dvd Calendar'!$E$777:$AR$777,'Dvd Calendar'!$AP$770)=0))&gt;0)=0,"",'Dvd Calendar'!$AP$770*1000000000+ISNUMBER('Dvd Calendar'!$AP$773)*100000000+('Dvd Calendar'!$AP$775=SPECIAL_LBL)*10000000+(N('Dvd Calendar'!$AP$769)&gt;0)*(N('Dvd Calendar'!$AP$769)&lt;=VAL_SERIAL)*1000000+70*1000+38))</f>
        <v/>
      </c>
      <c r="FQ81" s="39">
        <f>IF(N('Dvd Calendar'!$AQ$770)=0,"",IF(('Dvd Calendar'!$AQ$770&gt;=GRID_FROM)*('Dvd Calendar'!$AQ$770&lt;=GRID_TO)*((('Dvd Calendar'!$AQ$770&lt;=VAL_DATE)+(COUNTIF('Dvd Calendar'!$E$777:$AR$777,'Dvd Calendar'!$AQ$770)=0))&gt;0)=0,"",'Dvd Calendar'!$AQ$770*1000000000+ISNUMBER('Dvd Calendar'!$AQ$773)*100000000+('Dvd Calendar'!$AQ$775=SPECIAL_LBL)*10000000+(N('Dvd Calendar'!$AQ$769)&gt;0)*(N('Dvd Calendar'!$AQ$769)&lt;=VAL_SERIAL)*1000000+70*1000+39))</f>
        <v/>
      </c>
      <c r="FR81" s="39">
        <f>IF(N('Dvd Calendar'!$AR$770)=0,"",IF(('Dvd Calendar'!$AR$770&gt;=GRID_FROM)*('Dvd Calendar'!$AR$770&lt;=GRID_TO)*((('Dvd Calendar'!$AR$770&lt;=VAL_DATE)+(COUNTIF('Dvd Calendar'!$E$777:$AR$777,'Dvd Calendar'!$AR$770)=0))&gt;0)=0,"",'Dvd Calendar'!$AR$770*1000000000+ISNUMBER('Dvd Calendar'!$AR$773)*100000000+('Dvd Calendar'!$AR$775=SPECIAL_LBL)*10000000+(N('Dvd Calendar'!$AR$769)&gt;0)*(N('Dvd Calendar'!$AR$769)&lt;=VAL_SERIAL)*1000000+70*1000+40))</f>
        <v/>
      </c>
      <c r="FS81" s="39">
        <f>IF(N('Dvd Calendar'!$E$777)=0,"",IF(('Dvd Calendar'!$E$777&gt;=GRID_FROM)*('Dvd Calendar'!$E$777&lt;=GRID_TO)*('Dvd Calendar'!$E$777&gt;VAL_DATE)=0,"",'Dvd Calendar'!$E$777*1000000000+ISNUMBER('Dvd Calendar'!$E$778)*100000000+0*10000000+(N('Dvd Calendar'!$E$776)&gt;0)*(N('Dvd Calendar'!$E$776)&lt;=VAL_SERIAL)*1000000+70*1000+41))</f>
        <v/>
      </c>
      <c r="FT81" s="39">
        <f>IF(N('Dvd Calendar'!$F$777)=0,"",IF(('Dvd Calendar'!$F$777&gt;=GRID_FROM)*('Dvd Calendar'!$F$777&lt;=GRID_TO)*('Dvd Calendar'!$F$777&gt;VAL_DATE)=0,"",'Dvd Calendar'!$F$777*1000000000+ISNUMBER('Dvd Calendar'!$F$778)*100000000+0*10000000+(N('Dvd Calendar'!$F$776)&gt;0)*(N('Dvd Calendar'!$F$776)&lt;=VAL_SERIAL)*1000000+70*1000+42))</f>
        <v/>
      </c>
      <c r="FU81" s="39">
        <f>IF(N('Dvd Calendar'!$G$777)=0,"",IF(('Dvd Calendar'!$G$777&gt;=GRID_FROM)*('Dvd Calendar'!$G$777&lt;=GRID_TO)*('Dvd Calendar'!$G$777&gt;VAL_DATE)=0,"",'Dvd Calendar'!$G$777*1000000000+ISNUMBER('Dvd Calendar'!$G$778)*100000000+0*10000000+(N('Dvd Calendar'!$G$776)&gt;0)*(N('Dvd Calendar'!$G$776)&lt;=VAL_SERIAL)*1000000+70*1000+43))</f>
        <v/>
      </c>
      <c r="FV81" s="39">
        <f>IF(N('Dvd Calendar'!$H$777)=0,"",IF(('Dvd Calendar'!$H$777&gt;=GRID_FROM)*('Dvd Calendar'!$H$777&lt;=GRID_TO)*('Dvd Calendar'!$H$777&gt;VAL_DATE)=0,"",'Dvd Calendar'!$H$777*1000000000+ISNUMBER('Dvd Calendar'!$H$778)*100000000+0*10000000+(N('Dvd Calendar'!$H$776)&gt;0)*(N('Dvd Calendar'!$H$776)&lt;=VAL_SERIAL)*1000000+70*1000+44))</f>
        <v/>
      </c>
      <c r="FW81" s="39">
        <f>IF(N('Dvd Calendar'!$I$777)=0,"",IF(('Dvd Calendar'!$I$777&gt;=GRID_FROM)*('Dvd Calendar'!$I$777&lt;=GRID_TO)*('Dvd Calendar'!$I$777&gt;VAL_DATE)=0,"",'Dvd Calendar'!$I$777*1000000000+ISNUMBER('Dvd Calendar'!$I$778)*100000000+0*10000000+(N('Dvd Calendar'!$I$776)&gt;0)*(N('Dvd Calendar'!$I$776)&lt;=VAL_SERIAL)*1000000+70*1000+45))</f>
        <v/>
      </c>
      <c r="FX81" s="39">
        <f>IF(N('Dvd Calendar'!$J$777)=0,"",IF(('Dvd Calendar'!$J$777&gt;=GRID_FROM)*('Dvd Calendar'!$J$777&lt;=GRID_TO)*('Dvd Calendar'!$J$777&gt;VAL_DATE)=0,"",'Dvd Calendar'!$J$777*1000000000+ISNUMBER('Dvd Calendar'!$J$778)*100000000+0*10000000+(N('Dvd Calendar'!$J$776)&gt;0)*(N('Dvd Calendar'!$J$776)&lt;=VAL_SERIAL)*1000000+70*1000+46))</f>
        <v/>
      </c>
      <c r="FY81" s="39">
        <f>IF(N('Dvd Calendar'!$K$777)=0,"",IF(('Dvd Calendar'!$K$777&gt;=GRID_FROM)*('Dvd Calendar'!$K$777&lt;=GRID_TO)*('Dvd Calendar'!$K$777&gt;VAL_DATE)=0,"",'Dvd Calendar'!$K$777*1000000000+ISNUMBER('Dvd Calendar'!$K$778)*100000000+0*10000000+(N('Dvd Calendar'!$K$776)&gt;0)*(N('Dvd Calendar'!$K$776)&lt;=VAL_SERIAL)*1000000+70*1000+47))</f>
        <v/>
      </c>
      <c r="FZ81" s="39">
        <f>IF(N('Dvd Calendar'!$L$777)=0,"",IF(('Dvd Calendar'!$L$777&gt;=GRID_FROM)*('Dvd Calendar'!$L$777&lt;=GRID_TO)*('Dvd Calendar'!$L$777&gt;VAL_DATE)=0,"",'Dvd Calendar'!$L$777*1000000000+ISNUMBER('Dvd Calendar'!$L$778)*100000000+0*10000000+(N('Dvd Calendar'!$L$776)&gt;0)*(N('Dvd Calendar'!$L$776)&lt;=VAL_SERIAL)*1000000+70*1000+48))</f>
        <v/>
      </c>
      <c r="GA81" s="39">
        <f>IF(N('Dvd Calendar'!$M$777)=0,"",IF(('Dvd Calendar'!$M$777&gt;=GRID_FROM)*('Dvd Calendar'!$M$777&lt;=GRID_TO)*('Dvd Calendar'!$M$777&gt;VAL_DATE)=0,"",'Dvd Calendar'!$M$777*1000000000+ISNUMBER('Dvd Calendar'!$M$778)*100000000+0*10000000+(N('Dvd Calendar'!$M$776)&gt;0)*(N('Dvd Calendar'!$M$776)&lt;=VAL_SERIAL)*1000000+70*1000+49))</f>
        <v/>
      </c>
      <c r="GB81" s="39">
        <f>IF(N('Dvd Calendar'!$N$777)=0,"",IF(('Dvd Calendar'!$N$777&gt;=GRID_FROM)*('Dvd Calendar'!$N$777&lt;=GRID_TO)*('Dvd Calendar'!$N$777&gt;VAL_DATE)=0,"",'Dvd Calendar'!$N$777*1000000000+ISNUMBER('Dvd Calendar'!$N$778)*100000000+0*10000000+(N('Dvd Calendar'!$N$776)&gt;0)*(N('Dvd Calendar'!$N$776)&lt;=VAL_SERIAL)*1000000+70*1000+50))</f>
        <v/>
      </c>
      <c r="GC81" s="39">
        <f>IF(N('Dvd Calendar'!$O$777)=0,"",IF(('Dvd Calendar'!$O$777&gt;=GRID_FROM)*('Dvd Calendar'!$O$777&lt;=GRID_TO)*('Dvd Calendar'!$O$777&gt;VAL_DATE)=0,"",'Dvd Calendar'!$O$777*1000000000+ISNUMBER('Dvd Calendar'!$O$778)*100000000+0*10000000+(N('Dvd Calendar'!$O$776)&gt;0)*(N('Dvd Calendar'!$O$776)&lt;=VAL_SERIAL)*1000000+70*1000+51))</f>
        <v/>
      </c>
      <c r="GD81" s="39">
        <f>IF(N('Dvd Calendar'!$P$777)=0,"",IF(('Dvd Calendar'!$P$777&gt;=GRID_FROM)*('Dvd Calendar'!$P$777&lt;=GRID_TO)*('Dvd Calendar'!$P$777&gt;VAL_DATE)=0,"",'Dvd Calendar'!$P$777*1000000000+ISNUMBER('Dvd Calendar'!$P$778)*100000000+0*10000000+(N('Dvd Calendar'!$P$776)&gt;0)*(N('Dvd Calendar'!$P$776)&lt;=VAL_SERIAL)*1000000+70*1000+52))</f>
        <v/>
      </c>
      <c r="GE81" s="39">
        <f>IF(N('Dvd Calendar'!$Q$777)=0,"",IF(('Dvd Calendar'!$Q$777&gt;=GRID_FROM)*('Dvd Calendar'!$Q$777&lt;=GRID_TO)*('Dvd Calendar'!$Q$777&gt;VAL_DATE)=0,"",'Dvd Calendar'!$Q$777*1000000000+ISNUMBER('Dvd Calendar'!$Q$778)*100000000+0*10000000+(N('Dvd Calendar'!$Q$776)&gt;0)*(N('Dvd Calendar'!$Q$776)&lt;=VAL_SERIAL)*1000000+70*1000+53))</f>
        <v/>
      </c>
      <c r="GF81" s="39">
        <f>IF(N('Dvd Calendar'!$R$777)=0,"",IF(('Dvd Calendar'!$R$777&gt;=GRID_FROM)*('Dvd Calendar'!$R$777&lt;=GRID_TO)*('Dvd Calendar'!$R$777&gt;VAL_DATE)=0,"",'Dvd Calendar'!$R$777*1000000000+ISNUMBER('Dvd Calendar'!$R$778)*100000000+0*10000000+(N('Dvd Calendar'!$R$776)&gt;0)*(N('Dvd Calendar'!$R$776)&lt;=VAL_SERIAL)*1000000+70*1000+54))</f>
        <v/>
      </c>
      <c r="GG81" s="39">
        <f>IF(N('Dvd Calendar'!$S$777)=0,"",IF(('Dvd Calendar'!$S$777&gt;=GRID_FROM)*('Dvd Calendar'!$S$777&lt;=GRID_TO)*('Dvd Calendar'!$S$777&gt;VAL_DATE)=0,"",'Dvd Calendar'!$S$777*1000000000+ISNUMBER('Dvd Calendar'!$S$778)*100000000+0*10000000+(N('Dvd Calendar'!$S$776)&gt;0)*(N('Dvd Calendar'!$S$776)&lt;=VAL_SERIAL)*1000000+70*1000+55))</f>
        <v/>
      </c>
      <c r="GH81" s="39">
        <f>IF(N('Dvd Calendar'!$T$777)=0,"",IF(('Dvd Calendar'!$T$777&gt;=GRID_FROM)*('Dvd Calendar'!$T$777&lt;=GRID_TO)*('Dvd Calendar'!$T$777&gt;VAL_DATE)=0,"",'Dvd Calendar'!$T$777*1000000000+ISNUMBER('Dvd Calendar'!$T$778)*100000000+0*10000000+(N('Dvd Calendar'!$T$776)&gt;0)*(N('Dvd Calendar'!$T$776)&lt;=VAL_SERIAL)*1000000+70*1000+56))</f>
        <v/>
      </c>
      <c r="GI81" s="39">
        <f>IF(N('Dvd Calendar'!$U$777)=0,"",IF(('Dvd Calendar'!$U$777&gt;=GRID_FROM)*('Dvd Calendar'!$U$777&lt;=GRID_TO)*('Dvd Calendar'!$U$777&gt;VAL_DATE)=0,"",'Dvd Calendar'!$U$777*1000000000+ISNUMBER('Dvd Calendar'!$U$778)*100000000+0*10000000+(N('Dvd Calendar'!$U$776)&gt;0)*(N('Dvd Calendar'!$U$776)&lt;=VAL_SERIAL)*1000000+70*1000+57))</f>
        <v/>
      </c>
      <c r="GJ81" s="39">
        <f>IF(N('Dvd Calendar'!$V$777)=0,"",IF(('Dvd Calendar'!$V$777&gt;=GRID_FROM)*('Dvd Calendar'!$V$777&lt;=GRID_TO)*('Dvd Calendar'!$V$777&gt;VAL_DATE)=0,"",'Dvd Calendar'!$V$777*1000000000+ISNUMBER('Dvd Calendar'!$V$778)*100000000+0*10000000+(N('Dvd Calendar'!$V$776)&gt;0)*(N('Dvd Calendar'!$V$776)&lt;=VAL_SERIAL)*1000000+70*1000+58))</f>
        <v/>
      </c>
      <c r="GK81" s="39">
        <f>IF(N('Dvd Calendar'!$W$777)=0,"",IF(('Dvd Calendar'!$W$777&gt;=GRID_FROM)*('Dvd Calendar'!$W$777&lt;=GRID_TO)*('Dvd Calendar'!$W$777&gt;VAL_DATE)=0,"",'Dvd Calendar'!$W$777*1000000000+ISNUMBER('Dvd Calendar'!$W$778)*100000000+0*10000000+(N('Dvd Calendar'!$W$776)&gt;0)*(N('Dvd Calendar'!$W$776)&lt;=VAL_SERIAL)*1000000+70*1000+59))</f>
        <v/>
      </c>
      <c r="GL81" s="39">
        <f>IF(N('Dvd Calendar'!$X$777)=0,"",IF(('Dvd Calendar'!$X$777&gt;=GRID_FROM)*('Dvd Calendar'!$X$777&lt;=GRID_TO)*('Dvd Calendar'!$X$777&gt;VAL_DATE)=0,"",'Dvd Calendar'!$X$777*1000000000+ISNUMBER('Dvd Calendar'!$X$778)*100000000+0*10000000+(N('Dvd Calendar'!$X$776)&gt;0)*(N('Dvd Calendar'!$X$776)&lt;=VAL_SERIAL)*1000000+70*1000+60))</f>
        <v/>
      </c>
      <c r="GM81" s="39">
        <f>IF(N('Dvd Calendar'!$Y$777)=0,"",IF(('Dvd Calendar'!$Y$777&gt;=GRID_FROM)*('Dvd Calendar'!$Y$777&lt;=GRID_TO)*('Dvd Calendar'!$Y$777&gt;VAL_DATE)=0,"",'Dvd Calendar'!$Y$777*1000000000+ISNUMBER('Dvd Calendar'!$Y$778)*100000000+0*10000000+(N('Dvd Calendar'!$Y$776)&gt;0)*(N('Dvd Calendar'!$Y$776)&lt;=VAL_SERIAL)*1000000+70*1000+61))</f>
        <v/>
      </c>
      <c r="GN81" s="39">
        <f>IF(N('Dvd Calendar'!$Z$777)=0,"",IF(('Dvd Calendar'!$Z$777&gt;=GRID_FROM)*('Dvd Calendar'!$Z$777&lt;=GRID_TO)*('Dvd Calendar'!$Z$777&gt;VAL_DATE)=0,"",'Dvd Calendar'!$Z$777*1000000000+ISNUMBER('Dvd Calendar'!$Z$778)*100000000+0*10000000+(N('Dvd Calendar'!$Z$776)&gt;0)*(N('Dvd Calendar'!$Z$776)&lt;=VAL_SERIAL)*1000000+70*1000+62))</f>
        <v/>
      </c>
      <c r="GO81" s="39">
        <f>IF(N('Dvd Calendar'!$AA$777)=0,"",IF(('Dvd Calendar'!$AA$777&gt;=GRID_FROM)*('Dvd Calendar'!$AA$777&lt;=GRID_TO)*('Dvd Calendar'!$AA$777&gt;VAL_DATE)=0,"",'Dvd Calendar'!$AA$777*1000000000+ISNUMBER('Dvd Calendar'!$AA$778)*100000000+0*10000000+(N('Dvd Calendar'!$AA$776)&gt;0)*(N('Dvd Calendar'!$AA$776)&lt;=VAL_SERIAL)*1000000+70*1000+63))</f>
        <v/>
      </c>
      <c r="GP81" s="39">
        <f>IF(N('Dvd Calendar'!$AB$777)=0,"",IF(('Dvd Calendar'!$AB$777&gt;=GRID_FROM)*('Dvd Calendar'!$AB$777&lt;=GRID_TO)*('Dvd Calendar'!$AB$777&gt;VAL_DATE)=0,"",'Dvd Calendar'!$AB$777*1000000000+ISNUMBER('Dvd Calendar'!$AB$778)*100000000+0*10000000+(N('Dvd Calendar'!$AB$776)&gt;0)*(N('Dvd Calendar'!$AB$776)&lt;=VAL_SERIAL)*1000000+70*1000+64))</f>
        <v/>
      </c>
      <c r="GQ81" s="39">
        <f>IF(N('Dvd Calendar'!$AC$777)=0,"",IF(('Dvd Calendar'!$AC$777&gt;=GRID_FROM)*('Dvd Calendar'!$AC$777&lt;=GRID_TO)*('Dvd Calendar'!$AC$777&gt;VAL_DATE)=0,"",'Dvd Calendar'!$AC$777*1000000000+ISNUMBER('Dvd Calendar'!$AC$778)*100000000+0*10000000+(N('Dvd Calendar'!$AC$776)&gt;0)*(N('Dvd Calendar'!$AC$776)&lt;=VAL_SERIAL)*1000000+70*1000+65))</f>
        <v/>
      </c>
    </row>
    <row r="82">
      <c r="B82" s="2">
        <f>IF(HSI!$C$77="","",HSI!$C$77)</f>
        <v/>
      </c>
      <c r="C82" s="110">
        <f>IF(EE82="","",IF(ISNUMBER('Dvd Calendar'!$E$784)=FALSE,"",IF((('Dvd Calendar'!$E$786=TYPE1)*(TYPE1&lt;&gt;"")+('Dvd Calendar'!$E$786=TYPE2)*(TYPE2&lt;&gt;"")+('Dvd Calendar'!$E$786=TYPE3)*(TYPE3&lt;&gt;"")+('Dvd Calendar'!$E$786=TYPE4)*(TYPE4&lt;&gt;"")+('Dvd Calendar'!$E$786=SPECIAL_LBL)*(INC_SPECIALS="Y"))=0,"",'Dvd Calendar'!$E$784)))</f>
        <v/>
      </c>
      <c r="D82" s="110">
        <f>IF(EF82="","",IF(ISNUMBER('Dvd Calendar'!$F$784)=FALSE,"",IF((('Dvd Calendar'!$F$786=TYPE1)*(TYPE1&lt;&gt;"")+('Dvd Calendar'!$F$786=TYPE2)*(TYPE2&lt;&gt;"")+('Dvd Calendar'!$F$786=TYPE3)*(TYPE3&lt;&gt;"")+('Dvd Calendar'!$F$786=TYPE4)*(TYPE4&lt;&gt;"")+('Dvd Calendar'!$F$786=SPECIAL_LBL)*(INC_SPECIALS="Y"))=0,"",'Dvd Calendar'!$F$784)))</f>
        <v/>
      </c>
      <c r="E82" s="110">
        <f>IF(EG82="","",IF(ISNUMBER('Dvd Calendar'!$G$784)=FALSE,"",IF((('Dvd Calendar'!$G$786=TYPE1)*(TYPE1&lt;&gt;"")+('Dvd Calendar'!$G$786=TYPE2)*(TYPE2&lt;&gt;"")+('Dvd Calendar'!$G$786=TYPE3)*(TYPE3&lt;&gt;"")+('Dvd Calendar'!$G$786=TYPE4)*(TYPE4&lt;&gt;"")+('Dvd Calendar'!$G$786=SPECIAL_LBL)*(INC_SPECIALS="Y"))=0,"",'Dvd Calendar'!$G$784)))</f>
        <v/>
      </c>
      <c r="F82" s="110">
        <f>IF(EH82="","",IF(ISNUMBER('Dvd Calendar'!$H$784)=FALSE,"",IF((('Dvd Calendar'!$H$786=TYPE1)*(TYPE1&lt;&gt;"")+('Dvd Calendar'!$H$786=TYPE2)*(TYPE2&lt;&gt;"")+('Dvd Calendar'!$H$786=TYPE3)*(TYPE3&lt;&gt;"")+('Dvd Calendar'!$H$786=TYPE4)*(TYPE4&lt;&gt;"")+('Dvd Calendar'!$H$786=SPECIAL_LBL)*(INC_SPECIALS="Y"))=0,"",'Dvd Calendar'!$H$784)))</f>
        <v/>
      </c>
      <c r="G82" s="110">
        <f>IF(EI82="","",IF(ISNUMBER('Dvd Calendar'!$I$784)=FALSE,"",IF((('Dvd Calendar'!$I$786=TYPE1)*(TYPE1&lt;&gt;"")+('Dvd Calendar'!$I$786=TYPE2)*(TYPE2&lt;&gt;"")+('Dvd Calendar'!$I$786=TYPE3)*(TYPE3&lt;&gt;"")+('Dvd Calendar'!$I$786=TYPE4)*(TYPE4&lt;&gt;"")+('Dvd Calendar'!$I$786=SPECIAL_LBL)*(INC_SPECIALS="Y"))=0,"",'Dvd Calendar'!$I$784)))</f>
        <v/>
      </c>
      <c r="H82" s="110">
        <f>IF(EJ82="","",IF(ISNUMBER('Dvd Calendar'!$J$784)=FALSE,"",IF((('Dvd Calendar'!$J$786=TYPE1)*(TYPE1&lt;&gt;"")+('Dvd Calendar'!$J$786=TYPE2)*(TYPE2&lt;&gt;"")+('Dvd Calendar'!$J$786=TYPE3)*(TYPE3&lt;&gt;"")+('Dvd Calendar'!$J$786=TYPE4)*(TYPE4&lt;&gt;"")+('Dvd Calendar'!$J$786=SPECIAL_LBL)*(INC_SPECIALS="Y"))=0,"",'Dvd Calendar'!$J$784)))</f>
        <v/>
      </c>
      <c r="I82" s="110">
        <f>IF(EK82="","",IF(ISNUMBER('Dvd Calendar'!$K$784)=FALSE,"",IF((('Dvd Calendar'!$K$786=TYPE1)*(TYPE1&lt;&gt;"")+('Dvd Calendar'!$K$786=TYPE2)*(TYPE2&lt;&gt;"")+('Dvd Calendar'!$K$786=TYPE3)*(TYPE3&lt;&gt;"")+('Dvd Calendar'!$K$786=TYPE4)*(TYPE4&lt;&gt;"")+('Dvd Calendar'!$K$786=SPECIAL_LBL)*(INC_SPECIALS="Y"))=0,"",'Dvd Calendar'!$K$784)))</f>
        <v/>
      </c>
      <c r="J82" s="110">
        <f>IF(EL82="","",IF(ISNUMBER('Dvd Calendar'!$L$784)=FALSE,"",IF((('Dvd Calendar'!$L$786=TYPE1)*(TYPE1&lt;&gt;"")+('Dvd Calendar'!$L$786=TYPE2)*(TYPE2&lt;&gt;"")+('Dvd Calendar'!$L$786=TYPE3)*(TYPE3&lt;&gt;"")+('Dvd Calendar'!$L$786=TYPE4)*(TYPE4&lt;&gt;"")+('Dvd Calendar'!$L$786=SPECIAL_LBL)*(INC_SPECIALS="Y"))=0,"",'Dvd Calendar'!$L$784)))</f>
        <v/>
      </c>
      <c r="K82" s="110">
        <f>IF(EM82="","",IF(ISNUMBER('Dvd Calendar'!$M$784)=FALSE,"",IF((('Dvd Calendar'!$M$786=TYPE1)*(TYPE1&lt;&gt;"")+('Dvd Calendar'!$M$786=TYPE2)*(TYPE2&lt;&gt;"")+('Dvd Calendar'!$M$786=TYPE3)*(TYPE3&lt;&gt;"")+('Dvd Calendar'!$M$786=TYPE4)*(TYPE4&lt;&gt;"")+('Dvd Calendar'!$M$786=SPECIAL_LBL)*(INC_SPECIALS="Y"))=0,"",'Dvd Calendar'!$M$784)))</f>
        <v/>
      </c>
      <c r="L82" s="110">
        <f>IF(EN82="","",IF(ISNUMBER('Dvd Calendar'!$N$784)=FALSE,"",IF((('Dvd Calendar'!$N$786=TYPE1)*(TYPE1&lt;&gt;"")+('Dvd Calendar'!$N$786=TYPE2)*(TYPE2&lt;&gt;"")+('Dvd Calendar'!$N$786=TYPE3)*(TYPE3&lt;&gt;"")+('Dvd Calendar'!$N$786=TYPE4)*(TYPE4&lt;&gt;"")+('Dvd Calendar'!$N$786=SPECIAL_LBL)*(INC_SPECIALS="Y"))=0,"",'Dvd Calendar'!$N$784)))</f>
        <v/>
      </c>
      <c r="M82" s="110">
        <f>IF(EO82="","",IF(ISNUMBER('Dvd Calendar'!$O$784)=FALSE,"",IF((('Dvd Calendar'!$O$786=TYPE1)*(TYPE1&lt;&gt;"")+('Dvd Calendar'!$O$786=TYPE2)*(TYPE2&lt;&gt;"")+('Dvd Calendar'!$O$786=TYPE3)*(TYPE3&lt;&gt;"")+('Dvd Calendar'!$O$786=TYPE4)*(TYPE4&lt;&gt;"")+('Dvd Calendar'!$O$786=SPECIAL_LBL)*(INC_SPECIALS="Y"))=0,"",'Dvd Calendar'!$O$784)))</f>
        <v/>
      </c>
      <c r="N82" s="110">
        <f>IF(EP82="","",IF(ISNUMBER('Dvd Calendar'!$P$784)=FALSE,"",IF((('Dvd Calendar'!$P$786=TYPE1)*(TYPE1&lt;&gt;"")+('Dvd Calendar'!$P$786=TYPE2)*(TYPE2&lt;&gt;"")+('Dvd Calendar'!$P$786=TYPE3)*(TYPE3&lt;&gt;"")+('Dvd Calendar'!$P$786=TYPE4)*(TYPE4&lt;&gt;"")+('Dvd Calendar'!$P$786=SPECIAL_LBL)*(INC_SPECIALS="Y"))=0,"",'Dvd Calendar'!$P$784)))</f>
        <v/>
      </c>
      <c r="O82" s="110">
        <f>IF(EQ82="","",IF(ISNUMBER('Dvd Calendar'!$Q$784)=FALSE,"",IF((('Dvd Calendar'!$Q$786=TYPE1)*(TYPE1&lt;&gt;"")+('Dvd Calendar'!$Q$786=TYPE2)*(TYPE2&lt;&gt;"")+('Dvd Calendar'!$Q$786=TYPE3)*(TYPE3&lt;&gt;"")+('Dvd Calendar'!$Q$786=TYPE4)*(TYPE4&lt;&gt;"")+('Dvd Calendar'!$Q$786=SPECIAL_LBL)*(INC_SPECIALS="Y"))=0,"",'Dvd Calendar'!$Q$784)))</f>
        <v/>
      </c>
      <c r="P82" s="110">
        <f>IF(ER82="","",IF(ISNUMBER('Dvd Calendar'!$R$784)=FALSE,"",IF((('Dvd Calendar'!$R$786=TYPE1)*(TYPE1&lt;&gt;"")+('Dvd Calendar'!$R$786=TYPE2)*(TYPE2&lt;&gt;"")+('Dvd Calendar'!$R$786=TYPE3)*(TYPE3&lt;&gt;"")+('Dvd Calendar'!$R$786=TYPE4)*(TYPE4&lt;&gt;"")+('Dvd Calendar'!$R$786=SPECIAL_LBL)*(INC_SPECIALS="Y"))=0,"",'Dvd Calendar'!$R$784)))</f>
        <v/>
      </c>
      <c r="Q82" s="110">
        <f>IF(ES82="","",IF(ISNUMBER('Dvd Calendar'!$S$784)=FALSE,"",IF((('Dvd Calendar'!$S$786=TYPE1)*(TYPE1&lt;&gt;"")+('Dvd Calendar'!$S$786=TYPE2)*(TYPE2&lt;&gt;"")+('Dvd Calendar'!$S$786=TYPE3)*(TYPE3&lt;&gt;"")+('Dvd Calendar'!$S$786=TYPE4)*(TYPE4&lt;&gt;"")+('Dvd Calendar'!$S$786=SPECIAL_LBL)*(INC_SPECIALS="Y"))=0,"",'Dvd Calendar'!$S$784)))</f>
        <v/>
      </c>
      <c r="R82" s="110">
        <f>IF(ET82="","",IF(ISNUMBER('Dvd Calendar'!$T$784)=FALSE,"",IF((('Dvd Calendar'!$T$786=TYPE1)*(TYPE1&lt;&gt;"")+('Dvd Calendar'!$T$786=TYPE2)*(TYPE2&lt;&gt;"")+('Dvd Calendar'!$T$786=TYPE3)*(TYPE3&lt;&gt;"")+('Dvd Calendar'!$T$786=TYPE4)*(TYPE4&lt;&gt;"")+('Dvd Calendar'!$T$786=SPECIAL_LBL)*(INC_SPECIALS="Y"))=0,"",'Dvd Calendar'!$T$784)))</f>
        <v/>
      </c>
      <c r="S82" s="110">
        <f>IF(EU82="","",IF(ISNUMBER('Dvd Calendar'!$U$784)=FALSE,"",IF((('Dvd Calendar'!$U$786=TYPE1)*(TYPE1&lt;&gt;"")+('Dvd Calendar'!$U$786=TYPE2)*(TYPE2&lt;&gt;"")+('Dvd Calendar'!$U$786=TYPE3)*(TYPE3&lt;&gt;"")+('Dvd Calendar'!$U$786=TYPE4)*(TYPE4&lt;&gt;"")+('Dvd Calendar'!$U$786=SPECIAL_LBL)*(INC_SPECIALS="Y"))=0,"",'Dvd Calendar'!$U$784)))</f>
        <v/>
      </c>
      <c r="T82" s="110">
        <f>IF(EV82="","",IF(ISNUMBER('Dvd Calendar'!$V$784)=FALSE,"",IF((('Dvd Calendar'!$V$786=TYPE1)*(TYPE1&lt;&gt;"")+('Dvd Calendar'!$V$786=TYPE2)*(TYPE2&lt;&gt;"")+('Dvd Calendar'!$V$786=TYPE3)*(TYPE3&lt;&gt;"")+('Dvd Calendar'!$V$786=TYPE4)*(TYPE4&lt;&gt;"")+('Dvd Calendar'!$V$786=SPECIAL_LBL)*(INC_SPECIALS="Y"))=0,"",'Dvd Calendar'!$V$784)))</f>
        <v/>
      </c>
      <c r="U82" s="110">
        <f>IF(EW82="","",IF(ISNUMBER('Dvd Calendar'!$W$784)=FALSE,"",IF((('Dvd Calendar'!$W$786=TYPE1)*(TYPE1&lt;&gt;"")+('Dvd Calendar'!$W$786=TYPE2)*(TYPE2&lt;&gt;"")+('Dvd Calendar'!$W$786=TYPE3)*(TYPE3&lt;&gt;"")+('Dvd Calendar'!$W$786=TYPE4)*(TYPE4&lt;&gt;"")+('Dvd Calendar'!$W$786=SPECIAL_LBL)*(INC_SPECIALS="Y"))=0,"",'Dvd Calendar'!$W$784)))</f>
        <v/>
      </c>
      <c r="V82" s="110">
        <f>IF(EX82="","",IF(ISNUMBER('Dvd Calendar'!$X$784)=FALSE,"",IF((('Dvd Calendar'!$X$786=TYPE1)*(TYPE1&lt;&gt;"")+('Dvd Calendar'!$X$786=TYPE2)*(TYPE2&lt;&gt;"")+('Dvd Calendar'!$X$786=TYPE3)*(TYPE3&lt;&gt;"")+('Dvd Calendar'!$X$786=TYPE4)*(TYPE4&lt;&gt;"")+('Dvd Calendar'!$X$786=SPECIAL_LBL)*(INC_SPECIALS="Y"))=0,"",'Dvd Calendar'!$X$784)))</f>
        <v/>
      </c>
      <c r="W82" s="110">
        <f>IF(EY82="","",IF(ISNUMBER('Dvd Calendar'!$Y$784)=FALSE,"",IF((('Dvd Calendar'!$Y$786=TYPE1)*(TYPE1&lt;&gt;"")+('Dvd Calendar'!$Y$786=TYPE2)*(TYPE2&lt;&gt;"")+('Dvd Calendar'!$Y$786=TYPE3)*(TYPE3&lt;&gt;"")+('Dvd Calendar'!$Y$786=TYPE4)*(TYPE4&lt;&gt;"")+('Dvd Calendar'!$Y$786=SPECIAL_LBL)*(INC_SPECIALS="Y"))=0,"",'Dvd Calendar'!$Y$784)))</f>
        <v/>
      </c>
      <c r="X82" s="110">
        <f>IF(EZ82="","",IF(ISNUMBER('Dvd Calendar'!$Z$784)=FALSE,"",IF((('Dvd Calendar'!$Z$786=TYPE1)*(TYPE1&lt;&gt;"")+('Dvd Calendar'!$Z$786=TYPE2)*(TYPE2&lt;&gt;"")+('Dvd Calendar'!$Z$786=TYPE3)*(TYPE3&lt;&gt;"")+('Dvd Calendar'!$Z$786=TYPE4)*(TYPE4&lt;&gt;"")+('Dvd Calendar'!$Z$786=SPECIAL_LBL)*(INC_SPECIALS="Y"))=0,"",'Dvd Calendar'!$Z$784)))</f>
        <v/>
      </c>
      <c r="Y82" s="110">
        <f>IF(FA82="","",IF(ISNUMBER('Dvd Calendar'!$AA$784)=FALSE,"",IF((('Dvd Calendar'!$AA$786=TYPE1)*(TYPE1&lt;&gt;"")+('Dvd Calendar'!$AA$786=TYPE2)*(TYPE2&lt;&gt;"")+('Dvd Calendar'!$AA$786=TYPE3)*(TYPE3&lt;&gt;"")+('Dvd Calendar'!$AA$786=TYPE4)*(TYPE4&lt;&gt;"")+('Dvd Calendar'!$AA$786=SPECIAL_LBL)*(INC_SPECIALS="Y"))=0,"",'Dvd Calendar'!$AA$784)))</f>
        <v/>
      </c>
      <c r="Z82" s="110">
        <f>IF(FB82="","",IF(ISNUMBER('Dvd Calendar'!$AB$784)=FALSE,"",IF((('Dvd Calendar'!$AB$786=TYPE1)*(TYPE1&lt;&gt;"")+('Dvd Calendar'!$AB$786=TYPE2)*(TYPE2&lt;&gt;"")+('Dvd Calendar'!$AB$786=TYPE3)*(TYPE3&lt;&gt;"")+('Dvd Calendar'!$AB$786=TYPE4)*(TYPE4&lt;&gt;"")+('Dvd Calendar'!$AB$786=SPECIAL_LBL)*(INC_SPECIALS="Y"))=0,"",'Dvd Calendar'!$AB$784)))</f>
        <v/>
      </c>
      <c r="AA82" s="110">
        <f>IF(FC82="","",IF(ISNUMBER('Dvd Calendar'!$AC$784)=FALSE,"",IF((('Dvd Calendar'!$AC$786=TYPE1)*(TYPE1&lt;&gt;"")+('Dvd Calendar'!$AC$786=TYPE2)*(TYPE2&lt;&gt;"")+('Dvd Calendar'!$AC$786=TYPE3)*(TYPE3&lt;&gt;"")+('Dvd Calendar'!$AC$786=TYPE4)*(TYPE4&lt;&gt;"")+('Dvd Calendar'!$AC$786=SPECIAL_LBL)*(INC_SPECIALS="Y"))=0,"",'Dvd Calendar'!$AC$784)))</f>
        <v/>
      </c>
      <c r="AB82" s="110">
        <f>IF(FD82="","",IF(ISNUMBER('Dvd Calendar'!$AD$784)=FALSE,"",IF((('Dvd Calendar'!$AD$786=TYPE1)*(TYPE1&lt;&gt;"")+('Dvd Calendar'!$AD$786=TYPE2)*(TYPE2&lt;&gt;"")+('Dvd Calendar'!$AD$786=TYPE3)*(TYPE3&lt;&gt;"")+('Dvd Calendar'!$AD$786=TYPE4)*(TYPE4&lt;&gt;"")+('Dvd Calendar'!$AD$786=SPECIAL_LBL)*(INC_SPECIALS="Y"))=0,"",'Dvd Calendar'!$AD$784)))</f>
        <v/>
      </c>
      <c r="AC82" s="110">
        <f>IF(FE82="","",IF(ISNUMBER('Dvd Calendar'!$AE$784)=FALSE,"",IF((('Dvd Calendar'!$AE$786=TYPE1)*(TYPE1&lt;&gt;"")+('Dvd Calendar'!$AE$786=TYPE2)*(TYPE2&lt;&gt;"")+('Dvd Calendar'!$AE$786=TYPE3)*(TYPE3&lt;&gt;"")+('Dvd Calendar'!$AE$786=TYPE4)*(TYPE4&lt;&gt;"")+('Dvd Calendar'!$AE$786=SPECIAL_LBL)*(INC_SPECIALS="Y"))=0,"",'Dvd Calendar'!$AE$784)))</f>
        <v/>
      </c>
      <c r="AD82" s="110">
        <f>IF(FF82="","",IF(ISNUMBER('Dvd Calendar'!$AF$784)=FALSE,"",IF((('Dvd Calendar'!$AF$786=TYPE1)*(TYPE1&lt;&gt;"")+('Dvd Calendar'!$AF$786=TYPE2)*(TYPE2&lt;&gt;"")+('Dvd Calendar'!$AF$786=TYPE3)*(TYPE3&lt;&gt;"")+('Dvd Calendar'!$AF$786=TYPE4)*(TYPE4&lt;&gt;"")+('Dvd Calendar'!$AF$786=SPECIAL_LBL)*(INC_SPECIALS="Y"))=0,"",'Dvd Calendar'!$AF$784)))</f>
        <v/>
      </c>
      <c r="AE82" s="110">
        <f>IF(FG82="","",IF(ISNUMBER('Dvd Calendar'!$AG$784)=FALSE,"",IF((('Dvd Calendar'!$AG$786=TYPE1)*(TYPE1&lt;&gt;"")+('Dvd Calendar'!$AG$786=TYPE2)*(TYPE2&lt;&gt;"")+('Dvd Calendar'!$AG$786=TYPE3)*(TYPE3&lt;&gt;"")+('Dvd Calendar'!$AG$786=TYPE4)*(TYPE4&lt;&gt;"")+('Dvd Calendar'!$AG$786=SPECIAL_LBL)*(INC_SPECIALS="Y"))=0,"",'Dvd Calendar'!$AG$784)))</f>
        <v/>
      </c>
      <c r="AF82" s="110">
        <f>IF(FH82="","",IF(ISNUMBER('Dvd Calendar'!$AH$784)=FALSE,"",IF((('Dvd Calendar'!$AH$786=TYPE1)*(TYPE1&lt;&gt;"")+('Dvd Calendar'!$AH$786=TYPE2)*(TYPE2&lt;&gt;"")+('Dvd Calendar'!$AH$786=TYPE3)*(TYPE3&lt;&gt;"")+('Dvd Calendar'!$AH$786=TYPE4)*(TYPE4&lt;&gt;"")+('Dvd Calendar'!$AH$786=SPECIAL_LBL)*(INC_SPECIALS="Y"))=0,"",'Dvd Calendar'!$AH$784)))</f>
        <v/>
      </c>
      <c r="AG82" s="110">
        <f>IF(FI82="","",IF(ISNUMBER('Dvd Calendar'!$AI$784)=FALSE,"",IF((('Dvd Calendar'!$AI$786=TYPE1)*(TYPE1&lt;&gt;"")+('Dvd Calendar'!$AI$786=TYPE2)*(TYPE2&lt;&gt;"")+('Dvd Calendar'!$AI$786=TYPE3)*(TYPE3&lt;&gt;"")+('Dvd Calendar'!$AI$786=TYPE4)*(TYPE4&lt;&gt;"")+('Dvd Calendar'!$AI$786=SPECIAL_LBL)*(INC_SPECIALS="Y"))=0,"",'Dvd Calendar'!$AI$784)))</f>
        <v/>
      </c>
      <c r="AH82" s="110">
        <f>IF(FJ82="","",IF(ISNUMBER('Dvd Calendar'!$AJ$784)=FALSE,"",IF((('Dvd Calendar'!$AJ$786=TYPE1)*(TYPE1&lt;&gt;"")+('Dvd Calendar'!$AJ$786=TYPE2)*(TYPE2&lt;&gt;"")+('Dvd Calendar'!$AJ$786=TYPE3)*(TYPE3&lt;&gt;"")+('Dvd Calendar'!$AJ$786=TYPE4)*(TYPE4&lt;&gt;"")+('Dvd Calendar'!$AJ$786=SPECIAL_LBL)*(INC_SPECIALS="Y"))=0,"",'Dvd Calendar'!$AJ$784)))</f>
        <v/>
      </c>
      <c r="AI82" s="110">
        <f>IF(FK82="","",IF(ISNUMBER('Dvd Calendar'!$AK$784)=FALSE,"",IF((('Dvd Calendar'!$AK$786=TYPE1)*(TYPE1&lt;&gt;"")+('Dvd Calendar'!$AK$786=TYPE2)*(TYPE2&lt;&gt;"")+('Dvd Calendar'!$AK$786=TYPE3)*(TYPE3&lt;&gt;"")+('Dvd Calendar'!$AK$786=TYPE4)*(TYPE4&lt;&gt;"")+('Dvd Calendar'!$AK$786=SPECIAL_LBL)*(INC_SPECIALS="Y"))=0,"",'Dvd Calendar'!$AK$784)))</f>
        <v/>
      </c>
      <c r="AJ82" s="110">
        <f>IF(FL82="","",IF(ISNUMBER('Dvd Calendar'!$AL$784)=FALSE,"",IF((('Dvd Calendar'!$AL$786=TYPE1)*(TYPE1&lt;&gt;"")+('Dvd Calendar'!$AL$786=TYPE2)*(TYPE2&lt;&gt;"")+('Dvd Calendar'!$AL$786=TYPE3)*(TYPE3&lt;&gt;"")+('Dvd Calendar'!$AL$786=TYPE4)*(TYPE4&lt;&gt;"")+('Dvd Calendar'!$AL$786=SPECIAL_LBL)*(INC_SPECIALS="Y"))=0,"",'Dvd Calendar'!$AL$784)))</f>
        <v/>
      </c>
      <c r="AK82" s="110">
        <f>IF(FM82="","",IF(ISNUMBER('Dvd Calendar'!$AM$784)=FALSE,"",IF((('Dvd Calendar'!$AM$786=TYPE1)*(TYPE1&lt;&gt;"")+('Dvd Calendar'!$AM$786=TYPE2)*(TYPE2&lt;&gt;"")+('Dvd Calendar'!$AM$786=TYPE3)*(TYPE3&lt;&gt;"")+('Dvd Calendar'!$AM$786=TYPE4)*(TYPE4&lt;&gt;"")+('Dvd Calendar'!$AM$786=SPECIAL_LBL)*(INC_SPECIALS="Y"))=0,"",'Dvd Calendar'!$AM$784)))</f>
        <v/>
      </c>
      <c r="AL82" s="110">
        <f>IF(FN82="","",IF(ISNUMBER('Dvd Calendar'!$AN$784)=FALSE,"",IF((('Dvd Calendar'!$AN$786=TYPE1)*(TYPE1&lt;&gt;"")+('Dvd Calendar'!$AN$786=TYPE2)*(TYPE2&lt;&gt;"")+('Dvd Calendar'!$AN$786=TYPE3)*(TYPE3&lt;&gt;"")+('Dvd Calendar'!$AN$786=TYPE4)*(TYPE4&lt;&gt;"")+('Dvd Calendar'!$AN$786=SPECIAL_LBL)*(INC_SPECIALS="Y"))=0,"",'Dvd Calendar'!$AN$784)))</f>
        <v/>
      </c>
      <c r="AM82" s="110">
        <f>IF(FO82="","",IF(ISNUMBER('Dvd Calendar'!$AO$784)=FALSE,"",IF((('Dvd Calendar'!$AO$786=TYPE1)*(TYPE1&lt;&gt;"")+('Dvd Calendar'!$AO$786=TYPE2)*(TYPE2&lt;&gt;"")+('Dvd Calendar'!$AO$786=TYPE3)*(TYPE3&lt;&gt;"")+('Dvd Calendar'!$AO$786=TYPE4)*(TYPE4&lt;&gt;"")+('Dvd Calendar'!$AO$786=SPECIAL_LBL)*(INC_SPECIALS="Y"))=0,"",'Dvd Calendar'!$AO$784)))</f>
        <v/>
      </c>
      <c r="AN82" s="110">
        <f>IF(FP82="","",IF(ISNUMBER('Dvd Calendar'!$AP$784)=FALSE,"",IF((('Dvd Calendar'!$AP$786=TYPE1)*(TYPE1&lt;&gt;"")+('Dvd Calendar'!$AP$786=TYPE2)*(TYPE2&lt;&gt;"")+('Dvd Calendar'!$AP$786=TYPE3)*(TYPE3&lt;&gt;"")+('Dvd Calendar'!$AP$786=TYPE4)*(TYPE4&lt;&gt;"")+('Dvd Calendar'!$AP$786=SPECIAL_LBL)*(INC_SPECIALS="Y"))=0,"",'Dvd Calendar'!$AP$784)))</f>
        <v/>
      </c>
      <c r="AO82" s="110">
        <f>IF(FQ82="","",IF(ISNUMBER('Dvd Calendar'!$AQ$784)=FALSE,"",IF((('Dvd Calendar'!$AQ$786=TYPE1)*(TYPE1&lt;&gt;"")+('Dvd Calendar'!$AQ$786=TYPE2)*(TYPE2&lt;&gt;"")+('Dvd Calendar'!$AQ$786=TYPE3)*(TYPE3&lt;&gt;"")+('Dvd Calendar'!$AQ$786=TYPE4)*(TYPE4&lt;&gt;"")+('Dvd Calendar'!$AQ$786=SPECIAL_LBL)*(INC_SPECIALS="Y"))=0,"",'Dvd Calendar'!$AQ$784)))</f>
        <v/>
      </c>
      <c r="AP82" s="110">
        <f>IF(FR82="","",IF(ISNUMBER('Dvd Calendar'!$AR$784)=FALSE,"",IF((('Dvd Calendar'!$AR$786=TYPE1)*(TYPE1&lt;&gt;"")+('Dvd Calendar'!$AR$786=TYPE2)*(TYPE2&lt;&gt;"")+('Dvd Calendar'!$AR$786=TYPE3)*(TYPE3&lt;&gt;"")+('Dvd Calendar'!$AR$786=TYPE4)*(TYPE4&lt;&gt;"")+('Dvd Calendar'!$AR$786=SPECIAL_LBL)*(INC_SPECIALS="Y"))=0,"",'Dvd Calendar'!$AR$784)))</f>
        <v/>
      </c>
      <c r="AQ82" s="110">
        <f>IF(FS82="","",IF(ISNUMBER('Dvd Calendar'!$E$789)=FALSE,"",'Dvd Calendar'!$E$789))</f>
        <v/>
      </c>
      <c r="AR82" s="110">
        <f>IF(FT82="","",IF(ISNUMBER('Dvd Calendar'!$F$789)=FALSE,"",'Dvd Calendar'!$F$789))</f>
        <v/>
      </c>
      <c r="AS82" s="110">
        <f>IF(FU82="","",IF(ISNUMBER('Dvd Calendar'!$G$789)=FALSE,"",'Dvd Calendar'!$G$789))</f>
        <v/>
      </c>
      <c r="AT82" s="110">
        <f>IF(FV82="","",IF(ISNUMBER('Dvd Calendar'!$H$789)=FALSE,"",'Dvd Calendar'!$H$789))</f>
        <v/>
      </c>
      <c r="AU82" s="110">
        <f>IF(FW82="","",IF(ISNUMBER('Dvd Calendar'!$I$789)=FALSE,"",'Dvd Calendar'!$I$789))</f>
        <v/>
      </c>
      <c r="AV82" s="110">
        <f>IF(FX82="","",IF(ISNUMBER('Dvd Calendar'!$J$789)=FALSE,"",'Dvd Calendar'!$J$789))</f>
        <v/>
      </c>
      <c r="AW82" s="110">
        <f>IF(FY82="","",IF(ISNUMBER('Dvd Calendar'!$K$789)=FALSE,"",'Dvd Calendar'!$K$789))</f>
        <v/>
      </c>
      <c r="AX82" s="110">
        <f>IF(FZ82="","",IF(ISNUMBER('Dvd Calendar'!$L$789)=FALSE,"",'Dvd Calendar'!$L$789))</f>
        <v/>
      </c>
      <c r="AY82" s="110">
        <f>IF(GA82="","",IF(ISNUMBER('Dvd Calendar'!$M$789)=FALSE,"",'Dvd Calendar'!$M$789))</f>
        <v/>
      </c>
      <c r="AZ82" s="110">
        <f>IF(GB82="","",IF(ISNUMBER('Dvd Calendar'!$N$789)=FALSE,"",'Dvd Calendar'!$N$789))</f>
        <v/>
      </c>
      <c r="BA82" s="110">
        <f>IF(GC82="","",IF(ISNUMBER('Dvd Calendar'!$O$789)=FALSE,"",'Dvd Calendar'!$O$789))</f>
        <v/>
      </c>
      <c r="BB82" s="110">
        <f>IF(GD82="","",IF(ISNUMBER('Dvd Calendar'!$P$789)=FALSE,"",'Dvd Calendar'!$P$789))</f>
        <v/>
      </c>
      <c r="BC82" s="110">
        <f>IF(GE82="","",IF(ISNUMBER('Dvd Calendar'!$Q$789)=FALSE,"",'Dvd Calendar'!$Q$789))</f>
        <v/>
      </c>
      <c r="BD82" s="110">
        <f>IF(GF82="","",IF(ISNUMBER('Dvd Calendar'!$R$789)=FALSE,"",'Dvd Calendar'!$R$789))</f>
        <v/>
      </c>
      <c r="BE82" s="110">
        <f>IF(GG82="","",IF(ISNUMBER('Dvd Calendar'!$S$789)=FALSE,"",'Dvd Calendar'!$S$789))</f>
        <v/>
      </c>
      <c r="BF82" s="110">
        <f>IF(GH82="","",IF(ISNUMBER('Dvd Calendar'!$T$789)=FALSE,"",'Dvd Calendar'!$T$789))</f>
        <v/>
      </c>
      <c r="BG82" s="110">
        <f>IF(GI82="","",IF(ISNUMBER('Dvd Calendar'!$U$789)=FALSE,"",'Dvd Calendar'!$U$789))</f>
        <v/>
      </c>
      <c r="BH82" s="110">
        <f>IF(GJ82="","",IF(ISNUMBER('Dvd Calendar'!$V$789)=FALSE,"",'Dvd Calendar'!$V$789))</f>
        <v/>
      </c>
      <c r="BI82" s="110">
        <f>IF(GK82="","",IF(ISNUMBER('Dvd Calendar'!$W$789)=FALSE,"",'Dvd Calendar'!$W$789))</f>
        <v/>
      </c>
      <c r="BJ82" s="110">
        <f>IF(GL82="","",IF(ISNUMBER('Dvd Calendar'!$X$789)=FALSE,"",'Dvd Calendar'!$X$789))</f>
        <v/>
      </c>
      <c r="BK82" s="110">
        <f>IF(GM82="","",IF(ISNUMBER('Dvd Calendar'!$Y$789)=FALSE,"",'Dvd Calendar'!$Y$789))</f>
        <v/>
      </c>
      <c r="BL82" s="110">
        <f>IF(GN82="","",IF(ISNUMBER('Dvd Calendar'!$Z$789)=FALSE,"",'Dvd Calendar'!$Z$789))</f>
        <v/>
      </c>
      <c r="BM82" s="110">
        <f>IF(GO82="","",IF(ISNUMBER('Dvd Calendar'!$AA$789)=FALSE,"",'Dvd Calendar'!$AA$789))</f>
        <v/>
      </c>
      <c r="BN82" s="110">
        <f>IF(GP82="","",IF(ISNUMBER('Dvd Calendar'!$AB$789)=FALSE,"",'Dvd Calendar'!$AB$789))</f>
        <v/>
      </c>
      <c r="BO82" s="110">
        <f>IF(GQ82="","",IF(ISNUMBER('Dvd Calendar'!$AC$789)=FALSE,"",'Dvd Calendar'!$AC$789))</f>
        <v/>
      </c>
      <c r="BQ82" s="110">
        <f>IF(C82="","",IFERROR(C82*HSI!$B$77*HSI!$G$77/HSI!$B$3,""))</f>
        <v/>
      </c>
      <c r="BR82" s="110">
        <f>IF(D82="","",IFERROR(D82*HSI!$B$77*HSI!$G$77/HSI!$B$3,""))</f>
        <v/>
      </c>
      <c r="BS82" s="110">
        <f>IF(E82="","",IFERROR(E82*HSI!$B$77*HSI!$G$77/HSI!$B$3,""))</f>
        <v/>
      </c>
      <c r="BT82" s="110">
        <f>IF(F82="","",IFERROR(F82*HSI!$B$77*HSI!$G$77/HSI!$B$3,""))</f>
        <v/>
      </c>
      <c r="BU82" s="110">
        <f>IF(G82="","",IFERROR(G82*HSI!$B$77*HSI!$G$77/HSI!$B$3,""))</f>
        <v/>
      </c>
      <c r="BV82" s="110">
        <f>IF(H82="","",IFERROR(H82*HSI!$B$77*HSI!$G$77/HSI!$B$3,""))</f>
        <v/>
      </c>
      <c r="BW82" s="110">
        <f>IF(I82="","",IFERROR(I82*HSI!$B$77*HSI!$G$77/HSI!$B$3,""))</f>
        <v/>
      </c>
      <c r="BX82" s="110">
        <f>IF(J82="","",IFERROR(J82*HSI!$B$77*HSI!$G$77/HSI!$B$3,""))</f>
        <v/>
      </c>
      <c r="BY82" s="110">
        <f>IF(K82="","",IFERROR(K82*HSI!$B$77*HSI!$G$77/HSI!$B$3,""))</f>
        <v/>
      </c>
      <c r="BZ82" s="110">
        <f>IF(L82="","",IFERROR(L82*HSI!$B$77*HSI!$G$77/HSI!$B$3,""))</f>
        <v/>
      </c>
      <c r="CA82" s="110">
        <f>IF(M82="","",IFERROR(M82*HSI!$B$77*HSI!$G$77/HSI!$B$3,""))</f>
        <v/>
      </c>
      <c r="CB82" s="110">
        <f>IF(N82="","",IFERROR(N82*HSI!$B$77*HSI!$G$77/HSI!$B$3,""))</f>
        <v/>
      </c>
      <c r="CC82" s="110">
        <f>IF(O82="","",IFERROR(O82*HSI!$B$77*HSI!$G$77/HSI!$B$3,""))</f>
        <v/>
      </c>
      <c r="CD82" s="110">
        <f>IF(P82="","",IFERROR(P82*HSI!$B$77*HSI!$G$77/HSI!$B$3,""))</f>
        <v/>
      </c>
      <c r="CE82" s="110">
        <f>IF(Q82="","",IFERROR(Q82*HSI!$B$77*HSI!$G$77/HSI!$B$3,""))</f>
        <v/>
      </c>
      <c r="CF82" s="110">
        <f>IF(R82="","",IFERROR(R82*HSI!$B$77*HSI!$G$77/HSI!$B$3,""))</f>
        <v/>
      </c>
      <c r="CG82" s="110">
        <f>IF(S82="","",IFERROR(S82*HSI!$B$77*HSI!$G$77/HSI!$B$3,""))</f>
        <v/>
      </c>
      <c r="CH82" s="110">
        <f>IF(T82="","",IFERROR(T82*HSI!$B$77*HSI!$G$77/HSI!$B$3,""))</f>
        <v/>
      </c>
      <c r="CI82" s="110">
        <f>IF(U82="","",IFERROR(U82*HSI!$B$77*HSI!$G$77/HSI!$B$3,""))</f>
        <v/>
      </c>
      <c r="CJ82" s="110">
        <f>IF(V82="","",IFERROR(V82*HSI!$B$77*HSI!$G$77/HSI!$B$3,""))</f>
        <v/>
      </c>
      <c r="CK82" s="110">
        <f>IF(W82="","",IFERROR(W82*HSI!$B$77*HSI!$G$77/HSI!$B$3,""))</f>
        <v/>
      </c>
      <c r="CL82" s="110">
        <f>IF(X82="","",IFERROR(X82*HSI!$B$77*HSI!$G$77/HSI!$B$3,""))</f>
        <v/>
      </c>
      <c r="CM82" s="110">
        <f>IF(Y82="","",IFERROR(Y82*HSI!$B$77*HSI!$G$77/HSI!$B$3,""))</f>
        <v/>
      </c>
      <c r="CN82" s="110">
        <f>IF(Z82="","",IFERROR(Z82*HSI!$B$77*HSI!$G$77/HSI!$B$3,""))</f>
        <v/>
      </c>
      <c r="CO82" s="110">
        <f>IF(AA82="","",IFERROR(AA82*HSI!$B$77*HSI!$G$77/HSI!$B$3,""))</f>
        <v/>
      </c>
      <c r="CP82" s="110">
        <f>IF(AB82="","",IFERROR(AB82*HSI!$B$77*HSI!$G$77/HSI!$B$3,""))</f>
        <v/>
      </c>
      <c r="CQ82" s="110">
        <f>IF(AC82="","",IFERROR(AC82*HSI!$B$77*HSI!$G$77/HSI!$B$3,""))</f>
        <v/>
      </c>
      <c r="CR82" s="110">
        <f>IF(AD82="","",IFERROR(AD82*HSI!$B$77*HSI!$G$77/HSI!$B$3,""))</f>
        <v/>
      </c>
      <c r="CS82" s="110">
        <f>IF(AE82="","",IFERROR(AE82*HSI!$B$77*HSI!$G$77/HSI!$B$3,""))</f>
        <v/>
      </c>
      <c r="CT82" s="110">
        <f>IF(AF82="","",IFERROR(AF82*HSI!$B$77*HSI!$G$77/HSI!$B$3,""))</f>
        <v/>
      </c>
      <c r="CU82" s="110">
        <f>IF(AG82="","",IFERROR(AG82*HSI!$B$77*HSI!$G$77/HSI!$B$3,""))</f>
        <v/>
      </c>
      <c r="CV82" s="110">
        <f>IF(AH82="","",IFERROR(AH82*HSI!$B$77*HSI!$G$77/HSI!$B$3,""))</f>
        <v/>
      </c>
      <c r="CW82" s="110">
        <f>IF(AI82="","",IFERROR(AI82*HSI!$B$77*HSI!$G$77/HSI!$B$3,""))</f>
        <v/>
      </c>
      <c r="CX82" s="110">
        <f>IF(AJ82="","",IFERROR(AJ82*HSI!$B$77*HSI!$G$77/HSI!$B$3,""))</f>
        <v/>
      </c>
      <c r="CY82" s="110">
        <f>IF(AK82="","",IFERROR(AK82*HSI!$B$77*HSI!$G$77/HSI!$B$3,""))</f>
        <v/>
      </c>
      <c r="CZ82" s="110">
        <f>IF(AL82="","",IFERROR(AL82*HSI!$B$77*HSI!$G$77/HSI!$B$3,""))</f>
        <v/>
      </c>
      <c r="DA82" s="110">
        <f>IF(AM82="","",IFERROR(AM82*HSI!$B$77*HSI!$G$77/HSI!$B$3,""))</f>
        <v/>
      </c>
      <c r="DB82" s="110">
        <f>IF(AN82="","",IFERROR(AN82*HSI!$B$77*HSI!$G$77/HSI!$B$3,""))</f>
        <v/>
      </c>
      <c r="DC82" s="110">
        <f>IF(AO82="","",IFERROR(AO82*HSI!$B$77*HSI!$G$77/HSI!$B$3,""))</f>
        <v/>
      </c>
      <c r="DD82" s="110">
        <f>IF(AP82="","",IFERROR(AP82*HSI!$B$77*HSI!$G$77/HSI!$B$3,""))</f>
        <v/>
      </c>
      <c r="DE82" s="110">
        <f>IF(AQ82="","",IFERROR(AQ82*HSI!$B$77*HSI!$G$77/HSI!$B$3,""))</f>
        <v/>
      </c>
      <c r="DF82" s="110">
        <f>IF(AR82="","",IFERROR(AR82*HSI!$B$77*HSI!$G$77/HSI!$B$3,""))</f>
        <v/>
      </c>
      <c r="DG82" s="110">
        <f>IF(AS82="","",IFERROR(AS82*HSI!$B$77*HSI!$G$77/HSI!$B$3,""))</f>
        <v/>
      </c>
      <c r="DH82" s="110">
        <f>IF(AT82="","",IFERROR(AT82*HSI!$B$77*HSI!$G$77/HSI!$B$3,""))</f>
        <v/>
      </c>
      <c r="DI82" s="110">
        <f>IF(AU82="","",IFERROR(AU82*HSI!$B$77*HSI!$G$77/HSI!$B$3,""))</f>
        <v/>
      </c>
      <c r="DJ82" s="110">
        <f>IF(AV82="","",IFERROR(AV82*HSI!$B$77*HSI!$G$77/HSI!$B$3,""))</f>
        <v/>
      </c>
      <c r="DK82" s="110">
        <f>IF(AW82="","",IFERROR(AW82*HSI!$B$77*HSI!$G$77/HSI!$B$3,""))</f>
        <v/>
      </c>
      <c r="DL82" s="110">
        <f>IF(AX82="","",IFERROR(AX82*HSI!$B$77*HSI!$G$77/HSI!$B$3,""))</f>
        <v/>
      </c>
      <c r="DM82" s="110">
        <f>IF(AY82="","",IFERROR(AY82*HSI!$B$77*HSI!$G$77/HSI!$B$3,""))</f>
        <v/>
      </c>
      <c r="DN82" s="110">
        <f>IF(AZ82="","",IFERROR(AZ82*HSI!$B$77*HSI!$G$77/HSI!$B$3,""))</f>
        <v/>
      </c>
      <c r="DO82" s="110">
        <f>IF(BA82="","",IFERROR(BA82*HSI!$B$77*HSI!$G$77/HSI!$B$3,""))</f>
        <v/>
      </c>
      <c r="DP82" s="110">
        <f>IF(BB82="","",IFERROR(BB82*HSI!$B$77*HSI!$G$77/HSI!$B$3,""))</f>
        <v/>
      </c>
      <c r="DQ82" s="110">
        <f>IF(BC82="","",IFERROR(BC82*HSI!$B$77*HSI!$G$77/HSI!$B$3,""))</f>
        <v/>
      </c>
      <c r="DR82" s="110">
        <f>IF(BD82="","",IFERROR(BD82*HSI!$B$77*HSI!$G$77/HSI!$B$3,""))</f>
        <v/>
      </c>
      <c r="DS82" s="110">
        <f>IF(BE82="","",IFERROR(BE82*HSI!$B$77*HSI!$G$77/HSI!$B$3,""))</f>
        <v/>
      </c>
      <c r="DT82" s="110">
        <f>IF(BF82="","",IFERROR(BF82*HSI!$B$77*HSI!$G$77/HSI!$B$3,""))</f>
        <v/>
      </c>
      <c r="DU82" s="110">
        <f>IF(BG82="","",IFERROR(BG82*HSI!$B$77*HSI!$G$77/HSI!$B$3,""))</f>
        <v/>
      </c>
      <c r="DV82" s="110">
        <f>IF(BH82="","",IFERROR(BH82*HSI!$B$77*HSI!$G$77/HSI!$B$3,""))</f>
        <v/>
      </c>
      <c r="DW82" s="110">
        <f>IF(BI82="","",IFERROR(BI82*HSI!$B$77*HSI!$G$77/HSI!$B$3,""))</f>
        <v/>
      </c>
      <c r="DX82" s="110">
        <f>IF(BJ82="","",IFERROR(BJ82*HSI!$B$77*HSI!$G$77/HSI!$B$3,""))</f>
        <v/>
      </c>
      <c r="DY82" s="110">
        <f>IF(BK82="","",IFERROR(BK82*HSI!$B$77*HSI!$G$77/HSI!$B$3,""))</f>
        <v/>
      </c>
      <c r="DZ82" s="110">
        <f>IF(BL82="","",IFERROR(BL82*HSI!$B$77*HSI!$G$77/HSI!$B$3,""))</f>
        <v/>
      </c>
      <c r="EA82" s="110">
        <f>IF(BM82="","",IFERROR(BM82*HSI!$B$77*HSI!$G$77/HSI!$B$3,""))</f>
        <v/>
      </c>
      <c r="EB82" s="110">
        <f>IF(BN82="","",IFERROR(BN82*HSI!$B$77*HSI!$G$77/HSI!$B$3,""))</f>
        <v/>
      </c>
      <c r="EC82" s="110">
        <f>IF(BO82="","",IFERROR(BO82*HSI!$B$77*HSI!$G$77/HSI!$B$3,""))</f>
        <v/>
      </c>
      <c r="EE82" s="39">
        <f>IF(N('Dvd Calendar'!$E$781)=0,"",IF(('Dvd Calendar'!$E$781&gt;=GRID_FROM)*('Dvd Calendar'!$E$781&lt;=GRID_TO)*((('Dvd Calendar'!$E$781&lt;=VAL_DATE)+(COUNTIF('Dvd Calendar'!$E$788:$AR$788,'Dvd Calendar'!$E$781)=0))&gt;0)=0,"",'Dvd Calendar'!$E$781*1000000000+ISNUMBER('Dvd Calendar'!$E$784)*100000000+('Dvd Calendar'!$E$786=SPECIAL_LBL)*10000000+(N('Dvd Calendar'!$E$780)&gt;0)*(N('Dvd Calendar'!$E$780)&lt;=VAL_SERIAL)*1000000+71*1000+1))</f>
        <v/>
      </c>
      <c r="EF82" s="39">
        <f>IF(N('Dvd Calendar'!$F$781)=0,"",IF(('Dvd Calendar'!$F$781&gt;=GRID_FROM)*('Dvd Calendar'!$F$781&lt;=GRID_TO)*((('Dvd Calendar'!$F$781&lt;=VAL_DATE)+(COUNTIF('Dvd Calendar'!$E$788:$AR$788,'Dvd Calendar'!$F$781)=0))&gt;0)=0,"",'Dvd Calendar'!$F$781*1000000000+ISNUMBER('Dvd Calendar'!$F$784)*100000000+('Dvd Calendar'!$F$786=SPECIAL_LBL)*10000000+(N('Dvd Calendar'!$F$780)&gt;0)*(N('Dvd Calendar'!$F$780)&lt;=VAL_SERIAL)*1000000+71*1000+2))</f>
        <v/>
      </c>
      <c r="EG82" s="39">
        <f>IF(N('Dvd Calendar'!$G$781)=0,"",IF(('Dvd Calendar'!$G$781&gt;=GRID_FROM)*('Dvd Calendar'!$G$781&lt;=GRID_TO)*((('Dvd Calendar'!$G$781&lt;=VAL_DATE)+(COUNTIF('Dvd Calendar'!$E$788:$AR$788,'Dvd Calendar'!$G$781)=0))&gt;0)=0,"",'Dvd Calendar'!$G$781*1000000000+ISNUMBER('Dvd Calendar'!$G$784)*100000000+('Dvd Calendar'!$G$786=SPECIAL_LBL)*10000000+(N('Dvd Calendar'!$G$780)&gt;0)*(N('Dvd Calendar'!$G$780)&lt;=VAL_SERIAL)*1000000+71*1000+3))</f>
        <v/>
      </c>
      <c r="EH82" s="39">
        <f>IF(N('Dvd Calendar'!$H$781)=0,"",IF(('Dvd Calendar'!$H$781&gt;=GRID_FROM)*('Dvd Calendar'!$H$781&lt;=GRID_TO)*((('Dvd Calendar'!$H$781&lt;=VAL_DATE)+(COUNTIF('Dvd Calendar'!$E$788:$AR$788,'Dvd Calendar'!$H$781)=0))&gt;0)=0,"",'Dvd Calendar'!$H$781*1000000000+ISNUMBER('Dvd Calendar'!$H$784)*100000000+('Dvd Calendar'!$H$786=SPECIAL_LBL)*10000000+(N('Dvd Calendar'!$H$780)&gt;0)*(N('Dvd Calendar'!$H$780)&lt;=VAL_SERIAL)*1000000+71*1000+4))</f>
        <v/>
      </c>
      <c r="EI82" s="39">
        <f>IF(N('Dvd Calendar'!$I$781)=0,"",IF(('Dvd Calendar'!$I$781&gt;=GRID_FROM)*('Dvd Calendar'!$I$781&lt;=GRID_TO)*((('Dvd Calendar'!$I$781&lt;=VAL_DATE)+(COUNTIF('Dvd Calendar'!$E$788:$AR$788,'Dvd Calendar'!$I$781)=0))&gt;0)=0,"",'Dvd Calendar'!$I$781*1000000000+ISNUMBER('Dvd Calendar'!$I$784)*100000000+('Dvd Calendar'!$I$786=SPECIAL_LBL)*10000000+(N('Dvd Calendar'!$I$780)&gt;0)*(N('Dvd Calendar'!$I$780)&lt;=VAL_SERIAL)*1000000+71*1000+5))</f>
        <v/>
      </c>
      <c r="EJ82" s="39">
        <f>IF(N('Dvd Calendar'!$J$781)=0,"",IF(('Dvd Calendar'!$J$781&gt;=GRID_FROM)*('Dvd Calendar'!$J$781&lt;=GRID_TO)*((('Dvd Calendar'!$J$781&lt;=VAL_DATE)+(COUNTIF('Dvd Calendar'!$E$788:$AR$788,'Dvd Calendar'!$J$781)=0))&gt;0)=0,"",'Dvd Calendar'!$J$781*1000000000+ISNUMBER('Dvd Calendar'!$J$784)*100000000+('Dvd Calendar'!$J$786=SPECIAL_LBL)*10000000+(N('Dvd Calendar'!$J$780)&gt;0)*(N('Dvd Calendar'!$J$780)&lt;=VAL_SERIAL)*1000000+71*1000+6))</f>
        <v/>
      </c>
      <c r="EK82" s="39">
        <f>IF(N('Dvd Calendar'!$K$781)=0,"",IF(('Dvd Calendar'!$K$781&gt;=GRID_FROM)*('Dvd Calendar'!$K$781&lt;=GRID_TO)*((('Dvd Calendar'!$K$781&lt;=VAL_DATE)+(COUNTIF('Dvd Calendar'!$E$788:$AR$788,'Dvd Calendar'!$K$781)=0))&gt;0)=0,"",'Dvd Calendar'!$K$781*1000000000+ISNUMBER('Dvd Calendar'!$K$784)*100000000+('Dvd Calendar'!$K$786=SPECIAL_LBL)*10000000+(N('Dvd Calendar'!$K$780)&gt;0)*(N('Dvd Calendar'!$K$780)&lt;=VAL_SERIAL)*1000000+71*1000+7))</f>
        <v/>
      </c>
      <c r="EL82" s="39">
        <f>IF(N('Dvd Calendar'!$L$781)=0,"",IF(('Dvd Calendar'!$L$781&gt;=GRID_FROM)*('Dvd Calendar'!$L$781&lt;=GRID_TO)*((('Dvd Calendar'!$L$781&lt;=VAL_DATE)+(COUNTIF('Dvd Calendar'!$E$788:$AR$788,'Dvd Calendar'!$L$781)=0))&gt;0)=0,"",'Dvd Calendar'!$L$781*1000000000+ISNUMBER('Dvd Calendar'!$L$784)*100000000+('Dvd Calendar'!$L$786=SPECIAL_LBL)*10000000+(N('Dvd Calendar'!$L$780)&gt;0)*(N('Dvd Calendar'!$L$780)&lt;=VAL_SERIAL)*1000000+71*1000+8))</f>
        <v/>
      </c>
      <c r="EM82" s="39">
        <f>IF(N('Dvd Calendar'!$M$781)=0,"",IF(('Dvd Calendar'!$M$781&gt;=GRID_FROM)*('Dvd Calendar'!$M$781&lt;=GRID_TO)*((('Dvd Calendar'!$M$781&lt;=VAL_DATE)+(COUNTIF('Dvd Calendar'!$E$788:$AR$788,'Dvd Calendar'!$M$781)=0))&gt;0)=0,"",'Dvd Calendar'!$M$781*1000000000+ISNUMBER('Dvd Calendar'!$M$784)*100000000+('Dvd Calendar'!$M$786=SPECIAL_LBL)*10000000+(N('Dvd Calendar'!$M$780)&gt;0)*(N('Dvd Calendar'!$M$780)&lt;=VAL_SERIAL)*1000000+71*1000+9))</f>
        <v/>
      </c>
      <c r="EN82" s="39">
        <f>IF(N('Dvd Calendar'!$N$781)=0,"",IF(('Dvd Calendar'!$N$781&gt;=GRID_FROM)*('Dvd Calendar'!$N$781&lt;=GRID_TO)*((('Dvd Calendar'!$N$781&lt;=VAL_DATE)+(COUNTIF('Dvd Calendar'!$E$788:$AR$788,'Dvd Calendar'!$N$781)=0))&gt;0)=0,"",'Dvd Calendar'!$N$781*1000000000+ISNUMBER('Dvd Calendar'!$N$784)*100000000+('Dvd Calendar'!$N$786=SPECIAL_LBL)*10000000+(N('Dvd Calendar'!$N$780)&gt;0)*(N('Dvd Calendar'!$N$780)&lt;=VAL_SERIAL)*1000000+71*1000+10))</f>
        <v/>
      </c>
      <c r="EO82" s="39">
        <f>IF(N('Dvd Calendar'!$O$781)=0,"",IF(('Dvd Calendar'!$O$781&gt;=GRID_FROM)*('Dvd Calendar'!$O$781&lt;=GRID_TO)*((('Dvd Calendar'!$O$781&lt;=VAL_DATE)+(COUNTIF('Dvd Calendar'!$E$788:$AR$788,'Dvd Calendar'!$O$781)=0))&gt;0)=0,"",'Dvd Calendar'!$O$781*1000000000+ISNUMBER('Dvd Calendar'!$O$784)*100000000+('Dvd Calendar'!$O$786=SPECIAL_LBL)*10000000+(N('Dvd Calendar'!$O$780)&gt;0)*(N('Dvd Calendar'!$O$780)&lt;=VAL_SERIAL)*1000000+71*1000+11))</f>
        <v/>
      </c>
      <c r="EP82" s="39">
        <f>IF(N('Dvd Calendar'!$P$781)=0,"",IF(('Dvd Calendar'!$P$781&gt;=GRID_FROM)*('Dvd Calendar'!$P$781&lt;=GRID_TO)*((('Dvd Calendar'!$P$781&lt;=VAL_DATE)+(COUNTIF('Dvd Calendar'!$E$788:$AR$788,'Dvd Calendar'!$P$781)=0))&gt;0)=0,"",'Dvd Calendar'!$P$781*1000000000+ISNUMBER('Dvd Calendar'!$P$784)*100000000+('Dvd Calendar'!$P$786=SPECIAL_LBL)*10000000+(N('Dvd Calendar'!$P$780)&gt;0)*(N('Dvd Calendar'!$P$780)&lt;=VAL_SERIAL)*1000000+71*1000+12))</f>
        <v/>
      </c>
      <c r="EQ82" s="39">
        <f>IF(N('Dvd Calendar'!$Q$781)=0,"",IF(('Dvd Calendar'!$Q$781&gt;=GRID_FROM)*('Dvd Calendar'!$Q$781&lt;=GRID_TO)*((('Dvd Calendar'!$Q$781&lt;=VAL_DATE)+(COUNTIF('Dvd Calendar'!$E$788:$AR$788,'Dvd Calendar'!$Q$781)=0))&gt;0)=0,"",'Dvd Calendar'!$Q$781*1000000000+ISNUMBER('Dvd Calendar'!$Q$784)*100000000+('Dvd Calendar'!$Q$786=SPECIAL_LBL)*10000000+(N('Dvd Calendar'!$Q$780)&gt;0)*(N('Dvd Calendar'!$Q$780)&lt;=VAL_SERIAL)*1000000+71*1000+13))</f>
        <v/>
      </c>
      <c r="ER82" s="39">
        <f>IF(N('Dvd Calendar'!$R$781)=0,"",IF(('Dvd Calendar'!$R$781&gt;=GRID_FROM)*('Dvd Calendar'!$R$781&lt;=GRID_TO)*((('Dvd Calendar'!$R$781&lt;=VAL_DATE)+(COUNTIF('Dvd Calendar'!$E$788:$AR$788,'Dvd Calendar'!$R$781)=0))&gt;0)=0,"",'Dvd Calendar'!$R$781*1000000000+ISNUMBER('Dvd Calendar'!$R$784)*100000000+('Dvd Calendar'!$R$786=SPECIAL_LBL)*10000000+(N('Dvd Calendar'!$R$780)&gt;0)*(N('Dvd Calendar'!$R$780)&lt;=VAL_SERIAL)*1000000+71*1000+14))</f>
        <v/>
      </c>
      <c r="ES82" s="39">
        <f>IF(N('Dvd Calendar'!$S$781)=0,"",IF(('Dvd Calendar'!$S$781&gt;=GRID_FROM)*('Dvd Calendar'!$S$781&lt;=GRID_TO)*((('Dvd Calendar'!$S$781&lt;=VAL_DATE)+(COUNTIF('Dvd Calendar'!$E$788:$AR$788,'Dvd Calendar'!$S$781)=0))&gt;0)=0,"",'Dvd Calendar'!$S$781*1000000000+ISNUMBER('Dvd Calendar'!$S$784)*100000000+('Dvd Calendar'!$S$786=SPECIAL_LBL)*10000000+(N('Dvd Calendar'!$S$780)&gt;0)*(N('Dvd Calendar'!$S$780)&lt;=VAL_SERIAL)*1000000+71*1000+15))</f>
        <v/>
      </c>
      <c r="ET82" s="39">
        <f>IF(N('Dvd Calendar'!$T$781)=0,"",IF(('Dvd Calendar'!$T$781&gt;=GRID_FROM)*('Dvd Calendar'!$T$781&lt;=GRID_TO)*((('Dvd Calendar'!$T$781&lt;=VAL_DATE)+(COUNTIF('Dvd Calendar'!$E$788:$AR$788,'Dvd Calendar'!$T$781)=0))&gt;0)=0,"",'Dvd Calendar'!$T$781*1000000000+ISNUMBER('Dvd Calendar'!$T$784)*100000000+('Dvd Calendar'!$T$786=SPECIAL_LBL)*10000000+(N('Dvd Calendar'!$T$780)&gt;0)*(N('Dvd Calendar'!$T$780)&lt;=VAL_SERIAL)*1000000+71*1000+16))</f>
        <v/>
      </c>
      <c r="EU82" s="39">
        <f>IF(N('Dvd Calendar'!$U$781)=0,"",IF(('Dvd Calendar'!$U$781&gt;=GRID_FROM)*('Dvd Calendar'!$U$781&lt;=GRID_TO)*((('Dvd Calendar'!$U$781&lt;=VAL_DATE)+(COUNTIF('Dvd Calendar'!$E$788:$AR$788,'Dvd Calendar'!$U$781)=0))&gt;0)=0,"",'Dvd Calendar'!$U$781*1000000000+ISNUMBER('Dvd Calendar'!$U$784)*100000000+('Dvd Calendar'!$U$786=SPECIAL_LBL)*10000000+(N('Dvd Calendar'!$U$780)&gt;0)*(N('Dvd Calendar'!$U$780)&lt;=VAL_SERIAL)*1000000+71*1000+17))</f>
        <v/>
      </c>
      <c r="EV82" s="39">
        <f>IF(N('Dvd Calendar'!$V$781)=0,"",IF(('Dvd Calendar'!$V$781&gt;=GRID_FROM)*('Dvd Calendar'!$V$781&lt;=GRID_TO)*((('Dvd Calendar'!$V$781&lt;=VAL_DATE)+(COUNTIF('Dvd Calendar'!$E$788:$AR$788,'Dvd Calendar'!$V$781)=0))&gt;0)=0,"",'Dvd Calendar'!$V$781*1000000000+ISNUMBER('Dvd Calendar'!$V$784)*100000000+('Dvd Calendar'!$V$786=SPECIAL_LBL)*10000000+(N('Dvd Calendar'!$V$780)&gt;0)*(N('Dvd Calendar'!$V$780)&lt;=VAL_SERIAL)*1000000+71*1000+18))</f>
        <v/>
      </c>
      <c r="EW82" s="39">
        <f>IF(N('Dvd Calendar'!$W$781)=0,"",IF(('Dvd Calendar'!$W$781&gt;=GRID_FROM)*('Dvd Calendar'!$W$781&lt;=GRID_TO)*((('Dvd Calendar'!$W$781&lt;=VAL_DATE)+(COUNTIF('Dvd Calendar'!$E$788:$AR$788,'Dvd Calendar'!$W$781)=0))&gt;0)=0,"",'Dvd Calendar'!$W$781*1000000000+ISNUMBER('Dvd Calendar'!$W$784)*100000000+('Dvd Calendar'!$W$786=SPECIAL_LBL)*10000000+(N('Dvd Calendar'!$W$780)&gt;0)*(N('Dvd Calendar'!$W$780)&lt;=VAL_SERIAL)*1000000+71*1000+19))</f>
        <v/>
      </c>
      <c r="EX82" s="39">
        <f>IF(N('Dvd Calendar'!$X$781)=0,"",IF(('Dvd Calendar'!$X$781&gt;=GRID_FROM)*('Dvd Calendar'!$X$781&lt;=GRID_TO)*((('Dvd Calendar'!$X$781&lt;=VAL_DATE)+(COUNTIF('Dvd Calendar'!$E$788:$AR$788,'Dvd Calendar'!$X$781)=0))&gt;0)=0,"",'Dvd Calendar'!$X$781*1000000000+ISNUMBER('Dvd Calendar'!$X$784)*100000000+('Dvd Calendar'!$X$786=SPECIAL_LBL)*10000000+(N('Dvd Calendar'!$X$780)&gt;0)*(N('Dvd Calendar'!$X$780)&lt;=VAL_SERIAL)*1000000+71*1000+20))</f>
        <v/>
      </c>
      <c r="EY82" s="39">
        <f>IF(N('Dvd Calendar'!$Y$781)=0,"",IF(('Dvd Calendar'!$Y$781&gt;=GRID_FROM)*('Dvd Calendar'!$Y$781&lt;=GRID_TO)*((('Dvd Calendar'!$Y$781&lt;=VAL_DATE)+(COUNTIF('Dvd Calendar'!$E$788:$AR$788,'Dvd Calendar'!$Y$781)=0))&gt;0)=0,"",'Dvd Calendar'!$Y$781*1000000000+ISNUMBER('Dvd Calendar'!$Y$784)*100000000+('Dvd Calendar'!$Y$786=SPECIAL_LBL)*10000000+(N('Dvd Calendar'!$Y$780)&gt;0)*(N('Dvd Calendar'!$Y$780)&lt;=VAL_SERIAL)*1000000+71*1000+21))</f>
        <v/>
      </c>
      <c r="EZ82" s="39">
        <f>IF(N('Dvd Calendar'!$Z$781)=0,"",IF(('Dvd Calendar'!$Z$781&gt;=GRID_FROM)*('Dvd Calendar'!$Z$781&lt;=GRID_TO)*((('Dvd Calendar'!$Z$781&lt;=VAL_DATE)+(COUNTIF('Dvd Calendar'!$E$788:$AR$788,'Dvd Calendar'!$Z$781)=0))&gt;0)=0,"",'Dvd Calendar'!$Z$781*1000000000+ISNUMBER('Dvd Calendar'!$Z$784)*100000000+('Dvd Calendar'!$Z$786=SPECIAL_LBL)*10000000+(N('Dvd Calendar'!$Z$780)&gt;0)*(N('Dvd Calendar'!$Z$780)&lt;=VAL_SERIAL)*1000000+71*1000+22))</f>
        <v/>
      </c>
      <c r="FA82" s="39">
        <f>IF(N('Dvd Calendar'!$AA$781)=0,"",IF(('Dvd Calendar'!$AA$781&gt;=GRID_FROM)*('Dvd Calendar'!$AA$781&lt;=GRID_TO)*((('Dvd Calendar'!$AA$781&lt;=VAL_DATE)+(COUNTIF('Dvd Calendar'!$E$788:$AR$788,'Dvd Calendar'!$AA$781)=0))&gt;0)=0,"",'Dvd Calendar'!$AA$781*1000000000+ISNUMBER('Dvd Calendar'!$AA$784)*100000000+('Dvd Calendar'!$AA$786=SPECIAL_LBL)*10000000+(N('Dvd Calendar'!$AA$780)&gt;0)*(N('Dvd Calendar'!$AA$780)&lt;=VAL_SERIAL)*1000000+71*1000+23))</f>
        <v/>
      </c>
      <c r="FB82" s="39">
        <f>IF(N('Dvd Calendar'!$AB$781)=0,"",IF(('Dvd Calendar'!$AB$781&gt;=GRID_FROM)*('Dvd Calendar'!$AB$781&lt;=GRID_TO)*((('Dvd Calendar'!$AB$781&lt;=VAL_DATE)+(COUNTIF('Dvd Calendar'!$E$788:$AR$788,'Dvd Calendar'!$AB$781)=0))&gt;0)=0,"",'Dvd Calendar'!$AB$781*1000000000+ISNUMBER('Dvd Calendar'!$AB$784)*100000000+('Dvd Calendar'!$AB$786=SPECIAL_LBL)*10000000+(N('Dvd Calendar'!$AB$780)&gt;0)*(N('Dvd Calendar'!$AB$780)&lt;=VAL_SERIAL)*1000000+71*1000+24))</f>
        <v/>
      </c>
      <c r="FC82" s="39">
        <f>IF(N('Dvd Calendar'!$AC$781)=0,"",IF(('Dvd Calendar'!$AC$781&gt;=GRID_FROM)*('Dvd Calendar'!$AC$781&lt;=GRID_TO)*((('Dvd Calendar'!$AC$781&lt;=VAL_DATE)+(COUNTIF('Dvd Calendar'!$E$788:$AR$788,'Dvd Calendar'!$AC$781)=0))&gt;0)=0,"",'Dvd Calendar'!$AC$781*1000000000+ISNUMBER('Dvd Calendar'!$AC$784)*100000000+('Dvd Calendar'!$AC$786=SPECIAL_LBL)*10000000+(N('Dvd Calendar'!$AC$780)&gt;0)*(N('Dvd Calendar'!$AC$780)&lt;=VAL_SERIAL)*1000000+71*1000+25))</f>
        <v/>
      </c>
      <c r="FD82" s="39">
        <f>IF(N('Dvd Calendar'!$AD$781)=0,"",IF(('Dvd Calendar'!$AD$781&gt;=GRID_FROM)*('Dvd Calendar'!$AD$781&lt;=GRID_TO)*((('Dvd Calendar'!$AD$781&lt;=VAL_DATE)+(COUNTIF('Dvd Calendar'!$E$788:$AR$788,'Dvd Calendar'!$AD$781)=0))&gt;0)=0,"",'Dvd Calendar'!$AD$781*1000000000+ISNUMBER('Dvd Calendar'!$AD$784)*100000000+('Dvd Calendar'!$AD$786=SPECIAL_LBL)*10000000+(N('Dvd Calendar'!$AD$780)&gt;0)*(N('Dvd Calendar'!$AD$780)&lt;=VAL_SERIAL)*1000000+71*1000+26))</f>
        <v/>
      </c>
      <c r="FE82" s="39">
        <f>IF(N('Dvd Calendar'!$AE$781)=0,"",IF(('Dvd Calendar'!$AE$781&gt;=GRID_FROM)*('Dvd Calendar'!$AE$781&lt;=GRID_TO)*((('Dvd Calendar'!$AE$781&lt;=VAL_DATE)+(COUNTIF('Dvd Calendar'!$E$788:$AR$788,'Dvd Calendar'!$AE$781)=0))&gt;0)=0,"",'Dvd Calendar'!$AE$781*1000000000+ISNUMBER('Dvd Calendar'!$AE$784)*100000000+('Dvd Calendar'!$AE$786=SPECIAL_LBL)*10000000+(N('Dvd Calendar'!$AE$780)&gt;0)*(N('Dvd Calendar'!$AE$780)&lt;=VAL_SERIAL)*1000000+71*1000+27))</f>
        <v/>
      </c>
      <c r="FF82" s="39">
        <f>IF(N('Dvd Calendar'!$AF$781)=0,"",IF(('Dvd Calendar'!$AF$781&gt;=GRID_FROM)*('Dvd Calendar'!$AF$781&lt;=GRID_TO)*((('Dvd Calendar'!$AF$781&lt;=VAL_DATE)+(COUNTIF('Dvd Calendar'!$E$788:$AR$788,'Dvd Calendar'!$AF$781)=0))&gt;0)=0,"",'Dvd Calendar'!$AF$781*1000000000+ISNUMBER('Dvd Calendar'!$AF$784)*100000000+('Dvd Calendar'!$AF$786=SPECIAL_LBL)*10000000+(N('Dvd Calendar'!$AF$780)&gt;0)*(N('Dvd Calendar'!$AF$780)&lt;=VAL_SERIAL)*1000000+71*1000+28))</f>
        <v/>
      </c>
      <c r="FG82" s="39">
        <f>IF(N('Dvd Calendar'!$AG$781)=0,"",IF(('Dvd Calendar'!$AG$781&gt;=GRID_FROM)*('Dvd Calendar'!$AG$781&lt;=GRID_TO)*((('Dvd Calendar'!$AG$781&lt;=VAL_DATE)+(COUNTIF('Dvd Calendar'!$E$788:$AR$788,'Dvd Calendar'!$AG$781)=0))&gt;0)=0,"",'Dvd Calendar'!$AG$781*1000000000+ISNUMBER('Dvd Calendar'!$AG$784)*100000000+('Dvd Calendar'!$AG$786=SPECIAL_LBL)*10000000+(N('Dvd Calendar'!$AG$780)&gt;0)*(N('Dvd Calendar'!$AG$780)&lt;=VAL_SERIAL)*1000000+71*1000+29))</f>
        <v/>
      </c>
      <c r="FH82" s="39">
        <f>IF(N('Dvd Calendar'!$AH$781)=0,"",IF(('Dvd Calendar'!$AH$781&gt;=GRID_FROM)*('Dvd Calendar'!$AH$781&lt;=GRID_TO)*((('Dvd Calendar'!$AH$781&lt;=VAL_DATE)+(COUNTIF('Dvd Calendar'!$E$788:$AR$788,'Dvd Calendar'!$AH$781)=0))&gt;0)=0,"",'Dvd Calendar'!$AH$781*1000000000+ISNUMBER('Dvd Calendar'!$AH$784)*100000000+('Dvd Calendar'!$AH$786=SPECIAL_LBL)*10000000+(N('Dvd Calendar'!$AH$780)&gt;0)*(N('Dvd Calendar'!$AH$780)&lt;=VAL_SERIAL)*1000000+71*1000+30))</f>
        <v/>
      </c>
      <c r="FI82" s="39">
        <f>IF(N('Dvd Calendar'!$AI$781)=0,"",IF(('Dvd Calendar'!$AI$781&gt;=GRID_FROM)*('Dvd Calendar'!$AI$781&lt;=GRID_TO)*((('Dvd Calendar'!$AI$781&lt;=VAL_DATE)+(COUNTIF('Dvd Calendar'!$E$788:$AR$788,'Dvd Calendar'!$AI$781)=0))&gt;0)=0,"",'Dvd Calendar'!$AI$781*1000000000+ISNUMBER('Dvd Calendar'!$AI$784)*100000000+('Dvd Calendar'!$AI$786=SPECIAL_LBL)*10000000+(N('Dvd Calendar'!$AI$780)&gt;0)*(N('Dvd Calendar'!$AI$780)&lt;=VAL_SERIAL)*1000000+71*1000+31))</f>
        <v/>
      </c>
      <c r="FJ82" s="39">
        <f>IF(N('Dvd Calendar'!$AJ$781)=0,"",IF(('Dvd Calendar'!$AJ$781&gt;=GRID_FROM)*('Dvd Calendar'!$AJ$781&lt;=GRID_TO)*((('Dvd Calendar'!$AJ$781&lt;=VAL_DATE)+(COUNTIF('Dvd Calendar'!$E$788:$AR$788,'Dvd Calendar'!$AJ$781)=0))&gt;0)=0,"",'Dvd Calendar'!$AJ$781*1000000000+ISNUMBER('Dvd Calendar'!$AJ$784)*100000000+('Dvd Calendar'!$AJ$786=SPECIAL_LBL)*10000000+(N('Dvd Calendar'!$AJ$780)&gt;0)*(N('Dvd Calendar'!$AJ$780)&lt;=VAL_SERIAL)*1000000+71*1000+32))</f>
        <v/>
      </c>
      <c r="FK82" s="39">
        <f>IF(N('Dvd Calendar'!$AK$781)=0,"",IF(('Dvd Calendar'!$AK$781&gt;=GRID_FROM)*('Dvd Calendar'!$AK$781&lt;=GRID_TO)*((('Dvd Calendar'!$AK$781&lt;=VAL_DATE)+(COUNTIF('Dvd Calendar'!$E$788:$AR$788,'Dvd Calendar'!$AK$781)=0))&gt;0)=0,"",'Dvd Calendar'!$AK$781*1000000000+ISNUMBER('Dvd Calendar'!$AK$784)*100000000+('Dvd Calendar'!$AK$786=SPECIAL_LBL)*10000000+(N('Dvd Calendar'!$AK$780)&gt;0)*(N('Dvd Calendar'!$AK$780)&lt;=VAL_SERIAL)*1000000+71*1000+33))</f>
        <v/>
      </c>
      <c r="FL82" s="39">
        <f>IF(N('Dvd Calendar'!$AL$781)=0,"",IF(('Dvd Calendar'!$AL$781&gt;=GRID_FROM)*('Dvd Calendar'!$AL$781&lt;=GRID_TO)*((('Dvd Calendar'!$AL$781&lt;=VAL_DATE)+(COUNTIF('Dvd Calendar'!$E$788:$AR$788,'Dvd Calendar'!$AL$781)=0))&gt;0)=0,"",'Dvd Calendar'!$AL$781*1000000000+ISNUMBER('Dvd Calendar'!$AL$784)*100000000+('Dvd Calendar'!$AL$786=SPECIAL_LBL)*10000000+(N('Dvd Calendar'!$AL$780)&gt;0)*(N('Dvd Calendar'!$AL$780)&lt;=VAL_SERIAL)*1000000+71*1000+34))</f>
        <v/>
      </c>
      <c r="FM82" s="39">
        <f>IF(N('Dvd Calendar'!$AM$781)=0,"",IF(('Dvd Calendar'!$AM$781&gt;=GRID_FROM)*('Dvd Calendar'!$AM$781&lt;=GRID_TO)*((('Dvd Calendar'!$AM$781&lt;=VAL_DATE)+(COUNTIF('Dvd Calendar'!$E$788:$AR$788,'Dvd Calendar'!$AM$781)=0))&gt;0)=0,"",'Dvd Calendar'!$AM$781*1000000000+ISNUMBER('Dvd Calendar'!$AM$784)*100000000+('Dvd Calendar'!$AM$786=SPECIAL_LBL)*10000000+(N('Dvd Calendar'!$AM$780)&gt;0)*(N('Dvd Calendar'!$AM$780)&lt;=VAL_SERIAL)*1000000+71*1000+35))</f>
        <v/>
      </c>
      <c r="FN82" s="39">
        <f>IF(N('Dvd Calendar'!$AN$781)=0,"",IF(('Dvd Calendar'!$AN$781&gt;=GRID_FROM)*('Dvd Calendar'!$AN$781&lt;=GRID_TO)*((('Dvd Calendar'!$AN$781&lt;=VAL_DATE)+(COUNTIF('Dvd Calendar'!$E$788:$AR$788,'Dvd Calendar'!$AN$781)=0))&gt;0)=0,"",'Dvd Calendar'!$AN$781*1000000000+ISNUMBER('Dvd Calendar'!$AN$784)*100000000+('Dvd Calendar'!$AN$786=SPECIAL_LBL)*10000000+(N('Dvd Calendar'!$AN$780)&gt;0)*(N('Dvd Calendar'!$AN$780)&lt;=VAL_SERIAL)*1000000+71*1000+36))</f>
        <v/>
      </c>
      <c r="FO82" s="39">
        <f>IF(N('Dvd Calendar'!$AO$781)=0,"",IF(('Dvd Calendar'!$AO$781&gt;=GRID_FROM)*('Dvd Calendar'!$AO$781&lt;=GRID_TO)*((('Dvd Calendar'!$AO$781&lt;=VAL_DATE)+(COUNTIF('Dvd Calendar'!$E$788:$AR$788,'Dvd Calendar'!$AO$781)=0))&gt;0)=0,"",'Dvd Calendar'!$AO$781*1000000000+ISNUMBER('Dvd Calendar'!$AO$784)*100000000+('Dvd Calendar'!$AO$786=SPECIAL_LBL)*10000000+(N('Dvd Calendar'!$AO$780)&gt;0)*(N('Dvd Calendar'!$AO$780)&lt;=VAL_SERIAL)*1000000+71*1000+37))</f>
        <v/>
      </c>
      <c r="FP82" s="39">
        <f>IF(N('Dvd Calendar'!$AP$781)=0,"",IF(('Dvd Calendar'!$AP$781&gt;=GRID_FROM)*('Dvd Calendar'!$AP$781&lt;=GRID_TO)*((('Dvd Calendar'!$AP$781&lt;=VAL_DATE)+(COUNTIF('Dvd Calendar'!$E$788:$AR$788,'Dvd Calendar'!$AP$781)=0))&gt;0)=0,"",'Dvd Calendar'!$AP$781*1000000000+ISNUMBER('Dvd Calendar'!$AP$784)*100000000+('Dvd Calendar'!$AP$786=SPECIAL_LBL)*10000000+(N('Dvd Calendar'!$AP$780)&gt;0)*(N('Dvd Calendar'!$AP$780)&lt;=VAL_SERIAL)*1000000+71*1000+38))</f>
        <v/>
      </c>
      <c r="FQ82" s="39">
        <f>IF(N('Dvd Calendar'!$AQ$781)=0,"",IF(('Dvd Calendar'!$AQ$781&gt;=GRID_FROM)*('Dvd Calendar'!$AQ$781&lt;=GRID_TO)*((('Dvd Calendar'!$AQ$781&lt;=VAL_DATE)+(COUNTIF('Dvd Calendar'!$E$788:$AR$788,'Dvd Calendar'!$AQ$781)=0))&gt;0)=0,"",'Dvd Calendar'!$AQ$781*1000000000+ISNUMBER('Dvd Calendar'!$AQ$784)*100000000+('Dvd Calendar'!$AQ$786=SPECIAL_LBL)*10000000+(N('Dvd Calendar'!$AQ$780)&gt;0)*(N('Dvd Calendar'!$AQ$780)&lt;=VAL_SERIAL)*1000000+71*1000+39))</f>
        <v/>
      </c>
      <c r="FR82" s="39">
        <f>IF(N('Dvd Calendar'!$AR$781)=0,"",IF(('Dvd Calendar'!$AR$781&gt;=GRID_FROM)*('Dvd Calendar'!$AR$781&lt;=GRID_TO)*((('Dvd Calendar'!$AR$781&lt;=VAL_DATE)+(COUNTIF('Dvd Calendar'!$E$788:$AR$788,'Dvd Calendar'!$AR$781)=0))&gt;0)=0,"",'Dvd Calendar'!$AR$781*1000000000+ISNUMBER('Dvd Calendar'!$AR$784)*100000000+('Dvd Calendar'!$AR$786=SPECIAL_LBL)*10000000+(N('Dvd Calendar'!$AR$780)&gt;0)*(N('Dvd Calendar'!$AR$780)&lt;=VAL_SERIAL)*1000000+71*1000+40))</f>
        <v/>
      </c>
      <c r="FS82" s="39">
        <f>IF(N('Dvd Calendar'!$E$788)=0,"",IF(('Dvd Calendar'!$E$788&gt;=GRID_FROM)*('Dvd Calendar'!$E$788&lt;=GRID_TO)*('Dvd Calendar'!$E$788&gt;VAL_DATE)=0,"",'Dvd Calendar'!$E$788*1000000000+ISNUMBER('Dvd Calendar'!$E$789)*100000000+0*10000000+(N('Dvd Calendar'!$E$787)&gt;0)*(N('Dvd Calendar'!$E$787)&lt;=VAL_SERIAL)*1000000+71*1000+41))</f>
        <v/>
      </c>
      <c r="FT82" s="39">
        <f>IF(N('Dvd Calendar'!$F$788)=0,"",IF(('Dvd Calendar'!$F$788&gt;=GRID_FROM)*('Dvd Calendar'!$F$788&lt;=GRID_TO)*('Dvd Calendar'!$F$788&gt;VAL_DATE)=0,"",'Dvd Calendar'!$F$788*1000000000+ISNUMBER('Dvd Calendar'!$F$789)*100000000+0*10000000+(N('Dvd Calendar'!$F$787)&gt;0)*(N('Dvd Calendar'!$F$787)&lt;=VAL_SERIAL)*1000000+71*1000+42))</f>
        <v/>
      </c>
      <c r="FU82" s="39">
        <f>IF(N('Dvd Calendar'!$G$788)=0,"",IF(('Dvd Calendar'!$G$788&gt;=GRID_FROM)*('Dvd Calendar'!$G$788&lt;=GRID_TO)*('Dvd Calendar'!$G$788&gt;VAL_DATE)=0,"",'Dvd Calendar'!$G$788*1000000000+ISNUMBER('Dvd Calendar'!$G$789)*100000000+0*10000000+(N('Dvd Calendar'!$G$787)&gt;0)*(N('Dvd Calendar'!$G$787)&lt;=VAL_SERIAL)*1000000+71*1000+43))</f>
        <v/>
      </c>
      <c r="FV82" s="39">
        <f>IF(N('Dvd Calendar'!$H$788)=0,"",IF(('Dvd Calendar'!$H$788&gt;=GRID_FROM)*('Dvd Calendar'!$H$788&lt;=GRID_TO)*('Dvd Calendar'!$H$788&gt;VAL_DATE)=0,"",'Dvd Calendar'!$H$788*1000000000+ISNUMBER('Dvd Calendar'!$H$789)*100000000+0*10000000+(N('Dvd Calendar'!$H$787)&gt;0)*(N('Dvd Calendar'!$H$787)&lt;=VAL_SERIAL)*1000000+71*1000+44))</f>
        <v/>
      </c>
      <c r="FW82" s="39">
        <f>IF(N('Dvd Calendar'!$I$788)=0,"",IF(('Dvd Calendar'!$I$788&gt;=GRID_FROM)*('Dvd Calendar'!$I$788&lt;=GRID_TO)*('Dvd Calendar'!$I$788&gt;VAL_DATE)=0,"",'Dvd Calendar'!$I$788*1000000000+ISNUMBER('Dvd Calendar'!$I$789)*100000000+0*10000000+(N('Dvd Calendar'!$I$787)&gt;0)*(N('Dvd Calendar'!$I$787)&lt;=VAL_SERIAL)*1000000+71*1000+45))</f>
        <v/>
      </c>
      <c r="FX82" s="39">
        <f>IF(N('Dvd Calendar'!$J$788)=0,"",IF(('Dvd Calendar'!$J$788&gt;=GRID_FROM)*('Dvd Calendar'!$J$788&lt;=GRID_TO)*('Dvd Calendar'!$J$788&gt;VAL_DATE)=0,"",'Dvd Calendar'!$J$788*1000000000+ISNUMBER('Dvd Calendar'!$J$789)*100000000+0*10000000+(N('Dvd Calendar'!$J$787)&gt;0)*(N('Dvd Calendar'!$J$787)&lt;=VAL_SERIAL)*1000000+71*1000+46))</f>
        <v/>
      </c>
      <c r="FY82" s="39">
        <f>IF(N('Dvd Calendar'!$K$788)=0,"",IF(('Dvd Calendar'!$K$788&gt;=GRID_FROM)*('Dvd Calendar'!$K$788&lt;=GRID_TO)*('Dvd Calendar'!$K$788&gt;VAL_DATE)=0,"",'Dvd Calendar'!$K$788*1000000000+ISNUMBER('Dvd Calendar'!$K$789)*100000000+0*10000000+(N('Dvd Calendar'!$K$787)&gt;0)*(N('Dvd Calendar'!$K$787)&lt;=VAL_SERIAL)*1000000+71*1000+47))</f>
        <v/>
      </c>
      <c r="FZ82" s="39">
        <f>IF(N('Dvd Calendar'!$L$788)=0,"",IF(('Dvd Calendar'!$L$788&gt;=GRID_FROM)*('Dvd Calendar'!$L$788&lt;=GRID_TO)*('Dvd Calendar'!$L$788&gt;VAL_DATE)=0,"",'Dvd Calendar'!$L$788*1000000000+ISNUMBER('Dvd Calendar'!$L$789)*100000000+0*10000000+(N('Dvd Calendar'!$L$787)&gt;0)*(N('Dvd Calendar'!$L$787)&lt;=VAL_SERIAL)*1000000+71*1000+48))</f>
        <v/>
      </c>
      <c r="GA82" s="39">
        <f>IF(N('Dvd Calendar'!$M$788)=0,"",IF(('Dvd Calendar'!$M$788&gt;=GRID_FROM)*('Dvd Calendar'!$M$788&lt;=GRID_TO)*('Dvd Calendar'!$M$788&gt;VAL_DATE)=0,"",'Dvd Calendar'!$M$788*1000000000+ISNUMBER('Dvd Calendar'!$M$789)*100000000+0*10000000+(N('Dvd Calendar'!$M$787)&gt;0)*(N('Dvd Calendar'!$M$787)&lt;=VAL_SERIAL)*1000000+71*1000+49))</f>
        <v/>
      </c>
      <c r="GB82" s="39">
        <f>IF(N('Dvd Calendar'!$N$788)=0,"",IF(('Dvd Calendar'!$N$788&gt;=GRID_FROM)*('Dvd Calendar'!$N$788&lt;=GRID_TO)*('Dvd Calendar'!$N$788&gt;VAL_DATE)=0,"",'Dvd Calendar'!$N$788*1000000000+ISNUMBER('Dvd Calendar'!$N$789)*100000000+0*10000000+(N('Dvd Calendar'!$N$787)&gt;0)*(N('Dvd Calendar'!$N$787)&lt;=VAL_SERIAL)*1000000+71*1000+50))</f>
        <v/>
      </c>
      <c r="GC82" s="39">
        <f>IF(N('Dvd Calendar'!$O$788)=0,"",IF(('Dvd Calendar'!$O$788&gt;=GRID_FROM)*('Dvd Calendar'!$O$788&lt;=GRID_TO)*('Dvd Calendar'!$O$788&gt;VAL_DATE)=0,"",'Dvd Calendar'!$O$788*1000000000+ISNUMBER('Dvd Calendar'!$O$789)*100000000+0*10000000+(N('Dvd Calendar'!$O$787)&gt;0)*(N('Dvd Calendar'!$O$787)&lt;=VAL_SERIAL)*1000000+71*1000+51))</f>
        <v/>
      </c>
      <c r="GD82" s="39">
        <f>IF(N('Dvd Calendar'!$P$788)=0,"",IF(('Dvd Calendar'!$P$788&gt;=GRID_FROM)*('Dvd Calendar'!$P$788&lt;=GRID_TO)*('Dvd Calendar'!$P$788&gt;VAL_DATE)=0,"",'Dvd Calendar'!$P$788*1000000000+ISNUMBER('Dvd Calendar'!$P$789)*100000000+0*10000000+(N('Dvd Calendar'!$P$787)&gt;0)*(N('Dvd Calendar'!$P$787)&lt;=VAL_SERIAL)*1000000+71*1000+52))</f>
        <v/>
      </c>
      <c r="GE82" s="39">
        <f>IF(N('Dvd Calendar'!$Q$788)=0,"",IF(('Dvd Calendar'!$Q$788&gt;=GRID_FROM)*('Dvd Calendar'!$Q$788&lt;=GRID_TO)*('Dvd Calendar'!$Q$788&gt;VAL_DATE)=0,"",'Dvd Calendar'!$Q$788*1000000000+ISNUMBER('Dvd Calendar'!$Q$789)*100000000+0*10000000+(N('Dvd Calendar'!$Q$787)&gt;0)*(N('Dvd Calendar'!$Q$787)&lt;=VAL_SERIAL)*1000000+71*1000+53))</f>
        <v/>
      </c>
      <c r="GF82" s="39">
        <f>IF(N('Dvd Calendar'!$R$788)=0,"",IF(('Dvd Calendar'!$R$788&gt;=GRID_FROM)*('Dvd Calendar'!$R$788&lt;=GRID_TO)*('Dvd Calendar'!$R$788&gt;VAL_DATE)=0,"",'Dvd Calendar'!$R$788*1000000000+ISNUMBER('Dvd Calendar'!$R$789)*100000000+0*10000000+(N('Dvd Calendar'!$R$787)&gt;0)*(N('Dvd Calendar'!$R$787)&lt;=VAL_SERIAL)*1000000+71*1000+54))</f>
        <v/>
      </c>
      <c r="GG82" s="39">
        <f>IF(N('Dvd Calendar'!$S$788)=0,"",IF(('Dvd Calendar'!$S$788&gt;=GRID_FROM)*('Dvd Calendar'!$S$788&lt;=GRID_TO)*('Dvd Calendar'!$S$788&gt;VAL_DATE)=0,"",'Dvd Calendar'!$S$788*1000000000+ISNUMBER('Dvd Calendar'!$S$789)*100000000+0*10000000+(N('Dvd Calendar'!$S$787)&gt;0)*(N('Dvd Calendar'!$S$787)&lt;=VAL_SERIAL)*1000000+71*1000+55))</f>
        <v/>
      </c>
      <c r="GH82" s="39">
        <f>IF(N('Dvd Calendar'!$T$788)=0,"",IF(('Dvd Calendar'!$T$788&gt;=GRID_FROM)*('Dvd Calendar'!$T$788&lt;=GRID_TO)*('Dvd Calendar'!$T$788&gt;VAL_DATE)=0,"",'Dvd Calendar'!$T$788*1000000000+ISNUMBER('Dvd Calendar'!$T$789)*100000000+0*10000000+(N('Dvd Calendar'!$T$787)&gt;0)*(N('Dvd Calendar'!$T$787)&lt;=VAL_SERIAL)*1000000+71*1000+56))</f>
        <v/>
      </c>
      <c r="GI82" s="39">
        <f>IF(N('Dvd Calendar'!$U$788)=0,"",IF(('Dvd Calendar'!$U$788&gt;=GRID_FROM)*('Dvd Calendar'!$U$788&lt;=GRID_TO)*('Dvd Calendar'!$U$788&gt;VAL_DATE)=0,"",'Dvd Calendar'!$U$788*1000000000+ISNUMBER('Dvd Calendar'!$U$789)*100000000+0*10000000+(N('Dvd Calendar'!$U$787)&gt;0)*(N('Dvd Calendar'!$U$787)&lt;=VAL_SERIAL)*1000000+71*1000+57))</f>
        <v/>
      </c>
      <c r="GJ82" s="39">
        <f>IF(N('Dvd Calendar'!$V$788)=0,"",IF(('Dvd Calendar'!$V$788&gt;=GRID_FROM)*('Dvd Calendar'!$V$788&lt;=GRID_TO)*('Dvd Calendar'!$V$788&gt;VAL_DATE)=0,"",'Dvd Calendar'!$V$788*1000000000+ISNUMBER('Dvd Calendar'!$V$789)*100000000+0*10000000+(N('Dvd Calendar'!$V$787)&gt;0)*(N('Dvd Calendar'!$V$787)&lt;=VAL_SERIAL)*1000000+71*1000+58))</f>
        <v/>
      </c>
      <c r="GK82" s="39">
        <f>IF(N('Dvd Calendar'!$W$788)=0,"",IF(('Dvd Calendar'!$W$788&gt;=GRID_FROM)*('Dvd Calendar'!$W$788&lt;=GRID_TO)*('Dvd Calendar'!$W$788&gt;VAL_DATE)=0,"",'Dvd Calendar'!$W$788*1000000000+ISNUMBER('Dvd Calendar'!$W$789)*100000000+0*10000000+(N('Dvd Calendar'!$W$787)&gt;0)*(N('Dvd Calendar'!$W$787)&lt;=VAL_SERIAL)*1000000+71*1000+59))</f>
        <v/>
      </c>
      <c r="GL82" s="39">
        <f>IF(N('Dvd Calendar'!$X$788)=0,"",IF(('Dvd Calendar'!$X$788&gt;=GRID_FROM)*('Dvd Calendar'!$X$788&lt;=GRID_TO)*('Dvd Calendar'!$X$788&gt;VAL_DATE)=0,"",'Dvd Calendar'!$X$788*1000000000+ISNUMBER('Dvd Calendar'!$X$789)*100000000+0*10000000+(N('Dvd Calendar'!$X$787)&gt;0)*(N('Dvd Calendar'!$X$787)&lt;=VAL_SERIAL)*1000000+71*1000+60))</f>
        <v/>
      </c>
      <c r="GM82" s="39">
        <f>IF(N('Dvd Calendar'!$Y$788)=0,"",IF(('Dvd Calendar'!$Y$788&gt;=GRID_FROM)*('Dvd Calendar'!$Y$788&lt;=GRID_TO)*('Dvd Calendar'!$Y$788&gt;VAL_DATE)=0,"",'Dvd Calendar'!$Y$788*1000000000+ISNUMBER('Dvd Calendar'!$Y$789)*100000000+0*10000000+(N('Dvd Calendar'!$Y$787)&gt;0)*(N('Dvd Calendar'!$Y$787)&lt;=VAL_SERIAL)*1000000+71*1000+61))</f>
        <v/>
      </c>
      <c r="GN82" s="39">
        <f>IF(N('Dvd Calendar'!$Z$788)=0,"",IF(('Dvd Calendar'!$Z$788&gt;=GRID_FROM)*('Dvd Calendar'!$Z$788&lt;=GRID_TO)*('Dvd Calendar'!$Z$788&gt;VAL_DATE)=0,"",'Dvd Calendar'!$Z$788*1000000000+ISNUMBER('Dvd Calendar'!$Z$789)*100000000+0*10000000+(N('Dvd Calendar'!$Z$787)&gt;0)*(N('Dvd Calendar'!$Z$787)&lt;=VAL_SERIAL)*1000000+71*1000+62))</f>
        <v/>
      </c>
      <c r="GO82" s="39">
        <f>IF(N('Dvd Calendar'!$AA$788)=0,"",IF(('Dvd Calendar'!$AA$788&gt;=GRID_FROM)*('Dvd Calendar'!$AA$788&lt;=GRID_TO)*('Dvd Calendar'!$AA$788&gt;VAL_DATE)=0,"",'Dvd Calendar'!$AA$788*1000000000+ISNUMBER('Dvd Calendar'!$AA$789)*100000000+0*10000000+(N('Dvd Calendar'!$AA$787)&gt;0)*(N('Dvd Calendar'!$AA$787)&lt;=VAL_SERIAL)*1000000+71*1000+63))</f>
        <v/>
      </c>
      <c r="GP82" s="39">
        <f>IF(N('Dvd Calendar'!$AB$788)=0,"",IF(('Dvd Calendar'!$AB$788&gt;=GRID_FROM)*('Dvd Calendar'!$AB$788&lt;=GRID_TO)*('Dvd Calendar'!$AB$788&gt;VAL_DATE)=0,"",'Dvd Calendar'!$AB$788*1000000000+ISNUMBER('Dvd Calendar'!$AB$789)*100000000+0*10000000+(N('Dvd Calendar'!$AB$787)&gt;0)*(N('Dvd Calendar'!$AB$787)&lt;=VAL_SERIAL)*1000000+71*1000+64))</f>
        <v/>
      </c>
      <c r="GQ82" s="39">
        <f>IF(N('Dvd Calendar'!$AC$788)=0,"",IF(('Dvd Calendar'!$AC$788&gt;=GRID_FROM)*('Dvd Calendar'!$AC$788&lt;=GRID_TO)*('Dvd Calendar'!$AC$788&gt;VAL_DATE)=0,"",'Dvd Calendar'!$AC$788*1000000000+ISNUMBER('Dvd Calendar'!$AC$789)*100000000+0*10000000+(N('Dvd Calendar'!$AC$787)&gt;0)*(N('Dvd Calendar'!$AC$787)&lt;=VAL_SERIAL)*1000000+71*1000+65))</f>
        <v/>
      </c>
    </row>
    <row r="83">
      <c r="B83" s="2">
        <f>IF(HSI!$C$78="","",HSI!$C$78)</f>
        <v/>
      </c>
      <c r="C83" s="110">
        <f>IF(EE83="","",IF(ISNUMBER('Dvd Calendar'!$E$795)=FALSE,"",IF((('Dvd Calendar'!$E$797=TYPE1)*(TYPE1&lt;&gt;"")+('Dvd Calendar'!$E$797=TYPE2)*(TYPE2&lt;&gt;"")+('Dvd Calendar'!$E$797=TYPE3)*(TYPE3&lt;&gt;"")+('Dvd Calendar'!$E$797=TYPE4)*(TYPE4&lt;&gt;"")+('Dvd Calendar'!$E$797=SPECIAL_LBL)*(INC_SPECIALS="Y"))=0,"",'Dvd Calendar'!$E$795)))</f>
        <v/>
      </c>
      <c r="D83" s="110">
        <f>IF(EF83="","",IF(ISNUMBER('Dvd Calendar'!$F$795)=FALSE,"",IF((('Dvd Calendar'!$F$797=TYPE1)*(TYPE1&lt;&gt;"")+('Dvd Calendar'!$F$797=TYPE2)*(TYPE2&lt;&gt;"")+('Dvd Calendar'!$F$797=TYPE3)*(TYPE3&lt;&gt;"")+('Dvd Calendar'!$F$797=TYPE4)*(TYPE4&lt;&gt;"")+('Dvd Calendar'!$F$797=SPECIAL_LBL)*(INC_SPECIALS="Y"))=0,"",'Dvd Calendar'!$F$795)))</f>
        <v/>
      </c>
      <c r="E83" s="110">
        <f>IF(EG83="","",IF(ISNUMBER('Dvd Calendar'!$G$795)=FALSE,"",IF((('Dvd Calendar'!$G$797=TYPE1)*(TYPE1&lt;&gt;"")+('Dvd Calendar'!$G$797=TYPE2)*(TYPE2&lt;&gt;"")+('Dvd Calendar'!$G$797=TYPE3)*(TYPE3&lt;&gt;"")+('Dvd Calendar'!$G$797=TYPE4)*(TYPE4&lt;&gt;"")+('Dvd Calendar'!$G$797=SPECIAL_LBL)*(INC_SPECIALS="Y"))=0,"",'Dvd Calendar'!$G$795)))</f>
        <v/>
      </c>
      <c r="F83" s="110">
        <f>IF(EH83="","",IF(ISNUMBER('Dvd Calendar'!$H$795)=FALSE,"",IF((('Dvd Calendar'!$H$797=TYPE1)*(TYPE1&lt;&gt;"")+('Dvd Calendar'!$H$797=TYPE2)*(TYPE2&lt;&gt;"")+('Dvd Calendar'!$H$797=TYPE3)*(TYPE3&lt;&gt;"")+('Dvd Calendar'!$H$797=TYPE4)*(TYPE4&lt;&gt;"")+('Dvd Calendar'!$H$797=SPECIAL_LBL)*(INC_SPECIALS="Y"))=0,"",'Dvd Calendar'!$H$795)))</f>
        <v/>
      </c>
      <c r="G83" s="110">
        <f>IF(EI83="","",IF(ISNUMBER('Dvd Calendar'!$I$795)=FALSE,"",IF((('Dvd Calendar'!$I$797=TYPE1)*(TYPE1&lt;&gt;"")+('Dvd Calendar'!$I$797=TYPE2)*(TYPE2&lt;&gt;"")+('Dvd Calendar'!$I$797=TYPE3)*(TYPE3&lt;&gt;"")+('Dvd Calendar'!$I$797=TYPE4)*(TYPE4&lt;&gt;"")+('Dvd Calendar'!$I$797=SPECIAL_LBL)*(INC_SPECIALS="Y"))=0,"",'Dvd Calendar'!$I$795)))</f>
        <v/>
      </c>
      <c r="H83" s="110">
        <f>IF(EJ83="","",IF(ISNUMBER('Dvd Calendar'!$J$795)=FALSE,"",IF((('Dvd Calendar'!$J$797=TYPE1)*(TYPE1&lt;&gt;"")+('Dvd Calendar'!$J$797=TYPE2)*(TYPE2&lt;&gt;"")+('Dvd Calendar'!$J$797=TYPE3)*(TYPE3&lt;&gt;"")+('Dvd Calendar'!$J$797=TYPE4)*(TYPE4&lt;&gt;"")+('Dvd Calendar'!$J$797=SPECIAL_LBL)*(INC_SPECIALS="Y"))=0,"",'Dvd Calendar'!$J$795)))</f>
        <v/>
      </c>
      <c r="I83" s="110">
        <f>IF(EK83="","",IF(ISNUMBER('Dvd Calendar'!$K$795)=FALSE,"",IF((('Dvd Calendar'!$K$797=TYPE1)*(TYPE1&lt;&gt;"")+('Dvd Calendar'!$K$797=TYPE2)*(TYPE2&lt;&gt;"")+('Dvd Calendar'!$K$797=TYPE3)*(TYPE3&lt;&gt;"")+('Dvd Calendar'!$K$797=TYPE4)*(TYPE4&lt;&gt;"")+('Dvd Calendar'!$K$797=SPECIAL_LBL)*(INC_SPECIALS="Y"))=0,"",'Dvd Calendar'!$K$795)))</f>
        <v/>
      </c>
      <c r="J83" s="110">
        <f>IF(EL83="","",IF(ISNUMBER('Dvd Calendar'!$L$795)=FALSE,"",IF((('Dvd Calendar'!$L$797=TYPE1)*(TYPE1&lt;&gt;"")+('Dvd Calendar'!$L$797=TYPE2)*(TYPE2&lt;&gt;"")+('Dvd Calendar'!$L$797=TYPE3)*(TYPE3&lt;&gt;"")+('Dvd Calendar'!$L$797=TYPE4)*(TYPE4&lt;&gt;"")+('Dvd Calendar'!$L$797=SPECIAL_LBL)*(INC_SPECIALS="Y"))=0,"",'Dvd Calendar'!$L$795)))</f>
        <v/>
      </c>
      <c r="K83" s="110">
        <f>IF(EM83="","",IF(ISNUMBER('Dvd Calendar'!$M$795)=FALSE,"",IF((('Dvd Calendar'!$M$797=TYPE1)*(TYPE1&lt;&gt;"")+('Dvd Calendar'!$M$797=TYPE2)*(TYPE2&lt;&gt;"")+('Dvd Calendar'!$M$797=TYPE3)*(TYPE3&lt;&gt;"")+('Dvd Calendar'!$M$797=TYPE4)*(TYPE4&lt;&gt;"")+('Dvd Calendar'!$M$797=SPECIAL_LBL)*(INC_SPECIALS="Y"))=0,"",'Dvd Calendar'!$M$795)))</f>
        <v/>
      </c>
      <c r="L83" s="110">
        <f>IF(EN83="","",IF(ISNUMBER('Dvd Calendar'!$N$795)=FALSE,"",IF((('Dvd Calendar'!$N$797=TYPE1)*(TYPE1&lt;&gt;"")+('Dvd Calendar'!$N$797=TYPE2)*(TYPE2&lt;&gt;"")+('Dvd Calendar'!$N$797=TYPE3)*(TYPE3&lt;&gt;"")+('Dvd Calendar'!$N$797=TYPE4)*(TYPE4&lt;&gt;"")+('Dvd Calendar'!$N$797=SPECIAL_LBL)*(INC_SPECIALS="Y"))=0,"",'Dvd Calendar'!$N$795)))</f>
        <v/>
      </c>
      <c r="M83" s="110">
        <f>IF(EO83="","",IF(ISNUMBER('Dvd Calendar'!$O$795)=FALSE,"",IF((('Dvd Calendar'!$O$797=TYPE1)*(TYPE1&lt;&gt;"")+('Dvd Calendar'!$O$797=TYPE2)*(TYPE2&lt;&gt;"")+('Dvd Calendar'!$O$797=TYPE3)*(TYPE3&lt;&gt;"")+('Dvd Calendar'!$O$797=TYPE4)*(TYPE4&lt;&gt;"")+('Dvd Calendar'!$O$797=SPECIAL_LBL)*(INC_SPECIALS="Y"))=0,"",'Dvd Calendar'!$O$795)))</f>
        <v/>
      </c>
      <c r="N83" s="110">
        <f>IF(EP83="","",IF(ISNUMBER('Dvd Calendar'!$P$795)=FALSE,"",IF((('Dvd Calendar'!$P$797=TYPE1)*(TYPE1&lt;&gt;"")+('Dvd Calendar'!$P$797=TYPE2)*(TYPE2&lt;&gt;"")+('Dvd Calendar'!$P$797=TYPE3)*(TYPE3&lt;&gt;"")+('Dvd Calendar'!$P$797=TYPE4)*(TYPE4&lt;&gt;"")+('Dvd Calendar'!$P$797=SPECIAL_LBL)*(INC_SPECIALS="Y"))=0,"",'Dvd Calendar'!$P$795)))</f>
        <v/>
      </c>
      <c r="O83" s="110">
        <f>IF(EQ83="","",IF(ISNUMBER('Dvd Calendar'!$Q$795)=FALSE,"",IF((('Dvd Calendar'!$Q$797=TYPE1)*(TYPE1&lt;&gt;"")+('Dvd Calendar'!$Q$797=TYPE2)*(TYPE2&lt;&gt;"")+('Dvd Calendar'!$Q$797=TYPE3)*(TYPE3&lt;&gt;"")+('Dvd Calendar'!$Q$797=TYPE4)*(TYPE4&lt;&gt;"")+('Dvd Calendar'!$Q$797=SPECIAL_LBL)*(INC_SPECIALS="Y"))=0,"",'Dvd Calendar'!$Q$795)))</f>
        <v/>
      </c>
      <c r="P83" s="110">
        <f>IF(ER83="","",IF(ISNUMBER('Dvd Calendar'!$R$795)=FALSE,"",IF((('Dvd Calendar'!$R$797=TYPE1)*(TYPE1&lt;&gt;"")+('Dvd Calendar'!$R$797=TYPE2)*(TYPE2&lt;&gt;"")+('Dvd Calendar'!$R$797=TYPE3)*(TYPE3&lt;&gt;"")+('Dvd Calendar'!$R$797=TYPE4)*(TYPE4&lt;&gt;"")+('Dvd Calendar'!$R$797=SPECIAL_LBL)*(INC_SPECIALS="Y"))=0,"",'Dvd Calendar'!$R$795)))</f>
        <v/>
      </c>
      <c r="Q83" s="110">
        <f>IF(ES83="","",IF(ISNUMBER('Dvd Calendar'!$S$795)=FALSE,"",IF((('Dvd Calendar'!$S$797=TYPE1)*(TYPE1&lt;&gt;"")+('Dvd Calendar'!$S$797=TYPE2)*(TYPE2&lt;&gt;"")+('Dvd Calendar'!$S$797=TYPE3)*(TYPE3&lt;&gt;"")+('Dvd Calendar'!$S$797=TYPE4)*(TYPE4&lt;&gt;"")+('Dvd Calendar'!$S$797=SPECIAL_LBL)*(INC_SPECIALS="Y"))=0,"",'Dvd Calendar'!$S$795)))</f>
        <v/>
      </c>
      <c r="R83" s="110">
        <f>IF(ET83="","",IF(ISNUMBER('Dvd Calendar'!$T$795)=FALSE,"",IF((('Dvd Calendar'!$T$797=TYPE1)*(TYPE1&lt;&gt;"")+('Dvd Calendar'!$T$797=TYPE2)*(TYPE2&lt;&gt;"")+('Dvd Calendar'!$T$797=TYPE3)*(TYPE3&lt;&gt;"")+('Dvd Calendar'!$T$797=TYPE4)*(TYPE4&lt;&gt;"")+('Dvd Calendar'!$T$797=SPECIAL_LBL)*(INC_SPECIALS="Y"))=0,"",'Dvd Calendar'!$T$795)))</f>
        <v/>
      </c>
      <c r="S83" s="110">
        <f>IF(EU83="","",IF(ISNUMBER('Dvd Calendar'!$U$795)=FALSE,"",IF((('Dvd Calendar'!$U$797=TYPE1)*(TYPE1&lt;&gt;"")+('Dvd Calendar'!$U$797=TYPE2)*(TYPE2&lt;&gt;"")+('Dvd Calendar'!$U$797=TYPE3)*(TYPE3&lt;&gt;"")+('Dvd Calendar'!$U$797=TYPE4)*(TYPE4&lt;&gt;"")+('Dvd Calendar'!$U$797=SPECIAL_LBL)*(INC_SPECIALS="Y"))=0,"",'Dvd Calendar'!$U$795)))</f>
        <v/>
      </c>
      <c r="T83" s="110">
        <f>IF(EV83="","",IF(ISNUMBER('Dvd Calendar'!$V$795)=FALSE,"",IF((('Dvd Calendar'!$V$797=TYPE1)*(TYPE1&lt;&gt;"")+('Dvd Calendar'!$V$797=TYPE2)*(TYPE2&lt;&gt;"")+('Dvd Calendar'!$V$797=TYPE3)*(TYPE3&lt;&gt;"")+('Dvd Calendar'!$V$797=TYPE4)*(TYPE4&lt;&gt;"")+('Dvd Calendar'!$V$797=SPECIAL_LBL)*(INC_SPECIALS="Y"))=0,"",'Dvd Calendar'!$V$795)))</f>
        <v/>
      </c>
      <c r="U83" s="110">
        <f>IF(EW83="","",IF(ISNUMBER('Dvd Calendar'!$W$795)=FALSE,"",IF((('Dvd Calendar'!$W$797=TYPE1)*(TYPE1&lt;&gt;"")+('Dvd Calendar'!$W$797=TYPE2)*(TYPE2&lt;&gt;"")+('Dvd Calendar'!$W$797=TYPE3)*(TYPE3&lt;&gt;"")+('Dvd Calendar'!$W$797=TYPE4)*(TYPE4&lt;&gt;"")+('Dvd Calendar'!$W$797=SPECIAL_LBL)*(INC_SPECIALS="Y"))=0,"",'Dvd Calendar'!$W$795)))</f>
        <v/>
      </c>
      <c r="V83" s="110">
        <f>IF(EX83="","",IF(ISNUMBER('Dvd Calendar'!$X$795)=FALSE,"",IF((('Dvd Calendar'!$X$797=TYPE1)*(TYPE1&lt;&gt;"")+('Dvd Calendar'!$X$797=TYPE2)*(TYPE2&lt;&gt;"")+('Dvd Calendar'!$X$797=TYPE3)*(TYPE3&lt;&gt;"")+('Dvd Calendar'!$X$797=TYPE4)*(TYPE4&lt;&gt;"")+('Dvd Calendar'!$X$797=SPECIAL_LBL)*(INC_SPECIALS="Y"))=0,"",'Dvd Calendar'!$X$795)))</f>
        <v/>
      </c>
      <c r="W83" s="110">
        <f>IF(EY83="","",IF(ISNUMBER('Dvd Calendar'!$Y$795)=FALSE,"",IF((('Dvd Calendar'!$Y$797=TYPE1)*(TYPE1&lt;&gt;"")+('Dvd Calendar'!$Y$797=TYPE2)*(TYPE2&lt;&gt;"")+('Dvd Calendar'!$Y$797=TYPE3)*(TYPE3&lt;&gt;"")+('Dvd Calendar'!$Y$797=TYPE4)*(TYPE4&lt;&gt;"")+('Dvd Calendar'!$Y$797=SPECIAL_LBL)*(INC_SPECIALS="Y"))=0,"",'Dvd Calendar'!$Y$795)))</f>
        <v/>
      </c>
      <c r="X83" s="110">
        <f>IF(EZ83="","",IF(ISNUMBER('Dvd Calendar'!$Z$795)=FALSE,"",IF((('Dvd Calendar'!$Z$797=TYPE1)*(TYPE1&lt;&gt;"")+('Dvd Calendar'!$Z$797=TYPE2)*(TYPE2&lt;&gt;"")+('Dvd Calendar'!$Z$797=TYPE3)*(TYPE3&lt;&gt;"")+('Dvd Calendar'!$Z$797=TYPE4)*(TYPE4&lt;&gt;"")+('Dvd Calendar'!$Z$797=SPECIAL_LBL)*(INC_SPECIALS="Y"))=0,"",'Dvd Calendar'!$Z$795)))</f>
        <v/>
      </c>
      <c r="Y83" s="110">
        <f>IF(FA83="","",IF(ISNUMBER('Dvd Calendar'!$AA$795)=FALSE,"",IF((('Dvd Calendar'!$AA$797=TYPE1)*(TYPE1&lt;&gt;"")+('Dvd Calendar'!$AA$797=TYPE2)*(TYPE2&lt;&gt;"")+('Dvd Calendar'!$AA$797=TYPE3)*(TYPE3&lt;&gt;"")+('Dvd Calendar'!$AA$797=TYPE4)*(TYPE4&lt;&gt;"")+('Dvd Calendar'!$AA$797=SPECIAL_LBL)*(INC_SPECIALS="Y"))=0,"",'Dvd Calendar'!$AA$795)))</f>
        <v/>
      </c>
      <c r="Z83" s="110">
        <f>IF(FB83="","",IF(ISNUMBER('Dvd Calendar'!$AB$795)=FALSE,"",IF((('Dvd Calendar'!$AB$797=TYPE1)*(TYPE1&lt;&gt;"")+('Dvd Calendar'!$AB$797=TYPE2)*(TYPE2&lt;&gt;"")+('Dvd Calendar'!$AB$797=TYPE3)*(TYPE3&lt;&gt;"")+('Dvd Calendar'!$AB$797=TYPE4)*(TYPE4&lt;&gt;"")+('Dvd Calendar'!$AB$797=SPECIAL_LBL)*(INC_SPECIALS="Y"))=0,"",'Dvd Calendar'!$AB$795)))</f>
        <v/>
      </c>
      <c r="AA83" s="110">
        <f>IF(FC83="","",IF(ISNUMBER('Dvd Calendar'!$AC$795)=FALSE,"",IF((('Dvd Calendar'!$AC$797=TYPE1)*(TYPE1&lt;&gt;"")+('Dvd Calendar'!$AC$797=TYPE2)*(TYPE2&lt;&gt;"")+('Dvd Calendar'!$AC$797=TYPE3)*(TYPE3&lt;&gt;"")+('Dvd Calendar'!$AC$797=TYPE4)*(TYPE4&lt;&gt;"")+('Dvd Calendar'!$AC$797=SPECIAL_LBL)*(INC_SPECIALS="Y"))=0,"",'Dvd Calendar'!$AC$795)))</f>
        <v/>
      </c>
      <c r="AB83" s="110">
        <f>IF(FD83="","",IF(ISNUMBER('Dvd Calendar'!$AD$795)=FALSE,"",IF((('Dvd Calendar'!$AD$797=TYPE1)*(TYPE1&lt;&gt;"")+('Dvd Calendar'!$AD$797=TYPE2)*(TYPE2&lt;&gt;"")+('Dvd Calendar'!$AD$797=TYPE3)*(TYPE3&lt;&gt;"")+('Dvd Calendar'!$AD$797=TYPE4)*(TYPE4&lt;&gt;"")+('Dvd Calendar'!$AD$797=SPECIAL_LBL)*(INC_SPECIALS="Y"))=0,"",'Dvd Calendar'!$AD$795)))</f>
        <v/>
      </c>
      <c r="AC83" s="110">
        <f>IF(FE83="","",IF(ISNUMBER('Dvd Calendar'!$AE$795)=FALSE,"",IF((('Dvd Calendar'!$AE$797=TYPE1)*(TYPE1&lt;&gt;"")+('Dvd Calendar'!$AE$797=TYPE2)*(TYPE2&lt;&gt;"")+('Dvd Calendar'!$AE$797=TYPE3)*(TYPE3&lt;&gt;"")+('Dvd Calendar'!$AE$797=TYPE4)*(TYPE4&lt;&gt;"")+('Dvd Calendar'!$AE$797=SPECIAL_LBL)*(INC_SPECIALS="Y"))=0,"",'Dvd Calendar'!$AE$795)))</f>
        <v/>
      </c>
      <c r="AD83" s="110">
        <f>IF(FF83="","",IF(ISNUMBER('Dvd Calendar'!$AF$795)=FALSE,"",IF((('Dvd Calendar'!$AF$797=TYPE1)*(TYPE1&lt;&gt;"")+('Dvd Calendar'!$AF$797=TYPE2)*(TYPE2&lt;&gt;"")+('Dvd Calendar'!$AF$797=TYPE3)*(TYPE3&lt;&gt;"")+('Dvd Calendar'!$AF$797=TYPE4)*(TYPE4&lt;&gt;"")+('Dvd Calendar'!$AF$797=SPECIAL_LBL)*(INC_SPECIALS="Y"))=0,"",'Dvd Calendar'!$AF$795)))</f>
        <v/>
      </c>
      <c r="AE83" s="110">
        <f>IF(FG83="","",IF(ISNUMBER('Dvd Calendar'!$AG$795)=FALSE,"",IF((('Dvd Calendar'!$AG$797=TYPE1)*(TYPE1&lt;&gt;"")+('Dvd Calendar'!$AG$797=TYPE2)*(TYPE2&lt;&gt;"")+('Dvd Calendar'!$AG$797=TYPE3)*(TYPE3&lt;&gt;"")+('Dvd Calendar'!$AG$797=TYPE4)*(TYPE4&lt;&gt;"")+('Dvd Calendar'!$AG$797=SPECIAL_LBL)*(INC_SPECIALS="Y"))=0,"",'Dvd Calendar'!$AG$795)))</f>
        <v/>
      </c>
      <c r="AF83" s="110">
        <f>IF(FH83="","",IF(ISNUMBER('Dvd Calendar'!$AH$795)=FALSE,"",IF((('Dvd Calendar'!$AH$797=TYPE1)*(TYPE1&lt;&gt;"")+('Dvd Calendar'!$AH$797=TYPE2)*(TYPE2&lt;&gt;"")+('Dvd Calendar'!$AH$797=TYPE3)*(TYPE3&lt;&gt;"")+('Dvd Calendar'!$AH$797=TYPE4)*(TYPE4&lt;&gt;"")+('Dvd Calendar'!$AH$797=SPECIAL_LBL)*(INC_SPECIALS="Y"))=0,"",'Dvd Calendar'!$AH$795)))</f>
        <v/>
      </c>
      <c r="AG83" s="110">
        <f>IF(FI83="","",IF(ISNUMBER('Dvd Calendar'!$AI$795)=FALSE,"",IF((('Dvd Calendar'!$AI$797=TYPE1)*(TYPE1&lt;&gt;"")+('Dvd Calendar'!$AI$797=TYPE2)*(TYPE2&lt;&gt;"")+('Dvd Calendar'!$AI$797=TYPE3)*(TYPE3&lt;&gt;"")+('Dvd Calendar'!$AI$797=TYPE4)*(TYPE4&lt;&gt;"")+('Dvd Calendar'!$AI$797=SPECIAL_LBL)*(INC_SPECIALS="Y"))=0,"",'Dvd Calendar'!$AI$795)))</f>
        <v/>
      </c>
      <c r="AH83" s="110">
        <f>IF(FJ83="","",IF(ISNUMBER('Dvd Calendar'!$AJ$795)=FALSE,"",IF((('Dvd Calendar'!$AJ$797=TYPE1)*(TYPE1&lt;&gt;"")+('Dvd Calendar'!$AJ$797=TYPE2)*(TYPE2&lt;&gt;"")+('Dvd Calendar'!$AJ$797=TYPE3)*(TYPE3&lt;&gt;"")+('Dvd Calendar'!$AJ$797=TYPE4)*(TYPE4&lt;&gt;"")+('Dvd Calendar'!$AJ$797=SPECIAL_LBL)*(INC_SPECIALS="Y"))=0,"",'Dvd Calendar'!$AJ$795)))</f>
        <v/>
      </c>
      <c r="AI83" s="110">
        <f>IF(FK83="","",IF(ISNUMBER('Dvd Calendar'!$AK$795)=FALSE,"",IF((('Dvd Calendar'!$AK$797=TYPE1)*(TYPE1&lt;&gt;"")+('Dvd Calendar'!$AK$797=TYPE2)*(TYPE2&lt;&gt;"")+('Dvd Calendar'!$AK$797=TYPE3)*(TYPE3&lt;&gt;"")+('Dvd Calendar'!$AK$797=TYPE4)*(TYPE4&lt;&gt;"")+('Dvd Calendar'!$AK$797=SPECIAL_LBL)*(INC_SPECIALS="Y"))=0,"",'Dvd Calendar'!$AK$795)))</f>
        <v/>
      </c>
      <c r="AJ83" s="110">
        <f>IF(FL83="","",IF(ISNUMBER('Dvd Calendar'!$AL$795)=FALSE,"",IF((('Dvd Calendar'!$AL$797=TYPE1)*(TYPE1&lt;&gt;"")+('Dvd Calendar'!$AL$797=TYPE2)*(TYPE2&lt;&gt;"")+('Dvd Calendar'!$AL$797=TYPE3)*(TYPE3&lt;&gt;"")+('Dvd Calendar'!$AL$797=TYPE4)*(TYPE4&lt;&gt;"")+('Dvd Calendar'!$AL$797=SPECIAL_LBL)*(INC_SPECIALS="Y"))=0,"",'Dvd Calendar'!$AL$795)))</f>
        <v/>
      </c>
      <c r="AK83" s="110">
        <f>IF(FM83="","",IF(ISNUMBER('Dvd Calendar'!$AM$795)=FALSE,"",IF((('Dvd Calendar'!$AM$797=TYPE1)*(TYPE1&lt;&gt;"")+('Dvd Calendar'!$AM$797=TYPE2)*(TYPE2&lt;&gt;"")+('Dvd Calendar'!$AM$797=TYPE3)*(TYPE3&lt;&gt;"")+('Dvd Calendar'!$AM$797=TYPE4)*(TYPE4&lt;&gt;"")+('Dvd Calendar'!$AM$797=SPECIAL_LBL)*(INC_SPECIALS="Y"))=0,"",'Dvd Calendar'!$AM$795)))</f>
        <v/>
      </c>
      <c r="AL83" s="110">
        <f>IF(FN83="","",IF(ISNUMBER('Dvd Calendar'!$AN$795)=FALSE,"",IF((('Dvd Calendar'!$AN$797=TYPE1)*(TYPE1&lt;&gt;"")+('Dvd Calendar'!$AN$797=TYPE2)*(TYPE2&lt;&gt;"")+('Dvd Calendar'!$AN$797=TYPE3)*(TYPE3&lt;&gt;"")+('Dvd Calendar'!$AN$797=TYPE4)*(TYPE4&lt;&gt;"")+('Dvd Calendar'!$AN$797=SPECIAL_LBL)*(INC_SPECIALS="Y"))=0,"",'Dvd Calendar'!$AN$795)))</f>
        <v/>
      </c>
      <c r="AM83" s="110">
        <f>IF(FO83="","",IF(ISNUMBER('Dvd Calendar'!$AO$795)=FALSE,"",IF((('Dvd Calendar'!$AO$797=TYPE1)*(TYPE1&lt;&gt;"")+('Dvd Calendar'!$AO$797=TYPE2)*(TYPE2&lt;&gt;"")+('Dvd Calendar'!$AO$797=TYPE3)*(TYPE3&lt;&gt;"")+('Dvd Calendar'!$AO$797=TYPE4)*(TYPE4&lt;&gt;"")+('Dvd Calendar'!$AO$797=SPECIAL_LBL)*(INC_SPECIALS="Y"))=0,"",'Dvd Calendar'!$AO$795)))</f>
        <v/>
      </c>
      <c r="AN83" s="110">
        <f>IF(FP83="","",IF(ISNUMBER('Dvd Calendar'!$AP$795)=FALSE,"",IF((('Dvd Calendar'!$AP$797=TYPE1)*(TYPE1&lt;&gt;"")+('Dvd Calendar'!$AP$797=TYPE2)*(TYPE2&lt;&gt;"")+('Dvd Calendar'!$AP$797=TYPE3)*(TYPE3&lt;&gt;"")+('Dvd Calendar'!$AP$797=TYPE4)*(TYPE4&lt;&gt;"")+('Dvd Calendar'!$AP$797=SPECIAL_LBL)*(INC_SPECIALS="Y"))=0,"",'Dvd Calendar'!$AP$795)))</f>
        <v/>
      </c>
      <c r="AO83" s="110">
        <f>IF(FQ83="","",IF(ISNUMBER('Dvd Calendar'!$AQ$795)=FALSE,"",IF((('Dvd Calendar'!$AQ$797=TYPE1)*(TYPE1&lt;&gt;"")+('Dvd Calendar'!$AQ$797=TYPE2)*(TYPE2&lt;&gt;"")+('Dvd Calendar'!$AQ$797=TYPE3)*(TYPE3&lt;&gt;"")+('Dvd Calendar'!$AQ$797=TYPE4)*(TYPE4&lt;&gt;"")+('Dvd Calendar'!$AQ$797=SPECIAL_LBL)*(INC_SPECIALS="Y"))=0,"",'Dvd Calendar'!$AQ$795)))</f>
        <v/>
      </c>
      <c r="AP83" s="110">
        <f>IF(FR83="","",IF(ISNUMBER('Dvd Calendar'!$AR$795)=FALSE,"",IF((('Dvd Calendar'!$AR$797=TYPE1)*(TYPE1&lt;&gt;"")+('Dvd Calendar'!$AR$797=TYPE2)*(TYPE2&lt;&gt;"")+('Dvd Calendar'!$AR$797=TYPE3)*(TYPE3&lt;&gt;"")+('Dvd Calendar'!$AR$797=TYPE4)*(TYPE4&lt;&gt;"")+('Dvd Calendar'!$AR$797=SPECIAL_LBL)*(INC_SPECIALS="Y"))=0,"",'Dvd Calendar'!$AR$795)))</f>
        <v/>
      </c>
      <c r="AQ83" s="110">
        <f>IF(FS83="","",IF(ISNUMBER('Dvd Calendar'!$E$800)=FALSE,"",'Dvd Calendar'!$E$800))</f>
        <v/>
      </c>
      <c r="AR83" s="110">
        <f>IF(FT83="","",IF(ISNUMBER('Dvd Calendar'!$F$800)=FALSE,"",'Dvd Calendar'!$F$800))</f>
        <v/>
      </c>
      <c r="AS83" s="110">
        <f>IF(FU83="","",IF(ISNUMBER('Dvd Calendar'!$G$800)=FALSE,"",'Dvd Calendar'!$G$800))</f>
        <v/>
      </c>
      <c r="AT83" s="110">
        <f>IF(FV83="","",IF(ISNUMBER('Dvd Calendar'!$H$800)=FALSE,"",'Dvd Calendar'!$H$800))</f>
        <v/>
      </c>
      <c r="AU83" s="110">
        <f>IF(FW83="","",IF(ISNUMBER('Dvd Calendar'!$I$800)=FALSE,"",'Dvd Calendar'!$I$800))</f>
        <v/>
      </c>
      <c r="AV83" s="110">
        <f>IF(FX83="","",IF(ISNUMBER('Dvd Calendar'!$J$800)=FALSE,"",'Dvd Calendar'!$J$800))</f>
        <v/>
      </c>
      <c r="AW83" s="110">
        <f>IF(FY83="","",IF(ISNUMBER('Dvd Calendar'!$K$800)=FALSE,"",'Dvd Calendar'!$K$800))</f>
        <v/>
      </c>
      <c r="AX83" s="110">
        <f>IF(FZ83="","",IF(ISNUMBER('Dvd Calendar'!$L$800)=FALSE,"",'Dvd Calendar'!$L$800))</f>
        <v/>
      </c>
      <c r="AY83" s="110">
        <f>IF(GA83="","",IF(ISNUMBER('Dvd Calendar'!$M$800)=FALSE,"",'Dvd Calendar'!$M$800))</f>
        <v/>
      </c>
      <c r="AZ83" s="110">
        <f>IF(GB83="","",IF(ISNUMBER('Dvd Calendar'!$N$800)=FALSE,"",'Dvd Calendar'!$N$800))</f>
        <v/>
      </c>
      <c r="BA83" s="110">
        <f>IF(GC83="","",IF(ISNUMBER('Dvd Calendar'!$O$800)=FALSE,"",'Dvd Calendar'!$O$800))</f>
        <v/>
      </c>
      <c r="BB83" s="110">
        <f>IF(GD83="","",IF(ISNUMBER('Dvd Calendar'!$P$800)=FALSE,"",'Dvd Calendar'!$P$800))</f>
        <v/>
      </c>
      <c r="BC83" s="110">
        <f>IF(GE83="","",IF(ISNUMBER('Dvd Calendar'!$Q$800)=FALSE,"",'Dvd Calendar'!$Q$800))</f>
        <v/>
      </c>
      <c r="BD83" s="110">
        <f>IF(GF83="","",IF(ISNUMBER('Dvd Calendar'!$R$800)=FALSE,"",'Dvd Calendar'!$R$800))</f>
        <v/>
      </c>
      <c r="BE83" s="110">
        <f>IF(GG83="","",IF(ISNUMBER('Dvd Calendar'!$S$800)=FALSE,"",'Dvd Calendar'!$S$800))</f>
        <v/>
      </c>
      <c r="BF83" s="110">
        <f>IF(GH83="","",IF(ISNUMBER('Dvd Calendar'!$T$800)=FALSE,"",'Dvd Calendar'!$T$800))</f>
        <v/>
      </c>
      <c r="BG83" s="110">
        <f>IF(GI83="","",IF(ISNUMBER('Dvd Calendar'!$U$800)=FALSE,"",'Dvd Calendar'!$U$800))</f>
        <v/>
      </c>
      <c r="BH83" s="110">
        <f>IF(GJ83="","",IF(ISNUMBER('Dvd Calendar'!$V$800)=FALSE,"",'Dvd Calendar'!$V$800))</f>
        <v/>
      </c>
      <c r="BI83" s="110">
        <f>IF(GK83="","",IF(ISNUMBER('Dvd Calendar'!$W$800)=FALSE,"",'Dvd Calendar'!$W$800))</f>
        <v/>
      </c>
      <c r="BJ83" s="110">
        <f>IF(GL83="","",IF(ISNUMBER('Dvd Calendar'!$X$800)=FALSE,"",'Dvd Calendar'!$X$800))</f>
        <v/>
      </c>
      <c r="BK83" s="110">
        <f>IF(GM83="","",IF(ISNUMBER('Dvd Calendar'!$Y$800)=FALSE,"",'Dvd Calendar'!$Y$800))</f>
        <v/>
      </c>
      <c r="BL83" s="110">
        <f>IF(GN83="","",IF(ISNUMBER('Dvd Calendar'!$Z$800)=FALSE,"",'Dvd Calendar'!$Z$800))</f>
        <v/>
      </c>
      <c r="BM83" s="110">
        <f>IF(GO83="","",IF(ISNUMBER('Dvd Calendar'!$AA$800)=FALSE,"",'Dvd Calendar'!$AA$800))</f>
        <v/>
      </c>
      <c r="BN83" s="110">
        <f>IF(GP83="","",IF(ISNUMBER('Dvd Calendar'!$AB$800)=FALSE,"",'Dvd Calendar'!$AB$800))</f>
        <v/>
      </c>
      <c r="BO83" s="110">
        <f>IF(GQ83="","",IF(ISNUMBER('Dvd Calendar'!$AC$800)=FALSE,"",'Dvd Calendar'!$AC$800))</f>
        <v/>
      </c>
      <c r="BQ83" s="110">
        <f>IF(C83="","",IFERROR(C83*HSI!$B$78*HSI!$G$78/HSI!$B$3,""))</f>
        <v/>
      </c>
      <c r="BR83" s="110">
        <f>IF(D83="","",IFERROR(D83*HSI!$B$78*HSI!$G$78/HSI!$B$3,""))</f>
        <v/>
      </c>
      <c r="BS83" s="110">
        <f>IF(E83="","",IFERROR(E83*HSI!$B$78*HSI!$G$78/HSI!$B$3,""))</f>
        <v/>
      </c>
      <c r="BT83" s="110">
        <f>IF(F83="","",IFERROR(F83*HSI!$B$78*HSI!$G$78/HSI!$B$3,""))</f>
        <v/>
      </c>
      <c r="BU83" s="110">
        <f>IF(G83="","",IFERROR(G83*HSI!$B$78*HSI!$G$78/HSI!$B$3,""))</f>
        <v/>
      </c>
      <c r="BV83" s="110">
        <f>IF(H83="","",IFERROR(H83*HSI!$B$78*HSI!$G$78/HSI!$B$3,""))</f>
        <v/>
      </c>
      <c r="BW83" s="110">
        <f>IF(I83="","",IFERROR(I83*HSI!$B$78*HSI!$G$78/HSI!$B$3,""))</f>
        <v/>
      </c>
      <c r="BX83" s="110">
        <f>IF(J83="","",IFERROR(J83*HSI!$B$78*HSI!$G$78/HSI!$B$3,""))</f>
        <v/>
      </c>
      <c r="BY83" s="110">
        <f>IF(K83="","",IFERROR(K83*HSI!$B$78*HSI!$G$78/HSI!$B$3,""))</f>
        <v/>
      </c>
      <c r="BZ83" s="110">
        <f>IF(L83="","",IFERROR(L83*HSI!$B$78*HSI!$G$78/HSI!$B$3,""))</f>
        <v/>
      </c>
      <c r="CA83" s="110">
        <f>IF(M83="","",IFERROR(M83*HSI!$B$78*HSI!$G$78/HSI!$B$3,""))</f>
        <v/>
      </c>
      <c r="CB83" s="110">
        <f>IF(N83="","",IFERROR(N83*HSI!$B$78*HSI!$G$78/HSI!$B$3,""))</f>
        <v/>
      </c>
      <c r="CC83" s="110">
        <f>IF(O83="","",IFERROR(O83*HSI!$B$78*HSI!$G$78/HSI!$B$3,""))</f>
        <v/>
      </c>
      <c r="CD83" s="110">
        <f>IF(P83="","",IFERROR(P83*HSI!$B$78*HSI!$G$78/HSI!$B$3,""))</f>
        <v/>
      </c>
      <c r="CE83" s="110">
        <f>IF(Q83="","",IFERROR(Q83*HSI!$B$78*HSI!$G$78/HSI!$B$3,""))</f>
        <v/>
      </c>
      <c r="CF83" s="110">
        <f>IF(R83="","",IFERROR(R83*HSI!$B$78*HSI!$G$78/HSI!$B$3,""))</f>
        <v/>
      </c>
      <c r="CG83" s="110">
        <f>IF(S83="","",IFERROR(S83*HSI!$B$78*HSI!$G$78/HSI!$B$3,""))</f>
        <v/>
      </c>
      <c r="CH83" s="110">
        <f>IF(T83="","",IFERROR(T83*HSI!$B$78*HSI!$G$78/HSI!$B$3,""))</f>
        <v/>
      </c>
      <c r="CI83" s="110">
        <f>IF(U83="","",IFERROR(U83*HSI!$B$78*HSI!$G$78/HSI!$B$3,""))</f>
        <v/>
      </c>
      <c r="CJ83" s="110">
        <f>IF(V83="","",IFERROR(V83*HSI!$B$78*HSI!$G$78/HSI!$B$3,""))</f>
        <v/>
      </c>
      <c r="CK83" s="110">
        <f>IF(W83="","",IFERROR(W83*HSI!$B$78*HSI!$G$78/HSI!$B$3,""))</f>
        <v/>
      </c>
      <c r="CL83" s="110">
        <f>IF(X83="","",IFERROR(X83*HSI!$B$78*HSI!$G$78/HSI!$B$3,""))</f>
        <v/>
      </c>
      <c r="CM83" s="110">
        <f>IF(Y83="","",IFERROR(Y83*HSI!$B$78*HSI!$G$78/HSI!$B$3,""))</f>
        <v/>
      </c>
      <c r="CN83" s="110">
        <f>IF(Z83="","",IFERROR(Z83*HSI!$B$78*HSI!$G$78/HSI!$B$3,""))</f>
        <v/>
      </c>
      <c r="CO83" s="110">
        <f>IF(AA83="","",IFERROR(AA83*HSI!$B$78*HSI!$G$78/HSI!$B$3,""))</f>
        <v/>
      </c>
      <c r="CP83" s="110">
        <f>IF(AB83="","",IFERROR(AB83*HSI!$B$78*HSI!$G$78/HSI!$B$3,""))</f>
        <v/>
      </c>
      <c r="CQ83" s="110">
        <f>IF(AC83="","",IFERROR(AC83*HSI!$B$78*HSI!$G$78/HSI!$B$3,""))</f>
        <v/>
      </c>
      <c r="CR83" s="110">
        <f>IF(AD83="","",IFERROR(AD83*HSI!$B$78*HSI!$G$78/HSI!$B$3,""))</f>
        <v/>
      </c>
      <c r="CS83" s="110">
        <f>IF(AE83="","",IFERROR(AE83*HSI!$B$78*HSI!$G$78/HSI!$B$3,""))</f>
        <v/>
      </c>
      <c r="CT83" s="110">
        <f>IF(AF83="","",IFERROR(AF83*HSI!$B$78*HSI!$G$78/HSI!$B$3,""))</f>
        <v/>
      </c>
      <c r="CU83" s="110">
        <f>IF(AG83="","",IFERROR(AG83*HSI!$B$78*HSI!$G$78/HSI!$B$3,""))</f>
        <v/>
      </c>
      <c r="CV83" s="110">
        <f>IF(AH83="","",IFERROR(AH83*HSI!$B$78*HSI!$G$78/HSI!$B$3,""))</f>
        <v/>
      </c>
      <c r="CW83" s="110">
        <f>IF(AI83="","",IFERROR(AI83*HSI!$B$78*HSI!$G$78/HSI!$B$3,""))</f>
        <v/>
      </c>
      <c r="CX83" s="110">
        <f>IF(AJ83="","",IFERROR(AJ83*HSI!$B$78*HSI!$G$78/HSI!$B$3,""))</f>
        <v/>
      </c>
      <c r="CY83" s="110">
        <f>IF(AK83="","",IFERROR(AK83*HSI!$B$78*HSI!$G$78/HSI!$B$3,""))</f>
        <v/>
      </c>
      <c r="CZ83" s="110">
        <f>IF(AL83="","",IFERROR(AL83*HSI!$B$78*HSI!$G$78/HSI!$B$3,""))</f>
        <v/>
      </c>
      <c r="DA83" s="110">
        <f>IF(AM83="","",IFERROR(AM83*HSI!$B$78*HSI!$G$78/HSI!$B$3,""))</f>
        <v/>
      </c>
      <c r="DB83" s="110">
        <f>IF(AN83="","",IFERROR(AN83*HSI!$B$78*HSI!$G$78/HSI!$B$3,""))</f>
        <v/>
      </c>
      <c r="DC83" s="110">
        <f>IF(AO83="","",IFERROR(AO83*HSI!$B$78*HSI!$G$78/HSI!$B$3,""))</f>
        <v/>
      </c>
      <c r="DD83" s="110">
        <f>IF(AP83="","",IFERROR(AP83*HSI!$B$78*HSI!$G$78/HSI!$B$3,""))</f>
        <v/>
      </c>
      <c r="DE83" s="110">
        <f>IF(AQ83="","",IFERROR(AQ83*HSI!$B$78*HSI!$G$78/HSI!$B$3,""))</f>
        <v/>
      </c>
      <c r="DF83" s="110">
        <f>IF(AR83="","",IFERROR(AR83*HSI!$B$78*HSI!$G$78/HSI!$B$3,""))</f>
        <v/>
      </c>
      <c r="DG83" s="110">
        <f>IF(AS83="","",IFERROR(AS83*HSI!$B$78*HSI!$G$78/HSI!$B$3,""))</f>
        <v/>
      </c>
      <c r="DH83" s="110">
        <f>IF(AT83="","",IFERROR(AT83*HSI!$B$78*HSI!$G$78/HSI!$B$3,""))</f>
        <v/>
      </c>
      <c r="DI83" s="110">
        <f>IF(AU83="","",IFERROR(AU83*HSI!$B$78*HSI!$G$78/HSI!$B$3,""))</f>
        <v/>
      </c>
      <c r="DJ83" s="110">
        <f>IF(AV83="","",IFERROR(AV83*HSI!$B$78*HSI!$G$78/HSI!$B$3,""))</f>
        <v/>
      </c>
      <c r="DK83" s="110">
        <f>IF(AW83="","",IFERROR(AW83*HSI!$B$78*HSI!$G$78/HSI!$B$3,""))</f>
        <v/>
      </c>
      <c r="DL83" s="110">
        <f>IF(AX83="","",IFERROR(AX83*HSI!$B$78*HSI!$G$78/HSI!$B$3,""))</f>
        <v/>
      </c>
      <c r="DM83" s="110">
        <f>IF(AY83="","",IFERROR(AY83*HSI!$B$78*HSI!$G$78/HSI!$B$3,""))</f>
        <v/>
      </c>
      <c r="DN83" s="110">
        <f>IF(AZ83="","",IFERROR(AZ83*HSI!$B$78*HSI!$G$78/HSI!$B$3,""))</f>
        <v/>
      </c>
      <c r="DO83" s="110">
        <f>IF(BA83="","",IFERROR(BA83*HSI!$B$78*HSI!$G$78/HSI!$B$3,""))</f>
        <v/>
      </c>
      <c r="DP83" s="110">
        <f>IF(BB83="","",IFERROR(BB83*HSI!$B$78*HSI!$G$78/HSI!$B$3,""))</f>
        <v/>
      </c>
      <c r="DQ83" s="110">
        <f>IF(BC83="","",IFERROR(BC83*HSI!$B$78*HSI!$G$78/HSI!$B$3,""))</f>
        <v/>
      </c>
      <c r="DR83" s="110">
        <f>IF(BD83="","",IFERROR(BD83*HSI!$B$78*HSI!$G$78/HSI!$B$3,""))</f>
        <v/>
      </c>
      <c r="DS83" s="110">
        <f>IF(BE83="","",IFERROR(BE83*HSI!$B$78*HSI!$G$78/HSI!$B$3,""))</f>
        <v/>
      </c>
      <c r="DT83" s="110">
        <f>IF(BF83="","",IFERROR(BF83*HSI!$B$78*HSI!$G$78/HSI!$B$3,""))</f>
        <v/>
      </c>
      <c r="DU83" s="110">
        <f>IF(BG83="","",IFERROR(BG83*HSI!$B$78*HSI!$G$78/HSI!$B$3,""))</f>
        <v/>
      </c>
      <c r="DV83" s="110">
        <f>IF(BH83="","",IFERROR(BH83*HSI!$B$78*HSI!$G$78/HSI!$B$3,""))</f>
        <v/>
      </c>
      <c r="DW83" s="110">
        <f>IF(BI83="","",IFERROR(BI83*HSI!$B$78*HSI!$G$78/HSI!$B$3,""))</f>
        <v/>
      </c>
      <c r="DX83" s="110">
        <f>IF(BJ83="","",IFERROR(BJ83*HSI!$B$78*HSI!$G$78/HSI!$B$3,""))</f>
        <v/>
      </c>
      <c r="DY83" s="110">
        <f>IF(BK83="","",IFERROR(BK83*HSI!$B$78*HSI!$G$78/HSI!$B$3,""))</f>
        <v/>
      </c>
      <c r="DZ83" s="110">
        <f>IF(BL83="","",IFERROR(BL83*HSI!$B$78*HSI!$G$78/HSI!$B$3,""))</f>
        <v/>
      </c>
      <c r="EA83" s="110">
        <f>IF(BM83="","",IFERROR(BM83*HSI!$B$78*HSI!$G$78/HSI!$B$3,""))</f>
        <v/>
      </c>
      <c r="EB83" s="110">
        <f>IF(BN83="","",IFERROR(BN83*HSI!$B$78*HSI!$G$78/HSI!$B$3,""))</f>
        <v/>
      </c>
      <c r="EC83" s="110">
        <f>IF(BO83="","",IFERROR(BO83*HSI!$B$78*HSI!$G$78/HSI!$B$3,""))</f>
        <v/>
      </c>
      <c r="EE83" s="39">
        <f>IF(N('Dvd Calendar'!$E$792)=0,"",IF(('Dvd Calendar'!$E$792&gt;=GRID_FROM)*('Dvd Calendar'!$E$792&lt;=GRID_TO)*((('Dvd Calendar'!$E$792&lt;=VAL_DATE)+(COUNTIF('Dvd Calendar'!$E$799:$AR$799,'Dvd Calendar'!$E$792)=0))&gt;0)=0,"",'Dvd Calendar'!$E$792*1000000000+ISNUMBER('Dvd Calendar'!$E$795)*100000000+('Dvd Calendar'!$E$797=SPECIAL_LBL)*10000000+(N('Dvd Calendar'!$E$791)&gt;0)*(N('Dvd Calendar'!$E$791)&lt;=VAL_SERIAL)*1000000+72*1000+1))</f>
        <v/>
      </c>
      <c r="EF83" s="39">
        <f>IF(N('Dvd Calendar'!$F$792)=0,"",IF(('Dvd Calendar'!$F$792&gt;=GRID_FROM)*('Dvd Calendar'!$F$792&lt;=GRID_TO)*((('Dvd Calendar'!$F$792&lt;=VAL_DATE)+(COUNTIF('Dvd Calendar'!$E$799:$AR$799,'Dvd Calendar'!$F$792)=0))&gt;0)=0,"",'Dvd Calendar'!$F$792*1000000000+ISNUMBER('Dvd Calendar'!$F$795)*100000000+('Dvd Calendar'!$F$797=SPECIAL_LBL)*10000000+(N('Dvd Calendar'!$F$791)&gt;0)*(N('Dvd Calendar'!$F$791)&lt;=VAL_SERIAL)*1000000+72*1000+2))</f>
        <v/>
      </c>
      <c r="EG83" s="39">
        <f>IF(N('Dvd Calendar'!$G$792)=0,"",IF(('Dvd Calendar'!$G$792&gt;=GRID_FROM)*('Dvd Calendar'!$G$792&lt;=GRID_TO)*((('Dvd Calendar'!$G$792&lt;=VAL_DATE)+(COUNTIF('Dvd Calendar'!$E$799:$AR$799,'Dvd Calendar'!$G$792)=0))&gt;0)=0,"",'Dvd Calendar'!$G$792*1000000000+ISNUMBER('Dvd Calendar'!$G$795)*100000000+('Dvd Calendar'!$G$797=SPECIAL_LBL)*10000000+(N('Dvd Calendar'!$G$791)&gt;0)*(N('Dvd Calendar'!$G$791)&lt;=VAL_SERIAL)*1000000+72*1000+3))</f>
        <v/>
      </c>
      <c r="EH83" s="39">
        <f>IF(N('Dvd Calendar'!$H$792)=0,"",IF(('Dvd Calendar'!$H$792&gt;=GRID_FROM)*('Dvd Calendar'!$H$792&lt;=GRID_TO)*((('Dvd Calendar'!$H$792&lt;=VAL_DATE)+(COUNTIF('Dvd Calendar'!$E$799:$AR$799,'Dvd Calendar'!$H$792)=0))&gt;0)=0,"",'Dvd Calendar'!$H$792*1000000000+ISNUMBER('Dvd Calendar'!$H$795)*100000000+('Dvd Calendar'!$H$797=SPECIAL_LBL)*10000000+(N('Dvd Calendar'!$H$791)&gt;0)*(N('Dvd Calendar'!$H$791)&lt;=VAL_SERIAL)*1000000+72*1000+4))</f>
        <v/>
      </c>
      <c r="EI83" s="39">
        <f>IF(N('Dvd Calendar'!$I$792)=0,"",IF(('Dvd Calendar'!$I$792&gt;=GRID_FROM)*('Dvd Calendar'!$I$792&lt;=GRID_TO)*((('Dvd Calendar'!$I$792&lt;=VAL_DATE)+(COUNTIF('Dvd Calendar'!$E$799:$AR$799,'Dvd Calendar'!$I$792)=0))&gt;0)=0,"",'Dvd Calendar'!$I$792*1000000000+ISNUMBER('Dvd Calendar'!$I$795)*100000000+('Dvd Calendar'!$I$797=SPECIAL_LBL)*10000000+(N('Dvd Calendar'!$I$791)&gt;0)*(N('Dvd Calendar'!$I$791)&lt;=VAL_SERIAL)*1000000+72*1000+5))</f>
        <v/>
      </c>
      <c r="EJ83" s="39">
        <f>IF(N('Dvd Calendar'!$J$792)=0,"",IF(('Dvd Calendar'!$J$792&gt;=GRID_FROM)*('Dvd Calendar'!$J$792&lt;=GRID_TO)*((('Dvd Calendar'!$J$792&lt;=VAL_DATE)+(COUNTIF('Dvd Calendar'!$E$799:$AR$799,'Dvd Calendar'!$J$792)=0))&gt;0)=0,"",'Dvd Calendar'!$J$792*1000000000+ISNUMBER('Dvd Calendar'!$J$795)*100000000+('Dvd Calendar'!$J$797=SPECIAL_LBL)*10000000+(N('Dvd Calendar'!$J$791)&gt;0)*(N('Dvd Calendar'!$J$791)&lt;=VAL_SERIAL)*1000000+72*1000+6))</f>
        <v/>
      </c>
      <c r="EK83" s="39">
        <f>IF(N('Dvd Calendar'!$K$792)=0,"",IF(('Dvd Calendar'!$K$792&gt;=GRID_FROM)*('Dvd Calendar'!$K$792&lt;=GRID_TO)*((('Dvd Calendar'!$K$792&lt;=VAL_DATE)+(COUNTIF('Dvd Calendar'!$E$799:$AR$799,'Dvd Calendar'!$K$792)=0))&gt;0)=0,"",'Dvd Calendar'!$K$792*1000000000+ISNUMBER('Dvd Calendar'!$K$795)*100000000+('Dvd Calendar'!$K$797=SPECIAL_LBL)*10000000+(N('Dvd Calendar'!$K$791)&gt;0)*(N('Dvd Calendar'!$K$791)&lt;=VAL_SERIAL)*1000000+72*1000+7))</f>
        <v/>
      </c>
      <c r="EL83" s="39">
        <f>IF(N('Dvd Calendar'!$L$792)=0,"",IF(('Dvd Calendar'!$L$792&gt;=GRID_FROM)*('Dvd Calendar'!$L$792&lt;=GRID_TO)*((('Dvd Calendar'!$L$792&lt;=VAL_DATE)+(COUNTIF('Dvd Calendar'!$E$799:$AR$799,'Dvd Calendar'!$L$792)=0))&gt;0)=0,"",'Dvd Calendar'!$L$792*1000000000+ISNUMBER('Dvd Calendar'!$L$795)*100000000+('Dvd Calendar'!$L$797=SPECIAL_LBL)*10000000+(N('Dvd Calendar'!$L$791)&gt;0)*(N('Dvd Calendar'!$L$791)&lt;=VAL_SERIAL)*1000000+72*1000+8))</f>
        <v/>
      </c>
      <c r="EM83" s="39">
        <f>IF(N('Dvd Calendar'!$M$792)=0,"",IF(('Dvd Calendar'!$M$792&gt;=GRID_FROM)*('Dvd Calendar'!$M$792&lt;=GRID_TO)*((('Dvd Calendar'!$M$792&lt;=VAL_DATE)+(COUNTIF('Dvd Calendar'!$E$799:$AR$799,'Dvd Calendar'!$M$792)=0))&gt;0)=0,"",'Dvd Calendar'!$M$792*1000000000+ISNUMBER('Dvd Calendar'!$M$795)*100000000+('Dvd Calendar'!$M$797=SPECIAL_LBL)*10000000+(N('Dvd Calendar'!$M$791)&gt;0)*(N('Dvd Calendar'!$M$791)&lt;=VAL_SERIAL)*1000000+72*1000+9))</f>
        <v/>
      </c>
      <c r="EN83" s="39">
        <f>IF(N('Dvd Calendar'!$N$792)=0,"",IF(('Dvd Calendar'!$N$792&gt;=GRID_FROM)*('Dvd Calendar'!$N$792&lt;=GRID_TO)*((('Dvd Calendar'!$N$792&lt;=VAL_DATE)+(COUNTIF('Dvd Calendar'!$E$799:$AR$799,'Dvd Calendar'!$N$792)=0))&gt;0)=0,"",'Dvd Calendar'!$N$792*1000000000+ISNUMBER('Dvd Calendar'!$N$795)*100000000+('Dvd Calendar'!$N$797=SPECIAL_LBL)*10000000+(N('Dvd Calendar'!$N$791)&gt;0)*(N('Dvd Calendar'!$N$791)&lt;=VAL_SERIAL)*1000000+72*1000+10))</f>
        <v/>
      </c>
      <c r="EO83" s="39">
        <f>IF(N('Dvd Calendar'!$O$792)=0,"",IF(('Dvd Calendar'!$O$792&gt;=GRID_FROM)*('Dvd Calendar'!$O$792&lt;=GRID_TO)*((('Dvd Calendar'!$O$792&lt;=VAL_DATE)+(COUNTIF('Dvd Calendar'!$E$799:$AR$799,'Dvd Calendar'!$O$792)=0))&gt;0)=0,"",'Dvd Calendar'!$O$792*1000000000+ISNUMBER('Dvd Calendar'!$O$795)*100000000+('Dvd Calendar'!$O$797=SPECIAL_LBL)*10000000+(N('Dvd Calendar'!$O$791)&gt;0)*(N('Dvd Calendar'!$O$791)&lt;=VAL_SERIAL)*1000000+72*1000+11))</f>
        <v/>
      </c>
      <c r="EP83" s="39">
        <f>IF(N('Dvd Calendar'!$P$792)=0,"",IF(('Dvd Calendar'!$P$792&gt;=GRID_FROM)*('Dvd Calendar'!$P$792&lt;=GRID_TO)*((('Dvd Calendar'!$P$792&lt;=VAL_DATE)+(COUNTIF('Dvd Calendar'!$E$799:$AR$799,'Dvd Calendar'!$P$792)=0))&gt;0)=0,"",'Dvd Calendar'!$P$792*1000000000+ISNUMBER('Dvd Calendar'!$P$795)*100000000+('Dvd Calendar'!$P$797=SPECIAL_LBL)*10000000+(N('Dvd Calendar'!$P$791)&gt;0)*(N('Dvd Calendar'!$P$791)&lt;=VAL_SERIAL)*1000000+72*1000+12))</f>
        <v/>
      </c>
      <c r="EQ83" s="39">
        <f>IF(N('Dvd Calendar'!$Q$792)=0,"",IF(('Dvd Calendar'!$Q$792&gt;=GRID_FROM)*('Dvd Calendar'!$Q$792&lt;=GRID_TO)*((('Dvd Calendar'!$Q$792&lt;=VAL_DATE)+(COUNTIF('Dvd Calendar'!$E$799:$AR$799,'Dvd Calendar'!$Q$792)=0))&gt;0)=0,"",'Dvd Calendar'!$Q$792*1000000000+ISNUMBER('Dvd Calendar'!$Q$795)*100000000+('Dvd Calendar'!$Q$797=SPECIAL_LBL)*10000000+(N('Dvd Calendar'!$Q$791)&gt;0)*(N('Dvd Calendar'!$Q$791)&lt;=VAL_SERIAL)*1000000+72*1000+13))</f>
        <v/>
      </c>
      <c r="ER83" s="39">
        <f>IF(N('Dvd Calendar'!$R$792)=0,"",IF(('Dvd Calendar'!$R$792&gt;=GRID_FROM)*('Dvd Calendar'!$R$792&lt;=GRID_TO)*((('Dvd Calendar'!$R$792&lt;=VAL_DATE)+(COUNTIF('Dvd Calendar'!$E$799:$AR$799,'Dvd Calendar'!$R$792)=0))&gt;0)=0,"",'Dvd Calendar'!$R$792*1000000000+ISNUMBER('Dvd Calendar'!$R$795)*100000000+('Dvd Calendar'!$R$797=SPECIAL_LBL)*10000000+(N('Dvd Calendar'!$R$791)&gt;0)*(N('Dvd Calendar'!$R$791)&lt;=VAL_SERIAL)*1000000+72*1000+14))</f>
        <v/>
      </c>
      <c r="ES83" s="39">
        <f>IF(N('Dvd Calendar'!$S$792)=0,"",IF(('Dvd Calendar'!$S$792&gt;=GRID_FROM)*('Dvd Calendar'!$S$792&lt;=GRID_TO)*((('Dvd Calendar'!$S$792&lt;=VAL_DATE)+(COUNTIF('Dvd Calendar'!$E$799:$AR$799,'Dvd Calendar'!$S$792)=0))&gt;0)=0,"",'Dvd Calendar'!$S$792*1000000000+ISNUMBER('Dvd Calendar'!$S$795)*100000000+('Dvd Calendar'!$S$797=SPECIAL_LBL)*10000000+(N('Dvd Calendar'!$S$791)&gt;0)*(N('Dvd Calendar'!$S$791)&lt;=VAL_SERIAL)*1000000+72*1000+15))</f>
        <v/>
      </c>
      <c r="ET83" s="39">
        <f>IF(N('Dvd Calendar'!$T$792)=0,"",IF(('Dvd Calendar'!$T$792&gt;=GRID_FROM)*('Dvd Calendar'!$T$792&lt;=GRID_TO)*((('Dvd Calendar'!$T$792&lt;=VAL_DATE)+(COUNTIF('Dvd Calendar'!$E$799:$AR$799,'Dvd Calendar'!$T$792)=0))&gt;0)=0,"",'Dvd Calendar'!$T$792*1000000000+ISNUMBER('Dvd Calendar'!$T$795)*100000000+('Dvd Calendar'!$T$797=SPECIAL_LBL)*10000000+(N('Dvd Calendar'!$T$791)&gt;0)*(N('Dvd Calendar'!$T$791)&lt;=VAL_SERIAL)*1000000+72*1000+16))</f>
        <v/>
      </c>
      <c r="EU83" s="39">
        <f>IF(N('Dvd Calendar'!$U$792)=0,"",IF(('Dvd Calendar'!$U$792&gt;=GRID_FROM)*('Dvd Calendar'!$U$792&lt;=GRID_TO)*((('Dvd Calendar'!$U$792&lt;=VAL_DATE)+(COUNTIF('Dvd Calendar'!$E$799:$AR$799,'Dvd Calendar'!$U$792)=0))&gt;0)=0,"",'Dvd Calendar'!$U$792*1000000000+ISNUMBER('Dvd Calendar'!$U$795)*100000000+('Dvd Calendar'!$U$797=SPECIAL_LBL)*10000000+(N('Dvd Calendar'!$U$791)&gt;0)*(N('Dvd Calendar'!$U$791)&lt;=VAL_SERIAL)*1000000+72*1000+17))</f>
        <v/>
      </c>
      <c r="EV83" s="39">
        <f>IF(N('Dvd Calendar'!$V$792)=0,"",IF(('Dvd Calendar'!$V$792&gt;=GRID_FROM)*('Dvd Calendar'!$V$792&lt;=GRID_TO)*((('Dvd Calendar'!$V$792&lt;=VAL_DATE)+(COUNTIF('Dvd Calendar'!$E$799:$AR$799,'Dvd Calendar'!$V$792)=0))&gt;0)=0,"",'Dvd Calendar'!$V$792*1000000000+ISNUMBER('Dvd Calendar'!$V$795)*100000000+('Dvd Calendar'!$V$797=SPECIAL_LBL)*10000000+(N('Dvd Calendar'!$V$791)&gt;0)*(N('Dvd Calendar'!$V$791)&lt;=VAL_SERIAL)*1000000+72*1000+18))</f>
        <v/>
      </c>
      <c r="EW83" s="39">
        <f>IF(N('Dvd Calendar'!$W$792)=0,"",IF(('Dvd Calendar'!$W$792&gt;=GRID_FROM)*('Dvd Calendar'!$W$792&lt;=GRID_TO)*((('Dvd Calendar'!$W$792&lt;=VAL_DATE)+(COUNTIF('Dvd Calendar'!$E$799:$AR$799,'Dvd Calendar'!$W$792)=0))&gt;0)=0,"",'Dvd Calendar'!$W$792*1000000000+ISNUMBER('Dvd Calendar'!$W$795)*100000000+('Dvd Calendar'!$W$797=SPECIAL_LBL)*10000000+(N('Dvd Calendar'!$W$791)&gt;0)*(N('Dvd Calendar'!$W$791)&lt;=VAL_SERIAL)*1000000+72*1000+19))</f>
        <v/>
      </c>
      <c r="EX83" s="39">
        <f>IF(N('Dvd Calendar'!$X$792)=0,"",IF(('Dvd Calendar'!$X$792&gt;=GRID_FROM)*('Dvd Calendar'!$X$792&lt;=GRID_TO)*((('Dvd Calendar'!$X$792&lt;=VAL_DATE)+(COUNTIF('Dvd Calendar'!$E$799:$AR$799,'Dvd Calendar'!$X$792)=0))&gt;0)=0,"",'Dvd Calendar'!$X$792*1000000000+ISNUMBER('Dvd Calendar'!$X$795)*100000000+('Dvd Calendar'!$X$797=SPECIAL_LBL)*10000000+(N('Dvd Calendar'!$X$791)&gt;0)*(N('Dvd Calendar'!$X$791)&lt;=VAL_SERIAL)*1000000+72*1000+20))</f>
        <v/>
      </c>
      <c r="EY83" s="39">
        <f>IF(N('Dvd Calendar'!$Y$792)=0,"",IF(('Dvd Calendar'!$Y$792&gt;=GRID_FROM)*('Dvd Calendar'!$Y$792&lt;=GRID_TO)*((('Dvd Calendar'!$Y$792&lt;=VAL_DATE)+(COUNTIF('Dvd Calendar'!$E$799:$AR$799,'Dvd Calendar'!$Y$792)=0))&gt;0)=0,"",'Dvd Calendar'!$Y$792*1000000000+ISNUMBER('Dvd Calendar'!$Y$795)*100000000+('Dvd Calendar'!$Y$797=SPECIAL_LBL)*10000000+(N('Dvd Calendar'!$Y$791)&gt;0)*(N('Dvd Calendar'!$Y$791)&lt;=VAL_SERIAL)*1000000+72*1000+21))</f>
        <v/>
      </c>
      <c r="EZ83" s="39">
        <f>IF(N('Dvd Calendar'!$Z$792)=0,"",IF(('Dvd Calendar'!$Z$792&gt;=GRID_FROM)*('Dvd Calendar'!$Z$792&lt;=GRID_TO)*((('Dvd Calendar'!$Z$792&lt;=VAL_DATE)+(COUNTIF('Dvd Calendar'!$E$799:$AR$799,'Dvd Calendar'!$Z$792)=0))&gt;0)=0,"",'Dvd Calendar'!$Z$792*1000000000+ISNUMBER('Dvd Calendar'!$Z$795)*100000000+('Dvd Calendar'!$Z$797=SPECIAL_LBL)*10000000+(N('Dvd Calendar'!$Z$791)&gt;0)*(N('Dvd Calendar'!$Z$791)&lt;=VAL_SERIAL)*1000000+72*1000+22))</f>
        <v/>
      </c>
      <c r="FA83" s="39">
        <f>IF(N('Dvd Calendar'!$AA$792)=0,"",IF(('Dvd Calendar'!$AA$792&gt;=GRID_FROM)*('Dvd Calendar'!$AA$792&lt;=GRID_TO)*((('Dvd Calendar'!$AA$792&lt;=VAL_DATE)+(COUNTIF('Dvd Calendar'!$E$799:$AR$799,'Dvd Calendar'!$AA$792)=0))&gt;0)=0,"",'Dvd Calendar'!$AA$792*1000000000+ISNUMBER('Dvd Calendar'!$AA$795)*100000000+('Dvd Calendar'!$AA$797=SPECIAL_LBL)*10000000+(N('Dvd Calendar'!$AA$791)&gt;0)*(N('Dvd Calendar'!$AA$791)&lt;=VAL_SERIAL)*1000000+72*1000+23))</f>
        <v/>
      </c>
      <c r="FB83" s="39">
        <f>IF(N('Dvd Calendar'!$AB$792)=0,"",IF(('Dvd Calendar'!$AB$792&gt;=GRID_FROM)*('Dvd Calendar'!$AB$792&lt;=GRID_TO)*((('Dvd Calendar'!$AB$792&lt;=VAL_DATE)+(COUNTIF('Dvd Calendar'!$E$799:$AR$799,'Dvd Calendar'!$AB$792)=0))&gt;0)=0,"",'Dvd Calendar'!$AB$792*1000000000+ISNUMBER('Dvd Calendar'!$AB$795)*100000000+('Dvd Calendar'!$AB$797=SPECIAL_LBL)*10000000+(N('Dvd Calendar'!$AB$791)&gt;0)*(N('Dvd Calendar'!$AB$791)&lt;=VAL_SERIAL)*1000000+72*1000+24))</f>
        <v/>
      </c>
      <c r="FC83" s="39">
        <f>IF(N('Dvd Calendar'!$AC$792)=0,"",IF(('Dvd Calendar'!$AC$792&gt;=GRID_FROM)*('Dvd Calendar'!$AC$792&lt;=GRID_TO)*((('Dvd Calendar'!$AC$792&lt;=VAL_DATE)+(COUNTIF('Dvd Calendar'!$E$799:$AR$799,'Dvd Calendar'!$AC$792)=0))&gt;0)=0,"",'Dvd Calendar'!$AC$792*1000000000+ISNUMBER('Dvd Calendar'!$AC$795)*100000000+('Dvd Calendar'!$AC$797=SPECIAL_LBL)*10000000+(N('Dvd Calendar'!$AC$791)&gt;0)*(N('Dvd Calendar'!$AC$791)&lt;=VAL_SERIAL)*1000000+72*1000+25))</f>
        <v/>
      </c>
      <c r="FD83" s="39">
        <f>IF(N('Dvd Calendar'!$AD$792)=0,"",IF(('Dvd Calendar'!$AD$792&gt;=GRID_FROM)*('Dvd Calendar'!$AD$792&lt;=GRID_TO)*((('Dvd Calendar'!$AD$792&lt;=VAL_DATE)+(COUNTIF('Dvd Calendar'!$E$799:$AR$799,'Dvd Calendar'!$AD$792)=0))&gt;0)=0,"",'Dvd Calendar'!$AD$792*1000000000+ISNUMBER('Dvd Calendar'!$AD$795)*100000000+('Dvd Calendar'!$AD$797=SPECIAL_LBL)*10000000+(N('Dvd Calendar'!$AD$791)&gt;0)*(N('Dvd Calendar'!$AD$791)&lt;=VAL_SERIAL)*1000000+72*1000+26))</f>
        <v/>
      </c>
      <c r="FE83" s="39">
        <f>IF(N('Dvd Calendar'!$AE$792)=0,"",IF(('Dvd Calendar'!$AE$792&gt;=GRID_FROM)*('Dvd Calendar'!$AE$792&lt;=GRID_TO)*((('Dvd Calendar'!$AE$792&lt;=VAL_DATE)+(COUNTIF('Dvd Calendar'!$E$799:$AR$799,'Dvd Calendar'!$AE$792)=0))&gt;0)=0,"",'Dvd Calendar'!$AE$792*1000000000+ISNUMBER('Dvd Calendar'!$AE$795)*100000000+('Dvd Calendar'!$AE$797=SPECIAL_LBL)*10000000+(N('Dvd Calendar'!$AE$791)&gt;0)*(N('Dvd Calendar'!$AE$791)&lt;=VAL_SERIAL)*1000000+72*1000+27))</f>
        <v/>
      </c>
      <c r="FF83" s="39">
        <f>IF(N('Dvd Calendar'!$AF$792)=0,"",IF(('Dvd Calendar'!$AF$792&gt;=GRID_FROM)*('Dvd Calendar'!$AF$792&lt;=GRID_TO)*((('Dvd Calendar'!$AF$792&lt;=VAL_DATE)+(COUNTIF('Dvd Calendar'!$E$799:$AR$799,'Dvd Calendar'!$AF$792)=0))&gt;0)=0,"",'Dvd Calendar'!$AF$792*1000000000+ISNUMBER('Dvd Calendar'!$AF$795)*100000000+('Dvd Calendar'!$AF$797=SPECIAL_LBL)*10000000+(N('Dvd Calendar'!$AF$791)&gt;0)*(N('Dvd Calendar'!$AF$791)&lt;=VAL_SERIAL)*1000000+72*1000+28))</f>
        <v/>
      </c>
      <c r="FG83" s="39">
        <f>IF(N('Dvd Calendar'!$AG$792)=0,"",IF(('Dvd Calendar'!$AG$792&gt;=GRID_FROM)*('Dvd Calendar'!$AG$792&lt;=GRID_TO)*((('Dvd Calendar'!$AG$792&lt;=VAL_DATE)+(COUNTIF('Dvd Calendar'!$E$799:$AR$799,'Dvd Calendar'!$AG$792)=0))&gt;0)=0,"",'Dvd Calendar'!$AG$792*1000000000+ISNUMBER('Dvd Calendar'!$AG$795)*100000000+('Dvd Calendar'!$AG$797=SPECIAL_LBL)*10000000+(N('Dvd Calendar'!$AG$791)&gt;0)*(N('Dvd Calendar'!$AG$791)&lt;=VAL_SERIAL)*1000000+72*1000+29))</f>
        <v/>
      </c>
      <c r="FH83" s="39">
        <f>IF(N('Dvd Calendar'!$AH$792)=0,"",IF(('Dvd Calendar'!$AH$792&gt;=GRID_FROM)*('Dvd Calendar'!$AH$792&lt;=GRID_TO)*((('Dvd Calendar'!$AH$792&lt;=VAL_DATE)+(COUNTIF('Dvd Calendar'!$E$799:$AR$799,'Dvd Calendar'!$AH$792)=0))&gt;0)=0,"",'Dvd Calendar'!$AH$792*1000000000+ISNUMBER('Dvd Calendar'!$AH$795)*100000000+('Dvd Calendar'!$AH$797=SPECIAL_LBL)*10000000+(N('Dvd Calendar'!$AH$791)&gt;0)*(N('Dvd Calendar'!$AH$791)&lt;=VAL_SERIAL)*1000000+72*1000+30))</f>
        <v/>
      </c>
      <c r="FI83" s="39">
        <f>IF(N('Dvd Calendar'!$AI$792)=0,"",IF(('Dvd Calendar'!$AI$792&gt;=GRID_FROM)*('Dvd Calendar'!$AI$792&lt;=GRID_TO)*((('Dvd Calendar'!$AI$792&lt;=VAL_DATE)+(COUNTIF('Dvd Calendar'!$E$799:$AR$799,'Dvd Calendar'!$AI$792)=0))&gt;0)=0,"",'Dvd Calendar'!$AI$792*1000000000+ISNUMBER('Dvd Calendar'!$AI$795)*100000000+('Dvd Calendar'!$AI$797=SPECIAL_LBL)*10000000+(N('Dvd Calendar'!$AI$791)&gt;0)*(N('Dvd Calendar'!$AI$791)&lt;=VAL_SERIAL)*1000000+72*1000+31))</f>
        <v/>
      </c>
      <c r="FJ83" s="39">
        <f>IF(N('Dvd Calendar'!$AJ$792)=0,"",IF(('Dvd Calendar'!$AJ$792&gt;=GRID_FROM)*('Dvd Calendar'!$AJ$792&lt;=GRID_TO)*((('Dvd Calendar'!$AJ$792&lt;=VAL_DATE)+(COUNTIF('Dvd Calendar'!$E$799:$AR$799,'Dvd Calendar'!$AJ$792)=0))&gt;0)=0,"",'Dvd Calendar'!$AJ$792*1000000000+ISNUMBER('Dvd Calendar'!$AJ$795)*100000000+('Dvd Calendar'!$AJ$797=SPECIAL_LBL)*10000000+(N('Dvd Calendar'!$AJ$791)&gt;0)*(N('Dvd Calendar'!$AJ$791)&lt;=VAL_SERIAL)*1000000+72*1000+32))</f>
        <v/>
      </c>
      <c r="FK83" s="39">
        <f>IF(N('Dvd Calendar'!$AK$792)=0,"",IF(('Dvd Calendar'!$AK$792&gt;=GRID_FROM)*('Dvd Calendar'!$AK$792&lt;=GRID_TO)*((('Dvd Calendar'!$AK$792&lt;=VAL_DATE)+(COUNTIF('Dvd Calendar'!$E$799:$AR$799,'Dvd Calendar'!$AK$792)=0))&gt;0)=0,"",'Dvd Calendar'!$AK$792*1000000000+ISNUMBER('Dvd Calendar'!$AK$795)*100000000+('Dvd Calendar'!$AK$797=SPECIAL_LBL)*10000000+(N('Dvd Calendar'!$AK$791)&gt;0)*(N('Dvd Calendar'!$AK$791)&lt;=VAL_SERIAL)*1000000+72*1000+33))</f>
        <v/>
      </c>
      <c r="FL83" s="39">
        <f>IF(N('Dvd Calendar'!$AL$792)=0,"",IF(('Dvd Calendar'!$AL$792&gt;=GRID_FROM)*('Dvd Calendar'!$AL$792&lt;=GRID_TO)*((('Dvd Calendar'!$AL$792&lt;=VAL_DATE)+(COUNTIF('Dvd Calendar'!$E$799:$AR$799,'Dvd Calendar'!$AL$792)=0))&gt;0)=0,"",'Dvd Calendar'!$AL$792*1000000000+ISNUMBER('Dvd Calendar'!$AL$795)*100000000+('Dvd Calendar'!$AL$797=SPECIAL_LBL)*10000000+(N('Dvd Calendar'!$AL$791)&gt;0)*(N('Dvd Calendar'!$AL$791)&lt;=VAL_SERIAL)*1000000+72*1000+34))</f>
        <v/>
      </c>
      <c r="FM83" s="39">
        <f>IF(N('Dvd Calendar'!$AM$792)=0,"",IF(('Dvd Calendar'!$AM$792&gt;=GRID_FROM)*('Dvd Calendar'!$AM$792&lt;=GRID_TO)*((('Dvd Calendar'!$AM$792&lt;=VAL_DATE)+(COUNTIF('Dvd Calendar'!$E$799:$AR$799,'Dvd Calendar'!$AM$792)=0))&gt;0)=0,"",'Dvd Calendar'!$AM$792*1000000000+ISNUMBER('Dvd Calendar'!$AM$795)*100000000+('Dvd Calendar'!$AM$797=SPECIAL_LBL)*10000000+(N('Dvd Calendar'!$AM$791)&gt;0)*(N('Dvd Calendar'!$AM$791)&lt;=VAL_SERIAL)*1000000+72*1000+35))</f>
        <v/>
      </c>
      <c r="FN83" s="39">
        <f>IF(N('Dvd Calendar'!$AN$792)=0,"",IF(('Dvd Calendar'!$AN$792&gt;=GRID_FROM)*('Dvd Calendar'!$AN$792&lt;=GRID_TO)*((('Dvd Calendar'!$AN$792&lt;=VAL_DATE)+(COUNTIF('Dvd Calendar'!$E$799:$AR$799,'Dvd Calendar'!$AN$792)=0))&gt;0)=0,"",'Dvd Calendar'!$AN$792*1000000000+ISNUMBER('Dvd Calendar'!$AN$795)*100000000+('Dvd Calendar'!$AN$797=SPECIAL_LBL)*10000000+(N('Dvd Calendar'!$AN$791)&gt;0)*(N('Dvd Calendar'!$AN$791)&lt;=VAL_SERIAL)*1000000+72*1000+36))</f>
        <v/>
      </c>
      <c r="FO83" s="39">
        <f>IF(N('Dvd Calendar'!$AO$792)=0,"",IF(('Dvd Calendar'!$AO$792&gt;=GRID_FROM)*('Dvd Calendar'!$AO$792&lt;=GRID_TO)*((('Dvd Calendar'!$AO$792&lt;=VAL_DATE)+(COUNTIF('Dvd Calendar'!$E$799:$AR$799,'Dvd Calendar'!$AO$792)=0))&gt;0)=0,"",'Dvd Calendar'!$AO$792*1000000000+ISNUMBER('Dvd Calendar'!$AO$795)*100000000+('Dvd Calendar'!$AO$797=SPECIAL_LBL)*10000000+(N('Dvd Calendar'!$AO$791)&gt;0)*(N('Dvd Calendar'!$AO$791)&lt;=VAL_SERIAL)*1000000+72*1000+37))</f>
        <v/>
      </c>
      <c r="FP83" s="39">
        <f>IF(N('Dvd Calendar'!$AP$792)=0,"",IF(('Dvd Calendar'!$AP$792&gt;=GRID_FROM)*('Dvd Calendar'!$AP$792&lt;=GRID_TO)*((('Dvd Calendar'!$AP$792&lt;=VAL_DATE)+(COUNTIF('Dvd Calendar'!$E$799:$AR$799,'Dvd Calendar'!$AP$792)=0))&gt;0)=0,"",'Dvd Calendar'!$AP$792*1000000000+ISNUMBER('Dvd Calendar'!$AP$795)*100000000+('Dvd Calendar'!$AP$797=SPECIAL_LBL)*10000000+(N('Dvd Calendar'!$AP$791)&gt;0)*(N('Dvd Calendar'!$AP$791)&lt;=VAL_SERIAL)*1000000+72*1000+38))</f>
        <v/>
      </c>
      <c r="FQ83" s="39">
        <f>IF(N('Dvd Calendar'!$AQ$792)=0,"",IF(('Dvd Calendar'!$AQ$792&gt;=GRID_FROM)*('Dvd Calendar'!$AQ$792&lt;=GRID_TO)*((('Dvd Calendar'!$AQ$792&lt;=VAL_DATE)+(COUNTIF('Dvd Calendar'!$E$799:$AR$799,'Dvd Calendar'!$AQ$792)=0))&gt;0)=0,"",'Dvd Calendar'!$AQ$792*1000000000+ISNUMBER('Dvd Calendar'!$AQ$795)*100000000+('Dvd Calendar'!$AQ$797=SPECIAL_LBL)*10000000+(N('Dvd Calendar'!$AQ$791)&gt;0)*(N('Dvd Calendar'!$AQ$791)&lt;=VAL_SERIAL)*1000000+72*1000+39))</f>
        <v/>
      </c>
      <c r="FR83" s="39">
        <f>IF(N('Dvd Calendar'!$AR$792)=0,"",IF(('Dvd Calendar'!$AR$792&gt;=GRID_FROM)*('Dvd Calendar'!$AR$792&lt;=GRID_TO)*((('Dvd Calendar'!$AR$792&lt;=VAL_DATE)+(COUNTIF('Dvd Calendar'!$E$799:$AR$799,'Dvd Calendar'!$AR$792)=0))&gt;0)=0,"",'Dvd Calendar'!$AR$792*1000000000+ISNUMBER('Dvd Calendar'!$AR$795)*100000000+('Dvd Calendar'!$AR$797=SPECIAL_LBL)*10000000+(N('Dvd Calendar'!$AR$791)&gt;0)*(N('Dvd Calendar'!$AR$791)&lt;=VAL_SERIAL)*1000000+72*1000+40))</f>
        <v/>
      </c>
      <c r="FS83" s="39">
        <f>IF(N('Dvd Calendar'!$E$799)=0,"",IF(('Dvd Calendar'!$E$799&gt;=GRID_FROM)*('Dvd Calendar'!$E$799&lt;=GRID_TO)*('Dvd Calendar'!$E$799&gt;VAL_DATE)=0,"",'Dvd Calendar'!$E$799*1000000000+ISNUMBER('Dvd Calendar'!$E$800)*100000000+0*10000000+(N('Dvd Calendar'!$E$798)&gt;0)*(N('Dvd Calendar'!$E$798)&lt;=VAL_SERIAL)*1000000+72*1000+41))</f>
        <v/>
      </c>
      <c r="FT83" s="39">
        <f>IF(N('Dvd Calendar'!$F$799)=0,"",IF(('Dvd Calendar'!$F$799&gt;=GRID_FROM)*('Dvd Calendar'!$F$799&lt;=GRID_TO)*('Dvd Calendar'!$F$799&gt;VAL_DATE)=0,"",'Dvd Calendar'!$F$799*1000000000+ISNUMBER('Dvd Calendar'!$F$800)*100000000+0*10000000+(N('Dvd Calendar'!$F$798)&gt;0)*(N('Dvd Calendar'!$F$798)&lt;=VAL_SERIAL)*1000000+72*1000+42))</f>
        <v/>
      </c>
      <c r="FU83" s="39">
        <f>IF(N('Dvd Calendar'!$G$799)=0,"",IF(('Dvd Calendar'!$G$799&gt;=GRID_FROM)*('Dvd Calendar'!$G$799&lt;=GRID_TO)*('Dvd Calendar'!$G$799&gt;VAL_DATE)=0,"",'Dvd Calendar'!$G$799*1000000000+ISNUMBER('Dvd Calendar'!$G$800)*100000000+0*10000000+(N('Dvd Calendar'!$G$798)&gt;0)*(N('Dvd Calendar'!$G$798)&lt;=VAL_SERIAL)*1000000+72*1000+43))</f>
        <v/>
      </c>
      <c r="FV83" s="39">
        <f>IF(N('Dvd Calendar'!$H$799)=0,"",IF(('Dvd Calendar'!$H$799&gt;=GRID_FROM)*('Dvd Calendar'!$H$799&lt;=GRID_TO)*('Dvd Calendar'!$H$799&gt;VAL_DATE)=0,"",'Dvd Calendar'!$H$799*1000000000+ISNUMBER('Dvd Calendar'!$H$800)*100000000+0*10000000+(N('Dvd Calendar'!$H$798)&gt;0)*(N('Dvd Calendar'!$H$798)&lt;=VAL_SERIAL)*1000000+72*1000+44))</f>
        <v/>
      </c>
      <c r="FW83" s="39">
        <f>IF(N('Dvd Calendar'!$I$799)=0,"",IF(('Dvd Calendar'!$I$799&gt;=GRID_FROM)*('Dvd Calendar'!$I$799&lt;=GRID_TO)*('Dvd Calendar'!$I$799&gt;VAL_DATE)=0,"",'Dvd Calendar'!$I$799*1000000000+ISNUMBER('Dvd Calendar'!$I$800)*100000000+0*10000000+(N('Dvd Calendar'!$I$798)&gt;0)*(N('Dvd Calendar'!$I$798)&lt;=VAL_SERIAL)*1000000+72*1000+45))</f>
        <v/>
      </c>
      <c r="FX83" s="39">
        <f>IF(N('Dvd Calendar'!$J$799)=0,"",IF(('Dvd Calendar'!$J$799&gt;=GRID_FROM)*('Dvd Calendar'!$J$799&lt;=GRID_TO)*('Dvd Calendar'!$J$799&gt;VAL_DATE)=0,"",'Dvd Calendar'!$J$799*1000000000+ISNUMBER('Dvd Calendar'!$J$800)*100000000+0*10000000+(N('Dvd Calendar'!$J$798)&gt;0)*(N('Dvd Calendar'!$J$798)&lt;=VAL_SERIAL)*1000000+72*1000+46))</f>
        <v/>
      </c>
      <c r="FY83" s="39">
        <f>IF(N('Dvd Calendar'!$K$799)=0,"",IF(('Dvd Calendar'!$K$799&gt;=GRID_FROM)*('Dvd Calendar'!$K$799&lt;=GRID_TO)*('Dvd Calendar'!$K$799&gt;VAL_DATE)=0,"",'Dvd Calendar'!$K$799*1000000000+ISNUMBER('Dvd Calendar'!$K$800)*100000000+0*10000000+(N('Dvd Calendar'!$K$798)&gt;0)*(N('Dvd Calendar'!$K$798)&lt;=VAL_SERIAL)*1000000+72*1000+47))</f>
        <v/>
      </c>
      <c r="FZ83" s="39">
        <f>IF(N('Dvd Calendar'!$L$799)=0,"",IF(('Dvd Calendar'!$L$799&gt;=GRID_FROM)*('Dvd Calendar'!$L$799&lt;=GRID_TO)*('Dvd Calendar'!$L$799&gt;VAL_DATE)=0,"",'Dvd Calendar'!$L$799*1000000000+ISNUMBER('Dvd Calendar'!$L$800)*100000000+0*10000000+(N('Dvd Calendar'!$L$798)&gt;0)*(N('Dvd Calendar'!$L$798)&lt;=VAL_SERIAL)*1000000+72*1000+48))</f>
        <v/>
      </c>
      <c r="GA83" s="39">
        <f>IF(N('Dvd Calendar'!$M$799)=0,"",IF(('Dvd Calendar'!$M$799&gt;=GRID_FROM)*('Dvd Calendar'!$M$799&lt;=GRID_TO)*('Dvd Calendar'!$M$799&gt;VAL_DATE)=0,"",'Dvd Calendar'!$M$799*1000000000+ISNUMBER('Dvd Calendar'!$M$800)*100000000+0*10000000+(N('Dvd Calendar'!$M$798)&gt;0)*(N('Dvd Calendar'!$M$798)&lt;=VAL_SERIAL)*1000000+72*1000+49))</f>
        <v/>
      </c>
      <c r="GB83" s="39">
        <f>IF(N('Dvd Calendar'!$N$799)=0,"",IF(('Dvd Calendar'!$N$799&gt;=GRID_FROM)*('Dvd Calendar'!$N$799&lt;=GRID_TO)*('Dvd Calendar'!$N$799&gt;VAL_DATE)=0,"",'Dvd Calendar'!$N$799*1000000000+ISNUMBER('Dvd Calendar'!$N$800)*100000000+0*10000000+(N('Dvd Calendar'!$N$798)&gt;0)*(N('Dvd Calendar'!$N$798)&lt;=VAL_SERIAL)*1000000+72*1000+50))</f>
        <v/>
      </c>
      <c r="GC83" s="39">
        <f>IF(N('Dvd Calendar'!$O$799)=0,"",IF(('Dvd Calendar'!$O$799&gt;=GRID_FROM)*('Dvd Calendar'!$O$799&lt;=GRID_TO)*('Dvd Calendar'!$O$799&gt;VAL_DATE)=0,"",'Dvd Calendar'!$O$799*1000000000+ISNUMBER('Dvd Calendar'!$O$800)*100000000+0*10000000+(N('Dvd Calendar'!$O$798)&gt;0)*(N('Dvd Calendar'!$O$798)&lt;=VAL_SERIAL)*1000000+72*1000+51))</f>
        <v/>
      </c>
      <c r="GD83" s="39">
        <f>IF(N('Dvd Calendar'!$P$799)=0,"",IF(('Dvd Calendar'!$P$799&gt;=GRID_FROM)*('Dvd Calendar'!$P$799&lt;=GRID_TO)*('Dvd Calendar'!$P$799&gt;VAL_DATE)=0,"",'Dvd Calendar'!$P$799*1000000000+ISNUMBER('Dvd Calendar'!$P$800)*100000000+0*10000000+(N('Dvd Calendar'!$P$798)&gt;0)*(N('Dvd Calendar'!$P$798)&lt;=VAL_SERIAL)*1000000+72*1000+52))</f>
        <v/>
      </c>
      <c r="GE83" s="39">
        <f>IF(N('Dvd Calendar'!$Q$799)=0,"",IF(('Dvd Calendar'!$Q$799&gt;=GRID_FROM)*('Dvd Calendar'!$Q$799&lt;=GRID_TO)*('Dvd Calendar'!$Q$799&gt;VAL_DATE)=0,"",'Dvd Calendar'!$Q$799*1000000000+ISNUMBER('Dvd Calendar'!$Q$800)*100000000+0*10000000+(N('Dvd Calendar'!$Q$798)&gt;0)*(N('Dvd Calendar'!$Q$798)&lt;=VAL_SERIAL)*1000000+72*1000+53))</f>
        <v/>
      </c>
      <c r="GF83" s="39">
        <f>IF(N('Dvd Calendar'!$R$799)=0,"",IF(('Dvd Calendar'!$R$799&gt;=GRID_FROM)*('Dvd Calendar'!$R$799&lt;=GRID_TO)*('Dvd Calendar'!$R$799&gt;VAL_DATE)=0,"",'Dvd Calendar'!$R$799*1000000000+ISNUMBER('Dvd Calendar'!$R$800)*100000000+0*10000000+(N('Dvd Calendar'!$R$798)&gt;0)*(N('Dvd Calendar'!$R$798)&lt;=VAL_SERIAL)*1000000+72*1000+54))</f>
        <v/>
      </c>
      <c r="GG83" s="39">
        <f>IF(N('Dvd Calendar'!$S$799)=0,"",IF(('Dvd Calendar'!$S$799&gt;=GRID_FROM)*('Dvd Calendar'!$S$799&lt;=GRID_TO)*('Dvd Calendar'!$S$799&gt;VAL_DATE)=0,"",'Dvd Calendar'!$S$799*1000000000+ISNUMBER('Dvd Calendar'!$S$800)*100000000+0*10000000+(N('Dvd Calendar'!$S$798)&gt;0)*(N('Dvd Calendar'!$S$798)&lt;=VAL_SERIAL)*1000000+72*1000+55))</f>
        <v/>
      </c>
      <c r="GH83" s="39">
        <f>IF(N('Dvd Calendar'!$T$799)=0,"",IF(('Dvd Calendar'!$T$799&gt;=GRID_FROM)*('Dvd Calendar'!$T$799&lt;=GRID_TO)*('Dvd Calendar'!$T$799&gt;VAL_DATE)=0,"",'Dvd Calendar'!$T$799*1000000000+ISNUMBER('Dvd Calendar'!$T$800)*100000000+0*10000000+(N('Dvd Calendar'!$T$798)&gt;0)*(N('Dvd Calendar'!$T$798)&lt;=VAL_SERIAL)*1000000+72*1000+56))</f>
        <v/>
      </c>
      <c r="GI83" s="39">
        <f>IF(N('Dvd Calendar'!$U$799)=0,"",IF(('Dvd Calendar'!$U$799&gt;=GRID_FROM)*('Dvd Calendar'!$U$799&lt;=GRID_TO)*('Dvd Calendar'!$U$799&gt;VAL_DATE)=0,"",'Dvd Calendar'!$U$799*1000000000+ISNUMBER('Dvd Calendar'!$U$800)*100000000+0*10000000+(N('Dvd Calendar'!$U$798)&gt;0)*(N('Dvd Calendar'!$U$798)&lt;=VAL_SERIAL)*1000000+72*1000+57))</f>
        <v/>
      </c>
      <c r="GJ83" s="39">
        <f>IF(N('Dvd Calendar'!$V$799)=0,"",IF(('Dvd Calendar'!$V$799&gt;=GRID_FROM)*('Dvd Calendar'!$V$799&lt;=GRID_TO)*('Dvd Calendar'!$V$799&gt;VAL_DATE)=0,"",'Dvd Calendar'!$V$799*1000000000+ISNUMBER('Dvd Calendar'!$V$800)*100000000+0*10000000+(N('Dvd Calendar'!$V$798)&gt;0)*(N('Dvd Calendar'!$V$798)&lt;=VAL_SERIAL)*1000000+72*1000+58))</f>
        <v/>
      </c>
      <c r="GK83" s="39">
        <f>IF(N('Dvd Calendar'!$W$799)=0,"",IF(('Dvd Calendar'!$W$799&gt;=GRID_FROM)*('Dvd Calendar'!$W$799&lt;=GRID_TO)*('Dvd Calendar'!$W$799&gt;VAL_DATE)=0,"",'Dvd Calendar'!$W$799*1000000000+ISNUMBER('Dvd Calendar'!$W$800)*100000000+0*10000000+(N('Dvd Calendar'!$W$798)&gt;0)*(N('Dvd Calendar'!$W$798)&lt;=VAL_SERIAL)*1000000+72*1000+59))</f>
        <v/>
      </c>
      <c r="GL83" s="39">
        <f>IF(N('Dvd Calendar'!$X$799)=0,"",IF(('Dvd Calendar'!$X$799&gt;=GRID_FROM)*('Dvd Calendar'!$X$799&lt;=GRID_TO)*('Dvd Calendar'!$X$799&gt;VAL_DATE)=0,"",'Dvd Calendar'!$X$799*1000000000+ISNUMBER('Dvd Calendar'!$X$800)*100000000+0*10000000+(N('Dvd Calendar'!$X$798)&gt;0)*(N('Dvd Calendar'!$X$798)&lt;=VAL_SERIAL)*1000000+72*1000+60))</f>
        <v/>
      </c>
      <c r="GM83" s="39">
        <f>IF(N('Dvd Calendar'!$Y$799)=0,"",IF(('Dvd Calendar'!$Y$799&gt;=GRID_FROM)*('Dvd Calendar'!$Y$799&lt;=GRID_TO)*('Dvd Calendar'!$Y$799&gt;VAL_DATE)=0,"",'Dvd Calendar'!$Y$799*1000000000+ISNUMBER('Dvd Calendar'!$Y$800)*100000000+0*10000000+(N('Dvd Calendar'!$Y$798)&gt;0)*(N('Dvd Calendar'!$Y$798)&lt;=VAL_SERIAL)*1000000+72*1000+61))</f>
        <v/>
      </c>
      <c r="GN83" s="39">
        <f>IF(N('Dvd Calendar'!$Z$799)=0,"",IF(('Dvd Calendar'!$Z$799&gt;=GRID_FROM)*('Dvd Calendar'!$Z$799&lt;=GRID_TO)*('Dvd Calendar'!$Z$799&gt;VAL_DATE)=0,"",'Dvd Calendar'!$Z$799*1000000000+ISNUMBER('Dvd Calendar'!$Z$800)*100000000+0*10000000+(N('Dvd Calendar'!$Z$798)&gt;0)*(N('Dvd Calendar'!$Z$798)&lt;=VAL_SERIAL)*1000000+72*1000+62))</f>
        <v/>
      </c>
      <c r="GO83" s="39">
        <f>IF(N('Dvd Calendar'!$AA$799)=0,"",IF(('Dvd Calendar'!$AA$799&gt;=GRID_FROM)*('Dvd Calendar'!$AA$799&lt;=GRID_TO)*('Dvd Calendar'!$AA$799&gt;VAL_DATE)=0,"",'Dvd Calendar'!$AA$799*1000000000+ISNUMBER('Dvd Calendar'!$AA$800)*100000000+0*10000000+(N('Dvd Calendar'!$AA$798)&gt;0)*(N('Dvd Calendar'!$AA$798)&lt;=VAL_SERIAL)*1000000+72*1000+63))</f>
        <v/>
      </c>
      <c r="GP83" s="39">
        <f>IF(N('Dvd Calendar'!$AB$799)=0,"",IF(('Dvd Calendar'!$AB$799&gt;=GRID_FROM)*('Dvd Calendar'!$AB$799&lt;=GRID_TO)*('Dvd Calendar'!$AB$799&gt;VAL_DATE)=0,"",'Dvd Calendar'!$AB$799*1000000000+ISNUMBER('Dvd Calendar'!$AB$800)*100000000+0*10000000+(N('Dvd Calendar'!$AB$798)&gt;0)*(N('Dvd Calendar'!$AB$798)&lt;=VAL_SERIAL)*1000000+72*1000+64))</f>
        <v/>
      </c>
      <c r="GQ83" s="39">
        <f>IF(N('Dvd Calendar'!$AC$799)=0,"",IF(('Dvd Calendar'!$AC$799&gt;=GRID_FROM)*('Dvd Calendar'!$AC$799&lt;=GRID_TO)*('Dvd Calendar'!$AC$799&gt;VAL_DATE)=0,"",'Dvd Calendar'!$AC$799*1000000000+ISNUMBER('Dvd Calendar'!$AC$800)*100000000+0*10000000+(N('Dvd Calendar'!$AC$798)&gt;0)*(N('Dvd Calendar'!$AC$798)&lt;=VAL_SERIAL)*1000000+72*1000+65))</f>
        <v/>
      </c>
    </row>
    <row r="84">
      <c r="B84" s="2">
        <f>IF(HSI!$C$79="","",HSI!$C$79)</f>
        <v/>
      </c>
      <c r="C84" s="110">
        <f>IF(EE84="","",IF(ISNUMBER('Dvd Calendar'!$E$806)=FALSE,"",IF((('Dvd Calendar'!$E$808=TYPE1)*(TYPE1&lt;&gt;"")+('Dvd Calendar'!$E$808=TYPE2)*(TYPE2&lt;&gt;"")+('Dvd Calendar'!$E$808=TYPE3)*(TYPE3&lt;&gt;"")+('Dvd Calendar'!$E$808=TYPE4)*(TYPE4&lt;&gt;"")+('Dvd Calendar'!$E$808=SPECIAL_LBL)*(INC_SPECIALS="Y"))=0,"",'Dvd Calendar'!$E$806)))</f>
        <v/>
      </c>
      <c r="D84" s="110">
        <f>IF(EF84="","",IF(ISNUMBER('Dvd Calendar'!$F$806)=FALSE,"",IF((('Dvd Calendar'!$F$808=TYPE1)*(TYPE1&lt;&gt;"")+('Dvd Calendar'!$F$808=TYPE2)*(TYPE2&lt;&gt;"")+('Dvd Calendar'!$F$808=TYPE3)*(TYPE3&lt;&gt;"")+('Dvd Calendar'!$F$808=TYPE4)*(TYPE4&lt;&gt;"")+('Dvd Calendar'!$F$808=SPECIAL_LBL)*(INC_SPECIALS="Y"))=0,"",'Dvd Calendar'!$F$806)))</f>
        <v/>
      </c>
      <c r="E84" s="110">
        <f>IF(EG84="","",IF(ISNUMBER('Dvd Calendar'!$G$806)=FALSE,"",IF((('Dvd Calendar'!$G$808=TYPE1)*(TYPE1&lt;&gt;"")+('Dvd Calendar'!$G$808=TYPE2)*(TYPE2&lt;&gt;"")+('Dvd Calendar'!$G$808=TYPE3)*(TYPE3&lt;&gt;"")+('Dvd Calendar'!$G$808=TYPE4)*(TYPE4&lt;&gt;"")+('Dvd Calendar'!$G$808=SPECIAL_LBL)*(INC_SPECIALS="Y"))=0,"",'Dvd Calendar'!$G$806)))</f>
        <v/>
      </c>
      <c r="F84" s="110">
        <f>IF(EH84="","",IF(ISNUMBER('Dvd Calendar'!$H$806)=FALSE,"",IF((('Dvd Calendar'!$H$808=TYPE1)*(TYPE1&lt;&gt;"")+('Dvd Calendar'!$H$808=TYPE2)*(TYPE2&lt;&gt;"")+('Dvd Calendar'!$H$808=TYPE3)*(TYPE3&lt;&gt;"")+('Dvd Calendar'!$H$808=TYPE4)*(TYPE4&lt;&gt;"")+('Dvd Calendar'!$H$808=SPECIAL_LBL)*(INC_SPECIALS="Y"))=0,"",'Dvd Calendar'!$H$806)))</f>
        <v/>
      </c>
      <c r="G84" s="110">
        <f>IF(EI84="","",IF(ISNUMBER('Dvd Calendar'!$I$806)=FALSE,"",IF((('Dvd Calendar'!$I$808=TYPE1)*(TYPE1&lt;&gt;"")+('Dvd Calendar'!$I$808=TYPE2)*(TYPE2&lt;&gt;"")+('Dvd Calendar'!$I$808=TYPE3)*(TYPE3&lt;&gt;"")+('Dvd Calendar'!$I$808=TYPE4)*(TYPE4&lt;&gt;"")+('Dvd Calendar'!$I$808=SPECIAL_LBL)*(INC_SPECIALS="Y"))=0,"",'Dvd Calendar'!$I$806)))</f>
        <v/>
      </c>
      <c r="H84" s="110">
        <f>IF(EJ84="","",IF(ISNUMBER('Dvd Calendar'!$J$806)=FALSE,"",IF((('Dvd Calendar'!$J$808=TYPE1)*(TYPE1&lt;&gt;"")+('Dvd Calendar'!$J$808=TYPE2)*(TYPE2&lt;&gt;"")+('Dvd Calendar'!$J$808=TYPE3)*(TYPE3&lt;&gt;"")+('Dvd Calendar'!$J$808=TYPE4)*(TYPE4&lt;&gt;"")+('Dvd Calendar'!$J$808=SPECIAL_LBL)*(INC_SPECIALS="Y"))=0,"",'Dvd Calendar'!$J$806)))</f>
        <v/>
      </c>
      <c r="I84" s="110">
        <f>IF(EK84="","",IF(ISNUMBER('Dvd Calendar'!$K$806)=FALSE,"",IF((('Dvd Calendar'!$K$808=TYPE1)*(TYPE1&lt;&gt;"")+('Dvd Calendar'!$K$808=TYPE2)*(TYPE2&lt;&gt;"")+('Dvd Calendar'!$K$808=TYPE3)*(TYPE3&lt;&gt;"")+('Dvd Calendar'!$K$808=TYPE4)*(TYPE4&lt;&gt;"")+('Dvd Calendar'!$K$808=SPECIAL_LBL)*(INC_SPECIALS="Y"))=0,"",'Dvd Calendar'!$K$806)))</f>
        <v/>
      </c>
      <c r="J84" s="110">
        <f>IF(EL84="","",IF(ISNUMBER('Dvd Calendar'!$L$806)=FALSE,"",IF((('Dvd Calendar'!$L$808=TYPE1)*(TYPE1&lt;&gt;"")+('Dvd Calendar'!$L$808=TYPE2)*(TYPE2&lt;&gt;"")+('Dvd Calendar'!$L$808=TYPE3)*(TYPE3&lt;&gt;"")+('Dvd Calendar'!$L$808=TYPE4)*(TYPE4&lt;&gt;"")+('Dvd Calendar'!$L$808=SPECIAL_LBL)*(INC_SPECIALS="Y"))=0,"",'Dvd Calendar'!$L$806)))</f>
        <v/>
      </c>
      <c r="K84" s="110">
        <f>IF(EM84="","",IF(ISNUMBER('Dvd Calendar'!$M$806)=FALSE,"",IF((('Dvd Calendar'!$M$808=TYPE1)*(TYPE1&lt;&gt;"")+('Dvd Calendar'!$M$808=TYPE2)*(TYPE2&lt;&gt;"")+('Dvd Calendar'!$M$808=TYPE3)*(TYPE3&lt;&gt;"")+('Dvd Calendar'!$M$808=TYPE4)*(TYPE4&lt;&gt;"")+('Dvd Calendar'!$M$808=SPECIAL_LBL)*(INC_SPECIALS="Y"))=0,"",'Dvd Calendar'!$M$806)))</f>
        <v/>
      </c>
      <c r="L84" s="110">
        <f>IF(EN84="","",IF(ISNUMBER('Dvd Calendar'!$N$806)=FALSE,"",IF((('Dvd Calendar'!$N$808=TYPE1)*(TYPE1&lt;&gt;"")+('Dvd Calendar'!$N$808=TYPE2)*(TYPE2&lt;&gt;"")+('Dvd Calendar'!$N$808=TYPE3)*(TYPE3&lt;&gt;"")+('Dvd Calendar'!$N$808=TYPE4)*(TYPE4&lt;&gt;"")+('Dvd Calendar'!$N$808=SPECIAL_LBL)*(INC_SPECIALS="Y"))=0,"",'Dvd Calendar'!$N$806)))</f>
        <v/>
      </c>
      <c r="M84" s="110">
        <f>IF(EO84="","",IF(ISNUMBER('Dvd Calendar'!$O$806)=FALSE,"",IF((('Dvd Calendar'!$O$808=TYPE1)*(TYPE1&lt;&gt;"")+('Dvd Calendar'!$O$808=TYPE2)*(TYPE2&lt;&gt;"")+('Dvd Calendar'!$O$808=TYPE3)*(TYPE3&lt;&gt;"")+('Dvd Calendar'!$O$808=TYPE4)*(TYPE4&lt;&gt;"")+('Dvd Calendar'!$O$808=SPECIAL_LBL)*(INC_SPECIALS="Y"))=0,"",'Dvd Calendar'!$O$806)))</f>
        <v/>
      </c>
      <c r="N84" s="110">
        <f>IF(EP84="","",IF(ISNUMBER('Dvd Calendar'!$P$806)=FALSE,"",IF((('Dvd Calendar'!$P$808=TYPE1)*(TYPE1&lt;&gt;"")+('Dvd Calendar'!$P$808=TYPE2)*(TYPE2&lt;&gt;"")+('Dvd Calendar'!$P$808=TYPE3)*(TYPE3&lt;&gt;"")+('Dvd Calendar'!$P$808=TYPE4)*(TYPE4&lt;&gt;"")+('Dvd Calendar'!$P$808=SPECIAL_LBL)*(INC_SPECIALS="Y"))=0,"",'Dvd Calendar'!$P$806)))</f>
        <v/>
      </c>
      <c r="O84" s="110">
        <f>IF(EQ84="","",IF(ISNUMBER('Dvd Calendar'!$Q$806)=FALSE,"",IF((('Dvd Calendar'!$Q$808=TYPE1)*(TYPE1&lt;&gt;"")+('Dvd Calendar'!$Q$808=TYPE2)*(TYPE2&lt;&gt;"")+('Dvd Calendar'!$Q$808=TYPE3)*(TYPE3&lt;&gt;"")+('Dvd Calendar'!$Q$808=TYPE4)*(TYPE4&lt;&gt;"")+('Dvd Calendar'!$Q$808=SPECIAL_LBL)*(INC_SPECIALS="Y"))=0,"",'Dvd Calendar'!$Q$806)))</f>
        <v/>
      </c>
      <c r="P84" s="110">
        <f>IF(ER84="","",IF(ISNUMBER('Dvd Calendar'!$R$806)=FALSE,"",IF((('Dvd Calendar'!$R$808=TYPE1)*(TYPE1&lt;&gt;"")+('Dvd Calendar'!$R$808=TYPE2)*(TYPE2&lt;&gt;"")+('Dvd Calendar'!$R$808=TYPE3)*(TYPE3&lt;&gt;"")+('Dvd Calendar'!$R$808=TYPE4)*(TYPE4&lt;&gt;"")+('Dvd Calendar'!$R$808=SPECIAL_LBL)*(INC_SPECIALS="Y"))=0,"",'Dvd Calendar'!$R$806)))</f>
        <v/>
      </c>
      <c r="Q84" s="110">
        <f>IF(ES84="","",IF(ISNUMBER('Dvd Calendar'!$S$806)=FALSE,"",IF((('Dvd Calendar'!$S$808=TYPE1)*(TYPE1&lt;&gt;"")+('Dvd Calendar'!$S$808=TYPE2)*(TYPE2&lt;&gt;"")+('Dvd Calendar'!$S$808=TYPE3)*(TYPE3&lt;&gt;"")+('Dvd Calendar'!$S$808=TYPE4)*(TYPE4&lt;&gt;"")+('Dvd Calendar'!$S$808=SPECIAL_LBL)*(INC_SPECIALS="Y"))=0,"",'Dvd Calendar'!$S$806)))</f>
        <v/>
      </c>
      <c r="R84" s="110">
        <f>IF(ET84="","",IF(ISNUMBER('Dvd Calendar'!$T$806)=FALSE,"",IF((('Dvd Calendar'!$T$808=TYPE1)*(TYPE1&lt;&gt;"")+('Dvd Calendar'!$T$808=TYPE2)*(TYPE2&lt;&gt;"")+('Dvd Calendar'!$T$808=TYPE3)*(TYPE3&lt;&gt;"")+('Dvd Calendar'!$T$808=TYPE4)*(TYPE4&lt;&gt;"")+('Dvd Calendar'!$T$808=SPECIAL_LBL)*(INC_SPECIALS="Y"))=0,"",'Dvd Calendar'!$T$806)))</f>
        <v/>
      </c>
      <c r="S84" s="110">
        <f>IF(EU84="","",IF(ISNUMBER('Dvd Calendar'!$U$806)=FALSE,"",IF((('Dvd Calendar'!$U$808=TYPE1)*(TYPE1&lt;&gt;"")+('Dvd Calendar'!$U$808=TYPE2)*(TYPE2&lt;&gt;"")+('Dvd Calendar'!$U$808=TYPE3)*(TYPE3&lt;&gt;"")+('Dvd Calendar'!$U$808=TYPE4)*(TYPE4&lt;&gt;"")+('Dvd Calendar'!$U$808=SPECIAL_LBL)*(INC_SPECIALS="Y"))=0,"",'Dvd Calendar'!$U$806)))</f>
        <v/>
      </c>
      <c r="T84" s="110">
        <f>IF(EV84="","",IF(ISNUMBER('Dvd Calendar'!$V$806)=FALSE,"",IF((('Dvd Calendar'!$V$808=TYPE1)*(TYPE1&lt;&gt;"")+('Dvd Calendar'!$V$808=TYPE2)*(TYPE2&lt;&gt;"")+('Dvd Calendar'!$V$808=TYPE3)*(TYPE3&lt;&gt;"")+('Dvd Calendar'!$V$808=TYPE4)*(TYPE4&lt;&gt;"")+('Dvd Calendar'!$V$808=SPECIAL_LBL)*(INC_SPECIALS="Y"))=0,"",'Dvd Calendar'!$V$806)))</f>
        <v/>
      </c>
      <c r="U84" s="110">
        <f>IF(EW84="","",IF(ISNUMBER('Dvd Calendar'!$W$806)=FALSE,"",IF((('Dvd Calendar'!$W$808=TYPE1)*(TYPE1&lt;&gt;"")+('Dvd Calendar'!$W$808=TYPE2)*(TYPE2&lt;&gt;"")+('Dvd Calendar'!$W$808=TYPE3)*(TYPE3&lt;&gt;"")+('Dvd Calendar'!$W$808=TYPE4)*(TYPE4&lt;&gt;"")+('Dvd Calendar'!$W$808=SPECIAL_LBL)*(INC_SPECIALS="Y"))=0,"",'Dvd Calendar'!$W$806)))</f>
        <v/>
      </c>
      <c r="V84" s="110">
        <f>IF(EX84="","",IF(ISNUMBER('Dvd Calendar'!$X$806)=FALSE,"",IF((('Dvd Calendar'!$X$808=TYPE1)*(TYPE1&lt;&gt;"")+('Dvd Calendar'!$X$808=TYPE2)*(TYPE2&lt;&gt;"")+('Dvd Calendar'!$X$808=TYPE3)*(TYPE3&lt;&gt;"")+('Dvd Calendar'!$X$808=TYPE4)*(TYPE4&lt;&gt;"")+('Dvd Calendar'!$X$808=SPECIAL_LBL)*(INC_SPECIALS="Y"))=0,"",'Dvd Calendar'!$X$806)))</f>
        <v/>
      </c>
      <c r="W84" s="110">
        <f>IF(EY84="","",IF(ISNUMBER('Dvd Calendar'!$Y$806)=FALSE,"",IF((('Dvd Calendar'!$Y$808=TYPE1)*(TYPE1&lt;&gt;"")+('Dvd Calendar'!$Y$808=TYPE2)*(TYPE2&lt;&gt;"")+('Dvd Calendar'!$Y$808=TYPE3)*(TYPE3&lt;&gt;"")+('Dvd Calendar'!$Y$808=TYPE4)*(TYPE4&lt;&gt;"")+('Dvd Calendar'!$Y$808=SPECIAL_LBL)*(INC_SPECIALS="Y"))=0,"",'Dvd Calendar'!$Y$806)))</f>
        <v/>
      </c>
      <c r="X84" s="110">
        <f>IF(EZ84="","",IF(ISNUMBER('Dvd Calendar'!$Z$806)=FALSE,"",IF((('Dvd Calendar'!$Z$808=TYPE1)*(TYPE1&lt;&gt;"")+('Dvd Calendar'!$Z$808=TYPE2)*(TYPE2&lt;&gt;"")+('Dvd Calendar'!$Z$808=TYPE3)*(TYPE3&lt;&gt;"")+('Dvd Calendar'!$Z$808=TYPE4)*(TYPE4&lt;&gt;"")+('Dvd Calendar'!$Z$808=SPECIAL_LBL)*(INC_SPECIALS="Y"))=0,"",'Dvd Calendar'!$Z$806)))</f>
        <v/>
      </c>
      <c r="Y84" s="110">
        <f>IF(FA84="","",IF(ISNUMBER('Dvd Calendar'!$AA$806)=FALSE,"",IF((('Dvd Calendar'!$AA$808=TYPE1)*(TYPE1&lt;&gt;"")+('Dvd Calendar'!$AA$808=TYPE2)*(TYPE2&lt;&gt;"")+('Dvd Calendar'!$AA$808=TYPE3)*(TYPE3&lt;&gt;"")+('Dvd Calendar'!$AA$808=TYPE4)*(TYPE4&lt;&gt;"")+('Dvd Calendar'!$AA$808=SPECIAL_LBL)*(INC_SPECIALS="Y"))=0,"",'Dvd Calendar'!$AA$806)))</f>
        <v/>
      </c>
      <c r="Z84" s="110">
        <f>IF(FB84="","",IF(ISNUMBER('Dvd Calendar'!$AB$806)=FALSE,"",IF((('Dvd Calendar'!$AB$808=TYPE1)*(TYPE1&lt;&gt;"")+('Dvd Calendar'!$AB$808=TYPE2)*(TYPE2&lt;&gt;"")+('Dvd Calendar'!$AB$808=TYPE3)*(TYPE3&lt;&gt;"")+('Dvd Calendar'!$AB$808=TYPE4)*(TYPE4&lt;&gt;"")+('Dvd Calendar'!$AB$808=SPECIAL_LBL)*(INC_SPECIALS="Y"))=0,"",'Dvd Calendar'!$AB$806)))</f>
        <v/>
      </c>
      <c r="AA84" s="110">
        <f>IF(FC84="","",IF(ISNUMBER('Dvd Calendar'!$AC$806)=FALSE,"",IF((('Dvd Calendar'!$AC$808=TYPE1)*(TYPE1&lt;&gt;"")+('Dvd Calendar'!$AC$808=TYPE2)*(TYPE2&lt;&gt;"")+('Dvd Calendar'!$AC$808=TYPE3)*(TYPE3&lt;&gt;"")+('Dvd Calendar'!$AC$808=TYPE4)*(TYPE4&lt;&gt;"")+('Dvd Calendar'!$AC$808=SPECIAL_LBL)*(INC_SPECIALS="Y"))=0,"",'Dvd Calendar'!$AC$806)))</f>
        <v/>
      </c>
      <c r="AB84" s="110">
        <f>IF(FD84="","",IF(ISNUMBER('Dvd Calendar'!$AD$806)=FALSE,"",IF((('Dvd Calendar'!$AD$808=TYPE1)*(TYPE1&lt;&gt;"")+('Dvd Calendar'!$AD$808=TYPE2)*(TYPE2&lt;&gt;"")+('Dvd Calendar'!$AD$808=TYPE3)*(TYPE3&lt;&gt;"")+('Dvd Calendar'!$AD$808=TYPE4)*(TYPE4&lt;&gt;"")+('Dvd Calendar'!$AD$808=SPECIAL_LBL)*(INC_SPECIALS="Y"))=0,"",'Dvd Calendar'!$AD$806)))</f>
        <v/>
      </c>
      <c r="AC84" s="110">
        <f>IF(FE84="","",IF(ISNUMBER('Dvd Calendar'!$AE$806)=FALSE,"",IF((('Dvd Calendar'!$AE$808=TYPE1)*(TYPE1&lt;&gt;"")+('Dvd Calendar'!$AE$808=TYPE2)*(TYPE2&lt;&gt;"")+('Dvd Calendar'!$AE$808=TYPE3)*(TYPE3&lt;&gt;"")+('Dvd Calendar'!$AE$808=TYPE4)*(TYPE4&lt;&gt;"")+('Dvd Calendar'!$AE$808=SPECIAL_LBL)*(INC_SPECIALS="Y"))=0,"",'Dvd Calendar'!$AE$806)))</f>
        <v/>
      </c>
      <c r="AD84" s="110">
        <f>IF(FF84="","",IF(ISNUMBER('Dvd Calendar'!$AF$806)=FALSE,"",IF((('Dvd Calendar'!$AF$808=TYPE1)*(TYPE1&lt;&gt;"")+('Dvd Calendar'!$AF$808=TYPE2)*(TYPE2&lt;&gt;"")+('Dvd Calendar'!$AF$808=TYPE3)*(TYPE3&lt;&gt;"")+('Dvd Calendar'!$AF$808=TYPE4)*(TYPE4&lt;&gt;"")+('Dvd Calendar'!$AF$808=SPECIAL_LBL)*(INC_SPECIALS="Y"))=0,"",'Dvd Calendar'!$AF$806)))</f>
        <v/>
      </c>
      <c r="AE84" s="110">
        <f>IF(FG84="","",IF(ISNUMBER('Dvd Calendar'!$AG$806)=FALSE,"",IF((('Dvd Calendar'!$AG$808=TYPE1)*(TYPE1&lt;&gt;"")+('Dvd Calendar'!$AG$808=TYPE2)*(TYPE2&lt;&gt;"")+('Dvd Calendar'!$AG$808=TYPE3)*(TYPE3&lt;&gt;"")+('Dvd Calendar'!$AG$808=TYPE4)*(TYPE4&lt;&gt;"")+('Dvd Calendar'!$AG$808=SPECIAL_LBL)*(INC_SPECIALS="Y"))=0,"",'Dvd Calendar'!$AG$806)))</f>
        <v/>
      </c>
      <c r="AF84" s="110">
        <f>IF(FH84="","",IF(ISNUMBER('Dvd Calendar'!$AH$806)=FALSE,"",IF((('Dvd Calendar'!$AH$808=TYPE1)*(TYPE1&lt;&gt;"")+('Dvd Calendar'!$AH$808=TYPE2)*(TYPE2&lt;&gt;"")+('Dvd Calendar'!$AH$808=TYPE3)*(TYPE3&lt;&gt;"")+('Dvd Calendar'!$AH$808=TYPE4)*(TYPE4&lt;&gt;"")+('Dvd Calendar'!$AH$808=SPECIAL_LBL)*(INC_SPECIALS="Y"))=0,"",'Dvd Calendar'!$AH$806)))</f>
        <v/>
      </c>
      <c r="AG84" s="110">
        <f>IF(FI84="","",IF(ISNUMBER('Dvd Calendar'!$AI$806)=FALSE,"",IF((('Dvd Calendar'!$AI$808=TYPE1)*(TYPE1&lt;&gt;"")+('Dvd Calendar'!$AI$808=TYPE2)*(TYPE2&lt;&gt;"")+('Dvd Calendar'!$AI$808=TYPE3)*(TYPE3&lt;&gt;"")+('Dvd Calendar'!$AI$808=TYPE4)*(TYPE4&lt;&gt;"")+('Dvd Calendar'!$AI$808=SPECIAL_LBL)*(INC_SPECIALS="Y"))=0,"",'Dvd Calendar'!$AI$806)))</f>
        <v/>
      </c>
      <c r="AH84" s="110">
        <f>IF(FJ84="","",IF(ISNUMBER('Dvd Calendar'!$AJ$806)=FALSE,"",IF((('Dvd Calendar'!$AJ$808=TYPE1)*(TYPE1&lt;&gt;"")+('Dvd Calendar'!$AJ$808=TYPE2)*(TYPE2&lt;&gt;"")+('Dvd Calendar'!$AJ$808=TYPE3)*(TYPE3&lt;&gt;"")+('Dvd Calendar'!$AJ$808=TYPE4)*(TYPE4&lt;&gt;"")+('Dvd Calendar'!$AJ$808=SPECIAL_LBL)*(INC_SPECIALS="Y"))=0,"",'Dvd Calendar'!$AJ$806)))</f>
        <v/>
      </c>
      <c r="AI84" s="110">
        <f>IF(FK84="","",IF(ISNUMBER('Dvd Calendar'!$AK$806)=FALSE,"",IF((('Dvd Calendar'!$AK$808=TYPE1)*(TYPE1&lt;&gt;"")+('Dvd Calendar'!$AK$808=TYPE2)*(TYPE2&lt;&gt;"")+('Dvd Calendar'!$AK$808=TYPE3)*(TYPE3&lt;&gt;"")+('Dvd Calendar'!$AK$808=TYPE4)*(TYPE4&lt;&gt;"")+('Dvd Calendar'!$AK$808=SPECIAL_LBL)*(INC_SPECIALS="Y"))=0,"",'Dvd Calendar'!$AK$806)))</f>
        <v/>
      </c>
      <c r="AJ84" s="110">
        <f>IF(FL84="","",IF(ISNUMBER('Dvd Calendar'!$AL$806)=FALSE,"",IF((('Dvd Calendar'!$AL$808=TYPE1)*(TYPE1&lt;&gt;"")+('Dvd Calendar'!$AL$808=TYPE2)*(TYPE2&lt;&gt;"")+('Dvd Calendar'!$AL$808=TYPE3)*(TYPE3&lt;&gt;"")+('Dvd Calendar'!$AL$808=TYPE4)*(TYPE4&lt;&gt;"")+('Dvd Calendar'!$AL$808=SPECIAL_LBL)*(INC_SPECIALS="Y"))=0,"",'Dvd Calendar'!$AL$806)))</f>
        <v/>
      </c>
      <c r="AK84" s="110">
        <f>IF(FM84="","",IF(ISNUMBER('Dvd Calendar'!$AM$806)=FALSE,"",IF((('Dvd Calendar'!$AM$808=TYPE1)*(TYPE1&lt;&gt;"")+('Dvd Calendar'!$AM$808=TYPE2)*(TYPE2&lt;&gt;"")+('Dvd Calendar'!$AM$808=TYPE3)*(TYPE3&lt;&gt;"")+('Dvd Calendar'!$AM$808=TYPE4)*(TYPE4&lt;&gt;"")+('Dvd Calendar'!$AM$808=SPECIAL_LBL)*(INC_SPECIALS="Y"))=0,"",'Dvd Calendar'!$AM$806)))</f>
        <v/>
      </c>
      <c r="AL84" s="110">
        <f>IF(FN84="","",IF(ISNUMBER('Dvd Calendar'!$AN$806)=FALSE,"",IF((('Dvd Calendar'!$AN$808=TYPE1)*(TYPE1&lt;&gt;"")+('Dvd Calendar'!$AN$808=TYPE2)*(TYPE2&lt;&gt;"")+('Dvd Calendar'!$AN$808=TYPE3)*(TYPE3&lt;&gt;"")+('Dvd Calendar'!$AN$808=TYPE4)*(TYPE4&lt;&gt;"")+('Dvd Calendar'!$AN$808=SPECIAL_LBL)*(INC_SPECIALS="Y"))=0,"",'Dvd Calendar'!$AN$806)))</f>
        <v/>
      </c>
      <c r="AM84" s="110">
        <f>IF(FO84="","",IF(ISNUMBER('Dvd Calendar'!$AO$806)=FALSE,"",IF((('Dvd Calendar'!$AO$808=TYPE1)*(TYPE1&lt;&gt;"")+('Dvd Calendar'!$AO$808=TYPE2)*(TYPE2&lt;&gt;"")+('Dvd Calendar'!$AO$808=TYPE3)*(TYPE3&lt;&gt;"")+('Dvd Calendar'!$AO$808=TYPE4)*(TYPE4&lt;&gt;"")+('Dvd Calendar'!$AO$808=SPECIAL_LBL)*(INC_SPECIALS="Y"))=0,"",'Dvd Calendar'!$AO$806)))</f>
        <v/>
      </c>
      <c r="AN84" s="110">
        <f>IF(FP84="","",IF(ISNUMBER('Dvd Calendar'!$AP$806)=FALSE,"",IF((('Dvd Calendar'!$AP$808=TYPE1)*(TYPE1&lt;&gt;"")+('Dvd Calendar'!$AP$808=TYPE2)*(TYPE2&lt;&gt;"")+('Dvd Calendar'!$AP$808=TYPE3)*(TYPE3&lt;&gt;"")+('Dvd Calendar'!$AP$808=TYPE4)*(TYPE4&lt;&gt;"")+('Dvd Calendar'!$AP$808=SPECIAL_LBL)*(INC_SPECIALS="Y"))=0,"",'Dvd Calendar'!$AP$806)))</f>
        <v/>
      </c>
      <c r="AO84" s="110">
        <f>IF(FQ84="","",IF(ISNUMBER('Dvd Calendar'!$AQ$806)=FALSE,"",IF((('Dvd Calendar'!$AQ$808=TYPE1)*(TYPE1&lt;&gt;"")+('Dvd Calendar'!$AQ$808=TYPE2)*(TYPE2&lt;&gt;"")+('Dvd Calendar'!$AQ$808=TYPE3)*(TYPE3&lt;&gt;"")+('Dvd Calendar'!$AQ$808=TYPE4)*(TYPE4&lt;&gt;"")+('Dvd Calendar'!$AQ$808=SPECIAL_LBL)*(INC_SPECIALS="Y"))=0,"",'Dvd Calendar'!$AQ$806)))</f>
        <v/>
      </c>
      <c r="AP84" s="110">
        <f>IF(FR84="","",IF(ISNUMBER('Dvd Calendar'!$AR$806)=FALSE,"",IF((('Dvd Calendar'!$AR$808=TYPE1)*(TYPE1&lt;&gt;"")+('Dvd Calendar'!$AR$808=TYPE2)*(TYPE2&lt;&gt;"")+('Dvd Calendar'!$AR$808=TYPE3)*(TYPE3&lt;&gt;"")+('Dvd Calendar'!$AR$808=TYPE4)*(TYPE4&lt;&gt;"")+('Dvd Calendar'!$AR$808=SPECIAL_LBL)*(INC_SPECIALS="Y"))=0,"",'Dvd Calendar'!$AR$806)))</f>
        <v/>
      </c>
      <c r="AQ84" s="110">
        <f>IF(FS84="","",IF(ISNUMBER('Dvd Calendar'!$E$811)=FALSE,"",'Dvd Calendar'!$E$811))</f>
        <v/>
      </c>
      <c r="AR84" s="110">
        <f>IF(FT84="","",IF(ISNUMBER('Dvd Calendar'!$F$811)=FALSE,"",'Dvd Calendar'!$F$811))</f>
        <v/>
      </c>
      <c r="AS84" s="110">
        <f>IF(FU84="","",IF(ISNUMBER('Dvd Calendar'!$G$811)=FALSE,"",'Dvd Calendar'!$G$811))</f>
        <v/>
      </c>
      <c r="AT84" s="110">
        <f>IF(FV84="","",IF(ISNUMBER('Dvd Calendar'!$H$811)=FALSE,"",'Dvd Calendar'!$H$811))</f>
        <v/>
      </c>
      <c r="AU84" s="110">
        <f>IF(FW84="","",IF(ISNUMBER('Dvd Calendar'!$I$811)=FALSE,"",'Dvd Calendar'!$I$811))</f>
        <v/>
      </c>
      <c r="AV84" s="110">
        <f>IF(FX84="","",IF(ISNUMBER('Dvd Calendar'!$J$811)=FALSE,"",'Dvd Calendar'!$J$811))</f>
        <v/>
      </c>
      <c r="AW84" s="110">
        <f>IF(FY84="","",IF(ISNUMBER('Dvd Calendar'!$K$811)=FALSE,"",'Dvd Calendar'!$K$811))</f>
        <v/>
      </c>
      <c r="AX84" s="110">
        <f>IF(FZ84="","",IF(ISNUMBER('Dvd Calendar'!$L$811)=FALSE,"",'Dvd Calendar'!$L$811))</f>
        <v/>
      </c>
      <c r="AY84" s="110">
        <f>IF(GA84="","",IF(ISNUMBER('Dvd Calendar'!$M$811)=FALSE,"",'Dvd Calendar'!$M$811))</f>
        <v/>
      </c>
      <c r="AZ84" s="110">
        <f>IF(GB84="","",IF(ISNUMBER('Dvd Calendar'!$N$811)=FALSE,"",'Dvd Calendar'!$N$811))</f>
        <v/>
      </c>
      <c r="BA84" s="110">
        <f>IF(GC84="","",IF(ISNUMBER('Dvd Calendar'!$O$811)=FALSE,"",'Dvd Calendar'!$O$811))</f>
        <v/>
      </c>
      <c r="BB84" s="110">
        <f>IF(GD84="","",IF(ISNUMBER('Dvd Calendar'!$P$811)=FALSE,"",'Dvd Calendar'!$P$811))</f>
        <v/>
      </c>
      <c r="BC84" s="110">
        <f>IF(GE84="","",IF(ISNUMBER('Dvd Calendar'!$Q$811)=FALSE,"",'Dvd Calendar'!$Q$811))</f>
        <v/>
      </c>
      <c r="BD84" s="110">
        <f>IF(GF84="","",IF(ISNUMBER('Dvd Calendar'!$R$811)=FALSE,"",'Dvd Calendar'!$R$811))</f>
        <v/>
      </c>
      <c r="BE84" s="110">
        <f>IF(GG84="","",IF(ISNUMBER('Dvd Calendar'!$S$811)=FALSE,"",'Dvd Calendar'!$S$811))</f>
        <v/>
      </c>
      <c r="BF84" s="110">
        <f>IF(GH84="","",IF(ISNUMBER('Dvd Calendar'!$T$811)=FALSE,"",'Dvd Calendar'!$T$811))</f>
        <v/>
      </c>
      <c r="BG84" s="110">
        <f>IF(GI84="","",IF(ISNUMBER('Dvd Calendar'!$U$811)=FALSE,"",'Dvd Calendar'!$U$811))</f>
        <v/>
      </c>
      <c r="BH84" s="110">
        <f>IF(GJ84="","",IF(ISNUMBER('Dvd Calendar'!$V$811)=FALSE,"",'Dvd Calendar'!$V$811))</f>
        <v/>
      </c>
      <c r="BI84" s="110">
        <f>IF(GK84="","",IF(ISNUMBER('Dvd Calendar'!$W$811)=FALSE,"",'Dvd Calendar'!$W$811))</f>
        <v/>
      </c>
      <c r="BJ84" s="110">
        <f>IF(GL84="","",IF(ISNUMBER('Dvd Calendar'!$X$811)=FALSE,"",'Dvd Calendar'!$X$811))</f>
        <v/>
      </c>
      <c r="BK84" s="110">
        <f>IF(GM84="","",IF(ISNUMBER('Dvd Calendar'!$Y$811)=FALSE,"",'Dvd Calendar'!$Y$811))</f>
        <v/>
      </c>
      <c r="BL84" s="110">
        <f>IF(GN84="","",IF(ISNUMBER('Dvd Calendar'!$Z$811)=FALSE,"",'Dvd Calendar'!$Z$811))</f>
        <v/>
      </c>
      <c r="BM84" s="110">
        <f>IF(GO84="","",IF(ISNUMBER('Dvd Calendar'!$AA$811)=FALSE,"",'Dvd Calendar'!$AA$811))</f>
        <v/>
      </c>
      <c r="BN84" s="110">
        <f>IF(GP84="","",IF(ISNUMBER('Dvd Calendar'!$AB$811)=FALSE,"",'Dvd Calendar'!$AB$811))</f>
        <v/>
      </c>
      <c r="BO84" s="110">
        <f>IF(GQ84="","",IF(ISNUMBER('Dvd Calendar'!$AC$811)=FALSE,"",'Dvd Calendar'!$AC$811))</f>
        <v/>
      </c>
      <c r="BQ84" s="110">
        <f>IF(C84="","",IFERROR(C84*HSI!$B$79*HSI!$G$79/HSI!$B$3,""))</f>
        <v/>
      </c>
      <c r="BR84" s="110">
        <f>IF(D84="","",IFERROR(D84*HSI!$B$79*HSI!$G$79/HSI!$B$3,""))</f>
        <v/>
      </c>
      <c r="BS84" s="110">
        <f>IF(E84="","",IFERROR(E84*HSI!$B$79*HSI!$G$79/HSI!$B$3,""))</f>
        <v/>
      </c>
      <c r="BT84" s="110">
        <f>IF(F84="","",IFERROR(F84*HSI!$B$79*HSI!$G$79/HSI!$B$3,""))</f>
        <v/>
      </c>
      <c r="BU84" s="110">
        <f>IF(G84="","",IFERROR(G84*HSI!$B$79*HSI!$G$79/HSI!$B$3,""))</f>
        <v/>
      </c>
      <c r="BV84" s="110">
        <f>IF(H84="","",IFERROR(H84*HSI!$B$79*HSI!$G$79/HSI!$B$3,""))</f>
        <v/>
      </c>
      <c r="BW84" s="110">
        <f>IF(I84="","",IFERROR(I84*HSI!$B$79*HSI!$G$79/HSI!$B$3,""))</f>
        <v/>
      </c>
      <c r="BX84" s="110">
        <f>IF(J84="","",IFERROR(J84*HSI!$B$79*HSI!$G$79/HSI!$B$3,""))</f>
        <v/>
      </c>
      <c r="BY84" s="110">
        <f>IF(K84="","",IFERROR(K84*HSI!$B$79*HSI!$G$79/HSI!$B$3,""))</f>
        <v/>
      </c>
      <c r="BZ84" s="110">
        <f>IF(L84="","",IFERROR(L84*HSI!$B$79*HSI!$G$79/HSI!$B$3,""))</f>
        <v/>
      </c>
      <c r="CA84" s="110">
        <f>IF(M84="","",IFERROR(M84*HSI!$B$79*HSI!$G$79/HSI!$B$3,""))</f>
        <v/>
      </c>
      <c r="CB84" s="110">
        <f>IF(N84="","",IFERROR(N84*HSI!$B$79*HSI!$G$79/HSI!$B$3,""))</f>
        <v/>
      </c>
      <c r="CC84" s="110">
        <f>IF(O84="","",IFERROR(O84*HSI!$B$79*HSI!$G$79/HSI!$B$3,""))</f>
        <v/>
      </c>
      <c r="CD84" s="110">
        <f>IF(P84="","",IFERROR(P84*HSI!$B$79*HSI!$G$79/HSI!$B$3,""))</f>
        <v/>
      </c>
      <c r="CE84" s="110">
        <f>IF(Q84="","",IFERROR(Q84*HSI!$B$79*HSI!$G$79/HSI!$B$3,""))</f>
        <v/>
      </c>
      <c r="CF84" s="110">
        <f>IF(R84="","",IFERROR(R84*HSI!$B$79*HSI!$G$79/HSI!$B$3,""))</f>
        <v/>
      </c>
      <c r="CG84" s="110">
        <f>IF(S84="","",IFERROR(S84*HSI!$B$79*HSI!$G$79/HSI!$B$3,""))</f>
        <v/>
      </c>
      <c r="CH84" s="110">
        <f>IF(T84="","",IFERROR(T84*HSI!$B$79*HSI!$G$79/HSI!$B$3,""))</f>
        <v/>
      </c>
      <c r="CI84" s="110">
        <f>IF(U84="","",IFERROR(U84*HSI!$B$79*HSI!$G$79/HSI!$B$3,""))</f>
        <v/>
      </c>
      <c r="CJ84" s="110">
        <f>IF(V84="","",IFERROR(V84*HSI!$B$79*HSI!$G$79/HSI!$B$3,""))</f>
        <v/>
      </c>
      <c r="CK84" s="110">
        <f>IF(W84="","",IFERROR(W84*HSI!$B$79*HSI!$G$79/HSI!$B$3,""))</f>
        <v/>
      </c>
      <c r="CL84" s="110">
        <f>IF(X84="","",IFERROR(X84*HSI!$B$79*HSI!$G$79/HSI!$B$3,""))</f>
        <v/>
      </c>
      <c r="CM84" s="110">
        <f>IF(Y84="","",IFERROR(Y84*HSI!$B$79*HSI!$G$79/HSI!$B$3,""))</f>
        <v/>
      </c>
      <c r="CN84" s="110">
        <f>IF(Z84="","",IFERROR(Z84*HSI!$B$79*HSI!$G$79/HSI!$B$3,""))</f>
        <v/>
      </c>
      <c r="CO84" s="110">
        <f>IF(AA84="","",IFERROR(AA84*HSI!$B$79*HSI!$G$79/HSI!$B$3,""))</f>
        <v/>
      </c>
      <c r="CP84" s="110">
        <f>IF(AB84="","",IFERROR(AB84*HSI!$B$79*HSI!$G$79/HSI!$B$3,""))</f>
        <v/>
      </c>
      <c r="CQ84" s="110">
        <f>IF(AC84="","",IFERROR(AC84*HSI!$B$79*HSI!$G$79/HSI!$B$3,""))</f>
        <v/>
      </c>
      <c r="CR84" s="110">
        <f>IF(AD84="","",IFERROR(AD84*HSI!$B$79*HSI!$G$79/HSI!$B$3,""))</f>
        <v/>
      </c>
      <c r="CS84" s="110">
        <f>IF(AE84="","",IFERROR(AE84*HSI!$B$79*HSI!$G$79/HSI!$B$3,""))</f>
        <v/>
      </c>
      <c r="CT84" s="110">
        <f>IF(AF84="","",IFERROR(AF84*HSI!$B$79*HSI!$G$79/HSI!$B$3,""))</f>
        <v/>
      </c>
      <c r="CU84" s="110">
        <f>IF(AG84="","",IFERROR(AG84*HSI!$B$79*HSI!$G$79/HSI!$B$3,""))</f>
        <v/>
      </c>
      <c r="CV84" s="110">
        <f>IF(AH84="","",IFERROR(AH84*HSI!$B$79*HSI!$G$79/HSI!$B$3,""))</f>
        <v/>
      </c>
      <c r="CW84" s="110">
        <f>IF(AI84="","",IFERROR(AI84*HSI!$B$79*HSI!$G$79/HSI!$B$3,""))</f>
        <v/>
      </c>
      <c r="CX84" s="110">
        <f>IF(AJ84="","",IFERROR(AJ84*HSI!$B$79*HSI!$G$79/HSI!$B$3,""))</f>
        <v/>
      </c>
      <c r="CY84" s="110">
        <f>IF(AK84="","",IFERROR(AK84*HSI!$B$79*HSI!$G$79/HSI!$B$3,""))</f>
        <v/>
      </c>
      <c r="CZ84" s="110">
        <f>IF(AL84="","",IFERROR(AL84*HSI!$B$79*HSI!$G$79/HSI!$B$3,""))</f>
        <v/>
      </c>
      <c r="DA84" s="110">
        <f>IF(AM84="","",IFERROR(AM84*HSI!$B$79*HSI!$G$79/HSI!$B$3,""))</f>
        <v/>
      </c>
      <c r="DB84" s="110">
        <f>IF(AN84="","",IFERROR(AN84*HSI!$B$79*HSI!$G$79/HSI!$B$3,""))</f>
        <v/>
      </c>
      <c r="DC84" s="110">
        <f>IF(AO84="","",IFERROR(AO84*HSI!$B$79*HSI!$G$79/HSI!$B$3,""))</f>
        <v/>
      </c>
      <c r="DD84" s="110">
        <f>IF(AP84="","",IFERROR(AP84*HSI!$B$79*HSI!$G$79/HSI!$B$3,""))</f>
        <v/>
      </c>
      <c r="DE84" s="110">
        <f>IF(AQ84="","",IFERROR(AQ84*HSI!$B$79*HSI!$G$79/HSI!$B$3,""))</f>
        <v/>
      </c>
      <c r="DF84" s="110">
        <f>IF(AR84="","",IFERROR(AR84*HSI!$B$79*HSI!$G$79/HSI!$B$3,""))</f>
        <v/>
      </c>
      <c r="DG84" s="110">
        <f>IF(AS84="","",IFERROR(AS84*HSI!$B$79*HSI!$G$79/HSI!$B$3,""))</f>
        <v/>
      </c>
      <c r="DH84" s="110">
        <f>IF(AT84="","",IFERROR(AT84*HSI!$B$79*HSI!$G$79/HSI!$B$3,""))</f>
        <v/>
      </c>
      <c r="DI84" s="110">
        <f>IF(AU84="","",IFERROR(AU84*HSI!$B$79*HSI!$G$79/HSI!$B$3,""))</f>
        <v/>
      </c>
      <c r="DJ84" s="110">
        <f>IF(AV84="","",IFERROR(AV84*HSI!$B$79*HSI!$G$79/HSI!$B$3,""))</f>
        <v/>
      </c>
      <c r="DK84" s="110">
        <f>IF(AW84="","",IFERROR(AW84*HSI!$B$79*HSI!$G$79/HSI!$B$3,""))</f>
        <v/>
      </c>
      <c r="DL84" s="110">
        <f>IF(AX84="","",IFERROR(AX84*HSI!$B$79*HSI!$G$79/HSI!$B$3,""))</f>
        <v/>
      </c>
      <c r="DM84" s="110">
        <f>IF(AY84="","",IFERROR(AY84*HSI!$B$79*HSI!$G$79/HSI!$B$3,""))</f>
        <v/>
      </c>
      <c r="DN84" s="110">
        <f>IF(AZ84="","",IFERROR(AZ84*HSI!$B$79*HSI!$G$79/HSI!$B$3,""))</f>
        <v/>
      </c>
      <c r="DO84" s="110">
        <f>IF(BA84="","",IFERROR(BA84*HSI!$B$79*HSI!$G$79/HSI!$B$3,""))</f>
        <v/>
      </c>
      <c r="DP84" s="110">
        <f>IF(BB84="","",IFERROR(BB84*HSI!$B$79*HSI!$G$79/HSI!$B$3,""))</f>
        <v/>
      </c>
      <c r="DQ84" s="110">
        <f>IF(BC84="","",IFERROR(BC84*HSI!$B$79*HSI!$G$79/HSI!$B$3,""))</f>
        <v/>
      </c>
      <c r="DR84" s="110">
        <f>IF(BD84="","",IFERROR(BD84*HSI!$B$79*HSI!$G$79/HSI!$B$3,""))</f>
        <v/>
      </c>
      <c r="DS84" s="110">
        <f>IF(BE84="","",IFERROR(BE84*HSI!$B$79*HSI!$G$79/HSI!$B$3,""))</f>
        <v/>
      </c>
      <c r="DT84" s="110">
        <f>IF(BF84="","",IFERROR(BF84*HSI!$B$79*HSI!$G$79/HSI!$B$3,""))</f>
        <v/>
      </c>
      <c r="DU84" s="110">
        <f>IF(BG84="","",IFERROR(BG84*HSI!$B$79*HSI!$G$79/HSI!$B$3,""))</f>
        <v/>
      </c>
      <c r="DV84" s="110">
        <f>IF(BH84="","",IFERROR(BH84*HSI!$B$79*HSI!$G$79/HSI!$B$3,""))</f>
        <v/>
      </c>
      <c r="DW84" s="110">
        <f>IF(BI84="","",IFERROR(BI84*HSI!$B$79*HSI!$G$79/HSI!$B$3,""))</f>
        <v/>
      </c>
      <c r="DX84" s="110">
        <f>IF(BJ84="","",IFERROR(BJ84*HSI!$B$79*HSI!$G$79/HSI!$B$3,""))</f>
        <v/>
      </c>
      <c r="DY84" s="110">
        <f>IF(BK84="","",IFERROR(BK84*HSI!$B$79*HSI!$G$79/HSI!$B$3,""))</f>
        <v/>
      </c>
      <c r="DZ84" s="110">
        <f>IF(BL84="","",IFERROR(BL84*HSI!$B$79*HSI!$G$79/HSI!$B$3,""))</f>
        <v/>
      </c>
      <c r="EA84" s="110">
        <f>IF(BM84="","",IFERROR(BM84*HSI!$B$79*HSI!$G$79/HSI!$B$3,""))</f>
        <v/>
      </c>
      <c r="EB84" s="110">
        <f>IF(BN84="","",IFERROR(BN84*HSI!$B$79*HSI!$G$79/HSI!$B$3,""))</f>
        <v/>
      </c>
      <c r="EC84" s="110">
        <f>IF(BO84="","",IFERROR(BO84*HSI!$B$79*HSI!$G$79/HSI!$B$3,""))</f>
        <v/>
      </c>
      <c r="EE84" s="39">
        <f>IF(N('Dvd Calendar'!$E$803)=0,"",IF(('Dvd Calendar'!$E$803&gt;=GRID_FROM)*('Dvd Calendar'!$E$803&lt;=GRID_TO)*((('Dvd Calendar'!$E$803&lt;=VAL_DATE)+(COUNTIF('Dvd Calendar'!$E$810:$AR$810,'Dvd Calendar'!$E$803)=0))&gt;0)=0,"",'Dvd Calendar'!$E$803*1000000000+ISNUMBER('Dvd Calendar'!$E$806)*100000000+('Dvd Calendar'!$E$808=SPECIAL_LBL)*10000000+(N('Dvd Calendar'!$E$802)&gt;0)*(N('Dvd Calendar'!$E$802)&lt;=VAL_SERIAL)*1000000+73*1000+1))</f>
        <v/>
      </c>
      <c r="EF84" s="39">
        <f>IF(N('Dvd Calendar'!$F$803)=0,"",IF(('Dvd Calendar'!$F$803&gt;=GRID_FROM)*('Dvd Calendar'!$F$803&lt;=GRID_TO)*((('Dvd Calendar'!$F$803&lt;=VAL_DATE)+(COUNTIF('Dvd Calendar'!$E$810:$AR$810,'Dvd Calendar'!$F$803)=0))&gt;0)=0,"",'Dvd Calendar'!$F$803*1000000000+ISNUMBER('Dvd Calendar'!$F$806)*100000000+('Dvd Calendar'!$F$808=SPECIAL_LBL)*10000000+(N('Dvd Calendar'!$F$802)&gt;0)*(N('Dvd Calendar'!$F$802)&lt;=VAL_SERIAL)*1000000+73*1000+2))</f>
        <v/>
      </c>
      <c r="EG84" s="39">
        <f>IF(N('Dvd Calendar'!$G$803)=0,"",IF(('Dvd Calendar'!$G$803&gt;=GRID_FROM)*('Dvd Calendar'!$G$803&lt;=GRID_TO)*((('Dvd Calendar'!$G$803&lt;=VAL_DATE)+(COUNTIF('Dvd Calendar'!$E$810:$AR$810,'Dvd Calendar'!$G$803)=0))&gt;0)=0,"",'Dvd Calendar'!$G$803*1000000000+ISNUMBER('Dvd Calendar'!$G$806)*100000000+('Dvd Calendar'!$G$808=SPECIAL_LBL)*10000000+(N('Dvd Calendar'!$G$802)&gt;0)*(N('Dvd Calendar'!$G$802)&lt;=VAL_SERIAL)*1000000+73*1000+3))</f>
        <v/>
      </c>
      <c r="EH84" s="39">
        <f>IF(N('Dvd Calendar'!$H$803)=0,"",IF(('Dvd Calendar'!$H$803&gt;=GRID_FROM)*('Dvd Calendar'!$H$803&lt;=GRID_TO)*((('Dvd Calendar'!$H$803&lt;=VAL_DATE)+(COUNTIF('Dvd Calendar'!$E$810:$AR$810,'Dvd Calendar'!$H$803)=0))&gt;0)=0,"",'Dvd Calendar'!$H$803*1000000000+ISNUMBER('Dvd Calendar'!$H$806)*100000000+('Dvd Calendar'!$H$808=SPECIAL_LBL)*10000000+(N('Dvd Calendar'!$H$802)&gt;0)*(N('Dvd Calendar'!$H$802)&lt;=VAL_SERIAL)*1000000+73*1000+4))</f>
        <v/>
      </c>
      <c r="EI84" s="39">
        <f>IF(N('Dvd Calendar'!$I$803)=0,"",IF(('Dvd Calendar'!$I$803&gt;=GRID_FROM)*('Dvd Calendar'!$I$803&lt;=GRID_TO)*((('Dvd Calendar'!$I$803&lt;=VAL_DATE)+(COUNTIF('Dvd Calendar'!$E$810:$AR$810,'Dvd Calendar'!$I$803)=0))&gt;0)=0,"",'Dvd Calendar'!$I$803*1000000000+ISNUMBER('Dvd Calendar'!$I$806)*100000000+('Dvd Calendar'!$I$808=SPECIAL_LBL)*10000000+(N('Dvd Calendar'!$I$802)&gt;0)*(N('Dvd Calendar'!$I$802)&lt;=VAL_SERIAL)*1000000+73*1000+5))</f>
        <v/>
      </c>
      <c r="EJ84" s="39">
        <f>IF(N('Dvd Calendar'!$J$803)=0,"",IF(('Dvd Calendar'!$J$803&gt;=GRID_FROM)*('Dvd Calendar'!$J$803&lt;=GRID_TO)*((('Dvd Calendar'!$J$803&lt;=VAL_DATE)+(COUNTIF('Dvd Calendar'!$E$810:$AR$810,'Dvd Calendar'!$J$803)=0))&gt;0)=0,"",'Dvd Calendar'!$J$803*1000000000+ISNUMBER('Dvd Calendar'!$J$806)*100000000+('Dvd Calendar'!$J$808=SPECIAL_LBL)*10000000+(N('Dvd Calendar'!$J$802)&gt;0)*(N('Dvd Calendar'!$J$802)&lt;=VAL_SERIAL)*1000000+73*1000+6))</f>
        <v/>
      </c>
      <c r="EK84" s="39">
        <f>IF(N('Dvd Calendar'!$K$803)=0,"",IF(('Dvd Calendar'!$K$803&gt;=GRID_FROM)*('Dvd Calendar'!$K$803&lt;=GRID_TO)*((('Dvd Calendar'!$K$803&lt;=VAL_DATE)+(COUNTIF('Dvd Calendar'!$E$810:$AR$810,'Dvd Calendar'!$K$803)=0))&gt;0)=0,"",'Dvd Calendar'!$K$803*1000000000+ISNUMBER('Dvd Calendar'!$K$806)*100000000+('Dvd Calendar'!$K$808=SPECIAL_LBL)*10000000+(N('Dvd Calendar'!$K$802)&gt;0)*(N('Dvd Calendar'!$K$802)&lt;=VAL_SERIAL)*1000000+73*1000+7))</f>
        <v/>
      </c>
      <c r="EL84" s="39">
        <f>IF(N('Dvd Calendar'!$L$803)=0,"",IF(('Dvd Calendar'!$L$803&gt;=GRID_FROM)*('Dvd Calendar'!$L$803&lt;=GRID_TO)*((('Dvd Calendar'!$L$803&lt;=VAL_DATE)+(COUNTIF('Dvd Calendar'!$E$810:$AR$810,'Dvd Calendar'!$L$803)=0))&gt;0)=0,"",'Dvd Calendar'!$L$803*1000000000+ISNUMBER('Dvd Calendar'!$L$806)*100000000+('Dvd Calendar'!$L$808=SPECIAL_LBL)*10000000+(N('Dvd Calendar'!$L$802)&gt;0)*(N('Dvd Calendar'!$L$802)&lt;=VAL_SERIAL)*1000000+73*1000+8))</f>
        <v/>
      </c>
      <c r="EM84" s="39">
        <f>IF(N('Dvd Calendar'!$M$803)=0,"",IF(('Dvd Calendar'!$M$803&gt;=GRID_FROM)*('Dvd Calendar'!$M$803&lt;=GRID_TO)*((('Dvd Calendar'!$M$803&lt;=VAL_DATE)+(COUNTIF('Dvd Calendar'!$E$810:$AR$810,'Dvd Calendar'!$M$803)=0))&gt;0)=0,"",'Dvd Calendar'!$M$803*1000000000+ISNUMBER('Dvd Calendar'!$M$806)*100000000+('Dvd Calendar'!$M$808=SPECIAL_LBL)*10000000+(N('Dvd Calendar'!$M$802)&gt;0)*(N('Dvd Calendar'!$M$802)&lt;=VAL_SERIAL)*1000000+73*1000+9))</f>
        <v/>
      </c>
      <c r="EN84" s="39">
        <f>IF(N('Dvd Calendar'!$N$803)=0,"",IF(('Dvd Calendar'!$N$803&gt;=GRID_FROM)*('Dvd Calendar'!$N$803&lt;=GRID_TO)*((('Dvd Calendar'!$N$803&lt;=VAL_DATE)+(COUNTIF('Dvd Calendar'!$E$810:$AR$810,'Dvd Calendar'!$N$803)=0))&gt;0)=0,"",'Dvd Calendar'!$N$803*1000000000+ISNUMBER('Dvd Calendar'!$N$806)*100000000+('Dvd Calendar'!$N$808=SPECIAL_LBL)*10000000+(N('Dvd Calendar'!$N$802)&gt;0)*(N('Dvd Calendar'!$N$802)&lt;=VAL_SERIAL)*1000000+73*1000+10))</f>
        <v/>
      </c>
      <c r="EO84" s="39">
        <f>IF(N('Dvd Calendar'!$O$803)=0,"",IF(('Dvd Calendar'!$O$803&gt;=GRID_FROM)*('Dvd Calendar'!$O$803&lt;=GRID_TO)*((('Dvd Calendar'!$O$803&lt;=VAL_DATE)+(COUNTIF('Dvd Calendar'!$E$810:$AR$810,'Dvd Calendar'!$O$803)=0))&gt;0)=0,"",'Dvd Calendar'!$O$803*1000000000+ISNUMBER('Dvd Calendar'!$O$806)*100000000+('Dvd Calendar'!$O$808=SPECIAL_LBL)*10000000+(N('Dvd Calendar'!$O$802)&gt;0)*(N('Dvd Calendar'!$O$802)&lt;=VAL_SERIAL)*1000000+73*1000+11))</f>
        <v/>
      </c>
      <c r="EP84" s="39">
        <f>IF(N('Dvd Calendar'!$P$803)=0,"",IF(('Dvd Calendar'!$P$803&gt;=GRID_FROM)*('Dvd Calendar'!$P$803&lt;=GRID_TO)*((('Dvd Calendar'!$P$803&lt;=VAL_DATE)+(COUNTIF('Dvd Calendar'!$E$810:$AR$810,'Dvd Calendar'!$P$803)=0))&gt;0)=0,"",'Dvd Calendar'!$P$803*1000000000+ISNUMBER('Dvd Calendar'!$P$806)*100000000+('Dvd Calendar'!$P$808=SPECIAL_LBL)*10000000+(N('Dvd Calendar'!$P$802)&gt;0)*(N('Dvd Calendar'!$P$802)&lt;=VAL_SERIAL)*1000000+73*1000+12))</f>
        <v/>
      </c>
      <c r="EQ84" s="39">
        <f>IF(N('Dvd Calendar'!$Q$803)=0,"",IF(('Dvd Calendar'!$Q$803&gt;=GRID_FROM)*('Dvd Calendar'!$Q$803&lt;=GRID_TO)*((('Dvd Calendar'!$Q$803&lt;=VAL_DATE)+(COUNTIF('Dvd Calendar'!$E$810:$AR$810,'Dvd Calendar'!$Q$803)=0))&gt;0)=0,"",'Dvd Calendar'!$Q$803*1000000000+ISNUMBER('Dvd Calendar'!$Q$806)*100000000+('Dvd Calendar'!$Q$808=SPECIAL_LBL)*10000000+(N('Dvd Calendar'!$Q$802)&gt;0)*(N('Dvd Calendar'!$Q$802)&lt;=VAL_SERIAL)*1000000+73*1000+13))</f>
        <v/>
      </c>
      <c r="ER84" s="39">
        <f>IF(N('Dvd Calendar'!$R$803)=0,"",IF(('Dvd Calendar'!$R$803&gt;=GRID_FROM)*('Dvd Calendar'!$R$803&lt;=GRID_TO)*((('Dvd Calendar'!$R$803&lt;=VAL_DATE)+(COUNTIF('Dvd Calendar'!$E$810:$AR$810,'Dvd Calendar'!$R$803)=0))&gt;0)=0,"",'Dvd Calendar'!$R$803*1000000000+ISNUMBER('Dvd Calendar'!$R$806)*100000000+('Dvd Calendar'!$R$808=SPECIAL_LBL)*10000000+(N('Dvd Calendar'!$R$802)&gt;0)*(N('Dvd Calendar'!$R$802)&lt;=VAL_SERIAL)*1000000+73*1000+14))</f>
        <v/>
      </c>
      <c r="ES84" s="39">
        <f>IF(N('Dvd Calendar'!$S$803)=0,"",IF(('Dvd Calendar'!$S$803&gt;=GRID_FROM)*('Dvd Calendar'!$S$803&lt;=GRID_TO)*((('Dvd Calendar'!$S$803&lt;=VAL_DATE)+(COUNTIF('Dvd Calendar'!$E$810:$AR$810,'Dvd Calendar'!$S$803)=0))&gt;0)=0,"",'Dvd Calendar'!$S$803*1000000000+ISNUMBER('Dvd Calendar'!$S$806)*100000000+('Dvd Calendar'!$S$808=SPECIAL_LBL)*10000000+(N('Dvd Calendar'!$S$802)&gt;0)*(N('Dvd Calendar'!$S$802)&lt;=VAL_SERIAL)*1000000+73*1000+15))</f>
        <v/>
      </c>
      <c r="ET84" s="39">
        <f>IF(N('Dvd Calendar'!$T$803)=0,"",IF(('Dvd Calendar'!$T$803&gt;=GRID_FROM)*('Dvd Calendar'!$T$803&lt;=GRID_TO)*((('Dvd Calendar'!$T$803&lt;=VAL_DATE)+(COUNTIF('Dvd Calendar'!$E$810:$AR$810,'Dvd Calendar'!$T$803)=0))&gt;0)=0,"",'Dvd Calendar'!$T$803*1000000000+ISNUMBER('Dvd Calendar'!$T$806)*100000000+('Dvd Calendar'!$T$808=SPECIAL_LBL)*10000000+(N('Dvd Calendar'!$T$802)&gt;0)*(N('Dvd Calendar'!$T$802)&lt;=VAL_SERIAL)*1000000+73*1000+16))</f>
        <v/>
      </c>
      <c r="EU84" s="39">
        <f>IF(N('Dvd Calendar'!$U$803)=0,"",IF(('Dvd Calendar'!$U$803&gt;=GRID_FROM)*('Dvd Calendar'!$U$803&lt;=GRID_TO)*((('Dvd Calendar'!$U$803&lt;=VAL_DATE)+(COUNTIF('Dvd Calendar'!$E$810:$AR$810,'Dvd Calendar'!$U$803)=0))&gt;0)=0,"",'Dvd Calendar'!$U$803*1000000000+ISNUMBER('Dvd Calendar'!$U$806)*100000000+('Dvd Calendar'!$U$808=SPECIAL_LBL)*10000000+(N('Dvd Calendar'!$U$802)&gt;0)*(N('Dvd Calendar'!$U$802)&lt;=VAL_SERIAL)*1000000+73*1000+17))</f>
        <v/>
      </c>
      <c r="EV84" s="39">
        <f>IF(N('Dvd Calendar'!$V$803)=0,"",IF(('Dvd Calendar'!$V$803&gt;=GRID_FROM)*('Dvd Calendar'!$V$803&lt;=GRID_TO)*((('Dvd Calendar'!$V$803&lt;=VAL_DATE)+(COUNTIF('Dvd Calendar'!$E$810:$AR$810,'Dvd Calendar'!$V$803)=0))&gt;0)=0,"",'Dvd Calendar'!$V$803*1000000000+ISNUMBER('Dvd Calendar'!$V$806)*100000000+('Dvd Calendar'!$V$808=SPECIAL_LBL)*10000000+(N('Dvd Calendar'!$V$802)&gt;0)*(N('Dvd Calendar'!$V$802)&lt;=VAL_SERIAL)*1000000+73*1000+18))</f>
        <v/>
      </c>
      <c r="EW84" s="39">
        <f>IF(N('Dvd Calendar'!$W$803)=0,"",IF(('Dvd Calendar'!$W$803&gt;=GRID_FROM)*('Dvd Calendar'!$W$803&lt;=GRID_TO)*((('Dvd Calendar'!$W$803&lt;=VAL_DATE)+(COUNTIF('Dvd Calendar'!$E$810:$AR$810,'Dvd Calendar'!$W$803)=0))&gt;0)=0,"",'Dvd Calendar'!$W$803*1000000000+ISNUMBER('Dvd Calendar'!$W$806)*100000000+('Dvd Calendar'!$W$808=SPECIAL_LBL)*10000000+(N('Dvd Calendar'!$W$802)&gt;0)*(N('Dvd Calendar'!$W$802)&lt;=VAL_SERIAL)*1000000+73*1000+19))</f>
        <v/>
      </c>
      <c r="EX84" s="39">
        <f>IF(N('Dvd Calendar'!$X$803)=0,"",IF(('Dvd Calendar'!$X$803&gt;=GRID_FROM)*('Dvd Calendar'!$X$803&lt;=GRID_TO)*((('Dvd Calendar'!$X$803&lt;=VAL_DATE)+(COUNTIF('Dvd Calendar'!$E$810:$AR$810,'Dvd Calendar'!$X$803)=0))&gt;0)=0,"",'Dvd Calendar'!$X$803*1000000000+ISNUMBER('Dvd Calendar'!$X$806)*100000000+('Dvd Calendar'!$X$808=SPECIAL_LBL)*10000000+(N('Dvd Calendar'!$X$802)&gt;0)*(N('Dvd Calendar'!$X$802)&lt;=VAL_SERIAL)*1000000+73*1000+20))</f>
        <v/>
      </c>
      <c r="EY84" s="39">
        <f>IF(N('Dvd Calendar'!$Y$803)=0,"",IF(('Dvd Calendar'!$Y$803&gt;=GRID_FROM)*('Dvd Calendar'!$Y$803&lt;=GRID_TO)*((('Dvd Calendar'!$Y$803&lt;=VAL_DATE)+(COUNTIF('Dvd Calendar'!$E$810:$AR$810,'Dvd Calendar'!$Y$803)=0))&gt;0)=0,"",'Dvd Calendar'!$Y$803*1000000000+ISNUMBER('Dvd Calendar'!$Y$806)*100000000+('Dvd Calendar'!$Y$808=SPECIAL_LBL)*10000000+(N('Dvd Calendar'!$Y$802)&gt;0)*(N('Dvd Calendar'!$Y$802)&lt;=VAL_SERIAL)*1000000+73*1000+21))</f>
        <v/>
      </c>
      <c r="EZ84" s="39">
        <f>IF(N('Dvd Calendar'!$Z$803)=0,"",IF(('Dvd Calendar'!$Z$803&gt;=GRID_FROM)*('Dvd Calendar'!$Z$803&lt;=GRID_TO)*((('Dvd Calendar'!$Z$803&lt;=VAL_DATE)+(COUNTIF('Dvd Calendar'!$E$810:$AR$810,'Dvd Calendar'!$Z$803)=0))&gt;0)=0,"",'Dvd Calendar'!$Z$803*1000000000+ISNUMBER('Dvd Calendar'!$Z$806)*100000000+('Dvd Calendar'!$Z$808=SPECIAL_LBL)*10000000+(N('Dvd Calendar'!$Z$802)&gt;0)*(N('Dvd Calendar'!$Z$802)&lt;=VAL_SERIAL)*1000000+73*1000+22))</f>
        <v/>
      </c>
      <c r="FA84" s="39">
        <f>IF(N('Dvd Calendar'!$AA$803)=0,"",IF(('Dvd Calendar'!$AA$803&gt;=GRID_FROM)*('Dvd Calendar'!$AA$803&lt;=GRID_TO)*((('Dvd Calendar'!$AA$803&lt;=VAL_DATE)+(COUNTIF('Dvd Calendar'!$E$810:$AR$810,'Dvd Calendar'!$AA$803)=0))&gt;0)=0,"",'Dvd Calendar'!$AA$803*1000000000+ISNUMBER('Dvd Calendar'!$AA$806)*100000000+('Dvd Calendar'!$AA$808=SPECIAL_LBL)*10000000+(N('Dvd Calendar'!$AA$802)&gt;0)*(N('Dvd Calendar'!$AA$802)&lt;=VAL_SERIAL)*1000000+73*1000+23))</f>
        <v/>
      </c>
      <c r="FB84" s="39">
        <f>IF(N('Dvd Calendar'!$AB$803)=0,"",IF(('Dvd Calendar'!$AB$803&gt;=GRID_FROM)*('Dvd Calendar'!$AB$803&lt;=GRID_TO)*((('Dvd Calendar'!$AB$803&lt;=VAL_DATE)+(COUNTIF('Dvd Calendar'!$E$810:$AR$810,'Dvd Calendar'!$AB$803)=0))&gt;0)=0,"",'Dvd Calendar'!$AB$803*1000000000+ISNUMBER('Dvd Calendar'!$AB$806)*100000000+('Dvd Calendar'!$AB$808=SPECIAL_LBL)*10000000+(N('Dvd Calendar'!$AB$802)&gt;0)*(N('Dvd Calendar'!$AB$802)&lt;=VAL_SERIAL)*1000000+73*1000+24))</f>
        <v/>
      </c>
      <c r="FC84" s="39">
        <f>IF(N('Dvd Calendar'!$AC$803)=0,"",IF(('Dvd Calendar'!$AC$803&gt;=GRID_FROM)*('Dvd Calendar'!$AC$803&lt;=GRID_TO)*((('Dvd Calendar'!$AC$803&lt;=VAL_DATE)+(COUNTIF('Dvd Calendar'!$E$810:$AR$810,'Dvd Calendar'!$AC$803)=0))&gt;0)=0,"",'Dvd Calendar'!$AC$803*1000000000+ISNUMBER('Dvd Calendar'!$AC$806)*100000000+('Dvd Calendar'!$AC$808=SPECIAL_LBL)*10000000+(N('Dvd Calendar'!$AC$802)&gt;0)*(N('Dvd Calendar'!$AC$802)&lt;=VAL_SERIAL)*1000000+73*1000+25))</f>
        <v/>
      </c>
      <c r="FD84" s="39">
        <f>IF(N('Dvd Calendar'!$AD$803)=0,"",IF(('Dvd Calendar'!$AD$803&gt;=GRID_FROM)*('Dvd Calendar'!$AD$803&lt;=GRID_TO)*((('Dvd Calendar'!$AD$803&lt;=VAL_DATE)+(COUNTIF('Dvd Calendar'!$E$810:$AR$810,'Dvd Calendar'!$AD$803)=0))&gt;0)=0,"",'Dvd Calendar'!$AD$803*1000000000+ISNUMBER('Dvd Calendar'!$AD$806)*100000000+('Dvd Calendar'!$AD$808=SPECIAL_LBL)*10000000+(N('Dvd Calendar'!$AD$802)&gt;0)*(N('Dvd Calendar'!$AD$802)&lt;=VAL_SERIAL)*1000000+73*1000+26))</f>
        <v/>
      </c>
      <c r="FE84" s="39">
        <f>IF(N('Dvd Calendar'!$AE$803)=0,"",IF(('Dvd Calendar'!$AE$803&gt;=GRID_FROM)*('Dvd Calendar'!$AE$803&lt;=GRID_TO)*((('Dvd Calendar'!$AE$803&lt;=VAL_DATE)+(COUNTIF('Dvd Calendar'!$E$810:$AR$810,'Dvd Calendar'!$AE$803)=0))&gt;0)=0,"",'Dvd Calendar'!$AE$803*1000000000+ISNUMBER('Dvd Calendar'!$AE$806)*100000000+('Dvd Calendar'!$AE$808=SPECIAL_LBL)*10000000+(N('Dvd Calendar'!$AE$802)&gt;0)*(N('Dvd Calendar'!$AE$802)&lt;=VAL_SERIAL)*1000000+73*1000+27))</f>
        <v/>
      </c>
      <c r="FF84" s="39">
        <f>IF(N('Dvd Calendar'!$AF$803)=0,"",IF(('Dvd Calendar'!$AF$803&gt;=GRID_FROM)*('Dvd Calendar'!$AF$803&lt;=GRID_TO)*((('Dvd Calendar'!$AF$803&lt;=VAL_DATE)+(COUNTIF('Dvd Calendar'!$E$810:$AR$810,'Dvd Calendar'!$AF$803)=0))&gt;0)=0,"",'Dvd Calendar'!$AF$803*1000000000+ISNUMBER('Dvd Calendar'!$AF$806)*100000000+('Dvd Calendar'!$AF$808=SPECIAL_LBL)*10000000+(N('Dvd Calendar'!$AF$802)&gt;0)*(N('Dvd Calendar'!$AF$802)&lt;=VAL_SERIAL)*1000000+73*1000+28))</f>
        <v/>
      </c>
      <c r="FG84" s="39">
        <f>IF(N('Dvd Calendar'!$AG$803)=0,"",IF(('Dvd Calendar'!$AG$803&gt;=GRID_FROM)*('Dvd Calendar'!$AG$803&lt;=GRID_TO)*((('Dvd Calendar'!$AG$803&lt;=VAL_DATE)+(COUNTIF('Dvd Calendar'!$E$810:$AR$810,'Dvd Calendar'!$AG$803)=0))&gt;0)=0,"",'Dvd Calendar'!$AG$803*1000000000+ISNUMBER('Dvd Calendar'!$AG$806)*100000000+('Dvd Calendar'!$AG$808=SPECIAL_LBL)*10000000+(N('Dvd Calendar'!$AG$802)&gt;0)*(N('Dvd Calendar'!$AG$802)&lt;=VAL_SERIAL)*1000000+73*1000+29))</f>
        <v/>
      </c>
      <c r="FH84" s="39">
        <f>IF(N('Dvd Calendar'!$AH$803)=0,"",IF(('Dvd Calendar'!$AH$803&gt;=GRID_FROM)*('Dvd Calendar'!$AH$803&lt;=GRID_TO)*((('Dvd Calendar'!$AH$803&lt;=VAL_DATE)+(COUNTIF('Dvd Calendar'!$E$810:$AR$810,'Dvd Calendar'!$AH$803)=0))&gt;0)=0,"",'Dvd Calendar'!$AH$803*1000000000+ISNUMBER('Dvd Calendar'!$AH$806)*100000000+('Dvd Calendar'!$AH$808=SPECIAL_LBL)*10000000+(N('Dvd Calendar'!$AH$802)&gt;0)*(N('Dvd Calendar'!$AH$802)&lt;=VAL_SERIAL)*1000000+73*1000+30))</f>
        <v/>
      </c>
      <c r="FI84" s="39">
        <f>IF(N('Dvd Calendar'!$AI$803)=0,"",IF(('Dvd Calendar'!$AI$803&gt;=GRID_FROM)*('Dvd Calendar'!$AI$803&lt;=GRID_TO)*((('Dvd Calendar'!$AI$803&lt;=VAL_DATE)+(COUNTIF('Dvd Calendar'!$E$810:$AR$810,'Dvd Calendar'!$AI$803)=0))&gt;0)=0,"",'Dvd Calendar'!$AI$803*1000000000+ISNUMBER('Dvd Calendar'!$AI$806)*100000000+('Dvd Calendar'!$AI$808=SPECIAL_LBL)*10000000+(N('Dvd Calendar'!$AI$802)&gt;0)*(N('Dvd Calendar'!$AI$802)&lt;=VAL_SERIAL)*1000000+73*1000+31))</f>
        <v/>
      </c>
      <c r="FJ84" s="39">
        <f>IF(N('Dvd Calendar'!$AJ$803)=0,"",IF(('Dvd Calendar'!$AJ$803&gt;=GRID_FROM)*('Dvd Calendar'!$AJ$803&lt;=GRID_TO)*((('Dvd Calendar'!$AJ$803&lt;=VAL_DATE)+(COUNTIF('Dvd Calendar'!$E$810:$AR$810,'Dvd Calendar'!$AJ$803)=0))&gt;0)=0,"",'Dvd Calendar'!$AJ$803*1000000000+ISNUMBER('Dvd Calendar'!$AJ$806)*100000000+('Dvd Calendar'!$AJ$808=SPECIAL_LBL)*10000000+(N('Dvd Calendar'!$AJ$802)&gt;0)*(N('Dvd Calendar'!$AJ$802)&lt;=VAL_SERIAL)*1000000+73*1000+32))</f>
        <v/>
      </c>
      <c r="FK84" s="39">
        <f>IF(N('Dvd Calendar'!$AK$803)=0,"",IF(('Dvd Calendar'!$AK$803&gt;=GRID_FROM)*('Dvd Calendar'!$AK$803&lt;=GRID_TO)*((('Dvd Calendar'!$AK$803&lt;=VAL_DATE)+(COUNTIF('Dvd Calendar'!$E$810:$AR$810,'Dvd Calendar'!$AK$803)=0))&gt;0)=0,"",'Dvd Calendar'!$AK$803*1000000000+ISNUMBER('Dvd Calendar'!$AK$806)*100000000+('Dvd Calendar'!$AK$808=SPECIAL_LBL)*10000000+(N('Dvd Calendar'!$AK$802)&gt;0)*(N('Dvd Calendar'!$AK$802)&lt;=VAL_SERIAL)*1000000+73*1000+33))</f>
        <v/>
      </c>
      <c r="FL84" s="39">
        <f>IF(N('Dvd Calendar'!$AL$803)=0,"",IF(('Dvd Calendar'!$AL$803&gt;=GRID_FROM)*('Dvd Calendar'!$AL$803&lt;=GRID_TO)*((('Dvd Calendar'!$AL$803&lt;=VAL_DATE)+(COUNTIF('Dvd Calendar'!$E$810:$AR$810,'Dvd Calendar'!$AL$803)=0))&gt;0)=0,"",'Dvd Calendar'!$AL$803*1000000000+ISNUMBER('Dvd Calendar'!$AL$806)*100000000+('Dvd Calendar'!$AL$808=SPECIAL_LBL)*10000000+(N('Dvd Calendar'!$AL$802)&gt;0)*(N('Dvd Calendar'!$AL$802)&lt;=VAL_SERIAL)*1000000+73*1000+34))</f>
        <v/>
      </c>
      <c r="FM84" s="39">
        <f>IF(N('Dvd Calendar'!$AM$803)=0,"",IF(('Dvd Calendar'!$AM$803&gt;=GRID_FROM)*('Dvd Calendar'!$AM$803&lt;=GRID_TO)*((('Dvd Calendar'!$AM$803&lt;=VAL_DATE)+(COUNTIF('Dvd Calendar'!$E$810:$AR$810,'Dvd Calendar'!$AM$803)=0))&gt;0)=0,"",'Dvd Calendar'!$AM$803*1000000000+ISNUMBER('Dvd Calendar'!$AM$806)*100000000+('Dvd Calendar'!$AM$808=SPECIAL_LBL)*10000000+(N('Dvd Calendar'!$AM$802)&gt;0)*(N('Dvd Calendar'!$AM$802)&lt;=VAL_SERIAL)*1000000+73*1000+35))</f>
        <v/>
      </c>
      <c r="FN84" s="39">
        <f>IF(N('Dvd Calendar'!$AN$803)=0,"",IF(('Dvd Calendar'!$AN$803&gt;=GRID_FROM)*('Dvd Calendar'!$AN$803&lt;=GRID_TO)*((('Dvd Calendar'!$AN$803&lt;=VAL_DATE)+(COUNTIF('Dvd Calendar'!$E$810:$AR$810,'Dvd Calendar'!$AN$803)=0))&gt;0)=0,"",'Dvd Calendar'!$AN$803*1000000000+ISNUMBER('Dvd Calendar'!$AN$806)*100000000+('Dvd Calendar'!$AN$808=SPECIAL_LBL)*10000000+(N('Dvd Calendar'!$AN$802)&gt;0)*(N('Dvd Calendar'!$AN$802)&lt;=VAL_SERIAL)*1000000+73*1000+36))</f>
        <v/>
      </c>
      <c r="FO84" s="39">
        <f>IF(N('Dvd Calendar'!$AO$803)=0,"",IF(('Dvd Calendar'!$AO$803&gt;=GRID_FROM)*('Dvd Calendar'!$AO$803&lt;=GRID_TO)*((('Dvd Calendar'!$AO$803&lt;=VAL_DATE)+(COUNTIF('Dvd Calendar'!$E$810:$AR$810,'Dvd Calendar'!$AO$803)=0))&gt;0)=0,"",'Dvd Calendar'!$AO$803*1000000000+ISNUMBER('Dvd Calendar'!$AO$806)*100000000+('Dvd Calendar'!$AO$808=SPECIAL_LBL)*10000000+(N('Dvd Calendar'!$AO$802)&gt;0)*(N('Dvd Calendar'!$AO$802)&lt;=VAL_SERIAL)*1000000+73*1000+37))</f>
        <v/>
      </c>
      <c r="FP84" s="39">
        <f>IF(N('Dvd Calendar'!$AP$803)=0,"",IF(('Dvd Calendar'!$AP$803&gt;=GRID_FROM)*('Dvd Calendar'!$AP$803&lt;=GRID_TO)*((('Dvd Calendar'!$AP$803&lt;=VAL_DATE)+(COUNTIF('Dvd Calendar'!$E$810:$AR$810,'Dvd Calendar'!$AP$803)=0))&gt;0)=0,"",'Dvd Calendar'!$AP$803*1000000000+ISNUMBER('Dvd Calendar'!$AP$806)*100000000+('Dvd Calendar'!$AP$808=SPECIAL_LBL)*10000000+(N('Dvd Calendar'!$AP$802)&gt;0)*(N('Dvd Calendar'!$AP$802)&lt;=VAL_SERIAL)*1000000+73*1000+38))</f>
        <v/>
      </c>
      <c r="FQ84" s="39">
        <f>IF(N('Dvd Calendar'!$AQ$803)=0,"",IF(('Dvd Calendar'!$AQ$803&gt;=GRID_FROM)*('Dvd Calendar'!$AQ$803&lt;=GRID_TO)*((('Dvd Calendar'!$AQ$803&lt;=VAL_DATE)+(COUNTIF('Dvd Calendar'!$E$810:$AR$810,'Dvd Calendar'!$AQ$803)=0))&gt;0)=0,"",'Dvd Calendar'!$AQ$803*1000000000+ISNUMBER('Dvd Calendar'!$AQ$806)*100000000+('Dvd Calendar'!$AQ$808=SPECIAL_LBL)*10000000+(N('Dvd Calendar'!$AQ$802)&gt;0)*(N('Dvd Calendar'!$AQ$802)&lt;=VAL_SERIAL)*1000000+73*1000+39))</f>
        <v/>
      </c>
      <c r="FR84" s="39">
        <f>IF(N('Dvd Calendar'!$AR$803)=0,"",IF(('Dvd Calendar'!$AR$803&gt;=GRID_FROM)*('Dvd Calendar'!$AR$803&lt;=GRID_TO)*((('Dvd Calendar'!$AR$803&lt;=VAL_DATE)+(COUNTIF('Dvd Calendar'!$E$810:$AR$810,'Dvd Calendar'!$AR$803)=0))&gt;0)=0,"",'Dvd Calendar'!$AR$803*1000000000+ISNUMBER('Dvd Calendar'!$AR$806)*100000000+('Dvd Calendar'!$AR$808=SPECIAL_LBL)*10000000+(N('Dvd Calendar'!$AR$802)&gt;0)*(N('Dvd Calendar'!$AR$802)&lt;=VAL_SERIAL)*1000000+73*1000+40))</f>
        <v/>
      </c>
      <c r="FS84" s="39">
        <f>IF(N('Dvd Calendar'!$E$810)=0,"",IF(('Dvd Calendar'!$E$810&gt;=GRID_FROM)*('Dvd Calendar'!$E$810&lt;=GRID_TO)*('Dvd Calendar'!$E$810&gt;VAL_DATE)=0,"",'Dvd Calendar'!$E$810*1000000000+ISNUMBER('Dvd Calendar'!$E$811)*100000000+0*10000000+(N('Dvd Calendar'!$E$809)&gt;0)*(N('Dvd Calendar'!$E$809)&lt;=VAL_SERIAL)*1000000+73*1000+41))</f>
        <v/>
      </c>
      <c r="FT84" s="39">
        <f>IF(N('Dvd Calendar'!$F$810)=0,"",IF(('Dvd Calendar'!$F$810&gt;=GRID_FROM)*('Dvd Calendar'!$F$810&lt;=GRID_TO)*('Dvd Calendar'!$F$810&gt;VAL_DATE)=0,"",'Dvd Calendar'!$F$810*1000000000+ISNUMBER('Dvd Calendar'!$F$811)*100000000+0*10000000+(N('Dvd Calendar'!$F$809)&gt;0)*(N('Dvd Calendar'!$F$809)&lt;=VAL_SERIAL)*1000000+73*1000+42))</f>
        <v/>
      </c>
      <c r="FU84" s="39">
        <f>IF(N('Dvd Calendar'!$G$810)=0,"",IF(('Dvd Calendar'!$G$810&gt;=GRID_FROM)*('Dvd Calendar'!$G$810&lt;=GRID_TO)*('Dvd Calendar'!$G$810&gt;VAL_DATE)=0,"",'Dvd Calendar'!$G$810*1000000000+ISNUMBER('Dvd Calendar'!$G$811)*100000000+0*10000000+(N('Dvd Calendar'!$G$809)&gt;0)*(N('Dvd Calendar'!$G$809)&lt;=VAL_SERIAL)*1000000+73*1000+43))</f>
        <v/>
      </c>
      <c r="FV84" s="39">
        <f>IF(N('Dvd Calendar'!$H$810)=0,"",IF(('Dvd Calendar'!$H$810&gt;=GRID_FROM)*('Dvd Calendar'!$H$810&lt;=GRID_TO)*('Dvd Calendar'!$H$810&gt;VAL_DATE)=0,"",'Dvd Calendar'!$H$810*1000000000+ISNUMBER('Dvd Calendar'!$H$811)*100000000+0*10000000+(N('Dvd Calendar'!$H$809)&gt;0)*(N('Dvd Calendar'!$H$809)&lt;=VAL_SERIAL)*1000000+73*1000+44))</f>
        <v/>
      </c>
      <c r="FW84" s="39">
        <f>IF(N('Dvd Calendar'!$I$810)=0,"",IF(('Dvd Calendar'!$I$810&gt;=GRID_FROM)*('Dvd Calendar'!$I$810&lt;=GRID_TO)*('Dvd Calendar'!$I$810&gt;VAL_DATE)=0,"",'Dvd Calendar'!$I$810*1000000000+ISNUMBER('Dvd Calendar'!$I$811)*100000000+0*10000000+(N('Dvd Calendar'!$I$809)&gt;0)*(N('Dvd Calendar'!$I$809)&lt;=VAL_SERIAL)*1000000+73*1000+45))</f>
        <v/>
      </c>
      <c r="FX84" s="39">
        <f>IF(N('Dvd Calendar'!$J$810)=0,"",IF(('Dvd Calendar'!$J$810&gt;=GRID_FROM)*('Dvd Calendar'!$J$810&lt;=GRID_TO)*('Dvd Calendar'!$J$810&gt;VAL_DATE)=0,"",'Dvd Calendar'!$J$810*1000000000+ISNUMBER('Dvd Calendar'!$J$811)*100000000+0*10000000+(N('Dvd Calendar'!$J$809)&gt;0)*(N('Dvd Calendar'!$J$809)&lt;=VAL_SERIAL)*1000000+73*1000+46))</f>
        <v/>
      </c>
      <c r="FY84" s="39">
        <f>IF(N('Dvd Calendar'!$K$810)=0,"",IF(('Dvd Calendar'!$K$810&gt;=GRID_FROM)*('Dvd Calendar'!$K$810&lt;=GRID_TO)*('Dvd Calendar'!$K$810&gt;VAL_DATE)=0,"",'Dvd Calendar'!$K$810*1000000000+ISNUMBER('Dvd Calendar'!$K$811)*100000000+0*10000000+(N('Dvd Calendar'!$K$809)&gt;0)*(N('Dvd Calendar'!$K$809)&lt;=VAL_SERIAL)*1000000+73*1000+47))</f>
        <v/>
      </c>
      <c r="FZ84" s="39">
        <f>IF(N('Dvd Calendar'!$L$810)=0,"",IF(('Dvd Calendar'!$L$810&gt;=GRID_FROM)*('Dvd Calendar'!$L$810&lt;=GRID_TO)*('Dvd Calendar'!$L$810&gt;VAL_DATE)=0,"",'Dvd Calendar'!$L$810*1000000000+ISNUMBER('Dvd Calendar'!$L$811)*100000000+0*10000000+(N('Dvd Calendar'!$L$809)&gt;0)*(N('Dvd Calendar'!$L$809)&lt;=VAL_SERIAL)*1000000+73*1000+48))</f>
        <v/>
      </c>
      <c r="GA84" s="39">
        <f>IF(N('Dvd Calendar'!$M$810)=0,"",IF(('Dvd Calendar'!$M$810&gt;=GRID_FROM)*('Dvd Calendar'!$M$810&lt;=GRID_TO)*('Dvd Calendar'!$M$810&gt;VAL_DATE)=0,"",'Dvd Calendar'!$M$810*1000000000+ISNUMBER('Dvd Calendar'!$M$811)*100000000+0*10000000+(N('Dvd Calendar'!$M$809)&gt;0)*(N('Dvd Calendar'!$M$809)&lt;=VAL_SERIAL)*1000000+73*1000+49))</f>
        <v/>
      </c>
      <c r="GB84" s="39">
        <f>IF(N('Dvd Calendar'!$N$810)=0,"",IF(('Dvd Calendar'!$N$810&gt;=GRID_FROM)*('Dvd Calendar'!$N$810&lt;=GRID_TO)*('Dvd Calendar'!$N$810&gt;VAL_DATE)=0,"",'Dvd Calendar'!$N$810*1000000000+ISNUMBER('Dvd Calendar'!$N$811)*100000000+0*10000000+(N('Dvd Calendar'!$N$809)&gt;0)*(N('Dvd Calendar'!$N$809)&lt;=VAL_SERIAL)*1000000+73*1000+50))</f>
        <v/>
      </c>
      <c r="GC84" s="39">
        <f>IF(N('Dvd Calendar'!$O$810)=0,"",IF(('Dvd Calendar'!$O$810&gt;=GRID_FROM)*('Dvd Calendar'!$O$810&lt;=GRID_TO)*('Dvd Calendar'!$O$810&gt;VAL_DATE)=0,"",'Dvd Calendar'!$O$810*1000000000+ISNUMBER('Dvd Calendar'!$O$811)*100000000+0*10000000+(N('Dvd Calendar'!$O$809)&gt;0)*(N('Dvd Calendar'!$O$809)&lt;=VAL_SERIAL)*1000000+73*1000+51))</f>
        <v/>
      </c>
      <c r="GD84" s="39">
        <f>IF(N('Dvd Calendar'!$P$810)=0,"",IF(('Dvd Calendar'!$P$810&gt;=GRID_FROM)*('Dvd Calendar'!$P$810&lt;=GRID_TO)*('Dvd Calendar'!$P$810&gt;VAL_DATE)=0,"",'Dvd Calendar'!$P$810*1000000000+ISNUMBER('Dvd Calendar'!$P$811)*100000000+0*10000000+(N('Dvd Calendar'!$P$809)&gt;0)*(N('Dvd Calendar'!$P$809)&lt;=VAL_SERIAL)*1000000+73*1000+52))</f>
        <v/>
      </c>
      <c r="GE84" s="39">
        <f>IF(N('Dvd Calendar'!$Q$810)=0,"",IF(('Dvd Calendar'!$Q$810&gt;=GRID_FROM)*('Dvd Calendar'!$Q$810&lt;=GRID_TO)*('Dvd Calendar'!$Q$810&gt;VAL_DATE)=0,"",'Dvd Calendar'!$Q$810*1000000000+ISNUMBER('Dvd Calendar'!$Q$811)*100000000+0*10000000+(N('Dvd Calendar'!$Q$809)&gt;0)*(N('Dvd Calendar'!$Q$809)&lt;=VAL_SERIAL)*1000000+73*1000+53))</f>
        <v/>
      </c>
      <c r="GF84" s="39">
        <f>IF(N('Dvd Calendar'!$R$810)=0,"",IF(('Dvd Calendar'!$R$810&gt;=GRID_FROM)*('Dvd Calendar'!$R$810&lt;=GRID_TO)*('Dvd Calendar'!$R$810&gt;VAL_DATE)=0,"",'Dvd Calendar'!$R$810*1000000000+ISNUMBER('Dvd Calendar'!$R$811)*100000000+0*10000000+(N('Dvd Calendar'!$R$809)&gt;0)*(N('Dvd Calendar'!$R$809)&lt;=VAL_SERIAL)*1000000+73*1000+54))</f>
        <v/>
      </c>
      <c r="GG84" s="39">
        <f>IF(N('Dvd Calendar'!$S$810)=0,"",IF(('Dvd Calendar'!$S$810&gt;=GRID_FROM)*('Dvd Calendar'!$S$810&lt;=GRID_TO)*('Dvd Calendar'!$S$810&gt;VAL_DATE)=0,"",'Dvd Calendar'!$S$810*1000000000+ISNUMBER('Dvd Calendar'!$S$811)*100000000+0*10000000+(N('Dvd Calendar'!$S$809)&gt;0)*(N('Dvd Calendar'!$S$809)&lt;=VAL_SERIAL)*1000000+73*1000+55))</f>
        <v/>
      </c>
      <c r="GH84" s="39">
        <f>IF(N('Dvd Calendar'!$T$810)=0,"",IF(('Dvd Calendar'!$T$810&gt;=GRID_FROM)*('Dvd Calendar'!$T$810&lt;=GRID_TO)*('Dvd Calendar'!$T$810&gt;VAL_DATE)=0,"",'Dvd Calendar'!$T$810*1000000000+ISNUMBER('Dvd Calendar'!$T$811)*100000000+0*10000000+(N('Dvd Calendar'!$T$809)&gt;0)*(N('Dvd Calendar'!$T$809)&lt;=VAL_SERIAL)*1000000+73*1000+56))</f>
        <v/>
      </c>
      <c r="GI84" s="39">
        <f>IF(N('Dvd Calendar'!$U$810)=0,"",IF(('Dvd Calendar'!$U$810&gt;=GRID_FROM)*('Dvd Calendar'!$U$810&lt;=GRID_TO)*('Dvd Calendar'!$U$810&gt;VAL_DATE)=0,"",'Dvd Calendar'!$U$810*1000000000+ISNUMBER('Dvd Calendar'!$U$811)*100000000+0*10000000+(N('Dvd Calendar'!$U$809)&gt;0)*(N('Dvd Calendar'!$U$809)&lt;=VAL_SERIAL)*1000000+73*1000+57))</f>
        <v/>
      </c>
      <c r="GJ84" s="39">
        <f>IF(N('Dvd Calendar'!$V$810)=0,"",IF(('Dvd Calendar'!$V$810&gt;=GRID_FROM)*('Dvd Calendar'!$V$810&lt;=GRID_TO)*('Dvd Calendar'!$V$810&gt;VAL_DATE)=0,"",'Dvd Calendar'!$V$810*1000000000+ISNUMBER('Dvd Calendar'!$V$811)*100000000+0*10000000+(N('Dvd Calendar'!$V$809)&gt;0)*(N('Dvd Calendar'!$V$809)&lt;=VAL_SERIAL)*1000000+73*1000+58))</f>
        <v/>
      </c>
      <c r="GK84" s="39">
        <f>IF(N('Dvd Calendar'!$W$810)=0,"",IF(('Dvd Calendar'!$W$810&gt;=GRID_FROM)*('Dvd Calendar'!$W$810&lt;=GRID_TO)*('Dvd Calendar'!$W$810&gt;VAL_DATE)=0,"",'Dvd Calendar'!$W$810*1000000000+ISNUMBER('Dvd Calendar'!$W$811)*100000000+0*10000000+(N('Dvd Calendar'!$W$809)&gt;0)*(N('Dvd Calendar'!$W$809)&lt;=VAL_SERIAL)*1000000+73*1000+59))</f>
        <v/>
      </c>
      <c r="GL84" s="39">
        <f>IF(N('Dvd Calendar'!$X$810)=0,"",IF(('Dvd Calendar'!$X$810&gt;=GRID_FROM)*('Dvd Calendar'!$X$810&lt;=GRID_TO)*('Dvd Calendar'!$X$810&gt;VAL_DATE)=0,"",'Dvd Calendar'!$X$810*1000000000+ISNUMBER('Dvd Calendar'!$X$811)*100000000+0*10000000+(N('Dvd Calendar'!$X$809)&gt;0)*(N('Dvd Calendar'!$X$809)&lt;=VAL_SERIAL)*1000000+73*1000+60))</f>
        <v/>
      </c>
      <c r="GM84" s="39">
        <f>IF(N('Dvd Calendar'!$Y$810)=0,"",IF(('Dvd Calendar'!$Y$810&gt;=GRID_FROM)*('Dvd Calendar'!$Y$810&lt;=GRID_TO)*('Dvd Calendar'!$Y$810&gt;VAL_DATE)=0,"",'Dvd Calendar'!$Y$810*1000000000+ISNUMBER('Dvd Calendar'!$Y$811)*100000000+0*10000000+(N('Dvd Calendar'!$Y$809)&gt;0)*(N('Dvd Calendar'!$Y$809)&lt;=VAL_SERIAL)*1000000+73*1000+61))</f>
        <v/>
      </c>
      <c r="GN84" s="39">
        <f>IF(N('Dvd Calendar'!$Z$810)=0,"",IF(('Dvd Calendar'!$Z$810&gt;=GRID_FROM)*('Dvd Calendar'!$Z$810&lt;=GRID_TO)*('Dvd Calendar'!$Z$810&gt;VAL_DATE)=0,"",'Dvd Calendar'!$Z$810*1000000000+ISNUMBER('Dvd Calendar'!$Z$811)*100000000+0*10000000+(N('Dvd Calendar'!$Z$809)&gt;0)*(N('Dvd Calendar'!$Z$809)&lt;=VAL_SERIAL)*1000000+73*1000+62))</f>
        <v/>
      </c>
      <c r="GO84" s="39">
        <f>IF(N('Dvd Calendar'!$AA$810)=0,"",IF(('Dvd Calendar'!$AA$810&gt;=GRID_FROM)*('Dvd Calendar'!$AA$810&lt;=GRID_TO)*('Dvd Calendar'!$AA$810&gt;VAL_DATE)=0,"",'Dvd Calendar'!$AA$810*1000000000+ISNUMBER('Dvd Calendar'!$AA$811)*100000000+0*10000000+(N('Dvd Calendar'!$AA$809)&gt;0)*(N('Dvd Calendar'!$AA$809)&lt;=VAL_SERIAL)*1000000+73*1000+63))</f>
        <v/>
      </c>
      <c r="GP84" s="39">
        <f>IF(N('Dvd Calendar'!$AB$810)=0,"",IF(('Dvd Calendar'!$AB$810&gt;=GRID_FROM)*('Dvd Calendar'!$AB$810&lt;=GRID_TO)*('Dvd Calendar'!$AB$810&gt;VAL_DATE)=0,"",'Dvd Calendar'!$AB$810*1000000000+ISNUMBER('Dvd Calendar'!$AB$811)*100000000+0*10000000+(N('Dvd Calendar'!$AB$809)&gt;0)*(N('Dvd Calendar'!$AB$809)&lt;=VAL_SERIAL)*1000000+73*1000+64))</f>
        <v/>
      </c>
      <c r="GQ84" s="39">
        <f>IF(N('Dvd Calendar'!$AC$810)=0,"",IF(('Dvd Calendar'!$AC$810&gt;=GRID_FROM)*('Dvd Calendar'!$AC$810&lt;=GRID_TO)*('Dvd Calendar'!$AC$810&gt;VAL_DATE)=0,"",'Dvd Calendar'!$AC$810*1000000000+ISNUMBER('Dvd Calendar'!$AC$811)*100000000+0*10000000+(N('Dvd Calendar'!$AC$809)&gt;0)*(N('Dvd Calendar'!$AC$809)&lt;=VAL_SERIAL)*1000000+73*1000+65))</f>
        <v/>
      </c>
    </row>
    <row r="85">
      <c r="B85" s="2">
        <f>IF(HSI!$C$80="","",HSI!$C$80)</f>
        <v/>
      </c>
      <c r="C85" s="110">
        <f>IF(EE85="","",IF(ISNUMBER('Dvd Calendar'!$E$817)=FALSE,"",IF((('Dvd Calendar'!$E$819=TYPE1)*(TYPE1&lt;&gt;"")+('Dvd Calendar'!$E$819=TYPE2)*(TYPE2&lt;&gt;"")+('Dvd Calendar'!$E$819=TYPE3)*(TYPE3&lt;&gt;"")+('Dvd Calendar'!$E$819=TYPE4)*(TYPE4&lt;&gt;"")+('Dvd Calendar'!$E$819=SPECIAL_LBL)*(INC_SPECIALS="Y"))=0,"",'Dvd Calendar'!$E$817)))</f>
        <v/>
      </c>
      <c r="D85" s="110">
        <f>IF(EF85="","",IF(ISNUMBER('Dvd Calendar'!$F$817)=FALSE,"",IF((('Dvd Calendar'!$F$819=TYPE1)*(TYPE1&lt;&gt;"")+('Dvd Calendar'!$F$819=TYPE2)*(TYPE2&lt;&gt;"")+('Dvd Calendar'!$F$819=TYPE3)*(TYPE3&lt;&gt;"")+('Dvd Calendar'!$F$819=TYPE4)*(TYPE4&lt;&gt;"")+('Dvd Calendar'!$F$819=SPECIAL_LBL)*(INC_SPECIALS="Y"))=0,"",'Dvd Calendar'!$F$817)))</f>
        <v/>
      </c>
      <c r="E85" s="110">
        <f>IF(EG85="","",IF(ISNUMBER('Dvd Calendar'!$G$817)=FALSE,"",IF((('Dvd Calendar'!$G$819=TYPE1)*(TYPE1&lt;&gt;"")+('Dvd Calendar'!$G$819=TYPE2)*(TYPE2&lt;&gt;"")+('Dvd Calendar'!$G$819=TYPE3)*(TYPE3&lt;&gt;"")+('Dvd Calendar'!$G$819=TYPE4)*(TYPE4&lt;&gt;"")+('Dvd Calendar'!$G$819=SPECIAL_LBL)*(INC_SPECIALS="Y"))=0,"",'Dvd Calendar'!$G$817)))</f>
        <v/>
      </c>
      <c r="F85" s="110">
        <f>IF(EH85="","",IF(ISNUMBER('Dvd Calendar'!$H$817)=FALSE,"",IF((('Dvd Calendar'!$H$819=TYPE1)*(TYPE1&lt;&gt;"")+('Dvd Calendar'!$H$819=TYPE2)*(TYPE2&lt;&gt;"")+('Dvd Calendar'!$H$819=TYPE3)*(TYPE3&lt;&gt;"")+('Dvd Calendar'!$H$819=TYPE4)*(TYPE4&lt;&gt;"")+('Dvd Calendar'!$H$819=SPECIAL_LBL)*(INC_SPECIALS="Y"))=0,"",'Dvd Calendar'!$H$817)))</f>
        <v/>
      </c>
      <c r="G85" s="110">
        <f>IF(EI85="","",IF(ISNUMBER('Dvd Calendar'!$I$817)=FALSE,"",IF((('Dvd Calendar'!$I$819=TYPE1)*(TYPE1&lt;&gt;"")+('Dvd Calendar'!$I$819=TYPE2)*(TYPE2&lt;&gt;"")+('Dvd Calendar'!$I$819=TYPE3)*(TYPE3&lt;&gt;"")+('Dvd Calendar'!$I$819=TYPE4)*(TYPE4&lt;&gt;"")+('Dvd Calendar'!$I$819=SPECIAL_LBL)*(INC_SPECIALS="Y"))=0,"",'Dvd Calendar'!$I$817)))</f>
        <v/>
      </c>
      <c r="H85" s="110">
        <f>IF(EJ85="","",IF(ISNUMBER('Dvd Calendar'!$J$817)=FALSE,"",IF((('Dvd Calendar'!$J$819=TYPE1)*(TYPE1&lt;&gt;"")+('Dvd Calendar'!$J$819=TYPE2)*(TYPE2&lt;&gt;"")+('Dvd Calendar'!$J$819=TYPE3)*(TYPE3&lt;&gt;"")+('Dvd Calendar'!$J$819=TYPE4)*(TYPE4&lt;&gt;"")+('Dvd Calendar'!$J$819=SPECIAL_LBL)*(INC_SPECIALS="Y"))=0,"",'Dvd Calendar'!$J$817)))</f>
        <v/>
      </c>
      <c r="I85" s="110">
        <f>IF(EK85="","",IF(ISNUMBER('Dvd Calendar'!$K$817)=FALSE,"",IF((('Dvd Calendar'!$K$819=TYPE1)*(TYPE1&lt;&gt;"")+('Dvd Calendar'!$K$819=TYPE2)*(TYPE2&lt;&gt;"")+('Dvd Calendar'!$K$819=TYPE3)*(TYPE3&lt;&gt;"")+('Dvd Calendar'!$K$819=TYPE4)*(TYPE4&lt;&gt;"")+('Dvd Calendar'!$K$819=SPECIAL_LBL)*(INC_SPECIALS="Y"))=0,"",'Dvd Calendar'!$K$817)))</f>
        <v/>
      </c>
      <c r="J85" s="110">
        <f>IF(EL85="","",IF(ISNUMBER('Dvd Calendar'!$L$817)=FALSE,"",IF((('Dvd Calendar'!$L$819=TYPE1)*(TYPE1&lt;&gt;"")+('Dvd Calendar'!$L$819=TYPE2)*(TYPE2&lt;&gt;"")+('Dvd Calendar'!$L$819=TYPE3)*(TYPE3&lt;&gt;"")+('Dvd Calendar'!$L$819=TYPE4)*(TYPE4&lt;&gt;"")+('Dvd Calendar'!$L$819=SPECIAL_LBL)*(INC_SPECIALS="Y"))=0,"",'Dvd Calendar'!$L$817)))</f>
        <v/>
      </c>
      <c r="K85" s="110">
        <f>IF(EM85="","",IF(ISNUMBER('Dvd Calendar'!$M$817)=FALSE,"",IF((('Dvd Calendar'!$M$819=TYPE1)*(TYPE1&lt;&gt;"")+('Dvd Calendar'!$M$819=TYPE2)*(TYPE2&lt;&gt;"")+('Dvd Calendar'!$M$819=TYPE3)*(TYPE3&lt;&gt;"")+('Dvd Calendar'!$M$819=TYPE4)*(TYPE4&lt;&gt;"")+('Dvd Calendar'!$M$819=SPECIAL_LBL)*(INC_SPECIALS="Y"))=0,"",'Dvd Calendar'!$M$817)))</f>
        <v/>
      </c>
      <c r="L85" s="110">
        <f>IF(EN85="","",IF(ISNUMBER('Dvd Calendar'!$N$817)=FALSE,"",IF((('Dvd Calendar'!$N$819=TYPE1)*(TYPE1&lt;&gt;"")+('Dvd Calendar'!$N$819=TYPE2)*(TYPE2&lt;&gt;"")+('Dvd Calendar'!$N$819=TYPE3)*(TYPE3&lt;&gt;"")+('Dvd Calendar'!$N$819=TYPE4)*(TYPE4&lt;&gt;"")+('Dvd Calendar'!$N$819=SPECIAL_LBL)*(INC_SPECIALS="Y"))=0,"",'Dvd Calendar'!$N$817)))</f>
        <v/>
      </c>
      <c r="M85" s="110">
        <f>IF(EO85="","",IF(ISNUMBER('Dvd Calendar'!$O$817)=FALSE,"",IF((('Dvd Calendar'!$O$819=TYPE1)*(TYPE1&lt;&gt;"")+('Dvd Calendar'!$O$819=TYPE2)*(TYPE2&lt;&gt;"")+('Dvd Calendar'!$O$819=TYPE3)*(TYPE3&lt;&gt;"")+('Dvd Calendar'!$O$819=TYPE4)*(TYPE4&lt;&gt;"")+('Dvd Calendar'!$O$819=SPECIAL_LBL)*(INC_SPECIALS="Y"))=0,"",'Dvd Calendar'!$O$817)))</f>
        <v/>
      </c>
      <c r="N85" s="110">
        <f>IF(EP85="","",IF(ISNUMBER('Dvd Calendar'!$P$817)=FALSE,"",IF((('Dvd Calendar'!$P$819=TYPE1)*(TYPE1&lt;&gt;"")+('Dvd Calendar'!$P$819=TYPE2)*(TYPE2&lt;&gt;"")+('Dvd Calendar'!$P$819=TYPE3)*(TYPE3&lt;&gt;"")+('Dvd Calendar'!$P$819=TYPE4)*(TYPE4&lt;&gt;"")+('Dvd Calendar'!$P$819=SPECIAL_LBL)*(INC_SPECIALS="Y"))=0,"",'Dvd Calendar'!$P$817)))</f>
        <v/>
      </c>
      <c r="O85" s="110">
        <f>IF(EQ85="","",IF(ISNUMBER('Dvd Calendar'!$Q$817)=FALSE,"",IF((('Dvd Calendar'!$Q$819=TYPE1)*(TYPE1&lt;&gt;"")+('Dvd Calendar'!$Q$819=TYPE2)*(TYPE2&lt;&gt;"")+('Dvd Calendar'!$Q$819=TYPE3)*(TYPE3&lt;&gt;"")+('Dvd Calendar'!$Q$819=TYPE4)*(TYPE4&lt;&gt;"")+('Dvd Calendar'!$Q$819=SPECIAL_LBL)*(INC_SPECIALS="Y"))=0,"",'Dvd Calendar'!$Q$817)))</f>
        <v/>
      </c>
      <c r="P85" s="110">
        <f>IF(ER85="","",IF(ISNUMBER('Dvd Calendar'!$R$817)=FALSE,"",IF((('Dvd Calendar'!$R$819=TYPE1)*(TYPE1&lt;&gt;"")+('Dvd Calendar'!$R$819=TYPE2)*(TYPE2&lt;&gt;"")+('Dvd Calendar'!$R$819=TYPE3)*(TYPE3&lt;&gt;"")+('Dvd Calendar'!$R$819=TYPE4)*(TYPE4&lt;&gt;"")+('Dvd Calendar'!$R$819=SPECIAL_LBL)*(INC_SPECIALS="Y"))=0,"",'Dvd Calendar'!$R$817)))</f>
        <v/>
      </c>
      <c r="Q85" s="110">
        <f>IF(ES85="","",IF(ISNUMBER('Dvd Calendar'!$S$817)=FALSE,"",IF((('Dvd Calendar'!$S$819=TYPE1)*(TYPE1&lt;&gt;"")+('Dvd Calendar'!$S$819=TYPE2)*(TYPE2&lt;&gt;"")+('Dvd Calendar'!$S$819=TYPE3)*(TYPE3&lt;&gt;"")+('Dvd Calendar'!$S$819=TYPE4)*(TYPE4&lt;&gt;"")+('Dvd Calendar'!$S$819=SPECIAL_LBL)*(INC_SPECIALS="Y"))=0,"",'Dvd Calendar'!$S$817)))</f>
        <v/>
      </c>
      <c r="R85" s="110">
        <f>IF(ET85="","",IF(ISNUMBER('Dvd Calendar'!$T$817)=FALSE,"",IF((('Dvd Calendar'!$T$819=TYPE1)*(TYPE1&lt;&gt;"")+('Dvd Calendar'!$T$819=TYPE2)*(TYPE2&lt;&gt;"")+('Dvd Calendar'!$T$819=TYPE3)*(TYPE3&lt;&gt;"")+('Dvd Calendar'!$T$819=TYPE4)*(TYPE4&lt;&gt;"")+('Dvd Calendar'!$T$819=SPECIAL_LBL)*(INC_SPECIALS="Y"))=0,"",'Dvd Calendar'!$T$817)))</f>
        <v/>
      </c>
      <c r="S85" s="110">
        <f>IF(EU85="","",IF(ISNUMBER('Dvd Calendar'!$U$817)=FALSE,"",IF((('Dvd Calendar'!$U$819=TYPE1)*(TYPE1&lt;&gt;"")+('Dvd Calendar'!$U$819=TYPE2)*(TYPE2&lt;&gt;"")+('Dvd Calendar'!$U$819=TYPE3)*(TYPE3&lt;&gt;"")+('Dvd Calendar'!$U$819=TYPE4)*(TYPE4&lt;&gt;"")+('Dvd Calendar'!$U$819=SPECIAL_LBL)*(INC_SPECIALS="Y"))=0,"",'Dvd Calendar'!$U$817)))</f>
        <v/>
      </c>
      <c r="T85" s="110">
        <f>IF(EV85="","",IF(ISNUMBER('Dvd Calendar'!$V$817)=FALSE,"",IF((('Dvd Calendar'!$V$819=TYPE1)*(TYPE1&lt;&gt;"")+('Dvd Calendar'!$V$819=TYPE2)*(TYPE2&lt;&gt;"")+('Dvd Calendar'!$V$819=TYPE3)*(TYPE3&lt;&gt;"")+('Dvd Calendar'!$V$819=TYPE4)*(TYPE4&lt;&gt;"")+('Dvd Calendar'!$V$819=SPECIAL_LBL)*(INC_SPECIALS="Y"))=0,"",'Dvd Calendar'!$V$817)))</f>
        <v/>
      </c>
      <c r="U85" s="110">
        <f>IF(EW85="","",IF(ISNUMBER('Dvd Calendar'!$W$817)=FALSE,"",IF((('Dvd Calendar'!$W$819=TYPE1)*(TYPE1&lt;&gt;"")+('Dvd Calendar'!$W$819=TYPE2)*(TYPE2&lt;&gt;"")+('Dvd Calendar'!$W$819=TYPE3)*(TYPE3&lt;&gt;"")+('Dvd Calendar'!$W$819=TYPE4)*(TYPE4&lt;&gt;"")+('Dvd Calendar'!$W$819=SPECIAL_LBL)*(INC_SPECIALS="Y"))=0,"",'Dvd Calendar'!$W$817)))</f>
        <v/>
      </c>
      <c r="V85" s="110">
        <f>IF(EX85="","",IF(ISNUMBER('Dvd Calendar'!$X$817)=FALSE,"",IF((('Dvd Calendar'!$X$819=TYPE1)*(TYPE1&lt;&gt;"")+('Dvd Calendar'!$X$819=TYPE2)*(TYPE2&lt;&gt;"")+('Dvd Calendar'!$X$819=TYPE3)*(TYPE3&lt;&gt;"")+('Dvd Calendar'!$X$819=TYPE4)*(TYPE4&lt;&gt;"")+('Dvd Calendar'!$X$819=SPECIAL_LBL)*(INC_SPECIALS="Y"))=0,"",'Dvd Calendar'!$X$817)))</f>
        <v/>
      </c>
      <c r="W85" s="110">
        <f>IF(EY85="","",IF(ISNUMBER('Dvd Calendar'!$Y$817)=FALSE,"",IF((('Dvd Calendar'!$Y$819=TYPE1)*(TYPE1&lt;&gt;"")+('Dvd Calendar'!$Y$819=TYPE2)*(TYPE2&lt;&gt;"")+('Dvd Calendar'!$Y$819=TYPE3)*(TYPE3&lt;&gt;"")+('Dvd Calendar'!$Y$819=TYPE4)*(TYPE4&lt;&gt;"")+('Dvd Calendar'!$Y$819=SPECIAL_LBL)*(INC_SPECIALS="Y"))=0,"",'Dvd Calendar'!$Y$817)))</f>
        <v/>
      </c>
      <c r="X85" s="110">
        <f>IF(EZ85="","",IF(ISNUMBER('Dvd Calendar'!$Z$817)=FALSE,"",IF((('Dvd Calendar'!$Z$819=TYPE1)*(TYPE1&lt;&gt;"")+('Dvd Calendar'!$Z$819=TYPE2)*(TYPE2&lt;&gt;"")+('Dvd Calendar'!$Z$819=TYPE3)*(TYPE3&lt;&gt;"")+('Dvd Calendar'!$Z$819=TYPE4)*(TYPE4&lt;&gt;"")+('Dvd Calendar'!$Z$819=SPECIAL_LBL)*(INC_SPECIALS="Y"))=0,"",'Dvd Calendar'!$Z$817)))</f>
        <v/>
      </c>
      <c r="Y85" s="110">
        <f>IF(FA85="","",IF(ISNUMBER('Dvd Calendar'!$AA$817)=FALSE,"",IF((('Dvd Calendar'!$AA$819=TYPE1)*(TYPE1&lt;&gt;"")+('Dvd Calendar'!$AA$819=TYPE2)*(TYPE2&lt;&gt;"")+('Dvd Calendar'!$AA$819=TYPE3)*(TYPE3&lt;&gt;"")+('Dvd Calendar'!$AA$819=TYPE4)*(TYPE4&lt;&gt;"")+('Dvd Calendar'!$AA$819=SPECIAL_LBL)*(INC_SPECIALS="Y"))=0,"",'Dvd Calendar'!$AA$817)))</f>
        <v/>
      </c>
      <c r="Z85" s="110">
        <f>IF(FB85="","",IF(ISNUMBER('Dvd Calendar'!$AB$817)=FALSE,"",IF((('Dvd Calendar'!$AB$819=TYPE1)*(TYPE1&lt;&gt;"")+('Dvd Calendar'!$AB$819=TYPE2)*(TYPE2&lt;&gt;"")+('Dvd Calendar'!$AB$819=TYPE3)*(TYPE3&lt;&gt;"")+('Dvd Calendar'!$AB$819=TYPE4)*(TYPE4&lt;&gt;"")+('Dvd Calendar'!$AB$819=SPECIAL_LBL)*(INC_SPECIALS="Y"))=0,"",'Dvd Calendar'!$AB$817)))</f>
        <v/>
      </c>
      <c r="AA85" s="110">
        <f>IF(FC85="","",IF(ISNUMBER('Dvd Calendar'!$AC$817)=FALSE,"",IF((('Dvd Calendar'!$AC$819=TYPE1)*(TYPE1&lt;&gt;"")+('Dvd Calendar'!$AC$819=TYPE2)*(TYPE2&lt;&gt;"")+('Dvd Calendar'!$AC$819=TYPE3)*(TYPE3&lt;&gt;"")+('Dvd Calendar'!$AC$819=TYPE4)*(TYPE4&lt;&gt;"")+('Dvd Calendar'!$AC$819=SPECIAL_LBL)*(INC_SPECIALS="Y"))=0,"",'Dvd Calendar'!$AC$817)))</f>
        <v/>
      </c>
      <c r="AB85" s="110">
        <f>IF(FD85="","",IF(ISNUMBER('Dvd Calendar'!$AD$817)=FALSE,"",IF((('Dvd Calendar'!$AD$819=TYPE1)*(TYPE1&lt;&gt;"")+('Dvd Calendar'!$AD$819=TYPE2)*(TYPE2&lt;&gt;"")+('Dvd Calendar'!$AD$819=TYPE3)*(TYPE3&lt;&gt;"")+('Dvd Calendar'!$AD$819=TYPE4)*(TYPE4&lt;&gt;"")+('Dvd Calendar'!$AD$819=SPECIAL_LBL)*(INC_SPECIALS="Y"))=0,"",'Dvd Calendar'!$AD$817)))</f>
        <v/>
      </c>
      <c r="AC85" s="110">
        <f>IF(FE85="","",IF(ISNUMBER('Dvd Calendar'!$AE$817)=FALSE,"",IF((('Dvd Calendar'!$AE$819=TYPE1)*(TYPE1&lt;&gt;"")+('Dvd Calendar'!$AE$819=TYPE2)*(TYPE2&lt;&gt;"")+('Dvd Calendar'!$AE$819=TYPE3)*(TYPE3&lt;&gt;"")+('Dvd Calendar'!$AE$819=TYPE4)*(TYPE4&lt;&gt;"")+('Dvd Calendar'!$AE$819=SPECIAL_LBL)*(INC_SPECIALS="Y"))=0,"",'Dvd Calendar'!$AE$817)))</f>
        <v/>
      </c>
      <c r="AD85" s="110">
        <f>IF(FF85="","",IF(ISNUMBER('Dvd Calendar'!$AF$817)=FALSE,"",IF((('Dvd Calendar'!$AF$819=TYPE1)*(TYPE1&lt;&gt;"")+('Dvd Calendar'!$AF$819=TYPE2)*(TYPE2&lt;&gt;"")+('Dvd Calendar'!$AF$819=TYPE3)*(TYPE3&lt;&gt;"")+('Dvd Calendar'!$AF$819=TYPE4)*(TYPE4&lt;&gt;"")+('Dvd Calendar'!$AF$819=SPECIAL_LBL)*(INC_SPECIALS="Y"))=0,"",'Dvd Calendar'!$AF$817)))</f>
        <v/>
      </c>
      <c r="AE85" s="110">
        <f>IF(FG85="","",IF(ISNUMBER('Dvd Calendar'!$AG$817)=FALSE,"",IF((('Dvd Calendar'!$AG$819=TYPE1)*(TYPE1&lt;&gt;"")+('Dvd Calendar'!$AG$819=TYPE2)*(TYPE2&lt;&gt;"")+('Dvd Calendar'!$AG$819=TYPE3)*(TYPE3&lt;&gt;"")+('Dvd Calendar'!$AG$819=TYPE4)*(TYPE4&lt;&gt;"")+('Dvd Calendar'!$AG$819=SPECIAL_LBL)*(INC_SPECIALS="Y"))=0,"",'Dvd Calendar'!$AG$817)))</f>
        <v/>
      </c>
      <c r="AF85" s="110">
        <f>IF(FH85="","",IF(ISNUMBER('Dvd Calendar'!$AH$817)=FALSE,"",IF((('Dvd Calendar'!$AH$819=TYPE1)*(TYPE1&lt;&gt;"")+('Dvd Calendar'!$AH$819=TYPE2)*(TYPE2&lt;&gt;"")+('Dvd Calendar'!$AH$819=TYPE3)*(TYPE3&lt;&gt;"")+('Dvd Calendar'!$AH$819=TYPE4)*(TYPE4&lt;&gt;"")+('Dvd Calendar'!$AH$819=SPECIAL_LBL)*(INC_SPECIALS="Y"))=0,"",'Dvd Calendar'!$AH$817)))</f>
        <v/>
      </c>
      <c r="AG85" s="110">
        <f>IF(FI85="","",IF(ISNUMBER('Dvd Calendar'!$AI$817)=FALSE,"",IF((('Dvd Calendar'!$AI$819=TYPE1)*(TYPE1&lt;&gt;"")+('Dvd Calendar'!$AI$819=TYPE2)*(TYPE2&lt;&gt;"")+('Dvd Calendar'!$AI$819=TYPE3)*(TYPE3&lt;&gt;"")+('Dvd Calendar'!$AI$819=TYPE4)*(TYPE4&lt;&gt;"")+('Dvd Calendar'!$AI$819=SPECIAL_LBL)*(INC_SPECIALS="Y"))=0,"",'Dvd Calendar'!$AI$817)))</f>
        <v/>
      </c>
      <c r="AH85" s="110">
        <f>IF(FJ85="","",IF(ISNUMBER('Dvd Calendar'!$AJ$817)=FALSE,"",IF((('Dvd Calendar'!$AJ$819=TYPE1)*(TYPE1&lt;&gt;"")+('Dvd Calendar'!$AJ$819=TYPE2)*(TYPE2&lt;&gt;"")+('Dvd Calendar'!$AJ$819=TYPE3)*(TYPE3&lt;&gt;"")+('Dvd Calendar'!$AJ$819=TYPE4)*(TYPE4&lt;&gt;"")+('Dvd Calendar'!$AJ$819=SPECIAL_LBL)*(INC_SPECIALS="Y"))=0,"",'Dvd Calendar'!$AJ$817)))</f>
        <v/>
      </c>
      <c r="AI85" s="110">
        <f>IF(FK85="","",IF(ISNUMBER('Dvd Calendar'!$AK$817)=FALSE,"",IF((('Dvd Calendar'!$AK$819=TYPE1)*(TYPE1&lt;&gt;"")+('Dvd Calendar'!$AK$819=TYPE2)*(TYPE2&lt;&gt;"")+('Dvd Calendar'!$AK$819=TYPE3)*(TYPE3&lt;&gt;"")+('Dvd Calendar'!$AK$819=TYPE4)*(TYPE4&lt;&gt;"")+('Dvd Calendar'!$AK$819=SPECIAL_LBL)*(INC_SPECIALS="Y"))=0,"",'Dvd Calendar'!$AK$817)))</f>
        <v/>
      </c>
      <c r="AJ85" s="110">
        <f>IF(FL85="","",IF(ISNUMBER('Dvd Calendar'!$AL$817)=FALSE,"",IF((('Dvd Calendar'!$AL$819=TYPE1)*(TYPE1&lt;&gt;"")+('Dvd Calendar'!$AL$819=TYPE2)*(TYPE2&lt;&gt;"")+('Dvd Calendar'!$AL$819=TYPE3)*(TYPE3&lt;&gt;"")+('Dvd Calendar'!$AL$819=TYPE4)*(TYPE4&lt;&gt;"")+('Dvd Calendar'!$AL$819=SPECIAL_LBL)*(INC_SPECIALS="Y"))=0,"",'Dvd Calendar'!$AL$817)))</f>
        <v/>
      </c>
      <c r="AK85" s="110">
        <f>IF(FM85="","",IF(ISNUMBER('Dvd Calendar'!$AM$817)=FALSE,"",IF((('Dvd Calendar'!$AM$819=TYPE1)*(TYPE1&lt;&gt;"")+('Dvd Calendar'!$AM$819=TYPE2)*(TYPE2&lt;&gt;"")+('Dvd Calendar'!$AM$819=TYPE3)*(TYPE3&lt;&gt;"")+('Dvd Calendar'!$AM$819=TYPE4)*(TYPE4&lt;&gt;"")+('Dvd Calendar'!$AM$819=SPECIAL_LBL)*(INC_SPECIALS="Y"))=0,"",'Dvd Calendar'!$AM$817)))</f>
        <v/>
      </c>
      <c r="AL85" s="110">
        <f>IF(FN85="","",IF(ISNUMBER('Dvd Calendar'!$AN$817)=FALSE,"",IF((('Dvd Calendar'!$AN$819=TYPE1)*(TYPE1&lt;&gt;"")+('Dvd Calendar'!$AN$819=TYPE2)*(TYPE2&lt;&gt;"")+('Dvd Calendar'!$AN$819=TYPE3)*(TYPE3&lt;&gt;"")+('Dvd Calendar'!$AN$819=TYPE4)*(TYPE4&lt;&gt;"")+('Dvd Calendar'!$AN$819=SPECIAL_LBL)*(INC_SPECIALS="Y"))=0,"",'Dvd Calendar'!$AN$817)))</f>
        <v/>
      </c>
      <c r="AM85" s="110">
        <f>IF(FO85="","",IF(ISNUMBER('Dvd Calendar'!$AO$817)=FALSE,"",IF((('Dvd Calendar'!$AO$819=TYPE1)*(TYPE1&lt;&gt;"")+('Dvd Calendar'!$AO$819=TYPE2)*(TYPE2&lt;&gt;"")+('Dvd Calendar'!$AO$819=TYPE3)*(TYPE3&lt;&gt;"")+('Dvd Calendar'!$AO$819=TYPE4)*(TYPE4&lt;&gt;"")+('Dvd Calendar'!$AO$819=SPECIAL_LBL)*(INC_SPECIALS="Y"))=0,"",'Dvd Calendar'!$AO$817)))</f>
        <v/>
      </c>
      <c r="AN85" s="110">
        <f>IF(FP85="","",IF(ISNUMBER('Dvd Calendar'!$AP$817)=FALSE,"",IF((('Dvd Calendar'!$AP$819=TYPE1)*(TYPE1&lt;&gt;"")+('Dvd Calendar'!$AP$819=TYPE2)*(TYPE2&lt;&gt;"")+('Dvd Calendar'!$AP$819=TYPE3)*(TYPE3&lt;&gt;"")+('Dvd Calendar'!$AP$819=TYPE4)*(TYPE4&lt;&gt;"")+('Dvd Calendar'!$AP$819=SPECIAL_LBL)*(INC_SPECIALS="Y"))=0,"",'Dvd Calendar'!$AP$817)))</f>
        <v/>
      </c>
      <c r="AO85" s="110">
        <f>IF(FQ85="","",IF(ISNUMBER('Dvd Calendar'!$AQ$817)=FALSE,"",IF((('Dvd Calendar'!$AQ$819=TYPE1)*(TYPE1&lt;&gt;"")+('Dvd Calendar'!$AQ$819=TYPE2)*(TYPE2&lt;&gt;"")+('Dvd Calendar'!$AQ$819=TYPE3)*(TYPE3&lt;&gt;"")+('Dvd Calendar'!$AQ$819=TYPE4)*(TYPE4&lt;&gt;"")+('Dvd Calendar'!$AQ$819=SPECIAL_LBL)*(INC_SPECIALS="Y"))=0,"",'Dvd Calendar'!$AQ$817)))</f>
        <v/>
      </c>
      <c r="AP85" s="110">
        <f>IF(FR85="","",IF(ISNUMBER('Dvd Calendar'!$AR$817)=FALSE,"",IF((('Dvd Calendar'!$AR$819=TYPE1)*(TYPE1&lt;&gt;"")+('Dvd Calendar'!$AR$819=TYPE2)*(TYPE2&lt;&gt;"")+('Dvd Calendar'!$AR$819=TYPE3)*(TYPE3&lt;&gt;"")+('Dvd Calendar'!$AR$819=TYPE4)*(TYPE4&lt;&gt;"")+('Dvd Calendar'!$AR$819=SPECIAL_LBL)*(INC_SPECIALS="Y"))=0,"",'Dvd Calendar'!$AR$817)))</f>
        <v/>
      </c>
      <c r="AQ85" s="110">
        <f>IF(FS85="","",IF(ISNUMBER('Dvd Calendar'!$E$822)=FALSE,"",'Dvd Calendar'!$E$822))</f>
        <v/>
      </c>
      <c r="AR85" s="110">
        <f>IF(FT85="","",IF(ISNUMBER('Dvd Calendar'!$F$822)=FALSE,"",'Dvd Calendar'!$F$822))</f>
        <v/>
      </c>
      <c r="AS85" s="110">
        <f>IF(FU85="","",IF(ISNUMBER('Dvd Calendar'!$G$822)=FALSE,"",'Dvd Calendar'!$G$822))</f>
        <v/>
      </c>
      <c r="AT85" s="110">
        <f>IF(FV85="","",IF(ISNUMBER('Dvd Calendar'!$H$822)=FALSE,"",'Dvd Calendar'!$H$822))</f>
        <v/>
      </c>
      <c r="AU85" s="110">
        <f>IF(FW85="","",IF(ISNUMBER('Dvd Calendar'!$I$822)=FALSE,"",'Dvd Calendar'!$I$822))</f>
        <v/>
      </c>
      <c r="AV85" s="110">
        <f>IF(FX85="","",IF(ISNUMBER('Dvd Calendar'!$J$822)=FALSE,"",'Dvd Calendar'!$J$822))</f>
        <v/>
      </c>
      <c r="AW85" s="110">
        <f>IF(FY85="","",IF(ISNUMBER('Dvd Calendar'!$K$822)=FALSE,"",'Dvd Calendar'!$K$822))</f>
        <v/>
      </c>
      <c r="AX85" s="110">
        <f>IF(FZ85="","",IF(ISNUMBER('Dvd Calendar'!$L$822)=FALSE,"",'Dvd Calendar'!$L$822))</f>
        <v/>
      </c>
      <c r="AY85" s="110">
        <f>IF(GA85="","",IF(ISNUMBER('Dvd Calendar'!$M$822)=FALSE,"",'Dvd Calendar'!$M$822))</f>
        <v/>
      </c>
      <c r="AZ85" s="110">
        <f>IF(GB85="","",IF(ISNUMBER('Dvd Calendar'!$N$822)=FALSE,"",'Dvd Calendar'!$N$822))</f>
        <v/>
      </c>
      <c r="BA85" s="110">
        <f>IF(GC85="","",IF(ISNUMBER('Dvd Calendar'!$O$822)=FALSE,"",'Dvd Calendar'!$O$822))</f>
        <v/>
      </c>
      <c r="BB85" s="110">
        <f>IF(GD85="","",IF(ISNUMBER('Dvd Calendar'!$P$822)=FALSE,"",'Dvd Calendar'!$P$822))</f>
        <v/>
      </c>
      <c r="BC85" s="110">
        <f>IF(GE85="","",IF(ISNUMBER('Dvd Calendar'!$Q$822)=FALSE,"",'Dvd Calendar'!$Q$822))</f>
        <v/>
      </c>
      <c r="BD85" s="110">
        <f>IF(GF85="","",IF(ISNUMBER('Dvd Calendar'!$R$822)=FALSE,"",'Dvd Calendar'!$R$822))</f>
        <v/>
      </c>
      <c r="BE85" s="110">
        <f>IF(GG85="","",IF(ISNUMBER('Dvd Calendar'!$S$822)=FALSE,"",'Dvd Calendar'!$S$822))</f>
        <v/>
      </c>
      <c r="BF85" s="110">
        <f>IF(GH85="","",IF(ISNUMBER('Dvd Calendar'!$T$822)=FALSE,"",'Dvd Calendar'!$T$822))</f>
        <v/>
      </c>
      <c r="BG85" s="110">
        <f>IF(GI85="","",IF(ISNUMBER('Dvd Calendar'!$U$822)=FALSE,"",'Dvd Calendar'!$U$822))</f>
        <v/>
      </c>
      <c r="BH85" s="110">
        <f>IF(GJ85="","",IF(ISNUMBER('Dvd Calendar'!$V$822)=FALSE,"",'Dvd Calendar'!$V$822))</f>
        <v/>
      </c>
      <c r="BI85" s="110">
        <f>IF(GK85="","",IF(ISNUMBER('Dvd Calendar'!$W$822)=FALSE,"",'Dvd Calendar'!$W$822))</f>
        <v/>
      </c>
      <c r="BJ85" s="110">
        <f>IF(GL85="","",IF(ISNUMBER('Dvd Calendar'!$X$822)=FALSE,"",'Dvd Calendar'!$X$822))</f>
        <v/>
      </c>
      <c r="BK85" s="110">
        <f>IF(GM85="","",IF(ISNUMBER('Dvd Calendar'!$Y$822)=FALSE,"",'Dvd Calendar'!$Y$822))</f>
        <v/>
      </c>
      <c r="BL85" s="110">
        <f>IF(GN85="","",IF(ISNUMBER('Dvd Calendar'!$Z$822)=FALSE,"",'Dvd Calendar'!$Z$822))</f>
        <v/>
      </c>
      <c r="BM85" s="110">
        <f>IF(GO85="","",IF(ISNUMBER('Dvd Calendar'!$AA$822)=FALSE,"",'Dvd Calendar'!$AA$822))</f>
        <v/>
      </c>
      <c r="BN85" s="110">
        <f>IF(GP85="","",IF(ISNUMBER('Dvd Calendar'!$AB$822)=FALSE,"",'Dvd Calendar'!$AB$822))</f>
        <v/>
      </c>
      <c r="BO85" s="110">
        <f>IF(GQ85="","",IF(ISNUMBER('Dvd Calendar'!$AC$822)=FALSE,"",'Dvd Calendar'!$AC$822))</f>
        <v/>
      </c>
      <c r="BQ85" s="110">
        <f>IF(C85="","",IFERROR(C85*HSI!$B$80*HSI!$G$80/HSI!$B$3,""))</f>
        <v/>
      </c>
      <c r="BR85" s="110">
        <f>IF(D85="","",IFERROR(D85*HSI!$B$80*HSI!$G$80/HSI!$B$3,""))</f>
        <v/>
      </c>
      <c r="BS85" s="110">
        <f>IF(E85="","",IFERROR(E85*HSI!$B$80*HSI!$G$80/HSI!$B$3,""))</f>
        <v/>
      </c>
      <c r="BT85" s="110">
        <f>IF(F85="","",IFERROR(F85*HSI!$B$80*HSI!$G$80/HSI!$B$3,""))</f>
        <v/>
      </c>
      <c r="BU85" s="110">
        <f>IF(G85="","",IFERROR(G85*HSI!$B$80*HSI!$G$80/HSI!$B$3,""))</f>
        <v/>
      </c>
      <c r="BV85" s="110">
        <f>IF(H85="","",IFERROR(H85*HSI!$B$80*HSI!$G$80/HSI!$B$3,""))</f>
        <v/>
      </c>
      <c r="BW85" s="110">
        <f>IF(I85="","",IFERROR(I85*HSI!$B$80*HSI!$G$80/HSI!$B$3,""))</f>
        <v/>
      </c>
      <c r="BX85" s="110">
        <f>IF(J85="","",IFERROR(J85*HSI!$B$80*HSI!$G$80/HSI!$B$3,""))</f>
        <v/>
      </c>
      <c r="BY85" s="110">
        <f>IF(K85="","",IFERROR(K85*HSI!$B$80*HSI!$G$80/HSI!$B$3,""))</f>
        <v/>
      </c>
      <c r="BZ85" s="110">
        <f>IF(L85="","",IFERROR(L85*HSI!$B$80*HSI!$G$80/HSI!$B$3,""))</f>
        <v/>
      </c>
      <c r="CA85" s="110">
        <f>IF(M85="","",IFERROR(M85*HSI!$B$80*HSI!$G$80/HSI!$B$3,""))</f>
        <v/>
      </c>
      <c r="CB85" s="110">
        <f>IF(N85="","",IFERROR(N85*HSI!$B$80*HSI!$G$80/HSI!$B$3,""))</f>
        <v/>
      </c>
      <c r="CC85" s="110">
        <f>IF(O85="","",IFERROR(O85*HSI!$B$80*HSI!$G$80/HSI!$B$3,""))</f>
        <v/>
      </c>
      <c r="CD85" s="110">
        <f>IF(P85="","",IFERROR(P85*HSI!$B$80*HSI!$G$80/HSI!$B$3,""))</f>
        <v/>
      </c>
      <c r="CE85" s="110">
        <f>IF(Q85="","",IFERROR(Q85*HSI!$B$80*HSI!$G$80/HSI!$B$3,""))</f>
        <v/>
      </c>
      <c r="CF85" s="110">
        <f>IF(R85="","",IFERROR(R85*HSI!$B$80*HSI!$G$80/HSI!$B$3,""))</f>
        <v/>
      </c>
      <c r="CG85" s="110">
        <f>IF(S85="","",IFERROR(S85*HSI!$B$80*HSI!$G$80/HSI!$B$3,""))</f>
        <v/>
      </c>
      <c r="CH85" s="110">
        <f>IF(T85="","",IFERROR(T85*HSI!$B$80*HSI!$G$80/HSI!$B$3,""))</f>
        <v/>
      </c>
      <c r="CI85" s="110">
        <f>IF(U85="","",IFERROR(U85*HSI!$B$80*HSI!$G$80/HSI!$B$3,""))</f>
        <v/>
      </c>
      <c r="CJ85" s="110">
        <f>IF(V85="","",IFERROR(V85*HSI!$B$80*HSI!$G$80/HSI!$B$3,""))</f>
        <v/>
      </c>
      <c r="CK85" s="110">
        <f>IF(W85="","",IFERROR(W85*HSI!$B$80*HSI!$G$80/HSI!$B$3,""))</f>
        <v/>
      </c>
      <c r="CL85" s="110">
        <f>IF(X85="","",IFERROR(X85*HSI!$B$80*HSI!$G$80/HSI!$B$3,""))</f>
        <v/>
      </c>
      <c r="CM85" s="110">
        <f>IF(Y85="","",IFERROR(Y85*HSI!$B$80*HSI!$G$80/HSI!$B$3,""))</f>
        <v/>
      </c>
      <c r="CN85" s="110">
        <f>IF(Z85="","",IFERROR(Z85*HSI!$B$80*HSI!$G$80/HSI!$B$3,""))</f>
        <v/>
      </c>
      <c r="CO85" s="110">
        <f>IF(AA85="","",IFERROR(AA85*HSI!$B$80*HSI!$G$80/HSI!$B$3,""))</f>
        <v/>
      </c>
      <c r="CP85" s="110">
        <f>IF(AB85="","",IFERROR(AB85*HSI!$B$80*HSI!$G$80/HSI!$B$3,""))</f>
        <v/>
      </c>
      <c r="CQ85" s="110">
        <f>IF(AC85="","",IFERROR(AC85*HSI!$B$80*HSI!$G$80/HSI!$B$3,""))</f>
        <v/>
      </c>
      <c r="CR85" s="110">
        <f>IF(AD85="","",IFERROR(AD85*HSI!$B$80*HSI!$G$80/HSI!$B$3,""))</f>
        <v/>
      </c>
      <c r="CS85" s="110">
        <f>IF(AE85="","",IFERROR(AE85*HSI!$B$80*HSI!$G$80/HSI!$B$3,""))</f>
        <v/>
      </c>
      <c r="CT85" s="110">
        <f>IF(AF85="","",IFERROR(AF85*HSI!$B$80*HSI!$G$80/HSI!$B$3,""))</f>
        <v/>
      </c>
      <c r="CU85" s="110">
        <f>IF(AG85="","",IFERROR(AG85*HSI!$B$80*HSI!$G$80/HSI!$B$3,""))</f>
        <v/>
      </c>
      <c r="CV85" s="110">
        <f>IF(AH85="","",IFERROR(AH85*HSI!$B$80*HSI!$G$80/HSI!$B$3,""))</f>
        <v/>
      </c>
      <c r="CW85" s="110">
        <f>IF(AI85="","",IFERROR(AI85*HSI!$B$80*HSI!$G$80/HSI!$B$3,""))</f>
        <v/>
      </c>
      <c r="CX85" s="110">
        <f>IF(AJ85="","",IFERROR(AJ85*HSI!$B$80*HSI!$G$80/HSI!$B$3,""))</f>
        <v/>
      </c>
      <c r="CY85" s="110">
        <f>IF(AK85="","",IFERROR(AK85*HSI!$B$80*HSI!$G$80/HSI!$B$3,""))</f>
        <v/>
      </c>
      <c r="CZ85" s="110">
        <f>IF(AL85="","",IFERROR(AL85*HSI!$B$80*HSI!$G$80/HSI!$B$3,""))</f>
        <v/>
      </c>
      <c r="DA85" s="110">
        <f>IF(AM85="","",IFERROR(AM85*HSI!$B$80*HSI!$G$80/HSI!$B$3,""))</f>
        <v/>
      </c>
      <c r="DB85" s="110">
        <f>IF(AN85="","",IFERROR(AN85*HSI!$B$80*HSI!$G$80/HSI!$B$3,""))</f>
        <v/>
      </c>
      <c r="DC85" s="110">
        <f>IF(AO85="","",IFERROR(AO85*HSI!$B$80*HSI!$G$80/HSI!$B$3,""))</f>
        <v/>
      </c>
      <c r="DD85" s="110">
        <f>IF(AP85="","",IFERROR(AP85*HSI!$B$80*HSI!$G$80/HSI!$B$3,""))</f>
        <v/>
      </c>
      <c r="DE85" s="110">
        <f>IF(AQ85="","",IFERROR(AQ85*HSI!$B$80*HSI!$G$80/HSI!$B$3,""))</f>
        <v/>
      </c>
      <c r="DF85" s="110">
        <f>IF(AR85="","",IFERROR(AR85*HSI!$B$80*HSI!$G$80/HSI!$B$3,""))</f>
        <v/>
      </c>
      <c r="DG85" s="110">
        <f>IF(AS85="","",IFERROR(AS85*HSI!$B$80*HSI!$G$80/HSI!$B$3,""))</f>
        <v/>
      </c>
      <c r="DH85" s="110">
        <f>IF(AT85="","",IFERROR(AT85*HSI!$B$80*HSI!$G$80/HSI!$B$3,""))</f>
        <v/>
      </c>
      <c r="DI85" s="110">
        <f>IF(AU85="","",IFERROR(AU85*HSI!$B$80*HSI!$G$80/HSI!$B$3,""))</f>
        <v/>
      </c>
      <c r="DJ85" s="110">
        <f>IF(AV85="","",IFERROR(AV85*HSI!$B$80*HSI!$G$80/HSI!$B$3,""))</f>
        <v/>
      </c>
      <c r="DK85" s="110">
        <f>IF(AW85="","",IFERROR(AW85*HSI!$B$80*HSI!$G$80/HSI!$B$3,""))</f>
        <v/>
      </c>
      <c r="DL85" s="110">
        <f>IF(AX85="","",IFERROR(AX85*HSI!$B$80*HSI!$G$80/HSI!$B$3,""))</f>
        <v/>
      </c>
      <c r="DM85" s="110">
        <f>IF(AY85="","",IFERROR(AY85*HSI!$B$80*HSI!$G$80/HSI!$B$3,""))</f>
        <v/>
      </c>
      <c r="DN85" s="110">
        <f>IF(AZ85="","",IFERROR(AZ85*HSI!$B$80*HSI!$G$80/HSI!$B$3,""))</f>
        <v/>
      </c>
      <c r="DO85" s="110">
        <f>IF(BA85="","",IFERROR(BA85*HSI!$B$80*HSI!$G$80/HSI!$B$3,""))</f>
        <v/>
      </c>
      <c r="DP85" s="110">
        <f>IF(BB85="","",IFERROR(BB85*HSI!$B$80*HSI!$G$80/HSI!$B$3,""))</f>
        <v/>
      </c>
      <c r="DQ85" s="110">
        <f>IF(BC85="","",IFERROR(BC85*HSI!$B$80*HSI!$G$80/HSI!$B$3,""))</f>
        <v/>
      </c>
      <c r="DR85" s="110">
        <f>IF(BD85="","",IFERROR(BD85*HSI!$B$80*HSI!$G$80/HSI!$B$3,""))</f>
        <v/>
      </c>
      <c r="DS85" s="110">
        <f>IF(BE85="","",IFERROR(BE85*HSI!$B$80*HSI!$G$80/HSI!$B$3,""))</f>
        <v/>
      </c>
      <c r="DT85" s="110">
        <f>IF(BF85="","",IFERROR(BF85*HSI!$B$80*HSI!$G$80/HSI!$B$3,""))</f>
        <v/>
      </c>
      <c r="DU85" s="110">
        <f>IF(BG85="","",IFERROR(BG85*HSI!$B$80*HSI!$G$80/HSI!$B$3,""))</f>
        <v/>
      </c>
      <c r="DV85" s="110">
        <f>IF(BH85="","",IFERROR(BH85*HSI!$B$80*HSI!$G$80/HSI!$B$3,""))</f>
        <v/>
      </c>
      <c r="DW85" s="110">
        <f>IF(BI85="","",IFERROR(BI85*HSI!$B$80*HSI!$G$80/HSI!$B$3,""))</f>
        <v/>
      </c>
      <c r="DX85" s="110">
        <f>IF(BJ85="","",IFERROR(BJ85*HSI!$B$80*HSI!$G$80/HSI!$B$3,""))</f>
        <v/>
      </c>
      <c r="DY85" s="110">
        <f>IF(BK85="","",IFERROR(BK85*HSI!$B$80*HSI!$G$80/HSI!$B$3,""))</f>
        <v/>
      </c>
      <c r="DZ85" s="110">
        <f>IF(BL85="","",IFERROR(BL85*HSI!$B$80*HSI!$G$80/HSI!$B$3,""))</f>
        <v/>
      </c>
      <c r="EA85" s="110">
        <f>IF(BM85="","",IFERROR(BM85*HSI!$B$80*HSI!$G$80/HSI!$B$3,""))</f>
        <v/>
      </c>
      <c r="EB85" s="110">
        <f>IF(BN85="","",IFERROR(BN85*HSI!$B$80*HSI!$G$80/HSI!$B$3,""))</f>
        <v/>
      </c>
      <c r="EC85" s="110">
        <f>IF(BO85="","",IFERROR(BO85*HSI!$B$80*HSI!$G$80/HSI!$B$3,""))</f>
        <v/>
      </c>
      <c r="EE85" s="39">
        <f>IF(N('Dvd Calendar'!$E$814)=0,"",IF(('Dvd Calendar'!$E$814&gt;=GRID_FROM)*('Dvd Calendar'!$E$814&lt;=GRID_TO)*((('Dvd Calendar'!$E$814&lt;=VAL_DATE)+(COUNTIF('Dvd Calendar'!$E$821:$AR$821,'Dvd Calendar'!$E$814)=0))&gt;0)=0,"",'Dvd Calendar'!$E$814*1000000000+ISNUMBER('Dvd Calendar'!$E$817)*100000000+('Dvd Calendar'!$E$819=SPECIAL_LBL)*10000000+(N('Dvd Calendar'!$E$813)&gt;0)*(N('Dvd Calendar'!$E$813)&lt;=VAL_SERIAL)*1000000+74*1000+1))</f>
        <v/>
      </c>
      <c r="EF85" s="39">
        <f>IF(N('Dvd Calendar'!$F$814)=0,"",IF(('Dvd Calendar'!$F$814&gt;=GRID_FROM)*('Dvd Calendar'!$F$814&lt;=GRID_TO)*((('Dvd Calendar'!$F$814&lt;=VAL_DATE)+(COUNTIF('Dvd Calendar'!$E$821:$AR$821,'Dvd Calendar'!$F$814)=0))&gt;0)=0,"",'Dvd Calendar'!$F$814*1000000000+ISNUMBER('Dvd Calendar'!$F$817)*100000000+('Dvd Calendar'!$F$819=SPECIAL_LBL)*10000000+(N('Dvd Calendar'!$F$813)&gt;0)*(N('Dvd Calendar'!$F$813)&lt;=VAL_SERIAL)*1000000+74*1000+2))</f>
        <v/>
      </c>
      <c r="EG85" s="39">
        <f>IF(N('Dvd Calendar'!$G$814)=0,"",IF(('Dvd Calendar'!$G$814&gt;=GRID_FROM)*('Dvd Calendar'!$G$814&lt;=GRID_TO)*((('Dvd Calendar'!$G$814&lt;=VAL_DATE)+(COUNTIF('Dvd Calendar'!$E$821:$AR$821,'Dvd Calendar'!$G$814)=0))&gt;0)=0,"",'Dvd Calendar'!$G$814*1000000000+ISNUMBER('Dvd Calendar'!$G$817)*100000000+('Dvd Calendar'!$G$819=SPECIAL_LBL)*10000000+(N('Dvd Calendar'!$G$813)&gt;0)*(N('Dvd Calendar'!$G$813)&lt;=VAL_SERIAL)*1000000+74*1000+3))</f>
        <v/>
      </c>
      <c r="EH85" s="39">
        <f>IF(N('Dvd Calendar'!$H$814)=0,"",IF(('Dvd Calendar'!$H$814&gt;=GRID_FROM)*('Dvd Calendar'!$H$814&lt;=GRID_TO)*((('Dvd Calendar'!$H$814&lt;=VAL_DATE)+(COUNTIF('Dvd Calendar'!$E$821:$AR$821,'Dvd Calendar'!$H$814)=0))&gt;0)=0,"",'Dvd Calendar'!$H$814*1000000000+ISNUMBER('Dvd Calendar'!$H$817)*100000000+('Dvd Calendar'!$H$819=SPECIAL_LBL)*10000000+(N('Dvd Calendar'!$H$813)&gt;0)*(N('Dvd Calendar'!$H$813)&lt;=VAL_SERIAL)*1000000+74*1000+4))</f>
        <v/>
      </c>
      <c r="EI85" s="39">
        <f>IF(N('Dvd Calendar'!$I$814)=0,"",IF(('Dvd Calendar'!$I$814&gt;=GRID_FROM)*('Dvd Calendar'!$I$814&lt;=GRID_TO)*((('Dvd Calendar'!$I$814&lt;=VAL_DATE)+(COUNTIF('Dvd Calendar'!$E$821:$AR$821,'Dvd Calendar'!$I$814)=0))&gt;0)=0,"",'Dvd Calendar'!$I$814*1000000000+ISNUMBER('Dvd Calendar'!$I$817)*100000000+('Dvd Calendar'!$I$819=SPECIAL_LBL)*10000000+(N('Dvd Calendar'!$I$813)&gt;0)*(N('Dvd Calendar'!$I$813)&lt;=VAL_SERIAL)*1000000+74*1000+5))</f>
        <v/>
      </c>
      <c r="EJ85" s="39">
        <f>IF(N('Dvd Calendar'!$J$814)=0,"",IF(('Dvd Calendar'!$J$814&gt;=GRID_FROM)*('Dvd Calendar'!$J$814&lt;=GRID_TO)*((('Dvd Calendar'!$J$814&lt;=VAL_DATE)+(COUNTIF('Dvd Calendar'!$E$821:$AR$821,'Dvd Calendar'!$J$814)=0))&gt;0)=0,"",'Dvd Calendar'!$J$814*1000000000+ISNUMBER('Dvd Calendar'!$J$817)*100000000+('Dvd Calendar'!$J$819=SPECIAL_LBL)*10000000+(N('Dvd Calendar'!$J$813)&gt;0)*(N('Dvd Calendar'!$J$813)&lt;=VAL_SERIAL)*1000000+74*1000+6))</f>
        <v/>
      </c>
      <c r="EK85" s="39">
        <f>IF(N('Dvd Calendar'!$K$814)=0,"",IF(('Dvd Calendar'!$K$814&gt;=GRID_FROM)*('Dvd Calendar'!$K$814&lt;=GRID_TO)*((('Dvd Calendar'!$K$814&lt;=VAL_DATE)+(COUNTIF('Dvd Calendar'!$E$821:$AR$821,'Dvd Calendar'!$K$814)=0))&gt;0)=0,"",'Dvd Calendar'!$K$814*1000000000+ISNUMBER('Dvd Calendar'!$K$817)*100000000+('Dvd Calendar'!$K$819=SPECIAL_LBL)*10000000+(N('Dvd Calendar'!$K$813)&gt;0)*(N('Dvd Calendar'!$K$813)&lt;=VAL_SERIAL)*1000000+74*1000+7))</f>
        <v/>
      </c>
      <c r="EL85" s="39">
        <f>IF(N('Dvd Calendar'!$L$814)=0,"",IF(('Dvd Calendar'!$L$814&gt;=GRID_FROM)*('Dvd Calendar'!$L$814&lt;=GRID_TO)*((('Dvd Calendar'!$L$814&lt;=VAL_DATE)+(COUNTIF('Dvd Calendar'!$E$821:$AR$821,'Dvd Calendar'!$L$814)=0))&gt;0)=0,"",'Dvd Calendar'!$L$814*1000000000+ISNUMBER('Dvd Calendar'!$L$817)*100000000+('Dvd Calendar'!$L$819=SPECIAL_LBL)*10000000+(N('Dvd Calendar'!$L$813)&gt;0)*(N('Dvd Calendar'!$L$813)&lt;=VAL_SERIAL)*1000000+74*1000+8))</f>
        <v/>
      </c>
      <c r="EM85" s="39">
        <f>IF(N('Dvd Calendar'!$M$814)=0,"",IF(('Dvd Calendar'!$M$814&gt;=GRID_FROM)*('Dvd Calendar'!$M$814&lt;=GRID_TO)*((('Dvd Calendar'!$M$814&lt;=VAL_DATE)+(COUNTIF('Dvd Calendar'!$E$821:$AR$821,'Dvd Calendar'!$M$814)=0))&gt;0)=0,"",'Dvd Calendar'!$M$814*1000000000+ISNUMBER('Dvd Calendar'!$M$817)*100000000+('Dvd Calendar'!$M$819=SPECIAL_LBL)*10000000+(N('Dvd Calendar'!$M$813)&gt;0)*(N('Dvd Calendar'!$M$813)&lt;=VAL_SERIAL)*1000000+74*1000+9))</f>
        <v/>
      </c>
      <c r="EN85" s="39">
        <f>IF(N('Dvd Calendar'!$N$814)=0,"",IF(('Dvd Calendar'!$N$814&gt;=GRID_FROM)*('Dvd Calendar'!$N$814&lt;=GRID_TO)*((('Dvd Calendar'!$N$814&lt;=VAL_DATE)+(COUNTIF('Dvd Calendar'!$E$821:$AR$821,'Dvd Calendar'!$N$814)=0))&gt;0)=0,"",'Dvd Calendar'!$N$814*1000000000+ISNUMBER('Dvd Calendar'!$N$817)*100000000+('Dvd Calendar'!$N$819=SPECIAL_LBL)*10000000+(N('Dvd Calendar'!$N$813)&gt;0)*(N('Dvd Calendar'!$N$813)&lt;=VAL_SERIAL)*1000000+74*1000+10))</f>
        <v/>
      </c>
      <c r="EO85" s="39">
        <f>IF(N('Dvd Calendar'!$O$814)=0,"",IF(('Dvd Calendar'!$O$814&gt;=GRID_FROM)*('Dvd Calendar'!$O$814&lt;=GRID_TO)*((('Dvd Calendar'!$O$814&lt;=VAL_DATE)+(COUNTIF('Dvd Calendar'!$E$821:$AR$821,'Dvd Calendar'!$O$814)=0))&gt;0)=0,"",'Dvd Calendar'!$O$814*1000000000+ISNUMBER('Dvd Calendar'!$O$817)*100000000+('Dvd Calendar'!$O$819=SPECIAL_LBL)*10000000+(N('Dvd Calendar'!$O$813)&gt;0)*(N('Dvd Calendar'!$O$813)&lt;=VAL_SERIAL)*1000000+74*1000+11))</f>
        <v/>
      </c>
      <c r="EP85" s="39">
        <f>IF(N('Dvd Calendar'!$P$814)=0,"",IF(('Dvd Calendar'!$P$814&gt;=GRID_FROM)*('Dvd Calendar'!$P$814&lt;=GRID_TO)*((('Dvd Calendar'!$P$814&lt;=VAL_DATE)+(COUNTIF('Dvd Calendar'!$E$821:$AR$821,'Dvd Calendar'!$P$814)=0))&gt;0)=0,"",'Dvd Calendar'!$P$814*1000000000+ISNUMBER('Dvd Calendar'!$P$817)*100000000+('Dvd Calendar'!$P$819=SPECIAL_LBL)*10000000+(N('Dvd Calendar'!$P$813)&gt;0)*(N('Dvd Calendar'!$P$813)&lt;=VAL_SERIAL)*1000000+74*1000+12))</f>
        <v/>
      </c>
      <c r="EQ85" s="39">
        <f>IF(N('Dvd Calendar'!$Q$814)=0,"",IF(('Dvd Calendar'!$Q$814&gt;=GRID_FROM)*('Dvd Calendar'!$Q$814&lt;=GRID_TO)*((('Dvd Calendar'!$Q$814&lt;=VAL_DATE)+(COUNTIF('Dvd Calendar'!$E$821:$AR$821,'Dvd Calendar'!$Q$814)=0))&gt;0)=0,"",'Dvd Calendar'!$Q$814*1000000000+ISNUMBER('Dvd Calendar'!$Q$817)*100000000+('Dvd Calendar'!$Q$819=SPECIAL_LBL)*10000000+(N('Dvd Calendar'!$Q$813)&gt;0)*(N('Dvd Calendar'!$Q$813)&lt;=VAL_SERIAL)*1000000+74*1000+13))</f>
        <v/>
      </c>
      <c r="ER85" s="39">
        <f>IF(N('Dvd Calendar'!$R$814)=0,"",IF(('Dvd Calendar'!$R$814&gt;=GRID_FROM)*('Dvd Calendar'!$R$814&lt;=GRID_TO)*((('Dvd Calendar'!$R$814&lt;=VAL_DATE)+(COUNTIF('Dvd Calendar'!$E$821:$AR$821,'Dvd Calendar'!$R$814)=0))&gt;0)=0,"",'Dvd Calendar'!$R$814*1000000000+ISNUMBER('Dvd Calendar'!$R$817)*100000000+('Dvd Calendar'!$R$819=SPECIAL_LBL)*10000000+(N('Dvd Calendar'!$R$813)&gt;0)*(N('Dvd Calendar'!$R$813)&lt;=VAL_SERIAL)*1000000+74*1000+14))</f>
        <v/>
      </c>
      <c r="ES85" s="39">
        <f>IF(N('Dvd Calendar'!$S$814)=0,"",IF(('Dvd Calendar'!$S$814&gt;=GRID_FROM)*('Dvd Calendar'!$S$814&lt;=GRID_TO)*((('Dvd Calendar'!$S$814&lt;=VAL_DATE)+(COUNTIF('Dvd Calendar'!$E$821:$AR$821,'Dvd Calendar'!$S$814)=0))&gt;0)=0,"",'Dvd Calendar'!$S$814*1000000000+ISNUMBER('Dvd Calendar'!$S$817)*100000000+('Dvd Calendar'!$S$819=SPECIAL_LBL)*10000000+(N('Dvd Calendar'!$S$813)&gt;0)*(N('Dvd Calendar'!$S$813)&lt;=VAL_SERIAL)*1000000+74*1000+15))</f>
        <v/>
      </c>
      <c r="ET85" s="39">
        <f>IF(N('Dvd Calendar'!$T$814)=0,"",IF(('Dvd Calendar'!$T$814&gt;=GRID_FROM)*('Dvd Calendar'!$T$814&lt;=GRID_TO)*((('Dvd Calendar'!$T$814&lt;=VAL_DATE)+(COUNTIF('Dvd Calendar'!$E$821:$AR$821,'Dvd Calendar'!$T$814)=0))&gt;0)=0,"",'Dvd Calendar'!$T$814*1000000000+ISNUMBER('Dvd Calendar'!$T$817)*100000000+('Dvd Calendar'!$T$819=SPECIAL_LBL)*10000000+(N('Dvd Calendar'!$T$813)&gt;0)*(N('Dvd Calendar'!$T$813)&lt;=VAL_SERIAL)*1000000+74*1000+16))</f>
        <v/>
      </c>
      <c r="EU85" s="39">
        <f>IF(N('Dvd Calendar'!$U$814)=0,"",IF(('Dvd Calendar'!$U$814&gt;=GRID_FROM)*('Dvd Calendar'!$U$814&lt;=GRID_TO)*((('Dvd Calendar'!$U$814&lt;=VAL_DATE)+(COUNTIF('Dvd Calendar'!$E$821:$AR$821,'Dvd Calendar'!$U$814)=0))&gt;0)=0,"",'Dvd Calendar'!$U$814*1000000000+ISNUMBER('Dvd Calendar'!$U$817)*100000000+('Dvd Calendar'!$U$819=SPECIAL_LBL)*10000000+(N('Dvd Calendar'!$U$813)&gt;0)*(N('Dvd Calendar'!$U$813)&lt;=VAL_SERIAL)*1000000+74*1000+17))</f>
        <v/>
      </c>
      <c r="EV85" s="39">
        <f>IF(N('Dvd Calendar'!$V$814)=0,"",IF(('Dvd Calendar'!$V$814&gt;=GRID_FROM)*('Dvd Calendar'!$V$814&lt;=GRID_TO)*((('Dvd Calendar'!$V$814&lt;=VAL_DATE)+(COUNTIF('Dvd Calendar'!$E$821:$AR$821,'Dvd Calendar'!$V$814)=0))&gt;0)=0,"",'Dvd Calendar'!$V$814*1000000000+ISNUMBER('Dvd Calendar'!$V$817)*100000000+('Dvd Calendar'!$V$819=SPECIAL_LBL)*10000000+(N('Dvd Calendar'!$V$813)&gt;0)*(N('Dvd Calendar'!$V$813)&lt;=VAL_SERIAL)*1000000+74*1000+18))</f>
        <v/>
      </c>
      <c r="EW85" s="39">
        <f>IF(N('Dvd Calendar'!$W$814)=0,"",IF(('Dvd Calendar'!$W$814&gt;=GRID_FROM)*('Dvd Calendar'!$W$814&lt;=GRID_TO)*((('Dvd Calendar'!$W$814&lt;=VAL_DATE)+(COUNTIF('Dvd Calendar'!$E$821:$AR$821,'Dvd Calendar'!$W$814)=0))&gt;0)=0,"",'Dvd Calendar'!$W$814*1000000000+ISNUMBER('Dvd Calendar'!$W$817)*100000000+('Dvd Calendar'!$W$819=SPECIAL_LBL)*10000000+(N('Dvd Calendar'!$W$813)&gt;0)*(N('Dvd Calendar'!$W$813)&lt;=VAL_SERIAL)*1000000+74*1000+19))</f>
        <v/>
      </c>
      <c r="EX85" s="39">
        <f>IF(N('Dvd Calendar'!$X$814)=0,"",IF(('Dvd Calendar'!$X$814&gt;=GRID_FROM)*('Dvd Calendar'!$X$814&lt;=GRID_TO)*((('Dvd Calendar'!$X$814&lt;=VAL_DATE)+(COUNTIF('Dvd Calendar'!$E$821:$AR$821,'Dvd Calendar'!$X$814)=0))&gt;0)=0,"",'Dvd Calendar'!$X$814*1000000000+ISNUMBER('Dvd Calendar'!$X$817)*100000000+('Dvd Calendar'!$X$819=SPECIAL_LBL)*10000000+(N('Dvd Calendar'!$X$813)&gt;0)*(N('Dvd Calendar'!$X$813)&lt;=VAL_SERIAL)*1000000+74*1000+20))</f>
        <v/>
      </c>
      <c r="EY85" s="39">
        <f>IF(N('Dvd Calendar'!$Y$814)=0,"",IF(('Dvd Calendar'!$Y$814&gt;=GRID_FROM)*('Dvd Calendar'!$Y$814&lt;=GRID_TO)*((('Dvd Calendar'!$Y$814&lt;=VAL_DATE)+(COUNTIF('Dvd Calendar'!$E$821:$AR$821,'Dvd Calendar'!$Y$814)=0))&gt;0)=0,"",'Dvd Calendar'!$Y$814*1000000000+ISNUMBER('Dvd Calendar'!$Y$817)*100000000+('Dvd Calendar'!$Y$819=SPECIAL_LBL)*10000000+(N('Dvd Calendar'!$Y$813)&gt;0)*(N('Dvd Calendar'!$Y$813)&lt;=VAL_SERIAL)*1000000+74*1000+21))</f>
        <v/>
      </c>
      <c r="EZ85" s="39">
        <f>IF(N('Dvd Calendar'!$Z$814)=0,"",IF(('Dvd Calendar'!$Z$814&gt;=GRID_FROM)*('Dvd Calendar'!$Z$814&lt;=GRID_TO)*((('Dvd Calendar'!$Z$814&lt;=VAL_DATE)+(COUNTIF('Dvd Calendar'!$E$821:$AR$821,'Dvd Calendar'!$Z$814)=0))&gt;0)=0,"",'Dvd Calendar'!$Z$814*1000000000+ISNUMBER('Dvd Calendar'!$Z$817)*100000000+('Dvd Calendar'!$Z$819=SPECIAL_LBL)*10000000+(N('Dvd Calendar'!$Z$813)&gt;0)*(N('Dvd Calendar'!$Z$813)&lt;=VAL_SERIAL)*1000000+74*1000+22))</f>
        <v/>
      </c>
      <c r="FA85" s="39">
        <f>IF(N('Dvd Calendar'!$AA$814)=0,"",IF(('Dvd Calendar'!$AA$814&gt;=GRID_FROM)*('Dvd Calendar'!$AA$814&lt;=GRID_TO)*((('Dvd Calendar'!$AA$814&lt;=VAL_DATE)+(COUNTIF('Dvd Calendar'!$E$821:$AR$821,'Dvd Calendar'!$AA$814)=0))&gt;0)=0,"",'Dvd Calendar'!$AA$814*1000000000+ISNUMBER('Dvd Calendar'!$AA$817)*100000000+('Dvd Calendar'!$AA$819=SPECIAL_LBL)*10000000+(N('Dvd Calendar'!$AA$813)&gt;0)*(N('Dvd Calendar'!$AA$813)&lt;=VAL_SERIAL)*1000000+74*1000+23))</f>
        <v/>
      </c>
      <c r="FB85" s="39">
        <f>IF(N('Dvd Calendar'!$AB$814)=0,"",IF(('Dvd Calendar'!$AB$814&gt;=GRID_FROM)*('Dvd Calendar'!$AB$814&lt;=GRID_TO)*((('Dvd Calendar'!$AB$814&lt;=VAL_DATE)+(COUNTIF('Dvd Calendar'!$E$821:$AR$821,'Dvd Calendar'!$AB$814)=0))&gt;0)=0,"",'Dvd Calendar'!$AB$814*1000000000+ISNUMBER('Dvd Calendar'!$AB$817)*100000000+('Dvd Calendar'!$AB$819=SPECIAL_LBL)*10000000+(N('Dvd Calendar'!$AB$813)&gt;0)*(N('Dvd Calendar'!$AB$813)&lt;=VAL_SERIAL)*1000000+74*1000+24))</f>
        <v/>
      </c>
      <c r="FC85" s="39">
        <f>IF(N('Dvd Calendar'!$AC$814)=0,"",IF(('Dvd Calendar'!$AC$814&gt;=GRID_FROM)*('Dvd Calendar'!$AC$814&lt;=GRID_TO)*((('Dvd Calendar'!$AC$814&lt;=VAL_DATE)+(COUNTIF('Dvd Calendar'!$E$821:$AR$821,'Dvd Calendar'!$AC$814)=0))&gt;0)=0,"",'Dvd Calendar'!$AC$814*1000000000+ISNUMBER('Dvd Calendar'!$AC$817)*100000000+('Dvd Calendar'!$AC$819=SPECIAL_LBL)*10000000+(N('Dvd Calendar'!$AC$813)&gt;0)*(N('Dvd Calendar'!$AC$813)&lt;=VAL_SERIAL)*1000000+74*1000+25))</f>
        <v/>
      </c>
      <c r="FD85" s="39">
        <f>IF(N('Dvd Calendar'!$AD$814)=0,"",IF(('Dvd Calendar'!$AD$814&gt;=GRID_FROM)*('Dvd Calendar'!$AD$814&lt;=GRID_TO)*((('Dvd Calendar'!$AD$814&lt;=VAL_DATE)+(COUNTIF('Dvd Calendar'!$E$821:$AR$821,'Dvd Calendar'!$AD$814)=0))&gt;0)=0,"",'Dvd Calendar'!$AD$814*1000000000+ISNUMBER('Dvd Calendar'!$AD$817)*100000000+('Dvd Calendar'!$AD$819=SPECIAL_LBL)*10000000+(N('Dvd Calendar'!$AD$813)&gt;0)*(N('Dvd Calendar'!$AD$813)&lt;=VAL_SERIAL)*1000000+74*1000+26))</f>
        <v/>
      </c>
      <c r="FE85" s="39">
        <f>IF(N('Dvd Calendar'!$AE$814)=0,"",IF(('Dvd Calendar'!$AE$814&gt;=GRID_FROM)*('Dvd Calendar'!$AE$814&lt;=GRID_TO)*((('Dvd Calendar'!$AE$814&lt;=VAL_DATE)+(COUNTIF('Dvd Calendar'!$E$821:$AR$821,'Dvd Calendar'!$AE$814)=0))&gt;0)=0,"",'Dvd Calendar'!$AE$814*1000000000+ISNUMBER('Dvd Calendar'!$AE$817)*100000000+('Dvd Calendar'!$AE$819=SPECIAL_LBL)*10000000+(N('Dvd Calendar'!$AE$813)&gt;0)*(N('Dvd Calendar'!$AE$813)&lt;=VAL_SERIAL)*1000000+74*1000+27))</f>
        <v/>
      </c>
      <c r="FF85" s="39">
        <f>IF(N('Dvd Calendar'!$AF$814)=0,"",IF(('Dvd Calendar'!$AF$814&gt;=GRID_FROM)*('Dvd Calendar'!$AF$814&lt;=GRID_TO)*((('Dvd Calendar'!$AF$814&lt;=VAL_DATE)+(COUNTIF('Dvd Calendar'!$E$821:$AR$821,'Dvd Calendar'!$AF$814)=0))&gt;0)=0,"",'Dvd Calendar'!$AF$814*1000000000+ISNUMBER('Dvd Calendar'!$AF$817)*100000000+('Dvd Calendar'!$AF$819=SPECIAL_LBL)*10000000+(N('Dvd Calendar'!$AF$813)&gt;0)*(N('Dvd Calendar'!$AF$813)&lt;=VAL_SERIAL)*1000000+74*1000+28))</f>
        <v/>
      </c>
      <c r="FG85" s="39">
        <f>IF(N('Dvd Calendar'!$AG$814)=0,"",IF(('Dvd Calendar'!$AG$814&gt;=GRID_FROM)*('Dvd Calendar'!$AG$814&lt;=GRID_TO)*((('Dvd Calendar'!$AG$814&lt;=VAL_DATE)+(COUNTIF('Dvd Calendar'!$E$821:$AR$821,'Dvd Calendar'!$AG$814)=0))&gt;0)=0,"",'Dvd Calendar'!$AG$814*1000000000+ISNUMBER('Dvd Calendar'!$AG$817)*100000000+('Dvd Calendar'!$AG$819=SPECIAL_LBL)*10000000+(N('Dvd Calendar'!$AG$813)&gt;0)*(N('Dvd Calendar'!$AG$813)&lt;=VAL_SERIAL)*1000000+74*1000+29))</f>
        <v/>
      </c>
      <c r="FH85" s="39">
        <f>IF(N('Dvd Calendar'!$AH$814)=0,"",IF(('Dvd Calendar'!$AH$814&gt;=GRID_FROM)*('Dvd Calendar'!$AH$814&lt;=GRID_TO)*((('Dvd Calendar'!$AH$814&lt;=VAL_DATE)+(COUNTIF('Dvd Calendar'!$E$821:$AR$821,'Dvd Calendar'!$AH$814)=0))&gt;0)=0,"",'Dvd Calendar'!$AH$814*1000000000+ISNUMBER('Dvd Calendar'!$AH$817)*100000000+('Dvd Calendar'!$AH$819=SPECIAL_LBL)*10000000+(N('Dvd Calendar'!$AH$813)&gt;0)*(N('Dvd Calendar'!$AH$813)&lt;=VAL_SERIAL)*1000000+74*1000+30))</f>
        <v/>
      </c>
      <c r="FI85" s="39">
        <f>IF(N('Dvd Calendar'!$AI$814)=0,"",IF(('Dvd Calendar'!$AI$814&gt;=GRID_FROM)*('Dvd Calendar'!$AI$814&lt;=GRID_TO)*((('Dvd Calendar'!$AI$814&lt;=VAL_DATE)+(COUNTIF('Dvd Calendar'!$E$821:$AR$821,'Dvd Calendar'!$AI$814)=0))&gt;0)=0,"",'Dvd Calendar'!$AI$814*1000000000+ISNUMBER('Dvd Calendar'!$AI$817)*100000000+('Dvd Calendar'!$AI$819=SPECIAL_LBL)*10000000+(N('Dvd Calendar'!$AI$813)&gt;0)*(N('Dvd Calendar'!$AI$813)&lt;=VAL_SERIAL)*1000000+74*1000+31))</f>
        <v/>
      </c>
      <c r="FJ85" s="39">
        <f>IF(N('Dvd Calendar'!$AJ$814)=0,"",IF(('Dvd Calendar'!$AJ$814&gt;=GRID_FROM)*('Dvd Calendar'!$AJ$814&lt;=GRID_TO)*((('Dvd Calendar'!$AJ$814&lt;=VAL_DATE)+(COUNTIF('Dvd Calendar'!$E$821:$AR$821,'Dvd Calendar'!$AJ$814)=0))&gt;0)=0,"",'Dvd Calendar'!$AJ$814*1000000000+ISNUMBER('Dvd Calendar'!$AJ$817)*100000000+('Dvd Calendar'!$AJ$819=SPECIAL_LBL)*10000000+(N('Dvd Calendar'!$AJ$813)&gt;0)*(N('Dvd Calendar'!$AJ$813)&lt;=VAL_SERIAL)*1000000+74*1000+32))</f>
        <v/>
      </c>
      <c r="FK85" s="39">
        <f>IF(N('Dvd Calendar'!$AK$814)=0,"",IF(('Dvd Calendar'!$AK$814&gt;=GRID_FROM)*('Dvd Calendar'!$AK$814&lt;=GRID_TO)*((('Dvd Calendar'!$AK$814&lt;=VAL_DATE)+(COUNTIF('Dvd Calendar'!$E$821:$AR$821,'Dvd Calendar'!$AK$814)=0))&gt;0)=0,"",'Dvd Calendar'!$AK$814*1000000000+ISNUMBER('Dvd Calendar'!$AK$817)*100000000+('Dvd Calendar'!$AK$819=SPECIAL_LBL)*10000000+(N('Dvd Calendar'!$AK$813)&gt;0)*(N('Dvd Calendar'!$AK$813)&lt;=VAL_SERIAL)*1000000+74*1000+33))</f>
        <v/>
      </c>
      <c r="FL85" s="39">
        <f>IF(N('Dvd Calendar'!$AL$814)=0,"",IF(('Dvd Calendar'!$AL$814&gt;=GRID_FROM)*('Dvd Calendar'!$AL$814&lt;=GRID_TO)*((('Dvd Calendar'!$AL$814&lt;=VAL_DATE)+(COUNTIF('Dvd Calendar'!$E$821:$AR$821,'Dvd Calendar'!$AL$814)=0))&gt;0)=0,"",'Dvd Calendar'!$AL$814*1000000000+ISNUMBER('Dvd Calendar'!$AL$817)*100000000+('Dvd Calendar'!$AL$819=SPECIAL_LBL)*10000000+(N('Dvd Calendar'!$AL$813)&gt;0)*(N('Dvd Calendar'!$AL$813)&lt;=VAL_SERIAL)*1000000+74*1000+34))</f>
        <v/>
      </c>
      <c r="FM85" s="39">
        <f>IF(N('Dvd Calendar'!$AM$814)=0,"",IF(('Dvd Calendar'!$AM$814&gt;=GRID_FROM)*('Dvd Calendar'!$AM$814&lt;=GRID_TO)*((('Dvd Calendar'!$AM$814&lt;=VAL_DATE)+(COUNTIF('Dvd Calendar'!$E$821:$AR$821,'Dvd Calendar'!$AM$814)=0))&gt;0)=0,"",'Dvd Calendar'!$AM$814*1000000000+ISNUMBER('Dvd Calendar'!$AM$817)*100000000+('Dvd Calendar'!$AM$819=SPECIAL_LBL)*10000000+(N('Dvd Calendar'!$AM$813)&gt;0)*(N('Dvd Calendar'!$AM$813)&lt;=VAL_SERIAL)*1000000+74*1000+35))</f>
        <v/>
      </c>
      <c r="FN85" s="39">
        <f>IF(N('Dvd Calendar'!$AN$814)=0,"",IF(('Dvd Calendar'!$AN$814&gt;=GRID_FROM)*('Dvd Calendar'!$AN$814&lt;=GRID_TO)*((('Dvd Calendar'!$AN$814&lt;=VAL_DATE)+(COUNTIF('Dvd Calendar'!$E$821:$AR$821,'Dvd Calendar'!$AN$814)=0))&gt;0)=0,"",'Dvd Calendar'!$AN$814*1000000000+ISNUMBER('Dvd Calendar'!$AN$817)*100000000+('Dvd Calendar'!$AN$819=SPECIAL_LBL)*10000000+(N('Dvd Calendar'!$AN$813)&gt;0)*(N('Dvd Calendar'!$AN$813)&lt;=VAL_SERIAL)*1000000+74*1000+36))</f>
        <v/>
      </c>
      <c r="FO85" s="39">
        <f>IF(N('Dvd Calendar'!$AO$814)=0,"",IF(('Dvd Calendar'!$AO$814&gt;=GRID_FROM)*('Dvd Calendar'!$AO$814&lt;=GRID_TO)*((('Dvd Calendar'!$AO$814&lt;=VAL_DATE)+(COUNTIF('Dvd Calendar'!$E$821:$AR$821,'Dvd Calendar'!$AO$814)=0))&gt;0)=0,"",'Dvd Calendar'!$AO$814*1000000000+ISNUMBER('Dvd Calendar'!$AO$817)*100000000+('Dvd Calendar'!$AO$819=SPECIAL_LBL)*10000000+(N('Dvd Calendar'!$AO$813)&gt;0)*(N('Dvd Calendar'!$AO$813)&lt;=VAL_SERIAL)*1000000+74*1000+37))</f>
        <v/>
      </c>
      <c r="FP85" s="39">
        <f>IF(N('Dvd Calendar'!$AP$814)=0,"",IF(('Dvd Calendar'!$AP$814&gt;=GRID_FROM)*('Dvd Calendar'!$AP$814&lt;=GRID_TO)*((('Dvd Calendar'!$AP$814&lt;=VAL_DATE)+(COUNTIF('Dvd Calendar'!$E$821:$AR$821,'Dvd Calendar'!$AP$814)=0))&gt;0)=0,"",'Dvd Calendar'!$AP$814*1000000000+ISNUMBER('Dvd Calendar'!$AP$817)*100000000+('Dvd Calendar'!$AP$819=SPECIAL_LBL)*10000000+(N('Dvd Calendar'!$AP$813)&gt;0)*(N('Dvd Calendar'!$AP$813)&lt;=VAL_SERIAL)*1000000+74*1000+38))</f>
        <v/>
      </c>
      <c r="FQ85" s="39">
        <f>IF(N('Dvd Calendar'!$AQ$814)=0,"",IF(('Dvd Calendar'!$AQ$814&gt;=GRID_FROM)*('Dvd Calendar'!$AQ$814&lt;=GRID_TO)*((('Dvd Calendar'!$AQ$814&lt;=VAL_DATE)+(COUNTIF('Dvd Calendar'!$E$821:$AR$821,'Dvd Calendar'!$AQ$814)=0))&gt;0)=0,"",'Dvd Calendar'!$AQ$814*1000000000+ISNUMBER('Dvd Calendar'!$AQ$817)*100000000+('Dvd Calendar'!$AQ$819=SPECIAL_LBL)*10000000+(N('Dvd Calendar'!$AQ$813)&gt;0)*(N('Dvd Calendar'!$AQ$813)&lt;=VAL_SERIAL)*1000000+74*1000+39))</f>
        <v/>
      </c>
      <c r="FR85" s="39">
        <f>IF(N('Dvd Calendar'!$AR$814)=0,"",IF(('Dvd Calendar'!$AR$814&gt;=GRID_FROM)*('Dvd Calendar'!$AR$814&lt;=GRID_TO)*((('Dvd Calendar'!$AR$814&lt;=VAL_DATE)+(COUNTIF('Dvd Calendar'!$E$821:$AR$821,'Dvd Calendar'!$AR$814)=0))&gt;0)=0,"",'Dvd Calendar'!$AR$814*1000000000+ISNUMBER('Dvd Calendar'!$AR$817)*100000000+('Dvd Calendar'!$AR$819=SPECIAL_LBL)*10000000+(N('Dvd Calendar'!$AR$813)&gt;0)*(N('Dvd Calendar'!$AR$813)&lt;=VAL_SERIAL)*1000000+74*1000+40))</f>
        <v/>
      </c>
      <c r="FS85" s="39">
        <f>IF(N('Dvd Calendar'!$E$821)=0,"",IF(('Dvd Calendar'!$E$821&gt;=GRID_FROM)*('Dvd Calendar'!$E$821&lt;=GRID_TO)*('Dvd Calendar'!$E$821&gt;VAL_DATE)=0,"",'Dvd Calendar'!$E$821*1000000000+ISNUMBER('Dvd Calendar'!$E$822)*100000000+0*10000000+(N('Dvd Calendar'!$E$820)&gt;0)*(N('Dvd Calendar'!$E$820)&lt;=VAL_SERIAL)*1000000+74*1000+41))</f>
        <v/>
      </c>
      <c r="FT85" s="39">
        <f>IF(N('Dvd Calendar'!$F$821)=0,"",IF(('Dvd Calendar'!$F$821&gt;=GRID_FROM)*('Dvd Calendar'!$F$821&lt;=GRID_TO)*('Dvd Calendar'!$F$821&gt;VAL_DATE)=0,"",'Dvd Calendar'!$F$821*1000000000+ISNUMBER('Dvd Calendar'!$F$822)*100000000+0*10000000+(N('Dvd Calendar'!$F$820)&gt;0)*(N('Dvd Calendar'!$F$820)&lt;=VAL_SERIAL)*1000000+74*1000+42))</f>
        <v/>
      </c>
      <c r="FU85" s="39">
        <f>IF(N('Dvd Calendar'!$G$821)=0,"",IF(('Dvd Calendar'!$G$821&gt;=GRID_FROM)*('Dvd Calendar'!$G$821&lt;=GRID_TO)*('Dvd Calendar'!$G$821&gt;VAL_DATE)=0,"",'Dvd Calendar'!$G$821*1000000000+ISNUMBER('Dvd Calendar'!$G$822)*100000000+0*10000000+(N('Dvd Calendar'!$G$820)&gt;0)*(N('Dvd Calendar'!$G$820)&lt;=VAL_SERIAL)*1000000+74*1000+43))</f>
        <v/>
      </c>
      <c r="FV85" s="39">
        <f>IF(N('Dvd Calendar'!$H$821)=0,"",IF(('Dvd Calendar'!$H$821&gt;=GRID_FROM)*('Dvd Calendar'!$H$821&lt;=GRID_TO)*('Dvd Calendar'!$H$821&gt;VAL_DATE)=0,"",'Dvd Calendar'!$H$821*1000000000+ISNUMBER('Dvd Calendar'!$H$822)*100000000+0*10000000+(N('Dvd Calendar'!$H$820)&gt;0)*(N('Dvd Calendar'!$H$820)&lt;=VAL_SERIAL)*1000000+74*1000+44))</f>
        <v/>
      </c>
      <c r="FW85" s="39">
        <f>IF(N('Dvd Calendar'!$I$821)=0,"",IF(('Dvd Calendar'!$I$821&gt;=GRID_FROM)*('Dvd Calendar'!$I$821&lt;=GRID_TO)*('Dvd Calendar'!$I$821&gt;VAL_DATE)=0,"",'Dvd Calendar'!$I$821*1000000000+ISNUMBER('Dvd Calendar'!$I$822)*100000000+0*10000000+(N('Dvd Calendar'!$I$820)&gt;0)*(N('Dvd Calendar'!$I$820)&lt;=VAL_SERIAL)*1000000+74*1000+45))</f>
        <v/>
      </c>
      <c r="FX85" s="39">
        <f>IF(N('Dvd Calendar'!$J$821)=0,"",IF(('Dvd Calendar'!$J$821&gt;=GRID_FROM)*('Dvd Calendar'!$J$821&lt;=GRID_TO)*('Dvd Calendar'!$J$821&gt;VAL_DATE)=0,"",'Dvd Calendar'!$J$821*1000000000+ISNUMBER('Dvd Calendar'!$J$822)*100000000+0*10000000+(N('Dvd Calendar'!$J$820)&gt;0)*(N('Dvd Calendar'!$J$820)&lt;=VAL_SERIAL)*1000000+74*1000+46))</f>
        <v/>
      </c>
      <c r="FY85" s="39">
        <f>IF(N('Dvd Calendar'!$K$821)=0,"",IF(('Dvd Calendar'!$K$821&gt;=GRID_FROM)*('Dvd Calendar'!$K$821&lt;=GRID_TO)*('Dvd Calendar'!$K$821&gt;VAL_DATE)=0,"",'Dvd Calendar'!$K$821*1000000000+ISNUMBER('Dvd Calendar'!$K$822)*100000000+0*10000000+(N('Dvd Calendar'!$K$820)&gt;0)*(N('Dvd Calendar'!$K$820)&lt;=VAL_SERIAL)*1000000+74*1000+47))</f>
        <v/>
      </c>
      <c r="FZ85" s="39">
        <f>IF(N('Dvd Calendar'!$L$821)=0,"",IF(('Dvd Calendar'!$L$821&gt;=GRID_FROM)*('Dvd Calendar'!$L$821&lt;=GRID_TO)*('Dvd Calendar'!$L$821&gt;VAL_DATE)=0,"",'Dvd Calendar'!$L$821*1000000000+ISNUMBER('Dvd Calendar'!$L$822)*100000000+0*10000000+(N('Dvd Calendar'!$L$820)&gt;0)*(N('Dvd Calendar'!$L$820)&lt;=VAL_SERIAL)*1000000+74*1000+48))</f>
        <v/>
      </c>
      <c r="GA85" s="39">
        <f>IF(N('Dvd Calendar'!$M$821)=0,"",IF(('Dvd Calendar'!$M$821&gt;=GRID_FROM)*('Dvd Calendar'!$M$821&lt;=GRID_TO)*('Dvd Calendar'!$M$821&gt;VAL_DATE)=0,"",'Dvd Calendar'!$M$821*1000000000+ISNUMBER('Dvd Calendar'!$M$822)*100000000+0*10000000+(N('Dvd Calendar'!$M$820)&gt;0)*(N('Dvd Calendar'!$M$820)&lt;=VAL_SERIAL)*1000000+74*1000+49))</f>
        <v/>
      </c>
      <c r="GB85" s="39">
        <f>IF(N('Dvd Calendar'!$N$821)=0,"",IF(('Dvd Calendar'!$N$821&gt;=GRID_FROM)*('Dvd Calendar'!$N$821&lt;=GRID_TO)*('Dvd Calendar'!$N$821&gt;VAL_DATE)=0,"",'Dvd Calendar'!$N$821*1000000000+ISNUMBER('Dvd Calendar'!$N$822)*100000000+0*10000000+(N('Dvd Calendar'!$N$820)&gt;0)*(N('Dvd Calendar'!$N$820)&lt;=VAL_SERIAL)*1000000+74*1000+50))</f>
        <v/>
      </c>
      <c r="GC85" s="39">
        <f>IF(N('Dvd Calendar'!$O$821)=0,"",IF(('Dvd Calendar'!$O$821&gt;=GRID_FROM)*('Dvd Calendar'!$O$821&lt;=GRID_TO)*('Dvd Calendar'!$O$821&gt;VAL_DATE)=0,"",'Dvd Calendar'!$O$821*1000000000+ISNUMBER('Dvd Calendar'!$O$822)*100000000+0*10000000+(N('Dvd Calendar'!$O$820)&gt;0)*(N('Dvd Calendar'!$O$820)&lt;=VAL_SERIAL)*1000000+74*1000+51))</f>
        <v/>
      </c>
      <c r="GD85" s="39">
        <f>IF(N('Dvd Calendar'!$P$821)=0,"",IF(('Dvd Calendar'!$P$821&gt;=GRID_FROM)*('Dvd Calendar'!$P$821&lt;=GRID_TO)*('Dvd Calendar'!$P$821&gt;VAL_DATE)=0,"",'Dvd Calendar'!$P$821*1000000000+ISNUMBER('Dvd Calendar'!$P$822)*100000000+0*10000000+(N('Dvd Calendar'!$P$820)&gt;0)*(N('Dvd Calendar'!$P$820)&lt;=VAL_SERIAL)*1000000+74*1000+52))</f>
        <v/>
      </c>
      <c r="GE85" s="39">
        <f>IF(N('Dvd Calendar'!$Q$821)=0,"",IF(('Dvd Calendar'!$Q$821&gt;=GRID_FROM)*('Dvd Calendar'!$Q$821&lt;=GRID_TO)*('Dvd Calendar'!$Q$821&gt;VAL_DATE)=0,"",'Dvd Calendar'!$Q$821*1000000000+ISNUMBER('Dvd Calendar'!$Q$822)*100000000+0*10000000+(N('Dvd Calendar'!$Q$820)&gt;0)*(N('Dvd Calendar'!$Q$820)&lt;=VAL_SERIAL)*1000000+74*1000+53))</f>
        <v/>
      </c>
      <c r="GF85" s="39">
        <f>IF(N('Dvd Calendar'!$R$821)=0,"",IF(('Dvd Calendar'!$R$821&gt;=GRID_FROM)*('Dvd Calendar'!$R$821&lt;=GRID_TO)*('Dvd Calendar'!$R$821&gt;VAL_DATE)=0,"",'Dvd Calendar'!$R$821*1000000000+ISNUMBER('Dvd Calendar'!$R$822)*100000000+0*10000000+(N('Dvd Calendar'!$R$820)&gt;0)*(N('Dvd Calendar'!$R$820)&lt;=VAL_SERIAL)*1000000+74*1000+54))</f>
        <v/>
      </c>
      <c r="GG85" s="39">
        <f>IF(N('Dvd Calendar'!$S$821)=0,"",IF(('Dvd Calendar'!$S$821&gt;=GRID_FROM)*('Dvd Calendar'!$S$821&lt;=GRID_TO)*('Dvd Calendar'!$S$821&gt;VAL_DATE)=0,"",'Dvd Calendar'!$S$821*1000000000+ISNUMBER('Dvd Calendar'!$S$822)*100000000+0*10000000+(N('Dvd Calendar'!$S$820)&gt;0)*(N('Dvd Calendar'!$S$820)&lt;=VAL_SERIAL)*1000000+74*1000+55))</f>
        <v/>
      </c>
      <c r="GH85" s="39">
        <f>IF(N('Dvd Calendar'!$T$821)=0,"",IF(('Dvd Calendar'!$T$821&gt;=GRID_FROM)*('Dvd Calendar'!$T$821&lt;=GRID_TO)*('Dvd Calendar'!$T$821&gt;VAL_DATE)=0,"",'Dvd Calendar'!$T$821*1000000000+ISNUMBER('Dvd Calendar'!$T$822)*100000000+0*10000000+(N('Dvd Calendar'!$T$820)&gt;0)*(N('Dvd Calendar'!$T$820)&lt;=VAL_SERIAL)*1000000+74*1000+56))</f>
        <v/>
      </c>
      <c r="GI85" s="39">
        <f>IF(N('Dvd Calendar'!$U$821)=0,"",IF(('Dvd Calendar'!$U$821&gt;=GRID_FROM)*('Dvd Calendar'!$U$821&lt;=GRID_TO)*('Dvd Calendar'!$U$821&gt;VAL_DATE)=0,"",'Dvd Calendar'!$U$821*1000000000+ISNUMBER('Dvd Calendar'!$U$822)*100000000+0*10000000+(N('Dvd Calendar'!$U$820)&gt;0)*(N('Dvd Calendar'!$U$820)&lt;=VAL_SERIAL)*1000000+74*1000+57))</f>
        <v/>
      </c>
      <c r="GJ85" s="39">
        <f>IF(N('Dvd Calendar'!$V$821)=0,"",IF(('Dvd Calendar'!$V$821&gt;=GRID_FROM)*('Dvd Calendar'!$V$821&lt;=GRID_TO)*('Dvd Calendar'!$V$821&gt;VAL_DATE)=0,"",'Dvd Calendar'!$V$821*1000000000+ISNUMBER('Dvd Calendar'!$V$822)*100000000+0*10000000+(N('Dvd Calendar'!$V$820)&gt;0)*(N('Dvd Calendar'!$V$820)&lt;=VAL_SERIAL)*1000000+74*1000+58))</f>
        <v/>
      </c>
      <c r="GK85" s="39">
        <f>IF(N('Dvd Calendar'!$W$821)=0,"",IF(('Dvd Calendar'!$W$821&gt;=GRID_FROM)*('Dvd Calendar'!$W$821&lt;=GRID_TO)*('Dvd Calendar'!$W$821&gt;VAL_DATE)=0,"",'Dvd Calendar'!$W$821*1000000000+ISNUMBER('Dvd Calendar'!$W$822)*100000000+0*10000000+(N('Dvd Calendar'!$W$820)&gt;0)*(N('Dvd Calendar'!$W$820)&lt;=VAL_SERIAL)*1000000+74*1000+59))</f>
        <v/>
      </c>
      <c r="GL85" s="39">
        <f>IF(N('Dvd Calendar'!$X$821)=0,"",IF(('Dvd Calendar'!$X$821&gt;=GRID_FROM)*('Dvd Calendar'!$X$821&lt;=GRID_TO)*('Dvd Calendar'!$X$821&gt;VAL_DATE)=0,"",'Dvd Calendar'!$X$821*1000000000+ISNUMBER('Dvd Calendar'!$X$822)*100000000+0*10000000+(N('Dvd Calendar'!$X$820)&gt;0)*(N('Dvd Calendar'!$X$820)&lt;=VAL_SERIAL)*1000000+74*1000+60))</f>
        <v/>
      </c>
      <c r="GM85" s="39">
        <f>IF(N('Dvd Calendar'!$Y$821)=0,"",IF(('Dvd Calendar'!$Y$821&gt;=GRID_FROM)*('Dvd Calendar'!$Y$821&lt;=GRID_TO)*('Dvd Calendar'!$Y$821&gt;VAL_DATE)=0,"",'Dvd Calendar'!$Y$821*1000000000+ISNUMBER('Dvd Calendar'!$Y$822)*100000000+0*10000000+(N('Dvd Calendar'!$Y$820)&gt;0)*(N('Dvd Calendar'!$Y$820)&lt;=VAL_SERIAL)*1000000+74*1000+61))</f>
        <v/>
      </c>
      <c r="GN85" s="39">
        <f>IF(N('Dvd Calendar'!$Z$821)=0,"",IF(('Dvd Calendar'!$Z$821&gt;=GRID_FROM)*('Dvd Calendar'!$Z$821&lt;=GRID_TO)*('Dvd Calendar'!$Z$821&gt;VAL_DATE)=0,"",'Dvd Calendar'!$Z$821*1000000000+ISNUMBER('Dvd Calendar'!$Z$822)*100000000+0*10000000+(N('Dvd Calendar'!$Z$820)&gt;0)*(N('Dvd Calendar'!$Z$820)&lt;=VAL_SERIAL)*1000000+74*1000+62))</f>
        <v/>
      </c>
      <c r="GO85" s="39">
        <f>IF(N('Dvd Calendar'!$AA$821)=0,"",IF(('Dvd Calendar'!$AA$821&gt;=GRID_FROM)*('Dvd Calendar'!$AA$821&lt;=GRID_TO)*('Dvd Calendar'!$AA$821&gt;VAL_DATE)=0,"",'Dvd Calendar'!$AA$821*1000000000+ISNUMBER('Dvd Calendar'!$AA$822)*100000000+0*10000000+(N('Dvd Calendar'!$AA$820)&gt;0)*(N('Dvd Calendar'!$AA$820)&lt;=VAL_SERIAL)*1000000+74*1000+63))</f>
        <v/>
      </c>
      <c r="GP85" s="39">
        <f>IF(N('Dvd Calendar'!$AB$821)=0,"",IF(('Dvd Calendar'!$AB$821&gt;=GRID_FROM)*('Dvd Calendar'!$AB$821&lt;=GRID_TO)*('Dvd Calendar'!$AB$821&gt;VAL_DATE)=0,"",'Dvd Calendar'!$AB$821*1000000000+ISNUMBER('Dvd Calendar'!$AB$822)*100000000+0*10000000+(N('Dvd Calendar'!$AB$820)&gt;0)*(N('Dvd Calendar'!$AB$820)&lt;=VAL_SERIAL)*1000000+74*1000+64))</f>
        <v/>
      </c>
      <c r="GQ85" s="39">
        <f>IF(N('Dvd Calendar'!$AC$821)=0,"",IF(('Dvd Calendar'!$AC$821&gt;=GRID_FROM)*('Dvd Calendar'!$AC$821&lt;=GRID_TO)*('Dvd Calendar'!$AC$821&gt;VAL_DATE)=0,"",'Dvd Calendar'!$AC$821*1000000000+ISNUMBER('Dvd Calendar'!$AC$822)*100000000+0*10000000+(N('Dvd Calendar'!$AC$820)&gt;0)*(N('Dvd Calendar'!$AC$820)&lt;=VAL_SERIAL)*1000000+74*1000+65))</f>
        <v/>
      </c>
    </row>
    <row r="86">
      <c r="B86" s="2">
        <f>IF(HSI!$C$81="","",HSI!$C$81)</f>
        <v/>
      </c>
      <c r="C86" s="110">
        <f>IF(EE86="","",IF(ISNUMBER('Dvd Calendar'!$E$828)=FALSE,"",IF((('Dvd Calendar'!$E$830=TYPE1)*(TYPE1&lt;&gt;"")+('Dvd Calendar'!$E$830=TYPE2)*(TYPE2&lt;&gt;"")+('Dvd Calendar'!$E$830=TYPE3)*(TYPE3&lt;&gt;"")+('Dvd Calendar'!$E$830=TYPE4)*(TYPE4&lt;&gt;"")+('Dvd Calendar'!$E$830=SPECIAL_LBL)*(INC_SPECIALS="Y"))=0,"",'Dvd Calendar'!$E$828)))</f>
        <v/>
      </c>
      <c r="D86" s="110">
        <f>IF(EF86="","",IF(ISNUMBER('Dvd Calendar'!$F$828)=FALSE,"",IF((('Dvd Calendar'!$F$830=TYPE1)*(TYPE1&lt;&gt;"")+('Dvd Calendar'!$F$830=TYPE2)*(TYPE2&lt;&gt;"")+('Dvd Calendar'!$F$830=TYPE3)*(TYPE3&lt;&gt;"")+('Dvd Calendar'!$F$830=TYPE4)*(TYPE4&lt;&gt;"")+('Dvd Calendar'!$F$830=SPECIAL_LBL)*(INC_SPECIALS="Y"))=0,"",'Dvd Calendar'!$F$828)))</f>
        <v/>
      </c>
      <c r="E86" s="110">
        <f>IF(EG86="","",IF(ISNUMBER('Dvd Calendar'!$G$828)=FALSE,"",IF((('Dvd Calendar'!$G$830=TYPE1)*(TYPE1&lt;&gt;"")+('Dvd Calendar'!$G$830=TYPE2)*(TYPE2&lt;&gt;"")+('Dvd Calendar'!$G$830=TYPE3)*(TYPE3&lt;&gt;"")+('Dvd Calendar'!$G$830=TYPE4)*(TYPE4&lt;&gt;"")+('Dvd Calendar'!$G$830=SPECIAL_LBL)*(INC_SPECIALS="Y"))=0,"",'Dvd Calendar'!$G$828)))</f>
        <v/>
      </c>
      <c r="F86" s="110">
        <f>IF(EH86="","",IF(ISNUMBER('Dvd Calendar'!$H$828)=FALSE,"",IF((('Dvd Calendar'!$H$830=TYPE1)*(TYPE1&lt;&gt;"")+('Dvd Calendar'!$H$830=TYPE2)*(TYPE2&lt;&gt;"")+('Dvd Calendar'!$H$830=TYPE3)*(TYPE3&lt;&gt;"")+('Dvd Calendar'!$H$830=TYPE4)*(TYPE4&lt;&gt;"")+('Dvd Calendar'!$H$830=SPECIAL_LBL)*(INC_SPECIALS="Y"))=0,"",'Dvd Calendar'!$H$828)))</f>
        <v/>
      </c>
      <c r="G86" s="110">
        <f>IF(EI86="","",IF(ISNUMBER('Dvd Calendar'!$I$828)=FALSE,"",IF((('Dvd Calendar'!$I$830=TYPE1)*(TYPE1&lt;&gt;"")+('Dvd Calendar'!$I$830=TYPE2)*(TYPE2&lt;&gt;"")+('Dvd Calendar'!$I$830=TYPE3)*(TYPE3&lt;&gt;"")+('Dvd Calendar'!$I$830=TYPE4)*(TYPE4&lt;&gt;"")+('Dvd Calendar'!$I$830=SPECIAL_LBL)*(INC_SPECIALS="Y"))=0,"",'Dvd Calendar'!$I$828)))</f>
        <v/>
      </c>
      <c r="H86" s="110">
        <f>IF(EJ86="","",IF(ISNUMBER('Dvd Calendar'!$J$828)=FALSE,"",IF((('Dvd Calendar'!$J$830=TYPE1)*(TYPE1&lt;&gt;"")+('Dvd Calendar'!$J$830=TYPE2)*(TYPE2&lt;&gt;"")+('Dvd Calendar'!$J$830=TYPE3)*(TYPE3&lt;&gt;"")+('Dvd Calendar'!$J$830=TYPE4)*(TYPE4&lt;&gt;"")+('Dvd Calendar'!$J$830=SPECIAL_LBL)*(INC_SPECIALS="Y"))=0,"",'Dvd Calendar'!$J$828)))</f>
        <v/>
      </c>
      <c r="I86" s="110">
        <f>IF(EK86="","",IF(ISNUMBER('Dvd Calendar'!$K$828)=FALSE,"",IF((('Dvd Calendar'!$K$830=TYPE1)*(TYPE1&lt;&gt;"")+('Dvd Calendar'!$K$830=TYPE2)*(TYPE2&lt;&gt;"")+('Dvd Calendar'!$K$830=TYPE3)*(TYPE3&lt;&gt;"")+('Dvd Calendar'!$K$830=TYPE4)*(TYPE4&lt;&gt;"")+('Dvd Calendar'!$K$830=SPECIAL_LBL)*(INC_SPECIALS="Y"))=0,"",'Dvd Calendar'!$K$828)))</f>
        <v/>
      </c>
      <c r="J86" s="110">
        <f>IF(EL86="","",IF(ISNUMBER('Dvd Calendar'!$L$828)=FALSE,"",IF((('Dvd Calendar'!$L$830=TYPE1)*(TYPE1&lt;&gt;"")+('Dvd Calendar'!$L$830=TYPE2)*(TYPE2&lt;&gt;"")+('Dvd Calendar'!$L$830=TYPE3)*(TYPE3&lt;&gt;"")+('Dvd Calendar'!$L$830=TYPE4)*(TYPE4&lt;&gt;"")+('Dvd Calendar'!$L$830=SPECIAL_LBL)*(INC_SPECIALS="Y"))=0,"",'Dvd Calendar'!$L$828)))</f>
        <v/>
      </c>
      <c r="K86" s="110">
        <f>IF(EM86="","",IF(ISNUMBER('Dvd Calendar'!$M$828)=FALSE,"",IF((('Dvd Calendar'!$M$830=TYPE1)*(TYPE1&lt;&gt;"")+('Dvd Calendar'!$M$830=TYPE2)*(TYPE2&lt;&gt;"")+('Dvd Calendar'!$M$830=TYPE3)*(TYPE3&lt;&gt;"")+('Dvd Calendar'!$M$830=TYPE4)*(TYPE4&lt;&gt;"")+('Dvd Calendar'!$M$830=SPECIAL_LBL)*(INC_SPECIALS="Y"))=0,"",'Dvd Calendar'!$M$828)))</f>
        <v/>
      </c>
      <c r="L86" s="110">
        <f>IF(EN86="","",IF(ISNUMBER('Dvd Calendar'!$N$828)=FALSE,"",IF((('Dvd Calendar'!$N$830=TYPE1)*(TYPE1&lt;&gt;"")+('Dvd Calendar'!$N$830=TYPE2)*(TYPE2&lt;&gt;"")+('Dvd Calendar'!$N$830=TYPE3)*(TYPE3&lt;&gt;"")+('Dvd Calendar'!$N$830=TYPE4)*(TYPE4&lt;&gt;"")+('Dvd Calendar'!$N$830=SPECIAL_LBL)*(INC_SPECIALS="Y"))=0,"",'Dvd Calendar'!$N$828)))</f>
        <v/>
      </c>
      <c r="M86" s="110">
        <f>IF(EO86="","",IF(ISNUMBER('Dvd Calendar'!$O$828)=FALSE,"",IF((('Dvd Calendar'!$O$830=TYPE1)*(TYPE1&lt;&gt;"")+('Dvd Calendar'!$O$830=TYPE2)*(TYPE2&lt;&gt;"")+('Dvd Calendar'!$O$830=TYPE3)*(TYPE3&lt;&gt;"")+('Dvd Calendar'!$O$830=TYPE4)*(TYPE4&lt;&gt;"")+('Dvd Calendar'!$O$830=SPECIAL_LBL)*(INC_SPECIALS="Y"))=0,"",'Dvd Calendar'!$O$828)))</f>
        <v/>
      </c>
      <c r="N86" s="110">
        <f>IF(EP86="","",IF(ISNUMBER('Dvd Calendar'!$P$828)=FALSE,"",IF((('Dvd Calendar'!$P$830=TYPE1)*(TYPE1&lt;&gt;"")+('Dvd Calendar'!$P$830=TYPE2)*(TYPE2&lt;&gt;"")+('Dvd Calendar'!$P$830=TYPE3)*(TYPE3&lt;&gt;"")+('Dvd Calendar'!$P$830=TYPE4)*(TYPE4&lt;&gt;"")+('Dvd Calendar'!$P$830=SPECIAL_LBL)*(INC_SPECIALS="Y"))=0,"",'Dvd Calendar'!$P$828)))</f>
        <v/>
      </c>
      <c r="O86" s="110">
        <f>IF(EQ86="","",IF(ISNUMBER('Dvd Calendar'!$Q$828)=FALSE,"",IF((('Dvd Calendar'!$Q$830=TYPE1)*(TYPE1&lt;&gt;"")+('Dvd Calendar'!$Q$830=TYPE2)*(TYPE2&lt;&gt;"")+('Dvd Calendar'!$Q$830=TYPE3)*(TYPE3&lt;&gt;"")+('Dvd Calendar'!$Q$830=TYPE4)*(TYPE4&lt;&gt;"")+('Dvd Calendar'!$Q$830=SPECIAL_LBL)*(INC_SPECIALS="Y"))=0,"",'Dvd Calendar'!$Q$828)))</f>
        <v/>
      </c>
      <c r="P86" s="110">
        <f>IF(ER86="","",IF(ISNUMBER('Dvd Calendar'!$R$828)=FALSE,"",IF((('Dvd Calendar'!$R$830=TYPE1)*(TYPE1&lt;&gt;"")+('Dvd Calendar'!$R$830=TYPE2)*(TYPE2&lt;&gt;"")+('Dvd Calendar'!$R$830=TYPE3)*(TYPE3&lt;&gt;"")+('Dvd Calendar'!$R$830=TYPE4)*(TYPE4&lt;&gt;"")+('Dvd Calendar'!$R$830=SPECIAL_LBL)*(INC_SPECIALS="Y"))=0,"",'Dvd Calendar'!$R$828)))</f>
        <v/>
      </c>
      <c r="Q86" s="110">
        <f>IF(ES86="","",IF(ISNUMBER('Dvd Calendar'!$S$828)=FALSE,"",IF((('Dvd Calendar'!$S$830=TYPE1)*(TYPE1&lt;&gt;"")+('Dvd Calendar'!$S$830=TYPE2)*(TYPE2&lt;&gt;"")+('Dvd Calendar'!$S$830=TYPE3)*(TYPE3&lt;&gt;"")+('Dvd Calendar'!$S$830=TYPE4)*(TYPE4&lt;&gt;"")+('Dvd Calendar'!$S$830=SPECIAL_LBL)*(INC_SPECIALS="Y"))=0,"",'Dvd Calendar'!$S$828)))</f>
        <v/>
      </c>
      <c r="R86" s="110">
        <f>IF(ET86="","",IF(ISNUMBER('Dvd Calendar'!$T$828)=FALSE,"",IF((('Dvd Calendar'!$T$830=TYPE1)*(TYPE1&lt;&gt;"")+('Dvd Calendar'!$T$830=TYPE2)*(TYPE2&lt;&gt;"")+('Dvd Calendar'!$T$830=TYPE3)*(TYPE3&lt;&gt;"")+('Dvd Calendar'!$T$830=TYPE4)*(TYPE4&lt;&gt;"")+('Dvd Calendar'!$T$830=SPECIAL_LBL)*(INC_SPECIALS="Y"))=0,"",'Dvd Calendar'!$T$828)))</f>
        <v/>
      </c>
      <c r="S86" s="110">
        <f>IF(EU86="","",IF(ISNUMBER('Dvd Calendar'!$U$828)=FALSE,"",IF((('Dvd Calendar'!$U$830=TYPE1)*(TYPE1&lt;&gt;"")+('Dvd Calendar'!$U$830=TYPE2)*(TYPE2&lt;&gt;"")+('Dvd Calendar'!$U$830=TYPE3)*(TYPE3&lt;&gt;"")+('Dvd Calendar'!$U$830=TYPE4)*(TYPE4&lt;&gt;"")+('Dvd Calendar'!$U$830=SPECIAL_LBL)*(INC_SPECIALS="Y"))=0,"",'Dvd Calendar'!$U$828)))</f>
        <v/>
      </c>
      <c r="T86" s="110">
        <f>IF(EV86="","",IF(ISNUMBER('Dvd Calendar'!$V$828)=FALSE,"",IF((('Dvd Calendar'!$V$830=TYPE1)*(TYPE1&lt;&gt;"")+('Dvd Calendar'!$V$830=TYPE2)*(TYPE2&lt;&gt;"")+('Dvd Calendar'!$V$830=TYPE3)*(TYPE3&lt;&gt;"")+('Dvd Calendar'!$V$830=TYPE4)*(TYPE4&lt;&gt;"")+('Dvd Calendar'!$V$830=SPECIAL_LBL)*(INC_SPECIALS="Y"))=0,"",'Dvd Calendar'!$V$828)))</f>
        <v/>
      </c>
      <c r="U86" s="110">
        <f>IF(EW86="","",IF(ISNUMBER('Dvd Calendar'!$W$828)=FALSE,"",IF((('Dvd Calendar'!$W$830=TYPE1)*(TYPE1&lt;&gt;"")+('Dvd Calendar'!$W$830=TYPE2)*(TYPE2&lt;&gt;"")+('Dvd Calendar'!$W$830=TYPE3)*(TYPE3&lt;&gt;"")+('Dvd Calendar'!$W$830=TYPE4)*(TYPE4&lt;&gt;"")+('Dvd Calendar'!$W$830=SPECIAL_LBL)*(INC_SPECIALS="Y"))=0,"",'Dvd Calendar'!$W$828)))</f>
        <v/>
      </c>
      <c r="V86" s="110">
        <f>IF(EX86="","",IF(ISNUMBER('Dvd Calendar'!$X$828)=FALSE,"",IF((('Dvd Calendar'!$X$830=TYPE1)*(TYPE1&lt;&gt;"")+('Dvd Calendar'!$X$830=TYPE2)*(TYPE2&lt;&gt;"")+('Dvd Calendar'!$X$830=TYPE3)*(TYPE3&lt;&gt;"")+('Dvd Calendar'!$X$830=TYPE4)*(TYPE4&lt;&gt;"")+('Dvd Calendar'!$X$830=SPECIAL_LBL)*(INC_SPECIALS="Y"))=0,"",'Dvd Calendar'!$X$828)))</f>
        <v/>
      </c>
      <c r="W86" s="110">
        <f>IF(EY86="","",IF(ISNUMBER('Dvd Calendar'!$Y$828)=FALSE,"",IF((('Dvd Calendar'!$Y$830=TYPE1)*(TYPE1&lt;&gt;"")+('Dvd Calendar'!$Y$830=TYPE2)*(TYPE2&lt;&gt;"")+('Dvd Calendar'!$Y$830=TYPE3)*(TYPE3&lt;&gt;"")+('Dvd Calendar'!$Y$830=TYPE4)*(TYPE4&lt;&gt;"")+('Dvd Calendar'!$Y$830=SPECIAL_LBL)*(INC_SPECIALS="Y"))=0,"",'Dvd Calendar'!$Y$828)))</f>
        <v/>
      </c>
      <c r="X86" s="110">
        <f>IF(EZ86="","",IF(ISNUMBER('Dvd Calendar'!$Z$828)=FALSE,"",IF((('Dvd Calendar'!$Z$830=TYPE1)*(TYPE1&lt;&gt;"")+('Dvd Calendar'!$Z$830=TYPE2)*(TYPE2&lt;&gt;"")+('Dvd Calendar'!$Z$830=TYPE3)*(TYPE3&lt;&gt;"")+('Dvd Calendar'!$Z$830=TYPE4)*(TYPE4&lt;&gt;"")+('Dvd Calendar'!$Z$830=SPECIAL_LBL)*(INC_SPECIALS="Y"))=0,"",'Dvd Calendar'!$Z$828)))</f>
        <v/>
      </c>
      <c r="Y86" s="110">
        <f>IF(FA86="","",IF(ISNUMBER('Dvd Calendar'!$AA$828)=FALSE,"",IF((('Dvd Calendar'!$AA$830=TYPE1)*(TYPE1&lt;&gt;"")+('Dvd Calendar'!$AA$830=TYPE2)*(TYPE2&lt;&gt;"")+('Dvd Calendar'!$AA$830=TYPE3)*(TYPE3&lt;&gt;"")+('Dvd Calendar'!$AA$830=TYPE4)*(TYPE4&lt;&gt;"")+('Dvd Calendar'!$AA$830=SPECIAL_LBL)*(INC_SPECIALS="Y"))=0,"",'Dvd Calendar'!$AA$828)))</f>
        <v/>
      </c>
      <c r="Z86" s="110">
        <f>IF(FB86="","",IF(ISNUMBER('Dvd Calendar'!$AB$828)=FALSE,"",IF((('Dvd Calendar'!$AB$830=TYPE1)*(TYPE1&lt;&gt;"")+('Dvd Calendar'!$AB$830=TYPE2)*(TYPE2&lt;&gt;"")+('Dvd Calendar'!$AB$830=TYPE3)*(TYPE3&lt;&gt;"")+('Dvd Calendar'!$AB$830=TYPE4)*(TYPE4&lt;&gt;"")+('Dvd Calendar'!$AB$830=SPECIAL_LBL)*(INC_SPECIALS="Y"))=0,"",'Dvd Calendar'!$AB$828)))</f>
        <v/>
      </c>
      <c r="AA86" s="110">
        <f>IF(FC86="","",IF(ISNUMBER('Dvd Calendar'!$AC$828)=FALSE,"",IF((('Dvd Calendar'!$AC$830=TYPE1)*(TYPE1&lt;&gt;"")+('Dvd Calendar'!$AC$830=TYPE2)*(TYPE2&lt;&gt;"")+('Dvd Calendar'!$AC$830=TYPE3)*(TYPE3&lt;&gt;"")+('Dvd Calendar'!$AC$830=TYPE4)*(TYPE4&lt;&gt;"")+('Dvd Calendar'!$AC$830=SPECIAL_LBL)*(INC_SPECIALS="Y"))=0,"",'Dvd Calendar'!$AC$828)))</f>
        <v/>
      </c>
      <c r="AB86" s="110">
        <f>IF(FD86="","",IF(ISNUMBER('Dvd Calendar'!$AD$828)=FALSE,"",IF((('Dvd Calendar'!$AD$830=TYPE1)*(TYPE1&lt;&gt;"")+('Dvd Calendar'!$AD$830=TYPE2)*(TYPE2&lt;&gt;"")+('Dvd Calendar'!$AD$830=TYPE3)*(TYPE3&lt;&gt;"")+('Dvd Calendar'!$AD$830=TYPE4)*(TYPE4&lt;&gt;"")+('Dvd Calendar'!$AD$830=SPECIAL_LBL)*(INC_SPECIALS="Y"))=0,"",'Dvd Calendar'!$AD$828)))</f>
        <v/>
      </c>
      <c r="AC86" s="110">
        <f>IF(FE86="","",IF(ISNUMBER('Dvd Calendar'!$AE$828)=FALSE,"",IF((('Dvd Calendar'!$AE$830=TYPE1)*(TYPE1&lt;&gt;"")+('Dvd Calendar'!$AE$830=TYPE2)*(TYPE2&lt;&gt;"")+('Dvd Calendar'!$AE$830=TYPE3)*(TYPE3&lt;&gt;"")+('Dvd Calendar'!$AE$830=TYPE4)*(TYPE4&lt;&gt;"")+('Dvd Calendar'!$AE$830=SPECIAL_LBL)*(INC_SPECIALS="Y"))=0,"",'Dvd Calendar'!$AE$828)))</f>
        <v/>
      </c>
      <c r="AD86" s="110">
        <f>IF(FF86="","",IF(ISNUMBER('Dvd Calendar'!$AF$828)=FALSE,"",IF((('Dvd Calendar'!$AF$830=TYPE1)*(TYPE1&lt;&gt;"")+('Dvd Calendar'!$AF$830=TYPE2)*(TYPE2&lt;&gt;"")+('Dvd Calendar'!$AF$830=TYPE3)*(TYPE3&lt;&gt;"")+('Dvd Calendar'!$AF$830=TYPE4)*(TYPE4&lt;&gt;"")+('Dvd Calendar'!$AF$830=SPECIAL_LBL)*(INC_SPECIALS="Y"))=0,"",'Dvd Calendar'!$AF$828)))</f>
        <v/>
      </c>
      <c r="AE86" s="110">
        <f>IF(FG86="","",IF(ISNUMBER('Dvd Calendar'!$AG$828)=FALSE,"",IF((('Dvd Calendar'!$AG$830=TYPE1)*(TYPE1&lt;&gt;"")+('Dvd Calendar'!$AG$830=TYPE2)*(TYPE2&lt;&gt;"")+('Dvd Calendar'!$AG$830=TYPE3)*(TYPE3&lt;&gt;"")+('Dvd Calendar'!$AG$830=TYPE4)*(TYPE4&lt;&gt;"")+('Dvd Calendar'!$AG$830=SPECIAL_LBL)*(INC_SPECIALS="Y"))=0,"",'Dvd Calendar'!$AG$828)))</f>
        <v/>
      </c>
      <c r="AF86" s="110">
        <f>IF(FH86="","",IF(ISNUMBER('Dvd Calendar'!$AH$828)=FALSE,"",IF((('Dvd Calendar'!$AH$830=TYPE1)*(TYPE1&lt;&gt;"")+('Dvd Calendar'!$AH$830=TYPE2)*(TYPE2&lt;&gt;"")+('Dvd Calendar'!$AH$830=TYPE3)*(TYPE3&lt;&gt;"")+('Dvd Calendar'!$AH$830=TYPE4)*(TYPE4&lt;&gt;"")+('Dvd Calendar'!$AH$830=SPECIAL_LBL)*(INC_SPECIALS="Y"))=0,"",'Dvd Calendar'!$AH$828)))</f>
        <v/>
      </c>
      <c r="AG86" s="110">
        <f>IF(FI86="","",IF(ISNUMBER('Dvd Calendar'!$AI$828)=FALSE,"",IF((('Dvd Calendar'!$AI$830=TYPE1)*(TYPE1&lt;&gt;"")+('Dvd Calendar'!$AI$830=TYPE2)*(TYPE2&lt;&gt;"")+('Dvd Calendar'!$AI$830=TYPE3)*(TYPE3&lt;&gt;"")+('Dvd Calendar'!$AI$830=TYPE4)*(TYPE4&lt;&gt;"")+('Dvd Calendar'!$AI$830=SPECIAL_LBL)*(INC_SPECIALS="Y"))=0,"",'Dvd Calendar'!$AI$828)))</f>
        <v/>
      </c>
      <c r="AH86" s="110">
        <f>IF(FJ86="","",IF(ISNUMBER('Dvd Calendar'!$AJ$828)=FALSE,"",IF((('Dvd Calendar'!$AJ$830=TYPE1)*(TYPE1&lt;&gt;"")+('Dvd Calendar'!$AJ$830=TYPE2)*(TYPE2&lt;&gt;"")+('Dvd Calendar'!$AJ$830=TYPE3)*(TYPE3&lt;&gt;"")+('Dvd Calendar'!$AJ$830=TYPE4)*(TYPE4&lt;&gt;"")+('Dvd Calendar'!$AJ$830=SPECIAL_LBL)*(INC_SPECIALS="Y"))=0,"",'Dvd Calendar'!$AJ$828)))</f>
        <v/>
      </c>
      <c r="AI86" s="110">
        <f>IF(FK86="","",IF(ISNUMBER('Dvd Calendar'!$AK$828)=FALSE,"",IF((('Dvd Calendar'!$AK$830=TYPE1)*(TYPE1&lt;&gt;"")+('Dvd Calendar'!$AK$830=TYPE2)*(TYPE2&lt;&gt;"")+('Dvd Calendar'!$AK$830=TYPE3)*(TYPE3&lt;&gt;"")+('Dvd Calendar'!$AK$830=TYPE4)*(TYPE4&lt;&gt;"")+('Dvd Calendar'!$AK$830=SPECIAL_LBL)*(INC_SPECIALS="Y"))=0,"",'Dvd Calendar'!$AK$828)))</f>
        <v/>
      </c>
      <c r="AJ86" s="110">
        <f>IF(FL86="","",IF(ISNUMBER('Dvd Calendar'!$AL$828)=FALSE,"",IF((('Dvd Calendar'!$AL$830=TYPE1)*(TYPE1&lt;&gt;"")+('Dvd Calendar'!$AL$830=TYPE2)*(TYPE2&lt;&gt;"")+('Dvd Calendar'!$AL$830=TYPE3)*(TYPE3&lt;&gt;"")+('Dvd Calendar'!$AL$830=TYPE4)*(TYPE4&lt;&gt;"")+('Dvd Calendar'!$AL$830=SPECIAL_LBL)*(INC_SPECIALS="Y"))=0,"",'Dvd Calendar'!$AL$828)))</f>
        <v/>
      </c>
      <c r="AK86" s="110">
        <f>IF(FM86="","",IF(ISNUMBER('Dvd Calendar'!$AM$828)=FALSE,"",IF((('Dvd Calendar'!$AM$830=TYPE1)*(TYPE1&lt;&gt;"")+('Dvd Calendar'!$AM$830=TYPE2)*(TYPE2&lt;&gt;"")+('Dvd Calendar'!$AM$830=TYPE3)*(TYPE3&lt;&gt;"")+('Dvd Calendar'!$AM$830=TYPE4)*(TYPE4&lt;&gt;"")+('Dvd Calendar'!$AM$830=SPECIAL_LBL)*(INC_SPECIALS="Y"))=0,"",'Dvd Calendar'!$AM$828)))</f>
        <v/>
      </c>
      <c r="AL86" s="110">
        <f>IF(FN86="","",IF(ISNUMBER('Dvd Calendar'!$AN$828)=FALSE,"",IF((('Dvd Calendar'!$AN$830=TYPE1)*(TYPE1&lt;&gt;"")+('Dvd Calendar'!$AN$830=TYPE2)*(TYPE2&lt;&gt;"")+('Dvd Calendar'!$AN$830=TYPE3)*(TYPE3&lt;&gt;"")+('Dvd Calendar'!$AN$830=TYPE4)*(TYPE4&lt;&gt;"")+('Dvd Calendar'!$AN$830=SPECIAL_LBL)*(INC_SPECIALS="Y"))=0,"",'Dvd Calendar'!$AN$828)))</f>
        <v/>
      </c>
      <c r="AM86" s="110">
        <f>IF(FO86="","",IF(ISNUMBER('Dvd Calendar'!$AO$828)=FALSE,"",IF((('Dvd Calendar'!$AO$830=TYPE1)*(TYPE1&lt;&gt;"")+('Dvd Calendar'!$AO$830=TYPE2)*(TYPE2&lt;&gt;"")+('Dvd Calendar'!$AO$830=TYPE3)*(TYPE3&lt;&gt;"")+('Dvd Calendar'!$AO$830=TYPE4)*(TYPE4&lt;&gt;"")+('Dvd Calendar'!$AO$830=SPECIAL_LBL)*(INC_SPECIALS="Y"))=0,"",'Dvd Calendar'!$AO$828)))</f>
        <v/>
      </c>
      <c r="AN86" s="110">
        <f>IF(FP86="","",IF(ISNUMBER('Dvd Calendar'!$AP$828)=FALSE,"",IF((('Dvd Calendar'!$AP$830=TYPE1)*(TYPE1&lt;&gt;"")+('Dvd Calendar'!$AP$830=TYPE2)*(TYPE2&lt;&gt;"")+('Dvd Calendar'!$AP$830=TYPE3)*(TYPE3&lt;&gt;"")+('Dvd Calendar'!$AP$830=TYPE4)*(TYPE4&lt;&gt;"")+('Dvd Calendar'!$AP$830=SPECIAL_LBL)*(INC_SPECIALS="Y"))=0,"",'Dvd Calendar'!$AP$828)))</f>
        <v/>
      </c>
      <c r="AO86" s="110">
        <f>IF(FQ86="","",IF(ISNUMBER('Dvd Calendar'!$AQ$828)=FALSE,"",IF((('Dvd Calendar'!$AQ$830=TYPE1)*(TYPE1&lt;&gt;"")+('Dvd Calendar'!$AQ$830=TYPE2)*(TYPE2&lt;&gt;"")+('Dvd Calendar'!$AQ$830=TYPE3)*(TYPE3&lt;&gt;"")+('Dvd Calendar'!$AQ$830=TYPE4)*(TYPE4&lt;&gt;"")+('Dvd Calendar'!$AQ$830=SPECIAL_LBL)*(INC_SPECIALS="Y"))=0,"",'Dvd Calendar'!$AQ$828)))</f>
        <v/>
      </c>
      <c r="AP86" s="110">
        <f>IF(FR86="","",IF(ISNUMBER('Dvd Calendar'!$AR$828)=FALSE,"",IF((('Dvd Calendar'!$AR$830=TYPE1)*(TYPE1&lt;&gt;"")+('Dvd Calendar'!$AR$830=TYPE2)*(TYPE2&lt;&gt;"")+('Dvd Calendar'!$AR$830=TYPE3)*(TYPE3&lt;&gt;"")+('Dvd Calendar'!$AR$830=TYPE4)*(TYPE4&lt;&gt;"")+('Dvd Calendar'!$AR$830=SPECIAL_LBL)*(INC_SPECIALS="Y"))=0,"",'Dvd Calendar'!$AR$828)))</f>
        <v/>
      </c>
      <c r="AQ86" s="110">
        <f>IF(FS86="","",IF(ISNUMBER('Dvd Calendar'!$E$833)=FALSE,"",'Dvd Calendar'!$E$833))</f>
        <v/>
      </c>
      <c r="AR86" s="110">
        <f>IF(FT86="","",IF(ISNUMBER('Dvd Calendar'!$F$833)=FALSE,"",'Dvd Calendar'!$F$833))</f>
        <v/>
      </c>
      <c r="AS86" s="110">
        <f>IF(FU86="","",IF(ISNUMBER('Dvd Calendar'!$G$833)=FALSE,"",'Dvd Calendar'!$G$833))</f>
        <v/>
      </c>
      <c r="AT86" s="110">
        <f>IF(FV86="","",IF(ISNUMBER('Dvd Calendar'!$H$833)=FALSE,"",'Dvd Calendar'!$H$833))</f>
        <v/>
      </c>
      <c r="AU86" s="110">
        <f>IF(FW86="","",IF(ISNUMBER('Dvd Calendar'!$I$833)=FALSE,"",'Dvd Calendar'!$I$833))</f>
        <v/>
      </c>
      <c r="AV86" s="110">
        <f>IF(FX86="","",IF(ISNUMBER('Dvd Calendar'!$J$833)=FALSE,"",'Dvd Calendar'!$J$833))</f>
        <v/>
      </c>
      <c r="AW86" s="110">
        <f>IF(FY86="","",IF(ISNUMBER('Dvd Calendar'!$K$833)=FALSE,"",'Dvd Calendar'!$K$833))</f>
        <v/>
      </c>
      <c r="AX86" s="110">
        <f>IF(FZ86="","",IF(ISNUMBER('Dvd Calendar'!$L$833)=FALSE,"",'Dvd Calendar'!$L$833))</f>
        <v/>
      </c>
      <c r="AY86" s="110">
        <f>IF(GA86="","",IF(ISNUMBER('Dvd Calendar'!$M$833)=FALSE,"",'Dvd Calendar'!$M$833))</f>
        <v/>
      </c>
      <c r="AZ86" s="110">
        <f>IF(GB86="","",IF(ISNUMBER('Dvd Calendar'!$N$833)=FALSE,"",'Dvd Calendar'!$N$833))</f>
        <v/>
      </c>
      <c r="BA86" s="110">
        <f>IF(GC86="","",IF(ISNUMBER('Dvd Calendar'!$O$833)=FALSE,"",'Dvd Calendar'!$O$833))</f>
        <v/>
      </c>
      <c r="BB86" s="110">
        <f>IF(GD86="","",IF(ISNUMBER('Dvd Calendar'!$P$833)=FALSE,"",'Dvd Calendar'!$P$833))</f>
        <v/>
      </c>
      <c r="BC86" s="110">
        <f>IF(GE86="","",IF(ISNUMBER('Dvd Calendar'!$Q$833)=FALSE,"",'Dvd Calendar'!$Q$833))</f>
        <v/>
      </c>
      <c r="BD86" s="110">
        <f>IF(GF86="","",IF(ISNUMBER('Dvd Calendar'!$R$833)=FALSE,"",'Dvd Calendar'!$R$833))</f>
        <v/>
      </c>
      <c r="BE86" s="110">
        <f>IF(GG86="","",IF(ISNUMBER('Dvd Calendar'!$S$833)=FALSE,"",'Dvd Calendar'!$S$833))</f>
        <v/>
      </c>
      <c r="BF86" s="110">
        <f>IF(GH86="","",IF(ISNUMBER('Dvd Calendar'!$T$833)=FALSE,"",'Dvd Calendar'!$T$833))</f>
        <v/>
      </c>
      <c r="BG86" s="110">
        <f>IF(GI86="","",IF(ISNUMBER('Dvd Calendar'!$U$833)=FALSE,"",'Dvd Calendar'!$U$833))</f>
        <v/>
      </c>
      <c r="BH86" s="110">
        <f>IF(GJ86="","",IF(ISNUMBER('Dvd Calendar'!$V$833)=FALSE,"",'Dvd Calendar'!$V$833))</f>
        <v/>
      </c>
      <c r="BI86" s="110">
        <f>IF(GK86="","",IF(ISNUMBER('Dvd Calendar'!$W$833)=FALSE,"",'Dvd Calendar'!$W$833))</f>
        <v/>
      </c>
      <c r="BJ86" s="110">
        <f>IF(GL86="","",IF(ISNUMBER('Dvd Calendar'!$X$833)=FALSE,"",'Dvd Calendar'!$X$833))</f>
        <v/>
      </c>
      <c r="BK86" s="110">
        <f>IF(GM86="","",IF(ISNUMBER('Dvd Calendar'!$Y$833)=FALSE,"",'Dvd Calendar'!$Y$833))</f>
        <v/>
      </c>
      <c r="BL86" s="110">
        <f>IF(GN86="","",IF(ISNUMBER('Dvd Calendar'!$Z$833)=FALSE,"",'Dvd Calendar'!$Z$833))</f>
        <v/>
      </c>
      <c r="BM86" s="110">
        <f>IF(GO86="","",IF(ISNUMBER('Dvd Calendar'!$AA$833)=FALSE,"",'Dvd Calendar'!$AA$833))</f>
        <v/>
      </c>
      <c r="BN86" s="110">
        <f>IF(GP86="","",IF(ISNUMBER('Dvd Calendar'!$AB$833)=FALSE,"",'Dvd Calendar'!$AB$833))</f>
        <v/>
      </c>
      <c r="BO86" s="110">
        <f>IF(GQ86="","",IF(ISNUMBER('Dvd Calendar'!$AC$833)=FALSE,"",'Dvd Calendar'!$AC$833))</f>
        <v/>
      </c>
      <c r="BQ86" s="110">
        <f>IF(C86="","",IFERROR(C86*HSI!$B$81*HSI!$G$81/HSI!$B$3,""))</f>
        <v/>
      </c>
      <c r="BR86" s="110">
        <f>IF(D86="","",IFERROR(D86*HSI!$B$81*HSI!$G$81/HSI!$B$3,""))</f>
        <v/>
      </c>
      <c r="BS86" s="110">
        <f>IF(E86="","",IFERROR(E86*HSI!$B$81*HSI!$G$81/HSI!$B$3,""))</f>
        <v/>
      </c>
      <c r="BT86" s="110">
        <f>IF(F86="","",IFERROR(F86*HSI!$B$81*HSI!$G$81/HSI!$B$3,""))</f>
        <v/>
      </c>
      <c r="BU86" s="110">
        <f>IF(G86="","",IFERROR(G86*HSI!$B$81*HSI!$G$81/HSI!$B$3,""))</f>
        <v/>
      </c>
      <c r="BV86" s="110">
        <f>IF(H86="","",IFERROR(H86*HSI!$B$81*HSI!$G$81/HSI!$B$3,""))</f>
        <v/>
      </c>
      <c r="BW86" s="110">
        <f>IF(I86="","",IFERROR(I86*HSI!$B$81*HSI!$G$81/HSI!$B$3,""))</f>
        <v/>
      </c>
      <c r="BX86" s="110">
        <f>IF(J86="","",IFERROR(J86*HSI!$B$81*HSI!$G$81/HSI!$B$3,""))</f>
        <v/>
      </c>
      <c r="BY86" s="110">
        <f>IF(K86="","",IFERROR(K86*HSI!$B$81*HSI!$G$81/HSI!$B$3,""))</f>
        <v/>
      </c>
      <c r="BZ86" s="110">
        <f>IF(L86="","",IFERROR(L86*HSI!$B$81*HSI!$G$81/HSI!$B$3,""))</f>
        <v/>
      </c>
      <c r="CA86" s="110">
        <f>IF(M86="","",IFERROR(M86*HSI!$B$81*HSI!$G$81/HSI!$B$3,""))</f>
        <v/>
      </c>
      <c r="CB86" s="110">
        <f>IF(N86="","",IFERROR(N86*HSI!$B$81*HSI!$G$81/HSI!$B$3,""))</f>
        <v/>
      </c>
      <c r="CC86" s="110">
        <f>IF(O86="","",IFERROR(O86*HSI!$B$81*HSI!$G$81/HSI!$B$3,""))</f>
        <v/>
      </c>
      <c r="CD86" s="110">
        <f>IF(P86="","",IFERROR(P86*HSI!$B$81*HSI!$G$81/HSI!$B$3,""))</f>
        <v/>
      </c>
      <c r="CE86" s="110">
        <f>IF(Q86="","",IFERROR(Q86*HSI!$B$81*HSI!$G$81/HSI!$B$3,""))</f>
        <v/>
      </c>
      <c r="CF86" s="110">
        <f>IF(R86="","",IFERROR(R86*HSI!$B$81*HSI!$G$81/HSI!$B$3,""))</f>
        <v/>
      </c>
      <c r="CG86" s="110">
        <f>IF(S86="","",IFERROR(S86*HSI!$B$81*HSI!$G$81/HSI!$B$3,""))</f>
        <v/>
      </c>
      <c r="CH86" s="110">
        <f>IF(T86="","",IFERROR(T86*HSI!$B$81*HSI!$G$81/HSI!$B$3,""))</f>
        <v/>
      </c>
      <c r="CI86" s="110">
        <f>IF(U86="","",IFERROR(U86*HSI!$B$81*HSI!$G$81/HSI!$B$3,""))</f>
        <v/>
      </c>
      <c r="CJ86" s="110">
        <f>IF(V86="","",IFERROR(V86*HSI!$B$81*HSI!$G$81/HSI!$B$3,""))</f>
        <v/>
      </c>
      <c r="CK86" s="110">
        <f>IF(W86="","",IFERROR(W86*HSI!$B$81*HSI!$G$81/HSI!$B$3,""))</f>
        <v/>
      </c>
      <c r="CL86" s="110">
        <f>IF(X86="","",IFERROR(X86*HSI!$B$81*HSI!$G$81/HSI!$B$3,""))</f>
        <v/>
      </c>
      <c r="CM86" s="110">
        <f>IF(Y86="","",IFERROR(Y86*HSI!$B$81*HSI!$G$81/HSI!$B$3,""))</f>
        <v/>
      </c>
      <c r="CN86" s="110">
        <f>IF(Z86="","",IFERROR(Z86*HSI!$B$81*HSI!$G$81/HSI!$B$3,""))</f>
        <v/>
      </c>
      <c r="CO86" s="110">
        <f>IF(AA86="","",IFERROR(AA86*HSI!$B$81*HSI!$G$81/HSI!$B$3,""))</f>
        <v/>
      </c>
      <c r="CP86" s="110">
        <f>IF(AB86="","",IFERROR(AB86*HSI!$B$81*HSI!$G$81/HSI!$B$3,""))</f>
        <v/>
      </c>
      <c r="CQ86" s="110">
        <f>IF(AC86="","",IFERROR(AC86*HSI!$B$81*HSI!$G$81/HSI!$B$3,""))</f>
        <v/>
      </c>
      <c r="CR86" s="110">
        <f>IF(AD86="","",IFERROR(AD86*HSI!$B$81*HSI!$G$81/HSI!$B$3,""))</f>
        <v/>
      </c>
      <c r="CS86" s="110">
        <f>IF(AE86="","",IFERROR(AE86*HSI!$B$81*HSI!$G$81/HSI!$B$3,""))</f>
        <v/>
      </c>
      <c r="CT86" s="110">
        <f>IF(AF86="","",IFERROR(AF86*HSI!$B$81*HSI!$G$81/HSI!$B$3,""))</f>
        <v/>
      </c>
      <c r="CU86" s="110">
        <f>IF(AG86="","",IFERROR(AG86*HSI!$B$81*HSI!$G$81/HSI!$B$3,""))</f>
        <v/>
      </c>
      <c r="CV86" s="110">
        <f>IF(AH86="","",IFERROR(AH86*HSI!$B$81*HSI!$G$81/HSI!$B$3,""))</f>
        <v/>
      </c>
      <c r="CW86" s="110">
        <f>IF(AI86="","",IFERROR(AI86*HSI!$B$81*HSI!$G$81/HSI!$B$3,""))</f>
        <v/>
      </c>
      <c r="CX86" s="110">
        <f>IF(AJ86="","",IFERROR(AJ86*HSI!$B$81*HSI!$G$81/HSI!$B$3,""))</f>
        <v/>
      </c>
      <c r="CY86" s="110">
        <f>IF(AK86="","",IFERROR(AK86*HSI!$B$81*HSI!$G$81/HSI!$B$3,""))</f>
        <v/>
      </c>
      <c r="CZ86" s="110">
        <f>IF(AL86="","",IFERROR(AL86*HSI!$B$81*HSI!$G$81/HSI!$B$3,""))</f>
        <v/>
      </c>
      <c r="DA86" s="110">
        <f>IF(AM86="","",IFERROR(AM86*HSI!$B$81*HSI!$G$81/HSI!$B$3,""))</f>
        <v/>
      </c>
      <c r="DB86" s="110">
        <f>IF(AN86="","",IFERROR(AN86*HSI!$B$81*HSI!$G$81/HSI!$B$3,""))</f>
        <v/>
      </c>
      <c r="DC86" s="110">
        <f>IF(AO86="","",IFERROR(AO86*HSI!$B$81*HSI!$G$81/HSI!$B$3,""))</f>
        <v/>
      </c>
      <c r="DD86" s="110">
        <f>IF(AP86="","",IFERROR(AP86*HSI!$B$81*HSI!$G$81/HSI!$B$3,""))</f>
        <v/>
      </c>
      <c r="DE86" s="110">
        <f>IF(AQ86="","",IFERROR(AQ86*HSI!$B$81*HSI!$G$81/HSI!$B$3,""))</f>
        <v/>
      </c>
      <c r="DF86" s="110">
        <f>IF(AR86="","",IFERROR(AR86*HSI!$B$81*HSI!$G$81/HSI!$B$3,""))</f>
        <v/>
      </c>
      <c r="DG86" s="110">
        <f>IF(AS86="","",IFERROR(AS86*HSI!$B$81*HSI!$G$81/HSI!$B$3,""))</f>
        <v/>
      </c>
      <c r="DH86" s="110">
        <f>IF(AT86="","",IFERROR(AT86*HSI!$B$81*HSI!$G$81/HSI!$B$3,""))</f>
        <v/>
      </c>
      <c r="DI86" s="110">
        <f>IF(AU86="","",IFERROR(AU86*HSI!$B$81*HSI!$G$81/HSI!$B$3,""))</f>
        <v/>
      </c>
      <c r="DJ86" s="110">
        <f>IF(AV86="","",IFERROR(AV86*HSI!$B$81*HSI!$G$81/HSI!$B$3,""))</f>
        <v/>
      </c>
      <c r="DK86" s="110">
        <f>IF(AW86="","",IFERROR(AW86*HSI!$B$81*HSI!$G$81/HSI!$B$3,""))</f>
        <v/>
      </c>
      <c r="DL86" s="110">
        <f>IF(AX86="","",IFERROR(AX86*HSI!$B$81*HSI!$G$81/HSI!$B$3,""))</f>
        <v/>
      </c>
      <c r="DM86" s="110">
        <f>IF(AY86="","",IFERROR(AY86*HSI!$B$81*HSI!$G$81/HSI!$B$3,""))</f>
        <v/>
      </c>
      <c r="DN86" s="110">
        <f>IF(AZ86="","",IFERROR(AZ86*HSI!$B$81*HSI!$G$81/HSI!$B$3,""))</f>
        <v/>
      </c>
      <c r="DO86" s="110">
        <f>IF(BA86="","",IFERROR(BA86*HSI!$B$81*HSI!$G$81/HSI!$B$3,""))</f>
        <v/>
      </c>
      <c r="DP86" s="110">
        <f>IF(BB86="","",IFERROR(BB86*HSI!$B$81*HSI!$G$81/HSI!$B$3,""))</f>
        <v/>
      </c>
      <c r="DQ86" s="110">
        <f>IF(BC86="","",IFERROR(BC86*HSI!$B$81*HSI!$G$81/HSI!$B$3,""))</f>
        <v/>
      </c>
      <c r="DR86" s="110">
        <f>IF(BD86="","",IFERROR(BD86*HSI!$B$81*HSI!$G$81/HSI!$B$3,""))</f>
        <v/>
      </c>
      <c r="DS86" s="110">
        <f>IF(BE86="","",IFERROR(BE86*HSI!$B$81*HSI!$G$81/HSI!$B$3,""))</f>
        <v/>
      </c>
      <c r="DT86" s="110">
        <f>IF(BF86="","",IFERROR(BF86*HSI!$B$81*HSI!$G$81/HSI!$B$3,""))</f>
        <v/>
      </c>
      <c r="DU86" s="110">
        <f>IF(BG86="","",IFERROR(BG86*HSI!$B$81*HSI!$G$81/HSI!$B$3,""))</f>
        <v/>
      </c>
      <c r="DV86" s="110">
        <f>IF(BH86="","",IFERROR(BH86*HSI!$B$81*HSI!$G$81/HSI!$B$3,""))</f>
        <v/>
      </c>
      <c r="DW86" s="110">
        <f>IF(BI86="","",IFERROR(BI86*HSI!$B$81*HSI!$G$81/HSI!$B$3,""))</f>
        <v/>
      </c>
      <c r="DX86" s="110">
        <f>IF(BJ86="","",IFERROR(BJ86*HSI!$B$81*HSI!$G$81/HSI!$B$3,""))</f>
        <v/>
      </c>
      <c r="DY86" s="110">
        <f>IF(BK86="","",IFERROR(BK86*HSI!$B$81*HSI!$G$81/HSI!$B$3,""))</f>
        <v/>
      </c>
      <c r="DZ86" s="110">
        <f>IF(BL86="","",IFERROR(BL86*HSI!$B$81*HSI!$G$81/HSI!$B$3,""))</f>
        <v/>
      </c>
      <c r="EA86" s="110">
        <f>IF(BM86="","",IFERROR(BM86*HSI!$B$81*HSI!$G$81/HSI!$B$3,""))</f>
        <v/>
      </c>
      <c r="EB86" s="110">
        <f>IF(BN86="","",IFERROR(BN86*HSI!$B$81*HSI!$G$81/HSI!$B$3,""))</f>
        <v/>
      </c>
      <c r="EC86" s="110">
        <f>IF(BO86="","",IFERROR(BO86*HSI!$B$81*HSI!$G$81/HSI!$B$3,""))</f>
        <v/>
      </c>
      <c r="EE86" s="39">
        <f>IF(N('Dvd Calendar'!$E$825)=0,"",IF(('Dvd Calendar'!$E$825&gt;=GRID_FROM)*('Dvd Calendar'!$E$825&lt;=GRID_TO)*((('Dvd Calendar'!$E$825&lt;=VAL_DATE)+(COUNTIF('Dvd Calendar'!$E$832:$AR$832,'Dvd Calendar'!$E$825)=0))&gt;0)=0,"",'Dvd Calendar'!$E$825*1000000000+ISNUMBER('Dvd Calendar'!$E$828)*100000000+('Dvd Calendar'!$E$830=SPECIAL_LBL)*10000000+(N('Dvd Calendar'!$E$824)&gt;0)*(N('Dvd Calendar'!$E$824)&lt;=VAL_SERIAL)*1000000+75*1000+1))</f>
        <v/>
      </c>
      <c r="EF86" s="39">
        <f>IF(N('Dvd Calendar'!$F$825)=0,"",IF(('Dvd Calendar'!$F$825&gt;=GRID_FROM)*('Dvd Calendar'!$F$825&lt;=GRID_TO)*((('Dvd Calendar'!$F$825&lt;=VAL_DATE)+(COUNTIF('Dvd Calendar'!$E$832:$AR$832,'Dvd Calendar'!$F$825)=0))&gt;0)=0,"",'Dvd Calendar'!$F$825*1000000000+ISNUMBER('Dvd Calendar'!$F$828)*100000000+('Dvd Calendar'!$F$830=SPECIAL_LBL)*10000000+(N('Dvd Calendar'!$F$824)&gt;0)*(N('Dvd Calendar'!$F$824)&lt;=VAL_SERIAL)*1000000+75*1000+2))</f>
        <v/>
      </c>
      <c r="EG86" s="39">
        <f>IF(N('Dvd Calendar'!$G$825)=0,"",IF(('Dvd Calendar'!$G$825&gt;=GRID_FROM)*('Dvd Calendar'!$G$825&lt;=GRID_TO)*((('Dvd Calendar'!$G$825&lt;=VAL_DATE)+(COUNTIF('Dvd Calendar'!$E$832:$AR$832,'Dvd Calendar'!$G$825)=0))&gt;0)=0,"",'Dvd Calendar'!$G$825*1000000000+ISNUMBER('Dvd Calendar'!$G$828)*100000000+('Dvd Calendar'!$G$830=SPECIAL_LBL)*10000000+(N('Dvd Calendar'!$G$824)&gt;0)*(N('Dvd Calendar'!$G$824)&lt;=VAL_SERIAL)*1000000+75*1000+3))</f>
        <v/>
      </c>
      <c r="EH86" s="39">
        <f>IF(N('Dvd Calendar'!$H$825)=0,"",IF(('Dvd Calendar'!$H$825&gt;=GRID_FROM)*('Dvd Calendar'!$H$825&lt;=GRID_TO)*((('Dvd Calendar'!$H$825&lt;=VAL_DATE)+(COUNTIF('Dvd Calendar'!$E$832:$AR$832,'Dvd Calendar'!$H$825)=0))&gt;0)=0,"",'Dvd Calendar'!$H$825*1000000000+ISNUMBER('Dvd Calendar'!$H$828)*100000000+('Dvd Calendar'!$H$830=SPECIAL_LBL)*10000000+(N('Dvd Calendar'!$H$824)&gt;0)*(N('Dvd Calendar'!$H$824)&lt;=VAL_SERIAL)*1000000+75*1000+4))</f>
        <v/>
      </c>
      <c r="EI86" s="39">
        <f>IF(N('Dvd Calendar'!$I$825)=0,"",IF(('Dvd Calendar'!$I$825&gt;=GRID_FROM)*('Dvd Calendar'!$I$825&lt;=GRID_TO)*((('Dvd Calendar'!$I$825&lt;=VAL_DATE)+(COUNTIF('Dvd Calendar'!$E$832:$AR$832,'Dvd Calendar'!$I$825)=0))&gt;0)=0,"",'Dvd Calendar'!$I$825*1000000000+ISNUMBER('Dvd Calendar'!$I$828)*100000000+('Dvd Calendar'!$I$830=SPECIAL_LBL)*10000000+(N('Dvd Calendar'!$I$824)&gt;0)*(N('Dvd Calendar'!$I$824)&lt;=VAL_SERIAL)*1000000+75*1000+5))</f>
        <v/>
      </c>
      <c r="EJ86" s="39">
        <f>IF(N('Dvd Calendar'!$J$825)=0,"",IF(('Dvd Calendar'!$J$825&gt;=GRID_FROM)*('Dvd Calendar'!$J$825&lt;=GRID_TO)*((('Dvd Calendar'!$J$825&lt;=VAL_DATE)+(COUNTIF('Dvd Calendar'!$E$832:$AR$832,'Dvd Calendar'!$J$825)=0))&gt;0)=0,"",'Dvd Calendar'!$J$825*1000000000+ISNUMBER('Dvd Calendar'!$J$828)*100000000+('Dvd Calendar'!$J$830=SPECIAL_LBL)*10000000+(N('Dvd Calendar'!$J$824)&gt;0)*(N('Dvd Calendar'!$J$824)&lt;=VAL_SERIAL)*1000000+75*1000+6))</f>
        <v/>
      </c>
      <c r="EK86" s="39">
        <f>IF(N('Dvd Calendar'!$K$825)=0,"",IF(('Dvd Calendar'!$K$825&gt;=GRID_FROM)*('Dvd Calendar'!$K$825&lt;=GRID_TO)*((('Dvd Calendar'!$K$825&lt;=VAL_DATE)+(COUNTIF('Dvd Calendar'!$E$832:$AR$832,'Dvd Calendar'!$K$825)=0))&gt;0)=0,"",'Dvd Calendar'!$K$825*1000000000+ISNUMBER('Dvd Calendar'!$K$828)*100000000+('Dvd Calendar'!$K$830=SPECIAL_LBL)*10000000+(N('Dvd Calendar'!$K$824)&gt;0)*(N('Dvd Calendar'!$K$824)&lt;=VAL_SERIAL)*1000000+75*1000+7))</f>
        <v/>
      </c>
      <c r="EL86" s="39">
        <f>IF(N('Dvd Calendar'!$L$825)=0,"",IF(('Dvd Calendar'!$L$825&gt;=GRID_FROM)*('Dvd Calendar'!$L$825&lt;=GRID_TO)*((('Dvd Calendar'!$L$825&lt;=VAL_DATE)+(COUNTIF('Dvd Calendar'!$E$832:$AR$832,'Dvd Calendar'!$L$825)=0))&gt;0)=0,"",'Dvd Calendar'!$L$825*1000000000+ISNUMBER('Dvd Calendar'!$L$828)*100000000+('Dvd Calendar'!$L$830=SPECIAL_LBL)*10000000+(N('Dvd Calendar'!$L$824)&gt;0)*(N('Dvd Calendar'!$L$824)&lt;=VAL_SERIAL)*1000000+75*1000+8))</f>
        <v/>
      </c>
      <c r="EM86" s="39">
        <f>IF(N('Dvd Calendar'!$M$825)=0,"",IF(('Dvd Calendar'!$M$825&gt;=GRID_FROM)*('Dvd Calendar'!$M$825&lt;=GRID_TO)*((('Dvd Calendar'!$M$825&lt;=VAL_DATE)+(COUNTIF('Dvd Calendar'!$E$832:$AR$832,'Dvd Calendar'!$M$825)=0))&gt;0)=0,"",'Dvd Calendar'!$M$825*1000000000+ISNUMBER('Dvd Calendar'!$M$828)*100000000+('Dvd Calendar'!$M$830=SPECIAL_LBL)*10000000+(N('Dvd Calendar'!$M$824)&gt;0)*(N('Dvd Calendar'!$M$824)&lt;=VAL_SERIAL)*1000000+75*1000+9))</f>
        <v/>
      </c>
      <c r="EN86" s="39">
        <f>IF(N('Dvd Calendar'!$N$825)=0,"",IF(('Dvd Calendar'!$N$825&gt;=GRID_FROM)*('Dvd Calendar'!$N$825&lt;=GRID_TO)*((('Dvd Calendar'!$N$825&lt;=VAL_DATE)+(COUNTIF('Dvd Calendar'!$E$832:$AR$832,'Dvd Calendar'!$N$825)=0))&gt;0)=0,"",'Dvd Calendar'!$N$825*1000000000+ISNUMBER('Dvd Calendar'!$N$828)*100000000+('Dvd Calendar'!$N$830=SPECIAL_LBL)*10000000+(N('Dvd Calendar'!$N$824)&gt;0)*(N('Dvd Calendar'!$N$824)&lt;=VAL_SERIAL)*1000000+75*1000+10))</f>
        <v/>
      </c>
      <c r="EO86" s="39">
        <f>IF(N('Dvd Calendar'!$O$825)=0,"",IF(('Dvd Calendar'!$O$825&gt;=GRID_FROM)*('Dvd Calendar'!$O$825&lt;=GRID_TO)*((('Dvd Calendar'!$O$825&lt;=VAL_DATE)+(COUNTIF('Dvd Calendar'!$E$832:$AR$832,'Dvd Calendar'!$O$825)=0))&gt;0)=0,"",'Dvd Calendar'!$O$825*1000000000+ISNUMBER('Dvd Calendar'!$O$828)*100000000+('Dvd Calendar'!$O$830=SPECIAL_LBL)*10000000+(N('Dvd Calendar'!$O$824)&gt;0)*(N('Dvd Calendar'!$O$824)&lt;=VAL_SERIAL)*1000000+75*1000+11))</f>
        <v/>
      </c>
      <c r="EP86" s="39">
        <f>IF(N('Dvd Calendar'!$P$825)=0,"",IF(('Dvd Calendar'!$P$825&gt;=GRID_FROM)*('Dvd Calendar'!$P$825&lt;=GRID_TO)*((('Dvd Calendar'!$P$825&lt;=VAL_DATE)+(COUNTIF('Dvd Calendar'!$E$832:$AR$832,'Dvd Calendar'!$P$825)=0))&gt;0)=0,"",'Dvd Calendar'!$P$825*1000000000+ISNUMBER('Dvd Calendar'!$P$828)*100000000+('Dvd Calendar'!$P$830=SPECIAL_LBL)*10000000+(N('Dvd Calendar'!$P$824)&gt;0)*(N('Dvd Calendar'!$P$824)&lt;=VAL_SERIAL)*1000000+75*1000+12))</f>
        <v/>
      </c>
      <c r="EQ86" s="39">
        <f>IF(N('Dvd Calendar'!$Q$825)=0,"",IF(('Dvd Calendar'!$Q$825&gt;=GRID_FROM)*('Dvd Calendar'!$Q$825&lt;=GRID_TO)*((('Dvd Calendar'!$Q$825&lt;=VAL_DATE)+(COUNTIF('Dvd Calendar'!$E$832:$AR$832,'Dvd Calendar'!$Q$825)=0))&gt;0)=0,"",'Dvd Calendar'!$Q$825*1000000000+ISNUMBER('Dvd Calendar'!$Q$828)*100000000+('Dvd Calendar'!$Q$830=SPECIAL_LBL)*10000000+(N('Dvd Calendar'!$Q$824)&gt;0)*(N('Dvd Calendar'!$Q$824)&lt;=VAL_SERIAL)*1000000+75*1000+13))</f>
        <v/>
      </c>
      <c r="ER86" s="39">
        <f>IF(N('Dvd Calendar'!$R$825)=0,"",IF(('Dvd Calendar'!$R$825&gt;=GRID_FROM)*('Dvd Calendar'!$R$825&lt;=GRID_TO)*((('Dvd Calendar'!$R$825&lt;=VAL_DATE)+(COUNTIF('Dvd Calendar'!$E$832:$AR$832,'Dvd Calendar'!$R$825)=0))&gt;0)=0,"",'Dvd Calendar'!$R$825*1000000000+ISNUMBER('Dvd Calendar'!$R$828)*100000000+('Dvd Calendar'!$R$830=SPECIAL_LBL)*10000000+(N('Dvd Calendar'!$R$824)&gt;0)*(N('Dvd Calendar'!$R$824)&lt;=VAL_SERIAL)*1000000+75*1000+14))</f>
        <v/>
      </c>
      <c r="ES86" s="39">
        <f>IF(N('Dvd Calendar'!$S$825)=0,"",IF(('Dvd Calendar'!$S$825&gt;=GRID_FROM)*('Dvd Calendar'!$S$825&lt;=GRID_TO)*((('Dvd Calendar'!$S$825&lt;=VAL_DATE)+(COUNTIF('Dvd Calendar'!$E$832:$AR$832,'Dvd Calendar'!$S$825)=0))&gt;0)=0,"",'Dvd Calendar'!$S$825*1000000000+ISNUMBER('Dvd Calendar'!$S$828)*100000000+('Dvd Calendar'!$S$830=SPECIAL_LBL)*10000000+(N('Dvd Calendar'!$S$824)&gt;0)*(N('Dvd Calendar'!$S$824)&lt;=VAL_SERIAL)*1000000+75*1000+15))</f>
        <v/>
      </c>
      <c r="ET86" s="39">
        <f>IF(N('Dvd Calendar'!$T$825)=0,"",IF(('Dvd Calendar'!$T$825&gt;=GRID_FROM)*('Dvd Calendar'!$T$825&lt;=GRID_TO)*((('Dvd Calendar'!$T$825&lt;=VAL_DATE)+(COUNTIF('Dvd Calendar'!$E$832:$AR$832,'Dvd Calendar'!$T$825)=0))&gt;0)=0,"",'Dvd Calendar'!$T$825*1000000000+ISNUMBER('Dvd Calendar'!$T$828)*100000000+('Dvd Calendar'!$T$830=SPECIAL_LBL)*10000000+(N('Dvd Calendar'!$T$824)&gt;0)*(N('Dvd Calendar'!$T$824)&lt;=VAL_SERIAL)*1000000+75*1000+16))</f>
        <v/>
      </c>
      <c r="EU86" s="39">
        <f>IF(N('Dvd Calendar'!$U$825)=0,"",IF(('Dvd Calendar'!$U$825&gt;=GRID_FROM)*('Dvd Calendar'!$U$825&lt;=GRID_TO)*((('Dvd Calendar'!$U$825&lt;=VAL_DATE)+(COUNTIF('Dvd Calendar'!$E$832:$AR$832,'Dvd Calendar'!$U$825)=0))&gt;0)=0,"",'Dvd Calendar'!$U$825*1000000000+ISNUMBER('Dvd Calendar'!$U$828)*100000000+('Dvd Calendar'!$U$830=SPECIAL_LBL)*10000000+(N('Dvd Calendar'!$U$824)&gt;0)*(N('Dvd Calendar'!$U$824)&lt;=VAL_SERIAL)*1000000+75*1000+17))</f>
        <v/>
      </c>
      <c r="EV86" s="39">
        <f>IF(N('Dvd Calendar'!$V$825)=0,"",IF(('Dvd Calendar'!$V$825&gt;=GRID_FROM)*('Dvd Calendar'!$V$825&lt;=GRID_TO)*((('Dvd Calendar'!$V$825&lt;=VAL_DATE)+(COUNTIF('Dvd Calendar'!$E$832:$AR$832,'Dvd Calendar'!$V$825)=0))&gt;0)=0,"",'Dvd Calendar'!$V$825*1000000000+ISNUMBER('Dvd Calendar'!$V$828)*100000000+('Dvd Calendar'!$V$830=SPECIAL_LBL)*10000000+(N('Dvd Calendar'!$V$824)&gt;0)*(N('Dvd Calendar'!$V$824)&lt;=VAL_SERIAL)*1000000+75*1000+18))</f>
        <v/>
      </c>
      <c r="EW86" s="39">
        <f>IF(N('Dvd Calendar'!$W$825)=0,"",IF(('Dvd Calendar'!$W$825&gt;=GRID_FROM)*('Dvd Calendar'!$W$825&lt;=GRID_TO)*((('Dvd Calendar'!$W$825&lt;=VAL_DATE)+(COUNTIF('Dvd Calendar'!$E$832:$AR$832,'Dvd Calendar'!$W$825)=0))&gt;0)=0,"",'Dvd Calendar'!$W$825*1000000000+ISNUMBER('Dvd Calendar'!$W$828)*100000000+('Dvd Calendar'!$W$830=SPECIAL_LBL)*10000000+(N('Dvd Calendar'!$W$824)&gt;0)*(N('Dvd Calendar'!$W$824)&lt;=VAL_SERIAL)*1000000+75*1000+19))</f>
        <v/>
      </c>
      <c r="EX86" s="39">
        <f>IF(N('Dvd Calendar'!$X$825)=0,"",IF(('Dvd Calendar'!$X$825&gt;=GRID_FROM)*('Dvd Calendar'!$X$825&lt;=GRID_TO)*((('Dvd Calendar'!$X$825&lt;=VAL_DATE)+(COUNTIF('Dvd Calendar'!$E$832:$AR$832,'Dvd Calendar'!$X$825)=0))&gt;0)=0,"",'Dvd Calendar'!$X$825*1000000000+ISNUMBER('Dvd Calendar'!$X$828)*100000000+('Dvd Calendar'!$X$830=SPECIAL_LBL)*10000000+(N('Dvd Calendar'!$X$824)&gt;0)*(N('Dvd Calendar'!$X$824)&lt;=VAL_SERIAL)*1000000+75*1000+20))</f>
        <v/>
      </c>
      <c r="EY86" s="39">
        <f>IF(N('Dvd Calendar'!$Y$825)=0,"",IF(('Dvd Calendar'!$Y$825&gt;=GRID_FROM)*('Dvd Calendar'!$Y$825&lt;=GRID_TO)*((('Dvd Calendar'!$Y$825&lt;=VAL_DATE)+(COUNTIF('Dvd Calendar'!$E$832:$AR$832,'Dvd Calendar'!$Y$825)=0))&gt;0)=0,"",'Dvd Calendar'!$Y$825*1000000000+ISNUMBER('Dvd Calendar'!$Y$828)*100000000+('Dvd Calendar'!$Y$830=SPECIAL_LBL)*10000000+(N('Dvd Calendar'!$Y$824)&gt;0)*(N('Dvd Calendar'!$Y$824)&lt;=VAL_SERIAL)*1000000+75*1000+21))</f>
        <v/>
      </c>
      <c r="EZ86" s="39">
        <f>IF(N('Dvd Calendar'!$Z$825)=0,"",IF(('Dvd Calendar'!$Z$825&gt;=GRID_FROM)*('Dvd Calendar'!$Z$825&lt;=GRID_TO)*((('Dvd Calendar'!$Z$825&lt;=VAL_DATE)+(COUNTIF('Dvd Calendar'!$E$832:$AR$832,'Dvd Calendar'!$Z$825)=0))&gt;0)=0,"",'Dvd Calendar'!$Z$825*1000000000+ISNUMBER('Dvd Calendar'!$Z$828)*100000000+('Dvd Calendar'!$Z$830=SPECIAL_LBL)*10000000+(N('Dvd Calendar'!$Z$824)&gt;0)*(N('Dvd Calendar'!$Z$824)&lt;=VAL_SERIAL)*1000000+75*1000+22))</f>
        <v/>
      </c>
      <c r="FA86" s="39">
        <f>IF(N('Dvd Calendar'!$AA$825)=0,"",IF(('Dvd Calendar'!$AA$825&gt;=GRID_FROM)*('Dvd Calendar'!$AA$825&lt;=GRID_TO)*((('Dvd Calendar'!$AA$825&lt;=VAL_DATE)+(COUNTIF('Dvd Calendar'!$E$832:$AR$832,'Dvd Calendar'!$AA$825)=0))&gt;0)=0,"",'Dvd Calendar'!$AA$825*1000000000+ISNUMBER('Dvd Calendar'!$AA$828)*100000000+('Dvd Calendar'!$AA$830=SPECIAL_LBL)*10000000+(N('Dvd Calendar'!$AA$824)&gt;0)*(N('Dvd Calendar'!$AA$824)&lt;=VAL_SERIAL)*1000000+75*1000+23))</f>
        <v/>
      </c>
      <c r="FB86" s="39">
        <f>IF(N('Dvd Calendar'!$AB$825)=0,"",IF(('Dvd Calendar'!$AB$825&gt;=GRID_FROM)*('Dvd Calendar'!$AB$825&lt;=GRID_TO)*((('Dvd Calendar'!$AB$825&lt;=VAL_DATE)+(COUNTIF('Dvd Calendar'!$E$832:$AR$832,'Dvd Calendar'!$AB$825)=0))&gt;0)=0,"",'Dvd Calendar'!$AB$825*1000000000+ISNUMBER('Dvd Calendar'!$AB$828)*100000000+('Dvd Calendar'!$AB$830=SPECIAL_LBL)*10000000+(N('Dvd Calendar'!$AB$824)&gt;0)*(N('Dvd Calendar'!$AB$824)&lt;=VAL_SERIAL)*1000000+75*1000+24))</f>
        <v/>
      </c>
      <c r="FC86" s="39">
        <f>IF(N('Dvd Calendar'!$AC$825)=0,"",IF(('Dvd Calendar'!$AC$825&gt;=GRID_FROM)*('Dvd Calendar'!$AC$825&lt;=GRID_TO)*((('Dvd Calendar'!$AC$825&lt;=VAL_DATE)+(COUNTIF('Dvd Calendar'!$E$832:$AR$832,'Dvd Calendar'!$AC$825)=0))&gt;0)=0,"",'Dvd Calendar'!$AC$825*1000000000+ISNUMBER('Dvd Calendar'!$AC$828)*100000000+('Dvd Calendar'!$AC$830=SPECIAL_LBL)*10000000+(N('Dvd Calendar'!$AC$824)&gt;0)*(N('Dvd Calendar'!$AC$824)&lt;=VAL_SERIAL)*1000000+75*1000+25))</f>
        <v/>
      </c>
      <c r="FD86" s="39">
        <f>IF(N('Dvd Calendar'!$AD$825)=0,"",IF(('Dvd Calendar'!$AD$825&gt;=GRID_FROM)*('Dvd Calendar'!$AD$825&lt;=GRID_TO)*((('Dvd Calendar'!$AD$825&lt;=VAL_DATE)+(COUNTIF('Dvd Calendar'!$E$832:$AR$832,'Dvd Calendar'!$AD$825)=0))&gt;0)=0,"",'Dvd Calendar'!$AD$825*1000000000+ISNUMBER('Dvd Calendar'!$AD$828)*100000000+('Dvd Calendar'!$AD$830=SPECIAL_LBL)*10000000+(N('Dvd Calendar'!$AD$824)&gt;0)*(N('Dvd Calendar'!$AD$824)&lt;=VAL_SERIAL)*1000000+75*1000+26))</f>
        <v/>
      </c>
      <c r="FE86" s="39">
        <f>IF(N('Dvd Calendar'!$AE$825)=0,"",IF(('Dvd Calendar'!$AE$825&gt;=GRID_FROM)*('Dvd Calendar'!$AE$825&lt;=GRID_TO)*((('Dvd Calendar'!$AE$825&lt;=VAL_DATE)+(COUNTIF('Dvd Calendar'!$E$832:$AR$832,'Dvd Calendar'!$AE$825)=0))&gt;0)=0,"",'Dvd Calendar'!$AE$825*1000000000+ISNUMBER('Dvd Calendar'!$AE$828)*100000000+('Dvd Calendar'!$AE$830=SPECIAL_LBL)*10000000+(N('Dvd Calendar'!$AE$824)&gt;0)*(N('Dvd Calendar'!$AE$824)&lt;=VAL_SERIAL)*1000000+75*1000+27))</f>
        <v/>
      </c>
      <c r="FF86" s="39">
        <f>IF(N('Dvd Calendar'!$AF$825)=0,"",IF(('Dvd Calendar'!$AF$825&gt;=GRID_FROM)*('Dvd Calendar'!$AF$825&lt;=GRID_TO)*((('Dvd Calendar'!$AF$825&lt;=VAL_DATE)+(COUNTIF('Dvd Calendar'!$E$832:$AR$832,'Dvd Calendar'!$AF$825)=0))&gt;0)=0,"",'Dvd Calendar'!$AF$825*1000000000+ISNUMBER('Dvd Calendar'!$AF$828)*100000000+('Dvd Calendar'!$AF$830=SPECIAL_LBL)*10000000+(N('Dvd Calendar'!$AF$824)&gt;0)*(N('Dvd Calendar'!$AF$824)&lt;=VAL_SERIAL)*1000000+75*1000+28))</f>
        <v/>
      </c>
      <c r="FG86" s="39">
        <f>IF(N('Dvd Calendar'!$AG$825)=0,"",IF(('Dvd Calendar'!$AG$825&gt;=GRID_FROM)*('Dvd Calendar'!$AG$825&lt;=GRID_TO)*((('Dvd Calendar'!$AG$825&lt;=VAL_DATE)+(COUNTIF('Dvd Calendar'!$E$832:$AR$832,'Dvd Calendar'!$AG$825)=0))&gt;0)=0,"",'Dvd Calendar'!$AG$825*1000000000+ISNUMBER('Dvd Calendar'!$AG$828)*100000000+('Dvd Calendar'!$AG$830=SPECIAL_LBL)*10000000+(N('Dvd Calendar'!$AG$824)&gt;0)*(N('Dvd Calendar'!$AG$824)&lt;=VAL_SERIAL)*1000000+75*1000+29))</f>
        <v/>
      </c>
      <c r="FH86" s="39">
        <f>IF(N('Dvd Calendar'!$AH$825)=0,"",IF(('Dvd Calendar'!$AH$825&gt;=GRID_FROM)*('Dvd Calendar'!$AH$825&lt;=GRID_TO)*((('Dvd Calendar'!$AH$825&lt;=VAL_DATE)+(COUNTIF('Dvd Calendar'!$E$832:$AR$832,'Dvd Calendar'!$AH$825)=0))&gt;0)=0,"",'Dvd Calendar'!$AH$825*1000000000+ISNUMBER('Dvd Calendar'!$AH$828)*100000000+('Dvd Calendar'!$AH$830=SPECIAL_LBL)*10000000+(N('Dvd Calendar'!$AH$824)&gt;0)*(N('Dvd Calendar'!$AH$824)&lt;=VAL_SERIAL)*1000000+75*1000+30))</f>
        <v/>
      </c>
      <c r="FI86" s="39">
        <f>IF(N('Dvd Calendar'!$AI$825)=0,"",IF(('Dvd Calendar'!$AI$825&gt;=GRID_FROM)*('Dvd Calendar'!$AI$825&lt;=GRID_TO)*((('Dvd Calendar'!$AI$825&lt;=VAL_DATE)+(COUNTIF('Dvd Calendar'!$E$832:$AR$832,'Dvd Calendar'!$AI$825)=0))&gt;0)=0,"",'Dvd Calendar'!$AI$825*1000000000+ISNUMBER('Dvd Calendar'!$AI$828)*100000000+('Dvd Calendar'!$AI$830=SPECIAL_LBL)*10000000+(N('Dvd Calendar'!$AI$824)&gt;0)*(N('Dvd Calendar'!$AI$824)&lt;=VAL_SERIAL)*1000000+75*1000+31))</f>
        <v/>
      </c>
      <c r="FJ86" s="39">
        <f>IF(N('Dvd Calendar'!$AJ$825)=0,"",IF(('Dvd Calendar'!$AJ$825&gt;=GRID_FROM)*('Dvd Calendar'!$AJ$825&lt;=GRID_TO)*((('Dvd Calendar'!$AJ$825&lt;=VAL_DATE)+(COUNTIF('Dvd Calendar'!$E$832:$AR$832,'Dvd Calendar'!$AJ$825)=0))&gt;0)=0,"",'Dvd Calendar'!$AJ$825*1000000000+ISNUMBER('Dvd Calendar'!$AJ$828)*100000000+('Dvd Calendar'!$AJ$830=SPECIAL_LBL)*10000000+(N('Dvd Calendar'!$AJ$824)&gt;0)*(N('Dvd Calendar'!$AJ$824)&lt;=VAL_SERIAL)*1000000+75*1000+32))</f>
        <v/>
      </c>
      <c r="FK86" s="39">
        <f>IF(N('Dvd Calendar'!$AK$825)=0,"",IF(('Dvd Calendar'!$AK$825&gt;=GRID_FROM)*('Dvd Calendar'!$AK$825&lt;=GRID_TO)*((('Dvd Calendar'!$AK$825&lt;=VAL_DATE)+(COUNTIF('Dvd Calendar'!$E$832:$AR$832,'Dvd Calendar'!$AK$825)=0))&gt;0)=0,"",'Dvd Calendar'!$AK$825*1000000000+ISNUMBER('Dvd Calendar'!$AK$828)*100000000+('Dvd Calendar'!$AK$830=SPECIAL_LBL)*10000000+(N('Dvd Calendar'!$AK$824)&gt;0)*(N('Dvd Calendar'!$AK$824)&lt;=VAL_SERIAL)*1000000+75*1000+33))</f>
        <v/>
      </c>
      <c r="FL86" s="39">
        <f>IF(N('Dvd Calendar'!$AL$825)=0,"",IF(('Dvd Calendar'!$AL$825&gt;=GRID_FROM)*('Dvd Calendar'!$AL$825&lt;=GRID_TO)*((('Dvd Calendar'!$AL$825&lt;=VAL_DATE)+(COUNTIF('Dvd Calendar'!$E$832:$AR$832,'Dvd Calendar'!$AL$825)=0))&gt;0)=0,"",'Dvd Calendar'!$AL$825*1000000000+ISNUMBER('Dvd Calendar'!$AL$828)*100000000+('Dvd Calendar'!$AL$830=SPECIAL_LBL)*10000000+(N('Dvd Calendar'!$AL$824)&gt;0)*(N('Dvd Calendar'!$AL$824)&lt;=VAL_SERIAL)*1000000+75*1000+34))</f>
        <v/>
      </c>
      <c r="FM86" s="39">
        <f>IF(N('Dvd Calendar'!$AM$825)=0,"",IF(('Dvd Calendar'!$AM$825&gt;=GRID_FROM)*('Dvd Calendar'!$AM$825&lt;=GRID_TO)*((('Dvd Calendar'!$AM$825&lt;=VAL_DATE)+(COUNTIF('Dvd Calendar'!$E$832:$AR$832,'Dvd Calendar'!$AM$825)=0))&gt;0)=0,"",'Dvd Calendar'!$AM$825*1000000000+ISNUMBER('Dvd Calendar'!$AM$828)*100000000+('Dvd Calendar'!$AM$830=SPECIAL_LBL)*10000000+(N('Dvd Calendar'!$AM$824)&gt;0)*(N('Dvd Calendar'!$AM$824)&lt;=VAL_SERIAL)*1000000+75*1000+35))</f>
        <v/>
      </c>
      <c r="FN86" s="39">
        <f>IF(N('Dvd Calendar'!$AN$825)=0,"",IF(('Dvd Calendar'!$AN$825&gt;=GRID_FROM)*('Dvd Calendar'!$AN$825&lt;=GRID_TO)*((('Dvd Calendar'!$AN$825&lt;=VAL_DATE)+(COUNTIF('Dvd Calendar'!$E$832:$AR$832,'Dvd Calendar'!$AN$825)=0))&gt;0)=0,"",'Dvd Calendar'!$AN$825*1000000000+ISNUMBER('Dvd Calendar'!$AN$828)*100000000+('Dvd Calendar'!$AN$830=SPECIAL_LBL)*10000000+(N('Dvd Calendar'!$AN$824)&gt;0)*(N('Dvd Calendar'!$AN$824)&lt;=VAL_SERIAL)*1000000+75*1000+36))</f>
        <v/>
      </c>
      <c r="FO86" s="39">
        <f>IF(N('Dvd Calendar'!$AO$825)=0,"",IF(('Dvd Calendar'!$AO$825&gt;=GRID_FROM)*('Dvd Calendar'!$AO$825&lt;=GRID_TO)*((('Dvd Calendar'!$AO$825&lt;=VAL_DATE)+(COUNTIF('Dvd Calendar'!$E$832:$AR$832,'Dvd Calendar'!$AO$825)=0))&gt;0)=0,"",'Dvd Calendar'!$AO$825*1000000000+ISNUMBER('Dvd Calendar'!$AO$828)*100000000+('Dvd Calendar'!$AO$830=SPECIAL_LBL)*10000000+(N('Dvd Calendar'!$AO$824)&gt;0)*(N('Dvd Calendar'!$AO$824)&lt;=VAL_SERIAL)*1000000+75*1000+37))</f>
        <v/>
      </c>
      <c r="FP86" s="39">
        <f>IF(N('Dvd Calendar'!$AP$825)=0,"",IF(('Dvd Calendar'!$AP$825&gt;=GRID_FROM)*('Dvd Calendar'!$AP$825&lt;=GRID_TO)*((('Dvd Calendar'!$AP$825&lt;=VAL_DATE)+(COUNTIF('Dvd Calendar'!$E$832:$AR$832,'Dvd Calendar'!$AP$825)=0))&gt;0)=0,"",'Dvd Calendar'!$AP$825*1000000000+ISNUMBER('Dvd Calendar'!$AP$828)*100000000+('Dvd Calendar'!$AP$830=SPECIAL_LBL)*10000000+(N('Dvd Calendar'!$AP$824)&gt;0)*(N('Dvd Calendar'!$AP$824)&lt;=VAL_SERIAL)*1000000+75*1000+38))</f>
        <v/>
      </c>
      <c r="FQ86" s="39">
        <f>IF(N('Dvd Calendar'!$AQ$825)=0,"",IF(('Dvd Calendar'!$AQ$825&gt;=GRID_FROM)*('Dvd Calendar'!$AQ$825&lt;=GRID_TO)*((('Dvd Calendar'!$AQ$825&lt;=VAL_DATE)+(COUNTIF('Dvd Calendar'!$E$832:$AR$832,'Dvd Calendar'!$AQ$825)=0))&gt;0)=0,"",'Dvd Calendar'!$AQ$825*1000000000+ISNUMBER('Dvd Calendar'!$AQ$828)*100000000+('Dvd Calendar'!$AQ$830=SPECIAL_LBL)*10000000+(N('Dvd Calendar'!$AQ$824)&gt;0)*(N('Dvd Calendar'!$AQ$824)&lt;=VAL_SERIAL)*1000000+75*1000+39))</f>
        <v/>
      </c>
      <c r="FR86" s="39">
        <f>IF(N('Dvd Calendar'!$AR$825)=0,"",IF(('Dvd Calendar'!$AR$825&gt;=GRID_FROM)*('Dvd Calendar'!$AR$825&lt;=GRID_TO)*((('Dvd Calendar'!$AR$825&lt;=VAL_DATE)+(COUNTIF('Dvd Calendar'!$E$832:$AR$832,'Dvd Calendar'!$AR$825)=0))&gt;0)=0,"",'Dvd Calendar'!$AR$825*1000000000+ISNUMBER('Dvd Calendar'!$AR$828)*100000000+('Dvd Calendar'!$AR$830=SPECIAL_LBL)*10000000+(N('Dvd Calendar'!$AR$824)&gt;0)*(N('Dvd Calendar'!$AR$824)&lt;=VAL_SERIAL)*1000000+75*1000+40))</f>
        <v/>
      </c>
      <c r="FS86" s="39">
        <f>IF(N('Dvd Calendar'!$E$832)=0,"",IF(('Dvd Calendar'!$E$832&gt;=GRID_FROM)*('Dvd Calendar'!$E$832&lt;=GRID_TO)*('Dvd Calendar'!$E$832&gt;VAL_DATE)=0,"",'Dvd Calendar'!$E$832*1000000000+ISNUMBER('Dvd Calendar'!$E$833)*100000000+0*10000000+(N('Dvd Calendar'!$E$831)&gt;0)*(N('Dvd Calendar'!$E$831)&lt;=VAL_SERIAL)*1000000+75*1000+41))</f>
        <v/>
      </c>
      <c r="FT86" s="39">
        <f>IF(N('Dvd Calendar'!$F$832)=0,"",IF(('Dvd Calendar'!$F$832&gt;=GRID_FROM)*('Dvd Calendar'!$F$832&lt;=GRID_TO)*('Dvd Calendar'!$F$832&gt;VAL_DATE)=0,"",'Dvd Calendar'!$F$832*1000000000+ISNUMBER('Dvd Calendar'!$F$833)*100000000+0*10000000+(N('Dvd Calendar'!$F$831)&gt;0)*(N('Dvd Calendar'!$F$831)&lt;=VAL_SERIAL)*1000000+75*1000+42))</f>
        <v/>
      </c>
      <c r="FU86" s="39">
        <f>IF(N('Dvd Calendar'!$G$832)=0,"",IF(('Dvd Calendar'!$G$832&gt;=GRID_FROM)*('Dvd Calendar'!$G$832&lt;=GRID_TO)*('Dvd Calendar'!$G$832&gt;VAL_DATE)=0,"",'Dvd Calendar'!$G$832*1000000000+ISNUMBER('Dvd Calendar'!$G$833)*100000000+0*10000000+(N('Dvd Calendar'!$G$831)&gt;0)*(N('Dvd Calendar'!$G$831)&lt;=VAL_SERIAL)*1000000+75*1000+43))</f>
        <v/>
      </c>
      <c r="FV86" s="39">
        <f>IF(N('Dvd Calendar'!$H$832)=0,"",IF(('Dvd Calendar'!$H$832&gt;=GRID_FROM)*('Dvd Calendar'!$H$832&lt;=GRID_TO)*('Dvd Calendar'!$H$832&gt;VAL_DATE)=0,"",'Dvd Calendar'!$H$832*1000000000+ISNUMBER('Dvd Calendar'!$H$833)*100000000+0*10000000+(N('Dvd Calendar'!$H$831)&gt;0)*(N('Dvd Calendar'!$H$831)&lt;=VAL_SERIAL)*1000000+75*1000+44))</f>
        <v/>
      </c>
      <c r="FW86" s="39">
        <f>IF(N('Dvd Calendar'!$I$832)=0,"",IF(('Dvd Calendar'!$I$832&gt;=GRID_FROM)*('Dvd Calendar'!$I$832&lt;=GRID_TO)*('Dvd Calendar'!$I$832&gt;VAL_DATE)=0,"",'Dvd Calendar'!$I$832*1000000000+ISNUMBER('Dvd Calendar'!$I$833)*100000000+0*10000000+(N('Dvd Calendar'!$I$831)&gt;0)*(N('Dvd Calendar'!$I$831)&lt;=VAL_SERIAL)*1000000+75*1000+45))</f>
        <v/>
      </c>
      <c r="FX86" s="39">
        <f>IF(N('Dvd Calendar'!$J$832)=0,"",IF(('Dvd Calendar'!$J$832&gt;=GRID_FROM)*('Dvd Calendar'!$J$832&lt;=GRID_TO)*('Dvd Calendar'!$J$832&gt;VAL_DATE)=0,"",'Dvd Calendar'!$J$832*1000000000+ISNUMBER('Dvd Calendar'!$J$833)*100000000+0*10000000+(N('Dvd Calendar'!$J$831)&gt;0)*(N('Dvd Calendar'!$J$831)&lt;=VAL_SERIAL)*1000000+75*1000+46))</f>
        <v/>
      </c>
      <c r="FY86" s="39">
        <f>IF(N('Dvd Calendar'!$K$832)=0,"",IF(('Dvd Calendar'!$K$832&gt;=GRID_FROM)*('Dvd Calendar'!$K$832&lt;=GRID_TO)*('Dvd Calendar'!$K$832&gt;VAL_DATE)=0,"",'Dvd Calendar'!$K$832*1000000000+ISNUMBER('Dvd Calendar'!$K$833)*100000000+0*10000000+(N('Dvd Calendar'!$K$831)&gt;0)*(N('Dvd Calendar'!$K$831)&lt;=VAL_SERIAL)*1000000+75*1000+47))</f>
        <v/>
      </c>
      <c r="FZ86" s="39">
        <f>IF(N('Dvd Calendar'!$L$832)=0,"",IF(('Dvd Calendar'!$L$832&gt;=GRID_FROM)*('Dvd Calendar'!$L$832&lt;=GRID_TO)*('Dvd Calendar'!$L$832&gt;VAL_DATE)=0,"",'Dvd Calendar'!$L$832*1000000000+ISNUMBER('Dvd Calendar'!$L$833)*100000000+0*10000000+(N('Dvd Calendar'!$L$831)&gt;0)*(N('Dvd Calendar'!$L$831)&lt;=VAL_SERIAL)*1000000+75*1000+48))</f>
        <v/>
      </c>
      <c r="GA86" s="39">
        <f>IF(N('Dvd Calendar'!$M$832)=0,"",IF(('Dvd Calendar'!$M$832&gt;=GRID_FROM)*('Dvd Calendar'!$M$832&lt;=GRID_TO)*('Dvd Calendar'!$M$832&gt;VAL_DATE)=0,"",'Dvd Calendar'!$M$832*1000000000+ISNUMBER('Dvd Calendar'!$M$833)*100000000+0*10000000+(N('Dvd Calendar'!$M$831)&gt;0)*(N('Dvd Calendar'!$M$831)&lt;=VAL_SERIAL)*1000000+75*1000+49))</f>
        <v/>
      </c>
      <c r="GB86" s="39">
        <f>IF(N('Dvd Calendar'!$N$832)=0,"",IF(('Dvd Calendar'!$N$832&gt;=GRID_FROM)*('Dvd Calendar'!$N$832&lt;=GRID_TO)*('Dvd Calendar'!$N$832&gt;VAL_DATE)=0,"",'Dvd Calendar'!$N$832*1000000000+ISNUMBER('Dvd Calendar'!$N$833)*100000000+0*10000000+(N('Dvd Calendar'!$N$831)&gt;0)*(N('Dvd Calendar'!$N$831)&lt;=VAL_SERIAL)*1000000+75*1000+50))</f>
        <v/>
      </c>
      <c r="GC86" s="39">
        <f>IF(N('Dvd Calendar'!$O$832)=0,"",IF(('Dvd Calendar'!$O$832&gt;=GRID_FROM)*('Dvd Calendar'!$O$832&lt;=GRID_TO)*('Dvd Calendar'!$O$832&gt;VAL_DATE)=0,"",'Dvd Calendar'!$O$832*1000000000+ISNUMBER('Dvd Calendar'!$O$833)*100000000+0*10000000+(N('Dvd Calendar'!$O$831)&gt;0)*(N('Dvd Calendar'!$O$831)&lt;=VAL_SERIAL)*1000000+75*1000+51))</f>
        <v/>
      </c>
      <c r="GD86" s="39">
        <f>IF(N('Dvd Calendar'!$P$832)=0,"",IF(('Dvd Calendar'!$P$832&gt;=GRID_FROM)*('Dvd Calendar'!$P$832&lt;=GRID_TO)*('Dvd Calendar'!$P$832&gt;VAL_DATE)=0,"",'Dvd Calendar'!$P$832*1000000000+ISNUMBER('Dvd Calendar'!$P$833)*100000000+0*10000000+(N('Dvd Calendar'!$P$831)&gt;0)*(N('Dvd Calendar'!$P$831)&lt;=VAL_SERIAL)*1000000+75*1000+52))</f>
        <v/>
      </c>
      <c r="GE86" s="39">
        <f>IF(N('Dvd Calendar'!$Q$832)=0,"",IF(('Dvd Calendar'!$Q$832&gt;=GRID_FROM)*('Dvd Calendar'!$Q$832&lt;=GRID_TO)*('Dvd Calendar'!$Q$832&gt;VAL_DATE)=0,"",'Dvd Calendar'!$Q$832*1000000000+ISNUMBER('Dvd Calendar'!$Q$833)*100000000+0*10000000+(N('Dvd Calendar'!$Q$831)&gt;0)*(N('Dvd Calendar'!$Q$831)&lt;=VAL_SERIAL)*1000000+75*1000+53))</f>
        <v/>
      </c>
      <c r="GF86" s="39">
        <f>IF(N('Dvd Calendar'!$R$832)=0,"",IF(('Dvd Calendar'!$R$832&gt;=GRID_FROM)*('Dvd Calendar'!$R$832&lt;=GRID_TO)*('Dvd Calendar'!$R$832&gt;VAL_DATE)=0,"",'Dvd Calendar'!$R$832*1000000000+ISNUMBER('Dvd Calendar'!$R$833)*100000000+0*10000000+(N('Dvd Calendar'!$R$831)&gt;0)*(N('Dvd Calendar'!$R$831)&lt;=VAL_SERIAL)*1000000+75*1000+54))</f>
        <v/>
      </c>
      <c r="GG86" s="39">
        <f>IF(N('Dvd Calendar'!$S$832)=0,"",IF(('Dvd Calendar'!$S$832&gt;=GRID_FROM)*('Dvd Calendar'!$S$832&lt;=GRID_TO)*('Dvd Calendar'!$S$832&gt;VAL_DATE)=0,"",'Dvd Calendar'!$S$832*1000000000+ISNUMBER('Dvd Calendar'!$S$833)*100000000+0*10000000+(N('Dvd Calendar'!$S$831)&gt;0)*(N('Dvd Calendar'!$S$831)&lt;=VAL_SERIAL)*1000000+75*1000+55))</f>
        <v/>
      </c>
      <c r="GH86" s="39">
        <f>IF(N('Dvd Calendar'!$T$832)=0,"",IF(('Dvd Calendar'!$T$832&gt;=GRID_FROM)*('Dvd Calendar'!$T$832&lt;=GRID_TO)*('Dvd Calendar'!$T$832&gt;VAL_DATE)=0,"",'Dvd Calendar'!$T$832*1000000000+ISNUMBER('Dvd Calendar'!$T$833)*100000000+0*10000000+(N('Dvd Calendar'!$T$831)&gt;0)*(N('Dvd Calendar'!$T$831)&lt;=VAL_SERIAL)*1000000+75*1000+56))</f>
        <v/>
      </c>
      <c r="GI86" s="39">
        <f>IF(N('Dvd Calendar'!$U$832)=0,"",IF(('Dvd Calendar'!$U$832&gt;=GRID_FROM)*('Dvd Calendar'!$U$832&lt;=GRID_TO)*('Dvd Calendar'!$U$832&gt;VAL_DATE)=0,"",'Dvd Calendar'!$U$832*1000000000+ISNUMBER('Dvd Calendar'!$U$833)*100000000+0*10000000+(N('Dvd Calendar'!$U$831)&gt;0)*(N('Dvd Calendar'!$U$831)&lt;=VAL_SERIAL)*1000000+75*1000+57))</f>
        <v/>
      </c>
      <c r="GJ86" s="39">
        <f>IF(N('Dvd Calendar'!$V$832)=0,"",IF(('Dvd Calendar'!$V$832&gt;=GRID_FROM)*('Dvd Calendar'!$V$832&lt;=GRID_TO)*('Dvd Calendar'!$V$832&gt;VAL_DATE)=0,"",'Dvd Calendar'!$V$832*1000000000+ISNUMBER('Dvd Calendar'!$V$833)*100000000+0*10000000+(N('Dvd Calendar'!$V$831)&gt;0)*(N('Dvd Calendar'!$V$831)&lt;=VAL_SERIAL)*1000000+75*1000+58))</f>
        <v/>
      </c>
      <c r="GK86" s="39">
        <f>IF(N('Dvd Calendar'!$W$832)=0,"",IF(('Dvd Calendar'!$W$832&gt;=GRID_FROM)*('Dvd Calendar'!$W$832&lt;=GRID_TO)*('Dvd Calendar'!$W$832&gt;VAL_DATE)=0,"",'Dvd Calendar'!$W$832*1000000000+ISNUMBER('Dvd Calendar'!$W$833)*100000000+0*10000000+(N('Dvd Calendar'!$W$831)&gt;0)*(N('Dvd Calendar'!$W$831)&lt;=VAL_SERIAL)*1000000+75*1000+59))</f>
        <v/>
      </c>
      <c r="GL86" s="39">
        <f>IF(N('Dvd Calendar'!$X$832)=0,"",IF(('Dvd Calendar'!$X$832&gt;=GRID_FROM)*('Dvd Calendar'!$X$832&lt;=GRID_TO)*('Dvd Calendar'!$X$832&gt;VAL_DATE)=0,"",'Dvd Calendar'!$X$832*1000000000+ISNUMBER('Dvd Calendar'!$X$833)*100000000+0*10000000+(N('Dvd Calendar'!$X$831)&gt;0)*(N('Dvd Calendar'!$X$831)&lt;=VAL_SERIAL)*1000000+75*1000+60))</f>
        <v/>
      </c>
      <c r="GM86" s="39">
        <f>IF(N('Dvd Calendar'!$Y$832)=0,"",IF(('Dvd Calendar'!$Y$832&gt;=GRID_FROM)*('Dvd Calendar'!$Y$832&lt;=GRID_TO)*('Dvd Calendar'!$Y$832&gt;VAL_DATE)=0,"",'Dvd Calendar'!$Y$832*1000000000+ISNUMBER('Dvd Calendar'!$Y$833)*100000000+0*10000000+(N('Dvd Calendar'!$Y$831)&gt;0)*(N('Dvd Calendar'!$Y$831)&lt;=VAL_SERIAL)*1000000+75*1000+61))</f>
        <v/>
      </c>
      <c r="GN86" s="39">
        <f>IF(N('Dvd Calendar'!$Z$832)=0,"",IF(('Dvd Calendar'!$Z$832&gt;=GRID_FROM)*('Dvd Calendar'!$Z$832&lt;=GRID_TO)*('Dvd Calendar'!$Z$832&gt;VAL_DATE)=0,"",'Dvd Calendar'!$Z$832*1000000000+ISNUMBER('Dvd Calendar'!$Z$833)*100000000+0*10000000+(N('Dvd Calendar'!$Z$831)&gt;0)*(N('Dvd Calendar'!$Z$831)&lt;=VAL_SERIAL)*1000000+75*1000+62))</f>
        <v/>
      </c>
      <c r="GO86" s="39">
        <f>IF(N('Dvd Calendar'!$AA$832)=0,"",IF(('Dvd Calendar'!$AA$832&gt;=GRID_FROM)*('Dvd Calendar'!$AA$832&lt;=GRID_TO)*('Dvd Calendar'!$AA$832&gt;VAL_DATE)=0,"",'Dvd Calendar'!$AA$832*1000000000+ISNUMBER('Dvd Calendar'!$AA$833)*100000000+0*10000000+(N('Dvd Calendar'!$AA$831)&gt;0)*(N('Dvd Calendar'!$AA$831)&lt;=VAL_SERIAL)*1000000+75*1000+63))</f>
        <v/>
      </c>
      <c r="GP86" s="39">
        <f>IF(N('Dvd Calendar'!$AB$832)=0,"",IF(('Dvd Calendar'!$AB$832&gt;=GRID_FROM)*('Dvd Calendar'!$AB$832&lt;=GRID_TO)*('Dvd Calendar'!$AB$832&gt;VAL_DATE)=0,"",'Dvd Calendar'!$AB$832*1000000000+ISNUMBER('Dvd Calendar'!$AB$833)*100000000+0*10000000+(N('Dvd Calendar'!$AB$831)&gt;0)*(N('Dvd Calendar'!$AB$831)&lt;=VAL_SERIAL)*1000000+75*1000+64))</f>
        <v/>
      </c>
      <c r="GQ86" s="39">
        <f>IF(N('Dvd Calendar'!$AC$832)=0,"",IF(('Dvd Calendar'!$AC$832&gt;=GRID_FROM)*('Dvd Calendar'!$AC$832&lt;=GRID_TO)*('Dvd Calendar'!$AC$832&gt;VAL_DATE)=0,"",'Dvd Calendar'!$AC$832*1000000000+ISNUMBER('Dvd Calendar'!$AC$833)*100000000+0*10000000+(N('Dvd Calendar'!$AC$831)&gt;0)*(N('Dvd Calendar'!$AC$831)&lt;=VAL_SERIAL)*1000000+75*1000+65))</f>
        <v/>
      </c>
    </row>
    <row r="87">
      <c r="B87" s="2">
        <f>IF(HSI!$C$82="","",HSI!$C$82)</f>
        <v/>
      </c>
      <c r="C87" s="110">
        <f>IF(EE87="","",IF(ISNUMBER('Dvd Calendar'!$E$839)=FALSE,"",IF((('Dvd Calendar'!$E$841=TYPE1)*(TYPE1&lt;&gt;"")+('Dvd Calendar'!$E$841=TYPE2)*(TYPE2&lt;&gt;"")+('Dvd Calendar'!$E$841=TYPE3)*(TYPE3&lt;&gt;"")+('Dvd Calendar'!$E$841=TYPE4)*(TYPE4&lt;&gt;"")+('Dvd Calendar'!$E$841=SPECIAL_LBL)*(INC_SPECIALS="Y"))=0,"",'Dvd Calendar'!$E$839)))</f>
        <v/>
      </c>
      <c r="D87" s="110">
        <f>IF(EF87="","",IF(ISNUMBER('Dvd Calendar'!$F$839)=FALSE,"",IF((('Dvd Calendar'!$F$841=TYPE1)*(TYPE1&lt;&gt;"")+('Dvd Calendar'!$F$841=TYPE2)*(TYPE2&lt;&gt;"")+('Dvd Calendar'!$F$841=TYPE3)*(TYPE3&lt;&gt;"")+('Dvd Calendar'!$F$841=TYPE4)*(TYPE4&lt;&gt;"")+('Dvd Calendar'!$F$841=SPECIAL_LBL)*(INC_SPECIALS="Y"))=0,"",'Dvd Calendar'!$F$839)))</f>
        <v/>
      </c>
      <c r="E87" s="110">
        <f>IF(EG87="","",IF(ISNUMBER('Dvd Calendar'!$G$839)=FALSE,"",IF((('Dvd Calendar'!$G$841=TYPE1)*(TYPE1&lt;&gt;"")+('Dvd Calendar'!$G$841=TYPE2)*(TYPE2&lt;&gt;"")+('Dvd Calendar'!$G$841=TYPE3)*(TYPE3&lt;&gt;"")+('Dvd Calendar'!$G$841=TYPE4)*(TYPE4&lt;&gt;"")+('Dvd Calendar'!$G$841=SPECIAL_LBL)*(INC_SPECIALS="Y"))=0,"",'Dvd Calendar'!$G$839)))</f>
        <v/>
      </c>
      <c r="F87" s="110">
        <f>IF(EH87="","",IF(ISNUMBER('Dvd Calendar'!$H$839)=FALSE,"",IF((('Dvd Calendar'!$H$841=TYPE1)*(TYPE1&lt;&gt;"")+('Dvd Calendar'!$H$841=TYPE2)*(TYPE2&lt;&gt;"")+('Dvd Calendar'!$H$841=TYPE3)*(TYPE3&lt;&gt;"")+('Dvd Calendar'!$H$841=TYPE4)*(TYPE4&lt;&gt;"")+('Dvd Calendar'!$H$841=SPECIAL_LBL)*(INC_SPECIALS="Y"))=0,"",'Dvd Calendar'!$H$839)))</f>
        <v/>
      </c>
      <c r="G87" s="110">
        <f>IF(EI87="","",IF(ISNUMBER('Dvd Calendar'!$I$839)=FALSE,"",IF((('Dvd Calendar'!$I$841=TYPE1)*(TYPE1&lt;&gt;"")+('Dvd Calendar'!$I$841=TYPE2)*(TYPE2&lt;&gt;"")+('Dvd Calendar'!$I$841=TYPE3)*(TYPE3&lt;&gt;"")+('Dvd Calendar'!$I$841=TYPE4)*(TYPE4&lt;&gt;"")+('Dvd Calendar'!$I$841=SPECIAL_LBL)*(INC_SPECIALS="Y"))=0,"",'Dvd Calendar'!$I$839)))</f>
        <v/>
      </c>
      <c r="H87" s="110">
        <f>IF(EJ87="","",IF(ISNUMBER('Dvd Calendar'!$J$839)=FALSE,"",IF((('Dvd Calendar'!$J$841=TYPE1)*(TYPE1&lt;&gt;"")+('Dvd Calendar'!$J$841=TYPE2)*(TYPE2&lt;&gt;"")+('Dvd Calendar'!$J$841=TYPE3)*(TYPE3&lt;&gt;"")+('Dvd Calendar'!$J$841=TYPE4)*(TYPE4&lt;&gt;"")+('Dvd Calendar'!$J$841=SPECIAL_LBL)*(INC_SPECIALS="Y"))=0,"",'Dvd Calendar'!$J$839)))</f>
        <v/>
      </c>
      <c r="I87" s="110">
        <f>IF(EK87="","",IF(ISNUMBER('Dvd Calendar'!$K$839)=FALSE,"",IF((('Dvd Calendar'!$K$841=TYPE1)*(TYPE1&lt;&gt;"")+('Dvd Calendar'!$K$841=TYPE2)*(TYPE2&lt;&gt;"")+('Dvd Calendar'!$K$841=TYPE3)*(TYPE3&lt;&gt;"")+('Dvd Calendar'!$K$841=TYPE4)*(TYPE4&lt;&gt;"")+('Dvd Calendar'!$K$841=SPECIAL_LBL)*(INC_SPECIALS="Y"))=0,"",'Dvd Calendar'!$K$839)))</f>
        <v/>
      </c>
      <c r="J87" s="110">
        <f>IF(EL87="","",IF(ISNUMBER('Dvd Calendar'!$L$839)=FALSE,"",IF((('Dvd Calendar'!$L$841=TYPE1)*(TYPE1&lt;&gt;"")+('Dvd Calendar'!$L$841=TYPE2)*(TYPE2&lt;&gt;"")+('Dvd Calendar'!$L$841=TYPE3)*(TYPE3&lt;&gt;"")+('Dvd Calendar'!$L$841=TYPE4)*(TYPE4&lt;&gt;"")+('Dvd Calendar'!$L$841=SPECIAL_LBL)*(INC_SPECIALS="Y"))=0,"",'Dvd Calendar'!$L$839)))</f>
        <v/>
      </c>
      <c r="K87" s="110">
        <f>IF(EM87="","",IF(ISNUMBER('Dvd Calendar'!$M$839)=FALSE,"",IF((('Dvd Calendar'!$M$841=TYPE1)*(TYPE1&lt;&gt;"")+('Dvd Calendar'!$M$841=TYPE2)*(TYPE2&lt;&gt;"")+('Dvd Calendar'!$M$841=TYPE3)*(TYPE3&lt;&gt;"")+('Dvd Calendar'!$M$841=TYPE4)*(TYPE4&lt;&gt;"")+('Dvd Calendar'!$M$841=SPECIAL_LBL)*(INC_SPECIALS="Y"))=0,"",'Dvd Calendar'!$M$839)))</f>
        <v/>
      </c>
      <c r="L87" s="110">
        <f>IF(EN87="","",IF(ISNUMBER('Dvd Calendar'!$N$839)=FALSE,"",IF((('Dvd Calendar'!$N$841=TYPE1)*(TYPE1&lt;&gt;"")+('Dvd Calendar'!$N$841=TYPE2)*(TYPE2&lt;&gt;"")+('Dvd Calendar'!$N$841=TYPE3)*(TYPE3&lt;&gt;"")+('Dvd Calendar'!$N$841=TYPE4)*(TYPE4&lt;&gt;"")+('Dvd Calendar'!$N$841=SPECIAL_LBL)*(INC_SPECIALS="Y"))=0,"",'Dvd Calendar'!$N$839)))</f>
        <v/>
      </c>
      <c r="M87" s="110">
        <f>IF(EO87="","",IF(ISNUMBER('Dvd Calendar'!$O$839)=FALSE,"",IF((('Dvd Calendar'!$O$841=TYPE1)*(TYPE1&lt;&gt;"")+('Dvd Calendar'!$O$841=TYPE2)*(TYPE2&lt;&gt;"")+('Dvd Calendar'!$O$841=TYPE3)*(TYPE3&lt;&gt;"")+('Dvd Calendar'!$O$841=TYPE4)*(TYPE4&lt;&gt;"")+('Dvd Calendar'!$O$841=SPECIAL_LBL)*(INC_SPECIALS="Y"))=0,"",'Dvd Calendar'!$O$839)))</f>
        <v/>
      </c>
      <c r="N87" s="110">
        <f>IF(EP87="","",IF(ISNUMBER('Dvd Calendar'!$P$839)=FALSE,"",IF((('Dvd Calendar'!$P$841=TYPE1)*(TYPE1&lt;&gt;"")+('Dvd Calendar'!$P$841=TYPE2)*(TYPE2&lt;&gt;"")+('Dvd Calendar'!$P$841=TYPE3)*(TYPE3&lt;&gt;"")+('Dvd Calendar'!$P$841=TYPE4)*(TYPE4&lt;&gt;"")+('Dvd Calendar'!$P$841=SPECIAL_LBL)*(INC_SPECIALS="Y"))=0,"",'Dvd Calendar'!$P$839)))</f>
        <v/>
      </c>
      <c r="O87" s="110">
        <f>IF(EQ87="","",IF(ISNUMBER('Dvd Calendar'!$Q$839)=FALSE,"",IF((('Dvd Calendar'!$Q$841=TYPE1)*(TYPE1&lt;&gt;"")+('Dvd Calendar'!$Q$841=TYPE2)*(TYPE2&lt;&gt;"")+('Dvd Calendar'!$Q$841=TYPE3)*(TYPE3&lt;&gt;"")+('Dvd Calendar'!$Q$841=TYPE4)*(TYPE4&lt;&gt;"")+('Dvd Calendar'!$Q$841=SPECIAL_LBL)*(INC_SPECIALS="Y"))=0,"",'Dvd Calendar'!$Q$839)))</f>
        <v/>
      </c>
      <c r="P87" s="110">
        <f>IF(ER87="","",IF(ISNUMBER('Dvd Calendar'!$R$839)=FALSE,"",IF((('Dvd Calendar'!$R$841=TYPE1)*(TYPE1&lt;&gt;"")+('Dvd Calendar'!$R$841=TYPE2)*(TYPE2&lt;&gt;"")+('Dvd Calendar'!$R$841=TYPE3)*(TYPE3&lt;&gt;"")+('Dvd Calendar'!$R$841=TYPE4)*(TYPE4&lt;&gt;"")+('Dvd Calendar'!$R$841=SPECIAL_LBL)*(INC_SPECIALS="Y"))=0,"",'Dvd Calendar'!$R$839)))</f>
        <v/>
      </c>
      <c r="Q87" s="110">
        <f>IF(ES87="","",IF(ISNUMBER('Dvd Calendar'!$S$839)=FALSE,"",IF((('Dvd Calendar'!$S$841=TYPE1)*(TYPE1&lt;&gt;"")+('Dvd Calendar'!$S$841=TYPE2)*(TYPE2&lt;&gt;"")+('Dvd Calendar'!$S$841=TYPE3)*(TYPE3&lt;&gt;"")+('Dvd Calendar'!$S$841=TYPE4)*(TYPE4&lt;&gt;"")+('Dvd Calendar'!$S$841=SPECIAL_LBL)*(INC_SPECIALS="Y"))=0,"",'Dvd Calendar'!$S$839)))</f>
        <v/>
      </c>
      <c r="R87" s="110">
        <f>IF(ET87="","",IF(ISNUMBER('Dvd Calendar'!$T$839)=FALSE,"",IF((('Dvd Calendar'!$T$841=TYPE1)*(TYPE1&lt;&gt;"")+('Dvd Calendar'!$T$841=TYPE2)*(TYPE2&lt;&gt;"")+('Dvd Calendar'!$T$841=TYPE3)*(TYPE3&lt;&gt;"")+('Dvd Calendar'!$T$841=TYPE4)*(TYPE4&lt;&gt;"")+('Dvd Calendar'!$T$841=SPECIAL_LBL)*(INC_SPECIALS="Y"))=0,"",'Dvd Calendar'!$T$839)))</f>
        <v/>
      </c>
      <c r="S87" s="110">
        <f>IF(EU87="","",IF(ISNUMBER('Dvd Calendar'!$U$839)=FALSE,"",IF((('Dvd Calendar'!$U$841=TYPE1)*(TYPE1&lt;&gt;"")+('Dvd Calendar'!$U$841=TYPE2)*(TYPE2&lt;&gt;"")+('Dvd Calendar'!$U$841=TYPE3)*(TYPE3&lt;&gt;"")+('Dvd Calendar'!$U$841=TYPE4)*(TYPE4&lt;&gt;"")+('Dvd Calendar'!$U$841=SPECIAL_LBL)*(INC_SPECIALS="Y"))=0,"",'Dvd Calendar'!$U$839)))</f>
        <v/>
      </c>
      <c r="T87" s="110">
        <f>IF(EV87="","",IF(ISNUMBER('Dvd Calendar'!$V$839)=FALSE,"",IF((('Dvd Calendar'!$V$841=TYPE1)*(TYPE1&lt;&gt;"")+('Dvd Calendar'!$V$841=TYPE2)*(TYPE2&lt;&gt;"")+('Dvd Calendar'!$V$841=TYPE3)*(TYPE3&lt;&gt;"")+('Dvd Calendar'!$V$841=TYPE4)*(TYPE4&lt;&gt;"")+('Dvd Calendar'!$V$841=SPECIAL_LBL)*(INC_SPECIALS="Y"))=0,"",'Dvd Calendar'!$V$839)))</f>
        <v/>
      </c>
      <c r="U87" s="110">
        <f>IF(EW87="","",IF(ISNUMBER('Dvd Calendar'!$W$839)=FALSE,"",IF((('Dvd Calendar'!$W$841=TYPE1)*(TYPE1&lt;&gt;"")+('Dvd Calendar'!$W$841=TYPE2)*(TYPE2&lt;&gt;"")+('Dvd Calendar'!$W$841=TYPE3)*(TYPE3&lt;&gt;"")+('Dvd Calendar'!$W$841=TYPE4)*(TYPE4&lt;&gt;"")+('Dvd Calendar'!$W$841=SPECIAL_LBL)*(INC_SPECIALS="Y"))=0,"",'Dvd Calendar'!$W$839)))</f>
        <v/>
      </c>
      <c r="V87" s="110">
        <f>IF(EX87="","",IF(ISNUMBER('Dvd Calendar'!$X$839)=FALSE,"",IF((('Dvd Calendar'!$X$841=TYPE1)*(TYPE1&lt;&gt;"")+('Dvd Calendar'!$X$841=TYPE2)*(TYPE2&lt;&gt;"")+('Dvd Calendar'!$X$841=TYPE3)*(TYPE3&lt;&gt;"")+('Dvd Calendar'!$X$841=TYPE4)*(TYPE4&lt;&gt;"")+('Dvd Calendar'!$X$841=SPECIAL_LBL)*(INC_SPECIALS="Y"))=0,"",'Dvd Calendar'!$X$839)))</f>
        <v/>
      </c>
      <c r="W87" s="110">
        <f>IF(EY87="","",IF(ISNUMBER('Dvd Calendar'!$Y$839)=FALSE,"",IF((('Dvd Calendar'!$Y$841=TYPE1)*(TYPE1&lt;&gt;"")+('Dvd Calendar'!$Y$841=TYPE2)*(TYPE2&lt;&gt;"")+('Dvd Calendar'!$Y$841=TYPE3)*(TYPE3&lt;&gt;"")+('Dvd Calendar'!$Y$841=TYPE4)*(TYPE4&lt;&gt;"")+('Dvd Calendar'!$Y$841=SPECIAL_LBL)*(INC_SPECIALS="Y"))=0,"",'Dvd Calendar'!$Y$839)))</f>
        <v/>
      </c>
      <c r="X87" s="110">
        <f>IF(EZ87="","",IF(ISNUMBER('Dvd Calendar'!$Z$839)=FALSE,"",IF((('Dvd Calendar'!$Z$841=TYPE1)*(TYPE1&lt;&gt;"")+('Dvd Calendar'!$Z$841=TYPE2)*(TYPE2&lt;&gt;"")+('Dvd Calendar'!$Z$841=TYPE3)*(TYPE3&lt;&gt;"")+('Dvd Calendar'!$Z$841=TYPE4)*(TYPE4&lt;&gt;"")+('Dvd Calendar'!$Z$841=SPECIAL_LBL)*(INC_SPECIALS="Y"))=0,"",'Dvd Calendar'!$Z$839)))</f>
        <v/>
      </c>
      <c r="Y87" s="110">
        <f>IF(FA87="","",IF(ISNUMBER('Dvd Calendar'!$AA$839)=FALSE,"",IF((('Dvd Calendar'!$AA$841=TYPE1)*(TYPE1&lt;&gt;"")+('Dvd Calendar'!$AA$841=TYPE2)*(TYPE2&lt;&gt;"")+('Dvd Calendar'!$AA$841=TYPE3)*(TYPE3&lt;&gt;"")+('Dvd Calendar'!$AA$841=TYPE4)*(TYPE4&lt;&gt;"")+('Dvd Calendar'!$AA$841=SPECIAL_LBL)*(INC_SPECIALS="Y"))=0,"",'Dvd Calendar'!$AA$839)))</f>
        <v/>
      </c>
      <c r="Z87" s="110">
        <f>IF(FB87="","",IF(ISNUMBER('Dvd Calendar'!$AB$839)=FALSE,"",IF((('Dvd Calendar'!$AB$841=TYPE1)*(TYPE1&lt;&gt;"")+('Dvd Calendar'!$AB$841=TYPE2)*(TYPE2&lt;&gt;"")+('Dvd Calendar'!$AB$841=TYPE3)*(TYPE3&lt;&gt;"")+('Dvd Calendar'!$AB$841=TYPE4)*(TYPE4&lt;&gt;"")+('Dvd Calendar'!$AB$841=SPECIAL_LBL)*(INC_SPECIALS="Y"))=0,"",'Dvd Calendar'!$AB$839)))</f>
        <v/>
      </c>
      <c r="AA87" s="110">
        <f>IF(FC87="","",IF(ISNUMBER('Dvd Calendar'!$AC$839)=FALSE,"",IF((('Dvd Calendar'!$AC$841=TYPE1)*(TYPE1&lt;&gt;"")+('Dvd Calendar'!$AC$841=TYPE2)*(TYPE2&lt;&gt;"")+('Dvd Calendar'!$AC$841=TYPE3)*(TYPE3&lt;&gt;"")+('Dvd Calendar'!$AC$841=TYPE4)*(TYPE4&lt;&gt;"")+('Dvd Calendar'!$AC$841=SPECIAL_LBL)*(INC_SPECIALS="Y"))=0,"",'Dvd Calendar'!$AC$839)))</f>
        <v/>
      </c>
      <c r="AB87" s="110">
        <f>IF(FD87="","",IF(ISNUMBER('Dvd Calendar'!$AD$839)=FALSE,"",IF((('Dvd Calendar'!$AD$841=TYPE1)*(TYPE1&lt;&gt;"")+('Dvd Calendar'!$AD$841=TYPE2)*(TYPE2&lt;&gt;"")+('Dvd Calendar'!$AD$841=TYPE3)*(TYPE3&lt;&gt;"")+('Dvd Calendar'!$AD$841=TYPE4)*(TYPE4&lt;&gt;"")+('Dvd Calendar'!$AD$841=SPECIAL_LBL)*(INC_SPECIALS="Y"))=0,"",'Dvd Calendar'!$AD$839)))</f>
        <v/>
      </c>
      <c r="AC87" s="110">
        <f>IF(FE87="","",IF(ISNUMBER('Dvd Calendar'!$AE$839)=FALSE,"",IF((('Dvd Calendar'!$AE$841=TYPE1)*(TYPE1&lt;&gt;"")+('Dvd Calendar'!$AE$841=TYPE2)*(TYPE2&lt;&gt;"")+('Dvd Calendar'!$AE$841=TYPE3)*(TYPE3&lt;&gt;"")+('Dvd Calendar'!$AE$841=TYPE4)*(TYPE4&lt;&gt;"")+('Dvd Calendar'!$AE$841=SPECIAL_LBL)*(INC_SPECIALS="Y"))=0,"",'Dvd Calendar'!$AE$839)))</f>
        <v/>
      </c>
      <c r="AD87" s="110">
        <f>IF(FF87="","",IF(ISNUMBER('Dvd Calendar'!$AF$839)=FALSE,"",IF((('Dvd Calendar'!$AF$841=TYPE1)*(TYPE1&lt;&gt;"")+('Dvd Calendar'!$AF$841=TYPE2)*(TYPE2&lt;&gt;"")+('Dvd Calendar'!$AF$841=TYPE3)*(TYPE3&lt;&gt;"")+('Dvd Calendar'!$AF$841=TYPE4)*(TYPE4&lt;&gt;"")+('Dvd Calendar'!$AF$841=SPECIAL_LBL)*(INC_SPECIALS="Y"))=0,"",'Dvd Calendar'!$AF$839)))</f>
        <v/>
      </c>
      <c r="AE87" s="110">
        <f>IF(FG87="","",IF(ISNUMBER('Dvd Calendar'!$AG$839)=FALSE,"",IF((('Dvd Calendar'!$AG$841=TYPE1)*(TYPE1&lt;&gt;"")+('Dvd Calendar'!$AG$841=TYPE2)*(TYPE2&lt;&gt;"")+('Dvd Calendar'!$AG$841=TYPE3)*(TYPE3&lt;&gt;"")+('Dvd Calendar'!$AG$841=TYPE4)*(TYPE4&lt;&gt;"")+('Dvd Calendar'!$AG$841=SPECIAL_LBL)*(INC_SPECIALS="Y"))=0,"",'Dvd Calendar'!$AG$839)))</f>
        <v/>
      </c>
      <c r="AF87" s="110">
        <f>IF(FH87="","",IF(ISNUMBER('Dvd Calendar'!$AH$839)=FALSE,"",IF((('Dvd Calendar'!$AH$841=TYPE1)*(TYPE1&lt;&gt;"")+('Dvd Calendar'!$AH$841=TYPE2)*(TYPE2&lt;&gt;"")+('Dvd Calendar'!$AH$841=TYPE3)*(TYPE3&lt;&gt;"")+('Dvd Calendar'!$AH$841=TYPE4)*(TYPE4&lt;&gt;"")+('Dvd Calendar'!$AH$841=SPECIAL_LBL)*(INC_SPECIALS="Y"))=0,"",'Dvd Calendar'!$AH$839)))</f>
        <v/>
      </c>
      <c r="AG87" s="110">
        <f>IF(FI87="","",IF(ISNUMBER('Dvd Calendar'!$AI$839)=FALSE,"",IF((('Dvd Calendar'!$AI$841=TYPE1)*(TYPE1&lt;&gt;"")+('Dvd Calendar'!$AI$841=TYPE2)*(TYPE2&lt;&gt;"")+('Dvd Calendar'!$AI$841=TYPE3)*(TYPE3&lt;&gt;"")+('Dvd Calendar'!$AI$841=TYPE4)*(TYPE4&lt;&gt;"")+('Dvd Calendar'!$AI$841=SPECIAL_LBL)*(INC_SPECIALS="Y"))=0,"",'Dvd Calendar'!$AI$839)))</f>
        <v/>
      </c>
      <c r="AH87" s="110">
        <f>IF(FJ87="","",IF(ISNUMBER('Dvd Calendar'!$AJ$839)=FALSE,"",IF((('Dvd Calendar'!$AJ$841=TYPE1)*(TYPE1&lt;&gt;"")+('Dvd Calendar'!$AJ$841=TYPE2)*(TYPE2&lt;&gt;"")+('Dvd Calendar'!$AJ$841=TYPE3)*(TYPE3&lt;&gt;"")+('Dvd Calendar'!$AJ$841=TYPE4)*(TYPE4&lt;&gt;"")+('Dvd Calendar'!$AJ$841=SPECIAL_LBL)*(INC_SPECIALS="Y"))=0,"",'Dvd Calendar'!$AJ$839)))</f>
        <v/>
      </c>
      <c r="AI87" s="110">
        <f>IF(FK87="","",IF(ISNUMBER('Dvd Calendar'!$AK$839)=FALSE,"",IF((('Dvd Calendar'!$AK$841=TYPE1)*(TYPE1&lt;&gt;"")+('Dvd Calendar'!$AK$841=TYPE2)*(TYPE2&lt;&gt;"")+('Dvd Calendar'!$AK$841=TYPE3)*(TYPE3&lt;&gt;"")+('Dvd Calendar'!$AK$841=TYPE4)*(TYPE4&lt;&gt;"")+('Dvd Calendar'!$AK$841=SPECIAL_LBL)*(INC_SPECIALS="Y"))=0,"",'Dvd Calendar'!$AK$839)))</f>
        <v/>
      </c>
      <c r="AJ87" s="110">
        <f>IF(FL87="","",IF(ISNUMBER('Dvd Calendar'!$AL$839)=FALSE,"",IF((('Dvd Calendar'!$AL$841=TYPE1)*(TYPE1&lt;&gt;"")+('Dvd Calendar'!$AL$841=TYPE2)*(TYPE2&lt;&gt;"")+('Dvd Calendar'!$AL$841=TYPE3)*(TYPE3&lt;&gt;"")+('Dvd Calendar'!$AL$841=TYPE4)*(TYPE4&lt;&gt;"")+('Dvd Calendar'!$AL$841=SPECIAL_LBL)*(INC_SPECIALS="Y"))=0,"",'Dvd Calendar'!$AL$839)))</f>
        <v/>
      </c>
      <c r="AK87" s="110">
        <f>IF(FM87="","",IF(ISNUMBER('Dvd Calendar'!$AM$839)=FALSE,"",IF((('Dvd Calendar'!$AM$841=TYPE1)*(TYPE1&lt;&gt;"")+('Dvd Calendar'!$AM$841=TYPE2)*(TYPE2&lt;&gt;"")+('Dvd Calendar'!$AM$841=TYPE3)*(TYPE3&lt;&gt;"")+('Dvd Calendar'!$AM$841=TYPE4)*(TYPE4&lt;&gt;"")+('Dvd Calendar'!$AM$841=SPECIAL_LBL)*(INC_SPECIALS="Y"))=0,"",'Dvd Calendar'!$AM$839)))</f>
        <v/>
      </c>
      <c r="AL87" s="110">
        <f>IF(FN87="","",IF(ISNUMBER('Dvd Calendar'!$AN$839)=FALSE,"",IF((('Dvd Calendar'!$AN$841=TYPE1)*(TYPE1&lt;&gt;"")+('Dvd Calendar'!$AN$841=TYPE2)*(TYPE2&lt;&gt;"")+('Dvd Calendar'!$AN$841=TYPE3)*(TYPE3&lt;&gt;"")+('Dvd Calendar'!$AN$841=TYPE4)*(TYPE4&lt;&gt;"")+('Dvd Calendar'!$AN$841=SPECIAL_LBL)*(INC_SPECIALS="Y"))=0,"",'Dvd Calendar'!$AN$839)))</f>
        <v/>
      </c>
      <c r="AM87" s="110">
        <f>IF(FO87="","",IF(ISNUMBER('Dvd Calendar'!$AO$839)=FALSE,"",IF((('Dvd Calendar'!$AO$841=TYPE1)*(TYPE1&lt;&gt;"")+('Dvd Calendar'!$AO$841=TYPE2)*(TYPE2&lt;&gt;"")+('Dvd Calendar'!$AO$841=TYPE3)*(TYPE3&lt;&gt;"")+('Dvd Calendar'!$AO$841=TYPE4)*(TYPE4&lt;&gt;"")+('Dvd Calendar'!$AO$841=SPECIAL_LBL)*(INC_SPECIALS="Y"))=0,"",'Dvd Calendar'!$AO$839)))</f>
        <v/>
      </c>
      <c r="AN87" s="110">
        <f>IF(FP87="","",IF(ISNUMBER('Dvd Calendar'!$AP$839)=FALSE,"",IF((('Dvd Calendar'!$AP$841=TYPE1)*(TYPE1&lt;&gt;"")+('Dvd Calendar'!$AP$841=TYPE2)*(TYPE2&lt;&gt;"")+('Dvd Calendar'!$AP$841=TYPE3)*(TYPE3&lt;&gt;"")+('Dvd Calendar'!$AP$841=TYPE4)*(TYPE4&lt;&gt;"")+('Dvd Calendar'!$AP$841=SPECIAL_LBL)*(INC_SPECIALS="Y"))=0,"",'Dvd Calendar'!$AP$839)))</f>
        <v/>
      </c>
      <c r="AO87" s="110">
        <f>IF(FQ87="","",IF(ISNUMBER('Dvd Calendar'!$AQ$839)=FALSE,"",IF((('Dvd Calendar'!$AQ$841=TYPE1)*(TYPE1&lt;&gt;"")+('Dvd Calendar'!$AQ$841=TYPE2)*(TYPE2&lt;&gt;"")+('Dvd Calendar'!$AQ$841=TYPE3)*(TYPE3&lt;&gt;"")+('Dvd Calendar'!$AQ$841=TYPE4)*(TYPE4&lt;&gt;"")+('Dvd Calendar'!$AQ$841=SPECIAL_LBL)*(INC_SPECIALS="Y"))=0,"",'Dvd Calendar'!$AQ$839)))</f>
        <v/>
      </c>
      <c r="AP87" s="110">
        <f>IF(FR87="","",IF(ISNUMBER('Dvd Calendar'!$AR$839)=FALSE,"",IF((('Dvd Calendar'!$AR$841=TYPE1)*(TYPE1&lt;&gt;"")+('Dvd Calendar'!$AR$841=TYPE2)*(TYPE2&lt;&gt;"")+('Dvd Calendar'!$AR$841=TYPE3)*(TYPE3&lt;&gt;"")+('Dvd Calendar'!$AR$841=TYPE4)*(TYPE4&lt;&gt;"")+('Dvd Calendar'!$AR$841=SPECIAL_LBL)*(INC_SPECIALS="Y"))=0,"",'Dvd Calendar'!$AR$839)))</f>
        <v/>
      </c>
      <c r="AQ87" s="110">
        <f>IF(FS87="","",IF(ISNUMBER('Dvd Calendar'!$E$844)=FALSE,"",'Dvd Calendar'!$E$844))</f>
        <v/>
      </c>
      <c r="AR87" s="110">
        <f>IF(FT87="","",IF(ISNUMBER('Dvd Calendar'!$F$844)=FALSE,"",'Dvd Calendar'!$F$844))</f>
        <v/>
      </c>
      <c r="AS87" s="110">
        <f>IF(FU87="","",IF(ISNUMBER('Dvd Calendar'!$G$844)=FALSE,"",'Dvd Calendar'!$G$844))</f>
        <v/>
      </c>
      <c r="AT87" s="110">
        <f>IF(FV87="","",IF(ISNUMBER('Dvd Calendar'!$H$844)=FALSE,"",'Dvd Calendar'!$H$844))</f>
        <v/>
      </c>
      <c r="AU87" s="110">
        <f>IF(FW87="","",IF(ISNUMBER('Dvd Calendar'!$I$844)=FALSE,"",'Dvd Calendar'!$I$844))</f>
        <v/>
      </c>
      <c r="AV87" s="110">
        <f>IF(FX87="","",IF(ISNUMBER('Dvd Calendar'!$J$844)=FALSE,"",'Dvd Calendar'!$J$844))</f>
        <v/>
      </c>
      <c r="AW87" s="110">
        <f>IF(FY87="","",IF(ISNUMBER('Dvd Calendar'!$K$844)=FALSE,"",'Dvd Calendar'!$K$844))</f>
        <v/>
      </c>
      <c r="AX87" s="110">
        <f>IF(FZ87="","",IF(ISNUMBER('Dvd Calendar'!$L$844)=FALSE,"",'Dvd Calendar'!$L$844))</f>
        <v/>
      </c>
      <c r="AY87" s="110">
        <f>IF(GA87="","",IF(ISNUMBER('Dvd Calendar'!$M$844)=FALSE,"",'Dvd Calendar'!$M$844))</f>
        <v/>
      </c>
      <c r="AZ87" s="110">
        <f>IF(GB87="","",IF(ISNUMBER('Dvd Calendar'!$N$844)=FALSE,"",'Dvd Calendar'!$N$844))</f>
        <v/>
      </c>
      <c r="BA87" s="110">
        <f>IF(GC87="","",IF(ISNUMBER('Dvd Calendar'!$O$844)=FALSE,"",'Dvd Calendar'!$O$844))</f>
        <v/>
      </c>
      <c r="BB87" s="110">
        <f>IF(GD87="","",IF(ISNUMBER('Dvd Calendar'!$P$844)=FALSE,"",'Dvd Calendar'!$P$844))</f>
        <v/>
      </c>
      <c r="BC87" s="110">
        <f>IF(GE87="","",IF(ISNUMBER('Dvd Calendar'!$Q$844)=FALSE,"",'Dvd Calendar'!$Q$844))</f>
        <v/>
      </c>
      <c r="BD87" s="110">
        <f>IF(GF87="","",IF(ISNUMBER('Dvd Calendar'!$R$844)=FALSE,"",'Dvd Calendar'!$R$844))</f>
        <v/>
      </c>
      <c r="BE87" s="110">
        <f>IF(GG87="","",IF(ISNUMBER('Dvd Calendar'!$S$844)=FALSE,"",'Dvd Calendar'!$S$844))</f>
        <v/>
      </c>
      <c r="BF87" s="110">
        <f>IF(GH87="","",IF(ISNUMBER('Dvd Calendar'!$T$844)=FALSE,"",'Dvd Calendar'!$T$844))</f>
        <v/>
      </c>
      <c r="BG87" s="110">
        <f>IF(GI87="","",IF(ISNUMBER('Dvd Calendar'!$U$844)=FALSE,"",'Dvd Calendar'!$U$844))</f>
        <v/>
      </c>
      <c r="BH87" s="110">
        <f>IF(GJ87="","",IF(ISNUMBER('Dvd Calendar'!$V$844)=FALSE,"",'Dvd Calendar'!$V$844))</f>
        <v/>
      </c>
      <c r="BI87" s="110">
        <f>IF(GK87="","",IF(ISNUMBER('Dvd Calendar'!$W$844)=FALSE,"",'Dvd Calendar'!$W$844))</f>
        <v/>
      </c>
      <c r="BJ87" s="110">
        <f>IF(GL87="","",IF(ISNUMBER('Dvd Calendar'!$X$844)=FALSE,"",'Dvd Calendar'!$X$844))</f>
        <v/>
      </c>
      <c r="BK87" s="110">
        <f>IF(GM87="","",IF(ISNUMBER('Dvd Calendar'!$Y$844)=FALSE,"",'Dvd Calendar'!$Y$844))</f>
        <v/>
      </c>
      <c r="BL87" s="110">
        <f>IF(GN87="","",IF(ISNUMBER('Dvd Calendar'!$Z$844)=FALSE,"",'Dvd Calendar'!$Z$844))</f>
        <v/>
      </c>
      <c r="BM87" s="110">
        <f>IF(GO87="","",IF(ISNUMBER('Dvd Calendar'!$AA$844)=FALSE,"",'Dvd Calendar'!$AA$844))</f>
        <v/>
      </c>
      <c r="BN87" s="110">
        <f>IF(GP87="","",IF(ISNUMBER('Dvd Calendar'!$AB$844)=FALSE,"",'Dvd Calendar'!$AB$844))</f>
        <v/>
      </c>
      <c r="BO87" s="110">
        <f>IF(GQ87="","",IF(ISNUMBER('Dvd Calendar'!$AC$844)=FALSE,"",'Dvd Calendar'!$AC$844))</f>
        <v/>
      </c>
      <c r="BQ87" s="110">
        <f>IF(C87="","",IFERROR(C87*HSI!$B$82*HSI!$G$82/HSI!$B$3,""))</f>
        <v/>
      </c>
      <c r="BR87" s="110">
        <f>IF(D87="","",IFERROR(D87*HSI!$B$82*HSI!$G$82/HSI!$B$3,""))</f>
        <v/>
      </c>
      <c r="BS87" s="110">
        <f>IF(E87="","",IFERROR(E87*HSI!$B$82*HSI!$G$82/HSI!$B$3,""))</f>
        <v/>
      </c>
      <c r="BT87" s="110">
        <f>IF(F87="","",IFERROR(F87*HSI!$B$82*HSI!$G$82/HSI!$B$3,""))</f>
        <v/>
      </c>
      <c r="BU87" s="110">
        <f>IF(G87="","",IFERROR(G87*HSI!$B$82*HSI!$G$82/HSI!$B$3,""))</f>
        <v/>
      </c>
      <c r="BV87" s="110">
        <f>IF(H87="","",IFERROR(H87*HSI!$B$82*HSI!$G$82/HSI!$B$3,""))</f>
        <v/>
      </c>
      <c r="BW87" s="110">
        <f>IF(I87="","",IFERROR(I87*HSI!$B$82*HSI!$G$82/HSI!$B$3,""))</f>
        <v/>
      </c>
      <c r="BX87" s="110">
        <f>IF(J87="","",IFERROR(J87*HSI!$B$82*HSI!$G$82/HSI!$B$3,""))</f>
        <v/>
      </c>
      <c r="BY87" s="110">
        <f>IF(K87="","",IFERROR(K87*HSI!$B$82*HSI!$G$82/HSI!$B$3,""))</f>
        <v/>
      </c>
      <c r="BZ87" s="110">
        <f>IF(L87="","",IFERROR(L87*HSI!$B$82*HSI!$G$82/HSI!$B$3,""))</f>
        <v/>
      </c>
      <c r="CA87" s="110">
        <f>IF(M87="","",IFERROR(M87*HSI!$B$82*HSI!$G$82/HSI!$B$3,""))</f>
        <v/>
      </c>
      <c r="CB87" s="110">
        <f>IF(N87="","",IFERROR(N87*HSI!$B$82*HSI!$G$82/HSI!$B$3,""))</f>
        <v/>
      </c>
      <c r="CC87" s="110">
        <f>IF(O87="","",IFERROR(O87*HSI!$B$82*HSI!$G$82/HSI!$B$3,""))</f>
        <v/>
      </c>
      <c r="CD87" s="110">
        <f>IF(P87="","",IFERROR(P87*HSI!$B$82*HSI!$G$82/HSI!$B$3,""))</f>
        <v/>
      </c>
      <c r="CE87" s="110">
        <f>IF(Q87="","",IFERROR(Q87*HSI!$B$82*HSI!$G$82/HSI!$B$3,""))</f>
        <v/>
      </c>
      <c r="CF87" s="110">
        <f>IF(R87="","",IFERROR(R87*HSI!$B$82*HSI!$G$82/HSI!$B$3,""))</f>
        <v/>
      </c>
      <c r="CG87" s="110">
        <f>IF(S87="","",IFERROR(S87*HSI!$B$82*HSI!$G$82/HSI!$B$3,""))</f>
        <v/>
      </c>
      <c r="CH87" s="110">
        <f>IF(T87="","",IFERROR(T87*HSI!$B$82*HSI!$G$82/HSI!$B$3,""))</f>
        <v/>
      </c>
      <c r="CI87" s="110">
        <f>IF(U87="","",IFERROR(U87*HSI!$B$82*HSI!$G$82/HSI!$B$3,""))</f>
        <v/>
      </c>
      <c r="CJ87" s="110">
        <f>IF(V87="","",IFERROR(V87*HSI!$B$82*HSI!$G$82/HSI!$B$3,""))</f>
        <v/>
      </c>
      <c r="CK87" s="110">
        <f>IF(W87="","",IFERROR(W87*HSI!$B$82*HSI!$G$82/HSI!$B$3,""))</f>
        <v/>
      </c>
      <c r="CL87" s="110">
        <f>IF(X87="","",IFERROR(X87*HSI!$B$82*HSI!$G$82/HSI!$B$3,""))</f>
        <v/>
      </c>
      <c r="CM87" s="110">
        <f>IF(Y87="","",IFERROR(Y87*HSI!$B$82*HSI!$G$82/HSI!$B$3,""))</f>
        <v/>
      </c>
      <c r="CN87" s="110">
        <f>IF(Z87="","",IFERROR(Z87*HSI!$B$82*HSI!$G$82/HSI!$B$3,""))</f>
        <v/>
      </c>
      <c r="CO87" s="110">
        <f>IF(AA87="","",IFERROR(AA87*HSI!$B$82*HSI!$G$82/HSI!$B$3,""))</f>
        <v/>
      </c>
      <c r="CP87" s="110">
        <f>IF(AB87="","",IFERROR(AB87*HSI!$B$82*HSI!$G$82/HSI!$B$3,""))</f>
        <v/>
      </c>
      <c r="CQ87" s="110">
        <f>IF(AC87="","",IFERROR(AC87*HSI!$B$82*HSI!$G$82/HSI!$B$3,""))</f>
        <v/>
      </c>
      <c r="CR87" s="110">
        <f>IF(AD87="","",IFERROR(AD87*HSI!$B$82*HSI!$G$82/HSI!$B$3,""))</f>
        <v/>
      </c>
      <c r="CS87" s="110">
        <f>IF(AE87="","",IFERROR(AE87*HSI!$B$82*HSI!$G$82/HSI!$B$3,""))</f>
        <v/>
      </c>
      <c r="CT87" s="110">
        <f>IF(AF87="","",IFERROR(AF87*HSI!$B$82*HSI!$G$82/HSI!$B$3,""))</f>
        <v/>
      </c>
      <c r="CU87" s="110">
        <f>IF(AG87="","",IFERROR(AG87*HSI!$B$82*HSI!$G$82/HSI!$B$3,""))</f>
        <v/>
      </c>
      <c r="CV87" s="110">
        <f>IF(AH87="","",IFERROR(AH87*HSI!$B$82*HSI!$G$82/HSI!$B$3,""))</f>
        <v/>
      </c>
      <c r="CW87" s="110">
        <f>IF(AI87="","",IFERROR(AI87*HSI!$B$82*HSI!$G$82/HSI!$B$3,""))</f>
        <v/>
      </c>
      <c r="CX87" s="110">
        <f>IF(AJ87="","",IFERROR(AJ87*HSI!$B$82*HSI!$G$82/HSI!$B$3,""))</f>
        <v/>
      </c>
      <c r="CY87" s="110">
        <f>IF(AK87="","",IFERROR(AK87*HSI!$B$82*HSI!$G$82/HSI!$B$3,""))</f>
        <v/>
      </c>
      <c r="CZ87" s="110">
        <f>IF(AL87="","",IFERROR(AL87*HSI!$B$82*HSI!$G$82/HSI!$B$3,""))</f>
        <v/>
      </c>
      <c r="DA87" s="110">
        <f>IF(AM87="","",IFERROR(AM87*HSI!$B$82*HSI!$G$82/HSI!$B$3,""))</f>
        <v/>
      </c>
      <c r="DB87" s="110">
        <f>IF(AN87="","",IFERROR(AN87*HSI!$B$82*HSI!$G$82/HSI!$B$3,""))</f>
        <v/>
      </c>
      <c r="DC87" s="110">
        <f>IF(AO87="","",IFERROR(AO87*HSI!$B$82*HSI!$G$82/HSI!$B$3,""))</f>
        <v/>
      </c>
      <c r="DD87" s="110">
        <f>IF(AP87="","",IFERROR(AP87*HSI!$B$82*HSI!$G$82/HSI!$B$3,""))</f>
        <v/>
      </c>
      <c r="DE87" s="110">
        <f>IF(AQ87="","",IFERROR(AQ87*HSI!$B$82*HSI!$G$82/HSI!$B$3,""))</f>
        <v/>
      </c>
      <c r="DF87" s="110">
        <f>IF(AR87="","",IFERROR(AR87*HSI!$B$82*HSI!$G$82/HSI!$B$3,""))</f>
        <v/>
      </c>
      <c r="DG87" s="110">
        <f>IF(AS87="","",IFERROR(AS87*HSI!$B$82*HSI!$G$82/HSI!$B$3,""))</f>
        <v/>
      </c>
      <c r="DH87" s="110">
        <f>IF(AT87="","",IFERROR(AT87*HSI!$B$82*HSI!$G$82/HSI!$B$3,""))</f>
        <v/>
      </c>
      <c r="DI87" s="110">
        <f>IF(AU87="","",IFERROR(AU87*HSI!$B$82*HSI!$G$82/HSI!$B$3,""))</f>
        <v/>
      </c>
      <c r="DJ87" s="110">
        <f>IF(AV87="","",IFERROR(AV87*HSI!$B$82*HSI!$G$82/HSI!$B$3,""))</f>
        <v/>
      </c>
      <c r="DK87" s="110">
        <f>IF(AW87="","",IFERROR(AW87*HSI!$B$82*HSI!$G$82/HSI!$B$3,""))</f>
        <v/>
      </c>
      <c r="DL87" s="110">
        <f>IF(AX87="","",IFERROR(AX87*HSI!$B$82*HSI!$G$82/HSI!$B$3,""))</f>
        <v/>
      </c>
      <c r="DM87" s="110">
        <f>IF(AY87="","",IFERROR(AY87*HSI!$B$82*HSI!$G$82/HSI!$B$3,""))</f>
        <v/>
      </c>
      <c r="DN87" s="110">
        <f>IF(AZ87="","",IFERROR(AZ87*HSI!$B$82*HSI!$G$82/HSI!$B$3,""))</f>
        <v/>
      </c>
      <c r="DO87" s="110">
        <f>IF(BA87="","",IFERROR(BA87*HSI!$B$82*HSI!$G$82/HSI!$B$3,""))</f>
        <v/>
      </c>
      <c r="DP87" s="110">
        <f>IF(BB87="","",IFERROR(BB87*HSI!$B$82*HSI!$G$82/HSI!$B$3,""))</f>
        <v/>
      </c>
      <c r="DQ87" s="110">
        <f>IF(BC87="","",IFERROR(BC87*HSI!$B$82*HSI!$G$82/HSI!$B$3,""))</f>
        <v/>
      </c>
      <c r="DR87" s="110">
        <f>IF(BD87="","",IFERROR(BD87*HSI!$B$82*HSI!$G$82/HSI!$B$3,""))</f>
        <v/>
      </c>
      <c r="DS87" s="110">
        <f>IF(BE87="","",IFERROR(BE87*HSI!$B$82*HSI!$G$82/HSI!$B$3,""))</f>
        <v/>
      </c>
      <c r="DT87" s="110">
        <f>IF(BF87="","",IFERROR(BF87*HSI!$B$82*HSI!$G$82/HSI!$B$3,""))</f>
        <v/>
      </c>
      <c r="DU87" s="110">
        <f>IF(BG87="","",IFERROR(BG87*HSI!$B$82*HSI!$G$82/HSI!$B$3,""))</f>
        <v/>
      </c>
      <c r="DV87" s="110">
        <f>IF(BH87="","",IFERROR(BH87*HSI!$B$82*HSI!$G$82/HSI!$B$3,""))</f>
        <v/>
      </c>
      <c r="DW87" s="110">
        <f>IF(BI87="","",IFERROR(BI87*HSI!$B$82*HSI!$G$82/HSI!$B$3,""))</f>
        <v/>
      </c>
      <c r="DX87" s="110">
        <f>IF(BJ87="","",IFERROR(BJ87*HSI!$B$82*HSI!$G$82/HSI!$B$3,""))</f>
        <v/>
      </c>
      <c r="DY87" s="110">
        <f>IF(BK87="","",IFERROR(BK87*HSI!$B$82*HSI!$G$82/HSI!$B$3,""))</f>
        <v/>
      </c>
      <c r="DZ87" s="110">
        <f>IF(BL87="","",IFERROR(BL87*HSI!$B$82*HSI!$G$82/HSI!$B$3,""))</f>
        <v/>
      </c>
      <c r="EA87" s="110">
        <f>IF(BM87="","",IFERROR(BM87*HSI!$B$82*HSI!$G$82/HSI!$B$3,""))</f>
        <v/>
      </c>
      <c r="EB87" s="110">
        <f>IF(BN87="","",IFERROR(BN87*HSI!$B$82*HSI!$G$82/HSI!$B$3,""))</f>
        <v/>
      </c>
      <c r="EC87" s="110">
        <f>IF(BO87="","",IFERROR(BO87*HSI!$B$82*HSI!$G$82/HSI!$B$3,""))</f>
        <v/>
      </c>
      <c r="EE87" s="39">
        <f>IF(N('Dvd Calendar'!$E$836)=0,"",IF(('Dvd Calendar'!$E$836&gt;=GRID_FROM)*('Dvd Calendar'!$E$836&lt;=GRID_TO)*((('Dvd Calendar'!$E$836&lt;=VAL_DATE)+(COUNTIF('Dvd Calendar'!$E$843:$AR$843,'Dvd Calendar'!$E$836)=0))&gt;0)=0,"",'Dvd Calendar'!$E$836*1000000000+ISNUMBER('Dvd Calendar'!$E$839)*100000000+('Dvd Calendar'!$E$841=SPECIAL_LBL)*10000000+(N('Dvd Calendar'!$E$835)&gt;0)*(N('Dvd Calendar'!$E$835)&lt;=VAL_SERIAL)*1000000+76*1000+1))</f>
        <v/>
      </c>
      <c r="EF87" s="39">
        <f>IF(N('Dvd Calendar'!$F$836)=0,"",IF(('Dvd Calendar'!$F$836&gt;=GRID_FROM)*('Dvd Calendar'!$F$836&lt;=GRID_TO)*((('Dvd Calendar'!$F$836&lt;=VAL_DATE)+(COUNTIF('Dvd Calendar'!$E$843:$AR$843,'Dvd Calendar'!$F$836)=0))&gt;0)=0,"",'Dvd Calendar'!$F$836*1000000000+ISNUMBER('Dvd Calendar'!$F$839)*100000000+('Dvd Calendar'!$F$841=SPECIAL_LBL)*10000000+(N('Dvd Calendar'!$F$835)&gt;0)*(N('Dvd Calendar'!$F$835)&lt;=VAL_SERIAL)*1000000+76*1000+2))</f>
        <v/>
      </c>
      <c r="EG87" s="39">
        <f>IF(N('Dvd Calendar'!$G$836)=0,"",IF(('Dvd Calendar'!$G$836&gt;=GRID_FROM)*('Dvd Calendar'!$G$836&lt;=GRID_TO)*((('Dvd Calendar'!$G$836&lt;=VAL_DATE)+(COUNTIF('Dvd Calendar'!$E$843:$AR$843,'Dvd Calendar'!$G$836)=0))&gt;0)=0,"",'Dvd Calendar'!$G$836*1000000000+ISNUMBER('Dvd Calendar'!$G$839)*100000000+('Dvd Calendar'!$G$841=SPECIAL_LBL)*10000000+(N('Dvd Calendar'!$G$835)&gt;0)*(N('Dvd Calendar'!$G$835)&lt;=VAL_SERIAL)*1000000+76*1000+3))</f>
        <v/>
      </c>
      <c r="EH87" s="39">
        <f>IF(N('Dvd Calendar'!$H$836)=0,"",IF(('Dvd Calendar'!$H$836&gt;=GRID_FROM)*('Dvd Calendar'!$H$836&lt;=GRID_TO)*((('Dvd Calendar'!$H$836&lt;=VAL_DATE)+(COUNTIF('Dvd Calendar'!$E$843:$AR$843,'Dvd Calendar'!$H$836)=0))&gt;0)=0,"",'Dvd Calendar'!$H$836*1000000000+ISNUMBER('Dvd Calendar'!$H$839)*100000000+('Dvd Calendar'!$H$841=SPECIAL_LBL)*10000000+(N('Dvd Calendar'!$H$835)&gt;0)*(N('Dvd Calendar'!$H$835)&lt;=VAL_SERIAL)*1000000+76*1000+4))</f>
        <v/>
      </c>
      <c r="EI87" s="39">
        <f>IF(N('Dvd Calendar'!$I$836)=0,"",IF(('Dvd Calendar'!$I$836&gt;=GRID_FROM)*('Dvd Calendar'!$I$836&lt;=GRID_TO)*((('Dvd Calendar'!$I$836&lt;=VAL_DATE)+(COUNTIF('Dvd Calendar'!$E$843:$AR$843,'Dvd Calendar'!$I$836)=0))&gt;0)=0,"",'Dvd Calendar'!$I$836*1000000000+ISNUMBER('Dvd Calendar'!$I$839)*100000000+('Dvd Calendar'!$I$841=SPECIAL_LBL)*10000000+(N('Dvd Calendar'!$I$835)&gt;0)*(N('Dvd Calendar'!$I$835)&lt;=VAL_SERIAL)*1000000+76*1000+5))</f>
        <v/>
      </c>
      <c r="EJ87" s="39">
        <f>IF(N('Dvd Calendar'!$J$836)=0,"",IF(('Dvd Calendar'!$J$836&gt;=GRID_FROM)*('Dvd Calendar'!$J$836&lt;=GRID_TO)*((('Dvd Calendar'!$J$836&lt;=VAL_DATE)+(COUNTIF('Dvd Calendar'!$E$843:$AR$843,'Dvd Calendar'!$J$836)=0))&gt;0)=0,"",'Dvd Calendar'!$J$836*1000000000+ISNUMBER('Dvd Calendar'!$J$839)*100000000+('Dvd Calendar'!$J$841=SPECIAL_LBL)*10000000+(N('Dvd Calendar'!$J$835)&gt;0)*(N('Dvd Calendar'!$J$835)&lt;=VAL_SERIAL)*1000000+76*1000+6))</f>
        <v/>
      </c>
      <c r="EK87" s="39">
        <f>IF(N('Dvd Calendar'!$K$836)=0,"",IF(('Dvd Calendar'!$K$836&gt;=GRID_FROM)*('Dvd Calendar'!$K$836&lt;=GRID_TO)*((('Dvd Calendar'!$K$836&lt;=VAL_DATE)+(COUNTIF('Dvd Calendar'!$E$843:$AR$843,'Dvd Calendar'!$K$836)=0))&gt;0)=0,"",'Dvd Calendar'!$K$836*1000000000+ISNUMBER('Dvd Calendar'!$K$839)*100000000+('Dvd Calendar'!$K$841=SPECIAL_LBL)*10000000+(N('Dvd Calendar'!$K$835)&gt;0)*(N('Dvd Calendar'!$K$835)&lt;=VAL_SERIAL)*1000000+76*1000+7))</f>
        <v/>
      </c>
      <c r="EL87" s="39">
        <f>IF(N('Dvd Calendar'!$L$836)=0,"",IF(('Dvd Calendar'!$L$836&gt;=GRID_FROM)*('Dvd Calendar'!$L$836&lt;=GRID_TO)*((('Dvd Calendar'!$L$836&lt;=VAL_DATE)+(COUNTIF('Dvd Calendar'!$E$843:$AR$843,'Dvd Calendar'!$L$836)=0))&gt;0)=0,"",'Dvd Calendar'!$L$836*1000000000+ISNUMBER('Dvd Calendar'!$L$839)*100000000+('Dvd Calendar'!$L$841=SPECIAL_LBL)*10000000+(N('Dvd Calendar'!$L$835)&gt;0)*(N('Dvd Calendar'!$L$835)&lt;=VAL_SERIAL)*1000000+76*1000+8))</f>
        <v/>
      </c>
      <c r="EM87" s="39">
        <f>IF(N('Dvd Calendar'!$M$836)=0,"",IF(('Dvd Calendar'!$M$836&gt;=GRID_FROM)*('Dvd Calendar'!$M$836&lt;=GRID_TO)*((('Dvd Calendar'!$M$836&lt;=VAL_DATE)+(COUNTIF('Dvd Calendar'!$E$843:$AR$843,'Dvd Calendar'!$M$836)=0))&gt;0)=0,"",'Dvd Calendar'!$M$836*1000000000+ISNUMBER('Dvd Calendar'!$M$839)*100000000+('Dvd Calendar'!$M$841=SPECIAL_LBL)*10000000+(N('Dvd Calendar'!$M$835)&gt;0)*(N('Dvd Calendar'!$M$835)&lt;=VAL_SERIAL)*1000000+76*1000+9))</f>
        <v/>
      </c>
      <c r="EN87" s="39">
        <f>IF(N('Dvd Calendar'!$N$836)=0,"",IF(('Dvd Calendar'!$N$836&gt;=GRID_FROM)*('Dvd Calendar'!$N$836&lt;=GRID_TO)*((('Dvd Calendar'!$N$836&lt;=VAL_DATE)+(COUNTIF('Dvd Calendar'!$E$843:$AR$843,'Dvd Calendar'!$N$836)=0))&gt;0)=0,"",'Dvd Calendar'!$N$836*1000000000+ISNUMBER('Dvd Calendar'!$N$839)*100000000+('Dvd Calendar'!$N$841=SPECIAL_LBL)*10000000+(N('Dvd Calendar'!$N$835)&gt;0)*(N('Dvd Calendar'!$N$835)&lt;=VAL_SERIAL)*1000000+76*1000+10))</f>
        <v/>
      </c>
      <c r="EO87" s="39">
        <f>IF(N('Dvd Calendar'!$O$836)=0,"",IF(('Dvd Calendar'!$O$836&gt;=GRID_FROM)*('Dvd Calendar'!$O$836&lt;=GRID_TO)*((('Dvd Calendar'!$O$836&lt;=VAL_DATE)+(COUNTIF('Dvd Calendar'!$E$843:$AR$843,'Dvd Calendar'!$O$836)=0))&gt;0)=0,"",'Dvd Calendar'!$O$836*1000000000+ISNUMBER('Dvd Calendar'!$O$839)*100000000+('Dvd Calendar'!$O$841=SPECIAL_LBL)*10000000+(N('Dvd Calendar'!$O$835)&gt;0)*(N('Dvd Calendar'!$O$835)&lt;=VAL_SERIAL)*1000000+76*1000+11))</f>
        <v/>
      </c>
      <c r="EP87" s="39">
        <f>IF(N('Dvd Calendar'!$P$836)=0,"",IF(('Dvd Calendar'!$P$836&gt;=GRID_FROM)*('Dvd Calendar'!$P$836&lt;=GRID_TO)*((('Dvd Calendar'!$P$836&lt;=VAL_DATE)+(COUNTIF('Dvd Calendar'!$E$843:$AR$843,'Dvd Calendar'!$P$836)=0))&gt;0)=0,"",'Dvd Calendar'!$P$836*1000000000+ISNUMBER('Dvd Calendar'!$P$839)*100000000+('Dvd Calendar'!$P$841=SPECIAL_LBL)*10000000+(N('Dvd Calendar'!$P$835)&gt;0)*(N('Dvd Calendar'!$P$835)&lt;=VAL_SERIAL)*1000000+76*1000+12))</f>
        <v/>
      </c>
      <c r="EQ87" s="39">
        <f>IF(N('Dvd Calendar'!$Q$836)=0,"",IF(('Dvd Calendar'!$Q$836&gt;=GRID_FROM)*('Dvd Calendar'!$Q$836&lt;=GRID_TO)*((('Dvd Calendar'!$Q$836&lt;=VAL_DATE)+(COUNTIF('Dvd Calendar'!$E$843:$AR$843,'Dvd Calendar'!$Q$836)=0))&gt;0)=0,"",'Dvd Calendar'!$Q$836*1000000000+ISNUMBER('Dvd Calendar'!$Q$839)*100000000+('Dvd Calendar'!$Q$841=SPECIAL_LBL)*10000000+(N('Dvd Calendar'!$Q$835)&gt;0)*(N('Dvd Calendar'!$Q$835)&lt;=VAL_SERIAL)*1000000+76*1000+13))</f>
        <v/>
      </c>
      <c r="ER87" s="39">
        <f>IF(N('Dvd Calendar'!$R$836)=0,"",IF(('Dvd Calendar'!$R$836&gt;=GRID_FROM)*('Dvd Calendar'!$R$836&lt;=GRID_TO)*((('Dvd Calendar'!$R$836&lt;=VAL_DATE)+(COUNTIF('Dvd Calendar'!$E$843:$AR$843,'Dvd Calendar'!$R$836)=0))&gt;0)=0,"",'Dvd Calendar'!$R$836*1000000000+ISNUMBER('Dvd Calendar'!$R$839)*100000000+('Dvd Calendar'!$R$841=SPECIAL_LBL)*10000000+(N('Dvd Calendar'!$R$835)&gt;0)*(N('Dvd Calendar'!$R$835)&lt;=VAL_SERIAL)*1000000+76*1000+14))</f>
        <v/>
      </c>
      <c r="ES87" s="39">
        <f>IF(N('Dvd Calendar'!$S$836)=0,"",IF(('Dvd Calendar'!$S$836&gt;=GRID_FROM)*('Dvd Calendar'!$S$836&lt;=GRID_TO)*((('Dvd Calendar'!$S$836&lt;=VAL_DATE)+(COUNTIF('Dvd Calendar'!$E$843:$AR$843,'Dvd Calendar'!$S$836)=0))&gt;0)=0,"",'Dvd Calendar'!$S$836*1000000000+ISNUMBER('Dvd Calendar'!$S$839)*100000000+('Dvd Calendar'!$S$841=SPECIAL_LBL)*10000000+(N('Dvd Calendar'!$S$835)&gt;0)*(N('Dvd Calendar'!$S$835)&lt;=VAL_SERIAL)*1000000+76*1000+15))</f>
        <v/>
      </c>
      <c r="ET87" s="39">
        <f>IF(N('Dvd Calendar'!$T$836)=0,"",IF(('Dvd Calendar'!$T$836&gt;=GRID_FROM)*('Dvd Calendar'!$T$836&lt;=GRID_TO)*((('Dvd Calendar'!$T$836&lt;=VAL_DATE)+(COUNTIF('Dvd Calendar'!$E$843:$AR$843,'Dvd Calendar'!$T$836)=0))&gt;0)=0,"",'Dvd Calendar'!$T$836*1000000000+ISNUMBER('Dvd Calendar'!$T$839)*100000000+('Dvd Calendar'!$T$841=SPECIAL_LBL)*10000000+(N('Dvd Calendar'!$T$835)&gt;0)*(N('Dvd Calendar'!$T$835)&lt;=VAL_SERIAL)*1000000+76*1000+16))</f>
        <v/>
      </c>
      <c r="EU87" s="39">
        <f>IF(N('Dvd Calendar'!$U$836)=0,"",IF(('Dvd Calendar'!$U$836&gt;=GRID_FROM)*('Dvd Calendar'!$U$836&lt;=GRID_TO)*((('Dvd Calendar'!$U$836&lt;=VAL_DATE)+(COUNTIF('Dvd Calendar'!$E$843:$AR$843,'Dvd Calendar'!$U$836)=0))&gt;0)=0,"",'Dvd Calendar'!$U$836*1000000000+ISNUMBER('Dvd Calendar'!$U$839)*100000000+('Dvd Calendar'!$U$841=SPECIAL_LBL)*10000000+(N('Dvd Calendar'!$U$835)&gt;0)*(N('Dvd Calendar'!$U$835)&lt;=VAL_SERIAL)*1000000+76*1000+17))</f>
        <v/>
      </c>
      <c r="EV87" s="39">
        <f>IF(N('Dvd Calendar'!$V$836)=0,"",IF(('Dvd Calendar'!$V$836&gt;=GRID_FROM)*('Dvd Calendar'!$V$836&lt;=GRID_TO)*((('Dvd Calendar'!$V$836&lt;=VAL_DATE)+(COUNTIF('Dvd Calendar'!$E$843:$AR$843,'Dvd Calendar'!$V$836)=0))&gt;0)=0,"",'Dvd Calendar'!$V$836*1000000000+ISNUMBER('Dvd Calendar'!$V$839)*100000000+('Dvd Calendar'!$V$841=SPECIAL_LBL)*10000000+(N('Dvd Calendar'!$V$835)&gt;0)*(N('Dvd Calendar'!$V$835)&lt;=VAL_SERIAL)*1000000+76*1000+18))</f>
        <v/>
      </c>
      <c r="EW87" s="39">
        <f>IF(N('Dvd Calendar'!$W$836)=0,"",IF(('Dvd Calendar'!$W$836&gt;=GRID_FROM)*('Dvd Calendar'!$W$836&lt;=GRID_TO)*((('Dvd Calendar'!$W$836&lt;=VAL_DATE)+(COUNTIF('Dvd Calendar'!$E$843:$AR$843,'Dvd Calendar'!$W$836)=0))&gt;0)=0,"",'Dvd Calendar'!$W$836*1000000000+ISNUMBER('Dvd Calendar'!$W$839)*100000000+('Dvd Calendar'!$W$841=SPECIAL_LBL)*10000000+(N('Dvd Calendar'!$W$835)&gt;0)*(N('Dvd Calendar'!$W$835)&lt;=VAL_SERIAL)*1000000+76*1000+19))</f>
        <v/>
      </c>
      <c r="EX87" s="39">
        <f>IF(N('Dvd Calendar'!$X$836)=0,"",IF(('Dvd Calendar'!$X$836&gt;=GRID_FROM)*('Dvd Calendar'!$X$836&lt;=GRID_TO)*((('Dvd Calendar'!$X$836&lt;=VAL_DATE)+(COUNTIF('Dvd Calendar'!$E$843:$AR$843,'Dvd Calendar'!$X$836)=0))&gt;0)=0,"",'Dvd Calendar'!$X$836*1000000000+ISNUMBER('Dvd Calendar'!$X$839)*100000000+('Dvd Calendar'!$X$841=SPECIAL_LBL)*10000000+(N('Dvd Calendar'!$X$835)&gt;0)*(N('Dvd Calendar'!$X$835)&lt;=VAL_SERIAL)*1000000+76*1000+20))</f>
        <v/>
      </c>
      <c r="EY87" s="39">
        <f>IF(N('Dvd Calendar'!$Y$836)=0,"",IF(('Dvd Calendar'!$Y$836&gt;=GRID_FROM)*('Dvd Calendar'!$Y$836&lt;=GRID_TO)*((('Dvd Calendar'!$Y$836&lt;=VAL_DATE)+(COUNTIF('Dvd Calendar'!$E$843:$AR$843,'Dvd Calendar'!$Y$836)=0))&gt;0)=0,"",'Dvd Calendar'!$Y$836*1000000000+ISNUMBER('Dvd Calendar'!$Y$839)*100000000+('Dvd Calendar'!$Y$841=SPECIAL_LBL)*10000000+(N('Dvd Calendar'!$Y$835)&gt;0)*(N('Dvd Calendar'!$Y$835)&lt;=VAL_SERIAL)*1000000+76*1000+21))</f>
        <v/>
      </c>
      <c r="EZ87" s="39">
        <f>IF(N('Dvd Calendar'!$Z$836)=0,"",IF(('Dvd Calendar'!$Z$836&gt;=GRID_FROM)*('Dvd Calendar'!$Z$836&lt;=GRID_TO)*((('Dvd Calendar'!$Z$836&lt;=VAL_DATE)+(COUNTIF('Dvd Calendar'!$E$843:$AR$843,'Dvd Calendar'!$Z$836)=0))&gt;0)=0,"",'Dvd Calendar'!$Z$836*1000000000+ISNUMBER('Dvd Calendar'!$Z$839)*100000000+('Dvd Calendar'!$Z$841=SPECIAL_LBL)*10000000+(N('Dvd Calendar'!$Z$835)&gt;0)*(N('Dvd Calendar'!$Z$835)&lt;=VAL_SERIAL)*1000000+76*1000+22))</f>
        <v/>
      </c>
      <c r="FA87" s="39">
        <f>IF(N('Dvd Calendar'!$AA$836)=0,"",IF(('Dvd Calendar'!$AA$836&gt;=GRID_FROM)*('Dvd Calendar'!$AA$836&lt;=GRID_TO)*((('Dvd Calendar'!$AA$836&lt;=VAL_DATE)+(COUNTIF('Dvd Calendar'!$E$843:$AR$843,'Dvd Calendar'!$AA$836)=0))&gt;0)=0,"",'Dvd Calendar'!$AA$836*1000000000+ISNUMBER('Dvd Calendar'!$AA$839)*100000000+('Dvd Calendar'!$AA$841=SPECIAL_LBL)*10000000+(N('Dvd Calendar'!$AA$835)&gt;0)*(N('Dvd Calendar'!$AA$835)&lt;=VAL_SERIAL)*1000000+76*1000+23))</f>
        <v/>
      </c>
      <c r="FB87" s="39">
        <f>IF(N('Dvd Calendar'!$AB$836)=0,"",IF(('Dvd Calendar'!$AB$836&gt;=GRID_FROM)*('Dvd Calendar'!$AB$836&lt;=GRID_TO)*((('Dvd Calendar'!$AB$836&lt;=VAL_DATE)+(COUNTIF('Dvd Calendar'!$E$843:$AR$843,'Dvd Calendar'!$AB$836)=0))&gt;0)=0,"",'Dvd Calendar'!$AB$836*1000000000+ISNUMBER('Dvd Calendar'!$AB$839)*100000000+('Dvd Calendar'!$AB$841=SPECIAL_LBL)*10000000+(N('Dvd Calendar'!$AB$835)&gt;0)*(N('Dvd Calendar'!$AB$835)&lt;=VAL_SERIAL)*1000000+76*1000+24))</f>
        <v/>
      </c>
      <c r="FC87" s="39">
        <f>IF(N('Dvd Calendar'!$AC$836)=0,"",IF(('Dvd Calendar'!$AC$836&gt;=GRID_FROM)*('Dvd Calendar'!$AC$836&lt;=GRID_TO)*((('Dvd Calendar'!$AC$836&lt;=VAL_DATE)+(COUNTIF('Dvd Calendar'!$E$843:$AR$843,'Dvd Calendar'!$AC$836)=0))&gt;0)=0,"",'Dvd Calendar'!$AC$836*1000000000+ISNUMBER('Dvd Calendar'!$AC$839)*100000000+('Dvd Calendar'!$AC$841=SPECIAL_LBL)*10000000+(N('Dvd Calendar'!$AC$835)&gt;0)*(N('Dvd Calendar'!$AC$835)&lt;=VAL_SERIAL)*1000000+76*1000+25))</f>
        <v/>
      </c>
      <c r="FD87" s="39">
        <f>IF(N('Dvd Calendar'!$AD$836)=0,"",IF(('Dvd Calendar'!$AD$836&gt;=GRID_FROM)*('Dvd Calendar'!$AD$836&lt;=GRID_TO)*((('Dvd Calendar'!$AD$836&lt;=VAL_DATE)+(COUNTIF('Dvd Calendar'!$E$843:$AR$843,'Dvd Calendar'!$AD$836)=0))&gt;0)=0,"",'Dvd Calendar'!$AD$836*1000000000+ISNUMBER('Dvd Calendar'!$AD$839)*100000000+('Dvd Calendar'!$AD$841=SPECIAL_LBL)*10000000+(N('Dvd Calendar'!$AD$835)&gt;0)*(N('Dvd Calendar'!$AD$835)&lt;=VAL_SERIAL)*1000000+76*1000+26))</f>
        <v/>
      </c>
      <c r="FE87" s="39">
        <f>IF(N('Dvd Calendar'!$AE$836)=0,"",IF(('Dvd Calendar'!$AE$836&gt;=GRID_FROM)*('Dvd Calendar'!$AE$836&lt;=GRID_TO)*((('Dvd Calendar'!$AE$836&lt;=VAL_DATE)+(COUNTIF('Dvd Calendar'!$E$843:$AR$843,'Dvd Calendar'!$AE$836)=0))&gt;0)=0,"",'Dvd Calendar'!$AE$836*1000000000+ISNUMBER('Dvd Calendar'!$AE$839)*100000000+('Dvd Calendar'!$AE$841=SPECIAL_LBL)*10000000+(N('Dvd Calendar'!$AE$835)&gt;0)*(N('Dvd Calendar'!$AE$835)&lt;=VAL_SERIAL)*1000000+76*1000+27))</f>
        <v/>
      </c>
      <c r="FF87" s="39">
        <f>IF(N('Dvd Calendar'!$AF$836)=0,"",IF(('Dvd Calendar'!$AF$836&gt;=GRID_FROM)*('Dvd Calendar'!$AF$836&lt;=GRID_TO)*((('Dvd Calendar'!$AF$836&lt;=VAL_DATE)+(COUNTIF('Dvd Calendar'!$E$843:$AR$843,'Dvd Calendar'!$AF$836)=0))&gt;0)=0,"",'Dvd Calendar'!$AF$836*1000000000+ISNUMBER('Dvd Calendar'!$AF$839)*100000000+('Dvd Calendar'!$AF$841=SPECIAL_LBL)*10000000+(N('Dvd Calendar'!$AF$835)&gt;0)*(N('Dvd Calendar'!$AF$835)&lt;=VAL_SERIAL)*1000000+76*1000+28))</f>
        <v/>
      </c>
      <c r="FG87" s="39">
        <f>IF(N('Dvd Calendar'!$AG$836)=0,"",IF(('Dvd Calendar'!$AG$836&gt;=GRID_FROM)*('Dvd Calendar'!$AG$836&lt;=GRID_TO)*((('Dvd Calendar'!$AG$836&lt;=VAL_DATE)+(COUNTIF('Dvd Calendar'!$E$843:$AR$843,'Dvd Calendar'!$AG$836)=0))&gt;0)=0,"",'Dvd Calendar'!$AG$836*1000000000+ISNUMBER('Dvd Calendar'!$AG$839)*100000000+('Dvd Calendar'!$AG$841=SPECIAL_LBL)*10000000+(N('Dvd Calendar'!$AG$835)&gt;0)*(N('Dvd Calendar'!$AG$835)&lt;=VAL_SERIAL)*1000000+76*1000+29))</f>
        <v/>
      </c>
      <c r="FH87" s="39">
        <f>IF(N('Dvd Calendar'!$AH$836)=0,"",IF(('Dvd Calendar'!$AH$836&gt;=GRID_FROM)*('Dvd Calendar'!$AH$836&lt;=GRID_TO)*((('Dvd Calendar'!$AH$836&lt;=VAL_DATE)+(COUNTIF('Dvd Calendar'!$E$843:$AR$843,'Dvd Calendar'!$AH$836)=0))&gt;0)=0,"",'Dvd Calendar'!$AH$836*1000000000+ISNUMBER('Dvd Calendar'!$AH$839)*100000000+('Dvd Calendar'!$AH$841=SPECIAL_LBL)*10000000+(N('Dvd Calendar'!$AH$835)&gt;0)*(N('Dvd Calendar'!$AH$835)&lt;=VAL_SERIAL)*1000000+76*1000+30))</f>
        <v/>
      </c>
      <c r="FI87" s="39">
        <f>IF(N('Dvd Calendar'!$AI$836)=0,"",IF(('Dvd Calendar'!$AI$836&gt;=GRID_FROM)*('Dvd Calendar'!$AI$836&lt;=GRID_TO)*((('Dvd Calendar'!$AI$836&lt;=VAL_DATE)+(COUNTIF('Dvd Calendar'!$E$843:$AR$843,'Dvd Calendar'!$AI$836)=0))&gt;0)=0,"",'Dvd Calendar'!$AI$836*1000000000+ISNUMBER('Dvd Calendar'!$AI$839)*100000000+('Dvd Calendar'!$AI$841=SPECIAL_LBL)*10000000+(N('Dvd Calendar'!$AI$835)&gt;0)*(N('Dvd Calendar'!$AI$835)&lt;=VAL_SERIAL)*1000000+76*1000+31))</f>
        <v/>
      </c>
      <c r="FJ87" s="39">
        <f>IF(N('Dvd Calendar'!$AJ$836)=0,"",IF(('Dvd Calendar'!$AJ$836&gt;=GRID_FROM)*('Dvd Calendar'!$AJ$836&lt;=GRID_TO)*((('Dvd Calendar'!$AJ$836&lt;=VAL_DATE)+(COUNTIF('Dvd Calendar'!$E$843:$AR$843,'Dvd Calendar'!$AJ$836)=0))&gt;0)=0,"",'Dvd Calendar'!$AJ$836*1000000000+ISNUMBER('Dvd Calendar'!$AJ$839)*100000000+('Dvd Calendar'!$AJ$841=SPECIAL_LBL)*10000000+(N('Dvd Calendar'!$AJ$835)&gt;0)*(N('Dvd Calendar'!$AJ$835)&lt;=VAL_SERIAL)*1000000+76*1000+32))</f>
        <v/>
      </c>
      <c r="FK87" s="39">
        <f>IF(N('Dvd Calendar'!$AK$836)=0,"",IF(('Dvd Calendar'!$AK$836&gt;=GRID_FROM)*('Dvd Calendar'!$AK$836&lt;=GRID_TO)*((('Dvd Calendar'!$AK$836&lt;=VAL_DATE)+(COUNTIF('Dvd Calendar'!$E$843:$AR$843,'Dvd Calendar'!$AK$836)=0))&gt;0)=0,"",'Dvd Calendar'!$AK$836*1000000000+ISNUMBER('Dvd Calendar'!$AK$839)*100000000+('Dvd Calendar'!$AK$841=SPECIAL_LBL)*10000000+(N('Dvd Calendar'!$AK$835)&gt;0)*(N('Dvd Calendar'!$AK$835)&lt;=VAL_SERIAL)*1000000+76*1000+33))</f>
        <v/>
      </c>
      <c r="FL87" s="39">
        <f>IF(N('Dvd Calendar'!$AL$836)=0,"",IF(('Dvd Calendar'!$AL$836&gt;=GRID_FROM)*('Dvd Calendar'!$AL$836&lt;=GRID_TO)*((('Dvd Calendar'!$AL$836&lt;=VAL_DATE)+(COUNTIF('Dvd Calendar'!$E$843:$AR$843,'Dvd Calendar'!$AL$836)=0))&gt;0)=0,"",'Dvd Calendar'!$AL$836*1000000000+ISNUMBER('Dvd Calendar'!$AL$839)*100000000+('Dvd Calendar'!$AL$841=SPECIAL_LBL)*10000000+(N('Dvd Calendar'!$AL$835)&gt;0)*(N('Dvd Calendar'!$AL$835)&lt;=VAL_SERIAL)*1000000+76*1000+34))</f>
        <v/>
      </c>
      <c r="FM87" s="39">
        <f>IF(N('Dvd Calendar'!$AM$836)=0,"",IF(('Dvd Calendar'!$AM$836&gt;=GRID_FROM)*('Dvd Calendar'!$AM$836&lt;=GRID_TO)*((('Dvd Calendar'!$AM$836&lt;=VAL_DATE)+(COUNTIF('Dvd Calendar'!$E$843:$AR$843,'Dvd Calendar'!$AM$836)=0))&gt;0)=0,"",'Dvd Calendar'!$AM$836*1000000000+ISNUMBER('Dvd Calendar'!$AM$839)*100000000+('Dvd Calendar'!$AM$841=SPECIAL_LBL)*10000000+(N('Dvd Calendar'!$AM$835)&gt;0)*(N('Dvd Calendar'!$AM$835)&lt;=VAL_SERIAL)*1000000+76*1000+35))</f>
        <v/>
      </c>
      <c r="FN87" s="39">
        <f>IF(N('Dvd Calendar'!$AN$836)=0,"",IF(('Dvd Calendar'!$AN$836&gt;=GRID_FROM)*('Dvd Calendar'!$AN$836&lt;=GRID_TO)*((('Dvd Calendar'!$AN$836&lt;=VAL_DATE)+(COUNTIF('Dvd Calendar'!$E$843:$AR$843,'Dvd Calendar'!$AN$836)=0))&gt;0)=0,"",'Dvd Calendar'!$AN$836*1000000000+ISNUMBER('Dvd Calendar'!$AN$839)*100000000+('Dvd Calendar'!$AN$841=SPECIAL_LBL)*10000000+(N('Dvd Calendar'!$AN$835)&gt;0)*(N('Dvd Calendar'!$AN$835)&lt;=VAL_SERIAL)*1000000+76*1000+36))</f>
        <v/>
      </c>
      <c r="FO87" s="39">
        <f>IF(N('Dvd Calendar'!$AO$836)=0,"",IF(('Dvd Calendar'!$AO$836&gt;=GRID_FROM)*('Dvd Calendar'!$AO$836&lt;=GRID_TO)*((('Dvd Calendar'!$AO$836&lt;=VAL_DATE)+(COUNTIF('Dvd Calendar'!$E$843:$AR$843,'Dvd Calendar'!$AO$836)=0))&gt;0)=0,"",'Dvd Calendar'!$AO$836*1000000000+ISNUMBER('Dvd Calendar'!$AO$839)*100000000+('Dvd Calendar'!$AO$841=SPECIAL_LBL)*10000000+(N('Dvd Calendar'!$AO$835)&gt;0)*(N('Dvd Calendar'!$AO$835)&lt;=VAL_SERIAL)*1000000+76*1000+37))</f>
        <v/>
      </c>
      <c r="FP87" s="39">
        <f>IF(N('Dvd Calendar'!$AP$836)=0,"",IF(('Dvd Calendar'!$AP$836&gt;=GRID_FROM)*('Dvd Calendar'!$AP$836&lt;=GRID_TO)*((('Dvd Calendar'!$AP$836&lt;=VAL_DATE)+(COUNTIF('Dvd Calendar'!$E$843:$AR$843,'Dvd Calendar'!$AP$836)=0))&gt;0)=0,"",'Dvd Calendar'!$AP$836*1000000000+ISNUMBER('Dvd Calendar'!$AP$839)*100000000+('Dvd Calendar'!$AP$841=SPECIAL_LBL)*10000000+(N('Dvd Calendar'!$AP$835)&gt;0)*(N('Dvd Calendar'!$AP$835)&lt;=VAL_SERIAL)*1000000+76*1000+38))</f>
        <v/>
      </c>
      <c r="FQ87" s="39">
        <f>IF(N('Dvd Calendar'!$AQ$836)=0,"",IF(('Dvd Calendar'!$AQ$836&gt;=GRID_FROM)*('Dvd Calendar'!$AQ$836&lt;=GRID_TO)*((('Dvd Calendar'!$AQ$836&lt;=VAL_DATE)+(COUNTIF('Dvd Calendar'!$E$843:$AR$843,'Dvd Calendar'!$AQ$836)=0))&gt;0)=0,"",'Dvd Calendar'!$AQ$836*1000000000+ISNUMBER('Dvd Calendar'!$AQ$839)*100000000+('Dvd Calendar'!$AQ$841=SPECIAL_LBL)*10000000+(N('Dvd Calendar'!$AQ$835)&gt;0)*(N('Dvd Calendar'!$AQ$835)&lt;=VAL_SERIAL)*1000000+76*1000+39))</f>
        <v/>
      </c>
      <c r="FR87" s="39">
        <f>IF(N('Dvd Calendar'!$AR$836)=0,"",IF(('Dvd Calendar'!$AR$836&gt;=GRID_FROM)*('Dvd Calendar'!$AR$836&lt;=GRID_TO)*((('Dvd Calendar'!$AR$836&lt;=VAL_DATE)+(COUNTIF('Dvd Calendar'!$E$843:$AR$843,'Dvd Calendar'!$AR$836)=0))&gt;0)=0,"",'Dvd Calendar'!$AR$836*1000000000+ISNUMBER('Dvd Calendar'!$AR$839)*100000000+('Dvd Calendar'!$AR$841=SPECIAL_LBL)*10000000+(N('Dvd Calendar'!$AR$835)&gt;0)*(N('Dvd Calendar'!$AR$835)&lt;=VAL_SERIAL)*1000000+76*1000+40))</f>
        <v/>
      </c>
      <c r="FS87" s="39">
        <f>IF(N('Dvd Calendar'!$E$843)=0,"",IF(('Dvd Calendar'!$E$843&gt;=GRID_FROM)*('Dvd Calendar'!$E$843&lt;=GRID_TO)*('Dvd Calendar'!$E$843&gt;VAL_DATE)=0,"",'Dvd Calendar'!$E$843*1000000000+ISNUMBER('Dvd Calendar'!$E$844)*100000000+0*10000000+(N('Dvd Calendar'!$E$842)&gt;0)*(N('Dvd Calendar'!$E$842)&lt;=VAL_SERIAL)*1000000+76*1000+41))</f>
        <v/>
      </c>
      <c r="FT87" s="39">
        <f>IF(N('Dvd Calendar'!$F$843)=0,"",IF(('Dvd Calendar'!$F$843&gt;=GRID_FROM)*('Dvd Calendar'!$F$843&lt;=GRID_TO)*('Dvd Calendar'!$F$843&gt;VAL_DATE)=0,"",'Dvd Calendar'!$F$843*1000000000+ISNUMBER('Dvd Calendar'!$F$844)*100000000+0*10000000+(N('Dvd Calendar'!$F$842)&gt;0)*(N('Dvd Calendar'!$F$842)&lt;=VAL_SERIAL)*1000000+76*1000+42))</f>
        <v/>
      </c>
      <c r="FU87" s="39">
        <f>IF(N('Dvd Calendar'!$G$843)=0,"",IF(('Dvd Calendar'!$G$843&gt;=GRID_FROM)*('Dvd Calendar'!$G$843&lt;=GRID_TO)*('Dvd Calendar'!$G$843&gt;VAL_DATE)=0,"",'Dvd Calendar'!$G$843*1000000000+ISNUMBER('Dvd Calendar'!$G$844)*100000000+0*10000000+(N('Dvd Calendar'!$G$842)&gt;0)*(N('Dvd Calendar'!$G$842)&lt;=VAL_SERIAL)*1000000+76*1000+43))</f>
        <v/>
      </c>
      <c r="FV87" s="39">
        <f>IF(N('Dvd Calendar'!$H$843)=0,"",IF(('Dvd Calendar'!$H$843&gt;=GRID_FROM)*('Dvd Calendar'!$H$843&lt;=GRID_TO)*('Dvd Calendar'!$H$843&gt;VAL_DATE)=0,"",'Dvd Calendar'!$H$843*1000000000+ISNUMBER('Dvd Calendar'!$H$844)*100000000+0*10000000+(N('Dvd Calendar'!$H$842)&gt;0)*(N('Dvd Calendar'!$H$842)&lt;=VAL_SERIAL)*1000000+76*1000+44))</f>
        <v/>
      </c>
      <c r="FW87" s="39">
        <f>IF(N('Dvd Calendar'!$I$843)=0,"",IF(('Dvd Calendar'!$I$843&gt;=GRID_FROM)*('Dvd Calendar'!$I$843&lt;=GRID_TO)*('Dvd Calendar'!$I$843&gt;VAL_DATE)=0,"",'Dvd Calendar'!$I$843*1000000000+ISNUMBER('Dvd Calendar'!$I$844)*100000000+0*10000000+(N('Dvd Calendar'!$I$842)&gt;0)*(N('Dvd Calendar'!$I$842)&lt;=VAL_SERIAL)*1000000+76*1000+45))</f>
        <v/>
      </c>
      <c r="FX87" s="39">
        <f>IF(N('Dvd Calendar'!$J$843)=0,"",IF(('Dvd Calendar'!$J$843&gt;=GRID_FROM)*('Dvd Calendar'!$J$843&lt;=GRID_TO)*('Dvd Calendar'!$J$843&gt;VAL_DATE)=0,"",'Dvd Calendar'!$J$843*1000000000+ISNUMBER('Dvd Calendar'!$J$844)*100000000+0*10000000+(N('Dvd Calendar'!$J$842)&gt;0)*(N('Dvd Calendar'!$J$842)&lt;=VAL_SERIAL)*1000000+76*1000+46))</f>
        <v/>
      </c>
      <c r="FY87" s="39">
        <f>IF(N('Dvd Calendar'!$K$843)=0,"",IF(('Dvd Calendar'!$K$843&gt;=GRID_FROM)*('Dvd Calendar'!$K$843&lt;=GRID_TO)*('Dvd Calendar'!$K$843&gt;VAL_DATE)=0,"",'Dvd Calendar'!$K$843*1000000000+ISNUMBER('Dvd Calendar'!$K$844)*100000000+0*10000000+(N('Dvd Calendar'!$K$842)&gt;0)*(N('Dvd Calendar'!$K$842)&lt;=VAL_SERIAL)*1000000+76*1000+47))</f>
        <v/>
      </c>
      <c r="FZ87" s="39">
        <f>IF(N('Dvd Calendar'!$L$843)=0,"",IF(('Dvd Calendar'!$L$843&gt;=GRID_FROM)*('Dvd Calendar'!$L$843&lt;=GRID_TO)*('Dvd Calendar'!$L$843&gt;VAL_DATE)=0,"",'Dvd Calendar'!$L$843*1000000000+ISNUMBER('Dvd Calendar'!$L$844)*100000000+0*10000000+(N('Dvd Calendar'!$L$842)&gt;0)*(N('Dvd Calendar'!$L$842)&lt;=VAL_SERIAL)*1000000+76*1000+48))</f>
        <v/>
      </c>
      <c r="GA87" s="39">
        <f>IF(N('Dvd Calendar'!$M$843)=0,"",IF(('Dvd Calendar'!$M$843&gt;=GRID_FROM)*('Dvd Calendar'!$M$843&lt;=GRID_TO)*('Dvd Calendar'!$M$843&gt;VAL_DATE)=0,"",'Dvd Calendar'!$M$843*1000000000+ISNUMBER('Dvd Calendar'!$M$844)*100000000+0*10000000+(N('Dvd Calendar'!$M$842)&gt;0)*(N('Dvd Calendar'!$M$842)&lt;=VAL_SERIAL)*1000000+76*1000+49))</f>
        <v/>
      </c>
      <c r="GB87" s="39">
        <f>IF(N('Dvd Calendar'!$N$843)=0,"",IF(('Dvd Calendar'!$N$843&gt;=GRID_FROM)*('Dvd Calendar'!$N$843&lt;=GRID_TO)*('Dvd Calendar'!$N$843&gt;VAL_DATE)=0,"",'Dvd Calendar'!$N$843*1000000000+ISNUMBER('Dvd Calendar'!$N$844)*100000000+0*10000000+(N('Dvd Calendar'!$N$842)&gt;0)*(N('Dvd Calendar'!$N$842)&lt;=VAL_SERIAL)*1000000+76*1000+50))</f>
        <v/>
      </c>
      <c r="GC87" s="39">
        <f>IF(N('Dvd Calendar'!$O$843)=0,"",IF(('Dvd Calendar'!$O$843&gt;=GRID_FROM)*('Dvd Calendar'!$O$843&lt;=GRID_TO)*('Dvd Calendar'!$O$843&gt;VAL_DATE)=0,"",'Dvd Calendar'!$O$843*1000000000+ISNUMBER('Dvd Calendar'!$O$844)*100000000+0*10000000+(N('Dvd Calendar'!$O$842)&gt;0)*(N('Dvd Calendar'!$O$842)&lt;=VAL_SERIAL)*1000000+76*1000+51))</f>
        <v/>
      </c>
      <c r="GD87" s="39">
        <f>IF(N('Dvd Calendar'!$P$843)=0,"",IF(('Dvd Calendar'!$P$843&gt;=GRID_FROM)*('Dvd Calendar'!$P$843&lt;=GRID_TO)*('Dvd Calendar'!$P$843&gt;VAL_DATE)=0,"",'Dvd Calendar'!$P$843*1000000000+ISNUMBER('Dvd Calendar'!$P$844)*100000000+0*10000000+(N('Dvd Calendar'!$P$842)&gt;0)*(N('Dvd Calendar'!$P$842)&lt;=VAL_SERIAL)*1000000+76*1000+52))</f>
        <v/>
      </c>
      <c r="GE87" s="39">
        <f>IF(N('Dvd Calendar'!$Q$843)=0,"",IF(('Dvd Calendar'!$Q$843&gt;=GRID_FROM)*('Dvd Calendar'!$Q$843&lt;=GRID_TO)*('Dvd Calendar'!$Q$843&gt;VAL_DATE)=0,"",'Dvd Calendar'!$Q$843*1000000000+ISNUMBER('Dvd Calendar'!$Q$844)*100000000+0*10000000+(N('Dvd Calendar'!$Q$842)&gt;0)*(N('Dvd Calendar'!$Q$842)&lt;=VAL_SERIAL)*1000000+76*1000+53))</f>
        <v/>
      </c>
      <c r="GF87" s="39">
        <f>IF(N('Dvd Calendar'!$R$843)=0,"",IF(('Dvd Calendar'!$R$843&gt;=GRID_FROM)*('Dvd Calendar'!$R$843&lt;=GRID_TO)*('Dvd Calendar'!$R$843&gt;VAL_DATE)=0,"",'Dvd Calendar'!$R$843*1000000000+ISNUMBER('Dvd Calendar'!$R$844)*100000000+0*10000000+(N('Dvd Calendar'!$R$842)&gt;0)*(N('Dvd Calendar'!$R$842)&lt;=VAL_SERIAL)*1000000+76*1000+54))</f>
        <v/>
      </c>
      <c r="GG87" s="39">
        <f>IF(N('Dvd Calendar'!$S$843)=0,"",IF(('Dvd Calendar'!$S$843&gt;=GRID_FROM)*('Dvd Calendar'!$S$843&lt;=GRID_TO)*('Dvd Calendar'!$S$843&gt;VAL_DATE)=0,"",'Dvd Calendar'!$S$843*1000000000+ISNUMBER('Dvd Calendar'!$S$844)*100000000+0*10000000+(N('Dvd Calendar'!$S$842)&gt;0)*(N('Dvd Calendar'!$S$842)&lt;=VAL_SERIAL)*1000000+76*1000+55))</f>
        <v/>
      </c>
      <c r="GH87" s="39">
        <f>IF(N('Dvd Calendar'!$T$843)=0,"",IF(('Dvd Calendar'!$T$843&gt;=GRID_FROM)*('Dvd Calendar'!$T$843&lt;=GRID_TO)*('Dvd Calendar'!$T$843&gt;VAL_DATE)=0,"",'Dvd Calendar'!$T$843*1000000000+ISNUMBER('Dvd Calendar'!$T$844)*100000000+0*10000000+(N('Dvd Calendar'!$T$842)&gt;0)*(N('Dvd Calendar'!$T$842)&lt;=VAL_SERIAL)*1000000+76*1000+56))</f>
        <v/>
      </c>
      <c r="GI87" s="39">
        <f>IF(N('Dvd Calendar'!$U$843)=0,"",IF(('Dvd Calendar'!$U$843&gt;=GRID_FROM)*('Dvd Calendar'!$U$843&lt;=GRID_TO)*('Dvd Calendar'!$U$843&gt;VAL_DATE)=0,"",'Dvd Calendar'!$U$843*1000000000+ISNUMBER('Dvd Calendar'!$U$844)*100000000+0*10000000+(N('Dvd Calendar'!$U$842)&gt;0)*(N('Dvd Calendar'!$U$842)&lt;=VAL_SERIAL)*1000000+76*1000+57))</f>
        <v/>
      </c>
      <c r="GJ87" s="39">
        <f>IF(N('Dvd Calendar'!$V$843)=0,"",IF(('Dvd Calendar'!$V$843&gt;=GRID_FROM)*('Dvd Calendar'!$V$843&lt;=GRID_TO)*('Dvd Calendar'!$V$843&gt;VAL_DATE)=0,"",'Dvd Calendar'!$V$843*1000000000+ISNUMBER('Dvd Calendar'!$V$844)*100000000+0*10000000+(N('Dvd Calendar'!$V$842)&gt;0)*(N('Dvd Calendar'!$V$842)&lt;=VAL_SERIAL)*1000000+76*1000+58))</f>
        <v/>
      </c>
      <c r="GK87" s="39">
        <f>IF(N('Dvd Calendar'!$W$843)=0,"",IF(('Dvd Calendar'!$W$843&gt;=GRID_FROM)*('Dvd Calendar'!$W$843&lt;=GRID_TO)*('Dvd Calendar'!$W$843&gt;VAL_DATE)=0,"",'Dvd Calendar'!$W$843*1000000000+ISNUMBER('Dvd Calendar'!$W$844)*100000000+0*10000000+(N('Dvd Calendar'!$W$842)&gt;0)*(N('Dvd Calendar'!$W$842)&lt;=VAL_SERIAL)*1000000+76*1000+59))</f>
        <v/>
      </c>
      <c r="GL87" s="39">
        <f>IF(N('Dvd Calendar'!$X$843)=0,"",IF(('Dvd Calendar'!$X$843&gt;=GRID_FROM)*('Dvd Calendar'!$X$843&lt;=GRID_TO)*('Dvd Calendar'!$X$843&gt;VAL_DATE)=0,"",'Dvd Calendar'!$X$843*1000000000+ISNUMBER('Dvd Calendar'!$X$844)*100000000+0*10000000+(N('Dvd Calendar'!$X$842)&gt;0)*(N('Dvd Calendar'!$X$842)&lt;=VAL_SERIAL)*1000000+76*1000+60))</f>
        <v/>
      </c>
      <c r="GM87" s="39">
        <f>IF(N('Dvd Calendar'!$Y$843)=0,"",IF(('Dvd Calendar'!$Y$843&gt;=GRID_FROM)*('Dvd Calendar'!$Y$843&lt;=GRID_TO)*('Dvd Calendar'!$Y$843&gt;VAL_DATE)=0,"",'Dvd Calendar'!$Y$843*1000000000+ISNUMBER('Dvd Calendar'!$Y$844)*100000000+0*10000000+(N('Dvd Calendar'!$Y$842)&gt;0)*(N('Dvd Calendar'!$Y$842)&lt;=VAL_SERIAL)*1000000+76*1000+61))</f>
        <v/>
      </c>
      <c r="GN87" s="39">
        <f>IF(N('Dvd Calendar'!$Z$843)=0,"",IF(('Dvd Calendar'!$Z$843&gt;=GRID_FROM)*('Dvd Calendar'!$Z$843&lt;=GRID_TO)*('Dvd Calendar'!$Z$843&gt;VAL_DATE)=0,"",'Dvd Calendar'!$Z$843*1000000000+ISNUMBER('Dvd Calendar'!$Z$844)*100000000+0*10000000+(N('Dvd Calendar'!$Z$842)&gt;0)*(N('Dvd Calendar'!$Z$842)&lt;=VAL_SERIAL)*1000000+76*1000+62))</f>
        <v/>
      </c>
      <c r="GO87" s="39">
        <f>IF(N('Dvd Calendar'!$AA$843)=0,"",IF(('Dvd Calendar'!$AA$843&gt;=GRID_FROM)*('Dvd Calendar'!$AA$843&lt;=GRID_TO)*('Dvd Calendar'!$AA$843&gt;VAL_DATE)=0,"",'Dvd Calendar'!$AA$843*1000000000+ISNUMBER('Dvd Calendar'!$AA$844)*100000000+0*10000000+(N('Dvd Calendar'!$AA$842)&gt;0)*(N('Dvd Calendar'!$AA$842)&lt;=VAL_SERIAL)*1000000+76*1000+63))</f>
        <v/>
      </c>
      <c r="GP87" s="39">
        <f>IF(N('Dvd Calendar'!$AB$843)=0,"",IF(('Dvd Calendar'!$AB$843&gt;=GRID_FROM)*('Dvd Calendar'!$AB$843&lt;=GRID_TO)*('Dvd Calendar'!$AB$843&gt;VAL_DATE)=0,"",'Dvd Calendar'!$AB$843*1000000000+ISNUMBER('Dvd Calendar'!$AB$844)*100000000+0*10000000+(N('Dvd Calendar'!$AB$842)&gt;0)*(N('Dvd Calendar'!$AB$842)&lt;=VAL_SERIAL)*1000000+76*1000+64))</f>
        <v/>
      </c>
      <c r="GQ87" s="39">
        <f>IF(N('Dvd Calendar'!$AC$843)=0,"",IF(('Dvd Calendar'!$AC$843&gt;=GRID_FROM)*('Dvd Calendar'!$AC$843&lt;=GRID_TO)*('Dvd Calendar'!$AC$843&gt;VAL_DATE)=0,"",'Dvd Calendar'!$AC$843*1000000000+ISNUMBER('Dvd Calendar'!$AC$844)*100000000+0*10000000+(N('Dvd Calendar'!$AC$842)&gt;0)*(N('Dvd Calendar'!$AC$842)&lt;=VAL_SERIAL)*1000000+76*1000+65))</f>
        <v/>
      </c>
    </row>
    <row r="88">
      <c r="B88" s="2">
        <f>IF(HSI!$C$83="","",HSI!$C$83)</f>
        <v/>
      </c>
      <c r="C88" s="110">
        <f>IF(EE88="","",IF(ISNUMBER('Dvd Calendar'!$E$850)=FALSE,"",IF((('Dvd Calendar'!$E$852=TYPE1)*(TYPE1&lt;&gt;"")+('Dvd Calendar'!$E$852=TYPE2)*(TYPE2&lt;&gt;"")+('Dvd Calendar'!$E$852=TYPE3)*(TYPE3&lt;&gt;"")+('Dvd Calendar'!$E$852=TYPE4)*(TYPE4&lt;&gt;"")+('Dvd Calendar'!$E$852=SPECIAL_LBL)*(INC_SPECIALS="Y"))=0,"",'Dvd Calendar'!$E$850)))</f>
        <v/>
      </c>
      <c r="D88" s="110">
        <f>IF(EF88="","",IF(ISNUMBER('Dvd Calendar'!$F$850)=FALSE,"",IF((('Dvd Calendar'!$F$852=TYPE1)*(TYPE1&lt;&gt;"")+('Dvd Calendar'!$F$852=TYPE2)*(TYPE2&lt;&gt;"")+('Dvd Calendar'!$F$852=TYPE3)*(TYPE3&lt;&gt;"")+('Dvd Calendar'!$F$852=TYPE4)*(TYPE4&lt;&gt;"")+('Dvd Calendar'!$F$852=SPECIAL_LBL)*(INC_SPECIALS="Y"))=0,"",'Dvd Calendar'!$F$850)))</f>
        <v/>
      </c>
      <c r="E88" s="110">
        <f>IF(EG88="","",IF(ISNUMBER('Dvd Calendar'!$G$850)=FALSE,"",IF((('Dvd Calendar'!$G$852=TYPE1)*(TYPE1&lt;&gt;"")+('Dvd Calendar'!$G$852=TYPE2)*(TYPE2&lt;&gt;"")+('Dvd Calendar'!$G$852=TYPE3)*(TYPE3&lt;&gt;"")+('Dvd Calendar'!$G$852=TYPE4)*(TYPE4&lt;&gt;"")+('Dvd Calendar'!$G$852=SPECIAL_LBL)*(INC_SPECIALS="Y"))=0,"",'Dvd Calendar'!$G$850)))</f>
        <v/>
      </c>
      <c r="F88" s="110">
        <f>IF(EH88="","",IF(ISNUMBER('Dvd Calendar'!$H$850)=FALSE,"",IF((('Dvd Calendar'!$H$852=TYPE1)*(TYPE1&lt;&gt;"")+('Dvd Calendar'!$H$852=TYPE2)*(TYPE2&lt;&gt;"")+('Dvd Calendar'!$H$852=TYPE3)*(TYPE3&lt;&gt;"")+('Dvd Calendar'!$H$852=TYPE4)*(TYPE4&lt;&gt;"")+('Dvd Calendar'!$H$852=SPECIAL_LBL)*(INC_SPECIALS="Y"))=0,"",'Dvd Calendar'!$H$850)))</f>
        <v/>
      </c>
      <c r="G88" s="110">
        <f>IF(EI88="","",IF(ISNUMBER('Dvd Calendar'!$I$850)=FALSE,"",IF((('Dvd Calendar'!$I$852=TYPE1)*(TYPE1&lt;&gt;"")+('Dvd Calendar'!$I$852=TYPE2)*(TYPE2&lt;&gt;"")+('Dvd Calendar'!$I$852=TYPE3)*(TYPE3&lt;&gt;"")+('Dvd Calendar'!$I$852=TYPE4)*(TYPE4&lt;&gt;"")+('Dvd Calendar'!$I$852=SPECIAL_LBL)*(INC_SPECIALS="Y"))=0,"",'Dvd Calendar'!$I$850)))</f>
        <v/>
      </c>
      <c r="H88" s="110">
        <f>IF(EJ88="","",IF(ISNUMBER('Dvd Calendar'!$J$850)=FALSE,"",IF((('Dvd Calendar'!$J$852=TYPE1)*(TYPE1&lt;&gt;"")+('Dvd Calendar'!$J$852=TYPE2)*(TYPE2&lt;&gt;"")+('Dvd Calendar'!$J$852=TYPE3)*(TYPE3&lt;&gt;"")+('Dvd Calendar'!$J$852=TYPE4)*(TYPE4&lt;&gt;"")+('Dvd Calendar'!$J$852=SPECIAL_LBL)*(INC_SPECIALS="Y"))=0,"",'Dvd Calendar'!$J$850)))</f>
        <v/>
      </c>
      <c r="I88" s="110">
        <f>IF(EK88="","",IF(ISNUMBER('Dvd Calendar'!$K$850)=FALSE,"",IF((('Dvd Calendar'!$K$852=TYPE1)*(TYPE1&lt;&gt;"")+('Dvd Calendar'!$K$852=TYPE2)*(TYPE2&lt;&gt;"")+('Dvd Calendar'!$K$852=TYPE3)*(TYPE3&lt;&gt;"")+('Dvd Calendar'!$K$852=TYPE4)*(TYPE4&lt;&gt;"")+('Dvd Calendar'!$K$852=SPECIAL_LBL)*(INC_SPECIALS="Y"))=0,"",'Dvd Calendar'!$K$850)))</f>
        <v/>
      </c>
      <c r="J88" s="110">
        <f>IF(EL88="","",IF(ISNUMBER('Dvd Calendar'!$L$850)=FALSE,"",IF((('Dvd Calendar'!$L$852=TYPE1)*(TYPE1&lt;&gt;"")+('Dvd Calendar'!$L$852=TYPE2)*(TYPE2&lt;&gt;"")+('Dvd Calendar'!$L$852=TYPE3)*(TYPE3&lt;&gt;"")+('Dvd Calendar'!$L$852=TYPE4)*(TYPE4&lt;&gt;"")+('Dvd Calendar'!$L$852=SPECIAL_LBL)*(INC_SPECIALS="Y"))=0,"",'Dvd Calendar'!$L$850)))</f>
        <v/>
      </c>
      <c r="K88" s="110">
        <f>IF(EM88="","",IF(ISNUMBER('Dvd Calendar'!$M$850)=FALSE,"",IF((('Dvd Calendar'!$M$852=TYPE1)*(TYPE1&lt;&gt;"")+('Dvd Calendar'!$M$852=TYPE2)*(TYPE2&lt;&gt;"")+('Dvd Calendar'!$M$852=TYPE3)*(TYPE3&lt;&gt;"")+('Dvd Calendar'!$M$852=TYPE4)*(TYPE4&lt;&gt;"")+('Dvd Calendar'!$M$852=SPECIAL_LBL)*(INC_SPECIALS="Y"))=0,"",'Dvd Calendar'!$M$850)))</f>
        <v/>
      </c>
      <c r="L88" s="110">
        <f>IF(EN88="","",IF(ISNUMBER('Dvd Calendar'!$N$850)=FALSE,"",IF((('Dvd Calendar'!$N$852=TYPE1)*(TYPE1&lt;&gt;"")+('Dvd Calendar'!$N$852=TYPE2)*(TYPE2&lt;&gt;"")+('Dvd Calendar'!$N$852=TYPE3)*(TYPE3&lt;&gt;"")+('Dvd Calendar'!$N$852=TYPE4)*(TYPE4&lt;&gt;"")+('Dvd Calendar'!$N$852=SPECIAL_LBL)*(INC_SPECIALS="Y"))=0,"",'Dvd Calendar'!$N$850)))</f>
        <v/>
      </c>
      <c r="M88" s="110">
        <f>IF(EO88="","",IF(ISNUMBER('Dvd Calendar'!$O$850)=FALSE,"",IF((('Dvd Calendar'!$O$852=TYPE1)*(TYPE1&lt;&gt;"")+('Dvd Calendar'!$O$852=TYPE2)*(TYPE2&lt;&gt;"")+('Dvd Calendar'!$O$852=TYPE3)*(TYPE3&lt;&gt;"")+('Dvd Calendar'!$O$852=TYPE4)*(TYPE4&lt;&gt;"")+('Dvd Calendar'!$O$852=SPECIAL_LBL)*(INC_SPECIALS="Y"))=0,"",'Dvd Calendar'!$O$850)))</f>
        <v/>
      </c>
      <c r="N88" s="110">
        <f>IF(EP88="","",IF(ISNUMBER('Dvd Calendar'!$P$850)=FALSE,"",IF((('Dvd Calendar'!$P$852=TYPE1)*(TYPE1&lt;&gt;"")+('Dvd Calendar'!$P$852=TYPE2)*(TYPE2&lt;&gt;"")+('Dvd Calendar'!$P$852=TYPE3)*(TYPE3&lt;&gt;"")+('Dvd Calendar'!$P$852=TYPE4)*(TYPE4&lt;&gt;"")+('Dvd Calendar'!$P$852=SPECIAL_LBL)*(INC_SPECIALS="Y"))=0,"",'Dvd Calendar'!$P$850)))</f>
        <v/>
      </c>
      <c r="O88" s="110">
        <f>IF(EQ88="","",IF(ISNUMBER('Dvd Calendar'!$Q$850)=FALSE,"",IF((('Dvd Calendar'!$Q$852=TYPE1)*(TYPE1&lt;&gt;"")+('Dvd Calendar'!$Q$852=TYPE2)*(TYPE2&lt;&gt;"")+('Dvd Calendar'!$Q$852=TYPE3)*(TYPE3&lt;&gt;"")+('Dvd Calendar'!$Q$852=TYPE4)*(TYPE4&lt;&gt;"")+('Dvd Calendar'!$Q$852=SPECIAL_LBL)*(INC_SPECIALS="Y"))=0,"",'Dvd Calendar'!$Q$850)))</f>
        <v/>
      </c>
      <c r="P88" s="110">
        <f>IF(ER88="","",IF(ISNUMBER('Dvd Calendar'!$R$850)=FALSE,"",IF((('Dvd Calendar'!$R$852=TYPE1)*(TYPE1&lt;&gt;"")+('Dvd Calendar'!$R$852=TYPE2)*(TYPE2&lt;&gt;"")+('Dvd Calendar'!$R$852=TYPE3)*(TYPE3&lt;&gt;"")+('Dvd Calendar'!$R$852=TYPE4)*(TYPE4&lt;&gt;"")+('Dvd Calendar'!$R$852=SPECIAL_LBL)*(INC_SPECIALS="Y"))=0,"",'Dvd Calendar'!$R$850)))</f>
        <v/>
      </c>
      <c r="Q88" s="110">
        <f>IF(ES88="","",IF(ISNUMBER('Dvd Calendar'!$S$850)=FALSE,"",IF((('Dvd Calendar'!$S$852=TYPE1)*(TYPE1&lt;&gt;"")+('Dvd Calendar'!$S$852=TYPE2)*(TYPE2&lt;&gt;"")+('Dvd Calendar'!$S$852=TYPE3)*(TYPE3&lt;&gt;"")+('Dvd Calendar'!$S$852=TYPE4)*(TYPE4&lt;&gt;"")+('Dvd Calendar'!$S$852=SPECIAL_LBL)*(INC_SPECIALS="Y"))=0,"",'Dvd Calendar'!$S$850)))</f>
        <v/>
      </c>
      <c r="R88" s="110">
        <f>IF(ET88="","",IF(ISNUMBER('Dvd Calendar'!$T$850)=FALSE,"",IF((('Dvd Calendar'!$T$852=TYPE1)*(TYPE1&lt;&gt;"")+('Dvd Calendar'!$T$852=TYPE2)*(TYPE2&lt;&gt;"")+('Dvd Calendar'!$T$852=TYPE3)*(TYPE3&lt;&gt;"")+('Dvd Calendar'!$T$852=TYPE4)*(TYPE4&lt;&gt;"")+('Dvd Calendar'!$T$852=SPECIAL_LBL)*(INC_SPECIALS="Y"))=0,"",'Dvd Calendar'!$T$850)))</f>
        <v/>
      </c>
      <c r="S88" s="110">
        <f>IF(EU88="","",IF(ISNUMBER('Dvd Calendar'!$U$850)=FALSE,"",IF((('Dvd Calendar'!$U$852=TYPE1)*(TYPE1&lt;&gt;"")+('Dvd Calendar'!$U$852=TYPE2)*(TYPE2&lt;&gt;"")+('Dvd Calendar'!$U$852=TYPE3)*(TYPE3&lt;&gt;"")+('Dvd Calendar'!$U$852=TYPE4)*(TYPE4&lt;&gt;"")+('Dvd Calendar'!$U$852=SPECIAL_LBL)*(INC_SPECIALS="Y"))=0,"",'Dvd Calendar'!$U$850)))</f>
        <v/>
      </c>
      <c r="T88" s="110">
        <f>IF(EV88="","",IF(ISNUMBER('Dvd Calendar'!$V$850)=FALSE,"",IF((('Dvd Calendar'!$V$852=TYPE1)*(TYPE1&lt;&gt;"")+('Dvd Calendar'!$V$852=TYPE2)*(TYPE2&lt;&gt;"")+('Dvd Calendar'!$V$852=TYPE3)*(TYPE3&lt;&gt;"")+('Dvd Calendar'!$V$852=TYPE4)*(TYPE4&lt;&gt;"")+('Dvd Calendar'!$V$852=SPECIAL_LBL)*(INC_SPECIALS="Y"))=0,"",'Dvd Calendar'!$V$850)))</f>
        <v/>
      </c>
      <c r="U88" s="110">
        <f>IF(EW88="","",IF(ISNUMBER('Dvd Calendar'!$W$850)=FALSE,"",IF((('Dvd Calendar'!$W$852=TYPE1)*(TYPE1&lt;&gt;"")+('Dvd Calendar'!$W$852=TYPE2)*(TYPE2&lt;&gt;"")+('Dvd Calendar'!$W$852=TYPE3)*(TYPE3&lt;&gt;"")+('Dvd Calendar'!$W$852=TYPE4)*(TYPE4&lt;&gt;"")+('Dvd Calendar'!$W$852=SPECIAL_LBL)*(INC_SPECIALS="Y"))=0,"",'Dvd Calendar'!$W$850)))</f>
        <v/>
      </c>
      <c r="V88" s="110">
        <f>IF(EX88="","",IF(ISNUMBER('Dvd Calendar'!$X$850)=FALSE,"",IF((('Dvd Calendar'!$X$852=TYPE1)*(TYPE1&lt;&gt;"")+('Dvd Calendar'!$X$852=TYPE2)*(TYPE2&lt;&gt;"")+('Dvd Calendar'!$X$852=TYPE3)*(TYPE3&lt;&gt;"")+('Dvd Calendar'!$X$852=TYPE4)*(TYPE4&lt;&gt;"")+('Dvd Calendar'!$X$852=SPECIAL_LBL)*(INC_SPECIALS="Y"))=0,"",'Dvd Calendar'!$X$850)))</f>
        <v/>
      </c>
      <c r="W88" s="110">
        <f>IF(EY88="","",IF(ISNUMBER('Dvd Calendar'!$Y$850)=FALSE,"",IF((('Dvd Calendar'!$Y$852=TYPE1)*(TYPE1&lt;&gt;"")+('Dvd Calendar'!$Y$852=TYPE2)*(TYPE2&lt;&gt;"")+('Dvd Calendar'!$Y$852=TYPE3)*(TYPE3&lt;&gt;"")+('Dvd Calendar'!$Y$852=TYPE4)*(TYPE4&lt;&gt;"")+('Dvd Calendar'!$Y$852=SPECIAL_LBL)*(INC_SPECIALS="Y"))=0,"",'Dvd Calendar'!$Y$850)))</f>
        <v/>
      </c>
      <c r="X88" s="110">
        <f>IF(EZ88="","",IF(ISNUMBER('Dvd Calendar'!$Z$850)=FALSE,"",IF((('Dvd Calendar'!$Z$852=TYPE1)*(TYPE1&lt;&gt;"")+('Dvd Calendar'!$Z$852=TYPE2)*(TYPE2&lt;&gt;"")+('Dvd Calendar'!$Z$852=TYPE3)*(TYPE3&lt;&gt;"")+('Dvd Calendar'!$Z$852=TYPE4)*(TYPE4&lt;&gt;"")+('Dvd Calendar'!$Z$852=SPECIAL_LBL)*(INC_SPECIALS="Y"))=0,"",'Dvd Calendar'!$Z$850)))</f>
        <v/>
      </c>
      <c r="Y88" s="110">
        <f>IF(FA88="","",IF(ISNUMBER('Dvd Calendar'!$AA$850)=FALSE,"",IF((('Dvd Calendar'!$AA$852=TYPE1)*(TYPE1&lt;&gt;"")+('Dvd Calendar'!$AA$852=TYPE2)*(TYPE2&lt;&gt;"")+('Dvd Calendar'!$AA$852=TYPE3)*(TYPE3&lt;&gt;"")+('Dvd Calendar'!$AA$852=TYPE4)*(TYPE4&lt;&gt;"")+('Dvd Calendar'!$AA$852=SPECIAL_LBL)*(INC_SPECIALS="Y"))=0,"",'Dvd Calendar'!$AA$850)))</f>
        <v/>
      </c>
      <c r="Z88" s="110">
        <f>IF(FB88="","",IF(ISNUMBER('Dvd Calendar'!$AB$850)=FALSE,"",IF((('Dvd Calendar'!$AB$852=TYPE1)*(TYPE1&lt;&gt;"")+('Dvd Calendar'!$AB$852=TYPE2)*(TYPE2&lt;&gt;"")+('Dvd Calendar'!$AB$852=TYPE3)*(TYPE3&lt;&gt;"")+('Dvd Calendar'!$AB$852=TYPE4)*(TYPE4&lt;&gt;"")+('Dvd Calendar'!$AB$852=SPECIAL_LBL)*(INC_SPECIALS="Y"))=0,"",'Dvd Calendar'!$AB$850)))</f>
        <v/>
      </c>
      <c r="AA88" s="110">
        <f>IF(FC88="","",IF(ISNUMBER('Dvd Calendar'!$AC$850)=FALSE,"",IF((('Dvd Calendar'!$AC$852=TYPE1)*(TYPE1&lt;&gt;"")+('Dvd Calendar'!$AC$852=TYPE2)*(TYPE2&lt;&gt;"")+('Dvd Calendar'!$AC$852=TYPE3)*(TYPE3&lt;&gt;"")+('Dvd Calendar'!$AC$852=TYPE4)*(TYPE4&lt;&gt;"")+('Dvd Calendar'!$AC$852=SPECIAL_LBL)*(INC_SPECIALS="Y"))=0,"",'Dvd Calendar'!$AC$850)))</f>
        <v/>
      </c>
      <c r="AB88" s="110">
        <f>IF(FD88="","",IF(ISNUMBER('Dvd Calendar'!$AD$850)=FALSE,"",IF((('Dvd Calendar'!$AD$852=TYPE1)*(TYPE1&lt;&gt;"")+('Dvd Calendar'!$AD$852=TYPE2)*(TYPE2&lt;&gt;"")+('Dvd Calendar'!$AD$852=TYPE3)*(TYPE3&lt;&gt;"")+('Dvd Calendar'!$AD$852=TYPE4)*(TYPE4&lt;&gt;"")+('Dvd Calendar'!$AD$852=SPECIAL_LBL)*(INC_SPECIALS="Y"))=0,"",'Dvd Calendar'!$AD$850)))</f>
        <v/>
      </c>
      <c r="AC88" s="110">
        <f>IF(FE88="","",IF(ISNUMBER('Dvd Calendar'!$AE$850)=FALSE,"",IF((('Dvd Calendar'!$AE$852=TYPE1)*(TYPE1&lt;&gt;"")+('Dvd Calendar'!$AE$852=TYPE2)*(TYPE2&lt;&gt;"")+('Dvd Calendar'!$AE$852=TYPE3)*(TYPE3&lt;&gt;"")+('Dvd Calendar'!$AE$852=TYPE4)*(TYPE4&lt;&gt;"")+('Dvd Calendar'!$AE$852=SPECIAL_LBL)*(INC_SPECIALS="Y"))=0,"",'Dvd Calendar'!$AE$850)))</f>
        <v/>
      </c>
      <c r="AD88" s="110">
        <f>IF(FF88="","",IF(ISNUMBER('Dvd Calendar'!$AF$850)=FALSE,"",IF((('Dvd Calendar'!$AF$852=TYPE1)*(TYPE1&lt;&gt;"")+('Dvd Calendar'!$AF$852=TYPE2)*(TYPE2&lt;&gt;"")+('Dvd Calendar'!$AF$852=TYPE3)*(TYPE3&lt;&gt;"")+('Dvd Calendar'!$AF$852=TYPE4)*(TYPE4&lt;&gt;"")+('Dvd Calendar'!$AF$852=SPECIAL_LBL)*(INC_SPECIALS="Y"))=0,"",'Dvd Calendar'!$AF$850)))</f>
        <v/>
      </c>
      <c r="AE88" s="110">
        <f>IF(FG88="","",IF(ISNUMBER('Dvd Calendar'!$AG$850)=FALSE,"",IF((('Dvd Calendar'!$AG$852=TYPE1)*(TYPE1&lt;&gt;"")+('Dvd Calendar'!$AG$852=TYPE2)*(TYPE2&lt;&gt;"")+('Dvd Calendar'!$AG$852=TYPE3)*(TYPE3&lt;&gt;"")+('Dvd Calendar'!$AG$852=TYPE4)*(TYPE4&lt;&gt;"")+('Dvd Calendar'!$AG$852=SPECIAL_LBL)*(INC_SPECIALS="Y"))=0,"",'Dvd Calendar'!$AG$850)))</f>
        <v/>
      </c>
      <c r="AF88" s="110">
        <f>IF(FH88="","",IF(ISNUMBER('Dvd Calendar'!$AH$850)=FALSE,"",IF((('Dvd Calendar'!$AH$852=TYPE1)*(TYPE1&lt;&gt;"")+('Dvd Calendar'!$AH$852=TYPE2)*(TYPE2&lt;&gt;"")+('Dvd Calendar'!$AH$852=TYPE3)*(TYPE3&lt;&gt;"")+('Dvd Calendar'!$AH$852=TYPE4)*(TYPE4&lt;&gt;"")+('Dvd Calendar'!$AH$852=SPECIAL_LBL)*(INC_SPECIALS="Y"))=0,"",'Dvd Calendar'!$AH$850)))</f>
        <v/>
      </c>
      <c r="AG88" s="110">
        <f>IF(FI88="","",IF(ISNUMBER('Dvd Calendar'!$AI$850)=FALSE,"",IF((('Dvd Calendar'!$AI$852=TYPE1)*(TYPE1&lt;&gt;"")+('Dvd Calendar'!$AI$852=TYPE2)*(TYPE2&lt;&gt;"")+('Dvd Calendar'!$AI$852=TYPE3)*(TYPE3&lt;&gt;"")+('Dvd Calendar'!$AI$852=TYPE4)*(TYPE4&lt;&gt;"")+('Dvd Calendar'!$AI$852=SPECIAL_LBL)*(INC_SPECIALS="Y"))=0,"",'Dvd Calendar'!$AI$850)))</f>
        <v/>
      </c>
      <c r="AH88" s="110">
        <f>IF(FJ88="","",IF(ISNUMBER('Dvd Calendar'!$AJ$850)=FALSE,"",IF((('Dvd Calendar'!$AJ$852=TYPE1)*(TYPE1&lt;&gt;"")+('Dvd Calendar'!$AJ$852=TYPE2)*(TYPE2&lt;&gt;"")+('Dvd Calendar'!$AJ$852=TYPE3)*(TYPE3&lt;&gt;"")+('Dvd Calendar'!$AJ$852=TYPE4)*(TYPE4&lt;&gt;"")+('Dvd Calendar'!$AJ$852=SPECIAL_LBL)*(INC_SPECIALS="Y"))=0,"",'Dvd Calendar'!$AJ$850)))</f>
        <v/>
      </c>
      <c r="AI88" s="110">
        <f>IF(FK88="","",IF(ISNUMBER('Dvd Calendar'!$AK$850)=FALSE,"",IF((('Dvd Calendar'!$AK$852=TYPE1)*(TYPE1&lt;&gt;"")+('Dvd Calendar'!$AK$852=TYPE2)*(TYPE2&lt;&gt;"")+('Dvd Calendar'!$AK$852=TYPE3)*(TYPE3&lt;&gt;"")+('Dvd Calendar'!$AK$852=TYPE4)*(TYPE4&lt;&gt;"")+('Dvd Calendar'!$AK$852=SPECIAL_LBL)*(INC_SPECIALS="Y"))=0,"",'Dvd Calendar'!$AK$850)))</f>
        <v/>
      </c>
      <c r="AJ88" s="110">
        <f>IF(FL88="","",IF(ISNUMBER('Dvd Calendar'!$AL$850)=FALSE,"",IF((('Dvd Calendar'!$AL$852=TYPE1)*(TYPE1&lt;&gt;"")+('Dvd Calendar'!$AL$852=TYPE2)*(TYPE2&lt;&gt;"")+('Dvd Calendar'!$AL$852=TYPE3)*(TYPE3&lt;&gt;"")+('Dvd Calendar'!$AL$852=TYPE4)*(TYPE4&lt;&gt;"")+('Dvd Calendar'!$AL$852=SPECIAL_LBL)*(INC_SPECIALS="Y"))=0,"",'Dvd Calendar'!$AL$850)))</f>
        <v/>
      </c>
      <c r="AK88" s="110">
        <f>IF(FM88="","",IF(ISNUMBER('Dvd Calendar'!$AM$850)=FALSE,"",IF((('Dvd Calendar'!$AM$852=TYPE1)*(TYPE1&lt;&gt;"")+('Dvd Calendar'!$AM$852=TYPE2)*(TYPE2&lt;&gt;"")+('Dvd Calendar'!$AM$852=TYPE3)*(TYPE3&lt;&gt;"")+('Dvd Calendar'!$AM$852=TYPE4)*(TYPE4&lt;&gt;"")+('Dvd Calendar'!$AM$852=SPECIAL_LBL)*(INC_SPECIALS="Y"))=0,"",'Dvd Calendar'!$AM$850)))</f>
        <v/>
      </c>
      <c r="AL88" s="110">
        <f>IF(FN88="","",IF(ISNUMBER('Dvd Calendar'!$AN$850)=FALSE,"",IF((('Dvd Calendar'!$AN$852=TYPE1)*(TYPE1&lt;&gt;"")+('Dvd Calendar'!$AN$852=TYPE2)*(TYPE2&lt;&gt;"")+('Dvd Calendar'!$AN$852=TYPE3)*(TYPE3&lt;&gt;"")+('Dvd Calendar'!$AN$852=TYPE4)*(TYPE4&lt;&gt;"")+('Dvd Calendar'!$AN$852=SPECIAL_LBL)*(INC_SPECIALS="Y"))=0,"",'Dvd Calendar'!$AN$850)))</f>
        <v/>
      </c>
      <c r="AM88" s="110">
        <f>IF(FO88="","",IF(ISNUMBER('Dvd Calendar'!$AO$850)=FALSE,"",IF((('Dvd Calendar'!$AO$852=TYPE1)*(TYPE1&lt;&gt;"")+('Dvd Calendar'!$AO$852=TYPE2)*(TYPE2&lt;&gt;"")+('Dvd Calendar'!$AO$852=TYPE3)*(TYPE3&lt;&gt;"")+('Dvd Calendar'!$AO$852=TYPE4)*(TYPE4&lt;&gt;"")+('Dvd Calendar'!$AO$852=SPECIAL_LBL)*(INC_SPECIALS="Y"))=0,"",'Dvd Calendar'!$AO$850)))</f>
        <v/>
      </c>
      <c r="AN88" s="110">
        <f>IF(FP88="","",IF(ISNUMBER('Dvd Calendar'!$AP$850)=FALSE,"",IF((('Dvd Calendar'!$AP$852=TYPE1)*(TYPE1&lt;&gt;"")+('Dvd Calendar'!$AP$852=TYPE2)*(TYPE2&lt;&gt;"")+('Dvd Calendar'!$AP$852=TYPE3)*(TYPE3&lt;&gt;"")+('Dvd Calendar'!$AP$852=TYPE4)*(TYPE4&lt;&gt;"")+('Dvd Calendar'!$AP$852=SPECIAL_LBL)*(INC_SPECIALS="Y"))=0,"",'Dvd Calendar'!$AP$850)))</f>
        <v/>
      </c>
      <c r="AO88" s="110">
        <f>IF(FQ88="","",IF(ISNUMBER('Dvd Calendar'!$AQ$850)=FALSE,"",IF((('Dvd Calendar'!$AQ$852=TYPE1)*(TYPE1&lt;&gt;"")+('Dvd Calendar'!$AQ$852=TYPE2)*(TYPE2&lt;&gt;"")+('Dvd Calendar'!$AQ$852=TYPE3)*(TYPE3&lt;&gt;"")+('Dvd Calendar'!$AQ$852=TYPE4)*(TYPE4&lt;&gt;"")+('Dvd Calendar'!$AQ$852=SPECIAL_LBL)*(INC_SPECIALS="Y"))=0,"",'Dvd Calendar'!$AQ$850)))</f>
        <v/>
      </c>
      <c r="AP88" s="110">
        <f>IF(FR88="","",IF(ISNUMBER('Dvd Calendar'!$AR$850)=FALSE,"",IF((('Dvd Calendar'!$AR$852=TYPE1)*(TYPE1&lt;&gt;"")+('Dvd Calendar'!$AR$852=TYPE2)*(TYPE2&lt;&gt;"")+('Dvd Calendar'!$AR$852=TYPE3)*(TYPE3&lt;&gt;"")+('Dvd Calendar'!$AR$852=TYPE4)*(TYPE4&lt;&gt;"")+('Dvd Calendar'!$AR$852=SPECIAL_LBL)*(INC_SPECIALS="Y"))=0,"",'Dvd Calendar'!$AR$850)))</f>
        <v/>
      </c>
      <c r="AQ88" s="110">
        <f>IF(FS88="","",IF(ISNUMBER('Dvd Calendar'!$E$855)=FALSE,"",'Dvd Calendar'!$E$855))</f>
        <v/>
      </c>
      <c r="AR88" s="110">
        <f>IF(FT88="","",IF(ISNUMBER('Dvd Calendar'!$F$855)=FALSE,"",'Dvd Calendar'!$F$855))</f>
        <v/>
      </c>
      <c r="AS88" s="110">
        <f>IF(FU88="","",IF(ISNUMBER('Dvd Calendar'!$G$855)=FALSE,"",'Dvd Calendar'!$G$855))</f>
        <v/>
      </c>
      <c r="AT88" s="110">
        <f>IF(FV88="","",IF(ISNUMBER('Dvd Calendar'!$H$855)=FALSE,"",'Dvd Calendar'!$H$855))</f>
        <v/>
      </c>
      <c r="AU88" s="110">
        <f>IF(FW88="","",IF(ISNUMBER('Dvd Calendar'!$I$855)=FALSE,"",'Dvd Calendar'!$I$855))</f>
        <v/>
      </c>
      <c r="AV88" s="110">
        <f>IF(FX88="","",IF(ISNUMBER('Dvd Calendar'!$J$855)=FALSE,"",'Dvd Calendar'!$J$855))</f>
        <v/>
      </c>
      <c r="AW88" s="110">
        <f>IF(FY88="","",IF(ISNUMBER('Dvd Calendar'!$K$855)=FALSE,"",'Dvd Calendar'!$K$855))</f>
        <v/>
      </c>
      <c r="AX88" s="110">
        <f>IF(FZ88="","",IF(ISNUMBER('Dvd Calendar'!$L$855)=FALSE,"",'Dvd Calendar'!$L$855))</f>
        <v/>
      </c>
      <c r="AY88" s="110">
        <f>IF(GA88="","",IF(ISNUMBER('Dvd Calendar'!$M$855)=FALSE,"",'Dvd Calendar'!$M$855))</f>
        <v/>
      </c>
      <c r="AZ88" s="110">
        <f>IF(GB88="","",IF(ISNUMBER('Dvd Calendar'!$N$855)=FALSE,"",'Dvd Calendar'!$N$855))</f>
        <v/>
      </c>
      <c r="BA88" s="110">
        <f>IF(GC88="","",IF(ISNUMBER('Dvd Calendar'!$O$855)=FALSE,"",'Dvd Calendar'!$O$855))</f>
        <v/>
      </c>
      <c r="BB88" s="110">
        <f>IF(GD88="","",IF(ISNUMBER('Dvd Calendar'!$P$855)=FALSE,"",'Dvd Calendar'!$P$855))</f>
        <v/>
      </c>
      <c r="BC88" s="110">
        <f>IF(GE88="","",IF(ISNUMBER('Dvd Calendar'!$Q$855)=FALSE,"",'Dvd Calendar'!$Q$855))</f>
        <v/>
      </c>
      <c r="BD88" s="110">
        <f>IF(GF88="","",IF(ISNUMBER('Dvd Calendar'!$R$855)=FALSE,"",'Dvd Calendar'!$R$855))</f>
        <v/>
      </c>
      <c r="BE88" s="110">
        <f>IF(GG88="","",IF(ISNUMBER('Dvd Calendar'!$S$855)=FALSE,"",'Dvd Calendar'!$S$855))</f>
        <v/>
      </c>
      <c r="BF88" s="110">
        <f>IF(GH88="","",IF(ISNUMBER('Dvd Calendar'!$T$855)=FALSE,"",'Dvd Calendar'!$T$855))</f>
        <v/>
      </c>
      <c r="BG88" s="110">
        <f>IF(GI88="","",IF(ISNUMBER('Dvd Calendar'!$U$855)=FALSE,"",'Dvd Calendar'!$U$855))</f>
        <v/>
      </c>
      <c r="BH88" s="110">
        <f>IF(GJ88="","",IF(ISNUMBER('Dvd Calendar'!$V$855)=FALSE,"",'Dvd Calendar'!$V$855))</f>
        <v/>
      </c>
      <c r="BI88" s="110">
        <f>IF(GK88="","",IF(ISNUMBER('Dvd Calendar'!$W$855)=FALSE,"",'Dvd Calendar'!$W$855))</f>
        <v/>
      </c>
      <c r="BJ88" s="110">
        <f>IF(GL88="","",IF(ISNUMBER('Dvd Calendar'!$X$855)=FALSE,"",'Dvd Calendar'!$X$855))</f>
        <v/>
      </c>
      <c r="BK88" s="110">
        <f>IF(GM88="","",IF(ISNUMBER('Dvd Calendar'!$Y$855)=FALSE,"",'Dvd Calendar'!$Y$855))</f>
        <v/>
      </c>
      <c r="BL88" s="110">
        <f>IF(GN88="","",IF(ISNUMBER('Dvd Calendar'!$Z$855)=FALSE,"",'Dvd Calendar'!$Z$855))</f>
        <v/>
      </c>
      <c r="BM88" s="110">
        <f>IF(GO88="","",IF(ISNUMBER('Dvd Calendar'!$AA$855)=FALSE,"",'Dvd Calendar'!$AA$855))</f>
        <v/>
      </c>
      <c r="BN88" s="110">
        <f>IF(GP88="","",IF(ISNUMBER('Dvd Calendar'!$AB$855)=FALSE,"",'Dvd Calendar'!$AB$855))</f>
        <v/>
      </c>
      <c r="BO88" s="110">
        <f>IF(GQ88="","",IF(ISNUMBER('Dvd Calendar'!$AC$855)=FALSE,"",'Dvd Calendar'!$AC$855))</f>
        <v/>
      </c>
      <c r="BQ88" s="110">
        <f>IF(C88="","",IFERROR(C88*HSI!$B$83*HSI!$G$83/HSI!$B$3,""))</f>
        <v/>
      </c>
      <c r="BR88" s="110">
        <f>IF(D88="","",IFERROR(D88*HSI!$B$83*HSI!$G$83/HSI!$B$3,""))</f>
        <v/>
      </c>
      <c r="BS88" s="110">
        <f>IF(E88="","",IFERROR(E88*HSI!$B$83*HSI!$G$83/HSI!$B$3,""))</f>
        <v/>
      </c>
      <c r="BT88" s="110">
        <f>IF(F88="","",IFERROR(F88*HSI!$B$83*HSI!$G$83/HSI!$B$3,""))</f>
        <v/>
      </c>
      <c r="BU88" s="110">
        <f>IF(G88="","",IFERROR(G88*HSI!$B$83*HSI!$G$83/HSI!$B$3,""))</f>
        <v/>
      </c>
      <c r="BV88" s="110">
        <f>IF(H88="","",IFERROR(H88*HSI!$B$83*HSI!$G$83/HSI!$B$3,""))</f>
        <v/>
      </c>
      <c r="BW88" s="110">
        <f>IF(I88="","",IFERROR(I88*HSI!$B$83*HSI!$G$83/HSI!$B$3,""))</f>
        <v/>
      </c>
      <c r="BX88" s="110">
        <f>IF(J88="","",IFERROR(J88*HSI!$B$83*HSI!$G$83/HSI!$B$3,""))</f>
        <v/>
      </c>
      <c r="BY88" s="110">
        <f>IF(K88="","",IFERROR(K88*HSI!$B$83*HSI!$G$83/HSI!$B$3,""))</f>
        <v/>
      </c>
      <c r="BZ88" s="110">
        <f>IF(L88="","",IFERROR(L88*HSI!$B$83*HSI!$G$83/HSI!$B$3,""))</f>
        <v/>
      </c>
      <c r="CA88" s="110">
        <f>IF(M88="","",IFERROR(M88*HSI!$B$83*HSI!$G$83/HSI!$B$3,""))</f>
        <v/>
      </c>
      <c r="CB88" s="110">
        <f>IF(N88="","",IFERROR(N88*HSI!$B$83*HSI!$G$83/HSI!$B$3,""))</f>
        <v/>
      </c>
      <c r="CC88" s="110">
        <f>IF(O88="","",IFERROR(O88*HSI!$B$83*HSI!$G$83/HSI!$B$3,""))</f>
        <v/>
      </c>
      <c r="CD88" s="110">
        <f>IF(P88="","",IFERROR(P88*HSI!$B$83*HSI!$G$83/HSI!$B$3,""))</f>
        <v/>
      </c>
      <c r="CE88" s="110">
        <f>IF(Q88="","",IFERROR(Q88*HSI!$B$83*HSI!$G$83/HSI!$B$3,""))</f>
        <v/>
      </c>
      <c r="CF88" s="110">
        <f>IF(R88="","",IFERROR(R88*HSI!$B$83*HSI!$G$83/HSI!$B$3,""))</f>
        <v/>
      </c>
      <c r="CG88" s="110">
        <f>IF(S88="","",IFERROR(S88*HSI!$B$83*HSI!$G$83/HSI!$B$3,""))</f>
        <v/>
      </c>
      <c r="CH88" s="110">
        <f>IF(T88="","",IFERROR(T88*HSI!$B$83*HSI!$G$83/HSI!$B$3,""))</f>
        <v/>
      </c>
      <c r="CI88" s="110">
        <f>IF(U88="","",IFERROR(U88*HSI!$B$83*HSI!$G$83/HSI!$B$3,""))</f>
        <v/>
      </c>
      <c r="CJ88" s="110">
        <f>IF(V88="","",IFERROR(V88*HSI!$B$83*HSI!$G$83/HSI!$B$3,""))</f>
        <v/>
      </c>
      <c r="CK88" s="110">
        <f>IF(W88="","",IFERROR(W88*HSI!$B$83*HSI!$G$83/HSI!$B$3,""))</f>
        <v/>
      </c>
      <c r="CL88" s="110">
        <f>IF(X88="","",IFERROR(X88*HSI!$B$83*HSI!$G$83/HSI!$B$3,""))</f>
        <v/>
      </c>
      <c r="CM88" s="110">
        <f>IF(Y88="","",IFERROR(Y88*HSI!$B$83*HSI!$G$83/HSI!$B$3,""))</f>
        <v/>
      </c>
      <c r="CN88" s="110">
        <f>IF(Z88="","",IFERROR(Z88*HSI!$B$83*HSI!$G$83/HSI!$B$3,""))</f>
        <v/>
      </c>
      <c r="CO88" s="110">
        <f>IF(AA88="","",IFERROR(AA88*HSI!$B$83*HSI!$G$83/HSI!$B$3,""))</f>
        <v/>
      </c>
      <c r="CP88" s="110">
        <f>IF(AB88="","",IFERROR(AB88*HSI!$B$83*HSI!$G$83/HSI!$B$3,""))</f>
        <v/>
      </c>
      <c r="CQ88" s="110">
        <f>IF(AC88="","",IFERROR(AC88*HSI!$B$83*HSI!$G$83/HSI!$B$3,""))</f>
        <v/>
      </c>
      <c r="CR88" s="110">
        <f>IF(AD88="","",IFERROR(AD88*HSI!$B$83*HSI!$G$83/HSI!$B$3,""))</f>
        <v/>
      </c>
      <c r="CS88" s="110">
        <f>IF(AE88="","",IFERROR(AE88*HSI!$B$83*HSI!$G$83/HSI!$B$3,""))</f>
        <v/>
      </c>
      <c r="CT88" s="110">
        <f>IF(AF88="","",IFERROR(AF88*HSI!$B$83*HSI!$G$83/HSI!$B$3,""))</f>
        <v/>
      </c>
      <c r="CU88" s="110">
        <f>IF(AG88="","",IFERROR(AG88*HSI!$B$83*HSI!$G$83/HSI!$B$3,""))</f>
        <v/>
      </c>
      <c r="CV88" s="110">
        <f>IF(AH88="","",IFERROR(AH88*HSI!$B$83*HSI!$G$83/HSI!$B$3,""))</f>
        <v/>
      </c>
      <c r="CW88" s="110">
        <f>IF(AI88="","",IFERROR(AI88*HSI!$B$83*HSI!$G$83/HSI!$B$3,""))</f>
        <v/>
      </c>
      <c r="CX88" s="110">
        <f>IF(AJ88="","",IFERROR(AJ88*HSI!$B$83*HSI!$G$83/HSI!$B$3,""))</f>
        <v/>
      </c>
      <c r="CY88" s="110">
        <f>IF(AK88="","",IFERROR(AK88*HSI!$B$83*HSI!$G$83/HSI!$B$3,""))</f>
        <v/>
      </c>
      <c r="CZ88" s="110">
        <f>IF(AL88="","",IFERROR(AL88*HSI!$B$83*HSI!$G$83/HSI!$B$3,""))</f>
        <v/>
      </c>
      <c r="DA88" s="110">
        <f>IF(AM88="","",IFERROR(AM88*HSI!$B$83*HSI!$G$83/HSI!$B$3,""))</f>
        <v/>
      </c>
      <c r="DB88" s="110">
        <f>IF(AN88="","",IFERROR(AN88*HSI!$B$83*HSI!$G$83/HSI!$B$3,""))</f>
        <v/>
      </c>
      <c r="DC88" s="110">
        <f>IF(AO88="","",IFERROR(AO88*HSI!$B$83*HSI!$G$83/HSI!$B$3,""))</f>
        <v/>
      </c>
      <c r="DD88" s="110">
        <f>IF(AP88="","",IFERROR(AP88*HSI!$B$83*HSI!$G$83/HSI!$B$3,""))</f>
        <v/>
      </c>
      <c r="DE88" s="110">
        <f>IF(AQ88="","",IFERROR(AQ88*HSI!$B$83*HSI!$G$83/HSI!$B$3,""))</f>
        <v/>
      </c>
      <c r="DF88" s="110">
        <f>IF(AR88="","",IFERROR(AR88*HSI!$B$83*HSI!$G$83/HSI!$B$3,""))</f>
        <v/>
      </c>
      <c r="DG88" s="110">
        <f>IF(AS88="","",IFERROR(AS88*HSI!$B$83*HSI!$G$83/HSI!$B$3,""))</f>
        <v/>
      </c>
      <c r="DH88" s="110">
        <f>IF(AT88="","",IFERROR(AT88*HSI!$B$83*HSI!$G$83/HSI!$B$3,""))</f>
        <v/>
      </c>
      <c r="DI88" s="110">
        <f>IF(AU88="","",IFERROR(AU88*HSI!$B$83*HSI!$G$83/HSI!$B$3,""))</f>
        <v/>
      </c>
      <c r="DJ88" s="110">
        <f>IF(AV88="","",IFERROR(AV88*HSI!$B$83*HSI!$G$83/HSI!$B$3,""))</f>
        <v/>
      </c>
      <c r="DK88" s="110">
        <f>IF(AW88="","",IFERROR(AW88*HSI!$B$83*HSI!$G$83/HSI!$B$3,""))</f>
        <v/>
      </c>
      <c r="DL88" s="110">
        <f>IF(AX88="","",IFERROR(AX88*HSI!$B$83*HSI!$G$83/HSI!$B$3,""))</f>
        <v/>
      </c>
      <c r="DM88" s="110">
        <f>IF(AY88="","",IFERROR(AY88*HSI!$B$83*HSI!$G$83/HSI!$B$3,""))</f>
        <v/>
      </c>
      <c r="DN88" s="110">
        <f>IF(AZ88="","",IFERROR(AZ88*HSI!$B$83*HSI!$G$83/HSI!$B$3,""))</f>
        <v/>
      </c>
      <c r="DO88" s="110">
        <f>IF(BA88="","",IFERROR(BA88*HSI!$B$83*HSI!$G$83/HSI!$B$3,""))</f>
        <v/>
      </c>
      <c r="DP88" s="110">
        <f>IF(BB88="","",IFERROR(BB88*HSI!$B$83*HSI!$G$83/HSI!$B$3,""))</f>
        <v/>
      </c>
      <c r="DQ88" s="110">
        <f>IF(BC88="","",IFERROR(BC88*HSI!$B$83*HSI!$G$83/HSI!$B$3,""))</f>
        <v/>
      </c>
      <c r="DR88" s="110">
        <f>IF(BD88="","",IFERROR(BD88*HSI!$B$83*HSI!$G$83/HSI!$B$3,""))</f>
        <v/>
      </c>
      <c r="DS88" s="110">
        <f>IF(BE88="","",IFERROR(BE88*HSI!$B$83*HSI!$G$83/HSI!$B$3,""))</f>
        <v/>
      </c>
      <c r="DT88" s="110">
        <f>IF(BF88="","",IFERROR(BF88*HSI!$B$83*HSI!$G$83/HSI!$B$3,""))</f>
        <v/>
      </c>
      <c r="DU88" s="110">
        <f>IF(BG88="","",IFERROR(BG88*HSI!$B$83*HSI!$G$83/HSI!$B$3,""))</f>
        <v/>
      </c>
      <c r="DV88" s="110">
        <f>IF(BH88="","",IFERROR(BH88*HSI!$B$83*HSI!$G$83/HSI!$B$3,""))</f>
        <v/>
      </c>
      <c r="DW88" s="110">
        <f>IF(BI88="","",IFERROR(BI88*HSI!$B$83*HSI!$G$83/HSI!$B$3,""))</f>
        <v/>
      </c>
      <c r="DX88" s="110">
        <f>IF(BJ88="","",IFERROR(BJ88*HSI!$B$83*HSI!$G$83/HSI!$B$3,""))</f>
        <v/>
      </c>
      <c r="DY88" s="110">
        <f>IF(BK88="","",IFERROR(BK88*HSI!$B$83*HSI!$G$83/HSI!$B$3,""))</f>
        <v/>
      </c>
      <c r="DZ88" s="110">
        <f>IF(BL88="","",IFERROR(BL88*HSI!$B$83*HSI!$G$83/HSI!$B$3,""))</f>
        <v/>
      </c>
      <c r="EA88" s="110">
        <f>IF(BM88="","",IFERROR(BM88*HSI!$B$83*HSI!$G$83/HSI!$B$3,""))</f>
        <v/>
      </c>
      <c r="EB88" s="110">
        <f>IF(BN88="","",IFERROR(BN88*HSI!$B$83*HSI!$G$83/HSI!$B$3,""))</f>
        <v/>
      </c>
      <c r="EC88" s="110">
        <f>IF(BO88="","",IFERROR(BO88*HSI!$B$83*HSI!$G$83/HSI!$B$3,""))</f>
        <v/>
      </c>
      <c r="EE88" s="39">
        <f>IF(N('Dvd Calendar'!$E$847)=0,"",IF(('Dvd Calendar'!$E$847&gt;=GRID_FROM)*('Dvd Calendar'!$E$847&lt;=GRID_TO)*((('Dvd Calendar'!$E$847&lt;=VAL_DATE)+(COUNTIF('Dvd Calendar'!$E$854:$AR$854,'Dvd Calendar'!$E$847)=0))&gt;0)=0,"",'Dvd Calendar'!$E$847*1000000000+ISNUMBER('Dvd Calendar'!$E$850)*100000000+('Dvd Calendar'!$E$852=SPECIAL_LBL)*10000000+(N('Dvd Calendar'!$E$846)&gt;0)*(N('Dvd Calendar'!$E$846)&lt;=VAL_SERIAL)*1000000+77*1000+1))</f>
        <v/>
      </c>
      <c r="EF88" s="39">
        <f>IF(N('Dvd Calendar'!$F$847)=0,"",IF(('Dvd Calendar'!$F$847&gt;=GRID_FROM)*('Dvd Calendar'!$F$847&lt;=GRID_TO)*((('Dvd Calendar'!$F$847&lt;=VAL_DATE)+(COUNTIF('Dvd Calendar'!$E$854:$AR$854,'Dvd Calendar'!$F$847)=0))&gt;0)=0,"",'Dvd Calendar'!$F$847*1000000000+ISNUMBER('Dvd Calendar'!$F$850)*100000000+('Dvd Calendar'!$F$852=SPECIAL_LBL)*10000000+(N('Dvd Calendar'!$F$846)&gt;0)*(N('Dvd Calendar'!$F$846)&lt;=VAL_SERIAL)*1000000+77*1000+2))</f>
        <v/>
      </c>
      <c r="EG88" s="39">
        <f>IF(N('Dvd Calendar'!$G$847)=0,"",IF(('Dvd Calendar'!$G$847&gt;=GRID_FROM)*('Dvd Calendar'!$G$847&lt;=GRID_TO)*((('Dvd Calendar'!$G$847&lt;=VAL_DATE)+(COUNTIF('Dvd Calendar'!$E$854:$AR$854,'Dvd Calendar'!$G$847)=0))&gt;0)=0,"",'Dvd Calendar'!$G$847*1000000000+ISNUMBER('Dvd Calendar'!$G$850)*100000000+('Dvd Calendar'!$G$852=SPECIAL_LBL)*10000000+(N('Dvd Calendar'!$G$846)&gt;0)*(N('Dvd Calendar'!$G$846)&lt;=VAL_SERIAL)*1000000+77*1000+3))</f>
        <v/>
      </c>
      <c r="EH88" s="39">
        <f>IF(N('Dvd Calendar'!$H$847)=0,"",IF(('Dvd Calendar'!$H$847&gt;=GRID_FROM)*('Dvd Calendar'!$H$847&lt;=GRID_TO)*((('Dvd Calendar'!$H$847&lt;=VAL_DATE)+(COUNTIF('Dvd Calendar'!$E$854:$AR$854,'Dvd Calendar'!$H$847)=0))&gt;0)=0,"",'Dvd Calendar'!$H$847*1000000000+ISNUMBER('Dvd Calendar'!$H$850)*100000000+('Dvd Calendar'!$H$852=SPECIAL_LBL)*10000000+(N('Dvd Calendar'!$H$846)&gt;0)*(N('Dvd Calendar'!$H$846)&lt;=VAL_SERIAL)*1000000+77*1000+4))</f>
        <v/>
      </c>
      <c r="EI88" s="39">
        <f>IF(N('Dvd Calendar'!$I$847)=0,"",IF(('Dvd Calendar'!$I$847&gt;=GRID_FROM)*('Dvd Calendar'!$I$847&lt;=GRID_TO)*((('Dvd Calendar'!$I$847&lt;=VAL_DATE)+(COUNTIF('Dvd Calendar'!$E$854:$AR$854,'Dvd Calendar'!$I$847)=0))&gt;0)=0,"",'Dvd Calendar'!$I$847*1000000000+ISNUMBER('Dvd Calendar'!$I$850)*100000000+('Dvd Calendar'!$I$852=SPECIAL_LBL)*10000000+(N('Dvd Calendar'!$I$846)&gt;0)*(N('Dvd Calendar'!$I$846)&lt;=VAL_SERIAL)*1000000+77*1000+5))</f>
        <v/>
      </c>
      <c r="EJ88" s="39">
        <f>IF(N('Dvd Calendar'!$J$847)=0,"",IF(('Dvd Calendar'!$J$847&gt;=GRID_FROM)*('Dvd Calendar'!$J$847&lt;=GRID_TO)*((('Dvd Calendar'!$J$847&lt;=VAL_DATE)+(COUNTIF('Dvd Calendar'!$E$854:$AR$854,'Dvd Calendar'!$J$847)=0))&gt;0)=0,"",'Dvd Calendar'!$J$847*1000000000+ISNUMBER('Dvd Calendar'!$J$850)*100000000+('Dvd Calendar'!$J$852=SPECIAL_LBL)*10000000+(N('Dvd Calendar'!$J$846)&gt;0)*(N('Dvd Calendar'!$J$846)&lt;=VAL_SERIAL)*1000000+77*1000+6))</f>
        <v/>
      </c>
      <c r="EK88" s="39">
        <f>IF(N('Dvd Calendar'!$K$847)=0,"",IF(('Dvd Calendar'!$K$847&gt;=GRID_FROM)*('Dvd Calendar'!$K$847&lt;=GRID_TO)*((('Dvd Calendar'!$K$847&lt;=VAL_DATE)+(COUNTIF('Dvd Calendar'!$E$854:$AR$854,'Dvd Calendar'!$K$847)=0))&gt;0)=0,"",'Dvd Calendar'!$K$847*1000000000+ISNUMBER('Dvd Calendar'!$K$850)*100000000+('Dvd Calendar'!$K$852=SPECIAL_LBL)*10000000+(N('Dvd Calendar'!$K$846)&gt;0)*(N('Dvd Calendar'!$K$846)&lt;=VAL_SERIAL)*1000000+77*1000+7))</f>
        <v/>
      </c>
      <c r="EL88" s="39">
        <f>IF(N('Dvd Calendar'!$L$847)=0,"",IF(('Dvd Calendar'!$L$847&gt;=GRID_FROM)*('Dvd Calendar'!$L$847&lt;=GRID_TO)*((('Dvd Calendar'!$L$847&lt;=VAL_DATE)+(COUNTIF('Dvd Calendar'!$E$854:$AR$854,'Dvd Calendar'!$L$847)=0))&gt;0)=0,"",'Dvd Calendar'!$L$847*1000000000+ISNUMBER('Dvd Calendar'!$L$850)*100000000+('Dvd Calendar'!$L$852=SPECIAL_LBL)*10000000+(N('Dvd Calendar'!$L$846)&gt;0)*(N('Dvd Calendar'!$L$846)&lt;=VAL_SERIAL)*1000000+77*1000+8))</f>
        <v/>
      </c>
      <c r="EM88" s="39">
        <f>IF(N('Dvd Calendar'!$M$847)=0,"",IF(('Dvd Calendar'!$M$847&gt;=GRID_FROM)*('Dvd Calendar'!$M$847&lt;=GRID_TO)*((('Dvd Calendar'!$M$847&lt;=VAL_DATE)+(COUNTIF('Dvd Calendar'!$E$854:$AR$854,'Dvd Calendar'!$M$847)=0))&gt;0)=0,"",'Dvd Calendar'!$M$847*1000000000+ISNUMBER('Dvd Calendar'!$M$850)*100000000+('Dvd Calendar'!$M$852=SPECIAL_LBL)*10000000+(N('Dvd Calendar'!$M$846)&gt;0)*(N('Dvd Calendar'!$M$846)&lt;=VAL_SERIAL)*1000000+77*1000+9))</f>
        <v/>
      </c>
      <c r="EN88" s="39">
        <f>IF(N('Dvd Calendar'!$N$847)=0,"",IF(('Dvd Calendar'!$N$847&gt;=GRID_FROM)*('Dvd Calendar'!$N$847&lt;=GRID_TO)*((('Dvd Calendar'!$N$847&lt;=VAL_DATE)+(COUNTIF('Dvd Calendar'!$E$854:$AR$854,'Dvd Calendar'!$N$847)=0))&gt;0)=0,"",'Dvd Calendar'!$N$847*1000000000+ISNUMBER('Dvd Calendar'!$N$850)*100000000+('Dvd Calendar'!$N$852=SPECIAL_LBL)*10000000+(N('Dvd Calendar'!$N$846)&gt;0)*(N('Dvd Calendar'!$N$846)&lt;=VAL_SERIAL)*1000000+77*1000+10))</f>
        <v/>
      </c>
      <c r="EO88" s="39">
        <f>IF(N('Dvd Calendar'!$O$847)=0,"",IF(('Dvd Calendar'!$O$847&gt;=GRID_FROM)*('Dvd Calendar'!$O$847&lt;=GRID_TO)*((('Dvd Calendar'!$O$847&lt;=VAL_DATE)+(COUNTIF('Dvd Calendar'!$E$854:$AR$854,'Dvd Calendar'!$O$847)=0))&gt;0)=0,"",'Dvd Calendar'!$O$847*1000000000+ISNUMBER('Dvd Calendar'!$O$850)*100000000+('Dvd Calendar'!$O$852=SPECIAL_LBL)*10000000+(N('Dvd Calendar'!$O$846)&gt;0)*(N('Dvd Calendar'!$O$846)&lt;=VAL_SERIAL)*1000000+77*1000+11))</f>
        <v/>
      </c>
      <c r="EP88" s="39">
        <f>IF(N('Dvd Calendar'!$P$847)=0,"",IF(('Dvd Calendar'!$P$847&gt;=GRID_FROM)*('Dvd Calendar'!$P$847&lt;=GRID_TO)*((('Dvd Calendar'!$P$847&lt;=VAL_DATE)+(COUNTIF('Dvd Calendar'!$E$854:$AR$854,'Dvd Calendar'!$P$847)=0))&gt;0)=0,"",'Dvd Calendar'!$P$847*1000000000+ISNUMBER('Dvd Calendar'!$P$850)*100000000+('Dvd Calendar'!$P$852=SPECIAL_LBL)*10000000+(N('Dvd Calendar'!$P$846)&gt;0)*(N('Dvd Calendar'!$P$846)&lt;=VAL_SERIAL)*1000000+77*1000+12))</f>
        <v/>
      </c>
      <c r="EQ88" s="39">
        <f>IF(N('Dvd Calendar'!$Q$847)=0,"",IF(('Dvd Calendar'!$Q$847&gt;=GRID_FROM)*('Dvd Calendar'!$Q$847&lt;=GRID_TO)*((('Dvd Calendar'!$Q$847&lt;=VAL_DATE)+(COUNTIF('Dvd Calendar'!$E$854:$AR$854,'Dvd Calendar'!$Q$847)=0))&gt;0)=0,"",'Dvd Calendar'!$Q$847*1000000000+ISNUMBER('Dvd Calendar'!$Q$850)*100000000+('Dvd Calendar'!$Q$852=SPECIAL_LBL)*10000000+(N('Dvd Calendar'!$Q$846)&gt;0)*(N('Dvd Calendar'!$Q$846)&lt;=VAL_SERIAL)*1000000+77*1000+13))</f>
        <v/>
      </c>
      <c r="ER88" s="39">
        <f>IF(N('Dvd Calendar'!$R$847)=0,"",IF(('Dvd Calendar'!$R$847&gt;=GRID_FROM)*('Dvd Calendar'!$R$847&lt;=GRID_TO)*((('Dvd Calendar'!$R$847&lt;=VAL_DATE)+(COUNTIF('Dvd Calendar'!$E$854:$AR$854,'Dvd Calendar'!$R$847)=0))&gt;0)=0,"",'Dvd Calendar'!$R$847*1000000000+ISNUMBER('Dvd Calendar'!$R$850)*100000000+('Dvd Calendar'!$R$852=SPECIAL_LBL)*10000000+(N('Dvd Calendar'!$R$846)&gt;0)*(N('Dvd Calendar'!$R$846)&lt;=VAL_SERIAL)*1000000+77*1000+14))</f>
        <v/>
      </c>
      <c r="ES88" s="39">
        <f>IF(N('Dvd Calendar'!$S$847)=0,"",IF(('Dvd Calendar'!$S$847&gt;=GRID_FROM)*('Dvd Calendar'!$S$847&lt;=GRID_TO)*((('Dvd Calendar'!$S$847&lt;=VAL_DATE)+(COUNTIF('Dvd Calendar'!$E$854:$AR$854,'Dvd Calendar'!$S$847)=0))&gt;0)=0,"",'Dvd Calendar'!$S$847*1000000000+ISNUMBER('Dvd Calendar'!$S$850)*100000000+('Dvd Calendar'!$S$852=SPECIAL_LBL)*10000000+(N('Dvd Calendar'!$S$846)&gt;0)*(N('Dvd Calendar'!$S$846)&lt;=VAL_SERIAL)*1000000+77*1000+15))</f>
        <v/>
      </c>
      <c r="ET88" s="39">
        <f>IF(N('Dvd Calendar'!$T$847)=0,"",IF(('Dvd Calendar'!$T$847&gt;=GRID_FROM)*('Dvd Calendar'!$T$847&lt;=GRID_TO)*((('Dvd Calendar'!$T$847&lt;=VAL_DATE)+(COUNTIF('Dvd Calendar'!$E$854:$AR$854,'Dvd Calendar'!$T$847)=0))&gt;0)=0,"",'Dvd Calendar'!$T$847*1000000000+ISNUMBER('Dvd Calendar'!$T$850)*100000000+('Dvd Calendar'!$T$852=SPECIAL_LBL)*10000000+(N('Dvd Calendar'!$T$846)&gt;0)*(N('Dvd Calendar'!$T$846)&lt;=VAL_SERIAL)*1000000+77*1000+16))</f>
        <v/>
      </c>
      <c r="EU88" s="39">
        <f>IF(N('Dvd Calendar'!$U$847)=0,"",IF(('Dvd Calendar'!$U$847&gt;=GRID_FROM)*('Dvd Calendar'!$U$847&lt;=GRID_TO)*((('Dvd Calendar'!$U$847&lt;=VAL_DATE)+(COUNTIF('Dvd Calendar'!$E$854:$AR$854,'Dvd Calendar'!$U$847)=0))&gt;0)=0,"",'Dvd Calendar'!$U$847*1000000000+ISNUMBER('Dvd Calendar'!$U$850)*100000000+('Dvd Calendar'!$U$852=SPECIAL_LBL)*10000000+(N('Dvd Calendar'!$U$846)&gt;0)*(N('Dvd Calendar'!$U$846)&lt;=VAL_SERIAL)*1000000+77*1000+17))</f>
        <v/>
      </c>
      <c r="EV88" s="39">
        <f>IF(N('Dvd Calendar'!$V$847)=0,"",IF(('Dvd Calendar'!$V$847&gt;=GRID_FROM)*('Dvd Calendar'!$V$847&lt;=GRID_TO)*((('Dvd Calendar'!$V$847&lt;=VAL_DATE)+(COUNTIF('Dvd Calendar'!$E$854:$AR$854,'Dvd Calendar'!$V$847)=0))&gt;0)=0,"",'Dvd Calendar'!$V$847*1000000000+ISNUMBER('Dvd Calendar'!$V$850)*100000000+('Dvd Calendar'!$V$852=SPECIAL_LBL)*10000000+(N('Dvd Calendar'!$V$846)&gt;0)*(N('Dvd Calendar'!$V$846)&lt;=VAL_SERIAL)*1000000+77*1000+18))</f>
        <v/>
      </c>
      <c r="EW88" s="39">
        <f>IF(N('Dvd Calendar'!$W$847)=0,"",IF(('Dvd Calendar'!$W$847&gt;=GRID_FROM)*('Dvd Calendar'!$W$847&lt;=GRID_TO)*((('Dvd Calendar'!$W$847&lt;=VAL_DATE)+(COUNTIF('Dvd Calendar'!$E$854:$AR$854,'Dvd Calendar'!$W$847)=0))&gt;0)=0,"",'Dvd Calendar'!$W$847*1000000000+ISNUMBER('Dvd Calendar'!$W$850)*100000000+('Dvd Calendar'!$W$852=SPECIAL_LBL)*10000000+(N('Dvd Calendar'!$W$846)&gt;0)*(N('Dvd Calendar'!$W$846)&lt;=VAL_SERIAL)*1000000+77*1000+19))</f>
        <v/>
      </c>
      <c r="EX88" s="39">
        <f>IF(N('Dvd Calendar'!$X$847)=0,"",IF(('Dvd Calendar'!$X$847&gt;=GRID_FROM)*('Dvd Calendar'!$X$847&lt;=GRID_TO)*((('Dvd Calendar'!$X$847&lt;=VAL_DATE)+(COUNTIF('Dvd Calendar'!$E$854:$AR$854,'Dvd Calendar'!$X$847)=0))&gt;0)=0,"",'Dvd Calendar'!$X$847*1000000000+ISNUMBER('Dvd Calendar'!$X$850)*100000000+('Dvd Calendar'!$X$852=SPECIAL_LBL)*10000000+(N('Dvd Calendar'!$X$846)&gt;0)*(N('Dvd Calendar'!$X$846)&lt;=VAL_SERIAL)*1000000+77*1000+20))</f>
        <v/>
      </c>
      <c r="EY88" s="39">
        <f>IF(N('Dvd Calendar'!$Y$847)=0,"",IF(('Dvd Calendar'!$Y$847&gt;=GRID_FROM)*('Dvd Calendar'!$Y$847&lt;=GRID_TO)*((('Dvd Calendar'!$Y$847&lt;=VAL_DATE)+(COUNTIF('Dvd Calendar'!$E$854:$AR$854,'Dvd Calendar'!$Y$847)=0))&gt;0)=0,"",'Dvd Calendar'!$Y$847*1000000000+ISNUMBER('Dvd Calendar'!$Y$850)*100000000+('Dvd Calendar'!$Y$852=SPECIAL_LBL)*10000000+(N('Dvd Calendar'!$Y$846)&gt;0)*(N('Dvd Calendar'!$Y$846)&lt;=VAL_SERIAL)*1000000+77*1000+21))</f>
        <v/>
      </c>
      <c r="EZ88" s="39">
        <f>IF(N('Dvd Calendar'!$Z$847)=0,"",IF(('Dvd Calendar'!$Z$847&gt;=GRID_FROM)*('Dvd Calendar'!$Z$847&lt;=GRID_TO)*((('Dvd Calendar'!$Z$847&lt;=VAL_DATE)+(COUNTIF('Dvd Calendar'!$E$854:$AR$854,'Dvd Calendar'!$Z$847)=0))&gt;0)=0,"",'Dvd Calendar'!$Z$847*1000000000+ISNUMBER('Dvd Calendar'!$Z$850)*100000000+('Dvd Calendar'!$Z$852=SPECIAL_LBL)*10000000+(N('Dvd Calendar'!$Z$846)&gt;0)*(N('Dvd Calendar'!$Z$846)&lt;=VAL_SERIAL)*1000000+77*1000+22))</f>
        <v/>
      </c>
      <c r="FA88" s="39">
        <f>IF(N('Dvd Calendar'!$AA$847)=0,"",IF(('Dvd Calendar'!$AA$847&gt;=GRID_FROM)*('Dvd Calendar'!$AA$847&lt;=GRID_TO)*((('Dvd Calendar'!$AA$847&lt;=VAL_DATE)+(COUNTIF('Dvd Calendar'!$E$854:$AR$854,'Dvd Calendar'!$AA$847)=0))&gt;0)=0,"",'Dvd Calendar'!$AA$847*1000000000+ISNUMBER('Dvd Calendar'!$AA$850)*100000000+('Dvd Calendar'!$AA$852=SPECIAL_LBL)*10000000+(N('Dvd Calendar'!$AA$846)&gt;0)*(N('Dvd Calendar'!$AA$846)&lt;=VAL_SERIAL)*1000000+77*1000+23))</f>
        <v/>
      </c>
      <c r="FB88" s="39">
        <f>IF(N('Dvd Calendar'!$AB$847)=0,"",IF(('Dvd Calendar'!$AB$847&gt;=GRID_FROM)*('Dvd Calendar'!$AB$847&lt;=GRID_TO)*((('Dvd Calendar'!$AB$847&lt;=VAL_DATE)+(COUNTIF('Dvd Calendar'!$E$854:$AR$854,'Dvd Calendar'!$AB$847)=0))&gt;0)=0,"",'Dvd Calendar'!$AB$847*1000000000+ISNUMBER('Dvd Calendar'!$AB$850)*100000000+('Dvd Calendar'!$AB$852=SPECIAL_LBL)*10000000+(N('Dvd Calendar'!$AB$846)&gt;0)*(N('Dvd Calendar'!$AB$846)&lt;=VAL_SERIAL)*1000000+77*1000+24))</f>
        <v/>
      </c>
      <c r="FC88" s="39">
        <f>IF(N('Dvd Calendar'!$AC$847)=0,"",IF(('Dvd Calendar'!$AC$847&gt;=GRID_FROM)*('Dvd Calendar'!$AC$847&lt;=GRID_TO)*((('Dvd Calendar'!$AC$847&lt;=VAL_DATE)+(COUNTIF('Dvd Calendar'!$E$854:$AR$854,'Dvd Calendar'!$AC$847)=0))&gt;0)=0,"",'Dvd Calendar'!$AC$847*1000000000+ISNUMBER('Dvd Calendar'!$AC$850)*100000000+('Dvd Calendar'!$AC$852=SPECIAL_LBL)*10000000+(N('Dvd Calendar'!$AC$846)&gt;0)*(N('Dvd Calendar'!$AC$846)&lt;=VAL_SERIAL)*1000000+77*1000+25))</f>
        <v/>
      </c>
      <c r="FD88" s="39">
        <f>IF(N('Dvd Calendar'!$AD$847)=0,"",IF(('Dvd Calendar'!$AD$847&gt;=GRID_FROM)*('Dvd Calendar'!$AD$847&lt;=GRID_TO)*((('Dvd Calendar'!$AD$847&lt;=VAL_DATE)+(COUNTIF('Dvd Calendar'!$E$854:$AR$854,'Dvd Calendar'!$AD$847)=0))&gt;0)=0,"",'Dvd Calendar'!$AD$847*1000000000+ISNUMBER('Dvd Calendar'!$AD$850)*100000000+('Dvd Calendar'!$AD$852=SPECIAL_LBL)*10000000+(N('Dvd Calendar'!$AD$846)&gt;0)*(N('Dvd Calendar'!$AD$846)&lt;=VAL_SERIAL)*1000000+77*1000+26))</f>
        <v/>
      </c>
      <c r="FE88" s="39">
        <f>IF(N('Dvd Calendar'!$AE$847)=0,"",IF(('Dvd Calendar'!$AE$847&gt;=GRID_FROM)*('Dvd Calendar'!$AE$847&lt;=GRID_TO)*((('Dvd Calendar'!$AE$847&lt;=VAL_DATE)+(COUNTIF('Dvd Calendar'!$E$854:$AR$854,'Dvd Calendar'!$AE$847)=0))&gt;0)=0,"",'Dvd Calendar'!$AE$847*1000000000+ISNUMBER('Dvd Calendar'!$AE$850)*100000000+('Dvd Calendar'!$AE$852=SPECIAL_LBL)*10000000+(N('Dvd Calendar'!$AE$846)&gt;0)*(N('Dvd Calendar'!$AE$846)&lt;=VAL_SERIAL)*1000000+77*1000+27))</f>
        <v/>
      </c>
      <c r="FF88" s="39">
        <f>IF(N('Dvd Calendar'!$AF$847)=0,"",IF(('Dvd Calendar'!$AF$847&gt;=GRID_FROM)*('Dvd Calendar'!$AF$847&lt;=GRID_TO)*((('Dvd Calendar'!$AF$847&lt;=VAL_DATE)+(COUNTIF('Dvd Calendar'!$E$854:$AR$854,'Dvd Calendar'!$AF$847)=0))&gt;0)=0,"",'Dvd Calendar'!$AF$847*1000000000+ISNUMBER('Dvd Calendar'!$AF$850)*100000000+('Dvd Calendar'!$AF$852=SPECIAL_LBL)*10000000+(N('Dvd Calendar'!$AF$846)&gt;0)*(N('Dvd Calendar'!$AF$846)&lt;=VAL_SERIAL)*1000000+77*1000+28))</f>
        <v/>
      </c>
      <c r="FG88" s="39">
        <f>IF(N('Dvd Calendar'!$AG$847)=0,"",IF(('Dvd Calendar'!$AG$847&gt;=GRID_FROM)*('Dvd Calendar'!$AG$847&lt;=GRID_TO)*((('Dvd Calendar'!$AG$847&lt;=VAL_DATE)+(COUNTIF('Dvd Calendar'!$E$854:$AR$854,'Dvd Calendar'!$AG$847)=0))&gt;0)=0,"",'Dvd Calendar'!$AG$847*1000000000+ISNUMBER('Dvd Calendar'!$AG$850)*100000000+('Dvd Calendar'!$AG$852=SPECIAL_LBL)*10000000+(N('Dvd Calendar'!$AG$846)&gt;0)*(N('Dvd Calendar'!$AG$846)&lt;=VAL_SERIAL)*1000000+77*1000+29))</f>
        <v/>
      </c>
      <c r="FH88" s="39">
        <f>IF(N('Dvd Calendar'!$AH$847)=0,"",IF(('Dvd Calendar'!$AH$847&gt;=GRID_FROM)*('Dvd Calendar'!$AH$847&lt;=GRID_TO)*((('Dvd Calendar'!$AH$847&lt;=VAL_DATE)+(COUNTIF('Dvd Calendar'!$E$854:$AR$854,'Dvd Calendar'!$AH$847)=0))&gt;0)=0,"",'Dvd Calendar'!$AH$847*1000000000+ISNUMBER('Dvd Calendar'!$AH$850)*100000000+('Dvd Calendar'!$AH$852=SPECIAL_LBL)*10000000+(N('Dvd Calendar'!$AH$846)&gt;0)*(N('Dvd Calendar'!$AH$846)&lt;=VAL_SERIAL)*1000000+77*1000+30))</f>
        <v/>
      </c>
      <c r="FI88" s="39">
        <f>IF(N('Dvd Calendar'!$AI$847)=0,"",IF(('Dvd Calendar'!$AI$847&gt;=GRID_FROM)*('Dvd Calendar'!$AI$847&lt;=GRID_TO)*((('Dvd Calendar'!$AI$847&lt;=VAL_DATE)+(COUNTIF('Dvd Calendar'!$E$854:$AR$854,'Dvd Calendar'!$AI$847)=0))&gt;0)=0,"",'Dvd Calendar'!$AI$847*1000000000+ISNUMBER('Dvd Calendar'!$AI$850)*100000000+('Dvd Calendar'!$AI$852=SPECIAL_LBL)*10000000+(N('Dvd Calendar'!$AI$846)&gt;0)*(N('Dvd Calendar'!$AI$846)&lt;=VAL_SERIAL)*1000000+77*1000+31))</f>
        <v/>
      </c>
      <c r="FJ88" s="39">
        <f>IF(N('Dvd Calendar'!$AJ$847)=0,"",IF(('Dvd Calendar'!$AJ$847&gt;=GRID_FROM)*('Dvd Calendar'!$AJ$847&lt;=GRID_TO)*((('Dvd Calendar'!$AJ$847&lt;=VAL_DATE)+(COUNTIF('Dvd Calendar'!$E$854:$AR$854,'Dvd Calendar'!$AJ$847)=0))&gt;0)=0,"",'Dvd Calendar'!$AJ$847*1000000000+ISNUMBER('Dvd Calendar'!$AJ$850)*100000000+('Dvd Calendar'!$AJ$852=SPECIAL_LBL)*10000000+(N('Dvd Calendar'!$AJ$846)&gt;0)*(N('Dvd Calendar'!$AJ$846)&lt;=VAL_SERIAL)*1000000+77*1000+32))</f>
        <v/>
      </c>
      <c r="FK88" s="39">
        <f>IF(N('Dvd Calendar'!$AK$847)=0,"",IF(('Dvd Calendar'!$AK$847&gt;=GRID_FROM)*('Dvd Calendar'!$AK$847&lt;=GRID_TO)*((('Dvd Calendar'!$AK$847&lt;=VAL_DATE)+(COUNTIF('Dvd Calendar'!$E$854:$AR$854,'Dvd Calendar'!$AK$847)=0))&gt;0)=0,"",'Dvd Calendar'!$AK$847*1000000000+ISNUMBER('Dvd Calendar'!$AK$850)*100000000+('Dvd Calendar'!$AK$852=SPECIAL_LBL)*10000000+(N('Dvd Calendar'!$AK$846)&gt;0)*(N('Dvd Calendar'!$AK$846)&lt;=VAL_SERIAL)*1000000+77*1000+33))</f>
        <v/>
      </c>
      <c r="FL88" s="39">
        <f>IF(N('Dvd Calendar'!$AL$847)=0,"",IF(('Dvd Calendar'!$AL$847&gt;=GRID_FROM)*('Dvd Calendar'!$AL$847&lt;=GRID_TO)*((('Dvd Calendar'!$AL$847&lt;=VAL_DATE)+(COUNTIF('Dvd Calendar'!$E$854:$AR$854,'Dvd Calendar'!$AL$847)=0))&gt;0)=0,"",'Dvd Calendar'!$AL$847*1000000000+ISNUMBER('Dvd Calendar'!$AL$850)*100000000+('Dvd Calendar'!$AL$852=SPECIAL_LBL)*10000000+(N('Dvd Calendar'!$AL$846)&gt;0)*(N('Dvd Calendar'!$AL$846)&lt;=VAL_SERIAL)*1000000+77*1000+34))</f>
        <v/>
      </c>
      <c r="FM88" s="39">
        <f>IF(N('Dvd Calendar'!$AM$847)=0,"",IF(('Dvd Calendar'!$AM$847&gt;=GRID_FROM)*('Dvd Calendar'!$AM$847&lt;=GRID_TO)*((('Dvd Calendar'!$AM$847&lt;=VAL_DATE)+(COUNTIF('Dvd Calendar'!$E$854:$AR$854,'Dvd Calendar'!$AM$847)=0))&gt;0)=0,"",'Dvd Calendar'!$AM$847*1000000000+ISNUMBER('Dvd Calendar'!$AM$850)*100000000+('Dvd Calendar'!$AM$852=SPECIAL_LBL)*10000000+(N('Dvd Calendar'!$AM$846)&gt;0)*(N('Dvd Calendar'!$AM$846)&lt;=VAL_SERIAL)*1000000+77*1000+35))</f>
        <v/>
      </c>
      <c r="FN88" s="39">
        <f>IF(N('Dvd Calendar'!$AN$847)=0,"",IF(('Dvd Calendar'!$AN$847&gt;=GRID_FROM)*('Dvd Calendar'!$AN$847&lt;=GRID_TO)*((('Dvd Calendar'!$AN$847&lt;=VAL_DATE)+(COUNTIF('Dvd Calendar'!$E$854:$AR$854,'Dvd Calendar'!$AN$847)=0))&gt;0)=0,"",'Dvd Calendar'!$AN$847*1000000000+ISNUMBER('Dvd Calendar'!$AN$850)*100000000+('Dvd Calendar'!$AN$852=SPECIAL_LBL)*10000000+(N('Dvd Calendar'!$AN$846)&gt;0)*(N('Dvd Calendar'!$AN$846)&lt;=VAL_SERIAL)*1000000+77*1000+36))</f>
        <v/>
      </c>
      <c r="FO88" s="39">
        <f>IF(N('Dvd Calendar'!$AO$847)=0,"",IF(('Dvd Calendar'!$AO$847&gt;=GRID_FROM)*('Dvd Calendar'!$AO$847&lt;=GRID_TO)*((('Dvd Calendar'!$AO$847&lt;=VAL_DATE)+(COUNTIF('Dvd Calendar'!$E$854:$AR$854,'Dvd Calendar'!$AO$847)=0))&gt;0)=0,"",'Dvd Calendar'!$AO$847*1000000000+ISNUMBER('Dvd Calendar'!$AO$850)*100000000+('Dvd Calendar'!$AO$852=SPECIAL_LBL)*10000000+(N('Dvd Calendar'!$AO$846)&gt;0)*(N('Dvd Calendar'!$AO$846)&lt;=VAL_SERIAL)*1000000+77*1000+37))</f>
        <v/>
      </c>
      <c r="FP88" s="39">
        <f>IF(N('Dvd Calendar'!$AP$847)=0,"",IF(('Dvd Calendar'!$AP$847&gt;=GRID_FROM)*('Dvd Calendar'!$AP$847&lt;=GRID_TO)*((('Dvd Calendar'!$AP$847&lt;=VAL_DATE)+(COUNTIF('Dvd Calendar'!$E$854:$AR$854,'Dvd Calendar'!$AP$847)=0))&gt;0)=0,"",'Dvd Calendar'!$AP$847*1000000000+ISNUMBER('Dvd Calendar'!$AP$850)*100000000+('Dvd Calendar'!$AP$852=SPECIAL_LBL)*10000000+(N('Dvd Calendar'!$AP$846)&gt;0)*(N('Dvd Calendar'!$AP$846)&lt;=VAL_SERIAL)*1000000+77*1000+38))</f>
        <v/>
      </c>
      <c r="FQ88" s="39">
        <f>IF(N('Dvd Calendar'!$AQ$847)=0,"",IF(('Dvd Calendar'!$AQ$847&gt;=GRID_FROM)*('Dvd Calendar'!$AQ$847&lt;=GRID_TO)*((('Dvd Calendar'!$AQ$847&lt;=VAL_DATE)+(COUNTIF('Dvd Calendar'!$E$854:$AR$854,'Dvd Calendar'!$AQ$847)=0))&gt;0)=0,"",'Dvd Calendar'!$AQ$847*1000000000+ISNUMBER('Dvd Calendar'!$AQ$850)*100000000+('Dvd Calendar'!$AQ$852=SPECIAL_LBL)*10000000+(N('Dvd Calendar'!$AQ$846)&gt;0)*(N('Dvd Calendar'!$AQ$846)&lt;=VAL_SERIAL)*1000000+77*1000+39))</f>
        <v/>
      </c>
      <c r="FR88" s="39">
        <f>IF(N('Dvd Calendar'!$AR$847)=0,"",IF(('Dvd Calendar'!$AR$847&gt;=GRID_FROM)*('Dvd Calendar'!$AR$847&lt;=GRID_TO)*((('Dvd Calendar'!$AR$847&lt;=VAL_DATE)+(COUNTIF('Dvd Calendar'!$E$854:$AR$854,'Dvd Calendar'!$AR$847)=0))&gt;0)=0,"",'Dvd Calendar'!$AR$847*1000000000+ISNUMBER('Dvd Calendar'!$AR$850)*100000000+('Dvd Calendar'!$AR$852=SPECIAL_LBL)*10000000+(N('Dvd Calendar'!$AR$846)&gt;0)*(N('Dvd Calendar'!$AR$846)&lt;=VAL_SERIAL)*1000000+77*1000+40))</f>
        <v/>
      </c>
      <c r="FS88" s="39">
        <f>IF(N('Dvd Calendar'!$E$854)=0,"",IF(('Dvd Calendar'!$E$854&gt;=GRID_FROM)*('Dvd Calendar'!$E$854&lt;=GRID_TO)*('Dvd Calendar'!$E$854&gt;VAL_DATE)=0,"",'Dvd Calendar'!$E$854*1000000000+ISNUMBER('Dvd Calendar'!$E$855)*100000000+0*10000000+(N('Dvd Calendar'!$E$853)&gt;0)*(N('Dvd Calendar'!$E$853)&lt;=VAL_SERIAL)*1000000+77*1000+41))</f>
        <v/>
      </c>
      <c r="FT88" s="39">
        <f>IF(N('Dvd Calendar'!$F$854)=0,"",IF(('Dvd Calendar'!$F$854&gt;=GRID_FROM)*('Dvd Calendar'!$F$854&lt;=GRID_TO)*('Dvd Calendar'!$F$854&gt;VAL_DATE)=0,"",'Dvd Calendar'!$F$854*1000000000+ISNUMBER('Dvd Calendar'!$F$855)*100000000+0*10000000+(N('Dvd Calendar'!$F$853)&gt;0)*(N('Dvd Calendar'!$F$853)&lt;=VAL_SERIAL)*1000000+77*1000+42))</f>
        <v/>
      </c>
      <c r="FU88" s="39">
        <f>IF(N('Dvd Calendar'!$G$854)=0,"",IF(('Dvd Calendar'!$G$854&gt;=GRID_FROM)*('Dvd Calendar'!$G$854&lt;=GRID_TO)*('Dvd Calendar'!$G$854&gt;VAL_DATE)=0,"",'Dvd Calendar'!$G$854*1000000000+ISNUMBER('Dvd Calendar'!$G$855)*100000000+0*10000000+(N('Dvd Calendar'!$G$853)&gt;0)*(N('Dvd Calendar'!$G$853)&lt;=VAL_SERIAL)*1000000+77*1000+43))</f>
        <v/>
      </c>
      <c r="FV88" s="39">
        <f>IF(N('Dvd Calendar'!$H$854)=0,"",IF(('Dvd Calendar'!$H$854&gt;=GRID_FROM)*('Dvd Calendar'!$H$854&lt;=GRID_TO)*('Dvd Calendar'!$H$854&gt;VAL_DATE)=0,"",'Dvd Calendar'!$H$854*1000000000+ISNUMBER('Dvd Calendar'!$H$855)*100000000+0*10000000+(N('Dvd Calendar'!$H$853)&gt;0)*(N('Dvd Calendar'!$H$853)&lt;=VAL_SERIAL)*1000000+77*1000+44))</f>
        <v/>
      </c>
      <c r="FW88" s="39">
        <f>IF(N('Dvd Calendar'!$I$854)=0,"",IF(('Dvd Calendar'!$I$854&gt;=GRID_FROM)*('Dvd Calendar'!$I$854&lt;=GRID_TO)*('Dvd Calendar'!$I$854&gt;VAL_DATE)=0,"",'Dvd Calendar'!$I$854*1000000000+ISNUMBER('Dvd Calendar'!$I$855)*100000000+0*10000000+(N('Dvd Calendar'!$I$853)&gt;0)*(N('Dvd Calendar'!$I$853)&lt;=VAL_SERIAL)*1000000+77*1000+45))</f>
        <v/>
      </c>
      <c r="FX88" s="39">
        <f>IF(N('Dvd Calendar'!$J$854)=0,"",IF(('Dvd Calendar'!$J$854&gt;=GRID_FROM)*('Dvd Calendar'!$J$854&lt;=GRID_TO)*('Dvd Calendar'!$J$854&gt;VAL_DATE)=0,"",'Dvd Calendar'!$J$854*1000000000+ISNUMBER('Dvd Calendar'!$J$855)*100000000+0*10000000+(N('Dvd Calendar'!$J$853)&gt;0)*(N('Dvd Calendar'!$J$853)&lt;=VAL_SERIAL)*1000000+77*1000+46))</f>
        <v/>
      </c>
      <c r="FY88" s="39">
        <f>IF(N('Dvd Calendar'!$K$854)=0,"",IF(('Dvd Calendar'!$K$854&gt;=GRID_FROM)*('Dvd Calendar'!$K$854&lt;=GRID_TO)*('Dvd Calendar'!$K$854&gt;VAL_DATE)=0,"",'Dvd Calendar'!$K$854*1000000000+ISNUMBER('Dvd Calendar'!$K$855)*100000000+0*10000000+(N('Dvd Calendar'!$K$853)&gt;0)*(N('Dvd Calendar'!$K$853)&lt;=VAL_SERIAL)*1000000+77*1000+47))</f>
        <v/>
      </c>
      <c r="FZ88" s="39">
        <f>IF(N('Dvd Calendar'!$L$854)=0,"",IF(('Dvd Calendar'!$L$854&gt;=GRID_FROM)*('Dvd Calendar'!$L$854&lt;=GRID_TO)*('Dvd Calendar'!$L$854&gt;VAL_DATE)=0,"",'Dvd Calendar'!$L$854*1000000000+ISNUMBER('Dvd Calendar'!$L$855)*100000000+0*10000000+(N('Dvd Calendar'!$L$853)&gt;0)*(N('Dvd Calendar'!$L$853)&lt;=VAL_SERIAL)*1000000+77*1000+48))</f>
        <v/>
      </c>
      <c r="GA88" s="39">
        <f>IF(N('Dvd Calendar'!$M$854)=0,"",IF(('Dvd Calendar'!$M$854&gt;=GRID_FROM)*('Dvd Calendar'!$M$854&lt;=GRID_TO)*('Dvd Calendar'!$M$854&gt;VAL_DATE)=0,"",'Dvd Calendar'!$M$854*1000000000+ISNUMBER('Dvd Calendar'!$M$855)*100000000+0*10000000+(N('Dvd Calendar'!$M$853)&gt;0)*(N('Dvd Calendar'!$M$853)&lt;=VAL_SERIAL)*1000000+77*1000+49))</f>
        <v/>
      </c>
      <c r="GB88" s="39">
        <f>IF(N('Dvd Calendar'!$N$854)=0,"",IF(('Dvd Calendar'!$N$854&gt;=GRID_FROM)*('Dvd Calendar'!$N$854&lt;=GRID_TO)*('Dvd Calendar'!$N$854&gt;VAL_DATE)=0,"",'Dvd Calendar'!$N$854*1000000000+ISNUMBER('Dvd Calendar'!$N$855)*100000000+0*10000000+(N('Dvd Calendar'!$N$853)&gt;0)*(N('Dvd Calendar'!$N$853)&lt;=VAL_SERIAL)*1000000+77*1000+50))</f>
        <v/>
      </c>
      <c r="GC88" s="39">
        <f>IF(N('Dvd Calendar'!$O$854)=0,"",IF(('Dvd Calendar'!$O$854&gt;=GRID_FROM)*('Dvd Calendar'!$O$854&lt;=GRID_TO)*('Dvd Calendar'!$O$854&gt;VAL_DATE)=0,"",'Dvd Calendar'!$O$854*1000000000+ISNUMBER('Dvd Calendar'!$O$855)*100000000+0*10000000+(N('Dvd Calendar'!$O$853)&gt;0)*(N('Dvd Calendar'!$O$853)&lt;=VAL_SERIAL)*1000000+77*1000+51))</f>
        <v/>
      </c>
      <c r="GD88" s="39">
        <f>IF(N('Dvd Calendar'!$P$854)=0,"",IF(('Dvd Calendar'!$P$854&gt;=GRID_FROM)*('Dvd Calendar'!$P$854&lt;=GRID_TO)*('Dvd Calendar'!$P$854&gt;VAL_DATE)=0,"",'Dvd Calendar'!$P$854*1000000000+ISNUMBER('Dvd Calendar'!$P$855)*100000000+0*10000000+(N('Dvd Calendar'!$P$853)&gt;0)*(N('Dvd Calendar'!$P$853)&lt;=VAL_SERIAL)*1000000+77*1000+52))</f>
        <v/>
      </c>
      <c r="GE88" s="39">
        <f>IF(N('Dvd Calendar'!$Q$854)=0,"",IF(('Dvd Calendar'!$Q$854&gt;=GRID_FROM)*('Dvd Calendar'!$Q$854&lt;=GRID_TO)*('Dvd Calendar'!$Q$854&gt;VAL_DATE)=0,"",'Dvd Calendar'!$Q$854*1000000000+ISNUMBER('Dvd Calendar'!$Q$855)*100000000+0*10000000+(N('Dvd Calendar'!$Q$853)&gt;0)*(N('Dvd Calendar'!$Q$853)&lt;=VAL_SERIAL)*1000000+77*1000+53))</f>
        <v/>
      </c>
      <c r="GF88" s="39">
        <f>IF(N('Dvd Calendar'!$R$854)=0,"",IF(('Dvd Calendar'!$R$854&gt;=GRID_FROM)*('Dvd Calendar'!$R$854&lt;=GRID_TO)*('Dvd Calendar'!$R$854&gt;VAL_DATE)=0,"",'Dvd Calendar'!$R$854*1000000000+ISNUMBER('Dvd Calendar'!$R$855)*100000000+0*10000000+(N('Dvd Calendar'!$R$853)&gt;0)*(N('Dvd Calendar'!$R$853)&lt;=VAL_SERIAL)*1000000+77*1000+54))</f>
        <v/>
      </c>
      <c r="GG88" s="39">
        <f>IF(N('Dvd Calendar'!$S$854)=0,"",IF(('Dvd Calendar'!$S$854&gt;=GRID_FROM)*('Dvd Calendar'!$S$854&lt;=GRID_TO)*('Dvd Calendar'!$S$854&gt;VAL_DATE)=0,"",'Dvd Calendar'!$S$854*1000000000+ISNUMBER('Dvd Calendar'!$S$855)*100000000+0*10000000+(N('Dvd Calendar'!$S$853)&gt;0)*(N('Dvd Calendar'!$S$853)&lt;=VAL_SERIAL)*1000000+77*1000+55))</f>
        <v/>
      </c>
      <c r="GH88" s="39">
        <f>IF(N('Dvd Calendar'!$T$854)=0,"",IF(('Dvd Calendar'!$T$854&gt;=GRID_FROM)*('Dvd Calendar'!$T$854&lt;=GRID_TO)*('Dvd Calendar'!$T$854&gt;VAL_DATE)=0,"",'Dvd Calendar'!$T$854*1000000000+ISNUMBER('Dvd Calendar'!$T$855)*100000000+0*10000000+(N('Dvd Calendar'!$T$853)&gt;0)*(N('Dvd Calendar'!$T$853)&lt;=VAL_SERIAL)*1000000+77*1000+56))</f>
        <v/>
      </c>
      <c r="GI88" s="39">
        <f>IF(N('Dvd Calendar'!$U$854)=0,"",IF(('Dvd Calendar'!$U$854&gt;=GRID_FROM)*('Dvd Calendar'!$U$854&lt;=GRID_TO)*('Dvd Calendar'!$U$854&gt;VAL_DATE)=0,"",'Dvd Calendar'!$U$854*1000000000+ISNUMBER('Dvd Calendar'!$U$855)*100000000+0*10000000+(N('Dvd Calendar'!$U$853)&gt;0)*(N('Dvd Calendar'!$U$853)&lt;=VAL_SERIAL)*1000000+77*1000+57))</f>
        <v/>
      </c>
      <c r="GJ88" s="39">
        <f>IF(N('Dvd Calendar'!$V$854)=0,"",IF(('Dvd Calendar'!$V$854&gt;=GRID_FROM)*('Dvd Calendar'!$V$854&lt;=GRID_TO)*('Dvd Calendar'!$V$854&gt;VAL_DATE)=0,"",'Dvd Calendar'!$V$854*1000000000+ISNUMBER('Dvd Calendar'!$V$855)*100000000+0*10000000+(N('Dvd Calendar'!$V$853)&gt;0)*(N('Dvd Calendar'!$V$853)&lt;=VAL_SERIAL)*1000000+77*1000+58))</f>
        <v/>
      </c>
      <c r="GK88" s="39">
        <f>IF(N('Dvd Calendar'!$W$854)=0,"",IF(('Dvd Calendar'!$W$854&gt;=GRID_FROM)*('Dvd Calendar'!$W$854&lt;=GRID_TO)*('Dvd Calendar'!$W$854&gt;VAL_DATE)=0,"",'Dvd Calendar'!$W$854*1000000000+ISNUMBER('Dvd Calendar'!$W$855)*100000000+0*10000000+(N('Dvd Calendar'!$W$853)&gt;0)*(N('Dvd Calendar'!$W$853)&lt;=VAL_SERIAL)*1000000+77*1000+59))</f>
        <v/>
      </c>
      <c r="GL88" s="39">
        <f>IF(N('Dvd Calendar'!$X$854)=0,"",IF(('Dvd Calendar'!$X$854&gt;=GRID_FROM)*('Dvd Calendar'!$X$854&lt;=GRID_TO)*('Dvd Calendar'!$X$854&gt;VAL_DATE)=0,"",'Dvd Calendar'!$X$854*1000000000+ISNUMBER('Dvd Calendar'!$X$855)*100000000+0*10000000+(N('Dvd Calendar'!$X$853)&gt;0)*(N('Dvd Calendar'!$X$853)&lt;=VAL_SERIAL)*1000000+77*1000+60))</f>
        <v/>
      </c>
      <c r="GM88" s="39">
        <f>IF(N('Dvd Calendar'!$Y$854)=0,"",IF(('Dvd Calendar'!$Y$854&gt;=GRID_FROM)*('Dvd Calendar'!$Y$854&lt;=GRID_TO)*('Dvd Calendar'!$Y$854&gt;VAL_DATE)=0,"",'Dvd Calendar'!$Y$854*1000000000+ISNUMBER('Dvd Calendar'!$Y$855)*100000000+0*10000000+(N('Dvd Calendar'!$Y$853)&gt;0)*(N('Dvd Calendar'!$Y$853)&lt;=VAL_SERIAL)*1000000+77*1000+61))</f>
        <v/>
      </c>
      <c r="GN88" s="39">
        <f>IF(N('Dvd Calendar'!$Z$854)=0,"",IF(('Dvd Calendar'!$Z$854&gt;=GRID_FROM)*('Dvd Calendar'!$Z$854&lt;=GRID_TO)*('Dvd Calendar'!$Z$854&gt;VAL_DATE)=0,"",'Dvd Calendar'!$Z$854*1000000000+ISNUMBER('Dvd Calendar'!$Z$855)*100000000+0*10000000+(N('Dvd Calendar'!$Z$853)&gt;0)*(N('Dvd Calendar'!$Z$853)&lt;=VAL_SERIAL)*1000000+77*1000+62))</f>
        <v/>
      </c>
      <c r="GO88" s="39">
        <f>IF(N('Dvd Calendar'!$AA$854)=0,"",IF(('Dvd Calendar'!$AA$854&gt;=GRID_FROM)*('Dvd Calendar'!$AA$854&lt;=GRID_TO)*('Dvd Calendar'!$AA$854&gt;VAL_DATE)=0,"",'Dvd Calendar'!$AA$854*1000000000+ISNUMBER('Dvd Calendar'!$AA$855)*100000000+0*10000000+(N('Dvd Calendar'!$AA$853)&gt;0)*(N('Dvd Calendar'!$AA$853)&lt;=VAL_SERIAL)*1000000+77*1000+63))</f>
        <v/>
      </c>
      <c r="GP88" s="39">
        <f>IF(N('Dvd Calendar'!$AB$854)=0,"",IF(('Dvd Calendar'!$AB$854&gt;=GRID_FROM)*('Dvd Calendar'!$AB$854&lt;=GRID_TO)*('Dvd Calendar'!$AB$854&gt;VAL_DATE)=0,"",'Dvd Calendar'!$AB$854*1000000000+ISNUMBER('Dvd Calendar'!$AB$855)*100000000+0*10000000+(N('Dvd Calendar'!$AB$853)&gt;0)*(N('Dvd Calendar'!$AB$853)&lt;=VAL_SERIAL)*1000000+77*1000+64))</f>
        <v/>
      </c>
      <c r="GQ88" s="39">
        <f>IF(N('Dvd Calendar'!$AC$854)=0,"",IF(('Dvd Calendar'!$AC$854&gt;=GRID_FROM)*('Dvd Calendar'!$AC$854&lt;=GRID_TO)*('Dvd Calendar'!$AC$854&gt;VAL_DATE)=0,"",'Dvd Calendar'!$AC$854*1000000000+ISNUMBER('Dvd Calendar'!$AC$855)*100000000+0*10000000+(N('Dvd Calendar'!$AC$853)&gt;0)*(N('Dvd Calendar'!$AC$853)&lt;=VAL_SERIAL)*1000000+77*1000+65))</f>
        <v/>
      </c>
    </row>
    <row r="89">
      <c r="B89" s="2">
        <f>IF(HSI!$C$84="","",HSI!$C$84)</f>
        <v/>
      </c>
      <c r="C89" s="110">
        <f>IF(EE89="","",IF(ISNUMBER('Dvd Calendar'!$E$861)=FALSE,"",IF((('Dvd Calendar'!$E$863=TYPE1)*(TYPE1&lt;&gt;"")+('Dvd Calendar'!$E$863=TYPE2)*(TYPE2&lt;&gt;"")+('Dvd Calendar'!$E$863=TYPE3)*(TYPE3&lt;&gt;"")+('Dvd Calendar'!$E$863=TYPE4)*(TYPE4&lt;&gt;"")+('Dvd Calendar'!$E$863=SPECIAL_LBL)*(INC_SPECIALS="Y"))=0,"",'Dvd Calendar'!$E$861)))</f>
        <v/>
      </c>
      <c r="D89" s="110">
        <f>IF(EF89="","",IF(ISNUMBER('Dvd Calendar'!$F$861)=FALSE,"",IF((('Dvd Calendar'!$F$863=TYPE1)*(TYPE1&lt;&gt;"")+('Dvd Calendar'!$F$863=TYPE2)*(TYPE2&lt;&gt;"")+('Dvd Calendar'!$F$863=TYPE3)*(TYPE3&lt;&gt;"")+('Dvd Calendar'!$F$863=TYPE4)*(TYPE4&lt;&gt;"")+('Dvd Calendar'!$F$863=SPECIAL_LBL)*(INC_SPECIALS="Y"))=0,"",'Dvd Calendar'!$F$861)))</f>
        <v/>
      </c>
      <c r="E89" s="110">
        <f>IF(EG89="","",IF(ISNUMBER('Dvd Calendar'!$G$861)=FALSE,"",IF((('Dvd Calendar'!$G$863=TYPE1)*(TYPE1&lt;&gt;"")+('Dvd Calendar'!$G$863=TYPE2)*(TYPE2&lt;&gt;"")+('Dvd Calendar'!$G$863=TYPE3)*(TYPE3&lt;&gt;"")+('Dvd Calendar'!$G$863=TYPE4)*(TYPE4&lt;&gt;"")+('Dvd Calendar'!$G$863=SPECIAL_LBL)*(INC_SPECIALS="Y"))=0,"",'Dvd Calendar'!$G$861)))</f>
        <v/>
      </c>
      <c r="F89" s="110">
        <f>IF(EH89="","",IF(ISNUMBER('Dvd Calendar'!$H$861)=FALSE,"",IF((('Dvd Calendar'!$H$863=TYPE1)*(TYPE1&lt;&gt;"")+('Dvd Calendar'!$H$863=TYPE2)*(TYPE2&lt;&gt;"")+('Dvd Calendar'!$H$863=TYPE3)*(TYPE3&lt;&gt;"")+('Dvd Calendar'!$H$863=TYPE4)*(TYPE4&lt;&gt;"")+('Dvd Calendar'!$H$863=SPECIAL_LBL)*(INC_SPECIALS="Y"))=0,"",'Dvd Calendar'!$H$861)))</f>
        <v/>
      </c>
      <c r="G89" s="110">
        <f>IF(EI89="","",IF(ISNUMBER('Dvd Calendar'!$I$861)=FALSE,"",IF((('Dvd Calendar'!$I$863=TYPE1)*(TYPE1&lt;&gt;"")+('Dvd Calendar'!$I$863=TYPE2)*(TYPE2&lt;&gt;"")+('Dvd Calendar'!$I$863=TYPE3)*(TYPE3&lt;&gt;"")+('Dvd Calendar'!$I$863=TYPE4)*(TYPE4&lt;&gt;"")+('Dvd Calendar'!$I$863=SPECIAL_LBL)*(INC_SPECIALS="Y"))=0,"",'Dvd Calendar'!$I$861)))</f>
        <v/>
      </c>
      <c r="H89" s="110">
        <f>IF(EJ89="","",IF(ISNUMBER('Dvd Calendar'!$J$861)=FALSE,"",IF((('Dvd Calendar'!$J$863=TYPE1)*(TYPE1&lt;&gt;"")+('Dvd Calendar'!$J$863=TYPE2)*(TYPE2&lt;&gt;"")+('Dvd Calendar'!$J$863=TYPE3)*(TYPE3&lt;&gt;"")+('Dvd Calendar'!$J$863=TYPE4)*(TYPE4&lt;&gt;"")+('Dvd Calendar'!$J$863=SPECIAL_LBL)*(INC_SPECIALS="Y"))=0,"",'Dvd Calendar'!$J$861)))</f>
        <v/>
      </c>
      <c r="I89" s="110">
        <f>IF(EK89="","",IF(ISNUMBER('Dvd Calendar'!$K$861)=FALSE,"",IF((('Dvd Calendar'!$K$863=TYPE1)*(TYPE1&lt;&gt;"")+('Dvd Calendar'!$K$863=TYPE2)*(TYPE2&lt;&gt;"")+('Dvd Calendar'!$K$863=TYPE3)*(TYPE3&lt;&gt;"")+('Dvd Calendar'!$K$863=TYPE4)*(TYPE4&lt;&gt;"")+('Dvd Calendar'!$K$863=SPECIAL_LBL)*(INC_SPECIALS="Y"))=0,"",'Dvd Calendar'!$K$861)))</f>
        <v/>
      </c>
      <c r="J89" s="110">
        <f>IF(EL89="","",IF(ISNUMBER('Dvd Calendar'!$L$861)=FALSE,"",IF((('Dvd Calendar'!$L$863=TYPE1)*(TYPE1&lt;&gt;"")+('Dvd Calendar'!$L$863=TYPE2)*(TYPE2&lt;&gt;"")+('Dvd Calendar'!$L$863=TYPE3)*(TYPE3&lt;&gt;"")+('Dvd Calendar'!$L$863=TYPE4)*(TYPE4&lt;&gt;"")+('Dvd Calendar'!$L$863=SPECIAL_LBL)*(INC_SPECIALS="Y"))=0,"",'Dvd Calendar'!$L$861)))</f>
        <v/>
      </c>
      <c r="K89" s="110">
        <f>IF(EM89="","",IF(ISNUMBER('Dvd Calendar'!$M$861)=FALSE,"",IF((('Dvd Calendar'!$M$863=TYPE1)*(TYPE1&lt;&gt;"")+('Dvd Calendar'!$M$863=TYPE2)*(TYPE2&lt;&gt;"")+('Dvd Calendar'!$M$863=TYPE3)*(TYPE3&lt;&gt;"")+('Dvd Calendar'!$M$863=TYPE4)*(TYPE4&lt;&gt;"")+('Dvd Calendar'!$M$863=SPECIAL_LBL)*(INC_SPECIALS="Y"))=0,"",'Dvd Calendar'!$M$861)))</f>
        <v/>
      </c>
      <c r="L89" s="110">
        <f>IF(EN89="","",IF(ISNUMBER('Dvd Calendar'!$N$861)=FALSE,"",IF((('Dvd Calendar'!$N$863=TYPE1)*(TYPE1&lt;&gt;"")+('Dvd Calendar'!$N$863=TYPE2)*(TYPE2&lt;&gt;"")+('Dvd Calendar'!$N$863=TYPE3)*(TYPE3&lt;&gt;"")+('Dvd Calendar'!$N$863=TYPE4)*(TYPE4&lt;&gt;"")+('Dvd Calendar'!$N$863=SPECIAL_LBL)*(INC_SPECIALS="Y"))=0,"",'Dvd Calendar'!$N$861)))</f>
        <v/>
      </c>
      <c r="M89" s="110">
        <f>IF(EO89="","",IF(ISNUMBER('Dvd Calendar'!$O$861)=FALSE,"",IF((('Dvd Calendar'!$O$863=TYPE1)*(TYPE1&lt;&gt;"")+('Dvd Calendar'!$O$863=TYPE2)*(TYPE2&lt;&gt;"")+('Dvd Calendar'!$O$863=TYPE3)*(TYPE3&lt;&gt;"")+('Dvd Calendar'!$O$863=TYPE4)*(TYPE4&lt;&gt;"")+('Dvd Calendar'!$O$863=SPECIAL_LBL)*(INC_SPECIALS="Y"))=0,"",'Dvd Calendar'!$O$861)))</f>
        <v/>
      </c>
      <c r="N89" s="110">
        <f>IF(EP89="","",IF(ISNUMBER('Dvd Calendar'!$P$861)=FALSE,"",IF((('Dvd Calendar'!$P$863=TYPE1)*(TYPE1&lt;&gt;"")+('Dvd Calendar'!$P$863=TYPE2)*(TYPE2&lt;&gt;"")+('Dvd Calendar'!$P$863=TYPE3)*(TYPE3&lt;&gt;"")+('Dvd Calendar'!$P$863=TYPE4)*(TYPE4&lt;&gt;"")+('Dvd Calendar'!$P$863=SPECIAL_LBL)*(INC_SPECIALS="Y"))=0,"",'Dvd Calendar'!$P$861)))</f>
        <v/>
      </c>
      <c r="O89" s="110">
        <f>IF(EQ89="","",IF(ISNUMBER('Dvd Calendar'!$Q$861)=FALSE,"",IF((('Dvd Calendar'!$Q$863=TYPE1)*(TYPE1&lt;&gt;"")+('Dvd Calendar'!$Q$863=TYPE2)*(TYPE2&lt;&gt;"")+('Dvd Calendar'!$Q$863=TYPE3)*(TYPE3&lt;&gt;"")+('Dvd Calendar'!$Q$863=TYPE4)*(TYPE4&lt;&gt;"")+('Dvd Calendar'!$Q$863=SPECIAL_LBL)*(INC_SPECIALS="Y"))=0,"",'Dvd Calendar'!$Q$861)))</f>
        <v/>
      </c>
      <c r="P89" s="110">
        <f>IF(ER89="","",IF(ISNUMBER('Dvd Calendar'!$R$861)=FALSE,"",IF((('Dvd Calendar'!$R$863=TYPE1)*(TYPE1&lt;&gt;"")+('Dvd Calendar'!$R$863=TYPE2)*(TYPE2&lt;&gt;"")+('Dvd Calendar'!$R$863=TYPE3)*(TYPE3&lt;&gt;"")+('Dvd Calendar'!$R$863=TYPE4)*(TYPE4&lt;&gt;"")+('Dvd Calendar'!$R$863=SPECIAL_LBL)*(INC_SPECIALS="Y"))=0,"",'Dvd Calendar'!$R$861)))</f>
        <v/>
      </c>
      <c r="Q89" s="110">
        <f>IF(ES89="","",IF(ISNUMBER('Dvd Calendar'!$S$861)=FALSE,"",IF((('Dvd Calendar'!$S$863=TYPE1)*(TYPE1&lt;&gt;"")+('Dvd Calendar'!$S$863=TYPE2)*(TYPE2&lt;&gt;"")+('Dvd Calendar'!$S$863=TYPE3)*(TYPE3&lt;&gt;"")+('Dvd Calendar'!$S$863=TYPE4)*(TYPE4&lt;&gt;"")+('Dvd Calendar'!$S$863=SPECIAL_LBL)*(INC_SPECIALS="Y"))=0,"",'Dvd Calendar'!$S$861)))</f>
        <v/>
      </c>
      <c r="R89" s="110">
        <f>IF(ET89="","",IF(ISNUMBER('Dvd Calendar'!$T$861)=FALSE,"",IF((('Dvd Calendar'!$T$863=TYPE1)*(TYPE1&lt;&gt;"")+('Dvd Calendar'!$T$863=TYPE2)*(TYPE2&lt;&gt;"")+('Dvd Calendar'!$T$863=TYPE3)*(TYPE3&lt;&gt;"")+('Dvd Calendar'!$T$863=TYPE4)*(TYPE4&lt;&gt;"")+('Dvd Calendar'!$T$863=SPECIAL_LBL)*(INC_SPECIALS="Y"))=0,"",'Dvd Calendar'!$T$861)))</f>
        <v/>
      </c>
      <c r="S89" s="110">
        <f>IF(EU89="","",IF(ISNUMBER('Dvd Calendar'!$U$861)=FALSE,"",IF((('Dvd Calendar'!$U$863=TYPE1)*(TYPE1&lt;&gt;"")+('Dvd Calendar'!$U$863=TYPE2)*(TYPE2&lt;&gt;"")+('Dvd Calendar'!$U$863=TYPE3)*(TYPE3&lt;&gt;"")+('Dvd Calendar'!$U$863=TYPE4)*(TYPE4&lt;&gt;"")+('Dvd Calendar'!$U$863=SPECIAL_LBL)*(INC_SPECIALS="Y"))=0,"",'Dvd Calendar'!$U$861)))</f>
        <v/>
      </c>
      <c r="T89" s="110">
        <f>IF(EV89="","",IF(ISNUMBER('Dvd Calendar'!$V$861)=FALSE,"",IF((('Dvd Calendar'!$V$863=TYPE1)*(TYPE1&lt;&gt;"")+('Dvd Calendar'!$V$863=TYPE2)*(TYPE2&lt;&gt;"")+('Dvd Calendar'!$V$863=TYPE3)*(TYPE3&lt;&gt;"")+('Dvd Calendar'!$V$863=TYPE4)*(TYPE4&lt;&gt;"")+('Dvd Calendar'!$V$863=SPECIAL_LBL)*(INC_SPECIALS="Y"))=0,"",'Dvd Calendar'!$V$861)))</f>
        <v/>
      </c>
      <c r="U89" s="110">
        <f>IF(EW89="","",IF(ISNUMBER('Dvd Calendar'!$W$861)=FALSE,"",IF((('Dvd Calendar'!$W$863=TYPE1)*(TYPE1&lt;&gt;"")+('Dvd Calendar'!$W$863=TYPE2)*(TYPE2&lt;&gt;"")+('Dvd Calendar'!$W$863=TYPE3)*(TYPE3&lt;&gt;"")+('Dvd Calendar'!$W$863=TYPE4)*(TYPE4&lt;&gt;"")+('Dvd Calendar'!$W$863=SPECIAL_LBL)*(INC_SPECIALS="Y"))=0,"",'Dvd Calendar'!$W$861)))</f>
        <v/>
      </c>
      <c r="V89" s="110">
        <f>IF(EX89="","",IF(ISNUMBER('Dvd Calendar'!$X$861)=FALSE,"",IF((('Dvd Calendar'!$X$863=TYPE1)*(TYPE1&lt;&gt;"")+('Dvd Calendar'!$X$863=TYPE2)*(TYPE2&lt;&gt;"")+('Dvd Calendar'!$X$863=TYPE3)*(TYPE3&lt;&gt;"")+('Dvd Calendar'!$X$863=TYPE4)*(TYPE4&lt;&gt;"")+('Dvd Calendar'!$X$863=SPECIAL_LBL)*(INC_SPECIALS="Y"))=0,"",'Dvd Calendar'!$X$861)))</f>
        <v/>
      </c>
      <c r="W89" s="110">
        <f>IF(EY89="","",IF(ISNUMBER('Dvd Calendar'!$Y$861)=FALSE,"",IF((('Dvd Calendar'!$Y$863=TYPE1)*(TYPE1&lt;&gt;"")+('Dvd Calendar'!$Y$863=TYPE2)*(TYPE2&lt;&gt;"")+('Dvd Calendar'!$Y$863=TYPE3)*(TYPE3&lt;&gt;"")+('Dvd Calendar'!$Y$863=TYPE4)*(TYPE4&lt;&gt;"")+('Dvd Calendar'!$Y$863=SPECIAL_LBL)*(INC_SPECIALS="Y"))=0,"",'Dvd Calendar'!$Y$861)))</f>
        <v/>
      </c>
      <c r="X89" s="110">
        <f>IF(EZ89="","",IF(ISNUMBER('Dvd Calendar'!$Z$861)=FALSE,"",IF((('Dvd Calendar'!$Z$863=TYPE1)*(TYPE1&lt;&gt;"")+('Dvd Calendar'!$Z$863=TYPE2)*(TYPE2&lt;&gt;"")+('Dvd Calendar'!$Z$863=TYPE3)*(TYPE3&lt;&gt;"")+('Dvd Calendar'!$Z$863=TYPE4)*(TYPE4&lt;&gt;"")+('Dvd Calendar'!$Z$863=SPECIAL_LBL)*(INC_SPECIALS="Y"))=0,"",'Dvd Calendar'!$Z$861)))</f>
        <v/>
      </c>
      <c r="Y89" s="110">
        <f>IF(FA89="","",IF(ISNUMBER('Dvd Calendar'!$AA$861)=FALSE,"",IF((('Dvd Calendar'!$AA$863=TYPE1)*(TYPE1&lt;&gt;"")+('Dvd Calendar'!$AA$863=TYPE2)*(TYPE2&lt;&gt;"")+('Dvd Calendar'!$AA$863=TYPE3)*(TYPE3&lt;&gt;"")+('Dvd Calendar'!$AA$863=TYPE4)*(TYPE4&lt;&gt;"")+('Dvd Calendar'!$AA$863=SPECIAL_LBL)*(INC_SPECIALS="Y"))=0,"",'Dvd Calendar'!$AA$861)))</f>
        <v/>
      </c>
      <c r="Z89" s="110">
        <f>IF(FB89="","",IF(ISNUMBER('Dvd Calendar'!$AB$861)=FALSE,"",IF((('Dvd Calendar'!$AB$863=TYPE1)*(TYPE1&lt;&gt;"")+('Dvd Calendar'!$AB$863=TYPE2)*(TYPE2&lt;&gt;"")+('Dvd Calendar'!$AB$863=TYPE3)*(TYPE3&lt;&gt;"")+('Dvd Calendar'!$AB$863=TYPE4)*(TYPE4&lt;&gt;"")+('Dvd Calendar'!$AB$863=SPECIAL_LBL)*(INC_SPECIALS="Y"))=0,"",'Dvd Calendar'!$AB$861)))</f>
        <v/>
      </c>
      <c r="AA89" s="110">
        <f>IF(FC89="","",IF(ISNUMBER('Dvd Calendar'!$AC$861)=FALSE,"",IF((('Dvd Calendar'!$AC$863=TYPE1)*(TYPE1&lt;&gt;"")+('Dvd Calendar'!$AC$863=TYPE2)*(TYPE2&lt;&gt;"")+('Dvd Calendar'!$AC$863=TYPE3)*(TYPE3&lt;&gt;"")+('Dvd Calendar'!$AC$863=TYPE4)*(TYPE4&lt;&gt;"")+('Dvd Calendar'!$AC$863=SPECIAL_LBL)*(INC_SPECIALS="Y"))=0,"",'Dvd Calendar'!$AC$861)))</f>
        <v/>
      </c>
      <c r="AB89" s="110">
        <f>IF(FD89="","",IF(ISNUMBER('Dvd Calendar'!$AD$861)=FALSE,"",IF((('Dvd Calendar'!$AD$863=TYPE1)*(TYPE1&lt;&gt;"")+('Dvd Calendar'!$AD$863=TYPE2)*(TYPE2&lt;&gt;"")+('Dvd Calendar'!$AD$863=TYPE3)*(TYPE3&lt;&gt;"")+('Dvd Calendar'!$AD$863=TYPE4)*(TYPE4&lt;&gt;"")+('Dvd Calendar'!$AD$863=SPECIAL_LBL)*(INC_SPECIALS="Y"))=0,"",'Dvd Calendar'!$AD$861)))</f>
        <v/>
      </c>
      <c r="AC89" s="110">
        <f>IF(FE89="","",IF(ISNUMBER('Dvd Calendar'!$AE$861)=FALSE,"",IF((('Dvd Calendar'!$AE$863=TYPE1)*(TYPE1&lt;&gt;"")+('Dvd Calendar'!$AE$863=TYPE2)*(TYPE2&lt;&gt;"")+('Dvd Calendar'!$AE$863=TYPE3)*(TYPE3&lt;&gt;"")+('Dvd Calendar'!$AE$863=TYPE4)*(TYPE4&lt;&gt;"")+('Dvd Calendar'!$AE$863=SPECIAL_LBL)*(INC_SPECIALS="Y"))=0,"",'Dvd Calendar'!$AE$861)))</f>
        <v/>
      </c>
      <c r="AD89" s="110">
        <f>IF(FF89="","",IF(ISNUMBER('Dvd Calendar'!$AF$861)=FALSE,"",IF((('Dvd Calendar'!$AF$863=TYPE1)*(TYPE1&lt;&gt;"")+('Dvd Calendar'!$AF$863=TYPE2)*(TYPE2&lt;&gt;"")+('Dvd Calendar'!$AF$863=TYPE3)*(TYPE3&lt;&gt;"")+('Dvd Calendar'!$AF$863=TYPE4)*(TYPE4&lt;&gt;"")+('Dvd Calendar'!$AF$863=SPECIAL_LBL)*(INC_SPECIALS="Y"))=0,"",'Dvd Calendar'!$AF$861)))</f>
        <v/>
      </c>
      <c r="AE89" s="110">
        <f>IF(FG89="","",IF(ISNUMBER('Dvd Calendar'!$AG$861)=FALSE,"",IF((('Dvd Calendar'!$AG$863=TYPE1)*(TYPE1&lt;&gt;"")+('Dvd Calendar'!$AG$863=TYPE2)*(TYPE2&lt;&gt;"")+('Dvd Calendar'!$AG$863=TYPE3)*(TYPE3&lt;&gt;"")+('Dvd Calendar'!$AG$863=TYPE4)*(TYPE4&lt;&gt;"")+('Dvd Calendar'!$AG$863=SPECIAL_LBL)*(INC_SPECIALS="Y"))=0,"",'Dvd Calendar'!$AG$861)))</f>
        <v/>
      </c>
      <c r="AF89" s="110">
        <f>IF(FH89="","",IF(ISNUMBER('Dvd Calendar'!$AH$861)=FALSE,"",IF((('Dvd Calendar'!$AH$863=TYPE1)*(TYPE1&lt;&gt;"")+('Dvd Calendar'!$AH$863=TYPE2)*(TYPE2&lt;&gt;"")+('Dvd Calendar'!$AH$863=TYPE3)*(TYPE3&lt;&gt;"")+('Dvd Calendar'!$AH$863=TYPE4)*(TYPE4&lt;&gt;"")+('Dvd Calendar'!$AH$863=SPECIAL_LBL)*(INC_SPECIALS="Y"))=0,"",'Dvd Calendar'!$AH$861)))</f>
        <v/>
      </c>
      <c r="AG89" s="110">
        <f>IF(FI89="","",IF(ISNUMBER('Dvd Calendar'!$AI$861)=FALSE,"",IF((('Dvd Calendar'!$AI$863=TYPE1)*(TYPE1&lt;&gt;"")+('Dvd Calendar'!$AI$863=TYPE2)*(TYPE2&lt;&gt;"")+('Dvd Calendar'!$AI$863=TYPE3)*(TYPE3&lt;&gt;"")+('Dvd Calendar'!$AI$863=TYPE4)*(TYPE4&lt;&gt;"")+('Dvd Calendar'!$AI$863=SPECIAL_LBL)*(INC_SPECIALS="Y"))=0,"",'Dvd Calendar'!$AI$861)))</f>
        <v/>
      </c>
      <c r="AH89" s="110">
        <f>IF(FJ89="","",IF(ISNUMBER('Dvd Calendar'!$AJ$861)=FALSE,"",IF((('Dvd Calendar'!$AJ$863=TYPE1)*(TYPE1&lt;&gt;"")+('Dvd Calendar'!$AJ$863=TYPE2)*(TYPE2&lt;&gt;"")+('Dvd Calendar'!$AJ$863=TYPE3)*(TYPE3&lt;&gt;"")+('Dvd Calendar'!$AJ$863=TYPE4)*(TYPE4&lt;&gt;"")+('Dvd Calendar'!$AJ$863=SPECIAL_LBL)*(INC_SPECIALS="Y"))=0,"",'Dvd Calendar'!$AJ$861)))</f>
        <v/>
      </c>
      <c r="AI89" s="110">
        <f>IF(FK89="","",IF(ISNUMBER('Dvd Calendar'!$AK$861)=FALSE,"",IF((('Dvd Calendar'!$AK$863=TYPE1)*(TYPE1&lt;&gt;"")+('Dvd Calendar'!$AK$863=TYPE2)*(TYPE2&lt;&gt;"")+('Dvd Calendar'!$AK$863=TYPE3)*(TYPE3&lt;&gt;"")+('Dvd Calendar'!$AK$863=TYPE4)*(TYPE4&lt;&gt;"")+('Dvd Calendar'!$AK$863=SPECIAL_LBL)*(INC_SPECIALS="Y"))=0,"",'Dvd Calendar'!$AK$861)))</f>
        <v/>
      </c>
      <c r="AJ89" s="110">
        <f>IF(FL89="","",IF(ISNUMBER('Dvd Calendar'!$AL$861)=FALSE,"",IF((('Dvd Calendar'!$AL$863=TYPE1)*(TYPE1&lt;&gt;"")+('Dvd Calendar'!$AL$863=TYPE2)*(TYPE2&lt;&gt;"")+('Dvd Calendar'!$AL$863=TYPE3)*(TYPE3&lt;&gt;"")+('Dvd Calendar'!$AL$863=TYPE4)*(TYPE4&lt;&gt;"")+('Dvd Calendar'!$AL$863=SPECIAL_LBL)*(INC_SPECIALS="Y"))=0,"",'Dvd Calendar'!$AL$861)))</f>
        <v/>
      </c>
      <c r="AK89" s="110">
        <f>IF(FM89="","",IF(ISNUMBER('Dvd Calendar'!$AM$861)=FALSE,"",IF((('Dvd Calendar'!$AM$863=TYPE1)*(TYPE1&lt;&gt;"")+('Dvd Calendar'!$AM$863=TYPE2)*(TYPE2&lt;&gt;"")+('Dvd Calendar'!$AM$863=TYPE3)*(TYPE3&lt;&gt;"")+('Dvd Calendar'!$AM$863=TYPE4)*(TYPE4&lt;&gt;"")+('Dvd Calendar'!$AM$863=SPECIAL_LBL)*(INC_SPECIALS="Y"))=0,"",'Dvd Calendar'!$AM$861)))</f>
        <v/>
      </c>
      <c r="AL89" s="110">
        <f>IF(FN89="","",IF(ISNUMBER('Dvd Calendar'!$AN$861)=FALSE,"",IF((('Dvd Calendar'!$AN$863=TYPE1)*(TYPE1&lt;&gt;"")+('Dvd Calendar'!$AN$863=TYPE2)*(TYPE2&lt;&gt;"")+('Dvd Calendar'!$AN$863=TYPE3)*(TYPE3&lt;&gt;"")+('Dvd Calendar'!$AN$863=TYPE4)*(TYPE4&lt;&gt;"")+('Dvd Calendar'!$AN$863=SPECIAL_LBL)*(INC_SPECIALS="Y"))=0,"",'Dvd Calendar'!$AN$861)))</f>
        <v/>
      </c>
      <c r="AM89" s="110">
        <f>IF(FO89="","",IF(ISNUMBER('Dvd Calendar'!$AO$861)=FALSE,"",IF((('Dvd Calendar'!$AO$863=TYPE1)*(TYPE1&lt;&gt;"")+('Dvd Calendar'!$AO$863=TYPE2)*(TYPE2&lt;&gt;"")+('Dvd Calendar'!$AO$863=TYPE3)*(TYPE3&lt;&gt;"")+('Dvd Calendar'!$AO$863=TYPE4)*(TYPE4&lt;&gt;"")+('Dvd Calendar'!$AO$863=SPECIAL_LBL)*(INC_SPECIALS="Y"))=0,"",'Dvd Calendar'!$AO$861)))</f>
        <v/>
      </c>
      <c r="AN89" s="110">
        <f>IF(FP89="","",IF(ISNUMBER('Dvd Calendar'!$AP$861)=FALSE,"",IF((('Dvd Calendar'!$AP$863=TYPE1)*(TYPE1&lt;&gt;"")+('Dvd Calendar'!$AP$863=TYPE2)*(TYPE2&lt;&gt;"")+('Dvd Calendar'!$AP$863=TYPE3)*(TYPE3&lt;&gt;"")+('Dvd Calendar'!$AP$863=TYPE4)*(TYPE4&lt;&gt;"")+('Dvd Calendar'!$AP$863=SPECIAL_LBL)*(INC_SPECIALS="Y"))=0,"",'Dvd Calendar'!$AP$861)))</f>
        <v/>
      </c>
      <c r="AO89" s="110">
        <f>IF(FQ89="","",IF(ISNUMBER('Dvd Calendar'!$AQ$861)=FALSE,"",IF((('Dvd Calendar'!$AQ$863=TYPE1)*(TYPE1&lt;&gt;"")+('Dvd Calendar'!$AQ$863=TYPE2)*(TYPE2&lt;&gt;"")+('Dvd Calendar'!$AQ$863=TYPE3)*(TYPE3&lt;&gt;"")+('Dvd Calendar'!$AQ$863=TYPE4)*(TYPE4&lt;&gt;"")+('Dvd Calendar'!$AQ$863=SPECIAL_LBL)*(INC_SPECIALS="Y"))=0,"",'Dvd Calendar'!$AQ$861)))</f>
        <v/>
      </c>
      <c r="AP89" s="110">
        <f>IF(FR89="","",IF(ISNUMBER('Dvd Calendar'!$AR$861)=FALSE,"",IF((('Dvd Calendar'!$AR$863=TYPE1)*(TYPE1&lt;&gt;"")+('Dvd Calendar'!$AR$863=TYPE2)*(TYPE2&lt;&gt;"")+('Dvd Calendar'!$AR$863=TYPE3)*(TYPE3&lt;&gt;"")+('Dvd Calendar'!$AR$863=TYPE4)*(TYPE4&lt;&gt;"")+('Dvd Calendar'!$AR$863=SPECIAL_LBL)*(INC_SPECIALS="Y"))=0,"",'Dvd Calendar'!$AR$861)))</f>
        <v/>
      </c>
      <c r="AQ89" s="110">
        <f>IF(FS89="","",IF(ISNUMBER('Dvd Calendar'!$E$866)=FALSE,"",'Dvd Calendar'!$E$866))</f>
        <v/>
      </c>
      <c r="AR89" s="110">
        <f>IF(FT89="","",IF(ISNUMBER('Dvd Calendar'!$F$866)=FALSE,"",'Dvd Calendar'!$F$866))</f>
        <v/>
      </c>
      <c r="AS89" s="110">
        <f>IF(FU89="","",IF(ISNUMBER('Dvd Calendar'!$G$866)=FALSE,"",'Dvd Calendar'!$G$866))</f>
        <v/>
      </c>
      <c r="AT89" s="110">
        <f>IF(FV89="","",IF(ISNUMBER('Dvd Calendar'!$H$866)=FALSE,"",'Dvd Calendar'!$H$866))</f>
        <v/>
      </c>
      <c r="AU89" s="110">
        <f>IF(FW89="","",IF(ISNUMBER('Dvd Calendar'!$I$866)=FALSE,"",'Dvd Calendar'!$I$866))</f>
        <v/>
      </c>
      <c r="AV89" s="110">
        <f>IF(FX89="","",IF(ISNUMBER('Dvd Calendar'!$J$866)=FALSE,"",'Dvd Calendar'!$J$866))</f>
        <v/>
      </c>
      <c r="AW89" s="110">
        <f>IF(FY89="","",IF(ISNUMBER('Dvd Calendar'!$K$866)=FALSE,"",'Dvd Calendar'!$K$866))</f>
        <v/>
      </c>
      <c r="AX89" s="110">
        <f>IF(FZ89="","",IF(ISNUMBER('Dvd Calendar'!$L$866)=FALSE,"",'Dvd Calendar'!$L$866))</f>
        <v/>
      </c>
      <c r="AY89" s="110">
        <f>IF(GA89="","",IF(ISNUMBER('Dvd Calendar'!$M$866)=FALSE,"",'Dvd Calendar'!$M$866))</f>
        <v/>
      </c>
      <c r="AZ89" s="110">
        <f>IF(GB89="","",IF(ISNUMBER('Dvd Calendar'!$N$866)=FALSE,"",'Dvd Calendar'!$N$866))</f>
        <v/>
      </c>
      <c r="BA89" s="110">
        <f>IF(GC89="","",IF(ISNUMBER('Dvd Calendar'!$O$866)=FALSE,"",'Dvd Calendar'!$O$866))</f>
        <v/>
      </c>
      <c r="BB89" s="110">
        <f>IF(GD89="","",IF(ISNUMBER('Dvd Calendar'!$P$866)=FALSE,"",'Dvd Calendar'!$P$866))</f>
        <v/>
      </c>
      <c r="BC89" s="110">
        <f>IF(GE89="","",IF(ISNUMBER('Dvd Calendar'!$Q$866)=FALSE,"",'Dvd Calendar'!$Q$866))</f>
        <v/>
      </c>
      <c r="BD89" s="110">
        <f>IF(GF89="","",IF(ISNUMBER('Dvd Calendar'!$R$866)=FALSE,"",'Dvd Calendar'!$R$866))</f>
        <v/>
      </c>
      <c r="BE89" s="110">
        <f>IF(GG89="","",IF(ISNUMBER('Dvd Calendar'!$S$866)=FALSE,"",'Dvd Calendar'!$S$866))</f>
        <v/>
      </c>
      <c r="BF89" s="110">
        <f>IF(GH89="","",IF(ISNUMBER('Dvd Calendar'!$T$866)=FALSE,"",'Dvd Calendar'!$T$866))</f>
        <v/>
      </c>
      <c r="BG89" s="110">
        <f>IF(GI89="","",IF(ISNUMBER('Dvd Calendar'!$U$866)=FALSE,"",'Dvd Calendar'!$U$866))</f>
        <v/>
      </c>
      <c r="BH89" s="110">
        <f>IF(GJ89="","",IF(ISNUMBER('Dvd Calendar'!$V$866)=FALSE,"",'Dvd Calendar'!$V$866))</f>
        <v/>
      </c>
      <c r="BI89" s="110">
        <f>IF(GK89="","",IF(ISNUMBER('Dvd Calendar'!$W$866)=FALSE,"",'Dvd Calendar'!$W$866))</f>
        <v/>
      </c>
      <c r="BJ89" s="110">
        <f>IF(GL89="","",IF(ISNUMBER('Dvd Calendar'!$X$866)=FALSE,"",'Dvd Calendar'!$X$866))</f>
        <v/>
      </c>
      <c r="BK89" s="110">
        <f>IF(GM89="","",IF(ISNUMBER('Dvd Calendar'!$Y$866)=FALSE,"",'Dvd Calendar'!$Y$866))</f>
        <v/>
      </c>
      <c r="BL89" s="110">
        <f>IF(GN89="","",IF(ISNUMBER('Dvd Calendar'!$Z$866)=FALSE,"",'Dvd Calendar'!$Z$866))</f>
        <v/>
      </c>
      <c r="BM89" s="110">
        <f>IF(GO89="","",IF(ISNUMBER('Dvd Calendar'!$AA$866)=FALSE,"",'Dvd Calendar'!$AA$866))</f>
        <v/>
      </c>
      <c r="BN89" s="110">
        <f>IF(GP89="","",IF(ISNUMBER('Dvd Calendar'!$AB$866)=FALSE,"",'Dvd Calendar'!$AB$866))</f>
        <v/>
      </c>
      <c r="BO89" s="110">
        <f>IF(GQ89="","",IF(ISNUMBER('Dvd Calendar'!$AC$866)=FALSE,"",'Dvd Calendar'!$AC$866))</f>
        <v/>
      </c>
      <c r="BQ89" s="110">
        <f>IF(C89="","",IFERROR(C89*HSI!$B$84*HSI!$G$84/HSI!$B$3,""))</f>
        <v/>
      </c>
      <c r="BR89" s="110">
        <f>IF(D89="","",IFERROR(D89*HSI!$B$84*HSI!$G$84/HSI!$B$3,""))</f>
        <v/>
      </c>
      <c r="BS89" s="110">
        <f>IF(E89="","",IFERROR(E89*HSI!$B$84*HSI!$G$84/HSI!$B$3,""))</f>
        <v/>
      </c>
      <c r="BT89" s="110">
        <f>IF(F89="","",IFERROR(F89*HSI!$B$84*HSI!$G$84/HSI!$B$3,""))</f>
        <v/>
      </c>
      <c r="BU89" s="110">
        <f>IF(G89="","",IFERROR(G89*HSI!$B$84*HSI!$G$84/HSI!$B$3,""))</f>
        <v/>
      </c>
      <c r="BV89" s="110">
        <f>IF(H89="","",IFERROR(H89*HSI!$B$84*HSI!$G$84/HSI!$B$3,""))</f>
        <v/>
      </c>
      <c r="BW89" s="110">
        <f>IF(I89="","",IFERROR(I89*HSI!$B$84*HSI!$G$84/HSI!$B$3,""))</f>
        <v/>
      </c>
      <c r="BX89" s="110">
        <f>IF(J89="","",IFERROR(J89*HSI!$B$84*HSI!$G$84/HSI!$B$3,""))</f>
        <v/>
      </c>
      <c r="BY89" s="110">
        <f>IF(K89="","",IFERROR(K89*HSI!$B$84*HSI!$G$84/HSI!$B$3,""))</f>
        <v/>
      </c>
      <c r="BZ89" s="110">
        <f>IF(L89="","",IFERROR(L89*HSI!$B$84*HSI!$G$84/HSI!$B$3,""))</f>
        <v/>
      </c>
      <c r="CA89" s="110">
        <f>IF(M89="","",IFERROR(M89*HSI!$B$84*HSI!$G$84/HSI!$B$3,""))</f>
        <v/>
      </c>
      <c r="CB89" s="110">
        <f>IF(N89="","",IFERROR(N89*HSI!$B$84*HSI!$G$84/HSI!$B$3,""))</f>
        <v/>
      </c>
      <c r="CC89" s="110">
        <f>IF(O89="","",IFERROR(O89*HSI!$B$84*HSI!$G$84/HSI!$B$3,""))</f>
        <v/>
      </c>
      <c r="CD89" s="110">
        <f>IF(P89="","",IFERROR(P89*HSI!$B$84*HSI!$G$84/HSI!$B$3,""))</f>
        <v/>
      </c>
      <c r="CE89" s="110">
        <f>IF(Q89="","",IFERROR(Q89*HSI!$B$84*HSI!$G$84/HSI!$B$3,""))</f>
        <v/>
      </c>
      <c r="CF89" s="110">
        <f>IF(R89="","",IFERROR(R89*HSI!$B$84*HSI!$G$84/HSI!$B$3,""))</f>
        <v/>
      </c>
      <c r="CG89" s="110">
        <f>IF(S89="","",IFERROR(S89*HSI!$B$84*HSI!$G$84/HSI!$B$3,""))</f>
        <v/>
      </c>
      <c r="CH89" s="110">
        <f>IF(T89="","",IFERROR(T89*HSI!$B$84*HSI!$G$84/HSI!$B$3,""))</f>
        <v/>
      </c>
      <c r="CI89" s="110">
        <f>IF(U89="","",IFERROR(U89*HSI!$B$84*HSI!$G$84/HSI!$B$3,""))</f>
        <v/>
      </c>
      <c r="CJ89" s="110">
        <f>IF(V89="","",IFERROR(V89*HSI!$B$84*HSI!$G$84/HSI!$B$3,""))</f>
        <v/>
      </c>
      <c r="CK89" s="110">
        <f>IF(W89="","",IFERROR(W89*HSI!$B$84*HSI!$G$84/HSI!$B$3,""))</f>
        <v/>
      </c>
      <c r="CL89" s="110">
        <f>IF(X89="","",IFERROR(X89*HSI!$B$84*HSI!$G$84/HSI!$B$3,""))</f>
        <v/>
      </c>
      <c r="CM89" s="110">
        <f>IF(Y89="","",IFERROR(Y89*HSI!$B$84*HSI!$G$84/HSI!$B$3,""))</f>
        <v/>
      </c>
      <c r="CN89" s="110">
        <f>IF(Z89="","",IFERROR(Z89*HSI!$B$84*HSI!$G$84/HSI!$B$3,""))</f>
        <v/>
      </c>
      <c r="CO89" s="110">
        <f>IF(AA89="","",IFERROR(AA89*HSI!$B$84*HSI!$G$84/HSI!$B$3,""))</f>
        <v/>
      </c>
      <c r="CP89" s="110">
        <f>IF(AB89="","",IFERROR(AB89*HSI!$B$84*HSI!$G$84/HSI!$B$3,""))</f>
        <v/>
      </c>
      <c r="CQ89" s="110">
        <f>IF(AC89="","",IFERROR(AC89*HSI!$B$84*HSI!$G$84/HSI!$B$3,""))</f>
        <v/>
      </c>
      <c r="CR89" s="110">
        <f>IF(AD89="","",IFERROR(AD89*HSI!$B$84*HSI!$G$84/HSI!$B$3,""))</f>
        <v/>
      </c>
      <c r="CS89" s="110">
        <f>IF(AE89="","",IFERROR(AE89*HSI!$B$84*HSI!$G$84/HSI!$B$3,""))</f>
        <v/>
      </c>
      <c r="CT89" s="110">
        <f>IF(AF89="","",IFERROR(AF89*HSI!$B$84*HSI!$G$84/HSI!$B$3,""))</f>
        <v/>
      </c>
      <c r="CU89" s="110">
        <f>IF(AG89="","",IFERROR(AG89*HSI!$B$84*HSI!$G$84/HSI!$B$3,""))</f>
        <v/>
      </c>
      <c r="CV89" s="110">
        <f>IF(AH89="","",IFERROR(AH89*HSI!$B$84*HSI!$G$84/HSI!$B$3,""))</f>
        <v/>
      </c>
      <c r="CW89" s="110">
        <f>IF(AI89="","",IFERROR(AI89*HSI!$B$84*HSI!$G$84/HSI!$B$3,""))</f>
        <v/>
      </c>
      <c r="CX89" s="110">
        <f>IF(AJ89="","",IFERROR(AJ89*HSI!$B$84*HSI!$G$84/HSI!$B$3,""))</f>
        <v/>
      </c>
      <c r="CY89" s="110">
        <f>IF(AK89="","",IFERROR(AK89*HSI!$B$84*HSI!$G$84/HSI!$B$3,""))</f>
        <v/>
      </c>
      <c r="CZ89" s="110">
        <f>IF(AL89="","",IFERROR(AL89*HSI!$B$84*HSI!$G$84/HSI!$B$3,""))</f>
        <v/>
      </c>
      <c r="DA89" s="110">
        <f>IF(AM89="","",IFERROR(AM89*HSI!$B$84*HSI!$G$84/HSI!$B$3,""))</f>
        <v/>
      </c>
      <c r="DB89" s="110">
        <f>IF(AN89="","",IFERROR(AN89*HSI!$B$84*HSI!$G$84/HSI!$B$3,""))</f>
        <v/>
      </c>
      <c r="DC89" s="110">
        <f>IF(AO89="","",IFERROR(AO89*HSI!$B$84*HSI!$G$84/HSI!$B$3,""))</f>
        <v/>
      </c>
      <c r="DD89" s="110">
        <f>IF(AP89="","",IFERROR(AP89*HSI!$B$84*HSI!$G$84/HSI!$B$3,""))</f>
        <v/>
      </c>
      <c r="DE89" s="110">
        <f>IF(AQ89="","",IFERROR(AQ89*HSI!$B$84*HSI!$G$84/HSI!$B$3,""))</f>
        <v/>
      </c>
      <c r="DF89" s="110">
        <f>IF(AR89="","",IFERROR(AR89*HSI!$B$84*HSI!$G$84/HSI!$B$3,""))</f>
        <v/>
      </c>
      <c r="DG89" s="110">
        <f>IF(AS89="","",IFERROR(AS89*HSI!$B$84*HSI!$G$84/HSI!$B$3,""))</f>
        <v/>
      </c>
      <c r="DH89" s="110">
        <f>IF(AT89="","",IFERROR(AT89*HSI!$B$84*HSI!$G$84/HSI!$B$3,""))</f>
        <v/>
      </c>
      <c r="DI89" s="110">
        <f>IF(AU89="","",IFERROR(AU89*HSI!$B$84*HSI!$G$84/HSI!$B$3,""))</f>
        <v/>
      </c>
      <c r="DJ89" s="110">
        <f>IF(AV89="","",IFERROR(AV89*HSI!$B$84*HSI!$G$84/HSI!$B$3,""))</f>
        <v/>
      </c>
      <c r="DK89" s="110">
        <f>IF(AW89="","",IFERROR(AW89*HSI!$B$84*HSI!$G$84/HSI!$B$3,""))</f>
        <v/>
      </c>
      <c r="DL89" s="110">
        <f>IF(AX89="","",IFERROR(AX89*HSI!$B$84*HSI!$G$84/HSI!$B$3,""))</f>
        <v/>
      </c>
      <c r="DM89" s="110">
        <f>IF(AY89="","",IFERROR(AY89*HSI!$B$84*HSI!$G$84/HSI!$B$3,""))</f>
        <v/>
      </c>
      <c r="DN89" s="110">
        <f>IF(AZ89="","",IFERROR(AZ89*HSI!$B$84*HSI!$G$84/HSI!$B$3,""))</f>
        <v/>
      </c>
      <c r="DO89" s="110">
        <f>IF(BA89="","",IFERROR(BA89*HSI!$B$84*HSI!$G$84/HSI!$B$3,""))</f>
        <v/>
      </c>
      <c r="DP89" s="110">
        <f>IF(BB89="","",IFERROR(BB89*HSI!$B$84*HSI!$G$84/HSI!$B$3,""))</f>
        <v/>
      </c>
      <c r="DQ89" s="110">
        <f>IF(BC89="","",IFERROR(BC89*HSI!$B$84*HSI!$G$84/HSI!$B$3,""))</f>
        <v/>
      </c>
      <c r="DR89" s="110">
        <f>IF(BD89="","",IFERROR(BD89*HSI!$B$84*HSI!$G$84/HSI!$B$3,""))</f>
        <v/>
      </c>
      <c r="DS89" s="110">
        <f>IF(BE89="","",IFERROR(BE89*HSI!$B$84*HSI!$G$84/HSI!$B$3,""))</f>
        <v/>
      </c>
      <c r="DT89" s="110">
        <f>IF(BF89="","",IFERROR(BF89*HSI!$B$84*HSI!$G$84/HSI!$B$3,""))</f>
        <v/>
      </c>
      <c r="DU89" s="110">
        <f>IF(BG89="","",IFERROR(BG89*HSI!$B$84*HSI!$G$84/HSI!$B$3,""))</f>
        <v/>
      </c>
      <c r="DV89" s="110">
        <f>IF(BH89="","",IFERROR(BH89*HSI!$B$84*HSI!$G$84/HSI!$B$3,""))</f>
        <v/>
      </c>
      <c r="DW89" s="110">
        <f>IF(BI89="","",IFERROR(BI89*HSI!$B$84*HSI!$G$84/HSI!$B$3,""))</f>
        <v/>
      </c>
      <c r="DX89" s="110">
        <f>IF(BJ89="","",IFERROR(BJ89*HSI!$B$84*HSI!$G$84/HSI!$B$3,""))</f>
        <v/>
      </c>
      <c r="DY89" s="110">
        <f>IF(BK89="","",IFERROR(BK89*HSI!$B$84*HSI!$G$84/HSI!$B$3,""))</f>
        <v/>
      </c>
      <c r="DZ89" s="110">
        <f>IF(BL89="","",IFERROR(BL89*HSI!$B$84*HSI!$G$84/HSI!$B$3,""))</f>
        <v/>
      </c>
      <c r="EA89" s="110">
        <f>IF(BM89="","",IFERROR(BM89*HSI!$B$84*HSI!$G$84/HSI!$B$3,""))</f>
        <v/>
      </c>
      <c r="EB89" s="110">
        <f>IF(BN89="","",IFERROR(BN89*HSI!$B$84*HSI!$G$84/HSI!$B$3,""))</f>
        <v/>
      </c>
      <c r="EC89" s="110">
        <f>IF(BO89="","",IFERROR(BO89*HSI!$B$84*HSI!$G$84/HSI!$B$3,""))</f>
        <v/>
      </c>
      <c r="EE89" s="39">
        <f>IF(N('Dvd Calendar'!$E$858)=0,"",IF(('Dvd Calendar'!$E$858&gt;=GRID_FROM)*('Dvd Calendar'!$E$858&lt;=GRID_TO)*((('Dvd Calendar'!$E$858&lt;=VAL_DATE)+(COUNTIF('Dvd Calendar'!$E$865:$AR$865,'Dvd Calendar'!$E$858)=0))&gt;0)=0,"",'Dvd Calendar'!$E$858*1000000000+ISNUMBER('Dvd Calendar'!$E$861)*100000000+('Dvd Calendar'!$E$863=SPECIAL_LBL)*10000000+(N('Dvd Calendar'!$E$857)&gt;0)*(N('Dvd Calendar'!$E$857)&lt;=VAL_SERIAL)*1000000+78*1000+1))</f>
        <v/>
      </c>
      <c r="EF89" s="39">
        <f>IF(N('Dvd Calendar'!$F$858)=0,"",IF(('Dvd Calendar'!$F$858&gt;=GRID_FROM)*('Dvd Calendar'!$F$858&lt;=GRID_TO)*((('Dvd Calendar'!$F$858&lt;=VAL_DATE)+(COUNTIF('Dvd Calendar'!$E$865:$AR$865,'Dvd Calendar'!$F$858)=0))&gt;0)=0,"",'Dvd Calendar'!$F$858*1000000000+ISNUMBER('Dvd Calendar'!$F$861)*100000000+('Dvd Calendar'!$F$863=SPECIAL_LBL)*10000000+(N('Dvd Calendar'!$F$857)&gt;0)*(N('Dvd Calendar'!$F$857)&lt;=VAL_SERIAL)*1000000+78*1000+2))</f>
        <v/>
      </c>
      <c r="EG89" s="39">
        <f>IF(N('Dvd Calendar'!$G$858)=0,"",IF(('Dvd Calendar'!$G$858&gt;=GRID_FROM)*('Dvd Calendar'!$G$858&lt;=GRID_TO)*((('Dvd Calendar'!$G$858&lt;=VAL_DATE)+(COUNTIF('Dvd Calendar'!$E$865:$AR$865,'Dvd Calendar'!$G$858)=0))&gt;0)=0,"",'Dvd Calendar'!$G$858*1000000000+ISNUMBER('Dvd Calendar'!$G$861)*100000000+('Dvd Calendar'!$G$863=SPECIAL_LBL)*10000000+(N('Dvd Calendar'!$G$857)&gt;0)*(N('Dvd Calendar'!$G$857)&lt;=VAL_SERIAL)*1000000+78*1000+3))</f>
        <v/>
      </c>
      <c r="EH89" s="39">
        <f>IF(N('Dvd Calendar'!$H$858)=0,"",IF(('Dvd Calendar'!$H$858&gt;=GRID_FROM)*('Dvd Calendar'!$H$858&lt;=GRID_TO)*((('Dvd Calendar'!$H$858&lt;=VAL_DATE)+(COUNTIF('Dvd Calendar'!$E$865:$AR$865,'Dvd Calendar'!$H$858)=0))&gt;0)=0,"",'Dvd Calendar'!$H$858*1000000000+ISNUMBER('Dvd Calendar'!$H$861)*100000000+('Dvd Calendar'!$H$863=SPECIAL_LBL)*10000000+(N('Dvd Calendar'!$H$857)&gt;0)*(N('Dvd Calendar'!$H$857)&lt;=VAL_SERIAL)*1000000+78*1000+4))</f>
        <v/>
      </c>
      <c r="EI89" s="39">
        <f>IF(N('Dvd Calendar'!$I$858)=0,"",IF(('Dvd Calendar'!$I$858&gt;=GRID_FROM)*('Dvd Calendar'!$I$858&lt;=GRID_TO)*((('Dvd Calendar'!$I$858&lt;=VAL_DATE)+(COUNTIF('Dvd Calendar'!$E$865:$AR$865,'Dvd Calendar'!$I$858)=0))&gt;0)=0,"",'Dvd Calendar'!$I$858*1000000000+ISNUMBER('Dvd Calendar'!$I$861)*100000000+('Dvd Calendar'!$I$863=SPECIAL_LBL)*10000000+(N('Dvd Calendar'!$I$857)&gt;0)*(N('Dvd Calendar'!$I$857)&lt;=VAL_SERIAL)*1000000+78*1000+5))</f>
        <v/>
      </c>
      <c r="EJ89" s="39">
        <f>IF(N('Dvd Calendar'!$J$858)=0,"",IF(('Dvd Calendar'!$J$858&gt;=GRID_FROM)*('Dvd Calendar'!$J$858&lt;=GRID_TO)*((('Dvd Calendar'!$J$858&lt;=VAL_DATE)+(COUNTIF('Dvd Calendar'!$E$865:$AR$865,'Dvd Calendar'!$J$858)=0))&gt;0)=0,"",'Dvd Calendar'!$J$858*1000000000+ISNUMBER('Dvd Calendar'!$J$861)*100000000+('Dvd Calendar'!$J$863=SPECIAL_LBL)*10000000+(N('Dvd Calendar'!$J$857)&gt;0)*(N('Dvd Calendar'!$J$857)&lt;=VAL_SERIAL)*1000000+78*1000+6))</f>
        <v/>
      </c>
      <c r="EK89" s="39">
        <f>IF(N('Dvd Calendar'!$K$858)=0,"",IF(('Dvd Calendar'!$K$858&gt;=GRID_FROM)*('Dvd Calendar'!$K$858&lt;=GRID_TO)*((('Dvd Calendar'!$K$858&lt;=VAL_DATE)+(COUNTIF('Dvd Calendar'!$E$865:$AR$865,'Dvd Calendar'!$K$858)=0))&gt;0)=0,"",'Dvd Calendar'!$K$858*1000000000+ISNUMBER('Dvd Calendar'!$K$861)*100000000+('Dvd Calendar'!$K$863=SPECIAL_LBL)*10000000+(N('Dvd Calendar'!$K$857)&gt;0)*(N('Dvd Calendar'!$K$857)&lt;=VAL_SERIAL)*1000000+78*1000+7))</f>
        <v/>
      </c>
      <c r="EL89" s="39">
        <f>IF(N('Dvd Calendar'!$L$858)=0,"",IF(('Dvd Calendar'!$L$858&gt;=GRID_FROM)*('Dvd Calendar'!$L$858&lt;=GRID_TO)*((('Dvd Calendar'!$L$858&lt;=VAL_DATE)+(COUNTIF('Dvd Calendar'!$E$865:$AR$865,'Dvd Calendar'!$L$858)=0))&gt;0)=0,"",'Dvd Calendar'!$L$858*1000000000+ISNUMBER('Dvd Calendar'!$L$861)*100000000+('Dvd Calendar'!$L$863=SPECIAL_LBL)*10000000+(N('Dvd Calendar'!$L$857)&gt;0)*(N('Dvd Calendar'!$L$857)&lt;=VAL_SERIAL)*1000000+78*1000+8))</f>
        <v/>
      </c>
      <c r="EM89" s="39">
        <f>IF(N('Dvd Calendar'!$M$858)=0,"",IF(('Dvd Calendar'!$M$858&gt;=GRID_FROM)*('Dvd Calendar'!$M$858&lt;=GRID_TO)*((('Dvd Calendar'!$M$858&lt;=VAL_DATE)+(COUNTIF('Dvd Calendar'!$E$865:$AR$865,'Dvd Calendar'!$M$858)=0))&gt;0)=0,"",'Dvd Calendar'!$M$858*1000000000+ISNUMBER('Dvd Calendar'!$M$861)*100000000+('Dvd Calendar'!$M$863=SPECIAL_LBL)*10000000+(N('Dvd Calendar'!$M$857)&gt;0)*(N('Dvd Calendar'!$M$857)&lt;=VAL_SERIAL)*1000000+78*1000+9))</f>
        <v/>
      </c>
      <c r="EN89" s="39">
        <f>IF(N('Dvd Calendar'!$N$858)=0,"",IF(('Dvd Calendar'!$N$858&gt;=GRID_FROM)*('Dvd Calendar'!$N$858&lt;=GRID_TO)*((('Dvd Calendar'!$N$858&lt;=VAL_DATE)+(COUNTIF('Dvd Calendar'!$E$865:$AR$865,'Dvd Calendar'!$N$858)=0))&gt;0)=0,"",'Dvd Calendar'!$N$858*1000000000+ISNUMBER('Dvd Calendar'!$N$861)*100000000+('Dvd Calendar'!$N$863=SPECIAL_LBL)*10000000+(N('Dvd Calendar'!$N$857)&gt;0)*(N('Dvd Calendar'!$N$857)&lt;=VAL_SERIAL)*1000000+78*1000+10))</f>
        <v/>
      </c>
      <c r="EO89" s="39">
        <f>IF(N('Dvd Calendar'!$O$858)=0,"",IF(('Dvd Calendar'!$O$858&gt;=GRID_FROM)*('Dvd Calendar'!$O$858&lt;=GRID_TO)*((('Dvd Calendar'!$O$858&lt;=VAL_DATE)+(COUNTIF('Dvd Calendar'!$E$865:$AR$865,'Dvd Calendar'!$O$858)=0))&gt;0)=0,"",'Dvd Calendar'!$O$858*1000000000+ISNUMBER('Dvd Calendar'!$O$861)*100000000+('Dvd Calendar'!$O$863=SPECIAL_LBL)*10000000+(N('Dvd Calendar'!$O$857)&gt;0)*(N('Dvd Calendar'!$O$857)&lt;=VAL_SERIAL)*1000000+78*1000+11))</f>
        <v/>
      </c>
      <c r="EP89" s="39">
        <f>IF(N('Dvd Calendar'!$P$858)=0,"",IF(('Dvd Calendar'!$P$858&gt;=GRID_FROM)*('Dvd Calendar'!$P$858&lt;=GRID_TO)*((('Dvd Calendar'!$P$858&lt;=VAL_DATE)+(COUNTIF('Dvd Calendar'!$E$865:$AR$865,'Dvd Calendar'!$P$858)=0))&gt;0)=0,"",'Dvd Calendar'!$P$858*1000000000+ISNUMBER('Dvd Calendar'!$P$861)*100000000+('Dvd Calendar'!$P$863=SPECIAL_LBL)*10000000+(N('Dvd Calendar'!$P$857)&gt;0)*(N('Dvd Calendar'!$P$857)&lt;=VAL_SERIAL)*1000000+78*1000+12))</f>
        <v/>
      </c>
      <c r="EQ89" s="39">
        <f>IF(N('Dvd Calendar'!$Q$858)=0,"",IF(('Dvd Calendar'!$Q$858&gt;=GRID_FROM)*('Dvd Calendar'!$Q$858&lt;=GRID_TO)*((('Dvd Calendar'!$Q$858&lt;=VAL_DATE)+(COUNTIF('Dvd Calendar'!$E$865:$AR$865,'Dvd Calendar'!$Q$858)=0))&gt;0)=0,"",'Dvd Calendar'!$Q$858*1000000000+ISNUMBER('Dvd Calendar'!$Q$861)*100000000+('Dvd Calendar'!$Q$863=SPECIAL_LBL)*10000000+(N('Dvd Calendar'!$Q$857)&gt;0)*(N('Dvd Calendar'!$Q$857)&lt;=VAL_SERIAL)*1000000+78*1000+13))</f>
        <v/>
      </c>
      <c r="ER89" s="39">
        <f>IF(N('Dvd Calendar'!$R$858)=0,"",IF(('Dvd Calendar'!$R$858&gt;=GRID_FROM)*('Dvd Calendar'!$R$858&lt;=GRID_TO)*((('Dvd Calendar'!$R$858&lt;=VAL_DATE)+(COUNTIF('Dvd Calendar'!$E$865:$AR$865,'Dvd Calendar'!$R$858)=0))&gt;0)=0,"",'Dvd Calendar'!$R$858*1000000000+ISNUMBER('Dvd Calendar'!$R$861)*100000000+('Dvd Calendar'!$R$863=SPECIAL_LBL)*10000000+(N('Dvd Calendar'!$R$857)&gt;0)*(N('Dvd Calendar'!$R$857)&lt;=VAL_SERIAL)*1000000+78*1000+14))</f>
        <v/>
      </c>
      <c r="ES89" s="39">
        <f>IF(N('Dvd Calendar'!$S$858)=0,"",IF(('Dvd Calendar'!$S$858&gt;=GRID_FROM)*('Dvd Calendar'!$S$858&lt;=GRID_TO)*((('Dvd Calendar'!$S$858&lt;=VAL_DATE)+(COUNTIF('Dvd Calendar'!$E$865:$AR$865,'Dvd Calendar'!$S$858)=0))&gt;0)=0,"",'Dvd Calendar'!$S$858*1000000000+ISNUMBER('Dvd Calendar'!$S$861)*100000000+('Dvd Calendar'!$S$863=SPECIAL_LBL)*10000000+(N('Dvd Calendar'!$S$857)&gt;0)*(N('Dvd Calendar'!$S$857)&lt;=VAL_SERIAL)*1000000+78*1000+15))</f>
        <v/>
      </c>
      <c r="ET89" s="39">
        <f>IF(N('Dvd Calendar'!$T$858)=0,"",IF(('Dvd Calendar'!$T$858&gt;=GRID_FROM)*('Dvd Calendar'!$T$858&lt;=GRID_TO)*((('Dvd Calendar'!$T$858&lt;=VAL_DATE)+(COUNTIF('Dvd Calendar'!$E$865:$AR$865,'Dvd Calendar'!$T$858)=0))&gt;0)=0,"",'Dvd Calendar'!$T$858*1000000000+ISNUMBER('Dvd Calendar'!$T$861)*100000000+('Dvd Calendar'!$T$863=SPECIAL_LBL)*10000000+(N('Dvd Calendar'!$T$857)&gt;0)*(N('Dvd Calendar'!$T$857)&lt;=VAL_SERIAL)*1000000+78*1000+16))</f>
        <v/>
      </c>
      <c r="EU89" s="39">
        <f>IF(N('Dvd Calendar'!$U$858)=0,"",IF(('Dvd Calendar'!$U$858&gt;=GRID_FROM)*('Dvd Calendar'!$U$858&lt;=GRID_TO)*((('Dvd Calendar'!$U$858&lt;=VAL_DATE)+(COUNTIF('Dvd Calendar'!$E$865:$AR$865,'Dvd Calendar'!$U$858)=0))&gt;0)=0,"",'Dvd Calendar'!$U$858*1000000000+ISNUMBER('Dvd Calendar'!$U$861)*100000000+('Dvd Calendar'!$U$863=SPECIAL_LBL)*10000000+(N('Dvd Calendar'!$U$857)&gt;0)*(N('Dvd Calendar'!$U$857)&lt;=VAL_SERIAL)*1000000+78*1000+17))</f>
        <v/>
      </c>
      <c r="EV89" s="39">
        <f>IF(N('Dvd Calendar'!$V$858)=0,"",IF(('Dvd Calendar'!$V$858&gt;=GRID_FROM)*('Dvd Calendar'!$V$858&lt;=GRID_TO)*((('Dvd Calendar'!$V$858&lt;=VAL_DATE)+(COUNTIF('Dvd Calendar'!$E$865:$AR$865,'Dvd Calendar'!$V$858)=0))&gt;0)=0,"",'Dvd Calendar'!$V$858*1000000000+ISNUMBER('Dvd Calendar'!$V$861)*100000000+('Dvd Calendar'!$V$863=SPECIAL_LBL)*10000000+(N('Dvd Calendar'!$V$857)&gt;0)*(N('Dvd Calendar'!$V$857)&lt;=VAL_SERIAL)*1000000+78*1000+18))</f>
        <v/>
      </c>
      <c r="EW89" s="39">
        <f>IF(N('Dvd Calendar'!$W$858)=0,"",IF(('Dvd Calendar'!$W$858&gt;=GRID_FROM)*('Dvd Calendar'!$W$858&lt;=GRID_TO)*((('Dvd Calendar'!$W$858&lt;=VAL_DATE)+(COUNTIF('Dvd Calendar'!$E$865:$AR$865,'Dvd Calendar'!$W$858)=0))&gt;0)=0,"",'Dvd Calendar'!$W$858*1000000000+ISNUMBER('Dvd Calendar'!$W$861)*100000000+('Dvd Calendar'!$W$863=SPECIAL_LBL)*10000000+(N('Dvd Calendar'!$W$857)&gt;0)*(N('Dvd Calendar'!$W$857)&lt;=VAL_SERIAL)*1000000+78*1000+19))</f>
        <v/>
      </c>
      <c r="EX89" s="39">
        <f>IF(N('Dvd Calendar'!$X$858)=0,"",IF(('Dvd Calendar'!$X$858&gt;=GRID_FROM)*('Dvd Calendar'!$X$858&lt;=GRID_TO)*((('Dvd Calendar'!$X$858&lt;=VAL_DATE)+(COUNTIF('Dvd Calendar'!$E$865:$AR$865,'Dvd Calendar'!$X$858)=0))&gt;0)=0,"",'Dvd Calendar'!$X$858*1000000000+ISNUMBER('Dvd Calendar'!$X$861)*100000000+('Dvd Calendar'!$X$863=SPECIAL_LBL)*10000000+(N('Dvd Calendar'!$X$857)&gt;0)*(N('Dvd Calendar'!$X$857)&lt;=VAL_SERIAL)*1000000+78*1000+20))</f>
        <v/>
      </c>
      <c r="EY89" s="39">
        <f>IF(N('Dvd Calendar'!$Y$858)=0,"",IF(('Dvd Calendar'!$Y$858&gt;=GRID_FROM)*('Dvd Calendar'!$Y$858&lt;=GRID_TO)*((('Dvd Calendar'!$Y$858&lt;=VAL_DATE)+(COUNTIF('Dvd Calendar'!$E$865:$AR$865,'Dvd Calendar'!$Y$858)=0))&gt;0)=0,"",'Dvd Calendar'!$Y$858*1000000000+ISNUMBER('Dvd Calendar'!$Y$861)*100000000+('Dvd Calendar'!$Y$863=SPECIAL_LBL)*10000000+(N('Dvd Calendar'!$Y$857)&gt;0)*(N('Dvd Calendar'!$Y$857)&lt;=VAL_SERIAL)*1000000+78*1000+21))</f>
        <v/>
      </c>
      <c r="EZ89" s="39">
        <f>IF(N('Dvd Calendar'!$Z$858)=0,"",IF(('Dvd Calendar'!$Z$858&gt;=GRID_FROM)*('Dvd Calendar'!$Z$858&lt;=GRID_TO)*((('Dvd Calendar'!$Z$858&lt;=VAL_DATE)+(COUNTIF('Dvd Calendar'!$E$865:$AR$865,'Dvd Calendar'!$Z$858)=0))&gt;0)=0,"",'Dvd Calendar'!$Z$858*1000000000+ISNUMBER('Dvd Calendar'!$Z$861)*100000000+('Dvd Calendar'!$Z$863=SPECIAL_LBL)*10000000+(N('Dvd Calendar'!$Z$857)&gt;0)*(N('Dvd Calendar'!$Z$857)&lt;=VAL_SERIAL)*1000000+78*1000+22))</f>
        <v/>
      </c>
      <c r="FA89" s="39">
        <f>IF(N('Dvd Calendar'!$AA$858)=0,"",IF(('Dvd Calendar'!$AA$858&gt;=GRID_FROM)*('Dvd Calendar'!$AA$858&lt;=GRID_TO)*((('Dvd Calendar'!$AA$858&lt;=VAL_DATE)+(COUNTIF('Dvd Calendar'!$E$865:$AR$865,'Dvd Calendar'!$AA$858)=0))&gt;0)=0,"",'Dvd Calendar'!$AA$858*1000000000+ISNUMBER('Dvd Calendar'!$AA$861)*100000000+('Dvd Calendar'!$AA$863=SPECIAL_LBL)*10000000+(N('Dvd Calendar'!$AA$857)&gt;0)*(N('Dvd Calendar'!$AA$857)&lt;=VAL_SERIAL)*1000000+78*1000+23))</f>
        <v/>
      </c>
      <c r="FB89" s="39">
        <f>IF(N('Dvd Calendar'!$AB$858)=0,"",IF(('Dvd Calendar'!$AB$858&gt;=GRID_FROM)*('Dvd Calendar'!$AB$858&lt;=GRID_TO)*((('Dvd Calendar'!$AB$858&lt;=VAL_DATE)+(COUNTIF('Dvd Calendar'!$E$865:$AR$865,'Dvd Calendar'!$AB$858)=0))&gt;0)=0,"",'Dvd Calendar'!$AB$858*1000000000+ISNUMBER('Dvd Calendar'!$AB$861)*100000000+('Dvd Calendar'!$AB$863=SPECIAL_LBL)*10000000+(N('Dvd Calendar'!$AB$857)&gt;0)*(N('Dvd Calendar'!$AB$857)&lt;=VAL_SERIAL)*1000000+78*1000+24))</f>
        <v/>
      </c>
      <c r="FC89" s="39">
        <f>IF(N('Dvd Calendar'!$AC$858)=0,"",IF(('Dvd Calendar'!$AC$858&gt;=GRID_FROM)*('Dvd Calendar'!$AC$858&lt;=GRID_TO)*((('Dvd Calendar'!$AC$858&lt;=VAL_DATE)+(COUNTIF('Dvd Calendar'!$E$865:$AR$865,'Dvd Calendar'!$AC$858)=0))&gt;0)=0,"",'Dvd Calendar'!$AC$858*1000000000+ISNUMBER('Dvd Calendar'!$AC$861)*100000000+('Dvd Calendar'!$AC$863=SPECIAL_LBL)*10000000+(N('Dvd Calendar'!$AC$857)&gt;0)*(N('Dvd Calendar'!$AC$857)&lt;=VAL_SERIAL)*1000000+78*1000+25))</f>
        <v/>
      </c>
      <c r="FD89" s="39">
        <f>IF(N('Dvd Calendar'!$AD$858)=0,"",IF(('Dvd Calendar'!$AD$858&gt;=GRID_FROM)*('Dvd Calendar'!$AD$858&lt;=GRID_TO)*((('Dvd Calendar'!$AD$858&lt;=VAL_DATE)+(COUNTIF('Dvd Calendar'!$E$865:$AR$865,'Dvd Calendar'!$AD$858)=0))&gt;0)=0,"",'Dvd Calendar'!$AD$858*1000000000+ISNUMBER('Dvd Calendar'!$AD$861)*100000000+('Dvd Calendar'!$AD$863=SPECIAL_LBL)*10000000+(N('Dvd Calendar'!$AD$857)&gt;0)*(N('Dvd Calendar'!$AD$857)&lt;=VAL_SERIAL)*1000000+78*1000+26))</f>
        <v/>
      </c>
      <c r="FE89" s="39">
        <f>IF(N('Dvd Calendar'!$AE$858)=0,"",IF(('Dvd Calendar'!$AE$858&gt;=GRID_FROM)*('Dvd Calendar'!$AE$858&lt;=GRID_TO)*((('Dvd Calendar'!$AE$858&lt;=VAL_DATE)+(COUNTIF('Dvd Calendar'!$E$865:$AR$865,'Dvd Calendar'!$AE$858)=0))&gt;0)=0,"",'Dvd Calendar'!$AE$858*1000000000+ISNUMBER('Dvd Calendar'!$AE$861)*100000000+('Dvd Calendar'!$AE$863=SPECIAL_LBL)*10000000+(N('Dvd Calendar'!$AE$857)&gt;0)*(N('Dvd Calendar'!$AE$857)&lt;=VAL_SERIAL)*1000000+78*1000+27))</f>
        <v/>
      </c>
      <c r="FF89" s="39">
        <f>IF(N('Dvd Calendar'!$AF$858)=0,"",IF(('Dvd Calendar'!$AF$858&gt;=GRID_FROM)*('Dvd Calendar'!$AF$858&lt;=GRID_TO)*((('Dvd Calendar'!$AF$858&lt;=VAL_DATE)+(COUNTIF('Dvd Calendar'!$E$865:$AR$865,'Dvd Calendar'!$AF$858)=0))&gt;0)=0,"",'Dvd Calendar'!$AF$858*1000000000+ISNUMBER('Dvd Calendar'!$AF$861)*100000000+('Dvd Calendar'!$AF$863=SPECIAL_LBL)*10000000+(N('Dvd Calendar'!$AF$857)&gt;0)*(N('Dvd Calendar'!$AF$857)&lt;=VAL_SERIAL)*1000000+78*1000+28))</f>
        <v/>
      </c>
      <c r="FG89" s="39">
        <f>IF(N('Dvd Calendar'!$AG$858)=0,"",IF(('Dvd Calendar'!$AG$858&gt;=GRID_FROM)*('Dvd Calendar'!$AG$858&lt;=GRID_TO)*((('Dvd Calendar'!$AG$858&lt;=VAL_DATE)+(COUNTIF('Dvd Calendar'!$E$865:$AR$865,'Dvd Calendar'!$AG$858)=0))&gt;0)=0,"",'Dvd Calendar'!$AG$858*1000000000+ISNUMBER('Dvd Calendar'!$AG$861)*100000000+('Dvd Calendar'!$AG$863=SPECIAL_LBL)*10000000+(N('Dvd Calendar'!$AG$857)&gt;0)*(N('Dvd Calendar'!$AG$857)&lt;=VAL_SERIAL)*1000000+78*1000+29))</f>
        <v/>
      </c>
      <c r="FH89" s="39">
        <f>IF(N('Dvd Calendar'!$AH$858)=0,"",IF(('Dvd Calendar'!$AH$858&gt;=GRID_FROM)*('Dvd Calendar'!$AH$858&lt;=GRID_TO)*((('Dvd Calendar'!$AH$858&lt;=VAL_DATE)+(COUNTIF('Dvd Calendar'!$E$865:$AR$865,'Dvd Calendar'!$AH$858)=0))&gt;0)=0,"",'Dvd Calendar'!$AH$858*1000000000+ISNUMBER('Dvd Calendar'!$AH$861)*100000000+('Dvd Calendar'!$AH$863=SPECIAL_LBL)*10000000+(N('Dvd Calendar'!$AH$857)&gt;0)*(N('Dvd Calendar'!$AH$857)&lt;=VAL_SERIAL)*1000000+78*1000+30))</f>
        <v/>
      </c>
      <c r="FI89" s="39">
        <f>IF(N('Dvd Calendar'!$AI$858)=0,"",IF(('Dvd Calendar'!$AI$858&gt;=GRID_FROM)*('Dvd Calendar'!$AI$858&lt;=GRID_TO)*((('Dvd Calendar'!$AI$858&lt;=VAL_DATE)+(COUNTIF('Dvd Calendar'!$E$865:$AR$865,'Dvd Calendar'!$AI$858)=0))&gt;0)=0,"",'Dvd Calendar'!$AI$858*1000000000+ISNUMBER('Dvd Calendar'!$AI$861)*100000000+('Dvd Calendar'!$AI$863=SPECIAL_LBL)*10000000+(N('Dvd Calendar'!$AI$857)&gt;0)*(N('Dvd Calendar'!$AI$857)&lt;=VAL_SERIAL)*1000000+78*1000+31))</f>
        <v/>
      </c>
      <c r="FJ89" s="39">
        <f>IF(N('Dvd Calendar'!$AJ$858)=0,"",IF(('Dvd Calendar'!$AJ$858&gt;=GRID_FROM)*('Dvd Calendar'!$AJ$858&lt;=GRID_TO)*((('Dvd Calendar'!$AJ$858&lt;=VAL_DATE)+(COUNTIF('Dvd Calendar'!$E$865:$AR$865,'Dvd Calendar'!$AJ$858)=0))&gt;0)=0,"",'Dvd Calendar'!$AJ$858*1000000000+ISNUMBER('Dvd Calendar'!$AJ$861)*100000000+('Dvd Calendar'!$AJ$863=SPECIAL_LBL)*10000000+(N('Dvd Calendar'!$AJ$857)&gt;0)*(N('Dvd Calendar'!$AJ$857)&lt;=VAL_SERIAL)*1000000+78*1000+32))</f>
        <v/>
      </c>
      <c r="FK89" s="39">
        <f>IF(N('Dvd Calendar'!$AK$858)=0,"",IF(('Dvd Calendar'!$AK$858&gt;=GRID_FROM)*('Dvd Calendar'!$AK$858&lt;=GRID_TO)*((('Dvd Calendar'!$AK$858&lt;=VAL_DATE)+(COUNTIF('Dvd Calendar'!$E$865:$AR$865,'Dvd Calendar'!$AK$858)=0))&gt;0)=0,"",'Dvd Calendar'!$AK$858*1000000000+ISNUMBER('Dvd Calendar'!$AK$861)*100000000+('Dvd Calendar'!$AK$863=SPECIAL_LBL)*10000000+(N('Dvd Calendar'!$AK$857)&gt;0)*(N('Dvd Calendar'!$AK$857)&lt;=VAL_SERIAL)*1000000+78*1000+33))</f>
        <v/>
      </c>
      <c r="FL89" s="39">
        <f>IF(N('Dvd Calendar'!$AL$858)=0,"",IF(('Dvd Calendar'!$AL$858&gt;=GRID_FROM)*('Dvd Calendar'!$AL$858&lt;=GRID_TO)*((('Dvd Calendar'!$AL$858&lt;=VAL_DATE)+(COUNTIF('Dvd Calendar'!$E$865:$AR$865,'Dvd Calendar'!$AL$858)=0))&gt;0)=0,"",'Dvd Calendar'!$AL$858*1000000000+ISNUMBER('Dvd Calendar'!$AL$861)*100000000+('Dvd Calendar'!$AL$863=SPECIAL_LBL)*10000000+(N('Dvd Calendar'!$AL$857)&gt;0)*(N('Dvd Calendar'!$AL$857)&lt;=VAL_SERIAL)*1000000+78*1000+34))</f>
        <v/>
      </c>
      <c r="FM89" s="39">
        <f>IF(N('Dvd Calendar'!$AM$858)=0,"",IF(('Dvd Calendar'!$AM$858&gt;=GRID_FROM)*('Dvd Calendar'!$AM$858&lt;=GRID_TO)*((('Dvd Calendar'!$AM$858&lt;=VAL_DATE)+(COUNTIF('Dvd Calendar'!$E$865:$AR$865,'Dvd Calendar'!$AM$858)=0))&gt;0)=0,"",'Dvd Calendar'!$AM$858*1000000000+ISNUMBER('Dvd Calendar'!$AM$861)*100000000+('Dvd Calendar'!$AM$863=SPECIAL_LBL)*10000000+(N('Dvd Calendar'!$AM$857)&gt;0)*(N('Dvd Calendar'!$AM$857)&lt;=VAL_SERIAL)*1000000+78*1000+35))</f>
        <v/>
      </c>
      <c r="FN89" s="39">
        <f>IF(N('Dvd Calendar'!$AN$858)=0,"",IF(('Dvd Calendar'!$AN$858&gt;=GRID_FROM)*('Dvd Calendar'!$AN$858&lt;=GRID_TO)*((('Dvd Calendar'!$AN$858&lt;=VAL_DATE)+(COUNTIF('Dvd Calendar'!$E$865:$AR$865,'Dvd Calendar'!$AN$858)=0))&gt;0)=0,"",'Dvd Calendar'!$AN$858*1000000000+ISNUMBER('Dvd Calendar'!$AN$861)*100000000+('Dvd Calendar'!$AN$863=SPECIAL_LBL)*10000000+(N('Dvd Calendar'!$AN$857)&gt;0)*(N('Dvd Calendar'!$AN$857)&lt;=VAL_SERIAL)*1000000+78*1000+36))</f>
        <v/>
      </c>
      <c r="FO89" s="39">
        <f>IF(N('Dvd Calendar'!$AO$858)=0,"",IF(('Dvd Calendar'!$AO$858&gt;=GRID_FROM)*('Dvd Calendar'!$AO$858&lt;=GRID_TO)*((('Dvd Calendar'!$AO$858&lt;=VAL_DATE)+(COUNTIF('Dvd Calendar'!$E$865:$AR$865,'Dvd Calendar'!$AO$858)=0))&gt;0)=0,"",'Dvd Calendar'!$AO$858*1000000000+ISNUMBER('Dvd Calendar'!$AO$861)*100000000+('Dvd Calendar'!$AO$863=SPECIAL_LBL)*10000000+(N('Dvd Calendar'!$AO$857)&gt;0)*(N('Dvd Calendar'!$AO$857)&lt;=VAL_SERIAL)*1000000+78*1000+37))</f>
        <v/>
      </c>
      <c r="FP89" s="39">
        <f>IF(N('Dvd Calendar'!$AP$858)=0,"",IF(('Dvd Calendar'!$AP$858&gt;=GRID_FROM)*('Dvd Calendar'!$AP$858&lt;=GRID_TO)*((('Dvd Calendar'!$AP$858&lt;=VAL_DATE)+(COUNTIF('Dvd Calendar'!$E$865:$AR$865,'Dvd Calendar'!$AP$858)=0))&gt;0)=0,"",'Dvd Calendar'!$AP$858*1000000000+ISNUMBER('Dvd Calendar'!$AP$861)*100000000+('Dvd Calendar'!$AP$863=SPECIAL_LBL)*10000000+(N('Dvd Calendar'!$AP$857)&gt;0)*(N('Dvd Calendar'!$AP$857)&lt;=VAL_SERIAL)*1000000+78*1000+38))</f>
        <v/>
      </c>
      <c r="FQ89" s="39">
        <f>IF(N('Dvd Calendar'!$AQ$858)=0,"",IF(('Dvd Calendar'!$AQ$858&gt;=GRID_FROM)*('Dvd Calendar'!$AQ$858&lt;=GRID_TO)*((('Dvd Calendar'!$AQ$858&lt;=VAL_DATE)+(COUNTIF('Dvd Calendar'!$E$865:$AR$865,'Dvd Calendar'!$AQ$858)=0))&gt;0)=0,"",'Dvd Calendar'!$AQ$858*1000000000+ISNUMBER('Dvd Calendar'!$AQ$861)*100000000+('Dvd Calendar'!$AQ$863=SPECIAL_LBL)*10000000+(N('Dvd Calendar'!$AQ$857)&gt;0)*(N('Dvd Calendar'!$AQ$857)&lt;=VAL_SERIAL)*1000000+78*1000+39))</f>
        <v/>
      </c>
      <c r="FR89" s="39">
        <f>IF(N('Dvd Calendar'!$AR$858)=0,"",IF(('Dvd Calendar'!$AR$858&gt;=GRID_FROM)*('Dvd Calendar'!$AR$858&lt;=GRID_TO)*((('Dvd Calendar'!$AR$858&lt;=VAL_DATE)+(COUNTIF('Dvd Calendar'!$E$865:$AR$865,'Dvd Calendar'!$AR$858)=0))&gt;0)=0,"",'Dvd Calendar'!$AR$858*1000000000+ISNUMBER('Dvd Calendar'!$AR$861)*100000000+('Dvd Calendar'!$AR$863=SPECIAL_LBL)*10000000+(N('Dvd Calendar'!$AR$857)&gt;0)*(N('Dvd Calendar'!$AR$857)&lt;=VAL_SERIAL)*1000000+78*1000+40))</f>
        <v/>
      </c>
      <c r="FS89" s="39">
        <f>IF(N('Dvd Calendar'!$E$865)=0,"",IF(('Dvd Calendar'!$E$865&gt;=GRID_FROM)*('Dvd Calendar'!$E$865&lt;=GRID_TO)*('Dvd Calendar'!$E$865&gt;VAL_DATE)=0,"",'Dvd Calendar'!$E$865*1000000000+ISNUMBER('Dvd Calendar'!$E$866)*100000000+0*10000000+(N('Dvd Calendar'!$E$864)&gt;0)*(N('Dvd Calendar'!$E$864)&lt;=VAL_SERIAL)*1000000+78*1000+41))</f>
        <v/>
      </c>
      <c r="FT89" s="39">
        <f>IF(N('Dvd Calendar'!$F$865)=0,"",IF(('Dvd Calendar'!$F$865&gt;=GRID_FROM)*('Dvd Calendar'!$F$865&lt;=GRID_TO)*('Dvd Calendar'!$F$865&gt;VAL_DATE)=0,"",'Dvd Calendar'!$F$865*1000000000+ISNUMBER('Dvd Calendar'!$F$866)*100000000+0*10000000+(N('Dvd Calendar'!$F$864)&gt;0)*(N('Dvd Calendar'!$F$864)&lt;=VAL_SERIAL)*1000000+78*1000+42))</f>
        <v/>
      </c>
      <c r="FU89" s="39">
        <f>IF(N('Dvd Calendar'!$G$865)=0,"",IF(('Dvd Calendar'!$G$865&gt;=GRID_FROM)*('Dvd Calendar'!$G$865&lt;=GRID_TO)*('Dvd Calendar'!$G$865&gt;VAL_DATE)=0,"",'Dvd Calendar'!$G$865*1000000000+ISNUMBER('Dvd Calendar'!$G$866)*100000000+0*10000000+(N('Dvd Calendar'!$G$864)&gt;0)*(N('Dvd Calendar'!$G$864)&lt;=VAL_SERIAL)*1000000+78*1000+43))</f>
        <v/>
      </c>
      <c r="FV89" s="39">
        <f>IF(N('Dvd Calendar'!$H$865)=0,"",IF(('Dvd Calendar'!$H$865&gt;=GRID_FROM)*('Dvd Calendar'!$H$865&lt;=GRID_TO)*('Dvd Calendar'!$H$865&gt;VAL_DATE)=0,"",'Dvd Calendar'!$H$865*1000000000+ISNUMBER('Dvd Calendar'!$H$866)*100000000+0*10000000+(N('Dvd Calendar'!$H$864)&gt;0)*(N('Dvd Calendar'!$H$864)&lt;=VAL_SERIAL)*1000000+78*1000+44))</f>
        <v/>
      </c>
      <c r="FW89" s="39">
        <f>IF(N('Dvd Calendar'!$I$865)=0,"",IF(('Dvd Calendar'!$I$865&gt;=GRID_FROM)*('Dvd Calendar'!$I$865&lt;=GRID_TO)*('Dvd Calendar'!$I$865&gt;VAL_DATE)=0,"",'Dvd Calendar'!$I$865*1000000000+ISNUMBER('Dvd Calendar'!$I$866)*100000000+0*10000000+(N('Dvd Calendar'!$I$864)&gt;0)*(N('Dvd Calendar'!$I$864)&lt;=VAL_SERIAL)*1000000+78*1000+45))</f>
        <v/>
      </c>
      <c r="FX89" s="39">
        <f>IF(N('Dvd Calendar'!$J$865)=0,"",IF(('Dvd Calendar'!$J$865&gt;=GRID_FROM)*('Dvd Calendar'!$J$865&lt;=GRID_TO)*('Dvd Calendar'!$J$865&gt;VAL_DATE)=0,"",'Dvd Calendar'!$J$865*1000000000+ISNUMBER('Dvd Calendar'!$J$866)*100000000+0*10000000+(N('Dvd Calendar'!$J$864)&gt;0)*(N('Dvd Calendar'!$J$864)&lt;=VAL_SERIAL)*1000000+78*1000+46))</f>
        <v/>
      </c>
      <c r="FY89" s="39">
        <f>IF(N('Dvd Calendar'!$K$865)=0,"",IF(('Dvd Calendar'!$K$865&gt;=GRID_FROM)*('Dvd Calendar'!$K$865&lt;=GRID_TO)*('Dvd Calendar'!$K$865&gt;VAL_DATE)=0,"",'Dvd Calendar'!$K$865*1000000000+ISNUMBER('Dvd Calendar'!$K$866)*100000000+0*10000000+(N('Dvd Calendar'!$K$864)&gt;0)*(N('Dvd Calendar'!$K$864)&lt;=VAL_SERIAL)*1000000+78*1000+47))</f>
        <v/>
      </c>
      <c r="FZ89" s="39">
        <f>IF(N('Dvd Calendar'!$L$865)=0,"",IF(('Dvd Calendar'!$L$865&gt;=GRID_FROM)*('Dvd Calendar'!$L$865&lt;=GRID_TO)*('Dvd Calendar'!$L$865&gt;VAL_DATE)=0,"",'Dvd Calendar'!$L$865*1000000000+ISNUMBER('Dvd Calendar'!$L$866)*100000000+0*10000000+(N('Dvd Calendar'!$L$864)&gt;0)*(N('Dvd Calendar'!$L$864)&lt;=VAL_SERIAL)*1000000+78*1000+48))</f>
        <v/>
      </c>
      <c r="GA89" s="39">
        <f>IF(N('Dvd Calendar'!$M$865)=0,"",IF(('Dvd Calendar'!$M$865&gt;=GRID_FROM)*('Dvd Calendar'!$M$865&lt;=GRID_TO)*('Dvd Calendar'!$M$865&gt;VAL_DATE)=0,"",'Dvd Calendar'!$M$865*1000000000+ISNUMBER('Dvd Calendar'!$M$866)*100000000+0*10000000+(N('Dvd Calendar'!$M$864)&gt;0)*(N('Dvd Calendar'!$M$864)&lt;=VAL_SERIAL)*1000000+78*1000+49))</f>
        <v/>
      </c>
      <c r="GB89" s="39">
        <f>IF(N('Dvd Calendar'!$N$865)=0,"",IF(('Dvd Calendar'!$N$865&gt;=GRID_FROM)*('Dvd Calendar'!$N$865&lt;=GRID_TO)*('Dvd Calendar'!$N$865&gt;VAL_DATE)=0,"",'Dvd Calendar'!$N$865*1000000000+ISNUMBER('Dvd Calendar'!$N$866)*100000000+0*10000000+(N('Dvd Calendar'!$N$864)&gt;0)*(N('Dvd Calendar'!$N$864)&lt;=VAL_SERIAL)*1000000+78*1000+50))</f>
        <v/>
      </c>
      <c r="GC89" s="39">
        <f>IF(N('Dvd Calendar'!$O$865)=0,"",IF(('Dvd Calendar'!$O$865&gt;=GRID_FROM)*('Dvd Calendar'!$O$865&lt;=GRID_TO)*('Dvd Calendar'!$O$865&gt;VAL_DATE)=0,"",'Dvd Calendar'!$O$865*1000000000+ISNUMBER('Dvd Calendar'!$O$866)*100000000+0*10000000+(N('Dvd Calendar'!$O$864)&gt;0)*(N('Dvd Calendar'!$O$864)&lt;=VAL_SERIAL)*1000000+78*1000+51))</f>
        <v/>
      </c>
      <c r="GD89" s="39">
        <f>IF(N('Dvd Calendar'!$P$865)=0,"",IF(('Dvd Calendar'!$P$865&gt;=GRID_FROM)*('Dvd Calendar'!$P$865&lt;=GRID_TO)*('Dvd Calendar'!$P$865&gt;VAL_DATE)=0,"",'Dvd Calendar'!$P$865*1000000000+ISNUMBER('Dvd Calendar'!$P$866)*100000000+0*10000000+(N('Dvd Calendar'!$P$864)&gt;0)*(N('Dvd Calendar'!$P$864)&lt;=VAL_SERIAL)*1000000+78*1000+52))</f>
        <v/>
      </c>
      <c r="GE89" s="39">
        <f>IF(N('Dvd Calendar'!$Q$865)=0,"",IF(('Dvd Calendar'!$Q$865&gt;=GRID_FROM)*('Dvd Calendar'!$Q$865&lt;=GRID_TO)*('Dvd Calendar'!$Q$865&gt;VAL_DATE)=0,"",'Dvd Calendar'!$Q$865*1000000000+ISNUMBER('Dvd Calendar'!$Q$866)*100000000+0*10000000+(N('Dvd Calendar'!$Q$864)&gt;0)*(N('Dvd Calendar'!$Q$864)&lt;=VAL_SERIAL)*1000000+78*1000+53))</f>
        <v/>
      </c>
      <c r="GF89" s="39">
        <f>IF(N('Dvd Calendar'!$R$865)=0,"",IF(('Dvd Calendar'!$R$865&gt;=GRID_FROM)*('Dvd Calendar'!$R$865&lt;=GRID_TO)*('Dvd Calendar'!$R$865&gt;VAL_DATE)=0,"",'Dvd Calendar'!$R$865*1000000000+ISNUMBER('Dvd Calendar'!$R$866)*100000000+0*10000000+(N('Dvd Calendar'!$R$864)&gt;0)*(N('Dvd Calendar'!$R$864)&lt;=VAL_SERIAL)*1000000+78*1000+54))</f>
        <v/>
      </c>
      <c r="GG89" s="39">
        <f>IF(N('Dvd Calendar'!$S$865)=0,"",IF(('Dvd Calendar'!$S$865&gt;=GRID_FROM)*('Dvd Calendar'!$S$865&lt;=GRID_TO)*('Dvd Calendar'!$S$865&gt;VAL_DATE)=0,"",'Dvd Calendar'!$S$865*1000000000+ISNUMBER('Dvd Calendar'!$S$866)*100000000+0*10000000+(N('Dvd Calendar'!$S$864)&gt;0)*(N('Dvd Calendar'!$S$864)&lt;=VAL_SERIAL)*1000000+78*1000+55))</f>
        <v/>
      </c>
      <c r="GH89" s="39">
        <f>IF(N('Dvd Calendar'!$T$865)=0,"",IF(('Dvd Calendar'!$T$865&gt;=GRID_FROM)*('Dvd Calendar'!$T$865&lt;=GRID_TO)*('Dvd Calendar'!$T$865&gt;VAL_DATE)=0,"",'Dvd Calendar'!$T$865*1000000000+ISNUMBER('Dvd Calendar'!$T$866)*100000000+0*10000000+(N('Dvd Calendar'!$T$864)&gt;0)*(N('Dvd Calendar'!$T$864)&lt;=VAL_SERIAL)*1000000+78*1000+56))</f>
        <v/>
      </c>
      <c r="GI89" s="39">
        <f>IF(N('Dvd Calendar'!$U$865)=0,"",IF(('Dvd Calendar'!$U$865&gt;=GRID_FROM)*('Dvd Calendar'!$U$865&lt;=GRID_TO)*('Dvd Calendar'!$U$865&gt;VAL_DATE)=0,"",'Dvd Calendar'!$U$865*1000000000+ISNUMBER('Dvd Calendar'!$U$866)*100000000+0*10000000+(N('Dvd Calendar'!$U$864)&gt;0)*(N('Dvd Calendar'!$U$864)&lt;=VAL_SERIAL)*1000000+78*1000+57))</f>
        <v/>
      </c>
      <c r="GJ89" s="39">
        <f>IF(N('Dvd Calendar'!$V$865)=0,"",IF(('Dvd Calendar'!$V$865&gt;=GRID_FROM)*('Dvd Calendar'!$V$865&lt;=GRID_TO)*('Dvd Calendar'!$V$865&gt;VAL_DATE)=0,"",'Dvd Calendar'!$V$865*1000000000+ISNUMBER('Dvd Calendar'!$V$866)*100000000+0*10000000+(N('Dvd Calendar'!$V$864)&gt;0)*(N('Dvd Calendar'!$V$864)&lt;=VAL_SERIAL)*1000000+78*1000+58))</f>
        <v/>
      </c>
      <c r="GK89" s="39">
        <f>IF(N('Dvd Calendar'!$W$865)=0,"",IF(('Dvd Calendar'!$W$865&gt;=GRID_FROM)*('Dvd Calendar'!$W$865&lt;=GRID_TO)*('Dvd Calendar'!$W$865&gt;VAL_DATE)=0,"",'Dvd Calendar'!$W$865*1000000000+ISNUMBER('Dvd Calendar'!$W$866)*100000000+0*10000000+(N('Dvd Calendar'!$W$864)&gt;0)*(N('Dvd Calendar'!$W$864)&lt;=VAL_SERIAL)*1000000+78*1000+59))</f>
        <v/>
      </c>
      <c r="GL89" s="39">
        <f>IF(N('Dvd Calendar'!$X$865)=0,"",IF(('Dvd Calendar'!$X$865&gt;=GRID_FROM)*('Dvd Calendar'!$X$865&lt;=GRID_TO)*('Dvd Calendar'!$X$865&gt;VAL_DATE)=0,"",'Dvd Calendar'!$X$865*1000000000+ISNUMBER('Dvd Calendar'!$X$866)*100000000+0*10000000+(N('Dvd Calendar'!$X$864)&gt;0)*(N('Dvd Calendar'!$X$864)&lt;=VAL_SERIAL)*1000000+78*1000+60))</f>
        <v/>
      </c>
      <c r="GM89" s="39">
        <f>IF(N('Dvd Calendar'!$Y$865)=0,"",IF(('Dvd Calendar'!$Y$865&gt;=GRID_FROM)*('Dvd Calendar'!$Y$865&lt;=GRID_TO)*('Dvd Calendar'!$Y$865&gt;VAL_DATE)=0,"",'Dvd Calendar'!$Y$865*1000000000+ISNUMBER('Dvd Calendar'!$Y$866)*100000000+0*10000000+(N('Dvd Calendar'!$Y$864)&gt;0)*(N('Dvd Calendar'!$Y$864)&lt;=VAL_SERIAL)*1000000+78*1000+61))</f>
        <v/>
      </c>
      <c r="GN89" s="39">
        <f>IF(N('Dvd Calendar'!$Z$865)=0,"",IF(('Dvd Calendar'!$Z$865&gt;=GRID_FROM)*('Dvd Calendar'!$Z$865&lt;=GRID_TO)*('Dvd Calendar'!$Z$865&gt;VAL_DATE)=0,"",'Dvd Calendar'!$Z$865*1000000000+ISNUMBER('Dvd Calendar'!$Z$866)*100000000+0*10000000+(N('Dvd Calendar'!$Z$864)&gt;0)*(N('Dvd Calendar'!$Z$864)&lt;=VAL_SERIAL)*1000000+78*1000+62))</f>
        <v/>
      </c>
      <c r="GO89" s="39">
        <f>IF(N('Dvd Calendar'!$AA$865)=0,"",IF(('Dvd Calendar'!$AA$865&gt;=GRID_FROM)*('Dvd Calendar'!$AA$865&lt;=GRID_TO)*('Dvd Calendar'!$AA$865&gt;VAL_DATE)=0,"",'Dvd Calendar'!$AA$865*1000000000+ISNUMBER('Dvd Calendar'!$AA$866)*100000000+0*10000000+(N('Dvd Calendar'!$AA$864)&gt;0)*(N('Dvd Calendar'!$AA$864)&lt;=VAL_SERIAL)*1000000+78*1000+63))</f>
        <v/>
      </c>
      <c r="GP89" s="39">
        <f>IF(N('Dvd Calendar'!$AB$865)=0,"",IF(('Dvd Calendar'!$AB$865&gt;=GRID_FROM)*('Dvd Calendar'!$AB$865&lt;=GRID_TO)*('Dvd Calendar'!$AB$865&gt;VAL_DATE)=0,"",'Dvd Calendar'!$AB$865*1000000000+ISNUMBER('Dvd Calendar'!$AB$866)*100000000+0*10000000+(N('Dvd Calendar'!$AB$864)&gt;0)*(N('Dvd Calendar'!$AB$864)&lt;=VAL_SERIAL)*1000000+78*1000+64))</f>
        <v/>
      </c>
      <c r="GQ89" s="39">
        <f>IF(N('Dvd Calendar'!$AC$865)=0,"",IF(('Dvd Calendar'!$AC$865&gt;=GRID_FROM)*('Dvd Calendar'!$AC$865&lt;=GRID_TO)*('Dvd Calendar'!$AC$865&gt;VAL_DATE)=0,"",'Dvd Calendar'!$AC$865*1000000000+ISNUMBER('Dvd Calendar'!$AC$866)*100000000+0*10000000+(N('Dvd Calendar'!$AC$864)&gt;0)*(N('Dvd Calendar'!$AC$864)&lt;=VAL_SERIAL)*1000000+78*1000+65))</f>
        <v/>
      </c>
    </row>
    <row r="90">
      <c r="B90" s="2">
        <f>IF(HSI!$C$85="","",HSI!$C$85)</f>
        <v/>
      </c>
      <c r="C90" s="110">
        <f>IF(EE90="","",IF(ISNUMBER('Dvd Calendar'!$E$872)=FALSE,"",IF((('Dvd Calendar'!$E$874=TYPE1)*(TYPE1&lt;&gt;"")+('Dvd Calendar'!$E$874=TYPE2)*(TYPE2&lt;&gt;"")+('Dvd Calendar'!$E$874=TYPE3)*(TYPE3&lt;&gt;"")+('Dvd Calendar'!$E$874=TYPE4)*(TYPE4&lt;&gt;"")+('Dvd Calendar'!$E$874=SPECIAL_LBL)*(INC_SPECIALS="Y"))=0,"",'Dvd Calendar'!$E$872)))</f>
        <v/>
      </c>
      <c r="D90" s="110">
        <f>IF(EF90="","",IF(ISNUMBER('Dvd Calendar'!$F$872)=FALSE,"",IF((('Dvd Calendar'!$F$874=TYPE1)*(TYPE1&lt;&gt;"")+('Dvd Calendar'!$F$874=TYPE2)*(TYPE2&lt;&gt;"")+('Dvd Calendar'!$F$874=TYPE3)*(TYPE3&lt;&gt;"")+('Dvd Calendar'!$F$874=TYPE4)*(TYPE4&lt;&gt;"")+('Dvd Calendar'!$F$874=SPECIAL_LBL)*(INC_SPECIALS="Y"))=0,"",'Dvd Calendar'!$F$872)))</f>
        <v/>
      </c>
      <c r="E90" s="110">
        <f>IF(EG90="","",IF(ISNUMBER('Dvd Calendar'!$G$872)=FALSE,"",IF((('Dvd Calendar'!$G$874=TYPE1)*(TYPE1&lt;&gt;"")+('Dvd Calendar'!$G$874=TYPE2)*(TYPE2&lt;&gt;"")+('Dvd Calendar'!$G$874=TYPE3)*(TYPE3&lt;&gt;"")+('Dvd Calendar'!$G$874=TYPE4)*(TYPE4&lt;&gt;"")+('Dvd Calendar'!$G$874=SPECIAL_LBL)*(INC_SPECIALS="Y"))=0,"",'Dvd Calendar'!$G$872)))</f>
        <v/>
      </c>
      <c r="F90" s="110">
        <f>IF(EH90="","",IF(ISNUMBER('Dvd Calendar'!$H$872)=FALSE,"",IF((('Dvd Calendar'!$H$874=TYPE1)*(TYPE1&lt;&gt;"")+('Dvd Calendar'!$H$874=TYPE2)*(TYPE2&lt;&gt;"")+('Dvd Calendar'!$H$874=TYPE3)*(TYPE3&lt;&gt;"")+('Dvd Calendar'!$H$874=TYPE4)*(TYPE4&lt;&gt;"")+('Dvd Calendar'!$H$874=SPECIAL_LBL)*(INC_SPECIALS="Y"))=0,"",'Dvd Calendar'!$H$872)))</f>
        <v/>
      </c>
      <c r="G90" s="110">
        <f>IF(EI90="","",IF(ISNUMBER('Dvd Calendar'!$I$872)=FALSE,"",IF((('Dvd Calendar'!$I$874=TYPE1)*(TYPE1&lt;&gt;"")+('Dvd Calendar'!$I$874=TYPE2)*(TYPE2&lt;&gt;"")+('Dvd Calendar'!$I$874=TYPE3)*(TYPE3&lt;&gt;"")+('Dvd Calendar'!$I$874=TYPE4)*(TYPE4&lt;&gt;"")+('Dvd Calendar'!$I$874=SPECIAL_LBL)*(INC_SPECIALS="Y"))=0,"",'Dvd Calendar'!$I$872)))</f>
        <v/>
      </c>
      <c r="H90" s="110">
        <f>IF(EJ90="","",IF(ISNUMBER('Dvd Calendar'!$J$872)=FALSE,"",IF((('Dvd Calendar'!$J$874=TYPE1)*(TYPE1&lt;&gt;"")+('Dvd Calendar'!$J$874=TYPE2)*(TYPE2&lt;&gt;"")+('Dvd Calendar'!$J$874=TYPE3)*(TYPE3&lt;&gt;"")+('Dvd Calendar'!$J$874=TYPE4)*(TYPE4&lt;&gt;"")+('Dvd Calendar'!$J$874=SPECIAL_LBL)*(INC_SPECIALS="Y"))=0,"",'Dvd Calendar'!$J$872)))</f>
        <v/>
      </c>
      <c r="I90" s="110">
        <f>IF(EK90="","",IF(ISNUMBER('Dvd Calendar'!$K$872)=FALSE,"",IF((('Dvd Calendar'!$K$874=TYPE1)*(TYPE1&lt;&gt;"")+('Dvd Calendar'!$K$874=TYPE2)*(TYPE2&lt;&gt;"")+('Dvd Calendar'!$K$874=TYPE3)*(TYPE3&lt;&gt;"")+('Dvd Calendar'!$K$874=TYPE4)*(TYPE4&lt;&gt;"")+('Dvd Calendar'!$K$874=SPECIAL_LBL)*(INC_SPECIALS="Y"))=0,"",'Dvd Calendar'!$K$872)))</f>
        <v/>
      </c>
      <c r="J90" s="110">
        <f>IF(EL90="","",IF(ISNUMBER('Dvd Calendar'!$L$872)=FALSE,"",IF((('Dvd Calendar'!$L$874=TYPE1)*(TYPE1&lt;&gt;"")+('Dvd Calendar'!$L$874=TYPE2)*(TYPE2&lt;&gt;"")+('Dvd Calendar'!$L$874=TYPE3)*(TYPE3&lt;&gt;"")+('Dvd Calendar'!$L$874=TYPE4)*(TYPE4&lt;&gt;"")+('Dvd Calendar'!$L$874=SPECIAL_LBL)*(INC_SPECIALS="Y"))=0,"",'Dvd Calendar'!$L$872)))</f>
        <v/>
      </c>
      <c r="K90" s="110">
        <f>IF(EM90="","",IF(ISNUMBER('Dvd Calendar'!$M$872)=FALSE,"",IF((('Dvd Calendar'!$M$874=TYPE1)*(TYPE1&lt;&gt;"")+('Dvd Calendar'!$M$874=TYPE2)*(TYPE2&lt;&gt;"")+('Dvd Calendar'!$M$874=TYPE3)*(TYPE3&lt;&gt;"")+('Dvd Calendar'!$M$874=TYPE4)*(TYPE4&lt;&gt;"")+('Dvd Calendar'!$M$874=SPECIAL_LBL)*(INC_SPECIALS="Y"))=0,"",'Dvd Calendar'!$M$872)))</f>
        <v/>
      </c>
      <c r="L90" s="110">
        <f>IF(EN90="","",IF(ISNUMBER('Dvd Calendar'!$N$872)=FALSE,"",IF((('Dvd Calendar'!$N$874=TYPE1)*(TYPE1&lt;&gt;"")+('Dvd Calendar'!$N$874=TYPE2)*(TYPE2&lt;&gt;"")+('Dvd Calendar'!$N$874=TYPE3)*(TYPE3&lt;&gt;"")+('Dvd Calendar'!$N$874=TYPE4)*(TYPE4&lt;&gt;"")+('Dvd Calendar'!$N$874=SPECIAL_LBL)*(INC_SPECIALS="Y"))=0,"",'Dvd Calendar'!$N$872)))</f>
        <v/>
      </c>
      <c r="M90" s="110">
        <f>IF(EO90="","",IF(ISNUMBER('Dvd Calendar'!$O$872)=FALSE,"",IF((('Dvd Calendar'!$O$874=TYPE1)*(TYPE1&lt;&gt;"")+('Dvd Calendar'!$O$874=TYPE2)*(TYPE2&lt;&gt;"")+('Dvd Calendar'!$O$874=TYPE3)*(TYPE3&lt;&gt;"")+('Dvd Calendar'!$O$874=TYPE4)*(TYPE4&lt;&gt;"")+('Dvd Calendar'!$O$874=SPECIAL_LBL)*(INC_SPECIALS="Y"))=0,"",'Dvd Calendar'!$O$872)))</f>
        <v/>
      </c>
      <c r="N90" s="110">
        <f>IF(EP90="","",IF(ISNUMBER('Dvd Calendar'!$P$872)=FALSE,"",IF((('Dvd Calendar'!$P$874=TYPE1)*(TYPE1&lt;&gt;"")+('Dvd Calendar'!$P$874=TYPE2)*(TYPE2&lt;&gt;"")+('Dvd Calendar'!$P$874=TYPE3)*(TYPE3&lt;&gt;"")+('Dvd Calendar'!$P$874=TYPE4)*(TYPE4&lt;&gt;"")+('Dvd Calendar'!$P$874=SPECIAL_LBL)*(INC_SPECIALS="Y"))=0,"",'Dvd Calendar'!$P$872)))</f>
        <v/>
      </c>
      <c r="O90" s="110">
        <f>IF(EQ90="","",IF(ISNUMBER('Dvd Calendar'!$Q$872)=FALSE,"",IF((('Dvd Calendar'!$Q$874=TYPE1)*(TYPE1&lt;&gt;"")+('Dvd Calendar'!$Q$874=TYPE2)*(TYPE2&lt;&gt;"")+('Dvd Calendar'!$Q$874=TYPE3)*(TYPE3&lt;&gt;"")+('Dvd Calendar'!$Q$874=TYPE4)*(TYPE4&lt;&gt;"")+('Dvd Calendar'!$Q$874=SPECIAL_LBL)*(INC_SPECIALS="Y"))=0,"",'Dvd Calendar'!$Q$872)))</f>
        <v/>
      </c>
      <c r="P90" s="110">
        <f>IF(ER90="","",IF(ISNUMBER('Dvd Calendar'!$R$872)=FALSE,"",IF((('Dvd Calendar'!$R$874=TYPE1)*(TYPE1&lt;&gt;"")+('Dvd Calendar'!$R$874=TYPE2)*(TYPE2&lt;&gt;"")+('Dvd Calendar'!$R$874=TYPE3)*(TYPE3&lt;&gt;"")+('Dvd Calendar'!$R$874=TYPE4)*(TYPE4&lt;&gt;"")+('Dvd Calendar'!$R$874=SPECIAL_LBL)*(INC_SPECIALS="Y"))=0,"",'Dvd Calendar'!$R$872)))</f>
        <v/>
      </c>
      <c r="Q90" s="110">
        <f>IF(ES90="","",IF(ISNUMBER('Dvd Calendar'!$S$872)=FALSE,"",IF((('Dvd Calendar'!$S$874=TYPE1)*(TYPE1&lt;&gt;"")+('Dvd Calendar'!$S$874=TYPE2)*(TYPE2&lt;&gt;"")+('Dvd Calendar'!$S$874=TYPE3)*(TYPE3&lt;&gt;"")+('Dvd Calendar'!$S$874=TYPE4)*(TYPE4&lt;&gt;"")+('Dvd Calendar'!$S$874=SPECIAL_LBL)*(INC_SPECIALS="Y"))=0,"",'Dvd Calendar'!$S$872)))</f>
        <v/>
      </c>
      <c r="R90" s="110">
        <f>IF(ET90="","",IF(ISNUMBER('Dvd Calendar'!$T$872)=FALSE,"",IF((('Dvd Calendar'!$T$874=TYPE1)*(TYPE1&lt;&gt;"")+('Dvd Calendar'!$T$874=TYPE2)*(TYPE2&lt;&gt;"")+('Dvd Calendar'!$T$874=TYPE3)*(TYPE3&lt;&gt;"")+('Dvd Calendar'!$T$874=TYPE4)*(TYPE4&lt;&gt;"")+('Dvd Calendar'!$T$874=SPECIAL_LBL)*(INC_SPECIALS="Y"))=0,"",'Dvd Calendar'!$T$872)))</f>
        <v/>
      </c>
      <c r="S90" s="110">
        <f>IF(EU90="","",IF(ISNUMBER('Dvd Calendar'!$U$872)=FALSE,"",IF((('Dvd Calendar'!$U$874=TYPE1)*(TYPE1&lt;&gt;"")+('Dvd Calendar'!$U$874=TYPE2)*(TYPE2&lt;&gt;"")+('Dvd Calendar'!$U$874=TYPE3)*(TYPE3&lt;&gt;"")+('Dvd Calendar'!$U$874=TYPE4)*(TYPE4&lt;&gt;"")+('Dvd Calendar'!$U$874=SPECIAL_LBL)*(INC_SPECIALS="Y"))=0,"",'Dvd Calendar'!$U$872)))</f>
        <v/>
      </c>
      <c r="T90" s="110">
        <f>IF(EV90="","",IF(ISNUMBER('Dvd Calendar'!$V$872)=FALSE,"",IF((('Dvd Calendar'!$V$874=TYPE1)*(TYPE1&lt;&gt;"")+('Dvd Calendar'!$V$874=TYPE2)*(TYPE2&lt;&gt;"")+('Dvd Calendar'!$V$874=TYPE3)*(TYPE3&lt;&gt;"")+('Dvd Calendar'!$V$874=TYPE4)*(TYPE4&lt;&gt;"")+('Dvd Calendar'!$V$874=SPECIAL_LBL)*(INC_SPECIALS="Y"))=0,"",'Dvd Calendar'!$V$872)))</f>
        <v/>
      </c>
      <c r="U90" s="110">
        <f>IF(EW90="","",IF(ISNUMBER('Dvd Calendar'!$W$872)=FALSE,"",IF((('Dvd Calendar'!$W$874=TYPE1)*(TYPE1&lt;&gt;"")+('Dvd Calendar'!$W$874=TYPE2)*(TYPE2&lt;&gt;"")+('Dvd Calendar'!$W$874=TYPE3)*(TYPE3&lt;&gt;"")+('Dvd Calendar'!$W$874=TYPE4)*(TYPE4&lt;&gt;"")+('Dvd Calendar'!$W$874=SPECIAL_LBL)*(INC_SPECIALS="Y"))=0,"",'Dvd Calendar'!$W$872)))</f>
        <v/>
      </c>
      <c r="V90" s="110">
        <f>IF(EX90="","",IF(ISNUMBER('Dvd Calendar'!$X$872)=FALSE,"",IF((('Dvd Calendar'!$X$874=TYPE1)*(TYPE1&lt;&gt;"")+('Dvd Calendar'!$X$874=TYPE2)*(TYPE2&lt;&gt;"")+('Dvd Calendar'!$X$874=TYPE3)*(TYPE3&lt;&gt;"")+('Dvd Calendar'!$X$874=TYPE4)*(TYPE4&lt;&gt;"")+('Dvd Calendar'!$X$874=SPECIAL_LBL)*(INC_SPECIALS="Y"))=0,"",'Dvd Calendar'!$X$872)))</f>
        <v/>
      </c>
      <c r="W90" s="110">
        <f>IF(EY90="","",IF(ISNUMBER('Dvd Calendar'!$Y$872)=FALSE,"",IF((('Dvd Calendar'!$Y$874=TYPE1)*(TYPE1&lt;&gt;"")+('Dvd Calendar'!$Y$874=TYPE2)*(TYPE2&lt;&gt;"")+('Dvd Calendar'!$Y$874=TYPE3)*(TYPE3&lt;&gt;"")+('Dvd Calendar'!$Y$874=TYPE4)*(TYPE4&lt;&gt;"")+('Dvd Calendar'!$Y$874=SPECIAL_LBL)*(INC_SPECIALS="Y"))=0,"",'Dvd Calendar'!$Y$872)))</f>
        <v/>
      </c>
      <c r="X90" s="110">
        <f>IF(EZ90="","",IF(ISNUMBER('Dvd Calendar'!$Z$872)=FALSE,"",IF((('Dvd Calendar'!$Z$874=TYPE1)*(TYPE1&lt;&gt;"")+('Dvd Calendar'!$Z$874=TYPE2)*(TYPE2&lt;&gt;"")+('Dvd Calendar'!$Z$874=TYPE3)*(TYPE3&lt;&gt;"")+('Dvd Calendar'!$Z$874=TYPE4)*(TYPE4&lt;&gt;"")+('Dvd Calendar'!$Z$874=SPECIAL_LBL)*(INC_SPECIALS="Y"))=0,"",'Dvd Calendar'!$Z$872)))</f>
        <v/>
      </c>
      <c r="Y90" s="110">
        <f>IF(FA90="","",IF(ISNUMBER('Dvd Calendar'!$AA$872)=FALSE,"",IF((('Dvd Calendar'!$AA$874=TYPE1)*(TYPE1&lt;&gt;"")+('Dvd Calendar'!$AA$874=TYPE2)*(TYPE2&lt;&gt;"")+('Dvd Calendar'!$AA$874=TYPE3)*(TYPE3&lt;&gt;"")+('Dvd Calendar'!$AA$874=TYPE4)*(TYPE4&lt;&gt;"")+('Dvd Calendar'!$AA$874=SPECIAL_LBL)*(INC_SPECIALS="Y"))=0,"",'Dvd Calendar'!$AA$872)))</f>
        <v/>
      </c>
      <c r="Z90" s="110">
        <f>IF(FB90="","",IF(ISNUMBER('Dvd Calendar'!$AB$872)=FALSE,"",IF((('Dvd Calendar'!$AB$874=TYPE1)*(TYPE1&lt;&gt;"")+('Dvd Calendar'!$AB$874=TYPE2)*(TYPE2&lt;&gt;"")+('Dvd Calendar'!$AB$874=TYPE3)*(TYPE3&lt;&gt;"")+('Dvd Calendar'!$AB$874=TYPE4)*(TYPE4&lt;&gt;"")+('Dvd Calendar'!$AB$874=SPECIAL_LBL)*(INC_SPECIALS="Y"))=0,"",'Dvd Calendar'!$AB$872)))</f>
        <v/>
      </c>
      <c r="AA90" s="110">
        <f>IF(FC90="","",IF(ISNUMBER('Dvd Calendar'!$AC$872)=FALSE,"",IF((('Dvd Calendar'!$AC$874=TYPE1)*(TYPE1&lt;&gt;"")+('Dvd Calendar'!$AC$874=TYPE2)*(TYPE2&lt;&gt;"")+('Dvd Calendar'!$AC$874=TYPE3)*(TYPE3&lt;&gt;"")+('Dvd Calendar'!$AC$874=TYPE4)*(TYPE4&lt;&gt;"")+('Dvd Calendar'!$AC$874=SPECIAL_LBL)*(INC_SPECIALS="Y"))=0,"",'Dvd Calendar'!$AC$872)))</f>
        <v/>
      </c>
      <c r="AB90" s="110">
        <f>IF(FD90="","",IF(ISNUMBER('Dvd Calendar'!$AD$872)=FALSE,"",IF((('Dvd Calendar'!$AD$874=TYPE1)*(TYPE1&lt;&gt;"")+('Dvd Calendar'!$AD$874=TYPE2)*(TYPE2&lt;&gt;"")+('Dvd Calendar'!$AD$874=TYPE3)*(TYPE3&lt;&gt;"")+('Dvd Calendar'!$AD$874=TYPE4)*(TYPE4&lt;&gt;"")+('Dvd Calendar'!$AD$874=SPECIAL_LBL)*(INC_SPECIALS="Y"))=0,"",'Dvd Calendar'!$AD$872)))</f>
        <v/>
      </c>
      <c r="AC90" s="110">
        <f>IF(FE90="","",IF(ISNUMBER('Dvd Calendar'!$AE$872)=FALSE,"",IF((('Dvd Calendar'!$AE$874=TYPE1)*(TYPE1&lt;&gt;"")+('Dvd Calendar'!$AE$874=TYPE2)*(TYPE2&lt;&gt;"")+('Dvd Calendar'!$AE$874=TYPE3)*(TYPE3&lt;&gt;"")+('Dvd Calendar'!$AE$874=TYPE4)*(TYPE4&lt;&gt;"")+('Dvd Calendar'!$AE$874=SPECIAL_LBL)*(INC_SPECIALS="Y"))=0,"",'Dvd Calendar'!$AE$872)))</f>
        <v/>
      </c>
      <c r="AD90" s="110">
        <f>IF(FF90="","",IF(ISNUMBER('Dvd Calendar'!$AF$872)=FALSE,"",IF((('Dvd Calendar'!$AF$874=TYPE1)*(TYPE1&lt;&gt;"")+('Dvd Calendar'!$AF$874=TYPE2)*(TYPE2&lt;&gt;"")+('Dvd Calendar'!$AF$874=TYPE3)*(TYPE3&lt;&gt;"")+('Dvd Calendar'!$AF$874=TYPE4)*(TYPE4&lt;&gt;"")+('Dvd Calendar'!$AF$874=SPECIAL_LBL)*(INC_SPECIALS="Y"))=0,"",'Dvd Calendar'!$AF$872)))</f>
        <v/>
      </c>
      <c r="AE90" s="110">
        <f>IF(FG90="","",IF(ISNUMBER('Dvd Calendar'!$AG$872)=FALSE,"",IF((('Dvd Calendar'!$AG$874=TYPE1)*(TYPE1&lt;&gt;"")+('Dvd Calendar'!$AG$874=TYPE2)*(TYPE2&lt;&gt;"")+('Dvd Calendar'!$AG$874=TYPE3)*(TYPE3&lt;&gt;"")+('Dvd Calendar'!$AG$874=TYPE4)*(TYPE4&lt;&gt;"")+('Dvd Calendar'!$AG$874=SPECIAL_LBL)*(INC_SPECIALS="Y"))=0,"",'Dvd Calendar'!$AG$872)))</f>
        <v/>
      </c>
      <c r="AF90" s="110">
        <f>IF(FH90="","",IF(ISNUMBER('Dvd Calendar'!$AH$872)=FALSE,"",IF((('Dvd Calendar'!$AH$874=TYPE1)*(TYPE1&lt;&gt;"")+('Dvd Calendar'!$AH$874=TYPE2)*(TYPE2&lt;&gt;"")+('Dvd Calendar'!$AH$874=TYPE3)*(TYPE3&lt;&gt;"")+('Dvd Calendar'!$AH$874=TYPE4)*(TYPE4&lt;&gt;"")+('Dvd Calendar'!$AH$874=SPECIAL_LBL)*(INC_SPECIALS="Y"))=0,"",'Dvd Calendar'!$AH$872)))</f>
        <v/>
      </c>
      <c r="AG90" s="110">
        <f>IF(FI90="","",IF(ISNUMBER('Dvd Calendar'!$AI$872)=FALSE,"",IF((('Dvd Calendar'!$AI$874=TYPE1)*(TYPE1&lt;&gt;"")+('Dvd Calendar'!$AI$874=TYPE2)*(TYPE2&lt;&gt;"")+('Dvd Calendar'!$AI$874=TYPE3)*(TYPE3&lt;&gt;"")+('Dvd Calendar'!$AI$874=TYPE4)*(TYPE4&lt;&gt;"")+('Dvd Calendar'!$AI$874=SPECIAL_LBL)*(INC_SPECIALS="Y"))=0,"",'Dvd Calendar'!$AI$872)))</f>
        <v/>
      </c>
      <c r="AH90" s="110">
        <f>IF(FJ90="","",IF(ISNUMBER('Dvd Calendar'!$AJ$872)=FALSE,"",IF((('Dvd Calendar'!$AJ$874=TYPE1)*(TYPE1&lt;&gt;"")+('Dvd Calendar'!$AJ$874=TYPE2)*(TYPE2&lt;&gt;"")+('Dvd Calendar'!$AJ$874=TYPE3)*(TYPE3&lt;&gt;"")+('Dvd Calendar'!$AJ$874=TYPE4)*(TYPE4&lt;&gt;"")+('Dvd Calendar'!$AJ$874=SPECIAL_LBL)*(INC_SPECIALS="Y"))=0,"",'Dvd Calendar'!$AJ$872)))</f>
        <v/>
      </c>
      <c r="AI90" s="110">
        <f>IF(FK90="","",IF(ISNUMBER('Dvd Calendar'!$AK$872)=FALSE,"",IF((('Dvd Calendar'!$AK$874=TYPE1)*(TYPE1&lt;&gt;"")+('Dvd Calendar'!$AK$874=TYPE2)*(TYPE2&lt;&gt;"")+('Dvd Calendar'!$AK$874=TYPE3)*(TYPE3&lt;&gt;"")+('Dvd Calendar'!$AK$874=TYPE4)*(TYPE4&lt;&gt;"")+('Dvd Calendar'!$AK$874=SPECIAL_LBL)*(INC_SPECIALS="Y"))=0,"",'Dvd Calendar'!$AK$872)))</f>
        <v/>
      </c>
      <c r="AJ90" s="110">
        <f>IF(FL90="","",IF(ISNUMBER('Dvd Calendar'!$AL$872)=FALSE,"",IF((('Dvd Calendar'!$AL$874=TYPE1)*(TYPE1&lt;&gt;"")+('Dvd Calendar'!$AL$874=TYPE2)*(TYPE2&lt;&gt;"")+('Dvd Calendar'!$AL$874=TYPE3)*(TYPE3&lt;&gt;"")+('Dvd Calendar'!$AL$874=TYPE4)*(TYPE4&lt;&gt;"")+('Dvd Calendar'!$AL$874=SPECIAL_LBL)*(INC_SPECIALS="Y"))=0,"",'Dvd Calendar'!$AL$872)))</f>
        <v/>
      </c>
      <c r="AK90" s="110">
        <f>IF(FM90="","",IF(ISNUMBER('Dvd Calendar'!$AM$872)=FALSE,"",IF((('Dvd Calendar'!$AM$874=TYPE1)*(TYPE1&lt;&gt;"")+('Dvd Calendar'!$AM$874=TYPE2)*(TYPE2&lt;&gt;"")+('Dvd Calendar'!$AM$874=TYPE3)*(TYPE3&lt;&gt;"")+('Dvd Calendar'!$AM$874=TYPE4)*(TYPE4&lt;&gt;"")+('Dvd Calendar'!$AM$874=SPECIAL_LBL)*(INC_SPECIALS="Y"))=0,"",'Dvd Calendar'!$AM$872)))</f>
        <v/>
      </c>
      <c r="AL90" s="110">
        <f>IF(FN90="","",IF(ISNUMBER('Dvd Calendar'!$AN$872)=FALSE,"",IF((('Dvd Calendar'!$AN$874=TYPE1)*(TYPE1&lt;&gt;"")+('Dvd Calendar'!$AN$874=TYPE2)*(TYPE2&lt;&gt;"")+('Dvd Calendar'!$AN$874=TYPE3)*(TYPE3&lt;&gt;"")+('Dvd Calendar'!$AN$874=TYPE4)*(TYPE4&lt;&gt;"")+('Dvd Calendar'!$AN$874=SPECIAL_LBL)*(INC_SPECIALS="Y"))=0,"",'Dvd Calendar'!$AN$872)))</f>
        <v/>
      </c>
      <c r="AM90" s="110">
        <f>IF(FO90="","",IF(ISNUMBER('Dvd Calendar'!$AO$872)=FALSE,"",IF((('Dvd Calendar'!$AO$874=TYPE1)*(TYPE1&lt;&gt;"")+('Dvd Calendar'!$AO$874=TYPE2)*(TYPE2&lt;&gt;"")+('Dvd Calendar'!$AO$874=TYPE3)*(TYPE3&lt;&gt;"")+('Dvd Calendar'!$AO$874=TYPE4)*(TYPE4&lt;&gt;"")+('Dvd Calendar'!$AO$874=SPECIAL_LBL)*(INC_SPECIALS="Y"))=0,"",'Dvd Calendar'!$AO$872)))</f>
        <v/>
      </c>
      <c r="AN90" s="110">
        <f>IF(FP90="","",IF(ISNUMBER('Dvd Calendar'!$AP$872)=FALSE,"",IF((('Dvd Calendar'!$AP$874=TYPE1)*(TYPE1&lt;&gt;"")+('Dvd Calendar'!$AP$874=TYPE2)*(TYPE2&lt;&gt;"")+('Dvd Calendar'!$AP$874=TYPE3)*(TYPE3&lt;&gt;"")+('Dvd Calendar'!$AP$874=TYPE4)*(TYPE4&lt;&gt;"")+('Dvd Calendar'!$AP$874=SPECIAL_LBL)*(INC_SPECIALS="Y"))=0,"",'Dvd Calendar'!$AP$872)))</f>
        <v/>
      </c>
      <c r="AO90" s="110">
        <f>IF(FQ90="","",IF(ISNUMBER('Dvd Calendar'!$AQ$872)=FALSE,"",IF((('Dvd Calendar'!$AQ$874=TYPE1)*(TYPE1&lt;&gt;"")+('Dvd Calendar'!$AQ$874=TYPE2)*(TYPE2&lt;&gt;"")+('Dvd Calendar'!$AQ$874=TYPE3)*(TYPE3&lt;&gt;"")+('Dvd Calendar'!$AQ$874=TYPE4)*(TYPE4&lt;&gt;"")+('Dvd Calendar'!$AQ$874=SPECIAL_LBL)*(INC_SPECIALS="Y"))=0,"",'Dvd Calendar'!$AQ$872)))</f>
        <v/>
      </c>
      <c r="AP90" s="110">
        <f>IF(FR90="","",IF(ISNUMBER('Dvd Calendar'!$AR$872)=FALSE,"",IF((('Dvd Calendar'!$AR$874=TYPE1)*(TYPE1&lt;&gt;"")+('Dvd Calendar'!$AR$874=TYPE2)*(TYPE2&lt;&gt;"")+('Dvd Calendar'!$AR$874=TYPE3)*(TYPE3&lt;&gt;"")+('Dvd Calendar'!$AR$874=TYPE4)*(TYPE4&lt;&gt;"")+('Dvd Calendar'!$AR$874=SPECIAL_LBL)*(INC_SPECIALS="Y"))=0,"",'Dvd Calendar'!$AR$872)))</f>
        <v/>
      </c>
      <c r="AQ90" s="110">
        <f>IF(FS90="","",IF(ISNUMBER('Dvd Calendar'!$E$877)=FALSE,"",'Dvd Calendar'!$E$877))</f>
        <v/>
      </c>
      <c r="AR90" s="110">
        <f>IF(FT90="","",IF(ISNUMBER('Dvd Calendar'!$F$877)=FALSE,"",'Dvd Calendar'!$F$877))</f>
        <v/>
      </c>
      <c r="AS90" s="110">
        <f>IF(FU90="","",IF(ISNUMBER('Dvd Calendar'!$G$877)=FALSE,"",'Dvd Calendar'!$G$877))</f>
        <v/>
      </c>
      <c r="AT90" s="110">
        <f>IF(FV90="","",IF(ISNUMBER('Dvd Calendar'!$H$877)=FALSE,"",'Dvd Calendar'!$H$877))</f>
        <v/>
      </c>
      <c r="AU90" s="110">
        <f>IF(FW90="","",IF(ISNUMBER('Dvd Calendar'!$I$877)=FALSE,"",'Dvd Calendar'!$I$877))</f>
        <v/>
      </c>
      <c r="AV90" s="110">
        <f>IF(FX90="","",IF(ISNUMBER('Dvd Calendar'!$J$877)=FALSE,"",'Dvd Calendar'!$J$877))</f>
        <v/>
      </c>
      <c r="AW90" s="110">
        <f>IF(FY90="","",IF(ISNUMBER('Dvd Calendar'!$K$877)=FALSE,"",'Dvd Calendar'!$K$877))</f>
        <v/>
      </c>
      <c r="AX90" s="110">
        <f>IF(FZ90="","",IF(ISNUMBER('Dvd Calendar'!$L$877)=FALSE,"",'Dvd Calendar'!$L$877))</f>
        <v/>
      </c>
      <c r="AY90" s="110">
        <f>IF(GA90="","",IF(ISNUMBER('Dvd Calendar'!$M$877)=FALSE,"",'Dvd Calendar'!$M$877))</f>
        <v/>
      </c>
      <c r="AZ90" s="110">
        <f>IF(GB90="","",IF(ISNUMBER('Dvd Calendar'!$N$877)=FALSE,"",'Dvd Calendar'!$N$877))</f>
        <v/>
      </c>
      <c r="BA90" s="110">
        <f>IF(GC90="","",IF(ISNUMBER('Dvd Calendar'!$O$877)=FALSE,"",'Dvd Calendar'!$O$877))</f>
        <v/>
      </c>
      <c r="BB90" s="110">
        <f>IF(GD90="","",IF(ISNUMBER('Dvd Calendar'!$P$877)=FALSE,"",'Dvd Calendar'!$P$877))</f>
        <v/>
      </c>
      <c r="BC90" s="110">
        <f>IF(GE90="","",IF(ISNUMBER('Dvd Calendar'!$Q$877)=FALSE,"",'Dvd Calendar'!$Q$877))</f>
        <v/>
      </c>
      <c r="BD90" s="110">
        <f>IF(GF90="","",IF(ISNUMBER('Dvd Calendar'!$R$877)=FALSE,"",'Dvd Calendar'!$R$877))</f>
        <v/>
      </c>
      <c r="BE90" s="110">
        <f>IF(GG90="","",IF(ISNUMBER('Dvd Calendar'!$S$877)=FALSE,"",'Dvd Calendar'!$S$877))</f>
        <v/>
      </c>
      <c r="BF90" s="110">
        <f>IF(GH90="","",IF(ISNUMBER('Dvd Calendar'!$T$877)=FALSE,"",'Dvd Calendar'!$T$877))</f>
        <v/>
      </c>
      <c r="BG90" s="110">
        <f>IF(GI90="","",IF(ISNUMBER('Dvd Calendar'!$U$877)=FALSE,"",'Dvd Calendar'!$U$877))</f>
        <v/>
      </c>
      <c r="BH90" s="110">
        <f>IF(GJ90="","",IF(ISNUMBER('Dvd Calendar'!$V$877)=FALSE,"",'Dvd Calendar'!$V$877))</f>
        <v/>
      </c>
      <c r="BI90" s="110">
        <f>IF(GK90="","",IF(ISNUMBER('Dvd Calendar'!$W$877)=FALSE,"",'Dvd Calendar'!$W$877))</f>
        <v/>
      </c>
      <c r="BJ90" s="110">
        <f>IF(GL90="","",IF(ISNUMBER('Dvd Calendar'!$X$877)=FALSE,"",'Dvd Calendar'!$X$877))</f>
        <v/>
      </c>
      <c r="BK90" s="110">
        <f>IF(GM90="","",IF(ISNUMBER('Dvd Calendar'!$Y$877)=FALSE,"",'Dvd Calendar'!$Y$877))</f>
        <v/>
      </c>
      <c r="BL90" s="110">
        <f>IF(GN90="","",IF(ISNUMBER('Dvd Calendar'!$Z$877)=FALSE,"",'Dvd Calendar'!$Z$877))</f>
        <v/>
      </c>
      <c r="BM90" s="110">
        <f>IF(GO90="","",IF(ISNUMBER('Dvd Calendar'!$AA$877)=FALSE,"",'Dvd Calendar'!$AA$877))</f>
        <v/>
      </c>
      <c r="BN90" s="110">
        <f>IF(GP90="","",IF(ISNUMBER('Dvd Calendar'!$AB$877)=FALSE,"",'Dvd Calendar'!$AB$877))</f>
        <v/>
      </c>
      <c r="BO90" s="110">
        <f>IF(GQ90="","",IF(ISNUMBER('Dvd Calendar'!$AC$877)=FALSE,"",'Dvd Calendar'!$AC$877))</f>
        <v/>
      </c>
      <c r="BQ90" s="110">
        <f>IF(C90="","",IFERROR(C90*HSI!$B$85*HSI!$G$85/HSI!$B$3,""))</f>
        <v/>
      </c>
      <c r="BR90" s="110">
        <f>IF(D90="","",IFERROR(D90*HSI!$B$85*HSI!$G$85/HSI!$B$3,""))</f>
        <v/>
      </c>
      <c r="BS90" s="110">
        <f>IF(E90="","",IFERROR(E90*HSI!$B$85*HSI!$G$85/HSI!$B$3,""))</f>
        <v/>
      </c>
      <c r="BT90" s="110">
        <f>IF(F90="","",IFERROR(F90*HSI!$B$85*HSI!$G$85/HSI!$B$3,""))</f>
        <v/>
      </c>
      <c r="BU90" s="110">
        <f>IF(G90="","",IFERROR(G90*HSI!$B$85*HSI!$G$85/HSI!$B$3,""))</f>
        <v/>
      </c>
      <c r="BV90" s="110">
        <f>IF(H90="","",IFERROR(H90*HSI!$B$85*HSI!$G$85/HSI!$B$3,""))</f>
        <v/>
      </c>
      <c r="BW90" s="110">
        <f>IF(I90="","",IFERROR(I90*HSI!$B$85*HSI!$G$85/HSI!$B$3,""))</f>
        <v/>
      </c>
      <c r="BX90" s="110">
        <f>IF(J90="","",IFERROR(J90*HSI!$B$85*HSI!$G$85/HSI!$B$3,""))</f>
        <v/>
      </c>
      <c r="BY90" s="110">
        <f>IF(K90="","",IFERROR(K90*HSI!$B$85*HSI!$G$85/HSI!$B$3,""))</f>
        <v/>
      </c>
      <c r="BZ90" s="110">
        <f>IF(L90="","",IFERROR(L90*HSI!$B$85*HSI!$G$85/HSI!$B$3,""))</f>
        <v/>
      </c>
      <c r="CA90" s="110">
        <f>IF(M90="","",IFERROR(M90*HSI!$B$85*HSI!$G$85/HSI!$B$3,""))</f>
        <v/>
      </c>
      <c r="CB90" s="110">
        <f>IF(N90="","",IFERROR(N90*HSI!$B$85*HSI!$G$85/HSI!$B$3,""))</f>
        <v/>
      </c>
      <c r="CC90" s="110">
        <f>IF(O90="","",IFERROR(O90*HSI!$B$85*HSI!$G$85/HSI!$B$3,""))</f>
        <v/>
      </c>
      <c r="CD90" s="110">
        <f>IF(P90="","",IFERROR(P90*HSI!$B$85*HSI!$G$85/HSI!$B$3,""))</f>
        <v/>
      </c>
      <c r="CE90" s="110">
        <f>IF(Q90="","",IFERROR(Q90*HSI!$B$85*HSI!$G$85/HSI!$B$3,""))</f>
        <v/>
      </c>
      <c r="CF90" s="110">
        <f>IF(R90="","",IFERROR(R90*HSI!$B$85*HSI!$G$85/HSI!$B$3,""))</f>
        <v/>
      </c>
      <c r="CG90" s="110">
        <f>IF(S90="","",IFERROR(S90*HSI!$B$85*HSI!$G$85/HSI!$B$3,""))</f>
        <v/>
      </c>
      <c r="CH90" s="110">
        <f>IF(T90="","",IFERROR(T90*HSI!$B$85*HSI!$G$85/HSI!$B$3,""))</f>
        <v/>
      </c>
      <c r="CI90" s="110">
        <f>IF(U90="","",IFERROR(U90*HSI!$B$85*HSI!$G$85/HSI!$B$3,""))</f>
        <v/>
      </c>
      <c r="CJ90" s="110">
        <f>IF(V90="","",IFERROR(V90*HSI!$B$85*HSI!$G$85/HSI!$B$3,""))</f>
        <v/>
      </c>
      <c r="CK90" s="110">
        <f>IF(W90="","",IFERROR(W90*HSI!$B$85*HSI!$G$85/HSI!$B$3,""))</f>
        <v/>
      </c>
      <c r="CL90" s="110">
        <f>IF(X90="","",IFERROR(X90*HSI!$B$85*HSI!$G$85/HSI!$B$3,""))</f>
        <v/>
      </c>
      <c r="CM90" s="110">
        <f>IF(Y90="","",IFERROR(Y90*HSI!$B$85*HSI!$G$85/HSI!$B$3,""))</f>
        <v/>
      </c>
      <c r="CN90" s="110">
        <f>IF(Z90="","",IFERROR(Z90*HSI!$B$85*HSI!$G$85/HSI!$B$3,""))</f>
        <v/>
      </c>
      <c r="CO90" s="110">
        <f>IF(AA90="","",IFERROR(AA90*HSI!$B$85*HSI!$G$85/HSI!$B$3,""))</f>
        <v/>
      </c>
      <c r="CP90" s="110">
        <f>IF(AB90="","",IFERROR(AB90*HSI!$B$85*HSI!$G$85/HSI!$B$3,""))</f>
        <v/>
      </c>
      <c r="CQ90" s="110">
        <f>IF(AC90="","",IFERROR(AC90*HSI!$B$85*HSI!$G$85/HSI!$B$3,""))</f>
        <v/>
      </c>
      <c r="CR90" s="110">
        <f>IF(AD90="","",IFERROR(AD90*HSI!$B$85*HSI!$G$85/HSI!$B$3,""))</f>
        <v/>
      </c>
      <c r="CS90" s="110">
        <f>IF(AE90="","",IFERROR(AE90*HSI!$B$85*HSI!$G$85/HSI!$B$3,""))</f>
        <v/>
      </c>
      <c r="CT90" s="110">
        <f>IF(AF90="","",IFERROR(AF90*HSI!$B$85*HSI!$G$85/HSI!$B$3,""))</f>
        <v/>
      </c>
      <c r="CU90" s="110">
        <f>IF(AG90="","",IFERROR(AG90*HSI!$B$85*HSI!$G$85/HSI!$B$3,""))</f>
        <v/>
      </c>
      <c r="CV90" s="110">
        <f>IF(AH90="","",IFERROR(AH90*HSI!$B$85*HSI!$G$85/HSI!$B$3,""))</f>
        <v/>
      </c>
      <c r="CW90" s="110">
        <f>IF(AI90="","",IFERROR(AI90*HSI!$B$85*HSI!$G$85/HSI!$B$3,""))</f>
        <v/>
      </c>
      <c r="CX90" s="110">
        <f>IF(AJ90="","",IFERROR(AJ90*HSI!$B$85*HSI!$G$85/HSI!$B$3,""))</f>
        <v/>
      </c>
      <c r="CY90" s="110">
        <f>IF(AK90="","",IFERROR(AK90*HSI!$B$85*HSI!$G$85/HSI!$B$3,""))</f>
        <v/>
      </c>
      <c r="CZ90" s="110">
        <f>IF(AL90="","",IFERROR(AL90*HSI!$B$85*HSI!$G$85/HSI!$B$3,""))</f>
        <v/>
      </c>
      <c r="DA90" s="110">
        <f>IF(AM90="","",IFERROR(AM90*HSI!$B$85*HSI!$G$85/HSI!$B$3,""))</f>
        <v/>
      </c>
      <c r="DB90" s="110">
        <f>IF(AN90="","",IFERROR(AN90*HSI!$B$85*HSI!$G$85/HSI!$B$3,""))</f>
        <v/>
      </c>
      <c r="DC90" s="110">
        <f>IF(AO90="","",IFERROR(AO90*HSI!$B$85*HSI!$G$85/HSI!$B$3,""))</f>
        <v/>
      </c>
      <c r="DD90" s="110">
        <f>IF(AP90="","",IFERROR(AP90*HSI!$B$85*HSI!$G$85/HSI!$B$3,""))</f>
        <v/>
      </c>
      <c r="DE90" s="110">
        <f>IF(AQ90="","",IFERROR(AQ90*HSI!$B$85*HSI!$G$85/HSI!$B$3,""))</f>
        <v/>
      </c>
      <c r="DF90" s="110">
        <f>IF(AR90="","",IFERROR(AR90*HSI!$B$85*HSI!$G$85/HSI!$B$3,""))</f>
        <v/>
      </c>
      <c r="DG90" s="110">
        <f>IF(AS90="","",IFERROR(AS90*HSI!$B$85*HSI!$G$85/HSI!$B$3,""))</f>
        <v/>
      </c>
      <c r="DH90" s="110">
        <f>IF(AT90="","",IFERROR(AT90*HSI!$B$85*HSI!$G$85/HSI!$B$3,""))</f>
        <v/>
      </c>
      <c r="DI90" s="110">
        <f>IF(AU90="","",IFERROR(AU90*HSI!$B$85*HSI!$G$85/HSI!$B$3,""))</f>
        <v/>
      </c>
      <c r="DJ90" s="110">
        <f>IF(AV90="","",IFERROR(AV90*HSI!$B$85*HSI!$G$85/HSI!$B$3,""))</f>
        <v/>
      </c>
      <c r="DK90" s="110">
        <f>IF(AW90="","",IFERROR(AW90*HSI!$B$85*HSI!$G$85/HSI!$B$3,""))</f>
        <v/>
      </c>
      <c r="DL90" s="110">
        <f>IF(AX90="","",IFERROR(AX90*HSI!$B$85*HSI!$G$85/HSI!$B$3,""))</f>
        <v/>
      </c>
      <c r="DM90" s="110">
        <f>IF(AY90="","",IFERROR(AY90*HSI!$B$85*HSI!$G$85/HSI!$B$3,""))</f>
        <v/>
      </c>
      <c r="DN90" s="110">
        <f>IF(AZ90="","",IFERROR(AZ90*HSI!$B$85*HSI!$G$85/HSI!$B$3,""))</f>
        <v/>
      </c>
      <c r="DO90" s="110">
        <f>IF(BA90="","",IFERROR(BA90*HSI!$B$85*HSI!$G$85/HSI!$B$3,""))</f>
        <v/>
      </c>
      <c r="DP90" s="110">
        <f>IF(BB90="","",IFERROR(BB90*HSI!$B$85*HSI!$G$85/HSI!$B$3,""))</f>
        <v/>
      </c>
      <c r="DQ90" s="110">
        <f>IF(BC90="","",IFERROR(BC90*HSI!$B$85*HSI!$G$85/HSI!$B$3,""))</f>
        <v/>
      </c>
      <c r="DR90" s="110">
        <f>IF(BD90="","",IFERROR(BD90*HSI!$B$85*HSI!$G$85/HSI!$B$3,""))</f>
        <v/>
      </c>
      <c r="DS90" s="110">
        <f>IF(BE90="","",IFERROR(BE90*HSI!$B$85*HSI!$G$85/HSI!$B$3,""))</f>
        <v/>
      </c>
      <c r="DT90" s="110">
        <f>IF(BF90="","",IFERROR(BF90*HSI!$B$85*HSI!$G$85/HSI!$B$3,""))</f>
        <v/>
      </c>
      <c r="DU90" s="110">
        <f>IF(BG90="","",IFERROR(BG90*HSI!$B$85*HSI!$G$85/HSI!$B$3,""))</f>
        <v/>
      </c>
      <c r="DV90" s="110">
        <f>IF(BH90="","",IFERROR(BH90*HSI!$B$85*HSI!$G$85/HSI!$B$3,""))</f>
        <v/>
      </c>
      <c r="DW90" s="110">
        <f>IF(BI90="","",IFERROR(BI90*HSI!$B$85*HSI!$G$85/HSI!$B$3,""))</f>
        <v/>
      </c>
      <c r="DX90" s="110">
        <f>IF(BJ90="","",IFERROR(BJ90*HSI!$B$85*HSI!$G$85/HSI!$B$3,""))</f>
        <v/>
      </c>
      <c r="DY90" s="110">
        <f>IF(BK90="","",IFERROR(BK90*HSI!$B$85*HSI!$G$85/HSI!$B$3,""))</f>
        <v/>
      </c>
      <c r="DZ90" s="110">
        <f>IF(BL90="","",IFERROR(BL90*HSI!$B$85*HSI!$G$85/HSI!$B$3,""))</f>
        <v/>
      </c>
      <c r="EA90" s="110">
        <f>IF(BM90="","",IFERROR(BM90*HSI!$B$85*HSI!$G$85/HSI!$B$3,""))</f>
        <v/>
      </c>
      <c r="EB90" s="110">
        <f>IF(BN90="","",IFERROR(BN90*HSI!$B$85*HSI!$G$85/HSI!$B$3,""))</f>
        <v/>
      </c>
      <c r="EC90" s="110">
        <f>IF(BO90="","",IFERROR(BO90*HSI!$B$85*HSI!$G$85/HSI!$B$3,""))</f>
        <v/>
      </c>
      <c r="EE90" s="39">
        <f>IF(N('Dvd Calendar'!$E$869)=0,"",IF(('Dvd Calendar'!$E$869&gt;=GRID_FROM)*('Dvd Calendar'!$E$869&lt;=GRID_TO)*((('Dvd Calendar'!$E$869&lt;=VAL_DATE)+(COUNTIF('Dvd Calendar'!$E$876:$AR$876,'Dvd Calendar'!$E$869)=0))&gt;0)=0,"",'Dvd Calendar'!$E$869*1000000000+ISNUMBER('Dvd Calendar'!$E$872)*100000000+('Dvd Calendar'!$E$874=SPECIAL_LBL)*10000000+(N('Dvd Calendar'!$E$868)&gt;0)*(N('Dvd Calendar'!$E$868)&lt;=VAL_SERIAL)*1000000+79*1000+1))</f>
        <v/>
      </c>
      <c r="EF90" s="39">
        <f>IF(N('Dvd Calendar'!$F$869)=0,"",IF(('Dvd Calendar'!$F$869&gt;=GRID_FROM)*('Dvd Calendar'!$F$869&lt;=GRID_TO)*((('Dvd Calendar'!$F$869&lt;=VAL_DATE)+(COUNTIF('Dvd Calendar'!$E$876:$AR$876,'Dvd Calendar'!$F$869)=0))&gt;0)=0,"",'Dvd Calendar'!$F$869*1000000000+ISNUMBER('Dvd Calendar'!$F$872)*100000000+('Dvd Calendar'!$F$874=SPECIAL_LBL)*10000000+(N('Dvd Calendar'!$F$868)&gt;0)*(N('Dvd Calendar'!$F$868)&lt;=VAL_SERIAL)*1000000+79*1000+2))</f>
        <v/>
      </c>
      <c r="EG90" s="39">
        <f>IF(N('Dvd Calendar'!$G$869)=0,"",IF(('Dvd Calendar'!$G$869&gt;=GRID_FROM)*('Dvd Calendar'!$G$869&lt;=GRID_TO)*((('Dvd Calendar'!$G$869&lt;=VAL_DATE)+(COUNTIF('Dvd Calendar'!$E$876:$AR$876,'Dvd Calendar'!$G$869)=0))&gt;0)=0,"",'Dvd Calendar'!$G$869*1000000000+ISNUMBER('Dvd Calendar'!$G$872)*100000000+('Dvd Calendar'!$G$874=SPECIAL_LBL)*10000000+(N('Dvd Calendar'!$G$868)&gt;0)*(N('Dvd Calendar'!$G$868)&lt;=VAL_SERIAL)*1000000+79*1000+3))</f>
        <v/>
      </c>
      <c r="EH90" s="39">
        <f>IF(N('Dvd Calendar'!$H$869)=0,"",IF(('Dvd Calendar'!$H$869&gt;=GRID_FROM)*('Dvd Calendar'!$H$869&lt;=GRID_TO)*((('Dvd Calendar'!$H$869&lt;=VAL_DATE)+(COUNTIF('Dvd Calendar'!$E$876:$AR$876,'Dvd Calendar'!$H$869)=0))&gt;0)=0,"",'Dvd Calendar'!$H$869*1000000000+ISNUMBER('Dvd Calendar'!$H$872)*100000000+('Dvd Calendar'!$H$874=SPECIAL_LBL)*10000000+(N('Dvd Calendar'!$H$868)&gt;0)*(N('Dvd Calendar'!$H$868)&lt;=VAL_SERIAL)*1000000+79*1000+4))</f>
        <v/>
      </c>
      <c r="EI90" s="39">
        <f>IF(N('Dvd Calendar'!$I$869)=0,"",IF(('Dvd Calendar'!$I$869&gt;=GRID_FROM)*('Dvd Calendar'!$I$869&lt;=GRID_TO)*((('Dvd Calendar'!$I$869&lt;=VAL_DATE)+(COUNTIF('Dvd Calendar'!$E$876:$AR$876,'Dvd Calendar'!$I$869)=0))&gt;0)=0,"",'Dvd Calendar'!$I$869*1000000000+ISNUMBER('Dvd Calendar'!$I$872)*100000000+('Dvd Calendar'!$I$874=SPECIAL_LBL)*10000000+(N('Dvd Calendar'!$I$868)&gt;0)*(N('Dvd Calendar'!$I$868)&lt;=VAL_SERIAL)*1000000+79*1000+5))</f>
        <v/>
      </c>
      <c r="EJ90" s="39">
        <f>IF(N('Dvd Calendar'!$J$869)=0,"",IF(('Dvd Calendar'!$J$869&gt;=GRID_FROM)*('Dvd Calendar'!$J$869&lt;=GRID_TO)*((('Dvd Calendar'!$J$869&lt;=VAL_DATE)+(COUNTIF('Dvd Calendar'!$E$876:$AR$876,'Dvd Calendar'!$J$869)=0))&gt;0)=0,"",'Dvd Calendar'!$J$869*1000000000+ISNUMBER('Dvd Calendar'!$J$872)*100000000+('Dvd Calendar'!$J$874=SPECIAL_LBL)*10000000+(N('Dvd Calendar'!$J$868)&gt;0)*(N('Dvd Calendar'!$J$868)&lt;=VAL_SERIAL)*1000000+79*1000+6))</f>
        <v/>
      </c>
      <c r="EK90" s="39">
        <f>IF(N('Dvd Calendar'!$K$869)=0,"",IF(('Dvd Calendar'!$K$869&gt;=GRID_FROM)*('Dvd Calendar'!$K$869&lt;=GRID_TO)*((('Dvd Calendar'!$K$869&lt;=VAL_DATE)+(COUNTIF('Dvd Calendar'!$E$876:$AR$876,'Dvd Calendar'!$K$869)=0))&gt;0)=0,"",'Dvd Calendar'!$K$869*1000000000+ISNUMBER('Dvd Calendar'!$K$872)*100000000+('Dvd Calendar'!$K$874=SPECIAL_LBL)*10000000+(N('Dvd Calendar'!$K$868)&gt;0)*(N('Dvd Calendar'!$K$868)&lt;=VAL_SERIAL)*1000000+79*1000+7))</f>
        <v/>
      </c>
      <c r="EL90" s="39">
        <f>IF(N('Dvd Calendar'!$L$869)=0,"",IF(('Dvd Calendar'!$L$869&gt;=GRID_FROM)*('Dvd Calendar'!$L$869&lt;=GRID_TO)*((('Dvd Calendar'!$L$869&lt;=VAL_DATE)+(COUNTIF('Dvd Calendar'!$E$876:$AR$876,'Dvd Calendar'!$L$869)=0))&gt;0)=0,"",'Dvd Calendar'!$L$869*1000000000+ISNUMBER('Dvd Calendar'!$L$872)*100000000+('Dvd Calendar'!$L$874=SPECIAL_LBL)*10000000+(N('Dvd Calendar'!$L$868)&gt;0)*(N('Dvd Calendar'!$L$868)&lt;=VAL_SERIAL)*1000000+79*1000+8))</f>
        <v/>
      </c>
      <c r="EM90" s="39">
        <f>IF(N('Dvd Calendar'!$M$869)=0,"",IF(('Dvd Calendar'!$M$869&gt;=GRID_FROM)*('Dvd Calendar'!$M$869&lt;=GRID_TO)*((('Dvd Calendar'!$M$869&lt;=VAL_DATE)+(COUNTIF('Dvd Calendar'!$E$876:$AR$876,'Dvd Calendar'!$M$869)=0))&gt;0)=0,"",'Dvd Calendar'!$M$869*1000000000+ISNUMBER('Dvd Calendar'!$M$872)*100000000+('Dvd Calendar'!$M$874=SPECIAL_LBL)*10000000+(N('Dvd Calendar'!$M$868)&gt;0)*(N('Dvd Calendar'!$M$868)&lt;=VAL_SERIAL)*1000000+79*1000+9))</f>
        <v/>
      </c>
      <c r="EN90" s="39">
        <f>IF(N('Dvd Calendar'!$N$869)=0,"",IF(('Dvd Calendar'!$N$869&gt;=GRID_FROM)*('Dvd Calendar'!$N$869&lt;=GRID_TO)*((('Dvd Calendar'!$N$869&lt;=VAL_DATE)+(COUNTIF('Dvd Calendar'!$E$876:$AR$876,'Dvd Calendar'!$N$869)=0))&gt;0)=0,"",'Dvd Calendar'!$N$869*1000000000+ISNUMBER('Dvd Calendar'!$N$872)*100000000+('Dvd Calendar'!$N$874=SPECIAL_LBL)*10000000+(N('Dvd Calendar'!$N$868)&gt;0)*(N('Dvd Calendar'!$N$868)&lt;=VAL_SERIAL)*1000000+79*1000+10))</f>
        <v/>
      </c>
      <c r="EO90" s="39">
        <f>IF(N('Dvd Calendar'!$O$869)=0,"",IF(('Dvd Calendar'!$O$869&gt;=GRID_FROM)*('Dvd Calendar'!$O$869&lt;=GRID_TO)*((('Dvd Calendar'!$O$869&lt;=VAL_DATE)+(COUNTIF('Dvd Calendar'!$E$876:$AR$876,'Dvd Calendar'!$O$869)=0))&gt;0)=0,"",'Dvd Calendar'!$O$869*1000000000+ISNUMBER('Dvd Calendar'!$O$872)*100000000+('Dvd Calendar'!$O$874=SPECIAL_LBL)*10000000+(N('Dvd Calendar'!$O$868)&gt;0)*(N('Dvd Calendar'!$O$868)&lt;=VAL_SERIAL)*1000000+79*1000+11))</f>
        <v/>
      </c>
      <c r="EP90" s="39">
        <f>IF(N('Dvd Calendar'!$P$869)=0,"",IF(('Dvd Calendar'!$P$869&gt;=GRID_FROM)*('Dvd Calendar'!$P$869&lt;=GRID_TO)*((('Dvd Calendar'!$P$869&lt;=VAL_DATE)+(COUNTIF('Dvd Calendar'!$E$876:$AR$876,'Dvd Calendar'!$P$869)=0))&gt;0)=0,"",'Dvd Calendar'!$P$869*1000000000+ISNUMBER('Dvd Calendar'!$P$872)*100000000+('Dvd Calendar'!$P$874=SPECIAL_LBL)*10000000+(N('Dvd Calendar'!$P$868)&gt;0)*(N('Dvd Calendar'!$P$868)&lt;=VAL_SERIAL)*1000000+79*1000+12))</f>
        <v/>
      </c>
      <c r="EQ90" s="39">
        <f>IF(N('Dvd Calendar'!$Q$869)=0,"",IF(('Dvd Calendar'!$Q$869&gt;=GRID_FROM)*('Dvd Calendar'!$Q$869&lt;=GRID_TO)*((('Dvd Calendar'!$Q$869&lt;=VAL_DATE)+(COUNTIF('Dvd Calendar'!$E$876:$AR$876,'Dvd Calendar'!$Q$869)=0))&gt;0)=0,"",'Dvd Calendar'!$Q$869*1000000000+ISNUMBER('Dvd Calendar'!$Q$872)*100000000+('Dvd Calendar'!$Q$874=SPECIAL_LBL)*10000000+(N('Dvd Calendar'!$Q$868)&gt;0)*(N('Dvd Calendar'!$Q$868)&lt;=VAL_SERIAL)*1000000+79*1000+13))</f>
        <v/>
      </c>
      <c r="ER90" s="39">
        <f>IF(N('Dvd Calendar'!$R$869)=0,"",IF(('Dvd Calendar'!$R$869&gt;=GRID_FROM)*('Dvd Calendar'!$R$869&lt;=GRID_TO)*((('Dvd Calendar'!$R$869&lt;=VAL_DATE)+(COUNTIF('Dvd Calendar'!$E$876:$AR$876,'Dvd Calendar'!$R$869)=0))&gt;0)=0,"",'Dvd Calendar'!$R$869*1000000000+ISNUMBER('Dvd Calendar'!$R$872)*100000000+('Dvd Calendar'!$R$874=SPECIAL_LBL)*10000000+(N('Dvd Calendar'!$R$868)&gt;0)*(N('Dvd Calendar'!$R$868)&lt;=VAL_SERIAL)*1000000+79*1000+14))</f>
        <v/>
      </c>
      <c r="ES90" s="39">
        <f>IF(N('Dvd Calendar'!$S$869)=0,"",IF(('Dvd Calendar'!$S$869&gt;=GRID_FROM)*('Dvd Calendar'!$S$869&lt;=GRID_TO)*((('Dvd Calendar'!$S$869&lt;=VAL_DATE)+(COUNTIF('Dvd Calendar'!$E$876:$AR$876,'Dvd Calendar'!$S$869)=0))&gt;0)=0,"",'Dvd Calendar'!$S$869*1000000000+ISNUMBER('Dvd Calendar'!$S$872)*100000000+('Dvd Calendar'!$S$874=SPECIAL_LBL)*10000000+(N('Dvd Calendar'!$S$868)&gt;0)*(N('Dvd Calendar'!$S$868)&lt;=VAL_SERIAL)*1000000+79*1000+15))</f>
        <v/>
      </c>
      <c r="ET90" s="39">
        <f>IF(N('Dvd Calendar'!$T$869)=0,"",IF(('Dvd Calendar'!$T$869&gt;=GRID_FROM)*('Dvd Calendar'!$T$869&lt;=GRID_TO)*((('Dvd Calendar'!$T$869&lt;=VAL_DATE)+(COUNTIF('Dvd Calendar'!$E$876:$AR$876,'Dvd Calendar'!$T$869)=0))&gt;0)=0,"",'Dvd Calendar'!$T$869*1000000000+ISNUMBER('Dvd Calendar'!$T$872)*100000000+('Dvd Calendar'!$T$874=SPECIAL_LBL)*10000000+(N('Dvd Calendar'!$T$868)&gt;0)*(N('Dvd Calendar'!$T$868)&lt;=VAL_SERIAL)*1000000+79*1000+16))</f>
        <v/>
      </c>
      <c r="EU90" s="39">
        <f>IF(N('Dvd Calendar'!$U$869)=0,"",IF(('Dvd Calendar'!$U$869&gt;=GRID_FROM)*('Dvd Calendar'!$U$869&lt;=GRID_TO)*((('Dvd Calendar'!$U$869&lt;=VAL_DATE)+(COUNTIF('Dvd Calendar'!$E$876:$AR$876,'Dvd Calendar'!$U$869)=0))&gt;0)=0,"",'Dvd Calendar'!$U$869*1000000000+ISNUMBER('Dvd Calendar'!$U$872)*100000000+('Dvd Calendar'!$U$874=SPECIAL_LBL)*10000000+(N('Dvd Calendar'!$U$868)&gt;0)*(N('Dvd Calendar'!$U$868)&lt;=VAL_SERIAL)*1000000+79*1000+17))</f>
        <v/>
      </c>
      <c r="EV90" s="39">
        <f>IF(N('Dvd Calendar'!$V$869)=0,"",IF(('Dvd Calendar'!$V$869&gt;=GRID_FROM)*('Dvd Calendar'!$V$869&lt;=GRID_TO)*((('Dvd Calendar'!$V$869&lt;=VAL_DATE)+(COUNTIF('Dvd Calendar'!$E$876:$AR$876,'Dvd Calendar'!$V$869)=0))&gt;0)=0,"",'Dvd Calendar'!$V$869*1000000000+ISNUMBER('Dvd Calendar'!$V$872)*100000000+('Dvd Calendar'!$V$874=SPECIAL_LBL)*10000000+(N('Dvd Calendar'!$V$868)&gt;0)*(N('Dvd Calendar'!$V$868)&lt;=VAL_SERIAL)*1000000+79*1000+18))</f>
        <v/>
      </c>
      <c r="EW90" s="39">
        <f>IF(N('Dvd Calendar'!$W$869)=0,"",IF(('Dvd Calendar'!$W$869&gt;=GRID_FROM)*('Dvd Calendar'!$W$869&lt;=GRID_TO)*((('Dvd Calendar'!$W$869&lt;=VAL_DATE)+(COUNTIF('Dvd Calendar'!$E$876:$AR$876,'Dvd Calendar'!$W$869)=0))&gt;0)=0,"",'Dvd Calendar'!$W$869*1000000000+ISNUMBER('Dvd Calendar'!$W$872)*100000000+('Dvd Calendar'!$W$874=SPECIAL_LBL)*10000000+(N('Dvd Calendar'!$W$868)&gt;0)*(N('Dvd Calendar'!$W$868)&lt;=VAL_SERIAL)*1000000+79*1000+19))</f>
        <v/>
      </c>
      <c r="EX90" s="39">
        <f>IF(N('Dvd Calendar'!$X$869)=0,"",IF(('Dvd Calendar'!$X$869&gt;=GRID_FROM)*('Dvd Calendar'!$X$869&lt;=GRID_TO)*((('Dvd Calendar'!$X$869&lt;=VAL_DATE)+(COUNTIF('Dvd Calendar'!$E$876:$AR$876,'Dvd Calendar'!$X$869)=0))&gt;0)=0,"",'Dvd Calendar'!$X$869*1000000000+ISNUMBER('Dvd Calendar'!$X$872)*100000000+('Dvd Calendar'!$X$874=SPECIAL_LBL)*10000000+(N('Dvd Calendar'!$X$868)&gt;0)*(N('Dvd Calendar'!$X$868)&lt;=VAL_SERIAL)*1000000+79*1000+20))</f>
        <v/>
      </c>
      <c r="EY90" s="39">
        <f>IF(N('Dvd Calendar'!$Y$869)=0,"",IF(('Dvd Calendar'!$Y$869&gt;=GRID_FROM)*('Dvd Calendar'!$Y$869&lt;=GRID_TO)*((('Dvd Calendar'!$Y$869&lt;=VAL_DATE)+(COUNTIF('Dvd Calendar'!$E$876:$AR$876,'Dvd Calendar'!$Y$869)=0))&gt;0)=0,"",'Dvd Calendar'!$Y$869*1000000000+ISNUMBER('Dvd Calendar'!$Y$872)*100000000+('Dvd Calendar'!$Y$874=SPECIAL_LBL)*10000000+(N('Dvd Calendar'!$Y$868)&gt;0)*(N('Dvd Calendar'!$Y$868)&lt;=VAL_SERIAL)*1000000+79*1000+21))</f>
        <v/>
      </c>
      <c r="EZ90" s="39">
        <f>IF(N('Dvd Calendar'!$Z$869)=0,"",IF(('Dvd Calendar'!$Z$869&gt;=GRID_FROM)*('Dvd Calendar'!$Z$869&lt;=GRID_TO)*((('Dvd Calendar'!$Z$869&lt;=VAL_DATE)+(COUNTIF('Dvd Calendar'!$E$876:$AR$876,'Dvd Calendar'!$Z$869)=0))&gt;0)=0,"",'Dvd Calendar'!$Z$869*1000000000+ISNUMBER('Dvd Calendar'!$Z$872)*100000000+('Dvd Calendar'!$Z$874=SPECIAL_LBL)*10000000+(N('Dvd Calendar'!$Z$868)&gt;0)*(N('Dvd Calendar'!$Z$868)&lt;=VAL_SERIAL)*1000000+79*1000+22))</f>
        <v/>
      </c>
      <c r="FA90" s="39">
        <f>IF(N('Dvd Calendar'!$AA$869)=0,"",IF(('Dvd Calendar'!$AA$869&gt;=GRID_FROM)*('Dvd Calendar'!$AA$869&lt;=GRID_TO)*((('Dvd Calendar'!$AA$869&lt;=VAL_DATE)+(COUNTIF('Dvd Calendar'!$E$876:$AR$876,'Dvd Calendar'!$AA$869)=0))&gt;0)=0,"",'Dvd Calendar'!$AA$869*1000000000+ISNUMBER('Dvd Calendar'!$AA$872)*100000000+('Dvd Calendar'!$AA$874=SPECIAL_LBL)*10000000+(N('Dvd Calendar'!$AA$868)&gt;0)*(N('Dvd Calendar'!$AA$868)&lt;=VAL_SERIAL)*1000000+79*1000+23))</f>
        <v/>
      </c>
      <c r="FB90" s="39">
        <f>IF(N('Dvd Calendar'!$AB$869)=0,"",IF(('Dvd Calendar'!$AB$869&gt;=GRID_FROM)*('Dvd Calendar'!$AB$869&lt;=GRID_TO)*((('Dvd Calendar'!$AB$869&lt;=VAL_DATE)+(COUNTIF('Dvd Calendar'!$E$876:$AR$876,'Dvd Calendar'!$AB$869)=0))&gt;0)=0,"",'Dvd Calendar'!$AB$869*1000000000+ISNUMBER('Dvd Calendar'!$AB$872)*100000000+('Dvd Calendar'!$AB$874=SPECIAL_LBL)*10000000+(N('Dvd Calendar'!$AB$868)&gt;0)*(N('Dvd Calendar'!$AB$868)&lt;=VAL_SERIAL)*1000000+79*1000+24))</f>
        <v/>
      </c>
      <c r="FC90" s="39">
        <f>IF(N('Dvd Calendar'!$AC$869)=0,"",IF(('Dvd Calendar'!$AC$869&gt;=GRID_FROM)*('Dvd Calendar'!$AC$869&lt;=GRID_TO)*((('Dvd Calendar'!$AC$869&lt;=VAL_DATE)+(COUNTIF('Dvd Calendar'!$E$876:$AR$876,'Dvd Calendar'!$AC$869)=0))&gt;0)=0,"",'Dvd Calendar'!$AC$869*1000000000+ISNUMBER('Dvd Calendar'!$AC$872)*100000000+('Dvd Calendar'!$AC$874=SPECIAL_LBL)*10000000+(N('Dvd Calendar'!$AC$868)&gt;0)*(N('Dvd Calendar'!$AC$868)&lt;=VAL_SERIAL)*1000000+79*1000+25))</f>
        <v/>
      </c>
      <c r="FD90" s="39">
        <f>IF(N('Dvd Calendar'!$AD$869)=0,"",IF(('Dvd Calendar'!$AD$869&gt;=GRID_FROM)*('Dvd Calendar'!$AD$869&lt;=GRID_TO)*((('Dvd Calendar'!$AD$869&lt;=VAL_DATE)+(COUNTIF('Dvd Calendar'!$E$876:$AR$876,'Dvd Calendar'!$AD$869)=0))&gt;0)=0,"",'Dvd Calendar'!$AD$869*1000000000+ISNUMBER('Dvd Calendar'!$AD$872)*100000000+('Dvd Calendar'!$AD$874=SPECIAL_LBL)*10000000+(N('Dvd Calendar'!$AD$868)&gt;0)*(N('Dvd Calendar'!$AD$868)&lt;=VAL_SERIAL)*1000000+79*1000+26))</f>
        <v/>
      </c>
      <c r="FE90" s="39">
        <f>IF(N('Dvd Calendar'!$AE$869)=0,"",IF(('Dvd Calendar'!$AE$869&gt;=GRID_FROM)*('Dvd Calendar'!$AE$869&lt;=GRID_TO)*((('Dvd Calendar'!$AE$869&lt;=VAL_DATE)+(COUNTIF('Dvd Calendar'!$E$876:$AR$876,'Dvd Calendar'!$AE$869)=0))&gt;0)=0,"",'Dvd Calendar'!$AE$869*1000000000+ISNUMBER('Dvd Calendar'!$AE$872)*100000000+('Dvd Calendar'!$AE$874=SPECIAL_LBL)*10000000+(N('Dvd Calendar'!$AE$868)&gt;0)*(N('Dvd Calendar'!$AE$868)&lt;=VAL_SERIAL)*1000000+79*1000+27))</f>
        <v/>
      </c>
      <c r="FF90" s="39">
        <f>IF(N('Dvd Calendar'!$AF$869)=0,"",IF(('Dvd Calendar'!$AF$869&gt;=GRID_FROM)*('Dvd Calendar'!$AF$869&lt;=GRID_TO)*((('Dvd Calendar'!$AF$869&lt;=VAL_DATE)+(COUNTIF('Dvd Calendar'!$E$876:$AR$876,'Dvd Calendar'!$AF$869)=0))&gt;0)=0,"",'Dvd Calendar'!$AF$869*1000000000+ISNUMBER('Dvd Calendar'!$AF$872)*100000000+('Dvd Calendar'!$AF$874=SPECIAL_LBL)*10000000+(N('Dvd Calendar'!$AF$868)&gt;0)*(N('Dvd Calendar'!$AF$868)&lt;=VAL_SERIAL)*1000000+79*1000+28))</f>
        <v/>
      </c>
      <c r="FG90" s="39">
        <f>IF(N('Dvd Calendar'!$AG$869)=0,"",IF(('Dvd Calendar'!$AG$869&gt;=GRID_FROM)*('Dvd Calendar'!$AG$869&lt;=GRID_TO)*((('Dvd Calendar'!$AG$869&lt;=VAL_DATE)+(COUNTIF('Dvd Calendar'!$E$876:$AR$876,'Dvd Calendar'!$AG$869)=0))&gt;0)=0,"",'Dvd Calendar'!$AG$869*1000000000+ISNUMBER('Dvd Calendar'!$AG$872)*100000000+('Dvd Calendar'!$AG$874=SPECIAL_LBL)*10000000+(N('Dvd Calendar'!$AG$868)&gt;0)*(N('Dvd Calendar'!$AG$868)&lt;=VAL_SERIAL)*1000000+79*1000+29))</f>
        <v/>
      </c>
      <c r="FH90" s="39">
        <f>IF(N('Dvd Calendar'!$AH$869)=0,"",IF(('Dvd Calendar'!$AH$869&gt;=GRID_FROM)*('Dvd Calendar'!$AH$869&lt;=GRID_TO)*((('Dvd Calendar'!$AH$869&lt;=VAL_DATE)+(COUNTIF('Dvd Calendar'!$E$876:$AR$876,'Dvd Calendar'!$AH$869)=0))&gt;0)=0,"",'Dvd Calendar'!$AH$869*1000000000+ISNUMBER('Dvd Calendar'!$AH$872)*100000000+('Dvd Calendar'!$AH$874=SPECIAL_LBL)*10000000+(N('Dvd Calendar'!$AH$868)&gt;0)*(N('Dvd Calendar'!$AH$868)&lt;=VAL_SERIAL)*1000000+79*1000+30))</f>
        <v/>
      </c>
      <c r="FI90" s="39">
        <f>IF(N('Dvd Calendar'!$AI$869)=0,"",IF(('Dvd Calendar'!$AI$869&gt;=GRID_FROM)*('Dvd Calendar'!$AI$869&lt;=GRID_TO)*((('Dvd Calendar'!$AI$869&lt;=VAL_DATE)+(COUNTIF('Dvd Calendar'!$E$876:$AR$876,'Dvd Calendar'!$AI$869)=0))&gt;0)=0,"",'Dvd Calendar'!$AI$869*1000000000+ISNUMBER('Dvd Calendar'!$AI$872)*100000000+('Dvd Calendar'!$AI$874=SPECIAL_LBL)*10000000+(N('Dvd Calendar'!$AI$868)&gt;0)*(N('Dvd Calendar'!$AI$868)&lt;=VAL_SERIAL)*1000000+79*1000+31))</f>
        <v/>
      </c>
      <c r="FJ90" s="39">
        <f>IF(N('Dvd Calendar'!$AJ$869)=0,"",IF(('Dvd Calendar'!$AJ$869&gt;=GRID_FROM)*('Dvd Calendar'!$AJ$869&lt;=GRID_TO)*((('Dvd Calendar'!$AJ$869&lt;=VAL_DATE)+(COUNTIF('Dvd Calendar'!$E$876:$AR$876,'Dvd Calendar'!$AJ$869)=0))&gt;0)=0,"",'Dvd Calendar'!$AJ$869*1000000000+ISNUMBER('Dvd Calendar'!$AJ$872)*100000000+('Dvd Calendar'!$AJ$874=SPECIAL_LBL)*10000000+(N('Dvd Calendar'!$AJ$868)&gt;0)*(N('Dvd Calendar'!$AJ$868)&lt;=VAL_SERIAL)*1000000+79*1000+32))</f>
        <v/>
      </c>
      <c r="FK90" s="39">
        <f>IF(N('Dvd Calendar'!$AK$869)=0,"",IF(('Dvd Calendar'!$AK$869&gt;=GRID_FROM)*('Dvd Calendar'!$AK$869&lt;=GRID_TO)*((('Dvd Calendar'!$AK$869&lt;=VAL_DATE)+(COUNTIF('Dvd Calendar'!$E$876:$AR$876,'Dvd Calendar'!$AK$869)=0))&gt;0)=0,"",'Dvd Calendar'!$AK$869*1000000000+ISNUMBER('Dvd Calendar'!$AK$872)*100000000+('Dvd Calendar'!$AK$874=SPECIAL_LBL)*10000000+(N('Dvd Calendar'!$AK$868)&gt;0)*(N('Dvd Calendar'!$AK$868)&lt;=VAL_SERIAL)*1000000+79*1000+33))</f>
        <v/>
      </c>
      <c r="FL90" s="39">
        <f>IF(N('Dvd Calendar'!$AL$869)=0,"",IF(('Dvd Calendar'!$AL$869&gt;=GRID_FROM)*('Dvd Calendar'!$AL$869&lt;=GRID_TO)*((('Dvd Calendar'!$AL$869&lt;=VAL_DATE)+(COUNTIF('Dvd Calendar'!$E$876:$AR$876,'Dvd Calendar'!$AL$869)=0))&gt;0)=0,"",'Dvd Calendar'!$AL$869*1000000000+ISNUMBER('Dvd Calendar'!$AL$872)*100000000+('Dvd Calendar'!$AL$874=SPECIAL_LBL)*10000000+(N('Dvd Calendar'!$AL$868)&gt;0)*(N('Dvd Calendar'!$AL$868)&lt;=VAL_SERIAL)*1000000+79*1000+34))</f>
        <v/>
      </c>
      <c r="FM90" s="39">
        <f>IF(N('Dvd Calendar'!$AM$869)=0,"",IF(('Dvd Calendar'!$AM$869&gt;=GRID_FROM)*('Dvd Calendar'!$AM$869&lt;=GRID_TO)*((('Dvd Calendar'!$AM$869&lt;=VAL_DATE)+(COUNTIF('Dvd Calendar'!$E$876:$AR$876,'Dvd Calendar'!$AM$869)=0))&gt;0)=0,"",'Dvd Calendar'!$AM$869*1000000000+ISNUMBER('Dvd Calendar'!$AM$872)*100000000+('Dvd Calendar'!$AM$874=SPECIAL_LBL)*10000000+(N('Dvd Calendar'!$AM$868)&gt;0)*(N('Dvd Calendar'!$AM$868)&lt;=VAL_SERIAL)*1000000+79*1000+35))</f>
        <v/>
      </c>
      <c r="FN90" s="39">
        <f>IF(N('Dvd Calendar'!$AN$869)=0,"",IF(('Dvd Calendar'!$AN$869&gt;=GRID_FROM)*('Dvd Calendar'!$AN$869&lt;=GRID_TO)*((('Dvd Calendar'!$AN$869&lt;=VAL_DATE)+(COUNTIF('Dvd Calendar'!$E$876:$AR$876,'Dvd Calendar'!$AN$869)=0))&gt;0)=0,"",'Dvd Calendar'!$AN$869*1000000000+ISNUMBER('Dvd Calendar'!$AN$872)*100000000+('Dvd Calendar'!$AN$874=SPECIAL_LBL)*10000000+(N('Dvd Calendar'!$AN$868)&gt;0)*(N('Dvd Calendar'!$AN$868)&lt;=VAL_SERIAL)*1000000+79*1000+36))</f>
        <v/>
      </c>
      <c r="FO90" s="39">
        <f>IF(N('Dvd Calendar'!$AO$869)=0,"",IF(('Dvd Calendar'!$AO$869&gt;=GRID_FROM)*('Dvd Calendar'!$AO$869&lt;=GRID_TO)*((('Dvd Calendar'!$AO$869&lt;=VAL_DATE)+(COUNTIF('Dvd Calendar'!$E$876:$AR$876,'Dvd Calendar'!$AO$869)=0))&gt;0)=0,"",'Dvd Calendar'!$AO$869*1000000000+ISNUMBER('Dvd Calendar'!$AO$872)*100000000+('Dvd Calendar'!$AO$874=SPECIAL_LBL)*10000000+(N('Dvd Calendar'!$AO$868)&gt;0)*(N('Dvd Calendar'!$AO$868)&lt;=VAL_SERIAL)*1000000+79*1000+37))</f>
        <v/>
      </c>
      <c r="FP90" s="39">
        <f>IF(N('Dvd Calendar'!$AP$869)=0,"",IF(('Dvd Calendar'!$AP$869&gt;=GRID_FROM)*('Dvd Calendar'!$AP$869&lt;=GRID_TO)*((('Dvd Calendar'!$AP$869&lt;=VAL_DATE)+(COUNTIF('Dvd Calendar'!$E$876:$AR$876,'Dvd Calendar'!$AP$869)=0))&gt;0)=0,"",'Dvd Calendar'!$AP$869*1000000000+ISNUMBER('Dvd Calendar'!$AP$872)*100000000+('Dvd Calendar'!$AP$874=SPECIAL_LBL)*10000000+(N('Dvd Calendar'!$AP$868)&gt;0)*(N('Dvd Calendar'!$AP$868)&lt;=VAL_SERIAL)*1000000+79*1000+38))</f>
        <v/>
      </c>
      <c r="FQ90" s="39">
        <f>IF(N('Dvd Calendar'!$AQ$869)=0,"",IF(('Dvd Calendar'!$AQ$869&gt;=GRID_FROM)*('Dvd Calendar'!$AQ$869&lt;=GRID_TO)*((('Dvd Calendar'!$AQ$869&lt;=VAL_DATE)+(COUNTIF('Dvd Calendar'!$E$876:$AR$876,'Dvd Calendar'!$AQ$869)=0))&gt;0)=0,"",'Dvd Calendar'!$AQ$869*1000000000+ISNUMBER('Dvd Calendar'!$AQ$872)*100000000+('Dvd Calendar'!$AQ$874=SPECIAL_LBL)*10000000+(N('Dvd Calendar'!$AQ$868)&gt;0)*(N('Dvd Calendar'!$AQ$868)&lt;=VAL_SERIAL)*1000000+79*1000+39))</f>
        <v/>
      </c>
      <c r="FR90" s="39">
        <f>IF(N('Dvd Calendar'!$AR$869)=0,"",IF(('Dvd Calendar'!$AR$869&gt;=GRID_FROM)*('Dvd Calendar'!$AR$869&lt;=GRID_TO)*((('Dvd Calendar'!$AR$869&lt;=VAL_DATE)+(COUNTIF('Dvd Calendar'!$E$876:$AR$876,'Dvd Calendar'!$AR$869)=0))&gt;0)=0,"",'Dvd Calendar'!$AR$869*1000000000+ISNUMBER('Dvd Calendar'!$AR$872)*100000000+('Dvd Calendar'!$AR$874=SPECIAL_LBL)*10000000+(N('Dvd Calendar'!$AR$868)&gt;0)*(N('Dvd Calendar'!$AR$868)&lt;=VAL_SERIAL)*1000000+79*1000+40))</f>
        <v/>
      </c>
      <c r="FS90" s="39">
        <f>IF(N('Dvd Calendar'!$E$876)=0,"",IF(('Dvd Calendar'!$E$876&gt;=GRID_FROM)*('Dvd Calendar'!$E$876&lt;=GRID_TO)*('Dvd Calendar'!$E$876&gt;VAL_DATE)=0,"",'Dvd Calendar'!$E$876*1000000000+ISNUMBER('Dvd Calendar'!$E$877)*100000000+0*10000000+(N('Dvd Calendar'!$E$875)&gt;0)*(N('Dvd Calendar'!$E$875)&lt;=VAL_SERIAL)*1000000+79*1000+41))</f>
        <v/>
      </c>
      <c r="FT90" s="39">
        <f>IF(N('Dvd Calendar'!$F$876)=0,"",IF(('Dvd Calendar'!$F$876&gt;=GRID_FROM)*('Dvd Calendar'!$F$876&lt;=GRID_TO)*('Dvd Calendar'!$F$876&gt;VAL_DATE)=0,"",'Dvd Calendar'!$F$876*1000000000+ISNUMBER('Dvd Calendar'!$F$877)*100000000+0*10000000+(N('Dvd Calendar'!$F$875)&gt;0)*(N('Dvd Calendar'!$F$875)&lt;=VAL_SERIAL)*1000000+79*1000+42))</f>
        <v/>
      </c>
      <c r="FU90" s="39">
        <f>IF(N('Dvd Calendar'!$G$876)=0,"",IF(('Dvd Calendar'!$G$876&gt;=GRID_FROM)*('Dvd Calendar'!$G$876&lt;=GRID_TO)*('Dvd Calendar'!$G$876&gt;VAL_DATE)=0,"",'Dvd Calendar'!$G$876*1000000000+ISNUMBER('Dvd Calendar'!$G$877)*100000000+0*10000000+(N('Dvd Calendar'!$G$875)&gt;0)*(N('Dvd Calendar'!$G$875)&lt;=VAL_SERIAL)*1000000+79*1000+43))</f>
        <v/>
      </c>
      <c r="FV90" s="39">
        <f>IF(N('Dvd Calendar'!$H$876)=0,"",IF(('Dvd Calendar'!$H$876&gt;=GRID_FROM)*('Dvd Calendar'!$H$876&lt;=GRID_TO)*('Dvd Calendar'!$H$876&gt;VAL_DATE)=0,"",'Dvd Calendar'!$H$876*1000000000+ISNUMBER('Dvd Calendar'!$H$877)*100000000+0*10000000+(N('Dvd Calendar'!$H$875)&gt;0)*(N('Dvd Calendar'!$H$875)&lt;=VAL_SERIAL)*1000000+79*1000+44))</f>
        <v/>
      </c>
      <c r="FW90" s="39">
        <f>IF(N('Dvd Calendar'!$I$876)=0,"",IF(('Dvd Calendar'!$I$876&gt;=GRID_FROM)*('Dvd Calendar'!$I$876&lt;=GRID_TO)*('Dvd Calendar'!$I$876&gt;VAL_DATE)=0,"",'Dvd Calendar'!$I$876*1000000000+ISNUMBER('Dvd Calendar'!$I$877)*100000000+0*10000000+(N('Dvd Calendar'!$I$875)&gt;0)*(N('Dvd Calendar'!$I$875)&lt;=VAL_SERIAL)*1000000+79*1000+45))</f>
        <v/>
      </c>
      <c r="FX90" s="39">
        <f>IF(N('Dvd Calendar'!$J$876)=0,"",IF(('Dvd Calendar'!$J$876&gt;=GRID_FROM)*('Dvd Calendar'!$J$876&lt;=GRID_TO)*('Dvd Calendar'!$J$876&gt;VAL_DATE)=0,"",'Dvd Calendar'!$J$876*1000000000+ISNUMBER('Dvd Calendar'!$J$877)*100000000+0*10000000+(N('Dvd Calendar'!$J$875)&gt;0)*(N('Dvd Calendar'!$J$875)&lt;=VAL_SERIAL)*1000000+79*1000+46))</f>
        <v/>
      </c>
      <c r="FY90" s="39">
        <f>IF(N('Dvd Calendar'!$K$876)=0,"",IF(('Dvd Calendar'!$K$876&gt;=GRID_FROM)*('Dvd Calendar'!$K$876&lt;=GRID_TO)*('Dvd Calendar'!$K$876&gt;VAL_DATE)=0,"",'Dvd Calendar'!$K$876*1000000000+ISNUMBER('Dvd Calendar'!$K$877)*100000000+0*10000000+(N('Dvd Calendar'!$K$875)&gt;0)*(N('Dvd Calendar'!$K$875)&lt;=VAL_SERIAL)*1000000+79*1000+47))</f>
        <v/>
      </c>
      <c r="FZ90" s="39">
        <f>IF(N('Dvd Calendar'!$L$876)=0,"",IF(('Dvd Calendar'!$L$876&gt;=GRID_FROM)*('Dvd Calendar'!$L$876&lt;=GRID_TO)*('Dvd Calendar'!$L$876&gt;VAL_DATE)=0,"",'Dvd Calendar'!$L$876*1000000000+ISNUMBER('Dvd Calendar'!$L$877)*100000000+0*10000000+(N('Dvd Calendar'!$L$875)&gt;0)*(N('Dvd Calendar'!$L$875)&lt;=VAL_SERIAL)*1000000+79*1000+48))</f>
        <v/>
      </c>
      <c r="GA90" s="39">
        <f>IF(N('Dvd Calendar'!$M$876)=0,"",IF(('Dvd Calendar'!$M$876&gt;=GRID_FROM)*('Dvd Calendar'!$M$876&lt;=GRID_TO)*('Dvd Calendar'!$M$876&gt;VAL_DATE)=0,"",'Dvd Calendar'!$M$876*1000000000+ISNUMBER('Dvd Calendar'!$M$877)*100000000+0*10000000+(N('Dvd Calendar'!$M$875)&gt;0)*(N('Dvd Calendar'!$M$875)&lt;=VAL_SERIAL)*1000000+79*1000+49))</f>
        <v/>
      </c>
      <c r="GB90" s="39">
        <f>IF(N('Dvd Calendar'!$N$876)=0,"",IF(('Dvd Calendar'!$N$876&gt;=GRID_FROM)*('Dvd Calendar'!$N$876&lt;=GRID_TO)*('Dvd Calendar'!$N$876&gt;VAL_DATE)=0,"",'Dvd Calendar'!$N$876*1000000000+ISNUMBER('Dvd Calendar'!$N$877)*100000000+0*10000000+(N('Dvd Calendar'!$N$875)&gt;0)*(N('Dvd Calendar'!$N$875)&lt;=VAL_SERIAL)*1000000+79*1000+50))</f>
        <v/>
      </c>
      <c r="GC90" s="39">
        <f>IF(N('Dvd Calendar'!$O$876)=0,"",IF(('Dvd Calendar'!$O$876&gt;=GRID_FROM)*('Dvd Calendar'!$O$876&lt;=GRID_TO)*('Dvd Calendar'!$O$876&gt;VAL_DATE)=0,"",'Dvd Calendar'!$O$876*1000000000+ISNUMBER('Dvd Calendar'!$O$877)*100000000+0*10000000+(N('Dvd Calendar'!$O$875)&gt;0)*(N('Dvd Calendar'!$O$875)&lt;=VAL_SERIAL)*1000000+79*1000+51))</f>
        <v/>
      </c>
      <c r="GD90" s="39">
        <f>IF(N('Dvd Calendar'!$P$876)=0,"",IF(('Dvd Calendar'!$P$876&gt;=GRID_FROM)*('Dvd Calendar'!$P$876&lt;=GRID_TO)*('Dvd Calendar'!$P$876&gt;VAL_DATE)=0,"",'Dvd Calendar'!$P$876*1000000000+ISNUMBER('Dvd Calendar'!$P$877)*100000000+0*10000000+(N('Dvd Calendar'!$P$875)&gt;0)*(N('Dvd Calendar'!$P$875)&lt;=VAL_SERIAL)*1000000+79*1000+52))</f>
        <v/>
      </c>
      <c r="GE90" s="39">
        <f>IF(N('Dvd Calendar'!$Q$876)=0,"",IF(('Dvd Calendar'!$Q$876&gt;=GRID_FROM)*('Dvd Calendar'!$Q$876&lt;=GRID_TO)*('Dvd Calendar'!$Q$876&gt;VAL_DATE)=0,"",'Dvd Calendar'!$Q$876*1000000000+ISNUMBER('Dvd Calendar'!$Q$877)*100000000+0*10000000+(N('Dvd Calendar'!$Q$875)&gt;0)*(N('Dvd Calendar'!$Q$875)&lt;=VAL_SERIAL)*1000000+79*1000+53))</f>
        <v/>
      </c>
      <c r="GF90" s="39">
        <f>IF(N('Dvd Calendar'!$R$876)=0,"",IF(('Dvd Calendar'!$R$876&gt;=GRID_FROM)*('Dvd Calendar'!$R$876&lt;=GRID_TO)*('Dvd Calendar'!$R$876&gt;VAL_DATE)=0,"",'Dvd Calendar'!$R$876*1000000000+ISNUMBER('Dvd Calendar'!$R$877)*100000000+0*10000000+(N('Dvd Calendar'!$R$875)&gt;0)*(N('Dvd Calendar'!$R$875)&lt;=VAL_SERIAL)*1000000+79*1000+54))</f>
        <v/>
      </c>
      <c r="GG90" s="39">
        <f>IF(N('Dvd Calendar'!$S$876)=0,"",IF(('Dvd Calendar'!$S$876&gt;=GRID_FROM)*('Dvd Calendar'!$S$876&lt;=GRID_TO)*('Dvd Calendar'!$S$876&gt;VAL_DATE)=0,"",'Dvd Calendar'!$S$876*1000000000+ISNUMBER('Dvd Calendar'!$S$877)*100000000+0*10000000+(N('Dvd Calendar'!$S$875)&gt;0)*(N('Dvd Calendar'!$S$875)&lt;=VAL_SERIAL)*1000000+79*1000+55))</f>
        <v/>
      </c>
      <c r="GH90" s="39">
        <f>IF(N('Dvd Calendar'!$T$876)=0,"",IF(('Dvd Calendar'!$T$876&gt;=GRID_FROM)*('Dvd Calendar'!$T$876&lt;=GRID_TO)*('Dvd Calendar'!$T$876&gt;VAL_DATE)=0,"",'Dvd Calendar'!$T$876*1000000000+ISNUMBER('Dvd Calendar'!$T$877)*100000000+0*10000000+(N('Dvd Calendar'!$T$875)&gt;0)*(N('Dvd Calendar'!$T$875)&lt;=VAL_SERIAL)*1000000+79*1000+56))</f>
        <v/>
      </c>
      <c r="GI90" s="39">
        <f>IF(N('Dvd Calendar'!$U$876)=0,"",IF(('Dvd Calendar'!$U$876&gt;=GRID_FROM)*('Dvd Calendar'!$U$876&lt;=GRID_TO)*('Dvd Calendar'!$U$876&gt;VAL_DATE)=0,"",'Dvd Calendar'!$U$876*1000000000+ISNUMBER('Dvd Calendar'!$U$877)*100000000+0*10000000+(N('Dvd Calendar'!$U$875)&gt;0)*(N('Dvd Calendar'!$U$875)&lt;=VAL_SERIAL)*1000000+79*1000+57))</f>
        <v/>
      </c>
      <c r="GJ90" s="39">
        <f>IF(N('Dvd Calendar'!$V$876)=0,"",IF(('Dvd Calendar'!$V$876&gt;=GRID_FROM)*('Dvd Calendar'!$V$876&lt;=GRID_TO)*('Dvd Calendar'!$V$876&gt;VAL_DATE)=0,"",'Dvd Calendar'!$V$876*1000000000+ISNUMBER('Dvd Calendar'!$V$877)*100000000+0*10000000+(N('Dvd Calendar'!$V$875)&gt;0)*(N('Dvd Calendar'!$V$875)&lt;=VAL_SERIAL)*1000000+79*1000+58))</f>
        <v/>
      </c>
      <c r="GK90" s="39">
        <f>IF(N('Dvd Calendar'!$W$876)=0,"",IF(('Dvd Calendar'!$W$876&gt;=GRID_FROM)*('Dvd Calendar'!$W$876&lt;=GRID_TO)*('Dvd Calendar'!$W$876&gt;VAL_DATE)=0,"",'Dvd Calendar'!$W$876*1000000000+ISNUMBER('Dvd Calendar'!$W$877)*100000000+0*10000000+(N('Dvd Calendar'!$W$875)&gt;0)*(N('Dvd Calendar'!$W$875)&lt;=VAL_SERIAL)*1000000+79*1000+59))</f>
        <v/>
      </c>
      <c r="GL90" s="39">
        <f>IF(N('Dvd Calendar'!$X$876)=0,"",IF(('Dvd Calendar'!$X$876&gt;=GRID_FROM)*('Dvd Calendar'!$X$876&lt;=GRID_TO)*('Dvd Calendar'!$X$876&gt;VAL_DATE)=0,"",'Dvd Calendar'!$X$876*1000000000+ISNUMBER('Dvd Calendar'!$X$877)*100000000+0*10000000+(N('Dvd Calendar'!$X$875)&gt;0)*(N('Dvd Calendar'!$X$875)&lt;=VAL_SERIAL)*1000000+79*1000+60))</f>
        <v/>
      </c>
      <c r="GM90" s="39">
        <f>IF(N('Dvd Calendar'!$Y$876)=0,"",IF(('Dvd Calendar'!$Y$876&gt;=GRID_FROM)*('Dvd Calendar'!$Y$876&lt;=GRID_TO)*('Dvd Calendar'!$Y$876&gt;VAL_DATE)=0,"",'Dvd Calendar'!$Y$876*1000000000+ISNUMBER('Dvd Calendar'!$Y$877)*100000000+0*10000000+(N('Dvd Calendar'!$Y$875)&gt;0)*(N('Dvd Calendar'!$Y$875)&lt;=VAL_SERIAL)*1000000+79*1000+61))</f>
        <v/>
      </c>
      <c r="GN90" s="39">
        <f>IF(N('Dvd Calendar'!$Z$876)=0,"",IF(('Dvd Calendar'!$Z$876&gt;=GRID_FROM)*('Dvd Calendar'!$Z$876&lt;=GRID_TO)*('Dvd Calendar'!$Z$876&gt;VAL_DATE)=0,"",'Dvd Calendar'!$Z$876*1000000000+ISNUMBER('Dvd Calendar'!$Z$877)*100000000+0*10000000+(N('Dvd Calendar'!$Z$875)&gt;0)*(N('Dvd Calendar'!$Z$875)&lt;=VAL_SERIAL)*1000000+79*1000+62))</f>
        <v/>
      </c>
      <c r="GO90" s="39">
        <f>IF(N('Dvd Calendar'!$AA$876)=0,"",IF(('Dvd Calendar'!$AA$876&gt;=GRID_FROM)*('Dvd Calendar'!$AA$876&lt;=GRID_TO)*('Dvd Calendar'!$AA$876&gt;VAL_DATE)=0,"",'Dvd Calendar'!$AA$876*1000000000+ISNUMBER('Dvd Calendar'!$AA$877)*100000000+0*10000000+(N('Dvd Calendar'!$AA$875)&gt;0)*(N('Dvd Calendar'!$AA$875)&lt;=VAL_SERIAL)*1000000+79*1000+63))</f>
        <v/>
      </c>
      <c r="GP90" s="39">
        <f>IF(N('Dvd Calendar'!$AB$876)=0,"",IF(('Dvd Calendar'!$AB$876&gt;=GRID_FROM)*('Dvd Calendar'!$AB$876&lt;=GRID_TO)*('Dvd Calendar'!$AB$876&gt;VAL_DATE)=0,"",'Dvd Calendar'!$AB$876*1000000000+ISNUMBER('Dvd Calendar'!$AB$877)*100000000+0*10000000+(N('Dvd Calendar'!$AB$875)&gt;0)*(N('Dvd Calendar'!$AB$875)&lt;=VAL_SERIAL)*1000000+79*1000+64))</f>
        <v/>
      </c>
      <c r="GQ90" s="39">
        <f>IF(N('Dvd Calendar'!$AC$876)=0,"",IF(('Dvd Calendar'!$AC$876&gt;=GRID_FROM)*('Dvd Calendar'!$AC$876&lt;=GRID_TO)*('Dvd Calendar'!$AC$876&gt;VAL_DATE)=0,"",'Dvd Calendar'!$AC$876*1000000000+ISNUMBER('Dvd Calendar'!$AC$877)*100000000+0*10000000+(N('Dvd Calendar'!$AC$875)&gt;0)*(N('Dvd Calendar'!$AC$875)&lt;=VAL_SERIAL)*1000000+79*1000+65))</f>
        <v/>
      </c>
    </row>
    <row r="91">
      <c r="B91" s="2">
        <f>IF(HSI!$C$86="","",HSI!$C$86)</f>
        <v/>
      </c>
      <c r="C91" s="110">
        <f>IF(EE91="","",IF(ISNUMBER('Dvd Calendar'!$E$883)=FALSE,"",IF((('Dvd Calendar'!$E$885=TYPE1)*(TYPE1&lt;&gt;"")+('Dvd Calendar'!$E$885=TYPE2)*(TYPE2&lt;&gt;"")+('Dvd Calendar'!$E$885=TYPE3)*(TYPE3&lt;&gt;"")+('Dvd Calendar'!$E$885=TYPE4)*(TYPE4&lt;&gt;"")+('Dvd Calendar'!$E$885=SPECIAL_LBL)*(INC_SPECIALS="Y"))=0,"",'Dvd Calendar'!$E$883)))</f>
        <v/>
      </c>
      <c r="D91" s="110">
        <f>IF(EF91="","",IF(ISNUMBER('Dvd Calendar'!$F$883)=FALSE,"",IF((('Dvd Calendar'!$F$885=TYPE1)*(TYPE1&lt;&gt;"")+('Dvd Calendar'!$F$885=TYPE2)*(TYPE2&lt;&gt;"")+('Dvd Calendar'!$F$885=TYPE3)*(TYPE3&lt;&gt;"")+('Dvd Calendar'!$F$885=TYPE4)*(TYPE4&lt;&gt;"")+('Dvd Calendar'!$F$885=SPECIAL_LBL)*(INC_SPECIALS="Y"))=0,"",'Dvd Calendar'!$F$883)))</f>
        <v/>
      </c>
      <c r="E91" s="110">
        <f>IF(EG91="","",IF(ISNUMBER('Dvd Calendar'!$G$883)=FALSE,"",IF((('Dvd Calendar'!$G$885=TYPE1)*(TYPE1&lt;&gt;"")+('Dvd Calendar'!$G$885=TYPE2)*(TYPE2&lt;&gt;"")+('Dvd Calendar'!$G$885=TYPE3)*(TYPE3&lt;&gt;"")+('Dvd Calendar'!$G$885=TYPE4)*(TYPE4&lt;&gt;"")+('Dvd Calendar'!$G$885=SPECIAL_LBL)*(INC_SPECIALS="Y"))=0,"",'Dvd Calendar'!$G$883)))</f>
        <v/>
      </c>
      <c r="F91" s="110">
        <f>IF(EH91="","",IF(ISNUMBER('Dvd Calendar'!$H$883)=FALSE,"",IF((('Dvd Calendar'!$H$885=TYPE1)*(TYPE1&lt;&gt;"")+('Dvd Calendar'!$H$885=TYPE2)*(TYPE2&lt;&gt;"")+('Dvd Calendar'!$H$885=TYPE3)*(TYPE3&lt;&gt;"")+('Dvd Calendar'!$H$885=TYPE4)*(TYPE4&lt;&gt;"")+('Dvd Calendar'!$H$885=SPECIAL_LBL)*(INC_SPECIALS="Y"))=0,"",'Dvd Calendar'!$H$883)))</f>
        <v/>
      </c>
      <c r="G91" s="110">
        <f>IF(EI91="","",IF(ISNUMBER('Dvd Calendar'!$I$883)=FALSE,"",IF((('Dvd Calendar'!$I$885=TYPE1)*(TYPE1&lt;&gt;"")+('Dvd Calendar'!$I$885=TYPE2)*(TYPE2&lt;&gt;"")+('Dvd Calendar'!$I$885=TYPE3)*(TYPE3&lt;&gt;"")+('Dvd Calendar'!$I$885=TYPE4)*(TYPE4&lt;&gt;"")+('Dvd Calendar'!$I$885=SPECIAL_LBL)*(INC_SPECIALS="Y"))=0,"",'Dvd Calendar'!$I$883)))</f>
        <v/>
      </c>
      <c r="H91" s="110">
        <f>IF(EJ91="","",IF(ISNUMBER('Dvd Calendar'!$J$883)=FALSE,"",IF((('Dvd Calendar'!$J$885=TYPE1)*(TYPE1&lt;&gt;"")+('Dvd Calendar'!$J$885=TYPE2)*(TYPE2&lt;&gt;"")+('Dvd Calendar'!$J$885=TYPE3)*(TYPE3&lt;&gt;"")+('Dvd Calendar'!$J$885=TYPE4)*(TYPE4&lt;&gt;"")+('Dvd Calendar'!$J$885=SPECIAL_LBL)*(INC_SPECIALS="Y"))=0,"",'Dvd Calendar'!$J$883)))</f>
        <v/>
      </c>
      <c r="I91" s="110">
        <f>IF(EK91="","",IF(ISNUMBER('Dvd Calendar'!$K$883)=FALSE,"",IF((('Dvd Calendar'!$K$885=TYPE1)*(TYPE1&lt;&gt;"")+('Dvd Calendar'!$K$885=TYPE2)*(TYPE2&lt;&gt;"")+('Dvd Calendar'!$K$885=TYPE3)*(TYPE3&lt;&gt;"")+('Dvd Calendar'!$K$885=TYPE4)*(TYPE4&lt;&gt;"")+('Dvd Calendar'!$K$885=SPECIAL_LBL)*(INC_SPECIALS="Y"))=0,"",'Dvd Calendar'!$K$883)))</f>
        <v/>
      </c>
      <c r="J91" s="110">
        <f>IF(EL91="","",IF(ISNUMBER('Dvd Calendar'!$L$883)=FALSE,"",IF((('Dvd Calendar'!$L$885=TYPE1)*(TYPE1&lt;&gt;"")+('Dvd Calendar'!$L$885=TYPE2)*(TYPE2&lt;&gt;"")+('Dvd Calendar'!$L$885=TYPE3)*(TYPE3&lt;&gt;"")+('Dvd Calendar'!$L$885=TYPE4)*(TYPE4&lt;&gt;"")+('Dvd Calendar'!$L$885=SPECIAL_LBL)*(INC_SPECIALS="Y"))=0,"",'Dvd Calendar'!$L$883)))</f>
        <v/>
      </c>
      <c r="K91" s="110">
        <f>IF(EM91="","",IF(ISNUMBER('Dvd Calendar'!$M$883)=FALSE,"",IF((('Dvd Calendar'!$M$885=TYPE1)*(TYPE1&lt;&gt;"")+('Dvd Calendar'!$M$885=TYPE2)*(TYPE2&lt;&gt;"")+('Dvd Calendar'!$M$885=TYPE3)*(TYPE3&lt;&gt;"")+('Dvd Calendar'!$M$885=TYPE4)*(TYPE4&lt;&gt;"")+('Dvd Calendar'!$M$885=SPECIAL_LBL)*(INC_SPECIALS="Y"))=0,"",'Dvd Calendar'!$M$883)))</f>
        <v/>
      </c>
      <c r="L91" s="110">
        <f>IF(EN91="","",IF(ISNUMBER('Dvd Calendar'!$N$883)=FALSE,"",IF((('Dvd Calendar'!$N$885=TYPE1)*(TYPE1&lt;&gt;"")+('Dvd Calendar'!$N$885=TYPE2)*(TYPE2&lt;&gt;"")+('Dvd Calendar'!$N$885=TYPE3)*(TYPE3&lt;&gt;"")+('Dvd Calendar'!$N$885=TYPE4)*(TYPE4&lt;&gt;"")+('Dvd Calendar'!$N$885=SPECIAL_LBL)*(INC_SPECIALS="Y"))=0,"",'Dvd Calendar'!$N$883)))</f>
        <v/>
      </c>
      <c r="M91" s="110">
        <f>IF(EO91="","",IF(ISNUMBER('Dvd Calendar'!$O$883)=FALSE,"",IF((('Dvd Calendar'!$O$885=TYPE1)*(TYPE1&lt;&gt;"")+('Dvd Calendar'!$O$885=TYPE2)*(TYPE2&lt;&gt;"")+('Dvd Calendar'!$O$885=TYPE3)*(TYPE3&lt;&gt;"")+('Dvd Calendar'!$O$885=TYPE4)*(TYPE4&lt;&gt;"")+('Dvd Calendar'!$O$885=SPECIAL_LBL)*(INC_SPECIALS="Y"))=0,"",'Dvd Calendar'!$O$883)))</f>
        <v/>
      </c>
      <c r="N91" s="110">
        <f>IF(EP91="","",IF(ISNUMBER('Dvd Calendar'!$P$883)=FALSE,"",IF((('Dvd Calendar'!$P$885=TYPE1)*(TYPE1&lt;&gt;"")+('Dvd Calendar'!$P$885=TYPE2)*(TYPE2&lt;&gt;"")+('Dvd Calendar'!$P$885=TYPE3)*(TYPE3&lt;&gt;"")+('Dvd Calendar'!$P$885=TYPE4)*(TYPE4&lt;&gt;"")+('Dvd Calendar'!$P$885=SPECIAL_LBL)*(INC_SPECIALS="Y"))=0,"",'Dvd Calendar'!$P$883)))</f>
        <v/>
      </c>
      <c r="O91" s="110">
        <f>IF(EQ91="","",IF(ISNUMBER('Dvd Calendar'!$Q$883)=FALSE,"",IF((('Dvd Calendar'!$Q$885=TYPE1)*(TYPE1&lt;&gt;"")+('Dvd Calendar'!$Q$885=TYPE2)*(TYPE2&lt;&gt;"")+('Dvd Calendar'!$Q$885=TYPE3)*(TYPE3&lt;&gt;"")+('Dvd Calendar'!$Q$885=TYPE4)*(TYPE4&lt;&gt;"")+('Dvd Calendar'!$Q$885=SPECIAL_LBL)*(INC_SPECIALS="Y"))=0,"",'Dvd Calendar'!$Q$883)))</f>
        <v/>
      </c>
      <c r="P91" s="110">
        <f>IF(ER91="","",IF(ISNUMBER('Dvd Calendar'!$R$883)=FALSE,"",IF((('Dvd Calendar'!$R$885=TYPE1)*(TYPE1&lt;&gt;"")+('Dvd Calendar'!$R$885=TYPE2)*(TYPE2&lt;&gt;"")+('Dvd Calendar'!$R$885=TYPE3)*(TYPE3&lt;&gt;"")+('Dvd Calendar'!$R$885=TYPE4)*(TYPE4&lt;&gt;"")+('Dvd Calendar'!$R$885=SPECIAL_LBL)*(INC_SPECIALS="Y"))=0,"",'Dvd Calendar'!$R$883)))</f>
        <v/>
      </c>
      <c r="Q91" s="110">
        <f>IF(ES91="","",IF(ISNUMBER('Dvd Calendar'!$S$883)=FALSE,"",IF((('Dvd Calendar'!$S$885=TYPE1)*(TYPE1&lt;&gt;"")+('Dvd Calendar'!$S$885=TYPE2)*(TYPE2&lt;&gt;"")+('Dvd Calendar'!$S$885=TYPE3)*(TYPE3&lt;&gt;"")+('Dvd Calendar'!$S$885=TYPE4)*(TYPE4&lt;&gt;"")+('Dvd Calendar'!$S$885=SPECIAL_LBL)*(INC_SPECIALS="Y"))=0,"",'Dvd Calendar'!$S$883)))</f>
        <v/>
      </c>
      <c r="R91" s="110">
        <f>IF(ET91="","",IF(ISNUMBER('Dvd Calendar'!$T$883)=FALSE,"",IF((('Dvd Calendar'!$T$885=TYPE1)*(TYPE1&lt;&gt;"")+('Dvd Calendar'!$T$885=TYPE2)*(TYPE2&lt;&gt;"")+('Dvd Calendar'!$T$885=TYPE3)*(TYPE3&lt;&gt;"")+('Dvd Calendar'!$T$885=TYPE4)*(TYPE4&lt;&gt;"")+('Dvd Calendar'!$T$885=SPECIAL_LBL)*(INC_SPECIALS="Y"))=0,"",'Dvd Calendar'!$T$883)))</f>
        <v/>
      </c>
      <c r="S91" s="110">
        <f>IF(EU91="","",IF(ISNUMBER('Dvd Calendar'!$U$883)=FALSE,"",IF((('Dvd Calendar'!$U$885=TYPE1)*(TYPE1&lt;&gt;"")+('Dvd Calendar'!$U$885=TYPE2)*(TYPE2&lt;&gt;"")+('Dvd Calendar'!$U$885=TYPE3)*(TYPE3&lt;&gt;"")+('Dvd Calendar'!$U$885=TYPE4)*(TYPE4&lt;&gt;"")+('Dvd Calendar'!$U$885=SPECIAL_LBL)*(INC_SPECIALS="Y"))=0,"",'Dvd Calendar'!$U$883)))</f>
        <v/>
      </c>
      <c r="T91" s="110">
        <f>IF(EV91="","",IF(ISNUMBER('Dvd Calendar'!$V$883)=FALSE,"",IF((('Dvd Calendar'!$V$885=TYPE1)*(TYPE1&lt;&gt;"")+('Dvd Calendar'!$V$885=TYPE2)*(TYPE2&lt;&gt;"")+('Dvd Calendar'!$V$885=TYPE3)*(TYPE3&lt;&gt;"")+('Dvd Calendar'!$V$885=TYPE4)*(TYPE4&lt;&gt;"")+('Dvd Calendar'!$V$885=SPECIAL_LBL)*(INC_SPECIALS="Y"))=0,"",'Dvd Calendar'!$V$883)))</f>
        <v/>
      </c>
      <c r="U91" s="110">
        <f>IF(EW91="","",IF(ISNUMBER('Dvd Calendar'!$W$883)=FALSE,"",IF((('Dvd Calendar'!$W$885=TYPE1)*(TYPE1&lt;&gt;"")+('Dvd Calendar'!$W$885=TYPE2)*(TYPE2&lt;&gt;"")+('Dvd Calendar'!$W$885=TYPE3)*(TYPE3&lt;&gt;"")+('Dvd Calendar'!$W$885=TYPE4)*(TYPE4&lt;&gt;"")+('Dvd Calendar'!$W$885=SPECIAL_LBL)*(INC_SPECIALS="Y"))=0,"",'Dvd Calendar'!$W$883)))</f>
        <v/>
      </c>
      <c r="V91" s="110">
        <f>IF(EX91="","",IF(ISNUMBER('Dvd Calendar'!$X$883)=FALSE,"",IF((('Dvd Calendar'!$X$885=TYPE1)*(TYPE1&lt;&gt;"")+('Dvd Calendar'!$X$885=TYPE2)*(TYPE2&lt;&gt;"")+('Dvd Calendar'!$X$885=TYPE3)*(TYPE3&lt;&gt;"")+('Dvd Calendar'!$X$885=TYPE4)*(TYPE4&lt;&gt;"")+('Dvd Calendar'!$X$885=SPECIAL_LBL)*(INC_SPECIALS="Y"))=0,"",'Dvd Calendar'!$X$883)))</f>
        <v/>
      </c>
      <c r="W91" s="110">
        <f>IF(EY91="","",IF(ISNUMBER('Dvd Calendar'!$Y$883)=FALSE,"",IF((('Dvd Calendar'!$Y$885=TYPE1)*(TYPE1&lt;&gt;"")+('Dvd Calendar'!$Y$885=TYPE2)*(TYPE2&lt;&gt;"")+('Dvd Calendar'!$Y$885=TYPE3)*(TYPE3&lt;&gt;"")+('Dvd Calendar'!$Y$885=TYPE4)*(TYPE4&lt;&gt;"")+('Dvd Calendar'!$Y$885=SPECIAL_LBL)*(INC_SPECIALS="Y"))=0,"",'Dvd Calendar'!$Y$883)))</f>
        <v/>
      </c>
      <c r="X91" s="110">
        <f>IF(EZ91="","",IF(ISNUMBER('Dvd Calendar'!$Z$883)=FALSE,"",IF((('Dvd Calendar'!$Z$885=TYPE1)*(TYPE1&lt;&gt;"")+('Dvd Calendar'!$Z$885=TYPE2)*(TYPE2&lt;&gt;"")+('Dvd Calendar'!$Z$885=TYPE3)*(TYPE3&lt;&gt;"")+('Dvd Calendar'!$Z$885=TYPE4)*(TYPE4&lt;&gt;"")+('Dvd Calendar'!$Z$885=SPECIAL_LBL)*(INC_SPECIALS="Y"))=0,"",'Dvd Calendar'!$Z$883)))</f>
        <v/>
      </c>
      <c r="Y91" s="110">
        <f>IF(FA91="","",IF(ISNUMBER('Dvd Calendar'!$AA$883)=FALSE,"",IF((('Dvd Calendar'!$AA$885=TYPE1)*(TYPE1&lt;&gt;"")+('Dvd Calendar'!$AA$885=TYPE2)*(TYPE2&lt;&gt;"")+('Dvd Calendar'!$AA$885=TYPE3)*(TYPE3&lt;&gt;"")+('Dvd Calendar'!$AA$885=TYPE4)*(TYPE4&lt;&gt;"")+('Dvd Calendar'!$AA$885=SPECIAL_LBL)*(INC_SPECIALS="Y"))=0,"",'Dvd Calendar'!$AA$883)))</f>
        <v/>
      </c>
      <c r="Z91" s="110">
        <f>IF(FB91="","",IF(ISNUMBER('Dvd Calendar'!$AB$883)=FALSE,"",IF((('Dvd Calendar'!$AB$885=TYPE1)*(TYPE1&lt;&gt;"")+('Dvd Calendar'!$AB$885=TYPE2)*(TYPE2&lt;&gt;"")+('Dvd Calendar'!$AB$885=TYPE3)*(TYPE3&lt;&gt;"")+('Dvd Calendar'!$AB$885=TYPE4)*(TYPE4&lt;&gt;"")+('Dvd Calendar'!$AB$885=SPECIAL_LBL)*(INC_SPECIALS="Y"))=0,"",'Dvd Calendar'!$AB$883)))</f>
        <v/>
      </c>
      <c r="AA91" s="110">
        <f>IF(FC91="","",IF(ISNUMBER('Dvd Calendar'!$AC$883)=FALSE,"",IF((('Dvd Calendar'!$AC$885=TYPE1)*(TYPE1&lt;&gt;"")+('Dvd Calendar'!$AC$885=TYPE2)*(TYPE2&lt;&gt;"")+('Dvd Calendar'!$AC$885=TYPE3)*(TYPE3&lt;&gt;"")+('Dvd Calendar'!$AC$885=TYPE4)*(TYPE4&lt;&gt;"")+('Dvd Calendar'!$AC$885=SPECIAL_LBL)*(INC_SPECIALS="Y"))=0,"",'Dvd Calendar'!$AC$883)))</f>
        <v/>
      </c>
      <c r="AB91" s="110">
        <f>IF(FD91="","",IF(ISNUMBER('Dvd Calendar'!$AD$883)=FALSE,"",IF((('Dvd Calendar'!$AD$885=TYPE1)*(TYPE1&lt;&gt;"")+('Dvd Calendar'!$AD$885=TYPE2)*(TYPE2&lt;&gt;"")+('Dvd Calendar'!$AD$885=TYPE3)*(TYPE3&lt;&gt;"")+('Dvd Calendar'!$AD$885=TYPE4)*(TYPE4&lt;&gt;"")+('Dvd Calendar'!$AD$885=SPECIAL_LBL)*(INC_SPECIALS="Y"))=0,"",'Dvd Calendar'!$AD$883)))</f>
        <v/>
      </c>
      <c r="AC91" s="110">
        <f>IF(FE91="","",IF(ISNUMBER('Dvd Calendar'!$AE$883)=FALSE,"",IF((('Dvd Calendar'!$AE$885=TYPE1)*(TYPE1&lt;&gt;"")+('Dvd Calendar'!$AE$885=TYPE2)*(TYPE2&lt;&gt;"")+('Dvd Calendar'!$AE$885=TYPE3)*(TYPE3&lt;&gt;"")+('Dvd Calendar'!$AE$885=TYPE4)*(TYPE4&lt;&gt;"")+('Dvd Calendar'!$AE$885=SPECIAL_LBL)*(INC_SPECIALS="Y"))=0,"",'Dvd Calendar'!$AE$883)))</f>
        <v/>
      </c>
      <c r="AD91" s="110">
        <f>IF(FF91="","",IF(ISNUMBER('Dvd Calendar'!$AF$883)=FALSE,"",IF((('Dvd Calendar'!$AF$885=TYPE1)*(TYPE1&lt;&gt;"")+('Dvd Calendar'!$AF$885=TYPE2)*(TYPE2&lt;&gt;"")+('Dvd Calendar'!$AF$885=TYPE3)*(TYPE3&lt;&gt;"")+('Dvd Calendar'!$AF$885=TYPE4)*(TYPE4&lt;&gt;"")+('Dvd Calendar'!$AF$885=SPECIAL_LBL)*(INC_SPECIALS="Y"))=0,"",'Dvd Calendar'!$AF$883)))</f>
        <v/>
      </c>
      <c r="AE91" s="110">
        <f>IF(FG91="","",IF(ISNUMBER('Dvd Calendar'!$AG$883)=FALSE,"",IF((('Dvd Calendar'!$AG$885=TYPE1)*(TYPE1&lt;&gt;"")+('Dvd Calendar'!$AG$885=TYPE2)*(TYPE2&lt;&gt;"")+('Dvd Calendar'!$AG$885=TYPE3)*(TYPE3&lt;&gt;"")+('Dvd Calendar'!$AG$885=TYPE4)*(TYPE4&lt;&gt;"")+('Dvd Calendar'!$AG$885=SPECIAL_LBL)*(INC_SPECIALS="Y"))=0,"",'Dvd Calendar'!$AG$883)))</f>
        <v/>
      </c>
      <c r="AF91" s="110">
        <f>IF(FH91="","",IF(ISNUMBER('Dvd Calendar'!$AH$883)=FALSE,"",IF((('Dvd Calendar'!$AH$885=TYPE1)*(TYPE1&lt;&gt;"")+('Dvd Calendar'!$AH$885=TYPE2)*(TYPE2&lt;&gt;"")+('Dvd Calendar'!$AH$885=TYPE3)*(TYPE3&lt;&gt;"")+('Dvd Calendar'!$AH$885=TYPE4)*(TYPE4&lt;&gt;"")+('Dvd Calendar'!$AH$885=SPECIAL_LBL)*(INC_SPECIALS="Y"))=0,"",'Dvd Calendar'!$AH$883)))</f>
        <v/>
      </c>
      <c r="AG91" s="110">
        <f>IF(FI91="","",IF(ISNUMBER('Dvd Calendar'!$AI$883)=FALSE,"",IF((('Dvd Calendar'!$AI$885=TYPE1)*(TYPE1&lt;&gt;"")+('Dvd Calendar'!$AI$885=TYPE2)*(TYPE2&lt;&gt;"")+('Dvd Calendar'!$AI$885=TYPE3)*(TYPE3&lt;&gt;"")+('Dvd Calendar'!$AI$885=TYPE4)*(TYPE4&lt;&gt;"")+('Dvd Calendar'!$AI$885=SPECIAL_LBL)*(INC_SPECIALS="Y"))=0,"",'Dvd Calendar'!$AI$883)))</f>
        <v/>
      </c>
      <c r="AH91" s="110">
        <f>IF(FJ91="","",IF(ISNUMBER('Dvd Calendar'!$AJ$883)=FALSE,"",IF((('Dvd Calendar'!$AJ$885=TYPE1)*(TYPE1&lt;&gt;"")+('Dvd Calendar'!$AJ$885=TYPE2)*(TYPE2&lt;&gt;"")+('Dvd Calendar'!$AJ$885=TYPE3)*(TYPE3&lt;&gt;"")+('Dvd Calendar'!$AJ$885=TYPE4)*(TYPE4&lt;&gt;"")+('Dvd Calendar'!$AJ$885=SPECIAL_LBL)*(INC_SPECIALS="Y"))=0,"",'Dvd Calendar'!$AJ$883)))</f>
        <v/>
      </c>
      <c r="AI91" s="110">
        <f>IF(FK91="","",IF(ISNUMBER('Dvd Calendar'!$AK$883)=FALSE,"",IF((('Dvd Calendar'!$AK$885=TYPE1)*(TYPE1&lt;&gt;"")+('Dvd Calendar'!$AK$885=TYPE2)*(TYPE2&lt;&gt;"")+('Dvd Calendar'!$AK$885=TYPE3)*(TYPE3&lt;&gt;"")+('Dvd Calendar'!$AK$885=TYPE4)*(TYPE4&lt;&gt;"")+('Dvd Calendar'!$AK$885=SPECIAL_LBL)*(INC_SPECIALS="Y"))=0,"",'Dvd Calendar'!$AK$883)))</f>
        <v/>
      </c>
      <c r="AJ91" s="110">
        <f>IF(FL91="","",IF(ISNUMBER('Dvd Calendar'!$AL$883)=FALSE,"",IF((('Dvd Calendar'!$AL$885=TYPE1)*(TYPE1&lt;&gt;"")+('Dvd Calendar'!$AL$885=TYPE2)*(TYPE2&lt;&gt;"")+('Dvd Calendar'!$AL$885=TYPE3)*(TYPE3&lt;&gt;"")+('Dvd Calendar'!$AL$885=TYPE4)*(TYPE4&lt;&gt;"")+('Dvd Calendar'!$AL$885=SPECIAL_LBL)*(INC_SPECIALS="Y"))=0,"",'Dvd Calendar'!$AL$883)))</f>
        <v/>
      </c>
      <c r="AK91" s="110">
        <f>IF(FM91="","",IF(ISNUMBER('Dvd Calendar'!$AM$883)=FALSE,"",IF((('Dvd Calendar'!$AM$885=TYPE1)*(TYPE1&lt;&gt;"")+('Dvd Calendar'!$AM$885=TYPE2)*(TYPE2&lt;&gt;"")+('Dvd Calendar'!$AM$885=TYPE3)*(TYPE3&lt;&gt;"")+('Dvd Calendar'!$AM$885=TYPE4)*(TYPE4&lt;&gt;"")+('Dvd Calendar'!$AM$885=SPECIAL_LBL)*(INC_SPECIALS="Y"))=0,"",'Dvd Calendar'!$AM$883)))</f>
        <v/>
      </c>
      <c r="AL91" s="110">
        <f>IF(FN91="","",IF(ISNUMBER('Dvd Calendar'!$AN$883)=FALSE,"",IF((('Dvd Calendar'!$AN$885=TYPE1)*(TYPE1&lt;&gt;"")+('Dvd Calendar'!$AN$885=TYPE2)*(TYPE2&lt;&gt;"")+('Dvd Calendar'!$AN$885=TYPE3)*(TYPE3&lt;&gt;"")+('Dvd Calendar'!$AN$885=TYPE4)*(TYPE4&lt;&gt;"")+('Dvd Calendar'!$AN$885=SPECIAL_LBL)*(INC_SPECIALS="Y"))=0,"",'Dvd Calendar'!$AN$883)))</f>
        <v/>
      </c>
      <c r="AM91" s="110">
        <f>IF(FO91="","",IF(ISNUMBER('Dvd Calendar'!$AO$883)=FALSE,"",IF((('Dvd Calendar'!$AO$885=TYPE1)*(TYPE1&lt;&gt;"")+('Dvd Calendar'!$AO$885=TYPE2)*(TYPE2&lt;&gt;"")+('Dvd Calendar'!$AO$885=TYPE3)*(TYPE3&lt;&gt;"")+('Dvd Calendar'!$AO$885=TYPE4)*(TYPE4&lt;&gt;"")+('Dvd Calendar'!$AO$885=SPECIAL_LBL)*(INC_SPECIALS="Y"))=0,"",'Dvd Calendar'!$AO$883)))</f>
        <v/>
      </c>
      <c r="AN91" s="110">
        <f>IF(FP91="","",IF(ISNUMBER('Dvd Calendar'!$AP$883)=FALSE,"",IF((('Dvd Calendar'!$AP$885=TYPE1)*(TYPE1&lt;&gt;"")+('Dvd Calendar'!$AP$885=TYPE2)*(TYPE2&lt;&gt;"")+('Dvd Calendar'!$AP$885=TYPE3)*(TYPE3&lt;&gt;"")+('Dvd Calendar'!$AP$885=TYPE4)*(TYPE4&lt;&gt;"")+('Dvd Calendar'!$AP$885=SPECIAL_LBL)*(INC_SPECIALS="Y"))=0,"",'Dvd Calendar'!$AP$883)))</f>
        <v/>
      </c>
      <c r="AO91" s="110">
        <f>IF(FQ91="","",IF(ISNUMBER('Dvd Calendar'!$AQ$883)=FALSE,"",IF((('Dvd Calendar'!$AQ$885=TYPE1)*(TYPE1&lt;&gt;"")+('Dvd Calendar'!$AQ$885=TYPE2)*(TYPE2&lt;&gt;"")+('Dvd Calendar'!$AQ$885=TYPE3)*(TYPE3&lt;&gt;"")+('Dvd Calendar'!$AQ$885=TYPE4)*(TYPE4&lt;&gt;"")+('Dvd Calendar'!$AQ$885=SPECIAL_LBL)*(INC_SPECIALS="Y"))=0,"",'Dvd Calendar'!$AQ$883)))</f>
        <v/>
      </c>
      <c r="AP91" s="110">
        <f>IF(FR91="","",IF(ISNUMBER('Dvd Calendar'!$AR$883)=FALSE,"",IF((('Dvd Calendar'!$AR$885=TYPE1)*(TYPE1&lt;&gt;"")+('Dvd Calendar'!$AR$885=TYPE2)*(TYPE2&lt;&gt;"")+('Dvd Calendar'!$AR$885=TYPE3)*(TYPE3&lt;&gt;"")+('Dvd Calendar'!$AR$885=TYPE4)*(TYPE4&lt;&gt;"")+('Dvd Calendar'!$AR$885=SPECIAL_LBL)*(INC_SPECIALS="Y"))=0,"",'Dvd Calendar'!$AR$883)))</f>
        <v/>
      </c>
      <c r="AQ91" s="110">
        <f>IF(FS91="","",IF(ISNUMBER('Dvd Calendar'!$E$888)=FALSE,"",'Dvd Calendar'!$E$888))</f>
        <v/>
      </c>
      <c r="AR91" s="110">
        <f>IF(FT91="","",IF(ISNUMBER('Dvd Calendar'!$F$888)=FALSE,"",'Dvd Calendar'!$F$888))</f>
        <v/>
      </c>
      <c r="AS91" s="110">
        <f>IF(FU91="","",IF(ISNUMBER('Dvd Calendar'!$G$888)=FALSE,"",'Dvd Calendar'!$G$888))</f>
        <v/>
      </c>
      <c r="AT91" s="110">
        <f>IF(FV91="","",IF(ISNUMBER('Dvd Calendar'!$H$888)=FALSE,"",'Dvd Calendar'!$H$888))</f>
        <v/>
      </c>
      <c r="AU91" s="110">
        <f>IF(FW91="","",IF(ISNUMBER('Dvd Calendar'!$I$888)=FALSE,"",'Dvd Calendar'!$I$888))</f>
        <v/>
      </c>
      <c r="AV91" s="110">
        <f>IF(FX91="","",IF(ISNUMBER('Dvd Calendar'!$J$888)=FALSE,"",'Dvd Calendar'!$J$888))</f>
        <v/>
      </c>
      <c r="AW91" s="110">
        <f>IF(FY91="","",IF(ISNUMBER('Dvd Calendar'!$K$888)=FALSE,"",'Dvd Calendar'!$K$888))</f>
        <v/>
      </c>
      <c r="AX91" s="110">
        <f>IF(FZ91="","",IF(ISNUMBER('Dvd Calendar'!$L$888)=FALSE,"",'Dvd Calendar'!$L$888))</f>
        <v/>
      </c>
      <c r="AY91" s="110">
        <f>IF(GA91="","",IF(ISNUMBER('Dvd Calendar'!$M$888)=FALSE,"",'Dvd Calendar'!$M$888))</f>
        <v/>
      </c>
      <c r="AZ91" s="110">
        <f>IF(GB91="","",IF(ISNUMBER('Dvd Calendar'!$N$888)=FALSE,"",'Dvd Calendar'!$N$888))</f>
        <v/>
      </c>
      <c r="BA91" s="110">
        <f>IF(GC91="","",IF(ISNUMBER('Dvd Calendar'!$O$888)=FALSE,"",'Dvd Calendar'!$O$888))</f>
        <v/>
      </c>
      <c r="BB91" s="110">
        <f>IF(GD91="","",IF(ISNUMBER('Dvd Calendar'!$P$888)=FALSE,"",'Dvd Calendar'!$P$888))</f>
        <v/>
      </c>
      <c r="BC91" s="110">
        <f>IF(GE91="","",IF(ISNUMBER('Dvd Calendar'!$Q$888)=FALSE,"",'Dvd Calendar'!$Q$888))</f>
        <v/>
      </c>
      <c r="BD91" s="110">
        <f>IF(GF91="","",IF(ISNUMBER('Dvd Calendar'!$R$888)=FALSE,"",'Dvd Calendar'!$R$888))</f>
        <v/>
      </c>
      <c r="BE91" s="110">
        <f>IF(GG91="","",IF(ISNUMBER('Dvd Calendar'!$S$888)=FALSE,"",'Dvd Calendar'!$S$888))</f>
        <v/>
      </c>
      <c r="BF91" s="110">
        <f>IF(GH91="","",IF(ISNUMBER('Dvd Calendar'!$T$888)=FALSE,"",'Dvd Calendar'!$T$888))</f>
        <v/>
      </c>
      <c r="BG91" s="110">
        <f>IF(GI91="","",IF(ISNUMBER('Dvd Calendar'!$U$888)=FALSE,"",'Dvd Calendar'!$U$888))</f>
        <v/>
      </c>
      <c r="BH91" s="110">
        <f>IF(GJ91="","",IF(ISNUMBER('Dvd Calendar'!$V$888)=FALSE,"",'Dvd Calendar'!$V$888))</f>
        <v/>
      </c>
      <c r="BI91" s="110">
        <f>IF(GK91="","",IF(ISNUMBER('Dvd Calendar'!$W$888)=FALSE,"",'Dvd Calendar'!$W$888))</f>
        <v/>
      </c>
      <c r="BJ91" s="110">
        <f>IF(GL91="","",IF(ISNUMBER('Dvd Calendar'!$X$888)=FALSE,"",'Dvd Calendar'!$X$888))</f>
        <v/>
      </c>
      <c r="BK91" s="110">
        <f>IF(GM91="","",IF(ISNUMBER('Dvd Calendar'!$Y$888)=FALSE,"",'Dvd Calendar'!$Y$888))</f>
        <v/>
      </c>
      <c r="BL91" s="110">
        <f>IF(GN91="","",IF(ISNUMBER('Dvd Calendar'!$Z$888)=FALSE,"",'Dvd Calendar'!$Z$888))</f>
        <v/>
      </c>
      <c r="BM91" s="110">
        <f>IF(GO91="","",IF(ISNUMBER('Dvd Calendar'!$AA$888)=FALSE,"",'Dvd Calendar'!$AA$888))</f>
        <v/>
      </c>
      <c r="BN91" s="110">
        <f>IF(GP91="","",IF(ISNUMBER('Dvd Calendar'!$AB$888)=FALSE,"",'Dvd Calendar'!$AB$888))</f>
        <v/>
      </c>
      <c r="BO91" s="110">
        <f>IF(GQ91="","",IF(ISNUMBER('Dvd Calendar'!$AC$888)=FALSE,"",'Dvd Calendar'!$AC$888))</f>
        <v/>
      </c>
      <c r="BQ91" s="110">
        <f>IF(C91="","",IFERROR(C91*HSI!$B$86*HSI!$G$86/HSI!$B$3,""))</f>
        <v/>
      </c>
      <c r="BR91" s="110">
        <f>IF(D91="","",IFERROR(D91*HSI!$B$86*HSI!$G$86/HSI!$B$3,""))</f>
        <v/>
      </c>
      <c r="BS91" s="110">
        <f>IF(E91="","",IFERROR(E91*HSI!$B$86*HSI!$G$86/HSI!$B$3,""))</f>
        <v/>
      </c>
      <c r="BT91" s="110">
        <f>IF(F91="","",IFERROR(F91*HSI!$B$86*HSI!$G$86/HSI!$B$3,""))</f>
        <v/>
      </c>
      <c r="BU91" s="110">
        <f>IF(G91="","",IFERROR(G91*HSI!$B$86*HSI!$G$86/HSI!$B$3,""))</f>
        <v/>
      </c>
      <c r="BV91" s="110">
        <f>IF(H91="","",IFERROR(H91*HSI!$B$86*HSI!$G$86/HSI!$B$3,""))</f>
        <v/>
      </c>
      <c r="BW91" s="110">
        <f>IF(I91="","",IFERROR(I91*HSI!$B$86*HSI!$G$86/HSI!$B$3,""))</f>
        <v/>
      </c>
      <c r="BX91" s="110">
        <f>IF(J91="","",IFERROR(J91*HSI!$B$86*HSI!$G$86/HSI!$B$3,""))</f>
        <v/>
      </c>
      <c r="BY91" s="110">
        <f>IF(K91="","",IFERROR(K91*HSI!$B$86*HSI!$G$86/HSI!$B$3,""))</f>
        <v/>
      </c>
      <c r="BZ91" s="110">
        <f>IF(L91="","",IFERROR(L91*HSI!$B$86*HSI!$G$86/HSI!$B$3,""))</f>
        <v/>
      </c>
      <c r="CA91" s="110">
        <f>IF(M91="","",IFERROR(M91*HSI!$B$86*HSI!$G$86/HSI!$B$3,""))</f>
        <v/>
      </c>
      <c r="CB91" s="110">
        <f>IF(N91="","",IFERROR(N91*HSI!$B$86*HSI!$G$86/HSI!$B$3,""))</f>
        <v/>
      </c>
      <c r="CC91" s="110">
        <f>IF(O91="","",IFERROR(O91*HSI!$B$86*HSI!$G$86/HSI!$B$3,""))</f>
        <v/>
      </c>
      <c r="CD91" s="110">
        <f>IF(P91="","",IFERROR(P91*HSI!$B$86*HSI!$G$86/HSI!$B$3,""))</f>
        <v/>
      </c>
      <c r="CE91" s="110">
        <f>IF(Q91="","",IFERROR(Q91*HSI!$B$86*HSI!$G$86/HSI!$B$3,""))</f>
        <v/>
      </c>
      <c r="CF91" s="110">
        <f>IF(R91="","",IFERROR(R91*HSI!$B$86*HSI!$G$86/HSI!$B$3,""))</f>
        <v/>
      </c>
      <c r="CG91" s="110">
        <f>IF(S91="","",IFERROR(S91*HSI!$B$86*HSI!$G$86/HSI!$B$3,""))</f>
        <v/>
      </c>
      <c r="CH91" s="110">
        <f>IF(T91="","",IFERROR(T91*HSI!$B$86*HSI!$G$86/HSI!$B$3,""))</f>
        <v/>
      </c>
      <c r="CI91" s="110">
        <f>IF(U91="","",IFERROR(U91*HSI!$B$86*HSI!$G$86/HSI!$B$3,""))</f>
        <v/>
      </c>
      <c r="CJ91" s="110">
        <f>IF(V91="","",IFERROR(V91*HSI!$B$86*HSI!$G$86/HSI!$B$3,""))</f>
        <v/>
      </c>
      <c r="CK91" s="110">
        <f>IF(W91="","",IFERROR(W91*HSI!$B$86*HSI!$G$86/HSI!$B$3,""))</f>
        <v/>
      </c>
      <c r="CL91" s="110">
        <f>IF(X91="","",IFERROR(X91*HSI!$B$86*HSI!$G$86/HSI!$B$3,""))</f>
        <v/>
      </c>
      <c r="CM91" s="110">
        <f>IF(Y91="","",IFERROR(Y91*HSI!$B$86*HSI!$G$86/HSI!$B$3,""))</f>
        <v/>
      </c>
      <c r="CN91" s="110">
        <f>IF(Z91="","",IFERROR(Z91*HSI!$B$86*HSI!$G$86/HSI!$B$3,""))</f>
        <v/>
      </c>
      <c r="CO91" s="110">
        <f>IF(AA91="","",IFERROR(AA91*HSI!$B$86*HSI!$G$86/HSI!$B$3,""))</f>
        <v/>
      </c>
      <c r="CP91" s="110">
        <f>IF(AB91="","",IFERROR(AB91*HSI!$B$86*HSI!$G$86/HSI!$B$3,""))</f>
        <v/>
      </c>
      <c r="CQ91" s="110">
        <f>IF(AC91="","",IFERROR(AC91*HSI!$B$86*HSI!$G$86/HSI!$B$3,""))</f>
        <v/>
      </c>
      <c r="CR91" s="110">
        <f>IF(AD91="","",IFERROR(AD91*HSI!$B$86*HSI!$G$86/HSI!$B$3,""))</f>
        <v/>
      </c>
      <c r="CS91" s="110">
        <f>IF(AE91="","",IFERROR(AE91*HSI!$B$86*HSI!$G$86/HSI!$B$3,""))</f>
        <v/>
      </c>
      <c r="CT91" s="110">
        <f>IF(AF91="","",IFERROR(AF91*HSI!$B$86*HSI!$G$86/HSI!$B$3,""))</f>
        <v/>
      </c>
      <c r="CU91" s="110">
        <f>IF(AG91="","",IFERROR(AG91*HSI!$B$86*HSI!$G$86/HSI!$B$3,""))</f>
        <v/>
      </c>
      <c r="CV91" s="110">
        <f>IF(AH91="","",IFERROR(AH91*HSI!$B$86*HSI!$G$86/HSI!$B$3,""))</f>
        <v/>
      </c>
      <c r="CW91" s="110">
        <f>IF(AI91="","",IFERROR(AI91*HSI!$B$86*HSI!$G$86/HSI!$B$3,""))</f>
        <v/>
      </c>
      <c r="CX91" s="110">
        <f>IF(AJ91="","",IFERROR(AJ91*HSI!$B$86*HSI!$G$86/HSI!$B$3,""))</f>
        <v/>
      </c>
      <c r="CY91" s="110">
        <f>IF(AK91="","",IFERROR(AK91*HSI!$B$86*HSI!$G$86/HSI!$B$3,""))</f>
        <v/>
      </c>
      <c r="CZ91" s="110">
        <f>IF(AL91="","",IFERROR(AL91*HSI!$B$86*HSI!$G$86/HSI!$B$3,""))</f>
        <v/>
      </c>
      <c r="DA91" s="110">
        <f>IF(AM91="","",IFERROR(AM91*HSI!$B$86*HSI!$G$86/HSI!$B$3,""))</f>
        <v/>
      </c>
      <c r="DB91" s="110">
        <f>IF(AN91="","",IFERROR(AN91*HSI!$B$86*HSI!$G$86/HSI!$B$3,""))</f>
        <v/>
      </c>
      <c r="DC91" s="110">
        <f>IF(AO91="","",IFERROR(AO91*HSI!$B$86*HSI!$G$86/HSI!$B$3,""))</f>
        <v/>
      </c>
      <c r="DD91" s="110">
        <f>IF(AP91="","",IFERROR(AP91*HSI!$B$86*HSI!$G$86/HSI!$B$3,""))</f>
        <v/>
      </c>
      <c r="DE91" s="110">
        <f>IF(AQ91="","",IFERROR(AQ91*HSI!$B$86*HSI!$G$86/HSI!$B$3,""))</f>
        <v/>
      </c>
      <c r="DF91" s="110">
        <f>IF(AR91="","",IFERROR(AR91*HSI!$B$86*HSI!$G$86/HSI!$B$3,""))</f>
        <v/>
      </c>
      <c r="DG91" s="110">
        <f>IF(AS91="","",IFERROR(AS91*HSI!$B$86*HSI!$G$86/HSI!$B$3,""))</f>
        <v/>
      </c>
      <c r="DH91" s="110">
        <f>IF(AT91="","",IFERROR(AT91*HSI!$B$86*HSI!$G$86/HSI!$B$3,""))</f>
        <v/>
      </c>
      <c r="DI91" s="110">
        <f>IF(AU91="","",IFERROR(AU91*HSI!$B$86*HSI!$G$86/HSI!$B$3,""))</f>
        <v/>
      </c>
      <c r="DJ91" s="110">
        <f>IF(AV91="","",IFERROR(AV91*HSI!$B$86*HSI!$G$86/HSI!$B$3,""))</f>
        <v/>
      </c>
      <c r="DK91" s="110">
        <f>IF(AW91="","",IFERROR(AW91*HSI!$B$86*HSI!$G$86/HSI!$B$3,""))</f>
        <v/>
      </c>
      <c r="DL91" s="110">
        <f>IF(AX91="","",IFERROR(AX91*HSI!$B$86*HSI!$G$86/HSI!$B$3,""))</f>
        <v/>
      </c>
      <c r="DM91" s="110">
        <f>IF(AY91="","",IFERROR(AY91*HSI!$B$86*HSI!$G$86/HSI!$B$3,""))</f>
        <v/>
      </c>
      <c r="DN91" s="110">
        <f>IF(AZ91="","",IFERROR(AZ91*HSI!$B$86*HSI!$G$86/HSI!$B$3,""))</f>
        <v/>
      </c>
      <c r="DO91" s="110">
        <f>IF(BA91="","",IFERROR(BA91*HSI!$B$86*HSI!$G$86/HSI!$B$3,""))</f>
        <v/>
      </c>
      <c r="DP91" s="110">
        <f>IF(BB91="","",IFERROR(BB91*HSI!$B$86*HSI!$G$86/HSI!$B$3,""))</f>
        <v/>
      </c>
      <c r="DQ91" s="110">
        <f>IF(BC91="","",IFERROR(BC91*HSI!$B$86*HSI!$G$86/HSI!$B$3,""))</f>
        <v/>
      </c>
      <c r="DR91" s="110">
        <f>IF(BD91="","",IFERROR(BD91*HSI!$B$86*HSI!$G$86/HSI!$B$3,""))</f>
        <v/>
      </c>
      <c r="DS91" s="110">
        <f>IF(BE91="","",IFERROR(BE91*HSI!$B$86*HSI!$G$86/HSI!$B$3,""))</f>
        <v/>
      </c>
      <c r="DT91" s="110">
        <f>IF(BF91="","",IFERROR(BF91*HSI!$B$86*HSI!$G$86/HSI!$B$3,""))</f>
        <v/>
      </c>
      <c r="DU91" s="110">
        <f>IF(BG91="","",IFERROR(BG91*HSI!$B$86*HSI!$G$86/HSI!$B$3,""))</f>
        <v/>
      </c>
      <c r="DV91" s="110">
        <f>IF(BH91="","",IFERROR(BH91*HSI!$B$86*HSI!$G$86/HSI!$B$3,""))</f>
        <v/>
      </c>
      <c r="DW91" s="110">
        <f>IF(BI91="","",IFERROR(BI91*HSI!$B$86*HSI!$G$86/HSI!$B$3,""))</f>
        <v/>
      </c>
      <c r="DX91" s="110">
        <f>IF(BJ91="","",IFERROR(BJ91*HSI!$B$86*HSI!$G$86/HSI!$B$3,""))</f>
        <v/>
      </c>
      <c r="DY91" s="110">
        <f>IF(BK91="","",IFERROR(BK91*HSI!$B$86*HSI!$G$86/HSI!$B$3,""))</f>
        <v/>
      </c>
      <c r="DZ91" s="110">
        <f>IF(BL91="","",IFERROR(BL91*HSI!$B$86*HSI!$G$86/HSI!$B$3,""))</f>
        <v/>
      </c>
      <c r="EA91" s="110">
        <f>IF(BM91="","",IFERROR(BM91*HSI!$B$86*HSI!$G$86/HSI!$B$3,""))</f>
        <v/>
      </c>
      <c r="EB91" s="110">
        <f>IF(BN91="","",IFERROR(BN91*HSI!$B$86*HSI!$G$86/HSI!$B$3,""))</f>
        <v/>
      </c>
      <c r="EC91" s="110">
        <f>IF(BO91="","",IFERROR(BO91*HSI!$B$86*HSI!$G$86/HSI!$B$3,""))</f>
        <v/>
      </c>
      <c r="EE91" s="39">
        <f>IF(N('Dvd Calendar'!$E$880)=0,"",IF(('Dvd Calendar'!$E$880&gt;=GRID_FROM)*('Dvd Calendar'!$E$880&lt;=GRID_TO)*((('Dvd Calendar'!$E$880&lt;=VAL_DATE)+(COUNTIF('Dvd Calendar'!$E$887:$AR$887,'Dvd Calendar'!$E$880)=0))&gt;0)=0,"",'Dvd Calendar'!$E$880*1000000000+ISNUMBER('Dvd Calendar'!$E$883)*100000000+('Dvd Calendar'!$E$885=SPECIAL_LBL)*10000000+(N('Dvd Calendar'!$E$879)&gt;0)*(N('Dvd Calendar'!$E$879)&lt;=VAL_SERIAL)*1000000+80*1000+1))</f>
        <v/>
      </c>
      <c r="EF91" s="39">
        <f>IF(N('Dvd Calendar'!$F$880)=0,"",IF(('Dvd Calendar'!$F$880&gt;=GRID_FROM)*('Dvd Calendar'!$F$880&lt;=GRID_TO)*((('Dvd Calendar'!$F$880&lt;=VAL_DATE)+(COUNTIF('Dvd Calendar'!$E$887:$AR$887,'Dvd Calendar'!$F$880)=0))&gt;0)=0,"",'Dvd Calendar'!$F$880*1000000000+ISNUMBER('Dvd Calendar'!$F$883)*100000000+('Dvd Calendar'!$F$885=SPECIAL_LBL)*10000000+(N('Dvd Calendar'!$F$879)&gt;0)*(N('Dvd Calendar'!$F$879)&lt;=VAL_SERIAL)*1000000+80*1000+2))</f>
        <v/>
      </c>
      <c r="EG91" s="39">
        <f>IF(N('Dvd Calendar'!$G$880)=0,"",IF(('Dvd Calendar'!$G$880&gt;=GRID_FROM)*('Dvd Calendar'!$G$880&lt;=GRID_TO)*((('Dvd Calendar'!$G$880&lt;=VAL_DATE)+(COUNTIF('Dvd Calendar'!$E$887:$AR$887,'Dvd Calendar'!$G$880)=0))&gt;0)=0,"",'Dvd Calendar'!$G$880*1000000000+ISNUMBER('Dvd Calendar'!$G$883)*100000000+('Dvd Calendar'!$G$885=SPECIAL_LBL)*10000000+(N('Dvd Calendar'!$G$879)&gt;0)*(N('Dvd Calendar'!$G$879)&lt;=VAL_SERIAL)*1000000+80*1000+3))</f>
        <v/>
      </c>
      <c r="EH91" s="39">
        <f>IF(N('Dvd Calendar'!$H$880)=0,"",IF(('Dvd Calendar'!$H$880&gt;=GRID_FROM)*('Dvd Calendar'!$H$880&lt;=GRID_TO)*((('Dvd Calendar'!$H$880&lt;=VAL_DATE)+(COUNTIF('Dvd Calendar'!$E$887:$AR$887,'Dvd Calendar'!$H$880)=0))&gt;0)=0,"",'Dvd Calendar'!$H$880*1000000000+ISNUMBER('Dvd Calendar'!$H$883)*100000000+('Dvd Calendar'!$H$885=SPECIAL_LBL)*10000000+(N('Dvd Calendar'!$H$879)&gt;0)*(N('Dvd Calendar'!$H$879)&lt;=VAL_SERIAL)*1000000+80*1000+4))</f>
        <v/>
      </c>
      <c r="EI91" s="39">
        <f>IF(N('Dvd Calendar'!$I$880)=0,"",IF(('Dvd Calendar'!$I$880&gt;=GRID_FROM)*('Dvd Calendar'!$I$880&lt;=GRID_TO)*((('Dvd Calendar'!$I$880&lt;=VAL_DATE)+(COUNTIF('Dvd Calendar'!$E$887:$AR$887,'Dvd Calendar'!$I$880)=0))&gt;0)=0,"",'Dvd Calendar'!$I$880*1000000000+ISNUMBER('Dvd Calendar'!$I$883)*100000000+('Dvd Calendar'!$I$885=SPECIAL_LBL)*10000000+(N('Dvd Calendar'!$I$879)&gt;0)*(N('Dvd Calendar'!$I$879)&lt;=VAL_SERIAL)*1000000+80*1000+5))</f>
        <v/>
      </c>
      <c r="EJ91" s="39">
        <f>IF(N('Dvd Calendar'!$J$880)=0,"",IF(('Dvd Calendar'!$J$880&gt;=GRID_FROM)*('Dvd Calendar'!$J$880&lt;=GRID_TO)*((('Dvd Calendar'!$J$880&lt;=VAL_DATE)+(COUNTIF('Dvd Calendar'!$E$887:$AR$887,'Dvd Calendar'!$J$880)=0))&gt;0)=0,"",'Dvd Calendar'!$J$880*1000000000+ISNUMBER('Dvd Calendar'!$J$883)*100000000+('Dvd Calendar'!$J$885=SPECIAL_LBL)*10000000+(N('Dvd Calendar'!$J$879)&gt;0)*(N('Dvd Calendar'!$J$879)&lt;=VAL_SERIAL)*1000000+80*1000+6))</f>
        <v/>
      </c>
      <c r="EK91" s="39">
        <f>IF(N('Dvd Calendar'!$K$880)=0,"",IF(('Dvd Calendar'!$K$880&gt;=GRID_FROM)*('Dvd Calendar'!$K$880&lt;=GRID_TO)*((('Dvd Calendar'!$K$880&lt;=VAL_DATE)+(COUNTIF('Dvd Calendar'!$E$887:$AR$887,'Dvd Calendar'!$K$880)=0))&gt;0)=0,"",'Dvd Calendar'!$K$880*1000000000+ISNUMBER('Dvd Calendar'!$K$883)*100000000+('Dvd Calendar'!$K$885=SPECIAL_LBL)*10000000+(N('Dvd Calendar'!$K$879)&gt;0)*(N('Dvd Calendar'!$K$879)&lt;=VAL_SERIAL)*1000000+80*1000+7))</f>
        <v/>
      </c>
      <c r="EL91" s="39">
        <f>IF(N('Dvd Calendar'!$L$880)=0,"",IF(('Dvd Calendar'!$L$880&gt;=GRID_FROM)*('Dvd Calendar'!$L$880&lt;=GRID_TO)*((('Dvd Calendar'!$L$880&lt;=VAL_DATE)+(COUNTIF('Dvd Calendar'!$E$887:$AR$887,'Dvd Calendar'!$L$880)=0))&gt;0)=0,"",'Dvd Calendar'!$L$880*1000000000+ISNUMBER('Dvd Calendar'!$L$883)*100000000+('Dvd Calendar'!$L$885=SPECIAL_LBL)*10000000+(N('Dvd Calendar'!$L$879)&gt;0)*(N('Dvd Calendar'!$L$879)&lt;=VAL_SERIAL)*1000000+80*1000+8))</f>
        <v/>
      </c>
      <c r="EM91" s="39">
        <f>IF(N('Dvd Calendar'!$M$880)=0,"",IF(('Dvd Calendar'!$M$880&gt;=GRID_FROM)*('Dvd Calendar'!$M$880&lt;=GRID_TO)*((('Dvd Calendar'!$M$880&lt;=VAL_DATE)+(COUNTIF('Dvd Calendar'!$E$887:$AR$887,'Dvd Calendar'!$M$880)=0))&gt;0)=0,"",'Dvd Calendar'!$M$880*1000000000+ISNUMBER('Dvd Calendar'!$M$883)*100000000+('Dvd Calendar'!$M$885=SPECIAL_LBL)*10000000+(N('Dvd Calendar'!$M$879)&gt;0)*(N('Dvd Calendar'!$M$879)&lt;=VAL_SERIAL)*1000000+80*1000+9))</f>
        <v/>
      </c>
      <c r="EN91" s="39">
        <f>IF(N('Dvd Calendar'!$N$880)=0,"",IF(('Dvd Calendar'!$N$880&gt;=GRID_FROM)*('Dvd Calendar'!$N$880&lt;=GRID_TO)*((('Dvd Calendar'!$N$880&lt;=VAL_DATE)+(COUNTIF('Dvd Calendar'!$E$887:$AR$887,'Dvd Calendar'!$N$880)=0))&gt;0)=0,"",'Dvd Calendar'!$N$880*1000000000+ISNUMBER('Dvd Calendar'!$N$883)*100000000+('Dvd Calendar'!$N$885=SPECIAL_LBL)*10000000+(N('Dvd Calendar'!$N$879)&gt;0)*(N('Dvd Calendar'!$N$879)&lt;=VAL_SERIAL)*1000000+80*1000+10))</f>
        <v/>
      </c>
      <c r="EO91" s="39">
        <f>IF(N('Dvd Calendar'!$O$880)=0,"",IF(('Dvd Calendar'!$O$880&gt;=GRID_FROM)*('Dvd Calendar'!$O$880&lt;=GRID_TO)*((('Dvd Calendar'!$O$880&lt;=VAL_DATE)+(COUNTIF('Dvd Calendar'!$E$887:$AR$887,'Dvd Calendar'!$O$880)=0))&gt;0)=0,"",'Dvd Calendar'!$O$880*1000000000+ISNUMBER('Dvd Calendar'!$O$883)*100000000+('Dvd Calendar'!$O$885=SPECIAL_LBL)*10000000+(N('Dvd Calendar'!$O$879)&gt;0)*(N('Dvd Calendar'!$O$879)&lt;=VAL_SERIAL)*1000000+80*1000+11))</f>
        <v/>
      </c>
      <c r="EP91" s="39">
        <f>IF(N('Dvd Calendar'!$P$880)=0,"",IF(('Dvd Calendar'!$P$880&gt;=GRID_FROM)*('Dvd Calendar'!$P$880&lt;=GRID_TO)*((('Dvd Calendar'!$P$880&lt;=VAL_DATE)+(COUNTIF('Dvd Calendar'!$E$887:$AR$887,'Dvd Calendar'!$P$880)=0))&gt;0)=0,"",'Dvd Calendar'!$P$880*1000000000+ISNUMBER('Dvd Calendar'!$P$883)*100000000+('Dvd Calendar'!$P$885=SPECIAL_LBL)*10000000+(N('Dvd Calendar'!$P$879)&gt;0)*(N('Dvd Calendar'!$P$879)&lt;=VAL_SERIAL)*1000000+80*1000+12))</f>
        <v/>
      </c>
      <c r="EQ91" s="39">
        <f>IF(N('Dvd Calendar'!$Q$880)=0,"",IF(('Dvd Calendar'!$Q$880&gt;=GRID_FROM)*('Dvd Calendar'!$Q$880&lt;=GRID_TO)*((('Dvd Calendar'!$Q$880&lt;=VAL_DATE)+(COUNTIF('Dvd Calendar'!$E$887:$AR$887,'Dvd Calendar'!$Q$880)=0))&gt;0)=0,"",'Dvd Calendar'!$Q$880*1000000000+ISNUMBER('Dvd Calendar'!$Q$883)*100000000+('Dvd Calendar'!$Q$885=SPECIAL_LBL)*10000000+(N('Dvd Calendar'!$Q$879)&gt;0)*(N('Dvd Calendar'!$Q$879)&lt;=VAL_SERIAL)*1000000+80*1000+13))</f>
        <v/>
      </c>
      <c r="ER91" s="39">
        <f>IF(N('Dvd Calendar'!$R$880)=0,"",IF(('Dvd Calendar'!$R$880&gt;=GRID_FROM)*('Dvd Calendar'!$R$880&lt;=GRID_TO)*((('Dvd Calendar'!$R$880&lt;=VAL_DATE)+(COUNTIF('Dvd Calendar'!$E$887:$AR$887,'Dvd Calendar'!$R$880)=0))&gt;0)=0,"",'Dvd Calendar'!$R$880*1000000000+ISNUMBER('Dvd Calendar'!$R$883)*100000000+('Dvd Calendar'!$R$885=SPECIAL_LBL)*10000000+(N('Dvd Calendar'!$R$879)&gt;0)*(N('Dvd Calendar'!$R$879)&lt;=VAL_SERIAL)*1000000+80*1000+14))</f>
        <v/>
      </c>
      <c r="ES91" s="39">
        <f>IF(N('Dvd Calendar'!$S$880)=0,"",IF(('Dvd Calendar'!$S$880&gt;=GRID_FROM)*('Dvd Calendar'!$S$880&lt;=GRID_TO)*((('Dvd Calendar'!$S$880&lt;=VAL_DATE)+(COUNTIF('Dvd Calendar'!$E$887:$AR$887,'Dvd Calendar'!$S$880)=0))&gt;0)=0,"",'Dvd Calendar'!$S$880*1000000000+ISNUMBER('Dvd Calendar'!$S$883)*100000000+('Dvd Calendar'!$S$885=SPECIAL_LBL)*10000000+(N('Dvd Calendar'!$S$879)&gt;0)*(N('Dvd Calendar'!$S$879)&lt;=VAL_SERIAL)*1000000+80*1000+15))</f>
        <v/>
      </c>
      <c r="ET91" s="39">
        <f>IF(N('Dvd Calendar'!$T$880)=0,"",IF(('Dvd Calendar'!$T$880&gt;=GRID_FROM)*('Dvd Calendar'!$T$880&lt;=GRID_TO)*((('Dvd Calendar'!$T$880&lt;=VAL_DATE)+(COUNTIF('Dvd Calendar'!$E$887:$AR$887,'Dvd Calendar'!$T$880)=0))&gt;0)=0,"",'Dvd Calendar'!$T$880*1000000000+ISNUMBER('Dvd Calendar'!$T$883)*100000000+('Dvd Calendar'!$T$885=SPECIAL_LBL)*10000000+(N('Dvd Calendar'!$T$879)&gt;0)*(N('Dvd Calendar'!$T$879)&lt;=VAL_SERIAL)*1000000+80*1000+16))</f>
        <v/>
      </c>
      <c r="EU91" s="39">
        <f>IF(N('Dvd Calendar'!$U$880)=0,"",IF(('Dvd Calendar'!$U$880&gt;=GRID_FROM)*('Dvd Calendar'!$U$880&lt;=GRID_TO)*((('Dvd Calendar'!$U$880&lt;=VAL_DATE)+(COUNTIF('Dvd Calendar'!$E$887:$AR$887,'Dvd Calendar'!$U$880)=0))&gt;0)=0,"",'Dvd Calendar'!$U$880*1000000000+ISNUMBER('Dvd Calendar'!$U$883)*100000000+('Dvd Calendar'!$U$885=SPECIAL_LBL)*10000000+(N('Dvd Calendar'!$U$879)&gt;0)*(N('Dvd Calendar'!$U$879)&lt;=VAL_SERIAL)*1000000+80*1000+17))</f>
        <v/>
      </c>
      <c r="EV91" s="39">
        <f>IF(N('Dvd Calendar'!$V$880)=0,"",IF(('Dvd Calendar'!$V$880&gt;=GRID_FROM)*('Dvd Calendar'!$V$880&lt;=GRID_TO)*((('Dvd Calendar'!$V$880&lt;=VAL_DATE)+(COUNTIF('Dvd Calendar'!$E$887:$AR$887,'Dvd Calendar'!$V$880)=0))&gt;0)=0,"",'Dvd Calendar'!$V$880*1000000000+ISNUMBER('Dvd Calendar'!$V$883)*100000000+('Dvd Calendar'!$V$885=SPECIAL_LBL)*10000000+(N('Dvd Calendar'!$V$879)&gt;0)*(N('Dvd Calendar'!$V$879)&lt;=VAL_SERIAL)*1000000+80*1000+18))</f>
        <v/>
      </c>
      <c r="EW91" s="39">
        <f>IF(N('Dvd Calendar'!$W$880)=0,"",IF(('Dvd Calendar'!$W$880&gt;=GRID_FROM)*('Dvd Calendar'!$W$880&lt;=GRID_TO)*((('Dvd Calendar'!$W$880&lt;=VAL_DATE)+(COUNTIF('Dvd Calendar'!$E$887:$AR$887,'Dvd Calendar'!$W$880)=0))&gt;0)=0,"",'Dvd Calendar'!$W$880*1000000000+ISNUMBER('Dvd Calendar'!$W$883)*100000000+('Dvd Calendar'!$W$885=SPECIAL_LBL)*10000000+(N('Dvd Calendar'!$W$879)&gt;0)*(N('Dvd Calendar'!$W$879)&lt;=VAL_SERIAL)*1000000+80*1000+19))</f>
        <v/>
      </c>
      <c r="EX91" s="39">
        <f>IF(N('Dvd Calendar'!$X$880)=0,"",IF(('Dvd Calendar'!$X$880&gt;=GRID_FROM)*('Dvd Calendar'!$X$880&lt;=GRID_TO)*((('Dvd Calendar'!$X$880&lt;=VAL_DATE)+(COUNTIF('Dvd Calendar'!$E$887:$AR$887,'Dvd Calendar'!$X$880)=0))&gt;0)=0,"",'Dvd Calendar'!$X$880*1000000000+ISNUMBER('Dvd Calendar'!$X$883)*100000000+('Dvd Calendar'!$X$885=SPECIAL_LBL)*10000000+(N('Dvd Calendar'!$X$879)&gt;0)*(N('Dvd Calendar'!$X$879)&lt;=VAL_SERIAL)*1000000+80*1000+20))</f>
        <v/>
      </c>
      <c r="EY91" s="39">
        <f>IF(N('Dvd Calendar'!$Y$880)=0,"",IF(('Dvd Calendar'!$Y$880&gt;=GRID_FROM)*('Dvd Calendar'!$Y$880&lt;=GRID_TO)*((('Dvd Calendar'!$Y$880&lt;=VAL_DATE)+(COUNTIF('Dvd Calendar'!$E$887:$AR$887,'Dvd Calendar'!$Y$880)=0))&gt;0)=0,"",'Dvd Calendar'!$Y$880*1000000000+ISNUMBER('Dvd Calendar'!$Y$883)*100000000+('Dvd Calendar'!$Y$885=SPECIAL_LBL)*10000000+(N('Dvd Calendar'!$Y$879)&gt;0)*(N('Dvd Calendar'!$Y$879)&lt;=VAL_SERIAL)*1000000+80*1000+21))</f>
        <v/>
      </c>
      <c r="EZ91" s="39">
        <f>IF(N('Dvd Calendar'!$Z$880)=0,"",IF(('Dvd Calendar'!$Z$880&gt;=GRID_FROM)*('Dvd Calendar'!$Z$880&lt;=GRID_TO)*((('Dvd Calendar'!$Z$880&lt;=VAL_DATE)+(COUNTIF('Dvd Calendar'!$E$887:$AR$887,'Dvd Calendar'!$Z$880)=0))&gt;0)=0,"",'Dvd Calendar'!$Z$880*1000000000+ISNUMBER('Dvd Calendar'!$Z$883)*100000000+('Dvd Calendar'!$Z$885=SPECIAL_LBL)*10000000+(N('Dvd Calendar'!$Z$879)&gt;0)*(N('Dvd Calendar'!$Z$879)&lt;=VAL_SERIAL)*1000000+80*1000+22))</f>
        <v/>
      </c>
      <c r="FA91" s="39">
        <f>IF(N('Dvd Calendar'!$AA$880)=0,"",IF(('Dvd Calendar'!$AA$880&gt;=GRID_FROM)*('Dvd Calendar'!$AA$880&lt;=GRID_TO)*((('Dvd Calendar'!$AA$880&lt;=VAL_DATE)+(COUNTIF('Dvd Calendar'!$E$887:$AR$887,'Dvd Calendar'!$AA$880)=0))&gt;0)=0,"",'Dvd Calendar'!$AA$880*1000000000+ISNUMBER('Dvd Calendar'!$AA$883)*100000000+('Dvd Calendar'!$AA$885=SPECIAL_LBL)*10000000+(N('Dvd Calendar'!$AA$879)&gt;0)*(N('Dvd Calendar'!$AA$879)&lt;=VAL_SERIAL)*1000000+80*1000+23))</f>
        <v/>
      </c>
      <c r="FB91" s="39">
        <f>IF(N('Dvd Calendar'!$AB$880)=0,"",IF(('Dvd Calendar'!$AB$880&gt;=GRID_FROM)*('Dvd Calendar'!$AB$880&lt;=GRID_TO)*((('Dvd Calendar'!$AB$880&lt;=VAL_DATE)+(COUNTIF('Dvd Calendar'!$E$887:$AR$887,'Dvd Calendar'!$AB$880)=0))&gt;0)=0,"",'Dvd Calendar'!$AB$880*1000000000+ISNUMBER('Dvd Calendar'!$AB$883)*100000000+('Dvd Calendar'!$AB$885=SPECIAL_LBL)*10000000+(N('Dvd Calendar'!$AB$879)&gt;0)*(N('Dvd Calendar'!$AB$879)&lt;=VAL_SERIAL)*1000000+80*1000+24))</f>
        <v/>
      </c>
      <c r="FC91" s="39">
        <f>IF(N('Dvd Calendar'!$AC$880)=0,"",IF(('Dvd Calendar'!$AC$880&gt;=GRID_FROM)*('Dvd Calendar'!$AC$880&lt;=GRID_TO)*((('Dvd Calendar'!$AC$880&lt;=VAL_DATE)+(COUNTIF('Dvd Calendar'!$E$887:$AR$887,'Dvd Calendar'!$AC$880)=0))&gt;0)=0,"",'Dvd Calendar'!$AC$880*1000000000+ISNUMBER('Dvd Calendar'!$AC$883)*100000000+('Dvd Calendar'!$AC$885=SPECIAL_LBL)*10000000+(N('Dvd Calendar'!$AC$879)&gt;0)*(N('Dvd Calendar'!$AC$879)&lt;=VAL_SERIAL)*1000000+80*1000+25))</f>
        <v/>
      </c>
      <c r="FD91" s="39">
        <f>IF(N('Dvd Calendar'!$AD$880)=0,"",IF(('Dvd Calendar'!$AD$880&gt;=GRID_FROM)*('Dvd Calendar'!$AD$880&lt;=GRID_TO)*((('Dvd Calendar'!$AD$880&lt;=VAL_DATE)+(COUNTIF('Dvd Calendar'!$E$887:$AR$887,'Dvd Calendar'!$AD$880)=0))&gt;0)=0,"",'Dvd Calendar'!$AD$880*1000000000+ISNUMBER('Dvd Calendar'!$AD$883)*100000000+('Dvd Calendar'!$AD$885=SPECIAL_LBL)*10000000+(N('Dvd Calendar'!$AD$879)&gt;0)*(N('Dvd Calendar'!$AD$879)&lt;=VAL_SERIAL)*1000000+80*1000+26))</f>
        <v/>
      </c>
      <c r="FE91" s="39">
        <f>IF(N('Dvd Calendar'!$AE$880)=0,"",IF(('Dvd Calendar'!$AE$880&gt;=GRID_FROM)*('Dvd Calendar'!$AE$880&lt;=GRID_TO)*((('Dvd Calendar'!$AE$880&lt;=VAL_DATE)+(COUNTIF('Dvd Calendar'!$E$887:$AR$887,'Dvd Calendar'!$AE$880)=0))&gt;0)=0,"",'Dvd Calendar'!$AE$880*1000000000+ISNUMBER('Dvd Calendar'!$AE$883)*100000000+('Dvd Calendar'!$AE$885=SPECIAL_LBL)*10000000+(N('Dvd Calendar'!$AE$879)&gt;0)*(N('Dvd Calendar'!$AE$879)&lt;=VAL_SERIAL)*1000000+80*1000+27))</f>
        <v/>
      </c>
      <c r="FF91" s="39">
        <f>IF(N('Dvd Calendar'!$AF$880)=0,"",IF(('Dvd Calendar'!$AF$880&gt;=GRID_FROM)*('Dvd Calendar'!$AF$880&lt;=GRID_TO)*((('Dvd Calendar'!$AF$880&lt;=VAL_DATE)+(COUNTIF('Dvd Calendar'!$E$887:$AR$887,'Dvd Calendar'!$AF$880)=0))&gt;0)=0,"",'Dvd Calendar'!$AF$880*1000000000+ISNUMBER('Dvd Calendar'!$AF$883)*100000000+('Dvd Calendar'!$AF$885=SPECIAL_LBL)*10000000+(N('Dvd Calendar'!$AF$879)&gt;0)*(N('Dvd Calendar'!$AF$879)&lt;=VAL_SERIAL)*1000000+80*1000+28))</f>
        <v/>
      </c>
      <c r="FG91" s="39">
        <f>IF(N('Dvd Calendar'!$AG$880)=0,"",IF(('Dvd Calendar'!$AG$880&gt;=GRID_FROM)*('Dvd Calendar'!$AG$880&lt;=GRID_TO)*((('Dvd Calendar'!$AG$880&lt;=VAL_DATE)+(COUNTIF('Dvd Calendar'!$E$887:$AR$887,'Dvd Calendar'!$AG$880)=0))&gt;0)=0,"",'Dvd Calendar'!$AG$880*1000000000+ISNUMBER('Dvd Calendar'!$AG$883)*100000000+('Dvd Calendar'!$AG$885=SPECIAL_LBL)*10000000+(N('Dvd Calendar'!$AG$879)&gt;0)*(N('Dvd Calendar'!$AG$879)&lt;=VAL_SERIAL)*1000000+80*1000+29))</f>
        <v/>
      </c>
      <c r="FH91" s="39">
        <f>IF(N('Dvd Calendar'!$AH$880)=0,"",IF(('Dvd Calendar'!$AH$880&gt;=GRID_FROM)*('Dvd Calendar'!$AH$880&lt;=GRID_TO)*((('Dvd Calendar'!$AH$880&lt;=VAL_DATE)+(COUNTIF('Dvd Calendar'!$E$887:$AR$887,'Dvd Calendar'!$AH$880)=0))&gt;0)=0,"",'Dvd Calendar'!$AH$880*1000000000+ISNUMBER('Dvd Calendar'!$AH$883)*100000000+('Dvd Calendar'!$AH$885=SPECIAL_LBL)*10000000+(N('Dvd Calendar'!$AH$879)&gt;0)*(N('Dvd Calendar'!$AH$879)&lt;=VAL_SERIAL)*1000000+80*1000+30))</f>
        <v/>
      </c>
      <c r="FI91" s="39">
        <f>IF(N('Dvd Calendar'!$AI$880)=0,"",IF(('Dvd Calendar'!$AI$880&gt;=GRID_FROM)*('Dvd Calendar'!$AI$880&lt;=GRID_TO)*((('Dvd Calendar'!$AI$880&lt;=VAL_DATE)+(COUNTIF('Dvd Calendar'!$E$887:$AR$887,'Dvd Calendar'!$AI$880)=0))&gt;0)=0,"",'Dvd Calendar'!$AI$880*1000000000+ISNUMBER('Dvd Calendar'!$AI$883)*100000000+('Dvd Calendar'!$AI$885=SPECIAL_LBL)*10000000+(N('Dvd Calendar'!$AI$879)&gt;0)*(N('Dvd Calendar'!$AI$879)&lt;=VAL_SERIAL)*1000000+80*1000+31))</f>
        <v/>
      </c>
      <c r="FJ91" s="39">
        <f>IF(N('Dvd Calendar'!$AJ$880)=0,"",IF(('Dvd Calendar'!$AJ$880&gt;=GRID_FROM)*('Dvd Calendar'!$AJ$880&lt;=GRID_TO)*((('Dvd Calendar'!$AJ$880&lt;=VAL_DATE)+(COUNTIF('Dvd Calendar'!$E$887:$AR$887,'Dvd Calendar'!$AJ$880)=0))&gt;0)=0,"",'Dvd Calendar'!$AJ$880*1000000000+ISNUMBER('Dvd Calendar'!$AJ$883)*100000000+('Dvd Calendar'!$AJ$885=SPECIAL_LBL)*10000000+(N('Dvd Calendar'!$AJ$879)&gt;0)*(N('Dvd Calendar'!$AJ$879)&lt;=VAL_SERIAL)*1000000+80*1000+32))</f>
        <v/>
      </c>
      <c r="FK91" s="39">
        <f>IF(N('Dvd Calendar'!$AK$880)=0,"",IF(('Dvd Calendar'!$AK$880&gt;=GRID_FROM)*('Dvd Calendar'!$AK$880&lt;=GRID_TO)*((('Dvd Calendar'!$AK$880&lt;=VAL_DATE)+(COUNTIF('Dvd Calendar'!$E$887:$AR$887,'Dvd Calendar'!$AK$880)=0))&gt;0)=0,"",'Dvd Calendar'!$AK$880*1000000000+ISNUMBER('Dvd Calendar'!$AK$883)*100000000+('Dvd Calendar'!$AK$885=SPECIAL_LBL)*10000000+(N('Dvd Calendar'!$AK$879)&gt;0)*(N('Dvd Calendar'!$AK$879)&lt;=VAL_SERIAL)*1000000+80*1000+33))</f>
        <v/>
      </c>
      <c r="FL91" s="39">
        <f>IF(N('Dvd Calendar'!$AL$880)=0,"",IF(('Dvd Calendar'!$AL$880&gt;=GRID_FROM)*('Dvd Calendar'!$AL$880&lt;=GRID_TO)*((('Dvd Calendar'!$AL$880&lt;=VAL_DATE)+(COUNTIF('Dvd Calendar'!$E$887:$AR$887,'Dvd Calendar'!$AL$880)=0))&gt;0)=0,"",'Dvd Calendar'!$AL$880*1000000000+ISNUMBER('Dvd Calendar'!$AL$883)*100000000+('Dvd Calendar'!$AL$885=SPECIAL_LBL)*10000000+(N('Dvd Calendar'!$AL$879)&gt;0)*(N('Dvd Calendar'!$AL$879)&lt;=VAL_SERIAL)*1000000+80*1000+34))</f>
        <v/>
      </c>
      <c r="FM91" s="39">
        <f>IF(N('Dvd Calendar'!$AM$880)=0,"",IF(('Dvd Calendar'!$AM$880&gt;=GRID_FROM)*('Dvd Calendar'!$AM$880&lt;=GRID_TO)*((('Dvd Calendar'!$AM$880&lt;=VAL_DATE)+(COUNTIF('Dvd Calendar'!$E$887:$AR$887,'Dvd Calendar'!$AM$880)=0))&gt;0)=0,"",'Dvd Calendar'!$AM$880*1000000000+ISNUMBER('Dvd Calendar'!$AM$883)*100000000+('Dvd Calendar'!$AM$885=SPECIAL_LBL)*10000000+(N('Dvd Calendar'!$AM$879)&gt;0)*(N('Dvd Calendar'!$AM$879)&lt;=VAL_SERIAL)*1000000+80*1000+35))</f>
        <v/>
      </c>
      <c r="FN91" s="39">
        <f>IF(N('Dvd Calendar'!$AN$880)=0,"",IF(('Dvd Calendar'!$AN$880&gt;=GRID_FROM)*('Dvd Calendar'!$AN$880&lt;=GRID_TO)*((('Dvd Calendar'!$AN$880&lt;=VAL_DATE)+(COUNTIF('Dvd Calendar'!$E$887:$AR$887,'Dvd Calendar'!$AN$880)=0))&gt;0)=0,"",'Dvd Calendar'!$AN$880*1000000000+ISNUMBER('Dvd Calendar'!$AN$883)*100000000+('Dvd Calendar'!$AN$885=SPECIAL_LBL)*10000000+(N('Dvd Calendar'!$AN$879)&gt;0)*(N('Dvd Calendar'!$AN$879)&lt;=VAL_SERIAL)*1000000+80*1000+36))</f>
        <v/>
      </c>
      <c r="FO91" s="39">
        <f>IF(N('Dvd Calendar'!$AO$880)=0,"",IF(('Dvd Calendar'!$AO$880&gt;=GRID_FROM)*('Dvd Calendar'!$AO$880&lt;=GRID_TO)*((('Dvd Calendar'!$AO$880&lt;=VAL_DATE)+(COUNTIF('Dvd Calendar'!$E$887:$AR$887,'Dvd Calendar'!$AO$880)=0))&gt;0)=0,"",'Dvd Calendar'!$AO$880*1000000000+ISNUMBER('Dvd Calendar'!$AO$883)*100000000+('Dvd Calendar'!$AO$885=SPECIAL_LBL)*10000000+(N('Dvd Calendar'!$AO$879)&gt;0)*(N('Dvd Calendar'!$AO$879)&lt;=VAL_SERIAL)*1000000+80*1000+37))</f>
        <v/>
      </c>
      <c r="FP91" s="39">
        <f>IF(N('Dvd Calendar'!$AP$880)=0,"",IF(('Dvd Calendar'!$AP$880&gt;=GRID_FROM)*('Dvd Calendar'!$AP$880&lt;=GRID_TO)*((('Dvd Calendar'!$AP$880&lt;=VAL_DATE)+(COUNTIF('Dvd Calendar'!$E$887:$AR$887,'Dvd Calendar'!$AP$880)=0))&gt;0)=0,"",'Dvd Calendar'!$AP$880*1000000000+ISNUMBER('Dvd Calendar'!$AP$883)*100000000+('Dvd Calendar'!$AP$885=SPECIAL_LBL)*10000000+(N('Dvd Calendar'!$AP$879)&gt;0)*(N('Dvd Calendar'!$AP$879)&lt;=VAL_SERIAL)*1000000+80*1000+38))</f>
        <v/>
      </c>
      <c r="FQ91" s="39">
        <f>IF(N('Dvd Calendar'!$AQ$880)=0,"",IF(('Dvd Calendar'!$AQ$880&gt;=GRID_FROM)*('Dvd Calendar'!$AQ$880&lt;=GRID_TO)*((('Dvd Calendar'!$AQ$880&lt;=VAL_DATE)+(COUNTIF('Dvd Calendar'!$E$887:$AR$887,'Dvd Calendar'!$AQ$880)=0))&gt;0)=0,"",'Dvd Calendar'!$AQ$880*1000000000+ISNUMBER('Dvd Calendar'!$AQ$883)*100000000+('Dvd Calendar'!$AQ$885=SPECIAL_LBL)*10000000+(N('Dvd Calendar'!$AQ$879)&gt;0)*(N('Dvd Calendar'!$AQ$879)&lt;=VAL_SERIAL)*1000000+80*1000+39))</f>
        <v/>
      </c>
      <c r="FR91" s="39">
        <f>IF(N('Dvd Calendar'!$AR$880)=0,"",IF(('Dvd Calendar'!$AR$880&gt;=GRID_FROM)*('Dvd Calendar'!$AR$880&lt;=GRID_TO)*((('Dvd Calendar'!$AR$880&lt;=VAL_DATE)+(COUNTIF('Dvd Calendar'!$E$887:$AR$887,'Dvd Calendar'!$AR$880)=0))&gt;0)=0,"",'Dvd Calendar'!$AR$880*1000000000+ISNUMBER('Dvd Calendar'!$AR$883)*100000000+('Dvd Calendar'!$AR$885=SPECIAL_LBL)*10000000+(N('Dvd Calendar'!$AR$879)&gt;0)*(N('Dvd Calendar'!$AR$879)&lt;=VAL_SERIAL)*1000000+80*1000+40))</f>
        <v/>
      </c>
      <c r="FS91" s="39">
        <f>IF(N('Dvd Calendar'!$E$887)=0,"",IF(('Dvd Calendar'!$E$887&gt;=GRID_FROM)*('Dvd Calendar'!$E$887&lt;=GRID_TO)*('Dvd Calendar'!$E$887&gt;VAL_DATE)=0,"",'Dvd Calendar'!$E$887*1000000000+ISNUMBER('Dvd Calendar'!$E$888)*100000000+0*10000000+(N('Dvd Calendar'!$E$886)&gt;0)*(N('Dvd Calendar'!$E$886)&lt;=VAL_SERIAL)*1000000+80*1000+41))</f>
        <v/>
      </c>
      <c r="FT91" s="39">
        <f>IF(N('Dvd Calendar'!$F$887)=0,"",IF(('Dvd Calendar'!$F$887&gt;=GRID_FROM)*('Dvd Calendar'!$F$887&lt;=GRID_TO)*('Dvd Calendar'!$F$887&gt;VAL_DATE)=0,"",'Dvd Calendar'!$F$887*1000000000+ISNUMBER('Dvd Calendar'!$F$888)*100000000+0*10000000+(N('Dvd Calendar'!$F$886)&gt;0)*(N('Dvd Calendar'!$F$886)&lt;=VAL_SERIAL)*1000000+80*1000+42))</f>
        <v/>
      </c>
      <c r="FU91" s="39">
        <f>IF(N('Dvd Calendar'!$G$887)=0,"",IF(('Dvd Calendar'!$G$887&gt;=GRID_FROM)*('Dvd Calendar'!$G$887&lt;=GRID_TO)*('Dvd Calendar'!$G$887&gt;VAL_DATE)=0,"",'Dvd Calendar'!$G$887*1000000000+ISNUMBER('Dvd Calendar'!$G$888)*100000000+0*10000000+(N('Dvd Calendar'!$G$886)&gt;0)*(N('Dvd Calendar'!$G$886)&lt;=VAL_SERIAL)*1000000+80*1000+43))</f>
        <v/>
      </c>
      <c r="FV91" s="39">
        <f>IF(N('Dvd Calendar'!$H$887)=0,"",IF(('Dvd Calendar'!$H$887&gt;=GRID_FROM)*('Dvd Calendar'!$H$887&lt;=GRID_TO)*('Dvd Calendar'!$H$887&gt;VAL_DATE)=0,"",'Dvd Calendar'!$H$887*1000000000+ISNUMBER('Dvd Calendar'!$H$888)*100000000+0*10000000+(N('Dvd Calendar'!$H$886)&gt;0)*(N('Dvd Calendar'!$H$886)&lt;=VAL_SERIAL)*1000000+80*1000+44))</f>
        <v/>
      </c>
      <c r="FW91" s="39">
        <f>IF(N('Dvd Calendar'!$I$887)=0,"",IF(('Dvd Calendar'!$I$887&gt;=GRID_FROM)*('Dvd Calendar'!$I$887&lt;=GRID_TO)*('Dvd Calendar'!$I$887&gt;VAL_DATE)=0,"",'Dvd Calendar'!$I$887*1000000000+ISNUMBER('Dvd Calendar'!$I$888)*100000000+0*10000000+(N('Dvd Calendar'!$I$886)&gt;0)*(N('Dvd Calendar'!$I$886)&lt;=VAL_SERIAL)*1000000+80*1000+45))</f>
        <v/>
      </c>
      <c r="FX91" s="39">
        <f>IF(N('Dvd Calendar'!$J$887)=0,"",IF(('Dvd Calendar'!$J$887&gt;=GRID_FROM)*('Dvd Calendar'!$J$887&lt;=GRID_TO)*('Dvd Calendar'!$J$887&gt;VAL_DATE)=0,"",'Dvd Calendar'!$J$887*1000000000+ISNUMBER('Dvd Calendar'!$J$888)*100000000+0*10000000+(N('Dvd Calendar'!$J$886)&gt;0)*(N('Dvd Calendar'!$J$886)&lt;=VAL_SERIAL)*1000000+80*1000+46))</f>
        <v/>
      </c>
      <c r="FY91" s="39">
        <f>IF(N('Dvd Calendar'!$K$887)=0,"",IF(('Dvd Calendar'!$K$887&gt;=GRID_FROM)*('Dvd Calendar'!$K$887&lt;=GRID_TO)*('Dvd Calendar'!$K$887&gt;VAL_DATE)=0,"",'Dvd Calendar'!$K$887*1000000000+ISNUMBER('Dvd Calendar'!$K$888)*100000000+0*10000000+(N('Dvd Calendar'!$K$886)&gt;0)*(N('Dvd Calendar'!$K$886)&lt;=VAL_SERIAL)*1000000+80*1000+47))</f>
        <v/>
      </c>
      <c r="FZ91" s="39">
        <f>IF(N('Dvd Calendar'!$L$887)=0,"",IF(('Dvd Calendar'!$L$887&gt;=GRID_FROM)*('Dvd Calendar'!$L$887&lt;=GRID_TO)*('Dvd Calendar'!$L$887&gt;VAL_DATE)=0,"",'Dvd Calendar'!$L$887*1000000000+ISNUMBER('Dvd Calendar'!$L$888)*100000000+0*10000000+(N('Dvd Calendar'!$L$886)&gt;0)*(N('Dvd Calendar'!$L$886)&lt;=VAL_SERIAL)*1000000+80*1000+48))</f>
        <v/>
      </c>
      <c r="GA91" s="39">
        <f>IF(N('Dvd Calendar'!$M$887)=0,"",IF(('Dvd Calendar'!$M$887&gt;=GRID_FROM)*('Dvd Calendar'!$M$887&lt;=GRID_TO)*('Dvd Calendar'!$M$887&gt;VAL_DATE)=0,"",'Dvd Calendar'!$M$887*1000000000+ISNUMBER('Dvd Calendar'!$M$888)*100000000+0*10000000+(N('Dvd Calendar'!$M$886)&gt;0)*(N('Dvd Calendar'!$M$886)&lt;=VAL_SERIAL)*1000000+80*1000+49))</f>
        <v/>
      </c>
      <c r="GB91" s="39">
        <f>IF(N('Dvd Calendar'!$N$887)=0,"",IF(('Dvd Calendar'!$N$887&gt;=GRID_FROM)*('Dvd Calendar'!$N$887&lt;=GRID_TO)*('Dvd Calendar'!$N$887&gt;VAL_DATE)=0,"",'Dvd Calendar'!$N$887*1000000000+ISNUMBER('Dvd Calendar'!$N$888)*100000000+0*10000000+(N('Dvd Calendar'!$N$886)&gt;0)*(N('Dvd Calendar'!$N$886)&lt;=VAL_SERIAL)*1000000+80*1000+50))</f>
        <v/>
      </c>
      <c r="GC91" s="39">
        <f>IF(N('Dvd Calendar'!$O$887)=0,"",IF(('Dvd Calendar'!$O$887&gt;=GRID_FROM)*('Dvd Calendar'!$O$887&lt;=GRID_TO)*('Dvd Calendar'!$O$887&gt;VAL_DATE)=0,"",'Dvd Calendar'!$O$887*1000000000+ISNUMBER('Dvd Calendar'!$O$888)*100000000+0*10000000+(N('Dvd Calendar'!$O$886)&gt;0)*(N('Dvd Calendar'!$O$886)&lt;=VAL_SERIAL)*1000000+80*1000+51))</f>
        <v/>
      </c>
      <c r="GD91" s="39">
        <f>IF(N('Dvd Calendar'!$P$887)=0,"",IF(('Dvd Calendar'!$P$887&gt;=GRID_FROM)*('Dvd Calendar'!$P$887&lt;=GRID_TO)*('Dvd Calendar'!$P$887&gt;VAL_DATE)=0,"",'Dvd Calendar'!$P$887*1000000000+ISNUMBER('Dvd Calendar'!$P$888)*100000000+0*10000000+(N('Dvd Calendar'!$P$886)&gt;0)*(N('Dvd Calendar'!$P$886)&lt;=VAL_SERIAL)*1000000+80*1000+52))</f>
        <v/>
      </c>
      <c r="GE91" s="39">
        <f>IF(N('Dvd Calendar'!$Q$887)=0,"",IF(('Dvd Calendar'!$Q$887&gt;=GRID_FROM)*('Dvd Calendar'!$Q$887&lt;=GRID_TO)*('Dvd Calendar'!$Q$887&gt;VAL_DATE)=0,"",'Dvd Calendar'!$Q$887*1000000000+ISNUMBER('Dvd Calendar'!$Q$888)*100000000+0*10000000+(N('Dvd Calendar'!$Q$886)&gt;0)*(N('Dvd Calendar'!$Q$886)&lt;=VAL_SERIAL)*1000000+80*1000+53))</f>
        <v/>
      </c>
      <c r="GF91" s="39">
        <f>IF(N('Dvd Calendar'!$R$887)=0,"",IF(('Dvd Calendar'!$R$887&gt;=GRID_FROM)*('Dvd Calendar'!$R$887&lt;=GRID_TO)*('Dvd Calendar'!$R$887&gt;VAL_DATE)=0,"",'Dvd Calendar'!$R$887*1000000000+ISNUMBER('Dvd Calendar'!$R$888)*100000000+0*10000000+(N('Dvd Calendar'!$R$886)&gt;0)*(N('Dvd Calendar'!$R$886)&lt;=VAL_SERIAL)*1000000+80*1000+54))</f>
        <v/>
      </c>
      <c r="GG91" s="39">
        <f>IF(N('Dvd Calendar'!$S$887)=0,"",IF(('Dvd Calendar'!$S$887&gt;=GRID_FROM)*('Dvd Calendar'!$S$887&lt;=GRID_TO)*('Dvd Calendar'!$S$887&gt;VAL_DATE)=0,"",'Dvd Calendar'!$S$887*1000000000+ISNUMBER('Dvd Calendar'!$S$888)*100000000+0*10000000+(N('Dvd Calendar'!$S$886)&gt;0)*(N('Dvd Calendar'!$S$886)&lt;=VAL_SERIAL)*1000000+80*1000+55))</f>
        <v/>
      </c>
      <c r="GH91" s="39">
        <f>IF(N('Dvd Calendar'!$T$887)=0,"",IF(('Dvd Calendar'!$T$887&gt;=GRID_FROM)*('Dvd Calendar'!$T$887&lt;=GRID_TO)*('Dvd Calendar'!$T$887&gt;VAL_DATE)=0,"",'Dvd Calendar'!$T$887*1000000000+ISNUMBER('Dvd Calendar'!$T$888)*100000000+0*10000000+(N('Dvd Calendar'!$T$886)&gt;0)*(N('Dvd Calendar'!$T$886)&lt;=VAL_SERIAL)*1000000+80*1000+56))</f>
        <v/>
      </c>
      <c r="GI91" s="39">
        <f>IF(N('Dvd Calendar'!$U$887)=0,"",IF(('Dvd Calendar'!$U$887&gt;=GRID_FROM)*('Dvd Calendar'!$U$887&lt;=GRID_TO)*('Dvd Calendar'!$U$887&gt;VAL_DATE)=0,"",'Dvd Calendar'!$U$887*1000000000+ISNUMBER('Dvd Calendar'!$U$888)*100000000+0*10000000+(N('Dvd Calendar'!$U$886)&gt;0)*(N('Dvd Calendar'!$U$886)&lt;=VAL_SERIAL)*1000000+80*1000+57))</f>
        <v/>
      </c>
      <c r="GJ91" s="39">
        <f>IF(N('Dvd Calendar'!$V$887)=0,"",IF(('Dvd Calendar'!$V$887&gt;=GRID_FROM)*('Dvd Calendar'!$V$887&lt;=GRID_TO)*('Dvd Calendar'!$V$887&gt;VAL_DATE)=0,"",'Dvd Calendar'!$V$887*1000000000+ISNUMBER('Dvd Calendar'!$V$888)*100000000+0*10000000+(N('Dvd Calendar'!$V$886)&gt;0)*(N('Dvd Calendar'!$V$886)&lt;=VAL_SERIAL)*1000000+80*1000+58))</f>
        <v/>
      </c>
      <c r="GK91" s="39">
        <f>IF(N('Dvd Calendar'!$W$887)=0,"",IF(('Dvd Calendar'!$W$887&gt;=GRID_FROM)*('Dvd Calendar'!$W$887&lt;=GRID_TO)*('Dvd Calendar'!$W$887&gt;VAL_DATE)=0,"",'Dvd Calendar'!$W$887*1000000000+ISNUMBER('Dvd Calendar'!$W$888)*100000000+0*10000000+(N('Dvd Calendar'!$W$886)&gt;0)*(N('Dvd Calendar'!$W$886)&lt;=VAL_SERIAL)*1000000+80*1000+59))</f>
        <v/>
      </c>
      <c r="GL91" s="39">
        <f>IF(N('Dvd Calendar'!$X$887)=0,"",IF(('Dvd Calendar'!$X$887&gt;=GRID_FROM)*('Dvd Calendar'!$X$887&lt;=GRID_TO)*('Dvd Calendar'!$X$887&gt;VAL_DATE)=0,"",'Dvd Calendar'!$X$887*1000000000+ISNUMBER('Dvd Calendar'!$X$888)*100000000+0*10000000+(N('Dvd Calendar'!$X$886)&gt;0)*(N('Dvd Calendar'!$X$886)&lt;=VAL_SERIAL)*1000000+80*1000+60))</f>
        <v/>
      </c>
      <c r="GM91" s="39">
        <f>IF(N('Dvd Calendar'!$Y$887)=0,"",IF(('Dvd Calendar'!$Y$887&gt;=GRID_FROM)*('Dvd Calendar'!$Y$887&lt;=GRID_TO)*('Dvd Calendar'!$Y$887&gt;VAL_DATE)=0,"",'Dvd Calendar'!$Y$887*1000000000+ISNUMBER('Dvd Calendar'!$Y$888)*100000000+0*10000000+(N('Dvd Calendar'!$Y$886)&gt;0)*(N('Dvd Calendar'!$Y$886)&lt;=VAL_SERIAL)*1000000+80*1000+61))</f>
        <v/>
      </c>
      <c r="GN91" s="39">
        <f>IF(N('Dvd Calendar'!$Z$887)=0,"",IF(('Dvd Calendar'!$Z$887&gt;=GRID_FROM)*('Dvd Calendar'!$Z$887&lt;=GRID_TO)*('Dvd Calendar'!$Z$887&gt;VAL_DATE)=0,"",'Dvd Calendar'!$Z$887*1000000000+ISNUMBER('Dvd Calendar'!$Z$888)*100000000+0*10000000+(N('Dvd Calendar'!$Z$886)&gt;0)*(N('Dvd Calendar'!$Z$886)&lt;=VAL_SERIAL)*1000000+80*1000+62))</f>
        <v/>
      </c>
      <c r="GO91" s="39">
        <f>IF(N('Dvd Calendar'!$AA$887)=0,"",IF(('Dvd Calendar'!$AA$887&gt;=GRID_FROM)*('Dvd Calendar'!$AA$887&lt;=GRID_TO)*('Dvd Calendar'!$AA$887&gt;VAL_DATE)=0,"",'Dvd Calendar'!$AA$887*1000000000+ISNUMBER('Dvd Calendar'!$AA$888)*100000000+0*10000000+(N('Dvd Calendar'!$AA$886)&gt;0)*(N('Dvd Calendar'!$AA$886)&lt;=VAL_SERIAL)*1000000+80*1000+63))</f>
        <v/>
      </c>
      <c r="GP91" s="39">
        <f>IF(N('Dvd Calendar'!$AB$887)=0,"",IF(('Dvd Calendar'!$AB$887&gt;=GRID_FROM)*('Dvd Calendar'!$AB$887&lt;=GRID_TO)*('Dvd Calendar'!$AB$887&gt;VAL_DATE)=0,"",'Dvd Calendar'!$AB$887*1000000000+ISNUMBER('Dvd Calendar'!$AB$888)*100000000+0*10000000+(N('Dvd Calendar'!$AB$886)&gt;0)*(N('Dvd Calendar'!$AB$886)&lt;=VAL_SERIAL)*1000000+80*1000+64))</f>
        <v/>
      </c>
      <c r="GQ91" s="39">
        <f>IF(N('Dvd Calendar'!$AC$887)=0,"",IF(('Dvd Calendar'!$AC$887&gt;=GRID_FROM)*('Dvd Calendar'!$AC$887&lt;=GRID_TO)*('Dvd Calendar'!$AC$887&gt;VAL_DATE)=0,"",'Dvd Calendar'!$AC$887*1000000000+ISNUMBER('Dvd Calendar'!$AC$888)*100000000+0*10000000+(N('Dvd Calendar'!$AC$886)&gt;0)*(N('Dvd Calendar'!$AC$886)&lt;=VAL_SERIAL)*1000000+80*1000+65))</f>
        <v/>
      </c>
    </row>
    <row r="92">
      <c r="B92" s="2">
        <f>IF(HSI!$C$87="","",HSI!$C$87)</f>
        <v/>
      </c>
      <c r="C92" s="110">
        <f>IF(EE92="","",IF(ISNUMBER('Dvd Calendar'!$E$894)=FALSE,"",IF((('Dvd Calendar'!$E$896=TYPE1)*(TYPE1&lt;&gt;"")+('Dvd Calendar'!$E$896=TYPE2)*(TYPE2&lt;&gt;"")+('Dvd Calendar'!$E$896=TYPE3)*(TYPE3&lt;&gt;"")+('Dvd Calendar'!$E$896=TYPE4)*(TYPE4&lt;&gt;"")+('Dvd Calendar'!$E$896=SPECIAL_LBL)*(INC_SPECIALS="Y"))=0,"",'Dvd Calendar'!$E$894)))</f>
        <v/>
      </c>
      <c r="D92" s="110">
        <f>IF(EF92="","",IF(ISNUMBER('Dvd Calendar'!$F$894)=FALSE,"",IF((('Dvd Calendar'!$F$896=TYPE1)*(TYPE1&lt;&gt;"")+('Dvd Calendar'!$F$896=TYPE2)*(TYPE2&lt;&gt;"")+('Dvd Calendar'!$F$896=TYPE3)*(TYPE3&lt;&gt;"")+('Dvd Calendar'!$F$896=TYPE4)*(TYPE4&lt;&gt;"")+('Dvd Calendar'!$F$896=SPECIAL_LBL)*(INC_SPECIALS="Y"))=0,"",'Dvd Calendar'!$F$894)))</f>
        <v/>
      </c>
      <c r="E92" s="110">
        <f>IF(EG92="","",IF(ISNUMBER('Dvd Calendar'!$G$894)=FALSE,"",IF((('Dvd Calendar'!$G$896=TYPE1)*(TYPE1&lt;&gt;"")+('Dvd Calendar'!$G$896=TYPE2)*(TYPE2&lt;&gt;"")+('Dvd Calendar'!$G$896=TYPE3)*(TYPE3&lt;&gt;"")+('Dvd Calendar'!$G$896=TYPE4)*(TYPE4&lt;&gt;"")+('Dvd Calendar'!$G$896=SPECIAL_LBL)*(INC_SPECIALS="Y"))=0,"",'Dvd Calendar'!$G$894)))</f>
        <v/>
      </c>
      <c r="F92" s="110">
        <f>IF(EH92="","",IF(ISNUMBER('Dvd Calendar'!$H$894)=FALSE,"",IF((('Dvd Calendar'!$H$896=TYPE1)*(TYPE1&lt;&gt;"")+('Dvd Calendar'!$H$896=TYPE2)*(TYPE2&lt;&gt;"")+('Dvd Calendar'!$H$896=TYPE3)*(TYPE3&lt;&gt;"")+('Dvd Calendar'!$H$896=TYPE4)*(TYPE4&lt;&gt;"")+('Dvd Calendar'!$H$896=SPECIAL_LBL)*(INC_SPECIALS="Y"))=0,"",'Dvd Calendar'!$H$894)))</f>
        <v/>
      </c>
      <c r="G92" s="110">
        <f>IF(EI92="","",IF(ISNUMBER('Dvd Calendar'!$I$894)=FALSE,"",IF((('Dvd Calendar'!$I$896=TYPE1)*(TYPE1&lt;&gt;"")+('Dvd Calendar'!$I$896=TYPE2)*(TYPE2&lt;&gt;"")+('Dvd Calendar'!$I$896=TYPE3)*(TYPE3&lt;&gt;"")+('Dvd Calendar'!$I$896=TYPE4)*(TYPE4&lt;&gt;"")+('Dvd Calendar'!$I$896=SPECIAL_LBL)*(INC_SPECIALS="Y"))=0,"",'Dvd Calendar'!$I$894)))</f>
        <v/>
      </c>
      <c r="H92" s="110">
        <f>IF(EJ92="","",IF(ISNUMBER('Dvd Calendar'!$J$894)=FALSE,"",IF((('Dvd Calendar'!$J$896=TYPE1)*(TYPE1&lt;&gt;"")+('Dvd Calendar'!$J$896=TYPE2)*(TYPE2&lt;&gt;"")+('Dvd Calendar'!$J$896=TYPE3)*(TYPE3&lt;&gt;"")+('Dvd Calendar'!$J$896=TYPE4)*(TYPE4&lt;&gt;"")+('Dvd Calendar'!$J$896=SPECIAL_LBL)*(INC_SPECIALS="Y"))=0,"",'Dvd Calendar'!$J$894)))</f>
        <v/>
      </c>
      <c r="I92" s="110">
        <f>IF(EK92="","",IF(ISNUMBER('Dvd Calendar'!$K$894)=FALSE,"",IF((('Dvd Calendar'!$K$896=TYPE1)*(TYPE1&lt;&gt;"")+('Dvd Calendar'!$K$896=TYPE2)*(TYPE2&lt;&gt;"")+('Dvd Calendar'!$K$896=TYPE3)*(TYPE3&lt;&gt;"")+('Dvd Calendar'!$K$896=TYPE4)*(TYPE4&lt;&gt;"")+('Dvd Calendar'!$K$896=SPECIAL_LBL)*(INC_SPECIALS="Y"))=0,"",'Dvd Calendar'!$K$894)))</f>
        <v/>
      </c>
      <c r="J92" s="110">
        <f>IF(EL92="","",IF(ISNUMBER('Dvd Calendar'!$L$894)=FALSE,"",IF((('Dvd Calendar'!$L$896=TYPE1)*(TYPE1&lt;&gt;"")+('Dvd Calendar'!$L$896=TYPE2)*(TYPE2&lt;&gt;"")+('Dvd Calendar'!$L$896=TYPE3)*(TYPE3&lt;&gt;"")+('Dvd Calendar'!$L$896=TYPE4)*(TYPE4&lt;&gt;"")+('Dvd Calendar'!$L$896=SPECIAL_LBL)*(INC_SPECIALS="Y"))=0,"",'Dvd Calendar'!$L$894)))</f>
        <v/>
      </c>
      <c r="K92" s="110">
        <f>IF(EM92="","",IF(ISNUMBER('Dvd Calendar'!$M$894)=FALSE,"",IF((('Dvd Calendar'!$M$896=TYPE1)*(TYPE1&lt;&gt;"")+('Dvd Calendar'!$M$896=TYPE2)*(TYPE2&lt;&gt;"")+('Dvd Calendar'!$M$896=TYPE3)*(TYPE3&lt;&gt;"")+('Dvd Calendar'!$M$896=TYPE4)*(TYPE4&lt;&gt;"")+('Dvd Calendar'!$M$896=SPECIAL_LBL)*(INC_SPECIALS="Y"))=0,"",'Dvd Calendar'!$M$894)))</f>
        <v/>
      </c>
      <c r="L92" s="110">
        <f>IF(EN92="","",IF(ISNUMBER('Dvd Calendar'!$N$894)=FALSE,"",IF((('Dvd Calendar'!$N$896=TYPE1)*(TYPE1&lt;&gt;"")+('Dvd Calendar'!$N$896=TYPE2)*(TYPE2&lt;&gt;"")+('Dvd Calendar'!$N$896=TYPE3)*(TYPE3&lt;&gt;"")+('Dvd Calendar'!$N$896=TYPE4)*(TYPE4&lt;&gt;"")+('Dvd Calendar'!$N$896=SPECIAL_LBL)*(INC_SPECIALS="Y"))=0,"",'Dvd Calendar'!$N$894)))</f>
        <v/>
      </c>
      <c r="M92" s="110">
        <f>IF(EO92="","",IF(ISNUMBER('Dvd Calendar'!$O$894)=FALSE,"",IF((('Dvd Calendar'!$O$896=TYPE1)*(TYPE1&lt;&gt;"")+('Dvd Calendar'!$O$896=TYPE2)*(TYPE2&lt;&gt;"")+('Dvd Calendar'!$O$896=TYPE3)*(TYPE3&lt;&gt;"")+('Dvd Calendar'!$O$896=TYPE4)*(TYPE4&lt;&gt;"")+('Dvd Calendar'!$O$896=SPECIAL_LBL)*(INC_SPECIALS="Y"))=0,"",'Dvd Calendar'!$O$894)))</f>
        <v/>
      </c>
      <c r="N92" s="110">
        <f>IF(EP92="","",IF(ISNUMBER('Dvd Calendar'!$P$894)=FALSE,"",IF((('Dvd Calendar'!$P$896=TYPE1)*(TYPE1&lt;&gt;"")+('Dvd Calendar'!$P$896=TYPE2)*(TYPE2&lt;&gt;"")+('Dvd Calendar'!$P$896=TYPE3)*(TYPE3&lt;&gt;"")+('Dvd Calendar'!$P$896=TYPE4)*(TYPE4&lt;&gt;"")+('Dvd Calendar'!$P$896=SPECIAL_LBL)*(INC_SPECIALS="Y"))=0,"",'Dvd Calendar'!$P$894)))</f>
        <v/>
      </c>
      <c r="O92" s="110">
        <f>IF(EQ92="","",IF(ISNUMBER('Dvd Calendar'!$Q$894)=FALSE,"",IF((('Dvd Calendar'!$Q$896=TYPE1)*(TYPE1&lt;&gt;"")+('Dvd Calendar'!$Q$896=TYPE2)*(TYPE2&lt;&gt;"")+('Dvd Calendar'!$Q$896=TYPE3)*(TYPE3&lt;&gt;"")+('Dvd Calendar'!$Q$896=TYPE4)*(TYPE4&lt;&gt;"")+('Dvd Calendar'!$Q$896=SPECIAL_LBL)*(INC_SPECIALS="Y"))=0,"",'Dvd Calendar'!$Q$894)))</f>
        <v/>
      </c>
      <c r="P92" s="110">
        <f>IF(ER92="","",IF(ISNUMBER('Dvd Calendar'!$R$894)=FALSE,"",IF((('Dvd Calendar'!$R$896=TYPE1)*(TYPE1&lt;&gt;"")+('Dvd Calendar'!$R$896=TYPE2)*(TYPE2&lt;&gt;"")+('Dvd Calendar'!$R$896=TYPE3)*(TYPE3&lt;&gt;"")+('Dvd Calendar'!$R$896=TYPE4)*(TYPE4&lt;&gt;"")+('Dvd Calendar'!$R$896=SPECIAL_LBL)*(INC_SPECIALS="Y"))=0,"",'Dvd Calendar'!$R$894)))</f>
        <v/>
      </c>
      <c r="Q92" s="110">
        <f>IF(ES92="","",IF(ISNUMBER('Dvd Calendar'!$S$894)=FALSE,"",IF((('Dvd Calendar'!$S$896=TYPE1)*(TYPE1&lt;&gt;"")+('Dvd Calendar'!$S$896=TYPE2)*(TYPE2&lt;&gt;"")+('Dvd Calendar'!$S$896=TYPE3)*(TYPE3&lt;&gt;"")+('Dvd Calendar'!$S$896=TYPE4)*(TYPE4&lt;&gt;"")+('Dvd Calendar'!$S$896=SPECIAL_LBL)*(INC_SPECIALS="Y"))=0,"",'Dvd Calendar'!$S$894)))</f>
        <v/>
      </c>
      <c r="R92" s="110">
        <f>IF(ET92="","",IF(ISNUMBER('Dvd Calendar'!$T$894)=FALSE,"",IF((('Dvd Calendar'!$T$896=TYPE1)*(TYPE1&lt;&gt;"")+('Dvd Calendar'!$T$896=TYPE2)*(TYPE2&lt;&gt;"")+('Dvd Calendar'!$T$896=TYPE3)*(TYPE3&lt;&gt;"")+('Dvd Calendar'!$T$896=TYPE4)*(TYPE4&lt;&gt;"")+('Dvd Calendar'!$T$896=SPECIAL_LBL)*(INC_SPECIALS="Y"))=0,"",'Dvd Calendar'!$T$894)))</f>
        <v/>
      </c>
      <c r="S92" s="110">
        <f>IF(EU92="","",IF(ISNUMBER('Dvd Calendar'!$U$894)=FALSE,"",IF((('Dvd Calendar'!$U$896=TYPE1)*(TYPE1&lt;&gt;"")+('Dvd Calendar'!$U$896=TYPE2)*(TYPE2&lt;&gt;"")+('Dvd Calendar'!$U$896=TYPE3)*(TYPE3&lt;&gt;"")+('Dvd Calendar'!$U$896=TYPE4)*(TYPE4&lt;&gt;"")+('Dvd Calendar'!$U$896=SPECIAL_LBL)*(INC_SPECIALS="Y"))=0,"",'Dvd Calendar'!$U$894)))</f>
        <v/>
      </c>
      <c r="T92" s="110">
        <f>IF(EV92="","",IF(ISNUMBER('Dvd Calendar'!$V$894)=FALSE,"",IF((('Dvd Calendar'!$V$896=TYPE1)*(TYPE1&lt;&gt;"")+('Dvd Calendar'!$V$896=TYPE2)*(TYPE2&lt;&gt;"")+('Dvd Calendar'!$V$896=TYPE3)*(TYPE3&lt;&gt;"")+('Dvd Calendar'!$V$896=TYPE4)*(TYPE4&lt;&gt;"")+('Dvd Calendar'!$V$896=SPECIAL_LBL)*(INC_SPECIALS="Y"))=0,"",'Dvd Calendar'!$V$894)))</f>
        <v/>
      </c>
      <c r="U92" s="110">
        <f>IF(EW92="","",IF(ISNUMBER('Dvd Calendar'!$W$894)=FALSE,"",IF((('Dvd Calendar'!$W$896=TYPE1)*(TYPE1&lt;&gt;"")+('Dvd Calendar'!$W$896=TYPE2)*(TYPE2&lt;&gt;"")+('Dvd Calendar'!$W$896=TYPE3)*(TYPE3&lt;&gt;"")+('Dvd Calendar'!$W$896=TYPE4)*(TYPE4&lt;&gt;"")+('Dvd Calendar'!$W$896=SPECIAL_LBL)*(INC_SPECIALS="Y"))=0,"",'Dvd Calendar'!$W$894)))</f>
        <v/>
      </c>
      <c r="V92" s="110">
        <f>IF(EX92="","",IF(ISNUMBER('Dvd Calendar'!$X$894)=FALSE,"",IF((('Dvd Calendar'!$X$896=TYPE1)*(TYPE1&lt;&gt;"")+('Dvd Calendar'!$X$896=TYPE2)*(TYPE2&lt;&gt;"")+('Dvd Calendar'!$X$896=TYPE3)*(TYPE3&lt;&gt;"")+('Dvd Calendar'!$X$896=TYPE4)*(TYPE4&lt;&gt;"")+('Dvd Calendar'!$X$896=SPECIAL_LBL)*(INC_SPECIALS="Y"))=0,"",'Dvd Calendar'!$X$894)))</f>
        <v/>
      </c>
      <c r="W92" s="110">
        <f>IF(EY92="","",IF(ISNUMBER('Dvd Calendar'!$Y$894)=FALSE,"",IF((('Dvd Calendar'!$Y$896=TYPE1)*(TYPE1&lt;&gt;"")+('Dvd Calendar'!$Y$896=TYPE2)*(TYPE2&lt;&gt;"")+('Dvd Calendar'!$Y$896=TYPE3)*(TYPE3&lt;&gt;"")+('Dvd Calendar'!$Y$896=TYPE4)*(TYPE4&lt;&gt;"")+('Dvd Calendar'!$Y$896=SPECIAL_LBL)*(INC_SPECIALS="Y"))=0,"",'Dvd Calendar'!$Y$894)))</f>
        <v/>
      </c>
      <c r="X92" s="110">
        <f>IF(EZ92="","",IF(ISNUMBER('Dvd Calendar'!$Z$894)=FALSE,"",IF((('Dvd Calendar'!$Z$896=TYPE1)*(TYPE1&lt;&gt;"")+('Dvd Calendar'!$Z$896=TYPE2)*(TYPE2&lt;&gt;"")+('Dvd Calendar'!$Z$896=TYPE3)*(TYPE3&lt;&gt;"")+('Dvd Calendar'!$Z$896=TYPE4)*(TYPE4&lt;&gt;"")+('Dvd Calendar'!$Z$896=SPECIAL_LBL)*(INC_SPECIALS="Y"))=0,"",'Dvd Calendar'!$Z$894)))</f>
        <v/>
      </c>
      <c r="Y92" s="110">
        <f>IF(FA92="","",IF(ISNUMBER('Dvd Calendar'!$AA$894)=FALSE,"",IF((('Dvd Calendar'!$AA$896=TYPE1)*(TYPE1&lt;&gt;"")+('Dvd Calendar'!$AA$896=TYPE2)*(TYPE2&lt;&gt;"")+('Dvd Calendar'!$AA$896=TYPE3)*(TYPE3&lt;&gt;"")+('Dvd Calendar'!$AA$896=TYPE4)*(TYPE4&lt;&gt;"")+('Dvd Calendar'!$AA$896=SPECIAL_LBL)*(INC_SPECIALS="Y"))=0,"",'Dvd Calendar'!$AA$894)))</f>
        <v/>
      </c>
      <c r="Z92" s="110">
        <f>IF(FB92="","",IF(ISNUMBER('Dvd Calendar'!$AB$894)=FALSE,"",IF((('Dvd Calendar'!$AB$896=TYPE1)*(TYPE1&lt;&gt;"")+('Dvd Calendar'!$AB$896=TYPE2)*(TYPE2&lt;&gt;"")+('Dvd Calendar'!$AB$896=TYPE3)*(TYPE3&lt;&gt;"")+('Dvd Calendar'!$AB$896=TYPE4)*(TYPE4&lt;&gt;"")+('Dvd Calendar'!$AB$896=SPECIAL_LBL)*(INC_SPECIALS="Y"))=0,"",'Dvd Calendar'!$AB$894)))</f>
        <v/>
      </c>
      <c r="AA92" s="110">
        <f>IF(FC92="","",IF(ISNUMBER('Dvd Calendar'!$AC$894)=FALSE,"",IF((('Dvd Calendar'!$AC$896=TYPE1)*(TYPE1&lt;&gt;"")+('Dvd Calendar'!$AC$896=TYPE2)*(TYPE2&lt;&gt;"")+('Dvd Calendar'!$AC$896=TYPE3)*(TYPE3&lt;&gt;"")+('Dvd Calendar'!$AC$896=TYPE4)*(TYPE4&lt;&gt;"")+('Dvd Calendar'!$AC$896=SPECIAL_LBL)*(INC_SPECIALS="Y"))=0,"",'Dvd Calendar'!$AC$894)))</f>
        <v/>
      </c>
      <c r="AB92" s="110">
        <f>IF(FD92="","",IF(ISNUMBER('Dvd Calendar'!$AD$894)=FALSE,"",IF((('Dvd Calendar'!$AD$896=TYPE1)*(TYPE1&lt;&gt;"")+('Dvd Calendar'!$AD$896=TYPE2)*(TYPE2&lt;&gt;"")+('Dvd Calendar'!$AD$896=TYPE3)*(TYPE3&lt;&gt;"")+('Dvd Calendar'!$AD$896=TYPE4)*(TYPE4&lt;&gt;"")+('Dvd Calendar'!$AD$896=SPECIAL_LBL)*(INC_SPECIALS="Y"))=0,"",'Dvd Calendar'!$AD$894)))</f>
        <v/>
      </c>
      <c r="AC92" s="110">
        <f>IF(FE92="","",IF(ISNUMBER('Dvd Calendar'!$AE$894)=FALSE,"",IF((('Dvd Calendar'!$AE$896=TYPE1)*(TYPE1&lt;&gt;"")+('Dvd Calendar'!$AE$896=TYPE2)*(TYPE2&lt;&gt;"")+('Dvd Calendar'!$AE$896=TYPE3)*(TYPE3&lt;&gt;"")+('Dvd Calendar'!$AE$896=TYPE4)*(TYPE4&lt;&gt;"")+('Dvd Calendar'!$AE$896=SPECIAL_LBL)*(INC_SPECIALS="Y"))=0,"",'Dvd Calendar'!$AE$894)))</f>
        <v/>
      </c>
      <c r="AD92" s="110">
        <f>IF(FF92="","",IF(ISNUMBER('Dvd Calendar'!$AF$894)=FALSE,"",IF((('Dvd Calendar'!$AF$896=TYPE1)*(TYPE1&lt;&gt;"")+('Dvd Calendar'!$AF$896=TYPE2)*(TYPE2&lt;&gt;"")+('Dvd Calendar'!$AF$896=TYPE3)*(TYPE3&lt;&gt;"")+('Dvd Calendar'!$AF$896=TYPE4)*(TYPE4&lt;&gt;"")+('Dvd Calendar'!$AF$896=SPECIAL_LBL)*(INC_SPECIALS="Y"))=0,"",'Dvd Calendar'!$AF$894)))</f>
        <v/>
      </c>
      <c r="AE92" s="110">
        <f>IF(FG92="","",IF(ISNUMBER('Dvd Calendar'!$AG$894)=FALSE,"",IF((('Dvd Calendar'!$AG$896=TYPE1)*(TYPE1&lt;&gt;"")+('Dvd Calendar'!$AG$896=TYPE2)*(TYPE2&lt;&gt;"")+('Dvd Calendar'!$AG$896=TYPE3)*(TYPE3&lt;&gt;"")+('Dvd Calendar'!$AG$896=TYPE4)*(TYPE4&lt;&gt;"")+('Dvd Calendar'!$AG$896=SPECIAL_LBL)*(INC_SPECIALS="Y"))=0,"",'Dvd Calendar'!$AG$894)))</f>
        <v/>
      </c>
      <c r="AF92" s="110">
        <f>IF(FH92="","",IF(ISNUMBER('Dvd Calendar'!$AH$894)=FALSE,"",IF((('Dvd Calendar'!$AH$896=TYPE1)*(TYPE1&lt;&gt;"")+('Dvd Calendar'!$AH$896=TYPE2)*(TYPE2&lt;&gt;"")+('Dvd Calendar'!$AH$896=TYPE3)*(TYPE3&lt;&gt;"")+('Dvd Calendar'!$AH$896=TYPE4)*(TYPE4&lt;&gt;"")+('Dvd Calendar'!$AH$896=SPECIAL_LBL)*(INC_SPECIALS="Y"))=0,"",'Dvd Calendar'!$AH$894)))</f>
        <v/>
      </c>
      <c r="AG92" s="110">
        <f>IF(FI92="","",IF(ISNUMBER('Dvd Calendar'!$AI$894)=FALSE,"",IF((('Dvd Calendar'!$AI$896=TYPE1)*(TYPE1&lt;&gt;"")+('Dvd Calendar'!$AI$896=TYPE2)*(TYPE2&lt;&gt;"")+('Dvd Calendar'!$AI$896=TYPE3)*(TYPE3&lt;&gt;"")+('Dvd Calendar'!$AI$896=TYPE4)*(TYPE4&lt;&gt;"")+('Dvd Calendar'!$AI$896=SPECIAL_LBL)*(INC_SPECIALS="Y"))=0,"",'Dvd Calendar'!$AI$894)))</f>
        <v/>
      </c>
      <c r="AH92" s="110">
        <f>IF(FJ92="","",IF(ISNUMBER('Dvd Calendar'!$AJ$894)=FALSE,"",IF((('Dvd Calendar'!$AJ$896=TYPE1)*(TYPE1&lt;&gt;"")+('Dvd Calendar'!$AJ$896=TYPE2)*(TYPE2&lt;&gt;"")+('Dvd Calendar'!$AJ$896=TYPE3)*(TYPE3&lt;&gt;"")+('Dvd Calendar'!$AJ$896=TYPE4)*(TYPE4&lt;&gt;"")+('Dvd Calendar'!$AJ$896=SPECIAL_LBL)*(INC_SPECIALS="Y"))=0,"",'Dvd Calendar'!$AJ$894)))</f>
        <v/>
      </c>
      <c r="AI92" s="110">
        <f>IF(FK92="","",IF(ISNUMBER('Dvd Calendar'!$AK$894)=FALSE,"",IF((('Dvd Calendar'!$AK$896=TYPE1)*(TYPE1&lt;&gt;"")+('Dvd Calendar'!$AK$896=TYPE2)*(TYPE2&lt;&gt;"")+('Dvd Calendar'!$AK$896=TYPE3)*(TYPE3&lt;&gt;"")+('Dvd Calendar'!$AK$896=TYPE4)*(TYPE4&lt;&gt;"")+('Dvd Calendar'!$AK$896=SPECIAL_LBL)*(INC_SPECIALS="Y"))=0,"",'Dvd Calendar'!$AK$894)))</f>
        <v/>
      </c>
      <c r="AJ92" s="110">
        <f>IF(FL92="","",IF(ISNUMBER('Dvd Calendar'!$AL$894)=FALSE,"",IF((('Dvd Calendar'!$AL$896=TYPE1)*(TYPE1&lt;&gt;"")+('Dvd Calendar'!$AL$896=TYPE2)*(TYPE2&lt;&gt;"")+('Dvd Calendar'!$AL$896=TYPE3)*(TYPE3&lt;&gt;"")+('Dvd Calendar'!$AL$896=TYPE4)*(TYPE4&lt;&gt;"")+('Dvd Calendar'!$AL$896=SPECIAL_LBL)*(INC_SPECIALS="Y"))=0,"",'Dvd Calendar'!$AL$894)))</f>
        <v/>
      </c>
      <c r="AK92" s="110">
        <f>IF(FM92="","",IF(ISNUMBER('Dvd Calendar'!$AM$894)=FALSE,"",IF((('Dvd Calendar'!$AM$896=TYPE1)*(TYPE1&lt;&gt;"")+('Dvd Calendar'!$AM$896=TYPE2)*(TYPE2&lt;&gt;"")+('Dvd Calendar'!$AM$896=TYPE3)*(TYPE3&lt;&gt;"")+('Dvd Calendar'!$AM$896=TYPE4)*(TYPE4&lt;&gt;"")+('Dvd Calendar'!$AM$896=SPECIAL_LBL)*(INC_SPECIALS="Y"))=0,"",'Dvd Calendar'!$AM$894)))</f>
        <v/>
      </c>
      <c r="AL92" s="110">
        <f>IF(FN92="","",IF(ISNUMBER('Dvd Calendar'!$AN$894)=FALSE,"",IF((('Dvd Calendar'!$AN$896=TYPE1)*(TYPE1&lt;&gt;"")+('Dvd Calendar'!$AN$896=TYPE2)*(TYPE2&lt;&gt;"")+('Dvd Calendar'!$AN$896=TYPE3)*(TYPE3&lt;&gt;"")+('Dvd Calendar'!$AN$896=TYPE4)*(TYPE4&lt;&gt;"")+('Dvd Calendar'!$AN$896=SPECIAL_LBL)*(INC_SPECIALS="Y"))=0,"",'Dvd Calendar'!$AN$894)))</f>
        <v/>
      </c>
      <c r="AM92" s="110">
        <f>IF(FO92="","",IF(ISNUMBER('Dvd Calendar'!$AO$894)=FALSE,"",IF((('Dvd Calendar'!$AO$896=TYPE1)*(TYPE1&lt;&gt;"")+('Dvd Calendar'!$AO$896=TYPE2)*(TYPE2&lt;&gt;"")+('Dvd Calendar'!$AO$896=TYPE3)*(TYPE3&lt;&gt;"")+('Dvd Calendar'!$AO$896=TYPE4)*(TYPE4&lt;&gt;"")+('Dvd Calendar'!$AO$896=SPECIAL_LBL)*(INC_SPECIALS="Y"))=0,"",'Dvd Calendar'!$AO$894)))</f>
        <v/>
      </c>
      <c r="AN92" s="110">
        <f>IF(FP92="","",IF(ISNUMBER('Dvd Calendar'!$AP$894)=FALSE,"",IF((('Dvd Calendar'!$AP$896=TYPE1)*(TYPE1&lt;&gt;"")+('Dvd Calendar'!$AP$896=TYPE2)*(TYPE2&lt;&gt;"")+('Dvd Calendar'!$AP$896=TYPE3)*(TYPE3&lt;&gt;"")+('Dvd Calendar'!$AP$896=TYPE4)*(TYPE4&lt;&gt;"")+('Dvd Calendar'!$AP$896=SPECIAL_LBL)*(INC_SPECIALS="Y"))=0,"",'Dvd Calendar'!$AP$894)))</f>
        <v/>
      </c>
      <c r="AO92" s="110">
        <f>IF(FQ92="","",IF(ISNUMBER('Dvd Calendar'!$AQ$894)=FALSE,"",IF((('Dvd Calendar'!$AQ$896=TYPE1)*(TYPE1&lt;&gt;"")+('Dvd Calendar'!$AQ$896=TYPE2)*(TYPE2&lt;&gt;"")+('Dvd Calendar'!$AQ$896=TYPE3)*(TYPE3&lt;&gt;"")+('Dvd Calendar'!$AQ$896=TYPE4)*(TYPE4&lt;&gt;"")+('Dvd Calendar'!$AQ$896=SPECIAL_LBL)*(INC_SPECIALS="Y"))=0,"",'Dvd Calendar'!$AQ$894)))</f>
        <v/>
      </c>
      <c r="AP92" s="110">
        <f>IF(FR92="","",IF(ISNUMBER('Dvd Calendar'!$AR$894)=FALSE,"",IF((('Dvd Calendar'!$AR$896=TYPE1)*(TYPE1&lt;&gt;"")+('Dvd Calendar'!$AR$896=TYPE2)*(TYPE2&lt;&gt;"")+('Dvd Calendar'!$AR$896=TYPE3)*(TYPE3&lt;&gt;"")+('Dvd Calendar'!$AR$896=TYPE4)*(TYPE4&lt;&gt;"")+('Dvd Calendar'!$AR$896=SPECIAL_LBL)*(INC_SPECIALS="Y"))=0,"",'Dvd Calendar'!$AR$894)))</f>
        <v/>
      </c>
      <c r="AQ92" s="110">
        <f>IF(FS92="","",IF(ISNUMBER('Dvd Calendar'!$E$899)=FALSE,"",'Dvd Calendar'!$E$899))</f>
        <v/>
      </c>
      <c r="AR92" s="110">
        <f>IF(FT92="","",IF(ISNUMBER('Dvd Calendar'!$F$899)=FALSE,"",'Dvd Calendar'!$F$899))</f>
        <v/>
      </c>
      <c r="AS92" s="110">
        <f>IF(FU92="","",IF(ISNUMBER('Dvd Calendar'!$G$899)=FALSE,"",'Dvd Calendar'!$G$899))</f>
        <v/>
      </c>
      <c r="AT92" s="110">
        <f>IF(FV92="","",IF(ISNUMBER('Dvd Calendar'!$H$899)=FALSE,"",'Dvd Calendar'!$H$899))</f>
        <v/>
      </c>
      <c r="AU92" s="110">
        <f>IF(FW92="","",IF(ISNUMBER('Dvd Calendar'!$I$899)=FALSE,"",'Dvd Calendar'!$I$899))</f>
        <v/>
      </c>
      <c r="AV92" s="110">
        <f>IF(FX92="","",IF(ISNUMBER('Dvd Calendar'!$J$899)=FALSE,"",'Dvd Calendar'!$J$899))</f>
        <v/>
      </c>
      <c r="AW92" s="110">
        <f>IF(FY92="","",IF(ISNUMBER('Dvd Calendar'!$K$899)=FALSE,"",'Dvd Calendar'!$K$899))</f>
        <v/>
      </c>
      <c r="AX92" s="110">
        <f>IF(FZ92="","",IF(ISNUMBER('Dvd Calendar'!$L$899)=FALSE,"",'Dvd Calendar'!$L$899))</f>
        <v/>
      </c>
      <c r="AY92" s="110">
        <f>IF(GA92="","",IF(ISNUMBER('Dvd Calendar'!$M$899)=FALSE,"",'Dvd Calendar'!$M$899))</f>
        <v/>
      </c>
      <c r="AZ92" s="110">
        <f>IF(GB92="","",IF(ISNUMBER('Dvd Calendar'!$N$899)=FALSE,"",'Dvd Calendar'!$N$899))</f>
        <v/>
      </c>
      <c r="BA92" s="110">
        <f>IF(GC92="","",IF(ISNUMBER('Dvd Calendar'!$O$899)=FALSE,"",'Dvd Calendar'!$O$899))</f>
        <v/>
      </c>
      <c r="BB92" s="110">
        <f>IF(GD92="","",IF(ISNUMBER('Dvd Calendar'!$P$899)=FALSE,"",'Dvd Calendar'!$P$899))</f>
        <v/>
      </c>
      <c r="BC92" s="110">
        <f>IF(GE92="","",IF(ISNUMBER('Dvd Calendar'!$Q$899)=FALSE,"",'Dvd Calendar'!$Q$899))</f>
        <v/>
      </c>
      <c r="BD92" s="110">
        <f>IF(GF92="","",IF(ISNUMBER('Dvd Calendar'!$R$899)=FALSE,"",'Dvd Calendar'!$R$899))</f>
        <v/>
      </c>
      <c r="BE92" s="110">
        <f>IF(GG92="","",IF(ISNUMBER('Dvd Calendar'!$S$899)=FALSE,"",'Dvd Calendar'!$S$899))</f>
        <v/>
      </c>
      <c r="BF92" s="110">
        <f>IF(GH92="","",IF(ISNUMBER('Dvd Calendar'!$T$899)=FALSE,"",'Dvd Calendar'!$T$899))</f>
        <v/>
      </c>
      <c r="BG92" s="110">
        <f>IF(GI92="","",IF(ISNUMBER('Dvd Calendar'!$U$899)=FALSE,"",'Dvd Calendar'!$U$899))</f>
        <v/>
      </c>
      <c r="BH92" s="110">
        <f>IF(GJ92="","",IF(ISNUMBER('Dvd Calendar'!$V$899)=FALSE,"",'Dvd Calendar'!$V$899))</f>
        <v/>
      </c>
      <c r="BI92" s="110">
        <f>IF(GK92="","",IF(ISNUMBER('Dvd Calendar'!$W$899)=FALSE,"",'Dvd Calendar'!$W$899))</f>
        <v/>
      </c>
      <c r="BJ92" s="110">
        <f>IF(GL92="","",IF(ISNUMBER('Dvd Calendar'!$X$899)=FALSE,"",'Dvd Calendar'!$X$899))</f>
        <v/>
      </c>
      <c r="BK92" s="110">
        <f>IF(GM92="","",IF(ISNUMBER('Dvd Calendar'!$Y$899)=FALSE,"",'Dvd Calendar'!$Y$899))</f>
        <v/>
      </c>
      <c r="BL92" s="110">
        <f>IF(GN92="","",IF(ISNUMBER('Dvd Calendar'!$Z$899)=FALSE,"",'Dvd Calendar'!$Z$899))</f>
        <v/>
      </c>
      <c r="BM92" s="110">
        <f>IF(GO92="","",IF(ISNUMBER('Dvd Calendar'!$AA$899)=FALSE,"",'Dvd Calendar'!$AA$899))</f>
        <v/>
      </c>
      <c r="BN92" s="110">
        <f>IF(GP92="","",IF(ISNUMBER('Dvd Calendar'!$AB$899)=FALSE,"",'Dvd Calendar'!$AB$899))</f>
        <v/>
      </c>
      <c r="BO92" s="110">
        <f>IF(GQ92="","",IF(ISNUMBER('Dvd Calendar'!$AC$899)=FALSE,"",'Dvd Calendar'!$AC$899))</f>
        <v/>
      </c>
      <c r="BQ92" s="110">
        <f>IF(C92="","",IFERROR(C92*HSI!$B$87*HSI!$G$87/HSI!$B$3,""))</f>
        <v/>
      </c>
      <c r="BR92" s="110">
        <f>IF(D92="","",IFERROR(D92*HSI!$B$87*HSI!$G$87/HSI!$B$3,""))</f>
        <v/>
      </c>
      <c r="BS92" s="110">
        <f>IF(E92="","",IFERROR(E92*HSI!$B$87*HSI!$G$87/HSI!$B$3,""))</f>
        <v/>
      </c>
      <c r="BT92" s="110">
        <f>IF(F92="","",IFERROR(F92*HSI!$B$87*HSI!$G$87/HSI!$B$3,""))</f>
        <v/>
      </c>
      <c r="BU92" s="110">
        <f>IF(G92="","",IFERROR(G92*HSI!$B$87*HSI!$G$87/HSI!$B$3,""))</f>
        <v/>
      </c>
      <c r="BV92" s="110">
        <f>IF(H92="","",IFERROR(H92*HSI!$B$87*HSI!$G$87/HSI!$B$3,""))</f>
        <v/>
      </c>
      <c r="BW92" s="110">
        <f>IF(I92="","",IFERROR(I92*HSI!$B$87*HSI!$G$87/HSI!$B$3,""))</f>
        <v/>
      </c>
      <c r="BX92" s="110">
        <f>IF(J92="","",IFERROR(J92*HSI!$B$87*HSI!$G$87/HSI!$B$3,""))</f>
        <v/>
      </c>
      <c r="BY92" s="110">
        <f>IF(K92="","",IFERROR(K92*HSI!$B$87*HSI!$G$87/HSI!$B$3,""))</f>
        <v/>
      </c>
      <c r="BZ92" s="110">
        <f>IF(L92="","",IFERROR(L92*HSI!$B$87*HSI!$G$87/HSI!$B$3,""))</f>
        <v/>
      </c>
      <c r="CA92" s="110">
        <f>IF(M92="","",IFERROR(M92*HSI!$B$87*HSI!$G$87/HSI!$B$3,""))</f>
        <v/>
      </c>
      <c r="CB92" s="110">
        <f>IF(N92="","",IFERROR(N92*HSI!$B$87*HSI!$G$87/HSI!$B$3,""))</f>
        <v/>
      </c>
      <c r="CC92" s="110">
        <f>IF(O92="","",IFERROR(O92*HSI!$B$87*HSI!$G$87/HSI!$B$3,""))</f>
        <v/>
      </c>
      <c r="CD92" s="110">
        <f>IF(P92="","",IFERROR(P92*HSI!$B$87*HSI!$G$87/HSI!$B$3,""))</f>
        <v/>
      </c>
      <c r="CE92" s="110">
        <f>IF(Q92="","",IFERROR(Q92*HSI!$B$87*HSI!$G$87/HSI!$B$3,""))</f>
        <v/>
      </c>
      <c r="CF92" s="110">
        <f>IF(R92="","",IFERROR(R92*HSI!$B$87*HSI!$G$87/HSI!$B$3,""))</f>
        <v/>
      </c>
      <c r="CG92" s="110">
        <f>IF(S92="","",IFERROR(S92*HSI!$B$87*HSI!$G$87/HSI!$B$3,""))</f>
        <v/>
      </c>
      <c r="CH92" s="110">
        <f>IF(T92="","",IFERROR(T92*HSI!$B$87*HSI!$G$87/HSI!$B$3,""))</f>
        <v/>
      </c>
      <c r="CI92" s="110">
        <f>IF(U92="","",IFERROR(U92*HSI!$B$87*HSI!$G$87/HSI!$B$3,""))</f>
        <v/>
      </c>
      <c r="CJ92" s="110">
        <f>IF(V92="","",IFERROR(V92*HSI!$B$87*HSI!$G$87/HSI!$B$3,""))</f>
        <v/>
      </c>
      <c r="CK92" s="110">
        <f>IF(W92="","",IFERROR(W92*HSI!$B$87*HSI!$G$87/HSI!$B$3,""))</f>
        <v/>
      </c>
      <c r="CL92" s="110">
        <f>IF(X92="","",IFERROR(X92*HSI!$B$87*HSI!$G$87/HSI!$B$3,""))</f>
        <v/>
      </c>
      <c r="CM92" s="110">
        <f>IF(Y92="","",IFERROR(Y92*HSI!$B$87*HSI!$G$87/HSI!$B$3,""))</f>
        <v/>
      </c>
      <c r="CN92" s="110">
        <f>IF(Z92="","",IFERROR(Z92*HSI!$B$87*HSI!$G$87/HSI!$B$3,""))</f>
        <v/>
      </c>
      <c r="CO92" s="110">
        <f>IF(AA92="","",IFERROR(AA92*HSI!$B$87*HSI!$G$87/HSI!$B$3,""))</f>
        <v/>
      </c>
      <c r="CP92" s="110">
        <f>IF(AB92="","",IFERROR(AB92*HSI!$B$87*HSI!$G$87/HSI!$B$3,""))</f>
        <v/>
      </c>
      <c r="CQ92" s="110">
        <f>IF(AC92="","",IFERROR(AC92*HSI!$B$87*HSI!$G$87/HSI!$B$3,""))</f>
        <v/>
      </c>
      <c r="CR92" s="110">
        <f>IF(AD92="","",IFERROR(AD92*HSI!$B$87*HSI!$G$87/HSI!$B$3,""))</f>
        <v/>
      </c>
      <c r="CS92" s="110">
        <f>IF(AE92="","",IFERROR(AE92*HSI!$B$87*HSI!$G$87/HSI!$B$3,""))</f>
        <v/>
      </c>
      <c r="CT92" s="110">
        <f>IF(AF92="","",IFERROR(AF92*HSI!$B$87*HSI!$G$87/HSI!$B$3,""))</f>
        <v/>
      </c>
      <c r="CU92" s="110">
        <f>IF(AG92="","",IFERROR(AG92*HSI!$B$87*HSI!$G$87/HSI!$B$3,""))</f>
        <v/>
      </c>
      <c r="CV92" s="110">
        <f>IF(AH92="","",IFERROR(AH92*HSI!$B$87*HSI!$G$87/HSI!$B$3,""))</f>
        <v/>
      </c>
      <c r="CW92" s="110">
        <f>IF(AI92="","",IFERROR(AI92*HSI!$B$87*HSI!$G$87/HSI!$B$3,""))</f>
        <v/>
      </c>
      <c r="CX92" s="110">
        <f>IF(AJ92="","",IFERROR(AJ92*HSI!$B$87*HSI!$G$87/HSI!$B$3,""))</f>
        <v/>
      </c>
      <c r="CY92" s="110">
        <f>IF(AK92="","",IFERROR(AK92*HSI!$B$87*HSI!$G$87/HSI!$B$3,""))</f>
        <v/>
      </c>
      <c r="CZ92" s="110">
        <f>IF(AL92="","",IFERROR(AL92*HSI!$B$87*HSI!$G$87/HSI!$B$3,""))</f>
        <v/>
      </c>
      <c r="DA92" s="110">
        <f>IF(AM92="","",IFERROR(AM92*HSI!$B$87*HSI!$G$87/HSI!$B$3,""))</f>
        <v/>
      </c>
      <c r="DB92" s="110">
        <f>IF(AN92="","",IFERROR(AN92*HSI!$B$87*HSI!$G$87/HSI!$B$3,""))</f>
        <v/>
      </c>
      <c r="DC92" s="110">
        <f>IF(AO92="","",IFERROR(AO92*HSI!$B$87*HSI!$G$87/HSI!$B$3,""))</f>
        <v/>
      </c>
      <c r="DD92" s="110">
        <f>IF(AP92="","",IFERROR(AP92*HSI!$B$87*HSI!$G$87/HSI!$B$3,""))</f>
        <v/>
      </c>
      <c r="DE92" s="110">
        <f>IF(AQ92="","",IFERROR(AQ92*HSI!$B$87*HSI!$G$87/HSI!$B$3,""))</f>
        <v/>
      </c>
      <c r="DF92" s="110">
        <f>IF(AR92="","",IFERROR(AR92*HSI!$B$87*HSI!$G$87/HSI!$B$3,""))</f>
        <v/>
      </c>
      <c r="DG92" s="110">
        <f>IF(AS92="","",IFERROR(AS92*HSI!$B$87*HSI!$G$87/HSI!$B$3,""))</f>
        <v/>
      </c>
      <c r="DH92" s="110">
        <f>IF(AT92="","",IFERROR(AT92*HSI!$B$87*HSI!$G$87/HSI!$B$3,""))</f>
        <v/>
      </c>
      <c r="DI92" s="110">
        <f>IF(AU92="","",IFERROR(AU92*HSI!$B$87*HSI!$G$87/HSI!$B$3,""))</f>
        <v/>
      </c>
      <c r="DJ92" s="110">
        <f>IF(AV92="","",IFERROR(AV92*HSI!$B$87*HSI!$G$87/HSI!$B$3,""))</f>
        <v/>
      </c>
      <c r="DK92" s="110">
        <f>IF(AW92="","",IFERROR(AW92*HSI!$B$87*HSI!$G$87/HSI!$B$3,""))</f>
        <v/>
      </c>
      <c r="DL92" s="110">
        <f>IF(AX92="","",IFERROR(AX92*HSI!$B$87*HSI!$G$87/HSI!$B$3,""))</f>
        <v/>
      </c>
      <c r="DM92" s="110">
        <f>IF(AY92="","",IFERROR(AY92*HSI!$B$87*HSI!$G$87/HSI!$B$3,""))</f>
        <v/>
      </c>
      <c r="DN92" s="110">
        <f>IF(AZ92="","",IFERROR(AZ92*HSI!$B$87*HSI!$G$87/HSI!$B$3,""))</f>
        <v/>
      </c>
      <c r="DO92" s="110">
        <f>IF(BA92="","",IFERROR(BA92*HSI!$B$87*HSI!$G$87/HSI!$B$3,""))</f>
        <v/>
      </c>
      <c r="DP92" s="110">
        <f>IF(BB92="","",IFERROR(BB92*HSI!$B$87*HSI!$G$87/HSI!$B$3,""))</f>
        <v/>
      </c>
      <c r="DQ92" s="110">
        <f>IF(BC92="","",IFERROR(BC92*HSI!$B$87*HSI!$G$87/HSI!$B$3,""))</f>
        <v/>
      </c>
      <c r="DR92" s="110">
        <f>IF(BD92="","",IFERROR(BD92*HSI!$B$87*HSI!$G$87/HSI!$B$3,""))</f>
        <v/>
      </c>
      <c r="DS92" s="110">
        <f>IF(BE92="","",IFERROR(BE92*HSI!$B$87*HSI!$G$87/HSI!$B$3,""))</f>
        <v/>
      </c>
      <c r="DT92" s="110">
        <f>IF(BF92="","",IFERROR(BF92*HSI!$B$87*HSI!$G$87/HSI!$B$3,""))</f>
        <v/>
      </c>
      <c r="DU92" s="110">
        <f>IF(BG92="","",IFERROR(BG92*HSI!$B$87*HSI!$G$87/HSI!$B$3,""))</f>
        <v/>
      </c>
      <c r="DV92" s="110">
        <f>IF(BH92="","",IFERROR(BH92*HSI!$B$87*HSI!$G$87/HSI!$B$3,""))</f>
        <v/>
      </c>
      <c r="DW92" s="110">
        <f>IF(BI92="","",IFERROR(BI92*HSI!$B$87*HSI!$G$87/HSI!$B$3,""))</f>
        <v/>
      </c>
      <c r="DX92" s="110">
        <f>IF(BJ92="","",IFERROR(BJ92*HSI!$B$87*HSI!$G$87/HSI!$B$3,""))</f>
        <v/>
      </c>
      <c r="DY92" s="110">
        <f>IF(BK92="","",IFERROR(BK92*HSI!$B$87*HSI!$G$87/HSI!$B$3,""))</f>
        <v/>
      </c>
      <c r="DZ92" s="110">
        <f>IF(BL92="","",IFERROR(BL92*HSI!$B$87*HSI!$G$87/HSI!$B$3,""))</f>
        <v/>
      </c>
      <c r="EA92" s="110">
        <f>IF(BM92="","",IFERROR(BM92*HSI!$B$87*HSI!$G$87/HSI!$B$3,""))</f>
        <v/>
      </c>
      <c r="EB92" s="110">
        <f>IF(BN92="","",IFERROR(BN92*HSI!$B$87*HSI!$G$87/HSI!$B$3,""))</f>
        <v/>
      </c>
      <c r="EC92" s="110">
        <f>IF(BO92="","",IFERROR(BO92*HSI!$B$87*HSI!$G$87/HSI!$B$3,""))</f>
        <v/>
      </c>
      <c r="EE92" s="39">
        <f>IF(N('Dvd Calendar'!$E$891)=0,"",IF(('Dvd Calendar'!$E$891&gt;=GRID_FROM)*('Dvd Calendar'!$E$891&lt;=GRID_TO)*((('Dvd Calendar'!$E$891&lt;=VAL_DATE)+(COUNTIF('Dvd Calendar'!$E$898:$AR$898,'Dvd Calendar'!$E$891)=0))&gt;0)=0,"",'Dvd Calendar'!$E$891*1000000000+ISNUMBER('Dvd Calendar'!$E$894)*100000000+('Dvd Calendar'!$E$896=SPECIAL_LBL)*10000000+(N('Dvd Calendar'!$E$890)&gt;0)*(N('Dvd Calendar'!$E$890)&lt;=VAL_SERIAL)*1000000+81*1000+1))</f>
        <v/>
      </c>
      <c r="EF92" s="39">
        <f>IF(N('Dvd Calendar'!$F$891)=0,"",IF(('Dvd Calendar'!$F$891&gt;=GRID_FROM)*('Dvd Calendar'!$F$891&lt;=GRID_TO)*((('Dvd Calendar'!$F$891&lt;=VAL_DATE)+(COUNTIF('Dvd Calendar'!$E$898:$AR$898,'Dvd Calendar'!$F$891)=0))&gt;0)=0,"",'Dvd Calendar'!$F$891*1000000000+ISNUMBER('Dvd Calendar'!$F$894)*100000000+('Dvd Calendar'!$F$896=SPECIAL_LBL)*10000000+(N('Dvd Calendar'!$F$890)&gt;0)*(N('Dvd Calendar'!$F$890)&lt;=VAL_SERIAL)*1000000+81*1000+2))</f>
        <v/>
      </c>
      <c r="EG92" s="39">
        <f>IF(N('Dvd Calendar'!$G$891)=0,"",IF(('Dvd Calendar'!$G$891&gt;=GRID_FROM)*('Dvd Calendar'!$G$891&lt;=GRID_TO)*((('Dvd Calendar'!$G$891&lt;=VAL_DATE)+(COUNTIF('Dvd Calendar'!$E$898:$AR$898,'Dvd Calendar'!$G$891)=0))&gt;0)=0,"",'Dvd Calendar'!$G$891*1000000000+ISNUMBER('Dvd Calendar'!$G$894)*100000000+('Dvd Calendar'!$G$896=SPECIAL_LBL)*10000000+(N('Dvd Calendar'!$G$890)&gt;0)*(N('Dvd Calendar'!$G$890)&lt;=VAL_SERIAL)*1000000+81*1000+3))</f>
        <v/>
      </c>
      <c r="EH92" s="39">
        <f>IF(N('Dvd Calendar'!$H$891)=0,"",IF(('Dvd Calendar'!$H$891&gt;=GRID_FROM)*('Dvd Calendar'!$H$891&lt;=GRID_TO)*((('Dvd Calendar'!$H$891&lt;=VAL_DATE)+(COUNTIF('Dvd Calendar'!$E$898:$AR$898,'Dvd Calendar'!$H$891)=0))&gt;0)=0,"",'Dvd Calendar'!$H$891*1000000000+ISNUMBER('Dvd Calendar'!$H$894)*100000000+('Dvd Calendar'!$H$896=SPECIAL_LBL)*10000000+(N('Dvd Calendar'!$H$890)&gt;0)*(N('Dvd Calendar'!$H$890)&lt;=VAL_SERIAL)*1000000+81*1000+4))</f>
        <v/>
      </c>
      <c r="EI92" s="39">
        <f>IF(N('Dvd Calendar'!$I$891)=0,"",IF(('Dvd Calendar'!$I$891&gt;=GRID_FROM)*('Dvd Calendar'!$I$891&lt;=GRID_TO)*((('Dvd Calendar'!$I$891&lt;=VAL_DATE)+(COUNTIF('Dvd Calendar'!$E$898:$AR$898,'Dvd Calendar'!$I$891)=0))&gt;0)=0,"",'Dvd Calendar'!$I$891*1000000000+ISNUMBER('Dvd Calendar'!$I$894)*100000000+('Dvd Calendar'!$I$896=SPECIAL_LBL)*10000000+(N('Dvd Calendar'!$I$890)&gt;0)*(N('Dvd Calendar'!$I$890)&lt;=VAL_SERIAL)*1000000+81*1000+5))</f>
        <v/>
      </c>
      <c r="EJ92" s="39">
        <f>IF(N('Dvd Calendar'!$J$891)=0,"",IF(('Dvd Calendar'!$J$891&gt;=GRID_FROM)*('Dvd Calendar'!$J$891&lt;=GRID_TO)*((('Dvd Calendar'!$J$891&lt;=VAL_DATE)+(COUNTIF('Dvd Calendar'!$E$898:$AR$898,'Dvd Calendar'!$J$891)=0))&gt;0)=0,"",'Dvd Calendar'!$J$891*1000000000+ISNUMBER('Dvd Calendar'!$J$894)*100000000+('Dvd Calendar'!$J$896=SPECIAL_LBL)*10000000+(N('Dvd Calendar'!$J$890)&gt;0)*(N('Dvd Calendar'!$J$890)&lt;=VAL_SERIAL)*1000000+81*1000+6))</f>
        <v/>
      </c>
      <c r="EK92" s="39">
        <f>IF(N('Dvd Calendar'!$K$891)=0,"",IF(('Dvd Calendar'!$K$891&gt;=GRID_FROM)*('Dvd Calendar'!$K$891&lt;=GRID_TO)*((('Dvd Calendar'!$K$891&lt;=VAL_DATE)+(COUNTIF('Dvd Calendar'!$E$898:$AR$898,'Dvd Calendar'!$K$891)=0))&gt;0)=0,"",'Dvd Calendar'!$K$891*1000000000+ISNUMBER('Dvd Calendar'!$K$894)*100000000+('Dvd Calendar'!$K$896=SPECIAL_LBL)*10000000+(N('Dvd Calendar'!$K$890)&gt;0)*(N('Dvd Calendar'!$K$890)&lt;=VAL_SERIAL)*1000000+81*1000+7))</f>
        <v/>
      </c>
      <c r="EL92" s="39">
        <f>IF(N('Dvd Calendar'!$L$891)=0,"",IF(('Dvd Calendar'!$L$891&gt;=GRID_FROM)*('Dvd Calendar'!$L$891&lt;=GRID_TO)*((('Dvd Calendar'!$L$891&lt;=VAL_DATE)+(COUNTIF('Dvd Calendar'!$E$898:$AR$898,'Dvd Calendar'!$L$891)=0))&gt;0)=0,"",'Dvd Calendar'!$L$891*1000000000+ISNUMBER('Dvd Calendar'!$L$894)*100000000+('Dvd Calendar'!$L$896=SPECIAL_LBL)*10000000+(N('Dvd Calendar'!$L$890)&gt;0)*(N('Dvd Calendar'!$L$890)&lt;=VAL_SERIAL)*1000000+81*1000+8))</f>
        <v/>
      </c>
      <c r="EM92" s="39">
        <f>IF(N('Dvd Calendar'!$M$891)=0,"",IF(('Dvd Calendar'!$M$891&gt;=GRID_FROM)*('Dvd Calendar'!$M$891&lt;=GRID_TO)*((('Dvd Calendar'!$M$891&lt;=VAL_DATE)+(COUNTIF('Dvd Calendar'!$E$898:$AR$898,'Dvd Calendar'!$M$891)=0))&gt;0)=0,"",'Dvd Calendar'!$M$891*1000000000+ISNUMBER('Dvd Calendar'!$M$894)*100000000+('Dvd Calendar'!$M$896=SPECIAL_LBL)*10000000+(N('Dvd Calendar'!$M$890)&gt;0)*(N('Dvd Calendar'!$M$890)&lt;=VAL_SERIAL)*1000000+81*1000+9))</f>
        <v/>
      </c>
      <c r="EN92" s="39">
        <f>IF(N('Dvd Calendar'!$N$891)=0,"",IF(('Dvd Calendar'!$N$891&gt;=GRID_FROM)*('Dvd Calendar'!$N$891&lt;=GRID_TO)*((('Dvd Calendar'!$N$891&lt;=VAL_DATE)+(COUNTIF('Dvd Calendar'!$E$898:$AR$898,'Dvd Calendar'!$N$891)=0))&gt;0)=0,"",'Dvd Calendar'!$N$891*1000000000+ISNUMBER('Dvd Calendar'!$N$894)*100000000+('Dvd Calendar'!$N$896=SPECIAL_LBL)*10000000+(N('Dvd Calendar'!$N$890)&gt;0)*(N('Dvd Calendar'!$N$890)&lt;=VAL_SERIAL)*1000000+81*1000+10))</f>
        <v/>
      </c>
      <c r="EO92" s="39">
        <f>IF(N('Dvd Calendar'!$O$891)=0,"",IF(('Dvd Calendar'!$O$891&gt;=GRID_FROM)*('Dvd Calendar'!$O$891&lt;=GRID_TO)*((('Dvd Calendar'!$O$891&lt;=VAL_DATE)+(COUNTIF('Dvd Calendar'!$E$898:$AR$898,'Dvd Calendar'!$O$891)=0))&gt;0)=0,"",'Dvd Calendar'!$O$891*1000000000+ISNUMBER('Dvd Calendar'!$O$894)*100000000+('Dvd Calendar'!$O$896=SPECIAL_LBL)*10000000+(N('Dvd Calendar'!$O$890)&gt;0)*(N('Dvd Calendar'!$O$890)&lt;=VAL_SERIAL)*1000000+81*1000+11))</f>
        <v/>
      </c>
      <c r="EP92" s="39">
        <f>IF(N('Dvd Calendar'!$P$891)=0,"",IF(('Dvd Calendar'!$P$891&gt;=GRID_FROM)*('Dvd Calendar'!$P$891&lt;=GRID_TO)*((('Dvd Calendar'!$P$891&lt;=VAL_DATE)+(COUNTIF('Dvd Calendar'!$E$898:$AR$898,'Dvd Calendar'!$P$891)=0))&gt;0)=0,"",'Dvd Calendar'!$P$891*1000000000+ISNUMBER('Dvd Calendar'!$P$894)*100000000+('Dvd Calendar'!$P$896=SPECIAL_LBL)*10000000+(N('Dvd Calendar'!$P$890)&gt;0)*(N('Dvd Calendar'!$P$890)&lt;=VAL_SERIAL)*1000000+81*1000+12))</f>
        <v/>
      </c>
      <c r="EQ92" s="39">
        <f>IF(N('Dvd Calendar'!$Q$891)=0,"",IF(('Dvd Calendar'!$Q$891&gt;=GRID_FROM)*('Dvd Calendar'!$Q$891&lt;=GRID_TO)*((('Dvd Calendar'!$Q$891&lt;=VAL_DATE)+(COUNTIF('Dvd Calendar'!$E$898:$AR$898,'Dvd Calendar'!$Q$891)=0))&gt;0)=0,"",'Dvd Calendar'!$Q$891*1000000000+ISNUMBER('Dvd Calendar'!$Q$894)*100000000+('Dvd Calendar'!$Q$896=SPECIAL_LBL)*10000000+(N('Dvd Calendar'!$Q$890)&gt;0)*(N('Dvd Calendar'!$Q$890)&lt;=VAL_SERIAL)*1000000+81*1000+13))</f>
        <v/>
      </c>
      <c r="ER92" s="39">
        <f>IF(N('Dvd Calendar'!$R$891)=0,"",IF(('Dvd Calendar'!$R$891&gt;=GRID_FROM)*('Dvd Calendar'!$R$891&lt;=GRID_TO)*((('Dvd Calendar'!$R$891&lt;=VAL_DATE)+(COUNTIF('Dvd Calendar'!$E$898:$AR$898,'Dvd Calendar'!$R$891)=0))&gt;0)=0,"",'Dvd Calendar'!$R$891*1000000000+ISNUMBER('Dvd Calendar'!$R$894)*100000000+('Dvd Calendar'!$R$896=SPECIAL_LBL)*10000000+(N('Dvd Calendar'!$R$890)&gt;0)*(N('Dvd Calendar'!$R$890)&lt;=VAL_SERIAL)*1000000+81*1000+14))</f>
        <v/>
      </c>
      <c r="ES92" s="39">
        <f>IF(N('Dvd Calendar'!$S$891)=0,"",IF(('Dvd Calendar'!$S$891&gt;=GRID_FROM)*('Dvd Calendar'!$S$891&lt;=GRID_TO)*((('Dvd Calendar'!$S$891&lt;=VAL_DATE)+(COUNTIF('Dvd Calendar'!$E$898:$AR$898,'Dvd Calendar'!$S$891)=0))&gt;0)=0,"",'Dvd Calendar'!$S$891*1000000000+ISNUMBER('Dvd Calendar'!$S$894)*100000000+('Dvd Calendar'!$S$896=SPECIAL_LBL)*10000000+(N('Dvd Calendar'!$S$890)&gt;0)*(N('Dvd Calendar'!$S$890)&lt;=VAL_SERIAL)*1000000+81*1000+15))</f>
        <v/>
      </c>
      <c r="ET92" s="39">
        <f>IF(N('Dvd Calendar'!$T$891)=0,"",IF(('Dvd Calendar'!$T$891&gt;=GRID_FROM)*('Dvd Calendar'!$T$891&lt;=GRID_TO)*((('Dvd Calendar'!$T$891&lt;=VAL_DATE)+(COUNTIF('Dvd Calendar'!$E$898:$AR$898,'Dvd Calendar'!$T$891)=0))&gt;0)=0,"",'Dvd Calendar'!$T$891*1000000000+ISNUMBER('Dvd Calendar'!$T$894)*100000000+('Dvd Calendar'!$T$896=SPECIAL_LBL)*10000000+(N('Dvd Calendar'!$T$890)&gt;0)*(N('Dvd Calendar'!$T$890)&lt;=VAL_SERIAL)*1000000+81*1000+16))</f>
        <v/>
      </c>
      <c r="EU92" s="39">
        <f>IF(N('Dvd Calendar'!$U$891)=0,"",IF(('Dvd Calendar'!$U$891&gt;=GRID_FROM)*('Dvd Calendar'!$U$891&lt;=GRID_TO)*((('Dvd Calendar'!$U$891&lt;=VAL_DATE)+(COUNTIF('Dvd Calendar'!$E$898:$AR$898,'Dvd Calendar'!$U$891)=0))&gt;0)=0,"",'Dvd Calendar'!$U$891*1000000000+ISNUMBER('Dvd Calendar'!$U$894)*100000000+('Dvd Calendar'!$U$896=SPECIAL_LBL)*10000000+(N('Dvd Calendar'!$U$890)&gt;0)*(N('Dvd Calendar'!$U$890)&lt;=VAL_SERIAL)*1000000+81*1000+17))</f>
        <v/>
      </c>
      <c r="EV92" s="39">
        <f>IF(N('Dvd Calendar'!$V$891)=0,"",IF(('Dvd Calendar'!$V$891&gt;=GRID_FROM)*('Dvd Calendar'!$V$891&lt;=GRID_TO)*((('Dvd Calendar'!$V$891&lt;=VAL_DATE)+(COUNTIF('Dvd Calendar'!$E$898:$AR$898,'Dvd Calendar'!$V$891)=0))&gt;0)=0,"",'Dvd Calendar'!$V$891*1000000000+ISNUMBER('Dvd Calendar'!$V$894)*100000000+('Dvd Calendar'!$V$896=SPECIAL_LBL)*10000000+(N('Dvd Calendar'!$V$890)&gt;0)*(N('Dvd Calendar'!$V$890)&lt;=VAL_SERIAL)*1000000+81*1000+18))</f>
        <v/>
      </c>
      <c r="EW92" s="39">
        <f>IF(N('Dvd Calendar'!$W$891)=0,"",IF(('Dvd Calendar'!$W$891&gt;=GRID_FROM)*('Dvd Calendar'!$W$891&lt;=GRID_TO)*((('Dvd Calendar'!$W$891&lt;=VAL_DATE)+(COUNTIF('Dvd Calendar'!$E$898:$AR$898,'Dvd Calendar'!$W$891)=0))&gt;0)=0,"",'Dvd Calendar'!$W$891*1000000000+ISNUMBER('Dvd Calendar'!$W$894)*100000000+('Dvd Calendar'!$W$896=SPECIAL_LBL)*10000000+(N('Dvd Calendar'!$W$890)&gt;0)*(N('Dvd Calendar'!$W$890)&lt;=VAL_SERIAL)*1000000+81*1000+19))</f>
        <v/>
      </c>
      <c r="EX92" s="39">
        <f>IF(N('Dvd Calendar'!$X$891)=0,"",IF(('Dvd Calendar'!$X$891&gt;=GRID_FROM)*('Dvd Calendar'!$X$891&lt;=GRID_TO)*((('Dvd Calendar'!$X$891&lt;=VAL_DATE)+(COUNTIF('Dvd Calendar'!$E$898:$AR$898,'Dvd Calendar'!$X$891)=0))&gt;0)=0,"",'Dvd Calendar'!$X$891*1000000000+ISNUMBER('Dvd Calendar'!$X$894)*100000000+('Dvd Calendar'!$X$896=SPECIAL_LBL)*10000000+(N('Dvd Calendar'!$X$890)&gt;0)*(N('Dvd Calendar'!$X$890)&lt;=VAL_SERIAL)*1000000+81*1000+20))</f>
        <v/>
      </c>
      <c r="EY92" s="39">
        <f>IF(N('Dvd Calendar'!$Y$891)=0,"",IF(('Dvd Calendar'!$Y$891&gt;=GRID_FROM)*('Dvd Calendar'!$Y$891&lt;=GRID_TO)*((('Dvd Calendar'!$Y$891&lt;=VAL_DATE)+(COUNTIF('Dvd Calendar'!$E$898:$AR$898,'Dvd Calendar'!$Y$891)=0))&gt;0)=0,"",'Dvd Calendar'!$Y$891*1000000000+ISNUMBER('Dvd Calendar'!$Y$894)*100000000+('Dvd Calendar'!$Y$896=SPECIAL_LBL)*10000000+(N('Dvd Calendar'!$Y$890)&gt;0)*(N('Dvd Calendar'!$Y$890)&lt;=VAL_SERIAL)*1000000+81*1000+21))</f>
        <v/>
      </c>
      <c r="EZ92" s="39">
        <f>IF(N('Dvd Calendar'!$Z$891)=0,"",IF(('Dvd Calendar'!$Z$891&gt;=GRID_FROM)*('Dvd Calendar'!$Z$891&lt;=GRID_TO)*((('Dvd Calendar'!$Z$891&lt;=VAL_DATE)+(COUNTIF('Dvd Calendar'!$E$898:$AR$898,'Dvd Calendar'!$Z$891)=0))&gt;0)=0,"",'Dvd Calendar'!$Z$891*1000000000+ISNUMBER('Dvd Calendar'!$Z$894)*100000000+('Dvd Calendar'!$Z$896=SPECIAL_LBL)*10000000+(N('Dvd Calendar'!$Z$890)&gt;0)*(N('Dvd Calendar'!$Z$890)&lt;=VAL_SERIAL)*1000000+81*1000+22))</f>
        <v/>
      </c>
      <c r="FA92" s="39">
        <f>IF(N('Dvd Calendar'!$AA$891)=0,"",IF(('Dvd Calendar'!$AA$891&gt;=GRID_FROM)*('Dvd Calendar'!$AA$891&lt;=GRID_TO)*((('Dvd Calendar'!$AA$891&lt;=VAL_DATE)+(COUNTIF('Dvd Calendar'!$E$898:$AR$898,'Dvd Calendar'!$AA$891)=0))&gt;0)=0,"",'Dvd Calendar'!$AA$891*1000000000+ISNUMBER('Dvd Calendar'!$AA$894)*100000000+('Dvd Calendar'!$AA$896=SPECIAL_LBL)*10000000+(N('Dvd Calendar'!$AA$890)&gt;0)*(N('Dvd Calendar'!$AA$890)&lt;=VAL_SERIAL)*1000000+81*1000+23))</f>
        <v/>
      </c>
      <c r="FB92" s="39">
        <f>IF(N('Dvd Calendar'!$AB$891)=0,"",IF(('Dvd Calendar'!$AB$891&gt;=GRID_FROM)*('Dvd Calendar'!$AB$891&lt;=GRID_TO)*((('Dvd Calendar'!$AB$891&lt;=VAL_DATE)+(COUNTIF('Dvd Calendar'!$E$898:$AR$898,'Dvd Calendar'!$AB$891)=0))&gt;0)=0,"",'Dvd Calendar'!$AB$891*1000000000+ISNUMBER('Dvd Calendar'!$AB$894)*100000000+('Dvd Calendar'!$AB$896=SPECIAL_LBL)*10000000+(N('Dvd Calendar'!$AB$890)&gt;0)*(N('Dvd Calendar'!$AB$890)&lt;=VAL_SERIAL)*1000000+81*1000+24))</f>
        <v/>
      </c>
      <c r="FC92" s="39">
        <f>IF(N('Dvd Calendar'!$AC$891)=0,"",IF(('Dvd Calendar'!$AC$891&gt;=GRID_FROM)*('Dvd Calendar'!$AC$891&lt;=GRID_TO)*((('Dvd Calendar'!$AC$891&lt;=VAL_DATE)+(COUNTIF('Dvd Calendar'!$E$898:$AR$898,'Dvd Calendar'!$AC$891)=0))&gt;0)=0,"",'Dvd Calendar'!$AC$891*1000000000+ISNUMBER('Dvd Calendar'!$AC$894)*100000000+('Dvd Calendar'!$AC$896=SPECIAL_LBL)*10000000+(N('Dvd Calendar'!$AC$890)&gt;0)*(N('Dvd Calendar'!$AC$890)&lt;=VAL_SERIAL)*1000000+81*1000+25))</f>
        <v/>
      </c>
      <c r="FD92" s="39">
        <f>IF(N('Dvd Calendar'!$AD$891)=0,"",IF(('Dvd Calendar'!$AD$891&gt;=GRID_FROM)*('Dvd Calendar'!$AD$891&lt;=GRID_TO)*((('Dvd Calendar'!$AD$891&lt;=VAL_DATE)+(COUNTIF('Dvd Calendar'!$E$898:$AR$898,'Dvd Calendar'!$AD$891)=0))&gt;0)=0,"",'Dvd Calendar'!$AD$891*1000000000+ISNUMBER('Dvd Calendar'!$AD$894)*100000000+('Dvd Calendar'!$AD$896=SPECIAL_LBL)*10000000+(N('Dvd Calendar'!$AD$890)&gt;0)*(N('Dvd Calendar'!$AD$890)&lt;=VAL_SERIAL)*1000000+81*1000+26))</f>
        <v/>
      </c>
      <c r="FE92" s="39">
        <f>IF(N('Dvd Calendar'!$AE$891)=0,"",IF(('Dvd Calendar'!$AE$891&gt;=GRID_FROM)*('Dvd Calendar'!$AE$891&lt;=GRID_TO)*((('Dvd Calendar'!$AE$891&lt;=VAL_DATE)+(COUNTIF('Dvd Calendar'!$E$898:$AR$898,'Dvd Calendar'!$AE$891)=0))&gt;0)=0,"",'Dvd Calendar'!$AE$891*1000000000+ISNUMBER('Dvd Calendar'!$AE$894)*100000000+('Dvd Calendar'!$AE$896=SPECIAL_LBL)*10000000+(N('Dvd Calendar'!$AE$890)&gt;0)*(N('Dvd Calendar'!$AE$890)&lt;=VAL_SERIAL)*1000000+81*1000+27))</f>
        <v/>
      </c>
      <c r="FF92" s="39">
        <f>IF(N('Dvd Calendar'!$AF$891)=0,"",IF(('Dvd Calendar'!$AF$891&gt;=GRID_FROM)*('Dvd Calendar'!$AF$891&lt;=GRID_TO)*((('Dvd Calendar'!$AF$891&lt;=VAL_DATE)+(COUNTIF('Dvd Calendar'!$E$898:$AR$898,'Dvd Calendar'!$AF$891)=0))&gt;0)=0,"",'Dvd Calendar'!$AF$891*1000000000+ISNUMBER('Dvd Calendar'!$AF$894)*100000000+('Dvd Calendar'!$AF$896=SPECIAL_LBL)*10000000+(N('Dvd Calendar'!$AF$890)&gt;0)*(N('Dvd Calendar'!$AF$890)&lt;=VAL_SERIAL)*1000000+81*1000+28))</f>
        <v/>
      </c>
      <c r="FG92" s="39">
        <f>IF(N('Dvd Calendar'!$AG$891)=0,"",IF(('Dvd Calendar'!$AG$891&gt;=GRID_FROM)*('Dvd Calendar'!$AG$891&lt;=GRID_TO)*((('Dvd Calendar'!$AG$891&lt;=VAL_DATE)+(COUNTIF('Dvd Calendar'!$E$898:$AR$898,'Dvd Calendar'!$AG$891)=0))&gt;0)=0,"",'Dvd Calendar'!$AG$891*1000000000+ISNUMBER('Dvd Calendar'!$AG$894)*100000000+('Dvd Calendar'!$AG$896=SPECIAL_LBL)*10000000+(N('Dvd Calendar'!$AG$890)&gt;0)*(N('Dvd Calendar'!$AG$890)&lt;=VAL_SERIAL)*1000000+81*1000+29))</f>
        <v/>
      </c>
      <c r="FH92" s="39">
        <f>IF(N('Dvd Calendar'!$AH$891)=0,"",IF(('Dvd Calendar'!$AH$891&gt;=GRID_FROM)*('Dvd Calendar'!$AH$891&lt;=GRID_TO)*((('Dvd Calendar'!$AH$891&lt;=VAL_DATE)+(COUNTIF('Dvd Calendar'!$E$898:$AR$898,'Dvd Calendar'!$AH$891)=0))&gt;0)=0,"",'Dvd Calendar'!$AH$891*1000000000+ISNUMBER('Dvd Calendar'!$AH$894)*100000000+('Dvd Calendar'!$AH$896=SPECIAL_LBL)*10000000+(N('Dvd Calendar'!$AH$890)&gt;0)*(N('Dvd Calendar'!$AH$890)&lt;=VAL_SERIAL)*1000000+81*1000+30))</f>
        <v/>
      </c>
      <c r="FI92" s="39">
        <f>IF(N('Dvd Calendar'!$AI$891)=0,"",IF(('Dvd Calendar'!$AI$891&gt;=GRID_FROM)*('Dvd Calendar'!$AI$891&lt;=GRID_TO)*((('Dvd Calendar'!$AI$891&lt;=VAL_DATE)+(COUNTIF('Dvd Calendar'!$E$898:$AR$898,'Dvd Calendar'!$AI$891)=0))&gt;0)=0,"",'Dvd Calendar'!$AI$891*1000000000+ISNUMBER('Dvd Calendar'!$AI$894)*100000000+('Dvd Calendar'!$AI$896=SPECIAL_LBL)*10000000+(N('Dvd Calendar'!$AI$890)&gt;0)*(N('Dvd Calendar'!$AI$890)&lt;=VAL_SERIAL)*1000000+81*1000+31))</f>
        <v/>
      </c>
      <c r="FJ92" s="39">
        <f>IF(N('Dvd Calendar'!$AJ$891)=0,"",IF(('Dvd Calendar'!$AJ$891&gt;=GRID_FROM)*('Dvd Calendar'!$AJ$891&lt;=GRID_TO)*((('Dvd Calendar'!$AJ$891&lt;=VAL_DATE)+(COUNTIF('Dvd Calendar'!$E$898:$AR$898,'Dvd Calendar'!$AJ$891)=0))&gt;0)=0,"",'Dvd Calendar'!$AJ$891*1000000000+ISNUMBER('Dvd Calendar'!$AJ$894)*100000000+('Dvd Calendar'!$AJ$896=SPECIAL_LBL)*10000000+(N('Dvd Calendar'!$AJ$890)&gt;0)*(N('Dvd Calendar'!$AJ$890)&lt;=VAL_SERIAL)*1000000+81*1000+32))</f>
        <v/>
      </c>
      <c r="FK92" s="39">
        <f>IF(N('Dvd Calendar'!$AK$891)=0,"",IF(('Dvd Calendar'!$AK$891&gt;=GRID_FROM)*('Dvd Calendar'!$AK$891&lt;=GRID_TO)*((('Dvd Calendar'!$AK$891&lt;=VAL_DATE)+(COUNTIF('Dvd Calendar'!$E$898:$AR$898,'Dvd Calendar'!$AK$891)=0))&gt;0)=0,"",'Dvd Calendar'!$AK$891*1000000000+ISNUMBER('Dvd Calendar'!$AK$894)*100000000+('Dvd Calendar'!$AK$896=SPECIAL_LBL)*10000000+(N('Dvd Calendar'!$AK$890)&gt;0)*(N('Dvd Calendar'!$AK$890)&lt;=VAL_SERIAL)*1000000+81*1000+33))</f>
        <v/>
      </c>
      <c r="FL92" s="39">
        <f>IF(N('Dvd Calendar'!$AL$891)=0,"",IF(('Dvd Calendar'!$AL$891&gt;=GRID_FROM)*('Dvd Calendar'!$AL$891&lt;=GRID_TO)*((('Dvd Calendar'!$AL$891&lt;=VAL_DATE)+(COUNTIF('Dvd Calendar'!$E$898:$AR$898,'Dvd Calendar'!$AL$891)=0))&gt;0)=0,"",'Dvd Calendar'!$AL$891*1000000000+ISNUMBER('Dvd Calendar'!$AL$894)*100000000+('Dvd Calendar'!$AL$896=SPECIAL_LBL)*10000000+(N('Dvd Calendar'!$AL$890)&gt;0)*(N('Dvd Calendar'!$AL$890)&lt;=VAL_SERIAL)*1000000+81*1000+34))</f>
        <v/>
      </c>
      <c r="FM92" s="39">
        <f>IF(N('Dvd Calendar'!$AM$891)=0,"",IF(('Dvd Calendar'!$AM$891&gt;=GRID_FROM)*('Dvd Calendar'!$AM$891&lt;=GRID_TO)*((('Dvd Calendar'!$AM$891&lt;=VAL_DATE)+(COUNTIF('Dvd Calendar'!$E$898:$AR$898,'Dvd Calendar'!$AM$891)=0))&gt;0)=0,"",'Dvd Calendar'!$AM$891*1000000000+ISNUMBER('Dvd Calendar'!$AM$894)*100000000+('Dvd Calendar'!$AM$896=SPECIAL_LBL)*10000000+(N('Dvd Calendar'!$AM$890)&gt;0)*(N('Dvd Calendar'!$AM$890)&lt;=VAL_SERIAL)*1000000+81*1000+35))</f>
        <v/>
      </c>
      <c r="FN92" s="39">
        <f>IF(N('Dvd Calendar'!$AN$891)=0,"",IF(('Dvd Calendar'!$AN$891&gt;=GRID_FROM)*('Dvd Calendar'!$AN$891&lt;=GRID_TO)*((('Dvd Calendar'!$AN$891&lt;=VAL_DATE)+(COUNTIF('Dvd Calendar'!$E$898:$AR$898,'Dvd Calendar'!$AN$891)=0))&gt;0)=0,"",'Dvd Calendar'!$AN$891*1000000000+ISNUMBER('Dvd Calendar'!$AN$894)*100000000+('Dvd Calendar'!$AN$896=SPECIAL_LBL)*10000000+(N('Dvd Calendar'!$AN$890)&gt;0)*(N('Dvd Calendar'!$AN$890)&lt;=VAL_SERIAL)*1000000+81*1000+36))</f>
        <v/>
      </c>
      <c r="FO92" s="39">
        <f>IF(N('Dvd Calendar'!$AO$891)=0,"",IF(('Dvd Calendar'!$AO$891&gt;=GRID_FROM)*('Dvd Calendar'!$AO$891&lt;=GRID_TO)*((('Dvd Calendar'!$AO$891&lt;=VAL_DATE)+(COUNTIF('Dvd Calendar'!$E$898:$AR$898,'Dvd Calendar'!$AO$891)=0))&gt;0)=0,"",'Dvd Calendar'!$AO$891*1000000000+ISNUMBER('Dvd Calendar'!$AO$894)*100000000+('Dvd Calendar'!$AO$896=SPECIAL_LBL)*10000000+(N('Dvd Calendar'!$AO$890)&gt;0)*(N('Dvd Calendar'!$AO$890)&lt;=VAL_SERIAL)*1000000+81*1000+37))</f>
        <v/>
      </c>
      <c r="FP92" s="39">
        <f>IF(N('Dvd Calendar'!$AP$891)=0,"",IF(('Dvd Calendar'!$AP$891&gt;=GRID_FROM)*('Dvd Calendar'!$AP$891&lt;=GRID_TO)*((('Dvd Calendar'!$AP$891&lt;=VAL_DATE)+(COUNTIF('Dvd Calendar'!$E$898:$AR$898,'Dvd Calendar'!$AP$891)=0))&gt;0)=0,"",'Dvd Calendar'!$AP$891*1000000000+ISNUMBER('Dvd Calendar'!$AP$894)*100000000+('Dvd Calendar'!$AP$896=SPECIAL_LBL)*10000000+(N('Dvd Calendar'!$AP$890)&gt;0)*(N('Dvd Calendar'!$AP$890)&lt;=VAL_SERIAL)*1000000+81*1000+38))</f>
        <v/>
      </c>
      <c r="FQ92" s="39">
        <f>IF(N('Dvd Calendar'!$AQ$891)=0,"",IF(('Dvd Calendar'!$AQ$891&gt;=GRID_FROM)*('Dvd Calendar'!$AQ$891&lt;=GRID_TO)*((('Dvd Calendar'!$AQ$891&lt;=VAL_DATE)+(COUNTIF('Dvd Calendar'!$E$898:$AR$898,'Dvd Calendar'!$AQ$891)=0))&gt;0)=0,"",'Dvd Calendar'!$AQ$891*1000000000+ISNUMBER('Dvd Calendar'!$AQ$894)*100000000+('Dvd Calendar'!$AQ$896=SPECIAL_LBL)*10000000+(N('Dvd Calendar'!$AQ$890)&gt;0)*(N('Dvd Calendar'!$AQ$890)&lt;=VAL_SERIAL)*1000000+81*1000+39))</f>
        <v/>
      </c>
      <c r="FR92" s="39">
        <f>IF(N('Dvd Calendar'!$AR$891)=0,"",IF(('Dvd Calendar'!$AR$891&gt;=GRID_FROM)*('Dvd Calendar'!$AR$891&lt;=GRID_TO)*((('Dvd Calendar'!$AR$891&lt;=VAL_DATE)+(COUNTIF('Dvd Calendar'!$E$898:$AR$898,'Dvd Calendar'!$AR$891)=0))&gt;0)=0,"",'Dvd Calendar'!$AR$891*1000000000+ISNUMBER('Dvd Calendar'!$AR$894)*100000000+('Dvd Calendar'!$AR$896=SPECIAL_LBL)*10000000+(N('Dvd Calendar'!$AR$890)&gt;0)*(N('Dvd Calendar'!$AR$890)&lt;=VAL_SERIAL)*1000000+81*1000+40))</f>
        <v/>
      </c>
      <c r="FS92" s="39">
        <f>IF(N('Dvd Calendar'!$E$898)=0,"",IF(('Dvd Calendar'!$E$898&gt;=GRID_FROM)*('Dvd Calendar'!$E$898&lt;=GRID_TO)*('Dvd Calendar'!$E$898&gt;VAL_DATE)=0,"",'Dvd Calendar'!$E$898*1000000000+ISNUMBER('Dvd Calendar'!$E$899)*100000000+0*10000000+(N('Dvd Calendar'!$E$897)&gt;0)*(N('Dvd Calendar'!$E$897)&lt;=VAL_SERIAL)*1000000+81*1000+41))</f>
        <v/>
      </c>
      <c r="FT92" s="39">
        <f>IF(N('Dvd Calendar'!$F$898)=0,"",IF(('Dvd Calendar'!$F$898&gt;=GRID_FROM)*('Dvd Calendar'!$F$898&lt;=GRID_TO)*('Dvd Calendar'!$F$898&gt;VAL_DATE)=0,"",'Dvd Calendar'!$F$898*1000000000+ISNUMBER('Dvd Calendar'!$F$899)*100000000+0*10000000+(N('Dvd Calendar'!$F$897)&gt;0)*(N('Dvd Calendar'!$F$897)&lt;=VAL_SERIAL)*1000000+81*1000+42))</f>
        <v/>
      </c>
      <c r="FU92" s="39">
        <f>IF(N('Dvd Calendar'!$G$898)=0,"",IF(('Dvd Calendar'!$G$898&gt;=GRID_FROM)*('Dvd Calendar'!$G$898&lt;=GRID_TO)*('Dvd Calendar'!$G$898&gt;VAL_DATE)=0,"",'Dvd Calendar'!$G$898*1000000000+ISNUMBER('Dvd Calendar'!$G$899)*100000000+0*10000000+(N('Dvd Calendar'!$G$897)&gt;0)*(N('Dvd Calendar'!$G$897)&lt;=VAL_SERIAL)*1000000+81*1000+43))</f>
        <v/>
      </c>
      <c r="FV92" s="39">
        <f>IF(N('Dvd Calendar'!$H$898)=0,"",IF(('Dvd Calendar'!$H$898&gt;=GRID_FROM)*('Dvd Calendar'!$H$898&lt;=GRID_TO)*('Dvd Calendar'!$H$898&gt;VAL_DATE)=0,"",'Dvd Calendar'!$H$898*1000000000+ISNUMBER('Dvd Calendar'!$H$899)*100000000+0*10000000+(N('Dvd Calendar'!$H$897)&gt;0)*(N('Dvd Calendar'!$H$897)&lt;=VAL_SERIAL)*1000000+81*1000+44))</f>
        <v/>
      </c>
      <c r="FW92" s="39">
        <f>IF(N('Dvd Calendar'!$I$898)=0,"",IF(('Dvd Calendar'!$I$898&gt;=GRID_FROM)*('Dvd Calendar'!$I$898&lt;=GRID_TO)*('Dvd Calendar'!$I$898&gt;VAL_DATE)=0,"",'Dvd Calendar'!$I$898*1000000000+ISNUMBER('Dvd Calendar'!$I$899)*100000000+0*10000000+(N('Dvd Calendar'!$I$897)&gt;0)*(N('Dvd Calendar'!$I$897)&lt;=VAL_SERIAL)*1000000+81*1000+45))</f>
        <v/>
      </c>
      <c r="FX92" s="39">
        <f>IF(N('Dvd Calendar'!$J$898)=0,"",IF(('Dvd Calendar'!$J$898&gt;=GRID_FROM)*('Dvd Calendar'!$J$898&lt;=GRID_TO)*('Dvd Calendar'!$J$898&gt;VAL_DATE)=0,"",'Dvd Calendar'!$J$898*1000000000+ISNUMBER('Dvd Calendar'!$J$899)*100000000+0*10000000+(N('Dvd Calendar'!$J$897)&gt;0)*(N('Dvd Calendar'!$J$897)&lt;=VAL_SERIAL)*1000000+81*1000+46))</f>
        <v/>
      </c>
      <c r="FY92" s="39">
        <f>IF(N('Dvd Calendar'!$K$898)=0,"",IF(('Dvd Calendar'!$K$898&gt;=GRID_FROM)*('Dvd Calendar'!$K$898&lt;=GRID_TO)*('Dvd Calendar'!$K$898&gt;VAL_DATE)=0,"",'Dvd Calendar'!$K$898*1000000000+ISNUMBER('Dvd Calendar'!$K$899)*100000000+0*10000000+(N('Dvd Calendar'!$K$897)&gt;0)*(N('Dvd Calendar'!$K$897)&lt;=VAL_SERIAL)*1000000+81*1000+47))</f>
        <v/>
      </c>
      <c r="FZ92" s="39">
        <f>IF(N('Dvd Calendar'!$L$898)=0,"",IF(('Dvd Calendar'!$L$898&gt;=GRID_FROM)*('Dvd Calendar'!$L$898&lt;=GRID_TO)*('Dvd Calendar'!$L$898&gt;VAL_DATE)=0,"",'Dvd Calendar'!$L$898*1000000000+ISNUMBER('Dvd Calendar'!$L$899)*100000000+0*10000000+(N('Dvd Calendar'!$L$897)&gt;0)*(N('Dvd Calendar'!$L$897)&lt;=VAL_SERIAL)*1000000+81*1000+48))</f>
        <v/>
      </c>
      <c r="GA92" s="39">
        <f>IF(N('Dvd Calendar'!$M$898)=0,"",IF(('Dvd Calendar'!$M$898&gt;=GRID_FROM)*('Dvd Calendar'!$M$898&lt;=GRID_TO)*('Dvd Calendar'!$M$898&gt;VAL_DATE)=0,"",'Dvd Calendar'!$M$898*1000000000+ISNUMBER('Dvd Calendar'!$M$899)*100000000+0*10000000+(N('Dvd Calendar'!$M$897)&gt;0)*(N('Dvd Calendar'!$M$897)&lt;=VAL_SERIAL)*1000000+81*1000+49))</f>
        <v/>
      </c>
      <c r="GB92" s="39">
        <f>IF(N('Dvd Calendar'!$N$898)=0,"",IF(('Dvd Calendar'!$N$898&gt;=GRID_FROM)*('Dvd Calendar'!$N$898&lt;=GRID_TO)*('Dvd Calendar'!$N$898&gt;VAL_DATE)=0,"",'Dvd Calendar'!$N$898*1000000000+ISNUMBER('Dvd Calendar'!$N$899)*100000000+0*10000000+(N('Dvd Calendar'!$N$897)&gt;0)*(N('Dvd Calendar'!$N$897)&lt;=VAL_SERIAL)*1000000+81*1000+50))</f>
        <v/>
      </c>
      <c r="GC92" s="39">
        <f>IF(N('Dvd Calendar'!$O$898)=0,"",IF(('Dvd Calendar'!$O$898&gt;=GRID_FROM)*('Dvd Calendar'!$O$898&lt;=GRID_TO)*('Dvd Calendar'!$O$898&gt;VAL_DATE)=0,"",'Dvd Calendar'!$O$898*1000000000+ISNUMBER('Dvd Calendar'!$O$899)*100000000+0*10000000+(N('Dvd Calendar'!$O$897)&gt;0)*(N('Dvd Calendar'!$O$897)&lt;=VAL_SERIAL)*1000000+81*1000+51))</f>
        <v/>
      </c>
      <c r="GD92" s="39">
        <f>IF(N('Dvd Calendar'!$P$898)=0,"",IF(('Dvd Calendar'!$P$898&gt;=GRID_FROM)*('Dvd Calendar'!$P$898&lt;=GRID_TO)*('Dvd Calendar'!$P$898&gt;VAL_DATE)=0,"",'Dvd Calendar'!$P$898*1000000000+ISNUMBER('Dvd Calendar'!$P$899)*100000000+0*10000000+(N('Dvd Calendar'!$P$897)&gt;0)*(N('Dvd Calendar'!$P$897)&lt;=VAL_SERIAL)*1000000+81*1000+52))</f>
        <v/>
      </c>
      <c r="GE92" s="39">
        <f>IF(N('Dvd Calendar'!$Q$898)=0,"",IF(('Dvd Calendar'!$Q$898&gt;=GRID_FROM)*('Dvd Calendar'!$Q$898&lt;=GRID_TO)*('Dvd Calendar'!$Q$898&gt;VAL_DATE)=0,"",'Dvd Calendar'!$Q$898*1000000000+ISNUMBER('Dvd Calendar'!$Q$899)*100000000+0*10000000+(N('Dvd Calendar'!$Q$897)&gt;0)*(N('Dvd Calendar'!$Q$897)&lt;=VAL_SERIAL)*1000000+81*1000+53))</f>
        <v/>
      </c>
      <c r="GF92" s="39">
        <f>IF(N('Dvd Calendar'!$R$898)=0,"",IF(('Dvd Calendar'!$R$898&gt;=GRID_FROM)*('Dvd Calendar'!$R$898&lt;=GRID_TO)*('Dvd Calendar'!$R$898&gt;VAL_DATE)=0,"",'Dvd Calendar'!$R$898*1000000000+ISNUMBER('Dvd Calendar'!$R$899)*100000000+0*10000000+(N('Dvd Calendar'!$R$897)&gt;0)*(N('Dvd Calendar'!$R$897)&lt;=VAL_SERIAL)*1000000+81*1000+54))</f>
        <v/>
      </c>
      <c r="GG92" s="39">
        <f>IF(N('Dvd Calendar'!$S$898)=0,"",IF(('Dvd Calendar'!$S$898&gt;=GRID_FROM)*('Dvd Calendar'!$S$898&lt;=GRID_TO)*('Dvd Calendar'!$S$898&gt;VAL_DATE)=0,"",'Dvd Calendar'!$S$898*1000000000+ISNUMBER('Dvd Calendar'!$S$899)*100000000+0*10000000+(N('Dvd Calendar'!$S$897)&gt;0)*(N('Dvd Calendar'!$S$897)&lt;=VAL_SERIAL)*1000000+81*1000+55))</f>
        <v/>
      </c>
      <c r="GH92" s="39">
        <f>IF(N('Dvd Calendar'!$T$898)=0,"",IF(('Dvd Calendar'!$T$898&gt;=GRID_FROM)*('Dvd Calendar'!$T$898&lt;=GRID_TO)*('Dvd Calendar'!$T$898&gt;VAL_DATE)=0,"",'Dvd Calendar'!$T$898*1000000000+ISNUMBER('Dvd Calendar'!$T$899)*100000000+0*10000000+(N('Dvd Calendar'!$T$897)&gt;0)*(N('Dvd Calendar'!$T$897)&lt;=VAL_SERIAL)*1000000+81*1000+56))</f>
        <v/>
      </c>
      <c r="GI92" s="39">
        <f>IF(N('Dvd Calendar'!$U$898)=0,"",IF(('Dvd Calendar'!$U$898&gt;=GRID_FROM)*('Dvd Calendar'!$U$898&lt;=GRID_TO)*('Dvd Calendar'!$U$898&gt;VAL_DATE)=0,"",'Dvd Calendar'!$U$898*1000000000+ISNUMBER('Dvd Calendar'!$U$899)*100000000+0*10000000+(N('Dvd Calendar'!$U$897)&gt;0)*(N('Dvd Calendar'!$U$897)&lt;=VAL_SERIAL)*1000000+81*1000+57))</f>
        <v/>
      </c>
      <c r="GJ92" s="39">
        <f>IF(N('Dvd Calendar'!$V$898)=0,"",IF(('Dvd Calendar'!$V$898&gt;=GRID_FROM)*('Dvd Calendar'!$V$898&lt;=GRID_TO)*('Dvd Calendar'!$V$898&gt;VAL_DATE)=0,"",'Dvd Calendar'!$V$898*1000000000+ISNUMBER('Dvd Calendar'!$V$899)*100000000+0*10000000+(N('Dvd Calendar'!$V$897)&gt;0)*(N('Dvd Calendar'!$V$897)&lt;=VAL_SERIAL)*1000000+81*1000+58))</f>
        <v/>
      </c>
      <c r="GK92" s="39">
        <f>IF(N('Dvd Calendar'!$W$898)=0,"",IF(('Dvd Calendar'!$W$898&gt;=GRID_FROM)*('Dvd Calendar'!$W$898&lt;=GRID_TO)*('Dvd Calendar'!$W$898&gt;VAL_DATE)=0,"",'Dvd Calendar'!$W$898*1000000000+ISNUMBER('Dvd Calendar'!$W$899)*100000000+0*10000000+(N('Dvd Calendar'!$W$897)&gt;0)*(N('Dvd Calendar'!$W$897)&lt;=VAL_SERIAL)*1000000+81*1000+59))</f>
        <v/>
      </c>
      <c r="GL92" s="39">
        <f>IF(N('Dvd Calendar'!$X$898)=0,"",IF(('Dvd Calendar'!$X$898&gt;=GRID_FROM)*('Dvd Calendar'!$X$898&lt;=GRID_TO)*('Dvd Calendar'!$X$898&gt;VAL_DATE)=0,"",'Dvd Calendar'!$X$898*1000000000+ISNUMBER('Dvd Calendar'!$X$899)*100000000+0*10000000+(N('Dvd Calendar'!$X$897)&gt;0)*(N('Dvd Calendar'!$X$897)&lt;=VAL_SERIAL)*1000000+81*1000+60))</f>
        <v/>
      </c>
      <c r="GM92" s="39">
        <f>IF(N('Dvd Calendar'!$Y$898)=0,"",IF(('Dvd Calendar'!$Y$898&gt;=GRID_FROM)*('Dvd Calendar'!$Y$898&lt;=GRID_TO)*('Dvd Calendar'!$Y$898&gt;VAL_DATE)=0,"",'Dvd Calendar'!$Y$898*1000000000+ISNUMBER('Dvd Calendar'!$Y$899)*100000000+0*10000000+(N('Dvd Calendar'!$Y$897)&gt;0)*(N('Dvd Calendar'!$Y$897)&lt;=VAL_SERIAL)*1000000+81*1000+61))</f>
        <v/>
      </c>
      <c r="GN92" s="39">
        <f>IF(N('Dvd Calendar'!$Z$898)=0,"",IF(('Dvd Calendar'!$Z$898&gt;=GRID_FROM)*('Dvd Calendar'!$Z$898&lt;=GRID_TO)*('Dvd Calendar'!$Z$898&gt;VAL_DATE)=0,"",'Dvd Calendar'!$Z$898*1000000000+ISNUMBER('Dvd Calendar'!$Z$899)*100000000+0*10000000+(N('Dvd Calendar'!$Z$897)&gt;0)*(N('Dvd Calendar'!$Z$897)&lt;=VAL_SERIAL)*1000000+81*1000+62))</f>
        <v/>
      </c>
      <c r="GO92" s="39">
        <f>IF(N('Dvd Calendar'!$AA$898)=0,"",IF(('Dvd Calendar'!$AA$898&gt;=GRID_FROM)*('Dvd Calendar'!$AA$898&lt;=GRID_TO)*('Dvd Calendar'!$AA$898&gt;VAL_DATE)=0,"",'Dvd Calendar'!$AA$898*1000000000+ISNUMBER('Dvd Calendar'!$AA$899)*100000000+0*10000000+(N('Dvd Calendar'!$AA$897)&gt;0)*(N('Dvd Calendar'!$AA$897)&lt;=VAL_SERIAL)*1000000+81*1000+63))</f>
        <v/>
      </c>
      <c r="GP92" s="39">
        <f>IF(N('Dvd Calendar'!$AB$898)=0,"",IF(('Dvd Calendar'!$AB$898&gt;=GRID_FROM)*('Dvd Calendar'!$AB$898&lt;=GRID_TO)*('Dvd Calendar'!$AB$898&gt;VAL_DATE)=0,"",'Dvd Calendar'!$AB$898*1000000000+ISNUMBER('Dvd Calendar'!$AB$899)*100000000+0*10000000+(N('Dvd Calendar'!$AB$897)&gt;0)*(N('Dvd Calendar'!$AB$897)&lt;=VAL_SERIAL)*1000000+81*1000+64))</f>
        <v/>
      </c>
      <c r="GQ92" s="39">
        <f>IF(N('Dvd Calendar'!$AC$898)=0,"",IF(('Dvd Calendar'!$AC$898&gt;=GRID_FROM)*('Dvd Calendar'!$AC$898&lt;=GRID_TO)*('Dvd Calendar'!$AC$898&gt;VAL_DATE)=0,"",'Dvd Calendar'!$AC$898*1000000000+ISNUMBER('Dvd Calendar'!$AC$899)*100000000+0*10000000+(N('Dvd Calendar'!$AC$897)&gt;0)*(N('Dvd Calendar'!$AC$897)&lt;=VAL_SERIAL)*1000000+81*1000+65))</f>
        <v/>
      </c>
    </row>
    <row r="93">
      <c r="B93" s="2">
        <f>IF(HSI!$C$88="","",HSI!$C$88)</f>
        <v/>
      </c>
      <c r="C93" s="110">
        <f>IF(EE93="","",IF(ISNUMBER('Dvd Calendar'!$E$905)=FALSE,"",IF((('Dvd Calendar'!$E$907=TYPE1)*(TYPE1&lt;&gt;"")+('Dvd Calendar'!$E$907=TYPE2)*(TYPE2&lt;&gt;"")+('Dvd Calendar'!$E$907=TYPE3)*(TYPE3&lt;&gt;"")+('Dvd Calendar'!$E$907=TYPE4)*(TYPE4&lt;&gt;"")+('Dvd Calendar'!$E$907=SPECIAL_LBL)*(INC_SPECIALS="Y"))=0,"",'Dvd Calendar'!$E$905)))</f>
        <v/>
      </c>
      <c r="D93" s="110">
        <f>IF(EF93="","",IF(ISNUMBER('Dvd Calendar'!$F$905)=FALSE,"",IF((('Dvd Calendar'!$F$907=TYPE1)*(TYPE1&lt;&gt;"")+('Dvd Calendar'!$F$907=TYPE2)*(TYPE2&lt;&gt;"")+('Dvd Calendar'!$F$907=TYPE3)*(TYPE3&lt;&gt;"")+('Dvd Calendar'!$F$907=TYPE4)*(TYPE4&lt;&gt;"")+('Dvd Calendar'!$F$907=SPECIAL_LBL)*(INC_SPECIALS="Y"))=0,"",'Dvd Calendar'!$F$905)))</f>
        <v/>
      </c>
      <c r="E93" s="110">
        <f>IF(EG93="","",IF(ISNUMBER('Dvd Calendar'!$G$905)=FALSE,"",IF((('Dvd Calendar'!$G$907=TYPE1)*(TYPE1&lt;&gt;"")+('Dvd Calendar'!$G$907=TYPE2)*(TYPE2&lt;&gt;"")+('Dvd Calendar'!$G$907=TYPE3)*(TYPE3&lt;&gt;"")+('Dvd Calendar'!$G$907=TYPE4)*(TYPE4&lt;&gt;"")+('Dvd Calendar'!$G$907=SPECIAL_LBL)*(INC_SPECIALS="Y"))=0,"",'Dvd Calendar'!$G$905)))</f>
        <v/>
      </c>
      <c r="F93" s="110">
        <f>IF(EH93="","",IF(ISNUMBER('Dvd Calendar'!$H$905)=FALSE,"",IF((('Dvd Calendar'!$H$907=TYPE1)*(TYPE1&lt;&gt;"")+('Dvd Calendar'!$H$907=TYPE2)*(TYPE2&lt;&gt;"")+('Dvd Calendar'!$H$907=TYPE3)*(TYPE3&lt;&gt;"")+('Dvd Calendar'!$H$907=TYPE4)*(TYPE4&lt;&gt;"")+('Dvd Calendar'!$H$907=SPECIAL_LBL)*(INC_SPECIALS="Y"))=0,"",'Dvd Calendar'!$H$905)))</f>
        <v/>
      </c>
      <c r="G93" s="110">
        <f>IF(EI93="","",IF(ISNUMBER('Dvd Calendar'!$I$905)=FALSE,"",IF((('Dvd Calendar'!$I$907=TYPE1)*(TYPE1&lt;&gt;"")+('Dvd Calendar'!$I$907=TYPE2)*(TYPE2&lt;&gt;"")+('Dvd Calendar'!$I$907=TYPE3)*(TYPE3&lt;&gt;"")+('Dvd Calendar'!$I$907=TYPE4)*(TYPE4&lt;&gt;"")+('Dvd Calendar'!$I$907=SPECIAL_LBL)*(INC_SPECIALS="Y"))=0,"",'Dvd Calendar'!$I$905)))</f>
        <v/>
      </c>
      <c r="H93" s="110">
        <f>IF(EJ93="","",IF(ISNUMBER('Dvd Calendar'!$J$905)=FALSE,"",IF((('Dvd Calendar'!$J$907=TYPE1)*(TYPE1&lt;&gt;"")+('Dvd Calendar'!$J$907=TYPE2)*(TYPE2&lt;&gt;"")+('Dvd Calendar'!$J$907=TYPE3)*(TYPE3&lt;&gt;"")+('Dvd Calendar'!$J$907=TYPE4)*(TYPE4&lt;&gt;"")+('Dvd Calendar'!$J$907=SPECIAL_LBL)*(INC_SPECIALS="Y"))=0,"",'Dvd Calendar'!$J$905)))</f>
        <v/>
      </c>
      <c r="I93" s="110">
        <f>IF(EK93="","",IF(ISNUMBER('Dvd Calendar'!$K$905)=FALSE,"",IF((('Dvd Calendar'!$K$907=TYPE1)*(TYPE1&lt;&gt;"")+('Dvd Calendar'!$K$907=TYPE2)*(TYPE2&lt;&gt;"")+('Dvd Calendar'!$K$907=TYPE3)*(TYPE3&lt;&gt;"")+('Dvd Calendar'!$K$907=TYPE4)*(TYPE4&lt;&gt;"")+('Dvd Calendar'!$K$907=SPECIAL_LBL)*(INC_SPECIALS="Y"))=0,"",'Dvd Calendar'!$K$905)))</f>
        <v/>
      </c>
      <c r="J93" s="110">
        <f>IF(EL93="","",IF(ISNUMBER('Dvd Calendar'!$L$905)=FALSE,"",IF((('Dvd Calendar'!$L$907=TYPE1)*(TYPE1&lt;&gt;"")+('Dvd Calendar'!$L$907=TYPE2)*(TYPE2&lt;&gt;"")+('Dvd Calendar'!$L$907=TYPE3)*(TYPE3&lt;&gt;"")+('Dvd Calendar'!$L$907=TYPE4)*(TYPE4&lt;&gt;"")+('Dvd Calendar'!$L$907=SPECIAL_LBL)*(INC_SPECIALS="Y"))=0,"",'Dvd Calendar'!$L$905)))</f>
        <v/>
      </c>
      <c r="K93" s="110">
        <f>IF(EM93="","",IF(ISNUMBER('Dvd Calendar'!$M$905)=FALSE,"",IF((('Dvd Calendar'!$M$907=TYPE1)*(TYPE1&lt;&gt;"")+('Dvd Calendar'!$M$907=TYPE2)*(TYPE2&lt;&gt;"")+('Dvd Calendar'!$M$907=TYPE3)*(TYPE3&lt;&gt;"")+('Dvd Calendar'!$M$907=TYPE4)*(TYPE4&lt;&gt;"")+('Dvd Calendar'!$M$907=SPECIAL_LBL)*(INC_SPECIALS="Y"))=0,"",'Dvd Calendar'!$M$905)))</f>
        <v/>
      </c>
      <c r="L93" s="110">
        <f>IF(EN93="","",IF(ISNUMBER('Dvd Calendar'!$N$905)=FALSE,"",IF((('Dvd Calendar'!$N$907=TYPE1)*(TYPE1&lt;&gt;"")+('Dvd Calendar'!$N$907=TYPE2)*(TYPE2&lt;&gt;"")+('Dvd Calendar'!$N$907=TYPE3)*(TYPE3&lt;&gt;"")+('Dvd Calendar'!$N$907=TYPE4)*(TYPE4&lt;&gt;"")+('Dvd Calendar'!$N$907=SPECIAL_LBL)*(INC_SPECIALS="Y"))=0,"",'Dvd Calendar'!$N$905)))</f>
        <v/>
      </c>
      <c r="M93" s="110">
        <f>IF(EO93="","",IF(ISNUMBER('Dvd Calendar'!$O$905)=FALSE,"",IF((('Dvd Calendar'!$O$907=TYPE1)*(TYPE1&lt;&gt;"")+('Dvd Calendar'!$O$907=TYPE2)*(TYPE2&lt;&gt;"")+('Dvd Calendar'!$O$907=TYPE3)*(TYPE3&lt;&gt;"")+('Dvd Calendar'!$O$907=TYPE4)*(TYPE4&lt;&gt;"")+('Dvd Calendar'!$O$907=SPECIAL_LBL)*(INC_SPECIALS="Y"))=0,"",'Dvd Calendar'!$O$905)))</f>
        <v/>
      </c>
      <c r="N93" s="110">
        <f>IF(EP93="","",IF(ISNUMBER('Dvd Calendar'!$P$905)=FALSE,"",IF((('Dvd Calendar'!$P$907=TYPE1)*(TYPE1&lt;&gt;"")+('Dvd Calendar'!$P$907=TYPE2)*(TYPE2&lt;&gt;"")+('Dvd Calendar'!$P$907=TYPE3)*(TYPE3&lt;&gt;"")+('Dvd Calendar'!$P$907=TYPE4)*(TYPE4&lt;&gt;"")+('Dvd Calendar'!$P$907=SPECIAL_LBL)*(INC_SPECIALS="Y"))=0,"",'Dvd Calendar'!$P$905)))</f>
        <v/>
      </c>
      <c r="O93" s="110">
        <f>IF(EQ93="","",IF(ISNUMBER('Dvd Calendar'!$Q$905)=FALSE,"",IF((('Dvd Calendar'!$Q$907=TYPE1)*(TYPE1&lt;&gt;"")+('Dvd Calendar'!$Q$907=TYPE2)*(TYPE2&lt;&gt;"")+('Dvd Calendar'!$Q$907=TYPE3)*(TYPE3&lt;&gt;"")+('Dvd Calendar'!$Q$907=TYPE4)*(TYPE4&lt;&gt;"")+('Dvd Calendar'!$Q$907=SPECIAL_LBL)*(INC_SPECIALS="Y"))=0,"",'Dvd Calendar'!$Q$905)))</f>
        <v/>
      </c>
      <c r="P93" s="110">
        <f>IF(ER93="","",IF(ISNUMBER('Dvd Calendar'!$R$905)=FALSE,"",IF((('Dvd Calendar'!$R$907=TYPE1)*(TYPE1&lt;&gt;"")+('Dvd Calendar'!$R$907=TYPE2)*(TYPE2&lt;&gt;"")+('Dvd Calendar'!$R$907=TYPE3)*(TYPE3&lt;&gt;"")+('Dvd Calendar'!$R$907=TYPE4)*(TYPE4&lt;&gt;"")+('Dvd Calendar'!$R$907=SPECIAL_LBL)*(INC_SPECIALS="Y"))=0,"",'Dvd Calendar'!$R$905)))</f>
        <v/>
      </c>
      <c r="Q93" s="110">
        <f>IF(ES93="","",IF(ISNUMBER('Dvd Calendar'!$S$905)=FALSE,"",IF((('Dvd Calendar'!$S$907=TYPE1)*(TYPE1&lt;&gt;"")+('Dvd Calendar'!$S$907=TYPE2)*(TYPE2&lt;&gt;"")+('Dvd Calendar'!$S$907=TYPE3)*(TYPE3&lt;&gt;"")+('Dvd Calendar'!$S$907=TYPE4)*(TYPE4&lt;&gt;"")+('Dvd Calendar'!$S$907=SPECIAL_LBL)*(INC_SPECIALS="Y"))=0,"",'Dvd Calendar'!$S$905)))</f>
        <v/>
      </c>
      <c r="R93" s="110">
        <f>IF(ET93="","",IF(ISNUMBER('Dvd Calendar'!$T$905)=FALSE,"",IF((('Dvd Calendar'!$T$907=TYPE1)*(TYPE1&lt;&gt;"")+('Dvd Calendar'!$T$907=TYPE2)*(TYPE2&lt;&gt;"")+('Dvd Calendar'!$T$907=TYPE3)*(TYPE3&lt;&gt;"")+('Dvd Calendar'!$T$907=TYPE4)*(TYPE4&lt;&gt;"")+('Dvd Calendar'!$T$907=SPECIAL_LBL)*(INC_SPECIALS="Y"))=0,"",'Dvd Calendar'!$T$905)))</f>
        <v/>
      </c>
      <c r="S93" s="110">
        <f>IF(EU93="","",IF(ISNUMBER('Dvd Calendar'!$U$905)=FALSE,"",IF((('Dvd Calendar'!$U$907=TYPE1)*(TYPE1&lt;&gt;"")+('Dvd Calendar'!$U$907=TYPE2)*(TYPE2&lt;&gt;"")+('Dvd Calendar'!$U$907=TYPE3)*(TYPE3&lt;&gt;"")+('Dvd Calendar'!$U$907=TYPE4)*(TYPE4&lt;&gt;"")+('Dvd Calendar'!$U$907=SPECIAL_LBL)*(INC_SPECIALS="Y"))=0,"",'Dvd Calendar'!$U$905)))</f>
        <v/>
      </c>
      <c r="T93" s="110">
        <f>IF(EV93="","",IF(ISNUMBER('Dvd Calendar'!$V$905)=FALSE,"",IF((('Dvd Calendar'!$V$907=TYPE1)*(TYPE1&lt;&gt;"")+('Dvd Calendar'!$V$907=TYPE2)*(TYPE2&lt;&gt;"")+('Dvd Calendar'!$V$907=TYPE3)*(TYPE3&lt;&gt;"")+('Dvd Calendar'!$V$907=TYPE4)*(TYPE4&lt;&gt;"")+('Dvd Calendar'!$V$907=SPECIAL_LBL)*(INC_SPECIALS="Y"))=0,"",'Dvd Calendar'!$V$905)))</f>
        <v/>
      </c>
      <c r="U93" s="110">
        <f>IF(EW93="","",IF(ISNUMBER('Dvd Calendar'!$W$905)=FALSE,"",IF((('Dvd Calendar'!$W$907=TYPE1)*(TYPE1&lt;&gt;"")+('Dvd Calendar'!$W$907=TYPE2)*(TYPE2&lt;&gt;"")+('Dvd Calendar'!$W$907=TYPE3)*(TYPE3&lt;&gt;"")+('Dvd Calendar'!$W$907=TYPE4)*(TYPE4&lt;&gt;"")+('Dvd Calendar'!$W$907=SPECIAL_LBL)*(INC_SPECIALS="Y"))=0,"",'Dvd Calendar'!$W$905)))</f>
        <v/>
      </c>
      <c r="V93" s="110">
        <f>IF(EX93="","",IF(ISNUMBER('Dvd Calendar'!$X$905)=FALSE,"",IF((('Dvd Calendar'!$X$907=TYPE1)*(TYPE1&lt;&gt;"")+('Dvd Calendar'!$X$907=TYPE2)*(TYPE2&lt;&gt;"")+('Dvd Calendar'!$X$907=TYPE3)*(TYPE3&lt;&gt;"")+('Dvd Calendar'!$X$907=TYPE4)*(TYPE4&lt;&gt;"")+('Dvd Calendar'!$X$907=SPECIAL_LBL)*(INC_SPECIALS="Y"))=0,"",'Dvd Calendar'!$X$905)))</f>
        <v/>
      </c>
      <c r="W93" s="110">
        <f>IF(EY93="","",IF(ISNUMBER('Dvd Calendar'!$Y$905)=FALSE,"",IF((('Dvd Calendar'!$Y$907=TYPE1)*(TYPE1&lt;&gt;"")+('Dvd Calendar'!$Y$907=TYPE2)*(TYPE2&lt;&gt;"")+('Dvd Calendar'!$Y$907=TYPE3)*(TYPE3&lt;&gt;"")+('Dvd Calendar'!$Y$907=TYPE4)*(TYPE4&lt;&gt;"")+('Dvd Calendar'!$Y$907=SPECIAL_LBL)*(INC_SPECIALS="Y"))=0,"",'Dvd Calendar'!$Y$905)))</f>
        <v/>
      </c>
      <c r="X93" s="110">
        <f>IF(EZ93="","",IF(ISNUMBER('Dvd Calendar'!$Z$905)=FALSE,"",IF((('Dvd Calendar'!$Z$907=TYPE1)*(TYPE1&lt;&gt;"")+('Dvd Calendar'!$Z$907=TYPE2)*(TYPE2&lt;&gt;"")+('Dvd Calendar'!$Z$907=TYPE3)*(TYPE3&lt;&gt;"")+('Dvd Calendar'!$Z$907=TYPE4)*(TYPE4&lt;&gt;"")+('Dvd Calendar'!$Z$907=SPECIAL_LBL)*(INC_SPECIALS="Y"))=0,"",'Dvd Calendar'!$Z$905)))</f>
        <v/>
      </c>
      <c r="Y93" s="110">
        <f>IF(FA93="","",IF(ISNUMBER('Dvd Calendar'!$AA$905)=FALSE,"",IF((('Dvd Calendar'!$AA$907=TYPE1)*(TYPE1&lt;&gt;"")+('Dvd Calendar'!$AA$907=TYPE2)*(TYPE2&lt;&gt;"")+('Dvd Calendar'!$AA$907=TYPE3)*(TYPE3&lt;&gt;"")+('Dvd Calendar'!$AA$907=TYPE4)*(TYPE4&lt;&gt;"")+('Dvd Calendar'!$AA$907=SPECIAL_LBL)*(INC_SPECIALS="Y"))=0,"",'Dvd Calendar'!$AA$905)))</f>
        <v/>
      </c>
      <c r="Z93" s="110">
        <f>IF(FB93="","",IF(ISNUMBER('Dvd Calendar'!$AB$905)=FALSE,"",IF((('Dvd Calendar'!$AB$907=TYPE1)*(TYPE1&lt;&gt;"")+('Dvd Calendar'!$AB$907=TYPE2)*(TYPE2&lt;&gt;"")+('Dvd Calendar'!$AB$907=TYPE3)*(TYPE3&lt;&gt;"")+('Dvd Calendar'!$AB$907=TYPE4)*(TYPE4&lt;&gt;"")+('Dvd Calendar'!$AB$907=SPECIAL_LBL)*(INC_SPECIALS="Y"))=0,"",'Dvd Calendar'!$AB$905)))</f>
        <v/>
      </c>
      <c r="AA93" s="110">
        <f>IF(FC93="","",IF(ISNUMBER('Dvd Calendar'!$AC$905)=FALSE,"",IF((('Dvd Calendar'!$AC$907=TYPE1)*(TYPE1&lt;&gt;"")+('Dvd Calendar'!$AC$907=TYPE2)*(TYPE2&lt;&gt;"")+('Dvd Calendar'!$AC$907=TYPE3)*(TYPE3&lt;&gt;"")+('Dvd Calendar'!$AC$907=TYPE4)*(TYPE4&lt;&gt;"")+('Dvd Calendar'!$AC$907=SPECIAL_LBL)*(INC_SPECIALS="Y"))=0,"",'Dvd Calendar'!$AC$905)))</f>
        <v/>
      </c>
      <c r="AB93" s="110">
        <f>IF(FD93="","",IF(ISNUMBER('Dvd Calendar'!$AD$905)=FALSE,"",IF((('Dvd Calendar'!$AD$907=TYPE1)*(TYPE1&lt;&gt;"")+('Dvd Calendar'!$AD$907=TYPE2)*(TYPE2&lt;&gt;"")+('Dvd Calendar'!$AD$907=TYPE3)*(TYPE3&lt;&gt;"")+('Dvd Calendar'!$AD$907=TYPE4)*(TYPE4&lt;&gt;"")+('Dvd Calendar'!$AD$907=SPECIAL_LBL)*(INC_SPECIALS="Y"))=0,"",'Dvd Calendar'!$AD$905)))</f>
        <v/>
      </c>
      <c r="AC93" s="110">
        <f>IF(FE93="","",IF(ISNUMBER('Dvd Calendar'!$AE$905)=FALSE,"",IF((('Dvd Calendar'!$AE$907=TYPE1)*(TYPE1&lt;&gt;"")+('Dvd Calendar'!$AE$907=TYPE2)*(TYPE2&lt;&gt;"")+('Dvd Calendar'!$AE$907=TYPE3)*(TYPE3&lt;&gt;"")+('Dvd Calendar'!$AE$907=TYPE4)*(TYPE4&lt;&gt;"")+('Dvd Calendar'!$AE$907=SPECIAL_LBL)*(INC_SPECIALS="Y"))=0,"",'Dvd Calendar'!$AE$905)))</f>
        <v/>
      </c>
      <c r="AD93" s="110">
        <f>IF(FF93="","",IF(ISNUMBER('Dvd Calendar'!$AF$905)=FALSE,"",IF((('Dvd Calendar'!$AF$907=TYPE1)*(TYPE1&lt;&gt;"")+('Dvd Calendar'!$AF$907=TYPE2)*(TYPE2&lt;&gt;"")+('Dvd Calendar'!$AF$907=TYPE3)*(TYPE3&lt;&gt;"")+('Dvd Calendar'!$AF$907=TYPE4)*(TYPE4&lt;&gt;"")+('Dvd Calendar'!$AF$907=SPECIAL_LBL)*(INC_SPECIALS="Y"))=0,"",'Dvd Calendar'!$AF$905)))</f>
        <v/>
      </c>
      <c r="AE93" s="110">
        <f>IF(FG93="","",IF(ISNUMBER('Dvd Calendar'!$AG$905)=FALSE,"",IF((('Dvd Calendar'!$AG$907=TYPE1)*(TYPE1&lt;&gt;"")+('Dvd Calendar'!$AG$907=TYPE2)*(TYPE2&lt;&gt;"")+('Dvd Calendar'!$AG$907=TYPE3)*(TYPE3&lt;&gt;"")+('Dvd Calendar'!$AG$907=TYPE4)*(TYPE4&lt;&gt;"")+('Dvd Calendar'!$AG$907=SPECIAL_LBL)*(INC_SPECIALS="Y"))=0,"",'Dvd Calendar'!$AG$905)))</f>
        <v/>
      </c>
      <c r="AF93" s="110">
        <f>IF(FH93="","",IF(ISNUMBER('Dvd Calendar'!$AH$905)=FALSE,"",IF((('Dvd Calendar'!$AH$907=TYPE1)*(TYPE1&lt;&gt;"")+('Dvd Calendar'!$AH$907=TYPE2)*(TYPE2&lt;&gt;"")+('Dvd Calendar'!$AH$907=TYPE3)*(TYPE3&lt;&gt;"")+('Dvd Calendar'!$AH$907=TYPE4)*(TYPE4&lt;&gt;"")+('Dvd Calendar'!$AH$907=SPECIAL_LBL)*(INC_SPECIALS="Y"))=0,"",'Dvd Calendar'!$AH$905)))</f>
        <v/>
      </c>
      <c r="AG93" s="110">
        <f>IF(FI93="","",IF(ISNUMBER('Dvd Calendar'!$AI$905)=FALSE,"",IF((('Dvd Calendar'!$AI$907=TYPE1)*(TYPE1&lt;&gt;"")+('Dvd Calendar'!$AI$907=TYPE2)*(TYPE2&lt;&gt;"")+('Dvd Calendar'!$AI$907=TYPE3)*(TYPE3&lt;&gt;"")+('Dvd Calendar'!$AI$907=TYPE4)*(TYPE4&lt;&gt;"")+('Dvd Calendar'!$AI$907=SPECIAL_LBL)*(INC_SPECIALS="Y"))=0,"",'Dvd Calendar'!$AI$905)))</f>
        <v/>
      </c>
      <c r="AH93" s="110">
        <f>IF(FJ93="","",IF(ISNUMBER('Dvd Calendar'!$AJ$905)=FALSE,"",IF((('Dvd Calendar'!$AJ$907=TYPE1)*(TYPE1&lt;&gt;"")+('Dvd Calendar'!$AJ$907=TYPE2)*(TYPE2&lt;&gt;"")+('Dvd Calendar'!$AJ$907=TYPE3)*(TYPE3&lt;&gt;"")+('Dvd Calendar'!$AJ$907=TYPE4)*(TYPE4&lt;&gt;"")+('Dvd Calendar'!$AJ$907=SPECIAL_LBL)*(INC_SPECIALS="Y"))=0,"",'Dvd Calendar'!$AJ$905)))</f>
        <v/>
      </c>
      <c r="AI93" s="110">
        <f>IF(FK93="","",IF(ISNUMBER('Dvd Calendar'!$AK$905)=FALSE,"",IF((('Dvd Calendar'!$AK$907=TYPE1)*(TYPE1&lt;&gt;"")+('Dvd Calendar'!$AK$907=TYPE2)*(TYPE2&lt;&gt;"")+('Dvd Calendar'!$AK$907=TYPE3)*(TYPE3&lt;&gt;"")+('Dvd Calendar'!$AK$907=TYPE4)*(TYPE4&lt;&gt;"")+('Dvd Calendar'!$AK$907=SPECIAL_LBL)*(INC_SPECIALS="Y"))=0,"",'Dvd Calendar'!$AK$905)))</f>
        <v/>
      </c>
      <c r="AJ93" s="110">
        <f>IF(FL93="","",IF(ISNUMBER('Dvd Calendar'!$AL$905)=FALSE,"",IF((('Dvd Calendar'!$AL$907=TYPE1)*(TYPE1&lt;&gt;"")+('Dvd Calendar'!$AL$907=TYPE2)*(TYPE2&lt;&gt;"")+('Dvd Calendar'!$AL$907=TYPE3)*(TYPE3&lt;&gt;"")+('Dvd Calendar'!$AL$907=TYPE4)*(TYPE4&lt;&gt;"")+('Dvd Calendar'!$AL$907=SPECIAL_LBL)*(INC_SPECIALS="Y"))=0,"",'Dvd Calendar'!$AL$905)))</f>
        <v/>
      </c>
      <c r="AK93" s="110">
        <f>IF(FM93="","",IF(ISNUMBER('Dvd Calendar'!$AM$905)=FALSE,"",IF((('Dvd Calendar'!$AM$907=TYPE1)*(TYPE1&lt;&gt;"")+('Dvd Calendar'!$AM$907=TYPE2)*(TYPE2&lt;&gt;"")+('Dvd Calendar'!$AM$907=TYPE3)*(TYPE3&lt;&gt;"")+('Dvd Calendar'!$AM$907=TYPE4)*(TYPE4&lt;&gt;"")+('Dvd Calendar'!$AM$907=SPECIAL_LBL)*(INC_SPECIALS="Y"))=0,"",'Dvd Calendar'!$AM$905)))</f>
        <v/>
      </c>
      <c r="AL93" s="110">
        <f>IF(FN93="","",IF(ISNUMBER('Dvd Calendar'!$AN$905)=FALSE,"",IF((('Dvd Calendar'!$AN$907=TYPE1)*(TYPE1&lt;&gt;"")+('Dvd Calendar'!$AN$907=TYPE2)*(TYPE2&lt;&gt;"")+('Dvd Calendar'!$AN$907=TYPE3)*(TYPE3&lt;&gt;"")+('Dvd Calendar'!$AN$907=TYPE4)*(TYPE4&lt;&gt;"")+('Dvd Calendar'!$AN$907=SPECIAL_LBL)*(INC_SPECIALS="Y"))=0,"",'Dvd Calendar'!$AN$905)))</f>
        <v/>
      </c>
      <c r="AM93" s="110">
        <f>IF(FO93="","",IF(ISNUMBER('Dvd Calendar'!$AO$905)=FALSE,"",IF((('Dvd Calendar'!$AO$907=TYPE1)*(TYPE1&lt;&gt;"")+('Dvd Calendar'!$AO$907=TYPE2)*(TYPE2&lt;&gt;"")+('Dvd Calendar'!$AO$907=TYPE3)*(TYPE3&lt;&gt;"")+('Dvd Calendar'!$AO$907=TYPE4)*(TYPE4&lt;&gt;"")+('Dvd Calendar'!$AO$907=SPECIAL_LBL)*(INC_SPECIALS="Y"))=0,"",'Dvd Calendar'!$AO$905)))</f>
        <v/>
      </c>
      <c r="AN93" s="110">
        <f>IF(FP93="","",IF(ISNUMBER('Dvd Calendar'!$AP$905)=FALSE,"",IF((('Dvd Calendar'!$AP$907=TYPE1)*(TYPE1&lt;&gt;"")+('Dvd Calendar'!$AP$907=TYPE2)*(TYPE2&lt;&gt;"")+('Dvd Calendar'!$AP$907=TYPE3)*(TYPE3&lt;&gt;"")+('Dvd Calendar'!$AP$907=TYPE4)*(TYPE4&lt;&gt;"")+('Dvd Calendar'!$AP$907=SPECIAL_LBL)*(INC_SPECIALS="Y"))=0,"",'Dvd Calendar'!$AP$905)))</f>
        <v/>
      </c>
      <c r="AO93" s="110">
        <f>IF(FQ93="","",IF(ISNUMBER('Dvd Calendar'!$AQ$905)=FALSE,"",IF((('Dvd Calendar'!$AQ$907=TYPE1)*(TYPE1&lt;&gt;"")+('Dvd Calendar'!$AQ$907=TYPE2)*(TYPE2&lt;&gt;"")+('Dvd Calendar'!$AQ$907=TYPE3)*(TYPE3&lt;&gt;"")+('Dvd Calendar'!$AQ$907=TYPE4)*(TYPE4&lt;&gt;"")+('Dvd Calendar'!$AQ$907=SPECIAL_LBL)*(INC_SPECIALS="Y"))=0,"",'Dvd Calendar'!$AQ$905)))</f>
        <v/>
      </c>
      <c r="AP93" s="110">
        <f>IF(FR93="","",IF(ISNUMBER('Dvd Calendar'!$AR$905)=FALSE,"",IF((('Dvd Calendar'!$AR$907=TYPE1)*(TYPE1&lt;&gt;"")+('Dvd Calendar'!$AR$907=TYPE2)*(TYPE2&lt;&gt;"")+('Dvd Calendar'!$AR$907=TYPE3)*(TYPE3&lt;&gt;"")+('Dvd Calendar'!$AR$907=TYPE4)*(TYPE4&lt;&gt;"")+('Dvd Calendar'!$AR$907=SPECIAL_LBL)*(INC_SPECIALS="Y"))=0,"",'Dvd Calendar'!$AR$905)))</f>
        <v/>
      </c>
      <c r="AQ93" s="110">
        <f>IF(FS93="","",IF(ISNUMBER('Dvd Calendar'!$E$910)=FALSE,"",'Dvd Calendar'!$E$910))</f>
        <v/>
      </c>
      <c r="AR93" s="110">
        <f>IF(FT93="","",IF(ISNUMBER('Dvd Calendar'!$F$910)=FALSE,"",'Dvd Calendar'!$F$910))</f>
        <v/>
      </c>
      <c r="AS93" s="110">
        <f>IF(FU93="","",IF(ISNUMBER('Dvd Calendar'!$G$910)=FALSE,"",'Dvd Calendar'!$G$910))</f>
        <v/>
      </c>
      <c r="AT93" s="110">
        <f>IF(FV93="","",IF(ISNUMBER('Dvd Calendar'!$H$910)=FALSE,"",'Dvd Calendar'!$H$910))</f>
        <v/>
      </c>
      <c r="AU93" s="110">
        <f>IF(FW93="","",IF(ISNUMBER('Dvd Calendar'!$I$910)=FALSE,"",'Dvd Calendar'!$I$910))</f>
        <v/>
      </c>
      <c r="AV93" s="110">
        <f>IF(FX93="","",IF(ISNUMBER('Dvd Calendar'!$J$910)=FALSE,"",'Dvd Calendar'!$J$910))</f>
        <v/>
      </c>
      <c r="AW93" s="110">
        <f>IF(FY93="","",IF(ISNUMBER('Dvd Calendar'!$K$910)=FALSE,"",'Dvd Calendar'!$K$910))</f>
        <v/>
      </c>
      <c r="AX93" s="110">
        <f>IF(FZ93="","",IF(ISNUMBER('Dvd Calendar'!$L$910)=FALSE,"",'Dvd Calendar'!$L$910))</f>
        <v/>
      </c>
      <c r="AY93" s="110">
        <f>IF(GA93="","",IF(ISNUMBER('Dvd Calendar'!$M$910)=FALSE,"",'Dvd Calendar'!$M$910))</f>
        <v/>
      </c>
      <c r="AZ93" s="110">
        <f>IF(GB93="","",IF(ISNUMBER('Dvd Calendar'!$N$910)=FALSE,"",'Dvd Calendar'!$N$910))</f>
        <v/>
      </c>
      <c r="BA93" s="110">
        <f>IF(GC93="","",IF(ISNUMBER('Dvd Calendar'!$O$910)=FALSE,"",'Dvd Calendar'!$O$910))</f>
        <v/>
      </c>
      <c r="BB93" s="110">
        <f>IF(GD93="","",IF(ISNUMBER('Dvd Calendar'!$P$910)=FALSE,"",'Dvd Calendar'!$P$910))</f>
        <v/>
      </c>
      <c r="BC93" s="110">
        <f>IF(GE93="","",IF(ISNUMBER('Dvd Calendar'!$Q$910)=FALSE,"",'Dvd Calendar'!$Q$910))</f>
        <v/>
      </c>
      <c r="BD93" s="110">
        <f>IF(GF93="","",IF(ISNUMBER('Dvd Calendar'!$R$910)=FALSE,"",'Dvd Calendar'!$R$910))</f>
        <v/>
      </c>
      <c r="BE93" s="110">
        <f>IF(GG93="","",IF(ISNUMBER('Dvd Calendar'!$S$910)=FALSE,"",'Dvd Calendar'!$S$910))</f>
        <v/>
      </c>
      <c r="BF93" s="110">
        <f>IF(GH93="","",IF(ISNUMBER('Dvd Calendar'!$T$910)=FALSE,"",'Dvd Calendar'!$T$910))</f>
        <v/>
      </c>
      <c r="BG93" s="110">
        <f>IF(GI93="","",IF(ISNUMBER('Dvd Calendar'!$U$910)=FALSE,"",'Dvd Calendar'!$U$910))</f>
        <v/>
      </c>
      <c r="BH93" s="110">
        <f>IF(GJ93="","",IF(ISNUMBER('Dvd Calendar'!$V$910)=FALSE,"",'Dvd Calendar'!$V$910))</f>
        <v/>
      </c>
      <c r="BI93" s="110">
        <f>IF(GK93="","",IF(ISNUMBER('Dvd Calendar'!$W$910)=FALSE,"",'Dvd Calendar'!$W$910))</f>
        <v/>
      </c>
      <c r="BJ93" s="110">
        <f>IF(GL93="","",IF(ISNUMBER('Dvd Calendar'!$X$910)=FALSE,"",'Dvd Calendar'!$X$910))</f>
        <v/>
      </c>
      <c r="BK93" s="110">
        <f>IF(GM93="","",IF(ISNUMBER('Dvd Calendar'!$Y$910)=FALSE,"",'Dvd Calendar'!$Y$910))</f>
        <v/>
      </c>
      <c r="BL93" s="110">
        <f>IF(GN93="","",IF(ISNUMBER('Dvd Calendar'!$Z$910)=FALSE,"",'Dvd Calendar'!$Z$910))</f>
        <v/>
      </c>
      <c r="BM93" s="110">
        <f>IF(GO93="","",IF(ISNUMBER('Dvd Calendar'!$AA$910)=FALSE,"",'Dvd Calendar'!$AA$910))</f>
        <v/>
      </c>
      <c r="BN93" s="110">
        <f>IF(GP93="","",IF(ISNUMBER('Dvd Calendar'!$AB$910)=FALSE,"",'Dvd Calendar'!$AB$910))</f>
        <v/>
      </c>
      <c r="BO93" s="110">
        <f>IF(GQ93="","",IF(ISNUMBER('Dvd Calendar'!$AC$910)=FALSE,"",'Dvd Calendar'!$AC$910))</f>
        <v/>
      </c>
      <c r="BQ93" s="110">
        <f>IF(C93="","",IFERROR(C93*HSI!$B$88*HSI!$G$88/HSI!$B$3,""))</f>
        <v/>
      </c>
      <c r="BR93" s="110">
        <f>IF(D93="","",IFERROR(D93*HSI!$B$88*HSI!$G$88/HSI!$B$3,""))</f>
        <v/>
      </c>
      <c r="BS93" s="110">
        <f>IF(E93="","",IFERROR(E93*HSI!$B$88*HSI!$G$88/HSI!$B$3,""))</f>
        <v/>
      </c>
      <c r="BT93" s="110">
        <f>IF(F93="","",IFERROR(F93*HSI!$B$88*HSI!$G$88/HSI!$B$3,""))</f>
        <v/>
      </c>
      <c r="BU93" s="110">
        <f>IF(G93="","",IFERROR(G93*HSI!$B$88*HSI!$G$88/HSI!$B$3,""))</f>
        <v/>
      </c>
      <c r="BV93" s="110">
        <f>IF(H93="","",IFERROR(H93*HSI!$B$88*HSI!$G$88/HSI!$B$3,""))</f>
        <v/>
      </c>
      <c r="BW93" s="110">
        <f>IF(I93="","",IFERROR(I93*HSI!$B$88*HSI!$G$88/HSI!$B$3,""))</f>
        <v/>
      </c>
      <c r="BX93" s="110">
        <f>IF(J93="","",IFERROR(J93*HSI!$B$88*HSI!$G$88/HSI!$B$3,""))</f>
        <v/>
      </c>
      <c r="BY93" s="110">
        <f>IF(K93="","",IFERROR(K93*HSI!$B$88*HSI!$G$88/HSI!$B$3,""))</f>
        <v/>
      </c>
      <c r="BZ93" s="110">
        <f>IF(L93="","",IFERROR(L93*HSI!$B$88*HSI!$G$88/HSI!$B$3,""))</f>
        <v/>
      </c>
      <c r="CA93" s="110">
        <f>IF(M93="","",IFERROR(M93*HSI!$B$88*HSI!$G$88/HSI!$B$3,""))</f>
        <v/>
      </c>
      <c r="CB93" s="110">
        <f>IF(N93="","",IFERROR(N93*HSI!$B$88*HSI!$G$88/HSI!$B$3,""))</f>
        <v/>
      </c>
      <c r="CC93" s="110">
        <f>IF(O93="","",IFERROR(O93*HSI!$B$88*HSI!$G$88/HSI!$B$3,""))</f>
        <v/>
      </c>
      <c r="CD93" s="110">
        <f>IF(P93="","",IFERROR(P93*HSI!$B$88*HSI!$G$88/HSI!$B$3,""))</f>
        <v/>
      </c>
      <c r="CE93" s="110">
        <f>IF(Q93="","",IFERROR(Q93*HSI!$B$88*HSI!$G$88/HSI!$B$3,""))</f>
        <v/>
      </c>
      <c r="CF93" s="110">
        <f>IF(R93="","",IFERROR(R93*HSI!$B$88*HSI!$G$88/HSI!$B$3,""))</f>
        <v/>
      </c>
      <c r="CG93" s="110">
        <f>IF(S93="","",IFERROR(S93*HSI!$B$88*HSI!$G$88/HSI!$B$3,""))</f>
        <v/>
      </c>
      <c r="CH93" s="110">
        <f>IF(T93="","",IFERROR(T93*HSI!$B$88*HSI!$G$88/HSI!$B$3,""))</f>
        <v/>
      </c>
      <c r="CI93" s="110">
        <f>IF(U93="","",IFERROR(U93*HSI!$B$88*HSI!$G$88/HSI!$B$3,""))</f>
        <v/>
      </c>
      <c r="CJ93" s="110">
        <f>IF(V93="","",IFERROR(V93*HSI!$B$88*HSI!$G$88/HSI!$B$3,""))</f>
        <v/>
      </c>
      <c r="CK93" s="110">
        <f>IF(W93="","",IFERROR(W93*HSI!$B$88*HSI!$G$88/HSI!$B$3,""))</f>
        <v/>
      </c>
      <c r="CL93" s="110">
        <f>IF(X93="","",IFERROR(X93*HSI!$B$88*HSI!$G$88/HSI!$B$3,""))</f>
        <v/>
      </c>
      <c r="CM93" s="110">
        <f>IF(Y93="","",IFERROR(Y93*HSI!$B$88*HSI!$G$88/HSI!$B$3,""))</f>
        <v/>
      </c>
      <c r="CN93" s="110">
        <f>IF(Z93="","",IFERROR(Z93*HSI!$B$88*HSI!$G$88/HSI!$B$3,""))</f>
        <v/>
      </c>
      <c r="CO93" s="110">
        <f>IF(AA93="","",IFERROR(AA93*HSI!$B$88*HSI!$G$88/HSI!$B$3,""))</f>
        <v/>
      </c>
      <c r="CP93" s="110">
        <f>IF(AB93="","",IFERROR(AB93*HSI!$B$88*HSI!$G$88/HSI!$B$3,""))</f>
        <v/>
      </c>
      <c r="CQ93" s="110">
        <f>IF(AC93="","",IFERROR(AC93*HSI!$B$88*HSI!$G$88/HSI!$B$3,""))</f>
        <v/>
      </c>
      <c r="CR93" s="110">
        <f>IF(AD93="","",IFERROR(AD93*HSI!$B$88*HSI!$G$88/HSI!$B$3,""))</f>
        <v/>
      </c>
      <c r="CS93" s="110">
        <f>IF(AE93="","",IFERROR(AE93*HSI!$B$88*HSI!$G$88/HSI!$B$3,""))</f>
        <v/>
      </c>
      <c r="CT93" s="110">
        <f>IF(AF93="","",IFERROR(AF93*HSI!$B$88*HSI!$G$88/HSI!$B$3,""))</f>
        <v/>
      </c>
      <c r="CU93" s="110">
        <f>IF(AG93="","",IFERROR(AG93*HSI!$B$88*HSI!$G$88/HSI!$B$3,""))</f>
        <v/>
      </c>
      <c r="CV93" s="110">
        <f>IF(AH93="","",IFERROR(AH93*HSI!$B$88*HSI!$G$88/HSI!$B$3,""))</f>
        <v/>
      </c>
      <c r="CW93" s="110">
        <f>IF(AI93="","",IFERROR(AI93*HSI!$B$88*HSI!$G$88/HSI!$B$3,""))</f>
        <v/>
      </c>
      <c r="CX93" s="110">
        <f>IF(AJ93="","",IFERROR(AJ93*HSI!$B$88*HSI!$G$88/HSI!$B$3,""))</f>
        <v/>
      </c>
      <c r="CY93" s="110">
        <f>IF(AK93="","",IFERROR(AK93*HSI!$B$88*HSI!$G$88/HSI!$B$3,""))</f>
        <v/>
      </c>
      <c r="CZ93" s="110">
        <f>IF(AL93="","",IFERROR(AL93*HSI!$B$88*HSI!$G$88/HSI!$B$3,""))</f>
        <v/>
      </c>
      <c r="DA93" s="110">
        <f>IF(AM93="","",IFERROR(AM93*HSI!$B$88*HSI!$G$88/HSI!$B$3,""))</f>
        <v/>
      </c>
      <c r="DB93" s="110">
        <f>IF(AN93="","",IFERROR(AN93*HSI!$B$88*HSI!$G$88/HSI!$B$3,""))</f>
        <v/>
      </c>
      <c r="DC93" s="110">
        <f>IF(AO93="","",IFERROR(AO93*HSI!$B$88*HSI!$G$88/HSI!$B$3,""))</f>
        <v/>
      </c>
      <c r="DD93" s="110">
        <f>IF(AP93="","",IFERROR(AP93*HSI!$B$88*HSI!$G$88/HSI!$B$3,""))</f>
        <v/>
      </c>
      <c r="DE93" s="110">
        <f>IF(AQ93="","",IFERROR(AQ93*HSI!$B$88*HSI!$G$88/HSI!$B$3,""))</f>
        <v/>
      </c>
      <c r="DF93" s="110">
        <f>IF(AR93="","",IFERROR(AR93*HSI!$B$88*HSI!$G$88/HSI!$B$3,""))</f>
        <v/>
      </c>
      <c r="DG93" s="110">
        <f>IF(AS93="","",IFERROR(AS93*HSI!$B$88*HSI!$G$88/HSI!$B$3,""))</f>
        <v/>
      </c>
      <c r="DH93" s="110">
        <f>IF(AT93="","",IFERROR(AT93*HSI!$B$88*HSI!$G$88/HSI!$B$3,""))</f>
        <v/>
      </c>
      <c r="DI93" s="110">
        <f>IF(AU93="","",IFERROR(AU93*HSI!$B$88*HSI!$G$88/HSI!$B$3,""))</f>
        <v/>
      </c>
      <c r="DJ93" s="110">
        <f>IF(AV93="","",IFERROR(AV93*HSI!$B$88*HSI!$G$88/HSI!$B$3,""))</f>
        <v/>
      </c>
      <c r="DK93" s="110">
        <f>IF(AW93="","",IFERROR(AW93*HSI!$B$88*HSI!$G$88/HSI!$B$3,""))</f>
        <v/>
      </c>
      <c r="DL93" s="110">
        <f>IF(AX93="","",IFERROR(AX93*HSI!$B$88*HSI!$G$88/HSI!$B$3,""))</f>
        <v/>
      </c>
      <c r="DM93" s="110">
        <f>IF(AY93="","",IFERROR(AY93*HSI!$B$88*HSI!$G$88/HSI!$B$3,""))</f>
        <v/>
      </c>
      <c r="DN93" s="110">
        <f>IF(AZ93="","",IFERROR(AZ93*HSI!$B$88*HSI!$G$88/HSI!$B$3,""))</f>
        <v/>
      </c>
      <c r="DO93" s="110">
        <f>IF(BA93="","",IFERROR(BA93*HSI!$B$88*HSI!$G$88/HSI!$B$3,""))</f>
        <v/>
      </c>
      <c r="DP93" s="110">
        <f>IF(BB93="","",IFERROR(BB93*HSI!$B$88*HSI!$G$88/HSI!$B$3,""))</f>
        <v/>
      </c>
      <c r="DQ93" s="110">
        <f>IF(BC93="","",IFERROR(BC93*HSI!$B$88*HSI!$G$88/HSI!$B$3,""))</f>
        <v/>
      </c>
      <c r="DR93" s="110">
        <f>IF(BD93="","",IFERROR(BD93*HSI!$B$88*HSI!$G$88/HSI!$B$3,""))</f>
        <v/>
      </c>
      <c r="DS93" s="110">
        <f>IF(BE93="","",IFERROR(BE93*HSI!$B$88*HSI!$G$88/HSI!$B$3,""))</f>
        <v/>
      </c>
      <c r="DT93" s="110">
        <f>IF(BF93="","",IFERROR(BF93*HSI!$B$88*HSI!$G$88/HSI!$B$3,""))</f>
        <v/>
      </c>
      <c r="DU93" s="110">
        <f>IF(BG93="","",IFERROR(BG93*HSI!$B$88*HSI!$G$88/HSI!$B$3,""))</f>
        <v/>
      </c>
      <c r="DV93" s="110">
        <f>IF(BH93="","",IFERROR(BH93*HSI!$B$88*HSI!$G$88/HSI!$B$3,""))</f>
        <v/>
      </c>
      <c r="DW93" s="110">
        <f>IF(BI93="","",IFERROR(BI93*HSI!$B$88*HSI!$G$88/HSI!$B$3,""))</f>
        <v/>
      </c>
      <c r="DX93" s="110">
        <f>IF(BJ93="","",IFERROR(BJ93*HSI!$B$88*HSI!$G$88/HSI!$B$3,""))</f>
        <v/>
      </c>
      <c r="DY93" s="110">
        <f>IF(BK93="","",IFERROR(BK93*HSI!$B$88*HSI!$G$88/HSI!$B$3,""))</f>
        <v/>
      </c>
      <c r="DZ93" s="110">
        <f>IF(BL93="","",IFERROR(BL93*HSI!$B$88*HSI!$G$88/HSI!$B$3,""))</f>
        <v/>
      </c>
      <c r="EA93" s="110">
        <f>IF(BM93="","",IFERROR(BM93*HSI!$B$88*HSI!$G$88/HSI!$B$3,""))</f>
        <v/>
      </c>
      <c r="EB93" s="110">
        <f>IF(BN93="","",IFERROR(BN93*HSI!$B$88*HSI!$G$88/HSI!$B$3,""))</f>
        <v/>
      </c>
      <c r="EC93" s="110">
        <f>IF(BO93="","",IFERROR(BO93*HSI!$B$88*HSI!$G$88/HSI!$B$3,""))</f>
        <v/>
      </c>
      <c r="EE93" s="39">
        <f>IF(N('Dvd Calendar'!$E$902)=0,"",IF(('Dvd Calendar'!$E$902&gt;=GRID_FROM)*('Dvd Calendar'!$E$902&lt;=GRID_TO)*((('Dvd Calendar'!$E$902&lt;=VAL_DATE)+(COUNTIF('Dvd Calendar'!$E$909:$AR$909,'Dvd Calendar'!$E$902)=0))&gt;0)=0,"",'Dvd Calendar'!$E$902*1000000000+ISNUMBER('Dvd Calendar'!$E$905)*100000000+('Dvd Calendar'!$E$907=SPECIAL_LBL)*10000000+(N('Dvd Calendar'!$E$901)&gt;0)*(N('Dvd Calendar'!$E$901)&lt;=VAL_SERIAL)*1000000+82*1000+1))</f>
        <v/>
      </c>
      <c r="EF93" s="39">
        <f>IF(N('Dvd Calendar'!$F$902)=0,"",IF(('Dvd Calendar'!$F$902&gt;=GRID_FROM)*('Dvd Calendar'!$F$902&lt;=GRID_TO)*((('Dvd Calendar'!$F$902&lt;=VAL_DATE)+(COUNTIF('Dvd Calendar'!$E$909:$AR$909,'Dvd Calendar'!$F$902)=0))&gt;0)=0,"",'Dvd Calendar'!$F$902*1000000000+ISNUMBER('Dvd Calendar'!$F$905)*100000000+('Dvd Calendar'!$F$907=SPECIAL_LBL)*10000000+(N('Dvd Calendar'!$F$901)&gt;0)*(N('Dvd Calendar'!$F$901)&lt;=VAL_SERIAL)*1000000+82*1000+2))</f>
        <v/>
      </c>
      <c r="EG93" s="39">
        <f>IF(N('Dvd Calendar'!$G$902)=0,"",IF(('Dvd Calendar'!$G$902&gt;=GRID_FROM)*('Dvd Calendar'!$G$902&lt;=GRID_TO)*((('Dvd Calendar'!$G$902&lt;=VAL_DATE)+(COUNTIF('Dvd Calendar'!$E$909:$AR$909,'Dvd Calendar'!$G$902)=0))&gt;0)=0,"",'Dvd Calendar'!$G$902*1000000000+ISNUMBER('Dvd Calendar'!$G$905)*100000000+('Dvd Calendar'!$G$907=SPECIAL_LBL)*10000000+(N('Dvd Calendar'!$G$901)&gt;0)*(N('Dvd Calendar'!$G$901)&lt;=VAL_SERIAL)*1000000+82*1000+3))</f>
        <v/>
      </c>
      <c r="EH93" s="39">
        <f>IF(N('Dvd Calendar'!$H$902)=0,"",IF(('Dvd Calendar'!$H$902&gt;=GRID_FROM)*('Dvd Calendar'!$H$902&lt;=GRID_TO)*((('Dvd Calendar'!$H$902&lt;=VAL_DATE)+(COUNTIF('Dvd Calendar'!$E$909:$AR$909,'Dvd Calendar'!$H$902)=0))&gt;0)=0,"",'Dvd Calendar'!$H$902*1000000000+ISNUMBER('Dvd Calendar'!$H$905)*100000000+('Dvd Calendar'!$H$907=SPECIAL_LBL)*10000000+(N('Dvd Calendar'!$H$901)&gt;0)*(N('Dvd Calendar'!$H$901)&lt;=VAL_SERIAL)*1000000+82*1000+4))</f>
        <v/>
      </c>
      <c r="EI93" s="39">
        <f>IF(N('Dvd Calendar'!$I$902)=0,"",IF(('Dvd Calendar'!$I$902&gt;=GRID_FROM)*('Dvd Calendar'!$I$902&lt;=GRID_TO)*((('Dvd Calendar'!$I$902&lt;=VAL_DATE)+(COUNTIF('Dvd Calendar'!$E$909:$AR$909,'Dvd Calendar'!$I$902)=0))&gt;0)=0,"",'Dvd Calendar'!$I$902*1000000000+ISNUMBER('Dvd Calendar'!$I$905)*100000000+('Dvd Calendar'!$I$907=SPECIAL_LBL)*10000000+(N('Dvd Calendar'!$I$901)&gt;0)*(N('Dvd Calendar'!$I$901)&lt;=VAL_SERIAL)*1000000+82*1000+5))</f>
        <v/>
      </c>
      <c r="EJ93" s="39">
        <f>IF(N('Dvd Calendar'!$J$902)=0,"",IF(('Dvd Calendar'!$J$902&gt;=GRID_FROM)*('Dvd Calendar'!$J$902&lt;=GRID_TO)*((('Dvd Calendar'!$J$902&lt;=VAL_DATE)+(COUNTIF('Dvd Calendar'!$E$909:$AR$909,'Dvd Calendar'!$J$902)=0))&gt;0)=0,"",'Dvd Calendar'!$J$902*1000000000+ISNUMBER('Dvd Calendar'!$J$905)*100000000+('Dvd Calendar'!$J$907=SPECIAL_LBL)*10000000+(N('Dvd Calendar'!$J$901)&gt;0)*(N('Dvd Calendar'!$J$901)&lt;=VAL_SERIAL)*1000000+82*1000+6))</f>
        <v/>
      </c>
      <c r="EK93" s="39">
        <f>IF(N('Dvd Calendar'!$K$902)=0,"",IF(('Dvd Calendar'!$K$902&gt;=GRID_FROM)*('Dvd Calendar'!$K$902&lt;=GRID_TO)*((('Dvd Calendar'!$K$902&lt;=VAL_DATE)+(COUNTIF('Dvd Calendar'!$E$909:$AR$909,'Dvd Calendar'!$K$902)=0))&gt;0)=0,"",'Dvd Calendar'!$K$902*1000000000+ISNUMBER('Dvd Calendar'!$K$905)*100000000+('Dvd Calendar'!$K$907=SPECIAL_LBL)*10000000+(N('Dvd Calendar'!$K$901)&gt;0)*(N('Dvd Calendar'!$K$901)&lt;=VAL_SERIAL)*1000000+82*1000+7))</f>
        <v/>
      </c>
      <c r="EL93" s="39">
        <f>IF(N('Dvd Calendar'!$L$902)=0,"",IF(('Dvd Calendar'!$L$902&gt;=GRID_FROM)*('Dvd Calendar'!$L$902&lt;=GRID_TO)*((('Dvd Calendar'!$L$902&lt;=VAL_DATE)+(COUNTIF('Dvd Calendar'!$E$909:$AR$909,'Dvd Calendar'!$L$902)=0))&gt;0)=0,"",'Dvd Calendar'!$L$902*1000000000+ISNUMBER('Dvd Calendar'!$L$905)*100000000+('Dvd Calendar'!$L$907=SPECIAL_LBL)*10000000+(N('Dvd Calendar'!$L$901)&gt;0)*(N('Dvd Calendar'!$L$901)&lt;=VAL_SERIAL)*1000000+82*1000+8))</f>
        <v/>
      </c>
      <c r="EM93" s="39">
        <f>IF(N('Dvd Calendar'!$M$902)=0,"",IF(('Dvd Calendar'!$M$902&gt;=GRID_FROM)*('Dvd Calendar'!$M$902&lt;=GRID_TO)*((('Dvd Calendar'!$M$902&lt;=VAL_DATE)+(COUNTIF('Dvd Calendar'!$E$909:$AR$909,'Dvd Calendar'!$M$902)=0))&gt;0)=0,"",'Dvd Calendar'!$M$902*1000000000+ISNUMBER('Dvd Calendar'!$M$905)*100000000+('Dvd Calendar'!$M$907=SPECIAL_LBL)*10000000+(N('Dvd Calendar'!$M$901)&gt;0)*(N('Dvd Calendar'!$M$901)&lt;=VAL_SERIAL)*1000000+82*1000+9))</f>
        <v/>
      </c>
      <c r="EN93" s="39">
        <f>IF(N('Dvd Calendar'!$N$902)=0,"",IF(('Dvd Calendar'!$N$902&gt;=GRID_FROM)*('Dvd Calendar'!$N$902&lt;=GRID_TO)*((('Dvd Calendar'!$N$902&lt;=VAL_DATE)+(COUNTIF('Dvd Calendar'!$E$909:$AR$909,'Dvd Calendar'!$N$902)=0))&gt;0)=0,"",'Dvd Calendar'!$N$902*1000000000+ISNUMBER('Dvd Calendar'!$N$905)*100000000+('Dvd Calendar'!$N$907=SPECIAL_LBL)*10000000+(N('Dvd Calendar'!$N$901)&gt;0)*(N('Dvd Calendar'!$N$901)&lt;=VAL_SERIAL)*1000000+82*1000+10))</f>
        <v/>
      </c>
      <c r="EO93" s="39">
        <f>IF(N('Dvd Calendar'!$O$902)=0,"",IF(('Dvd Calendar'!$O$902&gt;=GRID_FROM)*('Dvd Calendar'!$O$902&lt;=GRID_TO)*((('Dvd Calendar'!$O$902&lt;=VAL_DATE)+(COUNTIF('Dvd Calendar'!$E$909:$AR$909,'Dvd Calendar'!$O$902)=0))&gt;0)=0,"",'Dvd Calendar'!$O$902*1000000000+ISNUMBER('Dvd Calendar'!$O$905)*100000000+('Dvd Calendar'!$O$907=SPECIAL_LBL)*10000000+(N('Dvd Calendar'!$O$901)&gt;0)*(N('Dvd Calendar'!$O$901)&lt;=VAL_SERIAL)*1000000+82*1000+11))</f>
        <v/>
      </c>
      <c r="EP93" s="39">
        <f>IF(N('Dvd Calendar'!$P$902)=0,"",IF(('Dvd Calendar'!$P$902&gt;=GRID_FROM)*('Dvd Calendar'!$P$902&lt;=GRID_TO)*((('Dvd Calendar'!$P$902&lt;=VAL_DATE)+(COUNTIF('Dvd Calendar'!$E$909:$AR$909,'Dvd Calendar'!$P$902)=0))&gt;0)=0,"",'Dvd Calendar'!$P$902*1000000000+ISNUMBER('Dvd Calendar'!$P$905)*100000000+('Dvd Calendar'!$P$907=SPECIAL_LBL)*10000000+(N('Dvd Calendar'!$P$901)&gt;0)*(N('Dvd Calendar'!$P$901)&lt;=VAL_SERIAL)*1000000+82*1000+12))</f>
        <v/>
      </c>
      <c r="EQ93" s="39">
        <f>IF(N('Dvd Calendar'!$Q$902)=0,"",IF(('Dvd Calendar'!$Q$902&gt;=GRID_FROM)*('Dvd Calendar'!$Q$902&lt;=GRID_TO)*((('Dvd Calendar'!$Q$902&lt;=VAL_DATE)+(COUNTIF('Dvd Calendar'!$E$909:$AR$909,'Dvd Calendar'!$Q$902)=0))&gt;0)=0,"",'Dvd Calendar'!$Q$902*1000000000+ISNUMBER('Dvd Calendar'!$Q$905)*100000000+('Dvd Calendar'!$Q$907=SPECIAL_LBL)*10000000+(N('Dvd Calendar'!$Q$901)&gt;0)*(N('Dvd Calendar'!$Q$901)&lt;=VAL_SERIAL)*1000000+82*1000+13))</f>
        <v/>
      </c>
      <c r="ER93" s="39">
        <f>IF(N('Dvd Calendar'!$R$902)=0,"",IF(('Dvd Calendar'!$R$902&gt;=GRID_FROM)*('Dvd Calendar'!$R$902&lt;=GRID_TO)*((('Dvd Calendar'!$R$902&lt;=VAL_DATE)+(COUNTIF('Dvd Calendar'!$E$909:$AR$909,'Dvd Calendar'!$R$902)=0))&gt;0)=0,"",'Dvd Calendar'!$R$902*1000000000+ISNUMBER('Dvd Calendar'!$R$905)*100000000+('Dvd Calendar'!$R$907=SPECIAL_LBL)*10000000+(N('Dvd Calendar'!$R$901)&gt;0)*(N('Dvd Calendar'!$R$901)&lt;=VAL_SERIAL)*1000000+82*1000+14))</f>
        <v/>
      </c>
      <c r="ES93" s="39">
        <f>IF(N('Dvd Calendar'!$S$902)=0,"",IF(('Dvd Calendar'!$S$902&gt;=GRID_FROM)*('Dvd Calendar'!$S$902&lt;=GRID_TO)*((('Dvd Calendar'!$S$902&lt;=VAL_DATE)+(COUNTIF('Dvd Calendar'!$E$909:$AR$909,'Dvd Calendar'!$S$902)=0))&gt;0)=0,"",'Dvd Calendar'!$S$902*1000000000+ISNUMBER('Dvd Calendar'!$S$905)*100000000+('Dvd Calendar'!$S$907=SPECIAL_LBL)*10000000+(N('Dvd Calendar'!$S$901)&gt;0)*(N('Dvd Calendar'!$S$901)&lt;=VAL_SERIAL)*1000000+82*1000+15))</f>
        <v/>
      </c>
      <c r="ET93" s="39">
        <f>IF(N('Dvd Calendar'!$T$902)=0,"",IF(('Dvd Calendar'!$T$902&gt;=GRID_FROM)*('Dvd Calendar'!$T$902&lt;=GRID_TO)*((('Dvd Calendar'!$T$902&lt;=VAL_DATE)+(COUNTIF('Dvd Calendar'!$E$909:$AR$909,'Dvd Calendar'!$T$902)=0))&gt;0)=0,"",'Dvd Calendar'!$T$902*1000000000+ISNUMBER('Dvd Calendar'!$T$905)*100000000+('Dvd Calendar'!$T$907=SPECIAL_LBL)*10000000+(N('Dvd Calendar'!$T$901)&gt;0)*(N('Dvd Calendar'!$T$901)&lt;=VAL_SERIAL)*1000000+82*1000+16))</f>
        <v/>
      </c>
      <c r="EU93" s="39">
        <f>IF(N('Dvd Calendar'!$U$902)=0,"",IF(('Dvd Calendar'!$U$902&gt;=GRID_FROM)*('Dvd Calendar'!$U$902&lt;=GRID_TO)*((('Dvd Calendar'!$U$902&lt;=VAL_DATE)+(COUNTIF('Dvd Calendar'!$E$909:$AR$909,'Dvd Calendar'!$U$902)=0))&gt;0)=0,"",'Dvd Calendar'!$U$902*1000000000+ISNUMBER('Dvd Calendar'!$U$905)*100000000+('Dvd Calendar'!$U$907=SPECIAL_LBL)*10000000+(N('Dvd Calendar'!$U$901)&gt;0)*(N('Dvd Calendar'!$U$901)&lt;=VAL_SERIAL)*1000000+82*1000+17))</f>
        <v/>
      </c>
      <c r="EV93" s="39">
        <f>IF(N('Dvd Calendar'!$V$902)=0,"",IF(('Dvd Calendar'!$V$902&gt;=GRID_FROM)*('Dvd Calendar'!$V$902&lt;=GRID_TO)*((('Dvd Calendar'!$V$902&lt;=VAL_DATE)+(COUNTIF('Dvd Calendar'!$E$909:$AR$909,'Dvd Calendar'!$V$902)=0))&gt;0)=0,"",'Dvd Calendar'!$V$902*1000000000+ISNUMBER('Dvd Calendar'!$V$905)*100000000+('Dvd Calendar'!$V$907=SPECIAL_LBL)*10000000+(N('Dvd Calendar'!$V$901)&gt;0)*(N('Dvd Calendar'!$V$901)&lt;=VAL_SERIAL)*1000000+82*1000+18))</f>
        <v/>
      </c>
      <c r="EW93" s="39">
        <f>IF(N('Dvd Calendar'!$W$902)=0,"",IF(('Dvd Calendar'!$W$902&gt;=GRID_FROM)*('Dvd Calendar'!$W$902&lt;=GRID_TO)*((('Dvd Calendar'!$W$902&lt;=VAL_DATE)+(COUNTIF('Dvd Calendar'!$E$909:$AR$909,'Dvd Calendar'!$W$902)=0))&gt;0)=0,"",'Dvd Calendar'!$W$902*1000000000+ISNUMBER('Dvd Calendar'!$W$905)*100000000+('Dvd Calendar'!$W$907=SPECIAL_LBL)*10000000+(N('Dvd Calendar'!$W$901)&gt;0)*(N('Dvd Calendar'!$W$901)&lt;=VAL_SERIAL)*1000000+82*1000+19))</f>
        <v/>
      </c>
      <c r="EX93" s="39">
        <f>IF(N('Dvd Calendar'!$X$902)=0,"",IF(('Dvd Calendar'!$X$902&gt;=GRID_FROM)*('Dvd Calendar'!$X$902&lt;=GRID_TO)*((('Dvd Calendar'!$X$902&lt;=VAL_DATE)+(COUNTIF('Dvd Calendar'!$E$909:$AR$909,'Dvd Calendar'!$X$902)=0))&gt;0)=0,"",'Dvd Calendar'!$X$902*1000000000+ISNUMBER('Dvd Calendar'!$X$905)*100000000+('Dvd Calendar'!$X$907=SPECIAL_LBL)*10000000+(N('Dvd Calendar'!$X$901)&gt;0)*(N('Dvd Calendar'!$X$901)&lt;=VAL_SERIAL)*1000000+82*1000+20))</f>
        <v/>
      </c>
      <c r="EY93" s="39">
        <f>IF(N('Dvd Calendar'!$Y$902)=0,"",IF(('Dvd Calendar'!$Y$902&gt;=GRID_FROM)*('Dvd Calendar'!$Y$902&lt;=GRID_TO)*((('Dvd Calendar'!$Y$902&lt;=VAL_DATE)+(COUNTIF('Dvd Calendar'!$E$909:$AR$909,'Dvd Calendar'!$Y$902)=0))&gt;0)=0,"",'Dvd Calendar'!$Y$902*1000000000+ISNUMBER('Dvd Calendar'!$Y$905)*100000000+('Dvd Calendar'!$Y$907=SPECIAL_LBL)*10000000+(N('Dvd Calendar'!$Y$901)&gt;0)*(N('Dvd Calendar'!$Y$901)&lt;=VAL_SERIAL)*1000000+82*1000+21))</f>
        <v/>
      </c>
      <c r="EZ93" s="39">
        <f>IF(N('Dvd Calendar'!$Z$902)=0,"",IF(('Dvd Calendar'!$Z$902&gt;=GRID_FROM)*('Dvd Calendar'!$Z$902&lt;=GRID_TO)*((('Dvd Calendar'!$Z$902&lt;=VAL_DATE)+(COUNTIF('Dvd Calendar'!$E$909:$AR$909,'Dvd Calendar'!$Z$902)=0))&gt;0)=0,"",'Dvd Calendar'!$Z$902*1000000000+ISNUMBER('Dvd Calendar'!$Z$905)*100000000+('Dvd Calendar'!$Z$907=SPECIAL_LBL)*10000000+(N('Dvd Calendar'!$Z$901)&gt;0)*(N('Dvd Calendar'!$Z$901)&lt;=VAL_SERIAL)*1000000+82*1000+22))</f>
        <v/>
      </c>
      <c r="FA93" s="39">
        <f>IF(N('Dvd Calendar'!$AA$902)=0,"",IF(('Dvd Calendar'!$AA$902&gt;=GRID_FROM)*('Dvd Calendar'!$AA$902&lt;=GRID_TO)*((('Dvd Calendar'!$AA$902&lt;=VAL_DATE)+(COUNTIF('Dvd Calendar'!$E$909:$AR$909,'Dvd Calendar'!$AA$902)=0))&gt;0)=0,"",'Dvd Calendar'!$AA$902*1000000000+ISNUMBER('Dvd Calendar'!$AA$905)*100000000+('Dvd Calendar'!$AA$907=SPECIAL_LBL)*10000000+(N('Dvd Calendar'!$AA$901)&gt;0)*(N('Dvd Calendar'!$AA$901)&lt;=VAL_SERIAL)*1000000+82*1000+23))</f>
        <v/>
      </c>
      <c r="FB93" s="39">
        <f>IF(N('Dvd Calendar'!$AB$902)=0,"",IF(('Dvd Calendar'!$AB$902&gt;=GRID_FROM)*('Dvd Calendar'!$AB$902&lt;=GRID_TO)*((('Dvd Calendar'!$AB$902&lt;=VAL_DATE)+(COUNTIF('Dvd Calendar'!$E$909:$AR$909,'Dvd Calendar'!$AB$902)=0))&gt;0)=0,"",'Dvd Calendar'!$AB$902*1000000000+ISNUMBER('Dvd Calendar'!$AB$905)*100000000+('Dvd Calendar'!$AB$907=SPECIAL_LBL)*10000000+(N('Dvd Calendar'!$AB$901)&gt;0)*(N('Dvd Calendar'!$AB$901)&lt;=VAL_SERIAL)*1000000+82*1000+24))</f>
        <v/>
      </c>
      <c r="FC93" s="39">
        <f>IF(N('Dvd Calendar'!$AC$902)=0,"",IF(('Dvd Calendar'!$AC$902&gt;=GRID_FROM)*('Dvd Calendar'!$AC$902&lt;=GRID_TO)*((('Dvd Calendar'!$AC$902&lt;=VAL_DATE)+(COUNTIF('Dvd Calendar'!$E$909:$AR$909,'Dvd Calendar'!$AC$902)=0))&gt;0)=0,"",'Dvd Calendar'!$AC$902*1000000000+ISNUMBER('Dvd Calendar'!$AC$905)*100000000+('Dvd Calendar'!$AC$907=SPECIAL_LBL)*10000000+(N('Dvd Calendar'!$AC$901)&gt;0)*(N('Dvd Calendar'!$AC$901)&lt;=VAL_SERIAL)*1000000+82*1000+25))</f>
        <v/>
      </c>
      <c r="FD93" s="39">
        <f>IF(N('Dvd Calendar'!$AD$902)=0,"",IF(('Dvd Calendar'!$AD$902&gt;=GRID_FROM)*('Dvd Calendar'!$AD$902&lt;=GRID_TO)*((('Dvd Calendar'!$AD$902&lt;=VAL_DATE)+(COUNTIF('Dvd Calendar'!$E$909:$AR$909,'Dvd Calendar'!$AD$902)=0))&gt;0)=0,"",'Dvd Calendar'!$AD$902*1000000000+ISNUMBER('Dvd Calendar'!$AD$905)*100000000+('Dvd Calendar'!$AD$907=SPECIAL_LBL)*10000000+(N('Dvd Calendar'!$AD$901)&gt;0)*(N('Dvd Calendar'!$AD$901)&lt;=VAL_SERIAL)*1000000+82*1000+26))</f>
        <v/>
      </c>
      <c r="FE93" s="39">
        <f>IF(N('Dvd Calendar'!$AE$902)=0,"",IF(('Dvd Calendar'!$AE$902&gt;=GRID_FROM)*('Dvd Calendar'!$AE$902&lt;=GRID_TO)*((('Dvd Calendar'!$AE$902&lt;=VAL_DATE)+(COUNTIF('Dvd Calendar'!$E$909:$AR$909,'Dvd Calendar'!$AE$902)=0))&gt;0)=0,"",'Dvd Calendar'!$AE$902*1000000000+ISNUMBER('Dvd Calendar'!$AE$905)*100000000+('Dvd Calendar'!$AE$907=SPECIAL_LBL)*10000000+(N('Dvd Calendar'!$AE$901)&gt;0)*(N('Dvd Calendar'!$AE$901)&lt;=VAL_SERIAL)*1000000+82*1000+27))</f>
        <v/>
      </c>
      <c r="FF93" s="39">
        <f>IF(N('Dvd Calendar'!$AF$902)=0,"",IF(('Dvd Calendar'!$AF$902&gt;=GRID_FROM)*('Dvd Calendar'!$AF$902&lt;=GRID_TO)*((('Dvd Calendar'!$AF$902&lt;=VAL_DATE)+(COUNTIF('Dvd Calendar'!$E$909:$AR$909,'Dvd Calendar'!$AF$902)=0))&gt;0)=0,"",'Dvd Calendar'!$AF$902*1000000000+ISNUMBER('Dvd Calendar'!$AF$905)*100000000+('Dvd Calendar'!$AF$907=SPECIAL_LBL)*10000000+(N('Dvd Calendar'!$AF$901)&gt;0)*(N('Dvd Calendar'!$AF$901)&lt;=VAL_SERIAL)*1000000+82*1000+28))</f>
        <v/>
      </c>
      <c r="FG93" s="39">
        <f>IF(N('Dvd Calendar'!$AG$902)=0,"",IF(('Dvd Calendar'!$AG$902&gt;=GRID_FROM)*('Dvd Calendar'!$AG$902&lt;=GRID_TO)*((('Dvd Calendar'!$AG$902&lt;=VAL_DATE)+(COUNTIF('Dvd Calendar'!$E$909:$AR$909,'Dvd Calendar'!$AG$902)=0))&gt;0)=0,"",'Dvd Calendar'!$AG$902*1000000000+ISNUMBER('Dvd Calendar'!$AG$905)*100000000+('Dvd Calendar'!$AG$907=SPECIAL_LBL)*10000000+(N('Dvd Calendar'!$AG$901)&gt;0)*(N('Dvd Calendar'!$AG$901)&lt;=VAL_SERIAL)*1000000+82*1000+29))</f>
        <v/>
      </c>
      <c r="FH93" s="39">
        <f>IF(N('Dvd Calendar'!$AH$902)=0,"",IF(('Dvd Calendar'!$AH$902&gt;=GRID_FROM)*('Dvd Calendar'!$AH$902&lt;=GRID_TO)*((('Dvd Calendar'!$AH$902&lt;=VAL_DATE)+(COUNTIF('Dvd Calendar'!$E$909:$AR$909,'Dvd Calendar'!$AH$902)=0))&gt;0)=0,"",'Dvd Calendar'!$AH$902*1000000000+ISNUMBER('Dvd Calendar'!$AH$905)*100000000+('Dvd Calendar'!$AH$907=SPECIAL_LBL)*10000000+(N('Dvd Calendar'!$AH$901)&gt;0)*(N('Dvd Calendar'!$AH$901)&lt;=VAL_SERIAL)*1000000+82*1000+30))</f>
        <v/>
      </c>
      <c r="FI93" s="39">
        <f>IF(N('Dvd Calendar'!$AI$902)=0,"",IF(('Dvd Calendar'!$AI$902&gt;=GRID_FROM)*('Dvd Calendar'!$AI$902&lt;=GRID_TO)*((('Dvd Calendar'!$AI$902&lt;=VAL_DATE)+(COUNTIF('Dvd Calendar'!$E$909:$AR$909,'Dvd Calendar'!$AI$902)=0))&gt;0)=0,"",'Dvd Calendar'!$AI$902*1000000000+ISNUMBER('Dvd Calendar'!$AI$905)*100000000+('Dvd Calendar'!$AI$907=SPECIAL_LBL)*10000000+(N('Dvd Calendar'!$AI$901)&gt;0)*(N('Dvd Calendar'!$AI$901)&lt;=VAL_SERIAL)*1000000+82*1000+31))</f>
        <v/>
      </c>
      <c r="FJ93" s="39">
        <f>IF(N('Dvd Calendar'!$AJ$902)=0,"",IF(('Dvd Calendar'!$AJ$902&gt;=GRID_FROM)*('Dvd Calendar'!$AJ$902&lt;=GRID_TO)*((('Dvd Calendar'!$AJ$902&lt;=VAL_DATE)+(COUNTIF('Dvd Calendar'!$E$909:$AR$909,'Dvd Calendar'!$AJ$902)=0))&gt;0)=0,"",'Dvd Calendar'!$AJ$902*1000000000+ISNUMBER('Dvd Calendar'!$AJ$905)*100000000+('Dvd Calendar'!$AJ$907=SPECIAL_LBL)*10000000+(N('Dvd Calendar'!$AJ$901)&gt;0)*(N('Dvd Calendar'!$AJ$901)&lt;=VAL_SERIAL)*1000000+82*1000+32))</f>
        <v/>
      </c>
      <c r="FK93" s="39">
        <f>IF(N('Dvd Calendar'!$AK$902)=0,"",IF(('Dvd Calendar'!$AK$902&gt;=GRID_FROM)*('Dvd Calendar'!$AK$902&lt;=GRID_TO)*((('Dvd Calendar'!$AK$902&lt;=VAL_DATE)+(COUNTIF('Dvd Calendar'!$E$909:$AR$909,'Dvd Calendar'!$AK$902)=0))&gt;0)=0,"",'Dvd Calendar'!$AK$902*1000000000+ISNUMBER('Dvd Calendar'!$AK$905)*100000000+('Dvd Calendar'!$AK$907=SPECIAL_LBL)*10000000+(N('Dvd Calendar'!$AK$901)&gt;0)*(N('Dvd Calendar'!$AK$901)&lt;=VAL_SERIAL)*1000000+82*1000+33))</f>
        <v/>
      </c>
      <c r="FL93" s="39">
        <f>IF(N('Dvd Calendar'!$AL$902)=0,"",IF(('Dvd Calendar'!$AL$902&gt;=GRID_FROM)*('Dvd Calendar'!$AL$902&lt;=GRID_TO)*((('Dvd Calendar'!$AL$902&lt;=VAL_DATE)+(COUNTIF('Dvd Calendar'!$E$909:$AR$909,'Dvd Calendar'!$AL$902)=0))&gt;0)=0,"",'Dvd Calendar'!$AL$902*1000000000+ISNUMBER('Dvd Calendar'!$AL$905)*100000000+('Dvd Calendar'!$AL$907=SPECIAL_LBL)*10000000+(N('Dvd Calendar'!$AL$901)&gt;0)*(N('Dvd Calendar'!$AL$901)&lt;=VAL_SERIAL)*1000000+82*1000+34))</f>
        <v/>
      </c>
      <c r="FM93" s="39">
        <f>IF(N('Dvd Calendar'!$AM$902)=0,"",IF(('Dvd Calendar'!$AM$902&gt;=GRID_FROM)*('Dvd Calendar'!$AM$902&lt;=GRID_TO)*((('Dvd Calendar'!$AM$902&lt;=VAL_DATE)+(COUNTIF('Dvd Calendar'!$E$909:$AR$909,'Dvd Calendar'!$AM$902)=0))&gt;0)=0,"",'Dvd Calendar'!$AM$902*1000000000+ISNUMBER('Dvd Calendar'!$AM$905)*100000000+('Dvd Calendar'!$AM$907=SPECIAL_LBL)*10000000+(N('Dvd Calendar'!$AM$901)&gt;0)*(N('Dvd Calendar'!$AM$901)&lt;=VAL_SERIAL)*1000000+82*1000+35))</f>
        <v/>
      </c>
      <c r="FN93" s="39">
        <f>IF(N('Dvd Calendar'!$AN$902)=0,"",IF(('Dvd Calendar'!$AN$902&gt;=GRID_FROM)*('Dvd Calendar'!$AN$902&lt;=GRID_TO)*((('Dvd Calendar'!$AN$902&lt;=VAL_DATE)+(COUNTIF('Dvd Calendar'!$E$909:$AR$909,'Dvd Calendar'!$AN$902)=0))&gt;0)=0,"",'Dvd Calendar'!$AN$902*1000000000+ISNUMBER('Dvd Calendar'!$AN$905)*100000000+('Dvd Calendar'!$AN$907=SPECIAL_LBL)*10000000+(N('Dvd Calendar'!$AN$901)&gt;0)*(N('Dvd Calendar'!$AN$901)&lt;=VAL_SERIAL)*1000000+82*1000+36))</f>
        <v/>
      </c>
      <c r="FO93" s="39">
        <f>IF(N('Dvd Calendar'!$AO$902)=0,"",IF(('Dvd Calendar'!$AO$902&gt;=GRID_FROM)*('Dvd Calendar'!$AO$902&lt;=GRID_TO)*((('Dvd Calendar'!$AO$902&lt;=VAL_DATE)+(COUNTIF('Dvd Calendar'!$E$909:$AR$909,'Dvd Calendar'!$AO$902)=0))&gt;0)=0,"",'Dvd Calendar'!$AO$902*1000000000+ISNUMBER('Dvd Calendar'!$AO$905)*100000000+('Dvd Calendar'!$AO$907=SPECIAL_LBL)*10000000+(N('Dvd Calendar'!$AO$901)&gt;0)*(N('Dvd Calendar'!$AO$901)&lt;=VAL_SERIAL)*1000000+82*1000+37))</f>
        <v/>
      </c>
      <c r="FP93" s="39">
        <f>IF(N('Dvd Calendar'!$AP$902)=0,"",IF(('Dvd Calendar'!$AP$902&gt;=GRID_FROM)*('Dvd Calendar'!$AP$902&lt;=GRID_TO)*((('Dvd Calendar'!$AP$902&lt;=VAL_DATE)+(COUNTIF('Dvd Calendar'!$E$909:$AR$909,'Dvd Calendar'!$AP$902)=0))&gt;0)=0,"",'Dvd Calendar'!$AP$902*1000000000+ISNUMBER('Dvd Calendar'!$AP$905)*100000000+('Dvd Calendar'!$AP$907=SPECIAL_LBL)*10000000+(N('Dvd Calendar'!$AP$901)&gt;0)*(N('Dvd Calendar'!$AP$901)&lt;=VAL_SERIAL)*1000000+82*1000+38))</f>
        <v/>
      </c>
      <c r="FQ93" s="39">
        <f>IF(N('Dvd Calendar'!$AQ$902)=0,"",IF(('Dvd Calendar'!$AQ$902&gt;=GRID_FROM)*('Dvd Calendar'!$AQ$902&lt;=GRID_TO)*((('Dvd Calendar'!$AQ$902&lt;=VAL_DATE)+(COUNTIF('Dvd Calendar'!$E$909:$AR$909,'Dvd Calendar'!$AQ$902)=0))&gt;0)=0,"",'Dvd Calendar'!$AQ$902*1000000000+ISNUMBER('Dvd Calendar'!$AQ$905)*100000000+('Dvd Calendar'!$AQ$907=SPECIAL_LBL)*10000000+(N('Dvd Calendar'!$AQ$901)&gt;0)*(N('Dvd Calendar'!$AQ$901)&lt;=VAL_SERIAL)*1000000+82*1000+39))</f>
        <v/>
      </c>
      <c r="FR93" s="39">
        <f>IF(N('Dvd Calendar'!$AR$902)=0,"",IF(('Dvd Calendar'!$AR$902&gt;=GRID_FROM)*('Dvd Calendar'!$AR$902&lt;=GRID_TO)*((('Dvd Calendar'!$AR$902&lt;=VAL_DATE)+(COUNTIF('Dvd Calendar'!$E$909:$AR$909,'Dvd Calendar'!$AR$902)=0))&gt;0)=0,"",'Dvd Calendar'!$AR$902*1000000000+ISNUMBER('Dvd Calendar'!$AR$905)*100000000+('Dvd Calendar'!$AR$907=SPECIAL_LBL)*10000000+(N('Dvd Calendar'!$AR$901)&gt;0)*(N('Dvd Calendar'!$AR$901)&lt;=VAL_SERIAL)*1000000+82*1000+40))</f>
        <v/>
      </c>
      <c r="FS93" s="39">
        <f>IF(N('Dvd Calendar'!$E$909)=0,"",IF(('Dvd Calendar'!$E$909&gt;=GRID_FROM)*('Dvd Calendar'!$E$909&lt;=GRID_TO)*('Dvd Calendar'!$E$909&gt;VAL_DATE)=0,"",'Dvd Calendar'!$E$909*1000000000+ISNUMBER('Dvd Calendar'!$E$910)*100000000+0*10000000+(N('Dvd Calendar'!$E$908)&gt;0)*(N('Dvd Calendar'!$E$908)&lt;=VAL_SERIAL)*1000000+82*1000+41))</f>
        <v/>
      </c>
      <c r="FT93" s="39">
        <f>IF(N('Dvd Calendar'!$F$909)=0,"",IF(('Dvd Calendar'!$F$909&gt;=GRID_FROM)*('Dvd Calendar'!$F$909&lt;=GRID_TO)*('Dvd Calendar'!$F$909&gt;VAL_DATE)=0,"",'Dvd Calendar'!$F$909*1000000000+ISNUMBER('Dvd Calendar'!$F$910)*100000000+0*10000000+(N('Dvd Calendar'!$F$908)&gt;0)*(N('Dvd Calendar'!$F$908)&lt;=VAL_SERIAL)*1000000+82*1000+42))</f>
        <v/>
      </c>
      <c r="FU93" s="39">
        <f>IF(N('Dvd Calendar'!$G$909)=0,"",IF(('Dvd Calendar'!$G$909&gt;=GRID_FROM)*('Dvd Calendar'!$G$909&lt;=GRID_TO)*('Dvd Calendar'!$G$909&gt;VAL_DATE)=0,"",'Dvd Calendar'!$G$909*1000000000+ISNUMBER('Dvd Calendar'!$G$910)*100000000+0*10000000+(N('Dvd Calendar'!$G$908)&gt;0)*(N('Dvd Calendar'!$G$908)&lt;=VAL_SERIAL)*1000000+82*1000+43))</f>
        <v/>
      </c>
      <c r="FV93" s="39">
        <f>IF(N('Dvd Calendar'!$H$909)=0,"",IF(('Dvd Calendar'!$H$909&gt;=GRID_FROM)*('Dvd Calendar'!$H$909&lt;=GRID_TO)*('Dvd Calendar'!$H$909&gt;VAL_DATE)=0,"",'Dvd Calendar'!$H$909*1000000000+ISNUMBER('Dvd Calendar'!$H$910)*100000000+0*10000000+(N('Dvd Calendar'!$H$908)&gt;0)*(N('Dvd Calendar'!$H$908)&lt;=VAL_SERIAL)*1000000+82*1000+44))</f>
        <v/>
      </c>
      <c r="FW93" s="39">
        <f>IF(N('Dvd Calendar'!$I$909)=0,"",IF(('Dvd Calendar'!$I$909&gt;=GRID_FROM)*('Dvd Calendar'!$I$909&lt;=GRID_TO)*('Dvd Calendar'!$I$909&gt;VAL_DATE)=0,"",'Dvd Calendar'!$I$909*1000000000+ISNUMBER('Dvd Calendar'!$I$910)*100000000+0*10000000+(N('Dvd Calendar'!$I$908)&gt;0)*(N('Dvd Calendar'!$I$908)&lt;=VAL_SERIAL)*1000000+82*1000+45))</f>
        <v/>
      </c>
      <c r="FX93" s="39">
        <f>IF(N('Dvd Calendar'!$J$909)=0,"",IF(('Dvd Calendar'!$J$909&gt;=GRID_FROM)*('Dvd Calendar'!$J$909&lt;=GRID_TO)*('Dvd Calendar'!$J$909&gt;VAL_DATE)=0,"",'Dvd Calendar'!$J$909*1000000000+ISNUMBER('Dvd Calendar'!$J$910)*100000000+0*10000000+(N('Dvd Calendar'!$J$908)&gt;0)*(N('Dvd Calendar'!$J$908)&lt;=VAL_SERIAL)*1000000+82*1000+46))</f>
        <v/>
      </c>
      <c r="FY93" s="39">
        <f>IF(N('Dvd Calendar'!$K$909)=0,"",IF(('Dvd Calendar'!$K$909&gt;=GRID_FROM)*('Dvd Calendar'!$K$909&lt;=GRID_TO)*('Dvd Calendar'!$K$909&gt;VAL_DATE)=0,"",'Dvd Calendar'!$K$909*1000000000+ISNUMBER('Dvd Calendar'!$K$910)*100000000+0*10000000+(N('Dvd Calendar'!$K$908)&gt;0)*(N('Dvd Calendar'!$K$908)&lt;=VAL_SERIAL)*1000000+82*1000+47))</f>
        <v/>
      </c>
      <c r="FZ93" s="39">
        <f>IF(N('Dvd Calendar'!$L$909)=0,"",IF(('Dvd Calendar'!$L$909&gt;=GRID_FROM)*('Dvd Calendar'!$L$909&lt;=GRID_TO)*('Dvd Calendar'!$L$909&gt;VAL_DATE)=0,"",'Dvd Calendar'!$L$909*1000000000+ISNUMBER('Dvd Calendar'!$L$910)*100000000+0*10000000+(N('Dvd Calendar'!$L$908)&gt;0)*(N('Dvd Calendar'!$L$908)&lt;=VAL_SERIAL)*1000000+82*1000+48))</f>
        <v/>
      </c>
      <c r="GA93" s="39">
        <f>IF(N('Dvd Calendar'!$M$909)=0,"",IF(('Dvd Calendar'!$M$909&gt;=GRID_FROM)*('Dvd Calendar'!$M$909&lt;=GRID_TO)*('Dvd Calendar'!$M$909&gt;VAL_DATE)=0,"",'Dvd Calendar'!$M$909*1000000000+ISNUMBER('Dvd Calendar'!$M$910)*100000000+0*10000000+(N('Dvd Calendar'!$M$908)&gt;0)*(N('Dvd Calendar'!$M$908)&lt;=VAL_SERIAL)*1000000+82*1000+49))</f>
        <v/>
      </c>
      <c r="GB93" s="39">
        <f>IF(N('Dvd Calendar'!$N$909)=0,"",IF(('Dvd Calendar'!$N$909&gt;=GRID_FROM)*('Dvd Calendar'!$N$909&lt;=GRID_TO)*('Dvd Calendar'!$N$909&gt;VAL_DATE)=0,"",'Dvd Calendar'!$N$909*1000000000+ISNUMBER('Dvd Calendar'!$N$910)*100000000+0*10000000+(N('Dvd Calendar'!$N$908)&gt;0)*(N('Dvd Calendar'!$N$908)&lt;=VAL_SERIAL)*1000000+82*1000+50))</f>
        <v/>
      </c>
      <c r="GC93" s="39">
        <f>IF(N('Dvd Calendar'!$O$909)=0,"",IF(('Dvd Calendar'!$O$909&gt;=GRID_FROM)*('Dvd Calendar'!$O$909&lt;=GRID_TO)*('Dvd Calendar'!$O$909&gt;VAL_DATE)=0,"",'Dvd Calendar'!$O$909*1000000000+ISNUMBER('Dvd Calendar'!$O$910)*100000000+0*10000000+(N('Dvd Calendar'!$O$908)&gt;0)*(N('Dvd Calendar'!$O$908)&lt;=VAL_SERIAL)*1000000+82*1000+51))</f>
        <v/>
      </c>
      <c r="GD93" s="39">
        <f>IF(N('Dvd Calendar'!$P$909)=0,"",IF(('Dvd Calendar'!$P$909&gt;=GRID_FROM)*('Dvd Calendar'!$P$909&lt;=GRID_TO)*('Dvd Calendar'!$P$909&gt;VAL_DATE)=0,"",'Dvd Calendar'!$P$909*1000000000+ISNUMBER('Dvd Calendar'!$P$910)*100000000+0*10000000+(N('Dvd Calendar'!$P$908)&gt;0)*(N('Dvd Calendar'!$P$908)&lt;=VAL_SERIAL)*1000000+82*1000+52))</f>
        <v/>
      </c>
      <c r="GE93" s="39">
        <f>IF(N('Dvd Calendar'!$Q$909)=0,"",IF(('Dvd Calendar'!$Q$909&gt;=GRID_FROM)*('Dvd Calendar'!$Q$909&lt;=GRID_TO)*('Dvd Calendar'!$Q$909&gt;VAL_DATE)=0,"",'Dvd Calendar'!$Q$909*1000000000+ISNUMBER('Dvd Calendar'!$Q$910)*100000000+0*10000000+(N('Dvd Calendar'!$Q$908)&gt;0)*(N('Dvd Calendar'!$Q$908)&lt;=VAL_SERIAL)*1000000+82*1000+53))</f>
        <v/>
      </c>
      <c r="GF93" s="39">
        <f>IF(N('Dvd Calendar'!$R$909)=0,"",IF(('Dvd Calendar'!$R$909&gt;=GRID_FROM)*('Dvd Calendar'!$R$909&lt;=GRID_TO)*('Dvd Calendar'!$R$909&gt;VAL_DATE)=0,"",'Dvd Calendar'!$R$909*1000000000+ISNUMBER('Dvd Calendar'!$R$910)*100000000+0*10000000+(N('Dvd Calendar'!$R$908)&gt;0)*(N('Dvd Calendar'!$R$908)&lt;=VAL_SERIAL)*1000000+82*1000+54))</f>
        <v/>
      </c>
      <c r="GG93" s="39">
        <f>IF(N('Dvd Calendar'!$S$909)=0,"",IF(('Dvd Calendar'!$S$909&gt;=GRID_FROM)*('Dvd Calendar'!$S$909&lt;=GRID_TO)*('Dvd Calendar'!$S$909&gt;VAL_DATE)=0,"",'Dvd Calendar'!$S$909*1000000000+ISNUMBER('Dvd Calendar'!$S$910)*100000000+0*10000000+(N('Dvd Calendar'!$S$908)&gt;0)*(N('Dvd Calendar'!$S$908)&lt;=VAL_SERIAL)*1000000+82*1000+55))</f>
        <v/>
      </c>
      <c r="GH93" s="39">
        <f>IF(N('Dvd Calendar'!$T$909)=0,"",IF(('Dvd Calendar'!$T$909&gt;=GRID_FROM)*('Dvd Calendar'!$T$909&lt;=GRID_TO)*('Dvd Calendar'!$T$909&gt;VAL_DATE)=0,"",'Dvd Calendar'!$T$909*1000000000+ISNUMBER('Dvd Calendar'!$T$910)*100000000+0*10000000+(N('Dvd Calendar'!$T$908)&gt;0)*(N('Dvd Calendar'!$T$908)&lt;=VAL_SERIAL)*1000000+82*1000+56))</f>
        <v/>
      </c>
      <c r="GI93" s="39">
        <f>IF(N('Dvd Calendar'!$U$909)=0,"",IF(('Dvd Calendar'!$U$909&gt;=GRID_FROM)*('Dvd Calendar'!$U$909&lt;=GRID_TO)*('Dvd Calendar'!$U$909&gt;VAL_DATE)=0,"",'Dvd Calendar'!$U$909*1000000000+ISNUMBER('Dvd Calendar'!$U$910)*100000000+0*10000000+(N('Dvd Calendar'!$U$908)&gt;0)*(N('Dvd Calendar'!$U$908)&lt;=VAL_SERIAL)*1000000+82*1000+57))</f>
        <v/>
      </c>
      <c r="GJ93" s="39">
        <f>IF(N('Dvd Calendar'!$V$909)=0,"",IF(('Dvd Calendar'!$V$909&gt;=GRID_FROM)*('Dvd Calendar'!$V$909&lt;=GRID_TO)*('Dvd Calendar'!$V$909&gt;VAL_DATE)=0,"",'Dvd Calendar'!$V$909*1000000000+ISNUMBER('Dvd Calendar'!$V$910)*100000000+0*10000000+(N('Dvd Calendar'!$V$908)&gt;0)*(N('Dvd Calendar'!$V$908)&lt;=VAL_SERIAL)*1000000+82*1000+58))</f>
        <v/>
      </c>
      <c r="GK93" s="39">
        <f>IF(N('Dvd Calendar'!$W$909)=0,"",IF(('Dvd Calendar'!$W$909&gt;=GRID_FROM)*('Dvd Calendar'!$W$909&lt;=GRID_TO)*('Dvd Calendar'!$W$909&gt;VAL_DATE)=0,"",'Dvd Calendar'!$W$909*1000000000+ISNUMBER('Dvd Calendar'!$W$910)*100000000+0*10000000+(N('Dvd Calendar'!$W$908)&gt;0)*(N('Dvd Calendar'!$W$908)&lt;=VAL_SERIAL)*1000000+82*1000+59))</f>
        <v/>
      </c>
      <c r="GL93" s="39">
        <f>IF(N('Dvd Calendar'!$X$909)=0,"",IF(('Dvd Calendar'!$X$909&gt;=GRID_FROM)*('Dvd Calendar'!$X$909&lt;=GRID_TO)*('Dvd Calendar'!$X$909&gt;VAL_DATE)=0,"",'Dvd Calendar'!$X$909*1000000000+ISNUMBER('Dvd Calendar'!$X$910)*100000000+0*10000000+(N('Dvd Calendar'!$X$908)&gt;0)*(N('Dvd Calendar'!$X$908)&lt;=VAL_SERIAL)*1000000+82*1000+60))</f>
        <v/>
      </c>
      <c r="GM93" s="39">
        <f>IF(N('Dvd Calendar'!$Y$909)=0,"",IF(('Dvd Calendar'!$Y$909&gt;=GRID_FROM)*('Dvd Calendar'!$Y$909&lt;=GRID_TO)*('Dvd Calendar'!$Y$909&gt;VAL_DATE)=0,"",'Dvd Calendar'!$Y$909*1000000000+ISNUMBER('Dvd Calendar'!$Y$910)*100000000+0*10000000+(N('Dvd Calendar'!$Y$908)&gt;0)*(N('Dvd Calendar'!$Y$908)&lt;=VAL_SERIAL)*1000000+82*1000+61))</f>
        <v/>
      </c>
      <c r="GN93" s="39">
        <f>IF(N('Dvd Calendar'!$Z$909)=0,"",IF(('Dvd Calendar'!$Z$909&gt;=GRID_FROM)*('Dvd Calendar'!$Z$909&lt;=GRID_TO)*('Dvd Calendar'!$Z$909&gt;VAL_DATE)=0,"",'Dvd Calendar'!$Z$909*1000000000+ISNUMBER('Dvd Calendar'!$Z$910)*100000000+0*10000000+(N('Dvd Calendar'!$Z$908)&gt;0)*(N('Dvd Calendar'!$Z$908)&lt;=VAL_SERIAL)*1000000+82*1000+62))</f>
        <v/>
      </c>
      <c r="GO93" s="39">
        <f>IF(N('Dvd Calendar'!$AA$909)=0,"",IF(('Dvd Calendar'!$AA$909&gt;=GRID_FROM)*('Dvd Calendar'!$AA$909&lt;=GRID_TO)*('Dvd Calendar'!$AA$909&gt;VAL_DATE)=0,"",'Dvd Calendar'!$AA$909*1000000000+ISNUMBER('Dvd Calendar'!$AA$910)*100000000+0*10000000+(N('Dvd Calendar'!$AA$908)&gt;0)*(N('Dvd Calendar'!$AA$908)&lt;=VAL_SERIAL)*1000000+82*1000+63))</f>
        <v/>
      </c>
      <c r="GP93" s="39">
        <f>IF(N('Dvd Calendar'!$AB$909)=0,"",IF(('Dvd Calendar'!$AB$909&gt;=GRID_FROM)*('Dvd Calendar'!$AB$909&lt;=GRID_TO)*('Dvd Calendar'!$AB$909&gt;VAL_DATE)=0,"",'Dvd Calendar'!$AB$909*1000000000+ISNUMBER('Dvd Calendar'!$AB$910)*100000000+0*10000000+(N('Dvd Calendar'!$AB$908)&gt;0)*(N('Dvd Calendar'!$AB$908)&lt;=VAL_SERIAL)*1000000+82*1000+64))</f>
        <v/>
      </c>
      <c r="GQ93" s="39">
        <f>IF(N('Dvd Calendar'!$AC$909)=0,"",IF(('Dvd Calendar'!$AC$909&gt;=GRID_FROM)*('Dvd Calendar'!$AC$909&lt;=GRID_TO)*('Dvd Calendar'!$AC$909&gt;VAL_DATE)=0,"",'Dvd Calendar'!$AC$909*1000000000+ISNUMBER('Dvd Calendar'!$AC$910)*100000000+0*10000000+(N('Dvd Calendar'!$AC$908)&gt;0)*(N('Dvd Calendar'!$AC$908)&lt;=VAL_SERIAL)*1000000+82*1000+65))</f>
        <v/>
      </c>
    </row>
    <row r="94">
      <c r="B94" s="2">
        <f>IF(HSI!$C$89="","",HSI!$C$89)</f>
        <v/>
      </c>
      <c r="C94" s="110">
        <f>IF(EE94="","",IF(ISNUMBER('Dvd Calendar'!$E$916)=FALSE,"",IF((('Dvd Calendar'!$E$918=TYPE1)*(TYPE1&lt;&gt;"")+('Dvd Calendar'!$E$918=TYPE2)*(TYPE2&lt;&gt;"")+('Dvd Calendar'!$E$918=TYPE3)*(TYPE3&lt;&gt;"")+('Dvd Calendar'!$E$918=TYPE4)*(TYPE4&lt;&gt;"")+('Dvd Calendar'!$E$918=SPECIAL_LBL)*(INC_SPECIALS="Y"))=0,"",'Dvd Calendar'!$E$916)))</f>
        <v/>
      </c>
      <c r="D94" s="110">
        <f>IF(EF94="","",IF(ISNUMBER('Dvd Calendar'!$F$916)=FALSE,"",IF((('Dvd Calendar'!$F$918=TYPE1)*(TYPE1&lt;&gt;"")+('Dvd Calendar'!$F$918=TYPE2)*(TYPE2&lt;&gt;"")+('Dvd Calendar'!$F$918=TYPE3)*(TYPE3&lt;&gt;"")+('Dvd Calendar'!$F$918=TYPE4)*(TYPE4&lt;&gt;"")+('Dvd Calendar'!$F$918=SPECIAL_LBL)*(INC_SPECIALS="Y"))=0,"",'Dvd Calendar'!$F$916)))</f>
        <v/>
      </c>
      <c r="E94" s="110">
        <f>IF(EG94="","",IF(ISNUMBER('Dvd Calendar'!$G$916)=FALSE,"",IF((('Dvd Calendar'!$G$918=TYPE1)*(TYPE1&lt;&gt;"")+('Dvd Calendar'!$G$918=TYPE2)*(TYPE2&lt;&gt;"")+('Dvd Calendar'!$G$918=TYPE3)*(TYPE3&lt;&gt;"")+('Dvd Calendar'!$G$918=TYPE4)*(TYPE4&lt;&gt;"")+('Dvd Calendar'!$G$918=SPECIAL_LBL)*(INC_SPECIALS="Y"))=0,"",'Dvd Calendar'!$G$916)))</f>
        <v/>
      </c>
      <c r="F94" s="110">
        <f>IF(EH94="","",IF(ISNUMBER('Dvd Calendar'!$H$916)=FALSE,"",IF((('Dvd Calendar'!$H$918=TYPE1)*(TYPE1&lt;&gt;"")+('Dvd Calendar'!$H$918=TYPE2)*(TYPE2&lt;&gt;"")+('Dvd Calendar'!$H$918=TYPE3)*(TYPE3&lt;&gt;"")+('Dvd Calendar'!$H$918=TYPE4)*(TYPE4&lt;&gt;"")+('Dvd Calendar'!$H$918=SPECIAL_LBL)*(INC_SPECIALS="Y"))=0,"",'Dvd Calendar'!$H$916)))</f>
        <v/>
      </c>
      <c r="G94" s="110">
        <f>IF(EI94="","",IF(ISNUMBER('Dvd Calendar'!$I$916)=FALSE,"",IF((('Dvd Calendar'!$I$918=TYPE1)*(TYPE1&lt;&gt;"")+('Dvd Calendar'!$I$918=TYPE2)*(TYPE2&lt;&gt;"")+('Dvd Calendar'!$I$918=TYPE3)*(TYPE3&lt;&gt;"")+('Dvd Calendar'!$I$918=TYPE4)*(TYPE4&lt;&gt;"")+('Dvd Calendar'!$I$918=SPECIAL_LBL)*(INC_SPECIALS="Y"))=0,"",'Dvd Calendar'!$I$916)))</f>
        <v/>
      </c>
      <c r="H94" s="110">
        <f>IF(EJ94="","",IF(ISNUMBER('Dvd Calendar'!$J$916)=FALSE,"",IF((('Dvd Calendar'!$J$918=TYPE1)*(TYPE1&lt;&gt;"")+('Dvd Calendar'!$J$918=TYPE2)*(TYPE2&lt;&gt;"")+('Dvd Calendar'!$J$918=TYPE3)*(TYPE3&lt;&gt;"")+('Dvd Calendar'!$J$918=TYPE4)*(TYPE4&lt;&gt;"")+('Dvd Calendar'!$J$918=SPECIAL_LBL)*(INC_SPECIALS="Y"))=0,"",'Dvd Calendar'!$J$916)))</f>
        <v/>
      </c>
      <c r="I94" s="110">
        <f>IF(EK94="","",IF(ISNUMBER('Dvd Calendar'!$K$916)=FALSE,"",IF((('Dvd Calendar'!$K$918=TYPE1)*(TYPE1&lt;&gt;"")+('Dvd Calendar'!$K$918=TYPE2)*(TYPE2&lt;&gt;"")+('Dvd Calendar'!$K$918=TYPE3)*(TYPE3&lt;&gt;"")+('Dvd Calendar'!$K$918=TYPE4)*(TYPE4&lt;&gt;"")+('Dvd Calendar'!$K$918=SPECIAL_LBL)*(INC_SPECIALS="Y"))=0,"",'Dvd Calendar'!$K$916)))</f>
        <v/>
      </c>
      <c r="J94" s="110">
        <f>IF(EL94="","",IF(ISNUMBER('Dvd Calendar'!$L$916)=FALSE,"",IF((('Dvd Calendar'!$L$918=TYPE1)*(TYPE1&lt;&gt;"")+('Dvd Calendar'!$L$918=TYPE2)*(TYPE2&lt;&gt;"")+('Dvd Calendar'!$L$918=TYPE3)*(TYPE3&lt;&gt;"")+('Dvd Calendar'!$L$918=TYPE4)*(TYPE4&lt;&gt;"")+('Dvd Calendar'!$L$918=SPECIAL_LBL)*(INC_SPECIALS="Y"))=0,"",'Dvd Calendar'!$L$916)))</f>
        <v/>
      </c>
      <c r="K94" s="110">
        <f>IF(EM94="","",IF(ISNUMBER('Dvd Calendar'!$M$916)=FALSE,"",IF((('Dvd Calendar'!$M$918=TYPE1)*(TYPE1&lt;&gt;"")+('Dvd Calendar'!$M$918=TYPE2)*(TYPE2&lt;&gt;"")+('Dvd Calendar'!$M$918=TYPE3)*(TYPE3&lt;&gt;"")+('Dvd Calendar'!$M$918=TYPE4)*(TYPE4&lt;&gt;"")+('Dvd Calendar'!$M$918=SPECIAL_LBL)*(INC_SPECIALS="Y"))=0,"",'Dvd Calendar'!$M$916)))</f>
        <v/>
      </c>
      <c r="L94" s="110">
        <f>IF(EN94="","",IF(ISNUMBER('Dvd Calendar'!$N$916)=FALSE,"",IF((('Dvd Calendar'!$N$918=TYPE1)*(TYPE1&lt;&gt;"")+('Dvd Calendar'!$N$918=TYPE2)*(TYPE2&lt;&gt;"")+('Dvd Calendar'!$N$918=TYPE3)*(TYPE3&lt;&gt;"")+('Dvd Calendar'!$N$918=TYPE4)*(TYPE4&lt;&gt;"")+('Dvd Calendar'!$N$918=SPECIAL_LBL)*(INC_SPECIALS="Y"))=0,"",'Dvd Calendar'!$N$916)))</f>
        <v/>
      </c>
      <c r="M94" s="110">
        <f>IF(EO94="","",IF(ISNUMBER('Dvd Calendar'!$O$916)=FALSE,"",IF((('Dvd Calendar'!$O$918=TYPE1)*(TYPE1&lt;&gt;"")+('Dvd Calendar'!$O$918=TYPE2)*(TYPE2&lt;&gt;"")+('Dvd Calendar'!$O$918=TYPE3)*(TYPE3&lt;&gt;"")+('Dvd Calendar'!$O$918=TYPE4)*(TYPE4&lt;&gt;"")+('Dvd Calendar'!$O$918=SPECIAL_LBL)*(INC_SPECIALS="Y"))=0,"",'Dvd Calendar'!$O$916)))</f>
        <v/>
      </c>
      <c r="N94" s="110">
        <f>IF(EP94="","",IF(ISNUMBER('Dvd Calendar'!$P$916)=FALSE,"",IF((('Dvd Calendar'!$P$918=TYPE1)*(TYPE1&lt;&gt;"")+('Dvd Calendar'!$P$918=TYPE2)*(TYPE2&lt;&gt;"")+('Dvd Calendar'!$P$918=TYPE3)*(TYPE3&lt;&gt;"")+('Dvd Calendar'!$P$918=TYPE4)*(TYPE4&lt;&gt;"")+('Dvd Calendar'!$P$918=SPECIAL_LBL)*(INC_SPECIALS="Y"))=0,"",'Dvd Calendar'!$P$916)))</f>
        <v/>
      </c>
      <c r="O94" s="110">
        <f>IF(EQ94="","",IF(ISNUMBER('Dvd Calendar'!$Q$916)=FALSE,"",IF((('Dvd Calendar'!$Q$918=TYPE1)*(TYPE1&lt;&gt;"")+('Dvd Calendar'!$Q$918=TYPE2)*(TYPE2&lt;&gt;"")+('Dvd Calendar'!$Q$918=TYPE3)*(TYPE3&lt;&gt;"")+('Dvd Calendar'!$Q$918=TYPE4)*(TYPE4&lt;&gt;"")+('Dvd Calendar'!$Q$918=SPECIAL_LBL)*(INC_SPECIALS="Y"))=0,"",'Dvd Calendar'!$Q$916)))</f>
        <v/>
      </c>
      <c r="P94" s="110">
        <f>IF(ER94="","",IF(ISNUMBER('Dvd Calendar'!$R$916)=FALSE,"",IF((('Dvd Calendar'!$R$918=TYPE1)*(TYPE1&lt;&gt;"")+('Dvd Calendar'!$R$918=TYPE2)*(TYPE2&lt;&gt;"")+('Dvd Calendar'!$R$918=TYPE3)*(TYPE3&lt;&gt;"")+('Dvd Calendar'!$R$918=TYPE4)*(TYPE4&lt;&gt;"")+('Dvd Calendar'!$R$918=SPECIAL_LBL)*(INC_SPECIALS="Y"))=0,"",'Dvd Calendar'!$R$916)))</f>
        <v/>
      </c>
      <c r="Q94" s="110">
        <f>IF(ES94="","",IF(ISNUMBER('Dvd Calendar'!$S$916)=FALSE,"",IF((('Dvd Calendar'!$S$918=TYPE1)*(TYPE1&lt;&gt;"")+('Dvd Calendar'!$S$918=TYPE2)*(TYPE2&lt;&gt;"")+('Dvd Calendar'!$S$918=TYPE3)*(TYPE3&lt;&gt;"")+('Dvd Calendar'!$S$918=TYPE4)*(TYPE4&lt;&gt;"")+('Dvd Calendar'!$S$918=SPECIAL_LBL)*(INC_SPECIALS="Y"))=0,"",'Dvd Calendar'!$S$916)))</f>
        <v/>
      </c>
      <c r="R94" s="110">
        <f>IF(ET94="","",IF(ISNUMBER('Dvd Calendar'!$T$916)=FALSE,"",IF((('Dvd Calendar'!$T$918=TYPE1)*(TYPE1&lt;&gt;"")+('Dvd Calendar'!$T$918=TYPE2)*(TYPE2&lt;&gt;"")+('Dvd Calendar'!$T$918=TYPE3)*(TYPE3&lt;&gt;"")+('Dvd Calendar'!$T$918=TYPE4)*(TYPE4&lt;&gt;"")+('Dvd Calendar'!$T$918=SPECIAL_LBL)*(INC_SPECIALS="Y"))=0,"",'Dvd Calendar'!$T$916)))</f>
        <v/>
      </c>
      <c r="S94" s="110">
        <f>IF(EU94="","",IF(ISNUMBER('Dvd Calendar'!$U$916)=FALSE,"",IF((('Dvd Calendar'!$U$918=TYPE1)*(TYPE1&lt;&gt;"")+('Dvd Calendar'!$U$918=TYPE2)*(TYPE2&lt;&gt;"")+('Dvd Calendar'!$U$918=TYPE3)*(TYPE3&lt;&gt;"")+('Dvd Calendar'!$U$918=TYPE4)*(TYPE4&lt;&gt;"")+('Dvd Calendar'!$U$918=SPECIAL_LBL)*(INC_SPECIALS="Y"))=0,"",'Dvd Calendar'!$U$916)))</f>
        <v/>
      </c>
      <c r="T94" s="110">
        <f>IF(EV94="","",IF(ISNUMBER('Dvd Calendar'!$V$916)=FALSE,"",IF((('Dvd Calendar'!$V$918=TYPE1)*(TYPE1&lt;&gt;"")+('Dvd Calendar'!$V$918=TYPE2)*(TYPE2&lt;&gt;"")+('Dvd Calendar'!$V$918=TYPE3)*(TYPE3&lt;&gt;"")+('Dvd Calendar'!$V$918=TYPE4)*(TYPE4&lt;&gt;"")+('Dvd Calendar'!$V$918=SPECIAL_LBL)*(INC_SPECIALS="Y"))=0,"",'Dvd Calendar'!$V$916)))</f>
        <v/>
      </c>
      <c r="U94" s="110">
        <f>IF(EW94="","",IF(ISNUMBER('Dvd Calendar'!$W$916)=FALSE,"",IF((('Dvd Calendar'!$W$918=TYPE1)*(TYPE1&lt;&gt;"")+('Dvd Calendar'!$W$918=TYPE2)*(TYPE2&lt;&gt;"")+('Dvd Calendar'!$W$918=TYPE3)*(TYPE3&lt;&gt;"")+('Dvd Calendar'!$W$918=TYPE4)*(TYPE4&lt;&gt;"")+('Dvd Calendar'!$W$918=SPECIAL_LBL)*(INC_SPECIALS="Y"))=0,"",'Dvd Calendar'!$W$916)))</f>
        <v/>
      </c>
      <c r="V94" s="110">
        <f>IF(EX94="","",IF(ISNUMBER('Dvd Calendar'!$X$916)=FALSE,"",IF((('Dvd Calendar'!$X$918=TYPE1)*(TYPE1&lt;&gt;"")+('Dvd Calendar'!$X$918=TYPE2)*(TYPE2&lt;&gt;"")+('Dvd Calendar'!$X$918=TYPE3)*(TYPE3&lt;&gt;"")+('Dvd Calendar'!$X$918=TYPE4)*(TYPE4&lt;&gt;"")+('Dvd Calendar'!$X$918=SPECIAL_LBL)*(INC_SPECIALS="Y"))=0,"",'Dvd Calendar'!$X$916)))</f>
        <v/>
      </c>
      <c r="W94" s="110">
        <f>IF(EY94="","",IF(ISNUMBER('Dvd Calendar'!$Y$916)=FALSE,"",IF((('Dvd Calendar'!$Y$918=TYPE1)*(TYPE1&lt;&gt;"")+('Dvd Calendar'!$Y$918=TYPE2)*(TYPE2&lt;&gt;"")+('Dvd Calendar'!$Y$918=TYPE3)*(TYPE3&lt;&gt;"")+('Dvd Calendar'!$Y$918=TYPE4)*(TYPE4&lt;&gt;"")+('Dvd Calendar'!$Y$918=SPECIAL_LBL)*(INC_SPECIALS="Y"))=0,"",'Dvd Calendar'!$Y$916)))</f>
        <v/>
      </c>
      <c r="X94" s="110">
        <f>IF(EZ94="","",IF(ISNUMBER('Dvd Calendar'!$Z$916)=FALSE,"",IF((('Dvd Calendar'!$Z$918=TYPE1)*(TYPE1&lt;&gt;"")+('Dvd Calendar'!$Z$918=TYPE2)*(TYPE2&lt;&gt;"")+('Dvd Calendar'!$Z$918=TYPE3)*(TYPE3&lt;&gt;"")+('Dvd Calendar'!$Z$918=TYPE4)*(TYPE4&lt;&gt;"")+('Dvd Calendar'!$Z$918=SPECIAL_LBL)*(INC_SPECIALS="Y"))=0,"",'Dvd Calendar'!$Z$916)))</f>
        <v/>
      </c>
      <c r="Y94" s="110">
        <f>IF(FA94="","",IF(ISNUMBER('Dvd Calendar'!$AA$916)=FALSE,"",IF((('Dvd Calendar'!$AA$918=TYPE1)*(TYPE1&lt;&gt;"")+('Dvd Calendar'!$AA$918=TYPE2)*(TYPE2&lt;&gt;"")+('Dvd Calendar'!$AA$918=TYPE3)*(TYPE3&lt;&gt;"")+('Dvd Calendar'!$AA$918=TYPE4)*(TYPE4&lt;&gt;"")+('Dvd Calendar'!$AA$918=SPECIAL_LBL)*(INC_SPECIALS="Y"))=0,"",'Dvd Calendar'!$AA$916)))</f>
        <v/>
      </c>
      <c r="Z94" s="110">
        <f>IF(FB94="","",IF(ISNUMBER('Dvd Calendar'!$AB$916)=FALSE,"",IF((('Dvd Calendar'!$AB$918=TYPE1)*(TYPE1&lt;&gt;"")+('Dvd Calendar'!$AB$918=TYPE2)*(TYPE2&lt;&gt;"")+('Dvd Calendar'!$AB$918=TYPE3)*(TYPE3&lt;&gt;"")+('Dvd Calendar'!$AB$918=TYPE4)*(TYPE4&lt;&gt;"")+('Dvd Calendar'!$AB$918=SPECIAL_LBL)*(INC_SPECIALS="Y"))=0,"",'Dvd Calendar'!$AB$916)))</f>
        <v/>
      </c>
      <c r="AA94" s="110">
        <f>IF(FC94="","",IF(ISNUMBER('Dvd Calendar'!$AC$916)=FALSE,"",IF((('Dvd Calendar'!$AC$918=TYPE1)*(TYPE1&lt;&gt;"")+('Dvd Calendar'!$AC$918=TYPE2)*(TYPE2&lt;&gt;"")+('Dvd Calendar'!$AC$918=TYPE3)*(TYPE3&lt;&gt;"")+('Dvd Calendar'!$AC$918=TYPE4)*(TYPE4&lt;&gt;"")+('Dvd Calendar'!$AC$918=SPECIAL_LBL)*(INC_SPECIALS="Y"))=0,"",'Dvd Calendar'!$AC$916)))</f>
        <v/>
      </c>
      <c r="AB94" s="110">
        <f>IF(FD94="","",IF(ISNUMBER('Dvd Calendar'!$AD$916)=FALSE,"",IF((('Dvd Calendar'!$AD$918=TYPE1)*(TYPE1&lt;&gt;"")+('Dvd Calendar'!$AD$918=TYPE2)*(TYPE2&lt;&gt;"")+('Dvd Calendar'!$AD$918=TYPE3)*(TYPE3&lt;&gt;"")+('Dvd Calendar'!$AD$918=TYPE4)*(TYPE4&lt;&gt;"")+('Dvd Calendar'!$AD$918=SPECIAL_LBL)*(INC_SPECIALS="Y"))=0,"",'Dvd Calendar'!$AD$916)))</f>
        <v/>
      </c>
      <c r="AC94" s="110">
        <f>IF(FE94="","",IF(ISNUMBER('Dvd Calendar'!$AE$916)=FALSE,"",IF((('Dvd Calendar'!$AE$918=TYPE1)*(TYPE1&lt;&gt;"")+('Dvd Calendar'!$AE$918=TYPE2)*(TYPE2&lt;&gt;"")+('Dvd Calendar'!$AE$918=TYPE3)*(TYPE3&lt;&gt;"")+('Dvd Calendar'!$AE$918=TYPE4)*(TYPE4&lt;&gt;"")+('Dvd Calendar'!$AE$918=SPECIAL_LBL)*(INC_SPECIALS="Y"))=0,"",'Dvd Calendar'!$AE$916)))</f>
        <v/>
      </c>
      <c r="AD94" s="110">
        <f>IF(FF94="","",IF(ISNUMBER('Dvd Calendar'!$AF$916)=FALSE,"",IF((('Dvd Calendar'!$AF$918=TYPE1)*(TYPE1&lt;&gt;"")+('Dvd Calendar'!$AF$918=TYPE2)*(TYPE2&lt;&gt;"")+('Dvd Calendar'!$AF$918=TYPE3)*(TYPE3&lt;&gt;"")+('Dvd Calendar'!$AF$918=TYPE4)*(TYPE4&lt;&gt;"")+('Dvd Calendar'!$AF$918=SPECIAL_LBL)*(INC_SPECIALS="Y"))=0,"",'Dvd Calendar'!$AF$916)))</f>
        <v/>
      </c>
      <c r="AE94" s="110">
        <f>IF(FG94="","",IF(ISNUMBER('Dvd Calendar'!$AG$916)=FALSE,"",IF((('Dvd Calendar'!$AG$918=TYPE1)*(TYPE1&lt;&gt;"")+('Dvd Calendar'!$AG$918=TYPE2)*(TYPE2&lt;&gt;"")+('Dvd Calendar'!$AG$918=TYPE3)*(TYPE3&lt;&gt;"")+('Dvd Calendar'!$AG$918=TYPE4)*(TYPE4&lt;&gt;"")+('Dvd Calendar'!$AG$918=SPECIAL_LBL)*(INC_SPECIALS="Y"))=0,"",'Dvd Calendar'!$AG$916)))</f>
        <v/>
      </c>
      <c r="AF94" s="110">
        <f>IF(FH94="","",IF(ISNUMBER('Dvd Calendar'!$AH$916)=FALSE,"",IF((('Dvd Calendar'!$AH$918=TYPE1)*(TYPE1&lt;&gt;"")+('Dvd Calendar'!$AH$918=TYPE2)*(TYPE2&lt;&gt;"")+('Dvd Calendar'!$AH$918=TYPE3)*(TYPE3&lt;&gt;"")+('Dvd Calendar'!$AH$918=TYPE4)*(TYPE4&lt;&gt;"")+('Dvd Calendar'!$AH$918=SPECIAL_LBL)*(INC_SPECIALS="Y"))=0,"",'Dvd Calendar'!$AH$916)))</f>
        <v/>
      </c>
      <c r="AG94" s="110">
        <f>IF(FI94="","",IF(ISNUMBER('Dvd Calendar'!$AI$916)=FALSE,"",IF((('Dvd Calendar'!$AI$918=TYPE1)*(TYPE1&lt;&gt;"")+('Dvd Calendar'!$AI$918=TYPE2)*(TYPE2&lt;&gt;"")+('Dvd Calendar'!$AI$918=TYPE3)*(TYPE3&lt;&gt;"")+('Dvd Calendar'!$AI$918=TYPE4)*(TYPE4&lt;&gt;"")+('Dvd Calendar'!$AI$918=SPECIAL_LBL)*(INC_SPECIALS="Y"))=0,"",'Dvd Calendar'!$AI$916)))</f>
        <v/>
      </c>
      <c r="AH94" s="110">
        <f>IF(FJ94="","",IF(ISNUMBER('Dvd Calendar'!$AJ$916)=FALSE,"",IF((('Dvd Calendar'!$AJ$918=TYPE1)*(TYPE1&lt;&gt;"")+('Dvd Calendar'!$AJ$918=TYPE2)*(TYPE2&lt;&gt;"")+('Dvd Calendar'!$AJ$918=TYPE3)*(TYPE3&lt;&gt;"")+('Dvd Calendar'!$AJ$918=TYPE4)*(TYPE4&lt;&gt;"")+('Dvd Calendar'!$AJ$918=SPECIAL_LBL)*(INC_SPECIALS="Y"))=0,"",'Dvd Calendar'!$AJ$916)))</f>
        <v/>
      </c>
      <c r="AI94" s="110">
        <f>IF(FK94="","",IF(ISNUMBER('Dvd Calendar'!$AK$916)=FALSE,"",IF((('Dvd Calendar'!$AK$918=TYPE1)*(TYPE1&lt;&gt;"")+('Dvd Calendar'!$AK$918=TYPE2)*(TYPE2&lt;&gt;"")+('Dvd Calendar'!$AK$918=TYPE3)*(TYPE3&lt;&gt;"")+('Dvd Calendar'!$AK$918=TYPE4)*(TYPE4&lt;&gt;"")+('Dvd Calendar'!$AK$918=SPECIAL_LBL)*(INC_SPECIALS="Y"))=0,"",'Dvd Calendar'!$AK$916)))</f>
        <v/>
      </c>
      <c r="AJ94" s="110">
        <f>IF(FL94="","",IF(ISNUMBER('Dvd Calendar'!$AL$916)=FALSE,"",IF((('Dvd Calendar'!$AL$918=TYPE1)*(TYPE1&lt;&gt;"")+('Dvd Calendar'!$AL$918=TYPE2)*(TYPE2&lt;&gt;"")+('Dvd Calendar'!$AL$918=TYPE3)*(TYPE3&lt;&gt;"")+('Dvd Calendar'!$AL$918=TYPE4)*(TYPE4&lt;&gt;"")+('Dvd Calendar'!$AL$918=SPECIAL_LBL)*(INC_SPECIALS="Y"))=0,"",'Dvd Calendar'!$AL$916)))</f>
        <v/>
      </c>
      <c r="AK94" s="110">
        <f>IF(FM94="","",IF(ISNUMBER('Dvd Calendar'!$AM$916)=FALSE,"",IF((('Dvd Calendar'!$AM$918=TYPE1)*(TYPE1&lt;&gt;"")+('Dvd Calendar'!$AM$918=TYPE2)*(TYPE2&lt;&gt;"")+('Dvd Calendar'!$AM$918=TYPE3)*(TYPE3&lt;&gt;"")+('Dvd Calendar'!$AM$918=TYPE4)*(TYPE4&lt;&gt;"")+('Dvd Calendar'!$AM$918=SPECIAL_LBL)*(INC_SPECIALS="Y"))=0,"",'Dvd Calendar'!$AM$916)))</f>
        <v/>
      </c>
      <c r="AL94" s="110">
        <f>IF(FN94="","",IF(ISNUMBER('Dvd Calendar'!$AN$916)=FALSE,"",IF((('Dvd Calendar'!$AN$918=TYPE1)*(TYPE1&lt;&gt;"")+('Dvd Calendar'!$AN$918=TYPE2)*(TYPE2&lt;&gt;"")+('Dvd Calendar'!$AN$918=TYPE3)*(TYPE3&lt;&gt;"")+('Dvd Calendar'!$AN$918=TYPE4)*(TYPE4&lt;&gt;"")+('Dvd Calendar'!$AN$918=SPECIAL_LBL)*(INC_SPECIALS="Y"))=0,"",'Dvd Calendar'!$AN$916)))</f>
        <v/>
      </c>
      <c r="AM94" s="110">
        <f>IF(FO94="","",IF(ISNUMBER('Dvd Calendar'!$AO$916)=FALSE,"",IF((('Dvd Calendar'!$AO$918=TYPE1)*(TYPE1&lt;&gt;"")+('Dvd Calendar'!$AO$918=TYPE2)*(TYPE2&lt;&gt;"")+('Dvd Calendar'!$AO$918=TYPE3)*(TYPE3&lt;&gt;"")+('Dvd Calendar'!$AO$918=TYPE4)*(TYPE4&lt;&gt;"")+('Dvd Calendar'!$AO$918=SPECIAL_LBL)*(INC_SPECIALS="Y"))=0,"",'Dvd Calendar'!$AO$916)))</f>
        <v/>
      </c>
      <c r="AN94" s="110">
        <f>IF(FP94="","",IF(ISNUMBER('Dvd Calendar'!$AP$916)=FALSE,"",IF((('Dvd Calendar'!$AP$918=TYPE1)*(TYPE1&lt;&gt;"")+('Dvd Calendar'!$AP$918=TYPE2)*(TYPE2&lt;&gt;"")+('Dvd Calendar'!$AP$918=TYPE3)*(TYPE3&lt;&gt;"")+('Dvd Calendar'!$AP$918=TYPE4)*(TYPE4&lt;&gt;"")+('Dvd Calendar'!$AP$918=SPECIAL_LBL)*(INC_SPECIALS="Y"))=0,"",'Dvd Calendar'!$AP$916)))</f>
        <v/>
      </c>
      <c r="AO94" s="110">
        <f>IF(FQ94="","",IF(ISNUMBER('Dvd Calendar'!$AQ$916)=FALSE,"",IF((('Dvd Calendar'!$AQ$918=TYPE1)*(TYPE1&lt;&gt;"")+('Dvd Calendar'!$AQ$918=TYPE2)*(TYPE2&lt;&gt;"")+('Dvd Calendar'!$AQ$918=TYPE3)*(TYPE3&lt;&gt;"")+('Dvd Calendar'!$AQ$918=TYPE4)*(TYPE4&lt;&gt;"")+('Dvd Calendar'!$AQ$918=SPECIAL_LBL)*(INC_SPECIALS="Y"))=0,"",'Dvd Calendar'!$AQ$916)))</f>
        <v/>
      </c>
      <c r="AP94" s="110">
        <f>IF(FR94="","",IF(ISNUMBER('Dvd Calendar'!$AR$916)=FALSE,"",IF((('Dvd Calendar'!$AR$918=TYPE1)*(TYPE1&lt;&gt;"")+('Dvd Calendar'!$AR$918=TYPE2)*(TYPE2&lt;&gt;"")+('Dvd Calendar'!$AR$918=TYPE3)*(TYPE3&lt;&gt;"")+('Dvd Calendar'!$AR$918=TYPE4)*(TYPE4&lt;&gt;"")+('Dvd Calendar'!$AR$918=SPECIAL_LBL)*(INC_SPECIALS="Y"))=0,"",'Dvd Calendar'!$AR$916)))</f>
        <v/>
      </c>
      <c r="AQ94" s="110">
        <f>IF(FS94="","",IF(ISNUMBER('Dvd Calendar'!$E$921)=FALSE,"",'Dvd Calendar'!$E$921))</f>
        <v/>
      </c>
      <c r="AR94" s="110">
        <f>IF(FT94="","",IF(ISNUMBER('Dvd Calendar'!$F$921)=FALSE,"",'Dvd Calendar'!$F$921))</f>
        <v/>
      </c>
      <c r="AS94" s="110">
        <f>IF(FU94="","",IF(ISNUMBER('Dvd Calendar'!$G$921)=FALSE,"",'Dvd Calendar'!$G$921))</f>
        <v/>
      </c>
      <c r="AT94" s="110">
        <f>IF(FV94="","",IF(ISNUMBER('Dvd Calendar'!$H$921)=FALSE,"",'Dvd Calendar'!$H$921))</f>
        <v/>
      </c>
      <c r="AU94" s="110">
        <f>IF(FW94="","",IF(ISNUMBER('Dvd Calendar'!$I$921)=FALSE,"",'Dvd Calendar'!$I$921))</f>
        <v/>
      </c>
      <c r="AV94" s="110">
        <f>IF(FX94="","",IF(ISNUMBER('Dvd Calendar'!$J$921)=FALSE,"",'Dvd Calendar'!$J$921))</f>
        <v/>
      </c>
      <c r="AW94" s="110">
        <f>IF(FY94="","",IF(ISNUMBER('Dvd Calendar'!$K$921)=FALSE,"",'Dvd Calendar'!$K$921))</f>
        <v/>
      </c>
      <c r="AX94" s="110">
        <f>IF(FZ94="","",IF(ISNUMBER('Dvd Calendar'!$L$921)=FALSE,"",'Dvd Calendar'!$L$921))</f>
        <v/>
      </c>
      <c r="AY94" s="110">
        <f>IF(GA94="","",IF(ISNUMBER('Dvd Calendar'!$M$921)=FALSE,"",'Dvd Calendar'!$M$921))</f>
        <v/>
      </c>
      <c r="AZ94" s="110">
        <f>IF(GB94="","",IF(ISNUMBER('Dvd Calendar'!$N$921)=FALSE,"",'Dvd Calendar'!$N$921))</f>
        <v/>
      </c>
      <c r="BA94" s="110">
        <f>IF(GC94="","",IF(ISNUMBER('Dvd Calendar'!$O$921)=FALSE,"",'Dvd Calendar'!$O$921))</f>
        <v/>
      </c>
      <c r="BB94" s="110">
        <f>IF(GD94="","",IF(ISNUMBER('Dvd Calendar'!$P$921)=FALSE,"",'Dvd Calendar'!$P$921))</f>
        <v/>
      </c>
      <c r="BC94" s="110">
        <f>IF(GE94="","",IF(ISNUMBER('Dvd Calendar'!$Q$921)=FALSE,"",'Dvd Calendar'!$Q$921))</f>
        <v/>
      </c>
      <c r="BD94" s="110">
        <f>IF(GF94="","",IF(ISNUMBER('Dvd Calendar'!$R$921)=FALSE,"",'Dvd Calendar'!$R$921))</f>
        <v/>
      </c>
      <c r="BE94" s="110">
        <f>IF(GG94="","",IF(ISNUMBER('Dvd Calendar'!$S$921)=FALSE,"",'Dvd Calendar'!$S$921))</f>
        <v/>
      </c>
      <c r="BF94" s="110">
        <f>IF(GH94="","",IF(ISNUMBER('Dvd Calendar'!$T$921)=FALSE,"",'Dvd Calendar'!$T$921))</f>
        <v/>
      </c>
      <c r="BG94" s="110">
        <f>IF(GI94="","",IF(ISNUMBER('Dvd Calendar'!$U$921)=FALSE,"",'Dvd Calendar'!$U$921))</f>
        <v/>
      </c>
      <c r="BH94" s="110">
        <f>IF(GJ94="","",IF(ISNUMBER('Dvd Calendar'!$V$921)=FALSE,"",'Dvd Calendar'!$V$921))</f>
        <v/>
      </c>
      <c r="BI94" s="110">
        <f>IF(GK94="","",IF(ISNUMBER('Dvd Calendar'!$W$921)=FALSE,"",'Dvd Calendar'!$W$921))</f>
        <v/>
      </c>
      <c r="BJ94" s="110">
        <f>IF(GL94="","",IF(ISNUMBER('Dvd Calendar'!$X$921)=FALSE,"",'Dvd Calendar'!$X$921))</f>
        <v/>
      </c>
      <c r="BK94" s="110">
        <f>IF(GM94="","",IF(ISNUMBER('Dvd Calendar'!$Y$921)=FALSE,"",'Dvd Calendar'!$Y$921))</f>
        <v/>
      </c>
      <c r="BL94" s="110">
        <f>IF(GN94="","",IF(ISNUMBER('Dvd Calendar'!$Z$921)=FALSE,"",'Dvd Calendar'!$Z$921))</f>
        <v/>
      </c>
      <c r="BM94" s="110">
        <f>IF(GO94="","",IF(ISNUMBER('Dvd Calendar'!$AA$921)=FALSE,"",'Dvd Calendar'!$AA$921))</f>
        <v/>
      </c>
      <c r="BN94" s="110">
        <f>IF(GP94="","",IF(ISNUMBER('Dvd Calendar'!$AB$921)=FALSE,"",'Dvd Calendar'!$AB$921))</f>
        <v/>
      </c>
      <c r="BO94" s="110">
        <f>IF(GQ94="","",IF(ISNUMBER('Dvd Calendar'!$AC$921)=FALSE,"",'Dvd Calendar'!$AC$921))</f>
        <v/>
      </c>
      <c r="BQ94" s="110">
        <f>IF(C94="","",IFERROR(C94*HSI!$B$89*HSI!$G$89/HSI!$B$3,""))</f>
        <v/>
      </c>
      <c r="BR94" s="110">
        <f>IF(D94="","",IFERROR(D94*HSI!$B$89*HSI!$G$89/HSI!$B$3,""))</f>
        <v/>
      </c>
      <c r="BS94" s="110">
        <f>IF(E94="","",IFERROR(E94*HSI!$B$89*HSI!$G$89/HSI!$B$3,""))</f>
        <v/>
      </c>
      <c r="BT94" s="110">
        <f>IF(F94="","",IFERROR(F94*HSI!$B$89*HSI!$G$89/HSI!$B$3,""))</f>
        <v/>
      </c>
      <c r="BU94" s="110">
        <f>IF(G94="","",IFERROR(G94*HSI!$B$89*HSI!$G$89/HSI!$B$3,""))</f>
        <v/>
      </c>
      <c r="BV94" s="110">
        <f>IF(H94="","",IFERROR(H94*HSI!$B$89*HSI!$G$89/HSI!$B$3,""))</f>
        <v/>
      </c>
      <c r="BW94" s="110">
        <f>IF(I94="","",IFERROR(I94*HSI!$B$89*HSI!$G$89/HSI!$B$3,""))</f>
        <v/>
      </c>
      <c r="BX94" s="110">
        <f>IF(J94="","",IFERROR(J94*HSI!$B$89*HSI!$G$89/HSI!$B$3,""))</f>
        <v/>
      </c>
      <c r="BY94" s="110">
        <f>IF(K94="","",IFERROR(K94*HSI!$B$89*HSI!$G$89/HSI!$B$3,""))</f>
        <v/>
      </c>
      <c r="BZ94" s="110">
        <f>IF(L94="","",IFERROR(L94*HSI!$B$89*HSI!$G$89/HSI!$B$3,""))</f>
        <v/>
      </c>
      <c r="CA94" s="110">
        <f>IF(M94="","",IFERROR(M94*HSI!$B$89*HSI!$G$89/HSI!$B$3,""))</f>
        <v/>
      </c>
      <c r="CB94" s="110">
        <f>IF(N94="","",IFERROR(N94*HSI!$B$89*HSI!$G$89/HSI!$B$3,""))</f>
        <v/>
      </c>
      <c r="CC94" s="110">
        <f>IF(O94="","",IFERROR(O94*HSI!$B$89*HSI!$G$89/HSI!$B$3,""))</f>
        <v/>
      </c>
      <c r="CD94" s="110">
        <f>IF(P94="","",IFERROR(P94*HSI!$B$89*HSI!$G$89/HSI!$B$3,""))</f>
        <v/>
      </c>
      <c r="CE94" s="110">
        <f>IF(Q94="","",IFERROR(Q94*HSI!$B$89*HSI!$G$89/HSI!$B$3,""))</f>
        <v/>
      </c>
      <c r="CF94" s="110">
        <f>IF(R94="","",IFERROR(R94*HSI!$B$89*HSI!$G$89/HSI!$B$3,""))</f>
        <v/>
      </c>
      <c r="CG94" s="110">
        <f>IF(S94="","",IFERROR(S94*HSI!$B$89*HSI!$G$89/HSI!$B$3,""))</f>
        <v/>
      </c>
      <c r="CH94" s="110">
        <f>IF(T94="","",IFERROR(T94*HSI!$B$89*HSI!$G$89/HSI!$B$3,""))</f>
        <v/>
      </c>
      <c r="CI94" s="110">
        <f>IF(U94="","",IFERROR(U94*HSI!$B$89*HSI!$G$89/HSI!$B$3,""))</f>
        <v/>
      </c>
      <c r="CJ94" s="110">
        <f>IF(V94="","",IFERROR(V94*HSI!$B$89*HSI!$G$89/HSI!$B$3,""))</f>
        <v/>
      </c>
      <c r="CK94" s="110">
        <f>IF(W94="","",IFERROR(W94*HSI!$B$89*HSI!$G$89/HSI!$B$3,""))</f>
        <v/>
      </c>
      <c r="CL94" s="110">
        <f>IF(X94="","",IFERROR(X94*HSI!$B$89*HSI!$G$89/HSI!$B$3,""))</f>
        <v/>
      </c>
      <c r="CM94" s="110">
        <f>IF(Y94="","",IFERROR(Y94*HSI!$B$89*HSI!$G$89/HSI!$B$3,""))</f>
        <v/>
      </c>
      <c r="CN94" s="110">
        <f>IF(Z94="","",IFERROR(Z94*HSI!$B$89*HSI!$G$89/HSI!$B$3,""))</f>
        <v/>
      </c>
      <c r="CO94" s="110">
        <f>IF(AA94="","",IFERROR(AA94*HSI!$B$89*HSI!$G$89/HSI!$B$3,""))</f>
        <v/>
      </c>
      <c r="CP94" s="110">
        <f>IF(AB94="","",IFERROR(AB94*HSI!$B$89*HSI!$G$89/HSI!$B$3,""))</f>
        <v/>
      </c>
      <c r="CQ94" s="110">
        <f>IF(AC94="","",IFERROR(AC94*HSI!$B$89*HSI!$G$89/HSI!$B$3,""))</f>
        <v/>
      </c>
      <c r="CR94" s="110">
        <f>IF(AD94="","",IFERROR(AD94*HSI!$B$89*HSI!$G$89/HSI!$B$3,""))</f>
        <v/>
      </c>
      <c r="CS94" s="110">
        <f>IF(AE94="","",IFERROR(AE94*HSI!$B$89*HSI!$G$89/HSI!$B$3,""))</f>
        <v/>
      </c>
      <c r="CT94" s="110">
        <f>IF(AF94="","",IFERROR(AF94*HSI!$B$89*HSI!$G$89/HSI!$B$3,""))</f>
        <v/>
      </c>
      <c r="CU94" s="110">
        <f>IF(AG94="","",IFERROR(AG94*HSI!$B$89*HSI!$G$89/HSI!$B$3,""))</f>
        <v/>
      </c>
      <c r="CV94" s="110">
        <f>IF(AH94="","",IFERROR(AH94*HSI!$B$89*HSI!$G$89/HSI!$B$3,""))</f>
        <v/>
      </c>
      <c r="CW94" s="110">
        <f>IF(AI94="","",IFERROR(AI94*HSI!$B$89*HSI!$G$89/HSI!$B$3,""))</f>
        <v/>
      </c>
      <c r="CX94" s="110">
        <f>IF(AJ94="","",IFERROR(AJ94*HSI!$B$89*HSI!$G$89/HSI!$B$3,""))</f>
        <v/>
      </c>
      <c r="CY94" s="110">
        <f>IF(AK94="","",IFERROR(AK94*HSI!$B$89*HSI!$G$89/HSI!$B$3,""))</f>
        <v/>
      </c>
      <c r="CZ94" s="110">
        <f>IF(AL94="","",IFERROR(AL94*HSI!$B$89*HSI!$G$89/HSI!$B$3,""))</f>
        <v/>
      </c>
      <c r="DA94" s="110">
        <f>IF(AM94="","",IFERROR(AM94*HSI!$B$89*HSI!$G$89/HSI!$B$3,""))</f>
        <v/>
      </c>
      <c r="DB94" s="110">
        <f>IF(AN94="","",IFERROR(AN94*HSI!$B$89*HSI!$G$89/HSI!$B$3,""))</f>
        <v/>
      </c>
      <c r="DC94" s="110">
        <f>IF(AO94="","",IFERROR(AO94*HSI!$B$89*HSI!$G$89/HSI!$B$3,""))</f>
        <v/>
      </c>
      <c r="DD94" s="110">
        <f>IF(AP94="","",IFERROR(AP94*HSI!$B$89*HSI!$G$89/HSI!$B$3,""))</f>
        <v/>
      </c>
      <c r="DE94" s="110">
        <f>IF(AQ94="","",IFERROR(AQ94*HSI!$B$89*HSI!$G$89/HSI!$B$3,""))</f>
        <v/>
      </c>
      <c r="DF94" s="110">
        <f>IF(AR94="","",IFERROR(AR94*HSI!$B$89*HSI!$G$89/HSI!$B$3,""))</f>
        <v/>
      </c>
      <c r="DG94" s="110">
        <f>IF(AS94="","",IFERROR(AS94*HSI!$B$89*HSI!$G$89/HSI!$B$3,""))</f>
        <v/>
      </c>
      <c r="DH94" s="110">
        <f>IF(AT94="","",IFERROR(AT94*HSI!$B$89*HSI!$G$89/HSI!$B$3,""))</f>
        <v/>
      </c>
      <c r="DI94" s="110">
        <f>IF(AU94="","",IFERROR(AU94*HSI!$B$89*HSI!$G$89/HSI!$B$3,""))</f>
        <v/>
      </c>
      <c r="DJ94" s="110">
        <f>IF(AV94="","",IFERROR(AV94*HSI!$B$89*HSI!$G$89/HSI!$B$3,""))</f>
        <v/>
      </c>
      <c r="DK94" s="110">
        <f>IF(AW94="","",IFERROR(AW94*HSI!$B$89*HSI!$G$89/HSI!$B$3,""))</f>
        <v/>
      </c>
      <c r="DL94" s="110">
        <f>IF(AX94="","",IFERROR(AX94*HSI!$B$89*HSI!$G$89/HSI!$B$3,""))</f>
        <v/>
      </c>
      <c r="DM94" s="110">
        <f>IF(AY94="","",IFERROR(AY94*HSI!$B$89*HSI!$G$89/HSI!$B$3,""))</f>
        <v/>
      </c>
      <c r="DN94" s="110">
        <f>IF(AZ94="","",IFERROR(AZ94*HSI!$B$89*HSI!$G$89/HSI!$B$3,""))</f>
        <v/>
      </c>
      <c r="DO94" s="110">
        <f>IF(BA94="","",IFERROR(BA94*HSI!$B$89*HSI!$G$89/HSI!$B$3,""))</f>
        <v/>
      </c>
      <c r="DP94" s="110">
        <f>IF(BB94="","",IFERROR(BB94*HSI!$B$89*HSI!$G$89/HSI!$B$3,""))</f>
        <v/>
      </c>
      <c r="DQ94" s="110">
        <f>IF(BC94="","",IFERROR(BC94*HSI!$B$89*HSI!$G$89/HSI!$B$3,""))</f>
        <v/>
      </c>
      <c r="DR94" s="110">
        <f>IF(BD94="","",IFERROR(BD94*HSI!$B$89*HSI!$G$89/HSI!$B$3,""))</f>
        <v/>
      </c>
      <c r="DS94" s="110">
        <f>IF(BE94="","",IFERROR(BE94*HSI!$B$89*HSI!$G$89/HSI!$B$3,""))</f>
        <v/>
      </c>
      <c r="DT94" s="110">
        <f>IF(BF94="","",IFERROR(BF94*HSI!$B$89*HSI!$G$89/HSI!$B$3,""))</f>
        <v/>
      </c>
      <c r="DU94" s="110">
        <f>IF(BG94="","",IFERROR(BG94*HSI!$B$89*HSI!$G$89/HSI!$B$3,""))</f>
        <v/>
      </c>
      <c r="DV94" s="110">
        <f>IF(BH94="","",IFERROR(BH94*HSI!$B$89*HSI!$G$89/HSI!$B$3,""))</f>
        <v/>
      </c>
      <c r="DW94" s="110">
        <f>IF(BI94="","",IFERROR(BI94*HSI!$B$89*HSI!$G$89/HSI!$B$3,""))</f>
        <v/>
      </c>
      <c r="DX94" s="110">
        <f>IF(BJ94="","",IFERROR(BJ94*HSI!$B$89*HSI!$G$89/HSI!$B$3,""))</f>
        <v/>
      </c>
      <c r="DY94" s="110">
        <f>IF(BK94="","",IFERROR(BK94*HSI!$B$89*HSI!$G$89/HSI!$B$3,""))</f>
        <v/>
      </c>
      <c r="DZ94" s="110">
        <f>IF(BL94="","",IFERROR(BL94*HSI!$B$89*HSI!$G$89/HSI!$B$3,""))</f>
        <v/>
      </c>
      <c r="EA94" s="110">
        <f>IF(BM94="","",IFERROR(BM94*HSI!$B$89*HSI!$G$89/HSI!$B$3,""))</f>
        <v/>
      </c>
      <c r="EB94" s="110">
        <f>IF(BN94="","",IFERROR(BN94*HSI!$B$89*HSI!$G$89/HSI!$B$3,""))</f>
        <v/>
      </c>
      <c r="EC94" s="110">
        <f>IF(BO94="","",IFERROR(BO94*HSI!$B$89*HSI!$G$89/HSI!$B$3,""))</f>
        <v/>
      </c>
      <c r="EE94" s="39">
        <f>IF(N('Dvd Calendar'!$E$913)=0,"",IF(('Dvd Calendar'!$E$913&gt;=GRID_FROM)*('Dvd Calendar'!$E$913&lt;=GRID_TO)*((('Dvd Calendar'!$E$913&lt;=VAL_DATE)+(COUNTIF('Dvd Calendar'!$E$920:$AR$920,'Dvd Calendar'!$E$913)=0))&gt;0)=0,"",'Dvd Calendar'!$E$913*1000000000+ISNUMBER('Dvd Calendar'!$E$916)*100000000+('Dvd Calendar'!$E$918=SPECIAL_LBL)*10000000+(N('Dvd Calendar'!$E$912)&gt;0)*(N('Dvd Calendar'!$E$912)&lt;=VAL_SERIAL)*1000000+83*1000+1))</f>
        <v/>
      </c>
      <c r="EF94" s="39">
        <f>IF(N('Dvd Calendar'!$F$913)=0,"",IF(('Dvd Calendar'!$F$913&gt;=GRID_FROM)*('Dvd Calendar'!$F$913&lt;=GRID_TO)*((('Dvd Calendar'!$F$913&lt;=VAL_DATE)+(COUNTIF('Dvd Calendar'!$E$920:$AR$920,'Dvd Calendar'!$F$913)=0))&gt;0)=0,"",'Dvd Calendar'!$F$913*1000000000+ISNUMBER('Dvd Calendar'!$F$916)*100000000+('Dvd Calendar'!$F$918=SPECIAL_LBL)*10000000+(N('Dvd Calendar'!$F$912)&gt;0)*(N('Dvd Calendar'!$F$912)&lt;=VAL_SERIAL)*1000000+83*1000+2))</f>
        <v/>
      </c>
      <c r="EG94" s="39">
        <f>IF(N('Dvd Calendar'!$G$913)=0,"",IF(('Dvd Calendar'!$G$913&gt;=GRID_FROM)*('Dvd Calendar'!$G$913&lt;=GRID_TO)*((('Dvd Calendar'!$G$913&lt;=VAL_DATE)+(COUNTIF('Dvd Calendar'!$E$920:$AR$920,'Dvd Calendar'!$G$913)=0))&gt;0)=0,"",'Dvd Calendar'!$G$913*1000000000+ISNUMBER('Dvd Calendar'!$G$916)*100000000+('Dvd Calendar'!$G$918=SPECIAL_LBL)*10000000+(N('Dvd Calendar'!$G$912)&gt;0)*(N('Dvd Calendar'!$G$912)&lt;=VAL_SERIAL)*1000000+83*1000+3))</f>
        <v/>
      </c>
      <c r="EH94" s="39">
        <f>IF(N('Dvd Calendar'!$H$913)=0,"",IF(('Dvd Calendar'!$H$913&gt;=GRID_FROM)*('Dvd Calendar'!$H$913&lt;=GRID_TO)*((('Dvd Calendar'!$H$913&lt;=VAL_DATE)+(COUNTIF('Dvd Calendar'!$E$920:$AR$920,'Dvd Calendar'!$H$913)=0))&gt;0)=0,"",'Dvd Calendar'!$H$913*1000000000+ISNUMBER('Dvd Calendar'!$H$916)*100000000+('Dvd Calendar'!$H$918=SPECIAL_LBL)*10000000+(N('Dvd Calendar'!$H$912)&gt;0)*(N('Dvd Calendar'!$H$912)&lt;=VAL_SERIAL)*1000000+83*1000+4))</f>
        <v/>
      </c>
      <c r="EI94" s="39">
        <f>IF(N('Dvd Calendar'!$I$913)=0,"",IF(('Dvd Calendar'!$I$913&gt;=GRID_FROM)*('Dvd Calendar'!$I$913&lt;=GRID_TO)*((('Dvd Calendar'!$I$913&lt;=VAL_DATE)+(COUNTIF('Dvd Calendar'!$E$920:$AR$920,'Dvd Calendar'!$I$913)=0))&gt;0)=0,"",'Dvd Calendar'!$I$913*1000000000+ISNUMBER('Dvd Calendar'!$I$916)*100000000+('Dvd Calendar'!$I$918=SPECIAL_LBL)*10000000+(N('Dvd Calendar'!$I$912)&gt;0)*(N('Dvd Calendar'!$I$912)&lt;=VAL_SERIAL)*1000000+83*1000+5))</f>
        <v/>
      </c>
      <c r="EJ94" s="39">
        <f>IF(N('Dvd Calendar'!$J$913)=0,"",IF(('Dvd Calendar'!$J$913&gt;=GRID_FROM)*('Dvd Calendar'!$J$913&lt;=GRID_TO)*((('Dvd Calendar'!$J$913&lt;=VAL_DATE)+(COUNTIF('Dvd Calendar'!$E$920:$AR$920,'Dvd Calendar'!$J$913)=0))&gt;0)=0,"",'Dvd Calendar'!$J$913*1000000000+ISNUMBER('Dvd Calendar'!$J$916)*100000000+('Dvd Calendar'!$J$918=SPECIAL_LBL)*10000000+(N('Dvd Calendar'!$J$912)&gt;0)*(N('Dvd Calendar'!$J$912)&lt;=VAL_SERIAL)*1000000+83*1000+6))</f>
        <v/>
      </c>
      <c r="EK94" s="39">
        <f>IF(N('Dvd Calendar'!$K$913)=0,"",IF(('Dvd Calendar'!$K$913&gt;=GRID_FROM)*('Dvd Calendar'!$K$913&lt;=GRID_TO)*((('Dvd Calendar'!$K$913&lt;=VAL_DATE)+(COUNTIF('Dvd Calendar'!$E$920:$AR$920,'Dvd Calendar'!$K$913)=0))&gt;0)=0,"",'Dvd Calendar'!$K$913*1000000000+ISNUMBER('Dvd Calendar'!$K$916)*100000000+('Dvd Calendar'!$K$918=SPECIAL_LBL)*10000000+(N('Dvd Calendar'!$K$912)&gt;0)*(N('Dvd Calendar'!$K$912)&lt;=VAL_SERIAL)*1000000+83*1000+7))</f>
        <v/>
      </c>
      <c r="EL94" s="39">
        <f>IF(N('Dvd Calendar'!$L$913)=0,"",IF(('Dvd Calendar'!$L$913&gt;=GRID_FROM)*('Dvd Calendar'!$L$913&lt;=GRID_TO)*((('Dvd Calendar'!$L$913&lt;=VAL_DATE)+(COUNTIF('Dvd Calendar'!$E$920:$AR$920,'Dvd Calendar'!$L$913)=0))&gt;0)=0,"",'Dvd Calendar'!$L$913*1000000000+ISNUMBER('Dvd Calendar'!$L$916)*100000000+('Dvd Calendar'!$L$918=SPECIAL_LBL)*10000000+(N('Dvd Calendar'!$L$912)&gt;0)*(N('Dvd Calendar'!$L$912)&lt;=VAL_SERIAL)*1000000+83*1000+8))</f>
        <v/>
      </c>
      <c r="EM94" s="39">
        <f>IF(N('Dvd Calendar'!$M$913)=0,"",IF(('Dvd Calendar'!$M$913&gt;=GRID_FROM)*('Dvd Calendar'!$M$913&lt;=GRID_TO)*((('Dvd Calendar'!$M$913&lt;=VAL_DATE)+(COUNTIF('Dvd Calendar'!$E$920:$AR$920,'Dvd Calendar'!$M$913)=0))&gt;0)=0,"",'Dvd Calendar'!$M$913*1000000000+ISNUMBER('Dvd Calendar'!$M$916)*100000000+('Dvd Calendar'!$M$918=SPECIAL_LBL)*10000000+(N('Dvd Calendar'!$M$912)&gt;0)*(N('Dvd Calendar'!$M$912)&lt;=VAL_SERIAL)*1000000+83*1000+9))</f>
        <v/>
      </c>
      <c r="EN94" s="39">
        <f>IF(N('Dvd Calendar'!$N$913)=0,"",IF(('Dvd Calendar'!$N$913&gt;=GRID_FROM)*('Dvd Calendar'!$N$913&lt;=GRID_TO)*((('Dvd Calendar'!$N$913&lt;=VAL_DATE)+(COUNTIF('Dvd Calendar'!$E$920:$AR$920,'Dvd Calendar'!$N$913)=0))&gt;0)=0,"",'Dvd Calendar'!$N$913*1000000000+ISNUMBER('Dvd Calendar'!$N$916)*100000000+('Dvd Calendar'!$N$918=SPECIAL_LBL)*10000000+(N('Dvd Calendar'!$N$912)&gt;0)*(N('Dvd Calendar'!$N$912)&lt;=VAL_SERIAL)*1000000+83*1000+10))</f>
        <v/>
      </c>
      <c r="EO94" s="39">
        <f>IF(N('Dvd Calendar'!$O$913)=0,"",IF(('Dvd Calendar'!$O$913&gt;=GRID_FROM)*('Dvd Calendar'!$O$913&lt;=GRID_TO)*((('Dvd Calendar'!$O$913&lt;=VAL_DATE)+(COUNTIF('Dvd Calendar'!$E$920:$AR$920,'Dvd Calendar'!$O$913)=0))&gt;0)=0,"",'Dvd Calendar'!$O$913*1000000000+ISNUMBER('Dvd Calendar'!$O$916)*100000000+('Dvd Calendar'!$O$918=SPECIAL_LBL)*10000000+(N('Dvd Calendar'!$O$912)&gt;0)*(N('Dvd Calendar'!$O$912)&lt;=VAL_SERIAL)*1000000+83*1000+11))</f>
        <v/>
      </c>
      <c r="EP94" s="39">
        <f>IF(N('Dvd Calendar'!$P$913)=0,"",IF(('Dvd Calendar'!$P$913&gt;=GRID_FROM)*('Dvd Calendar'!$P$913&lt;=GRID_TO)*((('Dvd Calendar'!$P$913&lt;=VAL_DATE)+(COUNTIF('Dvd Calendar'!$E$920:$AR$920,'Dvd Calendar'!$P$913)=0))&gt;0)=0,"",'Dvd Calendar'!$P$913*1000000000+ISNUMBER('Dvd Calendar'!$P$916)*100000000+('Dvd Calendar'!$P$918=SPECIAL_LBL)*10000000+(N('Dvd Calendar'!$P$912)&gt;0)*(N('Dvd Calendar'!$P$912)&lt;=VAL_SERIAL)*1000000+83*1000+12))</f>
        <v/>
      </c>
      <c r="EQ94" s="39">
        <f>IF(N('Dvd Calendar'!$Q$913)=0,"",IF(('Dvd Calendar'!$Q$913&gt;=GRID_FROM)*('Dvd Calendar'!$Q$913&lt;=GRID_TO)*((('Dvd Calendar'!$Q$913&lt;=VAL_DATE)+(COUNTIF('Dvd Calendar'!$E$920:$AR$920,'Dvd Calendar'!$Q$913)=0))&gt;0)=0,"",'Dvd Calendar'!$Q$913*1000000000+ISNUMBER('Dvd Calendar'!$Q$916)*100000000+('Dvd Calendar'!$Q$918=SPECIAL_LBL)*10000000+(N('Dvd Calendar'!$Q$912)&gt;0)*(N('Dvd Calendar'!$Q$912)&lt;=VAL_SERIAL)*1000000+83*1000+13))</f>
        <v/>
      </c>
      <c r="ER94" s="39">
        <f>IF(N('Dvd Calendar'!$R$913)=0,"",IF(('Dvd Calendar'!$R$913&gt;=GRID_FROM)*('Dvd Calendar'!$R$913&lt;=GRID_TO)*((('Dvd Calendar'!$R$913&lt;=VAL_DATE)+(COUNTIF('Dvd Calendar'!$E$920:$AR$920,'Dvd Calendar'!$R$913)=0))&gt;0)=0,"",'Dvd Calendar'!$R$913*1000000000+ISNUMBER('Dvd Calendar'!$R$916)*100000000+('Dvd Calendar'!$R$918=SPECIAL_LBL)*10000000+(N('Dvd Calendar'!$R$912)&gt;0)*(N('Dvd Calendar'!$R$912)&lt;=VAL_SERIAL)*1000000+83*1000+14))</f>
        <v/>
      </c>
      <c r="ES94" s="39">
        <f>IF(N('Dvd Calendar'!$S$913)=0,"",IF(('Dvd Calendar'!$S$913&gt;=GRID_FROM)*('Dvd Calendar'!$S$913&lt;=GRID_TO)*((('Dvd Calendar'!$S$913&lt;=VAL_DATE)+(COUNTIF('Dvd Calendar'!$E$920:$AR$920,'Dvd Calendar'!$S$913)=0))&gt;0)=0,"",'Dvd Calendar'!$S$913*1000000000+ISNUMBER('Dvd Calendar'!$S$916)*100000000+('Dvd Calendar'!$S$918=SPECIAL_LBL)*10000000+(N('Dvd Calendar'!$S$912)&gt;0)*(N('Dvd Calendar'!$S$912)&lt;=VAL_SERIAL)*1000000+83*1000+15))</f>
        <v/>
      </c>
      <c r="ET94" s="39">
        <f>IF(N('Dvd Calendar'!$T$913)=0,"",IF(('Dvd Calendar'!$T$913&gt;=GRID_FROM)*('Dvd Calendar'!$T$913&lt;=GRID_TO)*((('Dvd Calendar'!$T$913&lt;=VAL_DATE)+(COUNTIF('Dvd Calendar'!$E$920:$AR$920,'Dvd Calendar'!$T$913)=0))&gt;0)=0,"",'Dvd Calendar'!$T$913*1000000000+ISNUMBER('Dvd Calendar'!$T$916)*100000000+('Dvd Calendar'!$T$918=SPECIAL_LBL)*10000000+(N('Dvd Calendar'!$T$912)&gt;0)*(N('Dvd Calendar'!$T$912)&lt;=VAL_SERIAL)*1000000+83*1000+16))</f>
        <v/>
      </c>
      <c r="EU94" s="39">
        <f>IF(N('Dvd Calendar'!$U$913)=0,"",IF(('Dvd Calendar'!$U$913&gt;=GRID_FROM)*('Dvd Calendar'!$U$913&lt;=GRID_TO)*((('Dvd Calendar'!$U$913&lt;=VAL_DATE)+(COUNTIF('Dvd Calendar'!$E$920:$AR$920,'Dvd Calendar'!$U$913)=0))&gt;0)=0,"",'Dvd Calendar'!$U$913*1000000000+ISNUMBER('Dvd Calendar'!$U$916)*100000000+('Dvd Calendar'!$U$918=SPECIAL_LBL)*10000000+(N('Dvd Calendar'!$U$912)&gt;0)*(N('Dvd Calendar'!$U$912)&lt;=VAL_SERIAL)*1000000+83*1000+17))</f>
        <v/>
      </c>
      <c r="EV94" s="39">
        <f>IF(N('Dvd Calendar'!$V$913)=0,"",IF(('Dvd Calendar'!$V$913&gt;=GRID_FROM)*('Dvd Calendar'!$V$913&lt;=GRID_TO)*((('Dvd Calendar'!$V$913&lt;=VAL_DATE)+(COUNTIF('Dvd Calendar'!$E$920:$AR$920,'Dvd Calendar'!$V$913)=0))&gt;0)=0,"",'Dvd Calendar'!$V$913*1000000000+ISNUMBER('Dvd Calendar'!$V$916)*100000000+('Dvd Calendar'!$V$918=SPECIAL_LBL)*10000000+(N('Dvd Calendar'!$V$912)&gt;0)*(N('Dvd Calendar'!$V$912)&lt;=VAL_SERIAL)*1000000+83*1000+18))</f>
        <v/>
      </c>
      <c r="EW94" s="39">
        <f>IF(N('Dvd Calendar'!$W$913)=0,"",IF(('Dvd Calendar'!$W$913&gt;=GRID_FROM)*('Dvd Calendar'!$W$913&lt;=GRID_TO)*((('Dvd Calendar'!$W$913&lt;=VAL_DATE)+(COUNTIF('Dvd Calendar'!$E$920:$AR$920,'Dvd Calendar'!$W$913)=0))&gt;0)=0,"",'Dvd Calendar'!$W$913*1000000000+ISNUMBER('Dvd Calendar'!$W$916)*100000000+('Dvd Calendar'!$W$918=SPECIAL_LBL)*10000000+(N('Dvd Calendar'!$W$912)&gt;0)*(N('Dvd Calendar'!$W$912)&lt;=VAL_SERIAL)*1000000+83*1000+19))</f>
        <v/>
      </c>
      <c r="EX94" s="39">
        <f>IF(N('Dvd Calendar'!$X$913)=0,"",IF(('Dvd Calendar'!$X$913&gt;=GRID_FROM)*('Dvd Calendar'!$X$913&lt;=GRID_TO)*((('Dvd Calendar'!$X$913&lt;=VAL_DATE)+(COUNTIF('Dvd Calendar'!$E$920:$AR$920,'Dvd Calendar'!$X$913)=0))&gt;0)=0,"",'Dvd Calendar'!$X$913*1000000000+ISNUMBER('Dvd Calendar'!$X$916)*100000000+('Dvd Calendar'!$X$918=SPECIAL_LBL)*10000000+(N('Dvd Calendar'!$X$912)&gt;0)*(N('Dvd Calendar'!$X$912)&lt;=VAL_SERIAL)*1000000+83*1000+20))</f>
        <v/>
      </c>
      <c r="EY94" s="39">
        <f>IF(N('Dvd Calendar'!$Y$913)=0,"",IF(('Dvd Calendar'!$Y$913&gt;=GRID_FROM)*('Dvd Calendar'!$Y$913&lt;=GRID_TO)*((('Dvd Calendar'!$Y$913&lt;=VAL_DATE)+(COUNTIF('Dvd Calendar'!$E$920:$AR$920,'Dvd Calendar'!$Y$913)=0))&gt;0)=0,"",'Dvd Calendar'!$Y$913*1000000000+ISNUMBER('Dvd Calendar'!$Y$916)*100000000+('Dvd Calendar'!$Y$918=SPECIAL_LBL)*10000000+(N('Dvd Calendar'!$Y$912)&gt;0)*(N('Dvd Calendar'!$Y$912)&lt;=VAL_SERIAL)*1000000+83*1000+21))</f>
        <v/>
      </c>
      <c r="EZ94" s="39">
        <f>IF(N('Dvd Calendar'!$Z$913)=0,"",IF(('Dvd Calendar'!$Z$913&gt;=GRID_FROM)*('Dvd Calendar'!$Z$913&lt;=GRID_TO)*((('Dvd Calendar'!$Z$913&lt;=VAL_DATE)+(COUNTIF('Dvd Calendar'!$E$920:$AR$920,'Dvd Calendar'!$Z$913)=0))&gt;0)=0,"",'Dvd Calendar'!$Z$913*1000000000+ISNUMBER('Dvd Calendar'!$Z$916)*100000000+('Dvd Calendar'!$Z$918=SPECIAL_LBL)*10000000+(N('Dvd Calendar'!$Z$912)&gt;0)*(N('Dvd Calendar'!$Z$912)&lt;=VAL_SERIAL)*1000000+83*1000+22))</f>
        <v/>
      </c>
      <c r="FA94" s="39">
        <f>IF(N('Dvd Calendar'!$AA$913)=0,"",IF(('Dvd Calendar'!$AA$913&gt;=GRID_FROM)*('Dvd Calendar'!$AA$913&lt;=GRID_TO)*((('Dvd Calendar'!$AA$913&lt;=VAL_DATE)+(COUNTIF('Dvd Calendar'!$E$920:$AR$920,'Dvd Calendar'!$AA$913)=0))&gt;0)=0,"",'Dvd Calendar'!$AA$913*1000000000+ISNUMBER('Dvd Calendar'!$AA$916)*100000000+('Dvd Calendar'!$AA$918=SPECIAL_LBL)*10000000+(N('Dvd Calendar'!$AA$912)&gt;0)*(N('Dvd Calendar'!$AA$912)&lt;=VAL_SERIAL)*1000000+83*1000+23))</f>
        <v/>
      </c>
      <c r="FB94" s="39">
        <f>IF(N('Dvd Calendar'!$AB$913)=0,"",IF(('Dvd Calendar'!$AB$913&gt;=GRID_FROM)*('Dvd Calendar'!$AB$913&lt;=GRID_TO)*((('Dvd Calendar'!$AB$913&lt;=VAL_DATE)+(COUNTIF('Dvd Calendar'!$E$920:$AR$920,'Dvd Calendar'!$AB$913)=0))&gt;0)=0,"",'Dvd Calendar'!$AB$913*1000000000+ISNUMBER('Dvd Calendar'!$AB$916)*100000000+('Dvd Calendar'!$AB$918=SPECIAL_LBL)*10000000+(N('Dvd Calendar'!$AB$912)&gt;0)*(N('Dvd Calendar'!$AB$912)&lt;=VAL_SERIAL)*1000000+83*1000+24))</f>
        <v/>
      </c>
      <c r="FC94" s="39">
        <f>IF(N('Dvd Calendar'!$AC$913)=0,"",IF(('Dvd Calendar'!$AC$913&gt;=GRID_FROM)*('Dvd Calendar'!$AC$913&lt;=GRID_TO)*((('Dvd Calendar'!$AC$913&lt;=VAL_DATE)+(COUNTIF('Dvd Calendar'!$E$920:$AR$920,'Dvd Calendar'!$AC$913)=0))&gt;0)=0,"",'Dvd Calendar'!$AC$913*1000000000+ISNUMBER('Dvd Calendar'!$AC$916)*100000000+('Dvd Calendar'!$AC$918=SPECIAL_LBL)*10000000+(N('Dvd Calendar'!$AC$912)&gt;0)*(N('Dvd Calendar'!$AC$912)&lt;=VAL_SERIAL)*1000000+83*1000+25))</f>
        <v/>
      </c>
      <c r="FD94" s="39">
        <f>IF(N('Dvd Calendar'!$AD$913)=0,"",IF(('Dvd Calendar'!$AD$913&gt;=GRID_FROM)*('Dvd Calendar'!$AD$913&lt;=GRID_TO)*((('Dvd Calendar'!$AD$913&lt;=VAL_DATE)+(COUNTIF('Dvd Calendar'!$E$920:$AR$920,'Dvd Calendar'!$AD$913)=0))&gt;0)=0,"",'Dvd Calendar'!$AD$913*1000000000+ISNUMBER('Dvd Calendar'!$AD$916)*100000000+('Dvd Calendar'!$AD$918=SPECIAL_LBL)*10000000+(N('Dvd Calendar'!$AD$912)&gt;0)*(N('Dvd Calendar'!$AD$912)&lt;=VAL_SERIAL)*1000000+83*1000+26))</f>
        <v/>
      </c>
      <c r="FE94" s="39">
        <f>IF(N('Dvd Calendar'!$AE$913)=0,"",IF(('Dvd Calendar'!$AE$913&gt;=GRID_FROM)*('Dvd Calendar'!$AE$913&lt;=GRID_TO)*((('Dvd Calendar'!$AE$913&lt;=VAL_DATE)+(COUNTIF('Dvd Calendar'!$E$920:$AR$920,'Dvd Calendar'!$AE$913)=0))&gt;0)=0,"",'Dvd Calendar'!$AE$913*1000000000+ISNUMBER('Dvd Calendar'!$AE$916)*100000000+('Dvd Calendar'!$AE$918=SPECIAL_LBL)*10000000+(N('Dvd Calendar'!$AE$912)&gt;0)*(N('Dvd Calendar'!$AE$912)&lt;=VAL_SERIAL)*1000000+83*1000+27))</f>
        <v/>
      </c>
      <c r="FF94" s="39">
        <f>IF(N('Dvd Calendar'!$AF$913)=0,"",IF(('Dvd Calendar'!$AF$913&gt;=GRID_FROM)*('Dvd Calendar'!$AF$913&lt;=GRID_TO)*((('Dvd Calendar'!$AF$913&lt;=VAL_DATE)+(COUNTIF('Dvd Calendar'!$E$920:$AR$920,'Dvd Calendar'!$AF$913)=0))&gt;0)=0,"",'Dvd Calendar'!$AF$913*1000000000+ISNUMBER('Dvd Calendar'!$AF$916)*100000000+('Dvd Calendar'!$AF$918=SPECIAL_LBL)*10000000+(N('Dvd Calendar'!$AF$912)&gt;0)*(N('Dvd Calendar'!$AF$912)&lt;=VAL_SERIAL)*1000000+83*1000+28))</f>
        <v/>
      </c>
      <c r="FG94" s="39">
        <f>IF(N('Dvd Calendar'!$AG$913)=0,"",IF(('Dvd Calendar'!$AG$913&gt;=GRID_FROM)*('Dvd Calendar'!$AG$913&lt;=GRID_TO)*((('Dvd Calendar'!$AG$913&lt;=VAL_DATE)+(COUNTIF('Dvd Calendar'!$E$920:$AR$920,'Dvd Calendar'!$AG$913)=0))&gt;0)=0,"",'Dvd Calendar'!$AG$913*1000000000+ISNUMBER('Dvd Calendar'!$AG$916)*100000000+('Dvd Calendar'!$AG$918=SPECIAL_LBL)*10000000+(N('Dvd Calendar'!$AG$912)&gt;0)*(N('Dvd Calendar'!$AG$912)&lt;=VAL_SERIAL)*1000000+83*1000+29))</f>
        <v/>
      </c>
      <c r="FH94" s="39">
        <f>IF(N('Dvd Calendar'!$AH$913)=0,"",IF(('Dvd Calendar'!$AH$913&gt;=GRID_FROM)*('Dvd Calendar'!$AH$913&lt;=GRID_TO)*((('Dvd Calendar'!$AH$913&lt;=VAL_DATE)+(COUNTIF('Dvd Calendar'!$E$920:$AR$920,'Dvd Calendar'!$AH$913)=0))&gt;0)=0,"",'Dvd Calendar'!$AH$913*1000000000+ISNUMBER('Dvd Calendar'!$AH$916)*100000000+('Dvd Calendar'!$AH$918=SPECIAL_LBL)*10000000+(N('Dvd Calendar'!$AH$912)&gt;0)*(N('Dvd Calendar'!$AH$912)&lt;=VAL_SERIAL)*1000000+83*1000+30))</f>
        <v/>
      </c>
      <c r="FI94" s="39">
        <f>IF(N('Dvd Calendar'!$AI$913)=0,"",IF(('Dvd Calendar'!$AI$913&gt;=GRID_FROM)*('Dvd Calendar'!$AI$913&lt;=GRID_TO)*((('Dvd Calendar'!$AI$913&lt;=VAL_DATE)+(COUNTIF('Dvd Calendar'!$E$920:$AR$920,'Dvd Calendar'!$AI$913)=0))&gt;0)=0,"",'Dvd Calendar'!$AI$913*1000000000+ISNUMBER('Dvd Calendar'!$AI$916)*100000000+('Dvd Calendar'!$AI$918=SPECIAL_LBL)*10000000+(N('Dvd Calendar'!$AI$912)&gt;0)*(N('Dvd Calendar'!$AI$912)&lt;=VAL_SERIAL)*1000000+83*1000+31))</f>
        <v/>
      </c>
      <c r="FJ94" s="39">
        <f>IF(N('Dvd Calendar'!$AJ$913)=0,"",IF(('Dvd Calendar'!$AJ$913&gt;=GRID_FROM)*('Dvd Calendar'!$AJ$913&lt;=GRID_TO)*((('Dvd Calendar'!$AJ$913&lt;=VAL_DATE)+(COUNTIF('Dvd Calendar'!$E$920:$AR$920,'Dvd Calendar'!$AJ$913)=0))&gt;0)=0,"",'Dvd Calendar'!$AJ$913*1000000000+ISNUMBER('Dvd Calendar'!$AJ$916)*100000000+('Dvd Calendar'!$AJ$918=SPECIAL_LBL)*10000000+(N('Dvd Calendar'!$AJ$912)&gt;0)*(N('Dvd Calendar'!$AJ$912)&lt;=VAL_SERIAL)*1000000+83*1000+32))</f>
        <v/>
      </c>
      <c r="FK94" s="39">
        <f>IF(N('Dvd Calendar'!$AK$913)=0,"",IF(('Dvd Calendar'!$AK$913&gt;=GRID_FROM)*('Dvd Calendar'!$AK$913&lt;=GRID_TO)*((('Dvd Calendar'!$AK$913&lt;=VAL_DATE)+(COUNTIF('Dvd Calendar'!$E$920:$AR$920,'Dvd Calendar'!$AK$913)=0))&gt;0)=0,"",'Dvd Calendar'!$AK$913*1000000000+ISNUMBER('Dvd Calendar'!$AK$916)*100000000+('Dvd Calendar'!$AK$918=SPECIAL_LBL)*10000000+(N('Dvd Calendar'!$AK$912)&gt;0)*(N('Dvd Calendar'!$AK$912)&lt;=VAL_SERIAL)*1000000+83*1000+33))</f>
        <v/>
      </c>
      <c r="FL94" s="39">
        <f>IF(N('Dvd Calendar'!$AL$913)=0,"",IF(('Dvd Calendar'!$AL$913&gt;=GRID_FROM)*('Dvd Calendar'!$AL$913&lt;=GRID_TO)*((('Dvd Calendar'!$AL$913&lt;=VAL_DATE)+(COUNTIF('Dvd Calendar'!$E$920:$AR$920,'Dvd Calendar'!$AL$913)=0))&gt;0)=0,"",'Dvd Calendar'!$AL$913*1000000000+ISNUMBER('Dvd Calendar'!$AL$916)*100000000+('Dvd Calendar'!$AL$918=SPECIAL_LBL)*10000000+(N('Dvd Calendar'!$AL$912)&gt;0)*(N('Dvd Calendar'!$AL$912)&lt;=VAL_SERIAL)*1000000+83*1000+34))</f>
        <v/>
      </c>
      <c r="FM94" s="39">
        <f>IF(N('Dvd Calendar'!$AM$913)=0,"",IF(('Dvd Calendar'!$AM$913&gt;=GRID_FROM)*('Dvd Calendar'!$AM$913&lt;=GRID_TO)*((('Dvd Calendar'!$AM$913&lt;=VAL_DATE)+(COUNTIF('Dvd Calendar'!$E$920:$AR$920,'Dvd Calendar'!$AM$913)=0))&gt;0)=0,"",'Dvd Calendar'!$AM$913*1000000000+ISNUMBER('Dvd Calendar'!$AM$916)*100000000+('Dvd Calendar'!$AM$918=SPECIAL_LBL)*10000000+(N('Dvd Calendar'!$AM$912)&gt;0)*(N('Dvd Calendar'!$AM$912)&lt;=VAL_SERIAL)*1000000+83*1000+35))</f>
        <v/>
      </c>
      <c r="FN94" s="39">
        <f>IF(N('Dvd Calendar'!$AN$913)=0,"",IF(('Dvd Calendar'!$AN$913&gt;=GRID_FROM)*('Dvd Calendar'!$AN$913&lt;=GRID_TO)*((('Dvd Calendar'!$AN$913&lt;=VAL_DATE)+(COUNTIF('Dvd Calendar'!$E$920:$AR$920,'Dvd Calendar'!$AN$913)=0))&gt;0)=0,"",'Dvd Calendar'!$AN$913*1000000000+ISNUMBER('Dvd Calendar'!$AN$916)*100000000+('Dvd Calendar'!$AN$918=SPECIAL_LBL)*10000000+(N('Dvd Calendar'!$AN$912)&gt;0)*(N('Dvd Calendar'!$AN$912)&lt;=VAL_SERIAL)*1000000+83*1000+36))</f>
        <v/>
      </c>
      <c r="FO94" s="39">
        <f>IF(N('Dvd Calendar'!$AO$913)=0,"",IF(('Dvd Calendar'!$AO$913&gt;=GRID_FROM)*('Dvd Calendar'!$AO$913&lt;=GRID_TO)*((('Dvd Calendar'!$AO$913&lt;=VAL_DATE)+(COUNTIF('Dvd Calendar'!$E$920:$AR$920,'Dvd Calendar'!$AO$913)=0))&gt;0)=0,"",'Dvd Calendar'!$AO$913*1000000000+ISNUMBER('Dvd Calendar'!$AO$916)*100000000+('Dvd Calendar'!$AO$918=SPECIAL_LBL)*10000000+(N('Dvd Calendar'!$AO$912)&gt;0)*(N('Dvd Calendar'!$AO$912)&lt;=VAL_SERIAL)*1000000+83*1000+37))</f>
        <v/>
      </c>
      <c r="FP94" s="39">
        <f>IF(N('Dvd Calendar'!$AP$913)=0,"",IF(('Dvd Calendar'!$AP$913&gt;=GRID_FROM)*('Dvd Calendar'!$AP$913&lt;=GRID_TO)*((('Dvd Calendar'!$AP$913&lt;=VAL_DATE)+(COUNTIF('Dvd Calendar'!$E$920:$AR$920,'Dvd Calendar'!$AP$913)=0))&gt;0)=0,"",'Dvd Calendar'!$AP$913*1000000000+ISNUMBER('Dvd Calendar'!$AP$916)*100000000+('Dvd Calendar'!$AP$918=SPECIAL_LBL)*10000000+(N('Dvd Calendar'!$AP$912)&gt;0)*(N('Dvd Calendar'!$AP$912)&lt;=VAL_SERIAL)*1000000+83*1000+38))</f>
        <v/>
      </c>
      <c r="FQ94" s="39">
        <f>IF(N('Dvd Calendar'!$AQ$913)=0,"",IF(('Dvd Calendar'!$AQ$913&gt;=GRID_FROM)*('Dvd Calendar'!$AQ$913&lt;=GRID_TO)*((('Dvd Calendar'!$AQ$913&lt;=VAL_DATE)+(COUNTIF('Dvd Calendar'!$E$920:$AR$920,'Dvd Calendar'!$AQ$913)=0))&gt;0)=0,"",'Dvd Calendar'!$AQ$913*1000000000+ISNUMBER('Dvd Calendar'!$AQ$916)*100000000+('Dvd Calendar'!$AQ$918=SPECIAL_LBL)*10000000+(N('Dvd Calendar'!$AQ$912)&gt;0)*(N('Dvd Calendar'!$AQ$912)&lt;=VAL_SERIAL)*1000000+83*1000+39))</f>
        <v/>
      </c>
      <c r="FR94" s="39">
        <f>IF(N('Dvd Calendar'!$AR$913)=0,"",IF(('Dvd Calendar'!$AR$913&gt;=GRID_FROM)*('Dvd Calendar'!$AR$913&lt;=GRID_TO)*((('Dvd Calendar'!$AR$913&lt;=VAL_DATE)+(COUNTIF('Dvd Calendar'!$E$920:$AR$920,'Dvd Calendar'!$AR$913)=0))&gt;0)=0,"",'Dvd Calendar'!$AR$913*1000000000+ISNUMBER('Dvd Calendar'!$AR$916)*100000000+('Dvd Calendar'!$AR$918=SPECIAL_LBL)*10000000+(N('Dvd Calendar'!$AR$912)&gt;0)*(N('Dvd Calendar'!$AR$912)&lt;=VAL_SERIAL)*1000000+83*1000+40))</f>
        <v/>
      </c>
      <c r="FS94" s="39">
        <f>IF(N('Dvd Calendar'!$E$920)=0,"",IF(('Dvd Calendar'!$E$920&gt;=GRID_FROM)*('Dvd Calendar'!$E$920&lt;=GRID_TO)*('Dvd Calendar'!$E$920&gt;VAL_DATE)=0,"",'Dvd Calendar'!$E$920*1000000000+ISNUMBER('Dvd Calendar'!$E$921)*100000000+0*10000000+(N('Dvd Calendar'!$E$919)&gt;0)*(N('Dvd Calendar'!$E$919)&lt;=VAL_SERIAL)*1000000+83*1000+41))</f>
        <v/>
      </c>
      <c r="FT94" s="39">
        <f>IF(N('Dvd Calendar'!$F$920)=0,"",IF(('Dvd Calendar'!$F$920&gt;=GRID_FROM)*('Dvd Calendar'!$F$920&lt;=GRID_TO)*('Dvd Calendar'!$F$920&gt;VAL_DATE)=0,"",'Dvd Calendar'!$F$920*1000000000+ISNUMBER('Dvd Calendar'!$F$921)*100000000+0*10000000+(N('Dvd Calendar'!$F$919)&gt;0)*(N('Dvd Calendar'!$F$919)&lt;=VAL_SERIAL)*1000000+83*1000+42))</f>
        <v/>
      </c>
      <c r="FU94" s="39">
        <f>IF(N('Dvd Calendar'!$G$920)=0,"",IF(('Dvd Calendar'!$G$920&gt;=GRID_FROM)*('Dvd Calendar'!$G$920&lt;=GRID_TO)*('Dvd Calendar'!$G$920&gt;VAL_DATE)=0,"",'Dvd Calendar'!$G$920*1000000000+ISNUMBER('Dvd Calendar'!$G$921)*100000000+0*10000000+(N('Dvd Calendar'!$G$919)&gt;0)*(N('Dvd Calendar'!$G$919)&lt;=VAL_SERIAL)*1000000+83*1000+43))</f>
        <v/>
      </c>
      <c r="FV94" s="39">
        <f>IF(N('Dvd Calendar'!$H$920)=0,"",IF(('Dvd Calendar'!$H$920&gt;=GRID_FROM)*('Dvd Calendar'!$H$920&lt;=GRID_TO)*('Dvd Calendar'!$H$920&gt;VAL_DATE)=0,"",'Dvd Calendar'!$H$920*1000000000+ISNUMBER('Dvd Calendar'!$H$921)*100000000+0*10000000+(N('Dvd Calendar'!$H$919)&gt;0)*(N('Dvd Calendar'!$H$919)&lt;=VAL_SERIAL)*1000000+83*1000+44))</f>
        <v/>
      </c>
      <c r="FW94" s="39">
        <f>IF(N('Dvd Calendar'!$I$920)=0,"",IF(('Dvd Calendar'!$I$920&gt;=GRID_FROM)*('Dvd Calendar'!$I$920&lt;=GRID_TO)*('Dvd Calendar'!$I$920&gt;VAL_DATE)=0,"",'Dvd Calendar'!$I$920*1000000000+ISNUMBER('Dvd Calendar'!$I$921)*100000000+0*10000000+(N('Dvd Calendar'!$I$919)&gt;0)*(N('Dvd Calendar'!$I$919)&lt;=VAL_SERIAL)*1000000+83*1000+45))</f>
        <v/>
      </c>
      <c r="FX94" s="39">
        <f>IF(N('Dvd Calendar'!$J$920)=0,"",IF(('Dvd Calendar'!$J$920&gt;=GRID_FROM)*('Dvd Calendar'!$J$920&lt;=GRID_TO)*('Dvd Calendar'!$J$920&gt;VAL_DATE)=0,"",'Dvd Calendar'!$J$920*1000000000+ISNUMBER('Dvd Calendar'!$J$921)*100000000+0*10000000+(N('Dvd Calendar'!$J$919)&gt;0)*(N('Dvd Calendar'!$J$919)&lt;=VAL_SERIAL)*1000000+83*1000+46))</f>
        <v/>
      </c>
      <c r="FY94" s="39">
        <f>IF(N('Dvd Calendar'!$K$920)=0,"",IF(('Dvd Calendar'!$K$920&gt;=GRID_FROM)*('Dvd Calendar'!$K$920&lt;=GRID_TO)*('Dvd Calendar'!$K$920&gt;VAL_DATE)=0,"",'Dvd Calendar'!$K$920*1000000000+ISNUMBER('Dvd Calendar'!$K$921)*100000000+0*10000000+(N('Dvd Calendar'!$K$919)&gt;0)*(N('Dvd Calendar'!$K$919)&lt;=VAL_SERIAL)*1000000+83*1000+47))</f>
        <v/>
      </c>
      <c r="FZ94" s="39">
        <f>IF(N('Dvd Calendar'!$L$920)=0,"",IF(('Dvd Calendar'!$L$920&gt;=GRID_FROM)*('Dvd Calendar'!$L$920&lt;=GRID_TO)*('Dvd Calendar'!$L$920&gt;VAL_DATE)=0,"",'Dvd Calendar'!$L$920*1000000000+ISNUMBER('Dvd Calendar'!$L$921)*100000000+0*10000000+(N('Dvd Calendar'!$L$919)&gt;0)*(N('Dvd Calendar'!$L$919)&lt;=VAL_SERIAL)*1000000+83*1000+48))</f>
        <v/>
      </c>
      <c r="GA94" s="39">
        <f>IF(N('Dvd Calendar'!$M$920)=0,"",IF(('Dvd Calendar'!$M$920&gt;=GRID_FROM)*('Dvd Calendar'!$M$920&lt;=GRID_TO)*('Dvd Calendar'!$M$920&gt;VAL_DATE)=0,"",'Dvd Calendar'!$M$920*1000000000+ISNUMBER('Dvd Calendar'!$M$921)*100000000+0*10000000+(N('Dvd Calendar'!$M$919)&gt;0)*(N('Dvd Calendar'!$M$919)&lt;=VAL_SERIAL)*1000000+83*1000+49))</f>
        <v/>
      </c>
      <c r="GB94" s="39">
        <f>IF(N('Dvd Calendar'!$N$920)=0,"",IF(('Dvd Calendar'!$N$920&gt;=GRID_FROM)*('Dvd Calendar'!$N$920&lt;=GRID_TO)*('Dvd Calendar'!$N$920&gt;VAL_DATE)=0,"",'Dvd Calendar'!$N$920*1000000000+ISNUMBER('Dvd Calendar'!$N$921)*100000000+0*10000000+(N('Dvd Calendar'!$N$919)&gt;0)*(N('Dvd Calendar'!$N$919)&lt;=VAL_SERIAL)*1000000+83*1000+50))</f>
        <v/>
      </c>
      <c r="GC94" s="39">
        <f>IF(N('Dvd Calendar'!$O$920)=0,"",IF(('Dvd Calendar'!$O$920&gt;=GRID_FROM)*('Dvd Calendar'!$O$920&lt;=GRID_TO)*('Dvd Calendar'!$O$920&gt;VAL_DATE)=0,"",'Dvd Calendar'!$O$920*1000000000+ISNUMBER('Dvd Calendar'!$O$921)*100000000+0*10000000+(N('Dvd Calendar'!$O$919)&gt;0)*(N('Dvd Calendar'!$O$919)&lt;=VAL_SERIAL)*1000000+83*1000+51))</f>
        <v/>
      </c>
      <c r="GD94" s="39">
        <f>IF(N('Dvd Calendar'!$P$920)=0,"",IF(('Dvd Calendar'!$P$920&gt;=GRID_FROM)*('Dvd Calendar'!$P$920&lt;=GRID_TO)*('Dvd Calendar'!$P$920&gt;VAL_DATE)=0,"",'Dvd Calendar'!$P$920*1000000000+ISNUMBER('Dvd Calendar'!$P$921)*100000000+0*10000000+(N('Dvd Calendar'!$P$919)&gt;0)*(N('Dvd Calendar'!$P$919)&lt;=VAL_SERIAL)*1000000+83*1000+52))</f>
        <v/>
      </c>
      <c r="GE94" s="39">
        <f>IF(N('Dvd Calendar'!$Q$920)=0,"",IF(('Dvd Calendar'!$Q$920&gt;=GRID_FROM)*('Dvd Calendar'!$Q$920&lt;=GRID_TO)*('Dvd Calendar'!$Q$920&gt;VAL_DATE)=0,"",'Dvd Calendar'!$Q$920*1000000000+ISNUMBER('Dvd Calendar'!$Q$921)*100000000+0*10000000+(N('Dvd Calendar'!$Q$919)&gt;0)*(N('Dvd Calendar'!$Q$919)&lt;=VAL_SERIAL)*1000000+83*1000+53))</f>
        <v/>
      </c>
      <c r="GF94" s="39">
        <f>IF(N('Dvd Calendar'!$R$920)=0,"",IF(('Dvd Calendar'!$R$920&gt;=GRID_FROM)*('Dvd Calendar'!$R$920&lt;=GRID_TO)*('Dvd Calendar'!$R$920&gt;VAL_DATE)=0,"",'Dvd Calendar'!$R$920*1000000000+ISNUMBER('Dvd Calendar'!$R$921)*100000000+0*10000000+(N('Dvd Calendar'!$R$919)&gt;0)*(N('Dvd Calendar'!$R$919)&lt;=VAL_SERIAL)*1000000+83*1000+54))</f>
        <v/>
      </c>
      <c r="GG94" s="39">
        <f>IF(N('Dvd Calendar'!$S$920)=0,"",IF(('Dvd Calendar'!$S$920&gt;=GRID_FROM)*('Dvd Calendar'!$S$920&lt;=GRID_TO)*('Dvd Calendar'!$S$920&gt;VAL_DATE)=0,"",'Dvd Calendar'!$S$920*1000000000+ISNUMBER('Dvd Calendar'!$S$921)*100000000+0*10000000+(N('Dvd Calendar'!$S$919)&gt;0)*(N('Dvd Calendar'!$S$919)&lt;=VAL_SERIAL)*1000000+83*1000+55))</f>
        <v/>
      </c>
      <c r="GH94" s="39">
        <f>IF(N('Dvd Calendar'!$T$920)=0,"",IF(('Dvd Calendar'!$T$920&gt;=GRID_FROM)*('Dvd Calendar'!$T$920&lt;=GRID_TO)*('Dvd Calendar'!$T$920&gt;VAL_DATE)=0,"",'Dvd Calendar'!$T$920*1000000000+ISNUMBER('Dvd Calendar'!$T$921)*100000000+0*10000000+(N('Dvd Calendar'!$T$919)&gt;0)*(N('Dvd Calendar'!$T$919)&lt;=VAL_SERIAL)*1000000+83*1000+56))</f>
        <v/>
      </c>
      <c r="GI94" s="39">
        <f>IF(N('Dvd Calendar'!$U$920)=0,"",IF(('Dvd Calendar'!$U$920&gt;=GRID_FROM)*('Dvd Calendar'!$U$920&lt;=GRID_TO)*('Dvd Calendar'!$U$920&gt;VAL_DATE)=0,"",'Dvd Calendar'!$U$920*1000000000+ISNUMBER('Dvd Calendar'!$U$921)*100000000+0*10000000+(N('Dvd Calendar'!$U$919)&gt;0)*(N('Dvd Calendar'!$U$919)&lt;=VAL_SERIAL)*1000000+83*1000+57))</f>
        <v/>
      </c>
      <c r="GJ94" s="39">
        <f>IF(N('Dvd Calendar'!$V$920)=0,"",IF(('Dvd Calendar'!$V$920&gt;=GRID_FROM)*('Dvd Calendar'!$V$920&lt;=GRID_TO)*('Dvd Calendar'!$V$920&gt;VAL_DATE)=0,"",'Dvd Calendar'!$V$920*1000000000+ISNUMBER('Dvd Calendar'!$V$921)*100000000+0*10000000+(N('Dvd Calendar'!$V$919)&gt;0)*(N('Dvd Calendar'!$V$919)&lt;=VAL_SERIAL)*1000000+83*1000+58))</f>
        <v/>
      </c>
      <c r="GK94" s="39">
        <f>IF(N('Dvd Calendar'!$W$920)=0,"",IF(('Dvd Calendar'!$W$920&gt;=GRID_FROM)*('Dvd Calendar'!$W$920&lt;=GRID_TO)*('Dvd Calendar'!$W$920&gt;VAL_DATE)=0,"",'Dvd Calendar'!$W$920*1000000000+ISNUMBER('Dvd Calendar'!$W$921)*100000000+0*10000000+(N('Dvd Calendar'!$W$919)&gt;0)*(N('Dvd Calendar'!$W$919)&lt;=VAL_SERIAL)*1000000+83*1000+59))</f>
        <v/>
      </c>
      <c r="GL94" s="39">
        <f>IF(N('Dvd Calendar'!$X$920)=0,"",IF(('Dvd Calendar'!$X$920&gt;=GRID_FROM)*('Dvd Calendar'!$X$920&lt;=GRID_TO)*('Dvd Calendar'!$X$920&gt;VAL_DATE)=0,"",'Dvd Calendar'!$X$920*1000000000+ISNUMBER('Dvd Calendar'!$X$921)*100000000+0*10000000+(N('Dvd Calendar'!$X$919)&gt;0)*(N('Dvd Calendar'!$X$919)&lt;=VAL_SERIAL)*1000000+83*1000+60))</f>
        <v/>
      </c>
      <c r="GM94" s="39">
        <f>IF(N('Dvd Calendar'!$Y$920)=0,"",IF(('Dvd Calendar'!$Y$920&gt;=GRID_FROM)*('Dvd Calendar'!$Y$920&lt;=GRID_TO)*('Dvd Calendar'!$Y$920&gt;VAL_DATE)=0,"",'Dvd Calendar'!$Y$920*1000000000+ISNUMBER('Dvd Calendar'!$Y$921)*100000000+0*10000000+(N('Dvd Calendar'!$Y$919)&gt;0)*(N('Dvd Calendar'!$Y$919)&lt;=VAL_SERIAL)*1000000+83*1000+61))</f>
        <v/>
      </c>
      <c r="GN94" s="39">
        <f>IF(N('Dvd Calendar'!$Z$920)=0,"",IF(('Dvd Calendar'!$Z$920&gt;=GRID_FROM)*('Dvd Calendar'!$Z$920&lt;=GRID_TO)*('Dvd Calendar'!$Z$920&gt;VAL_DATE)=0,"",'Dvd Calendar'!$Z$920*1000000000+ISNUMBER('Dvd Calendar'!$Z$921)*100000000+0*10000000+(N('Dvd Calendar'!$Z$919)&gt;0)*(N('Dvd Calendar'!$Z$919)&lt;=VAL_SERIAL)*1000000+83*1000+62))</f>
        <v/>
      </c>
      <c r="GO94" s="39">
        <f>IF(N('Dvd Calendar'!$AA$920)=0,"",IF(('Dvd Calendar'!$AA$920&gt;=GRID_FROM)*('Dvd Calendar'!$AA$920&lt;=GRID_TO)*('Dvd Calendar'!$AA$920&gt;VAL_DATE)=0,"",'Dvd Calendar'!$AA$920*1000000000+ISNUMBER('Dvd Calendar'!$AA$921)*100000000+0*10000000+(N('Dvd Calendar'!$AA$919)&gt;0)*(N('Dvd Calendar'!$AA$919)&lt;=VAL_SERIAL)*1000000+83*1000+63))</f>
        <v/>
      </c>
      <c r="GP94" s="39">
        <f>IF(N('Dvd Calendar'!$AB$920)=0,"",IF(('Dvd Calendar'!$AB$920&gt;=GRID_FROM)*('Dvd Calendar'!$AB$920&lt;=GRID_TO)*('Dvd Calendar'!$AB$920&gt;VAL_DATE)=0,"",'Dvd Calendar'!$AB$920*1000000000+ISNUMBER('Dvd Calendar'!$AB$921)*100000000+0*10000000+(N('Dvd Calendar'!$AB$919)&gt;0)*(N('Dvd Calendar'!$AB$919)&lt;=VAL_SERIAL)*1000000+83*1000+64))</f>
        <v/>
      </c>
      <c r="GQ94" s="39">
        <f>IF(N('Dvd Calendar'!$AC$920)=0,"",IF(('Dvd Calendar'!$AC$920&gt;=GRID_FROM)*('Dvd Calendar'!$AC$920&lt;=GRID_TO)*('Dvd Calendar'!$AC$920&gt;VAL_DATE)=0,"",'Dvd Calendar'!$AC$920*1000000000+ISNUMBER('Dvd Calendar'!$AC$921)*100000000+0*10000000+(N('Dvd Calendar'!$AC$919)&gt;0)*(N('Dvd Calendar'!$AC$919)&lt;=VAL_SERIAL)*1000000+83*1000+65))</f>
        <v/>
      </c>
    </row>
    <row r="95">
      <c r="B95" s="2">
        <f>IF(HSI!$C$90="","",HSI!$C$90)</f>
        <v/>
      </c>
      <c r="C95" s="110">
        <f>IF(EE95="","",IF(ISNUMBER('Dvd Calendar'!$E$927)=FALSE,"",IF((('Dvd Calendar'!$E$929=TYPE1)*(TYPE1&lt;&gt;"")+('Dvd Calendar'!$E$929=TYPE2)*(TYPE2&lt;&gt;"")+('Dvd Calendar'!$E$929=TYPE3)*(TYPE3&lt;&gt;"")+('Dvd Calendar'!$E$929=TYPE4)*(TYPE4&lt;&gt;"")+('Dvd Calendar'!$E$929=SPECIAL_LBL)*(INC_SPECIALS="Y"))=0,"",'Dvd Calendar'!$E$927)))</f>
        <v/>
      </c>
      <c r="D95" s="110">
        <f>IF(EF95="","",IF(ISNUMBER('Dvd Calendar'!$F$927)=FALSE,"",IF((('Dvd Calendar'!$F$929=TYPE1)*(TYPE1&lt;&gt;"")+('Dvd Calendar'!$F$929=TYPE2)*(TYPE2&lt;&gt;"")+('Dvd Calendar'!$F$929=TYPE3)*(TYPE3&lt;&gt;"")+('Dvd Calendar'!$F$929=TYPE4)*(TYPE4&lt;&gt;"")+('Dvd Calendar'!$F$929=SPECIAL_LBL)*(INC_SPECIALS="Y"))=0,"",'Dvd Calendar'!$F$927)))</f>
        <v/>
      </c>
      <c r="E95" s="110">
        <f>IF(EG95="","",IF(ISNUMBER('Dvd Calendar'!$G$927)=FALSE,"",IF((('Dvd Calendar'!$G$929=TYPE1)*(TYPE1&lt;&gt;"")+('Dvd Calendar'!$G$929=TYPE2)*(TYPE2&lt;&gt;"")+('Dvd Calendar'!$G$929=TYPE3)*(TYPE3&lt;&gt;"")+('Dvd Calendar'!$G$929=TYPE4)*(TYPE4&lt;&gt;"")+('Dvd Calendar'!$G$929=SPECIAL_LBL)*(INC_SPECIALS="Y"))=0,"",'Dvd Calendar'!$G$927)))</f>
        <v/>
      </c>
      <c r="F95" s="110">
        <f>IF(EH95="","",IF(ISNUMBER('Dvd Calendar'!$H$927)=FALSE,"",IF((('Dvd Calendar'!$H$929=TYPE1)*(TYPE1&lt;&gt;"")+('Dvd Calendar'!$H$929=TYPE2)*(TYPE2&lt;&gt;"")+('Dvd Calendar'!$H$929=TYPE3)*(TYPE3&lt;&gt;"")+('Dvd Calendar'!$H$929=TYPE4)*(TYPE4&lt;&gt;"")+('Dvd Calendar'!$H$929=SPECIAL_LBL)*(INC_SPECIALS="Y"))=0,"",'Dvd Calendar'!$H$927)))</f>
        <v/>
      </c>
      <c r="G95" s="110">
        <f>IF(EI95="","",IF(ISNUMBER('Dvd Calendar'!$I$927)=FALSE,"",IF((('Dvd Calendar'!$I$929=TYPE1)*(TYPE1&lt;&gt;"")+('Dvd Calendar'!$I$929=TYPE2)*(TYPE2&lt;&gt;"")+('Dvd Calendar'!$I$929=TYPE3)*(TYPE3&lt;&gt;"")+('Dvd Calendar'!$I$929=TYPE4)*(TYPE4&lt;&gt;"")+('Dvd Calendar'!$I$929=SPECIAL_LBL)*(INC_SPECIALS="Y"))=0,"",'Dvd Calendar'!$I$927)))</f>
        <v/>
      </c>
      <c r="H95" s="110">
        <f>IF(EJ95="","",IF(ISNUMBER('Dvd Calendar'!$J$927)=FALSE,"",IF((('Dvd Calendar'!$J$929=TYPE1)*(TYPE1&lt;&gt;"")+('Dvd Calendar'!$J$929=TYPE2)*(TYPE2&lt;&gt;"")+('Dvd Calendar'!$J$929=TYPE3)*(TYPE3&lt;&gt;"")+('Dvd Calendar'!$J$929=TYPE4)*(TYPE4&lt;&gt;"")+('Dvd Calendar'!$J$929=SPECIAL_LBL)*(INC_SPECIALS="Y"))=0,"",'Dvd Calendar'!$J$927)))</f>
        <v/>
      </c>
      <c r="I95" s="110">
        <f>IF(EK95="","",IF(ISNUMBER('Dvd Calendar'!$K$927)=FALSE,"",IF((('Dvd Calendar'!$K$929=TYPE1)*(TYPE1&lt;&gt;"")+('Dvd Calendar'!$K$929=TYPE2)*(TYPE2&lt;&gt;"")+('Dvd Calendar'!$K$929=TYPE3)*(TYPE3&lt;&gt;"")+('Dvd Calendar'!$K$929=TYPE4)*(TYPE4&lt;&gt;"")+('Dvd Calendar'!$K$929=SPECIAL_LBL)*(INC_SPECIALS="Y"))=0,"",'Dvd Calendar'!$K$927)))</f>
        <v/>
      </c>
      <c r="J95" s="110">
        <f>IF(EL95="","",IF(ISNUMBER('Dvd Calendar'!$L$927)=FALSE,"",IF((('Dvd Calendar'!$L$929=TYPE1)*(TYPE1&lt;&gt;"")+('Dvd Calendar'!$L$929=TYPE2)*(TYPE2&lt;&gt;"")+('Dvd Calendar'!$L$929=TYPE3)*(TYPE3&lt;&gt;"")+('Dvd Calendar'!$L$929=TYPE4)*(TYPE4&lt;&gt;"")+('Dvd Calendar'!$L$929=SPECIAL_LBL)*(INC_SPECIALS="Y"))=0,"",'Dvd Calendar'!$L$927)))</f>
        <v/>
      </c>
      <c r="K95" s="110">
        <f>IF(EM95="","",IF(ISNUMBER('Dvd Calendar'!$M$927)=FALSE,"",IF((('Dvd Calendar'!$M$929=TYPE1)*(TYPE1&lt;&gt;"")+('Dvd Calendar'!$M$929=TYPE2)*(TYPE2&lt;&gt;"")+('Dvd Calendar'!$M$929=TYPE3)*(TYPE3&lt;&gt;"")+('Dvd Calendar'!$M$929=TYPE4)*(TYPE4&lt;&gt;"")+('Dvd Calendar'!$M$929=SPECIAL_LBL)*(INC_SPECIALS="Y"))=0,"",'Dvd Calendar'!$M$927)))</f>
        <v/>
      </c>
      <c r="L95" s="110">
        <f>IF(EN95="","",IF(ISNUMBER('Dvd Calendar'!$N$927)=FALSE,"",IF((('Dvd Calendar'!$N$929=TYPE1)*(TYPE1&lt;&gt;"")+('Dvd Calendar'!$N$929=TYPE2)*(TYPE2&lt;&gt;"")+('Dvd Calendar'!$N$929=TYPE3)*(TYPE3&lt;&gt;"")+('Dvd Calendar'!$N$929=TYPE4)*(TYPE4&lt;&gt;"")+('Dvd Calendar'!$N$929=SPECIAL_LBL)*(INC_SPECIALS="Y"))=0,"",'Dvd Calendar'!$N$927)))</f>
        <v/>
      </c>
      <c r="M95" s="110">
        <f>IF(EO95="","",IF(ISNUMBER('Dvd Calendar'!$O$927)=FALSE,"",IF((('Dvd Calendar'!$O$929=TYPE1)*(TYPE1&lt;&gt;"")+('Dvd Calendar'!$O$929=TYPE2)*(TYPE2&lt;&gt;"")+('Dvd Calendar'!$O$929=TYPE3)*(TYPE3&lt;&gt;"")+('Dvd Calendar'!$O$929=TYPE4)*(TYPE4&lt;&gt;"")+('Dvd Calendar'!$O$929=SPECIAL_LBL)*(INC_SPECIALS="Y"))=0,"",'Dvd Calendar'!$O$927)))</f>
        <v/>
      </c>
      <c r="N95" s="110">
        <f>IF(EP95="","",IF(ISNUMBER('Dvd Calendar'!$P$927)=FALSE,"",IF((('Dvd Calendar'!$P$929=TYPE1)*(TYPE1&lt;&gt;"")+('Dvd Calendar'!$P$929=TYPE2)*(TYPE2&lt;&gt;"")+('Dvd Calendar'!$P$929=TYPE3)*(TYPE3&lt;&gt;"")+('Dvd Calendar'!$P$929=TYPE4)*(TYPE4&lt;&gt;"")+('Dvd Calendar'!$P$929=SPECIAL_LBL)*(INC_SPECIALS="Y"))=0,"",'Dvd Calendar'!$P$927)))</f>
        <v/>
      </c>
      <c r="O95" s="110">
        <f>IF(EQ95="","",IF(ISNUMBER('Dvd Calendar'!$Q$927)=FALSE,"",IF((('Dvd Calendar'!$Q$929=TYPE1)*(TYPE1&lt;&gt;"")+('Dvd Calendar'!$Q$929=TYPE2)*(TYPE2&lt;&gt;"")+('Dvd Calendar'!$Q$929=TYPE3)*(TYPE3&lt;&gt;"")+('Dvd Calendar'!$Q$929=TYPE4)*(TYPE4&lt;&gt;"")+('Dvd Calendar'!$Q$929=SPECIAL_LBL)*(INC_SPECIALS="Y"))=0,"",'Dvd Calendar'!$Q$927)))</f>
        <v/>
      </c>
      <c r="P95" s="110">
        <f>IF(ER95="","",IF(ISNUMBER('Dvd Calendar'!$R$927)=FALSE,"",IF((('Dvd Calendar'!$R$929=TYPE1)*(TYPE1&lt;&gt;"")+('Dvd Calendar'!$R$929=TYPE2)*(TYPE2&lt;&gt;"")+('Dvd Calendar'!$R$929=TYPE3)*(TYPE3&lt;&gt;"")+('Dvd Calendar'!$R$929=TYPE4)*(TYPE4&lt;&gt;"")+('Dvd Calendar'!$R$929=SPECIAL_LBL)*(INC_SPECIALS="Y"))=0,"",'Dvd Calendar'!$R$927)))</f>
        <v/>
      </c>
      <c r="Q95" s="110">
        <f>IF(ES95="","",IF(ISNUMBER('Dvd Calendar'!$S$927)=FALSE,"",IF((('Dvd Calendar'!$S$929=TYPE1)*(TYPE1&lt;&gt;"")+('Dvd Calendar'!$S$929=TYPE2)*(TYPE2&lt;&gt;"")+('Dvd Calendar'!$S$929=TYPE3)*(TYPE3&lt;&gt;"")+('Dvd Calendar'!$S$929=TYPE4)*(TYPE4&lt;&gt;"")+('Dvd Calendar'!$S$929=SPECIAL_LBL)*(INC_SPECIALS="Y"))=0,"",'Dvd Calendar'!$S$927)))</f>
        <v/>
      </c>
      <c r="R95" s="110">
        <f>IF(ET95="","",IF(ISNUMBER('Dvd Calendar'!$T$927)=FALSE,"",IF((('Dvd Calendar'!$T$929=TYPE1)*(TYPE1&lt;&gt;"")+('Dvd Calendar'!$T$929=TYPE2)*(TYPE2&lt;&gt;"")+('Dvd Calendar'!$T$929=TYPE3)*(TYPE3&lt;&gt;"")+('Dvd Calendar'!$T$929=TYPE4)*(TYPE4&lt;&gt;"")+('Dvd Calendar'!$T$929=SPECIAL_LBL)*(INC_SPECIALS="Y"))=0,"",'Dvd Calendar'!$T$927)))</f>
        <v/>
      </c>
      <c r="S95" s="110">
        <f>IF(EU95="","",IF(ISNUMBER('Dvd Calendar'!$U$927)=FALSE,"",IF((('Dvd Calendar'!$U$929=TYPE1)*(TYPE1&lt;&gt;"")+('Dvd Calendar'!$U$929=TYPE2)*(TYPE2&lt;&gt;"")+('Dvd Calendar'!$U$929=TYPE3)*(TYPE3&lt;&gt;"")+('Dvd Calendar'!$U$929=TYPE4)*(TYPE4&lt;&gt;"")+('Dvd Calendar'!$U$929=SPECIAL_LBL)*(INC_SPECIALS="Y"))=0,"",'Dvd Calendar'!$U$927)))</f>
        <v/>
      </c>
      <c r="T95" s="110">
        <f>IF(EV95="","",IF(ISNUMBER('Dvd Calendar'!$V$927)=FALSE,"",IF((('Dvd Calendar'!$V$929=TYPE1)*(TYPE1&lt;&gt;"")+('Dvd Calendar'!$V$929=TYPE2)*(TYPE2&lt;&gt;"")+('Dvd Calendar'!$V$929=TYPE3)*(TYPE3&lt;&gt;"")+('Dvd Calendar'!$V$929=TYPE4)*(TYPE4&lt;&gt;"")+('Dvd Calendar'!$V$929=SPECIAL_LBL)*(INC_SPECIALS="Y"))=0,"",'Dvd Calendar'!$V$927)))</f>
        <v/>
      </c>
      <c r="U95" s="110">
        <f>IF(EW95="","",IF(ISNUMBER('Dvd Calendar'!$W$927)=FALSE,"",IF((('Dvd Calendar'!$W$929=TYPE1)*(TYPE1&lt;&gt;"")+('Dvd Calendar'!$W$929=TYPE2)*(TYPE2&lt;&gt;"")+('Dvd Calendar'!$W$929=TYPE3)*(TYPE3&lt;&gt;"")+('Dvd Calendar'!$W$929=TYPE4)*(TYPE4&lt;&gt;"")+('Dvd Calendar'!$W$929=SPECIAL_LBL)*(INC_SPECIALS="Y"))=0,"",'Dvd Calendar'!$W$927)))</f>
        <v/>
      </c>
      <c r="V95" s="110">
        <f>IF(EX95="","",IF(ISNUMBER('Dvd Calendar'!$X$927)=FALSE,"",IF((('Dvd Calendar'!$X$929=TYPE1)*(TYPE1&lt;&gt;"")+('Dvd Calendar'!$X$929=TYPE2)*(TYPE2&lt;&gt;"")+('Dvd Calendar'!$X$929=TYPE3)*(TYPE3&lt;&gt;"")+('Dvd Calendar'!$X$929=TYPE4)*(TYPE4&lt;&gt;"")+('Dvd Calendar'!$X$929=SPECIAL_LBL)*(INC_SPECIALS="Y"))=0,"",'Dvd Calendar'!$X$927)))</f>
        <v/>
      </c>
      <c r="W95" s="110">
        <f>IF(EY95="","",IF(ISNUMBER('Dvd Calendar'!$Y$927)=FALSE,"",IF((('Dvd Calendar'!$Y$929=TYPE1)*(TYPE1&lt;&gt;"")+('Dvd Calendar'!$Y$929=TYPE2)*(TYPE2&lt;&gt;"")+('Dvd Calendar'!$Y$929=TYPE3)*(TYPE3&lt;&gt;"")+('Dvd Calendar'!$Y$929=TYPE4)*(TYPE4&lt;&gt;"")+('Dvd Calendar'!$Y$929=SPECIAL_LBL)*(INC_SPECIALS="Y"))=0,"",'Dvd Calendar'!$Y$927)))</f>
        <v/>
      </c>
      <c r="X95" s="110">
        <f>IF(EZ95="","",IF(ISNUMBER('Dvd Calendar'!$Z$927)=FALSE,"",IF((('Dvd Calendar'!$Z$929=TYPE1)*(TYPE1&lt;&gt;"")+('Dvd Calendar'!$Z$929=TYPE2)*(TYPE2&lt;&gt;"")+('Dvd Calendar'!$Z$929=TYPE3)*(TYPE3&lt;&gt;"")+('Dvd Calendar'!$Z$929=TYPE4)*(TYPE4&lt;&gt;"")+('Dvd Calendar'!$Z$929=SPECIAL_LBL)*(INC_SPECIALS="Y"))=0,"",'Dvd Calendar'!$Z$927)))</f>
        <v/>
      </c>
      <c r="Y95" s="110">
        <f>IF(FA95="","",IF(ISNUMBER('Dvd Calendar'!$AA$927)=FALSE,"",IF((('Dvd Calendar'!$AA$929=TYPE1)*(TYPE1&lt;&gt;"")+('Dvd Calendar'!$AA$929=TYPE2)*(TYPE2&lt;&gt;"")+('Dvd Calendar'!$AA$929=TYPE3)*(TYPE3&lt;&gt;"")+('Dvd Calendar'!$AA$929=TYPE4)*(TYPE4&lt;&gt;"")+('Dvd Calendar'!$AA$929=SPECIAL_LBL)*(INC_SPECIALS="Y"))=0,"",'Dvd Calendar'!$AA$927)))</f>
        <v/>
      </c>
      <c r="Z95" s="110">
        <f>IF(FB95="","",IF(ISNUMBER('Dvd Calendar'!$AB$927)=FALSE,"",IF((('Dvd Calendar'!$AB$929=TYPE1)*(TYPE1&lt;&gt;"")+('Dvd Calendar'!$AB$929=TYPE2)*(TYPE2&lt;&gt;"")+('Dvd Calendar'!$AB$929=TYPE3)*(TYPE3&lt;&gt;"")+('Dvd Calendar'!$AB$929=TYPE4)*(TYPE4&lt;&gt;"")+('Dvd Calendar'!$AB$929=SPECIAL_LBL)*(INC_SPECIALS="Y"))=0,"",'Dvd Calendar'!$AB$927)))</f>
        <v/>
      </c>
      <c r="AA95" s="110">
        <f>IF(FC95="","",IF(ISNUMBER('Dvd Calendar'!$AC$927)=FALSE,"",IF((('Dvd Calendar'!$AC$929=TYPE1)*(TYPE1&lt;&gt;"")+('Dvd Calendar'!$AC$929=TYPE2)*(TYPE2&lt;&gt;"")+('Dvd Calendar'!$AC$929=TYPE3)*(TYPE3&lt;&gt;"")+('Dvd Calendar'!$AC$929=TYPE4)*(TYPE4&lt;&gt;"")+('Dvd Calendar'!$AC$929=SPECIAL_LBL)*(INC_SPECIALS="Y"))=0,"",'Dvd Calendar'!$AC$927)))</f>
        <v/>
      </c>
      <c r="AB95" s="110">
        <f>IF(FD95="","",IF(ISNUMBER('Dvd Calendar'!$AD$927)=FALSE,"",IF((('Dvd Calendar'!$AD$929=TYPE1)*(TYPE1&lt;&gt;"")+('Dvd Calendar'!$AD$929=TYPE2)*(TYPE2&lt;&gt;"")+('Dvd Calendar'!$AD$929=TYPE3)*(TYPE3&lt;&gt;"")+('Dvd Calendar'!$AD$929=TYPE4)*(TYPE4&lt;&gt;"")+('Dvd Calendar'!$AD$929=SPECIAL_LBL)*(INC_SPECIALS="Y"))=0,"",'Dvd Calendar'!$AD$927)))</f>
        <v/>
      </c>
      <c r="AC95" s="110">
        <f>IF(FE95="","",IF(ISNUMBER('Dvd Calendar'!$AE$927)=FALSE,"",IF((('Dvd Calendar'!$AE$929=TYPE1)*(TYPE1&lt;&gt;"")+('Dvd Calendar'!$AE$929=TYPE2)*(TYPE2&lt;&gt;"")+('Dvd Calendar'!$AE$929=TYPE3)*(TYPE3&lt;&gt;"")+('Dvd Calendar'!$AE$929=TYPE4)*(TYPE4&lt;&gt;"")+('Dvd Calendar'!$AE$929=SPECIAL_LBL)*(INC_SPECIALS="Y"))=0,"",'Dvd Calendar'!$AE$927)))</f>
        <v/>
      </c>
      <c r="AD95" s="110">
        <f>IF(FF95="","",IF(ISNUMBER('Dvd Calendar'!$AF$927)=FALSE,"",IF((('Dvd Calendar'!$AF$929=TYPE1)*(TYPE1&lt;&gt;"")+('Dvd Calendar'!$AF$929=TYPE2)*(TYPE2&lt;&gt;"")+('Dvd Calendar'!$AF$929=TYPE3)*(TYPE3&lt;&gt;"")+('Dvd Calendar'!$AF$929=TYPE4)*(TYPE4&lt;&gt;"")+('Dvd Calendar'!$AF$929=SPECIAL_LBL)*(INC_SPECIALS="Y"))=0,"",'Dvd Calendar'!$AF$927)))</f>
        <v/>
      </c>
      <c r="AE95" s="110">
        <f>IF(FG95="","",IF(ISNUMBER('Dvd Calendar'!$AG$927)=FALSE,"",IF((('Dvd Calendar'!$AG$929=TYPE1)*(TYPE1&lt;&gt;"")+('Dvd Calendar'!$AG$929=TYPE2)*(TYPE2&lt;&gt;"")+('Dvd Calendar'!$AG$929=TYPE3)*(TYPE3&lt;&gt;"")+('Dvd Calendar'!$AG$929=TYPE4)*(TYPE4&lt;&gt;"")+('Dvd Calendar'!$AG$929=SPECIAL_LBL)*(INC_SPECIALS="Y"))=0,"",'Dvd Calendar'!$AG$927)))</f>
        <v/>
      </c>
      <c r="AF95" s="110">
        <f>IF(FH95="","",IF(ISNUMBER('Dvd Calendar'!$AH$927)=FALSE,"",IF((('Dvd Calendar'!$AH$929=TYPE1)*(TYPE1&lt;&gt;"")+('Dvd Calendar'!$AH$929=TYPE2)*(TYPE2&lt;&gt;"")+('Dvd Calendar'!$AH$929=TYPE3)*(TYPE3&lt;&gt;"")+('Dvd Calendar'!$AH$929=TYPE4)*(TYPE4&lt;&gt;"")+('Dvd Calendar'!$AH$929=SPECIAL_LBL)*(INC_SPECIALS="Y"))=0,"",'Dvd Calendar'!$AH$927)))</f>
        <v/>
      </c>
      <c r="AG95" s="110">
        <f>IF(FI95="","",IF(ISNUMBER('Dvd Calendar'!$AI$927)=FALSE,"",IF((('Dvd Calendar'!$AI$929=TYPE1)*(TYPE1&lt;&gt;"")+('Dvd Calendar'!$AI$929=TYPE2)*(TYPE2&lt;&gt;"")+('Dvd Calendar'!$AI$929=TYPE3)*(TYPE3&lt;&gt;"")+('Dvd Calendar'!$AI$929=TYPE4)*(TYPE4&lt;&gt;"")+('Dvd Calendar'!$AI$929=SPECIAL_LBL)*(INC_SPECIALS="Y"))=0,"",'Dvd Calendar'!$AI$927)))</f>
        <v/>
      </c>
      <c r="AH95" s="110">
        <f>IF(FJ95="","",IF(ISNUMBER('Dvd Calendar'!$AJ$927)=FALSE,"",IF((('Dvd Calendar'!$AJ$929=TYPE1)*(TYPE1&lt;&gt;"")+('Dvd Calendar'!$AJ$929=TYPE2)*(TYPE2&lt;&gt;"")+('Dvd Calendar'!$AJ$929=TYPE3)*(TYPE3&lt;&gt;"")+('Dvd Calendar'!$AJ$929=TYPE4)*(TYPE4&lt;&gt;"")+('Dvd Calendar'!$AJ$929=SPECIAL_LBL)*(INC_SPECIALS="Y"))=0,"",'Dvd Calendar'!$AJ$927)))</f>
        <v/>
      </c>
      <c r="AI95" s="110">
        <f>IF(FK95="","",IF(ISNUMBER('Dvd Calendar'!$AK$927)=FALSE,"",IF((('Dvd Calendar'!$AK$929=TYPE1)*(TYPE1&lt;&gt;"")+('Dvd Calendar'!$AK$929=TYPE2)*(TYPE2&lt;&gt;"")+('Dvd Calendar'!$AK$929=TYPE3)*(TYPE3&lt;&gt;"")+('Dvd Calendar'!$AK$929=TYPE4)*(TYPE4&lt;&gt;"")+('Dvd Calendar'!$AK$929=SPECIAL_LBL)*(INC_SPECIALS="Y"))=0,"",'Dvd Calendar'!$AK$927)))</f>
        <v/>
      </c>
      <c r="AJ95" s="110">
        <f>IF(FL95="","",IF(ISNUMBER('Dvd Calendar'!$AL$927)=FALSE,"",IF((('Dvd Calendar'!$AL$929=TYPE1)*(TYPE1&lt;&gt;"")+('Dvd Calendar'!$AL$929=TYPE2)*(TYPE2&lt;&gt;"")+('Dvd Calendar'!$AL$929=TYPE3)*(TYPE3&lt;&gt;"")+('Dvd Calendar'!$AL$929=TYPE4)*(TYPE4&lt;&gt;"")+('Dvd Calendar'!$AL$929=SPECIAL_LBL)*(INC_SPECIALS="Y"))=0,"",'Dvd Calendar'!$AL$927)))</f>
        <v/>
      </c>
      <c r="AK95" s="110">
        <f>IF(FM95="","",IF(ISNUMBER('Dvd Calendar'!$AM$927)=FALSE,"",IF((('Dvd Calendar'!$AM$929=TYPE1)*(TYPE1&lt;&gt;"")+('Dvd Calendar'!$AM$929=TYPE2)*(TYPE2&lt;&gt;"")+('Dvd Calendar'!$AM$929=TYPE3)*(TYPE3&lt;&gt;"")+('Dvd Calendar'!$AM$929=TYPE4)*(TYPE4&lt;&gt;"")+('Dvd Calendar'!$AM$929=SPECIAL_LBL)*(INC_SPECIALS="Y"))=0,"",'Dvd Calendar'!$AM$927)))</f>
        <v/>
      </c>
      <c r="AL95" s="110">
        <f>IF(FN95="","",IF(ISNUMBER('Dvd Calendar'!$AN$927)=FALSE,"",IF((('Dvd Calendar'!$AN$929=TYPE1)*(TYPE1&lt;&gt;"")+('Dvd Calendar'!$AN$929=TYPE2)*(TYPE2&lt;&gt;"")+('Dvd Calendar'!$AN$929=TYPE3)*(TYPE3&lt;&gt;"")+('Dvd Calendar'!$AN$929=TYPE4)*(TYPE4&lt;&gt;"")+('Dvd Calendar'!$AN$929=SPECIAL_LBL)*(INC_SPECIALS="Y"))=0,"",'Dvd Calendar'!$AN$927)))</f>
        <v/>
      </c>
      <c r="AM95" s="110">
        <f>IF(FO95="","",IF(ISNUMBER('Dvd Calendar'!$AO$927)=FALSE,"",IF((('Dvd Calendar'!$AO$929=TYPE1)*(TYPE1&lt;&gt;"")+('Dvd Calendar'!$AO$929=TYPE2)*(TYPE2&lt;&gt;"")+('Dvd Calendar'!$AO$929=TYPE3)*(TYPE3&lt;&gt;"")+('Dvd Calendar'!$AO$929=TYPE4)*(TYPE4&lt;&gt;"")+('Dvd Calendar'!$AO$929=SPECIAL_LBL)*(INC_SPECIALS="Y"))=0,"",'Dvd Calendar'!$AO$927)))</f>
        <v/>
      </c>
      <c r="AN95" s="110">
        <f>IF(FP95="","",IF(ISNUMBER('Dvd Calendar'!$AP$927)=FALSE,"",IF((('Dvd Calendar'!$AP$929=TYPE1)*(TYPE1&lt;&gt;"")+('Dvd Calendar'!$AP$929=TYPE2)*(TYPE2&lt;&gt;"")+('Dvd Calendar'!$AP$929=TYPE3)*(TYPE3&lt;&gt;"")+('Dvd Calendar'!$AP$929=TYPE4)*(TYPE4&lt;&gt;"")+('Dvd Calendar'!$AP$929=SPECIAL_LBL)*(INC_SPECIALS="Y"))=0,"",'Dvd Calendar'!$AP$927)))</f>
        <v/>
      </c>
      <c r="AO95" s="110">
        <f>IF(FQ95="","",IF(ISNUMBER('Dvd Calendar'!$AQ$927)=FALSE,"",IF((('Dvd Calendar'!$AQ$929=TYPE1)*(TYPE1&lt;&gt;"")+('Dvd Calendar'!$AQ$929=TYPE2)*(TYPE2&lt;&gt;"")+('Dvd Calendar'!$AQ$929=TYPE3)*(TYPE3&lt;&gt;"")+('Dvd Calendar'!$AQ$929=TYPE4)*(TYPE4&lt;&gt;"")+('Dvd Calendar'!$AQ$929=SPECIAL_LBL)*(INC_SPECIALS="Y"))=0,"",'Dvd Calendar'!$AQ$927)))</f>
        <v/>
      </c>
      <c r="AP95" s="110">
        <f>IF(FR95="","",IF(ISNUMBER('Dvd Calendar'!$AR$927)=FALSE,"",IF((('Dvd Calendar'!$AR$929=TYPE1)*(TYPE1&lt;&gt;"")+('Dvd Calendar'!$AR$929=TYPE2)*(TYPE2&lt;&gt;"")+('Dvd Calendar'!$AR$929=TYPE3)*(TYPE3&lt;&gt;"")+('Dvd Calendar'!$AR$929=TYPE4)*(TYPE4&lt;&gt;"")+('Dvd Calendar'!$AR$929=SPECIAL_LBL)*(INC_SPECIALS="Y"))=0,"",'Dvd Calendar'!$AR$927)))</f>
        <v/>
      </c>
      <c r="AQ95" s="110">
        <f>IF(FS95="","",IF(ISNUMBER('Dvd Calendar'!$E$932)=FALSE,"",'Dvd Calendar'!$E$932))</f>
        <v/>
      </c>
      <c r="AR95" s="110">
        <f>IF(FT95="","",IF(ISNUMBER('Dvd Calendar'!$F$932)=FALSE,"",'Dvd Calendar'!$F$932))</f>
        <v/>
      </c>
      <c r="AS95" s="110">
        <f>IF(FU95="","",IF(ISNUMBER('Dvd Calendar'!$G$932)=FALSE,"",'Dvd Calendar'!$G$932))</f>
        <v/>
      </c>
      <c r="AT95" s="110">
        <f>IF(FV95="","",IF(ISNUMBER('Dvd Calendar'!$H$932)=FALSE,"",'Dvd Calendar'!$H$932))</f>
        <v/>
      </c>
      <c r="AU95" s="110">
        <f>IF(FW95="","",IF(ISNUMBER('Dvd Calendar'!$I$932)=FALSE,"",'Dvd Calendar'!$I$932))</f>
        <v/>
      </c>
      <c r="AV95" s="110">
        <f>IF(FX95="","",IF(ISNUMBER('Dvd Calendar'!$J$932)=FALSE,"",'Dvd Calendar'!$J$932))</f>
        <v/>
      </c>
      <c r="AW95" s="110">
        <f>IF(FY95="","",IF(ISNUMBER('Dvd Calendar'!$K$932)=FALSE,"",'Dvd Calendar'!$K$932))</f>
        <v/>
      </c>
      <c r="AX95" s="110">
        <f>IF(FZ95="","",IF(ISNUMBER('Dvd Calendar'!$L$932)=FALSE,"",'Dvd Calendar'!$L$932))</f>
        <v/>
      </c>
      <c r="AY95" s="110">
        <f>IF(GA95="","",IF(ISNUMBER('Dvd Calendar'!$M$932)=FALSE,"",'Dvd Calendar'!$M$932))</f>
        <v/>
      </c>
      <c r="AZ95" s="110">
        <f>IF(GB95="","",IF(ISNUMBER('Dvd Calendar'!$N$932)=FALSE,"",'Dvd Calendar'!$N$932))</f>
        <v/>
      </c>
      <c r="BA95" s="110">
        <f>IF(GC95="","",IF(ISNUMBER('Dvd Calendar'!$O$932)=FALSE,"",'Dvd Calendar'!$O$932))</f>
        <v/>
      </c>
      <c r="BB95" s="110">
        <f>IF(GD95="","",IF(ISNUMBER('Dvd Calendar'!$P$932)=FALSE,"",'Dvd Calendar'!$P$932))</f>
        <v/>
      </c>
      <c r="BC95" s="110">
        <f>IF(GE95="","",IF(ISNUMBER('Dvd Calendar'!$Q$932)=FALSE,"",'Dvd Calendar'!$Q$932))</f>
        <v/>
      </c>
      <c r="BD95" s="110">
        <f>IF(GF95="","",IF(ISNUMBER('Dvd Calendar'!$R$932)=FALSE,"",'Dvd Calendar'!$R$932))</f>
        <v/>
      </c>
      <c r="BE95" s="110">
        <f>IF(GG95="","",IF(ISNUMBER('Dvd Calendar'!$S$932)=FALSE,"",'Dvd Calendar'!$S$932))</f>
        <v/>
      </c>
      <c r="BF95" s="110">
        <f>IF(GH95="","",IF(ISNUMBER('Dvd Calendar'!$T$932)=FALSE,"",'Dvd Calendar'!$T$932))</f>
        <v/>
      </c>
      <c r="BG95" s="110">
        <f>IF(GI95="","",IF(ISNUMBER('Dvd Calendar'!$U$932)=FALSE,"",'Dvd Calendar'!$U$932))</f>
        <v/>
      </c>
      <c r="BH95" s="110">
        <f>IF(GJ95="","",IF(ISNUMBER('Dvd Calendar'!$V$932)=FALSE,"",'Dvd Calendar'!$V$932))</f>
        <v/>
      </c>
      <c r="BI95" s="110">
        <f>IF(GK95="","",IF(ISNUMBER('Dvd Calendar'!$W$932)=FALSE,"",'Dvd Calendar'!$W$932))</f>
        <v/>
      </c>
      <c r="BJ95" s="110">
        <f>IF(GL95="","",IF(ISNUMBER('Dvd Calendar'!$X$932)=FALSE,"",'Dvd Calendar'!$X$932))</f>
        <v/>
      </c>
      <c r="BK95" s="110">
        <f>IF(GM95="","",IF(ISNUMBER('Dvd Calendar'!$Y$932)=FALSE,"",'Dvd Calendar'!$Y$932))</f>
        <v/>
      </c>
      <c r="BL95" s="110">
        <f>IF(GN95="","",IF(ISNUMBER('Dvd Calendar'!$Z$932)=FALSE,"",'Dvd Calendar'!$Z$932))</f>
        <v/>
      </c>
      <c r="BM95" s="110">
        <f>IF(GO95="","",IF(ISNUMBER('Dvd Calendar'!$AA$932)=FALSE,"",'Dvd Calendar'!$AA$932))</f>
        <v/>
      </c>
      <c r="BN95" s="110">
        <f>IF(GP95="","",IF(ISNUMBER('Dvd Calendar'!$AB$932)=FALSE,"",'Dvd Calendar'!$AB$932))</f>
        <v/>
      </c>
      <c r="BO95" s="110">
        <f>IF(GQ95="","",IF(ISNUMBER('Dvd Calendar'!$AC$932)=FALSE,"",'Dvd Calendar'!$AC$932))</f>
        <v/>
      </c>
      <c r="BQ95" s="110">
        <f>IF(C95="","",IFERROR(C95*HSI!$B$90*HSI!$G$90/HSI!$B$3,""))</f>
        <v/>
      </c>
      <c r="BR95" s="110">
        <f>IF(D95="","",IFERROR(D95*HSI!$B$90*HSI!$G$90/HSI!$B$3,""))</f>
        <v/>
      </c>
      <c r="BS95" s="110">
        <f>IF(E95="","",IFERROR(E95*HSI!$B$90*HSI!$G$90/HSI!$B$3,""))</f>
        <v/>
      </c>
      <c r="BT95" s="110">
        <f>IF(F95="","",IFERROR(F95*HSI!$B$90*HSI!$G$90/HSI!$B$3,""))</f>
        <v/>
      </c>
      <c r="BU95" s="110">
        <f>IF(G95="","",IFERROR(G95*HSI!$B$90*HSI!$G$90/HSI!$B$3,""))</f>
        <v/>
      </c>
      <c r="BV95" s="110">
        <f>IF(H95="","",IFERROR(H95*HSI!$B$90*HSI!$G$90/HSI!$B$3,""))</f>
        <v/>
      </c>
      <c r="BW95" s="110">
        <f>IF(I95="","",IFERROR(I95*HSI!$B$90*HSI!$G$90/HSI!$B$3,""))</f>
        <v/>
      </c>
      <c r="BX95" s="110">
        <f>IF(J95="","",IFERROR(J95*HSI!$B$90*HSI!$G$90/HSI!$B$3,""))</f>
        <v/>
      </c>
      <c r="BY95" s="110">
        <f>IF(K95="","",IFERROR(K95*HSI!$B$90*HSI!$G$90/HSI!$B$3,""))</f>
        <v/>
      </c>
      <c r="BZ95" s="110">
        <f>IF(L95="","",IFERROR(L95*HSI!$B$90*HSI!$G$90/HSI!$B$3,""))</f>
        <v/>
      </c>
      <c r="CA95" s="110">
        <f>IF(M95="","",IFERROR(M95*HSI!$B$90*HSI!$G$90/HSI!$B$3,""))</f>
        <v/>
      </c>
      <c r="CB95" s="110">
        <f>IF(N95="","",IFERROR(N95*HSI!$B$90*HSI!$G$90/HSI!$B$3,""))</f>
        <v/>
      </c>
      <c r="CC95" s="110">
        <f>IF(O95="","",IFERROR(O95*HSI!$B$90*HSI!$G$90/HSI!$B$3,""))</f>
        <v/>
      </c>
      <c r="CD95" s="110">
        <f>IF(P95="","",IFERROR(P95*HSI!$B$90*HSI!$G$90/HSI!$B$3,""))</f>
        <v/>
      </c>
      <c r="CE95" s="110">
        <f>IF(Q95="","",IFERROR(Q95*HSI!$B$90*HSI!$G$90/HSI!$B$3,""))</f>
        <v/>
      </c>
      <c r="CF95" s="110">
        <f>IF(R95="","",IFERROR(R95*HSI!$B$90*HSI!$G$90/HSI!$B$3,""))</f>
        <v/>
      </c>
      <c r="CG95" s="110">
        <f>IF(S95="","",IFERROR(S95*HSI!$B$90*HSI!$G$90/HSI!$B$3,""))</f>
        <v/>
      </c>
      <c r="CH95" s="110">
        <f>IF(T95="","",IFERROR(T95*HSI!$B$90*HSI!$G$90/HSI!$B$3,""))</f>
        <v/>
      </c>
      <c r="CI95" s="110">
        <f>IF(U95="","",IFERROR(U95*HSI!$B$90*HSI!$G$90/HSI!$B$3,""))</f>
        <v/>
      </c>
      <c r="CJ95" s="110">
        <f>IF(V95="","",IFERROR(V95*HSI!$B$90*HSI!$G$90/HSI!$B$3,""))</f>
        <v/>
      </c>
      <c r="CK95" s="110">
        <f>IF(W95="","",IFERROR(W95*HSI!$B$90*HSI!$G$90/HSI!$B$3,""))</f>
        <v/>
      </c>
      <c r="CL95" s="110">
        <f>IF(X95="","",IFERROR(X95*HSI!$B$90*HSI!$G$90/HSI!$B$3,""))</f>
        <v/>
      </c>
      <c r="CM95" s="110">
        <f>IF(Y95="","",IFERROR(Y95*HSI!$B$90*HSI!$G$90/HSI!$B$3,""))</f>
        <v/>
      </c>
      <c r="CN95" s="110">
        <f>IF(Z95="","",IFERROR(Z95*HSI!$B$90*HSI!$G$90/HSI!$B$3,""))</f>
        <v/>
      </c>
      <c r="CO95" s="110">
        <f>IF(AA95="","",IFERROR(AA95*HSI!$B$90*HSI!$G$90/HSI!$B$3,""))</f>
        <v/>
      </c>
      <c r="CP95" s="110">
        <f>IF(AB95="","",IFERROR(AB95*HSI!$B$90*HSI!$G$90/HSI!$B$3,""))</f>
        <v/>
      </c>
      <c r="CQ95" s="110">
        <f>IF(AC95="","",IFERROR(AC95*HSI!$B$90*HSI!$G$90/HSI!$B$3,""))</f>
        <v/>
      </c>
      <c r="CR95" s="110">
        <f>IF(AD95="","",IFERROR(AD95*HSI!$B$90*HSI!$G$90/HSI!$B$3,""))</f>
        <v/>
      </c>
      <c r="CS95" s="110">
        <f>IF(AE95="","",IFERROR(AE95*HSI!$B$90*HSI!$G$90/HSI!$B$3,""))</f>
        <v/>
      </c>
      <c r="CT95" s="110">
        <f>IF(AF95="","",IFERROR(AF95*HSI!$B$90*HSI!$G$90/HSI!$B$3,""))</f>
        <v/>
      </c>
      <c r="CU95" s="110">
        <f>IF(AG95="","",IFERROR(AG95*HSI!$B$90*HSI!$G$90/HSI!$B$3,""))</f>
        <v/>
      </c>
      <c r="CV95" s="110">
        <f>IF(AH95="","",IFERROR(AH95*HSI!$B$90*HSI!$G$90/HSI!$B$3,""))</f>
        <v/>
      </c>
      <c r="CW95" s="110">
        <f>IF(AI95="","",IFERROR(AI95*HSI!$B$90*HSI!$G$90/HSI!$B$3,""))</f>
        <v/>
      </c>
      <c r="CX95" s="110">
        <f>IF(AJ95="","",IFERROR(AJ95*HSI!$B$90*HSI!$G$90/HSI!$B$3,""))</f>
        <v/>
      </c>
      <c r="CY95" s="110">
        <f>IF(AK95="","",IFERROR(AK95*HSI!$B$90*HSI!$G$90/HSI!$B$3,""))</f>
        <v/>
      </c>
      <c r="CZ95" s="110">
        <f>IF(AL95="","",IFERROR(AL95*HSI!$B$90*HSI!$G$90/HSI!$B$3,""))</f>
        <v/>
      </c>
      <c r="DA95" s="110">
        <f>IF(AM95="","",IFERROR(AM95*HSI!$B$90*HSI!$G$90/HSI!$B$3,""))</f>
        <v/>
      </c>
      <c r="DB95" s="110">
        <f>IF(AN95="","",IFERROR(AN95*HSI!$B$90*HSI!$G$90/HSI!$B$3,""))</f>
        <v/>
      </c>
      <c r="DC95" s="110">
        <f>IF(AO95="","",IFERROR(AO95*HSI!$B$90*HSI!$G$90/HSI!$B$3,""))</f>
        <v/>
      </c>
      <c r="DD95" s="110">
        <f>IF(AP95="","",IFERROR(AP95*HSI!$B$90*HSI!$G$90/HSI!$B$3,""))</f>
        <v/>
      </c>
      <c r="DE95" s="110">
        <f>IF(AQ95="","",IFERROR(AQ95*HSI!$B$90*HSI!$G$90/HSI!$B$3,""))</f>
        <v/>
      </c>
      <c r="DF95" s="110">
        <f>IF(AR95="","",IFERROR(AR95*HSI!$B$90*HSI!$G$90/HSI!$B$3,""))</f>
        <v/>
      </c>
      <c r="DG95" s="110">
        <f>IF(AS95="","",IFERROR(AS95*HSI!$B$90*HSI!$G$90/HSI!$B$3,""))</f>
        <v/>
      </c>
      <c r="DH95" s="110">
        <f>IF(AT95="","",IFERROR(AT95*HSI!$B$90*HSI!$G$90/HSI!$B$3,""))</f>
        <v/>
      </c>
      <c r="DI95" s="110">
        <f>IF(AU95="","",IFERROR(AU95*HSI!$B$90*HSI!$G$90/HSI!$B$3,""))</f>
        <v/>
      </c>
      <c r="DJ95" s="110">
        <f>IF(AV95="","",IFERROR(AV95*HSI!$B$90*HSI!$G$90/HSI!$B$3,""))</f>
        <v/>
      </c>
      <c r="DK95" s="110">
        <f>IF(AW95="","",IFERROR(AW95*HSI!$B$90*HSI!$G$90/HSI!$B$3,""))</f>
        <v/>
      </c>
      <c r="DL95" s="110">
        <f>IF(AX95="","",IFERROR(AX95*HSI!$B$90*HSI!$G$90/HSI!$B$3,""))</f>
        <v/>
      </c>
      <c r="DM95" s="110">
        <f>IF(AY95="","",IFERROR(AY95*HSI!$B$90*HSI!$G$90/HSI!$B$3,""))</f>
        <v/>
      </c>
      <c r="DN95" s="110">
        <f>IF(AZ95="","",IFERROR(AZ95*HSI!$B$90*HSI!$G$90/HSI!$B$3,""))</f>
        <v/>
      </c>
      <c r="DO95" s="110">
        <f>IF(BA95="","",IFERROR(BA95*HSI!$B$90*HSI!$G$90/HSI!$B$3,""))</f>
        <v/>
      </c>
      <c r="DP95" s="110">
        <f>IF(BB95="","",IFERROR(BB95*HSI!$B$90*HSI!$G$90/HSI!$B$3,""))</f>
        <v/>
      </c>
      <c r="DQ95" s="110">
        <f>IF(BC95="","",IFERROR(BC95*HSI!$B$90*HSI!$G$90/HSI!$B$3,""))</f>
        <v/>
      </c>
      <c r="DR95" s="110">
        <f>IF(BD95="","",IFERROR(BD95*HSI!$B$90*HSI!$G$90/HSI!$B$3,""))</f>
        <v/>
      </c>
      <c r="DS95" s="110">
        <f>IF(BE95="","",IFERROR(BE95*HSI!$B$90*HSI!$G$90/HSI!$B$3,""))</f>
        <v/>
      </c>
      <c r="DT95" s="110">
        <f>IF(BF95="","",IFERROR(BF95*HSI!$B$90*HSI!$G$90/HSI!$B$3,""))</f>
        <v/>
      </c>
      <c r="DU95" s="110">
        <f>IF(BG95="","",IFERROR(BG95*HSI!$B$90*HSI!$G$90/HSI!$B$3,""))</f>
        <v/>
      </c>
      <c r="DV95" s="110">
        <f>IF(BH95="","",IFERROR(BH95*HSI!$B$90*HSI!$G$90/HSI!$B$3,""))</f>
        <v/>
      </c>
      <c r="DW95" s="110">
        <f>IF(BI95="","",IFERROR(BI95*HSI!$B$90*HSI!$G$90/HSI!$B$3,""))</f>
        <v/>
      </c>
      <c r="DX95" s="110">
        <f>IF(BJ95="","",IFERROR(BJ95*HSI!$B$90*HSI!$G$90/HSI!$B$3,""))</f>
        <v/>
      </c>
      <c r="DY95" s="110">
        <f>IF(BK95="","",IFERROR(BK95*HSI!$B$90*HSI!$G$90/HSI!$B$3,""))</f>
        <v/>
      </c>
      <c r="DZ95" s="110">
        <f>IF(BL95="","",IFERROR(BL95*HSI!$B$90*HSI!$G$90/HSI!$B$3,""))</f>
        <v/>
      </c>
      <c r="EA95" s="110">
        <f>IF(BM95="","",IFERROR(BM95*HSI!$B$90*HSI!$G$90/HSI!$B$3,""))</f>
        <v/>
      </c>
      <c r="EB95" s="110">
        <f>IF(BN95="","",IFERROR(BN95*HSI!$B$90*HSI!$G$90/HSI!$B$3,""))</f>
        <v/>
      </c>
      <c r="EC95" s="110">
        <f>IF(BO95="","",IFERROR(BO95*HSI!$B$90*HSI!$G$90/HSI!$B$3,""))</f>
        <v/>
      </c>
      <c r="EE95" s="39">
        <f>IF(N('Dvd Calendar'!$E$924)=0,"",IF(('Dvd Calendar'!$E$924&gt;=GRID_FROM)*('Dvd Calendar'!$E$924&lt;=GRID_TO)*((('Dvd Calendar'!$E$924&lt;=VAL_DATE)+(COUNTIF('Dvd Calendar'!$E$931:$AR$931,'Dvd Calendar'!$E$924)=0))&gt;0)=0,"",'Dvd Calendar'!$E$924*1000000000+ISNUMBER('Dvd Calendar'!$E$927)*100000000+('Dvd Calendar'!$E$929=SPECIAL_LBL)*10000000+(N('Dvd Calendar'!$E$923)&gt;0)*(N('Dvd Calendar'!$E$923)&lt;=VAL_SERIAL)*1000000+84*1000+1))</f>
        <v/>
      </c>
      <c r="EF95" s="39">
        <f>IF(N('Dvd Calendar'!$F$924)=0,"",IF(('Dvd Calendar'!$F$924&gt;=GRID_FROM)*('Dvd Calendar'!$F$924&lt;=GRID_TO)*((('Dvd Calendar'!$F$924&lt;=VAL_DATE)+(COUNTIF('Dvd Calendar'!$E$931:$AR$931,'Dvd Calendar'!$F$924)=0))&gt;0)=0,"",'Dvd Calendar'!$F$924*1000000000+ISNUMBER('Dvd Calendar'!$F$927)*100000000+('Dvd Calendar'!$F$929=SPECIAL_LBL)*10000000+(N('Dvd Calendar'!$F$923)&gt;0)*(N('Dvd Calendar'!$F$923)&lt;=VAL_SERIAL)*1000000+84*1000+2))</f>
        <v/>
      </c>
      <c r="EG95" s="39">
        <f>IF(N('Dvd Calendar'!$G$924)=0,"",IF(('Dvd Calendar'!$G$924&gt;=GRID_FROM)*('Dvd Calendar'!$G$924&lt;=GRID_TO)*((('Dvd Calendar'!$G$924&lt;=VAL_DATE)+(COUNTIF('Dvd Calendar'!$E$931:$AR$931,'Dvd Calendar'!$G$924)=0))&gt;0)=0,"",'Dvd Calendar'!$G$924*1000000000+ISNUMBER('Dvd Calendar'!$G$927)*100000000+('Dvd Calendar'!$G$929=SPECIAL_LBL)*10000000+(N('Dvd Calendar'!$G$923)&gt;0)*(N('Dvd Calendar'!$G$923)&lt;=VAL_SERIAL)*1000000+84*1000+3))</f>
        <v/>
      </c>
      <c r="EH95" s="39">
        <f>IF(N('Dvd Calendar'!$H$924)=0,"",IF(('Dvd Calendar'!$H$924&gt;=GRID_FROM)*('Dvd Calendar'!$H$924&lt;=GRID_TO)*((('Dvd Calendar'!$H$924&lt;=VAL_DATE)+(COUNTIF('Dvd Calendar'!$E$931:$AR$931,'Dvd Calendar'!$H$924)=0))&gt;0)=0,"",'Dvd Calendar'!$H$924*1000000000+ISNUMBER('Dvd Calendar'!$H$927)*100000000+('Dvd Calendar'!$H$929=SPECIAL_LBL)*10000000+(N('Dvd Calendar'!$H$923)&gt;0)*(N('Dvd Calendar'!$H$923)&lt;=VAL_SERIAL)*1000000+84*1000+4))</f>
        <v/>
      </c>
      <c r="EI95" s="39">
        <f>IF(N('Dvd Calendar'!$I$924)=0,"",IF(('Dvd Calendar'!$I$924&gt;=GRID_FROM)*('Dvd Calendar'!$I$924&lt;=GRID_TO)*((('Dvd Calendar'!$I$924&lt;=VAL_DATE)+(COUNTIF('Dvd Calendar'!$E$931:$AR$931,'Dvd Calendar'!$I$924)=0))&gt;0)=0,"",'Dvd Calendar'!$I$924*1000000000+ISNUMBER('Dvd Calendar'!$I$927)*100000000+('Dvd Calendar'!$I$929=SPECIAL_LBL)*10000000+(N('Dvd Calendar'!$I$923)&gt;0)*(N('Dvd Calendar'!$I$923)&lt;=VAL_SERIAL)*1000000+84*1000+5))</f>
        <v/>
      </c>
      <c r="EJ95" s="39">
        <f>IF(N('Dvd Calendar'!$J$924)=0,"",IF(('Dvd Calendar'!$J$924&gt;=GRID_FROM)*('Dvd Calendar'!$J$924&lt;=GRID_TO)*((('Dvd Calendar'!$J$924&lt;=VAL_DATE)+(COUNTIF('Dvd Calendar'!$E$931:$AR$931,'Dvd Calendar'!$J$924)=0))&gt;0)=0,"",'Dvd Calendar'!$J$924*1000000000+ISNUMBER('Dvd Calendar'!$J$927)*100000000+('Dvd Calendar'!$J$929=SPECIAL_LBL)*10000000+(N('Dvd Calendar'!$J$923)&gt;0)*(N('Dvd Calendar'!$J$923)&lt;=VAL_SERIAL)*1000000+84*1000+6))</f>
        <v/>
      </c>
      <c r="EK95" s="39">
        <f>IF(N('Dvd Calendar'!$K$924)=0,"",IF(('Dvd Calendar'!$K$924&gt;=GRID_FROM)*('Dvd Calendar'!$K$924&lt;=GRID_TO)*((('Dvd Calendar'!$K$924&lt;=VAL_DATE)+(COUNTIF('Dvd Calendar'!$E$931:$AR$931,'Dvd Calendar'!$K$924)=0))&gt;0)=0,"",'Dvd Calendar'!$K$924*1000000000+ISNUMBER('Dvd Calendar'!$K$927)*100000000+('Dvd Calendar'!$K$929=SPECIAL_LBL)*10000000+(N('Dvd Calendar'!$K$923)&gt;0)*(N('Dvd Calendar'!$K$923)&lt;=VAL_SERIAL)*1000000+84*1000+7))</f>
        <v/>
      </c>
      <c r="EL95" s="39">
        <f>IF(N('Dvd Calendar'!$L$924)=0,"",IF(('Dvd Calendar'!$L$924&gt;=GRID_FROM)*('Dvd Calendar'!$L$924&lt;=GRID_TO)*((('Dvd Calendar'!$L$924&lt;=VAL_DATE)+(COUNTIF('Dvd Calendar'!$E$931:$AR$931,'Dvd Calendar'!$L$924)=0))&gt;0)=0,"",'Dvd Calendar'!$L$924*1000000000+ISNUMBER('Dvd Calendar'!$L$927)*100000000+('Dvd Calendar'!$L$929=SPECIAL_LBL)*10000000+(N('Dvd Calendar'!$L$923)&gt;0)*(N('Dvd Calendar'!$L$923)&lt;=VAL_SERIAL)*1000000+84*1000+8))</f>
        <v/>
      </c>
      <c r="EM95" s="39">
        <f>IF(N('Dvd Calendar'!$M$924)=0,"",IF(('Dvd Calendar'!$M$924&gt;=GRID_FROM)*('Dvd Calendar'!$M$924&lt;=GRID_TO)*((('Dvd Calendar'!$M$924&lt;=VAL_DATE)+(COUNTIF('Dvd Calendar'!$E$931:$AR$931,'Dvd Calendar'!$M$924)=0))&gt;0)=0,"",'Dvd Calendar'!$M$924*1000000000+ISNUMBER('Dvd Calendar'!$M$927)*100000000+('Dvd Calendar'!$M$929=SPECIAL_LBL)*10000000+(N('Dvd Calendar'!$M$923)&gt;0)*(N('Dvd Calendar'!$M$923)&lt;=VAL_SERIAL)*1000000+84*1000+9))</f>
        <v/>
      </c>
      <c r="EN95" s="39">
        <f>IF(N('Dvd Calendar'!$N$924)=0,"",IF(('Dvd Calendar'!$N$924&gt;=GRID_FROM)*('Dvd Calendar'!$N$924&lt;=GRID_TO)*((('Dvd Calendar'!$N$924&lt;=VAL_DATE)+(COUNTIF('Dvd Calendar'!$E$931:$AR$931,'Dvd Calendar'!$N$924)=0))&gt;0)=0,"",'Dvd Calendar'!$N$924*1000000000+ISNUMBER('Dvd Calendar'!$N$927)*100000000+('Dvd Calendar'!$N$929=SPECIAL_LBL)*10000000+(N('Dvd Calendar'!$N$923)&gt;0)*(N('Dvd Calendar'!$N$923)&lt;=VAL_SERIAL)*1000000+84*1000+10))</f>
        <v/>
      </c>
      <c r="EO95" s="39">
        <f>IF(N('Dvd Calendar'!$O$924)=0,"",IF(('Dvd Calendar'!$O$924&gt;=GRID_FROM)*('Dvd Calendar'!$O$924&lt;=GRID_TO)*((('Dvd Calendar'!$O$924&lt;=VAL_DATE)+(COUNTIF('Dvd Calendar'!$E$931:$AR$931,'Dvd Calendar'!$O$924)=0))&gt;0)=0,"",'Dvd Calendar'!$O$924*1000000000+ISNUMBER('Dvd Calendar'!$O$927)*100000000+('Dvd Calendar'!$O$929=SPECIAL_LBL)*10000000+(N('Dvd Calendar'!$O$923)&gt;0)*(N('Dvd Calendar'!$O$923)&lt;=VAL_SERIAL)*1000000+84*1000+11))</f>
        <v/>
      </c>
      <c r="EP95" s="39">
        <f>IF(N('Dvd Calendar'!$P$924)=0,"",IF(('Dvd Calendar'!$P$924&gt;=GRID_FROM)*('Dvd Calendar'!$P$924&lt;=GRID_TO)*((('Dvd Calendar'!$P$924&lt;=VAL_DATE)+(COUNTIF('Dvd Calendar'!$E$931:$AR$931,'Dvd Calendar'!$P$924)=0))&gt;0)=0,"",'Dvd Calendar'!$P$924*1000000000+ISNUMBER('Dvd Calendar'!$P$927)*100000000+('Dvd Calendar'!$P$929=SPECIAL_LBL)*10000000+(N('Dvd Calendar'!$P$923)&gt;0)*(N('Dvd Calendar'!$P$923)&lt;=VAL_SERIAL)*1000000+84*1000+12))</f>
        <v/>
      </c>
      <c r="EQ95" s="39">
        <f>IF(N('Dvd Calendar'!$Q$924)=0,"",IF(('Dvd Calendar'!$Q$924&gt;=GRID_FROM)*('Dvd Calendar'!$Q$924&lt;=GRID_TO)*((('Dvd Calendar'!$Q$924&lt;=VAL_DATE)+(COUNTIF('Dvd Calendar'!$E$931:$AR$931,'Dvd Calendar'!$Q$924)=0))&gt;0)=0,"",'Dvd Calendar'!$Q$924*1000000000+ISNUMBER('Dvd Calendar'!$Q$927)*100000000+('Dvd Calendar'!$Q$929=SPECIAL_LBL)*10000000+(N('Dvd Calendar'!$Q$923)&gt;0)*(N('Dvd Calendar'!$Q$923)&lt;=VAL_SERIAL)*1000000+84*1000+13))</f>
        <v/>
      </c>
      <c r="ER95" s="39">
        <f>IF(N('Dvd Calendar'!$R$924)=0,"",IF(('Dvd Calendar'!$R$924&gt;=GRID_FROM)*('Dvd Calendar'!$R$924&lt;=GRID_TO)*((('Dvd Calendar'!$R$924&lt;=VAL_DATE)+(COUNTIF('Dvd Calendar'!$E$931:$AR$931,'Dvd Calendar'!$R$924)=0))&gt;0)=0,"",'Dvd Calendar'!$R$924*1000000000+ISNUMBER('Dvd Calendar'!$R$927)*100000000+('Dvd Calendar'!$R$929=SPECIAL_LBL)*10000000+(N('Dvd Calendar'!$R$923)&gt;0)*(N('Dvd Calendar'!$R$923)&lt;=VAL_SERIAL)*1000000+84*1000+14))</f>
        <v/>
      </c>
      <c r="ES95" s="39">
        <f>IF(N('Dvd Calendar'!$S$924)=0,"",IF(('Dvd Calendar'!$S$924&gt;=GRID_FROM)*('Dvd Calendar'!$S$924&lt;=GRID_TO)*((('Dvd Calendar'!$S$924&lt;=VAL_DATE)+(COUNTIF('Dvd Calendar'!$E$931:$AR$931,'Dvd Calendar'!$S$924)=0))&gt;0)=0,"",'Dvd Calendar'!$S$924*1000000000+ISNUMBER('Dvd Calendar'!$S$927)*100000000+('Dvd Calendar'!$S$929=SPECIAL_LBL)*10000000+(N('Dvd Calendar'!$S$923)&gt;0)*(N('Dvd Calendar'!$S$923)&lt;=VAL_SERIAL)*1000000+84*1000+15))</f>
        <v/>
      </c>
      <c r="ET95" s="39">
        <f>IF(N('Dvd Calendar'!$T$924)=0,"",IF(('Dvd Calendar'!$T$924&gt;=GRID_FROM)*('Dvd Calendar'!$T$924&lt;=GRID_TO)*((('Dvd Calendar'!$T$924&lt;=VAL_DATE)+(COUNTIF('Dvd Calendar'!$E$931:$AR$931,'Dvd Calendar'!$T$924)=0))&gt;0)=0,"",'Dvd Calendar'!$T$924*1000000000+ISNUMBER('Dvd Calendar'!$T$927)*100000000+('Dvd Calendar'!$T$929=SPECIAL_LBL)*10000000+(N('Dvd Calendar'!$T$923)&gt;0)*(N('Dvd Calendar'!$T$923)&lt;=VAL_SERIAL)*1000000+84*1000+16))</f>
        <v/>
      </c>
      <c r="EU95" s="39">
        <f>IF(N('Dvd Calendar'!$U$924)=0,"",IF(('Dvd Calendar'!$U$924&gt;=GRID_FROM)*('Dvd Calendar'!$U$924&lt;=GRID_TO)*((('Dvd Calendar'!$U$924&lt;=VAL_DATE)+(COUNTIF('Dvd Calendar'!$E$931:$AR$931,'Dvd Calendar'!$U$924)=0))&gt;0)=0,"",'Dvd Calendar'!$U$924*1000000000+ISNUMBER('Dvd Calendar'!$U$927)*100000000+('Dvd Calendar'!$U$929=SPECIAL_LBL)*10000000+(N('Dvd Calendar'!$U$923)&gt;0)*(N('Dvd Calendar'!$U$923)&lt;=VAL_SERIAL)*1000000+84*1000+17))</f>
        <v/>
      </c>
      <c r="EV95" s="39">
        <f>IF(N('Dvd Calendar'!$V$924)=0,"",IF(('Dvd Calendar'!$V$924&gt;=GRID_FROM)*('Dvd Calendar'!$V$924&lt;=GRID_TO)*((('Dvd Calendar'!$V$924&lt;=VAL_DATE)+(COUNTIF('Dvd Calendar'!$E$931:$AR$931,'Dvd Calendar'!$V$924)=0))&gt;0)=0,"",'Dvd Calendar'!$V$924*1000000000+ISNUMBER('Dvd Calendar'!$V$927)*100000000+('Dvd Calendar'!$V$929=SPECIAL_LBL)*10000000+(N('Dvd Calendar'!$V$923)&gt;0)*(N('Dvd Calendar'!$V$923)&lt;=VAL_SERIAL)*1000000+84*1000+18))</f>
        <v/>
      </c>
      <c r="EW95" s="39">
        <f>IF(N('Dvd Calendar'!$W$924)=0,"",IF(('Dvd Calendar'!$W$924&gt;=GRID_FROM)*('Dvd Calendar'!$W$924&lt;=GRID_TO)*((('Dvd Calendar'!$W$924&lt;=VAL_DATE)+(COUNTIF('Dvd Calendar'!$E$931:$AR$931,'Dvd Calendar'!$W$924)=0))&gt;0)=0,"",'Dvd Calendar'!$W$924*1000000000+ISNUMBER('Dvd Calendar'!$W$927)*100000000+('Dvd Calendar'!$W$929=SPECIAL_LBL)*10000000+(N('Dvd Calendar'!$W$923)&gt;0)*(N('Dvd Calendar'!$W$923)&lt;=VAL_SERIAL)*1000000+84*1000+19))</f>
        <v/>
      </c>
      <c r="EX95" s="39">
        <f>IF(N('Dvd Calendar'!$X$924)=0,"",IF(('Dvd Calendar'!$X$924&gt;=GRID_FROM)*('Dvd Calendar'!$X$924&lt;=GRID_TO)*((('Dvd Calendar'!$X$924&lt;=VAL_DATE)+(COUNTIF('Dvd Calendar'!$E$931:$AR$931,'Dvd Calendar'!$X$924)=0))&gt;0)=0,"",'Dvd Calendar'!$X$924*1000000000+ISNUMBER('Dvd Calendar'!$X$927)*100000000+('Dvd Calendar'!$X$929=SPECIAL_LBL)*10000000+(N('Dvd Calendar'!$X$923)&gt;0)*(N('Dvd Calendar'!$X$923)&lt;=VAL_SERIAL)*1000000+84*1000+20))</f>
        <v/>
      </c>
      <c r="EY95" s="39">
        <f>IF(N('Dvd Calendar'!$Y$924)=0,"",IF(('Dvd Calendar'!$Y$924&gt;=GRID_FROM)*('Dvd Calendar'!$Y$924&lt;=GRID_TO)*((('Dvd Calendar'!$Y$924&lt;=VAL_DATE)+(COUNTIF('Dvd Calendar'!$E$931:$AR$931,'Dvd Calendar'!$Y$924)=0))&gt;0)=0,"",'Dvd Calendar'!$Y$924*1000000000+ISNUMBER('Dvd Calendar'!$Y$927)*100000000+('Dvd Calendar'!$Y$929=SPECIAL_LBL)*10000000+(N('Dvd Calendar'!$Y$923)&gt;0)*(N('Dvd Calendar'!$Y$923)&lt;=VAL_SERIAL)*1000000+84*1000+21))</f>
        <v/>
      </c>
      <c r="EZ95" s="39">
        <f>IF(N('Dvd Calendar'!$Z$924)=0,"",IF(('Dvd Calendar'!$Z$924&gt;=GRID_FROM)*('Dvd Calendar'!$Z$924&lt;=GRID_TO)*((('Dvd Calendar'!$Z$924&lt;=VAL_DATE)+(COUNTIF('Dvd Calendar'!$E$931:$AR$931,'Dvd Calendar'!$Z$924)=0))&gt;0)=0,"",'Dvd Calendar'!$Z$924*1000000000+ISNUMBER('Dvd Calendar'!$Z$927)*100000000+('Dvd Calendar'!$Z$929=SPECIAL_LBL)*10000000+(N('Dvd Calendar'!$Z$923)&gt;0)*(N('Dvd Calendar'!$Z$923)&lt;=VAL_SERIAL)*1000000+84*1000+22))</f>
        <v/>
      </c>
      <c r="FA95" s="39">
        <f>IF(N('Dvd Calendar'!$AA$924)=0,"",IF(('Dvd Calendar'!$AA$924&gt;=GRID_FROM)*('Dvd Calendar'!$AA$924&lt;=GRID_TO)*((('Dvd Calendar'!$AA$924&lt;=VAL_DATE)+(COUNTIF('Dvd Calendar'!$E$931:$AR$931,'Dvd Calendar'!$AA$924)=0))&gt;0)=0,"",'Dvd Calendar'!$AA$924*1000000000+ISNUMBER('Dvd Calendar'!$AA$927)*100000000+('Dvd Calendar'!$AA$929=SPECIAL_LBL)*10000000+(N('Dvd Calendar'!$AA$923)&gt;0)*(N('Dvd Calendar'!$AA$923)&lt;=VAL_SERIAL)*1000000+84*1000+23))</f>
        <v/>
      </c>
      <c r="FB95" s="39">
        <f>IF(N('Dvd Calendar'!$AB$924)=0,"",IF(('Dvd Calendar'!$AB$924&gt;=GRID_FROM)*('Dvd Calendar'!$AB$924&lt;=GRID_TO)*((('Dvd Calendar'!$AB$924&lt;=VAL_DATE)+(COUNTIF('Dvd Calendar'!$E$931:$AR$931,'Dvd Calendar'!$AB$924)=0))&gt;0)=0,"",'Dvd Calendar'!$AB$924*1000000000+ISNUMBER('Dvd Calendar'!$AB$927)*100000000+('Dvd Calendar'!$AB$929=SPECIAL_LBL)*10000000+(N('Dvd Calendar'!$AB$923)&gt;0)*(N('Dvd Calendar'!$AB$923)&lt;=VAL_SERIAL)*1000000+84*1000+24))</f>
        <v/>
      </c>
      <c r="FC95" s="39">
        <f>IF(N('Dvd Calendar'!$AC$924)=0,"",IF(('Dvd Calendar'!$AC$924&gt;=GRID_FROM)*('Dvd Calendar'!$AC$924&lt;=GRID_TO)*((('Dvd Calendar'!$AC$924&lt;=VAL_DATE)+(COUNTIF('Dvd Calendar'!$E$931:$AR$931,'Dvd Calendar'!$AC$924)=0))&gt;0)=0,"",'Dvd Calendar'!$AC$924*1000000000+ISNUMBER('Dvd Calendar'!$AC$927)*100000000+('Dvd Calendar'!$AC$929=SPECIAL_LBL)*10000000+(N('Dvd Calendar'!$AC$923)&gt;0)*(N('Dvd Calendar'!$AC$923)&lt;=VAL_SERIAL)*1000000+84*1000+25))</f>
        <v/>
      </c>
      <c r="FD95" s="39">
        <f>IF(N('Dvd Calendar'!$AD$924)=0,"",IF(('Dvd Calendar'!$AD$924&gt;=GRID_FROM)*('Dvd Calendar'!$AD$924&lt;=GRID_TO)*((('Dvd Calendar'!$AD$924&lt;=VAL_DATE)+(COUNTIF('Dvd Calendar'!$E$931:$AR$931,'Dvd Calendar'!$AD$924)=0))&gt;0)=0,"",'Dvd Calendar'!$AD$924*1000000000+ISNUMBER('Dvd Calendar'!$AD$927)*100000000+('Dvd Calendar'!$AD$929=SPECIAL_LBL)*10000000+(N('Dvd Calendar'!$AD$923)&gt;0)*(N('Dvd Calendar'!$AD$923)&lt;=VAL_SERIAL)*1000000+84*1000+26))</f>
        <v/>
      </c>
      <c r="FE95" s="39">
        <f>IF(N('Dvd Calendar'!$AE$924)=0,"",IF(('Dvd Calendar'!$AE$924&gt;=GRID_FROM)*('Dvd Calendar'!$AE$924&lt;=GRID_TO)*((('Dvd Calendar'!$AE$924&lt;=VAL_DATE)+(COUNTIF('Dvd Calendar'!$E$931:$AR$931,'Dvd Calendar'!$AE$924)=0))&gt;0)=0,"",'Dvd Calendar'!$AE$924*1000000000+ISNUMBER('Dvd Calendar'!$AE$927)*100000000+('Dvd Calendar'!$AE$929=SPECIAL_LBL)*10000000+(N('Dvd Calendar'!$AE$923)&gt;0)*(N('Dvd Calendar'!$AE$923)&lt;=VAL_SERIAL)*1000000+84*1000+27))</f>
        <v/>
      </c>
      <c r="FF95" s="39">
        <f>IF(N('Dvd Calendar'!$AF$924)=0,"",IF(('Dvd Calendar'!$AF$924&gt;=GRID_FROM)*('Dvd Calendar'!$AF$924&lt;=GRID_TO)*((('Dvd Calendar'!$AF$924&lt;=VAL_DATE)+(COUNTIF('Dvd Calendar'!$E$931:$AR$931,'Dvd Calendar'!$AF$924)=0))&gt;0)=0,"",'Dvd Calendar'!$AF$924*1000000000+ISNUMBER('Dvd Calendar'!$AF$927)*100000000+('Dvd Calendar'!$AF$929=SPECIAL_LBL)*10000000+(N('Dvd Calendar'!$AF$923)&gt;0)*(N('Dvd Calendar'!$AF$923)&lt;=VAL_SERIAL)*1000000+84*1000+28))</f>
        <v/>
      </c>
      <c r="FG95" s="39">
        <f>IF(N('Dvd Calendar'!$AG$924)=0,"",IF(('Dvd Calendar'!$AG$924&gt;=GRID_FROM)*('Dvd Calendar'!$AG$924&lt;=GRID_TO)*((('Dvd Calendar'!$AG$924&lt;=VAL_DATE)+(COUNTIF('Dvd Calendar'!$E$931:$AR$931,'Dvd Calendar'!$AG$924)=0))&gt;0)=0,"",'Dvd Calendar'!$AG$924*1000000000+ISNUMBER('Dvd Calendar'!$AG$927)*100000000+('Dvd Calendar'!$AG$929=SPECIAL_LBL)*10000000+(N('Dvd Calendar'!$AG$923)&gt;0)*(N('Dvd Calendar'!$AG$923)&lt;=VAL_SERIAL)*1000000+84*1000+29))</f>
        <v/>
      </c>
      <c r="FH95" s="39">
        <f>IF(N('Dvd Calendar'!$AH$924)=0,"",IF(('Dvd Calendar'!$AH$924&gt;=GRID_FROM)*('Dvd Calendar'!$AH$924&lt;=GRID_TO)*((('Dvd Calendar'!$AH$924&lt;=VAL_DATE)+(COUNTIF('Dvd Calendar'!$E$931:$AR$931,'Dvd Calendar'!$AH$924)=0))&gt;0)=0,"",'Dvd Calendar'!$AH$924*1000000000+ISNUMBER('Dvd Calendar'!$AH$927)*100000000+('Dvd Calendar'!$AH$929=SPECIAL_LBL)*10000000+(N('Dvd Calendar'!$AH$923)&gt;0)*(N('Dvd Calendar'!$AH$923)&lt;=VAL_SERIAL)*1000000+84*1000+30))</f>
        <v/>
      </c>
      <c r="FI95" s="39">
        <f>IF(N('Dvd Calendar'!$AI$924)=0,"",IF(('Dvd Calendar'!$AI$924&gt;=GRID_FROM)*('Dvd Calendar'!$AI$924&lt;=GRID_TO)*((('Dvd Calendar'!$AI$924&lt;=VAL_DATE)+(COUNTIF('Dvd Calendar'!$E$931:$AR$931,'Dvd Calendar'!$AI$924)=0))&gt;0)=0,"",'Dvd Calendar'!$AI$924*1000000000+ISNUMBER('Dvd Calendar'!$AI$927)*100000000+('Dvd Calendar'!$AI$929=SPECIAL_LBL)*10000000+(N('Dvd Calendar'!$AI$923)&gt;0)*(N('Dvd Calendar'!$AI$923)&lt;=VAL_SERIAL)*1000000+84*1000+31))</f>
        <v/>
      </c>
      <c r="FJ95" s="39">
        <f>IF(N('Dvd Calendar'!$AJ$924)=0,"",IF(('Dvd Calendar'!$AJ$924&gt;=GRID_FROM)*('Dvd Calendar'!$AJ$924&lt;=GRID_TO)*((('Dvd Calendar'!$AJ$924&lt;=VAL_DATE)+(COUNTIF('Dvd Calendar'!$E$931:$AR$931,'Dvd Calendar'!$AJ$924)=0))&gt;0)=0,"",'Dvd Calendar'!$AJ$924*1000000000+ISNUMBER('Dvd Calendar'!$AJ$927)*100000000+('Dvd Calendar'!$AJ$929=SPECIAL_LBL)*10000000+(N('Dvd Calendar'!$AJ$923)&gt;0)*(N('Dvd Calendar'!$AJ$923)&lt;=VAL_SERIAL)*1000000+84*1000+32))</f>
        <v/>
      </c>
      <c r="FK95" s="39">
        <f>IF(N('Dvd Calendar'!$AK$924)=0,"",IF(('Dvd Calendar'!$AK$924&gt;=GRID_FROM)*('Dvd Calendar'!$AK$924&lt;=GRID_TO)*((('Dvd Calendar'!$AK$924&lt;=VAL_DATE)+(COUNTIF('Dvd Calendar'!$E$931:$AR$931,'Dvd Calendar'!$AK$924)=0))&gt;0)=0,"",'Dvd Calendar'!$AK$924*1000000000+ISNUMBER('Dvd Calendar'!$AK$927)*100000000+('Dvd Calendar'!$AK$929=SPECIAL_LBL)*10000000+(N('Dvd Calendar'!$AK$923)&gt;0)*(N('Dvd Calendar'!$AK$923)&lt;=VAL_SERIAL)*1000000+84*1000+33))</f>
        <v/>
      </c>
      <c r="FL95" s="39">
        <f>IF(N('Dvd Calendar'!$AL$924)=0,"",IF(('Dvd Calendar'!$AL$924&gt;=GRID_FROM)*('Dvd Calendar'!$AL$924&lt;=GRID_TO)*((('Dvd Calendar'!$AL$924&lt;=VAL_DATE)+(COUNTIF('Dvd Calendar'!$E$931:$AR$931,'Dvd Calendar'!$AL$924)=0))&gt;0)=0,"",'Dvd Calendar'!$AL$924*1000000000+ISNUMBER('Dvd Calendar'!$AL$927)*100000000+('Dvd Calendar'!$AL$929=SPECIAL_LBL)*10000000+(N('Dvd Calendar'!$AL$923)&gt;0)*(N('Dvd Calendar'!$AL$923)&lt;=VAL_SERIAL)*1000000+84*1000+34))</f>
        <v/>
      </c>
      <c r="FM95" s="39">
        <f>IF(N('Dvd Calendar'!$AM$924)=0,"",IF(('Dvd Calendar'!$AM$924&gt;=GRID_FROM)*('Dvd Calendar'!$AM$924&lt;=GRID_TO)*((('Dvd Calendar'!$AM$924&lt;=VAL_DATE)+(COUNTIF('Dvd Calendar'!$E$931:$AR$931,'Dvd Calendar'!$AM$924)=0))&gt;0)=0,"",'Dvd Calendar'!$AM$924*1000000000+ISNUMBER('Dvd Calendar'!$AM$927)*100000000+('Dvd Calendar'!$AM$929=SPECIAL_LBL)*10000000+(N('Dvd Calendar'!$AM$923)&gt;0)*(N('Dvd Calendar'!$AM$923)&lt;=VAL_SERIAL)*1000000+84*1000+35))</f>
        <v/>
      </c>
      <c r="FN95" s="39">
        <f>IF(N('Dvd Calendar'!$AN$924)=0,"",IF(('Dvd Calendar'!$AN$924&gt;=GRID_FROM)*('Dvd Calendar'!$AN$924&lt;=GRID_TO)*((('Dvd Calendar'!$AN$924&lt;=VAL_DATE)+(COUNTIF('Dvd Calendar'!$E$931:$AR$931,'Dvd Calendar'!$AN$924)=0))&gt;0)=0,"",'Dvd Calendar'!$AN$924*1000000000+ISNUMBER('Dvd Calendar'!$AN$927)*100000000+('Dvd Calendar'!$AN$929=SPECIAL_LBL)*10000000+(N('Dvd Calendar'!$AN$923)&gt;0)*(N('Dvd Calendar'!$AN$923)&lt;=VAL_SERIAL)*1000000+84*1000+36))</f>
        <v/>
      </c>
      <c r="FO95" s="39">
        <f>IF(N('Dvd Calendar'!$AO$924)=0,"",IF(('Dvd Calendar'!$AO$924&gt;=GRID_FROM)*('Dvd Calendar'!$AO$924&lt;=GRID_TO)*((('Dvd Calendar'!$AO$924&lt;=VAL_DATE)+(COUNTIF('Dvd Calendar'!$E$931:$AR$931,'Dvd Calendar'!$AO$924)=0))&gt;0)=0,"",'Dvd Calendar'!$AO$924*1000000000+ISNUMBER('Dvd Calendar'!$AO$927)*100000000+('Dvd Calendar'!$AO$929=SPECIAL_LBL)*10000000+(N('Dvd Calendar'!$AO$923)&gt;0)*(N('Dvd Calendar'!$AO$923)&lt;=VAL_SERIAL)*1000000+84*1000+37))</f>
        <v/>
      </c>
      <c r="FP95" s="39">
        <f>IF(N('Dvd Calendar'!$AP$924)=0,"",IF(('Dvd Calendar'!$AP$924&gt;=GRID_FROM)*('Dvd Calendar'!$AP$924&lt;=GRID_TO)*((('Dvd Calendar'!$AP$924&lt;=VAL_DATE)+(COUNTIF('Dvd Calendar'!$E$931:$AR$931,'Dvd Calendar'!$AP$924)=0))&gt;0)=0,"",'Dvd Calendar'!$AP$924*1000000000+ISNUMBER('Dvd Calendar'!$AP$927)*100000000+('Dvd Calendar'!$AP$929=SPECIAL_LBL)*10000000+(N('Dvd Calendar'!$AP$923)&gt;0)*(N('Dvd Calendar'!$AP$923)&lt;=VAL_SERIAL)*1000000+84*1000+38))</f>
        <v/>
      </c>
      <c r="FQ95" s="39">
        <f>IF(N('Dvd Calendar'!$AQ$924)=0,"",IF(('Dvd Calendar'!$AQ$924&gt;=GRID_FROM)*('Dvd Calendar'!$AQ$924&lt;=GRID_TO)*((('Dvd Calendar'!$AQ$924&lt;=VAL_DATE)+(COUNTIF('Dvd Calendar'!$E$931:$AR$931,'Dvd Calendar'!$AQ$924)=0))&gt;0)=0,"",'Dvd Calendar'!$AQ$924*1000000000+ISNUMBER('Dvd Calendar'!$AQ$927)*100000000+('Dvd Calendar'!$AQ$929=SPECIAL_LBL)*10000000+(N('Dvd Calendar'!$AQ$923)&gt;0)*(N('Dvd Calendar'!$AQ$923)&lt;=VAL_SERIAL)*1000000+84*1000+39))</f>
        <v/>
      </c>
      <c r="FR95" s="39">
        <f>IF(N('Dvd Calendar'!$AR$924)=0,"",IF(('Dvd Calendar'!$AR$924&gt;=GRID_FROM)*('Dvd Calendar'!$AR$924&lt;=GRID_TO)*((('Dvd Calendar'!$AR$924&lt;=VAL_DATE)+(COUNTIF('Dvd Calendar'!$E$931:$AR$931,'Dvd Calendar'!$AR$924)=0))&gt;0)=0,"",'Dvd Calendar'!$AR$924*1000000000+ISNUMBER('Dvd Calendar'!$AR$927)*100000000+('Dvd Calendar'!$AR$929=SPECIAL_LBL)*10000000+(N('Dvd Calendar'!$AR$923)&gt;0)*(N('Dvd Calendar'!$AR$923)&lt;=VAL_SERIAL)*1000000+84*1000+40))</f>
        <v/>
      </c>
      <c r="FS95" s="39">
        <f>IF(N('Dvd Calendar'!$E$931)=0,"",IF(('Dvd Calendar'!$E$931&gt;=GRID_FROM)*('Dvd Calendar'!$E$931&lt;=GRID_TO)*('Dvd Calendar'!$E$931&gt;VAL_DATE)=0,"",'Dvd Calendar'!$E$931*1000000000+ISNUMBER('Dvd Calendar'!$E$932)*100000000+0*10000000+(N('Dvd Calendar'!$E$930)&gt;0)*(N('Dvd Calendar'!$E$930)&lt;=VAL_SERIAL)*1000000+84*1000+41))</f>
        <v/>
      </c>
      <c r="FT95" s="39">
        <f>IF(N('Dvd Calendar'!$F$931)=0,"",IF(('Dvd Calendar'!$F$931&gt;=GRID_FROM)*('Dvd Calendar'!$F$931&lt;=GRID_TO)*('Dvd Calendar'!$F$931&gt;VAL_DATE)=0,"",'Dvd Calendar'!$F$931*1000000000+ISNUMBER('Dvd Calendar'!$F$932)*100000000+0*10000000+(N('Dvd Calendar'!$F$930)&gt;0)*(N('Dvd Calendar'!$F$930)&lt;=VAL_SERIAL)*1000000+84*1000+42))</f>
        <v/>
      </c>
      <c r="FU95" s="39">
        <f>IF(N('Dvd Calendar'!$G$931)=0,"",IF(('Dvd Calendar'!$G$931&gt;=GRID_FROM)*('Dvd Calendar'!$G$931&lt;=GRID_TO)*('Dvd Calendar'!$G$931&gt;VAL_DATE)=0,"",'Dvd Calendar'!$G$931*1000000000+ISNUMBER('Dvd Calendar'!$G$932)*100000000+0*10000000+(N('Dvd Calendar'!$G$930)&gt;0)*(N('Dvd Calendar'!$G$930)&lt;=VAL_SERIAL)*1000000+84*1000+43))</f>
        <v/>
      </c>
      <c r="FV95" s="39">
        <f>IF(N('Dvd Calendar'!$H$931)=0,"",IF(('Dvd Calendar'!$H$931&gt;=GRID_FROM)*('Dvd Calendar'!$H$931&lt;=GRID_TO)*('Dvd Calendar'!$H$931&gt;VAL_DATE)=0,"",'Dvd Calendar'!$H$931*1000000000+ISNUMBER('Dvd Calendar'!$H$932)*100000000+0*10000000+(N('Dvd Calendar'!$H$930)&gt;0)*(N('Dvd Calendar'!$H$930)&lt;=VAL_SERIAL)*1000000+84*1000+44))</f>
        <v/>
      </c>
      <c r="FW95" s="39">
        <f>IF(N('Dvd Calendar'!$I$931)=0,"",IF(('Dvd Calendar'!$I$931&gt;=GRID_FROM)*('Dvd Calendar'!$I$931&lt;=GRID_TO)*('Dvd Calendar'!$I$931&gt;VAL_DATE)=0,"",'Dvd Calendar'!$I$931*1000000000+ISNUMBER('Dvd Calendar'!$I$932)*100000000+0*10000000+(N('Dvd Calendar'!$I$930)&gt;0)*(N('Dvd Calendar'!$I$930)&lt;=VAL_SERIAL)*1000000+84*1000+45))</f>
        <v/>
      </c>
      <c r="FX95" s="39">
        <f>IF(N('Dvd Calendar'!$J$931)=0,"",IF(('Dvd Calendar'!$J$931&gt;=GRID_FROM)*('Dvd Calendar'!$J$931&lt;=GRID_TO)*('Dvd Calendar'!$J$931&gt;VAL_DATE)=0,"",'Dvd Calendar'!$J$931*1000000000+ISNUMBER('Dvd Calendar'!$J$932)*100000000+0*10000000+(N('Dvd Calendar'!$J$930)&gt;0)*(N('Dvd Calendar'!$J$930)&lt;=VAL_SERIAL)*1000000+84*1000+46))</f>
        <v/>
      </c>
      <c r="FY95" s="39">
        <f>IF(N('Dvd Calendar'!$K$931)=0,"",IF(('Dvd Calendar'!$K$931&gt;=GRID_FROM)*('Dvd Calendar'!$K$931&lt;=GRID_TO)*('Dvd Calendar'!$K$931&gt;VAL_DATE)=0,"",'Dvd Calendar'!$K$931*1000000000+ISNUMBER('Dvd Calendar'!$K$932)*100000000+0*10000000+(N('Dvd Calendar'!$K$930)&gt;0)*(N('Dvd Calendar'!$K$930)&lt;=VAL_SERIAL)*1000000+84*1000+47))</f>
        <v/>
      </c>
      <c r="FZ95" s="39">
        <f>IF(N('Dvd Calendar'!$L$931)=0,"",IF(('Dvd Calendar'!$L$931&gt;=GRID_FROM)*('Dvd Calendar'!$L$931&lt;=GRID_TO)*('Dvd Calendar'!$L$931&gt;VAL_DATE)=0,"",'Dvd Calendar'!$L$931*1000000000+ISNUMBER('Dvd Calendar'!$L$932)*100000000+0*10000000+(N('Dvd Calendar'!$L$930)&gt;0)*(N('Dvd Calendar'!$L$930)&lt;=VAL_SERIAL)*1000000+84*1000+48))</f>
        <v/>
      </c>
      <c r="GA95" s="39">
        <f>IF(N('Dvd Calendar'!$M$931)=0,"",IF(('Dvd Calendar'!$M$931&gt;=GRID_FROM)*('Dvd Calendar'!$M$931&lt;=GRID_TO)*('Dvd Calendar'!$M$931&gt;VAL_DATE)=0,"",'Dvd Calendar'!$M$931*1000000000+ISNUMBER('Dvd Calendar'!$M$932)*100000000+0*10000000+(N('Dvd Calendar'!$M$930)&gt;0)*(N('Dvd Calendar'!$M$930)&lt;=VAL_SERIAL)*1000000+84*1000+49))</f>
        <v/>
      </c>
      <c r="GB95" s="39">
        <f>IF(N('Dvd Calendar'!$N$931)=0,"",IF(('Dvd Calendar'!$N$931&gt;=GRID_FROM)*('Dvd Calendar'!$N$931&lt;=GRID_TO)*('Dvd Calendar'!$N$931&gt;VAL_DATE)=0,"",'Dvd Calendar'!$N$931*1000000000+ISNUMBER('Dvd Calendar'!$N$932)*100000000+0*10000000+(N('Dvd Calendar'!$N$930)&gt;0)*(N('Dvd Calendar'!$N$930)&lt;=VAL_SERIAL)*1000000+84*1000+50))</f>
        <v/>
      </c>
      <c r="GC95" s="39">
        <f>IF(N('Dvd Calendar'!$O$931)=0,"",IF(('Dvd Calendar'!$O$931&gt;=GRID_FROM)*('Dvd Calendar'!$O$931&lt;=GRID_TO)*('Dvd Calendar'!$O$931&gt;VAL_DATE)=0,"",'Dvd Calendar'!$O$931*1000000000+ISNUMBER('Dvd Calendar'!$O$932)*100000000+0*10000000+(N('Dvd Calendar'!$O$930)&gt;0)*(N('Dvd Calendar'!$O$930)&lt;=VAL_SERIAL)*1000000+84*1000+51))</f>
        <v/>
      </c>
      <c r="GD95" s="39">
        <f>IF(N('Dvd Calendar'!$P$931)=0,"",IF(('Dvd Calendar'!$P$931&gt;=GRID_FROM)*('Dvd Calendar'!$P$931&lt;=GRID_TO)*('Dvd Calendar'!$P$931&gt;VAL_DATE)=0,"",'Dvd Calendar'!$P$931*1000000000+ISNUMBER('Dvd Calendar'!$P$932)*100000000+0*10000000+(N('Dvd Calendar'!$P$930)&gt;0)*(N('Dvd Calendar'!$P$930)&lt;=VAL_SERIAL)*1000000+84*1000+52))</f>
        <v/>
      </c>
      <c r="GE95" s="39">
        <f>IF(N('Dvd Calendar'!$Q$931)=0,"",IF(('Dvd Calendar'!$Q$931&gt;=GRID_FROM)*('Dvd Calendar'!$Q$931&lt;=GRID_TO)*('Dvd Calendar'!$Q$931&gt;VAL_DATE)=0,"",'Dvd Calendar'!$Q$931*1000000000+ISNUMBER('Dvd Calendar'!$Q$932)*100000000+0*10000000+(N('Dvd Calendar'!$Q$930)&gt;0)*(N('Dvd Calendar'!$Q$930)&lt;=VAL_SERIAL)*1000000+84*1000+53))</f>
        <v/>
      </c>
      <c r="GF95" s="39">
        <f>IF(N('Dvd Calendar'!$R$931)=0,"",IF(('Dvd Calendar'!$R$931&gt;=GRID_FROM)*('Dvd Calendar'!$R$931&lt;=GRID_TO)*('Dvd Calendar'!$R$931&gt;VAL_DATE)=0,"",'Dvd Calendar'!$R$931*1000000000+ISNUMBER('Dvd Calendar'!$R$932)*100000000+0*10000000+(N('Dvd Calendar'!$R$930)&gt;0)*(N('Dvd Calendar'!$R$930)&lt;=VAL_SERIAL)*1000000+84*1000+54))</f>
        <v/>
      </c>
      <c r="GG95" s="39">
        <f>IF(N('Dvd Calendar'!$S$931)=0,"",IF(('Dvd Calendar'!$S$931&gt;=GRID_FROM)*('Dvd Calendar'!$S$931&lt;=GRID_TO)*('Dvd Calendar'!$S$931&gt;VAL_DATE)=0,"",'Dvd Calendar'!$S$931*1000000000+ISNUMBER('Dvd Calendar'!$S$932)*100000000+0*10000000+(N('Dvd Calendar'!$S$930)&gt;0)*(N('Dvd Calendar'!$S$930)&lt;=VAL_SERIAL)*1000000+84*1000+55))</f>
        <v/>
      </c>
      <c r="GH95" s="39">
        <f>IF(N('Dvd Calendar'!$T$931)=0,"",IF(('Dvd Calendar'!$T$931&gt;=GRID_FROM)*('Dvd Calendar'!$T$931&lt;=GRID_TO)*('Dvd Calendar'!$T$931&gt;VAL_DATE)=0,"",'Dvd Calendar'!$T$931*1000000000+ISNUMBER('Dvd Calendar'!$T$932)*100000000+0*10000000+(N('Dvd Calendar'!$T$930)&gt;0)*(N('Dvd Calendar'!$T$930)&lt;=VAL_SERIAL)*1000000+84*1000+56))</f>
        <v/>
      </c>
      <c r="GI95" s="39">
        <f>IF(N('Dvd Calendar'!$U$931)=0,"",IF(('Dvd Calendar'!$U$931&gt;=GRID_FROM)*('Dvd Calendar'!$U$931&lt;=GRID_TO)*('Dvd Calendar'!$U$931&gt;VAL_DATE)=0,"",'Dvd Calendar'!$U$931*1000000000+ISNUMBER('Dvd Calendar'!$U$932)*100000000+0*10000000+(N('Dvd Calendar'!$U$930)&gt;0)*(N('Dvd Calendar'!$U$930)&lt;=VAL_SERIAL)*1000000+84*1000+57))</f>
        <v/>
      </c>
      <c r="GJ95" s="39">
        <f>IF(N('Dvd Calendar'!$V$931)=0,"",IF(('Dvd Calendar'!$V$931&gt;=GRID_FROM)*('Dvd Calendar'!$V$931&lt;=GRID_TO)*('Dvd Calendar'!$V$931&gt;VAL_DATE)=0,"",'Dvd Calendar'!$V$931*1000000000+ISNUMBER('Dvd Calendar'!$V$932)*100000000+0*10000000+(N('Dvd Calendar'!$V$930)&gt;0)*(N('Dvd Calendar'!$V$930)&lt;=VAL_SERIAL)*1000000+84*1000+58))</f>
        <v/>
      </c>
      <c r="GK95" s="39">
        <f>IF(N('Dvd Calendar'!$W$931)=0,"",IF(('Dvd Calendar'!$W$931&gt;=GRID_FROM)*('Dvd Calendar'!$W$931&lt;=GRID_TO)*('Dvd Calendar'!$W$931&gt;VAL_DATE)=0,"",'Dvd Calendar'!$W$931*1000000000+ISNUMBER('Dvd Calendar'!$W$932)*100000000+0*10000000+(N('Dvd Calendar'!$W$930)&gt;0)*(N('Dvd Calendar'!$W$930)&lt;=VAL_SERIAL)*1000000+84*1000+59))</f>
        <v/>
      </c>
      <c r="GL95" s="39">
        <f>IF(N('Dvd Calendar'!$X$931)=0,"",IF(('Dvd Calendar'!$X$931&gt;=GRID_FROM)*('Dvd Calendar'!$X$931&lt;=GRID_TO)*('Dvd Calendar'!$X$931&gt;VAL_DATE)=0,"",'Dvd Calendar'!$X$931*1000000000+ISNUMBER('Dvd Calendar'!$X$932)*100000000+0*10000000+(N('Dvd Calendar'!$X$930)&gt;0)*(N('Dvd Calendar'!$X$930)&lt;=VAL_SERIAL)*1000000+84*1000+60))</f>
        <v/>
      </c>
      <c r="GM95" s="39">
        <f>IF(N('Dvd Calendar'!$Y$931)=0,"",IF(('Dvd Calendar'!$Y$931&gt;=GRID_FROM)*('Dvd Calendar'!$Y$931&lt;=GRID_TO)*('Dvd Calendar'!$Y$931&gt;VAL_DATE)=0,"",'Dvd Calendar'!$Y$931*1000000000+ISNUMBER('Dvd Calendar'!$Y$932)*100000000+0*10000000+(N('Dvd Calendar'!$Y$930)&gt;0)*(N('Dvd Calendar'!$Y$930)&lt;=VAL_SERIAL)*1000000+84*1000+61))</f>
        <v/>
      </c>
      <c r="GN95" s="39">
        <f>IF(N('Dvd Calendar'!$Z$931)=0,"",IF(('Dvd Calendar'!$Z$931&gt;=GRID_FROM)*('Dvd Calendar'!$Z$931&lt;=GRID_TO)*('Dvd Calendar'!$Z$931&gt;VAL_DATE)=0,"",'Dvd Calendar'!$Z$931*1000000000+ISNUMBER('Dvd Calendar'!$Z$932)*100000000+0*10000000+(N('Dvd Calendar'!$Z$930)&gt;0)*(N('Dvd Calendar'!$Z$930)&lt;=VAL_SERIAL)*1000000+84*1000+62))</f>
        <v/>
      </c>
      <c r="GO95" s="39">
        <f>IF(N('Dvd Calendar'!$AA$931)=0,"",IF(('Dvd Calendar'!$AA$931&gt;=GRID_FROM)*('Dvd Calendar'!$AA$931&lt;=GRID_TO)*('Dvd Calendar'!$AA$931&gt;VAL_DATE)=0,"",'Dvd Calendar'!$AA$931*1000000000+ISNUMBER('Dvd Calendar'!$AA$932)*100000000+0*10000000+(N('Dvd Calendar'!$AA$930)&gt;0)*(N('Dvd Calendar'!$AA$930)&lt;=VAL_SERIAL)*1000000+84*1000+63))</f>
        <v/>
      </c>
      <c r="GP95" s="39">
        <f>IF(N('Dvd Calendar'!$AB$931)=0,"",IF(('Dvd Calendar'!$AB$931&gt;=GRID_FROM)*('Dvd Calendar'!$AB$931&lt;=GRID_TO)*('Dvd Calendar'!$AB$931&gt;VAL_DATE)=0,"",'Dvd Calendar'!$AB$931*1000000000+ISNUMBER('Dvd Calendar'!$AB$932)*100000000+0*10000000+(N('Dvd Calendar'!$AB$930)&gt;0)*(N('Dvd Calendar'!$AB$930)&lt;=VAL_SERIAL)*1000000+84*1000+64))</f>
        <v/>
      </c>
      <c r="GQ95" s="39">
        <f>IF(N('Dvd Calendar'!$AC$931)=0,"",IF(('Dvd Calendar'!$AC$931&gt;=GRID_FROM)*('Dvd Calendar'!$AC$931&lt;=GRID_TO)*('Dvd Calendar'!$AC$931&gt;VAL_DATE)=0,"",'Dvd Calendar'!$AC$931*1000000000+ISNUMBER('Dvd Calendar'!$AC$932)*100000000+0*10000000+(N('Dvd Calendar'!$AC$930)&gt;0)*(N('Dvd Calendar'!$AC$930)&lt;=VAL_SERIAL)*1000000+84*1000+65))</f>
        <v/>
      </c>
    </row>
    <row r="96">
      <c r="B96" s="2">
        <f>IF(HSI!$C$91="","",HSI!$C$91)</f>
        <v/>
      </c>
      <c r="C96" s="110">
        <f>IF(EE96="","",IF(ISNUMBER('Dvd Calendar'!$E$938)=FALSE,"",IF((('Dvd Calendar'!$E$940=TYPE1)*(TYPE1&lt;&gt;"")+('Dvd Calendar'!$E$940=TYPE2)*(TYPE2&lt;&gt;"")+('Dvd Calendar'!$E$940=TYPE3)*(TYPE3&lt;&gt;"")+('Dvd Calendar'!$E$940=TYPE4)*(TYPE4&lt;&gt;"")+('Dvd Calendar'!$E$940=SPECIAL_LBL)*(INC_SPECIALS="Y"))=0,"",'Dvd Calendar'!$E$938)))</f>
        <v/>
      </c>
      <c r="D96" s="110">
        <f>IF(EF96="","",IF(ISNUMBER('Dvd Calendar'!$F$938)=FALSE,"",IF((('Dvd Calendar'!$F$940=TYPE1)*(TYPE1&lt;&gt;"")+('Dvd Calendar'!$F$940=TYPE2)*(TYPE2&lt;&gt;"")+('Dvd Calendar'!$F$940=TYPE3)*(TYPE3&lt;&gt;"")+('Dvd Calendar'!$F$940=TYPE4)*(TYPE4&lt;&gt;"")+('Dvd Calendar'!$F$940=SPECIAL_LBL)*(INC_SPECIALS="Y"))=0,"",'Dvd Calendar'!$F$938)))</f>
        <v/>
      </c>
      <c r="E96" s="110">
        <f>IF(EG96="","",IF(ISNUMBER('Dvd Calendar'!$G$938)=FALSE,"",IF((('Dvd Calendar'!$G$940=TYPE1)*(TYPE1&lt;&gt;"")+('Dvd Calendar'!$G$940=TYPE2)*(TYPE2&lt;&gt;"")+('Dvd Calendar'!$G$940=TYPE3)*(TYPE3&lt;&gt;"")+('Dvd Calendar'!$G$940=TYPE4)*(TYPE4&lt;&gt;"")+('Dvd Calendar'!$G$940=SPECIAL_LBL)*(INC_SPECIALS="Y"))=0,"",'Dvd Calendar'!$G$938)))</f>
        <v/>
      </c>
      <c r="F96" s="110">
        <f>IF(EH96="","",IF(ISNUMBER('Dvd Calendar'!$H$938)=FALSE,"",IF((('Dvd Calendar'!$H$940=TYPE1)*(TYPE1&lt;&gt;"")+('Dvd Calendar'!$H$940=TYPE2)*(TYPE2&lt;&gt;"")+('Dvd Calendar'!$H$940=TYPE3)*(TYPE3&lt;&gt;"")+('Dvd Calendar'!$H$940=TYPE4)*(TYPE4&lt;&gt;"")+('Dvd Calendar'!$H$940=SPECIAL_LBL)*(INC_SPECIALS="Y"))=0,"",'Dvd Calendar'!$H$938)))</f>
        <v/>
      </c>
      <c r="G96" s="110">
        <f>IF(EI96="","",IF(ISNUMBER('Dvd Calendar'!$I$938)=FALSE,"",IF((('Dvd Calendar'!$I$940=TYPE1)*(TYPE1&lt;&gt;"")+('Dvd Calendar'!$I$940=TYPE2)*(TYPE2&lt;&gt;"")+('Dvd Calendar'!$I$940=TYPE3)*(TYPE3&lt;&gt;"")+('Dvd Calendar'!$I$940=TYPE4)*(TYPE4&lt;&gt;"")+('Dvd Calendar'!$I$940=SPECIAL_LBL)*(INC_SPECIALS="Y"))=0,"",'Dvd Calendar'!$I$938)))</f>
        <v/>
      </c>
      <c r="H96" s="110">
        <f>IF(EJ96="","",IF(ISNUMBER('Dvd Calendar'!$J$938)=FALSE,"",IF((('Dvd Calendar'!$J$940=TYPE1)*(TYPE1&lt;&gt;"")+('Dvd Calendar'!$J$940=TYPE2)*(TYPE2&lt;&gt;"")+('Dvd Calendar'!$J$940=TYPE3)*(TYPE3&lt;&gt;"")+('Dvd Calendar'!$J$940=TYPE4)*(TYPE4&lt;&gt;"")+('Dvd Calendar'!$J$940=SPECIAL_LBL)*(INC_SPECIALS="Y"))=0,"",'Dvd Calendar'!$J$938)))</f>
        <v/>
      </c>
      <c r="I96" s="110">
        <f>IF(EK96="","",IF(ISNUMBER('Dvd Calendar'!$K$938)=FALSE,"",IF((('Dvd Calendar'!$K$940=TYPE1)*(TYPE1&lt;&gt;"")+('Dvd Calendar'!$K$940=TYPE2)*(TYPE2&lt;&gt;"")+('Dvd Calendar'!$K$940=TYPE3)*(TYPE3&lt;&gt;"")+('Dvd Calendar'!$K$940=TYPE4)*(TYPE4&lt;&gt;"")+('Dvd Calendar'!$K$940=SPECIAL_LBL)*(INC_SPECIALS="Y"))=0,"",'Dvd Calendar'!$K$938)))</f>
        <v/>
      </c>
      <c r="J96" s="110">
        <f>IF(EL96="","",IF(ISNUMBER('Dvd Calendar'!$L$938)=FALSE,"",IF((('Dvd Calendar'!$L$940=TYPE1)*(TYPE1&lt;&gt;"")+('Dvd Calendar'!$L$940=TYPE2)*(TYPE2&lt;&gt;"")+('Dvd Calendar'!$L$940=TYPE3)*(TYPE3&lt;&gt;"")+('Dvd Calendar'!$L$940=TYPE4)*(TYPE4&lt;&gt;"")+('Dvd Calendar'!$L$940=SPECIAL_LBL)*(INC_SPECIALS="Y"))=0,"",'Dvd Calendar'!$L$938)))</f>
        <v/>
      </c>
      <c r="K96" s="110">
        <f>IF(EM96="","",IF(ISNUMBER('Dvd Calendar'!$M$938)=FALSE,"",IF((('Dvd Calendar'!$M$940=TYPE1)*(TYPE1&lt;&gt;"")+('Dvd Calendar'!$M$940=TYPE2)*(TYPE2&lt;&gt;"")+('Dvd Calendar'!$M$940=TYPE3)*(TYPE3&lt;&gt;"")+('Dvd Calendar'!$M$940=TYPE4)*(TYPE4&lt;&gt;"")+('Dvd Calendar'!$M$940=SPECIAL_LBL)*(INC_SPECIALS="Y"))=0,"",'Dvd Calendar'!$M$938)))</f>
        <v/>
      </c>
      <c r="L96" s="110">
        <f>IF(EN96="","",IF(ISNUMBER('Dvd Calendar'!$N$938)=FALSE,"",IF((('Dvd Calendar'!$N$940=TYPE1)*(TYPE1&lt;&gt;"")+('Dvd Calendar'!$N$940=TYPE2)*(TYPE2&lt;&gt;"")+('Dvd Calendar'!$N$940=TYPE3)*(TYPE3&lt;&gt;"")+('Dvd Calendar'!$N$940=TYPE4)*(TYPE4&lt;&gt;"")+('Dvd Calendar'!$N$940=SPECIAL_LBL)*(INC_SPECIALS="Y"))=0,"",'Dvd Calendar'!$N$938)))</f>
        <v/>
      </c>
      <c r="M96" s="110">
        <f>IF(EO96="","",IF(ISNUMBER('Dvd Calendar'!$O$938)=FALSE,"",IF((('Dvd Calendar'!$O$940=TYPE1)*(TYPE1&lt;&gt;"")+('Dvd Calendar'!$O$940=TYPE2)*(TYPE2&lt;&gt;"")+('Dvd Calendar'!$O$940=TYPE3)*(TYPE3&lt;&gt;"")+('Dvd Calendar'!$O$940=TYPE4)*(TYPE4&lt;&gt;"")+('Dvd Calendar'!$O$940=SPECIAL_LBL)*(INC_SPECIALS="Y"))=0,"",'Dvd Calendar'!$O$938)))</f>
        <v/>
      </c>
      <c r="N96" s="110">
        <f>IF(EP96="","",IF(ISNUMBER('Dvd Calendar'!$P$938)=FALSE,"",IF((('Dvd Calendar'!$P$940=TYPE1)*(TYPE1&lt;&gt;"")+('Dvd Calendar'!$P$940=TYPE2)*(TYPE2&lt;&gt;"")+('Dvd Calendar'!$P$940=TYPE3)*(TYPE3&lt;&gt;"")+('Dvd Calendar'!$P$940=TYPE4)*(TYPE4&lt;&gt;"")+('Dvd Calendar'!$P$940=SPECIAL_LBL)*(INC_SPECIALS="Y"))=0,"",'Dvd Calendar'!$P$938)))</f>
        <v/>
      </c>
      <c r="O96" s="110">
        <f>IF(EQ96="","",IF(ISNUMBER('Dvd Calendar'!$Q$938)=FALSE,"",IF((('Dvd Calendar'!$Q$940=TYPE1)*(TYPE1&lt;&gt;"")+('Dvd Calendar'!$Q$940=TYPE2)*(TYPE2&lt;&gt;"")+('Dvd Calendar'!$Q$940=TYPE3)*(TYPE3&lt;&gt;"")+('Dvd Calendar'!$Q$940=TYPE4)*(TYPE4&lt;&gt;"")+('Dvd Calendar'!$Q$940=SPECIAL_LBL)*(INC_SPECIALS="Y"))=0,"",'Dvd Calendar'!$Q$938)))</f>
        <v/>
      </c>
      <c r="P96" s="110">
        <f>IF(ER96="","",IF(ISNUMBER('Dvd Calendar'!$R$938)=FALSE,"",IF((('Dvd Calendar'!$R$940=TYPE1)*(TYPE1&lt;&gt;"")+('Dvd Calendar'!$R$940=TYPE2)*(TYPE2&lt;&gt;"")+('Dvd Calendar'!$R$940=TYPE3)*(TYPE3&lt;&gt;"")+('Dvd Calendar'!$R$940=TYPE4)*(TYPE4&lt;&gt;"")+('Dvd Calendar'!$R$940=SPECIAL_LBL)*(INC_SPECIALS="Y"))=0,"",'Dvd Calendar'!$R$938)))</f>
        <v/>
      </c>
      <c r="Q96" s="110">
        <f>IF(ES96="","",IF(ISNUMBER('Dvd Calendar'!$S$938)=FALSE,"",IF((('Dvd Calendar'!$S$940=TYPE1)*(TYPE1&lt;&gt;"")+('Dvd Calendar'!$S$940=TYPE2)*(TYPE2&lt;&gt;"")+('Dvd Calendar'!$S$940=TYPE3)*(TYPE3&lt;&gt;"")+('Dvd Calendar'!$S$940=TYPE4)*(TYPE4&lt;&gt;"")+('Dvd Calendar'!$S$940=SPECIAL_LBL)*(INC_SPECIALS="Y"))=0,"",'Dvd Calendar'!$S$938)))</f>
        <v/>
      </c>
      <c r="R96" s="110">
        <f>IF(ET96="","",IF(ISNUMBER('Dvd Calendar'!$T$938)=FALSE,"",IF((('Dvd Calendar'!$T$940=TYPE1)*(TYPE1&lt;&gt;"")+('Dvd Calendar'!$T$940=TYPE2)*(TYPE2&lt;&gt;"")+('Dvd Calendar'!$T$940=TYPE3)*(TYPE3&lt;&gt;"")+('Dvd Calendar'!$T$940=TYPE4)*(TYPE4&lt;&gt;"")+('Dvd Calendar'!$T$940=SPECIAL_LBL)*(INC_SPECIALS="Y"))=0,"",'Dvd Calendar'!$T$938)))</f>
        <v/>
      </c>
      <c r="S96" s="110">
        <f>IF(EU96="","",IF(ISNUMBER('Dvd Calendar'!$U$938)=FALSE,"",IF((('Dvd Calendar'!$U$940=TYPE1)*(TYPE1&lt;&gt;"")+('Dvd Calendar'!$U$940=TYPE2)*(TYPE2&lt;&gt;"")+('Dvd Calendar'!$U$940=TYPE3)*(TYPE3&lt;&gt;"")+('Dvd Calendar'!$U$940=TYPE4)*(TYPE4&lt;&gt;"")+('Dvd Calendar'!$U$940=SPECIAL_LBL)*(INC_SPECIALS="Y"))=0,"",'Dvd Calendar'!$U$938)))</f>
        <v/>
      </c>
      <c r="T96" s="110">
        <f>IF(EV96="","",IF(ISNUMBER('Dvd Calendar'!$V$938)=FALSE,"",IF((('Dvd Calendar'!$V$940=TYPE1)*(TYPE1&lt;&gt;"")+('Dvd Calendar'!$V$940=TYPE2)*(TYPE2&lt;&gt;"")+('Dvd Calendar'!$V$940=TYPE3)*(TYPE3&lt;&gt;"")+('Dvd Calendar'!$V$940=TYPE4)*(TYPE4&lt;&gt;"")+('Dvd Calendar'!$V$940=SPECIAL_LBL)*(INC_SPECIALS="Y"))=0,"",'Dvd Calendar'!$V$938)))</f>
        <v/>
      </c>
      <c r="U96" s="110">
        <f>IF(EW96="","",IF(ISNUMBER('Dvd Calendar'!$W$938)=FALSE,"",IF((('Dvd Calendar'!$W$940=TYPE1)*(TYPE1&lt;&gt;"")+('Dvd Calendar'!$W$940=TYPE2)*(TYPE2&lt;&gt;"")+('Dvd Calendar'!$W$940=TYPE3)*(TYPE3&lt;&gt;"")+('Dvd Calendar'!$W$940=TYPE4)*(TYPE4&lt;&gt;"")+('Dvd Calendar'!$W$940=SPECIAL_LBL)*(INC_SPECIALS="Y"))=0,"",'Dvd Calendar'!$W$938)))</f>
        <v/>
      </c>
      <c r="V96" s="110">
        <f>IF(EX96="","",IF(ISNUMBER('Dvd Calendar'!$X$938)=FALSE,"",IF((('Dvd Calendar'!$X$940=TYPE1)*(TYPE1&lt;&gt;"")+('Dvd Calendar'!$X$940=TYPE2)*(TYPE2&lt;&gt;"")+('Dvd Calendar'!$X$940=TYPE3)*(TYPE3&lt;&gt;"")+('Dvd Calendar'!$X$940=TYPE4)*(TYPE4&lt;&gt;"")+('Dvd Calendar'!$X$940=SPECIAL_LBL)*(INC_SPECIALS="Y"))=0,"",'Dvd Calendar'!$X$938)))</f>
        <v/>
      </c>
      <c r="W96" s="110">
        <f>IF(EY96="","",IF(ISNUMBER('Dvd Calendar'!$Y$938)=FALSE,"",IF((('Dvd Calendar'!$Y$940=TYPE1)*(TYPE1&lt;&gt;"")+('Dvd Calendar'!$Y$940=TYPE2)*(TYPE2&lt;&gt;"")+('Dvd Calendar'!$Y$940=TYPE3)*(TYPE3&lt;&gt;"")+('Dvd Calendar'!$Y$940=TYPE4)*(TYPE4&lt;&gt;"")+('Dvd Calendar'!$Y$940=SPECIAL_LBL)*(INC_SPECIALS="Y"))=0,"",'Dvd Calendar'!$Y$938)))</f>
        <v/>
      </c>
      <c r="X96" s="110">
        <f>IF(EZ96="","",IF(ISNUMBER('Dvd Calendar'!$Z$938)=FALSE,"",IF((('Dvd Calendar'!$Z$940=TYPE1)*(TYPE1&lt;&gt;"")+('Dvd Calendar'!$Z$940=TYPE2)*(TYPE2&lt;&gt;"")+('Dvd Calendar'!$Z$940=TYPE3)*(TYPE3&lt;&gt;"")+('Dvd Calendar'!$Z$940=TYPE4)*(TYPE4&lt;&gt;"")+('Dvd Calendar'!$Z$940=SPECIAL_LBL)*(INC_SPECIALS="Y"))=0,"",'Dvd Calendar'!$Z$938)))</f>
        <v/>
      </c>
      <c r="Y96" s="110">
        <f>IF(FA96="","",IF(ISNUMBER('Dvd Calendar'!$AA$938)=FALSE,"",IF((('Dvd Calendar'!$AA$940=TYPE1)*(TYPE1&lt;&gt;"")+('Dvd Calendar'!$AA$940=TYPE2)*(TYPE2&lt;&gt;"")+('Dvd Calendar'!$AA$940=TYPE3)*(TYPE3&lt;&gt;"")+('Dvd Calendar'!$AA$940=TYPE4)*(TYPE4&lt;&gt;"")+('Dvd Calendar'!$AA$940=SPECIAL_LBL)*(INC_SPECIALS="Y"))=0,"",'Dvd Calendar'!$AA$938)))</f>
        <v/>
      </c>
      <c r="Z96" s="110">
        <f>IF(FB96="","",IF(ISNUMBER('Dvd Calendar'!$AB$938)=FALSE,"",IF((('Dvd Calendar'!$AB$940=TYPE1)*(TYPE1&lt;&gt;"")+('Dvd Calendar'!$AB$940=TYPE2)*(TYPE2&lt;&gt;"")+('Dvd Calendar'!$AB$940=TYPE3)*(TYPE3&lt;&gt;"")+('Dvd Calendar'!$AB$940=TYPE4)*(TYPE4&lt;&gt;"")+('Dvd Calendar'!$AB$940=SPECIAL_LBL)*(INC_SPECIALS="Y"))=0,"",'Dvd Calendar'!$AB$938)))</f>
        <v/>
      </c>
      <c r="AA96" s="110">
        <f>IF(FC96="","",IF(ISNUMBER('Dvd Calendar'!$AC$938)=FALSE,"",IF((('Dvd Calendar'!$AC$940=TYPE1)*(TYPE1&lt;&gt;"")+('Dvd Calendar'!$AC$940=TYPE2)*(TYPE2&lt;&gt;"")+('Dvd Calendar'!$AC$940=TYPE3)*(TYPE3&lt;&gt;"")+('Dvd Calendar'!$AC$940=TYPE4)*(TYPE4&lt;&gt;"")+('Dvd Calendar'!$AC$940=SPECIAL_LBL)*(INC_SPECIALS="Y"))=0,"",'Dvd Calendar'!$AC$938)))</f>
        <v/>
      </c>
      <c r="AB96" s="110">
        <f>IF(FD96="","",IF(ISNUMBER('Dvd Calendar'!$AD$938)=FALSE,"",IF((('Dvd Calendar'!$AD$940=TYPE1)*(TYPE1&lt;&gt;"")+('Dvd Calendar'!$AD$940=TYPE2)*(TYPE2&lt;&gt;"")+('Dvd Calendar'!$AD$940=TYPE3)*(TYPE3&lt;&gt;"")+('Dvd Calendar'!$AD$940=TYPE4)*(TYPE4&lt;&gt;"")+('Dvd Calendar'!$AD$940=SPECIAL_LBL)*(INC_SPECIALS="Y"))=0,"",'Dvd Calendar'!$AD$938)))</f>
        <v/>
      </c>
      <c r="AC96" s="110">
        <f>IF(FE96="","",IF(ISNUMBER('Dvd Calendar'!$AE$938)=FALSE,"",IF((('Dvd Calendar'!$AE$940=TYPE1)*(TYPE1&lt;&gt;"")+('Dvd Calendar'!$AE$940=TYPE2)*(TYPE2&lt;&gt;"")+('Dvd Calendar'!$AE$940=TYPE3)*(TYPE3&lt;&gt;"")+('Dvd Calendar'!$AE$940=TYPE4)*(TYPE4&lt;&gt;"")+('Dvd Calendar'!$AE$940=SPECIAL_LBL)*(INC_SPECIALS="Y"))=0,"",'Dvd Calendar'!$AE$938)))</f>
        <v/>
      </c>
      <c r="AD96" s="110">
        <f>IF(FF96="","",IF(ISNUMBER('Dvd Calendar'!$AF$938)=FALSE,"",IF((('Dvd Calendar'!$AF$940=TYPE1)*(TYPE1&lt;&gt;"")+('Dvd Calendar'!$AF$940=TYPE2)*(TYPE2&lt;&gt;"")+('Dvd Calendar'!$AF$940=TYPE3)*(TYPE3&lt;&gt;"")+('Dvd Calendar'!$AF$940=TYPE4)*(TYPE4&lt;&gt;"")+('Dvd Calendar'!$AF$940=SPECIAL_LBL)*(INC_SPECIALS="Y"))=0,"",'Dvd Calendar'!$AF$938)))</f>
        <v/>
      </c>
      <c r="AE96" s="110">
        <f>IF(FG96="","",IF(ISNUMBER('Dvd Calendar'!$AG$938)=FALSE,"",IF((('Dvd Calendar'!$AG$940=TYPE1)*(TYPE1&lt;&gt;"")+('Dvd Calendar'!$AG$940=TYPE2)*(TYPE2&lt;&gt;"")+('Dvd Calendar'!$AG$940=TYPE3)*(TYPE3&lt;&gt;"")+('Dvd Calendar'!$AG$940=TYPE4)*(TYPE4&lt;&gt;"")+('Dvd Calendar'!$AG$940=SPECIAL_LBL)*(INC_SPECIALS="Y"))=0,"",'Dvd Calendar'!$AG$938)))</f>
        <v/>
      </c>
      <c r="AF96" s="110">
        <f>IF(FH96="","",IF(ISNUMBER('Dvd Calendar'!$AH$938)=FALSE,"",IF((('Dvd Calendar'!$AH$940=TYPE1)*(TYPE1&lt;&gt;"")+('Dvd Calendar'!$AH$940=TYPE2)*(TYPE2&lt;&gt;"")+('Dvd Calendar'!$AH$940=TYPE3)*(TYPE3&lt;&gt;"")+('Dvd Calendar'!$AH$940=TYPE4)*(TYPE4&lt;&gt;"")+('Dvd Calendar'!$AH$940=SPECIAL_LBL)*(INC_SPECIALS="Y"))=0,"",'Dvd Calendar'!$AH$938)))</f>
        <v/>
      </c>
      <c r="AG96" s="110">
        <f>IF(FI96="","",IF(ISNUMBER('Dvd Calendar'!$AI$938)=FALSE,"",IF((('Dvd Calendar'!$AI$940=TYPE1)*(TYPE1&lt;&gt;"")+('Dvd Calendar'!$AI$940=TYPE2)*(TYPE2&lt;&gt;"")+('Dvd Calendar'!$AI$940=TYPE3)*(TYPE3&lt;&gt;"")+('Dvd Calendar'!$AI$940=TYPE4)*(TYPE4&lt;&gt;"")+('Dvd Calendar'!$AI$940=SPECIAL_LBL)*(INC_SPECIALS="Y"))=0,"",'Dvd Calendar'!$AI$938)))</f>
        <v/>
      </c>
      <c r="AH96" s="110">
        <f>IF(FJ96="","",IF(ISNUMBER('Dvd Calendar'!$AJ$938)=FALSE,"",IF((('Dvd Calendar'!$AJ$940=TYPE1)*(TYPE1&lt;&gt;"")+('Dvd Calendar'!$AJ$940=TYPE2)*(TYPE2&lt;&gt;"")+('Dvd Calendar'!$AJ$940=TYPE3)*(TYPE3&lt;&gt;"")+('Dvd Calendar'!$AJ$940=TYPE4)*(TYPE4&lt;&gt;"")+('Dvd Calendar'!$AJ$940=SPECIAL_LBL)*(INC_SPECIALS="Y"))=0,"",'Dvd Calendar'!$AJ$938)))</f>
        <v/>
      </c>
      <c r="AI96" s="110">
        <f>IF(FK96="","",IF(ISNUMBER('Dvd Calendar'!$AK$938)=FALSE,"",IF((('Dvd Calendar'!$AK$940=TYPE1)*(TYPE1&lt;&gt;"")+('Dvd Calendar'!$AK$940=TYPE2)*(TYPE2&lt;&gt;"")+('Dvd Calendar'!$AK$940=TYPE3)*(TYPE3&lt;&gt;"")+('Dvd Calendar'!$AK$940=TYPE4)*(TYPE4&lt;&gt;"")+('Dvd Calendar'!$AK$940=SPECIAL_LBL)*(INC_SPECIALS="Y"))=0,"",'Dvd Calendar'!$AK$938)))</f>
        <v/>
      </c>
      <c r="AJ96" s="110">
        <f>IF(FL96="","",IF(ISNUMBER('Dvd Calendar'!$AL$938)=FALSE,"",IF((('Dvd Calendar'!$AL$940=TYPE1)*(TYPE1&lt;&gt;"")+('Dvd Calendar'!$AL$940=TYPE2)*(TYPE2&lt;&gt;"")+('Dvd Calendar'!$AL$940=TYPE3)*(TYPE3&lt;&gt;"")+('Dvd Calendar'!$AL$940=TYPE4)*(TYPE4&lt;&gt;"")+('Dvd Calendar'!$AL$940=SPECIAL_LBL)*(INC_SPECIALS="Y"))=0,"",'Dvd Calendar'!$AL$938)))</f>
        <v/>
      </c>
      <c r="AK96" s="110">
        <f>IF(FM96="","",IF(ISNUMBER('Dvd Calendar'!$AM$938)=FALSE,"",IF((('Dvd Calendar'!$AM$940=TYPE1)*(TYPE1&lt;&gt;"")+('Dvd Calendar'!$AM$940=TYPE2)*(TYPE2&lt;&gt;"")+('Dvd Calendar'!$AM$940=TYPE3)*(TYPE3&lt;&gt;"")+('Dvd Calendar'!$AM$940=TYPE4)*(TYPE4&lt;&gt;"")+('Dvd Calendar'!$AM$940=SPECIAL_LBL)*(INC_SPECIALS="Y"))=0,"",'Dvd Calendar'!$AM$938)))</f>
        <v/>
      </c>
      <c r="AL96" s="110">
        <f>IF(FN96="","",IF(ISNUMBER('Dvd Calendar'!$AN$938)=FALSE,"",IF((('Dvd Calendar'!$AN$940=TYPE1)*(TYPE1&lt;&gt;"")+('Dvd Calendar'!$AN$940=TYPE2)*(TYPE2&lt;&gt;"")+('Dvd Calendar'!$AN$940=TYPE3)*(TYPE3&lt;&gt;"")+('Dvd Calendar'!$AN$940=TYPE4)*(TYPE4&lt;&gt;"")+('Dvd Calendar'!$AN$940=SPECIAL_LBL)*(INC_SPECIALS="Y"))=0,"",'Dvd Calendar'!$AN$938)))</f>
        <v/>
      </c>
      <c r="AM96" s="110">
        <f>IF(FO96="","",IF(ISNUMBER('Dvd Calendar'!$AO$938)=FALSE,"",IF((('Dvd Calendar'!$AO$940=TYPE1)*(TYPE1&lt;&gt;"")+('Dvd Calendar'!$AO$940=TYPE2)*(TYPE2&lt;&gt;"")+('Dvd Calendar'!$AO$940=TYPE3)*(TYPE3&lt;&gt;"")+('Dvd Calendar'!$AO$940=TYPE4)*(TYPE4&lt;&gt;"")+('Dvd Calendar'!$AO$940=SPECIAL_LBL)*(INC_SPECIALS="Y"))=0,"",'Dvd Calendar'!$AO$938)))</f>
        <v/>
      </c>
      <c r="AN96" s="110">
        <f>IF(FP96="","",IF(ISNUMBER('Dvd Calendar'!$AP$938)=FALSE,"",IF((('Dvd Calendar'!$AP$940=TYPE1)*(TYPE1&lt;&gt;"")+('Dvd Calendar'!$AP$940=TYPE2)*(TYPE2&lt;&gt;"")+('Dvd Calendar'!$AP$940=TYPE3)*(TYPE3&lt;&gt;"")+('Dvd Calendar'!$AP$940=TYPE4)*(TYPE4&lt;&gt;"")+('Dvd Calendar'!$AP$940=SPECIAL_LBL)*(INC_SPECIALS="Y"))=0,"",'Dvd Calendar'!$AP$938)))</f>
        <v/>
      </c>
      <c r="AO96" s="110">
        <f>IF(FQ96="","",IF(ISNUMBER('Dvd Calendar'!$AQ$938)=FALSE,"",IF((('Dvd Calendar'!$AQ$940=TYPE1)*(TYPE1&lt;&gt;"")+('Dvd Calendar'!$AQ$940=TYPE2)*(TYPE2&lt;&gt;"")+('Dvd Calendar'!$AQ$940=TYPE3)*(TYPE3&lt;&gt;"")+('Dvd Calendar'!$AQ$940=TYPE4)*(TYPE4&lt;&gt;"")+('Dvd Calendar'!$AQ$940=SPECIAL_LBL)*(INC_SPECIALS="Y"))=0,"",'Dvd Calendar'!$AQ$938)))</f>
        <v/>
      </c>
      <c r="AP96" s="110">
        <f>IF(FR96="","",IF(ISNUMBER('Dvd Calendar'!$AR$938)=FALSE,"",IF((('Dvd Calendar'!$AR$940=TYPE1)*(TYPE1&lt;&gt;"")+('Dvd Calendar'!$AR$940=TYPE2)*(TYPE2&lt;&gt;"")+('Dvd Calendar'!$AR$940=TYPE3)*(TYPE3&lt;&gt;"")+('Dvd Calendar'!$AR$940=TYPE4)*(TYPE4&lt;&gt;"")+('Dvd Calendar'!$AR$940=SPECIAL_LBL)*(INC_SPECIALS="Y"))=0,"",'Dvd Calendar'!$AR$938)))</f>
        <v/>
      </c>
      <c r="AQ96" s="110">
        <f>IF(FS96="","",IF(ISNUMBER('Dvd Calendar'!$E$943)=FALSE,"",'Dvd Calendar'!$E$943))</f>
        <v/>
      </c>
      <c r="AR96" s="110">
        <f>IF(FT96="","",IF(ISNUMBER('Dvd Calendar'!$F$943)=FALSE,"",'Dvd Calendar'!$F$943))</f>
        <v/>
      </c>
      <c r="AS96" s="110">
        <f>IF(FU96="","",IF(ISNUMBER('Dvd Calendar'!$G$943)=FALSE,"",'Dvd Calendar'!$G$943))</f>
        <v/>
      </c>
      <c r="AT96" s="110">
        <f>IF(FV96="","",IF(ISNUMBER('Dvd Calendar'!$H$943)=FALSE,"",'Dvd Calendar'!$H$943))</f>
        <v/>
      </c>
      <c r="AU96" s="110">
        <f>IF(FW96="","",IF(ISNUMBER('Dvd Calendar'!$I$943)=FALSE,"",'Dvd Calendar'!$I$943))</f>
        <v/>
      </c>
      <c r="AV96" s="110">
        <f>IF(FX96="","",IF(ISNUMBER('Dvd Calendar'!$J$943)=FALSE,"",'Dvd Calendar'!$J$943))</f>
        <v/>
      </c>
      <c r="AW96" s="110">
        <f>IF(FY96="","",IF(ISNUMBER('Dvd Calendar'!$K$943)=FALSE,"",'Dvd Calendar'!$K$943))</f>
        <v/>
      </c>
      <c r="AX96" s="110">
        <f>IF(FZ96="","",IF(ISNUMBER('Dvd Calendar'!$L$943)=FALSE,"",'Dvd Calendar'!$L$943))</f>
        <v/>
      </c>
      <c r="AY96" s="110">
        <f>IF(GA96="","",IF(ISNUMBER('Dvd Calendar'!$M$943)=FALSE,"",'Dvd Calendar'!$M$943))</f>
        <v/>
      </c>
      <c r="AZ96" s="110">
        <f>IF(GB96="","",IF(ISNUMBER('Dvd Calendar'!$N$943)=FALSE,"",'Dvd Calendar'!$N$943))</f>
        <v/>
      </c>
      <c r="BA96" s="110">
        <f>IF(GC96="","",IF(ISNUMBER('Dvd Calendar'!$O$943)=FALSE,"",'Dvd Calendar'!$O$943))</f>
        <v/>
      </c>
      <c r="BB96" s="110">
        <f>IF(GD96="","",IF(ISNUMBER('Dvd Calendar'!$P$943)=FALSE,"",'Dvd Calendar'!$P$943))</f>
        <v/>
      </c>
      <c r="BC96" s="110">
        <f>IF(GE96="","",IF(ISNUMBER('Dvd Calendar'!$Q$943)=FALSE,"",'Dvd Calendar'!$Q$943))</f>
        <v/>
      </c>
      <c r="BD96" s="110">
        <f>IF(GF96="","",IF(ISNUMBER('Dvd Calendar'!$R$943)=FALSE,"",'Dvd Calendar'!$R$943))</f>
        <v/>
      </c>
      <c r="BE96" s="110">
        <f>IF(GG96="","",IF(ISNUMBER('Dvd Calendar'!$S$943)=FALSE,"",'Dvd Calendar'!$S$943))</f>
        <v/>
      </c>
      <c r="BF96" s="110">
        <f>IF(GH96="","",IF(ISNUMBER('Dvd Calendar'!$T$943)=FALSE,"",'Dvd Calendar'!$T$943))</f>
        <v/>
      </c>
      <c r="BG96" s="110">
        <f>IF(GI96="","",IF(ISNUMBER('Dvd Calendar'!$U$943)=FALSE,"",'Dvd Calendar'!$U$943))</f>
        <v/>
      </c>
      <c r="BH96" s="110">
        <f>IF(GJ96="","",IF(ISNUMBER('Dvd Calendar'!$V$943)=FALSE,"",'Dvd Calendar'!$V$943))</f>
        <v/>
      </c>
      <c r="BI96" s="110">
        <f>IF(GK96="","",IF(ISNUMBER('Dvd Calendar'!$W$943)=FALSE,"",'Dvd Calendar'!$W$943))</f>
        <v/>
      </c>
      <c r="BJ96" s="110">
        <f>IF(GL96="","",IF(ISNUMBER('Dvd Calendar'!$X$943)=FALSE,"",'Dvd Calendar'!$X$943))</f>
        <v/>
      </c>
      <c r="BK96" s="110">
        <f>IF(GM96="","",IF(ISNUMBER('Dvd Calendar'!$Y$943)=FALSE,"",'Dvd Calendar'!$Y$943))</f>
        <v/>
      </c>
      <c r="BL96" s="110">
        <f>IF(GN96="","",IF(ISNUMBER('Dvd Calendar'!$Z$943)=FALSE,"",'Dvd Calendar'!$Z$943))</f>
        <v/>
      </c>
      <c r="BM96" s="110">
        <f>IF(GO96="","",IF(ISNUMBER('Dvd Calendar'!$AA$943)=FALSE,"",'Dvd Calendar'!$AA$943))</f>
        <v/>
      </c>
      <c r="BN96" s="110">
        <f>IF(GP96="","",IF(ISNUMBER('Dvd Calendar'!$AB$943)=FALSE,"",'Dvd Calendar'!$AB$943))</f>
        <v/>
      </c>
      <c r="BO96" s="110">
        <f>IF(GQ96="","",IF(ISNUMBER('Dvd Calendar'!$AC$943)=FALSE,"",'Dvd Calendar'!$AC$943))</f>
        <v/>
      </c>
      <c r="BQ96" s="110">
        <f>IF(C96="","",IFERROR(C96*HSI!$B$91*HSI!$G$91/HSI!$B$3,""))</f>
        <v/>
      </c>
      <c r="BR96" s="110">
        <f>IF(D96="","",IFERROR(D96*HSI!$B$91*HSI!$G$91/HSI!$B$3,""))</f>
        <v/>
      </c>
      <c r="BS96" s="110">
        <f>IF(E96="","",IFERROR(E96*HSI!$B$91*HSI!$G$91/HSI!$B$3,""))</f>
        <v/>
      </c>
      <c r="BT96" s="110">
        <f>IF(F96="","",IFERROR(F96*HSI!$B$91*HSI!$G$91/HSI!$B$3,""))</f>
        <v/>
      </c>
      <c r="BU96" s="110">
        <f>IF(G96="","",IFERROR(G96*HSI!$B$91*HSI!$G$91/HSI!$B$3,""))</f>
        <v/>
      </c>
      <c r="BV96" s="110">
        <f>IF(H96="","",IFERROR(H96*HSI!$B$91*HSI!$G$91/HSI!$B$3,""))</f>
        <v/>
      </c>
      <c r="BW96" s="110">
        <f>IF(I96="","",IFERROR(I96*HSI!$B$91*HSI!$G$91/HSI!$B$3,""))</f>
        <v/>
      </c>
      <c r="BX96" s="110">
        <f>IF(J96="","",IFERROR(J96*HSI!$B$91*HSI!$G$91/HSI!$B$3,""))</f>
        <v/>
      </c>
      <c r="BY96" s="110">
        <f>IF(K96="","",IFERROR(K96*HSI!$B$91*HSI!$G$91/HSI!$B$3,""))</f>
        <v/>
      </c>
      <c r="BZ96" s="110">
        <f>IF(L96="","",IFERROR(L96*HSI!$B$91*HSI!$G$91/HSI!$B$3,""))</f>
        <v/>
      </c>
      <c r="CA96" s="110">
        <f>IF(M96="","",IFERROR(M96*HSI!$B$91*HSI!$G$91/HSI!$B$3,""))</f>
        <v/>
      </c>
      <c r="CB96" s="110">
        <f>IF(N96="","",IFERROR(N96*HSI!$B$91*HSI!$G$91/HSI!$B$3,""))</f>
        <v/>
      </c>
      <c r="CC96" s="110">
        <f>IF(O96="","",IFERROR(O96*HSI!$B$91*HSI!$G$91/HSI!$B$3,""))</f>
        <v/>
      </c>
      <c r="CD96" s="110">
        <f>IF(P96="","",IFERROR(P96*HSI!$B$91*HSI!$G$91/HSI!$B$3,""))</f>
        <v/>
      </c>
      <c r="CE96" s="110">
        <f>IF(Q96="","",IFERROR(Q96*HSI!$B$91*HSI!$G$91/HSI!$B$3,""))</f>
        <v/>
      </c>
      <c r="CF96" s="110">
        <f>IF(R96="","",IFERROR(R96*HSI!$B$91*HSI!$G$91/HSI!$B$3,""))</f>
        <v/>
      </c>
      <c r="CG96" s="110">
        <f>IF(S96="","",IFERROR(S96*HSI!$B$91*HSI!$G$91/HSI!$B$3,""))</f>
        <v/>
      </c>
      <c r="CH96" s="110">
        <f>IF(T96="","",IFERROR(T96*HSI!$B$91*HSI!$G$91/HSI!$B$3,""))</f>
        <v/>
      </c>
      <c r="CI96" s="110">
        <f>IF(U96="","",IFERROR(U96*HSI!$B$91*HSI!$G$91/HSI!$B$3,""))</f>
        <v/>
      </c>
      <c r="CJ96" s="110">
        <f>IF(V96="","",IFERROR(V96*HSI!$B$91*HSI!$G$91/HSI!$B$3,""))</f>
        <v/>
      </c>
      <c r="CK96" s="110">
        <f>IF(W96="","",IFERROR(W96*HSI!$B$91*HSI!$G$91/HSI!$B$3,""))</f>
        <v/>
      </c>
      <c r="CL96" s="110">
        <f>IF(X96="","",IFERROR(X96*HSI!$B$91*HSI!$G$91/HSI!$B$3,""))</f>
        <v/>
      </c>
      <c r="CM96" s="110">
        <f>IF(Y96="","",IFERROR(Y96*HSI!$B$91*HSI!$G$91/HSI!$B$3,""))</f>
        <v/>
      </c>
      <c r="CN96" s="110">
        <f>IF(Z96="","",IFERROR(Z96*HSI!$B$91*HSI!$G$91/HSI!$B$3,""))</f>
        <v/>
      </c>
      <c r="CO96" s="110">
        <f>IF(AA96="","",IFERROR(AA96*HSI!$B$91*HSI!$G$91/HSI!$B$3,""))</f>
        <v/>
      </c>
      <c r="CP96" s="110">
        <f>IF(AB96="","",IFERROR(AB96*HSI!$B$91*HSI!$G$91/HSI!$B$3,""))</f>
        <v/>
      </c>
      <c r="CQ96" s="110">
        <f>IF(AC96="","",IFERROR(AC96*HSI!$B$91*HSI!$G$91/HSI!$B$3,""))</f>
        <v/>
      </c>
      <c r="CR96" s="110">
        <f>IF(AD96="","",IFERROR(AD96*HSI!$B$91*HSI!$G$91/HSI!$B$3,""))</f>
        <v/>
      </c>
      <c r="CS96" s="110">
        <f>IF(AE96="","",IFERROR(AE96*HSI!$B$91*HSI!$G$91/HSI!$B$3,""))</f>
        <v/>
      </c>
      <c r="CT96" s="110">
        <f>IF(AF96="","",IFERROR(AF96*HSI!$B$91*HSI!$G$91/HSI!$B$3,""))</f>
        <v/>
      </c>
      <c r="CU96" s="110">
        <f>IF(AG96="","",IFERROR(AG96*HSI!$B$91*HSI!$G$91/HSI!$B$3,""))</f>
        <v/>
      </c>
      <c r="CV96" s="110">
        <f>IF(AH96="","",IFERROR(AH96*HSI!$B$91*HSI!$G$91/HSI!$B$3,""))</f>
        <v/>
      </c>
      <c r="CW96" s="110">
        <f>IF(AI96="","",IFERROR(AI96*HSI!$B$91*HSI!$G$91/HSI!$B$3,""))</f>
        <v/>
      </c>
      <c r="CX96" s="110">
        <f>IF(AJ96="","",IFERROR(AJ96*HSI!$B$91*HSI!$G$91/HSI!$B$3,""))</f>
        <v/>
      </c>
      <c r="CY96" s="110">
        <f>IF(AK96="","",IFERROR(AK96*HSI!$B$91*HSI!$G$91/HSI!$B$3,""))</f>
        <v/>
      </c>
      <c r="CZ96" s="110">
        <f>IF(AL96="","",IFERROR(AL96*HSI!$B$91*HSI!$G$91/HSI!$B$3,""))</f>
        <v/>
      </c>
      <c r="DA96" s="110">
        <f>IF(AM96="","",IFERROR(AM96*HSI!$B$91*HSI!$G$91/HSI!$B$3,""))</f>
        <v/>
      </c>
      <c r="DB96" s="110">
        <f>IF(AN96="","",IFERROR(AN96*HSI!$B$91*HSI!$G$91/HSI!$B$3,""))</f>
        <v/>
      </c>
      <c r="DC96" s="110">
        <f>IF(AO96="","",IFERROR(AO96*HSI!$B$91*HSI!$G$91/HSI!$B$3,""))</f>
        <v/>
      </c>
      <c r="DD96" s="110">
        <f>IF(AP96="","",IFERROR(AP96*HSI!$B$91*HSI!$G$91/HSI!$B$3,""))</f>
        <v/>
      </c>
      <c r="DE96" s="110">
        <f>IF(AQ96="","",IFERROR(AQ96*HSI!$B$91*HSI!$G$91/HSI!$B$3,""))</f>
        <v/>
      </c>
      <c r="DF96" s="110">
        <f>IF(AR96="","",IFERROR(AR96*HSI!$B$91*HSI!$G$91/HSI!$B$3,""))</f>
        <v/>
      </c>
      <c r="DG96" s="110">
        <f>IF(AS96="","",IFERROR(AS96*HSI!$B$91*HSI!$G$91/HSI!$B$3,""))</f>
        <v/>
      </c>
      <c r="DH96" s="110">
        <f>IF(AT96="","",IFERROR(AT96*HSI!$B$91*HSI!$G$91/HSI!$B$3,""))</f>
        <v/>
      </c>
      <c r="DI96" s="110">
        <f>IF(AU96="","",IFERROR(AU96*HSI!$B$91*HSI!$G$91/HSI!$B$3,""))</f>
        <v/>
      </c>
      <c r="DJ96" s="110">
        <f>IF(AV96="","",IFERROR(AV96*HSI!$B$91*HSI!$G$91/HSI!$B$3,""))</f>
        <v/>
      </c>
      <c r="DK96" s="110">
        <f>IF(AW96="","",IFERROR(AW96*HSI!$B$91*HSI!$G$91/HSI!$B$3,""))</f>
        <v/>
      </c>
      <c r="DL96" s="110">
        <f>IF(AX96="","",IFERROR(AX96*HSI!$B$91*HSI!$G$91/HSI!$B$3,""))</f>
        <v/>
      </c>
      <c r="DM96" s="110">
        <f>IF(AY96="","",IFERROR(AY96*HSI!$B$91*HSI!$G$91/HSI!$B$3,""))</f>
        <v/>
      </c>
      <c r="DN96" s="110">
        <f>IF(AZ96="","",IFERROR(AZ96*HSI!$B$91*HSI!$G$91/HSI!$B$3,""))</f>
        <v/>
      </c>
      <c r="DO96" s="110">
        <f>IF(BA96="","",IFERROR(BA96*HSI!$B$91*HSI!$G$91/HSI!$B$3,""))</f>
        <v/>
      </c>
      <c r="DP96" s="110">
        <f>IF(BB96="","",IFERROR(BB96*HSI!$B$91*HSI!$G$91/HSI!$B$3,""))</f>
        <v/>
      </c>
      <c r="DQ96" s="110">
        <f>IF(BC96="","",IFERROR(BC96*HSI!$B$91*HSI!$G$91/HSI!$B$3,""))</f>
        <v/>
      </c>
      <c r="DR96" s="110">
        <f>IF(BD96="","",IFERROR(BD96*HSI!$B$91*HSI!$G$91/HSI!$B$3,""))</f>
        <v/>
      </c>
      <c r="DS96" s="110">
        <f>IF(BE96="","",IFERROR(BE96*HSI!$B$91*HSI!$G$91/HSI!$B$3,""))</f>
        <v/>
      </c>
      <c r="DT96" s="110">
        <f>IF(BF96="","",IFERROR(BF96*HSI!$B$91*HSI!$G$91/HSI!$B$3,""))</f>
        <v/>
      </c>
      <c r="DU96" s="110">
        <f>IF(BG96="","",IFERROR(BG96*HSI!$B$91*HSI!$G$91/HSI!$B$3,""))</f>
        <v/>
      </c>
      <c r="DV96" s="110">
        <f>IF(BH96="","",IFERROR(BH96*HSI!$B$91*HSI!$G$91/HSI!$B$3,""))</f>
        <v/>
      </c>
      <c r="DW96" s="110">
        <f>IF(BI96="","",IFERROR(BI96*HSI!$B$91*HSI!$G$91/HSI!$B$3,""))</f>
        <v/>
      </c>
      <c r="DX96" s="110">
        <f>IF(BJ96="","",IFERROR(BJ96*HSI!$B$91*HSI!$G$91/HSI!$B$3,""))</f>
        <v/>
      </c>
      <c r="DY96" s="110">
        <f>IF(BK96="","",IFERROR(BK96*HSI!$B$91*HSI!$G$91/HSI!$B$3,""))</f>
        <v/>
      </c>
      <c r="DZ96" s="110">
        <f>IF(BL96="","",IFERROR(BL96*HSI!$B$91*HSI!$G$91/HSI!$B$3,""))</f>
        <v/>
      </c>
      <c r="EA96" s="110">
        <f>IF(BM96="","",IFERROR(BM96*HSI!$B$91*HSI!$G$91/HSI!$B$3,""))</f>
        <v/>
      </c>
      <c r="EB96" s="110">
        <f>IF(BN96="","",IFERROR(BN96*HSI!$B$91*HSI!$G$91/HSI!$B$3,""))</f>
        <v/>
      </c>
      <c r="EC96" s="110">
        <f>IF(BO96="","",IFERROR(BO96*HSI!$B$91*HSI!$G$91/HSI!$B$3,""))</f>
        <v/>
      </c>
      <c r="EE96" s="39">
        <f>IF(N('Dvd Calendar'!$E$935)=0,"",IF(('Dvd Calendar'!$E$935&gt;=GRID_FROM)*('Dvd Calendar'!$E$935&lt;=GRID_TO)*((('Dvd Calendar'!$E$935&lt;=VAL_DATE)+(COUNTIF('Dvd Calendar'!$E$942:$AR$942,'Dvd Calendar'!$E$935)=0))&gt;0)=0,"",'Dvd Calendar'!$E$935*1000000000+ISNUMBER('Dvd Calendar'!$E$938)*100000000+('Dvd Calendar'!$E$940=SPECIAL_LBL)*10000000+(N('Dvd Calendar'!$E$934)&gt;0)*(N('Dvd Calendar'!$E$934)&lt;=VAL_SERIAL)*1000000+85*1000+1))</f>
        <v/>
      </c>
      <c r="EF96" s="39">
        <f>IF(N('Dvd Calendar'!$F$935)=0,"",IF(('Dvd Calendar'!$F$935&gt;=GRID_FROM)*('Dvd Calendar'!$F$935&lt;=GRID_TO)*((('Dvd Calendar'!$F$935&lt;=VAL_DATE)+(COUNTIF('Dvd Calendar'!$E$942:$AR$942,'Dvd Calendar'!$F$935)=0))&gt;0)=0,"",'Dvd Calendar'!$F$935*1000000000+ISNUMBER('Dvd Calendar'!$F$938)*100000000+('Dvd Calendar'!$F$940=SPECIAL_LBL)*10000000+(N('Dvd Calendar'!$F$934)&gt;0)*(N('Dvd Calendar'!$F$934)&lt;=VAL_SERIAL)*1000000+85*1000+2))</f>
        <v/>
      </c>
      <c r="EG96" s="39">
        <f>IF(N('Dvd Calendar'!$G$935)=0,"",IF(('Dvd Calendar'!$G$935&gt;=GRID_FROM)*('Dvd Calendar'!$G$935&lt;=GRID_TO)*((('Dvd Calendar'!$G$935&lt;=VAL_DATE)+(COUNTIF('Dvd Calendar'!$E$942:$AR$942,'Dvd Calendar'!$G$935)=0))&gt;0)=0,"",'Dvd Calendar'!$G$935*1000000000+ISNUMBER('Dvd Calendar'!$G$938)*100000000+('Dvd Calendar'!$G$940=SPECIAL_LBL)*10000000+(N('Dvd Calendar'!$G$934)&gt;0)*(N('Dvd Calendar'!$G$934)&lt;=VAL_SERIAL)*1000000+85*1000+3))</f>
        <v/>
      </c>
      <c r="EH96" s="39">
        <f>IF(N('Dvd Calendar'!$H$935)=0,"",IF(('Dvd Calendar'!$H$935&gt;=GRID_FROM)*('Dvd Calendar'!$H$935&lt;=GRID_TO)*((('Dvd Calendar'!$H$935&lt;=VAL_DATE)+(COUNTIF('Dvd Calendar'!$E$942:$AR$942,'Dvd Calendar'!$H$935)=0))&gt;0)=0,"",'Dvd Calendar'!$H$935*1000000000+ISNUMBER('Dvd Calendar'!$H$938)*100000000+('Dvd Calendar'!$H$940=SPECIAL_LBL)*10000000+(N('Dvd Calendar'!$H$934)&gt;0)*(N('Dvd Calendar'!$H$934)&lt;=VAL_SERIAL)*1000000+85*1000+4))</f>
        <v/>
      </c>
      <c r="EI96" s="39">
        <f>IF(N('Dvd Calendar'!$I$935)=0,"",IF(('Dvd Calendar'!$I$935&gt;=GRID_FROM)*('Dvd Calendar'!$I$935&lt;=GRID_TO)*((('Dvd Calendar'!$I$935&lt;=VAL_DATE)+(COUNTIF('Dvd Calendar'!$E$942:$AR$942,'Dvd Calendar'!$I$935)=0))&gt;0)=0,"",'Dvd Calendar'!$I$935*1000000000+ISNUMBER('Dvd Calendar'!$I$938)*100000000+('Dvd Calendar'!$I$940=SPECIAL_LBL)*10000000+(N('Dvd Calendar'!$I$934)&gt;0)*(N('Dvd Calendar'!$I$934)&lt;=VAL_SERIAL)*1000000+85*1000+5))</f>
        <v/>
      </c>
      <c r="EJ96" s="39">
        <f>IF(N('Dvd Calendar'!$J$935)=0,"",IF(('Dvd Calendar'!$J$935&gt;=GRID_FROM)*('Dvd Calendar'!$J$935&lt;=GRID_TO)*((('Dvd Calendar'!$J$935&lt;=VAL_DATE)+(COUNTIF('Dvd Calendar'!$E$942:$AR$942,'Dvd Calendar'!$J$935)=0))&gt;0)=0,"",'Dvd Calendar'!$J$935*1000000000+ISNUMBER('Dvd Calendar'!$J$938)*100000000+('Dvd Calendar'!$J$940=SPECIAL_LBL)*10000000+(N('Dvd Calendar'!$J$934)&gt;0)*(N('Dvd Calendar'!$J$934)&lt;=VAL_SERIAL)*1000000+85*1000+6))</f>
        <v/>
      </c>
      <c r="EK96" s="39">
        <f>IF(N('Dvd Calendar'!$K$935)=0,"",IF(('Dvd Calendar'!$K$935&gt;=GRID_FROM)*('Dvd Calendar'!$K$935&lt;=GRID_TO)*((('Dvd Calendar'!$K$935&lt;=VAL_DATE)+(COUNTIF('Dvd Calendar'!$E$942:$AR$942,'Dvd Calendar'!$K$935)=0))&gt;0)=0,"",'Dvd Calendar'!$K$935*1000000000+ISNUMBER('Dvd Calendar'!$K$938)*100000000+('Dvd Calendar'!$K$940=SPECIAL_LBL)*10000000+(N('Dvd Calendar'!$K$934)&gt;0)*(N('Dvd Calendar'!$K$934)&lt;=VAL_SERIAL)*1000000+85*1000+7))</f>
        <v/>
      </c>
      <c r="EL96" s="39">
        <f>IF(N('Dvd Calendar'!$L$935)=0,"",IF(('Dvd Calendar'!$L$935&gt;=GRID_FROM)*('Dvd Calendar'!$L$935&lt;=GRID_TO)*((('Dvd Calendar'!$L$935&lt;=VAL_DATE)+(COUNTIF('Dvd Calendar'!$E$942:$AR$942,'Dvd Calendar'!$L$935)=0))&gt;0)=0,"",'Dvd Calendar'!$L$935*1000000000+ISNUMBER('Dvd Calendar'!$L$938)*100000000+('Dvd Calendar'!$L$940=SPECIAL_LBL)*10000000+(N('Dvd Calendar'!$L$934)&gt;0)*(N('Dvd Calendar'!$L$934)&lt;=VAL_SERIAL)*1000000+85*1000+8))</f>
        <v/>
      </c>
      <c r="EM96" s="39">
        <f>IF(N('Dvd Calendar'!$M$935)=0,"",IF(('Dvd Calendar'!$M$935&gt;=GRID_FROM)*('Dvd Calendar'!$M$935&lt;=GRID_TO)*((('Dvd Calendar'!$M$935&lt;=VAL_DATE)+(COUNTIF('Dvd Calendar'!$E$942:$AR$942,'Dvd Calendar'!$M$935)=0))&gt;0)=0,"",'Dvd Calendar'!$M$935*1000000000+ISNUMBER('Dvd Calendar'!$M$938)*100000000+('Dvd Calendar'!$M$940=SPECIAL_LBL)*10000000+(N('Dvd Calendar'!$M$934)&gt;0)*(N('Dvd Calendar'!$M$934)&lt;=VAL_SERIAL)*1000000+85*1000+9))</f>
        <v/>
      </c>
      <c r="EN96" s="39">
        <f>IF(N('Dvd Calendar'!$N$935)=0,"",IF(('Dvd Calendar'!$N$935&gt;=GRID_FROM)*('Dvd Calendar'!$N$935&lt;=GRID_TO)*((('Dvd Calendar'!$N$935&lt;=VAL_DATE)+(COUNTIF('Dvd Calendar'!$E$942:$AR$942,'Dvd Calendar'!$N$935)=0))&gt;0)=0,"",'Dvd Calendar'!$N$935*1000000000+ISNUMBER('Dvd Calendar'!$N$938)*100000000+('Dvd Calendar'!$N$940=SPECIAL_LBL)*10000000+(N('Dvd Calendar'!$N$934)&gt;0)*(N('Dvd Calendar'!$N$934)&lt;=VAL_SERIAL)*1000000+85*1000+10))</f>
        <v/>
      </c>
      <c r="EO96" s="39">
        <f>IF(N('Dvd Calendar'!$O$935)=0,"",IF(('Dvd Calendar'!$O$935&gt;=GRID_FROM)*('Dvd Calendar'!$O$935&lt;=GRID_TO)*((('Dvd Calendar'!$O$935&lt;=VAL_DATE)+(COUNTIF('Dvd Calendar'!$E$942:$AR$942,'Dvd Calendar'!$O$935)=0))&gt;0)=0,"",'Dvd Calendar'!$O$935*1000000000+ISNUMBER('Dvd Calendar'!$O$938)*100000000+('Dvd Calendar'!$O$940=SPECIAL_LBL)*10000000+(N('Dvd Calendar'!$O$934)&gt;0)*(N('Dvd Calendar'!$O$934)&lt;=VAL_SERIAL)*1000000+85*1000+11))</f>
        <v/>
      </c>
      <c r="EP96" s="39">
        <f>IF(N('Dvd Calendar'!$P$935)=0,"",IF(('Dvd Calendar'!$P$935&gt;=GRID_FROM)*('Dvd Calendar'!$P$935&lt;=GRID_TO)*((('Dvd Calendar'!$P$935&lt;=VAL_DATE)+(COUNTIF('Dvd Calendar'!$E$942:$AR$942,'Dvd Calendar'!$P$935)=0))&gt;0)=0,"",'Dvd Calendar'!$P$935*1000000000+ISNUMBER('Dvd Calendar'!$P$938)*100000000+('Dvd Calendar'!$P$940=SPECIAL_LBL)*10000000+(N('Dvd Calendar'!$P$934)&gt;0)*(N('Dvd Calendar'!$P$934)&lt;=VAL_SERIAL)*1000000+85*1000+12))</f>
        <v/>
      </c>
      <c r="EQ96" s="39">
        <f>IF(N('Dvd Calendar'!$Q$935)=0,"",IF(('Dvd Calendar'!$Q$935&gt;=GRID_FROM)*('Dvd Calendar'!$Q$935&lt;=GRID_TO)*((('Dvd Calendar'!$Q$935&lt;=VAL_DATE)+(COUNTIF('Dvd Calendar'!$E$942:$AR$942,'Dvd Calendar'!$Q$935)=0))&gt;0)=0,"",'Dvd Calendar'!$Q$935*1000000000+ISNUMBER('Dvd Calendar'!$Q$938)*100000000+('Dvd Calendar'!$Q$940=SPECIAL_LBL)*10000000+(N('Dvd Calendar'!$Q$934)&gt;0)*(N('Dvd Calendar'!$Q$934)&lt;=VAL_SERIAL)*1000000+85*1000+13))</f>
        <v/>
      </c>
      <c r="ER96" s="39">
        <f>IF(N('Dvd Calendar'!$R$935)=0,"",IF(('Dvd Calendar'!$R$935&gt;=GRID_FROM)*('Dvd Calendar'!$R$935&lt;=GRID_TO)*((('Dvd Calendar'!$R$935&lt;=VAL_DATE)+(COUNTIF('Dvd Calendar'!$E$942:$AR$942,'Dvd Calendar'!$R$935)=0))&gt;0)=0,"",'Dvd Calendar'!$R$935*1000000000+ISNUMBER('Dvd Calendar'!$R$938)*100000000+('Dvd Calendar'!$R$940=SPECIAL_LBL)*10000000+(N('Dvd Calendar'!$R$934)&gt;0)*(N('Dvd Calendar'!$R$934)&lt;=VAL_SERIAL)*1000000+85*1000+14))</f>
        <v/>
      </c>
      <c r="ES96" s="39">
        <f>IF(N('Dvd Calendar'!$S$935)=0,"",IF(('Dvd Calendar'!$S$935&gt;=GRID_FROM)*('Dvd Calendar'!$S$935&lt;=GRID_TO)*((('Dvd Calendar'!$S$935&lt;=VAL_DATE)+(COUNTIF('Dvd Calendar'!$E$942:$AR$942,'Dvd Calendar'!$S$935)=0))&gt;0)=0,"",'Dvd Calendar'!$S$935*1000000000+ISNUMBER('Dvd Calendar'!$S$938)*100000000+('Dvd Calendar'!$S$940=SPECIAL_LBL)*10000000+(N('Dvd Calendar'!$S$934)&gt;0)*(N('Dvd Calendar'!$S$934)&lt;=VAL_SERIAL)*1000000+85*1000+15))</f>
        <v/>
      </c>
      <c r="ET96" s="39">
        <f>IF(N('Dvd Calendar'!$T$935)=0,"",IF(('Dvd Calendar'!$T$935&gt;=GRID_FROM)*('Dvd Calendar'!$T$935&lt;=GRID_TO)*((('Dvd Calendar'!$T$935&lt;=VAL_DATE)+(COUNTIF('Dvd Calendar'!$E$942:$AR$942,'Dvd Calendar'!$T$935)=0))&gt;0)=0,"",'Dvd Calendar'!$T$935*1000000000+ISNUMBER('Dvd Calendar'!$T$938)*100000000+('Dvd Calendar'!$T$940=SPECIAL_LBL)*10000000+(N('Dvd Calendar'!$T$934)&gt;0)*(N('Dvd Calendar'!$T$934)&lt;=VAL_SERIAL)*1000000+85*1000+16))</f>
        <v/>
      </c>
      <c r="EU96" s="39">
        <f>IF(N('Dvd Calendar'!$U$935)=0,"",IF(('Dvd Calendar'!$U$935&gt;=GRID_FROM)*('Dvd Calendar'!$U$935&lt;=GRID_TO)*((('Dvd Calendar'!$U$935&lt;=VAL_DATE)+(COUNTIF('Dvd Calendar'!$E$942:$AR$942,'Dvd Calendar'!$U$935)=0))&gt;0)=0,"",'Dvd Calendar'!$U$935*1000000000+ISNUMBER('Dvd Calendar'!$U$938)*100000000+('Dvd Calendar'!$U$940=SPECIAL_LBL)*10000000+(N('Dvd Calendar'!$U$934)&gt;0)*(N('Dvd Calendar'!$U$934)&lt;=VAL_SERIAL)*1000000+85*1000+17))</f>
        <v/>
      </c>
      <c r="EV96" s="39">
        <f>IF(N('Dvd Calendar'!$V$935)=0,"",IF(('Dvd Calendar'!$V$935&gt;=GRID_FROM)*('Dvd Calendar'!$V$935&lt;=GRID_TO)*((('Dvd Calendar'!$V$935&lt;=VAL_DATE)+(COUNTIF('Dvd Calendar'!$E$942:$AR$942,'Dvd Calendar'!$V$935)=0))&gt;0)=0,"",'Dvd Calendar'!$V$935*1000000000+ISNUMBER('Dvd Calendar'!$V$938)*100000000+('Dvd Calendar'!$V$940=SPECIAL_LBL)*10000000+(N('Dvd Calendar'!$V$934)&gt;0)*(N('Dvd Calendar'!$V$934)&lt;=VAL_SERIAL)*1000000+85*1000+18))</f>
        <v/>
      </c>
      <c r="EW96" s="39">
        <f>IF(N('Dvd Calendar'!$W$935)=0,"",IF(('Dvd Calendar'!$W$935&gt;=GRID_FROM)*('Dvd Calendar'!$W$935&lt;=GRID_TO)*((('Dvd Calendar'!$W$935&lt;=VAL_DATE)+(COUNTIF('Dvd Calendar'!$E$942:$AR$942,'Dvd Calendar'!$W$935)=0))&gt;0)=0,"",'Dvd Calendar'!$W$935*1000000000+ISNUMBER('Dvd Calendar'!$W$938)*100000000+('Dvd Calendar'!$W$940=SPECIAL_LBL)*10000000+(N('Dvd Calendar'!$W$934)&gt;0)*(N('Dvd Calendar'!$W$934)&lt;=VAL_SERIAL)*1000000+85*1000+19))</f>
        <v/>
      </c>
      <c r="EX96" s="39">
        <f>IF(N('Dvd Calendar'!$X$935)=0,"",IF(('Dvd Calendar'!$X$935&gt;=GRID_FROM)*('Dvd Calendar'!$X$935&lt;=GRID_TO)*((('Dvd Calendar'!$X$935&lt;=VAL_DATE)+(COUNTIF('Dvd Calendar'!$E$942:$AR$942,'Dvd Calendar'!$X$935)=0))&gt;0)=0,"",'Dvd Calendar'!$X$935*1000000000+ISNUMBER('Dvd Calendar'!$X$938)*100000000+('Dvd Calendar'!$X$940=SPECIAL_LBL)*10000000+(N('Dvd Calendar'!$X$934)&gt;0)*(N('Dvd Calendar'!$X$934)&lt;=VAL_SERIAL)*1000000+85*1000+20))</f>
        <v/>
      </c>
      <c r="EY96" s="39">
        <f>IF(N('Dvd Calendar'!$Y$935)=0,"",IF(('Dvd Calendar'!$Y$935&gt;=GRID_FROM)*('Dvd Calendar'!$Y$935&lt;=GRID_TO)*((('Dvd Calendar'!$Y$935&lt;=VAL_DATE)+(COUNTIF('Dvd Calendar'!$E$942:$AR$942,'Dvd Calendar'!$Y$935)=0))&gt;0)=0,"",'Dvd Calendar'!$Y$935*1000000000+ISNUMBER('Dvd Calendar'!$Y$938)*100000000+('Dvd Calendar'!$Y$940=SPECIAL_LBL)*10000000+(N('Dvd Calendar'!$Y$934)&gt;0)*(N('Dvd Calendar'!$Y$934)&lt;=VAL_SERIAL)*1000000+85*1000+21))</f>
        <v/>
      </c>
      <c r="EZ96" s="39">
        <f>IF(N('Dvd Calendar'!$Z$935)=0,"",IF(('Dvd Calendar'!$Z$935&gt;=GRID_FROM)*('Dvd Calendar'!$Z$935&lt;=GRID_TO)*((('Dvd Calendar'!$Z$935&lt;=VAL_DATE)+(COUNTIF('Dvd Calendar'!$E$942:$AR$942,'Dvd Calendar'!$Z$935)=0))&gt;0)=0,"",'Dvd Calendar'!$Z$935*1000000000+ISNUMBER('Dvd Calendar'!$Z$938)*100000000+('Dvd Calendar'!$Z$940=SPECIAL_LBL)*10000000+(N('Dvd Calendar'!$Z$934)&gt;0)*(N('Dvd Calendar'!$Z$934)&lt;=VAL_SERIAL)*1000000+85*1000+22))</f>
        <v/>
      </c>
      <c r="FA96" s="39">
        <f>IF(N('Dvd Calendar'!$AA$935)=0,"",IF(('Dvd Calendar'!$AA$935&gt;=GRID_FROM)*('Dvd Calendar'!$AA$935&lt;=GRID_TO)*((('Dvd Calendar'!$AA$935&lt;=VAL_DATE)+(COUNTIF('Dvd Calendar'!$E$942:$AR$942,'Dvd Calendar'!$AA$935)=0))&gt;0)=0,"",'Dvd Calendar'!$AA$935*1000000000+ISNUMBER('Dvd Calendar'!$AA$938)*100000000+('Dvd Calendar'!$AA$940=SPECIAL_LBL)*10000000+(N('Dvd Calendar'!$AA$934)&gt;0)*(N('Dvd Calendar'!$AA$934)&lt;=VAL_SERIAL)*1000000+85*1000+23))</f>
        <v/>
      </c>
      <c r="FB96" s="39">
        <f>IF(N('Dvd Calendar'!$AB$935)=0,"",IF(('Dvd Calendar'!$AB$935&gt;=GRID_FROM)*('Dvd Calendar'!$AB$935&lt;=GRID_TO)*((('Dvd Calendar'!$AB$935&lt;=VAL_DATE)+(COUNTIF('Dvd Calendar'!$E$942:$AR$942,'Dvd Calendar'!$AB$935)=0))&gt;0)=0,"",'Dvd Calendar'!$AB$935*1000000000+ISNUMBER('Dvd Calendar'!$AB$938)*100000000+('Dvd Calendar'!$AB$940=SPECIAL_LBL)*10000000+(N('Dvd Calendar'!$AB$934)&gt;0)*(N('Dvd Calendar'!$AB$934)&lt;=VAL_SERIAL)*1000000+85*1000+24))</f>
        <v/>
      </c>
      <c r="FC96" s="39">
        <f>IF(N('Dvd Calendar'!$AC$935)=0,"",IF(('Dvd Calendar'!$AC$935&gt;=GRID_FROM)*('Dvd Calendar'!$AC$935&lt;=GRID_TO)*((('Dvd Calendar'!$AC$935&lt;=VAL_DATE)+(COUNTIF('Dvd Calendar'!$E$942:$AR$942,'Dvd Calendar'!$AC$935)=0))&gt;0)=0,"",'Dvd Calendar'!$AC$935*1000000000+ISNUMBER('Dvd Calendar'!$AC$938)*100000000+('Dvd Calendar'!$AC$940=SPECIAL_LBL)*10000000+(N('Dvd Calendar'!$AC$934)&gt;0)*(N('Dvd Calendar'!$AC$934)&lt;=VAL_SERIAL)*1000000+85*1000+25))</f>
        <v/>
      </c>
      <c r="FD96" s="39">
        <f>IF(N('Dvd Calendar'!$AD$935)=0,"",IF(('Dvd Calendar'!$AD$935&gt;=GRID_FROM)*('Dvd Calendar'!$AD$935&lt;=GRID_TO)*((('Dvd Calendar'!$AD$935&lt;=VAL_DATE)+(COUNTIF('Dvd Calendar'!$E$942:$AR$942,'Dvd Calendar'!$AD$935)=0))&gt;0)=0,"",'Dvd Calendar'!$AD$935*1000000000+ISNUMBER('Dvd Calendar'!$AD$938)*100000000+('Dvd Calendar'!$AD$940=SPECIAL_LBL)*10000000+(N('Dvd Calendar'!$AD$934)&gt;0)*(N('Dvd Calendar'!$AD$934)&lt;=VAL_SERIAL)*1000000+85*1000+26))</f>
        <v/>
      </c>
      <c r="FE96" s="39">
        <f>IF(N('Dvd Calendar'!$AE$935)=0,"",IF(('Dvd Calendar'!$AE$935&gt;=GRID_FROM)*('Dvd Calendar'!$AE$935&lt;=GRID_TO)*((('Dvd Calendar'!$AE$935&lt;=VAL_DATE)+(COUNTIF('Dvd Calendar'!$E$942:$AR$942,'Dvd Calendar'!$AE$935)=0))&gt;0)=0,"",'Dvd Calendar'!$AE$935*1000000000+ISNUMBER('Dvd Calendar'!$AE$938)*100000000+('Dvd Calendar'!$AE$940=SPECIAL_LBL)*10000000+(N('Dvd Calendar'!$AE$934)&gt;0)*(N('Dvd Calendar'!$AE$934)&lt;=VAL_SERIAL)*1000000+85*1000+27))</f>
        <v/>
      </c>
      <c r="FF96" s="39">
        <f>IF(N('Dvd Calendar'!$AF$935)=0,"",IF(('Dvd Calendar'!$AF$935&gt;=GRID_FROM)*('Dvd Calendar'!$AF$935&lt;=GRID_TO)*((('Dvd Calendar'!$AF$935&lt;=VAL_DATE)+(COUNTIF('Dvd Calendar'!$E$942:$AR$942,'Dvd Calendar'!$AF$935)=0))&gt;0)=0,"",'Dvd Calendar'!$AF$935*1000000000+ISNUMBER('Dvd Calendar'!$AF$938)*100000000+('Dvd Calendar'!$AF$940=SPECIAL_LBL)*10000000+(N('Dvd Calendar'!$AF$934)&gt;0)*(N('Dvd Calendar'!$AF$934)&lt;=VAL_SERIAL)*1000000+85*1000+28))</f>
        <v/>
      </c>
      <c r="FG96" s="39">
        <f>IF(N('Dvd Calendar'!$AG$935)=0,"",IF(('Dvd Calendar'!$AG$935&gt;=GRID_FROM)*('Dvd Calendar'!$AG$935&lt;=GRID_TO)*((('Dvd Calendar'!$AG$935&lt;=VAL_DATE)+(COUNTIF('Dvd Calendar'!$E$942:$AR$942,'Dvd Calendar'!$AG$935)=0))&gt;0)=0,"",'Dvd Calendar'!$AG$935*1000000000+ISNUMBER('Dvd Calendar'!$AG$938)*100000000+('Dvd Calendar'!$AG$940=SPECIAL_LBL)*10000000+(N('Dvd Calendar'!$AG$934)&gt;0)*(N('Dvd Calendar'!$AG$934)&lt;=VAL_SERIAL)*1000000+85*1000+29))</f>
        <v/>
      </c>
      <c r="FH96" s="39">
        <f>IF(N('Dvd Calendar'!$AH$935)=0,"",IF(('Dvd Calendar'!$AH$935&gt;=GRID_FROM)*('Dvd Calendar'!$AH$935&lt;=GRID_TO)*((('Dvd Calendar'!$AH$935&lt;=VAL_DATE)+(COUNTIF('Dvd Calendar'!$E$942:$AR$942,'Dvd Calendar'!$AH$935)=0))&gt;0)=0,"",'Dvd Calendar'!$AH$935*1000000000+ISNUMBER('Dvd Calendar'!$AH$938)*100000000+('Dvd Calendar'!$AH$940=SPECIAL_LBL)*10000000+(N('Dvd Calendar'!$AH$934)&gt;0)*(N('Dvd Calendar'!$AH$934)&lt;=VAL_SERIAL)*1000000+85*1000+30))</f>
        <v/>
      </c>
      <c r="FI96" s="39">
        <f>IF(N('Dvd Calendar'!$AI$935)=0,"",IF(('Dvd Calendar'!$AI$935&gt;=GRID_FROM)*('Dvd Calendar'!$AI$935&lt;=GRID_TO)*((('Dvd Calendar'!$AI$935&lt;=VAL_DATE)+(COUNTIF('Dvd Calendar'!$E$942:$AR$942,'Dvd Calendar'!$AI$935)=0))&gt;0)=0,"",'Dvd Calendar'!$AI$935*1000000000+ISNUMBER('Dvd Calendar'!$AI$938)*100000000+('Dvd Calendar'!$AI$940=SPECIAL_LBL)*10000000+(N('Dvd Calendar'!$AI$934)&gt;0)*(N('Dvd Calendar'!$AI$934)&lt;=VAL_SERIAL)*1000000+85*1000+31))</f>
        <v/>
      </c>
      <c r="FJ96" s="39">
        <f>IF(N('Dvd Calendar'!$AJ$935)=0,"",IF(('Dvd Calendar'!$AJ$935&gt;=GRID_FROM)*('Dvd Calendar'!$AJ$935&lt;=GRID_TO)*((('Dvd Calendar'!$AJ$935&lt;=VAL_DATE)+(COUNTIF('Dvd Calendar'!$E$942:$AR$942,'Dvd Calendar'!$AJ$935)=0))&gt;0)=0,"",'Dvd Calendar'!$AJ$935*1000000000+ISNUMBER('Dvd Calendar'!$AJ$938)*100000000+('Dvd Calendar'!$AJ$940=SPECIAL_LBL)*10000000+(N('Dvd Calendar'!$AJ$934)&gt;0)*(N('Dvd Calendar'!$AJ$934)&lt;=VAL_SERIAL)*1000000+85*1000+32))</f>
        <v/>
      </c>
      <c r="FK96" s="39">
        <f>IF(N('Dvd Calendar'!$AK$935)=0,"",IF(('Dvd Calendar'!$AK$935&gt;=GRID_FROM)*('Dvd Calendar'!$AK$935&lt;=GRID_TO)*((('Dvd Calendar'!$AK$935&lt;=VAL_DATE)+(COUNTIF('Dvd Calendar'!$E$942:$AR$942,'Dvd Calendar'!$AK$935)=0))&gt;0)=0,"",'Dvd Calendar'!$AK$935*1000000000+ISNUMBER('Dvd Calendar'!$AK$938)*100000000+('Dvd Calendar'!$AK$940=SPECIAL_LBL)*10000000+(N('Dvd Calendar'!$AK$934)&gt;0)*(N('Dvd Calendar'!$AK$934)&lt;=VAL_SERIAL)*1000000+85*1000+33))</f>
        <v/>
      </c>
      <c r="FL96" s="39">
        <f>IF(N('Dvd Calendar'!$AL$935)=0,"",IF(('Dvd Calendar'!$AL$935&gt;=GRID_FROM)*('Dvd Calendar'!$AL$935&lt;=GRID_TO)*((('Dvd Calendar'!$AL$935&lt;=VAL_DATE)+(COUNTIF('Dvd Calendar'!$E$942:$AR$942,'Dvd Calendar'!$AL$935)=0))&gt;0)=0,"",'Dvd Calendar'!$AL$935*1000000000+ISNUMBER('Dvd Calendar'!$AL$938)*100000000+('Dvd Calendar'!$AL$940=SPECIAL_LBL)*10000000+(N('Dvd Calendar'!$AL$934)&gt;0)*(N('Dvd Calendar'!$AL$934)&lt;=VAL_SERIAL)*1000000+85*1000+34))</f>
        <v/>
      </c>
      <c r="FM96" s="39">
        <f>IF(N('Dvd Calendar'!$AM$935)=0,"",IF(('Dvd Calendar'!$AM$935&gt;=GRID_FROM)*('Dvd Calendar'!$AM$935&lt;=GRID_TO)*((('Dvd Calendar'!$AM$935&lt;=VAL_DATE)+(COUNTIF('Dvd Calendar'!$E$942:$AR$942,'Dvd Calendar'!$AM$935)=0))&gt;0)=0,"",'Dvd Calendar'!$AM$935*1000000000+ISNUMBER('Dvd Calendar'!$AM$938)*100000000+('Dvd Calendar'!$AM$940=SPECIAL_LBL)*10000000+(N('Dvd Calendar'!$AM$934)&gt;0)*(N('Dvd Calendar'!$AM$934)&lt;=VAL_SERIAL)*1000000+85*1000+35))</f>
        <v/>
      </c>
      <c r="FN96" s="39">
        <f>IF(N('Dvd Calendar'!$AN$935)=0,"",IF(('Dvd Calendar'!$AN$935&gt;=GRID_FROM)*('Dvd Calendar'!$AN$935&lt;=GRID_TO)*((('Dvd Calendar'!$AN$935&lt;=VAL_DATE)+(COUNTIF('Dvd Calendar'!$E$942:$AR$942,'Dvd Calendar'!$AN$935)=0))&gt;0)=0,"",'Dvd Calendar'!$AN$935*1000000000+ISNUMBER('Dvd Calendar'!$AN$938)*100000000+('Dvd Calendar'!$AN$940=SPECIAL_LBL)*10000000+(N('Dvd Calendar'!$AN$934)&gt;0)*(N('Dvd Calendar'!$AN$934)&lt;=VAL_SERIAL)*1000000+85*1000+36))</f>
        <v/>
      </c>
      <c r="FO96" s="39">
        <f>IF(N('Dvd Calendar'!$AO$935)=0,"",IF(('Dvd Calendar'!$AO$935&gt;=GRID_FROM)*('Dvd Calendar'!$AO$935&lt;=GRID_TO)*((('Dvd Calendar'!$AO$935&lt;=VAL_DATE)+(COUNTIF('Dvd Calendar'!$E$942:$AR$942,'Dvd Calendar'!$AO$935)=0))&gt;0)=0,"",'Dvd Calendar'!$AO$935*1000000000+ISNUMBER('Dvd Calendar'!$AO$938)*100000000+('Dvd Calendar'!$AO$940=SPECIAL_LBL)*10000000+(N('Dvd Calendar'!$AO$934)&gt;0)*(N('Dvd Calendar'!$AO$934)&lt;=VAL_SERIAL)*1000000+85*1000+37))</f>
        <v/>
      </c>
      <c r="FP96" s="39">
        <f>IF(N('Dvd Calendar'!$AP$935)=0,"",IF(('Dvd Calendar'!$AP$935&gt;=GRID_FROM)*('Dvd Calendar'!$AP$935&lt;=GRID_TO)*((('Dvd Calendar'!$AP$935&lt;=VAL_DATE)+(COUNTIF('Dvd Calendar'!$E$942:$AR$942,'Dvd Calendar'!$AP$935)=0))&gt;0)=0,"",'Dvd Calendar'!$AP$935*1000000000+ISNUMBER('Dvd Calendar'!$AP$938)*100000000+('Dvd Calendar'!$AP$940=SPECIAL_LBL)*10000000+(N('Dvd Calendar'!$AP$934)&gt;0)*(N('Dvd Calendar'!$AP$934)&lt;=VAL_SERIAL)*1000000+85*1000+38))</f>
        <v/>
      </c>
      <c r="FQ96" s="39">
        <f>IF(N('Dvd Calendar'!$AQ$935)=0,"",IF(('Dvd Calendar'!$AQ$935&gt;=GRID_FROM)*('Dvd Calendar'!$AQ$935&lt;=GRID_TO)*((('Dvd Calendar'!$AQ$935&lt;=VAL_DATE)+(COUNTIF('Dvd Calendar'!$E$942:$AR$942,'Dvd Calendar'!$AQ$935)=0))&gt;0)=0,"",'Dvd Calendar'!$AQ$935*1000000000+ISNUMBER('Dvd Calendar'!$AQ$938)*100000000+('Dvd Calendar'!$AQ$940=SPECIAL_LBL)*10000000+(N('Dvd Calendar'!$AQ$934)&gt;0)*(N('Dvd Calendar'!$AQ$934)&lt;=VAL_SERIAL)*1000000+85*1000+39))</f>
        <v/>
      </c>
      <c r="FR96" s="39">
        <f>IF(N('Dvd Calendar'!$AR$935)=0,"",IF(('Dvd Calendar'!$AR$935&gt;=GRID_FROM)*('Dvd Calendar'!$AR$935&lt;=GRID_TO)*((('Dvd Calendar'!$AR$935&lt;=VAL_DATE)+(COUNTIF('Dvd Calendar'!$E$942:$AR$942,'Dvd Calendar'!$AR$935)=0))&gt;0)=0,"",'Dvd Calendar'!$AR$935*1000000000+ISNUMBER('Dvd Calendar'!$AR$938)*100000000+('Dvd Calendar'!$AR$940=SPECIAL_LBL)*10000000+(N('Dvd Calendar'!$AR$934)&gt;0)*(N('Dvd Calendar'!$AR$934)&lt;=VAL_SERIAL)*1000000+85*1000+40))</f>
        <v/>
      </c>
      <c r="FS96" s="39">
        <f>IF(N('Dvd Calendar'!$E$942)=0,"",IF(('Dvd Calendar'!$E$942&gt;=GRID_FROM)*('Dvd Calendar'!$E$942&lt;=GRID_TO)*('Dvd Calendar'!$E$942&gt;VAL_DATE)=0,"",'Dvd Calendar'!$E$942*1000000000+ISNUMBER('Dvd Calendar'!$E$943)*100000000+0*10000000+(N('Dvd Calendar'!$E$941)&gt;0)*(N('Dvd Calendar'!$E$941)&lt;=VAL_SERIAL)*1000000+85*1000+41))</f>
        <v/>
      </c>
      <c r="FT96" s="39">
        <f>IF(N('Dvd Calendar'!$F$942)=0,"",IF(('Dvd Calendar'!$F$942&gt;=GRID_FROM)*('Dvd Calendar'!$F$942&lt;=GRID_TO)*('Dvd Calendar'!$F$942&gt;VAL_DATE)=0,"",'Dvd Calendar'!$F$942*1000000000+ISNUMBER('Dvd Calendar'!$F$943)*100000000+0*10000000+(N('Dvd Calendar'!$F$941)&gt;0)*(N('Dvd Calendar'!$F$941)&lt;=VAL_SERIAL)*1000000+85*1000+42))</f>
        <v/>
      </c>
      <c r="FU96" s="39">
        <f>IF(N('Dvd Calendar'!$G$942)=0,"",IF(('Dvd Calendar'!$G$942&gt;=GRID_FROM)*('Dvd Calendar'!$G$942&lt;=GRID_TO)*('Dvd Calendar'!$G$942&gt;VAL_DATE)=0,"",'Dvd Calendar'!$G$942*1000000000+ISNUMBER('Dvd Calendar'!$G$943)*100000000+0*10000000+(N('Dvd Calendar'!$G$941)&gt;0)*(N('Dvd Calendar'!$G$941)&lt;=VAL_SERIAL)*1000000+85*1000+43))</f>
        <v/>
      </c>
      <c r="FV96" s="39">
        <f>IF(N('Dvd Calendar'!$H$942)=0,"",IF(('Dvd Calendar'!$H$942&gt;=GRID_FROM)*('Dvd Calendar'!$H$942&lt;=GRID_TO)*('Dvd Calendar'!$H$942&gt;VAL_DATE)=0,"",'Dvd Calendar'!$H$942*1000000000+ISNUMBER('Dvd Calendar'!$H$943)*100000000+0*10000000+(N('Dvd Calendar'!$H$941)&gt;0)*(N('Dvd Calendar'!$H$941)&lt;=VAL_SERIAL)*1000000+85*1000+44))</f>
        <v/>
      </c>
      <c r="FW96" s="39">
        <f>IF(N('Dvd Calendar'!$I$942)=0,"",IF(('Dvd Calendar'!$I$942&gt;=GRID_FROM)*('Dvd Calendar'!$I$942&lt;=GRID_TO)*('Dvd Calendar'!$I$942&gt;VAL_DATE)=0,"",'Dvd Calendar'!$I$942*1000000000+ISNUMBER('Dvd Calendar'!$I$943)*100000000+0*10000000+(N('Dvd Calendar'!$I$941)&gt;0)*(N('Dvd Calendar'!$I$941)&lt;=VAL_SERIAL)*1000000+85*1000+45))</f>
        <v/>
      </c>
      <c r="FX96" s="39">
        <f>IF(N('Dvd Calendar'!$J$942)=0,"",IF(('Dvd Calendar'!$J$942&gt;=GRID_FROM)*('Dvd Calendar'!$J$942&lt;=GRID_TO)*('Dvd Calendar'!$J$942&gt;VAL_DATE)=0,"",'Dvd Calendar'!$J$942*1000000000+ISNUMBER('Dvd Calendar'!$J$943)*100000000+0*10000000+(N('Dvd Calendar'!$J$941)&gt;0)*(N('Dvd Calendar'!$J$941)&lt;=VAL_SERIAL)*1000000+85*1000+46))</f>
        <v/>
      </c>
      <c r="FY96" s="39">
        <f>IF(N('Dvd Calendar'!$K$942)=0,"",IF(('Dvd Calendar'!$K$942&gt;=GRID_FROM)*('Dvd Calendar'!$K$942&lt;=GRID_TO)*('Dvd Calendar'!$K$942&gt;VAL_DATE)=0,"",'Dvd Calendar'!$K$942*1000000000+ISNUMBER('Dvd Calendar'!$K$943)*100000000+0*10000000+(N('Dvd Calendar'!$K$941)&gt;0)*(N('Dvd Calendar'!$K$941)&lt;=VAL_SERIAL)*1000000+85*1000+47))</f>
        <v/>
      </c>
      <c r="FZ96" s="39">
        <f>IF(N('Dvd Calendar'!$L$942)=0,"",IF(('Dvd Calendar'!$L$942&gt;=GRID_FROM)*('Dvd Calendar'!$L$942&lt;=GRID_TO)*('Dvd Calendar'!$L$942&gt;VAL_DATE)=0,"",'Dvd Calendar'!$L$942*1000000000+ISNUMBER('Dvd Calendar'!$L$943)*100000000+0*10000000+(N('Dvd Calendar'!$L$941)&gt;0)*(N('Dvd Calendar'!$L$941)&lt;=VAL_SERIAL)*1000000+85*1000+48))</f>
        <v/>
      </c>
      <c r="GA96" s="39">
        <f>IF(N('Dvd Calendar'!$M$942)=0,"",IF(('Dvd Calendar'!$M$942&gt;=GRID_FROM)*('Dvd Calendar'!$M$942&lt;=GRID_TO)*('Dvd Calendar'!$M$942&gt;VAL_DATE)=0,"",'Dvd Calendar'!$M$942*1000000000+ISNUMBER('Dvd Calendar'!$M$943)*100000000+0*10000000+(N('Dvd Calendar'!$M$941)&gt;0)*(N('Dvd Calendar'!$M$941)&lt;=VAL_SERIAL)*1000000+85*1000+49))</f>
        <v/>
      </c>
      <c r="GB96" s="39">
        <f>IF(N('Dvd Calendar'!$N$942)=0,"",IF(('Dvd Calendar'!$N$942&gt;=GRID_FROM)*('Dvd Calendar'!$N$942&lt;=GRID_TO)*('Dvd Calendar'!$N$942&gt;VAL_DATE)=0,"",'Dvd Calendar'!$N$942*1000000000+ISNUMBER('Dvd Calendar'!$N$943)*100000000+0*10000000+(N('Dvd Calendar'!$N$941)&gt;0)*(N('Dvd Calendar'!$N$941)&lt;=VAL_SERIAL)*1000000+85*1000+50))</f>
        <v/>
      </c>
      <c r="GC96" s="39">
        <f>IF(N('Dvd Calendar'!$O$942)=0,"",IF(('Dvd Calendar'!$O$942&gt;=GRID_FROM)*('Dvd Calendar'!$O$942&lt;=GRID_TO)*('Dvd Calendar'!$O$942&gt;VAL_DATE)=0,"",'Dvd Calendar'!$O$942*1000000000+ISNUMBER('Dvd Calendar'!$O$943)*100000000+0*10000000+(N('Dvd Calendar'!$O$941)&gt;0)*(N('Dvd Calendar'!$O$941)&lt;=VAL_SERIAL)*1000000+85*1000+51))</f>
        <v/>
      </c>
      <c r="GD96" s="39">
        <f>IF(N('Dvd Calendar'!$P$942)=0,"",IF(('Dvd Calendar'!$P$942&gt;=GRID_FROM)*('Dvd Calendar'!$P$942&lt;=GRID_TO)*('Dvd Calendar'!$P$942&gt;VAL_DATE)=0,"",'Dvd Calendar'!$P$942*1000000000+ISNUMBER('Dvd Calendar'!$P$943)*100000000+0*10000000+(N('Dvd Calendar'!$P$941)&gt;0)*(N('Dvd Calendar'!$P$941)&lt;=VAL_SERIAL)*1000000+85*1000+52))</f>
        <v/>
      </c>
      <c r="GE96" s="39">
        <f>IF(N('Dvd Calendar'!$Q$942)=0,"",IF(('Dvd Calendar'!$Q$942&gt;=GRID_FROM)*('Dvd Calendar'!$Q$942&lt;=GRID_TO)*('Dvd Calendar'!$Q$942&gt;VAL_DATE)=0,"",'Dvd Calendar'!$Q$942*1000000000+ISNUMBER('Dvd Calendar'!$Q$943)*100000000+0*10000000+(N('Dvd Calendar'!$Q$941)&gt;0)*(N('Dvd Calendar'!$Q$941)&lt;=VAL_SERIAL)*1000000+85*1000+53))</f>
        <v/>
      </c>
      <c r="GF96" s="39">
        <f>IF(N('Dvd Calendar'!$R$942)=0,"",IF(('Dvd Calendar'!$R$942&gt;=GRID_FROM)*('Dvd Calendar'!$R$942&lt;=GRID_TO)*('Dvd Calendar'!$R$942&gt;VAL_DATE)=0,"",'Dvd Calendar'!$R$942*1000000000+ISNUMBER('Dvd Calendar'!$R$943)*100000000+0*10000000+(N('Dvd Calendar'!$R$941)&gt;0)*(N('Dvd Calendar'!$R$941)&lt;=VAL_SERIAL)*1000000+85*1000+54))</f>
        <v/>
      </c>
      <c r="GG96" s="39">
        <f>IF(N('Dvd Calendar'!$S$942)=0,"",IF(('Dvd Calendar'!$S$942&gt;=GRID_FROM)*('Dvd Calendar'!$S$942&lt;=GRID_TO)*('Dvd Calendar'!$S$942&gt;VAL_DATE)=0,"",'Dvd Calendar'!$S$942*1000000000+ISNUMBER('Dvd Calendar'!$S$943)*100000000+0*10000000+(N('Dvd Calendar'!$S$941)&gt;0)*(N('Dvd Calendar'!$S$941)&lt;=VAL_SERIAL)*1000000+85*1000+55))</f>
        <v/>
      </c>
      <c r="GH96" s="39">
        <f>IF(N('Dvd Calendar'!$T$942)=0,"",IF(('Dvd Calendar'!$T$942&gt;=GRID_FROM)*('Dvd Calendar'!$T$942&lt;=GRID_TO)*('Dvd Calendar'!$T$942&gt;VAL_DATE)=0,"",'Dvd Calendar'!$T$942*1000000000+ISNUMBER('Dvd Calendar'!$T$943)*100000000+0*10000000+(N('Dvd Calendar'!$T$941)&gt;0)*(N('Dvd Calendar'!$T$941)&lt;=VAL_SERIAL)*1000000+85*1000+56))</f>
        <v/>
      </c>
      <c r="GI96" s="39">
        <f>IF(N('Dvd Calendar'!$U$942)=0,"",IF(('Dvd Calendar'!$U$942&gt;=GRID_FROM)*('Dvd Calendar'!$U$942&lt;=GRID_TO)*('Dvd Calendar'!$U$942&gt;VAL_DATE)=0,"",'Dvd Calendar'!$U$942*1000000000+ISNUMBER('Dvd Calendar'!$U$943)*100000000+0*10000000+(N('Dvd Calendar'!$U$941)&gt;0)*(N('Dvd Calendar'!$U$941)&lt;=VAL_SERIAL)*1000000+85*1000+57))</f>
        <v/>
      </c>
      <c r="GJ96" s="39">
        <f>IF(N('Dvd Calendar'!$V$942)=0,"",IF(('Dvd Calendar'!$V$942&gt;=GRID_FROM)*('Dvd Calendar'!$V$942&lt;=GRID_TO)*('Dvd Calendar'!$V$942&gt;VAL_DATE)=0,"",'Dvd Calendar'!$V$942*1000000000+ISNUMBER('Dvd Calendar'!$V$943)*100000000+0*10000000+(N('Dvd Calendar'!$V$941)&gt;0)*(N('Dvd Calendar'!$V$941)&lt;=VAL_SERIAL)*1000000+85*1000+58))</f>
        <v/>
      </c>
      <c r="GK96" s="39">
        <f>IF(N('Dvd Calendar'!$W$942)=0,"",IF(('Dvd Calendar'!$W$942&gt;=GRID_FROM)*('Dvd Calendar'!$W$942&lt;=GRID_TO)*('Dvd Calendar'!$W$942&gt;VAL_DATE)=0,"",'Dvd Calendar'!$W$942*1000000000+ISNUMBER('Dvd Calendar'!$W$943)*100000000+0*10000000+(N('Dvd Calendar'!$W$941)&gt;0)*(N('Dvd Calendar'!$W$941)&lt;=VAL_SERIAL)*1000000+85*1000+59))</f>
        <v/>
      </c>
      <c r="GL96" s="39">
        <f>IF(N('Dvd Calendar'!$X$942)=0,"",IF(('Dvd Calendar'!$X$942&gt;=GRID_FROM)*('Dvd Calendar'!$X$942&lt;=GRID_TO)*('Dvd Calendar'!$X$942&gt;VAL_DATE)=0,"",'Dvd Calendar'!$X$942*1000000000+ISNUMBER('Dvd Calendar'!$X$943)*100000000+0*10000000+(N('Dvd Calendar'!$X$941)&gt;0)*(N('Dvd Calendar'!$X$941)&lt;=VAL_SERIAL)*1000000+85*1000+60))</f>
        <v/>
      </c>
      <c r="GM96" s="39">
        <f>IF(N('Dvd Calendar'!$Y$942)=0,"",IF(('Dvd Calendar'!$Y$942&gt;=GRID_FROM)*('Dvd Calendar'!$Y$942&lt;=GRID_TO)*('Dvd Calendar'!$Y$942&gt;VAL_DATE)=0,"",'Dvd Calendar'!$Y$942*1000000000+ISNUMBER('Dvd Calendar'!$Y$943)*100000000+0*10000000+(N('Dvd Calendar'!$Y$941)&gt;0)*(N('Dvd Calendar'!$Y$941)&lt;=VAL_SERIAL)*1000000+85*1000+61))</f>
        <v/>
      </c>
      <c r="GN96" s="39">
        <f>IF(N('Dvd Calendar'!$Z$942)=0,"",IF(('Dvd Calendar'!$Z$942&gt;=GRID_FROM)*('Dvd Calendar'!$Z$942&lt;=GRID_TO)*('Dvd Calendar'!$Z$942&gt;VAL_DATE)=0,"",'Dvd Calendar'!$Z$942*1000000000+ISNUMBER('Dvd Calendar'!$Z$943)*100000000+0*10000000+(N('Dvd Calendar'!$Z$941)&gt;0)*(N('Dvd Calendar'!$Z$941)&lt;=VAL_SERIAL)*1000000+85*1000+62))</f>
        <v/>
      </c>
      <c r="GO96" s="39">
        <f>IF(N('Dvd Calendar'!$AA$942)=0,"",IF(('Dvd Calendar'!$AA$942&gt;=GRID_FROM)*('Dvd Calendar'!$AA$942&lt;=GRID_TO)*('Dvd Calendar'!$AA$942&gt;VAL_DATE)=0,"",'Dvd Calendar'!$AA$942*1000000000+ISNUMBER('Dvd Calendar'!$AA$943)*100000000+0*10000000+(N('Dvd Calendar'!$AA$941)&gt;0)*(N('Dvd Calendar'!$AA$941)&lt;=VAL_SERIAL)*1000000+85*1000+63))</f>
        <v/>
      </c>
      <c r="GP96" s="39">
        <f>IF(N('Dvd Calendar'!$AB$942)=0,"",IF(('Dvd Calendar'!$AB$942&gt;=GRID_FROM)*('Dvd Calendar'!$AB$942&lt;=GRID_TO)*('Dvd Calendar'!$AB$942&gt;VAL_DATE)=0,"",'Dvd Calendar'!$AB$942*1000000000+ISNUMBER('Dvd Calendar'!$AB$943)*100000000+0*10000000+(N('Dvd Calendar'!$AB$941)&gt;0)*(N('Dvd Calendar'!$AB$941)&lt;=VAL_SERIAL)*1000000+85*1000+64))</f>
        <v/>
      </c>
      <c r="GQ96" s="39">
        <f>IF(N('Dvd Calendar'!$AC$942)=0,"",IF(('Dvd Calendar'!$AC$942&gt;=GRID_FROM)*('Dvd Calendar'!$AC$942&lt;=GRID_TO)*('Dvd Calendar'!$AC$942&gt;VAL_DATE)=0,"",'Dvd Calendar'!$AC$942*1000000000+ISNUMBER('Dvd Calendar'!$AC$943)*100000000+0*10000000+(N('Dvd Calendar'!$AC$941)&gt;0)*(N('Dvd Calendar'!$AC$941)&lt;=VAL_SERIAL)*1000000+85*1000+65))</f>
        <v/>
      </c>
    </row>
    <row r="97">
      <c r="B97" s="2">
        <f>IF(HSI!$C$92="","",HSI!$C$92)</f>
        <v/>
      </c>
      <c r="C97" s="110">
        <f>IF(EE97="","",IF(ISNUMBER('Dvd Calendar'!$E$949)=FALSE,"",IF((('Dvd Calendar'!$E$951=TYPE1)*(TYPE1&lt;&gt;"")+('Dvd Calendar'!$E$951=TYPE2)*(TYPE2&lt;&gt;"")+('Dvd Calendar'!$E$951=TYPE3)*(TYPE3&lt;&gt;"")+('Dvd Calendar'!$E$951=TYPE4)*(TYPE4&lt;&gt;"")+('Dvd Calendar'!$E$951=SPECIAL_LBL)*(INC_SPECIALS="Y"))=0,"",'Dvd Calendar'!$E$949)))</f>
        <v/>
      </c>
      <c r="D97" s="110">
        <f>IF(EF97="","",IF(ISNUMBER('Dvd Calendar'!$F$949)=FALSE,"",IF((('Dvd Calendar'!$F$951=TYPE1)*(TYPE1&lt;&gt;"")+('Dvd Calendar'!$F$951=TYPE2)*(TYPE2&lt;&gt;"")+('Dvd Calendar'!$F$951=TYPE3)*(TYPE3&lt;&gt;"")+('Dvd Calendar'!$F$951=TYPE4)*(TYPE4&lt;&gt;"")+('Dvd Calendar'!$F$951=SPECIAL_LBL)*(INC_SPECIALS="Y"))=0,"",'Dvd Calendar'!$F$949)))</f>
        <v/>
      </c>
      <c r="E97" s="110">
        <f>IF(EG97="","",IF(ISNUMBER('Dvd Calendar'!$G$949)=FALSE,"",IF((('Dvd Calendar'!$G$951=TYPE1)*(TYPE1&lt;&gt;"")+('Dvd Calendar'!$G$951=TYPE2)*(TYPE2&lt;&gt;"")+('Dvd Calendar'!$G$951=TYPE3)*(TYPE3&lt;&gt;"")+('Dvd Calendar'!$G$951=TYPE4)*(TYPE4&lt;&gt;"")+('Dvd Calendar'!$G$951=SPECIAL_LBL)*(INC_SPECIALS="Y"))=0,"",'Dvd Calendar'!$G$949)))</f>
        <v/>
      </c>
      <c r="F97" s="110">
        <f>IF(EH97="","",IF(ISNUMBER('Dvd Calendar'!$H$949)=FALSE,"",IF((('Dvd Calendar'!$H$951=TYPE1)*(TYPE1&lt;&gt;"")+('Dvd Calendar'!$H$951=TYPE2)*(TYPE2&lt;&gt;"")+('Dvd Calendar'!$H$951=TYPE3)*(TYPE3&lt;&gt;"")+('Dvd Calendar'!$H$951=TYPE4)*(TYPE4&lt;&gt;"")+('Dvd Calendar'!$H$951=SPECIAL_LBL)*(INC_SPECIALS="Y"))=0,"",'Dvd Calendar'!$H$949)))</f>
        <v/>
      </c>
      <c r="G97" s="110">
        <f>IF(EI97="","",IF(ISNUMBER('Dvd Calendar'!$I$949)=FALSE,"",IF((('Dvd Calendar'!$I$951=TYPE1)*(TYPE1&lt;&gt;"")+('Dvd Calendar'!$I$951=TYPE2)*(TYPE2&lt;&gt;"")+('Dvd Calendar'!$I$951=TYPE3)*(TYPE3&lt;&gt;"")+('Dvd Calendar'!$I$951=TYPE4)*(TYPE4&lt;&gt;"")+('Dvd Calendar'!$I$951=SPECIAL_LBL)*(INC_SPECIALS="Y"))=0,"",'Dvd Calendar'!$I$949)))</f>
        <v/>
      </c>
      <c r="H97" s="110">
        <f>IF(EJ97="","",IF(ISNUMBER('Dvd Calendar'!$J$949)=FALSE,"",IF((('Dvd Calendar'!$J$951=TYPE1)*(TYPE1&lt;&gt;"")+('Dvd Calendar'!$J$951=TYPE2)*(TYPE2&lt;&gt;"")+('Dvd Calendar'!$J$951=TYPE3)*(TYPE3&lt;&gt;"")+('Dvd Calendar'!$J$951=TYPE4)*(TYPE4&lt;&gt;"")+('Dvd Calendar'!$J$951=SPECIAL_LBL)*(INC_SPECIALS="Y"))=0,"",'Dvd Calendar'!$J$949)))</f>
        <v/>
      </c>
      <c r="I97" s="110">
        <f>IF(EK97="","",IF(ISNUMBER('Dvd Calendar'!$K$949)=FALSE,"",IF((('Dvd Calendar'!$K$951=TYPE1)*(TYPE1&lt;&gt;"")+('Dvd Calendar'!$K$951=TYPE2)*(TYPE2&lt;&gt;"")+('Dvd Calendar'!$K$951=TYPE3)*(TYPE3&lt;&gt;"")+('Dvd Calendar'!$K$951=TYPE4)*(TYPE4&lt;&gt;"")+('Dvd Calendar'!$K$951=SPECIAL_LBL)*(INC_SPECIALS="Y"))=0,"",'Dvd Calendar'!$K$949)))</f>
        <v/>
      </c>
      <c r="J97" s="110">
        <f>IF(EL97="","",IF(ISNUMBER('Dvd Calendar'!$L$949)=FALSE,"",IF((('Dvd Calendar'!$L$951=TYPE1)*(TYPE1&lt;&gt;"")+('Dvd Calendar'!$L$951=TYPE2)*(TYPE2&lt;&gt;"")+('Dvd Calendar'!$L$951=TYPE3)*(TYPE3&lt;&gt;"")+('Dvd Calendar'!$L$951=TYPE4)*(TYPE4&lt;&gt;"")+('Dvd Calendar'!$L$951=SPECIAL_LBL)*(INC_SPECIALS="Y"))=0,"",'Dvd Calendar'!$L$949)))</f>
        <v/>
      </c>
      <c r="K97" s="110">
        <f>IF(EM97="","",IF(ISNUMBER('Dvd Calendar'!$M$949)=FALSE,"",IF((('Dvd Calendar'!$M$951=TYPE1)*(TYPE1&lt;&gt;"")+('Dvd Calendar'!$M$951=TYPE2)*(TYPE2&lt;&gt;"")+('Dvd Calendar'!$M$951=TYPE3)*(TYPE3&lt;&gt;"")+('Dvd Calendar'!$M$951=TYPE4)*(TYPE4&lt;&gt;"")+('Dvd Calendar'!$M$951=SPECIAL_LBL)*(INC_SPECIALS="Y"))=0,"",'Dvd Calendar'!$M$949)))</f>
        <v/>
      </c>
      <c r="L97" s="110">
        <f>IF(EN97="","",IF(ISNUMBER('Dvd Calendar'!$N$949)=FALSE,"",IF((('Dvd Calendar'!$N$951=TYPE1)*(TYPE1&lt;&gt;"")+('Dvd Calendar'!$N$951=TYPE2)*(TYPE2&lt;&gt;"")+('Dvd Calendar'!$N$951=TYPE3)*(TYPE3&lt;&gt;"")+('Dvd Calendar'!$N$951=TYPE4)*(TYPE4&lt;&gt;"")+('Dvd Calendar'!$N$951=SPECIAL_LBL)*(INC_SPECIALS="Y"))=0,"",'Dvd Calendar'!$N$949)))</f>
        <v/>
      </c>
      <c r="M97" s="110">
        <f>IF(EO97="","",IF(ISNUMBER('Dvd Calendar'!$O$949)=FALSE,"",IF((('Dvd Calendar'!$O$951=TYPE1)*(TYPE1&lt;&gt;"")+('Dvd Calendar'!$O$951=TYPE2)*(TYPE2&lt;&gt;"")+('Dvd Calendar'!$O$951=TYPE3)*(TYPE3&lt;&gt;"")+('Dvd Calendar'!$O$951=TYPE4)*(TYPE4&lt;&gt;"")+('Dvd Calendar'!$O$951=SPECIAL_LBL)*(INC_SPECIALS="Y"))=0,"",'Dvd Calendar'!$O$949)))</f>
        <v/>
      </c>
      <c r="N97" s="110">
        <f>IF(EP97="","",IF(ISNUMBER('Dvd Calendar'!$P$949)=FALSE,"",IF((('Dvd Calendar'!$P$951=TYPE1)*(TYPE1&lt;&gt;"")+('Dvd Calendar'!$P$951=TYPE2)*(TYPE2&lt;&gt;"")+('Dvd Calendar'!$P$951=TYPE3)*(TYPE3&lt;&gt;"")+('Dvd Calendar'!$P$951=TYPE4)*(TYPE4&lt;&gt;"")+('Dvd Calendar'!$P$951=SPECIAL_LBL)*(INC_SPECIALS="Y"))=0,"",'Dvd Calendar'!$P$949)))</f>
        <v/>
      </c>
      <c r="O97" s="110">
        <f>IF(EQ97="","",IF(ISNUMBER('Dvd Calendar'!$Q$949)=FALSE,"",IF((('Dvd Calendar'!$Q$951=TYPE1)*(TYPE1&lt;&gt;"")+('Dvd Calendar'!$Q$951=TYPE2)*(TYPE2&lt;&gt;"")+('Dvd Calendar'!$Q$951=TYPE3)*(TYPE3&lt;&gt;"")+('Dvd Calendar'!$Q$951=TYPE4)*(TYPE4&lt;&gt;"")+('Dvd Calendar'!$Q$951=SPECIAL_LBL)*(INC_SPECIALS="Y"))=0,"",'Dvd Calendar'!$Q$949)))</f>
        <v/>
      </c>
      <c r="P97" s="110">
        <f>IF(ER97="","",IF(ISNUMBER('Dvd Calendar'!$R$949)=FALSE,"",IF((('Dvd Calendar'!$R$951=TYPE1)*(TYPE1&lt;&gt;"")+('Dvd Calendar'!$R$951=TYPE2)*(TYPE2&lt;&gt;"")+('Dvd Calendar'!$R$951=TYPE3)*(TYPE3&lt;&gt;"")+('Dvd Calendar'!$R$951=TYPE4)*(TYPE4&lt;&gt;"")+('Dvd Calendar'!$R$951=SPECIAL_LBL)*(INC_SPECIALS="Y"))=0,"",'Dvd Calendar'!$R$949)))</f>
        <v/>
      </c>
      <c r="Q97" s="110">
        <f>IF(ES97="","",IF(ISNUMBER('Dvd Calendar'!$S$949)=FALSE,"",IF((('Dvd Calendar'!$S$951=TYPE1)*(TYPE1&lt;&gt;"")+('Dvd Calendar'!$S$951=TYPE2)*(TYPE2&lt;&gt;"")+('Dvd Calendar'!$S$951=TYPE3)*(TYPE3&lt;&gt;"")+('Dvd Calendar'!$S$951=TYPE4)*(TYPE4&lt;&gt;"")+('Dvd Calendar'!$S$951=SPECIAL_LBL)*(INC_SPECIALS="Y"))=0,"",'Dvd Calendar'!$S$949)))</f>
        <v/>
      </c>
      <c r="R97" s="110">
        <f>IF(ET97="","",IF(ISNUMBER('Dvd Calendar'!$T$949)=FALSE,"",IF((('Dvd Calendar'!$T$951=TYPE1)*(TYPE1&lt;&gt;"")+('Dvd Calendar'!$T$951=TYPE2)*(TYPE2&lt;&gt;"")+('Dvd Calendar'!$T$951=TYPE3)*(TYPE3&lt;&gt;"")+('Dvd Calendar'!$T$951=TYPE4)*(TYPE4&lt;&gt;"")+('Dvd Calendar'!$T$951=SPECIAL_LBL)*(INC_SPECIALS="Y"))=0,"",'Dvd Calendar'!$T$949)))</f>
        <v/>
      </c>
      <c r="S97" s="110">
        <f>IF(EU97="","",IF(ISNUMBER('Dvd Calendar'!$U$949)=FALSE,"",IF((('Dvd Calendar'!$U$951=TYPE1)*(TYPE1&lt;&gt;"")+('Dvd Calendar'!$U$951=TYPE2)*(TYPE2&lt;&gt;"")+('Dvd Calendar'!$U$951=TYPE3)*(TYPE3&lt;&gt;"")+('Dvd Calendar'!$U$951=TYPE4)*(TYPE4&lt;&gt;"")+('Dvd Calendar'!$U$951=SPECIAL_LBL)*(INC_SPECIALS="Y"))=0,"",'Dvd Calendar'!$U$949)))</f>
        <v/>
      </c>
      <c r="T97" s="110">
        <f>IF(EV97="","",IF(ISNUMBER('Dvd Calendar'!$V$949)=FALSE,"",IF((('Dvd Calendar'!$V$951=TYPE1)*(TYPE1&lt;&gt;"")+('Dvd Calendar'!$V$951=TYPE2)*(TYPE2&lt;&gt;"")+('Dvd Calendar'!$V$951=TYPE3)*(TYPE3&lt;&gt;"")+('Dvd Calendar'!$V$951=TYPE4)*(TYPE4&lt;&gt;"")+('Dvd Calendar'!$V$951=SPECIAL_LBL)*(INC_SPECIALS="Y"))=0,"",'Dvd Calendar'!$V$949)))</f>
        <v/>
      </c>
      <c r="U97" s="110">
        <f>IF(EW97="","",IF(ISNUMBER('Dvd Calendar'!$W$949)=FALSE,"",IF((('Dvd Calendar'!$W$951=TYPE1)*(TYPE1&lt;&gt;"")+('Dvd Calendar'!$W$951=TYPE2)*(TYPE2&lt;&gt;"")+('Dvd Calendar'!$W$951=TYPE3)*(TYPE3&lt;&gt;"")+('Dvd Calendar'!$W$951=TYPE4)*(TYPE4&lt;&gt;"")+('Dvd Calendar'!$W$951=SPECIAL_LBL)*(INC_SPECIALS="Y"))=0,"",'Dvd Calendar'!$W$949)))</f>
        <v/>
      </c>
      <c r="V97" s="110">
        <f>IF(EX97="","",IF(ISNUMBER('Dvd Calendar'!$X$949)=FALSE,"",IF((('Dvd Calendar'!$X$951=TYPE1)*(TYPE1&lt;&gt;"")+('Dvd Calendar'!$X$951=TYPE2)*(TYPE2&lt;&gt;"")+('Dvd Calendar'!$X$951=TYPE3)*(TYPE3&lt;&gt;"")+('Dvd Calendar'!$X$951=TYPE4)*(TYPE4&lt;&gt;"")+('Dvd Calendar'!$X$951=SPECIAL_LBL)*(INC_SPECIALS="Y"))=0,"",'Dvd Calendar'!$X$949)))</f>
        <v/>
      </c>
      <c r="W97" s="110">
        <f>IF(EY97="","",IF(ISNUMBER('Dvd Calendar'!$Y$949)=FALSE,"",IF((('Dvd Calendar'!$Y$951=TYPE1)*(TYPE1&lt;&gt;"")+('Dvd Calendar'!$Y$951=TYPE2)*(TYPE2&lt;&gt;"")+('Dvd Calendar'!$Y$951=TYPE3)*(TYPE3&lt;&gt;"")+('Dvd Calendar'!$Y$951=TYPE4)*(TYPE4&lt;&gt;"")+('Dvd Calendar'!$Y$951=SPECIAL_LBL)*(INC_SPECIALS="Y"))=0,"",'Dvd Calendar'!$Y$949)))</f>
        <v/>
      </c>
      <c r="X97" s="110">
        <f>IF(EZ97="","",IF(ISNUMBER('Dvd Calendar'!$Z$949)=FALSE,"",IF((('Dvd Calendar'!$Z$951=TYPE1)*(TYPE1&lt;&gt;"")+('Dvd Calendar'!$Z$951=TYPE2)*(TYPE2&lt;&gt;"")+('Dvd Calendar'!$Z$951=TYPE3)*(TYPE3&lt;&gt;"")+('Dvd Calendar'!$Z$951=TYPE4)*(TYPE4&lt;&gt;"")+('Dvd Calendar'!$Z$951=SPECIAL_LBL)*(INC_SPECIALS="Y"))=0,"",'Dvd Calendar'!$Z$949)))</f>
        <v/>
      </c>
      <c r="Y97" s="110">
        <f>IF(FA97="","",IF(ISNUMBER('Dvd Calendar'!$AA$949)=FALSE,"",IF((('Dvd Calendar'!$AA$951=TYPE1)*(TYPE1&lt;&gt;"")+('Dvd Calendar'!$AA$951=TYPE2)*(TYPE2&lt;&gt;"")+('Dvd Calendar'!$AA$951=TYPE3)*(TYPE3&lt;&gt;"")+('Dvd Calendar'!$AA$951=TYPE4)*(TYPE4&lt;&gt;"")+('Dvd Calendar'!$AA$951=SPECIAL_LBL)*(INC_SPECIALS="Y"))=0,"",'Dvd Calendar'!$AA$949)))</f>
        <v/>
      </c>
      <c r="Z97" s="110">
        <f>IF(FB97="","",IF(ISNUMBER('Dvd Calendar'!$AB$949)=FALSE,"",IF((('Dvd Calendar'!$AB$951=TYPE1)*(TYPE1&lt;&gt;"")+('Dvd Calendar'!$AB$951=TYPE2)*(TYPE2&lt;&gt;"")+('Dvd Calendar'!$AB$951=TYPE3)*(TYPE3&lt;&gt;"")+('Dvd Calendar'!$AB$951=TYPE4)*(TYPE4&lt;&gt;"")+('Dvd Calendar'!$AB$951=SPECIAL_LBL)*(INC_SPECIALS="Y"))=0,"",'Dvd Calendar'!$AB$949)))</f>
        <v/>
      </c>
      <c r="AA97" s="110">
        <f>IF(FC97="","",IF(ISNUMBER('Dvd Calendar'!$AC$949)=FALSE,"",IF((('Dvd Calendar'!$AC$951=TYPE1)*(TYPE1&lt;&gt;"")+('Dvd Calendar'!$AC$951=TYPE2)*(TYPE2&lt;&gt;"")+('Dvd Calendar'!$AC$951=TYPE3)*(TYPE3&lt;&gt;"")+('Dvd Calendar'!$AC$951=TYPE4)*(TYPE4&lt;&gt;"")+('Dvd Calendar'!$AC$951=SPECIAL_LBL)*(INC_SPECIALS="Y"))=0,"",'Dvd Calendar'!$AC$949)))</f>
        <v/>
      </c>
      <c r="AB97" s="110">
        <f>IF(FD97="","",IF(ISNUMBER('Dvd Calendar'!$AD$949)=FALSE,"",IF((('Dvd Calendar'!$AD$951=TYPE1)*(TYPE1&lt;&gt;"")+('Dvd Calendar'!$AD$951=TYPE2)*(TYPE2&lt;&gt;"")+('Dvd Calendar'!$AD$951=TYPE3)*(TYPE3&lt;&gt;"")+('Dvd Calendar'!$AD$951=TYPE4)*(TYPE4&lt;&gt;"")+('Dvd Calendar'!$AD$951=SPECIAL_LBL)*(INC_SPECIALS="Y"))=0,"",'Dvd Calendar'!$AD$949)))</f>
        <v/>
      </c>
      <c r="AC97" s="110">
        <f>IF(FE97="","",IF(ISNUMBER('Dvd Calendar'!$AE$949)=FALSE,"",IF((('Dvd Calendar'!$AE$951=TYPE1)*(TYPE1&lt;&gt;"")+('Dvd Calendar'!$AE$951=TYPE2)*(TYPE2&lt;&gt;"")+('Dvd Calendar'!$AE$951=TYPE3)*(TYPE3&lt;&gt;"")+('Dvd Calendar'!$AE$951=TYPE4)*(TYPE4&lt;&gt;"")+('Dvd Calendar'!$AE$951=SPECIAL_LBL)*(INC_SPECIALS="Y"))=0,"",'Dvd Calendar'!$AE$949)))</f>
        <v/>
      </c>
      <c r="AD97" s="110">
        <f>IF(FF97="","",IF(ISNUMBER('Dvd Calendar'!$AF$949)=FALSE,"",IF((('Dvd Calendar'!$AF$951=TYPE1)*(TYPE1&lt;&gt;"")+('Dvd Calendar'!$AF$951=TYPE2)*(TYPE2&lt;&gt;"")+('Dvd Calendar'!$AF$951=TYPE3)*(TYPE3&lt;&gt;"")+('Dvd Calendar'!$AF$951=TYPE4)*(TYPE4&lt;&gt;"")+('Dvd Calendar'!$AF$951=SPECIAL_LBL)*(INC_SPECIALS="Y"))=0,"",'Dvd Calendar'!$AF$949)))</f>
        <v/>
      </c>
      <c r="AE97" s="110">
        <f>IF(FG97="","",IF(ISNUMBER('Dvd Calendar'!$AG$949)=FALSE,"",IF((('Dvd Calendar'!$AG$951=TYPE1)*(TYPE1&lt;&gt;"")+('Dvd Calendar'!$AG$951=TYPE2)*(TYPE2&lt;&gt;"")+('Dvd Calendar'!$AG$951=TYPE3)*(TYPE3&lt;&gt;"")+('Dvd Calendar'!$AG$951=TYPE4)*(TYPE4&lt;&gt;"")+('Dvd Calendar'!$AG$951=SPECIAL_LBL)*(INC_SPECIALS="Y"))=0,"",'Dvd Calendar'!$AG$949)))</f>
        <v/>
      </c>
      <c r="AF97" s="110">
        <f>IF(FH97="","",IF(ISNUMBER('Dvd Calendar'!$AH$949)=FALSE,"",IF((('Dvd Calendar'!$AH$951=TYPE1)*(TYPE1&lt;&gt;"")+('Dvd Calendar'!$AH$951=TYPE2)*(TYPE2&lt;&gt;"")+('Dvd Calendar'!$AH$951=TYPE3)*(TYPE3&lt;&gt;"")+('Dvd Calendar'!$AH$951=TYPE4)*(TYPE4&lt;&gt;"")+('Dvd Calendar'!$AH$951=SPECIAL_LBL)*(INC_SPECIALS="Y"))=0,"",'Dvd Calendar'!$AH$949)))</f>
        <v/>
      </c>
      <c r="AG97" s="110">
        <f>IF(FI97="","",IF(ISNUMBER('Dvd Calendar'!$AI$949)=FALSE,"",IF((('Dvd Calendar'!$AI$951=TYPE1)*(TYPE1&lt;&gt;"")+('Dvd Calendar'!$AI$951=TYPE2)*(TYPE2&lt;&gt;"")+('Dvd Calendar'!$AI$951=TYPE3)*(TYPE3&lt;&gt;"")+('Dvd Calendar'!$AI$951=TYPE4)*(TYPE4&lt;&gt;"")+('Dvd Calendar'!$AI$951=SPECIAL_LBL)*(INC_SPECIALS="Y"))=0,"",'Dvd Calendar'!$AI$949)))</f>
        <v/>
      </c>
      <c r="AH97" s="110">
        <f>IF(FJ97="","",IF(ISNUMBER('Dvd Calendar'!$AJ$949)=FALSE,"",IF((('Dvd Calendar'!$AJ$951=TYPE1)*(TYPE1&lt;&gt;"")+('Dvd Calendar'!$AJ$951=TYPE2)*(TYPE2&lt;&gt;"")+('Dvd Calendar'!$AJ$951=TYPE3)*(TYPE3&lt;&gt;"")+('Dvd Calendar'!$AJ$951=TYPE4)*(TYPE4&lt;&gt;"")+('Dvd Calendar'!$AJ$951=SPECIAL_LBL)*(INC_SPECIALS="Y"))=0,"",'Dvd Calendar'!$AJ$949)))</f>
        <v/>
      </c>
      <c r="AI97" s="110">
        <f>IF(FK97="","",IF(ISNUMBER('Dvd Calendar'!$AK$949)=FALSE,"",IF((('Dvd Calendar'!$AK$951=TYPE1)*(TYPE1&lt;&gt;"")+('Dvd Calendar'!$AK$951=TYPE2)*(TYPE2&lt;&gt;"")+('Dvd Calendar'!$AK$951=TYPE3)*(TYPE3&lt;&gt;"")+('Dvd Calendar'!$AK$951=TYPE4)*(TYPE4&lt;&gt;"")+('Dvd Calendar'!$AK$951=SPECIAL_LBL)*(INC_SPECIALS="Y"))=0,"",'Dvd Calendar'!$AK$949)))</f>
        <v/>
      </c>
      <c r="AJ97" s="110">
        <f>IF(FL97="","",IF(ISNUMBER('Dvd Calendar'!$AL$949)=FALSE,"",IF((('Dvd Calendar'!$AL$951=TYPE1)*(TYPE1&lt;&gt;"")+('Dvd Calendar'!$AL$951=TYPE2)*(TYPE2&lt;&gt;"")+('Dvd Calendar'!$AL$951=TYPE3)*(TYPE3&lt;&gt;"")+('Dvd Calendar'!$AL$951=TYPE4)*(TYPE4&lt;&gt;"")+('Dvd Calendar'!$AL$951=SPECIAL_LBL)*(INC_SPECIALS="Y"))=0,"",'Dvd Calendar'!$AL$949)))</f>
        <v/>
      </c>
      <c r="AK97" s="110">
        <f>IF(FM97="","",IF(ISNUMBER('Dvd Calendar'!$AM$949)=FALSE,"",IF((('Dvd Calendar'!$AM$951=TYPE1)*(TYPE1&lt;&gt;"")+('Dvd Calendar'!$AM$951=TYPE2)*(TYPE2&lt;&gt;"")+('Dvd Calendar'!$AM$951=TYPE3)*(TYPE3&lt;&gt;"")+('Dvd Calendar'!$AM$951=TYPE4)*(TYPE4&lt;&gt;"")+('Dvd Calendar'!$AM$951=SPECIAL_LBL)*(INC_SPECIALS="Y"))=0,"",'Dvd Calendar'!$AM$949)))</f>
        <v/>
      </c>
      <c r="AL97" s="110">
        <f>IF(FN97="","",IF(ISNUMBER('Dvd Calendar'!$AN$949)=FALSE,"",IF((('Dvd Calendar'!$AN$951=TYPE1)*(TYPE1&lt;&gt;"")+('Dvd Calendar'!$AN$951=TYPE2)*(TYPE2&lt;&gt;"")+('Dvd Calendar'!$AN$951=TYPE3)*(TYPE3&lt;&gt;"")+('Dvd Calendar'!$AN$951=TYPE4)*(TYPE4&lt;&gt;"")+('Dvd Calendar'!$AN$951=SPECIAL_LBL)*(INC_SPECIALS="Y"))=0,"",'Dvd Calendar'!$AN$949)))</f>
        <v/>
      </c>
      <c r="AM97" s="110">
        <f>IF(FO97="","",IF(ISNUMBER('Dvd Calendar'!$AO$949)=FALSE,"",IF((('Dvd Calendar'!$AO$951=TYPE1)*(TYPE1&lt;&gt;"")+('Dvd Calendar'!$AO$951=TYPE2)*(TYPE2&lt;&gt;"")+('Dvd Calendar'!$AO$951=TYPE3)*(TYPE3&lt;&gt;"")+('Dvd Calendar'!$AO$951=TYPE4)*(TYPE4&lt;&gt;"")+('Dvd Calendar'!$AO$951=SPECIAL_LBL)*(INC_SPECIALS="Y"))=0,"",'Dvd Calendar'!$AO$949)))</f>
        <v/>
      </c>
      <c r="AN97" s="110">
        <f>IF(FP97="","",IF(ISNUMBER('Dvd Calendar'!$AP$949)=FALSE,"",IF((('Dvd Calendar'!$AP$951=TYPE1)*(TYPE1&lt;&gt;"")+('Dvd Calendar'!$AP$951=TYPE2)*(TYPE2&lt;&gt;"")+('Dvd Calendar'!$AP$951=TYPE3)*(TYPE3&lt;&gt;"")+('Dvd Calendar'!$AP$951=TYPE4)*(TYPE4&lt;&gt;"")+('Dvd Calendar'!$AP$951=SPECIAL_LBL)*(INC_SPECIALS="Y"))=0,"",'Dvd Calendar'!$AP$949)))</f>
        <v/>
      </c>
      <c r="AO97" s="110">
        <f>IF(FQ97="","",IF(ISNUMBER('Dvd Calendar'!$AQ$949)=FALSE,"",IF((('Dvd Calendar'!$AQ$951=TYPE1)*(TYPE1&lt;&gt;"")+('Dvd Calendar'!$AQ$951=TYPE2)*(TYPE2&lt;&gt;"")+('Dvd Calendar'!$AQ$951=TYPE3)*(TYPE3&lt;&gt;"")+('Dvd Calendar'!$AQ$951=TYPE4)*(TYPE4&lt;&gt;"")+('Dvd Calendar'!$AQ$951=SPECIAL_LBL)*(INC_SPECIALS="Y"))=0,"",'Dvd Calendar'!$AQ$949)))</f>
        <v/>
      </c>
      <c r="AP97" s="110">
        <f>IF(FR97="","",IF(ISNUMBER('Dvd Calendar'!$AR$949)=FALSE,"",IF((('Dvd Calendar'!$AR$951=TYPE1)*(TYPE1&lt;&gt;"")+('Dvd Calendar'!$AR$951=TYPE2)*(TYPE2&lt;&gt;"")+('Dvd Calendar'!$AR$951=TYPE3)*(TYPE3&lt;&gt;"")+('Dvd Calendar'!$AR$951=TYPE4)*(TYPE4&lt;&gt;"")+('Dvd Calendar'!$AR$951=SPECIAL_LBL)*(INC_SPECIALS="Y"))=0,"",'Dvd Calendar'!$AR$949)))</f>
        <v/>
      </c>
      <c r="AQ97" s="110">
        <f>IF(FS97="","",IF(ISNUMBER('Dvd Calendar'!$E$954)=FALSE,"",'Dvd Calendar'!$E$954))</f>
        <v/>
      </c>
      <c r="AR97" s="110">
        <f>IF(FT97="","",IF(ISNUMBER('Dvd Calendar'!$F$954)=FALSE,"",'Dvd Calendar'!$F$954))</f>
        <v/>
      </c>
      <c r="AS97" s="110">
        <f>IF(FU97="","",IF(ISNUMBER('Dvd Calendar'!$G$954)=FALSE,"",'Dvd Calendar'!$G$954))</f>
        <v/>
      </c>
      <c r="AT97" s="110">
        <f>IF(FV97="","",IF(ISNUMBER('Dvd Calendar'!$H$954)=FALSE,"",'Dvd Calendar'!$H$954))</f>
        <v/>
      </c>
      <c r="AU97" s="110">
        <f>IF(FW97="","",IF(ISNUMBER('Dvd Calendar'!$I$954)=FALSE,"",'Dvd Calendar'!$I$954))</f>
        <v/>
      </c>
      <c r="AV97" s="110">
        <f>IF(FX97="","",IF(ISNUMBER('Dvd Calendar'!$J$954)=FALSE,"",'Dvd Calendar'!$J$954))</f>
        <v/>
      </c>
      <c r="AW97" s="110">
        <f>IF(FY97="","",IF(ISNUMBER('Dvd Calendar'!$K$954)=FALSE,"",'Dvd Calendar'!$K$954))</f>
        <v/>
      </c>
      <c r="AX97" s="110">
        <f>IF(FZ97="","",IF(ISNUMBER('Dvd Calendar'!$L$954)=FALSE,"",'Dvd Calendar'!$L$954))</f>
        <v/>
      </c>
      <c r="AY97" s="110">
        <f>IF(GA97="","",IF(ISNUMBER('Dvd Calendar'!$M$954)=FALSE,"",'Dvd Calendar'!$M$954))</f>
        <v/>
      </c>
      <c r="AZ97" s="110">
        <f>IF(GB97="","",IF(ISNUMBER('Dvd Calendar'!$N$954)=FALSE,"",'Dvd Calendar'!$N$954))</f>
        <v/>
      </c>
      <c r="BA97" s="110">
        <f>IF(GC97="","",IF(ISNUMBER('Dvd Calendar'!$O$954)=FALSE,"",'Dvd Calendar'!$O$954))</f>
        <v/>
      </c>
      <c r="BB97" s="110">
        <f>IF(GD97="","",IF(ISNUMBER('Dvd Calendar'!$P$954)=FALSE,"",'Dvd Calendar'!$P$954))</f>
        <v/>
      </c>
      <c r="BC97" s="110">
        <f>IF(GE97="","",IF(ISNUMBER('Dvd Calendar'!$Q$954)=FALSE,"",'Dvd Calendar'!$Q$954))</f>
        <v/>
      </c>
      <c r="BD97" s="110">
        <f>IF(GF97="","",IF(ISNUMBER('Dvd Calendar'!$R$954)=FALSE,"",'Dvd Calendar'!$R$954))</f>
        <v/>
      </c>
      <c r="BE97" s="110">
        <f>IF(GG97="","",IF(ISNUMBER('Dvd Calendar'!$S$954)=FALSE,"",'Dvd Calendar'!$S$954))</f>
        <v/>
      </c>
      <c r="BF97" s="110">
        <f>IF(GH97="","",IF(ISNUMBER('Dvd Calendar'!$T$954)=FALSE,"",'Dvd Calendar'!$T$954))</f>
        <v/>
      </c>
      <c r="BG97" s="110">
        <f>IF(GI97="","",IF(ISNUMBER('Dvd Calendar'!$U$954)=FALSE,"",'Dvd Calendar'!$U$954))</f>
        <v/>
      </c>
      <c r="BH97" s="110">
        <f>IF(GJ97="","",IF(ISNUMBER('Dvd Calendar'!$V$954)=FALSE,"",'Dvd Calendar'!$V$954))</f>
        <v/>
      </c>
      <c r="BI97" s="110">
        <f>IF(GK97="","",IF(ISNUMBER('Dvd Calendar'!$W$954)=FALSE,"",'Dvd Calendar'!$W$954))</f>
        <v/>
      </c>
      <c r="BJ97" s="110">
        <f>IF(GL97="","",IF(ISNUMBER('Dvd Calendar'!$X$954)=FALSE,"",'Dvd Calendar'!$X$954))</f>
        <v/>
      </c>
      <c r="BK97" s="110">
        <f>IF(GM97="","",IF(ISNUMBER('Dvd Calendar'!$Y$954)=FALSE,"",'Dvd Calendar'!$Y$954))</f>
        <v/>
      </c>
      <c r="BL97" s="110">
        <f>IF(GN97="","",IF(ISNUMBER('Dvd Calendar'!$Z$954)=FALSE,"",'Dvd Calendar'!$Z$954))</f>
        <v/>
      </c>
      <c r="BM97" s="110">
        <f>IF(GO97="","",IF(ISNUMBER('Dvd Calendar'!$AA$954)=FALSE,"",'Dvd Calendar'!$AA$954))</f>
        <v/>
      </c>
      <c r="BN97" s="110">
        <f>IF(GP97="","",IF(ISNUMBER('Dvd Calendar'!$AB$954)=FALSE,"",'Dvd Calendar'!$AB$954))</f>
        <v/>
      </c>
      <c r="BO97" s="110">
        <f>IF(GQ97="","",IF(ISNUMBER('Dvd Calendar'!$AC$954)=FALSE,"",'Dvd Calendar'!$AC$954))</f>
        <v/>
      </c>
      <c r="BQ97" s="110">
        <f>IF(C97="","",IFERROR(C97*HSI!$B$92*HSI!$G$92/HSI!$B$3,""))</f>
        <v/>
      </c>
      <c r="BR97" s="110">
        <f>IF(D97="","",IFERROR(D97*HSI!$B$92*HSI!$G$92/HSI!$B$3,""))</f>
        <v/>
      </c>
      <c r="BS97" s="110">
        <f>IF(E97="","",IFERROR(E97*HSI!$B$92*HSI!$G$92/HSI!$B$3,""))</f>
        <v/>
      </c>
      <c r="BT97" s="110">
        <f>IF(F97="","",IFERROR(F97*HSI!$B$92*HSI!$G$92/HSI!$B$3,""))</f>
        <v/>
      </c>
      <c r="BU97" s="110">
        <f>IF(G97="","",IFERROR(G97*HSI!$B$92*HSI!$G$92/HSI!$B$3,""))</f>
        <v/>
      </c>
      <c r="BV97" s="110">
        <f>IF(H97="","",IFERROR(H97*HSI!$B$92*HSI!$G$92/HSI!$B$3,""))</f>
        <v/>
      </c>
      <c r="BW97" s="110">
        <f>IF(I97="","",IFERROR(I97*HSI!$B$92*HSI!$G$92/HSI!$B$3,""))</f>
        <v/>
      </c>
      <c r="BX97" s="110">
        <f>IF(J97="","",IFERROR(J97*HSI!$B$92*HSI!$G$92/HSI!$B$3,""))</f>
        <v/>
      </c>
      <c r="BY97" s="110">
        <f>IF(K97="","",IFERROR(K97*HSI!$B$92*HSI!$G$92/HSI!$B$3,""))</f>
        <v/>
      </c>
      <c r="BZ97" s="110">
        <f>IF(L97="","",IFERROR(L97*HSI!$B$92*HSI!$G$92/HSI!$B$3,""))</f>
        <v/>
      </c>
      <c r="CA97" s="110">
        <f>IF(M97="","",IFERROR(M97*HSI!$B$92*HSI!$G$92/HSI!$B$3,""))</f>
        <v/>
      </c>
      <c r="CB97" s="110">
        <f>IF(N97="","",IFERROR(N97*HSI!$B$92*HSI!$G$92/HSI!$B$3,""))</f>
        <v/>
      </c>
      <c r="CC97" s="110">
        <f>IF(O97="","",IFERROR(O97*HSI!$B$92*HSI!$G$92/HSI!$B$3,""))</f>
        <v/>
      </c>
      <c r="CD97" s="110">
        <f>IF(P97="","",IFERROR(P97*HSI!$B$92*HSI!$G$92/HSI!$B$3,""))</f>
        <v/>
      </c>
      <c r="CE97" s="110">
        <f>IF(Q97="","",IFERROR(Q97*HSI!$B$92*HSI!$G$92/HSI!$B$3,""))</f>
        <v/>
      </c>
      <c r="CF97" s="110">
        <f>IF(R97="","",IFERROR(R97*HSI!$B$92*HSI!$G$92/HSI!$B$3,""))</f>
        <v/>
      </c>
      <c r="CG97" s="110">
        <f>IF(S97="","",IFERROR(S97*HSI!$B$92*HSI!$G$92/HSI!$B$3,""))</f>
        <v/>
      </c>
      <c r="CH97" s="110">
        <f>IF(T97="","",IFERROR(T97*HSI!$B$92*HSI!$G$92/HSI!$B$3,""))</f>
        <v/>
      </c>
      <c r="CI97" s="110">
        <f>IF(U97="","",IFERROR(U97*HSI!$B$92*HSI!$G$92/HSI!$B$3,""))</f>
        <v/>
      </c>
      <c r="CJ97" s="110">
        <f>IF(V97="","",IFERROR(V97*HSI!$B$92*HSI!$G$92/HSI!$B$3,""))</f>
        <v/>
      </c>
      <c r="CK97" s="110">
        <f>IF(W97="","",IFERROR(W97*HSI!$B$92*HSI!$G$92/HSI!$B$3,""))</f>
        <v/>
      </c>
      <c r="CL97" s="110">
        <f>IF(X97="","",IFERROR(X97*HSI!$B$92*HSI!$G$92/HSI!$B$3,""))</f>
        <v/>
      </c>
      <c r="CM97" s="110">
        <f>IF(Y97="","",IFERROR(Y97*HSI!$B$92*HSI!$G$92/HSI!$B$3,""))</f>
        <v/>
      </c>
      <c r="CN97" s="110">
        <f>IF(Z97="","",IFERROR(Z97*HSI!$B$92*HSI!$G$92/HSI!$B$3,""))</f>
        <v/>
      </c>
      <c r="CO97" s="110">
        <f>IF(AA97="","",IFERROR(AA97*HSI!$B$92*HSI!$G$92/HSI!$B$3,""))</f>
        <v/>
      </c>
      <c r="CP97" s="110">
        <f>IF(AB97="","",IFERROR(AB97*HSI!$B$92*HSI!$G$92/HSI!$B$3,""))</f>
        <v/>
      </c>
      <c r="CQ97" s="110">
        <f>IF(AC97="","",IFERROR(AC97*HSI!$B$92*HSI!$G$92/HSI!$B$3,""))</f>
        <v/>
      </c>
      <c r="CR97" s="110">
        <f>IF(AD97="","",IFERROR(AD97*HSI!$B$92*HSI!$G$92/HSI!$B$3,""))</f>
        <v/>
      </c>
      <c r="CS97" s="110">
        <f>IF(AE97="","",IFERROR(AE97*HSI!$B$92*HSI!$G$92/HSI!$B$3,""))</f>
        <v/>
      </c>
      <c r="CT97" s="110">
        <f>IF(AF97="","",IFERROR(AF97*HSI!$B$92*HSI!$G$92/HSI!$B$3,""))</f>
        <v/>
      </c>
      <c r="CU97" s="110">
        <f>IF(AG97="","",IFERROR(AG97*HSI!$B$92*HSI!$G$92/HSI!$B$3,""))</f>
        <v/>
      </c>
      <c r="CV97" s="110">
        <f>IF(AH97="","",IFERROR(AH97*HSI!$B$92*HSI!$G$92/HSI!$B$3,""))</f>
        <v/>
      </c>
      <c r="CW97" s="110">
        <f>IF(AI97="","",IFERROR(AI97*HSI!$B$92*HSI!$G$92/HSI!$B$3,""))</f>
        <v/>
      </c>
      <c r="CX97" s="110">
        <f>IF(AJ97="","",IFERROR(AJ97*HSI!$B$92*HSI!$G$92/HSI!$B$3,""))</f>
        <v/>
      </c>
      <c r="CY97" s="110">
        <f>IF(AK97="","",IFERROR(AK97*HSI!$B$92*HSI!$G$92/HSI!$B$3,""))</f>
        <v/>
      </c>
      <c r="CZ97" s="110">
        <f>IF(AL97="","",IFERROR(AL97*HSI!$B$92*HSI!$G$92/HSI!$B$3,""))</f>
        <v/>
      </c>
      <c r="DA97" s="110">
        <f>IF(AM97="","",IFERROR(AM97*HSI!$B$92*HSI!$G$92/HSI!$B$3,""))</f>
        <v/>
      </c>
      <c r="DB97" s="110">
        <f>IF(AN97="","",IFERROR(AN97*HSI!$B$92*HSI!$G$92/HSI!$B$3,""))</f>
        <v/>
      </c>
      <c r="DC97" s="110">
        <f>IF(AO97="","",IFERROR(AO97*HSI!$B$92*HSI!$G$92/HSI!$B$3,""))</f>
        <v/>
      </c>
      <c r="DD97" s="110">
        <f>IF(AP97="","",IFERROR(AP97*HSI!$B$92*HSI!$G$92/HSI!$B$3,""))</f>
        <v/>
      </c>
      <c r="DE97" s="110">
        <f>IF(AQ97="","",IFERROR(AQ97*HSI!$B$92*HSI!$G$92/HSI!$B$3,""))</f>
        <v/>
      </c>
      <c r="DF97" s="110">
        <f>IF(AR97="","",IFERROR(AR97*HSI!$B$92*HSI!$G$92/HSI!$B$3,""))</f>
        <v/>
      </c>
      <c r="DG97" s="110">
        <f>IF(AS97="","",IFERROR(AS97*HSI!$B$92*HSI!$G$92/HSI!$B$3,""))</f>
        <v/>
      </c>
      <c r="DH97" s="110">
        <f>IF(AT97="","",IFERROR(AT97*HSI!$B$92*HSI!$G$92/HSI!$B$3,""))</f>
        <v/>
      </c>
      <c r="DI97" s="110">
        <f>IF(AU97="","",IFERROR(AU97*HSI!$B$92*HSI!$G$92/HSI!$B$3,""))</f>
        <v/>
      </c>
      <c r="DJ97" s="110">
        <f>IF(AV97="","",IFERROR(AV97*HSI!$B$92*HSI!$G$92/HSI!$B$3,""))</f>
        <v/>
      </c>
      <c r="DK97" s="110">
        <f>IF(AW97="","",IFERROR(AW97*HSI!$B$92*HSI!$G$92/HSI!$B$3,""))</f>
        <v/>
      </c>
      <c r="DL97" s="110">
        <f>IF(AX97="","",IFERROR(AX97*HSI!$B$92*HSI!$G$92/HSI!$B$3,""))</f>
        <v/>
      </c>
      <c r="DM97" s="110">
        <f>IF(AY97="","",IFERROR(AY97*HSI!$B$92*HSI!$G$92/HSI!$B$3,""))</f>
        <v/>
      </c>
      <c r="DN97" s="110">
        <f>IF(AZ97="","",IFERROR(AZ97*HSI!$B$92*HSI!$G$92/HSI!$B$3,""))</f>
        <v/>
      </c>
      <c r="DO97" s="110">
        <f>IF(BA97="","",IFERROR(BA97*HSI!$B$92*HSI!$G$92/HSI!$B$3,""))</f>
        <v/>
      </c>
      <c r="DP97" s="110">
        <f>IF(BB97="","",IFERROR(BB97*HSI!$B$92*HSI!$G$92/HSI!$B$3,""))</f>
        <v/>
      </c>
      <c r="DQ97" s="110">
        <f>IF(BC97="","",IFERROR(BC97*HSI!$B$92*HSI!$G$92/HSI!$B$3,""))</f>
        <v/>
      </c>
      <c r="DR97" s="110">
        <f>IF(BD97="","",IFERROR(BD97*HSI!$B$92*HSI!$G$92/HSI!$B$3,""))</f>
        <v/>
      </c>
      <c r="DS97" s="110">
        <f>IF(BE97="","",IFERROR(BE97*HSI!$B$92*HSI!$G$92/HSI!$B$3,""))</f>
        <v/>
      </c>
      <c r="DT97" s="110">
        <f>IF(BF97="","",IFERROR(BF97*HSI!$B$92*HSI!$G$92/HSI!$B$3,""))</f>
        <v/>
      </c>
      <c r="DU97" s="110">
        <f>IF(BG97="","",IFERROR(BG97*HSI!$B$92*HSI!$G$92/HSI!$B$3,""))</f>
        <v/>
      </c>
      <c r="DV97" s="110">
        <f>IF(BH97="","",IFERROR(BH97*HSI!$B$92*HSI!$G$92/HSI!$B$3,""))</f>
        <v/>
      </c>
      <c r="DW97" s="110">
        <f>IF(BI97="","",IFERROR(BI97*HSI!$B$92*HSI!$G$92/HSI!$B$3,""))</f>
        <v/>
      </c>
      <c r="DX97" s="110">
        <f>IF(BJ97="","",IFERROR(BJ97*HSI!$B$92*HSI!$G$92/HSI!$B$3,""))</f>
        <v/>
      </c>
      <c r="DY97" s="110">
        <f>IF(BK97="","",IFERROR(BK97*HSI!$B$92*HSI!$G$92/HSI!$B$3,""))</f>
        <v/>
      </c>
      <c r="DZ97" s="110">
        <f>IF(BL97="","",IFERROR(BL97*HSI!$B$92*HSI!$G$92/HSI!$B$3,""))</f>
        <v/>
      </c>
      <c r="EA97" s="110">
        <f>IF(BM97="","",IFERROR(BM97*HSI!$B$92*HSI!$G$92/HSI!$B$3,""))</f>
        <v/>
      </c>
      <c r="EB97" s="110">
        <f>IF(BN97="","",IFERROR(BN97*HSI!$B$92*HSI!$G$92/HSI!$B$3,""))</f>
        <v/>
      </c>
      <c r="EC97" s="110">
        <f>IF(BO97="","",IFERROR(BO97*HSI!$B$92*HSI!$G$92/HSI!$B$3,""))</f>
        <v/>
      </c>
      <c r="EE97" s="39">
        <f>IF(N('Dvd Calendar'!$E$946)=0,"",IF(('Dvd Calendar'!$E$946&gt;=GRID_FROM)*('Dvd Calendar'!$E$946&lt;=GRID_TO)*((('Dvd Calendar'!$E$946&lt;=VAL_DATE)+(COUNTIF('Dvd Calendar'!$E$953:$AR$953,'Dvd Calendar'!$E$946)=0))&gt;0)=0,"",'Dvd Calendar'!$E$946*1000000000+ISNUMBER('Dvd Calendar'!$E$949)*100000000+('Dvd Calendar'!$E$951=SPECIAL_LBL)*10000000+(N('Dvd Calendar'!$E$945)&gt;0)*(N('Dvd Calendar'!$E$945)&lt;=VAL_SERIAL)*1000000+86*1000+1))</f>
        <v/>
      </c>
      <c r="EF97" s="39">
        <f>IF(N('Dvd Calendar'!$F$946)=0,"",IF(('Dvd Calendar'!$F$946&gt;=GRID_FROM)*('Dvd Calendar'!$F$946&lt;=GRID_TO)*((('Dvd Calendar'!$F$946&lt;=VAL_DATE)+(COUNTIF('Dvd Calendar'!$E$953:$AR$953,'Dvd Calendar'!$F$946)=0))&gt;0)=0,"",'Dvd Calendar'!$F$946*1000000000+ISNUMBER('Dvd Calendar'!$F$949)*100000000+('Dvd Calendar'!$F$951=SPECIAL_LBL)*10000000+(N('Dvd Calendar'!$F$945)&gt;0)*(N('Dvd Calendar'!$F$945)&lt;=VAL_SERIAL)*1000000+86*1000+2))</f>
        <v/>
      </c>
      <c r="EG97" s="39">
        <f>IF(N('Dvd Calendar'!$G$946)=0,"",IF(('Dvd Calendar'!$G$946&gt;=GRID_FROM)*('Dvd Calendar'!$G$946&lt;=GRID_TO)*((('Dvd Calendar'!$G$946&lt;=VAL_DATE)+(COUNTIF('Dvd Calendar'!$E$953:$AR$953,'Dvd Calendar'!$G$946)=0))&gt;0)=0,"",'Dvd Calendar'!$G$946*1000000000+ISNUMBER('Dvd Calendar'!$G$949)*100000000+('Dvd Calendar'!$G$951=SPECIAL_LBL)*10000000+(N('Dvd Calendar'!$G$945)&gt;0)*(N('Dvd Calendar'!$G$945)&lt;=VAL_SERIAL)*1000000+86*1000+3))</f>
        <v/>
      </c>
      <c r="EH97" s="39">
        <f>IF(N('Dvd Calendar'!$H$946)=0,"",IF(('Dvd Calendar'!$H$946&gt;=GRID_FROM)*('Dvd Calendar'!$H$946&lt;=GRID_TO)*((('Dvd Calendar'!$H$946&lt;=VAL_DATE)+(COUNTIF('Dvd Calendar'!$E$953:$AR$953,'Dvd Calendar'!$H$946)=0))&gt;0)=0,"",'Dvd Calendar'!$H$946*1000000000+ISNUMBER('Dvd Calendar'!$H$949)*100000000+('Dvd Calendar'!$H$951=SPECIAL_LBL)*10000000+(N('Dvd Calendar'!$H$945)&gt;0)*(N('Dvd Calendar'!$H$945)&lt;=VAL_SERIAL)*1000000+86*1000+4))</f>
        <v/>
      </c>
      <c r="EI97" s="39">
        <f>IF(N('Dvd Calendar'!$I$946)=0,"",IF(('Dvd Calendar'!$I$946&gt;=GRID_FROM)*('Dvd Calendar'!$I$946&lt;=GRID_TO)*((('Dvd Calendar'!$I$946&lt;=VAL_DATE)+(COUNTIF('Dvd Calendar'!$E$953:$AR$953,'Dvd Calendar'!$I$946)=0))&gt;0)=0,"",'Dvd Calendar'!$I$946*1000000000+ISNUMBER('Dvd Calendar'!$I$949)*100000000+('Dvd Calendar'!$I$951=SPECIAL_LBL)*10000000+(N('Dvd Calendar'!$I$945)&gt;0)*(N('Dvd Calendar'!$I$945)&lt;=VAL_SERIAL)*1000000+86*1000+5))</f>
        <v/>
      </c>
      <c r="EJ97" s="39">
        <f>IF(N('Dvd Calendar'!$J$946)=0,"",IF(('Dvd Calendar'!$J$946&gt;=GRID_FROM)*('Dvd Calendar'!$J$946&lt;=GRID_TO)*((('Dvd Calendar'!$J$946&lt;=VAL_DATE)+(COUNTIF('Dvd Calendar'!$E$953:$AR$953,'Dvd Calendar'!$J$946)=0))&gt;0)=0,"",'Dvd Calendar'!$J$946*1000000000+ISNUMBER('Dvd Calendar'!$J$949)*100000000+('Dvd Calendar'!$J$951=SPECIAL_LBL)*10000000+(N('Dvd Calendar'!$J$945)&gt;0)*(N('Dvd Calendar'!$J$945)&lt;=VAL_SERIAL)*1000000+86*1000+6))</f>
        <v/>
      </c>
      <c r="EK97" s="39">
        <f>IF(N('Dvd Calendar'!$K$946)=0,"",IF(('Dvd Calendar'!$K$946&gt;=GRID_FROM)*('Dvd Calendar'!$K$946&lt;=GRID_TO)*((('Dvd Calendar'!$K$946&lt;=VAL_DATE)+(COUNTIF('Dvd Calendar'!$E$953:$AR$953,'Dvd Calendar'!$K$946)=0))&gt;0)=0,"",'Dvd Calendar'!$K$946*1000000000+ISNUMBER('Dvd Calendar'!$K$949)*100000000+('Dvd Calendar'!$K$951=SPECIAL_LBL)*10000000+(N('Dvd Calendar'!$K$945)&gt;0)*(N('Dvd Calendar'!$K$945)&lt;=VAL_SERIAL)*1000000+86*1000+7))</f>
        <v/>
      </c>
      <c r="EL97" s="39">
        <f>IF(N('Dvd Calendar'!$L$946)=0,"",IF(('Dvd Calendar'!$L$946&gt;=GRID_FROM)*('Dvd Calendar'!$L$946&lt;=GRID_TO)*((('Dvd Calendar'!$L$946&lt;=VAL_DATE)+(COUNTIF('Dvd Calendar'!$E$953:$AR$953,'Dvd Calendar'!$L$946)=0))&gt;0)=0,"",'Dvd Calendar'!$L$946*1000000000+ISNUMBER('Dvd Calendar'!$L$949)*100000000+('Dvd Calendar'!$L$951=SPECIAL_LBL)*10000000+(N('Dvd Calendar'!$L$945)&gt;0)*(N('Dvd Calendar'!$L$945)&lt;=VAL_SERIAL)*1000000+86*1000+8))</f>
        <v/>
      </c>
      <c r="EM97" s="39">
        <f>IF(N('Dvd Calendar'!$M$946)=0,"",IF(('Dvd Calendar'!$M$946&gt;=GRID_FROM)*('Dvd Calendar'!$M$946&lt;=GRID_TO)*((('Dvd Calendar'!$M$946&lt;=VAL_DATE)+(COUNTIF('Dvd Calendar'!$E$953:$AR$953,'Dvd Calendar'!$M$946)=0))&gt;0)=0,"",'Dvd Calendar'!$M$946*1000000000+ISNUMBER('Dvd Calendar'!$M$949)*100000000+('Dvd Calendar'!$M$951=SPECIAL_LBL)*10000000+(N('Dvd Calendar'!$M$945)&gt;0)*(N('Dvd Calendar'!$M$945)&lt;=VAL_SERIAL)*1000000+86*1000+9))</f>
        <v/>
      </c>
      <c r="EN97" s="39">
        <f>IF(N('Dvd Calendar'!$N$946)=0,"",IF(('Dvd Calendar'!$N$946&gt;=GRID_FROM)*('Dvd Calendar'!$N$946&lt;=GRID_TO)*((('Dvd Calendar'!$N$946&lt;=VAL_DATE)+(COUNTIF('Dvd Calendar'!$E$953:$AR$953,'Dvd Calendar'!$N$946)=0))&gt;0)=0,"",'Dvd Calendar'!$N$946*1000000000+ISNUMBER('Dvd Calendar'!$N$949)*100000000+('Dvd Calendar'!$N$951=SPECIAL_LBL)*10000000+(N('Dvd Calendar'!$N$945)&gt;0)*(N('Dvd Calendar'!$N$945)&lt;=VAL_SERIAL)*1000000+86*1000+10))</f>
        <v/>
      </c>
      <c r="EO97" s="39">
        <f>IF(N('Dvd Calendar'!$O$946)=0,"",IF(('Dvd Calendar'!$O$946&gt;=GRID_FROM)*('Dvd Calendar'!$O$946&lt;=GRID_TO)*((('Dvd Calendar'!$O$946&lt;=VAL_DATE)+(COUNTIF('Dvd Calendar'!$E$953:$AR$953,'Dvd Calendar'!$O$946)=0))&gt;0)=0,"",'Dvd Calendar'!$O$946*1000000000+ISNUMBER('Dvd Calendar'!$O$949)*100000000+('Dvd Calendar'!$O$951=SPECIAL_LBL)*10000000+(N('Dvd Calendar'!$O$945)&gt;0)*(N('Dvd Calendar'!$O$945)&lt;=VAL_SERIAL)*1000000+86*1000+11))</f>
        <v/>
      </c>
      <c r="EP97" s="39">
        <f>IF(N('Dvd Calendar'!$P$946)=0,"",IF(('Dvd Calendar'!$P$946&gt;=GRID_FROM)*('Dvd Calendar'!$P$946&lt;=GRID_TO)*((('Dvd Calendar'!$P$946&lt;=VAL_DATE)+(COUNTIF('Dvd Calendar'!$E$953:$AR$953,'Dvd Calendar'!$P$946)=0))&gt;0)=0,"",'Dvd Calendar'!$P$946*1000000000+ISNUMBER('Dvd Calendar'!$P$949)*100000000+('Dvd Calendar'!$P$951=SPECIAL_LBL)*10000000+(N('Dvd Calendar'!$P$945)&gt;0)*(N('Dvd Calendar'!$P$945)&lt;=VAL_SERIAL)*1000000+86*1000+12))</f>
        <v/>
      </c>
      <c r="EQ97" s="39">
        <f>IF(N('Dvd Calendar'!$Q$946)=0,"",IF(('Dvd Calendar'!$Q$946&gt;=GRID_FROM)*('Dvd Calendar'!$Q$946&lt;=GRID_TO)*((('Dvd Calendar'!$Q$946&lt;=VAL_DATE)+(COUNTIF('Dvd Calendar'!$E$953:$AR$953,'Dvd Calendar'!$Q$946)=0))&gt;0)=0,"",'Dvd Calendar'!$Q$946*1000000000+ISNUMBER('Dvd Calendar'!$Q$949)*100000000+('Dvd Calendar'!$Q$951=SPECIAL_LBL)*10000000+(N('Dvd Calendar'!$Q$945)&gt;0)*(N('Dvd Calendar'!$Q$945)&lt;=VAL_SERIAL)*1000000+86*1000+13))</f>
        <v/>
      </c>
      <c r="ER97" s="39">
        <f>IF(N('Dvd Calendar'!$R$946)=0,"",IF(('Dvd Calendar'!$R$946&gt;=GRID_FROM)*('Dvd Calendar'!$R$946&lt;=GRID_TO)*((('Dvd Calendar'!$R$946&lt;=VAL_DATE)+(COUNTIF('Dvd Calendar'!$E$953:$AR$953,'Dvd Calendar'!$R$946)=0))&gt;0)=0,"",'Dvd Calendar'!$R$946*1000000000+ISNUMBER('Dvd Calendar'!$R$949)*100000000+('Dvd Calendar'!$R$951=SPECIAL_LBL)*10000000+(N('Dvd Calendar'!$R$945)&gt;0)*(N('Dvd Calendar'!$R$945)&lt;=VAL_SERIAL)*1000000+86*1000+14))</f>
        <v/>
      </c>
      <c r="ES97" s="39">
        <f>IF(N('Dvd Calendar'!$S$946)=0,"",IF(('Dvd Calendar'!$S$946&gt;=GRID_FROM)*('Dvd Calendar'!$S$946&lt;=GRID_TO)*((('Dvd Calendar'!$S$946&lt;=VAL_DATE)+(COUNTIF('Dvd Calendar'!$E$953:$AR$953,'Dvd Calendar'!$S$946)=0))&gt;0)=0,"",'Dvd Calendar'!$S$946*1000000000+ISNUMBER('Dvd Calendar'!$S$949)*100000000+('Dvd Calendar'!$S$951=SPECIAL_LBL)*10000000+(N('Dvd Calendar'!$S$945)&gt;0)*(N('Dvd Calendar'!$S$945)&lt;=VAL_SERIAL)*1000000+86*1000+15))</f>
        <v/>
      </c>
      <c r="ET97" s="39">
        <f>IF(N('Dvd Calendar'!$T$946)=0,"",IF(('Dvd Calendar'!$T$946&gt;=GRID_FROM)*('Dvd Calendar'!$T$946&lt;=GRID_TO)*((('Dvd Calendar'!$T$946&lt;=VAL_DATE)+(COUNTIF('Dvd Calendar'!$E$953:$AR$953,'Dvd Calendar'!$T$946)=0))&gt;0)=0,"",'Dvd Calendar'!$T$946*1000000000+ISNUMBER('Dvd Calendar'!$T$949)*100000000+('Dvd Calendar'!$T$951=SPECIAL_LBL)*10000000+(N('Dvd Calendar'!$T$945)&gt;0)*(N('Dvd Calendar'!$T$945)&lt;=VAL_SERIAL)*1000000+86*1000+16))</f>
        <v/>
      </c>
      <c r="EU97" s="39">
        <f>IF(N('Dvd Calendar'!$U$946)=0,"",IF(('Dvd Calendar'!$U$946&gt;=GRID_FROM)*('Dvd Calendar'!$U$946&lt;=GRID_TO)*((('Dvd Calendar'!$U$946&lt;=VAL_DATE)+(COUNTIF('Dvd Calendar'!$E$953:$AR$953,'Dvd Calendar'!$U$946)=0))&gt;0)=0,"",'Dvd Calendar'!$U$946*1000000000+ISNUMBER('Dvd Calendar'!$U$949)*100000000+('Dvd Calendar'!$U$951=SPECIAL_LBL)*10000000+(N('Dvd Calendar'!$U$945)&gt;0)*(N('Dvd Calendar'!$U$945)&lt;=VAL_SERIAL)*1000000+86*1000+17))</f>
        <v/>
      </c>
      <c r="EV97" s="39">
        <f>IF(N('Dvd Calendar'!$V$946)=0,"",IF(('Dvd Calendar'!$V$946&gt;=GRID_FROM)*('Dvd Calendar'!$V$946&lt;=GRID_TO)*((('Dvd Calendar'!$V$946&lt;=VAL_DATE)+(COUNTIF('Dvd Calendar'!$E$953:$AR$953,'Dvd Calendar'!$V$946)=0))&gt;0)=0,"",'Dvd Calendar'!$V$946*1000000000+ISNUMBER('Dvd Calendar'!$V$949)*100000000+('Dvd Calendar'!$V$951=SPECIAL_LBL)*10000000+(N('Dvd Calendar'!$V$945)&gt;0)*(N('Dvd Calendar'!$V$945)&lt;=VAL_SERIAL)*1000000+86*1000+18))</f>
        <v/>
      </c>
      <c r="EW97" s="39">
        <f>IF(N('Dvd Calendar'!$W$946)=0,"",IF(('Dvd Calendar'!$W$946&gt;=GRID_FROM)*('Dvd Calendar'!$W$946&lt;=GRID_TO)*((('Dvd Calendar'!$W$946&lt;=VAL_DATE)+(COUNTIF('Dvd Calendar'!$E$953:$AR$953,'Dvd Calendar'!$W$946)=0))&gt;0)=0,"",'Dvd Calendar'!$W$946*1000000000+ISNUMBER('Dvd Calendar'!$W$949)*100000000+('Dvd Calendar'!$W$951=SPECIAL_LBL)*10000000+(N('Dvd Calendar'!$W$945)&gt;0)*(N('Dvd Calendar'!$W$945)&lt;=VAL_SERIAL)*1000000+86*1000+19))</f>
        <v/>
      </c>
      <c r="EX97" s="39">
        <f>IF(N('Dvd Calendar'!$X$946)=0,"",IF(('Dvd Calendar'!$X$946&gt;=GRID_FROM)*('Dvd Calendar'!$X$946&lt;=GRID_TO)*((('Dvd Calendar'!$X$946&lt;=VAL_DATE)+(COUNTIF('Dvd Calendar'!$E$953:$AR$953,'Dvd Calendar'!$X$946)=0))&gt;0)=0,"",'Dvd Calendar'!$X$946*1000000000+ISNUMBER('Dvd Calendar'!$X$949)*100000000+('Dvd Calendar'!$X$951=SPECIAL_LBL)*10000000+(N('Dvd Calendar'!$X$945)&gt;0)*(N('Dvd Calendar'!$X$945)&lt;=VAL_SERIAL)*1000000+86*1000+20))</f>
        <v/>
      </c>
      <c r="EY97" s="39">
        <f>IF(N('Dvd Calendar'!$Y$946)=0,"",IF(('Dvd Calendar'!$Y$946&gt;=GRID_FROM)*('Dvd Calendar'!$Y$946&lt;=GRID_TO)*((('Dvd Calendar'!$Y$946&lt;=VAL_DATE)+(COUNTIF('Dvd Calendar'!$E$953:$AR$953,'Dvd Calendar'!$Y$946)=0))&gt;0)=0,"",'Dvd Calendar'!$Y$946*1000000000+ISNUMBER('Dvd Calendar'!$Y$949)*100000000+('Dvd Calendar'!$Y$951=SPECIAL_LBL)*10000000+(N('Dvd Calendar'!$Y$945)&gt;0)*(N('Dvd Calendar'!$Y$945)&lt;=VAL_SERIAL)*1000000+86*1000+21))</f>
        <v/>
      </c>
      <c r="EZ97" s="39">
        <f>IF(N('Dvd Calendar'!$Z$946)=0,"",IF(('Dvd Calendar'!$Z$946&gt;=GRID_FROM)*('Dvd Calendar'!$Z$946&lt;=GRID_TO)*((('Dvd Calendar'!$Z$946&lt;=VAL_DATE)+(COUNTIF('Dvd Calendar'!$E$953:$AR$953,'Dvd Calendar'!$Z$946)=0))&gt;0)=0,"",'Dvd Calendar'!$Z$946*1000000000+ISNUMBER('Dvd Calendar'!$Z$949)*100000000+('Dvd Calendar'!$Z$951=SPECIAL_LBL)*10000000+(N('Dvd Calendar'!$Z$945)&gt;0)*(N('Dvd Calendar'!$Z$945)&lt;=VAL_SERIAL)*1000000+86*1000+22))</f>
        <v/>
      </c>
      <c r="FA97" s="39">
        <f>IF(N('Dvd Calendar'!$AA$946)=0,"",IF(('Dvd Calendar'!$AA$946&gt;=GRID_FROM)*('Dvd Calendar'!$AA$946&lt;=GRID_TO)*((('Dvd Calendar'!$AA$946&lt;=VAL_DATE)+(COUNTIF('Dvd Calendar'!$E$953:$AR$953,'Dvd Calendar'!$AA$946)=0))&gt;0)=0,"",'Dvd Calendar'!$AA$946*1000000000+ISNUMBER('Dvd Calendar'!$AA$949)*100000000+('Dvd Calendar'!$AA$951=SPECIAL_LBL)*10000000+(N('Dvd Calendar'!$AA$945)&gt;0)*(N('Dvd Calendar'!$AA$945)&lt;=VAL_SERIAL)*1000000+86*1000+23))</f>
        <v/>
      </c>
      <c r="FB97" s="39">
        <f>IF(N('Dvd Calendar'!$AB$946)=0,"",IF(('Dvd Calendar'!$AB$946&gt;=GRID_FROM)*('Dvd Calendar'!$AB$946&lt;=GRID_TO)*((('Dvd Calendar'!$AB$946&lt;=VAL_DATE)+(COUNTIF('Dvd Calendar'!$E$953:$AR$953,'Dvd Calendar'!$AB$946)=0))&gt;0)=0,"",'Dvd Calendar'!$AB$946*1000000000+ISNUMBER('Dvd Calendar'!$AB$949)*100000000+('Dvd Calendar'!$AB$951=SPECIAL_LBL)*10000000+(N('Dvd Calendar'!$AB$945)&gt;0)*(N('Dvd Calendar'!$AB$945)&lt;=VAL_SERIAL)*1000000+86*1000+24))</f>
        <v/>
      </c>
      <c r="FC97" s="39">
        <f>IF(N('Dvd Calendar'!$AC$946)=0,"",IF(('Dvd Calendar'!$AC$946&gt;=GRID_FROM)*('Dvd Calendar'!$AC$946&lt;=GRID_TO)*((('Dvd Calendar'!$AC$946&lt;=VAL_DATE)+(COUNTIF('Dvd Calendar'!$E$953:$AR$953,'Dvd Calendar'!$AC$946)=0))&gt;0)=0,"",'Dvd Calendar'!$AC$946*1000000000+ISNUMBER('Dvd Calendar'!$AC$949)*100000000+('Dvd Calendar'!$AC$951=SPECIAL_LBL)*10000000+(N('Dvd Calendar'!$AC$945)&gt;0)*(N('Dvd Calendar'!$AC$945)&lt;=VAL_SERIAL)*1000000+86*1000+25))</f>
        <v/>
      </c>
      <c r="FD97" s="39">
        <f>IF(N('Dvd Calendar'!$AD$946)=0,"",IF(('Dvd Calendar'!$AD$946&gt;=GRID_FROM)*('Dvd Calendar'!$AD$946&lt;=GRID_TO)*((('Dvd Calendar'!$AD$946&lt;=VAL_DATE)+(COUNTIF('Dvd Calendar'!$E$953:$AR$953,'Dvd Calendar'!$AD$946)=0))&gt;0)=0,"",'Dvd Calendar'!$AD$946*1000000000+ISNUMBER('Dvd Calendar'!$AD$949)*100000000+('Dvd Calendar'!$AD$951=SPECIAL_LBL)*10000000+(N('Dvd Calendar'!$AD$945)&gt;0)*(N('Dvd Calendar'!$AD$945)&lt;=VAL_SERIAL)*1000000+86*1000+26))</f>
        <v/>
      </c>
      <c r="FE97" s="39">
        <f>IF(N('Dvd Calendar'!$AE$946)=0,"",IF(('Dvd Calendar'!$AE$946&gt;=GRID_FROM)*('Dvd Calendar'!$AE$946&lt;=GRID_TO)*((('Dvd Calendar'!$AE$946&lt;=VAL_DATE)+(COUNTIF('Dvd Calendar'!$E$953:$AR$953,'Dvd Calendar'!$AE$946)=0))&gt;0)=0,"",'Dvd Calendar'!$AE$946*1000000000+ISNUMBER('Dvd Calendar'!$AE$949)*100000000+('Dvd Calendar'!$AE$951=SPECIAL_LBL)*10000000+(N('Dvd Calendar'!$AE$945)&gt;0)*(N('Dvd Calendar'!$AE$945)&lt;=VAL_SERIAL)*1000000+86*1000+27))</f>
        <v/>
      </c>
      <c r="FF97" s="39">
        <f>IF(N('Dvd Calendar'!$AF$946)=0,"",IF(('Dvd Calendar'!$AF$946&gt;=GRID_FROM)*('Dvd Calendar'!$AF$946&lt;=GRID_TO)*((('Dvd Calendar'!$AF$946&lt;=VAL_DATE)+(COUNTIF('Dvd Calendar'!$E$953:$AR$953,'Dvd Calendar'!$AF$946)=0))&gt;0)=0,"",'Dvd Calendar'!$AF$946*1000000000+ISNUMBER('Dvd Calendar'!$AF$949)*100000000+('Dvd Calendar'!$AF$951=SPECIAL_LBL)*10000000+(N('Dvd Calendar'!$AF$945)&gt;0)*(N('Dvd Calendar'!$AF$945)&lt;=VAL_SERIAL)*1000000+86*1000+28))</f>
        <v/>
      </c>
      <c r="FG97" s="39">
        <f>IF(N('Dvd Calendar'!$AG$946)=0,"",IF(('Dvd Calendar'!$AG$946&gt;=GRID_FROM)*('Dvd Calendar'!$AG$946&lt;=GRID_TO)*((('Dvd Calendar'!$AG$946&lt;=VAL_DATE)+(COUNTIF('Dvd Calendar'!$E$953:$AR$953,'Dvd Calendar'!$AG$946)=0))&gt;0)=0,"",'Dvd Calendar'!$AG$946*1000000000+ISNUMBER('Dvd Calendar'!$AG$949)*100000000+('Dvd Calendar'!$AG$951=SPECIAL_LBL)*10000000+(N('Dvd Calendar'!$AG$945)&gt;0)*(N('Dvd Calendar'!$AG$945)&lt;=VAL_SERIAL)*1000000+86*1000+29))</f>
        <v/>
      </c>
      <c r="FH97" s="39">
        <f>IF(N('Dvd Calendar'!$AH$946)=0,"",IF(('Dvd Calendar'!$AH$946&gt;=GRID_FROM)*('Dvd Calendar'!$AH$946&lt;=GRID_TO)*((('Dvd Calendar'!$AH$946&lt;=VAL_DATE)+(COUNTIF('Dvd Calendar'!$E$953:$AR$953,'Dvd Calendar'!$AH$946)=0))&gt;0)=0,"",'Dvd Calendar'!$AH$946*1000000000+ISNUMBER('Dvd Calendar'!$AH$949)*100000000+('Dvd Calendar'!$AH$951=SPECIAL_LBL)*10000000+(N('Dvd Calendar'!$AH$945)&gt;0)*(N('Dvd Calendar'!$AH$945)&lt;=VAL_SERIAL)*1000000+86*1000+30))</f>
        <v/>
      </c>
      <c r="FI97" s="39">
        <f>IF(N('Dvd Calendar'!$AI$946)=0,"",IF(('Dvd Calendar'!$AI$946&gt;=GRID_FROM)*('Dvd Calendar'!$AI$946&lt;=GRID_TO)*((('Dvd Calendar'!$AI$946&lt;=VAL_DATE)+(COUNTIF('Dvd Calendar'!$E$953:$AR$953,'Dvd Calendar'!$AI$946)=0))&gt;0)=0,"",'Dvd Calendar'!$AI$946*1000000000+ISNUMBER('Dvd Calendar'!$AI$949)*100000000+('Dvd Calendar'!$AI$951=SPECIAL_LBL)*10000000+(N('Dvd Calendar'!$AI$945)&gt;0)*(N('Dvd Calendar'!$AI$945)&lt;=VAL_SERIAL)*1000000+86*1000+31))</f>
        <v/>
      </c>
      <c r="FJ97" s="39">
        <f>IF(N('Dvd Calendar'!$AJ$946)=0,"",IF(('Dvd Calendar'!$AJ$946&gt;=GRID_FROM)*('Dvd Calendar'!$AJ$946&lt;=GRID_TO)*((('Dvd Calendar'!$AJ$946&lt;=VAL_DATE)+(COUNTIF('Dvd Calendar'!$E$953:$AR$953,'Dvd Calendar'!$AJ$946)=0))&gt;0)=0,"",'Dvd Calendar'!$AJ$946*1000000000+ISNUMBER('Dvd Calendar'!$AJ$949)*100000000+('Dvd Calendar'!$AJ$951=SPECIAL_LBL)*10000000+(N('Dvd Calendar'!$AJ$945)&gt;0)*(N('Dvd Calendar'!$AJ$945)&lt;=VAL_SERIAL)*1000000+86*1000+32))</f>
        <v/>
      </c>
      <c r="FK97" s="39">
        <f>IF(N('Dvd Calendar'!$AK$946)=0,"",IF(('Dvd Calendar'!$AK$946&gt;=GRID_FROM)*('Dvd Calendar'!$AK$946&lt;=GRID_TO)*((('Dvd Calendar'!$AK$946&lt;=VAL_DATE)+(COUNTIF('Dvd Calendar'!$E$953:$AR$953,'Dvd Calendar'!$AK$946)=0))&gt;0)=0,"",'Dvd Calendar'!$AK$946*1000000000+ISNUMBER('Dvd Calendar'!$AK$949)*100000000+('Dvd Calendar'!$AK$951=SPECIAL_LBL)*10000000+(N('Dvd Calendar'!$AK$945)&gt;0)*(N('Dvd Calendar'!$AK$945)&lt;=VAL_SERIAL)*1000000+86*1000+33))</f>
        <v/>
      </c>
      <c r="FL97" s="39">
        <f>IF(N('Dvd Calendar'!$AL$946)=0,"",IF(('Dvd Calendar'!$AL$946&gt;=GRID_FROM)*('Dvd Calendar'!$AL$946&lt;=GRID_TO)*((('Dvd Calendar'!$AL$946&lt;=VAL_DATE)+(COUNTIF('Dvd Calendar'!$E$953:$AR$953,'Dvd Calendar'!$AL$946)=0))&gt;0)=0,"",'Dvd Calendar'!$AL$946*1000000000+ISNUMBER('Dvd Calendar'!$AL$949)*100000000+('Dvd Calendar'!$AL$951=SPECIAL_LBL)*10000000+(N('Dvd Calendar'!$AL$945)&gt;0)*(N('Dvd Calendar'!$AL$945)&lt;=VAL_SERIAL)*1000000+86*1000+34))</f>
        <v/>
      </c>
      <c r="FM97" s="39">
        <f>IF(N('Dvd Calendar'!$AM$946)=0,"",IF(('Dvd Calendar'!$AM$946&gt;=GRID_FROM)*('Dvd Calendar'!$AM$946&lt;=GRID_TO)*((('Dvd Calendar'!$AM$946&lt;=VAL_DATE)+(COUNTIF('Dvd Calendar'!$E$953:$AR$953,'Dvd Calendar'!$AM$946)=0))&gt;0)=0,"",'Dvd Calendar'!$AM$946*1000000000+ISNUMBER('Dvd Calendar'!$AM$949)*100000000+('Dvd Calendar'!$AM$951=SPECIAL_LBL)*10000000+(N('Dvd Calendar'!$AM$945)&gt;0)*(N('Dvd Calendar'!$AM$945)&lt;=VAL_SERIAL)*1000000+86*1000+35))</f>
        <v/>
      </c>
      <c r="FN97" s="39">
        <f>IF(N('Dvd Calendar'!$AN$946)=0,"",IF(('Dvd Calendar'!$AN$946&gt;=GRID_FROM)*('Dvd Calendar'!$AN$946&lt;=GRID_TO)*((('Dvd Calendar'!$AN$946&lt;=VAL_DATE)+(COUNTIF('Dvd Calendar'!$E$953:$AR$953,'Dvd Calendar'!$AN$946)=0))&gt;0)=0,"",'Dvd Calendar'!$AN$946*1000000000+ISNUMBER('Dvd Calendar'!$AN$949)*100000000+('Dvd Calendar'!$AN$951=SPECIAL_LBL)*10000000+(N('Dvd Calendar'!$AN$945)&gt;0)*(N('Dvd Calendar'!$AN$945)&lt;=VAL_SERIAL)*1000000+86*1000+36))</f>
        <v/>
      </c>
      <c r="FO97" s="39">
        <f>IF(N('Dvd Calendar'!$AO$946)=0,"",IF(('Dvd Calendar'!$AO$946&gt;=GRID_FROM)*('Dvd Calendar'!$AO$946&lt;=GRID_TO)*((('Dvd Calendar'!$AO$946&lt;=VAL_DATE)+(COUNTIF('Dvd Calendar'!$E$953:$AR$953,'Dvd Calendar'!$AO$946)=0))&gt;0)=0,"",'Dvd Calendar'!$AO$946*1000000000+ISNUMBER('Dvd Calendar'!$AO$949)*100000000+('Dvd Calendar'!$AO$951=SPECIAL_LBL)*10000000+(N('Dvd Calendar'!$AO$945)&gt;0)*(N('Dvd Calendar'!$AO$945)&lt;=VAL_SERIAL)*1000000+86*1000+37))</f>
        <v/>
      </c>
      <c r="FP97" s="39">
        <f>IF(N('Dvd Calendar'!$AP$946)=0,"",IF(('Dvd Calendar'!$AP$946&gt;=GRID_FROM)*('Dvd Calendar'!$AP$946&lt;=GRID_TO)*((('Dvd Calendar'!$AP$946&lt;=VAL_DATE)+(COUNTIF('Dvd Calendar'!$E$953:$AR$953,'Dvd Calendar'!$AP$946)=0))&gt;0)=0,"",'Dvd Calendar'!$AP$946*1000000000+ISNUMBER('Dvd Calendar'!$AP$949)*100000000+('Dvd Calendar'!$AP$951=SPECIAL_LBL)*10000000+(N('Dvd Calendar'!$AP$945)&gt;0)*(N('Dvd Calendar'!$AP$945)&lt;=VAL_SERIAL)*1000000+86*1000+38))</f>
        <v/>
      </c>
      <c r="FQ97" s="39">
        <f>IF(N('Dvd Calendar'!$AQ$946)=0,"",IF(('Dvd Calendar'!$AQ$946&gt;=GRID_FROM)*('Dvd Calendar'!$AQ$946&lt;=GRID_TO)*((('Dvd Calendar'!$AQ$946&lt;=VAL_DATE)+(COUNTIF('Dvd Calendar'!$E$953:$AR$953,'Dvd Calendar'!$AQ$946)=0))&gt;0)=0,"",'Dvd Calendar'!$AQ$946*1000000000+ISNUMBER('Dvd Calendar'!$AQ$949)*100000000+('Dvd Calendar'!$AQ$951=SPECIAL_LBL)*10000000+(N('Dvd Calendar'!$AQ$945)&gt;0)*(N('Dvd Calendar'!$AQ$945)&lt;=VAL_SERIAL)*1000000+86*1000+39))</f>
        <v/>
      </c>
      <c r="FR97" s="39">
        <f>IF(N('Dvd Calendar'!$AR$946)=0,"",IF(('Dvd Calendar'!$AR$946&gt;=GRID_FROM)*('Dvd Calendar'!$AR$946&lt;=GRID_TO)*((('Dvd Calendar'!$AR$946&lt;=VAL_DATE)+(COUNTIF('Dvd Calendar'!$E$953:$AR$953,'Dvd Calendar'!$AR$946)=0))&gt;0)=0,"",'Dvd Calendar'!$AR$946*1000000000+ISNUMBER('Dvd Calendar'!$AR$949)*100000000+('Dvd Calendar'!$AR$951=SPECIAL_LBL)*10000000+(N('Dvd Calendar'!$AR$945)&gt;0)*(N('Dvd Calendar'!$AR$945)&lt;=VAL_SERIAL)*1000000+86*1000+40))</f>
        <v/>
      </c>
      <c r="FS97" s="39">
        <f>IF(N('Dvd Calendar'!$E$953)=0,"",IF(('Dvd Calendar'!$E$953&gt;=GRID_FROM)*('Dvd Calendar'!$E$953&lt;=GRID_TO)*('Dvd Calendar'!$E$953&gt;VAL_DATE)=0,"",'Dvd Calendar'!$E$953*1000000000+ISNUMBER('Dvd Calendar'!$E$954)*100000000+0*10000000+(N('Dvd Calendar'!$E$952)&gt;0)*(N('Dvd Calendar'!$E$952)&lt;=VAL_SERIAL)*1000000+86*1000+41))</f>
        <v/>
      </c>
      <c r="FT97" s="39">
        <f>IF(N('Dvd Calendar'!$F$953)=0,"",IF(('Dvd Calendar'!$F$953&gt;=GRID_FROM)*('Dvd Calendar'!$F$953&lt;=GRID_TO)*('Dvd Calendar'!$F$953&gt;VAL_DATE)=0,"",'Dvd Calendar'!$F$953*1000000000+ISNUMBER('Dvd Calendar'!$F$954)*100000000+0*10000000+(N('Dvd Calendar'!$F$952)&gt;0)*(N('Dvd Calendar'!$F$952)&lt;=VAL_SERIAL)*1000000+86*1000+42))</f>
        <v/>
      </c>
      <c r="FU97" s="39">
        <f>IF(N('Dvd Calendar'!$G$953)=0,"",IF(('Dvd Calendar'!$G$953&gt;=GRID_FROM)*('Dvd Calendar'!$G$953&lt;=GRID_TO)*('Dvd Calendar'!$G$953&gt;VAL_DATE)=0,"",'Dvd Calendar'!$G$953*1000000000+ISNUMBER('Dvd Calendar'!$G$954)*100000000+0*10000000+(N('Dvd Calendar'!$G$952)&gt;0)*(N('Dvd Calendar'!$G$952)&lt;=VAL_SERIAL)*1000000+86*1000+43))</f>
        <v/>
      </c>
      <c r="FV97" s="39">
        <f>IF(N('Dvd Calendar'!$H$953)=0,"",IF(('Dvd Calendar'!$H$953&gt;=GRID_FROM)*('Dvd Calendar'!$H$953&lt;=GRID_TO)*('Dvd Calendar'!$H$953&gt;VAL_DATE)=0,"",'Dvd Calendar'!$H$953*1000000000+ISNUMBER('Dvd Calendar'!$H$954)*100000000+0*10000000+(N('Dvd Calendar'!$H$952)&gt;0)*(N('Dvd Calendar'!$H$952)&lt;=VAL_SERIAL)*1000000+86*1000+44))</f>
        <v/>
      </c>
      <c r="FW97" s="39">
        <f>IF(N('Dvd Calendar'!$I$953)=0,"",IF(('Dvd Calendar'!$I$953&gt;=GRID_FROM)*('Dvd Calendar'!$I$953&lt;=GRID_TO)*('Dvd Calendar'!$I$953&gt;VAL_DATE)=0,"",'Dvd Calendar'!$I$953*1000000000+ISNUMBER('Dvd Calendar'!$I$954)*100000000+0*10000000+(N('Dvd Calendar'!$I$952)&gt;0)*(N('Dvd Calendar'!$I$952)&lt;=VAL_SERIAL)*1000000+86*1000+45))</f>
        <v/>
      </c>
      <c r="FX97" s="39">
        <f>IF(N('Dvd Calendar'!$J$953)=0,"",IF(('Dvd Calendar'!$J$953&gt;=GRID_FROM)*('Dvd Calendar'!$J$953&lt;=GRID_TO)*('Dvd Calendar'!$J$953&gt;VAL_DATE)=0,"",'Dvd Calendar'!$J$953*1000000000+ISNUMBER('Dvd Calendar'!$J$954)*100000000+0*10000000+(N('Dvd Calendar'!$J$952)&gt;0)*(N('Dvd Calendar'!$J$952)&lt;=VAL_SERIAL)*1000000+86*1000+46))</f>
        <v/>
      </c>
      <c r="FY97" s="39">
        <f>IF(N('Dvd Calendar'!$K$953)=0,"",IF(('Dvd Calendar'!$K$953&gt;=GRID_FROM)*('Dvd Calendar'!$K$953&lt;=GRID_TO)*('Dvd Calendar'!$K$953&gt;VAL_DATE)=0,"",'Dvd Calendar'!$K$953*1000000000+ISNUMBER('Dvd Calendar'!$K$954)*100000000+0*10000000+(N('Dvd Calendar'!$K$952)&gt;0)*(N('Dvd Calendar'!$K$952)&lt;=VAL_SERIAL)*1000000+86*1000+47))</f>
        <v/>
      </c>
      <c r="FZ97" s="39">
        <f>IF(N('Dvd Calendar'!$L$953)=0,"",IF(('Dvd Calendar'!$L$953&gt;=GRID_FROM)*('Dvd Calendar'!$L$953&lt;=GRID_TO)*('Dvd Calendar'!$L$953&gt;VAL_DATE)=0,"",'Dvd Calendar'!$L$953*1000000000+ISNUMBER('Dvd Calendar'!$L$954)*100000000+0*10000000+(N('Dvd Calendar'!$L$952)&gt;0)*(N('Dvd Calendar'!$L$952)&lt;=VAL_SERIAL)*1000000+86*1000+48))</f>
        <v/>
      </c>
      <c r="GA97" s="39">
        <f>IF(N('Dvd Calendar'!$M$953)=0,"",IF(('Dvd Calendar'!$M$953&gt;=GRID_FROM)*('Dvd Calendar'!$M$953&lt;=GRID_TO)*('Dvd Calendar'!$M$953&gt;VAL_DATE)=0,"",'Dvd Calendar'!$M$953*1000000000+ISNUMBER('Dvd Calendar'!$M$954)*100000000+0*10000000+(N('Dvd Calendar'!$M$952)&gt;0)*(N('Dvd Calendar'!$M$952)&lt;=VAL_SERIAL)*1000000+86*1000+49))</f>
        <v/>
      </c>
      <c r="GB97" s="39">
        <f>IF(N('Dvd Calendar'!$N$953)=0,"",IF(('Dvd Calendar'!$N$953&gt;=GRID_FROM)*('Dvd Calendar'!$N$953&lt;=GRID_TO)*('Dvd Calendar'!$N$953&gt;VAL_DATE)=0,"",'Dvd Calendar'!$N$953*1000000000+ISNUMBER('Dvd Calendar'!$N$954)*100000000+0*10000000+(N('Dvd Calendar'!$N$952)&gt;0)*(N('Dvd Calendar'!$N$952)&lt;=VAL_SERIAL)*1000000+86*1000+50))</f>
        <v/>
      </c>
      <c r="GC97" s="39">
        <f>IF(N('Dvd Calendar'!$O$953)=0,"",IF(('Dvd Calendar'!$O$953&gt;=GRID_FROM)*('Dvd Calendar'!$O$953&lt;=GRID_TO)*('Dvd Calendar'!$O$953&gt;VAL_DATE)=0,"",'Dvd Calendar'!$O$953*1000000000+ISNUMBER('Dvd Calendar'!$O$954)*100000000+0*10000000+(N('Dvd Calendar'!$O$952)&gt;0)*(N('Dvd Calendar'!$O$952)&lt;=VAL_SERIAL)*1000000+86*1000+51))</f>
        <v/>
      </c>
      <c r="GD97" s="39">
        <f>IF(N('Dvd Calendar'!$P$953)=0,"",IF(('Dvd Calendar'!$P$953&gt;=GRID_FROM)*('Dvd Calendar'!$P$953&lt;=GRID_TO)*('Dvd Calendar'!$P$953&gt;VAL_DATE)=0,"",'Dvd Calendar'!$P$953*1000000000+ISNUMBER('Dvd Calendar'!$P$954)*100000000+0*10000000+(N('Dvd Calendar'!$P$952)&gt;0)*(N('Dvd Calendar'!$P$952)&lt;=VAL_SERIAL)*1000000+86*1000+52))</f>
        <v/>
      </c>
      <c r="GE97" s="39">
        <f>IF(N('Dvd Calendar'!$Q$953)=0,"",IF(('Dvd Calendar'!$Q$953&gt;=GRID_FROM)*('Dvd Calendar'!$Q$953&lt;=GRID_TO)*('Dvd Calendar'!$Q$953&gt;VAL_DATE)=0,"",'Dvd Calendar'!$Q$953*1000000000+ISNUMBER('Dvd Calendar'!$Q$954)*100000000+0*10000000+(N('Dvd Calendar'!$Q$952)&gt;0)*(N('Dvd Calendar'!$Q$952)&lt;=VAL_SERIAL)*1000000+86*1000+53))</f>
        <v/>
      </c>
      <c r="GF97" s="39">
        <f>IF(N('Dvd Calendar'!$R$953)=0,"",IF(('Dvd Calendar'!$R$953&gt;=GRID_FROM)*('Dvd Calendar'!$R$953&lt;=GRID_TO)*('Dvd Calendar'!$R$953&gt;VAL_DATE)=0,"",'Dvd Calendar'!$R$953*1000000000+ISNUMBER('Dvd Calendar'!$R$954)*100000000+0*10000000+(N('Dvd Calendar'!$R$952)&gt;0)*(N('Dvd Calendar'!$R$952)&lt;=VAL_SERIAL)*1000000+86*1000+54))</f>
        <v/>
      </c>
      <c r="GG97" s="39">
        <f>IF(N('Dvd Calendar'!$S$953)=0,"",IF(('Dvd Calendar'!$S$953&gt;=GRID_FROM)*('Dvd Calendar'!$S$953&lt;=GRID_TO)*('Dvd Calendar'!$S$953&gt;VAL_DATE)=0,"",'Dvd Calendar'!$S$953*1000000000+ISNUMBER('Dvd Calendar'!$S$954)*100000000+0*10000000+(N('Dvd Calendar'!$S$952)&gt;0)*(N('Dvd Calendar'!$S$952)&lt;=VAL_SERIAL)*1000000+86*1000+55))</f>
        <v/>
      </c>
      <c r="GH97" s="39">
        <f>IF(N('Dvd Calendar'!$T$953)=0,"",IF(('Dvd Calendar'!$T$953&gt;=GRID_FROM)*('Dvd Calendar'!$T$953&lt;=GRID_TO)*('Dvd Calendar'!$T$953&gt;VAL_DATE)=0,"",'Dvd Calendar'!$T$953*1000000000+ISNUMBER('Dvd Calendar'!$T$954)*100000000+0*10000000+(N('Dvd Calendar'!$T$952)&gt;0)*(N('Dvd Calendar'!$T$952)&lt;=VAL_SERIAL)*1000000+86*1000+56))</f>
        <v/>
      </c>
      <c r="GI97" s="39">
        <f>IF(N('Dvd Calendar'!$U$953)=0,"",IF(('Dvd Calendar'!$U$953&gt;=GRID_FROM)*('Dvd Calendar'!$U$953&lt;=GRID_TO)*('Dvd Calendar'!$U$953&gt;VAL_DATE)=0,"",'Dvd Calendar'!$U$953*1000000000+ISNUMBER('Dvd Calendar'!$U$954)*100000000+0*10000000+(N('Dvd Calendar'!$U$952)&gt;0)*(N('Dvd Calendar'!$U$952)&lt;=VAL_SERIAL)*1000000+86*1000+57))</f>
        <v/>
      </c>
      <c r="GJ97" s="39">
        <f>IF(N('Dvd Calendar'!$V$953)=0,"",IF(('Dvd Calendar'!$V$953&gt;=GRID_FROM)*('Dvd Calendar'!$V$953&lt;=GRID_TO)*('Dvd Calendar'!$V$953&gt;VAL_DATE)=0,"",'Dvd Calendar'!$V$953*1000000000+ISNUMBER('Dvd Calendar'!$V$954)*100000000+0*10000000+(N('Dvd Calendar'!$V$952)&gt;0)*(N('Dvd Calendar'!$V$952)&lt;=VAL_SERIAL)*1000000+86*1000+58))</f>
        <v/>
      </c>
      <c r="GK97" s="39">
        <f>IF(N('Dvd Calendar'!$W$953)=0,"",IF(('Dvd Calendar'!$W$953&gt;=GRID_FROM)*('Dvd Calendar'!$W$953&lt;=GRID_TO)*('Dvd Calendar'!$W$953&gt;VAL_DATE)=0,"",'Dvd Calendar'!$W$953*1000000000+ISNUMBER('Dvd Calendar'!$W$954)*100000000+0*10000000+(N('Dvd Calendar'!$W$952)&gt;0)*(N('Dvd Calendar'!$W$952)&lt;=VAL_SERIAL)*1000000+86*1000+59))</f>
        <v/>
      </c>
      <c r="GL97" s="39">
        <f>IF(N('Dvd Calendar'!$X$953)=0,"",IF(('Dvd Calendar'!$X$953&gt;=GRID_FROM)*('Dvd Calendar'!$X$953&lt;=GRID_TO)*('Dvd Calendar'!$X$953&gt;VAL_DATE)=0,"",'Dvd Calendar'!$X$953*1000000000+ISNUMBER('Dvd Calendar'!$X$954)*100000000+0*10000000+(N('Dvd Calendar'!$X$952)&gt;0)*(N('Dvd Calendar'!$X$952)&lt;=VAL_SERIAL)*1000000+86*1000+60))</f>
        <v/>
      </c>
      <c r="GM97" s="39">
        <f>IF(N('Dvd Calendar'!$Y$953)=0,"",IF(('Dvd Calendar'!$Y$953&gt;=GRID_FROM)*('Dvd Calendar'!$Y$953&lt;=GRID_TO)*('Dvd Calendar'!$Y$953&gt;VAL_DATE)=0,"",'Dvd Calendar'!$Y$953*1000000000+ISNUMBER('Dvd Calendar'!$Y$954)*100000000+0*10000000+(N('Dvd Calendar'!$Y$952)&gt;0)*(N('Dvd Calendar'!$Y$952)&lt;=VAL_SERIAL)*1000000+86*1000+61))</f>
        <v/>
      </c>
      <c r="GN97" s="39">
        <f>IF(N('Dvd Calendar'!$Z$953)=0,"",IF(('Dvd Calendar'!$Z$953&gt;=GRID_FROM)*('Dvd Calendar'!$Z$953&lt;=GRID_TO)*('Dvd Calendar'!$Z$953&gt;VAL_DATE)=0,"",'Dvd Calendar'!$Z$953*1000000000+ISNUMBER('Dvd Calendar'!$Z$954)*100000000+0*10000000+(N('Dvd Calendar'!$Z$952)&gt;0)*(N('Dvd Calendar'!$Z$952)&lt;=VAL_SERIAL)*1000000+86*1000+62))</f>
        <v/>
      </c>
      <c r="GO97" s="39">
        <f>IF(N('Dvd Calendar'!$AA$953)=0,"",IF(('Dvd Calendar'!$AA$953&gt;=GRID_FROM)*('Dvd Calendar'!$AA$953&lt;=GRID_TO)*('Dvd Calendar'!$AA$953&gt;VAL_DATE)=0,"",'Dvd Calendar'!$AA$953*1000000000+ISNUMBER('Dvd Calendar'!$AA$954)*100000000+0*10000000+(N('Dvd Calendar'!$AA$952)&gt;0)*(N('Dvd Calendar'!$AA$952)&lt;=VAL_SERIAL)*1000000+86*1000+63))</f>
        <v/>
      </c>
      <c r="GP97" s="39">
        <f>IF(N('Dvd Calendar'!$AB$953)=0,"",IF(('Dvd Calendar'!$AB$953&gt;=GRID_FROM)*('Dvd Calendar'!$AB$953&lt;=GRID_TO)*('Dvd Calendar'!$AB$953&gt;VAL_DATE)=0,"",'Dvd Calendar'!$AB$953*1000000000+ISNUMBER('Dvd Calendar'!$AB$954)*100000000+0*10000000+(N('Dvd Calendar'!$AB$952)&gt;0)*(N('Dvd Calendar'!$AB$952)&lt;=VAL_SERIAL)*1000000+86*1000+64))</f>
        <v/>
      </c>
      <c r="GQ97" s="39">
        <f>IF(N('Dvd Calendar'!$AC$953)=0,"",IF(('Dvd Calendar'!$AC$953&gt;=GRID_FROM)*('Dvd Calendar'!$AC$953&lt;=GRID_TO)*('Dvd Calendar'!$AC$953&gt;VAL_DATE)=0,"",'Dvd Calendar'!$AC$953*1000000000+ISNUMBER('Dvd Calendar'!$AC$954)*100000000+0*10000000+(N('Dvd Calendar'!$AC$952)&gt;0)*(N('Dvd Calendar'!$AC$952)&lt;=VAL_SERIAL)*1000000+86*1000+65))</f>
        <v/>
      </c>
    </row>
    <row r="98">
      <c r="B98" s="2">
        <f>IF(HSI!$C$93="","",HSI!$C$93)</f>
        <v/>
      </c>
      <c r="C98" s="110">
        <f>IF(EE98="","",IF(ISNUMBER('Dvd Calendar'!$E$960)=FALSE,"",IF((('Dvd Calendar'!$E$962=TYPE1)*(TYPE1&lt;&gt;"")+('Dvd Calendar'!$E$962=TYPE2)*(TYPE2&lt;&gt;"")+('Dvd Calendar'!$E$962=TYPE3)*(TYPE3&lt;&gt;"")+('Dvd Calendar'!$E$962=TYPE4)*(TYPE4&lt;&gt;"")+('Dvd Calendar'!$E$962=SPECIAL_LBL)*(INC_SPECIALS="Y"))=0,"",'Dvd Calendar'!$E$960)))</f>
        <v/>
      </c>
      <c r="D98" s="110">
        <f>IF(EF98="","",IF(ISNUMBER('Dvd Calendar'!$F$960)=FALSE,"",IF((('Dvd Calendar'!$F$962=TYPE1)*(TYPE1&lt;&gt;"")+('Dvd Calendar'!$F$962=TYPE2)*(TYPE2&lt;&gt;"")+('Dvd Calendar'!$F$962=TYPE3)*(TYPE3&lt;&gt;"")+('Dvd Calendar'!$F$962=TYPE4)*(TYPE4&lt;&gt;"")+('Dvd Calendar'!$F$962=SPECIAL_LBL)*(INC_SPECIALS="Y"))=0,"",'Dvd Calendar'!$F$960)))</f>
        <v/>
      </c>
      <c r="E98" s="110">
        <f>IF(EG98="","",IF(ISNUMBER('Dvd Calendar'!$G$960)=FALSE,"",IF((('Dvd Calendar'!$G$962=TYPE1)*(TYPE1&lt;&gt;"")+('Dvd Calendar'!$G$962=TYPE2)*(TYPE2&lt;&gt;"")+('Dvd Calendar'!$G$962=TYPE3)*(TYPE3&lt;&gt;"")+('Dvd Calendar'!$G$962=TYPE4)*(TYPE4&lt;&gt;"")+('Dvd Calendar'!$G$962=SPECIAL_LBL)*(INC_SPECIALS="Y"))=0,"",'Dvd Calendar'!$G$960)))</f>
        <v/>
      </c>
      <c r="F98" s="110">
        <f>IF(EH98="","",IF(ISNUMBER('Dvd Calendar'!$H$960)=FALSE,"",IF((('Dvd Calendar'!$H$962=TYPE1)*(TYPE1&lt;&gt;"")+('Dvd Calendar'!$H$962=TYPE2)*(TYPE2&lt;&gt;"")+('Dvd Calendar'!$H$962=TYPE3)*(TYPE3&lt;&gt;"")+('Dvd Calendar'!$H$962=TYPE4)*(TYPE4&lt;&gt;"")+('Dvd Calendar'!$H$962=SPECIAL_LBL)*(INC_SPECIALS="Y"))=0,"",'Dvd Calendar'!$H$960)))</f>
        <v/>
      </c>
      <c r="G98" s="110">
        <f>IF(EI98="","",IF(ISNUMBER('Dvd Calendar'!$I$960)=FALSE,"",IF((('Dvd Calendar'!$I$962=TYPE1)*(TYPE1&lt;&gt;"")+('Dvd Calendar'!$I$962=TYPE2)*(TYPE2&lt;&gt;"")+('Dvd Calendar'!$I$962=TYPE3)*(TYPE3&lt;&gt;"")+('Dvd Calendar'!$I$962=TYPE4)*(TYPE4&lt;&gt;"")+('Dvd Calendar'!$I$962=SPECIAL_LBL)*(INC_SPECIALS="Y"))=0,"",'Dvd Calendar'!$I$960)))</f>
        <v/>
      </c>
      <c r="H98" s="110">
        <f>IF(EJ98="","",IF(ISNUMBER('Dvd Calendar'!$J$960)=FALSE,"",IF((('Dvd Calendar'!$J$962=TYPE1)*(TYPE1&lt;&gt;"")+('Dvd Calendar'!$J$962=TYPE2)*(TYPE2&lt;&gt;"")+('Dvd Calendar'!$J$962=TYPE3)*(TYPE3&lt;&gt;"")+('Dvd Calendar'!$J$962=TYPE4)*(TYPE4&lt;&gt;"")+('Dvd Calendar'!$J$962=SPECIAL_LBL)*(INC_SPECIALS="Y"))=0,"",'Dvd Calendar'!$J$960)))</f>
        <v/>
      </c>
      <c r="I98" s="110">
        <f>IF(EK98="","",IF(ISNUMBER('Dvd Calendar'!$K$960)=FALSE,"",IF((('Dvd Calendar'!$K$962=TYPE1)*(TYPE1&lt;&gt;"")+('Dvd Calendar'!$K$962=TYPE2)*(TYPE2&lt;&gt;"")+('Dvd Calendar'!$K$962=TYPE3)*(TYPE3&lt;&gt;"")+('Dvd Calendar'!$K$962=TYPE4)*(TYPE4&lt;&gt;"")+('Dvd Calendar'!$K$962=SPECIAL_LBL)*(INC_SPECIALS="Y"))=0,"",'Dvd Calendar'!$K$960)))</f>
        <v/>
      </c>
      <c r="J98" s="110">
        <f>IF(EL98="","",IF(ISNUMBER('Dvd Calendar'!$L$960)=FALSE,"",IF((('Dvd Calendar'!$L$962=TYPE1)*(TYPE1&lt;&gt;"")+('Dvd Calendar'!$L$962=TYPE2)*(TYPE2&lt;&gt;"")+('Dvd Calendar'!$L$962=TYPE3)*(TYPE3&lt;&gt;"")+('Dvd Calendar'!$L$962=TYPE4)*(TYPE4&lt;&gt;"")+('Dvd Calendar'!$L$962=SPECIAL_LBL)*(INC_SPECIALS="Y"))=0,"",'Dvd Calendar'!$L$960)))</f>
        <v/>
      </c>
      <c r="K98" s="110">
        <f>IF(EM98="","",IF(ISNUMBER('Dvd Calendar'!$M$960)=FALSE,"",IF((('Dvd Calendar'!$M$962=TYPE1)*(TYPE1&lt;&gt;"")+('Dvd Calendar'!$M$962=TYPE2)*(TYPE2&lt;&gt;"")+('Dvd Calendar'!$M$962=TYPE3)*(TYPE3&lt;&gt;"")+('Dvd Calendar'!$M$962=TYPE4)*(TYPE4&lt;&gt;"")+('Dvd Calendar'!$M$962=SPECIAL_LBL)*(INC_SPECIALS="Y"))=0,"",'Dvd Calendar'!$M$960)))</f>
        <v/>
      </c>
      <c r="L98" s="110">
        <f>IF(EN98="","",IF(ISNUMBER('Dvd Calendar'!$N$960)=FALSE,"",IF((('Dvd Calendar'!$N$962=TYPE1)*(TYPE1&lt;&gt;"")+('Dvd Calendar'!$N$962=TYPE2)*(TYPE2&lt;&gt;"")+('Dvd Calendar'!$N$962=TYPE3)*(TYPE3&lt;&gt;"")+('Dvd Calendar'!$N$962=TYPE4)*(TYPE4&lt;&gt;"")+('Dvd Calendar'!$N$962=SPECIAL_LBL)*(INC_SPECIALS="Y"))=0,"",'Dvd Calendar'!$N$960)))</f>
        <v/>
      </c>
      <c r="M98" s="110">
        <f>IF(EO98="","",IF(ISNUMBER('Dvd Calendar'!$O$960)=FALSE,"",IF((('Dvd Calendar'!$O$962=TYPE1)*(TYPE1&lt;&gt;"")+('Dvd Calendar'!$O$962=TYPE2)*(TYPE2&lt;&gt;"")+('Dvd Calendar'!$O$962=TYPE3)*(TYPE3&lt;&gt;"")+('Dvd Calendar'!$O$962=TYPE4)*(TYPE4&lt;&gt;"")+('Dvd Calendar'!$O$962=SPECIAL_LBL)*(INC_SPECIALS="Y"))=0,"",'Dvd Calendar'!$O$960)))</f>
        <v/>
      </c>
      <c r="N98" s="110">
        <f>IF(EP98="","",IF(ISNUMBER('Dvd Calendar'!$P$960)=FALSE,"",IF((('Dvd Calendar'!$P$962=TYPE1)*(TYPE1&lt;&gt;"")+('Dvd Calendar'!$P$962=TYPE2)*(TYPE2&lt;&gt;"")+('Dvd Calendar'!$P$962=TYPE3)*(TYPE3&lt;&gt;"")+('Dvd Calendar'!$P$962=TYPE4)*(TYPE4&lt;&gt;"")+('Dvd Calendar'!$P$962=SPECIAL_LBL)*(INC_SPECIALS="Y"))=0,"",'Dvd Calendar'!$P$960)))</f>
        <v/>
      </c>
      <c r="O98" s="110">
        <f>IF(EQ98="","",IF(ISNUMBER('Dvd Calendar'!$Q$960)=FALSE,"",IF((('Dvd Calendar'!$Q$962=TYPE1)*(TYPE1&lt;&gt;"")+('Dvd Calendar'!$Q$962=TYPE2)*(TYPE2&lt;&gt;"")+('Dvd Calendar'!$Q$962=TYPE3)*(TYPE3&lt;&gt;"")+('Dvd Calendar'!$Q$962=TYPE4)*(TYPE4&lt;&gt;"")+('Dvd Calendar'!$Q$962=SPECIAL_LBL)*(INC_SPECIALS="Y"))=0,"",'Dvd Calendar'!$Q$960)))</f>
        <v/>
      </c>
      <c r="P98" s="110">
        <f>IF(ER98="","",IF(ISNUMBER('Dvd Calendar'!$R$960)=FALSE,"",IF((('Dvd Calendar'!$R$962=TYPE1)*(TYPE1&lt;&gt;"")+('Dvd Calendar'!$R$962=TYPE2)*(TYPE2&lt;&gt;"")+('Dvd Calendar'!$R$962=TYPE3)*(TYPE3&lt;&gt;"")+('Dvd Calendar'!$R$962=TYPE4)*(TYPE4&lt;&gt;"")+('Dvd Calendar'!$R$962=SPECIAL_LBL)*(INC_SPECIALS="Y"))=0,"",'Dvd Calendar'!$R$960)))</f>
        <v/>
      </c>
      <c r="Q98" s="110">
        <f>IF(ES98="","",IF(ISNUMBER('Dvd Calendar'!$S$960)=FALSE,"",IF((('Dvd Calendar'!$S$962=TYPE1)*(TYPE1&lt;&gt;"")+('Dvd Calendar'!$S$962=TYPE2)*(TYPE2&lt;&gt;"")+('Dvd Calendar'!$S$962=TYPE3)*(TYPE3&lt;&gt;"")+('Dvd Calendar'!$S$962=TYPE4)*(TYPE4&lt;&gt;"")+('Dvd Calendar'!$S$962=SPECIAL_LBL)*(INC_SPECIALS="Y"))=0,"",'Dvd Calendar'!$S$960)))</f>
        <v/>
      </c>
      <c r="R98" s="110">
        <f>IF(ET98="","",IF(ISNUMBER('Dvd Calendar'!$T$960)=FALSE,"",IF((('Dvd Calendar'!$T$962=TYPE1)*(TYPE1&lt;&gt;"")+('Dvd Calendar'!$T$962=TYPE2)*(TYPE2&lt;&gt;"")+('Dvd Calendar'!$T$962=TYPE3)*(TYPE3&lt;&gt;"")+('Dvd Calendar'!$T$962=TYPE4)*(TYPE4&lt;&gt;"")+('Dvd Calendar'!$T$962=SPECIAL_LBL)*(INC_SPECIALS="Y"))=0,"",'Dvd Calendar'!$T$960)))</f>
        <v/>
      </c>
      <c r="S98" s="110">
        <f>IF(EU98="","",IF(ISNUMBER('Dvd Calendar'!$U$960)=FALSE,"",IF((('Dvd Calendar'!$U$962=TYPE1)*(TYPE1&lt;&gt;"")+('Dvd Calendar'!$U$962=TYPE2)*(TYPE2&lt;&gt;"")+('Dvd Calendar'!$U$962=TYPE3)*(TYPE3&lt;&gt;"")+('Dvd Calendar'!$U$962=TYPE4)*(TYPE4&lt;&gt;"")+('Dvd Calendar'!$U$962=SPECIAL_LBL)*(INC_SPECIALS="Y"))=0,"",'Dvd Calendar'!$U$960)))</f>
        <v/>
      </c>
      <c r="T98" s="110">
        <f>IF(EV98="","",IF(ISNUMBER('Dvd Calendar'!$V$960)=FALSE,"",IF((('Dvd Calendar'!$V$962=TYPE1)*(TYPE1&lt;&gt;"")+('Dvd Calendar'!$V$962=TYPE2)*(TYPE2&lt;&gt;"")+('Dvd Calendar'!$V$962=TYPE3)*(TYPE3&lt;&gt;"")+('Dvd Calendar'!$V$962=TYPE4)*(TYPE4&lt;&gt;"")+('Dvd Calendar'!$V$962=SPECIAL_LBL)*(INC_SPECIALS="Y"))=0,"",'Dvd Calendar'!$V$960)))</f>
        <v/>
      </c>
      <c r="U98" s="110">
        <f>IF(EW98="","",IF(ISNUMBER('Dvd Calendar'!$W$960)=FALSE,"",IF((('Dvd Calendar'!$W$962=TYPE1)*(TYPE1&lt;&gt;"")+('Dvd Calendar'!$W$962=TYPE2)*(TYPE2&lt;&gt;"")+('Dvd Calendar'!$W$962=TYPE3)*(TYPE3&lt;&gt;"")+('Dvd Calendar'!$W$962=TYPE4)*(TYPE4&lt;&gt;"")+('Dvd Calendar'!$W$962=SPECIAL_LBL)*(INC_SPECIALS="Y"))=0,"",'Dvd Calendar'!$W$960)))</f>
        <v/>
      </c>
      <c r="V98" s="110">
        <f>IF(EX98="","",IF(ISNUMBER('Dvd Calendar'!$X$960)=FALSE,"",IF((('Dvd Calendar'!$X$962=TYPE1)*(TYPE1&lt;&gt;"")+('Dvd Calendar'!$X$962=TYPE2)*(TYPE2&lt;&gt;"")+('Dvd Calendar'!$X$962=TYPE3)*(TYPE3&lt;&gt;"")+('Dvd Calendar'!$X$962=TYPE4)*(TYPE4&lt;&gt;"")+('Dvd Calendar'!$X$962=SPECIAL_LBL)*(INC_SPECIALS="Y"))=0,"",'Dvd Calendar'!$X$960)))</f>
        <v/>
      </c>
      <c r="W98" s="110">
        <f>IF(EY98="","",IF(ISNUMBER('Dvd Calendar'!$Y$960)=FALSE,"",IF((('Dvd Calendar'!$Y$962=TYPE1)*(TYPE1&lt;&gt;"")+('Dvd Calendar'!$Y$962=TYPE2)*(TYPE2&lt;&gt;"")+('Dvd Calendar'!$Y$962=TYPE3)*(TYPE3&lt;&gt;"")+('Dvd Calendar'!$Y$962=TYPE4)*(TYPE4&lt;&gt;"")+('Dvd Calendar'!$Y$962=SPECIAL_LBL)*(INC_SPECIALS="Y"))=0,"",'Dvd Calendar'!$Y$960)))</f>
        <v/>
      </c>
      <c r="X98" s="110">
        <f>IF(EZ98="","",IF(ISNUMBER('Dvd Calendar'!$Z$960)=FALSE,"",IF((('Dvd Calendar'!$Z$962=TYPE1)*(TYPE1&lt;&gt;"")+('Dvd Calendar'!$Z$962=TYPE2)*(TYPE2&lt;&gt;"")+('Dvd Calendar'!$Z$962=TYPE3)*(TYPE3&lt;&gt;"")+('Dvd Calendar'!$Z$962=TYPE4)*(TYPE4&lt;&gt;"")+('Dvd Calendar'!$Z$962=SPECIAL_LBL)*(INC_SPECIALS="Y"))=0,"",'Dvd Calendar'!$Z$960)))</f>
        <v/>
      </c>
      <c r="Y98" s="110">
        <f>IF(FA98="","",IF(ISNUMBER('Dvd Calendar'!$AA$960)=FALSE,"",IF((('Dvd Calendar'!$AA$962=TYPE1)*(TYPE1&lt;&gt;"")+('Dvd Calendar'!$AA$962=TYPE2)*(TYPE2&lt;&gt;"")+('Dvd Calendar'!$AA$962=TYPE3)*(TYPE3&lt;&gt;"")+('Dvd Calendar'!$AA$962=TYPE4)*(TYPE4&lt;&gt;"")+('Dvd Calendar'!$AA$962=SPECIAL_LBL)*(INC_SPECIALS="Y"))=0,"",'Dvd Calendar'!$AA$960)))</f>
        <v/>
      </c>
      <c r="Z98" s="110">
        <f>IF(FB98="","",IF(ISNUMBER('Dvd Calendar'!$AB$960)=FALSE,"",IF((('Dvd Calendar'!$AB$962=TYPE1)*(TYPE1&lt;&gt;"")+('Dvd Calendar'!$AB$962=TYPE2)*(TYPE2&lt;&gt;"")+('Dvd Calendar'!$AB$962=TYPE3)*(TYPE3&lt;&gt;"")+('Dvd Calendar'!$AB$962=TYPE4)*(TYPE4&lt;&gt;"")+('Dvd Calendar'!$AB$962=SPECIAL_LBL)*(INC_SPECIALS="Y"))=0,"",'Dvd Calendar'!$AB$960)))</f>
        <v/>
      </c>
      <c r="AA98" s="110">
        <f>IF(FC98="","",IF(ISNUMBER('Dvd Calendar'!$AC$960)=FALSE,"",IF((('Dvd Calendar'!$AC$962=TYPE1)*(TYPE1&lt;&gt;"")+('Dvd Calendar'!$AC$962=TYPE2)*(TYPE2&lt;&gt;"")+('Dvd Calendar'!$AC$962=TYPE3)*(TYPE3&lt;&gt;"")+('Dvd Calendar'!$AC$962=TYPE4)*(TYPE4&lt;&gt;"")+('Dvd Calendar'!$AC$962=SPECIAL_LBL)*(INC_SPECIALS="Y"))=0,"",'Dvd Calendar'!$AC$960)))</f>
        <v/>
      </c>
      <c r="AB98" s="110">
        <f>IF(FD98="","",IF(ISNUMBER('Dvd Calendar'!$AD$960)=FALSE,"",IF((('Dvd Calendar'!$AD$962=TYPE1)*(TYPE1&lt;&gt;"")+('Dvd Calendar'!$AD$962=TYPE2)*(TYPE2&lt;&gt;"")+('Dvd Calendar'!$AD$962=TYPE3)*(TYPE3&lt;&gt;"")+('Dvd Calendar'!$AD$962=TYPE4)*(TYPE4&lt;&gt;"")+('Dvd Calendar'!$AD$962=SPECIAL_LBL)*(INC_SPECIALS="Y"))=0,"",'Dvd Calendar'!$AD$960)))</f>
        <v/>
      </c>
      <c r="AC98" s="110">
        <f>IF(FE98="","",IF(ISNUMBER('Dvd Calendar'!$AE$960)=FALSE,"",IF((('Dvd Calendar'!$AE$962=TYPE1)*(TYPE1&lt;&gt;"")+('Dvd Calendar'!$AE$962=TYPE2)*(TYPE2&lt;&gt;"")+('Dvd Calendar'!$AE$962=TYPE3)*(TYPE3&lt;&gt;"")+('Dvd Calendar'!$AE$962=TYPE4)*(TYPE4&lt;&gt;"")+('Dvd Calendar'!$AE$962=SPECIAL_LBL)*(INC_SPECIALS="Y"))=0,"",'Dvd Calendar'!$AE$960)))</f>
        <v/>
      </c>
      <c r="AD98" s="110">
        <f>IF(FF98="","",IF(ISNUMBER('Dvd Calendar'!$AF$960)=FALSE,"",IF((('Dvd Calendar'!$AF$962=TYPE1)*(TYPE1&lt;&gt;"")+('Dvd Calendar'!$AF$962=TYPE2)*(TYPE2&lt;&gt;"")+('Dvd Calendar'!$AF$962=TYPE3)*(TYPE3&lt;&gt;"")+('Dvd Calendar'!$AF$962=TYPE4)*(TYPE4&lt;&gt;"")+('Dvd Calendar'!$AF$962=SPECIAL_LBL)*(INC_SPECIALS="Y"))=0,"",'Dvd Calendar'!$AF$960)))</f>
        <v/>
      </c>
      <c r="AE98" s="110">
        <f>IF(FG98="","",IF(ISNUMBER('Dvd Calendar'!$AG$960)=FALSE,"",IF((('Dvd Calendar'!$AG$962=TYPE1)*(TYPE1&lt;&gt;"")+('Dvd Calendar'!$AG$962=TYPE2)*(TYPE2&lt;&gt;"")+('Dvd Calendar'!$AG$962=TYPE3)*(TYPE3&lt;&gt;"")+('Dvd Calendar'!$AG$962=TYPE4)*(TYPE4&lt;&gt;"")+('Dvd Calendar'!$AG$962=SPECIAL_LBL)*(INC_SPECIALS="Y"))=0,"",'Dvd Calendar'!$AG$960)))</f>
        <v/>
      </c>
      <c r="AF98" s="110">
        <f>IF(FH98="","",IF(ISNUMBER('Dvd Calendar'!$AH$960)=FALSE,"",IF((('Dvd Calendar'!$AH$962=TYPE1)*(TYPE1&lt;&gt;"")+('Dvd Calendar'!$AH$962=TYPE2)*(TYPE2&lt;&gt;"")+('Dvd Calendar'!$AH$962=TYPE3)*(TYPE3&lt;&gt;"")+('Dvd Calendar'!$AH$962=TYPE4)*(TYPE4&lt;&gt;"")+('Dvd Calendar'!$AH$962=SPECIAL_LBL)*(INC_SPECIALS="Y"))=0,"",'Dvd Calendar'!$AH$960)))</f>
        <v/>
      </c>
      <c r="AG98" s="110">
        <f>IF(FI98="","",IF(ISNUMBER('Dvd Calendar'!$AI$960)=FALSE,"",IF((('Dvd Calendar'!$AI$962=TYPE1)*(TYPE1&lt;&gt;"")+('Dvd Calendar'!$AI$962=TYPE2)*(TYPE2&lt;&gt;"")+('Dvd Calendar'!$AI$962=TYPE3)*(TYPE3&lt;&gt;"")+('Dvd Calendar'!$AI$962=TYPE4)*(TYPE4&lt;&gt;"")+('Dvd Calendar'!$AI$962=SPECIAL_LBL)*(INC_SPECIALS="Y"))=0,"",'Dvd Calendar'!$AI$960)))</f>
        <v/>
      </c>
      <c r="AH98" s="110">
        <f>IF(FJ98="","",IF(ISNUMBER('Dvd Calendar'!$AJ$960)=FALSE,"",IF((('Dvd Calendar'!$AJ$962=TYPE1)*(TYPE1&lt;&gt;"")+('Dvd Calendar'!$AJ$962=TYPE2)*(TYPE2&lt;&gt;"")+('Dvd Calendar'!$AJ$962=TYPE3)*(TYPE3&lt;&gt;"")+('Dvd Calendar'!$AJ$962=TYPE4)*(TYPE4&lt;&gt;"")+('Dvd Calendar'!$AJ$962=SPECIAL_LBL)*(INC_SPECIALS="Y"))=0,"",'Dvd Calendar'!$AJ$960)))</f>
        <v/>
      </c>
      <c r="AI98" s="110">
        <f>IF(FK98="","",IF(ISNUMBER('Dvd Calendar'!$AK$960)=FALSE,"",IF((('Dvd Calendar'!$AK$962=TYPE1)*(TYPE1&lt;&gt;"")+('Dvd Calendar'!$AK$962=TYPE2)*(TYPE2&lt;&gt;"")+('Dvd Calendar'!$AK$962=TYPE3)*(TYPE3&lt;&gt;"")+('Dvd Calendar'!$AK$962=TYPE4)*(TYPE4&lt;&gt;"")+('Dvd Calendar'!$AK$962=SPECIAL_LBL)*(INC_SPECIALS="Y"))=0,"",'Dvd Calendar'!$AK$960)))</f>
        <v/>
      </c>
      <c r="AJ98" s="110">
        <f>IF(FL98="","",IF(ISNUMBER('Dvd Calendar'!$AL$960)=FALSE,"",IF((('Dvd Calendar'!$AL$962=TYPE1)*(TYPE1&lt;&gt;"")+('Dvd Calendar'!$AL$962=TYPE2)*(TYPE2&lt;&gt;"")+('Dvd Calendar'!$AL$962=TYPE3)*(TYPE3&lt;&gt;"")+('Dvd Calendar'!$AL$962=TYPE4)*(TYPE4&lt;&gt;"")+('Dvd Calendar'!$AL$962=SPECIAL_LBL)*(INC_SPECIALS="Y"))=0,"",'Dvd Calendar'!$AL$960)))</f>
        <v/>
      </c>
      <c r="AK98" s="110">
        <f>IF(FM98="","",IF(ISNUMBER('Dvd Calendar'!$AM$960)=FALSE,"",IF((('Dvd Calendar'!$AM$962=TYPE1)*(TYPE1&lt;&gt;"")+('Dvd Calendar'!$AM$962=TYPE2)*(TYPE2&lt;&gt;"")+('Dvd Calendar'!$AM$962=TYPE3)*(TYPE3&lt;&gt;"")+('Dvd Calendar'!$AM$962=TYPE4)*(TYPE4&lt;&gt;"")+('Dvd Calendar'!$AM$962=SPECIAL_LBL)*(INC_SPECIALS="Y"))=0,"",'Dvd Calendar'!$AM$960)))</f>
        <v/>
      </c>
      <c r="AL98" s="110">
        <f>IF(FN98="","",IF(ISNUMBER('Dvd Calendar'!$AN$960)=FALSE,"",IF((('Dvd Calendar'!$AN$962=TYPE1)*(TYPE1&lt;&gt;"")+('Dvd Calendar'!$AN$962=TYPE2)*(TYPE2&lt;&gt;"")+('Dvd Calendar'!$AN$962=TYPE3)*(TYPE3&lt;&gt;"")+('Dvd Calendar'!$AN$962=TYPE4)*(TYPE4&lt;&gt;"")+('Dvd Calendar'!$AN$962=SPECIAL_LBL)*(INC_SPECIALS="Y"))=0,"",'Dvd Calendar'!$AN$960)))</f>
        <v/>
      </c>
      <c r="AM98" s="110">
        <f>IF(FO98="","",IF(ISNUMBER('Dvd Calendar'!$AO$960)=FALSE,"",IF((('Dvd Calendar'!$AO$962=TYPE1)*(TYPE1&lt;&gt;"")+('Dvd Calendar'!$AO$962=TYPE2)*(TYPE2&lt;&gt;"")+('Dvd Calendar'!$AO$962=TYPE3)*(TYPE3&lt;&gt;"")+('Dvd Calendar'!$AO$962=TYPE4)*(TYPE4&lt;&gt;"")+('Dvd Calendar'!$AO$962=SPECIAL_LBL)*(INC_SPECIALS="Y"))=0,"",'Dvd Calendar'!$AO$960)))</f>
        <v/>
      </c>
      <c r="AN98" s="110">
        <f>IF(FP98="","",IF(ISNUMBER('Dvd Calendar'!$AP$960)=FALSE,"",IF((('Dvd Calendar'!$AP$962=TYPE1)*(TYPE1&lt;&gt;"")+('Dvd Calendar'!$AP$962=TYPE2)*(TYPE2&lt;&gt;"")+('Dvd Calendar'!$AP$962=TYPE3)*(TYPE3&lt;&gt;"")+('Dvd Calendar'!$AP$962=TYPE4)*(TYPE4&lt;&gt;"")+('Dvd Calendar'!$AP$962=SPECIAL_LBL)*(INC_SPECIALS="Y"))=0,"",'Dvd Calendar'!$AP$960)))</f>
        <v/>
      </c>
      <c r="AO98" s="110">
        <f>IF(FQ98="","",IF(ISNUMBER('Dvd Calendar'!$AQ$960)=FALSE,"",IF((('Dvd Calendar'!$AQ$962=TYPE1)*(TYPE1&lt;&gt;"")+('Dvd Calendar'!$AQ$962=TYPE2)*(TYPE2&lt;&gt;"")+('Dvd Calendar'!$AQ$962=TYPE3)*(TYPE3&lt;&gt;"")+('Dvd Calendar'!$AQ$962=TYPE4)*(TYPE4&lt;&gt;"")+('Dvd Calendar'!$AQ$962=SPECIAL_LBL)*(INC_SPECIALS="Y"))=0,"",'Dvd Calendar'!$AQ$960)))</f>
        <v/>
      </c>
      <c r="AP98" s="110">
        <f>IF(FR98="","",IF(ISNUMBER('Dvd Calendar'!$AR$960)=FALSE,"",IF((('Dvd Calendar'!$AR$962=TYPE1)*(TYPE1&lt;&gt;"")+('Dvd Calendar'!$AR$962=TYPE2)*(TYPE2&lt;&gt;"")+('Dvd Calendar'!$AR$962=TYPE3)*(TYPE3&lt;&gt;"")+('Dvd Calendar'!$AR$962=TYPE4)*(TYPE4&lt;&gt;"")+('Dvd Calendar'!$AR$962=SPECIAL_LBL)*(INC_SPECIALS="Y"))=0,"",'Dvd Calendar'!$AR$960)))</f>
        <v/>
      </c>
      <c r="AQ98" s="110">
        <f>IF(FS98="","",IF(ISNUMBER('Dvd Calendar'!$E$965)=FALSE,"",'Dvd Calendar'!$E$965))</f>
        <v/>
      </c>
      <c r="AR98" s="110">
        <f>IF(FT98="","",IF(ISNUMBER('Dvd Calendar'!$F$965)=FALSE,"",'Dvd Calendar'!$F$965))</f>
        <v/>
      </c>
      <c r="AS98" s="110">
        <f>IF(FU98="","",IF(ISNUMBER('Dvd Calendar'!$G$965)=FALSE,"",'Dvd Calendar'!$G$965))</f>
        <v/>
      </c>
      <c r="AT98" s="110">
        <f>IF(FV98="","",IF(ISNUMBER('Dvd Calendar'!$H$965)=FALSE,"",'Dvd Calendar'!$H$965))</f>
        <v/>
      </c>
      <c r="AU98" s="110">
        <f>IF(FW98="","",IF(ISNUMBER('Dvd Calendar'!$I$965)=FALSE,"",'Dvd Calendar'!$I$965))</f>
        <v/>
      </c>
      <c r="AV98" s="110">
        <f>IF(FX98="","",IF(ISNUMBER('Dvd Calendar'!$J$965)=FALSE,"",'Dvd Calendar'!$J$965))</f>
        <v/>
      </c>
      <c r="AW98" s="110">
        <f>IF(FY98="","",IF(ISNUMBER('Dvd Calendar'!$K$965)=FALSE,"",'Dvd Calendar'!$K$965))</f>
        <v/>
      </c>
      <c r="AX98" s="110">
        <f>IF(FZ98="","",IF(ISNUMBER('Dvd Calendar'!$L$965)=FALSE,"",'Dvd Calendar'!$L$965))</f>
        <v/>
      </c>
      <c r="AY98" s="110">
        <f>IF(GA98="","",IF(ISNUMBER('Dvd Calendar'!$M$965)=FALSE,"",'Dvd Calendar'!$M$965))</f>
        <v/>
      </c>
      <c r="AZ98" s="110">
        <f>IF(GB98="","",IF(ISNUMBER('Dvd Calendar'!$N$965)=FALSE,"",'Dvd Calendar'!$N$965))</f>
        <v/>
      </c>
      <c r="BA98" s="110">
        <f>IF(GC98="","",IF(ISNUMBER('Dvd Calendar'!$O$965)=FALSE,"",'Dvd Calendar'!$O$965))</f>
        <v/>
      </c>
      <c r="BB98" s="110">
        <f>IF(GD98="","",IF(ISNUMBER('Dvd Calendar'!$P$965)=FALSE,"",'Dvd Calendar'!$P$965))</f>
        <v/>
      </c>
      <c r="BC98" s="110">
        <f>IF(GE98="","",IF(ISNUMBER('Dvd Calendar'!$Q$965)=FALSE,"",'Dvd Calendar'!$Q$965))</f>
        <v/>
      </c>
      <c r="BD98" s="110">
        <f>IF(GF98="","",IF(ISNUMBER('Dvd Calendar'!$R$965)=FALSE,"",'Dvd Calendar'!$R$965))</f>
        <v/>
      </c>
      <c r="BE98" s="110">
        <f>IF(GG98="","",IF(ISNUMBER('Dvd Calendar'!$S$965)=FALSE,"",'Dvd Calendar'!$S$965))</f>
        <v/>
      </c>
      <c r="BF98" s="110">
        <f>IF(GH98="","",IF(ISNUMBER('Dvd Calendar'!$T$965)=FALSE,"",'Dvd Calendar'!$T$965))</f>
        <v/>
      </c>
      <c r="BG98" s="110">
        <f>IF(GI98="","",IF(ISNUMBER('Dvd Calendar'!$U$965)=FALSE,"",'Dvd Calendar'!$U$965))</f>
        <v/>
      </c>
      <c r="BH98" s="110">
        <f>IF(GJ98="","",IF(ISNUMBER('Dvd Calendar'!$V$965)=FALSE,"",'Dvd Calendar'!$V$965))</f>
        <v/>
      </c>
      <c r="BI98" s="110">
        <f>IF(GK98="","",IF(ISNUMBER('Dvd Calendar'!$W$965)=FALSE,"",'Dvd Calendar'!$W$965))</f>
        <v/>
      </c>
      <c r="BJ98" s="110">
        <f>IF(GL98="","",IF(ISNUMBER('Dvd Calendar'!$X$965)=FALSE,"",'Dvd Calendar'!$X$965))</f>
        <v/>
      </c>
      <c r="BK98" s="110">
        <f>IF(GM98="","",IF(ISNUMBER('Dvd Calendar'!$Y$965)=FALSE,"",'Dvd Calendar'!$Y$965))</f>
        <v/>
      </c>
      <c r="BL98" s="110">
        <f>IF(GN98="","",IF(ISNUMBER('Dvd Calendar'!$Z$965)=FALSE,"",'Dvd Calendar'!$Z$965))</f>
        <v/>
      </c>
      <c r="BM98" s="110">
        <f>IF(GO98="","",IF(ISNUMBER('Dvd Calendar'!$AA$965)=FALSE,"",'Dvd Calendar'!$AA$965))</f>
        <v/>
      </c>
      <c r="BN98" s="110">
        <f>IF(GP98="","",IF(ISNUMBER('Dvd Calendar'!$AB$965)=FALSE,"",'Dvd Calendar'!$AB$965))</f>
        <v/>
      </c>
      <c r="BO98" s="110">
        <f>IF(GQ98="","",IF(ISNUMBER('Dvd Calendar'!$AC$965)=FALSE,"",'Dvd Calendar'!$AC$965))</f>
        <v/>
      </c>
      <c r="BQ98" s="110">
        <f>IF(C98="","",IFERROR(C98*HSI!$B$93*HSI!$G$93/HSI!$B$3,""))</f>
        <v/>
      </c>
      <c r="BR98" s="110">
        <f>IF(D98="","",IFERROR(D98*HSI!$B$93*HSI!$G$93/HSI!$B$3,""))</f>
        <v/>
      </c>
      <c r="BS98" s="110">
        <f>IF(E98="","",IFERROR(E98*HSI!$B$93*HSI!$G$93/HSI!$B$3,""))</f>
        <v/>
      </c>
      <c r="BT98" s="110">
        <f>IF(F98="","",IFERROR(F98*HSI!$B$93*HSI!$G$93/HSI!$B$3,""))</f>
        <v/>
      </c>
      <c r="BU98" s="110">
        <f>IF(G98="","",IFERROR(G98*HSI!$B$93*HSI!$G$93/HSI!$B$3,""))</f>
        <v/>
      </c>
      <c r="BV98" s="110">
        <f>IF(H98="","",IFERROR(H98*HSI!$B$93*HSI!$G$93/HSI!$B$3,""))</f>
        <v/>
      </c>
      <c r="BW98" s="110">
        <f>IF(I98="","",IFERROR(I98*HSI!$B$93*HSI!$G$93/HSI!$B$3,""))</f>
        <v/>
      </c>
      <c r="BX98" s="110">
        <f>IF(J98="","",IFERROR(J98*HSI!$B$93*HSI!$G$93/HSI!$B$3,""))</f>
        <v/>
      </c>
      <c r="BY98" s="110">
        <f>IF(K98="","",IFERROR(K98*HSI!$B$93*HSI!$G$93/HSI!$B$3,""))</f>
        <v/>
      </c>
      <c r="BZ98" s="110">
        <f>IF(L98="","",IFERROR(L98*HSI!$B$93*HSI!$G$93/HSI!$B$3,""))</f>
        <v/>
      </c>
      <c r="CA98" s="110">
        <f>IF(M98="","",IFERROR(M98*HSI!$B$93*HSI!$G$93/HSI!$B$3,""))</f>
        <v/>
      </c>
      <c r="CB98" s="110">
        <f>IF(N98="","",IFERROR(N98*HSI!$B$93*HSI!$G$93/HSI!$B$3,""))</f>
        <v/>
      </c>
      <c r="CC98" s="110">
        <f>IF(O98="","",IFERROR(O98*HSI!$B$93*HSI!$G$93/HSI!$B$3,""))</f>
        <v/>
      </c>
      <c r="CD98" s="110">
        <f>IF(P98="","",IFERROR(P98*HSI!$B$93*HSI!$G$93/HSI!$B$3,""))</f>
        <v/>
      </c>
      <c r="CE98" s="110">
        <f>IF(Q98="","",IFERROR(Q98*HSI!$B$93*HSI!$G$93/HSI!$B$3,""))</f>
        <v/>
      </c>
      <c r="CF98" s="110">
        <f>IF(R98="","",IFERROR(R98*HSI!$B$93*HSI!$G$93/HSI!$B$3,""))</f>
        <v/>
      </c>
      <c r="CG98" s="110">
        <f>IF(S98="","",IFERROR(S98*HSI!$B$93*HSI!$G$93/HSI!$B$3,""))</f>
        <v/>
      </c>
      <c r="CH98" s="110">
        <f>IF(T98="","",IFERROR(T98*HSI!$B$93*HSI!$G$93/HSI!$B$3,""))</f>
        <v/>
      </c>
      <c r="CI98" s="110">
        <f>IF(U98="","",IFERROR(U98*HSI!$B$93*HSI!$G$93/HSI!$B$3,""))</f>
        <v/>
      </c>
      <c r="CJ98" s="110">
        <f>IF(V98="","",IFERROR(V98*HSI!$B$93*HSI!$G$93/HSI!$B$3,""))</f>
        <v/>
      </c>
      <c r="CK98" s="110">
        <f>IF(W98="","",IFERROR(W98*HSI!$B$93*HSI!$G$93/HSI!$B$3,""))</f>
        <v/>
      </c>
      <c r="CL98" s="110">
        <f>IF(X98="","",IFERROR(X98*HSI!$B$93*HSI!$G$93/HSI!$B$3,""))</f>
        <v/>
      </c>
      <c r="CM98" s="110">
        <f>IF(Y98="","",IFERROR(Y98*HSI!$B$93*HSI!$G$93/HSI!$B$3,""))</f>
        <v/>
      </c>
      <c r="CN98" s="110">
        <f>IF(Z98="","",IFERROR(Z98*HSI!$B$93*HSI!$G$93/HSI!$B$3,""))</f>
        <v/>
      </c>
      <c r="CO98" s="110">
        <f>IF(AA98="","",IFERROR(AA98*HSI!$B$93*HSI!$G$93/HSI!$B$3,""))</f>
        <v/>
      </c>
      <c r="CP98" s="110">
        <f>IF(AB98="","",IFERROR(AB98*HSI!$B$93*HSI!$G$93/HSI!$B$3,""))</f>
        <v/>
      </c>
      <c r="CQ98" s="110">
        <f>IF(AC98="","",IFERROR(AC98*HSI!$B$93*HSI!$G$93/HSI!$B$3,""))</f>
        <v/>
      </c>
      <c r="CR98" s="110">
        <f>IF(AD98="","",IFERROR(AD98*HSI!$B$93*HSI!$G$93/HSI!$B$3,""))</f>
        <v/>
      </c>
      <c r="CS98" s="110">
        <f>IF(AE98="","",IFERROR(AE98*HSI!$B$93*HSI!$G$93/HSI!$B$3,""))</f>
        <v/>
      </c>
      <c r="CT98" s="110">
        <f>IF(AF98="","",IFERROR(AF98*HSI!$B$93*HSI!$G$93/HSI!$B$3,""))</f>
        <v/>
      </c>
      <c r="CU98" s="110">
        <f>IF(AG98="","",IFERROR(AG98*HSI!$B$93*HSI!$G$93/HSI!$B$3,""))</f>
        <v/>
      </c>
      <c r="CV98" s="110">
        <f>IF(AH98="","",IFERROR(AH98*HSI!$B$93*HSI!$G$93/HSI!$B$3,""))</f>
        <v/>
      </c>
      <c r="CW98" s="110">
        <f>IF(AI98="","",IFERROR(AI98*HSI!$B$93*HSI!$G$93/HSI!$B$3,""))</f>
        <v/>
      </c>
      <c r="CX98" s="110">
        <f>IF(AJ98="","",IFERROR(AJ98*HSI!$B$93*HSI!$G$93/HSI!$B$3,""))</f>
        <v/>
      </c>
      <c r="CY98" s="110">
        <f>IF(AK98="","",IFERROR(AK98*HSI!$B$93*HSI!$G$93/HSI!$B$3,""))</f>
        <v/>
      </c>
      <c r="CZ98" s="110">
        <f>IF(AL98="","",IFERROR(AL98*HSI!$B$93*HSI!$G$93/HSI!$B$3,""))</f>
        <v/>
      </c>
      <c r="DA98" s="110">
        <f>IF(AM98="","",IFERROR(AM98*HSI!$B$93*HSI!$G$93/HSI!$B$3,""))</f>
        <v/>
      </c>
      <c r="DB98" s="110">
        <f>IF(AN98="","",IFERROR(AN98*HSI!$B$93*HSI!$G$93/HSI!$B$3,""))</f>
        <v/>
      </c>
      <c r="DC98" s="110">
        <f>IF(AO98="","",IFERROR(AO98*HSI!$B$93*HSI!$G$93/HSI!$B$3,""))</f>
        <v/>
      </c>
      <c r="DD98" s="110">
        <f>IF(AP98="","",IFERROR(AP98*HSI!$B$93*HSI!$G$93/HSI!$B$3,""))</f>
        <v/>
      </c>
      <c r="DE98" s="110">
        <f>IF(AQ98="","",IFERROR(AQ98*HSI!$B$93*HSI!$G$93/HSI!$B$3,""))</f>
        <v/>
      </c>
      <c r="DF98" s="110">
        <f>IF(AR98="","",IFERROR(AR98*HSI!$B$93*HSI!$G$93/HSI!$B$3,""))</f>
        <v/>
      </c>
      <c r="DG98" s="110">
        <f>IF(AS98="","",IFERROR(AS98*HSI!$B$93*HSI!$G$93/HSI!$B$3,""))</f>
        <v/>
      </c>
      <c r="DH98" s="110">
        <f>IF(AT98="","",IFERROR(AT98*HSI!$B$93*HSI!$G$93/HSI!$B$3,""))</f>
        <v/>
      </c>
      <c r="DI98" s="110">
        <f>IF(AU98="","",IFERROR(AU98*HSI!$B$93*HSI!$G$93/HSI!$B$3,""))</f>
        <v/>
      </c>
      <c r="DJ98" s="110">
        <f>IF(AV98="","",IFERROR(AV98*HSI!$B$93*HSI!$G$93/HSI!$B$3,""))</f>
        <v/>
      </c>
      <c r="DK98" s="110">
        <f>IF(AW98="","",IFERROR(AW98*HSI!$B$93*HSI!$G$93/HSI!$B$3,""))</f>
        <v/>
      </c>
      <c r="DL98" s="110">
        <f>IF(AX98="","",IFERROR(AX98*HSI!$B$93*HSI!$G$93/HSI!$B$3,""))</f>
        <v/>
      </c>
      <c r="DM98" s="110">
        <f>IF(AY98="","",IFERROR(AY98*HSI!$B$93*HSI!$G$93/HSI!$B$3,""))</f>
        <v/>
      </c>
      <c r="DN98" s="110">
        <f>IF(AZ98="","",IFERROR(AZ98*HSI!$B$93*HSI!$G$93/HSI!$B$3,""))</f>
        <v/>
      </c>
      <c r="DO98" s="110">
        <f>IF(BA98="","",IFERROR(BA98*HSI!$B$93*HSI!$G$93/HSI!$B$3,""))</f>
        <v/>
      </c>
      <c r="DP98" s="110">
        <f>IF(BB98="","",IFERROR(BB98*HSI!$B$93*HSI!$G$93/HSI!$B$3,""))</f>
        <v/>
      </c>
      <c r="DQ98" s="110">
        <f>IF(BC98="","",IFERROR(BC98*HSI!$B$93*HSI!$G$93/HSI!$B$3,""))</f>
        <v/>
      </c>
      <c r="DR98" s="110">
        <f>IF(BD98="","",IFERROR(BD98*HSI!$B$93*HSI!$G$93/HSI!$B$3,""))</f>
        <v/>
      </c>
      <c r="DS98" s="110">
        <f>IF(BE98="","",IFERROR(BE98*HSI!$B$93*HSI!$G$93/HSI!$B$3,""))</f>
        <v/>
      </c>
      <c r="DT98" s="110">
        <f>IF(BF98="","",IFERROR(BF98*HSI!$B$93*HSI!$G$93/HSI!$B$3,""))</f>
        <v/>
      </c>
      <c r="DU98" s="110">
        <f>IF(BG98="","",IFERROR(BG98*HSI!$B$93*HSI!$G$93/HSI!$B$3,""))</f>
        <v/>
      </c>
      <c r="DV98" s="110">
        <f>IF(BH98="","",IFERROR(BH98*HSI!$B$93*HSI!$G$93/HSI!$B$3,""))</f>
        <v/>
      </c>
      <c r="DW98" s="110">
        <f>IF(BI98="","",IFERROR(BI98*HSI!$B$93*HSI!$G$93/HSI!$B$3,""))</f>
        <v/>
      </c>
      <c r="DX98" s="110">
        <f>IF(BJ98="","",IFERROR(BJ98*HSI!$B$93*HSI!$G$93/HSI!$B$3,""))</f>
        <v/>
      </c>
      <c r="DY98" s="110">
        <f>IF(BK98="","",IFERROR(BK98*HSI!$B$93*HSI!$G$93/HSI!$B$3,""))</f>
        <v/>
      </c>
      <c r="DZ98" s="110">
        <f>IF(BL98="","",IFERROR(BL98*HSI!$B$93*HSI!$G$93/HSI!$B$3,""))</f>
        <v/>
      </c>
      <c r="EA98" s="110">
        <f>IF(BM98="","",IFERROR(BM98*HSI!$B$93*HSI!$G$93/HSI!$B$3,""))</f>
        <v/>
      </c>
      <c r="EB98" s="110">
        <f>IF(BN98="","",IFERROR(BN98*HSI!$B$93*HSI!$G$93/HSI!$B$3,""))</f>
        <v/>
      </c>
      <c r="EC98" s="110">
        <f>IF(BO98="","",IFERROR(BO98*HSI!$B$93*HSI!$G$93/HSI!$B$3,""))</f>
        <v/>
      </c>
      <c r="EE98" s="39">
        <f>IF(N('Dvd Calendar'!$E$957)=0,"",IF(('Dvd Calendar'!$E$957&gt;=GRID_FROM)*('Dvd Calendar'!$E$957&lt;=GRID_TO)*((('Dvd Calendar'!$E$957&lt;=VAL_DATE)+(COUNTIF('Dvd Calendar'!$E$964:$AR$964,'Dvd Calendar'!$E$957)=0))&gt;0)=0,"",'Dvd Calendar'!$E$957*1000000000+ISNUMBER('Dvd Calendar'!$E$960)*100000000+('Dvd Calendar'!$E$962=SPECIAL_LBL)*10000000+(N('Dvd Calendar'!$E$956)&gt;0)*(N('Dvd Calendar'!$E$956)&lt;=VAL_SERIAL)*1000000+87*1000+1))</f>
        <v/>
      </c>
      <c r="EF98" s="39">
        <f>IF(N('Dvd Calendar'!$F$957)=0,"",IF(('Dvd Calendar'!$F$957&gt;=GRID_FROM)*('Dvd Calendar'!$F$957&lt;=GRID_TO)*((('Dvd Calendar'!$F$957&lt;=VAL_DATE)+(COUNTIF('Dvd Calendar'!$E$964:$AR$964,'Dvd Calendar'!$F$957)=0))&gt;0)=0,"",'Dvd Calendar'!$F$957*1000000000+ISNUMBER('Dvd Calendar'!$F$960)*100000000+('Dvd Calendar'!$F$962=SPECIAL_LBL)*10000000+(N('Dvd Calendar'!$F$956)&gt;0)*(N('Dvd Calendar'!$F$956)&lt;=VAL_SERIAL)*1000000+87*1000+2))</f>
        <v/>
      </c>
      <c r="EG98" s="39">
        <f>IF(N('Dvd Calendar'!$G$957)=0,"",IF(('Dvd Calendar'!$G$957&gt;=GRID_FROM)*('Dvd Calendar'!$G$957&lt;=GRID_TO)*((('Dvd Calendar'!$G$957&lt;=VAL_DATE)+(COUNTIF('Dvd Calendar'!$E$964:$AR$964,'Dvd Calendar'!$G$957)=0))&gt;0)=0,"",'Dvd Calendar'!$G$957*1000000000+ISNUMBER('Dvd Calendar'!$G$960)*100000000+('Dvd Calendar'!$G$962=SPECIAL_LBL)*10000000+(N('Dvd Calendar'!$G$956)&gt;0)*(N('Dvd Calendar'!$G$956)&lt;=VAL_SERIAL)*1000000+87*1000+3))</f>
        <v/>
      </c>
      <c r="EH98" s="39">
        <f>IF(N('Dvd Calendar'!$H$957)=0,"",IF(('Dvd Calendar'!$H$957&gt;=GRID_FROM)*('Dvd Calendar'!$H$957&lt;=GRID_TO)*((('Dvd Calendar'!$H$957&lt;=VAL_DATE)+(COUNTIF('Dvd Calendar'!$E$964:$AR$964,'Dvd Calendar'!$H$957)=0))&gt;0)=0,"",'Dvd Calendar'!$H$957*1000000000+ISNUMBER('Dvd Calendar'!$H$960)*100000000+('Dvd Calendar'!$H$962=SPECIAL_LBL)*10000000+(N('Dvd Calendar'!$H$956)&gt;0)*(N('Dvd Calendar'!$H$956)&lt;=VAL_SERIAL)*1000000+87*1000+4))</f>
        <v/>
      </c>
      <c r="EI98" s="39">
        <f>IF(N('Dvd Calendar'!$I$957)=0,"",IF(('Dvd Calendar'!$I$957&gt;=GRID_FROM)*('Dvd Calendar'!$I$957&lt;=GRID_TO)*((('Dvd Calendar'!$I$957&lt;=VAL_DATE)+(COUNTIF('Dvd Calendar'!$E$964:$AR$964,'Dvd Calendar'!$I$957)=0))&gt;0)=0,"",'Dvd Calendar'!$I$957*1000000000+ISNUMBER('Dvd Calendar'!$I$960)*100000000+('Dvd Calendar'!$I$962=SPECIAL_LBL)*10000000+(N('Dvd Calendar'!$I$956)&gt;0)*(N('Dvd Calendar'!$I$956)&lt;=VAL_SERIAL)*1000000+87*1000+5))</f>
        <v/>
      </c>
      <c r="EJ98" s="39">
        <f>IF(N('Dvd Calendar'!$J$957)=0,"",IF(('Dvd Calendar'!$J$957&gt;=GRID_FROM)*('Dvd Calendar'!$J$957&lt;=GRID_TO)*((('Dvd Calendar'!$J$957&lt;=VAL_DATE)+(COUNTIF('Dvd Calendar'!$E$964:$AR$964,'Dvd Calendar'!$J$957)=0))&gt;0)=0,"",'Dvd Calendar'!$J$957*1000000000+ISNUMBER('Dvd Calendar'!$J$960)*100000000+('Dvd Calendar'!$J$962=SPECIAL_LBL)*10000000+(N('Dvd Calendar'!$J$956)&gt;0)*(N('Dvd Calendar'!$J$956)&lt;=VAL_SERIAL)*1000000+87*1000+6))</f>
        <v/>
      </c>
      <c r="EK98" s="39">
        <f>IF(N('Dvd Calendar'!$K$957)=0,"",IF(('Dvd Calendar'!$K$957&gt;=GRID_FROM)*('Dvd Calendar'!$K$957&lt;=GRID_TO)*((('Dvd Calendar'!$K$957&lt;=VAL_DATE)+(COUNTIF('Dvd Calendar'!$E$964:$AR$964,'Dvd Calendar'!$K$957)=0))&gt;0)=0,"",'Dvd Calendar'!$K$957*1000000000+ISNUMBER('Dvd Calendar'!$K$960)*100000000+('Dvd Calendar'!$K$962=SPECIAL_LBL)*10000000+(N('Dvd Calendar'!$K$956)&gt;0)*(N('Dvd Calendar'!$K$956)&lt;=VAL_SERIAL)*1000000+87*1000+7))</f>
        <v/>
      </c>
      <c r="EL98" s="39">
        <f>IF(N('Dvd Calendar'!$L$957)=0,"",IF(('Dvd Calendar'!$L$957&gt;=GRID_FROM)*('Dvd Calendar'!$L$957&lt;=GRID_TO)*((('Dvd Calendar'!$L$957&lt;=VAL_DATE)+(COUNTIF('Dvd Calendar'!$E$964:$AR$964,'Dvd Calendar'!$L$957)=0))&gt;0)=0,"",'Dvd Calendar'!$L$957*1000000000+ISNUMBER('Dvd Calendar'!$L$960)*100000000+('Dvd Calendar'!$L$962=SPECIAL_LBL)*10000000+(N('Dvd Calendar'!$L$956)&gt;0)*(N('Dvd Calendar'!$L$956)&lt;=VAL_SERIAL)*1000000+87*1000+8))</f>
        <v/>
      </c>
      <c r="EM98" s="39">
        <f>IF(N('Dvd Calendar'!$M$957)=0,"",IF(('Dvd Calendar'!$M$957&gt;=GRID_FROM)*('Dvd Calendar'!$M$957&lt;=GRID_TO)*((('Dvd Calendar'!$M$957&lt;=VAL_DATE)+(COUNTIF('Dvd Calendar'!$E$964:$AR$964,'Dvd Calendar'!$M$957)=0))&gt;0)=0,"",'Dvd Calendar'!$M$957*1000000000+ISNUMBER('Dvd Calendar'!$M$960)*100000000+('Dvd Calendar'!$M$962=SPECIAL_LBL)*10000000+(N('Dvd Calendar'!$M$956)&gt;0)*(N('Dvd Calendar'!$M$956)&lt;=VAL_SERIAL)*1000000+87*1000+9))</f>
        <v/>
      </c>
      <c r="EN98" s="39">
        <f>IF(N('Dvd Calendar'!$N$957)=0,"",IF(('Dvd Calendar'!$N$957&gt;=GRID_FROM)*('Dvd Calendar'!$N$957&lt;=GRID_TO)*((('Dvd Calendar'!$N$957&lt;=VAL_DATE)+(COUNTIF('Dvd Calendar'!$E$964:$AR$964,'Dvd Calendar'!$N$957)=0))&gt;0)=0,"",'Dvd Calendar'!$N$957*1000000000+ISNUMBER('Dvd Calendar'!$N$960)*100000000+('Dvd Calendar'!$N$962=SPECIAL_LBL)*10000000+(N('Dvd Calendar'!$N$956)&gt;0)*(N('Dvd Calendar'!$N$956)&lt;=VAL_SERIAL)*1000000+87*1000+10))</f>
        <v/>
      </c>
      <c r="EO98" s="39">
        <f>IF(N('Dvd Calendar'!$O$957)=0,"",IF(('Dvd Calendar'!$O$957&gt;=GRID_FROM)*('Dvd Calendar'!$O$957&lt;=GRID_TO)*((('Dvd Calendar'!$O$957&lt;=VAL_DATE)+(COUNTIF('Dvd Calendar'!$E$964:$AR$964,'Dvd Calendar'!$O$957)=0))&gt;0)=0,"",'Dvd Calendar'!$O$957*1000000000+ISNUMBER('Dvd Calendar'!$O$960)*100000000+('Dvd Calendar'!$O$962=SPECIAL_LBL)*10000000+(N('Dvd Calendar'!$O$956)&gt;0)*(N('Dvd Calendar'!$O$956)&lt;=VAL_SERIAL)*1000000+87*1000+11))</f>
        <v/>
      </c>
      <c r="EP98" s="39">
        <f>IF(N('Dvd Calendar'!$P$957)=0,"",IF(('Dvd Calendar'!$P$957&gt;=GRID_FROM)*('Dvd Calendar'!$P$957&lt;=GRID_TO)*((('Dvd Calendar'!$P$957&lt;=VAL_DATE)+(COUNTIF('Dvd Calendar'!$E$964:$AR$964,'Dvd Calendar'!$P$957)=0))&gt;0)=0,"",'Dvd Calendar'!$P$957*1000000000+ISNUMBER('Dvd Calendar'!$P$960)*100000000+('Dvd Calendar'!$P$962=SPECIAL_LBL)*10000000+(N('Dvd Calendar'!$P$956)&gt;0)*(N('Dvd Calendar'!$P$956)&lt;=VAL_SERIAL)*1000000+87*1000+12))</f>
        <v/>
      </c>
      <c r="EQ98" s="39">
        <f>IF(N('Dvd Calendar'!$Q$957)=0,"",IF(('Dvd Calendar'!$Q$957&gt;=GRID_FROM)*('Dvd Calendar'!$Q$957&lt;=GRID_TO)*((('Dvd Calendar'!$Q$957&lt;=VAL_DATE)+(COUNTIF('Dvd Calendar'!$E$964:$AR$964,'Dvd Calendar'!$Q$957)=0))&gt;0)=0,"",'Dvd Calendar'!$Q$957*1000000000+ISNUMBER('Dvd Calendar'!$Q$960)*100000000+('Dvd Calendar'!$Q$962=SPECIAL_LBL)*10000000+(N('Dvd Calendar'!$Q$956)&gt;0)*(N('Dvd Calendar'!$Q$956)&lt;=VAL_SERIAL)*1000000+87*1000+13))</f>
        <v/>
      </c>
      <c r="ER98" s="39">
        <f>IF(N('Dvd Calendar'!$R$957)=0,"",IF(('Dvd Calendar'!$R$957&gt;=GRID_FROM)*('Dvd Calendar'!$R$957&lt;=GRID_TO)*((('Dvd Calendar'!$R$957&lt;=VAL_DATE)+(COUNTIF('Dvd Calendar'!$E$964:$AR$964,'Dvd Calendar'!$R$957)=0))&gt;0)=0,"",'Dvd Calendar'!$R$957*1000000000+ISNUMBER('Dvd Calendar'!$R$960)*100000000+('Dvd Calendar'!$R$962=SPECIAL_LBL)*10000000+(N('Dvd Calendar'!$R$956)&gt;0)*(N('Dvd Calendar'!$R$956)&lt;=VAL_SERIAL)*1000000+87*1000+14))</f>
        <v/>
      </c>
      <c r="ES98" s="39">
        <f>IF(N('Dvd Calendar'!$S$957)=0,"",IF(('Dvd Calendar'!$S$957&gt;=GRID_FROM)*('Dvd Calendar'!$S$957&lt;=GRID_TO)*((('Dvd Calendar'!$S$957&lt;=VAL_DATE)+(COUNTIF('Dvd Calendar'!$E$964:$AR$964,'Dvd Calendar'!$S$957)=0))&gt;0)=0,"",'Dvd Calendar'!$S$957*1000000000+ISNUMBER('Dvd Calendar'!$S$960)*100000000+('Dvd Calendar'!$S$962=SPECIAL_LBL)*10000000+(N('Dvd Calendar'!$S$956)&gt;0)*(N('Dvd Calendar'!$S$956)&lt;=VAL_SERIAL)*1000000+87*1000+15))</f>
        <v/>
      </c>
      <c r="ET98" s="39">
        <f>IF(N('Dvd Calendar'!$T$957)=0,"",IF(('Dvd Calendar'!$T$957&gt;=GRID_FROM)*('Dvd Calendar'!$T$957&lt;=GRID_TO)*((('Dvd Calendar'!$T$957&lt;=VAL_DATE)+(COUNTIF('Dvd Calendar'!$E$964:$AR$964,'Dvd Calendar'!$T$957)=0))&gt;0)=0,"",'Dvd Calendar'!$T$957*1000000000+ISNUMBER('Dvd Calendar'!$T$960)*100000000+('Dvd Calendar'!$T$962=SPECIAL_LBL)*10000000+(N('Dvd Calendar'!$T$956)&gt;0)*(N('Dvd Calendar'!$T$956)&lt;=VAL_SERIAL)*1000000+87*1000+16))</f>
        <v/>
      </c>
      <c r="EU98" s="39">
        <f>IF(N('Dvd Calendar'!$U$957)=0,"",IF(('Dvd Calendar'!$U$957&gt;=GRID_FROM)*('Dvd Calendar'!$U$957&lt;=GRID_TO)*((('Dvd Calendar'!$U$957&lt;=VAL_DATE)+(COUNTIF('Dvd Calendar'!$E$964:$AR$964,'Dvd Calendar'!$U$957)=0))&gt;0)=0,"",'Dvd Calendar'!$U$957*1000000000+ISNUMBER('Dvd Calendar'!$U$960)*100000000+('Dvd Calendar'!$U$962=SPECIAL_LBL)*10000000+(N('Dvd Calendar'!$U$956)&gt;0)*(N('Dvd Calendar'!$U$956)&lt;=VAL_SERIAL)*1000000+87*1000+17))</f>
        <v/>
      </c>
      <c r="EV98" s="39">
        <f>IF(N('Dvd Calendar'!$V$957)=0,"",IF(('Dvd Calendar'!$V$957&gt;=GRID_FROM)*('Dvd Calendar'!$V$957&lt;=GRID_TO)*((('Dvd Calendar'!$V$957&lt;=VAL_DATE)+(COUNTIF('Dvd Calendar'!$E$964:$AR$964,'Dvd Calendar'!$V$957)=0))&gt;0)=0,"",'Dvd Calendar'!$V$957*1000000000+ISNUMBER('Dvd Calendar'!$V$960)*100000000+('Dvd Calendar'!$V$962=SPECIAL_LBL)*10000000+(N('Dvd Calendar'!$V$956)&gt;0)*(N('Dvd Calendar'!$V$956)&lt;=VAL_SERIAL)*1000000+87*1000+18))</f>
        <v/>
      </c>
      <c r="EW98" s="39">
        <f>IF(N('Dvd Calendar'!$W$957)=0,"",IF(('Dvd Calendar'!$W$957&gt;=GRID_FROM)*('Dvd Calendar'!$W$957&lt;=GRID_TO)*((('Dvd Calendar'!$W$957&lt;=VAL_DATE)+(COUNTIF('Dvd Calendar'!$E$964:$AR$964,'Dvd Calendar'!$W$957)=0))&gt;0)=0,"",'Dvd Calendar'!$W$957*1000000000+ISNUMBER('Dvd Calendar'!$W$960)*100000000+('Dvd Calendar'!$W$962=SPECIAL_LBL)*10000000+(N('Dvd Calendar'!$W$956)&gt;0)*(N('Dvd Calendar'!$W$956)&lt;=VAL_SERIAL)*1000000+87*1000+19))</f>
        <v/>
      </c>
      <c r="EX98" s="39">
        <f>IF(N('Dvd Calendar'!$X$957)=0,"",IF(('Dvd Calendar'!$X$957&gt;=GRID_FROM)*('Dvd Calendar'!$X$957&lt;=GRID_TO)*((('Dvd Calendar'!$X$957&lt;=VAL_DATE)+(COUNTIF('Dvd Calendar'!$E$964:$AR$964,'Dvd Calendar'!$X$957)=0))&gt;0)=0,"",'Dvd Calendar'!$X$957*1000000000+ISNUMBER('Dvd Calendar'!$X$960)*100000000+('Dvd Calendar'!$X$962=SPECIAL_LBL)*10000000+(N('Dvd Calendar'!$X$956)&gt;0)*(N('Dvd Calendar'!$X$956)&lt;=VAL_SERIAL)*1000000+87*1000+20))</f>
        <v/>
      </c>
      <c r="EY98" s="39">
        <f>IF(N('Dvd Calendar'!$Y$957)=0,"",IF(('Dvd Calendar'!$Y$957&gt;=GRID_FROM)*('Dvd Calendar'!$Y$957&lt;=GRID_TO)*((('Dvd Calendar'!$Y$957&lt;=VAL_DATE)+(COUNTIF('Dvd Calendar'!$E$964:$AR$964,'Dvd Calendar'!$Y$957)=0))&gt;0)=0,"",'Dvd Calendar'!$Y$957*1000000000+ISNUMBER('Dvd Calendar'!$Y$960)*100000000+('Dvd Calendar'!$Y$962=SPECIAL_LBL)*10000000+(N('Dvd Calendar'!$Y$956)&gt;0)*(N('Dvd Calendar'!$Y$956)&lt;=VAL_SERIAL)*1000000+87*1000+21))</f>
        <v/>
      </c>
      <c r="EZ98" s="39">
        <f>IF(N('Dvd Calendar'!$Z$957)=0,"",IF(('Dvd Calendar'!$Z$957&gt;=GRID_FROM)*('Dvd Calendar'!$Z$957&lt;=GRID_TO)*((('Dvd Calendar'!$Z$957&lt;=VAL_DATE)+(COUNTIF('Dvd Calendar'!$E$964:$AR$964,'Dvd Calendar'!$Z$957)=0))&gt;0)=0,"",'Dvd Calendar'!$Z$957*1000000000+ISNUMBER('Dvd Calendar'!$Z$960)*100000000+('Dvd Calendar'!$Z$962=SPECIAL_LBL)*10000000+(N('Dvd Calendar'!$Z$956)&gt;0)*(N('Dvd Calendar'!$Z$956)&lt;=VAL_SERIAL)*1000000+87*1000+22))</f>
        <v/>
      </c>
      <c r="FA98" s="39">
        <f>IF(N('Dvd Calendar'!$AA$957)=0,"",IF(('Dvd Calendar'!$AA$957&gt;=GRID_FROM)*('Dvd Calendar'!$AA$957&lt;=GRID_TO)*((('Dvd Calendar'!$AA$957&lt;=VAL_DATE)+(COUNTIF('Dvd Calendar'!$E$964:$AR$964,'Dvd Calendar'!$AA$957)=0))&gt;0)=0,"",'Dvd Calendar'!$AA$957*1000000000+ISNUMBER('Dvd Calendar'!$AA$960)*100000000+('Dvd Calendar'!$AA$962=SPECIAL_LBL)*10000000+(N('Dvd Calendar'!$AA$956)&gt;0)*(N('Dvd Calendar'!$AA$956)&lt;=VAL_SERIAL)*1000000+87*1000+23))</f>
        <v/>
      </c>
      <c r="FB98" s="39">
        <f>IF(N('Dvd Calendar'!$AB$957)=0,"",IF(('Dvd Calendar'!$AB$957&gt;=GRID_FROM)*('Dvd Calendar'!$AB$957&lt;=GRID_TO)*((('Dvd Calendar'!$AB$957&lt;=VAL_DATE)+(COUNTIF('Dvd Calendar'!$E$964:$AR$964,'Dvd Calendar'!$AB$957)=0))&gt;0)=0,"",'Dvd Calendar'!$AB$957*1000000000+ISNUMBER('Dvd Calendar'!$AB$960)*100000000+('Dvd Calendar'!$AB$962=SPECIAL_LBL)*10000000+(N('Dvd Calendar'!$AB$956)&gt;0)*(N('Dvd Calendar'!$AB$956)&lt;=VAL_SERIAL)*1000000+87*1000+24))</f>
        <v/>
      </c>
      <c r="FC98" s="39">
        <f>IF(N('Dvd Calendar'!$AC$957)=0,"",IF(('Dvd Calendar'!$AC$957&gt;=GRID_FROM)*('Dvd Calendar'!$AC$957&lt;=GRID_TO)*((('Dvd Calendar'!$AC$957&lt;=VAL_DATE)+(COUNTIF('Dvd Calendar'!$E$964:$AR$964,'Dvd Calendar'!$AC$957)=0))&gt;0)=0,"",'Dvd Calendar'!$AC$957*1000000000+ISNUMBER('Dvd Calendar'!$AC$960)*100000000+('Dvd Calendar'!$AC$962=SPECIAL_LBL)*10000000+(N('Dvd Calendar'!$AC$956)&gt;0)*(N('Dvd Calendar'!$AC$956)&lt;=VAL_SERIAL)*1000000+87*1000+25))</f>
        <v/>
      </c>
      <c r="FD98" s="39">
        <f>IF(N('Dvd Calendar'!$AD$957)=0,"",IF(('Dvd Calendar'!$AD$957&gt;=GRID_FROM)*('Dvd Calendar'!$AD$957&lt;=GRID_TO)*((('Dvd Calendar'!$AD$957&lt;=VAL_DATE)+(COUNTIF('Dvd Calendar'!$E$964:$AR$964,'Dvd Calendar'!$AD$957)=0))&gt;0)=0,"",'Dvd Calendar'!$AD$957*1000000000+ISNUMBER('Dvd Calendar'!$AD$960)*100000000+('Dvd Calendar'!$AD$962=SPECIAL_LBL)*10000000+(N('Dvd Calendar'!$AD$956)&gt;0)*(N('Dvd Calendar'!$AD$956)&lt;=VAL_SERIAL)*1000000+87*1000+26))</f>
        <v/>
      </c>
      <c r="FE98" s="39">
        <f>IF(N('Dvd Calendar'!$AE$957)=0,"",IF(('Dvd Calendar'!$AE$957&gt;=GRID_FROM)*('Dvd Calendar'!$AE$957&lt;=GRID_TO)*((('Dvd Calendar'!$AE$957&lt;=VAL_DATE)+(COUNTIF('Dvd Calendar'!$E$964:$AR$964,'Dvd Calendar'!$AE$957)=0))&gt;0)=0,"",'Dvd Calendar'!$AE$957*1000000000+ISNUMBER('Dvd Calendar'!$AE$960)*100000000+('Dvd Calendar'!$AE$962=SPECIAL_LBL)*10000000+(N('Dvd Calendar'!$AE$956)&gt;0)*(N('Dvd Calendar'!$AE$956)&lt;=VAL_SERIAL)*1000000+87*1000+27))</f>
        <v/>
      </c>
      <c r="FF98" s="39">
        <f>IF(N('Dvd Calendar'!$AF$957)=0,"",IF(('Dvd Calendar'!$AF$957&gt;=GRID_FROM)*('Dvd Calendar'!$AF$957&lt;=GRID_TO)*((('Dvd Calendar'!$AF$957&lt;=VAL_DATE)+(COUNTIF('Dvd Calendar'!$E$964:$AR$964,'Dvd Calendar'!$AF$957)=0))&gt;0)=0,"",'Dvd Calendar'!$AF$957*1000000000+ISNUMBER('Dvd Calendar'!$AF$960)*100000000+('Dvd Calendar'!$AF$962=SPECIAL_LBL)*10000000+(N('Dvd Calendar'!$AF$956)&gt;0)*(N('Dvd Calendar'!$AF$956)&lt;=VAL_SERIAL)*1000000+87*1000+28))</f>
        <v/>
      </c>
      <c r="FG98" s="39">
        <f>IF(N('Dvd Calendar'!$AG$957)=0,"",IF(('Dvd Calendar'!$AG$957&gt;=GRID_FROM)*('Dvd Calendar'!$AG$957&lt;=GRID_TO)*((('Dvd Calendar'!$AG$957&lt;=VAL_DATE)+(COUNTIF('Dvd Calendar'!$E$964:$AR$964,'Dvd Calendar'!$AG$957)=0))&gt;0)=0,"",'Dvd Calendar'!$AG$957*1000000000+ISNUMBER('Dvd Calendar'!$AG$960)*100000000+('Dvd Calendar'!$AG$962=SPECIAL_LBL)*10000000+(N('Dvd Calendar'!$AG$956)&gt;0)*(N('Dvd Calendar'!$AG$956)&lt;=VAL_SERIAL)*1000000+87*1000+29))</f>
        <v/>
      </c>
      <c r="FH98" s="39">
        <f>IF(N('Dvd Calendar'!$AH$957)=0,"",IF(('Dvd Calendar'!$AH$957&gt;=GRID_FROM)*('Dvd Calendar'!$AH$957&lt;=GRID_TO)*((('Dvd Calendar'!$AH$957&lt;=VAL_DATE)+(COUNTIF('Dvd Calendar'!$E$964:$AR$964,'Dvd Calendar'!$AH$957)=0))&gt;0)=0,"",'Dvd Calendar'!$AH$957*1000000000+ISNUMBER('Dvd Calendar'!$AH$960)*100000000+('Dvd Calendar'!$AH$962=SPECIAL_LBL)*10000000+(N('Dvd Calendar'!$AH$956)&gt;0)*(N('Dvd Calendar'!$AH$956)&lt;=VAL_SERIAL)*1000000+87*1000+30))</f>
        <v/>
      </c>
      <c r="FI98" s="39">
        <f>IF(N('Dvd Calendar'!$AI$957)=0,"",IF(('Dvd Calendar'!$AI$957&gt;=GRID_FROM)*('Dvd Calendar'!$AI$957&lt;=GRID_TO)*((('Dvd Calendar'!$AI$957&lt;=VAL_DATE)+(COUNTIF('Dvd Calendar'!$E$964:$AR$964,'Dvd Calendar'!$AI$957)=0))&gt;0)=0,"",'Dvd Calendar'!$AI$957*1000000000+ISNUMBER('Dvd Calendar'!$AI$960)*100000000+('Dvd Calendar'!$AI$962=SPECIAL_LBL)*10000000+(N('Dvd Calendar'!$AI$956)&gt;0)*(N('Dvd Calendar'!$AI$956)&lt;=VAL_SERIAL)*1000000+87*1000+31))</f>
        <v/>
      </c>
      <c r="FJ98" s="39">
        <f>IF(N('Dvd Calendar'!$AJ$957)=0,"",IF(('Dvd Calendar'!$AJ$957&gt;=GRID_FROM)*('Dvd Calendar'!$AJ$957&lt;=GRID_TO)*((('Dvd Calendar'!$AJ$957&lt;=VAL_DATE)+(COUNTIF('Dvd Calendar'!$E$964:$AR$964,'Dvd Calendar'!$AJ$957)=0))&gt;0)=0,"",'Dvd Calendar'!$AJ$957*1000000000+ISNUMBER('Dvd Calendar'!$AJ$960)*100000000+('Dvd Calendar'!$AJ$962=SPECIAL_LBL)*10000000+(N('Dvd Calendar'!$AJ$956)&gt;0)*(N('Dvd Calendar'!$AJ$956)&lt;=VAL_SERIAL)*1000000+87*1000+32))</f>
        <v/>
      </c>
      <c r="FK98" s="39">
        <f>IF(N('Dvd Calendar'!$AK$957)=0,"",IF(('Dvd Calendar'!$AK$957&gt;=GRID_FROM)*('Dvd Calendar'!$AK$957&lt;=GRID_TO)*((('Dvd Calendar'!$AK$957&lt;=VAL_DATE)+(COUNTIF('Dvd Calendar'!$E$964:$AR$964,'Dvd Calendar'!$AK$957)=0))&gt;0)=0,"",'Dvd Calendar'!$AK$957*1000000000+ISNUMBER('Dvd Calendar'!$AK$960)*100000000+('Dvd Calendar'!$AK$962=SPECIAL_LBL)*10000000+(N('Dvd Calendar'!$AK$956)&gt;0)*(N('Dvd Calendar'!$AK$956)&lt;=VAL_SERIAL)*1000000+87*1000+33))</f>
        <v/>
      </c>
      <c r="FL98" s="39">
        <f>IF(N('Dvd Calendar'!$AL$957)=0,"",IF(('Dvd Calendar'!$AL$957&gt;=GRID_FROM)*('Dvd Calendar'!$AL$957&lt;=GRID_TO)*((('Dvd Calendar'!$AL$957&lt;=VAL_DATE)+(COUNTIF('Dvd Calendar'!$E$964:$AR$964,'Dvd Calendar'!$AL$957)=0))&gt;0)=0,"",'Dvd Calendar'!$AL$957*1000000000+ISNUMBER('Dvd Calendar'!$AL$960)*100000000+('Dvd Calendar'!$AL$962=SPECIAL_LBL)*10000000+(N('Dvd Calendar'!$AL$956)&gt;0)*(N('Dvd Calendar'!$AL$956)&lt;=VAL_SERIAL)*1000000+87*1000+34))</f>
        <v/>
      </c>
      <c r="FM98" s="39">
        <f>IF(N('Dvd Calendar'!$AM$957)=0,"",IF(('Dvd Calendar'!$AM$957&gt;=GRID_FROM)*('Dvd Calendar'!$AM$957&lt;=GRID_TO)*((('Dvd Calendar'!$AM$957&lt;=VAL_DATE)+(COUNTIF('Dvd Calendar'!$E$964:$AR$964,'Dvd Calendar'!$AM$957)=0))&gt;0)=0,"",'Dvd Calendar'!$AM$957*1000000000+ISNUMBER('Dvd Calendar'!$AM$960)*100000000+('Dvd Calendar'!$AM$962=SPECIAL_LBL)*10000000+(N('Dvd Calendar'!$AM$956)&gt;0)*(N('Dvd Calendar'!$AM$956)&lt;=VAL_SERIAL)*1000000+87*1000+35))</f>
        <v/>
      </c>
      <c r="FN98" s="39">
        <f>IF(N('Dvd Calendar'!$AN$957)=0,"",IF(('Dvd Calendar'!$AN$957&gt;=GRID_FROM)*('Dvd Calendar'!$AN$957&lt;=GRID_TO)*((('Dvd Calendar'!$AN$957&lt;=VAL_DATE)+(COUNTIF('Dvd Calendar'!$E$964:$AR$964,'Dvd Calendar'!$AN$957)=0))&gt;0)=0,"",'Dvd Calendar'!$AN$957*1000000000+ISNUMBER('Dvd Calendar'!$AN$960)*100000000+('Dvd Calendar'!$AN$962=SPECIAL_LBL)*10000000+(N('Dvd Calendar'!$AN$956)&gt;0)*(N('Dvd Calendar'!$AN$956)&lt;=VAL_SERIAL)*1000000+87*1000+36))</f>
        <v/>
      </c>
      <c r="FO98" s="39">
        <f>IF(N('Dvd Calendar'!$AO$957)=0,"",IF(('Dvd Calendar'!$AO$957&gt;=GRID_FROM)*('Dvd Calendar'!$AO$957&lt;=GRID_TO)*((('Dvd Calendar'!$AO$957&lt;=VAL_DATE)+(COUNTIF('Dvd Calendar'!$E$964:$AR$964,'Dvd Calendar'!$AO$957)=0))&gt;0)=0,"",'Dvd Calendar'!$AO$957*1000000000+ISNUMBER('Dvd Calendar'!$AO$960)*100000000+('Dvd Calendar'!$AO$962=SPECIAL_LBL)*10000000+(N('Dvd Calendar'!$AO$956)&gt;0)*(N('Dvd Calendar'!$AO$956)&lt;=VAL_SERIAL)*1000000+87*1000+37))</f>
        <v/>
      </c>
      <c r="FP98" s="39">
        <f>IF(N('Dvd Calendar'!$AP$957)=0,"",IF(('Dvd Calendar'!$AP$957&gt;=GRID_FROM)*('Dvd Calendar'!$AP$957&lt;=GRID_TO)*((('Dvd Calendar'!$AP$957&lt;=VAL_DATE)+(COUNTIF('Dvd Calendar'!$E$964:$AR$964,'Dvd Calendar'!$AP$957)=0))&gt;0)=0,"",'Dvd Calendar'!$AP$957*1000000000+ISNUMBER('Dvd Calendar'!$AP$960)*100000000+('Dvd Calendar'!$AP$962=SPECIAL_LBL)*10000000+(N('Dvd Calendar'!$AP$956)&gt;0)*(N('Dvd Calendar'!$AP$956)&lt;=VAL_SERIAL)*1000000+87*1000+38))</f>
        <v/>
      </c>
      <c r="FQ98" s="39">
        <f>IF(N('Dvd Calendar'!$AQ$957)=0,"",IF(('Dvd Calendar'!$AQ$957&gt;=GRID_FROM)*('Dvd Calendar'!$AQ$957&lt;=GRID_TO)*((('Dvd Calendar'!$AQ$957&lt;=VAL_DATE)+(COUNTIF('Dvd Calendar'!$E$964:$AR$964,'Dvd Calendar'!$AQ$957)=0))&gt;0)=0,"",'Dvd Calendar'!$AQ$957*1000000000+ISNUMBER('Dvd Calendar'!$AQ$960)*100000000+('Dvd Calendar'!$AQ$962=SPECIAL_LBL)*10000000+(N('Dvd Calendar'!$AQ$956)&gt;0)*(N('Dvd Calendar'!$AQ$956)&lt;=VAL_SERIAL)*1000000+87*1000+39))</f>
        <v/>
      </c>
      <c r="FR98" s="39">
        <f>IF(N('Dvd Calendar'!$AR$957)=0,"",IF(('Dvd Calendar'!$AR$957&gt;=GRID_FROM)*('Dvd Calendar'!$AR$957&lt;=GRID_TO)*((('Dvd Calendar'!$AR$957&lt;=VAL_DATE)+(COUNTIF('Dvd Calendar'!$E$964:$AR$964,'Dvd Calendar'!$AR$957)=0))&gt;0)=0,"",'Dvd Calendar'!$AR$957*1000000000+ISNUMBER('Dvd Calendar'!$AR$960)*100000000+('Dvd Calendar'!$AR$962=SPECIAL_LBL)*10000000+(N('Dvd Calendar'!$AR$956)&gt;0)*(N('Dvd Calendar'!$AR$956)&lt;=VAL_SERIAL)*1000000+87*1000+40))</f>
        <v/>
      </c>
      <c r="FS98" s="39">
        <f>IF(N('Dvd Calendar'!$E$964)=0,"",IF(('Dvd Calendar'!$E$964&gt;=GRID_FROM)*('Dvd Calendar'!$E$964&lt;=GRID_TO)*('Dvd Calendar'!$E$964&gt;VAL_DATE)=0,"",'Dvd Calendar'!$E$964*1000000000+ISNUMBER('Dvd Calendar'!$E$965)*100000000+0*10000000+(N('Dvd Calendar'!$E$963)&gt;0)*(N('Dvd Calendar'!$E$963)&lt;=VAL_SERIAL)*1000000+87*1000+41))</f>
        <v/>
      </c>
      <c r="FT98" s="39">
        <f>IF(N('Dvd Calendar'!$F$964)=0,"",IF(('Dvd Calendar'!$F$964&gt;=GRID_FROM)*('Dvd Calendar'!$F$964&lt;=GRID_TO)*('Dvd Calendar'!$F$964&gt;VAL_DATE)=0,"",'Dvd Calendar'!$F$964*1000000000+ISNUMBER('Dvd Calendar'!$F$965)*100000000+0*10000000+(N('Dvd Calendar'!$F$963)&gt;0)*(N('Dvd Calendar'!$F$963)&lt;=VAL_SERIAL)*1000000+87*1000+42))</f>
        <v/>
      </c>
      <c r="FU98" s="39">
        <f>IF(N('Dvd Calendar'!$G$964)=0,"",IF(('Dvd Calendar'!$G$964&gt;=GRID_FROM)*('Dvd Calendar'!$G$964&lt;=GRID_TO)*('Dvd Calendar'!$G$964&gt;VAL_DATE)=0,"",'Dvd Calendar'!$G$964*1000000000+ISNUMBER('Dvd Calendar'!$G$965)*100000000+0*10000000+(N('Dvd Calendar'!$G$963)&gt;0)*(N('Dvd Calendar'!$G$963)&lt;=VAL_SERIAL)*1000000+87*1000+43))</f>
        <v/>
      </c>
      <c r="FV98" s="39">
        <f>IF(N('Dvd Calendar'!$H$964)=0,"",IF(('Dvd Calendar'!$H$964&gt;=GRID_FROM)*('Dvd Calendar'!$H$964&lt;=GRID_TO)*('Dvd Calendar'!$H$964&gt;VAL_DATE)=0,"",'Dvd Calendar'!$H$964*1000000000+ISNUMBER('Dvd Calendar'!$H$965)*100000000+0*10000000+(N('Dvd Calendar'!$H$963)&gt;0)*(N('Dvd Calendar'!$H$963)&lt;=VAL_SERIAL)*1000000+87*1000+44))</f>
        <v/>
      </c>
      <c r="FW98" s="39">
        <f>IF(N('Dvd Calendar'!$I$964)=0,"",IF(('Dvd Calendar'!$I$964&gt;=GRID_FROM)*('Dvd Calendar'!$I$964&lt;=GRID_TO)*('Dvd Calendar'!$I$964&gt;VAL_DATE)=0,"",'Dvd Calendar'!$I$964*1000000000+ISNUMBER('Dvd Calendar'!$I$965)*100000000+0*10000000+(N('Dvd Calendar'!$I$963)&gt;0)*(N('Dvd Calendar'!$I$963)&lt;=VAL_SERIAL)*1000000+87*1000+45))</f>
        <v/>
      </c>
      <c r="FX98" s="39">
        <f>IF(N('Dvd Calendar'!$J$964)=0,"",IF(('Dvd Calendar'!$J$964&gt;=GRID_FROM)*('Dvd Calendar'!$J$964&lt;=GRID_TO)*('Dvd Calendar'!$J$964&gt;VAL_DATE)=0,"",'Dvd Calendar'!$J$964*1000000000+ISNUMBER('Dvd Calendar'!$J$965)*100000000+0*10000000+(N('Dvd Calendar'!$J$963)&gt;0)*(N('Dvd Calendar'!$J$963)&lt;=VAL_SERIAL)*1000000+87*1000+46))</f>
        <v/>
      </c>
      <c r="FY98" s="39">
        <f>IF(N('Dvd Calendar'!$K$964)=0,"",IF(('Dvd Calendar'!$K$964&gt;=GRID_FROM)*('Dvd Calendar'!$K$964&lt;=GRID_TO)*('Dvd Calendar'!$K$964&gt;VAL_DATE)=0,"",'Dvd Calendar'!$K$964*1000000000+ISNUMBER('Dvd Calendar'!$K$965)*100000000+0*10000000+(N('Dvd Calendar'!$K$963)&gt;0)*(N('Dvd Calendar'!$K$963)&lt;=VAL_SERIAL)*1000000+87*1000+47))</f>
        <v/>
      </c>
      <c r="FZ98" s="39">
        <f>IF(N('Dvd Calendar'!$L$964)=0,"",IF(('Dvd Calendar'!$L$964&gt;=GRID_FROM)*('Dvd Calendar'!$L$964&lt;=GRID_TO)*('Dvd Calendar'!$L$964&gt;VAL_DATE)=0,"",'Dvd Calendar'!$L$964*1000000000+ISNUMBER('Dvd Calendar'!$L$965)*100000000+0*10000000+(N('Dvd Calendar'!$L$963)&gt;0)*(N('Dvd Calendar'!$L$963)&lt;=VAL_SERIAL)*1000000+87*1000+48))</f>
        <v/>
      </c>
      <c r="GA98" s="39">
        <f>IF(N('Dvd Calendar'!$M$964)=0,"",IF(('Dvd Calendar'!$M$964&gt;=GRID_FROM)*('Dvd Calendar'!$M$964&lt;=GRID_TO)*('Dvd Calendar'!$M$964&gt;VAL_DATE)=0,"",'Dvd Calendar'!$M$964*1000000000+ISNUMBER('Dvd Calendar'!$M$965)*100000000+0*10000000+(N('Dvd Calendar'!$M$963)&gt;0)*(N('Dvd Calendar'!$M$963)&lt;=VAL_SERIAL)*1000000+87*1000+49))</f>
        <v/>
      </c>
      <c r="GB98" s="39">
        <f>IF(N('Dvd Calendar'!$N$964)=0,"",IF(('Dvd Calendar'!$N$964&gt;=GRID_FROM)*('Dvd Calendar'!$N$964&lt;=GRID_TO)*('Dvd Calendar'!$N$964&gt;VAL_DATE)=0,"",'Dvd Calendar'!$N$964*1000000000+ISNUMBER('Dvd Calendar'!$N$965)*100000000+0*10000000+(N('Dvd Calendar'!$N$963)&gt;0)*(N('Dvd Calendar'!$N$963)&lt;=VAL_SERIAL)*1000000+87*1000+50))</f>
        <v/>
      </c>
      <c r="GC98" s="39">
        <f>IF(N('Dvd Calendar'!$O$964)=0,"",IF(('Dvd Calendar'!$O$964&gt;=GRID_FROM)*('Dvd Calendar'!$O$964&lt;=GRID_TO)*('Dvd Calendar'!$O$964&gt;VAL_DATE)=0,"",'Dvd Calendar'!$O$964*1000000000+ISNUMBER('Dvd Calendar'!$O$965)*100000000+0*10000000+(N('Dvd Calendar'!$O$963)&gt;0)*(N('Dvd Calendar'!$O$963)&lt;=VAL_SERIAL)*1000000+87*1000+51))</f>
        <v/>
      </c>
      <c r="GD98" s="39">
        <f>IF(N('Dvd Calendar'!$P$964)=0,"",IF(('Dvd Calendar'!$P$964&gt;=GRID_FROM)*('Dvd Calendar'!$P$964&lt;=GRID_TO)*('Dvd Calendar'!$P$964&gt;VAL_DATE)=0,"",'Dvd Calendar'!$P$964*1000000000+ISNUMBER('Dvd Calendar'!$P$965)*100000000+0*10000000+(N('Dvd Calendar'!$P$963)&gt;0)*(N('Dvd Calendar'!$P$963)&lt;=VAL_SERIAL)*1000000+87*1000+52))</f>
        <v/>
      </c>
      <c r="GE98" s="39">
        <f>IF(N('Dvd Calendar'!$Q$964)=0,"",IF(('Dvd Calendar'!$Q$964&gt;=GRID_FROM)*('Dvd Calendar'!$Q$964&lt;=GRID_TO)*('Dvd Calendar'!$Q$964&gt;VAL_DATE)=0,"",'Dvd Calendar'!$Q$964*1000000000+ISNUMBER('Dvd Calendar'!$Q$965)*100000000+0*10000000+(N('Dvd Calendar'!$Q$963)&gt;0)*(N('Dvd Calendar'!$Q$963)&lt;=VAL_SERIAL)*1000000+87*1000+53))</f>
        <v/>
      </c>
      <c r="GF98" s="39">
        <f>IF(N('Dvd Calendar'!$R$964)=0,"",IF(('Dvd Calendar'!$R$964&gt;=GRID_FROM)*('Dvd Calendar'!$R$964&lt;=GRID_TO)*('Dvd Calendar'!$R$964&gt;VAL_DATE)=0,"",'Dvd Calendar'!$R$964*1000000000+ISNUMBER('Dvd Calendar'!$R$965)*100000000+0*10000000+(N('Dvd Calendar'!$R$963)&gt;0)*(N('Dvd Calendar'!$R$963)&lt;=VAL_SERIAL)*1000000+87*1000+54))</f>
        <v/>
      </c>
      <c r="GG98" s="39">
        <f>IF(N('Dvd Calendar'!$S$964)=0,"",IF(('Dvd Calendar'!$S$964&gt;=GRID_FROM)*('Dvd Calendar'!$S$964&lt;=GRID_TO)*('Dvd Calendar'!$S$964&gt;VAL_DATE)=0,"",'Dvd Calendar'!$S$964*1000000000+ISNUMBER('Dvd Calendar'!$S$965)*100000000+0*10000000+(N('Dvd Calendar'!$S$963)&gt;0)*(N('Dvd Calendar'!$S$963)&lt;=VAL_SERIAL)*1000000+87*1000+55))</f>
        <v/>
      </c>
      <c r="GH98" s="39">
        <f>IF(N('Dvd Calendar'!$T$964)=0,"",IF(('Dvd Calendar'!$T$964&gt;=GRID_FROM)*('Dvd Calendar'!$T$964&lt;=GRID_TO)*('Dvd Calendar'!$T$964&gt;VAL_DATE)=0,"",'Dvd Calendar'!$T$964*1000000000+ISNUMBER('Dvd Calendar'!$T$965)*100000000+0*10000000+(N('Dvd Calendar'!$T$963)&gt;0)*(N('Dvd Calendar'!$T$963)&lt;=VAL_SERIAL)*1000000+87*1000+56))</f>
        <v/>
      </c>
      <c r="GI98" s="39">
        <f>IF(N('Dvd Calendar'!$U$964)=0,"",IF(('Dvd Calendar'!$U$964&gt;=GRID_FROM)*('Dvd Calendar'!$U$964&lt;=GRID_TO)*('Dvd Calendar'!$U$964&gt;VAL_DATE)=0,"",'Dvd Calendar'!$U$964*1000000000+ISNUMBER('Dvd Calendar'!$U$965)*100000000+0*10000000+(N('Dvd Calendar'!$U$963)&gt;0)*(N('Dvd Calendar'!$U$963)&lt;=VAL_SERIAL)*1000000+87*1000+57))</f>
        <v/>
      </c>
      <c r="GJ98" s="39">
        <f>IF(N('Dvd Calendar'!$V$964)=0,"",IF(('Dvd Calendar'!$V$964&gt;=GRID_FROM)*('Dvd Calendar'!$V$964&lt;=GRID_TO)*('Dvd Calendar'!$V$964&gt;VAL_DATE)=0,"",'Dvd Calendar'!$V$964*1000000000+ISNUMBER('Dvd Calendar'!$V$965)*100000000+0*10000000+(N('Dvd Calendar'!$V$963)&gt;0)*(N('Dvd Calendar'!$V$963)&lt;=VAL_SERIAL)*1000000+87*1000+58))</f>
        <v/>
      </c>
      <c r="GK98" s="39">
        <f>IF(N('Dvd Calendar'!$W$964)=0,"",IF(('Dvd Calendar'!$W$964&gt;=GRID_FROM)*('Dvd Calendar'!$W$964&lt;=GRID_TO)*('Dvd Calendar'!$W$964&gt;VAL_DATE)=0,"",'Dvd Calendar'!$W$964*1000000000+ISNUMBER('Dvd Calendar'!$W$965)*100000000+0*10000000+(N('Dvd Calendar'!$W$963)&gt;0)*(N('Dvd Calendar'!$W$963)&lt;=VAL_SERIAL)*1000000+87*1000+59))</f>
        <v/>
      </c>
      <c r="GL98" s="39">
        <f>IF(N('Dvd Calendar'!$X$964)=0,"",IF(('Dvd Calendar'!$X$964&gt;=GRID_FROM)*('Dvd Calendar'!$X$964&lt;=GRID_TO)*('Dvd Calendar'!$X$964&gt;VAL_DATE)=0,"",'Dvd Calendar'!$X$964*1000000000+ISNUMBER('Dvd Calendar'!$X$965)*100000000+0*10000000+(N('Dvd Calendar'!$X$963)&gt;0)*(N('Dvd Calendar'!$X$963)&lt;=VAL_SERIAL)*1000000+87*1000+60))</f>
        <v/>
      </c>
      <c r="GM98" s="39">
        <f>IF(N('Dvd Calendar'!$Y$964)=0,"",IF(('Dvd Calendar'!$Y$964&gt;=GRID_FROM)*('Dvd Calendar'!$Y$964&lt;=GRID_TO)*('Dvd Calendar'!$Y$964&gt;VAL_DATE)=0,"",'Dvd Calendar'!$Y$964*1000000000+ISNUMBER('Dvd Calendar'!$Y$965)*100000000+0*10000000+(N('Dvd Calendar'!$Y$963)&gt;0)*(N('Dvd Calendar'!$Y$963)&lt;=VAL_SERIAL)*1000000+87*1000+61))</f>
        <v/>
      </c>
      <c r="GN98" s="39">
        <f>IF(N('Dvd Calendar'!$Z$964)=0,"",IF(('Dvd Calendar'!$Z$964&gt;=GRID_FROM)*('Dvd Calendar'!$Z$964&lt;=GRID_TO)*('Dvd Calendar'!$Z$964&gt;VAL_DATE)=0,"",'Dvd Calendar'!$Z$964*1000000000+ISNUMBER('Dvd Calendar'!$Z$965)*100000000+0*10000000+(N('Dvd Calendar'!$Z$963)&gt;0)*(N('Dvd Calendar'!$Z$963)&lt;=VAL_SERIAL)*1000000+87*1000+62))</f>
        <v/>
      </c>
      <c r="GO98" s="39">
        <f>IF(N('Dvd Calendar'!$AA$964)=0,"",IF(('Dvd Calendar'!$AA$964&gt;=GRID_FROM)*('Dvd Calendar'!$AA$964&lt;=GRID_TO)*('Dvd Calendar'!$AA$964&gt;VAL_DATE)=0,"",'Dvd Calendar'!$AA$964*1000000000+ISNUMBER('Dvd Calendar'!$AA$965)*100000000+0*10000000+(N('Dvd Calendar'!$AA$963)&gt;0)*(N('Dvd Calendar'!$AA$963)&lt;=VAL_SERIAL)*1000000+87*1000+63))</f>
        <v/>
      </c>
      <c r="GP98" s="39">
        <f>IF(N('Dvd Calendar'!$AB$964)=0,"",IF(('Dvd Calendar'!$AB$964&gt;=GRID_FROM)*('Dvd Calendar'!$AB$964&lt;=GRID_TO)*('Dvd Calendar'!$AB$964&gt;VAL_DATE)=0,"",'Dvd Calendar'!$AB$964*1000000000+ISNUMBER('Dvd Calendar'!$AB$965)*100000000+0*10000000+(N('Dvd Calendar'!$AB$963)&gt;0)*(N('Dvd Calendar'!$AB$963)&lt;=VAL_SERIAL)*1000000+87*1000+64))</f>
        <v/>
      </c>
      <c r="GQ98" s="39">
        <f>IF(N('Dvd Calendar'!$AC$964)=0,"",IF(('Dvd Calendar'!$AC$964&gt;=GRID_FROM)*('Dvd Calendar'!$AC$964&lt;=GRID_TO)*('Dvd Calendar'!$AC$964&gt;VAL_DATE)=0,"",'Dvd Calendar'!$AC$964*1000000000+ISNUMBER('Dvd Calendar'!$AC$965)*100000000+0*10000000+(N('Dvd Calendar'!$AC$963)&gt;0)*(N('Dvd Calendar'!$AC$963)&lt;=VAL_SERIAL)*1000000+87*1000+65))</f>
        <v/>
      </c>
    </row>
    <row r="99">
      <c r="B99" s="2">
        <f>IF(HSI!$C$94="","",HSI!$C$94)</f>
        <v/>
      </c>
      <c r="C99" s="110">
        <f>IF(EE99="","",IF(ISNUMBER('Dvd Calendar'!$E$971)=FALSE,"",IF((('Dvd Calendar'!$E$973=TYPE1)*(TYPE1&lt;&gt;"")+('Dvd Calendar'!$E$973=TYPE2)*(TYPE2&lt;&gt;"")+('Dvd Calendar'!$E$973=TYPE3)*(TYPE3&lt;&gt;"")+('Dvd Calendar'!$E$973=TYPE4)*(TYPE4&lt;&gt;"")+('Dvd Calendar'!$E$973=SPECIAL_LBL)*(INC_SPECIALS="Y"))=0,"",'Dvd Calendar'!$E$971)))</f>
        <v/>
      </c>
      <c r="D99" s="110">
        <f>IF(EF99="","",IF(ISNUMBER('Dvd Calendar'!$F$971)=FALSE,"",IF((('Dvd Calendar'!$F$973=TYPE1)*(TYPE1&lt;&gt;"")+('Dvd Calendar'!$F$973=TYPE2)*(TYPE2&lt;&gt;"")+('Dvd Calendar'!$F$973=TYPE3)*(TYPE3&lt;&gt;"")+('Dvd Calendar'!$F$973=TYPE4)*(TYPE4&lt;&gt;"")+('Dvd Calendar'!$F$973=SPECIAL_LBL)*(INC_SPECIALS="Y"))=0,"",'Dvd Calendar'!$F$971)))</f>
        <v/>
      </c>
      <c r="E99" s="110">
        <f>IF(EG99="","",IF(ISNUMBER('Dvd Calendar'!$G$971)=FALSE,"",IF((('Dvd Calendar'!$G$973=TYPE1)*(TYPE1&lt;&gt;"")+('Dvd Calendar'!$G$973=TYPE2)*(TYPE2&lt;&gt;"")+('Dvd Calendar'!$G$973=TYPE3)*(TYPE3&lt;&gt;"")+('Dvd Calendar'!$G$973=TYPE4)*(TYPE4&lt;&gt;"")+('Dvd Calendar'!$G$973=SPECIAL_LBL)*(INC_SPECIALS="Y"))=0,"",'Dvd Calendar'!$G$971)))</f>
        <v/>
      </c>
      <c r="F99" s="110">
        <f>IF(EH99="","",IF(ISNUMBER('Dvd Calendar'!$H$971)=FALSE,"",IF((('Dvd Calendar'!$H$973=TYPE1)*(TYPE1&lt;&gt;"")+('Dvd Calendar'!$H$973=TYPE2)*(TYPE2&lt;&gt;"")+('Dvd Calendar'!$H$973=TYPE3)*(TYPE3&lt;&gt;"")+('Dvd Calendar'!$H$973=TYPE4)*(TYPE4&lt;&gt;"")+('Dvd Calendar'!$H$973=SPECIAL_LBL)*(INC_SPECIALS="Y"))=0,"",'Dvd Calendar'!$H$971)))</f>
        <v/>
      </c>
      <c r="G99" s="110">
        <f>IF(EI99="","",IF(ISNUMBER('Dvd Calendar'!$I$971)=FALSE,"",IF((('Dvd Calendar'!$I$973=TYPE1)*(TYPE1&lt;&gt;"")+('Dvd Calendar'!$I$973=TYPE2)*(TYPE2&lt;&gt;"")+('Dvd Calendar'!$I$973=TYPE3)*(TYPE3&lt;&gt;"")+('Dvd Calendar'!$I$973=TYPE4)*(TYPE4&lt;&gt;"")+('Dvd Calendar'!$I$973=SPECIAL_LBL)*(INC_SPECIALS="Y"))=0,"",'Dvd Calendar'!$I$971)))</f>
        <v/>
      </c>
      <c r="H99" s="110">
        <f>IF(EJ99="","",IF(ISNUMBER('Dvd Calendar'!$J$971)=FALSE,"",IF((('Dvd Calendar'!$J$973=TYPE1)*(TYPE1&lt;&gt;"")+('Dvd Calendar'!$J$973=TYPE2)*(TYPE2&lt;&gt;"")+('Dvd Calendar'!$J$973=TYPE3)*(TYPE3&lt;&gt;"")+('Dvd Calendar'!$J$973=TYPE4)*(TYPE4&lt;&gt;"")+('Dvd Calendar'!$J$973=SPECIAL_LBL)*(INC_SPECIALS="Y"))=0,"",'Dvd Calendar'!$J$971)))</f>
        <v/>
      </c>
      <c r="I99" s="110">
        <f>IF(EK99="","",IF(ISNUMBER('Dvd Calendar'!$K$971)=FALSE,"",IF((('Dvd Calendar'!$K$973=TYPE1)*(TYPE1&lt;&gt;"")+('Dvd Calendar'!$K$973=TYPE2)*(TYPE2&lt;&gt;"")+('Dvd Calendar'!$K$973=TYPE3)*(TYPE3&lt;&gt;"")+('Dvd Calendar'!$K$973=TYPE4)*(TYPE4&lt;&gt;"")+('Dvd Calendar'!$K$973=SPECIAL_LBL)*(INC_SPECIALS="Y"))=0,"",'Dvd Calendar'!$K$971)))</f>
        <v/>
      </c>
      <c r="J99" s="110">
        <f>IF(EL99="","",IF(ISNUMBER('Dvd Calendar'!$L$971)=FALSE,"",IF((('Dvd Calendar'!$L$973=TYPE1)*(TYPE1&lt;&gt;"")+('Dvd Calendar'!$L$973=TYPE2)*(TYPE2&lt;&gt;"")+('Dvd Calendar'!$L$973=TYPE3)*(TYPE3&lt;&gt;"")+('Dvd Calendar'!$L$973=TYPE4)*(TYPE4&lt;&gt;"")+('Dvd Calendar'!$L$973=SPECIAL_LBL)*(INC_SPECIALS="Y"))=0,"",'Dvd Calendar'!$L$971)))</f>
        <v/>
      </c>
      <c r="K99" s="110">
        <f>IF(EM99="","",IF(ISNUMBER('Dvd Calendar'!$M$971)=FALSE,"",IF((('Dvd Calendar'!$M$973=TYPE1)*(TYPE1&lt;&gt;"")+('Dvd Calendar'!$M$973=TYPE2)*(TYPE2&lt;&gt;"")+('Dvd Calendar'!$M$973=TYPE3)*(TYPE3&lt;&gt;"")+('Dvd Calendar'!$M$973=TYPE4)*(TYPE4&lt;&gt;"")+('Dvd Calendar'!$M$973=SPECIAL_LBL)*(INC_SPECIALS="Y"))=0,"",'Dvd Calendar'!$M$971)))</f>
        <v/>
      </c>
      <c r="L99" s="110">
        <f>IF(EN99="","",IF(ISNUMBER('Dvd Calendar'!$N$971)=FALSE,"",IF((('Dvd Calendar'!$N$973=TYPE1)*(TYPE1&lt;&gt;"")+('Dvd Calendar'!$N$973=TYPE2)*(TYPE2&lt;&gt;"")+('Dvd Calendar'!$N$973=TYPE3)*(TYPE3&lt;&gt;"")+('Dvd Calendar'!$N$973=TYPE4)*(TYPE4&lt;&gt;"")+('Dvd Calendar'!$N$973=SPECIAL_LBL)*(INC_SPECIALS="Y"))=0,"",'Dvd Calendar'!$N$971)))</f>
        <v/>
      </c>
      <c r="M99" s="110">
        <f>IF(EO99="","",IF(ISNUMBER('Dvd Calendar'!$O$971)=FALSE,"",IF((('Dvd Calendar'!$O$973=TYPE1)*(TYPE1&lt;&gt;"")+('Dvd Calendar'!$O$973=TYPE2)*(TYPE2&lt;&gt;"")+('Dvd Calendar'!$O$973=TYPE3)*(TYPE3&lt;&gt;"")+('Dvd Calendar'!$O$973=TYPE4)*(TYPE4&lt;&gt;"")+('Dvd Calendar'!$O$973=SPECIAL_LBL)*(INC_SPECIALS="Y"))=0,"",'Dvd Calendar'!$O$971)))</f>
        <v/>
      </c>
      <c r="N99" s="110">
        <f>IF(EP99="","",IF(ISNUMBER('Dvd Calendar'!$P$971)=FALSE,"",IF((('Dvd Calendar'!$P$973=TYPE1)*(TYPE1&lt;&gt;"")+('Dvd Calendar'!$P$973=TYPE2)*(TYPE2&lt;&gt;"")+('Dvd Calendar'!$P$973=TYPE3)*(TYPE3&lt;&gt;"")+('Dvd Calendar'!$P$973=TYPE4)*(TYPE4&lt;&gt;"")+('Dvd Calendar'!$P$973=SPECIAL_LBL)*(INC_SPECIALS="Y"))=0,"",'Dvd Calendar'!$P$971)))</f>
        <v/>
      </c>
      <c r="O99" s="110">
        <f>IF(EQ99="","",IF(ISNUMBER('Dvd Calendar'!$Q$971)=FALSE,"",IF((('Dvd Calendar'!$Q$973=TYPE1)*(TYPE1&lt;&gt;"")+('Dvd Calendar'!$Q$973=TYPE2)*(TYPE2&lt;&gt;"")+('Dvd Calendar'!$Q$973=TYPE3)*(TYPE3&lt;&gt;"")+('Dvd Calendar'!$Q$973=TYPE4)*(TYPE4&lt;&gt;"")+('Dvd Calendar'!$Q$973=SPECIAL_LBL)*(INC_SPECIALS="Y"))=0,"",'Dvd Calendar'!$Q$971)))</f>
        <v/>
      </c>
      <c r="P99" s="110">
        <f>IF(ER99="","",IF(ISNUMBER('Dvd Calendar'!$R$971)=FALSE,"",IF((('Dvd Calendar'!$R$973=TYPE1)*(TYPE1&lt;&gt;"")+('Dvd Calendar'!$R$973=TYPE2)*(TYPE2&lt;&gt;"")+('Dvd Calendar'!$R$973=TYPE3)*(TYPE3&lt;&gt;"")+('Dvd Calendar'!$R$973=TYPE4)*(TYPE4&lt;&gt;"")+('Dvd Calendar'!$R$973=SPECIAL_LBL)*(INC_SPECIALS="Y"))=0,"",'Dvd Calendar'!$R$971)))</f>
        <v/>
      </c>
      <c r="Q99" s="110">
        <f>IF(ES99="","",IF(ISNUMBER('Dvd Calendar'!$S$971)=FALSE,"",IF((('Dvd Calendar'!$S$973=TYPE1)*(TYPE1&lt;&gt;"")+('Dvd Calendar'!$S$973=TYPE2)*(TYPE2&lt;&gt;"")+('Dvd Calendar'!$S$973=TYPE3)*(TYPE3&lt;&gt;"")+('Dvd Calendar'!$S$973=TYPE4)*(TYPE4&lt;&gt;"")+('Dvd Calendar'!$S$973=SPECIAL_LBL)*(INC_SPECIALS="Y"))=0,"",'Dvd Calendar'!$S$971)))</f>
        <v/>
      </c>
      <c r="R99" s="110">
        <f>IF(ET99="","",IF(ISNUMBER('Dvd Calendar'!$T$971)=FALSE,"",IF((('Dvd Calendar'!$T$973=TYPE1)*(TYPE1&lt;&gt;"")+('Dvd Calendar'!$T$973=TYPE2)*(TYPE2&lt;&gt;"")+('Dvd Calendar'!$T$973=TYPE3)*(TYPE3&lt;&gt;"")+('Dvd Calendar'!$T$973=TYPE4)*(TYPE4&lt;&gt;"")+('Dvd Calendar'!$T$973=SPECIAL_LBL)*(INC_SPECIALS="Y"))=0,"",'Dvd Calendar'!$T$971)))</f>
        <v/>
      </c>
      <c r="S99" s="110">
        <f>IF(EU99="","",IF(ISNUMBER('Dvd Calendar'!$U$971)=FALSE,"",IF((('Dvd Calendar'!$U$973=TYPE1)*(TYPE1&lt;&gt;"")+('Dvd Calendar'!$U$973=TYPE2)*(TYPE2&lt;&gt;"")+('Dvd Calendar'!$U$973=TYPE3)*(TYPE3&lt;&gt;"")+('Dvd Calendar'!$U$973=TYPE4)*(TYPE4&lt;&gt;"")+('Dvd Calendar'!$U$973=SPECIAL_LBL)*(INC_SPECIALS="Y"))=0,"",'Dvd Calendar'!$U$971)))</f>
        <v/>
      </c>
      <c r="T99" s="110">
        <f>IF(EV99="","",IF(ISNUMBER('Dvd Calendar'!$V$971)=FALSE,"",IF((('Dvd Calendar'!$V$973=TYPE1)*(TYPE1&lt;&gt;"")+('Dvd Calendar'!$V$973=TYPE2)*(TYPE2&lt;&gt;"")+('Dvd Calendar'!$V$973=TYPE3)*(TYPE3&lt;&gt;"")+('Dvd Calendar'!$V$973=TYPE4)*(TYPE4&lt;&gt;"")+('Dvd Calendar'!$V$973=SPECIAL_LBL)*(INC_SPECIALS="Y"))=0,"",'Dvd Calendar'!$V$971)))</f>
        <v/>
      </c>
      <c r="U99" s="110">
        <f>IF(EW99="","",IF(ISNUMBER('Dvd Calendar'!$W$971)=FALSE,"",IF((('Dvd Calendar'!$W$973=TYPE1)*(TYPE1&lt;&gt;"")+('Dvd Calendar'!$W$973=TYPE2)*(TYPE2&lt;&gt;"")+('Dvd Calendar'!$W$973=TYPE3)*(TYPE3&lt;&gt;"")+('Dvd Calendar'!$W$973=TYPE4)*(TYPE4&lt;&gt;"")+('Dvd Calendar'!$W$973=SPECIAL_LBL)*(INC_SPECIALS="Y"))=0,"",'Dvd Calendar'!$W$971)))</f>
        <v/>
      </c>
      <c r="V99" s="110">
        <f>IF(EX99="","",IF(ISNUMBER('Dvd Calendar'!$X$971)=FALSE,"",IF((('Dvd Calendar'!$X$973=TYPE1)*(TYPE1&lt;&gt;"")+('Dvd Calendar'!$X$973=TYPE2)*(TYPE2&lt;&gt;"")+('Dvd Calendar'!$X$973=TYPE3)*(TYPE3&lt;&gt;"")+('Dvd Calendar'!$X$973=TYPE4)*(TYPE4&lt;&gt;"")+('Dvd Calendar'!$X$973=SPECIAL_LBL)*(INC_SPECIALS="Y"))=0,"",'Dvd Calendar'!$X$971)))</f>
        <v/>
      </c>
      <c r="W99" s="110">
        <f>IF(EY99="","",IF(ISNUMBER('Dvd Calendar'!$Y$971)=FALSE,"",IF((('Dvd Calendar'!$Y$973=TYPE1)*(TYPE1&lt;&gt;"")+('Dvd Calendar'!$Y$973=TYPE2)*(TYPE2&lt;&gt;"")+('Dvd Calendar'!$Y$973=TYPE3)*(TYPE3&lt;&gt;"")+('Dvd Calendar'!$Y$973=TYPE4)*(TYPE4&lt;&gt;"")+('Dvd Calendar'!$Y$973=SPECIAL_LBL)*(INC_SPECIALS="Y"))=0,"",'Dvd Calendar'!$Y$971)))</f>
        <v/>
      </c>
      <c r="X99" s="110">
        <f>IF(EZ99="","",IF(ISNUMBER('Dvd Calendar'!$Z$971)=FALSE,"",IF((('Dvd Calendar'!$Z$973=TYPE1)*(TYPE1&lt;&gt;"")+('Dvd Calendar'!$Z$973=TYPE2)*(TYPE2&lt;&gt;"")+('Dvd Calendar'!$Z$973=TYPE3)*(TYPE3&lt;&gt;"")+('Dvd Calendar'!$Z$973=TYPE4)*(TYPE4&lt;&gt;"")+('Dvd Calendar'!$Z$973=SPECIAL_LBL)*(INC_SPECIALS="Y"))=0,"",'Dvd Calendar'!$Z$971)))</f>
        <v/>
      </c>
      <c r="Y99" s="110">
        <f>IF(FA99="","",IF(ISNUMBER('Dvd Calendar'!$AA$971)=FALSE,"",IF((('Dvd Calendar'!$AA$973=TYPE1)*(TYPE1&lt;&gt;"")+('Dvd Calendar'!$AA$973=TYPE2)*(TYPE2&lt;&gt;"")+('Dvd Calendar'!$AA$973=TYPE3)*(TYPE3&lt;&gt;"")+('Dvd Calendar'!$AA$973=TYPE4)*(TYPE4&lt;&gt;"")+('Dvd Calendar'!$AA$973=SPECIAL_LBL)*(INC_SPECIALS="Y"))=0,"",'Dvd Calendar'!$AA$971)))</f>
        <v/>
      </c>
      <c r="Z99" s="110">
        <f>IF(FB99="","",IF(ISNUMBER('Dvd Calendar'!$AB$971)=FALSE,"",IF((('Dvd Calendar'!$AB$973=TYPE1)*(TYPE1&lt;&gt;"")+('Dvd Calendar'!$AB$973=TYPE2)*(TYPE2&lt;&gt;"")+('Dvd Calendar'!$AB$973=TYPE3)*(TYPE3&lt;&gt;"")+('Dvd Calendar'!$AB$973=TYPE4)*(TYPE4&lt;&gt;"")+('Dvd Calendar'!$AB$973=SPECIAL_LBL)*(INC_SPECIALS="Y"))=0,"",'Dvd Calendar'!$AB$971)))</f>
        <v/>
      </c>
      <c r="AA99" s="110">
        <f>IF(FC99="","",IF(ISNUMBER('Dvd Calendar'!$AC$971)=FALSE,"",IF((('Dvd Calendar'!$AC$973=TYPE1)*(TYPE1&lt;&gt;"")+('Dvd Calendar'!$AC$973=TYPE2)*(TYPE2&lt;&gt;"")+('Dvd Calendar'!$AC$973=TYPE3)*(TYPE3&lt;&gt;"")+('Dvd Calendar'!$AC$973=TYPE4)*(TYPE4&lt;&gt;"")+('Dvd Calendar'!$AC$973=SPECIAL_LBL)*(INC_SPECIALS="Y"))=0,"",'Dvd Calendar'!$AC$971)))</f>
        <v/>
      </c>
      <c r="AB99" s="110">
        <f>IF(FD99="","",IF(ISNUMBER('Dvd Calendar'!$AD$971)=FALSE,"",IF((('Dvd Calendar'!$AD$973=TYPE1)*(TYPE1&lt;&gt;"")+('Dvd Calendar'!$AD$973=TYPE2)*(TYPE2&lt;&gt;"")+('Dvd Calendar'!$AD$973=TYPE3)*(TYPE3&lt;&gt;"")+('Dvd Calendar'!$AD$973=TYPE4)*(TYPE4&lt;&gt;"")+('Dvd Calendar'!$AD$973=SPECIAL_LBL)*(INC_SPECIALS="Y"))=0,"",'Dvd Calendar'!$AD$971)))</f>
        <v/>
      </c>
      <c r="AC99" s="110">
        <f>IF(FE99="","",IF(ISNUMBER('Dvd Calendar'!$AE$971)=FALSE,"",IF((('Dvd Calendar'!$AE$973=TYPE1)*(TYPE1&lt;&gt;"")+('Dvd Calendar'!$AE$973=TYPE2)*(TYPE2&lt;&gt;"")+('Dvd Calendar'!$AE$973=TYPE3)*(TYPE3&lt;&gt;"")+('Dvd Calendar'!$AE$973=TYPE4)*(TYPE4&lt;&gt;"")+('Dvd Calendar'!$AE$973=SPECIAL_LBL)*(INC_SPECIALS="Y"))=0,"",'Dvd Calendar'!$AE$971)))</f>
        <v/>
      </c>
      <c r="AD99" s="110">
        <f>IF(FF99="","",IF(ISNUMBER('Dvd Calendar'!$AF$971)=FALSE,"",IF((('Dvd Calendar'!$AF$973=TYPE1)*(TYPE1&lt;&gt;"")+('Dvd Calendar'!$AF$973=TYPE2)*(TYPE2&lt;&gt;"")+('Dvd Calendar'!$AF$973=TYPE3)*(TYPE3&lt;&gt;"")+('Dvd Calendar'!$AF$973=TYPE4)*(TYPE4&lt;&gt;"")+('Dvd Calendar'!$AF$973=SPECIAL_LBL)*(INC_SPECIALS="Y"))=0,"",'Dvd Calendar'!$AF$971)))</f>
        <v/>
      </c>
      <c r="AE99" s="110">
        <f>IF(FG99="","",IF(ISNUMBER('Dvd Calendar'!$AG$971)=FALSE,"",IF((('Dvd Calendar'!$AG$973=TYPE1)*(TYPE1&lt;&gt;"")+('Dvd Calendar'!$AG$973=TYPE2)*(TYPE2&lt;&gt;"")+('Dvd Calendar'!$AG$973=TYPE3)*(TYPE3&lt;&gt;"")+('Dvd Calendar'!$AG$973=TYPE4)*(TYPE4&lt;&gt;"")+('Dvd Calendar'!$AG$973=SPECIAL_LBL)*(INC_SPECIALS="Y"))=0,"",'Dvd Calendar'!$AG$971)))</f>
        <v/>
      </c>
      <c r="AF99" s="110">
        <f>IF(FH99="","",IF(ISNUMBER('Dvd Calendar'!$AH$971)=FALSE,"",IF((('Dvd Calendar'!$AH$973=TYPE1)*(TYPE1&lt;&gt;"")+('Dvd Calendar'!$AH$973=TYPE2)*(TYPE2&lt;&gt;"")+('Dvd Calendar'!$AH$973=TYPE3)*(TYPE3&lt;&gt;"")+('Dvd Calendar'!$AH$973=TYPE4)*(TYPE4&lt;&gt;"")+('Dvd Calendar'!$AH$973=SPECIAL_LBL)*(INC_SPECIALS="Y"))=0,"",'Dvd Calendar'!$AH$971)))</f>
        <v/>
      </c>
      <c r="AG99" s="110">
        <f>IF(FI99="","",IF(ISNUMBER('Dvd Calendar'!$AI$971)=FALSE,"",IF((('Dvd Calendar'!$AI$973=TYPE1)*(TYPE1&lt;&gt;"")+('Dvd Calendar'!$AI$973=TYPE2)*(TYPE2&lt;&gt;"")+('Dvd Calendar'!$AI$973=TYPE3)*(TYPE3&lt;&gt;"")+('Dvd Calendar'!$AI$973=TYPE4)*(TYPE4&lt;&gt;"")+('Dvd Calendar'!$AI$973=SPECIAL_LBL)*(INC_SPECIALS="Y"))=0,"",'Dvd Calendar'!$AI$971)))</f>
        <v/>
      </c>
      <c r="AH99" s="110">
        <f>IF(FJ99="","",IF(ISNUMBER('Dvd Calendar'!$AJ$971)=FALSE,"",IF((('Dvd Calendar'!$AJ$973=TYPE1)*(TYPE1&lt;&gt;"")+('Dvd Calendar'!$AJ$973=TYPE2)*(TYPE2&lt;&gt;"")+('Dvd Calendar'!$AJ$973=TYPE3)*(TYPE3&lt;&gt;"")+('Dvd Calendar'!$AJ$973=TYPE4)*(TYPE4&lt;&gt;"")+('Dvd Calendar'!$AJ$973=SPECIAL_LBL)*(INC_SPECIALS="Y"))=0,"",'Dvd Calendar'!$AJ$971)))</f>
        <v/>
      </c>
      <c r="AI99" s="110">
        <f>IF(FK99="","",IF(ISNUMBER('Dvd Calendar'!$AK$971)=FALSE,"",IF((('Dvd Calendar'!$AK$973=TYPE1)*(TYPE1&lt;&gt;"")+('Dvd Calendar'!$AK$973=TYPE2)*(TYPE2&lt;&gt;"")+('Dvd Calendar'!$AK$973=TYPE3)*(TYPE3&lt;&gt;"")+('Dvd Calendar'!$AK$973=TYPE4)*(TYPE4&lt;&gt;"")+('Dvd Calendar'!$AK$973=SPECIAL_LBL)*(INC_SPECIALS="Y"))=0,"",'Dvd Calendar'!$AK$971)))</f>
        <v/>
      </c>
      <c r="AJ99" s="110">
        <f>IF(FL99="","",IF(ISNUMBER('Dvd Calendar'!$AL$971)=FALSE,"",IF((('Dvd Calendar'!$AL$973=TYPE1)*(TYPE1&lt;&gt;"")+('Dvd Calendar'!$AL$973=TYPE2)*(TYPE2&lt;&gt;"")+('Dvd Calendar'!$AL$973=TYPE3)*(TYPE3&lt;&gt;"")+('Dvd Calendar'!$AL$973=TYPE4)*(TYPE4&lt;&gt;"")+('Dvd Calendar'!$AL$973=SPECIAL_LBL)*(INC_SPECIALS="Y"))=0,"",'Dvd Calendar'!$AL$971)))</f>
        <v/>
      </c>
      <c r="AK99" s="110">
        <f>IF(FM99="","",IF(ISNUMBER('Dvd Calendar'!$AM$971)=FALSE,"",IF((('Dvd Calendar'!$AM$973=TYPE1)*(TYPE1&lt;&gt;"")+('Dvd Calendar'!$AM$973=TYPE2)*(TYPE2&lt;&gt;"")+('Dvd Calendar'!$AM$973=TYPE3)*(TYPE3&lt;&gt;"")+('Dvd Calendar'!$AM$973=TYPE4)*(TYPE4&lt;&gt;"")+('Dvd Calendar'!$AM$973=SPECIAL_LBL)*(INC_SPECIALS="Y"))=0,"",'Dvd Calendar'!$AM$971)))</f>
        <v/>
      </c>
      <c r="AL99" s="110">
        <f>IF(FN99="","",IF(ISNUMBER('Dvd Calendar'!$AN$971)=FALSE,"",IF((('Dvd Calendar'!$AN$973=TYPE1)*(TYPE1&lt;&gt;"")+('Dvd Calendar'!$AN$973=TYPE2)*(TYPE2&lt;&gt;"")+('Dvd Calendar'!$AN$973=TYPE3)*(TYPE3&lt;&gt;"")+('Dvd Calendar'!$AN$973=TYPE4)*(TYPE4&lt;&gt;"")+('Dvd Calendar'!$AN$973=SPECIAL_LBL)*(INC_SPECIALS="Y"))=0,"",'Dvd Calendar'!$AN$971)))</f>
        <v/>
      </c>
      <c r="AM99" s="110">
        <f>IF(FO99="","",IF(ISNUMBER('Dvd Calendar'!$AO$971)=FALSE,"",IF((('Dvd Calendar'!$AO$973=TYPE1)*(TYPE1&lt;&gt;"")+('Dvd Calendar'!$AO$973=TYPE2)*(TYPE2&lt;&gt;"")+('Dvd Calendar'!$AO$973=TYPE3)*(TYPE3&lt;&gt;"")+('Dvd Calendar'!$AO$973=TYPE4)*(TYPE4&lt;&gt;"")+('Dvd Calendar'!$AO$973=SPECIAL_LBL)*(INC_SPECIALS="Y"))=0,"",'Dvd Calendar'!$AO$971)))</f>
        <v/>
      </c>
      <c r="AN99" s="110">
        <f>IF(FP99="","",IF(ISNUMBER('Dvd Calendar'!$AP$971)=FALSE,"",IF((('Dvd Calendar'!$AP$973=TYPE1)*(TYPE1&lt;&gt;"")+('Dvd Calendar'!$AP$973=TYPE2)*(TYPE2&lt;&gt;"")+('Dvd Calendar'!$AP$973=TYPE3)*(TYPE3&lt;&gt;"")+('Dvd Calendar'!$AP$973=TYPE4)*(TYPE4&lt;&gt;"")+('Dvd Calendar'!$AP$973=SPECIAL_LBL)*(INC_SPECIALS="Y"))=0,"",'Dvd Calendar'!$AP$971)))</f>
        <v/>
      </c>
      <c r="AO99" s="110">
        <f>IF(FQ99="","",IF(ISNUMBER('Dvd Calendar'!$AQ$971)=FALSE,"",IF((('Dvd Calendar'!$AQ$973=TYPE1)*(TYPE1&lt;&gt;"")+('Dvd Calendar'!$AQ$973=TYPE2)*(TYPE2&lt;&gt;"")+('Dvd Calendar'!$AQ$973=TYPE3)*(TYPE3&lt;&gt;"")+('Dvd Calendar'!$AQ$973=TYPE4)*(TYPE4&lt;&gt;"")+('Dvd Calendar'!$AQ$973=SPECIAL_LBL)*(INC_SPECIALS="Y"))=0,"",'Dvd Calendar'!$AQ$971)))</f>
        <v/>
      </c>
      <c r="AP99" s="110">
        <f>IF(FR99="","",IF(ISNUMBER('Dvd Calendar'!$AR$971)=FALSE,"",IF((('Dvd Calendar'!$AR$973=TYPE1)*(TYPE1&lt;&gt;"")+('Dvd Calendar'!$AR$973=TYPE2)*(TYPE2&lt;&gt;"")+('Dvd Calendar'!$AR$973=TYPE3)*(TYPE3&lt;&gt;"")+('Dvd Calendar'!$AR$973=TYPE4)*(TYPE4&lt;&gt;"")+('Dvd Calendar'!$AR$973=SPECIAL_LBL)*(INC_SPECIALS="Y"))=0,"",'Dvd Calendar'!$AR$971)))</f>
        <v/>
      </c>
      <c r="AQ99" s="110">
        <f>IF(FS99="","",IF(ISNUMBER('Dvd Calendar'!$E$976)=FALSE,"",'Dvd Calendar'!$E$976))</f>
        <v/>
      </c>
      <c r="AR99" s="110">
        <f>IF(FT99="","",IF(ISNUMBER('Dvd Calendar'!$F$976)=FALSE,"",'Dvd Calendar'!$F$976))</f>
        <v/>
      </c>
      <c r="AS99" s="110">
        <f>IF(FU99="","",IF(ISNUMBER('Dvd Calendar'!$G$976)=FALSE,"",'Dvd Calendar'!$G$976))</f>
        <v/>
      </c>
      <c r="AT99" s="110">
        <f>IF(FV99="","",IF(ISNUMBER('Dvd Calendar'!$H$976)=FALSE,"",'Dvd Calendar'!$H$976))</f>
        <v/>
      </c>
      <c r="AU99" s="110">
        <f>IF(FW99="","",IF(ISNUMBER('Dvd Calendar'!$I$976)=FALSE,"",'Dvd Calendar'!$I$976))</f>
        <v/>
      </c>
      <c r="AV99" s="110">
        <f>IF(FX99="","",IF(ISNUMBER('Dvd Calendar'!$J$976)=FALSE,"",'Dvd Calendar'!$J$976))</f>
        <v/>
      </c>
      <c r="AW99" s="110">
        <f>IF(FY99="","",IF(ISNUMBER('Dvd Calendar'!$K$976)=FALSE,"",'Dvd Calendar'!$K$976))</f>
        <v/>
      </c>
      <c r="AX99" s="110">
        <f>IF(FZ99="","",IF(ISNUMBER('Dvd Calendar'!$L$976)=FALSE,"",'Dvd Calendar'!$L$976))</f>
        <v/>
      </c>
      <c r="AY99" s="110">
        <f>IF(GA99="","",IF(ISNUMBER('Dvd Calendar'!$M$976)=FALSE,"",'Dvd Calendar'!$M$976))</f>
        <v/>
      </c>
      <c r="AZ99" s="110">
        <f>IF(GB99="","",IF(ISNUMBER('Dvd Calendar'!$N$976)=FALSE,"",'Dvd Calendar'!$N$976))</f>
        <v/>
      </c>
      <c r="BA99" s="110">
        <f>IF(GC99="","",IF(ISNUMBER('Dvd Calendar'!$O$976)=FALSE,"",'Dvd Calendar'!$O$976))</f>
        <v/>
      </c>
      <c r="BB99" s="110">
        <f>IF(GD99="","",IF(ISNUMBER('Dvd Calendar'!$P$976)=FALSE,"",'Dvd Calendar'!$P$976))</f>
        <v/>
      </c>
      <c r="BC99" s="110">
        <f>IF(GE99="","",IF(ISNUMBER('Dvd Calendar'!$Q$976)=FALSE,"",'Dvd Calendar'!$Q$976))</f>
        <v/>
      </c>
      <c r="BD99" s="110">
        <f>IF(GF99="","",IF(ISNUMBER('Dvd Calendar'!$R$976)=FALSE,"",'Dvd Calendar'!$R$976))</f>
        <v/>
      </c>
      <c r="BE99" s="110">
        <f>IF(GG99="","",IF(ISNUMBER('Dvd Calendar'!$S$976)=FALSE,"",'Dvd Calendar'!$S$976))</f>
        <v/>
      </c>
      <c r="BF99" s="110">
        <f>IF(GH99="","",IF(ISNUMBER('Dvd Calendar'!$T$976)=FALSE,"",'Dvd Calendar'!$T$976))</f>
        <v/>
      </c>
      <c r="BG99" s="110">
        <f>IF(GI99="","",IF(ISNUMBER('Dvd Calendar'!$U$976)=FALSE,"",'Dvd Calendar'!$U$976))</f>
        <v/>
      </c>
      <c r="BH99" s="110">
        <f>IF(GJ99="","",IF(ISNUMBER('Dvd Calendar'!$V$976)=FALSE,"",'Dvd Calendar'!$V$976))</f>
        <v/>
      </c>
      <c r="BI99" s="110">
        <f>IF(GK99="","",IF(ISNUMBER('Dvd Calendar'!$W$976)=FALSE,"",'Dvd Calendar'!$W$976))</f>
        <v/>
      </c>
      <c r="BJ99" s="110">
        <f>IF(GL99="","",IF(ISNUMBER('Dvd Calendar'!$X$976)=FALSE,"",'Dvd Calendar'!$X$976))</f>
        <v/>
      </c>
      <c r="BK99" s="110">
        <f>IF(GM99="","",IF(ISNUMBER('Dvd Calendar'!$Y$976)=FALSE,"",'Dvd Calendar'!$Y$976))</f>
        <v/>
      </c>
      <c r="BL99" s="110">
        <f>IF(GN99="","",IF(ISNUMBER('Dvd Calendar'!$Z$976)=FALSE,"",'Dvd Calendar'!$Z$976))</f>
        <v/>
      </c>
      <c r="BM99" s="110">
        <f>IF(GO99="","",IF(ISNUMBER('Dvd Calendar'!$AA$976)=FALSE,"",'Dvd Calendar'!$AA$976))</f>
        <v/>
      </c>
      <c r="BN99" s="110">
        <f>IF(GP99="","",IF(ISNUMBER('Dvd Calendar'!$AB$976)=FALSE,"",'Dvd Calendar'!$AB$976))</f>
        <v/>
      </c>
      <c r="BO99" s="110">
        <f>IF(GQ99="","",IF(ISNUMBER('Dvd Calendar'!$AC$976)=FALSE,"",'Dvd Calendar'!$AC$976))</f>
        <v/>
      </c>
      <c r="BQ99" s="110">
        <f>IF(C99="","",IFERROR(C99*HSI!$B$94*HSI!$G$94/HSI!$B$3,""))</f>
        <v/>
      </c>
      <c r="BR99" s="110">
        <f>IF(D99="","",IFERROR(D99*HSI!$B$94*HSI!$G$94/HSI!$B$3,""))</f>
        <v/>
      </c>
      <c r="BS99" s="110">
        <f>IF(E99="","",IFERROR(E99*HSI!$B$94*HSI!$G$94/HSI!$B$3,""))</f>
        <v/>
      </c>
      <c r="BT99" s="110">
        <f>IF(F99="","",IFERROR(F99*HSI!$B$94*HSI!$G$94/HSI!$B$3,""))</f>
        <v/>
      </c>
      <c r="BU99" s="110">
        <f>IF(G99="","",IFERROR(G99*HSI!$B$94*HSI!$G$94/HSI!$B$3,""))</f>
        <v/>
      </c>
      <c r="BV99" s="110">
        <f>IF(H99="","",IFERROR(H99*HSI!$B$94*HSI!$G$94/HSI!$B$3,""))</f>
        <v/>
      </c>
      <c r="BW99" s="110">
        <f>IF(I99="","",IFERROR(I99*HSI!$B$94*HSI!$G$94/HSI!$B$3,""))</f>
        <v/>
      </c>
      <c r="BX99" s="110">
        <f>IF(J99="","",IFERROR(J99*HSI!$B$94*HSI!$G$94/HSI!$B$3,""))</f>
        <v/>
      </c>
      <c r="BY99" s="110">
        <f>IF(K99="","",IFERROR(K99*HSI!$B$94*HSI!$G$94/HSI!$B$3,""))</f>
        <v/>
      </c>
      <c r="BZ99" s="110">
        <f>IF(L99="","",IFERROR(L99*HSI!$B$94*HSI!$G$94/HSI!$B$3,""))</f>
        <v/>
      </c>
      <c r="CA99" s="110">
        <f>IF(M99="","",IFERROR(M99*HSI!$B$94*HSI!$G$94/HSI!$B$3,""))</f>
        <v/>
      </c>
      <c r="CB99" s="110">
        <f>IF(N99="","",IFERROR(N99*HSI!$B$94*HSI!$G$94/HSI!$B$3,""))</f>
        <v/>
      </c>
      <c r="CC99" s="110">
        <f>IF(O99="","",IFERROR(O99*HSI!$B$94*HSI!$G$94/HSI!$B$3,""))</f>
        <v/>
      </c>
      <c r="CD99" s="110">
        <f>IF(P99="","",IFERROR(P99*HSI!$B$94*HSI!$G$94/HSI!$B$3,""))</f>
        <v/>
      </c>
      <c r="CE99" s="110">
        <f>IF(Q99="","",IFERROR(Q99*HSI!$B$94*HSI!$G$94/HSI!$B$3,""))</f>
        <v/>
      </c>
      <c r="CF99" s="110">
        <f>IF(R99="","",IFERROR(R99*HSI!$B$94*HSI!$G$94/HSI!$B$3,""))</f>
        <v/>
      </c>
      <c r="CG99" s="110">
        <f>IF(S99="","",IFERROR(S99*HSI!$B$94*HSI!$G$94/HSI!$B$3,""))</f>
        <v/>
      </c>
      <c r="CH99" s="110">
        <f>IF(T99="","",IFERROR(T99*HSI!$B$94*HSI!$G$94/HSI!$B$3,""))</f>
        <v/>
      </c>
      <c r="CI99" s="110">
        <f>IF(U99="","",IFERROR(U99*HSI!$B$94*HSI!$G$94/HSI!$B$3,""))</f>
        <v/>
      </c>
      <c r="CJ99" s="110">
        <f>IF(V99="","",IFERROR(V99*HSI!$B$94*HSI!$G$94/HSI!$B$3,""))</f>
        <v/>
      </c>
      <c r="CK99" s="110">
        <f>IF(W99="","",IFERROR(W99*HSI!$B$94*HSI!$G$94/HSI!$B$3,""))</f>
        <v/>
      </c>
      <c r="CL99" s="110">
        <f>IF(X99="","",IFERROR(X99*HSI!$B$94*HSI!$G$94/HSI!$B$3,""))</f>
        <v/>
      </c>
      <c r="CM99" s="110">
        <f>IF(Y99="","",IFERROR(Y99*HSI!$B$94*HSI!$G$94/HSI!$B$3,""))</f>
        <v/>
      </c>
      <c r="CN99" s="110">
        <f>IF(Z99="","",IFERROR(Z99*HSI!$B$94*HSI!$G$94/HSI!$B$3,""))</f>
        <v/>
      </c>
      <c r="CO99" s="110">
        <f>IF(AA99="","",IFERROR(AA99*HSI!$B$94*HSI!$G$94/HSI!$B$3,""))</f>
        <v/>
      </c>
      <c r="CP99" s="110">
        <f>IF(AB99="","",IFERROR(AB99*HSI!$B$94*HSI!$G$94/HSI!$B$3,""))</f>
        <v/>
      </c>
      <c r="CQ99" s="110">
        <f>IF(AC99="","",IFERROR(AC99*HSI!$B$94*HSI!$G$94/HSI!$B$3,""))</f>
        <v/>
      </c>
      <c r="CR99" s="110">
        <f>IF(AD99="","",IFERROR(AD99*HSI!$B$94*HSI!$G$94/HSI!$B$3,""))</f>
        <v/>
      </c>
      <c r="CS99" s="110">
        <f>IF(AE99="","",IFERROR(AE99*HSI!$B$94*HSI!$G$94/HSI!$B$3,""))</f>
        <v/>
      </c>
      <c r="CT99" s="110">
        <f>IF(AF99="","",IFERROR(AF99*HSI!$B$94*HSI!$G$94/HSI!$B$3,""))</f>
        <v/>
      </c>
      <c r="CU99" s="110">
        <f>IF(AG99="","",IFERROR(AG99*HSI!$B$94*HSI!$G$94/HSI!$B$3,""))</f>
        <v/>
      </c>
      <c r="CV99" s="110">
        <f>IF(AH99="","",IFERROR(AH99*HSI!$B$94*HSI!$G$94/HSI!$B$3,""))</f>
        <v/>
      </c>
      <c r="CW99" s="110">
        <f>IF(AI99="","",IFERROR(AI99*HSI!$B$94*HSI!$G$94/HSI!$B$3,""))</f>
        <v/>
      </c>
      <c r="CX99" s="110">
        <f>IF(AJ99="","",IFERROR(AJ99*HSI!$B$94*HSI!$G$94/HSI!$B$3,""))</f>
        <v/>
      </c>
      <c r="CY99" s="110">
        <f>IF(AK99="","",IFERROR(AK99*HSI!$B$94*HSI!$G$94/HSI!$B$3,""))</f>
        <v/>
      </c>
      <c r="CZ99" s="110">
        <f>IF(AL99="","",IFERROR(AL99*HSI!$B$94*HSI!$G$94/HSI!$B$3,""))</f>
        <v/>
      </c>
      <c r="DA99" s="110">
        <f>IF(AM99="","",IFERROR(AM99*HSI!$B$94*HSI!$G$94/HSI!$B$3,""))</f>
        <v/>
      </c>
      <c r="DB99" s="110">
        <f>IF(AN99="","",IFERROR(AN99*HSI!$B$94*HSI!$G$94/HSI!$B$3,""))</f>
        <v/>
      </c>
      <c r="DC99" s="110">
        <f>IF(AO99="","",IFERROR(AO99*HSI!$B$94*HSI!$G$94/HSI!$B$3,""))</f>
        <v/>
      </c>
      <c r="DD99" s="110">
        <f>IF(AP99="","",IFERROR(AP99*HSI!$B$94*HSI!$G$94/HSI!$B$3,""))</f>
        <v/>
      </c>
      <c r="DE99" s="110">
        <f>IF(AQ99="","",IFERROR(AQ99*HSI!$B$94*HSI!$G$94/HSI!$B$3,""))</f>
        <v/>
      </c>
      <c r="DF99" s="110">
        <f>IF(AR99="","",IFERROR(AR99*HSI!$B$94*HSI!$G$94/HSI!$B$3,""))</f>
        <v/>
      </c>
      <c r="DG99" s="110">
        <f>IF(AS99="","",IFERROR(AS99*HSI!$B$94*HSI!$G$94/HSI!$B$3,""))</f>
        <v/>
      </c>
      <c r="DH99" s="110">
        <f>IF(AT99="","",IFERROR(AT99*HSI!$B$94*HSI!$G$94/HSI!$B$3,""))</f>
        <v/>
      </c>
      <c r="DI99" s="110">
        <f>IF(AU99="","",IFERROR(AU99*HSI!$B$94*HSI!$G$94/HSI!$B$3,""))</f>
        <v/>
      </c>
      <c r="DJ99" s="110">
        <f>IF(AV99="","",IFERROR(AV99*HSI!$B$94*HSI!$G$94/HSI!$B$3,""))</f>
        <v/>
      </c>
      <c r="DK99" s="110">
        <f>IF(AW99="","",IFERROR(AW99*HSI!$B$94*HSI!$G$94/HSI!$B$3,""))</f>
        <v/>
      </c>
      <c r="DL99" s="110">
        <f>IF(AX99="","",IFERROR(AX99*HSI!$B$94*HSI!$G$94/HSI!$B$3,""))</f>
        <v/>
      </c>
      <c r="DM99" s="110">
        <f>IF(AY99="","",IFERROR(AY99*HSI!$B$94*HSI!$G$94/HSI!$B$3,""))</f>
        <v/>
      </c>
      <c r="DN99" s="110">
        <f>IF(AZ99="","",IFERROR(AZ99*HSI!$B$94*HSI!$G$94/HSI!$B$3,""))</f>
        <v/>
      </c>
      <c r="DO99" s="110">
        <f>IF(BA99="","",IFERROR(BA99*HSI!$B$94*HSI!$G$94/HSI!$B$3,""))</f>
        <v/>
      </c>
      <c r="DP99" s="110">
        <f>IF(BB99="","",IFERROR(BB99*HSI!$B$94*HSI!$G$94/HSI!$B$3,""))</f>
        <v/>
      </c>
      <c r="DQ99" s="110">
        <f>IF(BC99="","",IFERROR(BC99*HSI!$B$94*HSI!$G$94/HSI!$B$3,""))</f>
        <v/>
      </c>
      <c r="DR99" s="110">
        <f>IF(BD99="","",IFERROR(BD99*HSI!$B$94*HSI!$G$94/HSI!$B$3,""))</f>
        <v/>
      </c>
      <c r="DS99" s="110">
        <f>IF(BE99="","",IFERROR(BE99*HSI!$B$94*HSI!$G$94/HSI!$B$3,""))</f>
        <v/>
      </c>
      <c r="DT99" s="110">
        <f>IF(BF99="","",IFERROR(BF99*HSI!$B$94*HSI!$G$94/HSI!$B$3,""))</f>
        <v/>
      </c>
      <c r="DU99" s="110">
        <f>IF(BG99="","",IFERROR(BG99*HSI!$B$94*HSI!$G$94/HSI!$B$3,""))</f>
        <v/>
      </c>
      <c r="DV99" s="110">
        <f>IF(BH99="","",IFERROR(BH99*HSI!$B$94*HSI!$G$94/HSI!$B$3,""))</f>
        <v/>
      </c>
      <c r="DW99" s="110">
        <f>IF(BI99="","",IFERROR(BI99*HSI!$B$94*HSI!$G$94/HSI!$B$3,""))</f>
        <v/>
      </c>
      <c r="DX99" s="110">
        <f>IF(BJ99="","",IFERROR(BJ99*HSI!$B$94*HSI!$G$94/HSI!$B$3,""))</f>
        <v/>
      </c>
      <c r="DY99" s="110">
        <f>IF(BK99="","",IFERROR(BK99*HSI!$B$94*HSI!$G$94/HSI!$B$3,""))</f>
        <v/>
      </c>
      <c r="DZ99" s="110">
        <f>IF(BL99="","",IFERROR(BL99*HSI!$B$94*HSI!$G$94/HSI!$B$3,""))</f>
        <v/>
      </c>
      <c r="EA99" s="110">
        <f>IF(BM99="","",IFERROR(BM99*HSI!$B$94*HSI!$G$94/HSI!$B$3,""))</f>
        <v/>
      </c>
      <c r="EB99" s="110">
        <f>IF(BN99="","",IFERROR(BN99*HSI!$B$94*HSI!$G$94/HSI!$B$3,""))</f>
        <v/>
      </c>
      <c r="EC99" s="110">
        <f>IF(BO99="","",IFERROR(BO99*HSI!$B$94*HSI!$G$94/HSI!$B$3,""))</f>
        <v/>
      </c>
      <c r="EE99" s="39">
        <f>IF(N('Dvd Calendar'!$E$968)=0,"",IF(('Dvd Calendar'!$E$968&gt;=GRID_FROM)*('Dvd Calendar'!$E$968&lt;=GRID_TO)*((('Dvd Calendar'!$E$968&lt;=VAL_DATE)+(COUNTIF('Dvd Calendar'!$E$975:$AR$975,'Dvd Calendar'!$E$968)=0))&gt;0)=0,"",'Dvd Calendar'!$E$968*1000000000+ISNUMBER('Dvd Calendar'!$E$971)*100000000+('Dvd Calendar'!$E$973=SPECIAL_LBL)*10000000+(N('Dvd Calendar'!$E$967)&gt;0)*(N('Dvd Calendar'!$E$967)&lt;=VAL_SERIAL)*1000000+88*1000+1))</f>
        <v/>
      </c>
      <c r="EF99" s="39">
        <f>IF(N('Dvd Calendar'!$F$968)=0,"",IF(('Dvd Calendar'!$F$968&gt;=GRID_FROM)*('Dvd Calendar'!$F$968&lt;=GRID_TO)*((('Dvd Calendar'!$F$968&lt;=VAL_DATE)+(COUNTIF('Dvd Calendar'!$E$975:$AR$975,'Dvd Calendar'!$F$968)=0))&gt;0)=0,"",'Dvd Calendar'!$F$968*1000000000+ISNUMBER('Dvd Calendar'!$F$971)*100000000+('Dvd Calendar'!$F$973=SPECIAL_LBL)*10000000+(N('Dvd Calendar'!$F$967)&gt;0)*(N('Dvd Calendar'!$F$967)&lt;=VAL_SERIAL)*1000000+88*1000+2))</f>
        <v/>
      </c>
      <c r="EG99" s="39">
        <f>IF(N('Dvd Calendar'!$G$968)=0,"",IF(('Dvd Calendar'!$G$968&gt;=GRID_FROM)*('Dvd Calendar'!$G$968&lt;=GRID_TO)*((('Dvd Calendar'!$G$968&lt;=VAL_DATE)+(COUNTIF('Dvd Calendar'!$E$975:$AR$975,'Dvd Calendar'!$G$968)=0))&gt;0)=0,"",'Dvd Calendar'!$G$968*1000000000+ISNUMBER('Dvd Calendar'!$G$971)*100000000+('Dvd Calendar'!$G$973=SPECIAL_LBL)*10000000+(N('Dvd Calendar'!$G$967)&gt;0)*(N('Dvd Calendar'!$G$967)&lt;=VAL_SERIAL)*1000000+88*1000+3))</f>
        <v/>
      </c>
      <c r="EH99" s="39">
        <f>IF(N('Dvd Calendar'!$H$968)=0,"",IF(('Dvd Calendar'!$H$968&gt;=GRID_FROM)*('Dvd Calendar'!$H$968&lt;=GRID_TO)*((('Dvd Calendar'!$H$968&lt;=VAL_DATE)+(COUNTIF('Dvd Calendar'!$E$975:$AR$975,'Dvd Calendar'!$H$968)=0))&gt;0)=0,"",'Dvd Calendar'!$H$968*1000000000+ISNUMBER('Dvd Calendar'!$H$971)*100000000+('Dvd Calendar'!$H$973=SPECIAL_LBL)*10000000+(N('Dvd Calendar'!$H$967)&gt;0)*(N('Dvd Calendar'!$H$967)&lt;=VAL_SERIAL)*1000000+88*1000+4))</f>
        <v/>
      </c>
      <c r="EI99" s="39">
        <f>IF(N('Dvd Calendar'!$I$968)=0,"",IF(('Dvd Calendar'!$I$968&gt;=GRID_FROM)*('Dvd Calendar'!$I$968&lt;=GRID_TO)*((('Dvd Calendar'!$I$968&lt;=VAL_DATE)+(COUNTIF('Dvd Calendar'!$E$975:$AR$975,'Dvd Calendar'!$I$968)=0))&gt;0)=0,"",'Dvd Calendar'!$I$968*1000000000+ISNUMBER('Dvd Calendar'!$I$971)*100000000+('Dvd Calendar'!$I$973=SPECIAL_LBL)*10000000+(N('Dvd Calendar'!$I$967)&gt;0)*(N('Dvd Calendar'!$I$967)&lt;=VAL_SERIAL)*1000000+88*1000+5))</f>
        <v/>
      </c>
      <c r="EJ99" s="39">
        <f>IF(N('Dvd Calendar'!$J$968)=0,"",IF(('Dvd Calendar'!$J$968&gt;=GRID_FROM)*('Dvd Calendar'!$J$968&lt;=GRID_TO)*((('Dvd Calendar'!$J$968&lt;=VAL_DATE)+(COUNTIF('Dvd Calendar'!$E$975:$AR$975,'Dvd Calendar'!$J$968)=0))&gt;0)=0,"",'Dvd Calendar'!$J$968*1000000000+ISNUMBER('Dvd Calendar'!$J$971)*100000000+('Dvd Calendar'!$J$973=SPECIAL_LBL)*10000000+(N('Dvd Calendar'!$J$967)&gt;0)*(N('Dvd Calendar'!$J$967)&lt;=VAL_SERIAL)*1000000+88*1000+6))</f>
        <v/>
      </c>
      <c r="EK99" s="39">
        <f>IF(N('Dvd Calendar'!$K$968)=0,"",IF(('Dvd Calendar'!$K$968&gt;=GRID_FROM)*('Dvd Calendar'!$K$968&lt;=GRID_TO)*((('Dvd Calendar'!$K$968&lt;=VAL_DATE)+(COUNTIF('Dvd Calendar'!$E$975:$AR$975,'Dvd Calendar'!$K$968)=0))&gt;0)=0,"",'Dvd Calendar'!$K$968*1000000000+ISNUMBER('Dvd Calendar'!$K$971)*100000000+('Dvd Calendar'!$K$973=SPECIAL_LBL)*10000000+(N('Dvd Calendar'!$K$967)&gt;0)*(N('Dvd Calendar'!$K$967)&lt;=VAL_SERIAL)*1000000+88*1000+7))</f>
        <v/>
      </c>
      <c r="EL99" s="39">
        <f>IF(N('Dvd Calendar'!$L$968)=0,"",IF(('Dvd Calendar'!$L$968&gt;=GRID_FROM)*('Dvd Calendar'!$L$968&lt;=GRID_TO)*((('Dvd Calendar'!$L$968&lt;=VAL_DATE)+(COUNTIF('Dvd Calendar'!$E$975:$AR$975,'Dvd Calendar'!$L$968)=0))&gt;0)=0,"",'Dvd Calendar'!$L$968*1000000000+ISNUMBER('Dvd Calendar'!$L$971)*100000000+('Dvd Calendar'!$L$973=SPECIAL_LBL)*10000000+(N('Dvd Calendar'!$L$967)&gt;0)*(N('Dvd Calendar'!$L$967)&lt;=VAL_SERIAL)*1000000+88*1000+8))</f>
        <v/>
      </c>
      <c r="EM99" s="39">
        <f>IF(N('Dvd Calendar'!$M$968)=0,"",IF(('Dvd Calendar'!$M$968&gt;=GRID_FROM)*('Dvd Calendar'!$M$968&lt;=GRID_TO)*((('Dvd Calendar'!$M$968&lt;=VAL_DATE)+(COUNTIF('Dvd Calendar'!$E$975:$AR$975,'Dvd Calendar'!$M$968)=0))&gt;0)=0,"",'Dvd Calendar'!$M$968*1000000000+ISNUMBER('Dvd Calendar'!$M$971)*100000000+('Dvd Calendar'!$M$973=SPECIAL_LBL)*10000000+(N('Dvd Calendar'!$M$967)&gt;0)*(N('Dvd Calendar'!$M$967)&lt;=VAL_SERIAL)*1000000+88*1000+9))</f>
        <v/>
      </c>
      <c r="EN99" s="39">
        <f>IF(N('Dvd Calendar'!$N$968)=0,"",IF(('Dvd Calendar'!$N$968&gt;=GRID_FROM)*('Dvd Calendar'!$N$968&lt;=GRID_TO)*((('Dvd Calendar'!$N$968&lt;=VAL_DATE)+(COUNTIF('Dvd Calendar'!$E$975:$AR$975,'Dvd Calendar'!$N$968)=0))&gt;0)=0,"",'Dvd Calendar'!$N$968*1000000000+ISNUMBER('Dvd Calendar'!$N$971)*100000000+('Dvd Calendar'!$N$973=SPECIAL_LBL)*10000000+(N('Dvd Calendar'!$N$967)&gt;0)*(N('Dvd Calendar'!$N$967)&lt;=VAL_SERIAL)*1000000+88*1000+10))</f>
        <v/>
      </c>
      <c r="EO99" s="39">
        <f>IF(N('Dvd Calendar'!$O$968)=0,"",IF(('Dvd Calendar'!$O$968&gt;=GRID_FROM)*('Dvd Calendar'!$O$968&lt;=GRID_TO)*((('Dvd Calendar'!$O$968&lt;=VAL_DATE)+(COUNTIF('Dvd Calendar'!$E$975:$AR$975,'Dvd Calendar'!$O$968)=0))&gt;0)=0,"",'Dvd Calendar'!$O$968*1000000000+ISNUMBER('Dvd Calendar'!$O$971)*100000000+('Dvd Calendar'!$O$973=SPECIAL_LBL)*10000000+(N('Dvd Calendar'!$O$967)&gt;0)*(N('Dvd Calendar'!$O$967)&lt;=VAL_SERIAL)*1000000+88*1000+11))</f>
        <v/>
      </c>
      <c r="EP99" s="39">
        <f>IF(N('Dvd Calendar'!$P$968)=0,"",IF(('Dvd Calendar'!$P$968&gt;=GRID_FROM)*('Dvd Calendar'!$P$968&lt;=GRID_TO)*((('Dvd Calendar'!$P$968&lt;=VAL_DATE)+(COUNTIF('Dvd Calendar'!$E$975:$AR$975,'Dvd Calendar'!$P$968)=0))&gt;0)=0,"",'Dvd Calendar'!$P$968*1000000000+ISNUMBER('Dvd Calendar'!$P$971)*100000000+('Dvd Calendar'!$P$973=SPECIAL_LBL)*10000000+(N('Dvd Calendar'!$P$967)&gt;0)*(N('Dvd Calendar'!$P$967)&lt;=VAL_SERIAL)*1000000+88*1000+12))</f>
        <v/>
      </c>
      <c r="EQ99" s="39">
        <f>IF(N('Dvd Calendar'!$Q$968)=0,"",IF(('Dvd Calendar'!$Q$968&gt;=GRID_FROM)*('Dvd Calendar'!$Q$968&lt;=GRID_TO)*((('Dvd Calendar'!$Q$968&lt;=VAL_DATE)+(COUNTIF('Dvd Calendar'!$E$975:$AR$975,'Dvd Calendar'!$Q$968)=0))&gt;0)=0,"",'Dvd Calendar'!$Q$968*1000000000+ISNUMBER('Dvd Calendar'!$Q$971)*100000000+('Dvd Calendar'!$Q$973=SPECIAL_LBL)*10000000+(N('Dvd Calendar'!$Q$967)&gt;0)*(N('Dvd Calendar'!$Q$967)&lt;=VAL_SERIAL)*1000000+88*1000+13))</f>
        <v/>
      </c>
      <c r="ER99" s="39">
        <f>IF(N('Dvd Calendar'!$R$968)=0,"",IF(('Dvd Calendar'!$R$968&gt;=GRID_FROM)*('Dvd Calendar'!$R$968&lt;=GRID_TO)*((('Dvd Calendar'!$R$968&lt;=VAL_DATE)+(COUNTIF('Dvd Calendar'!$E$975:$AR$975,'Dvd Calendar'!$R$968)=0))&gt;0)=0,"",'Dvd Calendar'!$R$968*1000000000+ISNUMBER('Dvd Calendar'!$R$971)*100000000+('Dvd Calendar'!$R$973=SPECIAL_LBL)*10000000+(N('Dvd Calendar'!$R$967)&gt;0)*(N('Dvd Calendar'!$R$967)&lt;=VAL_SERIAL)*1000000+88*1000+14))</f>
        <v/>
      </c>
      <c r="ES99" s="39">
        <f>IF(N('Dvd Calendar'!$S$968)=0,"",IF(('Dvd Calendar'!$S$968&gt;=GRID_FROM)*('Dvd Calendar'!$S$968&lt;=GRID_TO)*((('Dvd Calendar'!$S$968&lt;=VAL_DATE)+(COUNTIF('Dvd Calendar'!$E$975:$AR$975,'Dvd Calendar'!$S$968)=0))&gt;0)=0,"",'Dvd Calendar'!$S$968*1000000000+ISNUMBER('Dvd Calendar'!$S$971)*100000000+('Dvd Calendar'!$S$973=SPECIAL_LBL)*10000000+(N('Dvd Calendar'!$S$967)&gt;0)*(N('Dvd Calendar'!$S$967)&lt;=VAL_SERIAL)*1000000+88*1000+15))</f>
        <v/>
      </c>
      <c r="ET99" s="39">
        <f>IF(N('Dvd Calendar'!$T$968)=0,"",IF(('Dvd Calendar'!$T$968&gt;=GRID_FROM)*('Dvd Calendar'!$T$968&lt;=GRID_TO)*((('Dvd Calendar'!$T$968&lt;=VAL_DATE)+(COUNTIF('Dvd Calendar'!$E$975:$AR$975,'Dvd Calendar'!$T$968)=0))&gt;0)=0,"",'Dvd Calendar'!$T$968*1000000000+ISNUMBER('Dvd Calendar'!$T$971)*100000000+('Dvd Calendar'!$T$973=SPECIAL_LBL)*10000000+(N('Dvd Calendar'!$T$967)&gt;0)*(N('Dvd Calendar'!$T$967)&lt;=VAL_SERIAL)*1000000+88*1000+16))</f>
        <v/>
      </c>
      <c r="EU99" s="39">
        <f>IF(N('Dvd Calendar'!$U$968)=0,"",IF(('Dvd Calendar'!$U$968&gt;=GRID_FROM)*('Dvd Calendar'!$U$968&lt;=GRID_TO)*((('Dvd Calendar'!$U$968&lt;=VAL_DATE)+(COUNTIF('Dvd Calendar'!$E$975:$AR$975,'Dvd Calendar'!$U$968)=0))&gt;0)=0,"",'Dvd Calendar'!$U$968*1000000000+ISNUMBER('Dvd Calendar'!$U$971)*100000000+('Dvd Calendar'!$U$973=SPECIAL_LBL)*10000000+(N('Dvd Calendar'!$U$967)&gt;0)*(N('Dvd Calendar'!$U$967)&lt;=VAL_SERIAL)*1000000+88*1000+17))</f>
        <v/>
      </c>
      <c r="EV99" s="39">
        <f>IF(N('Dvd Calendar'!$V$968)=0,"",IF(('Dvd Calendar'!$V$968&gt;=GRID_FROM)*('Dvd Calendar'!$V$968&lt;=GRID_TO)*((('Dvd Calendar'!$V$968&lt;=VAL_DATE)+(COUNTIF('Dvd Calendar'!$E$975:$AR$975,'Dvd Calendar'!$V$968)=0))&gt;0)=0,"",'Dvd Calendar'!$V$968*1000000000+ISNUMBER('Dvd Calendar'!$V$971)*100000000+('Dvd Calendar'!$V$973=SPECIAL_LBL)*10000000+(N('Dvd Calendar'!$V$967)&gt;0)*(N('Dvd Calendar'!$V$967)&lt;=VAL_SERIAL)*1000000+88*1000+18))</f>
        <v/>
      </c>
      <c r="EW99" s="39">
        <f>IF(N('Dvd Calendar'!$W$968)=0,"",IF(('Dvd Calendar'!$W$968&gt;=GRID_FROM)*('Dvd Calendar'!$W$968&lt;=GRID_TO)*((('Dvd Calendar'!$W$968&lt;=VAL_DATE)+(COUNTIF('Dvd Calendar'!$E$975:$AR$975,'Dvd Calendar'!$W$968)=0))&gt;0)=0,"",'Dvd Calendar'!$W$968*1000000000+ISNUMBER('Dvd Calendar'!$W$971)*100000000+('Dvd Calendar'!$W$973=SPECIAL_LBL)*10000000+(N('Dvd Calendar'!$W$967)&gt;0)*(N('Dvd Calendar'!$W$967)&lt;=VAL_SERIAL)*1000000+88*1000+19))</f>
        <v/>
      </c>
      <c r="EX99" s="39">
        <f>IF(N('Dvd Calendar'!$X$968)=0,"",IF(('Dvd Calendar'!$X$968&gt;=GRID_FROM)*('Dvd Calendar'!$X$968&lt;=GRID_TO)*((('Dvd Calendar'!$X$968&lt;=VAL_DATE)+(COUNTIF('Dvd Calendar'!$E$975:$AR$975,'Dvd Calendar'!$X$968)=0))&gt;0)=0,"",'Dvd Calendar'!$X$968*1000000000+ISNUMBER('Dvd Calendar'!$X$971)*100000000+('Dvd Calendar'!$X$973=SPECIAL_LBL)*10000000+(N('Dvd Calendar'!$X$967)&gt;0)*(N('Dvd Calendar'!$X$967)&lt;=VAL_SERIAL)*1000000+88*1000+20))</f>
        <v/>
      </c>
      <c r="EY99" s="39">
        <f>IF(N('Dvd Calendar'!$Y$968)=0,"",IF(('Dvd Calendar'!$Y$968&gt;=GRID_FROM)*('Dvd Calendar'!$Y$968&lt;=GRID_TO)*((('Dvd Calendar'!$Y$968&lt;=VAL_DATE)+(COUNTIF('Dvd Calendar'!$E$975:$AR$975,'Dvd Calendar'!$Y$968)=0))&gt;0)=0,"",'Dvd Calendar'!$Y$968*1000000000+ISNUMBER('Dvd Calendar'!$Y$971)*100000000+('Dvd Calendar'!$Y$973=SPECIAL_LBL)*10000000+(N('Dvd Calendar'!$Y$967)&gt;0)*(N('Dvd Calendar'!$Y$967)&lt;=VAL_SERIAL)*1000000+88*1000+21))</f>
        <v/>
      </c>
      <c r="EZ99" s="39">
        <f>IF(N('Dvd Calendar'!$Z$968)=0,"",IF(('Dvd Calendar'!$Z$968&gt;=GRID_FROM)*('Dvd Calendar'!$Z$968&lt;=GRID_TO)*((('Dvd Calendar'!$Z$968&lt;=VAL_DATE)+(COUNTIF('Dvd Calendar'!$E$975:$AR$975,'Dvd Calendar'!$Z$968)=0))&gt;0)=0,"",'Dvd Calendar'!$Z$968*1000000000+ISNUMBER('Dvd Calendar'!$Z$971)*100000000+('Dvd Calendar'!$Z$973=SPECIAL_LBL)*10000000+(N('Dvd Calendar'!$Z$967)&gt;0)*(N('Dvd Calendar'!$Z$967)&lt;=VAL_SERIAL)*1000000+88*1000+22))</f>
        <v/>
      </c>
      <c r="FA99" s="39">
        <f>IF(N('Dvd Calendar'!$AA$968)=0,"",IF(('Dvd Calendar'!$AA$968&gt;=GRID_FROM)*('Dvd Calendar'!$AA$968&lt;=GRID_TO)*((('Dvd Calendar'!$AA$968&lt;=VAL_DATE)+(COUNTIF('Dvd Calendar'!$E$975:$AR$975,'Dvd Calendar'!$AA$968)=0))&gt;0)=0,"",'Dvd Calendar'!$AA$968*1000000000+ISNUMBER('Dvd Calendar'!$AA$971)*100000000+('Dvd Calendar'!$AA$973=SPECIAL_LBL)*10000000+(N('Dvd Calendar'!$AA$967)&gt;0)*(N('Dvd Calendar'!$AA$967)&lt;=VAL_SERIAL)*1000000+88*1000+23))</f>
        <v/>
      </c>
      <c r="FB99" s="39">
        <f>IF(N('Dvd Calendar'!$AB$968)=0,"",IF(('Dvd Calendar'!$AB$968&gt;=GRID_FROM)*('Dvd Calendar'!$AB$968&lt;=GRID_TO)*((('Dvd Calendar'!$AB$968&lt;=VAL_DATE)+(COUNTIF('Dvd Calendar'!$E$975:$AR$975,'Dvd Calendar'!$AB$968)=0))&gt;0)=0,"",'Dvd Calendar'!$AB$968*1000000000+ISNUMBER('Dvd Calendar'!$AB$971)*100000000+('Dvd Calendar'!$AB$973=SPECIAL_LBL)*10000000+(N('Dvd Calendar'!$AB$967)&gt;0)*(N('Dvd Calendar'!$AB$967)&lt;=VAL_SERIAL)*1000000+88*1000+24))</f>
        <v/>
      </c>
      <c r="FC99" s="39">
        <f>IF(N('Dvd Calendar'!$AC$968)=0,"",IF(('Dvd Calendar'!$AC$968&gt;=GRID_FROM)*('Dvd Calendar'!$AC$968&lt;=GRID_TO)*((('Dvd Calendar'!$AC$968&lt;=VAL_DATE)+(COUNTIF('Dvd Calendar'!$E$975:$AR$975,'Dvd Calendar'!$AC$968)=0))&gt;0)=0,"",'Dvd Calendar'!$AC$968*1000000000+ISNUMBER('Dvd Calendar'!$AC$971)*100000000+('Dvd Calendar'!$AC$973=SPECIAL_LBL)*10000000+(N('Dvd Calendar'!$AC$967)&gt;0)*(N('Dvd Calendar'!$AC$967)&lt;=VAL_SERIAL)*1000000+88*1000+25))</f>
        <v/>
      </c>
      <c r="FD99" s="39">
        <f>IF(N('Dvd Calendar'!$AD$968)=0,"",IF(('Dvd Calendar'!$AD$968&gt;=GRID_FROM)*('Dvd Calendar'!$AD$968&lt;=GRID_TO)*((('Dvd Calendar'!$AD$968&lt;=VAL_DATE)+(COUNTIF('Dvd Calendar'!$E$975:$AR$975,'Dvd Calendar'!$AD$968)=0))&gt;0)=0,"",'Dvd Calendar'!$AD$968*1000000000+ISNUMBER('Dvd Calendar'!$AD$971)*100000000+('Dvd Calendar'!$AD$973=SPECIAL_LBL)*10000000+(N('Dvd Calendar'!$AD$967)&gt;0)*(N('Dvd Calendar'!$AD$967)&lt;=VAL_SERIAL)*1000000+88*1000+26))</f>
        <v/>
      </c>
      <c r="FE99" s="39">
        <f>IF(N('Dvd Calendar'!$AE$968)=0,"",IF(('Dvd Calendar'!$AE$968&gt;=GRID_FROM)*('Dvd Calendar'!$AE$968&lt;=GRID_TO)*((('Dvd Calendar'!$AE$968&lt;=VAL_DATE)+(COUNTIF('Dvd Calendar'!$E$975:$AR$975,'Dvd Calendar'!$AE$968)=0))&gt;0)=0,"",'Dvd Calendar'!$AE$968*1000000000+ISNUMBER('Dvd Calendar'!$AE$971)*100000000+('Dvd Calendar'!$AE$973=SPECIAL_LBL)*10000000+(N('Dvd Calendar'!$AE$967)&gt;0)*(N('Dvd Calendar'!$AE$967)&lt;=VAL_SERIAL)*1000000+88*1000+27))</f>
        <v/>
      </c>
      <c r="FF99" s="39">
        <f>IF(N('Dvd Calendar'!$AF$968)=0,"",IF(('Dvd Calendar'!$AF$968&gt;=GRID_FROM)*('Dvd Calendar'!$AF$968&lt;=GRID_TO)*((('Dvd Calendar'!$AF$968&lt;=VAL_DATE)+(COUNTIF('Dvd Calendar'!$E$975:$AR$975,'Dvd Calendar'!$AF$968)=0))&gt;0)=0,"",'Dvd Calendar'!$AF$968*1000000000+ISNUMBER('Dvd Calendar'!$AF$971)*100000000+('Dvd Calendar'!$AF$973=SPECIAL_LBL)*10000000+(N('Dvd Calendar'!$AF$967)&gt;0)*(N('Dvd Calendar'!$AF$967)&lt;=VAL_SERIAL)*1000000+88*1000+28))</f>
        <v/>
      </c>
      <c r="FG99" s="39">
        <f>IF(N('Dvd Calendar'!$AG$968)=0,"",IF(('Dvd Calendar'!$AG$968&gt;=GRID_FROM)*('Dvd Calendar'!$AG$968&lt;=GRID_TO)*((('Dvd Calendar'!$AG$968&lt;=VAL_DATE)+(COUNTIF('Dvd Calendar'!$E$975:$AR$975,'Dvd Calendar'!$AG$968)=0))&gt;0)=0,"",'Dvd Calendar'!$AG$968*1000000000+ISNUMBER('Dvd Calendar'!$AG$971)*100000000+('Dvd Calendar'!$AG$973=SPECIAL_LBL)*10000000+(N('Dvd Calendar'!$AG$967)&gt;0)*(N('Dvd Calendar'!$AG$967)&lt;=VAL_SERIAL)*1000000+88*1000+29))</f>
        <v/>
      </c>
      <c r="FH99" s="39">
        <f>IF(N('Dvd Calendar'!$AH$968)=0,"",IF(('Dvd Calendar'!$AH$968&gt;=GRID_FROM)*('Dvd Calendar'!$AH$968&lt;=GRID_TO)*((('Dvd Calendar'!$AH$968&lt;=VAL_DATE)+(COUNTIF('Dvd Calendar'!$E$975:$AR$975,'Dvd Calendar'!$AH$968)=0))&gt;0)=0,"",'Dvd Calendar'!$AH$968*1000000000+ISNUMBER('Dvd Calendar'!$AH$971)*100000000+('Dvd Calendar'!$AH$973=SPECIAL_LBL)*10000000+(N('Dvd Calendar'!$AH$967)&gt;0)*(N('Dvd Calendar'!$AH$967)&lt;=VAL_SERIAL)*1000000+88*1000+30))</f>
        <v/>
      </c>
      <c r="FI99" s="39">
        <f>IF(N('Dvd Calendar'!$AI$968)=0,"",IF(('Dvd Calendar'!$AI$968&gt;=GRID_FROM)*('Dvd Calendar'!$AI$968&lt;=GRID_TO)*((('Dvd Calendar'!$AI$968&lt;=VAL_DATE)+(COUNTIF('Dvd Calendar'!$E$975:$AR$975,'Dvd Calendar'!$AI$968)=0))&gt;0)=0,"",'Dvd Calendar'!$AI$968*1000000000+ISNUMBER('Dvd Calendar'!$AI$971)*100000000+('Dvd Calendar'!$AI$973=SPECIAL_LBL)*10000000+(N('Dvd Calendar'!$AI$967)&gt;0)*(N('Dvd Calendar'!$AI$967)&lt;=VAL_SERIAL)*1000000+88*1000+31))</f>
        <v/>
      </c>
      <c r="FJ99" s="39">
        <f>IF(N('Dvd Calendar'!$AJ$968)=0,"",IF(('Dvd Calendar'!$AJ$968&gt;=GRID_FROM)*('Dvd Calendar'!$AJ$968&lt;=GRID_TO)*((('Dvd Calendar'!$AJ$968&lt;=VAL_DATE)+(COUNTIF('Dvd Calendar'!$E$975:$AR$975,'Dvd Calendar'!$AJ$968)=0))&gt;0)=0,"",'Dvd Calendar'!$AJ$968*1000000000+ISNUMBER('Dvd Calendar'!$AJ$971)*100000000+('Dvd Calendar'!$AJ$973=SPECIAL_LBL)*10000000+(N('Dvd Calendar'!$AJ$967)&gt;0)*(N('Dvd Calendar'!$AJ$967)&lt;=VAL_SERIAL)*1000000+88*1000+32))</f>
        <v/>
      </c>
      <c r="FK99" s="39">
        <f>IF(N('Dvd Calendar'!$AK$968)=0,"",IF(('Dvd Calendar'!$AK$968&gt;=GRID_FROM)*('Dvd Calendar'!$AK$968&lt;=GRID_TO)*((('Dvd Calendar'!$AK$968&lt;=VAL_DATE)+(COUNTIF('Dvd Calendar'!$E$975:$AR$975,'Dvd Calendar'!$AK$968)=0))&gt;0)=0,"",'Dvd Calendar'!$AK$968*1000000000+ISNUMBER('Dvd Calendar'!$AK$971)*100000000+('Dvd Calendar'!$AK$973=SPECIAL_LBL)*10000000+(N('Dvd Calendar'!$AK$967)&gt;0)*(N('Dvd Calendar'!$AK$967)&lt;=VAL_SERIAL)*1000000+88*1000+33))</f>
        <v/>
      </c>
      <c r="FL99" s="39">
        <f>IF(N('Dvd Calendar'!$AL$968)=0,"",IF(('Dvd Calendar'!$AL$968&gt;=GRID_FROM)*('Dvd Calendar'!$AL$968&lt;=GRID_TO)*((('Dvd Calendar'!$AL$968&lt;=VAL_DATE)+(COUNTIF('Dvd Calendar'!$E$975:$AR$975,'Dvd Calendar'!$AL$968)=0))&gt;0)=0,"",'Dvd Calendar'!$AL$968*1000000000+ISNUMBER('Dvd Calendar'!$AL$971)*100000000+('Dvd Calendar'!$AL$973=SPECIAL_LBL)*10000000+(N('Dvd Calendar'!$AL$967)&gt;0)*(N('Dvd Calendar'!$AL$967)&lt;=VAL_SERIAL)*1000000+88*1000+34))</f>
        <v/>
      </c>
      <c r="FM99" s="39">
        <f>IF(N('Dvd Calendar'!$AM$968)=0,"",IF(('Dvd Calendar'!$AM$968&gt;=GRID_FROM)*('Dvd Calendar'!$AM$968&lt;=GRID_TO)*((('Dvd Calendar'!$AM$968&lt;=VAL_DATE)+(COUNTIF('Dvd Calendar'!$E$975:$AR$975,'Dvd Calendar'!$AM$968)=0))&gt;0)=0,"",'Dvd Calendar'!$AM$968*1000000000+ISNUMBER('Dvd Calendar'!$AM$971)*100000000+('Dvd Calendar'!$AM$973=SPECIAL_LBL)*10000000+(N('Dvd Calendar'!$AM$967)&gt;0)*(N('Dvd Calendar'!$AM$967)&lt;=VAL_SERIAL)*1000000+88*1000+35))</f>
        <v/>
      </c>
      <c r="FN99" s="39">
        <f>IF(N('Dvd Calendar'!$AN$968)=0,"",IF(('Dvd Calendar'!$AN$968&gt;=GRID_FROM)*('Dvd Calendar'!$AN$968&lt;=GRID_TO)*((('Dvd Calendar'!$AN$968&lt;=VAL_DATE)+(COUNTIF('Dvd Calendar'!$E$975:$AR$975,'Dvd Calendar'!$AN$968)=0))&gt;0)=0,"",'Dvd Calendar'!$AN$968*1000000000+ISNUMBER('Dvd Calendar'!$AN$971)*100000000+('Dvd Calendar'!$AN$973=SPECIAL_LBL)*10000000+(N('Dvd Calendar'!$AN$967)&gt;0)*(N('Dvd Calendar'!$AN$967)&lt;=VAL_SERIAL)*1000000+88*1000+36))</f>
        <v/>
      </c>
      <c r="FO99" s="39">
        <f>IF(N('Dvd Calendar'!$AO$968)=0,"",IF(('Dvd Calendar'!$AO$968&gt;=GRID_FROM)*('Dvd Calendar'!$AO$968&lt;=GRID_TO)*((('Dvd Calendar'!$AO$968&lt;=VAL_DATE)+(COUNTIF('Dvd Calendar'!$E$975:$AR$975,'Dvd Calendar'!$AO$968)=0))&gt;0)=0,"",'Dvd Calendar'!$AO$968*1000000000+ISNUMBER('Dvd Calendar'!$AO$971)*100000000+('Dvd Calendar'!$AO$973=SPECIAL_LBL)*10000000+(N('Dvd Calendar'!$AO$967)&gt;0)*(N('Dvd Calendar'!$AO$967)&lt;=VAL_SERIAL)*1000000+88*1000+37))</f>
        <v/>
      </c>
      <c r="FP99" s="39">
        <f>IF(N('Dvd Calendar'!$AP$968)=0,"",IF(('Dvd Calendar'!$AP$968&gt;=GRID_FROM)*('Dvd Calendar'!$AP$968&lt;=GRID_TO)*((('Dvd Calendar'!$AP$968&lt;=VAL_DATE)+(COUNTIF('Dvd Calendar'!$E$975:$AR$975,'Dvd Calendar'!$AP$968)=0))&gt;0)=0,"",'Dvd Calendar'!$AP$968*1000000000+ISNUMBER('Dvd Calendar'!$AP$971)*100000000+('Dvd Calendar'!$AP$973=SPECIAL_LBL)*10000000+(N('Dvd Calendar'!$AP$967)&gt;0)*(N('Dvd Calendar'!$AP$967)&lt;=VAL_SERIAL)*1000000+88*1000+38))</f>
        <v/>
      </c>
      <c r="FQ99" s="39">
        <f>IF(N('Dvd Calendar'!$AQ$968)=0,"",IF(('Dvd Calendar'!$AQ$968&gt;=GRID_FROM)*('Dvd Calendar'!$AQ$968&lt;=GRID_TO)*((('Dvd Calendar'!$AQ$968&lt;=VAL_DATE)+(COUNTIF('Dvd Calendar'!$E$975:$AR$975,'Dvd Calendar'!$AQ$968)=0))&gt;0)=0,"",'Dvd Calendar'!$AQ$968*1000000000+ISNUMBER('Dvd Calendar'!$AQ$971)*100000000+('Dvd Calendar'!$AQ$973=SPECIAL_LBL)*10000000+(N('Dvd Calendar'!$AQ$967)&gt;0)*(N('Dvd Calendar'!$AQ$967)&lt;=VAL_SERIAL)*1000000+88*1000+39))</f>
        <v/>
      </c>
      <c r="FR99" s="39">
        <f>IF(N('Dvd Calendar'!$AR$968)=0,"",IF(('Dvd Calendar'!$AR$968&gt;=GRID_FROM)*('Dvd Calendar'!$AR$968&lt;=GRID_TO)*((('Dvd Calendar'!$AR$968&lt;=VAL_DATE)+(COUNTIF('Dvd Calendar'!$E$975:$AR$975,'Dvd Calendar'!$AR$968)=0))&gt;0)=0,"",'Dvd Calendar'!$AR$968*1000000000+ISNUMBER('Dvd Calendar'!$AR$971)*100000000+('Dvd Calendar'!$AR$973=SPECIAL_LBL)*10000000+(N('Dvd Calendar'!$AR$967)&gt;0)*(N('Dvd Calendar'!$AR$967)&lt;=VAL_SERIAL)*1000000+88*1000+40))</f>
        <v/>
      </c>
      <c r="FS99" s="39">
        <f>IF(N('Dvd Calendar'!$E$975)=0,"",IF(('Dvd Calendar'!$E$975&gt;=GRID_FROM)*('Dvd Calendar'!$E$975&lt;=GRID_TO)*('Dvd Calendar'!$E$975&gt;VAL_DATE)=0,"",'Dvd Calendar'!$E$975*1000000000+ISNUMBER('Dvd Calendar'!$E$976)*100000000+0*10000000+(N('Dvd Calendar'!$E$974)&gt;0)*(N('Dvd Calendar'!$E$974)&lt;=VAL_SERIAL)*1000000+88*1000+41))</f>
        <v/>
      </c>
      <c r="FT99" s="39">
        <f>IF(N('Dvd Calendar'!$F$975)=0,"",IF(('Dvd Calendar'!$F$975&gt;=GRID_FROM)*('Dvd Calendar'!$F$975&lt;=GRID_TO)*('Dvd Calendar'!$F$975&gt;VAL_DATE)=0,"",'Dvd Calendar'!$F$975*1000000000+ISNUMBER('Dvd Calendar'!$F$976)*100000000+0*10000000+(N('Dvd Calendar'!$F$974)&gt;0)*(N('Dvd Calendar'!$F$974)&lt;=VAL_SERIAL)*1000000+88*1000+42))</f>
        <v/>
      </c>
      <c r="FU99" s="39">
        <f>IF(N('Dvd Calendar'!$G$975)=0,"",IF(('Dvd Calendar'!$G$975&gt;=GRID_FROM)*('Dvd Calendar'!$G$975&lt;=GRID_TO)*('Dvd Calendar'!$G$975&gt;VAL_DATE)=0,"",'Dvd Calendar'!$G$975*1000000000+ISNUMBER('Dvd Calendar'!$G$976)*100000000+0*10000000+(N('Dvd Calendar'!$G$974)&gt;0)*(N('Dvd Calendar'!$G$974)&lt;=VAL_SERIAL)*1000000+88*1000+43))</f>
        <v/>
      </c>
      <c r="FV99" s="39">
        <f>IF(N('Dvd Calendar'!$H$975)=0,"",IF(('Dvd Calendar'!$H$975&gt;=GRID_FROM)*('Dvd Calendar'!$H$975&lt;=GRID_TO)*('Dvd Calendar'!$H$975&gt;VAL_DATE)=0,"",'Dvd Calendar'!$H$975*1000000000+ISNUMBER('Dvd Calendar'!$H$976)*100000000+0*10000000+(N('Dvd Calendar'!$H$974)&gt;0)*(N('Dvd Calendar'!$H$974)&lt;=VAL_SERIAL)*1000000+88*1000+44))</f>
        <v/>
      </c>
      <c r="FW99" s="39">
        <f>IF(N('Dvd Calendar'!$I$975)=0,"",IF(('Dvd Calendar'!$I$975&gt;=GRID_FROM)*('Dvd Calendar'!$I$975&lt;=GRID_TO)*('Dvd Calendar'!$I$975&gt;VAL_DATE)=0,"",'Dvd Calendar'!$I$975*1000000000+ISNUMBER('Dvd Calendar'!$I$976)*100000000+0*10000000+(N('Dvd Calendar'!$I$974)&gt;0)*(N('Dvd Calendar'!$I$974)&lt;=VAL_SERIAL)*1000000+88*1000+45))</f>
        <v/>
      </c>
      <c r="FX99" s="39">
        <f>IF(N('Dvd Calendar'!$J$975)=0,"",IF(('Dvd Calendar'!$J$975&gt;=GRID_FROM)*('Dvd Calendar'!$J$975&lt;=GRID_TO)*('Dvd Calendar'!$J$975&gt;VAL_DATE)=0,"",'Dvd Calendar'!$J$975*1000000000+ISNUMBER('Dvd Calendar'!$J$976)*100000000+0*10000000+(N('Dvd Calendar'!$J$974)&gt;0)*(N('Dvd Calendar'!$J$974)&lt;=VAL_SERIAL)*1000000+88*1000+46))</f>
        <v/>
      </c>
      <c r="FY99" s="39">
        <f>IF(N('Dvd Calendar'!$K$975)=0,"",IF(('Dvd Calendar'!$K$975&gt;=GRID_FROM)*('Dvd Calendar'!$K$975&lt;=GRID_TO)*('Dvd Calendar'!$K$975&gt;VAL_DATE)=0,"",'Dvd Calendar'!$K$975*1000000000+ISNUMBER('Dvd Calendar'!$K$976)*100000000+0*10000000+(N('Dvd Calendar'!$K$974)&gt;0)*(N('Dvd Calendar'!$K$974)&lt;=VAL_SERIAL)*1000000+88*1000+47))</f>
        <v/>
      </c>
      <c r="FZ99" s="39">
        <f>IF(N('Dvd Calendar'!$L$975)=0,"",IF(('Dvd Calendar'!$L$975&gt;=GRID_FROM)*('Dvd Calendar'!$L$975&lt;=GRID_TO)*('Dvd Calendar'!$L$975&gt;VAL_DATE)=0,"",'Dvd Calendar'!$L$975*1000000000+ISNUMBER('Dvd Calendar'!$L$976)*100000000+0*10000000+(N('Dvd Calendar'!$L$974)&gt;0)*(N('Dvd Calendar'!$L$974)&lt;=VAL_SERIAL)*1000000+88*1000+48))</f>
        <v/>
      </c>
      <c r="GA99" s="39">
        <f>IF(N('Dvd Calendar'!$M$975)=0,"",IF(('Dvd Calendar'!$M$975&gt;=GRID_FROM)*('Dvd Calendar'!$M$975&lt;=GRID_TO)*('Dvd Calendar'!$M$975&gt;VAL_DATE)=0,"",'Dvd Calendar'!$M$975*1000000000+ISNUMBER('Dvd Calendar'!$M$976)*100000000+0*10000000+(N('Dvd Calendar'!$M$974)&gt;0)*(N('Dvd Calendar'!$M$974)&lt;=VAL_SERIAL)*1000000+88*1000+49))</f>
        <v/>
      </c>
      <c r="GB99" s="39">
        <f>IF(N('Dvd Calendar'!$N$975)=0,"",IF(('Dvd Calendar'!$N$975&gt;=GRID_FROM)*('Dvd Calendar'!$N$975&lt;=GRID_TO)*('Dvd Calendar'!$N$975&gt;VAL_DATE)=0,"",'Dvd Calendar'!$N$975*1000000000+ISNUMBER('Dvd Calendar'!$N$976)*100000000+0*10000000+(N('Dvd Calendar'!$N$974)&gt;0)*(N('Dvd Calendar'!$N$974)&lt;=VAL_SERIAL)*1000000+88*1000+50))</f>
        <v/>
      </c>
      <c r="GC99" s="39">
        <f>IF(N('Dvd Calendar'!$O$975)=0,"",IF(('Dvd Calendar'!$O$975&gt;=GRID_FROM)*('Dvd Calendar'!$O$975&lt;=GRID_TO)*('Dvd Calendar'!$O$975&gt;VAL_DATE)=0,"",'Dvd Calendar'!$O$975*1000000000+ISNUMBER('Dvd Calendar'!$O$976)*100000000+0*10000000+(N('Dvd Calendar'!$O$974)&gt;0)*(N('Dvd Calendar'!$O$974)&lt;=VAL_SERIAL)*1000000+88*1000+51))</f>
        <v/>
      </c>
      <c r="GD99" s="39">
        <f>IF(N('Dvd Calendar'!$P$975)=0,"",IF(('Dvd Calendar'!$P$975&gt;=GRID_FROM)*('Dvd Calendar'!$P$975&lt;=GRID_TO)*('Dvd Calendar'!$P$975&gt;VAL_DATE)=0,"",'Dvd Calendar'!$P$975*1000000000+ISNUMBER('Dvd Calendar'!$P$976)*100000000+0*10000000+(N('Dvd Calendar'!$P$974)&gt;0)*(N('Dvd Calendar'!$P$974)&lt;=VAL_SERIAL)*1000000+88*1000+52))</f>
        <v/>
      </c>
      <c r="GE99" s="39">
        <f>IF(N('Dvd Calendar'!$Q$975)=0,"",IF(('Dvd Calendar'!$Q$975&gt;=GRID_FROM)*('Dvd Calendar'!$Q$975&lt;=GRID_TO)*('Dvd Calendar'!$Q$975&gt;VAL_DATE)=0,"",'Dvd Calendar'!$Q$975*1000000000+ISNUMBER('Dvd Calendar'!$Q$976)*100000000+0*10000000+(N('Dvd Calendar'!$Q$974)&gt;0)*(N('Dvd Calendar'!$Q$974)&lt;=VAL_SERIAL)*1000000+88*1000+53))</f>
        <v/>
      </c>
      <c r="GF99" s="39">
        <f>IF(N('Dvd Calendar'!$R$975)=0,"",IF(('Dvd Calendar'!$R$975&gt;=GRID_FROM)*('Dvd Calendar'!$R$975&lt;=GRID_TO)*('Dvd Calendar'!$R$975&gt;VAL_DATE)=0,"",'Dvd Calendar'!$R$975*1000000000+ISNUMBER('Dvd Calendar'!$R$976)*100000000+0*10000000+(N('Dvd Calendar'!$R$974)&gt;0)*(N('Dvd Calendar'!$R$974)&lt;=VAL_SERIAL)*1000000+88*1000+54))</f>
        <v/>
      </c>
      <c r="GG99" s="39">
        <f>IF(N('Dvd Calendar'!$S$975)=0,"",IF(('Dvd Calendar'!$S$975&gt;=GRID_FROM)*('Dvd Calendar'!$S$975&lt;=GRID_TO)*('Dvd Calendar'!$S$975&gt;VAL_DATE)=0,"",'Dvd Calendar'!$S$975*1000000000+ISNUMBER('Dvd Calendar'!$S$976)*100000000+0*10000000+(N('Dvd Calendar'!$S$974)&gt;0)*(N('Dvd Calendar'!$S$974)&lt;=VAL_SERIAL)*1000000+88*1000+55))</f>
        <v/>
      </c>
      <c r="GH99" s="39">
        <f>IF(N('Dvd Calendar'!$T$975)=0,"",IF(('Dvd Calendar'!$T$975&gt;=GRID_FROM)*('Dvd Calendar'!$T$975&lt;=GRID_TO)*('Dvd Calendar'!$T$975&gt;VAL_DATE)=0,"",'Dvd Calendar'!$T$975*1000000000+ISNUMBER('Dvd Calendar'!$T$976)*100000000+0*10000000+(N('Dvd Calendar'!$T$974)&gt;0)*(N('Dvd Calendar'!$T$974)&lt;=VAL_SERIAL)*1000000+88*1000+56))</f>
        <v/>
      </c>
      <c r="GI99" s="39">
        <f>IF(N('Dvd Calendar'!$U$975)=0,"",IF(('Dvd Calendar'!$U$975&gt;=GRID_FROM)*('Dvd Calendar'!$U$975&lt;=GRID_TO)*('Dvd Calendar'!$U$975&gt;VAL_DATE)=0,"",'Dvd Calendar'!$U$975*1000000000+ISNUMBER('Dvd Calendar'!$U$976)*100000000+0*10000000+(N('Dvd Calendar'!$U$974)&gt;0)*(N('Dvd Calendar'!$U$974)&lt;=VAL_SERIAL)*1000000+88*1000+57))</f>
        <v/>
      </c>
      <c r="GJ99" s="39">
        <f>IF(N('Dvd Calendar'!$V$975)=0,"",IF(('Dvd Calendar'!$V$975&gt;=GRID_FROM)*('Dvd Calendar'!$V$975&lt;=GRID_TO)*('Dvd Calendar'!$V$975&gt;VAL_DATE)=0,"",'Dvd Calendar'!$V$975*1000000000+ISNUMBER('Dvd Calendar'!$V$976)*100000000+0*10000000+(N('Dvd Calendar'!$V$974)&gt;0)*(N('Dvd Calendar'!$V$974)&lt;=VAL_SERIAL)*1000000+88*1000+58))</f>
        <v/>
      </c>
      <c r="GK99" s="39">
        <f>IF(N('Dvd Calendar'!$W$975)=0,"",IF(('Dvd Calendar'!$W$975&gt;=GRID_FROM)*('Dvd Calendar'!$W$975&lt;=GRID_TO)*('Dvd Calendar'!$W$975&gt;VAL_DATE)=0,"",'Dvd Calendar'!$W$975*1000000000+ISNUMBER('Dvd Calendar'!$W$976)*100000000+0*10000000+(N('Dvd Calendar'!$W$974)&gt;0)*(N('Dvd Calendar'!$W$974)&lt;=VAL_SERIAL)*1000000+88*1000+59))</f>
        <v/>
      </c>
      <c r="GL99" s="39">
        <f>IF(N('Dvd Calendar'!$X$975)=0,"",IF(('Dvd Calendar'!$X$975&gt;=GRID_FROM)*('Dvd Calendar'!$X$975&lt;=GRID_TO)*('Dvd Calendar'!$X$975&gt;VAL_DATE)=0,"",'Dvd Calendar'!$X$975*1000000000+ISNUMBER('Dvd Calendar'!$X$976)*100000000+0*10000000+(N('Dvd Calendar'!$X$974)&gt;0)*(N('Dvd Calendar'!$X$974)&lt;=VAL_SERIAL)*1000000+88*1000+60))</f>
        <v/>
      </c>
      <c r="GM99" s="39">
        <f>IF(N('Dvd Calendar'!$Y$975)=0,"",IF(('Dvd Calendar'!$Y$975&gt;=GRID_FROM)*('Dvd Calendar'!$Y$975&lt;=GRID_TO)*('Dvd Calendar'!$Y$975&gt;VAL_DATE)=0,"",'Dvd Calendar'!$Y$975*1000000000+ISNUMBER('Dvd Calendar'!$Y$976)*100000000+0*10000000+(N('Dvd Calendar'!$Y$974)&gt;0)*(N('Dvd Calendar'!$Y$974)&lt;=VAL_SERIAL)*1000000+88*1000+61))</f>
        <v/>
      </c>
      <c r="GN99" s="39">
        <f>IF(N('Dvd Calendar'!$Z$975)=0,"",IF(('Dvd Calendar'!$Z$975&gt;=GRID_FROM)*('Dvd Calendar'!$Z$975&lt;=GRID_TO)*('Dvd Calendar'!$Z$975&gt;VAL_DATE)=0,"",'Dvd Calendar'!$Z$975*1000000000+ISNUMBER('Dvd Calendar'!$Z$976)*100000000+0*10000000+(N('Dvd Calendar'!$Z$974)&gt;0)*(N('Dvd Calendar'!$Z$974)&lt;=VAL_SERIAL)*1000000+88*1000+62))</f>
        <v/>
      </c>
      <c r="GO99" s="39">
        <f>IF(N('Dvd Calendar'!$AA$975)=0,"",IF(('Dvd Calendar'!$AA$975&gt;=GRID_FROM)*('Dvd Calendar'!$AA$975&lt;=GRID_TO)*('Dvd Calendar'!$AA$975&gt;VAL_DATE)=0,"",'Dvd Calendar'!$AA$975*1000000000+ISNUMBER('Dvd Calendar'!$AA$976)*100000000+0*10000000+(N('Dvd Calendar'!$AA$974)&gt;0)*(N('Dvd Calendar'!$AA$974)&lt;=VAL_SERIAL)*1000000+88*1000+63))</f>
        <v/>
      </c>
      <c r="GP99" s="39">
        <f>IF(N('Dvd Calendar'!$AB$975)=0,"",IF(('Dvd Calendar'!$AB$975&gt;=GRID_FROM)*('Dvd Calendar'!$AB$975&lt;=GRID_TO)*('Dvd Calendar'!$AB$975&gt;VAL_DATE)=0,"",'Dvd Calendar'!$AB$975*1000000000+ISNUMBER('Dvd Calendar'!$AB$976)*100000000+0*10000000+(N('Dvd Calendar'!$AB$974)&gt;0)*(N('Dvd Calendar'!$AB$974)&lt;=VAL_SERIAL)*1000000+88*1000+64))</f>
        <v/>
      </c>
      <c r="GQ99" s="39">
        <f>IF(N('Dvd Calendar'!$AC$975)=0,"",IF(('Dvd Calendar'!$AC$975&gt;=GRID_FROM)*('Dvd Calendar'!$AC$975&lt;=GRID_TO)*('Dvd Calendar'!$AC$975&gt;VAL_DATE)=0,"",'Dvd Calendar'!$AC$975*1000000000+ISNUMBER('Dvd Calendar'!$AC$976)*100000000+0*10000000+(N('Dvd Calendar'!$AC$974)&gt;0)*(N('Dvd Calendar'!$AC$974)&lt;=VAL_SERIAL)*1000000+88*1000+65))</f>
        <v/>
      </c>
    </row>
    <row r="100">
      <c r="B100" s="2">
        <f>IF(HSI!$C$95="","",HSI!$C$95)</f>
        <v/>
      </c>
      <c r="C100" s="110">
        <f>IF(EE100="","",IF(ISNUMBER('Dvd Calendar'!$E$982)=FALSE,"",IF((('Dvd Calendar'!$E$984=TYPE1)*(TYPE1&lt;&gt;"")+('Dvd Calendar'!$E$984=TYPE2)*(TYPE2&lt;&gt;"")+('Dvd Calendar'!$E$984=TYPE3)*(TYPE3&lt;&gt;"")+('Dvd Calendar'!$E$984=TYPE4)*(TYPE4&lt;&gt;"")+('Dvd Calendar'!$E$984=SPECIAL_LBL)*(INC_SPECIALS="Y"))=0,"",'Dvd Calendar'!$E$982)))</f>
        <v/>
      </c>
      <c r="D100" s="110">
        <f>IF(EF100="","",IF(ISNUMBER('Dvd Calendar'!$F$982)=FALSE,"",IF((('Dvd Calendar'!$F$984=TYPE1)*(TYPE1&lt;&gt;"")+('Dvd Calendar'!$F$984=TYPE2)*(TYPE2&lt;&gt;"")+('Dvd Calendar'!$F$984=TYPE3)*(TYPE3&lt;&gt;"")+('Dvd Calendar'!$F$984=TYPE4)*(TYPE4&lt;&gt;"")+('Dvd Calendar'!$F$984=SPECIAL_LBL)*(INC_SPECIALS="Y"))=0,"",'Dvd Calendar'!$F$982)))</f>
        <v/>
      </c>
      <c r="E100" s="110">
        <f>IF(EG100="","",IF(ISNUMBER('Dvd Calendar'!$G$982)=FALSE,"",IF((('Dvd Calendar'!$G$984=TYPE1)*(TYPE1&lt;&gt;"")+('Dvd Calendar'!$G$984=TYPE2)*(TYPE2&lt;&gt;"")+('Dvd Calendar'!$G$984=TYPE3)*(TYPE3&lt;&gt;"")+('Dvd Calendar'!$G$984=TYPE4)*(TYPE4&lt;&gt;"")+('Dvd Calendar'!$G$984=SPECIAL_LBL)*(INC_SPECIALS="Y"))=0,"",'Dvd Calendar'!$G$982)))</f>
        <v/>
      </c>
      <c r="F100" s="110">
        <f>IF(EH100="","",IF(ISNUMBER('Dvd Calendar'!$H$982)=FALSE,"",IF((('Dvd Calendar'!$H$984=TYPE1)*(TYPE1&lt;&gt;"")+('Dvd Calendar'!$H$984=TYPE2)*(TYPE2&lt;&gt;"")+('Dvd Calendar'!$H$984=TYPE3)*(TYPE3&lt;&gt;"")+('Dvd Calendar'!$H$984=TYPE4)*(TYPE4&lt;&gt;"")+('Dvd Calendar'!$H$984=SPECIAL_LBL)*(INC_SPECIALS="Y"))=0,"",'Dvd Calendar'!$H$982)))</f>
        <v/>
      </c>
      <c r="G100" s="110">
        <f>IF(EI100="","",IF(ISNUMBER('Dvd Calendar'!$I$982)=FALSE,"",IF((('Dvd Calendar'!$I$984=TYPE1)*(TYPE1&lt;&gt;"")+('Dvd Calendar'!$I$984=TYPE2)*(TYPE2&lt;&gt;"")+('Dvd Calendar'!$I$984=TYPE3)*(TYPE3&lt;&gt;"")+('Dvd Calendar'!$I$984=TYPE4)*(TYPE4&lt;&gt;"")+('Dvd Calendar'!$I$984=SPECIAL_LBL)*(INC_SPECIALS="Y"))=0,"",'Dvd Calendar'!$I$982)))</f>
        <v/>
      </c>
      <c r="H100" s="110">
        <f>IF(EJ100="","",IF(ISNUMBER('Dvd Calendar'!$J$982)=FALSE,"",IF((('Dvd Calendar'!$J$984=TYPE1)*(TYPE1&lt;&gt;"")+('Dvd Calendar'!$J$984=TYPE2)*(TYPE2&lt;&gt;"")+('Dvd Calendar'!$J$984=TYPE3)*(TYPE3&lt;&gt;"")+('Dvd Calendar'!$J$984=TYPE4)*(TYPE4&lt;&gt;"")+('Dvd Calendar'!$J$984=SPECIAL_LBL)*(INC_SPECIALS="Y"))=0,"",'Dvd Calendar'!$J$982)))</f>
        <v/>
      </c>
      <c r="I100" s="110">
        <f>IF(EK100="","",IF(ISNUMBER('Dvd Calendar'!$K$982)=FALSE,"",IF((('Dvd Calendar'!$K$984=TYPE1)*(TYPE1&lt;&gt;"")+('Dvd Calendar'!$K$984=TYPE2)*(TYPE2&lt;&gt;"")+('Dvd Calendar'!$K$984=TYPE3)*(TYPE3&lt;&gt;"")+('Dvd Calendar'!$K$984=TYPE4)*(TYPE4&lt;&gt;"")+('Dvd Calendar'!$K$984=SPECIAL_LBL)*(INC_SPECIALS="Y"))=0,"",'Dvd Calendar'!$K$982)))</f>
        <v/>
      </c>
      <c r="J100" s="110">
        <f>IF(EL100="","",IF(ISNUMBER('Dvd Calendar'!$L$982)=FALSE,"",IF((('Dvd Calendar'!$L$984=TYPE1)*(TYPE1&lt;&gt;"")+('Dvd Calendar'!$L$984=TYPE2)*(TYPE2&lt;&gt;"")+('Dvd Calendar'!$L$984=TYPE3)*(TYPE3&lt;&gt;"")+('Dvd Calendar'!$L$984=TYPE4)*(TYPE4&lt;&gt;"")+('Dvd Calendar'!$L$984=SPECIAL_LBL)*(INC_SPECIALS="Y"))=0,"",'Dvd Calendar'!$L$982)))</f>
        <v/>
      </c>
      <c r="K100" s="110">
        <f>IF(EM100="","",IF(ISNUMBER('Dvd Calendar'!$M$982)=FALSE,"",IF((('Dvd Calendar'!$M$984=TYPE1)*(TYPE1&lt;&gt;"")+('Dvd Calendar'!$M$984=TYPE2)*(TYPE2&lt;&gt;"")+('Dvd Calendar'!$M$984=TYPE3)*(TYPE3&lt;&gt;"")+('Dvd Calendar'!$M$984=TYPE4)*(TYPE4&lt;&gt;"")+('Dvd Calendar'!$M$984=SPECIAL_LBL)*(INC_SPECIALS="Y"))=0,"",'Dvd Calendar'!$M$982)))</f>
        <v/>
      </c>
      <c r="L100" s="110">
        <f>IF(EN100="","",IF(ISNUMBER('Dvd Calendar'!$N$982)=FALSE,"",IF((('Dvd Calendar'!$N$984=TYPE1)*(TYPE1&lt;&gt;"")+('Dvd Calendar'!$N$984=TYPE2)*(TYPE2&lt;&gt;"")+('Dvd Calendar'!$N$984=TYPE3)*(TYPE3&lt;&gt;"")+('Dvd Calendar'!$N$984=TYPE4)*(TYPE4&lt;&gt;"")+('Dvd Calendar'!$N$984=SPECIAL_LBL)*(INC_SPECIALS="Y"))=0,"",'Dvd Calendar'!$N$982)))</f>
        <v/>
      </c>
      <c r="M100" s="110">
        <f>IF(EO100="","",IF(ISNUMBER('Dvd Calendar'!$O$982)=FALSE,"",IF((('Dvd Calendar'!$O$984=TYPE1)*(TYPE1&lt;&gt;"")+('Dvd Calendar'!$O$984=TYPE2)*(TYPE2&lt;&gt;"")+('Dvd Calendar'!$O$984=TYPE3)*(TYPE3&lt;&gt;"")+('Dvd Calendar'!$O$984=TYPE4)*(TYPE4&lt;&gt;"")+('Dvd Calendar'!$O$984=SPECIAL_LBL)*(INC_SPECIALS="Y"))=0,"",'Dvd Calendar'!$O$982)))</f>
        <v/>
      </c>
      <c r="N100" s="110">
        <f>IF(EP100="","",IF(ISNUMBER('Dvd Calendar'!$P$982)=FALSE,"",IF((('Dvd Calendar'!$P$984=TYPE1)*(TYPE1&lt;&gt;"")+('Dvd Calendar'!$P$984=TYPE2)*(TYPE2&lt;&gt;"")+('Dvd Calendar'!$P$984=TYPE3)*(TYPE3&lt;&gt;"")+('Dvd Calendar'!$P$984=TYPE4)*(TYPE4&lt;&gt;"")+('Dvd Calendar'!$P$984=SPECIAL_LBL)*(INC_SPECIALS="Y"))=0,"",'Dvd Calendar'!$P$982)))</f>
        <v/>
      </c>
      <c r="O100" s="110">
        <f>IF(EQ100="","",IF(ISNUMBER('Dvd Calendar'!$Q$982)=FALSE,"",IF((('Dvd Calendar'!$Q$984=TYPE1)*(TYPE1&lt;&gt;"")+('Dvd Calendar'!$Q$984=TYPE2)*(TYPE2&lt;&gt;"")+('Dvd Calendar'!$Q$984=TYPE3)*(TYPE3&lt;&gt;"")+('Dvd Calendar'!$Q$984=TYPE4)*(TYPE4&lt;&gt;"")+('Dvd Calendar'!$Q$984=SPECIAL_LBL)*(INC_SPECIALS="Y"))=0,"",'Dvd Calendar'!$Q$982)))</f>
        <v/>
      </c>
      <c r="P100" s="110">
        <f>IF(ER100="","",IF(ISNUMBER('Dvd Calendar'!$R$982)=FALSE,"",IF((('Dvd Calendar'!$R$984=TYPE1)*(TYPE1&lt;&gt;"")+('Dvd Calendar'!$R$984=TYPE2)*(TYPE2&lt;&gt;"")+('Dvd Calendar'!$R$984=TYPE3)*(TYPE3&lt;&gt;"")+('Dvd Calendar'!$R$984=TYPE4)*(TYPE4&lt;&gt;"")+('Dvd Calendar'!$R$984=SPECIAL_LBL)*(INC_SPECIALS="Y"))=0,"",'Dvd Calendar'!$R$982)))</f>
        <v/>
      </c>
      <c r="Q100" s="110">
        <f>IF(ES100="","",IF(ISNUMBER('Dvd Calendar'!$S$982)=FALSE,"",IF((('Dvd Calendar'!$S$984=TYPE1)*(TYPE1&lt;&gt;"")+('Dvd Calendar'!$S$984=TYPE2)*(TYPE2&lt;&gt;"")+('Dvd Calendar'!$S$984=TYPE3)*(TYPE3&lt;&gt;"")+('Dvd Calendar'!$S$984=TYPE4)*(TYPE4&lt;&gt;"")+('Dvd Calendar'!$S$984=SPECIAL_LBL)*(INC_SPECIALS="Y"))=0,"",'Dvd Calendar'!$S$982)))</f>
        <v/>
      </c>
      <c r="R100" s="110">
        <f>IF(ET100="","",IF(ISNUMBER('Dvd Calendar'!$T$982)=FALSE,"",IF((('Dvd Calendar'!$T$984=TYPE1)*(TYPE1&lt;&gt;"")+('Dvd Calendar'!$T$984=TYPE2)*(TYPE2&lt;&gt;"")+('Dvd Calendar'!$T$984=TYPE3)*(TYPE3&lt;&gt;"")+('Dvd Calendar'!$T$984=TYPE4)*(TYPE4&lt;&gt;"")+('Dvd Calendar'!$T$984=SPECIAL_LBL)*(INC_SPECIALS="Y"))=0,"",'Dvd Calendar'!$T$982)))</f>
        <v/>
      </c>
      <c r="S100" s="110">
        <f>IF(EU100="","",IF(ISNUMBER('Dvd Calendar'!$U$982)=FALSE,"",IF((('Dvd Calendar'!$U$984=TYPE1)*(TYPE1&lt;&gt;"")+('Dvd Calendar'!$U$984=TYPE2)*(TYPE2&lt;&gt;"")+('Dvd Calendar'!$U$984=TYPE3)*(TYPE3&lt;&gt;"")+('Dvd Calendar'!$U$984=TYPE4)*(TYPE4&lt;&gt;"")+('Dvd Calendar'!$U$984=SPECIAL_LBL)*(INC_SPECIALS="Y"))=0,"",'Dvd Calendar'!$U$982)))</f>
        <v/>
      </c>
      <c r="T100" s="110">
        <f>IF(EV100="","",IF(ISNUMBER('Dvd Calendar'!$V$982)=FALSE,"",IF((('Dvd Calendar'!$V$984=TYPE1)*(TYPE1&lt;&gt;"")+('Dvd Calendar'!$V$984=TYPE2)*(TYPE2&lt;&gt;"")+('Dvd Calendar'!$V$984=TYPE3)*(TYPE3&lt;&gt;"")+('Dvd Calendar'!$V$984=TYPE4)*(TYPE4&lt;&gt;"")+('Dvd Calendar'!$V$984=SPECIAL_LBL)*(INC_SPECIALS="Y"))=0,"",'Dvd Calendar'!$V$982)))</f>
        <v/>
      </c>
      <c r="U100" s="110">
        <f>IF(EW100="","",IF(ISNUMBER('Dvd Calendar'!$W$982)=FALSE,"",IF((('Dvd Calendar'!$W$984=TYPE1)*(TYPE1&lt;&gt;"")+('Dvd Calendar'!$W$984=TYPE2)*(TYPE2&lt;&gt;"")+('Dvd Calendar'!$W$984=TYPE3)*(TYPE3&lt;&gt;"")+('Dvd Calendar'!$W$984=TYPE4)*(TYPE4&lt;&gt;"")+('Dvd Calendar'!$W$984=SPECIAL_LBL)*(INC_SPECIALS="Y"))=0,"",'Dvd Calendar'!$W$982)))</f>
        <v/>
      </c>
      <c r="V100" s="110">
        <f>IF(EX100="","",IF(ISNUMBER('Dvd Calendar'!$X$982)=FALSE,"",IF((('Dvd Calendar'!$X$984=TYPE1)*(TYPE1&lt;&gt;"")+('Dvd Calendar'!$X$984=TYPE2)*(TYPE2&lt;&gt;"")+('Dvd Calendar'!$X$984=TYPE3)*(TYPE3&lt;&gt;"")+('Dvd Calendar'!$X$984=TYPE4)*(TYPE4&lt;&gt;"")+('Dvd Calendar'!$X$984=SPECIAL_LBL)*(INC_SPECIALS="Y"))=0,"",'Dvd Calendar'!$X$982)))</f>
        <v/>
      </c>
      <c r="W100" s="110">
        <f>IF(EY100="","",IF(ISNUMBER('Dvd Calendar'!$Y$982)=FALSE,"",IF((('Dvd Calendar'!$Y$984=TYPE1)*(TYPE1&lt;&gt;"")+('Dvd Calendar'!$Y$984=TYPE2)*(TYPE2&lt;&gt;"")+('Dvd Calendar'!$Y$984=TYPE3)*(TYPE3&lt;&gt;"")+('Dvd Calendar'!$Y$984=TYPE4)*(TYPE4&lt;&gt;"")+('Dvd Calendar'!$Y$984=SPECIAL_LBL)*(INC_SPECIALS="Y"))=0,"",'Dvd Calendar'!$Y$982)))</f>
        <v/>
      </c>
      <c r="X100" s="110">
        <f>IF(EZ100="","",IF(ISNUMBER('Dvd Calendar'!$Z$982)=FALSE,"",IF((('Dvd Calendar'!$Z$984=TYPE1)*(TYPE1&lt;&gt;"")+('Dvd Calendar'!$Z$984=TYPE2)*(TYPE2&lt;&gt;"")+('Dvd Calendar'!$Z$984=TYPE3)*(TYPE3&lt;&gt;"")+('Dvd Calendar'!$Z$984=TYPE4)*(TYPE4&lt;&gt;"")+('Dvd Calendar'!$Z$984=SPECIAL_LBL)*(INC_SPECIALS="Y"))=0,"",'Dvd Calendar'!$Z$982)))</f>
        <v/>
      </c>
      <c r="Y100" s="110">
        <f>IF(FA100="","",IF(ISNUMBER('Dvd Calendar'!$AA$982)=FALSE,"",IF((('Dvd Calendar'!$AA$984=TYPE1)*(TYPE1&lt;&gt;"")+('Dvd Calendar'!$AA$984=TYPE2)*(TYPE2&lt;&gt;"")+('Dvd Calendar'!$AA$984=TYPE3)*(TYPE3&lt;&gt;"")+('Dvd Calendar'!$AA$984=TYPE4)*(TYPE4&lt;&gt;"")+('Dvd Calendar'!$AA$984=SPECIAL_LBL)*(INC_SPECIALS="Y"))=0,"",'Dvd Calendar'!$AA$982)))</f>
        <v/>
      </c>
      <c r="Z100" s="110">
        <f>IF(FB100="","",IF(ISNUMBER('Dvd Calendar'!$AB$982)=FALSE,"",IF((('Dvd Calendar'!$AB$984=TYPE1)*(TYPE1&lt;&gt;"")+('Dvd Calendar'!$AB$984=TYPE2)*(TYPE2&lt;&gt;"")+('Dvd Calendar'!$AB$984=TYPE3)*(TYPE3&lt;&gt;"")+('Dvd Calendar'!$AB$984=TYPE4)*(TYPE4&lt;&gt;"")+('Dvd Calendar'!$AB$984=SPECIAL_LBL)*(INC_SPECIALS="Y"))=0,"",'Dvd Calendar'!$AB$982)))</f>
        <v/>
      </c>
      <c r="AA100" s="110">
        <f>IF(FC100="","",IF(ISNUMBER('Dvd Calendar'!$AC$982)=FALSE,"",IF((('Dvd Calendar'!$AC$984=TYPE1)*(TYPE1&lt;&gt;"")+('Dvd Calendar'!$AC$984=TYPE2)*(TYPE2&lt;&gt;"")+('Dvd Calendar'!$AC$984=TYPE3)*(TYPE3&lt;&gt;"")+('Dvd Calendar'!$AC$984=TYPE4)*(TYPE4&lt;&gt;"")+('Dvd Calendar'!$AC$984=SPECIAL_LBL)*(INC_SPECIALS="Y"))=0,"",'Dvd Calendar'!$AC$982)))</f>
        <v/>
      </c>
      <c r="AB100" s="110">
        <f>IF(FD100="","",IF(ISNUMBER('Dvd Calendar'!$AD$982)=FALSE,"",IF((('Dvd Calendar'!$AD$984=TYPE1)*(TYPE1&lt;&gt;"")+('Dvd Calendar'!$AD$984=TYPE2)*(TYPE2&lt;&gt;"")+('Dvd Calendar'!$AD$984=TYPE3)*(TYPE3&lt;&gt;"")+('Dvd Calendar'!$AD$984=TYPE4)*(TYPE4&lt;&gt;"")+('Dvd Calendar'!$AD$984=SPECIAL_LBL)*(INC_SPECIALS="Y"))=0,"",'Dvd Calendar'!$AD$982)))</f>
        <v/>
      </c>
      <c r="AC100" s="110">
        <f>IF(FE100="","",IF(ISNUMBER('Dvd Calendar'!$AE$982)=FALSE,"",IF((('Dvd Calendar'!$AE$984=TYPE1)*(TYPE1&lt;&gt;"")+('Dvd Calendar'!$AE$984=TYPE2)*(TYPE2&lt;&gt;"")+('Dvd Calendar'!$AE$984=TYPE3)*(TYPE3&lt;&gt;"")+('Dvd Calendar'!$AE$984=TYPE4)*(TYPE4&lt;&gt;"")+('Dvd Calendar'!$AE$984=SPECIAL_LBL)*(INC_SPECIALS="Y"))=0,"",'Dvd Calendar'!$AE$982)))</f>
        <v/>
      </c>
      <c r="AD100" s="110">
        <f>IF(FF100="","",IF(ISNUMBER('Dvd Calendar'!$AF$982)=FALSE,"",IF((('Dvd Calendar'!$AF$984=TYPE1)*(TYPE1&lt;&gt;"")+('Dvd Calendar'!$AF$984=TYPE2)*(TYPE2&lt;&gt;"")+('Dvd Calendar'!$AF$984=TYPE3)*(TYPE3&lt;&gt;"")+('Dvd Calendar'!$AF$984=TYPE4)*(TYPE4&lt;&gt;"")+('Dvd Calendar'!$AF$984=SPECIAL_LBL)*(INC_SPECIALS="Y"))=0,"",'Dvd Calendar'!$AF$982)))</f>
        <v/>
      </c>
      <c r="AE100" s="110">
        <f>IF(FG100="","",IF(ISNUMBER('Dvd Calendar'!$AG$982)=FALSE,"",IF((('Dvd Calendar'!$AG$984=TYPE1)*(TYPE1&lt;&gt;"")+('Dvd Calendar'!$AG$984=TYPE2)*(TYPE2&lt;&gt;"")+('Dvd Calendar'!$AG$984=TYPE3)*(TYPE3&lt;&gt;"")+('Dvd Calendar'!$AG$984=TYPE4)*(TYPE4&lt;&gt;"")+('Dvd Calendar'!$AG$984=SPECIAL_LBL)*(INC_SPECIALS="Y"))=0,"",'Dvd Calendar'!$AG$982)))</f>
        <v/>
      </c>
      <c r="AF100" s="110">
        <f>IF(FH100="","",IF(ISNUMBER('Dvd Calendar'!$AH$982)=FALSE,"",IF((('Dvd Calendar'!$AH$984=TYPE1)*(TYPE1&lt;&gt;"")+('Dvd Calendar'!$AH$984=TYPE2)*(TYPE2&lt;&gt;"")+('Dvd Calendar'!$AH$984=TYPE3)*(TYPE3&lt;&gt;"")+('Dvd Calendar'!$AH$984=TYPE4)*(TYPE4&lt;&gt;"")+('Dvd Calendar'!$AH$984=SPECIAL_LBL)*(INC_SPECIALS="Y"))=0,"",'Dvd Calendar'!$AH$982)))</f>
        <v/>
      </c>
      <c r="AG100" s="110">
        <f>IF(FI100="","",IF(ISNUMBER('Dvd Calendar'!$AI$982)=FALSE,"",IF((('Dvd Calendar'!$AI$984=TYPE1)*(TYPE1&lt;&gt;"")+('Dvd Calendar'!$AI$984=TYPE2)*(TYPE2&lt;&gt;"")+('Dvd Calendar'!$AI$984=TYPE3)*(TYPE3&lt;&gt;"")+('Dvd Calendar'!$AI$984=TYPE4)*(TYPE4&lt;&gt;"")+('Dvd Calendar'!$AI$984=SPECIAL_LBL)*(INC_SPECIALS="Y"))=0,"",'Dvd Calendar'!$AI$982)))</f>
        <v/>
      </c>
      <c r="AH100" s="110">
        <f>IF(FJ100="","",IF(ISNUMBER('Dvd Calendar'!$AJ$982)=FALSE,"",IF((('Dvd Calendar'!$AJ$984=TYPE1)*(TYPE1&lt;&gt;"")+('Dvd Calendar'!$AJ$984=TYPE2)*(TYPE2&lt;&gt;"")+('Dvd Calendar'!$AJ$984=TYPE3)*(TYPE3&lt;&gt;"")+('Dvd Calendar'!$AJ$984=TYPE4)*(TYPE4&lt;&gt;"")+('Dvd Calendar'!$AJ$984=SPECIAL_LBL)*(INC_SPECIALS="Y"))=0,"",'Dvd Calendar'!$AJ$982)))</f>
        <v/>
      </c>
      <c r="AI100" s="110">
        <f>IF(FK100="","",IF(ISNUMBER('Dvd Calendar'!$AK$982)=FALSE,"",IF((('Dvd Calendar'!$AK$984=TYPE1)*(TYPE1&lt;&gt;"")+('Dvd Calendar'!$AK$984=TYPE2)*(TYPE2&lt;&gt;"")+('Dvd Calendar'!$AK$984=TYPE3)*(TYPE3&lt;&gt;"")+('Dvd Calendar'!$AK$984=TYPE4)*(TYPE4&lt;&gt;"")+('Dvd Calendar'!$AK$984=SPECIAL_LBL)*(INC_SPECIALS="Y"))=0,"",'Dvd Calendar'!$AK$982)))</f>
        <v/>
      </c>
      <c r="AJ100" s="110">
        <f>IF(FL100="","",IF(ISNUMBER('Dvd Calendar'!$AL$982)=FALSE,"",IF((('Dvd Calendar'!$AL$984=TYPE1)*(TYPE1&lt;&gt;"")+('Dvd Calendar'!$AL$984=TYPE2)*(TYPE2&lt;&gt;"")+('Dvd Calendar'!$AL$984=TYPE3)*(TYPE3&lt;&gt;"")+('Dvd Calendar'!$AL$984=TYPE4)*(TYPE4&lt;&gt;"")+('Dvd Calendar'!$AL$984=SPECIAL_LBL)*(INC_SPECIALS="Y"))=0,"",'Dvd Calendar'!$AL$982)))</f>
        <v/>
      </c>
      <c r="AK100" s="110">
        <f>IF(FM100="","",IF(ISNUMBER('Dvd Calendar'!$AM$982)=FALSE,"",IF((('Dvd Calendar'!$AM$984=TYPE1)*(TYPE1&lt;&gt;"")+('Dvd Calendar'!$AM$984=TYPE2)*(TYPE2&lt;&gt;"")+('Dvd Calendar'!$AM$984=TYPE3)*(TYPE3&lt;&gt;"")+('Dvd Calendar'!$AM$984=TYPE4)*(TYPE4&lt;&gt;"")+('Dvd Calendar'!$AM$984=SPECIAL_LBL)*(INC_SPECIALS="Y"))=0,"",'Dvd Calendar'!$AM$982)))</f>
        <v/>
      </c>
      <c r="AL100" s="110">
        <f>IF(FN100="","",IF(ISNUMBER('Dvd Calendar'!$AN$982)=FALSE,"",IF((('Dvd Calendar'!$AN$984=TYPE1)*(TYPE1&lt;&gt;"")+('Dvd Calendar'!$AN$984=TYPE2)*(TYPE2&lt;&gt;"")+('Dvd Calendar'!$AN$984=TYPE3)*(TYPE3&lt;&gt;"")+('Dvd Calendar'!$AN$984=TYPE4)*(TYPE4&lt;&gt;"")+('Dvd Calendar'!$AN$984=SPECIAL_LBL)*(INC_SPECIALS="Y"))=0,"",'Dvd Calendar'!$AN$982)))</f>
        <v/>
      </c>
      <c r="AM100" s="110">
        <f>IF(FO100="","",IF(ISNUMBER('Dvd Calendar'!$AO$982)=FALSE,"",IF((('Dvd Calendar'!$AO$984=TYPE1)*(TYPE1&lt;&gt;"")+('Dvd Calendar'!$AO$984=TYPE2)*(TYPE2&lt;&gt;"")+('Dvd Calendar'!$AO$984=TYPE3)*(TYPE3&lt;&gt;"")+('Dvd Calendar'!$AO$984=TYPE4)*(TYPE4&lt;&gt;"")+('Dvd Calendar'!$AO$984=SPECIAL_LBL)*(INC_SPECIALS="Y"))=0,"",'Dvd Calendar'!$AO$982)))</f>
        <v/>
      </c>
      <c r="AN100" s="110">
        <f>IF(FP100="","",IF(ISNUMBER('Dvd Calendar'!$AP$982)=FALSE,"",IF((('Dvd Calendar'!$AP$984=TYPE1)*(TYPE1&lt;&gt;"")+('Dvd Calendar'!$AP$984=TYPE2)*(TYPE2&lt;&gt;"")+('Dvd Calendar'!$AP$984=TYPE3)*(TYPE3&lt;&gt;"")+('Dvd Calendar'!$AP$984=TYPE4)*(TYPE4&lt;&gt;"")+('Dvd Calendar'!$AP$984=SPECIAL_LBL)*(INC_SPECIALS="Y"))=0,"",'Dvd Calendar'!$AP$982)))</f>
        <v/>
      </c>
      <c r="AO100" s="110">
        <f>IF(FQ100="","",IF(ISNUMBER('Dvd Calendar'!$AQ$982)=FALSE,"",IF((('Dvd Calendar'!$AQ$984=TYPE1)*(TYPE1&lt;&gt;"")+('Dvd Calendar'!$AQ$984=TYPE2)*(TYPE2&lt;&gt;"")+('Dvd Calendar'!$AQ$984=TYPE3)*(TYPE3&lt;&gt;"")+('Dvd Calendar'!$AQ$984=TYPE4)*(TYPE4&lt;&gt;"")+('Dvd Calendar'!$AQ$984=SPECIAL_LBL)*(INC_SPECIALS="Y"))=0,"",'Dvd Calendar'!$AQ$982)))</f>
        <v/>
      </c>
      <c r="AP100" s="110">
        <f>IF(FR100="","",IF(ISNUMBER('Dvd Calendar'!$AR$982)=FALSE,"",IF((('Dvd Calendar'!$AR$984=TYPE1)*(TYPE1&lt;&gt;"")+('Dvd Calendar'!$AR$984=TYPE2)*(TYPE2&lt;&gt;"")+('Dvd Calendar'!$AR$984=TYPE3)*(TYPE3&lt;&gt;"")+('Dvd Calendar'!$AR$984=TYPE4)*(TYPE4&lt;&gt;"")+('Dvd Calendar'!$AR$984=SPECIAL_LBL)*(INC_SPECIALS="Y"))=0,"",'Dvd Calendar'!$AR$982)))</f>
        <v/>
      </c>
      <c r="AQ100" s="110">
        <f>IF(FS100="","",IF(ISNUMBER('Dvd Calendar'!$E$987)=FALSE,"",'Dvd Calendar'!$E$987))</f>
        <v/>
      </c>
      <c r="AR100" s="110">
        <f>IF(FT100="","",IF(ISNUMBER('Dvd Calendar'!$F$987)=FALSE,"",'Dvd Calendar'!$F$987))</f>
        <v/>
      </c>
      <c r="AS100" s="110">
        <f>IF(FU100="","",IF(ISNUMBER('Dvd Calendar'!$G$987)=FALSE,"",'Dvd Calendar'!$G$987))</f>
        <v/>
      </c>
      <c r="AT100" s="110">
        <f>IF(FV100="","",IF(ISNUMBER('Dvd Calendar'!$H$987)=FALSE,"",'Dvd Calendar'!$H$987))</f>
        <v/>
      </c>
      <c r="AU100" s="110">
        <f>IF(FW100="","",IF(ISNUMBER('Dvd Calendar'!$I$987)=FALSE,"",'Dvd Calendar'!$I$987))</f>
        <v/>
      </c>
      <c r="AV100" s="110">
        <f>IF(FX100="","",IF(ISNUMBER('Dvd Calendar'!$J$987)=FALSE,"",'Dvd Calendar'!$J$987))</f>
        <v/>
      </c>
      <c r="AW100" s="110">
        <f>IF(FY100="","",IF(ISNUMBER('Dvd Calendar'!$K$987)=FALSE,"",'Dvd Calendar'!$K$987))</f>
        <v/>
      </c>
      <c r="AX100" s="110">
        <f>IF(FZ100="","",IF(ISNUMBER('Dvd Calendar'!$L$987)=FALSE,"",'Dvd Calendar'!$L$987))</f>
        <v/>
      </c>
      <c r="AY100" s="110">
        <f>IF(GA100="","",IF(ISNUMBER('Dvd Calendar'!$M$987)=FALSE,"",'Dvd Calendar'!$M$987))</f>
        <v/>
      </c>
      <c r="AZ100" s="110">
        <f>IF(GB100="","",IF(ISNUMBER('Dvd Calendar'!$N$987)=FALSE,"",'Dvd Calendar'!$N$987))</f>
        <v/>
      </c>
      <c r="BA100" s="110">
        <f>IF(GC100="","",IF(ISNUMBER('Dvd Calendar'!$O$987)=FALSE,"",'Dvd Calendar'!$O$987))</f>
        <v/>
      </c>
      <c r="BB100" s="110">
        <f>IF(GD100="","",IF(ISNUMBER('Dvd Calendar'!$P$987)=FALSE,"",'Dvd Calendar'!$P$987))</f>
        <v/>
      </c>
      <c r="BC100" s="110">
        <f>IF(GE100="","",IF(ISNUMBER('Dvd Calendar'!$Q$987)=FALSE,"",'Dvd Calendar'!$Q$987))</f>
        <v/>
      </c>
      <c r="BD100" s="110">
        <f>IF(GF100="","",IF(ISNUMBER('Dvd Calendar'!$R$987)=FALSE,"",'Dvd Calendar'!$R$987))</f>
        <v/>
      </c>
      <c r="BE100" s="110">
        <f>IF(GG100="","",IF(ISNUMBER('Dvd Calendar'!$S$987)=FALSE,"",'Dvd Calendar'!$S$987))</f>
        <v/>
      </c>
      <c r="BF100" s="110">
        <f>IF(GH100="","",IF(ISNUMBER('Dvd Calendar'!$T$987)=FALSE,"",'Dvd Calendar'!$T$987))</f>
        <v/>
      </c>
      <c r="BG100" s="110">
        <f>IF(GI100="","",IF(ISNUMBER('Dvd Calendar'!$U$987)=FALSE,"",'Dvd Calendar'!$U$987))</f>
        <v/>
      </c>
      <c r="BH100" s="110">
        <f>IF(GJ100="","",IF(ISNUMBER('Dvd Calendar'!$V$987)=FALSE,"",'Dvd Calendar'!$V$987))</f>
        <v/>
      </c>
      <c r="BI100" s="110">
        <f>IF(GK100="","",IF(ISNUMBER('Dvd Calendar'!$W$987)=FALSE,"",'Dvd Calendar'!$W$987))</f>
        <v/>
      </c>
      <c r="BJ100" s="110">
        <f>IF(GL100="","",IF(ISNUMBER('Dvd Calendar'!$X$987)=FALSE,"",'Dvd Calendar'!$X$987))</f>
        <v/>
      </c>
      <c r="BK100" s="110">
        <f>IF(GM100="","",IF(ISNUMBER('Dvd Calendar'!$Y$987)=FALSE,"",'Dvd Calendar'!$Y$987))</f>
        <v/>
      </c>
      <c r="BL100" s="110">
        <f>IF(GN100="","",IF(ISNUMBER('Dvd Calendar'!$Z$987)=FALSE,"",'Dvd Calendar'!$Z$987))</f>
        <v/>
      </c>
      <c r="BM100" s="110">
        <f>IF(GO100="","",IF(ISNUMBER('Dvd Calendar'!$AA$987)=FALSE,"",'Dvd Calendar'!$AA$987))</f>
        <v/>
      </c>
      <c r="BN100" s="110">
        <f>IF(GP100="","",IF(ISNUMBER('Dvd Calendar'!$AB$987)=FALSE,"",'Dvd Calendar'!$AB$987))</f>
        <v/>
      </c>
      <c r="BO100" s="110">
        <f>IF(GQ100="","",IF(ISNUMBER('Dvd Calendar'!$AC$987)=FALSE,"",'Dvd Calendar'!$AC$987))</f>
        <v/>
      </c>
      <c r="BQ100" s="110">
        <f>IF(C100="","",IFERROR(C100*HSI!$B$95*HSI!$G$95/HSI!$B$3,""))</f>
        <v/>
      </c>
      <c r="BR100" s="110">
        <f>IF(D100="","",IFERROR(D100*HSI!$B$95*HSI!$G$95/HSI!$B$3,""))</f>
        <v/>
      </c>
      <c r="BS100" s="110">
        <f>IF(E100="","",IFERROR(E100*HSI!$B$95*HSI!$G$95/HSI!$B$3,""))</f>
        <v/>
      </c>
      <c r="BT100" s="110">
        <f>IF(F100="","",IFERROR(F100*HSI!$B$95*HSI!$G$95/HSI!$B$3,""))</f>
        <v/>
      </c>
      <c r="BU100" s="110">
        <f>IF(G100="","",IFERROR(G100*HSI!$B$95*HSI!$G$95/HSI!$B$3,""))</f>
        <v/>
      </c>
      <c r="BV100" s="110">
        <f>IF(H100="","",IFERROR(H100*HSI!$B$95*HSI!$G$95/HSI!$B$3,""))</f>
        <v/>
      </c>
      <c r="BW100" s="110">
        <f>IF(I100="","",IFERROR(I100*HSI!$B$95*HSI!$G$95/HSI!$B$3,""))</f>
        <v/>
      </c>
      <c r="BX100" s="110">
        <f>IF(J100="","",IFERROR(J100*HSI!$B$95*HSI!$G$95/HSI!$B$3,""))</f>
        <v/>
      </c>
      <c r="BY100" s="110">
        <f>IF(K100="","",IFERROR(K100*HSI!$B$95*HSI!$G$95/HSI!$B$3,""))</f>
        <v/>
      </c>
      <c r="BZ100" s="110">
        <f>IF(L100="","",IFERROR(L100*HSI!$B$95*HSI!$G$95/HSI!$B$3,""))</f>
        <v/>
      </c>
      <c r="CA100" s="110">
        <f>IF(M100="","",IFERROR(M100*HSI!$B$95*HSI!$G$95/HSI!$B$3,""))</f>
        <v/>
      </c>
      <c r="CB100" s="110">
        <f>IF(N100="","",IFERROR(N100*HSI!$B$95*HSI!$G$95/HSI!$B$3,""))</f>
        <v/>
      </c>
      <c r="CC100" s="110">
        <f>IF(O100="","",IFERROR(O100*HSI!$B$95*HSI!$G$95/HSI!$B$3,""))</f>
        <v/>
      </c>
      <c r="CD100" s="110">
        <f>IF(P100="","",IFERROR(P100*HSI!$B$95*HSI!$G$95/HSI!$B$3,""))</f>
        <v/>
      </c>
      <c r="CE100" s="110">
        <f>IF(Q100="","",IFERROR(Q100*HSI!$B$95*HSI!$G$95/HSI!$B$3,""))</f>
        <v/>
      </c>
      <c r="CF100" s="110">
        <f>IF(R100="","",IFERROR(R100*HSI!$B$95*HSI!$G$95/HSI!$B$3,""))</f>
        <v/>
      </c>
      <c r="CG100" s="110">
        <f>IF(S100="","",IFERROR(S100*HSI!$B$95*HSI!$G$95/HSI!$B$3,""))</f>
        <v/>
      </c>
      <c r="CH100" s="110">
        <f>IF(T100="","",IFERROR(T100*HSI!$B$95*HSI!$G$95/HSI!$B$3,""))</f>
        <v/>
      </c>
      <c r="CI100" s="110">
        <f>IF(U100="","",IFERROR(U100*HSI!$B$95*HSI!$G$95/HSI!$B$3,""))</f>
        <v/>
      </c>
      <c r="CJ100" s="110">
        <f>IF(V100="","",IFERROR(V100*HSI!$B$95*HSI!$G$95/HSI!$B$3,""))</f>
        <v/>
      </c>
      <c r="CK100" s="110">
        <f>IF(W100="","",IFERROR(W100*HSI!$B$95*HSI!$G$95/HSI!$B$3,""))</f>
        <v/>
      </c>
      <c r="CL100" s="110">
        <f>IF(X100="","",IFERROR(X100*HSI!$B$95*HSI!$G$95/HSI!$B$3,""))</f>
        <v/>
      </c>
      <c r="CM100" s="110">
        <f>IF(Y100="","",IFERROR(Y100*HSI!$B$95*HSI!$G$95/HSI!$B$3,""))</f>
        <v/>
      </c>
      <c r="CN100" s="110">
        <f>IF(Z100="","",IFERROR(Z100*HSI!$B$95*HSI!$G$95/HSI!$B$3,""))</f>
        <v/>
      </c>
      <c r="CO100" s="110">
        <f>IF(AA100="","",IFERROR(AA100*HSI!$B$95*HSI!$G$95/HSI!$B$3,""))</f>
        <v/>
      </c>
      <c r="CP100" s="110">
        <f>IF(AB100="","",IFERROR(AB100*HSI!$B$95*HSI!$G$95/HSI!$B$3,""))</f>
        <v/>
      </c>
      <c r="CQ100" s="110">
        <f>IF(AC100="","",IFERROR(AC100*HSI!$B$95*HSI!$G$95/HSI!$B$3,""))</f>
        <v/>
      </c>
      <c r="CR100" s="110">
        <f>IF(AD100="","",IFERROR(AD100*HSI!$B$95*HSI!$G$95/HSI!$B$3,""))</f>
        <v/>
      </c>
      <c r="CS100" s="110">
        <f>IF(AE100="","",IFERROR(AE100*HSI!$B$95*HSI!$G$95/HSI!$B$3,""))</f>
        <v/>
      </c>
      <c r="CT100" s="110">
        <f>IF(AF100="","",IFERROR(AF100*HSI!$B$95*HSI!$G$95/HSI!$B$3,""))</f>
        <v/>
      </c>
      <c r="CU100" s="110">
        <f>IF(AG100="","",IFERROR(AG100*HSI!$B$95*HSI!$G$95/HSI!$B$3,""))</f>
        <v/>
      </c>
      <c r="CV100" s="110">
        <f>IF(AH100="","",IFERROR(AH100*HSI!$B$95*HSI!$G$95/HSI!$B$3,""))</f>
        <v/>
      </c>
      <c r="CW100" s="110">
        <f>IF(AI100="","",IFERROR(AI100*HSI!$B$95*HSI!$G$95/HSI!$B$3,""))</f>
        <v/>
      </c>
      <c r="CX100" s="110">
        <f>IF(AJ100="","",IFERROR(AJ100*HSI!$B$95*HSI!$G$95/HSI!$B$3,""))</f>
        <v/>
      </c>
      <c r="CY100" s="110">
        <f>IF(AK100="","",IFERROR(AK100*HSI!$B$95*HSI!$G$95/HSI!$B$3,""))</f>
        <v/>
      </c>
      <c r="CZ100" s="110">
        <f>IF(AL100="","",IFERROR(AL100*HSI!$B$95*HSI!$G$95/HSI!$B$3,""))</f>
        <v/>
      </c>
      <c r="DA100" s="110">
        <f>IF(AM100="","",IFERROR(AM100*HSI!$B$95*HSI!$G$95/HSI!$B$3,""))</f>
        <v/>
      </c>
      <c r="DB100" s="110">
        <f>IF(AN100="","",IFERROR(AN100*HSI!$B$95*HSI!$G$95/HSI!$B$3,""))</f>
        <v/>
      </c>
      <c r="DC100" s="110">
        <f>IF(AO100="","",IFERROR(AO100*HSI!$B$95*HSI!$G$95/HSI!$B$3,""))</f>
        <v/>
      </c>
      <c r="DD100" s="110">
        <f>IF(AP100="","",IFERROR(AP100*HSI!$B$95*HSI!$G$95/HSI!$B$3,""))</f>
        <v/>
      </c>
      <c r="DE100" s="110">
        <f>IF(AQ100="","",IFERROR(AQ100*HSI!$B$95*HSI!$G$95/HSI!$B$3,""))</f>
        <v/>
      </c>
      <c r="DF100" s="110">
        <f>IF(AR100="","",IFERROR(AR100*HSI!$B$95*HSI!$G$95/HSI!$B$3,""))</f>
        <v/>
      </c>
      <c r="DG100" s="110">
        <f>IF(AS100="","",IFERROR(AS100*HSI!$B$95*HSI!$G$95/HSI!$B$3,""))</f>
        <v/>
      </c>
      <c r="DH100" s="110">
        <f>IF(AT100="","",IFERROR(AT100*HSI!$B$95*HSI!$G$95/HSI!$B$3,""))</f>
        <v/>
      </c>
      <c r="DI100" s="110">
        <f>IF(AU100="","",IFERROR(AU100*HSI!$B$95*HSI!$G$95/HSI!$B$3,""))</f>
        <v/>
      </c>
      <c r="DJ100" s="110">
        <f>IF(AV100="","",IFERROR(AV100*HSI!$B$95*HSI!$G$95/HSI!$B$3,""))</f>
        <v/>
      </c>
      <c r="DK100" s="110">
        <f>IF(AW100="","",IFERROR(AW100*HSI!$B$95*HSI!$G$95/HSI!$B$3,""))</f>
        <v/>
      </c>
      <c r="DL100" s="110">
        <f>IF(AX100="","",IFERROR(AX100*HSI!$B$95*HSI!$G$95/HSI!$B$3,""))</f>
        <v/>
      </c>
      <c r="DM100" s="110">
        <f>IF(AY100="","",IFERROR(AY100*HSI!$B$95*HSI!$G$95/HSI!$B$3,""))</f>
        <v/>
      </c>
      <c r="DN100" s="110">
        <f>IF(AZ100="","",IFERROR(AZ100*HSI!$B$95*HSI!$G$95/HSI!$B$3,""))</f>
        <v/>
      </c>
      <c r="DO100" s="110">
        <f>IF(BA100="","",IFERROR(BA100*HSI!$B$95*HSI!$G$95/HSI!$B$3,""))</f>
        <v/>
      </c>
      <c r="DP100" s="110">
        <f>IF(BB100="","",IFERROR(BB100*HSI!$B$95*HSI!$G$95/HSI!$B$3,""))</f>
        <v/>
      </c>
      <c r="DQ100" s="110">
        <f>IF(BC100="","",IFERROR(BC100*HSI!$B$95*HSI!$G$95/HSI!$B$3,""))</f>
        <v/>
      </c>
      <c r="DR100" s="110">
        <f>IF(BD100="","",IFERROR(BD100*HSI!$B$95*HSI!$G$95/HSI!$B$3,""))</f>
        <v/>
      </c>
      <c r="DS100" s="110">
        <f>IF(BE100="","",IFERROR(BE100*HSI!$B$95*HSI!$G$95/HSI!$B$3,""))</f>
        <v/>
      </c>
      <c r="DT100" s="110">
        <f>IF(BF100="","",IFERROR(BF100*HSI!$B$95*HSI!$G$95/HSI!$B$3,""))</f>
        <v/>
      </c>
      <c r="DU100" s="110">
        <f>IF(BG100="","",IFERROR(BG100*HSI!$B$95*HSI!$G$95/HSI!$B$3,""))</f>
        <v/>
      </c>
      <c r="DV100" s="110">
        <f>IF(BH100="","",IFERROR(BH100*HSI!$B$95*HSI!$G$95/HSI!$B$3,""))</f>
        <v/>
      </c>
      <c r="DW100" s="110">
        <f>IF(BI100="","",IFERROR(BI100*HSI!$B$95*HSI!$G$95/HSI!$B$3,""))</f>
        <v/>
      </c>
      <c r="DX100" s="110">
        <f>IF(BJ100="","",IFERROR(BJ100*HSI!$B$95*HSI!$G$95/HSI!$B$3,""))</f>
        <v/>
      </c>
      <c r="DY100" s="110">
        <f>IF(BK100="","",IFERROR(BK100*HSI!$B$95*HSI!$G$95/HSI!$B$3,""))</f>
        <v/>
      </c>
      <c r="DZ100" s="110">
        <f>IF(BL100="","",IFERROR(BL100*HSI!$B$95*HSI!$G$95/HSI!$B$3,""))</f>
        <v/>
      </c>
      <c r="EA100" s="110">
        <f>IF(BM100="","",IFERROR(BM100*HSI!$B$95*HSI!$G$95/HSI!$B$3,""))</f>
        <v/>
      </c>
      <c r="EB100" s="110">
        <f>IF(BN100="","",IFERROR(BN100*HSI!$B$95*HSI!$G$95/HSI!$B$3,""))</f>
        <v/>
      </c>
      <c r="EC100" s="110">
        <f>IF(BO100="","",IFERROR(BO100*HSI!$B$95*HSI!$G$95/HSI!$B$3,""))</f>
        <v/>
      </c>
      <c r="EE100" s="39">
        <f>IF(N('Dvd Calendar'!$E$979)=0,"",IF(('Dvd Calendar'!$E$979&gt;=GRID_FROM)*('Dvd Calendar'!$E$979&lt;=GRID_TO)*((('Dvd Calendar'!$E$979&lt;=VAL_DATE)+(COUNTIF('Dvd Calendar'!$E$986:$AR$986,'Dvd Calendar'!$E$979)=0))&gt;0)=0,"",'Dvd Calendar'!$E$979*1000000000+ISNUMBER('Dvd Calendar'!$E$982)*100000000+('Dvd Calendar'!$E$984=SPECIAL_LBL)*10000000+(N('Dvd Calendar'!$E$978)&gt;0)*(N('Dvd Calendar'!$E$978)&lt;=VAL_SERIAL)*1000000+89*1000+1))</f>
        <v/>
      </c>
      <c r="EF100" s="39">
        <f>IF(N('Dvd Calendar'!$F$979)=0,"",IF(('Dvd Calendar'!$F$979&gt;=GRID_FROM)*('Dvd Calendar'!$F$979&lt;=GRID_TO)*((('Dvd Calendar'!$F$979&lt;=VAL_DATE)+(COUNTIF('Dvd Calendar'!$E$986:$AR$986,'Dvd Calendar'!$F$979)=0))&gt;0)=0,"",'Dvd Calendar'!$F$979*1000000000+ISNUMBER('Dvd Calendar'!$F$982)*100000000+('Dvd Calendar'!$F$984=SPECIAL_LBL)*10000000+(N('Dvd Calendar'!$F$978)&gt;0)*(N('Dvd Calendar'!$F$978)&lt;=VAL_SERIAL)*1000000+89*1000+2))</f>
        <v/>
      </c>
      <c r="EG100" s="39">
        <f>IF(N('Dvd Calendar'!$G$979)=0,"",IF(('Dvd Calendar'!$G$979&gt;=GRID_FROM)*('Dvd Calendar'!$G$979&lt;=GRID_TO)*((('Dvd Calendar'!$G$979&lt;=VAL_DATE)+(COUNTIF('Dvd Calendar'!$E$986:$AR$986,'Dvd Calendar'!$G$979)=0))&gt;0)=0,"",'Dvd Calendar'!$G$979*1000000000+ISNUMBER('Dvd Calendar'!$G$982)*100000000+('Dvd Calendar'!$G$984=SPECIAL_LBL)*10000000+(N('Dvd Calendar'!$G$978)&gt;0)*(N('Dvd Calendar'!$G$978)&lt;=VAL_SERIAL)*1000000+89*1000+3))</f>
        <v/>
      </c>
      <c r="EH100" s="39">
        <f>IF(N('Dvd Calendar'!$H$979)=0,"",IF(('Dvd Calendar'!$H$979&gt;=GRID_FROM)*('Dvd Calendar'!$H$979&lt;=GRID_TO)*((('Dvd Calendar'!$H$979&lt;=VAL_DATE)+(COUNTIF('Dvd Calendar'!$E$986:$AR$986,'Dvd Calendar'!$H$979)=0))&gt;0)=0,"",'Dvd Calendar'!$H$979*1000000000+ISNUMBER('Dvd Calendar'!$H$982)*100000000+('Dvd Calendar'!$H$984=SPECIAL_LBL)*10000000+(N('Dvd Calendar'!$H$978)&gt;0)*(N('Dvd Calendar'!$H$978)&lt;=VAL_SERIAL)*1000000+89*1000+4))</f>
        <v/>
      </c>
      <c r="EI100" s="39">
        <f>IF(N('Dvd Calendar'!$I$979)=0,"",IF(('Dvd Calendar'!$I$979&gt;=GRID_FROM)*('Dvd Calendar'!$I$979&lt;=GRID_TO)*((('Dvd Calendar'!$I$979&lt;=VAL_DATE)+(COUNTIF('Dvd Calendar'!$E$986:$AR$986,'Dvd Calendar'!$I$979)=0))&gt;0)=0,"",'Dvd Calendar'!$I$979*1000000000+ISNUMBER('Dvd Calendar'!$I$982)*100000000+('Dvd Calendar'!$I$984=SPECIAL_LBL)*10000000+(N('Dvd Calendar'!$I$978)&gt;0)*(N('Dvd Calendar'!$I$978)&lt;=VAL_SERIAL)*1000000+89*1000+5))</f>
        <v/>
      </c>
      <c r="EJ100" s="39">
        <f>IF(N('Dvd Calendar'!$J$979)=0,"",IF(('Dvd Calendar'!$J$979&gt;=GRID_FROM)*('Dvd Calendar'!$J$979&lt;=GRID_TO)*((('Dvd Calendar'!$J$979&lt;=VAL_DATE)+(COUNTIF('Dvd Calendar'!$E$986:$AR$986,'Dvd Calendar'!$J$979)=0))&gt;0)=0,"",'Dvd Calendar'!$J$979*1000000000+ISNUMBER('Dvd Calendar'!$J$982)*100000000+('Dvd Calendar'!$J$984=SPECIAL_LBL)*10000000+(N('Dvd Calendar'!$J$978)&gt;0)*(N('Dvd Calendar'!$J$978)&lt;=VAL_SERIAL)*1000000+89*1000+6))</f>
        <v/>
      </c>
      <c r="EK100" s="39">
        <f>IF(N('Dvd Calendar'!$K$979)=0,"",IF(('Dvd Calendar'!$K$979&gt;=GRID_FROM)*('Dvd Calendar'!$K$979&lt;=GRID_TO)*((('Dvd Calendar'!$K$979&lt;=VAL_DATE)+(COUNTIF('Dvd Calendar'!$E$986:$AR$986,'Dvd Calendar'!$K$979)=0))&gt;0)=0,"",'Dvd Calendar'!$K$979*1000000000+ISNUMBER('Dvd Calendar'!$K$982)*100000000+('Dvd Calendar'!$K$984=SPECIAL_LBL)*10000000+(N('Dvd Calendar'!$K$978)&gt;0)*(N('Dvd Calendar'!$K$978)&lt;=VAL_SERIAL)*1000000+89*1000+7))</f>
        <v/>
      </c>
      <c r="EL100" s="39">
        <f>IF(N('Dvd Calendar'!$L$979)=0,"",IF(('Dvd Calendar'!$L$979&gt;=GRID_FROM)*('Dvd Calendar'!$L$979&lt;=GRID_TO)*((('Dvd Calendar'!$L$979&lt;=VAL_DATE)+(COUNTIF('Dvd Calendar'!$E$986:$AR$986,'Dvd Calendar'!$L$979)=0))&gt;0)=0,"",'Dvd Calendar'!$L$979*1000000000+ISNUMBER('Dvd Calendar'!$L$982)*100000000+('Dvd Calendar'!$L$984=SPECIAL_LBL)*10000000+(N('Dvd Calendar'!$L$978)&gt;0)*(N('Dvd Calendar'!$L$978)&lt;=VAL_SERIAL)*1000000+89*1000+8))</f>
        <v/>
      </c>
      <c r="EM100" s="39">
        <f>IF(N('Dvd Calendar'!$M$979)=0,"",IF(('Dvd Calendar'!$M$979&gt;=GRID_FROM)*('Dvd Calendar'!$M$979&lt;=GRID_TO)*((('Dvd Calendar'!$M$979&lt;=VAL_DATE)+(COUNTIF('Dvd Calendar'!$E$986:$AR$986,'Dvd Calendar'!$M$979)=0))&gt;0)=0,"",'Dvd Calendar'!$M$979*1000000000+ISNUMBER('Dvd Calendar'!$M$982)*100000000+('Dvd Calendar'!$M$984=SPECIAL_LBL)*10000000+(N('Dvd Calendar'!$M$978)&gt;0)*(N('Dvd Calendar'!$M$978)&lt;=VAL_SERIAL)*1000000+89*1000+9))</f>
        <v/>
      </c>
      <c r="EN100" s="39">
        <f>IF(N('Dvd Calendar'!$N$979)=0,"",IF(('Dvd Calendar'!$N$979&gt;=GRID_FROM)*('Dvd Calendar'!$N$979&lt;=GRID_TO)*((('Dvd Calendar'!$N$979&lt;=VAL_DATE)+(COUNTIF('Dvd Calendar'!$E$986:$AR$986,'Dvd Calendar'!$N$979)=0))&gt;0)=0,"",'Dvd Calendar'!$N$979*1000000000+ISNUMBER('Dvd Calendar'!$N$982)*100000000+('Dvd Calendar'!$N$984=SPECIAL_LBL)*10000000+(N('Dvd Calendar'!$N$978)&gt;0)*(N('Dvd Calendar'!$N$978)&lt;=VAL_SERIAL)*1000000+89*1000+10))</f>
        <v/>
      </c>
      <c r="EO100" s="39">
        <f>IF(N('Dvd Calendar'!$O$979)=0,"",IF(('Dvd Calendar'!$O$979&gt;=GRID_FROM)*('Dvd Calendar'!$O$979&lt;=GRID_TO)*((('Dvd Calendar'!$O$979&lt;=VAL_DATE)+(COUNTIF('Dvd Calendar'!$E$986:$AR$986,'Dvd Calendar'!$O$979)=0))&gt;0)=0,"",'Dvd Calendar'!$O$979*1000000000+ISNUMBER('Dvd Calendar'!$O$982)*100000000+('Dvd Calendar'!$O$984=SPECIAL_LBL)*10000000+(N('Dvd Calendar'!$O$978)&gt;0)*(N('Dvd Calendar'!$O$978)&lt;=VAL_SERIAL)*1000000+89*1000+11))</f>
        <v/>
      </c>
      <c r="EP100" s="39">
        <f>IF(N('Dvd Calendar'!$P$979)=0,"",IF(('Dvd Calendar'!$P$979&gt;=GRID_FROM)*('Dvd Calendar'!$P$979&lt;=GRID_TO)*((('Dvd Calendar'!$P$979&lt;=VAL_DATE)+(COUNTIF('Dvd Calendar'!$E$986:$AR$986,'Dvd Calendar'!$P$979)=0))&gt;0)=0,"",'Dvd Calendar'!$P$979*1000000000+ISNUMBER('Dvd Calendar'!$P$982)*100000000+('Dvd Calendar'!$P$984=SPECIAL_LBL)*10000000+(N('Dvd Calendar'!$P$978)&gt;0)*(N('Dvd Calendar'!$P$978)&lt;=VAL_SERIAL)*1000000+89*1000+12))</f>
        <v/>
      </c>
      <c r="EQ100" s="39">
        <f>IF(N('Dvd Calendar'!$Q$979)=0,"",IF(('Dvd Calendar'!$Q$979&gt;=GRID_FROM)*('Dvd Calendar'!$Q$979&lt;=GRID_TO)*((('Dvd Calendar'!$Q$979&lt;=VAL_DATE)+(COUNTIF('Dvd Calendar'!$E$986:$AR$986,'Dvd Calendar'!$Q$979)=0))&gt;0)=0,"",'Dvd Calendar'!$Q$979*1000000000+ISNUMBER('Dvd Calendar'!$Q$982)*100000000+('Dvd Calendar'!$Q$984=SPECIAL_LBL)*10000000+(N('Dvd Calendar'!$Q$978)&gt;0)*(N('Dvd Calendar'!$Q$978)&lt;=VAL_SERIAL)*1000000+89*1000+13))</f>
        <v/>
      </c>
      <c r="ER100" s="39">
        <f>IF(N('Dvd Calendar'!$R$979)=0,"",IF(('Dvd Calendar'!$R$979&gt;=GRID_FROM)*('Dvd Calendar'!$R$979&lt;=GRID_TO)*((('Dvd Calendar'!$R$979&lt;=VAL_DATE)+(COUNTIF('Dvd Calendar'!$E$986:$AR$986,'Dvd Calendar'!$R$979)=0))&gt;0)=0,"",'Dvd Calendar'!$R$979*1000000000+ISNUMBER('Dvd Calendar'!$R$982)*100000000+('Dvd Calendar'!$R$984=SPECIAL_LBL)*10000000+(N('Dvd Calendar'!$R$978)&gt;0)*(N('Dvd Calendar'!$R$978)&lt;=VAL_SERIAL)*1000000+89*1000+14))</f>
        <v/>
      </c>
      <c r="ES100" s="39">
        <f>IF(N('Dvd Calendar'!$S$979)=0,"",IF(('Dvd Calendar'!$S$979&gt;=GRID_FROM)*('Dvd Calendar'!$S$979&lt;=GRID_TO)*((('Dvd Calendar'!$S$979&lt;=VAL_DATE)+(COUNTIF('Dvd Calendar'!$E$986:$AR$986,'Dvd Calendar'!$S$979)=0))&gt;0)=0,"",'Dvd Calendar'!$S$979*1000000000+ISNUMBER('Dvd Calendar'!$S$982)*100000000+('Dvd Calendar'!$S$984=SPECIAL_LBL)*10000000+(N('Dvd Calendar'!$S$978)&gt;0)*(N('Dvd Calendar'!$S$978)&lt;=VAL_SERIAL)*1000000+89*1000+15))</f>
        <v/>
      </c>
      <c r="ET100" s="39">
        <f>IF(N('Dvd Calendar'!$T$979)=0,"",IF(('Dvd Calendar'!$T$979&gt;=GRID_FROM)*('Dvd Calendar'!$T$979&lt;=GRID_TO)*((('Dvd Calendar'!$T$979&lt;=VAL_DATE)+(COUNTIF('Dvd Calendar'!$E$986:$AR$986,'Dvd Calendar'!$T$979)=0))&gt;0)=0,"",'Dvd Calendar'!$T$979*1000000000+ISNUMBER('Dvd Calendar'!$T$982)*100000000+('Dvd Calendar'!$T$984=SPECIAL_LBL)*10000000+(N('Dvd Calendar'!$T$978)&gt;0)*(N('Dvd Calendar'!$T$978)&lt;=VAL_SERIAL)*1000000+89*1000+16))</f>
        <v/>
      </c>
      <c r="EU100" s="39">
        <f>IF(N('Dvd Calendar'!$U$979)=0,"",IF(('Dvd Calendar'!$U$979&gt;=GRID_FROM)*('Dvd Calendar'!$U$979&lt;=GRID_TO)*((('Dvd Calendar'!$U$979&lt;=VAL_DATE)+(COUNTIF('Dvd Calendar'!$E$986:$AR$986,'Dvd Calendar'!$U$979)=0))&gt;0)=0,"",'Dvd Calendar'!$U$979*1000000000+ISNUMBER('Dvd Calendar'!$U$982)*100000000+('Dvd Calendar'!$U$984=SPECIAL_LBL)*10000000+(N('Dvd Calendar'!$U$978)&gt;0)*(N('Dvd Calendar'!$U$978)&lt;=VAL_SERIAL)*1000000+89*1000+17))</f>
        <v/>
      </c>
      <c r="EV100" s="39">
        <f>IF(N('Dvd Calendar'!$V$979)=0,"",IF(('Dvd Calendar'!$V$979&gt;=GRID_FROM)*('Dvd Calendar'!$V$979&lt;=GRID_TO)*((('Dvd Calendar'!$V$979&lt;=VAL_DATE)+(COUNTIF('Dvd Calendar'!$E$986:$AR$986,'Dvd Calendar'!$V$979)=0))&gt;0)=0,"",'Dvd Calendar'!$V$979*1000000000+ISNUMBER('Dvd Calendar'!$V$982)*100000000+('Dvd Calendar'!$V$984=SPECIAL_LBL)*10000000+(N('Dvd Calendar'!$V$978)&gt;0)*(N('Dvd Calendar'!$V$978)&lt;=VAL_SERIAL)*1000000+89*1000+18))</f>
        <v/>
      </c>
      <c r="EW100" s="39">
        <f>IF(N('Dvd Calendar'!$W$979)=0,"",IF(('Dvd Calendar'!$W$979&gt;=GRID_FROM)*('Dvd Calendar'!$W$979&lt;=GRID_TO)*((('Dvd Calendar'!$W$979&lt;=VAL_DATE)+(COUNTIF('Dvd Calendar'!$E$986:$AR$986,'Dvd Calendar'!$W$979)=0))&gt;0)=0,"",'Dvd Calendar'!$W$979*1000000000+ISNUMBER('Dvd Calendar'!$W$982)*100000000+('Dvd Calendar'!$W$984=SPECIAL_LBL)*10000000+(N('Dvd Calendar'!$W$978)&gt;0)*(N('Dvd Calendar'!$W$978)&lt;=VAL_SERIAL)*1000000+89*1000+19))</f>
        <v/>
      </c>
      <c r="EX100" s="39">
        <f>IF(N('Dvd Calendar'!$X$979)=0,"",IF(('Dvd Calendar'!$X$979&gt;=GRID_FROM)*('Dvd Calendar'!$X$979&lt;=GRID_TO)*((('Dvd Calendar'!$X$979&lt;=VAL_DATE)+(COUNTIF('Dvd Calendar'!$E$986:$AR$986,'Dvd Calendar'!$X$979)=0))&gt;0)=0,"",'Dvd Calendar'!$X$979*1000000000+ISNUMBER('Dvd Calendar'!$X$982)*100000000+('Dvd Calendar'!$X$984=SPECIAL_LBL)*10000000+(N('Dvd Calendar'!$X$978)&gt;0)*(N('Dvd Calendar'!$X$978)&lt;=VAL_SERIAL)*1000000+89*1000+20))</f>
        <v/>
      </c>
      <c r="EY100" s="39">
        <f>IF(N('Dvd Calendar'!$Y$979)=0,"",IF(('Dvd Calendar'!$Y$979&gt;=GRID_FROM)*('Dvd Calendar'!$Y$979&lt;=GRID_TO)*((('Dvd Calendar'!$Y$979&lt;=VAL_DATE)+(COUNTIF('Dvd Calendar'!$E$986:$AR$986,'Dvd Calendar'!$Y$979)=0))&gt;0)=0,"",'Dvd Calendar'!$Y$979*1000000000+ISNUMBER('Dvd Calendar'!$Y$982)*100000000+('Dvd Calendar'!$Y$984=SPECIAL_LBL)*10000000+(N('Dvd Calendar'!$Y$978)&gt;0)*(N('Dvd Calendar'!$Y$978)&lt;=VAL_SERIAL)*1000000+89*1000+21))</f>
        <v/>
      </c>
      <c r="EZ100" s="39">
        <f>IF(N('Dvd Calendar'!$Z$979)=0,"",IF(('Dvd Calendar'!$Z$979&gt;=GRID_FROM)*('Dvd Calendar'!$Z$979&lt;=GRID_TO)*((('Dvd Calendar'!$Z$979&lt;=VAL_DATE)+(COUNTIF('Dvd Calendar'!$E$986:$AR$986,'Dvd Calendar'!$Z$979)=0))&gt;0)=0,"",'Dvd Calendar'!$Z$979*1000000000+ISNUMBER('Dvd Calendar'!$Z$982)*100000000+('Dvd Calendar'!$Z$984=SPECIAL_LBL)*10000000+(N('Dvd Calendar'!$Z$978)&gt;0)*(N('Dvd Calendar'!$Z$978)&lt;=VAL_SERIAL)*1000000+89*1000+22))</f>
        <v/>
      </c>
      <c r="FA100" s="39">
        <f>IF(N('Dvd Calendar'!$AA$979)=0,"",IF(('Dvd Calendar'!$AA$979&gt;=GRID_FROM)*('Dvd Calendar'!$AA$979&lt;=GRID_TO)*((('Dvd Calendar'!$AA$979&lt;=VAL_DATE)+(COUNTIF('Dvd Calendar'!$E$986:$AR$986,'Dvd Calendar'!$AA$979)=0))&gt;0)=0,"",'Dvd Calendar'!$AA$979*1000000000+ISNUMBER('Dvd Calendar'!$AA$982)*100000000+('Dvd Calendar'!$AA$984=SPECIAL_LBL)*10000000+(N('Dvd Calendar'!$AA$978)&gt;0)*(N('Dvd Calendar'!$AA$978)&lt;=VAL_SERIAL)*1000000+89*1000+23))</f>
        <v/>
      </c>
      <c r="FB100" s="39">
        <f>IF(N('Dvd Calendar'!$AB$979)=0,"",IF(('Dvd Calendar'!$AB$979&gt;=GRID_FROM)*('Dvd Calendar'!$AB$979&lt;=GRID_TO)*((('Dvd Calendar'!$AB$979&lt;=VAL_DATE)+(COUNTIF('Dvd Calendar'!$E$986:$AR$986,'Dvd Calendar'!$AB$979)=0))&gt;0)=0,"",'Dvd Calendar'!$AB$979*1000000000+ISNUMBER('Dvd Calendar'!$AB$982)*100000000+('Dvd Calendar'!$AB$984=SPECIAL_LBL)*10000000+(N('Dvd Calendar'!$AB$978)&gt;0)*(N('Dvd Calendar'!$AB$978)&lt;=VAL_SERIAL)*1000000+89*1000+24))</f>
        <v/>
      </c>
      <c r="FC100" s="39">
        <f>IF(N('Dvd Calendar'!$AC$979)=0,"",IF(('Dvd Calendar'!$AC$979&gt;=GRID_FROM)*('Dvd Calendar'!$AC$979&lt;=GRID_TO)*((('Dvd Calendar'!$AC$979&lt;=VAL_DATE)+(COUNTIF('Dvd Calendar'!$E$986:$AR$986,'Dvd Calendar'!$AC$979)=0))&gt;0)=0,"",'Dvd Calendar'!$AC$979*1000000000+ISNUMBER('Dvd Calendar'!$AC$982)*100000000+('Dvd Calendar'!$AC$984=SPECIAL_LBL)*10000000+(N('Dvd Calendar'!$AC$978)&gt;0)*(N('Dvd Calendar'!$AC$978)&lt;=VAL_SERIAL)*1000000+89*1000+25))</f>
        <v/>
      </c>
      <c r="FD100" s="39">
        <f>IF(N('Dvd Calendar'!$AD$979)=0,"",IF(('Dvd Calendar'!$AD$979&gt;=GRID_FROM)*('Dvd Calendar'!$AD$979&lt;=GRID_TO)*((('Dvd Calendar'!$AD$979&lt;=VAL_DATE)+(COUNTIF('Dvd Calendar'!$E$986:$AR$986,'Dvd Calendar'!$AD$979)=0))&gt;0)=0,"",'Dvd Calendar'!$AD$979*1000000000+ISNUMBER('Dvd Calendar'!$AD$982)*100000000+('Dvd Calendar'!$AD$984=SPECIAL_LBL)*10000000+(N('Dvd Calendar'!$AD$978)&gt;0)*(N('Dvd Calendar'!$AD$978)&lt;=VAL_SERIAL)*1000000+89*1000+26))</f>
        <v/>
      </c>
      <c r="FE100" s="39">
        <f>IF(N('Dvd Calendar'!$AE$979)=0,"",IF(('Dvd Calendar'!$AE$979&gt;=GRID_FROM)*('Dvd Calendar'!$AE$979&lt;=GRID_TO)*((('Dvd Calendar'!$AE$979&lt;=VAL_DATE)+(COUNTIF('Dvd Calendar'!$E$986:$AR$986,'Dvd Calendar'!$AE$979)=0))&gt;0)=0,"",'Dvd Calendar'!$AE$979*1000000000+ISNUMBER('Dvd Calendar'!$AE$982)*100000000+('Dvd Calendar'!$AE$984=SPECIAL_LBL)*10000000+(N('Dvd Calendar'!$AE$978)&gt;0)*(N('Dvd Calendar'!$AE$978)&lt;=VAL_SERIAL)*1000000+89*1000+27))</f>
        <v/>
      </c>
      <c r="FF100" s="39">
        <f>IF(N('Dvd Calendar'!$AF$979)=0,"",IF(('Dvd Calendar'!$AF$979&gt;=GRID_FROM)*('Dvd Calendar'!$AF$979&lt;=GRID_TO)*((('Dvd Calendar'!$AF$979&lt;=VAL_DATE)+(COUNTIF('Dvd Calendar'!$E$986:$AR$986,'Dvd Calendar'!$AF$979)=0))&gt;0)=0,"",'Dvd Calendar'!$AF$979*1000000000+ISNUMBER('Dvd Calendar'!$AF$982)*100000000+('Dvd Calendar'!$AF$984=SPECIAL_LBL)*10000000+(N('Dvd Calendar'!$AF$978)&gt;0)*(N('Dvd Calendar'!$AF$978)&lt;=VAL_SERIAL)*1000000+89*1000+28))</f>
        <v/>
      </c>
      <c r="FG100" s="39">
        <f>IF(N('Dvd Calendar'!$AG$979)=0,"",IF(('Dvd Calendar'!$AG$979&gt;=GRID_FROM)*('Dvd Calendar'!$AG$979&lt;=GRID_TO)*((('Dvd Calendar'!$AG$979&lt;=VAL_DATE)+(COUNTIF('Dvd Calendar'!$E$986:$AR$986,'Dvd Calendar'!$AG$979)=0))&gt;0)=0,"",'Dvd Calendar'!$AG$979*1000000000+ISNUMBER('Dvd Calendar'!$AG$982)*100000000+('Dvd Calendar'!$AG$984=SPECIAL_LBL)*10000000+(N('Dvd Calendar'!$AG$978)&gt;0)*(N('Dvd Calendar'!$AG$978)&lt;=VAL_SERIAL)*1000000+89*1000+29))</f>
        <v/>
      </c>
      <c r="FH100" s="39">
        <f>IF(N('Dvd Calendar'!$AH$979)=0,"",IF(('Dvd Calendar'!$AH$979&gt;=GRID_FROM)*('Dvd Calendar'!$AH$979&lt;=GRID_TO)*((('Dvd Calendar'!$AH$979&lt;=VAL_DATE)+(COUNTIF('Dvd Calendar'!$E$986:$AR$986,'Dvd Calendar'!$AH$979)=0))&gt;0)=0,"",'Dvd Calendar'!$AH$979*1000000000+ISNUMBER('Dvd Calendar'!$AH$982)*100000000+('Dvd Calendar'!$AH$984=SPECIAL_LBL)*10000000+(N('Dvd Calendar'!$AH$978)&gt;0)*(N('Dvd Calendar'!$AH$978)&lt;=VAL_SERIAL)*1000000+89*1000+30))</f>
        <v/>
      </c>
      <c r="FI100" s="39">
        <f>IF(N('Dvd Calendar'!$AI$979)=0,"",IF(('Dvd Calendar'!$AI$979&gt;=GRID_FROM)*('Dvd Calendar'!$AI$979&lt;=GRID_TO)*((('Dvd Calendar'!$AI$979&lt;=VAL_DATE)+(COUNTIF('Dvd Calendar'!$E$986:$AR$986,'Dvd Calendar'!$AI$979)=0))&gt;0)=0,"",'Dvd Calendar'!$AI$979*1000000000+ISNUMBER('Dvd Calendar'!$AI$982)*100000000+('Dvd Calendar'!$AI$984=SPECIAL_LBL)*10000000+(N('Dvd Calendar'!$AI$978)&gt;0)*(N('Dvd Calendar'!$AI$978)&lt;=VAL_SERIAL)*1000000+89*1000+31))</f>
        <v/>
      </c>
      <c r="FJ100" s="39">
        <f>IF(N('Dvd Calendar'!$AJ$979)=0,"",IF(('Dvd Calendar'!$AJ$979&gt;=GRID_FROM)*('Dvd Calendar'!$AJ$979&lt;=GRID_TO)*((('Dvd Calendar'!$AJ$979&lt;=VAL_DATE)+(COUNTIF('Dvd Calendar'!$E$986:$AR$986,'Dvd Calendar'!$AJ$979)=0))&gt;0)=0,"",'Dvd Calendar'!$AJ$979*1000000000+ISNUMBER('Dvd Calendar'!$AJ$982)*100000000+('Dvd Calendar'!$AJ$984=SPECIAL_LBL)*10000000+(N('Dvd Calendar'!$AJ$978)&gt;0)*(N('Dvd Calendar'!$AJ$978)&lt;=VAL_SERIAL)*1000000+89*1000+32))</f>
        <v/>
      </c>
      <c r="FK100" s="39">
        <f>IF(N('Dvd Calendar'!$AK$979)=0,"",IF(('Dvd Calendar'!$AK$979&gt;=GRID_FROM)*('Dvd Calendar'!$AK$979&lt;=GRID_TO)*((('Dvd Calendar'!$AK$979&lt;=VAL_DATE)+(COUNTIF('Dvd Calendar'!$E$986:$AR$986,'Dvd Calendar'!$AK$979)=0))&gt;0)=0,"",'Dvd Calendar'!$AK$979*1000000000+ISNUMBER('Dvd Calendar'!$AK$982)*100000000+('Dvd Calendar'!$AK$984=SPECIAL_LBL)*10000000+(N('Dvd Calendar'!$AK$978)&gt;0)*(N('Dvd Calendar'!$AK$978)&lt;=VAL_SERIAL)*1000000+89*1000+33))</f>
        <v/>
      </c>
      <c r="FL100" s="39">
        <f>IF(N('Dvd Calendar'!$AL$979)=0,"",IF(('Dvd Calendar'!$AL$979&gt;=GRID_FROM)*('Dvd Calendar'!$AL$979&lt;=GRID_TO)*((('Dvd Calendar'!$AL$979&lt;=VAL_DATE)+(COUNTIF('Dvd Calendar'!$E$986:$AR$986,'Dvd Calendar'!$AL$979)=0))&gt;0)=0,"",'Dvd Calendar'!$AL$979*1000000000+ISNUMBER('Dvd Calendar'!$AL$982)*100000000+('Dvd Calendar'!$AL$984=SPECIAL_LBL)*10000000+(N('Dvd Calendar'!$AL$978)&gt;0)*(N('Dvd Calendar'!$AL$978)&lt;=VAL_SERIAL)*1000000+89*1000+34))</f>
        <v/>
      </c>
      <c r="FM100" s="39">
        <f>IF(N('Dvd Calendar'!$AM$979)=0,"",IF(('Dvd Calendar'!$AM$979&gt;=GRID_FROM)*('Dvd Calendar'!$AM$979&lt;=GRID_TO)*((('Dvd Calendar'!$AM$979&lt;=VAL_DATE)+(COUNTIF('Dvd Calendar'!$E$986:$AR$986,'Dvd Calendar'!$AM$979)=0))&gt;0)=0,"",'Dvd Calendar'!$AM$979*1000000000+ISNUMBER('Dvd Calendar'!$AM$982)*100000000+('Dvd Calendar'!$AM$984=SPECIAL_LBL)*10000000+(N('Dvd Calendar'!$AM$978)&gt;0)*(N('Dvd Calendar'!$AM$978)&lt;=VAL_SERIAL)*1000000+89*1000+35))</f>
        <v/>
      </c>
      <c r="FN100" s="39">
        <f>IF(N('Dvd Calendar'!$AN$979)=0,"",IF(('Dvd Calendar'!$AN$979&gt;=GRID_FROM)*('Dvd Calendar'!$AN$979&lt;=GRID_TO)*((('Dvd Calendar'!$AN$979&lt;=VAL_DATE)+(COUNTIF('Dvd Calendar'!$E$986:$AR$986,'Dvd Calendar'!$AN$979)=0))&gt;0)=0,"",'Dvd Calendar'!$AN$979*1000000000+ISNUMBER('Dvd Calendar'!$AN$982)*100000000+('Dvd Calendar'!$AN$984=SPECIAL_LBL)*10000000+(N('Dvd Calendar'!$AN$978)&gt;0)*(N('Dvd Calendar'!$AN$978)&lt;=VAL_SERIAL)*1000000+89*1000+36))</f>
        <v/>
      </c>
      <c r="FO100" s="39">
        <f>IF(N('Dvd Calendar'!$AO$979)=0,"",IF(('Dvd Calendar'!$AO$979&gt;=GRID_FROM)*('Dvd Calendar'!$AO$979&lt;=GRID_TO)*((('Dvd Calendar'!$AO$979&lt;=VAL_DATE)+(COUNTIF('Dvd Calendar'!$E$986:$AR$986,'Dvd Calendar'!$AO$979)=0))&gt;0)=0,"",'Dvd Calendar'!$AO$979*1000000000+ISNUMBER('Dvd Calendar'!$AO$982)*100000000+('Dvd Calendar'!$AO$984=SPECIAL_LBL)*10000000+(N('Dvd Calendar'!$AO$978)&gt;0)*(N('Dvd Calendar'!$AO$978)&lt;=VAL_SERIAL)*1000000+89*1000+37))</f>
        <v/>
      </c>
      <c r="FP100" s="39">
        <f>IF(N('Dvd Calendar'!$AP$979)=0,"",IF(('Dvd Calendar'!$AP$979&gt;=GRID_FROM)*('Dvd Calendar'!$AP$979&lt;=GRID_TO)*((('Dvd Calendar'!$AP$979&lt;=VAL_DATE)+(COUNTIF('Dvd Calendar'!$E$986:$AR$986,'Dvd Calendar'!$AP$979)=0))&gt;0)=0,"",'Dvd Calendar'!$AP$979*1000000000+ISNUMBER('Dvd Calendar'!$AP$982)*100000000+('Dvd Calendar'!$AP$984=SPECIAL_LBL)*10000000+(N('Dvd Calendar'!$AP$978)&gt;0)*(N('Dvd Calendar'!$AP$978)&lt;=VAL_SERIAL)*1000000+89*1000+38))</f>
        <v/>
      </c>
      <c r="FQ100" s="39">
        <f>IF(N('Dvd Calendar'!$AQ$979)=0,"",IF(('Dvd Calendar'!$AQ$979&gt;=GRID_FROM)*('Dvd Calendar'!$AQ$979&lt;=GRID_TO)*((('Dvd Calendar'!$AQ$979&lt;=VAL_DATE)+(COUNTIF('Dvd Calendar'!$E$986:$AR$986,'Dvd Calendar'!$AQ$979)=0))&gt;0)=0,"",'Dvd Calendar'!$AQ$979*1000000000+ISNUMBER('Dvd Calendar'!$AQ$982)*100000000+('Dvd Calendar'!$AQ$984=SPECIAL_LBL)*10000000+(N('Dvd Calendar'!$AQ$978)&gt;0)*(N('Dvd Calendar'!$AQ$978)&lt;=VAL_SERIAL)*1000000+89*1000+39))</f>
        <v/>
      </c>
      <c r="FR100" s="39">
        <f>IF(N('Dvd Calendar'!$AR$979)=0,"",IF(('Dvd Calendar'!$AR$979&gt;=GRID_FROM)*('Dvd Calendar'!$AR$979&lt;=GRID_TO)*((('Dvd Calendar'!$AR$979&lt;=VAL_DATE)+(COUNTIF('Dvd Calendar'!$E$986:$AR$986,'Dvd Calendar'!$AR$979)=0))&gt;0)=0,"",'Dvd Calendar'!$AR$979*1000000000+ISNUMBER('Dvd Calendar'!$AR$982)*100000000+('Dvd Calendar'!$AR$984=SPECIAL_LBL)*10000000+(N('Dvd Calendar'!$AR$978)&gt;0)*(N('Dvd Calendar'!$AR$978)&lt;=VAL_SERIAL)*1000000+89*1000+40))</f>
        <v/>
      </c>
      <c r="FS100" s="39">
        <f>IF(N('Dvd Calendar'!$E$986)=0,"",IF(('Dvd Calendar'!$E$986&gt;=GRID_FROM)*('Dvd Calendar'!$E$986&lt;=GRID_TO)*('Dvd Calendar'!$E$986&gt;VAL_DATE)=0,"",'Dvd Calendar'!$E$986*1000000000+ISNUMBER('Dvd Calendar'!$E$987)*100000000+0*10000000+(N('Dvd Calendar'!$E$985)&gt;0)*(N('Dvd Calendar'!$E$985)&lt;=VAL_SERIAL)*1000000+89*1000+41))</f>
        <v/>
      </c>
      <c r="FT100" s="39">
        <f>IF(N('Dvd Calendar'!$F$986)=0,"",IF(('Dvd Calendar'!$F$986&gt;=GRID_FROM)*('Dvd Calendar'!$F$986&lt;=GRID_TO)*('Dvd Calendar'!$F$986&gt;VAL_DATE)=0,"",'Dvd Calendar'!$F$986*1000000000+ISNUMBER('Dvd Calendar'!$F$987)*100000000+0*10000000+(N('Dvd Calendar'!$F$985)&gt;0)*(N('Dvd Calendar'!$F$985)&lt;=VAL_SERIAL)*1000000+89*1000+42))</f>
        <v/>
      </c>
      <c r="FU100" s="39">
        <f>IF(N('Dvd Calendar'!$G$986)=0,"",IF(('Dvd Calendar'!$G$986&gt;=GRID_FROM)*('Dvd Calendar'!$G$986&lt;=GRID_TO)*('Dvd Calendar'!$G$986&gt;VAL_DATE)=0,"",'Dvd Calendar'!$G$986*1000000000+ISNUMBER('Dvd Calendar'!$G$987)*100000000+0*10000000+(N('Dvd Calendar'!$G$985)&gt;0)*(N('Dvd Calendar'!$G$985)&lt;=VAL_SERIAL)*1000000+89*1000+43))</f>
        <v/>
      </c>
      <c r="FV100" s="39">
        <f>IF(N('Dvd Calendar'!$H$986)=0,"",IF(('Dvd Calendar'!$H$986&gt;=GRID_FROM)*('Dvd Calendar'!$H$986&lt;=GRID_TO)*('Dvd Calendar'!$H$986&gt;VAL_DATE)=0,"",'Dvd Calendar'!$H$986*1000000000+ISNUMBER('Dvd Calendar'!$H$987)*100000000+0*10000000+(N('Dvd Calendar'!$H$985)&gt;0)*(N('Dvd Calendar'!$H$985)&lt;=VAL_SERIAL)*1000000+89*1000+44))</f>
        <v/>
      </c>
      <c r="FW100" s="39">
        <f>IF(N('Dvd Calendar'!$I$986)=0,"",IF(('Dvd Calendar'!$I$986&gt;=GRID_FROM)*('Dvd Calendar'!$I$986&lt;=GRID_TO)*('Dvd Calendar'!$I$986&gt;VAL_DATE)=0,"",'Dvd Calendar'!$I$986*1000000000+ISNUMBER('Dvd Calendar'!$I$987)*100000000+0*10000000+(N('Dvd Calendar'!$I$985)&gt;0)*(N('Dvd Calendar'!$I$985)&lt;=VAL_SERIAL)*1000000+89*1000+45))</f>
        <v/>
      </c>
      <c r="FX100" s="39">
        <f>IF(N('Dvd Calendar'!$J$986)=0,"",IF(('Dvd Calendar'!$J$986&gt;=GRID_FROM)*('Dvd Calendar'!$J$986&lt;=GRID_TO)*('Dvd Calendar'!$J$986&gt;VAL_DATE)=0,"",'Dvd Calendar'!$J$986*1000000000+ISNUMBER('Dvd Calendar'!$J$987)*100000000+0*10000000+(N('Dvd Calendar'!$J$985)&gt;0)*(N('Dvd Calendar'!$J$985)&lt;=VAL_SERIAL)*1000000+89*1000+46))</f>
        <v/>
      </c>
      <c r="FY100" s="39">
        <f>IF(N('Dvd Calendar'!$K$986)=0,"",IF(('Dvd Calendar'!$K$986&gt;=GRID_FROM)*('Dvd Calendar'!$K$986&lt;=GRID_TO)*('Dvd Calendar'!$K$986&gt;VAL_DATE)=0,"",'Dvd Calendar'!$K$986*1000000000+ISNUMBER('Dvd Calendar'!$K$987)*100000000+0*10000000+(N('Dvd Calendar'!$K$985)&gt;0)*(N('Dvd Calendar'!$K$985)&lt;=VAL_SERIAL)*1000000+89*1000+47))</f>
        <v/>
      </c>
      <c r="FZ100" s="39">
        <f>IF(N('Dvd Calendar'!$L$986)=0,"",IF(('Dvd Calendar'!$L$986&gt;=GRID_FROM)*('Dvd Calendar'!$L$986&lt;=GRID_TO)*('Dvd Calendar'!$L$986&gt;VAL_DATE)=0,"",'Dvd Calendar'!$L$986*1000000000+ISNUMBER('Dvd Calendar'!$L$987)*100000000+0*10000000+(N('Dvd Calendar'!$L$985)&gt;0)*(N('Dvd Calendar'!$L$985)&lt;=VAL_SERIAL)*1000000+89*1000+48))</f>
        <v/>
      </c>
      <c r="GA100" s="39">
        <f>IF(N('Dvd Calendar'!$M$986)=0,"",IF(('Dvd Calendar'!$M$986&gt;=GRID_FROM)*('Dvd Calendar'!$M$986&lt;=GRID_TO)*('Dvd Calendar'!$M$986&gt;VAL_DATE)=0,"",'Dvd Calendar'!$M$986*1000000000+ISNUMBER('Dvd Calendar'!$M$987)*100000000+0*10000000+(N('Dvd Calendar'!$M$985)&gt;0)*(N('Dvd Calendar'!$M$985)&lt;=VAL_SERIAL)*1000000+89*1000+49))</f>
        <v/>
      </c>
      <c r="GB100" s="39">
        <f>IF(N('Dvd Calendar'!$N$986)=0,"",IF(('Dvd Calendar'!$N$986&gt;=GRID_FROM)*('Dvd Calendar'!$N$986&lt;=GRID_TO)*('Dvd Calendar'!$N$986&gt;VAL_DATE)=0,"",'Dvd Calendar'!$N$986*1000000000+ISNUMBER('Dvd Calendar'!$N$987)*100000000+0*10000000+(N('Dvd Calendar'!$N$985)&gt;0)*(N('Dvd Calendar'!$N$985)&lt;=VAL_SERIAL)*1000000+89*1000+50))</f>
        <v/>
      </c>
      <c r="GC100" s="39">
        <f>IF(N('Dvd Calendar'!$O$986)=0,"",IF(('Dvd Calendar'!$O$986&gt;=GRID_FROM)*('Dvd Calendar'!$O$986&lt;=GRID_TO)*('Dvd Calendar'!$O$986&gt;VAL_DATE)=0,"",'Dvd Calendar'!$O$986*1000000000+ISNUMBER('Dvd Calendar'!$O$987)*100000000+0*10000000+(N('Dvd Calendar'!$O$985)&gt;0)*(N('Dvd Calendar'!$O$985)&lt;=VAL_SERIAL)*1000000+89*1000+51))</f>
        <v/>
      </c>
      <c r="GD100" s="39">
        <f>IF(N('Dvd Calendar'!$P$986)=0,"",IF(('Dvd Calendar'!$P$986&gt;=GRID_FROM)*('Dvd Calendar'!$P$986&lt;=GRID_TO)*('Dvd Calendar'!$P$986&gt;VAL_DATE)=0,"",'Dvd Calendar'!$P$986*1000000000+ISNUMBER('Dvd Calendar'!$P$987)*100000000+0*10000000+(N('Dvd Calendar'!$P$985)&gt;0)*(N('Dvd Calendar'!$P$985)&lt;=VAL_SERIAL)*1000000+89*1000+52))</f>
        <v/>
      </c>
      <c r="GE100" s="39">
        <f>IF(N('Dvd Calendar'!$Q$986)=0,"",IF(('Dvd Calendar'!$Q$986&gt;=GRID_FROM)*('Dvd Calendar'!$Q$986&lt;=GRID_TO)*('Dvd Calendar'!$Q$986&gt;VAL_DATE)=0,"",'Dvd Calendar'!$Q$986*1000000000+ISNUMBER('Dvd Calendar'!$Q$987)*100000000+0*10000000+(N('Dvd Calendar'!$Q$985)&gt;0)*(N('Dvd Calendar'!$Q$985)&lt;=VAL_SERIAL)*1000000+89*1000+53))</f>
        <v/>
      </c>
      <c r="GF100" s="39">
        <f>IF(N('Dvd Calendar'!$R$986)=0,"",IF(('Dvd Calendar'!$R$986&gt;=GRID_FROM)*('Dvd Calendar'!$R$986&lt;=GRID_TO)*('Dvd Calendar'!$R$986&gt;VAL_DATE)=0,"",'Dvd Calendar'!$R$986*1000000000+ISNUMBER('Dvd Calendar'!$R$987)*100000000+0*10000000+(N('Dvd Calendar'!$R$985)&gt;0)*(N('Dvd Calendar'!$R$985)&lt;=VAL_SERIAL)*1000000+89*1000+54))</f>
        <v/>
      </c>
      <c r="GG100" s="39">
        <f>IF(N('Dvd Calendar'!$S$986)=0,"",IF(('Dvd Calendar'!$S$986&gt;=GRID_FROM)*('Dvd Calendar'!$S$986&lt;=GRID_TO)*('Dvd Calendar'!$S$986&gt;VAL_DATE)=0,"",'Dvd Calendar'!$S$986*1000000000+ISNUMBER('Dvd Calendar'!$S$987)*100000000+0*10000000+(N('Dvd Calendar'!$S$985)&gt;0)*(N('Dvd Calendar'!$S$985)&lt;=VAL_SERIAL)*1000000+89*1000+55))</f>
        <v/>
      </c>
      <c r="GH100" s="39">
        <f>IF(N('Dvd Calendar'!$T$986)=0,"",IF(('Dvd Calendar'!$T$986&gt;=GRID_FROM)*('Dvd Calendar'!$T$986&lt;=GRID_TO)*('Dvd Calendar'!$T$986&gt;VAL_DATE)=0,"",'Dvd Calendar'!$T$986*1000000000+ISNUMBER('Dvd Calendar'!$T$987)*100000000+0*10000000+(N('Dvd Calendar'!$T$985)&gt;0)*(N('Dvd Calendar'!$T$985)&lt;=VAL_SERIAL)*1000000+89*1000+56))</f>
        <v/>
      </c>
      <c r="GI100" s="39">
        <f>IF(N('Dvd Calendar'!$U$986)=0,"",IF(('Dvd Calendar'!$U$986&gt;=GRID_FROM)*('Dvd Calendar'!$U$986&lt;=GRID_TO)*('Dvd Calendar'!$U$986&gt;VAL_DATE)=0,"",'Dvd Calendar'!$U$986*1000000000+ISNUMBER('Dvd Calendar'!$U$987)*100000000+0*10000000+(N('Dvd Calendar'!$U$985)&gt;0)*(N('Dvd Calendar'!$U$985)&lt;=VAL_SERIAL)*1000000+89*1000+57))</f>
        <v/>
      </c>
      <c r="GJ100" s="39">
        <f>IF(N('Dvd Calendar'!$V$986)=0,"",IF(('Dvd Calendar'!$V$986&gt;=GRID_FROM)*('Dvd Calendar'!$V$986&lt;=GRID_TO)*('Dvd Calendar'!$V$986&gt;VAL_DATE)=0,"",'Dvd Calendar'!$V$986*1000000000+ISNUMBER('Dvd Calendar'!$V$987)*100000000+0*10000000+(N('Dvd Calendar'!$V$985)&gt;0)*(N('Dvd Calendar'!$V$985)&lt;=VAL_SERIAL)*1000000+89*1000+58))</f>
        <v/>
      </c>
      <c r="GK100" s="39">
        <f>IF(N('Dvd Calendar'!$W$986)=0,"",IF(('Dvd Calendar'!$W$986&gt;=GRID_FROM)*('Dvd Calendar'!$W$986&lt;=GRID_TO)*('Dvd Calendar'!$W$986&gt;VAL_DATE)=0,"",'Dvd Calendar'!$W$986*1000000000+ISNUMBER('Dvd Calendar'!$W$987)*100000000+0*10000000+(N('Dvd Calendar'!$W$985)&gt;0)*(N('Dvd Calendar'!$W$985)&lt;=VAL_SERIAL)*1000000+89*1000+59))</f>
        <v/>
      </c>
      <c r="GL100" s="39">
        <f>IF(N('Dvd Calendar'!$X$986)=0,"",IF(('Dvd Calendar'!$X$986&gt;=GRID_FROM)*('Dvd Calendar'!$X$986&lt;=GRID_TO)*('Dvd Calendar'!$X$986&gt;VAL_DATE)=0,"",'Dvd Calendar'!$X$986*1000000000+ISNUMBER('Dvd Calendar'!$X$987)*100000000+0*10000000+(N('Dvd Calendar'!$X$985)&gt;0)*(N('Dvd Calendar'!$X$985)&lt;=VAL_SERIAL)*1000000+89*1000+60))</f>
        <v/>
      </c>
      <c r="GM100" s="39">
        <f>IF(N('Dvd Calendar'!$Y$986)=0,"",IF(('Dvd Calendar'!$Y$986&gt;=GRID_FROM)*('Dvd Calendar'!$Y$986&lt;=GRID_TO)*('Dvd Calendar'!$Y$986&gt;VAL_DATE)=0,"",'Dvd Calendar'!$Y$986*1000000000+ISNUMBER('Dvd Calendar'!$Y$987)*100000000+0*10000000+(N('Dvd Calendar'!$Y$985)&gt;0)*(N('Dvd Calendar'!$Y$985)&lt;=VAL_SERIAL)*1000000+89*1000+61))</f>
        <v/>
      </c>
      <c r="GN100" s="39">
        <f>IF(N('Dvd Calendar'!$Z$986)=0,"",IF(('Dvd Calendar'!$Z$986&gt;=GRID_FROM)*('Dvd Calendar'!$Z$986&lt;=GRID_TO)*('Dvd Calendar'!$Z$986&gt;VAL_DATE)=0,"",'Dvd Calendar'!$Z$986*1000000000+ISNUMBER('Dvd Calendar'!$Z$987)*100000000+0*10000000+(N('Dvd Calendar'!$Z$985)&gt;0)*(N('Dvd Calendar'!$Z$985)&lt;=VAL_SERIAL)*1000000+89*1000+62))</f>
        <v/>
      </c>
      <c r="GO100" s="39">
        <f>IF(N('Dvd Calendar'!$AA$986)=0,"",IF(('Dvd Calendar'!$AA$986&gt;=GRID_FROM)*('Dvd Calendar'!$AA$986&lt;=GRID_TO)*('Dvd Calendar'!$AA$986&gt;VAL_DATE)=0,"",'Dvd Calendar'!$AA$986*1000000000+ISNUMBER('Dvd Calendar'!$AA$987)*100000000+0*10000000+(N('Dvd Calendar'!$AA$985)&gt;0)*(N('Dvd Calendar'!$AA$985)&lt;=VAL_SERIAL)*1000000+89*1000+63))</f>
        <v/>
      </c>
      <c r="GP100" s="39">
        <f>IF(N('Dvd Calendar'!$AB$986)=0,"",IF(('Dvd Calendar'!$AB$986&gt;=GRID_FROM)*('Dvd Calendar'!$AB$986&lt;=GRID_TO)*('Dvd Calendar'!$AB$986&gt;VAL_DATE)=0,"",'Dvd Calendar'!$AB$986*1000000000+ISNUMBER('Dvd Calendar'!$AB$987)*100000000+0*10000000+(N('Dvd Calendar'!$AB$985)&gt;0)*(N('Dvd Calendar'!$AB$985)&lt;=VAL_SERIAL)*1000000+89*1000+64))</f>
        <v/>
      </c>
      <c r="GQ100" s="39">
        <f>IF(N('Dvd Calendar'!$AC$986)=0,"",IF(('Dvd Calendar'!$AC$986&gt;=GRID_FROM)*('Dvd Calendar'!$AC$986&lt;=GRID_TO)*('Dvd Calendar'!$AC$986&gt;VAL_DATE)=0,"",'Dvd Calendar'!$AC$986*1000000000+ISNUMBER('Dvd Calendar'!$AC$987)*100000000+0*10000000+(N('Dvd Calendar'!$AC$985)&gt;0)*(N('Dvd Calendar'!$AC$985)&lt;=VAL_SERIAL)*1000000+89*1000+65))</f>
        <v/>
      </c>
    </row>
    <row r="101">
      <c r="B101" s="2">
        <f>IF(HSI!$C$96="","",HSI!$C$96)</f>
        <v/>
      </c>
      <c r="C101" s="110">
        <f>IF(EE101="","",IF(ISNUMBER('Dvd Calendar'!$E$993)=FALSE,"",IF((('Dvd Calendar'!$E$995=TYPE1)*(TYPE1&lt;&gt;"")+('Dvd Calendar'!$E$995=TYPE2)*(TYPE2&lt;&gt;"")+('Dvd Calendar'!$E$995=TYPE3)*(TYPE3&lt;&gt;"")+('Dvd Calendar'!$E$995=TYPE4)*(TYPE4&lt;&gt;"")+('Dvd Calendar'!$E$995=SPECIAL_LBL)*(INC_SPECIALS="Y"))=0,"",'Dvd Calendar'!$E$993)))</f>
        <v/>
      </c>
      <c r="D101" s="110">
        <f>IF(EF101="","",IF(ISNUMBER('Dvd Calendar'!$F$993)=FALSE,"",IF((('Dvd Calendar'!$F$995=TYPE1)*(TYPE1&lt;&gt;"")+('Dvd Calendar'!$F$995=TYPE2)*(TYPE2&lt;&gt;"")+('Dvd Calendar'!$F$995=TYPE3)*(TYPE3&lt;&gt;"")+('Dvd Calendar'!$F$995=TYPE4)*(TYPE4&lt;&gt;"")+('Dvd Calendar'!$F$995=SPECIAL_LBL)*(INC_SPECIALS="Y"))=0,"",'Dvd Calendar'!$F$993)))</f>
        <v/>
      </c>
      <c r="E101" s="110">
        <f>IF(EG101="","",IF(ISNUMBER('Dvd Calendar'!$G$993)=FALSE,"",IF((('Dvd Calendar'!$G$995=TYPE1)*(TYPE1&lt;&gt;"")+('Dvd Calendar'!$G$995=TYPE2)*(TYPE2&lt;&gt;"")+('Dvd Calendar'!$G$995=TYPE3)*(TYPE3&lt;&gt;"")+('Dvd Calendar'!$G$995=TYPE4)*(TYPE4&lt;&gt;"")+('Dvd Calendar'!$G$995=SPECIAL_LBL)*(INC_SPECIALS="Y"))=0,"",'Dvd Calendar'!$G$993)))</f>
        <v/>
      </c>
      <c r="F101" s="110">
        <f>IF(EH101="","",IF(ISNUMBER('Dvd Calendar'!$H$993)=FALSE,"",IF((('Dvd Calendar'!$H$995=TYPE1)*(TYPE1&lt;&gt;"")+('Dvd Calendar'!$H$995=TYPE2)*(TYPE2&lt;&gt;"")+('Dvd Calendar'!$H$995=TYPE3)*(TYPE3&lt;&gt;"")+('Dvd Calendar'!$H$995=TYPE4)*(TYPE4&lt;&gt;"")+('Dvd Calendar'!$H$995=SPECIAL_LBL)*(INC_SPECIALS="Y"))=0,"",'Dvd Calendar'!$H$993)))</f>
        <v/>
      </c>
      <c r="G101" s="110">
        <f>IF(EI101="","",IF(ISNUMBER('Dvd Calendar'!$I$993)=FALSE,"",IF((('Dvd Calendar'!$I$995=TYPE1)*(TYPE1&lt;&gt;"")+('Dvd Calendar'!$I$995=TYPE2)*(TYPE2&lt;&gt;"")+('Dvd Calendar'!$I$995=TYPE3)*(TYPE3&lt;&gt;"")+('Dvd Calendar'!$I$995=TYPE4)*(TYPE4&lt;&gt;"")+('Dvd Calendar'!$I$995=SPECIAL_LBL)*(INC_SPECIALS="Y"))=0,"",'Dvd Calendar'!$I$993)))</f>
        <v/>
      </c>
      <c r="H101" s="110">
        <f>IF(EJ101="","",IF(ISNUMBER('Dvd Calendar'!$J$993)=FALSE,"",IF((('Dvd Calendar'!$J$995=TYPE1)*(TYPE1&lt;&gt;"")+('Dvd Calendar'!$J$995=TYPE2)*(TYPE2&lt;&gt;"")+('Dvd Calendar'!$J$995=TYPE3)*(TYPE3&lt;&gt;"")+('Dvd Calendar'!$J$995=TYPE4)*(TYPE4&lt;&gt;"")+('Dvd Calendar'!$J$995=SPECIAL_LBL)*(INC_SPECIALS="Y"))=0,"",'Dvd Calendar'!$J$993)))</f>
        <v/>
      </c>
      <c r="I101" s="110">
        <f>IF(EK101="","",IF(ISNUMBER('Dvd Calendar'!$K$993)=FALSE,"",IF((('Dvd Calendar'!$K$995=TYPE1)*(TYPE1&lt;&gt;"")+('Dvd Calendar'!$K$995=TYPE2)*(TYPE2&lt;&gt;"")+('Dvd Calendar'!$K$995=TYPE3)*(TYPE3&lt;&gt;"")+('Dvd Calendar'!$K$995=TYPE4)*(TYPE4&lt;&gt;"")+('Dvd Calendar'!$K$995=SPECIAL_LBL)*(INC_SPECIALS="Y"))=0,"",'Dvd Calendar'!$K$993)))</f>
        <v/>
      </c>
      <c r="J101" s="110">
        <f>IF(EL101="","",IF(ISNUMBER('Dvd Calendar'!$L$993)=FALSE,"",IF((('Dvd Calendar'!$L$995=TYPE1)*(TYPE1&lt;&gt;"")+('Dvd Calendar'!$L$995=TYPE2)*(TYPE2&lt;&gt;"")+('Dvd Calendar'!$L$995=TYPE3)*(TYPE3&lt;&gt;"")+('Dvd Calendar'!$L$995=TYPE4)*(TYPE4&lt;&gt;"")+('Dvd Calendar'!$L$995=SPECIAL_LBL)*(INC_SPECIALS="Y"))=0,"",'Dvd Calendar'!$L$993)))</f>
        <v/>
      </c>
      <c r="K101" s="110">
        <f>IF(EM101="","",IF(ISNUMBER('Dvd Calendar'!$M$993)=FALSE,"",IF((('Dvd Calendar'!$M$995=TYPE1)*(TYPE1&lt;&gt;"")+('Dvd Calendar'!$M$995=TYPE2)*(TYPE2&lt;&gt;"")+('Dvd Calendar'!$M$995=TYPE3)*(TYPE3&lt;&gt;"")+('Dvd Calendar'!$M$995=TYPE4)*(TYPE4&lt;&gt;"")+('Dvd Calendar'!$M$995=SPECIAL_LBL)*(INC_SPECIALS="Y"))=0,"",'Dvd Calendar'!$M$993)))</f>
        <v/>
      </c>
      <c r="L101" s="110">
        <f>IF(EN101="","",IF(ISNUMBER('Dvd Calendar'!$N$993)=FALSE,"",IF((('Dvd Calendar'!$N$995=TYPE1)*(TYPE1&lt;&gt;"")+('Dvd Calendar'!$N$995=TYPE2)*(TYPE2&lt;&gt;"")+('Dvd Calendar'!$N$995=TYPE3)*(TYPE3&lt;&gt;"")+('Dvd Calendar'!$N$995=TYPE4)*(TYPE4&lt;&gt;"")+('Dvd Calendar'!$N$995=SPECIAL_LBL)*(INC_SPECIALS="Y"))=0,"",'Dvd Calendar'!$N$993)))</f>
        <v/>
      </c>
      <c r="M101" s="110">
        <f>IF(EO101="","",IF(ISNUMBER('Dvd Calendar'!$O$993)=FALSE,"",IF((('Dvd Calendar'!$O$995=TYPE1)*(TYPE1&lt;&gt;"")+('Dvd Calendar'!$O$995=TYPE2)*(TYPE2&lt;&gt;"")+('Dvd Calendar'!$O$995=TYPE3)*(TYPE3&lt;&gt;"")+('Dvd Calendar'!$O$995=TYPE4)*(TYPE4&lt;&gt;"")+('Dvd Calendar'!$O$995=SPECIAL_LBL)*(INC_SPECIALS="Y"))=0,"",'Dvd Calendar'!$O$993)))</f>
        <v/>
      </c>
      <c r="N101" s="110">
        <f>IF(EP101="","",IF(ISNUMBER('Dvd Calendar'!$P$993)=FALSE,"",IF((('Dvd Calendar'!$P$995=TYPE1)*(TYPE1&lt;&gt;"")+('Dvd Calendar'!$P$995=TYPE2)*(TYPE2&lt;&gt;"")+('Dvd Calendar'!$P$995=TYPE3)*(TYPE3&lt;&gt;"")+('Dvd Calendar'!$P$995=TYPE4)*(TYPE4&lt;&gt;"")+('Dvd Calendar'!$P$995=SPECIAL_LBL)*(INC_SPECIALS="Y"))=0,"",'Dvd Calendar'!$P$993)))</f>
        <v/>
      </c>
      <c r="O101" s="110">
        <f>IF(EQ101="","",IF(ISNUMBER('Dvd Calendar'!$Q$993)=FALSE,"",IF((('Dvd Calendar'!$Q$995=TYPE1)*(TYPE1&lt;&gt;"")+('Dvd Calendar'!$Q$995=TYPE2)*(TYPE2&lt;&gt;"")+('Dvd Calendar'!$Q$995=TYPE3)*(TYPE3&lt;&gt;"")+('Dvd Calendar'!$Q$995=TYPE4)*(TYPE4&lt;&gt;"")+('Dvd Calendar'!$Q$995=SPECIAL_LBL)*(INC_SPECIALS="Y"))=0,"",'Dvd Calendar'!$Q$993)))</f>
        <v/>
      </c>
      <c r="P101" s="110">
        <f>IF(ER101="","",IF(ISNUMBER('Dvd Calendar'!$R$993)=FALSE,"",IF((('Dvd Calendar'!$R$995=TYPE1)*(TYPE1&lt;&gt;"")+('Dvd Calendar'!$R$995=TYPE2)*(TYPE2&lt;&gt;"")+('Dvd Calendar'!$R$995=TYPE3)*(TYPE3&lt;&gt;"")+('Dvd Calendar'!$R$995=TYPE4)*(TYPE4&lt;&gt;"")+('Dvd Calendar'!$R$995=SPECIAL_LBL)*(INC_SPECIALS="Y"))=0,"",'Dvd Calendar'!$R$993)))</f>
        <v/>
      </c>
      <c r="Q101" s="110">
        <f>IF(ES101="","",IF(ISNUMBER('Dvd Calendar'!$S$993)=FALSE,"",IF((('Dvd Calendar'!$S$995=TYPE1)*(TYPE1&lt;&gt;"")+('Dvd Calendar'!$S$995=TYPE2)*(TYPE2&lt;&gt;"")+('Dvd Calendar'!$S$995=TYPE3)*(TYPE3&lt;&gt;"")+('Dvd Calendar'!$S$995=TYPE4)*(TYPE4&lt;&gt;"")+('Dvd Calendar'!$S$995=SPECIAL_LBL)*(INC_SPECIALS="Y"))=0,"",'Dvd Calendar'!$S$993)))</f>
        <v/>
      </c>
      <c r="R101" s="110">
        <f>IF(ET101="","",IF(ISNUMBER('Dvd Calendar'!$T$993)=FALSE,"",IF((('Dvd Calendar'!$T$995=TYPE1)*(TYPE1&lt;&gt;"")+('Dvd Calendar'!$T$995=TYPE2)*(TYPE2&lt;&gt;"")+('Dvd Calendar'!$T$995=TYPE3)*(TYPE3&lt;&gt;"")+('Dvd Calendar'!$T$995=TYPE4)*(TYPE4&lt;&gt;"")+('Dvd Calendar'!$T$995=SPECIAL_LBL)*(INC_SPECIALS="Y"))=0,"",'Dvd Calendar'!$T$993)))</f>
        <v/>
      </c>
      <c r="S101" s="110">
        <f>IF(EU101="","",IF(ISNUMBER('Dvd Calendar'!$U$993)=FALSE,"",IF((('Dvd Calendar'!$U$995=TYPE1)*(TYPE1&lt;&gt;"")+('Dvd Calendar'!$U$995=TYPE2)*(TYPE2&lt;&gt;"")+('Dvd Calendar'!$U$995=TYPE3)*(TYPE3&lt;&gt;"")+('Dvd Calendar'!$U$995=TYPE4)*(TYPE4&lt;&gt;"")+('Dvd Calendar'!$U$995=SPECIAL_LBL)*(INC_SPECIALS="Y"))=0,"",'Dvd Calendar'!$U$993)))</f>
        <v/>
      </c>
      <c r="T101" s="110">
        <f>IF(EV101="","",IF(ISNUMBER('Dvd Calendar'!$V$993)=FALSE,"",IF((('Dvd Calendar'!$V$995=TYPE1)*(TYPE1&lt;&gt;"")+('Dvd Calendar'!$V$995=TYPE2)*(TYPE2&lt;&gt;"")+('Dvd Calendar'!$V$995=TYPE3)*(TYPE3&lt;&gt;"")+('Dvd Calendar'!$V$995=TYPE4)*(TYPE4&lt;&gt;"")+('Dvd Calendar'!$V$995=SPECIAL_LBL)*(INC_SPECIALS="Y"))=0,"",'Dvd Calendar'!$V$993)))</f>
        <v/>
      </c>
      <c r="U101" s="110">
        <f>IF(EW101="","",IF(ISNUMBER('Dvd Calendar'!$W$993)=FALSE,"",IF((('Dvd Calendar'!$W$995=TYPE1)*(TYPE1&lt;&gt;"")+('Dvd Calendar'!$W$995=TYPE2)*(TYPE2&lt;&gt;"")+('Dvd Calendar'!$W$995=TYPE3)*(TYPE3&lt;&gt;"")+('Dvd Calendar'!$W$995=TYPE4)*(TYPE4&lt;&gt;"")+('Dvd Calendar'!$W$995=SPECIAL_LBL)*(INC_SPECIALS="Y"))=0,"",'Dvd Calendar'!$W$993)))</f>
        <v/>
      </c>
      <c r="V101" s="110">
        <f>IF(EX101="","",IF(ISNUMBER('Dvd Calendar'!$X$993)=FALSE,"",IF((('Dvd Calendar'!$X$995=TYPE1)*(TYPE1&lt;&gt;"")+('Dvd Calendar'!$X$995=TYPE2)*(TYPE2&lt;&gt;"")+('Dvd Calendar'!$X$995=TYPE3)*(TYPE3&lt;&gt;"")+('Dvd Calendar'!$X$995=TYPE4)*(TYPE4&lt;&gt;"")+('Dvd Calendar'!$X$995=SPECIAL_LBL)*(INC_SPECIALS="Y"))=0,"",'Dvd Calendar'!$X$993)))</f>
        <v/>
      </c>
      <c r="W101" s="110">
        <f>IF(EY101="","",IF(ISNUMBER('Dvd Calendar'!$Y$993)=FALSE,"",IF((('Dvd Calendar'!$Y$995=TYPE1)*(TYPE1&lt;&gt;"")+('Dvd Calendar'!$Y$995=TYPE2)*(TYPE2&lt;&gt;"")+('Dvd Calendar'!$Y$995=TYPE3)*(TYPE3&lt;&gt;"")+('Dvd Calendar'!$Y$995=TYPE4)*(TYPE4&lt;&gt;"")+('Dvd Calendar'!$Y$995=SPECIAL_LBL)*(INC_SPECIALS="Y"))=0,"",'Dvd Calendar'!$Y$993)))</f>
        <v/>
      </c>
      <c r="X101" s="110">
        <f>IF(EZ101="","",IF(ISNUMBER('Dvd Calendar'!$Z$993)=FALSE,"",IF((('Dvd Calendar'!$Z$995=TYPE1)*(TYPE1&lt;&gt;"")+('Dvd Calendar'!$Z$995=TYPE2)*(TYPE2&lt;&gt;"")+('Dvd Calendar'!$Z$995=TYPE3)*(TYPE3&lt;&gt;"")+('Dvd Calendar'!$Z$995=TYPE4)*(TYPE4&lt;&gt;"")+('Dvd Calendar'!$Z$995=SPECIAL_LBL)*(INC_SPECIALS="Y"))=0,"",'Dvd Calendar'!$Z$993)))</f>
        <v/>
      </c>
      <c r="Y101" s="110">
        <f>IF(FA101="","",IF(ISNUMBER('Dvd Calendar'!$AA$993)=FALSE,"",IF((('Dvd Calendar'!$AA$995=TYPE1)*(TYPE1&lt;&gt;"")+('Dvd Calendar'!$AA$995=TYPE2)*(TYPE2&lt;&gt;"")+('Dvd Calendar'!$AA$995=TYPE3)*(TYPE3&lt;&gt;"")+('Dvd Calendar'!$AA$995=TYPE4)*(TYPE4&lt;&gt;"")+('Dvd Calendar'!$AA$995=SPECIAL_LBL)*(INC_SPECIALS="Y"))=0,"",'Dvd Calendar'!$AA$993)))</f>
        <v/>
      </c>
      <c r="Z101" s="110">
        <f>IF(FB101="","",IF(ISNUMBER('Dvd Calendar'!$AB$993)=FALSE,"",IF((('Dvd Calendar'!$AB$995=TYPE1)*(TYPE1&lt;&gt;"")+('Dvd Calendar'!$AB$995=TYPE2)*(TYPE2&lt;&gt;"")+('Dvd Calendar'!$AB$995=TYPE3)*(TYPE3&lt;&gt;"")+('Dvd Calendar'!$AB$995=TYPE4)*(TYPE4&lt;&gt;"")+('Dvd Calendar'!$AB$995=SPECIAL_LBL)*(INC_SPECIALS="Y"))=0,"",'Dvd Calendar'!$AB$993)))</f>
        <v/>
      </c>
      <c r="AA101" s="110">
        <f>IF(FC101="","",IF(ISNUMBER('Dvd Calendar'!$AC$993)=FALSE,"",IF((('Dvd Calendar'!$AC$995=TYPE1)*(TYPE1&lt;&gt;"")+('Dvd Calendar'!$AC$995=TYPE2)*(TYPE2&lt;&gt;"")+('Dvd Calendar'!$AC$995=TYPE3)*(TYPE3&lt;&gt;"")+('Dvd Calendar'!$AC$995=TYPE4)*(TYPE4&lt;&gt;"")+('Dvd Calendar'!$AC$995=SPECIAL_LBL)*(INC_SPECIALS="Y"))=0,"",'Dvd Calendar'!$AC$993)))</f>
        <v/>
      </c>
      <c r="AB101" s="110">
        <f>IF(FD101="","",IF(ISNUMBER('Dvd Calendar'!$AD$993)=FALSE,"",IF((('Dvd Calendar'!$AD$995=TYPE1)*(TYPE1&lt;&gt;"")+('Dvd Calendar'!$AD$995=TYPE2)*(TYPE2&lt;&gt;"")+('Dvd Calendar'!$AD$995=TYPE3)*(TYPE3&lt;&gt;"")+('Dvd Calendar'!$AD$995=TYPE4)*(TYPE4&lt;&gt;"")+('Dvd Calendar'!$AD$995=SPECIAL_LBL)*(INC_SPECIALS="Y"))=0,"",'Dvd Calendar'!$AD$993)))</f>
        <v/>
      </c>
      <c r="AC101" s="110">
        <f>IF(FE101="","",IF(ISNUMBER('Dvd Calendar'!$AE$993)=FALSE,"",IF((('Dvd Calendar'!$AE$995=TYPE1)*(TYPE1&lt;&gt;"")+('Dvd Calendar'!$AE$995=TYPE2)*(TYPE2&lt;&gt;"")+('Dvd Calendar'!$AE$995=TYPE3)*(TYPE3&lt;&gt;"")+('Dvd Calendar'!$AE$995=TYPE4)*(TYPE4&lt;&gt;"")+('Dvd Calendar'!$AE$995=SPECIAL_LBL)*(INC_SPECIALS="Y"))=0,"",'Dvd Calendar'!$AE$993)))</f>
        <v/>
      </c>
      <c r="AD101" s="110">
        <f>IF(FF101="","",IF(ISNUMBER('Dvd Calendar'!$AF$993)=FALSE,"",IF((('Dvd Calendar'!$AF$995=TYPE1)*(TYPE1&lt;&gt;"")+('Dvd Calendar'!$AF$995=TYPE2)*(TYPE2&lt;&gt;"")+('Dvd Calendar'!$AF$995=TYPE3)*(TYPE3&lt;&gt;"")+('Dvd Calendar'!$AF$995=TYPE4)*(TYPE4&lt;&gt;"")+('Dvd Calendar'!$AF$995=SPECIAL_LBL)*(INC_SPECIALS="Y"))=0,"",'Dvd Calendar'!$AF$993)))</f>
        <v/>
      </c>
      <c r="AE101" s="110">
        <f>IF(FG101="","",IF(ISNUMBER('Dvd Calendar'!$AG$993)=FALSE,"",IF((('Dvd Calendar'!$AG$995=TYPE1)*(TYPE1&lt;&gt;"")+('Dvd Calendar'!$AG$995=TYPE2)*(TYPE2&lt;&gt;"")+('Dvd Calendar'!$AG$995=TYPE3)*(TYPE3&lt;&gt;"")+('Dvd Calendar'!$AG$995=TYPE4)*(TYPE4&lt;&gt;"")+('Dvd Calendar'!$AG$995=SPECIAL_LBL)*(INC_SPECIALS="Y"))=0,"",'Dvd Calendar'!$AG$993)))</f>
        <v/>
      </c>
      <c r="AF101" s="110">
        <f>IF(FH101="","",IF(ISNUMBER('Dvd Calendar'!$AH$993)=FALSE,"",IF((('Dvd Calendar'!$AH$995=TYPE1)*(TYPE1&lt;&gt;"")+('Dvd Calendar'!$AH$995=TYPE2)*(TYPE2&lt;&gt;"")+('Dvd Calendar'!$AH$995=TYPE3)*(TYPE3&lt;&gt;"")+('Dvd Calendar'!$AH$995=TYPE4)*(TYPE4&lt;&gt;"")+('Dvd Calendar'!$AH$995=SPECIAL_LBL)*(INC_SPECIALS="Y"))=0,"",'Dvd Calendar'!$AH$993)))</f>
        <v/>
      </c>
      <c r="AG101" s="110">
        <f>IF(FI101="","",IF(ISNUMBER('Dvd Calendar'!$AI$993)=FALSE,"",IF((('Dvd Calendar'!$AI$995=TYPE1)*(TYPE1&lt;&gt;"")+('Dvd Calendar'!$AI$995=TYPE2)*(TYPE2&lt;&gt;"")+('Dvd Calendar'!$AI$995=TYPE3)*(TYPE3&lt;&gt;"")+('Dvd Calendar'!$AI$995=TYPE4)*(TYPE4&lt;&gt;"")+('Dvd Calendar'!$AI$995=SPECIAL_LBL)*(INC_SPECIALS="Y"))=0,"",'Dvd Calendar'!$AI$993)))</f>
        <v/>
      </c>
      <c r="AH101" s="110">
        <f>IF(FJ101="","",IF(ISNUMBER('Dvd Calendar'!$AJ$993)=FALSE,"",IF((('Dvd Calendar'!$AJ$995=TYPE1)*(TYPE1&lt;&gt;"")+('Dvd Calendar'!$AJ$995=TYPE2)*(TYPE2&lt;&gt;"")+('Dvd Calendar'!$AJ$995=TYPE3)*(TYPE3&lt;&gt;"")+('Dvd Calendar'!$AJ$995=TYPE4)*(TYPE4&lt;&gt;"")+('Dvd Calendar'!$AJ$995=SPECIAL_LBL)*(INC_SPECIALS="Y"))=0,"",'Dvd Calendar'!$AJ$993)))</f>
        <v/>
      </c>
      <c r="AI101" s="110">
        <f>IF(FK101="","",IF(ISNUMBER('Dvd Calendar'!$AK$993)=FALSE,"",IF((('Dvd Calendar'!$AK$995=TYPE1)*(TYPE1&lt;&gt;"")+('Dvd Calendar'!$AK$995=TYPE2)*(TYPE2&lt;&gt;"")+('Dvd Calendar'!$AK$995=TYPE3)*(TYPE3&lt;&gt;"")+('Dvd Calendar'!$AK$995=TYPE4)*(TYPE4&lt;&gt;"")+('Dvd Calendar'!$AK$995=SPECIAL_LBL)*(INC_SPECIALS="Y"))=0,"",'Dvd Calendar'!$AK$993)))</f>
        <v/>
      </c>
      <c r="AJ101" s="110">
        <f>IF(FL101="","",IF(ISNUMBER('Dvd Calendar'!$AL$993)=FALSE,"",IF((('Dvd Calendar'!$AL$995=TYPE1)*(TYPE1&lt;&gt;"")+('Dvd Calendar'!$AL$995=TYPE2)*(TYPE2&lt;&gt;"")+('Dvd Calendar'!$AL$995=TYPE3)*(TYPE3&lt;&gt;"")+('Dvd Calendar'!$AL$995=TYPE4)*(TYPE4&lt;&gt;"")+('Dvd Calendar'!$AL$995=SPECIAL_LBL)*(INC_SPECIALS="Y"))=0,"",'Dvd Calendar'!$AL$993)))</f>
        <v/>
      </c>
      <c r="AK101" s="110">
        <f>IF(FM101="","",IF(ISNUMBER('Dvd Calendar'!$AM$993)=FALSE,"",IF((('Dvd Calendar'!$AM$995=TYPE1)*(TYPE1&lt;&gt;"")+('Dvd Calendar'!$AM$995=TYPE2)*(TYPE2&lt;&gt;"")+('Dvd Calendar'!$AM$995=TYPE3)*(TYPE3&lt;&gt;"")+('Dvd Calendar'!$AM$995=TYPE4)*(TYPE4&lt;&gt;"")+('Dvd Calendar'!$AM$995=SPECIAL_LBL)*(INC_SPECIALS="Y"))=0,"",'Dvd Calendar'!$AM$993)))</f>
        <v/>
      </c>
      <c r="AL101" s="110">
        <f>IF(FN101="","",IF(ISNUMBER('Dvd Calendar'!$AN$993)=FALSE,"",IF((('Dvd Calendar'!$AN$995=TYPE1)*(TYPE1&lt;&gt;"")+('Dvd Calendar'!$AN$995=TYPE2)*(TYPE2&lt;&gt;"")+('Dvd Calendar'!$AN$995=TYPE3)*(TYPE3&lt;&gt;"")+('Dvd Calendar'!$AN$995=TYPE4)*(TYPE4&lt;&gt;"")+('Dvd Calendar'!$AN$995=SPECIAL_LBL)*(INC_SPECIALS="Y"))=0,"",'Dvd Calendar'!$AN$993)))</f>
        <v/>
      </c>
      <c r="AM101" s="110">
        <f>IF(FO101="","",IF(ISNUMBER('Dvd Calendar'!$AO$993)=FALSE,"",IF((('Dvd Calendar'!$AO$995=TYPE1)*(TYPE1&lt;&gt;"")+('Dvd Calendar'!$AO$995=TYPE2)*(TYPE2&lt;&gt;"")+('Dvd Calendar'!$AO$995=TYPE3)*(TYPE3&lt;&gt;"")+('Dvd Calendar'!$AO$995=TYPE4)*(TYPE4&lt;&gt;"")+('Dvd Calendar'!$AO$995=SPECIAL_LBL)*(INC_SPECIALS="Y"))=0,"",'Dvd Calendar'!$AO$993)))</f>
        <v/>
      </c>
      <c r="AN101" s="110">
        <f>IF(FP101="","",IF(ISNUMBER('Dvd Calendar'!$AP$993)=FALSE,"",IF((('Dvd Calendar'!$AP$995=TYPE1)*(TYPE1&lt;&gt;"")+('Dvd Calendar'!$AP$995=TYPE2)*(TYPE2&lt;&gt;"")+('Dvd Calendar'!$AP$995=TYPE3)*(TYPE3&lt;&gt;"")+('Dvd Calendar'!$AP$995=TYPE4)*(TYPE4&lt;&gt;"")+('Dvd Calendar'!$AP$995=SPECIAL_LBL)*(INC_SPECIALS="Y"))=0,"",'Dvd Calendar'!$AP$993)))</f>
        <v/>
      </c>
      <c r="AO101" s="110">
        <f>IF(FQ101="","",IF(ISNUMBER('Dvd Calendar'!$AQ$993)=FALSE,"",IF((('Dvd Calendar'!$AQ$995=TYPE1)*(TYPE1&lt;&gt;"")+('Dvd Calendar'!$AQ$995=TYPE2)*(TYPE2&lt;&gt;"")+('Dvd Calendar'!$AQ$995=TYPE3)*(TYPE3&lt;&gt;"")+('Dvd Calendar'!$AQ$995=TYPE4)*(TYPE4&lt;&gt;"")+('Dvd Calendar'!$AQ$995=SPECIAL_LBL)*(INC_SPECIALS="Y"))=0,"",'Dvd Calendar'!$AQ$993)))</f>
        <v/>
      </c>
      <c r="AP101" s="110">
        <f>IF(FR101="","",IF(ISNUMBER('Dvd Calendar'!$AR$993)=FALSE,"",IF((('Dvd Calendar'!$AR$995=TYPE1)*(TYPE1&lt;&gt;"")+('Dvd Calendar'!$AR$995=TYPE2)*(TYPE2&lt;&gt;"")+('Dvd Calendar'!$AR$995=TYPE3)*(TYPE3&lt;&gt;"")+('Dvd Calendar'!$AR$995=TYPE4)*(TYPE4&lt;&gt;"")+('Dvd Calendar'!$AR$995=SPECIAL_LBL)*(INC_SPECIALS="Y"))=0,"",'Dvd Calendar'!$AR$993)))</f>
        <v/>
      </c>
      <c r="AQ101" s="110">
        <f>IF(FS101="","",IF(ISNUMBER('Dvd Calendar'!$E$998)=FALSE,"",'Dvd Calendar'!$E$998))</f>
        <v/>
      </c>
      <c r="AR101" s="110">
        <f>IF(FT101="","",IF(ISNUMBER('Dvd Calendar'!$F$998)=FALSE,"",'Dvd Calendar'!$F$998))</f>
        <v/>
      </c>
      <c r="AS101" s="110">
        <f>IF(FU101="","",IF(ISNUMBER('Dvd Calendar'!$G$998)=FALSE,"",'Dvd Calendar'!$G$998))</f>
        <v/>
      </c>
      <c r="AT101" s="110">
        <f>IF(FV101="","",IF(ISNUMBER('Dvd Calendar'!$H$998)=FALSE,"",'Dvd Calendar'!$H$998))</f>
        <v/>
      </c>
      <c r="AU101" s="110">
        <f>IF(FW101="","",IF(ISNUMBER('Dvd Calendar'!$I$998)=FALSE,"",'Dvd Calendar'!$I$998))</f>
        <v/>
      </c>
      <c r="AV101" s="110">
        <f>IF(FX101="","",IF(ISNUMBER('Dvd Calendar'!$J$998)=FALSE,"",'Dvd Calendar'!$J$998))</f>
        <v/>
      </c>
      <c r="AW101" s="110">
        <f>IF(FY101="","",IF(ISNUMBER('Dvd Calendar'!$K$998)=FALSE,"",'Dvd Calendar'!$K$998))</f>
        <v/>
      </c>
      <c r="AX101" s="110">
        <f>IF(FZ101="","",IF(ISNUMBER('Dvd Calendar'!$L$998)=FALSE,"",'Dvd Calendar'!$L$998))</f>
        <v/>
      </c>
      <c r="AY101" s="110">
        <f>IF(GA101="","",IF(ISNUMBER('Dvd Calendar'!$M$998)=FALSE,"",'Dvd Calendar'!$M$998))</f>
        <v/>
      </c>
      <c r="AZ101" s="110">
        <f>IF(GB101="","",IF(ISNUMBER('Dvd Calendar'!$N$998)=FALSE,"",'Dvd Calendar'!$N$998))</f>
        <v/>
      </c>
      <c r="BA101" s="110">
        <f>IF(GC101="","",IF(ISNUMBER('Dvd Calendar'!$O$998)=FALSE,"",'Dvd Calendar'!$O$998))</f>
        <v/>
      </c>
      <c r="BB101" s="110">
        <f>IF(GD101="","",IF(ISNUMBER('Dvd Calendar'!$P$998)=FALSE,"",'Dvd Calendar'!$P$998))</f>
        <v/>
      </c>
      <c r="BC101" s="110">
        <f>IF(GE101="","",IF(ISNUMBER('Dvd Calendar'!$Q$998)=FALSE,"",'Dvd Calendar'!$Q$998))</f>
        <v/>
      </c>
      <c r="BD101" s="110">
        <f>IF(GF101="","",IF(ISNUMBER('Dvd Calendar'!$R$998)=FALSE,"",'Dvd Calendar'!$R$998))</f>
        <v/>
      </c>
      <c r="BE101" s="110">
        <f>IF(GG101="","",IF(ISNUMBER('Dvd Calendar'!$S$998)=FALSE,"",'Dvd Calendar'!$S$998))</f>
        <v/>
      </c>
      <c r="BF101" s="110">
        <f>IF(GH101="","",IF(ISNUMBER('Dvd Calendar'!$T$998)=FALSE,"",'Dvd Calendar'!$T$998))</f>
        <v/>
      </c>
      <c r="BG101" s="110">
        <f>IF(GI101="","",IF(ISNUMBER('Dvd Calendar'!$U$998)=FALSE,"",'Dvd Calendar'!$U$998))</f>
        <v/>
      </c>
      <c r="BH101" s="110">
        <f>IF(GJ101="","",IF(ISNUMBER('Dvd Calendar'!$V$998)=FALSE,"",'Dvd Calendar'!$V$998))</f>
        <v/>
      </c>
      <c r="BI101" s="110">
        <f>IF(GK101="","",IF(ISNUMBER('Dvd Calendar'!$W$998)=FALSE,"",'Dvd Calendar'!$W$998))</f>
        <v/>
      </c>
      <c r="BJ101" s="110">
        <f>IF(GL101="","",IF(ISNUMBER('Dvd Calendar'!$X$998)=FALSE,"",'Dvd Calendar'!$X$998))</f>
        <v/>
      </c>
      <c r="BK101" s="110">
        <f>IF(GM101="","",IF(ISNUMBER('Dvd Calendar'!$Y$998)=FALSE,"",'Dvd Calendar'!$Y$998))</f>
        <v/>
      </c>
      <c r="BL101" s="110">
        <f>IF(GN101="","",IF(ISNUMBER('Dvd Calendar'!$Z$998)=FALSE,"",'Dvd Calendar'!$Z$998))</f>
        <v/>
      </c>
      <c r="BM101" s="110">
        <f>IF(GO101="","",IF(ISNUMBER('Dvd Calendar'!$AA$998)=FALSE,"",'Dvd Calendar'!$AA$998))</f>
        <v/>
      </c>
      <c r="BN101" s="110">
        <f>IF(GP101="","",IF(ISNUMBER('Dvd Calendar'!$AB$998)=FALSE,"",'Dvd Calendar'!$AB$998))</f>
        <v/>
      </c>
      <c r="BO101" s="110">
        <f>IF(GQ101="","",IF(ISNUMBER('Dvd Calendar'!$AC$998)=FALSE,"",'Dvd Calendar'!$AC$998))</f>
        <v/>
      </c>
      <c r="BQ101" s="110">
        <f>IF(C101="","",IFERROR(C101*HSI!$B$96*HSI!$G$96/HSI!$B$3,""))</f>
        <v/>
      </c>
      <c r="BR101" s="110">
        <f>IF(D101="","",IFERROR(D101*HSI!$B$96*HSI!$G$96/HSI!$B$3,""))</f>
        <v/>
      </c>
      <c r="BS101" s="110">
        <f>IF(E101="","",IFERROR(E101*HSI!$B$96*HSI!$G$96/HSI!$B$3,""))</f>
        <v/>
      </c>
      <c r="BT101" s="110">
        <f>IF(F101="","",IFERROR(F101*HSI!$B$96*HSI!$G$96/HSI!$B$3,""))</f>
        <v/>
      </c>
      <c r="BU101" s="110">
        <f>IF(G101="","",IFERROR(G101*HSI!$B$96*HSI!$G$96/HSI!$B$3,""))</f>
        <v/>
      </c>
      <c r="BV101" s="110">
        <f>IF(H101="","",IFERROR(H101*HSI!$B$96*HSI!$G$96/HSI!$B$3,""))</f>
        <v/>
      </c>
      <c r="BW101" s="110">
        <f>IF(I101="","",IFERROR(I101*HSI!$B$96*HSI!$G$96/HSI!$B$3,""))</f>
        <v/>
      </c>
      <c r="BX101" s="110">
        <f>IF(J101="","",IFERROR(J101*HSI!$B$96*HSI!$G$96/HSI!$B$3,""))</f>
        <v/>
      </c>
      <c r="BY101" s="110">
        <f>IF(K101="","",IFERROR(K101*HSI!$B$96*HSI!$G$96/HSI!$B$3,""))</f>
        <v/>
      </c>
      <c r="BZ101" s="110">
        <f>IF(L101="","",IFERROR(L101*HSI!$B$96*HSI!$G$96/HSI!$B$3,""))</f>
        <v/>
      </c>
      <c r="CA101" s="110">
        <f>IF(M101="","",IFERROR(M101*HSI!$B$96*HSI!$G$96/HSI!$B$3,""))</f>
        <v/>
      </c>
      <c r="CB101" s="110">
        <f>IF(N101="","",IFERROR(N101*HSI!$B$96*HSI!$G$96/HSI!$B$3,""))</f>
        <v/>
      </c>
      <c r="CC101" s="110">
        <f>IF(O101="","",IFERROR(O101*HSI!$B$96*HSI!$G$96/HSI!$B$3,""))</f>
        <v/>
      </c>
      <c r="CD101" s="110">
        <f>IF(P101="","",IFERROR(P101*HSI!$B$96*HSI!$G$96/HSI!$B$3,""))</f>
        <v/>
      </c>
      <c r="CE101" s="110">
        <f>IF(Q101="","",IFERROR(Q101*HSI!$B$96*HSI!$G$96/HSI!$B$3,""))</f>
        <v/>
      </c>
      <c r="CF101" s="110">
        <f>IF(R101="","",IFERROR(R101*HSI!$B$96*HSI!$G$96/HSI!$B$3,""))</f>
        <v/>
      </c>
      <c r="CG101" s="110">
        <f>IF(S101="","",IFERROR(S101*HSI!$B$96*HSI!$G$96/HSI!$B$3,""))</f>
        <v/>
      </c>
      <c r="CH101" s="110">
        <f>IF(T101="","",IFERROR(T101*HSI!$B$96*HSI!$G$96/HSI!$B$3,""))</f>
        <v/>
      </c>
      <c r="CI101" s="110">
        <f>IF(U101="","",IFERROR(U101*HSI!$B$96*HSI!$G$96/HSI!$B$3,""))</f>
        <v/>
      </c>
      <c r="CJ101" s="110">
        <f>IF(V101="","",IFERROR(V101*HSI!$B$96*HSI!$G$96/HSI!$B$3,""))</f>
        <v/>
      </c>
      <c r="CK101" s="110">
        <f>IF(W101="","",IFERROR(W101*HSI!$B$96*HSI!$G$96/HSI!$B$3,""))</f>
        <v/>
      </c>
      <c r="CL101" s="110">
        <f>IF(X101="","",IFERROR(X101*HSI!$B$96*HSI!$G$96/HSI!$B$3,""))</f>
        <v/>
      </c>
      <c r="CM101" s="110">
        <f>IF(Y101="","",IFERROR(Y101*HSI!$B$96*HSI!$G$96/HSI!$B$3,""))</f>
        <v/>
      </c>
      <c r="CN101" s="110">
        <f>IF(Z101="","",IFERROR(Z101*HSI!$B$96*HSI!$G$96/HSI!$B$3,""))</f>
        <v/>
      </c>
      <c r="CO101" s="110">
        <f>IF(AA101="","",IFERROR(AA101*HSI!$B$96*HSI!$G$96/HSI!$B$3,""))</f>
        <v/>
      </c>
      <c r="CP101" s="110">
        <f>IF(AB101="","",IFERROR(AB101*HSI!$B$96*HSI!$G$96/HSI!$B$3,""))</f>
        <v/>
      </c>
      <c r="CQ101" s="110">
        <f>IF(AC101="","",IFERROR(AC101*HSI!$B$96*HSI!$G$96/HSI!$B$3,""))</f>
        <v/>
      </c>
      <c r="CR101" s="110">
        <f>IF(AD101="","",IFERROR(AD101*HSI!$B$96*HSI!$G$96/HSI!$B$3,""))</f>
        <v/>
      </c>
      <c r="CS101" s="110">
        <f>IF(AE101="","",IFERROR(AE101*HSI!$B$96*HSI!$G$96/HSI!$B$3,""))</f>
        <v/>
      </c>
      <c r="CT101" s="110">
        <f>IF(AF101="","",IFERROR(AF101*HSI!$B$96*HSI!$G$96/HSI!$B$3,""))</f>
        <v/>
      </c>
      <c r="CU101" s="110">
        <f>IF(AG101="","",IFERROR(AG101*HSI!$B$96*HSI!$G$96/HSI!$B$3,""))</f>
        <v/>
      </c>
      <c r="CV101" s="110">
        <f>IF(AH101="","",IFERROR(AH101*HSI!$B$96*HSI!$G$96/HSI!$B$3,""))</f>
        <v/>
      </c>
      <c r="CW101" s="110">
        <f>IF(AI101="","",IFERROR(AI101*HSI!$B$96*HSI!$G$96/HSI!$B$3,""))</f>
        <v/>
      </c>
      <c r="CX101" s="110">
        <f>IF(AJ101="","",IFERROR(AJ101*HSI!$B$96*HSI!$G$96/HSI!$B$3,""))</f>
        <v/>
      </c>
      <c r="CY101" s="110">
        <f>IF(AK101="","",IFERROR(AK101*HSI!$B$96*HSI!$G$96/HSI!$B$3,""))</f>
        <v/>
      </c>
      <c r="CZ101" s="110">
        <f>IF(AL101="","",IFERROR(AL101*HSI!$B$96*HSI!$G$96/HSI!$B$3,""))</f>
        <v/>
      </c>
      <c r="DA101" s="110">
        <f>IF(AM101="","",IFERROR(AM101*HSI!$B$96*HSI!$G$96/HSI!$B$3,""))</f>
        <v/>
      </c>
      <c r="DB101" s="110">
        <f>IF(AN101="","",IFERROR(AN101*HSI!$B$96*HSI!$G$96/HSI!$B$3,""))</f>
        <v/>
      </c>
      <c r="DC101" s="110">
        <f>IF(AO101="","",IFERROR(AO101*HSI!$B$96*HSI!$G$96/HSI!$B$3,""))</f>
        <v/>
      </c>
      <c r="DD101" s="110">
        <f>IF(AP101="","",IFERROR(AP101*HSI!$B$96*HSI!$G$96/HSI!$B$3,""))</f>
        <v/>
      </c>
      <c r="DE101" s="110">
        <f>IF(AQ101="","",IFERROR(AQ101*HSI!$B$96*HSI!$G$96/HSI!$B$3,""))</f>
        <v/>
      </c>
      <c r="DF101" s="110">
        <f>IF(AR101="","",IFERROR(AR101*HSI!$B$96*HSI!$G$96/HSI!$B$3,""))</f>
        <v/>
      </c>
      <c r="DG101" s="110">
        <f>IF(AS101="","",IFERROR(AS101*HSI!$B$96*HSI!$G$96/HSI!$B$3,""))</f>
        <v/>
      </c>
      <c r="DH101" s="110">
        <f>IF(AT101="","",IFERROR(AT101*HSI!$B$96*HSI!$G$96/HSI!$B$3,""))</f>
        <v/>
      </c>
      <c r="DI101" s="110">
        <f>IF(AU101="","",IFERROR(AU101*HSI!$B$96*HSI!$G$96/HSI!$B$3,""))</f>
        <v/>
      </c>
      <c r="DJ101" s="110">
        <f>IF(AV101="","",IFERROR(AV101*HSI!$B$96*HSI!$G$96/HSI!$B$3,""))</f>
        <v/>
      </c>
      <c r="DK101" s="110">
        <f>IF(AW101="","",IFERROR(AW101*HSI!$B$96*HSI!$G$96/HSI!$B$3,""))</f>
        <v/>
      </c>
      <c r="DL101" s="110">
        <f>IF(AX101="","",IFERROR(AX101*HSI!$B$96*HSI!$G$96/HSI!$B$3,""))</f>
        <v/>
      </c>
      <c r="DM101" s="110">
        <f>IF(AY101="","",IFERROR(AY101*HSI!$B$96*HSI!$G$96/HSI!$B$3,""))</f>
        <v/>
      </c>
      <c r="DN101" s="110">
        <f>IF(AZ101="","",IFERROR(AZ101*HSI!$B$96*HSI!$G$96/HSI!$B$3,""))</f>
        <v/>
      </c>
      <c r="DO101" s="110">
        <f>IF(BA101="","",IFERROR(BA101*HSI!$B$96*HSI!$G$96/HSI!$B$3,""))</f>
        <v/>
      </c>
      <c r="DP101" s="110">
        <f>IF(BB101="","",IFERROR(BB101*HSI!$B$96*HSI!$G$96/HSI!$B$3,""))</f>
        <v/>
      </c>
      <c r="DQ101" s="110">
        <f>IF(BC101="","",IFERROR(BC101*HSI!$B$96*HSI!$G$96/HSI!$B$3,""))</f>
        <v/>
      </c>
      <c r="DR101" s="110">
        <f>IF(BD101="","",IFERROR(BD101*HSI!$B$96*HSI!$G$96/HSI!$B$3,""))</f>
        <v/>
      </c>
      <c r="DS101" s="110">
        <f>IF(BE101="","",IFERROR(BE101*HSI!$B$96*HSI!$G$96/HSI!$B$3,""))</f>
        <v/>
      </c>
      <c r="DT101" s="110">
        <f>IF(BF101="","",IFERROR(BF101*HSI!$B$96*HSI!$G$96/HSI!$B$3,""))</f>
        <v/>
      </c>
      <c r="DU101" s="110">
        <f>IF(BG101="","",IFERROR(BG101*HSI!$B$96*HSI!$G$96/HSI!$B$3,""))</f>
        <v/>
      </c>
      <c r="DV101" s="110">
        <f>IF(BH101="","",IFERROR(BH101*HSI!$B$96*HSI!$G$96/HSI!$B$3,""))</f>
        <v/>
      </c>
      <c r="DW101" s="110">
        <f>IF(BI101="","",IFERROR(BI101*HSI!$B$96*HSI!$G$96/HSI!$B$3,""))</f>
        <v/>
      </c>
      <c r="DX101" s="110">
        <f>IF(BJ101="","",IFERROR(BJ101*HSI!$B$96*HSI!$G$96/HSI!$B$3,""))</f>
        <v/>
      </c>
      <c r="DY101" s="110">
        <f>IF(BK101="","",IFERROR(BK101*HSI!$B$96*HSI!$G$96/HSI!$B$3,""))</f>
        <v/>
      </c>
      <c r="DZ101" s="110">
        <f>IF(BL101="","",IFERROR(BL101*HSI!$B$96*HSI!$G$96/HSI!$B$3,""))</f>
        <v/>
      </c>
      <c r="EA101" s="110">
        <f>IF(BM101="","",IFERROR(BM101*HSI!$B$96*HSI!$G$96/HSI!$B$3,""))</f>
        <v/>
      </c>
      <c r="EB101" s="110">
        <f>IF(BN101="","",IFERROR(BN101*HSI!$B$96*HSI!$G$96/HSI!$B$3,""))</f>
        <v/>
      </c>
      <c r="EC101" s="110">
        <f>IF(BO101="","",IFERROR(BO101*HSI!$B$96*HSI!$G$96/HSI!$B$3,""))</f>
        <v/>
      </c>
      <c r="EE101" s="39">
        <f>IF(N('Dvd Calendar'!$E$990)=0,"",IF(('Dvd Calendar'!$E$990&gt;=GRID_FROM)*('Dvd Calendar'!$E$990&lt;=GRID_TO)*((('Dvd Calendar'!$E$990&lt;=VAL_DATE)+(COUNTIF('Dvd Calendar'!$E$997:$AR$997,'Dvd Calendar'!$E$990)=0))&gt;0)=0,"",'Dvd Calendar'!$E$990*1000000000+ISNUMBER('Dvd Calendar'!$E$993)*100000000+('Dvd Calendar'!$E$995=SPECIAL_LBL)*10000000+(N('Dvd Calendar'!$E$989)&gt;0)*(N('Dvd Calendar'!$E$989)&lt;=VAL_SERIAL)*1000000+90*1000+1))</f>
        <v/>
      </c>
      <c r="EF101" s="39">
        <f>IF(N('Dvd Calendar'!$F$990)=0,"",IF(('Dvd Calendar'!$F$990&gt;=GRID_FROM)*('Dvd Calendar'!$F$990&lt;=GRID_TO)*((('Dvd Calendar'!$F$990&lt;=VAL_DATE)+(COUNTIF('Dvd Calendar'!$E$997:$AR$997,'Dvd Calendar'!$F$990)=0))&gt;0)=0,"",'Dvd Calendar'!$F$990*1000000000+ISNUMBER('Dvd Calendar'!$F$993)*100000000+('Dvd Calendar'!$F$995=SPECIAL_LBL)*10000000+(N('Dvd Calendar'!$F$989)&gt;0)*(N('Dvd Calendar'!$F$989)&lt;=VAL_SERIAL)*1000000+90*1000+2))</f>
        <v/>
      </c>
      <c r="EG101" s="39">
        <f>IF(N('Dvd Calendar'!$G$990)=0,"",IF(('Dvd Calendar'!$G$990&gt;=GRID_FROM)*('Dvd Calendar'!$G$990&lt;=GRID_TO)*((('Dvd Calendar'!$G$990&lt;=VAL_DATE)+(COUNTIF('Dvd Calendar'!$E$997:$AR$997,'Dvd Calendar'!$G$990)=0))&gt;0)=0,"",'Dvd Calendar'!$G$990*1000000000+ISNUMBER('Dvd Calendar'!$G$993)*100000000+('Dvd Calendar'!$G$995=SPECIAL_LBL)*10000000+(N('Dvd Calendar'!$G$989)&gt;0)*(N('Dvd Calendar'!$G$989)&lt;=VAL_SERIAL)*1000000+90*1000+3))</f>
        <v/>
      </c>
      <c r="EH101" s="39">
        <f>IF(N('Dvd Calendar'!$H$990)=0,"",IF(('Dvd Calendar'!$H$990&gt;=GRID_FROM)*('Dvd Calendar'!$H$990&lt;=GRID_TO)*((('Dvd Calendar'!$H$990&lt;=VAL_DATE)+(COUNTIF('Dvd Calendar'!$E$997:$AR$997,'Dvd Calendar'!$H$990)=0))&gt;0)=0,"",'Dvd Calendar'!$H$990*1000000000+ISNUMBER('Dvd Calendar'!$H$993)*100000000+('Dvd Calendar'!$H$995=SPECIAL_LBL)*10000000+(N('Dvd Calendar'!$H$989)&gt;0)*(N('Dvd Calendar'!$H$989)&lt;=VAL_SERIAL)*1000000+90*1000+4))</f>
        <v/>
      </c>
      <c r="EI101" s="39">
        <f>IF(N('Dvd Calendar'!$I$990)=0,"",IF(('Dvd Calendar'!$I$990&gt;=GRID_FROM)*('Dvd Calendar'!$I$990&lt;=GRID_TO)*((('Dvd Calendar'!$I$990&lt;=VAL_DATE)+(COUNTIF('Dvd Calendar'!$E$997:$AR$997,'Dvd Calendar'!$I$990)=0))&gt;0)=0,"",'Dvd Calendar'!$I$990*1000000000+ISNUMBER('Dvd Calendar'!$I$993)*100000000+('Dvd Calendar'!$I$995=SPECIAL_LBL)*10000000+(N('Dvd Calendar'!$I$989)&gt;0)*(N('Dvd Calendar'!$I$989)&lt;=VAL_SERIAL)*1000000+90*1000+5))</f>
        <v/>
      </c>
      <c r="EJ101" s="39">
        <f>IF(N('Dvd Calendar'!$J$990)=0,"",IF(('Dvd Calendar'!$J$990&gt;=GRID_FROM)*('Dvd Calendar'!$J$990&lt;=GRID_TO)*((('Dvd Calendar'!$J$990&lt;=VAL_DATE)+(COUNTIF('Dvd Calendar'!$E$997:$AR$997,'Dvd Calendar'!$J$990)=0))&gt;0)=0,"",'Dvd Calendar'!$J$990*1000000000+ISNUMBER('Dvd Calendar'!$J$993)*100000000+('Dvd Calendar'!$J$995=SPECIAL_LBL)*10000000+(N('Dvd Calendar'!$J$989)&gt;0)*(N('Dvd Calendar'!$J$989)&lt;=VAL_SERIAL)*1000000+90*1000+6))</f>
        <v/>
      </c>
      <c r="EK101" s="39">
        <f>IF(N('Dvd Calendar'!$K$990)=0,"",IF(('Dvd Calendar'!$K$990&gt;=GRID_FROM)*('Dvd Calendar'!$K$990&lt;=GRID_TO)*((('Dvd Calendar'!$K$990&lt;=VAL_DATE)+(COUNTIF('Dvd Calendar'!$E$997:$AR$997,'Dvd Calendar'!$K$990)=0))&gt;0)=0,"",'Dvd Calendar'!$K$990*1000000000+ISNUMBER('Dvd Calendar'!$K$993)*100000000+('Dvd Calendar'!$K$995=SPECIAL_LBL)*10000000+(N('Dvd Calendar'!$K$989)&gt;0)*(N('Dvd Calendar'!$K$989)&lt;=VAL_SERIAL)*1000000+90*1000+7))</f>
        <v/>
      </c>
      <c r="EL101" s="39">
        <f>IF(N('Dvd Calendar'!$L$990)=0,"",IF(('Dvd Calendar'!$L$990&gt;=GRID_FROM)*('Dvd Calendar'!$L$990&lt;=GRID_TO)*((('Dvd Calendar'!$L$990&lt;=VAL_DATE)+(COUNTIF('Dvd Calendar'!$E$997:$AR$997,'Dvd Calendar'!$L$990)=0))&gt;0)=0,"",'Dvd Calendar'!$L$990*1000000000+ISNUMBER('Dvd Calendar'!$L$993)*100000000+('Dvd Calendar'!$L$995=SPECIAL_LBL)*10000000+(N('Dvd Calendar'!$L$989)&gt;0)*(N('Dvd Calendar'!$L$989)&lt;=VAL_SERIAL)*1000000+90*1000+8))</f>
        <v/>
      </c>
      <c r="EM101" s="39">
        <f>IF(N('Dvd Calendar'!$M$990)=0,"",IF(('Dvd Calendar'!$M$990&gt;=GRID_FROM)*('Dvd Calendar'!$M$990&lt;=GRID_TO)*((('Dvd Calendar'!$M$990&lt;=VAL_DATE)+(COUNTIF('Dvd Calendar'!$E$997:$AR$997,'Dvd Calendar'!$M$990)=0))&gt;0)=0,"",'Dvd Calendar'!$M$990*1000000000+ISNUMBER('Dvd Calendar'!$M$993)*100000000+('Dvd Calendar'!$M$995=SPECIAL_LBL)*10000000+(N('Dvd Calendar'!$M$989)&gt;0)*(N('Dvd Calendar'!$M$989)&lt;=VAL_SERIAL)*1000000+90*1000+9))</f>
        <v/>
      </c>
      <c r="EN101" s="39">
        <f>IF(N('Dvd Calendar'!$N$990)=0,"",IF(('Dvd Calendar'!$N$990&gt;=GRID_FROM)*('Dvd Calendar'!$N$990&lt;=GRID_TO)*((('Dvd Calendar'!$N$990&lt;=VAL_DATE)+(COUNTIF('Dvd Calendar'!$E$997:$AR$997,'Dvd Calendar'!$N$990)=0))&gt;0)=0,"",'Dvd Calendar'!$N$990*1000000000+ISNUMBER('Dvd Calendar'!$N$993)*100000000+('Dvd Calendar'!$N$995=SPECIAL_LBL)*10000000+(N('Dvd Calendar'!$N$989)&gt;0)*(N('Dvd Calendar'!$N$989)&lt;=VAL_SERIAL)*1000000+90*1000+10))</f>
        <v/>
      </c>
      <c r="EO101" s="39">
        <f>IF(N('Dvd Calendar'!$O$990)=0,"",IF(('Dvd Calendar'!$O$990&gt;=GRID_FROM)*('Dvd Calendar'!$O$990&lt;=GRID_TO)*((('Dvd Calendar'!$O$990&lt;=VAL_DATE)+(COUNTIF('Dvd Calendar'!$E$997:$AR$997,'Dvd Calendar'!$O$990)=0))&gt;0)=0,"",'Dvd Calendar'!$O$990*1000000000+ISNUMBER('Dvd Calendar'!$O$993)*100000000+('Dvd Calendar'!$O$995=SPECIAL_LBL)*10000000+(N('Dvd Calendar'!$O$989)&gt;0)*(N('Dvd Calendar'!$O$989)&lt;=VAL_SERIAL)*1000000+90*1000+11))</f>
        <v/>
      </c>
      <c r="EP101" s="39">
        <f>IF(N('Dvd Calendar'!$P$990)=0,"",IF(('Dvd Calendar'!$P$990&gt;=GRID_FROM)*('Dvd Calendar'!$P$990&lt;=GRID_TO)*((('Dvd Calendar'!$P$990&lt;=VAL_DATE)+(COUNTIF('Dvd Calendar'!$E$997:$AR$997,'Dvd Calendar'!$P$990)=0))&gt;0)=0,"",'Dvd Calendar'!$P$990*1000000000+ISNUMBER('Dvd Calendar'!$P$993)*100000000+('Dvd Calendar'!$P$995=SPECIAL_LBL)*10000000+(N('Dvd Calendar'!$P$989)&gt;0)*(N('Dvd Calendar'!$P$989)&lt;=VAL_SERIAL)*1000000+90*1000+12))</f>
        <v/>
      </c>
      <c r="EQ101" s="39">
        <f>IF(N('Dvd Calendar'!$Q$990)=0,"",IF(('Dvd Calendar'!$Q$990&gt;=GRID_FROM)*('Dvd Calendar'!$Q$990&lt;=GRID_TO)*((('Dvd Calendar'!$Q$990&lt;=VAL_DATE)+(COUNTIF('Dvd Calendar'!$E$997:$AR$997,'Dvd Calendar'!$Q$990)=0))&gt;0)=0,"",'Dvd Calendar'!$Q$990*1000000000+ISNUMBER('Dvd Calendar'!$Q$993)*100000000+('Dvd Calendar'!$Q$995=SPECIAL_LBL)*10000000+(N('Dvd Calendar'!$Q$989)&gt;0)*(N('Dvd Calendar'!$Q$989)&lt;=VAL_SERIAL)*1000000+90*1000+13))</f>
        <v/>
      </c>
      <c r="ER101" s="39">
        <f>IF(N('Dvd Calendar'!$R$990)=0,"",IF(('Dvd Calendar'!$R$990&gt;=GRID_FROM)*('Dvd Calendar'!$R$990&lt;=GRID_TO)*((('Dvd Calendar'!$R$990&lt;=VAL_DATE)+(COUNTIF('Dvd Calendar'!$E$997:$AR$997,'Dvd Calendar'!$R$990)=0))&gt;0)=0,"",'Dvd Calendar'!$R$990*1000000000+ISNUMBER('Dvd Calendar'!$R$993)*100000000+('Dvd Calendar'!$R$995=SPECIAL_LBL)*10000000+(N('Dvd Calendar'!$R$989)&gt;0)*(N('Dvd Calendar'!$R$989)&lt;=VAL_SERIAL)*1000000+90*1000+14))</f>
        <v/>
      </c>
      <c r="ES101" s="39">
        <f>IF(N('Dvd Calendar'!$S$990)=0,"",IF(('Dvd Calendar'!$S$990&gt;=GRID_FROM)*('Dvd Calendar'!$S$990&lt;=GRID_TO)*((('Dvd Calendar'!$S$990&lt;=VAL_DATE)+(COUNTIF('Dvd Calendar'!$E$997:$AR$997,'Dvd Calendar'!$S$990)=0))&gt;0)=0,"",'Dvd Calendar'!$S$990*1000000000+ISNUMBER('Dvd Calendar'!$S$993)*100000000+('Dvd Calendar'!$S$995=SPECIAL_LBL)*10000000+(N('Dvd Calendar'!$S$989)&gt;0)*(N('Dvd Calendar'!$S$989)&lt;=VAL_SERIAL)*1000000+90*1000+15))</f>
        <v/>
      </c>
      <c r="ET101" s="39">
        <f>IF(N('Dvd Calendar'!$T$990)=0,"",IF(('Dvd Calendar'!$T$990&gt;=GRID_FROM)*('Dvd Calendar'!$T$990&lt;=GRID_TO)*((('Dvd Calendar'!$T$990&lt;=VAL_DATE)+(COUNTIF('Dvd Calendar'!$E$997:$AR$997,'Dvd Calendar'!$T$990)=0))&gt;0)=0,"",'Dvd Calendar'!$T$990*1000000000+ISNUMBER('Dvd Calendar'!$T$993)*100000000+('Dvd Calendar'!$T$995=SPECIAL_LBL)*10000000+(N('Dvd Calendar'!$T$989)&gt;0)*(N('Dvd Calendar'!$T$989)&lt;=VAL_SERIAL)*1000000+90*1000+16))</f>
        <v/>
      </c>
      <c r="EU101" s="39">
        <f>IF(N('Dvd Calendar'!$U$990)=0,"",IF(('Dvd Calendar'!$U$990&gt;=GRID_FROM)*('Dvd Calendar'!$U$990&lt;=GRID_TO)*((('Dvd Calendar'!$U$990&lt;=VAL_DATE)+(COUNTIF('Dvd Calendar'!$E$997:$AR$997,'Dvd Calendar'!$U$990)=0))&gt;0)=0,"",'Dvd Calendar'!$U$990*1000000000+ISNUMBER('Dvd Calendar'!$U$993)*100000000+('Dvd Calendar'!$U$995=SPECIAL_LBL)*10000000+(N('Dvd Calendar'!$U$989)&gt;0)*(N('Dvd Calendar'!$U$989)&lt;=VAL_SERIAL)*1000000+90*1000+17))</f>
        <v/>
      </c>
      <c r="EV101" s="39">
        <f>IF(N('Dvd Calendar'!$V$990)=0,"",IF(('Dvd Calendar'!$V$990&gt;=GRID_FROM)*('Dvd Calendar'!$V$990&lt;=GRID_TO)*((('Dvd Calendar'!$V$990&lt;=VAL_DATE)+(COUNTIF('Dvd Calendar'!$E$997:$AR$997,'Dvd Calendar'!$V$990)=0))&gt;0)=0,"",'Dvd Calendar'!$V$990*1000000000+ISNUMBER('Dvd Calendar'!$V$993)*100000000+('Dvd Calendar'!$V$995=SPECIAL_LBL)*10000000+(N('Dvd Calendar'!$V$989)&gt;0)*(N('Dvd Calendar'!$V$989)&lt;=VAL_SERIAL)*1000000+90*1000+18))</f>
        <v/>
      </c>
      <c r="EW101" s="39">
        <f>IF(N('Dvd Calendar'!$W$990)=0,"",IF(('Dvd Calendar'!$W$990&gt;=GRID_FROM)*('Dvd Calendar'!$W$990&lt;=GRID_TO)*((('Dvd Calendar'!$W$990&lt;=VAL_DATE)+(COUNTIF('Dvd Calendar'!$E$997:$AR$997,'Dvd Calendar'!$W$990)=0))&gt;0)=0,"",'Dvd Calendar'!$W$990*1000000000+ISNUMBER('Dvd Calendar'!$W$993)*100000000+('Dvd Calendar'!$W$995=SPECIAL_LBL)*10000000+(N('Dvd Calendar'!$W$989)&gt;0)*(N('Dvd Calendar'!$W$989)&lt;=VAL_SERIAL)*1000000+90*1000+19))</f>
        <v/>
      </c>
      <c r="EX101" s="39">
        <f>IF(N('Dvd Calendar'!$X$990)=0,"",IF(('Dvd Calendar'!$X$990&gt;=GRID_FROM)*('Dvd Calendar'!$X$990&lt;=GRID_TO)*((('Dvd Calendar'!$X$990&lt;=VAL_DATE)+(COUNTIF('Dvd Calendar'!$E$997:$AR$997,'Dvd Calendar'!$X$990)=0))&gt;0)=0,"",'Dvd Calendar'!$X$990*1000000000+ISNUMBER('Dvd Calendar'!$X$993)*100000000+('Dvd Calendar'!$X$995=SPECIAL_LBL)*10000000+(N('Dvd Calendar'!$X$989)&gt;0)*(N('Dvd Calendar'!$X$989)&lt;=VAL_SERIAL)*1000000+90*1000+20))</f>
        <v/>
      </c>
      <c r="EY101" s="39">
        <f>IF(N('Dvd Calendar'!$Y$990)=0,"",IF(('Dvd Calendar'!$Y$990&gt;=GRID_FROM)*('Dvd Calendar'!$Y$990&lt;=GRID_TO)*((('Dvd Calendar'!$Y$990&lt;=VAL_DATE)+(COUNTIF('Dvd Calendar'!$E$997:$AR$997,'Dvd Calendar'!$Y$990)=0))&gt;0)=0,"",'Dvd Calendar'!$Y$990*1000000000+ISNUMBER('Dvd Calendar'!$Y$993)*100000000+('Dvd Calendar'!$Y$995=SPECIAL_LBL)*10000000+(N('Dvd Calendar'!$Y$989)&gt;0)*(N('Dvd Calendar'!$Y$989)&lt;=VAL_SERIAL)*1000000+90*1000+21))</f>
        <v/>
      </c>
      <c r="EZ101" s="39">
        <f>IF(N('Dvd Calendar'!$Z$990)=0,"",IF(('Dvd Calendar'!$Z$990&gt;=GRID_FROM)*('Dvd Calendar'!$Z$990&lt;=GRID_TO)*((('Dvd Calendar'!$Z$990&lt;=VAL_DATE)+(COUNTIF('Dvd Calendar'!$E$997:$AR$997,'Dvd Calendar'!$Z$990)=0))&gt;0)=0,"",'Dvd Calendar'!$Z$990*1000000000+ISNUMBER('Dvd Calendar'!$Z$993)*100000000+('Dvd Calendar'!$Z$995=SPECIAL_LBL)*10000000+(N('Dvd Calendar'!$Z$989)&gt;0)*(N('Dvd Calendar'!$Z$989)&lt;=VAL_SERIAL)*1000000+90*1000+22))</f>
        <v/>
      </c>
      <c r="FA101" s="39">
        <f>IF(N('Dvd Calendar'!$AA$990)=0,"",IF(('Dvd Calendar'!$AA$990&gt;=GRID_FROM)*('Dvd Calendar'!$AA$990&lt;=GRID_TO)*((('Dvd Calendar'!$AA$990&lt;=VAL_DATE)+(COUNTIF('Dvd Calendar'!$E$997:$AR$997,'Dvd Calendar'!$AA$990)=0))&gt;0)=0,"",'Dvd Calendar'!$AA$990*1000000000+ISNUMBER('Dvd Calendar'!$AA$993)*100000000+('Dvd Calendar'!$AA$995=SPECIAL_LBL)*10000000+(N('Dvd Calendar'!$AA$989)&gt;0)*(N('Dvd Calendar'!$AA$989)&lt;=VAL_SERIAL)*1000000+90*1000+23))</f>
        <v/>
      </c>
      <c r="FB101" s="39">
        <f>IF(N('Dvd Calendar'!$AB$990)=0,"",IF(('Dvd Calendar'!$AB$990&gt;=GRID_FROM)*('Dvd Calendar'!$AB$990&lt;=GRID_TO)*((('Dvd Calendar'!$AB$990&lt;=VAL_DATE)+(COUNTIF('Dvd Calendar'!$E$997:$AR$997,'Dvd Calendar'!$AB$990)=0))&gt;0)=0,"",'Dvd Calendar'!$AB$990*1000000000+ISNUMBER('Dvd Calendar'!$AB$993)*100000000+('Dvd Calendar'!$AB$995=SPECIAL_LBL)*10000000+(N('Dvd Calendar'!$AB$989)&gt;0)*(N('Dvd Calendar'!$AB$989)&lt;=VAL_SERIAL)*1000000+90*1000+24))</f>
        <v/>
      </c>
      <c r="FC101" s="39">
        <f>IF(N('Dvd Calendar'!$AC$990)=0,"",IF(('Dvd Calendar'!$AC$990&gt;=GRID_FROM)*('Dvd Calendar'!$AC$990&lt;=GRID_TO)*((('Dvd Calendar'!$AC$990&lt;=VAL_DATE)+(COUNTIF('Dvd Calendar'!$E$997:$AR$997,'Dvd Calendar'!$AC$990)=0))&gt;0)=0,"",'Dvd Calendar'!$AC$990*1000000000+ISNUMBER('Dvd Calendar'!$AC$993)*100000000+('Dvd Calendar'!$AC$995=SPECIAL_LBL)*10000000+(N('Dvd Calendar'!$AC$989)&gt;0)*(N('Dvd Calendar'!$AC$989)&lt;=VAL_SERIAL)*1000000+90*1000+25))</f>
        <v/>
      </c>
      <c r="FD101" s="39">
        <f>IF(N('Dvd Calendar'!$AD$990)=0,"",IF(('Dvd Calendar'!$AD$990&gt;=GRID_FROM)*('Dvd Calendar'!$AD$990&lt;=GRID_TO)*((('Dvd Calendar'!$AD$990&lt;=VAL_DATE)+(COUNTIF('Dvd Calendar'!$E$997:$AR$997,'Dvd Calendar'!$AD$990)=0))&gt;0)=0,"",'Dvd Calendar'!$AD$990*1000000000+ISNUMBER('Dvd Calendar'!$AD$993)*100000000+('Dvd Calendar'!$AD$995=SPECIAL_LBL)*10000000+(N('Dvd Calendar'!$AD$989)&gt;0)*(N('Dvd Calendar'!$AD$989)&lt;=VAL_SERIAL)*1000000+90*1000+26))</f>
        <v/>
      </c>
      <c r="FE101" s="39">
        <f>IF(N('Dvd Calendar'!$AE$990)=0,"",IF(('Dvd Calendar'!$AE$990&gt;=GRID_FROM)*('Dvd Calendar'!$AE$990&lt;=GRID_TO)*((('Dvd Calendar'!$AE$990&lt;=VAL_DATE)+(COUNTIF('Dvd Calendar'!$E$997:$AR$997,'Dvd Calendar'!$AE$990)=0))&gt;0)=0,"",'Dvd Calendar'!$AE$990*1000000000+ISNUMBER('Dvd Calendar'!$AE$993)*100000000+('Dvd Calendar'!$AE$995=SPECIAL_LBL)*10000000+(N('Dvd Calendar'!$AE$989)&gt;0)*(N('Dvd Calendar'!$AE$989)&lt;=VAL_SERIAL)*1000000+90*1000+27))</f>
        <v/>
      </c>
      <c r="FF101" s="39">
        <f>IF(N('Dvd Calendar'!$AF$990)=0,"",IF(('Dvd Calendar'!$AF$990&gt;=GRID_FROM)*('Dvd Calendar'!$AF$990&lt;=GRID_TO)*((('Dvd Calendar'!$AF$990&lt;=VAL_DATE)+(COUNTIF('Dvd Calendar'!$E$997:$AR$997,'Dvd Calendar'!$AF$990)=0))&gt;0)=0,"",'Dvd Calendar'!$AF$990*1000000000+ISNUMBER('Dvd Calendar'!$AF$993)*100000000+('Dvd Calendar'!$AF$995=SPECIAL_LBL)*10000000+(N('Dvd Calendar'!$AF$989)&gt;0)*(N('Dvd Calendar'!$AF$989)&lt;=VAL_SERIAL)*1000000+90*1000+28))</f>
        <v/>
      </c>
      <c r="FG101" s="39">
        <f>IF(N('Dvd Calendar'!$AG$990)=0,"",IF(('Dvd Calendar'!$AG$990&gt;=GRID_FROM)*('Dvd Calendar'!$AG$990&lt;=GRID_TO)*((('Dvd Calendar'!$AG$990&lt;=VAL_DATE)+(COUNTIF('Dvd Calendar'!$E$997:$AR$997,'Dvd Calendar'!$AG$990)=0))&gt;0)=0,"",'Dvd Calendar'!$AG$990*1000000000+ISNUMBER('Dvd Calendar'!$AG$993)*100000000+('Dvd Calendar'!$AG$995=SPECIAL_LBL)*10000000+(N('Dvd Calendar'!$AG$989)&gt;0)*(N('Dvd Calendar'!$AG$989)&lt;=VAL_SERIAL)*1000000+90*1000+29))</f>
        <v/>
      </c>
      <c r="FH101" s="39">
        <f>IF(N('Dvd Calendar'!$AH$990)=0,"",IF(('Dvd Calendar'!$AH$990&gt;=GRID_FROM)*('Dvd Calendar'!$AH$990&lt;=GRID_TO)*((('Dvd Calendar'!$AH$990&lt;=VAL_DATE)+(COUNTIF('Dvd Calendar'!$E$997:$AR$997,'Dvd Calendar'!$AH$990)=0))&gt;0)=0,"",'Dvd Calendar'!$AH$990*1000000000+ISNUMBER('Dvd Calendar'!$AH$993)*100000000+('Dvd Calendar'!$AH$995=SPECIAL_LBL)*10000000+(N('Dvd Calendar'!$AH$989)&gt;0)*(N('Dvd Calendar'!$AH$989)&lt;=VAL_SERIAL)*1000000+90*1000+30))</f>
        <v/>
      </c>
      <c r="FI101" s="39">
        <f>IF(N('Dvd Calendar'!$AI$990)=0,"",IF(('Dvd Calendar'!$AI$990&gt;=GRID_FROM)*('Dvd Calendar'!$AI$990&lt;=GRID_TO)*((('Dvd Calendar'!$AI$990&lt;=VAL_DATE)+(COUNTIF('Dvd Calendar'!$E$997:$AR$997,'Dvd Calendar'!$AI$990)=0))&gt;0)=0,"",'Dvd Calendar'!$AI$990*1000000000+ISNUMBER('Dvd Calendar'!$AI$993)*100000000+('Dvd Calendar'!$AI$995=SPECIAL_LBL)*10000000+(N('Dvd Calendar'!$AI$989)&gt;0)*(N('Dvd Calendar'!$AI$989)&lt;=VAL_SERIAL)*1000000+90*1000+31))</f>
        <v/>
      </c>
      <c r="FJ101" s="39">
        <f>IF(N('Dvd Calendar'!$AJ$990)=0,"",IF(('Dvd Calendar'!$AJ$990&gt;=GRID_FROM)*('Dvd Calendar'!$AJ$990&lt;=GRID_TO)*((('Dvd Calendar'!$AJ$990&lt;=VAL_DATE)+(COUNTIF('Dvd Calendar'!$E$997:$AR$997,'Dvd Calendar'!$AJ$990)=0))&gt;0)=0,"",'Dvd Calendar'!$AJ$990*1000000000+ISNUMBER('Dvd Calendar'!$AJ$993)*100000000+('Dvd Calendar'!$AJ$995=SPECIAL_LBL)*10000000+(N('Dvd Calendar'!$AJ$989)&gt;0)*(N('Dvd Calendar'!$AJ$989)&lt;=VAL_SERIAL)*1000000+90*1000+32))</f>
        <v/>
      </c>
      <c r="FK101" s="39">
        <f>IF(N('Dvd Calendar'!$AK$990)=0,"",IF(('Dvd Calendar'!$AK$990&gt;=GRID_FROM)*('Dvd Calendar'!$AK$990&lt;=GRID_TO)*((('Dvd Calendar'!$AK$990&lt;=VAL_DATE)+(COUNTIF('Dvd Calendar'!$E$997:$AR$997,'Dvd Calendar'!$AK$990)=0))&gt;0)=0,"",'Dvd Calendar'!$AK$990*1000000000+ISNUMBER('Dvd Calendar'!$AK$993)*100000000+('Dvd Calendar'!$AK$995=SPECIAL_LBL)*10000000+(N('Dvd Calendar'!$AK$989)&gt;0)*(N('Dvd Calendar'!$AK$989)&lt;=VAL_SERIAL)*1000000+90*1000+33))</f>
        <v/>
      </c>
      <c r="FL101" s="39">
        <f>IF(N('Dvd Calendar'!$AL$990)=0,"",IF(('Dvd Calendar'!$AL$990&gt;=GRID_FROM)*('Dvd Calendar'!$AL$990&lt;=GRID_TO)*((('Dvd Calendar'!$AL$990&lt;=VAL_DATE)+(COUNTIF('Dvd Calendar'!$E$997:$AR$997,'Dvd Calendar'!$AL$990)=0))&gt;0)=0,"",'Dvd Calendar'!$AL$990*1000000000+ISNUMBER('Dvd Calendar'!$AL$993)*100000000+('Dvd Calendar'!$AL$995=SPECIAL_LBL)*10000000+(N('Dvd Calendar'!$AL$989)&gt;0)*(N('Dvd Calendar'!$AL$989)&lt;=VAL_SERIAL)*1000000+90*1000+34))</f>
        <v/>
      </c>
      <c r="FM101" s="39">
        <f>IF(N('Dvd Calendar'!$AM$990)=0,"",IF(('Dvd Calendar'!$AM$990&gt;=GRID_FROM)*('Dvd Calendar'!$AM$990&lt;=GRID_TO)*((('Dvd Calendar'!$AM$990&lt;=VAL_DATE)+(COUNTIF('Dvd Calendar'!$E$997:$AR$997,'Dvd Calendar'!$AM$990)=0))&gt;0)=0,"",'Dvd Calendar'!$AM$990*1000000000+ISNUMBER('Dvd Calendar'!$AM$993)*100000000+('Dvd Calendar'!$AM$995=SPECIAL_LBL)*10000000+(N('Dvd Calendar'!$AM$989)&gt;0)*(N('Dvd Calendar'!$AM$989)&lt;=VAL_SERIAL)*1000000+90*1000+35))</f>
        <v/>
      </c>
      <c r="FN101" s="39">
        <f>IF(N('Dvd Calendar'!$AN$990)=0,"",IF(('Dvd Calendar'!$AN$990&gt;=GRID_FROM)*('Dvd Calendar'!$AN$990&lt;=GRID_TO)*((('Dvd Calendar'!$AN$990&lt;=VAL_DATE)+(COUNTIF('Dvd Calendar'!$E$997:$AR$997,'Dvd Calendar'!$AN$990)=0))&gt;0)=0,"",'Dvd Calendar'!$AN$990*1000000000+ISNUMBER('Dvd Calendar'!$AN$993)*100000000+('Dvd Calendar'!$AN$995=SPECIAL_LBL)*10000000+(N('Dvd Calendar'!$AN$989)&gt;0)*(N('Dvd Calendar'!$AN$989)&lt;=VAL_SERIAL)*1000000+90*1000+36))</f>
        <v/>
      </c>
      <c r="FO101" s="39">
        <f>IF(N('Dvd Calendar'!$AO$990)=0,"",IF(('Dvd Calendar'!$AO$990&gt;=GRID_FROM)*('Dvd Calendar'!$AO$990&lt;=GRID_TO)*((('Dvd Calendar'!$AO$990&lt;=VAL_DATE)+(COUNTIF('Dvd Calendar'!$E$997:$AR$997,'Dvd Calendar'!$AO$990)=0))&gt;0)=0,"",'Dvd Calendar'!$AO$990*1000000000+ISNUMBER('Dvd Calendar'!$AO$993)*100000000+('Dvd Calendar'!$AO$995=SPECIAL_LBL)*10000000+(N('Dvd Calendar'!$AO$989)&gt;0)*(N('Dvd Calendar'!$AO$989)&lt;=VAL_SERIAL)*1000000+90*1000+37))</f>
        <v/>
      </c>
      <c r="FP101" s="39">
        <f>IF(N('Dvd Calendar'!$AP$990)=0,"",IF(('Dvd Calendar'!$AP$990&gt;=GRID_FROM)*('Dvd Calendar'!$AP$990&lt;=GRID_TO)*((('Dvd Calendar'!$AP$990&lt;=VAL_DATE)+(COUNTIF('Dvd Calendar'!$E$997:$AR$997,'Dvd Calendar'!$AP$990)=0))&gt;0)=0,"",'Dvd Calendar'!$AP$990*1000000000+ISNUMBER('Dvd Calendar'!$AP$993)*100000000+('Dvd Calendar'!$AP$995=SPECIAL_LBL)*10000000+(N('Dvd Calendar'!$AP$989)&gt;0)*(N('Dvd Calendar'!$AP$989)&lt;=VAL_SERIAL)*1000000+90*1000+38))</f>
        <v/>
      </c>
      <c r="FQ101" s="39">
        <f>IF(N('Dvd Calendar'!$AQ$990)=0,"",IF(('Dvd Calendar'!$AQ$990&gt;=GRID_FROM)*('Dvd Calendar'!$AQ$990&lt;=GRID_TO)*((('Dvd Calendar'!$AQ$990&lt;=VAL_DATE)+(COUNTIF('Dvd Calendar'!$E$997:$AR$997,'Dvd Calendar'!$AQ$990)=0))&gt;0)=0,"",'Dvd Calendar'!$AQ$990*1000000000+ISNUMBER('Dvd Calendar'!$AQ$993)*100000000+('Dvd Calendar'!$AQ$995=SPECIAL_LBL)*10000000+(N('Dvd Calendar'!$AQ$989)&gt;0)*(N('Dvd Calendar'!$AQ$989)&lt;=VAL_SERIAL)*1000000+90*1000+39))</f>
        <v/>
      </c>
      <c r="FR101" s="39">
        <f>IF(N('Dvd Calendar'!$AR$990)=0,"",IF(('Dvd Calendar'!$AR$990&gt;=GRID_FROM)*('Dvd Calendar'!$AR$990&lt;=GRID_TO)*((('Dvd Calendar'!$AR$990&lt;=VAL_DATE)+(COUNTIF('Dvd Calendar'!$E$997:$AR$997,'Dvd Calendar'!$AR$990)=0))&gt;0)=0,"",'Dvd Calendar'!$AR$990*1000000000+ISNUMBER('Dvd Calendar'!$AR$993)*100000000+('Dvd Calendar'!$AR$995=SPECIAL_LBL)*10000000+(N('Dvd Calendar'!$AR$989)&gt;0)*(N('Dvd Calendar'!$AR$989)&lt;=VAL_SERIAL)*1000000+90*1000+40))</f>
        <v/>
      </c>
      <c r="FS101" s="39">
        <f>IF(N('Dvd Calendar'!$E$997)=0,"",IF(('Dvd Calendar'!$E$997&gt;=GRID_FROM)*('Dvd Calendar'!$E$997&lt;=GRID_TO)*('Dvd Calendar'!$E$997&gt;VAL_DATE)=0,"",'Dvd Calendar'!$E$997*1000000000+ISNUMBER('Dvd Calendar'!$E$998)*100000000+0*10000000+(N('Dvd Calendar'!$E$996)&gt;0)*(N('Dvd Calendar'!$E$996)&lt;=VAL_SERIAL)*1000000+90*1000+41))</f>
        <v/>
      </c>
      <c r="FT101" s="39">
        <f>IF(N('Dvd Calendar'!$F$997)=0,"",IF(('Dvd Calendar'!$F$997&gt;=GRID_FROM)*('Dvd Calendar'!$F$997&lt;=GRID_TO)*('Dvd Calendar'!$F$997&gt;VAL_DATE)=0,"",'Dvd Calendar'!$F$997*1000000000+ISNUMBER('Dvd Calendar'!$F$998)*100000000+0*10000000+(N('Dvd Calendar'!$F$996)&gt;0)*(N('Dvd Calendar'!$F$996)&lt;=VAL_SERIAL)*1000000+90*1000+42))</f>
        <v/>
      </c>
      <c r="FU101" s="39">
        <f>IF(N('Dvd Calendar'!$G$997)=0,"",IF(('Dvd Calendar'!$G$997&gt;=GRID_FROM)*('Dvd Calendar'!$G$997&lt;=GRID_TO)*('Dvd Calendar'!$G$997&gt;VAL_DATE)=0,"",'Dvd Calendar'!$G$997*1000000000+ISNUMBER('Dvd Calendar'!$G$998)*100000000+0*10000000+(N('Dvd Calendar'!$G$996)&gt;0)*(N('Dvd Calendar'!$G$996)&lt;=VAL_SERIAL)*1000000+90*1000+43))</f>
        <v/>
      </c>
      <c r="FV101" s="39">
        <f>IF(N('Dvd Calendar'!$H$997)=0,"",IF(('Dvd Calendar'!$H$997&gt;=GRID_FROM)*('Dvd Calendar'!$H$997&lt;=GRID_TO)*('Dvd Calendar'!$H$997&gt;VAL_DATE)=0,"",'Dvd Calendar'!$H$997*1000000000+ISNUMBER('Dvd Calendar'!$H$998)*100000000+0*10000000+(N('Dvd Calendar'!$H$996)&gt;0)*(N('Dvd Calendar'!$H$996)&lt;=VAL_SERIAL)*1000000+90*1000+44))</f>
        <v/>
      </c>
      <c r="FW101" s="39">
        <f>IF(N('Dvd Calendar'!$I$997)=0,"",IF(('Dvd Calendar'!$I$997&gt;=GRID_FROM)*('Dvd Calendar'!$I$997&lt;=GRID_TO)*('Dvd Calendar'!$I$997&gt;VAL_DATE)=0,"",'Dvd Calendar'!$I$997*1000000000+ISNUMBER('Dvd Calendar'!$I$998)*100000000+0*10000000+(N('Dvd Calendar'!$I$996)&gt;0)*(N('Dvd Calendar'!$I$996)&lt;=VAL_SERIAL)*1000000+90*1000+45))</f>
        <v/>
      </c>
      <c r="FX101" s="39">
        <f>IF(N('Dvd Calendar'!$J$997)=0,"",IF(('Dvd Calendar'!$J$997&gt;=GRID_FROM)*('Dvd Calendar'!$J$997&lt;=GRID_TO)*('Dvd Calendar'!$J$997&gt;VAL_DATE)=0,"",'Dvd Calendar'!$J$997*1000000000+ISNUMBER('Dvd Calendar'!$J$998)*100000000+0*10000000+(N('Dvd Calendar'!$J$996)&gt;0)*(N('Dvd Calendar'!$J$996)&lt;=VAL_SERIAL)*1000000+90*1000+46))</f>
        <v/>
      </c>
      <c r="FY101" s="39">
        <f>IF(N('Dvd Calendar'!$K$997)=0,"",IF(('Dvd Calendar'!$K$997&gt;=GRID_FROM)*('Dvd Calendar'!$K$997&lt;=GRID_TO)*('Dvd Calendar'!$K$997&gt;VAL_DATE)=0,"",'Dvd Calendar'!$K$997*1000000000+ISNUMBER('Dvd Calendar'!$K$998)*100000000+0*10000000+(N('Dvd Calendar'!$K$996)&gt;0)*(N('Dvd Calendar'!$K$996)&lt;=VAL_SERIAL)*1000000+90*1000+47))</f>
        <v/>
      </c>
      <c r="FZ101" s="39">
        <f>IF(N('Dvd Calendar'!$L$997)=0,"",IF(('Dvd Calendar'!$L$997&gt;=GRID_FROM)*('Dvd Calendar'!$L$997&lt;=GRID_TO)*('Dvd Calendar'!$L$997&gt;VAL_DATE)=0,"",'Dvd Calendar'!$L$997*1000000000+ISNUMBER('Dvd Calendar'!$L$998)*100000000+0*10000000+(N('Dvd Calendar'!$L$996)&gt;0)*(N('Dvd Calendar'!$L$996)&lt;=VAL_SERIAL)*1000000+90*1000+48))</f>
        <v/>
      </c>
      <c r="GA101" s="39">
        <f>IF(N('Dvd Calendar'!$M$997)=0,"",IF(('Dvd Calendar'!$M$997&gt;=GRID_FROM)*('Dvd Calendar'!$M$997&lt;=GRID_TO)*('Dvd Calendar'!$M$997&gt;VAL_DATE)=0,"",'Dvd Calendar'!$M$997*1000000000+ISNUMBER('Dvd Calendar'!$M$998)*100000000+0*10000000+(N('Dvd Calendar'!$M$996)&gt;0)*(N('Dvd Calendar'!$M$996)&lt;=VAL_SERIAL)*1000000+90*1000+49))</f>
        <v/>
      </c>
      <c r="GB101" s="39">
        <f>IF(N('Dvd Calendar'!$N$997)=0,"",IF(('Dvd Calendar'!$N$997&gt;=GRID_FROM)*('Dvd Calendar'!$N$997&lt;=GRID_TO)*('Dvd Calendar'!$N$997&gt;VAL_DATE)=0,"",'Dvd Calendar'!$N$997*1000000000+ISNUMBER('Dvd Calendar'!$N$998)*100000000+0*10000000+(N('Dvd Calendar'!$N$996)&gt;0)*(N('Dvd Calendar'!$N$996)&lt;=VAL_SERIAL)*1000000+90*1000+50))</f>
        <v/>
      </c>
      <c r="GC101" s="39">
        <f>IF(N('Dvd Calendar'!$O$997)=0,"",IF(('Dvd Calendar'!$O$997&gt;=GRID_FROM)*('Dvd Calendar'!$O$997&lt;=GRID_TO)*('Dvd Calendar'!$O$997&gt;VAL_DATE)=0,"",'Dvd Calendar'!$O$997*1000000000+ISNUMBER('Dvd Calendar'!$O$998)*100000000+0*10000000+(N('Dvd Calendar'!$O$996)&gt;0)*(N('Dvd Calendar'!$O$996)&lt;=VAL_SERIAL)*1000000+90*1000+51))</f>
        <v/>
      </c>
      <c r="GD101" s="39">
        <f>IF(N('Dvd Calendar'!$P$997)=0,"",IF(('Dvd Calendar'!$P$997&gt;=GRID_FROM)*('Dvd Calendar'!$P$997&lt;=GRID_TO)*('Dvd Calendar'!$P$997&gt;VAL_DATE)=0,"",'Dvd Calendar'!$P$997*1000000000+ISNUMBER('Dvd Calendar'!$P$998)*100000000+0*10000000+(N('Dvd Calendar'!$P$996)&gt;0)*(N('Dvd Calendar'!$P$996)&lt;=VAL_SERIAL)*1000000+90*1000+52))</f>
        <v/>
      </c>
      <c r="GE101" s="39">
        <f>IF(N('Dvd Calendar'!$Q$997)=0,"",IF(('Dvd Calendar'!$Q$997&gt;=GRID_FROM)*('Dvd Calendar'!$Q$997&lt;=GRID_TO)*('Dvd Calendar'!$Q$997&gt;VAL_DATE)=0,"",'Dvd Calendar'!$Q$997*1000000000+ISNUMBER('Dvd Calendar'!$Q$998)*100000000+0*10000000+(N('Dvd Calendar'!$Q$996)&gt;0)*(N('Dvd Calendar'!$Q$996)&lt;=VAL_SERIAL)*1000000+90*1000+53))</f>
        <v/>
      </c>
      <c r="GF101" s="39">
        <f>IF(N('Dvd Calendar'!$R$997)=0,"",IF(('Dvd Calendar'!$R$997&gt;=GRID_FROM)*('Dvd Calendar'!$R$997&lt;=GRID_TO)*('Dvd Calendar'!$R$997&gt;VAL_DATE)=0,"",'Dvd Calendar'!$R$997*1000000000+ISNUMBER('Dvd Calendar'!$R$998)*100000000+0*10000000+(N('Dvd Calendar'!$R$996)&gt;0)*(N('Dvd Calendar'!$R$996)&lt;=VAL_SERIAL)*1000000+90*1000+54))</f>
        <v/>
      </c>
      <c r="GG101" s="39">
        <f>IF(N('Dvd Calendar'!$S$997)=0,"",IF(('Dvd Calendar'!$S$997&gt;=GRID_FROM)*('Dvd Calendar'!$S$997&lt;=GRID_TO)*('Dvd Calendar'!$S$997&gt;VAL_DATE)=0,"",'Dvd Calendar'!$S$997*1000000000+ISNUMBER('Dvd Calendar'!$S$998)*100000000+0*10000000+(N('Dvd Calendar'!$S$996)&gt;0)*(N('Dvd Calendar'!$S$996)&lt;=VAL_SERIAL)*1000000+90*1000+55))</f>
        <v/>
      </c>
      <c r="GH101" s="39">
        <f>IF(N('Dvd Calendar'!$T$997)=0,"",IF(('Dvd Calendar'!$T$997&gt;=GRID_FROM)*('Dvd Calendar'!$T$997&lt;=GRID_TO)*('Dvd Calendar'!$T$997&gt;VAL_DATE)=0,"",'Dvd Calendar'!$T$997*1000000000+ISNUMBER('Dvd Calendar'!$T$998)*100000000+0*10000000+(N('Dvd Calendar'!$T$996)&gt;0)*(N('Dvd Calendar'!$T$996)&lt;=VAL_SERIAL)*1000000+90*1000+56))</f>
        <v/>
      </c>
      <c r="GI101" s="39">
        <f>IF(N('Dvd Calendar'!$U$997)=0,"",IF(('Dvd Calendar'!$U$997&gt;=GRID_FROM)*('Dvd Calendar'!$U$997&lt;=GRID_TO)*('Dvd Calendar'!$U$997&gt;VAL_DATE)=0,"",'Dvd Calendar'!$U$997*1000000000+ISNUMBER('Dvd Calendar'!$U$998)*100000000+0*10000000+(N('Dvd Calendar'!$U$996)&gt;0)*(N('Dvd Calendar'!$U$996)&lt;=VAL_SERIAL)*1000000+90*1000+57))</f>
        <v/>
      </c>
      <c r="GJ101" s="39">
        <f>IF(N('Dvd Calendar'!$V$997)=0,"",IF(('Dvd Calendar'!$V$997&gt;=GRID_FROM)*('Dvd Calendar'!$V$997&lt;=GRID_TO)*('Dvd Calendar'!$V$997&gt;VAL_DATE)=0,"",'Dvd Calendar'!$V$997*1000000000+ISNUMBER('Dvd Calendar'!$V$998)*100000000+0*10000000+(N('Dvd Calendar'!$V$996)&gt;0)*(N('Dvd Calendar'!$V$996)&lt;=VAL_SERIAL)*1000000+90*1000+58))</f>
        <v/>
      </c>
      <c r="GK101" s="39">
        <f>IF(N('Dvd Calendar'!$W$997)=0,"",IF(('Dvd Calendar'!$W$997&gt;=GRID_FROM)*('Dvd Calendar'!$W$997&lt;=GRID_TO)*('Dvd Calendar'!$W$997&gt;VAL_DATE)=0,"",'Dvd Calendar'!$W$997*1000000000+ISNUMBER('Dvd Calendar'!$W$998)*100000000+0*10000000+(N('Dvd Calendar'!$W$996)&gt;0)*(N('Dvd Calendar'!$W$996)&lt;=VAL_SERIAL)*1000000+90*1000+59))</f>
        <v/>
      </c>
      <c r="GL101" s="39">
        <f>IF(N('Dvd Calendar'!$X$997)=0,"",IF(('Dvd Calendar'!$X$997&gt;=GRID_FROM)*('Dvd Calendar'!$X$997&lt;=GRID_TO)*('Dvd Calendar'!$X$997&gt;VAL_DATE)=0,"",'Dvd Calendar'!$X$997*1000000000+ISNUMBER('Dvd Calendar'!$X$998)*100000000+0*10000000+(N('Dvd Calendar'!$X$996)&gt;0)*(N('Dvd Calendar'!$X$996)&lt;=VAL_SERIAL)*1000000+90*1000+60))</f>
        <v/>
      </c>
      <c r="GM101" s="39">
        <f>IF(N('Dvd Calendar'!$Y$997)=0,"",IF(('Dvd Calendar'!$Y$997&gt;=GRID_FROM)*('Dvd Calendar'!$Y$997&lt;=GRID_TO)*('Dvd Calendar'!$Y$997&gt;VAL_DATE)=0,"",'Dvd Calendar'!$Y$997*1000000000+ISNUMBER('Dvd Calendar'!$Y$998)*100000000+0*10000000+(N('Dvd Calendar'!$Y$996)&gt;0)*(N('Dvd Calendar'!$Y$996)&lt;=VAL_SERIAL)*1000000+90*1000+61))</f>
        <v/>
      </c>
      <c r="GN101" s="39">
        <f>IF(N('Dvd Calendar'!$Z$997)=0,"",IF(('Dvd Calendar'!$Z$997&gt;=GRID_FROM)*('Dvd Calendar'!$Z$997&lt;=GRID_TO)*('Dvd Calendar'!$Z$997&gt;VAL_DATE)=0,"",'Dvd Calendar'!$Z$997*1000000000+ISNUMBER('Dvd Calendar'!$Z$998)*100000000+0*10000000+(N('Dvd Calendar'!$Z$996)&gt;0)*(N('Dvd Calendar'!$Z$996)&lt;=VAL_SERIAL)*1000000+90*1000+62))</f>
        <v/>
      </c>
      <c r="GO101" s="39">
        <f>IF(N('Dvd Calendar'!$AA$997)=0,"",IF(('Dvd Calendar'!$AA$997&gt;=GRID_FROM)*('Dvd Calendar'!$AA$997&lt;=GRID_TO)*('Dvd Calendar'!$AA$997&gt;VAL_DATE)=0,"",'Dvd Calendar'!$AA$997*1000000000+ISNUMBER('Dvd Calendar'!$AA$998)*100000000+0*10000000+(N('Dvd Calendar'!$AA$996)&gt;0)*(N('Dvd Calendar'!$AA$996)&lt;=VAL_SERIAL)*1000000+90*1000+63))</f>
        <v/>
      </c>
      <c r="GP101" s="39">
        <f>IF(N('Dvd Calendar'!$AB$997)=0,"",IF(('Dvd Calendar'!$AB$997&gt;=GRID_FROM)*('Dvd Calendar'!$AB$997&lt;=GRID_TO)*('Dvd Calendar'!$AB$997&gt;VAL_DATE)=0,"",'Dvd Calendar'!$AB$997*1000000000+ISNUMBER('Dvd Calendar'!$AB$998)*100000000+0*10000000+(N('Dvd Calendar'!$AB$996)&gt;0)*(N('Dvd Calendar'!$AB$996)&lt;=VAL_SERIAL)*1000000+90*1000+64))</f>
        <v/>
      </c>
      <c r="GQ101" s="39">
        <f>IF(N('Dvd Calendar'!$AC$997)=0,"",IF(('Dvd Calendar'!$AC$997&gt;=GRID_FROM)*('Dvd Calendar'!$AC$997&lt;=GRID_TO)*('Dvd Calendar'!$AC$997&gt;VAL_DATE)=0,"",'Dvd Calendar'!$AC$997*1000000000+ISNUMBER('Dvd Calendar'!$AC$998)*100000000+0*10000000+(N('Dvd Calendar'!$AC$996)&gt;0)*(N('Dvd Calendar'!$AC$996)&lt;=VAL_SERIAL)*1000000+90*1000+65))</f>
        <v/>
      </c>
    </row>
    <row r="102">
      <c r="B102" s="2">
        <f>IF(HSI!$C$97="","",HSI!$C$97)</f>
        <v/>
      </c>
      <c r="C102" s="110">
        <f>IF(EE102="","",IF(ISNUMBER('Dvd Calendar'!$E$1004)=FALSE,"",IF((('Dvd Calendar'!$E$1006=TYPE1)*(TYPE1&lt;&gt;"")+('Dvd Calendar'!$E$1006=TYPE2)*(TYPE2&lt;&gt;"")+('Dvd Calendar'!$E$1006=TYPE3)*(TYPE3&lt;&gt;"")+('Dvd Calendar'!$E$1006=TYPE4)*(TYPE4&lt;&gt;"")+('Dvd Calendar'!$E$1006=SPECIAL_LBL)*(INC_SPECIALS="Y"))=0,"",'Dvd Calendar'!$E$1004)))</f>
        <v/>
      </c>
      <c r="D102" s="110">
        <f>IF(EF102="","",IF(ISNUMBER('Dvd Calendar'!$F$1004)=FALSE,"",IF((('Dvd Calendar'!$F$1006=TYPE1)*(TYPE1&lt;&gt;"")+('Dvd Calendar'!$F$1006=TYPE2)*(TYPE2&lt;&gt;"")+('Dvd Calendar'!$F$1006=TYPE3)*(TYPE3&lt;&gt;"")+('Dvd Calendar'!$F$1006=TYPE4)*(TYPE4&lt;&gt;"")+('Dvd Calendar'!$F$1006=SPECIAL_LBL)*(INC_SPECIALS="Y"))=0,"",'Dvd Calendar'!$F$1004)))</f>
        <v/>
      </c>
      <c r="E102" s="110">
        <f>IF(EG102="","",IF(ISNUMBER('Dvd Calendar'!$G$1004)=FALSE,"",IF((('Dvd Calendar'!$G$1006=TYPE1)*(TYPE1&lt;&gt;"")+('Dvd Calendar'!$G$1006=TYPE2)*(TYPE2&lt;&gt;"")+('Dvd Calendar'!$G$1006=TYPE3)*(TYPE3&lt;&gt;"")+('Dvd Calendar'!$G$1006=TYPE4)*(TYPE4&lt;&gt;"")+('Dvd Calendar'!$G$1006=SPECIAL_LBL)*(INC_SPECIALS="Y"))=0,"",'Dvd Calendar'!$G$1004)))</f>
        <v/>
      </c>
      <c r="F102" s="110">
        <f>IF(EH102="","",IF(ISNUMBER('Dvd Calendar'!$H$1004)=FALSE,"",IF((('Dvd Calendar'!$H$1006=TYPE1)*(TYPE1&lt;&gt;"")+('Dvd Calendar'!$H$1006=TYPE2)*(TYPE2&lt;&gt;"")+('Dvd Calendar'!$H$1006=TYPE3)*(TYPE3&lt;&gt;"")+('Dvd Calendar'!$H$1006=TYPE4)*(TYPE4&lt;&gt;"")+('Dvd Calendar'!$H$1006=SPECIAL_LBL)*(INC_SPECIALS="Y"))=0,"",'Dvd Calendar'!$H$1004)))</f>
        <v/>
      </c>
      <c r="G102" s="110">
        <f>IF(EI102="","",IF(ISNUMBER('Dvd Calendar'!$I$1004)=FALSE,"",IF((('Dvd Calendar'!$I$1006=TYPE1)*(TYPE1&lt;&gt;"")+('Dvd Calendar'!$I$1006=TYPE2)*(TYPE2&lt;&gt;"")+('Dvd Calendar'!$I$1006=TYPE3)*(TYPE3&lt;&gt;"")+('Dvd Calendar'!$I$1006=TYPE4)*(TYPE4&lt;&gt;"")+('Dvd Calendar'!$I$1006=SPECIAL_LBL)*(INC_SPECIALS="Y"))=0,"",'Dvd Calendar'!$I$1004)))</f>
        <v/>
      </c>
      <c r="H102" s="110">
        <f>IF(EJ102="","",IF(ISNUMBER('Dvd Calendar'!$J$1004)=FALSE,"",IF((('Dvd Calendar'!$J$1006=TYPE1)*(TYPE1&lt;&gt;"")+('Dvd Calendar'!$J$1006=TYPE2)*(TYPE2&lt;&gt;"")+('Dvd Calendar'!$J$1006=TYPE3)*(TYPE3&lt;&gt;"")+('Dvd Calendar'!$J$1006=TYPE4)*(TYPE4&lt;&gt;"")+('Dvd Calendar'!$J$1006=SPECIAL_LBL)*(INC_SPECIALS="Y"))=0,"",'Dvd Calendar'!$J$1004)))</f>
        <v/>
      </c>
      <c r="I102" s="110">
        <f>IF(EK102="","",IF(ISNUMBER('Dvd Calendar'!$K$1004)=FALSE,"",IF((('Dvd Calendar'!$K$1006=TYPE1)*(TYPE1&lt;&gt;"")+('Dvd Calendar'!$K$1006=TYPE2)*(TYPE2&lt;&gt;"")+('Dvd Calendar'!$K$1006=TYPE3)*(TYPE3&lt;&gt;"")+('Dvd Calendar'!$K$1006=TYPE4)*(TYPE4&lt;&gt;"")+('Dvd Calendar'!$K$1006=SPECIAL_LBL)*(INC_SPECIALS="Y"))=0,"",'Dvd Calendar'!$K$1004)))</f>
        <v/>
      </c>
      <c r="J102" s="110">
        <f>IF(EL102="","",IF(ISNUMBER('Dvd Calendar'!$L$1004)=FALSE,"",IF((('Dvd Calendar'!$L$1006=TYPE1)*(TYPE1&lt;&gt;"")+('Dvd Calendar'!$L$1006=TYPE2)*(TYPE2&lt;&gt;"")+('Dvd Calendar'!$L$1006=TYPE3)*(TYPE3&lt;&gt;"")+('Dvd Calendar'!$L$1006=TYPE4)*(TYPE4&lt;&gt;"")+('Dvd Calendar'!$L$1006=SPECIAL_LBL)*(INC_SPECIALS="Y"))=0,"",'Dvd Calendar'!$L$1004)))</f>
        <v/>
      </c>
      <c r="K102" s="110">
        <f>IF(EM102="","",IF(ISNUMBER('Dvd Calendar'!$M$1004)=FALSE,"",IF((('Dvd Calendar'!$M$1006=TYPE1)*(TYPE1&lt;&gt;"")+('Dvd Calendar'!$M$1006=TYPE2)*(TYPE2&lt;&gt;"")+('Dvd Calendar'!$M$1006=TYPE3)*(TYPE3&lt;&gt;"")+('Dvd Calendar'!$M$1006=TYPE4)*(TYPE4&lt;&gt;"")+('Dvd Calendar'!$M$1006=SPECIAL_LBL)*(INC_SPECIALS="Y"))=0,"",'Dvd Calendar'!$M$1004)))</f>
        <v/>
      </c>
      <c r="L102" s="110">
        <f>IF(EN102="","",IF(ISNUMBER('Dvd Calendar'!$N$1004)=FALSE,"",IF((('Dvd Calendar'!$N$1006=TYPE1)*(TYPE1&lt;&gt;"")+('Dvd Calendar'!$N$1006=TYPE2)*(TYPE2&lt;&gt;"")+('Dvd Calendar'!$N$1006=TYPE3)*(TYPE3&lt;&gt;"")+('Dvd Calendar'!$N$1006=TYPE4)*(TYPE4&lt;&gt;"")+('Dvd Calendar'!$N$1006=SPECIAL_LBL)*(INC_SPECIALS="Y"))=0,"",'Dvd Calendar'!$N$1004)))</f>
        <v/>
      </c>
      <c r="M102" s="110">
        <f>IF(EO102="","",IF(ISNUMBER('Dvd Calendar'!$O$1004)=FALSE,"",IF((('Dvd Calendar'!$O$1006=TYPE1)*(TYPE1&lt;&gt;"")+('Dvd Calendar'!$O$1006=TYPE2)*(TYPE2&lt;&gt;"")+('Dvd Calendar'!$O$1006=TYPE3)*(TYPE3&lt;&gt;"")+('Dvd Calendar'!$O$1006=TYPE4)*(TYPE4&lt;&gt;"")+('Dvd Calendar'!$O$1006=SPECIAL_LBL)*(INC_SPECIALS="Y"))=0,"",'Dvd Calendar'!$O$1004)))</f>
        <v/>
      </c>
      <c r="N102" s="110">
        <f>IF(EP102="","",IF(ISNUMBER('Dvd Calendar'!$P$1004)=FALSE,"",IF((('Dvd Calendar'!$P$1006=TYPE1)*(TYPE1&lt;&gt;"")+('Dvd Calendar'!$P$1006=TYPE2)*(TYPE2&lt;&gt;"")+('Dvd Calendar'!$P$1006=TYPE3)*(TYPE3&lt;&gt;"")+('Dvd Calendar'!$P$1006=TYPE4)*(TYPE4&lt;&gt;"")+('Dvd Calendar'!$P$1006=SPECIAL_LBL)*(INC_SPECIALS="Y"))=0,"",'Dvd Calendar'!$P$1004)))</f>
        <v/>
      </c>
      <c r="O102" s="110">
        <f>IF(EQ102="","",IF(ISNUMBER('Dvd Calendar'!$Q$1004)=FALSE,"",IF((('Dvd Calendar'!$Q$1006=TYPE1)*(TYPE1&lt;&gt;"")+('Dvd Calendar'!$Q$1006=TYPE2)*(TYPE2&lt;&gt;"")+('Dvd Calendar'!$Q$1006=TYPE3)*(TYPE3&lt;&gt;"")+('Dvd Calendar'!$Q$1006=TYPE4)*(TYPE4&lt;&gt;"")+('Dvd Calendar'!$Q$1006=SPECIAL_LBL)*(INC_SPECIALS="Y"))=0,"",'Dvd Calendar'!$Q$1004)))</f>
        <v/>
      </c>
      <c r="P102" s="110">
        <f>IF(ER102="","",IF(ISNUMBER('Dvd Calendar'!$R$1004)=FALSE,"",IF((('Dvd Calendar'!$R$1006=TYPE1)*(TYPE1&lt;&gt;"")+('Dvd Calendar'!$R$1006=TYPE2)*(TYPE2&lt;&gt;"")+('Dvd Calendar'!$R$1006=TYPE3)*(TYPE3&lt;&gt;"")+('Dvd Calendar'!$R$1006=TYPE4)*(TYPE4&lt;&gt;"")+('Dvd Calendar'!$R$1006=SPECIAL_LBL)*(INC_SPECIALS="Y"))=0,"",'Dvd Calendar'!$R$1004)))</f>
        <v/>
      </c>
      <c r="Q102" s="110">
        <f>IF(ES102="","",IF(ISNUMBER('Dvd Calendar'!$S$1004)=FALSE,"",IF((('Dvd Calendar'!$S$1006=TYPE1)*(TYPE1&lt;&gt;"")+('Dvd Calendar'!$S$1006=TYPE2)*(TYPE2&lt;&gt;"")+('Dvd Calendar'!$S$1006=TYPE3)*(TYPE3&lt;&gt;"")+('Dvd Calendar'!$S$1006=TYPE4)*(TYPE4&lt;&gt;"")+('Dvd Calendar'!$S$1006=SPECIAL_LBL)*(INC_SPECIALS="Y"))=0,"",'Dvd Calendar'!$S$1004)))</f>
        <v/>
      </c>
      <c r="R102" s="110">
        <f>IF(ET102="","",IF(ISNUMBER('Dvd Calendar'!$T$1004)=FALSE,"",IF((('Dvd Calendar'!$T$1006=TYPE1)*(TYPE1&lt;&gt;"")+('Dvd Calendar'!$T$1006=TYPE2)*(TYPE2&lt;&gt;"")+('Dvd Calendar'!$T$1006=TYPE3)*(TYPE3&lt;&gt;"")+('Dvd Calendar'!$T$1006=TYPE4)*(TYPE4&lt;&gt;"")+('Dvd Calendar'!$T$1006=SPECIAL_LBL)*(INC_SPECIALS="Y"))=0,"",'Dvd Calendar'!$T$1004)))</f>
        <v/>
      </c>
      <c r="S102" s="110">
        <f>IF(EU102="","",IF(ISNUMBER('Dvd Calendar'!$U$1004)=FALSE,"",IF((('Dvd Calendar'!$U$1006=TYPE1)*(TYPE1&lt;&gt;"")+('Dvd Calendar'!$U$1006=TYPE2)*(TYPE2&lt;&gt;"")+('Dvd Calendar'!$U$1006=TYPE3)*(TYPE3&lt;&gt;"")+('Dvd Calendar'!$U$1006=TYPE4)*(TYPE4&lt;&gt;"")+('Dvd Calendar'!$U$1006=SPECIAL_LBL)*(INC_SPECIALS="Y"))=0,"",'Dvd Calendar'!$U$1004)))</f>
        <v/>
      </c>
      <c r="T102" s="110">
        <f>IF(EV102="","",IF(ISNUMBER('Dvd Calendar'!$V$1004)=FALSE,"",IF((('Dvd Calendar'!$V$1006=TYPE1)*(TYPE1&lt;&gt;"")+('Dvd Calendar'!$V$1006=TYPE2)*(TYPE2&lt;&gt;"")+('Dvd Calendar'!$V$1006=TYPE3)*(TYPE3&lt;&gt;"")+('Dvd Calendar'!$V$1006=TYPE4)*(TYPE4&lt;&gt;"")+('Dvd Calendar'!$V$1006=SPECIAL_LBL)*(INC_SPECIALS="Y"))=0,"",'Dvd Calendar'!$V$1004)))</f>
        <v/>
      </c>
      <c r="U102" s="110">
        <f>IF(EW102="","",IF(ISNUMBER('Dvd Calendar'!$W$1004)=FALSE,"",IF((('Dvd Calendar'!$W$1006=TYPE1)*(TYPE1&lt;&gt;"")+('Dvd Calendar'!$W$1006=TYPE2)*(TYPE2&lt;&gt;"")+('Dvd Calendar'!$W$1006=TYPE3)*(TYPE3&lt;&gt;"")+('Dvd Calendar'!$W$1006=TYPE4)*(TYPE4&lt;&gt;"")+('Dvd Calendar'!$W$1006=SPECIAL_LBL)*(INC_SPECIALS="Y"))=0,"",'Dvd Calendar'!$W$1004)))</f>
        <v/>
      </c>
      <c r="V102" s="110">
        <f>IF(EX102="","",IF(ISNUMBER('Dvd Calendar'!$X$1004)=FALSE,"",IF((('Dvd Calendar'!$X$1006=TYPE1)*(TYPE1&lt;&gt;"")+('Dvd Calendar'!$X$1006=TYPE2)*(TYPE2&lt;&gt;"")+('Dvd Calendar'!$X$1006=TYPE3)*(TYPE3&lt;&gt;"")+('Dvd Calendar'!$X$1006=TYPE4)*(TYPE4&lt;&gt;"")+('Dvd Calendar'!$X$1006=SPECIAL_LBL)*(INC_SPECIALS="Y"))=0,"",'Dvd Calendar'!$X$1004)))</f>
        <v/>
      </c>
      <c r="W102" s="110">
        <f>IF(EY102="","",IF(ISNUMBER('Dvd Calendar'!$Y$1004)=FALSE,"",IF((('Dvd Calendar'!$Y$1006=TYPE1)*(TYPE1&lt;&gt;"")+('Dvd Calendar'!$Y$1006=TYPE2)*(TYPE2&lt;&gt;"")+('Dvd Calendar'!$Y$1006=TYPE3)*(TYPE3&lt;&gt;"")+('Dvd Calendar'!$Y$1006=TYPE4)*(TYPE4&lt;&gt;"")+('Dvd Calendar'!$Y$1006=SPECIAL_LBL)*(INC_SPECIALS="Y"))=0,"",'Dvd Calendar'!$Y$1004)))</f>
        <v/>
      </c>
      <c r="X102" s="110">
        <f>IF(EZ102="","",IF(ISNUMBER('Dvd Calendar'!$Z$1004)=FALSE,"",IF((('Dvd Calendar'!$Z$1006=TYPE1)*(TYPE1&lt;&gt;"")+('Dvd Calendar'!$Z$1006=TYPE2)*(TYPE2&lt;&gt;"")+('Dvd Calendar'!$Z$1006=TYPE3)*(TYPE3&lt;&gt;"")+('Dvd Calendar'!$Z$1006=TYPE4)*(TYPE4&lt;&gt;"")+('Dvd Calendar'!$Z$1006=SPECIAL_LBL)*(INC_SPECIALS="Y"))=0,"",'Dvd Calendar'!$Z$1004)))</f>
        <v/>
      </c>
      <c r="Y102" s="110">
        <f>IF(FA102="","",IF(ISNUMBER('Dvd Calendar'!$AA$1004)=FALSE,"",IF((('Dvd Calendar'!$AA$1006=TYPE1)*(TYPE1&lt;&gt;"")+('Dvd Calendar'!$AA$1006=TYPE2)*(TYPE2&lt;&gt;"")+('Dvd Calendar'!$AA$1006=TYPE3)*(TYPE3&lt;&gt;"")+('Dvd Calendar'!$AA$1006=TYPE4)*(TYPE4&lt;&gt;"")+('Dvd Calendar'!$AA$1006=SPECIAL_LBL)*(INC_SPECIALS="Y"))=0,"",'Dvd Calendar'!$AA$1004)))</f>
        <v/>
      </c>
      <c r="Z102" s="110">
        <f>IF(FB102="","",IF(ISNUMBER('Dvd Calendar'!$AB$1004)=FALSE,"",IF((('Dvd Calendar'!$AB$1006=TYPE1)*(TYPE1&lt;&gt;"")+('Dvd Calendar'!$AB$1006=TYPE2)*(TYPE2&lt;&gt;"")+('Dvd Calendar'!$AB$1006=TYPE3)*(TYPE3&lt;&gt;"")+('Dvd Calendar'!$AB$1006=TYPE4)*(TYPE4&lt;&gt;"")+('Dvd Calendar'!$AB$1006=SPECIAL_LBL)*(INC_SPECIALS="Y"))=0,"",'Dvd Calendar'!$AB$1004)))</f>
        <v/>
      </c>
      <c r="AA102" s="110">
        <f>IF(FC102="","",IF(ISNUMBER('Dvd Calendar'!$AC$1004)=FALSE,"",IF((('Dvd Calendar'!$AC$1006=TYPE1)*(TYPE1&lt;&gt;"")+('Dvd Calendar'!$AC$1006=TYPE2)*(TYPE2&lt;&gt;"")+('Dvd Calendar'!$AC$1006=TYPE3)*(TYPE3&lt;&gt;"")+('Dvd Calendar'!$AC$1006=TYPE4)*(TYPE4&lt;&gt;"")+('Dvd Calendar'!$AC$1006=SPECIAL_LBL)*(INC_SPECIALS="Y"))=0,"",'Dvd Calendar'!$AC$1004)))</f>
        <v/>
      </c>
      <c r="AB102" s="110">
        <f>IF(FD102="","",IF(ISNUMBER('Dvd Calendar'!$AD$1004)=FALSE,"",IF((('Dvd Calendar'!$AD$1006=TYPE1)*(TYPE1&lt;&gt;"")+('Dvd Calendar'!$AD$1006=TYPE2)*(TYPE2&lt;&gt;"")+('Dvd Calendar'!$AD$1006=TYPE3)*(TYPE3&lt;&gt;"")+('Dvd Calendar'!$AD$1006=TYPE4)*(TYPE4&lt;&gt;"")+('Dvd Calendar'!$AD$1006=SPECIAL_LBL)*(INC_SPECIALS="Y"))=0,"",'Dvd Calendar'!$AD$1004)))</f>
        <v/>
      </c>
      <c r="AC102" s="110">
        <f>IF(FE102="","",IF(ISNUMBER('Dvd Calendar'!$AE$1004)=FALSE,"",IF((('Dvd Calendar'!$AE$1006=TYPE1)*(TYPE1&lt;&gt;"")+('Dvd Calendar'!$AE$1006=TYPE2)*(TYPE2&lt;&gt;"")+('Dvd Calendar'!$AE$1006=TYPE3)*(TYPE3&lt;&gt;"")+('Dvd Calendar'!$AE$1006=TYPE4)*(TYPE4&lt;&gt;"")+('Dvd Calendar'!$AE$1006=SPECIAL_LBL)*(INC_SPECIALS="Y"))=0,"",'Dvd Calendar'!$AE$1004)))</f>
        <v/>
      </c>
      <c r="AD102" s="110">
        <f>IF(FF102="","",IF(ISNUMBER('Dvd Calendar'!$AF$1004)=FALSE,"",IF((('Dvd Calendar'!$AF$1006=TYPE1)*(TYPE1&lt;&gt;"")+('Dvd Calendar'!$AF$1006=TYPE2)*(TYPE2&lt;&gt;"")+('Dvd Calendar'!$AF$1006=TYPE3)*(TYPE3&lt;&gt;"")+('Dvd Calendar'!$AF$1006=TYPE4)*(TYPE4&lt;&gt;"")+('Dvd Calendar'!$AF$1006=SPECIAL_LBL)*(INC_SPECIALS="Y"))=0,"",'Dvd Calendar'!$AF$1004)))</f>
        <v/>
      </c>
      <c r="AE102" s="110">
        <f>IF(FG102="","",IF(ISNUMBER('Dvd Calendar'!$AG$1004)=FALSE,"",IF((('Dvd Calendar'!$AG$1006=TYPE1)*(TYPE1&lt;&gt;"")+('Dvd Calendar'!$AG$1006=TYPE2)*(TYPE2&lt;&gt;"")+('Dvd Calendar'!$AG$1006=TYPE3)*(TYPE3&lt;&gt;"")+('Dvd Calendar'!$AG$1006=TYPE4)*(TYPE4&lt;&gt;"")+('Dvd Calendar'!$AG$1006=SPECIAL_LBL)*(INC_SPECIALS="Y"))=0,"",'Dvd Calendar'!$AG$1004)))</f>
        <v/>
      </c>
      <c r="AF102" s="110">
        <f>IF(FH102="","",IF(ISNUMBER('Dvd Calendar'!$AH$1004)=FALSE,"",IF((('Dvd Calendar'!$AH$1006=TYPE1)*(TYPE1&lt;&gt;"")+('Dvd Calendar'!$AH$1006=TYPE2)*(TYPE2&lt;&gt;"")+('Dvd Calendar'!$AH$1006=TYPE3)*(TYPE3&lt;&gt;"")+('Dvd Calendar'!$AH$1006=TYPE4)*(TYPE4&lt;&gt;"")+('Dvd Calendar'!$AH$1006=SPECIAL_LBL)*(INC_SPECIALS="Y"))=0,"",'Dvd Calendar'!$AH$1004)))</f>
        <v/>
      </c>
      <c r="AG102" s="110">
        <f>IF(FI102="","",IF(ISNUMBER('Dvd Calendar'!$AI$1004)=FALSE,"",IF((('Dvd Calendar'!$AI$1006=TYPE1)*(TYPE1&lt;&gt;"")+('Dvd Calendar'!$AI$1006=TYPE2)*(TYPE2&lt;&gt;"")+('Dvd Calendar'!$AI$1006=TYPE3)*(TYPE3&lt;&gt;"")+('Dvd Calendar'!$AI$1006=TYPE4)*(TYPE4&lt;&gt;"")+('Dvd Calendar'!$AI$1006=SPECIAL_LBL)*(INC_SPECIALS="Y"))=0,"",'Dvd Calendar'!$AI$1004)))</f>
        <v/>
      </c>
      <c r="AH102" s="110">
        <f>IF(FJ102="","",IF(ISNUMBER('Dvd Calendar'!$AJ$1004)=FALSE,"",IF((('Dvd Calendar'!$AJ$1006=TYPE1)*(TYPE1&lt;&gt;"")+('Dvd Calendar'!$AJ$1006=TYPE2)*(TYPE2&lt;&gt;"")+('Dvd Calendar'!$AJ$1006=TYPE3)*(TYPE3&lt;&gt;"")+('Dvd Calendar'!$AJ$1006=TYPE4)*(TYPE4&lt;&gt;"")+('Dvd Calendar'!$AJ$1006=SPECIAL_LBL)*(INC_SPECIALS="Y"))=0,"",'Dvd Calendar'!$AJ$1004)))</f>
        <v/>
      </c>
      <c r="AI102" s="110">
        <f>IF(FK102="","",IF(ISNUMBER('Dvd Calendar'!$AK$1004)=FALSE,"",IF((('Dvd Calendar'!$AK$1006=TYPE1)*(TYPE1&lt;&gt;"")+('Dvd Calendar'!$AK$1006=TYPE2)*(TYPE2&lt;&gt;"")+('Dvd Calendar'!$AK$1006=TYPE3)*(TYPE3&lt;&gt;"")+('Dvd Calendar'!$AK$1006=TYPE4)*(TYPE4&lt;&gt;"")+('Dvd Calendar'!$AK$1006=SPECIAL_LBL)*(INC_SPECIALS="Y"))=0,"",'Dvd Calendar'!$AK$1004)))</f>
        <v/>
      </c>
      <c r="AJ102" s="110">
        <f>IF(FL102="","",IF(ISNUMBER('Dvd Calendar'!$AL$1004)=FALSE,"",IF((('Dvd Calendar'!$AL$1006=TYPE1)*(TYPE1&lt;&gt;"")+('Dvd Calendar'!$AL$1006=TYPE2)*(TYPE2&lt;&gt;"")+('Dvd Calendar'!$AL$1006=TYPE3)*(TYPE3&lt;&gt;"")+('Dvd Calendar'!$AL$1006=TYPE4)*(TYPE4&lt;&gt;"")+('Dvd Calendar'!$AL$1006=SPECIAL_LBL)*(INC_SPECIALS="Y"))=0,"",'Dvd Calendar'!$AL$1004)))</f>
        <v/>
      </c>
      <c r="AK102" s="110">
        <f>IF(FM102="","",IF(ISNUMBER('Dvd Calendar'!$AM$1004)=FALSE,"",IF((('Dvd Calendar'!$AM$1006=TYPE1)*(TYPE1&lt;&gt;"")+('Dvd Calendar'!$AM$1006=TYPE2)*(TYPE2&lt;&gt;"")+('Dvd Calendar'!$AM$1006=TYPE3)*(TYPE3&lt;&gt;"")+('Dvd Calendar'!$AM$1006=TYPE4)*(TYPE4&lt;&gt;"")+('Dvd Calendar'!$AM$1006=SPECIAL_LBL)*(INC_SPECIALS="Y"))=0,"",'Dvd Calendar'!$AM$1004)))</f>
        <v/>
      </c>
      <c r="AL102" s="110">
        <f>IF(FN102="","",IF(ISNUMBER('Dvd Calendar'!$AN$1004)=FALSE,"",IF((('Dvd Calendar'!$AN$1006=TYPE1)*(TYPE1&lt;&gt;"")+('Dvd Calendar'!$AN$1006=TYPE2)*(TYPE2&lt;&gt;"")+('Dvd Calendar'!$AN$1006=TYPE3)*(TYPE3&lt;&gt;"")+('Dvd Calendar'!$AN$1006=TYPE4)*(TYPE4&lt;&gt;"")+('Dvd Calendar'!$AN$1006=SPECIAL_LBL)*(INC_SPECIALS="Y"))=0,"",'Dvd Calendar'!$AN$1004)))</f>
        <v/>
      </c>
      <c r="AM102" s="110">
        <f>IF(FO102="","",IF(ISNUMBER('Dvd Calendar'!$AO$1004)=FALSE,"",IF((('Dvd Calendar'!$AO$1006=TYPE1)*(TYPE1&lt;&gt;"")+('Dvd Calendar'!$AO$1006=TYPE2)*(TYPE2&lt;&gt;"")+('Dvd Calendar'!$AO$1006=TYPE3)*(TYPE3&lt;&gt;"")+('Dvd Calendar'!$AO$1006=TYPE4)*(TYPE4&lt;&gt;"")+('Dvd Calendar'!$AO$1006=SPECIAL_LBL)*(INC_SPECIALS="Y"))=0,"",'Dvd Calendar'!$AO$1004)))</f>
        <v/>
      </c>
      <c r="AN102" s="110">
        <f>IF(FP102="","",IF(ISNUMBER('Dvd Calendar'!$AP$1004)=FALSE,"",IF((('Dvd Calendar'!$AP$1006=TYPE1)*(TYPE1&lt;&gt;"")+('Dvd Calendar'!$AP$1006=TYPE2)*(TYPE2&lt;&gt;"")+('Dvd Calendar'!$AP$1006=TYPE3)*(TYPE3&lt;&gt;"")+('Dvd Calendar'!$AP$1006=TYPE4)*(TYPE4&lt;&gt;"")+('Dvd Calendar'!$AP$1006=SPECIAL_LBL)*(INC_SPECIALS="Y"))=0,"",'Dvd Calendar'!$AP$1004)))</f>
        <v/>
      </c>
      <c r="AO102" s="110">
        <f>IF(FQ102="","",IF(ISNUMBER('Dvd Calendar'!$AQ$1004)=FALSE,"",IF((('Dvd Calendar'!$AQ$1006=TYPE1)*(TYPE1&lt;&gt;"")+('Dvd Calendar'!$AQ$1006=TYPE2)*(TYPE2&lt;&gt;"")+('Dvd Calendar'!$AQ$1006=TYPE3)*(TYPE3&lt;&gt;"")+('Dvd Calendar'!$AQ$1006=TYPE4)*(TYPE4&lt;&gt;"")+('Dvd Calendar'!$AQ$1006=SPECIAL_LBL)*(INC_SPECIALS="Y"))=0,"",'Dvd Calendar'!$AQ$1004)))</f>
        <v/>
      </c>
      <c r="AP102" s="110">
        <f>IF(FR102="","",IF(ISNUMBER('Dvd Calendar'!$AR$1004)=FALSE,"",IF((('Dvd Calendar'!$AR$1006=TYPE1)*(TYPE1&lt;&gt;"")+('Dvd Calendar'!$AR$1006=TYPE2)*(TYPE2&lt;&gt;"")+('Dvd Calendar'!$AR$1006=TYPE3)*(TYPE3&lt;&gt;"")+('Dvd Calendar'!$AR$1006=TYPE4)*(TYPE4&lt;&gt;"")+('Dvd Calendar'!$AR$1006=SPECIAL_LBL)*(INC_SPECIALS="Y"))=0,"",'Dvd Calendar'!$AR$1004)))</f>
        <v/>
      </c>
      <c r="AQ102" s="110">
        <f>IF(FS102="","",IF(ISNUMBER('Dvd Calendar'!$E$1009)=FALSE,"",'Dvd Calendar'!$E$1009))</f>
        <v/>
      </c>
      <c r="AR102" s="110">
        <f>IF(FT102="","",IF(ISNUMBER('Dvd Calendar'!$F$1009)=FALSE,"",'Dvd Calendar'!$F$1009))</f>
        <v/>
      </c>
      <c r="AS102" s="110">
        <f>IF(FU102="","",IF(ISNUMBER('Dvd Calendar'!$G$1009)=FALSE,"",'Dvd Calendar'!$G$1009))</f>
        <v/>
      </c>
      <c r="AT102" s="110">
        <f>IF(FV102="","",IF(ISNUMBER('Dvd Calendar'!$H$1009)=FALSE,"",'Dvd Calendar'!$H$1009))</f>
        <v/>
      </c>
      <c r="AU102" s="110">
        <f>IF(FW102="","",IF(ISNUMBER('Dvd Calendar'!$I$1009)=FALSE,"",'Dvd Calendar'!$I$1009))</f>
        <v/>
      </c>
      <c r="AV102" s="110">
        <f>IF(FX102="","",IF(ISNUMBER('Dvd Calendar'!$J$1009)=FALSE,"",'Dvd Calendar'!$J$1009))</f>
        <v/>
      </c>
      <c r="AW102" s="110">
        <f>IF(FY102="","",IF(ISNUMBER('Dvd Calendar'!$K$1009)=FALSE,"",'Dvd Calendar'!$K$1009))</f>
        <v/>
      </c>
      <c r="AX102" s="110">
        <f>IF(FZ102="","",IF(ISNUMBER('Dvd Calendar'!$L$1009)=FALSE,"",'Dvd Calendar'!$L$1009))</f>
        <v/>
      </c>
      <c r="AY102" s="110">
        <f>IF(GA102="","",IF(ISNUMBER('Dvd Calendar'!$M$1009)=FALSE,"",'Dvd Calendar'!$M$1009))</f>
        <v/>
      </c>
      <c r="AZ102" s="110">
        <f>IF(GB102="","",IF(ISNUMBER('Dvd Calendar'!$N$1009)=FALSE,"",'Dvd Calendar'!$N$1009))</f>
        <v/>
      </c>
      <c r="BA102" s="110">
        <f>IF(GC102="","",IF(ISNUMBER('Dvd Calendar'!$O$1009)=FALSE,"",'Dvd Calendar'!$O$1009))</f>
        <v/>
      </c>
      <c r="BB102" s="110">
        <f>IF(GD102="","",IF(ISNUMBER('Dvd Calendar'!$P$1009)=FALSE,"",'Dvd Calendar'!$P$1009))</f>
        <v/>
      </c>
      <c r="BC102" s="110">
        <f>IF(GE102="","",IF(ISNUMBER('Dvd Calendar'!$Q$1009)=FALSE,"",'Dvd Calendar'!$Q$1009))</f>
        <v/>
      </c>
      <c r="BD102" s="110">
        <f>IF(GF102="","",IF(ISNUMBER('Dvd Calendar'!$R$1009)=FALSE,"",'Dvd Calendar'!$R$1009))</f>
        <v/>
      </c>
      <c r="BE102" s="110">
        <f>IF(GG102="","",IF(ISNUMBER('Dvd Calendar'!$S$1009)=FALSE,"",'Dvd Calendar'!$S$1009))</f>
        <v/>
      </c>
      <c r="BF102" s="110">
        <f>IF(GH102="","",IF(ISNUMBER('Dvd Calendar'!$T$1009)=FALSE,"",'Dvd Calendar'!$T$1009))</f>
        <v/>
      </c>
      <c r="BG102" s="110">
        <f>IF(GI102="","",IF(ISNUMBER('Dvd Calendar'!$U$1009)=FALSE,"",'Dvd Calendar'!$U$1009))</f>
        <v/>
      </c>
      <c r="BH102" s="110">
        <f>IF(GJ102="","",IF(ISNUMBER('Dvd Calendar'!$V$1009)=FALSE,"",'Dvd Calendar'!$V$1009))</f>
        <v/>
      </c>
      <c r="BI102" s="110">
        <f>IF(GK102="","",IF(ISNUMBER('Dvd Calendar'!$W$1009)=FALSE,"",'Dvd Calendar'!$W$1009))</f>
        <v/>
      </c>
      <c r="BJ102" s="110">
        <f>IF(GL102="","",IF(ISNUMBER('Dvd Calendar'!$X$1009)=FALSE,"",'Dvd Calendar'!$X$1009))</f>
        <v/>
      </c>
      <c r="BK102" s="110">
        <f>IF(GM102="","",IF(ISNUMBER('Dvd Calendar'!$Y$1009)=FALSE,"",'Dvd Calendar'!$Y$1009))</f>
        <v/>
      </c>
      <c r="BL102" s="110">
        <f>IF(GN102="","",IF(ISNUMBER('Dvd Calendar'!$Z$1009)=FALSE,"",'Dvd Calendar'!$Z$1009))</f>
        <v/>
      </c>
      <c r="BM102" s="110">
        <f>IF(GO102="","",IF(ISNUMBER('Dvd Calendar'!$AA$1009)=FALSE,"",'Dvd Calendar'!$AA$1009))</f>
        <v/>
      </c>
      <c r="BN102" s="110">
        <f>IF(GP102="","",IF(ISNUMBER('Dvd Calendar'!$AB$1009)=FALSE,"",'Dvd Calendar'!$AB$1009))</f>
        <v/>
      </c>
      <c r="BO102" s="110">
        <f>IF(GQ102="","",IF(ISNUMBER('Dvd Calendar'!$AC$1009)=FALSE,"",'Dvd Calendar'!$AC$1009))</f>
        <v/>
      </c>
      <c r="BQ102" s="110">
        <f>IF(C102="","",IFERROR(C102*HSI!$B$97*HSI!$G$97/HSI!$B$3,""))</f>
        <v/>
      </c>
      <c r="BR102" s="110">
        <f>IF(D102="","",IFERROR(D102*HSI!$B$97*HSI!$G$97/HSI!$B$3,""))</f>
        <v/>
      </c>
      <c r="BS102" s="110">
        <f>IF(E102="","",IFERROR(E102*HSI!$B$97*HSI!$G$97/HSI!$B$3,""))</f>
        <v/>
      </c>
      <c r="BT102" s="110">
        <f>IF(F102="","",IFERROR(F102*HSI!$B$97*HSI!$G$97/HSI!$B$3,""))</f>
        <v/>
      </c>
      <c r="BU102" s="110">
        <f>IF(G102="","",IFERROR(G102*HSI!$B$97*HSI!$G$97/HSI!$B$3,""))</f>
        <v/>
      </c>
      <c r="BV102" s="110">
        <f>IF(H102="","",IFERROR(H102*HSI!$B$97*HSI!$G$97/HSI!$B$3,""))</f>
        <v/>
      </c>
      <c r="BW102" s="110">
        <f>IF(I102="","",IFERROR(I102*HSI!$B$97*HSI!$G$97/HSI!$B$3,""))</f>
        <v/>
      </c>
      <c r="BX102" s="110">
        <f>IF(J102="","",IFERROR(J102*HSI!$B$97*HSI!$G$97/HSI!$B$3,""))</f>
        <v/>
      </c>
      <c r="BY102" s="110">
        <f>IF(K102="","",IFERROR(K102*HSI!$B$97*HSI!$G$97/HSI!$B$3,""))</f>
        <v/>
      </c>
      <c r="BZ102" s="110">
        <f>IF(L102="","",IFERROR(L102*HSI!$B$97*HSI!$G$97/HSI!$B$3,""))</f>
        <v/>
      </c>
      <c r="CA102" s="110">
        <f>IF(M102="","",IFERROR(M102*HSI!$B$97*HSI!$G$97/HSI!$B$3,""))</f>
        <v/>
      </c>
      <c r="CB102" s="110">
        <f>IF(N102="","",IFERROR(N102*HSI!$B$97*HSI!$G$97/HSI!$B$3,""))</f>
        <v/>
      </c>
      <c r="CC102" s="110">
        <f>IF(O102="","",IFERROR(O102*HSI!$B$97*HSI!$G$97/HSI!$B$3,""))</f>
        <v/>
      </c>
      <c r="CD102" s="110">
        <f>IF(P102="","",IFERROR(P102*HSI!$B$97*HSI!$G$97/HSI!$B$3,""))</f>
        <v/>
      </c>
      <c r="CE102" s="110">
        <f>IF(Q102="","",IFERROR(Q102*HSI!$B$97*HSI!$G$97/HSI!$B$3,""))</f>
        <v/>
      </c>
      <c r="CF102" s="110">
        <f>IF(R102="","",IFERROR(R102*HSI!$B$97*HSI!$G$97/HSI!$B$3,""))</f>
        <v/>
      </c>
      <c r="CG102" s="110">
        <f>IF(S102="","",IFERROR(S102*HSI!$B$97*HSI!$G$97/HSI!$B$3,""))</f>
        <v/>
      </c>
      <c r="CH102" s="110">
        <f>IF(T102="","",IFERROR(T102*HSI!$B$97*HSI!$G$97/HSI!$B$3,""))</f>
        <v/>
      </c>
      <c r="CI102" s="110">
        <f>IF(U102="","",IFERROR(U102*HSI!$B$97*HSI!$G$97/HSI!$B$3,""))</f>
        <v/>
      </c>
      <c r="CJ102" s="110">
        <f>IF(V102="","",IFERROR(V102*HSI!$B$97*HSI!$G$97/HSI!$B$3,""))</f>
        <v/>
      </c>
      <c r="CK102" s="110">
        <f>IF(W102="","",IFERROR(W102*HSI!$B$97*HSI!$G$97/HSI!$B$3,""))</f>
        <v/>
      </c>
      <c r="CL102" s="110">
        <f>IF(X102="","",IFERROR(X102*HSI!$B$97*HSI!$G$97/HSI!$B$3,""))</f>
        <v/>
      </c>
      <c r="CM102" s="110">
        <f>IF(Y102="","",IFERROR(Y102*HSI!$B$97*HSI!$G$97/HSI!$B$3,""))</f>
        <v/>
      </c>
      <c r="CN102" s="110">
        <f>IF(Z102="","",IFERROR(Z102*HSI!$B$97*HSI!$G$97/HSI!$B$3,""))</f>
        <v/>
      </c>
      <c r="CO102" s="110">
        <f>IF(AA102="","",IFERROR(AA102*HSI!$B$97*HSI!$G$97/HSI!$B$3,""))</f>
        <v/>
      </c>
      <c r="CP102" s="110">
        <f>IF(AB102="","",IFERROR(AB102*HSI!$B$97*HSI!$G$97/HSI!$B$3,""))</f>
        <v/>
      </c>
      <c r="CQ102" s="110">
        <f>IF(AC102="","",IFERROR(AC102*HSI!$B$97*HSI!$G$97/HSI!$B$3,""))</f>
        <v/>
      </c>
      <c r="CR102" s="110">
        <f>IF(AD102="","",IFERROR(AD102*HSI!$B$97*HSI!$G$97/HSI!$B$3,""))</f>
        <v/>
      </c>
      <c r="CS102" s="110">
        <f>IF(AE102="","",IFERROR(AE102*HSI!$B$97*HSI!$G$97/HSI!$B$3,""))</f>
        <v/>
      </c>
      <c r="CT102" s="110">
        <f>IF(AF102="","",IFERROR(AF102*HSI!$B$97*HSI!$G$97/HSI!$B$3,""))</f>
        <v/>
      </c>
      <c r="CU102" s="110">
        <f>IF(AG102="","",IFERROR(AG102*HSI!$B$97*HSI!$G$97/HSI!$B$3,""))</f>
        <v/>
      </c>
      <c r="CV102" s="110">
        <f>IF(AH102="","",IFERROR(AH102*HSI!$B$97*HSI!$G$97/HSI!$B$3,""))</f>
        <v/>
      </c>
      <c r="CW102" s="110">
        <f>IF(AI102="","",IFERROR(AI102*HSI!$B$97*HSI!$G$97/HSI!$B$3,""))</f>
        <v/>
      </c>
      <c r="CX102" s="110">
        <f>IF(AJ102="","",IFERROR(AJ102*HSI!$B$97*HSI!$G$97/HSI!$B$3,""))</f>
        <v/>
      </c>
      <c r="CY102" s="110">
        <f>IF(AK102="","",IFERROR(AK102*HSI!$B$97*HSI!$G$97/HSI!$B$3,""))</f>
        <v/>
      </c>
      <c r="CZ102" s="110">
        <f>IF(AL102="","",IFERROR(AL102*HSI!$B$97*HSI!$G$97/HSI!$B$3,""))</f>
        <v/>
      </c>
      <c r="DA102" s="110">
        <f>IF(AM102="","",IFERROR(AM102*HSI!$B$97*HSI!$G$97/HSI!$B$3,""))</f>
        <v/>
      </c>
      <c r="DB102" s="110">
        <f>IF(AN102="","",IFERROR(AN102*HSI!$B$97*HSI!$G$97/HSI!$B$3,""))</f>
        <v/>
      </c>
      <c r="DC102" s="110">
        <f>IF(AO102="","",IFERROR(AO102*HSI!$B$97*HSI!$G$97/HSI!$B$3,""))</f>
        <v/>
      </c>
      <c r="DD102" s="110">
        <f>IF(AP102="","",IFERROR(AP102*HSI!$B$97*HSI!$G$97/HSI!$B$3,""))</f>
        <v/>
      </c>
      <c r="DE102" s="110">
        <f>IF(AQ102="","",IFERROR(AQ102*HSI!$B$97*HSI!$G$97/HSI!$B$3,""))</f>
        <v/>
      </c>
      <c r="DF102" s="110">
        <f>IF(AR102="","",IFERROR(AR102*HSI!$B$97*HSI!$G$97/HSI!$B$3,""))</f>
        <v/>
      </c>
      <c r="DG102" s="110">
        <f>IF(AS102="","",IFERROR(AS102*HSI!$B$97*HSI!$G$97/HSI!$B$3,""))</f>
        <v/>
      </c>
      <c r="DH102" s="110">
        <f>IF(AT102="","",IFERROR(AT102*HSI!$B$97*HSI!$G$97/HSI!$B$3,""))</f>
        <v/>
      </c>
      <c r="DI102" s="110">
        <f>IF(AU102="","",IFERROR(AU102*HSI!$B$97*HSI!$G$97/HSI!$B$3,""))</f>
        <v/>
      </c>
      <c r="DJ102" s="110">
        <f>IF(AV102="","",IFERROR(AV102*HSI!$B$97*HSI!$G$97/HSI!$B$3,""))</f>
        <v/>
      </c>
      <c r="DK102" s="110">
        <f>IF(AW102="","",IFERROR(AW102*HSI!$B$97*HSI!$G$97/HSI!$B$3,""))</f>
        <v/>
      </c>
      <c r="DL102" s="110">
        <f>IF(AX102="","",IFERROR(AX102*HSI!$B$97*HSI!$G$97/HSI!$B$3,""))</f>
        <v/>
      </c>
      <c r="DM102" s="110">
        <f>IF(AY102="","",IFERROR(AY102*HSI!$B$97*HSI!$G$97/HSI!$B$3,""))</f>
        <v/>
      </c>
      <c r="DN102" s="110">
        <f>IF(AZ102="","",IFERROR(AZ102*HSI!$B$97*HSI!$G$97/HSI!$B$3,""))</f>
        <v/>
      </c>
      <c r="DO102" s="110">
        <f>IF(BA102="","",IFERROR(BA102*HSI!$B$97*HSI!$G$97/HSI!$B$3,""))</f>
        <v/>
      </c>
      <c r="DP102" s="110">
        <f>IF(BB102="","",IFERROR(BB102*HSI!$B$97*HSI!$G$97/HSI!$B$3,""))</f>
        <v/>
      </c>
      <c r="DQ102" s="110">
        <f>IF(BC102="","",IFERROR(BC102*HSI!$B$97*HSI!$G$97/HSI!$B$3,""))</f>
        <v/>
      </c>
      <c r="DR102" s="110">
        <f>IF(BD102="","",IFERROR(BD102*HSI!$B$97*HSI!$G$97/HSI!$B$3,""))</f>
        <v/>
      </c>
      <c r="DS102" s="110">
        <f>IF(BE102="","",IFERROR(BE102*HSI!$B$97*HSI!$G$97/HSI!$B$3,""))</f>
        <v/>
      </c>
      <c r="DT102" s="110">
        <f>IF(BF102="","",IFERROR(BF102*HSI!$B$97*HSI!$G$97/HSI!$B$3,""))</f>
        <v/>
      </c>
      <c r="DU102" s="110">
        <f>IF(BG102="","",IFERROR(BG102*HSI!$B$97*HSI!$G$97/HSI!$B$3,""))</f>
        <v/>
      </c>
      <c r="DV102" s="110">
        <f>IF(BH102="","",IFERROR(BH102*HSI!$B$97*HSI!$G$97/HSI!$B$3,""))</f>
        <v/>
      </c>
      <c r="DW102" s="110">
        <f>IF(BI102="","",IFERROR(BI102*HSI!$B$97*HSI!$G$97/HSI!$B$3,""))</f>
        <v/>
      </c>
      <c r="DX102" s="110">
        <f>IF(BJ102="","",IFERROR(BJ102*HSI!$B$97*HSI!$G$97/HSI!$B$3,""))</f>
        <v/>
      </c>
      <c r="DY102" s="110">
        <f>IF(BK102="","",IFERROR(BK102*HSI!$B$97*HSI!$G$97/HSI!$B$3,""))</f>
        <v/>
      </c>
      <c r="DZ102" s="110">
        <f>IF(BL102="","",IFERROR(BL102*HSI!$B$97*HSI!$G$97/HSI!$B$3,""))</f>
        <v/>
      </c>
      <c r="EA102" s="110">
        <f>IF(BM102="","",IFERROR(BM102*HSI!$B$97*HSI!$G$97/HSI!$B$3,""))</f>
        <v/>
      </c>
      <c r="EB102" s="110">
        <f>IF(BN102="","",IFERROR(BN102*HSI!$B$97*HSI!$G$97/HSI!$B$3,""))</f>
        <v/>
      </c>
      <c r="EC102" s="110">
        <f>IF(BO102="","",IFERROR(BO102*HSI!$B$97*HSI!$G$97/HSI!$B$3,""))</f>
        <v/>
      </c>
      <c r="EE102" s="39">
        <f>IF(N('Dvd Calendar'!$E$1001)=0,"",IF(('Dvd Calendar'!$E$1001&gt;=GRID_FROM)*('Dvd Calendar'!$E$1001&lt;=GRID_TO)*((('Dvd Calendar'!$E$1001&lt;=VAL_DATE)+(COUNTIF('Dvd Calendar'!$E$1008:$AR$1008,'Dvd Calendar'!$E$1001)=0))&gt;0)=0,"",'Dvd Calendar'!$E$1001*1000000000+ISNUMBER('Dvd Calendar'!$E$1004)*100000000+('Dvd Calendar'!$E$1006=SPECIAL_LBL)*10000000+(N('Dvd Calendar'!$E$1000)&gt;0)*(N('Dvd Calendar'!$E$1000)&lt;=VAL_SERIAL)*1000000+91*1000+1))</f>
        <v/>
      </c>
      <c r="EF102" s="39">
        <f>IF(N('Dvd Calendar'!$F$1001)=0,"",IF(('Dvd Calendar'!$F$1001&gt;=GRID_FROM)*('Dvd Calendar'!$F$1001&lt;=GRID_TO)*((('Dvd Calendar'!$F$1001&lt;=VAL_DATE)+(COUNTIF('Dvd Calendar'!$E$1008:$AR$1008,'Dvd Calendar'!$F$1001)=0))&gt;0)=0,"",'Dvd Calendar'!$F$1001*1000000000+ISNUMBER('Dvd Calendar'!$F$1004)*100000000+('Dvd Calendar'!$F$1006=SPECIAL_LBL)*10000000+(N('Dvd Calendar'!$F$1000)&gt;0)*(N('Dvd Calendar'!$F$1000)&lt;=VAL_SERIAL)*1000000+91*1000+2))</f>
        <v/>
      </c>
      <c r="EG102" s="39">
        <f>IF(N('Dvd Calendar'!$G$1001)=0,"",IF(('Dvd Calendar'!$G$1001&gt;=GRID_FROM)*('Dvd Calendar'!$G$1001&lt;=GRID_TO)*((('Dvd Calendar'!$G$1001&lt;=VAL_DATE)+(COUNTIF('Dvd Calendar'!$E$1008:$AR$1008,'Dvd Calendar'!$G$1001)=0))&gt;0)=0,"",'Dvd Calendar'!$G$1001*1000000000+ISNUMBER('Dvd Calendar'!$G$1004)*100000000+('Dvd Calendar'!$G$1006=SPECIAL_LBL)*10000000+(N('Dvd Calendar'!$G$1000)&gt;0)*(N('Dvd Calendar'!$G$1000)&lt;=VAL_SERIAL)*1000000+91*1000+3))</f>
        <v/>
      </c>
      <c r="EH102" s="39">
        <f>IF(N('Dvd Calendar'!$H$1001)=0,"",IF(('Dvd Calendar'!$H$1001&gt;=GRID_FROM)*('Dvd Calendar'!$H$1001&lt;=GRID_TO)*((('Dvd Calendar'!$H$1001&lt;=VAL_DATE)+(COUNTIF('Dvd Calendar'!$E$1008:$AR$1008,'Dvd Calendar'!$H$1001)=0))&gt;0)=0,"",'Dvd Calendar'!$H$1001*1000000000+ISNUMBER('Dvd Calendar'!$H$1004)*100000000+('Dvd Calendar'!$H$1006=SPECIAL_LBL)*10000000+(N('Dvd Calendar'!$H$1000)&gt;0)*(N('Dvd Calendar'!$H$1000)&lt;=VAL_SERIAL)*1000000+91*1000+4))</f>
        <v/>
      </c>
      <c r="EI102" s="39">
        <f>IF(N('Dvd Calendar'!$I$1001)=0,"",IF(('Dvd Calendar'!$I$1001&gt;=GRID_FROM)*('Dvd Calendar'!$I$1001&lt;=GRID_TO)*((('Dvd Calendar'!$I$1001&lt;=VAL_DATE)+(COUNTIF('Dvd Calendar'!$E$1008:$AR$1008,'Dvd Calendar'!$I$1001)=0))&gt;0)=0,"",'Dvd Calendar'!$I$1001*1000000000+ISNUMBER('Dvd Calendar'!$I$1004)*100000000+('Dvd Calendar'!$I$1006=SPECIAL_LBL)*10000000+(N('Dvd Calendar'!$I$1000)&gt;0)*(N('Dvd Calendar'!$I$1000)&lt;=VAL_SERIAL)*1000000+91*1000+5))</f>
        <v/>
      </c>
      <c r="EJ102" s="39">
        <f>IF(N('Dvd Calendar'!$J$1001)=0,"",IF(('Dvd Calendar'!$J$1001&gt;=GRID_FROM)*('Dvd Calendar'!$J$1001&lt;=GRID_TO)*((('Dvd Calendar'!$J$1001&lt;=VAL_DATE)+(COUNTIF('Dvd Calendar'!$E$1008:$AR$1008,'Dvd Calendar'!$J$1001)=0))&gt;0)=0,"",'Dvd Calendar'!$J$1001*1000000000+ISNUMBER('Dvd Calendar'!$J$1004)*100000000+('Dvd Calendar'!$J$1006=SPECIAL_LBL)*10000000+(N('Dvd Calendar'!$J$1000)&gt;0)*(N('Dvd Calendar'!$J$1000)&lt;=VAL_SERIAL)*1000000+91*1000+6))</f>
        <v/>
      </c>
      <c r="EK102" s="39">
        <f>IF(N('Dvd Calendar'!$K$1001)=0,"",IF(('Dvd Calendar'!$K$1001&gt;=GRID_FROM)*('Dvd Calendar'!$K$1001&lt;=GRID_TO)*((('Dvd Calendar'!$K$1001&lt;=VAL_DATE)+(COUNTIF('Dvd Calendar'!$E$1008:$AR$1008,'Dvd Calendar'!$K$1001)=0))&gt;0)=0,"",'Dvd Calendar'!$K$1001*1000000000+ISNUMBER('Dvd Calendar'!$K$1004)*100000000+('Dvd Calendar'!$K$1006=SPECIAL_LBL)*10000000+(N('Dvd Calendar'!$K$1000)&gt;0)*(N('Dvd Calendar'!$K$1000)&lt;=VAL_SERIAL)*1000000+91*1000+7))</f>
        <v/>
      </c>
      <c r="EL102" s="39">
        <f>IF(N('Dvd Calendar'!$L$1001)=0,"",IF(('Dvd Calendar'!$L$1001&gt;=GRID_FROM)*('Dvd Calendar'!$L$1001&lt;=GRID_TO)*((('Dvd Calendar'!$L$1001&lt;=VAL_DATE)+(COUNTIF('Dvd Calendar'!$E$1008:$AR$1008,'Dvd Calendar'!$L$1001)=0))&gt;0)=0,"",'Dvd Calendar'!$L$1001*1000000000+ISNUMBER('Dvd Calendar'!$L$1004)*100000000+('Dvd Calendar'!$L$1006=SPECIAL_LBL)*10000000+(N('Dvd Calendar'!$L$1000)&gt;0)*(N('Dvd Calendar'!$L$1000)&lt;=VAL_SERIAL)*1000000+91*1000+8))</f>
        <v/>
      </c>
      <c r="EM102" s="39">
        <f>IF(N('Dvd Calendar'!$M$1001)=0,"",IF(('Dvd Calendar'!$M$1001&gt;=GRID_FROM)*('Dvd Calendar'!$M$1001&lt;=GRID_TO)*((('Dvd Calendar'!$M$1001&lt;=VAL_DATE)+(COUNTIF('Dvd Calendar'!$E$1008:$AR$1008,'Dvd Calendar'!$M$1001)=0))&gt;0)=0,"",'Dvd Calendar'!$M$1001*1000000000+ISNUMBER('Dvd Calendar'!$M$1004)*100000000+('Dvd Calendar'!$M$1006=SPECIAL_LBL)*10000000+(N('Dvd Calendar'!$M$1000)&gt;0)*(N('Dvd Calendar'!$M$1000)&lt;=VAL_SERIAL)*1000000+91*1000+9))</f>
        <v/>
      </c>
      <c r="EN102" s="39">
        <f>IF(N('Dvd Calendar'!$N$1001)=0,"",IF(('Dvd Calendar'!$N$1001&gt;=GRID_FROM)*('Dvd Calendar'!$N$1001&lt;=GRID_TO)*((('Dvd Calendar'!$N$1001&lt;=VAL_DATE)+(COUNTIF('Dvd Calendar'!$E$1008:$AR$1008,'Dvd Calendar'!$N$1001)=0))&gt;0)=0,"",'Dvd Calendar'!$N$1001*1000000000+ISNUMBER('Dvd Calendar'!$N$1004)*100000000+('Dvd Calendar'!$N$1006=SPECIAL_LBL)*10000000+(N('Dvd Calendar'!$N$1000)&gt;0)*(N('Dvd Calendar'!$N$1000)&lt;=VAL_SERIAL)*1000000+91*1000+10))</f>
        <v/>
      </c>
      <c r="EO102" s="39">
        <f>IF(N('Dvd Calendar'!$O$1001)=0,"",IF(('Dvd Calendar'!$O$1001&gt;=GRID_FROM)*('Dvd Calendar'!$O$1001&lt;=GRID_TO)*((('Dvd Calendar'!$O$1001&lt;=VAL_DATE)+(COUNTIF('Dvd Calendar'!$E$1008:$AR$1008,'Dvd Calendar'!$O$1001)=0))&gt;0)=0,"",'Dvd Calendar'!$O$1001*1000000000+ISNUMBER('Dvd Calendar'!$O$1004)*100000000+('Dvd Calendar'!$O$1006=SPECIAL_LBL)*10000000+(N('Dvd Calendar'!$O$1000)&gt;0)*(N('Dvd Calendar'!$O$1000)&lt;=VAL_SERIAL)*1000000+91*1000+11))</f>
        <v/>
      </c>
      <c r="EP102" s="39">
        <f>IF(N('Dvd Calendar'!$P$1001)=0,"",IF(('Dvd Calendar'!$P$1001&gt;=GRID_FROM)*('Dvd Calendar'!$P$1001&lt;=GRID_TO)*((('Dvd Calendar'!$P$1001&lt;=VAL_DATE)+(COUNTIF('Dvd Calendar'!$E$1008:$AR$1008,'Dvd Calendar'!$P$1001)=0))&gt;0)=0,"",'Dvd Calendar'!$P$1001*1000000000+ISNUMBER('Dvd Calendar'!$P$1004)*100000000+('Dvd Calendar'!$P$1006=SPECIAL_LBL)*10000000+(N('Dvd Calendar'!$P$1000)&gt;0)*(N('Dvd Calendar'!$P$1000)&lt;=VAL_SERIAL)*1000000+91*1000+12))</f>
        <v/>
      </c>
      <c r="EQ102" s="39">
        <f>IF(N('Dvd Calendar'!$Q$1001)=0,"",IF(('Dvd Calendar'!$Q$1001&gt;=GRID_FROM)*('Dvd Calendar'!$Q$1001&lt;=GRID_TO)*((('Dvd Calendar'!$Q$1001&lt;=VAL_DATE)+(COUNTIF('Dvd Calendar'!$E$1008:$AR$1008,'Dvd Calendar'!$Q$1001)=0))&gt;0)=0,"",'Dvd Calendar'!$Q$1001*1000000000+ISNUMBER('Dvd Calendar'!$Q$1004)*100000000+('Dvd Calendar'!$Q$1006=SPECIAL_LBL)*10000000+(N('Dvd Calendar'!$Q$1000)&gt;0)*(N('Dvd Calendar'!$Q$1000)&lt;=VAL_SERIAL)*1000000+91*1000+13))</f>
        <v/>
      </c>
      <c r="ER102" s="39">
        <f>IF(N('Dvd Calendar'!$R$1001)=0,"",IF(('Dvd Calendar'!$R$1001&gt;=GRID_FROM)*('Dvd Calendar'!$R$1001&lt;=GRID_TO)*((('Dvd Calendar'!$R$1001&lt;=VAL_DATE)+(COUNTIF('Dvd Calendar'!$E$1008:$AR$1008,'Dvd Calendar'!$R$1001)=0))&gt;0)=0,"",'Dvd Calendar'!$R$1001*1000000000+ISNUMBER('Dvd Calendar'!$R$1004)*100000000+('Dvd Calendar'!$R$1006=SPECIAL_LBL)*10000000+(N('Dvd Calendar'!$R$1000)&gt;0)*(N('Dvd Calendar'!$R$1000)&lt;=VAL_SERIAL)*1000000+91*1000+14))</f>
        <v/>
      </c>
      <c r="ES102" s="39">
        <f>IF(N('Dvd Calendar'!$S$1001)=0,"",IF(('Dvd Calendar'!$S$1001&gt;=GRID_FROM)*('Dvd Calendar'!$S$1001&lt;=GRID_TO)*((('Dvd Calendar'!$S$1001&lt;=VAL_DATE)+(COUNTIF('Dvd Calendar'!$E$1008:$AR$1008,'Dvd Calendar'!$S$1001)=0))&gt;0)=0,"",'Dvd Calendar'!$S$1001*1000000000+ISNUMBER('Dvd Calendar'!$S$1004)*100000000+('Dvd Calendar'!$S$1006=SPECIAL_LBL)*10000000+(N('Dvd Calendar'!$S$1000)&gt;0)*(N('Dvd Calendar'!$S$1000)&lt;=VAL_SERIAL)*1000000+91*1000+15))</f>
        <v/>
      </c>
      <c r="ET102" s="39">
        <f>IF(N('Dvd Calendar'!$T$1001)=0,"",IF(('Dvd Calendar'!$T$1001&gt;=GRID_FROM)*('Dvd Calendar'!$T$1001&lt;=GRID_TO)*((('Dvd Calendar'!$T$1001&lt;=VAL_DATE)+(COUNTIF('Dvd Calendar'!$E$1008:$AR$1008,'Dvd Calendar'!$T$1001)=0))&gt;0)=0,"",'Dvd Calendar'!$T$1001*1000000000+ISNUMBER('Dvd Calendar'!$T$1004)*100000000+('Dvd Calendar'!$T$1006=SPECIAL_LBL)*10000000+(N('Dvd Calendar'!$T$1000)&gt;0)*(N('Dvd Calendar'!$T$1000)&lt;=VAL_SERIAL)*1000000+91*1000+16))</f>
        <v/>
      </c>
      <c r="EU102" s="39">
        <f>IF(N('Dvd Calendar'!$U$1001)=0,"",IF(('Dvd Calendar'!$U$1001&gt;=GRID_FROM)*('Dvd Calendar'!$U$1001&lt;=GRID_TO)*((('Dvd Calendar'!$U$1001&lt;=VAL_DATE)+(COUNTIF('Dvd Calendar'!$E$1008:$AR$1008,'Dvd Calendar'!$U$1001)=0))&gt;0)=0,"",'Dvd Calendar'!$U$1001*1000000000+ISNUMBER('Dvd Calendar'!$U$1004)*100000000+('Dvd Calendar'!$U$1006=SPECIAL_LBL)*10000000+(N('Dvd Calendar'!$U$1000)&gt;0)*(N('Dvd Calendar'!$U$1000)&lt;=VAL_SERIAL)*1000000+91*1000+17))</f>
        <v/>
      </c>
      <c r="EV102" s="39">
        <f>IF(N('Dvd Calendar'!$V$1001)=0,"",IF(('Dvd Calendar'!$V$1001&gt;=GRID_FROM)*('Dvd Calendar'!$V$1001&lt;=GRID_TO)*((('Dvd Calendar'!$V$1001&lt;=VAL_DATE)+(COUNTIF('Dvd Calendar'!$E$1008:$AR$1008,'Dvd Calendar'!$V$1001)=0))&gt;0)=0,"",'Dvd Calendar'!$V$1001*1000000000+ISNUMBER('Dvd Calendar'!$V$1004)*100000000+('Dvd Calendar'!$V$1006=SPECIAL_LBL)*10000000+(N('Dvd Calendar'!$V$1000)&gt;0)*(N('Dvd Calendar'!$V$1000)&lt;=VAL_SERIAL)*1000000+91*1000+18))</f>
        <v/>
      </c>
      <c r="EW102" s="39">
        <f>IF(N('Dvd Calendar'!$W$1001)=0,"",IF(('Dvd Calendar'!$W$1001&gt;=GRID_FROM)*('Dvd Calendar'!$W$1001&lt;=GRID_TO)*((('Dvd Calendar'!$W$1001&lt;=VAL_DATE)+(COUNTIF('Dvd Calendar'!$E$1008:$AR$1008,'Dvd Calendar'!$W$1001)=0))&gt;0)=0,"",'Dvd Calendar'!$W$1001*1000000000+ISNUMBER('Dvd Calendar'!$W$1004)*100000000+('Dvd Calendar'!$W$1006=SPECIAL_LBL)*10000000+(N('Dvd Calendar'!$W$1000)&gt;0)*(N('Dvd Calendar'!$W$1000)&lt;=VAL_SERIAL)*1000000+91*1000+19))</f>
        <v/>
      </c>
      <c r="EX102" s="39">
        <f>IF(N('Dvd Calendar'!$X$1001)=0,"",IF(('Dvd Calendar'!$X$1001&gt;=GRID_FROM)*('Dvd Calendar'!$X$1001&lt;=GRID_TO)*((('Dvd Calendar'!$X$1001&lt;=VAL_DATE)+(COUNTIF('Dvd Calendar'!$E$1008:$AR$1008,'Dvd Calendar'!$X$1001)=0))&gt;0)=0,"",'Dvd Calendar'!$X$1001*1000000000+ISNUMBER('Dvd Calendar'!$X$1004)*100000000+('Dvd Calendar'!$X$1006=SPECIAL_LBL)*10000000+(N('Dvd Calendar'!$X$1000)&gt;0)*(N('Dvd Calendar'!$X$1000)&lt;=VAL_SERIAL)*1000000+91*1000+20))</f>
        <v/>
      </c>
      <c r="EY102" s="39">
        <f>IF(N('Dvd Calendar'!$Y$1001)=0,"",IF(('Dvd Calendar'!$Y$1001&gt;=GRID_FROM)*('Dvd Calendar'!$Y$1001&lt;=GRID_TO)*((('Dvd Calendar'!$Y$1001&lt;=VAL_DATE)+(COUNTIF('Dvd Calendar'!$E$1008:$AR$1008,'Dvd Calendar'!$Y$1001)=0))&gt;0)=0,"",'Dvd Calendar'!$Y$1001*1000000000+ISNUMBER('Dvd Calendar'!$Y$1004)*100000000+('Dvd Calendar'!$Y$1006=SPECIAL_LBL)*10000000+(N('Dvd Calendar'!$Y$1000)&gt;0)*(N('Dvd Calendar'!$Y$1000)&lt;=VAL_SERIAL)*1000000+91*1000+21))</f>
        <v/>
      </c>
      <c r="EZ102" s="39">
        <f>IF(N('Dvd Calendar'!$Z$1001)=0,"",IF(('Dvd Calendar'!$Z$1001&gt;=GRID_FROM)*('Dvd Calendar'!$Z$1001&lt;=GRID_TO)*((('Dvd Calendar'!$Z$1001&lt;=VAL_DATE)+(COUNTIF('Dvd Calendar'!$E$1008:$AR$1008,'Dvd Calendar'!$Z$1001)=0))&gt;0)=0,"",'Dvd Calendar'!$Z$1001*1000000000+ISNUMBER('Dvd Calendar'!$Z$1004)*100000000+('Dvd Calendar'!$Z$1006=SPECIAL_LBL)*10000000+(N('Dvd Calendar'!$Z$1000)&gt;0)*(N('Dvd Calendar'!$Z$1000)&lt;=VAL_SERIAL)*1000000+91*1000+22))</f>
        <v/>
      </c>
      <c r="FA102" s="39">
        <f>IF(N('Dvd Calendar'!$AA$1001)=0,"",IF(('Dvd Calendar'!$AA$1001&gt;=GRID_FROM)*('Dvd Calendar'!$AA$1001&lt;=GRID_TO)*((('Dvd Calendar'!$AA$1001&lt;=VAL_DATE)+(COUNTIF('Dvd Calendar'!$E$1008:$AR$1008,'Dvd Calendar'!$AA$1001)=0))&gt;0)=0,"",'Dvd Calendar'!$AA$1001*1000000000+ISNUMBER('Dvd Calendar'!$AA$1004)*100000000+('Dvd Calendar'!$AA$1006=SPECIAL_LBL)*10000000+(N('Dvd Calendar'!$AA$1000)&gt;0)*(N('Dvd Calendar'!$AA$1000)&lt;=VAL_SERIAL)*1000000+91*1000+23))</f>
        <v/>
      </c>
      <c r="FB102" s="39">
        <f>IF(N('Dvd Calendar'!$AB$1001)=0,"",IF(('Dvd Calendar'!$AB$1001&gt;=GRID_FROM)*('Dvd Calendar'!$AB$1001&lt;=GRID_TO)*((('Dvd Calendar'!$AB$1001&lt;=VAL_DATE)+(COUNTIF('Dvd Calendar'!$E$1008:$AR$1008,'Dvd Calendar'!$AB$1001)=0))&gt;0)=0,"",'Dvd Calendar'!$AB$1001*1000000000+ISNUMBER('Dvd Calendar'!$AB$1004)*100000000+('Dvd Calendar'!$AB$1006=SPECIAL_LBL)*10000000+(N('Dvd Calendar'!$AB$1000)&gt;0)*(N('Dvd Calendar'!$AB$1000)&lt;=VAL_SERIAL)*1000000+91*1000+24))</f>
        <v/>
      </c>
      <c r="FC102" s="39">
        <f>IF(N('Dvd Calendar'!$AC$1001)=0,"",IF(('Dvd Calendar'!$AC$1001&gt;=GRID_FROM)*('Dvd Calendar'!$AC$1001&lt;=GRID_TO)*((('Dvd Calendar'!$AC$1001&lt;=VAL_DATE)+(COUNTIF('Dvd Calendar'!$E$1008:$AR$1008,'Dvd Calendar'!$AC$1001)=0))&gt;0)=0,"",'Dvd Calendar'!$AC$1001*1000000000+ISNUMBER('Dvd Calendar'!$AC$1004)*100000000+('Dvd Calendar'!$AC$1006=SPECIAL_LBL)*10000000+(N('Dvd Calendar'!$AC$1000)&gt;0)*(N('Dvd Calendar'!$AC$1000)&lt;=VAL_SERIAL)*1000000+91*1000+25))</f>
        <v/>
      </c>
      <c r="FD102" s="39">
        <f>IF(N('Dvd Calendar'!$AD$1001)=0,"",IF(('Dvd Calendar'!$AD$1001&gt;=GRID_FROM)*('Dvd Calendar'!$AD$1001&lt;=GRID_TO)*((('Dvd Calendar'!$AD$1001&lt;=VAL_DATE)+(COUNTIF('Dvd Calendar'!$E$1008:$AR$1008,'Dvd Calendar'!$AD$1001)=0))&gt;0)=0,"",'Dvd Calendar'!$AD$1001*1000000000+ISNUMBER('Dvd Calendar'!$AD$1004)*100000000+('Dvd Calendar'!$AD$1006=SPECIAL_LBL)*10000000+(N('Dvd Calendar'!$AD$1000)&gt;0)*(N('Dvd Calendar'!$AD$1000)&lt;=VAL_SERIAL)*1000000+91*1000+26))</f>
        <v/>
      </c>
      <c r="FE102" s="39">
        <f>IF(N('Dvd Calendar'!$AE$1001)=0,"",IF(('Dvd Calendar'!$AE$1001&gt;=GRID_FROM)*('Dvd Calendar'!$AE$1001&lt;=GRID_TO)*((('Dvd Calendar'!$AE$1001&lt;=VAL_DATE)+(COUNTIF('Dvd Calendar'!$E$1008:$AR$1008,'Dvd Calendar'!$AE$1001)=0))&gt;0)=0,"",'Dvd Calendar'!$AE$1001*1000000000+ISNUMBER('Dvd Calendar'!$AE$1004)*100000000+('Dvd Calendar'!$AE$1006=SPECIAL_LBL)*10000000+(N('Dvd Calendar'!$AE$1000)&gt;0)*(N('Dvd Calendar'!$AE$1000)&lt;=VAL_SERIAL)*1000000+91*1000+27))</f>
        <v/>
      </c>
      <c r="FF102" s="39">
        <f>IF(N('Dvd Calendar'!$AF$1001)=0,"",IF(('Dvd Calendar'!$AF$1001&gt;=GRID_FROM)*('Dvd Calendar'!$AF$1001&lt;=GRID_TO)*((('Dvd Calendar'!$AF$1001&lt;=VAL_DATE)+(COUNTIF('Dvd Calendar'!$E$1008:$AR$1008,'Dvd Calendar'!$AF$1001)=0))&gt;0)=0,"",'Dvd Calendar'!$AF$1001*1000000000+ISNUMBER('Dvd Calendar'!$AF$1004)*100000000+('Dvd Calendar'!$AF$1006=SPECIAL_LBL)*10000000+(N('Dvd Calendar'!$AF$1000)&gt;0)*(N('Dvd Calendar'!$AF$1000)&lt;=VAL_SERIAL)*1000000+91*1000+28))</f>
        <v/>
      </c>
      <c r="FG102" s="39">
        <f>IF(N('Dvd Calendar'!$AG$1001)=0,"",IF(('Dvd Calendar'!$AG$1001&gt;=GRID_FROM)*('Dvd Calendar'!$AG$1001&lt;=GRID_TO)*((('Dvd Calendar'!$AG$1001&lt;=VAL_DATE)+(COUNTIF('Dvd Calendar'!$E$1008:$AR$1008,'Dvd Calendar'!$AG$1001)=0))&gt;0)=0,"",'Dvd Calendar'!$AG$1001*1000000000+ISNUMBER('Dvd Calendar'!$AG$1004)*100000000+('Dvd Calendar'!$AG$1006=SPECIAL_LBL)*10000000+(N('Dvd Calendar'!$AG$1000)&gt;0)*(N('Dvd Calendar'!$AG$1000)&lt;=VAL_SERIAL)*1000000+91*1000+29))</f>
        <v/>
      </c>
      <c r="FH102" s="39">
        <f>IF(N('Dvd Calendar'!$AH$1001)=0,"",IF(('Dvd Calendar'!$AH$1001&gt;=GRID_FROM)*('Dvd Calendar'!$AH$1001&lt;=GRID_TO)*((('Dvd Calendar'!$AH$1001&lt;=VAL_DATE)+(COUNTIF('Dvd Calendar'!$E$1008:$AR$1008,'Dvd Calendar'!$AH$1001)=0))&gt;0)=0,"",'Dvd Calendar'!$AH$1001*1000000000+ISNUMBER('Dvd Calendar'!$AH$1004)*100000000+('Dvd Calendar'!$AH$1006=SPECIAL_LBL)*10000000+(N('Dvd Calendar'!$AH$1000)&gt;0)*(N('Dvd Calendar'!$AH$1000)&lt;=VAL_SERIAL)*1000000+91*1000+30))</f>
        <v/>
      </c>
      <c r="FI102" s="39">
        <f>IF(N('Dvd Calendar'!$AI$1001)=0,"",IF(('Dvd Calendar'!$AI$1001&gt;=GRID_FROM)*('Dvd Calendar'!$AI$1001&lt;=GRID_TO)*((('Dvd Calendar'!$AI$1001&lt;=VAL_DATE)+(COUNTIF('Dvd Calendar'!$E$1008:$AR$1008,'Dvd Calendar'!$AI$1001)=0))&gt;0)=0,"",'Dvd Calendar'!$AI$1001*1000000000+ISNUMBER('Dvd Calendar'!$AI$1004)*100000000+('Dvd Calendar'!$AI$1006=SPECIAL_LBL)*10000000+(N('Dvd Calendar'!$AI$1000)&gt;0)*(N('Dvd Calendar'!$AI$1000)&lt;=VAL_SERIAL)*1000000+91*1000+31))</f>
        <v/>
      </c>
      <c r="FJ102" s="39">
        <f>IF(N('Dvd Calendar'!$AJ$1001)=0,"",IF(('Dvd Calendar'!$AJ$1001&gt;=GRID_FROM)*('Dvd Calendar'!$AJ$1001&lt;=GRID_TO)*((('Dvd Calendar'!$AJ$1001&lt;=VAL_DATE)+(COUNTIF('Dvd Calendar'!$E$1008:$AR$1008,'Dvd Calendar'!$AJ$1001)=0))&gt;0)=0,"",'Dvd Calendar'!$AJ$1001*1000000000+ISNUMBER('Dvd Calendar'!$AJ$1004)*100000000+('Dvd Calendar'!$AJ$1006=SPECIAL_LBL)*10000000+(N('Dvd Calendar'!$AJ$1000)&gt;0)*(N('Dvd Calendar'!$AJ$1000)&lt;=VAL_SERIAL)*1000000+91*1000+32))</f>
        <v/>
      </c>
      <c r="FK102" s="39">
        <f>IF(N('Dvd Calendar'!$AK$1001)=0,"",IF(('Dvd Calendar'!$AK$1001&gt;=GRID_FROM)*('Dvd Calendar'!$AK$1001&lt;=GRID_TO)*((('Dvd Calendar'!$AK$1001&lt;=VAL_DATE)+(COUNTIF('Dvd Calendar'!$E$1008:$AR$1008,'Dvd Calendar'!$AK$1001)=0))&gt;0)=0,"",'Dvd Calendar'!$AK$1001*1000000000+ISNUMBER('Dvd Calendar'!$AK$1004)*100000000+('Dvd Calendar'!$AK$1006=SPECIAL_LBL)*10000000+(N('Dvd Calendar'!$AK$1000)&gt;0)*(N('Dvd Calendar'!$AK$1000)&lt;=VAL_SERIAL)*1000000+91*1000+33))</f>
        <v/>
      </c>
      <c r="FL102" s="39">
        <f>IF(N('Dvd Calendar'!$AL$1001)=0,"",IF(('Dvd Calendar'!$AL$1001&gt;=GRID_FROM)*('Dvd Calendar'!$AL$1001&lt;=GRID_TO)*((('Dvd Calendar'!$AL$1001&lt;=VAL_DATE)+(COUNTIF('Dvd Calendar'!$E$1008:$AR$1008,'Dvd Calendar'!$AL$1001)=0))&gt;0)=0,"",'Dvd Calendar'!$AL$1001*1000000000+ISNUMBER('Dvd Calendar'!$AL$1004)*100000000+('Dvd Calendar'!$AL$1006=SPECIAL_LBL)*10000000+(N('Dvd Calendar'!$AL$1000)&gt;0)*(N('Dvd Calendar'!$AL$1000)&lt;=VAL_SERIAL)*1000000+91*1000+34))</f>
        <v/>
      </c>
      <c r="FM102" s="39">
        <f>IF(N('Dvd Calendar'!$AM$1001)=0,"",IF(('Dvd Calendar'!$AM$1001&gt;=GRID_FROM)*('Dvd Calendar'!$AM$1001&lt;=GRID_TO)*((('Dvd Calendar'!$AM$1001&lt;=VAL_DATE)+(COUNTIF('Dvd Calendar'!$E$1008:$AR$1008,'Dvd Calendar'!$AM$1001)=0))&gt;0)=0,"",'Dvd Calendar'!$AM$1001*1000000000+ISNUMBER('Dvd Calendar'!$AM$1004)*100000000+('Dvd Calendar'!$AM$1006=SPECIAL_LBL)*10000000+(N('Dvd Calendar'!$AM$1000)&gt;0)*(N('Dvd Calendar'!$AM$1000)&lt;=VAL_SERIAL)*1000000+91*1000+35))</f>
        <v/>
      </c>
      <c r="FN102" s="39">
        <f>IF(N('Dvd Calendar'!$AN$1001)=0,"",IF(('Dvd Calendar'!$AN$1001&gt;=GRID_FROM)*('Dvd Calendar'!$AN$1001&lt;=GRID_TO)*((('Dvd Calendar'!$AN$1001&lt;=VAL_DATE)+(COUNTIF('Dvd Calendar'!$E$1008:$AR$1008,'Dvd Calendar'!$AN$1001)=0))&gt;0)=0,"",'Dvd Calendar'!$AN$1001*1000000000+ISNUMBER('Dvd Calendar'!$AN$1004)*100000000+('Dvd Calendar'!$AN$1006=SPECIAL_LBL)*10000000+(N('Dvd Calendar'!$AN$1000)&gt;0)*(N('Dvd Calendar'!$AN$1000)&lt;=VAL_SERIAL)*1000000+91*1000+36))</f>
        <v/>
      </c>
      <c r="FO102" s="39">
        <f>IF(N('Dvd Calendar'!$AO$1001)=0,"",IF(('Dvd Calendar'!$AO$1001&gt;=GRID_FROM)*('Dvd Calendar'!$AO$1001&lt;=GRID_TO)*((('Dvd Calendar'!$AO$1001&lt;=VAL_DATE)+(COUNTIF('Dvd Calendar'!$E$1008:$AR$1008,'Dvd Calendar'!$AO$1001)=0))&gt;0)=0,"",'Dvd Calendar'!$AO$1001*1000000000+ISNUMBER('Dvd Calendar'!$AO$1004)*100000000+('Dvd Calendar'!$AO$1006=SPECIAL_LBL)*10000000+(N('Dvd Calendar'!$AO$1000)&gt;0)*(N('Dvd Calendar'!$AO$1000)&lt;=VAL_SERIAL)*1000000+91*1000+37))</f>
        <v/>
      </c>
      <c r="FP102" s="39">
        <f>IF(N('Dvd Calendar'!$AP$1001)=0,"",IF(('Dvd Calendar'!$AP$1001&gt;=GRID_FROM)*('Dvd Calendar'!$AP$1001&lt;=GRID_TO)*((('Dvd Calendar'!$AP$1001&lt;=VAL_DATE)+(COUNTIF('Dvd Calendar'!$E$1008:$AR$1008,'Dvd Calendar'!$AP$1001)=0))&gt;0)=0,"",'Dvd Calendar'!$AP$1001*1000000000+ISNUMBER('Dvd Calendar'!$AP$1004)*100000000+('Dvd Calendar'!$AP$1006=SPECIAL_LBL)*10000000+(N('Dvd Calendar'!$AP$1000)&gt;0)*(N('Dvd Calendar'!$AP$1000)&lt;=VAL_SERIAL)*1000000+91*1000+38))</f>
        <v/>
      </c>
      <c r="FQ102" s="39">
        <f>IF(N('Dvd Calendar'!$AQ$1001)=0,"",IF(('Dvd Calendar'!$AQ$1001&gt;=GRID_FROM)*('Dvd Calendar'!$AQ$1001&lt;=GRID_TO)*((('Dvd Calendar'!$AQ$1001&lt;=VAL_DATE)+(COUNTIF('Dvd Calendar'!$E$1008:$AR$1008,'Dvd Calendar'!$AQ$1001)=0))&gt;0)=0,"",'Dvd Calendar'!$AQ$1001*1000000000+ISNUMBER('Dvd Calendar'!$AQ$1004)*100000000+('Dvd Calendar'!$AQ$1006=SPECIAL_LBL)*10000000+(N('Dvd Calendar'!$AQ$1000)&gt;0)*(N('Dvd Calendar'!$AQ$1000)&lt;=VAL_SERIAL)*1000000+91*1000+39))</f>
        <v/>
      </c>
      <c r="FR102" s="39">
        <f>IF(N('Dvd Calendar'!$AR$1001)=0,"",IF(('Dvd Calendar'!$AR$1001&gt;=GRID_FROM)*('Dvd Calendar'!$AR$1001&lt;=GRID_TO)*((('Dvd Calendar'!$AR$1001&lt;=VAL_DATE)+(COUNTIF('Dvd Calendar'!$E$1008:$AR$1008,'Dvd Calendar'!$AR$1001)=0))&gt;0)=0,"",'Dvd Calendar'!$AR$1001*1000000000+ISNUMBER('Dvd Calendar'!$AR$1004)*100000000+('Dvd Calendar'!$AR$1006=SPECIAL_LBL)*10000000+(N('Dvd Calendar'!$AR$1000)&gt;0)*(N('Dvd Calendar'!$AR$1000)&lt;=VAL_SERIAL)*1000000+91*1000+40))</f>
        <v/>
      </c>
      <c r="FS102" s="39">
        <f>IF(N('Dvd Calendar'!$E$1008)=0,"",IF(('Dvd Calendar'!$E$1008&gt;=GRID_FROM)*('Dvd Calendar'!$E$1008&lt;=GRID_TO)*('Dvd Calendar'!$E$1008&gt;VAL_DATE)=0,"",'Dvd Calendar'!$E$1008*1000000000+ISNUMBER('Dvd Calendar'!$E$1009)*100000000+0*10000000+(N('Dvd Calendar'!$E$1007)&gt;0)*(N('Dvd Calendar'!$E$1007)&lt;=VAL_SERIAL)*1000000+91*1000+41))</f>
        <v/>
      </c>
      <c r="FT102" s="39">
        <f>IF(N('Dvd Calendar'!$F$1008)=0,"",IF(('Dvd Calendar'!$F$1008&gt;=GRID_FROM)*('Dvd Calendar'!$F$1008&lt;=GRID_TO)*('Dvd Calendar'!$F$1008&gt;VAL_DATE)=0,"",'Dvd Calendar'!$F$1008*1000000000+ISNUMBER('Dvd Calendar'!$F$1009)*100000000+0*10000000+(N('Dvd Calendar'!$F$1007)&gt;0)*(N('Dvd Calendar'!$F$1007)&lt;=VAL_SERIAL)*1000000+91*1000+42))</f>
        <v/>
      </c>
      <c r="FU102" s="39">
        <f>IF(N('Dvd Calendar'!$G$1008)=0,"",IF(('Dvd Calendar'!$G$1008&gt;=GRID_FROM)*('Dvd Calendar'!$G$1008&lt;=GRID_TO)*('Dvd Calendar'!$G$1008&gt;VAL_DATE)=0,"",'Dvd Calendar'!$G$1008*1000000000+ISNUMBER('Dvd Calendar'!$G$1009)*100000000+0*10000000+(N('Dvd Calendar'!$G$1007)&gt;0)*(N('Dvd Calendar'!$G$1007)&lt;=VAL_SERIAL)*1000000+91*1000+43))</f>
        <v/>
      </c>
      <c r="FV102" s="39">
        <f>IF(N('Dvd Calendar'!$H$1008)=0,"",IF(('Dvd Calendar'!$H$1008&gt;=GRID_FROM)*('Dvd Calendar'!$H$1008&lt;=GRID_TO)*('Dvd Calendar'!$H$1008&gt;VAL_DATE)=0,"",'Dvd Calendar'!$H$1008*1000000000+ISNUMBER('Dvd Calendar'!$H$1009)*100000000+0*10000000+(N('Dvd Calendar'!$H$1007)&gt;0)*(N('Dvd Calendar'!$H$1007)&lt;=VAL_SERIAL)*1000000+91*1000+44))</f>
        <v/>
      </c>
      <c r="FW102" s="39">
        <f>IF(N('Dvd Calendar'!$I$1008)=0,"",IF(('Dvd Calendar'!$I$1008&gt;=GRID_FROM)*('Dvd Calendar'!$I$1008&lt;=GRID_TO)*('Dvd Calendar'!$I$1008&gt;VAL_DATE)=0,"",'Dvd Calendar'!$I$1008*1000000000+ISNUMBER('Dvd Calendar'!$I$1009)*100000000+0*10000000+(N('Dvd Calendar'!$I$1007)&gt;0)*(N('Dvd Calendar'!$I$1007)&lt;=VAL_SERIAL)*1000000+91*1000+45))</f>
        <v/>
      </c>
      <c r="FX102" s="39">
        <f>IF(N('Dvd Calendar'!$J$1008)=0,"",IF(('Dvd Calendar'!$J$1008&gt;=GRID_FROM)*('Dvd Calendar'!$J$1008&lt;=GRID_TO)*('Dvd Calendar'!$J$1008&gt;VAL_DATE)=0,"",'Dvd Calendar'!$J$1008*1000000000+ISNUMBER('Dvd Calendar'!$J$1009)*100000000+0*10000000+(N('Dvd Calendar'!$J$1007)&gt;0)*(N('Dvd Calendar'!$J$1007)&lt;=VAL_SERIAL)*1000000+91*1000+46))</f>
        <v/>
      </c>
      <c r="FY102" s="39">
        <f>IF(N('Dvd Calendar'!$K$1008)=0,"",IF(('Dvd Calendar'!$K$1008&gt;=GRID_FROM)*('Dvd Calendar'!$K$1008&lt;=GRID_TO)*('Dvd Calendar'!$K$1008&gt;VAL_DATE)=0,"",'Dvd Calendar'!$K$1008*1000000000+ISNUMBER('Dvd Calendar'!$K$1009)*100000000+0*10000000+(N('Dvd Calendar'!$K$1007)&gt;0)*(N('Dvd Calendar'!$K$1007)&lt;=VAL_SERIAL)*1000000+91*1000+47))</f>
        <v/>
      </c>
      <c r="FZ102" s="39">
        <f>IF(N('Dvd Calendar'!$L$1008)=0,"",IF(('Dvd Calendar'!$L$1008&gt;=GRID_FROM)*('Dvd Calendar'!$L$1008&lt;=GRID_TO)*('Dvd Calendar'!$L$1008&gt;VAL_DATE)=0,"",'Dvd Calendar'!$L$1008*1000000000+ISNUMBER('Dvd Calendar'!$L$1009)*100000000+0*10000000+(N('Dvd Calendar'!$L$1007)&gt;0)*(N('Dvd Calendar'!$L$1007)&lt;=VAL_SERIAL)*1000000+91*1000+48))</f>
        <v/>
      </c>
      <c r="GA102" s="39">
        <f>IF(N('Dvd Calendar'!$M$1008)=0,"",IF(('Dvd Calendar'!$M$1008&gt;=GRID_FROM)*('Dvd Calendar'!$M$1008&lt;=GRID_TO)*('Dvd Calendar'!$M$1008&gt;VAL_DATE)=0,"",'Dvd Calendar'!$M$1008*1000000000+ISNUMBER('Dvd Calendar'!$M$1009)*100000000+0*10000000+(N('Dvd Calendar'!$M$1007)&gt;0)*(N('Dvd Calendar'!$M$1007)&lt;=VAL_SERIAL)*1000000+91*1000+49))</f>
        <v/>
      </c>
      <c r="GB102" s="39">
        <f>IF(N('Dvd Calendar'!$N$1008)=0,"",IF(('Dvd Calendar'!$N$1008&gt;=GRID_FROM)*('Dvd Calendar'!$N$1008&lt;=GRID_TO)*('Dvd Calendar'!$N$1008&gt;VAL_DATE)=0,"",'Dvd Calendar'!$N$1008*1000000000+ISNUMBER('Dvd Calendar'!$N$1009)*100000000+0*10000000+(N('Dvd Calendar'!$N$1007)&gt;0)*(N('Dvd Calendar'!$N$1007)&lt;=VAL_SERIAL)*1000000+91*1000+50))</f>
        <v/>
      </c>
      <c r="GC102" s="39">
        <f>IF(N('Dvd Calendar'!$O$1008)=0,"",IF(('Dvd Calendar'!$O$1008&gt;=GRID_FROM)*('Dvd Calendar'!$O$1008&lt;=GRID_TO)*('Dvd Calendar'!$O$1008&gt;VAL_DATE)=0,"",'Dvd Calendar'!$O$1008*1000000000+ISNUMBER('Dvd Calendar'!$O$1009)*100000000+0*10000000+(N('Dvd Calendar'!$O$1007)&gt;0)*(N('Dvd Calendar'!$O$1007)&lt;=VAL_SERIAL)*1000000+91*1000+51))</f>
        <v/>
      </c>
      <c r="GD102" s="39">
        <f>IF(N('Dvd Calendar'!$P$1008)=0,"",IF(('Dvd Calendar'!$P$1008&gt;=GRID_FROM)*('Dvd Calendar'!$P$1008&lt;=GRID_TO)*('Dvd Calendar'!$P$1008&gt;VAL_DATE)=0,"",'Dvd Calendar'!$P$1008*1000000000+ISNUMBER('Dvd Calendar'!$P$1009)*100000000+0*10000000+(N('Dvd Calendar'!$P$1007)&gt;0)*(N('Dvd Calendar'!$P$1007)&lt;=VAL_SERIAL)*1000000+91*1000+52))</f>
        <v/>
      </c>
      <c r="GE102" s="39">
        <f>IF(N('Dvd Calendar'!$Q$1008)=0,"",IF(('Dvd Calendar'!$Q$1008&gt;=GRID_FROM)*('Dvd Calendar'!$Q$1008&lt;=GRID_TO)*('Dvd Calendar'!$Q$1008&gt;VAL_DATE)=0,"",'Dvd Calendar'!$Q$1008*1000000000+ISNUMBER('Dvd Calendar'!$Q$1009)*100000000+0*10000000+(N('Dvd Calendar'!$Q$1007)&gt;0)*(N('Dvd Calendar'!$Q$1007)&lt;=VAL_SERIAL)*1000000+91*1000+53))</f>
        <v/>
      </c>
      <c r="GF102" s="39">
        <f>IF(N('Dvd Calendar'!$R$1008)=0,"",IF(('Dvd Calendar'!$R$1008&gt;=GRID_FROM)*('Dvd Calendar'!$R$1008&lt;=GRID_TO)*('Dvd Calendar'!$R$1008&gt;VAL_DATE)=0,"",'Dvd Calendar'!$R$1008*1000000000+ISNUMBER('Dvd Calendar'!$R$1009)*100000000+0*10000000+(N('Dvd Calendar'!$R$1007)&gt;0)*(N('Dvd Calendar'!$R$1007)&lt;=VAL_SERIAL)*1000000+91*1000+54))</f>
        <v/>
      </c>
      <c r="GG102" s="39">
        <f>IF(N('Dvd Calendar'!$S$1008)=0,"",IF(('Dvd Calendar'!$S$1008&gt;=GRID_FROM)*('Dvd Calendar'!$S$1008&lt;=GRID_TO)*('Dvd Calendar'!$S$1008&gt;VAL_DATE)=0,"",'Dvd Calendar'!$S$1008*1000000000+ISNUMBER('Dvd Calendar'!$S$1009)*100000000+0*10000000+(N('Dvd Calendar'!$S$1007)&gt;0)*(N('Dvd Calendar'!$S$1007)&lt;=VAL_SERIAL)*1000000+91*1000+55))</f>
        <v/>
      </c>
      <c r="GH102" s="39">
        <f>IF(N('Dvd Calendar'!$T$1008)=0,"",IF(('Dvd Calendar'!$T$1008&gt;=GRID_FROM)*('Dvd Calendar'!$T$1008&lt;=GRID_TO)*('Dvd Calendar'!$T$1008&gt;VAL_DATE)=0,"",'Dvd Calendar'!$T$1008*1000000000+ISNUMBER('Dvd Calendar'!$T$1009)*100000000+0*10000000+(N('Dvd Calendar'!$T$1007)&gt;0)*(N('Dvd Calendar'!$T$1007)&lt;=VAL_SERIAL)*1000000+91*1000+56))</f>
        <v/>
      </c>
      <c r="GI102" s="39">
        <f>IF(N('Dvd Calendar'!$U$1008)=0,"",IF(('Dvd Calendar'!$U$1008&gt;=GRID_FROM)*('Dvd Calendar'!$U$1008&lt;=GRID_TO)*('Dvd Calendar'!$U$1008&gt;VAL_DATE)=0,"",'Dvd Calendar'!$U$1008*1000000000+ISNUMBER('Dvd Calendar'!$U$1009)*100000000+0*10000000+(N('Dvd Calendar'!$U$1007)&gt;0)*(N('Dvd Calendar'!$U$1007)&lt;=VAL_SERIAL)*1000000+91*1000+57))</f>
        <v/>
      </c>
      <c r="GJ102" s="39">
        <f>IF(N('Dvd Calendar'!$V$1008)=0,"",IF(('Dvd Calendar'!$V$1008&gt;=GRID_FROM)*('Dvd Calendar'!$V$1008&lt;=GRID_TO)*('Dvd Calendar'!$V$1008&gt;VAL_DATE)=0,"",'Dvd Calendar'!$V$1008*1000000000+ISNUMBER('Dvd Calendar'!$V$1009)*100000000+0*10000000+(N('Dvd Calendar'!$V$1007)&gt;0)*(N('Dvd Calendar'!$V$1007)&lt;=VAL_SERIAL)*1000000+91*1000+58))</f>
        <v/>
      </c>
      <c r="GK102" s="39">
        <f>IF(N('Dvd Calendar'!$W$1008)=0,"",IF(('Dvd Calendar'!$W$1008&gt;=GRID_FROM)*('Dvd Calendar'!$W$1008&lt;=GRID_TO)*('Dvd Calendar'!$W$1008&gt;VAL_DATE)=0,"",'Dvd Calendar'!$W$1008*1000000000+ISNUMBER('Dvd Calendar'!$W$1009)*100000000+0*10000000+(N('Dvd Calendar'!$W$1007)&gt;0)*(N('Dvd Calendar'!$W$1007)&lt;=VAL_SERIAL)*1000000+91*1000+59))</f>
        <v/>
      </c>
      <c r="GL102" s="39">
        <f>IF(N('Dvd Calendar'!$X$1008)=0,"",IF(('Dvd Calendar'!$X$1008&gt;=GRID_FROM)*('Dvd Calendar'!$X$1008&lt;=GRID_TO)*('Dvd Calendar'!$X$1008&gt;VAL_DATE)=0,"",'Dvd Calendar'!$X$1008*1000000000+ISNUMBER('Dvd Calendar'!$X$1009)*100000000+0*10000000+(N('Dvd Calendar'!$X$1007)&gt;0)*(N('Dvd Calendar'!$X$1007)&lt;=VAL_SERIAL)*1000000+91*1000+60))</f>
        <v/>
      </c>
      <c r="GM102" s="39">
        <f>IF(N('Dvd Calendar'!$Y$1008)=0,"",IF(('Dvd Calendar'!$Y$1008&gt;=GRID_FROM)*('Dvd Calendar'!$Y$1008&lt;=GRID_TO)*('Dvd Calendar'!$Y$1008&gt;VAL_DATE)=0,"",'Dvd Calendar'!$Y$1008*1000000000+ISNUMBER('Dvd Calendar'!$Y$1009)*100000000+0*10000000+(N('Dvd Calendar'!$Y$1007)&gt;0)*(N('Dvd Calendar'!$Y$1007)&lt;=VAL_SERIAL)*1000000+91*1000+61))</f>
        <v/>
      </c>
      <c r="GN102" s="39">
        <f>IF(N('Dvd Calendar'!$Z$1008)=0,"",IF(('Dvd Calendar'!$Z$1008&gt;=GRID_FROM)*('Dvd Calendar'!$Z$1008&lt;=GRID_TO)*('Dvd Calendar'!$Z$1008&gt;VAL_DATE)=0,"",'Dvd Calendar'!$Z$1008*1000000000+ISNUMBER('Dvd Calendar'!$Z$1009)*100000000+0*10000000+(N('Dvd Calendar'!$Z$1007)&gt;0)*(N('Dvd Calendar'!$Z$1007)&lt;=VAL_SERIAL)*1000000+91*1000+62))</f>
        <v/>
      </c>
      <c r="GO102" s="39">
        <f>IF(N('Dvd Calendar'!$AA$1008)=0,"",IF(('Dvd Calendar'!$AA$1008&gt;=GRID_FROM)*('Dvd Calendar'!$AA$1008&lt;=GRID_TO)*('Dvd Calendar'!$AA$1008&gt;VAL_DATE)=0,"",'Dvd Calendar'!$AA$1008*1000000000+ISNUMBER('Dvd Calendar'!$AA$1009)*100000000+0*10000000+(N('Dvd Calendar'!$AA$1007)&gt;0)*(N('Dvd Calendar'!$AA$1007)&lt;=VAL_SERIAL)*1000000+91*1000+63))</f>
        <v/>
      </c>
      <c r="GP102" s="39">
        <f>IF(N('Dvd Calendar'!$AB$1008)=0,"",IF(('Dvd Calendar'!$AB$1008&gt;=GRID_FROM)*('Dvd Calendar'!$AB$1008&lt;=GRID_TO)*('Dvd Calendar'!$AB$1008&gt;VAL_DATE)=0,"",'Dvd Calendar'!$AB$1008*1000000000+ISNUMBER('Dvd Calendar'!$AB$1009)*100000000+0*10000000+(N('Dvd Calendar'!$AB$1007)&gt;0)*(N('Dvd Calendar'!$AB$1007)&lt;=VAL_SERIAL)*1000000+91*1000+64))</f>
        <v/>
      </c>
      <c r="GQ102" s="39">
        <f>IF(N('Dvd Calendar'!$AC$1008)=0,"",IF(('Dvd Calendar'!$AC$1008&gt;=GRID_FROM)*('Dvd Calendar'!$AC$1008&lt;=GRID_TO)*('Dvd Calendar'!$AC$1008&gt;VAL_DATE)=0,"",'Dvd Calendar'!$AC$1008*1000000000+ISNUMBER('Dvd Calendar'!$AC$1009)*100000000+0*10000000+(N('Dvd Calendar'!$AC$1007)&gt;0)*(N('Dvd Calendar'!$AC$1007)&lt;=VAL_SERIAL)*1000000+91*1000+65))</f>
        <v/>
      </c>
    </row>
    <row r="103">
      <c r="B103" s="2">
        <f>IF(HSI!$C$98="","",HSI!$C$98)</f>
        <v/>
      </c>
      <c r="C103" s="110">
        <f>IF(EE103="","",IF(ISNUMBER('Dvd Calendar'!$E$1015)=FALSE,"",IF((('Dvd Calendar'!$E$1017=TYPE1)*(TYPE1&lt;&gt;"")+('Dvd Calendar'!$E$1017=TYPE2)*(TYPE2&lt;&gt;"")+('Dvd Calendar'!$E$1017=TYPE3)*(TYPE3&lt;&gt;"")+('Dvd Calendar'!$E$1017=TYPE4)*(TYPE4&lt;&gt;"")+('Dvd Calendar'!$E$1017=SPECIAL_LBL)*(INC_SPECIALS="Y"))=0,"",'Dvd Calendar'!$E$1015)))</f>
        <v/>
      </c>
      <c r="D103" s="110">
        <f>IF(EF103="","",IF(ISNUMBER('Dvd Calendar'!$F$1015)=FALSE,"",IF((('Dvd Calendar'!$F$1017=TYPE1)*(TYPE1&lt;&gt;"")+('Dvd Calendar'!$F$1017=TYPE2)*(TYPE2&lt;&gt;"")+('Dvd Calendar'!$F$1017=TYPE3)*(TYPE3&lt;&gt;"")+('Dvd Calendar'!$F$1017=TYPE4)*(TYPE4&lt;&gt;"")+('Dvd Calendar'!$F$1017=SPECIAL_LBL)*(INC_SPECIALS="Y"))=0,"",'Dvd Calendar'!$F$1015)))</f>
        <v/>
      </c>
      <c r="E103" s="110">
        <f>IF(EG103="","",IF(ISNUMBER('Dvd Calendar'!$G$1015)=FALSE,"",IF((('Dvd Calendar'!$G$1017=TYPE1)*(TYPE1&lt;&gt;"")+('Dvd Calendar'!$G$1017=TYPE2)*(TYPE2&lt;&gt;"")+('Dvd Calendar'!$G$1017=TYPE3)*(TYPE3&lt;&gt;"")+('Dvd Calendar'!$G$1017=TYPE4)*(TYPE4&lt;&gt;"")+('Dvd Calendar'!$G$1017=SPECIAL_LBL)*(INC_SPECIALS="Y"))=0,"",'Dvd Calendar'!$G$1015)))</f>
        <v/>
      </c>
      <c r="F103" s="110">
        <f>IF(EH103="","",IF(ISNUMBER('Dvd Calendar'!$H$1015)=FALSE,"",IF((('Dvd Calendar'!$H$1017=TYPE1)*(TYPE1&lt;&gt;"")+('Dvd Calendar'!$H$1017=TYPE2)*(TYPE2&lt;&gt;"")+('Dvd Calendar'!$H$1017=TYPE3)*(TYPE3&lt;&gt;"")+('Dvd Calendar'!$H$1017=TYPE4)*(TYPE4&lt;&gt;"")+('Dvd Calendar'!$H$1017=SPECIAL_LBL)*(INC_SPECIALS="Y"))=0,"",'Dvd Calendar'!$H$1015)))</f>
        <v/>
      </c>
      <c r="G103" s="110">
        <f>IF(EI103="","",IF(ISNUMBER('Dvd Calendar'!$I$1015)=FALSE,"",IF((('Dvd Calendar'!$I$1017=TYPE1)*(TYPE1&lt;&gt;"")+('Dvd Calendar'!$I$1017=TYPE2)*(TYPE2&lt;&gt;"")+('Dvd Calendar'!$I$1017=TYPE3)*(TYPE3&lt;&gt;"")+('Dvd Calendar'!$I$1017=TYPE4)*(TYPE4&lt;&gt;"")+('Dvd Calendar'!$I$1017=SPECIAL_LBL)*(INC_SPECIALS="Y"))=0,"",'Dvd Calendar'!$I$1015)))</f>
        <v/>
      </c>
      <c r="H103" s="110">
        <f>IF(EJ103="","",IF(ISNUMBER('Dvd Calendar'!$J$1015)=FALSE,"",IF((('Dvd Calendar'!$J$1017=TYPE1)*(TYPE1&lt;&gt;"")+('Dvd Calendar'!$J$1017=TYPE2)*(TYPE2&lt;&gt;"")+('Dvd Calendar'!$J$1017=TYPE3)*(TYPE3&lt;&gt;"")+('Dvd Calendar'!$J$1017=TYPE4)*(TYPE4&lt;&gt;"")+('Dvd Calendar'!$J$1017=SPECIAL_LBL)*(INC_SPECIALS="Y"))=0,"",'Dvd Calendar'!$J$1015)))</f>
        <v/>
      </c>
      <c r="I103" s="110">
        <f>IF(EK103="","",IF(ISNUMBER('Dvd Calendar'!$K$1015)=FALSE,"",IF((('Dvd Calendar'!$K$1017=TYPE1)*(TYPE1&lt;&gt;"")+('Dvd Calendar'!$K$1017=TYPE2)*(TYPE2&lt;&gt;"")+('Dvd Calendar'!$K$1017=TYPE3)*(TYPE3&lt;&gt;"")+('Dvd Calendar'!$K$1017=TYPE4)*(TYPE4&lt;&gt;"")+('Dvd Calendar'!$K$1017=SPECIAL_LBL)*(INC_SPECIALS="Y"))=0,"",'Dvd Calendar'!$K$1015)))</f>
        <v/>
      </c>
      <c r="J103" s="110">
        <f>IF(EL103="","",IF(ISNUMBER('Dvd Calendar'!$L$1015)=FALSE,"",IF((('Dvd Calendar'!$L$1017=TYPE1)*(TYPE1&lt;&gt;"")+('Dvd Calendar'!$L$1017=TYPE2)*(TYPE2&lt;&gt;"")+('Dvd Calendar'!$L$1017=TYPE3)*(TYPE3&lt;&gt;"")+('Dvd Calendar'!$L$1017=TYPE4)*(TYPE4&lt;&gt;"")+('Dvd Calendar'!$L$1017=SPECIAL_LBL)*(INC_SPECIALS="Y"))=0,"",'Dvd Calendar'!$L$1015)))</f>
        <v/>
      </c>
      <c r="K103" s="110">
        <f>IF(EM103="","",IF(ISNUMBER('Dvd Calendar'!$M$1015)=FALSE,"",IF((('Dvd Calendar'!$M$1017=TYPE1)*(TYPE1&lt;&gt;"")+('Dvd Calendar'!$M$1017=TYPE2)*(TYPE2&lt;&gt;"")+('Dvd Calendar'!$M$1017=TYPE3)*(TYPE3&lt;&gt;"")+('Dvd Calendar'!$M$1017=TYPE4)*(TYPE4&lt;&gt;"")+('Dvd Calendar'!$M$1017=SPECIAL_LBL)*(INC_SPECIALS="Y"))=0,"",'Dvd Calendar'!$M$1015)))</f>
        <v/>
      </c>
      <c r="L103" s="110">
        <f>IF(EN103="","",IF(ISNUMBER('Dvd Calendar'!$N$1015)=FALSE,"",IF((('Dvd Calendar'!$N$1017=TYPE1)*(TYPE1&lt;&gt;"")+('Dvd Calendar'!$N$1017=TYPE2)*(TYPE2&lt;&gt;"")+('Dvd Calendar'!$N$1017=TYPE3)*(TYPE3&lt;&gt;"")+('Dvd Calendar'!$N$1017=TYPE4)*(TYPE4&lt;&gt;"")+('Dvd Calendar'!$N$1017=SPECIAL_LBL)*(INC_SPECIALS="Y"))=0,"",'Dvd Calendar'!$N$1015)))</f>
        <v/>
      </c>
      <c r="M103" s="110">
        <f>IF(EO103="","",IF(ISNUMBER('Dvd Calendar'!$O$1015)=FALSE,"",IF((('Dvd Calendar'!$O$1017=TYPE1)*(TYPE1&lt;&gt;"")+('Dvd Calendar'!$O$1017=TYPE2)*(TYPE2&lt;&gt;"")+('Dvd Calendar'!$O$1017=TYPE3)*(TYPE3&lt;&gt;"")+('Dvd Calendar'!$O$1017=TYPE4)*(TYPE4&lt;&gt;"")+('Dvd Calendar'!$O$1017=SPECIAL_LBL)*(INC_SPECIALS="Y"))=0,"",'Dvd Calendar'!$O$1015)))</f>
        <v/>
      </c>
      <c r="N103" s="110">
        <f>IF(EP103="","",IF(ISNUMBER('Dvd Calendar'!$P$1015)=FALSE,"",IF((('Dvd Calendar'!$P$1017=TYPE1)*(TYPE1&lt;&gt;"")+('Dvd Calendar'!$P$1017=TYPE2)*(TYPE2&lt;&gt;"")+('Dvd Calendar'!$P$1017=TYPE3)*(TYPE3&lt;&gt;"")+('Dvd Calendar'!$P$1017=TYPE4)*(TYPE4&lt;&gt;"")+('Dvd Calendar'!$P$1017=SPECIAL_LBL)*(INC_SPECIALS="Y"))=0,"",'Dvd Calendar'!$P$1015)))</f>
        <v/>
      </c>
      <c r="O103" s="110">
        <f>IF(EQ103="","",IF(ISNUMBER('Dvd Calendar'!$Q$1015)=FALSE,"",IF((('Dvd Calendar'!$Q$1017=TYPE1)*(TYPE1&lt;&gt;"")+('Dvd Calendar'!$Q$1017=TYPE2)*(TYPE2&lt;&gt;"")+('Dvd Calendar'!$Q$1017=TYPE3)*(TYPE3&lt;&gt;"")+('Dvd Calendar'!$Q$1017=TYPE4)*(TYPE4&lt;&gt;"")+('Dvd Calendar'!$Q$1017=SPECIAL_LBL)*(INC_SPECIALS="Y"))=0,"",'Dvd Calendar'!$Q$1015)))</f>
        <v/>
      </c>
      <c r="P103" s="110">
        <f>IF(ER103="","",IF(ISNUMBER('Dvd Calendar'!$R$1015)=FALSE,"",IF((('Dvd Calendar'!$R$1017=TYPE1)*(TYPE1&lt;&gt;"")+('Dvd Calendar'!$R$1017=TYPE2)*(TYPE2&lt;&gt;"")+('Dvd Calendar'!$R$1017=TYPE3)*(TYPE3&lt;&gt;"")+('Dvd Calendar'!$R$1017=TYPE4)*(TYPE4&lt;&gt;"")+('Dvd Calendar'!$R$1017=SPECIAL_LBL)*(INC_SPECIALS="Y"))=0,"",'Dvd Calendar'!$R$1015)))</f>
        <v/>
      </c>
      <c r="Q103" s="110">
        <f>IF(ES103="","",IF(ISNUMBER('Dvd Calendar'!$S$1015)=FALSE,"",IF((('Dvd Calendar'!$S$1017=TYPE1)*(TYPE1&lt;&gt;"")+('Dvd Calendar'!$S$1017=TYPE2)*(TYPE2&lt;&gt;"")+('Dvd Calendar'!$S$1017=TYPE3)*(TYPE3&lt;&gt;"")+('Dvd Calendar'!$S$1017=TYPE4)*(TYPE4&lt;&gt;"")+('Dvd Calendar'!$S$1017=SPECIAL_LBL)*(INC_SPECIALS="Y"))=0,"",'Dvd Calendar'!$S$1015)))</f>
        <v/>
      </c>
      <c r="R103" s="110">
        <f>IF(ET103="","",IF(ISNUMBER('Dvd Calendar'!$T$1015)=FALSE,"",IF((('Dvd Calendar'!$T$1017=TYPE1)*(TYPE1&lt;&gt;"")+('Dvd Calendar'!$T$1017=TYPE2)*(TYPE2&lt;&gt;"")+('Dvd Calendar'!$T$1017=TYPE3)*(TYPE3&lt;&gt;"")+('Dvd Calendar'!$T$1017=TYPE4)*(TYPE4&lt;&gt;"")+('Dvd Calendar'!$T$1017=SPECIAL_LBL)*(INC_SPECIALS="Y"))=0,"",'Dvd Calendar'!$T$1015)))</f>
        <v/>
      </c>
      <c r="S103" s="110">
        <f>IF(EU103="","",IF(ISNUMBER('Dvd Calendar'!$U$1015)=FALSE,"",IF((('Dvd Calendar'!$U$1017=TYPE1)*(TYPE1&lt;&gt;"")+('Dvd Calendar'!$U$1017=TYPE2)*(TYPE2&lt;&gt;"")+('Dvd Calendar'!$U$1017=TYPE3)*(TYPE3&lt;&gt;"")+('Dvd Calendar'!$U$1017=TYPE4)*(TYPE4&lt;&gt;"")+('Dvd Calendar'!$U$1017=SPECIAL_LBL)*(INC_SPECIALS="Y"))=0,"",'Dvd Calendar'!$U$1015)))</f>
        <v/>
      </c>
      <c r="T103" s="110">
        <f>IF(EV103="","",IF(ISNUMBER('Dvd Calendar'!$V$1015)=FALSE,"",IF((('Dvd Calendar'!$V$1017=TYPE1)*(TYPE1&lt;&gt;"")+('Dvd Calendar'!$V$1017=TYPE2)*(TYPE2&lt;&gt;"")+('Dvd Calendar'!$V$1017=TYPE3)*(TYPE3&lt;&gt;"")+('Dvd Calendar'!$V$1017=TYPE4)*(TYPE4&lt;&gt;"")+('Dvd Calendar'!$V$1017=SPECIAL_LBL)*(INC_SPECIALS="Y"))=0,"",'Dvd Calendar'!$V$1015)))</f>
        <v/>
      </c>
      <c r="U103" s="110">
        <f>IF(EW103="","",IF(ISNUMBER('Dvd Calendar'!$W$1015)=FALSE,"",IF((('Dvd Calendar'!$W$1017=TYPE1)*(TYPE1&lt;&gt;"")+('Dvd Calendar'!$W$1017=TYPE2)*(TYPE2&lt;&gt;"")+('Dvd Calendar'!$W$1017=TYPE3)*(TYPE3&lt;&gt;"")+('Dvd Calendar'!$W$1017=TYPE4)*(TYPE4&lt;&gt;"")+('Dvd Calendar'!$W$1017=SPECIAL_LBL)*(INC_SPECIALS="Y"))=0,"",'Dvd Calendar'!$W$1015)))</f>
        <v/>
      </c>
      <c r="V103" s="110">
        <f>IF(EX103="","",IF(ISNUMBER('Dvd Calendar'!$X$1015)=FALSE,"",IF((('Dvd Calendar'!$X$1017=TYPE1)*(TYPE1&lt;&gt;"")+('Dvd Calendar'!$X$1017=TYPE2)*(TYPE2&lt;&gt;"")+('Dvd Calendar'!$X$1017=TYPE3)*(TYPE3&lt;&gt;"")+('Dvd Calendar'!$X$1017=TYPE4)*(TYPE4&lt;&gt;"")+('Dvd Calendar'!$X$1017=SPECIAL_LBL)*(INC_SPECIALS="Y"))=0,"",'Dvd Calendar'!$X$1015)))</f>
        <v/>
      </c>
      <c r="W103" s="110">
        <f>IF(EY103="","",IF(ISNUMBER('Dvd Calendar'!$Y$1015)=FALSE,"",IF((('Dvd Calendar'!$Y$1017=TYPE1)*(TYPE1&lt;&gt;"")+('Dvd Calendar'!$Y$1017=TYPE2)*(TYPE2&lt;&gt;"")+('Dvd Calendar'!$Y$1017=TYPE3)*(TYPE3&lt;&gt;"")+('Dvd Calendar'!$Y$1017=TYPE4)*(TYPE4&lt;&gt;"")+('Dvd Calendar'!$Y$1017=SPECIAL_LBL)*(INC_SPECIALS="Y"))=0,"",'Dvd Calendar'!$Y$1015)))</f>
        <v/>
      </c>
      <c r="X103" s="110">
        <f>IF(EZ103="","",IF(ISNUMBER('Dvd Calendar'!$Z$1015)=FALSE,"",IF((('Dvd Calendar'!$Z$1017=TYPE1)*(TYPE1&lt;&gt;"")+('Dvd Calendar'!$Z$1017=TYPE2)*(TYPE2&lt;&gt;"")+('Dvd Calendar'!$Z$1017=TYPE3)*(TYPE3&lt;&gt;"")+('Dvd Calendar'!$Z$1017=TYPE4)*(TYPE4&lt;&gt;"")+('Dvd Calendar'!$Z$1017=SPECIAL_LBL)*(INC_SPECIALS="Y"))=0,"",'Dvd Calendar'!$Z$1015)))</f>
        <v/>
      </c>
      <c r="Y103" s="110">
        <f>IF(FA103="","",IF(ISNUMBER('Dvd Calendar'!$AA$1015)=FALSE,"",IF((('Dvd Calendar'!$AA$1017=TYPE1)*(TYPE1&lt;&gt;"")+('Dvd Calendar'!$AA$1017=TYPE2)*(TYPE2&lt;&gt;"")+('Dvd Calendar'!$AA$1017=TYPE3)*(TYPE3&lt;&gt;"")+('Dvd Calendar'!$AA$1017=TYPE4)*(TYPE4&lt;&gt;"")+('Dvd Calendar'!$AA$1017=SPECIAL_LBL)*(INC_SPECIALS="Y"))=0,"",'Dvd Calendar'!$AA$1015)))</f>
        <v/>
      </c>
      <c r="Z103" s="110">
        <f>IF(FB103="","",IF(ISNUMBER('Dvd Calendar'!$AB$1015)=FALSE,"",IF((('Dvd Calendar'!$AB$1017=TYPE1)*(TYPE1&lt;&gt;"")+('Dvd Calendar'!$AB$1017=TYPE2)*(TYPE2&lt;&gt;"")+('Dvd Calendar'!$AB$1017=TYPE3)*(TYPE3&lt;&gt;"")+('Dvd Calendar'!$AB$1017=TYPE4)*(TYPE4&lt;&gt;"")+('Dvd Calendar'!$AB$1017=SPECIAL_LBL)*(INC_SPECIALS="Y"))=0,"",'Dvd Calendar'!$AB$1015)))</f>
        <v/>
      </c>
      <c r="AA103" s="110">
        <f>IF(FC103="","",IF(ISNUMBER('Dvd Calendar'!$AC$1015)=FALSE,"",IF((('Dvd Calendar'!$AC$1017=TYPE1)*(TYPE1&lt;&gt;"")+('Dvd Calendar'!$AC$1017=TYPE2)*(TYPE2&lt;&gt;"")+('Dvd Calendar'!$AC$1017=TYPE3)*(TYPE3&lt;&gt;"")+('Dvd Calendar'!$AC$1017=TYPE4)*(TYPE4&lt;&gt;"")+('Dvd Calendar'!$AC$1017=SPECIAL_LBL)*(INC_SPECIALS="Y"))=0,"",'Dvd Calendar'!$AC$1015)))</f>
        <v/>
      </c>
      <c r="AB103" s="110">
        <f>IF(FD103="","",IF(ISNUMBER('Dvd Calendar'!$AD$1015)=FALSE,"",IF((('Dvd Calendar'!$AD$1017=TYPE1)*(TYPE1&lt;&gt;"")+('Dvd Calendar'!$AD$1017=TYPE2)*(TYPE2&lt;&gt;"")+('Dvd Calendar'!$AD$1017=TYPE3)*(TYPE3&lt;&gt;"")+('Dvd Calendar'!$AD$1017=TYPE4)*(TYPE4&lt;&gt;"")+('Dvd Calendar'!$AD$1017=SPECIAL_LBL)*(INC_SPECIALS="Y"))=0,"",'Dvd Calendar'!$AD$1015)))</f>
        <v/>
      </c>
      <c r="AC103" s="110">
        <f>IF(FE103="","",IF(ISNUMBER('Dvd Calendar'!$AE$1015)=FALSE,"",IF((('Dvd Calendar'!$AE$1017=TYPE1)*(TYPE1&lt;&gt;"")+('Dvd Calendar'!$AE$1017=TYPE2)*(TYPE2&lt;&gt;"")+('Dvd Calendar'!$AE$1017=TYPE3)*(TYPE3&lt;&gt;"")+('Dvd Calendar'!$AE$1017=TYPE4)*(TYPE4&lt;&gt;"")+('Dvd Calendar'!$AE$1017=SPECIAL_LBL)*(INC_SPECIALS="Y"))=0,"",'Dvd Calendar'!$AE$1015)))</f>
        <v/>
      </c>
      <c r="AD103" s="110">
        <f>IF(FF103="","",IF(ISNUMBER('Dvd Calendar'!$AF$1015)=FALSE,"",IF((('Dvd Calendar'!$AF$1017=TYPE1)*(TYPE1&lt;&gt;"")+('Dvd Calendar'!$AF$1017=TYPE2)*(TYPE2&lt;&gt;"")+('Dvd Calendar'!$AF$1017=TYPE3)*(TYPE3&lt;&gt;"")+('Dvd Calendar'!$AF$1017=TYPE4)*(TYPE4&lt;&gt;"")+('Dvd Calendar'!$AF$1017=SPECIAL_LBL)*(INC_SPECIALS="Y"))=0,"",'Dvd Calendar'!$AF$1015)))</f>
        <v/>
      </c>
      <c r="AE103" s="110">
        <f>IF(FG103="","",IF(ISNUMBER('Dvd Calendar'!$AG$1015)=FALSE,"",IF((('Dvd Calendar'!$AG$1017=TYPE1)*(TYPE1&lt;&gt;"")+('Dvd Calendar'!$AG$1017=TYPE2)*(TYPE2&lt;&gt;"")+('Dvd Calendar'!$AG$1017=TYPE3)*(TYPE3&lt;&gt;"")+('Dvd Calendar'!$AG$1017=TYPE4)*(TYPE4&lt;&gt;"")+('Dvd Calendar'!$AG$1017=SPECIAL_LBL)*(INC_SPECIALS="Y"))=0,"",'Dvd Calendar'!$AG$1015)))</f>
        <v/>
      </c>
      <c r="AF103" s="110">
        <f>IF(FH103="","",IF(ISNUMBER('Dvd Calendar'!$AH$1015)=FALSE,"",IF((('Dvd Calendar'!$AH$1017=TYPE1)*(TYPE1&lt;&gt;"")+('Dvd Calendar'!$AH$1017=TYPE2)*(TYPE2&lt;&gt;"")+('Dvd Calendar'!$AH$1017=TYPE3)*(TYPE3&lt;&gt;"")+('Dvd Calendar'!$AH$1017=TYPE4)*(TYPE4&lt;&gt;"")+('Dvd Calendar'!$AH$1017=SPECIAL_LBL)*(INC_SPECIALS="Y"))=0,"",'Dvd Calendar'!$AH$1015)))</f>
        <v/>
      </c>
      <c r="AG103" s="110">
        <f>IF(FI103="","",IF(ISNUMBER('Dvd Calendar'!$AI$1015)=FALSE,"",IF((('Dvd Calendar'!$AI$1017=TYPE1)*(TYPE1&lt;&gt;"")+('Dvd Calendar'!$AI$1017=TYPE2)*(TYPE2&lt;&gt;"")+('Dvd Calendar'!$AI$1017=TYPE3)*(TYPE3&lt;&gt;"")+('Dvd Calendar'!$AI$1017=TYPE4)*(TYPE4&lt;&gt;"")+('Dvd Calendar'!$AI$1017=SPECIAL_LBL)*(INC_SPECIALS="Y"))=0,"",'Dvd Calendar'!$AI$1015)))</f>
        <v/>
      </c>
      <c r="AH103" s="110">
        <f>IF(FJ103="","",IF(ISNUMBER('Dvd Calendar'!$AJ$1015)=FALSE,"",IF((('Dvd Calendar'!$AJ$1017=TYPE1)*(TYPE1&lt;&gt;"")+('Dvd Calendar'!$AJ$1017=TYPE2)*(TYPE2&lt;&gt;"")+('Dvd Calendar'!$AJ$1017=TYPE3)*(TYPE3&lt;&gt;"")+('Dvd Calendar'!$AJ$1017=TYPE4)*(TYPE4&lt;&gt;"")+('Dvd Calendar'!$AJ$1017=SPECIAL_LBL)*(INC_SPECIALS="Y"))=0,"",'Dvd Calendar'!$AJ$1015)))</f>
        <v/>
      </c>
      <c r="AI103" s="110">
        <f>IF(FK103="","",IF(ISNUMBER('Dvd Calendar'!$AK$1015)=FALSE,"",IF((('Dvd Calendar'!$AK$1017=TYPE1)*(TYPE1&lt;&gt;"")+('Dvd Calendar'!$AK$1017=TYPE2)*(TYPE2&lt;&gt;"")+('Dvd Calendar'!$AK$1017=TYPE3)*(TYPE3&lt;&gt;"")+('Dvd Calendar'!$AK$1017=TYPE4)*(TYPE4&lt;&gt;"")+('Dvd Calendar'!$AK$1017=SPECIAL_LBL)*(INC_SPECIALS="Y"))=0,"",'Dvd Calendar'!$AK$1015)))</f>
        <v/>
      </c>
      <c r="AJ103" s="110">
        <f>IF(FL103="","",IF(ISNUMBER('Dvd Calendar'!$AL$1015)=FALSE,"",IF((('Dvd Calendar'!$AL$1017=TYPE1)*(TYPE1&lt;&gt;"")+('Dvd Calendar'!$AL$1017=TYPE2)*(TYPE2&lt;&gt;"")+('Dvd Calendar'!$AL$1017=TYPE3)*(TYPE3&lt;&gt;"")+('Dvd Calendar'!$AL$1017=TYPE4)*(TYPE4&lt;&gt;"")+('Dvd Calendar'!$AL$1017=SPECIAL_LBL)*(INC_SPECIALS="Y"))=0,"",'Dvd Calendar'!$AL$1015)))</f>
        <v/>
      </c>
      <c r="AK103" s="110">
        <f>IF(FM103="","",IF(ISNUMBER('Dvd Calendar'!$AM$1015)=FALSE,"",IF((('Dvd Calendar'!$AM$1017=TYPE1)*(TYPE1&lt;&gt;"")+('Dvd Calendar'!$AM$1017=TYPE2)*(TYPE2&lt;&gt;"")+('Dvd Calendar'!$AM$1017=TYPE3)*(TYPE3&lt;&gt;"")+('Dvd Calendar'!$AM$1017=TYPE4)*(TYPE4&lt;&gt;"")+('Dvd Calendar'!$AM$1017=SPECIAL_LBL)*(INC_SPECIALS="Y"))=0,"",'Dvd Calendar'!$AM$1015)))</f>
        <v/>
      </c>
      <c r="AL103" s="110">
        <f>IF(FN103="","",IF(ISNUMBER('Dvd Calendar'!$AN$1015)=FALSE,"",IF((('Dvd Calendar'!$AN$1017=TYPE1)*(TYPE1&lt;&gt;"")+('Dvd Calendar'!$AN$1017=TYPE2)*(TYPE2&lt;&gt;"")+('Dvd Calendar'!$AN$1017=TYPE3)*(TYPE3&lt;&gt;"")+('Dvd Calendar'!$AN$1017=TYPE4)*(TYPE4&lt;&gt;"")+('Dvd Calendar'!$AN$1017=SPECIAL_LBL)*(INC_SPECIALS="Y"))=0,"",'Dvd Calendar'!$AN$1015)))</f>
        <v/>
      </c>
      <c r="AM103" s="110">
        <f>IF(FO103="","",IF(ISNUMBER('Dvd Calendar'!$AO$1015)=FALSE,"",IF((('Dvd Calendar'!$AO$1017=TYPE1)*(TYPE1&lt;&gt;"")+('Dvd Calendar'!$AO$1017=TYPE2)*(TYPE2&lt;&gt;"")+('Dvd Calendar'!$AO$1017=TYPE3)*(TYPE3&lt;&gt;"")+('Dvd Calendar'!$AO$1017=TYPE4)*(TYPE4&lt;&gt;"")+('Dvd Calendar'!$AO$1017=SPECIAL_LBL)*(INC_SPECIALS="Y"))=0,"",'Dvd Calendar'!$AO$1015)))</f>
        <v/>
      </c>
      <c r="AN103" s="110">
        <f>IF(FP103="","",IF(ISNUMBER('Dvd Calendar'!$AP$1015)=FALSE,"",IF((('Dvd Calendar'!$AP$1017=TYPE1)*(TYPE1&lt;&gt;"")+('Dvd Calendar'!$AP$1017=TYPE2)*(TYPE2&lt;&gt;"")+('Dvd Calendar'!$AP$1017=TYPE3)*(TYPE3&lt;&gt;"")+('Dvd Calendar'!$AP$1017=TYPE4)*(TYPE4&lt;&gt;"")+('Dvd Calendar'!$AP$1017=SPECIAL_LBL)*(INC_SPECIALS="Y"))=0,"",'Dvd Calendar'!$AP$1015)))</f>
        <v/>
      </c>
      <c r="AO103" s="110">
        <f>IF(FQ103="","",IF(ISNUMBER('Dvd Calendar'!$AQ$1015)=FALSE,"",IF((('Dvd Calendar'!$AQ$1017=TYPE1)*(TYPE1&lt;&gt;"")+('Dvd Calendar'!$AQ$1017=TYPE2)*(TYPE2&lt;&gt;"")+('Dvd Calendar'!$AQ$1017=TYPE3)*(TYPE3&lt;&gt;"")+('Dvd Calendar'!$AQ$1017=TYPE4)*(TYPE4&lt;&gt;"")+('Dvd Calendar'!$AQ$1017=SPECIAL_LBL)*(INC_SPECIALS="Y"))=0,"",'Dvd Calendar'!$AQ$1015)))</f>
        <v/>
      </c>
      <c r="AP103" s="110">
        <f>IF(FR103="","",IF(ISNUMBER('Dvd Calendar'!$AR$1015)=FALSE,"",IF((('Dvd Calendar'!$AR$1017=TYPE1)*(TYPE1&lt;&gt;"")+('Dvd Calendar'!$AR$1017=TYPE2)*(TYPE2&lt;&gt;"")+('Dvd Calendar'!$AR$1017=TYPE3)*(TYPE3&lt;&gt;"")+('Dvd Calendar'!$AR$1017=TYPE4)*(TYPE4&lt;&gt;"")+('Dvd Calendar'!$AR$1017=SPECIAL_LBL)*(INC_SPECIALS="Y"))=0,"",'Dvd Calendar'!$AR$1015)))</f>
        <v/>
      </c>
      <c r="AQ103" s="110">
        <f>IF(FS103="","",IF(ISNUMBER('Dvd Calendar'!$E$1020)=FALSE,"",'Dvd Calendar'!$E$1020))</f>
        <v/>
      </c>
      <c r="AR103" s="110">
        <f>IF(FT103="","",IF(ISNUMBER('Dvd Calendar'!$F$1020)=FALSE,"",'Dvd Calendar'!$F$1020))</f>
        <v/>
      </c>
      <c r="AS103" s="110">
        <f>IF(FU103="","",IF(ISNUMBER('Dvd Calendar'!$G$1020)=FALSE,"",'Dvd Calendar'!$G$1020))</f>
        <v/>
      </c>
      <c r="AT103" s="110">
        <f>IF(FV103="","",IF(ISNUMBER('Dvd Calendar'!$H$1020)=FALSE,"",'Dvd Calendar'!$H$1020))</f>
        <v/>
      </c>
      <c r="AU103" s="110">
        <f>IF(FW103="","",IF(ISNUMBER('Dvd Calendar'!$I$1020)=FALSE,"",'Dvd Calendar'!$I$1020))</f>
        <v/>
      </c>
      <c r="AV103" s="110">
        <f>IF(FX103="","",IF(ISNUMBER('Dvd Calendar'!$J$1020)=FALSE,"",'Dvd Calendar'!$J$1020))</f>
        <v/>
      </c>
      <c r="AW103" s="110">
        <f>IF(FY103="","",IF(ISNUMBER('Dvd Calendar'!$K$1020)=FALSE,"",'Dvd Calendar'!$K$1020))</f>
        <v/>
      </c>
      <c r="AX103" s="110">
        <f>IF(FZ103="","",IF(ISNUMBER('Dvd Calendar'!$L$1020)=FALSE,"",'Dvd Calendar'!$L$1020))</f>
        <v/>
      </c>
      <c r="AY103" s="110">
        <f>IF(GA103="","",IF(ISNUMBER('Dvd Calendar'!$M$1020)=FALSE,"",'Dvd Calendar'!$M$1020))</f>
        <v/>
      </c>
      <c r="AZ103" s="110">
        <f>IF(GB103="","",IF(ISNUMBER('Dvd Calendar'!$N$1020)=FALSE,"",'Dvd Calendar'!$N$1020))</f>
        <v/>
      </c>
      <c r="BA103" s="110">
        <f>IF(GC103="","",IF(ISNUMBER('Dvd Calendar'!$O$1020)=FALSE,"",'Dvd Calendar'!$O$1020))</f>
        <v/>
      </c>
      <c r="BB103" s="110">
        <f>IF(GD103="","",IF(ISNUMBER('Dvd Calendar'!$P$1020)=FALSE,"",'Dvd Calendar'!$P$1020))</f>
        <v/>
      </c>
      <c r="BC103" s="110">
        <f>IF(GE103="","",IF(ISNUMBER('Dvd Calendar'!$Q$1020)=FALSE,"",'Dvd Calendar'!$Q$1020))</f>
        <v/>
      </c>
      <c r="BD103" s="110">
        <f>IF(GF103="","",IF(ISNUMBER('Dvd Calendar'!$R$1020)=FALSE,"",'Dvd Calendar'!$R$1020))</f>
        <v/>
      </c>
      <c r="BE103" s="110">
        <f>IF(GG103="","",IF(ISNUMBER('Dvd Calendar'!$S$1020)=FALSE,"",'Dvd Calendar'!$S$1020))</f>
        <v/>
      </c>
      <c r="BF103" s="110">
        <f>IF(GH103="","",IF(ISNUMBER('Dvd Calendar'!$T$1020)=FALSE,"",'Dvd Calendar'!$T$1020))</f>
        <v/>
      </c>
      <c r="BG103" s="110">
        <f>IF(GI103="","",IF(ISNUMBER('Dvd Calendar'!$U$1020)=FALSE,"",'Dvd Calendar'!$U$1020))</f>
        <v/>
      </c>
      <c r="BH103" s="110">
        <f>IF(GJ103="","",IF(ISNUMBER('Dvd Calendar'!$V$1020)=FALSE,"",'Dvd Calendar'!$V$1020))</f>
        <v/>
      </c>
      <c r="BI103" s="110">
        <f>IF(GK103="","",IF(ISNUMBER('Dvd Calendar'!$W$1020)=FALSE,"",'Dvd Calendar'!$W$1020))</f>
        <v/>
      </c>
      <c r="BJ103" s="110">
        <f>IF(GL103="","",IF(ISNUMBER('Dvd Calendar'!$X$1020)=FALSE,"",'Dvd Calendar'!$X$1020))</f>
        <v/>
      </c>
      <c r="BK103" s="110">
        <f>IF(GM103="","",IF(ISNUMBER('Dvd Calendar'!$Y$1020)=FALSE,"",'Dvd Calendar'!$Y$1020))</f>
        <v/>
      </c>
      <c r="BL103" s="110">
        <f>IF(GN103="","",IF(ISNUMBER('Dvd Calendar'!$Z$1020)=FALSE,"",'Dvd Calendar'!$Z$1020))</f>
        <v/>
      </c>
      <c r="BM103" s="110">
        <f>IF(GO103="","",IF(ISNUMBER('Dvd Calendar'!$AA$1020)=FALSE,"",'Dvd Calendar'!$AA$1020))</f>
        <v/>
      </c>
      <c r="BN103" s="110">
        <f>IF(GP103="","",IF(ISNUMBER('Dvd Calendar'!$AB$1020)=FALSE,"",'Dvd Calendar'!$AB$1020))</f>
        <v/>
      </c>
      <c r="BO103" s="110">
        <f>IF(GQ103="","",IF(ISNUMBER('Dvd Calendar'!$AC$1020)=FALSE,"",'Dvd Calendar'!$AC$1020))</f>
        <v/>
      </c>
      <c r="BQ103" s="110">
        <f>IF(C103="","",IFERROR(C103*HSI!$B$98*HSI!$G$98/HSI!$B$3,""))</f>
        <v/>
      </c>
      <c r="BR103" s="110">
        <f>IF(D103="","",IFERROR(D103*HSI!$B$98*HSI!$G$98/HSI!$B$3,""))</f>
        <v/>
      </c>
      <c r="BS103" s="110">
        <f>IF(E103="","",IFERROR(E103*HSI!$B$98*HSI!$G$98/HSI!$B$3,""))</f>
        <v/>
      </c>
      <c r="BT103" s="110">
        <f>IF(F103="","",IFERROR(F103*HSI!$B$98*HSI!$G$98/HSI!$B$3,""))</f>
        <v/>
      </c>
      <c r="BU103" s="110">
        <f>IF(G103="","",IFERROR(G103*HSI!$B$98*HSI!$G$98/HSI!$B$3,""))</f>
        <v/>
      </c>
      <c r="BV103" s="110">
        <f>IF(H103="","",IFERROR(H103*HSI!$B$98*HSI!$G$98/HSI!$B$3,""))</f>
        <v/>
      </c>
      <c r="BW103" s="110">
        <f>IF(I103="","",IFERROR(I103*HSI!$B$98*HSI!$G$98/HSI!$B$3,""))</f>
        <v/>
      </c>
      <c r="BX103" s="110">
        <f>IF(J103="","",IFERROR(J103*HSI!$B$98*HSI!$G$98/HSI!$B$3,""))</f>
        <v/>
      </c>
      <c r="BY103" s="110">
        <f>IF(K103="","",IFERROR(K103*HSI!$B$98*HSI!$G$98/HSI!$B$3,""))</f>
        <v/>
      </c>
      <c r="BZ103" s="110">
        <f>IF(L103="","",IFERROR(L103*HSI!$B$98*HSI!$G$98/HSI!$B$3,""))</f>
        <v/>
      </c>
      <c r="CA103" s="110">
        <f>IF(M103="","",IFERROR(M103*HSI!$B$98*HSI!$G$98/HSI!$B$3,""))</f>
        <v/>
      </c>
      <c r="CB103" s="110">
        <f>IF(N103="","",IFERROR(N103*HSI!$B$98*HSI!$G$98/HSI!$B$3,""))</f>
        <v/>
      </c>
      <c r="CC103" s="110">
        <f>IF(O103="","",IFERROR(O103*HSI!$B$98*HSI!$G$98/HSI!$B$3,""))</f>
        <v/>
      </c>
      <c r="CD103" s="110">
        <f>IF(P103="","",IFERROR(P103*HSI!$B$98*HSI!$G$98/HSI!$B$3,""))</f>
        <v/>
      </c>
      <c r="CE103" s="110">
        <f>IF(Q103="","",IFERROR(Q103*HSI!$B$98*HSI!$G$98/HSI!$B$3,""))</f>
        <v/>
      </c>
      <c r="CF103" s="110">
        <f>IF(R103="","",IFERROR(R103*HSI!$B$98*HSI!$G$98/HSI!$B$3,""))</f>
        <v/>
      </c>
      <c r="CG103" s="110">
        <f>IF(S103="","",IFERROR(S103*HSI!$B$98*HSI!$G$98/HSI!$B$3,""))</f>
        <v/>
      </c>
      <c r="CH103" s="110">
        <f>IF(T103="","",IFERROR(T103*HSI!$B$98*HSI!$G$98/HSI!$B$3,""))</f>
        <v/>
      </c>
      <c r="CI103" s="110">
        <f>IF(U103="","",IFERROR(U103*HSI!$B$98*HSI!$G$98/HSI!$B$3,""))</f>
        <v/>
      </c>
      <c r="CJ103" s="110">
        <f>IF(V103="","",IFERROR(V103*HSI!$B$98*HSI!$G$98/HSI!$B$3,""))</f>
        <v/>
      </c>
      <c r="CK103" s="110">
        <f>IF(W103="","",IFERROR(W103*HSI!$B$98*HSI!$G$98/HSI!$B$3,""))</f>
        <v/>
      </c>
      <c r="CL103" s="110">
        <f>IF(X103="","",IFERROR(X103*HSI!$B$98*HSI!$G$98/HSI!$B$3,""))</f>
        <v/>
      </c>
      <c r="CM103" s="110">
        <f>IF(Y103="","",IFERROR(Y103*HSI!$B$98*HSI!$G$98/HSI!$B$3,""))</f>
        <v/>
      </c>
      <c r="CN103" s="110">
        <f>IF(Z103="","",IFERROR(Z103*HSI!$B$98*HSI!$G$98/HSI!$B$3,""))</f>
        <v/>
      </c>
      <c r="CO103" s="110">
        <f>IF(AA103="","",IFERROR(AA103*HSI!$B$98*HSI!$G$98/HSI!$B$3,""))</f>
        <v/>
      </c>
      <c r="CP103" s="110">
        <f>IF(AB103="","",IFERROR(AB103*HSI!$B$98*HSI!$G$98/HSI!$B$3,""))</f>
        <v/>
      </c>
      <c r="CQ103" s="110">
        <f>IF(AC103="","",IFERROR(AC103*HSI!$B$98*HSI!$G$98/HSI!$B$3,""))</f>
        <v/>
      </c>
      <c r="CR103" s="110">
        <f>IF(AD103="","",IFERROR(AD103*HSI!$B$98*HSI!$G$98/HSI!$B$3,""))</f>
        <v/>
      </c>
      <c r="CS103" s="110">
        <f>IF(AE103="","",IFERROR(AE103*HSI!$B$98*HSI!$G$98/HSI!$B$3,""))</f>
        <v/>
      </c>
      <c r="CT103" s="110">
        <f>IF(AF103="","",IFERROR(AF103*HSI!$B$98*HSI!$G$98/HSI!$B$3,""))</f>
        <v/>
      </c>
      <c r="CU103" s="110">
        <f>IF(AG103="","",IFERROR(AG103*HSI!$B$98*HSI!$G$98/HSI!$B$3,""))</f>
        <v/>
      </c>
      <c r="CV103" s="110">
        <f>IF(AH103="","",IFERROR(AH103*HSI!$B$98*HSI!$G$98/HSI!$B$3,""))</f>
        <v/>
      </c>
      <c r="CW103" s="110">
        <f>IF(AI103="","",IFERROR(AI103*HSI!$B$98*HSI!$G$98/HSI!$B$3,""))</f>
        <v/>
      </c>
      <c r="CX103" s="110">
        <f>IF(AJ103="","",IFERROR(AJ103*HSI!$B$98*HSI!$G$98/HSI!$B$3,""))</f>
        <v/>
      </c>
      <c r="CY103" s="110">
        <f>IF(AK103="","",IFERROR(AK103*HSI!$B$98*HSI!$G$98/HSI!$B$3,""))</f>
        <v/>
      </c>
      <c r="CZ103" s="110">
        <f>IF(AL103="","",IFERROR(AL103*HSI!$B$98*HSI!$G$98/HSI!$B$3,""))</f>
        <v/>
      </c>
      <c r="DA103" s="110">
        <f>IF(AM103="","",IFERROR(AM103*HSI!$B$98*HSI!$G$98/HSI!$B$3,""))</f>
        <v/>
      </c>
      <c r="DB103" s="110">
        <f>IF(AN103="","",IFERROR(AN103*HSI!$B$98*HSI!$G$98/HSI!$B$3,""))</f>
        <v/>
      </c>
      <c r="DC103" s="110">
        <f>IF(AO103="","",IFERROR(AO103*HSI!$B$98*HSI!$G$98/HSI!$B$3,""))</f>
        <v/>
      </c>
      <c r="DD103" s="110">
        <f>IF(AP103="","",IFERROR(AP103*HSI!$B$98*HSI!$G$98/HSI!$B$3,""))</f>
        <v/>
      </c>
      <c r="DE103" s="110">
        <f>IF(AQ103="","",IFERROR(AQ103*HSI!$B$98*HSI!$G$98/HSI!$B$3,""))</f>
        <v/>
      </c>
      <c r="DF103" s="110">
        <f>IF(AR103="","",IFERROR(AR103*HSI!$B$98*HSI!$G$98/HSI!$B$3,""))</f>
        <v/>
      </c>
      <c r="DG103" s="110">
        <f>IF(AS103="","",IFERROR(AS103*HSI!$B$98*HSI!$G$98/HSI!$B$3,""))</f>
        <v/>
      </c>
      <c r="DH103" s="110">
        <f>IF(AT103="","",IFERROR(AT103*HSI!$B$98*HSI!$G$98/HSI!$B$3,""))</f>
        <v/>
      </c>
      <c r="DI103" s="110">
        <f>IF(AU103="","",IFERROR(AU103*HSI!$B$98*HSI!$G$98/HSI!$B$3,""))</f>
        <v/>
      </c>
      <c r="DJ103" s="110">
        <f>IF(AV103="","",IFERROR(AV103*HSI!$B$98*HSI!$G$98/HSI!$B$3,""))</f>
        <v/>
      </c>
      <c r="DK103" s="110">
        <f>IF(AW103="","",IFERROR(AW103*HSI!$B$98*HSI!$G$98/HSI!$B$3,""))</f>
        <v/>
      </c>
      <c r="DL103" s="110">
        <f>IF(AX103="","",IFERROR(AX103*HSI!$B$98*HSI!$G$98/HSI!$B$3,""))</f>
        <v/>
      </c>
      <c r="DM103" s="110">
        <f>IF(AY103="","",IFERROR(AY103*HSI!$B$98*HSI!$G$98/HSI!$B$3,""))</f>
        <v/>
      </c>
      <c r="DN103" s="110">
        <f>IF(AZ103="","",IFERROR(AZ103*HSI!$B$98*HSI!$G$98/HSI!$B$3,""))</f>
        <v/>
      </c>
      <c r="DO103" s="110">
        <f>IF(BA103="","",IFERROR(BA103*HSI!$B$98*HSI!$G$98/HSI!$B$3,""))</f>
        <v/>
      </c>
      <c r="DP103" s="110">
        <f>IF(BB103="","",IFERROR(BB103*HSI!$B$98*HSI!$G$98/HSI!$B$3,""))</f>
        <v/>
      </c>
      <c r="DQ103" s="110">
        <f>IF(BC103="","",IFERROR(BC103*HSI!$B$98*HSI!$G$98/HSI!$B$3,""))</f>
        <v/>
      </c>
      <c r="DR103" s="110">
        <f>IF(BD103="","",IFERROR(BD103*HSI!$B$98*HSI!$G$98/HSI!$B$3,""))</f>
        <v/>
      </c>
      <c r="DS103" s="110">
        <f>IF(BE103="","",IFERROR(BE103*HSI!$B$98*HSI!$G$98/HSI!$B$3,""))</f>
        <v/>
      </c>
      <c r="DT103" s="110">
        <f>IF(BF103="","",IFERROR(BF103*HSI!$B$98*HSI!$G$98/HSI!$B$3,""))</f>
        <v/>
      </c>
      <c r="DU103" s="110">
        <f>IF(BG103="","",IFERROR(BG103*HSI!$B$98*HSI!$G$98/HSI!$B$3,""))</f>
        <v/>
      </c>
      <c r="DV103" s="110">
        <f>IF(BH103="","",IFERROR(BH103*HSI!$B$98*HSI!$G$98/HSI!$B$3,""))</f>
        <v/>
      </c>
      <c r="DW103" s="110">
        <f>IF(BI103="","",IFERROR(BI103*HSI!$B$98*HSI!$G$98/HSI!$B$3,""))</f>
        <v/>
      </c>
      <c r="DX103" s="110">
        <f>IF(BJ103="","",IFERROR(BJ103*HSI!$B$98*HSI!$G$98/HSI!$B$3,""))</f>
        <v/>
      </c>
      <c r="DY103" s="110">
        <f>IF(BK103="","",IFERROR(BK103*HSI!$B$98*HSI!$G$98/HSI!$B$3,""))</f>
        <v/>
      </c>
      <c r="DZ103" s="110">
        <f>IF(BL103="","",IFERROR(BL103*HSI!$B$98*HSI!$G$98/HSI!$B$3,""))</f>
        <v/>
      </c>
      <c r="EA103" s="110">
        <f>IF(BM103="","",IFERROR(BM103*HSI!$B$98*HSI!$G$98/HSI!$B$3,""))</f>
        <v/>
      </c>
      <c r="EB103" s="110">
        <f>IF(BN103="","",IFERROR(BN103*HSI!$B$98*HSI!$G$98/HSI!$B$3,""))</f>
        <v/>
      </c>
      <c r="EC103" s="110">
        <f>IF(BO103="","",IFERROR(BO103*HSI!$B$98*HSI!$G$98/HSI!$B$3,""))</f>
        <v/>
      </c>
      <c r="EE103" s="39">
        <f>IF(N('Dvd Calendar'!$E$1012)=0,"",IF(('Dvd Calendar'!$E$1012&gt;=GRID_FROM)*('Dvd Calendar'!$E$1012&lt;=GRID_TO)*((('Dvd Calendar'!$E$1012&lt;=VAL_DATE)+(COUNTIF('Dvd Calendar'!$E$1019:$AR$1019,'Dvd Calendar'!$E$1012)=0))&gt;0)=0,"",'Dvd Calendar'!$E$1012*1000000000+ISNUMBER('Dvd Calendar'!$E$1015)*100000000+('Dvd Calendar'!$E$1017=SPECIAL_LBL)*10000000+(N('Dvd Calendar'!$E$1011)&gt;0)*(N('Dvd Calendar'!$E$1011)&lt;=VAL_SERIAL)*1000000+92*1000+1))</f>
        <v/>
      </c>
      <c r="EF103" s="39">
        <f>IF(N('Dvd Calendar'!$F$1012)=0,"",IF(('Dvd Calendar'!$F$1012&gt;=GRID_FROM)*('Dvd Calendar'!$F$1012&lt;=GRID_TO)*((('Dvd Calendar'!$F$1012&lt;=VAL_DATE)+(COUNTIF('Dvd Calendar'!$E$1019:$AR$1019,'Dvd Calendar'!$F$1012)=0))&gt;0)=0,"",'Dvd Calendar'!$F$1012*1000000000+ISNUMBER('Dvd Calendar'!$F$1015)*100000000+('Dvd Calendar'!$F$1017=SPECIAL_LBL)*10000000+(N('Dvd Calendar'!$F$1011)&gt;0)*(N('Dvd Calendar'!$F$1011)&lt;=VAL_SERIAL)*1000000+92*1000+2))</f>
        <v/>
      </c>
      <c r="EG103" s="39">
        <f>IF(N('Dvd Calendar'!$G$1012)=0,"",IF(('Dvd Calendar'!$G$1012&gt;=GRID_FROM)*('Dvd Calendar'!$G$1012&lt;=GRID_TO)*((('Dvd Calendar'!$G$1012&lt;=VAL_DATE)+(COUNTIF('Dvd Calendar'!$E$1019:$AR$1019,'Dvd Calendar'!$G$1012)=0))&gt;0)=0,"",'Dvd Calendar'!$G$1012*1000000000+ISNUMBER('Dvd Calendar'!$G$1015)*100000000+('Dvd Calendar'!$G$1017=SPECIAL_LBL)*10000000+(N('Dvd Calendar'!$G$1011)&gt;0)*(N('Dvd Calendar'!$G$1011)&lt;=VAL_SERIAL)*1000000+92*1000+3))</f>
        <v/>
      </c>
      <c r="EH103" s="39">
        <f>IF(N('Dvd Calendar'!$H$1012)=0,"",IF(('Dvd Calendar'!$H$1012&gt;=GRID_FROM)*('Dvd Calendar'!$H$1012&lt;=GRID_TO)*((('Dvd Calendar'!$H$1012&lt;=VAL_DATE)+(COUNTIF('Dvd Calendar'!$E$1019:$AR$1019,'Dvd Calendar'!$H$1012)=0))&gt;0)=0,"",'Dvd Calendar'!$H$1012*1000000000+ISNUMBER('Dvd Calendar'!$H$1015)*100000000+('Dvd Calendar'!$H$1017=SPECIAL_LBL)*10000000+(N('Dvd Calendar'!$H$1011)&gt;0)*(N('Dvd Calendar'!$H$1011)&lt;=VAL_SERIAL)*1000000+92*1000+4))</f>
        <v/>
      </c>
      <c r="EI103" s="39">
        <f>IF(N('Dvd Calendar'!$I$1012)=0,"",IF(('Dvd Calendar'!$I$1012&gt;=GRID_FROM)*('Dvd Calendar'!$I$1012&lt;=GRID_TO)*((('Dvd Calendar'!$I$1012&lt;=VAL_DATE)+(COUNTIF('Dvd Calendar'!$E$1019:$AR$1019,'Dvd Calendar'!$I$1012)=0))&gt;0)=0,"",'Dvd Calendar'!$I$1012*1000000000+ISNUMBER('Dvd Calendar'!$I$1015)*100000000+('Dvd Calendar'!$I$1017=SPECIAL_LBL)*10000000+(N('Dvd Calendar'!$I$1011)&gt;0)*(N('Dvd Calendar'!$I$1011)&lt;=VAL_SERIAL)*1000000+92*1000+5))</f>
        <v/>
      </c>
      <c r="EJ103" s="39">
        <f>IF(N('Dvd Calendar'!$J$1012)=0,"",IF(('Dvd Calendar'!$J$1012&gt;=GRID_FROM)*('Dvd Calendar'!$J$1012&lt;=GRID_TO)*((('Dvd Calendar'!$J$1012&lt;=VAL_DATE)+(COUNTIF('Dvd Calendar'!$E$1019:$AR$1019,'Dvd Calendar'!$J$1012)=0))&gt;0)=0,"",'Dvd Calendar'!$J$1012*1000000000+ISNUMBER('Dvd Calendar'!$J$1015)*100000000+('Dvd Calendar'!$J$1017=SPECIAL_LBL)*10000000+(N('Dvd Calendar'!$J$1011)&gt;0)*(N('Dvd Calendar'!$J$1011)&lt;=VAL_SERIAL)*1000000+92*1000+6))</f>
        <v/>
      </c>
      <c r="EK103" s="39">
        <f>IF(N('Dvd Calendar'!$K$1012)=0,"",IF(('Dvd Calendar'!$K$1012&gt;=GRID_FROM)*('Dvd Calendar'!$K$1012&lt;=GRID_TO)*((('Dvd Calendar'!$K$1012&lt;=VAL_DATE)+(COUNTIF('Dvd Calendar'!$E$1019:$AR$1019,'Dvd Calendar'!$K$1012)=0))&gt;0)=0,"",'Dvd Calendar'!$K$1012*1000000000+ISNUMBER('Dvd Calendar'!$K$1015)*100000000+('Dvd Calendar'!$K$1017=SPECIAL_LBL)*10000000+(N('Dvd Calendar'!$K$1011)&gt;0)*(N('Dvd Calendar'!$K$1011)&lt;=VAL_SERIAL)*1000000+92*1000+7))</f>
        <v/>
      </c>
      <c r="EL103" s="39">
        <f>IF(N('Dvd Calendar'!$L$1012)=0,"",IF(('Dvd Calendar'!$L$1012&gt;=GRID_FROM)*('Dvd Calendar'!$L$1012&lt;=GRID_TO)*((('Dvd Calendar'!$L$1012&lt;=VAL_DATE)+(COUNTIF('Dvd Calendar'!$E$1019:$AR$1019,'Dvd Calendar'!$L$1012)=0))&gt;0)=0,"",'Dvd Calendar'!$L$1012*1000000000+ISNUMBER('Dvd Calendar'!$L$1015)*100000000+('Dvd Calendar'!$L$1017=SPECIAL_LBL)*10000000+(N('Dvd Calendar'!$L$1011)&gt;0)*(N('Dvd Calendar'!$L$1011)&lt;=VAL_SERIAL)*1000000+92*1000+8))</f>
        <v/>
      </c>
      <c r="EM103" s="39">
        <f>IF(N('Dvd Calendar'!$M$1012)=0,"",IF(('Dvd Calendar'!$M$1012&gt;=GRID_FROM)*('Dvd Calendar'!$M$1012&lt;=GRID_TO)*((('Dvd Calendar'!$M$1012&lt;=VAL_DATE)+(COUNTIF('Dvd Calendar'!$E$1019:$AR$1019,'Dvd Calendar'!$M$1012)=0))&gt;0)=0,"",'Dvd Calendar'!$M$1012*1000000000+ISNUMBER('Dvd Calendar'!$M$1015)*100000000+('Dvd Calendar'!$M$1017=SPECIAL_LBL)*10000000+(N('Dvd Calendar'!$M$1011)&gt;0)*(N('Dvd Calendar'!$M$1011)&lt;=VAL_SERIAL)*1000000+92*1000+9))</f>
        <v/>
      </c>
      <c r="EN103" s="39">
        <f>IF(N('Dvd Calendar'!$N$1012)=0,"",IF(('Dvd Calendar'!$N$1012&gt;=GRID_FROM)*('Dvd Calendar'!$N$1012&lt;=GRID_TO)*((('Dvd Calendar'!$N$1012&lt;=VAL_DATE)+(COUNTIF('Dvd Calendar'!$E$1019:$AR$1019,'Dvd Calendar'!$N$1012)=0))&gt;0)=0,"",'Dvd Calendar'!$N$1012*1000000000+ISNUMBER('Dvd Calendar'!$N$1015)*100000000+('Dvd Calendar'!$N$1017=SPECIAL_LBL)*10000000+(N('Dvd Calendar'!$N$1011)&gt;0)*(N('Dvd Calendar'!$N$1011)&lt;=VAL_SERIAL)*1000000+92*1000+10))</f>
        <v/>
      </c>
      <c r="EO103" s="39">
        <f>IF(N('Dvd Calendar'!$O$1012)=0,"",IF(('Dvd Calendar'!$O$1012&gt;=GRID_FROM)*('Dvd Calendar'!$O$1012&lt;=GRID_TO)*((('Dvd Calendar'!$O$1012&lt;=VAL_DATE)+(COUNTIF('Dvd Calendar'!$E$1019:$AR$1019,'Dvd Calendar'!$O$1012)=0))&gt;0)=0,"",'Dvd Calendar'!$O$1012*1000000000+ISNUMBER('Dvd Calendar'!$O$1015)*100000000+('Dvd Calendar'!$O$1017=SPECIAL_LBL)*10000000+(N('Dvd Calendar'!$O$1011)&gt;0)*(N('Dvd Calendar'!$O$1011)&lt;=VAL_SERIAL)*1000000+92*1000+11))</f>
        <v/>
      </c>
      <c r="EP103" s="39">
        <f>IF(N('Dvd Calendar'!$P$1012)=0,"",IF(('Dvd Calendar'!$P$1012&gt;=GRID_FROM)*('Dvd Calendar'!$P$1012&lt;=GRID_TO)*((('Dvd Calendar'!$P$1012&lt;=VAL_DATE)+(COUNTIF('Dvd Calendar'!$E$1019:$AR$1019,'Dvd Calendar'!$P$1012)=0))&gt;0)=0,"",'Dvd Calendar'!$P$1012*1000000000+ISNUMBER('Dvd Calendar'!$P$1015)*100000000+('Dvd Calendar'!$P$1017=SPECIAL_LBL)*10000000+(N('Dvd Calendar'!$P$1011)&gt;0)*(N('Dvd Calendar'!$P$1011)&lt;=VAL_SERIAL)*1000000+92*1000+12))</f>
        <v/>
      </c>
      <c r="EQ103" s="39">
        <f>IF(N('Dvd Calendar'!$Q$1012)=0,"",IF(('Dvd Calendar'!$Q$1012&gt;=GRID_FROM)*('Dvd Calendar'!$Q$1012&lt;=GRID_TO)*((('Dvd Calendar'!$Q$1012&lt;=VAL_DATE)+(COUNTIF('Dvd Calendar'!$E$1019:$AR$1019,'Dvd Calendar'!$Q$1012)=0))&gt;0)=0,"",'Dvd Calendar'!$Q$1012*1000000000+ISNUMBER('Dvd Calendar'!$Q$1015)*100000000+('Dvd Calendar'!$Q$1017=SPECIAL_LBL)*10000000+(N('Dvd Calendar'!$Q$1011)&gt;0)*(N('Dvd Calendar'!$Q$1011)&lt;=VAL_SERIAL)*1000000+92*1000+13))</f>
        <v/>
      </c>
      <c r="ER103" s="39">
        <f>IF(N('Dvd Calendar'!$R$1012)=0,"",IF(('Dvd Calendar'!$R$1012&gt;=GRID_FROM)*('Dvd Calendar'!$R$1012&lt;=GRID_TO)*((('Dvd Calendar'!$R$1012&lt;=VAL_DATE)+(COUNTIF('Dvd Calendar'!$E$1019:$AR$1019,'Dvd Calendar'!$R$1012)=0))&gt;0)=0,"",'Dvd Calendar'!$R$1012*1000000000+ISNUMBER('Dvd Calendar'!$R$1015)*100000000+('Dvd Calendar'!$R$1017=SPECIAL_LBL)*10000000+(N('Dvd Calendar'!$R$1011)&gt;0)*(N('Dvd Calendar'!$R$1011)&lt;=VAL_SERIAL)*1000000+92*1000+14))</f>
        <v/>
      </c>
      <c r="ES103" s="39">
        <f>IF(N('Dvd Calendar'!$S$1012)=0,"",IF(('Dvd Calendar'!$S$1012&gt;=GRID_FROM)*('Dvd Calendar'!$S$1012&lt;=GRID_TO)*((('Dvd Calendar'!$S$1012&lt;=VAL_DATE)+(COUNTIF('Dvd Calendar'!$E$1019:$AR$1019,'Dvd Calendar'!$S$1012)=0))&gt;0)=0,"",'Dvd Calendar'!$S$1012*1000000000+ISNUMBER('Dvd Calendar'!$S$1015)*100000000+('Dvd Calendar'!$S$1017=SPECIAL_LBL)*10000000+(N('Dvd Calendar'!$S$1011)&gt;0)*(N('Dvd Calendar'!$S$1011)&lt;=VAL_SERIAL)*1000000+92*1000+15))</f>
        <v/>
      </c>
      <c r="ET103" s="39">
        <f>IF(N('Dvd Calendar'!$T$1012)=0,"",IF(('Dvd Calendar'!$T$1012&gt;=GRID_FROM)*('Dvd Calendar'!$T$1012&lt;=GRID_TO)*((('Dvd Calendar'!$T$1012&lt;=VAL_DATE)+(COUNTIF('Dvd Calendar'!$E$1019:$AR$1019,'Dvd Calendar'!$T$1012)=0))&gt;0)=0,"",'Dvd Calendar'!$T$1012*1000000000+ISNUMBER('Dvd Calendar'!$T$1015)*100000000+('Dvd Calendar'!$T$1017=SPECIAL_LBL)*10000000+(N('Dvd Calendar'!$T$1011)&gt;0)*(N('Dvd Calendar'!$T$1011)&lt;=VAL_SERIAL)*1000000+92*1000+16))</f>
        <v/>
      </c>
      <c r="EU103" s="39">
        <f>IF(N('Dvd Calendar'!$U$1012)=0,"",IF(('Dvd Calendar'!$U$1012&gt;=GRID_FROM)*('Dvd Calendar'!$U$1012&lt;=GRID_TO)*((('Dvd Calendar'!$U$1012&lt;=VAL_DATE)+(COUNTIF('Dvd Calendar'!$E$1019:$AR$1019,'Dvd Calendar'!$U$1012)=0))&gt;0)=0,"",'Dvd Calendar'!$U$1012*1000000000+ISNUMBER('Dvd Calendar'!$U$1015)*100000000+('Dvd Calendar'!$U$1017=SPECIAL_LBL)*10000000+(N('Dvd Calendar'!$U$1011)&gt;0)*(N('Dvd Calendar'!$U$1011)&lt;=VAL_SERIAL)*1000000+92*1000+17))</f>
        <v/>
      </c>
      <c r="EV103" s="39">
        <f>IF(N('Dvd Calendar'!$V$1012)=0,"",IF(('Dvd Calendar'!$V$1012&gt;=GRID_FROM)*('Dvd Calendar'!$V$1012&lt;=GRID_TO)*((('Dvd Calendar'!$V$1012&lt;=VAL_DATE)+(COUNTIF('Dvd Calendar'!$E$1019:$AR$1019,'Dvd Calendar'!$V$1012)=0))&gt;0)=0,"",'Dvd Calendar'!$V$1012*1000000000+ISNUMBER('Dvd Calendar'!$V$1015)*100000000+('Dvd Calendar'!$V$1017=SPECIAL_LBL)*10000000+(N('Dvd Calendar'!$V$1011)&gt;0)*(N('Dvd Calendar'!$V$1011)&lt;=VAL_SERIAL)*1000000+92*1000+18))</f>
        <v/>
      </c>
      <c r="EW103" s="39">
        <f>IF(N('Dvd Calendar'!$W$1012)=0,"",IF(('Dvd Calendar'!$W$1012&gt;=GRID_FROM)*('Dvd Calendar'!$W$1012&lt;=GRID_TO)*((('Dvd Calendar'!$W$1012&lt;=VAL_DATE)+(COUNTIF('Dvd Calendar'!$E$1019:$AR$1019,'Dvd Calendar'!$W$1012)=0))&gt;0)=0,"",'Dvd Calendar'!$W$1012*1000000000+ISNUMBER('Dvd Calendar'!$W$1015)*100000000+('Dvd Calendar'!$W$1017=SPECIAL_LBL)*10000000+(N('Dvd Calendar'!$W$1011)&gt;0)*(N('Dvd Calendar'!$W$1011)&lt;=VAL_SERIAL)*1000000+92*1000+19))</f>
        <v/>
      </c>
      <c r="EX103" s="39">
        <f>IF(N('Dvd Calendar'!$X$1012)=0,"",IF(('Dvd Calendar'!$X$1012&gt;=GRID_FROM)*('Dvd Calendar'!$X$1012&lt;=GRID_TO)*((('Dvd Calendar'!$X$1012&lt;=VAL_DATE)+(COUNTIF('Dvd Calendar'!$E$1019:$AR$1019,'Dvd Calendar'!$X$1012)=0))&gt;0)=0,"",'Dvd Calendar'!$X$1012*1000000000+ISNUMBER('Dvd Calendar'!$X$1015)*100000000+('Dvd Calendar'!$X$1017=SPECIAL_LBL)*10000000+(N('Dvd Calendar'!$X$1011)&gt;0)*(N('Dvd Calendar'!$X$1011)&lt;=VAL_SERIAL)*1000000+92*1000+20))</f>
        <v/>
      </c>
      <c r="EY103" s="39">
        <f>IF(N('Dvd Calendar'!$Y$1012)=0,"",IF(('Dvd Calendar'!$Y$1012&gt;=GRID_FROM)*('Dvd Calendar'!$Y$1012&lt;=GRID_TO)*((('Dvd Calendar'!$Y$1012&lt;=VAL_DATE)+(COUNTIF('Dvd Calendar'!$E$1019:$AR$1019,'Dvd Calendar'!$Y$1012)=0))&gt;0)=0,"",'Dvd Calendar'!$Y$1012*1000000000+ISNUMBER('Dvd Calendar'!$Y$1015)*100000000+('Dvd Calendar'!$Y$1017=SPECIAL_LBL)*10000000+(N('Dvd Calendar'!$Y$1011)&gt;0)*(N('Dvd Calendar'!$Y$1011)&lt;=VAL_SERIAL)*1000000+92*1000+21))</f>
        <v/>
      </c>
      <c r="EZ103" s="39">
        <f>IF(N('Dvd Calendar'!$Z$1012)=0,"",IF(('Dvd Calendar'!$Z$1012&gt;=GRID_FROM)*('Dvd Calendar'!$Z$1012&lt;=GRID_TO)*((('Dvd Calendar'!$Z$1012&lt;=VAL_DATE)+(COUNTIF('Dvd Calendar'!$E$1019:$AR$1019,'Dvd Calendar'!$Z$1012)=0))&gt;0)=0,"",'Dvd Calendar'!$Z$1012*1000000000+ISNUMBER('Dvd Calendar'!$Z$1015)*100000000+('Dvd Calendar'!$Z$1017=SPECIAL_LBL)*10000000+(N('Dvd Calendar'!$Z$1011)&gt;0)*(N('Dvd Calendar'!$Z$1011)&lt;=VAL_SERIAL)*1000000+92*1000+22))</f>
        <v/>
      </c>
      <c r="FA103" s="39">
        <f>IF(N('Dvd Calendar'!$AA$1012)=0,"",IF(('Dvd Calendar'!$AA$1012&gt;=GRID_FROM)*('Dvd Calendar'!$AA$1012&lt;=GRID_TO)*((('Dvd Calendar'!$AA$1012&lt;=VAL_DATE)+(COUNTIF('Dvd Calendar'!$E$1019:$AR$1019,'Dvd Calendar'!$AA$1012)=0))&gt;0)=0,"",'Dvd Calendar'!$AA$1012*1000000000+ISNUMBER('Dvd Calendar'!$AA$1015)*100000000+('Dvd Calendar'!$AA$1017=SPECIAL_LBL)*10000000+(N('Dvd Calendar'!$AA$1011)&gt;0)*(N('Dvd Calendar'!$AA$1011)&lt;=VAL_SERIAL)*1000000+92*1000+23))</f>
        <v/>
      </c>
      <c r="FB103" s="39">
        <f>IF(N('Dvd Calendar'!$AB$1012)=0,"",IF(('Dvd Calendar'!$AB$1012&gt;=GRID_FROM)*('Dvd Calendar'!$AB$1012&lt;=GRID_TO)*((('Dvd Calendar'!$AB$1012&lt;=VAL_DATE)+(COUNTIF('Dvd Calendar'!$E$1019:$AR$1019,'Dvd Calendar'!$AB$1012)=0))&gt;0)=0,"",'Dvd Calendar'!$AB$1012*1000000000+ISNUMBER('Dvd Calendar'!$AB$1015)*100000000+('Dvd Calendar'!$AB$1017=SPECIAL_LBL)*10000000+(N('Dvd Calendar'!$AB$1011)&gt;0)*(N('Dvd Calendar'!$AB$1011)&lt;=VAL_SERIAL)*1000000+92*1000+24))</f>
        <v/>
      </c>
      <c r="FC103" s="39">
        <f>IF(N('Dvd Calendar'!$AC$1012)=0,"",IF(('Dvd Calendar'!$AC$1012&gt;=GRID_FROM)*('Dvd Calendar'!$AC$1012&lt;=GRID_TO)*((('Dvd Calendar'!$AC$1012&lt;=VAL_DATE)+(COUNTIF('Dvd Calendar'!$E$1019:$AR$1019,'Dvd Calendar'!$AC$1012)=0))&gt;0)=0,"",'Dvd Calendar'!$AC$1012*1000000000+ISNUMBER('Dvd Calendar'!$AC$1015)*100000000+('Dvd Calendar'!$AC$1017=SPECIAL_LBL)*10000000+(N('Dvd Calendar'!$AC$1011)&gt;0)*(N('Dvd Calendar'!$AC$1011)&lt;=VAL_SERIAL)*1000000+92*1000+25))</f>
        <v/>
      </c>
      <c r="FD103" s="39">
        <f>IF(N('Dvd Calendar'!$AD$1012)=0,"",IF(('Dvd Calendar'!$AD$1012&gt;=GRID_FROM)*('Dvd Calendar'!$AD$1012&lt;=GRID_TO)*((('Dvd Calendar'!$AD$1012&lt;=VAL_DATE)+(COUNTIF('Dvd Calendar'!$E$1019:$AR$1019,'Dvd Calendar'!$AD$1012)=0))&gt;0)=0,"",'Dvd Calendar'!$AD$1012*1000000000+ISNUMBER('Dvd Calendar'!$AD$1015)*100000000+('Dvd Calendar'!$AD$1017=SPECIAL_LBL)*10000000+(N('Dvd Calendar'!$AD$1011)&gt;0)*(N('Dvd Calendar'!$AD$1011)&lt;=VAL_SERIAL)*1000000+92*1000+26))</f>
        <v/>
      </c>
      <c r="FE103" s="39">
        <f>IF(N('Dvd Calendar'!$AE$1012)=0,"",IF(('Dvd Calendar'!$AE$1012&gt;=GRID_FROM)*('Dvd Calendar'!$AE$1012&lt;=GRID_TO)*((('Dvd Calendar'!$AE$1012&lt;=VAL_DATE)+(COUNTIF('Dvd Calendar'!$E$1019:$AR$1019,'Dvd Calendar'!$AE$1012)=0))&gt;0)=0,"",'Dvd Calendar'!$AE$1012*1000000000+ISNUMBER('Dvd Calendar'!$AE$1015)*100000000+('Dvd Calendar'!$AE$1017=SPECIAL_LBL)*10000000+(N('Dvd Calendar'!$AE$1011)&gt;0)*(N('Dvd Calendar'!$AE$1011)&lt;=VAL_SERIAL)*1000000+92*1000+27))</f>
        <v/>
      </c>
      <c r="FF103" s="39">
        <f>IF(N('Dvd Calendar'!$AF$1012)=0,"",IF(('Dvd Calendar'!$AF$1012&gt;=GRID_FROM)*('Dvd Calendar'!$AF$1012&lt;=GRID_TO)*((('Dvd Calendar'!$AF$1012&lt;=VAL_DATE)+(COUNTIF('Dvd Calendar'!$E$1019:$AR$1019,'Dvd Calendar'!$AF$1012)=0))&gt;0)=0,"",'Dvd Calendar'!$AF$1012*1000000000+ISNUMBER('Dvd Calendar'!$AF$1015)*100000000+('Dvd Calendar'!$AF$1017=SPECIAL_LBL)*10000000+(N('Dvd Calendar'!$AF$1011)&gt;0)*(N('Dvd Calendar'!$AF$1011)&lt;=VAL_SERIAL)*1000000+92*1000+28))</f>
        <v/>
      </c>
      <c r="FG103" s="39">
        <f>IF(N('Dvd Calendar'!$AG$1012)=0,"",IF(('Dvd Calendar'!$AG$1012&gt;=GRID_FROM)*('Dvd Calendar'!$AG$1012&lt;=GRID_TO)*((('Dvd Calendar'!$AG$1012&lt;=VAL_DATE)+(COUNTIF('Dvd Calendar'!$E$1019:$AR$1019,'Dvd Calendar'!$AG$1012)=0))&gt;0)=0,"",'Dvd Calendar'!$AG$1012*1000000000+ISNUMBER('Dvd Calendar'!$AG$1015)*100000000+('Dvd Calendar'!$AG$1017=SPECIAL_LBL)*10000000+(N('Dvd Calendar'!$AG$1011)&gt;0)*(N('Dvd Calendar'!$AG$1011)&lt;=VAL_SERIAL)*1000000+92*1000+29))</f>
        <v/>
      </c>
      <c r="FH103" s="39">
        <f>IF(N('Dvd Calendar'!$AH$1012)=0,"",IF(('Dvd Calendar'!$AH$1012&gt;=GRID_FROM)*('Dvd Calendar'!$AH$1012&lt;=GRID_TO)*((('Dvd Calendar'!$AH$1012&lt;=VAL_DATE)+(COUNTIF('Dvd Calendar'!$E$1019:$AR$1019,'Dvd Calendar'!$AH$1012)=0))&gt;0)=0,"",'Dvd Calendar'!$AH$1012*1000000000+ISNUMBER('Dvd Calendar'!$AH$1015)*100000000+('Dvd Calendar'!$AH$1017=SPECIAL_LBL)*10000000+(N('Dvd Calendar'!$AH$1011)&gt;0)*(N('Dvd Calendar'!$AH$1011)&lt;=VAL_SERIAL)*1000000+92*1000+30))</f>
        <v/>
      </c>
      <c r="FI103" s="39">
        <f>IF(N('Dvd Calendar'!$AI$1012)=0,"",IF(('Dvd Calendar'!$AI$1012&gt;=GRID_FROM)*('Dvd Calendar'!$AI$1012&lt;=GRID_TO)*((('Dvd Calendar'!$AI$1012&lt;=VAL_DATE)+(COUNTIF('Dvd Calendar'!$E$1019:$AR$1019,'Dvd Calendar'!$AI$1012)=0))&gt;0)=0,"",'Dvd Calendar'!$AI$1012*1000000000+ISNUMBER('Dvd Calendar'!$AI$1015)*100000000+('Dvd Calendar'!$AI$1017=SPECIAL_LBL)*10000000+(N('Dvd Calendar'!$AI$1011)&gt;0)*(N('Dvd Calendar'!$AI$1011)&lt;=VAL_SERIAL)*1000000+92*1000+31))</f>
        <v/>
      </c>
      <c r="FJ103" s="39">
        <f>IF(N('Dvd Calendar'!$AJ$1012)=0,"",IF(('Dvd Calendar'!$AJ$1012&gt;=GRID_FROM)*('Dvd Calendar'!$AJ$1012&lt;=GRID_TO)*((('Dvd Calendar'!$AJ$1012&lt;=VAL_DATE)+(COUNTIF('Dvd Calendar'!$E$1019:$AR$1019,'Dvd Calendar'!$AJ$1012)=0))&gt;0)=0,"",'Dvd Calendar'!$AJ$1012*1000000000+ISNUMBER('Dvd Calendar'!$AJ$1015)*100000000+('Dvd Calendar'!$AJ$1017=SPECIAL_LBL)*10000000+(N('Dvd Calendar'!$AJ$1011)&gt;0)*(N('Dvd Calendar'!$AJ$1011)&lt;=VAL_SERIAL)*1000000+92*1000+32))</f>
        <v/>
      </c>
      <c r="FK103" s="39">
        <f>IF(N('Dvd Calendar'!$AK$1012)=0,"",IF(('Dvd Calendar'!$AK$1012&gt;=GRID_FROM)*('Dvd Calendar'!$AK$1012&lt;=GRID_TO)*((('Dvd Calendar'!$AK$1012&lt;=VAL_DATE)+(COUNTIF('Dvd Calendar'!$E$1019:$AR$1019,'Dvd Calendar'!$AK$1012)=0))&gt;0)=0,"",'Dvd Calendar'!$AK$1012*1000000000+ISNUMBER('Dvd Calendar'!$AK$1015)*100000000+('Dvd Calendar'!$AK$1017=SPECIAL_LBL)*10000000+(N('Dvd Calendar'!$AK$1011)&gt;0)*(N('Dvd Calendar'!$AK$1011)&lt;=VAL_SERIAL)*1000000+92*1000+33))</f>
        <v/>
      </c>
      <c r="FL103" s="39">
        <f>IF(N('Dvd Calendar'!$AL$1012)=0,"",IF(('Dvd Calendar'!$AL$1012&gt;=GRID_FROM)*('Dvd Calendar'!$AL$1012&lt;=GRID_TO)*((('Dvd Calendar'!$AL$1012&lt;=VAL_DATE)+(COUNTIF('Dvd Calendar'!$E$1019:$AR$1019,'Dvd Calendar'!$AL$1012)=0))&gt;0)=0,"",'Dvd Calendar'!$AL$1012*1000000000+ISNUMBER('Dvd Calendar'!$AL$1015)*100000000+('Dvd Calendar'!$AL$1017=SPECIAL_LBL)*10000000+(N('Dvd Calendar'!$AL$1011)&gt;0)*(N('Dvd Calendar'!$AL$1011)&lt;=VAL_SERIAL)*1000000+92*1000+34))</f>
        <v/>
      </c>
      <c r="FM103" s="39">
        <f>IF(N('Dvd Calendar'!$AM$1012)=0,"",IF(('Dvd Calendar'!$AM$1012&gt;=GRID_FROM)*('Dvd Calendar'!$AM$1012&lt;=GRID_TO)*((('Dvd Calendar'!$AM$1012&lt;=VAL_DATE)+(COUNTIF('Dvd Calendar'!$E$1019:$AR$1019,'Dvd Calendar'!$AM$1012)=0))&gt;0)=0,"",'Dvd Calendar'!$AM$1012*1000000000+ISNUMBER('Dvd Calendar'!$AM$1015)*100000000+('Dvd Calendar'!$AM$1017=SPECIAL_LBL)*10000000+(N('Dvd Calendar'!$AM$1011)&gt;0)*(N('Dvd Calendar'!$AM$1011)&lt;=VAL_SERIAL)*1000000+92*1000+35))</f>
        <v/>
      </c>
      <c r="FN103" s="39">
        <f>IF(N('Dvd Calendar'!$AN$1012)=0,"",IF(('Dvd Calendar'!$AN$1012&gt;=GRID_FROM)*('Dvd Calendar'!$AN$1012&lt;=GRID_TO)*((('Dvd Calendar'!$AN$1012&lt;=VAL_DATE)+(COUNTIF('Dvd Calendar'!$E$1019:$AR$1019,'Dvd Calendar'!$AN$1012)=0))&gt;0)=0,"",'Dvd Calendar'!$AN$1012*1000000000+ISNUMBER('Dvd Calendar'!$AN$1015)*100000000+('Dvd Calendar'!$AN$1017=SPECIAL_LBL)*10000000+(N('Dvd Calendar'!$AN$1011)&gt;0)*(N('Dvd Calendar'!$AN$1011)&lt;=VAL_SERIAL)*1000000+92*1000+36))</f>
        <v/>
      </c>
      <c r="FO103" s="39">
        <f>IF(N('Dvd Calendar'!$AO$1012)=0,"",IF(('Dvd Calendar'!$AO$1012&gt;=GRID_FROM)*('Dvd Calendar'!$AO$1012&lt;=GRID_TO)*((('Dvd Calendar'!$AO$1012&lt;=VAL_DATE)+(COUNTIF('Dvd Calendar'!$E$1019:$AR$1019,'Dvd Calendar'!$AO$1012)=0))&gt;0)=0,"",'Dvd Calendar'!$AO$1012*1000000000+ISNUMBER('Dvd Calendar'!$AO$1015)*100000000+('Dvd Calendar'!$AO$1017=SPECIAL_LBL)*10000000+(N('Dvd Calendar'!$AO$1011)&gt;0)*(N('Dvd Calendar'!$AO$1011)&lt;=VAL_SERIAL)*1000000+92*1000+37))</f>
        <v/>
      </c>
      <c r="FP103" s="39">
        <f>IF(N('Dvd Calendar'!$AP$1012)=0,"",IF(('Dvd Calendar'!$AP$1012&gt;=GRID_FROM)*('Dvd Calendar'!$AP$1012&lt;=GRID_TO)*((('Dvd Calendar'!$AP$1012&lt;=VAL_DATE)+(COUNTIF('Dvd Calendar'!$E$1019:$AR$1019,'Dvd Calendar'!$AP$1012)=0))&gt;0)=0,"",'Dvd Calendar'!$AP$1012*1000000000+ISNUMBER('Dvd Calendar'!$AP$1015)*100000000+('Dvd Calendar'!$AP$1017=SPECIAL_LBL)*10000000+(N('Dvd Calendar'!$AP$1011)&gt;0)*(N('Dvd Calendar'!$AP$1011)&lt;=VAL_SERIAL)*1000000+92*1000+38))</f>
        <v/>
      </c>
      <c r="FQ103" s="39">
        <f>IF(N('Dvd Calendar'!$AQ$1012)=0,"",IF(('Dvd Calendar'!$AQ$1012&gt;=GRID_FROM)*('Dvd Calendar'!$AQ$1012&lt;=GRID_TO)*((('Dvd Calendar'!$AQ$1012&lt;=VAL_DATE)+(COUNTIF('Dvd Calendar'!$E$1019:$AR$1019,'Dvd Calendar'!$AQ$1012)=0))&gt;0)=0,"",'Dvd Calendar'!$AQ$1012*1000000000+ISNUMBER('Dvd Calendar'!$AQ$1015)*100000000+('Dvd Calendar'!$AQ$1017=SPECIAL_LBL)*10000000+(N('Dvd Calendar'!$AQ$1011)&gt;0)*(N('Dvd Calendar'!$AQ$1011)&lt;=VAL_SERIAL)*1000000+92*1000+39))</f>
        <v/>
      </c>
      <c r="FR103" s="39">
        <f>IF(N('Dvd Calendar'!$AR$1012)=0,"",IF(('Dvd Calendar'!$AR$1012&gt;=GRID_FROM)*('Dvd Calendar'!$AR$1012&lt;=GRID_TO)*((('Dvd Calendar'!$AR$1012&lt;=VAL_DATE)+(COUNTIF('Dvd Calendar'!$E$1019:$AR$1019,'Dvd Calendar'!$AR$1012)=0))&gt;0)=0,"",'Dvd Calendar'!$AR$1012*1000000000+ISNUMBER('Dvd Calendar'!$AR$1015)*100000000+('Dvd Calendar'!$AR$1017=SPECIAL_LBL)*10000000+(N('Dvd Calendar'!$AR$1011)&gt;0)*(N('Dvd Calendar'!$AR$1011)&lt;=VAL_SERIAL)*1000000+92*1000+40))</f>
        <v/>
      </c>
      <c r="FS103" s="39">
        <f>IF(N('Dvd Calendar'!$E$1019)=0,"",IF(('Dvd Calendar'!$E$1019&gt;=GRID_FROM)*('Dvd Calendar'!$E$1019&lt;=GRID_TO)*('Dvd Calendar'!$E$1019&gt;VAL_DATE)=0,"",'Dvd Calendar'!$E$1019*1000000000+ISNUMBER('Dvd Calendar'!$E$1020)*100000000+0*10000000+(N('Dvd Calendar'!$E$1018)&gt;0)*(N('Dvd Calendar'!$E$1018)&lt;=VAL_SERIAL)*1000000+92*1000+41))</f>
        <v/>
      </c>
      <c r="FT103" s="39">
        <f>IF(N('Dvd Calendar'!$F$1019)=0,"",IF(('Dvd Calendar'!$F$1019&gt;=GRID_FROM)*('Dvd Calendar'!$F$1019&lt;=GRID_TO)*('Dvd Calendar'!$F$1019&gt;VAL_DATE)=0,"",'Dvd Calendar'!$F$1019*1000000000+ISNUMBER('Dvd Calendar'!$F$1020)*100000000+0*10000000+(N('Dvd Calendar'!$F$1018)&gt;0)*(N('Dvd Calendar'!$F$1018)&lt;=VAL_SERIAL)*1000000+92*1000+42))</f>
        <v/>
      </c>
      <c r="FU103" s="39">
        <f>IF(N('Dvd Calendar'!$G$1019)=0,"",IF(('Dvd Calendar'!$G$1019&gt;=GRID_FROM)*('Dvd Calendar'!$G$1019&lt;=GRID_TO)*('Dvd Calendar'!$G$1019&gt;VAL_DATE)=0,"",'Dvd Calendar'!$G$1019*1000000000+ISNUMBER('Dvd Calendar'!$G$1020)*100000000+0*10000000+(N('Dvd Calendar'!$G$1018)&gt;0)*(N('Dvd Calendar'!$G$1018)&lt;=VAL_SERIAL)*1000000+92*1000+43))</f>
        <v/>
      </c>
      <c r="FV103" s="39">
        <f>IF(N('Dvd Calendar'!$H$1019)=0,"",IF(('Dvd Calendar'!$H$1019&gt;=GRID_FROM)*('Dvd Calendar'!$H$1019&lt;=GRID_TO)*('Dvd Calendar'!$H$1019&gt;VAL_DATE)=0,"",'Dvd Calendar'!$H$1019*1000000000+ISNUMBER('Dvd Calendar'!$H$1020)*100000000+0*10000000+(N('Dvd Calendar'!$H$1018)&gt;0)*(N('Dvd Calendar'!$H$1018)&lt;=VAL_SERIAL)*1000000+92*1000+44))</f>
        <v/>
      </c>
      <c r="FW103" s="39">
        <f>IF(N('Dvd Calendar'!$I$1019)=0,"",IF(('Dvd Calendar'!$I$1019&gt;=GRID_FROM)*('Dvd Calendar'!$I$1019&lt;=GRID_TO)*('Dvd Calendar'!$I$1019&gt;VAL_DATE)=0,"",'Dvd Calendar'!$I$1019*1000000000+ISNUMBER('Dvd Calendar'!$I$1020)*100000000+0*10000000+(N('Dvd Calendar'!$I$1018)&gt;0)*(N('Dvd Calendar'!$I$1018)&lt;=VAL_SERIAL)*1000000+92*1000+45))</f>
        <v/>
      </c>
      <c r="FX103" s="39">
        <f>IF(N('Dvd Calendar'!$J$1019)=0,"",IF(('Dvd Calendar'!$J$1019&gt;=GRID_FROM)*('Dvd Calendar'!$J$1019&lt;=GRID_TO)*('Dvd Calendar'!$J$1019&gt;VAL_DATE)=0,"",'Dvd Calendar'!$J$1019*1000000000+ISNUMBER('Dvd Calendar'!$J$1020)*100000000+0*10000000+(N('Dvd Calendar'!$J$1018)&gt;0)*(N('Dvd Calendar'!$J$1018)&lt;=VAL_SERIAL)*1000000+92*1000+46))</f>
        <v/>
      </c>
      <c r="FY103" s="39">
        <f>IF(N('Dvd Calendar'!$K$1019)=0,"",IF(('Dvd Calendar'!$K$1019&gt;=GRID_FROM)*('Dvd Calendar'!$K$1019&lt;=GRID_TO)*('Dvd Calendar'!$K$1019&gt;VAL_DATE)=0,"",'Dvd Calendar'!$K$1019*1000000000+ISNUMBER('Dvd Calendar'!$K$1020)*100000000+0*10000000+(N('Dvd Calendar'!$K$1018)&gt;0)*(N('Dvd Calendar'!$K$1018)&lt;=VAL_SERIAL)*1000000+92*1000+47))</f>
        <v/>
      </c>
      <c r="FZ103" s="39">
        <f>IF(N('Dvd Calendar'!$L$1019)=0,"",IF(('Dvd Calendar'!$L$1019&gt;=GRID_FROM)*('Dvd Calendar'!$L$1019&lt;=GRID_TO)*('Dvd Calendar'!$L$1019&gt;VAL_DATE)=0,"",'Dvd Calendar'!$L$1019*1000000000+ISNUMBER('Dvd Calendar'!$L$1020)*100000000+0*10000000+(N('Dvd Calendar'!$L$1018)&gt;0)*(N('Dvd Calendar'!$L$1018)&lt;=VAL_SERIAL)*1000000+92*1000+48))</f>
        <v/>
      </c>
      <c r="GA103" s="39">
        <f>IF(N('Dvd Calendar'!$M$1019)=0,"",IF(('Dvd Calendar'!$M$1019&gt;=GRID_FROM)*('Dvd Calendar'!$M$1019&lt;=GRID_TO)*('Dvd Calendar'!$M$1019&gt;VAL_DATE)=0,"",'Dvd Calendar'!$M$1019*1000000000+ISNUMBER('Dvd Calendar'!$M$1020)*100000000+0*10000000+(N('Dvd Calendar'!$M$1018)&gt;0)*(N('Dvd Calendar'!$M$1018)&lt;=VAL_SERIAL)*1000000+92*1000+49))</f>
        <v/>
      </c>
      <c r="GB103" s="39">
        <f>IF(N('Dvd Calendar'!$N$1019)=0,"",IF(('Dvd Calendar'!$N$1019&gt;=GRID_FROM)*('Dvd Calendar'!$N$1019&lt;=GRID_TO)*('Dvd Calendar'!$N$1019&gt;VAL_DATE)=0,"",'Dvd Calendar'!$N$1019*1000000000+ISNUMBER('Dvd Calendar'!$N$1020)*100000000+0*10000000+(N('Dvd Calendar'!$N$1018)&gt;0)*(N('Dvd Calendar'!$N$1018)&lt;=VAL_SERIAL)*1000000+92*1000+50))</f>
        <v/>
      </c>
      <c r="GC103" s="39">
        <f>IF(N('Dvd Calendar'!$O$1019)=0,"",IF(('Dvd Calendar'!$O$1019&gt;=GRID_FROM)*('Dvd Calendar'!$O$1019&lt;=GRID_TO)*('Dvd Calendar'!$O$1019&gt;VAL_DATE)=0,"",'Dvd Calendar'!$O$1019*1000000000+ISNUMBER('Dvd Calendar'!$O$1020)*100000000+0*10000000+(N('Dvd Calendar'!$O$1018)&gt;0)*(N('Dvd Calendar'!$O$1018)&lt;=VAL_SERIAL)*1000000+92*1000+51))</f>
        <v/>
      </c>
      <c r="GD103" s="39">
        <f>IF(N('Dvd Calendar'!$P$1019)=0,"",IF(('Dvd Calendar'!$P$1019&gt;=GRID_FROM)*('Dvd Calendar'!$P$1019&lt;=GRID_TO)*('Dvd Calendar'!$P$1019&gt;VAL_DATE)=0,"",'Dvd Calendar'!$P$1019*1000000000+ISNUMBER('Dvd Calendar'!$P$1020)*100000000+0*10000000+(N('Dvd Calendar'!$P$1018)&gt;0)*(N('Dvd Calendar'!$P$1018)&lt;=VAL_SERIAL)*1000000+92*1000+52))</f>
        <v/>
      </c>
      <c r="GE103" s="39">
        <f>IF(N('Dvd Calendar'!$Q$1019)=0,"",IF(('Dvd Calendar'!$Q$1019&gt;=GRID_FROM)*('Dvd Calendar'!$Q$1019&lt;=GRID_TO)*('Dvd Calendar'!$Q$1019&gt;VAL_DATE)=0,"",'Dvd Calendar'!$Q$1019*1000000000+ISNUMBER('Dvd Calendar'!$Q$1020)*100000000+0*10000000+(N('Dvd Calendar'!$Q$1018)&gt;0)*(N('Dvd Calendar'!$Q$1018)&lt;=VAL_SERIAL)*1000000+92*1000+53))</f>
        <v/>
      </c>
      <c r="GF103" s="39">
        <f>IF(N('Dvd Calendar'!$R$1019)=0,"",IF(('Dvd Calendar'!$R$1019&gt;=GRID_FROM)*('Dvd Calendar'!$R$1019&lt;=GRID_TO)*('Dvd Calendar'!$R$1019&gt;VAL_DATE)=0,"",'Dvd Calendar'!$R$1019*1000000000+ISNUMBER('Dvd Calendar'!$R$1020)*100000000+0*10000000+(N('Dvd Calendar'!$R$1018)&gt;0)*(N('Dvd Calendar'!$R$1018)&lt;=VAL_SERIAL)*1000000+92*1000+54))</f>
        <v/>
      </c>
      <c r="GG103" s="39">
        <f>IF(N('Dvd Calendar'!$S$1019)=0,"",IF(('Dvd Calendar'!$S$1019&gt;=GRID_FROM)*('Dvd Calendar'!$S$1019&lt;=GRID_TO)*('Dvd Calendar'!$S$1019&gt;VAL_DATE)=0,"",'Dvd Calendar'!$S$1019*1000000000+ISNUMBER('Dvd Calendar'!$S$1020)*100000000+0*10000000+(N('Dvd Calendar'!$S$1018)&gt;0)*(N('Dvd Calendar'!$S$1018)&lt;=VAL_SERIAL)*1000000+92*1000+55))</f>
        <v/>
      </c>
      <c r="GH103" s="39">
        <f>IF(N('Dvd Calendar'!$T$1019)=0,"",IF(('Dvd Calendar'!$T$1019&gt;=GRID_FROM)*('Dvd Calendar'!$T$1019&lt;=GRID_TO)*('Dvd Calendar'!$T$1019&gt;VAL_DATE)=0,"",'Dvd Calendar'!$T$1019*1000000000+ISNUMBER('Dvd Calendar'!$T$1020)*100000000+0*10000000+(N('Dvd Calendar'!$T$1018)&gt;0)*(N('Dvd Calendar'!$T$1018)&lt;=VAL_SERIAL)*1000000+92*1000+56))</f>
        <v/>
      </c>
      <c r="GI103" s="39">
        <f>IF(N('Dvd Calendar'!$U$1019)=0,"",IF(('Dvd Calendar'!$U$1019&gt;=GRID_FROM)*('Dvd Calendar'!$U$1019&lt;=GRID_TO)*('Dvd Calendar'!$U$1019&gt;VAL_DATE)=0,"",'Dvd Calendar'!$U$1019*1000000000+ISNUMBER('Dvd Calendar'!$U$1020)*100000000+0*10000000+(N('Dvd Calendar'!$U$1018)&gt;0)*(N('Dvd Calendar'!$U$1018)&lt;=VAL_SERIAL)*1000000+92*1000+57))</f>
        <v/>
      </c>
      <c r="GJ103" s="39">
        <f>IF(N('Dvd Calendar'!$V$1019)=0,"",IF(('Dvd Calendar'!$V$1019&gt;=GRID_FROM)*('Dvd Calendar'!$V$1019&lt;=GRID_TO)*('Dvd Calendar'!$V$1019&gt;VAL_DATE)=0,"",'Dvd Calendar'!$V$1019*1000000000+ISNUMBER('Dvd Calendar'!$V$1020)*100000000+0*10000000+(N('Dvd Calendar'!$V$1018)&gt;0)*(N('Dvd Calendar'!$V$1018)&lt;=VAL_SERIAL)*1000000+92*1000+58))</f>
        <v/>
      </c>
      <c r="GK103" s="39">
        <f>IF(N('Dvd Calendar'!$W$1019)=0,"",IF(('Dvd Calendar'!$W$1019&gt;=GRID_FROM)*('Dvd Calendar'!$W$1019&lt;=GRID_TO)*('Dvd Calendar'!$W$1019&gt;VAL_DATE)=0,"",'Dvd Calendar'!$W$1019*1000000000+ISNUMBER('Dvd Calendar'!$W$1020)*100000000+0*10000000+(N('Dvd Calendar'!$W$1018)&gt;0)*(N('Dvd Calendar'!$W$1018)&lt;=VAL_SERIAL)*1000000+92*1000+59))</f>
        <v/>
      </c>
      <c r="GL103" s="39">
        <f>IF(N('Dvd Calendar'!$X$1019)=0,"",IF(('Dvd Calendar'!$X$1019&gt;=GRID_FROM)*('Dvd Calendar'!$X$1019&lt;=GRID_TO)*('Dvd Calendar'!$X$1019&gt;VAL_DATE)=0,"",'Dvd Calendar'!$X$1019*1000000000+ISNUMBER('Dvd Calendar'!$X$1020)*100000000+0*10000000+(N('Dvd Calendar'!$X$1018)&gt;0)*(N('Dvd Calendar'!$X$1018)&lt;=VAL_SERIAL)*1000000+92*1000+60))</f>
        <v/>
      </c>
      <c r="GM103" s="39">
        <f>IF(N('Dvd Calendar'!$Y$1019)=0,"",IF(('Dvd Calendar'!$Y$1019&gt;=GRID_FROM)*('Dvd Calendar'!$Y$1019&lt;=GRID_TO)*('Dvd Calendar'!$Y$1019&gt;VAL_DATE)=0,"",'Dvd Calendar'!$Y$1019*1000000000+ISNUMBER('Dvd Calendar'!$Y$1020)*100000000+0*10000000+(N('Dvd Calendar'!$Y$1018)&gt;0)*(N('Dvd Calendar'!$Y$1018)&lt;=VAL_SERIAL)*1000000+92*1000+61))</f>
        <v/>
      </c>
      <c r="GN103" s="39">
        <f>IF(N('Dvd Calendar'!$Z$1019)=0,"",IF(('Dvd Calendar'!$Z$1019&gt;=GRID_FROM)*('Dvd Calendar'!$Z$1019&lt;=GRID_TO)*('Dvd Calendar'!$Z$1019&gt;VAL_DATE)=0,"",'Dvd Calendar'!$Z$1019*1000000000+ISNUMBER('Dvd Calendar'!$Z$1020)*100000000+0*10000000+(N('Dvd Calendar'!$Z$1018)&gt;0)*(N('Dvd Calendar'!$Z$1018)&lt;=VAL_SERIAL)*1000000+92*1000+62))</f>
        <v/>
      </c>
      <c r="GO103" s="39">
        <f>IF(N('Dvd Calendar'!$AA$1019)=0,"",IF(('Dvd Calendar'!$AA$1019&gt;=GRID_FROM)*('Dvd Calendar'!$AA$1019&lt;=GRID_TO)*('Dvd Calendar'!$AA$1019&gt;VAL_DATE)=0,"",'Dvd Calendar'!$AA$1019*1000000000+ISNUMBER('Dvd Calendar'!$AA$1020)*100000000+0*10000000+(N('Dvd Calendar'!$AA$1018)&gt;0)*(N('Dvd Calendar'!$AA$1018)&lt;=VAL_SERIAL)*1000000+92*1000+63))</f>
        <v/>
      </c>
      <c r="GP103" s="39">
        <f>IF(N('Dvd Calendar'!$AB$1019)=0,"",IF(('Dvd Calendar'!$AB$1019&gt;=GRID_FROM)*('Dvd Calendar'!$AB$1019&lt;=GRID_TO)*('Dvd Calendar'!$AB$1019&gt;VAL_DATE)=0,"",'Dvd Calendar'!$AB$1019*1000000000+ISNUMBER('Dvd Calendar'!$AB$1020)*100000000+0*10000000+(N('Dvd Calendar'!$AB$1018)&gt;0)*(N('Dvd Calendar'!$AB$1018)&lt;=VAL_SERIAL)*1000000+92*1000+64))</f>
        <v/>
      </c>
      <c r="GQ103" s="39">
        <f>IF(N('Dvd Calendar'!$AC$1019)=0,"",IF(('Dvd Calendar'!$AC$1019&gt;=GRID_FROM)*('Dvd Calendar'!$AC$1019&lt;=GRID_TO)*('Dvd Calendar'!$AC$1019&gt;VAL_DATE)=0,"",'Dvd Calendar'!$AC$1019*1000000000+ISNUMBER('Dvd Calendar'!$AC$1020)*100000000+0*10000000+(N('Dvd Calendar'!$AC$1018)&gt;0)*(N('Dvd Calendar'!$AC$1018)&lt;=VAL_SERIAL)*1000000+92*1000+65))</f>
        <v/>
      </c>
    </row>
    <row r="104">
      <c r="B104" s="2">
        <f>IF(HSI!$C$99="","",HSI!$C$99)</f>
        <v/>
      </c>
      <c r="C104" s="110">
        <f>IF(EE104="","",IF(ISNUMBER('Dvd Calendar'!$E$1026)=FALSE,"",IF((('Dvd Calendar'!$E$1028=TYPE1)*(TYPE1&lt;&gt;"")+('Dvd Calendar'!$E$1028=TYPE2)*(TYPE2&lt;&gt;"")+('Dvd Calendar'!$E$1028=TYPE3)*(TYPE3&lt;&gt;"")+('Dvd Calendar'!$E$1028=TYPE4)*(TYPE4&lt;&gt;"")+('Dvd Calendar'!$E$1028=SPECIAL_LBL)*(INC_SPECIALS="Y"))=0,"",'Dvd Calendar'!$E$1026)))</f>
        <v/>
      </c>
      <c r="D104" s="110">
        <f>IF(EF104="","",IF(ISNUMBER('Dvd Calendar'!$F$1026)=FALSE,"",IF((('Dvd Calendar'!$F$1028=TYPE1)*(TYPE1&lt;&gt;"")+('Dvd Calendar'!$F$1028=TYPE2)*(TYPE2&lt;&gt;"")+('Dvd Calendar'!$F$1028=TYPE3)*(TYPE3&lt;&gt;"")+('Dvd Calendar'!$F$1028=TYPE4)*(TYPE4&lt;&gt;"")+('Dvd Calendar'!$F$1028=SPECIAL_LBL)*(INC_SPECIALS="Y"))=0,"",'Dvd Calendar'!$F$1026)))</f>
        <v/>
      </c>
      <c r="E104" s="110">
        <f>IF(EG104="","",IF(ISNUMBER('Dvd Calendar'!$G$1026)=FALSE,"",IF((('Dvd Calendar'!$G$1028=TYPE1)*(TYPE1&lt;&gt;"")+('Dvd Calendar'!$G$1028=TYPE2)*(TYPE2&lt;&gt;"")+('Dvd Calendar'!$G$1028=TYPE3)*(TYPE3&lt;&gt;"")+('Dvd Calendar'!$G$1028=TYPE4)*(TYPE4&lt;&gt;"")+('Dvd Calendar'!$G$1028=SPECIAL_LBL)*(INC_SPECIALS="Y"))=0,"",'Dvd Calendar'!$G$1026)))</f>
        <v/>
      </c>
      <c r="F104" s="110">
        <f>IF(EH104="","",IF(ISNUMBER('Dvd Calendar'!$H$1026)=FALSE,"",IF((('Dvd Calendar'!$H$1028=TYPE1)*(TYPE1&lt;&gt;"")+('Dvd Calendar'!$H$1028=TYPE2)*(TYPE2&lt;&gt;"")+('Dvd Calendar'!$H$1028=TYPE3)*(TYPE3&lt;&gt;"")+('Dvd Calendar'!$H$1028=TYPE4)*(TYPE4&lt;&gt;"")+('Dvd Calendar'!$H$1028=SPECIAL_LBL)*(INC_SPECIALS="Y"))=0,"",'Dvd Calendar'!$H$1026)))</f>
        <v/>
      </c>
      <c r="G104" s="110">
        <f>IF(EI104="","",IF(ISNUMBER('Dvd Calendar'!$I$1026)=FALSE,"",IF((('Dvd Calendar'!$I$1028=TYPE1)*(TYPE1&lt;&gt;"")+('Dvd Calendar'!$I$1028=TYPE2)*(TYPE2&lt;&gt;"")+('Dvd Calendar'!$I$1028=TYPE3)*(TYPE3&lt;&gt;"")+('Dvd Calendar'!$I$1028=TYPE4)*(TYPE4&lt;&gt;"")+('Dvd Calendar'!$I$1028=SPECIAL_LBL)*(INC_SPECIALS="Y"))=0,"",'Dvd Calendar'!$I$1026)))</f>
        <v/>
      </c>
      <c r="H104" s="110">
        <f>IF(EJ104="","",IF(ISNUMBER('Dvd Calendar'!$J$1026)=FALSE,"",IF((('Dvd Calendar'!$J$1028=TYPE1)*(TYPE1&lt;&gt;"")+('Dvd Calendar'!$J$1028=TYPE2)*(TYPE2&lt;&gt;"")+('Dvd Calendar'!$J$1028=TYPE3)*(TYPE3&lt;&gt;"")+('Dvd Calendar'!$J$1028=TYPE4)*(TYPE4&lt;&gt;"")+('Dvd Calendar'!$J$1028=SPECIAL_LBL)*(INC_SPECIALS="Y"))=0,"",'Dvd Calendar'!$J$1026)))</f>
        <v/>
      </c>
      <c r="I104" s="110">
        <f>IF(EK104="","",IF(ISNUMBER('Dvd Calendar'!$K$1026)=FALSE,"",IF((('Dvd Calendar'!$K$1028=TYPE1)*(TYPE1&lt;&gt;"")+('Dvd Calendar'!$K$1028=TYPE2)*(TYPE2&lt;&gt;"")+('Dvd Calendar'!$K$1028=TYPE3)*(TYPE3&lt;&gt;"")+('Dvd Calendar'!$K$1028=TYPE4)*(TYPE4&lt;&gt;"")+('Dvd Calendar'!$K$1028=SPECIAL_LBL)*(INC_SPECIALS="Y"))=0,"",'Dvd Calendar'!$K$1026)))</f>
        <v/>
      </c>
      <c r="J104" s="110">
        <f>IF(EL104="","",IF(ISNUMBER('Dvd Calendar'!$L$1026)=FALSE,"",IF((('Dvd Calendar'!$L$1028=TYPE1)*(TYPE1&lt;&gt;"")+('Dvd Calendar'!$L$1028=TYPE2)*(TYPE2&lt;&gt;"")+('Dvd Calendar'!$L$1028=TYPE3)*(TYPE3&lt;&gt;"")+('Dvd Calendar'!$L$1028=TYPE4)*(TYPE4&lt;&gt;"")+('Dvd Calendar'!$L$1028=SPECIAL_LBL)*(INC_SPECIALS="Y"))=0,"",'Dvd Calendar'!$L$1026)))</f>
        <v/>
      </c>
      <c r="K104" s="110">
        <f>IF(EM104="","",IF(ISNUMBER('Dvd Calendar'!$M$1026)=FALSE,"",IF((('Dvd Calendar'!$M$1028=TYPE1)*(TYPE1&lt;&gt;"")+('Dvd Calendar'!$M$1028=TYPE2)*(TYPE2&lt;&gt;"")+('Dvd Calendar'!$M$1028=TYPE3)*(TYPE3&lt;&gt;"")+('Dvd Calendar'!$M$1028=TYPE4)*(TYPE4&lt;&gt;"")+('Dvd Calendar'!$M$1028=SPECIAL_LBL)*(INC_SPECIALS="Y"))=0,"",'Dvd Calendar'!$M$1026)))</f>
        <v/>
      </c>
      <c r="L104" s="110">
        <f>IF(EN104="","",IF(ISNUMBER('Dvd Calendar'!$N$1026)=FALSE,"",IF((('Dvd Calendar'!$N$1028=TYPE1)*(TYPE1&lt;&gt;"")+('Dvd Calendar'!$N$1028=TYPE2)*(TYPE2&lt;&gt;"")+('Dvd Calendar'!$N$1028=TYPE3)*(TYPE3&lt;&gt;"")+('Dvd Calendar'!$N$1028=TYPE4)*(TYPE4&lt;&gt;"")+('Dvd Calendar'!$N$1028=SPECIAL_LBL)*(INC_SPECIALS="Y"))=0,"",'Dvd Calendar'!$N$1026)))</f>
        <v/>
      </c>
      <c r="M104" s="110">
        <f>IF(EO104="","",IF(ISNUMBER('Dvd Calendar'!$O$1026)=FALSE,"",IF((('Dvd Calendar'!$O$1028=TYPE1)*(TYPE1&lt;&gt;"")+('Dvd Calendar'!$O$1028=TYPE2)*(TYPE2&lt;&gt;"")+('Dvd Calendar'!$O$1028=TYPE3)*(TYPE3&lt;&gt;"")+('Dvd Calendar'!$O$1028=TYPE4)*(TYPE4&lt;&gt;"")+('Dvd Calendar'!$O$1028=SPECIAL_LBL)*(INC_SPECIALS="Y"))=0,"",'Dvd Calendar'!$O$1026)))</f>
        <v/>
      </c>
      <c r="N104" s="110">
        <f>IF(EP104="","",IF(ISNUMBER('Dvd Calendar'!$P$1026)=FALSE,"",IF((('Dvd Calendar'!$P$1028=TYPE1)*(TYPE1&lt;&gt;"")+('Dvd Calendar'!$P$1028=TYPE2)*(TYPE2&lt;&gt;"")+('Dvd Calendar'!$P$1028=TYPE3)*(TYPE3&lt;&gt;"")+('Dvd Calendar'!$P$1028=TYPE4)*(TYPE4&lt;&gt;"")+('Dvd Calendar'!$P$1028=SPECIAL_LBL)*(INC_SPECIALS="Y"))=0,"",'Dvd Calendar'!$P$1026)))</f>
        <v/>
      </c>
      <c r="O104" s="110">
        <f>IF(EQ104="","",IF(ISNUMBER('Dvd Calendar'!$Q$1026)=FALSE,"",IF((('Dvd Calendar'!$Q$1028=TYPE1)*(TYPE1&lt;&gt;"")+('Dvd Calendar'!$Q$1028=TYPE2)*(TYPE2&lt;&gt;"")+('Dvd Calendar'!$Q$1028=TYPE3)*(TYPE3&lt;&gt;"")+('Dvd Calendar'!$Q$1028=TYPE4)*(TYPE4&lt;&gt;"")+('Dvd Calendar'!$Q$1028=SPECIAL_LBL)*(INC_SPECIALS="Y"))=0,"",'Dvd Calendar'!$Q$1026)))</f>
        <v/>
      </c>
      <c r="P104" s="110">
        <f>IF(ER104="","",IF(ISNUMBER('Dvd Calendar'!$R$1026)=FALSE,"",IF((('Dvd Calendar'!$R$1028=TYPE1)*(TYPE1&lt;&gt;"")+('Dvd Calendar'!$R$1028=TYPE2)*(TYPE2&lt;&gt;"")+('Dvd Calendar'!$R$1028=TYPE3)*(TYPE3&lt;&gt;"")+('Dvd Calendar'!$R$1028=TYPE4)*(TYPE4&lt;&gt;"")+('Dvd Calendar'!$R$1028=SPECIAL_LBL)*(INC_SPECIALS="Y"))=0,"",'Dvd Calendar'!$R$1026)))</f>
        <v/>
      </c>
      <c r="Q104" s="110">
        <f>IF(ES104="","",IF(ISNUMBER('Dvd Calendar'!$S$1026)=FALSE,"",IF((('Dvd Calendar'!$S$1028=TYPE1)*(TYPE1&lt;&gt;"")+('Dvd Calendar'!$S$1028=TYPE2)*(TYPE2&lt;&gt;"")+('Dvd Calendar'!$S$1028=TYPE3)*(TYPE3&lt;&gt;"")+('Dvd Calendar'!$S$1028=TYPE4)*(TYPE4&lt;&gt;"")+('Dvd Calendar'!$S$1028=SPECIAL_LBL)*(INC_SPECIALS="Y"))=0,"",'Dvd Calendar'!$S$1026)))</f>
        <v/>
      </c>
      <c r="R104" s="110">
        <f>IF(ET104="","",IF(ISNUMBER('Dvd Calendar'!$T$1026)=FALSE,"",IF((('Dvd Calendar'!$T$1028=TYPE1)*(TYPE1&lt;&gt;"")+('Dvd Calendar'!$T$1028=TYPE2)*(TYPE2&lt;&gt;"")+('Dvd Calendar'!$T$1028=TYPE3)*(TYPE3&lt;&gt;"")+('Dvd Calendar'!$T$1028=TYPE4)*(TYPE4&lt;&gt;"")+('Dvd Calendar'!$T$1028=SPECIAL_LBL)*(INC_SPECIALS="Y"))=0,"",'Dvd Calendar'!$T$1026)))</f>
        <v/>
      </c>
      <c r="S104" s="110">
        <f>IF(EU104="","",IF(ISNUMBER('Dvd Calendar'!$U$1026)=FALSE,"",IF((('Dvd Calendar'!$U$1028=TYPE1)*(TYPE1&lt;&gt;"")+('Dvd Calendar'!$U$1028=TYPE2)*(TYPE2&lt;&gt;"")+('Dvd Calendar'!$U$1028=TYPE3)*(TYPE3&lt;&gt;"")+('Dvd Calendar'!$U$1028=TYPE4)*(TYPE4&lt;&gt;"")+('Dvd Calendar'!$U$1028=SPECIAL_LBL)*(INC_SPECIALS="Y"))=0,"",'Dvd Calendar'!$U$1026)))</f>
        <v/>
      </c>
      <c r="T104" s="110">
        <f>IF(EV104="","",IF(ISNUMBER('Dvd Calendar'!$V$1026)=FALSE,"",IF((('Dvd Calendar'!$V$1028=TYPE1)*(TYPE1&lt;&gt;"")+('Dvd Calendar'!$V$1028=TYPE2)*(TYPE2&lt;&gt;"")+('Dvd Calendar'!$V$1028=TYPE3)*(TYPE3&lt;&gt;"")+('Dvd Calendar'!$V$1028=TYPE4)*(TYPE4&lt;&gt;"")+('Dvd Calendar'!$V$1028=SPECIAL_LBL)*(INC_SPECIALS="Y"))=0,"",'Dvd Calendar'!$V$1026)))</f>
        <v/>
      </c>
      <c r="U104" s="110">
        <f>IF(EW104="","",IF(ISNUMBER('Dvd Calendar'!$W$1026)=FALSE,"",IF((('Dvd Calendar'!$W$1028=TYPE1)*(TYPE1&lt;&gt;"")+('Dvd Calendar'!$W$1028=TYPE2)*(TYPE2&lt;&gt;"")+('Dvd Calendar'!$W$1028=TYPE3)*(TYPE3&lt;&gt;"")+('Dvd Calendar'!$W$1028=TYPE4)*(TYPE4&lt;&gt;"")+('Dvd Calendar'!$W$1028=SPECIAL_LBL)*(INC_SPECIALS="Y"))=0,"",'Dvd Calendar'!$W$1026)))</f>
        <v/>
      </c>
      <c r="V104" s="110">
        <f>IF(EX104="","",IF(ISNUMBER('Dvd Calendar'!$X$1026)=FALSE,"",IF((('Dvd Calendar'!$X$1028=TYPE1)*(TYPE1&lt;&gt;"")+('Dvd Calendar'!$X$1028=TYPE2)*(TYPE2&lt;&gt;"")+('Dvd Calendar'!$X$1028=TYPE3)*(TYPE3&lt;&gt;"")+('Dvd Calendar'!$X$1028=TYPE4)*(TYPE4&lt;&gt;"")+('Dvd Calendar'!$X$1028=SPECIAL_LBL)*(INC_SPECIALS="Y"))=0,"",'Dvd Calendar'!$X$1026)))</f>
        <v/>
      </c>
      <c r="W104" s="110">
        <f>IF(EY104="","",IF(ISNUMBER('Dvd Calendar'!$Y$1026)=FALSE,"",IF((('Dvd Calendar'!$Y$1028=TYPE1)*(TYPE1&lt;&gt;"")+('Dvd Calendar'!$Y$1028=TYPE2)*(TYPE2&lt;&gt;"")+('Dvd Calendar'!$Y$1028=TYPE3)*(TYPE3&lt;&gt;"")+('Dvd Calendar'!$Y$1028=TYPE4)*(TYPE4&lt;&gt;"")+('Dvd Calendar'!$Y$1028=SPECIAL_LBL)*(INC_SPECIALS="Y"))=0,"",'Dvd Calendar'!$Y$1026)))</f>
        <v/>
      </c>
      <c r="X104" s="110">
        <f>IF(EZ104="","",IF(ISNUMBER('Dvd Calendar'!$Z$1026)=FALSE,"",IF((('Dvd Calendar'!$Z$1028=TYPE1)*(TYPE1&lt;&gt;"")+('Dvd Calendar'!$Z$1028=TYPE2)*(TYPE2&lt;&gt;"")+('Dvd Calendar'!$Z$1028=TYPE3)*(TYPE3&lt;&gt;"")+('Dvd Calendar'!$Z$1028=TYPE4)*(TYPE4&lt;&gt;"")+('Dvd Calendar'!$Z$1028=SPECIAL_LBL)*(INC_SPECIALS="Y"))=0,"",'Dvd Calendar'!$Z$1026)))</f>
        <v/>
      </c>
      <c r="Y104" s="110">
        <f>IF(FA104="","",IF(ISNUMBER('Dvd Calendar'!$AA$1026)=FALSE,"",IF((('Dvd Calendar'!$AA$1028=TYPE1)*(TYPE1&lt;&gt;"")+('Dvd Calendar'!$AA$1028=TYPE2)*(TYPE2&lt;&gt;"")+('Dvd Calendar'!$AA$1028=TYPE3)*(TYPE3&lt;&gt;"")+('Dvd Calendar'!$AA$1028=TYPE4)*(TYPE4&lt;&gt;"")+('Dvd Calendar'!$AA$1028=SPECIAL_LBL)*(INC_SPECIALS="Y"))=0,"",'Dvd Calendar'!$AA$1026)))</f>
        <v/>
      </c>
      <c r="Z104" s="110">
        <f>IF(FB104="","",IF(ISNUMBER('Dvd Calendar'!$AB$1026)=FALSE,"",IF((('Dvd Calendar'!$AB$1028=TYPE1)*(TYPE1&lt;&gt;"")+('Dvd Calendar'!$AB$1028=TYPE2)*(TYPE2&lt;&gt;"")+('Dvd Calendar'!$AB$1028=TYPE3)*(TYPE3&lt;&gt;"")+('Dvd Calendar'!$AB$1028=TYPE4)*(TYPE4&lt;&gt;"")+('Dvd Calendar'!$AB$1028=SPECIAL_LBL)*(INC_SPECIALS="Y"))=0,"",'Dvd Calendar'!$AB$1026)))</f>
        <v/>
      </c>
      <c r="AA104" s="110">
        <f>IF(FC104="","",IF(ISNUMBER('Dvd Calendar'!$AC$1026)=FALSE,"",IF((('Dvd Calendar'!$AC$1028=TYPE1)*(TYPE1&lt;&gt;"")+('Dvd Calendar'!$AC$1028=TYPE2)*(TYPE2&lt;&gt;"")+('Dvd Calendar'!$AC$1028=TYPE3)*(TYPE3&lt;&gt;"")+('Dvd Calendar'!$AC$1028=TYPE4)*(TYPE4&lt;&gt;"")+('Dvd Calendar'!$AC$1028=SPECIAL_LBL)*(INC_SPECIALS="Y"))=0,"",'Dvd Calendar'!$AC$1026)))</f>
        <v/>
      </c>
      <c r="AB104" s="110">
        <f>IF(FD104="","",IF(ISNUMBER('Dvd Calendar'!$AD$1026)=FALSE,"",IF((('Dvd Calendar'!$AD$1028=TYPE1)*(TYPE1&lt;&gt;"")+('Dvd Calendar'!$AD$1028=TYPE2)*(TYPE2&lt;&gt;"")+('Dvd Calendar'!$AD$1028=TYPE3)*(TYPE3&lt;&gt;"")+('Dvd Calendar'!$AD$1028=TYPE4)*(TYPE4&lt;&gt;"")+('Dvd Calendar'!$AD$1028=SPECIAL_LBL)*(INC_SPECIALS="Y"))=0,"",'Dvd Calendar'!$AD$1026)))</f>
        <v/>
      </c>
      <c r="AC104" s="110">
        <f>IF(FE104="","",IF(ISNUMBER('Dvd Calendar'!$AE$1026)=FALSE,"",IF((('Dvd Calendar'!$AE$1028=TYPE1)*(TYPE1&lt;&gt;"")+('Dvd Calendar'!$AE$1028=TYPE2)*(TYPE2&lt;&gt;"")+('Dvd Calendar'!$AE$1028=TYPE3)*(TYPE3&lt;&gt;"")+('Dvd Calendar'!$AE$1028=TYPE4)*(TYPE4&lt;&gt;"")+('Dvd Calendar'!$AE$1028=SPECIAL_LBL)*(INC_SPECIALS="Y"))=0,"",'Dvd Calendar'!$AE$1026)))</f>
        <v/>
      </c>
      <c r="AD104" s="110">
        <f>IF(FF104="","",IF(ISNUMBER('Dvd Calendar'!$AF$1026)=FALSE,"",IF((('Dvd Calendar'!$AF$1028=TYPE1)*(TYPE1&lt;&gt;"")+('Dvd Calendar'!$AF$1028=TYPE2)*(TYPE2&lt;&gt;"")+('Dvd Calendar'!$AF$1028=TYPE3)*(TYPE3&lt;&gt;"")+('Dvd Calendar'!$AF$1028=TYPE4)*(TYPE4&lt;&gt;"")+('Dvd Calendar'!$AF$1028=SPECIAL_LBL)*(INC_SPECIALS="Y"))=0,"",'Dvd Calendar'!$AF$1026)))</f>
        <v/>
      </c>
      <c r="AE104" s="110">
        <f>IF(FG104="","",IF(ISNUMBER('Dvd Calendar'!$AG$1026)=FALSE,"",IF((('Dvd Calendar'!$AG$1028=TYPE1)*(TYPE1&lt;&gt;"")+('Dvd Calendar'!$AG$1028=TYPE2)*(TYPE2&lt;&gt;"")+('Dvd Calendar'!$AG$1028=TYPE3)*(TYPE3&lt;&gt;"")+('Dvd Calendar'!$AG$1028=TYPE4)*(TYPE4&lt;&gt;"")+('Dvd Calendar'!$AG$1028=SPECIAL_LBL)*(INC_SPECIALS="Y"))=0,"",'Dvd Calendar'!$AG$1026)))</f>
        <v/>
      </c>
      <c r="AF104" s="110">
        <f>IF(FH104="","",IF(ISNUMBER('Dvd Calendar'!$AH$1026)=FALSE,"",IF((('Dvd Calendar'!$AH$1028=TYPE1)*(TYPE1&lt;&gt;"")+('Dvd Calendar'!$AH$1028=TYPE2)*(TYPE2&lt;&gt;"")+('Dvd Calendar'!$AH$1028=TYPE3)*(TYPE3&lt;&gt;"")+('Dvd Calendar'!$AH$1028=TYPE4)*(TYPE4&lt;&gt;"")+('Dvd Calendar'!$AH$1028=SPECIAL_LBL)*(INC_SPECIALS="Y"))=0,"",'Dvd Calendar'!$AH$1026)))</f>
        <v/>
      </c>
      <c r="AG104" s="110">
        <f>IF(FI104="","",IF(ISNUMBER('Dvd Calendar'!$AI$1026)=FALSE,"",IF((('Dvd Calendar'!$AI$1028=TYPE1)*(TYPE1&lt;&gt;"")+('Dvd Calendar'!$AI$1028=TYPE2)*(TYPE2&lt;&gt;"")+('Dvd Calendar'!$AI$1028=TYPE3)*(TYPE3&lt;&gt;"")+('Dvd Calendar'!$AI$1028=TYPE4)*(TYPE4&lt;&gt;"")+('Dvd Calendar'!$AI$1028=SPECIAL_LBL)*(INC_SPECIALS="Y"))=0,"",'Dvd Calendar'!$AI$1026)))</f>
        <v/>
      </c>
      <c r="AH104" s="110">
        <f>IF(FJ104="","",IF(ISNUMBER('Dvd Calendar'!$AJ$1026)=FALSE,"",IF((('Dvd Calendar'!$AJ$1028=TYPE1)*(TYPE1&lt;&gt;"")+('Dvd Calendar'!$AJ$1028=TYPE2)*(TYPE2&lt;&gt;"")+('Dvd Calendar'!$AJ$1028=TYPE3)*(TYPE3&lt;&gt;"")+('Dvd Calendar'!$AJ$1028=TYPE4)*(TYPE4&lt;&gt;"")+('Dvd Calendar'!$AJ$1028=SPECIAL_LBL)*(INC_SPECIALS="Y"))=0,"",'Dvd Calendar'!$AJ$1026)))</f>
        <v/>
      </c>
      <c r="AI104" s="110">
        <f>IF(FK104="","",IF(ISNUMBER('Dvd Calendar'!$AK$1026)=FALSE,"",IF((('Dvd Calendar'!$AK$1028=TYPE1)*(TYPE1&lt;&gt;"")+('Dvd Calendar'!$AK$1028=TYPE2)*(TYPE2&lt;&gt;"")+('Dvd Calendar'!$AK$1028=TYPE3)*(TYPE3&lt;&gt;"")+('Dvd Calendar'!$AK$1028=TYPE4)*(TYPE4&lt;&gt;"")+('Dvd Calendar'!$AK$1028=SPECIAL_LBL)*(INC_SPECIALS="Y"))=0,"",'Dvd Calendar'!$AK$1026)))</f>
        <v/>
      </c>
      <c r="AJ104" s="110">
        <f>IF(FL104="","",IF(ISNUMBER('Dvd Calendar'!$AL$1026)=FALSE,"",IF((('Dvd Calendar'!$AL$1028=TYPE1)*(TYPE1&lt;&gt;"")+('Dvd Calendar'!$AL$1028=TYPE2)*(TYPE2&lt;&gt;"")+('Dvd Calendar'!$AL$1028=TYPE3)*(TYPE3&lt;&gt;"")+('Dvd Calendar'!$AL$1028=TYPE4)*(TYPE4&lt;&gt;"")+('Dvd Calendar'!$AL$1028=SPECIAL_LBL)*(INC_SPECIALS="Y"))=0,"",'Dvd Calendar'!$AL$1026)))</f>
        <v/>
      </c>
      <c r="AK104" s="110">
        <f>IF(FM104="","",IF(ISNUMBER('Dvd Calendar'!$AM$1026)=FALSE,"",IF((('Dvd Calendar'!$AM$1028=TYPE1)*(TYPE1&lt;&gt;"")+('Dvd Calendar'!$AM$1028=TYPE2)*(TYPE2&lt;&gt;"")+('Dvd Calendar'!$AM$1028=TYPE3)*(TYPE3&lt;&gt;"")+('Dvd Calendar'!$AM$1028=TYPE4)*(TYPE4&lt;&gt;"")+('Dvd Calendar'!$AM$1028=SPECIAL_LBL)*(INC_SPECIALS="Y"))=0,"",'Dvd Calendar'!$AM$1026)))</f>
        <v/>
      </c>
      <c r="AL104" s="110">
        <f>IF(FN104="","",IF(ISNUMBER('Dvd Calendar'!$AN$1026)=FALSE,"",IF((('Dvd Calendar'!$AN$1028=TYPE1)*(TYPE1&lt;&gt;"")+('Dvd Calendar'!$AN$1028=TYPE2)*(TYPE2&lt;&gt;"")+('Dvd Calendar'!$AN$1028=TYPE3)*(TYPE3&lt;&gt;"")+('Dvd Calendar'!$AN$1028=TYPE4)*(TYPE4&lt;&gt;"")+('Dvd Calendar'!$AN$1028=SPECIAL_LBL)*(INC_SPECIALS="Y"))=0,"",'Dvd Calendar'!$AN$1026)))</f>
        <v/>
      </c>
      <c r="AM104" s="110">
        <f>IF(FO104="","",IF(ISNUMBER('Dvd Calendar'!$AO$1026)=FALSE,"",IF((('Dvd Calendar'!$AO$1028=TYPE1)*(TYPE1&lt;&gt;"")+('Dvd Calendar'!$AO$1028=TYPE2)*(TYPE2&lt;&gt;"")+('Dvd Calendar'!$AO$1028=TYPE3)*(TYPE3&lt;&gt;"")+('Dvd Calendar'!$AO$1028=TYPE4)*(TYPE4&lt;&gt;"")+('Dvd Calendar'!$AO$1028=SPECIAL_LBL)*(INC_SPECIALS="Y"))=0,"",'Dvd Calendar'!$AO$1026)))</f>
        <v/>
      </c>
      <c r="AN104" s="110">
        <f>IF(FP104="","",IF(ISNUMBER('Dvd Calendar'!$AP$1026)=FALSE,"",IF((('Dvd Calendar'!$AP$1028=TYPE1)*(TYPE1&lt;&gt;"")+('Dvd Calendar'!$AP$1028=TYPE2)*(TYPE2&lt;&gt;"")+('Dvd Calendar'!$AP$1028=TYPE3)*(TYPE3&lt;&gt;"")+('Dvd Calendar'!$AP$1028=TYPE4)*(TYPE4&lt;&gt;"")+('Dvd Calendar'!$AP$1028=SPECIAL_LBL)*(INC_SPECIALS="Y"))=0,"",'Dvd Calendar'!$AP$1026)))</f>
        <v/>
      </c>
      <c r="AO104" s="110">
        <f>IF(FQ104="","",IF(ISNUMBER('Dvd Calendar'!$AQ$1026)=FALSE,"",IF((('Dvd Calendar'!$AQ$1028=TYPE1)*(TYPE1&lt;&gt;"")+('Dvd Calendar'!$AQ$1028=TYPE2)*(TYPE2&lt;&gt;"")+('Dvd Calendar'!$AQ$1028=TYPE3)*(TYPE3&lt;&gt;"")+('Dvd Calendar'!$AQ$1028=TYPE4)*(TYPE4&lt;&gt;"")+('Dvd Calendar'!$AQ$1028=SPECIAL_LBL)*(INC_SPECIALS="Y"))=0,"",'Dvd Calendar'!$AQ$1026)))</f>
        <v/>
      </c>
      <c r="AP104" s="110">
        <f>IF(FR104="","",IF(ISNUMBER('Dvd Calendar'!$AR$1026)=FALSE,"",IF((('Dvd Calendar'!$AR$1028=TYPE1)*(TYPE1&lt;&gt;"")+('Dvd Calendar'!$AR$1028=TYPE2)*(TYPE2&lt;&gt;"")+('Dvd Calendar'!$AR$1028=TYPE3)*(TYPE3&lt;&gt;"")+('Dvd Calendar'!$AR$1028=TYPE4)*(TYPE4&lt;&gt;"")+('Dvd Calendar'!$AR$1028=SPECIAL_LBL)*(INC_SPECIALS="Y"))=0,"",'Dvd Calendar'!$AR$1026)))</f>
        <v/>
      </c>
      <c r="AQ104" s="110">
        <f>IF(FS104="","",IF(ISNUMBER('Dvd Calendar'!$E$1031)=FALSE,"",'Dvd Calendar'!$E$1031))</f>
        <v/>
      </c>
      <c r="AR104" s="110">
        <f>IF(FT104="","",IF(ISNUMBER('Dvd Calendar'!$F$1031)=FALSE,"",'Dvd Calendar'!$F$1031))</f>
        <v/>
      </c>
      <c r="AS104" s="110">
        <f>IF(FU104="","",IF(ISNUMBER('Dvd Calendar'!$G$1031)=FALSE,"",'Dvd Calendar'!$G$1031))</f>
        <v/>
      </c>
      <c r="AT104" s="110">
        <f>IF(FV104="","",IF(ISNUMBER('Dvd Calendar'!$H$1031)=FALSE,"",'Dvd Calendar'!$H$1031))</f>
        <v/>
      </c>
      <c r="AU104" s="110">
        <f>IF(FW104="","",IF(ISNUMBER('Dvd Calendar'!$I$1031)=FALSE,"",'Dvd Calendar'!$I$1031))</f>
        <v/>
      </c>
      <c r="AV104" s="110">
        <f>IF(FX104="","",IF(ISNUMBER('Dvd Calendar'!$J$1031)=FALSE,"",'Dvd Calendar'!$J$1031))</f>
        <v/>
      </c>
      <c r="AW104" s="110">
        <f>IF(FY104="","",IF(ISNUMBER('Dvd Calendar'!$K$1031)=FALSE,"",'Dvd Calendar'!$K$1031))</f>
        <v/>
      </c>
      <c r="AX104" s="110">
        <f>IF(FZ104="","",IF(ISNUMBER('Dvd Calendar'!$L$1031)=FALSE,"",'Dvd Calendar'!$L$1031))</f>
        <v/>
      </c>
      <c r="AY104" s="110">
        <f>IF(GA104="","",IF(ISNUMBER('Dvd Calendar'!$M$1031)=FALSE,"",'Dvd Calendar'!$M$1031))</f>
        <v/>
      </c>
      <c r="AZ104" s="110">
        <f>IF(GB104="","",IF(ISNUMBER('Dvd Calendar'!$N$1031)=FALSE,"",'Dvd Calendar'!$N$1031))</f>
        <v/>
      </c>
      <c r="BA104" s="110">
        <f>IF(GC104="","",IF(ISNUMBER('Dvd Calendar'!$O$1031)=FALSE,"",'Dvd Calendar'!$O$1031))</f>
        <v/>
      </c>
      <c r="BB104" s="110">
        <f>IF(GD104="","",IF(ISNUMBER('Dvd Calendar'!$P$1031)=FALSE,"",'Dvd Calendar'!$P$1031))</f>
        <v/>
      </c>
      <c r="BC104" s="110">
        <f>IF(GE104="","",IF(ISNUMBER('Dvd Calendar'!$Q$1031)=FALSE,"",'Dvd Calendar'!$Q$1031))</f>
        <v/>
      </c>
      <c r="BD104" s="110">
        <f>IF(GF104="","",IF(ISNUMBER('Dvd Calendar'!$R$1031)=FALSE,"",'Dvd Calendar'!$R$1031))</f>
        <v/>
      </c>
      <c r="BE104" s="110">
        <f>IF(GG104="","",IF(ISNUMBER('Dvd Calendar'!$S$1031)=FALSE,"",'Dvd Calendar'!$S$1031))</f>
        <v/>
      </c>
      <c r="BF104" s="110">
        <f>IF(GH104="","",IF(ISNUMBER('Dvd Calendar'!$T$1031)=FALSE,"",'Dvd Calendar'!$T$1031))</f>
        <v/>
      </c>
      <c r="BG104" s="110">
        <f>IF(GI104="","",IF(ISNUMBER('Dvd Calendar'!$U$1031)=FALSE,"",'Dvd Calendar'!$U$1031))</f>
        <v/>
      </c>
      <c r="BH104" s="110">
        <f>IF(GJ104="","",IF(ISNUMBER('Dvd Calendar'!$V$1031)=FALSE,"",'Dvd Calendar'!$V$1031))</f>
        <v/>
      </c>
      <c r="BI104" s="110">
        <f>IF(GK104="","",IF(ISNUMBER('Dvd Calendar'!$W$1031)=FALSE,"",'Dvd Calendar'!$W$1031))</f>
        <v/>
      </c>
      <c r="BJ104" s="110">
        <f>IF(GL104="","",IF(ISNUMBER('Dvd Calendar'!$X$1031)=FALSE,"",'Dvd Calendar'!$X$1031))</f>
        <v/>
      </c>
      <c r="BK104" s="110">
        <f>IF(GM104="","",IF(ISNUMBER('Dvd Calendar'!$Y$1031)=FALSE,"",'Dvd Calendar'!$Y$1031))</f>
        <v/>
      </c>
      <c r="BL104" s="110">
        <f>IF(GN104="","",IF(ISNUMBER('Dvd Calendar'!$Z$1031)=FALSE,"",'Dvd Calendar'!$Z$1031))</f>
        <v/>
      </c>
      <c r="BM104" s="110">
        <f>IF(GO104="","",IF(ISNUMBER('Dvd Calendar'!$AA$1031)=FALSE,"",'Dvd Calendar'!$AA$1031))</f>
        <v/>
      </c>
      <c r="BN104" s="110">
        <f>IF(GP104="","",IF(ISNUMBER('Dvd Calendar'!$AB$1031)=FALSE,"",'Dvd Calendar'!$AB$1031))</f>
        <v/>
      </c>
      <c r="BO104" s="110">
        <f>IF(GQ104="","",IF(ISNUMBER('Dvd Calendar'!$AC$1031)=FALSE,"",'Dvd Calendar'!$AC$1031))</f>
        <v/>
      </c>
      <c r="BQ104" s="110">
        <f>IF(C104="","",IFERROR(C104*HSI!$B$99*HSI!$G$99/HSI!$B$3,""))</f>
        <v/>
      </c>
      <c r="BR104" s="110">
        <f>IF(D104="","",IFERROR(D104*HSI!$B$99*HSI!$G$99/HSI!$B$3,""))</f>
        <v/>
      </c>
      <c r="BS104" s="110">
        <f>IF(E104="","",IFERROR(E104*HSI!$B$99*HSI!$G$99/HSI!$B$3,""))</f>
        <v/>
      </c>
      <c r="BT104" s="110">
        <f>IF(F104="","",IFERROR(F104*HSI!$B$99*HSI!$G$99/HSI!$B$3,""))</f>
        <v/>
      </c>
      <c r="BU104" s="110">
        <f>IF(G104="","",IFERROR(G104*HSI!$B$99*HSI!$G$99/HSI!$B$3,""))</f>
        <v/>
      </c>
      <c r="BV104" s="110">
        <f>IF(H104="","",IFERROR(H104*HSI!$B$99*HSI!$G$99/HSI!$B$3,""))</f>
        <v/>
      </c>
      <c r="BW104" s="110">
        <f>IF(I104="","",IFERROR(I104*HSI!$B$99*HSI!$G$99/HSI!$B$3,""))</f>
        <v/>
      </c>
      <c r="BX104" s="110">
        <f>IF(J104="","",IFERROR(J104*HSI!$B$99*HSI!$G$99/HSI!$B$3,""))</f>
        <v/>
      </c>
      <c r="BY104" s="110">
        <f>IF(K104="","",IFERROR(K104*HSI!$B$99*HSI!$G$99/HSI!$B$3,""))</f>
        <v/>
      </c>
      <c r="BZ104" s="110">
        <f>IF(L104="","",IFERROR(L104*HSI!$B$99*HSI!$G$99/HSI!$B$3,""))</f>
        <v/>
      </c>
      <c r="CA104" s="110">
        <f>IF(M104="","",IFERROR(M104*HSI!$B$99*HSI!$G$99/HSI!$B$3,""))</f>
        <v/>
      </c>
      <c r="CB104" s="110">
        <f>IF(N104="","",IFERROR(N104*HSI!$B$99*HSI!$G$99/HSI!$B$3,""))</f>
        <v/>
      </c>
      <c r="CC104" s="110">
        <f>IF(O104="","",IFERROR(O104*HSI!$B$99*HSI!$G$99/HSI!$B$3,""))</f>
        <v/>
      </c>
      <c r="CD104" s="110">
        <f>IF(P104="","",IFERROR(P104*HSI!$B$99*HSI!$G$99/HSI!$B$3,""))</f>
        <v/>
      </c>
      <c r="CE104" s="110">
        <f>IF(Q104="","",IFERROR(Q104*HSI!$B$99*HSI!$G$99/HSI!$B$3,""))</f>
        <v/>
      </c>
      <c r="CF104" s="110">
        <f>IF(R104="","",IFERROR(R104*HSI!$B$99*HSI!$G$99/HSI!$B$3,""))</f>
        <v/>
      </c>
      <c r="CG104" s="110">
        <f>IF(S104="","",IFERROR(S104*HSI!$B$99*HSI!$G$99/HSI!$B$3,""))</f>
        <v/>
      </c>
      <c r="CH104" s="110">
        <f>IF(T104="","",IFERROR(T104*HSI!$B$99*HSI!$G$99/HSI!$B$3,""))</f>
        <v/>
      </c>
      <c r="CI104" s="110">
        <f>IF(U104="","",IFERROR(U104*HSI!$B$99*HSI!$G$99/HSI!$B$3,""))</f>
        <v/>
      </c>
      <c r="CJ104" s="110">
        <f>IF(V104="","",IFERROR(V104*HSI!$B$99*HSI!$G$99/HSI!$B$3,""))</f>
        <v/>
      </c>
      <c r="CK104" s="110">
        <f>IF(W104="","",IFERROR(W104*HSI!$B$99*HSI!$G$99/HSI!$B$3,""))</f>
        <v/>
      </c>
      <c r="CL104" s="110">
        <f>IF(X104="","",IFERROR(X104*HSI!$B$99*HSI!$G$99/HSI!$B$3,""))</f>
        <v/>
      </c>
      <c r="CM104" s="110">
        <f>IF(Y104="","",IFERROR(Y104*HSI!$B$99*HSI!$G$99/HSI!$B$3,""))</f>
        <v/>
      </c>
      <c r="CN104" s="110">
        <f>IF(Z104="","",IFERROR(Z104*HSI!$B$99*HSI!$G$99/HSI!$B$3,""))</f>
        <v/>
      </c>
      <c r="CO104" s="110">
        <f>IF(AA104="","",IFERROR(AA104*HSI!$B$99*HSI!$G$99/HSI!$B$3,""))</f>
        <v/>
      </c>
      <c r="CP104" s="110">
        <f>IF(AB104="","",IFERROR(AB104*HSI!$B$99*HSI!$G$99/HSI!$B$3,""))</f>
        <v/>
      </c>
      <c r="CQ104" s="110">
        <f>IF(AC104="","",IFERROR(AC104*HSI!$B$99*HSI!$G$99/HSI!$B$3,""))</f>
        <v/>
      </c>
      <c r="CR104" s="110">
        <f>IF(AD104="","",IFERROR(AD104*HSI!$B$99*HSI!$G$99/HSI!$B$3,""))</f>
        <v/>
      </c>
      <c r="CS104" s="110">
        <f>IF(AE104="","",IFERROR(AE104*HSI!$B$99*HSI!$G$99/HSI!$B$3,""))</f>
        <v/>
      </c>
      <c r="CT104" s="110">
        <f>IF(AF104="","",IFERROR(AF104*HSI!$B$99*HSI!$G$99/HSI!$B$3,""))</f>
        <v/>
      </c>
      <c r="CU104" s="110">
        <f>IF(AG104="","",IFERROR(AG104*HSI!$B$99*HSI!$G$99/HSI!$B$3,""))</f>
        <v/>
      </c>
      <c r="CV104" s="110">
        <f>IF(AH104="","",IFERROR(AH104*HSI!$B$99*HSI!$G$99/HSI!$B$3,""))</f>
        <v/>
      </c>
      <c r="CW104" s="110">
        <f>IF(AI104="","",IFERROR(AI104*HSI!$B$99*HSI!$G$99/HSI!$B$3,""))</f>
        <v/>
      </c>
      <c r="CX104" s="110">
        <f>IF(AJ104="","",IFERROR(AJ104*HSI!$B$99*HSI!$G$99/HSI!$B$3,""))</f>
        <v/>
      </c>
      <c r="CY104" s="110">
        <f>IF(AK104="","",IFERROR(AK104*HSI!$B$99*HSI!$G$99/HSI!$B$3,""))</f>
        <v/>
      </c>
      <c r="CZ104" s="110">
        <f>IF(AL104="","",IFERROR(AL104*HSI!$B$99*HSI!$G$99/HSI!$B$3,""))</f>
        <v/>
      </c>
      <c r="DA104" s="110">
        <f>IF(AM104="","",IFERROR(AM104*HSI!$B$99*HSI!$G$99/HSI!$B$3,""))</f>
        <v/>
      </c>
      <c r="DB104" s="110">
        <f>IF(AN104="","",IFERROR(AN104*HSI!$B$99*HSI!$G$99/HSI!$B$3,""))</f>
        <v/>
      </c>
      <c r="DC104" s="110">
        <f>IF(AO104="","",IFERROR(AO104*HSI!$B$99*HSI!$G$99/HSI!$B$3,""))</f>
        <v/>
      </c>
      <c r="DD104" s="110">
        <f>IF(AP104="","",IFERROR(AP104*HSI!$B$99*HSI!$G$99/HSI!$B$3,""))</f>
        <v/>
      </c>
      <c r="DE104" s="110">
        <f>IF(AQ104="","",IFERROR(AQ104*HSI!$B$99*HSI!$G$99/HSI!$B$3,""))</f>
        <v/>
      </c>
      <c r="DF104" s="110">
        <f>IF(AR104="","",IFERROR(AR104*HSI!$B$99*HSI!$G$99/HSI!$B$3,""))</f>
        <v/>
      </c>
      <c r="DG104" s="110">
        <f>IF(AS104="","",IFERROR(AS104*HSI!$B$99*HSI!$G$99/HSI!$B$3,""))</f>
        <v/>
      </c>
      <c r="DH104" s="110">
        <f>IF(AT104="","",IFERROR(AT104*HSI!$B$99*HSI!$G$99/HSI!$B$3,""))</f>
        <v/>
      </c>
      <c r="DI104" s="110">
        <f>IF(AU104="","",IFERROR(AU104*HSI!$B$99*HSI!$G$99/HSI!$B$3,""))</f>
        <v/>
      </c>
      <c r="DJ104" s="110">
        <f>IF(AV104="","",IFERROR(AV104*HSI!$B$99*HSI!$G$99/HSI!$B$3,""))</f>
        <v/>
      </c>
      <c r="DK104" s="110">
        <f>IF(AW104="","",IFERROR(AW104*HSI!$B$99*HSI!$G$99/HSI!$B$3,""))</f>
        <v/>
      </c>
      <c r="DL104" s="110">
        <f>IF(AX104="","",IFERROR(AX104*HSI!$B$99*HSI!$G$99/HSI!$B$3,""))</f>
        <v/>
      </c>
      <c r="DM104" s="110">
        <f>IF(AY104="","",IFERROR(AY104*HSI!$B$99*HSI!$G$99/HSI!$B$3,""))</f>
        <v/>
      </c>
      <c r="DN104" s="110">
        <f>IF(AZ104="","",IFERROR(AZ104*HSI!$B$99*HSI!$G$99/HSI!$B$3,""))</f>
        <v/>
      </c>
      <c r="DO104" s="110">
        <f>IF(BA104="","",IFERROR(BA104*HSI!$B$99*HSI!$G$99/HSI!$B$3,""))</f>
        <v/>
      </c>
      <c r="DP104" s="110">
        <f>IF(BB104="","",IFERROR(BB104*HSI!$B$99*HSI!$G$99/HSI!$B$3,""))</f>
        <v/>
      </c>
      <c r="DQ104" s="110">
        <f>IF(BC104="","",IFERROR(BC104*HSI!$B$99*HSI!$G$99/HSI!$B$3,""))</f>
        <v/>
      </c>
      <c r="DR104" s="110">
        <f>IF(BD104="","",IFERROR(BD104*HSI!$B$99*HSI!$G$99/HSI!$B$3,""))</f>
        <v/>
      </c>
      <c r="DS104" s="110">
        <f>IF(BE104="","",IFERROR(BE104*HSI!$B$99*HSI!$G$99/HSI!$B$3,""))</f>
        <v/>
      </c>
      <c r="DT104" s="110">
        <f>IF(BF104="","",IFERROR(BF104*HSI!$B$99*HSI!$G$99/HSI!$B$3,""))</f>
        <v/>
      </c>
      <c r="DU104" s="110">
        <f>IF(BG104="","",IFERROR(BG104*HSI!$B$99*HSI!$G$99/HSI!$B$3,""))</f>
        <v/>
      </c>
      <c r="DV104" s="110">
        <f>IF(BH104="","",IFERROR(BH104*HSI!$B$99*HSI!$G$99/HSI!$B$3,""))</f>
        <v/>
      </c>
      <c r="DW104" s="110">
        <f>IF(BI104="","",IFERROR(BI104*HSI!$B$99*HSI!$G$99/HSI!$B$3,""))</f>
        <v/>
      </c>
      <c r="DX104" s="110">
        <f>IF(BJ104="","",IFERROR(BJ104*HSI!$B$99*HSI!$G$99/HSI!$B$3,""))</f>
        <v/>
      </c>
      <c r="DY104" s="110">
        <f>IF(BK104="","",IFERROR(BK104*HSI!$B$99*HSI!$G$99/HSI!$B$3,""))</f>
        <v/>
      </c>
      <c r="DZ104" s="110">
        <f>IF(BL104="","",IFERROR(BL104*HSI!$B$99*HSI!$G$99/HSI!$B$3,""))</f>
        <v/>
      </c>
      <c r="EA104" s="110">
        <f>IF(BM104="","",IFERROR(BM104*HSI!$B$99*HSI!$G$99/HSI!$B$3,""))</f>
        <v/>
      </c>
      <c r="EB104" s="110">
        <f>IF(BN104="","",IFERROR(BN104*HSI!$B$99*HSI!$G$99/HSI!$B$3,""))</f>
        <v/>
      </c>
      <c r="EC104" s="110">
        <f>IF(BO104="","",IFERROR(BO104*HSI!$B$99*HSI!$G$99/HSI!$B$3,""))</f>
        <v/>
      </c>
      <c r="EE104" s="39">
        <f>IF(N('Dvd Calendar'!$E$1023)=0,"",IF(('Dvd Calendar'!$E$1023&gt;=GRID_FROM)*('Dvd Calendar'!$E$1023&lt;=GRID_TO)*((('Dvd Calendar'!$E$1023&lt;=VAL_DATE)+(COUNTIF('Dvd Calendar'!$E$1030:$AR$1030,'Dvd Calendar'!$E$1023)=0))&gt;0)=0,"",'Dvd Calendar'!$E$1023*1000000000+ISNUMBER('Dvd Calendar'!$E$1026)*100000000+('Dvd Calendar'!$E$1028=SPECIAL_LBL)*10000000+(N('Dvd Calendar'!$E$1022)&gt;0)*(N('Dvd Calendar'!$E$1022)&lt;=VAL_SERIAL)*1000000+93*1000+1))</f>
        <v/>
      </c>
      <c r="EF104" s="39">
        <f>IF(N('Dvd Calendar'!$F$1023)=0,"",IF(('Dvd Calendar'!$F$1023&gt;=GRID_FROM)*('Dvd Calendar'!$F$1023&lt;=GRID_TO)*((('Dvd Calendar'!$F$1023&lt;=VAL_DATE)+(COUNTIF('Dvd Calendar'!$E$1030:$AR$1030,'Dvd Calendar'!$F$1023)=0))&gt;0)=0,"",'Dvd Calendar'!$F$1023*1000000000+ISNUMBER('Dvd Calendar'!$F$1026)*100000000+('Dvd Calendar'!$F$1028=SPECIAL_LBL)*10000000+(N('Dvd Calendar'!$F$1022)&gt;0)*(N('Dvd Calendar'!$F$1022)&lt;=VAL_SERIAL)*1000000+93*1000+2))</f>
        <v/>
      </c>
      <c r="EG104" s="39">
        <f>IF(N('Dvd Calendar'!$G$1023)=0,"",IF(('Dvd Calendar'!$G$1023&gt;=GRID_FROM)*('Dvd Calendar'!$G$1023&lt;=GRID_TO)*((('Dvd Calendar'!$G$1023&lt;=VAL_DATE)+(COUNTIF('Dvd Calendar'!$E$1030:$AR$1030,'Dvd Calendar'!$G$1023)=0))&gt;0)=0,"",'Dvd Calendar'!$G$1023*1000000000+ISNUMBER('Dvd Calendar'!$G$1026)*100000000+('Dvd Calendar'!$G$1028=SPECIAL_LBL)*10000000+(N('Dvd Calendar'!$G$1022)&gt;0)*(N('Dvd Calendar'!$G$1022)&lt;=VAL_SERIAL)*1000000+93*1000+3))</f>
        <v/>
      </c>
      <c r="EH104" s="39">
        <f>IF(N('Dvd Calendar'!$H$1023)=0,"",IF(('Dvd Calendar'!$H$1023&gt;=GRID_FROM)*('Dvd Calendar'!$H$1023&lt;=GRID_TO)*((('Dvd Calendar'!$H$1023&lt;=VAL_DATE)+(COUNTIF('Dvd Calendar'!$E$1030:$AR$1030,'Dvd Calendar'!$H$1023)=0))&gt;0)=0,"",'Dvd Calendar'!$H$1023*1000000000+ISNUMBER('Dvd Calendar'!$H$1026)*100000000+('Dvd Calendar'!$H$1028=SPECIAL_LBL)*10000000+(N('Dvd Calendar'!$H$1022)&gt;0)*(N('Dvd Calendar'!$H$1022)&lt;=VAL_SERIAL)*1000000+93*1000+4))</f>
        <v/>
      </c>
      <c r="EI104" s="39">
        <f>IF(N('Dvd Calendar'!$I$1023)=0,"",IF(('Dvd Calendar'!$I$1023&gt;=GRID_FROM)*('Dvd Calendar'!$I$1023&lt;=GRID_TO)*((('Dvd Calendar'!$I$1023&lt;=VAL_DATE)+(COUNTIF('Dvd Calendar'!$E$1030:$AR$1030,'Dvd Calendar'!$I$1023)=0))&gt;0)=0,"",'Dvd Calendar'!$I$1023*1000000000+ISNUMBER('Dvd Calendar'!$I$1026)*100000000+('Dvd Calendar'!$I$1028=SPECIAL_LBL)*10000000+(N('Dvd Calendar'!$I$1022)&gt;0)*(N('Dvd Calendar'!$I$1022)&lt;=VAL_SERIAL)*1000000+93*1000+5))</f>
        <v/>
      </c>
      <c r="EJ104" s="39">
        <f>IF(N('Dvd Calendar'!$J$1023)=0,"",IF(('Dvd Calendar'!$J$1023&gt;=GRID_FROM)*('Dvd Calendar'!$J$1023&lt;=GRID_TO)*((('Dvd Calendar'!$J$1023&lt;=VAL_DATE)+(COUNTIF('Dvd Calendar'!$E$1030:$AR$1030,'Dvd Calendar'!$J$1023)=0))&gt;0)=0,"",'Dvd Calendar'!$J$1023*1000000000+ISNUMBER('Dvd Calendar'!$J$1026)*100000000+('Dvd Calendar'!$J$1028=SPECIAL_LBL)*10000000+(N('Dvd Calendar'!$J$1022)&gt;0)*(N('Dvd Calendar'!$J$1022)&lt;=VAL_SERIAL)*1000000+93*1000+6))</f>
        <v/>
      </c>
      <c r="EK104" s="39">
        <f>IF(N('Dvd Calendar'!$K$1023)=0,"",IF(('Dvd Calendar'!$K$1023&gt;=GRID_FROM)*('Dvd Calendar'!$K$1023&lt;=GRID_TO)*((('Dvd Calendar'!$K$1023&lt;=VAL_DATE)+(COUNTIF('Dvd Calendar'!$E$1030:$AR$1030,'Dvd Calendar'!$K$1023)=0))&gt;0)=0,"",'Dvd Calendar'!$K$1023*1000000000+ISNUMBER('Dvd Calendar'!$K$1026)*100000000+('Dvd Calendar'!$K$1028=SPECIAL_LBL)*10000000+(N('Dvd Calendar'!$K$1022)&gt;0)*(N('Dvd Calendar'!$K$1022)&lt;=VAL_SERIAL)*1000000+93*1000+7))</f>
        <v/>
      </c>
      <c r="EL104" s="39">
        <f>IF(N('Dvd Calendar'!$L$1023)=0,"",IF(('Dvd Calendar'!$L$1023&gt;=GRID_FROM)*('Dvd Calendar'!$L$1023&lt;=GRID_TO)*((('Dvd Calendar'!$L$1023&lt;=VAL_DATE)+(COUNTIF('Dvd Calendar'!$E$1030:$AR$1030,'Dvd Calendar'!$L$1023)=0))&gt;0)=0,"",'Dvd Calendar'!$L$1023*1000000000+ISNUMBER('Dvd Calendar'!$L$1026)*100000000+('Dvd Calendar'!$L$1028=SPECIAL_LBL)*10000000+(N('Dvd Calendar'!$L$1022)&gt;0)*(N('Dvd Calendar'!$L$1022)&lt;=VAL_SERIAL)*1000000+93*1000+8))</f>
        <v/>
      </c>
      <c r="EM104" s="39">
        <f>IF(N('Dvd Calendar'!$M$1023)=0,"",IF(('Dvd Calendar'!$M$1023&gt;=GRID_FROM)*('Dvd Calendar'!$M$1023&lt;=GRID_TO)*((('Dvd Calendar'!$M$1023&lt;=VAL_DATE)+(COUNTIF('Dvd Calendar'!$E$1030:$AR$1030,'Dvd Calendar'!$M$1023)=0))&gt;0)=0,"",'Dvd Calendar'!$M$1023*1000000000+ISNUMBER('Dvd Calendar'!$M$1026)*100000000+('Dvd Calendar'!$M$1028=SPECIAL_LBL)*10000000+(N('Dvd Calendar'!$M$1022)&gt;0)*(N('Dvd Calendar'!$M$1022)&lt;=VAL_SERIAL)*1000000+93*1000+9))</f>
        <v/>
      </c>
      <c r="EN104" s="39">
        <f>IF(N('Dvd Calendar'!$N$1023)=0,"",IF(('Dvd Calendar'!$N$1023&gt;=GRID_FROM)*('Dvd Calendar'!$N$1023&lt;=GRID_TO)*((('Dvd Calendar'!$N$1023&lt;=VAL_DATE)+(COUNTIF('Dvd Calendar'!$E$1030:$AR$1030,'Dvd Calendar'!$N$1023)=0))&gt;0)=0,"",'Dvd Calendar'!$N$1023*1000000000+ISNUMBER('Dvd Calendar'!$N$1026)*100000000+('Dvd Calendar'!$N$1028=SPECIAL_LBL)*10000000+(N('Dvd Calendar'!$N$1022)&gt;0)*(N('Dvd Calendar'!$N$1022)&lt;=VAL_SERIAL)*1000000+93*1000+10))</f>
        <v/>
      </c>
      <c r="EO104" s="39">
        <f>IF(N('Dvd Calendar'!$O$1023)=0,"",IF(('Dvd Calendar'!$O$1023&gt;=GRID_FROM)*('Dvd Calendar'!$O$1023&lt;=GRID_TO)*((('Dvd Calendar'!$O$1023&lt;=VAL_DATE)+(COUNTIF('Dvd Calendar'!$E$1030:$AR$1030,'Dvd Calendar'!$O$1023)=0))&gt;0)=0,"",'Dvd Calendar'!$O$1023*1000000000+ISNUMBER('Dvd Calendar'!$O$1026)*100000000+('Dvd Calendar'!$O$1028=SPECIAL_LBL)*10000000+(N('Dvd Calendar'!$O$1022)&gt;0)*(N('Dvd Calendar'!$O$1022)&lt;=VAL_SERIAL)*1000000+93*1000+11))</f>
        <v/>
      </c>
      <c r="EP104" s="39">
        <f>IF(N('Dvd Calendar'!$P$1023)=0,"",IF(('Dvd Calendar'!$P$1023&gt;=GRID_FROM)*('Dvd Calendar'!$P$1023&lt;=GRID_TO)*((('Dvd Calendar'!$P$1023&lt;=VAL_DATE)+(COUNTIF('Dvd Calendar'!$E$1030:$AR$1030,'Dvd Calendar'!$P$1023)=0))&gt;0)=0,"",'Dvd Calendar'!$P$1023*1000000000+ISNUMBER('Dvd Calendar'!$P$1026)*100000000+('Dvd Calendar'!$P$1028=SPECIAL_LBL)*10000000+(N('Dvd Calendar'!$P$1022)&gt;0)*(N('Dvd Calendar'!$P$1022)&lt;=VAL_SERIAL)*1000000+93*1000+12))</f>
        <v/>
      </c>
      <c r="EQ104" s="39">
        <f>IF(N('Dvd Calendar'!$Q$1023)=0,"",IF(('Dvd Calendar'!$Q$1023&gt;=GRID_FROM)*('Dvd Calendar'!$Q$1023&lt;=GRID_TO)*((('Dvd Calendar'!$Q$1023&lt;=VAL_DATE)+(COUNTIF('Dvd Calendar'!$E$1030:$AR$1030,'Dvd Calendar'!$Q$1023)=0))&gt;0)=0,"",'Dvd Calendar'!$Q$1023*1000000000+ISNUMBER('Dvd Calendar'!$Q$1026)*100000000+('Dvd Calendar'!$Q$1028=SPECIAL_LBL)*10000000+(N('Dvd Calendar'!$Q$1022)&gt;0)*(N('Dvd Calendar'!$Q$1022)&lt;=VAL_SERIAL)*1000000+93*1000+13))</f>
        <v/>
      </c>
      <c r="ER104" s="39">
        <f>IF(N('Dvd Calendar'!$R$1023)=0,"",IF(('Dvd Calendar'!$R$1023&gt;=GRID_FROM)*('Dvd Calendar'!$R$1023&lt;=GRID_TO)*((('Dvd Calendar'!$R$1023&lt;=VAL_DATE)+(COUNTIF('Dvd Calendar'!$E$1030:$AR$1030,'Dvd Calendar'!$R$1023)=0))&gt;0)=0,"",'Dvd Calendar'!$R$1023*1000000000+ISNUMBER('Dvd Calendar'!$R$1026)*100000000+('Dvd Calendar'!$R$1028=SPECIAL_LBL)*10000000+(N('Dvd Calendar'!$R$1022)&gt;0)*(N('Dvd Calendar'!$R$1022)&lt;=VAL_SERIAL)*1000000+93*1000+14))</f>
        <v/>
      </c>
      <c r="ES104" s="39">
        <f>IF(N('Dvd Calendar'!$S$1023)=0,"",IF(('Dvd Calendar'!$S$1023&gt;=GRID_FROM)*('Dvd Calendar'!$S$1023&lt;=GRID_TO)*((('Dvd Calendar'!$S$1023&lt;=VAL_DATE)+(COUNTIF('Dvd Calendar'!$E$1030:$AR$1030,'Dvd Calendar'!$S$1023)=0))&gt;0)=0,"",'Dvd Calendar'!$S$1023*1000000000+ISNUMBER('Dvd Calendar'!$S$1026)*100000000+('Dvd Calendar'!$S$1028=SPECIAL_LBL)*10000000+(N('Dvd Calendar'!$S$1022)&gt;0)*(N('Dvd Calendar'!$S$1022)&lt;=VAL_SERIAL)*1000000+93*1000+15))</f>
        <v/>
      </c>
      <c r="ET104" s="39">
        <f>IF(N('Dvd Calendar'!$T$1023)=0,"",IF(('Dvd Calendar'!$T$1023&gt;=GRID_FROM)*('Dvd Calendar'!$T$1023&lt;=GRID_TO)*((('Dvd Calendar'!$T$1023&lt;=VAL_DATE)+(COUNTIF('Dvd Calendar'!$E$1030:$AR$1030,'Dvd Calendar'!$T$1023)=0))&gt;0)=0,"",'Dvd Calendar'!$T$1023*1000000000+ISNUMBER('Dvd Calendar'!$T$1026)*100000000+('Dvd Calendar'!$T$1028=SPECIAL_LBL)*10000000+(N('Dvd Calendar'!$T$1022)&gt;0)*(N('Dvd Calendar'!$T$1022)&lt;=VAL_SERIAL)*1000000+93*1000+16))</f>
        <v/>
      </c>
      <c r="EU104" s="39">
        <f>IF(N('Dvd Calendar'!$U$1023)=0,"",IF(('Dvd Calendar'!$U$1023&gt;=GRID_FROM)*('Dvd Calendar'!$U$1023&lt;=GRID_TO)*((('Dvd Calendar'!$U$1023&lt;=VAL_DATE)+(COUNTIF('Dvd Calendar'!$E$1030:$AR$1030,'Dvd Calendar'!$U$1023)=0))&gt;0)=0,"",'Dvd Calendar'!$U$1023*1000000000+ISNUMBER('Dvd Calendar'!$U$1026)*100000000+('Dvd Calendar'!$U$1028=SPECIAL_LBL)*10000000+(N('Dvd Calendar'!$U$1022)&gt;0)*(N('Dvd Calendar'!$U$1022)&lt;=VAL_SERIAL)*1000000+93*1000+17))</f>
        <v/>
      </c>
      <c r="EV104" s="39">
        <f>IF(N('Dvd Calendar'!$V$1023)=0,"",IF(('Dvd Calendar'!$V$1023&gt;=GRID_FROM)*('Dvd Calendar'!$V$1023&lt;=GRID_TO)*((('Dvd Calendar'!$V$1023&lt;=VAL_DATE)+(COUNTIF('Dvd Calendar'!$E$1030:$AR$1030,'Dvd Calendar'!$V$1023)=0))&gt;0)=0,"",'Dvd Calendar'!$V$1023*1000000000+ISNUMBER('Dvd Calendar'!$V$1026)*100000000+('Dvd Calendar'!$V$1028=SPECIAL_LBL)*10000000+(N('Dvd Calendar'!$V$1022)&gt;0)*(N('Dvd Calendar'!$V$1022)&lt;=VAL_SERIAL)*1000000+93*1000+18))</f>
        <v/>
      </c>
      <c r="EW104" s="39">
        <f>IF(N('Dvd Calendar'!$W$1023)=0,"",IF(('Dvd Calendar'!$W$1023&gt;=GRID_FROM)*('Dvd Calendar'!$W$1023&lt;=GRID_TO)*((('Dvd Calendar'!$W$1023&lt;=VAL_DATE)+(COUNTIF('Dvd Calendar'!$E$1030:$AR$1030,'Dvd Calendar'!$W$1023)=0))&gt;0)=0,"",'Dvd Calendar'!$W$1023*1000000000+ISNUMBER('Dvd Calendar'!$W$1026)*100000000+('Dvd Calendar'!$W$1028=SPECIAL_LBL)*10000000+(N('Dvd Calendar'!$W$1022)&gt;0)*(N('Dvd Calendar'!$W$1022)&lt;=VAL_SERIAL)*1000000+93*1000+19))</f>
        <v/>
      </c>
      <c r="EX104" s="39">
        <f>IF(N('Dvd Calendar'!$X$1023)=0,"",IF(('Dvd Calendar'!$X$1023&gt;=GRID_FROM)*('Dvd Calendar'!$X$1023&lt;=GRID_TO)*((('Dvd Calendar'!$X$1023&lt;=VAL_DATE)+(COUNTIF('Dvd Calendar'!$E$1030:$AR$1030,'Dvd Calendar'!$X$1023)=0))&gt;0)=0,"",'Dvd Calendar'!$X$1023*1000000000+ISNUMBER('Dvd Calendar'!$X$1026)*100000000+('Dvd Calendar'!$X$1028=SPECIAL_LBL)*10000000+(N('Dvd Calendar'!$X$1022)&gt;0)*(N('Dvd Calendar'!$X$1022)&lt;=VAL_SERIAL)*1000000+93*1000+20))</f>
        <v/>
      </c>
      <c r="EY104" s="39">
        <f>IF(N('Dvd Calendar'!$Y$1023)=0,"",IF(('Dvd Calendar'!$Y$1023&gt;=GRID_FROM)*('Dvd Calendar'!$Y$1023&lt;=GRID_TO)*((('Dvd Calendar'!$Y$1023&lt;=VAL_DATE)+(COUNTIF('Dvd Calendar'!$E$1030:$AR$1030,'Dvd Calendar'!$Y$1023)=0))&gt;0)=0,"",'Dvd Calendar'!$Y$1023*1000000000+ISNUMBER('Dvd Calendar'!$Y$1026)*100000000+('Dvd Calendar'!$Y$1028=SPECIAL_LBL)*10000000+(N('Dvd Calendar'!$Y$1022)&gt;0)*(N('Dvd Calendar'!$Y$1022)&lt;=VAL_SERIAL)*1000000+93*1000+21))</f>
        <v/>
      </c>
      <c r="EZ104" s="39">
        <f>IF(N('Dvd Calendar'!$Z$1023)=0,"",IF(('Dvd Calendar'!$Z$1023&gt;=GRID_FROM)*('Dvd Calendar'!$Z$1023&lt;=GRID_TO)*((('Dvd Calendar'!$Z$1023&lt;=VAL_DATE)+(COUNTIF('Dvd Calendar'!$E$1030:$AR$1030,'Dvd Calendar'!$Z$1023)=0))&gt;0)=0,"",'Dvd Calendar'!$Z$1023*1000000000+ISNUMBER('Dvd Calendar'!$Z$1026)*100000000+('Dvd Calendar'!$Z$1028=SPECIAL_LBL)*10000000+(N('Dvd Calendar'!$Z$1022)&gt;0)*(N('Dvd Calendar'!$Z$1022)&lt;=VAL_SERIAL)*1000000+93*1000+22))</f>
        <v/>
      </c>
      <c r="FA104" s="39">
        <f>IF(N('Dvd Calendar'!$AA$1023)=0,"",IF(('Dvd Calendar'!$AA$1023&gt;=GRID_FROM)*('Dvd Calendar'!$AA$1023&lt;=GRID_TO)*((('Dvd Calendar'!$AA$1023&lt;=VAL_DATE)+(COUNTIF('Dvd Calendar'!$E$1030:$AR$1030,'Dvd Calendar'!$AA$1023)=0))&gt;0)=0,"",'Dvd Calendar'!$AA$1023*1000000000+ISNUMBER('Dvd Calendar'!$AA$1026)*100000000+('Dvd Calendar'!$AA$1028=SPECIAL_LBL)*10000000+(N('Dvd Calendar'!$AA$1022)&gt;0)*(N('Dvd Calendar'!$AA$1022)&lt;=VAL_SERIAL)*1000000+93*1000+23))</f>
        <v/>
      </c>
      <c r="FB104" s="39">
        <f>IF(N('Dvd Calendar'!$AB$1023)=0,"",IF(('Dvd Calendar'!$AB$1023&gt;=GRID_FROM)*('Dvd Calendar'!$AB$1023&lt;=GRID_TO)*((('Dvd Calendar'!$AB$1023&lt;=VAL_DATE)+(COUNTIF('Dvd Calendar'!$E$1030:$AR$1030,'Dvd Calendar'!$AB$1023)=0))&gt;0)=0,"",'Dvd Calendar'!$AB$1023*1000000000+ISNUMBER('Dvd Calendar'!$AB$1026)*100000000+('Dvd Calendar'!$AB$1028=SPECIAL_LBL)*10000000+(N('Dvd Calendar'!$AB$1022)&gt;0)*(N('Dvd Calendar'!$AB$1022)&lt;=VAL_SERIAL)*1000000+93*1000+24))</f>
        <v/>
      </c>
      <c r="FC104" s="39">
        <f>IF(N('Dvd Calendar'!$AC$1023)=0,"",IF(('Dvd Calendar'!$AC$1023&gt;=GRID_FROM)*('Dvd Calendar'!$AC$1023&lt;=GRID_TO)*((('Dvd Calendar'!$AC$1023&lt;=VAL_DATE)+(COUNTIF('Dvd Calendar'!$E$1030:$AR$1030,'Dvd Calendar'!$AC$1023)=0))&gt;0)=0,"",'Dvd Calendar'!$AC$1023*1000000000+ISNUMBER('Dvd Calendar'!$AC$1026)*100000000+('Dvd Calendar'!$AC$1028=SPECIAL_LBL)*10000000+(N('Dvd Calendar'!$AC$1022)&gt;0)*(N('Dvd Calendar'!$AC$1022)&lt;=VAL_SERIAL)*1000000+93*1000+25))</f>
        <v/>
      </c>
      <c r="FD104" s="39">
        <f>IF(N('Dvd Calendar'!$AD$1023)=0,"",IF(('Dvd Calendar'!$AD$1023&gt;=GRID_FROM)*('Dvd Calendar'!$AD$1023&lt;=GRID_TO)*((('Dvd Calendar'!$AD$1023&lt;=VAL_DATE)+(COUNTIF('Dvd Calendar'!$E$1030:$AR$1030,'Dvd Calendar'!$AD$1023)=0))&gt;0)=0,"",'Dvd Calendar'!$AD$1023*1000000000+ISNUMBER('Dvd Calendar'!$AD$1026)*100000000+('Dvd Calendar'!$AD$1028=SPECIAL_LBL)*10000000+(N('Dvd Calendar'!$AD$1022)&gt;0)*(N('Dvd Calendar'!$AD$1022)&lt;=VAL_SERIAL)*1000000+93*1000+26))</f>
        <v/>
      </c>
      <c r="FE104" s="39">
        <f>IF(N('Dvd Calendar'!$AE$1023)=0,"",IF(('Dvd Calendar'!$AE$1023&gt;=GRID_FROM)*('Dvd Calendar'!$AE$1023&lt;=GRID_TO)*((('Dvd Calendar'!$AE$1023&lt;=VAL_DATE)+(COUNTIF('Dvd Calendar'!$E$1030:$AR$1030,'Dvd Calendar'!$AE$1023)=0))&gt;0)=0,"",'Dvd Calendar'!$AE$1023*1000000000+ISNUMBER('Dvd Calendar'!$AE$1026)*100000000+('Dvd Calendar'!$AE$1028=SPECIAL_LBL)*10000000+(N('Dvd Calendar'!$AE$1022)&gt;0)*(N('Dvd Calendar'!$AE$1022)&lt;=VAL_SERIAL)*1000000+93*1000+27))</f>
        <v/>
      </c>
      <c r="FF104" s="39">
        <f>IF(N('Dvd Calendar'!$AF$1023)=0,"",IF(('Dvd Calendar'!$AF$1023&gt;=GRID_FROM)*('Dvd Calendar'!$AF$1023&lt;=GRID_TO)*((('Dvd Calendar'!$AF$1023&lt;=VAL_DATE)+(COUNTIF('Dvd Calendar'!$E$1030:$AR$1030,'Dvd Calendar'!$AF$1023)=0))&gt;0)=0,"",'Dvd Calendar'!$AF$1023*1000000000+ISNUMBER('Dvd Calendar'!$AF$1026)*100000000+('Dvd Calendar'!$AF$1028=SPECIAL_LBL)*10000000+(N('Dvd Calendar'!$AF$1022)&gt;0)*(N('Dvd Calendar'!$AF$1022)&lt;=VAL_SERIAL)*1000000+93*1000+28))</f>
        <v/>
      </c>
      <c r="FG104" s="39">
        <f>IF(N('Dvd Calendar'!$AG$1023)=0,"",IF(('Dvd Calendar'!$AG$1023&gt;=GRID_FROM)*('Dvd Calendar'!$AG$1023&lt;=GRID_TO)*((('Dvd Calendar'!$AG$1023&lt;=VAL_DATE)+(COUNTIF('Dvd Calendar'!$E$1030:$AR$1030,'Dvd Calendar'!$AG$1023)=0))&gt;0)=0,"",'Dvd Calendar'!$AG$1023*1000000000+ISNUMBER('Dvd Calendar'!$AG$1026)*100000000+('Dvd Calendar'!$AG$1028=SPECIAL_LBL)*10000000+(N('Dvd Calendar'!$AG$1022)&gt;0)*(N('Dvd Calendar'!$AG$1022)&lt;=VAL_SERIAL)*1000000+93*1000+29))</f>
        <v/>
      </c>
      <c r="FH104" s="39">
        <f>IF(N('Dvd Calendar'!$AH$1023)=0,"",IF(('Dvd Calendar'!$AH$1023&gt;=GRID_FROM)*('Dvd Calendar'!$AH$1023&lt;=GRID_TO)*((('Dvd Calendar'!$AH$1023&lt;=VAL_DATE)+(COUNTIF('Dvd Calendar'!$E$1030:$AR$1030,'Dvd Calendar'!$AH$1023)=0))&gt;0)=0,"",'Dvd Calendar'!$AH$1023*1000000000+ISNUMBER('Dvd Calendar'!$AH$1026)*100000000+('Dvd Calendar'!$AH$1028=SPECIAL_LBL)*10000000+(N('Dvd Calendar'!$AH$1022)&gt;0)*(N('Dvd Calendar'!$AH$1022)&lt;=VAL_SERIAL)*1000000+93*1000+30))</f>
        <v/>
      </c>
      <c r="FI104" s="39">
        <f>IF(N('Dvd Calendar'!$AI$1023)=0,"",IF(('Dvd Calendar'!$AI$1023&gt;=GRID_FROM)*('Dvd Calendar'!$AI$1023&lt;=GRID_TO)*((('Dvd Calendar'!$AI$1023&lt;=VAL_DATE)+(COUNTIF('Dvd Calendar'!$E$1030:$AR$1030,'Dvd Calendar'!$AI$1023)=0))&gt;0)=0,"",'Dvd Calendar'!$AI$1023*1000000000+ISNUMBER('Dvd Calendar'!$AI$1026)*100000000+('Dvd Calendar'!$AI$1028=SPECIAL_LBL)*10000000+(N('Dvd Calendar'!$AI$1022)&gt;0)*(N('Dvd Calendar'!$AI$1022)&lt;=VAL_SERIAL)*1000000+93*1000+31))</f>
        <v/>
      </c>
      <c r="FJ104" s="39">
        <f>IF(N('Dvd Calendar'!$AJ$1023)=0,"",IF(('Dvd Calendar'!$AJ$1023&gt;=GRID_FROM)*('Dvd Calendar'!$AJ$1023&lt;=GRID_TO)*((('Dvd Calendar'!$AJ$1023&lt;=VAL_DATE)+(COUNTIF('Dvd Calendar'!$E$1030:$AR$1030,'Dvd Calendar'!$AJ$1023)=0))&gt;0)=0,"",'Dvd Calendar'!$AJ$1023*1000000000+ISNUMBER('Dvd Calendar'!$AJ$1026)*100000000+('Dvd Calendar'!$AJ$1028=SPECIAL_LBL)*10000000+(N('Dvd Calendar'!$AJ$1022)&gt;0)*(N('Dvd Calendar'!$AJ$1022)&lt;=VAL_SERIAL)*1000000+93*1000+32))</f>
        <v/>
      </c>
      <c r="FK104" s="39">
        <f>IF(N('Dvd Calendar'!$AK$1023)=0,"",IF(('Dvd Calendar'!$AK$1023&gt;=GRID_FROM)*('Dvd Calendar'!$AK$1023&lt;=GRID_TO)*((('Dvd Calendar'!$AK$1023&lt;=VAL_DATE)+(COUNTIF('Dvd Calendar'!$E$1030:$AR$1030,'Dvd Calendar'!$AK$1023)=0))&gt;0)=0,"",'Dvd Calendar'!$AK$1023*1000000000+ISNUMBER('Dvd Calendar'!$AK$1026)*100000000+('Dvd Calendar'!$AK$1028=SPECIAL_LBL)*10000000+(N('Dvd Calendar'!$AK$1022)&gt;0)*(N('Dvd Calendar'!$AK$1022)&lt;=VAL_SERIAL)*1000000+93*1000+33))</f>
        <v/>
      </c>
      <c r="FL104" s="39">
        <f>IF(N('Dvd Calendar'!$AL$1023)=0,"",IF(('Dvd Calendar'!$AL$1023&gt;=GRID_FROM)*('Dvd Calendar'!$AL$1023&lt;=GRID_TO)*((('Dvd Calendar'!$AL$1023&lt;=VAL_DATE)+(COUNTIF('Dvd Calendar'!$E$1030:$AR$1030,'Dvd Calendar'!$AL$1023)=0))&gt;0)=0,"",'Dvd Calendar'!$AL$1023*1000000000+ISNUMBER('Dvd Calendar'!$AL$1026)*100000000+('Dvd Calendar'!$AL$1028=SPECIAL_LBL)*10000000+(N('Dvd Calendar'!$AL$1022)&gt;0)*(N('Dvd Calendar'!$AL$1022)&lt;=VAL_SERIAL)*1000000+93*1000+34))</f>
        <v/>
      </c>
      <c r="FM104" s="39">
        <f>IF(N('Dvd Calendar'!$AM$1023)=0,"",IF(('Dvd Calendar'!$AM$1023&gt;=GRID_FROM)*('Dvd Calendar'!$AM$1023&lt;=GRID_TO)*((('Dvd Calendar'!$AM$1023&lt;=VAL_DATE)+(COUNTIF('Dvd Calendar'!$E$1030:$AR$1030,'Dvd Calendar'!$AM$1023)=0))&gt;0)=0,"",'Dvd Calendar'!$AM$1023*1000000000+ISNUMBER('Dvd Calendar'!$AM$1026)*100000000+('Dvd Calendar'!$AM$1028=SPECIAL_LBL)*10000000+(N('Dvd Calendar'!$AM$1022)&gt;0)*(N('Dvd Calendar'!$AM$1022)&lt;=VAL_SERIAL)*1000000+93*1000+35))</f>
        <v/>
      </c>
      <c r="FN104" s="39">
        <f>IF(N('Dvd Calendar'!$AN$1023)=0,"",IF(('Dvd Calendar'!$AN$1023&gt;=GRID_FROM)*('Dvd Calendar'!$AN$1023&lt;=GRID_TO)*((('Dvd Calendar'!$AN$1023&lt;=VAL_DATE)+(COUNTIF('Dvd Calendar'!$E$1030:$AR$1030,'Dvd Calendar'!$AN$1023)=0))&gt;0)=0,"",'Dvd Calendar'!$AN$1023*1000000000+ISNUMBER('Dvd Calendar'!$AN$1026)*100000000+('Dvd Calendar'!$AN$1028=SPECIAL_LBL)*10000000+(N('Dvd Calendar'!$AN$1022)&gt;0)*(N('Dvd Calendar'!$AN$1022)&lt;=VAL_SERIAL)*1000000+93*1000+36))</f>
        <v/>
      </c>
      <c r="FO104" s="39">
        <f>IF(N('Dvd Calendar'!$AO$1023)=0,"",IF(('Dvd Calendar'!$AO$1023&gt;=GRID_FROM)*('Dvd Calendar'!$AO$1023&lt;=GRID_TO)*((('Dvd Calendar'!$AO$1023&lt;=VAL_DATE)+(COUNTIF('Dvd Calendar'!$E$1030:$AR$1030,'Dvd Calendar'!$AO$1023)=0))&gt;0)=0,"",'Dvd Calendar'!$AO$1023*1000000000+ISNUMBER('Dvd Calendar'!$AO$1026)*100000000+('Dvd Calendar'!$AO$1028=SPECIAL_LBL)*10000000+(N('Dvd Calendar'!$AO$1022)&gt;0)*(N('Dvd Calendar'!$AO$1022)&lt;=VAL_SERIAL)*1000000+93*1000+37))</f>
        <v/>
      </c>
      <c r="FP104" s="39">
        <f>IF(N('Dvd Calendar'!$AP$1023)=0,"",IF(('Dvd Calendar'!$AP$1023&gt;=GRID_FROM)*('Dvd Calendar'!$AP$1023&lt;=GRID_TO)*((('Dvd Calendar'!$AP$1023&lt;=VAL_DATE)+(COUNTIF('Dvd Calendar'!$E$1030:$AR$1030,'Dvd Calendar'!$AP$1023)=0))&gt;0)=0,"",'Dvd Calendar'!$AP$1023*1000000000+ISNUMBER('Dvd Calendar'!$AP$1026)*100000000+('Dvd Calendar'!$AP$1028=SPECIAL_LBL)*10000000+(N('Dvd Calendar'!$AP$1022)&gt;0)*(N('Dvd Calendar'!$AP$1022)&lt;=VAL_SERIAL)*1000000+93*1000+38))</f>
        <v/>
      </c>
      <c r="FQ104" s="39">
        <f>IF(N('Dvd Calendar'!$AQ$1023)=0,"",IF(('Dvd Calendar'!$AQ$1023&gt;=GRID_FROM)*('Dvd Calendar'!$AQ$1023&lt;=GRID_TO)*((('Dvd Calendar'!$AQ$1023&lt;=VAL_DATE)+(COUNTIF('Dvd Calendar'!$E$1030:$AR$1030,'Dvd Calendar'!$AQ$1023)=0))&gt;0)=0,"",'Dvd Calendar'!$AQ$1023*1000000000+ISNUMBER('Dvd Calendar'!$AQ$1026)*100000000+('Dvd Calendar'!$AQ$1028=SPECIAL_LBL)*10000000+(N('Dvd Calendar'!$AQ$1022)&gt;0)*(N('Dvd Calendar'!$AQ$1022)&lt;=VAL_SERIAL)*1000000+93*1000+39))</f>
        <v/>
      </c>
      <c r="FR104" s="39">
        <f>IF(N('Dvd Calendar'!$AR$1023)=0,"",IF(('Dvd Calendar'!$AR$1023&gt;=GRID_FROM)*('Dvd Calendar'!$AR$1023&lt;=GRID_TO)*((('Dvd Calendar'!$AR$1023&lt;=VAL_DATE)+(COUNTIF('Dvd Calendar'!$E$1030:$AR$1030,'Dvd Calendar'!$AR$1023)=0))&gt;0)=0,"",'Dvd Calendar'!$AR$1023*1000000000+ISNUMBER('Dvd Calendar'!$AR$1026)*100000000+('Dvd Calendar'!$AR$1028=SPECIAL_LBL)*10000000+(N('Dvd Calendar'!$AR$1022)&gt;0)*(N('Dvd Calendar'!$AR$1022)&lt;=VAL_SERIAL)*1000000+93*1000+40))</f>
        <v/>
      </c>
      <c r="FS104" s="39">
        <f>IF(N('Dvd Calendar'!$E$1030)=0,"",IF(('Dvd Calendar'!$E$1030&gt;=GRID_FROM)*('Dvd Calendar'!$E$1030&lt;=GRID_TO)*('Dvd Calendar'!$E$1030&gt;VAL_DATE)=0,"",'Dvd Calendar'!$E$1030*1000000000+ISNUMBER('Dvd Calendar'!$E$1031)*100000000+0*10000000+(N('Dvd Calendar'!$E$1029)&gt;0)*(N('Dvd Calendar'!$E$1029)&lt;=VAL_SERIAL)*1000000+93*1000+41))</f>
        <v/>
      </c>
      <c r="FT104" s="39">
        <f>IF(N('Dvd Calendar'!$F$1030)=0,"",IF(('Dvd Calendar'!$F$1030&gt;=GRID_FROM)*('Dvd Calendar'!$F$1030&lt;=GRID_TO)*('Dvd Calendar'!$F$1030&gt;VAL_DATE)=0,"",'Dvd Calendar'!$F$1030*1000000000+ISNUMBER('Dvd Calendar'!$F$1031)*100000000+0*10000000+(N('Dvd Calendar'!$F$1029)&gt;0)*(N('Dvd Calendar'!$F$1029)&lt;=VAL_SERIAL)*1000000+93*1000+42))</f>
        <v/>
      </c>
      <c r="FU104" s="39">
        <f>IF(N('Dvd Calendar'!$G$1030)=0,"",IF(('Dvd Calendar'!$G$1030&gt;=GRID_FROM)*('Dvd Calendar'!$G$1030&lt;=GRID_TO)*('Dvd Calendar'!$G$1030&gt;VAL_DATE)=0,"",'Dvd Calendar'!$G$1030*1000000000+ISNUMBER('Dvd Calendar'!$G$1031)*100000000+0*10000000+(N('Dvd Calendar'!$G$1029)&gt;0)*(N('Dvd Calendar'!$G$1029)&lt;=VAL_SERIAL)*1000000+93*1000+43))</f>
        <v/>
      </c>
      <c r="FV104" s="39">
        <f>IF(N('Dvd Calendar'!$H$1030)=0,"",IF(('Dvd Calendar'!$H$1030&gt;=GRID_FROM)*('Dvd Calendar'!$H$1030&lt;=GRID_TO)*('Dvd Calendar'!$H$1030&gt;VAL_DATE)=0,"",'Dvd Calendar'!$H$1030*1000000000+ISNUMBER('Dvd Calendar'!$H$1031)*100000000+0*10000000+(N('Dvd Calendar'!$H$1029)&gt;0)*(N('Dvd Calendar'!$H$1029)&lt;=VAL_SERIAL)*1000000+93*1000+44))</f>
        <v/>
      </c>
      <c r="FW104" s="39">
        <f>IF(N('Dvd Calendar'!$I$1030)=0,"",IF(('Dvd Calendar'!$I$1030&gt;=GRID_FROM)*('Dvd Calendar'!$I$1030&lt;=GRID_TO)*('Dvd Calendar'!$I$1030&gt;VAL_DATE)=0,"",'Dvd Calendar'!$I$1030*1000000000+ISNUMBER('Dvd Calendar'!$I$1031)*100000000+0*10000000+(N('Dvd Calendar'!$I$1029)&gt;0)*(N('Dvd Calendar'!$I$1029)&lt;=VAL_SERIAL)*1000000+93*1000+45))</f>
        <v/>
      </c>
      <c r="FX104" s="39">
        <f>IF(N('Dvd Calendar'!$J$1030)=0,"",IF(('Dvd Calendar'!$J$1030&gt;=GRID_FROM)*('Dvd Calendar'!$J$1030&lt;=GRID_TO)*('Dvd Calendar'!$J$1030&gt;VAL_DATE)=0,"",'Dvd Calendar'!$J$1030*1000000000+ISNUMBER('Dvd Calendar'!$J$1031)*100000000+0*10000000+(N('Dvd Calendar'!$J$1029)&gt;0)*(N('Dvd Calendar'!$J$1029)&lt;=VAL_SERIAL)*1000000+93*1000+46))</f>
        <v/>
      </c>
      <c r="FY104" s="39">
        <f>IF(N('Dvd Calendar'!$K$1030)=0,"",IF(('Dvd Calendar'!$K$1030&gt;=GRID_FROM)*('Dvd Calendar'!$K$1030&lt;=GRID_TO)*('Dvd Calendar'!$K$1030&gt;VAL_DATE)=0,"",'Dvd Calendar'!$K$1030*1000000000+ISNUMBER('Dvd Calendar'!$K$1031)*100000000+0*10000000+(N('Dvd Calendar'!$K$1029)&gt;0)*(N('Dvd Calendar'!$K$1029)&lt;=VAL_SERIAL)*1000000+93*1000+47))</f>
        <v/>
      </c>
      <c r="FZ104" s="39">
        <f>IF(N('Dvd Calendar'!$L$1030)=0,"",IF(('Dvd Calendar'!$L$1030&gt;=GRID_FROM)*('Dvd Calendar'!$L$1030&lt;=GRID_TO)*('Dvd Calendar'!$L$1030&gt;VAL_DATE)=0,"",'Dvd Calendar'!$L$1030*1000000000+ISNUMBER('Dvd Calendar'!$L$1031)*100000000+0*10000000+(N('Dvd Calendar'!$L$1029)&gt;0)*(N('Dvd Calendar'!$L$1029)&lt;=VAL_SERIAL)*1000000+93*1000+48))</f>
        <v/>
      </c>
      <c r="GA104" s="39">
        <f>IF(N('Dvd Calendar'!$M$1030)=0,"",IF(('Dvd Calendar'!$M$1030&gt;=GRID_FROM)*('Dvd Calendar'!$M$1030&lt;=GRID_TO)*('Dvd Calendar'!$M$1030&gt;VAL_DATE)=0,"",'Dvd Calendar'!$M$1030*1000000000+ISNUMBER('Dvd Calendar'!$M$1031)*100000000+0*10000000+(N('Dvd Calendar'!$M$1029)&gt;0)*(N('Dvd Calendar'!$M$1029)&lt;=VAL_SERIAL)*1000000+93*1000+49))</f>
        <v/>
      </c>
      <c r="GB104" s="39">
        <f>IF(N('Dvd Calendar'!$N$1030)=0,"",IF(('Dvd Calendar'!$N$1030&gt;=GRID_FROM)*('Dvd Calendar'!$N$1030&lt;=GRID_TO)*('Dvd Calendar'!$N$1030&gt;VAL_DATE)=0,"",'Dvd Calendar'!$N$1030*1000000000+ISNUMBER('Dvd Calendar'!$N$1031)*100000000+0*10000000+(N('Dvd Calendar'!$N$1029)&gt;0)*(N('Dvd Calendar'!$N$1029)&lt;=VAL_SERIAL)*1000000+93*1000+50))</f>
        <v/>
      </c>
      <c r="GC104" s="39">
        <f>IF(N('Dvd Calendar'!$O$1030)=0,"",IF(('Dvd Calendar'!$O$1030&gt;=GRID_FROM)*('Dvd Calendar'!$O$1030&lt;=GRID_TO)*('Dvd Calendar'!$O$1030&gt;VAL_DATE)=0,"",'Dvd Calendar'!$O$1030*1000000000+ISNUMBER('Dvd Calendar'!$O$1031)*100000000+0*10000000+(N('Dvd Calendar'!$O$1029)&gt;0)*(N('Dvd Calendar'!$O$1029)&lt;=VAL_SERIAL)*1000000+93*1000+51))</f>
        <v/>
      </c>
      <c r="GD104" s="39">
        <f>IF(N('Dvd Calendar'!$P$1030)=0,"",IF(('Dvd Calendar'!$P$1030&gt;=GRID_FROM)*('Dvd Calendar'!$P$1030&lt;=GRID_TO)*('Dvd Calendar'!$P$1030&gt;VAL_DATE)=0,"",'Dvd Calendar'!$P$1030*1000000000+ISNUMBER('Dvd Calendar'!$P$1031)*100000000+0*10000000+(N('Dvd Calendar'!$P$1029)&gt;0)*(N('Dvd Calendar'!$P$1029)&lt;=VAL_SERIAL)*1000000+93*1000+52))</f>
        <v/>
      </c>
      <c r="GE104" s="39">
        <f>IF(N('Dvd Calendar'!$Q$1030)=0,"",IF(('Dvd Calendar'!$Q$1030&gt;=GRID_FROM)*('Dvd Calendar'!$Q$1030&lt;=GRID_TO)*('Dvd Calendar'!$Q$1030&gt;VAL_DATE)=0,"",'Dvd Calendar'!$Q$1030*1000000000+ISNUMBER('Dvd Calendar'!$Q$1031)*100000000+0*10000000+(N('Dvd Calendar'!$Q$1029)&gt;0)*(N('Dvd Calendar'!$Q$1029)&lt;=VAL_SERIAL)*1000000+93*1000+53))</f>
        <v/>
      </c>
      <c r="GF104" s="39">
        <f>IF(N('Dvd Calendar'!$R$1030)=0,"",IF(('Dvd Calendar'!$R$1030&gt;=GRID_FROM)*('Dvd Calendar'!$R$1030&lt;=GRID_TO)*('Dvd Calendar'!$R$1030&gt;VAL_DATE)=0,"",'Dvd Calendar'!$R$1030*1000000000+ISNUMBER('Dvd Calendar'!$R$1031)*100000000+0*10000000+(N('Dvd Calendar'!$R$1029)&gt;0)*(N('Dvd Calendar'!$R$1029)&lt;=VAL_SERIAL)*1000000+93*1000+54))</f>
        <v/>
      </c>
      <c r="GG104" s="39">
        <f>IF(N('Dvd Calendar'!$S$1030)=0,"",IF(('Dvd Calendar'!$S$1030&gt;=GRID_FROM)*('Dvd Calendar'!$S$1030&lt;=GRID_TO)*('Dvd Calendar'!$S$1030&gt;VAL_DATE)=0,"",'Dvd Calendar'!$S$1030*1000000000+ISNUMBER('Dvd Calendar'!$S$1031)*100000000+0*10000000+(N('Dvd Calendar'!$S$1029)&gt;0)*(N('Dvd Calendar'!$S$1029)&lt;=VAL_SERIAL)*1000000+93*1000+55))</f>
        <v/>
      </c>
      <c r="GH104" s="39">
        <f>IF(N('Dvd Calendar'!$T$1030)=0,"",IF(('Dvd Calendar'!$T$1030&gt;=GRID_FROM)*('Dvd Calendar'!$T$1030&lt;=GRID_TO)*('Dvd Calendar'!$T$1030&gt;VAL_DATE)=0,"",'Dvd Calendar'!$T$1030*1000000000+ISNUMBER('Dvd Calendar'!$T$1031)*100000000+0*10000000+(N('Dvd Calendar'!$T$1029)&gt;0)*(N('Dvd Calendar'!$T$1029)&lt;=VAL_SERIAL)*1000000+93*1000+56))</f>
        <v/>
      </c>
      <c r="GI104" s="39">
        <f>IF(N('Dvd Calendar'!$U$1030)=0,"",IF(('Dvd Calendar'!$U$1030&gt;=GRID_FROM)*('Dvd Calendar'!$U$1030&lt;=GRID_TO)*('Dvd Calendar'!$U$1030&gt;VAL_DATE)=0,"",'Dvd Calendar'!$U$1030*1000000000+ISNUMBER('Dvd Calendar'!$U$1031)*100000000+0*10000000+(N('Dvd Calendar'!$U$1029)&gt;0)*(N('Dvd Calendar'!$U$1029)&lt;=VAL_SERIAL)*1000000+93*1000+57))</f>
        <v/>
      </c>
      <c r="GJ104" s="39">
        <f>IF(N('Dvd Calendar'!$V$1030)=0,"",IF(('Dvd Calendar'!$V$1030&gt;=GRID_FROM)*('Dvd Calendar'!$V$1030&lt;=GRID_TO)*('Dvd Calendar'!$V$1030&gt;VAL_DATE)=0,"",'Dvd Calendar'!$V$1030*1000000000+ISNUMBER('Dvd Calendar'!$V$1031)*100000000+0*10000000+(N('Dvd Calendar'!$V$1029)&gt;0)*(N('Dvd Calendar'!$V$1029)&lt;=VAL_SERIAL)*1000000+93*1000+58))</f>
        <v/>
      </c>
      <c r="GK104" s="39">
        <f>IF(N('Dvd Calendar'!$W$1030)=0,"",IF(('Dvd Calendar'!$W$1030&gt;=GRID_FROM)*('Dvd Calendar'!$W$1030&lt;=GRID_TO)*('Dvd Calendar'!$W$1030&gt;VAL_DATE)=0,"",'Dvd Calendar'!$W$1030*1000000000+ISNUMBER('Dvd Calendar'!$W$1031)*100000000+0*10000000+(N('Dvd Calendar'!$W$1029)&gt;0)*(N('Dvd Calendar'!$W$1029)&lt;=VAL_SERIAL)*1000000+93*1000+59))</f>
        <v/>
      </c>
      <c r="GL104" s="39">
        <f>IF(N('Dvd Calendar'!$X$1030)=0,"",IF(('Dvd Calendar'!$X$1030&gt;=GRID_FROM)*('Dvd Calendar'!$X$1030&lt;=GRID_TO)*('Dvd Calendar'!$X$1030&gt;VAL_DATE)=0,"",'Dvd Calendar'!$X$1030*1000000000+ISNUMBER('Dvd Calendar'!$X$1031)*100000000+0*10000000+(N('Dvd Calendar'!$X$1029)&gt;0)*(N('Dvd Calendar'!$X$1029)&lt;=VAL_SERIAL)*1000000+93*1000+60))</f>
        <v/>
      </c>
      <c r="GM104" s="39">
        <f>IF(N('Dvd Calendar'!$Y$1030)=0,"",IF(('Dvd Calendar'!$Y$1030&gt;=GRID_FROM)*('Dvd Calendar'!$Y$1030&lt;=GRID_TO)*('Dvd Calendar'!$Y$1030&gt;VAL_DATE)=0,"",'Dvd Calendar'!$Y$1030*1000000000+ISNUMBER('Dvd Calendar'!$Y$1031)*100000000+0*10000000+(N('Dvd Calendar'!$Y$1029)&gt;0)*(N('Dvd Calendar'!$Y$1029)&lt;=VAL_SERIAL)*1000000+93*1000+61))</f>
        <v/>
      </c>
      <c r="GN104" s="39">
        <f>IF(N('Dvd Calendar'!$Z$1030)=0,"",IF(('Dvd Calendar'!$Z$1030&gt;=GRID_FROM)*('Dvd Calendar'!$Z$1030&lt;=GRID_TO)*('Dvd Calendar'!$Z$1030&gt;VAL_DATE)=0,"",'Dvd Calendar'!$Z$1030*1000000000+ISNUMBER('Dvd Calendar'!$Z$1031)*100000000+0*10000000+(N('Dvd Calendar'!$Z$1029)&gt;0)*(N('Dvd Calendar'!$Z$1029)&lt;=VAL_SERIAL)*1000000+93*1000+62))</f>
        <v/>
      </c>
      <c r="GO104" s="39">
        <f>IF(N('Dvd Calendar'!$AA$1030)=0,"",IF(('Dvd Calendar'!$AA$1030&gt;=GRID_FROM)*('Dvd Calendar'!$AA$1030&lt;=GRID_TO)*('Dvd Calendar'!$AA$1030&gt;VAL_DATE)=0,"",'Dvd Calendar'!$AA$1030*1000000000+ISNUMBER('Dvd Calendar'!$AA$1031)*100000000+0*10000000+(N('Dvd Calendar'!$AA$1029)&gt;0)*(N('Dvd Calendar'!$AA$1029)&lt;=VAL_SERIAL)*1000000+93*1000+63))</f>
        <v/>
      </c>
      <c r="GP104" s="39">
        <f>IF(N('Dvd Calendar'!$AB$1030)=0,"",IF(('Dvd Calendar'!$AB$1030&gt;=GRID_FROM)*('Dvd Calendar'!$AB$1030&lt;=GRID_TO)*('Dvd Calendar'!$AB$1030&gt;VAL_DATE)=0,"",'Dvd Calendar'!$AB$1030*1000000000+ISNUMBER('Dvd Calendar'!$AB$1031)*100000000+0*10000000+(N('Dvd Calendar'!$AB$1029)&gt;0)*(N('Dvd Calendar'!$AB$1029)&lt;=VAL_SERIAL)*1000000+93*1000+64))</f>
        <v/>
      </c>
      <c r="GQ104" s="39">
        <f>IF(N('Dvd Calendar'!$AC$1030)=0,"",IF(('Dvd Calendar'!$AC$1030&gt;=GRID_FROM)*('Dvd Calendar'!$AC$1030&lt;=GRID_TO)*('Dvd Calendar'!$AC$1030&gt;VAL_DATE)=0,"",'Dvd Calendar'!$AC$1030*1000000000+ISNUMBER('Dvd Calendar'!$AC$1031)*100000000+0*10000000+(N('Dvd Calendar'!$AC$1029)&gt;0)*(N('Dvd Calendar'!$AC$1029)&lt;=VAL_SERIAL)*1000000+93*1000+65))</f>
        <v/>
      </c>
    </row>
    <row r="105">
      <c r="B105" s="2">
        <f>IF(HSI!$C$100="","",HSI!$C$100)</f>
        <v/>
      </c>
      <c r="C105" s="110">
        <f>IF(EE105="","",IF(ISNUMBER('Dvd Calendar'!$E$1037)=FALSE,"",IF((('Dvd Calendar'!$E$1039=TYPE1)*(TYPE1&lt;&gt;"")+('Dvd Calendar'!$E$1039=TYPE2)*(TYPE2&lt;&gt;"")+('Dvd Calendar'!$E$1039=TYPE3)*(TYPE3&lt;&gt;"")+('Dvd Calendar'!$E$1039=TYPE4)*(TYPE4&lt;&gt;"")+('Dvd Calendar'!$E$1039=SPECIAL_LBL)*(INC_SPECIALS="Y"))=0,"",'Dvd Calendar'!$E$1037)))</f>
        <v/>
      </c>
      <c r="D105" s="110">
        <f>IF(EF105="","",IF(ISNUMBER('Dvd Calendar'!$F$1037)=FALSE,"",IF((('Dvd Calendar'!$F$1039=TYPE1)*(TYPE1&lt;&gt;"")+('Dvd Calendar'!$F$1039=TYPE2)*(TYPE2&lt;&gt;"")+('Dvd Calendar'!$F$1039=TYPE3)*(TYPE3&lt;&gt;"")+('Dvd Calendar'!$F$1039=TYPE4)*(TYPE4&lt;&gt;"")+('Dvd Calendar'!$F$1039=SPECIAL_LBL)*(INC_SPECIALS="Y"))=0,"",'Dvd Calendar'!$F$1037)))</f>
        <v/>
      </c>
      <c r="E105" s="110">
        <f>IF(EG105="","",IF(ISNUMBER('Dvd Calendar'!$G$1037)=FALSE,"",IF((('Dvd Calendar'!$G$1039=TYPE1)*(TYPE1&lt;&gt;"")+('Dvd Calendar'!$G$1039=TYPE2)*(TYPE2&lt;&gt;"")+('Dvd Calendar'!$G$1039=TYPE3)*(TYPE3&lt;&gt;"")+('Dvd Calendar'!$G$1039=TYPE4)*(TYPE4&lt;&gt;"")+('Dvd Calendar'!$G$1039=SPECIAL_LBL)*(INC_SPECIALS="Y"))=0,"",'Dvd Calendar'!$G$1037)))</f>
        <v/>
      </c>
      <c r="F105" s="110">
        <f>IF(EH105="","",IF(ISNUMBER('Dvd Calendar'!$H$1037)=FALSE,"",IF((('Dvd Calendar'!$H$1039=TYPE1)*(TYPE1&lt;&gt;"")+('Dvd Calendar'!$H$1039=TYPE2)*(TYPE2&lt;&gt;"")+('Dvd Calendar'!$H$1039=TYPE3)*(TYPE3&lt;&gt;"")+('Dvd Calendar'!$H$1039=TYPE4)*(TYPE4&lt;&gt;"")+('Dvd Calendar'!$H$1039=SPECIAL_LBL)*(INC_SPECIALS="Y"))=0,"",'Dvd Calendar'!$H$1037)))</f>
        <v/>
      </c>
      <c r="G105" s="110">
        <f>IF(EI105="","",IF(ISNUMBER('Dvd Calendar'!$I$1037)=FALSE,"",IF((('Dvd Calendar'!$I$1039=TYPE1)*(TYPE1&lt;&gt;"")+('Dvd Calendar'!$I$1039=TYPE2)*(TYPE2&lt;&gt;"")+('Dvd Calendar'!$I$1039=TYPE3)*(TYPE3&lt;&gt;"")+('Dvd Calendar'!$I$1039=TYPE4)*(TYPE4&lt;&gt;"")+('Dvd Calendar'!$I$1039=SPECIAL_LBL)*(INC_SPECIALS="Y"))=0,"",'Dvd Calendar'!$I$1037)))</f>
        <v/>
      </c>
      <c r="H105" s="110">
        <f>IF(EJ105="","",IF(ISNUMBER('Dvd Calendar'!$J$1037)=FALSE,"",IF((('Dvd Calendar'!$J$1039=TYPE1)*(TYPE1&lt;&gt;"")+('Dvd Calendar'!$J$1039=TYPE2)*(TYPE2&lt;&gt;"")+('Dvd Calendar'!$J$1039=TYPE3)*(TYPE3&lt;&gt;"")+('Dvd Calendar'!$J$1039=TYPE4)*(TYPE4&lt;&gt;"")+('Dvd Calendar'!$J$1039=SPECIAL_LBL)*(INC_SPECIALS="Y"))=0,"",'Dvd Calendar'!$J$1037)))</f>
        <v/>
      </c>
      <c r="I105" s="110">
        <f>IF(EK105="","",IF(ISNUMBER('Dvd Calendar'!$K$1037)=FALSE,"",IF((('Dvd Calendar'!$K$1039=TYPE1)*(TYPE1&lt;&gt;"")+('Dvd Calendar'!$K$1039=TYPE2)*(TYPE2&lt;&gt;"")+('Dvd Calendar'!$K$1039=TYPE3)*(TYPE3&lt;&gt;"")+('Dvd Calendar'!$K$1039=TYPE4)*(TYPE4&lt;&gt;"")+('Dvd Calendar'!$K$1039=SPECIAL_LBL)*(INC_SPECIALS="Y"))=0,"",'Dvd Calendar'!$K$1037)))</f>
        <v/>
      </c>
      <c r="J105" s="110">
        <f>IF(EL105="","",IF(ISNUMBER('Dvd Calendar'!$L$1037)=FALSE,"",IF((('Dvd Calendar'!$L$1039=TYPE1)*(TYPE1&lt;&gt;"")+('Dvd Calendar'!$L$1039=TYPE2)*(TYPE2&lt;&gt;"")+('Dvd Calendar'!$L$1039=TYPE3)*(TYPE3&lt;&gt;"")+('Dvd Calendar'!$L$1039=TYPE4)*(TYPE4&lt;&gt;"")+('Dvd Calendar'!$L$1039=SPECIAL_LBL)*(INC_SPECIALS="Y"))=0,"",'Dvd Calendar'!$L$1037)))</f>
        <v/>
      </c>
      <c r="K105" s="110">
        <f>IF(EM105="","",IF(ISNUMBER('Dvd Calendar'!$M$1037)=FALSE,"",IF((('Dvd Calendar'!$M$1039=TYPE1)*(TYPE1&lt;&gt;"")+('Dvd Calendar'!$M$1039=TYPE2)*(TYPE2&lt;&gt;"")+('Dvd Calendar'!$M$1039=TYPE3)*(TYPE3&lt;&gt;"")+('Dvd Calendar'!$M$1039=TYPE4)*(TYPE4&lt;&gt;"")+('Dvd Calendar'!$M$1039=SPECIAL_LBL)*(INC_SPECIALS="Y"))=0,"",'Dvd Calendar'!$M$1037)))</f>
        <v/>
      </c>
      <c r="L105" s="110">
        <f>IF(EN105="","",IF(ISNUMBER('Dvd Calendar'!$N$1037)=FALSE,"",IF((('Dvd Calendar'!$N$1039=TYPE1)*(TYPE1&lt;&gt;"")+('Dvd Calendar'!$N$1039=TYPE2)*(TYPE2&lt;&gt;"")+('Dvd Calendar'!$N$1039=TYPE3)*(TYPE3&lt;&gt;"")+('Dvd Calendar'!$N$1039=TYPE4)*(TYPE4&lt;&gt;"")+('Dvd Calendar'!$N$1039=SPECIAL_LBL)*(INC_SPECIALS="Y"))=0,"",'Dvd Calendar'!$N$1037)))</f>
        <v/>
      </c>
      <c r="M105" s="110">
        <f>IF(EO105="","",IF(ISNUMBER('Dvd Calendar'!$O$1037)=FALSE,"",IF((('Dvd Calendar'!$O$1039=TYPE1)*(TYPE1&lt;&gt;"")+('Dvd Calendar'!$O$1039=TYPE2)*(TYPE2&lt;&gt;"")+('Dvd Calendar'!$O$1039=TYPE3)*(TYPE3&lt;&gt;"")+('Dvd Calendar'!$O$1039=TYPE4)*(TYPE4&lt;&gt;"")+('Dvd Calendar'!$O$1039=SPECIAL_LBL)*(INC_SPECIALS="Y"))=0,"",'Dvd Calendar'!$O$1037)))</f>
        <v/>
      </c>
      <c r="N105" s="110">
        <f>IF(EP105="","",IF(ISNUMBER('Dvd Calendar'!$P$1037)=FALSE,"",IF((('Dvd Calendar'!$P$1039=TYPE1)*(TYPE1&lt;&gt;"")+('Dvd Calendar'!$P$1039=TYPE2)*(TYPE2&lt;&gt;"")+('Dvd Calendar'!$P$1039=TYPE3)*(TYPE3&lt;&gt;"")+('Dvd Calendar'!$P$1039=TYPE4)*(TYPE4&lt;&gt;"")+('Dvd Calendar'!$P$1039=SPECIAL_LBL)*(INC_SPECIALS="Y"))=0,"",'Dvd Calendar'!$P$1037)))</f>
        <v/>
      </c>
      <c r="O105" s="110">
        <f>IF(EQ105="","",IF(ISNUMBER('Dvd Calendar'!$Q$1037)=FALSE,"",IF((('Dvd Calendar'!$Q$1039=TYPE1)*(TYPE1&lt;&gt;"")+('Dvd Calendar'!$Q$1039=TYPE2)*(TYPE2&lt;&gt;"")+('Dvd Calendar'!$Q$1039=TYPE3)*(TYPE3&lt;&gt;"")+('Dvd Calendar'!$Q$1039=TYPE4)*(TYPE4&lt;&gt;"")+('Dvd Calendar'!$Q$1039=SPECIAL_LBL)*(INC_SPECIALS="Y"))=0,"",'Dvd Calendar'!$Q$1037)))</f>
        <v/>
      </c>
      <c r="P105" s="110">
        <f>IF(ER105="","",IF(ISNUMBER('Dvd Calendar'!$R$1037)=FALSE,"",IF((('Dvd Calendar'!$R$1039=TYPE1)*(TYPE1&lt;&gt;"")+('Dvd Calendar'!$R$1039=TYPE2)*(TYPE2&lt;&gt;"")+('Dvd Calendar'!$R$1039=TYPE3)*(TYPE3&lt;&gt;"")+('Dvd Calendar'!$R$1039=TYPE4)*(TYPE4&lt;&gt;"")+('Dvd Calendar'!$R$1039=SPECIAL_LBL)*(INC_SPECIALS="Y"))=0,"",'Dvd Calendar'!$R$1037)))</f>
        <v/>
      </c>
      <c r="Q105" s="110">
        <f>IF(ES105="","",IF(ISNUMBER('Dvd Calendar'!$S$1037)=FALSE,"",IF((('Dvd Calendar'!$S$1039=TYPE1)*(TYPE1&lt;&gt;"")+('Dvd Calendar'!$S$1039=TYPE2)*(TYPE2&lt;&gt;"")+('Dvd Calendar'!$S$1039=TYPE3)*(TYPE3&lt;&gt;"")+('Dvd Calendar'!$S$1039=TYPE4)*(TYPE4&lt;&gt;"")+('Dvd Calendar'!$S$1039=SPECIAL_LBL)*(INC_SPECIALS="Y"))=0,"",'Dvd Calendar'!$S$1037)))</f>
        <v/>
      </c>
      <c r="R105" s="110">
        <f>IF(ET105="","",IF(ISNUMBER('Dvd Calendar'!$T$1037)=FALSE,"",IF((('Dvd Calendar'!$T$1039=TYPE1)*(TYPE1&lt;&gt;"")+('Dvd Calendar'!$T$1039=TYPE2)*(TYPE2&lt;&gt;"")+('Dvd Calendar'!$T$1039=TYPE3)*(TYPE3&lt;&gt;"")+('Dvd Calendar'!$T$1039=TYPE4)*(TYPE4&lt;&gt;"")+('Dvd Calendar'!$T$1039=SPECIAL_LBL)*(INC_SPECIALS="Y"))=0,"",'Dvd Calendar'!$T$1037)))</f>
        <v/>
      </c>
      <c r="S105" s="110">
        <f>IF(EU105="","",IF(ISNUMBER('Dvd Calendar'!$U$1037)=FALSE,"",IF((('Dvd Calendar'!$U$1039=TYPE1)*(TYPE1&lt;&gt;"")+('Dvd Calendar'!$U$1039=TYPE2)*(TYPE2&lt;&gt;"")+('Dvd Calendar'!$U$1039=TYPE3)*(TYPE3&lt;&gt;"")+('Dvd Calendar'!$U$1039=TYPE4)*(TYPE4&lt;&gt;"")+('Dvd Calendar'!$U$1039=SPECIAL_LBL)*(INC_SPECIALS="Y"))=0,"",'Dvd Calendar'!$U$1037)))</f>
        <v/>
      </c>
      <c r="T105" s="110">
        <f>IF(EV105="","",IF(ISNUMBER('Dvd Calendar'!$V$1037)=FALSE,"",IF((('Dvd Calendar'!$V$1039=TYPE1)*(TYPE1&lt;&gt;"")+('Dvd Calendar'!$V$1039=TYPE2)*(TYPE2&lt;&gt;"")+('Dvd Calendar'!$V$1039=TYPE3)*(TYPE3&lt;&gt;"")+('Dvd Calendar'!$V$1039=TYPE4)*(TYPE4&lt;&gt;"")+('Dvd Calendar'!$V$1039=SPECIAL_LBL)*(INC_SPECIALS="Y"))=0,"",'Dvd Calendar'!$V$1037)))</f>
        <v/>
      </c>
      <c r="U105" s="110">
        <f>IF(EW105="","",IF(ISNUMBER('Dvd Calendar'!$W$1037)=FALSE,"",IF((('Dvd Calendar'!$W$1039=TYPE1)*(TYPE1&lt;&gt;"")+('Dvd Calendar'!$W$1039=TYPE2)*(TYPE2&lt;&gt;"")+('Dvd Calendar'!$W$1039=TYPE3)*(TYPE3&lt;&gt;"")+('Dvd Calendar'!$W$1039=TYPE4)*(TYPE4&lt;&gt;"")+('Dvd Calendar'!$W$1039=SPECIAL_LBL)*(INC_SPECIALS="Y"))=0,"",'Dvd Calendar'!$W$1037)))</f>
        <v/>
      </c>
      <c r="V105" s="110">
        <f>IF(EX105="","",IF(ISNUMBER('Dvd Calendar'!$X$1037)=FALSE,"",IF((('Dvd Calendar'!$X$1039=TYPE1)*(TYPE1&lt;&gt;"")+('Dvd Calendar'!$X$1039=TYPE2)*(TYPE2&lt;&gt;"")+('Dvd Calendar'!$X$1039=TYPE3)*(TYPE3&lt;&gt;"")+('Dvd Calendar'!$X$1039=TYPE4)*(TYPE4&lt;&gt;"")+('Dvd Calendar'!$X$1039=SPECIAL_LBL)*(INC_SPECIALS="Y"))=0,"",'Dvd Calendar'!$X$1037)))</f>
        <v/>
      </c>
      <c r="W105" s="110">
        <f>IF(EY105="","",IF(ISNUMBER('Dvd Calendar'!$Y$1037)=FALSE,"",IF((('Dvd Calendar'!$Y$1039=TYPE1)*(TYPE1&lt;&gt;"")+('Dvd Calendar'!$Y$1039=TYPE2)*(TYPE2&lt;&gt;"")+('Dvd Calendar'!$Y$1039=TYPE3)*(TYPE3&lt;&gt;"")+('Dvd Calendar'!$Y$1039=TYPE4)*(TYPE4&lt;&gt;"")+('Dvd Calendar'!$Y$1039=SPECIAL_LBL)*(INC_SPECIALS="Y"))=0,"",'Dvd Calendar'!$Y$1037)))</f>
        <v/>
      </c>
      <c r="X105" s="110">
        <f>IF(EZ105="","",IF(ISNUMBER('Dvd Calendar'!$Z$1037)=FALSE,"",IF((('Dvd Calendar'!$Z$1039=TYPE1)*(TYPE1&lt;&gt;"")+('Dvd Calendar'!$Z$1039=TYPE2)*(TYPE2&lt;&gt;"")+('Dvd Calendar'!$Z$1039=TYPE3)*(TYPE3&lt;&gt;"")+('Dvd Calendar'!$Z$1039=TYPE4)*(TYPE4&lt;&gt;"")+('Dvd Calendar'!$Z$1039=SPECIAL_LBL)*(INC_SPECIALS="Y"))=0,"",'Dvd Calendar'!$Z$1037)))</f>
        <v/>
      </c>
      <c r="Y105" s="110">
        <f>IF(FA105="","",IF(ISNUMBER('Dvd Calendar'!$AA$1037)=FALSE,"",IF((('Dvd Calendar'!$AA$1039=TYPE1)*(TYPE1&lt;&gt;"")+('Dvd Calendar'!$AA$1039=TYPE2)*(TYPE2&lt;&gt;"")+('Dvd Calendar'!$AA$1039=TYPE3)*(TYPE3&lt;&gt;"")+('Dvd Calendar'!$AA$1039=TYPE4)*(TYPE4&lt;&gt;"")+('Dvd Calendar'!$AA$1039=SPECIAL_LBL)*(INC_SPECIALS="Y"))=0,"",'Dvd Calendar'!$AA$1037)))</f>
        <v/>
      </c>
      <c r="Z105" s="110">
        <f>IF(FB105="","",IF(ISNUMBER('Dvd Calendar'!$AB$1037)=FALSE,"",IF((('Dvd Calendar'!$AB$1039=TYPE1)*(TYPE1&lt;&gt;"")+('Dvd Calendar'!$AB$1039=TYPE2)*(TYPE2&lt;&gt;"")+('Dvd Calendar'!$AB$1039=TYPE3)*(TYPE3&lt;&gt;"")+('Dvd Calendar'!$AB$1039=TYPE4)*(TYPE4&lt;&gt;"")+('Dvd Calendar'!$AB$1039=SPECIAL_LBL)*(INC_SPECIALS="Y"))=0,"",'Dvd Calendar'!$AB$1037)))</f>
        <v/>
      </c>
      <c r="AA105" s="110">
        <f>IF(FC105="","",IF(ISNUMBER('Dvd Calendar'!$AC$1037)=FALSE,"",IF((('Dvd Calendar'!$AC$1039=TYPE1)*(TYPE1&lt;&gt;"")+('Dvd Calendar'!$AC$1039=TYPE2)*(TYPE2&lt;&gt;"")+('Dvd Calendar'!$AC$1039=TYPE3)*(TYPE3&lt;&gt;"")+('Dvd Calendar'!$AC$1039=TYPE4)*(TYPE4&lt;&gt;"")+('Dvd Calendar'!$AC$1039=SPECIAL_LBL)*(INC_SPECIALS="Y"))=0,"",'Dvd Calendar'!$AC$1037)))</f>
        <v/>
      </c>
      <c r="AB105" s="110">
        <f>IF(FD105="","",IF(ISNUMBER('Dvd Calendar'!$AD$1037)=FALSE,"",IF((('Dvd Calendar'!$AD$1039=TYPE1)*(TYPE1&lt;&gt;"")+('Dvd Calendar'!$AD$1039=TYPE2)*(TYPE2&lt;&gt;"")+('Dvd Calendar'!$AD$1039=TYPE3)*(TYPE3&lt;&gt;"")+('Dvd Calendar'!$AD$1039=TYPE4)*(TYPE4&lt;&gt;"")+('Dvd Calendar'!$AD$1039=SPECIAL_LBL)*(INC_SPECIALS="Y"))=0,"",'Dvd Calendar'!$AD$1037)))</f>
        <v/>
      </c>
      <c r="AC105" s="110">
        <f>IF(FE105="","",IF(ISNUMBER('Dvd Calendar'!$AE$1037)=FALSE,"",IF((('Dvd Calendar'!$AE$1039=TYPE1)*(TYPE1&lt;&gt;"")+('Dvd Calendar'!$AE$1039=TYPE2)*(TYPE2&lt;&gt;"")+('Dvd Calendar'!$AE$1039=TYPE3)*(TYPE3&lt;&gt;"")+('Dvd Calendar'!$AE$1039=TYPE4)*(TYPE4&lt;&gt;"")+('Dvd Calendar'!$AE$1039=SPECIAL_LBL)*(INC_SPECIALS="Y"))=0,"",'Dvd Calendar'!$AE$1037)))</f>
        <v/>
      </c>
      <c r="AD105" s="110">
        <f>IF(FF105="","",IF(ISNUMBER('Dvd Calendar'!$AF$1037)=FALSE,"",IF((('Dvd Calendar'!$AF$1039=TYPE1)*(TYPE1&lt;&gt;"")+('Dvd Calendar'!$AF$1039=TYPE2)*(TYPE2&lt;&gt;"")+('Dvd Calendar'!$AF$1039=TYPE3)*(TYPE3&lt;&gt;"")+('Dvd Calendar'!$AF$1039=TYPE4)*(TYPE4&lt;&gt;"")+('Dvd Calendar'!$AF$1039=SPECIAL_LBL)*(INC_SPECIALS="Y"))=0,"",'Dvd Calendar'!$AF$1037)))</f>
        <v/>
      </c>
      <c r="AE105" s="110">
        <f>IF(FG105="","",IF(ISNUMBER('Dvd Calendar'!$AG$1037)=FALSE,"",IF((('Dvd Calendar'!$AG$1039=TYPE1)*(TYPE1&lt;&gt;"")+('Dvd Calendar'!$AG$1039=TYPE2)*(TYPE2&lt;&gt;"")+('Dvd Calendar'!$AG$1039=TYPE3)*(TYPE3&lt;&gt;"")+('Dvd Calendar'!$AG$1039=TYPE4)*(TYPE4&lt;&gt;"")+('Dvd Calendar'!$AG$1039=SPECIAL_LBL)*(INC_SPECIALS="Y"))=0,"",'Dvd Calendar'!$AG$1037)))</f>
        <v/>
      </c>
      <c r="AF105" s="110">
        <f>IF(FH105="","",IF(ISNUMBER('Dvd Calendar'!$AH$1037)=FALSE,"",IF((('Dvd Calendar'!$AH$1039=TYPE1)*(TYPE1&lt;&gt;"")+('Dvd Calendar'!$AH$1039=TYPE2)*(TYPE2&lt;&gt;"")+('Dvd Calendar'!$AH$1039=TYPE3)*(TYPE3&lt;&gt;"")+('Dvd Calendar'!$AH$1039=TYPE4)*(TYPE4&lt;&gt;"")+('Dvd Calendar'!$AH$1039=SPECIAL_LBL)*(INC_SPECIALS="Y"))=0,"",'Dvd Calendar'!$AH$1037)))</f>
        <v/>
      </c>
      <c r="AG105" s="110">
        <f>IF(FI105="","",IF(ISNUMBER('Dvd Calendar'!$AI$1037)=FALSE,"",IF((('Dvd Calendar'!$AI$1039=TYPE1)*(TYPE1&lt;&gt;"")+('Dvd Calendar'!$AI$1039=TYPE2)*(TYPE2&lt;&gt;"")+('Dvd Calendar'!$AI$1039=TYPE3)*(TYPE3&lt;&gt;"")+('Dvd Calendar'!$AI$1039=TYPE4)*(TYPE4&lt;&gt;"")+('Dvd Calendar'!$AI$1039=SPECIAL_LBL)*(INC_SPECIALS="Y"))=0,"",'Dvd Calendar'!$AI$1037)))</f>
        <v/>
      </c>
      <c r="AH105" s="110">
        <f>IF(FJ105="","",IF(ISNUMBER('Dvd Calendar'!$AJ$1037)=FALSE,"",IF((('Dvd Calendar'!$AJ$1039=TYPE1)*(TYPE1&lt;&gt;"")+('Dvd Calendar'!$AJ$1039=TYPE2)*(TYPE2&lt;&gt;"")+('Dvd Calendar'!$AJ$1039=TYPE3)*(TYPE3&lt;&gt;"")+('Dvd Calendar'!$AJ$1039=TYPE4)*(TYPE4&lt;&gt;"")+('Dvd Calendar'!$AJ$1039=SPECIAL_LBL)*(INC_SPECIALS="Y"))=0,"",'Dvd Calendar'!$AJ$1037)))</f>
        <v/>
      </c>
      <c r="AI105" s="110">
        <f>IF(FK105="","",IF(ISNUMBER('Dvd Calendar'!$AK$1037)=FALSE,"",IF((('Dvd Calendar'!$AK$1039=TYPE1)*(TYPE1&lt;&gt;"")+('Dvd Calendar'!$AK$1039=TYPE2)*(TYPE2&lt;&gt;"")+('Dvd Calendar'!$AK$1039=TYPE3)*(TYPE3&lt;&gt;"")+('Dvd Calendar'!$AK$1039=TYPE4)*(TYPE4&lt;&gt;"")+('Dvd Calendar'!$AK$1039=SPECIAL_LBL)*(INC_SPECIALS="Y"))=0,"",'Dvd Calendar'!$AK$1037)))</f>
        <v/>
      </c>
      <c r="AJ105" s="110">
        <f>IF(FL105="","",IF(ISNUMBER('Dvd Calendar'!$AL$1037)=FALSE,"",IF((('Dvd Calendar'!$AL$1039=TYPE1)*(TYPE1&lt;&gt;"")+('Dvd Calendar'!$AL$1039=TYPE2)*(TYPE2&lt;&gt;"")+('Dvd Calendar'!$AL$1039=TYPE3)*(TYPE3&lt;&gt;"")+('Dvd Calendar'!$AL$1039=TYPE4)*(TYPE4&lt;&gt;"")+('Dvd Calendar'!$AL$1039=SPECIAL_LBL)*(INC_SPECIALS="Y"))=0,"",'Dvd Calendar'!$AL$1037)))</f>
        <v/>
      </c>
      <c r="AK105" s="110">
        <f>IF(FM105="","",IF(ISNUMBER('Dvd Calendar'!$AM$1037)=FALSE,"",IF((('Dvd Calendar'!$AM$1039=TYPE1)*(TYPE1&lt;&gt;"")+('Dvd Calendar'!$AM$1039=TYPE2)*(TYPE2&lt;&gt;"")+('Dvd Calendar'!$AM$1039=TYPE3)*(TYPE3&lt;&gt;"")+('Dvd Calendar'!$AM$1039=TYPE4)*(TYPE4&lt;&gt;"")+('Dvd Calendar'!$AM$1039=SPECIAL_LBL)*(INC_SPECIALS="Y"))=0,"",'Dvd Calendar'!$AM$1037)))</f>
        <v/>
      </c>
      <c r="AL105" s="110">
        <f>IF(FN105="","",IF(ISNUMBER('Dvd Calendar'!$AN$1037)=FALSE,"",IF((('Dvd Calendar'!$AN$1039=TYPE1)*(TYPE1&lt;&gt;"")+('Dvd Calendar'!$AN$1039=TYPE2)*(TYPE2&lt;&gt;"")+('Dvd Calendar'!$AN$1039=TYPE3)*(TYPE3&lt;&gt;"")+('Dvd Calendar'!$AN$1039=TYPE4)*(TYPE4&lt;&gt;"")+('Dvd Calendar'!$AN$1039=SPECIAL_LBL)*(INC_SPECIALS="Y"))=0,"",'Dvd Calendar'!$AN$1037)))</f>
        <v/>
      </c>
      <c r="AM105" s="110">
        <f>IF(FO105="","",IF(ISNUMBER('Dvd Calendar'!$AO$1037)=FALSE,"",IF((('Dvd Calendar'!$AO$1039=TYPE1)*(TYPE1&lt;&gt;"")+('Dvd Calendar'!$AO$1039=TYPE2)*(TYPE2&lt;&gt;"")+('Dvd Calendar'!$AO$1039=TYPE3)*(TYPE3&lt;&gt;"")+('Dvd Calendar'!$AO$1039=TYPE4)*(TYPE4&lt;&gt;"")+('Dvd Calendar'!$AO$1039=SPECIAL_LBL)*(INC_SPECIALS="Y"))=0,"",'Dvd Calendar'!$AO$1037)))</f>
        <v/>
      </c>
      <c r="AN105" s="110">
        <f>IF(FP105="","",IF(ISNUMBER('Dvd Calendar'!$AP$1037)=FALSE,"",IF((('Dvd Calendar'!$AP$1039=TYPE1)*(TYPE1&lt;&gt;"")+('Dvd Calendar'!$AP$1039=TYPE2)*(TYPE2&lt;&gt;"")+('Dvd Calendar'!$AP$1039=TYPE3)*(TYPE3&lt;&gt;"")+('Dvd Calendar'!$AP$1039=TYPE4)*(TYPE4&lt;&gt;"")+('Dvd Calendar'!$AP$1039=SPECIAL_LBL)*(INC_SPECIALS="Y"))=0,"",'Dvd Calendar'!$AP$1037)))</f>
        <v/>
      </c>
      <c r="AO105" s="110">
        <f>IF(FQ105="","",IF(ISNUMBER('Dvd Calendar'!$AQ$1037)=FALSE,"",IF((('Dvd Calendar'!$AQ$1039=TYPE1)*(TYPE1&lt;&gt;"")+('Dvd Calendar'!$AQ$1039=TYPE2)*(TYPE2&lt;&gt;"")+('Dvd Calendar'!$AQ$1039=TYPE3)*(TYPE3&lt;&gt;"")+('Dvd Calendar'!$AQ$1039=TYPE4)*(TYPE4&lt;&gt;"")+('Dvd Calendar'!$AQ$1039=SPECIAL_LBL)*(INC_SPECIALS="Y"))=0,"",'Dvd Calendar'!$AQ$1037)))</f>
        <v/>
      </c>
      <c r="AP105" s="110">
        <f>IF(FR105="","",IF(ISNUMBER('Dvd Calendar'!$AR$1037)=FALSE,"",IF((('Dvd Calendar'!$AR$1039=TYPE1)*(TYPE1&lt;&gt;"")+('Dvd Calendar'!$AR$1039=TYPE2)*(TYPE2&lt;&gt;"")+('Dvd Calendar'!$AR$1039=TYPE3)*(TYPE3&lt;&gt;"")+('Dvd Calendar'!$AR$1039=TYPE4)*(TYPE4&lt;&gt;"")+('Dvd Calendar'!$AR$1039=SPECIAL_LBL)*(INC_SPECIALS="Y"))=0,"",'Dvd Calendar'!$AR$1037)))</f>
        <v/>
      </c>
      <c r="AQ105" s="110">
        <f>IF(FS105="","",IF(ISNUMBER('Dvd Calendar'!$E$1042)=FALSE,"",'Dvd Calendar'!$E$1042))</f>
        <v/>
      </c>
      <c r="AR105" s="110">
        <f>IF(FT105="","",IF(ISNUMBER('Dvd Calendar'!$F$1042)=FALSE,"",'Dvd Calendar'!$F$1042))</f>
        <v/>
      </c>
      <c r="AS105" s="110">
        <f>IF(FU105="","",IF(ISNUMBER('Dvd Calendar'!$G$1042)=FALSE,"",'Dvd Calendar'!$G$1042))</f>
        <v/>
      </c>
      <c r="AT105" s="110">
        <f>IF(FV105="","",IF(ISNUMBER('Dvd Calendar'!$H$1042)=FALSE,"",'Dvd Calendar'!$H$1042))</f>
        <v/>
      </c>
      <c r="AU105" s="110">
        <f>IF(FW105="","",IF(ISNUMBER('Dvd Calendar'!$I$1042)=FALSE,"",'Dvd Calendar'!$I$1042))</f>
        <v/>
      </c>
      <c r="AV105" s="110">
        <f>IF(FX105="","",IF(ISNUMBER('Dvd Calendar'!$J$1042)=FALSE,"",'Dvd Calendar'!$J$1042))</f>
        <v/>
      </c>
      <c r="AW105" s="110">
        <f>IF(FY105="","",IF(ISNUMBER('Dvd Calendar'!$K$1042)=FALSE,"",'Dvd Calendar'!$K$1042))</f>
        <v/>
      </c>
      <c r="AX105" s="110">
        <f>IF(FZ105="","",IF(ISNUMBER('Dvd Calendar'!$L$1042)=FALSE,"",'Dvd Calendar'!$L$1042))</f>
        <v/>
      </c>
      <c r="AY105" s="110">
        <f>IF(GA105="","",IF(ISNUMBER('Dvd Calendar'!$M$1042)=FALSE,"",'Dvd Calendar'!$M$1042))</f>
        <v/>
      </c>
      <c r="AZ105" s="110">
        <f>IF(GB105="","",IF(ISNUMBER('Dvd Calendar'!$N$1042)=FALSE,"",'Dvd Calendar'!$N$1042))</f>
        <v/>
      </c>
      <c r="BA105" s="110">
        <f>IF(GC105="","",IF(ISNUMBER('Dvd Calendar'!$O$1042)=FALSE,"",'Dvd Calendar'!$O$1042))</f>
        <v/>
      </c>
      <c r="BB105" s="110">
        <f>IF(GD105="","",IF(ISNUMBER('Dvd Calendar'!$P$1042)=FALSE,"",'Dvd Calendar'!$P$1042))</f>
        <v/>
      </c>
      <c r="BC105" s="110">
        <f>IF(GE105="","",IF(ISNUMBER('Dvd Calendar'!$Q$1042)=FALSE,"",'Dvd Calendar'!$Q$1042))</f>
        <v/>
      </c>
      <c r="BD105" s="110">
        <f>IF(GF105="","",IF(ISNUMBER('Dvd Calendar'!$R$1042)=FALSE,"",'Dvd Calendar'!$R$1042))</f>
        <v/>
      </c>
      <c r="BE105" s="110">
        <f>IF(GG105="","",IF(ISNUMBER('Dvd Calendar'!$S$1042)=FALSE,"",'Dvd Calendar'!$S$1042))</f>
        <v/>
      </c>
      <c r="BF105" s="110">
        <f>IF(GH105="","",IF(ISNUMBER('Dvd Calendar'!$T$1042)=FALSE,"",'Dvd Calendar'!$T$1042))</f>
        <v/>
      </c>
      <c r="BG105" s="110">
        <f>IF(GI105="","",IF(ISNUMBER('Dvd Calendar'!$U$1042)=FALSE,"",'Dvd Calendar'!$U$1042))</f>
        <v/>
      </c>
      <c r="BH105" s="110">
        <f>IF(GJ105="","",IF(ISNUMBER('Dvd Calendar'!$V$1042)=FALSE,"",'Dvd Calendar'!$V$1042))</f>
        <v/>
      </c>
      <c r="BI105" s="110">
        <f>IF(GK105="","",IF(ISNUMBER('Dvd Calendar'!$W$1042)=FALSE,"",'Dvd Calendar'!$W$1042))</f>
        <v/>
      </c>
      <c r="BJ105" s="110">
        <f>IF(GL105="","",IF(ISNUMBER('Dvd Calendar'!$X$1042)=FALSE,"",'Dvd Calendar'!$X$1042))</f>
        <v/>
      </c>
      <c r="BK105" s="110">
        <f>IF(GM105="","",IF(ISNUMBER('Dvd Calendar'!$Y$1042)=FALSE,"",'Dvd Calendar'!$Y$1042))</f>
        <v/>
      </c>
      <c r="BL105" s="110">
        <f>IF(GN105="","",IF(ISNUMBER('Dvd Calendar'!$Z$1042)=FALSE,"",'Dvd Calendar'!$Z$1042))</f>
        <v/>
      </c>
      <c r="BM105" s="110">
        <f>IF(GO105="","",IF(ISNUMBER('Dvd Calendar'!$AA$1042)=FALSE,"",'Dvd Calendar'!$AA$1042))</f>
        <v/>
      </c>
      <c r="BN105" s="110">
        <f>IF(GP105="","",IF(ISNUMBER('Dvd Calendar'!$AB$1042)=FALSE,"",'Dvd Calendar'!$AB$1042))</f>
        <v/>
      </c>
      <c r="BO105" s="110">
        <f>IF(GQ105="","",IF(ISNUMBER('Dvd Calendar'!$AC$1042)=FALSE,"",'Dvd Calendar'!$AC$1042))</f>
        <v/>
      </c>
      <c r="BQ105" s="110">
        <f>IF(C105="","",IFERROR(C105*HSI!$B$100*HSI!$G$100/HSI!$B$3,""))</f>
        <v/>
      </c>
      <c r="BR105" s="110">
        <f>IF(D105="","",IFERROR(D105*HSI!$B$100*HSI!$G$100/HSI!$B$3,""))</f>
        <v/>
      </c>
      <c r="BS105" s="110">
        <f>IF(E105="","",IFERROR(E105*HSI!$B$100*HSI!$G$100/HSI!$B$3,""))</f>
        <v/>
      </c>
      <c r="BT105" s="110">
        <f>IF(F105="","",IFERROR(F105*HSI!$B$100*HSI!$G$100/HSI!$B$3,""))</f>
        <v/>
      </c>
      <c r="BU105" s="110">
        <f>IF(G105="","",IFERROR(G105*HSI!$B$100*HSI!$G$100/HSI!$B$3,""))</f>
        <v/>
      </c>
      <c r="BV105" s="110">
        <f>IF(H105="","",IFERROR(H105*HSI!$B$100*HSI!$G$100/HSI!$B$3,""))</f>
        <v/>
      </c>
      <c r="BW105" s="110">
        <f>IF(I105="","",IFERROR(I105*HSI!$B$100*HSI!$G$100/HSI!$B$3,""))</f>
        <v/>
      </c>
      <c r="BX105" s="110">
        <f>IF(J105="","",IFERROR(J105*HSI!$B$100*HSI!$G$100/HSI!$B$3,""))</f>
        <v/>
      </c>
      <c r="BY105" s="110">
        <f>IF(K105="","",IFERROR(K105*HSI!$B$100*HSI!$G$100/HSI!$B$3,""))</f>
        <v/>
      </c>
      <c r="BZ105" s="110">
        <f>IF(L105="","",IFERROR(L105*HSI!$B$100*HSI!$G$100/HSI!$B$3,""))</f>
        <v/>
      </c>
      <c r="CA105" s="110">
        <f>IF(M105="","",IFERROR(M105*HSI!$B$100*HSI!$G$100/HSI!$B$3,""))</f>
        <v/>
      </c>
      <c r="CB105" s="110">
        <f>IF(N105="","",IFERROR(N105*HSI!$B$100*HSI!$G$100/HSI!$B$3,""))</f>
        <v/>
      </c>
      <c r="CC105" s="110">
        <f>IF(O105="","",IFERROR(O105*HSI!$B$100*HSI!$G$100/HSI!$B$3,""))</f>
        <v/>
      </c>
      <c r="CD105" s="110">
        <f>IF(P105="","",IFERROR(P105*HSI!$B$100*HSI!$G$100/HSI!$B$3,""))</f>
        <v/>
      </c>
      <c r="CE105" s="110">
        <f>IF(Q105="","",IFERROR(Q105*HSI!$B$100*HSI!$G$100/HSI!$B$3,""))</f>
        <v/>
      </c>
      <c r="CF105" s="110">
        <f>IF(R105="","",IFERROR(R105*HSI!$B$100*HSI!$G$100/HSI!$B$3,""))</f>
        <v/>
      </c>
      <c r="CG105" s="110">
        <f>IF(S105="","",IFERROR(S105*HSI!$B$100*HSI!$G$100/HSI!$B$3,""))</f>
        <v/>
      </c>
      <c r="CH105" s="110">
        <f>IF(T105="","",IFERROR(T105*HSI!$B$100*HSI!$G$100/HSI!$B$3,""))</f>
        <v/>
      </c>
      <c r="CI105" s="110">
        <f>IF(U105="","",IFERROR(U105*HSI!$B$100*HSI!$G$100/HSI!$B$3,""))</f>
        <v/>
      </c>
      <c r="CJ105" s="110">
        <f>IF(V105="","",IFERROR(V105*HSI!$B$100*HSI!$G$100/HSI!$B$3,""))</f>
        <v/>
      </c>
      <c r="CK105" s="110">
        <f>IF(W105="","",IFERROR(W105*HSI!$B$100*HSI!$G$100/HSI!$B$3,""))</f>
        <v/>
      </c>
      <c r="CL105" s="110">
        <f>IF(X105="","",IFERROR(X105*HSI!$B$100*HSI!$G$100/HSI!$B$3,""))</f>
        <v/>
      </c>
      <c r="CM105" s="110">
        <f>IF(Y105="","",IFERROR(Y105*HSI!$B$100*HSI!$G$100/HSI!$B$3,""))</f>
        <v/>
      </c>
      <c r="CN105" s="110">
        <f>IF(Z105="","",IFERROR(Z105*HSI!$B$100*HSI!$G$100/HSI!$B$3,""))</f>
        <v/>
      </c>
      <c r="CO105" s="110">
        <f>IF(AA105="","",IFERROR(AA105*HSI!$B$100*HSI!$G$100/HSI!$B$3,""))</f>
        <v/>
      </c>
      <c r="CP105" s="110">
        <f>IF(AB105="","",IFERROR(AB105*HSI!$B$100*HSI!$G$100/HSI!$B$3,""))</f>
        <v/>
      </c>
      <c r="CQ105" s="110">
        <f>IF(AC105="","",IFERROR(AC105*HSI!$B$100*HSI!$G$100/HSI!$B$3,""))</f>
        <v/>
      </c>
      <c r="CR105" s="110">
        <f>IF(AD105="","",IFERROR(AD105*HSI!$B$100*HSI!$G$100/HSI!$B$3,""))</f>
        <v/>
      </c>
      <c r="CS105" s="110">
        <f>IF(AE105="","",IFERROR(AE105*HSI!$B$100*HSI!$G$100/HSI!$B$3,""))</f>
        <v/>
      </c>
      <c r="CT105" s="110">
        <f>IF(AF105="","",IFERROR(AF105*HSI!$B$100*HSI!$G$100/HSI!$B$3,""))</f>
        <v/>
      </c>
      <c r="CU105" s="110">
        <f>IF(AG105="","",IFERROR(AG105*HSI!$B$100*HSI!$G$100/HSI!$B$3,""))</f>
        <v/>
      </c>
      <c r="CV105" s="110">
        <f>IF(AH105="","",IFERROR(AH105*HSI!$B$100*HSI!$G$100/HSI!$B$3,""))</f>
        <v/>
      </c>
      <c r="CW105" s="110">
        <f>IF(AI105="","",IFERROR(AI105*HSI!$B$100*HSI!$G$100/HSI!$B$3,""))</f>
        <v/>
      </c>
      <c r="CX105" s="110">
        <f>IF(AJ105="","",IFERROR(AJ105*HSI!$B$100*HSI!$G$100/HSI!$B$3,""))</f>
        <v/>
      </c>
      <c r="CY105" s="110">
        <f>IF(AK105="","",IFERROR(AK105*HSI!$B$100*HSI!$G$100/HSI!$B$3,""))</f>
        <v/>
      </c>
      <c r="CZ105" s="110">
        <f>IF(AL105="","",IFERROR(AL105*HSI!$B$100*HSI!$G$100/HSI!$B$3,""))</f>
        <v/>
      </c>
      <c r="DA105" s="110">
        <f>IF(AM105="","",IFERROR(AM105*HSI!$B$100*HSI!$G$100/HSI!$B$3,""))</f>
        <v/>
      </c>
      <c r="DB105" s="110">
        <f>IF(AN105="","",IFERROR(AN105*HSI!$B$100*HSI!$G$100/HSI!$B$3,""))</f>
        <v/>
      </c>
      <c r="DC105" s="110">
        <f>IF(AO105="","",IFERROR(AO105*HSI!$B$100*HSI!$G$100/HSI!$B$3,""))</f>
        <v/>
      </c>
      <c r="DD105" s="110">
        <f>IF(AP105="","",IFERROR(AP105*HSI!$B$100*HSI!$G$100/HSI!$B$3,""))</f>
        <v/>
      </c>
      <c r="DE105" s="110">
        <f>IF(AQ105="","",IFERROR(AQ105*HSI!$B$100*HSI!$G$100/HSI!$B$3,""))</f>
        <v/>
      </c>
      <c r="DF105" s="110">
        <f>IF(AR105="","",IFERROR(AR105*HSI!$B$100*HSI!$G$100/HSI!$B$3,""))</f>
        <v/>
      </c>
      <c r="DG105" s="110">
        <f>IF(AS105="","",IFERROR(AS105*HSI!$B$100*HSI!$G$100/HSI!$B$3,""))</f>
        <v/>
      </c>
      <c r="DH105" s="110">
        <f>IF(AT105="","",IFERROR(AT105*HSI!$B$100*HSI!$G$100/HSI!$B$3,""))</f>
        <v/>
      </c>
      <c r="DI105" s="110">
        <f>IF(AU105="","",IFERROR(AU105*HSI!$B$100*HSI!$G$100/HSI!$B$3,""))</f>
        <v/>
      </c>
      <c r="DJ105" s="110">
        <f>IF(AV105="","",IFERROR(AV105*HSI!$B$100*HSI!$G$100/HSI!$B$3,""))</f>
        <v/>
      </c>
      <c r="DK105" s="110">
        <f>IF(AW105="","",IFERROR(AW105*HSI!$B$100*HSI!$G$100/HSI!$B$3,""))</f>
        <v/>
      </c>
      <c r="DL105" s="110">
        <f>IF(AX105="","",IFERROR(AX105*HSI!$B$100*HSI!$G$100/HSI!$B$3,""))</f>
        <v/>
      </c>
      <c r="DM105" s="110">
        <f>IF(AY105="","",IFERROR(AY105*HSI!$B$100*HSI!$G$100/HSI!$B$3,""))</f>
        <v/>
      </c>
      <c r="DN105" s="110">
        <f>IF(AZ105="","",IFERROR(AZ105*HSI!$B$100*HSI!$G$100/HSI!$B$3,""))</f>
        <v/>
      </c>
      <c r="DO105" s="110">
        <f>IF(BA105="","",IFERROR(BA105*HSI!$B$100*HSI!$G$100/HSI!$B$3,""))</f>
        <v/>
      </c>
      <c r="DP105" s="110">
        <f>IF(BB105="","",IFERROR(BB105*HSI!$B$100*HSI!$G$100/HSI!$B$3,""))</f>
        <v/>
      </c>
      <c r="DQ105" s="110">
        <f>IF(BC105="","",IFERROR(BC105*HSI!$B$100*HSI!$G$100/HSI!$B$3,""))</f>
        <v/>
      </c>
      <c r="DR105" s="110">
        <f>IF(BD105="","",IFERROR(BD105*HSI!$B$100*HSI!$G$100/HSI!$B$3,""))</f>
        <v/>
      </c>
      <c r="DS105" s="110">
        <f>IF(BE105="","",IFERROR(BE105*HSI!$B$100*HSI!$G$100/HSI!$B$3,""))</f>
        <v/>
      </c>
      <c r="DT105" s="110">
        <f>IF(BF105="","",IFERROR(BF105*HSI!$B$100*HSI!$G$100/HSI!$B$3,""))</f>
        <v/>
      </c>
      <c r="DU105" s="110">
        <f>IF(BG105="","",IFERROR(BG105*HSI!$B$100*HSI!$G$100/HSI!$B$3,""))</f>
        <v/>
      </c>
      <c r="DV105" s="110">
        <f>IF(BH105="","",IFERROR(BH105*HSI!$B$100*HSI!$G$100/HSI!$B$3,""))</f>
        <v/>
      </c>
      <c r="DW105" s="110">
        <f>IF(BI105="","",IFERROR(BI105*HSI!$B$100*HSI!$G$100/HSI!$B$3,""))</f>
        <v/>
      </c>
      <c r="DX105" s="110">
        <f>IF(BJ105="","",IFERROR(BJ105*HSI!$B$100*HSI!$G$100/HSI!$B$3,""))</f>
        <v/>
      </c>
      <c r="DY105" s="110">
        <f>IF(BK105="","",IFERROR(BK105*HSI!$B$100*HSI!$G$100/HSI!$B$3,""))</f>
        <v/>
      </c>
      <c r="DZ105" s="110">
        <f>IF(BL105="","",IFERROR(BL105*HSI!$B$100*HSI!$G$100/HSI!$B$3,""))</f>
        <v/>
      </c>
      <c r="EA105" s="110">
        <f>IF(BM105="","",IFERROR(BM105*HSI!$B$100*HSI!$G$100/HSI!$B$3,""))</f>
        <v/>
      </c>
      <c r="EB105" s="110">
        <f>IF(BN105="","",IFERROR(BN105*HSI!$B$100*HSI!$G$100/HSI!$B$3,""))</f>
        <v/>
      </c>
      <c r="EC105" s="110">
        <f>IF(BO105="","",IFERROR(BO105*HSI!$B$100*HSI!$G$100/HSI!$B$3,""))</f>
        <v/>
      </c>
      <c r="EE105" s="39">
        <f>IF(N('Dvd Calendar'!$E$1034)=0,"",IF(('Dvd Calendar'!$E$1034&gt;=GRID_FROM)*('Dvd Calendar'!$E$1034&lt;=GRID_TO)*((('Dvd Calendar'!$E$1034&lt;=VAL_DATE)+(COUNTIF('Dvd Calendar'!$E$1041:$AR$1041,'Dvd Calendar'!$E$1034)=0))&gt;0)=0,"",'Dvd Calendar'!$E$1034*1000000000+ISNUMBER('Dvd Calendar'!$E$1037)*100000000+('Dvd Calendar'!$E$1039=SPECIAL_LBL)*10000000+(N('Dvd Calendar'!$E$1033)&gt;0)*(N('Dvd Calendar'!$E$1033)&lt;=VAL_SERIAL)*1000000+94*1000+1))</f>
        <v/>
      </c>
      <c r="EF105" s="39">
        <f>IF(N('Dvd Calendar'!$F$1034)=0,"",IF(('Dvd Calendar'!$F$1034&gt;=GRID_FROM)*('Dvd Calendar'!$F$1034&lt;=GRID_TO)*((('Dvd Calendar'!$F$1034&lt;=VAL_DATE)+(COUNTIF('Dvd Calendar'!$E$1041:$AR$1041,'Dvd Calendar'!$F$1034)=0))&gt;0)=0,"",'Dvd Calendar'!$F$1034*1000000000+ISNUMBER('Dvd Calendar'!$F$1037)*100000000+('Dvd Calendar'!$F$1039=SPECIAL_LBL)*10000000+(N('Dvd Calendar'!$F$1033)&gt;0)*(N('Dvd Calendar'!$F$1033)&lt;=VAL_SERIAL)*1000000+94*1000+2))</f>
        <v/>
      </c>
      <c r="EG105" s="39">
        <f>IF(N('Dvd Calendar'!$G$1034)=0,"",IF(('Dvd Calendar'!$G$1034&gt;=GRID_FROM)*('Dvd Calendar'!$G$1034&lt;=GRID_TO)*((('Dvd Calendar'!$G$1034&lt;=VAL_DATE)+(COUNTIF('Dvd Calendar'!$E$1041:$AR$1041,'Dvd Calendar'!$G$1034)=0))&gt;0)=0,"",'Dvd Calendar'!$G$1034*1000000000+ISNUMBER('Dvd Calendar'!$G$1037)*100000000+('Dvd Calendar'!$G$1039=SPECIAL_LBL)*10000000+(N('Dvd Calendar'!$G$1033)&gt;0)*(N('Dvd Calendar'!$G$1033)&lt;=VAL_SERIAL)*1000000+94*1000+3))</f>
        <v/>
      </c>
      <c r="EH105" s="39">
        <f>IF(N('Dvd Calendar'!$H$1034)=0,"",IF(('Dvd Calendar'!$H$1034&gt;=GRID_FROM)*('Dvd Calendar'!$H$1034&lt;=GRID_TO)*((('Dvd Calendar'!$H$1034&lt;=VAL_DATE)+(COUNTIF('Dvd Calendar'!$E$1041:$AR$1041,'Dvd Calendar'!$H$1034)=0))&gt;0)=0,"",'Dvd Calendar'!$H$1034*1000000000+ISNUMBER('Dvd Calendar'!$H$1037)*100000000+('Dvd Calendar'!$H$1039=SPECIAL_LBL)*10000000+(N('Dvd Calendar'!$H$1033)&gt;0)*(N('Dvd Calendar'!$H$1033)&lt;=VAL_SERIAL)*1000000+94*1000+4))</f>
        <v/>
      </c>
      <c r="EI105" s="39">
        <f>IF(N('Dvd Calendar'!$I$1034)=0,"",IF(('Dvd Calendar'!$I$1034&gt;=GRID_FROM)*('Dvd Calendar'!$I$1034&lt;=GRID_TO)*((('Dvd Calendar'!$I$1034&lt;=VAL_DATE)+(COUNTIF('Dvd Calendar'!$E$1041:$AR$1041,'Dvd Calendar'!$I$1034)=0))&gt;0)=0,"",'Dvd Calendar'!$I$1034*1000000000+ISNUMBER('Dvd Calendar'!$I$1037)*100000000+('Dvd Calendar'!$I$1039=SPECIAL_LBL)*10000000+(N('Dvd Calendar'!$I$1033)&gt;0)*(N('Dvd Calendar'!$I$1033)&lt;=VAL_SERIAL)*1000000+94*1000+5))</f>
        <v/>
      </c>
      <c r="EJ105" s="39">
        <f>IF(N('Dvd Calendar'!$J$1034)=0,"",IF(('Dvd Calendar'!$J$1034&gt;=GRID_FROM)*('Dvd Calendar'!$J$1034&lt;=GRID_TO)*((('Dvd Calendar'!$J$1034&lt;=VAL_DATE)+(COUNTIF('Dvd Calendar'!$E$1041:$AR$1041,'Dvd Calendar'!$J$1034)=0))&gt;0)=0,"",'Dvd Calendar'!$J$1034*1000000000+ISNUMBER('Dvd Calendar'!$J$1037)*100000000+('Dvd Calendar'!$J$1039=SPECIAL_LBL)*10000000+(N('Dvd Calendar'!$J$1033)&gt;0)*(N('Dvd Calendar'!$J$1033)&lt;=VAL_SERIAL)*1000000+94*1000+6))</f>
        <v/>
      </c>
      <c r="EK105" s="39">
        <f>IF(N('Dvd Calendar'!$K$1034)=0,"",IF(('Dvd Calendar'!$K$1034&gt;=GRID_FROM)*('Dvd Calendar'!$K$1034&lt;=GRID_TO)*((('Dvd Calendar'!$K$1034&lt;=VAL_DATE)+(COUNTIF('Dvd Calendar'!$E$1041:$AR$1041,'Dvd Calendar'!$K$1034)=0))&gt;0)=0,"",'Dvd Calendar'!$K$1034*1000000000+ISNUMBER('Dvd Calendar'!$K$1037)*100000000+('Dvd Calendar'!$K$1039=SPECIAL_LBL)*10000000+(N('Dvd Calendar'!$K$1033)&gt;0)*(N('Dvd Calendar'!$K$1033)&lt;=VAL_SERIAL)*1000000+94*1000+7))</f>
        <v/>
      </c>
      <c r="EL105" s="39">
        <f>IF(N('Dvd Calendar'!$L$1034)=0,"",IF(('Dvd Calendar'!$L$1034&gt;=GRID_FROM)*('Dvd Calendar'!$L$1034&lt;=GRID_TO)*((('Dvd Calendar'!$L$1034&lt;=VAL_DATE)+(COUNTIF('Dvd Calendar'!$E$1041:$AR$1041,'Dvd Calendar'!$L$1034)=0))&gt;0)=0,"",'Dvd Calendar'!$L$1034*1000000000+ISNUMBER('Dvd Calendar'!$L$1037)*100000000+('Dvd Calendar'!$L$1039=SPECIAL_LBL)*10000000+(N('Dvd Calendar'!$L$1033)&gt;0)*(N('Dvd Calendar'!$L$1033)&lt;=VAL_SERIAL)*1000000+94*1000+8))</f>
        <v/>
      </c>
      <c r="EM105" s="39">
        <f>IF(N('Dvd Calendar'!$M$1034)=0,"",IF(('Dvd Calendar'!$M$1034&gt;=GRID_FROM)*('Dvd Calendar'!$M$1034&lt;=GRID_TO)*((('Dvd Calendar'!$M$1034&lt;=VAL_DATE)+(COUNTIF('Dvd Calendar'!$E$1041:$AR$1041,'Dvd Calendar'!$M$1034)=0))&gt;0)=0,"",'Dvd Calendar'!$M$1034*1000000000+ISNUMBER('Dvd Calendar'!$M$1037)*100000000+('Dvd Calendar'!$M$1039=SPECIAL_LBL)*10000000+(N('Dvd Calendar'!$M$1033)&gt;0)*(N('Dvd Calendar'!$M$1033)&lt;=VAL_SERIAL)*1000000+94*1000+9))</f>
        <v/>
      </c>
      <c r="EN105" s="39">
        <f>IF(N('Dvd Calendar'!$N$1034)=0,"",IF(('Dvd Calendar'!$N$1034&gt;=GRID_FROM)*('Dvd Calendar'!$N$1034&lt;=GRID_TO)*((('Dvd Calendar'!$N$1034&lt;=VAL_DATE)+(COUNTIF('Dvd Calendar'!$E$1041:$AR$1041,'Dvd Calendar'!$N$1034)=0))&gt;0)=0,"",'Dvd Calendar'!$N$1034*1000000000+ISNUMBER('Dvd Calendar'!$N$1037)*100000000+('Dvd Calendar'!$N$1039=SPECIAL_LBL)*10000000+(N('Dvd Calendar'!$N$1033)&gt;0)*(N('Dvd Calendar'!$N$1033)&lt;=VAL_SERIAL)*1000000+94*1000+10))</f>
        <v/>
      </c>
      <c r="EO105" s="39">
        <f>IF(N('Dvd Calendar'!$O$1034)=0,"",IF(('Dvd Calendar'!$O$1034&gt;=GRID_FROM)*('Dvd Calendar'!$O$1034&lt;=GRID_TO)*((('Dvd Calendar'!$O$1034&lt;=VAL_DATE)+(COUNTIF('Dvd Calendar'!$E$1041:$AR$1041,'Dvd Calendar'!$O$1034)=0))&gt;0)=0,"",'Dvd Calendar'!$O$1034*1000000000+ISNUMBER('Dvd Calendar'!$O$1037)*100000000+('Dvd Calendar'!$O$1039=SPECIAL_LBL)*10000000+(N('Dvd Calendar'!$O$1033)&gt;0)*(N('Dvd Calendar'!$O$1033)&lt;=VAL_SERIAL)*1000000+94*1000+11))</f>
        <v/>
      </c>
      <c r="EP105" s="39">
        <f>IF(N('Dvd Calendar'!$P$1034)=0,"",IF(('Dvd Calendar'!$P$1034&gt;=GRID_FROM)*('Dvd Calendar'!$P$1034&lt;=GRID_TO)*((('Dvd Calendar'!$P$1034&lt;=VAL_DATE)+(COUNTIF('Dvd Calendar'!$E$1041:$AR$1041,'Dvd Calendar'!$P$1034)=0))&gt;0)=0,"",'Dvd Calendar'!$P$1034*1000000000+ISNUMBER('Dvd Calendar'!$P$1037)*100000000+('Dvd Calendar'!$P$1039=SPECIAL_LBL)*10000000+(N('Dvd Calendar'!$P$1033)&gt;0)*(N('Dvd Calendar'!$P$1033)&lt;=VAL_SERIAL)*1000000+94*1000+12))</f>
        <v/>
      </c>
      <c r="EQ105" s="39">
        <f>IF(N('Dvd Calendar'!$Q$1034)=0,"",IF(('Dvd Calendar'!$Q$1034&gt;=GRID_FROM)*('Dvd Calendar'!$Q$1034&lt;=GRID_TO)*((('Dvd Calendar'!$Q$1034&lt;=VAL_DATE)+(COUNTIF('Dvd Calendar'!$E$1041:$AR$1041,'Dvd Calendar'!$Q$1034)=0))&gt;0)=0,"",'Dvd Calendar'!$Q$1034*1000000000+ISNUMBER('Dvd Calendar'!$Q$1037)*100000000+('Dvd Calendar'!$Q$1039=SPECIAL_LBL)*10000000+(N('Dvd Calendar'!$Q$1033)&gt;0)*(N('Dvd Calendar'!$Q$1033)&lt;=VAL_SERIAL)*1000000+94*1000+13))</f>
        <v/>
      </c>
      <c r="ER105" s="39">
        <f>IF(N('Dvd Calendar'!$R$1034)=0,"",IF(('Dvd Calendar'!$R$1034&gt;=GRID_FROM)*('Dvd Calendar'!$R$1034&lt;=GRID_TO)*((('Dvd Calendar'!$R$1034&lt;=VAL_DATE)+(COUNTIF('Dvd Calendar'!$E$1041:$AR$1041,'Dvd Calendar'!$R$1034)=0))&gt;0)=0,"",'Dvd Calendar'!$R$1034*1000000000+ISNUMBER('Dvd Calendar'!$R$1037)*100000000+('Dvd Calendar'!$R$1039=SPECIAL_LBL)*10000000+(N('Dvd Calendar'!$R$1033)&gt;0)*(N('Dvd Calendar'!$R$1033)&lt;=VAL_SERIAL)*1000000+94*1000+14))</f>
        <v/>
      </c>
      <c r="ES105" s="39">
        <f>IF(N('Dvd Calendar'!$S$1034)=0,"",IF(('Dvd Calendar'!$S$1034&gt;=GRID_FROM)*('Dvd Calendar'!$S$1034&lt;=GRID_TO)*((('Dvd Calendar'!$S$1034&lt;=VAL_DATE)+(COUNTIF('Dvd Calendar'!$E$1041:$AR$1041,'Dvd Calendar'!$S$1034)=0))&gt;0)=0,"",'Dvd Calendar'!$S$1034*1000000000+ISNUMBER('Dvd Calendar'!$S$1037)*100000000+('Dvd Calendar'!$S$1039=SPECIAL_LBL)*10000000+(N('Dvd Calendar'!$S$1033)&gt;0)*(N('Dvd Calendar'!$S$1033)&lt;=VAL_SERIAL)*1000000+94*1000+15))</f>
        <v/>
      </c>
      <c r="ET105" s="39">
        <f>IF(N('Dvd Calendar'!$T$1034)=0,"",IF(('Dvd Calendar'!$T$1034&gt;=GRID_FROM)*('Dvd Calendar'!$T$1034&lt;=GRID_TO)*((('Dvd Calendar'!$T$1034&lt;=VAL_DATE)+(COUNTIF('Dvd Calendar'!$E$1041:$AR$1041,'Dvd Calendar'!$T$1034)=0))&gt;0)=0,"",'Dvd Calendar'!$T$1034*1000000000+ISNUMBER('Dvd Calendar'!$T$1037)*100000000+('Dvd Calendar'!$T$1039=SPECIAL_LBL)*10000000+(N('Dvd Calendar'!$T$1033)&gt;0)*(N('Dvd Calendar'!$T$1033)&lt;=VAL_SERIAL)*1000000+94*1000+16))</f>
        <v/>
      </c>
      <c r="EU105" s="39">
        <f>IF(N('Dvd Calendar'!$U$1034)=0,"",IF(('Dvd Calendar'!$U$1034&gt;=GRID_FROM)*('Dvd Calendar'!$U$1034&lt;=GRID_TO)*((('Dvd Calendar'!$U$1034&lt;=VAL_DATE)+(COUNTIF('Dvd Calendar'!$E$1041:$AR$1041,'Dvd Calendar'!$U$1034)=0))&gt;0)=0,"",'Dvd Calendar'!$U$1034*1000000000+ISNUMBER('Dvd Calendar'!$U$1037)*100000000+('Dvd Calendar'!$U$1039=SPECIAL_LBL)*10000000+(N('Dvd Calendar'!$U$1033)&gt;0)*(N('Dvd Calendar'!$U$1033)&lt;=VAL_SERIAL)*1000000+94*1000+17))</f>
        <v/>
      </c>
      <c r="EV105" s="39">
        <f>IF(N('Dvd Calendar'!$V$1034)=0,"",IF(('Dvd Calendar'!$V$1034&gt;=GRID_FROM)*('Dvd Calendar'!$V$1034&lt;=GRID_TO)*((('Dvd Calendar'!$V$1034&lt;=VAL_DATE)+(COUNTIF('Dvd Calendar'!$E$1041:$AR$1041,'Dvd Calendar'!$V$1034)=0))&gt;0)=0,"",'Dvd Calendar'!$V$1034*1000000000+ISNUMBER('Dvd Calendar'!$V$1037)*100000000+('Dvd Calendar'!$V$1039=SPECIAL_LBL)*10000000+(N('Dvd Calendar'!$V$1033)&gt;0)*(N('Dvd Calendar'!$V$1033)&lt;=VAL_SERIAL)*1000000+94*1000+18))</f>
        <v/>
      </c>
      <c r="EW105" s="39">
        <f>IF(N('Dvd Calendar'!$W$1034)=0,"",IF(('Dvd Calendar'!$W$1034&gt;=GRID_FROM)*('Dvd Calendar'!$W$1034&lt;=GRID_TO)*((('Dvd Calendar'!$W$1034&lt;=VAL_DATE)+(COUNTIF('Dvd Calendar'!$E$1041:$AR$1041,'Dvd Calendar'!$W$1034)=0))&gt;0)=0,"",'Dvd Calendar'!$W$1034*1000000000+ISNUMBER('Dvd Calendar'!$W$1037)*100000000+('Dvd Calendar'!$W$1039=SPECIAL_LBL)*10000000+(N('Dvd Calendar'!$W$1033)&gt;0)*(N('Dvd Calendar'!$W$1033)&lt;=VAL_SERIAL)*1000000+94*1000+19))</f>
        <v/>
      </c>
      <c r="EX105" s="39">
        <f>IF(N('Dvd Calendar'!$X$1034)=0,"",IF(('Dvd Calendar'!$X$1034&gt;=GRID_FROM)*('Dvd Calendar'!$X$1034&lt;=GRID_TO)*((('Dvd Calendar'!$X$1034&lt;=VAL_DATE)+(COUNTIF('Dvd Calendar'!$E$1041:$AR$1041,'Dvd Calendar'!$X$1034)=0))&gt;0)=0,"",'Dvd Calendar'!$X$1034*1000000000+ISNUMBER('Dvd Calendar'!$X$1037)*100000000+('Dvd Calendar'!$X$1039=SPECIAL_LBL)*10000000+(N('Dvd Calendar'!$X$1033)&gt;0)*(N('Dvd Calendar'!$X$1033)&lt;=VAL_SERIAL)*1000000+94*1000+20))</f>
        <v/>
      </c>
      <c r="EY105" s="39">
        <f>IF(N('Dvd Calendar'!$Y$1034)=0,"",IF(('Dvd Calendar'!$Y$1034&gt;=GRID_FROM)*('Dvd Calendar'!$Y$1034&lt;=GRID_TO)*((('Dvd Calendar'!$Y$1034&lt;=VAL_DATE)+(COUNTIF('Dvd Calendar'!$E$1041:$AR$1041,'Dvd Calendar'!$Y$1034)=0))&gt;0)=0,"",'Dvd Calendar'!$Y$1034*1000000000+ISNUMBER('Dvd Calendar'!$Y$1037)*100000000+('Dvd Calendar'!$Y$1039=SPECIAL_LBL)*10000000+(N('Dvd Calendar'!$Y$1033)&gt;0)*(N('Dvd Calendar'!$Y$1033)&lt;=VAL_SERIAL)*1000000+94*1000+21))</f>
        <v/>
      </c>
      <c r="EZ105" s="39">
        <f>IF(N('Dvd Calendar'!$Z$1034)=0,"",IF(('Dvd Calendar'!$Z$1034&gt;=GRID_FROM)*('Dvd Calendar'!$Z$1034&lt;=GRID_TO)*((('Dvd Calendar'!$Z$1034&lt;=VAL_DATE)+(COUNTIF('Dvd Calendar'!$E$1041:$AR$1041,'Dvd Calendar'!$Z$1034)=0))&gt;0)=0,"",'Dvd Calendar'!$Z$1034*1000000000+ISNUMBER('Dvd Calendar'!$Z$1037)*100000000+('Dvd Calendar'!$Z$1039=SPECIAL_LBL)*10000000+(N('Dvd Calendar'!$Z$1033)&gt;0)*(N('Dvd Calendar'!$Z$1033)&lt;=VAL_SERIAL)*1000000+94*1000+22))</f>
        <v/>
      </c>
      <c r="FA105" s="39">
        <f>IF(N('Dvd Calendar'!$AA$1034)=0,"",IF(('Dvd Calendar'!$AA$1034&gt;=GRID_FROM)*('Dvd Calendar'!$AA$1034&lt;=GRID_TO)*((('Dvd Calendar'!$AA$1034&lt;=VAL_DATE)+(COUNTIF('Dvd Calendar'!$E$1041:$AR$1041,'Dvd Calendar'!$AA$1034)=0))&gt;0)=0,"",'Dvd Calendar'!$AA$1034*1000000000+ISNUMBER('Dvd Calendar'!$AA$1037)*100000000+('Dvd Calendar'!$AA$1039=SPECIAL_LBL)*10000000+(N('Dvd Calendar'!$AA$1033)&gt;0)*(N('Dvd Calendar'!$AA$1033)&lt;=VAL_SERIAL)*1000000+94*1000+23))</f>
        <v/>
      </c>
      <c r="FB105" s="39">
        <f>IF(N('Dvd Calendar'!$AB$1034)=0,"",IF(('Dvd Calendar'!$AB$1034&gt;=GRID_FROM)*('Dvd Calendar'!$AB$1034&lt;=GRID_TO)*((('Dvd Calendar'!$AB$1034&lt;=VAL_DATE)+(COUNTIF('Dvd Calendar'!$E$1041:$AR$1041,'Dvd Calendar'!$AB$1034)=0))&gt;0)=0,"",'Dvd Calendar'!$AB$1034*1000000000+ISNUMBER('Dvd Calendar'!$AB$1037)*100000000+('Dvd Calendar'!$AB$1039=SPECIAL_LBL)*10000000+(N('Dvd Calendar'!$AB$1033)&gt;0)*(N('Dvd Calendar'!$AB$1033)&lt;=VAL_SERIAL)*1000000+94*1000+24))</f>
        <v/>
      </c>
      <c r="FC105" s="39">
        <f>IF(N('Dvd Calendar'!$AC$1034)=0,"",IF(('Dvd Calendar'!$AC$1034&gt;=GRID_FROM)*('Dvd Calendar'!$AC$1034&lt;=GRID_TO)*((('Dvd Calendar'!$AC$1034&lt;=VAL_DATE)+(COUNTIF('Dvd Calendar'!$E$1041:$AR$1041,'Dvd Calendar'!$AC$1034)=0))&gt;0)=0,"",'Dvd Calendar'!$AC$1034*1000000000+ISNUMBER('Dvd Calendar'!$AC$1037)*100000000+('Dvd Calendar'!$AC$1039=SPECIAL_LBL)*10000000+(N('Dvd Calendar'!$AC$1033)&gt;0)*(N('Dvd Calendar'!$AC$1033)&lt;=VAL_SERIAL)*1000000+94*1000+25))</f>
        <v/>
      </c>
      <c r="FD105" s="39">
        <f>IF(N('Dvd Calendar'!$AD$1034)=0,"",IF(('Dvd Calendar'!$AD$1034&gt;=GRID_FROM)*('Dvd Calendar'!$AD$1034&lt;=GRID_TO)*((('Dvd Calendar'!$AD$1034&lt;=VAL_DATE)+(COUNTIF('Dvd Calendar'!$E$1041:$AR$1041,'Dvd Calendar'!$AD$1034)=0))&gt;0)=0,"",'Dvd Calendar'!$AD$1034*1000000000+ISNUMBER('Dvd Calendar'!$AD$1037)*100000000+('Dvd Calendar'!$AD$1039=SPECIAL_LBL)*10000000+(N('Dvd Calendar'!$AD$1033)&gt;0)*(N('Dvd Calendar'!$AD$1033)&lt;=VAL_SERIAL)*1000000+94*1000+26))</f>
        <v/>
      </c>
      <c r="FE105" s="39">
        <f>IF(N('Dvd Calendar'!$AE$1034)=0,"",IF(('Dvd Calendar'!$AE$1034&gt;=GRID_FROM)*('Dvd Calendar'!$AE$1034&lt;=GRID_TO)*((('Dvd Calendar'!$AE$1034&lt;=VAL_DATE)+(COUNTIF('Dvd Calendar'!$E$1041:$AR$1041,'Dvd Calendar'!$AE$1034)=0))&gt;0)=0,"",'Dvd Calendar'!$AE$1034*1000000000+ISNUMBER('Dvd Calendar'!$AE$1037)*100000000+('Dvd Calendar'!$AE$1039=SPECIAL_LBL)*10000000+(N('Dvd Calendar'!$AE$1033)&gt;0)*(N('Dvd Calendar'!$AE$1033)&lt;=VAL_SERIAL)*1000000+94*1000+27))</f>
        <v/>
      </c>
      <c r="FF105" s="39">
        <f>IF(N('Dvd Calendar'!$AF$1034)=0,"",IF(('Dvd Calendar'!$AF$1034&gt;=GRID_FROM)*('Dvd Calendar'!$AF$1034&lt;=GRID_TO)*((('Dvd Calendar'!$AF$1034&lt;=VAL_DATE)+(COUNTIF('Dvd Calendar'!$E$1041:$AR$1041,'Dvd Calendar'!$AF$1034)=0))&gt;0)=0,"",'Dvd Calendar'!$AF$1034*1000000000+ISNUMBER('Dvd Calendar'!$AF$1037)*100000000+('Dvd Calendar'!$AF$1039=SPECIAL_LBL)*10000000+(N('Dvd Calendar'!$AF$1033)&gt;0)*(N('Dvd Calendar'!$AF$1033)&lt;=VAL_SERIAL)*1000000+94*1000+28))</f>
        <v/>
      </c>
      <c r="FG105" s="39">
        <f>IF(N('Dvd Calendar'!$AG$1034)=0,"",IF(('Dvd Calendar'!$AG$1034&gt;=GRID_FROM)*('Dvd Calendar'!$AG$1034&lt;=GRID_TO)*((('Dvd Calendar'!$AG$1034&lt;=VAL_DATE)+(COUNTIF('Dvd Calendar'!$E$1041:$AR$1041,'Dvd Calendar'!$AG$1034)=0))&gt;0)=0,"",'Dvd Calendar'!$AG$1034*1000000000+ISNUMBER('Dvd Calendar'!$AG$1037)*100000000+('Dvd Calendar'!$AG$1039=SPECIAL_LBL)*10000000+(N('Dvd Calendar'!$AG$1033)&gt;0)*(N('Dvd Calendar'!$AG$1033)&lt;=VAL_SERIAL)*1000000+94*1000+29))</f>
        <v/>
      </c>
      <c r="FH105" s="39">
        <f>IF(N('Dvd Calendar'!$AH$1034)=0,"",IF(('Dvd Calendar'!$AH$1034&gt;=GRID_FROM)*('Dvd Calendar'!$AH$1034&lt;=GRID_TO)*((('Dvd Calendar'!$AH$1034&lt;=VAL_DATE)+(COUNTIF('Dvd Calendar'!$E$1041:$AR$1041,'Dvd Calendar'!$AH$1034)=0))&gt;0)=0,"",'Dvd Calendar'!$AH$1034*1000000000+ISNUMBER('Dvd Calendar'!$AH$1037)*100000000+('Dvd Calendar'!$AH$1039=SPECIAL_LBL)*10000000+(N('Dvd Calendar'!$AH$1033)&gt;0)*(N('Dvd Calendar'!$AH$1033)&lt;=VAL_SERIAL)*1000000+94*1000+30))</f>
        <v/>
      </c>
      <c r="FI105" s="39">
        <f>IF(N('Dvd Calendar'!$AI$1034)=0,"",IF(('Dvd Calendar'!$AI$1034&gt;=GRID_FROM)*('Dvd Calendar'!$AI$1034&lt;=GRID_TO)*((('Dvd Calendar'!$AI$1034&lt;=VAL_DATE)+(COUNTIF('Dvd Calendar'!$E$1041:$AR$1041,'Dvd Calendar'!$AI$1034)=0))&gt;0)=0,"",'Dvd Calendar'!$AI$1034*1000000000+ISNUMBER('Dvd Calendar'!$AI$1037)*100000000+('Dvd Calendar'!$AI$1039=SPECIAL_LBL)*10000000+(N('Dvd Calendar'!$AI$1033)&gt;0)*(N('Dvd Calendar'!$AI$1033)&lt;=VAL_SERIAL)*1000000+94*1000+31))</f>
        <v/>
      </c>
      <c r="FJ105" s="39">
        <f>IF(N('Dvd Calendar'!$AJ$1034)=0,"",IF(('Dvd Calendar'!$AJ$1034&gt;=GRID_FROM)*('Dvd Calendar'!$AJ$1034&lt;=GRID_TO)*((('Dvd Calendar'!$AJ$1034&lt;=VAL_DATE)+(COUNTIF('Dvd Calendar'!$E$1041:$AR$1041,'Dvd Calendar'!$AJ$1034)=0))&gt;0)=0,"",'Dvd Calendar'!$AJ$1034*1000000000+ISNUMBER('Dvd Calendar'!$AJ$1037)*100000000+('Dvd Calendar'!$AJ$1039=SPECIAL_LBL)*10000000+(N('Dvd Calendar'!$AJ$1033)&gt;0)*(N('Dvd Calendar'!$AJ$1033)&lt;=VAL_SERIAL)*1000000+94*1000+32))</f>
        <v/>
      </c>
      <c r="FK105" s="39">
        <f>IF(N('Dvd Calendar'!$AK$1034)=0,"",IF(('Dvd Calendar'!$AK$1034&gt;=GRID_FROM)*('Dvd Calendar'!$AK$1034&lt;=GRID_TO)*((('Dvd Calendar'!$AK$1034&lt;=VAL_DATE)+(COUNTIF('Dvd Calendar'!$E$1041:$AR$1041,'Dvd Calendar'!$AK$1034)=0))&gt;0)=0,"",'Dvd Calendar'!$AK$1034*1000000000+ISNUMBER('Dvd Calendar'!$AK$1037)*100000000+('Dvd Calendar'!$AK$1039=SPECIAL_LBL)*10000000+(N('Dvd Calendar'!$AK$1033)&gt;0)*(N('Dvd Calendar'!$AK$1033)&lt;=VAL_SERIAL)*1000000+94*1000+33))</f>
        <v/>
      </c>
      <c r="FL105" s="39">
        <f>IF(N('Dvd Calendar'!$AL$1034)=0,"",IF(('Dvd Calendar'!$AL$1034&gt;=GRID_FROM)*('Dvd Calendar'!$AL$1034&lt;=GRID_TO)*((('Dvd Calendar'!$AL$1034&lt;=VAL_DATE)+(COUNTIF('Dvd Calendar'!$E$1041:$AR$1041,'Dvd Calendar'!$AL$1034)=0))&gt;0)=0,"",'Dvd Calendar'!$AL$1034*1000000000+ISNUMBER('Dvd Calendar'!$AL$1037)*100000000+('Dvd Calendar'!$AL$1039=SPECIAL_LBL)*10000000+(N('Dvd Calendar'!$AL$1033)&gt;0)*(N('Dvd Calendar'!$AL$1033)&lt;=VAL_SERIAL)*1000000+94*1000+34))</f>
        <v/>
      </c>
      <c r="FM105" s="39">
        <f>IF(N('Dvd Calendar'!$AM$1034)=0,"",IF(('Dvd Calendar'!$AM$1034&gt;=GRID_FROM)*('Dvd Calendar'!$AM$1034&lt;=GRID_TO)*((('Dvd Calendar'!$AM$1034&lt;=VAL_DATE)+(COUNTIF('Dvd Calendar'!$E$1041:$AR$1041,'Dvd Calendar'!$AM$1034)=0))&gt;0)=0,"",'Dvd Calendar'!$AM$1034*1000000000+ISNUMBER('Dvd Calendar'!$AM$1037)*100000000+('Dvd Calendar'!$AM$1039=SPECIAL_LBL)*10000000+(N('Dvd Calendar'!$AM$1033)&gt;0)*(N('Dvd Calendar'!$AM$1033)&lt;=VAL_SERIAL)*1000000+94*1000+35))</f>
        <v/>
      </c>
      <c r="FN105" s="39">
        <f>IF(N('Dvd Calendar'!$AN$1034)=0,"",IF(('Dvd Calendar'!$AN$1034&gt;=GRID_FROM)*('Dvd Calendar'!$AN$1034&lt;=GRID_TO)*((('Dvd Calendar'!$AN$1034&lt;=VAL_DATE)+(COUNTIF('Dvd Calendar'!$E$1041:$AR$1041,'Dvd Calendar'!$AN$1034)=0))&gt;0)=0,"",'Dvd Calendar'!$AN$1034*1000000000+ISNUMBER('Dvd Calendar'!$AN$1037)*100000000+('Dvd Calendar'!$AN$1039=SPECIAL_LBL)*10000000+(N('Dvd Calendar'!$AN$1033)&gt;0)*(N('Dvd Calendar'!$AN$1033)&lt;=VAL_SERIAL)*1000000+94*1000+36))</f>
        <v/>
      </c>
      <c r="FO105" s="39">
        <f>IF(N('Dvd Calendar'!$AO$1034)=0,"",IF(('Dvd Calendar'!$AO$1034&gt;=GRID_FROM)*('Dvd Calendar'!$AO$1034&lt;=GRID_TO)*((('Dvd Calendar'!$AO$1034&lt;=VAL_DATE)+(COUNTIF('Dvd Calendar'!$E$1041:$AR$1041,'Dvd Calendar'!$AO$1034)=0))&gt;0)=0,"",'Dvd Calendar'!$AO$1034*1000000000+ISNUMBER('Dvd Calendar'!$AO$1037)*100000000+('Dvd Calendar'!$AO$1039=SPECIAL_LBL)*10000000+(N('Dvd Calendar'!$AO$1033)&gt;0)*(N('Dvd Calendar'!$AO$1033)&lt;=VAL_SERIAL)*1000000+94*1000+37))</f>
        <v/>
      </c>
      <c r="FP105" s="39">
        <f>IF(N('Dvd Calendar'!$AP$1034)=0,"",IF(('Dvd Calendar'!$AP$1034&gt;=GRID_FROM)*('Dvd Calendar'!$AP$1034&lt;=GRID_TO)*((('Dvd Calendar'!$AP$1034&lt;=VAL_DATE)+(COUNTIF('Dvd Calendar'!$E$1041:$AR$1041,'Dvd Calendar'!$AP$1034)=0))&gt;0)=0,"",'Dvd Calendar'!$AP$1034*1000000000+ISNUMBER('Dvd Calendar'!$AP$1037)*100000000+('Dvd Calendar'!$AP$1039=SPECIAL_LBL)*10000000+(N('Dvd Calendar'!$AP$1033)&gt;0)*(N('Dvd Calendar'!$AP$1033)&lt;=VAL_SERIAL)*1000000+94*1000+38))</f>
        <v/>
      </c>
      <c r="FQ105" s="39">
        <f>IF(N('Dvd Calendar'!$AQ$1034)=0,"",IF(('Dvd Calendar'!$AQ$1034&gt;=GRID_FROM)*('Dvd Calendar'!$AQ$1034&lt;=GRID_TO)*((('Dvd Calendar'!$AQ$1034&lt;=VAL_DATE)+(COUNTIF('Dvd Calendar'!$E$1041:$AR$1041,'Dvd Calendar'!$AQ$1034)=0))&gt;0)=0,"",'Dvd Calendar'!$AQ$1034*1000000000+ISNUMBER('Dvd Calendar'!$AQ$1037)*100000000+('Dvd Calendar'!$AQ$1039=SPECIAL_LBL)*10000000+(N('Dvd Calendar'!$AQ$1033)&gt;0)*(N('Dvd Calendar'!$AQ$1033)&lt;=VAL_SERIAL)*1000000+94*1000+39))</f>
        <v/>
      </c>
      <c r="FR105" s="39">
        <f>IF(N('Dvd Calendar'!$AR$1034)=0,"",IF(('Dvd Calendar'!$AR$1034&gt;=GRID_FROM)*('Dvd Calendar'!$AR$1034&lt;=GRID_TO)*((('Dvd Calendar'!$AR$1034&lt;=VAL_DATE)+(COUNTIF('Dvd Calendar'!$E$1041:$AR$1041,'Dvd Calendar'!$AR$1034)=0))&gt;0)=0,"",'Dvd Calendar'!$AR$1034*1000000000+ISNUMBER('Dvd Calendar'!$AR$1037)*100000000+('Dvd Calendar'!$AR$1039=SPECIAL_LBL)*10000000+(N('Dvd Calendar'!$AR$1033)&gt;0)*(N('Dvd Calendar'!$AR$1033)&lt;=VAL_SERIAL)*1000000+94*1000+40))</f>
        <v/>
      </c>
      <c r="FS105" s="39">
        <f>IF(N('Dvd Calendar'!$E$1041)=0,"",IF(('Dvd Calendar'!$E$1041&gt;=GRID_FROM)*('Dvd Calendar'!$E$1041&lt;=GRID_TO)*('Dvd Calendar'!$E$1041&gt;VAL_DATE)=0,"",'Dvd Calendar'!$E$1041*1000000000+ISNUMBER('Dvd Calendar'!$E$1042)*100000000+0*10000000+(N('Dvd Calendar'!$E$1040)&gt;0)*(N('Dvd Calendar'!$E$1040)&lt;=VAL_SERIAL)*1000000+94*1000+41))</f>
        <v/>
      </c>
      <c r="FT105" s="39">
        <f>IF(N('Dvd Calendar'!$F$1041)=0,"",IF(('Dvd Calendar'!$F$1041&gt;=GRID_FROM)*('Dvd Calendar'!$F$1041&lt;=GRID_TO)*('Dvd Calendar'!$F$1041&gt;VAL_DATE)=0,"",'Dvd Calendar'!$F$1041*1000000000+ISNUMBER('Dvd Calendar'!$F$1042)*100000000+0*10000000+(N('Dvd Calendar'!$F$1040)&gt;0)*(N('Dvd Calendar'!$F$1040)&lt;=VAL_SERIAL)*1000000+94*1000+42))</f>
        <v/>
      </c>
      <c r="FU105" s="39">
        <f>IF(N('Dvd Calendar'!$G$1041)=0,"",IF(('Dvd Calendar'!$G$1041&gt;=GRID_FROM)*('Dvd Calendar'!$G$1041&lt;=GRID_TO)*('Dvd Calendar'!$G$1041&gt;VAL_DATE)=0,"",'Dvd Calendar'!$G$1041*1000000000+ISNUMBER('Dvd Calendar'!$G$1042)*100000000+0*10000000+(N('Dvd Calendar'!$G$1040)&gt;0)*(N('Dvd Calendar'!$G$1040)&lt;=VAL_SERIAL)*1000000+94*1000+43))</f>
        <v/>
      </c>
      <c r="FV105" s="39">
        <f>IF(N('Dvd Calendar'!$H$1041)=0,"",IF(('Dvd Calendar'!$H$1041&gt;=GRID_FROM)*('Dvd Calendar'!$H$1041&lt;=GRID_TO)*('Dvd Calendar'!$H$1041&gt;VAL_DATE)=0,"",'Dvd Calendar'!$H$1041*1000000000+ISNUMBER('Dvd Calendar'!$H$1042)*100000000+0*10000000+(N('Dvd Calendar'!$H$1040)&gt;0)*(N('Dvd Calendar'!$H$1040)&lt;=VAL_SERIAL)*1000000+94*1000+44))</f>
        <v/>
      </c>
      <c r="FW105" s="39">
        <f>IF(N('Dvd Calendar'!$I$1041)=0,"",IF(('Dvd Calendar'!$I$1041&gt;=GRID_FROM)*('Dvd Calendar'!$I$1041&lt;=GRID_TO)*('Dvd Calendar'!$I$1041&gt;VAL_DATE)=0,"",'Dvd Calendar'!$I$1041*1000000000+ISNUMBER('Dvd Calendar'!$I$1042)*100000000+0*10000000+(N('Dvd Calendar'!$I$1040)&gt;0)*(N('Dvd Calendar'!$I$1040)&lt;=VAL_SERIAL)*1000000+94*1000+45))</f>
        <v/>
      </c>
      <c r="FX105" s="39">
        <f>IF(N('Dvd Calendar'!$J$1041)=0,"",IF(('Dvd Calendar'!$J$1041&gt;=GRID_FROM)*('Dvd Calendar'!$J$1041&lt;=GRID_TO)*('Dvd Calendar'!$J$1041&gt;VAL_DATE)=0,"",'Dvd Calendar'!$J$1041*1000000000+ISNUMBER('Dvd Calendar'!$J$1042)*100000000+0*10000000+(N('Dvd Calendar'!$J$1040)&gt;0)*(N('Dvd Calendar'!$J$1040)&lt;=VAL_SERIAL)*1000000+94*1000+46))</f>
        <v/>
      </c>
      <c r="FY105" s="39">
        <f>IF(N('Dvd Calendar'!$K$1041)=0,"",IF(('Dvd Calendar'!$K$1041&gt;=GRID_FROM)*('Dvd Calendar'!$K$1041&lt;=GRID_TO)*('Dvd Calendar'!$K$1041&gt;VAL_DATE)=0,"",'Dvd Calendar'!$K$1041*1000000000+ISNUMBER('Dvd Calendar'!$K$1042)*100000000+0*10000000+(N('Dvd Calendar'!$K$1040)&gt;0)*(N('Dvd Calendar'!$K$1040)&lt;=VAL_SERIAL)*1000000+94*1000+47))</f>
        <v/>
      </c>
      <c r="FZ105" s="39">
        <f>IF(N('Dvd Calendar'!$L$1041)=0,"",IF(('Dvd Calendar'!$L$1041&gt;=GRID_FROM)*('Dvd Calendar'!$L$1041&lt;=GRID_TO)*('Dvd Calendar'!$L$1041&gt;VAL_DATE)=0,"",'Dvd Calendar'!$L$1041*1000000000+ISNUMBER('Dvd Calendar'!$L$1042)*100000000+0*10000000+(N('Dvd Calendar'!$L$1040)&gt;0)*(N('Dvd Calendar'!$L$1040)&lt;=VAL_SERIAL)*1000000+94*1000+48))</f>
        <v/>
      </c>
      <c r="GA105" s="39">
        <f>IF(N('Dvd Calendar'!$M$1041)=0,"",IF(('Dvd Calendar'!$M$1041&gt;=GRID_FROM)*('Dvd Calendar'!$M$1041&lt;=GRID_TO)*('Dvd Calendar'!$M$1041&gt;VAL_DATE)=0,"",'Dvd Calendar'!$M$1041*1000000000+ISNUMBER('Dvd Calendar'!$M$1042)*100000000+0*10000000+(N('Dvd Calendar'!$M$1040)&gt;0)*(N('Dvd Calendar'!$M$1040)&lt;=VAL_SERIAL)*1000000+94*1000+49))</f>
        <v/>
      </c>
      <c r="GB105" s="39">
        <f>IF(N('Dvd Calendar'!$N$1041)=0,"",IF(('Dvd Calendar'!$N$1041&gt;=GRID_FROM)*('Dvd Calendar'!$N$1041&lt;=GRID_TO)*('Dvd Calendar'!$N$1041&gt;VAL_DATE)=0,"",'Dvd Calendar'!$N$1041*1000000000+ISNUMBER('Dvd Calendar'!$N$1042)*100000000+0*10000000+(N('Dvd Calendar'!$N$1040)&gt;0)*(N('Dvd Calendar'!$N$1040)&lt;=VAL_SERIAL)*1000000+94*1000+50))</f>
        <v/>
      </c>
      <c r="GC105" s="39">
        <f>IF(N('Dvd Calendar'!$O$1041)=0,"",IF(('Dvd Calendar'!$O$1041&gt;=GRID_FROM)*('Dvd Calendar'!$O$1041&lt;=GRID_TO)*('Dvd Calendar'!$O$1041&gt;VAL_DATE)=0,"",'Dvd Calendar'!$O$1041*1000000000+ISNUMBER('Dvd Calendar'!$O$1042)*100000000+0*10000000+(N('Dvd Calendar'!$O$1040)&gt;0)*(N('Dvd Calendar'!$O$1040)&lt;=VAL_SERIAL)*1000000+94*1000+51))</f>
        <v/>
      </c>
      <c r="GD105" s="39">
        <f>IF(N('Dvd Calendar'!$P$1041)=0,"",IF(('Dvd Calendar'!$P$1041&gt;=GRID_FROM)*('Dvd Calendar'!$P$1041&lt;=GRID_TO)*('Dvd Calendar'!$P$1041&gt;VAL_DATE)=0,"",'Dvd Calendar'!$P$1041*1000000000+ISNUMBER('Dvd Calendar'!$P$1042)*100000000+0*10000000+(N('Dvd Calendar'!$P$1040)&gt;0)*(N('Dvd Calendar'!$P$1040)&lt;=VAL_SERIAL)*1000000+94*1000+52))</f>
        <v/>
      </c>
      <c r="GE105" s="39">
        <f>IF(N('Dvd Calendar'!$Q$1041)=0,"",IF(('Dvd Calendar'!$Q$1041&gt;=GRID_FROM)*('Dvd Calendar'!$Q$1041&lt;=GRID_TO)*('Dvd Calendar'!$Q$1041&gt;VAL_DATE)=0,"",'Dvd Calendar'!$Q$1041*1000000000+ISNUMBER('Dvd Calendar'!$Q$1042)*100000000+0*10000000+(N('Dvd Calendar'!$Q$1040)&gt;0)*(N('Dvd Calendar'!$Q$1040)&lt;=VAL_SERIAL)*1000000+94*1000+53))</f>
        <v/>
      </c>
      <c r="GF105" s="39">
        <f>IF(N('Dvd Calendar'!$R$1041)=0,"",IF(('Dvd Calendar'!$R$1041&gt;=GRID_FROM)*('Dvd Calendar'!$R$1041&lt;=GRID_TO)*('Dvd Calendar'!$R$1041&gt;VAL_DATE)=0,"",'Dvd Calendar'!$R$1041*1000000000+ISNUMBER('Dvd Calendar'!$R$1042)*100000000+0*10000000+(N('Dvd Calendar'!$R$1040)&gt;0)*(N('Dvd Calendar'!$R$1040)&lt;=VAL_SERIAL)*1000000+94*1000+54))</f>
        <v/>
      </c>
      <c r="GG105" s="39">
        <f>IF(N('Dvd Calendar'!$S$1041)=0,"",IF(('Dvd Calendar'!$S$1041&gt;=GRID_FROM)*('Dvd Calendar'!$S$1041&lt;=GRID_TO)*('Dvd Calendar'!$S$1041&gt;VAL_DATE)=0,"",'Dvd Calendar'!$S$1041*1000000000+ISNUMBER('Dvd Calendar'!$S$1042)*100000000+0*10000000+(N('Dvd Calendar'!$S$1040)&gt;0)*(N('Dvd Calendar'!$S$1040)&lt;=VAL_SERIAL)*1000000+94*1000+55))</f>
        <v/>
      </c>
      <c r="GH105" s="39">
        <f>IF(N('Dvd Calendar'!$T$1041)=0,"",IF(('Dvd Calendar'!$T$1041&gt;=GRID_FROM)*('Dvd Calendar'!$T$1041&lt;=GRID_TO)*('Dvd Calendar'!$T$1041&gt;VAL_DATE)=0,"",'Dvd Calendar'!$T$1041*1000000000+ISNUMBER('Dvd Calendar'!$T$1042)*100000000+0*10000000+(N('Dvd Calendar'!$T$1040)&gt;0)*(N('Dvd Calendar'!$T$1040)&lt;=VAL_SERIAL)*1000000+94*1000+56))</f>
        <v/>
      </c>
      <c r="GI105" s="39">
        <f>IF(N('Dvd Calendar'!$U$1041)=0,"",IF(('Dvd Calendar'!$U$1041&gt;=GRID_FROM)*('Dvd Calendar'!$U$1041&lt;=GRID_TO)*('Dvd Calendar'!$U$1041&gt;VAL_DATE)=0,"",'Dvd Calendar'!$U$1041*1000000000+ISNUMBER('Dvd Calendar'!$U$1042)*100000000+0*10000000+(N('Dvd Calendar'!$U$1040)&gt;0)*(N('Dvd Calendar'!$U$1040)&lt;=VAL_SERIAL)*1000000+94*1000+57))</f>
        <v/>
      </c>
      <c r="GJ105" s="39">
        <f>IF(N('Dvd Calendar'!$V$1041)=0,"",IF(('Dvd Calendar'!$V$1041&gt;=GRID_FROM)*('Dvd Calendar'!$V$1041&lt;=GRID_TO)*('Dvd Calendar'!$V$1041&gt;VAL_DATE)=0,"",'Dvd Calendar'!$V$1041*1000000000+ISNUMBER('Dvd Calendar'!$V$1042)*100000000+0*10000000+(N('Dvd Calendar'!$V$1040)&gt;0)*(N('Dvd Calendar'!$V$1040)&lt;=VAL_SERIAL)*1000000+94*1000+58))</f>
        <v/>
      </c>
      <c r="GK105" s="39">
        <f>IF(N('Dvd Calendar'!$W$1041)=0,"",IF(('Dvd Calendar'!$W$1041&gt;=GRID_FROM)*('Dvd Calendar'!$W$1041&lt;=GRID_TO)*('Dvd Calendar'!$W$1041&gt;VAL_DATE)=0,"",'Dvd Calendar'!$W$1041*1000000000+ISNUMBER('Dvd Calendar'!$W$1042)*100000000+0*10000000+(N('Dvd Calendar'!$W$1040)&gt;0)*(N('Dvd Calendar'!$W$1040)&lt;=VAL_SERIAL)*1000000+94*1000+59))</f>
        <v/>
      </c>
      <c r="GL105" s="39">
        <f>IF(N('Dvd Calendar'!$X$1041)=0,"",IF(('Dvd Calendar'!$X$1041&gt;=GRID_FROM)*('Dvd Calendar'!$X$1041&lt;=GRID_TO)*('Dvd Calendar'!$X$1041&gt;VAL_DATE)=0,"",'Dvd Calendar'!$X$1041*1000000000+ISNUMBER('Dvd Calendar'!$X$1042)*100000000+0*10000000+(N('Dvd Calendar'!$X$1040)&gt;0)*(N('Dvd Calendar'!$X$1040)&lt;=VAL_SERIAL)*1000000+94*1000+60))</f>
        <v/>
      </c>
      <c r="GM105" s="39">
        <f>IF(N('Dvd Calendar'!$Y$1041)=0,"",IF(('Dvd Calendar'!$Y$1041&gt;=GRID_FROM)*('Dvd Calendar'!$Y$1041&lt;=GRID_TO)*('Dvd Calendar'!$Y$1041&gt;VAL_DATE)=0,"",'Dvd Calendar'!$Y$1041*1000000000+ISNUMBER('Dvd Calendar'!$Y$1042)*100000000+0*10000000+(N('Dvd Calendar'!$Y$1040)&gt;0)*(N('Dvd Calendar'!$Y$1040)&lt;=VAL_SERIAL)*1000000+94*1000+61))</f>
        <v/>
      </c>
      <c r="GN105" s="39">
        <f>IF(N('Dvd Calendar'!$Z$1041)=0,"",IF(('Dvd Calendar'!$Z$1041&gt;=GRID_FROM)*('Dvd Calendar'!$Z$1041&lt;=GRID_TO)*('Dvd Calendar'!$Z$1041&gt;VAL_DATE)=0,"",'Dvd Calendar'!$Z$1041*1000000000+ISNUMBER('Dvd Calendar'!$Z$1042)*100000000+0*10000000+(N('Dvd Calendar'!$Z$1040)&gt;0)*(N('Dvd Calendar'!$Z$1040)&lt;=VAL_SERIAL)*1000000+94*1000+62))</f>
        <v/>
      </c>
      <c r="GO105" s="39">
        <f>IF(N('Dvd Calendar'!$AA$1041)=0,"",IF(('Dvd Calendar'!$AA$1041&gt;=GRID_FROM)*('Dvd Calendar'!$AA$1041&lt;=GRID_TO)*('Dvd Calendar'!$AA$1041&gt;VAL_DATE)=0,"",'Dvd Calendar'!$AA$1041*1000000000+ISNUMBER('Dvd Calendar'!$AA$1042)*100000000+0*10000000+(N('Dvd Calendar'!$AA$1040)&gt;0)*(N('Dvd Calendar'!$AA$1040)&lt;=VAL_SERIAL)*1000000+94*1000+63))</f>
        <v/>
      </c>
      <c r="GP105" s="39">
        <f>IF(N('Dvd Calendar'!$AB$1041)=0,"",IF(('Dvd Calendar'!$AB$1041&gt;=GRID_FROM)*('Dvd Calendar'!$AB$1041&lt;=GRID_TO)*('Dvd Calendar'!$AB$1041&gt;VAL_DATE)=0,"",'Dvd Calendar'!$AB$1041*1000000000+ISNUMBER('Dvd Calendar'!$AB$1042)*100000000+0*10000000+(N('Dvd Calendar'!$AB$1040)&gt;0)*(N('Dvd Calendar'!$AB$1040)&lt;=VAL_SERIAL)*1000000+94*1000+64))</f>
        <v/>
      </c>
      <c r="GQ105" s="39">
        <f>IF(N('Dvd Calendar'!$AC$1041)=0,"",IF(('Dvd Calendar'!$AC$1041&gt;=GRID_FROM)*('Dvd Calendar'!$AC$1041&lt;=GRID_TO)*('Dvd Calendar'!$AC$1041&gt;VAL_DATE)=0,"",'Dvd Calendar'!$AC$1041*1000000000+ISNUMBER('Dvd Calendar'!$AC$1042)*100000000+0*10000000+(N('Dvd Calendar'!$AC$1040)&gt;0)*(N('Dvd Calendar'!$AC$1040)&lt;=VAL_SERIAL)*1000000+94*1000+65))</f>
        <v/>
      </c>
    </row>
    <row r="106">
      <c r="B106" s="2">
        <f>IF(HSI!$C$101="","",HSI!$C$101)</f>
        <v/>
      </c>
      <c r="C106" s="110">
        <f>IF(EE106="","",IF(ISNUMBER('Dvd Calendar'!$E$1048)=FALSE,"",IF((('Dvd Calendar'!$E$1050=TYPE1)*(TYPE1&lt;&gt;"")+('Dvd Calendar'!$E$1050=TYPE2)*(TYPE2&lt;&gt;"")+('Dvd Calendar'!$E$1050=TYPE3)*(TYPE3&lt;&gt;"")+('Dvd Calendar'!$E$1050=TYPE4)*(TYPE4&lt;&gt;"")+('Dvd Calendar'!$E$1050=SPECIAL_LBL)*(INC_SPECIALS="Y"))=0,"",'Dvd Calendar'!$E$1048)))</f>
        <v/>
      </c>
      <c r="D106" s="110">
        <f>IF(EF106="","",IF(ISNUMBER('Dvd Calendar'!$F$1048)=FALSE,"",IF((('Dvd Calendar'!$F$1050=TYPE1)*(TYPE1&lt;&gt;"")+('Dvd Calendar'!$F$1050=TYPE2)*(TYPE2&lt;&gt;"")+('Dvd Calendar'!$F$1050=TYPE3)*(TYPE3&lt;&gt;"")+('Dvd Calendar'!$F$1050=TYPE4)*(TYPE4&lt;&gt;"")+('Dvd Calendar'!$F$1050=SPECIAL_LBL)*(INC_SPECIALS="Y"))=0,"",'Dvd Calendar'!$F$1048)))</f>
        <v/>
      </c>
      <c r="E106" s="110">
        <f>IF(EG106="","",IF(ISNUMBER('Dvd Calendar'!$G$1048)=FALSE,"",IF((('Dvd Calendar'!$G$1050=TYPE1)*(TYPE1&lt;&gt;"")+('Dvd Calendar'!$G$1050=TYPE2)*(TYPE2&lt;&gt;"")+('Dvd Calendar'!$G$1050=TYPE3)*(TYPE3&lt;&gt;"")+('Dvd Calendar'!$G$1050=TYPE4)*(TYPE4&lt;&gt;"")+('Dvd Calendar'!$G$1050=SPECIAL_LBL)*(INC_SPECIALS="Y"))=0,"",'Dvd Calendar'!$G$1048)))</f>
        <v/>
      </c>
      <c r="F106" s="110">
        <f>IF(EH106="","",IF(ISNUMBER('Dvd Calendar'!$H$1048)=FALSE,"",IF((('Dvd Calendar'!$H$1050=TYPE1)*(TYPE1&lt;&gt;"")+('Dvd Calendar'!$H$1050=TYPE2)*(TYPE2&lt;&gt;"")+('Dvd Calendar'!$H$1050=TYPE3)*(TYPE3&lt;&gt;"")+('Dvd Calendar'!$H$1050=TYPE4)*(TYPE4&lt;&gt;"")+('Dvd Calendar'!$H$1050=SPECIAL_LBL)*(INC_SPECIALS="Y"))=0,"",'Dvd Calendar'!$H$1048)))</f>
        <v/>
      </c>
      <c r="G106" s="110">
        <f>IF(EI106="","",IF(ISNUMBER('Dvd Calendar'!$I$1048)=FALSE,"",IF((('Dvd Calendar'!$I$1050=TYPE1)*(TYPE1&lt;&gt;"")+('Dvd Calendar'!$I$1050=TYPE2)*(TYPE2&lt;&gt;"")+('Dvd Calendar'!$I$1050=TYPE3)*(TYPE3&lt;&gt;"")+('Dvd Calendar'!$I$1050=TYPE4)*(TYPE4&lt;&gt;"")+('Dvd Calendar'!$I$1050=SPECIAL_LBL)*(INC_SPECIALS="Y"))=0,"",'Dvd Calendar'!$I$1048)))</f>
        <v/>
      </c>
      <c r="H106" s="110">
        <f>IF(EJ106="","",IF(ISNUMBER('Dvd Calendar'!$J$1048)=FALSE,"",IF((('Dvd Calendar'!$J$1050=TYPE1)*(TYPE1&lt;&gt;"")+('Dvd Calendar'!$J$1050=TYPE2)*(TYPE2&lt;&gt;"")+('Dvd Calendar'!$J$1050=TYPE3)*(TYPE3&lt;&gt;"")+('Dvd Calendar'!$J$1050=TYPE4)*(TYPE4&lt;&gt;"")+('Dvd Calendar'!$J$1050=SPECIAL_LBL)*(INC_SPECIALS="Y"))=0,"",'Dvd Calendar'!$J$1048)))</f>
        <v/>
      </c>
      <c r="I106" s="110">
        <f>IF(EK106="","",IF(ISNUMBER('Dvd Calendar'!$K$1048)=FALSE,"",IF((('Dvd Calendar'!$K$1050=TYPE1)*(TYPE1&lt;&gt;"")+('Dvd Calendar'!$K$1050=TYPE2)*(TYPE2&lt;&gt;"")+('Dvd Calendar'!$K$1050=TYPE3)*(TYPE3&lt;&gt;"")+('Dvd Calendar'!$K$1050=TYPE4)*(TYPE4&lt;&gt;"")+('Dvd Calendar'!$K$1050=SPECIAL_LBL)*(INC_SPECIALS="Y"))=0,"",'Dvd Calendar'!$K$1048)))</f>
        <v/>
      </c>
      <c r="J106" s="110">
        <f>IF(EL106="","",IF(ISNUMBER('Dvd Calendar'!$L$1048)=FALSE,"",IF((('Dvd Calendar'!$L$1050=TYPE1)*(TYPE1&lt;&gt;"")+('Dvd Calendar'!$L$1050=TYPE2)*(TYPE2&lt;&gt;"")+('Dvd Calendar'!$L$1050=TYPE3)*(TYPE3&lt;&gt;"")+('Dvd Calendar'!$L$1050=TYPE4)*(TYPE4&lt;&gt;"")+('Dvd Calendar'!$L$1050=SPECIAL_LBL)*(INC_SPECIALS="Y"))=0,"",'Dvd Calendar'!$L$1048)))</f>
        <v/>
      </c>
      <c r="K106" s="110">
        <f>IF(EM106="","",IF(ISNUMBER('Dvd Calendar'!$M$1048)=FALSE,"",IF((('Dvd Calendar'!$M$1050=TYPE1)*(TYPE1&lt;&gt;"")+('Dvd Calendar'!$M$1050=TYPE2)*(TYPE2&lt;&gt;"")+('Dvd Calendar'!$M$1050=TYPE3)*(TYPE3&lt;&gt;"")+('Dvd Calendar'!$M$1050=TYPE4)*(TYPE4&lt;&gt;"")+('Dvd Calendar'!$M$1050=SPECIAL_LBL)*(INC_SPECIALS="Y"))=0,"",'Dvd Calendar'!$M$1048)))</f>
        <v/>
      </c>
      <c r="L106" s="110">
        <f>IF(EN106="","",IF(ISNUMBER('Dvd Calendar'!$N$1048)=FALSE,"",IF((('Dvd Calendar'!$N$1050=TYPE1)*(TYPE1&lt;&gt;"")+('Dvd Calendar'!$N$1050=TYPE2)*(TYPE2&lt;&gt;"")+('Dvd Calendar'!$N$1050=TYPE3)*(TYPE3&lt;&gt;"")+('Dvd Calendar'!$N$1050=TYPE4)*(TYPE4&lt;&gt;"")+('Dvd Calendar'!$N$1050=SPECIAL_LBL)*(INC_SPECIALS="Y"))=0,"",'Dvd Calendar'!$N$1048)))</f>
        <v/>
      </c>
      <c r="M106" s="110">
        <f>IF(EO106="","",IF(ISNUMBER('Dvd Calendar'!$O$1048)=FALSE,"",IF((('Dvd Calendar'!$O$1050=TYPE1)*(TYPE1&lt;&gt;"")+('Dvd Calendar'!$O$1050=TYPE2)*(TYPE2&lt;&gt;"")+('Dvd Calendar'!$O$1050=TYPE3)*(TYPE3&lt;&gt;"")+('Dvd Calendar'!$O$1050=TYPE4)*(TYPE4&lt;&gt;"")+('Dvd Calendar'!$O$1050=SPECIAL_LBL)*(INC_SPECIALS="Y"))=0,"",'Dvd Calendar'!$O$1048)))</f>
        <v/>
      </c>
      <c r="N106" s="110">
        <f>IF(EP106="","",IF(ISNUMBER('Dvd Calendar'!$P$1048)=FALSE,"",IF((('Dvd Calendar'!$P$1050=TYPE1)*(TYPE1&lt;&gt;"")+('Dvd Calendar'!$P$1050=TYPE2)*(TYPE2&lt;&gt;"")+('Dvd Calendar'!$P$1050=TYPE3)*(TYPE3&lt;&gt;"")+('Dvd Calendar'!$P$1050=TYPE4)*(TYPE4&lt;&gt;"")+('Dvd Calendar'!$P$1050=SPECIAL_LBL)*(INC_SPECIALS="Y"))=0,"",'Dvd Calendar'!$P$1048)))</f>
        <v/>
      </c>
      <c r="O106" s="110">
        <f>IF(EQ106="","",IF(ISNUMBER('Dvd Calendar'!$Q$1048)=FALSE,"",IF((('Dvd Calendar'!$Q$1050=TYPE1)*(TYPE1&lt;&gt;"")+('Dvd Calendar'!$Q$1050=TYPE2)*(TYPE2&lt;&gt;"")+('Dvd Calendar'!$Q$1050=TYPE3)*(TYPE3&lt;&gt;"")+('Dvd Calendar'!$Q$1050=TYPE4)*(TYPE4&lt;&gt;"")+('Dvd Calendar'!$Q$1050=SPECIAL_LBL)*(INC_SPECIALS="Y"))=0,"",'Dvd Calendar'!$Q$1048)))</f>
        <v/>
      </c>
      <c r="P106" s="110">
        <f>IF(ER106="","",IF(ISNUMBER('Dvd Calendar'!$R$1048)=FALSE,"",IF((('Dvd Calendar'!$R$1050=TYPE1)*(TYPE1&lt;&gt;"")+('Dvd Calendar'!$R$1050=TYPE2)*(TYPE2&lt;&gt;"")+('Dvd Calendar'!$R$1050=TYPE3)*(TYPE3&lt;&gt;"")+('Dvd Calendar'!$R$1050=TYPE4)*(TYPE4&lt;&gt;"")+('Dvd Calendar'!$R$1050=SPECIAL_LBL)*(INC_SPECIALS="Y"))=0,"",'Dvd Calendar'!$R$1048)))</f>
        <v/>
      </c>
      <c r="Q106" s="110">
        <f>IF(ES106="","",IF(ISNUMBER('Dvd Calendar'!$S$1048)=FALSE,"",IF((('Dvd Calendar'!$S$1050=TYPE1)*(TYPE1&lt;&gt;"")+('Dvd Calendar'!$S$1050=TYPE2)*(TYPE2&lt;&gt;"")+('Dvd Calendar'!$S$1050=TYPE3)*(TYPE3&lt;&gt;"")+('Dvd Calendar'!$S$1050=TYPE4)*(TYPE4&lt;&gt;"")+('Dvd Calendar'!$S$1050=SPECIAL_LBL)*(INC_SPECIALS="Y"))=0,"",'Dvd Calendar'!$S$1048)))</f>
        <v/>
      </c>
      <c r="R106" s="110">
        <f>IF(ET106="","",IF(ISNUMBER('Dvd Calendar'!$T$1048)=FALSE,"",IF((('Dvd Calendar'!$T$1050=TYPE1)*(TYPE1&lt;&gt;"")+('Dvd Calendar'!$T$1050=TYPE2)*(TYPE2&lt;&gt;"")+('Dvd Calendar'!$T$1050=TYPE3)*(TYPE3&lt;&gt;"")+('Dvd Calendar'!$T$1050=TYPE4)*(TYPE4&lt;&gt;"")+('Dvd Calendar'!$T$1050=SPECIAL_LBL)*(INC_SPECIALS="Y"))=0,"",'Dvd Calendar'!$T$1048)))</f>
        <v/>
      </c>
      <c r="S106" s="110">
        <f>IF(EU106="","",IF(ISNUMBER('Dvd Calendar'!$U$1048)=FALSE,"",IF((('Dvd Calendar'!$U$1050=TYPE1)*(TYPE1&lt;&gt;"")+('Dvd Calendar'!$U$1050=TYPE2)*(TYPE2&lt;&gt;"")+('Dvd Calendar'!$U$1050=TYPE3)*(TYPE3&lt;&gt;"")+('Dvd Calendar'!$U$1050=TYPE4)*(TYPE4&lt;&gt;"")+('Dvd Calendar'!$U$1050=SPECIAL_LBL)*(INC_SPECIALS="Y"))=0,"",'Dvd Calendar'!$U$1048)))</f>
        <v/>
      </c>
      <c r="T106" s="110">
        <f>IF(EV106="","",IF(ISNUMBER('Dvd Calendar'!$V$1048)=FALSE,"",IF((('Dvd Calendar'!$V$1050=TYPE1)*(TYPE1&lt;&gt;"")+('Dvd Calendar'!$V$1050=TYPE2)*(TYPE2&lt;&gt;"")+('Dvd Calendar'!$V$1050=TYPE3)*(TYPE3&lt;&gt;"")+('Dvd Calendar'!$V$1050=TYPE4)*(TYPE4&lt;&gt;"")+('Dvd Calendar'!$V$1050=SPECIAL_LBL)*(INC_SPECIALS="Y"))=0,"",'Dvd Calendar'!$V$1048)))</f>
        <v/>
      </c>
      <c r="U106" s="110">
        <f>IF(EW106="","",IF(ISNUMBER('Dvd Calendar'!$W$1048)=FALSE,"",IF((('Dvd Calendar'!$W$1050=TYPE1)*(TYPE1&lt;&gt;"")+('Dvd Calendar'!$W$1050=TYPE2)*(TYPE2&lt;&gt;"")+('Dvd Calendar'!$W$1050=TYPE3)*(TYPE3&lt;&gt;"")+('Dvd Calendar'!$W$1050=TYPE4)*(TYPE4&lt;&gt;"")+('Dvd Calendar'!$W$1050=SPECIAL_LBL)*(INC_SPECIALS="Y"))=0,"",'Dvd Calendar'!$W$1048)))</f>
        <v/>
      </c>
      <c r="V106" s="110">
        <f>IF(EX106="","",IF(ISNUMBER('Dvd Calendar'!$X$1048)=FALSE,"",IF((('Dvd Calendar'!$X$1050=TYPE1)*(TYPE1&lt;&gt;"")+('Dvd Calendar'!$X$1050=TYPE2)*(TYPE2&lt;&gt;"")+('Dvd Calendar'!$X$1050=TYPE3)*(TYPE3&lt;&gt;"")+('Dvd Calendar'!$X$1050=TYPE4)*(TYPE4&lt;&gt;"")+('Dvd Calendar'!$X$1050=SPECIAL_LBL)*(INC_SPECIALS="Y"))=0,"",'Dvd Calendar'!$X$1048)))</f>
        <v/>
      </c>
      <c r="W106" s="110">
        <f>IF(EY106="","",IF(ISNUMBER('Dvd Calendar'!$Y$1048)=FALSE,"",IF((('Dvd Calendar'!$Y$1050=TYPE1)*(TYPE1&lt;&gt;"")+('Dvd Calendar'!$Y$1050=TYPE2)*(TYPE2&lt;&gt;"")+('Dvd Calendar'!$Y$1050=TYPE3)*(TYPE3&lt;&gt;"")+('Dvd Calendar'!$Y$1050=TYPE4)*(TYPE4&lt;&gt;"")+('Dvd Calendar'!$Y$1050=SPECIAL_LBL)*(INC_SPECIALS="Y"))=0,"",'Dvd Calendar'!$Y$1048)))</f>
        <v/>
      </c>
      <c r="X106" s="110">
        <f>IF(EZ106="","",IF(ISNUMBER('Dvd Calendar'!$Z$1048)=FALSE,"",IF((('Dvd Calendar'!$Z$1050=TYPE1)*(TYPE1&lt;&gt;"")+('Dvd Calendar'!$Z$1050=TYPE2)*(TYPE2&lt;&gt;"")+('Dvd Calendar'!$Z$1050=TYPE3)*(TYPE3&lt;&gt;"")+('Dvd Calendar'!$Z$1050=TYPE4)*(TYPE4&lt;&gt;"")+('Dvd Calendar'!$Z$1050=SPECIAL_LBL)*(INC_SPECIALS="Y"))=0,"",'Dvd Calendar'!$Z$1048)))</f>
        <v/>
      </c>
      <c r="Y106" s="110">
        <f>IF(FA106="","",IF(ISNUMBER('Dvd Calendar'!$AA$1048)=FALSE,"",IF((('Dvd Calendar'!$AA$1050=TYPE1)*(TYPE1&lt;&gt;"")+('Dvd Calendar'!$AA$1050=TYPE2)*(TYPE2&lt;&gt;"")+('Dvd Calendar'!$AA$1050=TYPE3)*(TYPE3&lt;&gt;"")+('Dvd Calendar'!$AA$1050=TYPE4)*(TYPE4&lt;&gt;"")+('Dvd Calendar'!$AA$1050=SPECIAL_LBL)*(INC_SPECIALS="Y"))=0,"",'Dvd Calendar'!$AA$1048)))</f>
        <v/>
      </c>
      <c r="Z106" s="110">
        <f>IF(FB106="","",IF(ISNUMBER('Dvd Calendar'!$AB$1048)=FALSE,"",IF((('Dvd Calendar'!$AB$1050=TYPE1)*(TYPE1&lt;&gt;"")+('Dvd Calendar'!$AB$1050=TYPE2)*(TYPE2&lt;&gt;"")+('Dvd Calendar'!$AB$1050=TYPE3)*(TYPE3&lt;&gt;"")+('Dvd Calendar'!$AB$1050=TYPE4)*(TYPE4&lt;&gt;"")+('Dvd Calendar'!$AB$1050=SPECIAL_LBL)*(INC_SPECIALS="Y"))=0,"",'Dvd Calendar'!$AB$1048)))</f>
        <v/>
      </c>
      <c r="AA106" s="110">
        <f>IF(FC106="","",IF(ISNUMBER('Dvd Calendar'!$AC$1048)=FALSE,"",IF((('Dvd Calendar'!$AC$1050=TYPE1)*(TYPE1&lt;&gt;"")+('Dvd Calendar'!$AC$1050=TYPE2)*(TYPE2&lt;&gt;"")+('Dvd Calendar'!$AC$1050=TYPE3)*(TYPE3&lt;&gt;"")+('Dvd Calendar'!$AC$1050=TYPE4)*(TYPE4&lt;&gt;"")+('Dvd Calendar'!$AC$1050=SPECIAL_LBL)*(INC_SPECIALS="Y"))=0,"",'Dvd Calendar'!$AC$1048)))</f>
        <v/>
      </c>
      <c r="AB106" s="110">
        <f>IF(FD106="","",IF(ISNUMBER('Dvd Calendar'!$AD$1048)=FALSE,"",IF((('Dvd Calendar'!$AD$1050=TYPE1)*(TYPE1&lt;&gt;"")+('Dvd Calendar'!$AD$1050=TYPE2)*(TYPE2&lt;&gt;"")+('Dvd Calendar'!$AD$1050=TYPE3)*(TYPE3&lt;&gt;"")+('Dvd Calendar'!$AD$1050=TYPE4)*(TYPE4&lt;&gt;"")+('Dvd Calendar'!$AD$1050=SPECIAL_LBL)*(INC_SPECIALS="Y"))=0,"",'Dvd Calendar'!$AD$1048)))</f>
        <v/>
      </c>
      <c r="AC106" s="110">
        <f>IF(FE106="","",IF(ISNUMBER('Dvd Calendar'!$AE$1048)=FALSE,"",IF((('Dvd Calendar'!$AE$1050=TYPE1)*(TYPE1&lt;&gt;"")+('Dvd Calendar'!$AE$1050=TYPE2)*(TYPE2&lt;&gt;"")+('Dvd Calendar'!$AE$1050=TYPE3)*(TYPE3&lt;&gt;"")+('Dvd Calendar'!$AE$1050=TYPE4)*(TYPE4&lt;&gt;"")+('Dvd Calendar'!$AE$1050=SPECIAL_LBL)*(INC_SPECIALS="Y"))=0,"",'Dvd Calendar'!$AE$1048)))</f>
        <v/>
      </c>
      <c r="AD106" s="110">
        <f>IF(FF106="","",IF(ISNUMBER('Dvd Calendar'!$AF$1048)=FALSE,"",IF((('Dvd Calendar'!$AF$1050=TYPE1)*(TYPE1&lt;&gt;"")+('Dvd Calendar'!$AF$1050=TYPE2)*(TYPE2&lt;&gt;"")+('Dvd Calendar'!$AF$1050=TYPE3)*(TYPE3&lt;&gt;"")+('Dvd Calendar'!$AF$1050=TYPE4)*(TYPE4&lt;&gt;"")+('Dvd Calendar'!$AF$1050=SPECIAL_LBL)*(INC_SPECIALS="Y"))=0,"",'Dvd Calendar'!$AF$1048)))</f>
        <v/>
      </c>
      <c r="AE106" s="110">
        <f>IF(FG106="","",IF(ISNUMBER('Dvd Calendar'!$AG$1048)=FALSE,"",IF((('Dvd Calendar'!$AG$1050=TYPE1)*(TYPE1&lt;&gt;"")+('Dvd Calendar'!$AG$1050=TYPE2)*(TYPE2&lt;&gt;"")+('Dvd Calendar'!$AG$1050=TYPE3)*(TYPE3&lt;&gt;"")+('Dvd Calendar'!$AG$1050=TYPE4)*(TYPE4&lt;&gt;"")+('Dvd Calendar'!$AG$1050=SPECIAL_LBL)*(INC_SPECIALS="Y"))=0,"",'Dvd Calendar'!$AG$1048)))</f>
        <v/>
      </c>
      <c r="AF106" s="110">
        <f>IF(FH106="","",IF(ISNUMBER('Dvd Calendar'!$AH$1048)=FALSE,"",IF((('Dvd Calendar'!$AH$1050=TYPE1)*(TYPE1&lt;&gt;"")+('Dvd Calendar'!$AH$1050=TYPE2)*(TYPE2&lt;&gt;"")+('Dvd Calendar'!$AH$1050=TYPE3)*(TYPE3&lt;&gt;"")+('Dvd Calendar'!$AH$1050=TYPE4)*(TYPE4&lt;&gt;"")+('Dvd Calendar'!$AH$1050=SPECIAL_LBL)*(INC_SPECIALS="Y"))=0,"",'Dvd Calendar'!$AH$1048)))</f>
        <v/>
      </c>
      <c r="AG106" s="110">
        <f>IF(FI106="","",IF(ISNUMBER('Dvd Calendar'!$AI$1048)=FALSE,"",IF((('Dvd Calendar'!$AI$1050=TYPE1)*(TYPE1&lt;&gt;"")+('Dvd Calendar'!$AI$1050=TYPE2)*(TYPE2&lt;&gt;"")+('Dvd Calendar'!$AI$1050=TYPE3)*(TYPE3&lt;&gt;"")+('Dvd Calendar'!$AI$1050=TYPE4)*(TYPE4&lt;&gt;"")+('Dvd Calendar'!$AI$1050=SPECIAL_LBL)*(INC_SPECIALS="Y"))=0,"",'Dvd Calendar'!$AI$1048)))</f>
        <v/>
      </c>
      <c r="AH106" s="110">
        <f>IF(FJ106="","",IF(ISNUMBER('Dvd Calendar'!$AJ$1048)=FALSE,"",IF((('Dvd Calendar'!$AJ$1050=TYPE1)*(TYPE1&lt;&gt;"")+('Dvd Calendar'!$AJ$1050=TYPE2)*(TYPE2&lt;&gt;"")+('Dvd Calendar'!$AJ$1050=TYPE3)*(TYPE3&lt;&gt;"")+('Dvd Calendar'!$AJ$1050=TYPE4)*(TYPE4&lt;&gt;"")+('Dvd Calendar'!$AJ$1050=SPECIAL_LBL)*(INC_SPECIALS="Y"))=0,"",'Dvd Calendar'!$AJ$1048)))</f>
        <v/>
      </c>
      <c r="AI106" s="110">
        <f>IF(FK106="","",IF(ISNUMBER('Dvd Calendar'!$AK$1048)=FALSE,"",IF((('Dvd Calendar'!$AK$1050=TYPE1)*(TYPE1&lt;&gt;"")+('Dvd Calendar'!$AK$1050=TYPE2)*(TYPE2&lt;&gt;"")+('Dvd Calendar'!$AK$1050=TYPE3)*(TYPE3&lt;&gt;"")+('Dvd Calendar'!$AK$1050=TYPE4)*(TYPE4&lt;&gt;"")+('Dvd Calendar'!$AK$1050=SPECIAL_LBL)*(INC_SPECIALS="Y"))=0,"",'Dvd Calendar'!$AK$1048)))</f>
        <v/>
      </c>
      <c r="AJ106" s="110">
        <f>IF(FL106="","",IF(ISNUMBER('Dvd Calendar'!$AL$1048)=FALSE,"",IF((('Dvd Calendar'!$AL$1050=TYPE1)*(TYPE1&lt;&gt;"")+('Dvd Calendar'!$AL$1050=TYPE2)*(TYPE2&lt;&gt;"")+('Dvd Calendar'!$AL$1050=TYPE3)*(TYPE3&lt;&gt;"")+('Dvd Calendar'!$AL$1050=TYPE4)*(TYPE4&lt;&gt;"")+('Dvd Calendar'!$AL$1050=SPECIAL_LBL)*(INC_SPECIALS="Y"))=0,"",'Dvd Calendar'!$AL$1048)))</f>
        <v/>
      </c>
      <c r="AK106" s="110">
        <f>IF(FM106="","",IF(ISNUMBER('Dvd Calendar'!$AM$1048)=FALSE,"",IF((('Dvd Calendar'!$AM$1050=TYPE1)*(TYPE1&lt;&gt;"")+('Dvd Calendar'!$AM$1050=TYPE2)*(TYPE2&lt;&gt;"")+('Dvd Calendar'!$AM$1050=TYPE3)*(TYPE3&lt;&gt;"")+('Dvd Calendar'!$AM$1050=TYPE4)*(TYPE4&lt;&gt;"")+('Dvd Calendar'!$AM$1050=SPECIAL_LBL)*(INC_SPECIALS="Y"))=0,"",'Dvd Calendar'!$AM$1048)))</f>
        <v/>
      </c>
      <c r="AL106" s="110">
        <f>IF(FN106="","",IF(ISNUMBER('Dvd Calendar'!$AN$1048)=FALSE,"",IF((('Dvd Calendar'!$AN$1050=TYPE1)*(TYPE1&lt;&gt;"")+('Dvd Calendar'!$AN$1050=TYPE2)*(TYPE2&lt;&gt;"")+('Dvd Calendar'!$AN$1050=TYPE3)*(TYPE3&lt;&gt;"")+('Dvd Calendar'!$AN$1050=TYPE4)*(TYPE4&lt;&gt;"")+('Dvd Calendar'!$AN$1050=SPECIAL_LBL)*(INC_SPECIALS="Y"))=0,"",'Dvd Calendar'!$AN$1048)))</f>
        <v/>
      </c>
      <c r="AM106" s="110">
        <f>IF(FO106="","",IF(ISNUMBER('Dvd Calendar'!$AO$1048)=FALSE,"",IF((('Dvd Calendar'!$AO$1050=TYPE1)*(TYPE1&lt;&gt;"")+('Dvd Calendar'!$AO$1050=TYPE2)*(TYPE2&lt;&gt;"")+('Dvd Calendar'!$AO$1050=TYPE3)*(TYPE3&lt;&gt;"")+('Dvd Calendar'!$AO$1050=TYPE4)*(TYPE4&lt;&gt;"")+('Dvd Calendar'!$AO$1050=SPECIAL_LBL)*(INC_SPECIALS="Y"))=0,"",'Dvd Calendar'!$AO$1048)))</f>
        <v/>
      </c>
      <c r="AN106" s="110">
        <f>IF(FP106="","",IF(ISNUMBER('Dvd Calendar'!$AP$1048)=FALSE,"",IF((('Dvd Calendar'!$AP$1050=TYPE1)*(TYPE1&lt;&gt;"")+('Dvd Calendar'!$AP$1050=TYPE2)*(TYPE2&lt;&gt;"")+('Dvd Calendar'!$AP$1050=TYPE3)*(TYPE3&lt;&gt;"")+('Dvd Calendar'!$AP$1050=TYPE4)*(TYPE4&lt;&gt;"")+('Dvd Calendar'!$AP$1050=SPECIAL_LBL)*(INC_SPECIALS="Y"))=0,"",'Dvd Calendar'!$AP$1048)))</f>
        <v/>
      </c>
      <c r="AO106" s="110">
        <f>IF(FQ106="","",IF(ISNUMBER('Dvd Calendar'!$AQ$1048)=FALSE,"",IF((('Dvd Calendar'!$AQ$1050=TYPE1)*(TYPE1&lt;&gt;"")+('Dvd Calendar'!$AQ$1050=TYPE2)*(TYPE2&lt;&gt;"")+('Dvd Calendar'!$AQ$1050=TYPE3)*(TYPE3&lt;&gt;"")+('Dvd Calendar'!$AQ$1050=TYPE4)*(TYPE4&lt;&gt;"")+('Dvd Calendar'!$AQ$1050=SPECIAL_LBL)*(INC_SPECIALS="Y"))=0,"",'Dvd Calendar'!$AQ$1048)))</f>
        <v/>
      </c>
      <c r="AP106" s="110">
        <f>IF(FR106="","",IF(ISNUMBER('Dvd Calendar'!$AR$1048)=FALSE,"",IF((('Dvd Calendar'!$AR$1050=TYPE1)*(TYPE1&lt;&gt;"")+('Dvd Calendar'!$AR$1050=TYPE2)*(TYPE2&lt;&gt;"")+('Dvd Calendar'!$AR$1050=TYPE3)*(TYPE3&lt;&gt;"")+('Dvd Calendar'!$AR$1050=TYPE4)*(TYPE4&lt;&gt;"")+('Dvd Calendar'!$AR$1050=SPECIAL_LBL)*(INC_SPECIALS="Y"))=0,"",'Dvd Calendar'!$AR$1048)))</f>
        <v/>
      </c>
      <c r="AQ106" s="110">
        <f>IF(FS106="","",IF(ISNUMBER('Dvd Calendar'!$E$1053)=FALSE,"",'Dvd Calendar'!$E$1053))</f>
        <v/>
      </c>
      <c r="AR106" s="110">
        <f>IF(FT106="","",IF(ISNUMBER('Dvd Calendar'!$F$1053)=FALSE,"",'Dvd Calendar'!$F$1053))</f>
        <v/>
      </c>
      <c r="AS106" s="110">
        <f>IF(FU106="","",IF(ISNUMBER('Dvd Calendar'!$G$1053)=FALSE,"",'Dvd Calendar'!$G$1053))</f>
        <v/>
      </c>
      <c r="AT106" s="110">
        <f>IF(FV106="","",IF(ISNUMBER('Dvd Calendar'!$H$1053)=FALSE,"",'Dvd Calendar'!$H$1053))</f>
        <v/>
      </c>
      <c r="AU106" s="110">
        <f>IF(FW106="","",IF(ISNUMBER('Dvd Calendar'!$I$1053)=FALSE,"",'Dvd Calendar'!$I$1053))</f>
        <v/>
      </c>
      <c r="AV106" s="110">
        <f>IF(FX106="","",IF(ISNUMBER('Dvd Calendar'!$J$1053)=FALSE,"",'Dvd Calendar'!$J$1053))</f>
        <v/>
      </c>
      <c r="AW106" s="110">
        <f>IF(FY106="","",IF(ISNUMBER('Dvd Calendar'!$K$1053)=FALSE,"",'Dvd Calendar'!$K$1053))</f>
        <v/>
      </c>
      <c r="AX106" s="110">
        <f>IF(FZ106="","",IF(ISNUMBER('Dvd Calendar'!$L$1053)=FALSE,"",'Dvd Calendar'!$L$1053))</f>
        <v/>
      </c>
      <c r="AY106" s="110">
        <f>IF(GA106="","",IF(ISNUMBER('Dvd Calendar'!$M$1053)=FALSE,"",'Dvd Calendar'!$M$1053))</f>
        <v/>
      </c>
      <c r="AZ106" s="110">
        <f>IF(GB106="","",IF(ISNUMBER('Dvd Calendar'!$N$1053)=FALSE,"",'Dvd Calendar'!$N$1053))</f>
        <v/>
      </c>
      <c r="BA106" s="110">
        <f>IF(GC106="","",IF(ISNUMBER('Dvd Calendar'!$O$1053)=FALSE,"",'Dvd Calendar'!$O$1053))</f>
        <v/>
      </c>
      <c r="BB106" s="110">
        <f>IF(GD106="","",IF(ISNUMBER('Dvd Calendar'!$P$1053)=FALSE,"",'Dvd Calendar'!$P$1053))</f>
        <v/>
      </c>
      <c r="BC106" s="110">
        <f>IF(GE106="","",IF(ISNUMBER('Dvd Calendar'!$Q$1053)=FALSE,"",'Dvd Calendar'!$Q$1053))</f>
        <v/>
      </c>
      <c r="BD106" s="110">
        <f>IF(GF106="","",IF(ISNUMBER('Dvd Calendar'!$R$1053)=FALSE,"",'Dvd Calendar'!$R$1053))</f>
        <v/>
      </c>
      <c r="BE106" s="110">
        <f>IF(GG106="","",IF(ISNUMBER('Dvd Calendar'!$S$1053)=FALSE,"",'Dvd Calendar'!$S$1053))</f>
        <v/>
      </c>
      <c r="BF106" s="110">
        <f>IF(GH106="","",IF(ISNUMBER('Dvd Calendar'!$T$1053)=FALSE,"",'Dvd Calendar'!$T$1053))</f>
        <v/>
      </c>
      <c r="BG106" s="110">
        <f>IF(GI106="","",IF(ISNUMBER('Dvd Calendar'!$U$1053)=FALSE,"",'Dvd Calendar'!$U$1053))</f>
        <v/>
      </c>
      <c r="BH106" s="110">
        <f>IF(GJ106="","",IF(ISNUMBER('Dvd Calendar'!$V$1053)=FALSE,"",'Dvd Calendar'!$V$1053))</f>
        <v/>
      </c>
      <c r="BI106" s="110">
        <f>IF(GK106="","",IF(ISNUMBER('Dvd Calendar'!$W$1053)=FALSE,"",'Dvd Calendar'!$W$1053))</f>
        <v/>
      </c>
      <c r="BJ106" s="110">
        <f>IF(GL106="","",IF(ISNUMBER('Dvd Calendar'!$X$1053)=FALSE,"",'Dvd Calendar'!$X$1053))</f>
        <v/>
      </c>
      <c r="BK106" s="110">
        <f>IF(GM106="","",IF(ISNUMBER('Dvd Calendar'!$Y$1053)=FALSE,"",'Dvd Calendar'!$Y$1053))</f>
        <v/>
      </c>
      <c r="BL106" s="110">
        <f>IF(GN106="","",IF(ISNUMBER('Dvd Calendar'!$Z$1053)=FALSE,"",'Dvd Calendar'!$Z$1053))</f>
        <v/>
      </c>
      <c r="BM106" s="110">
        <f>IF(GO106="","",IF(ISNUMBER('Dvd Calendar'!$AA$1053)=FALSE,"",'Dvd Calendar'!$AA$1053))</f>
        <v/>
      </c>
      <c r="BN106" s="110">
        <f>IF(GP106="","",IF(ISNUMBER('Dvd Calendar'!$AB$1053)=FALSE,"",'Dvd Calendar'!$AB$1053))</f>
        <v/>
      </c>
      <c r="BO106" s="110">
        <f>IF(GQ106="","",IF(ISNUMBER('Dvd Calendar'!$AC$1053)=FALSE,"",'Dvd Calendar'!$AC$1053))</f>
        <v/>
      </c>
      <c r="BQ106" s="110">
        <f>IF(C106="","",IFERROR(C106*HSI!$B$101*HSI!$G$101/HSI!$B$3,""))</f>
        <v/>
      </c>
      <c r="BR106" s="110">
        <f>IF(D106="","",IFERROR(D106*HSI!$B$101*HSI!$G$101/HSI!$B$3,""))</f>
        <v/>
      </c>
      <c r="BS106" s="110">
        <f>IF(E106="","",IFERROR(E106*HSI!$B$101*HSI!$G$101/HSI!$B$3,""))</f>
        <v/>
      </c>
      <c r="BT106" s="110">
        <f>IF(F106="","",IFERROR(F106*HSI!$B$101*HSI!$G$101/HSI!$B$3,""))</f>
        <v/>
      </c>
      <c r="BU106" s="110">
        <f>IF(G106="","",IFERROR(G106*HSI!$B$101*HSI!$G$101/HSI!$B$3,""))</f>
        <v/>
      </c>
      <c r="BV106" s="110">
        <f>IF(H106="","",IFERROR(H106*HSI!$B$101*HSI!$G$101/HSI!$B$3,""))</f>
        <v/>
      </c>
      <c r="BW106" s="110">
        <f>IF(I106="","",IFERROR(I106*HSI!$B$101*HSI!$G$101/HSI!$B$3,""))</f>
        <v/>
      </c>
      <c r="BX106" s="110">
        <f>IF(J106="","",IFERROR(J106*HSI!$B$101*HSI!$G$101/HSI!$B$3,""))</f>
        <v/>
      </c>
      <c r="BY106" s="110">
        <f>IF(K106="","",IFERROR(K106*HSI!$B$101*HSI!$G$101/HSI!$B$3,""))</f>
        <v/>
      </c>
      <c r="BZ106" s="110">
        <f>IF(L106="","",IFERROR(L106*HSI!$B$101*HSI!$G$101/HSI!$B$3,""))</f>
        <v/>
      </c>
      <c r="CA106" s="110">
        <f>IF(M106="","",IFERROR(M106*HSI!$B$101*HSI!$G$101/HSI!$B$3,""))</f>
        <v/>
      </c>
      <c r="CB106" s="110">
        <f>IF(N106="","",IFERROR(N106*HSI!$B$101*HSI!$G$101/HSI!$B$3,""))</f>
        <v/>
      </c>
      <c r="CC106" s="110">
        <f>IF(O106="","",IFERROR(O106*HSI!$B$101*HSI!$G$101/HSI!$B$3,""))</f>
        <v/>
      </c>
      <c r="CD106" s="110">
        <f>IF(P106="","",IFERROR(P106*HSI!$B$101*HSI!$G$101/HSI!$B$3,""))</f>
        <v/>
      </c>
      <c r="CE106" s="110">
        <f>IF(Q106="","",IFERROR(Q106*HSI!$B$101*HSI!$G$101/HSI!$B$3,""))</f>
        <v/>
      </c>
      <c r="CF106" s="110">
        <f>IF(R106="","",IFERROR(R106*HSI!$B$101*HSI!$G$101/HSI!$B$3,""))</f>
        <v/>
      </c>
      <c r="CG106" s="110">
        <f>IF(S106="","",IFERROR(S106*HSI!$B$101*HSI!$G$101/HSI!$B$3,""))</f>
        <v/>
      </c>
      <c r="CH106" s="110">
        <f>IF(T106="","",IFERROR(T106*HSI!$B$101*HSI!$G$101/HSI!$B$3,""))</f>
        <v/>
      </c>
      <c r="CI106" s="110">
        <f>IF(U106="","",IFERROR(U106*HSI!$B$101*HSI!$G$101/HSI!$B$3,""))</f>
        <v/>
      </c>
      <c r="CJ106" s="110">
        <f>IF(V106="","",IFERROR(V106*HSI!$B$101*HSI!$G$101/HSI!$B$3,""))</f>
        <v/>
      </c>
      <c r="CK106" s="110">
        <f>IF(W106="","",IFERROR(W106*HSI!$B$101*HSI!$G$101/HSI!$B$3,""))</f>
        <v/>
      </c>
      <c r="CL106" s="110">
        <f>IF(X106="","",IFERROR(X106*HSI!$B$101*HSI!$G$101/HSI!$B$3,""))</f>
        <v/>
      </c>
      <c r="CM106" s="110">
        <f>IF(Y106="","",IFERROR(Y106*HSI!$B$101*HSI!$G$101/HSI!$B$3,""))</f>
        <v/>
      </c>
      <c r="CN106" s="110">
        <f>IF(Z106="","",IFERROR(Z106*HSI!$B$101*HSI!$G$101/HSI!$B$3,""))</f>
        <v/>
      </c>
      <c r="CO106" s="110">
        <f>IF(AA106="","",IFERROR(AA106*HSI!$B$101*HSI!$G$101/HSI!$B$3,""))</f>
        <v/>
      </c>
      <c r="CP106" s="110">
        <f>IF(AB106="","",IFERROR(AB106*HSI!$B$101*HSI!$G$101/HSI!$B$3,""))</f>
        <v/>
      </c>
      <c r="CQ106" s="110">
        <f>IF(AC106="","",IFERROR(AC106*HSI!$B$101*HSI!$G$101/HSI!$B$3,""))</f>
        <v/>
      </c>
      <c r="CR106" s="110">
        <f>IF(AD106="","",IFERROR(AD106*HSI!$B$101*HSI!$G$101/HSI!$B$3,""))</f>
        <v/>
      </c>
      <c r="CS106" s="110">
        <f>IF(AE106="","",IFERROR(AE106*HSI!$B$101*HSI!$G$101/HSI!$B$3,""))</f>
        <v/>
      </c>
      <c r="CT106" s="110">
        <f>IF(AF106="","",IFERROR(AF106*HSI!$B$101*HSI!$G$101/HSI!$B$3,""))</f>
        <v/>
      </c>
      <c r="CU106" s="110">
        <f>IF(AG106="","",IFERROR(AG106*HSI!$B$101*HSI!$G$101/HSI!$B$3,""))</f>
        <v/>
      </c>
      <c r="CV106" s="110">
        <f>IF(AH106="","",IFERROR(AH106*HSI!$B$101*HSI!$G$101/HSI!$B$3,""))</f>
        <v/>
      </c>
      <c r="CW106" s="110">
        <f>IF(AI106="","",IFERROR(AI106*HSI!$B$101*HSI!$G$101/HSI!$B$3,""))</f>
        <v/>
      </c>
      <c r="CX106" s="110">
        <f>IF(AJ106="","",IFERROR(AJ106*HSI!$B$101*HSI!$G$101/HSI!$B$3,""))</f>
        <v/>
      </c>
      <c r="CY106" s="110">
        <f>IF(AK106="","",IFERROR(AK106*HSI!$B$101*HSI!$G$101/HSI!$B$3,""))</f>
        <v/>
      </c>
      <c r="CZ106" s="110">
        <f>IF(AL106="","",IFERROR(AL106*HSI!$B$101*HSI!$G$101/HSI!$B$3,""))</f>
        <v/>
      </c>
      <c r="DA106" s="110">
        <f>IF(AM106="","",IFERROR(AM106*HSI!$B$101*HSI!$G$101/HSI!$B$3,""))</f>
        <v/>
      </c>
      <c r="DB106" s="110">
        <f>IF(AN106="","",IFERROR(AN106*HSI!$B$101*HSI!$G$101/HSI!$B$3,""))</f>
        <v/>
      </c>
      <c r="DC106" s="110">
        <f>IF(AO106="","",IFERROR(AO106*HSI!$B$101*HSI!$G$101/HSI!$B$3,""))</f>
        <v/>
      </c>
      <c r="DD106" s="110">
        <f>IF(AP106="","",IFERROR(AP106*HSI!$B$101*HSI!$G$101/HSI!$B$3,""))</f>
        <v/>
      </c>
      <c r="DE106" s="110">
        <f>IF(AQ106="","",IFERROR(AQ106*HSI!$B$101*HSI!$G$101/HSI!$B$3,""))</f>
        <v/>
      </c>
      <c r="DF106" s="110">
        <f>IF(AR106="","",IFERROR(AR106*HSI!$B$101*HSI!$G$101/HSI!$B$3,""))</f>
        <v/>
      </c>
      <c r="DG106" s="110">
        <f>IF(AS106="","",IFERROR(AS106*HSI!$B$101*HSI!$G$101/HSI!$B$3,""))</f>
        <v/>
      </c>
      <c r="DH106" s="110">
        <f>IF(AT106="","",IFERROR(AT106*HSI!$B$101*HSI!$G$101/HSI!$B$3,""))</f>
        <v/>
      </c>
      <c r="DI106" s="110">
        <f>IF(AU106="","",IFERROR(AU106*HSI!$B$101*HSI!$G$101/HSI!$B$3,""))</f>
        <v/>
      </c>
      <c r="DJ106" s="110">
        <f>IF(AV106="","",IFERROR(AV106*HSI!$B$101*HSI!$G$101/HSI!$B$3,""))</f>
        <v/>
      </c>
      <c r="DK106" s="110">
        <f>IF(AW106="","",IFERROR(AW106*HSI!$B$101*HSI!$G$101/HSI!$B$3,""))</f>
        <v/>
      </c>
      <c r="DL106" s="110">
        <f>IF(AX106="","",IFERROR(AX106*HSI!$B$101*HSI!$G$101/HSI!$B$3,""))</f>
        <v/>
      </c>
      <c r="DM106" s="110">
        <f>IF(AY106="","",IFERROR(AY106*HSI!$B$101*HSI!$G$101/HSI!$B$3,""))</f>
        <v/>
      </c>
      <c r="DN106" s="110">
        <f>IF(AZ106="","",IFERROR(AZ106*HSI!$B$101*HSI!$G$101/HSI!$B$3,""))</f>
        <v/>
      </c>
      <c r="DO106" s="110">
        <f>IF(BA106="","",IFERROR(BA106*HSI!$B$101*HSI!$G$101/HSI!$B$3,""))</f>
        <v/>
      </c>
      <c r="DP106" s="110">
        <f>IF(BB106="","",IFERROR(BB106*HSI!$B$101*HSI!$G$101/HSI!$B$3,""))</f>
        <v/>
      </c>
      <c r="DQ106" s="110">
        <f>IF(BC106="","",IFERROR(BC106*HSI!$B$101*HSI!$G$101/HSI!$B$3,""))</f>
        <v/>
      </c>
      <c r="DR106" s="110">
        <f>IF(BD106="","",IFERROR(BD106*HSI!$B$101*HSI!$G$101/HSI!$B$3,""))</f>
        <v/>
      </c>
      <c r="DS106" s="110">
        <f>IF(BE106="","",IFERROR(BE106*HSI!$B$101*HSI!$G$101/HSI!$B$3,""))</f>
        <v/>
      </c>
      <c r="DT106" s="110">
        <f>IF(BF106="","",IFERROR(BF106*HSI!$B$101*HSI!$G$101/HSI!$B$3,""))</f>
        <v/>
      </c>
      <c r="DU106" s="110">
        <f>IF(BG106="","",IFERROR(BG106*HSI!$B$101*HSI!$G$101/HSI!$B$3,""))</f>
        <v/>
      </c>
      <c r="DV106" s="110">
        <f>IF(BH106="","",IFERROR(BH106*HSI!$B$101*HSI!$G$101/HSI!$B$3,""))</f>
        <v/>
      </c>
      <c r="DW106" s="110">
        <f>IF(BI106="","",IFERROR(BI106*HSI!$B$101*HSI!$G$101/HSI!$B$3,""))</f>
        <v/>
      </c>
      <c r="DX106" s="110">
        <f>IF(BJ106="","",IFERROR(BJ106*HSI!$B$101*HSI!$G$101/HSI!$B$3,""))</f>
        <v/>
      </c>
      <c r="DY106" s="110">
        <f>IF(BK106="","",IFERROR(BK106*HSI!$B$101*HSI!$G$101/HSI!$B$3,""))</f>
        <v/>
      </c>
      <c r="DZ106" s="110">
        <f>IF(BL106="","",IFERROR(BL106*HSI!$B$101*HSI!$G$101/HSI!$B$3,""))</f>
        <v/>
      </c>
      <c r="EA106" s="110">
        <f>IF(BM106="","",IFERROR(BM106*HSI!$B$101*HSI!$G$101/HSI!$B$3,""))</f>
        <v/>
      </c>
      <c r="EB106" s="110">
        <f>IF(BN106="","",IFERROR(BN106*HSI!$B$101*HSI!$G$101/HSI!$B$3,""))</f>
        <v/>
      </c>
      <c r="EC106" s="110">
        <f>IF(BO106="","",IFERROR(BO106*HSI!$B$101*HSI!$G$101/HSI!$B$3,""))</f>
        <v/>
      </c>
      <c r="EE106" s="39">
        <f>IF(N('Dvd Calendar'!$E$1045)=0,"",IF(('Dvd Calendar'!$E$1045&gt;=GRID_FROM)*('Dvd Calendar'!$E$1045&lt;=GRID_TO)*((('Dvd Calendar'!$E$1045&lt;=VAL_DATE)+(COUNTIF('Dvd Calendar'!$E$1052:$AR$1052,'Dvd Calendar'!$E$1045)=0))&gt;0)=0,"",'Dvd Calendar'!$E$1045*1000000000+ISNUMBER('Dvd Calendar'!$E$1048)*100000000+('Dvd Calendar'!$E$1050=SPECIAL_LBL)*10000000+(N('Dvd Calendar'!$E$1044)&gt;0)*(N('Dvd Calendar'!$E$1044)&lt;=VAL_SERIAL)*1000000+95*1000+1))</f>
        <v/>
      </c>
      <c r="EF106" s="39">
        <f>IF(N('Dvd Calendar'!$F$1045)=0,"",IF(('Dvd Calendar'!$F$1045&gt;=GRID_FROM)*('Dvd Calendar'!$F$1045&lt;=GRID_TO)*((('Dvd Calendar'!$F$1045&lt;=VAL_DATE)+(COUNTIF('Dvd Calendar'!$E$1052:$AR$1052,'Dvd Calendar'!$F$1045)=0))&gt;0)=0,"",'Dvd Calendar'!$F$1045*1000000000+ISNUMBER('Dvd Calendar'!$F$1048)*100000000+('Dvd Calendar'!$F$1050=SPECIAL_LBL)*10000000+(N('Dvd Calendar'!$F$1044)&gt;0)*(N('Dvd Calendar'!$F$1044)&lt;=VAL_SERIAL)*1000000+95*1000+2))</f>
        <v/>
      </c>
      <c r="EG106" s="39">
        <f>IF(N('Dvd Calendar'!$G$1045)=0,"",IF(('Dvd Calendar'!$G$1045&gt;=GRID_FROM)*('Dvd Calendar'!$G$1045&lt;=GRID_TO)*((('Dvd Calendar'!$G$1045&lt;=VAL_DATE)+(COUNTIF('Dvd Calendar'!$E$1052:$AR$1052,'Dvd Calendar'!$G$1045)=0))&gt;0)=0,"",'Dvd Calendar'!$G$1045*1000000000+ISNUMBER('Dvd Calendar'!$G$1048)*100000000+('Dvd Calendar'!$G$1050=SPECIAL_LBL)*10000000+(N('Dvd Calendar'!$G$1044)&gt;0)*(N('Dvd Calendar'!$G$1044)&lt;=VAL_SERIAL)*1000000+95*1000+3))</f>
        <v/>
      </c>
      <c r="EH106" s="39">
        <f>IF(N('Dvd Calendar'!$H$1045)=0,"",IF(('Dvd Calendar'!$H$1045&gt;=GRID_FROM)*('Dvd Calendar'!$H$1045&lt;=GRID_TO)*((('Dvd Calendar'!$H$1045&lt;=VAL_DATE)+(COUNTIF('Dvd Calendar'!$E$1052:$AR$1052,'Dvd Calendar'!$H$1045)=0))&gt;0)=0,"",'Dvd Calendar'!$H$1045*1000000000+ISNUMBER('Dvd Calendar'!$H$1048)*100000000+('Dvd Calendar'!$H$1050=SPECIAL_LBL)*10000000+(N('Dvd Calendar'!$H$1044)&gt;0)*(N('Dvd Calendar'!$H$1044)&lt;=VAL_SERIAL)*1000000+95*1000+4))</f>
        <v/>
      </c>
      <c r="EI106" s="39">
        <f>IF(N('Dvd Calendar'!$I$1045)=0,"",IF(('Dvd Calendar'!$I$1045&gt;=GRID_FROM)*('Dvd Calendar'!$I$1045&lt;=GRID_TO)*((('Dvd Calendar'!$I$1045&lt;=VAL_DATE)+(COUNTIF('Dvd Calendar'!$E$1052:$AR$1052,'Dvd Calendar'!$I$1045)=0))&gt;0)=0,"",'Dvd Calendar'!$I$1045*1000000000+ISNUMBER('Dvd Calendar'!$I$1048)*100000000+('Dvd Calendar'!$I$1050=SPECIAL_LBL)*10000000+(N('Dvd Calendar'!$I$1044)&gt;0)*(N('Dvd Calendar'!$I$1044)&lt;=VAL_SERIAL)*1000000+95*1000+5))</f>
        <v/>
      </c>
      <c r="EJ106" s="39">
        <f>IF(N('Dvd Calendar'!$J$1045)=0,"",IF(('Dvd Calendar'!$J$1045&gt;=GRID_FROM)*('Dvd Calendar'!$J$1045&lt;=GRID_TO)*((('Dvd Calendar'!$J$1045&lt;=VAL_DATE)+(COUNTIF('Dvd Calendar'!$E$1052:$AR$1052,'Dvd Calendar'!$J$1045)=0))&gt;0)=0,"",'Dvd Calendar'!$J$1045*1000000000+ISNUMBER('Dvd Calendar'!$J$1048)*100000000+('Dvd Calendar'!$J$1050=SPECIAL_LBL)*10000000+(N('Dvd Calendar'!$J$1044)&gt;0)*(N('Dvd Calendar'!$J$1044)&lt;=VAL_SERIAL)*1000000+95*1000+6))</f>
        <v/>
      </c>
      <c r="EK106" s="39">
        <f>IF(N('Dvd Calendar'!$K$1045)=0,"",IF(('Dvd Calendar'!$K$1045&gt;=GRID_FROM)*('Dvd Calendar'!$K$1045&lt;=GRID_TO)*((('Dvd Calendar'!$K$1045&lt;=VAL_DATE)+(COUNTIF('Dvd Calendar'!$E$1052:$AR$1052,'Dvd Calendar'!$K$1045)=0))&gt;0)=0,"",'Dvd Calendar'!$K$1045*1000000000+ISNUMBER('Dvd Calendar'!$K$1048)*100000000+('Dvd Calendar'!$K$1050=SPECIAL_LBL)*10000000+(N('Dvd Calendar'!$K$1044)&gt;0)*(N('Dvd Calendar'!$K$1044)&lt;=VAL_SERIAL)*1000000+95*1000+7))</f>
        <v/>
      </c>
      <c r="EL106" s="39">
        <f>IF(N('Dvd Calendar'!$L$1045)=0,"",IF(('Dvd Calendar'!$L$1045&gt;=GRID_FROM)*('Dvd Calendar'!$L$1045&lt;=GRID_TO)*((('Dvd Calendar'!$L$1045&lt;=VAL_DATE)+(COUNTIF('Dvd Calendar'!$E$1052:$AR$1052,'Dvd Calendar'!$L$1045)=0))&gt;0)=0,"",'Dvd Calendar'!$L$1045*1000000000+ISNUMBER('Dvd Calendar'!$L$1048)*100000000+('Dvd Calendar'!$L$1050=SPECIAL_LBL)*10000000+(N('Dvd Calendar'!$L$1044)&gt;0)*(N('Dvd Calendar'!$L$1044)&lt;=VAL_SERIAL)*1000000+95*1000+8))</f>
        <v/>
      </c>
      <c r="EM106" s="39">
        <f>IF(N('Dvd Calendar'!$M$1045)=0,"",IF(('Dvd Calendar'!$M$1045&gt;=GRID_FROM)*('Dvd Calendar'!$M$1045&lt;=GRID_TO)*((('Dvd Calendar'!$M$1045&lt;=VAL_DATE)+(COUNTIF('Dvd Calendar'!$E$1052:$AR$1052,'Dvd Calendar'!$M$1045)=0))&gt;0)=0,"",'Dvd Calendar'!$M$1045*1000000000+ISNUMBER('Dvd Calendar'!$M$1048)*100000000+('Dvd Calendar'!$M$1050=SPECIAL_LBL)*10000000+(N('Dvd Calendar'!$M$1044)&gt;0)*(N('Dvd Calendar'!$M$1044)&lt;=VAL_SERIAL)*1000000+95*1000+9))</f>
        <v/>
      </c>
      <c r="EN106" s="39">
        <f>IF(N('Dvd Calendar'!$N$1045)=0,"",IF(('Dvd Calendar'!$N$1045&gt;=GRID_FROM)*('Dvd Calendar'!$N$1045&lt;=GRID_TO)*((('Dvd Calendar'!$N$1045&lt;=VAL_DATE)+(COUNTIF('Dvd Calendar'!$E$1052:$AR$1052,'Dvd Calendar'!$N$1045)=0))&gt;0)=0,"",'Dvd Calendar'!$N$1045*1000000000+ISNUMBER('Dvd Calendar'!$N$1048)*100000000+('Dvd Calendar'!$N$1050=SPECIAL_LBL)*10000000+(N('Dvd Calendar'!$N$1044)&gt;0)*(N('Dvd Calendar'!$N$1044)&lt;=VAL_SERIAL)*1000000+95*1000+10))</f>
        <v/>
      </c>
      <c r="EO106" s="39">
        <f>IF(N('Dvd Calendar'!$O$1045)=0,"",IF(('Dvd Calendar'!$O$1045&gt;=GRID_FROM)*('Dvd Calendar'!$O$1045&lt;=GRID_TO)*((('Dvd Calendar'!$O$1045&lt;=VAL_DATE)+(COUNTIF('Dvd Calendar'!$E$1052:$AR$1052,'Dvd Calendar'!$O$1045)=0))&gt;0)=0,"",'Dvd Calendar'!$O$1045*1000000000+ISNUMBER('Dvd Calendar'!$O$1048)*100000000+('Dvd Calendar'!$O$1050=SPECIAL_LBL)*10000000+(N('Dvd Calendar'!$O$1044)&gt;0)*(N('Dvd Calendar'!$O$1044)&lt;=VAL_SERIAL)*1000000+95*1000+11))</f>
        <v/>
      </c>
      <c r="EP106" s="39">
        <f>IF(N('Dvd Calendar'!$P$1045)=0,"",IF(('Dvd Calendar'!$P$1045&gt;=GRID_FROM)*('Dvd Calendar'!$P$1045&lt;=GRID_TO)*((('Dvd Calendar'!$P$1045&lt;=VAL_DATE)+(COUNTIF('Dvd Calendar'!$E$1052:$AR$1052,'Dvd Calendar'!$P$1045)=0))&gt;0)=0,"",'Dvd Calendar'!$P$1045*1000000000+ISNUMBER('Dvd Calendar'!$P$1048)*100000000+('Dvd Calendar'!$P$1050=SPECIAL_LBL)*10000000+(N('Dvd Calendar'!$P$1044)&gt;0)*(N('Dvd Calendar'!$P$1044)&lt;=VAL_SERIAL)*1000000+95*1000+12))</f>
        <v/>
      </c>
      <c r="EQ106" s="39">
        <f>IF(N('Dvd Calendar'!$Q$1045)=0,"",IF(('Dvd Calendar'!$Q$1045&gt;=GRID_FROM)*('Dvd Calendar'!$Q$1045&lt;=GRID_TO)*((('Dvd Calendar'!$Q$1045&lt;=VAL_DATE)+(COUNTIF('Dvd Calendar'!$E$1052:$AR$1052,'Dvd Calendar'!$Q$1045)=0))&gt;0)=0,"",'Dvd Calendar'!$Q$1045*1000000000+ISNUMBER('Dvd Calendar'!$Q$1048)*100000000+('Dvd Calendar'!$Q$1050=SPECIAL_LBL)*10000000+(N('Dvd Calendar'!$Q$1044)&gt;0)*(N('Dvd Calendar'!$Q$1044)&lt;=VAL_SERIAL)*1000000+95*1000+13))</f>
        <v/>
      </c>
      <c r="ER106" s="39">
        <f>IF(N('Dvd Calendar'!$R$1045)=0,"",IF(('Dvd Calendar'!$R$1045&gt;=GRID_FROM)*('Dvd Calendar'!$R$1045&lt;=GRID_TO)*((('Dvd Calendar'!$R$1045&lt;=VAL_DATE)+(COUNTIF('Dvd Calendar'!$E$1052:$AR$1052,'Dvd Calendar'!$R$1045)=0))&gt;0)=0,"",'Dvd Calendar'!$R$1045*1000000000+ISNUMBER('Dvd Calendar'!$R$1048)*100000000+('Dvd Calendar'!$R$1050=SPECIAL_LBL)*10000000+(N('Dvd Calendar'!$R$1044)&gt;0)*(N('Dvd Calendar'!$R$1044)&lt;=VAL_SERIAL)*1000000+95*1000+14))</f>
        <v/>
      </c>
      <c r="ES106" s="39">
        <f>IF(N('Dvd Calendar'!$S$1045)=0,"",IF(('Dvd Calendar'!$S$1045&gt;=GRID_FROM)*('Dvd Calendar'!$S$1045&lt;=GRID_TO)*((('Dvd Calendar'!$S$1045&lt;=VAL_DATE)+(COUNTIF('Dvd Calendar'!$E$1052:$AR$1052,'Dvd Calendar'!$S$1045)=0))&gt;0)=0,"",'Dvd Calendar'!$S$1045*1000000000+ISNUMBER('Dvd Calendar'!$S$1048)*100000000+('Dvd Calendar'!$S$1050=SPECIAL_LBL)*10000000+(N('Dvd Calendar'!$S$1044)&gt;0)*(N('Dvd Calendar'!$S$1044)&lt;=VAL_SERIAL)*1000000+95*1000+15))</f>
        <v/>
      </c>
      <c r="ET106" s="39">
        <f>IF(N('Dvd Calendar'!$T$1045)=0,"",IF(('Dvd Calendar'!$T$1045&gt;=GRID_FROM)*('Dvd Calendar'!$T$1045&lt;=GRID_TO)*((('Dvd Calendar'!$T$1045&lt;=VAL_DATE)+(COUNTIF('Dvd Calendar'!$E$1052:$AR$1052,'Dvd Calendar'!$T$1045)=0))&gt;0)=0,"",'Dvd Calendar'!$T$1045*1000000000+ISNUMBER('Dvd Calendar'!$T$1048)*100000000+('Dvd Calendar'!$T$1050=SPECIAL_LBL)*10000000+(N('Dvd Calendar'!$T$1044)&gt;0)*(N('Dvd Calendar'!$T$1044)&lt;=VAL_SERIAL)*1000000+95*1000+16))</f>
        <v/>
      </c>
      <c r="EU106" s="39">
        <f>IF(N('Dvd Calendar'!$U$1045)=0,"",IF(('Dvd Calendar'!$U$1045&gt;=GRID_FROM)*('Dvd Calendar'!$U$1045&lt;=GRID_TO)*((('Dvd Calendar'!$U$1045&lt;=VAL_DATE)+(COUNTIF('Dvd Calendar'!$E$1052:$AR$1052,'Dvd Calendar'!$U$1045)=0))&gt;0)=0,"",'Dvd Calendar'!$U$1045*1000000000+ISNUMBER('Dvd Calendar'!$U$1048)*100000000+('Dvd Calendar'!$U$1050=SPECIAL_LBL)*10000000+(N('Dvd Calendar'!$U$1044)&gt;0)*(N('Dvd Calendar'!$U$1044)&lt;=VAL_SERIAL)*1000000+95*1000+17))</f>
        <v/>
      </c>
      <c r="EV106" s="39">
        <f>IF(N('Dvd Calendar'!$V$1045)=0,"",IF(('Dvd Calendar'!$V$1045&gt;=GRID_FROM)*('Dvd Calendar'!$V$1045&lt;=GRID_TO)*((('Dvd Calendar'!$V$1045&lt;=VAL_DATE)+(COUNTIF('Dvd Calendar'!$E$1052:$AR$1052,'Dvd Calendar'!$V$1045)=0))&gt;0)=0,"",'Dvd Calendar'!$V$1045*1000000000+ISNUMBER('Dvd Calendar'!$V$1048)*100000000+('Dvd Calendar'!$V$1050=SPECIAL_LBL)*10000000+(N('Dvd Calendar'!$V$1044)&gt;0)*(N('Dvd Calendar'!$V$1044)&lt;=VAL_SERIAL)*1000000+95*1000+18))</f>
        <v/>
      </c>
      <c r="EW106" s="39">
        <f>IF(N('Dvd Calendar'!$W$1045)=0,"",IF(('Dvd Calendar'!$W$1045&gt;=GRID_FROM)*('Dvd Calendar'!$W$1045&lt;=GRID_TO)*((('Dvd Calendar'!$W$1045&lt;=VAL_DATE)+(COUNTIF('Dvd Calendar'!$E$1052:$AR$1052,'Dvd Calendar'!$W$1045)=0))&gt;0)=0,"",'Dvd Calendar'!$W$1045*1000000000+ISNUMBER('Dvd Calendar'!$W$1048)*100000000+('Dvd Calendar'!$W$1050=SPECIAL_LBL)*10000000+(N('Dvd Calendar'!$W$1044)&gt;0)*(N('Dvd Calendar'!$W$1044)&lt;=VAL_SERIAL)*1000000+95*1000+19))</f>
        <v/>
      </c>
      <c r="EX106" s="39">
        <f>IF(N('Dvd Calendar'!$X$1045)=0,"",IF(('Dvd Calendar'!$X$1045&gt;=GRID_FROM)*('Dvd Calendar'!$X$1045&lt;=GRID_TO)*((('Dvd Calendar'!$X$1045&lt;=VAL_DATE)+(COUNTIF('Dvd Calendar'!$E$1052:$AR$1052,'Dvd Calendar'!$X$1045)=0))&gt;0)=0,"",'Dvd Calendar'!$X$1045*1000000000+ISNUMBER('Dvd Calendar'!$X$1048)*100000000+('Dvd Calendar'!$X$1050=SPECIAL_LBL)*10000000+(N('Dvd Calendar'!$X$1044)&gt;0)*(N('Dvd Calendar'!$X$1044)&lt;=VAL_SERIAL)*1000000+95*1000+20))</f>
        <v/>
      </c>
      <c r="EY106" s="39">
        <f>IF(N('Dvd Calendar'!$Y$1045)=0,"",IF(('Dvd Calendar'!$Y$1045&gt;=GRID_FROM)*('Dvd Calendar'!$Y$1045&lt;=GRID_TO)*((('Dvd Calendar'!$Y$1045&lt;=VAL_DATE)+(COUNTIF('Dvd Calendar'!$E$1052:$AR$1052,'Dvd Calendar'!$Y$1045)=0))&gt;0)=0,"",'Dvd Calendar'!$Y$1045*1000000000+ISNUMBER('Dvd Calendar'!$Y$1048)*100000000+('Dvd Calendar'!$Y$1050=SPECIAL_LBL)*10000000+(N('Dvd Calendar'!$Y$1044)&gt;0)*(N('Dvd Calendar'!$Y$1044)&lt;=VAL_SERIAL)*1000000+95*1000+21))</f>
        <v/>
      </c>
      <c r="EZ106" s="39">
        <f>IF(N('Dvd Calendar'!$Z$1045)=0,"",IF(('Dvd Calendar'!$Z$1045&gt;=GRID_FROM)*('Dvd Calendar'!$Z$1045&lt;=GRID_TO)*((('Dvd Calendar'!$Z$1045&lt;=VAL_DATE)+(COUNTIF('Dvd Calendar'!$E$1052:$AR$1052,'Dvd Calendar'!$Z$1045)=0))&gt;0)=0,"",'Dvd Calendar'!$Z$1045*1000000000+ISNUMBER('Dvd Calendar'!$Z$1048)*100000000+('Dvd Calendar'!$Z$1050=SPECIAL_LBL)*10000000+(N('Dvd Calendar'!$Z$1044)&gt;0)*(N('Dvd Calendar'!$Z$1044)&lt;=VAL_SERIAL)*1000000+95*1000+22))</f>
        <v/>
      </c>
      <c r="FA106" s="39">
        <f>IF(N('Dvd Calendar'!$AA$1045)=0,"",IF(('Dvd Calendar'!$AA$1045&gt;=GRID_FROM)*('Dvd Calendar'!$AA$1045&lt;=GRID_TO)*((('Dvd Calendar'!$AA$1045&lt;=VAL_DATE)+(COUNTIF('Dvd Calendar'!$E$1052:$AR$1052,'Dvd Calendar'!$AA$1045)=0))&gt;0)=0,"",'Dvd Calendar'!$AA$1045*1000000000+ISNUMBER('Dvd Calendar'!$AA$1048)*100000000+('Dvd Calendar'!$AA$1050=SPECIAL_LBL)*10000000+(N('Dvd Calendar'!$AA$1044)&gt;0)*(N('Dvd Calendar'!$AA$1044)&lt;=VAL_SERIAL)*1000000+95*1000+23))</f>
        <v/>
      </c>
      <c r="FB106" s="39">
        <f>IF(N('Dvd Calendar'!$AB$1045)=0,"",IF(('Dvd Calendar'!$AB$1045&gt;=GRID_FROM)*('Dvd Calendar'!$AB$1045&lt;=GRID_TO)*((('Dvd Calendar'!$AB$1045&lt;=VAL_DATE)+(COUNTIF('Dvd Calendar'!$E$1052:$AR$1052,'Dvd Calendar'!$AB$1045)=0))&gt;0)=0,"",'Dvd Calendar'!$AB$1045*1000000000+ISNUMBER('Dvd Calendar'!$AB$1048)*100000000+('Dvd Calendar'!$AB$1050=SPECIAL_LBL)*10000000+(N('Dvd Calendar'!$AB$1044)&gt;0)*(N('Dvd Calendar'!$AB$1044)&lt;=VAL_SERIAL)*1000000+95*1000+24))</f>
        <v/>
      </c>
      <c r="FC106" s="39">
        <f>IF(N('Dvd Calendar'!$AC$1045)=0,"",IF(('Dvd Calendar'!$AC$1045&gt;=GRID_FROM)*('Dvd Calendar'!$AC$1045&lt;=GRID_TO)*((('Dvd Calendar'!$AC$1045&lt;=VAL_DATE)+(COUNTIF('Dvd Calendar'!$E$1052:$AR$1052,'Dvd Calendar'!$AC$1045)=0))&gt;0)=0,"",'Dvd Calendar'!$AC$1045*1000000000+ISNUMBER('Dvd Calendar'!$AC$1048)*100000000+('Dvd Calendar'!$AC$1050=SPECIAL_LBL)*10000000+(N('Dvd Calendar'!$AC$1044)&gt;0)*(N('Dvd Calendar'!$AC$1044)&lt;=VAL_SERIAL)*1000000+95*1000+25))</f>
        <v/>
      </c>
      <c r="FD106" s="39">
        <f>IF(N('Dvd Calendar'!$AD$1045)=0,"",IF(('Dvd Calendar'!$AD$1045&gt;=GRID_FROM)*('Dvd Calendar'!$AD$1045&lt;=GRID_TO)*((('Dvd Calendar'!$AD$1045&lt;=VAL_DATE)+(COUNTIF('Dvd Calendar'!$E$1052:$AR$1052,'Dvd Calendar'!$AD$1045)=0))&gt;0)=0,"",'Dvd Calendar'!$AD$1045*1000000000+ISNUMBER('Dvd Calendar'!$AD$1048)*100000000+('Dvd Calendar'!$AD$1050=SPECIAL_LBL)*10000000+(N('Dvd Calendar'!$AD$1044)&gt;0)*(N('Dvd Calendar'!$AD$1044)&lt;=VAL_SERIAL)*1000000+95*1000+26))</f>
        <v/>
      </c>
      <c r="FE106" s="39">
        <f>IF(N('Dvd Calendar'!$AE$1045)=0,"",IF(('Dvd Calendar'!$AE$1045&gt;=GRID_FROM)*('Dvd Calendar'!$AE$1045&lt;=GRID_TO)*((('Dvd Calendar'!$AE$1045&lt;=VAL_DATE)+(COUNTIF('Dvd Calendar'!$E$1052:$AR$1052,'Dvd Calendar'!$AE$1045)=0))&gt;0)=0,"",'Dvd Calendar'!$AE$1045*1000000000+ISNUMBER('Dvd Calendar'!$AE$1048)*100000000+('Dvd Calendar'!$AE$1050=SPECIAL_LBL)*10000000+(N('Dvd Calendar'!$AE$1044)&gt;0)*(N('Dvd Calendar'!$AE$1044)&lt;=VAL_SERIAL)*1000000+95*1000+27))</f>
        <v/>
      </c>
      <c r="FF106" s="39">
        <f>IF(N('Dvd Calendar'!$AF$1045)=0,"",IF(('Dvd Calendar'!$AF$1045&gt;=GRID_FROM)*('Dvd Calendar'!$AF$1045&lt;=GRID_TO)*((('Dvd Calendar'!$AF$1045&lt;=VAL_DATE)+(COUNTIF('Dvd Calendar'!$E$1052:$AR$1052,'Dvd Calendar'!$AF$1045)=0))&gt;0)=0,"",'Dvd Calendar'!$AF$1045*1000000000+ISNUMBER('Dvd Calendar'!$AF$1048)*100000000+('Dvd Calendar'!$AF$1050=SPECIAL_LBL)*10000000+(N('Dvd Calendar'!$AF$1044)&gt;0)*(N('Dvd Calendar'!$AF$1044)&lt;=VAL_SERIAL)*1000000+95*1000+28))</f>
        <v/>
      </c>
      <c r="FG106" s="39">
        <f>IF(N('Dvd Calendar'!$AG$1045)=0,"",IF(('Dvd Calendar'!$AG$1045&gt;=GRID_FROM)*('Dvd Calendar'!$AG$1045&lt;=GRID_TO)*((('Dvd Calendar'!$AG$1045&lt;=VAL_DATE)+(COUNTIF('Dvd Calendar'!$E$1052:$AR$1052,'Dvd Calendar'!$AG$1045)=0))&gt;0)=0,"",'Dvd Calendar'!$AG$1045*1000000000+ISNUMBER('Dvd Calendar'!$AG$1048)*100000000+('Dvd Calendar'!$AG$1050=SPECIAL_LBL)*10000000+(N('Dvd Calendar'!$AG$1044)&gt;0)*(N('Dvd Calendar'!$AG$1044)&lt;=VAL_SERIAL)*1000000+95*1000+29))</f>
        <v/>
      </c>
      <c r="FH106" s="39">
        <f>IF(N('Dvd Calendar'!$AH$1045)=0,"",IF(('Dvd Calendar'!$AH$1045&gt;=GRID_FROM)*('Dvd Calendar'!$AH$1045&lt;=GRID_TO)*((('Dvd Calendar'!$AH$1045&lt;=VAL_DATE)+(COUNTIF('Dvd Calendar'!$E$1052:$AR$1052,'Dvd Calendar'!$AH$1045)=0))&gt;0)=0,"",'Dvd Calendar'!$AH$1045*1000000000+ISNUMBER('Dvd Calendar'!$AH$1048)*100000000+('Dvd Calendar'!$AH$1050=SPECIAL_LBL)*10000000+(N('Dvd Calendar'!$AH$1044)&gt;0)*(N('Dvd Calendar'!$AH$1044)&lt;=VAL_SERIAL)*1000000+95*1000+30))</f>
        <v/>
      </c>
      <c r="FI106" s="39">
        <f>IF(N('Dvd Calendar'!$AI$1045)=0,"",IF(('Dvd Calendar'!$AI$1045&gt;=GRID_FROM)*('Dvd Calendar'!$AI$1045&lt;=GRID_TO)*((('Dvd Calendar'!$AI$1045&lt;=VAL_DATE)+(COUNTIF('Dvd Calendar'!$E$1052:$AR$1052,'Dvd Calendar'!$AI$1045)=0))&gt;0)=0,"",'Dvd Calendar'!$AI$1045*1000000000+ISNUMBER('Dvd Calendar'!$AI$1048)*100000000+('Dvd Calendar'!$AI$1050=SPECIAL_LBL)*10000000+(N('Dvd Calendar'!$AI$1044)&gt;0)*(N('Dvd Calendar'!$AI$1044)&lt;=VAL_SERIAL)*1000000+95*1000+31))</f>
        <v/>
      </c>
      <c r="FJ106" s="39">
        <f>IF(N('Dvd Calendar'!$AJ$1045)=0,"",IF(('Dvd Calendar'!$AJ$1045&gt;=GRID_FROM)*('Dvd Calendar'!$AJ$1045&lt;=GRID_TO)*((('Dvd Calendar'!$AJ$1045&lt;=VAL_DATE)+(COUNTIF('Dvd Calendar'!$E$1052:$AR$1052,'Dvd Calendar'!$AJ$1045)=0))&gt;0)=0,"",'Dvd Calendar'!$AJ$1045*1000000000+ISNUMBER('Dvd Calendar'!$AJ$1048)*100000000+('Dvd Calendar'!$AJ$1050=SPECIAL_LBL)*10000000+(N('Dvd Calendar'!$AJ$1044)&gt;0)*(N('Dvd Calendar'!$AJ$1044)&lt;=VAL_SERIAL)*1000000+95*1000+32))</f>
        <v/>
      </c>
      <c r="FK106" s="39">
        <f>IF(N('Dvd Calendar'!$AK$1045)=0,"",IF(('Dvd Calendar'!$AK$1045&gt;=GRID_FROM)*('Dvd Calendar'!$AK$1045&lt;=GRID_TO)*((('Dvd Calendar'!$AK$1045&lt;=VAL_DATE)+(COUNTIF('Dvd Calendar'!$E$1052:$AR$1052,'Dvd Calendar'!$AK$1045)=0))&gt;0)=0,"",'Dvd Calendar'!$AK$1045*1000000000+ISNUMBER('Dvd Calendar'!$AK$1048)*100000000+('Dvd Calendar'!$AK$1050=SPECIAL_LBL)*10000000+(N('Dvd Calendar'!$AK$1044)&gt;0)*(N('Dvd Calendar'!$AK$1044)&lt;=VAL_SERIAL)*1000000+95*1000+33))</f>
        <v/>
      </c>
      <c r="FL106" s="39">
        <f>IF(N('Dvd Calendar'!$AL$1045)=0,"",IF(('Dvd Calendar'!$AL$1045&gt;=GRID_FROM)*('Dvd Calendar'!$AL$1045&lt;=GRID_TO)*((('Dvd Calendar'!$AL$1045&lt;=VAL_DATE)+(COUNTIF('Dvd Calendar'!$E$1052:$AR$1052,'Dvd Calendar'!$AL$1045)=0))&gt;0)=0,"",'Dvd Calendar'!$AL$1045*1000000000+ISNUMBER('Dvd Calendar'!$AL$1048)*100000000+('Dvd Calendar'!$AL$1050=SPECIAL_LBL)*10000000+(N('Dvd Calendar'!$AL$1044)&gt;0)*(N('Dvd Calendar'!$AL$1044)&lt;=VAL_SERIAL)*1000000+95*1000+34))</f>
        <v/>
      </c>
      <c r="FM106" s="39">
        <f>IF(N('Dvd Calendar'!$AM$1045)=0,"",IF(('Dvd Calendar'!$AM$1045&gt;=GRID_FROM)*('Dvd Calendar'!$AM$1045&lt;=GRID_TO)*((('Dvd Calendar'!$AM$1045&lt;=VAL_DATE)+(COUNTIF('Dvd Calendar'!$E$1052:$AR$1052,'Dvd Calendar'!$AM$1045)=0))&gt;0)=0,"",'Dvd Calendar'!$AM$1045*1000000000+ISNUMBER('Dvd Calendar'!$AM$1048)*100000000+('Dvd Calendar'!$AM$1050=SPECIAL_LBL)*10000000+(N('Dvd Calendar'!$AM$1044)&gt;0)*(N('Dvd Calendar'!$AM$1044)&lt;=VAL_SERIAL)*1000000+95*1000+35))</f>
        <v/>
      </c>
      <c r="FN106" s="39">
        <f>IF(N('Dvd Calendar'!$AN$1045)=0,"",IF(('Dvd Calendar'!$AN$1045&gt;=GRID_FROM)*('Dvd Calendar'!$AN$1045&lt;=GRID_TO)*((('Dvd Calendar'!$AN$1045&lt;=VAL_DATE)+(COUNTIF('Dvd Calendar'!$E$1052:$AR$1052,'Dvd Calendar'!$AN$1045)=0))&gt;0)=0,"",'Dvd Calendar'!$AN$1045*1000000000+ISNUMBER('Dvd Calendar'!$AN$1048)*100000000+('Dvd Calendar'!$AN$1050=SPECIAL_LBL)*10000000+(N('Dvd Calendar'!$AN$1044)&gt;0)*(N('Dvd Calendar'!$AN$1044)&lt;=VAL_SERIAL)*1000000+95*1000+36))</f>
        <v/>
      </c>
      <c r="FO106" s="39">
        <f>IF(N('Dvd Calendar'!$AO$1045)=0,"",IF(('Dvd Calendar'!$AO$1045&gt;=GRID_FROM)*('Dvd Calendar'!$AO$1045&lt;=GRID_TO)*((('Dvd Calendar'!$AO$1045&lt;=VAL_DATE)+(COUNTIF('Dvd Calendar'!$E$1052:$AR$1052,'Dvd Calendar'!$AO$1045)=0))&gt;0)=0,"",'Dvd Calendar'!$AO$1045*1000000000+ISNUMBER('Dvd Calendar'!$AO$1048)*100000000+('Dvd Calendar'!$AO$1050=SPECIAL_LBL)*10000000+(N('Dvd Calendar'!$AO$1044)&gt;0)*(N('Dvd Calendar'!$AO$1044)&lt;=VAL_SERIAL)*1000000+95*1000+37))</f>
        <v/>
      </c>
      <c r="FP106" s="39">
        <f>IF(N('Dvd Calendar'!$AP$1045)=0,"",IF(('Dvd Calendar'!$AP$1045&gt;=GRID_FROM)*('Dvd Calendar'!$AP$1045&lt;=GRID_TO)*((('Dvd Calendar'!$AP$1045&lt;=VAL_DATE)+(COUNTIF('Dvd Calendar'!$E$1052:$AR$1052,'Dvd Calendar'!$AP$1045)=0))&gt;0)=0,"",'Dvd Calendar'!$AP$1045*1000000000+ISNUMBER('Dvd Calendar'!$AP$1048)*100000000+('Dvd Calendar'!$AP$1050=SPECIAL_LBL)*10000000+(N('Dvd Calendar'!$AP$1044)&gt;0)*(N('Dvd Calendar'!$AP$1044)&lt;=VAL_SERIAL)*1000000+95*1000+38))</f>
        <v/>
      </c>
      <c r="FQ106" s="39">
        <f>IF(N('Dvd Calendar'!$AQ$1045)=0,"",IF(('Dvd Calendar'!$AQ$1045&gt;=GRID_FROM)*('Dvd Calendar'!$AQ$1045&lt;=GRID_TO)*((('Dvd Calendar'!$AQ$1045&lt;=VAL_DATE)+(COUNTIF('Dvd Calendar'!$E$1052:$AR$1052,'Dvd Calendar'!$AQ$1045)=0))&gt;0)=0,"",'Dvd Calendar'!$AQ$1045*1000000000+ISNUMBER('Dvd Calendar'!$AQ$1048)*100000000+('Dvd Calendar'!$AQ$1050=SPECIAL_LBL)*10000000+(N('Dvd Calendar'!$AQ$1044)&gt;0)*(N('Dvd Calendar'!$AQ$1044)&lt;=VAL_SERIAL)*1000000+95*1000+39))</f>
        <v/>
      </c>
      <c r="FR106" s="39">
        <f>IF(N('Dvd Calendar'!$AR$1045)=0,"",IF(('Dvd Calendar'!$AR$1045&gt;=GRID_FROM)*('Dvd Calendar'!$AR$1045&lt;=GRID_TO)*((('Dvd Calendar'!$AR$1045&lt;=VAL_DATE)+(COUNTIF('Dvd Calendar'!$E$1052:$AR$1052,'Dvd Calendar'!$AR$1045)=0))&gt;0)=0,"",'Dvd Calendar'!$AR$1045*1000000000+ISNUMBER('Dvd Calendar'!$AR$1048)*100000000+('Dvd Calendar'!$AR$1050=SPECIAL_LBL)*10000000+(N('Dvd Calendar'!$AR$1044)&gt;0)*(N('Dvd Calendar'!$AR$1044)&lt;=VAL_SERIAL)*1000000+95*1000+40))</f>
        <v/>
      </c>
      <c r="FS106" s="39">
        <f>IF(N('Dvd Calendar'!$E$1052)=0,"",IF(('Dvd Calendar'!$E$1052&gt;=GRID_FROM)*('Dvd Calendar'!$E$1052&lt;=GRID_TO)*('Dvd Calendar'!$E$1052&gt;VAL_DATE)=0,"",'Dvd Calendar'!$E$1052*1000000000+ISNUMBER('Dvd Calendar'!$E$1053)*100000000+0*10000000+(N('Dvd Calendar'!$E$1051)&gt;0)*(N('Dvd Calendar'!$E$1051)&lt;=VAL_SERIAL)*1000000+95*1000+41))</f>
        <v/>
      </c>
      <c r="FT106" s="39">
        <f>IF(N('Dvd Calendar'!$F$1052)=0,"",IF(('Dvd Calendar'!$F$1052&gt;=GRID_FROM)*('Dvd Calendar'!$F$1052&lt;=GRID_TO)*('Dvd Calendar'!$F$1052&gt;VAL_DATE)=0,"",'Dvd Calendar'!$F$1052*1000000000+ISNUMBER('Dvd Calendar'!$F$1053)*100000000+0*10000000+(N('Dvd Calendar'!$F$1051)&gt;0)*(N('Dvd Calendar'!$F$1051)&lt;=VAL_SERIAL)*1000000+95*1000+42))</f>
        <v/>
      </c>
      <c r="FU106" s="39">
        <f>IF(N('Dvd Calendar'!$G$1052)=0,"",IF(('Dvd Calendar'!$G$1052&gt;=GRID_FROM)*('Dvd Calendar'!$G$1052&lt;=GRID_TO)*('Dvd Calendar'!$G$1052&gt;VAL_DATE)=0,"",'Dvd Calendar'!$G$1052*1000000000+ISNUMBER('Dvd Calendar'!$G$1053)*100000000+0*10000000+(N('Dvd Calendar'!$G$1051)&gt;0)*(N('Dvd Calendar'!$G$1051)&lt;=VAL_SERIAL)*1000000+95*1000+43))</f>
        <v/>
      </c>
      <c r="FV106" s="39">
        <f>IF(N('Dvd Calendar'!$H$1052)=0,"",IF(('Dvd Calendar'!$H$1052&gt;=GRID_FROM)*('Dvd Calendar'!$H$1052&lt;=GRID_TO)*('Dvd Calendar'!$H$1052&gt;VAL_DATE)=0,"",'Dvd Calendar'!$H$1052*1000000000+ISNUMBER('Dvd Calendar'!$H$1053)*100000000+0*10000000+(N('Dvd Calendar'!$H$1051)&gt;0)*(N('Dvd Calendar'!$H$1051)&lt;=VAL_SERIAL)*1000000+95*1000+44))</f>
        <v/>
      </c>
      <c r="FW106" s="39">
        <f>IF(N('Dvd Calendar'!$I$1052)=0,"",IF(('Dvd Calendar'!$I$1052&gt;=GRID_FROM)*('Dvd Calendar'!$I$1052&lt;=GRID_TO)*('Dvd Calendar'!$I$1052&gt;VAL_DATE)=0,"",'Dvd Calendar'!$I$1052*1000000000+ISNUMBER('Dvd Calendar'!$I$1053)*100000000+0*10000000+(N('Dvd Calendar'!$I$1051)&gt;0)*(N('Dvd Calendar'!$I$1051)&lt;=VAL_SERIAL)*1000000+95*1000+45))</f>
        <v/>
      </c>
      <c r="FX106" s="39">
        <f>IF(N('Dvd Calendar'!$J$1052)=0,"",IF(('Dvd Calendar'!$J$1052&gt;=GRID_FROM)*('Dvd Calendar'!$J$1052&lt;=GRID_TO)*('Dvd Calendar'!$J$1052&gt;VAL_DATE)=0,"",'Dvd Calendar'!$J$1052*1000000000+ISNUMBER('Dvd Calendar'!$J$1053)*100000000+0*10000000+(N('Dvd Calendar'!$J$1051)&gt;0)*(N('Dvd Calendar'!$J$1051)&lt;=VAL_SERIAL)*1000000+95*1000+46))</f>
        <v/>
      </c>
      <c r="FY106" s="39">
        <f>IF(N('Dvd Calendar'!$K$1052)=0,"",IF(('Dvd Calendar'!$K$1052&gt;=GRID_FROM)*('Dvd Calendar'!$K$1052&lt;=GRID_TO)*('Dvd Calendar'!$K$1052&gt;VAL_DATE)=0,"",'Dvd Calendar'!$K$1052*1000000000+ISNUMBER('Dvd Calendar'!$K$1053)*100000000+0*10000000+(N('Dvd Calendar'!$K$1051)&gt;0)*(N('Dvd Calendar'!$K$1051)&lt;=VAL_SERIAL)*1000000+95*1000+47))</f>
        <v/>
      </c>
      <c r="FZ106" s="39">
        <f>IF(N('Dvd Calendar'!$L$1052)=0,"",IF(('Dvd Calendar'!$L$1052&gt;=GRID_FROM)*('Dvd Calendar'!$L$1052&lt;=GRID_TO)*('Dvd Calendar'!$L$1052&gt;VAL_DATE)=0,"",'Dvd Calendar'!$L$1052*1000000000+ISNUMBER('Dvd Calendar'!$L$1053)*100000000+0*10000000+(N('Dvd Calendar'!$L$1051)&gt;0)*(N('Dvd Calendar'!$L$1051)&lt;=VAL_SERIAL)*1000000+95*1000+48))</f>
        <v/>
      </c>
      <c r="GA106" s="39">
        <f>IF(N('Dvd Calendar'!$M$1052)=0,"",IF(('Dvd Calendar'!$M$1052&gt;=GRID_FROM)*('Dvd Calendar'!$M$1052&lt;=GRID_TO)*('Dvd Calendar'!$M$1052&gt;VAL_DATE)=0,"",'Dvd Calendar'!$M$1052*1000000000+ISNUMBER('Dvd Calendar'!$M$1053)*100000000+0*10000000+(N('Dvd Calendar'!$M$1051)&gt;0)*(N('Dvd Calendar'!$M$1051)&lt;=VAL_SERIAL)*1000000+95*1000+49))</f>
        <v/>
      </c>
      <c r="GB106" s="39">
        <f>IF(N('Dvd Calendar'!$N$1052)=0,"",IF(('Dvd Calendar'!$N$1052&gt;=GRID_FROM)*('Dvd Calendar'!$N$1052&lt;=GRID_TO)*('Dvd Calendar'!$N$1052&gt;VAL_DATE)=0,"",'Dvd Calendar'!$N$1052*1000000000+ISNUMBER('Dvd Calendar'!$N$1053)*100000000+0*10000000+(N('Dvd Calendar'!$N$1051)&gt;0)*(N('Dvd Calendar'!$N$1051)&lt;=VAL_SERIAL)*1000000+95*1000+50))</f>
        <v/>
      </c>
      <c r="GC106" s="39">
        <f>IF(N('Dvd Calendar'!$O$1052)=0,"",IF(('Dvd Calendar'!$O$1052&gt;=GRID_FROM)*('Dvd Calendar'!$O$1052&lt;=GRID_TO)*('Dvd Calendar'!$O$1052&gt;VAL_DATE)=0,"",'Dvd Calendar'!$O$1052*1000000000+ISNUMBER('Dvd Calendar'!$O$1053)*100000000+0*10000000+(N('Dvd Calendar'!$O$1051)&gt;0)*(N('Dvd Calendar'!$O$1051)&lt;=VAL_SERIAL)*1000000+95*1000+51))</f>
        <v/>
      </c>
      <c r="GD106" s="39">
        <f>IF(N('Dvd Calendar'!$P$1052)=0,"",IF(('Dvd Calendar'!$P$1052&gt;=GRID_FROM)*('Dvd Calendar'!$P$1052&lt;=GRID_TO)*('Dvd Calendar'!$P$1052&gt;VAL_DATE)=0,"",'Dvd Calendar'!$P$1052*1000000000+ISNUMBER('Dvd Calendar'!$P$1053)*100000000+0*10000000+(N('Dvd Calendar'!$P$1051)&gt;0)*(N('Dvd Calendar'!$P$1051)&lt;=VAL_SERIAL)*1000000+95*1000+52))</f>
        <v/>
      </c>
      <c r="GE106" s="39">
        <f>IF(N('Dvd Calendar'!$Q$1052)=0,"",IF(('Dvd Calendar'!$Q$1052&gt;=GRID_FROM)*('Dvd Calendar'!$Q$1052&lt;=GRID_TO)*('Dvd Calendar'!$Q$1052&gt;VAL_DATE)=0,"",'Dvd Calendar'!$Q$1052*1000000000+ISNUMBER('Dvd Calendar'!$Q$1053)*100000000+0*10000000+(N('Dvd Calendar'!$Q$1051)&gt;0)*(N('Dvd Calendar'!$Q$1051)&lt;=VAL_SERIAL)*1000000+95*1000+53))</f>
        <v/>
      </c>
      <c r="GF106" s="39">
        <f>IF(N('Dvd Calendar'!$R$1052)=0,"",IF(('Dvd Calendar'!$R$1052&gt;=GRID_FROM)*('Dvd Calendar'!$R$1052&lt;=GRID_TO)*('Dvd Calendar'!$R$1052&gt;VAL_DATE)=0,"",'Dvd Calendar'!$R$1052*1000000000+ISNUMBER('Dvd Calendar'!$R$1053)*100000000+0*10000000+(N('Dvd Calendar'!$R$1051)&gt;0)*(N('Dvd Calendar'!$R$1051)&lt;=VAL_SERIAL)*1000000+95*1000+54))</f>
        <v/>
      </c>
      <c r="GG106" s="39">
        <f>IF(N('Dvd Calendar'!$S$1052)=0,"",IF(('Dvd Calendar'!$S$1052&gt;=GRID_FROM)*('Dvd Calendar'!$S$1052&lt;=GRID_TO)*('Dvd Calendar'!$S$1052&gt;VAL_DATE)=0,"",'Dvd Calendar'!$S$1052*1000000000+ISNUMBER('Dvd Calendar'!$S$1053)*100000000+0*10000000+(N('Dvd Calendar'!$S$1051)&gt;0)*(N('Dvd Calendar'!$S$1051)&lt;=VAL_SERIAL)*1000000+95*1000+55))</f>
        <v/>
      </c>
      <c r="GH106" s="39">
        <f>IF(N('Dvd Calendar'!$T$1052)=0,"",IF(('Dvd Calendar'!$T$1052&gt;=GRID_FROM)*('Dvd Calendar'!$T$1052&lt;=GRID_TO)*('Dvd Calendar'!$T$1052&gt;VAL_DATE)=0,"",'Dvd Calendar'!$T$1052*1000000000+ISNUMBER('Dvd Calendar'!$T$1053)*100000000+0*10000000+(N('Dvd Calendar'!$T$1051)&gt;0)*(N('Dvd Calendar'!$T$1051)&lt;=VAL_SERIAL)*1000000+95*1000+56))</f>
        <v/>
      </c>
      <c r="GI106" s="39">
        <f>IF(N('Dvd Calendar'!$U$1052)=0,"",IF(('Dvd Calendar'!$U$1052&gt;=GRID_FROM)*('Dvd Calendar'!$U$1052&lt;=GRID_TO)*('Dvd Calendar'!$U$1052&gt;VAL_DATE)=0,"",'Dvd Calendar'!$U$1052*1000000000+ISNUMBER('Dvd Calendar'!$U$1053)*100000000+0*10000000+(N('Dvd Calendar'!$U$1051)&gt;0)*(N('Dvd Calendar'!$U$1051)&lt;=VAL_SERIAL)*1000000+95*1000+57))</f>
        <v/>
      </c>
      <c r="GJ106" s="39">
        <f>IF(N('Dvd Calendar'!$V$1052)=0,"",IF(('Dvd Calendar'!$V$1052&gt;=GRID_FROM)*('Dvd Calendar'!$V$1052&lt;=GRID_TO)*('Dvd Calendar'!$V$1052&gt;VAL_DATE)=0,"",'Dvd Calendar'!$V$1052*1000000000+ISNUMBER('Dvd Calendar'!$V$1053)*100000000+0*10000000+(N('Dvd Calendar'!$V$1051)&gt;0)*(N('Dvd Calendar'!$V$1051)&lt;=VAL_SERIAL)*1000000+95*1000+58))</f>
        <v/>
      </c>
      <c r="GK106" s="39">
        <f>IF(N('Dvd Calendar'!$W$1052)=0,"",IF(('Dvd Calendar'!$W$1052&gt;=GRID_FROM)*('Dvd Calendar'!$W$1052&lt;=GRID_TO)*('Dvd Calendar'!$W$1052&gt;VAL_DATE)=0,"",'Dvd Calendar'!$W$1052*1000000000+ISNUMBER('Dvd Calendar'!$W$1053)*100000000+0*10000000+(N('Dvd Calendar'!$W$1051)&gt;0)*(N('Dvd Calendar'!$W$1051)&lt;=VAL_SERIAL)*1000000+95*1000+59))</f>
        <v/>
      </c>
      <c r="GL106" s="39">
        <f>IF(N('Dvd Calendar'!$X$1052)=0,"",IF(('Dvd Calendar'!$X$1052&gt;=GRID_FROM)*('Dvd Calendar'!$X$1052&lt;=GRID_TO)*('Dvd Calendar'!$X$1052&gt;VAL_DATE)=0,"",'Dvd Calendar'!$X$1052*1000000000+ISNUMBER('Dvd Calendar'!$X$1053)*100000000+0*10000000+(N('Dvd Calendar'!$X$1051)&gt;0)*(N('Dvd Calendar'!$X$1051)&lt;=VAL_SERIAL)*1000000+95*1000+60))</f>
        <v/>
      </c>
      <c r="GM106" s="39">
        <f>IF(N('Dvd Calendar'!$Y$1052)=0,"",IF(('Dvd Calendar'!$Y$1052&gt;=GRID_FROM)*('Dvd Calendar'!$Y$1052&lt;=GRID_TO)*('Dvd Calendar'!$Y$1052&gt;VAL_DATE)=0,"",'Dvd Calendar'!$Y$1052*1000000000+ISNUMBER('Dvd Calendar'!$Y$1053)*100000000+0*10000000+(N('Dvd Calendar'!$Y$1051)&gt;0)*(N('Dvd Calendar'!$Y$1051)&lt;=VAL_SERIAL)*1000000+95*1000+61))</f>
        <v/>
      </c>
      <c r="GN106" s="39">
        <f>IF(N('Dvd Calendar'!$Z$1052)=0,"",IF(('Dvd Calendar'!$Z$1052&gt;=GRID_FROM)*('Dvd Calendar'!$Z$1052&lt;=GRID_TO)*('Dvd Calendar'!$Z$1052&gt;VAL_DATE)=0,"",'Dvd Calendar'!$Z$1052*1000000000+ISNUMBER('Dvd Calendar'!$Z$1053)*100000000+0*10000000+(N('Dvd Calendar'!$Z$1051)&gt;0)*(N('Dvd Calendar'!$Z$1051)&lt;=VAL_SERIAL)*1000000+95*1000+62))</f>
        <v/>
      </c>
      <c r="GO106" s="39">
        <f>IF(N('Dvd Calendar'!$AA$1052)=0,"",IF(('Dvd Calendar'!$AA$1052&gt;=GRID_FROM)*('Dvd Calendar'!$AA$1052&lt;=GRID_TO)*('Dvd Calendar'!$AA$1052&gt;VAL_DATE)=0,"",'Dvd Calendar'!$AA$1052*1000000000+ISNUMBER('Dvd Calendar'!$AA$1053)*100000000+0*10000000+(N('Dvd Calendar'!$AA$1051)&gt;0)*(N('Dvd Calendar'!$AA$1051)&lt;=VAL_SERIAL)*1000000+95*1000+63))</f>
        <v/>
      </c>
      <c r="GP106" s="39">
        <f>IF(N('Dvd Calendar'!$AB$1052)=0,"",IF(('Dvd Calendar'!$AB$1052&gt;=GRID_FROM)*('Dvd Calendar'!$AB$1052&lt;=GRID_TO)*('Dvd Calendar'!$AB$1052&gt;VAL_DATE)=0,"",'Dvd Calendar'!$AB$1052*1000000000+ISNUMBER('Dvd Calendar'!$AB$1053)*100000000+0*10000000+(N('Dvd Calendar'!$AB$1051)&gt;0)*(N('Dvd Calendar'!$AB$1051)&lt;=VAL_SERIAL)*1000000+95*1000+64))</f>
        <v/>
      </c>
      <c r="GQ106" s="39">
        <f>IF(N('Dvd Calendar'!$AC$1052)=0,"",IF(('Dvd Calendar'!$AC$1052&gt;=GRID_FROM)*('Dvd Calendar'!$AC$1052&lt;=GRID_TO)*('Dvd Calendar'!$AC$1052&gt;VAL_DATE)=0,"",'Dvd Calendar'!$AC$1052*1000000000+ISNUMBER('Dvd Calendar'!$AC$1053)*100000000+0*10000000+(N('Dvd Calendar'!$AC$1051)&gt;0)*(N('Dvd Calendar'!$AC$1051)&lt;=VAL_SERIAL)*1000000+95*1000+65))</f>
        <v/>
      </c>
    </row>
    <row r="107">
      <c r="B107" s="2">
        <f>IF(HSI!$C$102="","",HSI!$C$102)</f>
        <v/>
      </c>
      <c r="C107" s="110">
        <f>IF(EE107="","",IF(ISNUMBER('Dvd Calendar'!$E$1059)=FALSE,"",IF((('Dvd Calendar'!$E$1061=TYPE1)*(TYPE1&lt;&gt;"")+('Dvd Calendar'!$E$1061=TYPE2)*(TYPE2&lt;&gt;"")+('Dvd Calendar'!$E$1061=TYPE3)*(TYPE3&lt;&gt;"")+('Dvd Calendar'!$E$1061=TYPE4)*(TYPE4&lt;&gt;"")+('Dvd Calendar'!$E$1061=SPECIAL_LBL)*(INC_SPECIALS="Y"))=0,"",'Dvd Calendar'!$E$1059)))</f>
        <v/>
      </c>
      <c r="D107" s="110">
        <f>IF(EF107="","",IF(ISNUMBER('Dvd Calendar'!$F$1059)=FALSE,"",IF((('Dvd Calendar'!$F$1061=TYPE1)*(TYPE1&lt;&gt;"")+('Dvd Calendar'!$F$1061=TYPE2)*(TYPE2&lt;&gt;"")+('Dvd Calendar'!$F$1061=TYPE3)*(TYPE3&lt;&gt;"")+('Dvd Calendar'!$F$1061=TYPE4)*(TYPE4&lt;&gt;"")+('Dvd Calendar'!$F$1061=SPECIAL_LBL)*(INC_SPECIALS="Y"))=0,"",'Dvd Calendar'!$F$1059)))</f>
        <v/>
      </c>
      <c r="E107" s="110">
        <f>IF(EG107="","",IF(ISNUMBER('Dvd Calendar'!$G$1059)=FALSE,"",IF((('Dvd Calendar'!$G$1061=TYPE1)*(TYPE1&lt;&gt;"")+('Dvd Calendar'!$G$1061=TYPE2)*(TYPE2&lt;&gt;"")+('Dvd Calendar'!$G$1061=TYPE3)*(TYPE3&lt;&gt;"")+('Dvd Calendar'!$G$1061=TYPE4)*(TYPE4&lt;&gt;"")+('Dvd Calendar'!$G$1061=SPECIAL_LBL)*(INC_SPECIALS="Y"))=0,"",'Dvd Calendar'!$G$1059)))</f>
        <v/>
      </c>
      <c r="F107" s="110">
        <f>IF(EH107="","",IF(ISNUMBER('Dvd Calendar'!$H$1059)=FALSE,"",IF((('Dvd Calendar'!$H$1061=TYPE1)*(TYPE1&lt;&gt;"")+('Dvd Calendar'!$H$1061=TYPE2)*(TYPE2&lt;&gt;"")+('Dvd Calendar'!$H$1061=TYPE3)*(TYPE3&lt;&gt;"")+('Dvd Calendar'!$H$1061=TYPE4)*(TYPE4&lt;&gt;"")+('Dvd Calendar'!$H$1061=SPECIAL_LBL)*(INC_SPECIALS="Y"))=0,"",'Dvd Calendar'!$H$1059)))</f>
        <v/>
      </c>
      <c r="G107" s="110">
        <f>IF(EI107="","",IF(ISNUMBER('Dvd Calendar'!$I$1059)=FALSE,"",IF((('Dvd Calendar'!$I$1061=TYPE1)*(TYPE1&lt;&gt;"")+('Dvd Calendar'!$I$1061=TYPE2)*(TYPE2&lt;&gt;"")+('Dvd Calendar'!$I$1061=TYPE3)*(TYPE3&lt;&gt;"")+('Dvd Calendar'!$I$1061=TYPE4)*(TYPE4&lt;&gt;"")+('Dvd Calendar'!$I$1061=SPECIAL_LBL)*(INC_SPECIALS="Y"))=0,"",'Dvd Calendar'!$I$1059)))</f>
        <v/>
      </c>
      <c r="H107" s="110">
        <f>IF(EJ107="","",IF(ISNUMBER('Dvd Calendar'!$J$1059)=FALSE,"",IF((('Dvd Calendar'!$J$1061=TYPE1)*(TYPE1&lt;&gt;"")+('Dvd Calendar'!$J$1061=TYPE2)*(TYPE2&lt;&gt;"")+('Dvd Calendar'!$J$1061=TYPE3)*(TYPE3&lt;&gt;"")+('Dvd Calendar'!$J$1061=TYPE4)*(TYPE4&lt;&gt;"")+('Dvd Calendar'!$J$1061=SPECIAL_LBL)*(INC_SPECIALS="Y"))=0,"",'Dvd Calendar'!$J$1059)))</f>
        <v/>
      </c>
      <c r="I107" s="110">
        <f>IF(EK107="","",IF(ISNUMBER('Dvd Calendar'!$K$1059)=FALSE,"",IF((('Dvd Calendar'!$K$1061=TYPE1)*(TYPE1&lt;&gt;"")+('Dvd Calendar'!$K$1061=TYPE2)*(TYPE2&lt;&gt;"")+('Dvd Calendar'!$K$1061=TYPE3)*(TYPE3&lt;&gt;"")+('Dvd Calendar'!$K$1061=TYPE4)*(TYPE4&lt;&gt;"")+('Dvd Calendar'!$K$1061=SPECIAL_LBL)*(INC_SPECIALS="Y"))=0,"",'Dvd Calendar'!$K$1059)))</f>
        <v/>
      </c>
      <c r="J107" s="110">
        <f>IF(EL107="","",IF(ISNUMBER('Dvd Calendar'!$L$1059)=FALSE,"",IF((('Dvd Calendar'!$L$1061=TYPE1)*(TYPE1&lt;&gt;"")+('Dvd Calendar'!$L$1061=TYPE2)*(TYPE2&lt;&gt;"")+('Dvd Calendar'!$L$1061=TYPE3)*(TYPE3&lt;&gt;"")+('Dvd Calendar'!$L$1061=TYPE4)*(TYPE4&lt;&gt;"")+('Dvd Calendar'!$L$1061=SPECIAL_LBL)*(INC_SPECIALS="Y"))=0,"",'Dvd Calendar'!$L$1059)))</f>
        <v/>
      </c>
      <c r="K107" s="110">
        <f>IF(EM107="","",IF(ISNUMBER('Dvd Calendar'!$M$1059)=FALSE,"",IF((('Dvd Calendar'!$M$1061=TYPE1)*(TYPE1&lt;&gt;"")+('Dvd Calendar'!$M$1061=TYPE2)*(TYPE2&lt;&gt;"")+('Dvd Calendar'!$M$1061=TYPE3)*(TYPE3&lt;&gt;"")+('Dvd Calendar'!$M$1061=TYPE4)*(TYPE4&lt;&gt;"")+('Dvd Calendar'!$M$1061=SPECIAL_LBL)*(INC_SPECIALS="Y"))=0,"",'Dvd Calendar'!$M$1059)))</f>
        <v/>
      </c>
      <c r="L107" s="110">
        <f>IF(EN107="","",IF(ISNUMBER('Dvd Calendar'!$N$1059)=FALSE,"",IF((('Dvd Calendar'!$N$1061=TYPE1)*(TYPE1&lt;&gt;"")+('Dvd Calendar'!$N$1061=TYPE2)*(TYPE2&lt;&gt;"")+('Dvd Calendar'!$N$1061=TYPE3)*(TYPE3&lt;&gt;"")+('Dvd Calendar'!$N$1061=TYPE4)*(TYPE4&lt;&gt;"")+('Dvd Calendar'!$N$1061=SPECIAL_LBL)*(INC_SPECIALS="Y"))=0,"",'Dvd Calendar'!$N$1059)))</f>
        <v/>
      </c>
      <c r="M107" s="110">
        <f>IF(EO107="","",IF(ISNUMBER('Dvd Calendar'!$O$1059)=FALSE,"",IF((('Dvd Calendar'!$O$1061=TYPE1)*(TYPE1&lt;&gt;"")+('Dvd Calendar'!$O$1061=TYPE2)*(TYPE2&lt;&gt;"")+('Dvd Calendar'!$O$1061=TYPE3)*(TYPE3&lt;&gt;"")+('Dvd Calendar'!$O$1061=TYPE4)*(TYPE4&lt;&gt;"")+('Dvd Calendar'!$O$1061=SPECIAL_LBL)*(INC_SPECIALS="Y"))=0,"",'Dvd Calendar'!$O$1059)))</f>
        <v/>
      </c>
      <c r="N107" s="110">
        <f>IF(EP107="","",IF(ISNUMBER('Dvd Calendar'!$P$1059)=FALSE,"",IF((('Dvd Calendar'!$P$1061=TYPE1)*(TYPE1&lt;&gt;"")+('Dvd Calendar'!$P$1061=TYPE2)*(TYPE2&lt;&gt;"")+('Dvd Calendar'!$P$1061=TYPE3)*(TYPE3&lt;&gt;"")+('Dvd Calendar'!$P$1061=TYPE4)*(TYPE4&lt;&gt;"")+('Dvd Calendar'!$P$1061=SPECIAL_LBL)*(INC_SPECIALS="Y"))=0,"",'Dvd Calendar'!$P$1059)))</f>
        <v/>
      </c>
      <c r="O107" s="110">
        <f>IF(EQ107="","",IF(ISNUMBER('Dvd Calendar'!$Q$1059)=FALSE,"",IF((('Dvd Calendar'!$Q$1061=TYPE1)*(TYPE1&lt;&gt;"")+('Dvd Calendar'!$Q$1061=TYPE2)*(TYPE2&lt;&gt;"")+('Dvd Calendar'!$Q$1061=TYPE3)*(TYPE3&lt;&gt;"")+('Dvd Calendar'!$Q$1061=TYPE4)*(TYPE4&lt;&gt;"")+('Dvd Calendar'!$Q$1061=SPECIAL_LBL)*(INC_SPECIALS="Y"))=0,"",'Dvd Calendar'!$Q$1059)))</f>
        <v/>
      </c>
      <c r="P107" s="110">
        <f>IF(ER107="","",IF(ISNUMBER('Dvd Calendar'!$R$1059)=FALSE,"",IF((('Dvd Calendar'!$R$1061=TYPE1)*(TYPE1&lt;&gt;"")+('Dvd Calendar'!$R$1061=TYPE2)*(TYPE2&lt;&gt;"")+('Dvd Calendar'!$R$1061=TYPE3)*(TYPE3&lt;&gt;"")+('Dvd Calendar'!$R$1061=TYPE4)*(TYPE4&lt;&gt;"")+('Dvd Calendar'!$R$1061=SPECIAL_LBL)*(INC_SPECIALS="Y"))=0,"",'Dvd Calendar'!$R$1059)))</f>
        <v/>
      </c>
      <c r="Q107" s="110">
        <f>IF(ES107="","",IF(ISNUMBER('Dvd Calendar'!$S$1059)=FALSE,"",IF((('Dvd Calendar'!$S$1061=TYPE1)*(TYPE1&lt;&gt;"")+('Dvd Calendar'!$S$1061=TYPE2)*(TYPE2&lt;&gt;"")+('Dvd Calendar'!$S$1061=TYPE3)*(TYPE3&lt;&gt;"")+('Dvd Calendar'!$S$1061=TYPE4)*(TYPE4&lt;&gt;"")+('Dvd Calendar'!$S$1061=SPECIAL_LBL)*(INC_SPECIALS="Y"))=0,"",'Dvd Calendar'!$S$1059)))</f>
        <v/>
      </c>
      <c r="R107" s="110">
        <f>IF(ET107="","",IF(ISNUMBER('Dvd Calendar'!$T$1059)=FALSE,"",IF((('Dvd Calendar'!$T$1061=TYPE1)*(TYPE1&lt;&gt;"")+('Dvd Calendar'!$T$1061=TYPE2)*(TYPE2&lt;&gt;"")+('Dvd Calendar'!$T$1061=TYPE3)*(TYPE3&lt;&gt;"")+('Dvd Calendar'!$T$1061=TYPE4)*(TYPE4&lt;&gt;"")+('Dvd Calendar'!$T$1061=SPECIAL_LBL)*(INC_SPECIALS="Y"))=0,"",'Dvd Calendar'!$T$1059)))</f>
        <v/>
      </c>
      <c r="S107" s="110">
        <f>IF(EU107="","",IF(ISNUMBER('Dvd Calendar'!$U$1059)=FALSE,"",IF((('Dvd Calendar'!$U$1061=TYPE1)*(TYPE1&lt;&gt;"")+('Dvd Calendar'!$U$1061=TYPE2)*(TYPE2&lt;&gt;"")+('Dvd Calendar'!$U$1061=TYPE3)*(TYPE3&lt;&gt;"")+('Dvd Calendar'!$U$1061=TYPE4)*(TYPE4&lt;&gt;"")+('Dvd Calendar'!$U$1061=SPECIAL_LBL)*(INC_SPECIALS="Y"))=0,"",'Dvd Calendar'!$U$1059)))</f>
        <v/>
      </c>
      <c r="T107" s="110">
        <f>IF(EV107="","",IF(ISNUMBER('Dvd Calendar'!$V$1059)=FALSE,"",IF((('Dvd Calendar'!$V$1061=TYPE1)*(TYPE1&lt;&gt;"")+('Dvd Calendar'!$V$1061=TYPE2)*(TYPE2&lt;&gt;"")+('Dvd Calendar'!$V$1061=TYPE3)*(TYPE3&lt;&gt;"")+('Dvd Calendar'!$V$1061=TYPE4)*(TYPE4&lt;&gt;"")+('Dvd Calendar'!$V$1061=SPECIAL_LBL)*(INC_SPECIALS="Y"))=0,"",'Dvd Calendar'!$V$1059)))</f>
        <v/>
      </c>
      <c r="U107" s="110">
        <f>IF(EW107="","",IF(ISNUMBER('Dvd Calendar'!$W$1059)=FALSE,"",IF((('Dvd Calendar'!$W$1061=TYPE1)*(TYPE1&lt;&gt;"")+('Dvd Calendar'!$W$1061=TYPE2)*(TYPE2&lt;&gt;"")+('Dvd Calendar'!$W$1061=TYPE3)*(TYPE3&lt;&gt;"")+('Dvd Calendar'!$W$1061=TYPE4)*(TYPE4&lt;&gt;"")+('Dvd Calendar'!$W$1061=SPECIAL_LBL)*(INC_SPECIALS="Y"))=0,"",'Dvd Calendar'!$W$1059)))</f>
        <v/>
      </c>
      <c r="V107" s="110">
        <f>IF(EX107="","",IF(ISNUMBER('Dvd Calendar'!$X$1059)=FALSE,"",IF((('Dvd Calendar'!$X$1061=TYPE1)*(TYPE1&lt;&gt;"")+('Dvd Calendar'!$X$1061=TYPE2)*(TYPE2&lt;&gt;"")+('Dvd Calendar'!$X$1061=TYPE3)*(TYPE3&lt;&gt;"")+('Dvd Calendar'!$X$1061=TYPE4)*(TYPE4&lt;&gt;"")+('Dvd Calendar'!$X$1061=SPECIAL_LBL)*(INC_SPECIALS="Y"))=0,"",'Dvd Calendar'!$X$1059)))</f>
        <v/>
      </c>
      <c r="W107" s="110">
        <f>IF(EY107="","",IF(ISNUMBER('Dvd Calendar'!$Y$1059)=FALSE,"",IF((('Dvd Calendar'!$Y$1061=TYPE1)*(TYPE1&lt;&gt;"")+('Dvd Calendar'!$Y$1061=TYPE2)*(TYPE2&lt;&gt;"")+('Dvd Calendar'!$Y$1061=TYPE3)*(TYPE3&lt;&gt;"")+('Dvd Calendar'!$Y$1061=TYPE4)*(TYPE4&lt;&gt;"")+('Dvd Calendar'!$Y$1061=SPECIAL_LBL)*(INC_SPECIALS="Y"))=0,"",'Dvd Calendar'!$Y$1059)))</f>
        <v/>
      </c>
      <c r="X107" s="110">
        <f>IF(EZ107="","",IF(ISNUMBER('Dvd Calendar'!$Z$1059)=FALSE,"",IF((('Dvd Calendar'!$Z$1061=TYPE1)*(TYPE1&lt;&gt;"")+('Dvd Calendar'!$Z$1061=TYPE2)*(TYPE2&lt;&gt;"")+('Dvd Calendar'!$Z$1061=TYPE3)*(TYPE3&lt;&gt;"")+('Dvd Calendar'!$Z$1061=TYPE4)*(TYPE4&lt;&gt;"")+('Dvd Calendar'!$Z$1061=SPECIAL_LBL)*(INC_SPECIALS="Y"))=0,"",'Dvd Calendar'!$Z$1059)))</f>
        <v/>
      </c>
      <c r="Y107" s="110">
        <f>IF(FA107="","",IF(ISNUMBER('Dvd Calendar'!$AA$1059)=FALSE,"",IF((('Dvd Calendar'!$AA$1061=TYPE1)*(TYPE1&lt;&gt;"")+('Dvd Calendar'!$AA$1061=TYPE2)*(TYPE2&lt;&gt;"")+('Dvd Calendar'!$AA$1061=TYPE3)*(TYPE3&lt;&gt;"")+('Dvd Calendar'!$AA$1061=TYPE4)*(TYPE4&lt;&gt;"")+('Dvd Calendar'!$AA$1061=SPECIAL_LBL)*(INC_SPECIALS="Y"))=0,"",'Dvd Calendar'!$AA$1059)))</f>
        <v/>
      </c>
      <c r="Z107" s="110">
        <f>IF(FB107="","",IF(ISNUMBER('Dvd Calendar'!$AB$1059)=FALSE,"",IF((('Dvd Calendar'!$AB$1061=TYPE1)*(TYPE1&lt;&gt;"")+('Dvd Calendar'!$AB$1061=TYPE2)*(TYPE2&lt;&gt;"")+('Dvd Calendar'!$AB$1061=TYPE3)*(TYPE3&lt;&gt;"")+('Dvd Calendar'!$AB$1061=TYPE4)*(TYPE4&lt;&gt;"")+('Dvd Calendar'!$AB$1061=SPECIAL_LBL)*(INC_SPECIALS="Y"))=0,"",'Dvd Calendar'!$AB$1059)))</f>
        <v/>
      </c>
      <c r="AA107" s="110">
        <f>IF(FC107="","",IF(ISNUMBER('Dvd Calendar'!$AC$1059)=FALSE,"",IF((('Dvd Calendar'!$AC$1061=TYPE1)*(TYPE1&lt;&gt;"")+('Dvd Calendar'!$AC$1061=TYPE2)*(TYPE2&lt;&gt;"")+('Dvd Calendar'!$AC$1061=TYPE3)*(TYPE3&lt;&gt;"")+('Dvd Calendar'!$AC$1061=TYPE4)*(TYPE4&lt;&gt;"")+('Dvd Calendar'!$AC$1061=SPECIAL_LBL)*(INC_SPECIALS="Y"))=0,"",'Dvd Calendar'!$AC$1059)))</f>
        <v/>
      </c>
      <c r="AB107" s="110">
        <f>IF(FD107="","",IF(ISNUMBER('Dvd Calendar'!$AD$1059)=FALSE,"",IF((('Dvd Calendar'!$AD$1061=TYPE1)*(TYPE1&lt;&gt;"")+('Dvd Calendar'!$AD$1061=TYPE2)*(TYPE2&lt;&gt;"")+('Dvd Calendar'!$AD$1061=TYPE3)*(TYPE3&lt;&gt;"")+('Dvd Calendar'!$AD$1061=TYPE4)*(TYPE4&lt;&gt;"")+('Dvd Calendar'!$AD$1061=SPECIAL_LBL)*(INC_SPECIALS="Y"))=0,"",'Dvd Calendar'!$AD$1059)))</f>
        <v/>
      </c>
      <c r="AC107" s="110">
        <f>IF(FE107="","",IF(ISNUMBER('Dvd Calendar'!$AE$1059)=FALSE,"",IF((('Dvd Calendar'!$AE$1061=TYPE1)*(TYPE1&lt;&gt;"")+('Dvd Calendar'!$AE$1061=TYPE2)*(TYPE2&lt;&gt;"")+('Dvd Calendar'!$AE$1061=TYPE3)*(TYPE3&lt;&gt;"")+('Dvd Calendar'!$AE$1061=TYPE4)*(TYPE4&lt;&gt;"")+('Dvd Calendar'!$AE$1061=SPECIAL_LBL)*(INC_SPECIALS="Y"))=0,"",'Dvd Calendar'!$AE$1059)))</f>
        <v/>
      </c>
      <c r="AD107" s="110">
        <f>IF(FF107="","",IF(ISNUMBER('Dvd Calendar'!$AF$1059)=FALSE,"",IF((('Dvd Calendar'!$AF$1061=TYPE1)*(TYPE1&lt;&gt;"")+('Dvd Calendar'!$AF$1061=TYPE2)*(TYPE2&lt;&gt;"")+('Dvd Calendar'!$AF$1061=TYPE3)*(TYPE3&lt;&gt;"")+('Dvd Calendar'!$AF$1061=TYPE4)*(TYPE4&lt;&gt;"")+('Dvd Calendar'!$AF$1061=SPECIAL_LBL)*(INC_SPECIALS="Y"))=0,"",'Dvd Calendar'!$AF$1059)))</f>
        <v/>
      </c>
      <c r="AE107" s="110">
        <f>IF(FG107="","",IF(ISNUMBER('Dvd Calendar'!$AG$1059)=FALSE,"",IF((('Dvd Calendar'!$AG$1061=TYPE1)*(TYPE1&lt;&gt;"")+('Dvd Calendar'!$AG$1061=TYPE2)*(TYPE2&lt;&gt;"")+('Dvd Calendar'!$AG$1061=TYPE3)*(TYPE3&lt;&gt;"")+('Dvd Calendar'!$AG$1061=TYPE4)*(TYPE4&lt;&gt;"")+('Dvd Calendar'!$AG$1061=SPECIAL_LBL)*(INC_SPECIALS="Y"))=0,"",'Dvd Calendar'!$AG$1059)))</f>
        <v/>
      </c>
      <c r="AF107" s="110">
        <f>IF(FH107="","",IF(ISNUMBER('Dvd Calendar'!$AH$1059)=FALSE,"",IF((('Dvd Calendar'!$AH$1061=TYPE1)*(TYPE1&lt;&gt;"")+('Dvd Calendar'!$AH$1061=TYPE2)*(TYPE2&lt;&gt;"")+('Dvd Calendar'!$AH$1061=TYPE3)*(TYPE3&lt;&gt;"")+('Dvd Calendar'!$AH$1061=TYPE4)*(TYPE4&lt;&gt;"")+('Dvd Calendar'!$AH$1061=SPECIAL_LBL)*(INC_SPECIALS="Y"))=0,"",'Dvd Calendar'!$AH$1059)))</f>
        <v/>
      </c>
      <c r="AG107" s="110">
        <f>IF(FI107="","",IF(ISNUMBER('Dvd Calendar'!$AI$1059)=FALSE,"",IF((('Dvd Calendar'!$AI$1061=TYPE1)*(TYPE1&lt;&gt;"")+('Dvd Calendar'!$AI$1061=TYPE2)*(TYPE2&lt;&gt;"")+('Dvd Calendar'!$AI$1061=TYPE3)*(TYPE3&lt;&gt;"")+('Dvd Calendar'!$AI$1061=TYPE4)*(TYPE4&lt;&gt;"")+('Dvd Calendar'!$AI$1061=SPECIAL_LBL)*(INC_SPECIALS="Y"))=0,"",'Dvd Calendar'!$AI$1059)))</f>
        <v/>
      </c>
      <c r="AH107" s="110">
        <f>IF(FJ107="","",IF(ISNUMBER('Dvd Calendar'!$AJ$1059)=FALSE,"",IF((('Dvd Calendar'!$AJ$1061=TYPE1)*(TYPE1&lt;&gt;"")+('Dvd Calendar'!$AJ$1061=TYPE2)*(TYPE2&lt;&gt;"")+('Dvd Calendar'!$AJ$1061=TYPE3)*(TYPE3&lt;&gt;"")+('Dvd Calendar'!$AJ$1061=TYPE4)*(TYPE4&lt;&gt;"")+('Dvd Calendar'!$AJ$1061=SPECIAL_LBL)*(INC_SPECIALS="Y"))=0,"",'Dvd Calendar'!$AJ$1059)))</f>
        <v/>
      </c>
      <c r="AI107" s="110">
        <f>IF(FK107="","",IF(ISNUMBER('Dvd Calendar'!$AK$1059)=FALSE,"",IF((('Dvd Calendar'!$AK$1061=TYPE1)*(TYPE1&lt;&gt;"")+('Dvd Calendar'!$AK$1061=TYPE2)*(TYPE2&lt;&gt;"")+('Dvd Calendar'!$AK$1061=TYPE3)*(TYPE3&lt;&gt;"")+('Dvd Calendar'!$AK$1061=TYPE4)*(TYPE4&lt;&gt;"")+('Dvd Calendar'!$AK$1061=SPECIAL_LBL)*(INC_SPECIALS="Y"))=0,"",'Dvd Calendar'!$AK$1059)))</f>
        <v/>
      </c>
      <c r="AJ107" s="110">
        <f>IF(FL107="","",IF(ISNUMBER('Dvd Calendar'!$AL$1059)=FALSE,"",IF((('Dvd Calendar'!$AL$1061=TYPE1)*(TYPE1&lt;&gt;"")+('Dvd Calendar'!$AL$1061=TYPE2)*(TYPE2&lt;&gt;"")+('Dvd Calendar'!$AL$1061=TYPE3)*(TYPE3&lt;&gt;"")+('Dvd Calendar'!$AL$1061=TYPE4)*(TYPE4&lt;&gt;"")+('Dvd Calendar'!$AL$1061=SPECIAL_LBL)*(INC_SPECIALS="Y"))=0,"",'Dvd Calendar'!$AL$1059)))</f>
        <v/>
      </c>
      <c r="AK107" s="110">
        <f>IF(FM107="","",IF(ISNUMBER('Dvd Calendar'!$AM$1059)=FALSE,"",IF((('Dvd Calendar'!$AM$1061=TYPE1)*(TYPE1&lt;&gt;"")+('Dvd Calendar'!$AM$1061=TYPE2)*(TYPE2&lt;&gt;"")+('Dvd Calendar'!$AM$1061=TYPE3)*(TYPE3&lt;&gt;"")+('Dvd Calendar'!$AM$1061=TYPE4)*(TYPE4&lt;&gt;"")+('Dvd Calendar'!$AM$1061=SPECIAL_LBL)*(INC_SPECIALS="Y"))=0,"",'Dvd Calendar'!$AM$1059)))</f>
        <v/>
      </c>
      <c r="AL107" s="110">
        <f>IF(FN107="","",IF(ISNUMBER('Dvd Calendar'!$AN$1059)=FALSE,"",IF((('Dvd Calendar'!$AN$1061=TYPE1)*(TYPE1&lt;&gt;"")+('Dvd Calendar'!$AN$1061=TYPE2)*(TYPE2&lt;&gt;"")+('Dvd Calendar'!$AN$1061=TYPE3)*(TYPE3&lt;&gt;"")+('Dvd Calendar'!$AN$1061=TYPE4)*(TYPE4&lt;&gt;"")+('Dvd Calendar'!$AN$1061=SPECIAL_LBL)*(INC_SPECIALS="Y"))=0,"",'Dvd Calendar'!$AN$1059)))</f>
        <v/>
      </c>
      <c r="AM107" s="110">
        <f>IF(FO107="","",IF(ISNUMBER('Dvd Calendar'!$AO$1059)=FALSE,"",IF((('Dvd Calendar'!$AO$1061=TYPE1)*(TYPE1&lt;&gt;"")+('Dvd Calendar'!$AO$1061=TYPE2)*(TYPE2&lt;&gt;"")+('Dvd Calendar'!$AO$1061=TYPE3)*(TYPE3&lt;&gt;"")+('Dvd Calendar'!$AO$1061=TYPE4)*(TYPE4&lt;&gt;"")+('Dvd Calendar'!$AO$1061=SPECIAL_LBL)*(INC_SPECIALS="Y"))=0,"",'Dvd Calendar'!$AO$1059)))</f>
        <v/>
      </c>
      <c r="AN107" s="110">
        <f>IF(FP107="","",IF(ISNUMBER('Dvd Calendar'!$AP$1059)=FALSE,"",IF((('Dvd Calendar'!$AP$1061=TYPE1)*(TYPE1&lt;&gt;"")+('Dvd Calendar'!$AP$1061=TYPE2)*(TYPE2&lt;&gt;"")+('Dvd Calendar'!$AP$1061=TYPE3)*(TYPE3&lt;&gt;"")+('Dvd Calendar'!$AP$1061=TYPE4)*(TYPE4&lt;&gt;"")+('Dvd Calendar'!$AP$1061=SPECIAL_LBL)*(INC_SPECIALS="Y"))=0,"",'Dvd Calendar'!$AP$1059)))</f>
        <v/>
      </c>
      <c r="AO107" s="110">
        <f>IF(FQ107="","",IF(ISNUMBER('Dvd Calendar'!$AQ$1059)=FALSE,"",IF((('Dvd Calendar'!$AQ$1061=TYPE1)*(TYPE1&lt;&gt;"")+('Dvd Calendar'!$AQ$1061=TYPE2)*(TYPE2&lt;&gt;"")+('Dvd Calendar'!$AQ$1061=TYPE3)*(TYPE3&lt;&gt;"")+('Dvd Calendar'!$AQ$1061=TYPE4)*(TYPE4&lt;&gt;"")+('Dvd Calendar'!$AQ$1061=SPECIAL_LBL)*(INC_SPECIALS="Y"))=0,"",'Dvd Calendar'!$AQ$1059)))</f>
        <v/>
      </c>
      <c r="AP107" s="110">
        <f>IF(FR107="","",IF(ISNUMBER('Dvd Calendar'!$AR$1059)=FALSE,"",IF((('Dvd Calendar'!$AR$1061=TYPE1)*(TYPE1&lt;&gt;"")+('Dvd Calendar'!$AR$1061=TYPE2)*(TYPE2&lt;&gt;"")+('Dvd Calendar'!$AR$1061=TYPE3)*(TYPE3&lt;&gt;"")+('Dvd Calendar'!$AR$1061=TYPE4)*(TYPE4&lt;&gt;"")+('Dvd Calendar'!$AR$1061=SPECIAL_LBL)*(INC_SPECIALS="Y"))=0,"",'Dvd Calendar'!$AR$1059)))</f>
        <v/>
      </c>
      <c r="AQ107" s="110">
        <f>IF(FS107="","",IF(ISNUMBER('Dvd Calendar'!$E$1064)=FALSE,"",'Dvd Calendar'!$E$1064))</f>
        <v/>
      </c>
      <c r="AR107" s="110">
        <f>IF(FT107="","",IF(ISNUMBER('Dvd Calendar'!$F$1064)=FALSE,"",'Dvd Calendar'!$F$1064))</f>
        <v/>
      </c>
      <c r="AS107" s="110">
        <f>IF(FU107="","",IF(ISNUMBER('Dvd Calendar'!$G$1064)=FALSE,"",'Dvd Calendar'!$G$1064))</f>
        <v/>
      </c>
      <c r="AT107" s="110">
        <f>IF(FV107="","",IF(ISNUMBER('Dvd Calendar'!$H$1064)=FALSE,"",'Dvd Calendar'!$H$1064))</f>
        <v/>
      </c>
      <c r="AU107" s="110">
        <f>IF(FW107="","",IF(ISNUMBER('Dvd Calendar'!$I$1064)=FALSE,"",'Dvd Calendar'!$I$1064))</f>
        <v/>
      </c>
      <c r="AV107" s="110">
        <f>IF(FX107="","",IF(ISNUMBER('Dvd Calendar'!$J$1064)=FALSE,"",'Dvd Calendar'!$J$1064))</f>
        <v/>
      </c>
      <c r="AW107" s="110">
        <f>IF(FY107="","",IF(ISNUMBER('Dvd Calendar'!$K$1064)=FALSE,"",'Dvd Calendar'!$K$1064))</f>
        <v/>
      </c>
      <c r="AX107" s="110">
        <f>IF(FZ107="","",IF(ISNUMBER('Dvd Calendar'!$L$1064)=FALSE,"",'Dvd Calendar'!$L$1064))</f>
        <v/>
      </c>
      <c r="AY107" s="110">
        <f>IF(GA107="","",IF(ISNUMBER('Dvd Calendar'!$M$1064)=FALSE,"",'Dvd Calendar'!$M$1064))</f>
        <v/>
      </c>
      <c r="AZ107" s="110">
        <f>IF(GB107="","",IF(ISNUMBER('Dvd Calendar'!$N$1064)=FALSE,"",'Dvd Calendar'!$N$1064))</f>
        <v/>
      </c>
      <c r="BA107" s="110">
        <f>IF(GC107="","",IF(ISNUMBER('Dvd Calendar'!$O$1064)=FALSE,"",'Dvd Calendar'!$O$1064))</f>
        <v/>
      </c>
      <c r="BB107" s="110">
        <f>IF(GD107="","",IF(ISNUMBER('Dvd Calendar'!$P$1064)=FALSE,"",'Dvd Calendar'!$P$1064))</f>
        <v/>
      </c>
      <c r="BC107" s="110">
        <f>IF(GE107="","",IF(ISNUMBER('Dvd Calendar'!$Q$1064)=FALSE,"",'Dvd Calendar'!$Q$1064))</f>
        <v/>
      </c>
      <c r="BD107" s="110">
        <f>IF(GF107="","",IF(ISNUMBER('Dvd Calendar'!$R$1064)=FALSE,"",'Dvd Calendar'!$R$1064))</f>
        <v/>
      </c>
      <c r="BE107" s="110">
        <f>IF(GG107="","",IF(ISNUMBER('Dvd Calendar'!$S$1064)=FALSE,"",'Dvd Calendar'!$S$1064))</f>
        <v/>
      </c>
      <c r="BF107" s="110">
        <f>IF(GH107="","",IF(ISNUMBER('Dvd Calendar'!$T$1064)=FALSE,"",'Dvd Calendar'!$T$1064))</f>
        <v/>
      </c>
      <c r="BG107" s="110">
        <f>IF(GI107="","",IF(ISNUMBER('Dvd Calendar'!$U$1064)=FALSE,"",'Dvd Calendar'!$U$1064))</f>
        <v/>
      </c>
      <c r="BH107" s="110">
        <f>IF(GJ107="","",IF(ISNUMBER('Dvd Calendar'!$V$1064)=FALSE,"",'Dvd Calendar'!$V$1064))</f>
        <v/>
      </c>
      <c r="BI107" s="110">
        <f>IF(GK107="","",IF(ISNUMBER('Dvd Calendar'!$W$1064)=FALSE,"",'Dvd Calendar'!$W$1064))</f>
        <v/>
      </c>
      <c r="BJ107" s="110">
        <f>IF(GL107="","",IF(ISNUMBER('Dvd Calendar'!$X$1064)=FALSE,"",'Dvd Calendar'!$X$1064))</f>
        <v/>
      </c>
      <c r="BK107" s="110">
        <f>IF(GM107="","",IF(ISNUMBER('Dvd Calendar'!$Y$1064)=FALSE,"",'Dvd Calendar'!$Y$1064))</f>
        <v/>
      </c>
      <c r="BL107" s="110">
        <f>IF(GN107="","",IF(ISNUMBER('Dvd Calendar'!$Z$1064)=FALSE,"",'Dvd Calendar'!$Z$1064))</f>
        <v/>
      </c>
      <c r="BM107" s="110">
        <f>IF(GO107="","",IF(ISNUMBER('Dvd Calendar'!$AA$1064)=FALSE,"",'Dvd Calendar'!$AA$1064))</f>
        <v/>
      </c>
      <c r="BN107" s="110">
        <f>IF(GP107="","",IF(ISNUMBER('Dvd Calendar'!$AB$1064)=FALSE,"",'Dvd Calendar'!$AB$1064))</f>
        <v/>
      </c>
      <c r="BO107" s="110">
        <f>IF(GQ107="","",IF(ISNUMBER('Dvd Calendar'!$AC$1064)=FALSE,"",'Dvd Calendar'!$AC$1064))</f>
        <v/>
      </c>
      <c r="BQ107" s="110">
        <f>IF(C107="","",IFERROR(C107*HSI!$B$102*HSI!$G$102/HSI!$B$3,""))</f>
        <v/>
      </c>
      <c r="BR107" s="110">
        <f>IF(D107="","",IFERROR(D107*HSI!$B$102*HSI!$G$102/HSI!$B$3,""))</f>
        <v/>
      </c>
      <c r="BS107" s="110">
        <f>IF(E107="","",IFERROR(E107*HSI!$B$102*HSI!$G$102/HSI!$B$3,""))</f>
        <v/>
      </c>
      <c r="BT107" s="110">
        <f>IF(F107="","",IFERROR(F107*HSI!$B$102*HSI!$G$102/HSI!$B$3,""))</f>
        <v/>
      </c>
      <c r="BU107" s="110">
        <f>IF(G107="","",IFERROR(G107*HSI!$B$102*HSI!$G$102/HSI!$B$3,""))</f>
        <v/>
      </c>
      <c r="BV107" s="110">
        <f>IF(H107="","",IFERROR(H107*HSI!$B$102*HSI!$G$102/HSI!$B$3,""))</f>
        <v/>
      </c>
      <c r="BW107" s="110">
        <f>IF(I107="","",IFERROR(I107*HSI!$B$102*HSI!$G$102/HSI!$B$3,""))</f>
        <v/>
      </c>
      <c r="BX107" s="110">
        <f>IF(J107="","",IFERROR(J107*HSI!$B$102*HSI!$G$102/HSI!$B$3,""))</f>
        <v/>
      </c>
      <c r="BY107" s="110">
        <f>IF(K107="","",IFERROR(K107*HSI!$B$102*HSI!$G$102/HSI!$B$3,""))</f>
        <v/>
      </c>
      <c r="BZ107" s="110">
        <f>IF(L107="","",IFERROR(L107*HSI!$B$102*HSI!$G$102/HSI!$B$3,""))</f>
        <v/>
      </c>
      <c r="CA107" s="110">
        <f>IF(M107="","",IFERROR(M107*HSI!$B$102*HSI!$G$102/HSI!$B$3,""))</f>
        <v/>
      </c>
      <c r="CB107" s="110">
        <f>IF(N107="","",IFERROR(N107*HSI!$B$102*HSI!$G$102/HSI!$B$3,""))</f>
        <v/>
      </c>
      <c r="CC107" s="110">
        <f>IF(O107="","",IFERROR(O107*HSI!$B$102*HSI!$G$102/HSI!$B$3,""))</f>
        <v/>
      </c>
      <c r="CD107" s="110">
        <f>IF(P107="","",IFERROR(P107*HSI!$B$102*HSI!$G$102/HSI!$B$3,""))</f>
        <v/>
      </c>
      <c r="CE107" s="110">
        <f>IF(Q107="","",IFERROR(Q107*HSI!$B$102*HSI!$G$102/HSI!$B$3,""))</f>
        <v/>
      </c>
      <c r="CF107" s="110">
        <f>IF(R107="","",IFERROR(R107*HSI!$B$102*HSI!$G$102/HSI!$B$3,""))</f>
        <v/>
      </c>
      <c r="CG107" s="110">
        <f>IF(S107="","",IFERROR(S107*HSI!$B$102*HSI!$G$102/HSI!$B$3,""))</f>
        <v/>
      </c>
      <c r="CH107" s="110">
        <f>IF(T107="","",IFERROR(T107*HSI!$B$102*HSI!$G$102/HSI!$B$3,""))</f>
        <v/>
      </c>
      <c r="CI107" s="110">
        <f>IF(U107="","",IFERROR(U107*HSI!$B$102*HSI!$G$102/HSI!$B$3,""))</f>
        <v/>
      </c>
      <c r="CJ107" s="110">
        <f>IF(V107="","",IFERROR(V107*HSI!$B$102*HSI!$G$102/HSI!$B$3,""))</f>
        <v/>
      </c>
      <c r="CK107" s="110">
        <f>IF(W107="","",IFERROR(W107*HSI!$B$102*HSI!$G$102/HSI!$B$3,""))</f>
        <v/>
      </c>
      <c r="CL107" s="110">
        <f>IF(X107="","",IFERROR(X107*HSI!$B$102*HSI!$G$102/HSI!$B$3,""))</f>
        <v/>
      </c>
      <c r="CM107" s="110">
        <f>IF(Y107="","",IFERROR(Y107*HSI!$B$102*HSI!$G$102/HSI!$B$3,""))</f>
        <v/>
      </c>
      <c r="CN107" s="110">
        <f>IF(Z107="","",IFERROR(Z107*HSI!$B$102*HSI!$G$102/HSI!$B$3,""))</f>
        <v/>
      </c>
      <c r="CO107" s="110">
        <f>IF(AA107="","",IFERROR(AA107*HSI!$B$102*HSI!$G$102/HSI!$B$3,""))</f>
        <v/>
      </c>
      <c r="CP107" s="110">
        <f>IF(AB107="","",IFERROR(AB107*HSI!$B$102*HSI!$G$102/HSI!$B$3,""))</f>
        <v/>
      </c>
      <c r="CQ107" s="110">
        <f>IF(AC107="","",IFERROR(AC107*HSI!$B$102*HSI!$G$102/HSI!$B$3,""))</f>
        <v/>
      </c>
      <c r="CR107" s="110">
        <f>IF(AD107="","",IFERROR(AD107*HSI!$B$102*HSI!$G$102/HSI!$B$3,""))</f>
        <v/>
      </c>
      <c r="CS107" s="110">
        <f>IF(AE107="","",IFERROR(AE107*HSI!$B$102*HSI!$G$102/HSI!$B$3,""))</f>
        <v/>
      </c>
      <c r="CT107" s="110">
        <f>IF(AF107="","",IFERROR(AF107*HSI!$B$102*HSI!$G$102/HSI!$B$3,""))</f>
        <v/>
      </c>
      <c r="CU107" s="110">
        <f>IF(AG107="","",IFERROR(AG107*HSI!$B$102*HSI!$G$102/HSI!$B$3,""))</f>
        <v/>
      </c>
      <c r="CV107" s="110">
        <f>IF(AH107="","",IFERROR(AH107*HSI!$B$102*HSI!$G$102/HSI!$B$3,""))</f>
        <v/>
      </c>
      <c r="CW107" s="110">
        <f>IF(AI107="","",IFERROR(AI107*HSI!$B$102*HSI!$G$102/HSI!$B$3,""))</f>
        <v/>
      </c>
      <c r="CX107" s="110">
        <f>IF(AJ107="","",IFERROR(AJ107*HSI!$B$102*HSI!$G$102/HSI!$B$3,""))</f>
        <v/>
      </c>
      <c r="CY107" s="110">
        <f>IF(AK107="","",IFERROR(AK107*HSI!$B$102*HSI!$G$102/HSI!$B$3,""))</f>
        <v/>
      </c>
      <c r="CZ107" s="110">
        <f>IF(AL107="","",IFERROR(AL107*HSI!$B$102*HSI!$G$102/HSI!$B$3,""))</f>
        <v/>
      </c>
      <c r="DA107" s="110">
        <f>IF(AM107="","",IFERROR(AM107*HSI!$B$102*HSI!$G$102/HSI!$B$3,""))</f>
        <v/>
      </c>
      <c r="DB107" s="110">
        <f>IF(AN107="","",IFERROR(AN107*HSI!$B$102*HSI!$G$102/HSI!$B$3,""))</f>
        <v/>
      </c>
      <c r="DC107" s="110">
        <f>IF(AO107="","",IFERROR(AO107*HSI!$B$102*HSI!$G$102/HSI!$B$3,""))</f>
        <v/>
      </c>
      <c r="DD107" s="110">
        <f>IF(AP107="","",IFERROR(AP107*HSI!$B$102*HSI!$G$102/HSI!$B$3,""))</f>
        <v/>
      </c>
      <c r="DE107" s="110">
        <f>IF(AQ107="","",IFERROR(AQ107*HSI!$B$102*HSI!$G$102/HSI!$B$3,""))</f>
        <v/>
      </c>
      <c r="DF107" s="110">
        <f>IF(AR107="","",IFERROR(AR107*HSI!$B$102*HSI!$G$102/HSI!$B$3,""))</f>
        <v/>
      </c>
      <c r="DG107" s="110">
        <f>IF(AS107="","",IFERROR(AS107*HSI!$B$102*HSI!$G$102/HSI!$B$3,""))</f>
        <v/>
      </c>
      <c r="DH107" s="110">
        <f>IF(AT107="","",IFERROR(AT107*HSI!$B$102*HSI!$G$102/HSI!$B$3,""))</f>
        <v/>
      </c>
      <c r="DI107" s="110">
        <f>IF(AU107="","",IFERROR(AU107*HSI!$B$102*HSI!$G$102/HSI!$B$3,""))</f>
        <v/>
      </c>
      <c r="DJ107" s="110">
        <f>IF(AV107="","",IFERROR(AV107*HSI!$B$102*HSI!$G$102/HSI!$B$3,""))</f>
        <v/>
      </c>
      <c r="DK107" s="110">
        <f>IF(AW107="","",IFERROR(AW107*HSI!$B$102*HSI!$G$102/HSI!$B$3,""))</f>
        <v/>
      </c>
      <c r="DL107" s="110">
        <f>IF(AX107="","",IFERROR(AX107*HSI!$B$102*HSI!$G$102/HSI!$B$3,""))</f>
        <v/>
      </c>
      <c r="DM107" s="110">
        <f>IF(AY107="","",IFERROR(AY107*HSI!$B$102*HSI!$G$102/HSI!$B$3,""))</f>
        <v/>
      </c>
      <c r="DN107" s="110">
        <f>IF(AZ107="","",IFERROR(AZ107*HSI!$B$102*HSI!$G$102/HSI!$B$3,""))</f>
        <v/>
      </c>
      <c r="DO107" s="110">
        <f>IF(BA107="","",IFERROR(BA107*HSI!$B$102*HSI!$G$102/HSI!$B$3,""))</f>
        <v/>
      </c>
      <c r="DP107" s="110">
        <f>IF(BB107="","",IFERROR(BB107*HSI!$B$102*HSI!$G$102/HSI!$B$3,""))</f>
        <v/>
      </c>
      <c r="DQ107" s="110">
        <f>IF(BC107="","",IFERROR(BC107*HSI!$B$102*HSI!$G$102/HSI!$B$3,""))</f>
        <v/>
      </c>
      <c r="DR107" s="110">
        <f>IF(BD107="","",IFERROR(BD107*HSI!$B$102*HSI!$G$102/HSI!$B$3,""))</f>
        <v/>
      </c>
      <c r="DS107" s="110">
        <f>IF(BE107="","",IFERROR(BE107*HSI!$B$102*HSI!$G$102/HSI!$B$3,""))</f>
        <v/>
      </c>
      <c r="DT107" s="110">
        <f>IF(BF107="","",IFERROR(BF107*HSI!$B$102*HSI!$G$102/HSI!$B$3,""))</f>
        <v/>
      </c>
      <c r="DU107" s="110">
        <f>IF(BG107="","",IFERROR(BG107*HSI!$B$102*HSI!$G$102/HSI!$B$3,""))</f>
        <v/>
      </c>
      <c r="DV107" s="110">
        <f>IF(BH107="","",IFERROR(BH107*HSI!$B$102*HSI!$G$102/HSI!$B$3,""))</f>
        <v/>
      </c>
      <c r="DW107" s="110">
        <f>IF(BI107="","",IFERROR(BI107*HSI!$B$102*HSI!$G$102/HSI!$B$3,""))</f>
        <v/>
      </c>
      <c r="DX107" s="110">
        <f>IF(BJ107="","",IFERROR(BJ107*HSI!$B$102*HSI!$G$102/HSI!$B$3,""))</f>
        <v/>
      </c>
      <c r="DY107" s="110">
        <f>IF(BK107="","",IFERROR(BK107*HSI!$B$102*HSI!$G$102/HSI!$B$3,""))</f>
        <v/>
      </c>
      <c r="DZ107" s="110">
        <f>IF(BL107="","",IFERROR(BL107*HSI!$B$102*HSI!$G$102/HSI!$B$3,""))</f>
        <v/>
      </c>
      <c r="EA107" s="110">
        <f>IF(BM107="","",IFERROR(BM107*HSI!$B$102*HSI!$G$102/HSI!$B$3,""))</f>
        <v/>
      </c>
      <c r="EB107" s="110">
        <f>IF(BN107="","",IFERROR(BN107*HSI!$B$102*HSI!$G$102/HSI!$B$3,""))</f>
        <v/>
      </c>
      <c r="EC107" s="110">
        <f>IF(BO107="","",IFERROR(BO107*HSI!$B$102*HSI!$G$102/HSI!$B$3,""))</f>
        <v/>
      </c>
      <c r="EE107" s="39">
        <f>IF(N('Dvd Calendar'!$E$1056)=0,"",IF(('Dvd Calendar'!$E$1056&gt;=GRID_FROM)*('Dvd Calendar'!$E$1056&lt;=GRID_TO)*((('Dvd Calendar'!$E$1056&lt;=VAL_DATE)+(COUNTIF('Dvd Calendar'!$E$1063:$AR$1063,'Dvd Calendar'!$E$1056)=0))&gt;0)=0,"",'Dvd Calendar'!$E$1056*1000000000+ISNUMBER('Dvd Calendar'!$E$1059)*100000000+('Dvd Calendar'!$E$1061=SPECIAL_LBL)*10000000+(N('Dvd Calendar'!$E$1055)&gt;0)*(N('Dvd Calendar'!$E$1055)&lt;=VAL_SERIAL)*1000000+96*1000+1))</f>
        <v/>
      </c>
      <c r="EF107" s="39">
        <f>IF(N('Dvd Calendar'!$F$1056)=0,"",IF(('Dvd Calendar'!$F$1056&gt;=GRID_FROM)*('Dvd Calendar'!$F$1056&lt;=GRID_TO)*((('Dvd Calendar'!$F$1056&lt;=VAL_DATE)+(COUNTIF('Dvd Calendar'!$E$1063:$AR$1063,'Dvd Calendar'!$F$1056)=0))&gt;0)=0,"",'Dvd Calendar'!$F$1056*1000000000+ISNUMBER('Dvd Calendar'!$F$1059)*100000000+('Dvd Calendar'!$F$1061=SPECIAL_LBL)*10000000+(N('Dvd Calendar'!$F$1055)&gt;0)*(N('Dvd Calendar'!$F$1055)&lt;=VAL_SERIAL)*1000000+96*1000+2))</f>
        <v/>
      </c>
      <c r="EG107" s="39">
        <f>IF(N('Dvd Calendar'!$G$1056)=0,"",IF(('Dvd Calendar'!$G$1056&gt;=GRID_FROM)*('Dvd Calendar'!$G$1056&lt;=GRID_TO)*((('Dvd Calendar'!$G$1056&lt;=VAL_DATE)+(COUNTIF('Dvd Calendar'!$E$1063:$AR$1063,'Dvd Calendar'!$G$1056)=0))&gt;0)=0,"",'Dvd Calendar'!$G$1056*1000000000+ISNUMBER('Dvd Calendar'!$G$1059)*100000000+('Dvd Calendar'!$G$1061=SPECIAL_LBL)*10000000+(N('Dvd Calendar'!$G$1055)&gt;0)*(N('Dvd Calendar'!$G$1055)&lt;=VAL_SERIAL)*1000000+96*1000+3))</f>
        <v/>
      </c>
      <c r="EH107" s="39">
        <f>IF(N('Dvd Calendar'!$H$1056)=0,"",IF(('Dvd Calendar'!$H$1056&gt;=GRID_FROM)*('Dvd Calendar'!$H$1056&lt;=GRID_TO)*((('Dvd Calendar'!$H$1056&lt;=VAL_DATE)+(COUNTIF('Dvd Calendar'!$E$1063:$AR$1063,'Dvd Calendar'!$H$1056)=0))&gt;0)=0,"",'Dvd Calendar'!$H$1056*1000000000+ISNUMBER('Dvd Calendar'!$H$1059)*100000000+('Dvd Calendar'!$H$1061=SPECIAL_LBL)*10000000+(N('Dvd Calendar'!$H$1055)&gt;0)*(N('Dvd Calendar'!$H$1055)&lt;=VAL_SERIAL)*1000000+96*1000+4))</f>
        <v/>
      </c>
      <c r="EI107" s="39">
        <f>IF(N('Dvd Calendar'!$I$1056)=0,"",IF(('Dvd Calendar'!$I$1056&gt;=GRID_FROM)*('Dvd Calendar'!$I$1056&lt;=GRID_TO)*((('Dvd Calendar'!$I$1056&lt;=VAL_DATE)+(COUNTIF('Dvd Calendar'!$E$1063:$AR$1063,'Dvd Calendar'!$I$1056)=0))&gt;0)=0,"",'Dvd Calendar'!$I$1056*1000000000+ISNUMBER('Dvd Calendar'!$I$1059)*100000000+('Dvd Calendar'!$I$1061=SPECIAL_LBL)*10000000+(N('Dvd Calendar'!$I$1055)&gt;0)*(N('Dvd Calendar'!$I$1055)&lt;=VAL_SERIAL)*1000000+96*1000+5))</f>
        <v/>
      </c>
      <c r="EJ107" s="39">
        <f>IF(N('Dvd Calendar'!$J$1056)=0,"",IF(('Dvd Calendar'!$J$1056&gt;=GRID_FROM)*('Dvd Calendar'!$J$1056&lt;=GRID_TO)*((('Dvd Calendar'!$J$1056&lt;=VAL_DATE)+(COUNTIF('Dvd Calendar'!$E$1063:$AR$1063,'Dvd Calendar'!$J$1056)=0))&gt;0)=0,"",'Dvd Calendar'!$J$1056*1000000000+ISNUMBER('Dvd Calendar'!$J$1059)*100000000+('Dvd Calendar'!$J$1061=SPECIAL_LBL)*10000000+(N('Dvd Calendar'!$J$1055)&gt;0)*(N('Dvd Calendar'!$J$1055)&lt;=VAL_SERIAL)*1000000+96*1000+6))</f>
        <v/>
      </c>
      <c r="EK107" s="39">
        <f>IF(N('Dvd Calendar'!$K$1056)=0,"",IF(('Dvd Calendar'!$K$1056&gt;=GRID_FROM)*('Dvd Calendar'!$K$1056&lt;=GRID_TO)*((('Dvd Calendar'!$K$1056&lt;=VAL_DATE)+(COUNTIF('Dvd Calendar'!$E$1063:$AR$1063,'Dvd Calendar'!$K$1056)=0))&gt;0)=0,"",'Dvd Calendar'!$K$1056*1000000000+ISNUMBER('Dvd Calendar'!$K$1059)*100000000+('Dvd Calendar'!$K$1061=SPECIAL_LBL)*10000000+(N('Dvd Calendar'!$K$1055)&gt;0)*(N('Dvd Calendar'!$K$1055)&lt;=VAL_SERIAL)*1000000+96*1000+7))</f>
        <v/>
      </c>
      <c r="EL107" s="39">
        <f>IF(N('Dvd Calendar'!$L$1056)=0,"",IF(('Dvd Calendar'!$L$1056&gt;=GRID_FROM)*('Dvd Calendar'!$L$1056&lt;=GRID_TO)*((('Dvd Calendar'!$L$1056&lt;=VAL_DATE)+(COUNTIF('Dvd Calendar'!$E$1063:$AR$1063,'Dvd Calendar'!$L$1056)=0))&gt;0)=0,"",'Dvd Calendar'!$L$1056*1000000000+ISNUMBER('Dvd Calendar'!$L$1059)*100000000+('Dvd Calendar'!$L$1061=SPECIAL_LBL)*10000000+(N('Dvd Calendar'!$L$1055)&gt;0)*(N('Dvd Calendar'!$L$1055)&lt;=VAL_SERIAL)*1000000+96*1000+8))</f>
        <v/>
      </c>
      <c r="EM107" s="39">
        <f>IF(N('Dvd Calendar'!$M$1056)=0,"",IF(('Dvd Calendar'!$M$1056&gt;=GRID_FROM)*('Dvd Calendar'!$M$1056&lt;=GRID_TO)*((('Dvd Calendar'!$M$1056&lt;=VAL_DATE)+(COUNTIF('Dvd Calendar'!$E$1063:$AR$1063,'Dvd Calendar'!$M$1056)=0))&gt;0)=0,"",'Dvd Calendar'!$M$1056*1000000000+ISNUMBER('Dvd Calendar'!$M$1059)*100000000+('Dvd Calendar'!$M$1061=SPECIAL_LBL)*10000000+(N('Dvd Calendar'!$M$1055)&gt;0)*(N('Dvd Calendar'!$M$1055)&lt;=VAL_SERIAL)*1000000+96*1000+9))</f>
        <v/>
      </c>
      <c r="EN107" s="39">
        <f>IF(N('Dvd Calendar'!$N$1056)=0,"",IF(('Dvd Calendar'!$N$1056&gt;=GRID_FROM)*('Dvd Calendar'!$N$1056&lt;=GRID_TO)*((('Dvd Calendar'!$N$1056&lt;=VAL_DATE)+(COUNTIF('Dvd Calendar'!$E$1063:$AR$1063,'Dvd Calendar'!$N$1056)=0))&gt;0)=0,"",'Dvd Calendar'!$N$1056*1000000000+ISNUMBER('Dvd Calendar'!$N$1059)*100000000+('Dvd Calendar'!$N$1061=SPECIAL_LBL)*10000000+(N('Dvd Calendar'!$N$1055)&gt;0)*(N('Dvd Calendar'!$N$1055)&lt;=VAL_SERIAL)*1000000+96*1000+10))</f>
        <v/>
      </c>
      <c r="EO107" s="39">
        <f>IF(N('Dvd Calendar'!$O$1056)=0,"",IF(('Dvd Calendar'!$O$1056&gt;=GRID_FROM)*('Dvd Calendar'!$O$1056&lt;=GRID_TO)*((('Dvd Calendar'!$O$1056&lt;=VAL_DATE)+(COUNTIF('Dvd Calendar'!$E$1063:$AR$1063,'Dvd Calendar'!$O$1056)=0))&gt;0)=0,"",'Dvd Calendar'!$O$1056*1000000000+ISNUMBER('Dvd Calendar'!$O$1059)*100000000+('Dvd Calendar'!$O$1061=SPECIAL_LBL)*10000000+(N('Dvd Calendar'!$O$1055)&gt;0)*(N('Dvd Calendar'!$O$1055)&lt;=VAL_SERIAL)*1000000+96*1000+11))</f>
        <v/>
      </c>
      <c r="EP107" s="39">
        <f>IF(N('Dvd Calendar'!$P$1056)=0,"",IF(('Dvd Calendar'!$P$1056&gt;=GRID_FROM)*('Dvd Calendar'!$P$1056&lt;=GRID_TO)*((('Dvd Calendar'!$P$1056&lt;=VAL_DATE)+(COUNTIF('Dvd Calendar'!$E$1063:$AR$1063,'Dvd Calendar'!$P$1056)=0))&gt;0)=0,"",'Dvd Calendar'!$P$1056*1000000000+ISNUMBER('Dvd Calendar'!$P$1059)*100000000+('Dvd Calendar'!$P$1061=SPECIAL_LBL)*10000000+(N('Dvd Calendar'!$P$1055)&gt;0)*(N('Dvd Calendar'!$P$1055)&lt;=VAL_SERIAL)*1000000+96*1000+12))</f>
        <v/>
      </c>
      <c r="EQ107" s="39">
        <f>IF(N('Dvd Calendar'!$Q$1056)=0,"",IF(('Dvd Calendar'!$Q$1056&gt;=GRID_FROM)*('Dvd Calendar'!$Q$1056&lt;=GRID_TO)*((('Dvd Calendar'!$Q$1056&lt;=VAL_DATE)+(COUNTIF('Dvd Calendar'!$E$1063:$AR$1063,'Dvd Calendar'!$Q$1056)=0))&gt;0)=0,"",'Dvd Calendar'!$Q$1056*1000000000+ISNUMBER('Dvd Calendar'!$Q$1059)*100000000+('Dvd Calendar'!$Q$1061=SPECIAL_LBL)*10000000+(N('Dvd Calendar'!$Q$1055)&gt;0)*(N('Dvd Calendar'!$Q$1055)&lt;=VAL_SERIAL)*1000000+96*1000+13))</f>
        <v/>
      </c>
      <c r="ER107" s="39">
        <f>IF(N('Dvd Calendar'!$R$1056)=0,"",IF(('Dvd Calendar'!$R$1056&gt;=GRID_FROM)*('Dvd Calendar'!$R$1056&lt;=GRID_TO)*((('Dvd Calendar'!$R$1056&lt;=VAL_DATE)+(COUNTIF('Dvd Calendar'!$E$1063:$AR$1063,'Dvd Calendar'!$R$1056)=0))&gt;0)=0,"",'Dvd Calendar'!$R$1056*1000000000+ISNUMBER('Dvd Calendar'!$R$1059)*100000000+('Dvd Calendar'!$R$1061=SPECIAL_LBL)*10000000+(N('Dvd Calendar'!$R$1055)&gt;0)*(N('Dvd Calendar'!$R$1055)&lt;=VAL_SERIAL)*1000000+96*1000+14))</f>
        <v/>
      </c>
      <c r="ES107" s="39">
        <f>IF(N('Dvd Calendar'!$S$1056)=0,"",IF(('Dvd Calendar'!$S$1056&gt;=GRID_FROM)*('Dvd Calendar'!$S$1056&lt;=GRID_TO)*((('Dvd Calendar'!$S$1056&lt;=VAL_DATE)+(COUNTIF('Dvd Calendar'!$E$1063:$AR$1063,'Dvd Calendar'!$S$1056)=0))&gt;0)=0,"",'Dvd Calendar'!$S$1056*1000000000+ISNUMBER('Dvd Calendar'!$S$1059)*100000000+('Dvd Calendar'!$S$1061=SPECIAL_LBL)*10000000+(N('Dvd Calendar'!$S$1055)&gt;0)*(N('Dvd Calendar'!$S$1055)&lt;=VAL_SERIAL)*1000000+96*1000+15))</f>
        <v/>
      </c>
      <c r="ET107" s="39">
        <f>IF(N('Dvd Calendar'!$T$1056)=0,"",IF(('Dvd Calendar'!$T$1056&gt;=GRID_FROM)*('Dvd Calendar'!$T$1056&lt;=GRID_TO)*((('Dvd Calendar'!$T$1056&lt;=VAL_DATE)+(COUNTIF('Dvd Calendar'!$E$1063:$AR$1063,'Dvd Calendar'!$T$1056)=0))&gt;0)=0,"",'Dvd Calendar'!$T$1056*1000000000+ISNUMBER('Dvd Calendar'!$T$1059)*100000000+('Dvd Calendar'!$T$1061=SPECIAL_LBL)*10000000+(N('Dvd Calendar'!$T$1055)&gt;0)*(N('Dvd Calendar'!$T$1055)&lt;=VAL_SERIAL)*1000000+96*1000+16))</f>
        <v/>
      </c>
      <c r="EU107" s="39">
        <f>IF(N('Dvd Calendar'!$U$1056)=0,"",IF(('Dvd Calendar'!$U$1056&gt;=GRID_FROM)*('Dvd Calendar'!$U$1056&lt;=GRID_TO)*((('Dvd Calendar'!$U$1056&lt;=VAL_DATE)+(COUNTIF('Dvd Calendar'!$E$1063:$AR$1063,'Dvd Calendar'!$U$1056)=0))&gt;0)=0,"",'Dvd Calendar'!$U$1056*1000000000+ISNUMBER('Dvd Calendar'!$U$1059)*100000000+('Dvd Calendar'!$U$1061=SPECIAL_LBL)*10000000+(N('Dvd Calendar'!$U$1055)&gt;0)*(N('Dvd Calendar'!$U$1055)&lt;=VAL_SERIAL)*1000000+96*1000+17))</f>
        <v/>
      </c>
      <c r="EV107" s="39">
        <f>IF(N('Dvd Calendar'!$V$1056)=0,"",IF(('Dvd Calendar'!$V$1056&gt;=GRID_FROM)*('Dvd Calendar'!$V$1056&lt;=GRID_TO)*((('Dvd Calendar'!$V$1056&lt;=VAL_DATE)+(COUNTIF('Dvd Calendar'!$E$1063:$AR$1063,'Dvd Calendar'!$V$1056)=0))&gt;0)=0,"",'Dvd Calendar'!$V$1056*1000000000+ISNUMBER('Dvd Calendar'!$V$1059)*100000000+('Dvd Calendar'!$V$1061=SPECIAL_LBL)*10000000+(N('Dvd Calendar'!$V$1055)&gt;0)*(N('Dvd Calendar'!$V$1055)&lt;=VAL_SERIAL)*1000000+96*1000+18))</f>
        <v/>
      </c>
      <c r="EW107" s="39">
        <f>IF(N('Dvd Calendar'!$W$1056)=0,"",IF(('Dvd Calendar'!$W$1056&gt;=GRID_FROM)*('Dvd Calendar'!$W$1056&lt;=GRID_TO)*((('Dvd Calendar'!$W$1056&lt;=VAL_DATE)+(COUNTIF('Dvd Calendar'!$E$1063:$AR$1063,'Dvd Calendar'!$W$1056)=0))&gt;0)=0,"",'Dvd Calendar'!$W$1056*1000000000+ISNUMBER('Dvd Calendar'!$W$1059)*100000000+('Dvd Calendar'!$W$1061=SPECIAL_LBL)*10000000+(N('Dvd Calendar'!$W$1055)&gt;0)*(N('Dvd Calendar'!$W$1055)&lt;=VAL_SERIAL)*1000000+96*1000+19))</f>
        <v/>
      </c>
      <c r="EX107" s="39">
        <f>IF(N('Dvd Calendar'!$X$1056)=0,"",IF(('Dvd Calendar'!$X$1056&gt;=GRID_FROM)*('Dvd Calendar'!$X$1056&lt;=GRID_TO)*((('Dvd Calendar'!$X$1056&lt;=VAL_DATE)+(COUNTIF('Dvd Calendar'!$E$1063:$AR$1063,'Dvd Calendar'!$X$1056)=0))&gt;0)=0,"",'Dvd Calendar'!$X$1056*1000000000+ISNUMBER('Dvd Calendar'!$X$1059)*100000000+('Dvd Calendar'!$X$1061=SPECIAL_LBL)*10000000+(N('Dvd Calendar'!$X$1055)&gt;0)*(N('Dvd Calendar'!$X$1055)&lt;=VAL_SERIAL)*1000000+96*1000+20))</f>
        <v/>
      </c>
      <c r="EY107" s="39">
        <f>IF(N('Dvd Calendar'!$Y$1056)=0,"",IF(('Dvd Calendar'!$Y$1056&gt;=GRID_FROM)*('Dvd Calendar'!$Y$1056&lt;=GRID_TO)*((('Dvd Calendar'!$Y$1056&lt;=VAL_DATE)+(COUNTIF('Dvd Calendar'!$E$1063:$AR$1063,'Dvd Calendar'!$Y$1056)=0))&gt;0)=0,"",'Dvd Calendar'!$Y$1056*1000000000+ISNUMBER('Dvd Calendar'!$Y$1059)*100000000+('Dvd Calendar'!$Y$1061=SPECIAL_LBL)*10000000+(N('Dvd Calendar'!$Y$1055)&gt;0)*(N('Dvd Calendar'!$Y$1055)&lt;=VAL_SERIAL)*1000000+96*1000+21))</f>
        <v/>
      </c>
      <c r="EZ107" s="39">
        <f>IF(N('Dvd Calendar'!$Z$1056)=0,"",IF(('Dvd Calendar'!$Z$1056&gt;=GRID_FROM)*('Dvd Calendar'!$Z$1056&lt;=GRID_TO)*((('Dvd Calendar'!$Z$1056&lt;=VAL_DATE)+(COUNTIF('Dvd Calendar'!$E$1063:$AR$1063,'Dvd Calendar'!$Z$1056)=0))&gt;0)=0,"",'Dvd Calendar'!$Z$1056*1000000000+ISNUMBER('Dvd Calendar'!$Z$1059)*100000000+('Dvd Calendar'!$Z$1061=SPECIAL_LBL)*10000000+(N('Dvd Calendar'!$Z$1055)&gt;0)*(N('Dvd Calendar'!$Z$1055)&lt;=VAL_SERIAL)*1000000+96*1000+22))</f>
        <v/>
      </c>
      <c r="FA107" s="39">
        <f>IF(N('Dvd Calendar'!$AA$1056)=0,"",IF(('Dvd Calendar'!$AA$1056&gt;=GRID_FROM)*('Dvd Calendar'!$AA$1056&lt;=GRID_TO)*((('Dvd Calendar'!$AA$1056&lt;=VAL_DATE)+(COUNTIF('Dvd Calendar'!$E$1063:$AR$1063,'Dvd Calendar'!$AA$1056)=0))&gt;0)=0,"",'Dvd Calendar'!$AA$1056*1000000000+ISNUMBER('Dvd Calendar'!$AA$1059)*100000000+('Dvd Calendar'!$AA$1061=SPECIAL_LBL)*10000000+(N('Dvd Calendar'!$AA$1055)&gt;0)*(N('Dvd Calendar'!$AA$1055)&lt;=VAL_SERIAL)*1000000+96*1000+23))</f>
        <v/>
      </c>
      <c r="FB107" s="39">
        <f>IF(N('Dvd Calendar'!$AB$1056)=0,"",IF(('Dvd Calendar'!$AB$1056&gt;=GRID_FROM)*('Dvd Calendar'!$AB$1056&lt;=GRID_TO)*((('Dvd Calendar'!$AB$1056&lt;=VAL_DATE)+(COUNTIF('Dvd Calendar'!$E$1063:$AR$1063,'Dvd Calendar'!$AB$1056)=0))&gt;0)=0,"",'Dvd Calendar'!$AB$1056*1000000000+ISNUMBER('Dvd Calendar'!$AB$1059)*100000000+('Dvd Calendar'!$AB$1061=SPECIAL_LBL)*10000000+(N('Dvd Calendar'!$AB$1055)&gt;0)*(N('Dvd Calendar'!$AB$1055)&lt;=VAL_SERIAL)*1000000+96*1000+24))</f>
        <v/>
      </c>
      <c r="FC107" s="39">
        <f>IF(N('Dvd Calendar'!$AC$1056)=0,"",IF(('Dvd Calendar'!$AC$1056&gt;=GRID_FROM)*('Dvd Calendar'!$AC$1056&lt;=GRID_TO)*((('Dvd Calendar'!$AC$1056&lt;=VAL_DATE)+(COUNTIF('Dvd Calendar'!$E$1063:$AR$1063,'Dvd Calendar'!$AC$1056)=0))&gt;0)=0,"",'Dvd Calendar'!$AC$1056*1000000000+ISNUMBER('Dvd Calendar'!$AC$1059)*100000000+('Dvd Calendar'!$AC$1061=SPECIAL_LBL)*10000000+(N('Dvd Calendar'!$AC$1055)&gt;0)*(N('Dvd Calendar'!$AC$1055)&lt;=VAL_SERIAL)*1000000+96*1000+25))</f>
        <v/>
      </c>
      <c r="FD107" s="39">
        <f>IF(N('Dvd Calendar'!$AD$1056)=0,"",IF(('Dvd Calendar'!$AD$1056&gt;=GRID_FROM)*('Dvd Calendar'!$AD$1056&lt;=GRID_TO)*((('Dvd Calendar'!$AD$1056&lt;=VAL_DATE)+(COUNTIF('Dvd Calendar'!$E$1063:$AR$1063,'Dvd Calendar'!$AD$1056)=0))&gt;0)=0,"",'Dvd Calendar'!$AD$1056*1000000000+ISNUMBER('Dvd Calendar'!$AD$1059)*100000000+('Dvd Calendar'!$AD$1061=SPECIAL_LBL)*10000000+(N('Dvd Calendar'!$AD$1055)&gt;0)*(N('Dvd Calendar'!$AD$1055)&lt;=VAL_SERIAL)*1000000+96*1000+26))</f>
        <v/>
      </c>
      <c r="FE107" s="39">
        <f>IF(N('Dvd Calendar'!$AE$1056)=0,"",IF(('Dvd Calendar'!$AE$1056&gt;=GRID_FROM)*('Dvd Calendar'!$AE$1056&lt;=GRID_TO)*((('Dvd Calendar'!$AE$1056&lt;=VAL_DATE)+(COUNTIF('Dvd Calendar'!$E$1063:$AR$1063,'Dvd Calendar'!$AE$1056)=0))&gt;0)=0,"",'Dvd Calendar'!$AE$1056*1000000000+ISNUMBER('Dvd Calendar'!$AE$1059)*100000000+('Dvd Calendar'!$AE$1061=SPECIAL_LBL)*10000000+(N('Dvd Calendar'!$AE$1055)&gt;0)*(N('Dvd Calendar'!$AE$1055)&lt;=VAL_SERIAL)*1000000+96*1000+27))</f>
        <v/>
      </c>
      <c r="FF107" s="39">
        <f>IF(N('Dvd Calendar'!$AF$1056)=0,"",IF(('Dvd Calendar'!$AF$1056&gt;=GRID_FROM)*('Dvd Calendar'!$AF$1056&lt;=GRID_TO)*((('Dvd Calendar'!$AF$1056&lt;=VAL_DATE)+(COUNTIF('Dvd Calendar'!$E$1063:$AR$1063,'Dvd Calendar'!$AF$1056)=0))&gt;0)=0,"",'Dvd Calendar'!$AF$1056*1000000000+ISNUMBER('Dvd Calendar'!$AF$1059)*100000000+('Dvd Calendar'!$AF$1061=SPECIAL_LBL)*10000000+(N('Dvd Calendar'!$AF$1055)&gt;0)*(N('Dvd Calendar'!$AF$1055)&lt;=VAL_SERIAL)*1000000+96*1000+28))</f>
        <v/>
      </c>
      <c r="FG107" s="39">
        <f>IF(N('Dvd Calendar'!$AG$1056)=0,"",IF(('Dvd Calendar'!$AG$1056&gt;=GRID_FROM)*('Dvd Calendar'!$AG$1056&lt;=GRID_TO)*((('Dvd Calendar'!$AG$1056&lt;=VAL_DATE)+(COUNTIF('Dvd Calendar'!$E$1063:$AR$1063,'Dvd Calendar'!$AG$1056)=0))&gt;0)=0,"",'Dvd Calendar'!$AG$1056*1000000000+ISNUMBER('Dvd Calendar'!$AG$1059)*100000000+('Dvd Calendar'!$AG$1061=SPECIAL_LBL)*10000000+(N('Dvd Calendar'!$AG$1055)&gt;0)*(N('Dvd Calendar'!$AG$1055)&lt;=VAL_SERIAL)*1000000+96*1000+29))</f>
        <v/>
      </c>
      <c r="FH107" s="39">
        <f>IF(N('Dvd Calendar'!$AH$1056)=0,"",IF(('Dvd Calendar'!$AH$1056&gt;=GRID_FROM)*('Dvd Calendar'!$AH$1056&lt;=GRID_TO)*((('Dvd Calendar'!$AH$1056&lt;=VAL_DATE)+(COUNTIF('Dvd Calendar'!$E$1063:$AR$1063,'Dvd Calendar'!$AH$1056)=0))&gt;0)=0,"",'Dvd Calendar'!$AH$1056*1000000000+ISNUMBER('Dvd Calendar'!$AH$1059)*100000000+('Dvd Calendar'!$AH$1061=SPECIAL_LBL)*10000000+(N('Dvd Calendar'!$AH$1055)&gt;0)*(N('Dvd Calendar'!$AH$1055)&lt;=VAL_SERIAL)*1000000+96*1000+30))</f>
        <v/>
      </c>
      <c r="FI107" s="39">
        <f>IF(N('Dvd Calendar'!$AI$1056)=0,"",IF(('Dvd Calendar'!$AI$1056&gt;=GRID_FROM)*('Dvd Calendar'!$AI$1056&lt;=GRID_TO)*((('Dvd Calendar'!$AI$1056&lt;=VAL_DATE)+(COUNTIF('Dvd Calendar'!$E$1063:$AR$1063,'Dvd Calendar'!$AI$1056)=0))&gt;0)=0,"",'Dvd Calendar'!$AI$1056*1000000000+ISNUMBER('Dvd Calendar'!$AI$1059)*100000000+('Dvd Calendar'!$AI$1061=SPECIAL_LBL)*10000000+(N('Dvd Calendar'!$AI$1055)&gt;0)*(N('Dvd Calendar'!$AI$1055)&lt;=VAL_SERIAL)*1000000+96*1000+31))</f>
        <v/>
      </c>
      <c r="FJ107" s="39">
        <f>IF(N('Dvd Calendar'!$AJ$1056)=0,"",IF(('Dvd Calendar'!$AJ$1056&gt;=GRID_FROM)*('Dvd Calendar'!$AJ$1056&lt;=GRID_TO)*((('Dvd Calendar'!$AJ$1056&lt;=VAL_DATE)+(COUNTIF('Dvd Calendar'!$E$1063:$AR$1063,'Dvd Calendar'!$AJ$1056)=0))&gt;0)=0,"",'Dvd Calendar'!$AJ$1056*1000000000+ISNUMBER('Dvd Calendar'!$AJ$1059)*100000000+('Dvd Calendar'!$AJ$1061=SPECIAL_LBL)*10000000+(N('Dvd Calendar'!$AJ$1055)&gt;0)*(N('Dvd Calendar'!$AJ$1055)&lt;=VAL_SERIAL)*1000000+96*1000+32))</f>
        <v/>
      </c>
      <c r="FK107" s="39">
        <f>IF(N('Dvd Calendar'!$AK$1056)=0,"",IF(('Dvd Calendar'!$AK$1056&gt;=GRID_FROM)*('Dvd Calendar'!$AK$1056&lt;=GRID_TO)*((('Dvd Calendar'!$AK$1056&lt;=VAL_DATE)+(COUNTIF('Dvd Calendar'!$E$1063:$AR$1063,'Dvd Calendar'!$AK$1056)=0))&gt;0)=0,"",'Dvd Calendar'!$AK$1056*1000000000+ISNUMBER('Dvd Calendar'!$AK$1059)*100000000+('Dvd Calendar'!$AK$1061=SPECIAL_LBL)*10000000+(N('Dvd Calendar'!$AK$1055)&gt;0)*(N('Dvd Calendar'!$AK$1055)&lt;=VAL_SERIAL)*1000000+96*1000+33))</f>
        <v/>
      </c>
      <c r="FL107" s="39">
        <f>IF(N('Dvd Calendar'!$AL$1056)=0,"",IF(('Dvd Calendar'!$AL$1056&gt;=GRID_FROM)*('Dvd Calendar'!$AL$1056&lt;=GRID_TO)*((('Dvd Calendar'!$AL$1056&lt;=VAL_DATE)+(COUNTIF('Dvd Calendar'!$E$1063:$AR$1063,'Dvd Calendar'!$AL$1056)=0))&gt;0)=0,"",'Dvd Calendar'!$AL$1056*1000000000+ISNUMBER('Dvd Calendar'!$AL$1059)*100000000+('Dvd Calendar'!$AL$1061=SPECIAL_LBL)*10000000+(N('Dvd Calendar'!$AL$1055)&gt;0)*(N('Dvd Calendar'!$AL$1055)&lt;=VAL_SERIAL)*1000000+96*1000+34))</f>
        <v/>
      </c>
      <c r="FM107" s="39">
        <f>IF(N('Dvd Calendar'!$AM$1056)=0,"",IF(('Dvd Calendar'!$AM$1056&gt;=GRID_FROM)*('Dvd Calendar'!$AM$1056&lt;=GRID_TO)*((('Dvd Calendar'!$AM$1056&lt;=VAL_DATE)+(COUNTIF('Dvd Calendar'!$E$1063:$AR$1063,'Dvd Calendar'!$AM$1056)=0))&gt;0)=0,"",'Dvd Calendar'!$AM$1056*1000000000+ISNUMBER('Dvd Calendar'!$AM$1059)*100000000+('Dvd Calendar'!$AM$1061=SPECIAL_LBL)*10000000+(N('Dvd Calendar'!$AM$1055)&gt;0)*(N('Dvd Calendar'!$AM$1055)&lt;=VAL_SERIAL)*1000000+96*1000+35))</f>
        <v/>
      </c>
      <c r="FN107" s="39">
        <f>IF(N('Dvd Calendar'!$AN$1056)=0,"",IF(('Dvd Calendar'!$AN$1056&gt;=GRID_FROM)*('Dvd Calendar'!$AN$1056&lt;=GRID_TO)*((('Dvd Calendar'!$AN$1056&lt;=VAL_DATE)+(COUNTIF('Dvd Calendar'!$E$1063:$AR$1063,'Dvd Calendar'!$AN$1056)=0))&gt;0)=0,"",'Dvd Calendar'!$AN$1056*1000000000+ISNUMBER('Dvd Calendar'!$AN$1059)*100000000+('Dvd Calendar'!$AN$1061=SPECIAL_LBL)*10000000+(N('Dvd Calendar'!$AN$1055)&gt;0)*(N('Dvd Calendar'!$AN$1055)&lt;=VAL_SERIAL)*1000000+96*1000+36))</f>
        <v/>
      </c>
      <c r="FO107" s="39">
        <f>IF(N('Dvd Calendar'!$AO$1056)=0,"",IF(('Dvd Calendar'!$AO$1056&gt;=GRID_FROM)*('Dvd Calendar'!$AO$1056&lt;=GRID_TO)*((('Dvd Calendar'!$AO$1056&lt;=VAL_DATE)+(COUNTIF('Dvd Calendar'!$E$1063:$AR$1063,'Dvd Calendar'!$AO$1056)=0))&gt;0)=0,"",'Dvd Calendar'!$AO$1056*1000000000+ISNUMBER('Dvd Calendar'!$AO$1059)*100000000+('Dvd Calendar'!$AO$1061=SPECIAL_LBL)*10000000+(N('Dvd Calendar'!$AO$1055)&gt;0)*(N('Dvd Calendar'!$AO$1055)&lt;=VAL_SERIAL)*1000000+96*1000+37))</f>
        <v/>
      </c>
      <c r="FP107" s="39">
        <f>IF(N('Dvd Calendar'!$AP$1056)=0,"",IF(('Dvd Calendar'!$AP$1056&gt;=GRID_FROM)*('Dvd Calendar'!$AP$1056&lt;=GRID_TO)*((('Dvd Calendar'!$AP$1056&lt;=VAL_DATE)+(COUNTIF('Dvd Calendar'!$E$1063:$AR$1063,'Dvd Calendar'!$AP$1056)=0))&gt;0)=0,"",'Dvd Calendar'!$AP$1056*1000000000+ISNUMBER('Dvd Calendar'!$AP$1059)*100000000+('Dvd Calendar'!$AP$1061=SPECIAL_LBL)*10000000+(N('Dvd Calendar'!$AP$1055)&gt;0)*(N('Dvd Calendar'!$AP$1055)&lt;=VAL_SERIAL)*1000000+96*1000+38))</f>
        <v/>
      </c>
      <c r="FQ107" s="39">
        <f>IF(N('Dvd Calendar'!$AQ$1056)=0,"",IF(('Dvd Calendar'!$AQ$1056&gt;=GRID_FROM)*('Dvd Calendar'!$AQ$1056&lt;=GRID_TO)*((('Dvd Calendar'!$AQ$1056&lt;=VAL_DATE)+(COUNTIF('Dvd Calendar'!$E$1063:$AR$1063,'Dvd Calendar'!$AQ$1056)=0))&gt;0)=0,"",'Dvd Calendar'!$AQ$1056*1000000000+ISNUMBER('Dvd Calendar'!$AQ$1059)*100000000+('Dvd Calendar'!$AQ$1061=SPECIAL_LBL)*10000000+(N('Dvd Calendar'!$AQ$1055)&gt;0)*(N('Dvd Calendar'!$AQ$1055)&lt;=VAL_SERIAL)*1000000+96*1000+39))</f>
        <v/>
      </c>
      <c r="FR107" s="39">
        <f>IF(N('Dvd Calendar'!$AR$1056)=0,"",IF(('Dvd Calendar'!$AR$1056&gt;=GRID_FROM)*('Dvd Calendar'!$AR$1056&lt;=GRID_TO)*((('Dvd Calendar'!$AR$1056&lt;=VAL_DATE)+(COUNTIF('Dvd Calendar'!$E$1063:$AR$1063,'Dvd Calendar'!$AR$1056)=0))&gt;0)=0,"",'Dvd Calendar'!$AR$1056*1000000000+ISNUMBER('Dvd Calendar'!$AR$1059)*100000000+('Dvd Calendar'!$AR$1061=SPECIAL_LBL)*10000000+(N('Dvd Calendar'!$AR$1055)&gt;0)*(N('Dvd Calendar'!$AR$1055)&lt;=VAL_SERIAL)*1000000+96*1000+40))</f>
        <v/>
      </c>
      <c r="FS107" s="39">
        <f>IF(N('Dvd Calendar'!$E$1063)=0,"",IF(('Dvd Calendar'!$E$1063&gt;=GRID_FROM)*('Dvd Calendar'!$E$1063&lt;=GRID_TO)*('Dvd Calendar'!$E$1063&gt;VAL_DATE)=0,"",'Dvd Calendar'!$E$1063*1000000000+ISNUMBER('Dvd Calendar'!$E$1064)*100000000+0*10000000+(N('Dvd Calendar'!$E$1062)&gt;0)*(N('Dvd Calendar'!$E$1062)&lt;=VAL_SERIAL)*1000000+96*1000+41))</f>
        <v/>
      </c>
      <c r="FT107" s="39">
        <f>IF(N('Dvd Calendar'!$F$1063)=0,"",IF(('Dvd Calendar'!$F$1063&gt;=GRID_FROM)*('Dvd Calendar'!$F$1063&lt;=GRID_TO)*('Dvd Calendar'!$F$1063&gt;VAL_DATE)=0,"",'Dvd Calendar'!$F$1063*1000000000+ISNUMBER('Dvd Calendar'!$F$1064)*100000000+0*10000000+(N('Dvd Calendar'!$F$1062)&gt;0)*(N('Dvd Calendar'!$F$1062)&lt;=VAL_SERIAL)*1000000+96*1000+42))</f>
        <v/>
      </c>
      <c r="FU107" s="39">
        <f>IF(N('Dvd Calendar'!$G$1063)=0,"",IF(('Dvd Calendar'!$G$1063&gt;=GRID_FROM)*('Dvd Calendar'!$G$1063&lt;=GRID_TO)*('Dvd Calendar'!$G$1063&gt;VAL_DATE)=0,"",'Dvd Calendar'!$G$1063*1000000000+ISNUMBER('Dvd Calendar'!$G$1064)*100000000+0*10000000+(N('Dvd Calendar'!$G$1062)&gt;0)*(N('Dvd Calendar'!$G$1062)&lt;=VAL_SERIAL)*1000000+96*1000+43))</f>
        <v/>
      </c>
      <c r="FV107" s="39">
        <f>IF(N('Dvd Calendar'!$H$1063)=0,"",IF(('Dvd Calendar'!$H$1063&gt;=GRID_FROM)*('Dvd Calendar'!$H$1063&lt;=GRID_TO)*('Dvd Calendar'!$H$1063&gt;VAL_DATE)=0,"",'Dvd Calendar'!$H$1063*1000000000+ISNUMBER('Dvd Calendar'!$H$1064)*100000000+0*10000000+(N('Dvd Calendar'!$H$1062)&gt;0)*(N('Dvd Calendar'!$H$1062)&lt;=VAL_SERIAL)*1000000+96*1000+44))</f>
        <v/>
      </c>
      <c r="FW107" s="39">
        <f>IF(N('Dvd Calendar'!$I$1063)=0,"",IF(('Dvd Calendar'!$I$1063&gt;=GRID_FROM)*('Dvd Calendar'!$I$1063&lt;=GRID_TO)*('Dvd Calendar'!$I$1063&gt;VAL_DATE)=0,"",'Dvd Calendar'!$I$1063*1000000000+ISNUMBER('Dvd Calendar'!$I$1064)*100000000+0*10000000+(N('Dvd Calendar'!$I$1062)&gt;0)*(N('Dvd Calendar'!$I$1062)&lt;=VAL_SERIAL)*1000000+96*1000+45))</f>
        <v/>
      </c>
      <c r="FX107" s="39">
        <f>IF(N('Dvd Calendar'!$J$1063)=0,"",IF(('Dvd Calendar'!$J$1063&gt;=GRID_FROM)*('Dvd Calendar'!$J$1063&lt;=GRID_TO)*('Dvd Calendar'!$J$1063&gt;VAL_DATE)=0,"",'Dvd Calendar'!$J$1063*1000000000+ISNUMBER('Dvd Calendar'!$J$1064)*100000000+0*10000000+(N('Dvd Calendar'!$J$1062)&gt;0)*(N('Dvd Calendar'!$J$1062)&lt;=VAL_SERIAL)*1000000+96*1000+46))</f>
        <v/>
      </c>
      <c r="FY107" s="39">
        <f>IF(N('Dvd Calendar'!$K$1063)=0,"",IF(('Dvd Calendar'!$K$1063&gt;=GRID_FROM)*('Dvd Calendar'!$K$1063&lt;=GRID_TO)*('Dvd Calendar'!$K$1063&gt;VAL_DATE)=0,"",'Dvd Calendar'!$K$1063*1000000000+ISNUMBER('Dvd Calendar'!$K$1064)*100000000+0*10000000+(N('Dvd Calendar'!$K$1062)&gt;0)*(N('Dvd Calendar'!$K$1062)&lt;=VAL_SERIAL)*1000000+96*1000+47))</f>
        <v/>
      </c>
      <c r="FZ107" s="39">
        <f>IF(N('Dvd Calendar'!$L$1063)=0,"",IF(('Dvd Calendar'!$L$1063&gt;=GRID_FROM)*('Dvd Calendar'!$L$1063&lt;=GRID_TO)*('Dvd Calendar'!$L$1063&gt;VAL_DATE)=0,"",'Dvd Calendar'!$L$1063*1000000000+ISNUMBER('Dvd Calendar'!$L$1064)*100000000+0*10000000+(N('Dvd Calendar'!$L$1062)&gt;0)*(N('Dvd Calendar'!$L$1062)&lt;=VAL_SERIAL)*1000000+96*1000+48))</f>
        <v/>
      </c>
      <c r="GA107" s="39">
        <f>IF(N('Dvd Calendar'!$M$1063)=0,"",IF(('Dvd Calendar'!$M$1063&gt;=GRID_FROM)*('Dvd Calendar'!$M$1063&lt;=GRID_TO)*('Dvd Calendar'!$M$1063&gt;VAL_DATE)=0,"",'Dvd Calendar'!$M$1063*1000000000+ISNUMBER('Dvd Calendar'!$M$1064)*100000000+0*10000000+(N('Dvd Calendar'!$M$1062)&gt;0)*(N('Dvd Calendar'!$M$1062)&lt;=VAL_SERIAL)*1000000+96*1000+49))</f>
        <v/>
      </c>
      <c r="GB107" s="39">
        <f>IF(N('Dvd Calendar'!$N$1063)=0,"",IF(('Dvd Calendar'!$N$1063&gt;=GRID_FROM)*('Dvd Calendar'!$N$1063&lt;=GRID_TO)*('Dvd Calendar'!$N$1063&gt;VAL_DATE)=0,"",'Dvd Calendar'!$N$1063*1000000000+ISNUMBER('Dvd Calendar'!$N$1064)*100000000+0*10000000+(N('Dvd Calendar'!$N$1062)&gt;0)*(N('Dvd Calendar'!$N$1062)&lt;=VAL_SERIAL)*1000000+96*1000+50))</f>
        <v/>
      </c>
      <c r="GC107" s="39">
        <f>IF(N('Dvd Calendar'!$O$1063)=0,"",IF(('Dvd Calendar'!$O$1063&gt;=GRID_FROM)*('Dvd Calendar'!$O$1063&lt;=GRID_TO)*('Dvd Calendar'!$O$1063&gt;VAL_DATE)=0,"",'Dvd Calendar'!$O$1063*1000000000+ISNUMBER('Dvd Calendar'!$O$1064)*100000000+0*10000000+(N('Dvd Calendar'!$O$1062)&gt;0)*(N('Dvd Calendar'!$O$1062)&lt;=VAL_SERIAL)*1000000+96*1000+51))</f>
        <v/>
      </c>
      <c r="GD107" s="39">
        <f>IF(N('Dvd Calendar'!$P$1063)=0,"",IF(('Dvd Calendar'!$P$1063&gt;=GRID_FROM)*('Dvd Calendar'!$P$1063&lt;=GRID_TO)*('Dvd Calendar'!$P$1063&gt;VAL_DATE)=0,"",'Dvd Calendar'!$P$1063*1000000000+ISNUMBER('Dvd Calendar'!$P$1064)*100000000+0*10000000+(N('Dvd Calendar'!$P$1062)&gt;0)*(N('Dvd Calendar'!$P$1062)&lt;=VAL_SERIAL)*1000000+96*1000+52))</f>
        <v/>
      </c>
      <c r="GE107" s="39">
        <f>IF(N('Dvd Calendar'!$Q$1063)=0,"",IF(('Dvd Calendar'!$Q$1063&gt;=GRID_FROM)*('Dvd Calendar'!$Q$1063&lt;=GRID_TO)*('Dvd Calendar'!$Q$1063&gt;VAL_DATE)=0,"",'Dvd Calendar'!$Q$1063*1000000000+ISNUMBER('Dvd Calendar'!$Q$1064)*100000000+0*10000000+(N('Dvd Calendar'!$Q$1062)&gt;0)*(N('Dvd Calendar'!$Q$1062)&lt;=VAL_SERIAL)*1000000+96*1000+53))</f>
        <v/>
      </c>
      <c r="GF107" s="39">
        <f>IF(N('Dvd Calendar'!$R$1063)=0,"",IF(('Dvd Calendar'!$R$1063&gt;=GRID_FROM)*('Dvd Calendar'!$R$1063&lt;=GRID_TO)*('Dvd Calendar'!$R$1063&gt;VAL_DATE)=0,"",'Dvd Calendar'!$R$1063*1000000000+ISNUMBER('Dvd Calendar'!$R$1064)*100000000+0*10000000+(N('Dvd Calendar'!$R$1062)&gt;0)*(N('Dvd Calendar'!$R$1062)&lt;=VAL_SERIAL)*1000000+96*1000+54))</f>
        <v/>
      </c>
      <c r="GG107" s="39">
        <f>IF(N('Dvd Calendar'!$S$1063)=0,"",IF(('Dvd Calendar'!$S$1063&gt;=GRID_FROM)*('Dvd Calendar'!$S$1063&lt;=GRID_TO)*('Dvd Calendar'!$S$1063&gt;VAL_DATE)=0,"",'Dvd Calendar'!$S$1063*1000000000+ISNUMBER('Dvd Calendar'!$S$1064)*100000000+0*10000000+(N('Dvd Calendar'!$S$1062)&gt;0)*(N('Dvd Calendar'!$S$1062)&lt;=VAL_SERIAL)*1000000+96*1000+55))</f>
        <v/>
      </c>
      <c r="GH107" s="39">
        <f>IF(N('Dvd Calendar'!$T$1063)=0,"",IF(('Dvd Calendar'!$T$1063&gt;=GRID_FROM)*('Dvd Calendar'!$T$1063&lt;=GRID_TO)*('Dvd Calendar'!$T$1063&gt;VAL_DATE)=0,"",'Dvd Calendar'!$T$1063*1000000000+ISNUMBER('Dvd Calendar'!$T$1064)*100000000+0*10000000+(N('Dvd Calendar'!$T$1062)&gt;0)*(N('Dvd Calendar'!$T$1062)&lt;=VAL_SERIAL)*1000000+96*1000+56))</f>
        <v/>
      </c>
      <c r="GI107" s="39">
        <f>IF(N('Dvd Calendar'!$U$1063)=0,"",IF(('Dvd Calendar'!$U$1063&gt;=GRID_FROM)*('Dvd Calendar'!$U$1063&lt;=GRID_TO)*('Dvd Calendar'!$U$1063&gt;VAL_DATE)=0,"",'Dvd Calendar'!$U$1063*1000000000+ISNUMBER('Dvd Calendar'!$U$1064)*100000000+0*10000000+(N('Dvd Calendar'!$U$1062)&gt;0)*(N('Dvd Calendar'!$U$1062)&lt;=VAL_SERIAL)*1000000+96*1000+57))</f>
        <v/>
      </c>
      <c r="GJ107" s="39">
        <f>IF(N('Dvd Calendar'!$V$1063)=0,"",IF(('Dvd Calendar'!$V$1063&gt;=GRID_FROM)*('Dvd Calendar'!$V$1063&lt;=GRID_TO)*('Dvd Calendar'!$V$1063&gt;VAL_DATE)=0,"",'Dvd Calendar'!$V$1063*1000000000+ISNUMBER('Dvd Calendar'!$V$1064)*100000000+0*10000000+(N('Dvd Calendar'!$V$1062)&gt;0)*(N('Dvd Calendar'!$V$1062)&lt;=VAL_SERIAL)*1000000+96*1000+58))</f>
        <v/>
      </c>
      <c r="GK107" s="39">
        <f>IF(N('Dvd Calendar'!$W$1063)=0,"",IF(('Dvd Calendar'!$W$1063&gt;=GRID_FROM)*('Dvd Calendar'!$W$1063&lt;=GRID_TO)*('Dvd Calendar'!$W$1063&gt;VAL_DATE)=0,"",'Dvd Calendar'!$W$1063*1000000000+ISNUMBER('Dvd Calendar'!$W$1064)*100000000+0*10000000+(N('Dvd Calendar'!$W$1062)&gt;0)*(N('Dvd Calendar'!$W$1062)&lt;=VAL_SERIAL)*1000000+96*1000+59))</f>
        <v/>
      </c>
      <c r="GL107" s="39">
        <f>IF(N('Dvd Calendar'!$X$1063)=0,"",IF(('Dvd Calendar'!$X$1063&gt;=GRID_FROM)*('Dvd Calendar'!$X$1063&lt;=GRID_TO)*('Dvd Calendar'!$X$1063&gt;VAL_DATE)=0,"",'Dvd Calendar'!$X$1063*1000000000+ISNUMBER('Dvd Calendar'!$X$1064)*100000000+0*10000000+(N('Dvd Calendar'!$X$1062)&gt;0)*(N('Dvd Calendar'!$X$1062)&lt;=VAL_SERIAL)*1000000+96*1000+60))</f>
        <v/>
      </c>
      <c r="GM107" s="39">
        <f>IF(N('Dvd Calendar'!$Y$1063)=0,"",IF(('Dvd Calendar'!$Y$1063&gt;=GRID_FROM)*('Dvd Calendar'!$Y$1063&lt;=GRID_TO)*('Dvd Calendar'!$Y$1063&gt;VAL_DATE)=0,"",'Dvd Calendar'!$Y$1063*1000000000+ISNUMBER('Dvd Calendar'!$Y$1064)*100000000+0*10000000+(N('Dvd Calendar'!$Y$1062)&gt;0)*(N('Dvd Calendar'!$Y$1062)&lt;=VAL_SERIAL)*1000000+96*1000+61))</f>
        <v/>
      </c>
      <c r="GN107" s="39">
        <f>IF(N('Dvd Calendar'!$Z$1063)=0,"",IF(('Dvd Calendar'!$Z$1063&gt;=GRID_FROM)*('Dvd Calendar'!$Z$1063&lt;=GRID_TO)*('Dvd Calendar'!$Z$1063&gt;VAL_DATE)=0,"",'Dvd Calendar'!$Z$1063*1000000000+ISNUMBER('Dvd Calendar'!$Z$1064)*100000000+0*10000000+(N('Dvd Calendar'!$Z$1062)&gt;0)*(N('Dvd Calendar'!$Z$1062)&lt;=VAL_SERIAL)*1000000+96*1000+62))</f>
        <v/>
      </c>
      <c r="GO107" s="39">
        <f>IF(N('Dvd Calendar'!$AA$1063)=0,"",IF(('Dvd Calendar'!$AA$1063&gt;=GRID_FROM)*('Dvd Calendar'!$AA$1063&lt;=GRID_TO)*('Dvd Calendar'!$AA$1063&gt;VAL_DATE)=0,"",'Dvd Calendar'!$AA$1063*1000000000+ISNUMBER('Dvd Calendar'!$AA$1064)*100000000+0*10000000+(N('Dvd Calendar'!$AA$1062)&gt;0)*(N('Dvd Calendar'!$AA$1062)&lt;=VAL_SERIAL)*1000000+96*1000+63))</f>
        <v/>
      </c>
      <c r="GP107" s="39">
        <f>IF(N('Dvd Calendar'!$AB$1063)=0,"",IF(('Dvd Calendar'!$AB$1063&gt;=GRID_FROM)*('Dvd Calendar'!$AB$1063&lt;=GRID_TO)*('Dvd Calendar'!$AB$1063&gt;VAL_DATE)=0,"",'Dvd Calendar'!$AB$1063*1000000000+ISNUMBER('Dvd Calendar'!$AB$1064)*100000000+0*10000000+(N('Dvd Calendar'!$AB$1062)&gt;0)*(N('Dvd Calendar'!$AB$1062)&lt;=VAL_SERIAL)*1000000+96*1000+64))</f>
        <v/>
      </c>
      <c r="GQ107" s="39">
        <f>IF(N('Dvd Calendar'!$AC$1063)=0,"",IF(('Dvd Calendar'!$AC$1063&gt;=GRID_FROM)*('Dvd Calendar'!$AC$1063&lt;=GRID_TO)*('Dvd Calendar'!$AC$1063&gt;VAL_DATE)=0,"",'Dvd Calendar'!$AC$1063*1000000000+ISNUMBER('Dvd Calendar'!$AC$1064)*100000000+0*10000000+(N('Dvd Calendar'!$AC$1062)&gt;0)*(N('Dvd Calendar'!$AC$1062)&lt;=VAL_SERIAL)*1000000+96*1000+65))</f>
        <v/>
      </c>
    </row>
    <row r="108">
      <c r="B108" s="2">
        <f>IF(HSI!$C$103="","",HSI!$C$103)</f>
        <v/>
      </c>
      <c r="C108" s="110">
        <f>IF(EE108="","",IF(ISNUMBER('Dvd Calendar'!$E$1070)=FALSE,"",IF((('Dvd Calendar'!$E$1072=TYPE1)*(TYPE1&lt;&gt;"")+('Dvd Calendar'!$E$1072=TYPE2)*(TYPE2&lt;&gt;"")+('Dvd Calendar'!$E$1072=TYPE3)*(TYPE3&lt;&gt;"")+('Dvd Calendar'!$E$1072=TYPE4)*(TYPE4&lt;&gt;"")+('Dvd Calendar'!$E$1072=SPECIAL_LBL)*(INC_SPECIALS="Y"))=0,"",'Dvd Calendar'!$E$1070)))</f>
        <v/>
      </c>
      <c r="D108" s="110">
        <f>IF(EF108="","",IF(ISNUMBER('Dvd Calendar'!$F$1070)=FALSE,"",IF((('Dvd Calendar'!$F$1072=TYPE1)*(TYPE1&lt;&gt;"")+('Dvd Calendar'!$F$1072=TYPE2)*(TYPE2&lt;&gt;"")+('Dvd Calendar'!$F$1072=TYPE3)*(TYPE3&lt;&gt;"")+('Dvd Calendar'!$F$1072=TYPE4)*(TYPE4&lt;&gt;"")+('Dvd Calendar'!$F$1072=SPECIAL_LBL)*(INC_SPECIALS="Y"))=0,"",'Dvd Calendar'!$F$1070)))</f>
        <v/>
      </c>
      <c r="E108" s="110">
        <f>IF(EG108="","",IF(ISNUMBER('Dvd Calendar'!$G$1070)=FALSE,"",IF((('Dvd Calendar'!$G$1072=TYPE1)*(TYPE1&lt;&gt;"")+('Dvd Calendar'!$G$1072=TYPE2)*(TYPE2&lt;&gt;"")+('Dvd Calendar'!$G$1072=TYPE3)*(TYPE3&lt;&gt;"")+('Dvd Calendar'!$G$1072=TYPE4)*(TYPE4&lt;&gt;"")+('Dvd Calendar'!$G$1072=SPECIAL_LBL)*(INC_SPECIALS="Y"))=0,"",'Dvd Calendar'!$G$1070)))</f>
        <v/>
      </c>
      <c r="F108" s="110">
        <f>IF(EH108="","",IF(ISNUMBER('Dvd Calendar'!$H$1070)=FALSE,"",IF((('Dvd Calendar'!$H$1072=TYPE1)*(TYPE1&lt;&gt;"")+('Dvd Calendar'!$H$1072=TYPE2)*(TYPE2&lt;&gt;"")+('Dvd Calendar'!$H$1072=TYPE3)*(TYPE3&lt;&gt;"")+('Dvd Calendar'!$H$1072=TYPE4)*(TYPE4&lt;&gt;"")+('Dvd Calendar'!$H$1072=SPECIAL_LBL)*(INC_SPECIALS="Y"))=0,"",'Dvd Calendar'!$H$1070)))</f>
        <v/>
      </c>
      <c r="G108" s="110">
        <f>IF(EI108="","",IF(ISNUMBER('Dvd Calendar'!$I$1070)=FALSE,"",IF((('Dvd Calendar'!$I$1072=TYPE1)*(TYPE1&lt;&gt;"")+('Dvd Calendar'!$I$1072=TYPE2)*(TYPE2&lt;&gt;"")+('Dvd Calendar'!$I$1072=TYPE3)*(TYPE3&lt;&gt;"")+('Dvd Calendar'!$I$1072=TYPE4)*(TYPE4&lt;&gt;"")+('Dvd Calendar'!$I$1072=SPECIAL_LBL)*(INC_SPECIALS="Y"))=0,"",'Dvd Calendar'!$I$1070)))</f>
        <v/>
      </c>
      <c r="H108" s="110">
        <f>IF(EJ108="","",IF(ISNUMBER('Dvd Calendar'!$J$1070)=FALSE,"",IF((('Dvd Calendar'!$J$1072=TYPE1)*(TYPE1&lt;&gt;"")+('Dvd Calendar'!$J$1072=TYPE2)*(TYPE2&lt;&gt;"")+('Dvd Calendar'!$J$1072=TYPE3)*(TYPE3&lt;&gt;"")+('Dvd Calendar'!$J$1072=TYPE4)*(TYPE4&lt;&gt;"")+('Dvd Calendar'!$J$1072=SPECIAL_LBL)*(INC_SPECIALS="Y"))=0,"",'Dvd Calendar'!$J$1070)))</f>
        <v/>
      </c>
      <c r="I108" s="110">
        <f>IF(EK108="","",IF(ISNUMBER('Dvd Calendar'!$K$1070)=FALSE,"",IF((('Dvd Calendar'!$K$1072=TYPE1)*(TYPE1&lt;&gt;"")+('Dvd Calendar'!$K$1072=TYPE2)*(TYPE2&lt;&gt;"")+('Dvd Calendar'!$K$1072=TYPE3)*(TYPE3&lt;&gt;"")+('Dvd Calendar'!$K$1072=TYPE4)*(TYPE4&lt;&gt;"")+('Dvd Calendar'!$K$1072=SPECIAL_LBL)*(INC_SPECIALS="Y"))=0,"",'Dvd Calendar'!$K$1070)))</f>
        <v/>
      </c>
      <c r="J108" s="110">
        <f>IF(EL108="","",IF(ISNUMBER('Dvd Calendar'!$L$1070)=FALSE,"",IF((('Dvd Calendar'!$L$1072=TYPE1)*(TYPE1&lt;&gt;"")+('Dvd Calendar'!$L$1072=TYPE2)*(TYPE2&lt;&gt;"")+('Dvd Calendar'!$L$1072=TYPE3)*(TYPE3&lt;&gt;"")+('Dvd Calendar'!$L$1072=TYPE4)*(TYPE4&lt;&gt;"")+('Dvd Calendar'!$L$1072=SPECIAL_LBL)*(INC_SPECIALS="Y"))=0,"",'Dvd Calendar'!$L$1070)))</f>
        <v/>
      </c>
      <c r="K108" s="110">
        <f>IF(EM108="","",IF(ISNUMBER('Dvd Calendar'!$M$1070)=FALSE,"",IF((('Dvd Calendar'!$M$1072=TYPE1)*(TYPE1&lt;&gt;"")+('Dvd Calendar'!$M$1072=TYPE2)*(TYPE2&lt;&gt;"")+('Dvd Calendar'!$M$1072=TYPE3)*(TYPE3&lt;&gt;"")+('Dvd Calendar'!$M$1072=TYPE4)*(TYPE4&lt;&gt;"")+('Dvd Calendar'!$M$1072=SPECIAL_LBL)*(INC_SPECIALS="Y"))=0,"",'Dvd Calendar'!$M$1070)))</f>
        <v/>
      </c>
      <c r="L108" s="110">
        <f>IF(EN108="","",IF(ISNUMBER('Dvd Calendar'!$N$1070)=FALSE,"",IF((('Dvd Calendar'!$N$1072=TYPE1)*(TYPE1&lt;&gt;"")+('Dvd Calendar'!$N$1072=TYPE2)*(TYPE2&lt;&gt;"")+('Dvd Calendar'!$N$1072=TYPE3)*(TYPE3&lt;&gt;"")+('Dvd Calendar'!$N$1072=TYPE4)*(TYPE4&lt;&gt;"")+('Dvd Calendar'!$N$1072=SPECIAL_LBL)*(INC_SPECIALS="Y"))=0,"",'Dvd Calendar'!$N$1070)))</f>
        <v/>
      </c>
      <c r="M108" s="110">
        <f>IF(EO108="","",IF(ISNUMBER('Dvd Calendar'!$O$1070)=FALSE,"",IF((('Dvd Calendar'!$O$1072=TYPE1)*(TYPE1&lt;&gt;"")+('Dvd Calendar'!$O$1072=TYPE2)*(TYPE2&lt;&gt;"")+('Dvd Calendar'!$O$1072=TYPE3)*(TYPE3&lt;&gt;"")+('Dvd Calendar'!$O$1072=TYPE4)*(TYPE4&lt;&gt;"")+('Dvd Calendar'!$O$1072=SPECIAL_LBL)*(INC_SPECIALS="Y"))=0,"",'Dvd Calendar'!$O$1070)))</f>
        <v/>
      </c>
      <c r="N108" s="110">
        <f>IF(EP108="","",IF(ISNUMBER('Dvd Calendar'!$P$1070)=FALSE,"",IF((('Dvd Calendar'!$P$1072=TYPE1)*(TYPE1&lt;&gt;"")+('Dvd Calendar'!$P$1072=TYPE2)*(TYPE2&lt;&gt;"")+('Dvd Calendar'!$P$1072=TYPE3)*(TYPE3&lt;&gt;"")+('Dvd Calendar'!$P$1072=TYPE4)*(TYPE4&lt;&gt;"")+('Dvd Calendar'!$P$1072=SPECIAL_LBL)*(INC_SPECIALS="Y"))=0,"",'Dvd Calendar'!$P$1070)))</f>
        <v/>
      </c>
      <c r="O108" s="110">
        <f>IF(EQ108="","",IF(ISNUMBER('Dvd Calendar'!$Q$1070)=FALSE,"",IF((('Dvd Calendar'!$Q$1072=TYPE1)*(TYPE1&lt;&gt;"")+('Dvd Calendar'!$Q$1072=TYPE2)*(TYPE2&lt;&gt;"")+('Dvd Calendar'!$Q$1072=TYPE3)*(TYPE3&lt;&gt;"")+('Dvd Calendar'!$Q$1072=TYPE4)*(TYPE4&lt;&gt;"")+('Dvd Calendar'!$Q$1072=SPECIAL_LBL)*(INC_SPECIALS="Y"))=0,"",'Dvd Calendar'!$Q$1070)))</f>
        <v/>
      </c>
      <c r="P108" s="110">
        <f>IF(ER108="","",IF(ISNUMBER('Dvd Calendar'!$R$1070)=FALSE,"",IF((('Dvd Calendar'!$R$1072=TYPE1)*(TYPE1&lt;&gt;"")+('Dvd Calendar'!$R$1072=TYPE2)*(TYPE2&lt;&gt;"")+('Dvd Calendar'!$R$1072=TYPE3)*(TYPE3&lt;&gt;"")+('Dvd Calendar'!$R$1072=TYPE4)*(TYPE4&lt;&gt;"")+('Dvd Calendar'!$R$1072=SPECIAL_LBL)*(INC_SPECIALS="Y"))=0,"",'Dvd Calendar'!$R$1070)))</f>
        <v/>
      </c>
      <c r="Q108" s="110">
        <f>IF(ES108="","",IF(ISNUMBER('Dvd Calendar'!$S$1070)=FALSE,"",IF((('Dvd Calendar'!$S$1072=TYPE1)*(TYPE1&lt;&gt;"")+('Dvd Calendar'!$S$1072=TYPE2)*(TYPE2&lt;&gt;"")+('Dvd Calendar'!$S$1072=TYPE3)*(TYPE3&lt;&gt;"")+('Dvd Calendar'!$S$1072=TYPE4)*(TYPE4&lt;&gt;"")+('Dvd Calendar'!$S$1072=SPECIAL_LBL)*(INC_SPECIALS="Y"))=0,"",'Dvd Calendar'!$S$1070)))</f>
        <v/>
      </c>
      <c r="R108" s="110">
        <f>IF(ET108="","",IF(ISNUMBER('Dvd Calendar'!$T$1070)=FALSE,"",IF((('Dvd Calendar'!$T$1072=TYPE1)*(TYPE1&lt;&gt;"")+('Dvd Calendar'!$T$1072=TYPE2)*(TYPE2&lt;&gt;"")+('Dvd Calendar'!$T$1072=TYPE3)*(TYPE3&lt;&gt;"")+('Dvd Calendar'!$T$1072=TYPE4)*(TYPE4&lt;&gt;"")+('Dvd Calendar'!$T$1072=SPECIAL_LBL)*(INC_SPECIALS="Y"))=0,"",'Dvd Calendar'!$T$1070)))</f>
        <v/>
      </c>
      <c r="S108" s="110">
        <f>IF(EU108="","",IF(ISNUMBER('Dvd Calendar'!$U$1070)=FALSE,"",IF((('Dvd Calendar'!$U$1072=TYPE1)*(TYPE1&lt;&gt;"")+('Dvd Calendar'!$U$1072=TYPE2)*(TYPE2&lt;&gt;"")+('Dvd Calendar'!$U$1072=TYPE3)*(TYPE3&lt;&gt;"")+('Dvd Calendar'!$U$1072=TYPE4)*(TYPE4&lt;&gt;"")+('Dvd Calendar'!$U$1072=SPECIAL_LBL)*(INC_SPECIALS="Y"))=0,"",'Dvd Calendar'!$U$1070)))</f>
        <v/>
      </c>
      <c r="T108" s="110">
        <f>IF(EV108="","",IF(ISNUMBER('Dvd Calendar'!$V$1070)=FALSE,"",IF((('Dvd Calendar'!$V$1072=TYPE1)*(TYPE1&lt;&gt;"")+('Dvd Calendar'!$V$1072=TYPE2)*(TYPE2&lt;&gt;"")+('Dvd Calendar'!$V$1072=TYPE3)*(TYPE3&lt;&gt;"")+('Dvd Calendar'!$V$1072=TYPE4)*(TYPE4&lt;&gt;"")+('Dvd Calendar'!$V$1072=SPECIAL_LBL)*(INC_SPECIALS="Y"))=0,"",'Dvd Calendar'!$V$1070)))</f>
        <v/>
      </c>
      <c r="U108" s="110">
        <f>IF(EW108="","",IF(ISNUMBER('Dvd Calendar'!$W$1070)=FALSE,"",IF((('Dvd Calendar'!$W$1072=TYPE1)*(TYPE1&lt;&gt;"")+('Dvd Calendar'!$W$1072=TYPE2)*(TYPE2&lt;&gt;"")+('Dvd Calendar'!$W$1072=TYPE3)*(TYPE3&lt;&gt;"")+('Dvd Calendar'!$W$1072=TYPE4)*(TYPE4&lt;&gt;"")+('Dvd Calendar'!$W$1072=SPECIAL_LBL)*(INC_SPECIALS="Y"))=0,"",'Dvd Calendar'!$W$1070)))</f>
        <v/>
      </c>
      <c r="V108" s="110">
        <f>IF(EX108="","",IF(ISNUMBER('Dvd Calendar'!$X$1070)=FALSE,"",IF((('Dvd Calendar'!$X$1072=TYPE1)*(TYPE1&lt;&gt;"")+('Dvd Calendar'!$X$1072=TYPE2)*(TYPE2&lt;&gt;"")+('Dvd Calendar'!$X$1072=TYPE3)*(TYPE3&lt;&gt;"")+('Dvd Calendar'!$X$1072=TYPE4)*(TYPE4&lt;&gt;"")+('Dvd Calendar'!$X$1072=SPECIAL_LBL)*(INC_SPECIALS="Y"))=0,"",'Dvd Calendar'!$X$1070)))</f>
        <v/>
      </c>
      <c r="W108" s="110">
        <f>IF(EY108="","",IF(ISNUMBER('Dvd Calendar'!$Y$1070)=FALSE,"",IF((('Dvd Calendar'!$Y$1072=TYPE1)*(TYPE1&lt;&gt;"")+('Dvd Calendar'!$Y$1072=TYPE2)*(TYPE2&lt;&gt;"")+('Dvd Calendar'!$Y$1072=TYPE3)*(TYPE3&lt;&gt;"")+('Dvd Calendar'!$Y$1072=TYPE4)*(TYPE4&lt;&gt;"")+('Dvd Calendar'!$Y$1072=SPECIAL_LBL)*(INC_SPECIALS="Y"))=0,"",'Dvd Calendar'!$Y$1070)))</f>
        <v/>
      </c>
      <c r="X108" s="110">
        <f>IF(EZ108="","",IF(ISNUMBER('Dvd Calendar'!$Z$1070)=FALSE,"",IF((('Dvd Calendar'!$Z$1072=TYPE1)*(TYPE1&lt;&gt;"")+('Dvd Calendar'!$Z$1072=TYPE2)*(TYPE2&lt;&gt;"")+('Dvd Calendar'!$Z$1072=TYPE3)*(TYPE3&lt;&gt;"")+('Dvd Calendar'!$Z$1072=TYPE4)*(TYPE4&lt;&gt;"")+('Dvd Calendar'!$Z$1072=SPECIAL_LBL)*(INC_SPECIALS="Y"))=0,"",'Dvd Calendar'!$Z$1070)))</f>
        <v/>
      </c>
      <c r="Y108" s="110">
        <f>IF(FA108="","",IF(ISNUMBER('Dvd Calendar'!$AA$1070)=FALSE,"",IF((('Dvd Calendar'!$AA$1072=TYPE1)*(TYPE1&lt;&gt;"")+('Dvd Calendar'!$AA$1072=TYPE2)*(TYPE2&lt;&gt;"")+('Dvd Calendar'!$AA$1072=TYPE3)*(TYPE3&lt;&gt;"")+('Dvd Calendar'!$AA$1072=TYPE4)*(TYPE4&lt;&gt;"")+('Dvd Calendar'!$AA$1072=SPECIAL_LBL)*(INC_SPECIALS="Y"))=0,"",'Dvd Calendar'!$AA$1070)))</f>
        <v/>
      </c>
      <c r="Z108" s="110">
        <f>IF(FB108="","",IF(ISNUMBER('Dvd Calendar'!$AB$1070)=FALSE,"",IF((('Dvd Calendar'!$AB$1072=TYPE1)*(TYPE1&lt;&gt;"")+('Dvd Calendar'!$AB$1072=TYPE2)*(TYPE2&lt;&gt;"")+('Dvd Calendar'!$AB$1072=TYPE3)*(TYPE3&lt;&gt;"")+('Dvd Calendar'!$AB$1072=TYPE4)*(TYPE4&lt;&gt;"")+('Dvd Calendar'!$AB$1072=SPECIAL_LBL)*(INC_SPECIALS="Y"))=0,"",'Dvd Calendar'!$AB$1070)))</f>
        <v/>
      </c>
      <c r="AA108" s="110">
        <f>IF(FC108="","",IF(ISNUMBER('Dvd Calendar'!$AC$1070)=FALSE,"",IF((('Dvd Calendar'!$AC$1072=TYPE1)*(TYPE1&lt;&gt;"")+('Dvd Calendar'!$AC$1072=TYPE2)*(TYPE2&lt;&gt;"")+('Dvd Calendar'!$AC$1072=TYPE3)*(TYPE3&lt;&gt;"")+('Dvd Calendar'!$AC$1072=TYPE4)*(TYPE4&lt;&gt;"")+('Dvd Calendar'!$AC$1072=SPECIAL_LBL)*(INC_SPECIALS="Y"))=0,"",'Dvd Calendar'!$AC$1070)))</f>
        <v/>
      </c>
      <c r="AB108" s="110">
        <f>IF(FD108="","",IF(ISNUMBER('Dvd Calendar'!$AD$1070)=FALSE,"",IF((('Dvd Calendar'!$AD$1072=TYPE1)*(TYPE1&lt;&gt;"")+('Dvd Calendar'!$AD$1072=TYPE2)*(TYPE2&lt;&gt;"")+('Dvd Calendar'!$AD$1072=TYPE3)*(TYPE3&lt;&gt;"")+('Dvd Calendar'!$AD$1072=TYPE4)*(TYPE4&lt;&gt;"")+('Dvd Calendar'!$AD$1072=SPECIAL_LBL)*(INC_SPECIALS="Y"))=0,"",'Dvd Calendar'!$AD$1070)))</f>
        <v/>
      </c>
      <c r="AC108" s="110">
        <f>IF(FE108="","",IF(ISNUMBER('Dvd Calendar'!$AE$1070)=FALSE,"",IF((('Dvd Calendar'!$AE$1072=TYPE1)*(TYPE1&lt;&gt;"")+('Dvd Calendar'!$AE$1072=TYPE2)*(TYPE2&lt;&gt;"")+('Dvd Calendar'!$AE$1072=TYPE3)*(TYPE3&lt;&gt;"")+('Dvd Calendar'!$AE$1072=TYPE4)*(TYPE4&lt;&gt;"")+('Dvd Calendar'!$AE$1072=SPECIAL_LBL)*(INC_SPECIALS="Y"))=0,"",'Dvd Calendar'!$AE$1070)))</f>
        <v/>
      </c>
      <c r="AD108" s="110">
        <f>IF(FF108="","",IF(ISNUMBER('Dvd Calendar'!$AF$1070)=FALSE,"",IF((('Dvd Calendar'!$AF$1072=TYPE1)*(TYPE1&lt;&gt;"")+('Dvd Calendar'!$AF$1072=TYPE2)*(TYPE2&lt;&gt;"")+('Dvd Calendar'!$AF$1072=TYPE3)*(TYPE3&lt;&gt;"")+('Dvd Calendar'!$AF$1072=TYPE4)*(TYPE4&lt;&gt;"")+('Dvd Calendar'!$AF$1072=SPECIAL_LBL)*(INC_SPECIALS="Y"))=0,"",'Dvd Calendar'!$AF$1070)))</f>
        <v/>
      </c>
      <c r="AE108" s="110">
        <f>IF(FG108="","",IF(ISNUMBER('Dvd Calendar'!$AG$1070)=FALSE,"",IF((('Dvd Calendar'!$AG$1072=TYPE1)*(TYPE1&lt;&gt;"")+('Dvd Calendar'!$AG$1072=TYPE2)*(TYPE2&lt;&gt;"")+('Dvd Calendar'!$AG$1072=TYPE3)*(TYPE3&lt;&gt;"")+('Dvd Calendar'!$AG$1072=TYPE4)*(TYPE4&lt;&gt;"")+('Dvd Calendar'!$AG$1072=SPECIAL_LBL)*(INC_SPECIALS="Y"))=0,"",'Dvd Calendar'!$AG$1070)))</f>
        <v/>
      </c>
      <c r="AF108" s="110">
        <f>IF(FH108="","",IF(ISNUMBER('Dvd Calendar'!$AH$1070)=FALSE,"",IF((('Dvd Calendar'!$AH$1072=TYPE1)*(TYPE1&lt;&gt;"")+('Dvd Calendar'!$AH$1072=TYPE2)*(TYPE2&lt;&gt;"")+('Dvd Calendar'!$AH$1072=TYPE3)*(TYPE3&lt;&gt;"")+('Dvd Calendar'!$AH$1072=TYPE4)*(TYPE4&lt;&gt;"")+('Dvd Calendar'!$AH$1072=SPECIAL_LBL)*(INC_SPECIALS="Y"))=0,"",'Dvd Calendar'!$AH$1070)))</f>
        <v/>
      </c>
      <c r="AG108" s="110">
        <f>IF(FI108="","",IF(ISNUMBER('Dvd Calendar'!$AI$1070)=FALSE,"",IF((('Dvd Calendar'!$AI$1072=TYPE1)*(TYPE1&lt;&gt;"")+('Dvd Calendar'!$AI$1072=TYPE2)*(TYPE2&lt;&gt;"")+('Dvd Calendar'!$AI$1072=TYPE3)*(TYPE3&lt;&gt;"")+('Dvd Calendar'!$AI$1072=TYPE4)*(TYPE4&lt;&gt;"")+('Dvd Calendar'!$AI$1072=SPECIAL_LBL)*(INC_SPECIALS="Y"))=0,"",'Dvd Calendar'!$AI$1070)))</f>
        <v/>
      </c>
      <c r="AH108" s="110">
        <f>IF(FJ108="","",IF(ISNUMBER('Dvd Calendar'!$AJ$1070)=FALSE,"",IF((('Dvd Calendar'!$AJ$1072=TYPE1)*(TYPE1&lt;&gt;"")+('Dvd Calendar'!$AJ$1072=TYPE2)*(TYPE2&lt;&gt;"")+('Dvd Calendar'!$AJ$1072=TYPE3)*(TYPE3&lt;&gt;"")+('Dvd Calendar'!$AJ$1072=TYPE4)*(TYPE4&lt;&gt;"")+('Dvd Calendar'!$AJ$1072=SPECIAL_LBL)*(INC_SPECIALS="Y"))=0,"",'Dvd Calendar'!$AJ$1070)))</f>
        <v/>
      </c>
      <c r="AI108" s="110">
        <f>IF(FK108="","",IF(ISNUMBER('Dvd Calendar'!$AK$1070)=FALSE,"",IF((('Dvd Calendar'!$AK$1072=TYPE1)*(TYPE1&lt;&gt;"")+('Dvd Calendar'!$AK$1072=TYPE2)*(TYPE2&lt;&gt;"")+('Dvd Calendar'!$AK$1072=TYPE3)*(TYPE3&lt;&gt;"")+('Dvd Calendar'!$AK$1072=TYPE4)*(TYPE4&lt;&gt;"")+('Dvd Calendar'!$AK$1072=SPECIAL_LBL)*(INC_SPECIALS="Y"))=0,"",'Dvd Calendar'!$AK$1070)))</f>
        <v/>
      </c>
      <c r="AJ108" s="110">
        <f>IF(FL108="","",IF(ISNUMBER('Dvd Calendar'!$AL$1070)=FALSE,"",IF((('Dvd Calendar'!$AL$1072=TYPE1)*(TYPE1&lt;&gt;"")+('Dvd Calendar'!$AL$1072=TYPE2)*(TYPE2&lt;&gt;"")+('Dvd Calendar'!$AL$1072=TYPE3)*(TYPE3&lt;&gt;"")+('Dvd Calendar'!$AL$1072=TYPE4)*(TYPE4&lt;&gt;"")+('Dvd Calendar'!$AL$1072=SPECIAL_LBL)*(INC_SPECIALS="Y"))=0,"",'Dvd Calendar'!$AL$1070)))</f>
        <v/>
      </c>
      <c r="AK108" s="110">
        <f>IF(FM108="","",IF(ISNUMBER('Dvd Calendar'!$AM$1070)=FALSE,"",IF((('Dvd Calendar'!$AM$1072=TYPE1)*(TYPE1&lt;&gt;"")+('Dvd Calendar'!$AM$1072=TYPE2)*(TYPE2&lt;&gt;"")+('Dvd Calendar'!$AM$1072=TYPE3)*(TYPE3&lt;&gt;"")+('Dvd Calendar'!$AM$1072=TYPE4)*(TYPE4&lt;&gt;"")+('Dvd Calendar'!$AM$1072=SPECIAL_LBL)*(INC_SPECIALS="Y"))=0,"",'Dvd Calendar'!$AM$1070)))</f>
        <v/>
      </c>
      <c r="AL108" s="110">
        <f>IF(FN108="","",IF(ISNUMBER('Dvd Calendar'!$AN$1070)=FALSE,"",IF((('Dvd Calendar'!$AN$1072=TYPE1)*(TYPE1&lt;&gt;"")+('Dvd Calendar'!$AN$1072=TYPE2)*(TYPE2&lt;&gt;"")+('Dvd Calendar'!$AN$1072=TYPE3)*(TYPE3&lt;&gt;"")+('Dvd Calendar'!$AN$1072=TYPE4)*(TYPE4&lt;&gt;"")+('Dvd Calendar'!$AN$1072=SPECIAL_LBL)*(INC_SPECIALS="Y"))=0,"",'Dvd Calendar'!$AN$1070)))</f>
        <v/>
      </c>
      <c r="AM108" s="110">
        <f>IF(FO108="","",IF(ISNUMBER('Dvd Calendar'!$AO$1070)=FALSE,"",IF((('Dvd Calendar'!$AO$1072=TYPE1)*(TYPE1&lt;&gt;"")+('Dvd Calendar'!$AO$1072=TYPE2)*(TYPE2&lt;&gt;"")+('Dvd Calendar'!$AO$1072=TYPE3)*(TYPE3&lt;&gt;"")+('Dvd Calendar'!$AO$1072=TYPE4)*(TYPE4&lt;&gt;"")+('Dvd Calendar'!$AO$1072=SPECIAL_LBL)*(INC_SPECIALS="Y"))=0,"",'Dvd Calendar'!$AO$1070)))</f>
        <v/>
      </c>
      <c r="AN108" s="110">
        <f>IF(FP108="","",IF(ISNUMBER('Dvd Calendar'!$AP$1070)=FALSE,"",IF((('Dvd Calendar'!$AP$1072=TYPE1)*(TYPE1&lt;&gt;"")+('Dvd Calendar'!$AP$1072=TYPE2)*(TYPE2&lt;&gt;"")+('Dvd Calendar'!$AP$1072=TYPE3)*(TYPE3&lt;&gt;"")+('Dvd Calendar'!$AP$1072=TYPE4)*(TYPE4&lt;&gt;"")+('Dvd Calendar'!$AP$1072=SPECIAL_LBL)*(INC_SPECIALS="Y"))=0,"",'Dvd Calendar'!$AP$1070)))</f>
        <v/>
      </c>
      <c r="AO108" s="110">
        <f>IF(FQ108="","",IF(ISNUMBER('Dvd Calendar'!$AQ$1070)=FALSE,"",IF((('Dvd Calendar'!$AQ$1072=TYPE1)*(TYPE1&lt;&gt;"")+('Dvd Calendar'!$AQ$1072=TYPE2)*(TYPE2&lt;&gt;"")+('Dvd Calendar'!$AQ$1072=TYPE3)*(TYPE3&lt;&gt;"")+('Dvd Calendar'!$AQ$1072=TYPE4)*(TYPE4&lt;&gt;"")+('Dvd Calendar'!$AQ$1072=SPECIAL_LBL)*(INC_SPECIALS="Y"))=0,"",'Dvd Calendar'!$AQ$1070)))</f>
        <v/>
      </c>
      <c r="AP108" s="110">
        <f>IF(FR108="","",IF(ISNUMBER('Dvd Calendar'!$AR$1070)=FALSE,"",IF((('Dvd Calendar'!$AR$1072=TYPE1)*(TYPE1&lt;&gt;"")+('Dvd Calendar'!$AR$1072=TYPE2)*(TYPE2&lt;&gt;"")+('Dvd Calendar'!$AR$1072=TYPE3)*(TYPE3&lt;&gt;"")+('Dvd Calendar'!$AR$1072=TYPE4)*(TYPE4&lt;&gt;"")+('Dvd Calendar'!$AR$1072=SPECIAL_LBL)*(INC_SPECIALS="Y"))=0,"",'Dvd Calendar'!$AR$1070)))</f>
        <v/>
      </c>
      <c r="AQ108" s="110">
        <f>IF(FS108="","",IF(ISNUMBER('Dvd Calendar'!$E$1075)=FALSE,"",'Dvd Calendar'!$E$1075))</f>
        <v/>
      </c>
      <c r="AR108" s="110">
        <f>IF(FT108="","",IF(ISNUMBER('Dvd Calendar'!$F$1075)=FALSE,"",'Dvd Calendar'!$F$1075))</f>
        <v/>
      </c>
      <c r="AS108" s="110">
        <f>IF(FU108="","",IF(ISNUMBER('Dvd Calendar'!$G$1075)=FALSE,"",'Dvd Calendar'!$G$1075))</f>
        <v/>
      </c>
      <c r="AT108" s="110">
        <f>IF(FV108="","",IF(ISNUMBER('Dvd Calendar'!$H$1075)=FALSE,"",'Dvd Calendar'!$H$1075))</f>
        <v/>
      </c>
      <c r="AU108" s="110">
        <f>IF(FW108="","",IF(ISNUMBER('Dvd Calendar'!$I$1075)=FALSE,"",'Dvd Calendar'!$I$1075))</f>
        <v/>
      </c>
      <c r="AV108" s="110">
        <f>IF(FX108="","",IF(ISNUMBER('Dvd Calendar'!$J$1075)=FALSE,"",'Dvd Calendar'!$J$1075))</f>
        <v/>
      </c>
      <c r="AW108" s="110">
        <f>IF(FY108="","",IF(ISNUMBER('Dvd Calendar'!$K$1075)=FALSE,"",'Dvd Calendar'!$K$1075))</f>
        <v/>
      </c>
      <c r="AX108" s="110">
        <f>IF(FZ108="","",IF(ISNUMBER('Dvd Calendar'!$L$1075)=FALSE,"",'Dvd Calendar'!$L$1075))</f>
        <v/>
      </c>
      <c r="AY108" s="110">
        <f>IF(GA108="","",IF(ISNUMBER('Dvd Calendar'!$M$1075)=FALSE,"",'Dvd Calendar'!$M$1075))</f>
        <v/>
      </c>
      <c r="AZ108" s="110">
        <f>IF(GB108="","",IF(ISNUMBER('Dvd Calendar'!$N$1075)=FALSE,"",'Dvd Calendar'!$N$1075))</f>
        <v/>
      </c>
      <c r="BA108" s="110">
        <f>IF(GC108="","",IF(ISNUMBER('Dvd Calendar'!$O$1075)=FALSE,"",'Dvd Calendar'!$O$1075))</f>
        <v/>
      </c>
      <c r="BB108" s="110">
        <f>IF(GD108="","",IF(ISNUMBER('Dvd Calendar'!$P$1075)=FALSE,"",'Dvd Calendar'!$P$1075))</f>
        <v/>
      </c>
      <c r="BC108" s="110">
        <f>IF(GE108="","",IF(ISNUMBER('Dvd Calendar'!$Q$1075)=FALSE,"",'Dvd Calendar'!$Q$1075))</f>
        <v/>
      </c>
      <c r="BD108" s="110">
        <f>IF(GF108="","",IF(ISNUMBER('Dvd Calendar'!$R$1075)=FALSE,"",'Dvd Calendar'!$R$1075))</f>
        <v/>
      </c>
      <c r="BE108" s="110">
        <f>IF(GG108="","",IF(ISNUMBER('Dvd Calendar'!$S$1075)=FALSE,"",'Dvd Calendar'!$S$1075))</f>
        <v/>
      </c>
      <c r="BF108" s="110">
        <f>IF(GH108="","",IF(ISNUMBER('Dvd Calendar'!$T$1075)=FALSE,"",'Dvd Calendar'!$T$1075))</f>
        <v/>
      </c>
      <c r="BG108" s="110">
        <f>IF(GI108="","",IF(ISNUMBER('Dvd Calendar'!$U$1075)=FALSE,"",'Dvd Calendar'!$U$1075))</f>
        <v/>
      </c>
      <c r="BH108" s="110">
        <f>IF(GJ108="","",IF(ISNUMBER('Dvd Calendar'!$V$1075)=FALSE,"",'Dvd Calendar'!$V$1075))</f>
        <v/>
      </c>
      <c r="BI108" s="110">
        <f>IF(GK108="","",IF(ISNUMBER('Dvd Calendar'!$W$1075)=FALSE,"",'Dvd Calendar'!$W$1075))</f>
        <v/>
      </c>
      <c r="BJ108" s="110">
        <f>IF(GL108="","",IF(ISNUMBER('Dvd Calendar'!$X$1075)=FALSE,"",'Dvd Calendar'!$X$1075))</f>
        <v/>
      </c>
      <c r="BK108" s="110">
        <f>IF(GM108="","",IF(ISNUMBER('Dvd Calendar'!$Y$1075)=FALSE,"",'Dvd Calendar'!$Y$1075))</f>
        <v/>
      </c>
      <c r="BL108" s="110">
        <f>IF(GN108="","",IF(ISNUMBER('Dvd Calendar'!$Z$1075)=FALSE,"",'Dvd Calendar'!$Z$1075))</f>
        <v/>
      </c>
      <c r="BM108" s="110">
        <f>IF(GO108="","",IF(ISNUMBER('Dvd Calendar'!$AA$1075)=FALSE,"",'Dvd Calendar'!$AA$1075))</f>
        <v/>
      </c>
      <c r="BN108" s="110">
        <f>IF(GP108="","",IF(ISNUMBER('Dvd Calendar'!$AB$1075)=FALSE,"",'Dvd Calendar'!$AB$1075))</f>
        <v/>
      </c>
      <c r="BO108" s="110">
        <f>IF(GQ108="","",IF(ISNUMBER('Dvd Calendar'!$AC$1075)=FALSE,"",'Dvd Calendar'!$AC$1075))</f>
        <v/>
      </c>
      <c r="BQ108" s="110">
        <f>IF(C108="","",IFERROR(C108*HSI!$B$103*HSI!$G$103/HSI!$B$3,""))</f>
        <v/>
      </c>
      <c r="BR108" s="110">
        <f>IF(D108="","",IFERROR(D108*HSI!$B$103*HSI!$G$103/HSI!$B$3,""))</f>
        <v/>
      </c>
      <c r="BS108" s="110">
        <f>IF(E108="","",IFERROR(E108*HSI!$B$103*HSI!$G$103/HSI!$B$3,""))</f>
        <v/>
      </c>
      <c r="BT108" s="110">
        <f>IF(F108="","",IFERROR(F108*HSI!$B$103*HSI!$G$103/HSI!$B$3,""))</f>
        <v/>
      </c>
      <c r="BU108" s="110">
        <f>IF(G108="","",IFERROR(G108*HSI!$B$103*HSI!$G$103/HSI!$B$3,""))</f>
        <v/>
      </c>
      <c r="BV108" s="110">
        <f>IF(H108="","",IFERROR(H108*HSI!$B$103*HSI!$G$103/HSI!$B$3,""))</f>
        <v/>
      </c>
      <c r="BW108" s="110">
        <f>IF(I108="","",IFERROR(I108*HSI!$B$103*HSI!$G$103/HSI!$B$3,""))</f>
        <v/>
      </c>
      <c r="BX108" s="110">
        <f>IF(J108="","",IFERROR(J108*HSI!$B$103*HSI!$G$103/HSI!$B$3,""))</f>
        <v/>
      </c>
      <c r="BY108" s="110">
        <f>IF(K108="","",IFERROR(K108*HSI!$B$103*HSI!$G$103/HSI!$B$3,""))</f>
        <v/>
      </c>
      <c r="BZ108" s="110">
        <f>IF(L108="","",IFERROR(L108*HSI!$B$103*HSI!$G$103/HSI!$B$3,""))</f>
        <v/>
      </c>
      <c r="CA108" s="110">
        <f>IF(M108="","",IFERROR(M108*HSI!$B$103*HSI!$G$103/HSI!$B$3,""))</f>
        <v/>
      </c>
      <c r="CB108" s="110">
        <f>IF(N108="","",IFERROR(N108*HSI!$B$103*HSI!$G$103/HSI!$B$3,""))</f>
        <v/>
      </c>
      <c r="CC108" s="110">
        <f>IF(O108="","",IFERROR(O108*HSI!$B$103*HSI!$G$103/HSI!$B$3,""))</f>
        <v/>
      </c>
      <c r="CD108" s="110">
        <f>IF(P108="","",IFERROR(P108*HSI!$B$103*HSI!$G$103/HSI!$B$3,""))</f>
        <v/>
      </c>
      <c r="CE108" s="110">
        <f>IF(Q108="","",IFERROR(Q108*HSI!$B$103*HSI!$G$103/HSI!$B$3,""))</f>
        <v/>
      </c>
      <c r="CF108" s="110">
        <f>IF(R108="","",IFERROR(R108*HSI!$B$103*HSI!$G$103/HSI!$B$3,""))</f>
        <v/>
      </c>
      <c r="CG108" s="110">
        <f>IF(S108="","",IFERROR(S108*HSI!$B$103*HSI!$G$103/HSI!$B$3,""))</f>
        <v/>
      </c>
      <c r="CH108" s="110">
        <f>IF(T108="","",IFERROR(T108*HSI!$B$103*HSI!$G$103/HSI!$B$3,""))</f>
        <v/>
      </c>
      <c r="CI108" s="110">
        <f>IF(U108="","",IFERROR(U108*HSI!$B$103*HSI!$G$103/HSI!$B$3,""))</f>
        <v/>
      </c>
      <c r="CJ108" s="110">
        <f>IF(V108="","",IFERROR(V108*HSI!$B$103*HSI!$G$103/HSI!$B$3,""))</f>
        <v/>
      </c>
      <c r="CK108" s="110">
        <f>IF(W108="","",IFERROR(W108*HSI!$B$103*HSI!$G$103/HSI!$B$3,""))</f>
        <v/>
      </c>
      <c r="CL108" s="110">
        <f>IF(X108="","",IFERROR(X108*HSI!$B$103*HSI!$G$103/HSI!$B$3,""))</f>
        <v/>
      </c>
      <c r="CM108" s="110">
        <f>IF(Y108="","",IFERROR(Y108*HSI!$B$103*HSI!$G$103/HSI!$B$3,""))</f>
        <v/>
      </c>
      <c r="CN108" s="110">
        <f>IF(Z108="","",IFERROR(Z108*HSI!$B$103*HSI!$G$103/HSI!$B$3,""))</f>
        <v/>
      </c>
      <c r="CO108" s="110">
        <f>IF(AA108="","",IFERROR(AA108*HSI!$B$103*HSI!$G$103/HSI!$B$3,""))</f>
        <v/>
      </c>
      <c r="CP108" s="110">
        <f>IF(AB108="","",IFERROR(AB108*HSI!$B$103*HSI!$G$103/HSI!$B$3,""))</f>
        <v/>
      </c>
      <c r="CQ108" s="110">
        <f>IF(AC108="","",IFERROR(AC108*HSI!$B$103*HSI!$G$103/HSI!$B$3,""))</f>
        <v/>
      </c>
      <c r="CR108" s="110">
        <f>IF(AD108="","",IFERROR(AD108*HSI!$B$103*HSI!$G$103/HSI!$B$3,""))</f>
        <v/>
      </c>
      <c r="CS108" s="110">
        <f>IF(AE108="","",IFERROR(AE108*HSI!$B$103*HSI!$G$103/HSI!$B$3,""))</f>
        <v/>
      </c>
      <c r="CT108" s="110">
        <f>IF(AF108="","",IFERROR(AF108*HSI!$B$103*HSI!$G$103/HSI!$B$3,""))</f>
        <v/>
      </c>
      <c r="CU108" s="110">
        <f>IF(AG108="","",IFERROR(AG108*HSI!$B$103*HSI!$G$103/HSI!$B$3,""))</f>
        <v/>
      </c>
      <c r="CV108" s="110">
        <f>IF(AH108="","",IFERROR(AH108*HSI!$B$103*HSI!$G$103/HSI!$B$3,""))</f>
        <v/>
      </c>
      <c r="CW108" s="110">
        <f>IF(AI108="","",IFERROR(AI108*HSI!$B$103*HSI!$G$103/HSI!$B$3,""))</f>
        <v/>
      </c>
      <c r="CX108" s="110">
        <f>IF(AJ108="","",IFERROR(AJ108*HSI!$B$103*HSI!$G$103/HSI!$B$3,""))</f>
        <v/>
      </c>
      <c r="CY108" s="110">
        <f>IF(AK108="","",IFERROR(AK108*HSI!$B$103*HSI!$G$103/HSI!$B$3,""))</f>
        <v/>
      </c>
      <c r="CZ108" s="110">
        <f>IF(AL108="","",IFERROR(AL108*HSI!$B$103*HSI!$G$103/HSI!$B$3,""))</f>
        <v/>
      </c>
      <c r="DA108" s="110">
        <f>IF(AM108="","",IFERROR(AM108*HSI!$B$103*HSI!$G$103/HSI!$B$3,""))</f>
        <v/>
      </c>
      <c r="DB108" s="110">
        <f>IF(AN108="","",IFERROR(AN108*HSI!$B$103*HSI!$G$103/HSI!$B$3,""))</f>
        <v/>
      </c>
      <c r="DC108" s="110">
        <f>IF(AO108="","",IFERROR(AO108*HSI!$B$103*HSI!$G$103/HSI!$B$3,""))</f>
        <v/>
      </c>
      <c r="DD108" s="110">
        <f>IF(AP108="","",IFERROR(AP108*HSI!$B$103*HSI!$G$103/HSI!$B$3,""))</f>
        <v/>
      </c>
      <c r="DE108" s="110">
        <f>IF(AQ108="","",IFERROR(AQ108*HSI!$B$103*HSI!$G$103/HSI!$B$3,""))</f>
        <v/>
      </c>
      <c r="DF108" s="110">
        <f>IF(AR108="","",IFERROR(AR108*HSI!$B$103*HSI!$G$103/HSI!$B$3,""))</f>
        <v/>
      </c>
      <c r="DG108" s="110">
        <f>IF(AS108="","",IFERROR(AS108*HSI!$B$103*HSI!$G$103/HSI!$B$3,""))</f>
        <v/>
      </c>
      <c r="DH108" s="110">
        <f>IF(AT108="","",IFERROR(AT108*HSI!$B$103*HSI!$G$103/HSI!$B$3,""))</f>
        <v/>
      </c>
      <c r="DI108" s="110">
        <f>IF(AU108="","",IFERROR(AU108*HSI!$B$103*HSI!$G$103/HSI!$B$3,""))</f>
        <v/>
      </c>
      <c r="DJ108" s="110">
        <f>IF(AV108="","",IFERROR(AV108*HSI!$B$103*HSI!$G$103/HSI!$B$3,""))</f>
        <v/>
      </c>
      <c r="DK108" s="110">
        <f>IF(AW108="","",IFERROR(AW108*HSI!$B$103*HSI!$G$103/HSI!$B$3,""))</f>
        <v/>
      </c>
      <c r="DL108" s="110">
        <f>IF(AX108="","",IFERROR(AX108*HSI!$B$103*HSI!$G$103/HSI!$B$3,""))</f>
        <v/>
      </c>
      <c r="DM108" s="110">
        <f>IF(AY108="","",IFERROR(AY108*HSI!$B$103*HSI!$G$103/HSI!$B$3,""))</f>
        <v/>
      </c>
      <c r="DN108" s="110">
        <f>IF(AZ108="","",IFERROR(AZ108*HSI!$B$103*HSI!$G$103/HSI!$B$3,""))</f>
        <v/>
      </c>
      <c r="DO108" s="110">
        <f>IF(BA108="","",IFERROR(BA108*HSI!$B$103*HSI!$G$103/HSI!$B$3,""))</f>
        <v/>
      </c>
      <c r="DP108" s="110">
        <f>IF(BB108="","",IFERROR(BB108*HSI!$B$103*HSI!$G$103/HSI!$B$3,""))</f>
        <v/>
      </c>
      <c r="DQ108" s="110">
        <f>IF(BC108="","",IFERROR(BC108*HSI!$B$103*HSI!$G$103/HSI!$B$3,""))</f>
        <v/>
      </c>
      <c r="DR108" s="110">
        <f>IF(BD108="","",IFERROR(BD108*HSI!$B$103*HSI!$G$103/HSI!$B$3,""))</f>
        <v/>
      </c>
      <c r="DS108" s="110">
        <f>IF(BE108="","",IFERROR(BE108*HSI!$B$103*HSI!$G$103/HSI!$B$3,""))</f>
        <v/>
      </c>
      <c r="DT108" s="110">
        <f>IF(BF108="","",IFERROR(BF108*HSI!$B$103*HSI!$G$103/HSI!$B$3,""))</f>
        <v/>
      </c>
      <c r="DU108" s="110">
        <f>IF(BG108="","",IFERROR(BG108*HSI!$B$103*HSI!$G$103/HSI!$B$3,""))</f>
        <v/>
      </c>
      <c r="DV108" s="110">
        <f>IF(BH108="","",IFERROR(BH108*HSI!$B$103*HSI!$G$103/HSI!$B$3,""))</f>
        <v/>
      </c>
      <c r="DW108" s="110">
        <f>IF(BI108="","",IFERROR(BI108*HSI!$B$103*HSI!$G$103/HSI!$B$3,""))</f>
        <v/>
      </c>
      <c r="DX108" s="110">
        <f>IF(BJ108="","",IFERROR(BJ108*HSI!$B$103*HSI!$G$103/HSI!$B$3,""))</f>
        <v/>
      </c>
      <c r="DY108" s="110">
        <f>IF(BK108="","",IFERROR(BK108*HSI!$B$103*HSI!$G$103/HSI!$B$3,""))</f>
        <v/>
      </c>
      <c r="DZ108" s="110">
        <f>IF(BL108="","",IFERROR(BL108*HSI!$B$103*HSI!$G$103/HSI!$B$3,""))</f>
        <v/>
      </c>
      <c r="EA108" s="110">
        <f>IF(BM108="","",IFERROR(BM108*HSI!$B$103*HSI!$G$103/HSI!$B$3,""))</f>
        <v/>
      </c>
      <c r="EB108" s="110">
        <f>IF(BN108="","",IFERROR(BN108*HSI!$B$103*HSI!$G$103/HSI!$B$3,""))</f>
        <v/>
      </c>
      <c r="EC108" s="110">
        <f>IF(BO108="","",IFERROR(BO108*HSI!$B$103*HSI!$G$103/HSI!$B$3,""))</f>
        <v/>
      </c>
      <c r="EE108" s="39">
        <f>IF(N('Dvd Calendar'!$E$1067)=0,"",IF(('Dvd Calendar'!$E$1067&gt;=GRID_FROM)*('Dvd Calendar'!$E$1067&lt;=GRID_TO)*((('Dvd Calendar'!$E$1067&lt;=VAL_DATE)+(COUNTIF('Dvd Calendar'!$E$1074:$AR$1074,'Dvd Calendar'!$E$1067)=0))&gt;0)=0,"",'Dvd Calendar'!$E$1067*1000000000+ISNUMBER('Dvd Calendar'!$E$1070)*100000000+('Dvd Calendar'!$E$1072=SPECIAL_LBL)*10000000+(N('Dvd Calendar'!$E$1066)&gt;0)*(N('Dvd Calendar'!$E$1066)&lt;=VAL_SERIAL)*1000000+97*1000+1))</f>
        <v/>
      </c>
      <c r="EF108" s="39">
        <f>IF(N('Dvd Calendar'!$F$1067)=0,"",IF(('Dvd Calendar'!$F$1067&gt;=GRID_FROM)*('Dvd Calendar'!$F$1067&lt;=GRID_TO)*((('Dvd Calendar'!$F$1067&lt;=VAL_DATE)+(COUNTIF('Dvd Calendar'!$E$1074:$AR$1074,'Dvd Calendar'!$F$1067)=0))&gt;0)=0,"",'Dvd Calendar'!$F$1067*1000000000+ISNUMBER('Dvd Calendar'!$F$1070)*100000000+('Dvd Calendar'!$F$1072=SPECIAL_LBL)*10000000+(N('Dvd Calendar'!$F$1066)&gt;0)*(N('Dvd Calendar'!$F$1066)&lt;=VAL_SERIAL)*1000000+97*1000+2))</f>
        <v/>
      </c>
      <c r="EG108" s="39">
        <f>IF(N('Dvd Calendar'!$G$1067)=0,"",IF(('Dvd Calendar'!$G$1067&gt;=GRID_FROM)*('Dvd Calendar'!$G$1067&lt;=GRID_TO)*((('Dvd Calendar'!$G$1067&lt;=VAL_DATE)+(COUNTIF('Dvd Calendar'!$E$1074:$AR$1074,'Dvd Calendar'!$G$1067)=0))&gt;0)=0,"",'Dvd Calendar'!$G$1067*1000000000+ISNUMBER('Dvd Calendar'!$G$1070)*100000000+('Dvd Calendar'!$G$1072=SPECIAL_LBL)*10000000+(N('Dvd Calendar'!$G$1066)&gt;0)*(N('Dvd Calendar'!$G$1066)&lt;=VAL_SERIAL)*1000000+97*1000+3))</f>
        <v/>
      </c>
      <c r="EH108" s="39">
        <f>IF(N('Dvd Calendar'!$H$1067)=0,"",IF(('Dvd Calendar'!$H$1067&gt;=GRID_FROM)*('Dvd Calendar'!$H$1067&lt;=GRID_TO)*((('Dvd Calendar'!$H$1067&lt;=VAL_DATE)+(COUNTIF('Dvd Calendar'!$E$1074:$AR$1074,'Dvd Calendar'!$H$1067)=0))&gt;0)=0,"",'Dvd Calendar'!$H$1067*1000000000+ISNUMBER('Dvd Calendar'!$H$1070)*100000000+('Dvd Calendar'!$H$1072=SPECIAL_LBL)*10000000+(N('Dvd Calendar'!$H$1066)&gt;0)*(N('Dvd Calendar'!$H$1066)&lt;=VAL_SERIAL)*1000000+97*1000+4))</f>
        <v/>
      </c>
      <c r="EI108" s="39">
        <f>IF(N('Dvd Calendar'!$I$1067)=0,"",IF(('Dvd Calendar'!$I$1067&gt;=GRID_FROM)*('Dvd Calendar'!$I$1067&lt;=GRID_TO)*((('Dvd Calendar'!$I$1067&lt;=VAL_DATE)+(COUNTIF('Dvd Calendar'!$E$1074:$AR$1074,'Dvd Calendar'!$I$1067)=0))&gt;0)=0,"",'Dvd Calendar'!$I$1067*1000000000+ISNUMBER('Dvd Calendar'!$I$1070)*100000000+('Dvd Calendar'!$I$1072=SPECIAL_LBL)*10000000+(N('Dvd Calendar'!$I$1066)&gt;0)*(N('Dvd Calendar'!$I$1066)&lt;=VAL_SERIAL)*1000000+97*1000+5))</f>
        <v/>
      </c>
      <c r="EJ108" s="39">
        <f>IF(N('Dvd Calendar'!$J$1067)=0,"",IF(('Dvd Calendar'!$J$1067&gt;=GRID_FROM)*('Dvd Calendar'!$J$1067&lt;=GRID_TO)*((('Dvd Calendar'!$J$1067&lt;=VAL_DATE)+(COUNTIF('Dvd Calendar'!$E$1074:$AR$1074,'Dvd Calendar'!$J$1067)=0))&gt;0)=0,"",'Dvd Calendar'!$J$1067*1000000000+ISNUMBER('Dvd Calendar'!$J$1070)*100000000+('Dvd Calendar'!$J$1072=SPECIAL_LBL)*10000000+(N('Dvd Calendar'!$J$1066)&gt;0)*(N('Dvd Calendar'!$J$1066)&lt;=VAL_SERIAL)*1000000+97*1000+6))</f>
        <v/>
      </c>
      <c r="EK108" s="39">
        <f>IF(N('Dvd Calendar'!$K$1067)=0,"",IF(('Dvd Calendar'!$K$1067&gt;=GRID_FROM)*('Dvd Calendar'!$K$1067&lt;=GRID_TO)*((('Dvd Calendar'!$K$1067&lt;=VAL_DATE)+(COUNTIF('Dvd Calendar'!$E$1074:$AR$1074,'Dvd Calendar'!$K$1067)=0))&gt;0)=0,"",'Dvd Calendar'!$K$1067*1000000000+ISNUMBER('Dvd Calendar'!$K$1070)*100000000+('Dvd Calendar'!$K$1072=SPECIAL_LBL)*10000000+(N('Dvd Calendar'!$K$1066)&gt;0)*(N('Dvd Calendar'!$K$1066)&lt;=VAL_SERIAL)*1000000+97*1000+7))</f>
        <v/>
      </c>
      <c r="EL108" s="39">
        <f>IF(N('Dvd Calendar'!$L$1067)=0,"",IF(('Dvd Calendar'!$L$1067&gt;=GRID_FROM)*('Dvd Calendar'!$L$1067&lt;=GRID_TO)*((('Dvd Calendar'!$L$1067&lt;=VAL_DATE)+(COUNTIF('Dvd Calendar'!$E$1074:$AR$1074,'Dvd Calendar'!$L$1067)=0))&gt;0)=0,"",'Dvd Calendar'!$L$1067*1000000000+ISNUMBER('Dvd Calendar'!$L$1070)*100000000+('Dvd Calendar'!$L$1072=SPECIAL_LBL)*10000000+(N('Dvd Calendar'!$L$1066)&gt;0)*(N('Dvd Calendar'!$L$1066)&lt;=VAL_SERIAL)*1000000+97*1000+8))</f>
        <v/>
      </c>
      <c r="EM108" s="39">
        <f>IF(N('Dvd Calendar'!$M$1067)=0,"",IF(('Dvd Calendar'!$M$1067&gt;=GRID_FROM)*('Dvd Calendar'!$M$1067&lt;=GRID_TO)*((('Dvd Calendar'!$M$1067&lt;=VAL_DATE)+(COUNTIF('Dvd Calendar'!$E$1074:$AR$1074,'Dvd Calendar'!$M$1067)=0))&gt;0)=0,"",'Dvd Calendar'!$M$1067*1000000000+ISNUMBER('Dvd Calendar'!$M$1070)*100000000+('Dvd Calendar'!$M$1072=SPECIAL_LBL)*10000000+(N('Dvd Calendar'!$M$1066)&gt;0)*(N('Dvd Calendar'!$M$1066)&lt;=VAL_SERIAL)*1000000+97*1000+9))</f>
        <v/>
      </c>
      <c r="EN108" s="39">
        <f>IF(N('Dvd Calendar'!$N$1067)=0,"",IF(('Dvd Calendar'!$N$1067&gt;=GRID_FROM)*('Dvd Calendar'!$N$1067&lt;=GRID_TO)*((('Dvd Calendar'!$N$1067&lt;=VAL_DATE)+(COUNTIF('Dvd Calendar'!$E$1074:$AR$1074,'Dvd Calendar'!$N$1067)=0))&gt;0)=0,"",'Dvd Calendar'!$N$1067*1000000000+ISNUMBER('Dvd Calendar'!$N$1070)*100000000+('Dvd Calendar'!$N$1072=SPECIAL_LBL)*10000000+(N('Dvd Calendar'!$N$1066)&gt;0)*(N('Dvd Calendar'!$N$1066)&lt;=VAL_SERIAL)*1000000+97*1000+10))</f>
        <v/>
      </c>
      <c r="EO108" s="39">
        <f>IF(N('Dvd Calendar'!$O$1067)=0,"",IF(('Dvd Calendar'!$O$1067&gt;=GRID_FROM)*('Dvd Calendar'!$O$1067&lt;=GRID_TO)*((('Dvd Calendar'!$O$1067&lt;=VAL_DATE)+(COUNTIF('Dvd Calendar'!$E$1074:$AR$1074,'Dvd Calendar'!$O$1067)=0))&gt;0)=0,"",'Dvd Calendar'!$O$1067*1000000000+ISNUMBER('Dvd Calendar'!$O$1070)*100000000+('Dvd Calendar'!$O$1072=SPECIAL_LBL)*10000000+(N('Dvd Calendar'!$O$1066)&gt;0)*(N('Dvd Calendar'!$O$1066)&lt;=VAL_SERIAL)*1000000+97*1000+11))</f>
        <v/>
      </c>
      <c r="EP108" s="39">
        <f>IF(N('Dvd Calendar'!$P$1067)=0,"",IF(('Dvd Calendar'!$P$1067&gt;=GRID_FROM)*('Dvd Calendar'!$P$1067&lt;=GRID_TO)*((('Dvd Calendar'!$P$1067&lt;=VAL_DATE)+(COUNTIF('Dvd Calendar'!$E$1074:$AR$1074,'Dvd Calendar'!$P$1067)=0))&gt;0)=0,"",'Dvd Calendar'!$P$1067*1000000000+ISNUMBER('Dvd Calendar'!$P$1070)*100000000+('Dvd Calendar'!$P$1072=SPECIAL_LBL)*10000000+(N('Dvd Calendar'!$P$1066)&gt;0)*(N('Dvd Calendar'!$P$1066)&lt;=VAL_SERIAL)*1000000+97*1000+12))</f>
        <v/>
      </c>
      <c r="EQ108" s="39">
        <f>IF(N('Dvd Calendar'!$Q$1067)=0,"",IF(('Dvd Calendar'!$Q$1067&gt;=GRID_FROM)*('Dvd Calendar'!$Q$1067&lt;=GRID_TO)*((('Dvd Calendar'!$Q$1067&lt;=VAL_DATE)+(COUNTIF('Dvd Calendar'!$E$1074:$AR$1074,'Dvd Calendar'!$Q$1067)=0))&gt;0)=0,"",'Dvd Calendar'!$Q$1067*1000000000+ISNUMBER('Dvd Calendar'!$Q$1070)*100000000+('Dvd Calendar'!$Q$1072=SPECIAL_LBL)*10000000+(N('Dvd Calendar'!$Q$1066)&gt;0)*(N('Dvd Calendar'!$Q$1066)&lt;=VAL_SERIAL)*1000000+97*1000+13))</f>
        <v/>
      </c>
      <c r="ER108" s="39">
        <f>IF(N('Dvd Calendar'!$R$1067)=0,"",IF(('Dvd Calendar'!$R$1067&gt;=GRID_FROM)*('Dvd Calendar'!$R$1067&lt;=GRID_TO)*((('Dvd Calendar'!$R$1067&lt;=VAL_DATE)+(COUNTIF('Dvd Calendar'!$E$1074:$AR$1074,'Dvd Calendar'!$R$1067)=0))&gt;0)=0,"",'Dvd Calendar'!$R$1067*1000000000+ISNUMBER('Dvd Calendar'!$R$1070)*100000000+('Dvd Calendar'!$R$1072=SPECIAL_LBL)*10000000+(N('Dvd Calendar'!$R$1066)&gt;0)*(N('Dvd Calendar'!$R$1066)&lt;=VAL_SERIAL)*1000000+97*1000+14))</f>
        <v/>
      </c>
      <c r="ES108" s="39">
        <f>IF(N('Dvd Calendar'!$S$1067)=0,"",IF(('Dvd Calendar'!$S$1067&gt;=GRID_FROM)*('Dvd Calendar'!$S$1067&lt;=GRID_TO)*((('Dvd Calendar'!$S$1067&lt;=VAL_DATE)+(COUNTIF('Dvd Calendar'!$E$1074:$AR$1074,'Dvd Calendar'!$S$1067)=0))&gt;0)=0,"",'Dvd Calendar'!$S$1067*1000000000+ISNUMBER('Dvd Calendar'!$S$1070)*100000000+('Dvd Calendar'!$S$1072=SPECIAL_LBL)*10000000+(N('Dvd Calendar'!$S$1066)&gt;0)*(N('Dvd Calendar'!$S$1066)&lt;=VAL_SERIAL)*1000000+97*1000+15))</f>
        <v/>
      </c>
      <c r="ET108" s="39">
        <f>IF(N('Dvd Calendar'!$T$1067)=0,"",IF(('Dvd Calendar'!$T$1067&gt;=GRID_FROM)*('Dvd Calendar'!$T$1067&lt;=GRID_TO)*((('Dvd Calendar'!$T$1067&lt;=VAL_DATE)+(COUNTIF('Dvd Calendar'!$E$1074:$AR$1074,'Dvd Calendar'!$T$1067)=0))&gt;0)=0,"",'Dvd Calendar'!$T$1067*1000000000+ISNUMBER('Dvd Calendar'!$T$1070)*100000000+('Dvd Calendar'!$T$1072=SPECIAL_LBL)*10000000+(N('Dvd Calendar'!$T$1066)&gt;0)*(N('Dvd Calendar'!$T$1066)&lt;=VAL_SERIAL)*1000000+97*1000+16))</f>
        <v/>
      </c>
      <c r="EU108" s="39">
        <f>IF(N('Dvd Calendar'!$U$1067)=0,"",IF(('Dvd Calendar'!$U$1067&gt;=GRID_FROM)*('Dvd Calendar'!$U$1067&lt;=GRID_TO)*((('Dvd Calendar'!$U$1067&lt;=VAL_DATE)+(COUNTIF('Dvd Calendar'!$E$1074:$AR$1074,'Dvd Calendar'!$U$1067)=0))&gt;0)=0,"",'Dvd Calendar'!$U$1067*1000000000+ISNUMBER('Dvd Calendar'!$U$1070)*100000000+('Dvd Calendar'!$U$1072=SPECIAL_LBL)*10000000+(N('Dvd Calendar'!$U$1066)&gt;0)*(N('Dvd Calendar'!$U$1066)&lt;=VAL_SERIAL)*1000000+97*1000+17))</f>
        <v/>
      </c>
      <c r="EV108" s="39">
        <f>IF(N('Dvd Calendar'!$V$1067)=0,"",IF(('Dvd Calendar'!$V$1067&gt;=GRID_FROM)*('Dvd Calendar'!$V$1067&lt;=GRID_TO)*((('Dvd Calendar'!$V$1067&lt;=VAL_DATE)+(COUNTIF('Dvd Calendar'!$E$1074:$AR$1074,'Dvd Calendar'!$V$1067)=0))&gt;0)=0,"",'Dvd Calendar'!$V$1067*1000000000+ISNUMBER('Dvd Calendar'!$V$1070)*100000000+('Dvd Calendar'!$V$1072=SPECIAL_LBL)*10000000+(N('Dvd Calendar'!$V$1066)&gt;0)*(N('Dvd Calendar'!$V$1066)&lt;=VAL_SERIAL)*1000000+97*1000+18))</f>
        <v/>
      </c>
      <c r="EW108" s="39">
        <f>IF(N('Dvd Calendar'!$W$1067)=0,"",IF(('Dvd Calendar'!$W$1067&gt;=GRID_FROM)*('Dvd Calendar'!$W$1067&lt;=GRID_TO)*((('Dvd Calendar'!$W$1067&lt;=VAL_DATE)+(COUNTIF('Dvd Calendar'!$E$1074:$AR$1074,'Dvd Calendar'!$W$1067)=0))&gt;0)=0,"",'Dvd Calendar'!$W$1067*1000000000+ISNUMBER('Dvd Calendar'!$W$1070)*100000000+('Dvd Calendar'!$W$1072=SPECIAL_LBL)*10000000+(N('Dvd Calendar'!$W$1066)&gt;0)*(N('Dvd Calendar'!$W$1066)&lt;=VAL_SERIAL)*1000000+97*1000+19))</f>
        <v/>
      </c>
      <c r="EX108" s="39">
        <f>IF(N('Dvd Calendar'!$X$1067)=0,"",IF(('Dvd Calendar'!$X$1067&gt;=GRID_FROM)*('Dvd Calendar'!$X$1067&lt;=GRID_TO)*((('Dvd Calendar'!$X$1067&lt;=VAL_DATE)+(COUNTIF('Dvd Calendar'!$E$1074:$AR$1074,'Dvd Calendar'!$X$1067)=0))&gt;0)=0,"",'Dvd Calendar'!$X$1067*1000000000+ISNUMBER('Dvd Calendar'!$X$1070)*100000000+('Dvd Calendar'!$X$1072=SPECIAL_LBL)*10000000+(N('Dvd Calendar'!$X$1066)&gt;0)*(N('Dvd Calendar'!$X$1066)&lt;=VAL_SERIAL)*1000000+97*1000+20))</f>
        <v/>
      </c>
      <c r="EY108" s="39">
        <f>IF(N('Dvd Calendar'!$Y$1067)=0,"",IF(('Dvd Calendar'!$Y$1067&gt;=GRID_FROM)*('Dvd Calendar'!$Y$1067&lt;=GRID_TO)*((('Dvd Calendar'!$Y$1067&lt;=VAL_DATE)+(COUNTIF('Dvd Calendar'!$E$1074:$AR$1074,'Dvd Calendar'!$Y$1067)=0))&gt;0)=0,"",'Dvd Calendar'!$Y$1067*1000000000+ISNUMBER('Dvd Calendar'!$Y$1070)*100000000+('Dvd Calendar'!$Y$1072=SPECIAL_LBL)*10000000+(N('Dvd Calendar'!$Y$1066)&gt;0)*(N('Dvd Calendar'!$Y$1066)&lt;=VAL_SERIAL)*1000000+97*1000+21))</f>
        <v/>
      </c>
      <c r="EZ108" s="39">
        <f>IF(N('Dvd Calendar'!$Z$1067)=0,"",IF(('Dvd Calendar'!$Z$1067&gt;=GRID_FROM)*('Dvd Calendar'!$Z$1067&lt;=GRID_TO)*((('Dvd Calendar'!$Z$1067&lt;=VAL_DATE)+(COUNTIF('Dvd Calendar'!$E$1074:$AR$1074,'Dvd Calendar'!$Z$1067)=0))&gt;0)=0,"",'Dvd Calendar'!$Z$1067*1000000000+ISNUMBER('Dvd Calendar'!$Z$1070)*100000000+('Dvd Calendar'!$Z$1072=SPECIAL_LBL)*10000000+(N('Dvd Calendar'!$Z$1066)&gt;0)*(N('Dvd Calendar'!$Z$1066)&lt;=VAL_SERIAL)*1000000+97*1000+22))</f>
        <v/>
      </c>
      <c r="FA108" s="39">
        <f>IF(N('Dvd Calendar'!$AA$1067)=0,"",IF(('Dvd Calendar'!$AA$1067&gt;=GRID_FROM)*('Dvd Calendar'!$AA$1067&lt;=GRID_TO)*((('Dvd Calendar'!$AA$1067&lt;=VAL_DATE)+(COUNTIF('Dvd Calendar'!$E$1074:$AR$1074,'Dvd Calendar'!$AA$1067)=0))&gt;0)=0,"",'Dvd Calendar'!$AA$1067*1000000000+ISNUMBER('Dvd Calendar'!$AA$1070)*100000000+('Dvd Calendar'!$AA$1072=SPECIAL_LBL)*10000000+(N('Dvd Calendar'!$AA$1066)&gt;0)*(N('Dvd Calendar'!$AA$1066)&lt;=VAL_SERIAL)*1000000+97*1000+23))</f>
        <v/>
      </c>
      <c r="FB108" s="39">
        <f>IF(N('Dvd Calendar'!$AB$1067)=0,"",IF(('Dvd Calendar'!$AB$1067&gt;=GRID_FROM)*('Dvd Calendar'!$AB$1067&lt;=GRID_TO)*((('Dvd Calendar'!$AB$1067&lt;=VAL_DATE)+(COUNTIF('Dvd Calendar'!$E$1074:$AR$1074,'Dvd Calendar'!$AB$1067)=0))&gt;0)=0,"",'Dvd Calendar'!$AB$1067*1000000000+ISNUMBER('Dvd Calendar'!$AB$1070)*100000000+('Dvd Calendar'!$AB$1072=SPECIAL_LBL)*10000000+(N('Dvd Calendar'!$AB$1066)&gt;0)*(N('Dvd Calendar'!$AB$1066)&lt;=VAL_SERIAL)*1000000+97*1000+24))</f>
        <v/>
      </c>
      <c r="FC108" s="39">
        <f>IF(N('Dvd Calendar'!$AC$1067)=0,"",IF(('Dvd Calendar'!$AC$1067&gt;=GRID_FROM)*('Dvd Calendar'!$AC$1067&lt;=GRID_TO)*((('Dvd Calendar'!$AC$1067&lt;=VAL_DATE)+(COUNTIF('Dvd Calendar'!$E$1074:$AR$1074,'Dvd Calendar'!$AC$1067)=0))&gt;0)=0,"",'Dvd Calendar'!$AC$1067*1000000000+ISNUMBER('Dvd Calendar'!$AC$1070)*100000000+('Dvd Calendar'!$AC$1072=SPECIAL_LBL)*10000000+(N('Dvd Calendar'!$AC$1066)&gt;0)*(N('Dvd Calendar'!$AC$1066)&lt;=VAL_SERIAL)*1000000+97*1000+25))</f>
        <v/>
      </c>
      <c r="FD108" s="39">
        <f>IF(N('Dvd Calendar'!$AD$1067)=0,"",IF(('Dvd Calendar'!$AD$1067&gt;=GRID_FROM)*('Dvd Calendar'!$AD$1067&lt;=GRID_TO)*((('Dvd Calendar'!$AD$1067&lt;=VAL_DATE)+(COUNTIF('Dvd Calendar'!$E$1074:$AR$1074,'Dvd Calendar'!$AD$1067)=0))&gt;0)=0,"",'Dvd Calendar'!$AD$1067*1000000000+ISNUMBER('Dvd Calendar'!$AD$1070)*100000000+('Dvd Calendar'!$AD$1072=SPECIAL_LBL)*10000000+(N('Dvd Calendar'!$AD$1066)&gt;0)*(N('Dvd Calendar'!$AD$1066)&lt;=VAL_SERIAL)*1000000+97*1000+26))</f>
        <v/>
      </c>
      <c r="FE108" s="39">
        <f>IF(N('Dvd Calendar'!$AE$1067)=0,"",IF(('Dvd Calendar'!$AE$1067&gt;=GRID_FROM)*('Dvd Calendar'!$AE$1067&lt;=GRID_TO)*((('Dvd Calendar'!$AE$1067&lt;=VAL_DATE)+(COUNTIF('Dvd Calendar'!$E$1074:$AR$1074,'Dvd Calendar'!$AE$1067)=0))&gt;0)=0,"",'Dvd Calendar'!$AE$1067*1000000000+ISNUMBER('Dvd Calendar'!$AE$1070)*100000000+('Dvd Calendar'!$AE$1072=SPECIAL_LBL)*10000000+(N('Dvd Calendar'!$AE$1066)&gt;0)*(N('Dvd Calendar'!$AE$1066)&lt;=VAL_SERIAL)*1000000+97*1000+27))</f>
        <v/>
      </c>
      <c r="FF108" s="39">
        <f>IF(N('Dvd Calendar'!$AF$1067)=0,"",IF(('Dvd Calendar'!$AF$1067&gt;=GRID_FROM)*('Dvd Calendar'!$AF$1067&lt;=GRID_TO)*((('Dvd Calendar'!$AF$1067&lt;=VAL_DATE)+(COUNTIF('Dvd Calendar'!$E$1074:$AR$1074,'Dvd Calendar'!$AF$1067)=0))&gt;0)=0,"",'Dvd Calendar'!$AF$1067*1000000000+ISNUMBER('Dvd Calendar'!$AF$1070)*100000000+('Dvd Calendar'!$AF$1072=SPECIAL_LBL)*10000000+(N('Dvd Calendar'!$AF$1066)&gt;0)*(N('Dvd Calendar'!$AF$1066)&lt;=VAL_SERIAL)*1000000+97*1000+28))</f>
        <v/>
      </c>
      <c r="FG108" s="39">
        <f>IF(N('Dvd Calendar'!$AG$1067)=0,"",IF(('Dvd Calendar'!$AG$1067&gt;=GRID_FROM)*('Dvd Calendar'!$AG$1067&lt;=GRID_TO)*((('Dvd Calendar'!$AG$1067&lt;=VAL_DATE)+(COUNTIF('Dvd Calendar'!$E$1074:$AR$1074,'Dvd Calendar'!$AG$1067)=0))&gt;0)=0,"",'Dvd Calendar'!$AG$1067*1000000000+ISNUMBER('Dvd Calendar'!$AG$1070)*100000000+('Dvd Calendar'!$AG$1072=SPECIAL_LBL)*10000000+(N('Dvd Calendar'!$AG$1066)&gt;0)*(N('Dvd Calendar'!$AG$1066)&lt;=VAL_SERIAL)*1000000+97*1000+29))</f>
        <v/>
      </c>
      <c r="FH108" s="39">
        <f>IF(N('Dvd Calendar'!$AH$1067)=0,"",IF(('Dvd Calendar'!$AH$1067&gt;=GRID_FROM)*('Dvd Calendar'!$AH$1067&lt;=GRID_TO)*((('Dvd Calendar'!$AH$1067&lt;=VAL_DATE)+(COUNTIF('Dvd Calendar'!$E$1074:$AR$1074,'Dvd Calendar'!$AH$1067)=0))&gt;0)=0,"",'Dvd Calendar'!$AH$1067*1000000000+ISNUMBER('Dvd Calendar'!$AH$1070)*100000000+('Dvd Calendar'!$AH$1072=SPECIAL_LBL)*10000000+(N('Dvd Calendar'!$AH$1066)&gt;0)*(N('Dvd Calendar'!$AH$1066)&lt;=VAL_SERIAL)*1000000+97*1000+30))</f>
        <v/>
      </c>
      <c r="FI108" s="39">
        <f>IF(N('Dvd Calendar'!$AI$1067)=0,"",IF(('Dvd Calendar'!$AI$1067&gt;=GRID_FROM)*('Dvd Calendar'!$AI$1067&lt;=GRID_TO)*((('Dvd Calendar'!$AI$1067&lt;=VAL_DATE)+(COUNTIF('Dvd Calendar'!$E$1074:$AR$1074,'Dvd Calendar'!$AI$1067)=0))&gt;0)=0,"",'Dvd Calendar'!$AI$1067*1000000000+ISNUMBER('Dvd Calendar'!$AI$1070)*100000000+('Dvd Calendar'!$AI$1072=SPECIAL_LBL)*10000000+(N('Dvd Calendar'!$AI$1066)&gt;0)*(N('Dvd Calendar'!$AI$1066)&lt;=VAL_SERIAL)*1000000+97*1000+31))</f>
        <v/>
      </c>
      <c r="FJ108" s="39">
        <f>IF(N('Dvd Calendar'!$AJ$1067)=0,"",IF(('Dvd Calendar'!$AJ$1067&gt;=GRID_FROM)*('Dvd Calendar'!$AJ$1067&lt;=GRID_TO)*((('Dvd Calendar'!$AJ$1067&lt;=VAL_DATE)+(COUNTIF('Dvd Calendar'!$E$1074:$AR$1074,'Dvd Calendar'!$AJ$1067)=0))&gt;0)=0,"",'Dvd Calendar'!$AJ$1067*1000000000+ISNUMBER('Dvd Calendar'!$AJ$1070)*100000000+('Dvd Calendar'!$AJ$1072=SPECIAL_LBL)*10000000+(N('Dvd Calendar'!$AJ$1066)&gt;0)*(N('Dvd Calendar'!$AJ$1066)&lt;=VAL_SERIAL)*1000000+97*1000+32))</f>
        <v/>
      </c>
      <c r="FK108" s="39">
        <f>IF(N('Dvd Calendar'!$AK$1067)=0,"",IF(('Dvd Calendar'!$AK$1067&gt;=GRID_FROM)*('Dvd Calendar'!$AK$1067&lt;=GRID_TO)*((('Dvd Calendar'!$AK$1067&lt;=VAL_DATE)+(COUNTIF('Dvd Calendar'!$E$1074:$AR$1074,'Dvd Calendar'!$AK$1067)=0))&gt;0)=0,"",'Dvd Calendar'!$AK$1067*1000000000+ISNUMBER('Dvd Calendar'!$AK$1070)*100000000+('Dvd Calendar'!$AK$1072=SPECIAL_LBL)*10000000+(N('Dvd Calendar'!$AK$1066)&gt;0)*(N('Dvd Calendar'!$AK$1066)&lt;=VAL_SERIAL)*1000000+97*1000+33))</f>
        <v/>
      </c>
      <c r="FL108" s="39">
        <f>IF(N('Dvd Calendar'!$AL$1067)=0,"",IF(('Dvd Calendar'!$AL$1067&gt;=GRID_FROM)*('Dvd Calendar'!$AL$1067&lt;=GRID_TO)*((('Dvd Calendar'!$AL$1067&lt;=VAL_DATE)+(COUNTIF('Dvd Calendar'!$E$1074:$AR$1074,'Dvd Calendar'!$AL$1067)=0))&gt;0)=0,"",'Dvd Calendar'!$AL$1067*1000000000+ISNUMBER('Dvd Calendar'!$AL$1070)*100000000+('Dvd Calendar'!$AL$1072=SPECIAL_LBL)*10000000+(N('Dvd Calendar'!$AL$1066)&gt;0)*(N('Dvd Calendar'!$AL$1066)&lt;=VAL_SERIAL)*1000000+97*1000+34))</f>
        <v/>
      </c>
      <c r="FM108" s="39">
        <f>IF(N('Dvd Calendar'!$AM$1067)=0,"",IF(('Dvd Calendar'!$AM$1067&gt;=GRID_FROM)*('Dvd Calendar'!$AM$1067&lt;=GRID_TO)*((('Dvd Calendar'!$AM$1067&lt;=VAL_DATE)+(COUNTIF('Dvd Calendar'!$E$1074:$AR$1074,'Dvd Calendar'!$AM$1067)=0))&gt;0)=0,"",'Dvd Calendar'!$AM$1067*1000000000+ISNUMBER('Dvd Calendar'!$AM$1070)*100000000+('Dvd Calendar'!$AM$1072=SPECIAL_LBL)*10000000+(N('Dvd Calendar'!$AM$1066)&gt;0)*(N('Dvd Calendar'!$AM$1066)&lt;=VAL_SERIAL)*1000000+97*1000+35))</f>
        <v/>
      </c>
      <c r="FN108" s="39">
        <f>IF(N('Dvd Calendar'!$AN$1067)=0,"",IF(('Dvd Calendar'!$AN$1067&gt;=GRID_FROM)*('Dvd Calendar'!$AN$1067&lt;=GRID_TO)*((('Dvd Calendar'!$AN$1067&lt;=VAL_DATE)+(COUNTIF('Dvd Calendar'!$E$1074:$AR$1074,'Dvd Calendar'!$AN$1067)=0))&gt;0)=0,"",'Dvd Calendar'!$AN$1067*1000000000+ISNUMBER('Dvd Calendar'!$AN$1070)*100000000+('Dvd Calendar'!$AN$1072=SPECIAL_LBL)*10000000+(N('Dvd Calendar'!$AN$1066)&gt;0)*(N('Dvd Calendar'!$AN$1066)&lt;=VAL_SERIAL)*1000000+97*1000+36))</f>
        <v/>
      </c>
      <c r="FO108" s="39">
        <f>IF(N('Dvd Calendar'!$AO$1067)=0,"",IF(('Dvd Calendar'!$AO$1067&gt;=GRID_FROM)*('Dvd Calendar'!$AO$1067&lt;=GRID_TO)*((('Dvd Calendar'!$AO$1067&lt;=VAL_DATE)+(COUNTIF('Dvd Calendar'!$E$1074:$AR$1074,'Dvd Calendar'!$AO$1067)=0))&gt;0)=0,"",'Dvd Calendar'!$AO$1067*1000000000+ISNUMBER('Dvd Calendar'!$AO$1070)*100000000+('Dvd Calendar'!$AO$1072=SPECIAL_LBL)*10000000+(N('Dvd Calendar'!$AO$1066)&gt;0)*(N('Dvd Calendar'!$AO$1066)&lt;=VAL_SERIAL)*1000000+97*1000+37))</f>
        <v/>
      </c>
      <c r="FP108" s="39">
        <f>IF(N('Dvd Calendar'!$AP$1067)=0,"",IF(('Dvd Calendar'!$AP$1067&gt;=GRID_FROM)*('Dvd Calendar'!$AP$1067&lt;=GRID_TO)*((('Dvd Calendar'!$AP$1067&lt;=VAL_DATE)+(COUNTIF('Dvd Calendar'!$E$1074:$AR$1074,'Dvd Calendar'!$AP$1067)=0))&gt;0)=0,"",'Dvd Calendar'!$AP$1067*1000000000+ISNUMBER('Dvd Calendar'!$AP$1070)*100000000+('Dvd Calendar'!$AP$1072=SPECIAL_LBL)*10000000+(N('Dvd Calendar'!$AP$1066)&gt;0)*(N('Dvd Calendar'!$AP$1066)&lt;=VAL_SERIAL)*1000000+97*1000+38))</f>
        <v/>
      </c>
      <c r="FQ108" s="39">
        <f>IF(N('Dvd Calendar'!$AQ$1067)=0,"",IF(('Dvd Calendar'!$AQ$1067&gt;=GRID_FROM)*('Dvd Calendar'!$AQ$1067&lt;=GRID_TO)*((('Dvd Calendar'!$AQ$1067&lt;=VAL_DATE)+(COUNTIF('Dvd Calendar'!$E$1074:$AR$1074,'Dvd Calendar'!$AQ$1067)=0))&gt;0)=0,"",'Dvd Calendar'!$AQ$1067*1000000000+ISNUMBER('Dvd Calendar'!$AQ$1070)*100000000+('Dvd Calendar'!$AQ$1072=SPECIAL_LBL)*10000000+(N('Dvd Calendar'!$AQ$1066)&gt;0)*(N('Dvd Calendar'!$AQ$1066)&lt;=VAL_SERIAL)*1000000+97*1000+39))</f>
        <v/>
      </c>
      <c r="FR108" s="39">
        <f>IF(N('Dvd Calendar'!$AR$1067)=0,"",IF(('Dvd Calendar'!$AR$1067&gt;=GRID_FROM)*('Dvd Calendar'!$AR$1067&lt;=GRID_TO)*((('Dvd Calendar'!$AR$1067&lt;=VAL_DATE)+(COUNTIF('Dvd Calendar'!$E$1074:$AR$1074,'Dvd Calendar'!$AR$1067)=0))&gt;0)=0,"",'Dvd Calendar'!$AR$1067*1000000000+ISNUMBER('Dvd Calendar'!$AR$1070)*100000000+('Dvd Calendar'!$AR$1072=SPECIAL_LBL)*10000000+(N('Dvd Calendar'!$AR$1066)&gt;0)*(N('Dvd Calendar'!$AR$1066)&lt;=VAL_SERIAL)*1000000+97*1000+40))</f>
        <v/>
      </c>
      <c r="FS108" s="39">
        <f>IF(N('Dvd Calendar'!$E$1074)=0,"",IF(('Dvd Calendar'!$E$1074&gt;=GRID_FROM)*('Dvd Calendar'!$E$1074&lt;=GRID_TO)*('Dvd Calendar'!$E$1074&gt;VAL_DATE)=0,"",'Dvd Calendar'!$E$1074*1000000000+ISNUMBER('Dvd Calendar'!$E$1075)*100000000+0*10000000+(N('Dvd Calendar'!$E$1073)&gt;0)*(N('Dvd Calendar'!$E$1073)&lt;=VAL_SERIAL)*1000000+97*1000+41))</f>
        <v/>
      </c>
      <c r="FT108" s="39">
        <f>IF(N('Dvd Calendar'!$F$1074)=0,"",IF(('Dvd Calendar'!$F$1074&gt;=GRID_FROM)*('Dvd Calendar'!$F$1074&lt;=GRID_TO)*('Dvd Calendar'!$F$1074&gt;VAL_DATE)=0,"",'Dvd Calendar'!$F$1074*1000000000+ISNUMBER('Dvd Calendar'!$F$1075)*100000000+0*10000000+(N('Dvd Calendar'!$F$1073)&gt;0)*(N('Dvd Calendar'!$F$1073)&lt;=VAL_SERIAL)*1000000+97*1000+42))</f>
        <v/>
      </c>
      <c r="FU108" s="39">
        <f>IF(N('Dvd Calendar'!$G$1074)=0,"",IF(('Dvd Calendar'!$G$1074&gt;=GRID_FROM)*('Dvd Calendar'!$G$1074&lt;=GRID_TO)*('Dvd Calendar'!$G$1074&gt;VAL_DATE)=0,"",'Dvd Calendar'!$G$1074*1000000000+ISNUMBER('Dvd Calendar'!$G$1075)*100000000+0*10000000+(N('Dvd Calendar'!$G$1073)&gt;0)*(N('Dvd Calendar'!$G$1073)&lt;=VAL_SERIAL)*1000000+97*1000+43))</f>
        <v/>
      </c>
      <c r="FV108" s="39">
        <f>IF(N('Dvd Calendar'!$H$1074)=0,"",IF(('Dvd Calendar'!$H$1074&gt;=GRID_FROM)*('Dvd Calendar'!$H$1074&lt;=GRID_TO)*('Dvd Calendar'!$H$1074&gt;VAL_DATE)=0,"",'Dvd Calendar'!$H$1074*1000000000+ISNUMBER('Dvd Calendar'!$H$1075)*100000000+0*10000000+(N('Dvd Calendar'!$H$1073)&gt;0)*(N('Dvd Calendar'!$H$1073)&lt;=VAL_SERIAL)*1000000+97*1000+44))</f>
        <v/>
      </c>
      <c r="FW108" s="39">
        <f>IF(N('Dvd Calendar'!$I$1074)=0,"",IF(('Dvd Calendar'!$I$1074&gt;=GRID_FROM)*('Dvd Calendar'!$I$1074&lt;=GRID_TO)*('Dvd Calendar'!$I$1074&gt;VAL_DATE)=0,"",'Dvd Calendar'!$I$1074*1000000000+ISNUMBER('Dvd Calendar'!$I$1075)*100000000+0*10000000+(N('Dvd Calendar'!$I$1073)&gt;0)*(N('Dvd Calendar'!$I$1073)&lt;=VAL_SERIAL)*1000000+97*1000+45))</f>
        <v/>
      </c>
      <c r="FX108" s="39">
        <f>IF(N('Dvd Calendar'!$J$1074)=0,"",IF(('Dvd Calendar'!$J$1074&gt;=GRID_FROM)*('Dvd Calendar'!$J$1074&lt;=GRID_TO)*('Dvd Calendar'!$J$1074&gt;VAL_DATE)=0,"",'Dvd Calendar'!$J$1074*1000000000+ISNUMBER('Dvd Calendar'!$J$1075)*100000000+0*10000000+(N('Dvd Calendar'!$J$1073)&gt;0)*(N('Dvd Calendar'!$J$1073)&lt;=VAL_SERIAL)*1000000+97*1000+46))</f>
        <v/>
      </c>
      <c r="FY108" s="39">
        <f>IF(N('Dvd Calendar'!$K$1074)=0,"",IF(('Dvd Calendar'!$K$1074&gt;=GRID_FROM)*('Dvd Calendar'!$K$1074&lt;=GRID_TO)*('Dvd Calendar'!$K$1074&gt;VAL_DATE)=0,"",'Dvd Calendar'!$K$1074*1000000000+ISNUMBER('Dvd Calendar'!$K$1075)*100000000+0*10000000+(N('Dvd Calendar'!$K$1073)&gt;0)*(N('Dvd Calendar'!$K$1073)&lt;=VAL_SERIAL)*1000000+97*1000+47))</f>
        <v/>
      </c>
      <c r="FZ108" s="39">
        <f>IF(N('Dvd Calendar'!$L$1074)=0,"",IF(('Dvd Calendar'!$L$1074&gt;=GRID_FROM)*('Dvd Calendar'!$L$1074&lt;=GRID_TO)*('Dvd Calendar'!$L$1074&gt;VAL_DATE)=0,"",'Dvd Calendar'!$L$1074*1000000000+ISNUMBER('Dvd Calendar'!$L$1075)*100000000+0*10000000+(N('Dvd Calendar'!$L$1073)&gt;0)*(N('Dvd Calendar'!$L$1073)&lt;=VAL_SERIAL)*1000000+97*1000+48))</f>
        <v/>
      </c>
      <c r="GA108" s="39">
        <f>IF(N('Dvd Calendar'!$M$1074)=0,"",IF(('Dvd Calendar'!$M$1074&gt;=GRID_FROM)*('Dvd Calendar'!$M$1074&lt;=GRID_TO)*('Dvd Calendar'!$M$1074&gt;VAL_DATE)=0,"",'Dvd Calendar'!$M$1074*1000000000+ISNUMBER('Dvd Calendar'!$M$1075)*100000000+0*10000000+(N('Dvd Calendar'!$M$1073)&gt;0)*(N('Dvd Calendar'!$M$1073)&lt;=VAL_SERIAL)*1000000+97*1000+49))</f>
        <v/>
      </c>
      <c r="GB108" s="39">
        <f>IF(N('Dvd Calendar'!$N$1074)=0,"",IF(('Dvd Calendar'!$N$1074&gt;=GRID_FROM)*('Dvd Calendar'!$N$1074&lt;=GRID_TO)*('Dvd Calendar'!$N$1074&gt;VAL_DATE)=0,"",'Dvd Calendar'!$N$1074*1000000000+ISNUMBER('Dvd Calendar'!$N$1075)*100000000+0*10000000+(N('Dvd Calendar'!$N$1073)&gt;0)*(N('Dvd Calendar'!$N$1073)&lt;=VAL_SERIAL)*1000000+97*1000+50))</f>
        <v/>
      </c>
      <c r="GC108" s="39">
        <f>IF(N('Dvd Calendar'!$O$1074)=0,"",IF(('Dvd Calendar'!$O$1074&gt;=GRID_FROM)*('Dvd Calendar'!$O$1074&lt;=GRID_TO)*('Dvd Calendar'!$O$1074&gt;VAL_DATE)=0,"",'Dvd Calendar'!$O$1074*1000000000+ISNUMBER('Dvd Calendar'!$O$1075)*100000000+0*10000000+(N('Dvd Calendar'!$O$1073)&gt;0)*(N('Dvd Calendar'!$O$1073)&lt;=VAL_SERIAL)*1000000+97*1000+51))</f>
        <v/>
      </c>
      <c r="GD108" s="39">
        <f>IF(N('Dvd Calendar'!$P$1074)=0,"",IF(('Dvd Calendar'!$P$1074&gt;=GRID_FROM)*('Dvd Calendar'!$P$1074&lt;=GRID_TO)*('Dvd Calendar'!$P$1074&gt;VAL_DATE)=0,"",'Dvd Calendar'!$P$1074*1000000000+ISNUMBER('Dvd Calendar'!$P$1075)*100000000+0*10000000+(N('Dvd Calendar'!$P$1073)&gt;0)*(N('Dvd Calendar'!$P$1073)&lt;=VAL_SERIAL)*1000000+97*1000+52))</f>
        <v/>
      </c>
      <c r="GE108" s="39">
        <f>IF(N('Dvd Calendar'!$Q$1074)=0,"",IF(('Dvd Calendar'!$Q$1074&gt;=GRID_FROM)*('Dvd Calendar'!$Q$1074&lt;=GRID_TO)*('Dvd Calendar'!$Q$1074&gt;VAL_DATE)=0,"",'Dvd Calendar'!$Q$1074*1000000000+ISNUMBER('Dvd Calendar'!$Q$1075)*100000000+0*10000000+(N('Dvd Calendar'!$Q$1073)&gt;0)*(N('Dvd Calendar'!$Q$1073)&lt;=VAL_SERIAL)*1000000+97*1000+53))</f>
        <v/>
      </c>
      <c r="GF108" s="39">
        <f>IF(N('Dvd Calendar'!$R$1074)=0,"",IF(('Dvd Calendar'!$R$1074&gt;=GRID_FROM)*('Dvd Calendar'!$R$1074&lt;=GRID_TO)*('Dvd Calendar'!$R$1074&gt;VAL_DATE)=0,"",'Dvd Calendar'!$R$1074*1000000000+ISNUMBER('Dvd Calendar'!$R$1075)*100000000+0*10000000+(N('Dvd Calendar'!$R$1073)&gt;0)*(N('Dvd Calendar'!$R$1073)&lt;=VAL_SERIAL)*1000000+97*1000+54))</f>
        <v/>
      </c>
      <c r="GG108" s="39">
        <f>IF(N('Dvd Calendar'!$S$1074)=0,"",IF(('Dvd Calendar'!$S$1074&gt;=GRID_FROM)*('Dvd Calendar'!$S$1074&lt;=GRID_TO)*('Dvd Calendar'!$S$1074&gt;VAL_DATE)=0,"",'Dvd Calendar'!$S$1074*1000000000+ISNUMBER('Dvd Calendar'!$S$1075)*100000000+0*10000000+(N('Dvd Calendar'!$S$1073)&gt;0)*(N('Dvd Calendar'!$S$1073)&lt;=VAL_SERIAL)*1000000+97*1000+55))</f>
        <v/>
      </c>
      <c r="GH108" s="39">
        <f>IF(N('Dvd Calendar'!$T$1074)=0,"",IF(('Dvd Calendar'!$T$1074&gt;=GRID_FROM)*('Dvd Calendar'!$T$1074&lt;=GRID_TO)*('Dvd Calendar'!$T$1074&gt;VAL_DATE)=0,"",'Dvd Calendar'!$T$1074*1000000000+ISNUMBER('Dvd Calendar'!$T$1075)*100000000+0*10000000+(N('Dvd Calendar'!$T$1073)&gt;0)*(N('Dvd Calendar'!$T$1073)&lt;=VAL_SERIAL)*1000000+97*1000+56))</f>
        <v/>
      </c>
      <c r="GI108" s="39">
        <f>IF(N('Dvd Calendar'!$U$1074)=0,"",IF(('Dvd Calendar'!$U$1074&gt;=GRID_FROM)*('Dvd Calendar'!$U$1074&lt;=GRID_TO)*('Dvd Calendar'!$U$1074&gt;VAL_DATE)=0,"",'Dvd Calendar'!$U$1074*1000000000+ISNUMBER('Dvd Calendar'!$U$1075)*100000000+0*10000000+(N('Dvd Calendar'!$U$1073)&gt;0)*(N('Dvd Calendar'!$U$1073)&lt;=VAL_SERIAL)*1000000+97*1000+57))</f>
        <v/>
      </c>
      <c r="GJ108" s="39">
        <f>IF(N('Dvd Calendar'!$V$1074)=0,"",IF(('Dvd Calendar'!$V$1074&gt;=GRID_FROM)*('Dvd Calendar'!$V$1074&lt;=GRID_TO)*('Dvd Calendar'!$V$1074&gt;VAL_DATE)=0,"",'Dvd Calendar'!$V$1074*1000000000+ISNUMBER('Dvd Calendar'!$V$1075)*100000000+0*10000000+(N('Dvd Calendar'!$V$1073)&gt;0)*(N('Dvd Calendar'!$V$1073)&lt;=VAL_SERIAL)*1000000+97*1000+58))</f>
        <v/>
      </c>
      <c r="GK108" s="39">
        <f>IF(N('Dvd Calendar'!$W$1074)=0,"",IF(('Dvd Calendar'!$W$1074&gt;=GRID_FROM)*('Dvd Calendar'!$W$1074&lt;=GRID_TO)*('Dvd Calendar'!$W$1074&gt;VAL_DATE)=0,"",'Dvd Calendar'!$W$1074*1000000000+ISNUMBER('Dvd Calendar'!$W$1075)*100000000+0*10000000+(N('Dvd Calendar'!$W$1073)&gt;0)*(N('Dvd Calendar'!$W$1073)&lt;=VAL_SERIAL)*1000000+97*1000+59))</f>
        <v/>
      </c>
      <c r="GL108" s="39">
        <f>IF(N('Dvd Calendar'!$X$1074)=0,"",IF(('Dvd Calendar'!$X$1074&gt;=GRID_FROM)*('Dvd Calendar'!$X$1074&lt;=GRID_TO)*('Dvd Calendar'!$X$1074&gt;VAL_DATE)=0,"",'Dvd Calendar'!$X$1074*1000000000+ISNUMBER('Dvd Calendar'!$X$1075)*100000000+0*10000000+(N('Dvd Calendar'!$X$1073)&gt;0)*(N('Dvd Calendar'!$X$1073)&lt;=VAL_SERIAL)*1000000+97*1000+60))</f>
        <v/>
      </c>
      <c r="GM108" s="39">
        <f>IF(N('Dvd Calendar'!$Y$1074)=0,"",IF(('Dvd Calendar'!$Y$1074&gt;=GRID_FROM)*('Dvd Calendar'!$Y$1074&lt;=GRID_TO)*('Dvd Calendar'!$Y$1074&gt;VAL_DATE)=0,"",'Dvd Calendar'!$Y$1074*1000000000+ISNUMBER('Dvd Calendar'!$Y$1075)*100000000+0*10000000+(N('Dvd Calendar'!$Y$1073)&gt;0)*(N('Dvd Calendar'!$Y$1073)&lt;=VAL_SERIAL)*1000000+97*1000+61))</f>
        <v/>
      </c>
      <c r="GN108" s="39">
        <f>IF(N('Dvd Calendar'!$Z$1074)=0,"",IF(('Dvd Calendar'!$Z$1074&gt;=GRID_FROM)*('Dvd Calendar'!$Z$1074&lt;=GRID_TO)*('Dvd Calendar'!$Z$1074&gt;VAL_DATE)=0,"",'Dvd Calendar'!$Z$1074*1000000000+ISNUMBER('Dvd Calendar'!$Z$1075)*100000000+0*10000000+(N('Dvd Calendar'!$Z$1073)&gt;0)*(N('Dvd Calendar'!$Z$1073)&lt;=VAL_SERIAL)*1000000+97*1000+62))</f>
        <v/>
      </c>
      <c r="GO108" s="39">
        <f>IF(N('Dvd Calendar'!$AA$1074)=0,"",IF(('Dvd Calendar'!$AA$1074&gt;=GRID_FROM)*('Dvd Calendar'!$AA$1074&lt;=GRID_TO)*('Dvd Calendar'!$AA$1074&gt;VAL_DATE)=0,"",'Dvd Calendar'!$AA$1074*1000000000+ISNUMBER('Dvd Calendar'!$AA$1075)*100000000+0*10000000+(N('Dvd Calendar'!$AA$1073)&gt;0)*(N('Dvd Calendar'!$AA$1073)&lt;=VAL_SERIAL)*1000000+97*1000+63))</f>
        <v/>
      </c>
      <c r="GP108" s="39">
        <f>IF(N('Dvd Calendar'!$AB$1074)=0,"",IF(('Dvd Calendar'!$AB$1074&gt;=GRID_FROM)*('Dvd Calendar'!$AB$1074&lt;=GRID_TO)*('Dvd Calendar'!$AB$1074&gt;VAL_DATE)=0,"",'Dvd Calendar'!$AB$1074*1000000000+ISNUMBER('Dvd Calendar'!$AB$1075)*100000000+0*10000000+(N('Dvd Calendar'!$AB$1073)&gt;0)*(N('Dvd Calendar'!$AB$1073)&lt;=VAL_SERIAL)*1000000+97*1000+64))</f>
        <v/>
      </c>
      <c r="GQ108" s="39">
        <f>IF(N('Dvd Calendar'!$AC$1074)=0,"",IF(('Dvd Calendar'!$AC$1074&gt;=GRID_FROM)*('Dvd Calendar'!$AC$1074&lt;=GRID_TO)*('Dvd Calendar'!$AC$1074&gt;VAL_DATE)=0,"",'Dvd Calendar'!$AC$1074*1000000000+ISNUMBER('Dvd Calendar'!$AC$1075)*100000000+0*10000000+(N('Dvd Calendar'!$AC$1073)&gt;0)*(N('Dvd Calendar'!$AC$1073)&lt;=VAL_SERIAL)*1000000+97*1000+65))</f>
        <v/>
      </c>
    </row>
    <row r="109">
      <c r="B109" s="2">
        <f>IF(HSI!$C$104="","",HSI!$C$104)</f>
        <v/>
      </c>
      <c r="C109" s="110">
        <f>IF(EE109="","",IF(ISNUMBER('Dvd Calendar'!$E$1081)=FALSE,"",IF((('Dvd Calendar'!$E$1083=TYPE1)*(TYPE1&lt;&gt;"")+('Dvd Calendar'!$E$1083=TYPE2)*(TYPE2&lt;&gt;"")+('Dvd Calendar'!$E$1083=TYPE3)*(TYPE3&lt;&gt;"")+('Dvd Calendar'!$E$1083=TYPE4)*(TYPE4&lt;&gt;"")+('Dvd Calendar'!$E$1083=SPECIAL_LBL)*(INC_SPECIALS="Y"))=0,"",'Dvd Calendar'!$E$1081)))</f>
        <v/>
      </c>
      <c r="D109" s="110">
        <f>IF(EF109="","",IF(ISNUMBER('Dvd Calendar'!$F$1081)=FALSE,"",IF((('Dvd Calendar'!$F$1083=TYPE1)*(TYPE1&lt;&gt;"")+('Dvd Calendar'!$F$1083=TYPE2)*(TYPE2&lt;&gt;"")+('Dvd Calendar'!$F$1083=TYPE3)*(TYPE3&lt;&gt;"")+('Dvd Calendar'!$F$1083=TYPE4)*(TYPE4&lt;&gt;"")+('Dvd Calendar'!$F$1083=SPECIAL_LBL)*(INC_SPECIALS="Y"))=0,"",'Dvd Calendar'!$F$1081)))</f>
        <v/>
      </c>
      <c r="E109" s="110">
        <f>IF(EG109="","",IF(ISNUMBER('Dvd Calendar'!$G$1081)=FALSE,"",IF((('Dvd Calendar'!$G$1083=TYPE1)*(TYPE1&lt;&gt;"")+('Dvd Calendar'!$G$1083=TYPE2)*(TYPE2&lt;&gt;"")+('Dvd Calendar'!$G$1083=TYPE3)*(TYPE3&lt;&gt;"")+('Dvd Calendar'!$G$1083=TYPE4)*(TYPE4&lt;&gt;"")+('Dvd Calendar'!$G$1083=SPECIAL_LBL)*(INC_SPECIALS="Y"))=0,"",'Dvd Calendar'!$G$1081)))</f>
        <v/>
      </c>
      <c r="F109" s="110">
        <f>IF(EH109="","",IF(ISNUMBER('Dvd Calendar'!$H$1081)=FALSE,"",IF((('Dvd Calendar'!$H$1083=TYPE1)*(TYPE1&lt;&gt;"")+('Dvd Calendar'!$H$1083=TYPE2)*(TYPE2&lt;&gt;"")+('Dvd Calendar'!$H$1083=TYPE3)*(TYPE3&lt;&gt;"")+('Dvd Calendar'!$H$1083=TYPE4)*(TYPE4&lt;&gt;"")+('Dvd Calendar'!$H$1083=SPECIAL_LBL)*(INC_SPECIALS="Y"))=0,"",'Dvd Calendar'!$H$1081)))</f>
        <v/>
      </c>
      <c r="G109" s="110">
        <f>IF(EI109="","",IF(ISNUMBER('Dvd Calendar'!$I$1081)=FALSE,"",IF((('Dvd Calendar'!$I$1083=TYPE1)*(TYPE1&lt;&gt;"")+('Dvd Calendar'!$I$1083=TYPE2)*(TYPE2&lt;&gt;"")+('Dvd Calendar'!$I$1083=TYPE3)*(TYPE3&lt;&gt;"")+('Dvd Calendar'!$I$1083=TYPE4)*(TYPE4&lt;&gt;"")+('Dvd Calendar'!$I$1083=SPECIAL_LBL)*(INC_SPECIALS="Y"))=0,"",'Dvd Calendar'!$I$1081)))</f>
        <v/>
      </c>
      <c r="H109" s="110">
        <f>IF(EJ109="","",IF(ISNUMBER('Dvd Calendar'!$J$1081)=FALSE,"",IF((('Dvd Calendar'!$J$1083=TYPE1)*(TYPE1&lt;&gt;"")+('Dvd Calendar'!$J$1083=TYPE2)*(TYPE2&lt;&gt;"")+('Dvd Calendar'!$J$1083=TYPE3)*(TYPE3&lt;&gt;"")+('Dvd Calendar'!$J$1083=TYPE4)*(TYPE4&lt;&gt;"")+('Dvd Calendar'!$J$1083=SPECIAL_LBL)*(INC_SPECIALS="Y"))=0,"",'Dvd Calendar'!$J$1081)))</f>
        <v/>
      </c>
      <c r="I109" s="110">
        <f>IF(EK109="","",IF(ISNUMBER('Dvd Calendar'!$K$1081)=FALSE,"",IF((('Dvd Calendar'!$K$1083=TYPE1)*(TYPE1&lt;&gt;"")+('Dvd Calendar'!$K$1083=TYPE2)*(TYPE2&lt;&gt;"")+('Dvd Calendar'!$K$1083=TYPE3)*(TYPE3&lt;&gt;"")+('Dvd Calendar'!$K$1083=TYPE4)*(TYPE4&lt;&gt;"")+('Dvd Calendar'!$K$1083=SPECIAL_LBL)*(INC_SPECIALS="Y"))=0,"",'Dvd Calendar'!$K$1081)))</f>
        <v/>
      </c>
      <c r="J109" s="110">
        <f>IF(EL109="","",IF(ISNUMBER('Dvd Calendar'!$L$1081)=FALSE,"",IF((('Dvd Calendar'!$L$1083=TYPE1)*(TYPE1&lt;&gt;"")+('Dvd Calendar'!$L$1083=TYPE2)*(TYPE2&lt;&gt;"")+('Dvd Calendar'!$L$1083=TYPE3)*(TYPE3&lt;&gt;"")+('Dvd Calendar'!$L$1083=TYPE4)*(TYPE4&lt;&gt;"")+('Dvd Calendar'!$L$1083=SPECIAL_LBL)*(INC_SPECIALS="Y"))=0,"",'Dvd Calendar'!$L$1081)))</f>
        <v/>
      </c>
      <c r="K109" s="110">
        <f>IF(EM109="","",IF(ISNUMBER('Dvd Calendar'!$M$1081)=FALSE,"",IF((('Dvd Calendar'!$M$1083=TYPE1)*(TYPE1&lt;&gt;"")+('Dvd Calendar'!$M$1083=TYPE2)*(TYPE2&lt;&gt;"")+('Dvd Calendar'!$M$1083=TYPE3)*(TYPE3&lt;&gt;"")+('Dvd Calendar'!$M$1083=TYPE4)*(TYPE4&lt;&gt;"")+('Dvd Calendar'!$M$1083=SPECIAL_LBL)*(INC_SPECIALS="Y"))=0,"",'Dvd Calendar'!$M$1081)))</f>
        <v/>
      </c>
      <c r="L109" s="110">
        <f>IF(EN109="","",IF(ISNUMBER('Dvd Calendar'!$N$1081)=FALSE,"",IF((('Dvd Calendar'!$N$1083=TYPE1)*(TYPE1&lt;&gt;"")+('Dvd Calendar'!$N$1083=TYPE2)*(TYPE2&lt;&gt;"")+('Dvd Calendar'!$N$1083=TYPE3)*(TYPE3&lt;&gt;"")+('Dvd Calendar'!$N$1083=TYPE4)*(TYPE4&lt;&gt;"")+('Dvd Calendar'!$N$1083=SPECIAL_LBL)*(INC_SPECIALS="Y"))=0,"",'Dvd Calendar'!$N$1081)))</f>
        <v/>
      </c>
      <c r="M109" s="110">
        <f>IF(EO109="","",IF(ISNUMBER('Dvd Calendar'!$O$1081)=FALSE,"",IF((('Dvd Calendar'!$O$1083=TYPE1)*(TYPE1&lt;&gt;"")+('Dvd Calendar'!$O$1083=TYPE2)*(TYPE2&lt;&gt;"")+('Dvd Calendar'!$O$1083=TYPE3)*(TYPE3&lt;&gt;"")+('Dvd Calendar'!$O$1083=TYPE4)*(TYPE4&lt;&gt;"")+('Dvd Calendar'!$O$1083=SPECIAL_LBL)*(INC_SPECIALS="Y"))=0,"",'Dvd Calendar'!$O$1081)))</f>
        <v/>
      </c>
      <c r="N109" s="110">
        <f>IF(EP109="","",IF(ISNUMBER('Dvd Calendar'!$P$1081)=FALSE,"",IF((('Dvd Calendar'!$P$1083=TYPE1)*(TYPE1&lt;&gt;"")+('Dvd Calendar'!$P$1083=TYPE2)*(TYPE2&lt;&gt;"")+('Dvd Calendar'!$P$1083=TYPE3)*(TYPE3&lt;&gt;"")+('Dvd Calendar'!$P$1083=TYPE4)*(TYPE4&lt;&gt;"")+('Dvd Calendar'!$P$1083=SPECIAL_LBL)*(INC_SPECIALS="Y"))=0,"",'Dvd Calendar'!$P$1081)))</f>
        <v/>
      </c>
      <c r="O109" s="110">
        <f>IF(EQ109="","",IF(ISNUMBER('Dvd Calendar'!$Q$1081)=FALSE,"",IF((('Dvd Calendar'!$Q$1083=TYPE1)*(TYPE1&lt;&gt;"")+('Dvd Calendar'!$Q$1083=TYPE2)*(TYPE2&lt;&gt;"")+('Dvd Calendar'!$Q$1083=TYPE3)*(TYPE3&lt;&gt;"")+('Dvd Calendar'!$Q$1083=TYPE4)*(TYPE4&lt;&gt;"")+('Dvd Calendar'!$Q$1083=SPECIAL_LBL)*(INC_SPECIALS="Y"))=0,"",'Dvd Calendar'!$Q$1081)))</f>
        <v/>
      </c>
      <c r="P109" s="110">
        <f>IF(ER109="","",IF(ISNUMBER('Dvd Calendar'!$R$1081)=FALSE,"",IF((('Dvd Calendar'!$R$1083=TYPE1)*(TYPE1&lt;&gt;"")+('Dvd Calendar'!$R$1083=TYPE2)*(TYPE2&lt;&gt;"")+('Dvd Calendar'!$R$1083=TYPE3)*(TYPE3&lt;&gt;"")+('Dvd Calendar'!$R$1083=TYPE4)*(TYPE4&lt;&gt;"")+('Dvd Calendar'!$R$1083=SPECIAL_LBL)*(INC_SPECIALS="Y"))=0,"",'Dvd Calendar'!$R$1081)))</f>
        <v/>
      </c>
      <c r="Q109" s="110">
        <f>IF(ES109="","",IF(ISNUMBER('Dvd Calendar'!$S$1081)=FALSE,"",IF((('Dvd Calendar'!$S$1083=TYPE1)*(TYPE1&lt;&gt;"")+('Dvd Calendar'!$S$1083=TYPE2)*(TYPE2&lt;&gt;"")+('Dvd Calendar'!$S$1083=TYPE3)*(TYPE3&lt;&gt;"")+('Dvd Calendar'!$S$1083=TYPE4)*(TYPE4&lt;&gt;"")+('Dvd Calendar'!$S$1083=SPECIAL_LBL)*(INC_SPECIALS="Y"))=0,"",'Dvd Calendar'!$S$1081)))</f>
        <v/>
      </c>
      <c r="R109" s="110">
        <f>IF(ET109="","",IF(ISNUMBER('Dvd Calendar'!$T$1081)=FALSE,"",IF((('Dvd Calendar'!$T$1083=TYPE1)*(TYPE1&lt;&gt;"")+('Dvd Calendar'!$T$1083=TYPE2)*(TYPE2&lt;&gt;"")+('Dvd Calendar'!$T$1083=TYPE3)*(TYPE3&lt;&gt;"")+('Dvd Calendar'!$T$1083=TYPE4)*(TYPE4&lt;&gt;"")+('Dvd Calendar'!$T$1083=SPECIAL_LBL)*(INC_SPECIALS="Y"))=0,"",'Dvd Calendar'!$T$1081)))</f>
        <v/>
      </c>
      <c r="S109" s="110">
        <f>IF(EU109="","",IF(ISNUMBER('Dvd Calendar'!$U$1081)=FALSE,"",IF((('Dvd Calendar'!$U$1083=TYPE1)*(TYPE1&lt;&gt;"")+('Dvd Calendar'!$U$1083=TYPE2)*(TYPE2&lt;&gt;"")+('Dvd Calendar'!$U$1083=TYPE3)*(TYPE3&lt;&gt;"")+('Dvd Calendar'!$U$1083=TYPE4)*(TYPE4&lt;&gt;"")+('Dvd Calendar'!$U$1083=SPECIAL_LBL)*(INC_SPECIALS="Y"))=0,"",'Dvd Calendar'!$U$1081)))</f>
        <v/>
      </c>
      <c r="T109" s="110">
        <f>IF(EV109="","",IF(ISNUMBER('Dvd Calendar'!$V$1081)=FALSE,"",IF((('Dvd Calendar'!$V$1083=TYPE1)*(TYPE1&lt;&gt;"")+('Dvd Calendar'!$V$1083=TYPE2)*(TYPE2&lt;&gt;"")+('Dvd Calendar'!$V$1083=TYPE3)*(TYPE3&lt;&gt;"")+('Dvd Calendar'!$V$1083=TYPE4)*(TYPE4&lt;&gt;"")+('Dvd Calendar'!$V$1083=SPECIAL_LBL)*(INC_SPECIALS="Y"))=0,"",'Dvd Calendar'!$V$1081)))</f>
        <v/>
      </c>
      <c r="U109" s="110">
        <f>IF(EW109="","",IF(ISNUMBER('Dvd Calendar'!$W$1081)=FALSE,"",IF((('Dvd Calendar'!$W$1083=TYPE1)*(TYPE1&lt;&gt;"")+('Dvd Calendar'!$W$1083=TYPE2)*(TYPE2&lt;&gt;"")+('Dvd Calendar'!$W$1083=TYPE3)*(TYPE3&lt;&gt;"")+('Dvd Calendar'!$W$1083=TYPE4)*(TYPE4&lt;&gt;"")+('Dvd Calendar'!$W$1083=SPECIAL_LBL)*(INC_SPECIALS="Y"))=0,"",'Dvd Calendar'!$W$1081)))</f>
        <v/>
      </c>
      <c r="V109" s="110">
        <f>IF(EX109="","",IF(ISNUMBER('Dvd Calendar'!$X$1081)=FALSE,"",IF((('Dvd Calendar'!$X$1083=TYPE1)*(TYPE1&lt;&gt;"")+('Dvd Calendar'!$X$1083=TYPE2)*(TYPE2&lt;&gt;"")+('Dvd Calendar'!$X$1083=TYPE3)*(TYPE3&lt;&gt;"")+('Dvd Calendar'!$X$1083=TYPE4)*(TYPE4&lt;&gt;"")+('Dvd Calendar'!$X$1083=SPECIAL_LBL)*(INC_SPECIALS="Y"))=0,"",'Dvd Calendar'!$X$1081)))</f>
        <v/>
      </c>
      <c r="W109" s="110">
        <f>IF(EY109="","",IF(ISNUMBER('Dvd Calendar'!$Y$1081)=FALSE,"",IF((('Dvd Calendar'!$Y$1083=TYPE1)*(TYPE1&lt;&gt;"")+('Dvd Calendar'!$Y$1083=TYPE2)*(TYPE2&lt;&gt;"")+('Dvd Calendar'!$Y$1083=TYPE3)*(TYPE3&lt;&gt;"")+('Dvd Calendar'!$Y$1083=TYPE4)*(TYPE4&lt;&gt;"")+('Dvd Calendar'!$Y$1083=SPECIAL_LBL)*(INC_SPECIALS="Y"))=0,"",'Dvd Calendar'!$Y$1081)))</f>
        <v/>
      </c>
      <c r="X109" s="110">
        <f>IF(EZ109="","",IF(ISNUMBER('Dvd Calendar'!$Z$1081)=FALSE,"",IF((('Dvd Calendar'!$Z$1083=TYPE1)*(TYPE1&lt;&gt;"")+('Dvd Calendar'!$Z$1083=TYPE2)*(TYPE2&lt;&gt;"")+('Dvd Calendar'!$Z$1083=TYPE3)*(TYPE3&lt;&gt;"")+('Dvd Calendar'!$Z$1083=TYPE4)*(TYPE4&lt;&gt;"")+('Dvd Calendar'!$Z$1083=SPECIAL_LBL)*(INC_SPECIALS="Y"))=0,"",'Dvd Calendar'!$Z$1081)))</f>
        <v/>
      </c>
      <c r="Y109" s="110">
        <f>IF(FA109="","",IF(ISNUMBER('Dvd Calendar'!$AA$1081)=FALSE,"",IF((('Dvd Calendar'!$AA$1083=TYPE1)*(TYPE1&lt;&gt;"")+('Dvd Calendar'!$AA$1083=TYPE2)*(TYPE2&lt;&gt;"")+('Dvd Calendar'!$AA$1083=TYPE3)*(TYPE3&lt;&gt;"")+('Dvd Calendar'!$AA$1083=TYPE4)*(TYPE4&lt;&gt;"")+('Dvd Calendar'!$AA$1083=SPECIAL_LBL)*(INC_SPECIALS="Y"))=0,"",'Dvd Calendar'!$AA$1081)))</f>
        <v/>
      </c>
      <c r="Z109" s="110">
        <f>IF(FB109="","",IF(ISNUMBER('Dvd Calendar'!$AB$1081)=FALSE,"",IF((('Dvd Calendar'!$AB$1083=TYPE1)*(TYPE1&lt;&gt;"")+('Dvd Calendar'!$AB$1083=TYPE2)*(TYPE2&lt;&gt;"")+('Dvd Calendar'!$AB$1083=TYPE3)*(TYPE3&lt;&gt;"")+('Dvd Calendar'!$AB$1083=TYPE4)*(TYPE4&lt;&gt;"")+('Dvd Calendar'!$AB$1083=SPECIAL_LBL)*(INC_SPECIALS="Y"))=0,"",'Dvd Calendar'!$AB$1081)))</f>
        <v/>
      </c>
      <c r="AA109" s="110">
        <f>IF(FC109="","",IF(ISNUMBER('Dvd Calendar'!$AC$1081)=FALSE,"",IF((('Dvd Calendar'!$AC$1083=TYPE1)*(TYPE1&lt;&gt;"")+('Dvd Calendar'!$AC$1083=TYPE2)*(TYPE2&lt;&gt;"")+('Dvd Calendar'!$AC$1083=TYPE3)*(TYPE3&lt;&gt;"")+('Dvd Calendar'!$AC$1083=TYPE4)*(TYPE4&lt;&gt;"")+('Dvd Calendar'!$AC$1083=SPECIAL_LBL)*(INC_SPECIALS="Y"))=0,"",'Dvd Calendar'!$AC$1081)))</f>
        <v/>
      </c>
      <c r="AB109" s="110">
        <f>IF(FD109="","",IF(ISNUMBER('Dvd Calendar'!$AD$1081)=FALSE,"",IF((('Dvd Calendar'!$AD$1083=TYPE1)*(TYPE1&lt;&gt;"")+('Dvd Calendar'!$AD$1083=TYPE2)*(TYPE2&lt;&gt;"")+('Dvd Calendar'!$AD$1083=TYPE3)*(TYPE3&lt;&gt;"")+('Dvd Calendar'!$AD$1083=TYPE4)*(TYPE4&lt;&gt;"")+('Dvd Calendar'!$AD$1083=SPECIAL_LBL)*(INC_SPECIALS="Y"))=0,"",'Dvd Calendar'!$AD$1081)))</f>
        <v/>
      </c>
      <c r="AC109" s="110">
        <f>IF(FE109="","",IF(ISNUMBER('Dvd Calendar'!$AE$1081)=FALSE,"",IF((('Dvd Calendar'!$AE$1083=TYPE1)*(TYPE1&lt;&gt;"")+('Dvd Calendar'!$AE$1083=TYPE2)*(TYPE2&lt;&gt;"")+('Dvd Calendar'!$AE$1083=TYPE3)*(TYPE3&lt;&gt;"")+('Dvd Calendar'!$AE$1083=TYPE4)*(TYPE4&lt;&gt;"")+('Dvd Calendar'!$AE$1083=SPECIAL_LBL)*(INC_SPECIALS="Y"))=0,"",'Dvd Calendar'!$AE$1081)))</f>
        <v/>
      </c>
      <c r="AD109" s="110">
        <f>IF(FF109="","",IF(ISNUMBER('Dvd Calendar'!$AF$1081)=FALSE,"",IF((('Dvd Calendar'!$AF$1083=TYPE1)*(TYPE1&lt;&gt;"")+('Dvd Calendar'!$AF$1083=TYPE2)*(TYPE2&lt;&gt;"")+('Dvd Calendar'!$AF$1083=TYPE3)*(TYPE3&lt;&gt;"")+('Dvd Calendar'!$AF$1083=TYPE4)*(TYPE4&lt;&gt;"")+('Dvd Calendar'!$AF$1083=SPECIAL_LBL)*(INC_SPECIALS="Y"))=0,"",'Dvd Calendar'!$AF$1081)))</f>
        <v/>
      </c>
      <c r="AE109" s="110">
        <f>IF(FG109="","",IF(ISNUMBER('Dvd Calendar'!$AG$1081)=FALSE,"",IF((('Dvd Calendar'!$AG$1083=TYPE1)*(TYPE1&lt;&gt;"")+('Dvd Calendar'!$AG$1083=TYPE2)*(TYPE2&lt;&gt;"")+('Dvd Calendar'!$AG$1083=TYPE3)*(TYPE3&lt;&gt;"")+('Dvd Calendar'!$AG$1083=TYPE4)*(TYPE4&lt;&gt;"")+('Dvd Calendar'!$AG$1083=SPECIAL_LBL)*(INC_SPECIALS="Y"))=0,"",'Dvd Calendar'!$AG$1081)))</f>
        <v/>
      </c>
      <c r="AF109" s="110">
        <f>IF(FH109="","",IF(ISNUMBER('Dvd Calendar'!$AH$1081)=FALSE,"",IF((('Dvd Calendar'!$AH$1083=TYPE1)*(TYPE1&lt;&gt;"")+('Dvd Calendar'!$AH$1083=TYPE2)*(TYPE2&lt;&gt;"")+('Dvd Calendar'!$AH$1083=TYPE3)*(TYPE3&lt;&gt;"")+('Dvd Calendar'!$AH$1083=TYPE4)*(TYPE4&lt;&gt;"")+('Dvd Calendar'!$AH$1083=SPECIAL_LBL)*(INC_SPECIALS="Y"))=0,"",'Dvd Calendar'!$AH$1081)))</f>
        <v/>
      </c>
      <c r="AG109" s="110">
        <f>IF(FI109="","",IF(ISNUMBER('Dvd Calendar'!$AI$1081)=FALSE,"",IF((('Dvd Calendar'!$AI$1083=TYPE1)*(TYPE1&lt;&gt;"")+('Dvd Calendar'!$AI$1083=TYPE2)*(TYPE2&lt;&gt;"")+('Dvd Calendar'!$AI$1083=TYPE3)*(TYPE3&lt;&gt;"")+('Dvd Calendar'!$AI$1083=TYPE4)*(TYPE4&lt;&gt;"")+('Dvd Calendar'!$AI$1083=SPECIAL_LBL)*(INC_SPECIALS="Y"))=0,"",'Dvd Calendar'!$AI$1081)))</f>
        <v/>
      </c>
      <c r="AH109" s="110">
        <f>IF(FJ109="","",IF(ISNUMBER('Dvd Calendar'!$AJ$1081)=FALSE,"",IF((('Dvd Calendar'!$AJ$1083=TYPE1)*(TYPE1&lt;&gt;"")+('Dvd Calendar'!$AJ$1083=TYPE2)*(TYPE2&lt;&gt;"")+('Dvd Calendar'!$AJ$1083=TYPE3)*(TYPE3&lt;&gt;"")+('Dvd Calendar'!$AJ$1083=TYPE4)*(TYPE4&lt;&gt;"")+('Dvd Calendar'!$AJ$1083=SPECIAL_LBL)*(INC_SPECIALS="Y"))=0,"",'Dvd Calendar'!$AJ$1081)))</f>
        <v/>
      </c>
      <c r="AI109" s="110">
        <f>IF(FK109="","",IF(ISNUMBER('Dvd Calendar'!$AK$1081)=FALSE,"",IF((('Dvd Calendar'!$AK$1083=TYPE1)*(TYPE1&lt;&gt;"")+('Dvd Calendar'!$AK$1083=TYPE2)*(TYPE2&lt;&gt;"")+('Dvd Calendar'!$AK$1083=TYPE3)*(TYPE3&lt;&gt;"")+('Dvd Calendar'!$AK$1083=TYPE4)*(TYPE4&lt;&gt;"")+('Dvd Calendar'!$AK$1083=SPECIAL_LBL)*(INC_SPECIALS="Y"))=0,"",'Dvd Calendar'!$AK$1081)))</f>
        <v/>
      </c>
      <c r="AJ109" s="110">
        <f>IF(FL109="","",IF(ISNUMBER('Dvd Calendar'!$AL$1081)=FALSE,"",IF((('Dvd Calendar'!$AL$1083=TYPE1)*(TYPE1&lt;&gt;"")+('Dvd Calendar'!$AL$1083=TYPE2)*(TYPE2&lt;&gt;"")+('Dvd Calendar'!$AL$1083=TYPE3)*(TYPE3&lt;&gt;"")+('Dvd Calendar'!$AL$1083=TYPE4)*(TYPE4&lt;&gt;"")+('Dvd Calendar'!$AL$1083=SPECIAL_LBL)*(INC_SPECIALS="Y"))=0,"",'Dvd Calendar'!$AL$1081)))</f>
        <v/>
      </c>
      <c r="AK109" s="110">
        <f>IF(FM109="","",IF(ISNUMBER('Dvd Calendar'!$AM$1081)=FALSE,"",IF((('Dvd Calendar'!$AM$1083=TYPE1)*(TYPE1&lt;&gt;"")+('Dvd Calendar'!$AM$1083=TYPE2)*(TYPE2&lt;&gt;"")+('Dvd Calendar'!$AM$1083=TYPE3)*(TYPE3&lt;&gt;"")+('Dvd Calendar'!$AM$1083=TYPE4)*(TYPE4&lt;&gt;"")+('Dvd Calendar'!$AM$1083=SPECIAL_LBL)*(INC_SPECIALS="Y"))=0,"",'Dvd Calendar'!$AM$1081)))</f>
        <v/>
      </c>
      <c r="AL109" s="110">
        <f>IF(FN109="","",IF(ISNUMBER('Dvd Calendar'!$AN$1081)=FALSE,"",IF((('Dvd Calendar'!$AN$1083=TYPE1)*(TYPE1&lt;&gt;"")+('Dvd Calendar'!$AN$1083=TYPE2)*(TYPE2&lt;&gt;"")+('Dvd Calendar'!$AN$1083=TYPE3)*(TYPE3&lt;&gt;"")+('Dvd Calendar'!$AN$1083=TYPE4)*(TYPE4&lt;&gt;"")+('Dvd Calendar'!$AN$1083=SPECIAL_LBL)*(INC_SPECIALS="Y"))=0,"",'Dvd Calendar'!$AN$1081)))</f>
        <v/>
      </c>
      <c r="AM109" s="110">
        <f>IF(FO109="","",IF(ISNUMBER('Dvd Calendar'!$AO$1081)=FALSE,"",IF((('Dvd Calendar'!$AO$1083=TYPE1)*(TYPE1&lt;&gt;"")+('Dvd Calendar'!$AO$1083=TYPE2)*(TYPE2&lt;&gt;"")+('Dvd Calendar'!$AO$1083=TYPE3)*(TYPE3&lt;&gt;"")+('Dvd Calendar'!$AO$1083=TYPE4)*(TYPE4&lt;&gt;"")+('Dvd Calendar'!$AO$1083=SPECIAL_LBL)*(INC_SPECIALS="Y"))=0,"",'Dvd Calendar'!$AO$1081)))</f>
        <v/>
      </c>
      <c r="AN109" s="110">
        <f>IF(FP109="","",IF(ISNUMBER('Dvd Calendar'!$AP$1081)=FALSE,"",IF((('Dvd Calendar'!$AP$1083=TYPE1)*(TYPE1&lt;&gt;"")+('Dvd Calendar'!$AP$1083=TYPE2)*(TYPE2&lt;&gt;"")+('Dvd Calendar'!$AP$1083=TYPE3)*(TYPE3&lt;&gt;"")+('Dvd Calendar'!$AP$1083=TYPE4)*(TYPE4&lt;&gt;"")+('Dvd Calendar'!$AP$1083=SPECIAL_LBL)*(INC_SPECIALS="Y"))=0,"",'Dvd Calendar'!$AP$1081)))</f>
        <v/>
      </c>
      <c r="AO109" s="110">
        <f>IF(FQ109="","",IF(ISNUMBER('Dvd Calendar'!$AQ$1081)=FALSE,"",IF((('Dvd Calendar'!$AQ$1083=TYPE1)*(TYPE1&lt;&gt;"")+('Dvd Calendar'!$AQ$1083=TYPE2)*(TYPE2&lt;&gt;"")+('Dvd Calendar'!$AQ$1083=TYPE3)*(TYPE3&lt;&gt;"")+('Dvd Calendar'!$AQ$1083=TYPE4)*(TYPE4&lt;&gt;"")+('Dvd Calendar'!$AQ$1083=SPECIAL_LBL)*(INC_SPECIALS="Y"))=0,"",'Dvd Calendar'!$AQ$1081)))</f>
        <v/>
      </c>
      <c r="AP109" s="110">
        <f>IF(FR109="","",IF(ISNUMBER('Dvd Calendar'!$AR$1081)=FALSE,"",IF((('Dvd Calendar'!$AR$1083=TYPE1)*(TYPE1&lt;&gt;"")+('Dvd Calendar'!$AR$1083=TYPE2)*(TYPE2&lt;&gt;"")+('Dvd Calendar'!$AR$1083=TYPE3)*(TYPE3&lt;&gt;"")+('Dvd Calendar'!$AR$1083=TYPE4)*(TYPE4&lt;&gt;"")+('Dvd Calendar'!$AR$1083=SPECIAL_LBL)*(INC_SPECIALS="Y"))=0,"",'Dvd Calendar'!$AR$1081)))</f>
        <v/>
      </c>
      <c r="AQ109" s="110">
        <f>IF(FS109="","",IF(ISNUMBER('Dvd Calendar'!$E$1086)=FALSE,"",'Dvd Calendar'!$E$1086))</f>
        <v/>
      </c>
      <c r="AR109" s="110">
        <f>IF(FT109="","",IF(ISNUMBER('Dvd Calendar'!$F$1086)=FALSE,"",'Dvd Calendar'!$F$1086))</f>
        <v/>
      </c>
      <c r="AS109" s="110">
        <f>IF(FU109="","",IF(ISNUMBER('Dvd Calendar'!$G$1086)=FALSE,"",'Dvd Calendar'!$G$1086))</f>
        <v/>
      </c>
      <c r="AT109" s="110">
        <f>IF(FV109="","",IF(ISNUMBER('Dvd Calendar'!$H$1086)=FALSE,"",'Dvd Calendar'!$H$1086))</f>
        <v/>
      </c>
      <c r="AU109" s="110">
        <f>IF(FW109="","",IF(ISNUMBER('Dvd Calendar'!$I$1086)=FALSE,"",'Dvd Calendar'!$I$1086))</f>
        <v/>
      </c>
      <c r="AV109" s="110">
        <f>IF(FX109="","",IF(ISNUMBER('Dvd Calendar'!$J$1086)=FALSE,"",'Dvd Calendar'!$J$1086))</f>
        <v/>
      </c>
      <c r="AW109" s="110">
        <f>IF(FY109="","",IF(ISNUMBER('Dvd Calendar'!$K$1086)=FALSE,"",'Dvd Calendar'!$K$1086))</f>
        <v/>
      </c>
      <c r="AX109" s="110">
        <f>IF(FZ109="","",IF(ISNUMBER('Dvd Calendar'!$L$1086)=FALSE,"",'Dvd Calendar'!$L$1086))</f>
        <v/>
      </c>
      <c r="AY109" s="110">
        <f>IF(GA109="","",IF(ISNUMBER('Dvd Calendar'!$M$1086)=FALSE,"",'Dvd Calendar'!$M$1086))</f>
        <v/>
      </c>
      <c r="AZ109" s="110">
        <f>IF(GB109="","",IF(ISNUMBER('Dvd Calendar'!$N$1086)=FALSE,"",'Dvd Calendar'!$N$1086))</f>
        <v/>
      </c>
      <c r="BA109" s="110">
        <f>IF(GC109="","",IF(ISNUMBER('Dvd Calendar'!$O$1086)=FALSE,"",'Dvd Calendar'!$O$1086))</f>
        <v/>
      </c>
      <c r="BB109" s="110">
        <f>IF(GD109="","",IF(ISNUMBER('Dvd Calendar'!$P$1086)=FALSE,"",'Dvd Calendar'!$P$1086))</f>
        <v/>
      </c>
      <c r="BC109" s="110">
        <f>IF(GE109="","",IF(ISNUMBER('Dvd Calendar'!$Q$1086)=FALSE,"",'Dvd Calendar'!$Q$1086))</f>
        <v/>
      </c>
      <c r="BD109" s="110">
        <f>IF(GF109="","",IF(ISNUMBER('Dvd Calendar'!$R$1086)=FALSE,"",'Dvd Calendar'!$R$1086))</f>
        <v/>
      </c>
      <c r="BE109" s="110">
        <f>IF(GG109="","",IF(ISNUMBER('Dvd Calendar'!$S$1086)=FALSE,"",'Dvd Calendar'!$S$1086))</f>
        <v/>
      </c>
      <c r="BF109" s="110">
        <f>IF(GH109="","",IF(ISNUMBER('Dvd Calendar'!$T$1086)=FALSE,"",'Dvd Calendar'!$T$1086))</f>
        <v/>
      </c>
      <c r="BG109" s="110">
        <f>IF(GI109="","",IF(ISNUMBER('Dvd Calendar'!$U$1086)=FALSE,"",'Dvd Calendar'!$U$1086))</f>
        <v/>
      </c>
      <c r="BH109" s="110">
        <f>IF(GJ109="","",IF(ISNUMBER('Dvd Calendar'!$V$1086)=FALSE,"",'Dvd Calendar'!$V$1086))</f>
        <v/>
      </c>
      <c r="BI109" s="110">
        <f>IF(GK109="","",IF(ISNUMBER('Dvd Calendar'!$W$1086)=FALSE,"",'Dvd Calendar'!$W$1086))</f>
        <v/>
      </c>
      <c r="BJ109" s="110">
        <f>IF(GL109="","",IF(ISNUMBER('Dvd Calendar'!$X$1086)=FALSE,"",'Dvd Calendar'!$X$1086))</f>
        <v/>
      </c>
      <c r="BK109" s="110">
        <f>IF(GM109="","",IF(ISNUMBER('Dvd Calendar'!$Y$1086)=FALSE,"",'Dvd Calendar'!$Y$1086))</f>
        <v/>
      </c>
      <c r="BL109" s="110">
        <f>IF(GN109="","",IF(ISNUMBER('Dvd Calendar'!$Z$1086)=FALSE,"",'Dvd Calendar'!$Z$1086))</f>
        <v/>
      </c>
      <c r="BM109" s="110">
        <f>IF(GO109="","",IF(ISNUMBER('Dvd Calendar'!$AA$1086)=FALSE,"",'Dvd Calendar'!$AA$1086))</f>
        <v/>
      </c>
      <c r="BN109" s="110">
        <f>IF(GP109="","",IF(ISNUMBER('Dvd Calendar'!$AB$1086)=FALSE,"",'Dvd Calendar'!$AB$1086))</f>
        <v/>
      </c>
      <c r="BO109" s="110">
        <f>IF(GQ109="","",IF(ISNUMBER('Dvd Calendar'!$AC$1086)=FALSE,"",'Dvd Calendar'!$AC$1086))</f>
        <v/>
      </c>
      <c r="BQ109" s="110">
        <f>IF(C109="","",IFERROR(C109*HSI!$B$104*HSI!$G$104/HSI!$B$3,""))</f>
        <v/>
      </c>
      <c r="BR109" s="110">
        <f>IF(D109="","",IFERROR(D109*HSI!$B$104*HSI!$G$104/HSI!$B$3,""))</f>
        <v/>
      </c>
      <c r="BS109" s="110">
        <f>IF(E109="","",IFERROR(E109*HSI!$B$104*HSI!$G$104/HSI!$B$3,""))</f>
        <v/>
      </c>
      <c r="BT109" s="110">
        <f>IF(F109="","",IFERROR(F109*HSI!$B$104*HSI!$G$104/HSI!$B$3,""))</f>
        <v/>
      </c>
      <c r="BU109" s="110">
        <f>IF(G109="","",IFERROR(G109*HSI!$B$104*HSI!$G$104/HSI!$B$3,""))</f>
        <v/>
      </c>
      <c r="BV109" s="110">
        <f>IF(H109="","",IFERROR(H109*HSI!$B$104*HSI!$G$104/HSI!$B$3,""))</f>
        <v/>
      </c>
      <c r="BW109" s="110">
        <f>IF(I109="","",IFERROR(I109*HSI!$B$104*HSI!$G$104/HSI!$B$3,""))</f>
        <v/>
      </c>
      <c r="BX109" s="110">
        <f>IF(J109="","",IFERROR(J109*HSI!$B$104*HSI!$G$104/HSI!$B$3,""))</f>
        <v/>
      </c>
      <c r="BY109" s="110">
        <f>IF(K109="","",IFERROR(K109*HSI!$B$104*HSI!$G$104/HSI!$B$3,""))</f>
        <v/>
      </c>
      <c r="BZ109" s="110">
        <f>IF(L109="","",IFERROR(L109*HSI!$B$104*HSI!$G$104/HSI!$B$3,""))</f>
        <v/>
      </c>
      <c r="CA109" s="110">
        <f>IF(M109="","",IFERROR(M109*HSI!$B$104*HSI!$G$104/HSI!$B$3,""))</f>
        <v/>
      </c>
      <c r="CB109" s="110">
        <f>IF(N109="","",IFERROR(N109*HSI!$B$104*HSI!$G$104/HSI!$B$3,""))</f>
        <v/>
      </c>
      <c r="CC109" s="110">
        <f>IF(O109="","",IFERROR(O109*HSI!$B$104*HSI!$G$104/HSI!$B$3,""))</f>
        <v/>
      </c>
      <c r="CD109" s="110">
        <f>IF(P109="","",IFERROR(P109*HSI!$B$104*HSI!$G$104/HSI!$B$3,""))</f>
        <v/>
      </c>
      <c r="CE109" s="110">
        <f>IF(Q109="","",IFERROR(Q109*HSI!$B$104*HSI!$G$104/HSI!$B$3,""))</f>
        <v/>
      </c>
      <c r="CF109" s="110">
        <f>IF(R109="","",IFERROR(R109*HSI!$B$104*HSI!$G$104/HSI!$B$3,""))</f>
        <v/>
      </c>
      <c r="CG109" s="110">
        <f>IF(S109="","",IFERROR(S109*HSI!$B$104*HSI!$G$104/HSI!$B$3,""))</f>
        <v/>
      </c>
      <c r="CH109" s="110">
        <f>IF(T109="","",IFERROR(T109*HSI!$B$104*HSI!$G$104/HSI!$B$3,""))</f>
        <v/>
      </c>
      <c r="CI109" s="110">
        <f>IF(U109="","",IFERROR(U109*HSI!$B$104*HSI!$G$104/HSI!$B$3,""))</f>
        <v/>
      </c>
      <c r="CJ109" s="110">
        <f>IF(V109="","",IFERROR(V109*HSI!$B$104*HSI!$G$104/HSI!$B$3,""))</f>
        <v/>
      </c>
      <c r="CK109" s="110">
        <f>IF(W109="","",IFERROR(W109*HSI!$B$104*HSI!$G$104/HSI!$B$3,""))</f>
        <v/>
      </c>
      <c r="CL109" s="110">
        <f>IF(X109="","",IFERROR(X109*HSI!$B$104*HSI!$G$104/HSI!$B$3,""))</f>
        <v/>
      </c>
      <c r="CM109" s="110">
        <f>IF(Y109="","",IFERROR(Y109*HSI!$B$104*HSI!$G$104/HSI!$B$3,""))</f>
        <v/>
      </c>
      <c r="CN109" s="110">
        <f>IF(Z109="","",IFERROR(Z109*HSI!$B$104*HSI!$G$104/HSI!$B$3,""))</f>
        <v/>
      </c>
      <c r="CO109" s="110">
        <f>IF(AA109="","",IFERROR(AA109*HSI!$B$104*HSI!$G$104/HSI!$B$3,""))</f>
        <v/>
      </c>
      <c r="CP109" s="110">
        <f>IF(AB109="","",IFERROR(AB109*HSI!$B$104*HSI!$G$104/HSI!$B$3,""))</f>
        <v/>
      </c>
      <c r="CQ109" s="110">
        <f>IF(AC109="","",IFERROR(AC109*HSI!$B$104*HSI!$G$104/HSI!$B$3,""))</f>
        <v/>
      </c>
      <c r="CR109" s="110">
        <f>IF(AD109="","",IFERROR(AD109*HSI!$B$104*HSI!$G$104/HSI!$B$3,""))</f>
        <v/>
      </c>
      <c r="CS109" s="110">
        <f>IF(AE109="","",IFERROR(AE109*HSI!$B$104*HSI!$G$104/HSI!$B$3,""))</f>
        <v/>
      </c>
      <c r="CT109" s="110">
        <f>IF(AF109="","",IFERROR(AF109*HSI!$B$104*HSI!$G$104/HSI!$B$3,""))</f>
        <v/>
      </c>
      <c r="CU109" s="110">
        <f>IF(AG109="","",IFERROR(AG109*HSI!$B$104*HSI!$G$104/HSI!$B$3,""))</f>
        <v/>
      </c>
      <c r="CV109" s="110">
        <f>IF(AH109="","",IFERROR(AH109*HSI!$B$104*HSI!$G$104/HSI!$B$3,""))</f>
        <v/>
      </c>
      <c r="CW109" s="110">
        <f>IF(AI109="","",IFERROR(AI109*HSI!$B$104*HSI!$G$104/HSI!$B$3,""))</f>
        <v/>
      </c>
      <c r="CX109" s="110">
        <f>IF(AJ109="","",IFERROR(AJ109*HSI!$B$104*HSI!$G$104/HSI!$B$3,""))</f>
        <v/>
      </c>
      <c r="CY109" s="110">
        <f>IF(AK109="","",IFERROR(AK109*HSI!$B$104*HSI!$G$104/HSI!$B$3,""))</f>
        <v/>
      </c>
      <c r="CZ109" s="110">
        <f>IF(AL109="","",IFERROR(AL109*HSI!$B$104*HSI!$G$104/HSI!$B$3,""))</f>
        <v/>
      </c>
      <c r="DA109" s="110">
        <f>IF(AM109="","",IFERROR(AM109*HSI!$B$104*HSI!$G$104/HSI!$B$3,""))</f>
        <v/>
      </c>
      <c r="DB109" s="110">
        <f>IF(AN109="","",IFERROR(AN109*HSI!$B$104*HSI!$G$104/HSI!$B$3,""))</f>
        <v/>
      </c>
      <c r="DC109" s="110">
        <f>IF(AO109="","",IFERROR(AO109*HSI!$B$104*HSI!$G$104/HSI!$B$3,""))</f>
        <v/>
      </c>
      <c r="DD109" s="110">
        <f>IF(AP109="","",IFERROR(AP109*HSI!$B$104*HSI!$G$104/HSI!$B$3,""))</f>
        <v/>
      </c>
      <c r="DE109" s="110">
        <f>IF(AQ109="","",IFERROR(AQ109*HSI!$B$104*HSI!$G$104/HSI!$B$3,""))</f>
        <v/>
      </c>
      <c r="DF109" s="110">
        <f>IF(AR109="","",IFERROR(AR109*HSI!$B$104*HSI!$G$104/HSI!$B$3,""))</f>
        <v/>
      </c>
      <c r="DG109" s="110">
        <f>IF(AS109="","",IFERROR(AS109*HSI!$B$104*HSI!$G$104/HSI!$B$3,""))</f>
        <v/>
      </c>
      <c r="DH109" s="110">
        <f>IF(AT109="","",IFERROR(AT109*HSI!$B$104*HSI!$G$104/HSI!$B$3,""))</f>
        <v/>
      </c>
      <c r="DI109" s="110">
        <f>IF(AU109="","",IFERROR(AU109*HSI!$B$104*HSI!$G$104/HSI!$B$3,""))</f>
        <v/>
      </c>
      <c r="DJ109" s="110">
        <f>IF(AV109="","",IFERROR(AV109*HSI!$B$104*HSI!$G$104/HSI!$B$3,""))</f>
        <v/>
      </c>
      <c r="DK109" s="110">
        <f>IF(AW109="","",IFERROR(AW109*HSI!$B$104*HSI!$G$104/HSI!$B$3,""))</f>
        <v/>
      </c>
      <c r="DL109" s="110">
        <f>IF(AX109="","",IFERROR(AX109*HSI!$B$104*HSI!$G$104/HSI!$B$3,""))</f>
        <v/>
      </c>
      <c r="DM109" s="110">
        <f>IF(AY109="","",IFERROR(AY109*HSI!$B$104*HSI!$G$104/HSI!$B$3,""))</f>
        <v/>
      </c>
      <c r="DN109" s="110">
        <f>IF(AZ109="","",IFERROR(AZ109*HSI!$B$104*HSI!$G$104/HSI!$B$3,""))</f>
        <v/>
      </c>
      <c r="DO109" s="110">
        <f>IF(BA109="","",IFERROR(BA109*HSI!$B$104*HSI!$G$104/HSI!$B$3,""))</f>
        <v/>
      </c>
      <c r="DP109" s="110">
        <f>IF(BB109="","",IFERROR(BB109*HSI!$B$104*HSI!$G$104/HSI!$B$3,""))</f>
        <v/>
      </c>
      <c r="DQ109" s="110">
        <f>IF(BC109="","",IFERROR(BC109*HSI!$B$104*HSI!$G$104/HSI!$B$3,""))</f>
        <v/>
      </c>
      <c r="DR109" s="110">
        <f>IF(BD109="","",IFERROR(BD109*HSI!$B$104*HSI!$G$104/HSI!$B$3,""))</f>
        <v/>
      </c>
      <c r="DS109" s="110">
        <f>IF(BE109="","",IFERROR(BE109*HSI!$B$104*HSI!$G$104/HSI!$B$3,""))</f>
        <v/>
      </c>
      <c r="DT109" s="110">
        <f>IF(BF109="","",IFERROR(BF109*HSI!$B$104*HSI!$G$104/HSI!$B$3,""))</f>
        <v/>
      </c>
      <c r="DU109" s="110">
        <f>IF(BG109="","",IFERROR(BG109*HSI!$B$104*HSI!$G$104/HSI!$B$3,""))</f>
        <v/>
      </c>
      <c r="DV109" s="110">
        <f>IF(BH109="","",IFERROR(BH109*HSI!$B$104*HSI!$G$104/HSI!$B$3,""))</f>
        <v/>
      </c>
      <c r="DW109" s="110">
        <f>IF(BI109="","",IFERROR(BI109*HSI!$B$104*HSI!$G$104/HSI!$B$3,""))</f>
        <v/>
      </c>
      <c r="DX109" s="110">
        <f>IF(BJ109="","",IFERROR(BJ109*HSI!$B$104*HSI!$G$104/HSI!$B$3,""))</f>
        <v/>
      </c>
      <c r="DY109" s="110">
        <f>IF(BK109="","",IFERROR(BK109*HSI!$B$104*HSI!$G$104/HSI!$B$3,""))</f>
        <v/>
      </c>
      <c r="DZ109" s="110">
        <f>IF(BL109="","",IFERROR(BL109*HSI!$B$104*HSI!$G$104/HSI!$B$3,""))</f>
        <v/>
      </c>
      <c r="EA109" s="110">
        <f>IF(BM109="","",IFERROR(BM109*HSI!$B$104*HSI!$G$104/HSI!$B$3,""))</f>
        <v/>
      </c>
      <c r="EB109" s="110">
        <f>IF(BN109="","",IFERROR(BN109*HSI!$B$104*HSI!$G$104/HSI!$B$3,""))</f>
        <v/>
      </c>
      <c r="EC109" s="110">
        <f>IF(BO109="","",IFERROR(BO109*HSI!$B$104*HSI!$G$104/HSI!$B$3,""))</f>
        <v/>
      </c>
      <c r="EE109" s="39">
        <f>IF(N('Dvd Calendar'!$E$1078)=0,"",IF(('Dvd Calendar'!$E$1078&gt;=GRID_FROM)*('Dvd Calendar'!$E$1078&lt;=GRID_TO)*((('Dvd Calendar'!$E$1078&lt;=VAL_DATE)+(COUNTIF('Dvd Calendar'!$E$1085:$AR$1085,'Dvd Calendar'!$E$1078)=0))&gt;0)=0,"",'Dvd Calendar'!$E$1078*1000000000+ISNUMBER('Dvd Calendar'!$E$1081)*100000000+('Dvd Calendar'!$E$1083=SPECIAL_LBL)*10000000+(N('Dvd Calendar'!$E$1077)&gt;0)*(N('Dvd Calendar'!$E$1077)&lt;=VAL_SERIAL)*1000000+98*1000+1))</f>
        <v/>
      </c>
      <c r="EF109" s="39">
        <f>IF(N('Dvd Calendar'!$F$1078)=0,"",IF(('Dvd Calendar'!$F$1078&gt;=GRID_FROM)*('Dvd Calendar'!$F$1078&lt;=GRID_TO)*((('Dvd Calendar'!$F$1078&lt;=VAL_DATE)+(COUNTIF('Dvd Calendar'!$E$1085:$AR$1085,'Dvd Calendar'!$F$1078)=0))&gt;0)=0,"",'Dvd Calendar'!$F$1078*1000000000+ISNUMBER('Dvd Calendar'!$F$1081)*100000000+('Dvd Calendar'!$F$1083=SPECIAL_LBL)*10000000+(N('Dvd Calendar'!$F$1077)&gt;0)*(N('Dvd Calendar'!$F$1077)&lt;=VAL_SERIAL)*1000000+98*1000+2))</f>
        <v/>
      </c>
      <c r="EG109" s="39">
        <f>IF(N('Dvd Calendar'!$G$1078)=0,"",IF(('Dvd Calendar'!$G$1078&gt;=GRID_FROM)*('Dvd Calendar'!$G$1078&lt;=GRID_TO)*((('Dvd Calendar'!$G$1078&lt;=VAL_DATE)+(COUNTIF('Dvd Calendar'!$E$1085:$AR$1085,'Dvd Calendar'!$G$1078)=0))&gt;0)=0,"",'Dvd Calendar'!$G$1078*1000000000+ISNUMBER('Dvd Calendar'!$G$1081)*100000000+('Dvd Calendar'!$G$1083=SPECIAL_LBL)*10000000+(N('Dvd Calendar'!$G$1077)&gt;0)*(N('Dvd Calendar'!$G$1077)&lt;=VAL_SERIAL)*1000000+98*1000+3))</f>
        <v/>
      </c>
      <c r="EH109" s="39">
        <f>IF(N('Dvd Calendar'!$H$1078)=0,"",IF(('Dvd Calendar'!$H$1078&gt;=GRID_FROM)*('Dvd Calendar'!$H$1078&lt;=GRID_TO)*((('Dvd Calendar'!$H$1078&lt;=VAL_DATE)+(COUNTIF('Dvd Calendar'!$E$1085:$AR$1085,'Dvd Calendar'!$H$1078)=0))&gt;0)=0,"",'Dvd Calendar'!$H$1078*1000000000+ISNUMBER('Dvd Calendar'!$H$1081)*100000000+('Dvd Calendar'!$H$1083=SPECIAL_LBL)*10000000+(N('Dvd Calendar'!$H$1077)&gt;0)*(N('Dvd Calendar'!$H$1077)&lt;=VAL_SERIAL)*1000000+98*1000+4))</f>
        <v/>
      </c>
      <c r="EI109" s="39">
        <f>IF(N('Dvd Calendar'!$I$1078)=0,"",IF(('Dvd Calendar'!$I$1078&gt;=GRID_FROM)*('Dvd Calendar'!$I$1078&lt;=GRID_TO)*((('Dvd Calendar'!$I$1078&lt;=VAL_DATE)+(COUNTIF('Dvd Calendar'!$E$1085:$AR$1085,'Dvd Calendar'!$I$1078)=0))&gt;0)=0,"",'Dvd Calendar'!$I$1078*1000000000+ISNUMBER('Dvd Calendar'!$I$1081)*100000000+('Dvd Calendar'!$I$1083=SPECIAL_LBL)*10000000+(N('Dvd Calendar'!$I$1077)&gt;0)*(N('Dvd Calendar'!$I$1077)&lt;=VAL_SERIAL)*1000000+98*1000+5))</f>
        <v/>
      </c>
      <c r="EJ109" s="39">
        <f>IF(N('Dvd Calendar'!$J$1078)=0,"",IF(('Dvd Calendar'!$J$1078&gt;=GRID_FROM)*('Dvd Calendar'!$J$1078&lt;=GRID_TO)*((('Dvd Calendar'!$J$1078&lt;=VAL_DATE)+(COUNTIF('Dvd Calendar'!$E$1085:$AR$1085,'Dvd Calendar'!$J$1078)=0))&gt;0)=0,"",'Dvd Calendar'!$J$1078*1000000000+ISNUMBER('Dvd Calendar'!$J$1081)*100000000+('Dvd Calendar'!$J$1083=SPECIAL_LBL)*10000000+(N('Dvd Calendar'!$J$1077)&gt;0)*(N('Dvd Calendar'!$J$1077)&lt;=VAL_SERIAL)*1000000+98*1000+6))</f>
        <v/>
      </c>
      <c r="EK109" s="39">
        <f>IF(N('Dvd Calendar'!$K$1078)=0,"",IF(('Dvd Calendar'!$K$1078&gt;=GRID_FROM)*('Dvd Calendar'!$K$1078&lt;=GRID_TO)*((('Dvd Calendar'!$K$1078&lt;=VAL_DATE)+(COUNTIF('Dvd Calendar'!$E$1085:$AR$1085,'Dvd Calendar'!$K$1078)=0))&gt;0)=0,"",'Dvd Calendar'!$K$1078*1000000000+ISNUMBER('Dvd Calendar'!$K$1081)*100000000+('Dvd Calendar'!$K$1083=SPECIAL_LBL)*10000000+(N('Dvd Calendar'!$K$1077)&gt;0)*(N('Dvd Calendar'!$K$1077)&lt;=VAL_SERIAL)*1000000+98*1000+7))</f>
        <v/>
      </c>
      <c r="EL109" s="39">
        <f>IF(N('Dvd Calendar'!$L$1078)=0,"",IF(('Dvd Calendar'!$L$1078&gt;=GRID_FROM)*('Dvd Calendar'!$L$1078&lt;=GRID_TO)*((('Dvd Calendar'!$L$1078&lt;=VAL_DATE)+(COUNTIF('Dvd Calendar'!$E$1085:$AR$1085,'Dvd Calendar'!$L$1078)=0))&gt;0)=0,"",'Dvd Calendar'!$L$1078*1000000000+ISNUMBER('Dvd Calendar'!$L$1081)*100000000+('Dvd Calendar'!$L$1083=SPECIAL_LBL)*10000000+(N('Dvd Calendar'!$L$1077)&gt;0)*(N('Dvd Calendar'!$L$1077)&lt;=VAL_SERIAL)*1000000+98*1000+8))</f>
        <v/>
      </c>
      <c r="EM109" s="39">
        <f>IF(N('Dvd Calendar'!$M$1078)=0,"",IF(('Dvd Calendar'!$M$1078&gt;=GRID_FROM)*('Dvd Calendar'!$M$1078&lt;=GRID_TO)*((('Dvd Calendar'!$M$1078&lt;=VAL_DATE)+(COUNTIF('Dvd Calendar'!$E$1085:$AR$1085,'Dvd Calendar'!$M$1078)=0))&gt;0)=0,"",'Dvd Calendar'!$M$1078*1000000000+ISNUMBER('Dvd Calendar'!$M$1081)*100000000+('Dvd Calendar'!$M$1083=SPECIAL_LBL)*10000000+(N('Dvd Calendar'!$M$1077)&gt;0)*(N('Dvd Calendar'!$M$1077)&lt;=VAL_SERIAL)*1000000+98*1000+9))</f>
        <v/>
      </c>
      <c r="EN109" s="39">
        <f>IF(N('Dvd Calendar'!$N$1078)=0,"",IF(('Dvd Calendar'!$N$1078&gt;=GRID_FROM)*('Dvd Calendar'!$N$1078&lt;=GRID_TO)*((('Dvd Calendar'!$N$1078&lt;=VAL_DATE)+(COUNTIF('Dvd Calendar'!$E$1085:$AR$1085,'Dvd Calendar'!$N$1078)=0))&gt;0)=0,"",'Dvd Calendar'!$N$1078*1000000000+ISNUMBER('Dvd Calendar'!$N$1081)*100000000+('Dvd Calendar'!$N$1083=SPECIAL_LBL)*10000000+(N('Dvd Calendar'!$N$1077)&gt;0)*(N('Dvd Calendar'!$N$1077)&lt;=VAL_SERIAL)*1000000+98*1000+10))</f>
        <v/>
      </c>
      <c r="EO109" s="39">
        <f>IF(N('Dvd Calendar'!$O$1078)=0,"",IF(('Dvd Calendar'!$O$1078&gt;=GRID_FROM)*('Dvd Calendar'!$O$1078&lt;=GRID_TO)*((('Dvd Calendar'!$O$1078&lt;=VAL_DATE)+(COUNTIF('Dvd Calendar'!$E$1085:$AR$1085,'Dvd Calendar'!$O$1078)=0))&gt;0)=0,"",'Dvd Calendar'!$O$1078*1000000000+ISNUMBER('Dvd Calendar'!$O$1081)*100000000+('Dvd Calendar'!$O$1083=SPECIAL_LBL)*10000000+(N('Dvd Calendar'!$O$1077)&gt;0)*(N('Dvd Calendar'!$O$1077)&lt;=VAL_SERIAL)*1000000+98*1000+11))</f>
        <v/>
      </c>
      <c r="EP109" s="39">
        <f>IF(N('Dvd Calendar'!$P$1078)=0,"",IF(('Dvd Calendar'!$P$1078&gt;=GRID_FROM)*('Dvd Calendar'!$P$1078&lt;=GRID_TO)*((('Dvd Calendar'!$P$1078&lt;=VAL_DATE)+(COUNTIF('Dvd Calendar'!$E$1085:$AR$1085,'Dvd Calendar'!$P$1078)=0))&gt;0)=0,"",'Dvd Calendar'!$P$1078*1000000000+ISNUMBER('Dvd Calendar'!$P$1081)*100000000+('Dvd Calendar'!$P$1083=SPECIAL_LBL)*10000000+(N('Dvd Calendar'!$P$1077)&gt;0)*(N('Dvd Calendar'!$P$1077)&lt;=VAL_SERIAL)*1000000+98*1000+12))</f>
        <v/>
      </c>
      <c r="EQ109" s="39">
        <f>IF(N('Dvd Calendar'!$Q$1078)=0,"",IF(('Dvd Calendar'!$Q$1078&gt;=GRID_FROM)*('Dvd Calendar'!$Q$1078&lt;=GRID_TO)*((('Dvd Calendar'!$Q$1078&lt;=VAL_DATE)+(COUNTIF('Dvd Calendar'!$E$1085:$AR$1085,'Dvd Calendar'!$Q$1078)=0))&gt;0)=0,"",'Dvd Calendar'!$Q$1078*1000000000+ISNUMBER('Dvd Calendar'!$Q$1081)*100000000+('Dvd Calendar'!$Q$1083=SPECIAL_LBL)*10000000+(N('Dvd Calendar'!$Q$1077)&gt;0)*(N('Dvd Calendar'!$Q$1077)&lt;=VAL_SERIAL)*1000000+98*1000+13))</f>
        <v/>
      </c>
      <c r="ER109" s="39">
        <f>IF(N('Dvd Calendar'!$R$1078)=0,"",IF(('Dvd Calendar'!$R$1078&gt;=GRID_FROM)*('Dvd Calendar'!$R$1078&lt;=GRID_TO)*((('Dvd Calendar'!$R$1078&lt;=VAL_DATE)+(COUNTIF('Dvd Calendar'!$E$1085:$AR$1085,'Dvd Calendar'!$R$1078)=0))&gt;0)=0,"",'Dvd Calendar'!$R$1078*1000000000+ISNUMBER('Dvd Calendar'!$R$1081)*100000000+('Dvd Calendar'!$R$1083=SPECIAL_LBL)*10000000+(N('Dvd Calendar'!$R$1077)&gt;0)*(N('Dvd Calendar'!$R$1077)&lt;=VAL_SERIAL)*1000000+98*1000+14))</f>
        <v/>
      </c>
      <c r="ES109" s="39">
        <f>IF(N('Dvd Calendar'!$S$1078)=0,"",IF(('Dvd Calendar'!$S$1078&gt;=GRID_FROM)*('Dvd Calendar'!$S$1078&lt;=GRID_TO)*((('Dvd Calendar'!$S$1078&lt;=VAL_DATE)+(COUNTIF('Dvd Calendar'!$E$1085:$AR$1085,'Dvd Calendar'!$S$1078)=0))&gt;0)=0,"",'Dvd Calendar'!$S$1078*1000000000+ISNUMBER('Dvd Calendar'!$S$1081)*100000000+('Dvd Calendar'!$S$1083=SPECIAL_LBL)*10000000+(N('Dvd Calendar'!$S$1077)&gt;0)*(N('Dvd Calendar'!$S$1077)&lt;=VAL_SERIAL)*1000000+98*1000+15))</f>
        <v/>
      </c>
      <c r="ET109" s="39">
        <f>IF(N('Dvd Calendar'!$T$1078)=0,"",IF(('Dvd Calendar'!$T$1078&gt;=GRID_FROM)*('Dvd Calendar'!$T$1078&lt;=GRID_TO)*((('Dvd Calendar'!$T$1078&lt;=VAL_DATE)+(COUNTIF('Dvd Calendar'!$E$1085:$AR$1085,'Dvd Calendar'!$T$1078)=0))&gt;0)=0,"",'Dvd Calendar'!$T$1078*1000000000+ISNUMBER('Dvd Calendar'!$T$1081)*100000000+('Dvd Calendar'!$T$1083=SPECIAL_LBL)*10000000+(N('Dvd Calendar'!$T$1077)&gt;0)*(N('Dvd Calendar'!$T$1077)&lt;=VAL_SERIAL)*1000000+98*1000+16))</f>
        <v/>
      </c>
      <c r="EU109" s="39">
        <f>IF(N('Dvd Calendar'!$U$1078)=0,"",IF(('Dvd Calendar'!$U$1078&gt;=GRID_FROM)*('Dvd Calendar'!$U$1078&lt;=GRID_TO)*((('Dvd Calendar'!$U$1078&lt;=VAL_DATE)+(COUNTIF('Dvd Calendar'!$E$1085:$AR$1085,'Dvd Calendar'!$U$1078)=0))&gt;0)=0,"",'Dvd Calendar'!$U$1078*1000000000+ISNUMBER('Dvd Calendar'!$U$1081)*100000000+('Dvd Calendar'!$U$1083=SPECIAL_LBL)*10000000+(N('Dvd Calendar'!$U$1077)&gt;0)*(N('Dvd Calendar'!$U$1077)&lt;=VAL_SERIAL)*1000000+98*1000+17))</f>
        <v/>
      </c>
      <c r="EV109" s="39">
        <f>IF(N('Dvd Calendar'!$V$1078)=0,"",IF(('Dvd Calendar'!$V$1078&gt;=GRID_FROM)*('Dvd Calendar'!$V$1078&lt;=GRID_TO)*((('Dvd Calendar'!$V$1078&lt;=VAL_DATE)+(COUNTIF('Dvd Calendar'!$E$1085:$AR$1085,'Dvd Calendar'!$V$1078)=0))&gt;0)=0,"",'Dvd Calendar'!$V$1078*1000000000+ISNUMBER('Dvd Calendar'!$V$1081)*100000000+('Dvd Calendar'!$V$1083=SPECIAL_LBL)*10000000+(N('Dvd Calendar'!$V$1077)&gt;0)*(N('Dvd Calendar'!$V$1077)&lt;=VAL_SERIAL)*1000000+98*1000+18))</f>
        <v/>
      </c>
      <c r="EW109" s="39">
        <f>IF(N('Dvd Calendar'!$W$1078)=0,"",IF(('Dvd Calendar'!$W$1078&gt;=GRID_FROM)*('Dvd Calendar'!$W$1078&lt;=GRID_TO)*((('Dvd Calendar'!$W$1078&lt;=VAL_DATE)+(COUNTIF('Dvd Calendar'!$E$1085:$AR$1085,'Dvd Calendar'!$W$1078)=0))&gt;0)=0,"",'Dvd Calendar'!$W$1078*1000000000+ISNUMBER('Dvd Calendar'!$W$1081)*100000000+('Dvd Calendar'!$W$1083=SPECIAL_LBL)*10000000+(N('Dvd Calendar'!$W$1077)&gt;0)*(N('Dvd Calendar'!$W$1077)&lt;=VAL_SERIAL)*1000000+98*1000+19))</f>
        <v/>
      </c>
      <c r="EX109" s="39">
        <f>IF(N('Dvd Calendar'!$X$1078)=0,"",IF(('Dvd Calendar'!$X$1078&gt;=GRID_FROM)*('Dvd Calendar'!$X$1078&lt;=GRID_TO)*((('Dvd Calendar'!$X$1078&lt;=VAL_DATE)+(COUNTIF('Dvd Calendar'!$E$1085:$AR$1085,'Dvd Calendar'!$X$1078)=0))&gt;0)=0,"",'Dvd Calendar'!$X$1078*1000000000+ISNUMBER('Dvd Calendar'!$X$1081)*100000000+('Dvd Calendar'!$X$1083=SPECIAL_LBL)*10000000+(N('Dvd Calendar'!$X$1077)&gt;0)*(N('Dvd Calendar'!$X$1077)&lt;=VAL_SERIAL)*1000000+98*1000+20))</f>
        <v/>
      </c>
      <c r="EY109" s="39">
        <f>IF(N('Dvd Calendar'!$Y$1078)=0,"",IF(('Dvd Calendar'!$Y$1078&gt;=GRID_FROM)*('Dvd Calendar'!$Y$1078&lt;=GRID_TO)*((('Dvd Calendar'!$Y$1078&lt;=VAL_DATE)+(COUNTIF('Dvd Calendar'!$E$1085:$AR$1085,'Dvd Calendar'!$Y$1078)=0))&gt;0)=0,"",'Dvd Calendar'!$Y$1078*1000000000+ISNUMBER('Dvd Calendar'!$Y$1081)*100000000+('Dvd Calendar'!$Y$1083=SPECIAL_LBL)*10000000+(N('Dvd Calendar'!$Y$1077)&gt;0)*(N('Dvd Calendar'!$Y$1077)&lt;=VAL_SERIAL)*1000000+98*1000+21))</f>
        <v/>
      </c>
      <c r="EZ109" s="39">
        <f>IF(N('Dvd Calendar'!$Z$1078)=0,"",IF(('Dvd Calendar'!$Z$1078&gt;=GRID_FROM)*('Dvd Calendar'!$Z$1078&lt;=GRID_TO)*((('Dvd Calendar'!$Z$1078&lt;=VAL_DATE)+(COUNTIF('Dvd Calendar'!$E$1085:$AR$1085,'Dvd Calendar'!$Z$1078)=0))&gt;0)=0,"",'Dvd Calendar'!$Z$1078*1000000000+ISNUMBER('Dvd Calendar'!$Z$1081)*100000000+('Dvd Calendar'!$Z$1083=SPECIAL_LBL)*10000000+(N('Dvd Calendar'!$Z$1077)&gt;0)*(N('Dvd Calendar'!$Z$1077)&lt;=VAL_SERIAL)*1000000+98*1000+22))</f>
        <v/>
      </c>
      <c r="FA109" s="39">
        <f>IF(N('Dvd Calendar'!$AA$1078)=0,"",IF(('Dvd Calendar'!$AA$1078&gt;=GRID_FROM)*('Dvd Calendar'!$AA$1078&lt;=GRID_TO)*((('Dvd Calendar'!$AA$1078&lt;=VAL_DATE)+(COUNTIF('Dvd Calendar'!$E$1085:$AR$1085,'Dvd Calendar'!$AA$1078)=0))&gt;0)=0,"",'Dvd Calendar'!$AA$1078*1000000000+ISNUMBER('Dvd Calendar'!$AA$1081)*100000000+('Dvd Calendar'!$AA$1083=SPECIAL_LBL)*10000000+(N('Dvd Calendar'!$AA$1077)&gt;0)*(N('Dvd Calendar'!$AA$1077)&lt;=VAL_SERIAL)*1000000+98*1000+23))</f>
        <v/>
      </c>
      <c r="FB109" s="39">
        <f>IF(N('Dvd Calendar'!$AB$1078)=0,"",IF(('Dvd Calendar'!$AB$1078&gt;=GRID_FROM)*('Dvd Calendar'!$AB$1078&lt;=GRID_TO)*((('Dvd Calendar'!$AB$1078&lt;=VAL_DATE)+(COUNTIF('Dvd Calendar'!$E$1085:$AR$1085,'Dvd Calendar'!$AB$1078)=0))&gt;0)=0,"",'Dvd Calendar'!$AB$1078*1000000000+ISNUMBER('Dvd Calendar'!$AB$1081)*100000000+('Dvd Calendar'!$AB$1083=SPECIAL_LBL)*10000000+(N('Dvd Calendar'!$AB$1077)&gt;0)*(N('Dvd Calendar'!$AB$1077)&lt;=VAL_SERIAL)*1000000+98*1000+24))</f>
        <v/>
      </c>
      <c r="FC109" s="39">
        <f>IF(N('Dvd Calendar'!$AC$1078)=0,"",IF(('Dvd Calendar'!$AC$1078&gt;=GRID_FROM)*('Dvd Calendar'!$AC$1078&lt;=GRID_TO)*((('Dvd Calendar'!$AC$1078&lt;=VAL_DATE)+(COUNTIF('Dvd Calendar'!$E$1085:$AR$1085,'Dvd Calendar'!$AC$1078)=0))&gt;0)=0,"",'Dvd Calendar'!$AC$1078*1000000000+ISNUMBER('Dvd Calendar'!$AC$1081)*100000000+('Dvd Calendar'!$AC$1083=SPECIAL_LBL)*10000000+(N('Dvd Calendar'!$AC$1077)&gt;0)*(N('Dvd Calendar'!$AC$1077)&lt;=VAL_SERIAL)*1000000+98*1000+25))</f>
        <v/>
      </c>
      <c r="FD109" s="39">
        <f>IF(N('Dvd Calendar'!$AD$1078)=0,"",IF(('Dvd Calendar'!$AD$1078&gt;=GRID_FROM)*('Dvd Calendar'!$AD$1078&lt;=GRID_TO)*((('Dvd Calendar'!$AD$1078&lt;=VAL_DATE)+(COUNTIF('Dvd Calendar'!$E$1085:$AR$1085,'Dvd Calendar'!$AD$1078)=0))&gt;0)=0,"",'Dvd Calendar'!$AD$1078*1000000000+ISNUMBER('Dvd Calendar'!$AD$1081)*100000000+('Dvd Calendar'!$AD$1083=SPECIAL_LBL)*10000000+(N('Dvd Calendar'!$AD$1077)&gt;0)*(N('Dvd Calendar'!$AD$1077)&lt;=VAL_SERIAL)*1000000+98*1000+26))</f>
        <v/>
      </c>
      <c r="FE109" s="39">
        <f>IF(N('Dvd Calendar'!$AE$1078)=0,"",IF(('Dvd Calendar'!$AE$1078&gt;=GRID_FROM)*('Dvd Calendar'!$AE$1078&lt;=GRID_TO)*((('Dvd Calendar'!$AE$1078&lt;=VAL_DATE)+(COUNTIF('Dvd Calendar'!$E$1085:$AR$1085,'Dvd Calendar'!$AE$1078)=0))&gt;0)=0,"",'Dvd Calendar'!$AE$1078*1000000000+ISNUMBER('Dvd Calendar'!$AE$1081)*100000000+('Dvd Calendar'!$AE$1083=SPECIAL_LBL)*10000000+(N('Dvd Calendar'!$AE$1077)&gt;0)*(N('Dvd Calendar'!$AE$1077)&lt;=VAL_SERIAL)*1000000+98*1000+27))</f>
        <v/>
      </c>
      <c r="FF109" s="39">
        <f>IF(N('Dvd Calendar'!$AF$1078)=0,"",IF(('Dvd Calendar'!$AF$1078&gt;=GRID_FROM)*('Dvd Calendar'!$AF$1078&lt;=GRID_TO)*((('Dvd Calendar'!$AF$1078&lt;=VAL_DATE)+(COUNTIF('Dvd Calendar'!$E$1085:$AR$1085,'Dvd Calendar'!$AF$1078)=0))&gt;0)=0,"",'Dvd Calendar'!$AF$1078*1000000000+ISNUMBER('Dvd Calendar'!$AF$1081)*100000000+('Dvd Calendar'!$AF$1083=SPECIAL_LBL)*10000000+(N('Dvd Calendar'!$AF$1077)&gt;0)*(N('Dvd Calendar'!$AF$1077)&lt;=VAL_SERIAL)*1000000+98*1000+28))</f>
        <v/>
      </c>
      <c r="FG109" s="39">
        <f>IF(N('Dvd Calendar'!$AG$1078)=0,"",IF(('Dvd Calendar'!$AG$1078&gt;=GRID_FROM)*('Dvd Calendar'!$AG$1078&lt;=GRID_TO)*((('Dvd Calendar'!$AG$1078&lt;=VAL_DATE)+(COUNTIF('Dvd Calendar'!$E$1085:$AR$1085,'Dvd Calendar'!$AG$1078)=0))&gt;0)=0,"",'Dvd Calendar'!$AG$1078*1000000000+ISNUMBER('Dvd Calendar'!$AG$1081)*100000000+('Dvd Calendar'!$AG$1083=SPECIAL_LBL)*10000000+(N('Dvd Calendar'!$AG$1077)&gt;0)*(N('Dvd Calendar'!$AG$1077)&lt;=VAL_SERIAL)*1000000+98*1000+29))</f>
        <v/>
      </c>
      <c r="FH109" s="39">
        <f>IF(N('Dvd Calendar'!$AH$1078)=0,"",IF(('Dvd Calendar'!$AH$1078&gt;=GRID_FROM)*('Dvd Calendar'!$AH$1078&lt;=GRID_TO)*((('Dvd Calendar'!$AH$1078&lt;=VAL_DATE)+(COUNTIF('Dvd Calendar'!$E$1085:$AR$1085,'Dvd Calendar'!$AH$1078)=0))&gt;0)=0,"",'Dvd Calendar'!$AH$1078*1000000000+ISNUMBER('Dvd Calendar'!$AH$1081)*100000000+('Dvd Calendar'!$AH$1083=SPECIAL_LBL)*10000000+(N('Dvd Calendar'!$AH$1077)&gt;0)*(N('Dvd Calendar'!$AH$1077)&lt;=VAL_SERIAL)*1000000+98*1000+30))</f>
        <v/>
      </c>
      <c r="FI109" s="39">
        <f>IF(N('Dvd Calendar'!$AI$1078)=0,"",IF(('Dvd Calendar'!$AI$1078&gt;=GRID_FROM)*('Dvd Calendar'!$AI$1078&lt;=GRID_TO)*((('Dvd Calendar'!$AI$1078&lt;=VAL_DATE)+(COUNTIF('Dvd Calendar'!$E$1085:$AR$1085,'Dvd Calendar'!$AI$1078)=0))&gt;0)=0,"",'Dvd Calendar'!$AI$1078*1000000000+ISNUMBER('Dvd Calendar'!$AI$1081)*100000000+('Dvd Calendar'!$AI$1083=SPECIAL_LBL)*10000000+(N('Dvd Calendar'!$AI$1077)&gt;0)*(N('Dvd Calendar'!$AI$1077)&lt;=VAL_SERIAL)*1000000+98*1000+31))</f>
        <v/>
      </c>
      <c r="FJ109" s="39">
        <f>IF(N('Dvd Calendar'!$AJ$1078)=0,"",IF(('Dvd Calendar'!$AJ$1078&gt;=GRID_FROM)*('Dvd Calendar'!$AJ$1078&lt;=GRID_TO)*((('Dvd Calendar'!$AJ$1078&lt;=VAL_DATE)+(COUNTIF('Dvd Calendar'!$E$1085:$AR$1085,'Dvd Calendar'!$AJ$1078)=0))&gt;0)=0,"",'Dvd Calendar'!$AJ$1078*1000000000+ISNUMBER('Dvd Calendar'!$AJ$1081)*100000000+('Dvd Calendar'!$AJ$1083=SPECIAL_LBL)*10000000+(N('Dvd Calendar'!$AJ$1077)&gt;0)*(N('Dvd Calendar'!$AJ$1077)&lt;=VAL_SERIAL)*1000000+98*1000+32))</f>
        <v/>
      </c>
      <c r="FK109" s="39">
        <f>IF(N('Dvd Calendar'!$AK$1078)=0,"",IF(('Dvd Calendar'!$AK$1078&gt;=GRID_FROM)*('Dvd Calendar'!$AK$1078&lt;=GRID_TO)*((('Dvd Calendar'!$AK$1078&lt;=VAL_DATE)+(COUNTIF('Dvd Calendar'!$E$1085:$AR$1085,'Dvd Calendar'!$AK$1078)=0))&gt;0)=0,"",'Dvd Calendar'!$AK$1078*1000000000+ISNUMBER('Dvd Calendar'!$AK$1081)*100000000+('Dvd Calendar'!$AK$1083=SPECIAL_LBL)*10000000+(N('Dvd Calendar'!$AK$1077)&gt;0)*(N('Dvd Calendar'!$AK$1077)&lt;=VAL_SERIAL)*1000000+98*1000+33))</f>
        <v/>
      </c>
      <c r="FL109" s="39">
        <f>IF(N('Dvd Calendar'!$AL$1078)=0,"",IF(('Dvd Calendar'!$AL$1078&gt;=GRID_FROM)*('Dvd Calendar'!$AL$1078&lt;=GRID_TO)*((('Dvd Calendar'!$AL$1078&lt;=VAL_DATE)+(COUNTIF('Dvd Calendar'!$E$1085:$AR$1085,'Dvd Calendar'!$AL$1078)=0))&gt;0)=0,"",'Dvd Calendar'!$AL$1078*1000000000+ISNUMBER('Dvd Calendar'!$AL$1081)*100000000+('Dvd Calendar'!$AL$1083=SPECIAL_LBL)*10000000+(N('Dvd Calendar'!$AL$1077)&gt;0)*(N('Dvd Calendar'!$AL$1077)&lt;=VAL_SERIAL)*1000000+98*1000+34))</f>
        <v/>
      </c>
      <c r="FM109" s="39">
        <f>IF(N('Dvd Calendar'!$AM$1078)=0,"",IF(('Dvd Calendar'!$AM$1078&gt;=GRID_FROM)*('Dvd Calendar'!$AM$1078&lt;=GRID_TO)*((('Dvd Calendar'!$AM$1078&lt;=VAL_DATE)+(COUNTIF('Dvd Calendar'!$E$1085:$AR$1085,'Dvd Calendar'!$AM$1078)=0))&gt;0)=0,"",'Dvd Calendar'!$AM$1078*1000000000+ISNUMBER('Dvd Calendar'!$AM$1081)*100000000+('Dvd Calendar'!$AM$1083=SPECIAL_LBL)*10000000+(N('Dvd Calendar'!$AM$1077)&gt;0)*(N('Dvd Calendar'!$AM$1077)&lt;=VAL_SERIAL)*1000000+98*1000+35))</f>
        <v/>
      </c>
      <c r="FN109" s="39">
        <f>IF(N('Dvd Calendar'!$AN$1078)=0,"",IF(('Dvd Calendar'!$AN$1078&gt;=GRID_FROM)*('Dvd Calendar'!$AN$1078&lt;=GRID_TO)*((('Dvd Calendar'!$AN$1078&lt;=VAL_DATE)+(COUNTIF('Dvd Calendar'!$E$1085:$AR$1085,'Dvd Calendar'!$AN$1078)=0))&gt;0)=0,"",'Dvd Calendar'!$AN$1078*1000000000+ISNUMBER('Dvd Calendar'!$AN$1081)*100000000+('Dvd Calendar'!$AN$1083=SPECIAL_LBL)*10000000+(N('Dvd Calendar'!$AN$1077)&gt;0)*(N('Dvd Calendar'!$AN$1077)&lt;=VAL_SERIAL)*1000000+98*1000+36))</f>
        <v/>
      </c>
      <c r="FO109" s="39">
        <f>IF(N('Dvd Calendar'!$AO$1078)=0,"",IF(('Dvd Calendar'!$AO$1078&gt;=GRID_FROM)*('Dvd Calendar'!$AO$1078&lt;=GRID_TO)*((('Dvd Calendar'!$AO$1078&lt;=VAL_DATE)+(COUNTIF('Dvd Calendar'!$E$1085:$AR$1085,'Dvd Calendar'!$AO$1078)=0))&gt;0)=0,"",'Dvd Calendar'!$AO$1078*1000000000+ISNUMBER('Dvd Calendar'!$AO$1081)*100000000+('Dvd Calendar'!$AO$1083=SPECIAL_LBL)*10000000+(N('Dvd Calendar'!$AO$1077)&gt;0)*(N('Dvd Calendar'!$AO$1077)&lt;=VAL_SERIAL)*1000000+98*1000+37))</f>
        <v/>
      </c>
      <c r="FP109" s="39">
        <f>IF(N('Dvd Calendar'!$AP$1078)=0,"",IF(('Dvd Calendar'!$AP$1078&gt;=GRID_FROM)*('Dvd Calendar'!$AP$1078&lt;=GRID_TO)*((('Dvd Calendar'!$AP$1078&lt;=VAL_DATE)+(COUNTIF('Dvd Calendar'!$E$1085:$AR$1085,'Dvd Calendar'!$AP$1078)=0))&gt;0)=0,"",'Dvd Calendar'!$AP$1078*1000000000+ISNUMBER('Dvd Calendar'!$AP$1081)*100000000+('Dvd Calendar'!$AP$1083=SPECIAL_LBL)*10000000+(N('Dvd Calendar'!$AP$1077)&gt;0)*(N('Dvd Calendar'!$AP$1077)&lt;=VAL_SERIAL)*1000000+98*1000+38))</f>
        <v/>
      </c>
      <c r="FQ109" s="39">
        <f>IF(N('Dvd Calendar'!$AQ$1078)=0,"",IF(('Dvd Calendar'!$AQ$1078&gt;=GRID_FROM)*('Dvd Calendar'!$AQ$1078&lt;=GRID_TO)*((('Dvd Calendar'!$AQ$1078&lt;=VAL_DATE)+(COUNTIF('Dvd Calendar'!$E$1085:$AR$1085,'Dvd Calendar'!$AQ$1078)=0))&gt;0)=0,"",'Dvd Calendar'!$AQ$1078*1000000000+ISNUMBER('Dvd Calendar'!$AQ$1081)*100000000+('Dvd Calendar'!$AQ$1083=SPECIAL_LBL)*10000000+(N('Dvd Calendar'!$AQ$1077)&gt;0)*(N('Dvd Calendar'!$AQ$1077)&lt;=VAL_SERIAL)*1000000+98*1000+39))</f>
        <v/>
      </c>
      <c r="FR109" s="39">
        <f>IF(N('Dvd Calendar'!$AR$1078)=0,"",IF(('Dvd Calendar'!$AR$1078&gt;=GRID_FROM)*('Dvd Calendar'!$AR$1078&lt;=GRID_TO)*((('Dvd Calendar'!$AR$1078&lt;=VAL_DATE)+(COUNTIF('Dvd Calendar'!$E$1085:$AR$1085,'Dvd Calendar'!$AR$1078)=0))&gt;0)=0,"",'Dvd Calendar'!$AR$1078*1000000000+ISNUMBER('Dvd Calendar'!$AR$1081)*100000000+('Dvd Calendar'!$AR$1083=SPECIAL_LBL)*10000000+(N('Dvd Calendar'!$AR$1077)&gt;0)*(N('Dvd Calendar'!$AR$1077)&lt;=VAL_SERIAL)*1000000+98*1000+40))</f>
        <v/>
      </c>
      <c r="FS109" s="39">
        <f>IF(N('Dvd Calendar'!$E$1085)=0,"",IF(('Dvd Calendar'!$E$1085&gt;=GRID_FROM)*('Dvd Calendar'!$E$1085&lt;=GRID_TO)*('Dvd Calendar'!$E$1085&gt;VAL_DATE)=0,"",'Dvd Calendar'!$E$1085*1000000000+ISNUMBER('Dvd Calendar'!$E$1086)*100000000+0*10000000+(N('Dvd Calendar'!$E$1084)&gt;0)*(N('Dvd Calendar'!$E$1084)&lt;=VAL_SERIAL)*1000000+98*1000+41))</f>
        <v/>
      </c>
      <c r="FT109" s="39">
        <f>IF(N('Dvd Calendar'!$F$1085)=0,"",IF(('Dvd Calendar'!$F$1085&gt;=GRID_FROM)*('Dvd Calendar'!$F$1085&lt;=GRID_TO)*('Dvd Calendar'!$F$1085&gt;VAL_DATE)=0,"",'Dvd Calendar'!$F$1085*1000000000+ISNUMBER('Dvd Calendar'!$F$1086)*100000000+0*10000000+(N('Dvd Calendar'!$F$1084)&gt;0)*(N('Dvd Calendar'!$F$1084)&lt;=VAL_SERIAL)*1000000+98*1000+42))</f>
        <v/>
      </c>
      <c r="FU109" s="39">
        <f>IF(N('Dvd Calendar'!$G$1085)=0,"",IF(('Dvd Calendar'!$G$1085&gt;=GRID_FROM)*('Dvd Calendar'!$G$1085&lt;=GRID_TO)*('Dvd Calendar'!$G$1085&gt;VAL_DATE)=0,"",'Dvd Calendar'!$G$1085*1000000000+ISNUMBER('Dvd Calendar'!$G$1086)*100000000+0*10000000+(N('Dvd Calendar'!$G$1084)&gt;0)*(N('Dvd Calendar'!$G$1084)&lt;=VAL_SERIAL)*1000000+98*1000+43))</f>
        <v/>
      </c>
      <c r="FV109" s="39">
        <f>IF(N('Dvd Calendar'!$H$1085)=0,"",IF(('Dvd Calendar'!$H$1085&gt;=GRID_FROM)*('Dvd Calendar'!$H$1085&lt;=GRID_TO)*('Dvd Calendar'!$H$1085&gt;VAL_DATE)=0,"",'Dvd Calendar'!$H$1085*1000000000+ISNUMBER('Dvd Calendar'!$H$1086)*100000000+0*10000000+(N('Dvd Calendar'!$H$1084)&gt;0)*(N('Dvd Calendar'!$H$1084)&lt;=VAL_SERIAL)*1000000+98*1000+44))</f>
        <v/>
      </c>
      <c r="FW109" s="39">
        <f>IF(N('Dvd Calendar'!$I$1085)=0,"",IF(('Dvd Calendar'!$I$1085&gt;=GRID_FROM)*('Dvd Calendar'!$I$1085&lt;=GRID_TO)*('Dvd Calendar'!$I$1085&gt;VAL_DATE)=0,"",'Dvd Calendar'!$I$1085*1000000000+ISNUMBER('Dvd Calendar'!$I$1086)*100000000+0*10000000+(N('Dvd Calendar'!$I$1084)&gt;0)*(N('Dvd Calendar'!$I$1084)&lt;=VAL_SERIAL)*1000000+98*1000+45))</f>
        <v/>
      </c>
      <c r="FX109" s="39">
        <f>IF(N('Dvd Calendar'!$J$1085)=0,"",IF(('Dvd Calendar'!$J$1085&gt;=GRID_FROM)*('Dvd Calendar'!$J$1085&lt;=GRID_TO)*('Dvd Calendar'!$J$1085&gt;VAL_DATE)=0,"",'Dvd Calendar'!$J$1085*1000000000+ISNUMBER('Dvd Calendar'!$J$1086)*100000000+0*10000000+(N('Dvd Calendar'!$J$1084)&gt;0)*(N('Dvd Calendar'!$J$1084)&lt;=VAL_SERIAL)*1000000+98*1000+46))</f>
        <v/>
      </c>
      <c r="FY109" s="39">
        <f>IF(N('Dvd Calendar'!$K$1085)=0,"",IF(('Dvd Calendar'!$K$1085&gt;=GRID_FROM)*('Dvd Calendar'!$K$1085&lt;=GRID_TO)*('Dvd Calendar'!$K$1085&gt;VAL_DATE)=0,"",'Dvd Calendar'!$K$1085*1000000000+ISNUMBER('Dvd Calendar'!$K$1086)*100000000+0*10000000+(N('Dvd Calendar'!$K$1084)&gt;0)*(N('Dvd Calendar'!$K$1084)&lt;=VAL_SERIAL)*1000000+98*1000+47))</f>
        <v/>
      </c>
      <c r="FZ109" s="39">
        <f>IF(N('Dvd Calendar'!$L$1085)=0,"",IF(('Dvd Calendar'!$L$1085&gt;=GRID_FROM)*('Dvd Calendar'!$L$1085&lt;=GRID_TO)*('Dvd Calendar'!$L$1085&gt;VAL_DATE)=0,"",'Dvd Calendar'!$L$1085*1000000000+ISNUMBER('Dvd Calendar'!$L$1086)*100000000+0*10000000+(N('Dvd Calendar'!$L$1084)&gt;0)*(N('Dvd Calendar'!$L$1084)&lt;=VAL_SERIAL)*1000000+98*1000+48))</f>
        <v/>
      </c>
      <c r="GA109" s="39">
        <f>IF(N('Dvd Calendar'!$M$1085)=0,"",IF(('Dvd Calendar'!$M$1085&gt;=GRID_FROM)*('Dvd Calendar'!$M$1085&lt;=GRID_TO)*('Dvd Calendar'!$M$1085&gt;VAL_DATE)=0,"",'Dvd Calendar'!$M$1085*1000000000+ISNUMBER('Dvd Calendar'!$M$1086)*100000000+0*10000000+(N('Dvd Calendar'!$M$1084)&gt;0)*(N('Dvd Calendar'!$M$1084)&lt;=VAL_SERIAL)*1000000+98*1000+49))</f>
        <v/>
      </c>
      <c r="GB109" s="39">
        <f>IF(N('Dvd Calendar'!$N$1085)=0,"",IF(('Dvd Calendar'!$N$1085&gt;=GRID_FROM)*('Dvd Calendar'!$N$1085&lt;=GRID_TO)*('Dvd Calendar'!$N$1085&gt;VAL_DATE)=0,"",'Dvd Calendar'!$N$1085*1000000000+ISNUMBER('Dvd Calendar'!$N$1086)*100000000+0*10000000+(N('Dvd Calendar'!$N$1084)&gt;0)*(N('Dvd Calendar'!$N$1084)&lt;=VAL_SERIAL)*1000000+98*1000+50))</f>
        <v/>
      </c>
      <c r="GC109" s="39">
        <f>IF(N('Dvd Calendar'!$O$1085)=0,"",IF(('Dvd Calendar'!$O$1085&gt;=GRID_FROM)*('Dvd Calendar'!$O$1085&lt;=GRID_TO)*('Dvd Calendar'!$O$1085&gt;VAL_DATE)=0,"",'Dvd Calendar'!$O$1085*1000000000+ISNUMBER('Dvd Calendar'!$O$1086)*100000000+0*10000000+(N('Dvd Calendar'!$O$1084)&gt;0)*(N('Dvd Calendar'!$O$1084)&lt;=VAL_SERIAL)*1000000+98*1000+51))</f>
        <v/>
      </c>
      <c r="GD109" s="39">
        <f>IF(N('Dvd Calendar'!$P$1085)=0,"",IF(('Dvd Calendar'!$P$1085&gt;=GRID_FROM)*('Dvd Calendar'!$P$1085&lt;=GRID_TO)*('Dvd Calendar'!$P$1085&gt;VAL_DATE)=0,"",'Dvd Calendar'!$P$1085*1000000000+ISNUMBER('Dvd Calendar'!$P$1086)*100000000+0*10000000+(N('Dvd Calendar'!$P$1084)&gt;0)*(N('Dvd Calendar'!$P$1084)&lt;=VAL_SERIAL)*1000000+98*1000+52))</f>
        <v/>
      </c>
      <c r="GE109" s="39">
        <f>IF(N('Dvd Calendar'!$Q$1085)=0,"",IF(('Dvd Calendar'!$Q$1085&gt;=GRID_FROM)*('Dvd Calendar'!$Q$1085&lt;=GRID_TO)*('Dvd Calendar'!$Q$1085&gt;VAL_DATE)=0,"",'Dvd Calendar'!$Q$1085*1000000000+ISNUMBER('Dvd Calendar'!$Q$1086)*100000000+0*10000000+(N('Dvd Calendar'!$Q$1084)&gt;0)*(N('Dvd Calendar'!$Q$1084)&lt;=VAL_SERIAL)*1000000+98*1000+53))</f>
        <v/>
      </c>
      <c r="GF109" s="39">
        <f>IF(N('Dvd Calendar'!$R$1085)=0,"",IF(('Dvd Calendar'!$R$1085&gt;=GRID_FROM)*('Dvd Calendar'!$R$1085&lt;=GRID_TO)*('Dvd Calendar'!$R$1085&gt;VAL_DATE)=0,"",'Dvd Calendar'!$R$1085*1000000000+ISNUMBER('Dvd Calendar'!$R$1086)*100000000+0*10000000+(N('Dvd Calendar'!$R$1084)&gt;0)*(N('Dvd Calendar'!$R$1084)&lt;=VAL_SERIAL)*1000000+98*1000+54))</f>
        <v/>
      </c>
      <c r="GG109" s="39">
        <f>IF(N('Dvd Calendar'!$S$1085)=0,"",IF(('Dvd Calendar'!$S$1085&gt;=GRID_FROM)*('Dvd Calendar'!$S$1085&lt;=GRID_TO)*('Dvd Calendar'!$S$1085&gt;VAL_DATE)=0,"",'Dvd Calendar'!$S$1085*1000000000+ISNUMBER('Dvd Calendar'!$S$1086)*100000000+0*10000000+(N('Dvd Calendar'!$S$1084)&gt;0)*(N('Dvd Calendar'!$S$1084)&lt;=VAL_SERIAL)*1000000+98*1000+55))</f>
        <v/>
      </c>
      <c r="GH109" s="39">
        <f>IF(N('Dvd Calendar'!$T$1085)=0,"",IF(('Dvd Calendar'!$T$1085&gt;=GRID_FROM)*('Dvd Calendar'!$T$1085&lt;=GRID_TO)*('Dvd Calendar'!$T$1085&gt;VAL_DATE)=0,"",'Dvd Calendar'!$T$1085*1000000000+ISNUMBER('Dvd Calendar'!$T$1086)*100000000+0*10000000+(N('Dvd Calendar'!$T$1084)&gt;0)*(N('Dvd Calendar'!$T$1084)&lt;=VAL_SERIAL)*1000000+98*1000+56))</f>
        <v/>
      </c>
      <c r="GI109" s="39">
        <f>IF(N('Dvd Calendar'!$U$1085)=0,"",IF(('Dvd Calendar'!$U$1085&gt;=GRID_FROM)*('Dvd Calendar'!$U$1085&lt;=GRID_TO)*('Dvd Calendar'!$U$1085&gt;VAL_DATE)=0,"",'Dvd Calendar'!$U$1085*1000000000+ISNUMBER('Dvd Calendar'!$U$1086)*100000000+0*10000000+(N('Dvd Calendar'!$U$1084)&gt;0)*(N('Dvd Calendar'!$U$1084)&lt;=VAL_SERIAL)*1000000+98*1000+57))</f>
        <v/>
      </c>
      <c r="GJ109" s="39">
        <f>IF(N('Dvd Calendar'!$V$1085)=0,"",IF(('Dvd Calendar'!$V$1085&gt;=GRID_FROM)*('Dvd Calendar'!$V$1085&lt;=GRID_TO)*('Dvd Calendar'!$V$1085&gt;VAL_DATE)=0,"",'Dvd Calendar'!$V$1085*1000000000+ISNUMBER('Dvd Calendar'!$V$1086)*100000000+0*10000000+(N('Dvd Calendar'!$V$1084)&gt;0)*(N('Dvd Calendar'!$V$1084)&lt;=VAL_SERIAL)*1000000+98*1000+58))</f>
        <v/>
      </c>
      <c r="GK109" s="39">
        <f>IF(N('Dvd Calendar'!$W$1085)=0,"",IF(('Dvd Calendar'!$W$1085&gt;=GRID_FROM)*('Dvd Calendar'!$W$1085&lt;=GRID_TO)*('Dvd Calendar'!$W$1085&gt;VAL_DATE)=0,"",'Dvd Calendar'!$W$1085*1000000000+ISNUMBER('Dvd Calendar'!$W$1086)*100000000+0*10000000+(N('Dvd Calendar'!$W$1084)&gt;0)*(N('Dvd Calendar'!$W$1084)&lt;=VAL_SERIAL)*1000000+98*1000+59))</f>
        <v/>
      </c>
      <c r="GL109" s="39">
        <f>IF(N('Dvd Calendar'!$X$1085)=0,"",IF(('Dvd Calendar'!$X$1085&gt;=GRID_FROM)*('Dvd Calendar'!$X$1085&lt;=GRID_TO)*('Dvd Calendar'!$X$1085&gt;VAL_DATE)=0,"",'Dvd Calendar'!$X$1085*1000000000+ISNUMBER('Dvd Calendar'!$X$1086)*100000000+0*10000000+(N('Dvd Calendar'!$X$1084)&gt;0)*(N('Dvd Calendar'!$X$1084)&lt;=VAL_SERIAL)*1000000+98*1000+60))</f>
        <v/>
      </c>
      <c r="GM109" s="39">
        <f>IF(N('Dvd Calendar'!$Y$1085)=0,"",IF(('Dvd Calendar'!$Y$1085&gt;=GRID_FROM)*('Dvd Calendar'!$Y$1085&lt;=GRID_TO)*('Dvd Calendar'!$Y$1085&gt;VAL_DATE)=0,"",'Dvd Calendar'!$Y$1085*1000000000+ISNUMBER('Dvd Calendar'!$Y$1086)*100000000+0*10000000+(N('Dvd Calendar'!$Y$1084)&gt;0)*(N('Dvd Calendar'!$Y$1084)&lt;=VAL_SERIAL)*1000000+98*1000+61))</f>
        <v/>
      </c>
      <c r="GN109" s="39">
        <f>IF(N('Dvd Calendar'!$Z$1085)=0,"",IF(('Dvd Calendar'!$Z$1085&gt;=GRID_FROM)*('Dvd Calendar'!$Z$1085&lt;=GRID_TO)*('Dvd Calendar'!$Z$1085&gt;VAL_DATE)=0,"",'Dvd Calendar'!$Z$1085*1000000000+ISNUMBER('Dvd Calendar'!$Z$1086)*100000000+0*10000000+(N('Dvd Calendar'!$Z$1084)&gt;0)*(N('Dvd Calendar'!$Z$1084)&lt;=VAL_SERIAL)*1000000+98*1000+62))</f>
        <v/>
      </c>
      <c r="GO109" s="39">
        <f>IF(N('Dvd Calendar'!$AA$1085)=0,"",IF(('Dvd Calendar'!$AA$1085&gt;=GRID_FROM)*('Dvd Calendar'!$AA$1085&lt;=GRID_TO)*('Dvd Calendar'!$AA$1085&gt;VAL_DATE)=0,"",'Dvd Calendar'!$AA$1085*1000000000+ISNUMBER('Dvd Calendar'!$AA$1086)*100000000+0*10000000+(N('Dvd Calendar'!$AA$1084)&gt;0)*(N('Dvd Calendar'!$AA$1084)&lt;=VAL_SERIAL)*1000000+98*1000+63))</f>
        <v/>
      </c>
      <c r="GP109" s="39">
        <f>IF(N('Dvd Calendar'!$AB$1085)=0,"",IF(('Dvd Calendar'!$AB$1085&gt;=GRID_FROM)*('Dvd Calendar'!$AB$1085&lt;=GRID_TO)*('Dvd Calendar'!$AB$1085&gt;VAL_DATE)=0,"",'Dvd Calendar'!$AB$1085*1000000000+ISNUMBER('Dvd Calendar'!$AB$1086)*100000000+0*10000000+(N('Dvd Calendar'!$AB$1084)&gt;0)*(N('Dvd Calendar'!$AB$1084)&lt;=VAL_SERIAL)*1000000+98*1000+64))</f>
        <v/>
      </c>
      <c r="GQ109" s="39">
        <f>IF(N('Dvd Calendar'!$AC$1085)=0,"",IF(('Dvd Calendar'!$AC$1085&gt;=GRID_FROM)*('Dvd Calendar'!$AC$1085&lt;=GRID_TO)*('Dvd Calendar'!$AC$1085&gt;VAL_DATE)=0,"",'Dvd Calendar'!$AC$1085*1000000000+ISNUMBER('Dvd Calendar'!$AC$1086)*100000000+0*10000000+(N('Dvd Calendar'!$AC$1084)&gt;0)*(N('Dvd Calendar'!$AC$1084)&lt;=VAL_SERIAL)*1000000+98*1000+65))</f>
        <v/>
      </c>
    </row>
    <row r="110">
      <c r="B110" s="2">
        <f>IF(HSI!$C$105="","",HSI!$C$105)</f>
        <v/>
      </c>
      <c r="C110" s="110">
        <f>IF(EE110="","",IF(ISNUMBER('Dvd Calendar'!$E$1092)=FALSE,"",IF((('Dvd Calendar'!$E$1094=TYPE1)*(TYPE1&lt;&gt;"")+('Dvd Calendar'!$E$1094=TYPE2)*(TYPE2&lt;&gt;"")+('Dvd Calendar'!$E$1094=TYPE3)*(TYPE3&lt;&gt;"")+('Dvd Calendar'!$E$1094=TYPE4)*(TYPE4&lt;&gt;"")+('Dvd Calendar'!$E$1094=SPECIAL_LBL)*(INC_SPECIALS="Y"))=0,"",'Dvd Calendar'!$E$1092)))</f>
        <v/>
      </c>
      <c r="D110" s="110">
        <f>IF(EF110="","",IF(ISNUMBER('Dvd Calendar'!$F$1092)=FALSE,"",IF((('Dvd Calendar'!$F$1094=TYPE1)*(TYPE1&lt;&gt;"")+('Dvd Calendar'!$F$1094=TYPE2)*(TYPE2&lt;&gt;"")+('Dvd Calendar'!$F$1094=TYPE3)*(TYPE3&lt;&gt;"")+('Dvd Calendar'!$F$1094=TYPE4)*(TYPE4&lt;&gt;"")+('Dvd Calendar'!$F$1094=SPECIAL_LBL)*(INC_SPECIALS="Y"))=0,"",'Dvd Calendar'!$F$1092)))</f>
        <v/>
      </c>
      <c r="E110" s="110">
        <f>IF(EG110="","",IF(ISNUMBER('Dvd Calendar'!$G$1092)=FALSE,"",IF((('Dvd Calendar'!$G$1094=TYPE1)*(TYPE1&lt;&gt;"")+('Dvd Calendar'!$G$1094=TYPE2)*(TYPE2&lt;&gt;"")+('Dvd Calendar'!$G$1094=TYPE3)*(TYPE3&lt;&gt;"")+('Dvd Calendar'!$G$1094=TYPE4)*(TYPE4&lt;&gt;"")+('Dvd Calendar'!$G$1094=SPECIAL_LBL)*(INC_SPECIALS="Y"))=0,"",'Dvd Calendar'!$G$1092)))</f>
        <v/>
      </c>
      <c r="F110" s="110">
        <f>IF(EH110="","",IF(ISNUMBER('Dvd Calendar'!$H$1092)=FALSE,"",IF((('Dvd Calendar'!$H$1094=TYPE1)*(TYPE1&lt;&gt;"")+('Dvd Calendar'!$H$1094=TYPE2)*(TYPE2&lt;&gt;"")+('Dvd Calendar'!$H$1094=TYPE3)*(TYPE3&lt;&gt;"")+('Dvd Calendar'!$H$1094=TYPE4)*(TYPE4&lt;&gt;"")+('Dvd Calendar'!$H$1094=SPECIAL_LBL)*(INC_SPECIALS="Y"))=0,"",'Dvd Calendar'!$H$1092)))</f>
        <v/>
      </c>
      <c r="G110" s="110">
        <f>IF(EI110="","",IF(ISNUMBER('Dvd Calendar'!$I$1092)=FALSE,"",IF((('Dvd Calendar'!$I$1094=TYPE1)*(TYPE1&lt;&gt;"")+('Dvd Calendar'!$I$1094=TYPE2)*(TYPE2&lt;&gt;"")+('Dvd Calendar'!$I$1094=TYPE3)*(TYPE3&lt;&gt;"")+('Dvd Calendar'!$I$1094=TYPE4)*(TYPE4&lt;&gt;"")+('Dvd Calendar'!$I$1094=SPECIAL_LBL)*(INC_SPECIALS="Y"))=0,"",'Dvd Calendar'!$I$1092)))</f>
        <v/>
      </c>
      <c r="H110" s="110">
        <f>IF(EJ110="","",IF(ISNUMBER('Dvd Calendar'!$J$1092)=FALSE,"",IF((('Dvd Calendar'!$J$1094=TYPE1)*(TYPE1&lt;&gt;"")+('Dvd Calendar'!$J$1094=TYPE2)*(TYPE2&lt;&gt;"")+('Dvd Calendar'!$J$1094=TYPE3)*(TYPE3&lt;&gt;"")+('Dvd Calendar'!$J$1094=TYPE4)*(TYPE4&lt;&gt;"")+('Dvd Calendar'!$J$1094=SPECIAL_LBL)*(INC_SPECIALS="Y"))=0,"",'Dvd Calendar'!$J$1092)))</f>
        <v/>
      </c>
      <c r="I110" s="110">
        <f>IF(EK110="","",IF(ISNUMBER('Dvd Calendar'!$K$1092)=FALSE,"",IF((('Dvd Calendar'!$K$1094=TYPE1)*(TYPE1&lt;&gt;"")+('Dvd Calendar'!$K$1094=TYPE2)*(TYPE2&lt;&gt;"")+('Dvd Calendar'!$K$1094=TYPE3)*(TYPE3&lt;&gt;"")+('Dvd Calendar'!$K$1094=TYPE4)*(TYPE4&lt;&gt;"")+('Dvd Calendar'!$K$1094=SPECIAL_LBL)*(INC_SPECIALS="Y"))=0,"",'Dvd Calendar'!$K$1092)))</f>
        <v/>
      </c>
      <c r="J110" s="110">
        <f>IF(EL110="","",IF(ISNUMBER('Dvd Calendar'!$L$1092)=FALSE,"",IF((('Dvd Calendar'!$L$1094=TYPE1)*(TYPE1&lt;&gt;"")+('Dvd Calendar'!$L$1094=TYPE2)*(TYPE2&lt;&gt;"")+('Dvd Calendar'!$L$1094=TYPE3)*(TYPE3&lt;&gt;"")+('Dvd Calendar'!$L$1094=TYPE4)*(TYPE4&lt;&gt;"")+('Dvd Calendar'!$L$1094=SPECIAL_LBL)*(INC_SPECIALS="Y"))=0,"",'Dvd Calendar'!$L$1092)))</f>
        <v/>
      </c>
      <c r="K110" s="110">
        <f>IF(EM110="","",IF(ISNUMBER('Dvd Calendar'!$M$1092)=FALSE,"",IF((('Dvd Calendar'!$M$1094=TYPE1)*(TYPE1&lt;&gt;"")+('Dvd Calendar'!$M$1094=TYPE2)*(TYPE2&lt;&gt;"")+('Dvd Calendar'!$M$1094=TYPE3)*(TYPE3&lt;&gt;"")+('Dvd Calendar'!$M$1094=TYPE4)*(TYPE4&lt;&gt;"")+('Dvd Calendar'!$M$1094=SPECIAL_LBL)*(INC_SPECIALS="Y"))=0,"",'Dvd Calendar'!$M$1092)))</f>
        <v/>
      </c>
      <c r="L110" s="110">
        <f>IF(EN110="","",IF(ISNUMBER('Dvd Calendar'!$N$1092)=FALSE,"",IF((('Dvd Calendar'!$N$1094=TYPE1)*(TYPE1&lt;&gt;"")+('Dvd Calendar'!$N$1094=TYPE2)*(TYPE2&lt;&gt;"")+('Dvd Calendar'!$N$1094=TYPE3)*(TYPE3&lt;&gt;"")+('Dvd Calendar'!$N$1094=TYPE4)*(TYPE4&lt;&gt;"")+('Dvd Calendar'!$N$1094=SPECIAL_LBL)*(INC_SPECIALS="Y"))=0,"",'Dvd Calendar'!$N$1092)))</f>
        <v/>
      </c>
      <c r="M110" s="110">
        <f>IF(EO110="","",IF(ISNUMBER('Dvd Calendar'!$O$1092)=FALSE,"",IF((('Dvd Calendar'!$O$1094=TYPE1)*(TYPE1&lt;&gt;"")+('Dvd Calendar'!$O$1094=TYPE2)*(TYPE2&lt;&gt;"")+('Dvd Calendar'!$O$1094=TYPE3)*(TYPE3&lt;&gt;"")+('Dvd Calendar'!$O$1094=TYPE4)*(TYPE4&lt;&gt;"")+('Dvd Calendar'!$O$1094=SPECIAL_LBL)*(INC_SPECIALS="Y"))=0,"",'Dvd Calendar'!$O$1092)))</f>
        <v/>
      </c>
      <c r="N110" s="110">
        <f>IF(EP110="","",IF(ISNUMBER('Dvd Calendar'!$P$1092)=FALSE,"",IF((('Dvd Calendar'!$P$1094=TYPE1)*(TYPE1&lt;&gt;"")+('Dvd Calendar'!$P$1094=TYPE2)*(TYPE2&lt;&gt;"")+('Dvd Calendar'!$P$1094=TYPE3)*(TYPE3&lt;&gt;"")+('Dvd Calendar'!$P$1094=TYPE4)*(TYPE4&lt;&gt;"")+('Dvd Calendar'!$P$1094=SPECIAL_LBL)*(INC_SPECIALS="Y"))=0,"",'Dvd Calendar'!$P$1092)))</f>
        <v/>
      </c>
      <c r="O110" s="110">
        <f>IF(EQ110="","",IF(ISNUMBER('Dvd Calendar'!$Q$1092)=FALSE,"",IF((('Dvd Calendar'!$Q$1094=TYPE1)*(TYPE1&lt;&gt;"")+('Dvd Calendar'!$Q$1094=TYPE2)*(TYPE2&lt;&gt;"")+('Dvd Calendar'!$Q$1094=TYPE3)*(TYPE3&lt;&gt;"")+('Dvd Calendar'!$Q$1094=TYPE4)*(TYPE4&lt;&gt;"")+('Dvd Calendar'!$Q$1094=SPECIAL_LBL)*(INC_SPECIALS="Y"))=0,"",'Dvd Calendar'!$Q$1092)))</f>
        <v/>
      </c>
      <c r="P110" s="110">
        <f>IF(ER110="","",IF(ISNUMBER('Dvd Calendar'!$R$1092)=FALSE,"",IF((('Dvd Calendar'!$R$1094=TYPE1)*(TYPE1&lt;&gt;"")+('Dvd Calendar'!$R$1094=TYPE2)*(TYPE2&lt;&gt;"")+('Dvd Calendar'!$R$1094=TYPE3)*(TYPE3&lt;&gt;"")+('Dvd Calendar'!$R$1094=TYPE4)*(TYPE4&lt;&gt;"")+('Dvd Calendar'!$R$1094=SPECIAL_LBL)*(INC_SPECIALS="Y"))=0,"",'Dvd Calendar'!$R$1092)))</f>
        <v/>
      </c>
      <c r="Q110" s="110">
        <f>IF(ES110="","",IF(ISNUMBER('Dvd Calendar'!$S$1092)=FALSE,"",IF((('Dvd Calendar'!$S$1094=TYPE1)*(TYPE1&lt;&gt;"")+('Dvd Calendar'!$S$1094=TYPE2)*(TYPE2&lt;&gt;"")+('Dvd Calendar'!$S$1094=TYPE3)*(TYPE3&lt;&gt;"")+('Dvd Calendar'!$S$1094=TYPE4)*(TYPE4&lt;&gt;"")+('Dvd Calendar'!$S$1094=SPECIAL_LBL)*(INC_SPECIALS="Y"))=0,"",'Dvd Calendar'!$S$1092)))</f>
        <v/>
      </c>
      <c r="R110" s="110">
        <f>IF(ET110="","",IF(ISNUMBER('Dvd Calendar'!$T$1092)=FALSE,"",IF((('Dvd Calendar'!$T$1094=TYPE1)*(TYPE1&lt;&gt;"")+('Dvd Calendar'!$T$1094=TYPE2)*(TYPE2&lt;&gt;"")+('Dvd Calendar'!$T$1094=TYPE3)*(TYPE3&lt;&gt;"")+('Dvd Calendar'!$T$1094=TYPE4)*(TYPE4&lt;&gt;"")+('Dvd Calendar'!$T$1094=SPECIAL_LBL)*(INC_SPECIALS="Y"))=0,"",'Dvd Calendar'!$T$1092)))</f>
        <v/>
      </c>
      <c r="S110" s="110">
        <f>IF(EU110="","",IF(ISNUMBER('Dvd Calendar'!$U$1092)=FALSE,"",IF((('Dvd Calendar'!$U$1094=TYPE1)*(TYPE1&lt;&gt;"")+('Dvd Calendar'!$U$1094=TYPE2)*(TYPE2&lt;&gt;"")+('Dvd Calendar'!$U$1094=TYPE3)*(TYPE3&lt;&gt;"")+('Dvd Calendar'!$U$1094=TYPE4)*(TYPE4&lt;&gt;"")+('Dvd Calendar'!$U$1094=SPECIAL_LBL)*(INC_SPECIALS="Y"))=0,"",'Dvd Calendar'!$U$1092)))</f>
        <v/>
      </c>
      <c r="T110" s="110">
        <f>IF(EV110="","",IF(ISNUMBER('Dvd Calendar'!$V$1092)=FALSE,"",IF((('Dvd Calendar'!$V$1094=TYPE1)*(TYPE1&lt;&gt;"")+('Dvd Calendar'!$V$1094=TYPE2)*(TYPE2&lt;&gt;"")+('Dvd Calendar'!$V$1094=TYPE3)*(TYPE3&lt;&gt;"")+('Dvd Calendar'!$V$1094=TYPE4)*(TYPE4&lt;&gt;"")+('Dvd Calendar'!$V$1094=SPECIAL_LBL)*(INC_SPECIALS="Y"))=0,"",'Dvd Calendar'!$V$1092)))</f>
        <v/>
      </c>
      <c r="U110" s="110">
        <f>IF(EW110="","",IF(ISNUMBER('Dvd Calendar'!$W$1092)=FALSE,"",IF((('Dvd Calendar'!$W$1094=TYPE1)*(TYPE1&lt;&gt;"")+('Dvd Calendar'!$W$1094=TYPE2)*(TYPE2&lt;&gt;"")+('Dvd Calendar'!$W$1094=TYPE3)*(TYPE3&lt;&gt;"")+('Dvd Calendar'!$W$1094=TYPE4)*(TYPE4&lt;&gt;"")+('Dvd Calendar'!$W$1094=SPECIAL_LBL)*(INC_SPECIALS="Y"))=0,"",'Dvd Calendar'!$W$1092)))</f>
        <v/>
      </c>
      <c r="V110" s="110">
        <f>IF(EX110="","",IF(ISNUMBER('Dvd Calendar'!$X$1092)=FALSE,"",IF((('Dvd Calendar'!$X$1094=TYPE1)*(TYPE1&lt;&gt;"")+('Dvd Calendar'!$X$1094=TYPE2)*(TYPE2&lt;&gt;"")+('Dvd Calendar'!$X$1094=TYPE3)*(TYPE3&lt;&gt;"")+('Dvd Calendar'!$X$1094=TYPE4)*(TYPE4&lt;&gt;"")+('Dvd Calendar'!$X$1094=SPECIAL_LBL)*(INC_SPECIALS="Y"))=0,"",'Dvd Calendar'!$X$1092)))</f>
        <v/>
      </c>
      <c r="W110" s="110">
        <f>IF(EY110="","",IF(ISNUMBER('Dvd Calendar'!$Y$1092)=FALSE,"",IF((('Dvd Calendar'!$Y$1094=TYPE1)*(TYPE1&lt;&gt;"")+('Dvd Calendar'!$Y$1094=TYPE2)*(TYPE2&lt;&gt;"")+('Dvd Calendar'!$Y$1094=TYPE3)*(TYPE3&lt;&gt;"")+('Dvd Calendar'!$Y$1094=TYPE4)*(TYPE4&lt;&gt;"")+('Dvd Calendar'!$Y$1094=SPECIAL_LBL)*(INC_SPECIALS="Y"))=0,"",'Dvd Calendar'!$Y$1092)))</f>
        <v/>
      </c>
      <c r="X110" s="110">
        <f>IF(EZ110="","",IF(ISNUMBER('Dvd Calendar'!$Z$1092)=FALSE,"",IF((('Dvd Calendar'!$Z$1094=TYPE1)*(TYPE1&lt;&gt;"")+('Dvd Calendar'!$Z$1094=TYPE2)*(TYPE2&lt;&gt;"")+('Dvd Calendar'!$Z$1094=TYPE3)*(TYPE3&lt;&gt;"")+('Dvd Calendar'!$Z$1094=TYPE4)*(TYPE4&lt;&gt;"")+('Dvd Calendar'!$Z$1094=SPECIAL_LBL)*(INC_SPECIALS="Y"))=0,"",'Dvd Calendar'!$Z$1092)))</f>
        <v/>
      </c>
      <c r="Y110" s="110">
        <f>IF(FA110="","",IF(ISNUMBER('Dvd Calendar'!$AA$1092)=FALSE,"",IF((('Dvd Calendar'!$AA$1094=TYPE1)*(TYPE1&lt;&gt;"")+('Dvd Calendar'!$AA$1094=TYPE2)*(TYPE2&lt;&gt;"")+('Dvd Calendar'!$AA$1094=TYPE3)*(TYPE3&lt;&gt;"")+('Dvd Calendar'!$AA$1094=TYPE4)*(TYPE4&lt;&gt;"")+('Dvd Calendar'!$AA$1094=SPECIAL_LBL)*(INC_SPECIALS="Y"))=0,"",'Dvd Calendar'!$AA$1092)))</f>
        <v/>
      </c>
      <c r="Z110" s="110">
        <f>IF(FB110="","",IF(ISNUMBER('Dvd Calendar'!$AB$1092)=FALSE,"",IF((('Dvd Calendar'!$AB$1094=TYPE1)*(TYPE1&lt;&gt;"")+('Dvd Calendar'!$AB$1094=TYPE2)*(TYPE2&lt;&gt;"")+('Dvd Calendar'!$AB$1094=TYPE3)*(TYPE3&lt;&gt;"")+('Dvd Calendar'!$AB$1094=TYPE4)*(TYPE4&lt;&gt;"")+('Dvd Calendar'!$AB$1094=SPECIAL_LBL)*(INC_SPECIALS="Y"))=0,"",'Dvd Calendar'!$AB$1092)))</f>
        <v/>
      </c>
      <c r="AA110" s="110">
        <f>IF(FC110="","",IF(ISNUMBER('Dvd Calendar'!$AC$1092)=FALSE,"",IF((('Dvd Calendar'!$AC$1094=TYPE1)*(TYPE1&lt;&gt;"")+('Dvd Calendar'!$AC$1094=TYPE2)*(TYPE2&lt;&gt;"")+('Dvd Calendar'!$AC$1094=TYPE3)*(TYPE3&lt;&gt;"")+('Dvd Calendar'!$AC$1094=TYPE4)*(TYPE4&lt;&gt;"")+('Dvd Calendar'!$AC$1094=SPECIAL_LBL)*(INC_SPECIALS="Y"))=0,"",'Dvd Calendar'!$AC$1092)))</f>
        <v/>
      </c>
      <c r="AB110" s="110">
        <f>IF(FD110="","",IF(ISNUMBER('Dvd Calendar'!$AD$1092)=FALSE,"",IF((('Dvd Calendar'!$AD$1094=TYPE1)*(TYPE1&lt;&gt;"")+('Dvd Calendar'!$AD$1094=TYPE2)*(TYPE2&lt;&gt;"")+('Dvd Calendar'!$AD$1094=TYPE3)*(TYPE3&lt;&gt;"")+('Dvd Calendar'!$AD$1094=TYPE4)*(TYPE4&lt;&gt;"")+('Dvd Calendar'!$AD$1094=SPECIAL_LBL)*(INC_SPECIALS="Y"))=0,"",'Dvd Calendar'!$AD$1092)))</f>
        <v/>
      </c>
      <c r="AC110" s="110">
        <f>IF(FE110="","",IF(ISNUMBER('Dvd Calendar'!$AE$1092)=FALSE,"",IF((('Dvd Calendar'!$AE$1094=TYPE1)*(TYPE1&lt;&gt;"")+('Dvd Calendar'!$AE$1094=TYPE2)*(TYPE2&lt;&gt;"")+('Dvd Calendar'!$AE$1094=TYPE3)*(TYPE3&lt;&gt;"")+('Dvd Calendar'!$AE$1094=TYPE4)*(TYPE4&lt;&gt;"")+('Dvd Calendar'!$AE$1094=SPECIAL_LBL)*(INC_SPECIALS="Y"))=0,"",'Dvd Calendar'!$AE$1092)))</f>
        <v/>
      </c>
      <c r="AD110" s="110">
        <f>IF(FF110="","",IF(ISNUMBER('Dvd Calendar'!$AF$1092)=FALSE,"",IF((('Dvd Calendar'!$AF$1094=TYPE1)*(TYPE1&lt;&gt;"")+('Dvd Calendar'!$AF$1094=TYPE2)*(TYPE2&lt;&gt;"")+('Dvd Calendar'!$AF$1094=TYPE3)*(TYPE3&lt;&gt;"")+('Dvd Calendar'!$AF$1094=TYPE4)*(TYPE4&lt;&gt;"")+('Dvd Calendar'!$AF$1094=SPECIAL_LBL)*(INC_SPECIALS="Y"))=0,"",'Dvd Calendar'!$AF$1092)))</f>
        <v/>
      </c>
      <c r="AE110" s="110">
        <f>IF(FG110="","",IF(ISNUMBER('Dvd Calendar'!$AG$1092)=FALSE,"",IF((('Dvd Calendar'!$AG$1094=TYPE1)*(TYPE1&lt;&gt;"")+('Dvd Calendar'!$AG$1094=TYPE2)*(TYPE2&lt;&gt;"")+('Dvd Calendar'!$AG$1094=TYPE3)*(TYPE3&lt;&gt;"")+('Dvd Calendar'!$AG$1094=TYPE4)*(TYPE4&lt;&gt;"")+('Dvd Calendar'!$AG$1094=SPECIAL_LBL)*(INC_SPECIALS="Y"))=0,"",'Dvd Calendar'!$AG$1092)))</f>
        <v/>
      </c>
      <c r="AF110" s="110">
        <f>IF(FH110="","",IF(ISNUMBER('Dvd Calendar'!$AH$1092)=FALSE,"",IF((('Dvd Calendar'!$AH$1094=TYPE1)*(TYPE1&lt;&gt;"")+('Dvd Calendar'!$AH$1094=TYPE2)*(TYPE2&lt;&gt;"")+('Dvd Calendar'!$AH$1094=TYPE3)*(TYPE3&lt;&gt;"")+('Dvd Calendar'!$AH$1094=TYPE4)*(TYPE4&lt;&gt;"")+('Dvd Calendar'!$AH$1094=SPECIAL_LBL)*(INC_SPECIALS="Y"))=0,"",'Dvd Calendar'!$AH$1092)))</f>
        <v/>
      </c>
      <c r="AG110" s="110">
        <f>IF(FI110="","",IF(ISNUMBER('Dvd Calendar'!$AI$1092)=FALSE,"",IF((('Dvd Calendar'!$AI$1094=TYPE1)*(TYPE1&lt;&gt;"")+('Dvd Calendar'!$AI$1094=TYPE2)*(TYPE2&lt;&gt;"")+('Dvd Calendar'!$AI$1094=TYPE3)*(TYPE3&lt;&gt;"")+('Dvd Calendar'!$AI$1094=TYPE4)*(TYPE4&lt;&gt;"")+('Dvd Calendar'!$AI$1094=SPECIAL_LBL)*(INC_SPECIALS="Y"))=0,"",'Dvd Calendar'!$AI$1092)))</f>
        <v/>
      </c>
      <c r="AH110" s="110">
        <f>IF(FJ110="","",IF(ISNUMBER('Dvd Calendar'!$AJ$1092)=FALSE,"",IF((('Dvd Calendar'!$AJ$1094=TYPE1)*(TYPE1&lt;&gt;"")+('Dvd Calendar'!$AJ$1094=TYPE2)*(TYPE2&lt;&gt;"")+('Dvd Calendar'!$AJ$1094=TYPE3)*(TYPE3&lt;&gt;"")+('Dvd Calendar'!$AJ$1094=TYPE4)*(TYPE4&lt;&gt;"")+('Dvd Calendar'!$AJ$1094=SPECIAL_LBL)*(INC_SPECIALS="Y"))=0,"",'Dvd Calendar'!$AJ$1092)))</f>
        <v/>
      </c>
      <c r="AI110" s="110">
        <f>IF(FK110="","",IF(ISNUMBER('Dvd Calendar'!$AK$1092)=FALSE,"",IF((('Dvd Calendar'!$AK$1094=TYPE1)*(TYPE1&lt;&gt;"")+('Dvd Calendar'!$AK$1094=TYPE2)*(TYPE2&lt;&gt;"")+('Dvd Calendar'!$AK$1094=TYPE3)*(TYPE3&lt;&gt;"")+('Dvd Calendar'!$AK$1094=TYPE4)*(TYPE4&lt;&gt;"")+('Dvd Calendar'!$AK$1094=SPECIAL_LBL)*(INC_SPECIALS="Y"))=0,"",'Dvd Calendar'!$AK$1092)))</f>
        <v/>
      </c>
      <c r="AJ110" s="110">
        <f>IF(FL110="","",IF(ISNUMBER('Dvd Calendar'!$AL$1092)=FALSE,"",IF((('Dvd Calendar'!$AL$1094=TYPE1)*(TYPE1&lt;&gt;"")+('Dvd Calendar'!$AL$1094=TYPE2)*(TYPE2&lt;&gt;"")+('Dvd Calendar'!$AL$1094=TYPE3)*(TYPE3&lt;&gt;"")+('Dvd Calendar'!$AL$1094=TYPE4)*(TYPE4&lt;&gt;"")+('Dvd Calendar'!$AL$1094=SPECIAL_LBL)*(INC_SPECIALS="Y"))=0,"",'Dvd Calendar'!$AL$1092)))</f>
        <v/>
      </c>
      <c r="AK110" s="110">
        <f>IF(FM110="","",IF(ISNUMBER('Dvd Calendar'!$AM$1092)=FALSE,"",IF((('Dvd Calendar'!$AM$1094=TYPE1)*(TYPE1&lt;&gt;"")+('Dvd Calendar'!$AM$1094=TYPE2)*(TYPE2&lt;&gt;"")+('Dvd Calendar'!$AM$1094=TYPE3)*(TYPE3&lt;&gt;"")+('Dvd Calendar'!$AM$1094=TYPE4)*(TYPE4&lt;&gt;"")+('Dvd Calendar'!$AM$1094=SPECIAL_LBL)*(INC_SPECIALS="Y"))=0,"",'Dvd Calendar'!$AM$1092)))</f>
        <v/>
      </c>
      <c r="AL110" s="110">
        <f>IF(FN110="","",IF(ISNUMBER('Dvd Calendar'!$AN$1092)=FALSE,"",IF((('Dvd Calendar'!$AN$1094=TYPE1)*(TYPE1&lt;&gt;"")+('Dvd Calendar'!$AN$1094=TYPE2)*(TYPE2&lt;&gt;"")+('Dvd Calendar'!$AN$1094=TYPE3)*(TYPE3&lt;&gt;"")+('Dvd Calendar'!$AN$1094=TYPE4)*(TYPE4&lt;&gt;"")+('Dvd Calendar'!$AN$1094=SPECIAL_LBL)*(INC_SPECIALS="Y"))=0,"",'Dvd Calendar'!$AN$1092)))</f>
        <v/>
      </c>
      <c r="AM110" s="110">
        <f>IF(FO110="","",IF(ISNUMBER('Dvd Calendar'!$AO$1092)=FALSE,"",IF((('Dvd Calendar'!$AO$1094=TYPE1)*(TYPE1&lt;&gt;"")+('Dvd Calendar'!$AO$1094=TYPE2)*(TYPE2&lt;&gt;"")+('Dvd Calendar'!$AO$1094=TYPE3)*(TYPE3&lt;&gt;"")+('Dvd Calendar'!$AO$1094=TYPE4)*(TYPE4&lt;&gt;"")+('Dvd Calendar'!$AO$1094=SPECIAL_LBL)*(INC_SPECIALS="Y"))=0,"",'Dvd Calendar'!$AO$1092)))</f>
        <v/>
      </c>
      <c r="AN110" s="110">
        <f>IF(FP110="","",IF(ISNUMBER('Dvd Calendar'!$AP$1092)=FALSE,"",IF((('Dvd Calendar'!$AP$1094=TYPE1)*(TYPE1&lt;&gt;"")+('Dvd Calendar'!$AP$1094=TYPE2)*(TYPE2&lt;&gt;"")+('Dvd Calendar'!$AP$1094=TYPE3)*(TYPE3&lt;&gt;"")+('Dvd Calendar'!$AP$1094=TYPE4)*(TYPE4&lt;&gt;"")+('Dvd Calendar'!$AP$1094=SPECIAL_LBL)*(INC_SPECIALS="Y"))=0,"",'Dvd Calendar'!$AP$1092)))</f>
        <v/>
      </c>
      <c r="AO110" s="110">
        <f>IF(FQ110="","",IF(ISNUMBER('Dvd Calendar'!$AQ$1092)=FALSE,"",IF((('Dvd Calendar'!$AQ$1094=TYPE1)*(TYPE1&lt;&gt;"")+('Dvd Calendar'!$AQ$1094=TYPE2)*(TYPE2&lt;&gt;"")+('Dvd Calendar'!$AQ$1094=TYPE3)*(TYPE3&lt;&gt;"")+('Dvd Calendar'!$AQ$1094=TYPE4)*(TYPE4&lt;&gt;"")+('Dvd Calendar'!$AQ$1094=SPECIAL_LBL)*(INC_SPECIALS="Y"))=0,"",'Dvd Calendar'!$AQ$1092)))</f>
        <v/>
      </c>
      <c r="AP110" s="110">
        <f>IF(FR110="","",IF(ISNUMBER('Dvd Calendar'!$AR$1092)=FALSE,"",IF((('Dvd Calendar'!$AR$1094=TYPE1)*(TYPE1&lt;&gt;"")+('Dvd Calendar'!$AR$1094=TYPE2)*(TYPE2&lt;&gt;"")+('Dvd Calendar'!$AR$1094=TYPE3)*(TYPE3&lt;&gt;"")+('Dvd Calendar'!$AR$1094=TYPE4)*(TYPE4&lt;&gt;"")+('Dvd Calendar'!$AR$1094=SPECIAL_LBL)*(INC_SPECIALS="Y"))=0,"",'Dvd Calendar'!$AR$1092)))</f>
        <v/>
      </c>
      <c r="AQ110" s="110">
        <f>IF(FS110="","",IF(ISNUMBER('Dvd Calendar'!$E$1097)=FALSE,"",'Dvd Calendar'!$E$1097))</f>
        <v/>
      </c>
      <c r="AR110" s="110">
        <f>IF(FT110="","",IF(ISNUMBER('Dvd Calendar'!$F$1097)=FALSE,"",'Dvd Calendar'!$F$1097))</f>
        <v/>
      </c>
      <c r="AS110" s="110">
        <f>IF(FU110="","",IF(ISNUMBER('Dvd Calendar'!$G$1097)=FALSE,"",'Dvd Calendar'!$G$1097))</f>
        <v/>
      </c>
      <c r="AT110" s="110">
        <f>IF(FV110="","",IF(ISNUMBER('Dvd Calendar'!$H$1097)=FALSE,"",'Dvd Calendar'!$H$1097))</f>
        <v/>
      </c>
      <c r="AU110" s="110">
        <f>IF(FW110="","",IF(ISNUMBER('Dvd Calendar'!$I$1097)=FALSE,"",'Dvd Calendar'!$I$1097))</f>
        <v/>
      </c>
      <c r="AV110" s="110">
        <f>IF(FX110="","",IF(ISNUMBER('Dvd Calendar'!$J$1097)=FALSE,"",'Dvd Calendar'!$J$1097))</f>
        <v/>
      </c>
      <c r="AW110" s="110">
        <f>IF(FY110="","",IF(ISNUMBER('Dvd Calendar'!$K$1097)=FALSE,"",'Dvd Calendar'!$K$1097))</f>
        <v/>
      </c>
      <c r="AX110" s="110">
        <f>IF(FZ110="","",IF(ISNUMBER('Dvd Calendar'!$L$1097)=FALSE,"",'Dvd Calendar'!$L$1097))</f>
        <v/>
      </c>
      <c r="AY110" s="110">
        <f>IF(GA110="","",IF(ISNUMBER('Dvd Calendar'!$M$1097)=FALSE,"",'Dvd Calendar'!$M$1097))</f>
        <v/>
      </c>
      <c r="AZ110" s="110">
        <f>IF(GB110="","",IF(ISNUMBER('Dvd Calendar'!$N$1097)=FALSE,"",'Dvd Calendar'!$N$1097))</f>
        <v/>
      </c>
      <c r="BA110" s="110">
        <f>IF(GC110="","",IF(ISNUMBER('Dvd Calendar'!$O$1097)=FALSE,"",'Dvd Calendar'!$O$1097))</f>
        <v/>
      </c>
      <c r="BB110" s="110">
        <f>IF(GD110="","",IF(ISNUMBER('Dvd Calendar'!$P$1097)=FALSE,"",'Dvd Calendar'!$P$1097))</f>
        <v/>
      </c>
      <c r="BC110" s="110">
        <f>IF(GE110="","",IF(ISNUMBER('Dvd Calendar'!$Q$1097)=FALSE,"",'Dvd Calendar'!$Q$1097))</f>
        <v/>
      </c>
      <c r="BD110" s="110">
        <f>IF(GF110="","",IF(ISNUMBER('Dvd Calendar'!$R$1097)=FALSE,"",'Dvd Calendar'!$R$1097))</f>
        <v/>
      </c>
      <c r="BE110" s="110">
        <f>IF(GG110="","",IF(ISNUMBER('Dvd Calendar'!$S$1097)=FALSE,"",'Dvd Calendar'!$S$1097))</f>
        <v/>
      </c>
      <c r="BF110" s="110">
        <f>IF(GH110="","",IF(ISNUMBER('Dvd Calendar'!$T$1097)=FALSE,"",'Dvd Calendar'!$T$1097))</f>
        <v/>
      </c>
      <c r="BG110" s="110">
        <f>IF(GI110="","",IF(ISNUMBER('Dvd Calendar'!$U$1097)=FALSE,"",'Dvd Calendar'!$U$1097))</f>
        <v/>
      </c>
      <c r="BH110" s="110">
        <f>IF(GJ110="","",IF(ISNUMBER('Dvd Calendar'!$V$1097)=FALSE,"",'Dvd Calendar'!$V$1097))</f>
        <v/>
      </c>
      <c r="BI110" s="110">
        <f>IF(GK110="","",IF(ISNUMBER('Dvd Calendar'!$W$1097)=FALSE,"",'Dvd Calendar'!$W$1097))</f>
        <v/>
      </c>
      <c r="BJ110" s="110">
        <f>IF(GL110="","",IF(ISNUMBER('Dvd Calendar'!$X$1097)=FALSE,"",'Dvd Calendar'!$X$1097))</f>
        <v/>
      </c>
      <c r="BK110" s="110">
        <f>IF(GM110="","",IF(ISNUMBER('Dvd Calendar'!$Y$1097)=FALSE,"",'Dvd Calendar'!$Y$1097))</f>
        <v/>
      </c>
      <c r="BL110" s="110">
        <f>IF(GN110="","",IF(ISNUMBER('Dvd Calendar'!$Z$1097)=FALSE,"",'Dvd Calendar'!$Z$1097))</f>
        <v/>
      </c>
      <c r="BM110" s="110">
        <f>IF(GO110="","",IF(ISNUMBER('Dvd Calendar'!$AA$1097)=FALSE,"",'Dvd Calendar'!$AA$1097))</f>
        <v/>
      </c>
      <c r="BN110" s="110">
        <f>IF(GP110="","",IF(ISNUMBER('Dvd Calendar'!$AB$1097)=FALSE,"",'Dvd Calendar'!$AB$1097))</f>
        <v/>
      </c>
      <c r="BO110" s="110">
        <f>IF(GQ110="","",IF(ISNUMBER('Dvd Calendar'!$AC$1097)=FALSE,"",'Dvd Calendar'!$AC$1097))</f>
        <v/>
      </c>
      <c r="BQ110" s="110">
        <f>IF(C110="","",IFERROR(C110*HSI!$B$105*HSI!$G$105/HSI!$B$3,""))</f>
        <v/>
      </c>
      <c r="BR110" s="110">
        <f>IF(D110="","",IFERROR(D110*HSI!$B$105*HSI!$G$105/HSI!$B$3,""))</f>
        <v/>
      </c>
      <c r="BS110" s="110">
        <f>IF(E110="","",IFERROR(E110*HSI!$B$105*HSI!$G$105/HSI!$B$3,""))</f>
        <v/>
      </c>
      <c r="BT110" s="110">
        <f>IF(F110="","",IFERROR(F110*HSI!$B$105*HSI!$G$105/HSI!$B$3,""))</f>
        <v/>
      </c>
      <c r="BU110" s="110">
        <f>IF(G110="","",IFERROR(G110*HSI!$B$105*HSI!$G$105/HSI!$B$3,""))</f>
        <v/>
      </c>
      <c r="BV110" s="110">
        <f>IF(H110="","",IFERROR(H110*HSI!$B$105*HSI!$G$105/HSI!$B$3,""))</f>
        <v/>
      </c>
      <c r="BW110" s="110">
        <f>IF(I110="","",IFERROR(I110*HSI!$B$105*HSI!$G$105/HSI!$B$3,""))</f>
        <v/>
      </c>
      <c r="BX110" s="110">
        <f>IF(J110="","",IFERROR(J110*HSI!$B$105*HSI!$G$105/HSI!$B$3,""))</f>
        <v/>
      </c>
      <c r="BY110" s="110">
        <f>IF(K110="","",IFERROR(K110*HSI!$B$105*HSI!$G$105/HSI!$B$3,""))</f>
        <v/>
      </c>
      <c r="BZ110" s="110">
        <f>IF(L110="","",IFERROR(L110*HSI!$B$105*HSI!$G$105/HSI!$B$3,""))</f>
        <v/>
      </c>
      <c r="CA110" s="110">
        <f>IF(M110="","",IFERROR(M110*HSI!$B$105*HSI!$G$105/HSI!$B$3,""))</f>
        <v/>
      </c>
      <c r="CB110" s="110">
        <f>IF(N110="","",IFERROR(N110*HSI!$B$105*HSI!$G$105/HSI!$B$3,""))</f>
        <v/>
      </c>
      <c r="CC110" s="110">
        <f>IF(O110="","",IFERROR(O110*HSI!$B$105*HSI!$G$105/HSI!$B$3,""))</f>
        <v/>
      </c>
      <c r="CD110" s="110">
        <f>IF(P110="","",IFERROR(P110*HSI!$B$105*HSI!$G$105/HSI!$B$3,""))</f>
        <v/>
      </c>
      <c r="CE110" s="110">
        <f>IF(Q110="","",IFERROR(Q110*HSI!$B$105*HSI!$G$105/HSI!$B$3,""))</f>
        <v/>
      </c>
      <c r="CF110" s="110">
        <f>IF(R110="","",IFERROR(R110*HSI!$B$105*HSI!$G$105/HSI!$B$3,""))</f>
        <v/>
      </c>
      <c r="CG110" s="110">
        <f>IF(S110="","",IFERROR(S110*HSI!$B$105*HSI!$G$105/HSI!$B$3,""))</f>
        <v/>
      </c>
      <c r="CH110" s="110">
        <f>IF(T110="","",IFERROR(T110*HSI!$B$105*HSI!$G$105/HSI!$B$3,""))</f>
        <v/>
      </c>
      <c r="CI110" s="110">
        <f>IF(U110="","",IFERROR(U110*HSI!$B$105*HSI!$G$105/HSI!$B$3,""))</f>
        <v/>
      </c>
      <c r="CJ110" s="110">
        <f>IF(V110="","",IFERROR(V110*HSI!$B$105*HSI!$G$105/HSI!$B$3,""))</f>
        <v/>
      </c>
      <c r="CK110" s="110">
        <f>IF(W110="","",IFERROR(W110*HSI!$B$105*HSI!$G$105/HSI!$B$3,""))</f>
        <v/>
      </c>
      <c r="CL110" s="110">
        <f>IF(X110="","",IFERROR(X110*HSI!$B$105*HSI!$G$105/HSI!$B$3,""))</f>
        <v/>
      </c>
      <c r="CM110" s="110">
        <f>IF(Y110="","",IFERROR(Y110*HSI!$B$105*HSI!$G$105/HSI!$B$3,""))</f>
        <v/>
      </c>
      <c r="CN110" s="110">
        <f>IF(Z110="","",IFERROR(Z110*HSI!$B$105*HSI!$G$105/HSI!$B$3,""))</f>
        <v/>
      </c>
      <c r="CO110" s="110">
        <f>IF(AA110="","",IFERROR(AA110*HSI!$B$105*HSI!$G$105/HSI!$B$3,""))</f>
        <v/>
      </c>
      <c r="CP110" s="110">
        <f>IF(AB110="","",IFERROR(AB110*HSI!$B$105*HSI!$G$105/HSI!$B$3,""))</f>
        <v/>
      </c>
      <c r="CQ110" s="110">
        <f>IF(AC110="","",IFERROR(AC110*HSI!$B$105*HSI!$G$105/HSI!$B$3,""))</f>
        <v/>
      </c>
      <c r="CR110" s="110">
        <f>IF(AD110="","",IFERROR(AD110*HSI!$B$105*HSI!$G$105/HSI!$B$3,""))</f>
        <v/>
      </c>
      <c r="CS110" s="110">
        <f>IF(AE110="","",IFERROR(AE110*HSI!$B$105*HSI!$G$105/HSI!$B$3,""))</f>
        <v/>
      </c>
      <c r="CT110" s="110">
        <f>IF(AF110="","",IFERROR(AF110*HSI!$B$105*HSI!$G$105/HSI!$B$3,""))</f>
        <v/>
      </c>
      <c r="CU110" s="110">
        <f>IF(AG110="","",IFERROR(AG110*HSI!$B$105*HSI!$G$105/HSI!$B$3,""))</f>
        <v/>
      </c>
      <c r="CV110" s="110">
        <f>IF(AH110="","",IFERROR(AH110*HSI!$B$105*HSI!$G$105/HSI!$B$3,""))</f>
        <v/>
      </c>
      <c r="CW110" s="110">
        <f>IF(AI110="","",IFERROR(AI110*HSI!$B$105*HSI!$G$105/HSI!$B$3,""))</f>
        <v/>
      </c>
      <c r="CX110" s="110">
        <f>IF(AJ110="","",IFERROR(AJ110*HSI!$B$105*HSI!$G$105/HSI!$B$3,""))</f>
        <v/>
      </c>
      <c r="CY110" s="110">
        <f>IF(AK110="","",IFERROR(AK110*HSI!$B$105*HSI!$G$105/HSI!$B$3,""))</f>
        <v/>
      </c>
      <c r="CZ110" s="110">
        <f>IF(AL110="","",IFERROR(AL110*HSI!$B$105*HSI!$G$105/HSI!$B$3,""))</f>
        <v/>
      </c>
      <c r="DA110" s="110">
        <f>IF(AM110="","",IFERROR(AM110*HSI!$B$105*HSI!$G$105/HSI!$B$3,""))</f>
        <v/>
      </c>
      <c r="DB110" s="110">
        <f>IF(AN110="","",IFERROR(AN110*HSI!$B$105*HSI!$G$105/HSI!$B$3,""))</f>
        <v/>
      </c>
      <c r="DC110" s="110">
        <f>IF(AO110="","",IFERROR(AO110*HSI!$B$105*HSI!$G$105/HSI!$B$3,""))</f>
        <v/>
      </c>
      <c r="DD110" s="110">
        <f>IF(AP110="","",IFERROR(AP110*HSI!$B$105*HSI!$G$105/HSI!$B$3,""))</f>
        <v/>
      </c>
      <c r="DE110" s="110">
        <f>IF(AQ110="","",IFERROR(AQ110*HSI!$B$105*HSI!$G$105/HSI!$B$3,""))</f>
        <v/>
      </c>
      <c r="DF110" s="110">
        <f>IF(AR110="","",IFERROR(AR110*HSI!$B$105*HSI!$G$105/HSI!$B$3,""))</f>
        <v/>
      </c>
      <c r="DG110" s="110">
        <f>IF(AS110="","",IFERROR(AS110*HSI!$B$105*HSI!$G$105/HSI!$B$3,""))</f>
        <v/>
      </c>
      <c r="DH110" s="110">
        <f>IF(AT110="","",IFERROR(AT110*HSI!$B$105*HSI!$G$105/HSI!$B$3,""))</f>
        <v/>
      </c>
      <c r="DI110" s="110">
        <f>IF(AU110="","",IFERROR(AU110*HSI!$B$105*HSI!$G$105/HSI!$B$3,""))</f>
        <v/>
      </c>
      <c r="DJ110" s="110">
        <f>IF(AV110="","",IFERROR(AV110*HSI!$B$105*HSI!$G$105/HSI!$B$3,""))</f>
        <v/>
      </c>
      <c r="DK110" s="110">
        <f>IF(AW110="","",IFERROR(AW110*HSI!$B$105*HSI!$G$105/HSI!$B$3,""))</f>
        <v/>
      </c>
      <c r="DL110" s="110">
        <f>IF(AX110="","",IFERROR(AX110*HSI!$B$105*HSI!$G$105/HSI!$B$3,""))</f>
        <v/>
      </c>
      <c r="DM110" s="110">
        <f>IF(AY110="","",IFERROR(AY110*HSI!$B$105*HSI!$G$105/HSI!$B$3,""))</f>
        <v/>
      </c>
      <c r="DN110" s="110">
        <f>IF(AZ110="","",IFERROR(AZ110*HSI!$B$105*HSI!$G$105/HSI!$B$3,""))</f>
        <v/>
      </c>
      <c r="DO110" s="110">
        <f>IF(BA110="","",IFERROR(BA110*HSI!$B$105*HSI!$G$105/HSI!$B$3,""))</f>
        <v/>
      </c>
      <c r="DP110" s="110">
        <f>IF(BB110="","",IFERROR(BB110*HSI!$B$105*HSI!$G$105/HSI!$B$3,""))</f>
        <v/>
      </c>
      <c r="DQ110" s="110">
        <f>IF(BC110="","",IFERROR(BC110*HSI!$B$105*HSI!$G$105/HSI!$B$3,""))</f>
        <v/>
      </c>
      <c r="DR110" s="110">
        <f>IF(BD110="","",IFERROR(BD110*HSI!$B$105*HSI!$G$105/HSI!$B$3,""))</f>
        <v/>
      </c>
      <c r="DS110" s="110">
        <f>IF(BE110="","",IFERROR(BE110*HSI!$B$105*HSI!$G$105/HSI!$B$3,""))</f>
        <v/>
      </c>
      <c r="DT110" s="110">
        <f>IF(BF110="","",IFERROR(BF110*HSI!$B$105*HSI!$G$105/HSI!$B$3,""))</f>
        <v/>
      </c>
      <c r="DU110" s="110">
        <f>IF(BG110="","",IFERROR(BG110*HSI!$B$105*HSI!$G$105/HSI!$B$3,""))</f>
        <v/>
      </c>
      <c r="DV110" s="110">
        <f>IF(BH110="","",IFERROR(BH110*HSI!$B$105*HSI!$G$105/HSI!$B$3,""))</f>
        <v/>
      </c>
      <c r="DW110" s="110">
        <f>IF(BI110="","",IFERROR(BI110*HSI!$B$105*HSI!$G$105/HSI!$B$3,""))</f>
        <v/>
      </c>
      <c r="DX110" s="110">
        <f>IF(BJ110="","",IFERROR(BJ110*HSI!$B$105*HSI!$G$105/HSI!$B$3,""))</f>
        <v/>
      </c>
      <c r="DY110" s="110">
        <f>IF(BK110="","",IFERROR(BK110*HSI!$B$105*HSI!$G$105/HSI!$B$3,""))</f>
        <v/>
      </c>
      <c r="DZ110" s="110">
        <f>IF(BL110="","",IFERROR(BL110*HSI!$B$105*HSI!$G$105/HSI!$B$3,""))</f>
        <v/>
      </c>
      <c r="EA110" s="110">
        <f>IF(BM110="","",IFERROR(BM110*HSI!$B$105*HSI!$G$105/HSI!$B$3,""))</f>
        <v/>
      </c>
      <c r="EB110" s="110">
        <f>IF(BN110="","",IFERROR(BN110*HSI!$B$105*HSI!$G$105/HSI!$B$3,""))</f>
        <v/>
      </c>
      <c r="EC110" s="110">
        <f>IF(BO110="","",IFERROR(BO110*HSI!$B$105*HSI!$G$105/HSI!$B$3,""))</f>
        <v/>
      </c>
      <c r="EE110" s="39">
        <f>IF(N('Dvd Calendar'!$E$1089)=0,"",IF(('Dvd Calendar'!$E$1089&gt;=GRID_FROM)*('Dvd Calendar'!$E$1089&lt;=GRID_TO)*((('Dvd Calendar'!$E$1089&lt;=VAL_DATE)+(COUNTIF('Dvd Calendar'!$E$1096:$AR$1096,'Dvd Calendar'!$E$1089)=0))&gt;0)=0,"",'Dvd Calendar'!$E$1089*1000000000+ISNUMBER('Dvd Calendar'!$E$1092)*100000000+('Dvd Calendar'!$E$1094=SPECIAL_LBL)*10000000+(N('Dvd Calendar'!$E$1088)&gt;0)*(N('Dvd Calendar'!$E$1088)&lt;=VAL_SERIAL)*1000000+99*1000+1))</f>
        <v/>
      </c>
      <c r="EF110" s="39">
        <f>IF(N('Dvd Calendar'!$F$1089)=0,"",IF(('Dvd Calendar'!$F$1089&gt;=GRID_FROM)*('Dvd Calendar'!$F$1089&lt;=GRID_TO)*((('Dvd Calendar'!$F$1089&lt;=VAL_DATE)+(COUNTIF('Dvd Calendar'!$E$1096:$AR$1096,'Dvd Calendar'!$F$1089)=0))&gt;0)=0,"",'Dvd Calendar'!$F$1089*1000000000+ISNUMBER('Dvd Calendar'!$F$1092)*100000000+('Dvd Calendar'!$F$1094=SPECIAL_LBL)*10000000+(N('Dvd Calendar'!$F$1088)&gt;0)*(N('Dvd Calendar'!$F$1088)&lt;=VAL_SERIAL)*1000000+99*1000+2))</f>
        <v/>
      </c>
      <c r="EG110" s="39">
        <f>IF(N('Dvd Calendar'!$G$1089)=0,"",IF(('Dvd Calendar'!$G$1089&gt;=GRID_FROM)*('Dvd Calendar'!$G$1089&lt;=GRID_TO)*((('Dvd Calendar'!$G$1089&lt;=VAL_DATE)+(COUNTIF('Dvd Calendar'!$E$1096:$AR$1096,'Dvd Calendar'!$G$1089)=0))&gt;0)=0,"",'Dvd Calendar'!$G$1089*1000000000+ISNUMBER('Dvd Calendar'!$G$1092)*100000000+('Dvd Calendar'!$G$1094=SPECIAL_LBL)*10000000+(N('Dvd Calendar'!$G$1088)&gt;0)*(N('Dvd Calendar'!$G$1088)&lt;=VAL_SERIAL)*1000000+99*1000+3))</f>
        <v/>
      </c>
      <c r="EH110" s="39">
        <f>IF(N('Dvd Calendar'!$H$1089)=0,"",IF(('Dvd Calendar'!$H$1089&gt;=GRID_FROM)*('Dvd Calendar'!$H$1089&lt;=GRID_TO)*((('Dvd Calendar'!$H$1089&lt;=VAL_DATE)+(COUNTIF('Dvd Calendar'!$E$1096:$AR$1096,'Dvd Calendar'!$H$1089)=0))&gt;0)=0,"",'Dvd Calendar'!$H$1089*1000000000+ISNUMBER('Dvd Calendar'!$H$1092)*100000000+('Dvd Calendar'!$H$1094=SPECIAL_LBL)*10000000+(N('Dvd Calendar'!$H$1088)&gt;0)*(N('Dvd Calendar'!$H$1088)&lt;=VAL_SERIAL)*1000000+99*1000+4))</f>
        <v/>
      </c>
      <c r="EI110" s="39">
        <f>IF(N('Dvd Calendar'!$I$1089)=0,"",IF(('Dvd Calendar'!$I$1089&gt;=GRID_FROM)*('Dvd Calendar'!$I$1089&lt;=GRID_TO)*((('Dvd Calendar'!$I$1089&lt;=VAL_DATE)+(COUNTIF('Dvd Calendar'!$E$1096:$AR$1096,'Dvd Calendar'!$I$1089)=0))&gt;0)=0,"",'Dvd Calendar'!$I$1089*1000000000+ISNUMBER('Dvd Calendar'!$I$1092)*100000000+('Dvd Calendar'!$I$1094=SPECIAL_LBL)*10000000+(N('Dvd Calendar'!$I$1088)&gt;0)*(N('Dvd Calendar'!$I$1088)&lt;=VAL_SERIAL)*1000000+99*1000+5))</f>
        <v/>
      </c>
      <c r="EJ110" s="39">
        <f>IF(N('Dvd Calendar'!$J$1089)=0,"",IF(('Dvd Calendar'!$J$1089&gt;=GRID_FROM)*('Dvd Calendar'!$J$1089&lt;=GRID_TO)*((('Dvd Calendar'!$J$1089&lt;=VAL_DATE)+(COUNTIF('Dvd Calendar'!$E$1096:$AR$1096,'Dvd Calendar'!$J$1089)=0))&gt;0)=0,"",'Dvd Calendar'!$J$1089*1000000000+ISNUMBER('Dvd Calendar'!$J$1092)*100000000+('Dvd Calendar'!$J$1094=SPECIAL_LBL)*10000000+(N('Dvd Calendar'!$J$1088)&gt;0)*(N('Dvd Calendar'!$J$1088)&lt;=VAL_SERIAL)*1000000+99*1000+6))</f>
        <v/>
      </c>
      <c r="EK110" s="39">
        <f>IF(N('Dvd Calendar'!$K$1089)=0,"",IF(('Dvd Calendar'!$K$1089&gt;=GRID_FROM)*('Dvd Calendar'!$K$1089&lt;=GRID_TO)*((('Dvd Calendar'!$K$1089&lt;=VAL_DATE)+(COUNTIF('Dvd Calendar'!$E$1096:$AR$1096,'Dvd Calendar'!$K$1089)=0))&gt;0)=0,"",'Dvd Calendar'!$K$1089*1000000000+ISNUMBER('Dvd Calendar'!$K$1092)*100000000+('Dvd Calendar'!$K$1094=SPECIAL_LBL)*10000000+(N('Dvd Calendar'!$K$1088)&gt;0)*(N('Dvd Calendar'!$K$1088)&lt;=VAL_SERIAL)*1000000+99*1000+7))</f>
        <v/>
      </c>
      <c r="EL110" s="39">
        <f>IF(N('Dvd Calendar'!$L$1089)=0,"",IF(('Dvd Calendar'!$L$1089&gt;=GRID_FROM)*('Dvd Calendar'!$L$1089&lt;=GRID_TO)*((('Dvd Calendar'!$L$1089&lt;=VAL_DATE)+(COUNTIF('Dvd Calendar'!$E$1096:$AR$1096,'Dvd Calendar'!$L$1089)=0))&gt;0)=0,"",'Dvd Calendar'!$L$1089*1000000000+ISNUMBER('Dvd Calendar'!$L$1092)*100000000+('Dvd Calendar'!$L$1094=SPECIAL_LBL)*10000000+(N('Dvd Calendar'!$L$1088)&gt;0)*(N('Dvd Calendar'!$L$1088)&lt;=VAL_SERIAL)*1000000+99*1000+8))</f>
        <v/>
      </c>
      <c r="EM110" s="39">
        <f>IF(N('Dvd Calendar'!$M$1089)=0,"",IF(('Dvd Calendar'!$M$1089&gt;=GRID_FROM)*('Dvd Calendar'!$M$1089&lt;=GRID_TO)*((('Dvd Calendar'!$M$1089&lt;=VAL_DATE)+(COUNTIF('Dvd Calendar'!$E$1096:$AR$1096,'Dvd Calendar'!$M$1089)=0))&gt;0)=0,"",'Dvd Calendar'!$M$1089*1000000000+ISNUMBER('Dvd Calendar'!$M$1092)*100000000+('Dvd Calendar'!$M$1094=SPECIAL_LBL)*10000000+(N('Dvd Calendar'!$M$1088)&gt;0)*(N('Dvd Calendar'!$M$1088)&lt;=VAL_SERIAL)*1000000+99*1000+9))</f>
        <v/>
      </c>
      <c r="EN110" s="39">
        <f>IF(N('Dvd Calendar'!$N$1089)=0,"",IF(('Dvd Calendar'!$N$1089&gt;=GRID_FROM)*('Dvd Calendar'!$N$1089&lt;=GRID_TO)*((('Dvd Calendar'!$N$1089&lt;=VAL_DATE)+(COUNTIF('Dvd Calendar'!$E$1096:$AR$1096,'Dvd Calendar'!$N$1089)=0))&gt;0)=0,"",'Dvd Calendar'!$N$1089*1000000000+ISNUMBER('Dvd Calendar'!$N$1092)*100000000+('Dvd Calendar'!$N$1094=SPECIAL_LBL)*10000000+(N('Dvd Calendar'!$N$1088)&gt;0)*(N('Dvd Calendar'!$N$1088)&lt;=VAL_SERIAL)*1000000+99*1000+10))</f>
        <v/>
      </c>
      <c r="EO110" s="39">
        <f>IF(N('Dvd Calendar'!$O$1089)=0,"",IF(('Dvd Calendar'!$O$1089&gt;=GRID_FROM)*('Dvd Calendar'!$O$1089&lt;=GRID_TO)*((('Dvd Calendar'!$O$1089&lt;=VAL_DATE)+(COUNTIF('Dvd Calendar'!$E$1096:$AR$1096,'Dvd Calendar'!$O$1089)=0))&gt;0)=0,"",'Dvd Calendar'!$O$1089*1000000000+ISNUMBER('Dvd Calendar'!$O$1092)*100000000+('Dvd Calendar'!$O$1094=SPECIAL_LBL)*10000000+(N('Dvd Calendar'!$O$1088)&gt;0)*(N('Dvd Calendar'!$O$1088)&lt;=VAL_SERIAL)*1000000+99*1000+11))</f>
        <v/>
      </c>
      <c r="EP110" s="39">
        <f>IF(N('Dvd Calendar'!$P$1089)=0,"",IF(('Dvd Calendar'!$P$1089&gt;=GRID_FROM)*('Dvd Calendar'!$P$1089&lt;=GRID_TO)*((('Dvd Calendar'!$P$1089&lt;=VAL_DATE)+(COUNTIF('Dvd Calendar'!$E$1096:$AR$1096,'Dvd Calendar'!$P$1089)=0))&gt;0)=0,"",'Dvd Calendar'!$P$1089*1000000000+ISNUMBER('Dvd Calendar'!$P$1092)*100000000+('Dvd Calendar'!$P$1094=SPECIAL_LBL)*10000000+(N('Dvd Calendar'!$P$1088)&gt;0)*(N('Dvd Calendar'!$P$1088)&lt;=VAL_SERIAL)*1000000+99*1000+12))</f>
        <v/>
      </c>
      <c r="EQ110" s="39">
        <f>IF(N('Dvd Calendar'!$Q$1089)=0,"",IF(('Dvd Calendar'!$Q$1089&gt;=GRID_FROM)*('Dvd Calendar'!$Q$1089&lt;=GRID_TO)*((('Dvd Calendar'!$Q$1089&lt;=VAL_DATE)+(COUNTIF('Dvd Calendar'!$E$1096:$AR$1096,'Dvd Calendar'!$Q$1089)=0))&gt;0)=0,"",'Dvd Calendar'!$Q$1089*1000000000+ISNUMBER('Dvd Calendar'!$Q$1092)*100000000+('Dvd Calendar'!$Q$1094=SPECIAL_LBL)*10000000+(N('Dvd Calendar'!$Q$1088)&gt;0)*(N('Dvd Calendar'!$Q$1088)&lt;=VAL_SERIAL)*1000000+99*1000+13))</f>
        <v/>
      </c>
      <c r="ER110" s="39">
        <f>IF(N('Dvd Calendar'!$R$1089)=0,"",IF(('Dvd Calendar'!$R$1089&gt;=GRID_FROM)*('Dvd Calendar'!$R$1089&lt;=GRID_TO)*((('Dvd Calendar'!$R$1089&lt;=VAL_DATE)+(COUNTIF('Dvd Calendar'!$E$1096:$AR$1096,'Dvd Calendar'!$R$1089)=0))&gt;0)=0,"",'Dvd Calendar'!$R$1089*1000000000+ISNUMBER('Dvd Calendar'!$R$1092)*100000000+('Dvd Calendar'!$R$1094=SPECIAL_LBL)*10000000+(N('Dvd Calendar'!$R$1088)&gt;0)*(N('Dvd Calendar'!$R$1088)&lt;=VAL_SERIAL)*1000000+99*1000+14))</f>
        <v/>
      </c>
      <c r="ES110" s="39">
        <f>IF(N('Dvd Calendar'!$S$1089)=0,"",IF(('Dvd Calendar'!$S$1089&gt;=GRID_FROM)*('Dvd Calendar'!$S$1089&lt;=GRID_TO)*((('Dvd Calendar'!$S$1089&lt;=VAL_DATE)+(COUNTIF('Dvd Calendar'!$E$1096:$AR$1096,'Dvd Calendar'!$S$1089)=0))&gt;0)=0,"",'Dvd Calendar'!$S$1089*1000000000+ISNUMBER('Dvd Calendar'!$S$1092)*100000000+('Dvd Calendar'!$S$1094=SPECIAL_LBL)*10000000+(N('Dvd Calendar'!$S$1088)&gt;0)*(N('Dvd Calendar'!$S$1088)&lt;=VAL_SERIAL)*1000000+99*1000+15))</f>
        <v/>
      </c>
      <c r="ET110" s="39">
        <f>IF(N('Dvd Calendar'!$T$1089)=0,"",IF(('Dvd Calendar'!$T$1089&gt;=GRID_FROM)*('Dvd Calendar'!$T$1089&lt;=GRID_TO)*((('Dvd Calendar'!$T$1089&lt;=VAL_DATE)+(COUNTIF('Dvd Calendar'!$E$1096:$AR$1096,'Dvd Calendar'!$T$1089)=0))&gt;0)=0,"",'Dvd Calendar'!$T$1089*1000000000+ISNUMBER('Dvd Calendar'!$T$1092)*100000000+('Dvd Calendar'!$T$1094=SPECIAL_LBL)*10000000+(N('Dvd Calendar'!$T$1088)&gt;0)*(N('Dvd Calendar'!$T$1088)&lt;=VAL_SERIAL)*1000000+99*1000+16))</f>
        <v/>
      </c>
      <c r="EU110" s="39">
        <f>IF(N('Dvd Calendar'!$U$1089)=0,"",IF(('Dvd Calendar'!$U$1089&gt;=GRID_FROM)*('Dvd Calendar'!$U$1089&lt;=GRID_TO)*((('Dvd Calendar'!$U$1089&lt;=VAL_DATE)+(COUNTIF('Dvd Calendar'!$E$1096:$AR$1096,'Dvd Calendar'!$U$1089)=0))&gt;0)=0,"",'Dvd Calendar'!$U$1089*1000000000+ISNUMBER('Dvd Calendar'!$U$1092)*100000000+('Dvd Calendar'!$U$1094=SPECIAL_LBL)*10000000+(N('Dvd Calendar'!$U$1088)&gt;0)*(N('Dvd Calendar'!$U$1088)&lt;=VAL_SERIAL)*1000000+99*1000+17))</f>
        <v/>
      </c>
      <c r="EV110" s="39">
        <f>IF(N('Dvd Calendar'!$V$1089)=0,"",IF(('Dvd Calendar'!$V$1089&gt;=GRID_FROM)*('Dvd Calendar'!$V$1089&lt;=GRID_TO)*((('Dvd Calendar'!$V$1089&lt;=VAL_DATE)+(COUNTIF('Dvd Calendar'!$E$1096:$AR$1096,'Dvd Calendar'!$V$1089)=0))&gt;0)=0,"",'Dvd Calendar'!$V$1089*1000000000+ISNUMBER('Dvd Calendar'!$V$1092)*100000000+('Dvd Calendar'!$V$1094=SPECIAL_LBL)*10000000+(N('Dvd Calendar'!$V$1088)&gt;0)*(N('Dvd Calendar'!$V$1088)&lt;=VAL_SERIAL)*1000000+99*1000+18))</f>
        <v/>
      </c>
      <c r="EW110" s="39">
        <f>IF(N('Dvd Calendar'!$W$1089)=0,"",IF(('Dvd Calendar'!$W$1089&gt;=GRID_FROM)*('Dvd Calendar'!$W$1089&lt;=GRID_TO)*((('Dvd Calendar'!$W$1089&lt;=VAL_DATE)+(COUNTIF('Dvd Calendar'!$E$1096:$AR$1096,'Dvd Calendar'!$W$1089)=0))&gt;0)=0,"",'Dvd Calendar'!$W$1089*1000000000+ISNUMBER('Dvd Calendar'!$W$1092)*100000000+('Dvd Calendar'!$W$1094=SPECIAL_LBL)*10000000+(N('Dvd Calendar'!$W$1088)&gt;0)*(N('Dvd Calendar'!$W$1088)&lt;=VAL_SERIAL)*1000000+99*1000+19))</f>
        <v/>
      </c>
      <c r="EX110" s="39">
        <f>IF(N('Dvd Calendar'!$X$1089)=0,"",IF(('Dvd Calendar'!$X$1089&gt;=GRID_FROM)*('Dvd Calendar'!$X$1089&lt;=GRID_TO)*((('Dvd Calendar'!$X$1089&lt;=VAL_DATE)+(COUNTIF('Dvd Calendar'!$E$1096:$AR$1096,'Dvd Calendar'!$X$1089)=0))&gt;0)=0,"",'Dvd Calendar'!$X$1089*1000000000+ISNUMBER('Dvd Calendar'!$X$1092)*100000000+('Dvd Calendar'!$X$1094=SPECIAL_LBL)*10000000+(N('Dvd Calendar'!$X$1088)&gt;0)*(N('Dvd Calendar'!$X$1088)&lt;=VAL_SERIAL)*1000000+99*1000+20))</f>
        <v/>
      </c>
      <c r="EY110" s="39">
        <f>IF(N('Dvd Calendar'!$Y$1089)=0,"",IF(('Dvd Calendar'!$Y$1089&gt;=GRID_FROM)*('Dvd Calendar'!$Y$1089&lt;=GRID_TO)*((('Dvd Calendar'!$Y$1089&lt;=VAL_DATE)+(COUNTIF('Dvd Calendar'!$E$1096:$AR$1096,'Dvd Calendar'!$Y$1089)=0))&gt;0)=0,"",'Dvd Calendar'!$Y$1089*1000000000+ISNUMBER('Dvd Calendar'!$Y$1092)*100000000+('Dvd Calendar'!$Y$1094=SPECIAL_LBL)*10000000+(N('Dvd Calendar'!$Y$1088)&gt;0)*(N('Dvd Calendar'!$Y$1088)&lt;=VAL_SERIAL)*1000000+99*1000+21))</f>
        <v/>
      </c>
      <c r="EZ110" s="39">
        <f>IF(N('Dvd Calendar'!$Z$1089)=0,"",IF(('Dvd Calendar'!$Z$1089&gt;=GRID_FROM)*('Dvd Calendar'!$Z$1089&lt;=GRID_TO)*((('Dvd Calendar'!$Z$1089&lt;=VAL_DATE)+(COUNTIF('Dvd Calendar'!$E$1096:$AR$1096,'Dvd Calendar'!$Z$1089)=0))&gt;0)=0,"",'Dvd Calendar'!$Z$1089*1000000000+ISNUMBER('Dvd Calendar'!$Z$1092)*100000000+('Dvd Calendar'!$Z$1094=SPECIAL_LBL)*10000000+(N('Dvd Calendar'!$Z$1088)&gt;0)*(N('Dvd Calendar'!$Z$1088)&lt;=VAL_SERIAL)*1000000+99*1000+22))</f>
        <v/>
      </c>
      <c r="FA110" s="39">
        <f>IF(N('Dvd Calendar'!$AA$1089)=0,"",IF(('Dvd Calendar'!$AA$1089&gt;=GRID_FROM)*('Dvd Calendar'!$AA$1089&lt;=GRID_TO)*((('Dvd Calendar'!$AA$1089&lt;=VAL_DATE)+(COUNTIF('Dvd Calendar'!$E$1096:$AR$1096,'Dvd Calendar'!$AA$1089)=0))&gt;0)=0,"",'Dvd Calendar'!$AA$1089*1000000000+ISNUMBER('Dvd Calendar'!$AA$1092)*100000000+('Dvd Calendar'!$AA$1094=SPECIAL_LBL)*10000000+(N('Dvd Calendar'!$AA$1088)&gt;0)*(N('Dvd Calendar'!$AA$1088)&lt;=VAL_SERIAL)*1000000+99*1000+23))</f>
        <v/>
      </c>
      <c r="FB110" s="39">
        <f>IF(N('Dvd Calendar'!$AB$1089)=0,"",IF(('Dvd Calendar'!$AB$1089&gt;=GRID_FROM)*('Dvd Calendar'!$AB$1089&lt;=GRID_TO)*((('Dvd Calendar'!$AB$1089&lt;=VAL_DATE)+(COUNTIF('Dvd Calendar'!$E$1096:$AR$1096,'Dvd Calendar'!$AB$1089)=0))&gt;0)=0,"",'Dvd Calendar'!$AB$1089*1000000000+ISNUMBER('Dvd Calendar'!$AB$1092)*100000000+('Dvd Calendar'!$AB$1094=SPECIAL_LBL)*10000000+(N('Dvd Calendar'!$AB$1088)&gt;0)*(N('Dvd Calendar'!$AB$1088)&lt;=VAL_SERIAL)*1000000+99*1000+24))</f>
        <v/>
      </c>
      <c r="FC110" s="39">
        <f>IF(N('Dvd Calendar'!$AC$1089)=0,"",IF(('Dvd Calendar'!$AC$1089&gt;=GRID_FROM)*('Dvd Calendar'!$AC$1089&lt;=GRID_TO)*((('Dvd Calendar'!$AC$1089&lt;=VAL_DATE)+(COUNTIF('Dvd Calendar'!$E$1096:$AR$1096,'Dvd Calendar'!$AC$1089)=0))&gt;0)=0,"",'Dvd Calendar'!$AC$1089*1000000000+ISNUMBER('Dvd Calendar'!$AC$1092)*100000000+('Dvd Calendar'!$AC$1094=SPECIAL_LBL)*10000000+(N('Dvd Calendar'!$AC$1088)&gt;0)*(N('Dvd Calendar'!$AC$1088)&lt;=VAL_SERIAL)*1000000+99*1000+25))</f>
        <v/>
      </c>
      <c r="FD110" s="39">
        <f>IF(N('Dvd Calendar'!$AD$1089)=0,"",IF(('Dvd Calendar'!$AD$1089&gt;=GRID_FROM)*('Dvd Calendar'!$AD$1089&lt;=GRID_TO)*((('Dvd Calendar'!$AD$1089&lt;=VAL_DATE)+(COUNTIF('Dvd Calendar'!$E$1096:$AR$1096,'Dvd Calendar'!$AD$1089)=0))&gt;0)=0,"",'Dvd Calendar'!$AD$1089*1000000000+ISNUMBER('Dvd Calendar'!$AD$1092)*100000000+('Dvd Calendar'!$AD$1094=SPECIAL_LBL)*10000000+(N('Dvd Calendar'!$AD$1088)&gt;0)*(N('Dvd Calendar'!$AD$1088)&lt;=VAL_SERIAL)*1000000+99*1000+26))</f>
        <v/>
      </c>
      <c r="FE110" s="39">
        <f>IF(N('Dvd Calendar'!$AE$1089)=0,"",IF(('Dvd Calendar'!$AE$1089&gt;=GRID_FROM)*('Dvd Calendar'!$AE$1089&lt;=GRID_TO)*((('Dvd Calendar'!$AE$1089&lt;=VAL_DATE)+(COUNTIF('Dvd Calendar'!$E$1096:$AR$1096,'Dvd Calendar'!$AE$1089)=0))&gt;0)=0,"",'Dvd Calendar'!$AE$1089*1000000000+ISNUMBER('Dvd Calendar'!$AE$1092)*100000000+('Dvd Calendar'!$AE$1094=SPECIAL_LBL)*10000000+(N('Dvd Calendar'!$AE$1088)&gt;0)*(N('Dvd Calendar'!$AE$1088)&lt;=VAL_SERIAL)*1000000+99*1000+27))</f>
        <v/>
      </c>
      <c r="FF110" s="39">
        <f>IF(N('Dvd Calendar'!$AF$1089)=0,"",IF(('Dvd Calendar'!$AF$1089&gt;=GRID_FROM)*('Dvd Calendar'!$AF$1089&lt;=GRID_TO)*((('Dvd Calendar'!$AF$1089&lt;=VAL_DATE)+(COUNTIF('Dvd Calendar'!$E$1096:$AR$1096,'Dvd Calendar'!$AF$1089)=0))&gt;0)=0,"",'Dvd Calendar'!$AF$1089*1000000000+ISNUMBER('Dvd Calendar'!$AF$1092)*100000000+('Dvd Calendar'!$AF$1094=SPECIAL_LBL)*10000000+(N('Dvd Calendar'!$AF$1088)&gt;0)*(N('Dvd Calendar'!$AF$1088)&lt;=VAL_SERIAL)*1000000+99*1000+28))</f>
        <v/>
      </c>
      <c r="FG110" s="39">
        <f>IF(N('Dvd Calendar'!$AG$1089)=0,"",IF(('Dvd Calendar'!$AG$1089&gt;=GRID_FROM)*('Dvd Calendar'!$AG$1089&lt;=GRID_TO)*((('Dvd Calendar'!$AG$1089&lt;=VAL_DATE)+(COUNTIF('Dvd Calendar'!$E$1096:$AR$1096,'Dvd Calendar'!$AG$1089)=0))&gt;0)=0,"",'Dvd Calendar'!$AG$1089*1000000000+ISNUMBER('Dvd Calendar'!$AG$1092)*100000000+('Dvd Calendar'!$AG$1094=SPECIAL_LBL)*10000000+(N('Dvd Calendar'!$AG$1088)&gt;0)*(N('Dvd Calendar'!$AG$1088)&lt;=VAL_SERIAL)*1000000+99*1000+29))</f>
        <v/>
      </c>
      <c r="FH110" s="39">
        <f>IF(N('Dvd Calendar'!$AH$1089)=0,"",IF(('Dvd Calendar'!$AH$1089&gt;=GRID_FROM)*('Dvd Calendar'!$AH$1089&lt;=GRID_TO)*((('Dvd Calendar'!$AH$1089&lt;=VAL_DATE)+(COUNTIF('Dvd Calendar'!$E$1096:$AR$1096,'Dvd Calendar'!$AH$1089)=0))&gt;0)=0,"",'Dvd Calendar'!$AH$1089*1000000000+ISNUMBER('Dvd Calendar'!$AH$1092)*100000000+('Dvd Calendar'!$AH$1094=SPECIAL_LBL)*10000000+(N('Dvd Calendar'!$AH$1088)&gt;0)*(N('Dvd Calendar'!$AH$1088)&lt;=VAL_SERIAL)*1000000+99*1000+30))</f>
        <v/>
      </c>
      <c r="FI110" s="39">
        <f>IF(N('Dvd Calendar'!$AI$1089)=0,"",IF(('Dvd Calendar'!$AI$1089&gt;=GRID_FROM)*('Dvd Calendar'!$AI$1089&lt;=GRID_TO)*((('Dvd Calendar'!$AI$1089&lt;=VAL_DATE)+(COUNTIF('Dvd Calendar'!$E$1096:$AR$1096,'Dvd Calendar'!$AI$1089)=0))&gt;0)=0,"",'Dvd Calendar'!$AI$1089*1000000000+ISNUMBER('Dvd Calendar'!$AI$1092)*100000000+('Dvd Calendar'!$AI$1094=SPECIAL_LBL)*10000000+(N('Dvd Calendar'!$AI$1088)&gt;0)*(N('Dvd Calendar'!$AI$1088)&lt;=VAL_SERIAL)*1000000+99*1000+31))</f>
        <v/>
      </c>
      <c r="FJ110" s="39">
        <f>IF(N('Dvd Calendar'!$AJ$1089)=0,"",IF(('Dvd Calendar'!$AJ$1089&gt;=GRID_FROM)*('Dvd Calendar'!$AJ$1089&lt;=GRID_TO)*((('Dvd Calendar'!$AJ$1089&lt;=VAL_DATE)+(COUNTIF('Dvd Calendar'!$E$1096:$AR$1096,'Dvd Calendar'!$AJ$1089)=0))&gt;0)=0,"",'Dvd Calendar'!$AJ$1089*1000000000+ISNUMBER('Dvd Calendar'!$AJ$1092)*100000000+('Dvd Calendar'!$AJ$1094=SPECIAL_LBL)*10000000+(N('Dvd Calendar'!$AJ$1088)&gt;0)*(N('Dvd Calendar'!$AJ$1088)&lt;=VAL_SERIAL)*1000000+99*1000+32))</f>
        <v/>
      </c>
      <c r="FK110" s="39">
        <f>IF(N('Dvd Calendar'!$AK$1089)=0,"",IF(('Dvd Calendar'!$AK$1089&gt;=GRID_FROM)*('Dvd Calendar'!$AK$1089&lt;=GRID_TO)*((('Dvd Calendar'!$AK$1089&lt;=VAL_DATE)+(COUNTIF('Dvd Calendar'!$E$1096:$AR$1096,'Dvd Calendar'!$AK$1089)=0))&gt;0)=0,"",'Dvd Calendar'!$AK$1089*1000000000+ISNUMBER('Dvd Calendar'!$AK$1092)*100000000+('Dvd Calendar'!$AK$1094=SPECIAL_LBL)*10000000+(N('Dvd Calendar'!$AK$1088)&gt;0)*(N('Dvd Calendar'!$AK$1088)&lt;=VAL_SERIAL)*1000000+99*1000+33))</f>
        <v/>
      </c>
      <c r="FL110" s="39">
        <f>IF(N('Dvd Calendar'!$AL$1089)=0,"",IF(('Dvd Calendar'!$AL$1089&gt;=GRID_FROM)*('Dvd Calendar'!$AL$1089&lt;=GRID_TO)*((('Dvd Calendar'!$AL$1089&lt;=VAL_DATE)+(COUNTIF('Dvd Calendar'!$E$1096:$AR$1096,'Dvd Calendar'!$AL$1089)=0))&gt;0)=0,"",'Dvd Calendar'!$AL$1089*1000000000+ISNUMBER('Dvd Calendar'!$AL$1092)*100000000+('Dvd Calendar'!$AL$1094=SPECIAL_LBL)*10000000+(N('Dvd Calendar'!$AL$1088)&gt;0)*(N('Dvd Calendar'!$AL$1088)&lt;=VAL_SERIAL)*1000000+99*1000+34))</f>
        <v/>
      </c>
      <c r="FM110" s="39">
        <f>IF(N('Dvd Calendar'!$AM$1089)=0,"",IF(('Dvd Calendar'!$AM$1089&gt;=GRID_FROM)*('Dvd Calendar'!$AM$1089&lt;=GRID_TO)*((('Dvd Calendar'!$AM$1089&lt;=VAL_DATE)+(COUNTIF('Dvd Calendar'!$E$1096:$AR$1096,'Dvd Calendar'!$AM$1089)=0))&gt;0)=0,"",'Dvd Calendar'!$AM$1089*1000000000+ISNUMBER('Dvd Calendar'!$AM$1092)*100000000+('Dvd Calendar'!$AM$1094=SPECIAL_LBL)*10000000+(N('Dvd Calendar'!$AM$1088)&gt;0)*(N('Dvd Calendar'!$AM$1088)&lt;=VAL_SERIAL)*1000000+99*1000+35))</f>
        <v/>
      </c>
      <c r="FN110" s="39">
        <f>IF(N('Dvd Calendar'!$AN$1089)=0,"",IF(('Dvd Calendar'!$AN$1089&gt;=GRID_FROM)*('Dvd Calendar'!$AN$1089&lt;=GRID_TO)*((('Dvd Calendar'!$AN$1089&lt;=VAL_DATE)+(COUNTIF('Dvd Calendar'!$E$1096:$AR$1096,'Dvd Calendar'!$AN$1089)=0))&gt;0)=0,"",'Dvd Calendar'!$AN$1089*1000000000+ISNUMBER('Dvd Calendar'!$AN$1092)*100000000+('Dvd Calendar'!$AN$1094=SPECIAL_LBL)*10000000+(N('Dvd Calendar'!$AN$1088)&gt;0)*(N('Dvd Calendar'!$AN$1088)&lt;=VAL_SERIAL)*1000000+99*1000+36))</f>
        <v/>
      </c>
      <c r="FO110" s="39">
        <f>IF(N('Dvd Calendar'!$AO$1089)=0,"",IF(('Dvd Calendar'!$AO$1089&gt;=GRID_FROM)*('Dvd Calendar'!$AO$1089&lt;=GRID_TO)*((('Dvd Calendar'!$AO$1089&lt;=VAL_DATE)+(COUNTIF('Dvd Calendar'!$E$1096:$AR$1096,'Dvd Calendar'!$AO$1089)=0))&gt;0)=0,"",'Dvd Calendar'!$AO$1089*1000000000+ISNUMBER('Dvd Calendar'!$AO$1092)*100000000+('Dvd Calendar'!$AO$1094=SPECIAL_LBL)*10000000+(N('Dvd Calendar'!$AO$1088)&gt;0)*(N('Dvd Calendar'!$AO$1088)&lt;=VAL_SERIAL)*1000000+99*1000+37))</f>
        <v/>
      </c>
      <c r="FP110" s="39">
        <f>IF(N('Dvd Calendar'!$AP$1089)=0,"",IF(('Dvd Calendar'!$AP$1089&gt;=GRID_FROM)*('Dvd Calendar'!$AP$1089&lt;=GRID_TO)*((('Dvd Calendar'!$AP$1089&lt;=VAL_DATE)+(COUNTIF('Dvd Calendar'!$E$1096:$AR$1096,'Dvd Calendar'!$AP$1089)=0))&gt;0)=0,"",'Dvd Calendar'!$AP$1089*1000000000+ISNUMBER('Dvd Calendar'!$AP$1092)*100000000+('Dvd Calendar'!$AP$1094=SPECIAL_LBL)*10000000+(N('Dvd Calendar'!$AP$1088)&gt;0)*(N('Dvd Calendar'!$AP$1088)&lt;=VAL_SERIAL)*1000000+99*1000+38))</f>
        <v/>
      </c>
      <c r="FQ110" s="39">
        <f>IF(N('Dvd Calendar'!$AQ$1089)=0,"",IF(('Dvd Calendar'!$AQ$1089&gt;=GRID_FROM)*('Dvd Calendar'!$AQ$1089&lt;=GRID_TO)*((('Dvd Calendar'!$AQ$1089&lt;=VAL_DATE)+(COUNTIF('Dvd Calendar'!$E$1096:$AR$1096,'Dvd Calendar'!$AQ$1089)=0))&gt;0)=0,"",'Dvd Calendar'!$AQ$1089*1000000000+ISNUMBER('Dvd Calendar'!$AQ$1092)*100000000+('Dvd Calendar'!$AQ$1094=SPECIAL_LBL)*10000000+(N('Dvd Calendar'!$AQ$1088)&gt;0)*(N('Dvd Calendar'!$AQ$1088)&lt;=VAL_SERIAL)*1000000+99*1000+39))</f>
        <v/>
      </c>
      <c r="FR110" s="39">
        <f>IF(N('Dvd Calendar'!$AR$1089)=0,"",IF(('Dvd Calendar'!$AR$1089&gt;=GRID_FROM)*('Dvd Calendar'!$AR$1089&lt;=GRID_TO)*((('Dvd Calendar'!$AR$1089&lt;=VAL_DATE)+(COUNTIF('Dvd Calendar'!$E$1096:$AR$1096,'Dvd Calendar'!$AR$1089)=0))&gt;0)=0,"",'Dvd Calendar'!$AR$1089*1000000000+ISNUMBER('Dvd Calendar'!$AR$1092)*100000000+('Dvd Calendar'!$AR$1094=SPECIAL_LBL)*10000000+(N('Dvd Calendar'!$AR$1088)&gt;0)*(N('Dvd Calendar'!$AR$1088)&lt;=VAL_SERIAL)*1000000+99*1000+40))</f>
        <v/>
      </c>
      <c r="FS110" s="39">
        <f>IF(N('Dvd Calendar'!$E$1096)=0,"",IF(('Dvd Calendar'!$E$1096&gt;=GRID_FROM)*('Dvd Calendar'!$E$1096&lt;=GRID_TO)*('Dvd Calendar'!$E$1096&gt;VAL_DATE)=0,"",'Dvd Calendar'!$E$1096*1000000000+ISNUMBER('Dvd Calendar'!$E$1097)*100000000+0*10000000+(N('Dvd Calendar'!$E$1095)&gt;0)*(N('Dvd Calendar'!$E$1095)&lt;=VAL_SERIAL)*1000000+99*1000+41))</f>
        <v/>
      </c>
      <c r="FT110" s="39">
        <f>IF(N('Dvd Calendar'!$F$1096)=0,"",IF(('Dvd Calendar'!$F$1096&gt;=GRID_FROM)*('Dvd Calendar'!$F$1096&lt;=GRID_TO)*('Dvd Calendar'!$F$1096&gt;VAL_DATE)=0,"",'Dvd Calendar'!$F$1096*1000000000+ISNUMBER('Dvd Calendar'!$F$1097)*100000000+0*10000000+(N('Dvd Calendar'!$F$1095)&gt;0)*(N('Dvd Calendar'!$F$1095)&lt;=VAL_SERIAL)*1000000+99*1000+42))</f>
        <v/>
      </c>
      <c r="FU110" s="39">
        <f>IF(N('Dvd Calendar'!$G$1096)=0,"",IF(('Dvd Calendar'!$G$1096&gt;=GRID_FROM)*('Dvd Calendar'!$G$1096&lt;=GRID_TO)*('Dvd Calendar'!$G$1096&gt;VAL_DATE)=0,"",'Dvd Calendar'!$G$1096*1000000000+ISNUMBER('Dvd Calendar'!$G$1097)*100000000+0*10000000+(N('Dvd Calendar'!$G$1095)&gt;0)*(N('Dvd Calendar'!$G$1095)&lt;=VAL_SERIAL)*1000000+99*1000+43))</f>
        <v/>
      </c>
      <c r="FV110" s="39">
        <f>IF(N('Dvd Calendar'!$H$1096)=0,"",IF(('Dvd Calendar'!$H$1096&gt;=GRID_FROM)*('Dvd Calendar'!$H$1096&lt;=GRID_TO)*('Dvd Calendar'!$H$1096&gt;VAL_DATE)=0,"",'Dvd Calendar'!$H$1096*1000000000+ISNUMBER('Dvd Calendar'!$H$1097)*100000000+0*10000000+(N('Dvd Calendar'!$H$1095)&gt;0)*(N('Dvd Calendar'!$H$1095)&lt;=VAL_SERIAL)*1000000+99*1000+44))</f>
        <v/>
      </c>
      <c r="FW110" s="39">
        <f>IF(N('Dvd Calendar'!$I$1096)=0,"",IF(('Dvd Calendar'!$I$1096&gt;=GRID_FROM)*('Dvd Calendar'!$I$1096&lt;=GRID_TO)*('Dvd Calendar'!$I$1096&gt;VAL_DATE)=0,"",'Dvd Calendar'!$I$1096*1000000000+ISNUMBER('Dvd Calendar'!$I$1097)*100000000+0*10000000+(N('Dvd Calendar'!$I$1095)&gt;0)*(N('Dvd Calendar'!$I$1095)&lt;=VAL_SERIAL)*1000000+99*1000+45))</f>
        <v/>
      </c>
      <c r="FX110" s="39">
        <f>IF(N('Dvd Calendar'!$J$1096)=0,"",IF(('Dvd Calendar'!$J$1096&gt;=GRID_FROM)*('Dvd Calendar'!$J$1096&lt;=GRID_TO)*('Dvd Calendar'!$J$1096&gt;VAL_DATE)=0,"",'Dvd Calendar'!$J$1096*1000000000+ISNUMBER('Dvd Calendar'!$J$1097)*100000000+0*10000000+(N('Dvd Calendar'!$J$1095)&gt;0)*(N('Dvd Calendar'!$J$1095)&lt;=VAL_SERIAL)*1000000+99*1000+46))</f>
        <v/>
      </c>
      <c r="FY110" s="39">
        <f>IF(N('Dvd Calendar'!$K$1096)=0,"",IF(('Dvd Calendar'!$K$1096&gt;=GRID_FROM)*('Dvd Calendar'!$K$1096&lt;=GRID_TO)*('Dvd Calendar'!$K$1096&gt;VAL_DATE)=0,"",'Dvd Calendar'!$K$1096*1000000000+ISNUMBER('Dvd Calendar'!$K$1097)*100000000+0*10000000+(N('Dvd Calendar'!$K$1095)&gt;0)*(N('Dvd Calendar'!$K$1095)&lt;=VAL_SERIAL)*1000000+99*1000+47))</f>
        <v/>
      </c>
      <c r="FZ110" s="39">
        <f>IF(N('Dvd Calendar'!$L$1096)=0,"",IF(('Dvd Calendar'!$L$1096&gt;=GRID_FROM)*('Dvd Calendar'!$L$1096&lt;=GRID_TO)*('Dvd Calendar'!$L$1096&gt;VAL_DATE)=0,"",'Dvd Calendar'!$L$1096*1000000000+ISNUMBER('Dvd Calendar'!$L$1097)*100000000+0*10000000+(N('Dvd Calendar'!$L$1095)&gt;0)*(N('Dvd Calendar'!$L$1095)&lt;=VAL_SERIAL)*1000000+99*1000+48))</f>
        <v/>
      </c>
      <c r="GA110" s="39">
        <f>IF(N('Dvd Calendar'!$M$1096)=0,"",IF(('Dvd Calendar'!$M$1096&gt;=GRID_FROM)*('Dvd Calendar'!$M$1096&lt;=GRID_TO)*('Dvd Calendar'!$M$1096&gt;VAL_DATE)=0,"",'Dvd Calendar'!$M$1096*1000000000+ISNUMBER('Dvd Calendar'!$M$1097)*100000000+0*10000000+(N('Dvd Calendar'!$M$1095)&gt;0)*(N('Dvd Calendar'!$M$1095)&lt;=VAL_SERIAL)*1000000+99*1000+49))</f>
        <v/>
      </c>
      <c r="GB110" s="39">
        <f>IF(N('Dvd Calendar'!$N$1096)=0,"",IF(('Dvd Calendar'!$N$1096&gt;=GRID_FROM)*('Dvd Calendar'!$N$1096&lt;=GRID_TO)*('Dvd Calendar'!$N$1096&gt;VAL_DATE)=0,"",'Dvd Calendar'!$N$1096*1000000000+ISNUMBER('Dvd Calendar'!$N$1097)*100000000+0*10000000+(N('Dvd Calendar'!$N$1095)&gt;0)*(N('Dvd Calendar'!$N$1095)&lt;=VAL_SERIAL)*1000000+99*1000+50))</f>
        <v/>
      </c>
      <c r="GC110" s="39">
        <f>IF(N('Dvd Calendar'!$O$1096)=0,"",IF(('Dvd Calendar'!$O$1096&gt;=GRID_FROM)*('Dvd Calendar'!$O$1096&lt;=GRID_TO)*('Dvd Calendar'!$O$1096&gt;VAL_DATE)=0,"",'Dvd Calendar'!$O$1096*1000000000+ISNUMBER('Dvd Calendar'!$O$1097)*100000000+0*10000000+(N('Dvd Calendar'!$O$1095)&gt;0)*(N('Dvd Calendar'!$O$1095)&lt;=VAL_SERIAL)*1000000+99*1000+51))</f>
        <v/>
      </c>
      <c r="GD110" s="39">
        <f>IF(N('Dvd Calendar'!$P$1096)=0,"",IF(('Dvd Calendar'!$P$1096&gt;=GRID_FROM)*('Dvd Calendar'!$P$1096&lt;=GRID_TO)*('Dvd Calendar'!$P$1096&gt;VAL_DATE)=0,"",'Dvd Calendar'!$P$1096*1000000000+ISNUMBER('Dvd Calendar'!$P$1097)*100000000+0*10000000+(N('Dvd Calendar'!$P$1095)&gt;0)*(N('Dvd Calendar'!$P$1095)&lt;=VAL_SERIAL)*1000000+99*1000+52))</f>
        <v/>
      </c>
      <c r="GE110" s="39">
        <f>IF(N('Dvd Calendar'!$Q$1096)=0,"",IF(('Dvd Calendar'!$Q$1096&gt;=GRID_FROM)*('Dvd Calendar'!$Q$1096&lt;=GRID_TO)*('Dvd Calendar'!$Q$1096&gt;VAL_DATE)=0,"",'Dvd Calendar'!$Q$1096*1000000000+ISNUMBER('Dvd Calendar'!$Q$1097)*100000000+0*10000000+(N('Dvd Calendar'!$Q$1095)&gt;0)*(N('Dvd Calendar'!$Q$1095)&lt;=VAL_SERIAL)*1000000+99*1000+53))</f>
        <v/>
      </c>
      <c r="GF110" s="39">
        <f>IF(N('Dvd Calendar'!$R$1096)=0,"",IF(('Dvd Calendar'!$R$1096&gt;=GRID_FROM)*('Dvd Calendar'!$R$1096&lt;=GRID_TO)*('Dvd Calendar'!$R$1096&gt;VAL_DATE)=0,"",'Dvd Calendar'!$R$1096*1000000000+ISNUMBER('Dvd Calendar'!$R$1097)*100000000+0*10000000+(N('Dvd Calendar'!$R$1095)&gt;0)*(N('Dvd Calendar'!$R$1095)&lt;=VAL_SERIAL)*1000000+99*1000+54))</f>
        <v/>
      </c>
      <c r="GG110" s="39">
        <f>IF(N('Dvd Calendar'!$S$1096)=0,"",IF(('Dvd Calendar'!$S$1096&gt;=GRID_FROM)*('Dvd Calendar'!$S$1096&lt;=GRID_TO)*('Dvd Calendar'!$S$1096&gt;VAL_DATE)=0,"",'Dvd Calendar'!$S$1096*1000000000+ISNUMBER('Dvd Calendar'!$S$1097)*100000000+0*10000000+(N('Dvd Calendar'!$S$1095)&gt;0)*(N('Dvd Calendar'!$S$1095)&lt;=VAL_SERIAL)*1000000+99*1000+55))</f>
        <v/>
      </c>
      <c r="GH110" s="39">
        <f>IF(N('Dvd Calendar'!$T$1096)=0,"",IF(('Dvd Calendar'!$T$1096&gt;=GRID_FROM)*('Dvd Calendar'!$T$1096&lt;=GRID_TO)*('Dvd Calendar'!$T$1096&gt;VAL_DATE)=0,"",'Dvd Calendar'!$T$1096*1000000000+ISNUMBER('Dvd Calendar'!$T$1097)*100000000+0*10000000+(N('Dvd Calendar'!$T$1095)&gt;0)*(N('Dvd Calendar'!$T$1095)&lt;=VAL_SERIAL)*1000000+99*1000+56))</f>
        <v/>
      </c>
      <c r="GI110" s="39">
        <f>IF(N('Dvd Calendar'!$U$1096)=0,"",IF(('Dvd Calendar'!$U$1096&gt;=GRID_FROM)*('Dvd Calendar'!$U$1096&lt;=GRID_TO)*('Dvd Calendar'!$U$1096&gt;VAL_DATE)=0,"",'Dvd Calendar'!$U$1096*1000000000+ISNUMBER('Dvd Calendar'!$U$1097)*100000000+0*10000000+(N('Dvd Calendar'!$U$1095)&gt;0)*(N('Dvd Calendar'!$U$1095)&lt;=VAL_SERIAL)*1000000+99*1000+57))</f>
        <v/>
      </c>
      <c r="GJ110" s="39">
        <f>IF(N('Dvd Calendar'!$V$1096)=0,"",IF(('Dvd Calendar'!$V$1096&gt;=GRID_FROM)*('Dvd Calendar'!$V$1096&lt;=GRID_TO)*('Dvd Calendar'!$V$1096&gt;VAL_DATE)=0,"",'Dvd Calendar'!$V$1096*1000000000+ISNUMBER('Dvd Calendar'!$V$1097)*100000000+0*10000000+(N('Dvd Calendar'!$V$1095)&gt;0)*(N('Dvd Calendar'!$V$1095)&lt;=VAL_SERIAL)*1000000+99*1000+58))</f>
        <v/>
      </c>
      <c r="GK110" s="39">
        <f>IF(N('Dvd Calendar'!$W$1096)=0,"",IF(('Dvd Calendar'!$W$1096&gt;=GRID_FROM)*('Dvd Calendar'!$W$1096&lt;=GRID_TO)*('Dvd Calendar'!$W$1096&gt;VAL_DATE)=0,"",'Dvd Calendar'!$W$1096*1000000000+ISNUMBER('Dvd Calendar'!$W$1097)*100000000+0*10000000+(N('Dvd Calendar'!$W$1095)&gt;0)*(N('Dvd Calendar'!$W$1095)&lt;=VAL_SERIAL)*1000000+99*1000+59))</f>
        <v/>
      </c>
      <c r="GL110" s="39">
        <f>IF(N('Dvd Calendar'!$X$1096)=0,"",IF(('Dvd Calendar'!$X$1096&gt;=GRID_FROM)*('Dvd Calendar'!$X$1096&lt;=GRID_TO)*('Dvd Calendar'!$X$1096&gt;VAL_DATE)=0,"",'Dvd Calendar'!$X$1096*1000000000+ISNUMBER('Dvd Calendar'!$X$1097)*100000000+0*10000000+(N('Dvd Calendar'!$X$1095)&gt;0)*(N('Dvd Calendar'!$X$1095)&lt;=VAL_SERIAL)*1000000+99*1000+60))</f>
        <v/>
      </c>
      <c r="GM110" s="39">
        <f>IF(N('Dvd Calendar'!$Y$1096)=0,"",IF(('Dvd Calendar'!$Y$1096&gt;=GRID_FROM)*('Dvd Calendar'!$Y$1096&lt;=GRID_TO)*('Dvd Calendar'!$Y$1096&gt;VAL_DATE)=0,"",'Dvd Calendar'!$Y$1096*1000000000+ISNUMBER('Dvd Calendar'!$Y$1097)*100000000+0*10000000+(N('Dvd Calendar'!$Y$1095)&gt;0)*(N('Dvd Calendar'!$Y$1095)&lt;=VAL_SERIAL)*1000000+99*1000+61))</f>
        <v/>
      </c>
      <c r="GN110" s="39">
        <f>IF(N('Dvd Calendar'!$Z$1096)=0,"",IF(('Dvd Calendar'!$Z$1096&gt;=GRID_FROM)*('Dvd Calendar'!$Z$1096&lt;=GRID_TO)*('Dvd Calendar'!$Z$1096&gt;VAL_DATE)=0,"",'Dvd Calendar'!$Z$1096*1000000000+ISNUMBER('Dvd Calendar'!$Z$1097)*100000000+0*10000000+(N('Dvd Calendar'!$Z$1095)&gt;0)*(N('Dvd Calendar'!$Z$1095)&lt;=VAL_SERIAL)*1000000+99*1000+62))</f>
        <v/>
      </c>
      <c r="GO110" s="39">
        <f>IF(N('Dvd Calendar'!$AA$1096)=0,"",IF(('Dvd Calendar'!$AA$1096&gt;=GRID_FROM)*('Dvd Calendar'!$AA$1096&lt;=GRID_TO)*('Dvd Calendar'!$AA$1096&gt;VAL_DATE)=0,"",'Dvd Calendar'!$AA$1096*1000000000+ISNUMBER('Dvd Calendar'!$AA$1097)*100000000+0*10000000+(N('Dvd Calendar'!$AA$1095)&gt;0)*(N('Dvd Calendar'!$AA$1095)&lt;=VAL_SERIAL)*1000000+99*1000+63))</f>
        <v/>
      </c>
      <c r="GP110" s="39">
        <f>IF(N('Dvd Calendar'!$AB$1096)=0,"",IF(('Dvd Calendar'!$AB$1096&gt;=GRID_FROM)*('Dvd Calendar'!$AB$1096&lt;=GRID_TO)*('Dvd Calendar'!$AB$1096&gt;VAL_DATE)=0,"",'Dvd Calendar'!$AB$1096*1000000000+ISNUMBER('Dvd Calendar'!$AB$1097)*100000000+0*10000000+(N('Dvd Calendar'!$AB$1095)&gt;0)*(N('Dvd Calendar'!$AB$1095)&lt;=VAL_SERIAL)*1000000+99*1000+64))</f>
        <v/>
      </c>
      <c r="GQ110" s="39">
        <f>IF(N('Dvd Calendar'!$AC$1096)=0,"",IF(('Dvd Calendar'!$AC$1096&gt;=GRID_FROM)*('Dvd Calendar'!$AC$1096&lt;=GRID_TO)*('Dvd Calendar'!$AC$1096&gt;VAL_DATE)=0,"",'Dvd Calendar'!$AC$1096*1000000000+ISNUMBER('Dvd Calendar'!$AC$1097)*100000000+0*10000000+(N('Dvd Calendar'!$AC$1095)&gt;0)*(N('Dvd Calendar'!$AC$1095)&lt;=VAL_SERIAL)*1000000+99*1000+65))</f>
        <v/>
      </c>
    </row>
    <row r="111">
      <c r="B111" s="2">
        <f>IF(HSI!$C$106="","",HSI!$C$106)</f>
        <v/>
      </c>
      <c r="C111" s="110">
        <f>IF(EE111="","",IF(ISNUMBER('Dvd Calendar'!$E$1103)=FALSE,"",IF((('Dvd Calendar'!$E$1105=TYPE1)*(TYPE1&lt;&gt;"")+('Dvd Calendar'!$E$1105=TYPE2)*(TYPE2&lt;&gt;"")+('Dvd Calendar'!$E$1105=TYPE3)*(TYPE3&lt;&gt;"")+('Dvd Calendar'!$E$1105=TYPE4)*(TYPE4&lt;&gt;"")+('Dvd Calendar'!$E$1105=SPECIAL_LBL)*(INC_SPECIALS="Y"))=0,"",'Dvd Calendar'!$E$1103)))</f>
        <v/>
      </c>
      <c r="D111" s="110">
        <f>IF(EF111="","",IF(ISNUMBER('Dvd Calendar'!$F$1103)=FALSE,"",IF((('Dvd Calendar'!$F$1105=TYPE1)*(TYPE1&lt;&gt;"")+('Dvd Calendar'!$F$1105=TYPE2)*(TYPE2&lt;&gt;"")+('Dvd Calendar'!$F$1105=TYPE3)*(TYPE3&lt;&gt;"")+('Dvd Calendar'!$F$1105=TYPE4)*(TYPE4&lt;&gt;"")+('Dvd Calendar'!$F$1105=SPECIAL_LBL)*(INC_SPECIALS="Y"))=0,"",'Dvd Calendar'!$F$1103)))</f>
        <v/>
      </c>
      <c r="E111" s="110">
        <f>IF(EG111="","",IF(ISNUMBER('Dvd Calendar'!$G$1103)=FALSE,"",IF((('Dvd Calendar'!$G$1105=TYPE1)*(TYPE1&lt;&gt;"")+('Dvd Calendar'!$G$1105=TYPE2)*(TYPE2&lt;&gt;"")+('Dvd Calendar'!$G$1105=TYPE3)*(TYPE3&lt;&gt;"")+('Dvd Calendar'!$G$1105=TYPE4)*(TYPE4&lt;&gt;"")+('Dvd Calendar'!$G$1105=SPECIAL_LBL)*(INC_SPECIALS="Y"))=0,"",'Dvd Calendar'!$G$1103)))</f>
        <v/>
      </c>
      <c r="F111" s="110">
        <f>IF(EH111="","",IF(ISNUMBER('Dvd Calendar'!$H$1103)=FALSE,"",IF((('Dvd Calendar'!$H$1105=TYPE1)*(TYPE1&lt;&gt;"")+('Dvd Calendar'!$H$1105=TYPE2)*(TYPE2&lt;&gt;"")+('Dvd Calendar'!$H$1105=TYPE3)*(TYPE3&lt;&gt;"")+('Dvd Calendar'!$H$1105=TYPE4)*(TYPE4&lt;&gt;"")+('Dvd Calendar'!$H$1105=SPECIAL_LBL)*(INC_SPECIALS="Y"))=0,"",'Dvd Calendar'!$H$1103)))</f>
        <v/>
      </c>
      <c r="G111" s="110">
        <f>IF(EI111="","",IF(ISNUMBER('Dvd Calendar'!$I$1103)=FALSE,"",IF((('Dvd Calendar'!$I$1105=TYPE1)*(TYPE1&lt;&gt;"")+('Dvd Calendar'!$I$1105=TYPE2)*(TYPE2&lt;&gt;"")+('Dvd Calendar'!$I$1105=TYPE3)*(TYPE3&lt;&gt;"")+('Dvd Calendar'!$I$1105=TYPE4)*(TYPE4&lt;&gt;"")+('Dvd Calendar'!$I$1105=SPECIAL_LBL)*(INC_SPECIALS="Y"))=0,"",'Dvd Calendar'!$I$1103)))</f>
        <v/>
      </c>
      <c r="H111" s="110">
        <f>IF(EJ111="","",IF(ISNUMBER('Dvd Calendar'!$J$1103)=FALSE,"",IF((('Dvd Calendar'!$J$1105=TYPE1)*(TYPE1&lt;&gt;"")+('Dvd Calendar'!$J$1105=TYPE2)*(TYPE2&lt;&gt;"")+('Dvd Calendar'!$J$1105=TYPE3)*(TYPE3&lt;&gt;"")+('Dvd Calendar'!$J$1105=TYPE4)*(TYPE4&lt;&gt;"")+('Dvd Calendar'!$J$1105=SPECIAL_LBL)*(INC_SPECIALS="Y"))=0,"",'Dvd Calendar'!$J$1103)))</f>
        <v/>
      </c>
      <c r="I111" s="110">
        <f>IF(EK111="","",IF(ISNUMBER('Dvd Calendar'!$K$1103)=FALSE,"",IF((('Dvd Calendar'!$K$1105=TYPE1)*(TYPE1&lt;&gt;"")+('Dvd Calendar'!$K$1105=TYPE2)*(TYPE2&lt;&gt;"")+('Dvd Calendar'!$K$1105=TYPE3)*(TYPE3&lt;&gt;"")+('Dvd Calendar'!$K$1105=TYPE4)*(TYPE4&lt;&gt;"")+('Dvd Calendar'!$K$1105=SPECIAL_LBL)*(INC_SPECIALS="Y"))=0,"",'Dvd Calendar'!$K$1103)))</f>
        <v/>
      </c>
      <c r="J111" s="110">
        <f>IF(EL111="","",IF(ISNUMBER('Dvd Calendar'!$L$1103)=FALSE,"",IF((('Dvd Calendar'!$L$1105=TYPE1)*(TYPE1&lt;&gt;"")+('Dvd Calendar'!$L$1105=TYPE2)*(TYPE2&lt;&gt;"")+('Dvd Calendar'!$L$1105=TYPE3)*(TYPE3&lt;&gt;"")+('Dvd Calendar'!$L$1105=TYPE4)*(TYPE4&lt;&gt;"")+('Dvd Calendar'!$L$1105=SPECIAL_LBL)*(INC_SPECIALS="Y"))=0,"",'Dvd Calendar'!$L$1103)))</f>
        <v/>
      </c>
      <c r="K111" s="110">
        <f>IF(EM111="","",IF(ISNUMBER('Dvd Calendar'!$M$1103)=FALSE,"",IF((('Dvd Calendar'!$M$1105=TYPE1)*(TYPE1&lt;&gt;"")+('Dvd Calendar'!$M$1105=TYPE2)*(TYPE2&lt;&gt;"")+('Dvd Calendar'!$M$1105=TYPE3)*(TYPE3&lt;&gt;"")+('Dvd Calendar'!$M$1105=TYPE4)*(TYPE4&lt;&gt;"")+('Dvd Calendar'!$M$1105=SPECIAL_LBL)*(INC_SPECIALS="Y"))=0,"",'Dvd Calendar'!$M$1103)))</f>
        <v/>
      </c>
      <c r="L111" s="110">
        <f>IF(EN111="","",IF(ISNUMBER('Dvd Calendar'!$N$1103)=FALSE,"",IF((('Dvd Calendar'!$N$1105=TYPE1)*(TYPE1&lt;&gt;"")+('Dvd Calendar'!$N$1105=TYPE2)*(TYPE2&lt;&gt;"")+('Dvd Calendar'!$N$1105=TYPE3)*(TYPE3&lt;&gt;"")+('Dvd Calendar'!$N$1105=TYPE4)*(TYPE4&lt;&gt;"")+('Dvd Calendar'!$N$1105=SPECIAL_LBL)*(INC_SPECIALS="Y"))=0,"",'Dvd Calendar'!$N$1103)))</f>
        <v/>
      </c>
      <c r="M111" s="110">
        <f>IF(EO111="","",IF(ISNUMBER('Dvd Calendar'!$O$1103)=FALSE,"",IF((('Dvd Calendar'!$O$1105=TYPE1)*(TYPE1&lt;&gt;"")+('Dvd Calendar'!$O$1105=TYPE2)*(TYPE2&lt;&gt;"")+('Dvd Calendar'!$O$1105=TYPE3)*(TYPE3&lt;&gt;"")+('Dvd Calendar'!$O$1105=TYPE4)*(TYPE4&lt;&gt;"")+('Dvd Calendar'!$O$1105=SPECIAL_LBL)*(INC_SPECIALS="Y"))=0,"",'Dvd Calendar'!$O$1103)))</f>
        <v/>
      </c>
      <c r="N111" s="110">
        <f>IF(EP111="","",IF(ISNUMBER('Dvd Calendar'!$P$1103)=FALSE,"",IF((('Dvd Calendar'!$P$1105=TYPE1)*(TYPE1&lt;&gt;"")+('Dvd Calendar'!$P$1105=TYPE2)*(TYPE2&lt;&gt;"")+('Dvd Calendar'!$P$1105=TYPE3)*(TYPE3&lt;&gt;"")+('Dvd Calendar'!$P$1105=TYPE4)*(TYPE4&lt;&gt;"")+('Dvd Calendar'!$P$1105=SPECIAL_LBL)*(INC_SPECIALS="Y"))=0,"",'Dvd Calendar'!$P$1103)))</f>
        <v/>
      </c>
      <c r="O111" s="110">
        <f>IF(EQ111="","",IF(ISNUMBER('Dvd Calendar'!$Q$1103)=FALSE,"",IF((('Dvd Calendar'!$Q$1105=TYPE1)*(TYPE1&lt;&gt;"")+('Dvd Calendar'!$Q$1105=TYPE2)*(TYPE2&lt;&gt;"")+('Dvd Calendar'!$Q$1105=TYPE3)*(TYPE3&lt;&gt;"")+('Dvd Calendar'!$Q$1105=TYPE4)*(TYPE4&lt;&gt;"")+('Dvd Calendar'!$Q$1105=SPECIAL_LBL)*(INC_SPECIALS="Y"))=0,"",'Dvd Calendar'!$Q$1103)))</f>
        <v/>
      </c>
      <c r="P111" s="110">
        <f>IF(ER111="","",IF(ISNUMBER('Dvd Calendar'!$R$1103)=FALSE,"",IF((('Dvd Calendar'!$R$1105=TYPE1)*(TYPE1&lt;&gt;"")+('Dvd Calendar'!$R$1105=TYPE2)*(TYPE2&lt;&gt;"")+('Dvd Calendar'!$R$1105=TYPE3)*(TYPE3&lt;&gt;"")+('Dvd Calendar'!$R$1105=TYPE4)*(TYPE4&lt;&gt;"")+('Dvd Calendar'!$R$1105=SPECIAL_LBL)*(INC_SPECIALS="Y"))=0,"",'Dvd Calendar'!$R$1103)))</f>
        <v/>
      </c>
      <c r="Q111" s="110">
        <f>IF(ES111="","",IF(ISNUMBER('Dvd Calendar'!$S$1103)=FALSE,"",IF((('Dvd Calendar'!$S$1105=TYPE1)*(TYPE1&lt;&gt;"")+('Dvd Calendar'!$S$1105=TYPE2)*(TYPE2&lt;&gt;"")+('Dvd Calendar'!$S$1105=TYPE3)*(TYPE3&lt;&gt;"")+('Dvd Calendar'!$S$1105=TYPE4)*(TYPE4&lt;&gt;"")+('Dvd Calendar'!$S$1105=SPECIAL_LBL)*(INC_SPECIALS="Y"))=0,"",'Dvd Calendar'!$S$1103)))</f>
        <v/>
      </c>
      <c r="R111" s="110">
        <f>IF(ET111="","",IF(ISNUMBER('Dvd Calendar'!$T$1103)=FALSE,"",IF((('Dvd Calendar'!$T$1105=TYPE1)*(TYPE1&lt;&gt;"")+('Dvd Calendar'!$T$1105=TYPE2)*(TYPE2&lt;&gt;"")+('Dvd Calendar'!$T$1105=TYPE3)*(TYPE3&lt;&gt;"")+('Dvd Calendar'!$T$1105=TYPE4)*(TYPE4&lt;&gt;"")+('Dvd Calendar'!$T$1105=SPECIAL_LBL)*(INC_SPECIALS="Y"))=0,"",'Dvd Calendar'!$T$1103)))</f>
        <v/>
      </c>
      <c r="S111" s="110">
        <f>IF(EU111="","",IF(ISNUMBER('Dvd Calendar'!$U$1103)=FALSE,"",IF((('Dvd Calendar'!$U$1105=TYPE1)*(TYPE1&lt;&gt;"")+('Dvd Calendar'!$U$1105=TYPE2)*(TYPE2&lt;&gt;"")+('Dvd Calendar'!$U$1105=TYPE3)*(TYPE3&lt;&gt;"")+('Dvd Calendar'!$U$1105=TYPE4)*(TYPE4&lt;&gt;"")+('Dvd Calendar'!$U$1105=SPECIAL_LBL)*(INC_SPECIALS="Y"))=0,"",'Dvd Calendar'!$U$1103)))</f>
        <v/>
      </c>
      <c r="T111" s="110">
        <f>IF(EV111="","",IF(ISNUMBER('Dvd Calendar'!$V$1103)=FALSE,"",IF((('Dvd Calendar'!$V$1105=TYPE1)*(TYPE1&lt;&gt;"")+('Dvd Calendar'!$V$1105=TYPE2)*(TYPE2&lt;&gt;"")+('Dvd Calendar'!$V$1105=TYPE3)*(TYPE3&lt;&gt;"")+('Dvd Calendar'!$V$1105=TYPE4)*(TYPE4&lt;&gt;"")+('Dvd Calendar'!$V$1105=SPECIAL_LBL)*(INC_SPECIALS="Y"))=0,"",'Dvd Calendar'!$V$1103)))</f>
        <v/>
      </c>
      <c r="U111" s="110">
        <f>IF(EW111="","",IF(ISNUMBER('Dvd Calendar'!$W$1103)=FALSE,"",IF((('Dvd Calendar'!$W$1105=TYPE1)*(TYPE1&lt;&gt;"")+('Dvd Calendar'!$W$1105=TYPE2)*(TYPE2&lt;&gt;"")+('Dvd Calendar'!$W$1105=TYPE3)*(TYPE3&lt;&gt;"")+('Dvd Calendar'!$W$1105=TYPE4)*(TYPE4&lt;&gt;"")+('Dvd Calendar'!$W$1105=SPECIAL_LBL)*(INC_SPECIALS="Y"))=0,"",'Dvd Calendar'!$W$1103)))</f>
        <v/>
      </c>
      <c r="V111" s="110">
        <f>IF(EX111="","",IF(ISNUMBER('Dvd Calendar'!$X$1103)=FALSE,"",IF((('Dvd Calendar'!$X$1105=TYPE1)*(TYPE1&lt;&gt;"")+('Dvd Calendar'!$X$1105=TYPE2)*(TYPE2&lt;&gt;"")+('Dvd Calendar'!$X$1105=TYPE3)*(TYPE3&lt;&gt;"")+('Dvd Calendar'!$X$1105=TYPE4)*(TYPE4&lt;&gt;"")+('Dvd Calendar'!$X$1105=SPECIAL_LBL)*(INC_SPECIALS="Y"))=0,"",'Dvd Calendar'!$X$1103)))</f>
        <v/>
      </c>
      <c r="W111" s="110">
        <f>IF(EY111="","",IF(ISNUMBER('Dvd Calendar'!$Y$1103)=FALSE,"",IF((('Dvd Calendar'!$Y$1105=TYPE1)*(TYPE1&lt;&gt;"")+('Dvd Calendar'!$Y$1105=TYPE2)*(TYPE2&lt;&gt;"")+('Dvd Calendar'!$Y$1105=TYPE3)*(TYPE3&lt;&gt;"")+('Dvd Calendar'!$Y$1105=TYPE4)*(TYPE4&lt;&gt;"")+('Dvd Calendar'!$Y$1105=SPECIAL_LBL)*(INC_SPECIALS="Y"))=0,"",'Dvd Calendar'!$Y$1103)))</f>
        <v/>
      </c>
      <c r="X111" s="110">
        <f>IF(EZ111="","",IF(ISNUMBER('Dvd Calendar'!$Z$1103)=FALSE,"",IF((('Dvd Calendar'!$Z$1105=TYPE1)*(TYPE1&lt;&gt;"")+('Dvd Calendar'!$Z$1105=TYPE2)*(TYPE2&lt;&gt;"")+('Dvd Calendar'!$Z$1105=TYPE3)*(TYPE3&lt;&gt;"")+('Dvd Calendar'!$Z$1105=TYPE4)*(TYPE4&lt;&gt;"")+('Dvd Calendar'!$Z$1105=SPECIAL_LBL)*(INC_SPECIALS="Y"))=0,"",'Dvd Calendar'!$Z$1103)))</f>
        <v/>
      </c>
      <c r="Y111" s="110">
        <f>IF(FA111="","",IF(ISNUMBER('Dvd Calendar'!$AA$1103)=FALSE,"",IF((('Dvd Calendar'!$AA$1105=TYPE1)*(TYPE1&lt;&gt;"")+('Dvd Calendar'!$AA$1105=TYPE2)*(TYPE2&lt;&gt;"")+('Dvd Calendar'!$AA$1105=TYPE3)*(TYPE3&lt;&gt;"")+('Dvd Calendar'!$AA$1105=TYPE4)*(TYPE4&lt;&gt;"")+('Dvd Calendar'!$AA$1105=SPECIAL_LBL)*(INC_SPECIALS="Y"))=0,"",'Dvd Calendar'!$AA$1103)))</f>
        <v/>
      </c>
      <c r="Z111" s="110">
        <f>IF(FB111="","",IF(ISNUMBER('Dvd Calendar'!$AB$1103)=FALSE,"",IF((('Dvd Calendar'!$AB$1105=TYPE1)*(TYPE1&lt;&gt;"")+('Dvd Calendar'!$AB$1105=TYPE2)*(TYPE2&lt;&gt;"")+('Dvd Calendar'!$AB$1105=TYPE3)*(TYPE3&lt;&gt;"")+('Dvd Calendar'!$AB$1105=TYPE4)*(TYPE4&lt;&gt;"")+('Dvd Calendar'!$AB$1105=SPECIAL_LBL)*(INC_SPECIALS="Y"))=0,"",'Dvd Calendar'!$AB$1103)))</f>
        <v/>
      </c>
      <c r="AA111" s="110">
        <f>IF(FC111="","",IF(ISNUMBER('Dvd Calendar'!$AC$1103)=FALSE,"",IF((('Dvd Calendar'!$AC$1105=TYPE1)*(TYPE1&lt;&gt;"")+('Dvd Calendar'!$AC$1105=TYPE2)*(TYPE2&lt;&gt;"")+('Dvd Calendar'!$AC$1105=TYPE3)*(TYPE3&lt;&gt;"")+('Dvd Calendar'!$AC$1105=TYPE4)*(TYPE4&lt;&gt;"")+('Dvd Calendar'!$AC$1105=SPECIAL_LBL)*(INC_SPECIALS="Y"))=0,"",'Dvd Calendar'!$AC$1103)))</f>
        <v/>
      </c>
      <c r="AB111" s="110">
        <f>IF(FD111="","",IF(ISNUMBER('Dvd Calendar'!$AD$1103)=FALSE,"",IF((('Dvd Calendar'!$AD$1105=TYPE1)*(TYPE1&lt;&gt;"")+('Dvd Calendar'!$AD$1105=TYPE2)*(TYPE2&lt;&gt;"")+('Dvd Calendar'!$AD$1105=TYPE3)*(TYPE3&lt;&gt;"")+('Dvd Calendar'!$AD$1105=TYPE4)*(TYPE4&lt;&gt;"")+('Dvd Calendar'!$AD$1105=SPECIAL_LBL)*(INC_SPECIALS="Y"))=0,"",'Dvd Calendar'!$AD$1103)))</f>
        <v/>
      </c>
      <c r="AC111" s="110">
        <f>IF(FE111="","",IF(ISNUMBER('Dvd Calendar'!$AE$1103)=FALSE,"",IF((('Dvd Calendar'!$AE$1105=TYPE1)*(TYPE1&lt;&gt;"")+('Dvd Calendar'!$AE$1105=TYPE2)*(TYPE2&lt;&gt;"")+('Dvd Calendar'!$AE$1105=TYPE3)*(TYPE3&lt;&gt;"")+('Dvd Calendar'!$AE$1105=TYPE4)*(TYPE4&lt;&gt;"")+('Dvd Calendar'!$AE$1105=SPECIAL_LBL)*(INC_SPECIALS="Y"))=0,"",'Dvd Calendar'!$AE$1103)))</f>
        <v/>
      </c>
      <c r="AD111" s="110">
        <f>IF(FF111="","",IF(ISNUMBER('Dvd Calendar'!$AF$1103)=FALSE,"",IF((('Dvd Calendar'!$AF$1105=TYPE1)*(TYPE1&lt;&gt;"")+('Dvd Calendar'!$AF$1105=TYPE2)*(TYPE2&lt;&gt;"")+('Dvd Calendar'!$AF$1105=TYPE3)*(TYPE3&lt;&gt;"")+('Dvd Calendar'!$AF$1105=TYPE4)*(TYPE4&lt;&gt;"")+('Dvd Calendar'!$AF$1105=SPECIAL_LBL)*(INC_SPECIALS="Y"))=0,"",'Dvd Calendar'!$AF$1103)))</f>
        <v/>
      </c>
      <c r="AE111" s="110">
        <f>IF(FG111="","",IF(ISNUMBER('Dvd Calendar'!$AG$1103)=FALSE,"",IF((('Dvd Calendar'!$AG$1105=TYPE1)*(TYPE1&lt;&gt;"")+('Dvd Calendar'!$AG$1105=TYPE2)*(TYPE2&lt;&gt;"")+('Dvd Calendar'!$AG$1105=TYPE3)*(TYPE3&lt;&gt;"")+('Dvd Calendar'!$AG$1105=TYPE4)*(TYPE4&lt;&gt;"")+('Dvd Calendar'!$AG$1105=SPECIAL_LBL)*(INC_SPECIALS="Y"))=0,"",'Dvd Calendar'!$AG$1103)))</f>
        <v/>
      </c>
      <c r="AF111" s="110">
        <f>IF(FH111="","",IF(ISNUMBER('Dvd Calendar'!$AH$1103)=FALSE,"",IF((('Dvd Calendar'!$AH$1105=TYPE1)*(TYPE1&lt;&gt;"")+('Dvd Calendar'!$AH$1105=TYPE2)*(TYPE2&lt;&gt;"")+('Dvd Calendar'!$AH$1105=TYPE3)*(TYPE3&lt;&gt;"")+('Dvd Calendar'!$AH$1105=TYPE4)*(TYPE4&lt;&gt;"")+('Dvd Calendar'!$AH$1105=SPECIAL_LBL)*(INC_SPECIALS="Y"))=0,"",'Dvd Calendar'!$AH$1103)))</f>
        <v/>
      </c>
      <c r="AG111" s="110">
        <f>IF(FI111="","",IF(ISNUMBER('Dvd Calendar'!$AI$1103)=FALSE,"",IF((('Dvd Calendar'!$AI$1105=TYPE1)*(TYPE1&lt;&gt;"")+('Dvd Calendar'!$AI$1105=TYPE2)*(TYPE2&lt;&gt;"")+('Dvd Calendar'!$AI$1105=TYPE3)*(TYPE3&lt;&gt;"")+('Dvd Calendar'!$AI$1105=TYPE4)*(TYPE4&lt;&gt;"")+('Dvd Calendar'!$AI$1105=SPECIAL_LBL)*(INC_SPECIALS="Y"))=0,"",'Dvd Calendar'!$AI$1103)))</f>
        <v/>
      </c>
      <c r="AH111" s="110">
        <f>IF(FJ111="","",IF(ISNUMBER('Dvd Calendar'!$AJ$1103)=FALSE,"",IF((('Dvd Calendar'!$AJ$1105=TYPE1)*(TYPE1&lt;&gt;"")+('Dvd Calendar'!$AJ$1105=TYPE2)*(TYPE2&lt;&gt;"")+('Dvd Calendar'!$AJ$1105=TYPE3)*(TYPE3&lt;&gt;"")+('Dvd Calendar'!$AJ$1105=TYPE4)*(TYPE4&lt;&gt;"")+('Dvd Calendar'!$AJ$1105=SPECIAL_LBL)*(INC_SPECIALS="Y"))=0,"",'Dvd Calendar'!$AJ$1103)))</f>
        <v/>
      </c>
      <c r="AI111" s="110">
        <f>IF(FK111="","",IF(ISNUMBER('Dvd Calendar'!$AK$1103)=FALSE,"",IF((('Dvd Calendar'!$AK$1105=TYPE1)*(TYPE1&lt;&gt;"")+('Dvd Calendar'!$AK$1105=TYPE2)*(TYPE2&lt;&gt;"")+('Dvd Calendar'!$AK$1105=TYPE3)*(TYPE3&lt;&gt;"")+('Dvd Calendar'!$AK$1105=TYPE4)*(TYPE4&lt;&gt;"")+('Dvd Calendar'!$AK$1105=SPECIAL_LBL)*(INC_SPECIALS="Y"))=0,"",'Dvd Calendar'!$AK$1103)))</f>
        <v/>
      </c>
      <c r="AJ111" s="110">
        <f>IF(FL111="","",IF(ISNUMBER('Dvd Calendar'!$AL$1103)=FALSE,"",IF((('Dvd Calendar'!$AL$1105=TYPE1)*(TYPE1&lt;&gt;"")+('Dvd Calendar'!$AL$1105=TYPE2)*(TYPE2&lt;&gt;"")+('Dvd Calendar'!$AL$1105=TYPE3)*(TYPE3&lt;&gt;"")+('Dvd Calendar'!$AL$1105=TYPE4)*(TYPE4&lt;&gt;"")+('Dvd Calendar'!$AL$1105=SPECIAL_LBL)*(INC_SPECIALS="Y"))=0,"",'Dvd Calendar'!$AL$1103)))</f>
        <v/>
      </c>
      <c r="AK111" s="110">
        <f>IF(FM111="","",IF(ISNUMBER('Dvd Calendar'!$AM$1103)=FALSE,"",IF((('Dvd Calendar'!$AM$1105=TYPE1)*(TYPE1&lt;&gt;"")+('Dvd Calendar'!$AM$1105=TYPE2)*(TYPE2&lt;&gt;"")+('Dvd Calendar'!$AM$1105=TYPE3)*(TYPE3&lt;&gt;"")+('Dvd Calendar'!$AM$1105=TYPE4)*(TYPE4&lt;&gt;"")+('Dvd Calendar'!$AM$1105=SPECIAL_LBL)*(INC_SPECIALS="Y"))=0,"",'Dvd Calendar'!$AM$1103)))</f>
        <v/>
      </c>
      <c r="AL111" s="110">
        <f>IF(FN111="","",IF(ISNUMBER('Dvd Calendar'!$AN$1103)=FALSE,"",IF((('Dvd Calendar'!$AN$1105=TYPE1)*(TYPE1&lt;&gt;"")+('Dvd Calendar'!$AN$1105=TYPE2)*(TYPE2&lt;&gt;"")+('Dvd Calendar'!$AN$1105=TYPE3)*(TYPE3&lt;&gt;"")+('Dvd Calendar'!$AN$1105=TYPE4)*(TYPE4&lt;&gt;"")+('Dvd Calendar'!$AN$1105=SPECIAL_LBL)*(INC_SPECIALS="Y"))=0,"",'Dvd Calendar'!$AN$1103)))</f>
        <v/>
      </c>
      <c r="AM111" s="110">
        <f>IF(FO111="","",IF(ISNUMBER('Dvd Calendar'!$AO$1103)=FALSE,"",IF((('Dvd Calendar'!$AO$1105=TYPE1)*(TYPE1&lt;&gt;"")+('Dvd Calendar'!$AO$1105=TYPE2)*(TYPE2&lt;&gt;"")+('Dvd Calendar'!$AO$1105=TYPE3)*(TYPE3&lt;&gt;"")+('Dvd Calendar'!$AO$1105=TYPE4)*(TYPE4&lt;&gt;"")+('Dvd Calendar'!$AO$1105=SPECIAL_LBL)*(INC_SPECIALS="Y"))=0,"",'Dvd Calendar'!$AO$1103)))</f>
        <v/>
      </c>
      <c r="AN111" s="110">
        <f>IF(FP111="","",IF(ISNUMBER('Dvd Calendar'!$AP$1103)=FALSE,"",IF((('Dvd Calendar'!$AP$1105=TYPE1)*(TYPE1&lt;&gt;"")+('Dvd Calendar'!$AP$1105=TYPE2)*(TYPE2&lt;&gt;"")+('Dvd Calendar'!$AP$1105=TYPE3)*(TYPE3&lt;&gt;"")+('Dvd Calendar'!$AP$1105=TYPE4)*(TYPE4&lt;&gt;"")+('Dvd Calendar'!$AP$1105=SPECIAL_LBL)*(INC_SPECIALS="Y"))=0,"",'Dvd Calendar'!$AP$1103)))</f>
        <v/>
      </c>
      <c r="AO111" s="110">
        <f>IF(FQ111="","",IF(ISNUMBER('Dvd Calendar'!$AQ$1103)=FALSE,"",IF((('Dvd Calendar'!$AQ$1105=TYPE1)*(TYPE1&lt;&gt;"")+('Dvd Calendar'!$AQ$1105=TYPE2)*(TYPE2&lt;&gt;"")+('Dvd Calendar'!$AQ$1105=TYPE3)*(TYPE3&lt;&gt;"")+('Dvd Calendar'!$AQ$1105=TYPE4)*(TYPE4&lt;&gt;"")+('Dvd Calendar'!$AQ$1105=SPECIAL_LBL)*(INC_SPECIALS="Y"))=0,"",'Dvd Calendar'!$AQ$1103)))</f>
        <v/>
      </c>
      <c r="AP111" s="110">
        <f>IF(FR111="","",IF(ISNUMBER('Dvd Calendar'!$AR$1103)=FALSE,"",IF((('Dvd Calendar'!$AR$1105=TYPE1)*(TYPE1&lt;&gt;"")+('Dvd Calendar'!$AR$1105=TYPE2)*(TYPE2&lt;&gt;"")+('Dvd Calendar'!$AR$1105=TYPE3)*(TYPE3&lt;&gt;"")+('Dvd Calendar'!$AR$1105=TYPE4)*(TYPE4&lt;&gt;"")+('Dvd Calendar'!$AR$1105=SPECIAL_LBL)*(INC_SPECIALS="Y"))=0,"",'Dvd Calendar'!$AR$1103)))</f>
        <v/>
      </c>
      <c r="AQ111" s="110">
        <f>IF(FS111="","",IF(ISNUMBER('Dvd Calendar'!$E$1108)=FALSE,"",'Dvd Calendar'!$E$1108))</f>
        <v/>
      </c>
      <c r="AR111" s="110">
        <f>IF(FT111="","",IF(ISNUMBER('Dvd Calendar'!$F$1108)=FALSE,"",'Dvd Calendar'!$F$1108))</f>
        <v/>
      </c>
      <c r="AS111" s="110">
        <f>IF(FU111="","",IF(ISNUMBER('Dvd Calendar'!$G$1108)=FALSE,"",'Dvd Calendar'!$G$1108))</f>
        <v/>
      </c>
      <c r="AT111" s="110">
        <f>IF(FV111="","",IF(ISNUMBER('Dvd Calendar'!$H$1108)=FALSE,"",'Dvd Calendar'!$H$1108))</f>
        <v/>
      </c>
      <c r="AU111" s="110">
        <f>IF(FW111="","",IF(ISNUMBER('Dvd Calendar'!$I$1108)=FALSE,"",'Dvd Calendar'!$I$1108))</f>
        <v/>
      </c>
      <c r="AV111" s="110">
        <f>IF(FX111="","",IF(ISNUMBER('Dvd Calendar'!$J$1108)=FALSE,"",'Dvd Calendar'!$J$1108))</f>
        <v/>
      </c>
      <c r="AW111" s="110">
        <f>IF(FY111="","",IF(ISNUMBER('Dvd Calendar'!$K$1108)=FALSE,"",'Dvd Calendar'!$K$1108))</f>
        <v/>
      </c>
      <c r="AX111" s="110">
        <f>IF(FZ111="","",IF(ISNUMBER('Dvd Calendar'!$L$1108)=FALSE,"",'Dvd Calendar'!$L$1108))</f>
        <v/>
      </c>
      <c r="AY111" s="110">
        <f>IF(GA111="","",IF(ISNUMBER('Dvd Calendar'!$M$1108)=FALSE,"",'Dvd Calendar'!$M$1108))</f>
        <v/>
      </c>
      <c r="AZ111" s="110">
        <f>IF(GB111="","",IF(ISNUMBER('Dvd Calendar'!$N$1108)=FALSE,"",'Dvd Calendar'!$N$1108))</f>
        <v/>
      </c>
      <c r="BA111" s="110">
        <f>IF(GC111="","",IF(ISNUMBER('Dvd Calendar'!$O$1108)=FALSE,"",'Dvd Calendar'!$O$1108))</f>
        <v/>
      </c>
      <c r="BB111" s="110">
        <f>IF(GD111="","",IF(ISNUMBER('Dvd Calendar'!$P$1108)=FALSE,"",'Dvd Calendar'!$P$1108))</f>
        <v/>
      </c>
      <c r="BC111" s="110">
        <f>IF(GE111="","",IF(ISNUMBER('Dvd Calendar'!$Q$1108)=FALSE,"",'Dvd Calendar'!$Q$1108))</f>
        <v/>
      </c>
      <c r="BD111" s="110">
        <f>IF(GF111="","",IF(ISNUMBER('Dvd Calendar'!$R$1108)=FALSE,"",'Dvd Calendar'!$R$1108))</f>
        <v/>
      </c>
      <c r="BE111" s="110">
        <f>IF(GG111="","",IF(ISNUMBER('Dvd Calendar'!$S$1108)=FALSE,"",'Dvd Calendar'!$S$1108))</f>
        <v/>
      </c>
      <c r="BF111" s="110">
        <f>IF(GH111="","",IF(ISNUMBER('Dvd Calendar'!$T$1108)=FALSE,"",'Dvd Calendar'!$T$1108))</f>
        <v/>
      </c>
      <c r="BG111" s="110">
        <f>IF(GI111="","",IF(ISNUMBER('Dvd Calendar'!$U$1108)=FALSE,"",'Dvd Calendar'!$U$1108))</f>
        <v/>
      </c>
      <c r="BH111" s="110">
        <f>IF(GJ111="","",IF(ISNUMBER('Dvd Calendar'!$V$1108)=FALSE,"",'Dvd Calendar'!$V$1108))</f>
        <v/>
      </c>
      <c r="BI111" s="110">
        <f>IF(GK111="","",IF(ISNUMBER('Dvd Calendar'!$W$1108)=FALSE,"",'Dvd Calendar'!$W$1108))</f>
        <v/>
      </c>
      <c r="BJ111" s="110">
        <f>IF(GL111="","",IF(ISNUMBER('Dvd Calendar'!$X$1108)=FALSE,"",'Dvd Calendar'!$X$1108))</f>
        <v/>
      </c>
      <c r="BK111" s="110">
        <f>IF(GM111="","",IF(ISNUMBER('Dvd Calendar'!$Y$1108)=FALSE,"",'Dvd Calendar'!$Y$1108))</f>
        <v/>
      </c>
      <c r="BL111" s="110">
        <f>IF(GN111="","",IF(ISNUMBER('Dvd Calendar'!$Z$1108)=FALSE,"",'Dvd Calendar'!$Z$1108))</f>
        <v/>
      </c>
      <c r="BM111" s="110">
        <f>IF(GO111="","",IF(ISNUMBER('Dvd Calendar'!$AA$1108)=FALSE,"",'Dvd Calendar'!$AA$1108))</f>
        <v/>
      </c>
      <c r="BN111" s="110">
        <f>IF(GP111="","",IF(ISNUMBER('Dvd Calendar'!$AB$1108)=FALSE,"",'Dvd Calendar'!$AB$1108))</f>
        <v/>
      </c>
      <c r="BO111" s="110">
        <f>IF(GQ111="","",IF(ISNUMBER('Dvd Calendar'!$AC$1108)=FALSE,"",'Dvd Calendar'!$AC$1108))</f>
        <v/>
      </c>
      <c r="BQ111" s="110">
        <f>IF(C111="","",IFERROR(C111*HSI!$B$106*HSI!$G$106/HSI!$B$3,""))</f>
        <v/>
      </c>
      <c r="BR111" s="110">
        <f>IF(D111="","",IFERROR(D111*HSI!$B$106*HSI!$G$106/HSI!$B$3,""))</f>
        <v/>
      </c>
      <c r="BS111" s="110">
        <f>IF(E111="","",IFERROR(E111*HSI!$B$106*HSI!$G$106/HSI!$B$3,""))</f>
        <v/>
      </c>
      <c r="BT111" s="110">
        <f>IF(F111="","",IFERROR(F111*HSI!$B$106*HSI!$G$106/HSI!$B$3,""))</f>
        <v/>
      </c>
      <c r="BU111" s="110">
        <f>IF(G111="","",IFERROR(G111*HSI!$B$106*HSI!$G$106/HSI!$B$3,""))</f>
        <v/>
      </c>
      <c r="BV111" s="110">
        <f>IF(H111="","",IFERROR(H111*HSI!$B$106*HSI!$G$106/HSI!$B$3,""))</f>
        <v/>
      </c>
      <c r="BW111" s="110">
        <f>IF(I111="","",IFERROR(I111*HSI!$B$106*HSI!$G$106/HSI!$B$3,""))</f>
        <v/>
      </c>
      <c r="BX111" s="110">
        <f>IF(J111="","",IFERROR(J111*HSI!$B$106*HSI!$G$106/HSI!$B$3,""))</f>
        <v/>
      </c>
      <c r="BY111" s="110">
        <f>IF(K111="","",IFERROR(K111*HSI!$B$106*HSI!$G$106/HSI!$B$3,""))</f>
        <v/>
      </c>
      <c r="BZ111" s="110">
        <f>IF(L111="","",IFERROR(L111*HSI!$B$106*HSI!$G$106/HSI!$B$3,""))</f>
        <v/>
      </c>
      <c r="CA111" s="110">
        <f>IF(M111="","",IFERROR(M111*HSI!$B$106*HSI!$G$106/HSI!$B$3,""))</f>
        <v/>
      </c>
      <c r="CB111" s="110">
        <f>IF(N111="","",IFERROR(N111*HSI!$B$106*HSI!$G$106/HSI!$B$3,""))</f>
        <v/>
      </c>
      <c r="CC111" s="110">
        <f>IF(O111="","",IFERROR(O111*HSI!$B$106*HSI!$G$106/HSI!$B$3,""))</f>
        <v/>
      </c>
      <c r="CD111" s="110">
        <f>IF(P111="","",IFERROR(P111*HSI!$B$106*HSI!$G$106/HSI!$B$3,""))</f>
        <v/>
      </c>
      <c r="CE111" s="110">
        <f>IF(Q111="","",IFERROR(Q111*HSI!$B$106*HSI!$G$106/HSI!$B$3,""))</f>
        <v/>
      </c>
      <c r="CF111" s="110">
        <f>IF(R111="","",IFERROR(R111*HSI!$B$106*HSI!$G$106/HSI!$B$3,""))</f>
        <v/>
      </c>
      <c r="CG111" s="110">
        <f>IF(S111="","",IFERROR(S111*HSI!$B$106*HSI!$G$106/HSI!$B$3,""))</f>
        <v/>
      </c>
      <c r="CH111" s="110">
        <f>IF(T111="","",IFERROR(T111*HSI!$B$106*HSI!$G$106/HSI!$B$3,""))</f>
        <v/>
      </c>
      <c r="CI111" s="110">
        <f>IF(U111="","",IFERROR(U111*HSI!$B$106*HSI!$G$106/HSI!$B$3,""))</f>
        <v/>
      </c>
      <c r="CJ111" s="110">
        <f>IF(V111="","",IFERROR(V111*HSI!$B$106*HSI!$G$106/HSI!$B$3,""))</f>
        <v/>
      </c>
      <c r="CK111" s="110">
        <f>IF(W111="","",IFERROR(W111*HSI!$B$106*HSI!$G$106/HSI!$B$3,""))</f>
        <v/>
      </c>
      <c r="CL111" s="110">
        <f>IF(X111="","",IFERROR(X111*HSI!$B$106*HSI!$G$106/HSI!$B$3,""))</f>
        <v/>
      </c>
      <c r="CM111" s="110">
        <f>IF(Y111="","",IFERROR(Y111*HSI!$B$106*HSI!$G$106/HSI!$B$3,""))</f>
        <v/>
      </c>
      <c r="CN111" s="110">
        <f>IF(Z111="","",IFERROR(Z111*HSI!$B$106*HSI!$G$106/HSI!$B$3,""))</f>
        <v/>
      </c>
      <c r="CO111" s="110">
        <f>IF(AA111="","",IFERROR(AA111*HSI!$B$106*HSI!$G$106/HSI!$B$3,""))</f>
        <v/>
      </c>
      <c r="CP111" s="110">
        <f>IF(AB111="","",IFERROR(AB111*HSI!$B$106*HSI!$G$106/HSI!$B$3,""))</f>
        <v/>
      </c>
      <c r="CQ111" s="110">
        <f>IF(AC111="","",IFERROR(AC111*HSI!$B$106*HSI!$G$106/HSI!$B$3,""))</f>
        <v/>
      </c>
      <c r="CR111" s="110">
        <f>IF(AD111="","",IFERROR(AD111*HSI!$B$106*HSI!$G$106/HSI!$B$3,""))</f>
        <v/>
      </c>
      <c r="CS111" s="110">
        <f>IF(AE111="","",IFERROR(AE111*HSI!$B$106*HSI!$G$106/HSI!$B$3,""))</f>
        <v/>
      </c>
      <c r="CT111" s="110">
        <f>IF(AF111="","",IFERROR(AF111*HSI!$B$106*HSI!$G$106/HSI!$B$3,""))</f>
        <v/>
      </c>
      <c r="CU111" s="110">
        <f>IF(AG111="","",IFERROR(AG111*HSI!$B$106*HSI!$G$106/HSI!$B$3,""))</f>
        <v/>
      </c>
      <c r="CV111" s="110">
        <f>IF(AH111="","",IFERROR(AH111*HSI!$B$106*HSI!$G$106/HSI!$B$3,""))</f>
        <v/>
      </c>
      <c r="CW111" s="110">
        <f>IF(AI111="","",IFERROR(AI111*HSI!$B$106*HSI!$G$106/HSI!$B$3,""))</f>
        <v/>
      </c>
      <c r="CX111" s="110">
        <f>IF(AJ111="","",IFERROR(AJ111*HSI!$B$106*HSI!$G$106/HSI!$B$3,""))</f>
        <v/>
      </c>
      <c r="CY111" s="110">
        <f>IF(AK111="","",IFERROR(AK111*HSI!$B$106*HSI!$G$106/HSI!$B$3,""))</f>
        <v/>
      </c>
      <c r="CZ111" s="110">
        <f>IF(AL111="","",IFERROR(AL111*HSI!$B$106*HSI!$G$106/HSI!$B$3,""))</f>
        <v/>
      </c>
      <c r="DA111" s="110">
        <f>IF(AM111="","",IFERROR(AM111*HSI!$B$106*HSI!$G$106/HSI!$B$3,""))</f>
        <v/>
      </c>
      <c r="DB111" s="110">
        <f>IF(AN111="","",IFERROR(AN111*HSI!$B$106*HSI!$G$106/HSI!$B$3,""))</f>
        <v/>
      </c>
      <c r="DC111" s="110">
        <f>IF(AO111="","",IFERROR(AO111*HSI!$B$106*HSI!$G$106/HSI!$B$3,""))</f>
        <v/>
      </c>
      <c r="DD111" s="110">
        <f>IF(AP111="","",IFERROR(AP111*HSI!$B$106*HSI!$G$106/HSI!$B$3,""))</f>
        <v/>
      </c>
      <c r="DE111" s="110">
        <f>IF(AQ111="","",IFERROR(AQ111*HSI!$B$106*HSI!$G$106/HSI!$B$3,""))</f>
        <v/>
      </c>
      <c r="DF111" s="110">
        <f>IF(AR111="","",IFERROR(AR111*HSI!$B$106*HSI!$G$106/HSI!$B$3,""))</f>
        <v/>
      </c>
      <c r="DG111" s="110">
        <f>IF(AS111="","",IFERROR(AS111*HSI!$B$106*HSI!$G$106/HSI!$B$3,""))</f>
        <v/>
      </c>
      <c r="DH111" s="110">
        <f>IF(AT111="","",IFERROR(AT111*HSI!$B$106*HSI!$G$106/HSI!$B$3,""))</f>
        <v/>
      </c>
      <c r="DI111" s="110">
        <f>IF(AU111="","",IFERROR(AU111*HSI!$B$106*HSI!$G$106/HSI!$B$3,""))</f>
        <v/>
      </c>
      <c r="DJ111" s="110">
        <f>IF(AV111="","",IFERROR(AV111*HSI!$B$106*HSI!$G$106/HSI!$B$3,""))</f>
        <v/>
      </c>
      <c r="DK111" s="110">
        <f>IF(AW111="","",IFERROR(AW111*HSI!$B$106*HSI!$G$106/HSI!$B$3,""))</f>
        <v/>
      </c>
      <c r="DL111" s="110">
        <f>IF(AX111="","",IFERROR(AX111*HSI!$B$106*HSI!$G$106/HSI!$B$3,""))</f>
        <v/>
      </c>
      <c r="DM111" s="110">
        <f>IF(AY111="","",IFERROR(AY111*HSI!$B$106*HSI!$G$106/HSI!$B$3,""))</f>
        <v/>
      </c>
      <c r="DN111" s="110">
        <f>IF(AZ111="","",IFERROR(AZ111*HSI!$B$106*HSI!$G$106/HSI!$B$3,""))</f>
        <v/>
      </c>
      <c r="DO111" s="110">
        <f>IF(BA111="","",IFERROR(BA111*HSI!$B$106*HSI!$G$106/HSI!$B$3,""))</f>
        <v/>
      </c>
      <c r="DP111" s="110">
        <f>IF(BB111="","",IFERROR(BB111*HSI!$B$106*HSI!$G$106/HSI!$B$3,""))</f>
        <v/>
      </c>
      <c r="DQ111" s="110">
        <f>IF(BC111="","",IFERROR(BC111*HSI!$B$106*HSI!$G$106/HSI!$B$3,""))</f>
        <v/>
      </c>
      <c r="DR111" s="110">
        <f>IF(BD111="","",IFERROR(BD111*HSI!$B$106*HSI!$G$106/HSI!$B$3,""))</f>
        <v/>
      </c>
      <c r="DS111" s="110">
        <f>IF(BE111="","",IFERROR(BE111*HSI!$B$106*HSI!$G$106/HSI!$B$3,""))</f>
        <v/>
      </c>
      <c r="DT111" s="110">
        <f>IF(BF111="","",IFERROR(BF111*HSI!$B$106*HSI!$G$106/HSI!$B$3,""))</f>
        <v/>
      </c>
      <c r="DU111" s="110">
        <f>IF(BG111="","",IFERROR(BG111*HSI!$B$106*HSI!$G$106/HSI!$B$3,""))</f>
        <v/>
      </c>
      <c r="DV111" s="110">
        <f>IF(BH111="","",IFERROR(BH111*HSI!$B$106*HSI!$G$106/HSI!$B$3,""))</f>
        <v/>
      </c>
      <c r="DW111" s="110">
        <f>IF(BI111="","",IFERROR(BI111*HSI!$B$106*HSI!$G$106/HSI!$B$3,""))</f>
        <v/>
      </c>
      <c r="DX111" s="110">
        <f>IF(BJ111="","",IFERROR(BJ111*HSI!$B$106*HSI!$G$106/HSI!$B$3,""))</f>
        <v/>
      </c>
      <c r="DY111" s="110">
        <f>IF(BK111="","",IFERROR(BK111*HSI!$B$106*HSI!$G$106/HSI!$B$3,""))</f>
        <v/>
      </c>
      <c r="DZ111" s="110">
        <f>IF(BL111="","",IFERROR(BL111*HSI!$B$106*HSI!$G$106/HSI!$B$3,""))</f>
        <v/>
      </c>
      <c r="EA111" s="110">
        <f>IF(BM111="","",IFERROR(BM111*HSI!$B$106*HSI!$G$106/HSI!$B$3,""))</f>
        <v/>
      </c>
      <c r="EB111" s="110">
        <f>IF(BN111="","",IFERROR(BN111*HSI!$B$106*HSI!$G$106/HSI!$B$3,""))</f>
        <v/>
      </c>
      <c r="EC111" s="110">
        <f>IF(BO111="","",IFERROR(BO111*HSI!$B$106*HSI!$G$106/HSI!$B$3,""))</f>
        <v/>
      </c>
      <c r="EE111" s="39">
        <f>IF(N('Dvd Calendar'!$E$1100)=0,"",IF(('Dvd Calendar'!$E$1100&gt;=GRID_FROM)*('Dvd Calendar'!$E$1100&lt;=GRID_TO)*((('Dvd Calendar'!$E$1100&lt;=VAL_DATE)+(COUNTIF('Dvd Calendar'!$E$1107:$AR$1107,'Dvd Calendar'!$E$1100)=0))&gt;0)=0,"",'Dvd Calendar'!$E$1100*1000000000+ISNUMBER('Dvd Calendar'!$E$1103)*100000000+('Dvd Calendar'!$E$1105=SPECIAL_LBL)*10000000+(N('Dvd Calendar'!$E$1099)&gt;0)*(N('Dvd Calendar'!$E$1099)&lt;=VAL_SERIAL)*1000000+100*1000+1))</f>
        <v/>
      </c>
      <c r="EF111" s="39">
        <f>IF(N('Dvd Calendar'!$F$1100)=0,"",IF(('Dvd Calendar'!$F$1100&gt;=GRID_FROM)*('Dvd Calendar'!$F$1100&lt;=GRID_TO)*((('Dvd Calendar'!$F$1100&lt;=VAL_DATE)+(COUNTIF('Dvd Calendar'!$E$1107:$AR$1107,'Dvd Calendar'!$F$1100)=0))&gt;0)=0,"",'Dvd Calendar'!$F$1100*1000000000+ISNUMBER('Dvd Calendar'!$F$1103)*100000000+('Dvd Calendar'!$F$1105=SPECIAL_LBL)*10000000+(N('Dvd Calendar'!$F$1099)&gt;0)*(N('Dvd Calendar'!$F$1099)&lt;=VAL_SERIAL)*1000000+100*1000+2))</f>
        <v/>
      </c>
      <c r="EG111" s="39">
        <f>IF(N('Dvd Calendar'!$G$1100)=0,"",IF(('Dvd Calendar'!$G$1100&gt;=GRID_FROM)*('Dvd Calendar'!$G$1100&lt;=GRID_TO)*((('Dvd Calendar'!$G$1100&lt;=VAL_DATE)+(COUNTIF('Dvd Calendar'!$E$1107:$AR$1107,'Dvd Calendar'!$G$1100)=0))&gt;0)=0,"",'Dvd Calendar'!$G$1100*1000000000+ISNUMBER('Dvd Calendar'!$G$1103)*100000000+('Dvd Calendar'!$G$1105=SPECIAL_LBL)*10000000+(N('Dvd Calendar'!$G$1099)&gt;0)*(N('Dvd Calendar'!$G$1099)&lt;=VAL_SERIAL)*1000000+100*1000+3))</f>
        <v/>
      </c>
      <c r="EH111" s="39">
        <f>IF(N('Dvd Calendar'!$H$1100)=0,"",IF(('Dvd Calendar'!$H$1100&gt;=GRID_FROM)*('Dvd Calendar'!$H$1100&lt;=GRID_TO)*((('Dvd Calendar'!$H$1100&lt;=VAL_DATE)+(COUNTIF('Dvd Calendar'!$E$1107:$AR$1107,'Dvd Calendar'!$H$1100)=0))&gt;0)=0,"",'Dvd Calendar'!$H$1100*1000000000+ISNUMBER('Dvd Calendar'!$H$1103)*100000000+('Dvd Calendar'!$H$1105=SPECIAL_LBL)*10000000+(N('Dvd Calendar'!$H$1099)&gt;0)*(N('Dvd Calendar'!$H$1099)&lt;=VAL_SERIAL)*1000000+100*1000+4))</f>
        <v/>
      </c>
      <c r="EI111" s="39">
        <f>IF(N('Dvd Calendar'!$I$1100)=0,"",IF(('Dvd Calendar'!$I$1100&gt;=GRID_FROM)*('Dvd Calendar'!$I$1100&lt;=GRID_TO)*((('Dvd Calendar'!$I$1100&lt;=VAL_DATE)+(COUNTIF('Dvd Calendar'!$E$1107:$AR$1107,'Dvd Calendar'!$I$1100)=0))&gt;0)=0,"",'Dvd Calendar'!$I$1100*1000000000+ISNUMBER('Dvd Calendar'!$I$1103)*100000000+('Dvd Calendar'!$I$1105=SPECIAL_LBL)*10000000+(N('Dvd Calendar'!$I$1099)&gt;0)*(N('Dvd Calendar'!$I$1099)&lt;=VAL_SERIAL)*1000000+100*1000+5))</f>
        <v/>
      </c>
      <c r="EJ111" s="39">
        <f>IF(N('Dvd Calendar'!$J$1100)=0,"",IF(('Dvd Calendar'!$J$1100&gt;=GRID_FROM)*('Dvd Calendar'!$J$1100&lt;=GRID_TO)*((('Dvd Calendar'!$J$1100&lt;=VAL_DATE)+(COUNTIF('Dvd Calendar'!$E$1107:$AR$1107,'Dvd Calendar'!$J$1100)=0))&gt;0)=0,"",'Dvd Calendar'!$J$1100*1000000000+ISNUMBER('Dvd Calendar'!$J$1103)*100000000+('Dvd Calendar'!$J$1105=SPECIAL_LBL)*10000000+(N('Dvd Calendar'!$J$1099)&gt;0)*(N('Dvd Calendar'!$J$1099)&lt;=VAL_SERIAL)*1000000+100*1000+6))</f>
        <v/>
      </c>
      <c r="EK111" s="39">
        <f>IF(N('Dvd Calendar'!$K$1100)=0,"",IF(('Dvd Calendar'!$K$1100&gt;=GRID_FROM)*('Dvd Calendar'!$K$1100&lt;=GRID_TO)*((('Dvd Calendar'!$K$1100&lt;=VAL_DATE)+(COUNTIF('Dvd Calendar'!$E$1107:$AR$1107,'Dvd Calendar'!$K$1100)=0))&gt;0)=0,"",'Dvd Calendar'!$K$1100*1000000000+ISNUMBER('Dvd Calendar'!$K$1103)*100000000+('Dvd Calendar'!$K$1105=SPECIAL_LBL)*10000000+(N('Dvd Calendar'!$K$1099)&gt;0)*(N('Dvd Calendar'!$K$1099)&lt;=VAL_SERIAL)*1000000+100*1000+7))</f>
        <v/>
      </c>
      <c r="EL111" s="39">
        <f>IF(N('Dvd Calendar'!$L$1100)=0,"",IF(('Dvd Calendar'!$L$1100&gt;=GRID_FROM)*('Dvd Calendar'!$L$1100&lt;=GRID_TO)*((('Dvd Calendar'!$L$1100&lt;=VAL_DATE)+(COUNTIF('Dvd Calendar'!$E$1107:$AR$1107,'Dvd Calendar'!$L$1100)=0))&gt;0)=0,"",'Dvd Calendar'!$L$1100*1000000000+ISNUMBER('Dvd Calendar'!$L$1103)*100000000+('Dvd Calendar'!$L$1105=SPECIAL_LBL)*10000000+(N('Dvd Calendar'!$L$1099)&gt;0)*(N('Dvd Calendar'!$L$1099)&lt;=VAL_SERIAL)*1000000+100*1000+8))</f>
        <v/>
      </c>
      <c r="EM111" s="39">
        <f>IF(N('Dvd Calendar'!$M$1100)=0,"",IF(('Dvd Calendar'!$M$1100&gt;=GRID_FROM)*('Dvd Calendar'!$M$1100&lt;=GRID_TO)*((('Dvd Calendar'!$M$1100&lt;=VAL_DATE)+(COUNTIF('Dvd Calendar'!$E$1107:$AR$1107,'Dvd Calendar'!$M$1100)=0))&gt;0)=0,"",'Dvd Calendar'!$M$1100*1000000000+ISNUMBER('Dvd Calendar'!$M$1103)*100000000+('Dvd Calendar'!$M$1105=SPECIAL_LBL)*10000000+(N('Dvd Calendar'!$M$1099)&gt;0)*(N('Dvd Calendar'!$M$1099)&lt;=VAL_SERIAL)*1000000+100*1000+9))</f>
        <v/>
      </c>
      <c r="EN111" s="39">
        <f>IF(N('Dvd Calendar'!$N$1100)=0,"",IF(('Dvd Calendar'!$N$1100&gt;=GRID_FROM)*('Dvd Calendar'!$N$1100&lt;=GRID_TO)*((('Dvd Calendar'!$N$1100&lt;=VAL_DATE)+(COUNTIF('Dvd Calendar'!$E$1107:$AR$1107,'Dvd Calendar'!$N$1100)=0))&gt;0)=0,"",'Dvd Calendar'!$N$1100*1000000000+ISNUMBER('Dvd Calendar'!$N$1103)*100000000+('Dvd Calendar'!$N$1105=SPECIAL_LBL)*10000000+(N('Dvd Calendar'!$N$1099)&gt;0)*(N('Dvd Calendar'!$N$1099)&lt;=VAL_SERIAL)*1000000+100*1000+10))</f>
        <v/>
      </c>
      <c r="EO111" s="39">
        <f>IF(N('Dvd Calendar'!$O$1100)=0,"",IF(('Dvd Calendar'!$O$1100&gt;=GRID_FROM)*('Dvd Calendar'!$O$1100&lt;=GRID_TO)*((('Dvd Calendar'!$O$1100&lt;=VAL_DATE)+(COUNTIF('Dvd Calendar'!$E$1107:$AR$1107,'Dvd Calendar'!$O$1100)=0))&gt;0)=0,"",'Dvd Calendar'!$O$1100*1000000000+ISNUMBER('Dvd Calendar'!$O$1103)*100000000+('Dvd Calendar'!$O$1105=SPECIAL_LBL)*10000000+(N('Dvd Calendar'!$O$1099)&gt;0)*(N('Dvd Calendar'!$O$1099)&lt;=VAL_SERIAL)*1000000+100*1000+11))</f>
        <v/>
      </c>
      <c r="EP111" s="39">
        <f>IF(N('Dvd Calendar'!$P$1100)=0,"",IF(('Dvd Calendar'!$P$1100&gt;=GRID_FROM)*('Dvd Calendar'!$P$1100&lt;=GRID_TO)*((('Dvd Calendar'!$P$1100&lt;=VAL_DATE)+(COUNTIF('Dvd Calendar'!$E$1107:$AR$1107,'Dvd Calendar'!$P$1100)=0))&gt;0)=0,"",'Dvd Calendar'!$P$1100*1000000000+ISNUMBER('Dvd Calendar'!$P$1103)*100000000+('Dvd Calendar'!$P$1105=SPECIAL_LBL)*10000000+(N('Dvd Calendar'!$P$1099)&gt;0)*(N('Dvd Calendar'!$P$1099)&lt;=VAL_SERIAL)*1000000+100*1000+12))</f>
        <v/>
      </c>
      <c r="EQ111" s="39">
        <f>IF(N('Dvd Calendar'!$Q$1100)=0,"",IF(('Dvd Calendar'!$Q$1100&gt;=GRID_FROM)*('Dvd Calendar'!$Q$1100&lt;=GRID_TO)*((('Dvd Calendar'!$Q$1100&lt;=VAL_DATE)+(COUNTIF('Dvd Calendar'!$E$1107:$AR$1107,'Dvd Calendar'!$Q$1100)=0))&gt;0)=0,"",'Dvd Calendar'!$Q$1100*1000000000+ISNUMBER('Dvd Calendar'!$Q$1103)*100000000+('Dvd Calendar'!$Q$1105=SPECIAL_LBL)*10000000+(N('Dvd Calendar'!$Q$1099)&gt;0)*(N('Dvd Calendar'!$Q$1099)&lt;=VAL_SERIAL)*1000000+100*1000+13))</f>
        <v/>
      </c>
      <c r="ER111" s="39">
        <f>IF(N('Dvd Calendar'!$R$1100)=0,"",IF(('Dvd Calendar'!$R$1100&gt;=GRID_FROM)*('Dvd Calendar'!$R$1100&lt;=GRID_TO)*((('Dvd Calendar'!$R$1100&lt;=VAL_DATE)+(COUNTIF('Dvd Calendar'!$E$1107:$AR$1107,'Dvd Calendar'!$R$1100)=0))&gt;0)=0,"",'Dvd Calendar'!$R$1100*1000000000+ISNUMBER('Dvd Calendar'!$R$1103)*100000000+('Dvd Calendar'!$R$1105=SPECIAL_LBL)*10000000+(N('Dvd Calendar'!$R$1099)&gt;0)*(N('Dvd Calendar'!$R$1099)&lt;=VAL_SERIAL)*1000000+100*1000+14))</f>
        <v/>
      </c>
      <c r="ES111" s="39">
        <f>IF(N('Dvd Calendar'!$S$1100)=0,"",IF(('Dvd Calendar'!$S$1100&gt;=GRID_FROM)*('Dvd Calendar'!$S$1100&lt;=GRID_TO)*((('Dvd Calendar'!$S$1100&lt;=VAL_DATE)+(COUNTIF('Dvd Calendar'!$E$1107:$AR$1107,'Dvd Calendar'!$S$1100)=0))&gt;0)=0,"",'Dvd Calendar'!$S$1100*1000000000+ISNUMBER('Dvd Calendar'!$S$1103)*100000000+('Dvd Calendar'!$S$1105=SPECIAL_LBL)*10000000+(N('Dvd Calendar'!$S$1099)&gt;0)*(N('Dvd Calendar'!$S$1099)&lt;=VAL_SERIAL)*1000000+100*1000+15))</f>
        <v/>
      </c>
      <c r="ET111" s="39">
        <f>IF(N('Dvd Calendar'!$T$1100)=0,"",IF(('Dvd Calendar'!$T$1100&gt;=GRID_FROM)*('Dvd Calendar'!$T$1100&lt;=GRID_TO)*((('Dvd Calendar'!$T$1100&lt;=VAL_DATE)+(COUNTIF('Dvd Calendar'!$E$1107:$AR$1107,'Dvd Calendar'!$T$1100)=0))&gt;0)=0,"",'Dvd Calendar'!$T$1100*1000000000+ISNUMBER('Dvd Calendar'!$T$1103)*100000000+('Dvd Calendar'!$T$1105=SPECIAL_LBL)*10000000+(N('Dvd Calendar'!$T$1099)&gt;0)*(N('Dvd Calendar'!$T$1099)&lt;=VAL_SERIAL)*1000000+100*1000+16))</f>
        <v/>
      </c>
      <c r="EU111" s="39">
        <f>IF(N('Dvd Calendar'!$U$1100)=0,"",IF(('Dvd Calendar'!$U$1100&gt;=GRID_FROM)*('Dvd Calendar'!$U$1100&lt;=GRID_TO)*((('Dvd Calendar'!$U$1100&lt;=VAL_DATE)+(COUNTIF('Dvd Calendar'!$E$1107:$AR$1107,'Dvd Calendar'!$U$1100)=0))&gt;0)=0,"",'Dvd Calendar'!$U$1100*1000000000+ISNUMBER('Dvd Calendar'!$U$1103)*100000000+('Dvd Calendar'!$U$1105=SPECIAL_LBL)*10000000+(N('Dvd Calendar'!$U$1099)&gt;0)*(N('Dvd Calendar'!$U$1099)&lt;=VAL_SERIAL)*1000000+100*1000+17))</f>
        <v/>
      </c>
      <c r="EV111" s="39">
        <f>IF(N('Dvd Calendar'!$V$1100)=0,"",IF(('Dvd Calendar'!$V$1100&gt;=GRID_FROM)*('Dvd Calendar'!$V$1100&lt;=GRID_TO)*((('Dvd Calendar'!$V$1100&lt;=VAL_DATE)+(COUNTIF('Dvd Calendar'!$E$1107:$AR$1107,'Dvd Calendar'!$V$1100)=0))&gt;0)=0,"",'Dvd Calendar'!$V$1100*1000000000+ISNUMBER('Dvd Calendar'!$V$1103)*100000000+('Dvd Calendar'!$V$1105=SPECIAL_LBL)*10000000+(N('Dvd Calendar'!$V$1099)&gt;0)*(N('Dvd Calendar'!$V$1099)&lt;=VAL_SERIAL)*1000000+100*1000+18))</f>
        <v/>
      </c>
      <c r="EW111" s="39">
        <f>IF(N('Dvd Calendar'!$W$1100)=0,"",IF(('Dvd Calendar'!$W$1100&gt;=GRID_FROM)*('Dvd Calendar'!$W$1100&lt;=GRID_TO)*((('Dvd Calendar'!$W$1100&lt;=VAL_DATE)+(COUNTIF('Dvd Calendar'!$E$1107:$AR$1107,'Dvd Calendar'!$W$1100)=0))&gt;0)=0,"",'Dvd Calendar'!$W$1100*1000000000+ISNUMBER('Dvd Calendar'!$W$1103)*100000000+('Dvd Calendar'!$W$1105=SPECIAL_LBL)*10000000+(N('Dvd Calendar'!$W$1099)&gt;0)*(N('Dvd Calendar'!$W$1099)&lt;=VAL_SERIAL)*1000000+100*1000+19))</f>
        <v/>
      </c>
      <c r="EX111" s="39">
        <f>IF(N('Dvd Calendar'!$X$1100)=0,"",IF(('Dvd Calendar'!$X$1100&gt;=GRID_FROM)*('Dvd Calendar'!$X$1100&lt;=GRID_TO)*((('Dvd Calendar'!$X$1100&lt;=VAL_DATE)+(COUNTIF('Dvd Calendar'!$E$1107:$AR$1107,'Dvd Calendar'!$X$1100)=0))&gt;0)=0,"",'Dvd Calendar'!$X$1100*1000000000+ISNUMBER('Dvd Calendar'!$X$1103)*100000000+('Dvd Calendar'!$X$1105=SPECIAL_LBL)*10000000+(N('Dvd Calendar'!$X$1099)&gt;0)*(N('Dvd Calendar'!$X$1099)&lt;=VAL_SERIAL)*1000000+100*1000+20))</f>
        <v/>
      </c>
      <c r="EY111" s="39">
        <f>IF(N('Dvd Calendar'!$Y$1100)=0,"",IF(('Dvd Calendar'!$Y$1100&gt;=GRID_FROM)*('Dvd Calendar'!$Y$1100&lt;=GRID_TO)*((('Dvd Calendar'!$Y$1100&lt;=VAL_DATE)+(COUNTIF('Dvd Calendar'!$E$1107:$AR$1107,'Dvd Calendar'!$Y$1100)=0))&gt;0)=0,"",'Dvd Calendar'!$Y$1100*1000000000+ISNUMBER('Dvd Calendar'!$Y$1103)*100000000+('Dvd Calendar'!$Y$1105=SPECIAL_LBL)*10000000+(N('Dvd Calendar'!$Y$1099)&gt;0)*(N('Dvd Calendar'!$Y$1099)&lt;=VAL_SERIAL)*1000000+100*1000+21))</f>
        <v/>
      </c>
      <c r="EZ111" s="39">
        <f>IF(N('Dvd Calendar'!$Z$1100)=0,"",IF(('Dvd Calendar'!$Z$1100&gt;=GRID_FROM)*('Dvd Calendar'!$Z$1100&lt;=GRID_TO)*((('Dvd Calendar'!$Z$1100&lt;=VAL_DATE)+(COUNTIF('Dvd Calendar'!$E$1107:$AR$1107,'Dvd Calendar'!$Z$1100)=0))&gt;0)=0,"",'Dvd Calendar'!$Z$1100*1000000000+ISNUMBER('Dvd Calendar'!$Z$1103)*100000000+('Dvd Calendar'!$Z$1105=SPECIAL_LBL)*10000000+(N('Dvd Calendar'!$Z$1099)&gt;0)*(N('Dvd Calendar'!$Z$1099)&lt;=VAL_SERIAL)*1000000+100*1000+22))</f>
        <v/>
      </c>
      <c r="FA111" s="39">
        <f>IF(N('Dvd Calendar'!$AA$1100)=0,"",IF(('Dvd Calendar'!$AA$1100&gt;=GRID_FROM)*('Dvd Calendar'!$AA$1100&lt;=GRID_TO)*((('Dvd Calendar'!$AA$1100&lt;=VAL_DATE)+(COUNTIF('Dvd Calendar'!$E$1107:$AR$1107,'Dvd Calendar'!$AA$1100)=0))&gt;0)=0,"",'Dvd Calendar'!$AA$1100*1000000000+ISNUMBER('Dvd Calendar'!$AA$1103)*100000000+('Dvd Calendar'!$AA$1105=SPECIAL_LBL)*10000000+(N('Dvd Calendar'!$AA$1099)&gt;0)*(N('Dvd Calendar'!$AA$1099)&lt;=VAL_SERIAL)*1000000+100*1000+23))</f>
        <v/>
      </c>
      <c r="FB111" s="39">
        <f>IF(N('Dvd Calendar'!$AB$1100)=0,"",IF(('Dvd Calendar'!$AB$1100&gt;=GRID_FROM)*('Dvd Calendar'!$AB$1100&lt;=GRID_TO)*((('Dvd Calendar'!$AB$1100&lt;=VAL_DATE)+(COUNTIF('Dvd Calendar'!$E$1107:$AR$1107,'Dvd Calendar'!$AB$1100)=0))&gt;0)=0,"",'Dvd Calendar'!$AB$1100*1000000000+ISNUMBER('Dvd Calendar'!$AB$1103)*100000000+('Dvd Calendar'!$AB$1105=SPECIAL_LBL)*10000000+(N('Dvd Calendar'!$AB$1099)&gt;0)*(N('Dvd Calendar'!$AB$1099)&lt;=VAL_SERIAL)*1000000+100*1000+24))</f>
        <v/>
      </c>
      <c r="FC111" s="39">
        <f>IF(N('Dvd Calendar'!$AC$1100)=0,"",IF(('Dvd Calendar'!$AC$1100&gt;=GRID_FROM)*('Dvd Calendar'!$AC$1100&lt;=GRID_TO)*((('Dvd Calendar'!$AC$1100&lt;=VAL_DATE)+(COUNTIF('Dvd Calendar'!$E$1107:$AR$1107,'Dvd Calendar'!$AC$1100)=0))&gt;0)=0,"",'Dvd Calendar'!$AC$1100*1000000000+ISNUMBER('Dvd Calendar'!$AC$1103)*100000000+('Dvd Calendar'!$AC$1105=SPECIAL_LBL)*10000000+(N('Dvd Calendar'!$AC$1099)&gt;0)*(N('Dvd Calendar'!$AC$1099)&lt;=VAL_SERIAL)*1000000+100*1000+25))</f>
        <v/>
      </c>
      <c r="FD111" s="39">
        <f>IF(N('Dvd Calendar'!$AD$1100)=0,"",IF(('Dvd Calendar'!$AD$1100&gt;=GRID_FROM)*('Dvd Calendar'!$AD$1100&lt;=GRID_TO)*((('Dvd Calendar'!$AD$1100&lt;=VAL_DATE)+(COUNTIF('Dvd Calendar'!$E$1107:$AR$1107,'Dvd Calendar'!$AD$1100)=0))&gt;0)=0,"",'Dvd Calendar'!$AD$1100*1000000000+ISNUMBER('Dvd Calendar'!$AD$1103)*100000000+('Dvd Calendar'!$AD$1105=SPECIAL_LBL)*10000000+(N('Dvd Calendar'!$AD$1099)&gt;0)*(N('Dvd Calendar'!$AD$1099)&lt;=VAL_SERIAL)*1000000+100*1000+26))</f>
        <v/>
      </c>
      <c r="FE111" s="39">
        <f>IF(N('Dvd Calendar'!$AE$1100)=0,"",IF(('Dvd Calendar'!$AE$1100&gt;=GRID_FROM)*('Dvd Calendar'!$AE$1100&lt;=GRID_TO)*((('Dvd Calendar'!$AE$1100&lt;=VAL_DATE)+(COUNTIF('Dvd Calendar'!$E$1107:$AR$1107,'Dvd Calendar'!$AE$1100)=0))&gt;0)=0,"",'Dvd Calendar'!$AE$1100*1000000000+ISNUMBER('Dvd Calendar'!$AE$1103)*100000000+('Dvd Calendar'!$AE$1105=SPECIAL_LBL)*10000000+(N('Dvd Calendar'!$AE$1099)&gt;0)*(N('Dvd Calendar'!$AE$1099)&lt;=VAL_SERIAL)*1000000+100*1000+27))</f>
        <v/>
      </c>
      <c r="FF111" s="39">
        <f>IF(N('Dvd Calendar'!$AF$1100)=0,"",IF(('Dvd Calendar'!$AF$1100&gt;=GRID_FROM)*('Dvd Calendar'!$AF$1100&lt;=GRID_TO)*((('Dvd Calendar'!$AF$1100&lt;=VAL_DATE)+(COUNTIF('Dvd Calendar'!$E$1107:$AR$1107,'Dvd Calendar'!$AF$1100)=0))&gt;0)=0,"",'Dvd Calendar'!$AF$1100*1000000000+ISNUMBER('Dvd Calendar'!$AF$1103)*100000000+('Dvd Calendar'!$AF$1105=SPECIAL_LBL)*10000000+(N('Dvd Calendar'!$AF$1099)&gt;0)*(N('Dvd Calendar'!$AF$1099)&lt;=VAL_SERIAL)*1000000+100*1000+28))</f>
        <v/>
      </c>
      <c r="FG111" s="39">
        <f>IF(N('Dvd Calendar'!$AG$1100)=0,"",IF(('Dvd Calendar'!$AG$1100&gt;=GRID_FROM)*('Dvd Calendar'!$AG$1100&lt;=GRID_TO)*((('Dvd Calendar'!$AG$1100&lt;=VAL_DATE)+(COUNTIF('Dvd Calendar'!$E$1107:$AR$1107,'Dvd Calendar'!$AG$1100)=0))&gt;0)=0,"",'Dvd Calendar'!$AG$1100*1000000000+ISNUMBER('Dvd Calendar'!$AG$1103)*100000000+('Dvd Calendar'!$AG$1105=SPECIAL_LBL)*10000000+(N('Dvd Calendar'!$AG$1099)&gt;0)*(N('Dvd Calendar'!$AG$1099)&lt;=VAL_SERIAL)*1000000+100*1000+29))</f>
        <v/>
      </c>
      <c r="FH111" s="39">
        <f>IF(N('Dvd Calendar'!$AH$1100)=0,"",IF(('Dvd Calendar'!$AH$1100&gt;=GRID_FROM)*('Dvd Calendar'!$AH$1100&lt;=GRID_TO)*((('Dvd Calendar'!$AH$1100&lt;=VAL_DATE)+(COUNTIF('Dvd Calendar'!$E$1107:$AR$1107,'Dvd Calendar'!$AH$1100)=0))&gt;0)=0,"",'Dvd Calendar'!$AH$1100*1000000000+ISNUMBER('Dvd Calendar'!$AH$1103)*100000000+('Dvd Calendar'!$AH$1105=SPECIAL_LBL)*10000000+(N('Dvd Calendar'!$AH$1099)&gt;0)*(N('Dvd Calendar'!$AH$1099)&lt;=VAL_SERIAL)*1000000+100*1000+30))</f>
        <v/>
      </c>
      <c r="FI111" s="39">
        <f>IF(N('Dvd Calendar'!$AI$1100)=0,"",IF(('Dvd Calendar'!$AI$1100&gt;=GRID_FROM)*('Dvd Calendar'!$AI$1100&lt;=GRID_TO)*((('Dvd Calendar'!$AI$1100&lt;=VAL_DATE)+(COUNTIF('Dvd Calendar'!$E$1107:$AR$1107,'Dvd Calendar'!$AI$1100)=0))&gt;0)=0,"",'Dvd Calendar'!$AI$1100*1000000000+ISNUMBER('Dvd Calendar'!$AI$1103)*100000000+('Dvd Calendar'!$AI$1105=SPECIAL_LBL)*10000000+(N('Dvd Calendar'!$AI$1099)&gt;0)*(N('Dvd Calendar'!$AI$1099)&lt;=VAL_SERIAL)*1000000+100*1000+31))</f>
        <v/>
      </c>
      <c r="FJ111" s="39">
        <f>IF(N('Dvd Calendar'!$AJ$1100)=0,"",IF(('Dvd Calendar'!$AJ$1100&gt;=GRID_FROM)*('Dvd Calendar'!$AJ$1100&lt;=GRID_TO)*((('Dvd Calendar'!$AJ$1100&lt;=VAL_DATE)+(COUNTIF('Dvd Calendar'!$E$1107:$AR$1107,'Dvd Calendar'!$AJ$1100)=0))&gt;0)=0,"",'Dvd Calendar'!$AJ$1100*1000000000+ISNUMBER('Dvd Calendar'!$AJ$1103)*100000000+('Dvd Calendar'!$AJ$1105=SPECIAL_LBL)*10000000+(N('Dvd Calendar'!$AJ$1099)&gt;0)*(N('Dvd Calendar'!$AJ$1099)&lt;=VAL_SERIAL)*1000000+100*1000+32))</f>
        <v/>
      </c>
      <c r="FK111" s="39">
        <f>IF(N('Dvd Calendar'!$AK$1100)=0,"",IF(('Dvd Calendar'!$AK$1100&gt;=GRID_FROM)*('Dvd Calendar'!$AK$1100&lt;=GRID_TO)*((('Dvd Calendar'!$AK$1100&lt;=VAL_DATE)+(COUNTIF('Dvd Calendar'!$E$1107:$AR$1107,'Dvd Calendar'!$AK$1100)=0))&gt;0)=0,"",'Dvd Calendar'!$AK$1100*1000000000+ISNUMBER('Dvd Calendar'!$AK$1103)*100000000+('Dvd Calendar'!$AK$1105=SPECIAL_LBL)*10000000+(N('Dvd Calendar'!$AK$1099)&gt;0)*(N('Dvd Calendar'!$AK$1099)&lt;=VAL_SERIAL)*1000000+100*1000+33))</f>
        <v/>
      </c>
      <c r="FL111" s="39">
        <f>IF(N('Dvd Calendar'!$AL$1100)=0,"",IF(('Dvd Calendar'!$AL$1100&gt;=GRID_FROM)*('Dvd Calendar'!$AL$1100&lt;=GRID_TO)*((('Dvd Calendar'!$AL$1100&lt;=VAL_DATE)+(COUNTIF('Dvd Calendar'!$E$1107:$AR$1107,'Dvd Calendar'!$AL$1100)=0))&gt;0)=0,"",'Dvd Calendar'!$AL$1100*1000000000+ISNUMBER('Dvd Calendar'!$AL$1103)*100000000+('Dvd Calendar'!$AL$1105=SPECIAL_LBL)*10000000+(N('Dvd Calendar'!$AL$1099)&gt;0)*(N('Dvd Calendar'!$AL$1099)&lt;=VAL_SERIAL)*1000000+100*1000+34))</f>
        <v/>
      </c>
      <c r="FM111" s="39">
        <f>IF(N('Dvd Calendar'!$AM$1100)=0,"",IF(('Dvd Calendar'!$AM$1100&gt;=GRID_FROM)*('Dvd Calendar'!$AM$1100&lt;=GRID_TO)*((('Dvd Calendar'!$AM$1100&lt;=VAL_DATE)+(COUNTIF('Dvd Calendar'!$E$1107:$AR$1107,'Dvd Calendar'!$AM$1100)=0))&gt;0)=0,"",'Dvd Calendar'!$AM$1100*1000000000+ISNUMBER('Dvd Calendar'!$AM$1103)*100000000+('Dvd Calendar'!$AM$1105=SPECIAL_LBL)*10000000+(N('Dvd Calendar'!$AM$1099)&gt;0)*(N('Dvd Calendar'!$AM$1099)&lt;=VAL_SERIAL)*1000000+100*1000+35))</f>
        <v/>
      </c>
      <c r="FN111" s="39">
        <f>IF(N('Dvd Calendar'!$AN$1100)=0,"",IF(('Dvd Calendar'!$AN$1100&gt;=GRID_FROM)*('Dvd Calendar'!$AN$1100&lt;=GRID_TO)*((('Dvd Calendar'!$AN$1100&lt;=VAL_DATE)+(COUNTIF('Dvd Calendar'!$E$1107:$AR$1107,'Dvd Calendar'!$AN$1100)=0))&gt;0)=0,"",'Dvd Calendar'!$AN$1100*1000000000+ISNUMBER('Dvd Calendar'!$AN$1103)*100000000+('Dvd Calendar'!$AN$1105=SPECIAL_LBL)*10000000+(N('Dvd Calendar'!$AN$1099)&gt;0)*(N('Dvd Calendar'!$AN$1099)&lt;=VAL_SERIAL)*1000000+100*1000+36))</f>
        <v/>
      </c>
      <c r="FO111" s="39">
        <f>IF(N('Dvd Calendar'!$AO$1100)=0,"",IF(('Dvd Calendar'!$AO$1100&gt;=GRID_FROM)*('Dvd Calendar'!$AO$1100&lt;=GRID_TO)*((('Dvd Calendar'!$AO$1100&lt;=VAL_DATE)+(COUNTIF('Dvd Calendar'!$E$1107:$AR$1107,'Dvd Calendar'!$AO$1100)=0))&gt;0)=0,"",'Dvd Calendar'!$AO$1100*1000000000+ISNUMBER('Dvd Calendar'!$AO$1103)*100000000+('Dvd Calendar'!$AO$1105=SPECIAL_LBL)*10000000+(N('Dvd Calendar'!$AO$1099)&gt;0)*(N('Dvd Calendar'!$AO$1099)&lt;=VAL_SERIAL)*1000000+100*1000+37))</f>
        <v/>
      </c>
      <c r="FP111" s="39">
        <f>IF(N('Dvd Calendar'!$AP$1100)=0,"",IF(('Dvd Calendar'!$AP$1100&gt;=GRID_FROM)*('Dvd Calendar'!$AP$1100&lt;=GRID_TO)*((('Dvd Calendar'!$AP$1100&lt;=VAL_DATE)+(COUNTIF('Dvd Calendar'!$E$1107:$AR$1107,'Dvd Calendar'!$AP$1100)=0))&gt;0)=0,"",'Dvd Calendar'!$AP$1100*1000000000+ISNUMBER('Dvd Calendar'!$AP$1103)*100000000+('Dvd Calendar'!$AP$1105=SPECIAL_LBL)*10000000+(N('Dvd Calendar'!$AP$1099)&gt;0)*(N('Dvd Calendar'!$AP$1099)&lt;=VAL_SERIAL)*1000000+100*1000+38))</f>
        <v/>
      </c>
      <c r="FQ111" s="39">
        <f>IF(N('Dvd Calendar'!$AQ$1100)=0,"",IF(('Dvd Calendar'!$AQ$1100&gt;=GRID_FROM)*('Dvd Calendar'!$AQ$1100&lt;=GRID_TO)*((('Dvd Calendar'!$AQ$1100&lt;=VAL_DATE)+(COUNTIF('Dvd Calendar'!$E$1107:$AR$1107,'Dvd Calendar'!$AQ$1100)=0))&gt;0)=0,"",'Dvd Calendar'!$AQ$1100*1000000000+ISNUMBER('Dvd Calendar'!$AQ$1103)*100000000+('Dvd Calendar'!$AQ$1105=SPECIAL_LBL)*10000000+(N('Dvd Calendar'!$AQ$1099)&gt;0)*(N('Dvd Calendar'!$AQ$1099)&lt;=VAL_SERIAL)*1000000+100*1000+39))</f>
        <v/>
      </c>
      <c r="FR111" s="39">
        <f>IF(N('Dvd Calendar'!$AR$1100)=0,"",IF(('Dvd Calendar'!$AR$1100&gt;=GRID_FROM)*('Dvd Calendar'!$AR$1100&lt;=GRID_TO)*((('Dvd Calendar'!$AR$1100&lt;=VAL_DATE)+(COUNTIF('Dvd Calendar'!$E$1107:$AR$1107,'Dvd Calendar'!$AR$1100)=0))&gt;0)=0,"",'Dvd Calendar'!$AR$1100*1000000000+ISNUMBER('Dvd Calendar'!$AR$1103)*100000000+('Dvd Calendar'!$AR$1105=SPECIAL_LBL)*10000000+(N('Dvd Calendar'!$AR$1099)&gt;0)*(N('Dvd Calendar'!$AR$1099)&lt;=VAL_SERIAL)*1000000+100*1000+40))</f>
        <v/>
      </c>
      <c r="FS111" s="39">
        <f>IF(N('Dvd Calendar'!$E$1107)=0,"",IF(('Dvd Calendar'!$E$1107&gt;=GRID_FROM)*('Dvd Calendar'!$E$1107&lt;=GRID_TO)*('Dvd Calendar'!$E$1107&gt;VAL_DATE)=0,"",'Dvd Calendar'!$E$1107*1000000000+ISNUMBER('Dvd Calendar'!$E$1108)*100000000+0*10000000+(N('Dvd Calendar'!$E$1106)&gt;0)*(N('Dvd Calendar'!$E$1106)&lt;=VAL_SERIAL)*1000000+100*1000+41))</f>
        <v/>
      </c>
      <c r="FT111" s="39">
        <f>IF(N('Dvd Calendar'!$F$1107)=0,"",IF(('Dvd Calendar'!$F$1107&gt;=GRID_FROM)*('Dvd Calendar'!$F$1107&lt;=GRID_TO)*('Dvd Calendar'!$F$1107&gt;VAL_DATE)=0,"",'Dvd Calendar'!$F$1107*1000000000+ISNUMBER('Dvd Calendar'!$F$1108)*100000000+0*10000000+(N('Dvd Calendar'!$F$1106)&gt;0)*(N('Dvd Calendar'!$F$1106)&lt;=VAL_SERIAL)*1000000+100*1000+42))</f>
        <v/>
      </c>
      <c r="FU111" s="39">
        <f>IF(N('Dvd Calendar'!$G$1107)=0,"",IF(('Dvd Calendar'!$G$1107&gt;=GRID_FROM)*('Dvd Calendar'!$G$1107&lt;=GRID_TO)*('Dvd Calendar'!$G$1107&gt;VAL_DATE)=0,"",'Dvd Calendar'!$G$1107*1000000000+ISNUMBER('Dvd Calendar'!$G$1108)*100000000+0*10000000+(N('Dvd Calendar'!$G$1106)&gt;0)*(N('Dvd Calendar'!$G$1106)&lt;=VAL_SERIAL)*1000000+100*1000+43))</f>
        <v/>
      </c>
      <c r="FV111" s="39">
        <f>IF(N('Dvd Calendar'!$H$1107)=0,"",IF(('Dvd Calendar'!$H$1107&gt;=GRID_FROM)*('Dvd Calendar'!$H$1107&lt;=GRID_TO)*('Dvd Calendar'!$H$1107&gt;VAL_DATE)=0,"",'Dvd Calendar'!$H$1107*1000000000+ISNUMBER('Dvd Calendar'!$H$1108)*100000000+0*10000000+(N('Dvd Calendar'!$H$1106)&gt;0)*(N('Dvd Calendar'!$H$1106)&lt;=VAL_SERIAL)*1000000+100*1000+44))</f>
        <v/>
      </c>
      <c r="FW111" s="39">
        <f>IF(N('Dvd Calendar'!$I$1107)=0,"",IF(('Dvd Calendar'!$I$1107&gt;=GRID_FROM)*('Dvd Calendar'!$I$1107&lt;=GRID_TO)*('Dvd Calendar'!$I$1107&gt;VAL_DATE)=0,"",'Dvd Calendar'!$I$1107*1000000000+ISNUMBER('Dvd Calendar'!$I$1108)*100000000+0*10000000+(N('Dvd Calendar'!$I$1106)&gt;0)*(N('Dvd Calendar'!$I$1106)&lt;=VAL_SERIAL)*1000000+100*1000+45))</f>
        <v/>
      </c>
      <c r="FX111" s="39">
        <f>IF(N('Dvd Calendar'!$J$1107)=0,"",IF(('Dvd Calendar'!$J$1107&gt;=GRID_FROM)*('Dvd Calendar'!$J$1107&lt;=GRID_TO)*('Dvd Calendar'!$J$1107&gt;VAL_DATE)=0,"",'Dvd Calendar'!$J$1107*1000000000+ISNUMBER('Dvd Calendar'!$J$1108)*100000000+0*10000000+(N('Dvd Calendar'!$J$1106)&gt;0)*(N('Dvd Calendar'!$J$1106)&lt;=VAL_SERIAL)*1000000+100*1000+46))</f>
        <v/>
      </c>
      <c r="FY111" s="39">
        <f>IF(N('Dvd Calendar'!$K$1107)=0,"",IF(('Dvd Calendar'!$K$1107&gt;=GRID_FROM)*('Dvd Calendar'!$K$1107&lt;=GRID_TO)*('Dvd Calendar'!$K$1107&gt;VAL_DATE)=0,"",'Dvd Calendar'!$K$1107*1000000000+ISNUMBER('Dvd Calendar'!$K$1108)*100000000+0*10000000+(N('Dvd Calendar'!$K$1106)&gt;0)*(N('Dvd Calendar'!$K$1106)&lt;=VAL_SERIAL)*1000000+100*1000+47))</f>
        <v/>
      </c>
      <c r="FZ111" s="39">
        <f>IF(N('Dvd Calendar'!$L$1107)=0,"",IF(('Dvd Calendar'!$L$1107&gt;=GRID_FROM)*('Dvd Calendar'!$L$1107&lt;=GRID_TO)*('Dvd Calendar'!$L$1107&gt;VAL_DATE)=0,"",'Dvd Calendar'!$L$1107*1000000000+ISNUMBER('Dvd Calendar'!$L$1108)*100000000+0*10000000+(N('Dvd Calendar'!$L$1106)&gt;0)*(N('Dvd Calendar'!$L$1106)&lt;=VAL_SERIAL)*1000000+100*1000+48))</f>
        <v/>
      </c>
      <c r="GA111" s="39">
        <f>IF(N('Dvd Calendar'!$M$1107)=0,"",IF(('Dvd Calendar'!$M$1107&gt;=GRID_FROM)*('Dvd Calendar'!$M$1107&lt;=GRID_TO)*('Dvd Calendar'!$M$1107&gt;VAL_DATE)=0,"",'Dvd Calendar'!$M$1107*1000000000+ISNUMBER('Dvd Calendar'!$M$1108)*100000000+0*10000000+(N('Dvd Calendar'!$M$1106)&gt;0)*(N('Dvd Calendar'!$M$1106)&lt;=VAL_SERIAL)*1000000+100*1000+49))</f>
        <v/>
      </c>
      <c r="GB111" s="39">
        <f>IF(N('Dvd Calendar'!$N$1107)=0,"",IF(('Dvd Calendar'!$N$1107&gt;=GRID_FROM)*('Dvd Calendar'!$N$1107&lt;=GRID_TO)*('Dvd Calendar'!$N$1107&gt;VAL_DATE)=0,"",'Dvd Calendar'!$N$1107*1000000000+ISNUMBER('Dvd Calendar'!$N$1108)*100000000+0*10000000+(N('Dvd Calendar'!$N$1106)&gt;0)*(N('Dvd Calendar'!$N$1106)&lt;=VAL_SERIAL)*1000000+100*1000+50))</f>
        <v/>
      </c>
      <c r="GC111" s="39">
        <f>IF(N('Dvd Calendar'!$O$1107)=0,"",IF(('Dvd Calendar'!$O$1107&gt;=GRID_FROM)*('Dvd Calendar'!$O$1107&lt;=GRID_TO)*('Dvd Calendar'!$O$1107&gt;VAL_DATE)=0,"",'Dvd Calendar'!$O$1107*1000000000+ISNUMBER('Dvd Calendar'!$O$1108)*100000000+0*10000000+(N('Dvd Calendar'!$O$1106)&gt;0)*(N('Dvd Calendar'!$O$1106)&lt;=VAL_SERIAL)*1000000+100*1000+51))</f>
        <v/>
      </c>
      <c r="GD111" s="39">
        <f>IF(N('Dvd Calendar'!$P$1107)=0,"",IF(('Dvd Calendar'!$P$1107&gt;=GRID_FROM)*('Dvd Calendar'!$P$1107&lt;=GRID_TO)*('Dvd Calendar'!$P$1107&gt;VAL_DATE)=0,"",'Dvd Calendar'!$P$1107*1000000000+ISNUMBER('Dvd Calendar'!$P$1108)*100000000+0*10000000+(N('Dvd Calendar'!$P$1106)&gt;0)*(N('Dvd Calendar'!$P$1106)&lt;=VAL_SERIAL)*1000000+100*1000+52))</f>
        <v/>
      </c>
      <c r="GE111" s="39">
        <f>IF(N('Dvd Calendar'!$Q$1107)=0,"",IF(('Dvd Calendar'!$Q$1107&gt;=GRID_FROM)*('Dvd Calendar'!$Q$1107&lt;=GRID_TO)*('Dvd Calendar'!$Q$1107&gt;VAL_DATE)=0,"",'Dvd Calendar'!$Q$1107*1000000000+ISNUMBER('Dvd Calendar'!$Q$1108)*100000000+0*10000000+(N('Dvd Calendar'!$Q$1106)&gt;0)*(N('Dvd Calendar'!$Q$1106)&lt;=VAL_SERIAL)*1000000+100*1000+53))</f>
        <v/>
      </c>
      <c r="GF111" s="39">
        <f>IF(N('Dvd Calendar'!$R$1107)=0,"",IF(('Dvd Calendar'!$R$1107&gt;=GRID_FROM)*('Dvd Calendar'!$R$1107&lt;=GRID_TO)*('Dvd Calendar'!$R$1107&gt;VAL_DATE)=0,"",'Dvd Calendar'!$R$1107*1000000000+ISNUMBER('Dvd Calendar'!$R$1108)*100000000+0*10000000+(N('Dvd Calendar'!$R$1106)&gt;0)*(N('Dvd Calendar'!$R$1106)&lt;=VAL_SERIAL)*1000000+100*1000+54))</f>
        <v/>
      </c>
      <c r="GG111" s="39">
        <f>IF(N('Dvd Calendar'!$S$1107)=0,"",IF(('Dvd Calendar'!$S$1107&gt;=GRID_FROM)*('Dvd Calendar'!$S$1107&lt;=GRID_TO)*('Dvd Calendar'!$S$1107&gt;VAL_DATE)=0,"",'Dvd Calendar'!$S$1107*1000000000+ISNUMBER('Dvd Calendar'!$S$1108)*100000000+0*10000000+(N('Dvd Calendar'!$S$1106)&gt;0)*(N('Dvd Calendar'!$S$1106)&lt;=VAL_SERIAL)*1000000+100*1000+55))</f>
        <v/>
      </c>
      <c r="GH111" s="39">
        <f>IF(N('Dvd Calendar'!$T$1107)=0,"",IF(('Dvd Calendar'!$T$1107&gt;=GRID_FROM)*('Dvd Calendar'!$T$1107&lt;=GRID_TO)*('Dvd Calendar'!$T$1107&gt;VAL_DATE)=0,"",'Dvd Calendar'!$T$1107*1000000000+ISNUMBER('Dvd Calendar'!$T$1108)*100000000+0*10000000+(N('Dvd Calendar'!$T$1106)&gt;0)*(N('Dvd Calendar'!$T$1106)&lt;=VAL_SERIAL)*1000000+100*1000+56))</f>
        <v/>
      </c>
      <c r="GI111" s="39">
        <f>IF(N('Dvd Calendar'!$U$1107)=0,"",IF(('Dvd Calendar'!$U$1107&gt;=GRID_FROM)*('Dvd Calendar'!$U$1107&lt;=GRID_TO)*('Dvd Calendar'!$U$1107&gt;VAL_DATE)=0,"",'Dvd Calendar'!$U$1107*1000000000+ISNUMBER('Dvd Calendar'!$U$1108)*100000000+0*10000000+(N('Dvd Calendar'!$U$1106)&gt;0)*(N('Dvd Calendar'!$U$1106)&lt;=VAL_SERIAL)*1000000+100*1000+57))</f>
        <v/>
      </c>
      <c r="GJ111" s="39">
        <f>IF(N('Dvd Calendar'!$V$1107)=0,"",IF(('Dvd Calendar'!$V$1107&gt;=GRID_FROM)*('Dvd Calendar'!$V$1107&lt;=GRID_TO)*('Dvd Calendar'!$V$1107&gt;VAL_DATE)=0,"",'Dvd Calendar'!$V$1107*1000000000+ISNUMBER('Dvd Calendar'!$V$1108)*100000000+0*10000000+(N('Dvd Calendar'!$V$1106)&gt;0)*(N('Dvd Calendar'!$V$1106)&lt;=VAL_SERIAL)*1000000+100*1000+58))</f>
        <v/>
      </c>
      <c r="GK111" s="39">
        <f>IF(N('Dvd Calendar'!$W$1107)=0,"",IF(('Dvd Calendar'!$W$1107&gt;=GRID_FROM)*('Dvd Calendar'!$W$1107&lt;=GRID_TO)*('Dvd Calendar'!$W$1107&gt;VAL_DATE)=0,"",'Dvd Calendar'!$W$1107*1000000000+ISNUMBER('Dvd Calendar'!$W$1108)*100000000+0*10000000+(N('Dvd Calendar'!$W$1106)&gt;0)*(N('Dvd Calendar'!$W$1106)&lt;=VAL_SERIAL)*1000000+100*1000+59))</f>
        <v/>
      </c>
      <c r="GL111" s="39">
        <f>IF(N('Dvd Calendar'!$X$1107)=0,"",IF(('Dvd Calendar'!$X$1107&gt;=GRID_FROM)*('Dvd Calendar'!$X$1107&lt;=GRID_TO)*('Dvd Calendar'!$X$1107&gt;VAL_DATE)=0,"",'Dvd Calendar'!$X$1107*1000000000+ISNUMBER('Dvd Calendar'!$X$1108)*100000000+0*10000000+(N('Dvd Calendar'!$X$1106)&gt;0)*(N('Dvd Calendar'!$X$1106)&lt;=VAL_SERIAL)*1000000+100*1000+60))</f>
        <v/>
      </c>
      <c r="GM111" s="39">
        <f>IF(N('Dvd Calendar'!$Y$1107)=0,"",IF(('Dvd Calendar'!$Y$1107&gt;=GRID_FROM)*('Dvd Calendar'!$Y$1107&lt;=GRID_TO)*('Dvd Calendar'!$Y$1107&gt;VAL_DATE)=0,"",'Dvd Calendar'!$Y$1107*1000000000+ISNUMBER('Dvd Calendar'!$Y$1108)*100000000+0*10000000+(N('Dvd Calendar'!$Y$1106)&gt;0)*(N('Dvd Calendar'!$Y$1106)&lt;=VAL_SERIAL)*1000000+100*1000+61))</f>
        <v/>
      </c>
      <c r="GN111" s="39">
        <f>IF(N('Dvd Calendar'!$Z$1107)=0,"",IF(('Dvd Calendar'!$Z$1107&gt;=GRID_FROM)*('Dvd Calendar'!$Z$1107&lt;=GRID_TO)*('Dvd Calendar'!$Z$1107&gt;VAL_DATE)=0,"",'Dvd Calendar'!$Z$1107*1000000000+ISNUMBER('Dvd Calendar'!$Z$1108)*100000000+0*10000000+(N('Dvd Calendar'!$Z$1106)&gt;0)*(N('Dvd Calendar'!$Z$1106)&lt;=VAL_SERIAL)*1000000+100*1000+62))</f>
        <v/>
      </c>
      <c r="GO111" s="39">
        <f>IF(N('Dvd Calendar'!$AA$1107)=0,"",IF(('Dvd Calendar'!$AA$1107&gt;=GRID_FROM)*('Dvd Calendar'!$AA$1107&lt;=GRID_TO)*('Dvd Calendar'!$AA$1107&gt;VAL_DATE)=0,"",'Dvd Calendar'!$AA$1107*1000000000+ISNUMBER('Dvd Calendar'!$AA$1108)*100000000+0*10000000+(N('Dvd Calendar'!$AA$1106)&gt;0)*(N('Dvd Calendar'!$AA$1106)&lt;=VAL_SERIAL)*1000000+100*1000+63))</f>
        <v/>
      </c>
      <c r="GP111" s="39">
        <f>IF(N('Dvd Calendar'!$AB$1107)=0,"",IF(('Dvd Calendar'!$AB$1107&gt;=GRID_FROM)*('Dvd Calendar'!$AB$1107&lt;=GRID_TO)*('Dvd Calendar'!$AB$1107&gt;VAL_DATE)=0,"",'Dvd Calendar'!$AB$1107*1000000000+ISNUMBER('Dvd Calendar'!$AB$1108)*100000000+0*10000000+(N('Dvd Calendar'!$AB$1106)&gt;0)*(N('Dvd Calendar'!$AB$1106)&lt;=VAL_SERIAL)*1000000+100*1000+64))</f>
        <v/>
      </c>
      <c r="GQ111" s="39">
        <f>IF(N('Dvd Calendar'!$AC$1107)=0,"",IF(('Dvd Calendar'!$AC$1107&gt;=GRID_FROM)*('Dvd Calendar'!$AC$1107&lt;=GRID_TO)*('Dvd Calendar'!$AC$1107&gt;VAL_DATE)=0,"",'Dvd Calendar'!$AC$1107*1000000000+ISNUMBER('Dvd Calendar'!$AC$1108)*100000000+0*10000000+(N('Dvd Calendar'!$AC$1106)&gt;0)*(N('Dvd Calendar'!$AC$1106)&lt;=VAL_SERIAL)*1000000+100*1000+65))</f>
        <v/>
      </c>
    </row>
    <row r="114">
      <c r="B114" s="6" t="inlineStr">
        <is>
          <t>Hang Seng TECH Index (HSTECH)  -  DPS per event  (slots 1-40 history, 41-65 projections)</t>
        </is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Q114" s="6" t="inlineStr">
        <is>
          <t>index points per event</t>
        </is>
      </c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E114" s="6" t="inlineStr">
        <is>
          <t>packed codes (blank on purpose - use the decoder)</t>
        </is>
      </c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</row>
    <row r="116">
      <c r="B116" s="2">
        <f>IF(HSTECH!$C$7="","",HSTECH!$C$7)</f>
        <v/>
      </c>
      <c r="C116" s="110">
        <f>IF(EE116="","",IF(ISNUMBER('Dvd Calendar'!$E$1119)=FALSE,"",IF((('Dvd Calendar'!$E$1121=TYPE1)*(TYPE1&lt;&gt;"")+('Dvd Calendar'!$E$1121=TYPE2)*(TYPE2&lt;&gt;"")+('Dvd Calendar'!$E$1121=TYPE3)*(TYPE3&lt;&gt;"")+('Dvd Calendar'!$E$1121=TYPE4)*(TYPE4&lt;&gt;"")+('Dvd Calendar'!$E$1121=SPECIAL_LBL)*(INC_SPECIALS="Y"))=0,"",'Dvd Calendar'!$E$1119)))</f>
        <v/>
      </c>
      <c r="D116" s="110">
        <f>IF(EF116="","",IF(ISNUMBER('Dvd Calendar'!$F$1119)=FALSE,"",IF((('Dvd Calendar'!$F$1121=TYPE1)*(TYPE1&lt;&gt;"")+('Dvd Calendar'!$F$1121=TYPE2)*(TYPE2&lt;&gt;"")+('Dvd Calendar'!$F$1121=TYPE3)*(TYPE3&lt;&gt;"")+('Dvd Calendar'!$F$1121=TYPE4)*(TYPE4&lt;&gt;"")+('Dvd Calendar'!$F$1121=SPECIAL_LBL)*(INC_SPECIALS="Y"))=0,"",'Dvd Calendar'!$F$1119)))</f>
        <v/>
      </c>
      <c r="E116" s="110">
        <f>IF(EG116="","",IF(ISNUMBER('Dvd Calendar'!$G$1119)=FALSE,"",IF((('Dvd Calendar'!$G$1121=TYPE1)*(TYPE1&lt;&gt;"")+('Dvd Calendar'!$G$1121=TYPE2)*(TYPE2&lt;&gt;"")+('Dvd Calendar'!$G$1121=TYPE3)*(TYPE3&lt;&gt;"")+('Dvd Calendar'!$G$1121=TYPE4)*(TYPE4&lt;&gt;"")+('Dvd Calendar'!$G$1121=SPECIAL_LBL)*(INC_SPECIALS="Y"))=0,"",'Dvd Calendar'!$G$1119)))</f>
        <v/>
      </c>
      <c r="F116" s="110">
        <f>IF(EH116="","",IF(ISNUMBER('Dvd Calendar'!$H$1119)=FALSE,"",IF((('Dvd Calendar'!$H$1121=TYPE1)*(TYPE1&lt;&gt;"")+('Dvd Calendar'!$H$1121=TYPE2)*(TYPE2&lt;&gt;"")+('Dvd Calendar'!$H$1121=TYPE3)*(TYPE3&lt;&gt;"")+('Dvd Calendar'!$H$1121=TYPE4)*(TYPE4&lt;&gt;"")+('Dvd Calendar'!$H$1121=SPECIAL_LBL)*(INC_SPECIALS="Y"))=0,"",'Dvd Calendar'!$H$1119)))</f>
        <v/>
      </c>
      <c r="G116" s="110">
        <f>IF(EI116="","",IF(ISNUMBER('Dvd Calendar'!$I$1119)=FALSE,"",IF((('Dvd Calendar'!$I$1121=TYPE1)*(TYPE1&lt;&gt;"")+('Dvd Calendar'!$I$1121=TYPE2)*(TYPE2&lt;&gt;"")+('Dvd Calendar'!$I$1121=TYPE3)*(TYPE3&lt;&gt;"")+('Dvd Calendar'!$I$1121=TYPE4)*(TYPE4&lt;&gt;"")+('Dvd Calendar'!$I$1121=SPECIAL_LBL)*(INC_SPECIALS="Y"))=0,"",'Dvd Calendar'!$I$1119)))</f>
        <v/>
      </c>
      <c r="H116" s="110">
        <f>IF(EJ116="","",IF(ISNUMBER('Dvd Calendar'!$J$1119)=FALSE,"",IF((('Dvd Calendar'!$J$1121=TYPE1)*(TYPE1&lt;&gt;"")+('Dvd Calendar'!$J$1121=TYPE2)*(TYPE2&lt;&gt;"")+('Dvd Calendar'!$J$1121=TYPE3)*(TYPE3&lt;&gt;"")+('Dvd Calendar'!$J$1121=TYPE4)*(TYPE4&lt;&gt;"")+('Dvd Calendar'!$J$1121=SPECIAL_LBL)*(INC_SPECIALS="Y"))=0,"",'Dvd Calendar'!$J$1119)))</f>
        <v/>
      </c>
      <c r="I116" s="110">
        <f>IF(EK116="","",IF(ISNUMBER('Dvd Calendar'!$K$1119)=FALSE,"",IF((('Dvd Calendar'!$K$1121=TYPE1)*(TYPE1&lt;&gt;"")+('Dvd Calendar'!$K$1121=TYPE2)*(TYPE2&lt;&gt;"")+('Dvd Calendar'!$K$1121=TYPE3)*(TYPE3&lt;&gt;"")+('Dvd Calendar'!$K$1121=TYPE4)*(TYPE4&lt;&gt;"")+('Dvd Calendar'!$K$1121=SPECIAL_LBL)*(INC_SPECIALS="Y"))=0,"",'Dvd Calendar'!$K$1119)))</f>
        <v/>
      </c>
      <c r="J116" s="110">
        <f>IF(EL116="","",IF(ISNUMBER('Dvd Calendar'!$L$1119)=FALSE,"",IF((('Dvd Calendar'!$L$1121=TYPE1)*(TYPE1&lt;&gt;"")+('Dvd Calendar'!$L$1121=TYPE2)*(TYPE2&lt;&gt;"")+('Dvd Calendar'!$L$1121=TYPE3)*(TYPE3&lt;&gt;"")+('Dvd Calendar'!$L$1121=TYPE4)*(TYPE4&lt;&gt;"")+('Dvd Calendar'!$L$1121=SPECIAL_LBL)*(INC_SPECIALS="Y"))=0,"",'Dvd Calendar'!$L$1119)))</f>
        <v/>
      </c>
      <c r="K116" s="110">
        <f>IF(EM116="","",IF(ISNUMBER('Dvd Calendar'!$M$1119)=FALSE,"",IF((('Dvd Calendar'!$M$1121=TYPE1)*(TYPE1&lt;&gt;"")+('Dvd Calendar'!$M$1121=TYPE2)*(TYPE2&lt;&gt;"")+('Dvd Calendar'!$M$1121=TYPE3)*(TYPE3&lt;&gt;"")+('Dvd Calendar'!$M$1121=TYPE4)*(TYPE4&lt;&gt;"")+('Dvd Calendar'!$M$1121=SPECIAL_LBL)*(INC_SPECIALS="Y"))=0,"",'Dvd Calendar'!$M$1119)))</f>
        <v/>
      </c>
      <c r="L116" s="110">
        <f>IF(EN116="","",IF(ISNUMBER('Dvd Calendar'!$N$1119)=FALSE,"",IF((('Dvd Calendar'!$N$1121=TYPE1)*(TYPE1&lt;&gt;"")+('Dvd Calendar'!$N$1121=TYPE2)*(TYPE2&lt;&gt;"")+('Dvd Calendar'!$N$1121=TYPE3)*(TYPE3&lt;&gt;"")+('Dvd Calendar'!$N$1121=TYPE4)*(TYPE4&lt;&gt;"")+('Dvd Calendar'!$N$1121=SPECIAL_LBL)*(INC_SPECIALS="Y"))=0,"",'Dvd Calendar'!$N$1119)))</f>
        <v/>
      </c>
      <c r="M116" s="110">
        <f>IF(EO116="","",IF(ISNUMBER('Dvd Calendar'!$O$1119)=FALSE,"",IF((('Dvd Calendar'!$O$1121=TYPE1)*(TYPE1&lt;&gt;"")+('Dvd Calendar'!$O$1121=TYPE2)*(TYPE2&lt;&gt;"")+('Dvd Calendar'!$O$1121=TYPE3)*(TYPE3&lt;&gt;"")+('Dvd Calendar'!$O$1121=TYPE4)*(TYPE4&lt;&gt;"")+('Dvd Calendar'!$O$1121=SPECIAL_LBL)*(INC_SPECIALS="Y"))=0,"",'Dvd Calendar'!$O$1119)))</f>
        <v/>
      </c>
      <c r="N116" s="110">
        <f>IF(EP116="","",IF(ISNUMBER('Dvd Calendar'!$P$1119)=FALSE,"",IF((('Dvd Calendar'!$P$1121=TYPE1)*(TYPE1&lt;&gt;"")+('Dvd Calendar'!$P$1121=TYPE2)*(TYPE2&lt;&gt;"")+('Dvd Calendar'!$P$1121=TYPE3)*(TYPE3&lt;&gt;"")+('Dvd Calendar'!$P$1121=TYPE4)*(TYPE4&lt;&gt;"")+('Dvd Calendar'!$P$1121=SPECIAL_LBL)*(INC_SPECIALS="Y"))=0,"",'Dvd Calendar'!$P$1119)))</f>
        <v/>
      </c>
      <c r="O116" s="110">
        <f>IF(EQ116="","",IF(ISNUMBER('Dvd Calendar'!$Q$1119)=FALSE,"",IF((('Dvd Calendar'!$Q$1121=TYPE1)*(TYPE1&lt;&gt;"")+('Dvd Calendar'!$Q$1121=TYPE2)*(TYPE2&lt;&gt;"")+('Dvd Calendar'!$Q$1121=TYPE3)*(TYPE3&lt;&gt;"")+('Dvd Calendar'!$Q$1121=TYPE4)*(TYPE4&lt;&gt;"")+('Dvd Calendar'!$Q$1121=SPECIAL_LBL)*(INC_SPECIALS="Y"))=0,"",'Dvd Calendar'!$Q$1119)))</f>
        <v/>
      </c>
      <c r="P116" s="110">
        <f>IF(ER116="","",IF(ISNUMBER('Dvd Calendar'!$R$1119)=FALSE,"",IF((('Dvd Calendar'!$R$1121=TYPE1)*(TYPE1&lt;&gt;"")+('Dvd Calendar'!$R$1121=TYPE2)*(TYPE2&lt;&gt;"")+('Dvd Calendar'!$R$1121=TYPE3)*(TYPE3&lt;&gt;"")+('Dvd Calendar'!$R$1121=TYPE4)*(TYPE4&lt;&gt;"")+('Dvd Calendar'!$R$1121=SPECIAL_LBL)*(INC_SPECIALS="Y"))=0,"",'Dvd Calendar'!$R$1119)))</f>
        <v/>
      </c>
      <c r="Q116" s="110">
        <f>IF(ES116="","",IF(ISNUMBER('Dvd Calendar'!$S$1119)=FALSE,"",IF((('Dvd Calendar'!$S$1121=TYPE1)*(TYPE1&lt;&gt;"")+('Dvd Calendar'!$S$1121=TYPE2)*(TYPE2&lt;&gt;"")+('Dvd Calendar'!$S$1121=TYPE3)*(TYPE3&lt;&gt;"")+('Dvd Calendar'!$S$1121=TYPE4)*(TYPE4&lt;&gt;"")+('Dvd Calendar'!$S$1121=SPECIAL_LBL)*(INC_SPECIALS="Y"))=0,"",'Dvd Calendar'!$S$1119)))</f>
        <v/>
      </c>
      <c r="R116" s="110">
        <f>IF(ET116="","",IF(ISNUMBER('Dvd Calendar'!$T$1119)=FALSE,"",IF((('Dvd Calendar'!$T$1121=TYPE1)*(TYPE1&lt;&gt;"")+('Dvd Calendar'!$T$1121=TYPE2)*(TYPE2&lt;&gt;"")+('Dvd Calendar'!$T$1121=TYPE3)*(TYPE3&lt;&gt;"")+('Dvd Calendar'!$T$1121=TYPE4)*(TYPE4&lt;&gt;"")+('Dvd Calendar'!$T$1121=SPECIAL_LBL)*(INC_SPECIALS="Y"))=0,"",'Dvd Calendar'!$T$1119)))</f>
        <v/>
      </c>
      <c r="S116" s="110">
        <f>IF(EU116="","",IF(ISNUMBER('Dvd Calendar'!$U$1119)=FALSE,"",IF((('Dvd Calendar'!$U$1121=TYPE1)*(TYPE1&lt;&gt;"")+('Dvd Calendar'!$U$1121=TYPE2)*(TYPE2&lt;&gt;"")+('Dvd Calendar'!$U$1121=TYPE3)*(TYPE3&lt;&gt;"")+('Dvd Calendar'!$U$1121=TYPE4)*(TYPE4&lt;&gt;"")+('Dvd Calendar'!$U$1121=SPECIAL_LBL)*(INC_SPECIALS="Y"))=0,"",'Dvd Calendar'!$U$1119)))</f>
        <v/>
      </c>
      <c r="T116" s="110">
        <f>IF(EV116="","",IF(ISNUMBER('Dvd Calendar'!$V$1119)=FALSE,"",IF((('Dvd Calendar'!$V$1121=TYPE1)*(TYPE1&lt;&gt;"")+('Dvd Calendar'!$V$1121=TYPE2)*(TYPE2&lt;&gt;"")+('Dvd Calendar'!$V$1121=TYPE3)*(TYPE3&lt;&gt;"")+('Dvd Calendar'!$V$1121=TYPE4)*(TYPE4&lt;&gt;"")+('Dvd Calendar'!$V$1121=SPECIAL_LBL)*(INC_SPECIALS="Y"))=0,"",'Dvd Calendar'!$V$1119)))</f>
        <v/>
      </c>
      <c r="U116" s="110">
        <f>IF(EW116="","",IF(ISNUMBER('Dvd Calendar'!$W$1119)=FALSE,"",IF((('Dvd Calendar'!$W$1121=TYPE1)*(TYPE1&lt;&gt;"")+('Dvd Calendar'!$W$1121=TYPE2)*(TYPE2&lt;&gt;"")+('Dvd Calendar'!$W$1121=TYPE3)*(TYPE3&lt;&gt;"")+('Dvd Calendar'!$W$1121=TYPE4)*(TYPE4&lt;&gt;"")+('Dvd Calendar'!$W$1121=SPECIAL_LBL)*(INC_SPECIALS="Y"))=0,"",'Dvd Calendar'!$W$1119)))</f>
        <v/>
      </c>
      <c r="V116" s="110">
        <f>IF(EX116="","",IF(ISNUMBER('Dvd Calendar'!$X$1119)=FALSE,"",IF((('Dvd Calendar'!$X$1121=TYPE1)*(TYPE1&lt;&gt;"")+('Dvd Calendar'!$X$1121=TYPE2)*(TYPE2&lt;&gt;"")+('Dvd Calendar'!$X$1121=TYPE3)*(TYPE3&lt;&gt;"")+('Dvd Calendar'!$X$1121=TYPE4)*(TYPE4&lt;&gt;"")+('Dvd Calendar'!$X$1121=SPECIAL_LBL)*(INC_SPECIALS="Y"))=0,"",'Dvd Calendar'!$X$1119)))</f>
        <v/>
      </c>
      <c r="W116" s="110">
        <f>IF(EY116="","",IF(ISNUMBER('Dvd Calendar'!$Y$1119)=FALSE,"",IF((('Dvd Calendar'!$Y$1121=TYPE1)*(TYPE1&lt;&gt;"")+('Dvd Calendar'!$Y$1121=TYPE2)*(TYPE2&lt;&gt;"")+('Dvd Calendar'!$Y$1121=TYPE3)*(TYPE3&lt;&gt;"")+('Dvd Calendar'!$Y$1121=TYPE4)*(TYPE4&lt;&gt;"")+('Dvd Calendar'!$Y$1121=SPECIAL_LBL)*(INC_SPECIALS="Y"))=0,"",'Dvd Calendar'!$Y$1119)))</f>
        <v/>
      </c>
      <c r="X116" s="110">
        <f>IF(EZ116="","",IF(ISNUMBER('Dvd Calendar'!$Z$1119)=FALSE,"",IF((('Dvd Calendar'!$Z$1121=TYPE1)*(TYPE1&lt;&gt;"")+('Dvd Calendar'!$Z$1121=TYPE2)*(TYPE2&lt;&gt;"")+('Dvd Calendar'!$Z$1121=TYPE3)*(TYPE3&lt;&gt;"")+('Dvd Calendar'!$Z$1121=TYPE4)*(TYPE4&lt;&gt;"")+('Dvd Calendar'!$Z$1121=SPECIAL_LBL)*(INC_SPECIALS="Y"))=0,"",'Dvd Calendar'!$Z$1119)))</f>
        <v/>
      </c>
      <c r="Y116" s="110">
        <f>IF(FA116="","",IF(ISNUMBER('Dvd Calendar'!$AA$1119)=FALSE,"",IF((('Dvd Calendar'!$AA$1121=TYPE1)*(TYPE1&lt;&gt;"")+('Dvd Calendar'!$AA$1121=TYPE2)*(TYPE2&lt;&gt;"")+('Dvd Calendar'!$AA$1121=TYPE3)*(TYPE3&lt;&gt;"")+('Dvd Calendar'!$AA$1121=TYPE4)*(TYPE4&lt;&gt;"")+('Dvd Calendar'!$AA$1121=SPECIAL_LBL)*(INC_SPECIALS="Y"))=0,"",'Dvd Calendar'!$AA$1119)))</f>
        <v/>
      </c>
      <c r="Z116" s="110">
        <f>IF(FB116="","",IF(ISNUMBER('Dvd Calendar'!$AB$1119)=FALSE,"",IF((('Dvd Calendar'!$AB$1121=TYPE1)*(TYPE1&lt;&gt;"")+('Dvd Calendar'!$AB$1121=TYPE2)*(TYPE2&lt;&gt;"")+('Dvd Calendar'!$AB$1121=TYPE3)*(TYPE3&lt;&gt;"")+('Dvd Calendar'!$AB$1121=TYPE4)*(TYPE4&lt;&gt;"")+('Dvd Calendar'!$AB$1121=SPECIAL_LBL)*(INC_SPECIALS="Y"))=0,"",'Dvd Calendar'!$AB$1119)))</f>
        <v/>
      </c>
      <c r="AA116" s="110">
        <f>IF(FC116="","",IF(ISNUMBER('Dvd Calendar'!$AC$1119)=FALSE,"",IF((('Dvd Calendar'!$AC$1121=TYPE1)*(TYPE1&lt;&gt;"")+('Dvd Calendar'!$AC$1121=TYPE2)*(TYPE2&lt;&gt;"")+('Dvd Calendar'!$AC$1121=TYPE3)*(TYPE3&lt;&gt;"")+('Dvd Calendar'!$AC$1121=TYPE4)*(TYPE4&lt;&gt;"")+('Dvd Calendar'!$AC$1121=SPECIAL_LBL)*(INC_SPECIALS="Y"))=0,"",'Dvd Calendar'!$AC$1119)))</f>
        <v/>
      </c>
      <c r="AB116" s="110">
        <f>IF(FD116="","",IF(ISNUMBER('Dvd Calendar'!$AD$1119)=FALSE,"",IF((('Dvd Calendar'!$AD$1121=TYPE1)*(TYPE1&lt;&gt;"")+('Dvd Calendar'!$AD$1121=TYPE2)*(TYPE2&lt;&gt;"")+('Dvd Calendar'!$AD$1121=TYPE3)*(TYPE3&lt;&gt;"")+('Dvd Calendar'!$AD$1121=TYPE4)*(TYPE4&lt;&gt;"")+('Dvd Calendar'!$AD$1121=SPECIAL_LBL)*(INC_SPECIALS="Y"))=0,"",'Dvd Calendar'!$AD$1119)))</f>
        <v/>
      </c>
      <c r="AC116" s="110">
        <f>IF(FE116="","",IF(ISNUMBER('Dvd Calendar'!$AE$1119)=FALSE,"",IF((('Dvd Calendar'!$AE$1121=TYPE1)*(TYPE1&lt;&gt;"")+('Dvd Calendar'!$AE$1121=TYPE2)*(TYPE2&lt;&gt;"")+('Dvd Calendar'!$AE$1121=TYPE3)*(TYPE3&lt;&gt;"")+('Dvd Calendar'!$AE$1121=TYPE4)*(TYPE4&lt;&gt;"")+('Dvd Calendar'!$AE$1121=SPECIAL_LBL)*(INC_SPECIALS="Y"))=0,"",'Dvd Calendar'!$AE$1119)))</f>
        <v/>
      </c>
      <c r="AD116" s="110">
        <f>IF(FF116="","",IF(ISNUMBER('Dvd Calendar'!$AF$1119)=FALSE,"",IF((('Dvd Calendar'!$AF$1121=TYPE1)*(TYPE1&lt;&gt;"")+('Dvd Calendar'!$AF$1121=TYPE2)*(TYPE2&lt;&gt;"")+('Dvd Calendar'!$AF$1121=TYPE3)*(TYPE3&lt;&gt;"")+('Dvd Calendar'!$AF$1121=TYPE4)*(TYPE4&lt;&gt;"")+('Dvd Calendar'!$AF$1121=SPECIAL_LBL)*(INC_SPECIALS="Y"))=0,"",'Dvd Calendar'!$AF$1119)))</f>
        <v/>
      </c>
      <c r="AE116" s="110">
        <f>IF(FG116="","",IF(ISNUMBER('Dvd Calendar'!$AG$1119)=FALSE,"",IF((('Dvd Calendar'!$AG$1121=TYPE1)*(TYPE1&lt;&gt;"")+('Dvd Calendar'!$AG$1121=TYPE2)*(TYPE2&lt;&gt;"")+('Dvd Calendar'!$AG$1121=TYPE3)*(TYPE3&lt;&gt;"")+('Dvd Calendar'!$AG$1121=TYPE4)*(TYPE4&lt;&gt;"")+('Dvd Calendar'!$AG$1121=SPECIAL_LBL)*(INC_SPECIALS="Y"))=0,"",'Dvd Calendar'!$AG$1119)))</f>
        <v/>
      </c>
      <c r="AF116" s="110">
        <f>IF(FH116="","",IF(ISNUMBER('Dvd Calendar'!$AH$1119)=FALSE,"",IF((('Dvd Calendar'!$AH$1121=TYPE1)*(TYPE1&lt;&gt;"")+('Dvd Calendar'!$AH$1121=TYPE2)*(TYPE2&lt;&gt;"")+('Dvd Calendar'!$AH$1121=TYPE3)*(TYPE3&lt;&gt;"")+('Dvd Calendar'!$AH$1121=TYPE4)*(TYPE4&lt;&gt;"")+('Dvd Calendar'!$AH$1121=SPECIAL_LBL)*(INC_SPECIALS="Y"))=0,"",'Dvd Calendar'!$AH$1119)))</f>
        <v/>
      </c>
      <c r="AG116" s="110">
        <f>IF(FI116="","",IF(ISNUMBER('Dvd Calendar'!$AI$1119)=FALSE,"",IF((('Dvd Calendar'!$AI$1121=TYPE1)*(TYPE1&lt;&gt;"")+('Dvd Calendar'!$AI$1121=TYPE2)*(TYPE2&lt;&gt;"")+('Dvd Calendar'!$AI$1121=TYPE3)*(TYPE3&lt;&gt;"")+('Dvd Calendar'!$AI$1121=TYPE4)*(TYPE4&lt;&gt;"")+('Dvd Calendar'!$AI$1121=SPECIAL_LBL)*(INC_SPECIALS="Y"))=0,"",'Dvd Calendar'!$AI$1119)))</f>
        <v/>
      </c>
      <c r="AH116" s="110">
        <f>IF(FJ116="","",IF(ISNUMBER('Dvd Calendar'!$AJ$1119)=FALSE,"",IF((('Dvd Calendar'!$AJ$1121=TYPE1)*(TYPE1&lt;&gt;"")+('Dvd Calendar'!$AJ$1121=TYPE2)*(TYPE2&lt;&gt;"")+('Dvd Calendar'!$AJ$1121=TYPE3)*(TYPE3&lt;&gt;"")+('Dvd Calendar'!$AJ$1121=TYPE4)*(TYPE4&lt;&gt;"")+('Dvd Calendar'!$AJ$1121=SPECIAL_LBL)*(INC_SPECIALS="Y"))=0,"",'Dvd Calendar'!$AJ$1119)))</f>
        <v/>
      </c>
      <c r="AI116" s="110">
        <f>IF(FK116="","",IF(ISNUMBER('Dvd Calendar'!$AK$1119)=FALSE,"",IF((('Dvd Calendar'!$AK$1121=TYPE1)*(TYPE1&lt;&gt;"")+('Dvd Calendar'!$AK$1121=TYPE2)*(TYPE2&lt;&gt;"")+('Dvd Calendar'!$AK$1121=TYPE3)*(TYPE3&lt;&gt;"")+('Dvd Calendar'!$AK$1121=TYPE4)*(TYPE4&lt;&gt;"")+('Dvd Calendar'!$AK$1121=SPECIAL_LBL)*(INC_SPECIALS="Y"))=0,"",'Dvd Calendar'!$AK$1119)))</f>
        <v/>
      </c>
      <c r="AJ116" s="110">
        <f>IF(FL116="","",IF(ISNUMBER('Dvd Calendar'!$AL$1119)=FALSE,"",IF((('Dvd Calendar'!$AL$1121=TYPE1)*(TYPE1&lt;&gt;"")+('Dvd Calendar'!$AL$1121=TYPE2)*(TYPE2&lt;&gt;"")+('Dvd Calendar'!$AL$1121=TYPE3)*(TYPE3&lt;&gt;"")+('Dvd Calendar'!$AL$1121=TYPE4)*(TYPE4&lt;&gt;"")+('Dvd Calendar'!$AL$1121=SPECIAL_LBL)*(INC_SPECIALS="Y"))=0,"",'Dvd Calendar'!$AL$1119)))</f>
        <v/>
      </c>
      <c r="AK116" s="110">
        <f>IF(FM116="","",IF(ISNUMBER('Dvd Calendar'!$AM$1119)=FALSE,"",IF((('Dvd Calendar'!$AM$1121=TYPE1)*(TYPE1&lt;&gt;"")+('Dvd Calendar'!$AM$1121=TYPE2)*(TYPE2&lt;&gt;"")+('Dvd Calendar'!$AM$1121=TYPE3)*(TYPE3&lt;&gt;"")+('Dvd Calendar'!$AM$1121=TYPE4)*(TYPE4&lt;&gt;"")+('Dvd Calendar'!$AM$1121=SPECIAL_LBL)*(INC_SPECIALS="Y"))=0,"",'Dvd Calendar'!$AM$1119)))</f>
        <v/>
      </c>
      <c r="AL116" s="110">
        <f>IF(FN116="","",IF(ISNUMBER('Dvd Calendar'!$AN$1119)=FALSE,"",IF((('Dvd Calendar'!$AN$1121=TYPE1)*(TYPE1&lt;&gt;"")+('Dvd Calendar'!$AN$1121=TYPE2)*(TYPE2&lt;&gt;"")+('Dvd Calendar'!$AN$1121=TYPE3)*(TYPE3&lt;&gt;"")+('Dvd Calendar'!$AN$1121=TYPE4)*(TYPE4&lt;&gt;"")+('Dvd Calendar'!$AN$1121=SPECIAL_LBL)*(INC_SPECIALS="Y"))=0,"",'Dvd Calendar'!$AN$1119)))</f>
        <v/>
      </c>
      <c r="AM116" s="110">
        <f>IF(FO116="","",IF(ISNUMBER('Dvd Calendar'!$AO$1119)=FALSE,"",IF((('Dvd Calendar'!$AO$1121=TYPE1)*(TYPE1&lt;&gt;"")+('Dvd Calendar'!$AO$1121=TYPE2)*(TYPE2&lt;&gt;"")+('Dvd Calendar'!$AO$1121=TYPE3)*(TYPE3&lt;&gt;"")+('Dvd Calendar'!$AO$1121=TYPE4)*(TYPE4&lt;&gt;"")+('Dvd Calendar'!$AO$1121=SPECIAL_LBL)*(INC_SPECIALS="Y"))=0,"",'Dvd Calendar'!$AO$1119)))</f>
        <v/>
      </c>
      <c r="AN116" s="110">
        <f>IF(FP116="","",IF(ISNUMBER('Dvd Calendar'!$AP$1119)=FALSE,"",IF((('Dvd Calendar'!$AP$1121=TYPE1)*(TYPE1&lt;&gt;"")+('Dvd Calendar'!$AP$1121=TYPE2)*(TYPE2&lt;&gt;"")+('Dvd Calendar'!$AP$1121=TYPE3)*(TYPE3&lt;&gt;"")+('Dvd Calendar'!$AP$1121=TYPE4)*(TYPE4&lt;&gt;"")+('Dvd Calendar'!$AP$1121=SPECIAL_LBL)*(INC_SPECIALS="Y"))=0,"",'Dvd Calendar'!$AP$1119)))</f>
        <v/>
      </c>
      <c r="AO116" s="110">
        <f>IF(FQ116="","",IF(ISNUMBER('Dvd Calendar'!$AQ$1119)=FALSE,"",IF((('Dvd Calendar'!$AQ$1121=TYPE1)*(TYPE1&lt;&gt;"")+('Dvd Calendar'!$AQ$1121=TYPE2)*(TYPE2&lt;&gt;"")+('Dvd Calendar'!$AQ$1121=TYPE3)*(TYPE3&lt;&gt;"")+('Dvd Calendar'!$AQ$1121=TYPE4)*(TYPE4&lt;&gt;"")+('Dvd Calendar'!$AQ$1121=SPECIAL_LBL)*(INC_SPECIALS="Y"))=0,"",'Dvd Calendar'!$AQ$1119)))</f>
        <v/>
      </c>
      <c r="AP116" s="110">
        <f>IF(FR116="","",IF(ISNUMBER('Dvd Calendar'!$AR$1119)=FALSE,"",IF((('Dvd Calendar'!$AR$1121=TYPE1)*(TYPE1&lt;&gt;"")+('Dvd Calendar'!$AR$1121=TYPE2)*(TYPE2&lt;&gt;"")+('Dvd Calendar'!$AR$1121=TYPE3)*(TYPE3&lt;&gt;"")+('Dvd Calendar'!$AR$1121=TYPE4)*(TYPE4&lt;&gt;"")+('Dvd Calendar'!$AR$1121=SPECIAL_LBL)*(INC_SPECIALS="Y"))=0,"",'Dvd Calendar'!$AR$1119)))</f>
        <v/>
      </c>
      <c r="AQ116" s="110">
        <f>IF(FS116="","",IF(ISNUMBER('Dvd Calendar'!$E$1124)=FALSE,"",'Dvd Calendar'!$E$1124))</f>
        <v/>
      </c>
      <c r="AR116" s="110">
        <f>IF(FT116="","",IF(ISNUMBER('Dvd Calendar'!$F$1124)=FALSE,"",'Dvd Calendar'!$F$1124))</f>
        <v/>
      </c>
      <c r="AS116" s="110">
        <f>IF(FU116="","",IF(ISNUMBER('Dvd Calendar'!$G$1124)=FALSE,"",'Dvd Calendar'!$G$1124))</f>
        <v/>
      </c>
      <c r="AT116" s="110">
        <f>IF(FV116="","",IF(ISNUMBER('Dvd Calendar'!$H$1124)=FALSE,"",'Dvd Calendar'!$H$1124))</f>
        <v/>
      </c>
      <c r="AU116" s="110">
        <f>IF(FW116="","",IF(ISNUMBER('Dvd Calendar'!$I$1124)=FALSE,"",'Dvd Calendar'!$I$1124))</f>
        <v/>
      </c>
      <c r="AV116" s="110">
        <f>IF(FX116="","",IF(ISNUMBER('Dvd Calendar'!$J$1124)=FALSE,"",'Dvd Calendar'!$J$1124))</f>
        <v/>
      </c>
      <c r="AW116" s="110">
        <f>IF(FY116="","",IF(ISNUMBER('Dvd Calendar'!$K$1124)=FALSE,"",'Dvd Calendar'!$K$1124))</f>
        <v/>
      </c>
      <c r="AX116" s="110">
        <f>IF(FZ116="","",IF(ISNUMBER('Dvd Calendar'!$L$1124)=FALSE,"",'Dvd Calendar'!$L$1124))</f>
        <v/>
      </c>
      <c r="AY116" s="110">
        <f>IF(GA116="","",IF(ISNUMBER('Dvd Calendar'!$M$1124)=FALSE,"",'Dvd Calendar'!$M$1124))</f>
        <v/>
      </c>
      <c r="AZ116" s="110">
        <f>IF(GB116="","",IF(ISNUMBER('Dvd Calendar'!$N$1124)=FALSE,"",'Dvd Calendar'!$N$1124))</f>
        <v/>
      </c>
      <c r="BA116" s="110">
        <f>IF(GC116="","",IF(ISNUMBER('Dvd Calendar'!$O$1124)=FALSE,"",'Dvd Calendar'!$O$1124))</f>
        <v/>
      </c>
      <c r="BB116" s="110">
        <f>IF(GD116="","",IF(ISNUMBER('Dvd Calendar'!$P$1124)=FALSE,"",'Dvd Calendar'!$P$1124))</f>
        <v/>
      </c>
      <c r="BC116" s="110">
        <f>IF(GE116="","",IF(ISNUMBER('Dvd Calendar'!$Q$1124)=FALSE,"",'Dvd Calendar'!$Q$1124))</f>
        <v/>
      </c>
      <c r="BD116" s="110">
        <f>IF(GF116="","",IF(ISNUMBER('Dvd Calendar'!$R$1124)=FALSE,"",'Dvd Calendar'!$R$1124))</f>
        <v/>
      </c>
      <c r="BE116" s="110">
        <f>IF(GG116="","",IF(ISNUMBER('Dvd Calendar'!$S$1124)=FALSE,"",'Dvd Calendar'!$S$1124))</f>
        <v/>
      </c>
      <c r="BF116" s="110">
        <f>IF(GH116="","",IF(ISNUMBER('Dvd Calendar'!$T$1124)=FALSE,"",'Dvd Calendar'!$T$1124))</f>
        <v/>
      </c>
      <c r="BG116" s="110">
        <f>IF(GI116="","",IF(ISNUMBER('Dvd Calendar'!$U$1124)=FALSE,"",'Dvd Calendar'!$U$1124))</f>
        <v/>
      </c>
      <c r="BH116" s="110">
        <f>IF(GJ116="","",IF(ISNUMBER('Dvd Calendar'!$V$1124)=FALSE,"",'Dvd Calendar'!$V$1124))</f>
        <v/>
      </c>
      <c r="BI116" s="110">
        <f>IF(GK116="","",IF(ISNUMBER('Dvd Calendar'!$W$1124)=FALSE,"",'Dvd Calendar'!$W$1124))</f>
        <v/>
      </c>
      <c r="BJ116" s="110">
        <f>IF(GL116="","",IF(ISNUMBER('Dvd Calendar'!$X$1124)=FALSE,"",'Dvd Calendar'!$X$1124))</f>
        <v/>
      </c>
      <c r="BK116" s="110">
        <f>IF(GM116="","",IF(ISNUMBER('Dvd Calendar'!$Y$1124)=FALSE,"",'Dvd Calendar'!$Y$1124))</f>
        <v/>
      </c>
      <c r="BL116" s="110">
        <f>IF(GN116="","",IF(ISNUMBER('Dvd Calendar'!$Z$1124)=FALSE,"",'Dvd Calendar'!$Z$1124))</f>
        <v/>
      </c>
      <c r="BM116" s="110">
        <f>IF(GO116="","",IF(ISNUMBER('Dvd Calendar'!$AA$1124)=FALSE,"",'Dvd Calendar'!$AA$1124))</f>
        <v/>
      </c>
      <c r="BN116" s="110">
        <f>IF(GP116="","",IF(ISNUMBER('Dvd Calendar'!$AB$1124)=FALSE,"",'Dvd Calendar'!$AB$1124))</f>
        <v/>
      </c>
      <c r="BO116" s="110">
        <f>IF(GQ116="","",IF(ISNUMBER('Dvd Calendar'!$AC$1124)=FALSE,"",'Dvd Calendar'!$AC$1124))</f>
        <v/>
      </c>
      <c r="BQ116" s="110">
        <f>IF(C116="","",IFERROR(C116*HSTECH!$B$7*HSTECH!$G$7/HSTECH!$B$3,""))</f>
        <v/>
      </c>
      <c r="BR116" s="110">
        <f>IF(D116="","",IFERROR(D116*HSTECH!$B$7*HSTECH!$G$7/HSTECH!$B$3,""))</f>
        <v/>
      </c>
      <c r="BS116" s="110">
        <f>IF(E116="","",IFERROR(E116*HSTECH!$B$7*HSTECH!$G$7/HSTECH!$B$3,""))</f>
        <v/>
      </c>
      <c r="BT116" s="110">
        <f>IF(F116="","",IFERROR(F116*HSTECH!$B$7*HSTECH!$G$7/HSTECH!$B$3,""))</f>
        <v/>
      </c>
      <c r="BU116" s="110">
        <f>IF(G116="","",IFERROR(G116*HSTECH!$B$7*HSTECH!$G$7/HSTECH!$B$3,""))</f>
        <v/>
      </c>
      <c r="BV116" s="110">
        <f>IF(H116="","",IFERROR(H116*HSTECH!$B$7*HSTECH!$G$7/HSTECH!$B$3,""))</f>
        <v/>
      </c>
      <c r="BW116" s="110">
        <f>IF(I116="","",IFERROR(I116*HSTECH!$B$7*HSTECH!$G$7/HSTECH!$B$3,""))</f>
        <v/>
      </c>
      <c r="BX116" s="110">
        <f>IF(J116="","",IFERROR(J116*HSTECH!$B$7*HSTECH!$G$7/HSTECH!$B$3,""))</f>
        <v/>
      </c>
      <c r="BY116" s="110">
        <f>IF(K116="","",IFERROR(K116*HSTECH!$B$7*HSTECH!$G$7/HSTECH!$B$3,""))</f>
        <v/>
      </c>
      <c r="BZ116" s="110">
        <f>IF(L116="","",IFERROR(L116*HSTECH!$B$7*HSTECH!$G$7/HSTECH!$B$3,""))</f>
        <v/>
      </c>
      <c r="CA116" s="110">
        <f>IF(M116="","",IFERROR(M116*HSTECH!$B$7*HSTECH!$G$7/HSTECH!$B$3,""))</f>
        <v/>
      </c>
      <c r="CB116" s="110">
        <f>IF(N116="","",IFERROR(N116*HSTECH!$B$7*HSTECH!$G$7/HSTECH!$B$3,""))</f>
        <v/>
      </c>
      <c r="CC116" s="110">
        <f>IF(O116="","",IFERROR(O116*HSTECH!$B$7*HSTECH!$G$7/HSTECH!$B$3,""))</f>
        <v/>
      </c>
      <c r="CD116" s="110">
        <f>IF(P116="","",IFERROR(P116*HSTECH!$B$7*HSTECH!$G$7/HSTECH!$B$3,""))</f>
        <v/>
      </c>
      <c r="CE116" s="110">
        <f>IF(Q116="","",IFERROR(Q116*HSTECH!$B$7*HSTECH!$G$7/HSTECH!$B$3,""))</f>
        <v/>
      </c>
      <c r="CF116" s="110">
        <f>IF(R116="","",IFERROR(R116*HSTECH!$B$7*HSTECH!$G$7/HSTECH!$B$3,""))</f>
        <v/>
      </c>
      <c r="CG116" s="110">
        <f>IF(S116="","",IFERROR(S116*HSTECH!$B$7*HSTECH!$G$7/HSTECH!$B$3,""))</f>
        <v/>
      </c>
      <c r="CH116" s="110">
        <f>IF(T116="","",IFERROR(T116*HSTECH!$B$7*HSTECH!$G$7/HSTECH!$B$3,""))</f>
        <v/>
      </c>
      <c r="CI116" s="110">
        <f>IF(U116="","",IFERROR(U116*HSTECH!$B$7*HSTECH!$G$7/HSTECH!$B$3,""))</f>
        <v/>
      </c>
      <c r="CJ116" s="110">
        <f>IF(V116="","",IFERROR(V116*HSTECH!$B$7*HSTECH!$G$7/HSTECH!$B$3,""))</f>
        <v/>
      </c>
      <c r="CK116" s="110">
        <f>IF(W116="","",IFERROR(W116*HSTECH!$B$7*HSTECH!$G$7/HSTECH!$B$3,""))</f>
        <v/>
      </c>
      <c r="CL116" s="110">
        <f>IF(X116="","",IFERROR(X116*HSTECH!$B$7*HSTECH!$G$7/HSTECH!$B$3,""))</f>
        <v/>
      </c>
      <c r="CM116" s="110">
        <f>IF(Y116="","",IFERROR(Y116*HSTECH!$B$7*HSTECH!$G$7/HSTECH!$B$3,""))</f>
        <v/>
      </c>
      <c r="CN116" s="110">
        <f>IF(Z116="","",IFERROR(Z116*HSTECH!$B$7*HSTECH!$G$7/HSTECH!$B$3,""))</f>
        <v/>
      </c>
      <c r="CO116" s="110">
        <f>IF(AA116="","",IFERROR(AA116*HSTECH!$B$7*HSTECH!$G$7/HSTECH!$B$3,""))</f>
        <v/>
      </c>
      <c r="CP116" s="110">
        <f>IF(AB116="","",IFERROR(AB116*HSTECH!$B$7*HSTECH!$G$7/HSTECH!$B$3,""))</f>
        <v/>
      </c>
      <c r="CQ116" s="110">
        <f>IF(AC116="","",IFERROR(AC116*HSTECH!$B$7*HSTECH!$G$7/HSTECH!$B$3,""))</f>
        <v/>
      </c>
      <c r="CR116" s="110">
        <f>IF(AD116="","",IFERROR(AD116*HSTECH!$B$7*HSTECH!$G$7/HSTECH!$B$3,""))</f>
        <v/>
      </c>
      <c r="CS116" s="110">
        <f>IF(AE116="","",IFERROR(AE116*HSTECH!$B$7*HSTECH!$G$7/HSTECH!$B$3,""))</f>
        <v/>
      </c>
      <c r="CT116" s="110">
        <f>IF(AF116="","",IFERROR(AF116*HSTECH!$B$7*HSTECH!$G$7/HSTECH!$B$3,""))</f>
        <v/>
      </c>
      <c r="CU116" s="110">
        <f>IF(AG116="","",IFERROR(AG116*HSTECH!$B$7*HSTECH!$G$7/HSTECH!$B$3,""))</f>
        <v/>
      </c>
      <c r="CV116" s="110">
        <f>IF(AH116="","",IFERROR(AH116*HSTECH!$B$7*HSTECH!$G$7/HSTECH!$B$3,""))</f>
        <v/>
      </c>
      <c r="CW116" s="110">
        <f>IF(AI116="","",IFERROR(AI116*HSTECH!$B$7*HSTECH!$G$7/HSTECH!$B$3,""))</f>
        <v/>
      </c>
      <c r="CX116" s="110">
        <f>IF(AJ116="","",IFERROR(AJ116*HSTECH!$B$7*HSTECH!$G$7/HSTECH!$B$3,""))</f>
        <v/>
      </c>
      <c r="CY116" s="110">
        <f>IF(AK116="","",IFERROR(AK116*HSTECH!$B$7*HSTECH!$G$7/HSTECH!$B$3,""))</f>
        <v/>
      </c>
      <c r="CZ116" s="110">
        <f>IF(AL116="","",IFERROR(AL116*HSTECH!$B$7*HSTECH!$G$7/HSTECH!$B$3,""))</f>
        <v/>
      </c>
      <c r="DA116" s="110">
        <f>IF(AM116="","",IFERROR(AM116*HSTECH!$B$7*HSTECH!$G$7/HSTECH!$B$3,""))</f>
        <v/>
      </c>
      <c r="DB116" s="110">
        <f>IF(AN116="","",IFERROR(AN116*HSTECH!$B$7*HSTECH!$G$7/HSTECH!$B$3,""))</f>
        <v/>
      </c>
      <c r="DC116" s="110">
        <f>IF(AO116="","",IFERROR(AO116*HSTECH!$B$7*HSTECH!$G$7/HSTECH!$B$3,""))</f>
        <v/>
      </c>
      <c r="DD116" s="110">
        <f>IF(AP116="","",IFERROR(AP116*HSTECH!$B$7*HSTECH!$G$7/HSTECH!$B$3,""))</f>
        <v/>
      </c>
      <c r="DE116" s="110">
        <f>IF(AQ116="","",IFERROR(AQ116*HSTECH!$B$7*HSTECH!$G$7/HSTECH!$B$3,""))</f>
        <v/>
      </c>
      <c r="DF116" s="110">
        <f>IF(AR116="","",IFERROR(AR116*HSTECH!$B$7*HSTECH!$G$7/HSTECH!$B$3,""))</f>
        <v/>
      </c>
      <c r="DG116" s="110">
        <f>IF(AS116="","",IFERROR(AS116*HSTECH!$B$7*HSTECH!$G$7/HSTECH!$B$3,""))</f>
        <v/>
      </c>
      <c r="DH116" s="110">
        <f>IF(AT116="","",IFERROR(AT116*HSTECH!$B$7*HSTECH!$G$7/HSTECH!$B$3,""))</f>
        <v/>
      </c>
      <c r="DI116" s="110">
        <f>IF(AU116="","",IFERROR(AU116*HSTECH!$B$7*HSTECH!$G$7/HSTECH!$B$3,""))</f>
        <v/>
      </c>
      <c r="DJ116" s="110">
        <f>IF(AV116="","",IFERROR(AV116*HSTECH!$B$7*HSTECH!$G$7/HSTECH!$B$3,""))</f>
        <v/>
      </c>
      <c r="DK116" s="110">
        <f>IF(AW116="","",IFERROR(AW116*HSTECH!$B$7*HSTECH!$G$7/HSTECH!$B$3,""))</f>
        <v/>
      </c>
      <c r="DL116" s="110">
        <f>IF(AX116="","",IFERROR(AX116*HSTECH!$B$7*HSTECH!$G$7/HSTECH!$B$3,""))</f>
        <v/>
      </c>
      <c r="DM116" s="110">
        <f>IF(AY116="","",IFERROR(AY116*HSTECH!$B$7*HSTECH!$G$7/HSTECH!$B$3,""))</f>
        <v/>
      </c>
      <c r="DN116" s="110">
        <f>IF(AZ116="","",IFERROR(AZ116*HSTECH!$B$7*HSTECH!$G$7/HSTECH!$B$3,""))</f>
        <v/>
      </c>
      <c r="DO116" s="110">
        <f>IF(BA116="","",IFERROR(BA116*HSTECH!$B$7*HSTECH!$G$7/HSTECH!$B$3,""))</f>
        <v/>
      </c>
      <c r="DP116" s="110">
        <f>IF(BB116="","",IFERROR(BB116*HSTECH!$B$7*HSTECH!$G$7/HSTECH!$B$3,""))</f>
        <v/>
      </c>
      <c r="DQ116" s="110">
        <f>IF(BC116="","",IFERROR(BC116*HSTECH!$B$7*HSTECH!$G$7/HSTECH!$B$3,""))</f>
        <v/>
      </c>
      <c r="DR116" s="110">
        <f>IF(BD116="","",IFERROR(BD116*HSTECH!$B$7*HSTECH!$G$7/HSTECH!$B$3,""))</f>
        <v/>
      </c>
      <c r="DS116" s="110">
        <f>IF(BE116="","",IFERROR(BE116*HSTECH!$B$7*HSTECH!$G$7/HSTECH!$B$3,""))</f>
        <v/>
      </c>
      <c r="DT116" s="110">
        <f>IF(BF116="","",IFERROR(BF116*HSTECH!$B$7*HSTECH!$G$7/HSTECH!$B$3,""))</f>
        <v/>
      </c>
      <c r="DU116" s="110">
        <f>IF(BG116="","",IFERROR(BG116*HSTECH!$B$7*HSTECH!$G$7/HSTECH!$B$3,""))</f>
        <v/>
      </c>
      <c r="DV116" s="110">
        <f>IF(BH116="","",IFERROR(BH116*HSTECH!$B$7*HSTECH!$G$7/HSTECH!$B$3,""))</f>
        <v/>
      </c>
      <c r="DW116" s="110">
        <f>IF(BI116="","",IFERROR(BI116*HSTECH!$B$7*HSTECH!$G$7/HSTECH!$B$3,""))</f>
        <v/>
      </c>
      <c r="DX116" s="110">
        <f>IF(BJ116="","",IFERROR(BJ116*HSTECH!$B$7*HSTECH!$G$7/HSTECH!$B$3,""))</f>
        <v/>
      </c>
      <c r="DY116" s="110">
        <f>IF(BK116="","",IFERROR(BK116*HSTECH!$B$7*HSTECH!$G$7/HSTECH!$B$3,""))</f>
        <v/>
      </c>
      <c r="DZ116" s="110">
        <f>IF(BL116="","",IFERROR(BL116*HSTECH!$B$7*HSTECH!$G$7/HSTECH!$B$3,""))</f>
        <v/>
      </c>
      <c r="EA116" s="110">
        <f>IF(BM116="","",IFERROR(BM116*HSTECH!$B$7*HSTECH!$G$7/HSTECH!$B$3,""))</f>
        <v/>
      </c>
      <c r="EB116" s="110">
        <f>IF(BN116="","",IFERROR(BN116*HSTECH!$B$7*HSTECH!$G$7/HSTECH!$B$3,""))</f>
        <v/>
      </c>
      <c r="EC116" s="110">
        <f>IF(BO116="","",IFERROR(BO116*HSTECH!$B$7*HSTECH!$G$7/HSTECH!$B$3,""))</f>
        <v/>
      </c>
      <c r="EE116" s="39">
        <f>IF(N('Dvd Calendar'!$E$1116)=0,"",IF(('Dvd Calendar'!$E$1116&gt;=GRID_FROM)*('Dvd Calendar'!$E$1116&lt;=GRID_TO)*((('Dvd Calendar'!$E$1116&lt;=VAL_DATE)+(COUNTIF('Dvd Calendar'!$E$1123:$AR$1123,'Dvd Calendar'!$E$1116)=0))&gt;0)=0,"",'Dvd Calendar'!$E$1116*1000000000+ISNUMBER('Dvd Calendar'!$E$1119)*100000000+('Dvd Calendar'!$E$1121=SPECIAL_LBL)*10000000+(N('Dvd Calendar'!$E$1115)&gt;0)*(N('Dvd Calendar'!$E$1115)&lt;=VAL_SERIAL)*1000000+1*1000+1))</f>
        <v/>
      </c>
      <c r="EF116" s="39">
        <f>IF(N('Dvd Calendar'!$F$1116)=0,"",IF(('Dvd Calendar'!$F$1116&gt;=GRID_FROM)*('Dvd Calendar'!$F$1116&lt;=GRID_TO)*((('Dvd Calendar'!$F$1116&lt;=VAL_DATE)+(COUNTIF('Dvd Calendar'!$E$1123:$AR$1123,'Dvd Calendar'!$F$1116)=0))&gt;0)=0,"",'Dvd Calendar'!$F$1116*1000000000+ISNUMBER('Dvd Calendar'!$F$1119)*100000000+('Dvd Calendar'!$F$1121=SPECIAL_LBL)*10000000+(N('Dvd Calendar'!$F$1115)&gt;0)*(N('Dvd Calendar'!$F$1115)&lt;=VAL_SERIAL)*1000000+1*1000+2))</f>
        <v/>
      </c>
      <c r="EG116" s="39">
        <f>IF(N('Dvd Calendar'!$G$1116)=0,"",IF(('Dvd Calendar'!$G$1116&gt;=GRID_FROM)*('Dvd Calendar'!$G$1116&lt;=GRID_TO)*((('Dvd Calendar'!$G$1116&lt;=VAL_DATE)+(COUNTIF('Dvd Calendar'!$E$1123:$AR$1123,'Dvd Calendar'!$G$1116)=0))&gt;0)=0,"",'Dvd Calendar'!$G$1116*1000000000+ISNUMBER('Dvd Calendar'!$G$1119)*100000000+('Dvd Calendar'!$G$1121=SPECIAL_LBL)*10000000+(N('Dvd Calendar'!$G$1115)&gt;0)*(N('Dvd Calendar'!$G$1115)&lt;=VAL_SERIAL)*1000000+1*1000+3))</f>
        <v/>
      </c>
      <c r="EH116" s="39">
        <f>IF(N('Dvd Calendar'!$H$1116)=0,"",IF(('Dvd Calendar'!$H$1116&gt;=GRID_FROM)*('Dvd Calendar'!$H$1116&lt;=GRID_TO)*((('Dvd Calendar'!$H$1116&lt;=VAL_DATE)+(COUNTIF('Dvd Calendar'!$E$1123:$AR$1123,'Dvd Calendar'!$H$1116)=0))&gt;0)=0,"",'Dvd Calendar'!$H$1116*1000000000+ISNUMBER('Dvd Calendar'!$H$1119)*100000000+('Dvd Calendar'!$H$1121=SPECIAL_LBL)*10000000+(N('Dvd Calendar'!$H$1115)&gt;0)*(N('Dvd Calendar'!$H$1115)&lt;=VAL_SERIAL)*1000000+1*1000+4))</f>
        <v/>
      </c>
      <c r="EI116" s="39">
        <f>IF(N('Dvd Calendar'!$I$1116)=0,"",IF(('Dvd Calendar'!$I$1116&gt;=GRID_FROM)*('Dvd Calendar'!$I$1116&lt;=GRID_TO)*((('Dvd Calendar'!$I$1116&lt;=VAL_DATE)+(COUNTIF('Dvd Calendar'!$E$1123:$AR$1123,'Dvd Calendar'!$I$1116)=0))&gt;0)=0,"",'Dvd Calendar'!$I$1116*1000000000+ISNUMBER('Dvd Calendar'!$I$1119)*100000000+('Dvd Calendar'!$I$1121=SPECIAL_LBL)*10000000+(N('Dvd Calendar'!$I$1115)&gt;0)*(N('Dvd Calendar'!$I$1115)&lt;=VAL_SERIAL)*1000000+1*1000+5))</f>
        <v/>
      </c>
      <c r="EJ116" s="39">
        <f>IF(N('Dvd Calendar'!$J$1116)=0,"",IF(('Dvd Calendar'!$J$1116&gt;=GRID_FROM)*('Dvd Calendar'!$J$1116&lt;=GRID_TO)*((('Dvd Calendar'!$J$1116&lt;=VAL_DATE)+(COUNTIF('Dvd Calendar'!$E$1123:$AR$1123,'Dvd Calendar'!$J$1116)=0))&gt;0)=0,"",'Dvd Calendar'!$J$1116*1000000000+ISNUMBER('Dvd Calendar'!$J$1119)*100000000+('Dvd Calendar'!$J$1121=SPECIAL_LBL)*10000000+(N('Dvd Calendar'!$J$1115)&gt;0)*(N('Dvd Calendar'!$J$1115)&lt;=VAL_SERIAL)*1000000+1*1000+6))</f>
        <v/>
      </c>
      <c r="EK116" s="39">
        <f>IF(N('Dvd Calendar'!$K$1116)=0,"",IF(('Dvd Calendar'!$K$1116&gt;=GRID_FROM)*('Dvd Calendar'!$K$1116&lt;=GRID_TO)*((('Dvd Calendar'!$K$1116&lt;=VAL_DATE)+(COUNTIF('Dvd Calendar'!$E$1123:$AR$1123,'Dvd Calendar'!$K$1116)=0))&gt;0)=0,"",'Dvd Calendar'!$K$1116*1000000000+ISNUMBER('Dvd Calendar'!$K$1119)*100000000+('Dvd Calendar'!$K$1121=SPECIAL_LBL)*10000000+(N('Dvd Calendar'!$K$1115)&gt;0)*(N('Dvd Calendar'!$K$1115)&lt;=VAL_SERIAL)*1000000+1*1000+7))</f>
        <v/>
      </c>
      <c r="EL116" s="39">
        <f>IF(N('Dvd Calendar'!$L$1116)=0,"",IF(('Dvd Calendar'!$L$1116&gt;=GRID_FROM)*('Dvd Calendar'!$L$1116&lt;=GRID_TO)*((('Dvd Calendar'!$L$1116&lt;=VAL_DATE)+(COUNTIF('Dvd Calendar'!$E$1123:$AR$1123,'Dvd Calendar'!$L$1116)=0))&gt;0)=0,"",'Dvd Calendar'!$L$1116*1000000000+ISNUMBER('Dvd Calendar'!$L$1119)*100000000+('Dvd Calendar'!$L$1121=SPECIAL_LBL)*10000000+(N('Dvd Calendar'!$L$1115)&gt;0)*(N('Dvd Calendar'!$L$1115)&lt;=VAL_SERIAL)*1000000+1*1000+8))</f>
        <v/>
      </c>
      <c r="EM116" s="39">
        <f>IF(N('Dvd Calendar'!$M$1116)=0,"",IF(('Dvd Calendar'!$M$1116&gt;=GRID_FROM)*('Dvd Calendar'!$M$1116&lt;=GRID_TO)*((('Dvd Calendar'!$M$1116&lt;=VAL_DATE)+(COUNTIF('Dvd Calendar'!$E$1123:$AR$1123,'Dvd Calendar'!$M$1116)=0))&gt;0)=0,"",'Dvd Calendar'!$M$1116*1000000000+ISNUMBER('Dvd Calendar'!$M$1119)*100000000+('Dvd Calendar'!$M$1121=SPECIAL_LBL)*10000000+(N('Dvd Calendar'!$M$1115)&gt;0)*(N('Dvd Calendar'!$M$1115)&lt;=VAL_SERIAL)*1000000+1*1000+9))</f>
        <v/>
      </c>
      <c r="EN116" s="39">
        <f>IF(N('Dvd Calendar'!$N$1116)=0,"",IF(('Dvd Calendar'!$N$1116&gt;=GRID_FROM)*('Dvd Calendar'!$N$1116&lt;=GRID_TO)*((('Dvd Calendar'!$N$1116&lt;=VAL_DATE)+(COUNTIF('Dvd Calendar'!$E$1123:$AR$1123,'Dvd Calendar'!$N$1116)=0))&gt;0)=0,"",'Dvd Calendar'!$N$1116*1000000000+ISNUMBER('Dvd Calendar'!$N$1119)*100000000+('Dvd Calendar'!$N$1121=SPECIAL_LBL)*10000000+(N('Dvd Calendar'!$N$1115)&gt;0)*(N('Dvd Calendar'!$N$1115)&lt;=VAL_SERIAL)*1000000+1*1000+10))</f>
        <v/>
      </c>
      <c r="EO116" s="39">
        <f>IF(N('Dvd Calendar'!$O$1116)=0,"",IF(('Dvd Calendar'!$O$1116&gt;=GRID_FROM)*('Dvd Calendar'!$O$1116&lt;=GRID_TO)*((('Dvd Calendar'!$O$1116&lt;=VAL_DATE)+(COUNTIF('Dvd Calendar'!$E$1123:$AR$1123,'Dvd Calendar'!$O$1116)=0))&gt;0)=0,"",'Dvd Calendar'!$O$1116*1000000000+ISNUMBER('Dvd Calendar'!$O$1119)*100000000+('Dvd Calendar'!$O$1121=SPECIAL_LBL)*10000000+(N('Dvd Calendar'!$O$1115)&gt;0)*(N('Dvd Calendar'!$O$1115)&lt;=VAL_SERIAL)*1000000+1*1000+11))</f>
        <v/>
      </c>
      <c r="EP116" s="39">
        <f>IF(N('Dvd Calendar'!$P$1116)=0,"",IF(('Dvd Calendar'!$P$1116&gt;=GRID_FROM)*('Dvd Calendar'!$P$1116&lt;=GRID_TO)*((('Dvd Calendar'!$P$1116&lt;=VAL_DATE)+(COUNTIF('Dvd Calendar'!$E$1123:$AR$1123,'Dvd Calendar'!$P$1116)=0))&gt;0)=0,"",'Dvd Calendar'!$P$1116*1000000000+ISNUMBER('Dvd Calendar'!$P$1119)*100000000+('Dvd Calendar'!$P$1121=SPECIAL_LBL)*10000000+(N('Dvd Calendar'!$P$1115)&gt;0)*(N('Dvd Calendar'!$P$1115)&lt;=VAL_SERIAL)*1000000+1*1000+12))</f>
        <v/>
      </c>
      <c r="EQ116" s="39">
        <f>IF(N('Dvd Calendar'!$Q$1116)=0,"",IF(('Dvd Calendar'!$Q$1116&gt;=GRID_FROM)*('Dvd Calendar'!$Q$1116&lt;=GRID_TO)*((('Dvd Calendar'!$Q$1116&lt;=VAL_DATE)+(COUNTIF('Dvd Calendar'!$E$1123:$AR$1123,'Dvd Calendar'!$Q$1116)=0))&gt;0)=0,"",'Dvd Calendar'!$Q$1116*1000000000+ISNUMBER('Dvd Calendar'!$Q$1119)*100000000+('Dvd Calendar'!$Q$1121=SPECIAL_LBL)*10000000+(N('Dvd Calendar'!$Q$1115)&gt;0)*(N('Dvd Calendar'!$Q$1115)&lt;=VAL_SERIAL)*1000000+1*1000+13))</f>
        <v/>
      </c>
      <c r="ER116" s="39">
        <f>IF(N('Dvd Calendar'!$R$1116)=0,"",IF(('Dvd Calendar'!$R$1116&gt;=GRID_FROM)*('Dvd Calendar'!$R$1116&lt;=GRID_TO)*((('Dvd Calendar'!$R$1116&lt;=VAL_DATE)+(COUNTIF('Dvd Calendar'!$E$1123:$AR$1123,'Dvd Calendar'!$R$1116)=0))&gt;0)=0,"",'Dvd Calendar'!$R$1116*1000000000+ISNUMBER('Dvd Calendar'!$R$1119)*100000000+('Dvd Calendar'!$R$1121=SPECIAL_LBL)*10000000+(N('Dvd Calendar'!$R$1115)&gt;0)*(N('Dvd Calendar'!$R$1115)&lt;=VAL_SERIAL)*1000000+1*1000+14))</f>
        <v/>
      </c>
      <c r="ES116" s="39">
        <f>IF(N('Dvd Calendar'!$S$1116)=0,"",IF(('Dvd Calendar'!$S$1116&gt;=GRID_FROM)*('Dvd Calendar'!$S$1116&lt;=GRID_TO)*((('Dvd Calendar'!$S$1116&lt;=VAL_DATE)+(COUNTIF('Dvd Calendar'!$E$1123:$AR$1123,'Dvd Calendar'!$S$1116)=0))&gt;0)=0,"",'Dvd Calendar'!$S$1116*1000000000+ISNUMBER('Dvd Calendar'!$S$1119)*100000000+('Dvd Calendar'!$S$1121=SPECIAL_LBL)*10000000+(N('Dvd Calendar'!$S$1115)&gt;0)*(N('Dvd Calendar'!$S$1115)&lt;=VAL_SERIAL)*1000000+1*1000+15))</f>
        <v/>
      </c>
      <c r="ET116" s="39">
        <f>IF(N('Dvd Calendar'!$T$1116)=0,"",IF(('Dvd Calendar'!$T$1116&gt;=GRID_FROM)*('Dvd Calendar'!$T$1116&lt;=GRID_TO)*((('Dvd Calendar'!$T$1116&lt;=VAL_DATE)+(COUNTIF('Dvd Calendar'!$E$1123:$AR$1123,'Dvd Calendar'!$T$1116)=0))&gt;0)=0,"",'Dvd Calendar'!$T$1116*1000000000+ISNUMBER('Dvd Calendar'!$T$1119)*100000000+('Dvd Calendar'!$T$1121=SPECIAL_LBL)*10000000+(N('Dvd Calendar'!$T$1115)&gt;0)*(N('Dvd Calendar'!$T$1115)&lt;=VAL_SERIAL)*1000000+1*1000+16))</f>
        <v/>
      </c>
      <c r="EU116" s="39">
        <f>IF(N('Dvd Calendar'!$U$1116)=0,"",IF(('Dvd Calendar'!$U$1116&gt;=GRID_FROM)*('Dvd Calendar'!$U$1116&lt;=GRID_TO)*((('Dvd Calendar'!$U$1116&lt;=VAL_DATE)+(COUNTIF('Dvd Calendar'!$E$1123:$AR$1123,'Dvd Calendar'!$U$1116)=0))&gt;0)=0,"",'Dvd Calendar'!$U$1116*1000000000+ISNUMBER('Dvd Calendar'!$U$1119)*100000000+('Dvd Calendar'!$U$1121=SPECIAL_LBL)*10000000+(N('Dvd Calendar'!$U$1115)&gt;0)*(N('Dvd Calendar'!$U$1115)&lt;=VAL_SERIAL)*1000000+1*1000+17))</f>
        <v/>
      </c>
      <c r="EV116" s="39">
        <f>IF(N('Dvd Calendar'!$V$1116)=0,"",IF(('Dvd Calendar'!$V$1116&gt;=GRID_FROM)*('Dvd Calendar'!$V$1116&lt;=GRID_TO)*((('Dvd Calendar'!$V$1116&lt;=VAL_DATE)+(COUNTIF('Dvd Calendar'!$E$1123:$AR$1123,'Dvd Calendar'!$V$1116)=0))&gt;0)=0,"",'Dvd Calendar'!$V$1116*1000000000+ISNUMBER('Dvd Calendar'!$V$1119)*100000000+('Dvd Calendar'!$V$1121=SPECIAL_LBL)*10000000+(N('Dvd Calendar'!$V$1115)&gt;0)*(N('Dvd Calendar'!$V$1115)&lt;=VAL_SERIAL)*1000000+1*1000+18))</f>
        <v/>
      </c>
      <c r="EW116" s="39">
        <f>IF(N('Dvd Calendar'!$W$1116)=0,"",IF(('Dvd Calendar'!$W$1116&gt;=GRID_FROM)*('Dvd Calendar'!$W$1116&lt;=GRID_TO)*((('Dvd Calendar'!$W$1116&lt;=VAL_DATE)+(COUNTIF('Dvd Calendar'!$E$1123:$AR$1123,'Dvd Calendar'!$W$1116)=0))&gt;0)=0,"",'Dvd Calendar'!$W$1116*1000000000+ISNUMBER('Dvd Calendar'!$W$1119)*100000000+('Dvd Calendar'!$W$1121=SPECIAL_LBL)*10000000+(N('Dvd Calendar'!$W$1115)&gt;0)*(N('Dvd Calendar'!$W$1115)&lt;=VAL_SERIAL)*1000000+1*1000+19))</f>
        <v/>
      </c>
      <c r="EX116" s="39">
        <f>IF(N('Dvd Calendar'!$X$1116)=0,"",IF(('Dvd Calendar'!$X$1116&gt;=GRID_FROM)*('Dvd Calendar'!$X$1116&lt;=GRID_TO)*((('Dvd Calendar'!$X$1116&lt;=VAL_DATE)+(COUNTIF('Dvd Calendar'!$E$1123:$AR$1123,'Dvd Calendar'!$X$1116)=0))&gt;0)=0,"",'Dvd Calendar'!$X$1116*1000000000+ISNUMBER('Dvd Calendar'!$X$1119)*100000000+('Dvd Calendar'!$X$1121=SPECIAL_LBL)*10000000+(N('Dvd Calendar'!$X$1115)&gt;0)*(N('Dvd Calendar'!$X$1115)&lt;=VAL_SERIAL)*1000000+1*1000+20))</f>
        <v/>
      </c>
      <c r="EY116" s="39">
        <f>IF(N('Dvd Calendar'!$Y$1116)=0,"",IF(('Dvd Calendar'!$Y$1116&gt;=GRID_FROM)*('Dvd Calendar'!$Y$1116&lt;=GRID_TO)*((('Dvd Calendar'!$Y$1116&lt;=VAL_DATE)+(COUNTIF('Dvd Calendar'!$E$1123:$AR$1123,'Dvd Calendar'!$Y$1116)=0))&gt;0)=0,"",'Dvd Calendar'!$Y$1116*1000000000+ISNUMBER('Dvd Calendar'!$Y$1119)*100000000+('Dvd Calendar'!$Y$1121=SPECIAL_LBL)*10000000+(N('Dvd Calendar'!$Y$1115)&gt;0)*(N('Dvd Calendar'!$Y$1115)&lt;=VAL_SERIAL)*1000000+1*1000+21))</f>
        <v/>
      </c>
      <c r="EZ116" s="39">
        <f>IF(N('Dvd Calendar'!$Z$1116)=0,"",IF(('Dvd Calendar'!$Z$1116&gt;=GRID_FROM)*('Dvd Calendar'!$Z$1116&lt;=GRID_TO)*((('Dvd Calendar'!$Z$1116&lt;=VAL_DATE)+(COUNTIF('Dvd Calendar'!$E$1123:$AR$1123,'Dvd Calendar'!$Z$1116)=0))&gt;0)=0,"",'Dvd Calendar'!$Z$1116*1000000000+ISNUMBER('Dvd Calendar'!$Z$1119)*100000000+('Dvd Calendar'!$Z$1121=SPECIAL_LBL)*10000000+(N('Dvd Calendar'!$Z$1115)&gt;0)*(N('Dvd Calendar'!$Z$1115)&lt;=VAL_SERIAL)*1000000+1*1000+22))</f>
        <v/>
      </c>
      <c r="FA116" s="39">
        <f>IF(N('Dvd Calendar'!$AA$1116)=0,"",IF(('Dvd Calendar'!$AA$1116&gt;=GRID_FROM)*('Dvd Calendar'!$AA$1116&lt;=GRID_TO)*((('Dvd Calendar'!$AA$1116&lt;=VAL_DATE)+(COUNTIF('Dvd Calendar'!$E$1123:$AR$1123,'Dvd Calendar'!$AA$1116)=0))&gt;0)=0,"",'Dvd Calendar'!$AA$1116*1000000000+ISNUMBER('Dvd Calendar'!$AA$1119)*100000000+('Dvd Calendar'!$AA$1121=SPECIAL_LBL)*10000000+(N('Dvd Calendar'!$AA$1115)&gt;0)*(N('Dvd Calendar'!$AA$1115)&lt;=VAL_SERIAL)*1000000+1*1000+23))</f>
        <v/>
      </c>
      <c r="FB116" s="39">
        <f>IF(N('Dvd Calendar'!$AB$1116)=0,"",IF(('Dvd Calendar'!$AB$1116&gt;=GRID_FROM)*('Dvd Calendar'!$AB$1116&lt;=GRID_TO)*((('Dvd Calendar'!$AB$1116&lt;=VAL_DATE)+(COUNTIF('Dvd Calendar'!$E$1123:$AR$1123,'Dvd Calendar'!$AB$1116)=0))&gt;0)=0,"",'Dvd Calendar'!$AB$1116*1000000000+ISNUMBER('Dvd Calendar'!$AB$1119)*100000000+('Dvd Calendar'!$AB$1121=SPECIAL_LBL)*10000000+(N('Dvd Calendar'!$AB$1115)&gt;0)*(N('Dvd Calendar'!$AB$1115)&lt;=VAL_SERIAL)*1000000+1*1000+24))</f>
        <v/>
      </c>
      <c r="FC116" s="39">
        <f>IF(N('Dvd Calendar'!$AC$1116)=0,"",IF(('Dvd Calendar'!$AC$1116&gt;=GRID_FROM)*('Dvd Calendar'!$AC$1116&lt;=GRID_TO)*((('Dvd Calendar'!$AC$1116&lt;=VAL_DATE)+(COUNTIF('Dvd Calendar'!$E$1123:$AR$1123,'Dvd Calendar'!$AC$1116)=0))&gt;0)=0,"",'Dvd Calendar'!$AC$1116*1000000000+ISNUMBER('Dvd Calendar'!$AC$1119)*100000000+('Dvd Calendar'!$AC$1121=SPECIAL_LBL)*10000000+(N('Dvd Calendar'!$AC$1115)&gt;0)*(N('Dvd Calendar'!$AC$1115)&lt;=VAL_SERIAL)*1000000+1*1000+25))</f>
        <v/>
      </c>
      <c r="FD116" s="39">
        <f>IF(N('Dvd Calendar'!$AD$1116)=0,"",IF(('Dvd Calendar'!$AD$1116&gt;=GRID_FROM)*('Dvd Calendar'!$AD$1116&lt;=GRID_TO)*((('Dvd Calendar'!$AD$1116&lt;=VAL_DATE)+(COUNTIF('Dvd Calendar'!$E$1123:$AR$1123,'Dvd Calendar'!$AD$1116)=0))&gt;0)=0,"",'Dvd Calendar'!$AD$1116*1000000000+ISNUMBER('Dvd Calendar'!$AD$1119)*100000000+('Dvd Calendar'!$AD$1121=SPECIAL_LBL)*10000000+(N('Dvd Calendar'!$AD$1115)&gt;0)*(N('Dvd Calendar'!$AD$1115)&lt;=VAL_SERIAL)*1000000+1*1000+26))</f>
        <v/>
      </c>
      <c r="FE116" s="39">
        <f>IF(N('Dvd Calendar'!$AE$1116)=0,"",IF(('Dvd Calendar'!$AE$1116&gt;=GRID_FROM)*('Dvd Calendar'!$AE$1116&lt;=GRID_TO)*((('Dvd Calendar'!$AE$1116&lt;=VAL_DATE)+(COUNTIF('Dvd Calendar'!$E$1123:$AR$1123,'Dvd Calendar'!$AE$1116)=0))&gt;0)=0,"",'Dvd Calendar'!$AE$1116*1000000000+ISNUMBER('Dvd Calendar'!$AE$1119)*100000000+('Dvd Calendar'!$AE$1121=SPECIAL_LBL)*10000000+(N('Dvd Calendar'!$AE$1115)&gt;0)*(N('Dvd Calendar'!$AE$1115)&lt;=VAL_SERIAL)*1000000+1*1000+27))</f>
        <v/>
      </c>
      <c r="FF116" s="39">
        <f>IF(N('Dvd Calendar'!$AF$1116)=0,"",IF(('Dvd Calendar'!$AF$1116&gt;=GRID_FROM)*('Dvd Calendar'!$AF$1116&lt;=GRID_TO)*((('Dvd Calendar'!$AF$1116&lt;=VAL_DATE)+(COUNTIF('Dvd Calendar'!$E$1123:$AR$1123,'Dvd Calendar'!$AF$1116)=0))&gt;0)=0,"",'Dvd Calendar'!$AF$1116*1000000000+ISNUMBER('Dvd Calendar'!$AF$1119)*100000000+('Dvd Calendar'!$AF$1121=SPECIAL_LBL)*10000000+(N('Dvd Calendar'!$AF$1115)&gt;0)*(N('Dvd Calendar'!$AF$1115)&lt;=VAL_SERIAL)*1000000+1*1000+28))</f>
        <v/>
      </c>
      <c r="FG116" s="39">
        <f>IF(N('Dvd Calendar'!$AG$1116)=0,"",IF(('Dvd Calendar'!$AG$1116&gt;=GRID_FROM)*('Dvd Calendar'!$AG$1116&lt;=GRID_TO)*((('Dvd Calendar'!$AG$1116&lt;=VAL_DATE)+(COUNTIF('Dvd Calendar'!$E$1123:$AR$1123,'Dvd Calendar'!$AG$1116)=0))&gt;0)=0,"",'Dvd Calendar'!$AG$1116*1000000000+ISNUMBER('Dvd Calendar'!$AG$1119)*100000000+('Dvd Calendar'!$AG$1121=SPECIAL_LBL)*10000000+(N('Dvd Calendar'!$AG$1115)&gt;0)*(N('Dvd Calendar'!$AG$1115)&lt;=VAL_SERIAL)*1000000+1*1000+29))</f>
        <v/>
      </c>
      <c r="FH116" s="39">
        <f>IF(N('Dvd Calendar'!$AH$1116)=0,"",IF(('Dvd Calendar'!$AH$1116&gt;=GRID_FROM)*('Dvd Calendar'!$AH$1116&lt;=GRID_TO)*((('Dvd Calendar'!$AH$1116&lt;=VAL_DATE)+(COUNTIF('Dvd Calendar'!$E$1123:$AR$1123,'Dvd Calendar'!$AH$1116)=0))&gt;0)=0,"",'Dvd Calendar'!$AH$1116*1000000000+ISNUMBER('Dvd Calendar'!$AH$1119)*100000000+('Dvd Calendar'!$AH$1121=SPECIAL_LBL)*10000000+(N('Dvd Calendar'!$AH$1115)&gt;0)*(N('Dvd Calendar'!$AH$1115)&lt;=VAL_SERIAL)*1000000+1*1000+30))</f>
        <v/>
      </c>
      <c r="FI116" s="39">
        <f>IF(N('Dvd Calendar'!$AI$1116)=0,"",IF(('Dvd Calendar'!$AI$1116&gt;=GRID_FROM)*('Dvd Calendar'!$AI$1116&lt;=GRID_TO)*((('Dvd Calendar'!$AI$1116&lt;=VAL_DATE)+(COUNTIF('Dvd Calendar'!$E$1123:$AR$1123,'Dvd Calendar'!$AI$1116)=0))&gt;0)=0,"",'Dvd Calendar'!$AI$1116*1000000000+ISNUMBER('Dvd Calendar'!$AI$1119)*100000000+('Dvd Calendar'!$AI$1121=SPECIAL_LBL)*10000000+(N('Dvd Calendar'!$AI$1115)&gt;0)*(N('Dvd Calendar'!$AI$1115)&lt;=VAL_SERIAL)*1000000+1*1000+31))</f>
        <v/>
      </c>
      <c r="FJ116" s="39">
        <f>IF(N('Dvd Calendar'!$AJ$1116)=0,"",IF(('Dvd Calendar'!$AJ$1116&gt;=GRID_FROM)*('Dvd Calendar'!$AJ$1116&lt;=GRID_TO)*((('Dvd Calendar'!$AJ$1116&lt;=VAL_DATE)+(COUNTIF('Dvd Calendar'!$E$1123:$AR$1123,'Dvd Calendar'!$AJ$1116)=0))&gt;0)=0,"",'Dvd Calendar'!$AJ$1116*1000000000+ISNUMBER('Dvd Calendar'!$AJ$1119)*100000000+('Dvd Calendar'!$AJ$1121=SPECIAL_LBL)*10000000+(N('Dvd Calendar'!$AJ$1115)&gt;0)*(N('Dvd Calendar'!$AJ$1115)&lt;=VAL_SERIAL)*1000000+1*1000+32))</f>
        <v/>
      </c>
      <c r="FK116" s="39">
        <f>IF(N('Dvd Calendar'!$AK$1116)=0,"",IF(('Dvd Calendar'!$AK$1116&gt;=GRID_FROM)*('Dvd Calendar'!$AK$1116&lt;=GRID_TO)*((('Dvd Calendar'!$AK$1116&lt;=VAL_DATE)+(COUNTIF('Dvd Calendar'!$E$1123:$AR$1123,'Dvd Calendar'!$AK$1116)=0))&gt;0)=0,"",'Dvd Calendar'!$AK$1116*1000000000+ISNUMBER('Dvd Calendar'!$AK$1119)*100000000+('Dvd Calendar'!$AK$1121=SPECIAL_LBL)*10000000+(N('Dvd Calendar'!$AK$1115)&gt;0)*(N('Dvd Calendar'!$AK$1115)&lt;=VAL_SERIAL)*1000000+1*1000+33))</f>
        <v/>
      </c>
      <c r="FL116" s="39">
        <f>IF(N('Dvd Calendar'!$AL$1116)=0,"",IF(('Dvd Calendar'!$AL$1116&gt;=GRID_FROM)*('Dvd Calendar'!$AL$1116&lt;=GRID_TO)*((('Dvd Calendar'!$AL$1116&lt;=VAL_DATE)+(COUNTIF('Dvd Calendar'!$E$1123:$AR$1123,'Dvd Calendar'!$AL$1116)=0))&gt;0)=0,"",'Dvd Calendar'!$AL$1116*1000000000+ISNUMBER('Dvd Calendar'!$AL$1119)*100000000+('Dvd Calendar'!$AL$1121=SPECIAL_LBL)*10000000+(N('Dvd Calendar'!$AL$1115)&gt;0)*(N('Dvd Calendar'!$AL$1115)&lt;=VAL_SERIAL)*1000000+1*1000+34))</f>
        <v/>
      </c>
      <c r="FM116" s="39">
        <f>IF(N('Dvd Calendar'!$AM$1116)=0,"",IF(('Dvd Calendar'!$AM$1116&gt;=GRID_FROM)*('Dvd Calendar'!$AM$1116&lt;=GRID_TO)*((('Dvd Calendar'!$AM$1116&lt;=VAL_DATE)+(COUNTIF('Dvd Calendar'!$E$1123:$AR$1123,'Dvd Calendar'!$AM$1116)=0))&gt;0)=0,"",'Dvd Calendar'!$AM$1116*1000000000+ISNUMBER('Dvd Calendar'!$AM$1119)*100000000+('Dvd Calendar'!$AM$1121=SPECIAL_LBL)*10000000+(N('Dvd Calendar'!$AM$1115)&gt;0)*(N('Dvd Calendar'!$AM$1115)&lt;=VAL_SERIAL)*1000000+1*1000+35))</f>
        <v/>
      </c>
      <c r="FN116" s="39">
        <f>IF(N('Dvd Calendar'!$AN$1116)=0,"",IF(('Dvd Calendar'!$AN$1116&gt;=GRID_FROM)*('Dvd Calendar'!$AN$1116&lt;=GRID_TO)*((('Dvd Calendar'!$AN$1116&lt;=VAL_DATE)+(COUNTIF('Dvd Calendar'!$E$1123:$AR$1123,'Dvd Calendar'!$AN$1116)=0))&gt;0)=0,"",'Dvd Calendar'!$AN$1116*1000000000+ISNUMBER('Dvd Calendar'!$AN$1119)*100000000+('Dvd Calendar'!$AN$1121=SPECIAL_LBL)*10000000+(N('Dvd Calendar'!$AN$1115)&gt;0)*(N('Dvd Calendar'!$AN$1115)&lt;=VAL_SERIAL)*1000000+1*1000+36))</f>
        <v/>
      </c>
      <c r="FO116" s="39">
        <f>IF(N('Dvd Calendar'!$AO$1116)=0,"",IF(('Dvd Calendar'!$AO$1116&gt;=GRID_FROM)*('Dvd Calendar'!$AO$1116&lt;=GRID_TO)*((('Dvd Calendar'!$AO$1116&lt;=VAL_DATE)+(COUNTIF('Dvd Calendar'!$E$1123:$AR$1123,'Dvd Calendar'!$AO$1116)=0))&gt;0)=0,"",'Dvd Calendar'!$AO$1116*1000000000+ISNUMBER('Dvd Calendar'!$AO$1119)*100000000+('Dvd Calendar'!$AO$1121=SPECIAL_LBL)*10000000+(N('Dvd Calendar'!$AO$1115)&gt;0)*(N('Dvd Calendar'!$AO$1115)&lt;=VAL_SERIAL)*1000000+1*1000+37))</f>
        <v/>
      </c>
      <c r="FP116" s="39">
        <f>IF(N('Dvd Calendar'!$AP$1116)=0,"",IF(('Dvd Calendar'!$AP$1116&gt;=GRID_FROM)*('Dvd Calendar'!$AP$1116&lt;=GRID_TO)*((('Dvd Calendar'!$AP$1116&lt;=VAL_DATE)+(COUNTIF('Dvd Calendar'!$E$1123:$AR$1123,'Dvd Calendar'!$AP$1116)=0))&gt;0)=0,"",'Dvd Calendar'!$AP$1116*1000000000+ISNUMBER('Dvd Calendar'!$AP$1119)*100000000+('Dvd Calendar'!$AP$1121=SPECIAL_LBL)*10000000+(N('Dvd Calendar'!$AP$1115)&gt;0)*(N('Dvd Calendar'!$AP$1115)&lt;=VAL_SERIAL)*1000000+1*1000+38))</f>
        <v/>
      </c>
      <c r="FQ116" s="39">
        <f>IF(N('Dvd Calendar'!$AQ$1116)=0,"",IF(('Dvd Calendar'!$AQ$1116&gt;=GRID_FROM)*('Dvd Calendar'!$AQ$1116&lt;=GRID_TO)*((('Dvd Calendar'!$AQ$1116&lt;=VAL_DATE)+(COUNTIF('Dvd Calendar'!$E$1123:$AR$1123,'Dvd Calendar'!$AQ$1116)=0))&gt;0)=0,"",'Dvd Calendar'!$AQ$1116*1000000000+ISNUMBER('Dvd Calendar'!$AQ$1119)*100000000+('Dvd Calendar'!$AQ$1121=SPECIAL_LBL)*10000000+(N('Dvd Calendar'!$AQ$1115)&gt;0)*(N('Dvd Calendar'!$AQ$1115)&lt;=VAL_SERIAL)*1000000+1*1000+39))</f>
        <v/>
      </c>
      <c r="FR116" s="39">
        <f>IF(N('Dvd Calendar'!$AR$1116)=0,"",IF(('Dvd Calendar'!$AR$1116&gt;=GRID_FROM)*('Dvd Calendar'!$AR$1116&lt;=GRID_TO)*((('Dvd Calendar'!$AR$1116&lt;=VAL_DATE)+(COUNTIF('Dvd Calendar'!$E$1123:$AR$1123,'Dvd Calendar'!$AR$1116)=0))&gt;0)=0,"",'Dvd Calendar'!$AR$1116*1000000000+ISNUMBER('Dvd Calendar'!$AR$1119)*100000000+('Dvd Calendar'!$AR$1121=SPECIAL_LBL)*10000000+(N('Dvd Calendar'!$AR$1115)&gt;0)*(N('Dvd Calendar'!$AR$1115)&lt;=VAL_SERIAL)*1000000+1*1000+40))</f>
        <v/>
      </c>
      <c r="FS116" s="39">
        <f>IF(N('Dvd Calendar'!$E$1123)=0,"",IF(('Dvd Calendar'!$E$1123&gt;=GRID_FROM)*('Dvd Calendar'!$E$1123&lt;=GRID_TO)*('Dvd Calendar'!$E$1123&gt;VAL_DATE)=0,"",'Dvd Calendar'!$E$1123*1000000000+ISNUMBER('Dvd Calendar'!$E$1124)*100000000+0*10000000+(N('Dvd Calendar'!$E$1122)&gt;0)*(N('Dvd Calendar'!$E$1122)&lt;=VAL_SERIAL)*1000000+1*1000+41))</f>
        <v/>
      </c>
      <c r="FT116" s="39">
        <f>IF(N('Dvd Calendar'!$F$1123)=0,"",IF(('Dvd Calendar'!$F$1123&gt;=GRID_FROM)*('Dvd Calendar'!$F$1123&lt;=GRID_TO)*('Dvd Calendar'!$F$1123&gt;VAL_DATE)=0,"",'Dvd Calendar'!$F$1123*1000000000+ISNUMBER('Dvd Calendar'!$F$1124)*100000000+0*10000000+(N('Dvd Calendar'!$F$1122)&gt;0)*(N('Dvd Calendar'!$F$1122)&lt;=VAL_SERIAL)*1000000+1*1000+42))</f>
        <v/>
      </c>
      <c r="FU116" s="39">
        <f>IF(N('Dvd Calendar'!$G$1123)=0,"",IF(('Dvd Calendar'!$G$1123&gt;=GRID_FROM)*('Dvd Calendar'!$G$1123&lt;=GRID_TO)*('Dvd Calendar'!$G$1123&gt;VAL_DATE)=0,"",'Dvd Calendar'!$G$1123*1000000000+ISNUMBER('Dvd Calendar'!$G$1124)*100000000+0*10000000+(N('Dvd Calendar'!$G$1122)&gt;0)*(N('Dvd Calendar'!$G$1122)&lt;=VAL_SERIAL)*1000000+1*1000+43))</f>
        <v/>
      </c>
      <c r="FV116" s="39">
        <f>IF(N('Dvd Calendar'!$H$1123)=0,"",IF(('Dvd Calendar'!$H$1123&gt;=GRID_FROM)*('Dvd Calendar'!$H$1123&lt;=GRID_TO)*('Dvd Calendar'!$H$1123&gt;VAL_DATE)=0,"",'Dvd Calendar'!$H$1123*1000000000+ISNUMBER('Dvd Calendar'!$H$1124)*100000000+0*10000000+(N('Dvd Calendar'!$H$1122)&gt;0)*(N('Dvd Calendar'!$H$1122)&lt;=VAL_SERIAL)*1000000+1*1000+44))</f>
        <v/>
      </c>
      <c r="FW116" s="39">
        <f>IF(N('Dvd Calendar'!$I$1123)=0,"",IF(('Dvd Calendar'!$I$1123&gt;=GRID_FROM)*('Dvd Calendar'!$I$1123&lt;=GRID_TO)*('Dvd Calendar'!$I$1123&gt;VAL_DATE)=0,"",'Dvd Calendar'!$I$1123*1000000000+ISNUMBER('Dvd Calendar'!$I$1124)*100000000+0*10000000+(N('Dvd Calendar'!$I$1122)&gt;0)*(N('Dvd Calendar'!$I$1122)&lt;=VAL_SERIAL)*1000000+1*1000+45))</f>
        <v/>
      </c>
      <c r="FX116" s="39">
        <f>IF(N('Dvd Calendar'!$J$1123)=0,"",IF(('Dvd Calendar'!$J$1123&gt;=GRID_FROM)*('Dvd Calendar'!$J$1123&lt;=GRID_TO)*('Dvd Calendar'!$J$1123&gt;VAL_DATE)=0,"",'Dvd Calendar'!$J$1123*1000000000+ISNUMBER('Dvd Calendar'!$J$1124)*100000000+0*10000000+(N('Dvd Calendar'!$J$1122)&gt;0)*(N('Dvd Calendar'!$J$1122)&lt;=VAL_SERIAL)*1000000+1*1000+46))</f>
        <v/>
      </c>
      <c r="FY116" s="39">
        <f>IF(N('Dvd Calendar'!$K$1123)=0,"",IF(('Dvd Calendar'!$K$1123&gt;=GRID_FROM)*('Dvd Calendar'!$K$1123&lt;=GRID_TO)*('Dvd Calendar'!$K$1123&gt;VAL_DATE)=0,"",'Dvd Calendar'!$K$1123*1000000000+ISNUMBER('Dvd Calendar'!$K$1124)*100000000+0*10000000+(N('Dvd Calendar'!$K$1122)&gt;0)*(N('Dvd Calendar'!$K$1122)&lt;=VAL_SERIAL)*1000000+1*1000+47))</f>
        <v/>
      </c>
      <c r="FZ116" s="39">
        <f>IF(N('Dvd Calendar'!$L$1123)=0,"",IF(('Dvd Calendar'!$L$1123&gt;=GRID_FROM)*('Dvd Calendar'!$L$1123&lt;=GRID_TO)*('Dvd Calendar'!$L$1123&gt;VAL_DATE)=0,"",'Dvd Calendar'!$L$1123*1000000000+ISNUMBER('Dvd Calendar'!$L$1124)*100000000+0*10000000+(N('Dvd Calendar'!$L$1122)&gt;0)*(N('Dvd Calendar'!$L$1122)&lt;=VAL_SERIAL)*1000000+1*1000+48))</f>
        <v/>
      </c>
      <c r="GA116" s="39">
        <f>IF(N('Dvd Calendar'!$M$1123)=0,"",IF(('Dvd Calendar'!$M$1123&gt;=GRID_FROM)*('Dvd Calendar'!$M$1123&lt;=GRID_TO)*('Dvd Calendar'!$M$1123&gt;VAL_DATE)=0,"",'Dvd Calendar'!$M$1123*1000000000+ISNUMBER('Dvd Calendar'!$M$1124)*100000000+0*10000000+(N('Dvd Calendar'!$M$1122)&gt;0)*(N('Dvd Calendar'!$M$1122)&lt;=VAL_SERIAL)*1000000+1*1000+49))</f>
        <v/>
      </c>
      <c r="GB116" s="39">
        <f>IF(N('Dvd Calendar'!$N$1123)=0,"",IF(('Dvd Calendar'!$N$1123&gt;=GRID_FROM)*('Dvd Calendar'!$N$1123&lt;=GRID_TO)*('Dvd Calendar'!$N$1123&gt;VAL_DATE)=0,"",'Dvd Calendar'!$N$1123*1000000000+ISNUMBER('Dvd Calendar'!$N$1124)*100000000+0*10000000+(N('Dvd Calendar'!$N$1122)&gt;0)*(N('Dvd Calendar'!$N$1122)&lt;=VAL_SERIAL)*1000000+1*1000+50))</f>
        <v/>
      </c>
      <c r="GC116" s="39">
        <f>IF(N('Dvd Calendar'!$O$1123)=0,"",IF(('Dvd Calendar'!$O$1123&gt;=GRID_FROM)*('Dvd Calendar'!$O$1123&lt;=GRID_TO)*('Dvd Calendar'!$O$1123&gt;VAL_DATE)=0,"",'Dvd Calendar'!$O$1123*1000000000+ISNUMBER('Dvd Calendar'!$O$1124)*100000000+0*10000000+(N('Dvd Calendar'!$O$1122)&gt;0)*(N('Dvd Calendar'!$O$1122)&lt;=VAL_SERIAL)*1000000+1*1000+51))</f>
        <v/>
      </c>
      <c r="GD116" s="39">
        <f>IF(N('Dvd Calendar'!$P$1123)=0,"",IF(('Dvd Calendar'!$P$1123&gt;=GRID_FROM)*('Dvd Calendar'!$P$1123&lt;=GRID_TO)*('Dvd Calendar'!$P$1123&gt;VAL_DATE)=0,"",'Dvd Calendar'!$P$1123*1000000000+ISNUMBER('Dvd Calendar'!$P$1124)*100000000+0*10000000+(N('Dvd Calendar'!$P$1122)&gt;0)*(N('Dvd Calendar'!$P$1122)&lt;=VAL_SERIAL)*1000000+1*1000+52))</f>
        <v/>
      </c>
      <c r="GE116" s="39">
        <f>IF(N('Dvd Calendar'!$Q$1123)=0,"",IF(('Dvd Calendar'!$Q$1123&gt;=GRID_FROM)*('Dvd Calendar'!$Q$1123&lt;=GRID_TO)*('Dvd Calendar'!$Q$1123&gt;VAL_DATE)=0,"",'Dvd Calendar'!$Q$1123*1000000000+ISNUMBER('Dvd Calendar'!$Q$1124)*100000000+0*10000000+(N('Dvd Calendar'!$Q$1122)&gt;0)*(N('Dvd Calendar'!$Q$1122)&lt;=VAL_SERIAL)*1000000+1*1000+53))</f>
        <v/>
      </c>
      <c r="GF116" s="39">
        <f>IF(N('Dvd Calendar'!$R$1123)=0,"",IF(('Dvd Calendar'!$R$1123&gt;=GRID_FROM)*('Dvd Calendar'!$R$1123&lt;=GRID_TO)*('Dvd Calendar'!$R$1123&gt;VAL_DATE)=0,"",'Dvd Calendar'!$R$1123*1000000000+ISNUMBER('Dvd Calendar'!$R$1124)*100000000+0*10000000+(N('Dvd Calendar'!$R$1122)&gt;0)*(N('Dvd Calendar'!$R$1122)&lt;=VAL_SERIAL)*1000000+1*1000+54))</f>
        <v/>
      </c>
      <c r="GG116" s="39">
        <f>IF(N('Dvd Calendar'!$S$1123)=0,"",IF(('Dvd Calendar'!$S$1123&gt;=GRID_FROM)*('Dvd Calendar'!$S$1123&lt;=GRID_TO)*('Dvd Calendar'!$S$1123&gt;VAL_DATE)=0,"",'Dvd Calendar'!$S$1123*1000000000+ISNUMBER('Dvd Calendar'!$S$1124)*100000000+0*10000000+(N('Dvd Calendar'!$S$1122)&gt;0)*(N('Dvd Calendar'!$S$1122)&lt;=VAL_SERIAL)*1000000+1*1000+55))</f>
        <v/>
      </c>
      <c r="GH116" s="39">
        <f>IF(N('Dvd Calendar'!$T$1123)=0,"",IF(('Dvd Calendar'!$T$1123&gt;=GRID_FROM)*('Dvd Calendar'!$T$1123&lt;=GRID_TO)*('Dvd Calendar'!$T$1123&gt;VAL_DATE)=0,"",'Dvd Calendar'!$T$1123*1000000000+ISNUMBER('Dvd Calendar'!$T$1124)*100000000+0*10000000+(N('Dvd Calendar'!$T$1122)&gt;0)*(N('Dvd Calendar'!$T$1122)&lt;=VAL_SERIAL)*1000000+1*1000+56))</f>
        <v/>
      </c>
      <c r="GI116" s="39">
        <f>IF(N('Dvd Calendar'!$U$1123)=0,"",IF(('Dvd Calendar'!$U$1123&gt;=GRID_FROM)*('Dvd Calendar'!$U$1123&lt;=GRID_TO)*('Dvd Calendar'!$U$1123&gt;VAL_DATE)=0,"",'Dvd Calendar'!$U$1123*1000000000+ISNUMBER('Dvd Calendar'!$U$1124)*100000000+0*10000000+(N('Dvd Calendar'!$U$1122)&gt;0)*(N('Dvd Calendar'!$U$1122)&lt;=VAL_SERIAL)*1000000+1*1000+57))</f>
        <v/>
      </c>
      <c r="GJ116" s="39">
        <f>IF(N('Dvd Calendar'!$V$1123)=0,"",IF(('Dvd Calendar'!$V$1123&gt;=GRID_FROM)*('Dvd Calendar'!$V$1123&lt;=GRID_TO)*('Dvd Calendar'!$V$1123&gt;VAL_DATE)=0,"",'Dvd Calendar'!$V$1123*1000000000+ISNUMBER('Dvd Calendar'!$V$1124)*100000000+0*10000000+(N('Dvd Calendar'!$V$1122)&gt;0)*(N('Dvd Calendar'!$V$1122)&lt;=VAL_SERIAL)*1000000+1*1000+58))</f>
        <v/>
      </c>
      <c r="GK116" s="39">
        <f>IF(N('Dvd Calendar'!$W$1123)=0,"",IF(('Dvd Calendar'!$W$1123&gt;=GRID_FROM)*('Dvd Calendar'!$W$1123&lt;=GRID_TO)*('Dvd Calendar'!$W$1123&gt;VAL_DATE)=0,"",'Dvd Calendar'!$W$1123*1000000000+ISNUMBER('Dvd Calendar'!$W$1124)*100000000+0*10000000+(N('Dvd Calendar'!$W$1122)&gt;0)*(N('Dvd Calendar'!$W$1122)&lt;=VAL_SERIAL)*1000000+1*1000+59))</f>
        <v/>
      </c>
      <c r="GL116" s="39">
        <f>IF(N('Dvd Calendar'!$X$1123)=0,"",IF(('Dvd Calendar'!$X$1123&gt;=GRID_FROM)*('Dvd Calendar'!$X$1123&lt;=GRID_TO)*('Dvd Calendar'!$X$1123&gt;VAL_DATE)=0,"",'Dvd Calendar'!$X$1123*1000000000+ISNUMBER('Dvd Calendar'!$X$1124)*100000000+0*10000000+(N('Dvd Calendar'!$X$1122)&gt;0)*(N('Dvd Calendar'!$X$1122)&lt;=VAL_SERIAL)*1000000+1*1000+60))</f>
        <v/>
      </c>
      <c r="GM116" s="39">
        <f>IF(N('Dvd Calendar'!$Y$1123)=0,"",IF(('Dvd Calendar'!$Y$1123&gt;=GRID_FROM)*('Dvd Calendar'!$Y$1123&lt;=GRID_TO)*('Dvd Calendar'!$Y$1123&gt;VAL_DATE)=0,"",'Dvd Calendar'!$Y$1123*1000000000+ISNUMBER('Dvd Calendar'!$Y$1124)*100000000+0*10000000+(N('Dvd Calendar'!$Y$1122)&gt;0)*(N('Dvd Calendar'!$Y$1122)&lt;=VAL_SERIAL)*1000000+1*1000+61))</f>
        <v/>
      </c>
      <c r="GN116" s="39">
        <f>IF(N('Dvd Calendar'!$Z$1123)=0,"",IF(('Dvd Calendar'!$Z$1123&gt;=GRID_FROM)*('Dvd Calendar'!$Z$1123&lt;=GRID_TO)*('Dvd Calendar'!$Z$1123&gt;VAL_DATE)=0,"",'Dvd Calendar'!$Z$1123*1000000000+ISNUMBER('Dvd Calendar'!$Z$1124)*100000000+0*10000000+(N('Dvd Calendar'!$Z$1122)&gt;0)*(N('Dvd Calendar'!$Z$1122)&lt;=VAL_SERIAL)*1000000+1*1000+62))</f>
        <v/>
      </c>
      <c r="GO116" s="39">
        <f>IF(N('Dvd Calendar'!$AA$1123)=0,"",IF(('Dvd Calendar'!$AA$1123&gt;=GRID_FROM)*('Dvd Calendar'!$AA$1123&lt;=GRID_TO)*('Dvd Calendar'!$AA$1123&gt;VAL_DATE)=0,"",'Dvd Calendar'!$AA$1123*1000000000+ISNUMBER('Dvd Calendar'!$AA$1124)*100000000+0*10000000+(N('Dvd Calendar'!$AA$1122)&gt;0)*(N('Dvd Calendar'!$AA$1122)&lt;=VAL_SERIAL)*1000000+1*1000+63))</f>
        <v/>
      </c>
      <c r="GP116" s="39">
        <f>IF(N('Dvd Calendar'!$AB$1123)=0,"",IF(('Dvd Calendar'!$AB$1123&gt;=GRID_FROM)*('Dvd Calendar'!$AB$1123&lt;=GRID_TO)*('Dvd Calendar'!$AB$1123&gt;VAL_DATE)=0,"",'Dvd Calendar'!$AB$1123*1000000000+ISNUMBER('Dvd Calendar'!$AB$1124)*100000000+0*10000000+(N('Dvd Calendar'!$AB$1122)&gt;0)*(N('Dvd Calendar'!$AB$1122)&lt;=VAL_SERIAL)*1000000+1*1000+64))</f>
        <v/>
      </c>
      <c r="GQ116" s="39">
        <f>IF(N('Dvd Calendar'!$AC$1123)=0,"",IF(('Dvd Calendar'!$AC$1123&gt;=GRID_FROM)*('Dvd Calendar'!$AC$1123&lt;=GRID_TO)*('Dvd Calendar'!$AC$1123&gt;VAL_DATE)=0,"",'Dvd Calendar'!$AC$1123*1000000000+ISNUMBER('Dvd Calendar'!$AC$1124)*100000000+0*10000000+(N('Dvd Calendar'!$AC$1122)&gt;0)*(N('Dvd Calendar'!$AC$1122)&lt;=VAL_SERIAL)*1000000+1*1000+65))</f>
        <v/>
      </c>
    </row>
    <row r="117">
      <c r="B117" s="2">
        <f>IF(HSTECH!$C$8="","",HSTECH!$C$8)</f>
        <v/>
      </c>
      <c r="C117" s="110">
        <f>IF(EE117="","",IF(ISNUMBER('Dvd Calendar'!$E$1130)=FALSE,"",IF((('Dvd Calendar'!$E$1132=TYPE1)*(TYPE1&lt;&gt;"")+('Dvd Calendar'!$E$1132=TYPE2)*(TYPE2&lt;&gt;"")+('Dvd Calendar'!$E$1132=TYPE3)*(TYPE3&lt;&gt;"")+('Dvd Calendar'!$E$1132=TYPE4)*(TYPE4&lt;&gt;"")+('Dvd Calendar'!$E$1132=SPECIAL_LBL)*(INC_SPECIALS="Y"))=0,"",'Dvd Calendar'!$E$1130)))</f>
        <v/>
      </c>
      <c r="D117" s="110">
        <f>IF(EF117="","",IF(ISNUMBER('Dvd Calendar'!$F$1130)=FALSE,"",IF((('Dvd Calendar'!$F$1132=TYPE1)*(TYPE1&lt;&gt;"")+('Dvd Calendar'!$F$1132=TYPE2)*(TYPE2&lt;&gt;"")+('Dvd Calendar'!$F$1132=TYPE3)*(TYPE3&lt;&gt;"")+('Dvd Calendar'!$F$1132=TYPE4)*(TYPE4&lt;&gt;"")+('Dvd Calendar'!$F$1132=SPECIAL_LBL)*(INC_SPECIALS="Y"))=0,"",'Dvd Calendar'!$F$1130)))</f>
        <v/>
      </c>
      <c r="E117" s="110">
        <f>IF(EG117="","",IF(ISNUMBER('Dvd Calendar'!$G$1130)=FALSE,"",IF((('Dvd Calendar'!$G$1132=TYPE1)*(TYPE1&lt;&gt;"")+('Dvd Calendar'!$G$1132=TYPE2)*(TYPE2&lt;&gt;"")+('Dvd Calendar'!$G$1132=TYPE3)*(TYPE3&lt;&gt;"")+('Dvd Calendar'!$G$1132=TYPE4)*(TYPE4&lt;&gt;"")+('Dvd Calendar'!$G$1132=SPECIAL_LBL)*(INC_SPECIALS="Y"))=0,"",'Dvd Calendar'!$G$1130)))</f>
        <v/>
      </c>
      <c r="F117" s="110">
        <f>IF(EH117="","",IF(ISNUMBER('Dvd Calendar'!$H$1130)=FALSE,"",IF((('Dvd Calendar'!$H$1132=TYPE1)*(TYPE1&lt;&gt;"")+('Dvd Calendar'!$H$1132=TYPE2)*(TYPE2&lt;&gt;"")+('Dvd Calendar'!$H$1132=TYPE3)*(TYPE3&lt;&gt;"")+('Dvd Calendar'!$H$1132=TYPE4)*(TYPE4&lt;&gt;"")+('Dvd Calendar'!$H$1132=SPECIAL_LBL)*(INC_SPECIALS="Y"))=0,"",'Dvd Calendar'!$H$1130)))</f>
        <v/>
      </c>
      <c r="G117" s="110">
        <f>IF(EI117="","",IF(ISNUMBER('Dvd Calendar'!$I$1130)=FALSE,"",IF((('Dvd Calendar'!$I$1132=TYPE1)*(TYPE1&lt;&gt;"")+('Dvd Calendar'!$I$1132=TYPE2)*(TYPE2&lt;&gt;"")+('Dvd Calendar'!$I$1132=TYPE3)*(TYPE3&lt;&gt;"")+('Dvd Calendar'!$I$1132=TYPE4)*(TYPE4&lt;&gt;"")+('Dvd Calendar'!$I$1132=SPECIAL_LBL)*(INC_SPECIALS="Y"))=0,"",'Dvd Calendar'!$I$1130)))</f>
        <v/>
      </c>
      <c r="H117" s="110">
        <f>IF(EJ117="","",IF(ISNUMBER('Dvd Calendar'!$J$1130)=FALSE,"",IF((('Dvd Calendar'!$J$1132=TYPE1)*(TYPE1&lt;&gt;"")+('Dvd Calendar'!$J$1132=TYPE2)*(TYPE2&lt;&gt;"")+('Dvd Calendar'!$J$1132=TYPE3)*(TYPE3&lt;&gt;"")+('Dvd Calendar'!$J$1132=TYPE4)*(TYPE4&lt;&gt;"")+('Dvd Calendar'!$J$1132=SPECIAL_LBL)*(INC_SPECIALS="Y"))=0,"",'Dvd Calendar'!$J$1130)))</f>
        <v/>
      </c>
      <c r="I117" s="110">
        <f>IF(EK117="","",IF(ISNUMBER('Dvd Calendar'!$K$1130)=FALSE,"",IF((('Dvd Calendar'!$K$1132=TYPE1)*(TYPE1&lt;&gt;"")+('Dvd Calendar'!$K$1132=TYPE2)*(TYPE2&lt;&gt;"")+('Dvd Calendar'!$K$1132=TYPE3)*(TYPE3&lt;&gt;"")+('Dvd Calendar'!$K$1132=TYPE4)*(TYPE4&lt;&gt;"")+('Dvd Calendar'!$K$1132=SPECIAL_LBL)*(INC_SPECIALS="Y"))=0,"",'Dvd Calendar'!$K$1130)))</f>
        <v/>
      </c>
      <c r="J117" s="110">
        <f>IF(EL117="","",IF(ISNUMBER('Dvd Calendar'!$L$1130)=FALSE,"",IF((('Dvd Calendar'!$L$1132=TYPE1)*(TYPE1&lt;&gt;"")+('Dvd Calendar'!$L$1132=TYPE2)*(TYPE2&lt;&gt;"")+('Dvd Calendar'!$L$1132=TYPE3)*(TYPE3&lt;&gt;"")+('Dvd Calendar'!$L$1132=TYPE4)*(TYPE4&lt;&gt;"")+('Dvd Calendar'!$L$1132=SPECIAL_LBL)*(INC_SPECIALS="Y"))=0,"",'Dvd Calendar'!$L$1130)))</f>
        <v/>
      </c>
      <c r="K117" s="110">
        <f>IF(EM117="","",IF(ISNUMBER('Dvd Calendar'!$M$1130)=FALSE,"",IF((('Dvd Calendar'!$M$1132=TYPE1)*(TYPE1&lt;&gt;"")+('Dvd Calendar'!$M$1132=TYPE2)*(TYPE2&lt;&gt;"")+('Dvd Calendar'!$M$1132=TYPE3)*(TYPE3&lt;&gt;"")+('Dvd Calendar'!$M$1132=TYPE4)*(TYPE4&lt;&gt;"")+('Dvd Calendar'!$M$1132=SPECIAL_LBL)*(INC_SPECIALS="Y"))=0,"",'Dvd Calendar'!$M$1130)))</f>
        <v/>
      </c>
      <c r="L117" s="110">
        <f>IF(EN117="","",IF(ISNUMBER('Dvd Calendar'!$N$1130)=FALSE,"",IF((('Dvd Calendar'!$N$1132=TYPE1)*(TYPE1&lt;&gt;"")+('Dvd Calendar'!$N$1132=TYPE2)*(TYPE2&lt;&gt;"")+('Dvd Calendar'!$N$1132=TYPE3)*(TYPE3&lt;&gt;"")+('Dvd Calendar'!$N$1132=TYPE4)*(TYPE4&lt;&gt;"")+('Dvd Calendar'!$N$1132=SPECIAL_LBL)*(INC_SPECIALS="Y"))=0,"",'Dvd Calendar'!$N$1130)))</f>
        <v/>
      </c>
      <c r="M117" s="110">
        <f>IF(EO117="","",IF(ISNUMBER('Dvd Calendar'!$O$1130)=FALSE,"",IF((('Dvd Calendar'!$O$1132=TYPE1)*(TYPE1&lt;&gt;"")+('Dvd Calendar'!$O$1132=TYPE2)*(TYPE2&lt;&gt;"")+('Dvd Calendar'!$O$1132=TYPE3)*(TYPE3&lt;&gt;"")+('Dvd Calendar'!$O$1132=TYPE4)*(TYPE4&lt;&gt;"")+('Dvd Calendar'!$O$1132=SPECIAL_LBL)*(INC_SPECIALS="Y"))=0,"",'Dvd Calendar'!$O$1130)))</f>
        <v/>
      </c>
      <c r="N117" s="110">
        <f>IF(EP117="","",IF(ISNUMBER('Dvd Calendar'!$P$1130)=FALSE,"",IF((('Dvd Calendar'!$P$1132=TYPE1)*(TYPE1&lt;&gt;"")+('Dvd Calendar'!$P$1132=TYPE2)*(TYPE2&lt;&gt;"")+('Dvd Calendar'!$P$1132=TYPE3)*(TYPE3&lt;&gt;"")+('Dvd Calendar'!$P$1132=TYPE4)*(TYPE4&lt;&gt;"")+('Dvd Calendar'!$P$1132=SPECIAL_LBL)*(INC_SPECIALS="Y"))=0,"",'Dvd Calendar'!$P$1130)))</f>
        <v/>
      </c>
      <c r="O117" s="110">
        <f>IF(EQ117="","",IF(ISNUMBER('Dvd Calendar'!$Q$1130)=FALSE,"",IF((('Dvd Calendar'!$Q$1132=TYPE1)*(TYPE1&lt;&gt;"")+('Dvd Calendar'!$Q$1132=TYPE2)*(TYPE2&lt;&gt;"")+('Dvd Calendar'!$Q$1132=TYPE3)*(TYPE3&lt;&gt;"")+('Dvd Calendar'!$Q$1132=TYPE4)*(TYPE4&lt;&gt;"")+('Dvd Calendar'!$Q$1132=SPECIAL_LBL)*(INC_SPECIALS="Y"))=0,"",'Dvd Calendar'!$Q$1130)))</f>
        <v/>
      </c>
      <c r="P117" s="110">
        <f>IF(ER117="","",IF(ISNUMBER('Dvd Calendar'!$R$1130)=FALSE,"",IF((('Dvd Calendar'!$R$1132=TYPE1)*(TYPE1&lt;&gt;"")+('Dvd Calendar'!$R$1132=TYPE2)*(TYPE2&lt;&gt;"")+('Dvd Calendar'!$R$1132=TYPE3)*(TYPE3&lt;&gt;"")+('Dvd Calendar'!$R$1132=TYPE4)*(TYPE4&lt;&gt;"")+('Dvd Calendar'!$R$1132=SPECIAL_LBL)*(INC_SPECIALS="Y"))=0,"",'Dvd Calendar'!$R$1130)))</f>
        <v/>
      </c>
      <c r="Q117" s="110">
        <f>IF(ES117="","",IF(ISNUMBER('Dvd Calendar'!$S$1130)=FALSE,"",IF((('Dvd Calendar'!$S$1132=TYPE1)*(TYPE1&lt;&gt;"")+('Dvd Calendar'!$S$1132=TYPE2)*(TYPE2&lt;&gt;"")+('Dvd Calendar'!$S$1132=TYPE3)*(TYPE3&lt;&gt;"")+('Dvd Calendar'!$S$1132=TYPE4)*(TYPE4&lt;&gt;"")+('Dvd Calendar'!$S$1132=SPECIAL_LBL)*(INC_SPECIALS="Y"))=0,"",'Dvd Calendar'!$S$1130)))</f>
        <v/>
      </c>
      <c r="R117" s="110">
        <f>IF(ET117="","",IF(ISNUMBER('Dvd Calendar'!$T$1130)=FALSE,"",IF((('Dvd Calendar'!$T$1132=TYPE1)*(TYPE1&lt;&gt;"")+('Dvd Calendar'!$T$1132=TYPE2)*(TYPE2&lt;&gt;"")+('Dvd Calendar'!$T$1132=TYPE3)*(TYPE3&lt;&gt;"")+('Dvd Calendar'!$T$1132=TYPE4)*(TYPE4&lt;&gt;"")+('Dvd Calendar'!$T$1132=SPECIAL_LBL)*(INC_SPECIALS="Y"))=0,"",'Dvd Calendar'!$T$1130)))</f>
        <v/>
      </c>
      <c r="S117" s="110">
        <f>IF(EU117="","",IF(ISNUMBER('Dvd Calendar'!$U$1130)=FALSE,"",IF((('Dvd Calendar'!$U$1132=TYPE1)*(TYPE1&lt;&gt;"")+('Dvd Calendar'!$U$1132=TYPE2)*(TYPE2&lt;&gt;"")+('Dvd Calendar'!$U$1132=TYPE3)*(TYPE3&lt;&gt;"")+('Dvd Calendar'!$U$1132=TYPE4)*(TYPE4&lt;&gt;"")+('Dvd Calendar'!$U$1132=SPECIAL_LBL)*(INC_SPECIALS="Y"))=0,"",'Dvd Calendar'!$U$1130)))</f>
        <v/>
      </c>
      <c r="T117" s="110">
        <f>IF(EV117="","",IF(ISNUMBER('Dvd Calendar'!$V$1130)=FALSE,"",IF((('Dvd Calendar'!$V$1132=TYPE1)*(TYPE1&lt;&gt;"")+('Dvd Calendar'!$V$1132=TYPE2)*(TYPE2&lt;&gt;"")+('Dvd Calendar'!$V$1132=TYPE3)*(TYPE3&lt;&gt;"")+('Dvd Calendar'!$V$1132=TYPE4)*(TYPE4&lt;&gt;"")+('Dvd Calendar'!$V$1132=SPECIAL_LBL)*(INC_SPECIALS="Y"))=0,"",'Dvd Calendar'!$V$1130)))</f>
        <v/>
      </c>
      <c r="U117" s="110">
        <f>IF(EW117="","",IF(ISNUMBER('Dvd Calendar'!$W$1130)=FALSE,"",IF((('Dvd Calendar'!$W$1132=TYPE1)*(TYPE1&lt;&gt;"")+('Dvd Calendar'!$W$1132=TYPE2)*(TYPE2&lt;&gt;"")+('Dvd Calendar'!$W$1132=TYPE3)*(TYPE3&lt;&gt;"")+('Dvd Calendar'!$W$1132=TYPE4)*(TYPE4&lt;&gt;"")+('Dvd Calendar'!$W$1132=SPECIAL_LBL)*(INC_SPECIALS="Y"))=0,"",'Dvd Calendar'!$W$1130)))</f>
        <v/>
      </c>
      <c r="V117" s="110">
        <f>IF(EX117="","",IF(ISNUMBER('Dvd Calendar'!$X$1130)=FALSE,"",IF((('Dvd Calendar'!$X$1132=TYPE1)*(TYPE1&lt;&gt;"")+('Dvd Calendar'!$X$1132=TYPE2)*(TYPE2&lt;&gt;"")+('Dvd Calendar'!$X$1132=TYPE3)*(TYPE3&lt;&gt;"")+('Dvd Calendar'!$X$1132=TYPE4)*(TYPE4&lt;&gt;"")+('Dvd Calendar'!$X$1132=SPECIAL_LBL)*(INC_SPECIALS="Y"))=0,"",'Dvd Calendar'!$X$1130)))</f>
        <v/>
      </c>
      <c r="W117" s="110">
        <f>IF(EY117="","",IF(ISNUMBER('Dvd Calendar'!$Y$1130)=FALSE,"",IF((('Dvd Calendar'!$Y$1132=TYPE1)*(TYPE1&lt;&gt;"")+('Dvd Calendar'!$Y$1132=TYPE2)*(TYPE2&lt;&gt;"")+('Dvd Calendar'!$Y$1132=TYPE3)*(TYPE3&lt;&gt;"")+('Dvd Calendar'!$Y$1132=TYPE4)*(TYPE4&lt;&gt;"")+('Dvd Calendar'!$Y$1132=SPECIAL_LBL)*(INC_SPECIALS="Y"))=0,"",'Dvd Calendar'!$Y$1130)))</f>
        <v/>
      </c>
      <c r="X117" s="110">
        <f>IF(EZ117="","",IF(ISNUMBER('Dvd Calendar'!$Z$1130)=FALSE,"",IF((('Dvd Calendar'!$Z$1132=TYPE1)*(TYPE1&lt;&gt;"")+('Dvd Calendar'!$Z$1132=TYPE2)*(TYPE2&lt;&gt;"")+('Dvd Calendar'!$Z$1132=TYPE3)*(TYPE3&lt;&gt;"")+('Dvd Calendar'!$Z$1132=TYPE4)*(TYPE4&lt;&gt;"")+('Dvd Calendar'!$Z$1132=SPECIAL_LBL)*(INC_SPECIALS="Y"))=0,"",'Dvd Calendar'!$Z$1130)))</f>
        <v/>
      </c>
      <c r="Y117" s="110">
        <f>IF(FA117="","",IF(ISNUMBER('Dvd Calendar'!$AA$1130)=FALSE,"",IF((('Dvd Calendar'!$AA$1132=TYPE1)*(TYPE1&lt;&gt;"")+('Dvd Calendar'!$AA$1132=TYPE2)*(TYPE2&lt;&gt;"")+('Dvd Calendar'!$AA$1132=TYPE3)*(TYPE3&lt;&gt;"")+('Dvd Calendar'!$AA$1132=TYPE4)*(TYPE4&lt;&gt;"")+('Dvd Calendar'!$AA$1132=SPECIAL_LBL)*(INC_SPECIALS="Y"))=0,"",'Dvd Calendar'!$AA$1130)))</f>
        <v/>
      </c>
      <c r="Z117" s="110">
        <f>IF(FB117="","",IF(ISNUMBER('Dvd Calendar'!$AB$1130)=FALSE,"",IF((('Dvd Calendar'!$AB$1132=TYPE1)*(TYPE1&lt;&gt;"")+('Dvd Calendar'!$AB$1132=TYPE2)*(TYPE2&lt;&gt;"")+('Dvd Calendar'!$AB$1132=TYPE3)*(TYPE3&lt;&gt;"")+('Dvd Calendar'!$AB$1132=TYPE4)*(TYPE4&lt;&gt;"")+('Dvd Calendar'!$AB$1132=SPECIAL_LBL)*(INC_SPECIALS="Y"))=0,"",'Dvd Calendar'!$AB$1130)))</f>
        <v/>
      </c>
      <c r="AA117" s="110">
        <f>IF(FC117="","",IF(ISNUMBER('Dvd Calendar'!$AC$1130)=FALSE,"",IF((('Dvd Calendar'!$AC$1132=TYPE1)*(TYPE1&lt;&gt;"")+('Dvd Calendar'!$AC$1132=TYPE2)*(TYPE2&lt;&gt;"")+('Dvd Calendar'!$AC$1132=TYPE3)*(TYPE3&lt;&gt;"")+('Dvd Calendar'!$AC$1132=TYPE4)*(TYPE4&lt;&gt;"")+('Dvd Calendar'!$AC$1132=SPECIAL_LBL)*(INC_SPECIALS="Y"))=0,"",'Dvd Calendar'!$AC$1130)))</f>
        <v/>
      </c>
      <c r="AB117" s="110">
        <f>IF(FD117="","",IF(ISNUMBER('Dvd Calendar'!$AD$1130)=FALSE,"",IF((('Dvd Calendar'!$AD$1132=TYPE1)*(TYPE1&lt;&gt;"")+('Dvd Calendar'!$AD$1132=TYPE2)*(TYPE2&lt;&gt;"")+('Dvd Calendar'!$AD$1132=TYPE3)*(TYPE3&lt;&gt;"")+('Dvd Calendar'!$AD$1132=TYPE4)*(TYPE4&lt;&gt;"")+('Dvd Calendar'!$AD$1132=SPECIAL_LBL)*(INC_SPECIALS="Y"))=0,"",'Dvd Calendar'!$AD$1130)))</f>
        <v/>
      </c>
      <c r="AC117" s="110">
        <f>IF(FE117="","",IF(ISNUMBER('Dvd Calendar'!$AE$1130)=FALSE,"",IF((('Dvd Calendar'!$AE$1132=TYPE1)*(TYPE1&lt;&gt;"")+('Dvd Calendar'!$AE$1132=TYPE2)*(TYPE2&lt;&gt;"")+('Dvd Calendar'!$AE$1132=TYPE3)*(TYPE3&lt;&gt;"")+('Dvd Calendar'!$AE$1132=TYPE4)*(TYPE4&lt;&gt;"")+('Dvd Calendar'!$AE$1132=SPECIAL_LBL)*(INC_SPECIALS="Y"))=0,"",'Dvd Calendar'!$AE$1130)))</f>
        <v/>
      </c>
      <c r="AD117" s="110">
        <f>IF(FF117="","",IF(ISNUMBER('Dvd Calendar'!$AF$1130)=FALSE,"",IF((('Dvd Calendar'!$AF$1132=TYPE1)*(TYPE1&lt;&gt;"")+('Dvd Calendar'!$AF$1132=TYPE2)*(TYPE2&lt;&gt;"")+('Dvd Calendar'!$AF$1132=TYPE3)*(TYPE3&lt;&gt;"")+('Dvd Calendar'!$AF$1132=TYPE4)*(TYPE4&lt;&gt;"")+('Dvd Calendar'!$AF$1132=SPECIAL_LBL)*(INC_SPECIALS="Y"))=0,"",'Dvd Calendar'!$AF$1130)))</f>
        <v/>
      </c>
      <c r="AE117" s="110">
        <f>IF(FG117="","",IF(ISNUMBER('Dvd Calendar'!$AG$1130)=FALSE,"",IF((('Dvd Calendar'!$AG$1132=TYPE1)*(TYPE1&lt;&gt;"")+('Dvd Calendar'!$AG$1132=TYPE2)*(TYPE2&lt;&gt;"")+('Dvd Calendar'!$AG$1132=TYPE3)*(TYPE3&lt;&gt;"")+('Dvd Calendar'!$AG$1132=TYPE4)*(TYPE4&lt;&gt;"")+('Dvd Calendar'!$AG$1132=SPECIAL_LBL)*(INC_SPECIALS="Y"))=0,"",'Dvd Calendar'!$AG$1130)))</f>
        <v/>
      </c>
      <c r="AF117" s="110">
        <f>IF(FH117="","",IF(ISNUMBER('Dvd Calendar'!$AH$1130)=FALSE,"",IF((('Dvd Calendar'!$AH$1132=TYPE1)*(TYPE1&lt;&gt;"")+('Dvd Calendar'!$AH$1132=TYPE2)*(TYPE2&lt;&gt;"")+('Dvd Calendar'!$AH$1132=TYPE3)*(TYPE3&lt;&gt;"")+('Dvd Calendar'!$AH$1132=TYPE4)*(TYPE4&lt;&gt;"")+('Dvd Calendar'!$AH$1132=SPECIAL_LBL)*(INC_SPECIALS="Y"))=0,"",'Dvd Calendar'!$AH$1130)))</f>
        <v/>
      </c>
      <c r="AG117" s="110">
        <f>IF(FI117="","",IF(ISNUMBER('Dvd Calendar'!$AI$1130)=FALSE,"",IF((('Dvd Calendar'!$AI$1132=TYPE1)*(TYPE1&lt;&gt;"")+('Dvd Calendar'!$AI$1132=TYPE2)*(TYPE2&lt;&gt;"")+('Dvd Calendar'!$AI$1132=TYPE3)*(TYPE3&lt;&gt;"")+('Dvd Calendar'!$AI$1132=TYPE4)*(TYPE4&lt;&gt;"")+('Dvd Calendar'!$AI$1132=SPECIAL_LBL)*(INC_SPECIALS="Y"))=0,"",'Dvd Calendar'!$AI$1130)))</f>
        <v/>
      </c>
      <c r="AH117" s="110">
        <f>IF(FJ117="","",IF(ISNUMBER('Dvd Calendar'!$AJ$1130)=FALSE,"",IF((('Dvd Calendar'!$AJ$1132=TYPE1)*(TYPE1&lt;&gt;"")+('Dvd Calendar'!$AJ$1132=TYPE2)*(TYPE2&lt;&gt;"")+('Dvd Calendar'!$AJ$1132=TYPE3)*(TYPE3&lt;&gt;"")+('Dvd Calendar'!$AJ$1132=TYPE4)*(TYPE4&lt;&gt;"")+('Dvd Calendar'!$AJ$1132=SPECIAL_LBL)*(INC_SPECIALS="Y"))=0,"",'Dvd Calendar'!$AJ$1130)))</f>
        <v/>
      </c>
      <c r="AI117" s="110">
        <f>IF(FK117="","",IF(ISNUMBER('Dvd Calendar'!$AK$1130)=FALSE,"",IF((('Dvd Calendar'!$AK$1132=TYPE1)*(TYPE1&lt;&gt;"")+('Dvd Calendar'!$AK$1132=TYPE2)*(TYPE2&lt;&gt;"")+('Dvd Calendar'!$AK$1132=TYPE3)*(TYPE3&lt;&gt;"")+('Dvd Calendar'!$AK$1132=TYPE4)*(TYPE4&lt;&gt;"")+('Dvd Calendar'!$AK$1132=SPECIAL_LBL)*(INC_SPECIALS="Y"))=0,"",'Dvd Calendar'!$AK$1130)))</f>
        <v/>
      </c>
      <c r="AJ117" s="110">
        <f>IF(FL117="","",IF(ISNUMBER('Dvd Calendar'!$AL$1130)=FALSE,"",IF((('Dvd Calendar'!$AL$1132=TYPE1)*(TYPE1&lt;&gt;"")+('Dvd Calendar'!$AL$1132=TYPE2)*(TYPE2&lt;&gt;"")+('Dvd Calendar'!$AL$1132=TYPE3)*(TYPE3&lt;&gt;"")+('Dvd Calendar'!$AL$1132=TYPE4)*(TYPE4&lt;&gt;"")+('Dvd Calendar'!$AL$1132=SPECIAL_LBL)*(INC_SPECIALS="Y"))=0,"",'Dvd Calendar'!$AL$1130)))</f>
        <v/>
      </c>
      <c r="AK117" s="110">
        <f>IF(FM117="","",IF(ISNUMBER('Dvd Calendar'!$AM$1130)=FALSE,"",IF((('Dvd Calendar'!$AM$1132=TYPE1)*(TYPE1&lt;&gt;"")+('Dvd Calendar'!$AM$1132=TYPE2)*(TYPE2&lt;&gt;"")+('Dvd Calendar'!$AM$1132=TYPE3)*(TYPE3&lt;&gt;"")+('Dvd Calendar'!$AM$1132=TYPE4)*(TYPE4&lt;&gt;"")+('Dvd Calendar'!$AM$1132=SPECIAL_LBL)*(INC_SPECIALS="Y"))=0,"",'Dvd Calendar'!$AM$1130)))</f>
        <v/>
      </c>
      <c r="AL117" s="110">
        <f>IF(FN117="","",IF(ISNUMBER('Dvd Calendar'!$AN$1130)=FALSE,"",IF((('Dvd Calendar'!$AN$1132=TYPE1)*(TYPE1&lt;&gt;"")+('Dvd Calendar'!$AN$1132=TYPE2)*(TYPE2&lt;&gt;"")+('Dvd Calendar'!$AN$1132=TYPE3)*(TYPE3&lt;&gt;"")+('Dvd Calendar'!$AN$1132=TYPE4)*(TYPE4&lt;&gt;"")+('Dvd Calendar'!$AN$1132=SPECIAL_LBL)*(INC_SPECIALS="Y"))=0,"",'Dvd Calendar'!$AN$1130)))</f>
        <v/>
      </c>
      <c r="AM117" s="110">
        <f>IF(FO117="","",IF(ISNUMBER('Dvd Calendar'!$AO$1130)=FALSE,"",IF((('Dvd Calendar'!$AO$1132=TYPE1)*(TYPE1&lt;&gt;"")+('Dvd Calendar'!$AO$1132=TYPE2)*(TYPE2&lt;&gt;"")+('Dvd Calendar'!$AO$1132=TYPE3)*(TYPE3&lt;&gt;"")+('Dvd Calendar'!$AO$1132=TYPE4)*(TYPE4&lt;&gt;"")+('Dvd Calendar'!$AO$1132=SPECIAL_LBL)*(INC_SPECIALS="Y"))=0,"",'Dvd Calendar'!$AO$1130)))</f>
        <v/>
      </c>
      <c r="AN117" s="110">
        <f>IF(FP117="","",IF(ISNUMBER('Dvd Calendar'!$AP$1130)=FALSE,"",IF((('Dvd Calendar'!$AP$1132=TYPE1)*(TYPE1&lt;&gt;"")+('Dvd Calendar'!$AP$1132=TYPE2)*(TYPE2&lt;&gt;"")+('Dvd Calendar'!$AP$1132=TYPE3)*(TYPE3&lt;&gt;"")+('Dvd Calendar'!$AP$1132=TYPE4)*(TYPE4&lt;&gt;"")+('Dvd Calendar'!$AP$1132=SPECIAL_LBL)*(INC_SPECIALS="Y"))=0,"",'Dvd Calendar'!$AP$1130)))</f>
        <v/>
      </c>
      <c r="AO117" s="110">
        <f>IF(FQ117="","",IF(ISNUMBER('Dvd Calendar'!$AQ$1130)=FALSE,"",IF((('Dvd Calendar'!$AQ$1132=TYPE1)*(TYPE1&lt;&gt;"")+('Dvd Calendar'!$AQ$1132=TYPE2)*(TYPE2&lt;&gt;"")+('Dvd Calendar'!$AQ$1132=TYPE3)*(TYPE3&lt;&gt;"")+('Dvd Calendar'!$AQ$1132=TYPE4)*(TYPE4&lt;&gt;"")+('Dvd Calendar'!$AQ$1132=SPECIAL_LBL)*(INC_SPECIALS="Y"))=0,"",'Dvd Calendar'!$AQ$1130)))</f>
        <v/>
      </c>
      <c r="AP117" s="110">
        <f>IF(FR117="","",IF(ISNUMBER('Dvd Calendar'!$AR$1130)=FALSE,"",IF((('Dvd Calendar'!$AR$1132=TYPE1)*(TYPE1&lt;&gt;"")+('Dvd Calendar'!$AR$1132=TYPE2)*(TYPE2&lt;&gt;"")+('Dvd Calendar'!$AR$1132=TYPE3)*(TYPE3&lt;&gt;"")+('Dvd Calendar'!$AR$1132=TYPE4)*(TYPE4&lt;&gt;"")+('Dvd Calendar'!$AR$1132=SPECIAL_LBL)*(INC_SPECIALS="Y"))=0,"",'Dvd Calendar'!$AR$1130)))</f>
        <v/>
      </c>
      <c r="AQ117" s="110">
        <f>IF(FS117="","",IF(ISNUMBER('Dvd Calendar'!$E$1135)=FALSE,"",'Dvd Calendar'!$E$1135))</f>
        <v/>
      </c>
      <c r="AR117" s="110">
        <f>IF(FT117="","",IF(ISNUMBER('Dvd Calendar'!$F$1135)=FALSE,"",'Dvd Calendar'!$F$1135))</f>
        <v/>
      </c>
      <c r="AS117" s="110">
        <f>IF(FU117="","",IF(ISNUMBER('Dvd Calendar'!$G$1135)=FALSE,"",'Dvd Calendar'!$G$1135))</f>
        <v/>
      </c>
      <c r="AT117" s="110">
        <f>IF(FV117="","",IF(ISNUMBER('Dvd Calendar'!$H$1135)=FALSE,"",'Dvd Calendar'!$H$1135))</f>
        <v/>
      </c>
      <c r="AU117" s="110">
        <f>IF(FW117="","",IF(ISNUMBER('Dvd Calendar'!$I$1135)=FALSE,"",'Dvd Calendar'!$I$1135))</f>
        <v/>
      </c>
      <c r="AV117" s="110">
        <f>IF(FX117="","",IF(ISNUMBER('Dvd Calendar'!$J$1135)=FALSE,"",'Dvd Calendar'!$J$1135))</f>
        <v/>
      </c>
      <c r="AW117" s="110">
        <f>IF(FY117="","",IF(ISNUMBER('Dvd Calendar'!$K$1135)=FALSE,"",'Dvd Calendar'!$K$1135))</f>
        <v/>
      </c>
      <c r="AX117" s="110">
        <f>IF(FZ117="","",IF(ISNUMBER('Dvd Calendar'!$L$1135)=FALSE,"",'Dvd Calendar'!$L$1135))</f>
        <v/>
      </c>
      <c r="AY117" s="110">
        <f>IF(GA117="","",IF(ISNUMBER('Dvd Calendar'!$M$1135)=FALSE,"",'Dvd Calendar'!$M$1135))</f>
        <v/>
      </c>
      <c r="AZ117" s="110">
        <f>IF(GB117="","",IF(ISNUMBER('Dvd Calendar'!$N$1135)=FALSE,"",'Dvd Calendar'!$N$1135))</f>
        <v/>
      </c>
      <c r="BA117" s="110">
        <f>IF(GC117="","",IF(ISNUMBER('Dvd Calendar'!$O$1135)=FALSE,"",'Dvd Calendar'!$O$1135))</f>
        <v/>
      </c>
      <c r="BB117" s="110">
        <f>IF(GD117="","",IF(ISNUMBER('Dvd Calendar'!$P$1135)=FALSE,"",'Dvd Calendar'!$P$1135))</f>
        <v/>
      </c>
      <c r="BC117" s="110">
        <f>IF(GE117="","",IF(ISNUMBER('Dvd Calendar'!$Q$1135)=FALSE,"",'Dvd Calendar'!$Q$1135))</f>
        <v/>
      </c>
      <c r="BD117" s="110">
        <f>IF(GF117="","",IF(ISNUMBER('Dvd Calendar'!$R$1135)=FALSE,"",'Dvd Calendar'!$R$1135))</f>
        <v/>
      </c>
      <c r="BE117" s="110">
        <f>IF(GG117="","",IF(ISNUMBER('Dvd Calendar'!$S$1135)=FALSE,"",'Dvd Calendar'!$S$1135))</f>
        <v/>
      </c>
      <c r="BF117" s="110">
        <f>IF(GH117="","",IF(ISNUMBER('Dvd Calendar'!$T$1135)=FALSE,"",'Dvd Calendar'!$T$1135))</f>
        <v/>
      </c>
      <c r="BG117" s="110">
        <f>IF(GI117="","",IF(ISNUMBER('Dvd Calendar'!$U$1135)=FALSE,"",'Dvd Calendar'!$U$1135))</f>
        <v/>
      </c>
      <c r="BH117" s="110">
        <f>IF(GJ117="","",IF(ISNUMBER('Dvd Calendar'!$V$1135)=FALSE,"",'Dvd Calendar'!$V$1135))</f>
        <v/>
      </c>
      <c r="BI117" s="110">
        <f>IF(GK117="","",IF(ISNUMBER('Dvd Calendar'!$W$1135)=FALSE,"",'Dvd Calendar'!$W$1135))</f>
        <v/>
      </c>
      <c r="BJ117" s="110">
        <f>IF(GL117="","",IF(ISNUMBER('Dvd Calendar'!$X$1135)=FALSE,"",'Dvd Calendar'!$X$1135))</f>
        <v/>
      </c>
      <c r="BK117" s="110">
        <f>IF(GM117="","",IF(ISNUMBER('Dvd Calendar'!$Y$1135)=FALSE,"",'Dvd Calendar'!$Y$1135))</f>
        <v/>
      </c>
      <c r="BL117" s="110">
        <f>IF(GN117="","",IF(ISNUMBER('Dvd Calendar'!$Z$1135)=FALSE,"",'Dvd Calendar'!$Z$1135))</f>
        <v/>
      </c>
      <c r="BM117" s="110">
        <f>IF(GO117="","",IF(ISNUMBER('Dvd Calendar'!$AA$1135)=FALSE,"",'Dvd Calendar'!$AA$1135))</f>
        <v/>
      </c>
      <c r="BN117" s="110">
        <f>IF(GP117="","",IF(ISNUMBER('Dvd Calendar'!$AB$1135)=FALSE,"",'Dvd Calendar'!$AB$1135))</f>
        <v/>
      </c>
      <c r="BO117" s="110">
        <f>IF(GQ117="","",IF(ISNUMBER('Dvd Calendar'!$AC$1135)=FALSE,"",'Dvd Calendar'!$AC$1135))</f>
        <v/>
      </c>
      <c r="BQ117" s="110">
        <f>IF(C117="","",IFERROR(C117*HSTECH!$B$8*HSTECH!$G$8/HSTECH!$B$3,""))</f>
        <v/>
      </c>
      <c r="BR117" s="110">
        <f>IF(D117="","",IFERROR(D117*HSTECH!$B$8*HSTECH!$G$8/HSTECH!$B$3,""))</f>
        <v/>
      </c>
      <c r="BS117" s="110">
        <f>IF(E117="","",IFERROR(E117*HSTECH!$B$8*HSTECH!$G$8/HSTECH!$B$3,""))</f>
        <v/>
      </c>
      <c r="BT117" s="110">
        <f>IF(F117="","",IFERROR(F117*HSTECH!$B$8*HSTECH!$G$8/HSTECH!$B$3,""))</f>
        <v/>
      </c>
      <c r="BU117" s="110">
        <f>IF(G117="","",IFERROR(G117*HSTECH!$B$8*HSTECH!$G$8/HSTECH!$B$3,""))</f>
        <v/>
      </c>
      <c r="BV117" s="110">
        <f>IF(H117="","",IFERROR(H117*HSTECH!$B$8*HSTECH!$G$8/HSTECH!$B$3,""))</f>
        <v/>
      </c>
      <c r="BW117" s="110">
        <f>IF(I117="","",IFERROR(I117*HSTECH!$B$8*HSTECH!$G$8/HSTECH!$B$3,""))</f>
        <v/>
      </c>
      <c r="BX117" s="110">
        <f>IF(J117="","",IFERROR(J117*HSTECH!$B$8*HSTECH!$G$8/HSTECH!$B$3,""))</f>
        <v/>
      </c>
      <c r="BY117" s="110">
        <f>IF(K117="","",IFERROR(K117*HSTECH!$B$8*HSTECH!$G$8/HSTECH!$B$3,""))</f>
        <v/>
      </c>
      <c r="BZ117" s="110">
        <f>IF(L117="","",IFERROR(L117*HSTECH!$B$8*HSTECH!$G$8/HSTECH!$B$3,""))</f>
        <v/>
      </c>
      <c r="CA117" s="110">
        <f>IF(M117="","",IFERROR(M117*HSTECH!$B$8*HSTECH!$G$8/HSTECH!$B$3,""))</f>
        <v/>
      </c>
      <c r="CB117" s="110">
        <f>IF(N117="","",IFERROR(N117*HSTECH!$B$8*HSTECH!$G$8/HSTECH!$B$3,""))</f>
        <v/>
      </c>
      <c r="CC117" s="110">
        <f>IF(O117="","",IFERROR(O117*HSTECH!$B$8*HSTECH!$G$8/HSTECH!$B$3,""))</f>
        <v/>
      </c>
      <c r="CD117" s="110">
        <f>IF(P117="","",IFERROR(P117*HSTECH!$B$8*HSTECH!$G$8/HSTECH!$B$3,""))</f>
        <v/>
      </c>
      <c r="CE117" s="110">
        <f>IF(Q117="","",IFERROR(Q117*HSTECH!$B$8*HSTECH!$G$8/HSTECH!$B$3,""))</f>
        <v/>
      </c>
      <c r="CF117" s="110">
        <f>IF(R117="","",IFERROR(R117*HSTECH!$B$8*HSTECH!$G$8/HSTECH!$B$3,""))</f>
        <v/>
      </c>
      <c r="CG117" s="110">
        <f>IF(S117="","",IFERROR(S117*HSTECH!$B$8*HSTECH!$G$8/HSTECH!$B$3,""))</f>
        <v/>
      </c>
      <c r="CH117" s="110">
        <f>IF(T117="","",IFERROR(T117*HSTECH!$B$8*HSTECH!$G$8/HSTECH!$B$3,""))</f>
        <v/>
      </c>
      <c r="CI117" s="110">
        <f>IF(U117="","",IFERROR(U117*HSTECH!$B$8*HSTECH!$G$8/HSTECH!$B$3,""))</f>
        <v/>
      </c>
      <c r="CJ117" s="110">
        <f>IF(V117="","",IFERROR(V117*HSTECH!$B$8*HSTECH!$G$8/HSTECH!$B$3,""))</f>
        <v/>
      </c>
      <c r="CK117" s="110">
        <f>IF(W117="","",IFERROR(W117*HSTECH!$B$8*HSTECH!$G$8/HSTECH!$B$3,""))</f>
        <v/>
      </c>
      <c r="CL117" s="110">
        <f>IF(X117="","",IFERROR(X117*HSTECH!$B$8*HSTECH!$G$8/HSTECH!$B$3,""))</f>
        <v/>
      </c>
      <c r="CM117" s="110">
        <f>IF(Y117="","",IFERROR(Y117*HSTECH!$B$8*HSTECH!$G$8/HSTECH!$B$3,""))</f>
        <v/>
      </c>
      <c r="CN117" s="110">
        <f>IF(Z117="","",IFERROR(Z117*HSTECH!$B$8*HSTECH!$G$8/HSTECH!$B$3,""))</f>
        <v/>
      </c>
      <c r="CO117" s="110">
        <f>IF(AA117="","",IFERROR(AA117*HSTECH!$B$8*HSTECH!$G$8/HSTECH!$B$3,""))</f>
        <v/>
      </c>
      <c r="CP117" s="110">
        <f>IF(AB117="","",IFERROR(AB117*HSTECH!$B$8*HSTECH!$G$8/HSTECH!$B$3,""))</f>
        <v/>
      </c>
      <c r="CQ117" s="110">
        <f>IF(AC117="","",IFERROR(AC117*HSTECH!$B$8*HSTECH!$G$8/HSTECH!$B$3,""))</f>
        <v/>
      </c>
      <c r="CR117" s="110">
        <f>IF(AD117="","",IFERROR(AD117*HSTECH!$B$8*HSTECH!$G$8/HSTECH!$B$3,""))</f>
        <v/>
      </c>
      <c r="CS117" s="110">
        <f>IF(AE117="","",IFERROR(AE117*HSTECH!$B$8*HSTECH!$G$8/HSTECH!$B$3,""))</f>
        <v/>
      </c>
      <c r="CT117" s="110">
        <f>IF(AF117="","",IFERROR(AF117*HSTECH!$B$8*HSTECH!$G$8/HSTECH!$B$3,""))</f>
        <v/>
      </c>
      <c r="CU117" s="110">
        <f>IF(AG117="","",IFERROR(AG117*HSTECH!$B$8*HSTECH!$G$8/HSTECH!$B$3,""))</f>
        <v/>
      </c>
      <c r="CV117" s="110">
        <f>IF(AH117="","",IFERROR(AH117*HSTECH!$B$8*HSTECH!$G$8/HSTECH!$B$3,""))</f>
        <v/>
      </c>
      <c r="CW117" s="110">
        <f>IF(AI117="","",IFERROR(AI117*HSTECH!$B$8*HSTECH!$G$8/HSTECH!$B$3,""))</f>
        <v/>
      </c>
      <c r="CX117" s="110">
        <f>IF(AJ117="","",IFERROR(AJ117*HSTECH!$B$8*HSTECH!$G$8/HSTECH!$B$3,""))</f>
        <v/>
      </c>
      <c r="CY117" s="110">
        <f>IF(AK117="","",IFERROR(AK117*HSTECH!$B$8*HSTECH!$G$8/HSTECH!$B$3,""))</f>
        <v/>
      </c>
      <c r="CZ117" s="110">
        <f>IF(AL117="","",IFERROR(AL117*HSTECH!$B$8*HSTECH!$G$8/HSTECH!$B$3,""))</f>
        <v/>
      </c>
      <c r="DA117" s="110">
        <f>IF(AM117="","",IFERROR(AM117*HSTECH!$B$8*HSTECH!$G$8/HSTECH!$B$3,""))</f>
        <v/>
      </c>
      <c r="DB117" s="110">
        <f>IF(AN117="","",IFERROR(AN117*HSTECH!$B$8*HSTECH!$G$8/HSTECH!$B$3,""))</f>
        <v/>
      </c>
      <c r="DC117" s="110">
        <f>IF(AO117="","",IFERROR(AO117*HSTECH!$B$8*HSTECH!$G$8/HSTECH!$B$3,""))</f>
        <v/>
      </c>
      <c r="DD117" s="110">
        <f>IF(AP117="","",IFERROR(AP117*HSTECH!$B$8*HSTECH!$G$8/HSTECH!$B$3,""))</f>
        <v/>
      </c>
      <c r="DE117" s="110">
        <f>IF(AQ117="","",IFERROR(AQ117*HSTECH!$B$8*HSTECH!$G$8/HSTECH!$B$3,""))</f>
        <v/>
      </c>
      <c r="DF117" s="110">
        <f>IF(AR117="","",IFERROR(AR117*HSTECH!$B$8*HSTECH!$G$8/HSTECH!$B$3,""))</f>
        <v/>
      </c>
      <c r="DG117" s="110">
        <f>IF(AS117="","",IFERROR(AS117*HSTECH!$B$8*HSTECH!$G$8/HSTECH!$B$3,""))</f>
        <v/>
      </c>
      <c r="DH117" s="110">
        <f>IF(AT117="","",IFERROR(AT117*HSTECH!$B$8*HSTECH!$G$8/HSTECH!$B$3,""))</f>
        <v/>
      </c>
      <c r="DI117" s="110">
        <f>IF(AU117="","",IFERROR(AU117*HSTECH!$B$8*HSTECH!$G$8/HSTECH!$B$3,""))</f>
        <v/>
      </c>
      <c r="DJ117" s="110">
        <f>IF(AV117="","",IFERROR(AV117*HSTECH!$B$8*HSTECH!$G$8/HSTECH!$B$3,""))</f>
        <v/>
      </c>
      <c r="DK117" s="110">
        <f>IF(AW117="","",IFERROR(AW117*HSTECH!$B$8*HSTECH!$G$8/HSTECH!$B$3,""))</f>
        <v/>
      </c>
      <c r="DL117" s="110">
        <f>IF(AX117="","",IFERROR(AX117*HSTECH!$B$8*HSTECH!$G$8/HSTECH!$B$3,""))</f>
        <v/>
      </c>
      <c r="DM117" s="110">
        <f>IF(AY117="","",IFERROR(AY117*HSTECH!$B$8*HSTECH!$G$8/HSTECH!$B$3,""))</f>
        <v/>
      </c>
      <c r="DN117" s="110">
        <f>IF(AZ117="","",IFERROR(AZ117*HSTECH!$B$8*HSTECH!$G$8/HSTECH!$B$3,""))</f>
        <v/>
      </c>
      <c r="DO117" s="110">
        <f>IF(BA117="","",IFERROR(BA117*HSTECH!$B$8*HSTECH!$G$8/HSTECH!$B$3,""))</f>
        <v/>
      </c>
      <c r="DP117" s="110">
        <f>IF(BB117="","",IFERROR(BB117*HSTECH!$B$8*HSTECH!$G$8/HSTECH!$B$3,""))</f>
        <v/>
      </c>
      <c r="DQ117" s="110">
        <f>IF(BC117="","",IFERROR(BC117*HSTECH!$B$8*HSTECH!$G$8/HSTECH!$B$3,""))</f>
        <v/>
      </c>
      <c r="DR117" s="110">
        <f>IF(BD117="","",IFERROR(BD117*HSTECH!$B$8*HSTECH!$G$8/HSTECH!$B$3,""))</f>
        <v/>
      </c>
      <c r="DS117" s="110">
        <f>IF(BE117="","",IFERROR(BE117*HSTECH!$B$8*HSTECH!$G$8/HSTECH!$B$3,""))</f>
        <v/>
      </c>
      <c r="DT117" s="110">
        <f>IF(BF117="","",IFERROR(BF117*HSTECH!$B$8*HSTECH!$G$8/HSTECH!$B$3,""))</f>
        <v/>
      </c>
      <c r="DU117" s="110">
        <f>IF(BG117="","",IFERROR(BG117*HSTECH!$B$8*HSTECH!$G$8/HSTECH!$B$3,""))</f>
        <v/>
      </c>
      <c r="DV117" s="110">
        <f>IF(BH117="","",IFERROR(BH117*HSTECH!$B$8*HSTECH!$G$8/HSTECH!$B$3,""))</f>
        <v/>
      </c>
      <c r="DW117" s="110">
        <f>IF(BI117="","",IFERROR(BI117*HSTECH!$B$8*HSTECH!$G$8/HSTECH!$B$3,""))</f>
        <v/>
      </c>
      <c r="DX117" s="110">
        <f>IF(BJ117="","",IFERROR(BJ117*HSTECH!$B$8*HSTECH!$G$8/HSTECH!$B$3,""))</f>
        <v/>
      </c>
      <c r="DY117" s="110">
        <f>IF(BK117="","",IFERROR(BK117*HSTECH!$B$8*HSTECH!$G$8/HSTECH!$B$3,""))</f>
        <v/>
      </c>
      <c r="DZ117" s="110">
        <f>IF(BL117="","",IFERROR(BL117*HSTECH!$B$8*HSTECH!$G$8/HSTECH!$B$3,""))</f>
        <v/>
      </c>
      <c r="EA117" s="110">
        <f>IF(BM117="","",IFERROR(BM117*HSTECH!$B$8*HSTECH!$G$8/HSTECH!$B$3,""))</f>
        <v/>
      </c>
      <c r="EB117" s="110">
        <f>IF(BN117="","",IFERROR(BN117*HSTECH!$B$8*HSTECH!$G$8/HSTECH!$B$3,""))</f>
        <v/>
      </c>
      <c r="EC117" s="110">
        <f>IF(BO117="","",IFERROR(BO117*HSTECH!$B$8*HSTECH!$G$8/HSTECH!$B$3,""))</f>
        <v/>
      </c>
      <c r="EE117" s="39">
        <f>IF(N('Dvd Calendar'!$E$1127)=0,"",IF(('Dvd Calendar'!$E$1127&gt;=GRID_FROM)*('Dvd Calendar'!$E$1127&lt;=GRID_TO)*((('Dvd Calendar'!$E$1127&lt;=VAL_DATE)+(COUNTIF('Dvd Calendar'!$E$1134:$AR$1134,'Dvd Calendar'!$E$1127)=0))&gt;0)=0,"",'Dvd Calendar'!$E$1127*1000000000+ISNUMBER('Dvd Calendar'!$E$1130)*100000000+('Dvd Calendar'!$E$1132=SPECIAL_LBL)*10000000+(N('Dvd Calendar'!$E$1126)&gt;0)*(N('Dvd Calendar'!$E$1126)&lt;=VAL_SERIAL)*1000000+2*1000+1))</f>
        <v/>
      </c>
      <c r="EF117" s="39">
        <f>IF(N('Dvd Calendar'!$F$1127)=0,"",IF(('Dvd Calendar'!$F$1127&gt;=GRID_FROM)*('Dvd Calendar'!$F$1127&lt;=GRID_TO)*((('Dvd Calendar'!$F$1127&lt;=VAL_DATE)+(COUNTIF('Dvd Calendar'!$E$1134:$AR$1134,'Dvd Calendar'!$F$1127)=0))&gt;0)=0,"",'Dvd Calendar'!$F$1127*1000000000+ISNUMBER('Dvd Calendar'!$F$1130)*100000000+('Dvd Calendar'!$F$1132=SPECIAL_LBL)*10000000+(N('Dvd Calendar'!$F$1126)&gt;0)*(N('Dvd Calendar'!$F$1126)&lt;=VAL_SERIAL)*1000000+2*1000+2))</f>
        <v/>
      </c>
      <c r="EG117" s="39">
        <f>IF(N('Dvd Calendar'!$G$1127)=0,"",IF(('Dvd Calendar'!$G$1127&gt;=GRID_FROM)*('Dvd Calendar'!$G$1127&lt;=GRID_TO)*((('Dvd Calendar'!$G$1127&lt;=VAL_DATE)+(COUNTIF('Dvd Calendar'!$E$1134:$AR$1134,'Dvd Calendar'!$G$1127)=0))&gt;0)=0,"",'Dvd Calendar'!$G$1127*1000000000+ISNUMBER('Dvd Calendar'!$G$1130)*100000000+('Dvd Calendar'!$G$1132=SPECIAL_LBL)*10000000+(N('Dvd Calendar'!$G$1126)&gt;0)*(N('Dvd Calendar'!$G$1126)&lt;=VAL_SERIAL)*1000000+2*1000+3))</f>
        <v/>
      </c>
      <c r="EH117" s="39">
        <f>IF(N('Dvd Calendar'!$H$1127)=0,"",IF(('Dvd Calendar'!$H$1127&gt;=GRID_FROM)*('Dvd Calendar'!$H$1127&lt;=GRID_TO)*((('Dvd Calendar'!$H$1127&lt;=VAL_DATE)+(COUNTIF('Dvd Calendar'!$E$1134:$AR$1134,'Dvd Calendar'!$H$1127)=0))&gt;0)=0,"",'Dvd Calendar'!$H$1127*1000000000+ISNUMBER('Dvd Calendar'!$H$1130)*100000000+('Dvd Calendar'!$H$1132=SPECIAL_LBL)*10000000+(N('Dvd Calendar'!$H$1126)&gt;0)*(N('Dvd Calendar'!$H$1126)&lt;=VAL_SERIAL)*1000000+2*1000+4))</f>
        <v/>
      </c>
      <c r="EI117" s="39">
        <f>IF(N('Dvd Calendar'!$I$1127)=0,"",IF(('Dvd Calendar'!$I$1127&gt;=GRID_FROM)*('Dvd Calendar'!$I$1127&lt;=GRID_TO)*((('Dvd Calendar'!$I$1127&lt;=VAL_DATE)+(COUNTIF('Dvd Calendar'!$E$1134:$AR$1134,'Dvd Calendar'!$I$1127)=0))&gt;0)=0,"",'Dvd Calendar'!$I$1127*1000000000+ISNUMBER('Dvd Calendar'!$I$1130)*100000000+('Dvd Calendar'!$I$1132=SPECIAL_LBL)*10000000+(N('Dvd Calendar'!$I$1126)&gt;0)*(N('Dvd Calendar'!$I$1126)&lt;=VAL_SERIAL)*1000000+2*1000+5))</f>
        <v/>
      </c>
      <c r="EJ117" s="39">
        <f>IF(N('Dvd Calendar'!$J$1127)=0,"",IF(('Dvd Calendar'!$J$1127&gt;=GRID_FROM)*('Dvd Calendar'!$J$1127&lt;=GRID_TO)*((('Dvd Calendar'!$J$1127&lt;=VAL_DATE)+(COUNTIF('Dvd Calendar'!$E$1134:$AR$1134,'Dvd Calendar'!$J$1127)=0))&gt;0)=0,"",'Dvd Calendar'!$J$1127*1000000000+ISNUMBER('Dvd Calendar'!$J$1130)*100000000+('Dvd Calendar'!$J$1132=SPECIAL_LBL)*10000000+(N('Dvd Calendar'!$J$1126)&gt;0)*(N('Dvd Calendar'!$J$1126)&lt;=VAL_SERIAL)*1000000+2*1000+6))</f>
        <v/>
      </c>
      <c r="EK117" s="39">
        <f>IF(N('Dvd Calendar'!$K$1127)=0,"",IF(('Dvd Calendar'!$K$1127&gt;=GRID_FROM)*('Dvd Calendar'!$K$1127&lt;=GRID_TO)*((('Dvd Calendar'!$K$1127&lt;=VAL_DATE)+(COUNTIF('Dvd Calendar'!$E$1134:$AR$1134,'Dvd Calendar'!$K$1127)=0))&gt;0)=0,"",'Dvd Calendar'!$K$1127*1000000000+ISNUMBER('Dvd Calendar'!$K$1130)*100000000+('Dvd Calendar'!$K$1132=SPECIAL_LBL)*10000000+(N('Dvd Calendar'!$K$1126)&gt;0)*(N('Dvd Calendar'!$K$1126)&lt;=VAL_SERIAL)*1000000+2*1000+7))</f>
        <v/>
      </c>
      <c r="EL117" s="39">
        <f>IF(N('Dvd Calendar'!$L$1127)=0,"",IF(('Dvd Calendar'!$L$1127&gt;=GRID_FROM)*('Dvd Calendar'!$L$1127&lt;=GRID_TO)*((('Dvd Calendar'!$L$1127&lt;=VAL_DATE)+(COUNTIF('Dvd Calendar'!$E$1134:$AR$1134,'Dvd Calendar'!$L$1127)=0))&gt;0)=0,"",'Dvd Calendar'!$L$1127*1000000000+ISNUMBER('Dvd Calendar'!$L$1130)*100000000+('Dvd Calendar'!$L$1132=SPECIAL_LBL)*10000000+(N('Dvd Calendar'!$L$1126)&gt;0)*(N('Dvd Calendar'!$L$1126)&lt;=VAL_SERIAL)*1000000+2*1000+8))</f>
        <v/>
      </c>
      <c r="EM117" s="39">
        <f>IF(N('Dvd Calendar'!$M$1127)=0,"",IF(('Dvd Calendar'!$M$1127&gt;=GRID_FROM)*('Dvd Calendar'!$M$1127&lt;=GRID_TO)*((('Dvd Calendar'!$M$1127&lt;=VAL_DATE)+(COUNTIF('Dvd Calendar'!$E$1134:$AR$1134,'Dvd Calendar'!$M$1127)=0))&gt;0)=0,"",'Dvd Calendar'!$M$1127*1000000000+ISNUMBER('Dvd Calendar'!$M$1130)*100000000+('Dvd Calendar'!$M$1132=SPECIAL_LBL)*10000000+(N('Dvd Calendar'!$M$1126)&gt;0)*(N('Dvd Calendar'!$M$1126)&lt;=VAL_SERIAL)*1000000+2*1000+9))</f>
        <v/>
      </c>
      <c r="EN117" s="39">
        <f>IF(N('Dvd Calendar'!$N$1127)=0,"",IF(('Dvd Calendar'!$N$1127&gt;=GRID_FROM)*('Dvd Calendar'!$N$1127&lt;=GRID_TO)*((('Dvd Calendar'!$N$1127&lt;=VAL_DATE)+(COUNTIF('Dvd Calendar'!$E$1134:$AR$1134,'Dvd Calendar'!$N$1127)=0))&gt;0)=0,"",'Dvd Calendar'!$N$1127*1000000000+ISNUMBER('Dvd Calendar'!$N$1130)*100000000+('Dvd Calendar'!$N$1132=SPECIAL_LBL)*10000000+(N('Dvd Calendar'!$N$1126)&gt;0)*(N('Dvd Calendar'!$N$1126)&lt;=VAL_SERIAL)*1000000+2*1000+10))</f>
        <v/>
      </c>
      <c r="EO117" s="39">
        <f>IF(N('Dvd Calendar'!$O$1127)=0,"",IF(('Dvd Calendar'!$O$1127&gt;=GRID_FROM)*('Dvd Calendar'!$O$1127&lt;=GRID_TO)*((('Dvd Calendar'!$O$1127&lt;=VAL_DATE)+(COUNTIF('Dvd Calendar'!$E$1134:$AR$1134,'Dvd Calendar'!$O$1127)=0))&gt;0)=0,"",'Dvd Calendar'!$O$1127*1000000000+ISNUMBER('Dvd Calendar'!$O$1130)*100000000+('Dvd Calendar'!$O$1132=SPECIAL_LBL)*10000000+(N('Dvd Calendar'!$O$1126)&gt;0)*(N('Dvd Calendar'!$O$1126)&lt;=VAL_SERIAL)*1000000+2*1000+11))</f>
        <v/>
      </c>
      <c r="EP117" s="39">
        <f>IF(N('Dvd Calendar'!$P$1127)=0,"",IF(('Dvd Calendar'!$P$1127&gt;=GRID_FROM)*('Dvd Calendar'!$P$1127&lt;=GRID_TO)*((('Dvd Calendar'!$P$1127&lt;=VAL_DATE)+(COUNTIF('Dvd Calendar'!$E$1134:$AR$1134,'Dvd Calendar'!$P$1127)=0))&gt;0)=0,"",'Dvd Calendar'!$P$1127*1000000000+ISNUMBER('Dvd Calendar'!$P$1130)*100000000+('Dvd Calendar'!$P$1132=SPECIAL_LBL)*10000000+(N('Dvd Calendar'!$P$1126)&gt;0)*(N('Dvd Calendar'!$P$1126)&lt;=VAL_SERIAL)*1000000+2*1000+12))</f>
        <v/>
      </c>
      <c r="EQ117" s="39">
        <f>IF(N('Dvd Calendar'!$Q$1127)=0,"",IF(('Dvd Calendar'!$Q$1127&gt;=GRID_FROM)*('Dvd Calendar'!$Q$1127&lt;=GRID_TO)*((('Dvd Calendar'!$Q$1127&lt;=VAL_DATE)+(COUNTIF('Dvd Calendar'!$E$1134:$AR$1134,'Dvd Calendar'!$Q$1127)=0))&gt;0)=0,"",'Dvd Calendar'!$Q$1127*1000000000+ISNUMBER('Dvd Calendar'!$Q$1130)*100000000+('Dvd Calendar'!$Q$1132=SPECIAL_LBL)*10000000+(N('Dvd Calendar'!$Q$1126)&gt;0)*(N('Dvd Calendar'!$Q$1126)&lt;=VAL_SERIAL)*1000000+2*1000+13))</f>
        <v/>
      </c>
      <c r="ER117" s="39">
        <f>IF(N('Dvd Calendar'!$R$1127)=0,"",IF(('Dvd Calendar'!$R$1127&gt;=GRID_FROM)*('Dvd Calendar'!$R$1127&lt;=GRID_TO)*((('Dvd Calendar'!$R$1127&lt;=VAL_DATE)+(COUNTIF('Dvd Calendar'!$E$1134:$AR$1134,'Dvd Calendar'!$R$1127)=0))&gt;0)=0,"",'Dvd Calendar'!$R$1127*1000000000+ISNUMBER('Dvd Calendar'!$R$1130)*100000000+('Dvd Calendar'!$R$1132=SPECIAL_LBL)*10000000+(N('Dvd Calendar'!$R$1126)&gt;0)*(N('Dvd Calendar'!$R$1126)&lt;=VAL_SERIAL)*1000000+2*1000+14))</f>
        <v/>
      </c>
      <c r="ES117" s="39">
        <f>IF(N('Dvd Calendar'!$S$1127)=0,"",IF(('Dvd Calendar'!$S$1127&gt;=GRID_FROM)*('Dvd Calendar'!$S$1127&lt;=GRID_TO)*((('Dvd Calendar'!$S$1127&lt;=VAL_DATE)+(COUNTIF('Dvd Calendar'!$E$1134:$AR$1134,'Dvd Calendar'!$S$1127)=0))&gt;0)=0,"",'Dvd Calendar'!$S$1127*1000000000+ISNUMBER('Dvd Calendar'!$S$1130)*100000000+('Dvd Calendar'!$S$1132=SPECIAL_LBL)*10000000+(N('Dvd Calendar'!$S$1126)&gt;0)*(N('Dvd Calendar'!$S$1126)&lt;=VAL_SERIAL)*1000000+2*1000+15))</f>
        <v/>
      </c>
      <c r="ET117" s="39">
        <f>IF(N('Dvd Calendar'!$T$1127)=0,"",IF(('Dvd Calendar'!$T$1127&gt;=GRID_FROM)*('Dvd Calendar'!$T$1127&lt;=GRID_TO)*((('Dvd Calendar'!$T$1127&lt;=VAL_DATE)+(COUNTIF('Dvd Calendar'!$E$1134:$AR$1134,'Dvd Calendar'!$T$1127)=0))&gt;0)=0,"",'Dvd Calendar'!$T$1127*1000000000+ISNUMBER('Dvd Calendar'!$T$1130)*100000000+('Dvd Calendar'!$T$1132=SPECIAL_LBL)*10000000+(N('Dvd Calendar'!$T$1126)&gt;0)*(N('Dvd Calendar'!$T$1126)&lt;=VAL_SERIAL)*1000000+2*1000+16))</f>
        <v/>
      </c>
      <c r="EU117" s="39">
        <f>IF(N('Dvd Calendar'!$U$1127)=0,"",IF(('Dvd Calendar'!$U$1127&gt;=GRID_FROM)*('Dvd Calendar'!$U$1127&lt;=GRID_TO)*((('Dvd Calendar'!$U$1127&lt;=VAL_DATE)+(COUNTIF('Dvd Calendar'!$E$1134:$AR$1134,'Dvd Calendar'!$U$1127)=0))&gt;0)=0,"",'Dvd Calendar'!$U$1127*1000000000+ISNUMBER('Dvd Calendar'!$U$1130)*100000000+('Dvd Calendar'!$U$1132=SPECIAL_LBL)*10000000+(N('Dvd Calendar'!$U$1126)&gt;0)*(N('Dvd Calendar'!$U$1126)&lt;=VAL_SERIAL)*1000000+2*1000+17))</f>
        <v/>
      </c>
      <c r="EV117" s="39">
        <f>IF(N('Dvd Calendar'!$V$1127)=0,"",IF(('Dvd Calendar'!$V$1127&gt;=GRID_FROM)*('Dvd Calendar'!$V$1127&lt;=GRID_TO)*((('Dvd Calendar'!$V$1127&lt;=VAL_DATE)+(COUNTIF('Dvd Calendar'!$E$1134:$AR$1134,'Dvd Calendar'!$V$1127)=0))&gt;0)=0,"",'Dvd Calendar'!$V$1127*1000000000+ISNUMBER('Dvd Calendar'!$V$1130)*100000000+('Dvd Calendar'!$V$1132=SPECIAL_LBL)*10000000+(N('Dvd Calendar'!$V$1126)&gt;0)*(N('Dvd Calendar'!$V$1126)&lt;=VAL_SERIAL)*1000000+2*1000+18))</f>
        <v/>
      </c>
      <c r="EW117" s="39">
        <f>IF(N('Dvd Calendar'!$W$1127)=0,"",IF(('Dvd Calendar'!$W$1127&gt;=GRID_FROM)*('Dvd Calendar'!$W$1127&lt;=GRID_TO)*((('Dvd Calendar'!$W$1127&lt;=VAL_DATE)+(COUNTIF('Dvd Calendar'!$E$1134:$AR$1134,'Dvd Calendar'!$W$1127)=0))&gt;0)=0,"",'Dvd Calendar'!$W$1127*1000000000+ISNUMBER('Dvd Calendar'!$W$1130)*100000000+('Dvd Calendar'!$W$1132=SPECIAL_LBL)*10000000+(N('Dvd Calendar'!$W$1126)&gt;0)*(N('Dvd Calendar'!$W$1126)&lt;=VAL_SERIAL)*1000000+2*1000+19))</f>
        <v/>
      </c>
      <c r="EX117" s="39">
        <f>IF(N('Dvd Calendar'!$X$1127)=0,"",IF(('Dvd Calendar'!$X$1127&gt;=GRID_FROM)*('Dvd Calendar'!$X$1127&lt;=GRID_TO)*((('Dvd Calendar'!$X$1127&lt;=VAL_DATE)+(COUNTIF('Dvd Calendar'!$E$1134:$AR$1134,'Dvd Calendar'!$X$1127)=0))&gt;0)=0,"",'Dvd Calendar'!$X$1127*1000000000+ISNUMBER('Dvd Calendar'!$X$1130)*100000000+('Dvd Calendar'!$X$1132=SPECIAL_LBL)*10000000+(N('Dvd Calendar'!$X$1126)&gt;0)*(N('Dvd Calendar'!$X$1126)&lt;=VAL_SERIAL)*1000000+2*1000+20))</f>
        <v/>
      </c>
      <c r="EY117" s="39">
        <f>IF(N('Dvd Calendar'!$Y$1127)=0,"",IF(('Dvd Calendar'!$Y$1127&gt;=GRID_FROM)*('Dvd Calendar'!$Y$1127&lt;=GRID_TO)*((('Dvd Calendar'!$Y$1127&lt;=VAL_DATE)+(COUNTIF('Dvd Calendar'!$E$1134:$AR$1134,'Dvd Calendar'!$Y$1127)=0))&gt;0)=0,"",'Dvd Calendar'!$Y$1127*1000000000+ISNUMBER('Dvd Calendar'!$Y$1130)*100000000+('Dvd Calendar'!$Y$1132=SPECIAL_LBL)*10000000+(N('Dvd Calendar'!$Y$1126)&gt;0)*(N('Dvd Calendar'!$Y$1126)&lt;=VAL_SERIAL)*1000000+2*1000+21))</f>
        <v/>
      </c>
      <c r="EZ117" s="39">
        <f>IF(N('Dvd Calendar'!$Z$1127)=0,"",IF(('Dvd Calendar'!$Z$1127&gt;=GRID_FROM)*('Dvd Calendar'!$Z$1127&lt;=GRID_TO)*((('Dvd Calendar'!$Z$1127&lt;=VAL_DATE)+(COUNTIF('Dvd Calendar'!$E$1134:$AR$1134,'Dvd Calendar'!$Z$1127)=0))&gt;0)=0,"",'Dvd Calendar'!$Z$1127*1000000000+ISNUMBER('Dvd Calendar'!$Z$1130)*100000000+('Dvd Calendar'!$Z$1132=SPECIAL_LBL)*10000000+(N('Dvd Calendar'!$Z$1126)&gt;0)*(N('Dvd Calendar'!$Z$1126)&lt;=VAL_SERIAL)*1000000+2*1000+22))</f>
        <v/>
      </c>
      <c r="FA117" s="39">
        <f>IF(N('Dvd Calendar'!$AA$1127)=0,"",IF(('Dvd Calendar'!$AA$1127&gt;=GRID_FROM)*('Dvd Calendar'!$AA$1127&lt;=GRID_TO)*((('Dvd Calendar'!$AA$1127&lt;=VAL_DATE)+(COUNTIF('Dvd Calendar'!$E$1134:$AR$1134,'Dvd Calendar'!$AA$1127)=0))&gt;0)=0,"",'Dvd Calendar'!$AA$1127*1000000000+ISNUMBER('Dvd Calendar'!$AA$1130)*100000000+('Dvd Calendar'!$AA$1132=SPECIAL_LBL)*10000000+(N('Dvd Calendar'!$AA$1126)&gt;0)*(N('Dvd Calendar'!$AA$1126)&lt;=VAL_SERIAL)*1000000+2*1000+23))</f>
        <v/>
      </c>
      <c r="FB117" s="39">
        <f>IF(N('Dvd Calendar'!$AB$1127)=0,"",IF(('Dvd Calendar'!$AB$1127&gt;=GRID_FROM)*('Dvd Calendar'!$AB$1127&lt;=GRID_TO)*((('Dvd Calendar'!$AB$1127&lt;=VAL_DATE)+(COUNTIF('Dvd Calendar'!$E$1134:$AR$1134,'Dvd Calendar'!$AB$1127)=0))&gt;0)=0,"",'Dvd Calendar'!$AB$1127*1000000000+ISNUMBER('Dvd Calendar'!$AB$1130)*100000000+('Dvd Calendar'!$AB$1132=SPECIAL_LBL)*10000000+(N('Dvd Calendar'!$AB$1126)&gt;0)*(N('Dvd Calendar'!$AB$1126)&lt;=VAL_SERIAL)*1000000+2*1000+24))</f>
        <v/>
      </c>
      <c r="FC117" s="39">
        <f>IF(N('Dvd Calendar'!$AC$1127)=0,"",IF(('Dvd Calendar'!$AC$1127&gt;=GRID_FROM)*('Dvd Calendar'!$AC$1127&lt;=GRID_TO)*((('Dvd Calendar'!$AC$1127&lt;=VAL_DATE)+(COUNTIF('Dvd Calendar'!$E$1134:$AR$1134,'Dvd Calendar'!$AC$1127)=0))&gt;0)=0,"",'Dvd Calendar'!$AC$1127*1000000000+ISNUMBER('Dvd Calendar'!$AC$1130)*100000000+('Dvd Calendar'!$AC$1132=SPECIAL_LBL)*10000000+(N('Dvd Calendar'!$AC$1126)&gt;0)*(N('Dvd Calendar'!$AC$1126)&lt;=VAL_SERIAL)*1000000+2*1000+25))</f>
        <v/>
      </c>
      <c r="FD117" s="39">
        <f>IF(N('Dvd Calendar'!$AD$1127)=0,"",IF(('Dvd Calendar'!$AD$1127&gt;=GRID_FROM)*('Dvd Calendar'!$AD$1127&lt;=GRID_TO)*((('Dvd Calendar'!$AD$1127&lt;=VAL_DATE)+(COUNTIF('Dvd Calendar'!$E$1134:$AR$1134,'Dvd Calendar'!$AD$1127)=0))&gt;0)=0,"",'Dvd Calendar'!$AD$1127*1000000000+ISNUMBER('Dvd Calendar'!$AD$1130)*100000000+('Dvd Calendar'!$AD$1132=SPECIAL_LBL)*10000000+(N('Dvd Calendar'!$AD$1126)&gt;0)*(N('Dvd Calendar'!$AD$1126)&lt;=VAL_SERIAL)*1000000+2*1000+26))</f>
        <v/>
      </c>
      <c r="FE117" s="39">
        <f>IF(N('Dvd Calendar'!$AE$1127)=0,"",IF(('Dvd Calendar'!$AE$1127&gt;=GRID_FROM)*('Dvd Calendar'!$AE$1127&lt;=GRID_TO)*((('Dvd Calendar'!$AE$1127&lt;=VAL_DATE)+(COUNTIF('Dvd Calendar'!$E$1134:$AR$1134,'Dvd Calendar'!$AE$1127)=0))&gt;0)=0,"",'Dvd Calendar'!$AE$1127*1000000000+ISNUMBER('Dvd Calendar'!$AE$1130)*100000000+('Dvd Calendar'!$AE$1132=SPECIAL_LBL)*10000000+(N('Dvd Calendar'!$AE$1126)&gt;0)*(N('Dvd Calendar'!$AE$1126)&lt;=VAL_SERIAL)*1000000+2*1000+27))</f>
        <v/>
      </c>
      <c r="FF117" s="39">
        <f>IF(N('Dvd Calendar'!$AF$1127)=0,"",IF(('Dvd Calendar'!$AF$1127&gt;=GRID_FROM)*('Dvd Calendar'!$AF$1127&lt;=GRID_TO)*((('Dvd Calendar'!$AF$1127&lt;=VAL_DATE)+(COUNTIF('Dvd Calendar'!$E$1134:$AR$1134,'Dvd Calendar'!$AF$1127)=0))&gt;0)=0,"",'Dvd Calendar'!$AF$1127*1000000000+ISNUMBER('Dvd Calendar'!$AF$1130)*100000000+('Dvd Calendar'!$AF$1132=SPECIAL_LBL)*10000000+(N('Dvd Calendar'!$AF$1126)&gt;0)*(N('Dvd Calendar'!$AF$1126)&lt;=VAL_SERIAL)*1000000+2*1000+28))</f>
        <v/>
      </c>
      <c r="FG117" s="39">
        <f>IF(N('Dvd Calendar'!$AG$1127)=0,"",IF(('Dvd Calendar'!$AG$1127&gt;=GRID_FROM)*('Dvd Calendar'!$AG$1127&lt;=GRID_TO)*((('Dvd Calendar'!$AG$1127&lt;=VAL_DATE)+(COUNTIF('Dvd Calendar'!$E$1134:$AR$1134,'Dvd Calendar'!$AG$1127)=0))&gt;0)=0,"",'Dvd Calendar'!$AG$1127*1000000000+ISNUMBER('Dvd Calendar'!$AG$1130)*100000000+('Dvd Calendar'!$AG$1132=SPECIAL_LBL)*10000000+(N('Dvd Calendar'!$AG$1126)&gt;0)*(N('Dvd Calendar'!$AG$1126)&lt;=VAL_SERIAL)*1000000+2*1000+29))</f>
        <v/>
      </c>
      <c r="FH117" s="39">
        <f>IF(N('Dvd Calendar'!$AH$1127)=0,"",IF(('Dvd Calendar'!$AH$1127&gt;=GRID_FROM)*('Dvd Calendar'!$AH$1127&lt;=GRID_TO)*((('Dvd Calendar'!$AH$1127&lt;=VAL_DATE)+(COUNTIF('Dvd Calendar'!$E$1134:$AR$1134,'Dvd Calendar'!$AH$1127)=0))&gt;0)=0,"",'Dvd Calendar'!$AH$1127*1000000000+ISNUMBER('Dvd Calendar'!$AH$1130)*100000000+('Dvd Calendar'!$AH$1132=SPECIAL_LBL)*10000000+(N('Dvd Calendar'!$AH$1126)&gt;0)*(N('Dvd Calendar'!$AH$1126)&lt;=VAL_SERIAL)*1000000+2*1000+30))</f>
        <v/>
      </c>
      <c r="FI117" s="39">
        <f>IF(N('Dvd Calendar'!$AI$1127)=0,"",IF(('Dvd Calendar'!$AI$1127&gt;=GRID_FROM)*('Dvd Calendar'!$AI$1127&lt;=GRID_TO)*((('Dvd Calendar'!$AI$1127&lt;=VAL_DATE)+(COUNTIF('Dvd Calendar'!$E$1134:$AR$1134,'Dvd Calendar'!$AI$1127)=0))&gt;0)=0,"",'Dvd Calendar'!$AI$1127*1000000000+ISNUMBER('Dvd Calendar'!$AI$1130)*100000000+('Dvd Calendar'!$AI$1132=SPECIAL_LBL)*10000000+(N('Dvd Calendar'!$AI$1126)&gt;0)*(N('Dvd Calendar'!$AI$1126)&lt;=VAL_SERIAL)*1000000+2*1000+31))</f>
        <v/>
      </c>
      <c r="FJ117" s="39">
        <f>IF(N('Dvd Calendar'!$AJ$1127)=0,"",IF(('Dvd Calendar'!$AJ$1127&gt;=GRID_FROM)*('Dvd Calendar'!$AJ$1127&lt;=GRID_TO)*((('Dvd Calendar'!$AJ$1127&lt;=VAL_DATE)+(COUNTIF('Dvd Calendar'!$E$1134:$AR$1134,'Dvd Calendar'!$AJ$1127)=0))&gt;0)=0,"",'Dvd Calendar'!$AJ$1127*1000000000+ISNUMBER('Dvd Calendar'!$AJ$1130)*100000000+('Dvd Calendar'!$AJ$1132=SPECIAL_LBL)*10000000+(N('Dvd Calendar'!$AJ$1126)&gt;0)*(N('Dvd Calendar'!$AJ$1126)&lt;=VAL_SERIAL)*1000000+2*1000+32))</f>
        <v/>
      </c>
      <c r="FK117" s="39">
        <f>IF(N('Dvd Calendar'!$AK$1127)=0,"",IF(('Dvd Calendar'!$AK$1127&gt;=GRID_FROM)*('Dvd Calendar'!$AK$1127&lt;=GRID_TO)*((('Dvd Calendar'!$AK$1127&lt;=VAL_DATE)+(COUNTIF('Dvd Calendar'!$E$1134:$AR$1134,'Dvd Calendar'!$AK$1127)=0))&gt;0)=0,"",'Dvd Calendar'!$AK$1127*1000000000+ISNUMBER('Dvd Calendar'!$AK$1130)*100000000+('Dvd Calendar'!$AK$1132=SPECIAL_LBL)*10000000+(N('Dvd Calendar'!$AK$1126)&gt;0)*(N('Dvd Calendar'!$AK$1126)&lt;=VAL_SERIAL)*1000000+2*1000+33))</f>
        <v/>
      </c>
      <c r="FL117" s="39">
        <f>IF(N('Dvd Calendar'!$AL$1127)=0,"",IF(('Dvd Calendar'!$AL$1127&gt;=GRID_FROM)*('Dvd Calendar'!$AL$1127&lt;=GRID_TO)*((('Dvd Calendar'!$AL$1127&lt;=VAL_DATE)+(COUNTIF('Dvd Calendar'!$E$1134:$AR$1134,'Dvd Calendar'!$AL$1127)=0))&gt;0)=0,"",'Dvd Calendar'!$AL$1127*1000000000+ISNUMBER('Dvd Calendar'!$AL$1130)*100000000+('Dvd Calendar'!$AL$1132=SPECIAL_LBL)*10000000+(N('Dvd Calendar'!$AL$1126)&gt;0)*(N('Dvd Calendar'!$AL$1126)&lt;=VAL_SERIAL)*1000000+2*1000+34))</f>
        <v/>
      </c>
      <c r="FM117" s="39">
        <f>IF(N('Dvd Calendar'!$AM$1127)=0,"",IF(('Dvd Calendar'!$AM$1127&gt;=GRID_FROM)*('Dvd Calendar'!$AM$1127&lt;=GRID_TO)*((('Dvd Calendar'!$AM$1127&lt;=VAL_DATE)+(COUNTIF('Dvd Calendar'!$E$1134:$AR$1134,'Dvd Calendar'!$AM$1127)=0))&gt;0)=0,"",'Dvd Calendar'!$AM$1127*1000000000+ISNUMBER('Dvd Calendar'!$AM$1130)*100000000+('Dvd Calendar'!$AM$1132=SPECIAL_LBL)*10000000+(N('Dvd Calendar'!$AM$1126)&gt;0)*(N('Dvd Calendar'!$AM$1126)&lt;=VAL_SERIAL)*1000000+2*1000+35))</f>
        <v/>
      </c>
      <c r="FN117" s="39">
        <f>IF(N('Dvd Calendar'!$AN$1127)=0,"",IF(('Dvd Calendar'!$AN$1127&gt;=GRID_FROM)*('Dvd Calendar'!$AN$1127&lt;=GRID_TO)*((('Dvd Calendar'!$AN$1127&lt;=VAL_DATE)+(COUNTIF('Dvd Calendar'!$E$1134:$AR$1134,'Dvd Calendar'!$AN$1127)=0))&gt;0)=0,"",'Dvd Calendar'!$AN$1127*1000000000+ISNUMBER('Dvd Calendar'!$AN$1130)*100000000+('Dvd Calendar'!$AN$1132=SPECIAL_LBL)*10000000+(N('Dvd Calendar'!$AN$1126)&gt;0)*(N('Dvd Calendar'!$AN$1126)&lt;=VAL_SERIAL)*1000000+2*1000+36))</f>
        <v/>
      </c>
      <c r="FO117" s="39">
        <f>IF(N('Dvd Calendar'!$AO$1127)=0,"",IF(('Dvd Calendar'!$AO$1127&gt;=GRID_FROM)*('Dvd Calendar'!$AO$1127&lt;=GRID_TO)*((('Dvd Calendar'!$AO$1127&lt;=VAL_DATE)+(COUNTIF('Dvd Calendar'!$E$1134:$AR$1134,'Dvd Calendar'!$AO$1127)=0))&gt;0)=0,"",'Dvd Calendar'!$AO$1127*1000000000+ISNUMBER('Dvd Calendar'!$AO$1130)*100000000+('Dvd Calendar'!$AO$1132=SPECIAL_LBL)*10000000+(N('Dvd Calendar'!$AO$1126)&gt;0)*(N('Dvd Calendar'!$AO$1126)&lt;=VAL_SERIAL)*1000000+2*1000+37))</f>
        <v/>
      </c>
      <c r="FP117" s="39">
        <f>IF(N('Dvd Calendar'!$AP$1127)=0,"",IF(('Dvd Calendar'!$AP$1127&gt;=GRID_FROM)*('Dvd Calendar'!$AP$1127&lt;=GRID_TO)*((('Dvd Calendar'!$AP$1127&lt;=VAL_DATE)+(COUNTIF('Dvd Calendar'!$E$1134:$AR$1134,'Dvd Calendar'!$AP$1127)=0))&gt;0)=0,"",'Dvd Calendar'!$AP$1127*1000000000+ISNUMBER('Dvd Calendar'!$AP$1130)*100000000+('Dvd Calendar'!$AP$1132=SPECIAL_LBL)*10000000+(N('Dvd Calendar'!$AP$1126)&gt;0)*(N('Dvd Calendar'!$AP$1126)&lt;=VAL_SERIAL)*1000000+2*1000+38))</f>
        <v/>
      </c>
      <c r="FQ117" s="39">
        <f>IF(N('Dvd Calendar'!$AQ$1127)=0,"",IF(('Dvd Calendar'!$AQ$1127&gt;=GRID_FROM)*('Dvd Calendar'!$AQ$1127&lt;=GRID_TO)*((('Dvd Calendar'!$AQ$1127&lt;=VAL_DATE)+(COUNTIF('Dvd Calendar'!$E$1134:$AR$1134,'Dvd Calendar'!$AQ$1127)=0))&gt;0)=0,"",'Dvd Calendar'!$AQ$1127*1000000000+ISNUMBER('Dvd Calendar'!$AQ$1130)*100000000+('Dvd Calendar'!$AQ$1132=SPECIAL_LBL)*10000000+(N('Dvd Calendar'!$AQ$1126)&gt;0)*(N('Dvd Calendar'!$AQ$1126)&lt;=VAL_SERIAL)*1000000+2*1000+39))</f>
        <v/>
      </c>
      <c r="FR117" s="39">
        <f>IF(N('Dvd Calendar'!$AR$1127)=0,"",IF(('Dvd Calendar'!$AR$1127&gt;=GRID_FROM)*('Dvd Calendar'!$AR$1127&lt;=GRID_TO)*((('Dvd Calendar'!$AR$1127&lt;=VAL_DATE)+(COUNTIF('Dvd Calendar'!$E$1134:$AR$1134,'Dvd Calendar'!$AR$1127)=0))&gt;0)=0,"",'Dvd Calendar'!$AR$1127*1000000000+ISNUMBER('Dvd Calendar'!$AR$1130)*100000000+('Dvd Calendar'!$AR$1132=SPECIAL_LBL)*10000000+(N('Dvd Calendar'!$AR$1126)&gt;0)*(N('Dvd Calendar'!$AR$1126)&lt;=VAL_SERIAL)*1000000+2*1000+40))</f>
        <v/>
      </c>
      <c r="FS117" s="39">
        <f>IF(N('Dvd Calendar'!$E$1134)=0,"",IF(('Dvd Calendar'!$E$1134&gt;=GRID_FROM)*('Dvd Calendar'!$E$1134&lt;=GRID_TO)*('Dvd Calendar'!$E$1134&gt;VAL_DATE)=0,"",'Dvd Calendar'!$E$1134*1000000000+ISNUMBER('Dvd Calendar'!$E$1135)*100000000+0*10000000+(N('Dvd Calendar'!$E$1133)&gt;0)*(N('Dvd Calendar'!$E$1133)&lt;=VAL_SERIAL)*1000000+2*1000+41))</f>
        <v/>
      </c>
      <c r="FT117" s="39">
        <f>IF(N('Dvd Calendar'!$F$1134)=0,"",IF(('Dvd Calendar'!$F$1134&gt;=GRID_FROM)*('Dvd Calendar'!$F$1134&lt;=GRID_TO)*('Dvd Calendar'!$F$1134&gt;VAL_DATE)=0,"",'Dvd Calendar'!$F$1134*1000000000+ISNUMBER('Dvd Calendar'!$F$1135)*100000000+0*10000000+(N('Dvd Calendar'!$F$1133)&gt;0)*(N('Dvd Calendar'!$F$1133)&lt;=VAL_SERIAL)*1000000+2*1000+42))</f>
        <v/>
      </c>
      <c r="FU117" s="39">
        <f>IF(N('Dvd Calendar'!$G$1134)=0,"",IF(('Dvd Calendar'!$G$1134&gt;=GRID_FROM)*('Dvd Calendar'!$G$1134&lt;=GRID_TO)*('Dvd Calendar'!$G$1134&gt;VAL_DATE)=0,"",'Dvd Calendar'!$G$1134*1000000000+ISNUMBER('Dvd Calendar'!$G$1135)*100000000+0*10000000+(N('Dvd Calendar'!$G$1133)&gt;0)*(N('Dvd Calendar'!$G$1133)&lt;=VAL_SERIAL)*1000000+2*1000+43))</f>
        <v/>
      </c>
      <c r="FV117" s="39">
        <f>IF(N('Dvd Calendar'!$H$1134)=0,"",IF(('Dvd Calendar'!$H$1134&gt;=GRID_FROM)*('Dvd Calendar'!$H$1134&lt;=GRID_TO)*('Dvd Calendar'!$H$1134&gt;VAL_DATE)=0,"",'Dvd Calendar'!$H$1134*1000000000+ISNUMBER('Dvd Calendar'!$H$1135)*100000000+0*10000000+(N('Dvd Calendar'!$H$1133)&gt;0)*(N('Dvd Calendar'!$H$1133)&lt;=VAL_SERIAL)*1000000+2*1000+44))</f>
        <v/>
      </c>
      <c r="FW117" s="39">
        <f>IF(N('Dvd Calendar'!$I$1134)=0,"",IF(('Dvd Calendar'!$I$1134&gt;=GRID_FROM)*('Dvd Calendar'!$I$1134&lt;=GRID_TO)*('Dvd Calendar'!$I$1134&gt;VAL_DATE)=0,"",'Dvd Calendar'!$I$1134*1000000000+ISNUMBER('Dvd Calendar'!$I$1135)*100000000+0*10000000+(N('Dvd Calendar'!$I$1133)&gt;0)*(N('Dvd Calendar'!$I$1133)&lt;=VAL_SERIAL)*1000000+2*1000+45))</f>
        <v/>
      </c>
      <c r="FX117" s="39">
        <f>IF(N('Dvd Calendar'!$J$1134)=0,"",IF(('Dvd Calendar'!$J$1134&gt;=GRID_FROM)*('Dvd Calendar'!$J$1134&lt;=GRID_TO)*('Dvd Calendar'!$J$1134&gt;VAL_DATE)=0,"",'Dvd Calendar'!$J$1134*1000000000+ISNUMBER('Dvd Calendar'!$J$1135)*100000000+0*10000000+(N('Dvd Calendar'!$J$1133)&gt;0)*(N('Dvd Calendar'!$J$1133)&lt;=VAL_SERIAL)*1000000+2*1000+46))</f>
        <v/>
      </c>
      <c r="FY117" s="39">
        <f>IF(N('Dvd Calendar'!$K$1134)=0,"",IF(('Dvd Calendar'!$K$1134&gt;=GRID_FROM)*('Dvd Calendar'!$K$1134&lt;=GRID_TO)*('Dvd Calendar'!$K$1134&gt;VAL_DATE)=0,"",'Dvd Calendar'!$K$1134*1000000000+ISNUMBER('Dvd Calendar'!$K$1135)*100000000+0*10000000+(N('Dvd Calendar'!$K$1133)&gt;0)*(N('Dvd Calendar'!$K$1133)&lt;=VAL_SERIAL)*1000000+2*1000+47))</f>
        <v/>
      </c>
      <c r="FZ117" s="39">
        <f>IF(N('Dvd Calendar'!$L$1134)=0,"",IF(('Dvd Calendar'!$L$1134&gt;=GRID_FROM)*('Dvd Calendar'!$L$1134&lt;=GRID_TO)*('Dvd Calendar'!$L$1134&gt;VAL_DATE)=0,"",'Dvd Calendar'!$L$1134*1000000000+ISNUMBER('Dvd Calendar'!$L$1135)*100000000+0*10000000+(N('Dvd Calendar'!$L$1133)&gt;0)*(N('Dvd Calendar'!$L$1133)&lt;=VAL_SERIAL)*1000000+2*1000+48))</f>
        <v/>
      </c>
      <c r="GA117" s="39">
        <f>IF(N('Dvd Calendar'!$M$1134)=0,"",IF(('Dvd Calendar'!$M$1134&gt;=GRID_FROM)*('Dvd Calendar'!$M$1134&lt;=GRID_TO)*('Dvd Calendar'!$M$1134&gt;VAL_DATE)=0,"",'Dvd Calendar'!$M$1134*1000000000+ISNUMBER('Dvd Calendar'!$M$1135)*100000000+0*10000000+(N('Dvd Calendar'!$M$1133)&gt;0)*(N('Dvd Calendar'!$M$1133)&lt;=VAL_SERIAL)*1000000+2*1000+49))</f>
        <v/>
      </c>
      <c r="GB117" s="39">
        <f>IF(N('Dvd Calendar'!$N$1134)=0,"",IF(('Dvd Calendar'!$N$1134&gt;=GRID_FROM)*('Dvd Calendar'!$N$1134&lt;=GRID_TO)*('Dvd Calendar'!$N$1134&gt;VAL_DATE)=0,"",'Dvd Calendar'!$N$1134*1000000000+ISNUMBER('Dvd Calendar'!$N$1135)*100000000+0*10000000+(N('Dvd Calendar'!$N$1133)&gt;0)*(N('Dvd Calendar'!$N$1133)&lt;=VAL_SERIAL)*1000000+2*1000+50))</f>
        <v/>
      </c>
      <c r="GC117" s="39">
        <f>IF(N('Dvd Calendar'!$O$1134)=0,"",IF(('Dvd Calendar'!$O$1134&gt;=GRID_FROM)*('Dvd Calendar'!$O$1134&lt;=GRID_TO)*('Dvd Calendar'!$O$1134&gt;VAL_DATE)=0,"",'Dvd Calendar'!$O$1134*1000000000+ISNUMBER('Dvd Calendar'!$O$1135)*100000000+0*10000000+(N('Dvd Calendar'!$O$1133)&gt;0)*(N('Dvd Calendar'!$O$1133)&lt;=VAL_SERIAL)*1000000+2*1000+51))</f>
        <v/>
      </c>
      <c r="GD117" s="39">
        <f>IF(N('Dvd Calendar'!$P$1134)=0,"",IF(('Dvd Calendar'!$P$1134&gt;=GRID_FROM)*('Dvd Calendar'!$P$1134&lt;=GRID_TO)*('Dvd Calendar'!$P$1134&gt;VAL_DATE)=0,"",'Dvd Calendar'!$P$1134*1000000000+ISNUMBER('Dvd Calendar'!$P$1135)*100000000+0*10000000+(N('Dvd Calendar'!$P$1133)&gt;0)*(N('Dvd Calendar'!$P$1133)&lt;=VAL_SERIAL)*1000000+2*1000+52))</f>
        <v/>
      </c>
      <c r="GE117" s="39">
        <f>IF(N('Dvd Calendar'!$Q$1134)=0,"",IF(('Dvd Calendar'!$Q$1134&gt;=GRID_FROM)*('Dvd Calendar'!$Q$1134&lt;=GRID_TO)*('Dvd Calendar'!$Q$1134&gt;VAL_DATE)=0,"",'Dvd Calendar'!$Q$1134*1000000000+ISNUMBER('Dvd Calendar'!$Q$1135)*100000000+0*10000000+(N('Dvd Calendar'!$Q$1133)&gt;0)*(N('Dvd Calendar'!$Q$1133)&lt;=VAL_SERIAL)*1000000+2*1000+53))</f>
        <v/>
      </c>
      <c r="GF117" s="39">
        <f>IF(N('Dvd Calendar'!$R$1134)=0,"",IF(('Dvd Calendar'!$R$1134&gt;=GRID_FROM)*('Dvd Calendar'!$R$1134&lt;=GRID_TO)*('Dvd Calendar'!$R$1134&gt;VAL_DATE)=0,"",'Dvd Calendar'!$R$1134*1000000000+ISNUMBER('Dvd Calendar'!$R$1135)*100000000+0*10000000+(N('Dvd Calendar'!$R$1133)&gt;0)*(N('Dvd Calendar'!$R$1133)&lt;=VAL_SERIAL)*1000000+2*1000+54))</f>
        <v/>
      </c>
      <c r="GG117" s="39">
        <f>IF(N('Dvd Calendar'!$S$1134)=0,"",IF(('Dvd Calendar'!$S$1134&gt;=GRID_FROM)*('Dvd Calendar'!$S$1134&lt;=GRID_TO)*('Dvd Calendar'!$S$1134&gt;VAL_DATE)=0,"",'Dvd Calendar'!$S$1134*1000000000+ISNUMBER('Dvd Calendar'!$S$1135)*100000000+0*10000000+(N('Dvd Calendar'!$S$1133)&gt;0)*(N('Dvd Calendar'!$S$1133)&lt;=VAL_SERIAL)*1000000+2*1000+55))</f>
        <v/>
      </c>
      <c r="GH117" s="39">
        <f>IF(N('Dvd Calendar'!$T$1134)=0,"",IF(('Dvd Calendar'!$T$1134&gt;=GRID_FROM)*('Dvd Calendar'!$T$1134&lt;=GRID_TO)*('Dvd Calendar'!$T$1134&gt;VAL_DATE)=0,"",'Dvd Calendar'!$T$1134*1000000000+ISNUMBER('Dvd Calendar'!$T$1135)*100000000+0*10000000+(N('Dvd Calendar'!$T$1133)&gt;0)*(N('Dvd Calendar'!$T$1133)&lt;=VAL_SERIAL)*1000000+2*1000+56))</f>
        <v/>
      </c>
      <c r="GI117" s="39">
        <f>IF(N('Dvd Calendar'!$U$1134)=0,"",IF(('Dvd Calendar'!$U$1134&gt;=GRID_FROM)*('Dvd Calendar'!$U$1134&lt;=GRID_TO)*('Dvd Calendar'!$U$1134&gt;VAL_DATE)=0,"",'Dvd Calendar'!$U$1134*1000000000+ISNUMBER('Dvd Calendar'!$U$1135)*100000000+0*10000000+(N('Dvd Calendar'!$U$1133)&gt;0)*(N('Dvd Calendar'!$U$1133)&lt;=VAL_SERIAL)*1000000+2*1000+57))</f>
        <v/>
      </c>
      <c r="GJ117" s="39">
        <f>IF(N('Dvd Calendar'!$V$1134)=0,"",IF(('Dvd Calendar'!$V$1134&gt;=GRID_FROM)*('Dvd Calendar'!$V$1134&lt;=GRID_TO)*('Dvd Calendar'!$V$1134&gt;VAL_DATE)=0,"",'Dvd Calendar'!$V$1134*1000000000+ISNUMBER('Dvd Calendar'!$V$1135)*100000000+0*10000000+(N('Dvd Calendar'!$V$1133)&gt;0)*(N('Dvd Calendar'!$V$1133)&lt;=VAL_SERIAL)*1000000+2*1000+58))</f>
        <v/>
      </c>
      <c r="GK117" s="39">
        <f>IF(N('Dvd Calendar'!$W$1134)=0,"",IF(('Dvd Calendar'!$W$1134&gt;=GRID_FROM)*('Dvd Calendar'!$W$1134&lt;=GRID_TO)*('Dvd Calendar'!$W$1134&gt;VAL_DATE)=0,"",'Dvd Calendar'!$W$1134*1000000000+ISNUMBER('Dvd Calendar'!$W$1135)*100000000+0*10000000+(N('Dvd Calendar'!$W$1133)&gt;0)*(N('Dvd Calendar'!$W$1133)&lt;=VAL_SERIAL)*1000000+2*1000+59))</f>
        <v/>
      </c>
      <c r="GL117" s="39">
        <f>IF(N('Dvd Calendar'!$X$1134)=0,"",IF(('Dvd Calendar'!$X$1134&gt;=GRID_FROM)*('Dvd Calendar'!$X$1134&lt;=GRID_TO)*('Dvd Calendar'!$X$1134&gt;VAL_DATE)=0,"",'Dvd Calendar'!$X$1134*1000000000+ISNUMBER('Dvd Calendar'!$X$1135)*100000000+0*10000000+(N('Dvd Calendar'!$X$1133)&gt;0)*(N('Dvd Calendar'!$X$1133)&lt;=VAL_SERIAL)*1000000+2*1000+60))</f>
        <v/>
      </c>
      <c r="GM117" s="39">
        <f>IF(N('Dvd Calendar'!$Y$1134)=0,"",IF(('Dvd Calendar'!$Y$1134&gt;=GRID_FROM)*('Dvd Calendar'!$Y$1134&lt;=GRID_TO)*('Dvd Calendar'!$Y$1134&gt;VAL_DATE)=0,"",'Dvd Calendar'!$Y$1134*1000000000+ISNUMBER('Dvd Calendar'!$Y$1135)*100000000+0*10000000+(N('Dvd Calendar'!$Y$1133)&gt;0)*(N('Dvd Calendar'!$Y$1133)&lt;=VAL_SERIAL)*1000000+2*1000+61))</f>
        <v/>
      </c>
      <c r="GN117" s="39">
        <f>IF(N('Dvd Calendar'!$Z$1134)=0,"",IF(('Dvd Calendar'!$Z$1134&gt;=GRID_FROM)*('Dvd Calendar'!$Z$1134&lt;=GRID_TO)*('Dvd Calendar'!$Z$1134&gt;VAL_DATE)=0,"",'Dvd Calendar'!$Z$1134*1000000000+ISNUMBER('Dvd Calendar'!$Z$1135)*100000000+0*10000000+(N('Dvd Calendar'!$Z$1133)&gt;0)*(N('Dvd Calendar'!$Z$1133)&lt;=VAL_SERIAL)*1000000+2*1000+62))</f>
        <v/>
      </c>
      <c r="GO117" s="39">
        <f>IF(N('Dvd Calendar'!$AA$1134)=0,"",IF(('Dvd Calendar'!$AA$1134&gt;=GRID_FROM)*('Dvd Calendar'!$AA$1134&lt;=GRID_TO)*('Dvd Calendar'!$AA$1134&gt;VAL_DATE)=0,"",'Dvd Calendar'!$AA$1134*1000000000+ISNUMBER('Dvd Calendar'!$AA$1135)*100000000+0*10000000+(N('Dvd Calendar'!$AA$1133)&gt;0)*(N('Dvd Calendar'!$AA$1133)&lt;=VAL_SERIAL)*1000000+2*1000+63))</f>
        <v/>
      </c>
      <c r="GP117" s="39">
        <f>IF(N('Dvd Calendar'!$AB$1134)=0,"",IF(('Dvd Calendar'!$AB$1134&gt;=GRID_FROM)*('Dvd Calendar'!$AB$1134&lt;=GRID_TO)*('Dvd Calendar'!$AB$1134&gt;VAL_DATE)=0,"",'Dvd Calendar'!$AB$1134*1000000000+ISNUMBER('Dvd Calendar'!$AB$1135)*100000000+0*10000000+(N('Dvd Calendar'!$AB$1133)&gt;0)*(N('Dvd Calendar'!$AB$1133)&lt;=VAL_SERIAL)*1000000+2*1000+64))</f>
        <v/>
      </c>
      <c r="GQ117" s="39">
        <f>IF(N('Dvd Calendar'!$AC$1134)=0,"",IF(('Dvd Calendar'!$AC$1134&gt;=GRID_FROM)*('Dvd Calendar'!$AC$1134&lt;=GRID_TO)*('Dvd Calendar'!$AC$1134&gt;VAL_DATE)=0,"",'Dvd Calendar'!$AC$1134*1000000000+ISNUMBER('Dvd Calendar'!$AC$1135)*100000000+0*10000000+(N('Dvd Calendar'!$AC$1133)&gt;0)*(N('Dvd Calendar'!$AC$1133)&lt;=VAL_SERIAL)*1000000+2*1000+65))</f>
        <v/>
      </c>
    </row>
    <row r="118">
      <c r="B118" s="2">
        <f>IF(HSTECH!$C$9="","",HSTECH!$C$9)</f>
        <v/>
      </c>
      <c r="C118" s="110">
        <f>IF(EE118="","",IF(ISNUMBER('Dvd Calendar'!$E$1141)=FALSE,"",IF((('Dvd Calendar'!$E$1143=TYPE1)*(TYPE1&lt;&gt;"")+('Dvd Calendar'!$E$1143=TYPE2)*(TYPE2&lt;&gt;"")+('Dvd Calendar'!$E$1143=TYPE3)*(TYPE3&lt;&gt;"")+('Dvd Calendar'!$E$1143=TYPE4)*(TYPE4&lt;&gt;"")+('Dvd Calendar'!$E$1143=SPECIAL_LBL)*(INC_SPECIALS="Y"))=0,"",'Dvd Calendar'!$E$1141)))</f>
        <v/>
      </c>
      <c r="D118" s="110">
        <f>IF(EF118="","",IF(ISNUMBER('Dvd Calendar'!$F$1141)=FALSE,"",IF((('Dvd Calendar'!$F$1143=TYPE1)*(TYPE1&lt;&gt;"")+('Dvd Calendar'!$F$1143=TYPE2)*(TYPE2&lt;&gt;"")+('Dvd Calendar'!$F$1143=TYPE3)*(TYPE3&lt;&gt;"")+('Dvd Calendar'!$F$1143=TYPE4)*(TYPE4&lt;&gt;"")+('Dvd Calendar'!$F$1143=SPECIAL_LBL)*(INC_SPECIALS="Y"))=0,"",'Dvd Calendar'!$F$1141)))</f>
        <v/>
      </c>
      <c r="E118" s="110">
        <f>IF(EG118="","",IF(ISNUMBER('Dvd Calendar'!$G$1141)=FALSE,"",IF((('Dvd Calendar'!$G$1143=TYPE1)*(TYPE1&lt;&gt;"")+('Dvd Calendar'!$G$1143=TYPE2)*(TYPE2&lt;&gt;"")+('Dvd Calendar'!$G$1143=TYPE3)*(TYPE3&lt;&gt;"")+('Dvd Calendar'!$G$1143=TYPE4)*(TYPE4&lt;&gt;"")+('Dvd Calendar'!$G$1143=SPECIAL_LBL)*(INC_SPECIALS="Y"))=0,"",'Dvd Calendar'!$G$1141)))</f>
        <v/>
      </c>
      <c r="F118" s="110">
        <f>IF(EH118="","",IF(ISNUMBER('Dvd Calendar'!$H$1141)=FALSE,"",IF((('Dvd Calendar'!$H$1143=TYPE1)*(TYPE1&lt;&gt;"")+('Dvd Calendar'!$H$1143=TYPE2)*(TYPE2&lt;&gt;"")+('Dvd Calendar'!$H$1143=TYPE3)*(TYPE3&lt;&gt;"")+('Dvd Calendar'!$H$1143=TYPE4)*(TYPE4&lt;&gt;"")+('Dvd Calendar'!$H$1143=SPECIAL_LBL)*(INC_SPECIALS="Y"))=0,"",'Dvd Calendar'!$H$1141)))</f>
        <v/>
      </c>
      <c r="G118" s="110">
        <f>IF(EI118="","",IF(ISNUMBER('Dvd Calendar'!$I$1141)=FALSE,"",IF((('Dvd Calendar'!$I$1143=TYPE1)*(TYPE1&lt;&gt;"")+('Dvd Calendar'!$I$1143=TYPE2)*(TYPE2&lt;&gt;"")+('Dvd Calendar'!$I$1143=TYPE3)*(TYPE3&lt;&gt;"")+('Dvd Calendar'!$I$1143=TYPE4)*(TYPE4&lt;&gt;"")+('Dvd Calendar'!$I$1143=SPECIAL_LBL)*(INC_SPECIALS="Y"))=0,"",'Dvd Calendar'!$I$1141)))</f>
        <v/>
      </c>
      <c r="H118" s="110">
        <f>IF(EJ118="","",IF(ISNUMBER('Dvd Calendar'!$J$1141)=FALSE,"",IF((('Dvd Calendar'!$J$1143=TYPE1)*(TYPE1&lt;&gt;"")+('Dvd Calendar'!$J$1143=TYPE2)*(TYPE2&lt;&gt;"")+('Dvd Calendar'!$J$1143=TYPE3)*(TYPE3&lt;&gt;"")+('Dvd Calendar'!$J$1143=TYPE4)*(TYPE4&lt;&gt;"")+('Dvd Calendar'!$J$1143=SPECIAL_LBL)*(INC_SPECIALS="Y"))=0,"",'Dvd Calendar'!$J$1141)))</f>
        <v/>
      </c>
      <c r="I118" s="110">
        <f>IF(EK118="","",IF(ISNUMBER('Dvd Calendar'!$K$1141)=FALSE,"",IF((('Dvd Calendar'!$K$1143=TYPE1)*(TYPE1&lt;&gt;"")+('Dvd Calendar'!$K$1143=TYPE2)*(TYPE2&lt;&gt;"")+('Dvd Calendar'!$K$1143=TYPE3)*(TYPE3&lt;&gt;"")+('Dvd Calendar'!$K$1143=TYPE4)*(TYPE4&lt;&gt;"")+('Dvd Calendar'!$K$1143=SPECIAL_LBL)*(INC_SPECIALS="Y"))=0,"",'Dvd Calendar'!$K$1141)))</f>
        <v/>
      </c>
      <c r="J118" s="110">
        <f>IF(EL118="","",IF(ISNUMBER('Dvd Calendar'!$L$1141)=FALSE,"",IF((('Dvd Calendar'!$L$1143=TYPE1)*(TYPE1&lt;&gt;"")+('Dvd Calendar'!$L$1143=TYPE2)*(TYPE2&lt;&gt;"")+('Dvd Calendar'!$L$1143=TYPE3)*(TYPE3&lt;&gt;"")+('Dvd Calendar'!$L$1143=TYPE4)*(TYPE4&lt;&gt;"")+('Dvd Calendar'!$L$1143=SPECIAL_LBL)*(INC_SPECIALS="Y"))=0,"",'Dvd Calendar'!$L$1141)))</f>
        <v/>
      </c>
      <c r="K118" s="110">
        <f>IF(EM118="","",IF(ISNUMBER('Dvd Calendar'!$M$1141)=FALSE,"",IF((('Dvd Calendar'!$M$1143=TYPE1)*(TYPE1&lt;&gt;"")+('Dvd Calendar'!$M$1143=TYPE2)*(TYPE2&lt;&gt;"")+('Dvd Calendar'!$M$1143=TYPE3)*(TYPE3&lt;&gt;"")+('Dvd Calendar'!$M$1143=TYPE4)*(TYPE4&lt;&gt;"")+('Dvd Calendar'!$M$1143=SPECIAL_LBL)*(INC_SPECIALS="Y"))=0,"",'Dvd Calendar'!$M$1141)))</f>
        <v/>
      </c>
      <c r="L118" s="110">
        <f>IF(EN118="","",IF(ISNUMBER('Dvd Calendar'!$N$1141)=FALSE,"",IF((('Dvd Calendar'!$N$1143=TYPE1)*(TYPE1&lt;&gt;"")+('Dvd Calendar'!$N$1143=TYPE2)*(TYPE2&lt;&gt;"")+('Dvd Calendar'!$N$1143=TYPE3)*(TYPE3&lt;&gt;"")+('Dvd Calendar'!$N$1143=TYPE4)*(TYPE4&lt;&gt;"")+('Dvd Calendar'!$N$1143=SPECIAL_LBL)*(INC_SPECIALS="Y"))=0,"",'Dvd Calendar'!$N$1141)))</f>
        <v/>
      </c>
      <c r="M118" s="110">
        <f>IF(EO118="","",IF(ISNUMBER('Dvd Calendar'!$O$1141)=FALSE,"",IF((('Dvd Calendar'!$O$1143=TYPE1)*(TYPE1&lt;&gt;"")+('Dvd Calendar'!$O$1143=TYPE2)*(TYPE2&lt;&gt;"")+('Dvd Calendar'!$O$1143=TYPE3)*(TYPE3&lt;&gt;"")+('Dvd Calendar'!$O$1143=TYPE4)*(TYPE4&lt;&gt;"")+('Dvd Calendar'!$O$1143=SPECIAL_LBL)*(INC_SPECIALS="Y"))=0,"",'Dvd Calendar'!$O$1141)))</f>
        <v/>
      </c>
      <c r="N118" s="110">
        <f>IF(EP118="","",IF(ISNUMBER('Dvd Calendar'!$P$1141)=FALSE,"",IF((('Dvd Calendar'!$P$1143=TYPE1)*(TYPE1&lt;&gt;"")+('Dvd Calendar'!$P$1143=TYPE2)*(TYPE2&lt;&gt;"")+('Dvd Calendar'!$P$1143=TYPE3)*(TYPE3&lt;&gt;"")+('Dvd Calendar'!$P$1143=TYPE4)*(TYPE4&lt;&gt;"")+('Dvd Calendar'!$P$1143=SPECIAL_LBL)*(INC_SPECIALS="Y"))=0,"",'Dvd Calendar'!$P$1141)))</f>
        <v/>
      </c>
      <c r="O118" s="110">
        <f>IF(EQ118="","",IF(ISNUMBER('Dvd Calendar'!$Q$1141)=FALSE,"",IF((('Dvd Calendar'!$Q$1143=TYPE1)*(TYPE1&lt;&gt;"")+('Dvd Calendar'!$Q$1143=TYPE2)*(TYPE2&lt;&gt;"")+('Dvd Calendar'!$Q$1143=TYPE3)*(TYPE3&lt;&gt;"")+('Dvd Calendar'!$Q$1143=TYPE4)*(TYPE4&lt;&gt;"")+('Dvd Calendar'!$Q$1143=SPECIAL_LBL)*(INC_SPECIALS="Y"))=0,"",'Dvd Calendar'!$Q$1141)))</f>
        <v/>
      </c>
      <c r="P118" s="110">
        <f>IF(ER118="","",IF(ISNUMBER('Dvd Calendar'!$R$1141)=FALSE,"",IF((('Dvd Calendar'!$R$1143=TYPE1)*(TYPE1&lt;&gt;"")+('Dvd Calendar'!$R$1143=TYPE2)*(TYPE2&lt;&gt;"")+('Dvd Calendar'!$R$1143=TYPE3)*(TYPE3&lt;&gt;"")+('Dvd Calendar'!$R$1143=TYPE4)*(TYPE4&lt;&gt;"")+('Dvd Calendar'!$R$1143=SPECIAL_LBL)*(INC_SPECIALS="Y"))=0,"",'Dvd Calendar'!$R$1141)))</f>
        <v/>
      </c>
      <c r="Q118" s="110">
        <f>IF(ES118="","",IF(ISNUMBER('Dvd Calendar'!$S$1141)=FALSE,"",IF((('Dvd Calendar'!$S$1143=TYPE1)*(TYPE1&lt;&gt;"")+('Dvd Calendar'!$S$1143=TYPE2)*(TYPE2&lt;&gt;"")+('Dvd Calendar'!$S$1143=TYPE3)*(TYPE3&lt;&gt;"")+('Dvd Calendar'!$S$1143=TYPE4)*(TYPE4&lt;&gt;"")+('Dvd Calendar'!$S$1143=SPECIAL_LBL)*(INC_SPECIALS="Y"))=0,"",'Dvd Calendar'!$S$1141)))</f>
        <v/>
      </c>
      <c r="R118" s="110">
        <f>IF(ET118="","",IF(ISNUMBER('Dvd Calendar'!$T$1141)=FALSE,"",IF((('Dvd Calendar'!$T$1143=TYPE1)*(TYPE1&lt;&gt;"")+('Dvd Calendar'!$T$1143=TYPE2)*(TYPE2&lt;&gt;"")+('Dvd Calendar'!$T$1143=TYPE3)*(TYPE3&lt;&gt;"")+('Dvd Calendar'!$T$1143=TYPE4)*(TYPE4&lt;&gt;"")+('Dvd Calendar'!$T$1143=SPECIAL_LBL)*(INC_SPECIALS="Y"))=0,"",'Dvd Calendar'!$T$1141)))</f>
        <v/>
      </c>
      <c r="S118" s="110">
        <f>IF(EU118="","",IF(ISNUMBER('Dvd Calendar'!$U$1141)=FALSE,"",IF((('Dvd Calendar'!$U$1143=TYPE1)*(TYPE1&lt;&gt;"")+('Dvd Calendar'!$U$1143=TYPE2)*(TYPE2&lt;&gt;"")+('Dvd Calendar'!$U$1143=TYPE3)*(TYPE3&lt;&gt;"")+('Dvd Calendar'!$U$1143=TYPE4)*(TYPE4&lt;&gt;"")+('Dvd Calendar'!$U$1143=SPECIAL_LBL)*(INC_SPECIALS="Y"))=0,"",'Dvd Calendar'!$U$1141)))</f>
        <v/>
      </c>
      <c r="T118" s="110">
        <f>IF(EV118="","",IF(ISNUMBER('Dvd Calendar'!$V$1141)=FALSE,"",IF((('Dvd Calendar'!$V$1143=TYPE1)*(TYPE1&lt;&gt;"")+('Dvd Calendar'!$V$1143=TYPE2)*(TYPE2&lt;&gt;"")+('Dvd Calendar'!$V$1143=TYPE3)*(TYPE3&lt;&gt;"")+('Dvd Calendar'!$V$1143=TYPE4)*(TYPE4&lt;&gt;"")+('Dvd Calendar'!$V$1143=SPECIAL_LBL)*(INC_SPECIALS="Y"))=0,"",'Dvd Calendar'!$V$1141)))</f>
        <v/>
      </c>
      <c r="U118" s="110">
        <f>IF(EW118="","",IF(ISNUMBER('Dvd Calendar'!$W$1141)=FALSE,"",IF((('Dvd Calendar'!$W$1143=TYPE1)*(TYPE1&lt;&gt;"")+('Dvd Calendar'!$W$1143=TYPE2)*(TYPE2&lt;&gt;"")+('Dvd Calendar'!$W$1143=TYPE3)*(TYPE3&lt;&gt;"")+('Dvd Calendar'!$W$1143=TYPE4)*(TYPE4&lt;&gt;"")+('Dvd Calendar'!$W$1143=SPECIAL_LBL)*(INC_SPECIALS="Y"))=0,"",'Dvd Calendar'!$W$1141)))</f>
        <v/>
      </c>
      <c r="V118" s="110">
        <f>IF(EX118="","",IF(ISNUMBER('Dvd Calendar'!$X$1141)=FALSE,"",IF((('Dvd Calendar'!$X$1143=TYPE1)*(TYPE1&lt;&gt;"")+('Dvd Calendar'!$X$1143=TYPE2)*(TYPE2&lt;&gt;"")+('Dvd Calendar'!$X$1143=TYPE3)*(TYPE3&lt;&gt;"")+('Dvd Calendar'!$X$1143=TYPE4)*(TYPE4&lt;&gt;"")+('Dvd Calendar'!$X$1143=SPECIAL_LBL)*(INC_SPECIALS="Y"))=0,"",'Dvd Calendar'!$X$1141)))</f>
        <v/>
      </c>
      <c r="W118" s="110">
        <f>IF(EY118="","",IF(ISNUMBER('Dvd Calendar'!$Y$1141)=FALSE,"",IF((('Dvd Calendar'!$Y$1143=TYPE1)*(TYPE1&lt;&gt;"")+('Dvd Calendar'!$Y$1143=TYPE2)*(TYPE2&lt;&gt;"")+('Dvd Calendar'!$Y$1143=TYPE3)*(TYPE3&lt;&gt;"")+('Dvd Calendar'!$Y$1143=TYPE4)*(TYPE4&lt;&gt;"")+('Dvd Calendar'!$Y$1143=SPECIAL_LBL)*(INC_SPECIALS="Y"))=0,"",'Dvd Calendar'!$Y$1141)))</f>
        <v/>
      </c>
      <c r="X118" s="110">
        <f>IF(EZ118="","",IF(ISNUMBER('Dvd Calendar'!$Z$1141)=FALSE,"",IF((('Dvd Calendar'!$Z$1143=TYPE1)*(TYPE1&lt;&gt;"")+('Dvd Calendar'!$Z$1143=TYPE2)*(TYPE2&lt;&gt;"")+('Dvd Calendar'!$Z$1143=TYPE3)*(TYPE3&lt;&gt;"")+('Dvd Calendar'!$Z$1143=TYPE4)*(TYPE4&lt;&gt;"")+('Dvd Calendar'!$Z$1143=SPECIAL_LBL)*(INC_SPECIALS="Y"))=0,"",'Dvd Calendar'!$Z$1141)))</f>
        <v/>
      </c>
      <c r="Y118" s="110">
        <f>IF(FA118="","",IF(ISNUMBER('Dvd Calendar'!$AA$1141)=FALSE,"",IF((('Dvd Calendar'!$AA$1143=TYPE1)*(TYPE1&lt;&gt;"")+('Dvd Calendar'!$AA$1143=TYPE2)*(TYPE2&lt;&gt;"")+('Dvd Calendar'!$AA$1143=TYPE3)*(TYPE3&lt;&gt;"")+('Dvd Calendar'!$AA$1143=TYPE4)*(TYPE4&lt;&gt;"")+('Dvd Calendar'!$AA$1143=SPECIAL_LBL)*(INC_SPECIALS="Y"))=0,"",'Dvd Calendar'!$AA$1141)))</f>
        <v/>
      </c>
      <c r="Z118" s="110">
        <f>IF(FB118="","",IF(ISNUMBER('Dvd Calendar'!$AB$1141)=FALSE,"",IF((('Dvd Calendar'!$AB$1143=TYPE1)*(TYPE1&lt;&gt;"")+('Dvd Calendar'!$AB$1143=TYPE2)*(TYPE2&lt;&gt;"")+('Dvd Calendar'!$AB$1143=TYPE3)*(TYPE3&lt;&gt;"")+('Dvd Calendar'!$AB$1143=TYPE4)*(TYPE4&lt;&gt;"")+('Dvd Calendar'!$AB$1143=SPECIAL_LBL)*(INC_SPECIALS="Y"))=0,"",'Dvd Calendar'!$AB$1141)))</f>
        <v/>
      </c>
      <c r="AA118" s="110">
        <f>IF(FC118="","",IF(ISNUMBER('Dvd Calendar'!$AC$1141)=FALSE,"",IF((('Dvd Calendar'!$AC$1143=TYPE1)*(TYPE1&lt;&gt;"")+('Dvd Calendar'!$AC$1143=TYPE2)*(TYPE2&lt;&gt;"")+('Dvd Calendar'!$AC$1143=TYPE3)*(TYPE3&lt;&gt;"")+('Dvd Calendar'!$AC$1143=TYPE4)*(TYPE4&lt;&gt;"")+('Dvd Calendar'!$AC$1143=SPECIAL_LBL)*(INC_SPECIALS="Y"))=0,"",'Dvd Calendar'!$AC$1141)))</f>
        <v/>
      </c>
      <c r="AB118" s="110">
        <f>IF(FD118="","",IF(ISNUMBER('Dvd Calendar'!$AD$1141)=FALSE,"",IF((('Dvd Calendar'!$AD$1143=TYPE1)*(TYPE1&lt;&gt;"")+('Dvd Calendar'!$AD$1143=TYPE2)*(TYPE2&lt;&gt;"")+('Dvd Calendar'!$AD$1143=TYPE3)*(TYPE3&lt;&gt;"")+('Dvd Calendar'!$AD$1143=TYPE4)*(TYPE4&lt;&gt;"")+('Dvd Calendar'!$AD$1143=SPECIAL_LBL)*(INC_SPECIALS="Y"))=0,"",'Dvd Calendar'!$AD$1141)))</f>
        <v/>
      </c>
      <c r="AC118" s="110">
        <f>IF(FE118="","",IF(ISNUMBER('Dvd Calendar'!$AE$1141)=FALSE,"",IF((('Dvd Calendar'!$AE$1143=TYPE1)*(TYPE1&lt;&gt;"")+('Dvd Calendar'!$AE$1143=TYPE2)*(TYPE2&lt;&gt;"")+('Dvd Calendar'!$AE$1143=TYPE3)*(TYPE3&lt;&gt;"")+('Dvd Calendar'!$AE$1143=TYPE4)*(TYPE4&lt;&gt;"")+('Dvd Calendar'!$AE$1143=SPECIAL_LBL)*(INC_SPECIALS="Y"))=0,"",'Dvd Calendar'!$AE$1141)))</f>
        <v/>
      </c>
      <c r="AD118" s="110">
        <f>IF(FF118="","",IF(ISNUMBER('Dvd Calendar'!$AF$1141)=FALSE,"",IF((('Dvd Calendar'!$AF$1143=TYPE1)*(TYPE1&lt;&gt;"")+('Dvd Calendar'!$AF$1143=TYPE2)*(TYPE2&lt;&gt;"")+('Dvd Calendar'!$AF$1143=TYPE3)*(TYPE3&lt;&gt;"")+('Dvd Calendar'!$AF$1143=TYPE4)*(TYPE4&lt;&gt;"")+('Dvd Calendar'!$AF$1143=SPECIAL_LBL)*(INC_SPECIALS="Y"))=0,"",'Dvd Calendar'!$AF$1141)))</f>
        <v/>
      </c>
      <c r="AE118" s="110">
        <f>IF(FG118="","",IF(ISNUMBER('Dvd Calendar'!$AG$1141)=FALSE,"",IF((('Dvd Calendar'!$AG$1143=TYPE1)*(TYPE1&lt;&gt;"")+('Dvd Calendar'!$AG$1143=TYPE2)*(TYPE2&lt;&gt;"")+('Dvd Calendar'!$AG$1143=TYPE3)*(TYPE3&lt;&gt;"")+('Dvd Calendar'!$AG$1143=TYPE4)*(TYPE4&lt;&gt;"")+('Dvd Calendar'!$AG$1143=SPECIAL_LBL)*(INC_SPECIALS="Y"))=0,"",'Dvd Calendar'!$AG$1141)))</f>
        <v/>
      </c>
      <c r="AF118" s="110">
        <f>IF(FH118="","",IF(ISNUMBER('Dvd Calendar'!$AH$1141)=FALSE,"",IF((('Dvd Calendar'!$AH$1143=TYPE1)*(TYPE1&lt;&gt;"")+('Dvd Calendar'!$AH$1143=TYPE2)*(TYPE2&lt;&gt;"")+('Dvd Calendar'!$AH$1143=TYPE3)*(TYPE3&lt;&gt;"")+('Dvd Calendar'!$AH$1143=TYPE4)*(TYPE4&lt;&gt;"")+('Dvd Calendar'!$AH$1143=SPECIAL_LBL)*(INC_SPECIALS="Y"))=0,"",'Dvd Calendar'!$AH$1141)))</f>
        <v/>
      </c>
      <c r="AG118" s="110">
        <f>IF(FI118="","",IF(ISNUMBER('Dvd Calendar'!$AI$1141)=FALSE,"",IF((('Dvd Calendar'!$AI$1143=TYPE1)*(TYPE1&lt;&gt;"")+('Dvd Calendar'!$AI$1143=TYPE2)*(TYPE2&lt;&gt;"")+('Dvd Calendar'!$AI$1143=TYPE3)*(TYPE3&lt;&gt;"")+('Dvd Calendar'!$AI$1143=TYPE4)*(TYPE4&lt;&gt;"")+('Dvd Calendar'!$AI$1143=SPECIAL_LBL)*(INC_SPECIALS="Y"))=0,"",'Dvd Calendar'!$AI$1141)))</f>
        <v/>
      </c>
      <c r="AH118" s="110">
        <f>IF(FJ118="","",IF(ISNUMBER('Dvd Calendar'!$AJ$1141)=FALSE,"",IF((('Dvd Calendar'!$AJ$1143=TYPE1)*(TYPE1&lt;&gt;"")+('Dvd Calendar'!$AJ$1143=TYPE2)*(TYPE2&lt;&gt;"")+('Dvd Calendar'!$AJ$1143=TYPE3)*(TYPE3&lt;&gt;"")+('Dvd Calendar'!$AJ$1143=TYPE4)*(TYPE4&lt;&gt;"")+('Dvd Calendar'!$AJ$1143=SPECIAL_LBL)*(INC_SPECIALS="Y"))=0,"",'Dvd Calendar'!$AJ$1141)))</f>
        <v/>
      </c>
      <c r="AI118" s="110">
        <f>IF(FK118="","",IF(ISNUMBER('Dvd Calendar'!$AK$1141)=FALSE,"",IF((('Dvd Calendar'!$AK$1143=TYPE1)*(TYPE1&lt;&gt;"")+('Dvd Calendar'!$AK$1143=TYPE2)*(TYPE2&lt;&gt;"")+('Dvd Calendar'!$AK$1143=TYPE3)*(TYPE3&lt;&gt;"")+('Dvd Calendar'!$AK$1143=TYPE4)*(TYPE4&lt;&gt;"")+('Dvd Calendar'!$AK$1143=SPECIAL_LBL)*(INC_SPECIALS="Y"))=0,"",'Dvd Calendar'!$AK$1141)))</f>
        <v/>
      </c>
      <c r="AJ118" s="110">
        <f>IF(FL118="","",IF(ISNUMBER('Dvd Calendar'!$AL$1141)=FALSE,"",IF((('Dvd Calendar'!$AL$1143=TYPE1)*(TYPE1&lt;&gt;"")+('Dvd Calendar'!$AL$1143=TYPE2)*(TYPE2&lt;&gt;"")+('Dvd Calendar'!$AL$1143=TYPE3)*(TYPE3&lt;&gt;"")+('Dvd Calendar'!$AL$1143=TYPE4)*(TYPE4&lt;&gt;"")+('Dvd Calendar'!$AL$1143=SPECIAL_LBL)*(INC_SPECIALS="Y"))=0,"",'Dvd Calendar'!$AL$1141)))</f>
        <v/>
      </c>
      <c r="AK118" s="110">
        <f>IF(FM118="","",IF(ISNUMBER('Dvd Calendar'!$AM$1141)=FALSE,"",IF((('Dvd Calendar'!$AM$1143=TYPE1)*(TYPE1&lt;&gt;"")+('Dvd Calendar'!$AM$1143=TYPE2)*(TYPE2&lt;&gt;"")+('Dvd Calendar'!$AM$1143=TYPE3)*(TYPE3&lt;&gt;"")+('Dvd Calendar'!$AM$1143=TYPE4)*(TYPE4&lt;&gt;"")+('Dvd Calendar'!$AM$1143=SPECIAL_LBL)*(INC_SPECIALS="Y"))=0,"",'Dvd Calendar'!$AM$1141)))</f>
        <v/>
      </c>
      <c r="AL118" s="110">
        <f>IF(FN118="","",IF(ISNUMBER('Dvd Calendar'!$AN$1141)=FALSE,"",IF((('Dvd Calendar'!$AN$1143=TYPE1)*(TYPE1&lt;&gt;"")+('Dvd Calendar'!$AN$1143=TYPE2)*(TYPE2&lt;&gt;"")+('Dvd Calendar'!$AN$1143=TYPE3)*(TYPE3&lt;&gt;"")+('Dvd Calendar'!$AN$1143=TYPE4)*(TYPE4&lt;&gt;"")+('Dvd Calendar'!$AN$1143=SPECIAL_LBL)*(INC_SPECIALS="Y"))=0,"",'Dvd Calendar'!$AN$1141)))</f>
        <v/>
      </c>
      <c r="AM118" s="110">
        <f>IF(FO118="","",IF(ISNUMBER('Dvd Calendar'!$AO$1141)=FALSE,"",IF((('Dvd Calendar'!$AO$1143=TYPE1)*(TYPE1&lt;&gt;"")+('Dvd Calendar'!$AO$1143=TYPE2)*(TYPE2&lt;&gt;"")+('Dvd Calendar'!$AO$1143=TYPE3)*(TYPE3&lt;&gt;"")+('Dvd Calendar'!$AO$1143=TYPE4)*(TYPE4&lt;&gt;"")+('Dvd Calendar'!$AO$1143=SPECIAL_LBL)*(INC_SPECIALS="Y"))=0,"",'Dvd Calendar'!$AO$1141)))</f>
        <v/>
      </c>
      <c r="AN118" s="110">
        <f>IF(FP118="","",IF(ISNUMBER('Dvd Calendar'!$AP$1141)=FALSE,"",IF((('Dvd Calendar'!$AP$1143=TYPE1)*(TYPE1&lt;&gt;"")+('Dvd Calendar'!$AP$1143=TYPE2)*(TYPE2&lt;&gt;"")+('Dvd Calendar'!$AP$1143=TYPE3)*(TYPE3&lt;&gt;"")+('Dvd Calendar'!$AP$1143=TYPE4)*(TYPE4&lt;&gt;"")+('Dvd Calendar'!$AP$1143=SPECIAL_LBL)*(INC_SPECIALS="Y"))=0,"",'Dvd Calendar'!$AP$1141)))</f>
        <v/>
      </c>
      <c r="AO118" s="110">
        <f>IF(FQ118="","",IF(ISNUMBER('Dvd Calendar'!$AQ$1141)=FALSE,"",IF((('Dvd Calendar'!$AQ$1143=TYPE1)*(TYPE1&lt;&gt;"")+('Dvd Calendar'!$AQ$1143=TYPE2)*(TYPE2&lt;&gt;"")+('Dvd Calendar'!$AQ$1143=TYPE3)*(TYPE3&lt;&gt;"")+('Dvd Calendar'!$AQ$1143=TYPE4)*(TYPE4&lt;&gt;"")+('Dvd Calendar'!$AQ$1143=SPECIAL_LBL)*(INC_SPECIALS="Y"))=0,"",'Dvd Calendar'!$AQ$1141)))</f>
        <v/>
      </c>
      <c r="AP118" s="110">
        <f>IF(FR118="","",IF(ISNUMBER('Dvd Calendar'!$AR$1141)=FALSE,"",IF((('Dvd Calendar'!$AR$1143=TYPE1)*(TYPE1&lt;&gt;"")+('Dvd Calendar'!$AR$1143=TYPE2)*(TYPE2&lt;&gt;"")+('Dvd Calendar'!$AR$1143=TYPE3)*(TYPE3&lt;&gt;"")+('Dvd Calendar'!$AR$1143=TYPE4)*(TYPE4&lt;&gt;"")+('Dvd Calendar'!$AR$1143=SPECIAL_LBL)*(INC_SPECIALS="Y"))=0,"",'Dvd Calendar'!$AR$1141)))</f>
        <v/>
      </c>
      <c r="AQ118" s="110">
        <f>IF(FS118="","",IF(ISNUMBER('Dvd Calendar'!$E$1146)=FALSE,"",'Dvd Calendar'!$E$1146))</f>
        <v/>
      </c>
      <c r="AR118" s="110">
        <f>IF(FT118="","",IF(ISNUMBER('Dvd Calendar'!$F$1146)=FALSE,"",'Dvd Calendar'!$F$1146))</f>
        <v/>
      </c>
      <c r="AS118" s="110">
        <f>IF(FU118="","",IF(ISNUMBER('Dvd Calendar'!$G$1146)=FALSE,"",'Dvd Calendar'!$G$1146))</f>
        <v/>
      </c>
      <c r="AT118" s="110">
        <f>IF(FV118="","",IF(ISNUMBER('Dvd Calendar'!$H$1146)=FALSE,"",'Dvd Calendar'!$H$1146))</f>
        <v/>
      </c>
      <c r="AU118" s="110">
        <f>IF(FW118="","",IF(ISNUMBER('Dvd Calendar'!$I$1146)=FALSE,"",'Dvd Calendar'!$I$1146))</f>
        <v/>
      </c>
      <c r="AV118" s="110">
        <f>IF(FX118="","",IF(ISNUMBER('Dvd Calendar'!$J$1146)=FALSE,"",'Dvd Calendar'!$J$1146))</f>
        <v/>
      </c>
      <c r="AW118" s="110">
        <f>IF(FY118="","",IF(ISNUMBER('Dvd Calendar'!$K$1146)=FALSE,"",'Dvd Calendar'!$K$1146))</f>
        <v/>
      </c>
      <c r="AX118" s="110">
        <f>IF(FZ118="","",IF(ISNUMBER('Dvd Calendar'!$L$1146)=FALSE,"",'Dvd Calendar'!$L$1146))</f>
        <v/>
      </c>
      <c r="AY118" s="110">
        <f>IF(GA118="","",IF(ISNUMBER('Dvd Calendar'!$M$1146)=FALSE,"",'Dvd Calendar'!$M$1146))</f>
        <v/>
      </c>
      <c r="AZ118" s="110">
        <f>IF(GB118="","",IF(ISNUMBER('Dvd Calendar'!$N$1146)=FALSE,"",'Dvd Calendar'!$N$1146))</f>
        <v/>
      </c>
      <c r="BA118" s="110">
        <f>IF(GC118="","",IF(ISNUMBER('Dvd Calendar'!$O$1146)=FALSE,"",'Dvd Calendar'!$O$1146))</f>
        <v/>
      </c>
      <c r="BB118" s="110">
        <f>IF(GD118="","",IF(ISNUMBER('Dvd Calendar'!$P$1146)=FALSE,"",'Dvd Calendar'!$P$1146))</f>
        <v/>
      </c>
      <c r="BC118" s="110">
        <f>IF(GE118="","",IF(ISNUMBER('Dvd Calendar'!$Q$1146)=FALSE,"",'Dvd Calendar'!$Q$1146))</f>
        <v/>
      </c>
      <c r="BD118" s="110">
        <f>IF(GF118="","",IF(ISNUMBER('Dvd Calendar'!$R$1146)=FALSE,"",'Dvd Calendar'!$R$1146))</f>
        <v/>
      </c>
      <c r="BE118" s="110">
        <f>IF(GG118="","",IF(ISNUMBER('Dvd Calendar'!$S$1146)=FALSE,"",'Dvd Calendar'!$S$1146))</f>
        <v/>
      </c>
      <c r="BF118" s="110">
        <f>IF(GH118="","",IF(ISNUMBER('Dvd Calendar'!$T$1146)=FALSE,"",'Dvd Calendar'!$T$1146))</f>
        <v/>
      </c>
      <c r="BG118" s="110">
        <f>IF(GI118="","",IF(ISNUMBER('Dvd Calendar'!$U$1146)=FALSE,"",'Dvd Calendar'!$U$1146))</f>
        <v/>
      </c>
      <c r="BH118" s="110">
        <f>IF(GJ118="","",IF(ISNUMBER('Dvd Calendar'!$V$1146)=FALSE,"",'Dvd Calendar'!$V$1146))</f>
        <v/>
      </c>
      <c r="BI118" s="110">
        <f>IF(GK118="","",IF(ISNUMBER('Dvd Calendar'!$W$1146)=FALSE,"",'Dvd Calendar'!$W$1146))</f>
        <v/>
      </c>
      <c r="BJ118" s="110">
        <f>IF(GL118="","",IF(ISNUMBER('Dvd Calendar'!$X$1146)=FALSE,"",'Dvd Calendar'!$X$1146))</f>
        <v/>
      </c>
      <c r="BK118" s="110">
        <f>IF(GM118="","",IF(ISNUMBER('Dvd Calendar'!$Y$1146)=FALSE,"",'Dvd Calendar'!$Y$1146))</f>
        <v/>
      </c>
      <c r="BL118" s="110">
        <f>IF(GN118="","",IF(ISNUMBER('Dvd Calendar'!$Z$1146)=FALSE,"",'Dvd Calendar'!$Z$1146))</f>
        <v/>
      </c>
      <c r="BM118" s="110">
        <f>IF(GO118="","",IF(ISNUMBER('Dvd Calendar'!$AA$1146)=FALSE,"",'Dvd Calendar'!$AA$1146))</f>
        <v/>
      </c>
      <c r="BN118" s="110">
        <f>IF(GP118="","",IF(ISNUMBER('Dvd Calendar'!$AB$1146)=FALSE,"",'Dvd Calendar'!$AB$1146))</f>
        <v/>
      </c>
      <c r="BO118" s="110">
        <f>IF(GQ118="","",IF(ISNUMBER('Dvd Calendar'!$AC$1146)=FALSE,"",'Dvd Calendar'!$AC$1146))</f>
        <v/>
      </c>
      <c r="BQ118" s="110">
        <f>IF(C118="","",IFERROR(C118*HSTECH!$B$9*HSTECH!$G$9/HSTECH!$B$3,""))</f>
        <v/>
      </c>
      <c r="BR118" s="110">
        <f>IF(D118="","",IFERROR(D118*HSTECH!$B$9*HSTECH!$G$9/HSTECH!$B$3,""))</f>
        <v/>
      </c>
      <c r="BS118" s="110">
        <f>IF(E118="","",IFERROR(E118*HSTECH!$B$9*HSTECH!$G$9/HSTECH!$B$3,""))</f>
        <v/>
      </c>
      <c r="BT118" s="110">
        <f>IF(F118="","",IFERROR(F118*HSTECH!$B$9*HSTECH!$G$9/HSTECH!$B$3,""))</f>
        <v/>
      </c>
      <c r="BU118" s="110">
        <f>IF(G118="","",IFERROR(G118*HSTECH!$B$9*HSTECH!$G$9/HSTECH!$B$3,""))</f>
        <v/>
      </c>
      <c r="BV118" s="110">
        <f>IF(H118="","",IFERROR(H118*HSTECH!$B$9*HSTECH!$G$9/HSTECH!$B$3,""))</f>
        <v/>
      </c>
      <c r="BW118" s="110">
        <f>IF(I118="","",IFERROR(I118*HSTECH!$B$9*HSTECH!$G$9/HSTECH!$B$3,""))</f>
        <v/>
      </c>
      <c r="BX118" s="110">
        <f>IF(J118="","",IFERROR(J118*HSTECH!$B$9*HSTECH!$G$9/HSTECH!$B$3,""))</f>
        <v/>
      </c>
      <c r="BY118" s="110">
        <f>IF(K118="","",IFERROR(K118*HSTECH!$B$9*HSTECH!$G$9/HSTECH!$B$3,""))</f>
        <v/>
      </c>
      <c r="BZ118" s="110">
        <f>IF(L118="","",IFERROR(L118*HSTECH!$B$9*HSTECH!$G$9/HSTECH!$B$3,""))</f>
        <v/>
      </c>
      <c r="CA118" s="110">
        <f>IF(M118="","",IFERROR(M118*HSTECH!$B$9*HSTECH!$G$9/HSTECH!$B$3,""))</f>
        <v/>
      </c>
      <c r="CB118" s="110">
        <f>IF(N118="","",IFERROR(N118*HSTECH!$B$9*HSTECH!$G$9/HSTECH!$B$3,""))</f>
        <v/>
      </c>
      <c r="CC118" s="110">
        <f>IF(O118="","",IFERROR(O118*HSTECH!$B$9*HSTECH!$G$9/HSTECH!$B$3,""))</f>
        <v/>
      </c>
      <c r="CD118" s="110">
        <f>IF(P118="","",IFERROR(P118*HSTECH!$B$9*HSTECH!$G$9/HSTECH!$B$3,""))</f>
        <v/>
      </c>
      <c r="CE118" s="110">
        <f>IF(Q118="","",IFERROR(Q118*HSTECH!$B$9*HSTECH!$G$9/HSTECH!$B$3,""))</f>
        <v/>
      </c>
      <c r="CF118" s="110">
        <f>IF(R118="","",IFERROR(R118*HSTECH!$B$9*HSTECH!$G$9/HSTECH!$B$3,""))</f>
        <v/>
      </c>
      <c r="CG118" s="110">
        <f>IF(S118="","",IFERROR(S118*HSTECH!$B$9*HSTECH!$G$9/HSTECH!$B$3,""))</f>
        <v/>
      </c>
      <c r="CH118" s="110">
        <f>IF(T118="","",IFERROR(T118*HSTECH!$B$9*HSTECH!$G$9/HSTECH!$B$3,""))</f>
        <v/>
      </c>
      <c r="CI118" s="110">
        <f>IF(U118="","",IFERROR(U118*HSTECH!$B$9*HSTECH!$G$9/HSTECH!$B$3,""))</f>
        <v/>
      </c>
      <c r="CJ118" s="110">
        <f>IF(V118="","",IFERROR(V118*HSTECH!$B$9*HSTECH!$G$9/HSTECH!$B$3,""))</f>
        <v/>
      </c>
      <c r="CK118" s="110">
        <f>IF(W118="","",IFERROR(W118*HSTECH!$B$9*HSTECH!$G$9/HSTECH!$B$3,""))</f>
        <v/>
      </c>
      <c r="CL118" s="110">
        <f>IF(X118="","",IFERROR(X118*HSTECH!$B$9*HSTECH!$G$9/HSTECH!$B$3,""))</f>
        <v/>
      </c>
      <c r="CM118" s="110">
        <f>IF(Y118="","",IFERROR(Y118*HSTECH!$B$9*HSTECH!$G$9/HSTECH!$B$3,""))</f>
        <v/>
      </c>
      <c r="CN118" s="110">
        <f>IF(Z118="","",IFERROR(Z118*HSTECH!$B$9*HSTECH!$G$9/HSTECH!$B$3,""))</f>
        <v/>
      </c>
      <c r="CO118" s="110">
        <f>IF(AA118="","",IFERROR(AA118*HSTECH!$B$9*HSTECH!$G$9/HSTECH!$B$3,""))</f>
        <v/>
      </c>
      <c r="CP118" s="110">
        <f>IF(AB118="","",IFERROR(AB118*HSTECH!$B$9*HSTECH!$G$9/HSTECH!$B$3,""))</f>
        <v/>
      </c>
      <c r="CQ118" s="110">
        <f>IF(AC118="","",IFERROR(AC118*HSTECH!$B$9*HSTECH!$G$9/HSTECH!$B$3,""))</f>
        <v/>
      </c>
      <c r="CR118" s="110">
        <f>IF(AD118="","",IFERROR(AD118*HSTECH!$B$9*HSTECH!$G$9/HSTECH!$B$3,""))</f>
        <v/>
      </c>
      <c r="CS118" s="110">
        <f>IF(AE118="","",IFERROR(AE118*HSTECH!$B$9*HSTECH!$G$9/HSTECH!$B$3,""))</f>
        <v/>
      </c>
      <c r="CT118" s="110">
        <f>IF(AF118="","",IFERROR(AF118*HSTECH!$B$9*HSTECH!$G$9/HSTECH!$B$3,""))</f>
        <v/>
      </c>
      <c r="CU118" s="110">
        <f>IF(AG118="","",IFERROR(AG118*HSTECH!$B$9*HSTECH!$G$9/HSTECH!$B$3,""))</f>
        <v/>
      </c>
      <c r="CV118" s="110">
        <f>IF(AH118="","",IFERROR(AH118*HSTECH!$B$9*HSTECH!$G$9/HSTECH!$B$3,""))</f>
        <v/>
      </c>
      <c r="CW118" s="110">
        <f>IF(AI118="","",IFERROR(AI118*HSTECH!$B$9*HSTECH!$G$9/HSTECH!$B$3,""))</f>
        <v/>
      </c>
      <c r="CX118" s="110">
        <f>IF(AJ118="","",IFERROR(AJ118*HSTECH!$B$9*HSTECH!$G$9/HSTECH!$B$3,""))</f>
        <v/>
      </c>
      <c r="CY118" s="110">
        <f>IF(AK118="","",IFERROR(AK118*HSTECH!$B$9*HSTECH!$G$9/HSTECH!$B$3,""))</f>
        <v/>
      </c>
      <c r="CZ118" s="110">
        <f>IF(AL118="","",IFERROR(AL118*HSTECH!$B$9*HSTECH!$G$9/HSTECH!$B$3,""))</f>
        <v/>
      </c>
      <c r="DA118" s="110">
        <f>IF(AM118="","",IFERROR(AM118*HSTECH!$B$9*HSTECH!$G$9/HSTECH!$B$3,""))</f>
        <v/>
      </c>
      <c r="DB118" s="110">
        <f>IF(AN118="","",IFERROR(AN118*HSTECH!$B$9*HSTECH!$G$9/HSTECH!$B$3,""))</f>
        <v/>
      </c>
      <c r="DC118" s="110">
        <f>IF(AO118="","",IFERROR(AO118*HSTECH!$B$9*HSTECH!$G$9/HSTECH!$B$3,""))</f>
        <v/>
      </c>
      <c r="DD118" s="110">
        <f>IF(AP118="","",IFERROR(AP118*HSTECH!$B$9*HSTECH!$G$9/HSTECH!$B$3,""))</f>
        <v/>
      </c>
      <c r="DE118" s="110">
        <f>IF(AQ118="","",IFERROR(AQ118*HSTECH!$B$9*HSTECH!$G$9/HSTECH!$B$3,""))</f>
        <v/>
      </c>
      <c r="DF118" s="110">
        <f>IF(AR118="","",IFERROR(AR118*HSTECH!$B$9*HSTECH!$G$9/HSTECH!$B$3,""))</f>
        <v/>
      </c>
      <c r="DG118" s="110">
        <f>IF(AS118="","",IFERROR(AS118*HSTECH!$B$9*HSTECH!$G$9/HSTECH!$B$3,""))</f>
        <v/>
      </c>
      <c r="DH118" s="110">
        <f>IF(AT118="","",IFERROR(AT118*HSTECH!$B$9*HSTECH!$G$9/HSTECH!$B$3,""))</f>
        <v/>
      </c>
      <c r="DI118" s="110">
        <f>IF(AU118="","",IFERROR(AU118*HSTECH!$B$9*HSTECH!$G$9/HSTECH!$B$3,""))</f>
        <v/>
      </c>
      <c r="DJ118" s="110">
        <f>IF(AV118="","",IFERROR(AV118*HSTECH!$B$9*HSTECH!$G$9/HSTECH!$B$3,""))</f>
        <v/>
      </c>
      <c r="DK118" s="110">
        <f>IF(AW118="","",IFERROR(AW118*HSTECH!$B$9*HSTECH!$G$9/HSTECH!$B$3,""))</f>
        <v/>
      </c>
      <c r="DL118" s="110">
        <f>IF(AX118="","",IFERROR(AX118*HSTECH!$B$9*HSTECH!$G$9/HSTECH!$B$3,""))</f>
        <v/>
      </c>
      <c r="DM118" s="110">
        <f>IF(AY118="","",IFERROR(AY118*HSTECH!$B$9*HSTECH!$G$9/HSTECH!$B$3,""))</f>
        <v/>
      </c>
      <c r="DN118" s="110">
        <f>IF(AZ118="","",IFERROR(AZ118*HSTECH!$B$9*HSTECH!$G$9/HSTECH!$B$3,""))</f>
        <v/>
      </c>
      <c r="DO118" s="110">
        <f>IF(BA118="","",IFERROR(BA118*HSTECH!$B$9*HSTECH!$G$9/HSTECH!$B$3,""))</f>
        <v/>
      </c>
      <c r="DP118" s="110">
        <f>IF(BB118="","",IFERROR(BB118*HSTECH!$B$9*HSTECH!$G$9/HSTECH!$B$3,""))</f>
        <v/>
      </c>
      <c r="DQ118" s="110">
        <f>IF(BC118="","",IFERROR(BC118*HSTECH!$B$9*HSTECH!$G$9/HSTECH!$B$3,""))</f>
        <v/>
      </c>
      <c r="DR118" s="110">
        <f>IF(BD118="","",IFERROR(BD118*HSTECH!$B$9*HSTECH!$G$9/HSTECH!$B$3,""))</f>
        <v/>
      </c>
      <c r="DS118" s="110">
        <f>IF(BE118="","",IFERROR(BE118*HSTECH!$B$9*HSTECH!$G$9/HSTECH!$B$3,""))</f>
        <v/>
      </c>
      <c r="DT118" s="110">
        <f>IF(BF118="","",IFERROR(BF118*HSTECH!$B$9*HSTECH!$G$9/HSTECH!$B$3,""))</f>
        <v/>
      </c>
      <c r="DU118" s="110">
        <f>IF(BG118="","",IFERROR(BG118*HSTECH!$B$9*HSTECH!$G$9/HSTECH!$B$3,""))</f>
        <v/>
      </c>
      <c r="DV118" s="110">
        <f>IF(BH118="","",IFERROR(BH118*HSTECH!$B$9*HSTECH!$G$9/HSTECH!$B$3,""))</f>
        <v/>
      </c>
      <c r="DW118" s="110">
        <f>IF(BI118="","",IFERROR(BI118*HSTECH!$B$9*HSTECH!$G$9/HSTECH!$B$3,""))</f>
        <v/>
      </c>
      <c r="DX118" s="110">
        <f>IF(BJ118="","",IFERROR(BJ118*HSTECH!$B$9*HSTECH!$G$9/HSTECH!$B$3,""))</f>
        <v/>
      </c>
      <c r="DY118" s="110">
        <f>IF(BK118="","",IFERROR(BK118*HSTECH!$B$9*HSTECH!$G$9/HSTECH!$B$3,""))</f>
        <v/>
      </c>
      <c r="DZ118" s="110">
        <f>IF(BL118="","",IFERROR(BL118*HSTECH!$B$9*HSTECH!$G$9/HSTECH!$B$3,""))</f>
        <v/>
      </c>
      <c r="EA118" s="110">
        <f>IF(BM118="","",IFERROR(BM118*HSTECH!$B$9*HSTECH!$G$9/HSTECH!$B$3,""))</f>
        <v/>
      </c>
      <c r="EB118" s="110">
        <f>IF(BN118="","",IFERROR(BN118*HSTECH!$B$9*HSTECH!$G$9/HSTECH!$B$3,""))</f>
        <v/>
      </c>
      <c r="EC118" s="110">
        <f>IF(BO118="","",IFERROR(BO118*HSTECH!$B$9*HSTECH!$G$9/HSTECH!$B$3,""))</f>
        <v/>
      </c>
      <c r="EE118" s="39">
        <f>IF(N('Dvd Calendar'!$E$1138)=0,"",IF(('Dvd Calendar'!$E$1138&gt;=GRID_FROM)*('Dvd Calendar'!$E$1138&lt;=GRID_TO)*((('Dvd Calendar'!$E$1138&lt;=VAL_DATE)+(COUNTIF('Dvd Calendar'!$E$1145:$AR$1145,'Dvd Calendar'!$E$1138)=0))&gt;0)=0,"",'Dvd Calendar'!$E$1138*1000000000+ISNUMBER('Dvd Calendar'!$E$1141)*100000000+('Dvd Calendar'!$E$1143=SPECIAL_LBL)*10000000+(N('Dvd Calendar'!$E$1137)&gt;0)*(N('Dvd Calendar'!$E$1137)&lt;=VAL_SERIAL)*1000000+3*1000+1))</f>
        <v/>
      </c>
      <c r="EF118" s="39">
        <f>IF(N('Dvd Calendar'!$F$1138)=0,"",IF(('Dvd Calendar'!$F$1138&gt;=GRID_FROM)*('Dvd Calendar'!$F$1138&lt;=GRID_TO)*((('Dvd Calendar'!$F$1138&lt;=VAL_DATE)+(COUNTIF('Dvd Calendar'!$E$1145:$AR$1145,'Dvd Calendar'!$F$1138)=0))&gt;0)=0,"",'Dvd Calendar'!$F$1138*1000000000+ISNUMBER('Dvd Calendar'!$F$1141)*100000000+('Dvd Calendar'!$F$1143=SPECIAL_LBL)*10000000+(N('Dvd Calendar'!$F$1137)&gt;0)*(N('Dvd Calendar'!$F$1137)&lt;=VAL_SERIAL)*1000000+3*1000+2))</f>
        <v/>
      </c>
      <c r="EG118" s="39">
        <f>IF(N('Dvd Calendar'!$G$1138)=0,"",IF(('Dvd Calendar'!$G$1138&gt;=GRID_FROM)*('Dvd Calendar'!$G$1138&lt;=GRID_TO)*((('Dvd Calendar'!$G$1138&lt;=VAL_DATE)+(COUNTIF('Dvd Calendar'!$E$1145:$AR$1145,'Dvd Calendar'!$G$1138)=0))&gt;0)=0,"",'Dvd Calendar'!$G$1138*1000000000+ISNUMBER('Dvd Calendar'!$G$1141)*100000000+('Dvd Calendar'!$G$1143=SPECIAL_LBL)*10000000+(N('Dvd Calendar'!$G$1137)&gt;0)*(N('Dvd Calendar'!$G$1137)&lt;=VAL_SERIAL)*1000000+3*1000+3))</f>
        <v/>
      </c>
      <c r="EH118" s="39">
        <f>IF(N('Dvd Calendar'!$H$1138)=0,"",IF(('Dvd Calendar'!$H$1138&gt;=GRID_FROM)*('Dvd Calendar'!$H$1138&lt;=GRID_TO)*((('Dvd Calendar'!$H$1138&lt;=VAL_DATE)+(COUNTIF('Dvd Calendar'!$E$1145:$AR$1145,'Dvd Calendar'!$H$1138)=0))&gt;0)=0,"",'Dvd Calendar'!$H$1138*1000000000+ISNUMBER('Dvd Calendar'!$H$1141)*100000000+('Dvd Calendar'!$H$1143=SPECIAL_LBL)*10000000+(N('Dvd Calendar'!$H$1137)&gt;0)*(N('Dvd Calendar'!$H$1137)&lt;=VAL_SERIAL)*1000000+3*1000+4))</f>
        <v/>
      </c>
      <c r="EI118" s="39">
        <f>IF(N('Dvd Calendar'!$I$1138)=0,"",IF(('Dvd Calendar'!$I$1138&gt;=GRID_FROM)*('Dvd Calendar'!$I$1138&lt;=GRID_TO)*((('Dvd Calendar'!$I$1138&lt;=VAL_DATE)+(COUNTIF('Dvd Calendar'!$E$1145:$AR$1145,'Dvd Calendar'!$I$1138)=0))&gt;0)=0,"",'Dvd Calendar'!$I$1138*1000000000+ISNUMBER('Dvd Calendar'!$I$1141)*100000000+('Dvd Calendar'!$I$1143=SPECIAL_LBL)*10000000+(N('Dvd Calendar'!$I$1137)&gt;0)*(N('Dvd Calendar'!$I$1137)&lt;=VAL_SERIAL)*1000000+3*1000+5))</f>
        <v/>
      </c>
      <c r="EJ118" s="39">
        <f>IF(N('Dvd Calendar'!$J$1138)=0,"",IF(('Dvd Calendar'!$J$1138&gt;=GRID_FROM)*('Dvd Calendar'!$J$1138&lt;=GRID_TO)*((('Dvd Calendar'!$J$1138&lt;=VAL_DATE)+(COUNTIF('Dvd Calendar'!$E$1145:$AR$1145,'Dvd Calendar'!$J$1138)=0))&gt;0)=0,"",'Dvd Calendar'!$J$1138*1000000000+ISNUMBER('Dvd Calendar'!$J$1141)*100000000+('Dvd Calendar'!$J$1143=SPECIAL_LBL)*10000000+(N('Dvd Calendar'!$J$1137)&gt;0)*(N('Dvd Calendar'!$J$1137)&lt;=VAL_SERIAL)*1000000+3*1000+6))</f>
        <v/>
      </c>
      <c r="EK118" s="39">
        <f>IF(N('Dvd Calendar'!$K$1138)=0,"",IF(('Dvd Calendar'!$K$1138&gt;=GRID_FROM)*('Dvd Calendar'!$K$1138&lt;=GRID_TO)*((('Dvd Calendar'!$K$1138&lt;=VAL_DATE)+(COUNTIF('Dvd Calendar'!$E$1145:$AR$1145,'Dvd Calendar'!$K$1138)=0))&gt;0)=0,"",'Dvd Calendar'!$K$1138*1000000000+ISNUMBER('Dvd Calendar'!$K$1141)*100000000+('Dvd Calendar'!$K$1143=SPECIAL_LBL)*10000000+(N('Dvd Calendar'!$K$1137)&gt;0)*(N('Dvd Calendar'!$K$1137)&lt;=VAL_SERIAL)*1000000+3*1000+7))</f>
        <v/>
      </c>
      <c r="EL118" s="39">
        <f>IF(N('Dvd Calendar'!$L$1138)=0,"",IF(('Dvd Calendar'!$L$1138&gt;=GRID_FROM)*('Dvd Calendar'!$L$1138&lt;=GRID_TO)*((('Dvd Calendar'!$L$1138&lt;=VAL_DATE)+(COUNTIF('Dvd Calendar'!$E$1145:$AR$1145,'Dvd Calendar'!$L$1138)=0))&gt;0)=0,"",'Dvd Calendar'!$L$1138*1000000000+ISNUMBER('Dvd Calendar'!$L$1141)*100000000+('Dvd Calendar'!$L$1143=SPECIAL_LBL)*10000000+(N('Dvd Calendar'!$L$1137)&gt;0)*(N('Dvd Calendar'!$L$1137)&lt;=VAL_SERIAL)*1000000+3*1000+8))</f>
        <v/>
      </c>
      <c r="EM118" s="39">
        <f>IF(N('Dvd Calendar'!$M$1138)=0,"",IF(('Dvd Calendar'!$M$1138&gt;=GRID_FROM)*('Dvd Calendar'!$M$1138&lt;=GRID_TO)*((('Dvd Calendar'!$M$1138&lt;=VAL_DATE)+(COUNTIF('Dvd Calendar'!$E$1145:$AR$1145,'Dvd Calendar'!$M$1138)=0))&gt;0)=0,"",'Dvd Calendar'!$M$1138*1000000000+ISNUMBER('Dvd Calendar'!$M$1141)*100000000+('Dvd Calendar'!$M$1143=SPECIAL_LBL)*10000000+(N('Dvd Calendar'!$M$1137)&gt;0)*(N('Dvd Calendar'!$M$1137)&lt;=VAL_SERIAL)*1000000+3*1000+9))</f>
        <v/>
      </c>
      <c r="EN118" s="39">
        <f>IF(N('Dvd Calendar'!$N$1138)=0,"",IF(('Dvd Calendar'!$N$1138&gt;=GRID_FROM)*('Dvd Calendar'!$N$1138&lt;=GRID_TO)*((('Dvd Calendar'!$N$1138&lt;=VAL_DATE)+(COUNTIF('Dvd Calendar'!$E$1145:$AR$1145,'Dvd Calendar'!$N$1138)=0))&gt;0)=0,"",'Dvd Calendar'!$N$1138*1000000000+ISNUMBER('Dvd Calendar'!$N$1141)*100000000+('Dvd Calendar'!$N$1143=SPECIAL_LBL)*10000000+(N('Dvd Calendar'!$N$1137)&gt;0)*(N('Dvd Calendar'!$N$1137)&lt;=VAL_SERIAL)*1000000+3*1000+10))</f>
        <v/>
      </c>
      <c r="EO118" s="39">
        <f>IF(N('Dvd Calendar'!$O$1138)=0,"",IF(('Dvd Calendar'!$O$1138&gt;=GRID_FROM)*('Dvd Calendar'!$O$1138&lt;=GRID_TO)*((('Dvd Calendar'!$O$1138&lt;=VAL_DATE)+(COUNTIF('Dvd Calendar'!$E$1145:$AR$1145,'Dvd Calendar'!$O$1138)=0))&gt;0)=0,"",'Dvd Calendar'!$O$1138*1000000000+ISNUMBER('Dvd Calendar'!$O$1141)*100000000+('Dvd Calendar'!$O$1143=SPECIAL_LBL)*10000000+(N('Dvd Calendar'!$O$1137)&gt;0)*(N('Dvd Calendar'!$O$1137)&lt;=VAL_SERIAL)*1000000+3*1000+11))</f>
        <v/>
      </c>
      <c r="EP118" s="39">
        <f>IF(N('Dvd Calendar'!$P$1138)=0,"",IF(('Dvd Calendar'!$P$1138&gt;=GRID_FROM)*('Dvd Calendar'!$P$1138&lt;=GRID_TO)*((('Dvd Calendar'!$P$1138&lt;=VAL_DATE)+(COUNTIF('Dvd Calendar'!$E$1145:$AR$1145,'Dvd Calendar'!$P$1138)=0))&gt;0)=0,"",'Dvd Calendar'!$P$1138*1000000000+ISNUMBER('Dvd Calendar'!$P$1141)*100000000+('Dvd Calendar'!$P$1143=SPECIAL_LBL)*10000000+(N('Dvd Calendar'!$P$1137)&gt;0)*(N('Dvd Calendar'!$P$1137)&lt;=VAL_SERIAL)*1000000+3*1000+12))</f>
        <v/>
      </c>
      <c r="EQ118" s="39">
        <f>IF(N('Dvd Calendar'!$Q$1138)=0,"",IF(('Dvd Calendar'!$Q$1138&gt;=GRID_FROM)*('Dvd Calendar'!$Q$1138&lt;=GRID_TO)*((('Dvd Calendar'!$Q$1138&lt;=VAL_DATE)+(COUNTIF('Dvd Calendar'!$E$1145:$AR$1145,'Dvd Calendar'!$Q$1138)=0))&gt;0)=0,"",'Dvd Calendar'!$Q$1138*1000000000+ISNUMBER('Dvd Calendar'!$Q$1141)*100000000+('Dvd Calendar'!$Q$1143=SPECIAL_LBL)*10000000+(N('Dvd Calendar'!$Q$1137)&gt;0)*(N('Dvd Calendar'!$Q$1137)&lt;=VAL_SERIAL)*1000000+3*1000+13))</f>
        <v/>
      </c>
      <c r="ER118" s="39">
        <f>IF(N('Dvd Calendar'!$R$1138)=0,"",IF(('Dvd Calendar'!$R$1138&gt;=GRID_FROM)*('Dvd Calendar'!$R$1138&lt;=GRID_TO)*((('Dvd Calendar'!$R$1138&lt;=VAL_DATE)+(COUNTIF('Dvd Calendar'!$E$1145:$AR$1145,'Dvd Calendar'!$R$1138)=0))&gt;0)=0,"",'Dvd Calendar'!$R$1138*1000000000+ISNUMBER('Dvd Calendar'!$R$1141)*100000000+('Dvd Calendar'!$R$1143=SPECIAL_LBL)*10000000+(N('Dvd Calendar'!$R$1137)&gt;0)*(N('Dvd Calendar'!$R$1137)&lt;=VAL_SERIAL)*1000000+3*1000+14))</f>
        <v/>
      </c>
      <c r="ES118" s="39">
        <f>IF(N('Dvd Calendar'!$S$1138)=0,"",IF(('Dvd Calendar'!$S$1138&gt;=GRID_FROM)*('Dvd Calendar'!$S$1138&lt;=GRID_TO)*((('Dvd Calendar'!$S$1138&lt;=VAL_DATE)+(COUNTIF('Dvd Calendar'!$E$1145:$AR$1145,'Dvd Calendar'!$S$1138)=0))&gt;0)=0,"",'Dvd Calendar'!$S$1138*1000000000+ISNUMBER('Dvd Calendar'!$S$1141)*100000000+('Dvd Calendar'!$S$1143=SPECIAL_LBL)*10000000+(N('Dvd Calendar'!$S$1137)&gt;0)*(N('Dvd Calendar'!$S$1137)&lt;=VAL_SERIAL)*1000000+3*1000+15))</f>
        <v/>
      </c>
      <c r="ET118" s="39">
        <f>IF(N('Dvd Calendar'!$T$1138)=0,"",IF(('Dvd Calendar'!$T$1138&gt;=GRID_FROM)*('Dvd Calendar'!$T$1138&lt;=GRID_TO)*((('Dvd Calendar'!$T$1138&lt;=VAL_DATE)+(COUNTIF('Dvd Calendar'!$E$1145:$AR$1145,'Dvd Calendar'!$T$1138)=0))&gt;0)=0,"",'Dvd Calendar'!$T$1138*1000000000+ISNUMBER('Dvd Calendar'!$T$1141)*100000000+('Dvd Calendar'!$T$1143=SPECIAL_LBL)*10000000+(N('Dvd Calendar'!$T$1137)&gt;0)*(N('Dvd Calendar'!$T$1137)&lt;=VAL_SERIAL)*1000000+3*1000+16))</f>
        <v/>
      </c>
      <c r="EU118" s="39">
        <f>IF(N('Dvd Calendar'!$U$1138)=0,"",IF(('Dvd Calendar'!$U$1138&gt;=GRID_FROM)*('Dvd Calendar'!$U$1138&lt;=GRID_TO)*((('Dvd Calendar'!$U$1138&lt;=VAL_DATE)+(COUNTIF('Dvd Calendar'!$E$1145:$AR$1145,'Dvd Calendar'!$U$1138)=0))&gt;0)=0,"",'Dvd Calendar'!$U$1138*1000000000+ISNUMBER('Dvd Calendar'!$U$1141)*100000000+('Dvd Calendar'!$U$1143=SPECIAL_LBL)*10000000+(N('Dvd Calendar'!$U$1137)&gt;0)*(N('Dvd Calendar'!$U$1137)&lt;=VAL_SERIAL)*1000000+3*1000+17))</f>
        <v/>
      </c>
      <c r="EV118" s="39">
        <f>IF(N('Dvd Calendar'!$V$1138)=0,"",IF(('Dvd Calendar'!$V$1138&gt;=GRID_FROM)*('Dvd Calendar'!$V$1138&lt;=GRID_TO)*((('Dvd Calendar'!$V$1138&lt;=VAL_DATE)+(COUNTIF('Dvd Calendar'!$E$1145:$AR$1145,'Dvd Calendar'!$V$1138)=0))&gt;0)=0,"",'Dvd Calendar'!$V$1138*1000000000+ISNUMBER('Dvd Calendar'!$V$1141)*100000000+('Dvd Calendar'!$V$1143=SPECIAL_LBL)*10000000+(N('Dvd Calendar'!$V$1137)&gt;0)*(N('Dvd Calendar'!$V$1137)&lt;=VAL_SERIAL)*1000000+3*1000+18))</f>
        <v/>
      </c>
      <c r="EW118" s="39">
        <f>IF(N('Dvd Calendar'!$W$1138)=0,"",IF(('Dvd Calendar'!$W$1138&gt;=GRID_FROM)*('Dvd Calendar'!$W$1138&lt;=GRID_TO)*((('Dvd Calendar'!$W$1138&lt;=VAL_DATE)+(COUNTIF('Dvd Calendar'!$E$1145:$AR$1145,'Dvd Calendar'!$W$1138)=0))&gt;0)=0,"",'Dvd Calendar'!$W$1138*1000000000+ISNUMBER('Dvd Calendar'!$W$1141)*100000000+('Dvd Calendar'!$W$1143=SPECIAL_LBL)*10000000+(N('Dvd Calendar'!$W$1137)&gt;0)*(N('Dvd Calendar'!$W$1137)&lt;=VAL_SERIAL)*1000000+3*1000+19))</f>
        <v/>
      </c>
      <c r="EX118" s="39">
        <f>IF(N('Dvd Calendar'!$X$1138)=0,"",IF(('Dvd Calendar'!$X$1138&gt;=GRID_FROM)*('Dvd Calendar'!$X$1138&lt;=GRID_TO)*((('Dvd Calendar'!$X$1138&lt;=VAL_DATE)+(COUNTIF('Dvd Calendar'!$E$1145:$AR$1145,'Dvd Calendar'!$X$1138)=0))&gt;0)=0,"",'Dvd Calendar'!$X$1138*1000000000+ISNUMBER('Dvd Calendar'!$X$1141)*100000000+('Dvd Calendar'!$X$1143=SPECIAL_LBL)*10000000+(N('Dvd Calendar'!$X$1137)&gt;0)*(N('Dvd Calendar'!$X$1137)&lt;=VAL_SERIAL)*1000000+3*1000+20))</f>
        <v/>
      </c>
      <c r="EY118" s="39">
        <f>IF(N('Dvd Calendar'!$Y$1138)=0,"",IF(('Dvd Calendar'!$Y$1138&gt;=GRID_FROM)*('Dvd Calendar'!$Y$1138&lt;=GRID_TO)*((('Dvd Calendar'!$Y$1138&lt;=VAL_DATE)+(COUNTIF('Dvd Calendar'!$E$1145:$AR$1145,'Dvd Calendar'!$Y$1138)=0))&gt;0)=0,"",'Dvd Calendar'!$Y$1138*1000000000+ISNUMBER('Dvd Calendar'!$Y$1141)*100000000+('Dvd Calendar'!$Y$1143=SPECIAL_LBL)*10000000+(N('Dvd Calendar'!$Y$1137)&gt;0)*(N('Dvd Calendar'!$Y$1137)&lt;=VAL_SERIAL)*1000000+3*1000+21))</f>
        <v/>
      </c>
      <c r="EZ118" s="39">
        <f>IF(N('Dvd Calendar'!$Z$1138)=0,"",IF(('Dvd Calendar'!$Z$1138&gt;=GRID_FROM)*('Dvd Calendar'!$Z$1138&lt;=GRID_TO)*((('Dvd Calendar'!$Z$1138&lt;=VAL_DATE)+(COUNTIF('Dvd Calendar'!$E$1145:$AR$1145,'Dvd Calendar'!$Z$1138)=0))&gt;0)=0,"",'Dvd Calendar'!$Z$1138*1000000000+ISNUMBER('Dvd Calendar'!$Z$1141)*100000000+('Dvd Calendar'!$Z$1143=SPECIAL_LBL)*10000000+(N('Dvd Calendar'!$Z$1137)&gt;0)*(N('Dvd Calendar'!$Z$1137)&lt;=VAL_SERIAL)*1000000+3*1000+22))</f>
        <v/>
      </c>
      <c r="FA118" s="39">
        <f>IF(N('Dvd Calendar'!$AA$1138)=0,"",IF(('Dvd Calendar'!$AA$1138&gt;=GRID_FROM)*('Dvd Calendar'!$AA$1138&lt;=GRID_TO)*((('Dvd Calendar'!$AA$1138&lt;=VAL_DATE)+(COUNTIF('Dvd Calendar'!$E$1145:$AR$1145,'Dvd Calendar'!$AA$1138)=0))&gt;0)=0,"",'Dvd Calendar'!$AA$1138*1000000000+ISNUMBER('Dvd Calendar'!$AA$1141)*100000000+('Dvd Calendar'!$AA$1143=SPECIAL_LBL)*10000000+(N('Dvd Calendar'!$AA$1137)&gt;0)*(N('Dvd Calendar'!$AA$1137)&lt;=VAL_SERIAL)*1000000+3*1000+23))</f>
        <v/>
      </c>
      <c r="FB118" s="39">
        <f>IF(N('Dvd Calendar'!$AB$1138)=0,"",IF(('Dvd Calendar'!$AB$1138&gt;=GRID_FROM)*('Dvd Calendar'!$AB$1138&lt;=GRID_TO)*((('Dvd Calendar'!$AB$1138&lt;=VAL_DATE)+(COUNTIF('Dvd Calendar'!$E$1145:$AR$1145,'Dvd Calendar'!$AB$1138)=0))&gt;0)=0,"",'Dvd Calendar'!$AB$1138*1000000000+ISNUMBER('Dvd Calendar'!$AB$1141)*100000000+('Dvd Calendar'!$AB$1143=SPECIAL_LBL)*10000000+(N('Dvd Calendar'!$AB$1137)&gt;0)*(N('Dvd Calendar'!$AB$1137)&lt;=VAL_SERIAL)*1000000+3*1000+24))</f>
        <v/>
      </c>
      <c r="FC118" s="39">
        <f>IF(N('Dvd Calendar'!$AC$1138)=0,"",IF(('Dvd Calendar'!$AC$1138&gt;=GRID_FROM)*('Dvd Calendar'!$AC$1138&lt;=GRID_TO)*((('Dvd Calendar'!$AC$1138&lt;=VAL_DATE)+(COUNTIF('Dvd Calendar'!$E$1145:$AR$1145,'Dvd Calendar'!$AC$1138)=0))&gt;0)=0,"",'Dvd Calendar'!$AC$1138*1000000000+ISNUMBER('Dvd Calendar'!$AC$1141)*100000000+('Dvd Calendar'!$AC$1143=SPECIAL_LBL)*10000000+(N('Dvd Calendar'!$AC$1137)&gt;0)*(N('Dvd Calendar'!$AC$1137)&lt;=VAL_SERIAL)*1000000+3*1000+25))</f>
        <v/>
      </c>
      <c r="FD118" s="39">
        <f>IF(N('Dvd Calendar'!$AD$1138)=0,"",IF(('Dvd Calendar'!$AD$1138&gt;=GRID_FROM)*('Dvd Calendar'!$AD$1138&lt;=GRID_TO)*((('Dvd Calendar'!$AD$1138&lt;=VAL_DATE)+(COUNTIF('Dvd Calendar'!$E$1145:$AR$1145,'Dvd Calendar'!$AD$1138)=0))&gt;0)=0,"",'Dvd Calendar'!$AD$1138*1000000000+ISNUMBER('Dvd Calendar'!$AD$1141)*100000000+('Dvd Calendar'!$AD$1143=SPECIAL_LBL)*10000000+(N('Dvd Calendar'!$AD$1137)&gt;0)*(N('Dvd Calendar'!$AD$1137)&lt;=VAL_SERIAL)*1000000+3*1000+26))</f>
        <v/>
      </c>
      <c r="FE118" s="39">
        <f>IF(N('Dvd Calendar'!$AE$1138)=0,"",IF(('Dvd Calendar'!$AE$1138&gt;=GRID_FROM)*('Dvd Calendar'!$AE$1138&lt;=GRID_TO)*((('Dvd Calendar'!$AE$1138&lt;=VAL_DATE)+(COUNTIF('Dvd Calendar'!$E$1145:$AR$1145,'Dvd Calendar'!$AE$1138)=0))&gt;0)=0,"",'Dvd Calendar'!$AE$1138*1000000000+ISNUMBER('Dvd Calendar'!$AE$1141)*100000000+('Dvd Calendar'!$AE$1143=SPECIAL_LBL)*10000000+(N('Dvd Calendar'!$AE$1137)&gt;0)*(N('Dvd Calendar'!$AE$1137)&lt;=VAL_SERIAL)*1000000+3*1000+27))</f>
        <v/>
      </c>
      <c r="FF118" s="39">
        <f>IF(N('Dvd Calendar'!$AF$1138)=0,"",IF(('Dvd Calendar'!$AF$1138&gt;=GRID_FROM)*('Dvd Calendar'!$AF$1138&lt;=GRID_TO)*((('Dvd Calendar'!$AF$1138&lt;=VAL_DATE)+(COUNTIF('Dvd Calendar'!$E$1145:$AR$1145,'Dvd Calendar'!$AF$1138)=0))&gt;0)=0,"",'Dvd Calendar'!$AF$1138*1000000000+ISNUMBER('Dvd Calendar'!$AF$1141)*100000000+('Dvd Calendar'!$AF$1143=SPECIAL_LBL)*10000000+(N('Dvd Calendar'!$AF$1137)&gt;0)*(N('Dvd Calendar'!$AF$1137)&lt;=VAL_SERIAL)*1000000+3*1000+28))</f>
        <v/>
      </c>
      <c r="FG118" s="39">
        <f>IF(N('Dvd Calendar'!$AG$1138)=0,"",IF(('Dvd Calendar'!$AG$1138&gt;=GRID_FROM)*('Dvd Calendar'!$AG$1138&lt;=GRID_TO)*((('Dvd Calendar'!$AG$1138&lt;=VAL_DATE)+(COUNTIF('Dvd Calendar'!$E$1145:$AR$1145,'Dvd Calendar'!$AG$1138)=0))&gt;0)=0,"",'Dvd Calendar'!$AG$1138*1000000000+ISNUMBER('Dvd Calendar'!$AG$1141)*100000000+('Dvd Calendar'!$AG$1143=SPECIAL_LBL)*10000000+(N('Dvd Calendar'!$AG$1137)&gt;0)*(N('Dvd Calendar'!$AG$1137)&lt;=VAL_SERIAL)*1000000+3*1000+29))</f>
        <v/>
      </c>
      <c r="FH118" s="39">
        <f>IF(N('Dvd Calendar'!$AH$1138)=0,"",IF(('Dvd Calendar'!$AH$1138&gt;=GRID_FROM)*('Dvd Calendar'!$AH$1138&lt;=GRID_TO)*((('Dvd Calendar'!$AH$1138&lt;=VAL_DATE)+(COUNTIF('Dvd Calendar'!$E$1145:$AR$1145,'Dvd Calendar'!$AH$1138)=0))&gt;0)=0,"",'Dvd Calendar'!$AH$1138*1000000000+ISNUMBER('Dvd Calendar'!$AH$1141)*100000000+('Dvd Calendar'!$AH$1143=SPECIAL_LBL)*10000000+(N('Dvd Calendar'!$AH$1137)&gt;0)*(N('Dvd Calendar'!$AH$1137)&lt;=VAL_SERIAL)*1000000+3*1000+30))</f>
        <v/>
      </c>
      <c r="FI118" s="39">
        <f>IF(N('Dvd Calendar'!$AI$1138)=0,"",IF(('Dvd Calendar'!$AI$1138&gt;=GRID_FROM)*('Dvd Calendar'!$AI$1138&lt;=GRID_TO)*((('Dvd Calendar'!$AI$1138&lt;=VAL_DATE)+(COUNTIF('Dvd Calendar'!$E$1145:$AR$1145,'Dvd Calendar'!$AI$1138)=0))&gt;0)=0,"",'Dvd Calendar'!$AI$1138*1000000000+ISNUMBER('Dvd Calendar'!$AI$1141)*100000000+('Dvd Calendar'!$AI$1143=SPECIAL_LBL)*10000000+(N('Dvd Calendar'!$AI$1137)&gt;0)*(N('Dvd Calendar'!$AI$1137)&lt;=VAL_SERIAL)*1000000+3*1000+31))</f>
        <v/>
      </c>
      <c r="FJ118" s="39">
        <f>IF(N('Dvd Calendar'!$AJ$1138)=0,"",IF(('Dvd Calendar'!$AJ$1138&gt;=GRID_FROM)*('Dvd Calendar'!$AJ$1138&lt;=GRID_TO)*((('Dvd Calendar'!$AJ$1138&lt;=VAL_DATE)+(COUNTIF('Dvd Calendar'!$E$1145:$AR$1145,'Dvd Calendar'!$AJ$1138)=0))&gt;0)=0,"",'Dvd Calendar'!$AJ$1138*1000000000+ISNUMBER('Dvd Calendar'!$AJ$1141)*100000000+('Dvd Calendar'!$AJ$1143=SPECIAL_LBL)*10000000+(N('Dvd Calendar'!$AJ$1137)&gt;0)*(N('Dvd Calendar'!$AJ$1137)&lt;=VAL_SERIAL)*1000000+3*1000+32))</f>
        <v/>
      </c>
      <c r="FK118" s="39">
        <f>IF(N('Dvd Calendar'!$AK$1138)=0,"",IF(('Dvd Calendar'!$AK$1138&gt;=GRID_FROM)*('Dvd Calendar'!$AK$1138&lt;=GRID_TO)*((('Dvd Calendar'!$AK$1138&lt;=VAL_DATE)+(COUNTIF('Dvd Calendar'!$E$1145:$AR$1145,'Dvd Calendar'!$AK$1138)=0))&gt;0)=0,"",'Dvd Calendar'!$AK$1138*1000000000+ISNUMBER('Dvd Calendar'!$AK$1141)*100000000+('Dvd Calendar'!$AK$1143=SPECIAL_LBL)*10000000+(N('Dvd Calendar'!$AK$1137)&gt;0)*(N('Dvd Calendar'!$AK$1137)&lt;=VAL_SERIAL)*1000000+3*1000+33))</f>
        <v/>
      </c>
      <c r="FL118" s="39">
        <f>IF(N('Dvd Calendar'!$AL$1138)=0,"",IF(('Dvd Calendar'!$AL$1138&gt;=GRID_FROM)*('Dvd Calendar'!$AL$1138&lt;=GRID_TO)*((('Dvd Calendar'!$AL$1138&lt;=VAL_DATE)+(COUNTIF('Dvd Calendar'!$E$1145:$AR$1145,'Dvd Calendar'!$AL$1138)=0))&gt;0)=0,"",'Dvd Calendar'!$AL$1138*1000000000+ISNUMBER('Dvd Calendar'!$AL$1141)*100000000+('Dvd Calendar'!$AL$1143=SPECIAL_LBL)*10000000+(N('Dvd Calendar'!$AL$1137)&gt;0)*(N('Dvd Calendar'!$AL$1137)&lt;=VAL_SERIAL)*1000000+3*1000+34))</f>
        <v/>
      </c>
      <c r="FM118" s="39">
        <f>IF(N('Dvd Calendar'!$AM$1138)=0,"",IF(('Dvd Calendar'!$AM$1138&gt;=GRID_FROM)*('Dvd Calendar'!$AM$1138&lt;=GRID_TO)*((('Dvd Calendar'!$AM$1138&lt;=VAL_DATE)+(COUNTIF('Dvd Calendar'!$E$1145:$AR$1145,'Dvd Calendar'!$AM$1138)=0))&gt;0)=0,"",'Dvd Calendar'!$AM$1138*1000000000+ISNUMBER('Dvd Calendar'!$AM$1141)*100000000+('Dvd Calendar'!$AM$1143=SPECIAL_LBL)*10000000+(N('Dvd Calendar'!$AM$1137)&gt;0)*(N('Dvd Calendar'!$AM$1137)&lt;=VAL_SERIAL)*1000000+3*1000+35))</f>
        <v/>
      </c>
      <c r="FN118" s="39">
        <f>IF(N('Dvd Calendar'!$AN$1138)=0,"",IF(('Dvd Calendar'!$AN$1138&gt;=GRID_FROM)*('Dvd Calendar'!$AN$1138&lt;=GRID_TO)*((('Dvd Calendar'!$AN$1138&lt;=VAL_DATE)+(COUNTIF('Dvd Calendar'!$E$1145:$AR$1145,'Dvd Calendar'!$AN$1138)=0))&gt;0)=0,"",'Dvd Calendar'!$AN$1138*1000000000+ISNUMBER('Dvd Calendar'!$AN$1141)*100000000+('Dvd Calendar'!$AN$1143=SPECIAL_LBL)*10000000+(N('Dvd Calendar'!$AN$1137)&gt;0)*(N('Dvd Calendar'!$AN$1137)&lt;=VAL_SERIAL)*1000000+3*1000+36))</f>
        <v/>
      </c>
      <c r="FO118" s="39">
        <f>IF(N('Dvd Calendar'!$AO$1138)=0,"",IF(('Dvd Calendar'!$AO$1138&gt;=GRID_FROM)*('Dvd Calendar'!$AO$1138&lt;=GRID_TO)*((('Dvd Calendar'!$AO$1138&lt;=VAL_DATE)+(COUNTIF('Dvd Calendar'!$E$1145:$AR$1145,'Dvd Calendar'!$AO$1138)=0))&gt;0)=0,"",'Dvd Calendar'!$AO$1138*1000000000+ISNUMBER('Dvd Calendar'!$AO$1141)*100000000+('Dvd Calendar'!$AO$1143=SPECIAL_LBL)*10000000+(N('Dvd Calendar'!$AO$1137)&gt;0)*(N('Dvd Calendar'!$AO$1137)&lt;=VAL_SERIAL)*1000000+3*1000+37))</f>
        <v/>
      </c>
      <c r="FP118" s="39">
        <f>IF(N('Dvd Calendar'!$AP$1138)=0,"",IF(('Dvd Calendar'!$AP$1138&gt;=GRID_FROM)*('Dvd Calendar'!$AP$1138&lt;=GRID_TO)*((('Dvd Calendar'!$AP$1138&lt;=VAL_DATE)+(COUNTIF('Dvd Calendar'!$E$1145:$AR$1145,'Dvd Calendar'!$AP$1138)=0))&gt;0)=0,"",'Dvd Calendar'!$AP$1138*1000000000+ISNUMBER('Dvd Calendar'!$AP$1141)*100000000+('Dvd Calendar'!$AP$1143=SPECIAL_LBL)*10000000+(N('Dvd Calendar'!$AP$1137)&gt;0)*(N('Dvd Calendar'!$AP$1137)&lt;=VAL_SERIAL)*1000000+3*1000+38))</f>
        <v/>
      </c>
      <c r="FQ118" s="39">
        <f>IF(N('Dvd Calendar'!$AQ$1138)=0,"",IF(('Dvd Calendar'!$AQ$1138&gt;=GRID_FROM)*('Dvd Calendar'!$AQ$1138&lt;=GRID_TO)*((('Dvd Calendar'!$AQ$1138&lt;=VAL_DATE)+(COUNTIF('Dvd Calendar'!$E$1145:$AR$1145,'Dvd Calendar'!$AQ$1138)=0))&gt;0)=0,"",'Dvd Calendar'!$AQ$1138*1000000000+ISNUMBER('Dvd Calendar'!$AQ$1141)*100000000+('Dvd Calendar'!$AQ$1143=SPECIAL_LBL)*10000000+(N('Dvd Calendar'!$AQ$1137)&gt;0)*(N('Dvd Calendar'!$AQ$1137)&lt;=VAL_SERIAL)*1000000+3*1000+39))</f>
        <v/>
      </c>
      <c r="FR118" s="39">
        <f>IF(N('Dvd Calendar'!$AR$1138)=0,"",IF(('Dvd Calendar'!$AR$1138&gt;=GRID_FROM)*('Dvd Calendar'!$AR$1138&lt;=GRID_TO)*((('Dvd Calendar'!$AR$1138&lt;=VAL_DATE)+(COUNTIF('Dvd Calendar'!$E$1145:$AR$1145,'Dvd Calendar'!$AR$1138)=0))&gt;0)=0,"",'Dvd Calendar'!$AR$1138*1000000000+ISNUMBER('Dvd Calendar'!$AR$1141)*100000000+('Dvd Calendar'!$AR$1143=SPECIAL_LBL)*10000000+(N('Dvd Calendar'!$AR$1137)&gt;0)*(N('Dvd Calendar'!$AR$1137)&lt;=VAL_SERIAL)*1000000+3*1000+40))</f>
        <v/>
      </c>
      <c r="FS118" s="39">
        <f>IF(N('Dvd Calendar'!$E$1145)=0,"",IF(('Dvd Calendar'!$E$1145&gt;=GRID_FROM)*('Dvd Calendar'!$E$1145&lt;=GRID_TO)*('Dvd Calendar'!$E$1145&gt;VAL_DATE)=0,"",'Dvd Calendar'!$E$1145*1000000000+ISNUMBER('Dvd Calendar'!$E$1146)*100000000+0*10000000+(N('Dvd Calendar'!$E$1144)&gt;0)*(N('Dvd Calendar'!$E$1144)&lt;=VAL_SERIAL)*1000000+3*1000+41))</f>
        <v/>
      </c>
      <c r="FT118" s="39">
        <f>IF(N('Dvd Calendar'!$F$1145)=0,"",IF(('Dvd Calendar'!$F$1145&gt;=GRID_FROM)*('Dvd Calendar'!$F$1145&lt;=GRID_TO)*('Dvd Calendar'!$F$1145&gt;VAL_DATE)=0,"",'Dvd Calendar'!$F$1145*1000000000+ISNUMBER('Dvd Calendar'!$F$1146)*100000000+0*10000000+(N('Dvd Calendar'!$F$1144)&gt;0)*(N('Dvd Calendar'!$F$1144)&lt;=VAL_SERIAL)*1000000+3*1000+42))</f>
        <v/>
      </c>
      <c r="FU118" s="39">
        <f>IF(N('Dvd Calendar'!$G$1145)=0,"",IF(('Dvd Calendar'!$G$1145&gt;=GRID_FROM)*('Dvd Calendar'!$G$1145&lt;=GRID_TO)*('Dvd Calendar'!$G$1145&gt;VAL_DATE)=0,"",'Dvd Calendar'!$G$1145*1000000000+ISNUMBER('Dvd Calendar'!$G$1146)*100000000+0*10000000+(N('Dvd Calendar'!$G$1144)&gt;0)*(N('Dvd Calendar'!$G$1144)&lt;=VAL_SERIAL)*1000000+3*1000+43))</f>
        <v/>
      </c>
      <c r="FV118" s="39">
        <f>IF(N('Dvd Calendar'!$H$1145)=0,"",IF(('Dvd Calendar'!$H$1145&gt;=GRID_FROM)*('Dvd Calendar'!$H$1145&lt;=GRID_TO)*('Dvd Calendar'!$H$1145&gt;VAL_DATE)=0,"",'Dvd Calendar'!$H$1145*1000000000+ISNUMBER('Dvd Calendar'!$H$1146)*100000000+0*10000000+(N('Dvd Calendar'!$H$1144)&gt;0)*(N('Dvd Calendar'!$H$1144)&lt;=VAL_SERIAL)*1000000+3*1000+44))</f>
        <v/>
      </c>
      <c r="FW118" s="39">
        <f>IF(N('Dvd Calendar'!$I$1145)=0,"",IF(('Dvd Calendar'!$I$1145&gt;=GRID_FROM)*('Dvd Calendar'!$I$1145&lt;=GRID_TO)*('Dvd Calendar'!$I$1145&gt;VAL_DATE)=0,"",'Dvd Calendar'!$I$1145*1000000000+ISNUMBER('Dvd Calendar'!$I$1146)*100000000+0*10000000+(N('Dvd Calendar'!$I$1144)&gt;0)*(N('Dvd Calendar'!$I$1144)&lt;=VAL_SERIAL)*1000000+3*1000+45))</f>
        <v/>
      </c>
      <c r="FX118" s="39">
        <f>IF(N('Dvd Calendar'!$J$1145)=0,"",IF(('Dvd Calendar'!$J$1145&gt;=GRID_FROM)*('Dvd Calendar'!$J$1145&lt;=GRID_TO)*('Dvd Calendar'!$J$1145&gt;VAL_DATE)=0,"",'Dvd Calendar'!$J$1145*1000000000+ISNUMBER('Dvd Calendar'!$J$1146)*100000000+0*10000000+(N('Dvd Calendar'!$J$1144)&gt;0)*(N('Dvd Calendar'!$J$1144)&lt;=VAL_SERIAL)*1000000+3*1000+46))</f>
        <v/>
      </c>
      <c r="FY118" s="39">
        <f>IF(N('Dvd Calendar'!$K$1145)=0,"",IF(('Dvd Calendar'!$K$1145&gt;=GRID_FROM)*('Dvd Calendar'!$K$1145&lt;=GRID_TO)*('Dvd Calendar'!$K$1145&gt;VAL_DATE)=0,"",'Dvd Calendar'!$K$1145*1000000000+ISNUMBER('Dvd Calendar'!$K$1146)*100000000+0*10000000+(N('Dvd Calendar'!$K$1144)&gt;0)*(N('Dvd Calendar'!$K$1144)&lt;=VAL_SERIAL)*1000000+3*1000+47))</f>
        <v/>
      </c>
      <c r="FZ118" s="39">
        <f>IF(N('Dvd Calendar'!$L$1145)=0,"",IF(('Dvd Calendar'!$L$1145&gt;=GRID_FROM)*('Dvd Calendar'!$L$1145&lt;=GRID_TO)*('Dvd Calendar'!$L$1145&gt;VAL_DATE)=0,"",'Dvd Calendar'!$L$1145*1000000000+ISNUMBER('Dvd Calendar'!$L$1146)*100000000+0*10000000+(N('Dvd Calendar'!$L$1144)&gt;0)*(N('Dvd Calendar'!$L$1144)&lt;=VAL_SERIAL)*1000000+3*1000+48))</f>
        <v/>
      </c>
      <c r="GA118" s="39">
        <f>IF(N('Dvd Calendar'!$M$1145)=0,"",IF(('Dvd Calendar'!$M$1145&gt;=GRID_FROM)*('Dvd Calendar'!$M$1145&lt;=GRID_TO)*('Dvd Calendar'!$M$1145&gt;VAL_DATE)=0,"",'Dvd Calendar'!$M$1145*1000000000+ISNUMBER('Dvd Calendar'!$M$1146)*100000000+0*10000000+(N('Dvd Calendar'!$M$1144)&gt;0)*(N('Dvd Calendar'!$M$1144)&lt;=VAL_SERIAL)*1000000+3*1000+49))</f>
        <v/>
      </c>
      <c r="GB118" s="39">
        <f>IF(N('Dvd Calendar'!$N$1145)=0,"",IF(('Dvd Calendar'!$N$1145&gt;=GRID_FROM)*('Dvd Calendar'!$N$1145&lt;=GRID_TO)*('Dvd Calendar'!$N$1145&gt;VAL_DATE)=0,"",'Dvd Calendar'!$N$1145*1000000000+ISNUMBER('Dvd Calendar'!$N$1146)*100000000+0*10000000+(N('Dvd Calendar'!$N$1144)&gt;0)*(N('Dvd Calendar'!$N$1144)&lt;=VAL_SERIAL)*1000000+3*1000+50))</f>
        <v/>
      </c>
      <c r="GC118" s="39">
        <f>IF(N('Dvd Calendar'!$O$1145)=0,"",IF(('Dvd Calendar'!$O$1145&gt;=GRID_FROM)*('Dvd Calendar'!$O$1145&lt;=GRID_TO)*('Dvd Calendar'!$O$1145&gt;VAL_DATE)=0,"",'Dvd Calendar'!$O$1145*1000000000+ISNUMBER('Dvd Calendar'!$O$1146)*100000000+0*10000000+(N('Dvd Calendar'!$O$1144)&gt;0)*(N('Dvd Calendar'!$O$1144)&lt;=VAL_SERIAL)*1000000+3*1000+51))</f>
        <v/>
      </c>
      <c r="GD118" s="39">
        <f>IF(N('Dvd Calendar'!$P$1145)=0,"",IF(('Dvd Calendar'!$P$1145&gt;=GRID_FROM)*('Dvd Calendar'!$P$1145&lt;=GRID_TO)*('Dvd Calendar'!$P$1145&gt;VAL_DATE)=0,"",'Dvd Calendar'!$P$1145*1000000000+ISNUMBER('Dvd Calendar'!$P$1146)*100000000+0*10000000+(N('Dvd Calendar'!$P$1144)&gt;0)*(N('Dvd Calendar'!$P$1144)&lt;=VAL_SERIAL)*1000000+3*1000+52))</f>
        <v/>
      </c>
      <c r="GE118" s="39">
        <f>IF(N('Dvd Calendar'!$Q$1145)=0,"",IF(('Dvd Calendar'!$Q$1145&gt;=GRID_FROM)*('Dvd Calendar'!$Q$1145&lt;=GRID_TO)*('Dvd Calendar'!$Q$1145&gt;VAL_DATE)=0,"",'Dvd Calendar'!$Q$1145*1000000000+ISNUMBER('Dvd Calendar'!$Q$1146)*100000000+0*10000000+(N('Dvd Calendar'!$Q$1144)&gt;0)*(N('Dvd Calendar'!$Q$1144)&lt;=VAL_SERIAL)*1000000+3*1000+53))</f>
        <v/>
      </c>
      <c r="GF118" s="39">
        <f>IF(N('Dvd Calendar'!$R$1145)=0,"",IF(('Dvd Calendar'!$R$1145&gt;=GRID_FROM)*('Dvd Calendar'!$R$1145&lt;=GRID_TO)*('Dvd Calendar'!$R$1145&gt;VAL_DATE)=0,"",'Dvd Calendar'!$R$1145*1000000000+ISNUMBER('Dvd Calendar'!$R$1146)*100000000+0*10000000+(N('Dvd Calendar'!$R$1144)&gt;0)*(N('Dvd Calendar'!$R$1144)&lt;=VAL_SERIAL)*1000000+3*1000+54))</f>
        <v/>
      </c>
      <c r="GG118" s="39">
        <f>IF(N('Dvd Calendar'!$S$1145)=0,"",IF(('Dvd Calendar'!$S$1145&gt;=GRID_FROM)*('Dvd Calendar'!$S$1145&lt;=GRID_TO)*('Dvd Calendar'!$S$1145&gt;VAL_DATE)=0,"",'Dvd Calendar'!$S$1145*1000000000+ISNUMBER('Dvd Calendar'!$S$1146)*100000000+0*10000000+(N('Dvd Calendar'!$S$1144)&gt;0)*(N('Dvd Calendar'!$S$1144)&lt;=VAL_SERIAL)*1000000+3*1000+55))</f>
        <v/>
      </c>
      <c r="GH118" s="39">
        <f>IF(N('Dvd Calendar'!$T$1145)=0,"",IF(('Dvd Calendar'!$T$1145&gt;=GRID_FROM)*('Dvd Calendar'!$T$1145&lt;=GRID_TO)*('Dvd Calendar'!$T$1145&gt;VAL_DATE)=0,"",'Dvd Calendar'!$T$1145*1000000000+ISNUMBER('Dvd Calendar'!$T$1146)*100000000+0*10000000+(N('Dvd Calendar'!$T$1144)&gt;0)*(N('Dvd Calendar'!$T$1144)&lt;=VAL_SERIAL)*1000000+3*1000+56))</f>
        <v/>
      </c>
      <c r="GI118" s="39">
        <f>IF(N('Dvd Calendar'!$U$1145)=0,"",IF(('Dvd Calendar'!$U$1145&gt;=GRID_FROM)*('Dvd Calendar'!$U$1145&lt;=GRID_TO)*('Dvd Calendar'!$U$1145&gt;VAL_DATE)=0,"",'Dvd Calendar'!$U$1145*1000000000+ISNUMBER('Dvd Calendar'!$U$1146)*100000000+0*10000000+(N('Dvd Calendar'!$U$1144)&gt;0)*(N('Dvd Calendar'!$U$1144)&lt;=VAL_SERIAL)*1000000+3*1000+57))</f>
        <v/>
      </c>
      <c r="GJ118" s="39">
        <f>IF(N('Dvd Calendar'!$V$1145)=0,"",IF(('Dvd Calendar'!$V$1145&gt;=GRID_FROM)*('Dvd Calendar'!$V$1145&lt;=GRID_TO)*('Dvd Calendar'!$V$1145&gt;VAL_DATE)=0,"",'Dvd Calendar'!$V$1145*1000000000+ISNUMBER('Dvd Calendar'!$V$1146)*100000000+0*10000000+(N('Dvd Calendar'!$V$1144)&gt;0)*(N('Dvd Calendar'!$V$1144)&lt;=VAL_SERIAL)*1000000+3*1000+58))</f>
        <v/>
      </c>
      <c r="GK118" s="39">
        <f>IF(N('Dvd Calendar'!$W$1145)=0,"",IF(('Dvd Calendar'!$W$1145&gt;=GRID_FROM)*('Dvd Calendar'!$W$1145&lt;=GRID_TO)*('Dvd Calendar'!$W$1145&gt;VAL_DATE)=0,"",'Dvd Calendar'!$W$1145*1000000000+ISNUMBER('Dvd Calendar'!$W$1146)*100000000+0*10000000+(N('Dvd Calendar'!$W$1144)&gt;0)*(N('Dvd Calendar'!$W$1144)&lt;=VAL_SERIAL)*1000000+3*1000+59))</f>
        <v/>
      </c>
      <c r="GL118" s="39">
        <f>IF(N('Dvd Calendar'!$X$1145)=0,"",IF(('Dvd Calendar'!$X$1145&gt;=GRID_FROM)*('Dvd Calendar'!$X$1145&lt;=GRID_TO)*('Dvd Calendar'!$X$1145&gt;VAL_DATE)=0,"",'Dvd Calendar'!$X$1145*1000000000+ISNUMBER('Dvd Calendar'!$X$1146)*100000000+0*10000000+(N('Dvd Calendar'!$X$1144)&gt;0)*(N('Dvd Calendar'!$X$1144)&lt;=VAL_SERIAL)*1000000+3*1000+60))</f>
        <v/>
      </c>
      <c r="GM118" s="39">
        <f>IF(N('Dvd Calendar'!$Y$1145)=0,"",IF(('Dvd Calendar'!$Y$1145&gt;=GRID_FROM)*('Dvd Calendar'!$Y$1145&lt;=GRID_TO)*('Dvd Calendar'!$Y$1145&gt;VAL_DATE)=0,"",'Dvd Calendar'!$Y$1145*1000000000+ISNUMBER('Dvd Calendar'!$Y$1146)*100000000+0*10000000+(N('Dvd Calendar'!$Y$1144)&gt;0)*(N('Dvd Calendar'!$Y$1144)&lt;=VAL_SERIAL)*1000000+3*1000+61))</f>
        <v/>
      </c>
      <c r="GN118" s="39">
        <f>IF(N('Dvd Calendar'!$Z$1145)=0,"",IF(('Dvd Calendar'!$Z$1145&gt;=GRID_FROM)*('Dvd Calendar'!$Z$1145&lt;=GRID_TO)*('Dvd Calendar'!$Z$1145&gt;VAL_DATE)=0,"",'Dvd Calendar'!$Z$1145*1000000000+ISNUMBER('Dvd Calendar'!$Z$1146)*100000000+0*10000000+(N('Dvd Calendar'!$Z$1144)&gt;0)*(N('Dvd Calendar'!$Z$1144)&lt;=VAL_SERIAL)*1000000+3*1000+62))</f>
        <v/>
      </c>
      <c r="GO118" s="39">
        <f>IF(N('Dvd Calendar'!$AA$1145)=0,"",IF(('Dvd Calendar'!$AA$1145&gt;=GRID_FROM)*('Dvd Calendar'!$AA$1145&lt;=GRID_TO)*('Dvd Calendar'!$AA$1145&gt;VAL_DATE)=0,"",'Dvd Calendar'!$AA$1145*1000000000+ISNUMBER('Dvd Calendar'!$AA$1146)*100000000+0*10000000+(N('Dvd Calendar'!$AA$1144)&gt;0)*(N('Dvd Calendar'!$AA$1144)&lt;=VAL_SERIAL)*1000000+3*1000+63))</f>
        <v/>
      </c>
      <c r="GP118" s="39">
        <f>IF(N('Dvd Calendar'!$AB$1145)=0,"",IF(('Dvd Calendar'!$AB$1145&gt;=GRID_FROM)*('Dvd Calendar'!$AB$1145&lt;=GRID_TO)*('Dvd Calendar'!$AB$1145&gt;VAL_DATE)=0,"",'Dvd Calendar'!$AB$1145*1000000000+ISNUMBER('Dvd Calendar'!$AB$1146)*100000000+0*10000000+(N('Dvd Calendar'!$AB$1144)&gt;0)*(N('Dvd Calendar'!$AB$1144)&lt;=VAL_SERIAL)*1000000+3*1000+64))</f>
        <v/>
      </c>
      <c r="GQ118" s="39">
        <f>IF(N('Dvd Calendar'!$AC$1145)=0,"",IF(('Dvd Calendar'!$AC$1145&gt;=GRID_FROM)*('Dvd Calendar'!$AC$1145&lt;=GRID_TO)*('Dvd Calendar'!$AC$1145&gt;VAL_DATE)=0,"",'Dvd Calendar'!$AC$1145*1000000000+ISNUMBER('Dvd Calendar'!$AC$1146)*100000000+0*10000000+(N('Dvd Calendar'!$AC$1144)&gt;0)*(N('Dvd Calendar'!$AC$1144)&lt;=VAL_SERIAL)*1000000+3*1000+65))</f>
        <v/>
      </c>
    </row>
    <row r="119">
      <c r="B119" s="2">
        <f>IF(HSTECH!$C$10="","",HSTECH!$C$10)</f>
        <v/>
      </c>
      <c r="C119" s="110">
        <f>IF(EE119="","",IF(ISNUMBER('Dvd Calendar'!$E$1152)=FALSE,"",IF((('Dvd Calendar'!$E$1154=TYPE1)*(TYPE1&lt;&gt;"")+('Dvd Calendar'!$E$1154=TYPE2)*(TYPE2&lt;&gt;"")+('Dvd Calendar'!$E$1154=TYPE3)*(TYPE3&lt;&gt;"")+('Dvd Calendar'!$E$1154=TYPE4)*(TYPE4&lt;&gt;"")+('Dvd Calendar'!$E$1154=SPECIAL_LBL)*(INC_SPECIALS="Y"))=0,"",'Dvd Calendar'!$E$1152)))</f>
        <v/>
      </c>
      <c r="D119" s="110">
        <f>IF(EF119="","",IF(ISNUMBER('Dvd Calendar'!$F$1152)=FALSE,"",IF((('Dvd Calendar'!$F$1154=TYPE1)*(TYPE1&lt;&gt;"")+('Dvd Calendar'!$F$1154=TYPE2)*(TYPE2&lt;&gt;"")+('Dvd Calendar'!$F$1154=TYPE3)*(TYPE3&lt;&gt;"")+('Dvd Calendar'!$F$1154=TYPE4)*(TYPE4&lt;&gt;"")+('Dvd Calendar'!$F$1154=SPECIAL_LBL)*(INC_SPECIALS="Y"))=0,"",'Dvd Calendar'!$F$1152)))</f>
        <v/>
      </c>
      <c r="E119" s="110">
        <f>IF(EG119="","",IF(ISNUMBER('Dvd Calendar'!$G$1152)=FALSE,"",IF((('Dvd Calendar'!$G$1154=TYPE1)*(TYPE1&lt;&gt;"")+('Dvd Calendar'!$G$1154=TYPE2)*(TYPE2&lt;&gt;"")+('Dvd Calendar'!$G$1154=TYPE3)*(TYPE3&lt;&gt;"")+('Dvd Calendar'!$G$1154=TYPE4)*(TYPE4&lt;&gt;"")+('Dvd Calendar'!$G$1154=SPECIAL_LBL)*(INC_SPECIALS="Y"))=0,"",'Dvd Calendar'!$G$1152)))</f>
        <v/>
      </c>
      <c r="F119" s="110">
        <f>IF(EH119="","",IF(ISNUMBER('Dvd Calendar'!$H$1152)=FALSE,"",IF((('Dvd Calendar'!$H$1154=TYPE1)*(TYPE1&lt;&gt;"")+('Dvd Calendar'!$H$1154=TYPE2)*(TYPE2&lt;&gt;"")+('Dvd Calendar'!$H$1154=TYPE3)*(TYPE3&lt;&gt;"")+('Dvd Calendar'!$H$1154=TYPE4)*(TYPE4&lt;&gt;"")+('Dvd Calendar'!$H$1154=SPECIAL_LBL)*(INC_SPECIALS="Y"))=0,"",'Dvd Calendar'!$H$1152)))</f>
        <v/>
      </c>
      <c r="G119" s="110">
        <f>IF(EI119="","",IF(ISNUMBER('Dvd Calendar'!$I$1152)=FALSE,"",IF((('Dvd Calendar'!$I$1154=TYPE1)*(TYPE1&lt;&gt;"")+('Dvd Calendar'!$I$1154=TYPE2)*(TYPE2&lt;&gt;"")+('Dvd Calendar'!$I$1154=TYPE3)*(TYPE3&lt;&gt;"")+('Dvd Calendar'!$I$1154=TYPE4)*(TYPE4&lt;&gt;"")+('Dvd Calendar'!$I$1154=SPECIAL_LBL)*(INC_SPECIALS="Y"))=0,"",'Dvd Calendar'!$I$1152)))</f>
        <v/>
      </c>
      <c r="H119" s="110">
        <f>IF(EJ119="","",IF(ISNUMBER('Dvd Calendar'!$J$1152)=FALSE,"",IF((('Dvd Calendar'!$J$1154=TYPE1)*(TYPE1&lt;&gt;"")+('Dvd Calendar'!$J$1154=TYPE2)*(TYPE2&lt;&gt;"")+('Dvd Calendar'!$J$1154=TYPE3)*(TYPE3&lt;&gt;"")+('Dvd Calendar'!$J$1154=TYPE4)*(TYPE4&lt;&gt;"")+('Dvd Calendar'!$J$1154=SPECIAL_LBL)*(INC_SPECIALS="Y"))=0,"",'Dvd Calendar'!$J$1152)))</f>
        <v/>
      </c>
      <c r="I119" s="110">
        <f>IF(EK119="","",IF(ISNUMBER('Dvd Calendar'!$K$1152)=FALSE,"",IF((('Dvd Calendar'!$K$1154=TYPE1)*(TYPE1&lt;&gt;"")+('Dvd Calendar'!$K$1154=TYPE2)*(TYPE2&lt;&gt;"")+('Dvd Calendar'!$K$1154=TYPE3)*(TYPE3&lt;&gt;"")+('Dvd Calendar'!$K$1154=TYPE4)*(TYPE4&lt;&gt;"")+('Dvd Calendar'!$K$1154=SPECIAL_LBL)*(INC_SPECIALS="Y"))=0,"",'Dvd Calendar'!$K$1152)))</f>
        <v/>
      </c>
      <c r="J119" s="110">
        <f>IF(EL119="","",IF(ISNUMBER('Dvd Calendar'!$L$1152)=FALSE,"",IF((('Dvd Calendar'!$L$1154=TYPE1)*(TYPE1&lt;&gt;"")+('Dvd Calendar'!$L$1154=TYPE2)*(TYPE2&lt;&gt;"")+('Dvd Calendar'!$L$1154=TYPE3)*(TYPE3&lt;&gt;"")+('Dvd Calendar'!$L$1154=TYPE4)*(TYPE4&lt;&gt;"")+('Dvd Calendar'!$L$1154=SPECIAL_LBL)*(INC_SPECIALS="Y"))=0,"",'Dvd Calendar'!$L$1152)))</f>
        <v/>
      </c>
      <c r="K119" s="110">
        <f>IF(EM119="","",IF(ISNUMBER('Dvd Calendar'!$M$1152)=FALSE,"",IF((('Dvd Calendar'!$M$1154=TYPE1)*(TYPE1&lt;&gt;"")+('Dvd Calendar'!$M$1154=TYPE2)*(TYPE2&lt;&gt;"")+('Dvd Calendar'!$M$1154=TYPE3)*(TYPE3&lt;&gt;"")+('Dvd Calendar'!$M$1154=TYPE4)*(TYPE4&lt;&gt;"")+('Dvd Calendar'!$M$1154=SPECIAL_LBL)*(INC_SPECIALS="Y"))=0,"",'Dvd Calendar'!$M$1152)))</f>
        <v/>
      </c>
      <c r="L119" s="110">
        <f>IF(EN119="","",IF(ISNUMBER('Dvd Calendar'!$N$1152)=FALSE,"",IF((('Dvd Calendar'!$N$1154=TYPE1)*(TYPE1&lt;&gt;"")+('Dvd Calendar'!$N$1154=TYPE2)*(TYPE2&lt;&gt;"")+('Dvd Calendar'!$N$1154=TYPE3)*(TYPE3&lt;&gt;"")+('Dvd Calendar'!$N$1154=TYPE4)*(TYPE4&lt;&gt;"")+('Dvd Calendar'!$N$1154=SPECIAL_LBL)*(INC_SPECIALS="Y"))=0,"",'Dvd Calendar'!$N$1152)))</f>
        <v/>
      </c>
      <c r="M119" s="110">
        <f>IF(EO119="","",IF(ISNUMBER('Dvd Calendar'!$O$1152)=FALSE,"",IF((('Dvd Calendar'!$O$1154=TYPE1)*(TYPE1&lt;&gt;"")+('Dvd Calendar'!$O$1154=TYPE2)*(TYPE2&lt;&gt;"")+('Dvd Calendar'!$O$1154=TYPE3)*(TYPE3&lt;&gt;"")+('Dvd Calendar'!$O$1154=TYPE4)*(TYPE4&lt;&gt;"")+('Dvd Calendar'!$O$1154=SPECIAL_LBL)*(INC_SPECIALS="Y"))=0,"",'Dvd Calendar'!$O$1152)))</f>
        <v/>
      </c>
      <c r="N119" s="110">
        <f>IF(EP119="","",IF(ISNUMBER('Dvd Calendar'!$P$1152)=FALSE,"",IF((('Dvd Calendar'!$P$1154=TYPE1)*(TYPE1&lt;&gt;"")+('Dvd Calendar'!$P$1154=TYPE2)*(TYPE2&lt;&gt;"")+('Dvd Calendar'!$P$1154=TYPE3)*(TYPE3&lt;&gt;"")+('Dvd Calendar'!$P$1154=TYPE4)*(TYPE4&lt;&gt;"")+('Dvd Calendar'!$P$1154=SPECIAL_LBL)*(INC_SPECIALS="Y"))=0,"",'Dvd Calendar'!$P$1152)))</f>
        <v/>
      </c>
      <c r="O119" s="110">
        <f>IF(EQ119="","",IF(ISNUMBER('Dvd Calendar'!$Q$1152)=FALSE,"",IF((('Dvd Calendar'!$Q$1154=TYPE1)*(TYPE1&lt;&gt;"")+('Dvd Calendar'!$Q$1154=TYPE2)*(TYPE2&lt;&gt;"")+('Dvd Calendar'!$Q$1154=TYPE3)*(TYPE3&lt;&gt;"")+('Dvd Calendar'!$Q$1154=TYPE4)*(TYPE4&lt;&gt;"")+('Dvd Calendar'!$Q$1154=SPECIAL_LBL)*(INC_SPECIALS="Y"))=0,"",'Dvd Calendar'!$Q$1152)))</f>
        <v/>
      </c>
      <c r="P119" s="110">
        <f>IF(ER119="","",IF(ISNUMBER('Dvd Calendar'!$R$1152)=FALSE,"",IF((('Dvd Calendar'!$R$1154=TYPE1)*(TYPE1&lt;&gt;"")+('Dvd Calendar'!$R$1154=TYPE2)*(TYPE2&lt;&gt;"")+('Dvd Calendar'!$R$1154=TYPE3)*(TYPE3&lt;&gt;"")+('Dvd Calendar'!$R$1154=TYPE4)*(TYPE4&lt;&gt;"")+('Dvd Calendar'!$R$1154=SPECIAL_LBL)*(INC_SPECIALS="Y"))=0,"",'Dvd Calendar'!$R$1152)))</f>
        <v/>
      </c>
      <c r="Q119" s="110">
        <f>IF(ES119="","",IF(ISNUMBER('Dvd Calendar'!$S$1152)=FALSE,"",IF((('Dvd Calendar'!$S$1154=TYPE1)*(TYPE1&lt;&gt;"")+('Dvd Calendar'!$S$1154=TYPE2)*(TYPE2&lt;&gt;"")+('Dvd Calendar'!$S$1154=TYPE3)*(TYPE3&lt;&gt;"")+('Dvd Calendar'!$S$1154=TYPE4)*(TYPE4&lt;&gt;"")+('Dvd Calendar'!$S$1154=SPECIAL_LBL)*(INC_SPECIALS="Y"))=0,"",'Dvd Calendar'!$S$1152)))</f>
        <v/>
      </c>
      <c r="R119" s="110">
        <f>IF(ET119="","",IF(ISNUMBER('Dvd Calendar'!$T$1152)=FALSE,"",IF((('Dvd Calendar'!$T$1154=TYPE1)*(TYPE1&lt;&gt;"")+('Dvd Calendar'!$T$1154=TYPE2)*(TYPE2&lt;&gt;"")+('Dvd Calendar'!$T$1154=TYPE3)*(TYPE3&lt;&gt;"")+('Dvd Calendar'!$T$1154=TYPE4)*(TYPE4&lt;&gt;"")+('Dvd Calendar'!$T$1154=SPECIAL_LBL)*(INC_SPECIALS="Y"))=0,"",'Dvd Calendar'!$T$1152)))</f>
        <v/>
      </c>
      <c r="S119" s="110">
        <f>IF(EU119="","",IF(ISNUMBER('Dvd Calendar'!$U$1152)=FALSE,"",IF((('Dvd Calendar'!$U$1154=TYPE1)*(TYPE1&lt;&gt;"")+('Dvd Calendar'!$U$1154=TYPE2)*(TYPE2&lt;&gt;"")+('Dvd Calendar'!$U$1154=TYPE3)*(TYPE3&lt;&gt;"")+('Dvd Calendar'!$U$1154=TYPE4)*(TYPE4&lt;&gt;"")+('Dvd Calendar'!$U$1154=SPECIAL_LBL)*(INC_SPECIALS="Y"))=0,"",'Dvd Calendar'!$U$1152)))</f>
        <v/>
      </c>
      <c r="T119" s="110">
        <f>IF(EV119="","",IF(ISNUMBER('Dvd Calendar'!$V$1152)=FALSE,"",IF((('Dvd Calendar'!$V$1154=TYPE1)*(TYPE1&lt;&gt;"")+('Dvd Calendar'!$V$1154=TYPE2)*(TYPE2&lt;&gt;"")+('Dvd Calendar'!$V$1154=TYPE3)*(TYPE3&lt;&gt;"")+('Dvd Calendar'!$V$1154=TYPE4)*(TYPE4&lt;&gt;"")+('Dvd Calendar'!$V$1154=SPECIAL_LBL)*(INC_SPECIALS="Y"))=0,"",'Dvd Calendar'!$V$1152)))</f>
        <v/>
      </c>
      <c r="U119" s="110">
        <f>IF(EW119="","",IF(ISNUMBER('Dvd Calendar'!$W$1152)=FALSE,"",IF((('Dvd Calendar'!$W$1154=TYPE1)*(TYPE1&lt;&gt;"")+('Dvd Calendar'!$W$1154=TYPE2)*(TYPE2&lt;&gt;"")+('Dvd Calendar'!$W$1154=TYPE3)*(TYPE3&lt;&gt;"")+('Dvd Calendar'!$W$1154=TYPE4)*(TYPE4&lt;&gt;"")+('Dvd Calendar'!$W$1154=SPECIAL_LBL)*(INC_SPECIALS="Y"))=0,"",'Dvd Calendar'!$W$1152)))</f>
        <v/>
      </c>
      <c r="V119" s="110">
        <f>IF(EX119="","",IF(ISNUMBER('Dvd Calendar'!$X$1152)=FALSE,"",IF((('Dvd Calendar'!$X$1154=TYPE1)*(TYPE1&lt;&gt;"")+('Dvd Calendar'!$X$1154=TYPE2)*(TYPE2&lt;&gt;"")+('Dvd Calendar'!$X$1154=TYPE3)*(TYPE3&lt;&gt;"")+('Dvd Calendar'!$X$1154=TYPE4)*(TYPE4&lt;&gt;"")+('Dvd Calendar'!$X$1154=SPECIAL_LBL)*(INC_SPECIALS="Y"))=0,"",'Dvd Calendar'!$X$1152)))</f>
        <v/>
      </c>
      <c r="W119" s="110">
        <f>IF(EY119="","",IF(ISNUMBER('Dvd Calendar'!$Y$1152)=FALSE,"",IF((('Dvd Calendar'!$Y$1154=TYPE1)*(TYPE1&lt;&gt;"")+('Dvd Calendar'!$Y$1154=TYPE2)*(TYPE2&lt;&gt;"")+('Dvd Calendar'!$Y$1154=TYPE3)*(TYPE3&lt;&gt;"")+('Dvd Calendar'!$Y$1154=TYPE4)*(TYPE4&lt;&gt;"")+('Dvd Calendar'!$Y$1154=SPECIAL_LBL)*(INC_SPECIALS="Y"))=0,"",'Dvd Calendar'!$Y$1152)))</f>
        <v/>
      </c>
      <c r="X119" s="110">
        <f>IF(EZ119="","",IF(ISNUMBER('Dvd Calendar'!$Z$1152)=FALSE,"",IF((('Dvd Calendar'!$Z$1154=TYPE1)*(TYPE1&lt;&gt;"")+('Dvd Calendar'!$Z$1154=TYPE2)*(TYPE2&lt;&gt;"")+('Dvd Calendar'!$Z$1154=TYPE3)*(TYPE3&lt;&gt;"")+('Dvd Calendar'!$Z$1154=TYPE4)*(TYPE4&lt;&gt;"")+('Dvd Calendar'!$Z$1154=SPECIAL_LBL)*(INC_SPECIALS="Y"))=0,"",'Dvd Calendar'!$Z$1152)))</f>
        <v/>
      </c>
      <c r="Y119" s="110">
        <f>IF(FA119="","",IF(ISNUMBER('Dvd Calendar'!$AA$1152)=FALSE,"",IF((('Dvd Calendar'!$AA$1154=TYPE1)*(TYPE1&lt;&gt;"")+('Dvd Calendar'!$AA$1154=TYPE2)*(TYPE2&lt;&gt;"")+('Dvd Calendar'!$AA$1154=TYPE3)*(TYPE3&lt;&gt;"")+('Dvd Calendar'!$AA$1154=TYPE4)*(TYPE4&lt;&gt;"")+('Dvd Calendar'!$AA$1154=SPECIAL_LBL)*(INC_SPECIALS="Y"))=0,"",'Dvd Calendar'!$AA$1152)))</f>
        <v/>
      </c>
      <c r="Z119" s="110">
        <f>IF(FB119="","",IF(ISNUMBER('Dvd Calendar'!$AB$1152)=FALSE,"",IF((('Dvd Calendar'!$AB$1154=TYPE1)*(TYPE1&lt;&gt;"")+('Dvd Calendar'!$AB$1154=TYPE2)*(TYPE2&lt;&gt;"")+('Dvd Calendar'!$AB$1154=TYPE3)*(TYPE3&lt;&gt;"")+('Dvd Calendar'!$AB$1154=TYPE4)*(TYPE4&lt;&gt;"")+('Dvd Calendar'!$AB$1154=SPECIAL_LBL)*(INC_SPECIALS="Y"))=0,"",'Dvd Calendar'!$AB$1152)))</f>
        <v/>
      </c>
      <c r="AA119" s="110">
        <f>IF(FC119="","",IF(ISNUMBER('Dvd Calendar'!$AC$1152)=FALSE,"",IF((('Dvd Calendar'!$AC$1154=TYPE1)*(TYPE1&lt;&gt;"")+('Dvd Calendar'!$AC$1154=TYPE2)*(TYPE2&lt;&gt;"")+('Dvd Calendar'!$AC$1154=TYPE3)*(TYPE3&lt;&gt;"")+('Dvd Calendar'!$AC$1154=TYPE4)*(TYPE4&lt;&gt;"")+('Dvd Calendar'!$AC$1154=SPECIAL_LBL)*(INC_SPECIALS="Y"))=0,"",'Dvd Calendar'!$AC$1152)))</f>
        <v/>
      </c>
      <c r="AB119" s="110">
        <f>IF(FD119="","",IF(ISNUMBER('Dvd Calendar'!$AD$1152)=FALSE,"",IF((('Dvd Calendar'!$AD$1154=TYPE1)*(TYPE1&lt;&gt;"")+('Dvd Calendar'!$AD$1154=TYPE2)*(TYPE2&lt;&gt;"")+('Dvd Calendar'!$AD$1154=TYPE3)*(TYPE3&lt;&gt;"")+('Dvd Calendar'!$AD$1154=TYPE4)*(TYPE4&lt;&gt;"")+('Dvd Calendar'!$AD$1154=SPECIAL_LBL)*(INC_SPECIALS="Y"))=0,"",'Dvd Calendar'!$AD$1152)))</f>
        <v/>
      </c>
      <c r="AC119" s="110">
        <f>IF(FE119="","",IF(ISNUMBER('Dvd Calendar'!$AE$1152)=FALSE,"",IF((('Dvd Calendar'!$AE$1154=TYPE1)*(TYPE1&lt;&gt;"")+('Dvd Calendar'!$AE$1154=TYPE2)*(TYPE2&lt;&gt;"")+('Dvd Calendar'!$AE$1154=TYPE3)*(TYPE3&lt;&gt;"")+('Dvd Calendar'!$AE$1154=TYPE4)*(TYPE4&lt;&gt;"")+('Dvd Calendar'!$AE$1154=SPECIAL_LBL)*(INC_SPECIALS="Y"))=0,"",'Dvd Calendar'!$AE$1152)))</f>
        <v/>
      </c>
      <c r="AD119" s="110">
        <f>IF(FF119="","",IF(ISNUMBER('Dvd Calendar'!$AF$1152)=FALSE,"",IF((('Dvd Calendar'!$AF$1154=TYPE1)*(TYPE1&lt;&gt;"")+('Dvd Calendar'!$AF$1154=TYPE2)*(TYPE2&lt;&gt;"")+('Dvd Calendar'!$AF$1154=TYPE3)*(TYPE3&lt;&gt;"")+('Dvd Calendar'!$AF$1154=TYPE4)*(TYPE4&lt;&gt;"")+('Dvd Calendar'!$AF$1154=SPECIAL_LBL)*(INC_SPECIALS="Y"))=0,"",'Dvd Calendar'!$AF$1152)))</f>
        <v/>
      </c>
      <c r="AE119" s="110">
        <f>IF(FG119="","",IF(ISNUMBER('Dvd Calendar'!$AG$1152)=FALSE,"",IF((('Dvd Calendar'!$AG$1154=TYPE1)*(TYPE1&lt;&gt;"")+('Dvd Calendar'!$AG$1154=TYPE2)*(TYPE2&lt;&gt;"")+('Dvd Calendar'!$AG$1154=TYPE3)*(TYPE3&lt;&gt;"")+('Dvd Calendar'!$AG$1154=TYPE4)*(TYPE4&lt;&gt;"")+('Dvd Calendar'!$AG$1154=SPECIAL_LBL)*(INC_SPECIALS="Y"))=0,"",'Dvd Calendar'!$AG$1152)))</f>
        <v/>
      </c>
      <c r="AF119" s="110">
        <f>IF(FH119="","",IF(ISNUMBER('Dvd Calendar'!$AH$1152)=FALSE,"",IF((('Dvd Calendar'!$AH$1154=TYPE1)*(TYPE1&lt;&gt;"")+('Dvd Calendar'!$AH$1154=TYPE2)*(TYPE2&lt;&gt;"")+('Dvd Calendar'!$AH$1154=TYPE3)*(TYPE3&lt;&gt;"")+('Dvd Calendar'!$AH$1154=TYPE4)*(TYPE4&lt;&gt;"")+('Dvd Calendar'!$AH$1154=SPECIAL_LBL)*(INC_SPECIALS="Y"))=0,"",'Dvd Calendar'!$AH$1152)))</f>
        <v/>
      </c>
      <c r="AG119" s="110">
        <f>IF(FI119="","",IF(ISNUMBER('Dvd Calendar'!$AI$1152)=FALSE,"",IF((('Dvd Calendar'!$AI$1154=TYPE1)*(TYPE1&lt;&gt;"")+('Dvd Calendar'!$AI$1154=TYPE2)*(TYPE2&lt;&gt;"")+('Dvd Calendar'!$AI$1154=TYPE3)*(TYPE3&lt;&gt;"")+('Dvd Calendar'!$AI$1154=TYPE4)*(TYPE4&lt;&gt;"")+('Dvd Calendar'!$AI$1154=SPECIAL_LBL)*(INC_SPECIALS="Y"))=0,"",'Dvd Calendar'!$AI$1152)))</f>
        <v/>
      </c>
      <c r="AH119" s="110">
        <f>IF(FJ119="","",IF(ISNUMBER('Dvd Calendar'!$AJ$1152)=FALSE,"",IF((('Dvd Calendar'!$AJ$1154=TYPE1)*(TYPE1&lt;&gt;"")+('Dvd Calendar'!$AJ$1154=TYPE2)*(TYPE2&lt;&gt;"")+('Dvd Calendar'!$AJ$1154=TYPE3)*(TYPE3&lt;&gt;"")+('Dvd Calendar'!$AJ$1154=TYPE4)*(TYPE4&lt;&gt;"")+('Dvd Calendar'!$AJ$1154=SPECIAL_LBL)*(INC_SPECIALS="Y"))=0,"",'Dvd Calendar'!$AJ$1152)))</f>
        <v/>
      </c>
      <c r="AI119" s="110">
        <f>IF(FK119="","",IF(ISNUMBER('Dvd Calendar'!$AK$1152)=FALSE,"",IF((('Dvd Calendar'!$AK$1154=TYPE1)*(TYPE1&lt;&gt;"")+('Dvd Calendar'!$AK$1154=TYPE2)*(TYPE2&lt;&gt;"")+('Dvd Calendar'!$AK$1154=TYPE3)*(TYPE3&lt;&gt;"")+('Dvd Calendar'!$AK$1154=TYPE4)*(TYPE4&lt;&gt;"")+('Dvd Calendar'!$AK$1154=SPECIAL_LBL)*(INC_SPECIALS="Y"))=0,"",'Dvd Calendar'!$AK$1152)))</f>
        <v/>
      </c>
      <c r="AJ119" s="110">
        <f>IF(FL119="","",IF(ISNUMBER('Dvd Calendar'!$AL$1152)=FALSE,"",IF((('Dvd Calendar'!$AL$1154=TYPE1)*(TYPE1&lt;&gt;"")+('Dvd Calendar'!$AL$1154=TYPE2)*(TYPE2&lt;&gt;"")+('Dvd Calendar'!$AL$1154=TYPE3)*(TYPE3&lt;&gt;"")+('Dvd Calendar'!$AL$1154=TYPE4)*(TYPE4&lt;&gt;"")+('Dvd Calendar'!$AL$1154=SPECIAL_LBL)*(INC_SPECIALS="Y"))=0,"",'Dvd Calendar'!$AL$1152)))</f>
        <v/>
      </c>
      <c r="AK119" s="110">
        <f>IF(FM119="","",IF(ISNUMBER('Dvd Calendar'!$AM$1152)=FALSE,"",IF((('Dvd Calendar'!$AM$1154=TYPE1)*(TYPE1&lt;&gt;"")+('Dvd Calendar'!$AM$1154=TYPE2)*(TYPE2&lt;&gt;"")+('Dvd Calendar'!$AM$1154=TYPE3)*(TYPE3&lt;&gt;"")+('Dvd Calendar'!$AM$1154=TYPE4)*(TYPE4&lt;&gt;"")+('Dvd Calendar'!$AM$1154=SPECIAL_LBL)*(INC_SPECIALS="Y"))=0,"",'Dvd Calendar'!$AM$1152)))</f>
        <v/>
      </c>
      <c r="AL119" s="110">
        <f>IF(FN119="","",IF(ISNUMBER('Dvd Calendar'!$AN$1152)=FALSE,"",IF((('Dvd Calendar'!$AN$1154=TYPE1)*(TYPE1&lt;&gt;"")+('Dvd Calendar'!$AN$1154=TYPE2)*(TYPE2&lt;&gt;"")+('Dvd Calendar'!$AN$1154=TYPE3)*(TYPE3&lt;&gt;"")+('Dvd Calendar'!$AN$1154=TYPE4)*(TYPE4&lt;&gt;"")+('Dvd Calendar'!$AN$1154=SPECIAL_LBL)*(INC_SPECIALS="Y"))=0,"",'Dvd Calendar'!$AN$1152)))</f>
        <v/>
      </c>
      <c r="AM119" s="110">
        <f>IF(FO119="","",IF(ISNUMBER('Dvd Calendar'!$AO$1152)=FALSE,"",IF((('Dvd Calendar'!$AO$1154=TYPE1)*(TYPE1&lt;&gt;"")+('Dvd Calendar'!$AO$1154=TYPE2)*(TYPE2&lt;&gt;"")+('Dvd Calendar'!$AO$1154=TYPE3)*(TYPE3&lt;&gt;"")+('Dvd Calendar'!$AO$1154=TYPE4)*(TYPE4&lt;&gt;"")+('Dvd Calendar'!$AO$1154=SPECIAL_LBL)*(INC_SPECIALS="Y"))=0,"",'Dvd Calendar'!$AO$1152)))</f>
        <v/>
      </c>
      <c r="AN119" s="110">
        <f>IF(FP119="","",IF(ISNUMBER('Dvd Calendar'!$AP$1152)=FALSE,"",IF((('Dvd Calendar'!$AP$1154=TYPE1)*(TYPE1&lt;&gt;"")+('Dvd Calendar'!$AP$1154=TYPE2)*(TYPE2&lt;&gt;"")+('Dvd Calendar'!$AP$1154=TYPE3)*(TYPE3&lt;&gt;"")+('Dvd Calendar'!$AP$1154=TYPE4)*(TYPE4&lt;&gt;"")+('Dvd Calendar'!$AP$1154=SPECIAL_LBL)*(INC_SPECIALS="Y"))=0,"",'Dvd Calendar'!$AP$1152)))</f>
        <v/>
      </c>
      <c r="AO119" s="110">
        <f>IF(FQ119="","",IF(ISNUMBER('Dvd Calendar'!$AQ$1152)=FALSE,"",IF((('Dvd Calendar'!$AQ$1154=TYPE1)*(TYPE1&lt;&gt;"")+('Dvd Calendar'!$AQ$1154=TYPE2)*(TYPE2&lt;&gt;"")+('Dvd Calendar'!$AQ$1154=TYPE3)*(TYPE3&lt;&gt;"")+('Dvd Calendar'!$AQ$1154=TYPE4)*(TYPE4&lt;&gt;"")+('Dvd Calendar'!$AQ$1154=SPECIAL_LBL)*(INC_SPECIALS="Y"))=0,"",'Dvd Calendar'!$AQ$1152)))</f>
        <v/>
      </c>
      <c r="AP119" s="110">
        <f>IF(FR119="","",IF(ISNUMBER('Dvd Calendar'!$AR$1152)=FALSE,"",IF((('Dvd Calendar'!$AR$1154=TYPE1)*(TYPE1&lt;&gt;"")+('Dvd Calendar'!$AR$1154=TYPE2)*(TYPE2&lt;&gt;"")+('Dvd Calendar'!$AR$1154=TYPE3)*(TYPE3&lt;&gt;"")+('Dvd Calendar'!$AR$1154=TYPE4)*(TYPE4&lt;&gt;"")+('Dvd Calendar'!$AR$1154=SPECIAL_LBL)*(INC_SPECIALS="Y"))=0,"",'Dvd Calendar'!$AR$1152)))</f>
        <v/>
      </c>
      <c r="AQ119" s="110">
        <f>IF(FS119="","",IF(ISNUMBER('Dvd Calendar'!$E$1157)=FALSE,"",'Dvd Calendar'!$E$1157))</f>
        <v/>
      </c>
      <c r="AR119" s="110">
        <f>IF(FT119="","",IF(ISNUMBER('Dvd Calendar'!$F$1157)=FALSE,"",'Dvd Calendar'!$F$1157))</f>
        <v/>
      </c>
      <c r="AS119" s="110">
        <f>IF(FU119="","",IF(ISNUMBER('Dvd Calendar'!$G$1157)=FALSE,"",'Dvd Calendar'!$G$1157))</f>
        <v/>
      </c>
      <c r="AT119" s="110">
        <f>IF(FV119="","",IF(ISNUMBER('Dvd Calendar'!$H$1157)=FALSE,"",'Dvd Calendar'!$H$1157))</f>
        <v/>
      </c>
      <c r="AU119" s="110">
        <f>IF(FW119="","",IF(ISNUMBER('Dvd Calendar'!$I$1157)=FALSE,"",'Dvd Calendar'!$I$1157))</f>
        <v/>
      </c>
      <c r="AV119" s="110">
        <f>IF(FX119="","",IF(ISNUMBER('Dvd Calendar'!$J$1157)=FALSE,"",'Dvd Calendar'!$J$1157))</f>
        <v/>
      </c>
      <c r="AW119" s="110">
        <f>IF(FY119="","",IF(ISNUMBER('Dvd Calendar'!$K$1157)=FALSE,"",'Dvd Calendar'!$K$1157))</f>
        <v/>
      </c>
      <c r="AX119" s="110">
        <f>IF(FZ119="","",IF(ISNUMBER('Dvd Calendar'!$L$1157)=FALSE,"",'Dvd Calendar'!$L$1157))</f>
        <v/>
      </c>
      <c r="AY119" s="110">
        <f>IF(GA119="","",IF(ISNUMBER('Dvd Calendar'!$M$1157)=FALSE,"",'Dvd Calendar'!$M$1157))</f>
        <v/>
      </c>
      <c r="AZ119" s="110">
        <f>IF(GB119="","",IF(ISNUMBER('Dvd Calendar'!$N$1157)=FALSE,"",'Dvd Calendar'!$N$1157))</f>
        <v/>
      </c>
      <c r="BA119" s="110">
        <f>IF(GC119="","",IF(ISNUMBER('Dvd Calendar'!$O$1157)=FALSE,"",'Dvd Calendar'!$O$1157))</f>
        <v/>
      </c>
      <c r="BB119" s="110">
        <f>IF(GD119="","",IF(ISNUMBER('Dvd Calendar'!$P$1157)=FALSE,"",'Dvd Calendar'!$P$1157))</f>
        <v/>
      </c>
      <c r="BC119" s="110">
        <f>IF(GE119="","",IF(ISNUMBER('Dvd Calendar'!$Q$1157)=FALSE,"",'Dvd Calendar'!$Q$1157))</f>
        <v/>
      </c>
      <c r="BD119" s="110">
        <f>IF(GF119="","",IF(ISNUMBER('Dvd Calendar'!$R$1157)=FALSE,"",'Dvd Calendar'!$R$1157))</f>
        <v/>
      </c>
      <c r="BE119" s="110">
        <f>IF(GG119="","",IF(ISNUMBER('Dvd Calendar'!$S$1157)=FALSE,"",'Dvd Calendar'!$S$1157))</f>
        <v/>
      </c>
      <c r="BF119" s="110">
        <f>IF(GH119="","",IF(ISNUMBER('Dvd Calendar'!$T$1157)=FALSE,"",'Dvd Calendar'!$T$1157))</f>
        <v/>
      </c>
      <c r="BG119" s="110">
        <f>IF(GI119="","",IF(ISNUMBER('Dvd Calendar'!$U$1157)=FALSE,"",'Dvd Calendar'!$U$1157))</f>
        <v/>
      </c>
      <c r="BH119" s="110">
        <f>IF(GJ119="","",IF(ISNUMBER('Dvd Calendar'!$V$1157)=FALSE,"",'Dvd Calendar'!$V$1157))</f>
        <v/>
      </c>
      <c r="BI119" s="110">
        <f>IF(GK119="","",IF(ISNUMBER('Dvd Calendar'!$W$1157)=FALSE,"",'Dvd Calendar'!$W$1157))</f>
        <v/>
      </c>
      <c r="BJ119" s="110">
        <f>IF(GL119="","",IF(ISNUMBER('Dvd Calendar'!$X$1157)=FALSE,"",'Dvd Calendar'!$X$1157))</f>
        <v/>
      </c>
      <c r="BK119" s="110">
        <f>IF(GM119="","",IF(ISNUMBER('Dvd Calendar'!$Y$1157)=FALSE,"",'Dvd Calendar'!$Y$1157))</f>
        <v/>
      </c>
      <c r="BL119" s="110">
        <f>IF(GN119="","",IF(ISNUMBER('Dvd Calendar'!$Z$1157)=FALSE,"",'Dvd Calendar'!$Z$1157))</f>
        <v/>
      </c>
      <c r="BM119" s="110">
        <f>IF(GO119="","",IF(ISNUMBER('Dvd Calendar'!$AA$1157)=FALSE,"",'Dvd Calendar'!$AA$1157))</f>
        <v/>
      </c>
      <c r="BN119" s="110">
        <f>IF(GP119="","",IF(ISNUMBER('Dvd Calendar'!$AB$1157)=FALSE,"",'Dvd Calendar'!$AB$1157))</f>
        <v/>
      </c>
      <c r="BO119" s="110">
        <f>IF(GQ119="","",IF(ISNUMBER('Dvd Calendar'!$AC$1157)=FALSE,"",'Dvd Calendar'!$AC$1157))</f>
        <v/>
      </c>
      <c r="BQ119" s="110">
        <f>IF(C119="","",IFERROR(C119*HSTECH!$B$10*HSTECH!$G$10/HSTECH!$B$3,""))</f>
        <v/>
      </c>
      <c r="BR119" s="110">
        <f>IF(D119="","",IFERROR(D119*HSTECH!$B$10*HSTECH!$G$10/HSTECH!$B$3,""))</f>
        <v/>
      </c>
      <c r="BS119" s="110">
        <f>IF(E119="","",IFERROR(E119*HSTECH!$B$10*HSTECH!$G$10/HSTECH!$B$3,""))</f>
        <v/>
      </c>
      <c r="BT119" s="110">
        <f>IF(F119="","",IFERROR(F119*HSTECH!$B$10*HSTECH!$G$10/HSTECH!$B$3,""))</f>
        <v/>
      </c>
      <c r="BU119" s="110">
        <f>IF(G119="","",IFERROR(G119*HSTECH!$B$10*HSTECH!$G$10/HSTECH!$B$3,""))</f>
        <v/>
      </c>
      <c r="BV119" s="110">
        <f>IF(H119="","",IFERROR(H119*HSTECH!$B$10*HSTECH!$G$10/HSTECH!$B$3,""))</f>
        <v/>
      </c>
      <c r="BW119" s="110">
        <f>IF(I119="","",IFERROR(I119*HSTECH!$B$10*HSTECH!$G$10/HSTECH!$B$3,""))</f>
        <v/>
      </c>
      <c r="BX119" s="110">
        <f>IF(J119="","",IFERROR(J119*HSTECH!$B$10*HSTECH!$G$10/HSTECH!$B$3,""))</f>
        <v/>
      </c>
      <c r="BY119" s="110">
        <f>IF(K119="","",IFERROR(K119*HSTECH!$B$10*HSTECH!$G$10/HSTECH!$B$3,""))</f>
        <v/>
      </c>
      <c r="BZ119" s="110">
        <f>IF(L119="","",IFERROR(L119*HSTECH!$B$10*HSTECH!$G$10/HSTECH!$B$3,""))</f>
        <v/>
      </c>
      <c r="CA119" s="110">
        <f>IF(M119="","",IFERROR(M119*HSTECH!$B$10*HSTECH!$G$10/HSTECH!$B$3,""))</f>
        <v/>
      </c>
      <c r="CB119" s="110">
        <f>IF(N119="","",IFERROR(N119*HSTECH!$B$10*HSTECH!$G$10/HSTECH!$B$3,""))</f>
        <v/>
      </c>
      <c r="CC119" s="110">
        <f>IF(O119="","",IFERROR(O119*HSTECH!$B$10*HSTECH!$G$10/HSTECH!$B$3,""))</f>
        <v/>
      </c>
      <c r="CD119" s="110">
        <f>IF(P119="","",IFERROR(P119*HSTECH!$B$10*HSTECH!$G$10/HSTECH!$B$3,""))</f>
        <v/>
      </c>
      <c r="CE119" s="110">
        <f>IF(Q119="","",IFERROR(Q119*HSTECH!$B$10*HSTECH!$G$10/HSTECH!$B$3,""))</f>
        <v/>
      </c>
      <c r="CF119" s="110">
        <f>IF(R119="","",IFERROR(R119*HSTECH!$B$10*HSTECH!$G$10/HSTECH!$B$3,""))</f>
        <v/>
      </c>
      <c r="CG119" s="110">
        <f>IF(S119="","",IFERROR(S119*HSTECH!$B$10*HSTECH!$G$10/HSTECH!$B$3,""))</f>
        <v/>
      </c>
      <c r="CH119" s="110">
        <f>IF(T119="","",IFERROR(T119*HSTECH!$B$10*HSTECH!$G$10/HSTECH!$B$3,""))</f>
        <v/>
      </c>
      <c r="CI119" s="110">
        <f>IF(U119="","",IFERROR(U119*HSTECH!$B$10*HSTECH!$G$10/HSTECH!$B$3,""))</f>
        <v/>
      </c>
      <c r="CJ119" s="110">
        <f>IF(V119="","",IFERROR(V119*HSTECH!$B$10*HSTECH!$G$10/HSTECH!$B$3,""))</f>
        <v/>
      </c>
      <c r="CK119" s="110">
        <f>IF(W119="","",IFERROR(W119*HSTECH!$B$10*HSTECH!$G$10/HSTECH!$B$3,""))</f>
        <v/>
      </c>
      <c r="CL119" s="110">
        <f>IF(X119="","",IFERROR(X119*HSTECH!$B$10*HSTECH!$G$10/HSTECH!$B$3,""))</f>
        <v/>
      </c>
      <c r="CM119" s="110">
        <f>IF(Y119="","",IFERROR(Y119*HSTECH!$B$10*HSTECH!$G$10/HSTECH!$B$3,""))</f>
        <v/>
      </c>
      <c r="CN119" s="110">
        <f>IF(Z119="","",IFERROR(Z119*HSTECH!$B$10*HSTECH!$G$10/HSTECH!$B$3,""))</f>
        <v/>
      </c>
      <c r="CO119" s="110">
        <f>IF(AA119="","",IFERROR(AA119*HSTECH!$B$10*HSTECH!$G$10/HSTECH!$B$3,""))</f>
        <v/>
      </c>
      <c r="CP119" s="110">
        <f>IF(AB119="","",IFERROR(AB119*HSTECH!$B$10*HSTECH!$G$10/HSTECH!$B$3,""))</f>
        <v/>
      </c>
      <c r="CQ119" s="110">
        <f>IF(AC119="","",IFERROR(AC119*HSTECH!$B$10*HSTECH!$G$10/HSTECH!$B$3,""))</f>
        <v/>
      </c>
      <c r="CR119" s="110">
        <f>IF(AD119="","",IFERROR(AD119*HSTECH!$B$10*HSTECH!$G$10/HSTECH!$B$3,""))</f>
        <v/>
      </c>
      <c r="CS119" s="110">
        <f>IF(AE119="","",IFERROR(AE119*HSTECH!$B$10*HSTECH!$G$10/HSTECH!$B$3,""))</f>
        <v/>
      </c>
      <c r="CT119" s="110">
        <f>IF(AF119="","",IFERROR(AF119*HSTECH!$B$10*HSTECH!$G$10/HSTECH!$B$3,""))</f>
        <v/>
      </c>
      <c r="CU119" s="110">
        <f>IF(AG119="","",IFERROR(AG119*HSTECH!$B$10*HSTECH!$G$10/HSTECH!$B$3,""))</f>
        <v/>
      </c>
      <c r="CV119" s="110">
        <f>IF(AH119="","",IFERROR(AH119*HSTECH!$B$10*HSTECH!$G$10/HSTECH!$B$3,""))</f>
        <v/>
      </c>
      <c r="CW119" s="110">
        <f>IF(AI119="","",IFERROR(AI119*HSTECH!$B$10*HSTECH!$G$10/HSTECH!$B$3,""))</f>
        <v/>
      </c>
      <c r="CX119" s="110">
        <f>IF(AJ119="","",IFERROR(AJ119*HSTECH!$B$10*HSTECH!$G$10/HSTECH!$B$3,""))</f>
        <v/>
      </c>
      <c r="CY119" s="110">
        <f>IF(AK119="","",IFERROR(AK119*HSTECH!$B$10*HSTECH!$G$10/HSTECH!$B$3,""))</f>
        <v/>
      </c>
      <c r="CZ119" s="110">
        <f>IF(AL119="","",IFERROR(AL119*HSTECH!$B$10*HSTECH!$G$10/HSTECH!$B$3,""))</f>
        <v/>
      </c>
      <c r="DA119" s="110">
        <f>IF(AM119="","",IFERROR(AM119*HSTECH!$B$10*HSTECH!$G$10/HSTECH!$B$3,""))</f>
        <v/>
      </c>
      <c r="DB119" s="110">
        <f>IF(AN119="","",IFERROR(AN119*HSTECH!$B$10*HSTECH!$G$10/HSTECH!$B$3,""))</f>
        <v/>
      </c>
      <c r="DC119" s="110">
        <f>IF(AO119="","",IFERROR(AO119*HSTECH!$B$10*HSTECH!$G$10/HSTECH!$B$3,""))</f>
        <v/>
      </c>
      <c r="DD119" s="110">
        <f>IF(AP119="","",IFERROR(AP119*HSTECH!$B$10*HSTECH!$G$10/HSTECH!$B$3,""))</f>
        <v/>
      </c>
      <c r="DE119" s="110">
        <f>IF(AQ119="","",IFERROR(AQ119*HSTECH!$B$10*HSTECH!$G$10/HSTECH!$B$3,""))</f>
        <v/>
      </c>
      <c r="DF119" s="110">
        <f>IF(AR119="","",IFERROR(AR119*HSTECH!$B$10*HSTECH!$G$10/HSTECH!$B$3,""))</f>
        <v/>
      </c>
      <c r="DG119" s="110">
        <f>IF(AS119="","",IFERROR(AS119*HSTECH!$B$10*HSTECH!$G$10/HSTECH!$B$3,""))</f>
        <v/>
      </c>
      <c r="DH119" s="110">
        <f>IF(AT119="","",IFERROR(AT119*HSTECH!$B$10*HSTECH!$G$10/HSTECH!$B$3,""))</f>
        <v/>
      </c>
      <c r="DI119" s="110">
        <f>IF(AU119="","",IFERROR(AU119*HSTECH!$B$10*HSTECH!$G$10/HSTECH!$B$3,""))</f>
        <v/>
      </c>
      <c r="DJ119" s="110">
        <f>IF(AV119="","",IFERROR(AV119*HSTECH!$B$10*HSTECH!$G$10/HSTECH!$B$3,""))</f>
        <v/>
      </c>
      <c r="DK119" s="110">
        <f>IF(AW119="","",IFERROR(AW119*HSTECH!$B$10*HSTECH!$G$10/HSTECH!$B$3,""))</f>
        <v/>
      </c>
      <c r="DL119" s="110">
        <f>IF(AX119="","",IFERROR(AX119*HSTECH!$B$10*HSTECH!$G$10/HSTECH!$B$3,""))</f>
        <v/>
      </c>
      <c r="DM119" s="110">
        <f>IF(AY119="","",IFERROR(AY119*HSTECH!$B$10*HSTECH!$G$10/HSTECH!$B$3,""))</f>
        <v/>
      </c>
      <c r="DN119" s="110">
        <f>IF(AZ119="","",IFERROR(AZ119*HSTECH!$B$10*HSTECH!$G$10/HSTECH!$B$3,""))</f>
        <v/>
      </c>
      <c r="DO119" s="110">
        <f>IF(BA119="","",IFERROR(BA119*HSTECH!$B$10*HSTECH!$G$10/HSTECH!$B$3,""))</f>
        <v/>
      </c>
      <c r="DP119" s="110">
        <f>IF(BB119="","",IFERROR(BB119*HSTECH!$B$10*HSTECH!$G$10/HSTECH!$B$3,""))</f>
        <v/>
      </c>
      <c r="DQ119" s="110">
        <f>IF(BC119="","",IFERROR(BC119*HSTECH!$B$10*HSTECH!$G$10/HSTECH!$B$3,""))</f>
        <v/>
      </c>
      <c r="DR119" s="110">
        <f>IF(BD119="","",IFERROR(BD119*HSTECH!$B$10*HSTECH!$G$10/HSTECH!$B$3,""))</f>
        <v/>
      </c>
      <c r="DS119" s="110">
        <f>IF(BE119="","",IFERROR(BE119*HSTECH!$B$10*HSTECH!$G$10/HSTECH!$B$3,""))</f>
        <v/>
      </c>
      <c r="DT119" s="110">
        <f>IF(BF119="","",IFERROR(BF119*HSTECH!$B$10*HSTECH!$G$10/HSTECH!$B$3,""))</f>
        <v/>
      </c>
      <c r="DU119" s="110">
        <f>IF(BG119="","",IFERROR(BG119*HSTECH!$B$10*HSTECH!$G$10/HSTECH!$B$3,""))</f>
        <v/>
      </c>
      <c r="DV119" s="110">
        <f>IF(BH119="","",IFERROR(BH119*HSTECH!$B$10*HSTECH!$G$10/HSTECH!$B$3,""))</f>
        <v/>
      </c>
      <c r="DW119" s="110">
        <f>IF(BI119="","",IFERROR(BI119*HSTECH!$B$10*HSTECH!$G$10/HSTECH!$B$3,""))</f>
        <v/>
      </c>
      <c r="DX119" s="110">
        <f>IF(BJ119="","",IFERROR(BJ119*HSTECH!$B$10*HSTECH!$G$10/HSTECH!$B$3,""))</f>
        <v/>
      </c>
      <c r="DY119" s="110">
        <f>IF(BK119="","",IFERROR(BK119*HSTECH!$B$10*HSTECH!$G$10/HSTECH!$B$3,""))</f>
        <v/>
      </c>
      <c r="DZ119" s="110">
        <f>IF(BL119="","",IFERROR(BL119*HSTECH!$B$10*HSTECH!$G$10/HSTECH!$B$3,""))</f>
        <v/>
      </c>
      <c r="EA119" s="110">
        <f>IF(BM119="","",IFERROR(BM119*HSTECH!$B$10*HSTECH!$G$10/HSTECH!$B$3,""))</f>
        <v/>
      </c>
      <c r="EB119" s="110">
        <f>IF(BN119="","",IFERROR(BN119*HSTECH!$B$10*HSTECH!$G$10/HSTECH!$B$3,""))</f>
        <v/>
      </c>
      <c r="EC119" s="110">
        <f>IF(BO119="","",IFERROR(BO119*HSTECH!$B$10*HSTECH!$G$10/HSTECH!$B$3,""))</f>
        <v/>
      </c>
      <c r="EE119" s="39">
        <f>IF(N('Dvd Calendar'!$E$1149)=0,"",IF(('Dvd Calendar'!$E$1149&gt;=GRID_FROM)*('Dvd Calendar'!$E$1149&lt;=GRID_TO)*((('Dvd Calendar'!$E$1149&lt;=VAL_DATE)+(COUNTIF('Dvd Calendar'!$E$1156:$AR$1156,'Dvd Calendar'!$E$1149)=0))&gt;0)=0,"",'Dvd Calendar'!$E$1149*1000000000+ISNUMBER('Dvd Calendar'!$E$1152)*100000000+('Dvd Calendar'!$E$1154=SPECIAL_LBL)*10000000+(N('Dvd Calendar'!$E$1148)&gt;0)*(N('Dvd Calendar'!$E$1148)&lt;=VAL_SERIAL)*1000000+4*1000+1))</f>
        <v/>
      </c>
      <c r="EF119" s="39">
        <f>IF(N('Dvd Calendar'!$F$1149)=0,"",IF(('Dvd Calendar'!$F$1149&gt;=GRID_FROM)*('Dvd Calendar'!$F$1149&lt;=GRID_TO)*((('Dvd Calendar'!$F$1149&lt;=VAL_DATE)+(COUNTIF('Dvd Calendar'!$E$1156:$AR$1156,'Dvd Calendar'!$F$1149)=0))&gt;0)=0,"",'Dvd Calendar'!$F$1149*1000000000+ISNUMBER('Dvd Calendar'!$F$1152)*100000000+('Dvd Calendar'!$F$1154=SPECIAL_LBL)*10000000+(N('Dvd Calendar'!$F$1148)&gt;0)*(N('Dvd Calendar'!$F$1148)&lt;=VAL_SERIAL)*1000000+4*1000+2))</f>
        <v/>
      </c>
      <c r="EG119" s="39">
        <f>IF(N('Dvd Calendar'!$G$1149)=0,"",IF(('Dvd Calendar'!$G$1149&gt;=GRID_FROM)*('Dvd Calendar'!$G$1149&lt;=GRID_TO)*((('Dvd Calendar'!$G$1149&lt;=VAL_DATE)+(COUNTIF('Dvd Calendar'!$E$1156:$AR$1156,'Dvd Calendar'!$G$1149)=0))&gt;0)=0,"",'Dvd Calendar'!$G$1149*1000000000+ISNUMBER('Dvd Calendar'!$G$1152)*100000000+('Dvd Calendar'!$G$1154=SPECIAL_LBL)*10000000+(N('Dvd Calendar'!$G$1148)&gt;0)*(N('Dvd Calendar'!$G$1148)&lt;=VAL_SERIAL)*1000000+4*1000+3))</f>
        <v/>
      </c>
      <c r="EH119" s="39">
        <f>IF(N('Dvd Calendar'!$H$1149)=0,"",IF(('Dvd Calendar'!$H$1149&gt;=GRID_FROM)*('Dvd Calendar'!$H$1149&lt;=GRID_TO)*((('Dvd Calendar'!$H$1149&lt;=VAL_DATE)+(COUNTIF('Dvd Calendar'!$E$1156:$AR$1156,'Dvd Calendar'!$H$1149)=0))&gt;0)=0,"",'Dvd Calendar'!$H$1149*1000000000+ISNUMBER('Dvd Calendar'!$H$1152)*100000000+('Dvd Calendar'!$H$1154=SPECIAL_LBL)*10000000+(N('Dvd Calendar'!$H$1148)&gt;0)*(N('Dvd Calendar'!$H$1148)&lt;=VAL_SERIAL)*1000000+4*1000+4))</f>
        <v/>
      </c>
      <c r="EI119" s="39">
        <f>IF(N('Dvd Calendar'!$I$1149)=0,"",IF(('Dvd Calendar'!$I$1149&gt;=GRID_FROM)*('Dvd Calendar'!$I$1149&lt;=GRID_TO)*((('Dvd Calendar'!$I$1149&lt;=VAL_DATE)+(COUNTIF('Dvd Calendar'!$E$1156:$AR$1156,'Dvd Calendar'!$I$1149)=0))&gt;0)=0,"",'Dvd Calendar'!$I$1149*1000000000+ISNUMBER('Dvd Calendar'!$I$1152)*100000000+('Dvd Calendar'!$I$1154=SPECIAL_LBL)*10000000+(N('Dvd Calendar'!$I$1148)&gt;0)*(N('Dvd Calendar'!$I$1148)&lt;=VAL_SERIAL)*1000000+4*1000+5))</f>
        <v/>
      </c>
      <c r="EJ119" s="39">
        <f>IF(N('Dvd Calendar'!$J$1149)=0,"",IF(('Dvd Calendar'!$J$1149&gt;=GRID_FROM)*('Dvd Calendar'!$J$1149&lt;=GRID_TO)*((('Dvd Calendar'!$J$1149&lt;=VAL_DATE)+(COUNTIF('Dvd Calendar'!$E$1156:$AR$1156,'Dvd Calendar'!$J$1149)=0))&gt;0)=0,"",'Dvd Calendar'!$J$1149*1000000000+ISNUMBER('Dvd Calendar'!$J$1152)*100000000+('Dvd Calendar'!$J$1154=SPECIAL_LBL)*10000000+(N('Dvd Calendar'!$J$1148)&gt;0)*(N('Dvd Calendar'!$J$1148)&lt;=VAL_SERIAL)*1000000+4*1000+6))</f>
        <v/>
      </c>
      <c r="EK119" s="39">
        <f>IF(N('Dvd Calendar'!$K$1149)=0,"",IF(('Dvd Calendar'!$K$1149&gt;=GRID_FROM)*('Dvd Calendar'!$K$1149&lt;=GRID_TO)*((('Dvd Calendar'!$K$1149&lt;=VAL_DATE)+(COUNTIF('Dvd Calendar'!$E$1156:$AR$1156,'Dvd Calendar'!$K$1149)=0))&gt;0)=0,"",'Dvd Calendar'!$K$1149*1000000000+ISNUMBER('Dvd Calendar'!$K$1152)*100000000+('Dvd Calendar'!$K$1154=SPECIAL_LBL)*10000000+(N('Dvd Calendar'!$K$1148)&gt;0)*(N('Dvd Calendar'!$K$1148)&lt;=VAL_SERIAL)*1000000+4*1000+7))</f>
        <v/>
      </c>
      <c r="EL119" s="39">
        <f>IF(N('Dvd Calendar'!$L$1149)=0,"",IF(('Dvd Calendar'!$L$1149&gt;=GRID_FROM)*('Dvd Calendar'!$L$1149&lt;=GRID_TO)*((('Dvd Calendar'!$L$1149&lt;=VAL_DATE)+(COUNTIF('Dvd Calendar'!$E$1156:$AR$1156,'Dvd Calendar'!$L$1149)=0))&gt;0)=0,"",'Dvd Calendar'!$L$1149*1000000000+ISNUMBER('Dvd Calendar'!$L$1152)*100000000+('Dvd Calendar'!$L$1154=SPECIAL_LBL)*10000000+(N('Dvd Calendar'!$L$1148)&gt;0)*(N('Dvd Calendar'!$L$1148)&lt;=VAL_SERIAL)*1000000+4*1000+8))</f>
        <v/>
      </c>
      <c r="EM119" s="39">
        <f>IF(N('Dvd Calendar'!$M$1149)=0,"",IF(('Dvd Calendar'!$M$1149&gt;=GRID_FROM)*('Dvd Calendar'!$M$1149&lt;=GRID_TO)*((('Dvd Calendar'!$M$1149&lt;=VAL_DATE)+(COUNTIF('Dvd Calendar'!$E$1156:$AR$1156,'Dvd Calendar'!$M$1149)=0))&gt;0)=0,"",'Dvd Calendar'!$M$1149*1000000000+ISNUMBER('Dvd Calendar'!$M$1152)*100000000+('Dvd Calendar'!$M$1154=SPECIAL_LBL)*10000000+(N('Dvd Calendar'!$M$1148)&gt;0)*(N('Dvd Calendar'!$M$1148)&lt;=VAL_SERIAL)*1000000+4*1000+9))</f>
        <v/>
      </c>
      <c r="EN119" s="39">
        <f>IF(N('Dvd Calendar'!$N$1149)=0,"",IF(('Dvd Calendar'!$N$1149&gt;=GRID_FROM)*('Dvd Calendar'!$N$1149&lt;=GRID_TO)*((('Dvd Calendar'!$N$1149&lt;=VAL_DATE)+(COUNTIF('Dvd Calendar'!$E$1156:$AR$1156,'Dvd Calendar'!$N$1149)=0))&gt;0)=0,"",'Dvd Calendar'!$N$1149*1000000000+ISNUMBER('Dvd Calendar'!$N$1152)*100000000+('Dvd Calendar'!$N$1154=SPECIAL_LBL)*10000000+(N('Dvd Calendar'!$N$1148)&gt;0)*(N('Dvd Calendar'!$N$1148)&lt;=VAL_SERIAL)*1000000+4*1000+10))</f>
        <v/>
      </c>
      <c r="EO119" s="39">
        <f>IF(N('Dvd Calendar'!$O$1149)=0,"",IF(('Dvd Calendar'!$O$1149&gt;=GRID_FROM)*('Dvd Calendar'!$O$1149&lt;=GRID_TO)*((('Dvd Calendar'!$O$1149&lt;=VAL_DATE)+(COUNTIF('Dvd Calendar'!$E$1156:$AR$1156,'Dvd Calendar'!$O$1149)=0))&gt;0)=0,"",'Dvd Calendar'!$O$1149*1000000000+ISNUMBER('Dvd Calendar'!$O$1152)*100000000+('Dvd Calendar'!$O$1154=SPECIAL_LBL)*10000000+(N('Dvd Calendar'!$O$1148)&gt;0)*(N('Dvd Calendar'!$O$1148)&lt;=VAL_SERIAL)*1000000+4*1000+11))</f>
        <v/>
      </c>
      <c r="EP119" s="39">
        <f>IF(N('Dvd Calendar'!$P$1149)=0,"",IF(('Dvd Calendar'!$P$1149&gt;=GRID_FROM)*('Dvd Calendar'!$P$1149&lt;=GRID_TO)*((('Dvd Calendar'!$P$1149&lt;=VAL_DATE)+(COUNTIF('Dvd Calendar'!$E$1156:$AR$1156,'Dvd Calendar'!$P$1149)=0))&gt;0)=0,"",'Dvd Calendar'!$P$1149*1000000000+ISNUMBER('Dvd Calendar'!$P$1152)*100000000+('Dvd Calendar'!$P$1154=SPECIAL_LBL)*10000000+(N('Dvd Calendar'!$P$1148)&gt;0)*(N('Dvd Calendar'!$P$1148)&lt;=VAL_SERIAL)*1000000+4*1000+12))</f>
        <v/>
      </c>
      <c r="EQ119" s="39">
        <f>IF(N('Dvd Calendar'!$Q$1149)=0,"",IF(('Dvd Calendar'!$Q$1149&gt;=GRID_FROM)*('Dvd Calendar'!$Q$1149&lt;=GRID_TO)*((('Dvd Calendar'!$Q$1149&lt;=VAL_DATE)+(COUNTIF('Dvd Calendar'!$E$1156:$AR$1156,'Dvd Calendar'!$Q$1149)=0))&gt;0)=0,"",'Dvd Calendar'!$Q$1149*1000000000+ISNUMBER('Dvd Calendar'!$Q$1152)*100000000+('Dvd Calendar'!$Q$1154=SPECIAL_LBL)*10000000+(N('Dvd Calendar'!$Q$1148)&gt;0)*(N('Dvd Calendar'!$Q$1148)&lt;=VAL_SERIAL)*1000000+4*1000+13))</f>
        <v/>
      </c>
      <c r="ER119" s="39">
        <f>IF(N('Dvd Calendar'!$R$1149)=0,"",IF(('Dvd Calendar'!$R$1149&gt;=GRID_FROM)*('Dvd Calendar'!$R$1149&lt;=GRID_TO)*((('Dvd Calendar'!$R$1149&lt;=VAL_DATE)+(COUNTIF('Dvd Calendar'!$E$1156:$AR$1156,'Dvd Calendar'!$R$1149)=0))&gt;0)=0,"",'Dvd Calendar'!$R$1149*1000000000+ISNUMBER('Dvd Calendar'!$R$1152)*100000000+('Dvd Calendar'!$R$1154=SPECIAL_LBL)*10000000+(N('Dvd Calendar'!$R$1148)&gt;0)*(N('Dvd Calendar'!$R$1148)&lt;=VAL_SERIAL)*1000000+4*1000+14))</f>
        <v/>
      </c>
      <c r="ES119" s="39">
        <f>IF(N('Dvd Calendar'!$S$1149)=0,"",IF(('Dvd Calendar'!$S$1149&gt;=GRID_FROM)*('Dvd Calendar'!$S$1149&lt;=GRID_TO)*((('Dvd Calendar'!$S$1149&lt;=VAL_DATE)+(COUNTIF('Dvd Calendar'!$E$1156:$AR$1156,'Dvd Calendar'!$S$1149)=0))&gt;0)=0,"",'Dvd Calendar'!$S$1149*1000000000+ISNUMBER('Dvd Calendar'!$S$1152)*100000000+('Dvd Calendar'!$S$1154=SPECIAL_LBL)*10000000+(N('Dvd Calendar'!$S$1148)&gt;0)*(N('Dvd Calendar'!$S$1148)&lt;=VAL_SERIAL)*1000000+4*1000+15))</f>
        <v/>
      </c>
      <c r="ET119" s="39">
        <f>IF(N('Dvd Calendar'!$T$1149)=0,"",IF(('Dvd Calendar'!$T$1149&gt;=GRID_FROM)*('Dvd Calendar'!$T$1149&lt;=GRID_TO)*((('Dvd Calendar'!$T$1149&lt;=VAL_DATE)+(COUNTIF('Dvd Calendar'!$E$1156:$AR$1156,'Dvd Calendar'!$T$1149)=0))&gt;0)=0,"",'Dvd Calendar'!$T$1149*1000000000+ISNUMBER('Dvd Calendar'!$T$1152)*100000000+('Dvd Calendar'!$T$1154=SPECIAL_LBL)*10000000+(N('Dvd Calendar'!$T$1148)&gt;0)*(N('Dvd Calendar'!$T$1148)&lt;=VAL_SERIAL)*1000000+4*1000+16))</f>
        <v/>
      </c>
      <c r="EU119" s="39">
        <f>IF(N('Dvd Calendar'!$U$1149)=0,"",IF(('Dvd Calendar'!$U$1149&gt;=GRID_FROM)*('Dvd Calendar'!$U$1149&lt;=GRID_TO)*((('Dvd Calendar'!$U$1149&lt;=VAL_DATE)+(COUNTIF('Dvd Calendar'!$E$1156:$AR$1156,'Dvd Calendar'!$U$1149)=0))&gt;0)=0,"",'Dvd Calendar'!$U$1149*1000000000+ISNUMBER('Dvd Calendar'!$U$1152)*100000000+('Dvd Calendar'!$U$1154=SPECIAL_LBL)*10000000+(N('Dvd Calendar'!$U$1148)&gt;0)*(N('Dvd Calendar'!$U$1148)&lt;=VAL_SERIAL)*1000000+4*1000+17))</f>
        <v/>
      </c>
      <c r="EV119" s="39">
        <f>IF(N('Dvd Calendar'!$V$1149)=0,"",IF(('Dvd Calendar'!$V$1149&gt;=GRID_FROM)*('Dvd Calendar'!$V$1149&lt;=GRID_TO)*((('Dvd Calendar'!$V$1149&lt;=VAL_DATE)+(COUNTIF('Dvd Calendar'!$E$1156:$AR$1156,'Dvd Calendar'!$V$1149)=0))&gt;0)=0,"",'Dvd Calendar'!$V$1149*1000000000+ISNUMBER('Dvd Calendar'!$V$1152)*100000000+('Dvd Calendar'!$V$1154=SPECIAL_LBL)*10000000+(N('Dvd Calendar'!$V$1148)&gt;0)*(N('Dvd Calendar'!$V$1148)&lt;=VAL_SERIAL)*1000000+4*1000+18))</f>
        <v/>
      </c>
      <c r="EW119" s="39">
        <f>IF(N('Dvd Calendar'!$W$1149)=0,"",IF(('Dvd Calendar'!$W$1149&gt;=GRID_FROM)*('Dvd Calendar'!$W$1149&lt;=GRID_TO)*((('Dvd Calendar'!$W$1149&lt;=VAL_DATE)+(COUNTIF('Dvd Calendar'!$E$1156:$AR$1156,'Dvd Calendar'!$W$1149)=0))&gt;0)=0,"",'Dvd Calendar'!$W$1149*1000000000+ISNUMBER('Dvd Calendar'!$W$1152)*100000000+('Dvd Calendar'!$W$1154=SPECIAL_LBL)*10000000+(N('Dvd Calendar'!$W$1148)&gt;0)*(N('Dvd Calendar'!$W$1148)&lt;=VAL_SERIAL)*1000000+4*1000+19))</f>
        <v/>
      </c>
      <c r="EX119" s="39">
        <f>IF(N('Dvd Calendar'!$X$1149)=0,"",IF(('Dvd Calendar'!$X$1149&gt;=GRID_FROM)*('Dvd Calendar'!$X$1149&lt;=GRID_TO)*((('Dvd Calendar'!$X$1149&lt;=VAL_DATE)+(COUNTIF('Dvd Calendar'!$E$1156:$AR$1156,'Dvd Calendar'!$X$1149)=0))&gt;0)=0,"",'Dvd Calendar'!$X$1149*1000000000+ISNUMBER('Dvd Calendar'!$X$1152)*100000000+('Dvd Calendar'!$X$1154=SPECIAL_LBL)*10000000+(N('Dvd Calendar'!$X$1148)&gt;0)*(N('Dvd Calendar'!$X$1148)&lt;=VAL_SERIAL)*1000000+4*1000+20))</f>
        <v/>
      </c>
      <c r="EY119" s="39">
        <f>IF(N('Dvd Calendar'!$Y$1149)=0,"",IF(('Dvd Calendar'!$Y$1149&gt;=GRID_FROM)*('Dvd Calendar'!$Y$1149&lt;=GRID_TO)*((('Dvd Calendar'!$Y$1149&lt;=VAL_DATE)+(COUNTIF('Dvd Calendar'!$E$1156:$AR$1156,'Dvd Calendar'!$Y$1149)=0))&gt;0)=0,"",'Dvd Calendar'!$Y$1149*1000000000+ISNUMBER('Dvd Calendar'!$Y$1152)*100000000+('Dvd Calendar'!$Y$1154=SPECIAL_LBL)*10000000+(N('Dvd Calendar'!$Y$1148)&gt;0)*(N('Dvd Calendar'!$Y$1148)&lt;=VAL_SERIAL)*1000000+4*1000+21))</f>
        <v/>
      </c>
      <c r="EZ119" s="39">
        <f>IF(N('Dvd Calendar'!$Z$1149)=0,"",IF(('Dvd Calendar'!$Z$1149&gt;=GRID_FROM)*('Dvd Calendar'!$Z$1149&lt;=GRID_TO)*((('Dvd Calendar'!$Z$1149&lt;=VAL_DATE)+(COUNTIF('Dvd Calendar'!$E$1156:$AR$1156,'Dvd Calendar'!$Z$1149)=0))&gt;0)=0,"",'Dvd Calendar'!$Z$1149*1000000000+ISNUMBER('Dvd Calendar'!$Z$1152)*100000000+('Dvd Calendar'!$Z$1154=SPECIAL_LBL)*10000000+(N('Dvd Calendar'!$Z$1148)&gt;0)*(N('Dvd Calendar'!$Z$1148)&lt;=VAL_SERIAL)*1000000+4*1000+22))</f>
        <v/>
      </c>
      <c r="FA119" s="39">
        <f>IF(N('Dvd Calendar'!$AA$1149)=0,"",IF(('Dvd Calendar'!$AA$1149&gt;=GRID_FROM)*('Dvd Calendar'!$AA$1149&lt;=GRID_TO)*((('Dvd Calendar'!$AA$1149&lt;=VAL_DATE)+(COUNTIF('Dvd Calendar'!$E$1156:$AR$1156,'Dvd Calendar'!$AA$1149)=0))&gt;0)=0,"",'Dvd Calendar'!$AA$1149*1000000000+ISNUMBER('Dvd Calendar'!$AA$1152)*100000000+('Dvd Calendar'!$AA$1154=SPECIAL_LBL)*10000000+(N('Dvd Calendar'!$AA$1148)&gt;0)*(N('Dvd Calendar'!$AA$1148)&lt;=VAL_SERIAL)*1000000+4*1000+23))</f>
        <v/>
      </c>
      <c r="FB119" s="39">
        <f>IF(N('Dvd Calendar'!$AB$1149)=0,"",IF(('Dvd Calendar'!$AB$1149&gt;=GRID_FROM)*('Dvd Calendar'!$AB$1149&lt;=GRID_TO)*((('Dvd Calendar'!$AB$1149&lt;=VAL_DATE)+(COUNTIF('Dvd Calendar'!$E$1156:$AR$1156,'Dvd Calendar'!$AB$1149)=0))&gt;0)=0,"",'Dvd Calendar'!$AB$1149*1000000000+ISNUMBER('Dvd Calendar'!$AB$1152)*100000000+('Dvd Calendar'!$AB$1154=SPECIAL_LBL)*10000000+(N('Dvd Calendar'!$AB$1148)&gt;0)*(N('Dvd Calendar'!$AB$1148)&lt;=VAL_SERIAL)*1000000+4*1000+24))</f>
        <v/>
      </c>
      <c r="FC119" s="39">
        <f>IF(N('Dvd Calendar'!$AC$1149)=0,"",IF(('Dvd Calendar'!$AC$1149&gt;=GRID_FROM)*('Dvd Calendar'!$AC$1149&lt;=GRID_TO)*((('Dvd Calendar'!$AC$1149&lt;=VAL_DATE)+(COUNTIF('Dvd Calendar'!$E$1156:$AR$1156,'Dvd Calendar'!$AC$1149)=0))&gt;0)=0,"",'Dvd Calendar'!$AC$1149*1000000000+ISNUMBER('Dvd Calendar'!$AC$1152)*100000000+('Dvd Calendar'!$AC$1154=SPECIAL_LBL)*10000000+(N('Dvd Calendar'!$AC$1148)&gt;0)*(N('Dvd Calendar'!$AC$1148)&lt;=VAL_SERIAL)*1000000+4*1000+25))</f>
        <v/>
      </c>
      <c r="FD119" s="39">
        <f>IF(N('Dvd Calendar'!$AD$1149)=0,"",IF(('Dvd Calendar'!$AD$1149&gt;=GRID_FROM)*('Dvd Calendar'!$AD$1149&lt;=GRID_TO)*((('Dvd Calendar'!$AD$1149&lt;=VAL_DATE)+(COUNTIF('Dvd Calendar'!$E$1156:$AR$1156,'Dvd Calendar'!$AD$1149)=0))&gt;0)=0,"",'Dvd Calendar'!$AD$1149*1000000000+ISNUMBER('Dvd Calendar'!$AD$1152)*100000000+('Dvd Calendar'!$AD$1154=SPECIAL_LBL)*10000000+(N('Dvd Calendar'!$AD$1148)&gt;0)*(N('Dvd Calendar'!$AD$1148)&lt;=VAL_SERIAL)*1000000+4*1000+26))</f>
        <v/>
      </c>
      <c r="FE119" s="39">
        <f>IF(N('Dvd Calendar'!$AE$1149)=0,"",IF(('Dvd Calendar'!$AE$1149&gt;=GRID_FROM)*('Dvd Calendar'!$AE$1149&lt;=GRID_TO)*((('Dvd Calendar'!$AE$1149&lt;=VAL_DATE)+(COUNTIF('Dvd Calendar'!$E$1156:$AR$1156,'Dvd Calendar'!$AE$1149)=0))&gt;0)=0,"",'Dvd Calendar'!$AE$1149*1000000000+ISNUMBER('Dvd Calendar'!$AE$1152)*100000000+('Dvd Calendar'!$AE$1154=SPECIAL_LBL)*10000000+(N('Dvd Calendar'!$AE$1148)&gt;0)*(N('Dvd Calendar'!$AE$1148)&lt;=VAL_SERIAL)*1000000+4*1000+27))</f>
        <v/>
      </c>
      <c r="FF119" s="39">
        <f>IF(N('Dvd Calendar'!$AF$1149)=0,"",IF(('Dvd Calendar'!$AF$1149&gt;=GRID_FROM)*('Dvd Calendar'!$AF$1149&lt;=GRID_TO)*((('Dvd Calendar'!$AF$1149&lt;=VAL_DATE)+(COUNTIF('Dvd Calendar'!$E$1156:$AR$1156,'Dvd Calendar'!$AF$1149)=0))&gt;0)=0,"",'Dvd Calendar'!$AF$1149*1000000000+ISNUMBER('Dvd Calendar'!$AF$1152)*100000000+('Dvd Calendar'!$AF$1154=SPECIAL_LBL)*10000000+(N('Dvd Calendar'!$AF$1148)&gt;0)*(N('Dvd Calendar'!$AF$1148)&lt;=VAL_SERIAL)*1000000+4*1000+28))</f>
        <v/>
      </c>
      <c r="FG119" s="39">
        <f>IF(N('Dvd Calendar'!$AG$1149)=0,"",IF(('Dvd Calendar'!$AG$1149&gt;=GRID_FROM)*('Dvd Calendar'!$AG$1149&lt;=GRID_TO)*((('Dvd Calendar'!$AG$1149&lt;=VAL_DATE)+(COUNTIF('Dvd Calendar'!$E$1156:$AR$1156,'Dvd Calendar'!$AG$1149)=0))&gt;0)=0,"",'Dvd Calendar'!$AG$1149*1000000000+ISNUMBER('Dvd Calendar'!$AG$1152)*100000000+('Dvd Calendar'!$AG$1154=SPECIAL_LBL)*10000000+(N('Dvd Calendar'!$AG$1148)&gt;0)*(N('Dvd Calendar'!$AG$1148)&lt;=VAL_SERIAL)*1000000+4*1000+29))</f>
        <v/>
      </c>
      <c r="FH119" s="39">
        <f>IF(N('Dvd Calendar'!$AH$1149)=0,"",IF(('Dvd Calendar'!$AH$1149&gt;=GRID_FROM)*('Dvd Calendar'!$AH$1149&lt;=GRID_TO)*((('Dvd Calendar'!$AH$1149&lt;=VAL_DATE)+(COUNTIF('Dvd Calendar'!$E$1156:$AR$1156,'Dvd Calendar'!$AH$1149)=0))&gt;0)=0,"",'Dvd Calendar'!$AH$1149*1000000000+ISNUMBER('Dvd Calendar'!$AH$1152)*100000000+('Dvd Calendar'!$AH$1154=SPECIAL_LBL)*10000000+(N('Dvd Calendar'!$AH$1148)&gt;0)*(N('Dvd Calendar'!$AH$1148)&lt;=VAL_SERIAL)*1000000+4*1000+30))</f>
        <v/>
      </c>
      <c r="FI119" s="39">
        <f>IF(N('Dvd Calendar'!$AI$1149)=0,"",IF(('Dvd Calendar'!$AI$1149&gt;=GRID_FROM)*('Dvd Calendar'!$AI$1149&lt;=GRID_TO)*((('Dvd Calendar'!$AI$1149&lt;=VAL_DATE)+(COUNTIF('Dvd Calendar'!$E$1156:$AR$1156,'Dvd Calendar'!$AI$1149)=0))&gt;0)=0,"",'Dvd Calendar'!$AI$1149*1000000000+ISNUMBER('Dvd Calendar'!$AI$1152)*100000000+('Dvd Calendar'!$AI$1154=SPECIAL_LBL)*10000000+(N('Dvd Calendar'!$AI$1148)&gt;0)*(N('Dvd Calendar'!$AI$1148)&lt;=VAL_SERIAL)*1000000+4*1000+31))</f>
        <v/>
      </c>
      <c r="FJ119" s="39">
        <f>IF(N('Dvd Calendar'!$AJ$1149)=0,"",IF(('Dvd Calendar'!$AJ$1149&gt;=GRID_FROM)*('Dvd Calendar'!$AJ$1149&lt;=GRID_TO)*((('Dvd Calendar'!$AJ$1149&lt;=VAL_DATE)+(COUNTIF('Dvd Calendar'!$E$1156:$AR$1156,'Dvd Calendar'!$AJ$1149)=0))&gt;0)=0,"",'Dvd Calendar'!$AJ$1149*1000000000+ISNUMBER('Dvd Calendar'!$AJ$1152)*100000000+('Dvd Calendar'!$AJ$1154=SPECIAL_LBL)*10000000+(N('Dvd Calendar'!$AJ$1148)&gt;0)*(N('Dvd Calendar'!$AJ$1148)&lt;=VAL_SERIAL)*1000000+4*1000+32))</f>
        <v/>
      </c>
      <c r="FK119" s="39">
        <f>IF(N('Dvd Calendar'!$AK$1149)=0,"",IF(('Dvd Calendar'!$AK$1149&gt;=GRID_FROM)*('Dvd Calendar'!$AK$1149&lt;=GRID_TO)*((('Dvd Calendar'!$AK$1149&lt;=VAL_DATE)+(COUNTIF('Dvd Calendar'!$E$1156:$AR$1156,'Dvd Calendar'!$AK$1149)=0))&gt;0)=0,"",'Dvd Calendar'!$AK$1149*1000000000+ISNUMBER('Dvd Calendar'!$AK$1152)*100000000+('Dvd Calendar'!$AK$1154=SPECIAL_LBL)*10000000+(N('Dvd Calendar'!$AK$1148)&gt;0)*(N('Dvd Calendar'!$AK$1148)&lt;=VAL_SERIAL)*1000000+4*1000+33))</f>
        <v/>
      </c>
      <c r="FL119" s="39">
        <f>IF(N('Dvd Calendar'!$AL$1149)=0,"",IF(('Dvd Calendar'!$AL$1149&gt;=GRID_FROM)*('Dvd Calendar'!$AL$1149&lt;=GRID_TO)*((('Dvd Calendar'!$AL$1149&lt;=VAL_DATE)+(COUNTIF('Dvd Calendar'!$E$1156:$AR$1156,'Dvd Calendar'!$AL$1149)=0))&gt;0)=0,"",'Dvd Calendar'!$AL$1149*1000000000+ISNUMBER('Dvd Calendar'!$AL$1152)*100000000+('Dvd Calendar'!$AL$1154=SPECIAL_LBL)*10000000+(N('Dvd Calendar'!$AL$1148)&gt;0)*(N('Dvd Calendar'!$AL$1148)&lt;=VAL_SERIAL)*1000000+4*1000+34))</f>
        <v/>
      </c>
      <c r="FM119" s="39">
        <f>IF(N('Dvd Calendar'!$AM$1149)=0,"",IF(('Dvd Calendar'!$AM$1149&gt;=GRID_FROM)*('Dvd Calendar'!$AM$1149&lt;=GRID_TO)*((('Dvd Calendar'!$AM$1149&lt;=VAL_DATE)+(COUNTIF('Dvd Calendar'!$E$1156:$AR$1156,'Dvd Calendar'!$AM$1149)=0))&gt;0)=0,"",'Dvd Calendar'!$AM$1149*1000000000+ISNUMBER('Dvd Calendar'!$AM$1152)*100000000+('Dvd Calendar'!$AM$1154=SPECIAL_LBL)*10000000+(N('Dvd Calendar'!$AM$1148)&gt;0)*(N('Dvd Calendar'!$AM$1148)&lt;=VAL_SERIAL)*1000000+4*1000+35))</f>
        <v/>
      </c>
      <c r="FN119" s="39">
        <f>IF(N('Dvd Calendar'!$AN$1149)=0,"",IF(('Dvd Calendar'!$AN$1149&gt;=GRID_FROM)*('Dvd Calendar'!$AN$1149&lt;=GRID_TO)*((('Dvd Calendar'!$AN$1149&lt;=VAL_DATE)+(COUNTIF('Dvd Calendar'!$E$1156:$AR$1156,'Dvd Calendar'!$AN$1149)=0))&gt;0)=0,"",'Dvd Calendar'!$AN$1149*1000000000+ISNUMBER('Dvd Calendar'!$AN$1152)*100000000+('Dvd Calendar'!$AN$1154=SPECIAL_LBL)*10000000+(N('Dvd Calendar'!$AN$1148)&gt;0)*(N('Dvd Calendar'!$AN$1148)&lt;=VAL_SERIAL)*1000000+4*1000+36))</f>
        <v/>
      </c>
      <c r="FO119" s="39">
        <f>IF(N('Dvd Calendar'!$AO$1149)=0,"",IF(('Dvd Calendar'!$AO$1149&gt;=GRID_FROM)*('Dvd Calendar'!$AO$1149&lt;=GRID_TO)*((('Dvd Calendar'!$AO$1149&lt;=VAL_DATE)+(COUNTIF('Dvd Calendar'!$E$1156:$AR$1156,'Dvd Calendar'!$AO$1149)=0))&gt;0)=0,"",'Dvd Calendar'!$AO$1149*1000000000+ISNUMBER('Dvd Calendar'!$AO$1152)*100000000+('Dvd Calendar'!$AO$1154=SPECIAL_LBL)*10000000+(N('Dvd Calendar'!$AO$1148)&gt;0)*(N('Dvd Calendar'!$AO$1148)&lt;=VAL_SERIAL)*1000000+4*1000+37))</f>
        <v/>
      </c>
      <c r="FP119" s="39">
        <f>IF(N('Dvd Calendar'!$AP$1149)=0,"",IF(('Dvd Calendar'!$AP$1149&gt;=GRID_FROM)*('Dvd Calendar'!$AP$1149&lt;=GRID_TO)*((('Dvd Calendar'!$AP$1149&lt;=VAL_DATE)+(COUNTIF('Dvd Calendar'!$E$1156:$AR$1156,'Dvd Calendar'!$AP$1149)=0))&gt;0)=0,"",'Dvd Calendar'!$AP$1149*1000000000+ISNUMBER('Dvd Calendar'!$AP$1152)*100000000+('Dvd Calendar'!$AP$1154=SPECIAL_LBL)*10000000+(N('Dvd Calendar'!$AP$1148)&gt;0)*(N('Dvd Calendar'!$AP$1148)&lt;=VAL_SERIAL)*1000000+4*1000+38))</f>
        <v/>
      </c>
      <c r="FQ119" s="39">
        <f>IF(N('Dvd Calendar'!$AQ$1149)=0,"",IF(('Dvd Calendar'!$AQ$1149&gt;=GRID_FROM)*('Dvd Calendar'!$AQ$1149&lt;=GRID_TO)*((('Dvd Calendar'!$AQ$1149&lt;=VAL_DATE)+(COUNTIF('Dvd Calendar'!$E$1156:$AR$1156,'Dvd Calendar'!$AQ$1149)=0))&gt;0)=0,"",'Dvd Calendar'!$AQ$1149*1000000000+ISNUMBER('Dvd Calendar'!$AQ$1152)*100000000+('Dvd Calendar'!$AQ$1154=SPECIAL_LBL)*10000000+(N('Dvd Calendar'!$AQ$1148)&gt;0)*(N('Dvd Calendar'!$AQ$1148)&lt;=VAL_SERIAL)*1000000+4*1000+39))</f>
        <v/>
      </c>
      <c r="FR119" s="39">
        <f>IF(N('Dvd Calendar'!$AR$1149)=0,"",IF(('Dvd Calendar'!$AR$1149&gt;=GRID_FROM)*('Dvd Calendar'!$AR$1149&lt;=GRID_TO)*((('Dvd Calendar'!$AR$1149&lt;=VAL_DATE)+(COUNTIF('Dvd Calendar'!$E$1156:$AR$1156,'Dvd Calendar'!$AR$1149)=0))&gt;0)=0,"",'Dvd Calendar'!$AR$1149*1000000000+ISNUMBER('Dvd Calendar'!$AR$1152)*100000000+('Dvd Calendar'!$AR$1154=SPECIAL_LBL)*10000000+(N('Dvd Calendar'!$AR$1148)&gt;0)*(N('Dvd Calendar'!$AR$1148)&lt;=VAL_SERIAL)*1000000+4*1000+40))</f>
        <v/>
      </c>
      <c r="FS119" s="39">
        <f>IF(N('Dvd Calendar'!$E$1156)=0,"",IF(('Dvd Calendar'!$E$1156&gt;=GRID_FROM)*('Dvd Calendar'!$E$1156&lt;=GRID_TO)*('Dvd Calendar'!$E$1156&gt;VAL_DATE)=0,"",'Dvd Calendar'!$E$1156*1000000000+ISNUMBER('Dvd Calendar'!$E$1157)*100000000+0*10000000+(N('Dvd Calendar'!$E$1155)&gt;0)*(N('Dvd Calendar'!$E$1155)&lt;=VAL_SERIAL)*1000000+4*1000+41))</f>
        <v/>
      </c>
      <c r="FT119" s="39">
        <f>IF(N('Dvd Calendar'!$F$1156)=0,"",IF(('Dvd Calendar'!$F$1156&gt;=GRID_FROM)*('Dvd Calendar'!$F$1156&lt;=GRID_TO)*('Dvd Calendar'!$F$1156&gt;VAL_DATE)=0,"",'Dvd Calendar'!$F$1156*1000000000+ISNUMBER('Dvd Calendar'!$F$1157)*100000000+0*10000000+(N('Dvd Calendar'!$F$1155)&gt;0)*(N('Dvd Calendar'!$F$1155)&lt;=VAL_SERIAL)*1000000+4*1000+42))</f>
        <v/>
      </c>
      <c r="FU119" s="39">
        <f>IF(N('Dvd Calendar'!$G$1156)=0,"",IF(('Dvd Calendar'!$G$1156&gt;=GRID_FROM)*('Dvd Calendar'!$G$1156&lt;=GRID_TO)*('Dvd Calendar'!$G$1156&gt;VAL_DATE)=0,"",'Dvd Calendar'!$G$1156*1000000000+ISNUMBER('Dvd Calendar'!$G$1157)*100000000+0*10000000+(N('Dvd Calendar'!$G$1155)&gt;0)*(N('Dvd Calendar'!$G$1155)&lt;=VAL_SERIAL)*1000000+4*1000+43))</f>
        <v/>
      </c>
      <c r="FV119" s="39">
        <f>IF(N('Dvd Calendar'!$H$1156)=0,"",IF(('Dvd Calendar'!$H$1156&gt;=GRID_FROM)*('Dvd Calendar'!$H$1156&lt;=GRID_TO)*('Dvd Calendar'!$H$1156&gt;VAL_DATE)=0,"",'Dvd Calendar'!$H$1156*1000000000+ISNUMBER('Dvd Calendar'!$H$1157)*100000000+0*10000000+(N('Dvd Calendar'!$H$1155)&gt;0)*(N('Dvd Calendar'!$H$1155)&lt;=VAL_SERIAL)*1000000+4*1000+44))</f>
        <v/>
      </c>
      <c r="FW119" s="39">
        <f>IF(N('Dvd Calendar'!$I$1156)=0,"",IF(('Dvd Calendar'!$I$1156&gt;=GRID_FROM)*('Dvd Calendar'!$I$1156&lt;=GRID_TO)*('Dvd Calendar'!$I$1156&gt;VAL_DATE)=0,"",'Dvd Calendar'!$I$1156*1000000000+ISNUMBER('Dvd Calendar'!$I$1157)*100000000+0*10000000+(N('Dvd Calendar'!$I$1155)&gt;0)*(N('Dvd Calendar'!$I$1155)&lt;=VAL_SERIAL)*1000000+4*1000+45))</f>
        <v/>
      </c>
      <c r="FX119" s="39">
        <f>IF(N('Dvd Calendar'!$J$1156)=0,"",IF(('Dvd Calendar'!$J$1156&gt;=GRID_FROM)*('Dvd Calendar'!$J$1156&lt;=GRID_TO)*('Dvd Calendar'!$J$1156&gt;VAL_DATE)=0,"",'Dvd Calendar'!$J$1156*1000000000+ISNUMBER('Dvd Calendar'!$J$1157)*100000000+0*10000000+(N('Dvd Calendar'!$J$1155)&gt;0)*(N('Dvd Calendar'!$J$1155)&lt;=VAL_SERIAL)*1000000+4*1000+46))</f>
        <v/>
      </c>
      <c r="FY119" s="39">
        <f>IF(N('Dvd Calendar'!$K$1156)=0,"",IF(('Dvd Calendar'!$K$1156&gt;=GRID_FROM)*('Dvd Calendar'!$K$1156&lt;=GRID_TO)*('Dvd Calendar'!$K$1156&gt;VAL_DATE)=0,"",'Dvd Calendar'!$K$1156*1000000000+ISNUMBER('Dvd Calendar'!$K$1157)*100000000+0*10000000+(N('Dvd Calendar'!$K$1155)&gt;0)*(N('Dvd Calendar'!$K$1155)&lt;=VAL_SERIAL)*1000000+4*1000+47))</f>
        <v/>
      </c>
      <c r="FZ119" s="39">
        <f>IF(N('Dvd Calendar'!$L$1156)=0,"",IF(('Dvd Calendar'!$L$1156&gt;=GRID_FROM)*('Dvd Calendar'!$L$1156&lt;=GRID_TO)*('Dvd Calendar'!$L$1156&gt;VAL_DATE)=0,"",'Dvd Calendar'!$L$1156*1000000000+ISNUMBER('Dvd Calendar'!$L$1157)*100000000+0*10000000+(N('Dvd Calendar'!$L$1155)&gt;0)*(N('Dvd Calendar'!$L$1155)&lt;=VAL_SERIAL)*1000000+4*1000+48))</f>
        <v/>
      </c>
      <c r="GA119" s="39">
        <f>IF(N('Dvd Calendar'!$M$1156)=0,"",IF(('Dvd Calendar'!$M$1156&gt;=GRID_FROM)*('Dvd Calendar'!$M$1156&lt;=GRID_TO)*('Dvd Calendar'!$M$1156&gt;VAL_DATE)=0,"",'Dvd Calendar'!$M$1156*1000000000+ISNUMBER('Dvd Calendar'!$M$1157)*100000000+0*10000000+(N('Dvd Calendar'!$M$1155)&gt;0)*(N('Dvd Calendar'!$M$1155)&lt;=VAL_SERIAL)*1000000+4*1000+49))</f>
        <v/>
      </c>
      <c r="GB119" s="39">
        <f>IF(N('Dvd Calendar'!$N$1156)=0,"",IF(('Dvd Calendar'!$N$1156&gt;=GRID_FROM)*('Dvd Calendar'!$N$1156&lt;=GRID_TO)*('Dvd Calendar'!$N$1156&gt;VAL_DATE)=0,"",'Dvd Calendar'!$N$1156*1000000000+ISNUMBER('Dvd Calendar'!$N$1157)*100000000+0*10000000+(N('Dvd Calendar'!$N$1155)&gt;0)*(N('Dvd Calendar'!$N$1155)&lt;=VAL_SERIAL)*1000000+4*1000+50))</f>
        <v/>
      </c>
      <c r="GC119" s="39">
        <f>IF(N('Dvd Calendar'!$O$1156)=0,"",IF(('Dvd Calendar'!$O$1156&gt;=GRID_FROM)*('Dvd Calendar'!$O$1156&lt;=GRID_TO)*('Dvd Calendar'!$O$1156&gt;VAL_DATE)=0,"",'Dvd Calendar'!$O$1156*1000000000+ISNUMBER('Dvd Calendar'!$O$1157)*100000000+0*10000000+(N('Dvd Calendar'!$O$1155)&gt;0)*(N('Dvd Calendar'!$O$1155)&lt;=VAL_SERIAL)*1000000+4*1000+51))</f>
        <v/>
      </c>
      <c r="GD119" s="39">
        <f>IF(N('Dvd Calendar'!$P$1156)=0,"",IF(('Dvd Calendar'!$P$1156&gt;=GRID_FROM)*('Dvd Calendar'!$P$1156&lt;=GRID_TO)*('Dvd Calendar'!$P$1156&gt;VAL_DATE)=0,"",'Dvd Calendar'!$P$1156*1000000000+ISNUMBER('Dvd Calendar'!$P$1157)*100000000+0*10000000+(N('Dvd Calendar'!$P$1155)&gt;0)*(N('Dvd Calendar'!$P$1155)&lt;=VAL_SERIAL)*1000000+4*1000+52))</f>
        <v/>
      </c>
      <c r="GE119" s="39">
        <f>IF(N('Dvd Calendar'!$Q$1156)=0,"",IF(('Dvd Calendar'!$Q$1156&gt;=GRID_FROM)*('Dvd Calendar'!$Q$1156&lt;=GRID_TO)*('Dvd Calendar'!$Q$1156&gt;VAL_DATE)=0,"",'Dvd Calendar'!$Q$1156*1000000000+ISNUMBER('Dvd Calendar'!$Q$1157)*100000000+0*10000000+(N('Dvd Calendar'!$Q$1155)&gt;0)*(N('Dvd Calendar'!$Q$1155)&lt;=VAL_SERIAL)*1000000+4*1000+53))</f>
        <v/>
      </c>
      <c r="GF119" s="39">
        <f>IF(N('Dvd Calendar'!$R$1156)=0,"",IF(('Dvd Calendar'!$R$1156&gt;=GRID_FROM)*('Dvd Calendar'!$R$1156&lt;=GRID_TO)*('Dvd Calendar'!$R$1156&gt;VAL_DATE)=0,"",'Dvd Calendar'!$R$1156*1000000000+ISNUMBER('Dvd Calendar'!$R$1157)*100000000+0*10000000+(N('Dvd Calendar'!$R$1155)&gt;0)*(N('Dvd Calendar'!$R$1155)&lt;=VAL_SERIAL)*1000000+4*1000+54))</f>
        <v/>
      </c>
      <c r="GG119" s="39">
        <f>IF(N('Dvd Calendar'!$S$1156)=0,"",IF(('Dvd Calendar'!$S$1156&gt;=GRID_FROM)*('Dvd Calendar'!$S$1156&lt;=GRID_TO)*('Dvd Calendar'!$S$1156&gt;VAL_DATE)=0,"",'Dvd Calendar'!$S$1156*1000000000+ISNUMBER('Dvd Calendar'!$S$1157)*100000000+0*10000000+(N('Dvd Calendar'!$S$1155)&gt;0)*(N('Dvd Calendar'!$S$1155)&lt;=VAL_SERIAL)*1000000+4*1000+55))</f>
        <v/>
      </c>
      <c r="GH119" s="39">
        <f>IF(N('Dvd Calendar'!$T$1156)=0,"",IF(('Dvd Calendar'!$T$1156&gt;=GRID_FROM)*('Dvd Calendar'!$T$1156&lt;=GRID_TO)*('Dvd Calendar'!$T$1156&gt;VAL_DATE)=0,"",'Dvd Calendar'!$T$1156*1000000000+ISNUMBER('Dvd Calendar'!$T$1157)*100000000+0*10000000+(N('Dvd Calendar'!$T$1155)&gt;0)*(N('Dvd Calendar'!$T$1155)&lt;=VAL_SERIAL)*1000000+4*1000+56))</f>
        <v/>
      </c>
      <c r="GI119" s="39">
        <f>IF(N('Dvd Calendar'!$U$1156)=0,"",IF(('Dvd Calendar'!$U$1156&gt;=GRID_FROM)*('Dvd Calendar'!$U$1156&lt;=GRID_TO)*('Dvd Calendar'!$U$1156&gt;VAL_DATE)=0,"",'Dvd Calendar'!$U$1156*1000000000+ISNUMBER('Dvd Calendar'!$U$1157)*100000000+0*10000000+(N('Dvd Calendar'!$U$1155)&gt;0)*(N('Dvd Calendar'!$U$1155)&lt;=VAL_SERIAL)*1000000+4*1000+57))</f>
        <v/>
      </c>
      <c r="GJ119" s="39">
        <f>IF(N('Dvd Calendar'!$V$1156)=0,"",IF(('Dvd Calendar'!$V$1156&gt;=GRID_FROM)*('Dvd Calendar'!$V$1156&lt;=GRID_TO)*('Dvd Calendar'!$V$1156&gt;VAL_DATE)=0,"",'Dvd Calendar'!$V$1156*1000000000+ISNUMBER('Dvd Calendar'!$V$1157)*100000000+0*10000000+(N('Dvd Calendar'!$V$1155)&gt;0)*(N('Dvd Calendar'!$V$1155)&lt;=VAL_SERIAL)*1000000+4*1000+58))</f>
        <v/>
      </c>
      <c r="GK119" s="39">
        <f>IF(N('Dvd Calendar'!$W$1156)=0,"",IF(('Dvd Calendar'!$W$1156&gt;=GRID_FROM)*('Dvd Calendar'!$W$1156&lt;=GRID_TO)*('Dvd Calendar'!$W$1156&gt;VAL_DATE)=0,"",'Dvd Calendar'!$W$1156*1000000000+ISNUMBER('Dvd Calendar'!$W$1157)*100000000+0*10000000+(N('Dvd Calendar'!$W$1155)&gt;0)*(N('Dvd Calendar'!$W$1155)&lt;=VAL_SERIAL)*1000000+4*1000+59))</f>
        <v/>
      </c>
      <c r="GL119" s="39">
        <f>IF(N('Dvd Calendar'!$X$1156)=0,"",IF(('Dvd Calendar'!$X$1156&gt;=GRID_FROM)*('Dvd Calendar'!$X$1156&lt;=GRID_TO)*('Dvd Calendar'!$X$1156&gt;VAL_DATE)=0,"",'Dvd Calendar'!$X$1156*1000000000+ISNUMBER('Dvd Calendar'!$X$1157)*100000000+0*10000000+(N('Dvd Calendar'!$X$1155)&gt;0)*(N('Dvd Calendar'!$X$1155)&lt;=VAL_SERIAL)*1000000+4*1000+60))</f>
        <v/>
      </c>
      <c r="GM119" s="39">
        <f>IF(N('Dvd Calendar'!$Y$1156)=0,"",IF(('Dvd Calendar'!$Y$1156&gt;=GRID_FROM)*('Dvd Calendar'!$Y$1156&lt;=GRID_TO)*('Dvd Calendar'!$Y$1156&gt;VAL_DATE)=0,"",'Dvd Calendar'!$Y$1156*1000000000+ISNUMBER('Dvd Calendar'!$Y$1157)*100000000+0*10000000+(N('Dvd Calendar'!$Y$1155)&gt;0)*(N('Dvd Calendar'!$Y$1155)&lt;=VAL_SERIAL)*1000000+4*1000+61))</f>
        <v/>
      </c>
      <c r="GN119" s="39">
        <f>IF(N('Dvd Calendar'!$Z$1156)=0,"",IF(('Dvd Calendar'!$Z$1156&gt;=GRID_FROM)*('Dvd Calendar'!$Z$1156&lt;=GRID_TO)*('Dvd Calendar'!$Z$1156&gt;VAL_DATE)=0,"",'Dvd Calendar'!$Z$1156*1000000000+ISNUMBER('Dvd Calendar'!$Z$1157)*100000000+0*10000000+(N('Dvd Calendar'!$Z$1155)&gt;0)*(N('Dvd Calendar'!$Z$1155)&lt;=VAL_SERIAL)*1000000+4*1000+62))</f>
        <v/>
      </c>
      <c r="GO119" s="39">
        <f>IF(N('Dvd Calendar'!$AA$1156)=0,"",IF(('Dvd Calendar'!$AA$1156&gt;=GRID_FROM)*('Dvd Calendar'!$AA$1156&lt;=GRID_TO)*('Dvd Calendar'!$AA$1156&gt;VAL_DATE)=0,"",'Dvd Calendar'!$AA$1156*1000000000+ISNUMBER('Dvd Calendar'!$AA$1157)*100000000+0*10000000+(N('Dvd Calendar'!$AA$1155)&gt;0)*(N('Dvd Calendar'!$AA$1155)&lt;=VAL_SERIAL)*1000000+4*1000+63))</f>
        <v/>
      </c>
      <c r="GP119" s="39">
        <f>IF(N('Dvd Calendar'!$AB$1156)=0,"",IF(('Dvd Calendar'!$AB$1156&gt;=GRID_FROM)*('Dvd Calendar'!$AB$1156&lt;=GRID_TO)*('Dvd Calendar'!$AB$1156&gt;VAL_DATE)=0,"",'Dvd Calendar'!$AB$1156*1000000000+ISNUMBER('Dvd Calendar'!$AB$1157)*100000000+0*10000000+(N('Dvd Calendar'!$AB$1155)&gt;0)*(N('Dvd Calendar'!$AB$1155)&lt;=VAL_SERIAL)*1000000+4*1000+64))</f>
        <v/>
      </c>
      <c r="GQ119" s="39">
        <f>IF(N('Dvd Calendar'!$AC$1156)=0,"",IF(('Dvd Calendar'!$AC$1156&gt;=GRID_FROM)*('Dvd Calendar'!$AC$1156&lt;=GRID_TO)*('Dvd Calendar'!$AC$1156&gt;VAL_DATE)=0,"",'Dvd Calendar'!$AC$1156*1000000000+ISNUMBER('Dvd Calendar'!$AC$1157)*100000000+0*10000000+(N('Dvd Calendar'!$AC$1155)&gt;0)*(N('Dvd Calendar'!$AC$1155)&lt;=VAL_SERIAL)*1000000+4*1000+65))</f>
        <v/>
      </c>
    </row>
    <row r="120">
      <c r="B120" s="2">
        <f>IF(HSTECH!$C$11="","",HSTECH!$C$11)</f>
        <v/>
      </c>
      <c r="C120" s="110">
        <f>IF(EE120="","",IF(ISNUMBER('Dvd Calendar'!$E$1163)=FALSE,"",IF((('Dvd Calendar'!$E$1165=TYPE1)*(TYPE1&lt;&gt;"")+('Dvd Calendar'!$E$1165=TYPE2)*(TYPE2&lt;&gt;"")+('Dvd Calendar'!$E$1165=TYPE3)*(TYPE3&lt;&gt;"")+('Dvd Calendar'!$E$1165=TYPE4)*(TYPE4&lt;&gt;"")+('Dvd Calendar'!$E$1165=SPECIAL_LBL)*(INC_SPECIALS="Y"))=0,"",'Dvd Calendar'!$E$1163)))</f>
        <v/>
      </c>
      <c r="D120" s="110">
        <f>IF(EF120="","",IF(ISNUMBER('Dvd Calendar'!$F$1163)=FALSE,"",IF((('Dvd Calendar'!$F$1165=TYPE1)*(TYPE1&lt;&gt;"")+('Dvd Calendar'!$F$1165=TYPE2)*(TYPE2&lt;&gt;"")+('Dvd Calendar'!$F$1165=TYPE3)*(TYPE3&lt;&gt;"")+('Dvd Calendar'!$F$1165=TYPE4)*(TYPE4&lt;&gt;"")+('Dvd Calendar'!$F$1165=SPECIAL_LBL)*(INC_SPECIALS="Y"))=0,"",'Dvd Calendar'!$F$1163)))</f>
        <v/>
      </c>
      <c r="E120" s="110">
        <f>IF(EG120="","",IF(ISNUMBER('Dvd Calendar'!$G$1163)=FALSE,"",IF((('Dvd Calendar'!$G$1165=TYPE1)*(TYPE1&lt;&gt;"")+('Dvd Calendar'!$G$1165=TYPE2)*(TYPE2&lt;&gt;"")+('Dvd Calendar'!$G$1165=TYPE3)*(TYPE3&lt;&gt;"")+('Dvd Calendar'!$G$1165=TYPE4)*(TYPE4&lt;&gt;"")+('Dvd Calendar'!$G$1165=SPECIAL_LBL)*(INC_SPECIALS="Y"))=0,"",'Dvd Calendar'!$G$1163)))</f>
        <v/>
      </c>
      <c r="F120" s="110">
        <f>IF(EH120="","",IF(ISNUMBER('Dvd Calendar'!$H$1163)=FALSE,"",IF((('Dvd Calendar'!$H$1165=TYPE1)*(TYPE1&lt;&gt;"")+('Dvd Calendar'!$H$1165=TYPE2)*(TYPE2&lt;&gt;"")+('Dvd Calendar'!$H$1165=TYPE3)*(TYPE3&lt;&gt;"")+('Dvd Calendar'!$H$1165=TYPE4)*(TYPE4&lt;&gt;"")+('Dvd Calendar'!$H$1165=SPECIAL_LBL)*(INC_SPECIALS="Y"))=0,"",'Dvd Calendar'!$H$1163)))</f>
        <v/>
      </c>
      <c r="G120" s="110">
        <f>IF(EI120="","",IF(ISNUMBER('Dvd Calendar'!$I$1163)=FALSE,"",IF((('Dvd Calendar'!$I$1165=TYPE1)*(TYPE1&lt;&gt;"")+('Dvd Calendar'!$I$1165=TYPE2)*(TYPE2&lt;&gt;"")+('Dvd Calendar'!$I$1165=TYPE3)*(TYPE3&lt;&gt;"")+('Dvd Calendar'!$I$1165=TYPE4)*(TYPE4&lt;&gt;"")+('Dvd Calendar'!$I$1165=SPECIAL_LBL)*(INC_SPECIALS="Y"))=0,"",'Dvd Calendar'!$I$1163)))</f>
        <v/>
      </c>
      <c r="H120" s="110">
        <f>IF(EJ120="","",IF(ISNUMBER('Dvd Calendar'!$J$1163)=FALSE,"",IF((('Dvd Calendar'!$J$1165=TYPE1)*(TYPE1&lt;&gt;"")+('Dvd Calendar'!$J$1165=TYPE2)*(TYPE2&lt;&gt;"")+('Dvd Calendar'!$J$1165=TYPE3)*(TYPE3&lt;&gt;"")+('Dvd Calendar'!$J$1165=TYPE4)*(TYPE4&lt;&gt;"")+('Dvd Calendar'!$J$1165=SPECIAL_LBL)*(INC_SPECIALS="Y"))=0,"",'Dvd Calendar'!$J$1163)))</f>
        <v/>
      </c>
      <c r="I120" s="110">
        <f>IF(EK120="","",IF(ISNUMBER('Dvd Calendar'!$K$1163)=FALSE,"",IF((('Dvd Calendar'!$K$1165=TYPE1)*(TYPE1&lt;&gt;"")+('Dvd Calendar'!$K$1165=TYPE2)*(TYPE2&lt;&gt;"")+('Dvd Calendar'!$K$1165=TYPE3)*(TYPE3&lt;&gt;"")+('Dvd Calendar'!$K$1165=TYPE4)*(TYPE4&lt;&gt;"")+('Dvd Calendar'!$K$1165=SPECIAL_LBL)*(INC_SPECIALS="Y"))=0,"",'Dvd Calendar'!$K$1163)))</f>
        <v/>
      </c>
      <c r="J120" s="110">
        <f>IF(EL120="","",IF(ISNUMBER('Dvd Calendar'!$L$1163)=FALSE,"",IF((('Dvd Calendar'!$L$1165=TYPE1)*(TYPE1&lt;&gt;"")+('Dvd Calendar'!$L$1165=TYPE2)*(TYPE2&lt;&gt;"")+('Dvd Calendar'!$L$1165=TYPE3)*(TYPE3&lt;&gt;"")+('Dvd Calendar'!$L$1165=TYPE4)*(TYPE4&lt;&gt;"")+('Dvd Calendar'!$L$1165=SPECIAL_LBL)*(INC_SPECIALS="Y"))=0,"",'Dvd Calendar'!$L$1163)))</f>
        <v/>
      </c>
      <c r="K120" s="110">
        <f>IF(EM120="","",IF(ISNUMBER('Dvd Calendar'!$M$1163)=FALSE,"",IF((('Dvd Calendar'!$M$1165=TYPE1)*(TYPE1&lt;&gt;"")+('Dvd Calendar'!$M$1165=TYPE2)*(TYPE2&lt;&gt;"")+('Dvd Calendar'!$M$1165=TYPE3)*(TYPE3&lt;&gt;"")+('Dvd Calendar'!$M$1165=TYPE4)*(TYPE4&lt;&gt;"")+('Dvd Calendar'!$M$1165=SPECIAL_LBL)*(INC_SPECIALS="Y"))=0,"",'Dvd Calendar'!$M$1163)))</f>
        <v/>
      </c>
      <c r="L120" s="110">
        <f>IF(EN120="","",IF(ISNUMBER('Dvd Calendar'!$N$1163)=FALSE,"",IF((('Dvd Calendar'!$N$1165=TYPE1)*(TYPE1&lt;&gt;"")+('Dvd Calendar'!$N$1165=TYPE2)*(TYPE2&lt;&gt;"")+('Dvd Calendar'!$N$1165=TYPE3)*(TYPE3&lt;&gt;"")+('Dvd Calendar'!$N$1165=TYPE4)*(TYPE4&lt;&gt;"")+('Dvd Calendar'!$N$1165=SPECIAL_LBL)*(INC_SPECIALS="Y"))=0,"",'Dvd Calendar'!$N$1163)))</f>
        <v/>
      </c>
      <c r="M120" s="110">
        <f>IF(EO120="","",IF(ISNUMBER('Dvd Calendar'!$O$1163)=FALSE,"",IF((('Dvd Calendar'!$O$1165=TYPE1)*(TYPE1&lt;&gt;"")+('Dvd Calendar'!$O$1165=TYPE2)*(TYPE2&lt;&gt;"")+('Dvd Calendar'!$O$1165=TYPE3)*(TYPE3&lt;&gt;"")+('Dvd Calendar'!$O$1165=TYPE4)*(TYPE4&lt;&gt;"")+('Dvd Calendar'!$O$1165=SPECIAL_LBL)*(INC_SPECIALS="Y"))=0,"",'Dvd Calendar'!$O$1163)))</f>
        <v/>
      </c>
      <c r="N120" s="110">
        <f>IF(EP120="","",IF(ISNUMBER('Dvd Calendar'!$P$1163)=FALSE,"",IF((('Dvd Calendar'!$P$1165=TYPE1)*(TYPE1&lt;&gt;"")+('Dvd Calendar'!$P$1165=TYPE2)*(TYPE2&lt;&gt;"")+('Dvd Calendar'!$P$1165=TYPE3)*(TYPE3&lt;&gt;"")+('Dvd Calendar'!$P$1165=TYPE4)*(TYPE4&lt;&gt;"")+('Dvd Calendar'!$P$1165=SPECIAL_LBL)*(INC_SPECIALS="Y"))=0,"",'Dvd Calendar'!$P$1163)))</f>
        <v/>
      </c>
      <c r="O120" s="110">
        <f>IF(EQ120="","",IF(ISNUMBER('Dvd Calendar'!$Q$1163)=FALSE,"",IF((('Dvd Calendar'!$Q$1165=TYPE1)*(TYPE1&lt;&gt;"")+('Dvd Calendar'!$Q$1165=TYPE2)*(TYPE2&lt;&gt;"")+('Dvd Calendar'!$Q$1165=TYPE3)*(TYPE3&lt;&gt;"")+('Dvd Calendar'!$Q$1165=TYPE4)*(TYPE4&lt;&gt;"")+('Dvd Calendar'!$Q$1165=SPECIAL_LBL)*(INC_SPECIALS="Y"))=0,"",'Dvd Calendar'!$Q$1163)))</f>
        <v/>
      </c>
      <c r="P120" s="110">
        <f>IF(ER120="","",IF(ISNUMBER('Dvd Calendar'!$R$1163)=FALSE,"",IF((('Dvd Calendar'!$R$1165=TYPE1)*(TYPE1&lt;&gt;"")+('Dvd Calendar'!$R$1165=TYPE2)*(TYPE2&lt;&gt;"")+('Dvd Calendar'!$R$1165=TYPE3)*(TYPE3&lt;&gt;"")+('Dvd Calendar'!$R$1165=TYPE4)*(TYPE4&lt;&gt;"")+('Dvd Calendar'!$R$1165=SPECIAL_LBL)*(INC_SPECIALS="Y"))=0,"",'Dvd Calendar'!$R$1163)))</f>
        <v/>
      </c>
      <c r="Q120" s="110">
        <f>IF(ES120="","",IF(ISNUMBER('Dvd Calendar'!$S$1163)=FALSE,"",IF((('Dvd Calendar'!$S$1165=TYPE1)*(TYPE1&lt;&gt;"")+('Dvd Calendar'!$S$1165=TYPE2)*(TYPE2&lt;&gt;"")+('Dvd Calendar'!$S$1165=TYPE3)*(TYPE3&lt;&gt;"")+('Dvd Calendar'!$S$1165=TYPE4)*(TYPE4&lt;&gt;"")+('Dvd Calendar'!$S$1165=SPECIAL_LBL)*(INC_SPECIALS="Y"))=0,"",'Dvd Calendar'!$S$1163)))</f>
        <v/>
      </c>
      <c r="R120" s="110">
        <f>IF(ET120="","",IF(ISNUMBER('Dvd Calendar'!$T$1163)=FALSE,"",IF((('Dvd Calendar'!$T$1165=TYPE1)*(TYPE1&lt;&gt;"")+('Dvd Calendar'!$T$1165=TYPE2)*(TYPE2&lt;&gt;"")+('Dvd Calendar'!$T$1165=TYPE3)*(TYPE3&lt;&gt;"")+('Dvd Calendar'!$T$1165=TYPE4)*(TYPE4&lt;&gt;"")+('Dvd Calendar'!$T$1165=SPECIAL_LBL)*(INC_SPECIALS="Y"))=0,"",'Dvd Calendar'!$T$1163)))</f>
        <v/>
      </c>
      <c r="S120" s="110">
        <f>IF(EU120="","",IF(ISNUMBER('Dvd Calendar'!$U$1163)=FALSE,"",IF((('Dvd Calendar'!$U$1165=TYPE1)*(TYPE1&lt;&gt;"")+('Dvd Calendar'!$U$1165=TYPE2)*(TYPE2&lt;&gt;"")+('Dvd Calendar'!$U$1165=TYPE3)*(TYPE3&lt;&gt;"")+('Dvd Calendar'!$U$1165=TYPE4)*(TYPE4&lt;&gt;"")+('Dvd Calendar'!$U$1165=SPECIAL_LBL)*(INC_SPECIALS="Y"))=0,"",'Dvd Calendar'!$U$1163)))</f>
        <v/>
      </c>
      <c r="T120" s="110">
        <f>IF(EV120="","",IF(ISNUMBER('Dvd Calendar'!$V$1163)=FALSE,"",IF((('Dvd Calendar'!$V$1165=TYPE1)*(TYPE1&lt;&gt;"")+('Dvd Calendar'!$V$1165=TYPE2)*(TYPE2&lt;&gt;"")+('Dvd Calendar'!$V$1165=TYPE3)*(TYPE3&lt;&gt;"")+('Dvd Calendar'!$V$1165=TYPE4)*(TYPE4&lt;&gt;"")+('Dvd Calendar'!$V$1165=SPECIAL_LBL)*(INC_SPECIALS="Y"))=0,"",'Dvd Calendar'!$V$1163)))</f>
        <v/>
      </c>
      <c r="U120" s="110">
        <f>IF(EW120="","",IF(ISNUMBER('Dvd Calendar'!$W$1163)=FALSE,"",IF((('Dvd Calendar'!$W$1165=TYPE1)*(TYPE1&lt;&gt;"")+('Dvd Calendar'!$W$1165=TYPE2)*(TYPE2&lt;&gt;"")+('Dvd Calendar'!$W$1165=TYPE3)*(TYPE3&lt;&gt;"")+('Dvd Calendar'!$W$1165=TYPE4)*(TYPE4&lt;&gt;"")+('Dvd Calendar'!$W$1165=SPECIAL_LBL)*(INC_SPECIALS="Y"))=0,"",'Dvd Calendar'!$W$1163)))</f>
        <v/>
      </c>
      <c r="V120" s="110">
        <f>IF(EX120="","",IF(ISNUMBER('Dvd Calendar'!$X$1163)=FALSE,"",IF((('Dvd Calendar'!$X$1165=TYPE1)*(TYPE1&lt;&gt;"")+('Dvd Calendar'!$X$1165=TYPE2)*(TYPE2&lt;&gt;"")+('Dvd Calendar'!$X$1165=TYPE3)*(TYPE3&lt;&gt;"")+('Dvd Calendar'!$X$1165=TYPE4)*(TYPE4&lt;&gt;"")+('Dvd Calendar'!$X$1165=SPECIAL_LBL)*(INC_SPECIALS="Y"))=0,"",'Dvd Calendar'!$X$1163)))</f>
        <v/>
      </c>
      <c r="W120" s="110">
        <f>IF(EY120="","",IF(ISNUMBER('Dvd Calendar'!$Y$1163)=FALSE,"",IF((('Dvd Calendar'!$Y$1165=TYPE1)*(TYPE1&lt;&gt;"")+('Dvd Calendar'!$Y$1165=TYPE2)*(TYPE2&lt;&gt;"")+('Dvd Calendar'!$Y$1165=TYPE3)*(TYPE3&lt;&gt;"")+('Dvd Calendar'!$Y$1165=TYPE4)*(TYPE4&lt;&gt;"")+('Dvd Calendar'!$Y$1165=SPECIAL_LBL)*(INC_SPECIALS="Y"))=0,"",'Dvd Calendar'!$Y$1163)))</f>
        <v/>
      </c>
      <c r="X120" s="110">
        <f>IF(EZ120="","",IF(ISNUMBER('Dvd Calendar'!$Z$1163)=FALSE,"",IF((('Dvd Calendar'!$Z$1165=TYPE1)*(TYPE1&lt;&gt;"")+('Dvd Calendar'!$Z$1165=TYPE2)*(TYPE2&lt;&gt;"")+('Dvd Calendar'!$Z$1165=TYPE3)*(TYPE3&lt;&gt;"")+('Dvd Calendar'!$Z$1165=TYPE4)*(TYPE4&lt;&gt;"")+('Dvd Calendar'!$Z$1165=SPECIAL_LBL)*(INC_SPECIALS="Y"))=0,"",'Dvd Calendar'!$Z$1163)))</f>
        <v/>
      </c>
      <c r="Y120" s="110">
        <f>IF(FA120="","",IF(ISNUMBER('Dvd Calendar'!$AA$1163)=FALSE,"",IF((('Dvd Calendar'!$AA$1165=TYPE1)*(TYPE1&lt;&gt;"")+('Dvd Calendar'!$AA$1165=TYPE2)*(TYPE2&lt;&gt;"")+('Dvd Calendar'!$AA$1165=TYPE3)*(TYPE3&lt;&gt;"")+('Dvd Calendar'!$AA$1165=TYPE4)*(TYPE4&lt;&gt;"")+('Dvd Calendar'!$AA$1165=SPECIAL_LBL)*(INC_SPECIALS="Y"))=0,"",'Dvd Calendar'!$AA$1163)))</f>
        <v/>
      </c>
      <c r="Z120" s="110">
        <f>IF(FB120="","",IF(ISNUMBER('Dvd Calendar'!$AB$1163)=FALSE,"",IF((('Dvd Calendar'!$AB$1165=TYPE1)*(TYPE1&lt;&gt;"")+('Dvd Calendar'!$AB$1165=TYPE2)*(TYPE2&lt;&gt;"")+('Dvd Calendar'!$AB$1165=TYPE3)*(TYPE3&lt;&gt;"")+('Dvd Calendar'!$AB$1165=TYPE4)*(TYPE4&lt;&gt;"")+('Dvd Calendar'!$AB$1165=SPECIAL_LBL)*(INC_SPECIALS="Y"))=0,"",'Dvd Calendar'!$AB$1163)))</f>
        <v/>
      </c>
      <c r="AA120" s="110">
        <f>IF(FC120="","",IF(ISNUMBER('Dvd Calendar'!$AC$1163)=FALSE,"",IF((('Dvd Calendar'!$AC$1165=TYPE1)*(TYPE1&lt;&gt;"")+('Dvd Calendar'!$AC$1165=TYPE2)*(TYPE2&lt;&gt;"")+('Dvd Calendar'!$AC$1165=TYPE3)*(TYPE3&lt;&gt;"")+('Dvd Calendar'!$AC$1165=TYPE4)*(TYPE4&lt;&gt;"")+('Dvd Calendar'!$AC$1165=SPECIAL_LBL)*(INC_SPECIALS="Y"))=0,"",'Dvd Calendar'!$AC$1163)))</f>
        <v/>
      </c>
      <c r="AB120" s="110">
        <f>IF(FD120="","",IF(ISNUMBER('Dvd Calendar'!$AD$1163)=FALSE,"",IF((('Dvd Calendar'!$AD$1165=TYPE1)*(TYPE1&lt;&gt;"")+('Dvd Calendar'!$AD$1165=TYPE2)*(TYPE2&lt;&gt;"")+('Dvd Calendar'!$AD$1165=TYPE3)*(TYPE3&lt;&gt;"")+('Dvd Calendar'!$AD$1165=TYPE4)*(TYPE4&lt;&gt;"")+('Dvd Calendar'!$AD$1165=SPECIAL_LBL)*(INC_SPECIALS="Y"))=0,"",'Dvd Calendar'!$AD$1163)))</f>
        <v/>
      </c>
      <c r="AC120" s="110">
        <f>IF(FE120="","",IF(ISNUMBER('Dvd Calendar'!$AE$1163)=FALSE,"",IF((('Dvd Calendar'!$AE$1165=TYPE1)*(TYPE1&lt;&gt;"")+('Dvd Calendar'!$AE$1165=TYPE2)*(TYPE2&lt;&gt;"")+('Dvd Calendar'!$AE$1165=TYPE3)*(TYPE3&lt;&gt;"")+('Dvd Calendar'!$AE$1165=TYPE4)*(TYPE4&lt;&gt;"")+('Dvd Calendar'!$AE$1165=SPECIAL_LBL)*(INC_SPECIALS="Y"))=0,"",'Dvd Calendar'!$AE$1163)))</f>
        <v/>
      </c>
      <c r="AD120" s="110">
        <f>IF(FF120="","",IF(ISNUMBER('Dvd Calendar'!$AF$1163)=FALSE,"",IF((('Dvd Calendar'!$AF$1165=TYPE1)*(TYPE1&lt;&gt;"")+('Dvd Calendar'!$AF$1165=TYPE2)*(TYPE2&lt;&gt;"")+('Dvd Calendar'!$AF$1165=TYPE3)*(TYPE3&lt;&gt;"")+('Dvd Calendar'!$AF$1165=TYPE4)*(TYPE4&lt;&gt;"")+('Dvd Calendar'!$AF$1165=SPECIAL_LBL)*(INC_SPECIALS="Y"))=0,"",'Dvd Calendar'!$AF$1163)))</f>
        <v/>
      </c>
      <c r="AE120" s="110">
        <f>IF(FG120="","",IF(ISNUMBER('Dvd Calendar'!$AG$1163)=FALSE,"",IF((('Dvd Calendar'!$AG$1165=TYPE1)*(TYPE1&lt;&gt;"")+('Dvd Calendar'!$AG$1165=TYPE2)*(TYPE2&lt;&gt;"")+('Dvd Calendar'!$AG$1165=TYPE3)*(TYPE3&lt;&gt;"")+('Dvd Calendar'!$AG$1165=TYPE4)*(TYPE4&lt;&gt;"")+('Dvd Calendar'!$AG$1165=SPECIAL_LBL)*(INC_SPECIALS="Y"))=0,"",'Dvd Calendar'!$AG$1163)))</f>
        <v/>
      </c>
      <c r="AF120" s="110">
        <f>IF(FH120="","",IF(ISNUMBER('Dvd Calendar'!$AH$1163)=FALSE,"",IF((('Dvd Calendar'!$AH$1165=TYPE1)*(TYPE1&lt;&gt;"")+('Dvd Calendar'!$AH$1165=TYPE2)*(TYPE2&lt;&gt;"")+('Dvd Calendar'!$AH$1165=TYPE3)*(TYPE3&lt;&gt;"")+('Dvd Calendar'!$AH$1165=TYPE4)*(TYPE4&lt;&gt;"")+('Dvd Calendar'!$AH$1165=SPECIAL_LBL)*(INC_SPECIALS="Y"))=0,"",'Dvd Calendar'!$AH$1163)))</f>
        <v/>
      </c>
      <c r="AG120" s="110">
        <f>IF(FI120="","",IF(ISNUMBER('Dvd Calendar'!$AI$1163)=FALSE,"",IF((('Dvd Calendar'!$AI$1165=TYPE1)*(TYPE1&lt;&gt;"")+('Dvd Calendar'!$AI$1165=TYPE2)*(TYPE2&lt;&gt;"")+('Dvd Calendar'!$AI$1165=TYPE3)*(TYPE3&lt;&gt;"")+('Dvd Calendar'!$AI$1165=TYPE4)*(TYPE4&lt;&gt;"")+('Dvd Calendar'!$AI$1165=SPECIAL_LBL)*(INC_SPECIALS="Y"))=0,"",'Dvd Calendar'!$AI$1163)))</f>
        <v/>
      </c>
      <c r="AH120" s="110">
        <f>IF(FJ120="","",IF(ISNUMBER('Dvd Calendar'!$AJ$1163)=FALSE,"",IF((('Dvd Calendar'!$AJ$1165=TYPE1)*(TYPE1&lt;&gt;"")+('Dvd Calendar'!$AJ$1165=TYPE2)*(TYPE2&lt;&gt;"")+('Dvd Calendar'!$AJ$1165=TYPE3)*(TYPE3&lt;&gt;"")+('Dvd Calendar'!$AJ$1165=TYPE4)*(TYPE4&lt;&gt;"")+('Dvd Calendar'!$AJ$1165=SPECIAL_LBL)*(INC_SPECIALS="Y"))=0,"",'Dvd Calendar'!$AJ$1163)))</f>
        <v/>
      </c>
      <c r="AI120" s="110">
        <f>IF(FK120="","",IF(ISNUMBER('Dvd Calendar'!$AK$1163)=FALSE,"",IF((('Dvd Calendar'!$AK$1165=TYPE1)*(TYPE1&lt;&gt;"")+('Dvd Calendar'!$AK$1165=TYPE2)*(TYPE2&lt;&gt;"")+('Dvd Calendar'!$AK$1165=TYPE3)*(TYPE3&lt;&gt;"")+('Dvd Calendar'!$AK$1165=TYPE4)*(TYPE4&lt;&gt;"")+('Dvd Calendar'!$AK$1165=SPECIAL_LBL)*(INC_SPECIALS="Y"))=0,"",'Dvd Calendar'!$AK$1163)))</f>
        <v/>
      </c>
      <c r="AJ120" s="110">
        <f>IF(FL120="","",IF(ISNUMBER('Dvd Calendar'!$AL$1163)=FALSE,"",IF((('Dvd Calendar'!$AL$1165=TYPE1)*(TYPE1&lt;&gt;"")+('Dvd Calendar'!$AL$1165=TYPE2)*(TYPE2&lt;&gt;"")+('Dvd Calendar'!$AL$1165=TYPE3)*(TYPE3&lt;&gt;"")+('Dvd Calendar'!$AL$1165=TYPE4)*(TYPE4&lt;&gt;"")+('Dvd Calendar'!$AL$1165=SPECIAL_LBL)*(INC_SPECIALS="Y"))=0,"",'Dvd Calendar'!$AL$1163)))</f>
        <v/>
      </c>
      <c r="AK120" s="110">
        <f>IF(FM120="","",IF(ISNUMBER('Dvd Calendar'!$AM$1163)=FALSE,"",IF((('Dvd Calendar'!$AM$1165=TYPE1)*(TYPE1&lt;&gt;"")+('Dvd Calendar'!$AM$1165=TYPE2)*(TYPE2&lt;&gt;"")+('Dvd Calendar'!$AM$1165=TYPE3)*(TYPE3&lt;&gt;"")+('Dvd Calendar'!$AM$1165=TYPE4)*(TYPE4&lt;&gt;"")+('Dvd Calendar'!$AM$1165=SPECIAL_LBL)*(INC_SPECIALS="Y"))=0,"",'Dvd Calendar'!$AM$1163)))</f>
        <v/>
      </c>
      <c r="AL120" s="110">
        <f>IF(FN120="","",IF(ISNUMBER('Dvd Calendar'!$AN$1163)=FALSE,"",IF((('Dvd Calendar'!$AN$1165=TYPE1)*(TYPE1&lt;&gt;"")+('Dvd Calendar'!$AN$1165=TYPE2)*(TYPE2&lt;&gt;"")+('Dvd Calendar'!$AN$1165=TYPE3)*(TYPE3&lt;&gt;"")+('Dvd Calendar'!$AN$1165=TYPE4)*(TYPE4&lt;&gt;"")+('Dvd Calendar'!$AN$1165=SPECIAL_LBL)*(INC_SPECIALS="Y"))=0,"",'Dvd Calendar'!$AN$1163)))</f>
        <v/>
      </c>
      <c r="AM120" s="110">
        <f>IF(FO120="","",IF(ISNUMBER('Dvd Calendar'!$AO$1163)=FALSE,"",IF((('Dvd Calendar'!$AO$1165=TYPE1)*(TYPE1&lt;&gt;"")+('Dvd Calendar'!$AO$1165=TYPE2)*(TYPE2&lt;&gt;"")+('Dvd Calendar'!$AO$1165=TYPE3)*(TYPE3&lt;&gt;"")+('Dvd Calendar'!$AO$1165=TYPE4)*(TYPE4&lt;&gt;"")+('Dvd Calendar'!$AO$1165=SPECIAL_LBL)*(INC_SPECIALS="Y"))=0,"",'Dvd Calendar'!$AO$1163)))</f>
        <v/>
      </c>
      <c r="AN120" s="110">
        <f>IF(FP120="","",IF(ISNUMBER('Dvd Calendar'!$AP$1163)=FALSE,"",IF((('Dvd Calendar'!$AP$1165=TYPE1)*(TYPE1&lt;&gt;"")+('Dvd Calendar'!$AP$1165=TYPE2)*(TYPE2&lt;&gt;"")+('Dvd Calendar'!$AP$1165=TYPE3)*(TYPE3&lt;&gt;"")+('Dvd Calendar'!$AP$1165=TYPE4)*(TYPE4&lt;&gt;"")+('Dvd Calendar'!$AP$1165=SPECIAL_LBL)*(INC_SPECIALS="Y"))=0,"",'Dvd Calendar'!$AP$1163)))</f>
        <v/>
      </c>
      <c r="AO120" s="110">
        <f>IF(FQ120="","",IF(ISNUMBER('Dvd Calendar'!$AQ$1163)=FALSE,"",IF((('Dvd Calendar'!$AQ$1165=TYPE1)*(TYPE1&lt;&gt;"")+('Dvd Calendar'!$AQ$1165=TYPE2)*(TYPE2&lt;&gt;"")+('Dvd Calendar'!$AQ$1165=TYPE3)*(TYPE3&lt;&gt;"")+('Dvd Calendar'!$AQ$1165=TYPE4)*(TYPE4&lt;&gt;"")+('Dvd Calendar'!$AQ$1165=SPECIAL_LBL)*(INC_SPECIALS="Y"))=0,"",'Dvd Calendar'!$AQ$1163)))</f>
        <v/>
      </c>
      <c r="AP120" s="110">
        <f>IF(FR120="","",IF(ISNUMBER('Dvd Calendar'!$AR$1163)=FALSE,"",IF((('Dvd Calendar'!$AR$1165=TYPE1)*(TYPE1&lt;&gt;"")+('Dvd Calendar'!$AR$1165=TYPE2)*(TYPE2&lt;&gt;"")+('Dvd Calendar'!$AR$1165=TYPE3)*(TYPE3&lt;&gt;"")+('Dvd Calendar'!$AR$1165=TYPE4)*(TYPE4&lt;&gt;"")+('Dvd Calendar'!$AR$1165=SPECIAL_LBL)*(INC_SPECIALS="Y"))=0,"",'Dvd Calendar'!$AR$1163)))</f>
        <v/>
      </c>
      <c r="AQ120" s="110">
        <f>IF(FS120="","",IF(ISNUMBER('Dvd Calendar'!$E$1168)=FALSE,"",'Dvd Calendar'!$E$1168))</f>
        <v/>
      </c>
      <c r="AR120" s="110">
        <f>IF(FT120="","",IF(ISNUMBER('Dvd Calendar'!$F$1168)=FALSE,"",'Dvd Calendar'!$F$1168))</f>
        <v/>
      </c>
      <c r="AS120" s="110">
        <f>IF(FU120="","",IF(ISNUMBER('Dvd Calendar'!$G$1168)=FALSE,"",'Dvd Calendar'!$G$1168))</f>
        <v/>
      </c>
      <c r="AT120" s="110">
        <f>IF(FV120="","",IF(ISNUMBER('Dvd Calendar'!$H$1168)=FALSE,"",'Dvd Calendar'!$H$1168))</f>
        <v/>
      </c>
      <c r="AU120" s="110">
        <f>IF(FW120="","",IF(ISNUMBER('Dvd Calendar'!$I$1168)=FALSE,"",'Dvd Calendar'!$I$1168))</f>
        <v/>
      </c>
      <c r="AV120" s="110">
        <f>IF(FX120="","",IF(ISNUMBER('Dvd Calendar'!$J$1168)=FALSE,"",'Dvd Calendar'!$J$1168))</f>
        <v/>
      </c>
      <c r="AW120" s="110">
        <f>IF(FY120="","",IF(ISNUMBER('Dvd Calendar'!$K$1168)=FALSE,"",'Dvd Calendar'!$K$1168))</f>
        <v/>
      </c>
      <c r="AX120" s="110">
        <f>IF(FZ120="","",IF(ISNUMBER('Dvd Calendar'!$L$1168)=FALSE,"",'Dvd Calendar'!$L$1168))</f>
        <v/>
      </c>
      <c r="AY120" s="110">
        <f>IF(GA120="","",IF(ISNUMBER('Dvd Calendar'!$M$1168)=FALSE,"",'Dvd Calendar'!$M$1168))</f>
        <v/>
      </c>
      <c r="AZ120" s="110">
        <f>IF(GB120="","",IF(ISNUMBER('Dvd Calendar'!$N$1168)=FALSE,"",'Dvd Calendar'!$N$1168))</f>
        <v/>
      </c>
      <c r="BA120" s="110">
        <f>IF(GC120="","",IF(ISNUMBER('Dvd Calendar'!$O$1168)=FALSE,"",'Dvd Calendar'!$O$1168))</f>
        <v/>
      </c>
      <c r="BB120" s="110">
        <f>IF(GD120="","",IF(ISNUMBER('Dvd Calendar'!$P$1168)=FALSE,"",'Dvd Calendar'!$P$1168))</f>
        <v/>
      </c>
      <c r="BC120" s="110">
        <f>IF(GE120="","",IF(ISNUMBER('Dvd Calendar'!$Q$1168)=FALSE,"",'Dvd Calendar'!$Q$1168))</f>
        <v/>
      </c>
      <c r="BD120" s="110">
        <f>IF(GF120="","",IF(ISNUMBER('Dvd Calendar'!$R$1168)=FALSE,"",'Dvd Calendar'!$R$1168))</f>
        <v/>
      </c>
      <c r="BE120" s="110">
        <f>IF(GG120="","",IF(ISNUMBER('Dvd Calendar'!$S$1168)=FALSE,"",'Dvd Calendar'!$S$1168))</f>
        <v/>
      </c>
      <c r="BF120" s="110">
        <f>IF(GH120="","",IF(ISNUMBER('Dvd Calendar'!$T$1168)=FALSE,"",'Dvd Calendar'!$T$1168))</f>
        <v/>
      </c>
      <c r="BG120" s="110">
        <f>IF(GI120="","",IF(ISNUMBER('Dvd Calendar'!$U$1168)=FALSE,"",'Dvd Calendar'!$U$1168))</f>
        <v/>
      </c>
      <c r="BH120" s="110">
        <f>IF(GJ120="","",IF(ISNUMBER('Dvd Calendar'!$V$1168)=FALSE,"",'Dvd Calendar'!$V$1168))</f>
        <v/>
      </c>
      <c r="BI120" s="110">
        <f>IF(GK120="","",IF(ISNUMBER('Dvd Calendar'!$W$1168)=FALSE,"",'Dvd Calendar'!$W$1168))</f>
        <v/>
      </c>
      <c r="BJ120" s="110">
        <f>IF(GL120="","",IF(ISNUMBER('Dvd Calendar'!$X$1168)=FALSE,"",'Dvd Calendar'!$X$1168))</f>
        <v/>
      </c>
      <c r="BK120" s="110">
        <f>IF(GM120="","",IF(ISNUMBER('Dvd Calendar'!$Y$1168)=FALSE,"",'Dvd Calendar'!$Y$1168))</f>
        <v/>
      </c>
      <c r="BL120" s="110">
        <f>IF(GN120="","",IF(ISNUMBER('Dvd Calendar'!$Z$1168)=FALSE,"",'Dvd Calendar'!$Z$1168))</f>
        <v/>
      </c>
      <c r="BM120" s="110">
        <f>IF(GO120="","",IF(ISNUMBER('Dvd Calendar'!$AA$1168)=FALSE,"",'Dvd Calendar'!$AA$1168))</f>
        <v/>
      </c>
      <c r="BN120" s="110">
        <f>IF(GP120="","",IF(ISNUMBER('Dvd Calendar'!$AB$1168)=FALSE,"",'Dvd Calendar'!$AB$1168))</f>
        <v/>
      </c>
      <c r="BO120" s="110">
        <f>IF(GQ120="","",IF(ISNUMBER('Dvd Calendar'!$AC$1168)=FALSE,"",'Dvd Calendar'!$AC$1168))</f>
        <v/>
      </c>
      <c r="BQ120" s="110">
        <f>IF(C120="","",IFERROR(C120*HSTECH!$B$11*HSTECH!$G$11/HSTECH!$B$3,""))</f>
        <v/>
      </c>
      <c r="BR120" s="110">
        <f>IF(D120="","",IFERROR(D120*HSTECH!$B$11*HSTECH!$G$11/HSTECH!$B$3,""))</f>
        <v/>
      </c>
      <c r="BS120" s="110">
        <f>IF(E120="","",IFERROR(E120*HSTECH!$B$11*HSTECH!$G$11/HSTECH!$B$3,""))</f>
        <v/>
      </c>
      <c r="BT120" s="110">
        <f>IF(F120="","",IFERROR(F120*HSTECH!$B$11*HSTECH!$G$11/HSTECH!$B$3,""))</f>
        <v/>
      </c>
      <c r="BU120" s="110">
        <f>IF(G120="","",IFERROR(G120*HSTECH!$B$11*HSTECH!$G$11/HSTECH!$B$3,""))</f>
        <v/>
      </c>
      <c r="BV120" s="110">
        <f>IF(H120="","",IFERROR(H120*HSTECH!$B$11*HSTECH!$G$11/HSTECH!$B$3,""))</f>
        <v/>
      </c>
      <c r="BW120" s="110">
        <f>IF(I120="","",IFERROR(I120*HSTECH!$B$11*HSTECH!$G$11/HSTECH!$B$3,""))</f>
        <v/>
      </c>
      <c r="BX120" s="110">
        <f>IF(J120="","",IFERROR(J120*HSTECH!$B$11*HSTECH!$G$11/HSTECH!$B$3,""))</f>
        <v/>
      </c>
      <c r="BY120" s="110">
        <f>IF(K120="","",IFERROR(K120*HSTECH!$B$11*HSTECH!$G$11/HSTECH!$B$3,""))</f>
        <v/>
      </c>
      <c r="BZ120" s="110">
        <f>IF(L120="","",IFERROR(L120*HSTECH!$B$11*HSTECH!$G$11/HSTECH!$B$3,""))</f>
        <v/>
      </c>
      <c r="CA120" s="110">
        <f>IF(M120="","",IFERROR(M120*HSTECH!$B$11*HSTECH!$G$11/HSTECH!$B$3,""))</f>
        <v/>
      </c>
      <c r="CB120" s="110">
        <f>IF(N120="","",IFERROR(N120*HSTECH!$B$11*HSTECH!$G$11/HSTECH!$B$3,""))</f>
        <v/>
      </c>
      <c r="CC120" s="110">
        <f>IF(O120="","",IFERROR(O120*HSTECH!$B$11*HSTECH!$G$11/HSTECH!$B$3,""))</f>
        <v/>
      </c>
      <c r="CD120" s="110">
        <f>IF(P120="","",IFERROR(P120*HSTECH!$B$11*HSTECH!$G$11/HSTECH!$B$3,""))</f>
        <v/>
      </c>
      <c r="CE120" s="110">
        <f>IF(Q120="","",IFERROR(Q120*HSTECH!$B$11*HSTECH!$G$11/HSTECH!$B$3,""))</f>
        <v/>
      </c>
      <c r="CF120" s="110">
        <f>IF(R120="","",IFERROR(R120*HSTECH!$B$11*HSTECH!$G$11/HSTECH!$B$3,""))</f>
        <v/>
      </c>
      <c r="CG120" s="110">
        <f>IF(S120="","",IFERROR(S120*HSTECH!$B$11*HSTECH!$G$11/HSTECH!$B$3,""))</f>
        <v/>
      </c>
      <c r="CH120" s="110">
        <f>IF(T120="","",IFERROR(T120*HSTECH!$B$11*HSTECH!$G$11/HSTECH!$B$3,""))</f>
        <v/>
      </c>
      <c r="CI120" s="110">
        <f>IF(U120="","",IFERROR(U120*HSTECH!$B$11*HSTECH!$G$11/HSTECH!$B$3,""))</f>
        <v/>
      </c>
      <c r="CJ120" s="110">
        <f>IF(V120="","",IFERROR(V120*HSTECH!$B$11*HSTECH!$G$11/HSTECH!$B$3,""))</f>
        <v/>
      </c>
      <c r="CK120" s="110">
        <f>IF(W120="","",IFERROR(W120*HSTECH!$B$11*HSTECH!$G$11/HSTECH!$B$3,""))</f>
        <v/>
      </c>
      <c r="CL120" s="110">
        <f>IF(X120="","",IFERROR(X120*HSTECH!$B$11*HSTECH!$G$11/HSTECH!$B$3,""))</f>
        <v/>
      </c>
      <c r="CM120" s="110">
        <f>IF(Y120="","",IFERROR(Y120*HSTECH!$B$11*HSTECH!$G$11/HSTECH!$B$3,""))</f>
        <v/>
      </c>
      <c r="CN120" s="110">
        <f>IF(Z120="","",IFERROR(Z120*HSTECH!$B$11*HSTECH!$G$11/HSTECH!$B$3,""))</f>
        <v/>
      </c>
      <c r="CO120" s="110">
        <f>IF(AA120="","",IFERROR(AA120*HSTECH!$B$11*HSTECH!$G$11/HSTECH!$B$3,""))</f>
        <v/>
      </c>
      <c r="CP120" s="110">
        <f>IF(AB120="","",IFERROR(AB120*HSTECH!$B$11*HSTECH!$G$11/HSTECH!$B$3,""))</f>
        <v/>
      </c>
      <c r="CQ120" s="110">
        <f>IF(AC120="","",IFERROR(AC120*HSTECH!$B$11*HSTECH!$G$11/HSTECH!$B$3,""))</f>
        <v/>
      </c>
      <c r="CR120" s="110">
        <f>IF(AD120="","",IFERROR(AD120*HSTECH!$B$11*HSTECH!$G$11/HSTECH!$B$3,""))</f>
        <v/>
      </c>
      <c r="CS120" s="110">
        <f>IF(AE120="","",IFERROR(AE120*HSTECH!$B$11*HSTECH!$G$11/HSTECH!$B$3,""))</f>
        <v/>
      </c>
      <c r="CT120" s="110">
        <f>IF(AF120="","",IFERROR(AF120*HSTECH!$B$11*HSTECH!$G$11/HSTECH!$B$3,""))</f>
        <v/>
      </c>
      <c r="CU120" s="110">
        <f>IF(AG120="","",IFERROR(AG120*HSTECH!$B$11*HSTECH!$G$11/HSTECH!$B$3,""))</f>
        <v/>
      </c>
      <c r="CV120" s="110">
        <f>IF(AH120="","",IFERROR(AH120*HSTECH!$B$11*HSTECH!$G$11/HSTECH!$B$3,""))</f>
        <v/>
      </c>
      <c r="CW120" s="110">
        <f>IF(AI120="","",IFERROR(AI120*HSTECH!$B$11*HSTECH!$G$11/HSTECH!$B$3,""))</f>
        <v/>
      </c>
      <c r="CX120" s="110">
        <f>IF(AJ120="","",IFERROR(AJ120*HSTECH!$B$11*HSTECH!$G$11/HSTECH!$B$3,""))</f>
        <v/>
      </c>
      <c r="CY120" s="110">
        <f>IF(AK120="","",IFERROR(AK120*HSTECH!$B$11*HSTECH!$G$11/HSTECH!$B$3,""))</f>
        <v/>
      </c>
      <c r="CZ120" s="110">
        <f>IF(AL120="","",IFERROR(AL120*HSTECH!$B$11*HSTECH!$G$11/HSTECH!$B$3,""))</f>
        <v/>
      </c>
      <c r="DA120" s="110">
        <f>IF(AM120="","",IFERROR(AM120*HSTECH!$B$11*HSTECH!$G$11/HSTECH!$B$3,""))</f>
        <v/>
      </c>
      <c r="DB120" s="110">
        <f>IF(AN120="","",IFERROR(AN120*HSTECH!$B$11*HSTECH!$G$11/HSTECH!$B$3,""))</f>
        <v/>
      </c>
      <c r="DC120" s="110">
        <f>IF(AO120="","",IFERROR(AO120*HSTECH!$B$11*HSTECH!$G$11/HSTECH!$B$3,""))</f>
        <v/>
      </c>
      <c r="DD120" s="110">
        <f>IF(AP120="","",IFERROR(AP120*HSTECH!$B$11*HSTECH!$G$11/HSTECH!$B$3,""))</f>
        <v/>
      </c>
      <c r="DE120" s="110">
        <f>IF(AQ120="","",IFERROR(AQ120*HSTECH!$B$11*HSTECH!$G$11/HSTECH!$B$3,""))</f>
        <v/>
      </c>
      <c r="DF120" s="110">
        <f>IF(AR120="","",IFERROR(AR120*HSTECH!$B$11*HSTECH!$G$11/HSTECH!$B$3,""))</f>
        <v/>
      </c>
      <c r="DG120" s="110">
        <f>IF(AS120="","",IFERROR(AS120*HSTECH!$B$11*HSTECH!$G$11/HSTECH!$B$3,""))</f>
        <v/>
      </c>
      <c r="DH120" s="110">
        <f>IF(AT120="","",IFERROR(AT120*HSTECH!$B$11*HSTECH!$G$11/HSTECH!$B$3,""))</f>
        <v/>
      </c>
      <c r="DI120" s="110">
        <f>IF(AU120="","",IFERROR(AU120*HSTECH!$B$11*HSTECH!$G$11/HSTECH!$B$3,""))</f>
        <v/>
      </c>
      <c r="DJ120" s="110">
        <f>IF(AV120="","",IFERROR(AV120*HSTECH!$B$11*HSTECH!$G$11/HSTECH!$B$3,""))</f>
        <v/>
      </c>
      <c r="DK120" s="110">
        <f>IF(AW120="","",IFERROR(AW120*HSTECH!$B$11*HSTECH!$G$11/HSTECH!$B$3,""))</f>
        <v/>
      </c>
      <c r="DL120" s="110">
        <f>IF(AX120="","",IFERROR(AX120*HSTECH!$B$11*HSTECH!$G$11/HSTECH!$B$3,""))</f>
        <v/>
      </c>
      <c r="DM120" s="110">
        <f>IF(AY120="","",IFERROR(AY120*HSTECH!$B$11*HSTECH!$G$11/HSTECH!$B$3,""))</f>
        <v/>
      </c>
      <c r="DN120" s="110">
        <f>IF(AZ120="","",IFERROR(AZ120*HSTECH!$B$11*HSTECH!$G$11/HSTECH!$B$3,""))</f>
        <v/>
      </c>
      <c r="DO120" s="110">
        <f>IF(BA120="","",IFERROR(BA120*HSTECH!$B$11*HSTECH!$G$11/HSTECH!$B$3,""))</f>
        <v/>
      </c>
      <c r="DP120" s="110">
        <f>IF(BB120="","",IFERROR(BB120*HSTECH!$B$11*HSTECH!$G$11/HSTECH!$B$3,""))</f>
        <v/>
      </c>
      <c r="DQ120" s="110">
        <f>IF(BC120="","",IFERROR(BC120*HSTECH!$B$11*HSTECH!$G$11/HSTECH!$B$3,""))</f>
        <v/>
      </c>
      <c r="DR120" s="110">
        <f>IF(BD120="","",IFERROR(BD120*HSTECH!$B$11*HSTECH!$G$11/HSTECH!$B$3,""))</f>
        <v/>
      </c>
      <c r="DS120" s="110">
        <f>IF(BE120="","",IFERROR(BE120*HSTECH!$B$11*HSTECH!$G$11/HSTECH!$B$3,""))</f>
        <v/>
      </c>
      <c r="DT120" s="110">
        <f>IF(BF120="","",IFERROR(BF120*HSTECH!$B$11*HSTECH!$G$11/HSTECH!$B$3,""))</f>
        <v/>
      </c>
      <c r="DU120" s="110">
        <f>IF(BG120="","",IFERROR(BG120*HSTECH!$B$11*HSTECH!$G$11/HSTECH!$B$3,""))</f>
        <v/>
      </c>
      <c r="DV120" s="110">
        <f>IF(BH120="","",IFERROR(BH120*HSTECH!$B$11*HSTECH!$G$11/HSTECH!$B$3,""))</f>
        <v/>
      </c>
      <c r="DW120" s="110">
        <f>IF(BI120="","",IFERROR(BI120*HSTECH!$B$11*HSTECH!$G$11/HSTECH!$B$3,""))</f>
        <v/>
      </c>
      <c r="DX120" s="110">
        <f>IF(BJ120="","",IFERROR(BJ120*HSTECH!$B$11*HSTECH!$G$11/HSTECH!$B$3,""))</f>
        <v/>
      </c>
      <c r="DY120" s="110">
        <f>IF(BK120="","",IFERROR(BK120*HSTECH!$B$11*HSTECH!$G$11/HSTECH!$B$3,""))</f>
        <v/>
      </c>
      <c r="DZ120" s="110">
        <f>IF(BL120="","",IFERROR(BL120*HSTECH!$B$11*HSTECH!$G$11/HSTECH!$B$3,""))</f>
        <v/>
      </c>
      <c r="EA120" s="110">
        <f>IF(BM120="","",IFERROR(BM120*HSTECH!$B$11*HSTECH!$G$11/HSTECH!$B$3,""))</f>
        <v/>
      </c>
      <c r="EB120" s="110">
        <f>IF(BN120="","",IFERROR(BN120*HSTECH!$B$11*HSTECH!$G$11/HSTECH!$B$3,""))</f>
        <v/>
      </c>
      <c r="EC120" s="110">
        <f>IF(BO120="","",IFERROR(BO120*HSTECH!$B$11*HSTECH!$G$11/HSTECH!$B$3,""))</f>
        <v/>
      </c>
      <c r="EE120" s="39">
        <f>IF(N('Dvd Calendar'!$E$1160)=0,"",IF(('Dvd Calendar'!$E$1160&gt;=GRID_FROM)*('Dvd Calendar'!$E$1160&lt;=GRID_TO)*((('Dvd Calendar'!$E$1160&lt;=VAL_DATE)+(COUNTIF('Dvd Calendar'!$E$1167:$AR$1167,'Dvd Calendar'!$E$1160)=0))&gt;0)=0,"",'Dvd Calendar'!$E$1160*1000000000+ISNUMBER('Dvd Calendar'!$E$1163)*100000000+('Dvd Calendar'!$E$1165=SPECIAL_LBL)*10000000+(N('Dvd Calendar'!$E$1159)&gt;0)*(N('Dvd Calendar'!$E$1159)&lt;=VAL_SERIAL)*1000000+5*1000+1))</f>
        <v/>
      </c>
      <c r="EF120" s="39">
        <f>IF(N('Dvd Calendar'!$F$1160)=0,"",IF(('Dvd Calendar'!$F$1160&gt;=GRID_FROM)*('Dvd Calendar'!$F$1160&lt;=GRID_TO)*((('Dvd Calendar'!$F$1160&lt;=VAL_DATE)+(COUNTIF('Dvd Calendar'!$E$1167:$AR$1167,'Dvd Calendar'!$F$1160)=0))&gt;0)=0,"",'Dvd Calendar'!$F$1160*1000000000+ISNUMBER('Dvd Calendar'!$F$1163)*100000000+('Dvd Calendar'!$F$1165=SPECIAL_LBL)*10000000+(N('Dvd Calendar'!$F$1159)&gt;0)*(N('Dvd Calendar'!$F$1159)&lt;=VAL_SERIAL)*1000000+5*1000+2))</f>
        <v/>
      </c>
      <c r="EG120" s="39">
        <f>IF(N('Dvd Calendar'!$G$1160)=0,"",IF(('Dvd Calendar'!$G$1160&gt;=GRID_FROM)*('Dvd Calendar'!$G$1160&lt;=GRID_TO)*((('Dvd Calendar'!$G$1160&lt;=VAL_DATE)+(COUNTIF('Dvd Calendar'!$E$1167:$AR$1167,'Dvd Calendar'!$G$1160)=0))&gt;0)=0,"",'Dvd Calendar'!$G$1160*1000000000+ISNUMBER('Dvd Calendar'!$G$1163)*100000000+('Dvd Calendar'!$G$1165=SPECIAL_LBL)*10000000+(N('Dvd Calendar'!$G$1159)&gt;0)*(N('Dvd Calendar'!$G$1159)&lt;=VAL_SERIAL)*1000000+5*1000+3))</f>
        <v/>
      </c>
      <c r="EH120" s="39">
        <f>IF(N('Dvd Calendar'!$H$1160)=0,"",IF(('Dvd Calendar'!$H$1160&gt;=GRID_FROM)*('Dvd Calendar'!$H$1160&lt;=GRID_TO)*((('Dvd Calendar'!$H$1160&lt;=VAL_DATE)+(COUNTIF('Dvd Calendar'!$E$1167:$AR$1167,'Dvd Calendar'!$H$1160)=0))&gt;0)=0,"",'Dvd Calendar'!$H$1160*1000000000+ISNUMBER('Dvd Calendar'!$H$1163)*100000000+('Dvd Calendar'!$H$1165=SPECIAL_LBL)*10000000+(N('Dvd Calendar'!$H$1159)&gt;0)*(N('Dvd Calendar'!$H$1159)&lt;=VAL_SERIAL)*1000000+5*1000+4))</f>
        <v/>
      </c>
      <c r="EI120" s="39">
        <f>IF(N('Dvd Calendar'!$I$1160)=0,"",IF(('Dvd Calendar'!$I$1160&gt;=GRID_FROM)*('Dvd Calendar'!$I$1160&lt;=GRID_TO)*((('Dvd Calendar'!$I$1160&lt;=VAL_DATE)+(COUNTIF('Dvd Calendar'!$E$1167:$AR$1167,'Dvd Calendar'!$I$1160)=0))&gt;0)=0,"",'Dvd Calendar'!$I$1160*1000000000+ISNUMBER('Dvd Calendar'!$I$1163)*100000000+('Dvd Calendar'!$I$1165=SPECIAL_LBL)*10000000+(N('Dvd Calendar'!$I$1159)&gt;0)*(N('Dvd Calendar'!$I$1159)&lt;=VAL_SERIAL)*1000000+5*1000+5))</f>
        <v/>
      </c>
      <c r="EJ120" s="39">
        <f>IF(N('Dvd Calendar'!$J$1160)=0,"",IF(('Dvd Calendar'!$J$1160&gt;=GRID_FROM)*('Dvd Calendar'!$J$1160&lt;=GRID_TO)*((('Dvd Calendar'!$J$1160&lt;=VAL_DATE)+(COUNTIF('Dvd Calendar'!$E$1167:$AR$1167,'Dvd Calendar'!$J$1160)=0))&gt;0)=0,"",'Dvd Calendar'!$J$1160*1000000000+ISNUMBER('Dvd Calendar'!$J$1163)*100000000+('Dvd Calendar'!$J$1165=SPECIAL_LBL)*10000000+(N('Dvd Calendar'!$J$1159)&gt;0)*(N('Dvd Calendar'!$J$1159)&lt;=VAL_SERIAL)*1000000+5*1000+6))</f>
        <v/>
      </c>
      <c r="EK120" s="39">
        <f>IF(N('Dvd Calendar'!$K$1160)=0,"",IF(('Dvd Calendar'!$K$1160&gt;=GRID_FROM)*('Dvd Calendar'!$K$1160&lt;=GRID_TO)*((('Dvd Calendar'!$K$1160&lt;=VAL_DATE)+(COUNTIF('Dvd Calendar'!$E$1167:$AR$1167,'Dvd Calendar'!$K$1160)=0))&gt;0)=0,"",'Dvd Calendar'!$K$1160*1000000000+ISNUMBER('Dvd Calendar'!$K$1163)*100000000+('Dvd Calendar'!$K$1165=SPECIAL_LBL)*10000000+(N('Dvd Calendar'!$K$1159)&gt;0)*(N('Dvd Calendar'!$K$1159)&lt;=VAL_SERIAL)*1000000+5*1000+7))</f>
        <v/>
      </c>
      <c r="EL120" s="39">
        <f>IF(N('Dvd Calendar'!$L$1160)=0,"",IF(('Dvd Calendar'!$L$1160&gt;=GRID_FROM)*('Dvd Calendar'!$L$1160&lt;=GRID_TO)*((('Dvd Calendar'!$L$1160&lt;=VAL_DATE)+(COUNTIF('Dvd Calendar'!$E$1167:$AR$1167,'Dvd Calendar'!$L$1160)=0))&gt;0)=0,"",'Dvd Calendar'!$L$1160*1000000000+ISNUMBER('Dvd Calendar'!$L$1163)*100000000+('Dvd Calendar'!$L$1165=SPECIAL_LBL)*10000000+(N('Dvd Calendar'!$L$1159)&gt;0)*(N('Dvd Calendar'!$L$1159)&lt;=VAL_SERIAL)*1000000+5*1000+8))</f>
        <v/>
      </c>
      <c r="EM120" s="39">
        <f>IF(N('Dvd Calendar'!$M$1160)=0,"",IF(('Dvd Calendar'!$M$1160&gt;=GRID_FROM)*('Dvd Calendar'!$M$1160&lt;=GRID_TO)*((('Dvd Calendar'!$M$1160&lt;=VAL_DATE)+(COUNTIF('Dvd Calendar'!$E$1167:$AR$1167,'Dvd Calendar'!$M$1160)=0))&gt;0)=0,"",'Dvd Calendar'!$M$1160*1000000000+ISNUMBER('Dvd Calendar'!$M$1163)*100000000+('Dvd Calendar'!$M$1165=SPECIAL_LBL)*10000000+(N('Dvd Calendar'!$M$1159)&gt;0)*(N('Dvd Calendar'!$M$1159)&lt;=VAL_SERIAL)*1000000+5*1000+9))</f>
        <v/>
      </c>
      <c r="EN120" s="39">
        <f>IF(N('Dvd Calendar'!$N$1160)=0,"",IF(('Dvd Calendar'!$N$1160&gt;=GRID_FROM)*('Dvd Calendar'!$N$1160&lt;=GRID_TO)*((('Dvd Calendar'!$N$1160&lt;=VAL_DATE)+(COUNTIF('Dvd Calendar'!$E$1167:$AR$1167,'Dvd Calendar'!$N$1160)=0))&gt;0)=0,"",'Dvd Calendar'!$N$1160*1000000000+ISNUMBER('Dvd Calendar'!$N$1163)*100000000+('Dvd Calendar'!$N$1165=SPECIAL_LBL)*10000000+(N('Dvd Calendar'!$N$1159)&gt;0)*(N('Dvd Calendar'!$N$1159)&lt;=VAL_SERIAL)*1000000+5*1000+10))</f>
        <v/>
      </c>
      <c r="EO120" s="39">
        <f>IF(N('Dvd Calendar'!$O$1160)=0,"",IF(('Dvd Calendar'!$O$1160&gt;=GRID_FROM)*('Dvd Calendar'!$O$1160&lt;=GRID_TO)*((('Dvd Calendar'!$O$1160&lt;=VAL_DATE)+(COUNTIF('Dvd Calendar'!$E$1167:$AR$1167,'Dvd Calendar'!$O$1160)=0))&gt;0)=0,"",'Dvd Calendar'!$O$1160*1000000000+ISNUMBER('Dvd Calendar'!$O$1163)*100000000+('Dvd Calendar'!$O$1165=SPECIAL_LBL)*10000000+(N('Dvd Calendar'!$O$1159)&gt;0)*(N('Dvd Calendar'!$O$1159)&lt;=VAL_SERIAL)*1000000+5*1000+11))</f>
        <v/>
      </c>
      <c r="EP120" s="39">
        <f>IF(N('Dvd Calendar'!$P$1160)=0,"",IF(('Dvd Calendar'!$P$1160&gt;=GRID_FROM)*('Dvd Calendar'!$P$1160&lt;=GRID_TO)*((('Dvd Calendar'!$P$1160&lt;=VAL_DATE)+(COUNTIF('Dvd Calendar'!$E$1167:$AR$1167,'Dvd Calendar'!$P$1160)=0))&gt;0)=0,"",'Dvd Calendar'!$P$1160*1000000000+ISNUMBER('Dvd Calendar'!$P$1163)*100000000+('Dvd Calendar'!$P$1165=SPECIAL_LBL)*10000000+(N('Dvd Calendar'!$P$1159)&gt;0)*(N('Dvd Calendar'!$P$1159)&lt;=VAL_SERIAL)*1000000+5*1000+12))</f>
        <v/>
      </c>
      <c r="EQ120" s="39">
        <f>IF(N('Dvd Calendar'!$Q$1160)=0,"",IF(('Dvd Calendar'!$Q$1160&gt;=GRID_FROM)*('Dvd Calendar'!$Q$1160&lt;=GRID_TO)*((('Dvd Calendar'!$Q$1160&lt;=VAL_DATE)+(COUNTIF('Dvd Calendar'!$E$1167:$AR$1167,'Dvd Calendar'!$Q$1160)=0))&gt;0)=0,"",'Dvd Calendar'!$Q$1160*1000000000+ISNUMBER('Dvd Calendar'!$Q$1163)*100000000+('Dvd Calendar'!$Q$1165=SPECIAL_LBL)*10000000+(N('Dvd Calendar'!$Q$1159)&gt;0)*(N('Dvd Calendar'!$Q$1159)&lt;=VAL_SERIAL)*1000000+5*1000+13))</f>
        <v/>
      </c>
      <c r="ER120" s="39">
        <f>IF(N('Dvd Calendar'!$R$1160)=0,"",IF(('Dvd Calendar'!$R$1160&gt;=GRID_FROM)*('Dvd Calendar'!$R$1160&lt;=GRID_TO)*((('Dvd Calendar'!$R$1160&lt;=VAL_DATE)+(COUNTIF('Dvd Calendar'!$E$1167:$AR$1167,'Dvd Calendar'!$R$1160)=0))&gt;0)=0,"",'Dvd Calendar'!$R$1160*1000000000+ISNUMBER('Dvd Calendar'!$R$1163)*100000000+('Dvd Calendar'!$R$1165=SPECIAL_LBL)*10000000+(N('Dvd Calendar'!$R$1159)&gt;0)*(N('Dvd Calendar'!$R$1159)&lt;=VAL_SERIAL)*1000000+5*1000+14))</f>
        <v/>
      </c>
      <c r="ES120" s="39">
        <f>IF(N('Dvd Calendar'!$S$1160)=0,"",IF(('Dvd Calendar'!$S$1160&gt;=GRID_FROM)*('Dvd Calendar'!$S$1160&lt;=GRID_TO)*((('Dvd Calendar'!$S$1160&lt;=VAL_DATE)+(COUNTIF('Dvd Calendar'!$E$1167:$AR$1167,'Dvd Calendar'!$S$1160)=0))&gt;0)=0,"",'Dvd Calendar'!$S$1160*1000000000+ISNUMBER('Dvd Calendar'!$S$1163)*100000000+('Dvd Calendar'!$S$1165=SPECIAL_LBL)*10000000+(N('Dvd Calendar'!$S$1159)&gt;0)*(N('Dvd Calendar'!$S$1159)&lt;=VAL_SERIAL)*1000000+5*1000+15))</f>
        <v/>
      </c>
      <c r="ET120" s="39">
        <f>IF(N('Dvd Calendar'!$T$1160)=0,"",IF(('Dvd Calendar'!$T$1160&gt;=GRID_FROM)*('Dvd Calendar'!$T$1160&lt;=GRID_TO)*((('Dvd Calendar'!$T$1160&lt;=VAL_DATE)+(COUNTIF('Dvd Calendar'!$E$1167:$AR$1167,'Dvd Calendar'!$T$1160)=0))&gt;0)=0,"",'Dvd Calendar'!$T$1160*1000000000+ISNUMBER('Dvd Calendar'!$T$1163)*100000000+('Dvd Calendar'!$T$1165=SPECIAL_LBL)*10000000+(N('Dvd Calendar'!$T$1159)&gt;0)*(N('Dvd Calendar'!$T$1159)&lt;=VAL_SERIAL)*1000000+5*1000+16))</f>
        <v/>
      </c>
      <c r="EU120" s="39">
        <f>IF(N('Dvd Calendar'!$U$1160)=0,"",IF(('Dvd Calendar'!$U$1160&gt;=GRID_FROM)*('Dvd Calendar'!$U$1160&lt;=GRID_TO)*((('Dvd Calendar'!$U$1160&lt;=VAL_DATE)+(COUNTIF('Dvd Calendar'!$E$1167:$AR$1167,'Dvd Calendar'!$U$1160)=0))&gt;0)=0,"",'Dvd Calendar'!$U$1160*1000000000+ISNUMBER('Dvd Calendar'!$U$1163)*100000000+('Dvd Calendar'!$U$1165=SPECIAL_LBL)*10000000+(N('Dvd Calendar'!$U$1159)&gt;0)*(N('Dvd Calendar'!$U$1159)&lt;=VAL_SERIAL)*1000000+5*1000+17))</f>
        <v/>
      </c>
      <c r="EV120" s="39">
        <f>IF(N('Dvd Calendar'!$V$1160)=0,"",IF(('Dvd Calendar'!$V$1160&gt;=GRID_FROM)*('Dvd Calendar'!$V$1160&lt;=GRID_TO)*((('Dvd Calendar'!$V$1160&lt;=VAL_DATE)+(COUNTIF('Dvd Calendar'!$E$1167:$AR$1167,'Dvd Calendar'!$V$1160)=0))&gt;0)=0,"",'Dvd Calendar'!$V$1160*1000000000+ISNUMBER('Dvd Calendar'!$V$1163)*100000000+('Dvd Calendar'!$V$1165=SPECIAL_LBL)*10000000+(N('Dvd Calendar'!$V$1159)&gt;0)*(N('Dvd Calendar'!$V$1159)&lt;=VAL_SERIAL)*1000000+5*1000+18))</f>
        <v/>
      </c>
      <c r="EW120" s="39">
        <f>IF(N('Dvd Calendar'!$W$1160)=0,"",IF(('Dvd Calendar'!$W$1160&gt;=GRID_FROM)*('Dvd Calendar'!$W$1160&lt;=GRID_TO)*((('Dvd Calendar'!$W$1160&lt;=VAL_DATE)+(COUNTIF('Dvd Calendar'!$E$1167:$AR$1167,'Dvd Calendar'!$W$1160)=0))&gt;0)=0,"",'Dvd Calendar'!$W$1160*1000000000+ISNUMBER('Dvd Calendar'!$W$1163)*100000000+('Dvd Calendar'!$W$1165=SPECIAL_LBL)*10000000+(N('Dvd Calendar'!$W$1159)&gt;0)*(N('Dvd Calendar'!$W$1159)&lt;=VAL_SERIAL)*1000000+5*1000+19))</f>
        <v/>
      </c>
      <c r="EX120" s="39">
        <f>IF(N('Dvd Calendar'!$X$1160)=0,"",IF(('Dvd Calendar'!$X$1160&gt;=GRID_FROM)*('Dvd Calendar'!$X$1160&lt;=GRID_TO)*((('Dvd Calendar'!$X$1160&lt;=VAL_DATE)+(COUNTIF('Dvd Calendar'!$E$1167:$AR$1167,'Dvd Calendar'!$X$1160)=0))&gt;0)=0,"",'Dvd Calendar'!$X$1160*1000000000+ISNUMBER('Dvd Calendar'!$X$1163)*100000000+('Dvd Calendar'!$X$1165=SPECIAL_LBL)*10000000+(N('Dvd Calendar'!$X$1159)&gt;0)*(N('Dvd Calendar'!$X$1159)&lt;=VAL_SERIAL)*1000000+5*1000+20))</f>
        <v/>
      </c>
      <c r="EY120" s="39">
        <f>IF(N('Dvd Calendar'!$Y$1160)=0,"",IF(('Dvd Calendar'!$Y$1160&gt;=GRID_FROM)*('Dvd Calendar'!$Y$1160&lt;=GRID_TO)*((('Dvd Calendar'!$Y$1160&lt;=VAL_DATE)+(COUNTIF('Dvd Calendar'!$E$1167:$AR$1167,'Dvd Calendar'!$Y$1160)=0))&gt;0)=0,"",'Dvd Calendar'!$Y$1160*1000000000+ISNUMBER('Dvd Calendar'!$Y$1163)*100000000+('Dvd Calendar'!$Y$1165=SPECIAL_LBL)*10000000+(N('Dvd Calendar'!$Y$1159)&gt;0)*(N('Dvd Calendar'!$Y$1159)&lt;=VAL_SERIAL)*1000000+5*1000+21))</f>
        <v/>
      </c>
      <c r="EZ120" s="39">
        <f>IF(N('Dvd Calendar'!$Z$1160)=0,"",IF(('Dvd Calendar'!$Z$1160&gt;=GRID_FROM)*('Dvd Calendar'!$Z$1160&lt;=GRID_TO)*((('Dvd Calendar'!$Z$1160&lt;=VAL_DATE)+(COUNTIF('Dvd Calendar'!$E$1167:$AR$1167,'Dvd Calendar'!$Z$1160)=0))&gt;0)=0,"",'Dvd Calendar'!$Z$1160*1000000000+ISNUMBER('Dvd Calendar'!$Z$1163)*100000000+('Dvd Calendar'!$Z$1165=SPECIAL_LBL)*10000000+(N('Dvd Calendar'!$Z$1159)&gt;0)*(N('Dvd Calendar'!$Z$1159)&lt;=VAL_SERIAL)*1000000+5*1000+22))</f>
        <v/>
      </c>
      <c r="FA120" s="39">
        <f>IF(N('Dvd Calendar'!$AA$1160)=0,"",IF(('Dvd Calendar'!$AA$1160&gt;=GRID_FROM)*('Dvd Calendar'!$AA$1160&lt;=GRID_TO)*((('Dvd Calendar'!$AA$1160&lt;=VAL_DATE)+(COUNTIF('Dvd Calendar'!$E$1167:$AR$1167,'Dvd Calendar'!$AA$1160)=0))&gt;0)=0,"",'Dvd Calendar'!$AA$1160*1000000000+ISNUMBER('Dvd Calendar'!$AA$1163)*100000000+('Dvd Calendar'!$AA$1165=SPECIAL_LBL)*10000000+(N('Dvd Calendar'!$AA$1159)&gt;0)*(N('Dvd Calendar'!$AA$1159)&lt;=VAL_SERIAL)*1000000+5*1000+23))</f>
        <v/>
      </c>
      <c r="FB120" s="39">
        <f>IF(N('Dvd Calendar'!$AB$1160)=0,"",IF(('Dvd Calendar'!$AB$1160&gt;=GRID_FROM)*('Dvd Calendar'!$AB$1160&lt;=GRID_TO)*((('Dvd Calendar'!$AB$1160&lt;=VAL_DATE)+(COUNTIF('Dvd Calendar'!$E$1167:$AR$1167,'Dvd Calendar'!$AB$1160)=0))&gt;0)=0,"",'Dvd Calendar'!$AB$1160*1000000000+ISNUMBER('Dvd Calendar'!$AB$1163)*100000000+('Dvd Calendar'!$AB$1165=SPECIAL_LBL)*10000000+(N('Dvd Calendar'!$AB$1159)&gt;0)*(N('Dvd Calendar'!$AB$1159)&lt;=VAL_SERIAL)*1000000+5*1000+24))</f>
        <v/>
      </c>
      <c r="FC120" s="39">
        <f>IF(N('Dvd Calendar'!$AC$1160)=0,"",IF(('Dvd Calendar'!$AC$1160&gt;=GRID_FROM)*('Dvd Calendar'!$AC$1160&lt;=GRID_TO)*((('Dvd Calendar'!$AC$1160&lt;=VAL_DATE)+(COUNTIF('Dvd Calendar'!$E$1167:$AR$1167,'Dvd Calendar'!$AC$1160)=0))&gt;0)=0,"",'Dvd Calendar'!$AC$1160*1000000000+ISNUMBER('Dvd Calendar'!$AC$1163)*100000000+('Dvd Calendar'!$AC$1165=SPECIAL_LBL)*10000000+(N('Dvd Calendar'!$AC$1159)&gt;0)*(N('Dvd Calendar'!$AC$1159)&lt;=VAL_SERIAL)*1000000+5*1000+25))</f>
        <v/>
      </c>
      <c r="FD120" s="39">
        <f>IF(N('Dvd Calendar'!$AD$1160)=0,"",IF(('Dvd Calendar'!$AD$1160&gt;=GRID_FROM)*('Dvd Calendar'!$AD$1160&lt;=GRID_TO)*((('Dvd Calendar'!$AD$1160&lt;=VAL_DATE)+(COUNTIF('Dvd Calendar'!$E$1167:$AR$1167,'Dvd Calendar'!$AD$1160)=0))&gt;0)=0,"",'Dvd Calendar'!$AD$1160*1000000000+ISNUMBER('Dvd Calendar'!$AD$1163)*100000000+('Dvd Calendar'!$AD$1165=SPECIAL_LBL)*10000000+(N('Dvd Calendar'!$AD$1159)&gt;0)*(N('Dvd Calendar'!$AD$1159)&lt;=VAL_SERIAL)*1000000+5*1000+26))</f>
        <v/>
      </c>
      <c r="FE120" s="39">
        <f>IF(N('Dvd Calendar'!$AE$1160)=0,"",IF(('Dvd Calendar'!$AE$1160&gt;=GRID_FROM)*('Dvd Calendar'!$AE$1160&lt;=GRID_TO)*((('Dvd Calendar'!$AE$1160&lt;=VAL_DATE)+(COUNTIF('Dvd Calendar'!$E$1167:$AR$1167,'Dvd Calendar'!$AE$1160)=0))&gt;0)=0,"",'Dvd Calendar'!$AE$1160*1000000000+ISNUMBER('Dvd Calendar'!$AE$1163)*100000000+('Dvd Calendar'!$AE$1165=SPECIAL_LBL)*10000000+(N('Dvd Calendar'!$AE$1159)&gt;0)*(N('Dvd Calendar'!$AE$1159)&lt;=VAL_SERIAL)*1000000+5*1000+27))</f>
        <v/>
      </c>
      <c r="FF120" s="39">
        <f>IF(N('Dvd Calendar'!$AF$1160)=0,"",IF(('Dvd Calendar'!$AF$1160&gt;=GRID_FROM)*('Dvd Calendar'!$AF$1160&lt;=GRID_TO)*((('Dvd Calendar'!$AF$1160&lt;=VAL_DATE)+(COUNTIF('Dvd Calendar'!$E$1167:$AR$1167,'Dvd Calendar'!$AF$1160)=0))&gt;0)=0,"",'Dvd Calendar'!$AF$1160*1000000000+ISNUMBER('Dvd Calendar'!$AF$1163)*100000000+('Dvd Calendar'!$AF$1165=SPECIAL_LBL)*10000000+(N('Dvd Calendar'!$AF$1159)&gt;0)*(N('Dvd Calendar'!$AF$1159)&lt;=VAL_SERIAL)*1000000+5*1000+28))</f>
        <v/>
      </c>
      <c r="FG120" s="39">
        <f>IF(N('Dvd Calendar'!$AG$1160)=0,"",IF(('Dvd Calendar'!$AG$1160&gt;=GRID_FROM)*('Dvd Calendar'!$AG$1160&lt;=GRID_TO)*((('Dvd Calendar'!$AG$1160&lt;=VAL_DATE)+(COUNTIF('Dvd Calendar'!$E$1167:$AR$1167,'Dvd Calendar'!$AG$1160)=0))&gt;0)=0,"",'Dvd Calendar'!$AG$1160*1000000000+ISNUMBER('Dvd Calendar'!$AG$1163)*100000000+('Dvd Calendar'!$AG$1165=SPECIAL_LBL)*10000000+(N('Dvd Calendar'!$AG$1159)&gt;0)*(N('Dvd Calendar'!$AG$1159)&lt;=VAL_SERIAL)*1000000+5*1000+29))</f>
        <v/>
      </c>
      <c r="FH120" s="39">
        <f>IF(N('Dvd Calendar'!$AH$1160)=0,"",IF(('Dvd Calendar'!$AH$1160&gt;=GRID_FROM)*('Dvd Calendar'!$AH$1160&lt;=GRID_TO)*((('Dvd Calendar'!$AH$1160&lt;=VAL_DATE)+(COUNTIF('Dvd Calendar'!$E$1167:$AR$1167,'Dvd Calendar'!$AH$1160)=0))&gt;0)=0,"",'Dvd Calendar'!$AH$1160*1000000000+ISNUMBER('Dvd Calendar'!$AH$1163)*100000000+('Dvd Calendar'!$AH$1165=SPECIAL_LBL)*10000000+(N('Dvd Calendar'!$AH$1159)&gt;0)*(N('Dvd Calendar'!$AH$1159)&lt;=VAL_SERIAL)*1000000+5*1000+30))</f>
        <v/>
      </c>
      <c r="FI120" s="39">
        <f>IF(N('Dvd Calendar'!$AI$1160)=0,"",IF(('Dvd Calendar'!$AI$1160&gt;=GRID_FROM)*('Dvd Calendar'!$AI$1160&lt;=GRID_TO)*((('Dvd Calendar'!$AI$1160&lt;=VAL_DATE)+(COUNTIF('Dvd Calendar'!$E$1167:$AR$1167,'Dvd Calendar'!$AI$1160)=0))&gt;0)=0,"",'Dvd Calendar'!$AI$1160*1000000000+ISNUMBER('Dvd Calendar'!$AI$1163)*100000000+('Dvd Calendar'!$AI$1165=SPECIAL_LBL)*10000000+(N('Dvd Calendar'!$AI$1159)&gt;0)*(N('Dvd Calendar'!$AI$1159)&lt;=VAL_SERIAL)*1000000+5*1000+31))</f>
        <v/>
      </c>
      <c r="FJ120" s="39">
        <f>IF(N('Dvd Calendar'!$AJ$1160)=0,"",IF(('Dvd Calendar'!$AJ$1160&gt;=GRID_FROM)*('Dvd Calendar'!$AJ$1160&lt;=GRID_TO)*((('Dvd Calendar'!$AJ$1160&lt;=VAL_DATE)+(COUNTIF('Dvd Calendar'!$E$1167:$AR$1167,'Dvd Calendar'!$AJ$1160)=0))&gt;0)=0,"",'Dvd Calendar'!$AJ$1160*1000000000+ISNUMBER('Dvd Calendar'!$AJ$1163)*100000000+('Dvd Calendar'!$AJ$1165=SPECIAL_LBL)*10000000+(N('Dvd Calendar'!$AJ$1159)&gt;0)*(N('Dvd Calendar'!$AJ$1159)&lt;=VAL_SERIAL)*1000000+5*1000+32))</f>
        <v/>
      </c>
      <c r="FK120" s="39">
        <f>IF(N('Dvd Calendar'!$AK$1160)=0,"",IF(('Dvd Calendar'!$AK$1160&gt;=GRID_FROM)*('Dvd Calendar'!$AK$1160&lt;=GRID_TO)*((('Dvd Calendar'!$AK$1160&lt;=VAL_DATE)+(COUNTIF('Dvd Calendar'!$E$1167:$AR$1167,'Dvd Calendar'!$AK$1160)=0))&gt;0)=0,"",'Dvd Calendar'!$AK$1160*1000000000+ISNUMBER('Dvd Calendar'!$AK$1163)*100000000+('Dvd Calendar'!$AK$1165=SPECIAL_LBL)*10000000+(N('Dvd Calendar'!$AK$1159)&gt;0)*(N('Dvd Calendar'!$AK$1159)&lt;=VAL_SERIAL)*1000000+5*1000+33))</f>
        <v/>
      </c>
      <c r="FL120" s="39">
        <f>IF(N('Dvd Calendar'!$AL$1160)=0,"",IF(('Dvd Calendar'!$AL$1160&gt;=GRID_FROM)*('Dvd Calendar'!$AL$1160&lt;=GRID_TO)*((('Dvd Calendar'!$AL$1160&lt;=VAL_DATE)+(COUNTIF('Dvd Calendar'!$E$1167:$AR$1167,'Dvd Calendar'!$AL$1160)=0))&gt;0)=0,"",'Dvd Calendar'!$AL$1160*1000000000+ISNUMBER('Dvd Calendar'!$AL$1163)*100000000+('Dvd Calendar'!$AL$1165=SPECIAL_LBL)*10000000+(N('Dvd Calendar'!$AL$1159)&gt;0)*(N('Dvd Calendar'!$AL$1159)&lt;=VAL_SERIAL)*1000000+5*1000+34))</f>
        <v/>
      </c>
      <c r="FM120" s="39">
        <f>IF(N('Dvd Calendar'!$AM$1160)=0,"",IF(('Dvd Calendar'!$AM$1160&gt;=GRID_FROM)*('Dvd Calendar'!$AM$1160&lt;=GRID_TO)*((('Dvd Calendar'!$AM$1160&lt;=VAL_DATE)+(COUNTIF('Dvd Calendar'!$E$1167:$AR$1167,'Dvd Calendar'!$AM$1160)=0))&gt;0)=0,"",'Dvd Calendar'!$AM$1160*1000000000+ISNUMBER('Dvd Calendar'!$AM$1163)*100000000+('Dvd Calendar'!$AM$1165=SPECIAL_LBL)*10000000+(N('Dvd Calendar'!$AM$1159)&gt;0)*(N('Dvd Calendar'!$AM$1159)&lt;=VAL_SERIAL)*1000000+5*1000+35))</f>
        <v/>
      </c>
      <c r="FN120" s="39">
        <f>IF(N('Dvd Calendar'!$AN$1160)=0,"",IF(('Dvd Calendar'!$AN$1160&gt;=GRID_FROM)*('Dvd Calendar'!$AN$1160&lt;=GRID_TO)*((('Dvd Calendar'!$AN$1160&lt;=VAL_DATE)+(COUNTIF('Dvd Calendar'!$E$1167:$AR$1167,'Dvd Calendar'!$AN$1160)=0))&gt;0)=0,"",'Dvd Calendar'!$AN$1160*1000000000+ISNUMBER('Dvd Calendar'!$AN$1163)*100000000+('Dvd Calendar'!$AN$1165=SPECIAL_LBL)*10000000+(N('Dvd Calendar'!$AN$1159)&gt;0)*(N('Dvd Calendar'!$AN$1159)&lt;=VAL_SERIAL)*1000000+5*1000+36))</f>
        <v/>
      </c>
      <c r="FO120" s="39">
        <f>IF(N('Dvd Calendar'!$AO$1160)=0,"",IF(('Dvd Calendar'!$AO$1160&gt;=GRID_FROM)*('Dvd Calendar'!$AO$1160&lt;=GRID_TO)*((('Dvd Calendar'!$AO$1160&lt;=VAL_DATE)+(COUNTIF('Dvd Calendar'!$E$1167:$AR$1167,'Dvd Calendar'!$AO$1160)=0))&gt;0)=0,"",'Dvd Calendar'!$AO$1160*1000000000+ISNUMBER('Dvd Calendar'!$AO$1163)*100000000+('Dvd Calendar'!$AO$1165=SPECIAL_LBL)*10000000+(N('Dvd Calendar'!$AO$1159)&gt;0)*(N('Dvd Calendar'!$AO$1159)&lt;=VAL_SERIAL)*1000000+5*1000+37))</f>
        <v/>
      </c>
      <c r="FP120" s="39">
        <f>IF(N('Dvd Calendar'!$AP$1160)=0,"",IF(('Dvd Calendar'!$AP$1160&gt;=GRID_FROM)*('Dvd Calendar'!$AP$1160&lt;=GRID_TO)*((('Dvd Calendar'!$AP$1160&lt;=VAL_DATE)+(COUNTIF('Dvd Calendar'!$E$1167:$AR$1167,'Dvd Calendar'!$AP$1160)=0))&gt;0)=0,"",'Dvd Calendar'!$AP$1160*1000000000+ISNUMBER('Dvd Calendar'!$AP$1163)*100000000+('Dvd Calendar'!$AP$1165=SPECIAL_LBL)*10000000+(N('Dvd Calendar'!$AP$1159)&gt;0)*(N('Dvd Calendar'!$AP$1159)&lt;=VAL_SERIAL)*1000000+5*1000+38))</f>
        <v/>
      </c>
      <c r="FQ120" s="39">
        <f>IF(N('Dvd Calendar'!$AQ$1160)=0,"",IF(('Dvd Calendar'!$AQ$1160&gt;=GRID_FROM)*('Dvd Calendar'!$AQ$1160&lt;=GRID_TO)*((('Dvd Calendar'!$AQ$1160&lt;=VAL_DATE)+(COUNTIF('Dvd Calendar'!$E$1167:$AR$1167,'Dvd Calendar'!$AQ$1160)=0))&gt;0)=0,"",'Dvd Calendar'!$AQ$1160*1000000000+ISNUMBER('Dvd Calendar'!$AQ$1163)*100000000+('Dvd Calendar'!$AQ$1165=SPECIAL_LBL)*10000000+(N('Dvd Calendar'!$AQ$1159)&gt;0)*(N('Dvd Calendar'!$AQ$1159)&lt;=VAL_SERIAL)*1000000+5*1000+39))</f>
        <v/>
      </c>
      <c r="FR120" s="39">
        <f>IF(N('Dvd Calendar'!$AR$1160)=0,"",IF(('Dvd Calendar'!$AR$1160&gt;=GRID_FROM)*('Dvd Calendar'!$AR$1160&lt;=GRID_TO)*((('Dvd Calendar'!$AR$1160&lt;=VAL_DATE)+(COUNTIF('Dvd Calendar'!$E$1167:$AR$1167,'Dvd Calendar'!$AR$1160)=0))&gt;0)=0,"",'Dvd Calendar'!$AR$1160*1000000000+ISNUMBER('Dvd Calendar'!$AR$1163)*100000000+('Dvd Calendar'!$AR$1165=SPECIAL_LBL)*10000000+(N('Dvd Calendar'!$AR$1159)&gt;0)*(N('Dvd Calendar'!$AR$1159)&lt;=VAL_SERIAL)*1000000+5*1000+40))</f>
        <v/>
      </c>
      <c r="FS120" s="39">
        <f>IF(N('Dvd Calendar'!$E$1167)=0,"",IF(('Dvd Calendar'!$E$1167&gt;=GRID_FROM)*('Dvd Calendar'!$E$1167&lt;=GRID_TO)*('Dvd Calendar'!$E$1167&gt;VAL_DATE)=0,"",'Dvd Calendar'!$E$1167*1000000000+ISNUMBER('Dvd Calendar'!$E$1168)*100000000+0*10000000+(N('Dvd Calendar'!$E$1166)&gt;0)*(N('Dvd Calendar'!$E$1166)&lt;=VAL_SERIAL)*1000000+5*1000+41))</f>
        <v/>
      </c>
      <c r="FT120" s="39">
        <f>IF(N('Dvd Calendar'!$F$1167)=0,"",IF(('Dvd Calendar'!$F$1167&gt;=GRID_FROM)*('Dvd Calendar'!$F$1167&lt;=GRID_TO)*('Dvd Calendar'!$F$1167&gt;VAL_DATE)=0,"",'Dvd Calendar'!$F$1167*1000000000+ISNUMBER('Dvd Calendar'!$F$1168)*100000000+0*10000000+(N('Dvd Calendar'!$F$1166)&gt;0)*(N('Dvd Calendar'!$F$1166)&lt;=VAL_SERIAL)*1000000+5*1000+42))</f>
        <v/>
      </c>
      <c r="FU120" s="39">
        <f>IF(N('Dvd Calendar'!$G$1167)=0,"",IF(('Dvd Calendar'!$G$1167&gt;=GRID_FROM)*('Dvd Calendar'!$G$1167&lt;=GRID_TO)*('Dvd Calendar'!$G$1167&gt;VAL_DATE)=0,"",'Dvd Calendar'!$G$1167*1000000000+ISNUMBER('Dvd Calendar'!$G$1168)*100000000+0*10000000+(N('Dvd Calendar'!$G$1166)&gt;0)*(N('Dvd Calendar'!$G$1166)&lt;=VAL_SERIAL)*1000000+5*1000+43))</f>
        <v/>
      </c>
      <c r="FV120" s="39">
        <f>IF(N('Dvd Calendar'!$H$1167)=0,"",IF(('Dvd Calendar'!$H$1167&gt;=GRID_FROM)*('Dvd Calendar'!$H$1167&lt;=GRID_TO)*('Dvd Calendar'!$H$1167&gt;VAL_DATE)=0,"",'Dvd Calendar'!$H$1167*1000000000+ISNUMBER('Dvd Calendar'!$H$1168)*100000000+0*10000000+(N('Dvd Calendar'!$H$1166)&gt;0)*(N('Dvd Calendar'!$H$1166)&lt;=VAL_SERIAL)*1000000+5*1000+44))</f>
        <v/>
      </c>
      <c r="FW120" s="39">
        <f>IF(N('Dvd Calendar'!$I$1167)=0,"",IF(('Dvd Calendar'!$I$1167&gt;=GRID_FROM)*('Dvd Calendar'!$I$1167&lt;=GRID_TO)*('Dvd Calendar'!$I$1167&gt;VAL_DATE)=0,"",'Dvd Calendar'!$I$1167*1000000000+ISNUMBER('Dvd Calendar'!$I$1168)*100000000+0*10000000+(N('Dvd Calendar'!$I$1166)&gt;0)*(N('Dvd Calendar'!$I$1166)&lt;=VAL_SERIAL)*1000000+5*1000+45))</f>
        <v/>
      </c>
      <c r="FX120" s="39">
        <f>IF(N('Dvd Calendar'!$J$1167)=0,"",IF(('Dvd Calendar'!$J$1167&gt;=GRID_FROM)*('Dvd Calendar'!$J$1167&lt;=GRID_TO)*('Dvd Calendar'!$J$1167&gt;VAL_DATE)=0,"",'Dvd Calendar'!$J$1167*1000000000+ISNUMBER('Dvd Calendar'!$J$1168)*100000000+0*10000000+(N('Dvd Calendar'!$J$1166)&gt;0)*(N('Dvd Calendar'!$J$1166)&lt;=VAL_SERIAL)*1000000+5*1000+46))</f>
        <v/>
      </c>
      <c r="FY120" s="39">
        <f>IF(N('Dvd Calendar'!$K$1167)=0,"",IF(('Dvd Calendar'!$K$1167&gt;=GRID_FROM)*('Dvd Calendar'!$K$1167&lt;=GRID_TO)*('Dvd Calendar'!$K$1167&gt;VAL_DATE)=0,"",'Dvd Calendar'!$K$1167*1000000000+ISNUMBER('Dvd Calendar'!$K$1168)*100000000+0*10000000+(N('Dvd Calendar'!$K$1166)&gt;0)*(N('Dvd Calendar'!$K$1166)&lt;=VAL_SERIAL)*1000000+5*1000+47))</f>
        <v/>
      </c>
      <c r="FZ120" s="39">
        <f>IF(N('Dvd Calendar'!$L$1167)=0,"",IF(('Dvd Calendar'!$L$1167&gt;=GRID_FROM)*('Dvd Calendar'!$L$1167&lt;=GRID_TO)*('Dvd Calendar'!$L$1167&gt;VAL_DATE)=0,"",'Dvd Calendar'!$L$1167*1000000000+ISNUMBER('Dvd Calendar'!$L$1168)*100000000+0*10000000+(N('Dvd Calendar'!$L$1166)&gt;0)*(N('Dvd Calendar'!$L$1166)&lt;=VAL_SERIAL)*1000000+5*1000+48))</f>
        <v/>
      </c>
      <c r="GA120" s="39">
        <f>IF(N('Dvd Calendar'!$M$1167)=0,"",IF(('Dvd Calendar'!$M$1167&gt;=GRID_FROM)*('Dvd Calendar'!$M$1167&lt;=GRID_TO)*('Dvd Calendar'!$M$1167&gt;VAL_DATE)=0,"",'Dvd Calendar'!$M$1167*1000000000+ISNUMBER('Dvd Calendar'!$M$1168)*100000000+0*10000000+(N('Dvd Calendar'!$M$1166)&gt;0)*(N('Dvd Calendar'!$M$1166)&lt;=VAL_SERIAL)*1000000+5*1000+49))</f>
        <v/>
      </c>
      <c r="GB120" s="39">
        <f>IF(N('Dvd Calendar'!$N$1167)=0,"",IF(('Dvd Calendar'!$N$1167&gt;=GRID_FROM)*('Dvd Calendar'!$N$1167&lt;=GRID_TO)*('Dvd Calendar'!$N$1167&gt;VAL_DATE)=0,"",'Dvd Calendar'!$N$1167*1000000000+ISNUMBER('Dvd Calendar'!$N$1168)*100000000+0*10000000+(N('Dvd Calendar'!$N$1166)&gt;0)*(N('Dvd Calendar'!$N$1166)&lt;=VAL_SERIAL)*1000000+5*1000+50))</f>
        <v/>
      </c>
      <c r="GC120" s="39">
        <f>IF(N('Dvd Calendar'!$O$1167)=0,"",IF(('Dvd Calendar'!$O$1167&gt;=GRID_FROM)*('Dvd Calendar'!$O$1167&lt;=GRID_TO)*('Dvd Calendar'!$O$1167&gt;VAL_DATE)=0,"",'Dvd Calendar'!$O$1167*1000000000+ISNUMBER('Dvd Calendar'!$O$1168)*100000000+0*10000000+(N('Dvd Calendar'!$O$1166)&gt;0)*(N('Dvd Calendar'!$O$1166)&lt;=VAL_SERIAL)*1000000+5*1000+51))</f>
        <v/>
      </c>
      <c r="GD120" s="39">
        <f>IF(N('Dvd Calendar'!$P$1167)=0,"",IF(('Dvd Calendar'!$P$1167&gt;=GRID_FROM)*('Dvd Calendar'!$P$1167&lt;=GRID_TO)*('Dvd Calendar'!$P$1167&gt;VAL_DATE)=0,"",'Dvd Calendar'!$P$1167*1000000000+ISNUMBER('Dvd Calendar'!$P$1168)*100000000+0*10000000+(N('Dvd Calendar'!$P$1166)&gt;0)*(N('Dvd Calendar'!$P$1166)&lt;=VAL_SERIAL)*1000000+5*1000+52))</f>
        <v/>
      </c>
      <c r="GE120" s="39">
        <f>IF(N('Dvd Calendar'!$Q$1167)=0,"",IF(('Dvd Calendar'!$Q$1167&gt;=GRID_FROM)*('Dvd Calendar'!$Q$1167&lt;=GRID_TO)*('Dvd Calendar'!$Q$1167&gt;VAL_DATE)=0,"",'Dvd Calendar'!$Q$1167*1000000000+ISNUMBER('Dvd Calendar'!$Q$1168)*100000000+0*10000000+(N('Dvd Calendar'!$Q$1166)&gt;0)*(N('Dvd Calendar'!$Q$1166)&lt;=VAL_SERIAL)*1000000+5*1000+53))</f>
        <v/>
      </c>
      <c r="GF120" s="39">
        <f>IF(N('Dvd Calendar'!$R$1167)=0,"",IF(('Dvd Calendar'!$R$1167&gt;=GRID_FROM)*('Dvd Calendar'!$R$1167&lt;=GRID_TO)*('Dvd Calendar'!$R$1167&gt;VAL_DATE)=0,"",'Dvd Calendar'!$R$1167*1000000000+ISNUMBER('Dvd Calendar'!$R$1168)*100000000+0*10000000+(N('Dvd Calendar'!$R$1166)&gt;0)*(N('Dvd Calendar'!$R$1166)&lt;=VAL_SERIAL)*1000000+5*1000+54))</f>
        <v/>
      </c>
      <c r="GG120" s="39">
        <f>IF(N('Dvd Calendar'!$S$1167)=0,"",IF(('Dvd Calendar'!$S$1167&gt;=GRID_FROM)*('Dvd Calendar'!$S$1167&lt;=GRID_TO)*('Dvd Calendar'!$S$1167&gt;VAL_DATE)=0,"",'Dvd Calendar'!$S$1167*1000000000+ISNUMBER('Dvd Calendar'!$S$1168)*100000000+0*10000000+(N('Dvd Calendar'!$S$1166)&gt;0)*(N('Dvd Calendar'!$S$1166)&lt;=VAL_SERIAL)*1000000+5*1000+55))</f>
        <v/>
      </c>
      <c r="GH120" s="39">
        <f>IF(N('Dvd Calendar'!$T$1167)=0,"",IF(('Dvd Calendar'!$T$1167&gt;=GRID_FROM)*('Dvd Calendar'!$T$1167&lt;=GRID_TO)*('Dvd Calendar'!$T$1167&gt;VAL_DATE)=0,"",'Dvd Calendar'!$T$1167*1000000000+ISNUMBER('Dvd Calendar'!$T$1168)*100000000+0*10000000+(N('Dvd Calendar'!$T$1166)&gt;0)*(N('Dvd Calendar'!$T$1166)&lt;=VAL_SERIAL)*1000000+5*1000+56))</f>
        <v/>
      </c>
      <c r="GI120" s="39">
        <f>IF(N('Dvd Calendar'!$U$1167)=0,"",IF(('Dvd Calendar'!$U$1167&gt;=GRID_FROM)*('Dvd Calendar'!$U$1167&lt;=GRID_TO)*('Dvd Calendar'!$U$1167&gt;VAL_DATE)=0,"",'Dvd Calendar'!$U$1167*1000000000+ISNUMBER('Dvd Calendar'!$U$1168)*100000000+0*10000000+(N('Dvd Calendar'!$U$1166)&gt;0)*(N('Dvd Calendar'!$U$1166)&lt;=VAL_SERIAL)*1000000+5*1000+57))</f>
        <v/>
      </c>
      <c r="GJ120" s="39">
        <f>IF(N('Dvd Calendar'!$V$1167)=0,"",IF(('Dvd Calendar'!$V$1167&gt;=GRID_FROM)*('Dvd Calendar'!$V$1167&lt;=GRID_TO)*('Dvd Calendar'!$V$1167&gt;VAL_DATE)=0,"",'Dvd Calendar'!$V$1167*1000000000+ISNUMBER('Dvd Calendar'!$V$1168)*100000000+0*10000000+(N('Dvd Calendar'!$V$1166)&gt;0)*(N('Dvd Calendar'!$V$1166)&lt;=VAL_SERIAL)*1000000+5*1000+58))</f>
        <v/>
      </c>
      <c r="GK120" s="39">
        <f>IF(N('Dvd Calendar'!$W$1167)=0,"",IF(('Dvd Calendar'!$W$1167&gt;=GRID_FROM)*('Dvd Calendar'!$W$1167&lt;=GRID_TO)*('Dvd Calendar'!$W$1167&gt;VAL_DATE)=0,"",'Dvd Calendar'!$W$1167*1000000000+ISNUMBER('Dvd Calendar'!$W$1168)*100000000+0*10000000+(N('Dvd Calendar'!$W$1166)&gt;0)*(N('Dvd Calendar'!$W$1166)&lt;=VAL_SERIAL)*1000000+5*1000+59))</f>
        <v/>
      </c>
      <c r="GL120" s="39">
        <f>IF(N('Dvd Calendar'!$X$1167)=0,"",IF(('Dvd Calendar'!$X$1167&gt;=GRID_FROM)*('Dvd Calendar'!$X$1167&lt;=GRID_TO)*('Dvd Calendar'!$X$1167&gt;VAL_DATE)=0,"",'Dvd Calendar'!$X$1167*1000000000+ISNUMBER('Dvd Calendar'!$X$1168)*100000000+0*10000000+(N('Dvd Calendar'!$X$1166)&gt;0)*(N('Dvd Calendar'!$X$1166)&lt;=VAL_SERIAL)*1000000+5*1000+60))</f>
        <v/>
      </c>
      <c r="GM120" s="39">
        <f>IF(N('Dvd Calendar'!$Y$1167)=0,"",IF(('Dvd Calendar'!$Y$1167&gt;=GRID_FROM)*('Dvd Calendar'!$Y$1167&lt;=GRID_TO)*('Dvd Calendar'!$Y$1167&gt;VAL_DATE)=0,"",'Dvd Calendar'!$Y$1167*1000000000+ISNUMBER('Dvd Calendar'!$Y$1168)*100000000+0*10000000+(N('Dvd Calendar'!$Y$1166)&gt;0)*(N('Dvd Calendar'!$Y$1166)&lt;=VAL_SERIAL)*1000000+5*1000+61))</f>
        <v/>
      </c>
      <c r="GN120" s="39">
        <f>IF(N('Dvd Calendar'!$Z$1167)=0,"",IF(('Dvd Calendar'!$Z$1167&gt;=GRID_FROM)*('Dvd Calendar'!$Z$1167&lt;=GRID_TO)*('Dvd Calendar'!$Z$1167&gt;VAL_DATE)=0,"",'Dvd Calendar'!$Z$1167*1000000000+ISNUMBER('Dvd Calendar'!$Z$1168)*100000000+0*10000000+(N('Dvd Calendar'!$Z$1166)&gt;0)*(N('Dvd Calendar'!$Z$1166)&lt;=VAL_SERIAL)*1000000+5*1000+62))</f>
        <v/>
      </c>
      <c r="GO120" s="39">
        <f>IF(N('Dvd Calendar'!$AA$1167)=0,"",IF(('Dvd Calendar'!$AA$1167&gt;=GRID_FROM)*('Dvd Calendar'!$AA$1167&lt;=GRID_TO)*('Dvd Calendar'!$AA$1167&gt;VAL_DATE)=0,"",'Dvd Calendar'!$AA$1167*1000000000+ISNUMBER('Dvd Calendar'!$AA$1168)*100000000+0*10000000+(N('Dvd Calendar'!$AA$1166)&gt;0)*(N('Dvd Calendar'!$AA$1166)&lt;=VAL_SERIAL)*1000000+5*1000+63))</f>
        <v/>
      </c>
      <c r="GP120" s="39">
        <f>IF(N('Dvd Calendar'!$AB$1167)=0,"",IF(('Dvd Calendar'!$AB$1167&gt;=GRID_FROM)*('Dvd Calendar'!$AB$1167&lt;=GRID_TO)*('Dvd Calendar'!$AB$1167&gt;VAL_DATE)=0,"",'Dvd Calendar'!$AB$1167*1000000000+ISNUMBER('Dvd Calendar'!$AB$1168)*100000000+0*10000000+(N('Dvd Calendar'!$AB$1166)&gt;0)*(N('Dvd Calendar'!$AB$1166)&lt;=VAL_SERIAL)*1000000+5*1000+64))</f>
        <v/>
      </c>
      <c r="GQ120" s="39">
        <f>IF(N('Dvd Calendar'!$AC$1167)=0,"",IF(('Dvd Calendar'!$AC$1167&gt;=GRID_FROM)*('Dvd Calendar'!$AC$1167&lt;=GRID_TO)*('Dvd Calendar'!$AC$1167&gt;VAL_DATE)=0,"",'Dvd Calendar'!$AC$1167*1000000000+ISNUMBER('Dvd Calendar'!$AC$1168)*100000000+0*10000000+(N('Dvd Calendar'!$AC$1166)&gt;0)*(N('Dvd Calendar'!$AC$1166)&lt;=VAL_SERIAL)*1000000+5*1000+65))</f>
        <v/>
      </c>
    </row>
    <row r="121">
      <c r="B121" s="2">
        <f>IF(HSTECH!$C$12="","",HSTECH!$C$12)</f>
        <v/>
      </c>
      <c r="C121" s="110">
        <f>IF(EE121="","",IF(ISNUMBER('Dvd Calendar'!$E$1174)=FALSE,"",IF((('Dvd Calendar'!$E$1176=TYPE1)*(TYPE1&lt;&gt;"")+('Dvd Calendar'!$E$1176=TYPE2)*(TYPE2&lt;&gt;"")+('Dvd Calendar'!$E$1176=TYPE3)*(TYPE3&lt;&gt;"")+('Dvd Calendar'!$E$1176=TYPE4)*(TYPE4&lt;&gt;"")+('Dvd Calendar'!$E$1176=SPECIAL_LBL)*(INC_SPECIALS="Y"))=0,"",'Dvd Calendar'!$E$1174)))</f>
        <v/>
      </c>
      <c r="D121" s="110">
        <f>IF(EF121="","",IF(ISNUMBER('Dvd Calendar'!$F$1174)=FALSE,"",IF((('Dvd Calendar'!$F$1176=TYPE1)*(TYPE1&lt;&gt;"")+('Dvd Calendar'!$F$1176=TYPE2)*(TYPE2&lt;&gt;"")+('Dvd Calendar'!$F$1176=TYPE3)*(TYPE3&lt;&gt;"")+('Dvd Calendar'!$F$1176=TYPE4)*(TYPE4&lt;&gt;"")+('Dvd Calendar'!$F$1176=SPECIAL_LBL)*(INC_SPECIALS="Y"))=0,"",'Dvd Calendar'!$F$1174)))</f>
        <v/>
      </c>
      <c r="E121" s="110">
        <f>IF(EG121="","",IF(ISNUMBER('Dvd Calendar'!$G$1174)=FALSE,"",IF((('Dvd Calendar'!$G$1176=TYPE1)*(TYPE1&lt;&gt;"")+('Dvd Calendar'!$G$1176=TYPE2)*(TYPE2&lt;&gt;"")+('Dvd Calendar'!$G$1176=TYPE3)*(TYPE3&lt;&gt;"")+('Dvd Calendar'!$G$1176=TYPE4)*(TYPE4&lt;&gt;"")+('Dvd Calendar'!$G$1176=SPECIAL_LBL)*(INC_SPECIALS="Y"))=0,"",'Dvd Calendar'!$G$1174)))</f>
        <v/>
      </c>
      <c r="F121" s="110">
        <f>IF(EH121="","",IF(ISNUMBER('Dvd Calendar'!$H$1174)=FALSE,"",IF((('Dvd Calendar'!$H$1176=TYPE1)*(TYPE1&lt;&gt;"")+('Dvd Calendar'!$H$1176=TYPE2)*(TYPE2&lt;&gt;"")+('Dvd Calendar'!$H$1176=TYPE3)*(TYPE3&lt;&gt;"")+('Dvd Calendar'!$H$1176=TYPE4)*(TYPE4&lt;&gt;"")+('Dvd Calendar'!$H$1176=SPECIAL_LBL)*(INC_SPECIALS="Y"))=0,"",'Dvd Calendar'!$H$1174)))</f>
        <v/>
      </c>
      <c r="G121" s="110">
        <f>IF(EI121="","",IF(ISNUMBER('Dvd Calendar'!$I$1174)=FALSE,"",IF((('Dvd Calendar'!$I$1176=TYPE1)*(TYPE1&lt;&gt;"")+('Dvd Calendar'!$I$1176=TYPE2)*(TYPE2&lt;&gt;"")+('Dvd Calendar'!$I$1176=TYPE3)*(TYPE3&lt;&gt;"")+('Dvd Calendar'!$I$1176=TYPE4)*(TYPE4&lt;&gt;"")+('Dvd Calendar'!$I$1176=SPECIAL_LBL)*(INC_SPECIALS="Y"))=0,"",'Dvd Calendar'!$I$1174)))</f>
        <v/>
      </c>
      <c r="H121" s="110">
        <f>IF(EJ121="","",IF(ISNUMBER('Dvd Calendar'!$J$1174)=FALSE,"",IF((('Dvd Calendar'!$J$1176=TYPE1)*(TYPE1&lt;&gt;"")+('Dvd Calendar'!$J$1176=TYPE2)*(TYPE2&lt;&gt;"")+('Dvd Calendar'!$J$1176=TYPE3)*(TYPE3&lt;&gt;"")+('Dvd Calendar'!$J$1176=TYPE4)*(TYPE4&lt;&gt;"")+('Dvd Calendar'!$J$1176=SPECIAL_LBL)*(INC_SPECIALS="Y"))=0,"",'Dvd Calendar'!$J$1174)))</f>
        <v/>
      </c>
      <c r="I121" s="110">
        <f>IF(EK121="","",IF(ISNUMBER('Dvd Calendar'!$K$1174)=FALSE,"",IF((('Dvd Calendar'!$K$1176=TYPE1)*(TYPE1&lt;&gt;"")+('Dvd Calendar'!$K$1176=TYPE2)*(TYPE2&lt;&gt;"")+('Dvd Calendar'!$K$1176=TYPE3)*(TYPE3&lt;&gt;"")+('Dvd Calendar'!$K$1176=TYPE4)*(TYPE4&lt;&gt;"")+('Dvd Calendar'!$K$1176=SPECIAL_LBL)*(INC_SPECIALS="Y"))=0,"",'Dvd Calendar'!$K$1174)))</f>
        <v/>
      </c>
      <c r="J121" s="110">
        <f>IF(EL121="","",IF(ISNUMBER('Dvd Calendar'!$L$1174)=FALSE,"",IF((('Dvd Calendar'!$L$1176=TYPE1)*(TYPE1&lt;&gt;"")+('Dvd Calendar'!$L$1176=TYPE2)*(TYPE2&lt;&gt;"")+('Dvd Calendar'!$L$1176=TYPE3)*(TYPE3&lt;&gt;"")+('Dvd Calendar'!$L$1176=TYPE4)*(TYPE4&lt;&gt;"")+('Dvd Calendar'!$L$1176=SPECIAL_LBL)*(INC_SPECIALS="Y"))=0,"",'Dvd Calendar'!$L$1174)))</f>
        <v/>
      </c>
      <c r="K121" s="110">
        <f>IF(EM121="","",IF(ISNUMBER('Dvd Calendar'!$M$1174)=FALSE,"",IF((('Dvd Calendar'!$M$1176=TYPE1)*(TYPE1&lt;&gt;"")+('Dvd Calendar'!$M$1176=TYPE2)*(TYPE2&lt;&gt;"")+('Dvd Calendar'!$M$1176=TYPE3)*(TYPE3&lt;&gt;"")+('Dvd Calendar'!$M$1176=TYPE4)*(TYPE4&lt;&gt;"")+('Dvd Calendar'!$M$1176=SPECIAL_LBL)*(INC_SPECIALS="Y"))=0,"",'Dvd Calendar'!$M$1174)))</f>
        <v/>
      </c>
      <c r="L121" s="110">
        <f>IF(EN121="","",IF(ISNUMBER('Dvd Calendar'!$N$1174)=FALSE,"",IF((('Dvd Calendar'!$N$1176=TYPE1)*(TYPE1&lt;&gt;"")+('Dvd Calendar'!$N$1176=TYPE2)*(TYPE2&lt;&gt;"")+('Dvd Calendar'!$N$1176=TYPE3)*(TYPE3&lt;&gt;"")+('Dvd Calendar'!$N$1176=TYPE4)*(TYPE4&lt;&gt;"")+('Dvd Calendar'!$N$1176=SPECIAL_LBL)*(INC_SPECIALS="Y"))=0,"",'Dvd Calendar'!$N$1174)))</f>
        <v/>
      </c>
      <c r="M121" s="110">
        <f>IF(EO121="","",IF(ISNUMBER('Dvd Calendar'!$O$1174)=FALSE,"",IF((('Dvd Calendar'!$O$1176=TYPE1)*(TYPE1&lt;&gt;"")+('Dvd Calendar'!$O$1176=TYPE2)*(TYPE2&lt;&gt;"")+('Dvd Calendar'!$O$1176=TYPE3)*(TYPE3&lt;&gt;"")+('Dvd Calendar'!$O$1176=TYPE4)*(TYPE4&lt;&gt;"")+('Dvd Calendar'!$O$1176=SPECIAL_LBL)*(INC_SPECIALS="Y"))=0,"",'Dvd Calendar'!$O$1174)))</f>
        <v/>
      </c>
      <c r="N121" s="110">
        <f>IF(EP121="","",IF(ISNUMBER('Dvd Calendar'!$P$1174)=FALSE,"",IF((('Dvd Calendar'!$P$1176=TYPE1)*(TYPE1&lt;&gt;"")+('Dvd Calendar'!$P$1176=TYPE2)*(TYPE2&lt;&gt;"")+('Dvd Calendar'!$P$1176=TYPE3)*(TYPE3&lt;&gt;"")+('Dvd Calendar'!$P$1176=TYPE4)*(TYPE4&lt;&gt;"")+('Dvd Calendar'!$P$1176=SPECIAL_LBL)*(INC_SPECIALS="Y"))=0,"",'Dvd Calendar'!$P$1174)))</f>
        <v/>
      </c>
      <c r="O121" s="110">
        <f>IF(EQ121="","",IF(ISNUMBER('Dvd Calendar'!$Q$1174)=FALSE,"",IF((('Dvd Calendar'!$Q$1176=TYPE1)*(TYPE1&lt;&gt;"")+('Dvd Calendar'!$Q$1176=TYPE2)*(TYPE2&lt;&gt;"")+('Dvd Calendar'!$Q$1176=TYPE3)*(TYPE3&lt;&gt;"")+('Dvd Calendar'!$Q$1176=TYPE4)*(TYPE4&lt;&gt;"")+('Dvd Calendar'!$Q$1176=SPECIAL_LBL)*(INC_SPECIALS="Y"))=0,"",'Dvd Calendar'!$Q$1174)))</f>
        <v/>
      </c>
      <c r="P121" s="110">
        <f>IF(ER121="","",IF(ISNUMBER('Dvd Calendar'!$R$1174)=FALSE,"",IF((('Dvd Calendar'!$R$1176=TYPE1)*(TYPE1&lt;&gt;"")+('Dvd Calendar'!$R$1176=TYPE2)*(TYPE2&lt;&gt;"")+('Dvd Calendar'!$R$1176=TYPE3)*(TYPE3&lt;&gt;"")+('Dvd Calendar'!$R$1176=TYPE4)*(TYPE4&lt;&gt;"")+('Dvd Calendar'!$R$1176=SPECIAL_LBL)*(INC_SPECIALS="Y"))=0,"",'Dvd Calendar'!$R$1174)))</f>
        <v/>
      </c>
      <c r="Q121" s="110">
        <f>IF(ES121="","",IF(ISNUMBER('Dvd Calendar'!$S$1174)=FALSE,"",IF((('Dvd Calendar'!$S$1176=TYPE1)*(TYPE1&lt;&gt;"")+('Dvd Calendar'!$S$1176=TYPE2)*(TYPE2&lt;&gt;"")+('Dvd Calendar'!$S$1176=TYPE3)*(TYPE3&lt;&gt;"")+('Dvd Calendar'!$S$1176=TYPE4)*(TYPE4&lt;&gt;"")+('Dvd Calendar'!$S$1176=SPECIAL_LBL)*(INC_SPECIALS="Y"))=0,"",'Dvd Calendar'!$S$1174)))</f>
        <v/>
      </c>
      <c r="R121" s="110">
        <f>IF(ET121="","",IF(ISNUMBER('Dvd Calendar'!$T$1174)=FALSE,"",IF((('Dvd Calendar'!$T$1176=TYPE1)*(TYPE1&lt;&gt;"")+('Dvd Calendar'!$T$1176=TYPE2)*(TYPE2&lt;&gt;"")+('Dvd Calendar'!$T$1176=TYPE3)*(TYPE3&lt;&gt;"")+('Dvd Calendar'!$T$1176=TYPE4)*(TYPE4&lt;&gt;"")+('Dvd Calendar'!$T$1176=SPECIAL_LBL)*(INC_SPECIALS="Y"))=0,"",'Dvd Calendar'!$T$1174)))</f>
        <v/>
      </c>
      <c r="S121" s="110">
        <f>IF(EU121="","",IF(ISNUMBER('Dvd Calendar'!$U$1174)=FALSE,"",IF((('Dvd Calendar'!$U$1176=TYPE1)*(TYPE1&lt;&gt;"")+('Dvd Calendar'!$U$1176=TYPE2)*(TYPE2&lt;&gt;"")+('Dvd Calendar'!$U$1176=TYPE3)*(TYPE3&lt;&gt;"")+('Dvd Calendar'!$U$1176=TYPE4)*(TYPE4&lt;&gt;"")+('Dvd Calendar'!$U$1176=SPECIAL_LBL)*(INC_SPECIALS="Y"))=0,"",'Dvd Calendar'!$U$1174)))</f>
        <v/>
      </c>
      <c r="T121" s="110">
        <f>IF(EV121="","",IF(ISNUMBER('Dvd Calendar'!$V$1174)=FALSE,"",IF((('Dvd Calendar'!$V$1176=TYPE1)*(TYPE1&lt;&gt;"")+('Dvd Calendar'!$V$1176=TYPE2)*(TYPE2&lt;&gt;"")+('Dvd Calendar'!$V$1176=TYPE3)*(TYPE3&lt;&gt;"")+('Dvd Calendar'!$V$1176=TYPE4)*(TYPE4&lt;&gt;"")+('Dvd Calendar'!$V$1176=SPECIAL_LBL)*(INC_SPECIALS="Y"))=0,"",'Dvd Calendar'!$V$1174)))</f>
        <v/>
      </c>
      <c r="U121" s="110">
        <f>IF(EW121="","",IF(ISNUMBER('Dvd Calendar'!$W$1174)=FALSE,"",IF((('Dvd Calendar'!$W$1176=TYPE1)*(TYPE1&lt;&gt;"")+('Dvd Calendar'!$W$1176=TYPE2)*(TYPE2&lt;&gt;"")+('Dvd Calendar'!$W$1176=TYPE3)*(TYPE3&lt;&gt;"")+('Dvd Calendar'!$W$1176=TYPE4)*(TYPE4&lt;&gt;"")+('Dvd Calendar'!$W$1176=SPECIAL_LBL)*(INC_SPECIALS="Y"))=0,"",'Dvd Calendar'!$W$1174)))</f>
        <v/>
      </c>
      <c r="V121" s="110">
        <f>IF(EX121="","",IF(ISNUMBER('Dvd Calendar'!$X$1174)=FALSE,"",IF((('Dvd Calendar'!$X$1176=TYPE1)*(TYPE1&lt;&gt;"")+('Dvd Calendar'!$X$1176=TYPE2)*(TYPE2&lt;&gt;"")+('Dvd Calendar'!$X$1176=TYPE3)*(TYPE3&lt;&gt;"")+('Dvd Calendar'!$X$1176=TYPE4)*(TYPE4&lt;&gt;"")+('Dvd Calendar'!$X$1176=SPECIAL_LBL)*(INC_SPECIALS="Y"))=0,"",'Dvd Calendar'!$X$1174)))</f>
        <v/>
      </c>
      <c r="W121" s="110">
        <f>IF(EY121="","",IF(ISNUMBER('Dvd Calendar'!$Y$1174)=FALSE,"",IF((('Dvd Calendar'!$Y$1176=TYPE1)*(TYPE1&lt;&gt;"")+('Dvd Calendar'!$Y$1176=TYPE2)*(TYPE2&lt;&gt;"")+('Dvd Calendar'!$Y$1176=TYPE3)*(TYPE3&lt;&gt;"")+('Dvd Calendar'!$Y$1176=TYPE4)*(TYPE4&lt;&gt;"")+('Dvd Calendar'!$Y$1176=SPECIAL_LBL)*(INC_SPECIALS="Y"))=0,"",'Dvd Calendar'!$Y$1174)))</f>
        <v/>
      </c>
      <c r="X121" s="110">
        <f>IF(EZ121="","",IF(ISNUMBER('Dvd Calendar'!$Z$1174)=FALSE,"",IF((('Dvd Calendar'!$Z$1176=TYPE1)*(TYPE1&lt;&gt;"")+('Dvd Calendar'!$Z$1176=TYPE2)*(TYPE2&lt;&gt;"")+('Dvd Calendar'!$Z$1176=TYPE3)*(TYPE3&lt;&gt;"")+('Dvd Calendar'!$Z$1176=TYPE4)*(TYPE4&lt;&gt;"")+('Dvd Calendar'!$Z$1176=SPECIAL_LBL)*(INC_SPECIALS="Y"))=0,"",'Dvd Calendar'!$Z$1174)))</f>
        <v/>
      </c>
      <c r="Y121" s="110">
        <f>IF(FA121="","",IF(ISNUMBER('Dvd Calendar'!$AA$1174)=FALSE,"",IF((('Dvd Calendar'!$AA$1176=TYPE1)*(TYPE1&lt;&gt;"")+('Dvd Calendar'!$AA$1176=TYPE2)*(TYPE2&lt;&gt;"")+('Dvd Calendar'!$AA$1176=TYPE3)*(TYPE3&lt;&gt;"")+('Dvd Calendar'!$AA$1176=TYPE4)*(TYPE4&lt;&gt;"")+('Dvd Calendar'!$AA$1176=SPECIAL_LBL)*(INC_SPECIALS="Y"))=0,"",'Dvd Calendar'!$AA$1174)))</f>
        <v/>
      </c>
      <c r="Z121" s="110">
        <f>IF(FB121="","",IF(ISNUMBER('Dvd Calendar'!$AB$1174)=FALSE,"",IF((('Dvd Calendar'!$AB$1176=TYPE1)*(TYPE1&lt;&gt;"")+('Dvd Calendar'!$AB$1176=TYPE2)*(TYPE2&lt;&gt;"")+('Dvd Calendar'!$AB$1176=TYPE3)*(TYPE3&lt;&gt;"")+('Dvd Calendar'!$AB$1176=TYPE4)*(TYPE4&lt;&gt;"")+('Dvd Calendar'!$AB$1176=SPECIAL_LBL)*(INC_SPECIALS="Y"))=0,"",'Dvd Calendar'!$AB$1174)))</f>
        <v/>
      </c>
      <c r="AA121" s="110">
        <f>IF(FC121="","",IF(ISNUMBER('Dvd Calendar'!$AC$1174)=FALSE,"",IF((('Dvd Calendar'!$AC$1176=TYPE1)*(TYPE1&lt;&gt;"")+('Dvd Calendar'!$AC$1176=TYPE2)*(TYPE2&lt;&gt;"")+('Dvd Calendar'!$AC$1176=TYPE3)*(TYPE3&lt;&gt;"")+('Dvd Calendar'!$AC$1176=TYPE4)*(TYPE4&lt;&gt;"")+('Dvd Calendar'!$AC$1176=SPECIAL_LBL)*(INC_SPECIALS="Y"))=0,"",'Dvd Calendar'!$AC$1174)))</f>
        <v/>
      </c>
      <c r="AB121" s="110">
        <f>IF(FD121="","",IF(ISNUMBER('Dvd Calendar'!$AD$1174)=FALSE,"",IF((('Dvd Calendar'!$AD$1176=TYPE1)*(TYPE1&lt;&gt;"")+('Dvd Calendar'!$AD$1176=TYPE2)*(TYPE2&lt;&gt;"")+('Dvd Calendar'!$AD$1176=TYPE3)*(TYPE3&lt;&gt;"")+('Dvd Calendar'!$AD$1176=TYPE4)*(TYPE4&lt;&gt;"")+('Dvd Calendar'!$AD$1176=SPECIAL_LBL)*(INC_SPECIALS="Y"))=0,"",'Dvd Calendar'!$AD$1174)))</f>
        <v/>
      </c>
      <c r="AC121" s="110">
        <f>IF(FE121="","",IF(ISNUMBER('Dvd Calendar'!$AE$1174)=FALSE,"",IF((('Dvd Calendar'!$AE$1176=TYPE1)*(TYPE1&lt;&gt;"")+('Dvd Calendar'!$AE$1176=TYPE2)*(TYPE2&lt;&gt;"")+('Dvd Calendar'!$AE$1176=TYPE3)*(TYPE3&lt;&gt;"")+('Dvd Calendar'!$AE$1176=TYPE4)*(TYPE4&lt;&gt;"")+('Dvd Calendar'!$AE$1176=SPECIAL_LBL)*(INC_SPECIALS="Y"))=0,"",'Dvd Calendar'!$AE$1174)))</f>
        <v/>
      </c>
      <c r="AD121" s="110">
        <f>IF(FF121="","",IF(ISNUMBER('Dvd Calendar'!$AF$1174)=FALSE,"",IF((('Dvd Calendar'!$AF$1176=TYPE1)*(TYPE1&lt;&gt;"")+('Dvd Calendar'!$AF$1176=TYPE2)*(TYPE2&lt;&gt;"")+('Dvd Calendar'!$AF$1176=TYPE3)*(TYPE3&lt;&gt;"")+('Dvd Calendar'!$AF$1176=TYPE4)*(TYPE4&lt;&gt;"")+('Dvd Calendar'!$AF$1176=SPECIAL_LBL)*(INC_SPECIALS="Y"))=0,"",'Dvd Calendar'!$AF$1174)))</f>
        <v/>
      </c>
      <c r="AE121" s="110">
        <f>IF(FG121="","",IF(ISNUMBER('Dvd Calendar'!$AG$1174)=FALSE,"",IF((('Dvd Calendar'!$AG$1176=TYPE1)*(TYPE1&lt;&gt;"")+('Dvd Calendar'!$AG$1176=TYPE2)*(TYPE2&lt;&gt;"")+('Dvd Calendar'!$AG$1176=TYPE3)*(TYPE3&lt;&gt;"")+('Dvd Calendar'!$AG$1176=TYPE4)*(TYPE4&lt;&gt;"")+('Dvd Calendar'!$AG$1176=SPECIAL_LBL)*(INC_SPECIALS="Y"))=0,"",'Dvd Calendar'!$AG$1174)))</f>
        <v/>
      </c>
      <c r="AF121" s="110">
        <f>IF(FH121="","",IF(ISNUMBER('Dvd Calendar'!$AH$1174)=FALSE,"",IF((('Dvd Calendar'!$AH$1176=TYPE1)*(TYPE1&lt;&gt;"")+('Dvd Calendar'!$AH$1176=TYPE2)*(TYPE2&lt;&gt;"")+('Dvd Calendar'!$AH$1176=TYPE3)*(TYPE3&lt;&gt;"")+('Dvd Calendar'!$AH$1176=TYPE4)*(TYPE4&lt;&gt;"")+('Dvd Calendar'!$AH$1176=SPECIAL_LBL)*(INC_SPECIALS="Y"))=0,"",'Dvd Calendar'!$AH$1174)))</f>
        <v/>
      </c>
      <c r="AG121" s="110">
        <f>IF(FI121="","",IF(ISNUMBER('Dvd Calendar'!$AI$1174)=FALSE,"",IF((('Dvd Calendar'!$AI$1176=TYPE1)*(TYPE1&lt;&gt;"")+('Dvd Calendar'!$AI$1176=TYPE2)*(TYPE2&lt;&gt;"")+('Dvd Calendar'!$AI$1176=TYPE3)*(TYPE3&lt;&gt;"")+('Dvd Calendar'!$AI$1176=TYPE4)*(TYPE4&lt;&gt;"")+('Dvd Calendar'!$AI$1176=SPECIAL_LBL)*(INC_SPECIALS="Y"))=0,"",'Dvd Calendar'!$AI$1174)))</f>
        <v/>
      </c>
      <c r="AH121" s="110">
        <f>IF(FJ121="","",IF(ISNUMBER('Dvd Calendar'!$AJ$1174)=FALSE,"",IF((('Dvd Calendar'!$AJ$1176=TYPE1)*(TYPE1&lt;&gt;"")+('Dvd Calendar'!$AJ$1176=TYPE2)*(TYPE2&lt;&gt;"")+('Dvd Calendar'!$AJ$1176=TYPE3)*(TYPE3&lt;&gt;"")+('Dvd Calendar'!$AJ$1176=TYPE4)*(TYPE4&lt;&gt;"")+('Dvd Calendar'!$AJ$1176=SPECIAL_LBL)*(INC_SPECIALS="Y"))=0,"",'Dvd Calendar'!$AJ$1174)))</f>
        <v/>
      </c>
      <c r="AI121" s="110">
        <f>IF(FK121="","",IF(ISNUMBER('Dvd Calendar'!$AK$1174)=FALSE,"",IF((('Dvd Calendar'!$AK$1176=TYPE1)*(TYPE1&lt;&gt;"")+('Dvd Calendar'!$AK$1176=TYPE2)*(TYPE2&lt;&gt;"")+('Dvd Calendar'!$AK$1176=TYPE3)*(TYPE3&lt;&gt;"")+('Dvd Calendar'!$AK$1176=TYPE4)*(TYPE4&lt;&gt;"")+('Dvd Calendar'!$AK$1176=SPECIAL_LBL)*(INC_SPECIALS="Y"))=0,"",'Dvd Calendar'!$AK$1174)))</f>
        <v/>
      </c>
      <c r="AJ121" s="110">
        <f>IF(FL121="","",IF(ISNUMBER('Dvd Calendar'!$AL$1174)=FALSE,"",IF((('Dvd Calendar'!$AL$1176=TYPE1)*(TYPE1&lt;&gt;"")+('Dvd Calendar'!$AL$1176=TYPE2)*(TYPE2&lt;&gt;"")+('Dvd Calendar'!$AL$1176=TYPE3)*(TYPE3&lt;&gt;"")+('Dvd Calendar'!$AL$1176=TYPE4)*(TYPE4&lt;&gt;"")+('Dvd Calendar'!$AL$1176=SPECIAL_LBL)*(INC_SPECIALS="Y"))=0,"",'Dvd Calendar'!$AL$1174)))</f>
        <v/>
      </c>
      <c r="AK121" s="110">
        <f>IF(FM121="","",IF(ISNUMBER('Dvd Calendar'!$AM$1174)=FALSE,"",IF((('Dvd Calendar'!$AM$1176=TYPE1)*(TYPE1&lt;&gt;"")+('Dvd Calendar'!$AM$1176=TYPE2)*(TYPE2&lt;&gt;"")+('Dvd Calendar'!$AM$1176=TYPE3)*(TYPE3&lt;&gt;"")+('Dvd Calendar'!$AM$1176=TYPE4)*(TYPE4&lt;&gt;"")+('Dvd Calendar'!$AM$1176=SPECIAL_LBL)*(INC_SPECIALS="Y"))=0,"",'Dvd Calendar'!$AM$1174)))</f>
        <v/>
      </c>
      <c r="AL121" s="110">
        <f>IF(FN121="","",IF(ISNUMBER('Dvd Calendar'!$AN$1174)=FALSE,"",IF((('Dvd Calendar'!$AN$1176=TYPE1)*(TYPE1&lt;&gt;"")+('Dvd Calendar'!$AN$1176=TYPE2)*(TYPE2&lt;&gt;"")+('Dvd Calendar'!$AN$1176=TYPE3)*(TYPE3&lt;&gt;"")+('Dvd Calendar'!$AN$1176=TYPE4)*(TYPE4&lt;&gt;"")+('Dvd Calendar'!$AN$1176=SPECIAL_LBL)*(INC_SPECIALS="Y"))=0,"",'Dvd Calendar'!$AN$1174)))</f>
        <v/>
      </c>
      <c r="AM121" s="110">
        <f>IF(FO121="","",IF(ISNUMBER('Dvd Calendar'!$AO$1174)=FALSE,"",IF((('Dvd Calendar'!$AO$1176=TYPE1)*(TYPE1&lt;&gt;"")+('Dvd Calendar'!$AO$1176=TYPE2)*(TYPE2&lt;&gt;"")+('Dvd Calendar'!$AO$1176=TYPE3)*(TYPE3&lt;&gt;"")+('Dvd Calendar'!$AO$1176=TYPE4)*(TYPE4&lt;&gt;"")+('Dvd Calendar'!$AO$1176=SPECIAL_LBL)*(INC_SPECIALS="Y"))=0,"",'Dvd Calendar'!$AO$1174)))</f>
        <v/>
      </c>
      <c r="AN121" s="110">
        <f>IF(FP121="","",IF(ISNUMBER('Dvd Calendar'!$AP$1174)=FALSE,"",IF((('Dvd Calendar'!$AP$1176=TYPE1)*(TYPE1&lt;&gt;"")+('Dvd Calendar'!$AP$1176=TYPE2)*(TYPE2&lt;&gt;"")+('Dvd Calendar'!$AP$1176=TYPE3)*(TYPE3&lt;&gt;"")+('Dvd Calendar'!$AP$1176=TYPE4)*(TYPE4&lt;&gt;"")+('Dvd Calendar'!$AP$1176=SPECIAL_LBL)*(INC_SPECIALS="Y"))=0,"",'Dvd Calendar'!$AP$1174)))</f>
        <v/>
      </c>
      <c r="AO121" s="110">
        <f>IF(FQ121="","",IF(ISNUMBER('Dvd Calendar'!$AQ$1174)=FALSE,"",IF((('Dvd Calendar'!$AQ$1176=TYPE1)*(TYPE1&lt;&gt;"")+('Dvd Calendar'!$AQ$1176=TYPE2)*(TYPE2&lt;&gt;"")+('Dvd Calendar'!$AQ$1176=TYPE3)*(TYPE3&lt;&gt;"")+('Dvd Calendar'!$AQ$1176=TYPE4)*(TYPE4&lt;&gt;"")+('Dvd Calendar'!$AQ$1176=SPECIAL_LBL)*(INC_SPECIALS="Y"))=0,"",'Dvd Calendar'!$AQ$1174)))</f>
        <v/>
      </c>
      <c r="AP121" s="110">
        <f>IF(FR121="","",IF(ISNUMBER('Dvd Calendar'!$AR$1174)=FALSE,"",IF((('Dvd Calendar'!$AR$1176=TYPE1)*(TYPE1&lt;&gt;"")+('Dvd Calendar'!$AR$1176=TYPE2)*(TYPE2&lt;&gt;"")+('Dvd Calendar'!$AR$1176=TYPE3)*(TYPE3&lt;&gt;"")+('Dvd Calendar'!$AR$1176=TYPE4)*(TYPE4&lt;&gt;"")+('Dvd Calendar'!$AR$1176=SPECIAL_LBL)*(INC_SPECIALS="Y"))=0,"",'Dvd Calendar'!$AR$1174)))</f>
        <v/>
      </c>
      <c r="AQ121" s="110">
        <f>IF(FS121="","",IF(ISNUMBER('Dvd Calendar'!$E$1179)=FALSE,"",'Dvd Calendar'!$E$1179))</f>
        <v/>
      </c>
      <c r="AR121" s="110">
        <f>IF(FT121="","",IF(ISNUMBER('Dvd Calendar'!$F$1179)=FALSE,"",'Dvd Calendar'!$F$1179))</f>
        <v/>
      </c>
      <c r="AS121" s="110">
        <f>IF(FU121="","",IF(ISNUMBER('Dvd Calendar'!$G$1179)=FALSE,"",'Dvd Calendar'!$G$1179))</f>
        <v/>
      </c>
      <c r="AT121" s="110">
        <f>IF(FV121="","",IF(ISNUMBER('Dvd Calendar'!$H$1179)=FALSE,"",'Dvd Calendar'!$H$1179))</f>
        <v/>
      </c>
      <c r="AU121" s="110">
        <f>IF(FW121="","",IF(ISNUMBER('Dvd Calendar'!$I$1179)=FALSE,"",'Dvd Calendar'!$I$1179))</f>
        <v/>
      </c>
      <c r="AV121" s="110">
        <f>IF(FX121="","",IF(ISNUMBER('Dvd Calendar'!$J$1179)=FALSE,"",'Dvd Calendar'!$J$1179))</f>
        <v/>
      </c>
      <c r="AW121" s="110">
        <f>IF(FY121="","",IF(ISNUMBER('Dvd Calendar'!$K$1179)=FALSE,"",'Dvd Calendar'!$K$1179))</f>
        <v/>
      </c>
      <c r="AX121" s="110">
        <f>IF(FZ121="","",IF(ISNUMBER('Dvd Calendar'!$L$1179)=FALSE,"",'Dvd Calendar'!$L$1179))</f>
        <v/>
      </c>
      <c r="AY121" s="110">
        <f>IF(GA121="","",IF(ISNUMBER('Dvd Calendar'!$M$1179)=FALSE,"",'Dvd Calendar'!$M$1179))</f>
        <v/>
      </c>
      <c r="AZ121" s="110">
        <f>IF(GB121="","",IF(ISNUMBER('Dvd Calendar'!$N$1179)=FALSE,"",'Dvd Calendar'!$N$1179))</f>
        <v/>
      </c>
      <c r="BA121" s="110">
        <f>IF(GC121="","",IF(ISNUMBER('Dvd Calendar'!$O$1179)=FALSE,"",'Dvd Calendar'!$O$1179))</f>
        <v/>
      </c>
      <c r="BB121" s="110">
        <f>IF(GD121="","",IF(ISNUMBER('Dvd Calendar'!$P$1179)=FALSE,"",'Dvd Calendar'!$P$1179))</f>
        <v/>
      </c>
      <c r="BC121" s="110">
        <f>IF(GE121="","",IF(ISNUMBER('Dvd Calendar'!$Q$1179)=FALSE,"",'Dvd Calendar'!$Q$1179))</f>
        <v/>
      </c>
      <c r="BD121" s="110">
        <f>IF(GF121="","",IF(ISNUMBER('Dvd Calendar'!$R$1179)=FALSE,"",'Dvd Calendar'!$R$1179))</f>
        <v/>
      </c>
      <c r="BE121" s="110">
        <f>IF(GG121="","",IF(ISNUMBER('Dvd Calendar'!$S$1179)=FALSE,"",'Dvd Calendar'!$S$1179))</f>
        <v/>
      </c>
      <c r="BF121" s="110">
        <f>IF(GH121="","",IF(ISNUMBER('Dvd Calendar'!$T$1179)=FALSE,"",'Dvd Calendar'!$T$1179))</f>
        <v/>
      </c>
      <c r="BG121" s="110">
        <f>IF(GI121="","",IF(ISNUMBER('Dvd Calendar'!$U$1179)=FALSE,"",'Dvd Calendar'!$U$1179))</f>
        <v/>
      </c>
      <c r="BH121" s="110">
        <f>IF(GJ121="","",IF(ISNUMBER('Dvd Calendar'!$V$1179)=FALSE,"",'Dvd Calendar'!$V$1179))</f>
        <v/>
      </c>
      <c r="BI121" s="110">
        <f>IF(GK121="","",IF(ISNUMBER('Dvd Calendar'!$W$1179)=FALSE,"",'Dvd Calendar'!$W$1179))</f>
        <v/>
      </c>
      <c r="BJ121" s="110">
        <f>IF(GL121="","",IF(ISNUMBER('Dvd Calendar'!$X$1179)=FALSE,"",'Dvd Calendar'!$X$1179))</f>
        <v/>
      </c>
      <c r="BK121" s="110">
        <f>IF(GM121="","",IF(ISNUMBER('Dvd Calendar'!$Y$1179)=FALSE,"",'Dvd Calendar'!$Y$1179))</f>
        <v/>
      </c>
      <c r="BL121" s="110">
        <f>IF(GN121="","",IF(ISNUMBER('Dvd Calendar'!$Z$1179)=FALSE,"",'Dvd Calendar'!$Z$1179))</f>
        <v/>
      </c>
      <c r="BM121" s="110">
        <f>IF(GO121="","",IF(ISNUMBER('Dvd Calendar'!$AA$1179)=FALSE,"",'Dvd Calendar'!$AA$1179))</f>
        <v/>
      </c>
      <c r="BN121" s="110">
        <f>IF(GP121="","",IF(ISNUMBER('Dvd Calendar'!$AB$1179)=FALSE,"",'Dvd Calendar'!$AB$1179))</f>
        <v/>
      </c>
      <c r="BO121" s="110">
        <f>IF(GQ121="","",IF(ISNUMBER('Dvd Calendar'!$AC$1179)=FALSE,"",'Dvd Calendar'!$AC$1179))</f>
        <v/>
      </c>
      <c r="BQ121" s="110">
        <f>IF(C121="","",IFERROR(C121*HSTECH!$B$12*HSTECH!$G$12/HSTECH!$B$3,""))</f>
        <v/>
      </c>
      <c r="BR121" s="110">
        <f>IF(D121="","",IFERROR(D121*HSTECH!$B$12*HSTECH!$G$12/HSTECH!$B$3,""))</f>
        <v/>
      </c>
      <c r="BS121" s="110">
        <f>IF(E121="","",IFERROR(E121*HSTECH!$B$12*HSTECH!$G$12/HSTECH!$B$3,""))</f>
        <v/>
      </c>
      <c r="BT121" s="110">
        <f>IF(F121="","",IFERROR(F121*HSTECH!$B$12*HSTECH!$G$12/HSTECH!$B$3,""))</f>
        <v/>
      </c>
      <c r="BU121" s="110">
        <f>IF(G121="","",IFERROR(G121*HSTECH!$B$12*HSTECH!$G$12/HSTECH!$B$3,""))</f>
        <v/>
      </c>
      <c r="BV121" s="110">
        <f>IF(H121="","",IFERROR(H121*HSTECH!$B$12*HSTECH!$G$12/HSTECH!$B$3,""))</f>
        <v/>
      </c>
      <c r="BW121" s="110">
        <f>IF(I121="","",IFERROR(I121*HSTECH!$B$12*HSTECH!$G$12/HSTECH!$B$3,""))</f>
        <v/>
      </c>
      <c r="BX121" s="110">
        <f>IF(J121="","",IFERROR(J121*HSTECH!$B$12*HSTECH!$G$12/HSTECH!$B$3,""))</f>
        <v/>
      </c>
      <c r="BY121" s="110">
        <f>IF(K121="","",IFERROR(K121*HSTECH!$B$12*HSTECH!$G$12/HSTECH!$B$3,""))</f>
        <v/>
      </c>
      <c r="BZ121" s="110">
        <f>IF(L121="","",IFERROR(L121*HSTECH!$B$12*HSTECH!$G$12/HSTECH!$B$3,""))</f>
        <v/>
      </c>
      <c r="CA121" s="110">
        <f>IF(M121="","",IFERROR(M121*HSTECH!$B$12*HSTECH!$G$12/HSTECH!$B$3,""))</f>
        <v/>
      </c>
      <c r="CB121" s="110">
        <f>IF(N121="","",IFERROR(N121*HSTECH!$B$12*HSTECH!$G$12/HSTECH!$B$3,""))</f>
        <v/>
      </c>
      <c r="CC121" s="110">
        <f>IF(O121="","",IFERROR(O121*HSTECH!$B$12*HSTECH!$G$12/HSTECH!$B$3,""))</f>
        <v/>
      </c>
      <c r="CD121" s="110">
        <f>IF(P121="","",IFERROR(P121*HSTECH!$B$12*HSTECH!$G$12/HSTECH!$B$3,""))</f>
        <v/>
      </c>
      <c r="CE121" s="110">
        <f>IF(Q121="","",IFERROR(Q121*HSTECH!$B$12*HSTECH!$G$12/HSTECH!$B$3,""))</f>
        <v/>
      </c>
      <c r="CF121" s="110">
        <f>IF(R121="","",IFERROR(R121*HSTECH!$B$12*HSTECH!$G$12/HSTECH!$B$3,""))</f>
        <v/>
      </c>
      <c r="CG121" s="110">
        <f>IF(S121="","",IFERROR(S121*HSTECH!$B$12*HSTECH!$G$12/HSTECH!$B$3,""))</f>
        <v/>
      </c>
      <c r="CH121" s="110">
        <f>IF(T121="","",IFERROR(T121*HSTECH!$B$12*HSTECH!$G$12/HSTECH!$B$3,""))</f>
        <v/>
      </c>
      <c r="CI121" s="110">
        <f>IF(U121="","",IFERROR(U121*HSTECH!$B$12*HSTECH!$G$12/HSTECH!$B$3,""))</f>
        <v/>
      </c>
      <c r="CJ121" s="110">
        <f>IF(V121="","",IFERROR(V121*HSTECH!$B$12*HSTECH!$G$12/HSTECH!$B$3,""))</f>
        <v/>
      </c>
      <c r="CK121" s="110">
        <f>IF(W121="","",IFERROR(W121*HSTECH!$B$12*HSTECH!$G$12/HSTECH!$B$3,""))</f>
        <v/>
      </c>
      <c r="CL121" s="110">
        <f>IF(X121="","",IFERROR(X121*HSTECH!$B$12*HSTECH!$G$12/HSTECH!$B$3,""))</f>
        <v/>
      </c>
      <c r="CM121" s="110">
        <f>IF(Y121="","",IFERROR(Y121*HSTECH!$B$12*HSTECH!$G$12/HSTECH!$B$3,""))</f>
        <v/>
      </c>
      <c r="CN121" s="110">
        <f>IF(Z121="","",IFERROR(Z121*HSTECH!$B$12*HSTECH!$G$12/HSTECH!$B$3,""))</f>
        <v/>
      </c>
      <c r="CO121" s="110">
        <f>IF(AA121="","",IFERROR(AA121*HSTECH!$B$12*HSTECH!$G$12/HSTECH!$B$3,""))</f>
        <v/>
      </c>
      <c r="CP121" s="110">
        <f>IF(AB121="","",IFERROR(AB121*HSTECH!$B$12*HSTECH!$G$12/HSTECH!$B$3,""))</f>
        <v/>
      </c>
      <c r="CQ121" s="110">
        <f>IF(AC121="","",IFERROR(AC121*HSTECH!$B$12*HSTECH!$G$12/HSTECH!$B$3,""))</f>
        <v/>
      </c>
      <c r="CR121" s="110">
        <f>IF(AD121="","",IFERROR(AD121*HSTECH!$B$12*HSTECH!$G$12/HSTECH!$B$3,""))</f>
        <v/>
      </c>
      <c r="CS121" s="110">
        <f>IF(AE121="","",IFERROR(AE121*HSTECH!$B$12*HSTECH!$G$12/HSTECH!$B$3,""))</f>
        <v/>
      </c>
      <c r="CT121" s="110">
        <f>IF(AF121="","",IFERROR(AF121*HSTECH!$B$12*HSTECH!$G$12/HSTECH!$B$3,""))</f>
        <v/>
      </c>
      <c r="CU121" s="110">
        <f>IF(AG121="","",IFERROR(AG121*HSTECH!$B$12*HSTECH!$G$12/HSTECH!$B$3,""))</f>
        <v/>
      </c>
      <c r="CV121" s="110">
        <f>IF(AH121="","",IFERROR(AH121*HSTECH!$B$12*HSTECH!$G$12/HSTECH!$B$3,""))</f>
        <v/>
      </c>
      <c r="CW121" s="110">
        <f>IF(AI121="","",IFERROR(AI121*HSTECH!$B$12*HSTECH!$G$12/HSTECH!$B$3,""))</f>
        <v/>
      </c>
      <c r="CX121" s="110">
        <f>IF(AJ121="","",IFERROR(AJ121*HSTECH!$B$12*HSTECH!$G$12/HSTECH!$B$3,""))</f>
        <v/>
      </c>
      <c r="CY121" s="110">
        <f>IF(AK121="","",IFERROR(AK121*HSTECH!$B$12*HSTECH!$G$12/HSTECH!$B$3,""))</f>
        <v/>
      </c>
      <c r="CZ121" s="110">
        <f>IF(AL121="","",IFERROR(AL121*HSTECH!$B$12*HSTECH!$G$12/HSTECH!$B$3,""))</f>
        <v/>
      </c>
      <c r="DA121" s="110">
        <f>IF(AM121="","",IFERROR(AM121*HSTECH!$B$12*HSTECH!$G$12/HSTECH!$B$3,""))</f>
        <v/>
      </c>
      <c r="DB121" s="110">
        <f>IF(AN121="","",IFERROR(AN121*HSTECH!$B$12*HSTECH!$G$12/HSTECH!$B$3,""))</f>
        <v/>
      </c>
      <c r="DC121" s="110">
        <f>IF(AO121="","",IFERROR(AO121*HSTECH!$B$12*HSTECH!$G$12/HSTECH!$B$3,""))</f>
        <v/>
      </c>
      <c r="DD121" s="110">
        <f>IF(AP121="","",IFERROR(AP121*HSTECH!$B$12*HSTECH!$G$12/HSTECH!$B$3,""))</f>
        <v/>
      </c>
      <c r="DE121" s="110">
        <f>IF(AQ121="","",IFERROR(AQ121*HSTECH!$B$12*HSTECH!$G$12/HSTECH!$B$3,""))</f>
        <v/>
      </c>
      <c r="DF121" s="110">
        <f>IF(AR121="","",IFERROR(AR121*HSTECH!$B$12*HSTECH!$G$12/HSTECH!$B$3,""))</f>
        <v/>
      </c>
      <c r="DG121" s="110">
        <f>IF(AS121="","",IFERROR(AS121*HSTECH!$B$12*HSTECH!$G$12/HSTECH!$B$3,""))</f>
        <v/>
      </c>
      <c r="DH121" s="110">
        <f>IF(AT121="","",IFERROR(AT121*HSTECH!$B$12*HSTECH!$G$12/HSTECH!$B$3,""))</f>
        <v/>
      </c>
      <c r="DI121" s="110">
        <f>IF(AU121="","",IFERROR(AU121*HSTECH!$B$12*HSTECH!$G$12/HSTECH!$B$3,""))</f>
        <v/>
      </c>
      <c r="DJ121" s="110">
        <f>IF(AV121="","",IFERROR(AV121*HSTECH!$B$12*HSTECH!$G$12/HSTECH!$B$3,""))</f>
        <v/>
      </c>
      <c r="DK121" s="110">
        <f>IF(AW121="","",IFERROR(AW121*HSTECH!$B$12*HSTECH!$G$12/HSTECH!$B$3,""))</f>
        <v/>
      </c>
      <c r="DL121" s="110">
        <f>IF(AX121="","",IFERROR(AX121*HSTECH!$B$12*HSTECH!$G$12/HSTECH!$B$3,""))</f>
        <v/>
      </c>
      <c r="DM121" s="110">
        <f>IF(AY121="","",IFERROR(AY121*HSTECH!$B$12*HSTECH!$G$12/HSTECH!$B$3,""))</f>
        <v/>
      </c>
      <c r="DN121" s="110">
        <f>IF(AZ121="","",IFERROR(AZ121*HSTECH!$B$12*HSTECH!$G$12/HSTECH!$B$3,""))</f>
        <v/>
      </c>
      <c r="DO121" s="110">
        <f>IF(BA121="","",IFERROR(BA121*HSTECH!$B$12*HSTECH!$G$12/HSTECH!$B$3,""))</f>
        <v/>
      </c>
      <c r="DP121" s="110">
        <f>IF(BB121="","",IFERROR(BB121*HSTECH!$B$12*HSTECH!$G$12/HSTECH!$B$3,""))</f>
        <v/>
      </c>
      <c r="DQ121" s="110">
        <f>IF(BC121="","",IFERROR(BC121*HSTECH!$B$12*HSTECH!$G$12/HSTECH!$B$3,""))</f>
        <v/>
      </c>
      <c r="DR121" s="110">
        <f>IF(BD121="","",IFERROR(BD121*HSTECH!$B$12*HSTECH!$G$12/HSTECH!$B$3,""))</f>
        <v/>
      </c>
      <c r="DS121" s="110">
        <f>IF(BE121="","",IFERROR(BE121*HSTECH!$B$12*HSTECH!$G$12/HSTECH!$B$3,""))</f>
        <v/>
      </c>
      <c r="DT121" s="110">
        <f>IF(BF121="","",IFERROR(BF121*HSTECH!$B$12*HSTECH!$G$12/HSTECH!$B$3,""))</f>
        <v/>
      </c>
      <c r="DU121" s="110">
        <f>IF(BG121="","",IFERROR(BG121*HSTECH!$B$12*HSTECH!$G$12/HSTECH!$B$3,""))</f>
        <v/>
      </c>
      <c r="DV121" s="110">
        <f>IF(BH121="","",IFERROR(BH121*HSTECH!$B$12*HSTECH!$G$12/HSTECH!$B$3,""))</f>
        <v/>
      </c>
      <c r="DW121" s="110">
        <f>IF(BI121="","",IFERROR(BI121*HSTECH!$B$12*HSTECH!$G$12/HSTECH!$B$3,""))</f>
        <v/>
      </c>
      <c r="DX121" s="110">
        <f>IF(BJ121="","",IFERROR(BJ121*HSTECH!$B$12*HSTECH!$G$12/HSTECH!$B$3,""))</f>
        <v/>
      </c>
      <c r="DY121" s="110">
        <f>IF(BK121="","",IFERROR(BK121*HSTECH!$B$12*HSTECH!$G$12/HSTECH!$B$3,""))</f>
        <v/>
      </c>
      <c r="DZ121" s="110">
        <f>IF(BL121="","",IFERROR(BL121*HSTECH!$B$12*HSTECH!$G$12/HSTECH!$B$3,""))</f>
        <v/>
      </c>
      <c r="EA121" s="110">
        <f>IF(BM121="","",IFERROR(BM121*HSTECH!$B$12*HSTECH!$G$12/HSTECH!$B$3,""))</f>
        <v/>
      </c>
      <c r="EB121" s="110">
        <f>IF(BN121="","",IFERROR(BN121*HSTECH!$B$12*HSTECH!$G$12/HSTECH!$B$3,""))</f>
        <v/>
      </c>
      <c r="EC121" s="110">
        <f>IF(BO121="","",IFERROR(BO121*HSTECH!$B$12*HSTECH!$G$12/HSTECH!$B$3,""))</f>
        <v/>
      </c>
      <c r="EE121" s="39">
        <f>IF(N('Dvd Calendar'!$E$1171)=0,"",IF(('Dvd Calendar'!$E$1171&gt;=GRID_FROM)*('Dvd Calendar'!$E$1171&lt;=GRID_TO)*((('Dvd Calendar'!$E$1171&lt;=VAL_DATE)+(COUNTIF('Dvd Calendar'!$E$1178:$AR$1178,'Dvd Calendar'!$E$1171)=0))&gt;0)=0,"",'Dvd Calendar'!$E$1171*1000000000+ISNUMBER('Dvd Calendar'!$E$1174)*100000000+('Dvd Calendar'!$E$1176=SPECIAL_LBL)*10000000+(N('Dvd Calendar'!$E$1170)&gt;0)*(N('Dvd Calendar'!$E$1170)&lt;=VAL_SERIAL)*1000000+6*1000+1))</f>
        <v/>
      </c>
      <c r="EF121" s="39">
        <f>IF(N('Dvd Calendar'!$F$1171)=0,"",IF(('Dvd Calendar'!$F$1171&gt;=GRID_FROM)*('Dvd Calendar'!$F$1171&lt;=GRID_TO)*((('Dvd Calendar'!$F$1171&lt;=VAL_DATE)+(COUNTIF('Dvd Calendar'!$E$1178:$AR$1178,'Dvd Calendar'!$F$1171)=0))&gt;0)=0,"",'Dvd Calendar'!$F$1171*1000000000+ISNUMBER('Dvd Calendar'!$F$1174)*100000000+('Dvd Calendar'!$F$1176=SPECIAL_LBL)*10000000+(N('Dvd Calendar'!$F$1170)&gt;0)*(N('Dvd Calendar'!$F$1170)&lt;=VAL_SERIAL)*1000000+6*1000+2))</f>
        <v/>
      </c>
      <c r="EG121" s="39">
        <f>IF(N('Dvd Calendar'!$G$1171)=0,"",IF(('Dvd Calendar'!$G$1171&gt;=GRID_FROM)*('Dvd Calendar'!$G$1171&lt;=GRID_TO)*((('Dvd Calendar'!$G$1171&lt;=VAL_DATE)+(COUNTIF('Dvd Calendar'!$E$1178:$AR$1178,'Dvd Calendar'!$G$1171)=0))&gt;0)=0,"",'Dvd Calendar'!$G$1171*1000000000+ISNUMBER('Dvd Calendar'!$G$1174)*100000000+('Dvd Calendar'!$G$1176=SPECIAL_LBL)*10000000+(N('Dvd Calendar'!$G$1170)&gt;0)*(N('Dvd Calendar'!$G$1170)&lt;=VAL_SERIAL)*1000000+6*1000+3))</f>
        <v/>
      </c>
      <c r="EH121" s="39">
        <f>IF(N('Dvd Calendar'!$H$1171)=0,"",IF(('Dvd Calendar'!$H$1171&gt;=GRID_FROM)*('Dvd Calendar'!$H$1171&lt;=GRID_TO)*((('Dvd Calendar'!$H$1171&lt;=VAL_DATE)+(COUNTIF('Dvd Calendar'!$E$1178:$AR$1178,'Dvd Calendar'!$H$1171)=0))&gt;0)=0,"",'Dvd Calendar'!$H$1171*1000000000+ISNUMBER('Dvd Calendar'!$H$1174)*100000000+('Dvd Calendar'!$H$1176=SPECIAL_LBL)*10000000+(N('Dvd Calendar'!$H$1170)&gt;0)*(N('Dvd Calendar'!$H$1170)&lt;=VAL_SERIAL)*1000000+6*1000+4))</f>
        <v/>
      </c>
      <c r="EI121" s="39">
        <f>IF(N('Dvd Calendar'!$I$1171)=0,"",IF(('Dvd Calendar'!$I$1171&gt;=GRID_FROM)*('Dvd Calendar'!$I$1171&lt;=GRID_TO)*((('Dvd Calendar'!$I$1171&lt;=VAL_DATE)+(COUNTIF('Dvd Calendar'!$E$1178:$AR$1178,'Dvd Calendar'!$I$1171)=0))&gt;0)=0,"",'Dvd Calendar'!$I$1171*1000000000+ISNUMBER('Dvd Calendar'!$I$1174)*100000000+('Dvd Calendar'!$I$1176=SPECIAL_LBL)*10000000+(N('Dvd Calendar'!$I$1170)&gt;0)*(N('Dvd Calendar'!$I$1170)&lt;=VAL_SERIAL)*1000000+6*1000+5))</f>
        <v/>
      </c>
      <c r="EJ121" s="39">
        <f>IF(N('Dvd Calendar'!$J$1171)=0,"",IF(('Dvd Calendar'!$J$1171&gt;=GRID_FROM)*('Dvd Calendar'!$J$1171&lt;=GRID_TO)*((('Dvd Calendar'!$J$1171&lt;=VAL_DATE)+(COUNTIF('Dvd Calendar'!$E$1178:$AR$1178,'Dvd Calendar'!$J$1171)=0))&gt;0)=0,"",'Dvd Calendar'!$J$1171*1000000000+ISNUMBER('Dvd Calendar'!$J$1174)*100000000+('Dvd Calendar'!$J$1176=SPECIAL_LBL)*10000000+(N('Dvd Calendar'!$J$1170)&gt;0)*(N('Dvd Calendar'!$J$1170)&lt;=VAL_SERIAL)*1000000+6*1000+6))</f>
        <v/>
      </c>
      <c r="EK121" s="39">
        <f>IF(N('Dvd Calendar'!$K$1171)=0,"",IF(('Dvd Calendar'!$K$1171&gt;=GRID_FROM)*('Dvd Calendar'!$K$1171&lt;=GRID_TO)*((('Dvd Calendar'!$K$1171&lt;=VAL_DATE)+(COUNTIF('Dvd Calendar'!$E$1178:$AR$1178,'Dvd Calendar'!$K$1171)=0))&gt;0)=0,"",'Dvd Calendar'!$K$1171*1000000000+ISNUMBER('Dvd Calendar'!$K$1174)*100000000+('Dvd Calendar'!$K$1176=SPECIAL_LBL)*10000000+(N('Dvd Calendar'!$K$1170)&gt;0)*(N('Dvd Calendar'!$K$1170)&lt;=VAL_SERIAL)*1000000+6*1000+7))</f>
        <v/>
      </c>
      <c r="EL121" s="39">
        <f>IF(N('Dvd Calendar'!$L$1171)=0,"",IF(('Dvd Calendar'!$L$1171&gt;=GRID_FROM)*('Dvd Calendar'!$L$1171&lt;=GRID_TO)*((('Dvd Calendar'!$L$1171&lt;=VAL_DATE)+(COUNTIF('Dvd Calendar'!$E$1178:$AR$1178,'Dvd Calendar'!$L$1171)=0))&gt;0)=0,"",'Dvd Calendar'!$L$1171*1000000000+ISNUMBER('Dvd Calendar'!$L$1174)*100000000+('Dvd Calendar'!$L$1176=SPECIAL_LBL)*10000000+(N('Dvd Calendar'!$L$1170)&gt;0)*(N('Dvd Calendar'!$L$1170)&lt;=VAL_SERIAL)*1000000+6*1000+8))</f>
        <v/>
      </c>
      <c r="EM121" s="39">
        <f>IF(N('Dvd Calendar'!$M$1171)=0,"",IF(('Dvd Calendar'!$M$1171&gt;=GRID_FROM)*('Dvd Calendar'!$M$1171&lt;=GRID_TO)*((('Dvd Calendar'!$M$1171&lt;=VAL_DATE)+(COUNTIF('Dvd Calendar'!$E$1178:$AR$1178,'Dvd Calendar'!$M$1171)=0))&gt;0)=0,"",'Dvd Calendar'!$M$1171*1000000000+ISNUMBER('Dvd Calendar'!$M$1174)*100000000+('Dvd Calendar'!$M$1176=SPECIAL_LBL)*10000000+(N('Dvd Calendar'!$M$1170)&gt;0)*(N('Dvd Calendar'!$M$1170)&lt;=VAL_SERIAL)*1000000+6*1000+9))</f>
        <v/>
      </c>
      <c r="EN121" s="39">
        <f>IF(N('Dvd Calendar'!$N$1171)=0,"",IF(('Dvd Calendar'!$N$1171&gt;=GRID_FROM)*('Dvd Calendar'!$N$1171&lt;=GRID_TO)*((('Dvd Calendar'!$N$1171&lt;=VAL_DATE)+(COUNTIF('Dvd Calendar'!$E$1178:$AR$1178,'Dvd Calendar'!$N$1171)=0))&gt;0)=0,"",'Dvd Calendar'!$N$1171*1000000000+ISNUMBER('Dvd Calendar'!$N$1174)*100000000+('Dvd Calendar'!$N$1176=SPECIAL_LBL)*10000000+(N('Dvd Calendar'!$N$1170)&gt;0)*(N('Dvd Calendar'!$N$1170)&lt;=VAL_SERIAL)*1000000+6*1000+10))</f>
        <v/>
      </c>
      <c r="EO121" s="39">
        <f>IF(N('Dvd Calendar'!$O$1171)=0,"",IF(('Dvd Calendar'!$O$1171&gt;=GRID_FROM)*('Dvd Calendar'!$O$1171&lt;=GRID_TO)*((('Dvd Calendar'!$O$1171&lt;=VAL_DATE)+(COUNTIF('Dvd Calendar'!$E$1178:$AR$1178,'Dvd Calendar'!$O$1171)=0))&gt;0)=0,"",'Dvd Calendar'!$O$1171*1000000000+ISNUMBER('Dvd Calendar'!$O$1174)*100000000+('Dvd Calendar'!$O$1176=SPECIAL_LBL)*10000000+(N('Dvd Calendar'!$O$1170)&gt;0)*(N('Dvd Calendar'!$O$1170)&lt;=VAL_SERIAL)*1000000+6*1000+11))</f>
        <v/>
      </c>
      <c r="EP121" s="39">
        <f>IF(N('Dvd Calendar'!$P$1171)=0,"",IF(('Dvd Calendar'!$P$1171&gt;=GRID_FROM)*('Dvd Calendar'!$P$1171&lt;=GRID_TO)*((('Dvd Calendar'!$P$1171&lt;=VAL_DATE)+(COUNTIF('Dvd Calendar'!$E$1178:$AR$1178,'Dvd Calendar'!$P$1171)=0))&gt;0)=0,"",'Dvd Calendar'!$P$1171*1000000000+ISNUMBER('Dvd Calendar'!$P$1174)*100000000+('Dvd Calendar'!$P$1176=SPECIAL_LBL)*10000000+(N('Dvd Calendar'!$P$1170)&gt;0)*(N('Dvd Calendar'!$P$1170)&lt;=VAL_SERIAL)*1000000+6*1000+12))</f>
        <v/>
      </c>
      <c r="EQ121" s="39">
        <f>IF(N('Dvd Calendar'!$Q$1171)=0,"",IF(('Dvd Calendar'!$Q$1171&gt;=GRID_FROM)*('Dvd Calendar'!$Q$1171&lt;=GRID_TO)*((('Dvd Calendar'!$Q$1171&lt;=VAL_DATE)+(COUNTIF('Dvd Calendar'!$E$1178:$AR$1178,'Dvd Calendar'!$Q$1171)=0))&gt;0)=0,"",'Dvd Calendar'!$Q$1171*1000000000+ISNUMBER('Dvd Calendar'!$Q$1174)*100000000+('Dvd Calendar'!$Q$1176=SPECIAL_LBL)*10000000+(N('Dvd Calendar'!$Q$1170)&gt;0)*(N('Dvd Calendar'!$Q$1170)&lt;=VAL_SERIAL)*1000000+6*1000+13))</f>
        <v/>
      </c>
      <c r="ER121" s="39">
        <f>IF(N('Dvd Calendar'!$R$1171)=0,"",IF(('Dvd Calendar'!$R$1171&gt;=GRID_FROM)*('Dvd Calendar'!$R$1171&lt;=GRID_TO)*((('Dvd Calendar'!$R$1171&lt;=VAL_DATE)+(COUNTIF('Dvd Calendar'!$E$1178:$AR$1178,'Dvd Calendar'!$R$1171)=0))&gt;0)=0,"",'Dvd Calendar'!$R$1171*1000000000+ISNUMBER('Dvd Calendar'!$R$1174)*100000000+('Dvd Calendar'!$R$1176=SPECIAL_LBL)*10000000+(N('Dvd Calendar'!$R$1170)&gt;0)*(N('Dvd Calendar'!$R$1170)&lt;=VAL_SERIAL)*1000000+6*1000+14))</f>
        <v/>
      </c>
      <c r="ES121" s="39">
        <f>IF(N('Dvd Calendar'!$S$1171)=0,"",IF(('Dvd Calendar'!$S$1171&gt;=GRID_FROM)*('Dvd Calendar'!$S$1171&lt;=GRID_TO)*((('Dvd Calendar'!$S$1171&lt;=VAL_DATE)+(COUNTIF('Dvd Calendar'!$E$1178:$AR$1178,'Dvd Calendar'!$S$1171)=0))&gt;0)=0,"",'Dvd Calendar'!$S$1171*1000000000+ISNUMBER('Dvd Calendar'!$S$1174)*100000000+('Dvd Calendar'!$S$1176=SPECIAL_LBL)*10000000+(N('Dvd Calendar'!$S$1170)&gt;0)*(N('Dvd Calendar'!$S$1170)&lt;=VAL_SERIAL)*1000000+6*1000+15))</f>
        <v/>
      </c>
      <c r="ET121" s="39">
        <f>IF(N('Dvd Calendar'!$T$1171)=0,"",IF(('Dvd Calendar'!$T$1171&gt;=GRID_FROM)*('Dvd Calendar'!$T$1171&lt;=GRID_TO)*((('Dvd Calendar'!$T$1171&lt;=VAL_DATE)+(COUNTIF('Dvd Calendar'!$E$1178:$AR$1178,'Dvd Calendar'!$T$1171)=0))&gt;0)=0,"",'Dvd Calendar'!$T$1171*1000000000+ISNUMBER('Dvd Calendar'!$T$1174)*100000000+('Dvd Calendar'!$T$1176=SPECIAL_LBL)*10000000+(N('Dvd Calendar'!$T$1170)&gt;0)*(N('Dvd Calendar'!$T$1170)&lt;=VAL_SERIAL)*1000000+6*1000+16))</f>
        <v/>
      </c>
      <c r="EU121" s="39">
        <f>IF(N('Dvd Calendar'!$U$1171)=0,"",IF(('Dvd Calendar'!$U$1171&gt;=GRID_FROM)*('Dvd Calendar'!$U$1171&lt;=GRID_TO)*((('Dvd Calendar'!$U$1171&lt;=VAL_DATE)+(COUNTIF('Dvd Calendar'!$E$1178:$AR$1178,'Dvd Calendar'!$U$1171)=0))&gt;0)=0,"",'Dvd Calendar'!$U$1171*1000000000+ISNUMBER('Dvd Calendar'!$U$1174)*100000000+('Dvd Calendar'!$U$1176=SPECIAL_LBL)*10000000+(N('Dvd Calendar'!$U$1170)&gt;0)*(N('Dvd Calendar'!$U$1170)&lt;=VAL_SERIAL)*1000000+6*1000+17))</f>
        <v/>
      </c>
      <c r="EV121" s="39">
        <f>IF(N('Dvd Calendar'!$V$1171)=0,"",IF(('Dvd Calendar'!$V$1171&gt;=GRID_FROM)*('Dvd Calendar'!$V$1171&lt;=GRID_TO)*((('Dvd Calendar'!$V$1171&lt;=VAL_DATE)+(COUNTIF('Dvd Calendar'!$E$1178:$AR$1178,'Dvd Calendar'!$V$1171)=0))&gt;0)=0,"",'Dvd Calendar'!$V$1171*1000000000+ISNUMBER('Dvd Calendar'!$V$1174)*100000000+('Dvd Calendar'!$V$1176=SPECIAL_LBL)*10000000+(N('Dvd Calendar'!$V$1170)&gt;0)*(N('Dvd Calendar'!$V$1170)&lt;=VAL_SERIAL)*1000000+6*1000+18))</f>
        <v/>
      </c>
      <c r="EW121" s="39">
        <f>IF(N('Dvd Calendar'!$W$1171)=0,"",IF(('Dvd Calendar'!$W$1171&gt;=GRID_FROM)*('Dvd Calendar'!$W$1171&lt;=GRID_TO)*((('Dvd Calendar'!$W$1171&lt;=VAL_DATE)+(COUNTIF('Dvd Calendar'!$E$1178:$AR$1178,'Dvd Calendar'!$W$1171)=0))&gt;0)=0,"",'Dvd Calendar'!$W$1171*1000000000+ISNUMBER('Dvd Calendar'!$W$1174)*100000000+('Dvd Calendar'!$W$1176=SPECIAL_LBL)*10000000+(N('Dvd Calendar'!$W$1170)&gt;0)*(N('Dvd Calendar'!$W$1170)&lt;=VAL_SERIAL)*1000000+6*1000+19))</f>
        <v/>
      </c>
      <c r="EX121" s="39">
        <f>IF(N('Dvd Calendar'!$X$1171)=0,"",IF(('Dvd Calendar'!$X$1171&gt;=GRID_FROM)*('Dvd Calendar'!$X$1171&lt;=GRID_TO)*((('Dvd Calendar'!$X$1171&lt;=VAL_DATE)+(COUNTIF('Dvd Calendar'!$E$1178:$AR$1178,'Dvd Calendar'!$X$1171)=0))&gt;0)=0,"",'Dvd Calendar'!$X$1171*1000000000+ISNUMBER('Dvd Calendar'!$X$1174)*100000000+('Dvd Calendar'!$X$1176=SPECIAL_LBL)*10000000+(N('Dvd Calendar'!$X$1170)&gt;0)*(N('Dvd Calendar'!$X$1170)&lt;=VAL_SERIAL)*1000000+6*1000+20))</f>
        <v/>
      </c>
      <c r="EY121" s="39">
        <f>IF(N('Dvd Calendar'!$Y$1171)=0,"",IF(('Dvd Calendar'!$Y$1171&gt;=GRID_FROM)*('Dvd Calendar'!$Y$1171&lt;=GRID_TO)*((('Dvd Calendar'!$Y$1171&lt;=VAL_DATE)+(COUNTIF('Dvd Calendar'!$E$1178:$AR$1178,'Dvd Calendar'!$Y$1171)=0))&gt;0)=0,"",'Dvd Calendar'!$Y$1171*1000000000+ISNUMBER('Dvd Calendar'!$Y$1174)*100000000+('Dvd Calendar'!$Y$1176=SPECIAL_LBL)*10000000+(N('Dvd Calendar'!$Y$1170)&gt;0)*(N('Dvd Calendar'!$Y$1170)&lt;=VAL_SERIAL)*1000000+6*1000+21))</f>
        <v/>
      </c>
      <c r="EZ121" s="39">
        <f>IF(N('Dvd Calendar'!$Z$1171)=0,"",IF(('Dvd Calendar'!$Z$1171&gt;=GRID_FROM)*('Dvd Calendar'!$Z$1171&lt;=GRID_TO)*((('Dvd Calendar'!$Z$1171&lt;=VAL_DATE)+(COUNTIF('Dvd Calendar'!$E$1178:$AR$1178,'Dvd Calendar'!$Z$1171)=0))&gt;0)=0,"",'Dvd Calendar'!$Z$1171*1000000000+ISNUMBER('Dvd Calendar'!$Z$1174)*100000000+('Dvd Calendar'!$Z$1176=SPECIAL_LBL)*10000000+(N('Dvd Calendar'!$Z$1170)&gt;0)*(N('Dvd Calendar'!$Z$1170)&lt;=VAL_SERIAL)*1000000+6*1000+22))</f>
        <v/>
      </c>
      <c r="FA121" s="39">
        <f>IF(N('Dvd Calendar'!$AA$1171)=0,"",IF(('Dvd Calendar'!$AA$1171&gt;=GRID_FROM)*('Dvd Calendar'!$AA$1171&lt;=GRID_TO)*((('Dvd Calendar'!$AA$1171&lt;=VAL_DATE)+(COUNTIF('Dvd Calendar'!$E$1178:$AR$1178,'Dvd Calendar'!$AA$1171)=0))&gt;0)=0,"",'Dvd Calendar'!$AA$1171*1000000000+ISNUMBER('Dvd Calendar'!$AA$1174)*100000000+('Dvd Calendar'!$AA$1176=SPECIAL_LBL)*10000000+(N('Dvd Calendar'!$AA$1170)&gt;0)*(N('Dvd Calendar'!$AA$1170)&lt;=VAL_SERIAL)*1000000+6*1000+23))</f>
        <v/>
      </c>
      <c r="FB121" s="39">
        <f>IF(N('Dvd Calendar'!$AB$1171)=0,"",IF(('Dvd Calendar'!$AB$1171&gt;=GRID_FROM)*('Dvd Calendar'!$AB$1171&lt;=GRID_TO)*((('Dvd Calendar'!$AB$1171&lt;=VAL_DATE)+(COUNTIF('Dvd Calendar'!$E$1178:$AR$1178,'Dvd Calendar'!$AB$1171)=0))&gt;0)=0,"",'Dvd Calendar'!$AB$1171*1000000000+ISNUMBER('Dvd Calendar'!$AB$1174)*100000000+('Dvd Calendar'!$AB$1176=SPECIAL_LBL)*10000000+(N('Dvd Calendar'!$AB$1170)&gt;0)*(N('Dvd Calendar'!$AB$1170)&lt;=VAL_SERIAL)*1000000+6*1000+24))</f>
        <v/>
      </c>
      <c r="FC121" s="39">
        <f>IF(N('Dvd Calendar'!$AC$1171)=0,"",IF(('Dvd Calendar'!$AC$1171&gt;=GRID_FROM)*('Dvd Calendar'!$AC$1171&lt;=GRID_TO)*((('Dvd Calendar'!$AC$1171&lt;=VAL_DATE)+(COUNTIF('Dvd Calendar'!$E$1178:$AR$1178,'Dvd Calendar'!$AC$1171)=0))&gt;0)=0,"",'Dvd Calendar'!$AC$1171*1000000000+ISNUMBER('Dvd Calendar'!$AC$1174)*100000000+('Dvd Calendar'!$AC$1176=SPECIAL_LBL)*10000000+(N('Dvd Calendar'!$AC$1170)&gt;0)*(N('Dvd Calendar'!$AC$1170)&lt;=VAL_SERIAL)*1000000+6*1000+25))</f>
        <v/>
      </c>
      <c r="FD121" s="39">
        <f>IF(N('Dvd Calendar'!$AD$1171)=0,"",IF(('Dvd Calendar'!$AD$1171&gt;=GRID_FROM)*('Dvd Calendar'!$AD$1171&lt;=GRID_TO)*((('Dvd Calendar'!$AD$1171&lt;=VAL_DATE)+(COUNTIF('Dvd Calendar'!$E$1178:$AR$1178,'Dvd Calendar'!$AD$1171)=0))&gt;0)=0,"",'Dvd Calendar'!$AD$1171*1000000000+ISNUMBER('Dvd Calendar'!$AD$1174)*100000000+('Dvd Calendar'!$AD$1176=SPECIAL_LBL)*10000000+(N('Dvd Calendar'!$AD$1170)&gt;0)*(N('Dvd Calendar'!$AD$1170)&lt;=VAL_SERIAL)*1000000+6*1000+26))</f>
        <v/>
      </c>
      <c r="FE121" s="39">
        <f>IF(N('Dvd Calendar'!$AE$1171)=0,"",IF(('Dvd Calendar'!$AE$1171&gt;=GRID_FROM)*('Dvd Calendar'!$AE$1171&lt;=GRID_TO)*((('Dvd Calendar'!$AE$1171&lt;=VAL_DATE)+(COUNTIF('Dvd Calendar'!$E$1178:$AR$1178,'Dvd Calendar'!$AE$1171)=0))&gt;0)=0,"",'Dvd Calendar'!$AE$1171*1000000000+ISNUMBER('Dvd Calendar'!$AE$1174)*100000000+('Dvd Calendar'!$AE$1176=SPECIAL_LBL)*10000000+(N('Dvd Calendar'!$AE$1170)&gt;0)*(N('Dvd Calendar'!$AE$1170)&lt;=VAL_SERIAL)*1000000+6*1000+27))</f>
        <v/>
      </c>
      <c r="FF121" s="39">
        <f>IF(N('Dvd Calendar'!$AF$1171)=0,"",IF(('Dvd Calendar'!$AF$1171&gt;=GRID_FROM)*('Dvd Calendar'!$AF$1171&lt;=GRID_TO)*((('Dvd Calendar'!$AF$1171&lt;=VAL_DATE)+(COUNTIF('Dvd Calendar'!$E$1178:$AR$1178,'Dvd Calendar'!$AF$1171)=0))&gt;0)=0,"",'Dvd Calendar'!$AF$1171*1000000000+ISNUMBER('Dvd Calendar'!$AF$1174)*100000000+('Dvd Calendar'!$AF$1176=SPECIAL_LBL)*10000000+(N('Dvd Calendar'!$AF$1170)&gt;0)*(N('Dvd Calendar'!$AF$1170)&lt;=VAL_SERIAL)*1000000+6*1000+28))</f>
        <v/>
      </c>
      <c r="FG121" s="39">
        <f>IF(N('Dvd Calendar'!$AG$1171)=0,"",IF(('Dvd Calendar'!$AG$1171&gt;=GRID_FROM)*('Dvd Calendar'!$AG$1171&lt;=GRID_TO)*((('Dvd Calendar'!$AG$1171&lt;=VAL_DATE)+(COUNTIF('Dvd Calendar'!$E$1178:$AR$1178,'Dvd Calendar'!$AG$1171)=0))&gt;0)=0,"",'Dvd Calendar'!$AG$1171*1000000000+ISNUMBER('Dvd Calendar'!$AG$1174)*100000000+('Dvd Calendar'!$AG$1176=SPECIAL_LBL)*10000000+(N('Dvd Calendar'!$AG$1170)&gt;0)*(N('Dvd Calendar'!$AG$1170)&lt;=VAL_SERIAL)*1000000+6*1000+29))</f>
        <v/>
      </c>
      <c r="FH121" s="39">
        <f>IF(N('Dvd Calendar'!$AH$1171)=0,"",IF(('Dvd Calendar'!$AH$1171&gt;=GRID_FROM)*('Dvd Calendar'!$AH$1171&lt;=GRID_TO)*((('Dvd Calendar'!$AH$1171&lt;=VAL_DATE)+(COUNTIF('Dvd Calendar'!$E$1178:$AR$1178,'Dvd Calendar'!$AH$1171)=0))&gt;0)=0,"",'Dvd Calendar'!$AH$1171*1000000000+ISNUMBER('Dvd Calendar'!$AH$1174)*100000000+('Dvd Calendar'!$AH$1176=SPECIAL_LBL)*10000000+(N('Dvd Calendar'!$AH$1170)&gt;0)*(N('Dvd Calendar'!$AH$1170)&lt;=VAL_SERIAL)*1000000+6*1000+30))</f>
        <v/>
      </c>
      <c r="FI121" s="39">
        <f>IF(N('Dvd Calendar'!$AI$1171)=0,"",IF(('Dvd Calendar'!$AI$1171&gt;=GRID_FROM)*('Dvd Calendar'!$AI$1171&lt;=GRID_TO)*((('Dvd Calendar'!$AI$1171&lt;=VAL_DATE)+(COUNTIF('Dvd Calendar'!$E$1178:$AR$1178,'Dvd Calendar'!$AI$1171)=0))&gt;0)=0,"",'Dvd Calendar'!$AI$1171*1000000000+ISNUMBER('Dvd Calendar'!$AI$1174)*100000000+('Dvd Calendar'!$AI$1176=SPECIAL_LBL)*10000000+(N('Dvd Calendar'!$AI$1170)&gt;0)*(N('Dvd Calendar'!$AI$1170)&lt;=VAL_SERIAL)*1000000+6*1000+31))</f>
        <v/>
      </c>
      <c r="FJ121" s="39">
        <f>IF(N('Dvd Calendar'!$AJ$1171)=0,"",IF(('Dvd Calendar'!$AJ$1171&gt;=GRID_FROM)*('Dvd Calendar'!$AJ$1171&lt;=GRID_TO)*((('Dvd Calendar'!$AJ$1171&lt;=VAL_DATE)+(COUNTIF('Dvd Calendar'!$E$1178:$AR$1178,'Dvd Calendar'!$AJ$1171)=0))&gt;0)=0,"",'Dvd Calendar'!$AJ$1171*1000000000+ISNUMBER('Dvd Calendar'!$AJ$1174)*100000000+('Dvd Calendar'!$AJ$1176=SPECIAL_LBL)*10000000+(N('Dvd Calendar'!$AJ$1170)&gt;0)*(N('Dvd Calendar'!$AJ$1170)&lt;=VAL_SERIAL)*1000000+6*1000+32))</f>
        <v/>
      </c>
      <c r="FK121" s="39">
        <f>IF(N('Dvd Calendar'!$AK$1171)=0,"",IF(('Dvd Calendar'!$AK$1171&gt;=GRID_FROM)*('Dvd Calendar'!$AK$1171&lt;=GRID_TO)*((('Dvd Calendar'!$AK$1171&lt;=VAL_DATE)+(COUNTIF('Dvd Calendar'!$E$1178:$AR$1178,'Dvd Calendar'!$AK$1171)=0))&gt;0)=0,"",'Dvd Calendar'!$AK$1171*1000000000+ISNUMBER('Dvd Calendar'!$AK$1174)*100000000+('Dvd Calendar'!$AK$1176=SPECIAL_LBL)*10000000+(N('Dvd Calendar'!$AK$1170)&gt;0)*(N('Dvd Calendar'!$AK$1170)&lt;=VAL_SERIAL)*1000000+6*1000+33))</f>
        <v/>
      </c>
      <c r="FL121" s="39">
        <f>IF(N('Dvd Calendar'!$AL$1171)=0,"",IF(('Dvd Calendar'!$AL$1171&gt;=GRID_FROM)*('Dvd Calendar'!$AL$1171&lt;=GRID_TO)*((('Dvd Calendar'!$AL$1171&lt;=VAL_DATE)+(COUNTIF('Dvd Calendar'!$E$1178:$AR$1178,'Dvd Calendar'!$AL$1171)=0))&gt;0)=0,"",'Dvd Calendar'!$AL$1171*1000000000+ISNUMBER('Dvd Calendar'!$AL$1174)*100000000+('Dvd Calendar'!$AL$1176=SPECIAL_LBL)*10000000+(N('Dvd Calendar'!$AL$1170)&gt;0)*(N('Dvd Calendar'!$AL$1170)&lt;=VAL_SERIAL)*1000000+6*1000+34))</f>
        <v/>
      </c>
      <c r="FM121" s="39">
        <f>IF(N('Dvd Calendar'!$AM$1171)=0,"",IF(('Dvd Calendar'!$AM$1171&gt;=GRID_FROM)*('Dvd Calendar'!$AM$1171&lt;=GRID_TO)*((('Dvd Calendar'!$AM$1171&lt;=VAL_DATE)+(COUNTIF('Dvd Calendar'!$E$1178:$AR$1178,'Dvd Calendar'!$AM$1171)=0))&gt;0)=0,"",'Dvd Calendar'!$AM$1171*1000000000+ISNUMBER('Dvd Calendar'!$AM$1174)*100000000+('Dvd Calendar'!$AM$1176=SPECIAL_LBL)*10000000+(N('Dvd Calendar'!$AM$1170)&gt;0)*(N('Dvd Calendar'!$AM$1170)&lt;=VAL_SERIAL)*1000000+6*1000+35))</f>
        <v/>
      </c>
      <c r="FN121" s="39">
        <f>IF(N('Dvd Calendar'!$AN$1171)=0,"",IF(('Dvd Calendar'!$AN$1171&gt;=GRID_FROM)*('Dvd Calendar'!$AN$1171&lt;=GRID_TO)*((('Dvd Calendar'!$AN$1171&lt;=VAL_DATE)+(COUNTIF('Dvd Calendar'!$E$1178:$AR$1178,'Dvd Calendar'!$AN$1171)=0))&gt;0)=0,"",'Dvd Calendar'!$AN$1171*1000000000+ISNUMBER('Dvd Calendar'!$AN$1174)*100000000+('Dvd Calendar'!$AN$1176=SPECIAL_LBL)*10000000+(N('Dvd Calendar'!$AN$1170)&gt;0)*(N('Dvd Calendar'!$AN$1170)&lt;=VAL_SERIAL)*1000000+6*1000+36))</f>
        <v/>
      </c>
      <c r="FO121" s="39">
        <f>IF(N('Dvd Calendar'!$AO$1171)=0,"",IF(('Dvd Calendar'!$AO$1171&gt;=GRID_FROM)*('Dvd Calendar'!$AO$1171&lt;=GRID_TO)*((('Dvd Calendar'!$AO$1171&lt;=VAL_DATE)+(COUNTIF('Dvd Calendar'!$E$1178:$AR$1178,'Dvd Calendar'!$AO$1171)=0))&gt;0)=0,"",'Dvd Calendar'!$AO$1171*1000000000+ISNUMBER('Dvd Calendar'!$AO$1174)*100000000+('Dvd Calendar'!$AO$1176=SPECIAL_LBL)*10000000+(N('Dvd Calendar'!$AO$1170)&gt;0)*(N('Dvd Calendar'!$AO$1170)&lt;=VAL_SERIAL)*1000000+6*1000+37))</f>
        <v/>
      </c>
      <c r="FP121" s="39">
        <f>IF(N('Dvd Calendar'!$AP$1171)=0,"",IF(('Dvd Calendar'!$AP$1171&gt;=GRID_FROM)*('Dvd Calendar'!$AP$1171&lt;=GRID_TO)*((('Dvd Calendar'!$AP$1171&lt;=VAL_DATE)+(COUNTIF('Dvd Calendar'!$E$1178:$AR$1178,'Dvd Calendar'!$AP$1171)=0))&gt;0)=0,"",'Dvd Calendar'!$AP$1171*1000000000+ISNUMBER('Dvd Calendar'!$AP$1174)*100000000+('Dvd Calendar'!$AP$1176=SPECIAL_LBL)*10000000+(N('Dvd Calendar'!$AP$1170)&gt;0)*(N('Dvd Calendar'!$AP$1170)&lt;=VAL_SERIAL)*1000000+6*1000+38))</f>
        <v/>
      </c>
      <c r="FQ121" s="39">
        <f>IF(N('Dvd Calendar'!$AQ$1171)=0,"",IF(('Dvd Calendar'!$AQ$1171&gt;=GRID_FROM)*('Dvd Calendar'!$AQ$1171&lt;=GRID_TO)*((('Dvd Calendar'!$AQ$1171&lt;=VAL_DATE)+(COUNTIF('Dvd Calendar'!$E$1178:$AR$1178,'Dvd Calendar'!$AQ$1171)=0))&gt;0)=0,"",'Dvd Calendar'!$AQ$1171*1000000000+ISNUMBER('Dvd Calendar'!$AQ$1174)*100000000+('Dvd Calendar'!$AQ$1176=SPECIAL_LBL)*10000000+(N('Dvd Calendar'!$AQ$1170)&gt;0)*(N('Dvd Calendar'!$AQ$1170)&lt;=VAL_SERIAL)*1000000+6*1000+39))</f>
        <v/>
      </c>
      <c r="FR121" s="39">
        <f>IF(N('Dvd Calendar'!$AR$1171)=0,"",IF(('Dvd Calendar'!$AR$1171&gt;=GRID_FROM)*('Dvd Calendar'!$AR$1171&lt;=GRID_TO)*((('Dvd Calendar'!$AR$1171&lt;=VAL_DATE)+(COUNTIF('Dvd Calendar'!$E$1178:$AR$1178,'Dvd Calendar'!$AR$1171)=0))&gt;0)=0,"",'Dvd Calendar'!$AR$1171*1000000000+ISNUMBER('Dvd Calendar'!$AR$1174)*100000000+('Dvd Calendar'!$AR$1176=SPECIAL_LBL)*10000000+(N('Dvd Calendar'!$AR$1170)&gt;0)*(N('Dvd Calendar'!$AR$1170)&lt;=VAL_SERIAL)*1000000+6*1000+40))</f>
        <v/>
      </c>
      <c r="FS121" s="39">
        <f>IF(N('Dvd Calendar'!$E$1178)=0,"",IF(('Dvd Calendar'!$E$1178&gt;=GRID_FROM)*('Dvd Calendar'!$E$1178&lt;=GRID_TO)*('Dvd Calendar'!$E$1178&gt;VAL_DATE)=0,"",'Dvd Calendar'!$E$1178*1000000000+ISNUMBER('Dvd Calendar'!$E$1179)*100000000+0*10000000+(N('Dvd Calendar'!$E$1177)&gt;0)*(N('Dvd Calendar'!$E$1177)&lt;=VAL_SERIAL)*1000000+6*1000+41))</f>
        <v/>
      </c>
      <c r="FT121" s="39">
        <f>IF(N('Dvd Calendar'!$F$1178)=0,"",IF(('Dvd Calendar'!$F$1178&gt;=GRID_FROM)*('Dvd Calendar'!$F$1178&lt;=GRID_TO)*('Dvd Calendar'!$F$1178&gt;VAL_DATE)=0,"",'Dvd Calendar'!$F$1178*1000000000+ISNUMBER('Dvd Calendar'!$F$1179)*100000000+0*10000000+(N('Dvd Calendar'!$F$1177)&gt;0)*(N('Dvd Calendar'!$F$1177)&lt;=VAL_SERIAL)*1000000+6*1000+42))</f>
        <v/>
      </c>
      <c r="FU121" s="39">
        <f>IF(N('Dvd Calendar'!$G$1178)=0,"",IF(('Dvd Calendar'!$G$1178&gt;=GRID_FROM)*('Dvd Calendar'!$G$1178&lt;=GRID_TO)*('Dvd Calendar'!$G$1178&gt;VAL_DATE)=0,"",'Dvd Calendar'!$G$1178*1000000000+ISNUMBER('Dvd Calendar'!$G$1179)*100000000+0*10000000+(N('Dvd Calendar'!$G$1177)&gt;0)*(N('Dvd Calendar'!$G$1177)&lt;=VAL_SERIAL)*1000000+6*1000+43))</f>
        <v/>
      </c>
      <c r="FV121" s="39">
        <f>IF(N('Dvd Calendar'!$H$1178)=0,"",IF(('Dvd Calendar'!$H$1178&gt;=GRID_FROM)*('Dvd Calendar'!$H$1178&lt;=GRID_TO)*('Dvd Calendar'!$H$1178&gt;VAL_DATE)=0,"",'Dvd Calendar'!$H$1178*1000000000+ISNUMBER('Dvd Calendar'!$H$1179)*100000000+0*10000000+(N('Dvd Calendar'!$H$1177)&gt;0)*(N('Dvd Calendar'!$H$1177)&lt;=VAL_SERIAL)*1000000+6*1000+44))</f>
        <v/>
      </c>
      <c r="FW121" s="39">
        <f>IF(N('Dvd Calendar'!$I$1178)=0,"",IF(('Dvd Calendar'!$I$1178&gt;=GRID_FROM)*('Dvd Calendar'!$I$1178&lt;=GRID_TO)*('Dvd Calendar'!$I$1178&gt;VAL_DATE)=0,"",'Dvd Calendar'!$I$1178*1000000000+ISNUMBER('Dvd Calendar'!$I$1179)*100000000+0*10000000+(N('Dvd Calendar'!$I$1177)&gt;0)*(N('Dvd Calendar'!$I$1177)&lt;=VAL_SERIAL)*1000000+6*1000+45))</f>
        <v/>
      </c>
      <c r="FX121" s="39">
        <f>IF(N('Dvd Calendar'!$J$1178)=0,"",IF(('Dvd Calendar'!$J$1178&gt;=GRID_FROM)*('Dvd Calendar'!$J$1178&lt;=GRID_TO)*('Dvd Calendar'!$J$1178&gt;VAL_DATE)=0,"",'Dvd Calendar'!$J$1178*1000000000+ISNUMBER('Dvd Calendar'!$J$1179)*100000000+0*10000000+(N('Dvd Calendar'!$J$1177)&gt;0)*(N('Dvd Calendar'!$J$1177)&lt;=VAL_SERIAL)*1000000+6*1000+46))</f>
        <v/>
      </c>
      <c r="FY121" s="39">
        <f>IF(N('Dvd Calendar'!$K$1178)=0,"",IF(('Dvd Calendar'!$K$1178&gt;=GRID_FROM)*('Dvd Calendar'!$K$1178&lt;=GRID_TO)*('Dvd Calendar'!$K$1178&gt;VAL_DATE)=0,"",'Dvd Calendar'!$K$1178*1000000000+ISNUMBER('Dvd Calendar'!$K$1179)*100000000+0*10000000+(N('Dvd Calendar'!$K$1177)&gt;0)*(N('Dvd Calendar'!$K$1177)&lt;=VAL_SERIAL)*1000000+6*1000+47))</f>
        <v/>
      </c>
      <c r="FZ121" s="39">
        <f>IF(N('Dvd Calendar'!$L$1178)=0,"",IF(('Dvd Calendar'!$L$1178&gt;=GRID_FROM)*('Dvd Calendar'!$L$1178&lt;=GRID_TO)*('Dvd Calendar'!$L$1178&gt;VAL_DATE)=0,"",'Dvd Calendar'!$L$1178*1000000000+ISNUMBER('Dvd Calendar'!$L$1179)*100000000+0*10000000+(N('Dvd Calendar'!$L$1177)&gt;0)*(N('Dvd Calendar'!$L$1177)&lt;=VAL_SERIAL)*1000000+6*1000+48))</f>
        <v/>
      </c>
      <c r="GA121" s="39">
        <f>IF(N('Dvd Calendar'!$M$1178)=0,"",IF(('Dvd Calendar'!$M$1178&gt;=GRID_FROM)*('Dvd Calendar'!$M$1178&lt;=GRID_TO)*('Dvd Calendar'!$M$1178&gt;VAL_DATE)=0,"",'Dvd Calendar'!$M$1178*1000000000+ISNUMBER('Dvd Calendar'!$M$1179)*100000000+0*10000000+(N('Dvd Calendar'!$M$1177)&gt;0)*(N('Dvd Calendar'!$M$1177)&lt;=VAL_SERIAL)*1000000+6*1000+49))</f>
        <v/>
      </c>
      <c r="GB121" s="39">
        <f>IF(N('Dvd Calendar'!$N$1178)=0,"",IF(('Dvd Calendar'!$N$1178&gt;=GRID_FROM)*('Dvd Calendar'!$N$1178&lt;=GRID_TO)*('Dvd Calendar'!$N$1178&gt;VAL_DATE)=0,"",'Dvd Calendar'!$N$1178*1000000000+ISNUMBER('Dvd Calendar'!$N$1179)*100000000+0*10000000+(N('Dvd Calendar'!$N$1177)&gt;0)*(N('Dvd Calendar'!$N$1177)&lt;=VAL_SERIAL)*1000000+6*1000+50))</f>
        <v/>
      </c>
      <c r="GC121" s="39">
        <f>IF(N('Dvd Calendar'!$O$1178)=0,"",IF(('Dvd Calendar'!$O$1178&gt;=GRID_FROM)*('Dvd Calendar'!$O$1178&lt;=GRID_TO)*('Dvd Calendar'!$O$1178&gt;VAL_DATE)=0,"",'Dvd Calendar'!$O$1178*1000000000+ISNUMBER('Dvd Calendar'!$O$1179)*100000000+0*10000000+(N('Dvd Calendar'!$O$1177)&gt;0)*(N('Dvd Calendar'!$O$1177)&lt;=VAL_SERIAL)*1000000+6*1000+51))</f>
        <v/>
      </c>
      <c r="GD121" s="39">
        <f>IF(N('Dvd Calendar'!$P$1178)=0,"",IF(('Dvd Calendar'!$P$1178&gt;=GRID_FROM)*('Dvd Calendar'!$P$1178&lt;=GRID_TO)*('Dvd Calendar'!$P$1178&gt;VAL_DATE)=0,"",'Dvd Calendar'!$P$1178*1000000000+ISNUMBER('Dvd Calendar'!$P$1179)*100000000+0*10000000+(N('Dvd Calendar'!$P$1177)&gt;0)*(N('Dvd Calendar'!$P$1177)&lt;=VAL_SERIAL)*1000000+6*1000+52))</f>
        <v/>
      </c>
      <c r="GE121" s="39">
        <f>IF(N('Dvd Calendar'!$Q$1178)=0,"",IF(('Dvd Calendar'!$Q$1178&gt;=GRID_FROM)*('Dvd Calendar'!$Q$1178&lt;=GRID_TO)*('Dvd Calendar'!$Q$1178&gt;VAL_DATE)=0,"",'Dvd Calendar'!$Q$1178*1000000000+ISNUMBER('Dvd Calendar'!$Q$1179)*100000000+0*10000000+(N('Dvd Calendar'!$Q$1177)&gt;0)*(N('Dvd Calendar'!$Q$1177)&lt;=VAL_SERIAL)*1000000+6*1000+53))</f>
        <v/>
      </c>
      <c r="GF121" s="39">
        <f>IF(N('Dvd Calendar'!$R$1178)=0,"",IF(('Dvd Calendar'!$R$1178&gt;=GRID_FROM)*('Dvd Calendar'!$R$1178&lt;=GRID_TO)*('Dvd Calendar'!$R$1178&gt;VAL_DATE)=0,"",'Dvd Calendar'!$R$1178*1000000000+ISNUMBER('Dvd Calendar'!$R$1179)*100000000+0*10000000+(N('Dvd Calendar'!$R$1177)&gt;0)*(N('Dvd Calendar'!$R$1177)&lt;=VAL_SERIAL)*1000000+6*1000+54))</f>
        <v/>
      </c>
      <c r="GG121" s="39">
        <f>IF(N('Dvd Calendar'!$S$1178)=0,"",IF(('Dvd Calendar'!$S$1178&gt;=GRID_FROM)*('Dvd Calendar'!$S$1178&lt;=GRID_TO)*('Dvd Calendar'!$S$1178&gt;VAL_DATE)=0,"",'Dvd Calendar'!$S$1178*1000000000+ISNUMBER('Dvd Calendar'!$S$1179)*100000000+0*10000000+(N('Dvd Calendar'!$S$1177)&gt;0)*(N('Dvd Calendar'!$S$1177)&lt;=VAL_SERIAL)*1000000+6*1000+55))</f>
        <v/>
      </c>
      <c r="GH121" s="39">
        <f>IF(N('Dvd Calendar'!$T$1178)=0,"",IF(('Dvd Calendar'!$T$1178&gt;=GRID_FROM)*('Dvd Calendar'!$T$1178&lt;=GRID_TO)*('Dvd Calendar'!$T$1178&gt;VAL_DATE)=0,"",'Dvd Calendar'!$T$1178*1000000000+ISNUMBER('Dvd Calendar'!$T$1179)*100000000+0*10000000+(N('Dvd Calendar'!$T$1177)&gt;0)*(N('Dvd Calendar'!$T$1177)&lt;=VAL_SERIAL)*1000000+6*1000+56))</f>
        <v/>
      </c>
      <c r="GI121" s="39">
        <f>IF(N('Dvd Calendar'!$U$1178)=0,"",IF(('Dvd Calendar'!$U$1178&gt;=GRID_FROM)*('Dvd Calendar'!$U$1178&lt;=GRID_TO)*('Dvd Calendar'!$U$1178&gt;VAL_DATE)=0,"",'Dvd Calendar'!$U$1178*1000000000+ISNUMBER('Dvd Calendar'!$U$1179)*100000000+0*10000000+(N('Dvd Calendar'!$U$1177)&gt;0)*(N('Dvd Calendar'!$U$1177)&lt;=VAL_SERIAL)*1000000+6*1000+57))</f>
        <v/>
      </c>
      <c r="GJ121" s="39">
        <f>IF(N('Dvd Calendar'!$V$1178)=0,"",IF(('Dvd Calendar'!$V$1178&gt;=GRID_FROM)*('Dvd Calendar'!$V$1178&lt;=GRID_TO)*('Dvd Calendar'!$V$1178&gt;VAL_DATE)=0,"",'Dvd Calendar'!$V$1178*1000000000+ISNUMBER('Dvd Calendar'!$V$1179)*100000000+0*10000000+(N('Dvd Calendar'!$V$1177)&gt;0)*(N('Dvd Calendar'!$V$1177)&lt;=VAL_SERIAL)*1000000+6*1000+58))</f>
        <v/>
      </c>
      <c r="GK121" s="39">
        <f>IF(N('Dvd Calendar'!$W$1178)=0,"",IF(('Dvd Calendar'!$W$1178&gt;=GRID_FROM)*('Dvd Calendar'!$W$1178&lt;=GRID_TO)*('Dvd Calendar'!$W$1178&gt;VAL_DATE)=0,"",'Dvd Calendar'!$W$1178*1000000000+ISNUMBER('Dvd Calendar'!$W$1179)*100000000+0*10000000+(N('Dvd Calendar'!$W$1177)&gt;0)*(N('Dvd Calendar'!$W$1177)&lt;=VAL_SERIAL)*1000000+6*1000+59))</f>
        <v/>
      </c>
      <c r="GL121" s="39">
        <f>IF(N('Dvd Calendar'!$X$1178)=0,"",IF(('Dvd Calendar'!$X$1178&gt;=GRID_FROM)*('Dvd Calendar'!$X$1178&lt;=GRID_TO)*('Dvd Calendar'!$X$1178&gt;VAL_DATE)=0,"",'Dvd Calendar'!$X$1178*1000000000+ISNUMBER('Dvd Calendar'!$X$1179)*100000000+0*10000000+(N('Dvd Calendar'!$X$1177)&gt;0)*(N('Dvd Calendar'!$X$1177)&lt;=VAL_SERIAL)*1000000+6*1000+60))</f>
        <v/>
      </c>
      <c r="GM121" s="39">
        <f>IF(N('Dvd Calendar'!$Y$1178)=0,"",IF(('Dvd Calendar'!$Y$1178&gt;=GRID_FROM)*('Dvd Calendar'!$Y$1178&lt;=GRID_TO)*('Dvd Calendar'!$Y$1178&gt;VAL_DATE)=0,"",'Dvd Calendar'!$Y$1178*1000000000+ISNUMBER('Dvd Calendar'!$Y$1179)*100000000+0*10000000+(N('Dvd Calendar'!$Y$1177)&gt;0)*(N('Dvd Calendar'!$Y$1177)&lt;=VAL_SERIAL)*1000000+6*1000+61))</f>
        <v/>
      </c>
      <c r="GN121" s="39">
        <f>IF(N('Dvd Calendar'!$Z$1178)=0,"",IF(('Dvd Calendar'!$Z$1178&gt;=GRID_FROM)*('Dvd Calendar'!$Z$1178&lt;=GRID_TO)*('Dvd Calendar'!$Z$1178&gt;VAL_DATE)=0,"",'Dvd Calendar'!$Z$1178*1000000000+ISNUMBER('Dvd Calendar'!$Z$1179)*100000000+0*10000000+(N('Dvd Calendar'!$Z$1177)&gt;0)*(N('Dvd Calendar'!$Z$1177)&lt;=VAL_SERIAL)*1000000+6*1000+62))</f>
        <v/>
      </c>
      <c r="GO121" s="39">
        <f>IF(N('Dvd Calendar'!$AA$1178)=0,"",IF(('Dvd Calendar'!$AA$1178&gt;=GRID_FROM)*('Dvd Calendar'!$AA$1178&lt;=GRID_TO)*('Dvd Calendar'!$AA$1178&gt;VAL_DATE)=0,"",'Dvd Calendar'!$AA$1178*1000000000+ISNUMBER('Dvd Calendar'!$AA$1179)*100000000+0*10000000+(N('Dvd Calendar'!$AA$1177)&gt;0)*(N('Dvd Calendar'!$AA$1177)&lt;=VAL_SERIAL)*1000000+6*1000+63))</f>
        <v/>
      </c>
      <c r="GP121" s="39">
        <f>IF(N('Dvd Calendar'!$AB$1178)=0,"",IF(('Dvd Calendar'!$AB$1178&gt;=GRID_FROM)*('Dvd Calendar'!$AB$1178&lt;=GRID_TO)*('Dvd Calendar'!$AB$1178&gt;VAL_DATE)=0,"",'Dvd Calendar'!$AB$1178*1000000000+ISNUMBER('Dvd Calendar'!$AB$1179)*100000000+0*10000000+(N('Dvd Calendar'!$AB$1177)&gt;0)*(N('Dvd Calendar'!$AB$1177)&lt;=VAL_SERIAL)*1000000+6*1000+64))</f>
        <v/>
      </c>
      <c r="GQ121" s="39">
        <f>IF(N('Dvd Calendar'!$AC$1178)=0,"",IF(('Dvd Calendar'!$AC$1178&gt;=GRID_FROM)*('Dvd Calendar'!$AC$1178&lt;=GRID_TO)*('Dvd Calendar'!$AC$1178&gt;VAL_DATE)=0,"",'Dvd Calendar'!$AC$1178*1000000000+ISNUMBER('Dvd Calendar'!$AC$1179)*100000000+0*10000000+(N('Dvd Calendar'!$AC$1177)&gt;0)*(N('Dvd Calendar'!$AC$1177)&lt;=VAL_SERIAL)*1000000+6*1000+65))</f>
        <v/>
      </c>
    </row>
    <row r="122">
      <c r="B122" s="2">
        <f>IF(HSTECH!$C$13="","",HSTECH!$C$13)</f>
        <v/>
      </c>
      <c r="C122" s="110">
        <f>IF(EE122="","",IF(ISNUMBER('Dvd Calendar'!$E$1185)=FALSE,"",IF((('Dvd Calendar'!$E$1187=TYPE1)*(TYPE1&lt;&gt;"")+('Dvd Calendar'!$E$1187=TYPE2)*(TYPE2&lt;&gt;"")+('Dvd Calendar'!$E$1187=TYPE3)*(TYPE3&lt;&gt;"")+('Dvd Calendar'!$E$1187=TYPE4)*(TYPE4&lt;&gt;"")+('Dvd Calendar'!$E$1187=SPECIAL_LBL)*(INC_SPECIALS="Y"))=0,"",'Dvd Calendar'!$E$1185)))</f>
        <v/>
      </c>
      <c r="D122" s="110">
        <f>IF(EF122="","",IF(ISNUMBER('Dvd Calendar'!$F$1185)=FALSE,"",IF((('Dvd Calendar'!$F$1187=TYPE1)*(TYPE1&lt;&gt;"")+('Dvd Calendar'!$F$1187=TYPE2)*(TYPE2&lt;&gt;"")+('Dvd Calendar'!$F$1187=TYPE3)*(TYPE3&lt;&gt;"")+('Dvd Calendar'!$F$1187=TYPE4)*(TYPE4&lt;&gt;"")+('Dvd Calendar'!$F$1187=SPECIAL_LBL)*(INC_SPECIALS="Y"))=0,"",'Dvd Calendar'!$F$1185)))</f>
        <v/>
      </c>
      <c r="E122" s="110">
        <f>IF(EG122="","",IF(ISNUMBER('Dvd Calendar'!$G$1185)=FALSE,"",IF((('Dvd Calendar'!$G$1187=TYPE1)*(TYPE1&lt;&gt;"")+('Dvd Calendar'!$G$1187=TYPE2)*(TYPE2&lt;&gt;"")+('Dvd Calendar'!$G$1187=TYPE3)*(TYPE3&lt;&gt;"")+('Dvd Calendar'!$G$1187=TYPE4)*(TYPE4&lt;&gt;"")+('Dvd Calendar'!$G$1187=SPECIAL_LBL)*(INC_SPECIALS="Y"))=0,"",'Dvd Calendar'!$G$1185)))</f>
        <v/>
      </c>
      <c r="F122" s="110">
        <f>IF(EH122="","",IF(ISNUMBER('Dvd Calendar'!$H$1185)=FALSE,"",IF((('Dvd Calendar'!$H$1187=TYPE1)*(TYPE1&lt;&gt;"")+('Dvd Calendar'!$H$1187=TYPE2)*(TYPE2&lt;&gt;"")+('Dvd Calendar'!$H$1187=TYPE3)*(TYPE3&lt;&gt;"")+('Dvd Calendar'!$H$1187=TYPE4)*(TYPE4&lt;&gt;"")+('Dvd Calendar'!$H$1187=SPECIAL_LBL)*(INC_SPECIALS="Y"))=0,"",'Dvd Calendar'!$H$1185)))</f>
        <v/>
      </c>
      <c r="G122" s="110">
        <f>IF(EI122="","",IF(ISNUMBER('Dvd Calendar'!$I$1185)=FALSE,"",IF((('Dvd Calendar'!$I$1187=TYPE1)*(TYPE1&lt;&gt;"")+('Dvd Calendar'!$I$1187=TYPE2)*(TYPE2&lt;&gt;"")+('Dvd Calendar'!$I$1187=TYPE3)*(TYPE3&lt;&gt;"")+('Dvd Calendar'!$I$1187=TYPE4)*(TYPE4&lt;&gt;"")+('Dvd Calendar'!$I$1187=SPECIAL_LBL)*(INC_SPECIALS="Y"))=0,"",'Dvd Calendar'!$I$1185)))</f>
        <v/>
      </c>
      <c r="H122" s="110">
        <f>IF(EJ122="","",IF(ISNUMBER('Dvd Calendar'!$J$1185)=FALSE,"",IF((('Dvd Calendar'!$J$1187=TYPE1)*(TYPE1&lt;&gt;"")+('Dvd Calendar'!$J$1187=TYPE2)*(TYPE2&lt;&gt;"")+('Dvd Calendar'!$J$1187=TYPE3)*(TYPE3&lt;&gt;"")+('Dvd Calendar'!$J$1187=TYPE4)*(TYPE4&lt;&gt;"")+('Dvd Calendar'!$J$1187=SPECIAL_LBL)*(INC_SPECIALS="Y"))=0,"",'Dvd Calendar'!$J$1185)))</f>
        <v/>
      </c>
      <c r="I122" s="110">
        <f>IF(EK122="","",IF(ISNUMBER('Dvd Calendar'!$K$1185)=FALSE,"",IF((('Dvd Calendar'!$K$1187=TYPE1)*(TYPE1&lt;&gt;"")+('Dvd Calendar'!$K$1187=TYPE2)*(TYPE2&lt;&gt;"")+('Dvd Calendar'!$K$1187=TYPE3)*(TYPE3&lt;&gt;"")+('Dvd Calendar'!$K$1187=TYPE4)*(TYPE4&lt;&gt;"")+('Dvd Calendar'!$K$1187=SPECIAL_LBL)*(INC_SPECIALS="Y"))=0,"",'Dvd Calendar'!$K$1185)))</f>
        <v/>
      </c>
      <c r="J122" s="110">
        <f>IF(EL122="","",IF(ISNUMBER('Dvd Calendar'!$L$1185)=FALSE,"",IF((('Dvd Calendar'!$L$1187=TYPE1)*(TYPE1&lt;&gt;"")+('Dvd Calendar'!$L$1187=TYPE2)*(TYPE2&lt;&gt;"")+('Dvd Calendar'!$L$1187=TYPE3)*(TYPE3&lt;&gt;"")+('Dvd Calendar'!$L$1187=TYPE4)*(TYPE4&lt;&gt;"")+('Dvd Calendar'!$L$1187=SPECIAL_LBL)*(INC_SPECIALS="Y"))=0,"",'Dvd Calendar'!$L$1185)))</f>
        <v/>
      </c>
      <c r="K122" s="110">
        <f>IF(EM122="","",IF(ISNUMBER('Dvd Calendar'!$M$1185)=FALSE,"",IF((('Dvd Calendar'!$M$1187=TYPE1)*(TYPE1&lt;&gt;"")+('Dvd Calendar'!$M$1187=TYPE2)*(TYPE2&lt;&gt;"")+('Dvd Calendar'!$M$1187=TYPE3)*(TYPE3&lt;&gt;"")+('Dvd Calendar'!$M$1187=TYPE4)*(TYPE4&lt;&gt;"")+('Dvd Calendar'!$M$1187=SPECIAL_LBL)*(INC_SPECIALS="Y"))=0,"",'Dvd Calendar'!$M$1185)))</f>
        <v/>
      </c>
      <c r="L122" s="110">
        <f>IF(EN122="","",IF(ISNUMBER('Dvd Calendar'!$N$1185)=FALSE,"",IF((('Dvd Calendar'!$N$1187=TYPE1)*(TYPE1&lt;&gt;"")+('Dvd Calendar'!$N$1187=TYPE2)*(TYPE2&lt;&gt;"")+('Dvd Calendar'!$N$1187=TYPE3)*(TYPE3&lt;&gt;"")+('Dvd Calendar'!$N$1187=TYPE4)*(TYPE4&lt;&gt;"")+('Dvd Calendar'!$N$1187=SPECIAL_LBL)*(INC_SPECIALS="Y"))=0,"",'Dvd Calendar'!$N$1185)))</f>
        <v/>
      </c>
      <c r="M122" s="110">
        <f>IF(EO122="","",IF(ISNUMBER('Dvd Calendar'!$O$1185)=FALSE,"",IF((('Dvd Calendar'!$O$1187=TYPE1)*(TYPE1&lt;&gt;"")+('Dvd Calendar'!$O$1187=TYPE2)*(TYPE2&lt;&gt;"")+('Dvd Calendar'!$O$1187=TYPE3)*(TYPE3&lt;&gt;"")+('Dvd Calendar'!$O$1187=TYPE4)*(TYPE4&lt;&gt;"")+('Dvd Calendar'!$O$1187=SPECIAL_LBL)*(INC_SPECIALS="Y"))=0,"",'Dvd Calendar'!$O$1185)))</f>
        <v/>
      </c>
      <c r="N122" s="110">
        <f>IF(EP122="","",IF(ISNUMBER('Dvd Calendar'!$P$1185)=FALSE,"",IF((('Dvd Calendar'!$P$1187=TYPE1)*(TYPE1&lt;&gt;"")+('Dvd Calendar'!$P$1187=TYPE2)*(TYPE2&lt;&gt;"")+('Dvd Calendar'!$P$1187=TYPE3)*(TYPE3&lt;&gt;"")+('Dvd Calendar'!$P$1187=TYPE4)*(TYPE4&lt;&gt;"")+('Dvd Calendar'!$P$1187=SPECIAL_LBL)*(INC_SPECIALS="Y"))=0,"",'Dvd Calendar'!$P$1185)))</f>
        <v/>
      </c>
      <c r="O122" s="110">
        <f>IF(EQ122="","",IF(ISNUMBER('Dvd Calendar'!$Q$1185)=FALSE,"",IF((('Dvd Calendar'!$Q$1187=TYPE1)*(TYPE1&lt;&gt;"")+('Dvd Calendar'!$Q$1187=TYPE2)*(TYPE2&lt;&gt;"")+('Dvd Calendar'!$Q$1187=TYPE3)*(TYPE3&lt;&gt;"")+('Dvd Calendar'!$Q$1187=TYPE4)*(TYPE4&lt;&gt;"")+('Dvd Calendar'!$Q$1187=SPECIAL_LBL)*(INC_SPECIALS="Y"))=0,"",'Dvd Calendar'!$Q$1185)))</f>
        <v/>
      </c>
      <c r="P122" s="110">
        <f>IF(ER122="","",IF(ISNUMBER('Dvd Calendar'!$R$1185)=FALSE,"",IF((('Dvd Calendar'!$R$1187=TYPE1)*(TYPE1&lt;&gt;"")+('Dvd Calendar'!$R$1187=TYPE2)*(TYPE2&lt;&gt;"")+('Dvd Calendar'!$R$1187=TYPE3)*(TYPE3&lt;&gt;"")+('Dvd Calendar'!$R$1187=TYPE4)*(TYPE4&lt;&gt;"")+('Dvd Calendar'!$R$1187=SPECIAL_LBL)*(INC_SPECIALS="Y"))=0,"",'Dvd Calendar'!$R$1185)))</f>
        <v/>
      </c>
      <c r="Q122" s="110">
        <f>IF(ES122="","",IF(ISNUMBER('Dvd Calendar'!$S$1185)=FALSE,"",IF((('Dvd Calendar'!$S$1187=TYPE1)*(TYPE1&lt;&gt;"")+('Dvd Calendar'!$S$1187=TYPE2)*(TYPE2&lt;&gt;"")+('Dvd Calendar'!$S$1187=TYPE3)*(TYPE3&lt;&gt;"")+('Dvd Calendar'!$S$1187=TYPE4)*(TYPE4&lt;&gt;"")+('Dvd Calendar'!$S$1187=SPECIAL_LBL)*(INC_SPECIALS="Y"))=0,"",'Dvd Calendar'!$S$1185)))</f>
        <v/>
      </c>
      <c r="R122" s="110">
        <f>IF(ET122="","",IF(ISNUMBER('Dvd Calendar'!$T$1185)=FALSE,"",IF((('Dvd Calendar'!$T$1187=TYPE1)*(TYPE1&lt;&gt;"")+('Dvd Calendar'!$T$1187=TYPE2)*(TYPE2&lt;&gt;"")+('Dvd Calendar'!$T$1187=TYPE3)*(TYPE3&lt;&gt;"")+('Dvd Calendar'!$T$1187=TYPE4)*(TYPE4&lt;&gt;"")+('Dvd Calendar'!$T$1187=SPECIAL_LBL)*(INC_SPECIALS="Y"))=0,"",'Dvd Calendar'!$T$1185)))</f>
        <v/>
      </c>
      <c r="S122" s="110">
        <f>IF(EU122="","",IF(ISNUMBER('Dvd Calendar'!$U$1185)=FALSE,"",IF((('Dvd Calendar'!$U$1187=TYPE1)*(TYPE1&lt;&gt;"")+('Dvd Calendar'!$U$1187=TYPE2)*(TYPE2&lt;&gt;"")+('Dvd Calendar'!$U$1187=TYPE3)*(TYPE3&lt;&gt;"")+('Dvd Calendar'!$U$1187=TYPE4)*(TYPE4&lt;&gt;"")+('Dvd Calendar'!$U$1187=SPECIAL_LBL)*(INC_SPECIALS="Y"))=0,"",'Dvd Calendar'!$U$1185)))</f>
        <v/>
      </c>
      <c r="T122" s="110">
        <f>IF(EV122="","",IF(ISNUMBER('Dvd Calendar'!$V$1185)=FALSE,"",IF((('Dvd Calendar'!$V$1187=TYPE1)*(TYPE1&lt;&gt;"")+('Dvd Calendar'!$V$1187=TYPE2)*(TYPE2&lt;&gt;"")+('Dvd Calendar'!$V$1187=TYPE3)*(TYPE3&lt;&gt;"")+('Dvd Calendar'!$V$1187=TYPE4)*(TYPE4&lt;&gt;"")+('Dvd Calendar'!$V$1187=SPECIAL_LBL)*(INC_SPECIALS="Y"))=0,"",'Dvd Calendar'!$V$1185)))</f>
        <v/>
      </c>
      <c r="U122" s="110">
        <f>IF(EW122="","",IF(ISNUMBER('Dvd Calendar'!$W$1185)=FALSE,"",IF((('Dvd Calendar'!$W$1187=TYPE1)*(TYPE1&lt;&gt;"")+('Dvd Calendar'!$W$1187=TYPE2)*(TYPE2&lt;&gt;"")+('Dvd Calendar'!$W$1187=TYPE3)*(TYPE3&lt;&gt;"")+('Dvd Calendar'!$W$1187=TYPE4)*(TYPE4&lt;&gt;"")+('Dvd Calendar'!$W$1187=SPECIAL_LBL)*(INC_SPECIALS="Y"))=0,"",'Dvd Calendar'!$W$1185)))</f>
        <v/>
      </c>
      <c r="V122" s="110">
        <f>IF(EX122="","",IF(ISNUMBER('Dvd Calendar'!$X$1185)=FALSE,"",IF((('Dvd Calendar'!$X$1187=TYPE1)*(TYPE1&lt;&gt;"")+('Dvd Calendar'!$X$1187=TYPE2)*(TYPE2&lt;&gt;"")+('Dvd Calendar'!$X$1187=TYPE3)*(TYPE3&lt;&gt;"")+('Dvd Calendar'!$X$1187=TYPE4)*(TYPE4&lt;&gt;"")+('Dvd Calendar'!$X$1187=SPECIAL_LBL)*(INC_SPECIALS="Y"))=0,"",'Dvd Calendar'!$X$1185)))</f>
        <v/>
      </c>
      <c r="W122" s="110">
        <f>IF(EY122="","",IF(ISNUMBER('Dvd Calendar'!$Y$1185)=FALSE,"",IF((('Dvd Calendar'!$Y$1187=TYPE1)*(TYPE1&lt;&gt;"")+('Dvd Calendar'!$Y$1187=TYPE2)*(TYPE2&lt;&gt;"")+('Dvd Calendar'!$Y$1187=TYPE3)*(TYPE3&lt;&gt;"")+('Dvd Calendar'!$Y$1187=TYPE4)*(TYPE4&lt;&gt;"")+('Dvd Calendar'!$Y$1187=SPECIAL_LBL)*(INC_SPECIALS="Y"))=0,"",'Dvd Calendar'!$Y$1185)))</f>
        <v/>
      </c>
      <c r="X122" s="110">
        <f>IF(EZ122="","",IF(ISNUMBER('Dvd Calendar'!$Z$1185)=FALSE,"",IF((('Dvd Calendar'!$Z$1187=TYPE1)*(TYPE1&lt;&gt;"")+('Dvd Calendar'!$Z$1187=TYPE2)*(TYPE2&lt;&gt;"")+('Dvd Calendar'!$Z$1187=TYPE3)*(TYPE3&lt;&gt;"")+('Dvd Calendar'!$Z$1187=TYPE4)*(TYPE4&lt;&gt;"")+('Dvd Calendar'!$Z$1187=SPECIAL_LBL)*(INC_SPECIALS="Y"))=0,"",'Dvd Calendar'!$Z$1185)))</f>
        <v/>
      </c>
      <c r="Y122" s="110">
        <f>IF(FA122="","",IF(ISNUMBER('Dvd Calendar'!$AA$1185)=FALSE,"",IF((('Dvd Calendar'!$AA$1187=TYPE1)*(TYPE1&lt;&gt;"")+('Dvd Calendar'!$AA$1187=TYPE2)*(TYPE2&lt;&gt;"")+('Dvd Calendar'!$AA$1187=TYPE3)*(TYPE3&lt;&gt;"")+('Dvd Calendar'!$AA$1187=TYPE4)*(TYPE4&lt;&gt;"")+('Dvd Calendar'!$AA$1187=SPECIAL_LBL)*(INC_SPECIALS="Y"))=0,"",'Dvd Calendar'!$AA$1185)))</f>
        <v/>
      </c>
      <c r="Z122" s="110">
        <f>IF(FB122="","",IF(ISNUMBER('Dvd Calendar'!$AB$1185)=FALSE,"",IF((('Dvd Calendar'!$AB$1187=TYPE1)*(TYPE1&lt;&gt;"")+('Dvd Calendar'!$AB$1187=TYPE2)*(TYPE2&lt;&gt;"")+('Dvd Calendar'!$AB$1187=TYPE3)*(TYPE3&lt;&gt;"")+('Dvd Calendar'!$AB$1187=TYPE4)*(TYPE4&lt;&gt;"")+('Dvd Calendar'!$AB$1187=SPECIAL_LBL)*(INC_SPECIALS="Y"))=0,"",'Dvd Calendar'!$AB$1185)))</f>
        <v/>
      </c>
      <c r="AA122" s="110">
        <f>IF(FC122="","",IF(ISNUMBER('Dvd Calendar'!$AC$1185)=FALSE,"",IF((('Dvd Calendar'!$AC$1187=TYPE1)*(TYPE1&lt;&gt;"")+('Dvd Calendar'!$AC$1187=TYPE2)*(TYPE2&lt;&gt;"")+('Dvd Calendar'!$AC$1187=TYPE3)*(TYPE3&lt;&gt;"")+('Dvd Calendar'!$AC$1187=TYPE4)*(TYPE4&lt;&gt;"")+('Dvd Calendar'!$AC$1187=SPECIAL_LBL)*(INC_SPECIALS="Y"))=0,"",'Dvd Calendar'!$AC$1185)))</f>
        <v/>
      </c>
      <c r="AB122" s="110">
        <f>IF(FD122="","",IF(ISNUMBER('Dvd Calendar'!$AD$1185)=FALSE,"",IF((('Dvd Calendar'!$AD$1187=TYPE1)*(TYPE1&lt;&gt;"")+('Dvd Calendar'!$AD$1187=TYPE2)*(TYPE2&lt;&gt;"")+('Dvd Calendar'!$AD$1187=TYPE3)*(TYPE3&lt;&gt;"")+('Dvd Calendar'!$AD$1187=TYPE4)*(TYPE4&lt;&gt;"")+('Dvd Calendar'!$AD$1187=SPECIAL_LBL)*(INC_SPECIALS="Y"))=0,"",'Dvd Calendar'!$AD$1185)))</f>
        <v/>
      </c>
      <c r="AC122" s="110">
        <f>IF(FE122="","",IF(ISNUMBER('Dvd Calendar'!$AE$1185)=FALSE,"",IF((('Dvd Calendar'!$AE$1187=TYPE1)*(TYPE1&lt;&gt;"")+('Dvd Calendar'!$AE$1187=TYPE2)*(TYPE2&lt;&gt;"")+('Dvd Calendar'!$AE$1187=TYPE3)*(TYPE3&lt;&gt;"")+('Dvd Calendar'!$AE$1187=TYPE4)*(TYPE4&lt;&gt;"")+('Dvd Calendar'!$AE$1187=SPECIAL_LBL)*(INC_SPECIALS="Y"))=0,"",'Dvd Calendar'!$AE$1185)))</f>
        <v/>
      </c>
      <c r="AD122" s="110">
        <f>IF(FF122="","",IF(ISNUMBER('Dvd Calendar'!$AF$1185)=FALSE,"",IF((('Dvd Calendar'!$AF$1187=TYPE1)*(TYPE1&lt;&gt;"")+('Dvd Calendar'!$AF$1187=TYPE2)*(TYPE2&lt;&gt;"")+('Dvd Calendar'!$AF$1187=TYPE3)*(TYPE3&lt;&gt;"")+('Dvd Calendar'!$AF$1187=TYPE4)*(TYPE4&lt;&gt;"")+('Dvd Calendar'!$AF$1187=SPECIAL_LBL)*(INC_SPECIALS="Y"))=0,"",'Dvd Calendar'!$AF$1185)))</f>
        <v/>
      </c>
      <c r="AE122" s="110">
        <f>IF(FG122="","",IF(ISNUMBER('Dvd Calendar'!$AG$1185)=FALSE,"",IF((('Dvd Calendar'!$AG$1187=TYPE1)*(TYPE1&lt;&gt;"")+('Dvd Calendar'!$AG$1187=TYPE2)*(TYPE2&lt;&gt;"")+('Dvd Calendar'!$AG$1187=TYPE3)*(TYPE3&lt;&gt;"")+('Dvd Calendar'!$AG$1187=TYPE4)*(TYPE4&lt;&gt;"")+('Dvd Calendar'!$AG$1187=SPECIAL_LBL)*(INC_SPECIALS="Y"))=0,"",'Dvd Calendar'!$AG$1185)))</f>
        <v/>
      </c>
      <c r="AF122" s="110">
        <f>IF(FH122="","",IF(ISNUMBER('Dvd Calendar'!$AH$1185)=FALSE,"",IF((('Dvd Calendar'!$AH$1187=TYPE1)*(TYPE1&lt;&gt;"")+('Dvd Calendar'!$AH$1187=TYPE2)*(TYPE2&lt;&gt;"")+('Dvd Calendar'!$AH$1187=TYPE3)*(TYPE3&lt;&gt;"")+('Dvd Calendar'!$AH$1187=TYPE4)*(TYPE4&lt;&gt;"")+('Dvd Calendar'!$AH$1187=SPECIAL_LBL)*(INC_SPECIALS="Y"))=0,"",'Dvd Calendar'!$AH$1185)))</f>
        <v/>
      </c>
      <c r="AG122" s="110">
        <f>IF(FI122="","",IF(ISNUMBER('Dvd Calendar'!$AI$1185)=FALSE,"",IF((('Dvd Calendar'!$AI$1187=TYPE1)*(TYPE1&lt;&gt;"")+('Dvd Calendar'!$AI$1187=TYPE2)*(TYPE2&lt;&gt;"")+('Dvd Calendar'!$AI$1187=TYPE3)*(TYPE3&lt;&gt;"")+('Dvd Calendar'!$AI$1187=TYPE4)*(TYPE4&lt;&gt;"")+('Dvd Calendar'!$AI$1187=SPECIAL_LBL)*(INC_SPECIALS="Y"))=0,"",'Dvd Calendar'!$AI$1185)))</f>
        <v/>
      </c>
      <c r="AH122" s="110">
        <f>IF(FJ122="","",IF(ISNUMBER('Dvd Calendar'!$AJ$1185)=FALSE,"",IF((('Dvd Calendar'!$AJ$1187=TYPE1)*(TYPE1&lt;&gt;"")+('Dvd Calendar'!$AJ$1187=TYPE2)*(TYPE2&lt;&gt;"")+('Dvd Calendar'!$AJ$1187=TYPE3)*(TYPE3&lt;&gt;"")+('Dvd Calendar'!$AJ$1187=TYPE4)*(TYPE4&lt;&gt;"")+('Dvd Calendar'!$AJ$1187=SPECIAL_LBL)*(INC_SPECIALS="Y"))=0,"",'Dvd Calendar'!$AJ$1185)))</f>
        <v/>
      </c>
      <c r="AI122" s="110">
        <f>IF(FK122="","",IF(ISNUMBER('Dvd Calendar'!$AK$1185)=FALSE,"",IF((('Dvd Calendar'!$AK$1187=TYPE1)*(TYPE1&lt;&gt;"")+('Dvd Calendar'!$AK$1187=TYPE2)*(TYPE2&lt;&gt;"")+('Dvd Calendar'!$AK$1187=TYPE3)*(TYPE3&lt;&gt;"")+('Dvd Calendar'!$AK$1187=TYPE4)*(TYPE4&lt;&gt;"")+('Dvd Calendar'!$AK$1187=SPECIAL_LBL)*(INC_SPECIALS="Y"))=0,"",'Dvd Calendar'!$AK$1185)))</f>
        <v/>
      </c>
      <c r="AJ122" s="110">
        <f>IF(FL122="","",IF(ISNUMBER('Dvd Calendar'!$AL$1185)=FALSE,"",IF((('Dvd Calendar'!$AL$1187=TYPE1)*(TYPE1&lt;&gt;"")+('Dvd Calendar'!$AL$1187=TYPE2)*(TYPE2&lt;&gt;"")+('Dvd Calendar'!$AL$1187=TYPE3)*(TYPE3&lt;&gt;"")+('Dvd Calendar'!$AL$1187=TYPE4)*(TYPE4&lt;&gt;"")+('Dvd Calendar'!$AL$1187=SPECIAL_LBL)*(INC_SPECIALS="Y"))=0,"",'Dvd Calendar'!$AL$1185)))</f>
        <v/>
      </c>
      <c r="AK122" s="110">
        <f>IF(FM122="","",IF(ISNUMBER('Dvd Calendar'!$AM$1185)=FALSE,"",IF((('Dvd Calendar'!$AM$1187=TYPE1)*(TYPE1&lt;&gt;"")+('Dvd Calendar'!$AM$1187=TYPE2)*(TYPE2&lt;&gt;"")+('Dvd Calendar'!$AM$1187=TYPE3)*(TYPE3&lt;&gt;"")+('Dvd Calendar'!$AM$1187=TYPE4)*(TYPE4&lt;&gt;"")+('Dvd Calendar'!$AM$1187=SPECIAL_LBL)*(INC_SPECIALS="Y"))=0,"",'Dvd Calendar'!$AM$1185)))</f>
        <v/>
      </c>
      <c r="AL122" s="110">
        <f>IF(FN122="","",IF(ISNUMBER('Dvd Calendar'!$AN$1185)=FALSE,"",IF((('Dvd Calendar'!$AN$1187=TYPE1)*(TYPE1&lt;&gt;"")+('Dvd Calendar'!$AN$1187=TYPE2)*(TYPE2&lt;&gt;"")+('Dvd Calendar'!$AN$1187=TYPE3)*(TYPE3&lt;&gt;"")+('Dvd Calendar'!$AN$1187=TYPE4)*(TYPE4&lt;&gt;"")+('Dvd Calendar'!$AN$1187=SPECIAL_LBL)*(INC_SPECIALS="Y"))=0,"",'Dvd Calendar'!$AN$1185)))</f>
        <v/>
      </c>
      <c r="AM122" s="110">
        <f>IF(FO122="","",IF(ISNUMBER('Dvd Calendar'!$AO$1185)=FALSE,"",IF((('Dvd Calendar'!$AO$1187=TYPE1)*(TYPE1&lt;&gt;"")+('Dvd Calendar'!$AO$1187=TYPE2)*(TYPE2&lt;&gt;"")+('Dvd Calendar'!$AO$1187=TYPE3)*(TYPE3&lt;&gt;"")+('Dvd Calendar'!$AO$1187=TYPE4)*(TYPE4&lt;&gt;"")+('Dvd Calendar'!$AO$1187=SPECIAL_LBL)*(INC_SPECIALS="Y"))=0,"",'Dvd Calendar'!$AO$1185)))</f>
        <v/>
      </c>
      <c r="AN122" s="110">
        <f>IF(FP122="","",IF(ISNUMBER('Dvd Calendar'!$AP$1185)=FALSE,"",IF((('Dvd Calendar'!$AP$1187=TYPE1)*(TYPE1&lt;&gt;"")+('Dvd Calendar'!$AP$1187=TYPE2)*(TYPE2&lt;&gt;"")+('Dvd Calendar'!$AP$1187=TYPE3)*(TYPE3&lt;&gt;"")+('Dvd Calendar'!$AP$1187=TYPE4)*(TYPE4&lt;&gt;"")+('Dvd Calendar'!$AP$1187=SPECIAL_LBL)*(INC_SPECIALS="Y"))=0,"",'Dvd Calendar'!$AP$1185)))</f>
        <v/>
      </c>
      <c r="AO122" s="110">
        <f>IF(FQ122="","",IF(ISNUMBER('Dvd Calendar'!$AQ$1185)=FALSE,"",IF((('Dvd Calendar'!$AQ$1187=TYPE1)*(TYPE1&lt;&gt;"")+('Dvd Calendar'!$AQ$1187=TYPE2)*(TYPE2&lt;&gt;"")+('Dvd Calendar'!$AQ$1187=TYPE3)*(TYPE3&lt;&gt;"")+('Dvd Calendar'!$AQ$1187=TYPE4)*(TYPE4&lt;&gt;"")+('Dvd Calendar'!$AQ$1187=SPECIAL_LBL)*(INC_SPECIALS="Y"))=0,"",'Dvd Calendar'!$AQ$1185)))</f>
        <v/>
      </c>
      <c r="AP122" s="110">
        <f>IF(FR122="","",IF(ISNUMBER('Dvd Calendar'!$AR$1185)=FALSE,"",IF((('Dvd Calendar'!$AR$1187=TYPE1)*(TYPE1&lt;&gt;"")+('Dvd Calendar'!$AR$1187=TYPE2)*(TYPE2&lt;&gt;"")+('Dvd Calendar'!$AR$1187=TYPE3)*(TYPE3&lt;&gt;"")+('Dvd Calendar'!$AR$1187=TYPE4)*(TYPE4&lt;&gt;"")+('Dvd Calendar'!$AR$1187=SPECIAL_LBL)*(INC_SPECIALS="Y"))=0,"",'Dvd Calendar'!$AR$1185)))</f>
        <v/>
      </c>
      <c r="AQ122" s="110">
        <f>IF(FS122="","",IF(ISNUMBER('Dvd Calendar'!$E$1190)=FALSE,"",'Dvd Calendar'!$E$1190))</f>
        <v/>
      </c>
      <c r="AR122" s="110">
        <f>IF(FT122="","",IF(ISNUMBER('Dvd Calendar'!$F$1190)=FALSE,"",'Dvd Calendar'!$F$1190))</f>
        <v/>
      </c>
      <c r="AS122" s="110">
        <f>IF(FU122="","",IF(ISNUMBER('Dvd Calendar'!$G$1190)=FALSE,"",'Dvd Calendar'!$G$1190))</f>
        <v/>
      </c>
      <c r="AT122" s="110">
        <f>IF(FV122="","",IF(ISNUMBER('Dvd Calendar'!$H$1190)=FALSE,"",'Dvd Calendar'!$H$1190))</f>
        <v/>
      </c>
      <c r="AU122" s="110">
        <f>IF(FW122="","",IF(ISNUMBER('Dvd Calendar'!$I$1190)=FALSE,"",'Dvd Calendar'!$I$1190))</f>
        <v/>
      </c>
      <c r="AV122" s="110">
        <f>IF(FX122="","",IF(ISNUMBER('Dvd Calendar'!$J$1190)=FALSE,"",'Dvd Calendar'!$J$1190))</f>
        <v/>
      </c>
      <c r="AW122" s="110">
        <f>IF(FY122="","",IF(ISNUMBER('Dvd Calendar'!$K$1190)=FALSE,"",'Dvd Calendar'!$K$1190))</f>
        <v/>
      </c>
      <c r="AX122" s="110">
        <f>IF(FZ122="","",IF(ISNUMBER('Dvd Calendar'!$L$1190)=FALSE,"",'Dvd Calendar'!$L$1190))</f>
        <v/>
      </c>
      <c r="AY122" s="110">
        <f>IF(GA122="","",IF(ISNUMBER('Dvd Calendar'!$M$1190)=FALSE,"",'Dvd Calendar'!$M$1190))</f>
        <v/>
      </c>
      <c r="AZ122" s="110">
        <f>IF(GB122="","",IF(ISNUMBER('Dvd Calendar'!$N$1190)=FALSE,"",'Dvd Calendar'!$N$1190))</f>
        <v/>
      </c>
      <c r="BA122" s="110">
        <f>IF(GC122="","",IF(ISNUMBER('Dvd Calendar'!$O$1190)=FALSE,"",'Dvd Calendar'!$O$1190))</f>
        <v/>
      </c>
      <c r="BB122" s="110">
        <f>IF(GD122="","",IF(ISNUMBER('Dvd Calendar'!$P$1190)=FALSE,"",'Dvd Calendar'!$P$1190))</f>
        <v/>
      </c>
      <c r="BC122" s="110">
        <f>IF(GE122="","",IF(ISNUMBER('Dvd Calendar'!$Q$1190)=FALSE,"",'Dvd Calendar'!$Q$1190))</f>
        <v/>
      </c>
      <c r="BD122" s="110">
        <f>IF(GF122="","",IF(ISNUMBER('Dvd Calendar'!$R$1190)=FALSE,"",'Dvd Calendar'!$R$1190))</f>
        <v/>
      </c>
      <c r="BE122" s="110">
        <f>IF(GG122="","",IF(ISNUMBER('Dvd Calendar'!$S$1190)=FALSE,"",'Dvd Calendar'!$S$1190))</f>
        <v/>
      </c>
      <c r="BF122" s="110">
        <f>IF(GH122="","",IF(ISNUMBER('Dvd Calendar'!$T$1190)=FALSE,"",'Dvd Calendar'!$T$1190))</f>
        <v/>
      </c>
      <c r="BG122" s="110">
        <f>IF(GI122="","",IF(ISNUMBER('Dvd Calendar'!$U$1190)=FALSE,"",'Dvd Calendar'!$U$1190))</f>
        <v/>
      </c>
      <c r="BH122" s="110">
        <f>IF(GJ122="","",IF(ISNUMBER('Dvd Calendar'!$V$1190)=FALSE,"",'Dvd Calendar'!$V$1190))</f>
        <v/>
      </c>
      <c r="BI122" s="110">
        <f>IF(GK122="","",IF(ISNUMBER('Dvd Calendar'!$W$1190)=FALSE,"",'Dvd Calendar'!$W$1190))</f>
        <v/>
      </c>
      <c r="BJ122" s="110">
        <f>IF(GL122="","",IF(ISNUMBER('Dvd Calendar'!$X$1190)=FALSE,"",'Dvd Calendar'!$X$1190))</f>
        <v/>
      </c>
      <c r="BK122" s="110">
        <f>IF(GM122="","",IF(ISNUMBER('Dvd Calendar'!$Y$1190)=FALSE,"",'Dvd Calendar'!$Y$1190))</f>
        <v/>
      </c>
      <c r="BL122" s="110">
        <f>IF(GN122="","",IF(ISNUMBER('Dvd Calendar'!$Z$1190)=FALSE,"",'Dvd Calendar'!$Z$1190))</f>
        <v/>
      </c>
      <c r="BM122" s="110">
        <f>IF(GO122="","",IF(ISNUMBER('Dvd Calendar'!$AA$1190)=FALSE,"",'Dvd Calendar'!$AA$1190))</f>
        <v/>
      </c>
      <c r="BN122" s="110">
        <f>IF(GP122="","",IF(ISNUMBER('Dvd Calendar'!$AB$1190)=FALSE,"",'Dvd Calendar'!$AB$1190))</f>
        <v/>
      </c>
      <c r="BO122" s="110">
        <f>IF(GQ122="","",IF(ISNUMBER('Dvd Calendar'!$AC$1190)=FALSE,"",'Dvd Calendar'!$AC$1190))</f>
        <v/>
      </c>
      <c r="BQ122" s="110">
        <f>IF(C122="","",IFERROR(C122*HSTECH!$B$13*HSTECH!$G$13/HSTECH!$B$3,""))</f>
        <v/>
      </c>
      <c r="BR122" s="110">
        <f>IF(D122="","",IFERROR(D122*HSTECH!$B$13*HSTECH!$G$13/HSTECH!$B$3,""))</f>
        <v/>
      </c>
      <c r="BS122" s="110">
        <f>IF(E122="","",IFERROR(E122*HSTECH!$B$13*HSTECH!$G$13/HSTECH!$B$3,""))</f>
        <v/>
      </c>
      <c r="BT122" s="110">
        <f>IF(F122="","",IFERROR(F122*HSTECH!$B$13*HSTECH!$G$13/HSTECH!$B$3,""))</f>
        <v/>
      </c>
      <c r="BU122" s="110">
        <f>IF(G122="","",IFERROR(G122*HSTECH!$B$13*HSTECH!$G$13/HSTECH!$B$3,""))</f>
        <v/>
      </c>
      <c r="BV122" s="110">
        <f>IF(H122="","",IFERROR(H122*HSTECH!$B$13*HSTECH!$G$13/HSTECH!$B$3,""))</f>
        <v/>
      </c>
      <c r="BW122" s="110">
        <f>IF(I122="","",IFERROR(I122*HSTECH!$B$13*HSTECH!$G$13/HSTECH!$B$3,""))</f>
        <v/>
      </c>
      <c r="BX122" s="110">
        <f>IF(J122="","",IFERROR(J122*HSTECH!$B$13*HSTECH!$G$13/HSTECH!$B$3,""))</f>
        <v/>
      </c>
      <c r="BY122" s="110">
        <f>IF(K122="","",IFERROR(K122*HSTECH!$B$13*HSTECH!$G$13/HSTECH!$B$3,""))</f>
        <v/>
      </c>
      <c r="BZ122" s="110">
        <f>IF(L122="","",IFERROR(L122*HSTECH!$B$13*HSTECH!$G$13/HSTECH!$B$3,""))</f>
        <v/>
      </c>
      <c r="CA122" s="110">
        <f>IF(M122="","",IFERROR(M122*HSTECH!$B$13*HSTECH!$G$13/HSTECH!$B$3,""))</f>
        <v/>
      </c>
      <c r="CB122" s="110">
        <f>IF(N122="","",IFERROR(N122*HSTECH!$B$13*HSTECH!$G$13/HSTECH!$B$3,""))</f>
        <v/>
      </c>
      <c r="CC122" s="110">
        <f>IF(O122="","",IFERROR(O122*HSTECH!$B$13*HSTECH!$G$13/HSTECH!$B$3,""))</f>
        <v/>
      </c>
      <c r="CD122" s="110">
        <f>IF(P122="","",IFERROR(P122*HSTECH!$B$13*HSTECH!$G$13/HSTECH!$B$3,""))</f>
        <v/>
      </c>
      <c r="CE122" s="110">
        <f>IF(Q122="","",IFERROR(Q122*HSTECH!$B$13*HSTECH!$G$13/HSTECH!$B$3,""))</f>
        <v/>
      </c>
      <c r="CF122" s="110">
        <f>IF(R122="","",IFERROR(R122*HSTECH!$B$13*HSTECH!$G$13/HSTECH!$B$3,""))</f>
        <v/>
      </c>
      <c r="CG122" s="110">
        <f>IF(S122="","",IFERROR(S122*HSTECH!$B$13*HSTECH!$G$13/HSTECH!$B$3,""))</f>
        <v/>
      </c>
      <c r="CH122" s="110">
        <f>IF(T122="","",IFERROR(T122*HSTECH!$B$13*HSTECH!$G$13/HSTECH!$B$3,""))</f>
        <v/>
      </c>
      <c r="CI122" s="110">
        <f>IF(U122="","",IFERROR(U122*HSTECH!$B$13*HSTECH!$G$13/HSTECH!$B$3,""))</f>
        <v/>
      </c>
      <c r="CJ122" s="110">
        <f>IF(V122="","",IFERROR(V122*HSTECH!$B$13*HSTECH!$G$13/HSTECH!$B$3,""))</f>
        <v/>
      </c>
      <c r="CK122" s="110">
        <f>IF(W122="","",IFERROR(W122*HSTECH!$B$13*HSTECH!$G$13/HSTECH!$B$3,""))</f>
        <v/>
      </c>
      <c r="CL122" s="110">
        <f>IF(X122="","",IFERROR(X122*HSTECH!$B$13*HSTECH!$G$13/HSTECH!$B$3,""))</f>
        <v/>
      </c>
      <c r="CM122" s="110">
        <f>IF(Y122="","",IFERROR(Y122*HSTECH!$B$13*HSTECH!$G$13/HSTECH!$B$3,""))</f>
        <v/>
      </c>
      <c r="CN122" s="110">
        <f>IF(Z122="","",IFERROR(Z122*HSTECH!$B$13*HSTECH!$G$13/HSTECH!$B$3,""))</f>
        <v/>
      </c>
      <c r="CO122" s="110">
        <f>IF(AA122="","",IFERROR(AA122*HSTECH!$B$13*HSTECH!$G$13/HSTECH!$B$3,""))</f>
        <v/>
      </c>
      <c r="CP122" s="110">
        <f>IF(AB122="","",IFERROR(AB122*HSTECH!$B$13*HSTECH!$G$13/HSTECH!$B$3,""))</f>
        <v/>
      </c>
      <c r="CQ122" s="110">
        <f>IF(AC122="","",IFERROR(AC122*HSTECH!$B$13*HSTECH!$G$13/HSTECH!$B$3,""))</f>
        <v/>
      </c>
      <c r="CR122" s="110">
        <f>IF(AD122="","",IFERROR(AD122*HSTECH!$B$13*HSTECH!$G$13/HSTECH!$B$3,""))</f>
        <v/>
      </c>
      <c r="CS122" s="110">
        <f>IF(AE122="","",IFERROR(AE122*HSTECH!$B$13*HSTECH!$G$13/HSTECH!$B$3,""))</f>
        <v/>
      </c>
      <c r="CT122" s="110">
        <f>IF(AF122="","",IFERROR(AF122*HSTECH!$B$13*HSTECH!$G$13/HSTECH!$B$3,""))</f>
        <v/>
      </c>
      <c r="CU122" s="110">
        <f>IF(AG122="","",IFERROR(AG122*HSTECH!$B$13*HSTECH!$G$13/HSTECH!$B$3,""))</f>
        <v/>
      </c>
      <c r="CV122" s="110">
        <f>IF(AH122="","",IFERROR(AH122*HSTECH!$B$13*HSTECH!$G$13/HSTECH!$B$3,""))</f>
        <v/>
      </c>
      <c r="CW122" s="110">
        <f>IF(AI122="","",IFERROR(AI122*HSTECH!$B$13*HSTECH!$G$13/HSTECH!$B$3,""))</f>
        <v/>
      </c>
      <c r="CX122" s="110">
        <f>IF(AJ122="","",IFERROR(AJ122*HSTECH!$B$13*HSTECH!$G$13/HSTECH!$B$3,""))</f>
        <v/>
      </c>
      <c r="CY122" s="110">
        <f>IF(AK122="","",IFERROR(AK122*HSTECH!$B$13*HSTECH!$G$13/HSTECH!$B$3,""))</f>
        <v/>
      </c>
      <c r="CZ122" s="110">
        <f>IF(AL122="","",IFERROR(AL122*HSTECH!$B$13*HSTECH!$G$13/HSTECH!$B$3,""))</f>
        <v/>
      </c>
      <c r="DA122" s="110">
        <f>IF(AM122="","",IFERROR(AM122*HSTECH!$B$13*HSTECH!$G$13/HSTECH!$B$3,""))</f>
        <v/>
      </c>
      <c r="DB122" s="110">
        <f>IF(AN122="","",IFERROR(AN122*HSTECH!$B$13*HSTECH!$G$13/HSTECH!$B$3,""))</f>
        <v/>
      </c>
      <c r="DC122" s="110">
        <f>IF(AO122="","",IFERROR(AO122*HSTECH!$B$13*HSTECH!$G$13/HSTECH!$B$3,""))</f>
        <v/>
      </c>
      <c r="DD122" s="110">
        <f>IF(AP122="","",IFERROR(AP122*HSTECH!$B$13*HSTECH!$G$13/HSTECH!$B$3,""))</f>
        <v/>
      </c>
      <c r="DE122" s="110">
        <f>IF(AQ122="","",IFERROR(AQ122*HSTECH!$B$13*HSTECH!$G$13/HSTECH!$B$3,""))</f>
        <v/>
      </c>
      <c r="DF122" s="110">
        <f>IF(AR122="","",IFERROR(AR122*HSTECH!$B$13*HSTECH!$G$13/HSTECH!$B$3,""))</f>
        <v/>
      </c>
      <c r="DG122" s="110">
        <f>IF(AS122="","",IFERROR(AS122*HSTECH!$B$13*HSTECH!$G$13/HSTECH!$B$3,""))</f>
        <v/>
      </c>
      <c r="DH122" s="110">
        <f>IF(AT122="","",IFERROR(AT122*HSTECH!$B$13*HSTECH!$G$13/HSTECH!$B$3,""))</f>
        <v/>
      </c>
      <c r="DI122" s="110">
        <f>IF(AU122="","",IFERROR(AU122*HSTECH!$B$13*HSTECH!$G$13/HSTECH!$B$3,""))</f>
        <v/>
      </c>
      <c r="DJ122" s="110">
        <f>IF(AV122="","",IFERROR(AV122*HSTECH!$B$13*HSTECH!$G$13/HSTECH!$B$3,""))</f>
        <v/>
      </c>
      <c r="DK122" s="110">
        <f>IF(AW122="","",IFERROR(AW122*HSTECH!$B$13*HSTECH!$G$13/HSTECH!$B$3,""))</f>
        <v/>
      </c>
      <c r="DL122" s="110">
        <f>IF(AX122="","",IFERROR(AX122*HSTECH!$B$13*HSTECH!$G$13/HSTECH!$B$3,""))</f>
        <v/>
      </c>
      <c r="DM122" s="110">
        <f>IF(AY122="","",IFERROR(AY122*HSTECH!$B$13*HSTECH!$G$13/HSTECH!$B$3,""))</f>
        <v/>
      </c>
      <c r="DN122" s="110">
        <f>IF(AZ122="","",IFERROR(AZ122*HSTECH!$B$13*HSTECH!$G$13/HSTECH!$B$3,""))</f>
        <v/>
      </c>
      <c r="DO122" s="110">
        <f>IF(BA122="","",IFERROR(BA122*HSTECH!$B$13*HSTECH!$G$13/HSTECH!$B$3,""))</f>
        <v/>
      </c>
      <c r="DP122" s="110">
        <f>IF(BB122="","",IFERROR(BB122*HSTECH!$B$13*HSTECH!$G$13/HSTECH!$B$3,""))</f>
        <v/>
      </c>
      <c r="DQ122" s="110">
        <f>IF(BC122="","",IFERROR(BC122*HSTECH!$B$13*HSTECH!$G$13/HSTECH!$B$3,""))</f>
        <v/>
      </c>
      <c r="DR122" s="110">
        <f>IF(BD122="","",IFERROR(BD122*HSTECH!$B$13*HSTECH!$G$13/HSTECH!$B$3,""))</f>
        <v/>
      </c>
      <c r="DS122" s="110">
        <f>IF(BE122="","",IFERROR(BE122*HSTECH!$B$13*HSTECH!$G$13/HSTECH!$B$3,""))</f>
        <v/>
      </c>
      <c r="DT122" s="110">
        <f>IF(BF122="","",IFERROR(BF122*HSTECH!$B$13*HSTECH!$G$13/HSTECH!$B$3,""))</f>
        <v/>
      </c>
      <c r="DU122" s="110">
        <f>IF(BG122="","",IFERROR(BG122*HSTECH!$B$13*HSTECH!$G$13/HSTECH!$B$3,""))</f>
        <v/>
      </c>
      <c r="DV122" s="110">
        <f>IF(BH122="","",IFERROR(BH122*HSTECH!$B$13*HSTECH!$G$13/HSTECH!$B$3,""))</f>
        <v/>
      </c>
      <c r="DW122" s="110">
        <f>IF(BI122="","",IFERROR(BI122*HSTECH!$B$13*HSTECH!$G$13/HSTECH!$B$3,""))</f>
        <v/>
      </c>
      <c r="DX122" s="110">
        <f>IF(BJ122="","",IFERROR(BJ122*HSTECH!$B$13*HSTECH!$G$13/HSTECH!$B$3,""))</f>
        <v/>
      </c>
      <c r="DY122" s="110">
        <f>IF(BK122="","",IFERROR(BK122*HSTECH!$B$13*HSTECH!$G$13/HSTECH!$B$3,""))</f>
        <v/>
      </c>
      <c r="DZ122" s="110">
        <f>IF(BL122="","",IFERROR(BL122*HSTECH!$B$13*HSTECH!$G$13/HSTECH!$B$3,""))</f>
        <v/>
      </c>
      <c r="EA122" s="110">
        <f>IF(BM122="","",IFERROR(BM122*HSTECH!$B$13*HSTECH!$G$13/HSTECH!$B$3,""))</f>
        <v/>
      </c>
      <c r="EB122" s="110">
        <f>IF(BN122="","",IFERROR(BN122*HSTECH!$B$13*HSTECH!$G$13/HSTECH!$B$3,""))</f>
        <v/>
      </c>
      <c r="EC122" s="110">
        <f>IF(BO122="","",IFERROR(BO122*HSTECH!$B$13*HSTECH!$G$13/HSTECH!$B$3,""))</f>
        <v/>
      </c>
      <c r="EE122" s="39">
        <f>IF(N('Dvd Calendar'!$E$1182)=0,"",IF(('Dvd Calendar'!$E$1182&gt;=GRID_FROM)*('Dvd Calendar'!$E$1182&lt;=GRID_TO)*((('Dvd Calendar'!$E$1182&lt;=VAL_DATE)+(COUNTIF('Dvd Calendar'!$E$1189:$AR$1189,'Dvd Calendar'!$E$1182)=0))&gt;0)=0,"",'Dvd Calendar'!$E$1182*1000000000+ISNUMBER('Dvd Calendar'!$E$1185)*100000000+('Dvd Calendar'!$E$1187=SPECIAL_LBL)*10000000+(N('Dvd Calendar'!$E$1181)&gt;0)*(N('Dvd Calendar'!$E$1181)&lt;=VAL_SERIAL)*1000000+7*1000+1))</f>
        <v/>
      </c>
      <c r="EF122" s="39">
        <f>IF(N('Dvd Calendar'!$F$1182)=0,"",IF(('Dvd Calendar'!$F$1182&gt;=GRID_FROM)*('Dvd Calendar'!$F$1182&lt;=GRID_TO)*((('Dvd Calendar'!$F$1182&lt;=VAL_DATE)+(COUNTIF('Dvd Calendar'!$E$1189:$AR$1189,'Dvd Calendar'!$F$1182)=0))&gt;0)=0,"",'Dvd Calendar'!$F$1182*1000000000+ISNUMBER('Dvd Calendar'!$F$1185)*100000000+('Dvd Calendar'!$F$1187=SPECIAL_LBL)*10000000+(N('Dvd Calendar'!$F$1181)&gt;0)*(N('Dvd Calendar'!$F$1181)&lt;=VAL_SERIAL)*1000000+7*1000+2))</f>
        <v/>
      </c>
      <c r="EG122" s="39">
        <f>IF(N('Dvd Calendar'!$G$1182)=0,"",IF(('Dvd Calendar'!$G$1182&gt;=GRID_FROM)*('Dvd Calendar'!$G$1182&lt;=GRID_TO)*((('Dvd Calendar'!$G$1182&lt;=VAL_DATE)+(COUNTIF('Dvd Calendar'!$E$1189:$AR$1189,'Dvd Calendar'!$G$1182)=0))&gt;0)=0,"",'Dvd Calendar'!$G$1182*1000000000+ISNUMBER('Dvd Calendar'!$G$1185)*100000000+('Dvd Calendar'!$G$1187=SPECIAL_LBL)*10000000+(N('Dvd Calendar'!$G$1181)&gt;0)*(N('Dvd Calendar'!$G$1181)&lt;=VAL_SERIAL)*1000000+7*1000+3))</f>
        <v/>
      </c>
      <c r="EH122" s="39">
        <f>IF(N('Dvd Calendar'!$H$1182)=0,"",IF(('Dvd Calendar'!$H$1182&gt;=GRID_FROM)*('Dvd Calendar'!$H$1182&lt;=GRID_TO)*((('Dvd Calendar'!$H$1182&lt;=VAL_DATE)+(COUNTIF('Dvd Calendar'!$E$1189:$AR$1189,'Dvd Calendar'!$H$1182)=0))&gt;0)=0,"",'Dvd Calendar'!$H$1182*1000000000+ISNUMBER('Dvd Calendar'!$H$1185)*100000000+('Dvd Calendar'!$H$1187=SPECIAL_LBL)*10000000+(N('Dvd Calendar'!$H$1181)&gt;0)*(N('Dvd Calendar'!$H$1181)&lt;=VAL_SERIAL)*1000000+7*1000+4))</f>
        <v/>
      </c>
      <c r="EI122" s="39">
        <f>IF(N('Dvd Calendar'!$I$1182)=0,"",IF(('Dvd Calendar'!$I$1182&gt;=GRID_FROM)*('Dvd Calendar'!$I$1182&lt;=GRID_TO)*((('Dvd Calendar'!$I$1182&lt;=VAL_DATE)+(COUNTIF('Dvd Calendar'!$E$1189:$AR$1189,'Dvd Calendar'!$I$1182)=0))&gt;0)=0,"",'Dvd Calendar'!$I$1182*1000000000+ISNUMBER('Dvd Calendar'!$I$1185)*100000000+('Dvd Calendar'!$I$1187=SPECIAL_LBL)*10000000+(N('Dvd Calendar'!$I$1181)&gt;0)*(N('Dvd Calendar'!$I$1181)&lt;=VAL_SERIAL)*1000000+7*1000+5))</f>
        <v/>
      </c>
      <c r="EJ122" s="39">
        <f>IF(N('Dvd Calendar'!$J$1182)=0,"",IF(('Dvd Calendar'!$J$1182&gt;=GRID_FROM)*('Dvd Calendar'!$J$1182&lt;=GRID_TO)*((('Dvd Calendar'!$J$1182&lt;=VAL_DATE)+(COUNTIF('Dvd Calendar'!$E$1189:$AR$1189,'Dvd Calendar'!$J$1182)=0))&gt;0)=0,"",'Dvd Calendar'!$J$1182*1000000000+ISNUMBER('Dvd Calendar'!$J$1185)*100000000+('Dvd Calendar'!$J$1187=SPECIAL_LBL)*10000000+(N('Dvd Calendar'!$J$1181)&gt;0)*(N('Dvd Calendar'!$J$1181)&lt;=VAL_SERIAL)*1000000+7*1000+6))</f>
        <v/>
      </c>
      <c r="EK122" s="39">
        <f>IF(N('Dvd Calendar'!$K$1182)=0,"",IF(('Dvd Calendar'!$K$1182&gt;=GRID_FROM)*('Dvd Calendar'!$K$1182&lt;=GRID_TO)*((('Dvd Calendar'!$K$1182&lt;=VAL_DATE)+(COUNTIF('Dvd Calendar'!$E$1189:$AR$1189,'Dvd Calendar'!$K$1182)=0))&gt;0)=0,"",'Dvd Calendar'!$K$1182*1000000000+ISNUMBER('Dvd Calendar'!$K$1185)*100000000+('Dvd Calendar'!$K$1187=SPECIAL_LBL)*10000000+(N('Dvd Calendar'!$K$1181)&gt;0)*(N('Dvd Calendar'!$K$1181)&lt;=VAL_SERIAL)*1000000+7*1000+7))</f>
        <v/>
      </c>
      <c r="EL122" s="39">
        <f>IF(N('Dvd Calendar'!$L$1182)=0,"",IF(('Dvd Calendar'!$L$1182&gt;=GRID_FROM)*('Dvd Calendar'!$L$1182&lt;=GRID_TO)*((('Dvd Calendar'!$L$1182&lt;=VAL_DATE)+(COUNTIF('Dvd Calendar'!$E$1189:$AR$1189,'Dvd Calendar'!$L$1182)=0))&gt;0)=0,"",'Dvd Calendar'!$L$1182*1000000000+ISNUMBER('Dvd Calendar'!$L$1185)*100000000+('Dvd Calendar'!$L$1187=SPECIAL_LBL)*10000000+(N('Dvd Calendar'!$L$1181)&gt;0)*(N('Dvd Calendar'!$L$1181)&lt;=VAL_SERIAL)*1000000+7*1000+8))</f>
        <v/>
      </c>
      <c r="EM122" s="39">
        <f>IF(N('Dvd Calendar'!$M$1182)=0,"",IF(('Dvd Calendar'!$M$1182&gt;=GRID_FROM)*('Dvd Calendar'!$M$1182&lt;=GRID_TO)*((('Dvd Calendar'!$M$1182&lt;=VAL_DATE)+(COUNTIF('Dvd Calendar'!$E$1189:$AR$1189,'Dvd Calendar'!$M$1182)=0))&gt;0)=0,"",'Dvd Calendar'!$M$1182*1000000000+ISNUMBER('Dvd Calendar'!$M$1185)*100000000+('Dvd Calendar'!$M$1187=SPECIAL_LBL)*10000000+(N('Dvd Calendar'!$M$1181)&gt;0)*(N('Dvd Calendar'!$M$1181)&lt;=VAL_SERIAL)*1000000+7*1000+9))</f>
        <v/>
      </c>
      <c r="EN122" s="39">
        <f>IF(N('Dvd Calendar'!$N$1182)=0,"",IF(('Dvd Calendar'!$N$1182&gt;=GRID_FROM)*('Dvd Calendar'!$N$1182&lt;=GRID_TO)*((('Dvd Calendar'!$N$1182&lt;=VAL_DATE)+(COUNTIF('Dvd Calendar'!$E$1189:$AR$1189,'Dvd Calendar'!$N$1182)=0))&gt;0)=0,"",'Dvd Calendar'!$N$1182*1000000000+ISNUMBER('Dvd Calendar'!$N$1185)*100000000+('Dvd Calendar'!$N$1187=SPECIAL_LBL)*10000000+(N('Dvd Calendar'!$N$1181)&gt;0)*(N('Dvd Calendar'!$N$1181)&lt;=VAL_SERIAL)*1000000+7*1000+10))</f>
        <v/>
      </c>
      <c r="EO122" s="39">
        <f>IF(N('Dvd Calendar'!$O$1182)=0,"",IF(('Dvd Calendar'!$O$1182&gt;=GRID_FROM)*('Dvd Calendar'!$O$1182&lt;=GRID_TO)*((('Dvd Calendar'!$O$1182&lt;=VAL_DATE)+(COUNTIF('Dvd Calendar'!$E$1189:$AR$1189,'Dvd Calendar'!$O$1182)=0))&gt;0)=0,"",'Dvd Calendar'!$O$1182*1000000000+ISNUMBER('Dvd Calendar'!$O$1185)*100000000+('Dvd Calendar'!$O$1187=SPECIAL_LBL)*10000000+(N('Dvd Calendar'!$O$1181)&gt;0)*(N('Dvd Calendar'!$O$1181)&lt;=VAL_SERIAL)*1000000+7*1000+11))</f>
        <v/>
      </c>
      <c r="EP122" s="39">
        <f>IF(N('Dvd Calendar'!$P$1182)=0,"",IF(('Dvd Calendar'!$P$1182&gt;=GRID_FROM)*('Dvd Calendar'!$P$1182&lt;=GRID_TO)*((('Dvd Calendar'!$P$1182&lt;=VAL_DATE)+(COUNTIF('Dvd Calendar'!$E$1189:$AR$1189,'Dvd Calendar'!$P$1182)=0))&gt;0)=0,"",'Dvd Calendar'!$P$1182*1000000000+ISNUMBER('Dvd Calendar'!$P$1185)*100000000+('Dvd Calendar'!$P$1187=SPECIAL_LBL)*10000000+(N('Dvd Calendar'!$P$1181)&gt;0)*(N('Dvd Calendar'!$P$1181)&lt;=VAL_SERIAL)*1000000+7*1000+12))</f>
        <v/>
      </c>
      <c r="EQ122" s="39">
        <f>IF(N('Dvd Calendar'!$Q$1182)=0,"",IF(('Dvd Calendar'!$Q$1182&gt;=GRID_FROM)*('Dvd Calendar'!$Q$1182&lt;=GRID_TO)*((('Dvd Calendar'!$Q$1182&lt;=VAL_DATE)+(COUNTIF('Dvd Calendar'!$E$1189:$AR$1189,'Dvd Calendar'!$Q$1182)=0))&gt;0)=0,"",'Dvd Calendar'!$Q$1182*1000000000+ISNUMBER('Dvd Calendar'!$Q$1185)*100000000+('Dvd Calendar'!$Q$1187=SPECIAL_LBL)*10000000+(N('Dvd Calendar'!$Q$1181)&gt;0)*(N('Dvd Calendar'!$Q$1181)&lt;=VAL_SERIAL)*1000000+7*1000+13))</f>
        <v/>
      </c>
      <c r="ER122" s="39">
        <f>IF(N('Dvd Calendar'!$R$1182)=0,"",IF(('Dvd Calendar'!$R$1182&gt;=GRID_FROM)*('Dvd Calendar'!$R$1182&lt;=GRID_TO)*((('Dvd Calendar'!$R$1182&lt;=VAL_DATE)+(COUNTIF('Dvd Calendar'!$E$1189:$AR$1189,'Dvd Calendar'!$R$1182)=0))&gt;0)=0,"",'Dvd Calendar'!$R$1182*1000000000+ISNUMBER('Dvd Calendar'!$R$1185)*100000000+('Dvd Calendar'!$R$1187=SPECIAL_LBL)*10000000+(N('Dvd Calendar'!$R$1181)&gt;0)*(N('Dvd Calendar'!$R$1181)&lt;=VAL_SERIAL)*1000000+7*1000+14))</f>
        <v/>
      </c>
      <c r="ES122" s="39">
        <f>IF(N('Dvd Calendar'!$S$1182)=0,"",IF(('Dvd Calendar'!$S$1182&gt;=GRID_FROM)*('Dvd Calendar'!$S$1182&lt;=GRID_TO)*((('Dvd Calendar'!$S$1182&lt;=VAL_DATE)+(COUNTIF('Dvd Calendar'!$E$1189:$AR$1189,'Dvd Calendar'!$S$1182)=0))&gt;0)=0,"",'Dvd Calendar'!$S$1182*1000000000+ISNUMBER('Dvd Calendar'!$S$1185)*100000000+('Dvd Calendar'!$S$1187=SPECIAL_LBL)*10000000+(N('Dvd Calendar'!$S$1181)&gt;0)*(N('Dvd Calendar'!$S$1181)&lt;=VAL_SERIAL)*1000000+7*1000+15))</f>
        <v/>
      </c>
      <c r="ET122" s="39">
        <f>IF(N('Dvd Calendar'!$T$1182)=0,"",IF(('Dvd Calendar'!$T$1182&gt;=GRID_FROM)*('Dvd Calendar'!$T$1182&lt;=GRID_TO)*((('Dvd Calendar'!$T$1182&lt;=VAL_DATE)+(COUNTIF('Dvd Calendar'!$E$1189:$AR$1189,'Dvd Calendar'!$T$1182)=0))&gt;0)=0,"",'Dvd Calendar'!$T$1182*1000000000+ISNUMBER('Dvd Calendar'!$T$1185)*100000000+('Dvd Calendar'!$T$1187=SPECIAL_LBL)*10000000+(N('Dvd Calendar'!$T$1181)&gt;0)*(N('Dvd Calendar'!$T$1181)&lt;=VAL_SERIAL)*1000000+7*1000+16))</f>
        <v/>
      </c>
      <c r="EU122" s="39">
        <f>IF(N('Dvd Calendar'!$U$1182)=0,"",IF(('Dvd Calendar'!$U$1182&gt;=GRID_FROM)*('Dvd Calendar'!$U$1182&lt;=GRID_TO)*((('Dvd Calendar'!$U$1182&lt;=VAL_DATE)+(COUNTIF('Dvd Calendar'!$E$1189:$AR$1189,'Dvd Calendar'!$U$1182)=0))&gt;0)=0,"",'Dvd Calendar'!$U$1182*1000000000+ISNUMBER('Dvd Calendar'!$U$1185)*100000000+('Dvd Calendar'!$U$1187=SPECIAL_LBL)*10000000+(N('Dvd Calendar'!$U$1181)&gt;0)*(N('Dvd Calendar'!$U$1181)&lt;=VAL_SERIAL)*1000000+7*1000+17))</f>
        <v/>
      </c>
      <c r="EV122" s="39">
        <f>IF(N('Dvd Calendar'!$V$1182)=0,"",IF(('Dvd Calendar'!$V$1182&gt;=GRID_FROM)*('Dvd Calendar'!$V$1182&lt;=GRID_TO)*((('Dvd Calendar'!$V$1182&lt;=VAL_DATE)+(COUNTIF('Dvd Calendar'!$E$1189:$AR$1189,'Dvd Calendar'!$V$1182)=0))&gt;0)=0,"",'Dvd Calendar'!$V$1182*1000000000+ISNUMBER('Dvd Calendar'!$V$1185)*100000000+('Dvd Calendar'!$V$1187=SPECIAL_LBL)*10000000+(N('Dvd Calendar'!$V$1181)&gt;0)*(N('Dvd Calendar'!$V$1181)&lt;=VAL_SERIAL)*1000000+7*1000+18))</f>
        <v/>
      </c>
      <c r="EW122" s="39">
        <f>IF(N('Dvd Calendar'!$W$1182)=0,"",IF(('Dvd Calendar'!$W$1182&gt;=GRID_FROM)*('Dvd Calendar'!$W$1182&lt;=GRID_TO)*((('Dvd Calendar'!$W$1182&lt;=VAL_DATE)+(COUNTIF('Dvd Calendar'!$E$1189:$AR$1189,'Dvd Calendar'!$W$1182)=0))&gt;0)=0,"",'Dvd Calendar'!$W$1182*1000000000+ISNUMBER('Dvd Calendar'!$W$1185)*100000000+('Dvd Calendar'!$W$1187=SPECIAL_LBL)*10000000+(N('Dvd Calendar'!$W$1181)&gt;0)*(N('Dvd Calendar'!$W$1181)&lt;=VAL_SERIAL)*1000000+7*1000+19))</f>
        <v/>
      </c>
      <c r="EX122" s="39">
        <f>IF(N('Dvd Calendar'!$X$1182)=0,"",IF(('Dvd Calendar'!$X$1182&gt;=GRID_FROM)*('Dvd Calendar'!$X$1182&lt;=GRID_TO)*((('Dvd Calendar'!$X$1182&lt;=VAL_DATE)+(COUNTIF('Dvd Calendar'!$E$1189:$AR$1189,'Dvd Calendar'!$X$1182)=0))&gt;0)=0,"",'Dvd Calendar'!$X$1182*1000000000+ISNUMBER('Dvd Calendar'!$X$1185)*100000000+('Dvd Calendar'!$X$1187=SPECIAL_LBL)*10000000+(N('Dvd Calendar'!$X$1181)&gt;0)*(N('Dvd Calendar'!$X$1181)&lt;=VAL_SERIAL)*1000000+7*1000+20))</f>
        <v/>
      </c>
      <c r="EY122" s="39">
        <f>IF(N('Dvd Calendar'!$Y$1182)=0,"",IF(('Dvd Calendar'!$Y$1182&gt;=GRID_FROM)*('Dvd Calendar'!$Y$1182&lt;=GRID_TO)*((('Dvd Calendar'!$Y$1182&lt;=VAL_DATE)+(COUNTIF('Dvd Calendar'!$E$1189:$AR$1189,'Dvd Calendar'!$Y$1182)=0))&gt;0)=0,"",'Dvd Calendar'!$Y$1182*1000000000+ISNUMBER('Dvd Calendar'!$Y$1185)*100000000+('Dvd Calendar'!$Y$1187=SPECIAL_LBL)*10000000+(N('Dvd Calendar'!$Y$1181)&gt;0)*(N('Dvd Calendar'!$Y$1181)&lt;=VAL_SERIAL)*1000000+7*1000+21))</f>
        <v/>
      </c>
      <c r="EZ122" s="39">
        <f>IF(N('Dvd Calendar'!$Z$1182)=0,"",IF(('Dvd Calendar'!$Z$1182&gt;=GRID_FROM)*('Dvd Calendar'!$Z$1182&lt;=GRID_TO)*((('Dvd Calendar'!$Z$1182&lt;=VAL_DATE)+(COUNTIF('Dvd Calendar'!$E$1189:$AR$1189,'Dvd Calendar'!$Z$1182)=0))&gt;0)=0,"",'Dvd Calendar'!$Z$1182*1000000000+ISNUMBER('Dvd Calendar'!$Z$1185)*100000000+('Dvd Calendar'!$Z$1187=SPECIAL_LBL)*10000000+(N('Dvd Calendar'!$Z$1181)&gt;0)*(N('Dvd Calendar'!$Z$1181)&lt;=VAL_SERIAL)*1000000+7*1000+22))</f>
        <v/>
      </c>
      <c r="FA122" s="39">
        <f>IF(N('Dvd Calendar'!$AA$1182)=0,"",IF(('Dvd Calendar'!$AA$1182&gt;=GRID_FROM)*('Dvd Calendar'!$AA$1182&lt;=GRID_TO)*((('Dvd Calendar'!$AA$1182&lt;=VAL_DATE)+(COUNTIF('Dvd Calendar'!$E$1189:$AR$1189,'Dvd Calendar'!$AA$1182)=0))&gt;0)=0,"",'Dvd Calendar'!$AA$1182*1000000000+ISNUMBER('Dvd Calendar'!$AA$1185)*100000000+('Dvd Calendar'!$AA$1187=SPECIAL_LBL)*10000000+(N('Dvd Calendar'!$AA$1181)&gt;0)*(N('Dvd Calendar'!$AA$1181)&lt;=VAL_SERIAL)*1000000+7*1000+23))</f>
        <v/>
      </c>
      <c r="FB122" s="39">
        <f>IF(N('Dvd Calendar'!$AB$1182)=0,"",IF(('Dvd Calendar'!$AB$1182&gt;=GRID_FROM)*('Dvd Calendar'!$AB$1182&lt;=GRID_TO)*((('Dvd Calendar'!$AB$1182&lt;=VAL_DATE)+(COUNTIF('Dvd Calendar'!$E$1189:$AR$1189,'Dvd Calendar'!$AB$1182)=0))&gt;0)=0,"",'Dvd Calendar'!$AB$1182*1000000000+ISNUMBER('Dvd Calendar'!$AB$1185)*100000000+('Dvd Calendar'!$AB$1187=SPECIAL_LBL)*10000000+(N('Dvd Calendar'!$AB$1181)&gt;0)*(N('Dvd Calendar'!$AB$1181)&lt;=VAL_SERIAL)*1000000+7*1000+24))</f>
        <v/>
      </c>
      <c r="FC122" s="39">
        <f>IF(N('Dvd Calendar'!$AC$1182)=0,"",IF(('Dvd Calendar'!$AC$1182&gt;=GRID_FROM)*('Dvd Calendar'!$AC$1182&lt;=GRID_TO)*((('Dvd Calendar'!$AC$1182&lt;=VAL_DATE)+(COUNTIF('Dvd Calendar'!$E$1189:$AR$1189,'Dvd Calendar'!$AC$1182)=0))&gt;0)=0,"",'Dvd Calendar'!$AC$1182*1000000000+ISNUMBER('Dvd Calendar'!$AC$1185)*100000000+('Dvd Calendar'!$AC$1187=SPECIAL_LBL)*10000000+(N('Dvd Calendar'!$AC$1181)&gt;0)*(N('Dvd Calendar'!$AC$1181)&lt;=VAL_SERIAL)*1000000+7*1000+25))</f>
        <v/>
      </c>
      <c r="FD122" s="39">
        <f>IF(N('Dvd Calendar'!$AD$1182)=0,"",IF(('Dvd Calendar'!$AD$1182&gt;=GRID_FROM)*('Dvd Calendar'!$AD$1182&lt;=GRID_TO)*((('Dvd Calendar'!$AD$1182&lt;=VAL_DATE)+(COUNTIF('Dvd Calendar'!$E$1189:$AR$1189,'Dvd Calendar'!$AD$1182)=0))&gt;0)=0,"",'Dvd Calendar'!$AD$1182*1000000000+ISNUMBER('Dvd Calendar'!$AD$1185)*100000000+('Dvd Calendar'!$AD$1187=SPECIAL_LBL)*10000000+(N('Dvd Calendar'!$AD$1181)&gt;0)*(N('Dvd Calendar'!$AD$1181)&lt;=VAL_SERIAL)*1000000+7*1000+26))</f>
        <v/>
      </c>
      <c r="FE122" s="39">
        <f>IF(N('Dvd Calendar'!$AE$1182)=0,"",IF(('Dvd Calendar'!$AE$1182&gt;=GRID_FROM)*('Dvd Calendar'!$AE$1182&lt;=GRID_TO)*((('Dvd Calendar'!$AE$1182&lt;=VAL_DATE)+(COUNTIF('Dvd Calendar'!$E$1189:$AR$1189,'Dvd Calendar'!$AE$1182)=0))&gt;0)=0,"",'Dvd Calendar'!$AE$1182*1000000000+ISNUMBER('Dvd Calendar'!$AE$1185)*100000000+('Dvd Calendar'!$AE$1187=SPECIAL_LBL)*10000000+(N('Dvd Calendar'!$AE$1181)&gt;0)*(N('Dvd Calendar'!$AE$1181)&lt;=VAL_SERIAL)*1000000+7*1000+27))</f>
        <v/>
      </c>
      <c r="FF122" s="39">
        <f>IF(N('Dvd Calendar'!$AF$1182)=0,"",IF(('Dvd Calendar'!$AF$1182&gt;=GRID_FROM)*('Dvd Calendar'!$AF$1182&lt;=GRID_TO)*((('Dvd Calendar'!$AF$1182&lt;=VAL_DATE)+(COUNTIF('Dvd Calendar'!$E$1189:$AR$1189,'Dvd Calendar'!$AF$1182)=0))&gt;0)=0,"",'Dvd Calendar'!$AF$1182*1000000000+ISNUMBER('Dvd Calendar'!$AF$1185)*100000000+('Dvd Calendar'!$AF$1187=SPECIAL_LBL)*10000000+(N('Dvd Calendar'!$AF$1181)&gt;0)*(N('Dvd Calendar'!$AF$1181)&lt;=VAL_SERIAL)*1000000+7*1000+28))</f>
        <v/>
      </c>
      <c r="FG122" s="39">
        <f>IF(N('Dvd Calendar'!$AG$1182)=0,"",IF(('Dvd Calendar'!$AG$1182&gt;=GRID_FROM)*('Dvd Calendar'!$AG$1182&lt;=GRID_TO)*((('Dvd Calendar'!$AG$1182&lt;=VAL_DATE)+(COUNTIF('Dvd Calendar'!$E$1189:$AR$1189,'Dvd Calendar'!$AG$1182)=0))&gt;0)=0,"",'Dvd Calendar'!$AG$1182*1000000000+ISNUMBER('Dvd Calendar'!$AG$1185)*100000000+('Dvd Calendar'!$AG$1187=SPECIAL_LBL)*10000000+(N('Dvd Calendar'!$AG$1181)&gt;0)*(N('Dvd Calendar'!$AG$1181)&lt;=VAL_SERIAL)*1000000+7*1000+29))</f>
        <v/>
      </c>
      <c r="FH122" s="39">
        <f>IF(N('Dvd Calendar'!$AH$1182)=0,"",IF(('Dvd Calendar'!$AH$1182&gt;=GRID_FROM)*('Dvd Calendar'!$AH$1182&lt;=GRID_TO)*((('Dvd Calendar'!$AH$1182&lt;=VAL_DATE)+(COUNTIF('Dvd Calendar'!$E$1189:$AR$1189,'Dvd Calendar'!$AH$1182)=0))&gt;0)=0,"",'Dvd Calendar'!$AH$1182*1000000000+ISNUMBER('Dvd Calendar'!$AH$1185)*100000000+('Dvd Calendar'!$AH$1187=SPECIAL_LBL)*10000000+(N('Dvd Calendar'!$AH$1181)&gt;0)*(N('Dvd Calendar'!$AH$1181)&lt;=VAL_SERIAL)*1000000+7*1000+30))</f>
        <v/>
      </c>
      <c r="FI122" s="39">
        <f>IF(N('Dvd Calendar'!$AI$1182)=0,"",IF(('Dvd Calendar'!$AI$1182&gt;=GRID_FROM)*('Dvd Calendar'!$AI$1182&lt;=GRID_TO)*((('Dvd Calendar'!$AI$1182&lt;=VAL_DATE)+(COUNTIF('Dvd Calendar'!$E$1189:$AR$1189,'Dvd Calendar'!$AI$1182)=0))&gt;0)=0,"",'Dvd Calendar'!$AI$1182*1000000000+ISNUMBER('Dvd Calendar'!$AI$1185)*100000000+('Dvd Calendar'!$AI$1187=SPECIAL_LBL)*10000000+(N('Dvd Calendar'!$AI$1181)&gt;0)*(N('Dvd Calendar'!$AI$1181)&lt;=VAL_SERIAL)*1000000+7*1000+31))</f>
        <v/>
      </c>
      <c r="FJ122" s="39">
        <f>IF(N('Dvd Calendar'!$AJ$1182)=0,"",IF(('Dvd Calendar'!$AJ$1182&gt;=GRID_FROM)*('Dvd Calendar'!$AJ$1182&lt;=GRID_TO)*((('Dvd Calendar'!$AJ$1182&lt;=VAL_DATE)+(COUNTIF('Dvd Calendar'!$E$1189:$AR$1189,'Dvd Calendar'!$AJ$1182)=0))&gt;0)=0,"",'Dvd Calendar'!$AJ$1182*1000000000+ISNUMBER('Dvd Calendar'!$AJ$1185)*100000000+('Dvd Calendar'!$AJ$1187=SPECIAL_LBL)*10000000+(N('Dvd Calendar'!$AJ$1181)&gt;0)*(N('Dvd Calendar'!$AJ$1181)&lt;=VAL_SERIAL)*1000000+7*1000+32))</f>
        <v/>
      </c>
      <c r="FK122" s="39">
        <f>IF(N('Dvd Calendar'!$AK$1182)=0,"",IF(('Dvd Calendar'!$AK$1182&gt;=GRID_FROM)*('Dvd Calendar'!$AK$1182&lt;=GRID_TO)*((('Dvd Calendar'!$AK$1182&lt;=VAL_DATE)+(COUNTIF('Dvd Calendar'!$E$1189:$AR$1189,'Dvd Calendar'!$AK$1182)=0))&gt;0)=0,"",'Dvd Calendar'!$AK$1182*1000000000+ISNUMBER('Dvd Calendar'!$AK$1185)*100000000+('Dvd Calendar'!$AK$1187=SPECIAL_LBL)*10000000+(N('Dvd Calendar'!$AK$1181)&gt;0)*(N('Dvd Calendar'!$AK$1181)&lt;=VAL_SERIAL)*1000000+7*1000+33))</f>
        <v/>
      </c>
      <c r="FL122" s="39">
        <f>IF(N('Dvd Calendar'!$AL$1182)=0,"",IF(('Dvd Calendar'!$AL$1182&gt;=GRID_FROM)*('Dvd Calendar'!$AL$1182&lt;=GRID_TO)*((('Dvd Calendar'!$AL$1182&lt;=VAL_DATE)+(COUNTIF('Dvd Calendar'!$E$1189:$AR$1189,'Dvd Calendar'!$AL$1182)=0))&gt;0)=0,"",'Dvd Calendar'!$AL$1182*1000000000+ISNUMBER('Dvd Calendar'!$AL$1185)*100000000+('Dvd Calendar'!$AL$1187=SPECIAL_LBL)*10000000+(N('Dvd Calendar'!$AL$1181)&gt;0)*(N('Dvd Calendar'!$AL$1181)&lt;=VAL_SERIAL)*1000000+7*1000+34))</f>
        <v/>
      </c>
      <c r="FM122" s="39">
        <f>IF(N('Dvd Calendar'!$AM$1182)=0,"",IF(('Dvd Calendar'!$AM$1182&gt;=GRID_FROM)*('Dvd Calendar'!$AM$1182&lt;=GRID_TO)*((('Dvd Calendar'!$AM$1182&lt;=VAL_DATE)+(COUNTIF('Dvd Calendar'!$E$1189:$AR$1189,'Dvd Calendar'!$AM$1182)=0))&gt;0)=0,"",'Dvd Calendar'!$AM$1182*1000000000+ISNUMBER('Dvd Calendar'!$AM$1185)*100000000+('Dvd Calendar'!$AM$1187=SPECIAL_LBL)*10000000+(N('Dvd Calendar'!$AM$1181)&gt;0)*(N('Dvd Calendar'!$AM$1181)&lt;=VAL_SERIAL)*1000000+7*1000+35))</f>
        <v/>
      </c>
      <c r="FN122" s="39">
        <f>IF(N('Dvd Calendar'!$AN$1182)=0,"",IF(('Dvd Calendar'!$AN$1182&gt;=GRID_FROM)*('Dvd Calendar'!$AN$1182&lt;=GRID_TO)*((('Dvd Calendar'!$AN$1182&lt;=VAL_DATE)+(COUNTIF('Dvd Calendar'!$E$1189:$AR$1189,'Dvd Calendar'!$AN$1182)=0))&gt;0)=0,"",'Dvd Calendar'!$AN$1182*1000000000+ISNUMBER('Dvd Calendar'!$AN$1185)*100000000+('Dvd Calendar'!$AN$1187=SPECIAL_LBL)*10000000+(N('Dvd Calendar'!$AN$1181)&gt;0)*(N('Dvd Calendar'!$AN$1181)&lt;=VAL_SERIAL)*1000000+7*1000+36))</f>
        <v/>
      </c>
      <c r="FO122" s="39">
        <f>IF(N('Dvd Calendar'!$AO$1182)=0,"",IF(('Dvd Calendar'!$AO$1182&gt;=GRID_FROM)*('Dvd Calendar'!$AO$1182&lt;=GRID_TO)*((('Dvd Calendar'!$AO$1182&lt;=VAL_DATE)+(COUNTIF('Dvd Calendar'!$E$1189:$AR$1189,'Dvd Calendar'!$AO$1182)=0))&gt;0)=0,"",'Dvd Calendar'!$AO$1182*1000000000+ISNUMBER('Dvd Calendar'!$AO$1185)*100000000+('Dvd Calendar'!$AO$1187=SPECIAL_LBL)*10000000+(N('Dvd Calendar'!$AO$1181)&gt;0)*(N('Dvd Calendar'!$AO$1181)&lt;=VAL_SERIAL)*1000000+7*1000+37))</f>
        <v/>
      </c>
      <c r="FP122" s="39">
        <f>IF(N('Dvd Calendar'!$AP$1182)=0,"",IF(('Dvd Calendar'!$AP$1182&gt;=GRID_FROM)*('Dvd Calendar'!$AP$1182&lt;=GRID_TO)*((('Dvd Calendar'!$AP$1182&lt;=VAL_DATE)+(COUNTIF('Dvd Calendar'!$E$1189:$AR$1189,'Dvd Calendar'!$AP$1182)=0))&gt;0)=0,"",'Dvd Calendar'!$AP$1182*1000000000+ISNUMBER('Dvd Calendar'!$AP$1185)*100000000+('Dvd Calendar'!$AP$1187=SPECIAL_LBL)*10000000+(N('Dvd Calendar'!$AP$1181)&gt;0)*(N('Dvd Calendar'!$AP$1181)&lt;=VAL_SERIAL)*1000000+7*1000+38))</f>
        <v/>
      </c>
      <c r="FQ122" s="39">
        <f>IF(N('Dvd Calendar'!$AQ$1182)=0,"",IF(('Dvd Calendar'!$AQ$1182&gt;=GRID_FROM)*('Dvd Calendar'!$AQ$1182&lt;=GRID_TO)*((('Dvd Calendar'!$AQ$1182&lt;=VAL_DATE)+(COUNTIF('Dvd Calendar'!$E$1189:$AR$1189,'Dvd Calendar'!$AQ$1182)=0))&gt;0)=0,"",'Dvd Calendar'!$AQ$1182*1000000000+ISNUMBER('Dvd Calendar'!$AQ$1185)*100000000+('Dvd Calendar'!$AQ$1187=SPECIAL_LBL)*10000000+(N('Dvd Calendar'!$AQ$1181)&gt;0)*(N('Dvd Calendar'!$AQ$1181)&lt;=VAL_SERIAL)*1000000+7*1000+39))</f>
        <v/>
      </c>
      <c r="FR122" s="39">
        <f>IF(N('Dvd Calendar'!$AR$1182)=0,"",IF(('Dvd Calendar'!$AR$1182&gt;=GRID_FROM)*('Dvd Calendar'!$AR$1182&lt;=GRID_TO)*((('Dvd Calendar'!$AR$1182&lt;=VAL_DATE)+(COUNTIF('Dvd Calendar'!$E$1189:$AR$1189,'Dvd Calendar'!$AR$1182)=0))&gt;0)=0,"",'Dvd Calendar'!$AR$1182*1000000000+ISNUMBER('Dvd Calendar'!$AR$1185)*100000000+('Dvd Calendar'!$AR$1187=SPECIAL_LBL)*10000000+(N('Dvd Calendar'!$AR$1181)&gt;0)*(N('Dvd Calendar'!$AR$1181)&lt;=VAL_SERIAL)*1000000+7*1000+40))</f>
        <v/>
      </c>
      <c r="FS122" s="39">
        <f>IF(N('Dvd Calendar'!$E$1189)=0,"",IF(('Dvd Calendar'!$E$1189&gt;=GRID_FROM)*('Dvd Calendar'!$E$1189&lt;=GRID_TO)*('Dvd Calendar'!$E$1189&gt;VAL_DATE)=0,"",'Dvd Calendar'!$E$1189*1000000000+ISNUMBER('Dvd Calendar'!$E$1190)*100000000+0*10000000+(N('Dvd Calendar'!$E$1188)&gt;0)*(N('Dvd Calendar'!$E$1188)&lt;=VAL_SERIAL)*1000000+7*1000+41))</f>
        <v/>
      </c>
      <c r="FT122" s="39">
        <f>IF(N('Dvd Calendar'!$F$1189)=0,"",IF(('Dvd Calendar'!$F$1189&gt;=GRID_FROM)*('Dvd Calendar'!$F$1189&lt;=GRID_TO)*('Dvd Calendar'!$F$1189&gt;VAL_DATE)=0,"",'Dvd Calendar'!$F$1189*1000000000+ISNUMBER('Dvd Calendar'!$F$1190)*100000000+0*10000000+(N('Dvd Calendar'!$F$1188)&gt;0)*(N('Dvd Calendar'!$F$1188)&lt;=VAL_SERIAL)*1000000+7*1000+42))</f>
        <v/>
      </c>
      <c r="FU122" s="39">
        <f>IF(N('Dvd Calendar'!$G$1189)=0,"",IF(('Dvd Calendar'!$G$1189&gt;=GRID_FROM)*('Dvd Calendar'!$G$1189&lt;=GRID_TO)*('Dvd Calendar'!$G$1189&gt;VAL_DATE)=0,"",'Dvd Calendar'!$G$1189*1000000000+ISNUMBER('Dvd Calendar'!$G$1190)*100000000+0*10000000+(N('Dvd Calendar'!$G$1188)&gt;0)*(N('Dvd Calendar'!$G$1188)&lt;=VAL_SERIAL)*1000000+7*1000+43))</f>
        <v/>
      </c>
      <c r="FV122" s="39">
        <f>IF(N('Dvd Calendar'!$H$1189)=0,"",IF(('Dvd Calendar'!$H$1189&gt;=GRID_FROM)*('Dvd Calendar'!$H$1189&lt;=GRID_TO)*('Dvd Calendar'!$H$1189&gt;VAL_DATE)=0,"",'Dvd Calendar'!$H$1189*1000000000+ISNUMBER('Dvd Calendar'!$H$1190)*100000000+0*10000000+(N('Dvd Calendar'!$H$1188)&gt;0)*(N('Dvd Calendar'!$H$1188)&lt;=VAL_SERIAL)*1000000+7*1000+44))</f>
        <v/>
      </c>
      <c r="FW122" s="39">
        <f>IF(N('Dvd Calendar'!$I$1189)=0,"",IF(('Dvd Calendar'!$I$1189&gt;=GRID_FROM)*('Dvd Calendar'!$I$1189&lt;=GRID_TO)*('Dvd Calendar'!$I$1189&gt;VAL_DATE)=0,"",'Dvd Calendar'!$I$1189*1000000000+ISNUMBER('Dvd Calendar'!$I$1190)*100000000+0*10000000+(N('Dvd Calendar'!$I$1188)&gt;0)*(N('Dvd Calendar'!$I$1188)&lt;=VAL_SERIAL)*1000000+7*1000+45))</f>
        <v/>
      </c>
      <c r="FX122" s="39">
        <f>IF(N('Dvd Calendar'!$J$1189)=0,"",IF(('Dvd Calendar'!$J$1189&gt;=GRID_FROM)*('Dvd Calendar'!$J$1189&lt;=GRID_TO)*('Dvd Calendar'!$J$1189&gt;VAL_DATE)=0,"",'Dvd Calendar'!$J$1189*1000000000+ISNUMBER('Dvd Calendar'!$J$1190)*100000000+0*10000000+(N('Dvd Calendar'!$J$1188)&gt;0)*(N('Dvd Calendar'!$J$1188)&lt;=VAL_SERIAL)*1000000+7*1000+46))</f>
        <v/>
      </c>
      <c r="FY122" s="39">
        <f>IF(N('Dvd Calendar'!$K$1189)=0,"",IF(('Dvd Calendar'!$K$1189&gt;=GRID_FROM)*('Dvd Calendar'!$K$1189&lt;=GRID_TO)*('Dvd Calendar'!$K$1189&gt;VAL_DATE)=0,"",'Dvd Calendar'!$K$1189*1000000000+ISNUMBER('Dvd Calendar'!$K$1190)*100000000+0*10000000+(N('Dvd Calendar'!$K$1188)&gt;0)*(N('Dvd Calendar'!$K$1188)&lt;=VAL_SERIAL)*1000000+7*1000+47))</f>
        <v/>
      </c>
      <c r="FZ122" s="39">
        <f>IF(N('Dvd Calendar'!$L$1189)=0,"",IF(('Dvd Calendar'!$L$1189&gt;=GRID_FROM)*('Dvd Calendar'!$L$1189&lt;=GRID_TO)*('Dvd Calendar'!$L$1189&gt;VAL_DATE)=0,"",'Dvd Calendar'!$L$1189*1000000000+ISNUMBER('Dvd Calendar'!$L$1190)*100000000+0*10000000+(N('Dvd Calendar'!$L$1188)&gt;0)*(N('Dvd Calendar'!$L$1188)&lt;=VAL_SERIAL)*1000000+7*1000+48))</f>
        <v/>
      </c>
      <c r="GA122" s="39">
        <f>IF(N('Dvd Calendar'!$M$1189)=0,"",IF(('Dvd Calendar'!$M$1189&gt;=GRID_FROM)*('Dvd Calendar'!$M$1189&lt;=GRID_TO)*('Dvd Calendar'!$M$1189&gt;VAL_DATE)=0,"",'Dvd Calendar'!$M$1189*1000000000+ISNUMBER('Dvd Calendar'!$M$1190)*100000000+0*10000000+(N('Dvd Calendar'!$M$1188)&gt;0)*(N('Dvd Calendar'!$M$1188)&lt;=VAL_SERIAL)*1000000+7*1000+49))</f>
        <v/>
      </c>
      <c r="GB122" s="39">
        <f>IF(N('Dvd Calendar'!$N$1189)=0,"",IF(('Dvd Calendar'!$N$1189&gt;=GRID_FROM)*('Dvd Calendar'!$N$1189&lt;=GRID_TO)*('Dvd Calendar'!$N$1189&gt;VAL_DATE)=0,"",'Dvd Calendar'!$N$1189*1000000000+ISNUMBER('Dvd Calendar'!$N$1190)*100000000+0*10000000+(N('Dvd Calendar'!$N$1188)&gt;0)*(N('Dvd Calendar'!$N$1188)&lt;=VAL_SERIAL)*1000000+7*1000+50))</f>
        <v/>
      </c>
      <c r="GC122" s="39">
        <f>IF(N('Dvd Calendar'!$O$1189)=0,"",IF(('Dvd Calendar'!$O$1189&gt;=GRID_FROM)*('Dvd Calendar'!$O$1189&lt;=GRID_TO)*('Dvd Calendar'!$O$1189&gt;VAL_DATE)=0,"",'Dvd Calendar'!$O$1189*1000000000+ISNUMBER('Dvd Calendar'!$O$1190)*100000000+0*10000000+(N('Dvd Calendar'!$O$1188)&gt;0)*(N('Dvd Calendar'!$O$1188)&lt;=VAL_SERIAL)*1000000+7*1000+51))</f>
        <v/>
      </c>
      <c r="GD122" s="39">
        <f>IF(N('Dvd Calendar'!$P$1189)=0,"",IF(('Dvd Calendar'!$P$1189&gt;=GRID_FROM)*('Dvd Calendar'!$P$1189&lt;=GRID_TO)*('Dvd Calendar'!$P$1189&gt;VAL_DATE)=0,"",'Dvd Calendar'!$P$1189*1000000000+ISNUMBER('Dvd Calendar'!$P$1190)*100000000+0*10000000+(N('Dvd Calendar'!$P$1188)&gt;0)*(N('Dvd Calendar'!$P$1188)&lt;=VAL_SERIAL)*1000000+7*1000+52))</f>
        <v/>
      </c>
      <c r="GE122" s="39">
        <f>IF(N('Dvd Calendar'!$Q$1189)=0,"",IF(('Dvd Calendar'!$Q$1189&gt;=GRID_FROM)*('Dvd Calendar'!$Q$1189&lt;=GRID_TO)*('Dvd Calendar'!$Q$1189&gt;VAL_DATE)=0,"",'Dvd Calendar'!$Q$1189*1000000000+ISNUMBER('Dvd Calendar'!$Q$1190)*100000000+0*10000000+(N('Dvd Calendar'!$Q$1188)&gt;0)*(N('Dvd Calendar'!$Q$1188)&lt;=VAL_SERIAL)*1000000+7*1000+53))</f>
        <v/>
      </c>
      <c r="GF122" s="39">
        <f>IF(N('Dvd Calendar'!$R$1189)=0,"",IF(('Dvd Calendar'!$R$1189&gt;=GRID_FROM)*('Dvd Calendar'!$R$1189&lt;=GRID_TO)*('Dvd Calendar'!$R$1189&gt;VAL_DATE)=0,"",'Dvd Calendar'!$R$1189*1000000000+ISNUMBER('Dvd Calendar'!$R$1190)*100000000+0*10000000+(N('Dvd Calendar'!$R$1188)&gt;0)*(N('Dvd Calendar'!$R$1188)&lt;=VAL_SERIAL)*1000000+7*1000+54))</f>
        <v/>
      </c>
      <c r="GG122" s="39">
        <f>IF(N('Dvd Calendar'!$S$1189)=0,"",IF(('Dvd Calendar'!$S$1189&gt;=GRID_FROM)*('Dvd Calendar'!$S$1189&lt;=GRID_TO)*('Dvd Calendar'!$S$1189&gt;VAL_DATE)=0,"",'Dvd Calendar'!$S$1189*1000000000+ISNUMBER('Dvd Calendar'!$S$1190)*100000000+0*10000000+(N('Dvd Calendar'!$S$1188)&gt;0)*(N('Dvd Calendar'!$S$1188)&lt;=VAL_SERIAL)*1000000+7*1000+55))</f>
        <v/>
      </c>
      <c r="GH122" s="39">
        <f>IF(N('Dvd Calendar'!$T$1189)=0,"",IF(('Dvd Calendar'!$T$1189&gt;=GRID_FROM)*('Dvd Calendar'!$T$1189&lt;=GRID_TO)*('Dvd Calendar'!$T$1189&gt;VAL_DATE)=0,"",'Dvd Calendar'!$T$1189*1000000000+ISNUMBER('Dvd Calendar'!$T$1190)*100000000+0*10000000+(N('Dvd Calendar'!$T$1188)&gt;0)*(N('Dvd Calendar'!$T$1188)&lt;=VAL_SERIAL)*1000000+7*1000+56))</f>
        <v/>
      </c>
      <c r="GI122" s="39">
        <f>IF(N('Dvd Calendar'!$U$1189)=0,"",IF(('Dvd Calendar'!$U$1189&gt;=GRID_FROM)*('Dvd Calendar'!$U$1189&lt;=GRID_TO)*('Dvd Calendar'!$U$1189&gt;VAL_DATE)=0,"",'Dvd Calendar'!$U$1189*1000000000+ISNUMBER('Dvd Calendar'!$U$1190)*100000000+0*10000000+(N('Dvd Calendar'!$U$1188)&gt;0)*(N('Dvd Calendar'!$U$1188)&lt;=VAL_SERIAL)*1000000+7*1000+57))</f>
        <v/>
      </c>
      <c r="GJ122" s="39">
        <f>IF(N('Dvd Calendar'!$V$1189)=0,"",IF(('Dvd Calendar'!$V$1189&gt;=GRID_FROM)*('Dvd Calendar'!$V$1189&lt;=GRID_TO)*('Dvd Calendar'!$V$1189&gt;VAL_DATE)=0,"",'Dvd Calendar'!$V$1189*1000000000+ISNUMBER('Dvd Calendar'!$V$1190)*100000000+0*10000000+(N('Dvd Calendar'!$V$1188)&gt;0)*(N('Dvd Calendar'!$V$1188)&lt;=VAL_SERIAL)*1000000+7*1000+58))</f>
        <v/>
      </c>
      <c r="GK122" s="39">
        <f>IF(N('Dvd Calendar'!$W$1189)=0,"",IF(('Dvd Calendar'!$W$1189&gt;=GRID_FROM)*('Dvd Calendar'!$W$1189&lt;=GRID_TO)*('Dvd Calendar'!$W$1189&gt;VAL_DATE)=0,"",'Dvd Calendar'!$W$1189*1000000000+ISNUMBER('Dvd Calendar'!$W$1190)*100000000+0*10000000+(N('Dvd Calendar'!$W$1188)&gt;0)*(N('Dvd Calendar'!$W$1188)&lt;=VAL_SERIAL)*1000000+7*1000+59))</f>
        <v/>
      </c>
      <c r="GL122" s="39">
        <f>IF(N('Dvd Calendar'!$X$1189)=0,"",IF(('Dvd Calendar'!$X$1189&gt;=GRID_FROM)*('Dvd Calendar'!$X$1189&lt;=GRID_TO)*('Dvd Calendar'!$X$1189&gt;VAL_DATE)=0,"",'Dvd Calendar'!$X$1189*1000000000+ISNUMBER('Dvd Calendar'!$X$1190)*100000000+0*10000000+(N('Dvd Calendar'!$X$1188)&gt;0)*(N('Dvd Calendar'!$X$1188)&lt;=VAL_SERIAL)*1000000+7*1000+60))</f>
        <v/>
      </c>
      <c r="GM122" s="39">
        <f>IF(N('Dvd Calendar'!$Y$1189)=0,"",IF(('Dvd Calendar'!$Y$1189&gt;=GRID_FROM)*('Dvd Calendar'!$Y$1189&lt;=GRID_TO)*('Dvd Calendar'!$Y$1189&gt;VAL_DATE)=0,"",'Dvd Calendar'!$Y$1189*1000000000+ISNUMBER('Dvd Calendar'!$Y$1190)*100000000+0*10000000+(N('Dvd Calendar'!$Y$1188)&gt;0)*(N('Dvd Calendar'!$Y$1188)&lt;=VAL_SERIAL)*1000000+7*1000+61))</f>
        <v/>
      </c>
      <c r="GN122" s="39">
        <f>IF(N('Dvd Calendar'!$Z$1189)=0,"",IF(('Dvd Calendar'!$Z$1189&gt;=GRID_FROM)*('Dvd Calendar'!$Z$1189&lt;=GRID_TO)*('Dvd Calendar'!$Z$1189&gt;VAL_DATE)=0,"",'Dvd Calendar'!$Z$1189*1000000000+ISNUMBER('Dvd Calendar'!$Z$1190)*100000000+0*10000000+(N('Dvd Calendar'!$Z$1188)&gt;0)*(N('Dvd Calendar'!$Z$1188)&lt;=VAL_SERIAL)*1000000+7*1000+62))</f>
        <v/>
      </c>
      <c r="GO122" s="39">
        <f>IF(N('Dvd Calendar'!$AA$1189)=0,"",IF(('Dvd Calendar'!$AA$1189&gt;=GRID_FROM)*('Dvd Calendar'!$AA$1189&lt;=GRID_TO)*('Dvd Calendar'!$AA$1189&gt;VAL_DATE)=0,"",'Dvd Calendar'!$AA$1189*1000000000+ISNUMBER('Dvd Calendar'!$AA$1190)*100000000+0*10000000+(N('Dvd Calendar'!$AA$1188)&gt;0)*(N('Dvd Calendar'!$AA$1188)&lt;=VAL_SERIAL)*1000000+7*1000+63))</f>
        <v/>
      </c>
      <c r="GP122" s="39">
        <f>IF(N('Dvd Calendar'!$AB$1189)=0,"",IF(('Dvd Calendar'!$AB$1189&gt;=GRID_FROM)*('Dvd Calendar'!$AB$1189&lt;=GRID_TO)*('Dvd Calendar'!$AB$1189&gt;VAL_DATE)=0,"",'Dvd Calendar'!$AB$1189*1000000000+ISNUMBER('Dvd Calendar'!$AB$1190)*100000000+0*10000000+(N('Dvd Calendar'!$AB$1188)&gt;0)*(N('Dvd Calendar'!$AB$1188)&lt;=VAL_SERIAL)*1000000+7*1000+64))</f>
        <v/>
      </c>
      <c r="GQ122" s="39">
        <f>IF(N('Dvd Calendar'!$AC$1189)=0,"",IF(('Dvd Calendar'!$AC$1189&gt;=GRID_FROM)*('Dvd Calendar'!$AC$1189&lt;=GRID_TO)*('Dvd Calendar'!$AC$1189&gt;VAL_DATE)=0,"",'Dvd Calendar'!$AC$1189*1000000000+ISNUMBER('Dvd Calendar'!$AC$1190)*100000000+0*10000000+(N('Dvd Calendar'!$AC$1188)&gt;0)*(N('Dvd Calendar'!$AC$1188)&lt;=VAL_SERIAL)*1000000+7*1000+65))</f>
        <v/>
      </c>
    </row>
    <row r="123">
      <c r="B123" s="2">
        <f>IF(HSTECH!$C$14="","",HSTECH!$C$14)</f>
        <v/>
      </c>
      <c r="C123" s="110">
        <f>IF(EE123="","",IF(ISNUMBER('Dvd Calendar'!$E$1196)=FALSE,"",IF((('Dvd Calendar'!$E$1198=TYPE1)*(TYPE1&lt;&gt;"")+('Dvd Calendar'!$E$1198=TYPE2)*(TYPE2&lt;&gt;"")+('Dvd Calendar'!$E$1198=TYPE3)*(TYPE3&lt;&gt;"")+('Dvd Calendar'!$E$1198=TYPE4)*(TYPE4&lt;&gt;"")+('Dvd Calendar'!$E$1198=SPECIAL_LBL)*(INC_SPECIALS="Y"))=0,"",'Dvd Calendar'!$E$1196)))</f>
        <v/>
      </c>
      <c r="D123" s="110">
        <f>IF(EF123="","",IF(ISNUMBER('Dvd Calendar'!$F$1196)=FALSE,"",IF((('Dvd Calendar'!$F$1198=TYPE1)*(TYPE1&lt;&gt;"")+('Dvd Calendar'!$F$1198=TYPE2)*(TYPE2&lt;&gt;"")+('Dvd Calendar'!$F$1198=TYPE3)*(TYPE3&lt;&gt;"")+('Dvd Calendar'!$F$1198=TYPE4)*(TYPE4&lt;&gt;"")+('Dvd Calendar'!$F$1198=SPECIAL_LBL)*(INC_SPECIALS="Y"))=0,"",'Dvd Calendar'!$F$1196)))</f>
        <v/>
      </c>
      <c r="E123" s="110">
        <f>IF(EG123="","",IF(ISNUMBER('Dvd Calendar'!$G$1196)=FALSE,"",IF((('Dvd Calendar'!$G$1198=TYPE1)*(TYPE1&lt;&gt;"")+('Dvd Calendar'!$G$1198=TYPE2)*(TYPE2&lt;&gt;"")+('Dvd Calendar'!$G$1198=TYPE3)*(TYPE3&lt;&gt;"")+('Dvd Calendar'!$G$1198=TYPE4)*(TYPE4&lt;&gt;"")+('Dvd Calendar'!$G$1198=SPECIAL_LBL)*(INC_SPECIALS="Y"))=0,"",'Dvd Calendar'!$G$1196)))</f>
        <v/>
      </c>
      <c r="F123" s="110">
        <f>IF(EH123="","",IF(ISNUMBER('Dvd Calendar'!$H$1196)=FALSE,"",IF((('Dvd Calendar'!$H$1198=TYPE1)*(TYPE1&lt;&gt;"")+('Dvd Calendar'!$H$1198=TYPE2)*(TYPE2&lt;&gt;"")+('Dvd Calendar'!$H$1198=TYPE3)*(TYPE3&lt;&gt;"")+('Dvd Calendar'!$H$1198=TYPE4)*(TYPE4&lt;&gt;"")+('Dvd Calendar'!$H$1198=SPECIAL_LBL)*(INC_SPECIALS="Y"))=0,"",'Dvd Calendar'!$H$1196)))</f>
        <v/>
      </c>
      <c r="G123" s="110">
        <f>IF(EI123="","",IF(ISNUMBER('Dvd Calendar'!$I$1196)=FALSE,"",IF((('Dvd Calendar'!$I$1198=TYPE1)*(TYPE1&lt;&gt;"")+('Dvd Calendar'!$I$1198=TYPE2)*(TYPE2&lt;&gt;"")+('Dvd Calendar'!$I$1198=TYPE3)*(TYPE3&lt;&gt;"")+('Dvd Calendar'!$I$1198=TYPE4)*(TYPE4&lt;&gt;"")+('Dvd Calendar'!$I$1198=SPECIAL_LBL)*(INC_SPECIALS="Y"))=0,"",'Dvd Calendar'!$I$1196)))</f>
        <v/>
      </c>
      <c r="H123" s="110">
        <f>IF(EJ123="","",IF(ISNUMBER('Dvd Calendar'!$J$1196)=FALSE,"",IF((('Dvd Calendar'!$J$1198=TYPE1)*(TYPE1&lt;&gt;"")+('Dvd Calendar'!$J$1198=TYPE2)*(TYPE2&lt;&gt;"")+('Dvd Calendar'!$J$1198=TYPE3)*(TYPE3&lt;&gt;"")+('Dvd Calendar'!$J$1198=TYPE4)*(TYPE4&lt;&gt;"")+('Dvd Calendar'!$J$1198=SPECIAL_LBL)*(INC_SPECIALS="Y"))=0,"",'Dvd Calendar'!$J$1196)))</f>
        <v/>
      </c>
      <c r="I123" s="110">
        <f>IF(EK123="","",IF(ISNUMBER('Dvd Calendar'!$K$1196)=FALSE,"",IF((('Dvd Calendar'!$K$1198=TYPE1)*(TYPE1&lt;&gt;"")+('Dvd Calendar'!$K$1198=TYPE2)*(TYPE2&lt;&gt;"")+('Dvd Calendar'!$K$1198=TYPE3)*(TYPE3&lt;&gt;"")+('Dvd Calendar'!$K$1198=TYPE4)*(TYPE4&lt;&gt;"")+('Dvd Calendar'!$K$1198=SPECIAL_LBL)*(INC_SPECIALS="Y"))=0,"",'Dvd Calendar'!$K$1196)))</f>
        <v/>
      </c>
      <c r="J123" s="110">
        <f>IF(EL123="","",IF(ISNUMBER('Dvd Calendar'!$L$1196)=FALSE,"",IF((('Dvd Calendar'!$L$1198=TYPE1)*(TYPE1&lt;&gt;"")+('Dvd Calendar'!$L$1198=TYPE2)*(TYPE2&lt;&gt;"")+('Dvd Calendar'!$L$1198=TYPE3)*(TYPE3&lt;&gt;"")+('Dvd Calendar'!$L$1198=TYPE4)*(TYPE4&lt;&gt;"")+('Dvd Calendar'!$L$1198=SPECIAL_LBL)*(INC_SPECIALS="Y"))=0,"",'Dvd Calendar'!$L$1196)))</f>
        <v/>
      </c>
      <c r="K123" s="110">
        <f>IF(EM123="","",IF(ISNUMBER('Dvd Calendar'!$M$1196)=FALSE,"",IF((('Dvd Calendar'!$M$1198=TYPE1)*(TYPE1&lt;&gt;"")+('Dvd Calendar'!$M$1198=TYPE2)*(TYPE2&lt;&gt;"")+('Dvd Calendar'!$M$1198=TYPE3)*(TYPE3&lt;&gt;"")+('Dvd Calendar'!$M$1198=TYPE4)*(TYPE4&lt;&gt;"")+('Dvd Calendar'!$M$1198=SPECIAL_LBL)*(INC_SPECIALS="Y"))=0,"",'Dvd Calendar'!$M$1196)))</f>
        <v/>
      </c>
      <c r="L123" s="110">
        <f>IF(EN123="","",IF(ISNUMBER('Dvd Calendar'!$N$1196)=FALSE,"",IF((('Dvd Calendar'!$N$1198=TYPE1)*(TYPE1&lt;&gt;"")+('Dvd Calendar'!$N$1198=TYPE2)*(TYPE2&lt;&gt;"")+('Dvd Calendar'!$N$1198=TYPE3)*(TYPE3&lt;&gt;"")+('Dvd Calendar'!$N$1198=TYPE4)*(TYPE4&lt;&gt;"")+('Dvd Calendar'!$N$1198=SPECIAL_LBL)*(INC_SPECIALS="Y"))=0,"",'Dvd Calendar'!$N$1196)))</f>
        <v/>
      </c>
      <c r="M123" s="110">
        <f>IF(EO123="","",IF(ISNUMBER('Dvd Calendar'!$O$1196)=FALSE,"",IF((('Dvd Calendar'!$O$1198=TYPE1)*(TYPE1&lt;&gt;"")+('Dvd Calendar'!$O$1198=TYPE2)*(TYPE2&lt;&gt;"")+('Dvd Calendar'!$O$1198=TYPE3)*(TYPE3&lt;&gt;"")+('Dvd Calendar'!$O$1198=TYPE4)*(TYPE4&lt;&gt;"")+('Dvd Calendar'!$O$1198=SPECIAL_LBL)*(INC_SPECIALS="Y"))=0,"",'Dvd Calendar'!$O$1196)))</f>
        <v/>
      </c>
      <c r="N123" s="110">
        <f>IF(EP123="","",IF(ISNUMBER('Dvd Calendar'!$P$1196)=FALSE,"",IF((('Dvd Calendar'!$P$1198=TYPE1)*(TYPE1&lt;&gt;"")+('Dvd Calendar'!$P$1198=TYPE2)*(TYPE2&lt;&gt;"")+('Dvd Calendar'!$P$1198=TYPE3)*(TYPE3&lt;&gt;"")+('Dvd Calendar'!$P$1198=TYPE4)*(TYPE4&lt;&gt;"")+('Dvd Calendar'!$P$1198=SPECIAL_LBL)*(INC_SPECIALS="Y"))=0,"",'Dvd Calendar'!$P$1196)))</f>
        <v/>
      </c>
      <c r="O123" s="110">
        <f>IF(EQ123="","",IF(ISNUMBER('Dvd Calendar'!$Q$1196)=FALSE,"",IF((('Dvd Calendar'!$Q$1198=TYPE1)*(TYPE1&lt;&gt;"")+('Dvd Calendar'!$Q$1198=TYPE2)*(TYPE2&lt;&gt;"")+('Dvd Calendar'!$Q$1198=TYPE3)*(TYPE3&lt;&gt;"")+('Dvd Calendar'!$Q$1198=TYPE4)*(TYPE4&lt;&gt;"")+('Dvd Calendar'!$Q$1198=SPECIAL_LBL)*(INC_SPECIALS="Y"))=0,"",'Dvd Calendar'!$Q$1196)))</f>
        <v/>
      </c>
      <c r="P123" s="110">
        <f>IF(ER123="","",IF(ISNUMBER('Dvd Calendar'!$R$1196)=FALSE,"",IF((('Dvd Calendar'!$R$1198=TYPE1)*(TYPE1&lt;&gt;"")+('Dvd Calendar'!$R$1198=TYPE2)*(TYPE2&lt;&gt;"")+('Dvd Calendar'!$R$1198=TYPE3)*(TYPE3&lt;&gt;"")+('Dvd Calendar'!$R$1198=TYPE4)*(TYPE4&lt;&gt;"")+('Dvd Calendar'!$R$1198=SPECIAL_LBL)*(INC_SPECIALS="Y"))=0,"",'Dvd Calendar'!$R$1196)))</f>
        <v/>
      </c>
      <c r="Q123" s="110">
        <f>IF(ES123="","",IF(ISNUMBER('Dvd Calendar'!$S$1196)=FALSE,"",IF((('Dvd Calendar'!$S$1198=TYPE1)*(TYPE1&lt;&gt;"")+('Dvd Calendar'!$S$1198=TYPE2)*(TYPE2&lt;&gt;"")+('Dvd Calendar'!$S$1198=TYPE3)*(TYPE3&lt;&gt;"")+('Dvd Calendar'!$S$1198=TYPE4)*(TYPE4&lt;&gt;"")+('Dvd Calendar'!$S$1198=SPECIAL_LBL)*(INC_SPECIALS="Y"))=0,"",'Dvd Calendar'!$S$1196)))</f>
        <v/>
      </c>
      <c r="R123" s="110">
        <f>IF(ET123="","",IF(ISNUMBER('Dvd Calendar'!$T$1196)=FALSE,"",IF((('Dvd Calendar'!$T$1198=TYPE1)*(TYPE1&lt;&gt;"")+('Dvd Calendar'!$T$1198=TYPE2)*(TYPE2&lt;&gt;"")+('Dvd Calendar'!$T$1198=TYPE3)*(TYPE3&lt;&gt;"")+('Dvd Calendar'!$T$1198=TYPE4)*(TYPE4&lt;&gt;"")+('Dvd Calendar'!$T$1198=SPECIAL_LBL)*(INC_SPECIALS="Y"))=0,"",'Dvd Calendar'!$T$1196)))</f>
        <v/>
      </c>
      <c r="S123" s="110">
        <f>IF(EU123="","",IF(ISNUMBER('Dvd Calendar'!$U$1196)=FALSE,"",IF((('Dvd Calendar'!$U$1198=TYPE1)*(TYPE1&lt;&gt;"")+('Dvd Calendar'!$U$1198=TYPE2)*(TYPE2&lt;&gt;"")+('Dvd Calendar'!$U$1198=TYPE3)*(TYPE3&lt;&gt;"")+('Dvd Calendar'!$U$1198=TYPE4)*(TYPE4&lt;&gt;"")+('Dvd Calendar'!$U$1198=SPECIAL_LBL)*(INC_SPECIALS="Y"))=0,"",'Dvd Calendar'!$U$1196)))</f>
        <v/>
      </c>
      <c r="T123" s="110">
        <f>IF(EV123="","",IF(ISNUMBER('Dvd Calendar'!$V$1196)=FALSE,"",IF((('Dvd Calendar'!$V$1198=TYPE1)*(TYPE1&lt;&gt;"")+('Dvd Calendar'!$V$1198=TYPE2)*(TYPE2&lt;&gt;"")+('Dvd Calendar'!$V$1198=TYPE3)*(TYPE3&lt;&gt;"")+('Dvd Calendar'!$V$1198=TYPE4)*(TYPE4&lt;&gt;"")+('Dvd Calendar'!$V$1198=SPECIAL_LBL)*(INC_SPECIALS="Y"))=0,"",'Dvd Calendar'!$V$1196)))</f>
        <v/>
      </c>
      <c r="U123" s="110">
        <f>IF(EW123="","",IF(ISNUMBER('Dvd Calendar'!$W$1196)=FALSE,"",IF((('Dvd Calendar'!$W$1198=TYPE1)*(TYPE1&lt;&gt;"")+('Dvd Calendar'!$W$1198=TYPE2)*(TYPE2&lt;&gt;"")+('Dvd Calendar'!$W$1198=TYPE3)*(TYPE3&lt;&gt;"")+('Dvd Calendar'!$W$1198=TYPE4)*(TYPE4&lt;&gt;"")+('Dvd Calendar'!$W$1198=SPECIAL_LBL)*(INC_SPECIALS="Y"))=0,"",'Dvd Calendar'!$W$1196)))</f>
        <v/>
      </c>
      <c r="V123" s="110">
        <f>IF(EX123="","",IF(ISNUMBER('Dvd Calendar'!$X$1196)=FALSE,"",IF((('Dvd Calendar'!$X$1198=TYPE1)*(TYPE1&lt;&gt;"")+('Dvd Calendar'!$X$1198=TYPE2)*(TYPE2&lt;&gt;"")+('Dvd Calendar'!$X$1198=TYPE3)*(TYPE3&lt;&gt;"")+('Dvd Calendar'!$X$1198=TYPE4)*(TYPE4&lt;&gt;"")+('Dvd Calendar'!$X$1198=SPECIAL_LBL)*(INC_SPECIALS="Y"))=0,"",'Dvd Calendar'!$X$1196)))</f>
        <v/>
      </c>
      <c r="W123" s="110">
        <f>IF(EY123="","",IF(ISNUMBER('Dvd Calendar'!$Y$1196)=FALSE,"",IF((('Dvd Calendar'!$Y$1198=TYPE1)*(TYPE1&lt;&gt;"")+('Dvd Calendar'!$Y$1198=TYPE2)*(TYPE2&lt;&gt;"")+('Dvd Calendar'!$Y$1198=TYPE3)*(TYPE3&lt;&gt;"")+('Dvd Calendar'!$Y$1198=TYPE4)*(TYPE4&lt;&gt;"")+('Dvd Calendar'!$Y$1198=SPECIAL_LBL)*(INC_SPECIALS="Y"))=0,"",'Dvd Calendar'!$Y$1196)))</f>
        <v/>
      </c>
      <c r="X123" s="110">
        <f>IF(EZ123="","",IF(ISNUMBER('Dvd Calendar'!$Z$1196)=FALSE,"",IF((('Dvd Calendar'!$Z$1198=TYPE1)*(TYPE1&lt;&gt;"")+('Dvd Calendar'!$Z$1198=TYPE2)*(TYPE2&lt;&gt;"")+('Dvd Calendar'!$Z$1198=TYPE3)*(TYPE3&lt;&gt;"")+('Dvd Calendar'!$Z$1198=TYPE4)*(TYPE4&lt;&gt;"")+('Dvd Calendar'!$Z$1198=SPECIAL_LBL)*(INC_SPECIALS="Y"))=0,"",'Dvd Calendar'!$Z$1196)))</f>
        <v/>
      </c>
      <c r="Y123" s="110">
        <f>IF(FA123="","",IF(ISNUMBER('Dvd Calendar'!$AA$1196)=FALSE,"",IF((('Dvd Calendar'!$AA$1198=TYPE1)*(TYPE1&lt;&gt;"")+('Dvd Calendar'!$AA$1198=TYPE2)*(TYPE2&lt;&gt;"")+('Dvd Calendar'!$AA$1198=TYPE3)*(TYPE3&lt;&gt;"")+('Dvd Calendar'!$AA$1198=TYPE4)*(TYPE4&lt;&gt;"")+('Dvd Calendar'!$AA$1198=SPECIAL_LBL)*(INC_SPECIALS="Y"))=0,"",'Dvd Calendar'!$AA$1196)))</f>
        <v/>
      </c>
      <c r="Z123" s="110">
        <f>IF(FB123="","",IF(ISNUMBER('Dvd Calendar'!$AB$1196)=FALSE,"",IF((('Dvd Calendar'!$AB$1198=TYPE1)*(TYPE1&lt;&gt;"")+('Dvd Calendar'!$AB$1198=TYPE2)*(TYPE2&lt;&gt;"")+('Dvd Calendar'!$AB$1198=TYPE3)*(TYPE3&lt;&gt;"")+('Dvd Calendar'!$AB$1198=TYPE4)*(TYPE4&lt;&gt;"")+('Dvd Calendar'!$AB$1198=SPECIAL_LBL)*(INC_SPECIALS="Y"))=0,"",'Dvd Calendar'!$AB$1196)))</f>
        <v/>
      </c>
      <c r="AA123" s="110">
        <f>IF(FC123="","",IF(ISNUMBER('Dvd Calendar'!$AC$1196)=FALSE,"",IF((('Dvd Calendar'!$AC$1198=TYPE1)*(TYPE1&lt;&gt;"")+('Dvd Calendar'!$AC$1198=TYPE2)*(TYPE2&lt;&gt;"")+('Dvd Calendar'!$AC$1198=TYPE3)*(TYPE3&lt;&gt;"")+('Dvd Calendar'!$AC$1198=TYPE4)*(TYPE4&lt;&gt;"")+('Dvd Calendar'!$AC$1198=SPECIAL_LBL)*(INC_SPECIALS="Y"))=0,"",'Dvd Calendar'!$AC$1196)))</f>
        <v/>
      </c>
      <c r="AB123" s="110">
        <f>IF(FD123="","",IF(ISNUMBER('Dvd Calendar'!$AD$1196)=FALSE,"",IF((('Dvd Calendar'!$AD$1198=TYPE1)*(TYPE1&lt;&gt;"")+('Dvd Calendar'!$AD$1198=TYPE2)*(TYPE2&lt;&gt;"")+('Dvd Calendar'!$AD$1198=TYPE3)*(TYPE3&lt;&gt;"")+('Dvd Calendar'!$AD$1198=TYPE4)*(TYPE4&lt;&gt;"")+('Dvd Calendar'!$AD$1198=SPECIAL_LBL)*(INC_SPECIALS="Y"))=0,"",'Dvd Calendar'!$AD$1196)))</f>
        <v/>
      </c>
      <c r="AC123" s="110">
        <f>IF(FE123="","",IF(ISNUMBER('Dvd Calendar'!$AE$1196)=FALSE,"",IF((('Dvd Calendar'!$AE$1198=TYPE1)*(TYPE1&lt;&gt;"")+('Dvd Calendar'!$AE$1198=TYPE2)*(TYPE2&lt;&gt;"")+('Dvd Calendar'!$AE$1198=TYPE3)*(TYPE3&lt;&gt;"")+('Dvd Calendar'!$AE$1198=TYPE4)*(TYPE4&lt;&gt;"")+('Dvd Calendar'!$AE$1198=SPECIAL_LBL)*(INC_SPECIALS="Y"))=0,"",'Dvd Calendar'!$AE$1196)))</f>
        <v/>
      </c>
      <c r="AD123" s="110">
        <f>IF(FF123="","",IF(ISNUMBER('Dvd Calendar'!$AF$1196)=FALSE,"",IF((('Dvd Calendar'!$AF$1198=TYPE1)*(TYPE1&lt;&gt;"")+('Dvd Calendar'!$AF$1198=TYPE2)*(TYPE2&lt;&gt;"")+('Dvd Calendar'!$AF$1198=TYPE3)*(TYPE3&lt;&gt;"")+('Dvd Calendar'!$AF$1198=TYPE4)*(TYPE4&lt;&gt;"")+('Dvd Calendar'!$AF$1198=SPECIAL_LBL)*(INC_SPECIALS="Y"))=0,"",'Dvd Calendar'!$AF$1196)))</f>
        <v/>
      </c>
      <c r="AE123" s="110">
        <f>IF(FG123="","",IF(ISNUMBER('Dvd Calendar'!$AG$1196)=FALSE,"",IF((('Dvd Calendar'!$AG$1198=TYPE1)*(TYPE1&lt;&gt;"")+('Dvd Calendar'!$AG$1198=TYPE2)*(TYPE2&lt;&gt;"")+('Dvd Calendar'!$AG$1198=TYPE3)*(TYPE3&lt;&gt;"")+('Dvd Calendar'!$AG$1198=TYPE4)*(TYPE4&lt;&gt;"")+('Dvd Calendar'!$AG$1198=SPECIAL_LBL)*(INC_SPECIALS="Y"))=0,"",'Dvd Calendar'!$AG$1196)))</f>
        <v/>
      </c>
      <c r="AF123" s="110">
        <f>IF(FH123="","",IF(ISNUMBER('Dvd Calendar'!$AH$1196)=FALSE,"",IF((('Dvd Calendar'!$AH$1198=TYPE1)*(TYPE1&lt;&gt;"")+('Dvd Calendar'!$AH$1198=TYPE2)*(TYPE2&lt;&gt;"")+('Dvd Calendar'!$AH$1198=TYPE3)*(TYPE3&lt;&gt;"")+('Dvd Calendar'!$AH$1198=TYPE4)*(TYPE4&lt;&gt;"")+('Dvd Calendar'!$AH$1198=SPECIAL_LBL)*(INC_SPECIALS="Y"))=0,"",'Dvd Calendar'!$AH$1196)))</f>
        <v/>
      </c>
      <c r="AG123" s="110">
        <f>IF(FI123="","",IF(ISNUMBER('Dvd Calendar'!$AI$1196)=FALSE,"",IF((('Dvd Calendar'!$AI$1198=TYPE1)*(TYPE1&lt;&gt;"")+('Dvd Calendar'!$AI$1198=TYPE2)*(TYPE2&lt;&gt;"")+('Dvd Calendar'!$AI$1198=TYPE3)*(TYPE3&lt;&gt;"")+('Dvd Calendar'!$AI$1198=TYPE4)*(TYPE4&lt;&gt;"")+('Dvd Calendar'!$AI$1198=SPECIAL_LBL)*(INC_SPECIALS="Y"))=0,"",'Dvd Calendar'!$AI$1196)))</f>
        <v/>
      </c>
      <c r="AH123" s="110">
        <f>IF(FJ123="","",IF(ISNUMBER('Dvd Calendar'!$AJ$1196)=FALSE,"",IF((('Dvd Calendar'!$AJ$1198=TYPE1)*(TYPE1&lt;&gt;"")+('Dvd Calendar'!$AJ$1198=TYPE2)*(TYPE2&lt;&gt;"")+('Dvd Calendar'!$AJ$1198=TYPE3)*(TYPE3&lt;&gt;"")+('Dvd Calendar'!$AJ$1198=TYPE4)*(TYPE4&lt;&gt;"")+('Dvd Calendar'!$AJ$1198=SPECIAL_LBL)*(INC_SPECIALS="Y"))=0,"",'Dvd Calendar'!$AJ$1196)))</f>
        <v/>
      </c>
      <c r="AI123" s="110">
        <f>IF(FK123="","",IF(ISNUMBER('Dvd Calendar'!$AK$1196)=FALSE,"",IF((('Dvd Calendar'!$AK$1198=TYPE1)*(TYPE1&lt;&gt;"")+('Dvd Calendar'!$AK$1198=TYPE2)*(TYPE2&lt;&gt;"")+('Dvd Calendar'!$AK$1198=TYPE3)*(TYPE3&lt;&gt;"")+('Dvd Calendar'!$AK$1198=TYPE4)*(TYPE4&lt;&gt;"")+('Dvd Calendar'!$AK$1198=SPECIAL_LBL)*(INC_SPECIALS="Y"))=0,"",'Dvd Calendar'!$AK$1196)))</f>
        <v/>
      </c>
      <c r="AJ123" s="110">
        <f>IF(FL123="","",IF(ISNUMBER('Dvd Calendar'!$AL$1196)=FALSE,"",IF((('Dvd Calendar'!$AL$1198=TYPE1)*(TYPE1&lt;&gt;"")+('Dvd Calendar'!$AL$1198=TYPE2)*(TYPE2&lt;&gt;"")+('Dvd Calendar'!$AL$1198=TYPE3)*(TYPE3&lt;&gt;"")+('Dvd Calendar'!$AL$1198=TYPE4)*(TYPE4&lt;&gt;"")+('Dvd Calendar'!$AL$1198=SPECIAL_LBL)*(INC_SPECIALS="Y"))=0,"",'Dvd Calendar'!$AL$1196)))</f>
        <v/>
      </c>
      <c r="AK123" s="110">
        <f>IF(FM123="","",IF(ISNUMBER('Dvd Calendar'!$AM$1196)=FALSE,"",IF((('Dvd Calendar'!$AM$1198=TYPE1)*(TYPE1&lt;&gt;"")+('Dvd Calendar'!$AM$1198=TYPE2)*(TYPE2&lt;&gt;"")+('Dvd Calendar'!$AM$1198=TYPE3)*(TYPE3&lt;&gt;"")+('Dvd Calendar'!$AM$1198=TYPE4)*(TYPE4&lt;&gt;"")+('Dvd Calendar'!$AM$1198=SPECIAL_LBL)*(INC_SPECIALS="Y"))=0,"",'Dvd Calendar'!$AM$1196)))</f>
        <v/>
      </c>
      <c r="AL123" s="110">
        <f>IF(FN123="","",IF(ISNUMBER('Dvd Calendar'!$AN$1196)=FALSE,"",IF((('Dvd Calendar'!$AN$1198=TYPE1)*(TYPE1&lt;&gt;"")+('Dvd Calendar'!$AN$1198=TYPE2)*(TYPE2&lt;&gt;"")+('Dvd Calendar'!$AN$1198=TYPE3)*(TYPE3&lt;&gt;"")+('Dvd Calendar'!$AN$1198=TYPE4)*(TYPE4&lt;&gt;"")+('Dvd Calendar'!$AN$1198=SPECIAL_LBL)*(INC_SPECIALS="Y"))=0,"",'Dvd Calendar'!$AN$1196)))</f>
        <v/>
      </c>
      <c r="AM123" s="110">
        <f>IF(FO123="","",IF(ISNUMBER('Dvd Calendar'!$AO$1196)=FALSE,"",IF((('Dvd Calendar'!$AO$1198=TYPE1)*(TYPE1&lt;&gt;"")+('Dvd Calendar'!$AO$1198=TYPE2)*(TYPE2&lt;&gt;"")+('Dvd Calendar'!$AO$1198=TYPE3)*(TYPE3&lt;&gt;"")+('Dvd Calendar'!$AO$1198=TYPE4)*(TYPE4&lt;&gt;"")+('Dvd Calendar'!$AO$1198=SPECIAL_LBL)*(INC_SPECIALS="Y"))=0,"",'Dvd Calendar'!$AO$1196)))</f>
        <v/>
      </c>
      <c r="AN123" s="110">
        <f>IF(FP123="","",IF(ISNUMBER('Dvd Calendar'!$AP$1196)=FALSE,"",IF((('Dvd Calendar'!$AP$1198=TYPE1)*(TYPE1&lt;&gt;"")+('Dvd Calendar'!$AP$1198=TYPE2)*(TYPE2&lt;&gt;"")+('Dvd Calendar'!$AP$1198=TYPE3)*(TYPE3&lt;&gt;"")+('Dvd Calendar'!$AP$1198=TYPE4)*(TYPE4&lt;&gt;"")+('Dvd Calendar'!$AP$1198=SPECIAL_LBL)*(INC_SPECIALS="Y"))=0,"",'Dvd Calendar'!$AP$1196)))</f>
        <v/>
      </c>
      <c r="AO123" s="110">
        <f>IF(FQ123="","",IF(ISNUMBER('Dvd Calendar'!$AQ$1196)=FALSE,"",IF((('Dvd Calendar'!$AQ$1198=TYPE1)*(TYPE1&lt;&gt;"")+('Dvd Calendar'!$AQ$1198=TYPE2)*(TYPE2&lt;&gt;"")+('Dvd Calendar'!$AQ$1198=TYPE3)*(TYPE3&lt;&gt;"")+('Dvd Calendar'!$AQ$1198=TYPE4)*(TYPE4&lt;&gt;"")+('Dvd Calendar'!$AQ$1198=SPECIAL_LBL)*(INC_SPECIALS="Y"))=0,"",'Dvd Calendar'!$AQ$1196)))</f>
        <v/>
      </c>
      <c r="AP123" s="110">
        <f>IF(FR123="","",IF(ISNUMBER('Dvd Calendar'!$AR$1196)=FALSE,"",IF((('Dvd Calendar'!$AR$1198=TYPE1)*(TYPE1&lt;&gt;"")+('Dvd Calendar'!$AR$1198=TYPE2)*(TYPE2&lt;&gt;"")+('Dvd Calendar'!$AR$1198=TYPE3)*(TYPE3&lt;&gt;"")+('Dvd Calendar'!$AR$1198=TYPE4)*(TYPE4&lt;&gt;"")+('Dvd Calendar'!$AR$1198=SPECIAL_LBL)*(INC_SPECIALS="Y"))=0,"",'Dvd Calendar'!$AR$1196)))</f>
        <v/>
      </c>
      <c r="AQ123" s="110">
        <f>IF(FS123="","",IF(ISNUMBER('Dvd Calendar'!$E$1201)=FALSE,"",'Dvd Calendar'!$E$1201))</f>
        <v/>
      </c>
      <c r="AR123" s="110">
        <f>IF(FT123="","",IF(ISNUMBER('Dvd Calendar'!$F$1201)=FALSE,"",'Dvd Calendar'!$F$1201))</f>
        <v/>
      </c>
      <c r="AS123" s="110">
        <f>IF(FU123="","",IF(ISNUMBER('Dvd Calendar'!$G$1201)=FALSE,"",'Dvd Calendar'!$G$1201))</f>
        <v/>
      </c>
      <c r="AT123" s="110">
        <f>IF(FV123="","",IF(ISNUMBER('Dvd Calendar'!$H$1201)=FALSE,"",'Dvd Calendar'!$H$1201))</f>
        <v/>
      </c>
      <c r="AU123" s="110">
        <f>IF(FW123="","",IF(ISNUMBER('Dvd Calendar'!$I$1201)=FALSE,"",'Dvd Calendar'!$I$1201))</f>
        <v/>
      </c>
      <c r="AV123" s="110">
        <f>IF(FX123="","",IF(ISNUMBER('Dvd Calendar'!$J$1201)=FALSE,"",'Dvd Calendar'!$J$1201))</f>
        <v/>
      </c>
      <c r="AW123" s="110">
        <f>IF(FY123="","",IF(ISNUMBER('Dvd Calendar'!$K$1201)=FALSE,"",'Dvd Calendar'!$K$1201))</f>
        <v/>
      </c>
      <c r="AX123" s="110">
        <f>IF(FZ123="","",IF(ISNUMBER('Dvd Calendar'!$L$1201)=FALSE,"",'Dvd Calendar'!$L$1201))</f>
        <v/>
      </c>
      <c r="AY123" s="110">
        <f>IF(GA123="","",IF(ISNUMBER('Dvd Calendar'!$M$1201)=FALSE,"",'Dvd Calendar'!$M$1201))</f>
        <v/>
      </c>
      <c r="AZ123" s="110">
        <f>IF(GB123="","",IF(ISNUMBER('Dvd Calendar'!$N$1201)=FALSE,"",'Dvd Calendar'!$N$1201))</f>
        <v/>
      </c>
      <c r="BA123" s="110">
        <f>IF(GC123="","",IF(ISNUMBER('Dvd Calendar'!$O$1201)=FALSE,"",'Dvd Calendar'!$O$1201))</f>
        <v/>
      </c>
      <c r="BB123" s="110">
        <f>IF(GD123="","",IF(ISNUMBER('Dvd Calendar'!$P$1201)=FALSE,"",'Dvd Calendar'!$P$1201))</f>
        <v/>
      </c>
      <c r="BC123" s="110">
        <f>IF(GE123="","",IF(ISNUMBER('Dvd Calendar'!$Q$1201)=FALSE,"",'Dvd Calendar'!$Q$1201))</f>
        <v/>
      </c>
      <c r="BD123" s="110">
        <f>IF(GF123="","",IF(ISNUMBER('Dvd Calendar'!$R$1201)=FALSE,"",'Dvd Calendar'!$R$1201))</f>
        <v/>
      </c>
      <c r="BE123" s="110">
        <f>IF(GG123="","",IF(ISNUMBER('Dvd Calendar'!$S$1201)=FALSE,"",'Dvd Calendar'!$S$1201))</f>
        <v/>
      </c>
      <c r="BF123" s="110">
        <f>IF(GH123="","",IF(ISNUMBER('Dvd Calendar'!$T$1201)=FALSE,"",'Dvd Calendar'!$T$1201))</f>
        <v/>
      </c>
      <c r="BG123" s="110">
        <f>IF(GI123="","",IF(ISNUMBER('Dvd Calendar'!$U$1201)=FALSE,"",'Dvd Calendar'!$U$1201))</f>
        <v/>
      </c>
      <c r="BH123" s="110">
        <f>IF(GJ123="","",IF(ISNUMBER('Dvd Calendar'!$V$1201)=FALSE,"",'Dvd Calendar'!$V$1201))</f>
        <v/>
      </c>
      <c r="BI123" s="110">
        <f>IF(GK123="","",IF(ISNUMBER('Dvd Calendar'!$W$1201)=FALSE,"",'Dvd Calendar'!$W$1201))</f>
        <v/>
      </c>
      <c r="BJ123" s="110">
        <f>IF(GL123="","",IF(ISNUMBER('Dvd Calendar'!$X$1201)=FALSE,"",'Dvd Calendar'!$X$1201))</f>
        <v/>
      </c>
      <c r="BK123" s="110">
        <f>IF(GM123="","",IF(ISNUMBER('Dvd Calendar'!$Y$1201)=FALSE,"",'Dvd Calendar'!$Y$1201))</f>
        <v/>
      </c>
      <c r="BL123" s="110">
        <f>IF(GN123="","",IF(ISNUMBER('Dvd Calendar'!$Z$1201)=FALSE,"",'Dvd Calendar'!$Z$1201))</f>
        <v/>
      </c>
      <c r="BM123" s="110">
        <f>IF(GO123="","",IF(ISNUMBER('Dvd Calendar'!$AA$1201)=FALSE,"",'Dvd Calendar'!$AA$1201))</f>
        <v/>
      </c>
      <c r="BN123" s="110">
        <f>IF(GP123="","",IF(ISNUMBER('Dvd Calendar'!$AB$1201)=FALSE,"",'Dvd Calendar'!$AB$1201))</f>
        <v/>
      </c>
      <c r="BO123" s="110">
        <f>IF(GQ123="","",IF(ISNUMBER('Dvd Calendar'!$AC$1201)=FALSE,"",'Dvd Calendar'!$AC$1201))</f>
        <v/>
      </c>
      <c r="BQ123" s="110">
        <f>IF(C123="","",IFERROR(C123*HSTECH!$B$14*HSTECH!$G$14/HSTECH!$B$3,""))</f>
        <v/>
      </c>
      <c r="BR123" s="110">
        <f>IF(D123="","",IFERROR(D123*HSTECH!$B$14*HSTECH!$G$14/HSTECH!$B$3,""))</f>
        <v/>
      </c>
      <c r="BS123" s="110">
        <f>IF(E123="","",IFERROR(E123*HSTECH!$B$14*HSTECH!$G$14/HSTECH!$B$3,""))</f>
        <v/>
      </c>
      <c r="BT123" s="110">
        <f>IF(F123="","",IFERROR(F123*HSTECH!$B$14*HSTECH!$G$14/HSTECH!$B$3,""))</f>
        <v/>
      </c>
      <c r="BU123" s="110">
        <f>IF(G123="","",IFERROR(G123*HSTECH!$B$14*HSTECH!$G$14/HSTECH!$B$3,""))</f>
        <v/>
      </c>
      <c r="BV123" s="110">
        <f>IF(H123="","",IFERROR(H123*HSTECH!$B$14*HSTECH!$G$14/HSTECH!$B$3,""))</f>
        <v/>
      </c>
      <c r="BW123" s="110">
        <f>IF(I123="","",IFERROR(I123*HSTECH!$B$14*HSTECH!$G$14/HSTECH!$B$3,""))</f>
        <v/>
      </c>
      <c r="BX123" s="110">
        <f>IF(J123="","",IFERROR(J123*HSTECH!$B$14*HSTECH!$G$14/HSTECH!$B$3,""))</f>
        <v/>
      </c>
      <c r="BY123" s="110">
        <f>IF(K123="","",IFERROR(K123*HSTECH!$B$14*HSTECH!$G$14/HSTECH!$B$3,""))</f>
        <v/>
      </c>
      <c r="BZ123" s="110">
        <f>IF(L123="","",IFERROR(L123*HSTECH!$B$14*HSTECH!$G$14/HSTECH!$B$3,""))</f>
        <v/>
      </c>
      <c r="CA123" s="110">
        <f>IF(M123="","",IFERROR(M123*HSTECH!$B$14*HSTECH!$G$14/HSTECH!$B$3,""))</f>
        <v/>
      </c>
      <c r="CB123" s="110">
        <f>IF(N123="","",IFERROR(N123*HSTECH!$B$14*HSTECH!$G$14/HSTECH!$B$3,""))</f>
        <v/>
      </c>
      <c r="CC123" s="110">
        <f>IF(O123="","",IFERROR(O123*HSTECH!$B$14*HSTECH!$G$14/HSTECH!$B$3,""))</f>
        <v/>
      </c>
      <c r="CD123" s="110">
        <f>IF(P123="","",IFERROR(P123*HSTECH!$B$14*HSTECH!$G$14/HSTECH!$B$3,""))</f>
        <v/>
      </c>
      <c r="CE123" s="110">
        <f>IF(Q123="","",IFERROR(Q123*HSTECH!$B$14*HSTECH!$G$14/HSTECH!$B$3,""))</f>
        <v/>
      </c>
      <c r="CF123" s="110">
        <f>IF(R123="","",IFERROR(R123*HSTECH!$B$14*HSTECH!$G$14/HSTECH!$B$3,""))</f>
        <v/>
      </c>
      <c r="CG123" s="110">
        <f>IF(S123="","",IFERROR(S123*HSTECH!$B$14*HSTECH!$G$14/HSTECH!$B$3,""))</f>
        <v/>
      </c>
      <c r="CH123" s="110">
        <f>IF(T123="","",IFERROR(T123*HSTECH!$B$14*HSTECH!$G$14/HSTECH!$B$3,""))</f>
        <v/>
      </c>
      <c r="CI123" s="110">
        <f>IF(U123="","",IFERROR(U123*HSTECH!$B$14*HSTECH!$G$14/HSTECH!$B$3,""))</f>
        <v/>
      </c>
      <c r="CJ123" s="110">
        <f>IF(V123="","",IFERROR(V123*HSTECH!$B$14*HSTECH!$G$14/HSTECH!$B$3,""))</f>
        <v/>
      </c>
      <c r="CK123" s="110">
        <f>IF(W123="","",IFERROR(W123*HSTECH!$B$14*HSTECH!$G$14/HSTECH!$B$3,""))</f>
        <v/>
      </c>
      <c r="CL123" s="110">
        <f>IF(X123="","",IFERROR(X123*HSTECH!$B$14*HSTECH!$G$14/HSTECH!$B$3,""))</f>
        <v/>
      </c>
      <c r="CM123" s="110">
        <f>IF(Y123="","",IFERROR(Y123*HSTECH!$B$14*HSTECH!$G$14/HSTECH!$B$3,""))</f>
        <v/>
      </c>
      <c r="CN123" s="110">
        <f>IF(Z123="","",IFERROR(Z123*HSTECH!$B$14*HSTECH!$G$14/HSTECH!$B$3,""))</f>
        <v/>
      </c>
      <c r="CO123" s="110">
        <f>IF(AA123="","",IFERROR(AA123*HSTECH!$B$14*HSTECH!$G$14/HSTECH!$B$3,""))</f>
        <v/>
      </c>
      <c r="CP123" s="110">
        <f>IF(AB123="","",IFERROR(AB123*HSTECH!$B$14*HSTECH!$G$14/HSTECH!$B$3,""))</f>
        <v/>
      </c>
      <c r="CQ123" s="110">
        <f>IF(AC123="","",IFERROR(AC123*HSTECH!$B$14*HSTECH!$G$14/HSTECH!$B$3,""))</f>
        <v/>
      </c>
      <c r="CR123" s="110">
        <f>IF(AD123="","",IFERROR(AD123*HSTECH!$B$14*HSTECH!$G$14/HSTECH!$B$3,""))</f>
        <v/>
      </c>
      <c r="CS123" s="110">
        <f>IF(AE123="","",IFERROR(AE123*HSTECH!$B$14*HSTECH!$G$14/HSTECH!$B$3,""))</f>
        <v/>
      </c>
      <c r="CT123" s="110">
        <f>IF(AF123="","",IFERROR(AF123*HSTECH!$B$14*HSTECH!$G$14/HSTECH!$B$3,""))</f>
        <v/>
      </c>
      <c r="CU123" s="110">
        <f>IF(AG123="","",IFERROR(AG123*HSTECH!$B$14*HSTECH!$G$14/HSTECH!$B$3,""))</f>
        <v/>
      </c>
      <c r="CV123" s="110">
        <f>IF(AH123="","",IFERROR(AH123*HSTECH!$B$14*HSTECH!$G$14/HSTECH!$B$3,""))</f>
        <v/>
      </c>
      <c r="CW123" s="110">
        <f>IF(AI123="","",IFERROR(AI123*HSTECH!$B$14*HSTECH!$G$14/HSTECH!$B$3,""))</f>
        <v/>
      </c>
      <c r="CX123" s="110">
        <f>IF(AJ123="","",IFERROR(AJ123*HSTECH!$B$14*HSTECH!$G$14/HSTECH!$B$3,""))</f>
        <v/>
      </c>
      <c r="CY123" s="110">
        <f>IF(AK123="","",IFERROR(AK123*HSTECH!$B$14*HSTECH!$G$14/HSTECH!$B$3,""))</f>
        <v/>
      </c>
      <c r="CZ123" s="110">
        <f>IF(AL123="","",IFERROR(AL123*HSTECH!$B$14*HSTECH!$G$14/HSTECH!$B$3,""))</f>
        <v/>
      </c>
      <c r="DA123" s="110">
        <f>IF(AM123="","",IFERROR(AM123*HSTECH!$B$14*HSTECH!$G$14/HSTECH!$B$3,""))</f>
        <v/>
      </c>
      <c r="DB123" s="110">
        <f>IF(AN123="","",IFERROR(AN123*HSTECH!$B$14*HSTECH!$G$14/HSTECH!$B$3,""))</f>
        <v/>
      </c>
      <c r="DC123" s="110">
        <f>IF(AO123="","",IFERROR(AO123*HSTECH!$B$14*HSTECH!$G$14/HSTECH!$B$3,""))</f>
        <v/>
      </c>
      <c r="DD123" s="110">
        <f>IF(AP123="","",IFERROR(AP123*HSTECH!$B$14*HSTECH!$G$14/HSTECH!$B$3,""))</f>
        <v/>
      </c>
      <c r="DE123" s="110">
        <f>IF(AQ123="","",IFERROR(AQ123*HSTECH!$B$14*HSTECH!$G$14/HSTECH!$B$3,""))</f>
        <v/>
      </c>
      <c r="DF123" s="110">
        <f>IF(AR123="","",IFERROR(AR123*HSTECH!$B$14*HSTECH!$G$14/HSTECH!$B$3,""))</f>
        <v/>
      </c>
      <c r="DG123" s="110">
        <f>IF(AS123="","",IFERROR(AS123*HSTECH!$B$14*HSTECH!$G$14/HSTECH!$B$3,""))</f>
        <v/>
      </c>
      <c r="DH123" s="110">
        <f>IF(AT123="","",IFERROR(AT123*HSTECH!$B$14*HSTECH!$G$14/HSTECH!$B$3,""))</f>
        <v/>
      </c>
      <c r="DI123" s="110">
        <f>IF(AU123="","",IFERROR(AU123*HSTECH!$B$14*HSTECH!$G$14/HSTECH!$B$3,""))</f>
        <v/>
      </c>
      <c r="DJ123" s="110">
        <f>IF(AV123="","",IFERROR(AV123*HSTECH!$B$14*HSTECH!$G$14/HSTECH!$B$3,""))</f>
        <v/>
      </c>
      <c r="DK123" s="110">
        <f>IF(AW123="","",IFERROR(AW123*HSTECH!$B$14*HSTECH!$G$14/HSTECH!$B$3,""))</f>
        <v/>
      </c>
      <c r="DL123" s="110">
        <f>IF(AX123="","",IFERROR(AX123*HSTECH!$B$14*HSTECH!$G$14/HSTECH!$B$3,""))</f>
        <v/>
      </c>
      <c r="DM123" s="110">
        <f>IF(AY123="","",IFERROR(AY123*HSTECH!$B$14*HSTECH!$G$14/HSTECH!$B$3,""))</f>
        <v/>
      </c>
      <c r="DN123" s="110">
        <f>IF(AZ123="","",IFERROR(AZ123*HSTECH!$B$14*HSTECH!$G$14/HSTECH!$B$3,""))</f>
        <v/>
      </c>
      <c r="DO123" s="110">
        <f>IF(BA123="","",IFERROR(BA123*HSTECH!$B$14*HSTECH!$G$14/HSTECH!$B$3,""))</f>
        <v/>
      </c>
      <c r="DP123" s="110">
        <f>IF(BB123="","",IFERROR(BB123*HSTECH!$B$14*HSTECH!$G$14/HSTECH!$B$3,""))</f>
        <v/>
      </c>
      <c r="DQ123" s="110">
        <f>IF(BC123="","",IFERROR(BC123*HSTECH!$B$14*HSTECH!$G$14/HSTECH!$B$3,""))</f>
        <v/>
      </c>
      <c r="DR123" s="110">
        <f>IF(BD123="","",IFERROR(BD123*HSTECH!$B$14*HSTECH!$G$14/HSTECH!$B$3,""))</f>
        <v/>
      </c>
      <c r="DS123" s="110">
        <f>IF(BE123="","",IFERROR(BE123*HSTECH!$B$14*HSTECH!$G$14/HSTECH!$B$3,""))</f>
        <v/>
      </c>
      <c r="DT123" s="110">
        <f>IF(BF123="","",IFERROR(BF123*HSTECH!$B$14*HSTECH!$G$14/HSTECH!$B$3,""))</f>
        <v/>
      </c>
      <c r="DU123" s="110">
        <f>IF(BG123="","",IFERROR(BG123*HSTECH!$B$14*HSTECH!$G$14/HSTECH!$B$3,""))</f>
        <v/>
      </c>
      <c r="DV123" s="110">
        <f>IF(BH123="","",IFERROR(BH123*HSTECH!$B$14*HSTECH!$G$14/HSTECH!$B$3,""))</f>
        <v/>
      </c>
      <c r="DW123" s="110">
        <f>IF(BI123="","",IFERROR(BI123*HSTECH!$B$14*HSTECH!$G$14/HSTECH!$B$3,""))</f>
        <v/>
      </c>
      <c r="DX123" s="110">
        <f>IF(BJ123="","",IFERROR(BJ123*HSTECH!$B$14*HSTECH!$G$14/HSTECH!$B$3,""))</f>
        <v/>
      </c>
      <c r="DY123" s="110">
        <f>IF(BK123="","",IFERROR(BK123*HSTECH!$B$14*HSTECH!$G$14/HSTECH!$B$3,""))</f>
        <v/>
      </c>
      <c r="DZ123" s="110">
        <f>IF(BL123="","",IFERROR(BL123*HSTECH!$B$14*HSTECH!$G$14/HSTECH!$B$3,""))</f>
        <v/>
      </c>
      <c r="EA123" s="110">
        <f>IF(BM123="","",IFERROR(BM123*HSTECH!$B$14*HSTECH!$G$14/HSTECH!$B$3,""))</f>
        <v/>
      </c>
      <c r="EB123" s="110">
        <f>IF(BN123="","",IFERROR(BN123*HSTECH!$B$14*HSTECH!$G$14/HSTECH!$B$3,""))</f>
        <v/>
      </c>
      <c r="EC123" s="110">
        <f>IF(BO123="","",IFERROR(BO123*HSTECH!$B$14*HSTECH!$G$14/HSTECH!$B$3,""))</f>
        <v/>
      </c>
      <c r="EE123" s="39">
        <f>IF(N('Dvd Calendar'!$E$1193)=0,"",IF(('Dvd Calendar'!$E$1193&gt;=GRID_FROM)*('Dvd Calendar'!$E$1193&lt;=GRID_TO)*((('Dvd Calendar'!$E$1193&lt;=VAL_DATE)+(COUNTIF('Dvd Calendar'!$E$1200:$AR$1200,'Dvd Calendar'!$E$1193)=0))&gt;0)=0,"",'Dvd Calendar'!$E$1193*1000000000+ISNUMBER('Dvd Calendar'!$E$1196)*100000000+('Dvd Calendar'!$E$1198=SPECIAL_LBL)*10000000+(N('Dvd Calendar'!$E$1192)&gt;0)*(N('Dvd Calendar'!$E$1192)&lt;=VAL_SERIAL)*1000000+8*1000+1))</f>
        <v/>
      </c>
      <c r="EF123" s="39">
        <f>IF(N('Dvd Calendar'!$F$1193)=0,"",IF(('Dvd Calendar'!$F$1193&gt;=GRID_FROM)*('Dvd Calendar'!$F$1193&lt;=GRID_TO)*((('Dvd Calendar'!$F$1193&lt;=VAL_DATE)+(COUNTIF('Dvd Calendar'!$E$1200:$AR$1200,'Dvd Calendar'!$F$1193)=0))&gt;0)=0,"",'Dvd Calendar'!$F$1193*1000000000+ISNUMBER('Dvd Calendar'!$F$1196)*100000000+('Dvd Calendar'!$F$1198=SPECIAL_LBL)*10000000+(N('Dvd Calendar'!$F$1192)&gt;0)*(N('Dvd Calendar'!$F$1192)&lt;=VAL_SERIAL)*1000000+8*1000+2))</f>
        <v/>
      </c>
      <c r="EG123" s="39">
        <f>IF(N('Dvd Calendar'!$G$1193)=0,"",IF(('Dvd Calendar'!$G$1193&gt;=GRID_FROM)*('Dvd Calendar'!$G$1193&lt;=GRID_TO)*((('Dvd Calendar'!$G$1193&lt;=VAL_DATE)+(COUNTIF('Dvd Calendar'!$E$1200:$AR$1200,'Dvd Calendar'!$G$1193)=0))&gt;0)=0,"",'Dvd Calendar'!$G$1193*1000000000+ISNUMBER('Dvd Calendar'!$G$1196)*100000000+('Dvd Calendar'!$G$1198=SPECIAL_LBL)*10000000+(N('Dvd Calendar'!$G$1192)&gt;0)*(N('Dvd Calendar'!$G$1192)&lt;=VAL_SERIAL)*1000000+8*1000+3))</f>
        <v/>
      </c>
      <c r="EH123" s="39">
        <f>IF(N('Dvd Calendar'!$H$1193)=0,"",IF(('Dvd Calendar'!$H$1193&gt;=GRID_FROM)*('Dvd Calendar'!$H$1193&lt;=GRID_TO)*((('Dvd Calendar'!$H$1193&lt;=VAL_DATE)+(COUNTIF('Dvd Calendar'!$E$1200:$AR$1200,'Dvd Calendar'!$H$1193)=0))&gt;0)=0,"",'Dvd Calendar'!$H$1193*1000000000+ISNUMBER('Dvd Calendar'!$H$1196)*100000000+('Dvd Calendar'!$H$1198=SPECIAL_LBL)*10000000+(N('Dvd Calendar'!$H$1192)&gt;0)*(N('Dvd Calendar'!$H$1192)&lt;=VAL_SERIAL)*1000000+8*1000+4))</f>
        <v/>
      </c>
      <c r="EI123" s="39">
        <f>IF(N('Dvd Calendar'!$I$1193)=0,"",IF(('Dvd Calendar'!$I$1193&gt;=GRID_FROM)*('Dvd Calendar'!$I$1193&lt;=GRID_TO)*((('Dvd Calendar'!$I$1193&lt;=VAL_DATE)+(COUNTIF('Dvd Calendar'!$E$1200:$AR$1200,'Dvd Calendar'!$I$1193)=0))&gt;0)=0,"",'Dvd Calendar'!$I$1193*1000000000+ISNUMBER('Dvd Calendar'!$I$1196)*100000000+('Dvd Calendar'!$I$1198=SPECIAL_LBL)*10000000+(N('Dvd Calendar'!$I$1192)&gt;0)*(N('Dvd Calendar'!$I$1192)&lt;=VAL_SERIAL)*1000000+8*1000+5))</f>
        <v/>
      </c>
      <c r="EJ123" s="39">
        <f>IF(N('Dvd Calendar'!$J$1193)=0,"",IF(('Dvd Calendar'!$J$1193&gt;=GRID_FROM)*('Dvd Calendar'!$J$1193&lt;=GRID_TO)*((('Dvd Calendar'!$J$1193&lt;=VAL_DATE)+(COUNTIF('Dvd Calendar'!$E$1200:$AR$1200,'Dvd Calendar'!$J$1193)=0))&gt;0)=0,"",'Dvd Calendar'!$J$1193*1000000000+ISNUMBER('Dvd Calendar'!$J$1196)*100000000+('Dvd Calendar'!$J$1198=SPECIAL_LBL)*10000000+(N('Dvd Calendar'!$J$1192)&gt;0)*(N('Dvd Calendar'!$J$1192)&lt;=VAL_SERIAL)*1000000+8*1000+6))</f>
        <v/>
      </c>
      <c r="EK123" s="39">
        <f>IF(N('Dvd Calendar'!$K$1193)=0,"",IF(('Dvd Calendar'!$K$1193&gt;=GRID_FROM)*('Dvd Calendar'!$K$1193&lt;=GRID_TO)*((('Dvd Calendar'!$K$1193&lt;=VAL_DATE)+(COUNTIF('Dvd Calendar'!$E$1200:$AR$1200,'Dvd Calendar'!$K$1193)=0))&gt;0)=0,"",'Dvd Calendar'!$K$1193*1000000000+ISNUMBER('Dvd Calendar'!$K$1196)*100000000+('Dvd Calendar'!$K$1198=SPECIAL_LBL)*10000000+(N('Dvd Calendar'!$K$1192)&gt;0)*(N('Dvd Calendar'!$K$1192)&lt;=VAL_SERIAL)*1000000+8*1000+7))</f>
        <v/>
      </c>
      <c r="EL123" s="39">
        <f>IF(N('Dvd Calendar'!$L$1193)=0,"",IF(('Dvd Calendar'!$L$1193&gt;=GRID_FROM)*('Dvd Calendar'!$L$1193&lt;=GRID_TO)*((('Dvd Calendar'!$L$1193&lt;=VAL_DATE)+(COUNTIF('Dvd Calendar'!$E$1200:$AR$1200,'Dvd Calendar'!$L$1193)=0))&gt;0)=0,"",'Dvd Calendar'!$L$1193*1000000000+ISNUMBER('Dvd Calendar'!$L$1196)*100000000+('Dvd Calendar'!$L$1198=SPECIAL_LBL)*10000000+(N('Dvd Calendar'!$L$1192)&gt;0)*(N('Dvd Calendar'!$L$1192)&lt;=VAL_SERIAL)*1000000+8*1000+8))</f>
        <v/>
      </c>
      <c r="EM123" s="39">
        <f>IF(N('Dvd Calendar'!$M$1193)=0,"",IF(('Dvd Calendar'!$M$1193&gt;=GRID_FROM)*('Dvd Calendar'!$M$1193&lt;=GRID_TO)*((('Dvd Calendar'!$M$1193&lt;=VAL_DATE)+(COUNTIF('Dvd Calendar'!$E$1200:$AR$1200,'Dvd Calendar'!$M$1193)=0))&gt;0)=0,"",'Dvd Calendar'!$M$1193*1000000000+ISNUMBER('Dvd Calendar'!$M$1196)*100000000+('Dvd Calendar'!$M$1198=SPECIAL_LBL)*10000000+(N('Dvd Calendar'!$M$1192)&gt;0)*(N('Dvd Calendar'!$M$1192)&lt;=VAL_SERIAL)*1000000+8*1000+9))</f>
        <v/>
      </c>
      <c r="EN123" s="39">
        <f>IF(N('Dvd Calendar'!$N$1193)=0,"",IF(('Dvd Calendar'!$N$1193&gt;=GRID_FROM)*('Dvd Calendar'!$N$1193&lt;=GRID_TO)*((('Dvd Calendar'!$N$1193&lt;=VAL_DATE)+(COUNTIF('Dvd Calendar'!$E$1200:$AR$1200,'Dvd Calendar'!$N$1193)=0))&gt;0)=0,"",'Dvd Calendar'!$N$1193*1000000000+ISNUMBER('Dvd Calendar'!$N$1196)*100000000+('Dvd Calendar'!$N$1198=SPECIAL_LBL)*10000000+(N('Dvd Calendar'!$N$1192)&gt;0)*(N('Dvd Calendar'!$N$1192)&lt;=VAL_SERIAL)*1000000+8*1000+10))</f>
        <v/>
      </c>
      <c r="EO123" s="39">
        <f>IF(N('Dvd Calendar'!$O$1193)=0,"",IF(('Dvd Calendar'!$O$1193&gt;=GRID_FROM)*('Dvd Calendar'!$O$1193&lt;=GRID_TO)*((('Dvd Calendar'!$O$1193&lt;=VAL_DATE)+(COUNTIF('Dvd Calendar'!$E$1200:$AR$1200,'Dvd Calendar'!$O$1193)=0))&gt;0)=0,"",'Dvd Calendar'!$O$1193*1000000000+ISNUMBER('Dvd Calendar'!$O$1196)*100000000+('Dvd Calendar'!$O$1198=SPECIAL_LBL)*10000000+(N('Dvd Calendar'!$O$1192)&gt;0)*(N('Dvd Calendar'!$O$1192)&lt;=VAL_SERIAL)*1000000+8*1000+11))</f>
        <v/>
      </c>
      <c r="EP123" s="39">
        <f>IF(N('Dvd Calendar'!$P$1193)=0,"",IF(('Dvd Calendar'!$P$1193&gt;=GRID_FROM)*('Dvd Calendar'!$P$1193&lt;=GRID_TO)*((('Dvd Calendar'!$P$1193&lt;=VAL_DATE)+(COUNTIF('Dvd Calendar'!$E$1200:$AR$1200,'Dvd Calendar'!$P$1193)=0))&gt;0)=0,"",'Dvd Calendar'!$P$1193*1000000000+ISNUMBER('Dvd Calendar'!$P$1196)*100000000+('Dvd Calendar'!$P$1198=SPECIAL_LBL)*10000000+(N('Dvd Calendar'!$P$1192)&gt;0)*(N('Dvd Calendar'!$P$1192)&lt;=VAL_SERIAL)*1000000+8*1000+12))</f>
        <v/>
      </c>
      <c r="EQ123" s="39">
        <f>IF(N('Dvd Calendar'!$Q$1193)=0,"",IF(('Dvd Calendar'!$Q$1193&gt;=GRID_FROM)*('Dvd Calendar'!$Q$1193&lt;=GRID_TO)*((('Dvd Calendar'!$Q$1193&lt;=VAL_DATE)+(COUNTIF('Dvd Calendar'!$E$1200:$AR$1200,'Dvd Calendar'!$Q$1193)=0))&gt;0)=0,"",'Dvd Calendar'!$Q$1193*1000000000+ISNUMBER('Dvd Calendar'!$Q$1196)*100000000+('Dvd Calendar'!$Q$1198=SPECIAL_LBL)*10000000+(N('Dvd Calendar'!$Q$1192)&gt;0)*(N('Dvd Calendar'!$Q$1192)&lt;=VAL_SERIAL)*1000000+8*1000+13))</f>
        <v/>
      </c>
      <c r="ER123" s="39">
        <f>IF(N('Dvd Calendar'!$R$1193)=0,"",IF(('Dvd Calendar'!$R$1193&gt;=GRID_FROM)*('Dvd Calendar'!$R$1193&lt;=GRID_TO)*((('Dvd Calendar'!$R$1193&lt;=VAL_DATE)+(COUNTIF('Dvd Calendar'!$E$1200:$AR$1200,'Dvd Calendar'!$R$1193)=0))&gt;0)=0,"",'Dvd Calendar'!$R$1193*1000000000+ISNUMBER('Dvd Calendar'!$R$1196)*100000000+('Dvd Calendar'!$R$1198=SPECIAL_LBL)*10000000+(N('Dvd Calendar'!$R$1192)&gt;0)*(N('Dvd Calendar'!$R$1192)&lt;=VAL_SERIAL)*1000000+8*1000+14))</f>
        <v/>
      </c>
      <c r="ES123" s="39">
        <f>IF(N('Dvd Calendar'!$S$1193)=0,"",IF(('Dvd Calendar'!$S$1193&gt;=GRID_FROM)*('Dvd Calendar'!$S$1193&lt;=GRID_TO)*((('Dvd Calendar'!$S$1193&lt;=VAL_DATE)+(COUNTIF('Dvd Calendar'!$E$1200:$AR$1200,'Dvd Calendar'!$S$1193)=0))&gt;0)=0,"",'Dvd Calendar'!$S$1193*1000000000+ISNUMBER('Dvd Calendar'!$S$1196)*100000000+('Dvd Calendar'!$S$1198=SPECIAL_LBL)*10000000+(N('Dvd Calendar'!$S$1192)&gt;0)*(N('Dvd Calendar'!$S$1192)&lt;=VAL_SERIAL)*1000000+8*1000+15))</f>
        <v/>
      </c>
      <c r="ET123" s="39">
        <f>IF(N('Dvd Calendar'!$T$1193)=0,"",IF(('Dvd Calendar'!$T$1193&gt;=GRID_FROM)*('Dvd Calendar'!$T$1193&lt;=GRID_TO)*((('Dvd Calendar'!$T$1193&lt;=VAL_DATE)+(COUNTIF('Dvd Calendar'!$E$1200:$AR$1200,'Dvd Calendar'!$T$1193)=0))&gt;0)=0,"",'Dvd Calendar'!$T$1193*1000000000+ISNUMBER('Dvd Calendar'!$T$1196)*100000000+('Dvd Calendar'!$T$1198=SPECIAL_LBL)*10000000+(N('Dvd Calendar'!$T$1192)&gt;0)*(N('Dvd Calendar'!$T$1192)&lt;=VAL_SERIAL)*1000000+8*1000+16))</f>
        <v/>
      </c>
      <c r="EU123" s="39">
        <f>IF(N('Dvd Calendar'!$U$1193)=0,"",IF(('Dvd Calendar'!$U$1193&gt;=GRID_FROM)*('Dvd Calendar'!$U$1193&lt;=GRID_TO)*((('Dvd Calendar'!$U$1193&lt;=VAL_DATE)+(COUNTIF('Dvd Calendar'!$E$1200:$AR$1200,'Dvd Calendar'!$U$1193)=0))&gt;0)=0,"",'Dvd Calendar'!$U$1193*1000000000+ISNUMBER('Dvd Calendar'!$U$1196)*100000000+('Dvd Calendar'!$U$1198=SPECIAL_LBL)*10000000+(N('Dvd Calendar'!$U$1192)&gt;0)*(N('Dvd Calendar'!$U$1192)&lt;=VAL_SERIAL)*1000000+8*1000+17))</f>
        <v/>
      </c>
      <c r="EV123" s="39">
        <f>IF(N('Dvd Calendar'!$V$1193)=0,"",IF(('Dvd Calendar'!$V$1193&gt;=GRID_FROM)*('Dvd Calendar'!$V$1193&lt;=GRID_TO)*((('Dvd Calendar'!$V$1193&lt;=VAL_DATE)+(COUNTIF('Dvd Calendar'!$E$1200:$AR$1200,'Dvd Calendar'!$V$1193)=0))&gt;0)=0,"",'Dvd Calendar'!$V$1193*1000000000+ISNUMBER('Dvd Calendar'!$V$1196)*100000000+('Dvd Calendar'!$V$1198=SPECIAL_LBL)*10000000+(N('Dvd Calendar'!$V$1192)&gt;0)*(N('Dvd Calendar'!$V$1192)&lt;=VAL_SERIAL)*1000000+8*1000+18))</f>
        <v/>
      </c>
      <c r="EW123" s="39">
        <f>IF(N('Dvd Calendar'!$W$1193)=0,"",IF(('Dvd Calendar'!$W$1193&gt;=GRID_FROM)*('Dvd Calendar'!$W$1193&lt;=GRID_TO)*((('Dvd Calendar'!$W$1193&lt;=VAL_DATE)+(COUNTIF('Dvd Calendar'!$E$1200:$AR$1200,'Dvd Calendar'!$W$1193)=0))&gt;0)=0,"",'Dvd Calendar'!$W$1193*1000000000+ISNUMBER('Dvd Calendar'!$W$1196)*100000000+('Dvd Calendar'!$W$1198=SPECIAL_LBL)*10000000+(N('Dvd Calendar'!$W$1192)&gt;0)*(N('Dvd Calendar'!$W$1192)&lt;=VAL_SERIAL)*1000000+8*1000+19))</f>
        <v/>
      </c>
      <c r="EX123" s="39">
        <f>IF(N('Dvd Calendar'!$X$1193)=0,"",IF(('Dvd Calendar'!$X$1193&gt;=GRID_FROM)*('Dvd Calendar'!$X$1193&lt;=GRID_TO)*((('Dvd Calendar'!$X$1193&lt;=VAL_DATE)+(COUNTIF('Dvd Calendar'!$E$1200:$AR$1200,'Dvd Calendar'!$X$1193)=0))&gt;0)=0,"",'Dvd Calendar'!$X$1193*1000000000+ISNUMBER('Dvd Calendar'!$X$1196)*100000000+('Dvd Calendar'!$X$1198=SPECIAL_LBL)*10000000+(N('Dvd Calendar'!$X$1192)&gt;0)*(N('Dvd Calendar'!$X$1192)&lt;=VAL_SERIAL)*1000000+8*1000+20))</f>
        <v/>
      </c>
      <c r="EY123" s="39">
        <f>IF(N('Dvd Calendar'!$Y$1193)=0,"",IF(('Dvd Calendar'!$Y$1193&gt;=GRID_FROM)*('Dvd Calendar'!$Y$1193&lt;=GRID_TO)*((('Dvd Calendar'!$Y$1193&lt;=VAL_DATE)+(COUNTIF('Dvd Calendar'!$E$1200:$AR$1200,'Dvd Calendar'!$Y$1193)=0))&gt;0)=0,"",'Dvd Calendar'!$Y$1193*1000000000+ISNUMBER('Dvd Calendar'!$Y$1196)*100000000+('Dvd Calendar'!$Y$1198=SPECIAL_LBL)*10000000+(N('Dvd Calendar'!$Y$1192)&gt;0)*(N('Dvd Calendar'!$Y$1192)&lt;=VAL_SERIAL)*1000000+8*1000+21))</f>
        <v/>
      </c>
      <c r="EZ123" s="39">
        <f>IF(N('Dvd Calendar'!$Z$1193)=0,"",IF(('Dvd Calendar'!$Z$1193&gt;=GRID_FROM)*('Dvd Calendar'!$Z$1193&lt;=GRID_TO)*((('Dvd Calendar'!$Z$1193&lt;=VAL_DATE)+(COUNTIF('Dvd Calendar'!$E$1200:$AR$1200,'Dvd Calendar'!$Z$1193)=0))&gt;0)=0,"",'Dvd Calendar'!$Z$1193*1000000000+ISNUMBER('Dvd Calendar'!$Z$1196)*100000000+('Dvd Calendar'!$Z$1198=SPECIAL_LBL)*10000000+(N('Dvd Calendar'!$Z$1192)&gt;0)*(N('Dvd Calendar'!$Z$1192)&lt;=VAL_SERIAL)*1000000+8*1000+22))</f>
        <v/>
      </c>
      <c r="FA123" s="39">
        <f>IF(N('Dvd Calendar'!$AA$1193)=0,"",IF(('Dvd Calendar'!$AA$1193&gt;=GRID_FROM)*('Dvd Calendar'!$AA$1193&lt;=GRID_TO)*((('Dvd Calendar'!$AA$1193&lt;=VAL_DATE)+(COUNTIF('Dvd Calendar'!$E$1200:$AR$1200,'Dvd Calendar'!$AA$1193)=0))&gt;0)=0,"",'Dvd Calendar'!$AA$1193*1000000000+ISNUMBER('Dvd Calendar'!$AA$1196)*100000000+('Dvd Calendar'!$AA$1198=SPECIAL_LBL)*10000000+(N('Dvd Calendar'!$AA$1192)&gt;0)*(N('Dvd Calendar'!$AA$1192)&lt;=VAL_SERIAL)*1000000+8*1000+23))</f>
        <v/>
      </c>
      <c r="FB123" s="39">
        <f>IF(N('Dvd Calendar'!$AB$1193)=0,"",IF(('Dvd Calendar'!$AB$1193&gt;=GRID_FROM)*('Dvd Calendar'!$AB$1193&lt;=GRID_TO)*((('Dvd Calendar'!$AB$1193&lt;=VAL_DATE)+(COUNTIF('Dvd Calendar'!$E$1200:$AR$1200,'Dvd Calendar'!$AB$1193)=0))&gt;0)=0,"",'Dvd Calendar'!$AB$1193*1000000000+ISNUMBER('Dvd Calendar'!$AB$1196)*100000000+('Dvd Calendar'!$AB$1198=SPECIAL_LBL)*10000000+(N('Dvd Calendar'!$AB$1192)&gt;0)*(N('Dvd Calendar'!$AB$1192)&lt;=VAL_SERIAL)*1000000+8*1000+24))</f>
        <v/>
      </c>
      <c r="FC123" s="39">
        <f>IF(N('Dvd Calendar'!$AC$1193)=0,"",IF(('Dvd Calendar'!$AC$1193&gt;=GRID_FROM)*('Dvd Calendar'!$AC$1193&lt;=GRID_TO)*((('Dvd Calendar'!$AC$1193&lt;=VAL_DATE)+(COUNTIF('Dvd Calendar'!$E$1200:$AR$1200,'Dvd Calendar'!$AC$1193)=0))&gt;0)=0,"",'Dvd Calendar'!$AC$1193*1000000000+ISNUMBER('Dvd Calendar'!$AC$1196)*100000000+('Dvd Calendar'!$AC$1198=SPECIAL_LBL)*10000000+(N('Dvd Calendar'!$AC$1192)&gt;0)*(N('Dvd Calendar'!$AC$1192)&lt;=VAL_SERIAL)*1000000+8*1000+25))</f>
        <v/>
      </c>
      <c r="FD123" s="39">
        <f>IF(N('Dvd Calendar'!$AD$1193)=0,"",IF(('Dvd Calendar'!$AD$1193&gt;=GRID_FROM)*('Dvd Calendar'!$AD$1193&lt;=GRID_TO)*((('Dvd Calendar'!$AD$1193&lt;=VAL_DATE)+(COUNTIF('Dvd Calendar'!$E$1200:$AR$1200,'Dvd Calendar'!$AD$1193)=0))&gt;0)=0,"",'Dvd Calendar'!$AD$1193*1000000000+ISNUMBER('Dvd Calendar'!$AD$1196)*100000000+('Dvd Calendar'!$AD$1198=SPECIAL_LBL)*10000000+(N('Dvd Calendar'!$AD$1192)&gt;0)*(N('Dvd Calendar'!$AD$1192)&lt;=VAL_SERIAL)*1000000+8*1000+26))</f>
        <v/>
      </c>
      <c r="FE123" s="39">
        <f>IF(N('Dvd Calendar'!$AE$1193)=0,"",IF(('Dvd Calendar'!$AE$1193&gt;=GRID_FROM)*('Dvd Calendar'!$AE$1193&lt;=GRID_TO)*((('Dvd Calendar'!$AE$1193&lt;=VAL_DATE)+(COUNTIF('Dvd Calendar'!$E$1200:$AR$1200,'Dvd Calendar'!$AE$1193)=0))&gt;0)=0,"",'Dvd Calendar'!$AE$1193*1000000000+ISNUMBER('Dvd Calendar'!$AE$1196)*100000000+('Dvd Calendar'!$AE$1198=SPECIAL_LBL)*10000000+(N('Dvd Calendar'!$AE$1192)&gt;0)*(N('Dvd Calendar'!$AE$1192)&lt;=VAL_SERIAL)*1000000+8*1000+27))</f>
        <v/>
      </c>
      <c r="FF123" s="39">
        <f>IF(N('Dvd Calendar'!$AF$1193)=0,"",IF(('Dvd Calendar'!$AF$1193&gt;=GRID_FROM)*('Dvd Calendar'!$AF$1193&lt;=GRID_TO)*((('Dvd Calendar'!$AF$1193&lt;=VAL_DATE)+(COUNTIF('Dvd Calendar'!$E$1200:$AR$1200,'Dvd Calendar'!$AF$1193)=0))&gt;0)=0,"",'Dvd Calendar'!$AF$1193*1000000000+ISNUMBER('Dvd Calendar'!$AF$1196)*100000000+('Dvd Calendar'!$AF$1198=SPECIAL_LBL)*10000000+(N('Dvd Calendar'!$AF$1192)&gt;0)*(N('Dvd Calendar'!$AF$1192)&lt;=VAL_SERIAL)*1000000+8*1000+28))</f>
        <v/>
      </c>
      <c r="FG123" s="39">
        <f>IF(N('Dvd Calendar'!$AG$1193)=0,"",IF(('Dvd Calendar'!$AG$1193&gt;=GRID_FROM)*('Dvd Calendar'!$AG$1193&lt;=GRID_TO)*((('Dvd Calendar'!$AG$1193&lt;=VAL_DATE)+(COUNTIF('Dvd Calendar'!$E$1200:$AR$1200,'Dvd Calendar'!$AG$1193)=0))&gt;0)=0,"",'Dvd Calendar'!$AG$1193*1000000000+ISNUMBER('Dvd Calendar'!$AG$1196)*100000000+('Dvd Calendar'!$AG$1198=SPECIAL_LBL)*10000000+(N('Dvd Calendar'!$AG$1192)&gt;0)*(N('Dvd Calendar'!$AG$1192)&lt;=VAL_SERIAL)*1000000+8*1000+29))</f>
        <v/>
      </c>
      <c r="FH123" s="39">
        <f>IF(N('Dvd Calendar'!$AH$1193)=0,"",IF(('Dvd Calendar'!$AH$1193&gt;=GRID_FROM)*('Dvd Calendar'!$AH$1193&lt;=GRID_TO)*((('Dvd Calendar'!$AH$1193&lt;=VAL_DATE)+(COUNTIF('Dvd Calendar'!$E$1200:$AR$1200,'Dvd Calendar'!$AH$1193)=0))&gt;0)=0,"",'Dvd Calendar'!$AH$1193*1000000000+ISNUMBER('Dvd Calendar'!$AH$1196)*100000000+('Dvd Calendar'!$AH$1198=SPECIAL_LBL)*10000000+(N('Dvd Calendar'!$AH$1192)&gt;0)*(N('Dvd Calendar'!$AH$1192)&lt;=VAL_SERIAL)*1000000+8*1000+30))</f>
        <v/>
      </c>
      <c r="FI123" s="39">
        <f>IF(N('Dvd Calendar'!$AI$1193)=0,"",IF(('Dvd Calendar'!$AI$1193&gt;=GRID_FROM)*('Dvd Calendar'!$AI$1193&lt;=GRID_TO)*((('Dvd Calendar'!$AI$1193&lt;=VAL_DATE)+(COUNTIF('Dvd Calendar'!$E$1200:$AR$1200,'Dvd Calendar'!$AI$1193)=0))&gt;0)=0,"",'Dvd Calendar'!$AI$1193*1000000000+ISNUMBER('Dvd Calendar'!$AI$1196)*100000000+('Dvd Calendar'!$AI$1198=SPECIAL_LBL)*10000000+(N('Dvd Calendar'!$AI$1192)&gt;0)*(N('Dvd Calendar'!$AI$1192)&lt;=VAL_SERIAL)*1000000+8*1000+31))</f>
        <v/>
      </c>
      <c r="FJ123" s="39">
        <f>IF(N('Dvd Calendar'!$AJ$1193)=0,"",IF(('Dvd Calendar'!$AJ$1193&gt;=GRID_FROM)*('Dvd Calendar'!$AJ$1193&lt;=GRID_TO)*((('Dvd Calendar'!$AJ$1193&lt;=VAL_DATE)+(COUNTIF('Dvd Calendar'!$E$1200:$AR$1200,'Dvd Calendar'!$AJ$1193)=0))&gt;0)=0,"",'Dvd Calendar'!$AJ$1193*1000000000+ISNUMBER('Dvd Calendar'!$AJ$1196)*100000000+('Dvd Calendar'!$AJ$1198=SPECIAL_LBL)*10000000+(N('Dvd Calendar'!$AJ$1192)&gt;0)*(N('Dvd Calendar'!$AJ$1192)&lt;=VAL_SERIAL)*1000000+8*1000+32))</f>
        <v/>
      </c>
      <c r="FK123" s="39">
        <f>IF(N('Dvd Calendar'!$AK$1193)=0,"",IF(('Dvd Calendar'!$AK$1193&gt;=GRID_FROM)*('Dvd Calendar'!$AK$1193&lt;=GRID_TO)*((('Dvd Calendar'!$AK$1193&lt;=VAL_DATE)+(COUNTIF('Dvd Calendar'!$E$1200:$AR$1200,'Dvd Calendar'!$AK$1193)=0))&gt;0)=0,"",'Dvd Calendar'!$AK$1193*1000000000+ISNUMBER('Dvd Calendar'!$AK$1196)*100000000+('Dvd Calendar'!$AK$1198=SPECIAL_LBL)*10000000+(N('Dvd Calendar'!$AK$1192)&gt;0)*(N('Dvd Calendar'!$AK$1192)&lt;=VAL_SERIAL)*1000000+8*1000+33))</f>
        <v/>
      </c>
      <c r="FL123" s="39">
        <f>IF(N('Dvd Calendar'!$AL$1193)=0,"",IF(('Dvd Calendar'!$AL$1193&gt;=GRID_FROM)*('Dvd Calendar'!$AL$1193&lt;=GRID_TO)*((('Dvd Calendar'!$AL$1193&lt;=VAL_DATE)+(COUNTIF('Dvd Calendar'!$E$1200:$AR$1200,'Dvd Calendar'!$AL$1193)=0))&gt;0)=0,"",'Dvd Calendar'!$AL$1193*1000000000+ISNUMBER('Dvd Calendar'!$AL$1196)*100000000+('Dvd Calendar'!$AL$1198=SPECIAL_LBL)*10000000+(N('Dvd Calendar'!$AL$1192)&gt;0)*(N('Dvd Calendar'!$AL$1192)&lt;=VAL_SERIAL)*1000000+8*1000+34))</f>
        <v/>
      </c>
      <c r="FM123" s="39">
        <f>IF(N('Dvd Calendar'!$AM$1193)=0,"",IF(('Dvd Calendar'!$AM$1193&gt;=GRID_FROM)*('Dvd Calendar'!$AM$1193&lt;=GRID_TO)*((('Dvd Calendar'!$AM$1193&lt;=VAL_DATE)+(COUNTIF('Dvd Calendar'!$E$1200:$AR$1200,'Dvd Calendar'!$AM$1193)=0))&gt;0)=0,"",'Dvd Calendar'!$AM$1193*1000000000+ISNUMBER('Dvd Calendar'!$AM$1196)*100000000+('Dvd Calendar'!$AM$1198=SPECIAL_LBL)*10000000+(N('Dvd Calendar'!$AM$1192)&gt;0)*(N('Dvd Calendar'!$AM$1192)&lt;=VAL_SERIAL)*1000000+8*1000+35))</f>
        <v/>
      </c>
      <c r="FN123" s="39">
        <f>IF(N('Dvd Calendar'!$AN$1193)=0,"",IF(('Dvd Calendar'!$AN$1193&gt;=GRID_FROM)*('Dvd Calendar'!$AN$1193&lt;=GRID_TO)*((('Dvd Calendar'!$AN$1193&lt;=VAL_DATE)+(COUNTIF('Dvd Calendar'!$E$1200:$AR$1200,'Dvd Calendar'!$AN$1193)=0))&gt;0)=0,"",'Dvd Calendar'!$AN$1193*1000000000+ISNUMBER('Dvd Calendar'!$AN$1196)*100000000+('Dvd Calendar'!$AN$1198=SPECIAL_LBL)*10000000+(N('Dvd Calendar'!$AN$1192)&gt;0)*(N('Dvd Calendar'!$AN$1192)&lt;=VAL_SERIAL)*1000000+8*1000+36))</f>
        <v/>
      </c>
      <c r="FO123" s="39">
        <f>IF(N('Dvd Calendar'!$AO$1193)=0,"",IF(('Dvd Calendar'!$AO$1193&gt;=GRID_FROM)*('Dvd Calendar'!$AO$1193&lt;=GRID_TO)*((('Dvd Calendar'!$AO$1193&lt;=VAL_DATE)+(COUNTIF('Dvd Calendar'!$E$1200:$AR$1200,'Dvd Calendar'!$AO$1193)=0))&gt;0)=0,"",'Dvd Calendar'!$AO$1193*1000000000+ISNUMBER('Dvd Calendar'!$AO$1196)*100000000+('Dvd Calendar'!$AO$1198=SPECIAL_LBL)*10000000+(N('Dvd Calendar'!$AO$1192)&gt;0)*(N('Dvd Calendar'!$AO$1192)&lt;=VAL_SERIAL)*1000000+8*1000+37))</f>
        <v/>
      </c>
      <c r="FP123" s="39">
        <f>IF(N('Dvd Calendar'!$AP$1193)=0,"",IF(('Dvd Calendar'!$AP$1193&gt;=GRID_FROM)*('Dvd Calendar'!$AP$1193&lt;=GRID_TO)*((('Dvd Calendar'!$AP$1193&lt;=VAL_DATE)+(COUNTIF('Dvd Calendar'!$E$1200:$AR$1200,'Dvd Calendar'!$AP$1193)=0))&gt;0)=0,"",'Dvd Calendar'!$AP$1193*1000000000+ISNUMBER('Dvd Calendar'!$AP$1196)*100000000+('Dvd Calendar'!$AP$1198=SPECIAL_LBL)*10000000+(N('Dvd Calendar'!$AP$1192)&gt;0)*(N('Dvd Calendar'!$AP$1192)&lt;=VAL_SERIAL)*1000000+8*1000+38))</f>
        <v/>
      </c>
      <c r="FQ123" s="39">
        <f>IF(N('Dvd Calendar'!$AQ$1193)=0,"",IF(('Dvd Calendar'!$AQ$1193&gt;=GRID_FROM)*('Dvd Calendar'!$AQ$1193&lt;=GRID_TO)*((('Dvd Calendar'!$AQ$1193&lt;=VAL_DATE)+(COUNTIF('Dvd Calendar'!$E$1200:$AR$1200,'Dvd Calendar'!$AQ$1193)=0))&gt;0)=0,"",'Dvd Calendar'!$AQ$1193*1000000000+ISNUMBER('Dvd Calendar'!$AQ$1196)*100000000+('Dvd Calendar'!$AQ$1198=SPECIAL_LBL)*10000000+(N('Dvd Calendar'!$AQ$1192)&gt;0)*(N('Dvd Calendar'!$AQ$1192)&lt;=VAL_SERIAL)*1000000+8*1000+39))</f>
        <v/>
      </c>
      <c r="FR123" s="39">
        <f>IF(N('Dvd Calendar'!$AR$1193)=0,"",IF(('Dvd Calendar'!$AR$1193&gt;=GRID_FROM)*('Dvd Calendar'!$AR$1193&lt;=GRID_TO)*((('Dvd Calendar'!$AR$1193&lt;=VAL_DATE)+(COUNTIF('Dvd Calendar'!$E$1200:$AR$1200,'Dvd Calendar'!$AR$1193)=0))&gt;0)=0,"",'Dvd Calendar'!$AR$1193*1000000000+ISNUMBER('Dvd Calendar'!$AR$1196)*100000000+('Dvd Calendar'!$AR$1198=SPECIAL_LBL)*10000000+(N('Dvd Calendar'!$AR$1192)&gt;0)*(N('Dvd Calendar'!$AR$1192)&lt;=VAL_SERIAL)*1000000+8*1000+40))</f>
        <v/>
      </c>
      <c r="FS123" s="39">
        <f>IF(N('Dvd Calendar'!$E$1200)=0,"",IF(('Dvd Calendar'!$E$1200&gt;=GRID_FROM)*('Dvd Calendar'!$E$1200&lt;=GRID_TO)*('Dvd Calendar'!$E$1200&gt;VAL_DATE)=0,"",'Dvd Calendar'!$E$1200*1000000000+ISNUMBER('Dvd Calendar'!$E$1201)*100000000+0*10000000+(N('Dvd Calendar'!$E$1199)&gt;0)*(N('Dvd Calendar'!$E$1199)&lt;=VAL_SERIAL)*1000000+8*1000+41))</f>
        <v/>
      </c>
      <c r="FT123" s="39">
        <f>IF(N('Dvd Calendar'!$F$1200)=0,"",IF(('Dvd Calendar'!$F$1200&gt;=GRID_FROM)*('Dvd Calendar'!$F$1200&lt;=GRID_TO)*('Dvd Calendar'!$F$1200&gt;VAL_DATE)=0,"",'Dvd Calendar'!$F$1200*1000000000+ISNUMBER('Dvd Calendar'!$F$1201)*100000000+0*10000000+(N('Dvd Calendar'!$F$1199)&gt;0)*(N('Dvd Calendar'!$F$1199)&lt;=VAL_SERIAL)*1000000+8*1000+42))</f>
        <v/>
      </c>
      <c r="FU123" s="39">
        <f>IF(N('Dvd Calendar'!$G$1200)=0,"",IF(('Dvd Calendar'!$G$1200&gt;=GRID_FROM)*('Dvd Calendar'!$G$1200&lt;=GRID_TO)*('Dvd Calendar'!$G$1200&gt;VAL_DATE)=0,"",'Dvd Calendar'!$G$1200*1000000000+ISNUMBER('Dvd Calendar'!$G$1201)*100000000+0*10000000+(N('Dvd Calendar'!$G$1199)&gt;0)*(N('Dvd Calendar'!$G$1199)&lt;=VAL_SERIAL)*1000000+8*1000+43))</f>
        <v/>
      </c>
      <c r="FV123" s="39">
        <f>IF(N('Dvd Calendar'!$H$1200)=0,"",IF(('Dvd Calendar'!$H$1200&gt;=GRID_FROM)*('Dvd Calendar'!$H$1200&lt;=GRID_TO)*('Dvd Calendar'!$H$1200&gt;VAL_DATE)=0,"",'Dvd Calendar'!$H$1200*1000000000+ISNUMBER('Dvd Calendar'!$H$1201)*100000000+0*10000000+(N('Dvd Calendar'!$H$1199)&gt;0)*(N('Dvd Calendar'!$H$1199)&lt;=VAL_SERIAL)*1000000+8*1000+44))</f>
        <v/>
      </c>
      <c r="FW123" s="39">
        <f>IF(N('Dvd Calendar'!$I$1200)=0,"",IF(('Dvd Calendar'!$I$1200&gt;=GRID_FROM)*('Dvd Calendar'!$I$1200&lt;=GRID_TO)*('Dvd Calendar'!$I$1200&gt;VAL_DATE)=0,"",'Dvd Calendar'!$I$1200*1000000000+ISNUMBER('Dvd Calendar'!$I$1201)*100000000+0*10000000+(N('Dvd Calendar'!$I$1199)&gt;0)*(N('Dvd Calendar'!$I$1199)&lt;=VAL_SERIAL)*1000000+8*1000+45))</f>
        <v/>
      </c>
      <c r="FX123" s="39">
        <f>IF(N('Dvd Calendar'!$J$1200)=0,"",IF(('Dvd Calendar'!$J$1200&gt;=GRID_FROM)*('Dvd Calendar'!$J$1200&lt;=GRID_TO)*('Dvd Calendar'!$J$1200&gt;VAL_DATE)=0,"",'Dvd Calendar'!$J$1200*1000000000+ISNUMBER('Dvd Calendar'!$J$1201)*100000000+0*10000000+(N('Dvd Calendar'!$J$1199)&gt;0)*(N('Dvd Calendar'!$J$1199)&lt;=VAL_SERIAL)*1000000+8*1000+46))</f>
        <v/>
      </c>
      <c r="FY123" s="39">
        <f>IF(N('Dvd Calendar'!$K$1200)=0,"",IF(('Dvd Calendar'!$K$1200&gt;=GRID_FROM)*('Dvd Calendar'!$K$1200&lt;=GRID_TO)*('Dvd Calendar'!$K$1200&gt;VAL_DATE)=0,"",'Dvd Calendar'!$K$1200*1000000000+ISNUMBER('Dvd Calendar'!$K$1201)*100000000+0*10000000+(N('Dvd Calendar'!$K$1199)&gt;0)*(N('Dvd Calendar'!$K$1199)&lt;=VAL_SERIAL)*1000000+8*1000+47))</f>
        <v/>
      </c>
      <c r="FZ123" s="39">
        <f>IF(N('Dvd Calendar'!$L$1200)=0,"",IF(('Dvd Calendar'!$L$1200&gt;=GRID_FROM)*('Dvd Calendar'!$L$1200&lt;=GRID_TO)*('Dvd Calendar'!$L$1200&gt;VAL_DATE)=0,"",'Dvd Calendar'!$L$1200*1000000000+ISNUMBER('Dvd Calendar'!$L$1201)*100000000+0*10000000+(N('Dvd Calendar'!$L$1199)&gt;0)*(N('Dvd Calendar'!$L$1199)&lt;=VAL_SERIAL)*1000000+8*1000+48))</f>
        <v/>
      </c>
      <c r="GA123" s="39">
        <f>IF(N('Dvd Calendar'!$M$1200)=0,"",IF(('Dvd Calendar'!$M$1200&gt;=GRID_FROM)*('Dvd Calendar'!$M$1200&lt;=GRID_TO)*('Dvd Calendar'!$M$1200&gt;VAL_DATE)=0,"",'Dvd Calendar'!$M$1200*1000000000+ISNUMBER('Dvd Calendar'!$M$1201)*100000000+0*10000000+(N('Dvd Calendar'!$M$1199)&gt;0)*(N('Dvd Calendar'!$M$1199)&lt;=VAL_SERIAL)*1000000+8*1000+49))</f>
        <v/>
      </c>
      <c r="GB123" s="39">
        <f>IF(N('Dvd Calendar'!$N$1200)=0,"",IF(('Dvd Calendar'!$N$1200&gt;=GRID_FROM)*('Dvd Calendar'!$N$1200&lt;=GRID_TO)*('Dvd Calendar'!$N$1200&gt;VAL_DATE)=0,"",'Dvd Calendar'!$N$1200*1000000000+ISNUMBER('Dvd Calendar'!$N$1201)*100000000+0*10000000+(N('Dvd Calendar'!$N$1199)&gt;0)*(N('Dvd Calendar'!$N$1199)&lt;=VAL_SERIAL)*1000000+8*1000+50))</f>
        <v/>
      </c>
      <c r="GC123" s="39">
        <f>IF(N('Dvd Calendar'!$O$1200)=0,"",IF(('Dvd Calendar'!$O$1200&gt;=GRID_FROM)*('Dvd Calendar'!$O$1200&lt;=GRID_TO)*('Dvd Calendar'!$O$1200&gt;VAL_DATE)=0,"",'Dvd Calendar'!$O$1200*1000000000+ISNUMBER('Dvd Calendar'!$O$1201)*100000000+0*10000000+(N('Dvd Calendar'!$O$1199)&gt;0)*(N('Dvd Calendar'!$O$1199)&lt;=VAL_SERIAL)*1000000+8*1000+51))</f>
        <v/>
      </c>
      <c r="GD123" s="39">
        <f>IF(N('Dvd Calendar'!$P$1200)=0,"",IF(('Dvd Calendar'!$P$1200&gt;=GRID_FROM)*('Dvd Calendar'!$P$1200&lt;=GRID_TO)*('Dvd Calendar'!$P$1200&gt;VAL_DATE)=0,"",'Dvd Calendar'!$P$1200*1000000000+ISNUMBER('Dvd Calendar'!$P$1201)*100000000+0*10000000+(N('Dvd Calendar'!$P$1199)&gt;0)*(N('Dvd Calendar'!$P$1199)&lt;=VAL_SERIAL)*1000000+8*1000+52))</f>
        <v/>
      </c>
      <c r="GE123" s="39">
        <f>IF(N('Dvd Calendar'!$Q$1200)=0,"",IF(('Dvd Calendar'!$Q$1200&gt;=GRID_FROM)*('Dvd Calendar'!$Q$1200&lt;=GRID_TO)*('Dvd Calendar'!$Q$1200&gt;VAL_DATE)=0,"",'Dvd Calendar'!$Q$1200*1000000000+ISNUMBER('Dvd Calendar'!$Q$1201)*100000000+0*10000000+(N('Dvd Calendar'!$Q$1199)&gt;0)*(N('Dvd Calendar'!$Q$1199)&lt;=VAL_SERIAL)*1000000+8*1000+53))</f>
        <v/>
      </c>
      <c r="GF123" s="39">
        <f>IF(N('Dvd Calendar'!$R$1200)=0,"",IF(('Dvd Calendar'!$R$1200&gt;=GRID_FROM)*('Dvd Calendar'!$R$1200&lt;=GRID_TO)*('Dvd Calendar'!$R$1200&gt;VAL_DATE)=0,"",'Dvd Calendar'!$R$1200*1000000000+ISNUMBER('Dvd Calendar'!$R$1201)*100000000+0*10000000+(N('Dvd Calendar'!$R$1199)&gt;0)*(N('Dvd Calendar'!$R$1199)&lt;=VAL_SERIAL)*1000000+8*1000+54))</f>
        <v/>
      </c>
      <c r="GG123" s="39">
        <f>IF(N('Dvd Calendar'!$S$1200)=0,"",IF(('Dvd Calendar'!$S$1200&gt;=GRID_FROM)*('Dvd Calendar'!$S$1200&lt;=GRID_TO)*('Dvd Calendar'!$S$1200&gt;VAL_DATE)=0,"",'Dvd Calendar'!$S$1200*1000000000+ISNUMBER('Dvd Calendar'!$S$1201)*100000000+0*10000000+(N('Dvd Calendar'!$S$1199)&gt;0)*(N('Dvd Calendar'!$S$1199)&lt;=VAL_SERIAL)*1000000+8*1000+55))</f>
        <v/>
      </c>
      <c r="GH123" s="39">
        <f>IF(N('Dvd Calendar'!$T$1200)=0,"",IF(('Dvd Calendar'!$T$1200&gt;=GRID_FROM)*('Dvd Calendar'!$T$1200&lt;=GRID_TO)*('Dvd Calendar'!$T$1200&gt;VAL_DATE)=0,"",'Dvd Calendar'!$T$1200*1000000000+ISNUMBER('Dvd Calendar'!$T$1201)*100000000+0*10000000+(N('Dvd Calendar'!$T$1199)&gt;0)*(N('Dvd Calendar'!$T$1199)&lt;=VAL_SERIAL)*1000000+8*1000+56))</f>
        <v/>
      </c>
      <c r="GI123" s="39">
        <f>IF(N('Dvd Calendar'!$U$1200)=0,"",IF(('Dvd Calendar'!$U$1200&gt;=GRID_FROM)*('Dvd Calendar'!$U$1200&lt;=GRID_TO)*('Dvd Calendar'!$U$1200&gt;VAL_DATE)=0,"",'Dvd Calendar'!$U$1200*1000000000+ISNUMBER('Dvd Calendar'!$U$1201)*100000000+0*10000000+(N('Dvd Calendar'!$U$1199)&gt;0)*(N('Dvd Calendar'!$U$1199)&lt;=VAL_SERIAL)*1000000+8*1000+57))</f>
        <v/>
      </c>
      <c r="GJ123" s="39">
        <f>IF(N('Dvd Calendar'!$V$1200)=0,"",IF(('Dvd Calendar'!$V$1200&gt;=GRID_FROM)*('Dvd Calendar'!$V$1200&lt;=GRID_TO)*('Dvd Calendar'!$V$1200&gt;VAL_DATE)=0,"",'Dvd Calendar'!$V$1200*1000000000+ISNUMBER('Dvd Calendar'!$V$1201)*100000000+0*10000000+(N('Dvd Calendar'!$V$1199)&gt;0)*(N('Dvd Calendar'!$V$1199)&lt;=VAL_SERIAL)*1000000+8*1000+58))</f>
        <v/>
      </c>
      <c r="GK123" s="39">
        <f>IF(N('Dvd Calendar'!$W$1200)=0,"",IF(('Dvd Calendar'!$W$1200&gt;=GRID_FROM)*('Dvd Calendar'!$W$1200&lt;=GRID_TO)*('Dvd Calendar'!$W$1200&gt;VAL_DATE)=0,"",'Dvd Calendar'!$W$1200*1000000000+ISNUMBER('Dvd Calendar'!$W$1201)*100000000+0*10000000+(N('Dvd Calendar'!$W$1199)&gt;0)*(N('Dvd Calendar'!$W$1199)&lt;=VAL_SERIAL)*1000000+8*1000+59))</f>
        <v/>
      </c>
      <c r="GL123" s="39">
        <f>IF(N('Dvd Calendar'!$X$1200)=0,"",IF(('Dvd Calendar'!$X$1200&gt;=GRID_FROM)*('Dvd Calendar'!$X$1200&lt;=GRID_TO)*('Dvd Calendar'!$X$1200&gt;VAL_DATE)=0,"",'Dvd Calendar'!$X$1200*1000000000+ISNUMBER('Dvd Calendar'!$X$1201)*100000000+0*10000000+(N('Dvd Calendar'!$X$1199)&gt;0)*(N('Dvd Calendar'!$X$1199)&lt;=VAL_SERIAL)*1000000+8*1000+60))</f>
        <v/>
      </c>
      <c r="GM123" s="39">
        <f>IF(N('Dvd Calendar'!$Y$1200)=0,"",IF(('Dvd Calendar'!$Y$1200&gt;=GRID_FROM)*('Dvd Calendar'!$Y$1200&lt;=GRID_TO)*('Dvd Calendar'!$Y$1200&gt;VAL_DATE)=0,"",'Dvd Calendar'!$Y$1200*1000000000+ISNUMBER('Dvd Calendar'!$Y$1201)*100000000+0*10000000+(N('Dvd Calendar'!$Y$1199)&gt;0)*(N('Dvd Calendar'!$Y$1199)&lt;=VAL_SERIAL)*1000000+8*1000+61))</f>
        <v/>
      </c>
      <c r="GN123" s="39">
        <f>IF(N('Dvd Calendar'!$Z$1200)=0,"",IF(('Dvd Calendar'!$Z$1200&gt;=GRID_FROM)*('Dvd Calendar'!$Z$1200&lt;=GRID_TO)*('Dvd Calendar'!$Z$1200&gt;VAL_DATE)=0,"",'Dvd Calendar'!$Z$1200*1000000000+ISNUMBER('Dvd Calendar'!$Z$1201)*100000000+0*10000000+(N('Dvd Calendar'!$Z$1199)&gt;0)*(N('Dvd Calendar'!$Z$1199)&lt;=VAL_SERIAL)*1000000+8*1000+62))</f>
        <v/>
      </c>
      <c r="GO123" s="39">
        <f>IF(N('Dvd Calendar'!$AA$1200)=0,"",IF(('Dvd Calendar'!$AA$1200&gt;=GRID_FROM)*('Dvd Calendar'!$AA$1200&lt;=GRID_TO)*('Dvd Calendar'!$AA$1200&gt;VAL_DATE)=0,"",'Dvd Calendar'!$AA$1200*1000000000+ISNUMBER('Dvd Calendar'!$AA$1201)*100000000+0*10000000+(N('Dvd Calendar'!$AA$1199)&gt;0)*(N('Dvd Calendar'!$AA$1199)&lt;=VAL_SERIAL)*1000000+8*1000+63))</f>
        <v/>
      </c>
      <c r="GP123" s="39">
        <f>IF(N('Dvd Calendar'!$AB$1200)=0,"",IF(('Dvd Calendar'!$AB$1200&gt;=GRID_FROM)*('Dvd Calendar'!$AB$1200&lt;=GRID_TO)*('Dvd Calendar'!$AB$1200&gt;VAL_DATE)=0,"",'Dvd Calendar'!$AB$1200*1000000000+ISNUMBER('Dvd Calendar'!$AB$1201)*100000000+0*10000000+(N('Dvd Calendar'!$AB$1199)&gt;0)*(N('Dvd Calendar'!$AB$1199)&lt;=VAL_SERIAL)*1000000+8*1000+64))</f>
        <v/>
      </c>
      <c r="GQ123" s="39">
        <f>IF(N('Dvd Calendar'!$AC$1200)=0,"",IF(('Dvd Calendar'!$AC$1200&gt;=GRID_FROM)*('Dvd Calendar'!$AC$1200&lt;=GRID_TO)*('Dvd Calendar'!$AC$1200&gt;VAL_DATE)=0,"",'Dvd Calendar'!$AC$1200*1000000000+ISNUMBER('Dvd Calendar'!$AC$1201)*100000000+0*10000000+(N('Dvd Calendar'!$AC$1199)&gt;0)*(N('Dvd Calendar'!$AC$1199)&lt;=VAL_SERIAL)*1000000+8*1000+65))</f>
        <v/>
      </c>
    </row>
    <row r="124">
      <c r="B124" s="2">
        <f>IF(HSTECH!$C$15="","",HSTECH!$C$15)</f>
        <v/>
      </c>
      <c r="C124" s="110">
        <f>IF(EE124="","",IF(ISNUMBER('Dvd Calendar'!$E$1207)=FALSE,"",IF((('Dvd Calendar'!$E$1209=TYPE1)*(TYPE1&lt;&gt;"")+('Dvd Calendar'!$E$1209=TYPE2)*(TYPE2&lt;&gt;"")+('Dvd Calendar'!$E$1209=TYPE3)*(TYPE3&lt;&gt;"")+('Dvd Calendar'!$E$1209=TYPE4)*(TYPE4&lt;&gt;"")+('Dvd Calendar'!$E$1209=SPECIAL_LBL)*(INC_SPECIALS="Y"))=0,"",'Dvd Calendar'!$E$1207)))</f>
        <v/>
      </c>
      <c r="D124" s="110">
        <f>IF(EF124="","",IF(ISNUMBER('Dvd Calendar'!$F$1207)=FALSE,"",IF((('Dvd Calendar'!$F$1209=TYPE1)*(TYPE1&lt;&gt;"")+('Dvd Calendar'!$F$1209=TYPE2)*(TYPE2&lt;&gt;"")+('Dvd Calendar'!$F$1209=TYPE3)*(TYPE3&lt;&gt;"")+('Dvd Calendar'!$F$1209=TYPE4)*(TYPE4&lt;&gt;"")+('Dvd Calendar'!$F$1209=SPECIAL_LBL)*(INC_SPECIALS="Y"))=0,"",'Dvd Calendar'!$F$1207)))</f>
        <v/>
      </c>
      <c r="E124" s="110">
        <f>IF(EG124="","",IF(ISNUMBER('Dvd Calendar'!$G$1207)=FALSE,"",IF((('Dvd Calendar'!$G$1209=TYPE1)*(TYPE1&lt;&gt;"")+('Dvd Calendar'!$G$1209=TYPE2)*(TYPE2&lt;&gt;"")+('Dvd Calendar'!$G$1209=TYPE3)*(TYPE3&lt;&gt;"")+('Dvd Calendar'!$G$1209=TYPE4)*(TYPE4&lt;&gt;"")+('Dvd Calendar'!$G$1209=SPECIAL_LBL)*(INC_SPECIALS="Y"))=0,"",'Dvd Calendar'!$G$1207)))</f>
        <v/>
      </c>
      <c r="F124" s="110">
        <f>IF(EH124="","",IF(ISNUMBER('Dvd Calendar'!$H$1207)=FALSE,"",IF((('Dvd Calendar'!$H$1209=TYPE1)*(TYPE1&lt;&gt;"")+('Dvd Calendar'!$H$1209=TYPE2)*(TYPE2&lt;&gt;"")+('Dvd Calendar'!$H$1209=TYPE3)*(TYPE3&lt;&gt;"")+('Dvd Calendar'!$H$1209=TYPE4)*(TYPE4&lt;&gt;"")+('Dvd Calendar'!$H$1209=SPECIAL_LBL)*(INC_SPECIALS="Y"))=0,"",'Dvd Calendar'!$H$1207)))</f>
        <v/>
      </c>
      <c r="G124" s="110">
        <f>IF(EI124="","",IF(ISNUMBER('Dvd Calendar'!$I$1207)=FALSE,"",IF((('Dvd Calendar'!$I$1209=TYPE1)*(TYPE1&lt;&gt;"")+('Dvd Calendar'!$I$1209=TYPE2)*(TYPE2&lt;&gt;"")+('Dvd Calendar'!$I$1209=TYPE3)*(TYPE3&lt;&gt;"")+('Dvd Calendar'!$I$1209=TYPE4)*(TYPE4&lt;&gt;"")+('Dvd Calendar'!$I$1209=SPECIAL_LBL)*(INC_SPECIALS="Y"))=0,"",'Dvd Calendar'!$I$1207)))</f>
        <v/>
      </c>
      <c r="H124" s="110">
        <f>IF(EJ124="","",IF(ISNUMBER('Dvd Calendar'!$J$1207)=FALSE,"",IF((('Dvd Calendar'!$J$1209=TYPE1)*(TYPE1&lt;&gt;"")+('Dvd Calendar'!$J$1209=TYPE2)*(TYPE2&lt;&gt;"")+('Dvd Calendar'!$J$1209=TYPE3)*(TYPE3&lt;&gt;"")+('Dvd Calendar'!$J$1209=TYPE4)*(TYPE4&lt;&gt;"")+('Dvd Calendar'!$J$1209=SPECIAL_LBL)*(INC_SPECIALS="Y"))=0,"",'Dvd Calendar'!$J$1207)))</f>
        <v/>
      </c>
      <c r="I124" s="110">
        <f>IF(EK124="","",IF(ISNUMBER('Dvd Calendar'!$K$1207)=FALSE,"",IF((('Dvd Calendar'!$K$1209=TYPE1)*(TYPE1&lt;&gt;"")+('Dvd Calendar'!$K$1209=TYPE2)*(TYPE2&lt;&gt;"")+('Dvd Calendar'!$K$1209=TYPE3)*(TYPE3&lt;&gt;"")+('Dvd Calendar'!$K$1209=TYPE4)*(TYPE4&lt;&gt;"")+('Dvd Calendar'!$K$1209=SPECIAL_LBL)*(INC_SPECIALS="Y"))=0,"",'Dvd Calendar'!$K$1207)))</f>
        <v/>
      </c>
      <c r="J124" s="110">
        <f>IF(EL124="","",IF(ISNUMBER('Dvd Calendar'!$L$1207)=FALSE,"",IF((('Dvd Calendar'!$L$1209=TYPE1)*(TYPE1&lt;&gt;"")+('Dvd Calendar'!$L$1209=TYPE2)*(TYPE2&lt;&gt;"")+('Dvd Calendar'!$L$1209=TYPE3)*(TYPE3&lt;&gt;"")+('Dvd Calendar'!$L$1209=TYPE4)*(TYPE4&lt;&gt;"")+('Dvd Calendar'!$L$1209=SPECIAL_LBL)*(INC_SPECIALS="Y"))=0,"",'Dvd Calendar'!$L$1207)))</f>
        <v/>
      </c>
      <c r="K124" s="110">
        <f>IF(EM124="","",IF(ISNUMBER('Dvd Calendar'!$M$1207)=FALSE,"",IF((('Dvd Calendar'!$M$1209=TYPE1)*(TYPE1&lt;&gt;"")+('Dvd Calendar'!$M$1209=TYPE2)*(TYPE2&lt;&gt;"")+('Dvd Calendar'!$M$1209=TYPE3)*(TYPE3&lt;&gt;"")+('Dvd Calendar'!$M$1209=TYPE4)*(TYPE4&lt;&gt;"")+('Dvd Calendar'!$M$1209=SPECIAL_LBL)*(INC_SPECIALS="Y"))=0,"",'Dvd Calendar'!$M$1207)))</f>
        <v/>
      </c>
      <c r="L124" s="110">
        <f>IF(EN124="","",IF(ISNUMBER('Dvd Calendar'!$N$1207)=FALSE,"",IF((('Dvd Calendar'!$N$1209=TYPE1)*(TYPE1&lt;&gt;"")+('Dvd Calendar'!$N$1209=TYPE2)*(TYPE2&lt;&gt;"")+('Dvd Calendar'!$N$1209=TYPE3)*(TYPE3&lt;&gt;"")+('Dvd Calendar'!$N$1209=TYPE4)*(TYPE4&lt;&gt;"")+('Dvd Calendar'!$N$1209=SPECIAL_LBL)*(INC_SPECIALS="Y"))=0,"",'Dvd Calendar'!$N$1207)))</f>
        <v/>
      </c>
      <c r="M124" s="110">
        <f>IF(EO124="","",IF(ISNUMBER('Dvd Calendar'!$O$1207)=FALSE,"",IF((('Dvd Calendar'!$O$1209=TYPE1)*(TYPE1&lt;&gt;"")+('Dvd Calendar'!$O$1209=TYPE2)*(TYPE2&lt;&gt;"")+('Dvd Calendar'!$O$1209=TYPE3)*(TYPE3&lt;&gt;"")+('Dvd Calendar'!$O$1209=TYPE4)*(TYPE4&lt;&gt;"")+('Dvd Calendar'!$O$1209=SPECIAL_LBL)*(INC_SPECIALS="Y"))=0,"",'Dvd Calendar'!$O$1207)))</f>
        <v/>
      </c>
      <c r="N124" s="110">
        <f>IF(EP124="","",IF(ISNUMBER('Dvd Calendar'!$P$1207)=FALSE,"",IF((('Dvd Calendar'!$P$1209=TYPE1)*(TYPE1&lt;&gt;"")+('Dvd Calendar'!$P$1209=TYPE2)*(TYPE2&lt;&gt;"")+('Dvd Calendar'!$P$1209=TYPE3)*(TYPE3&lt;&gt;"")+('Dvd Calendar'!$P$1209=TYPE4)*(TYPE4&lt;&gt;"")+('Dvd Calendar'!$P$1209=SPECIAL_LBL)*(INC_SPECIALS="Y"))=0,"",'Dvd Calendar'!$P$1207)))</f>
        <v/>
      </c>
      <c r="O124" s="110">
        <f>IF(EQ124="","",IF(ISNUMBER('Dvd Calendar'!$Q$1207)=FALSE,"",IF((('Dvd Calendar'!$Q$1209=TYPE1)*(TYPE1&lt;&gt;"")+('Dvd Calendar'!$Q$1209=TYPE2)*(TYPE2&lt;&gt;"")+('Dvd Calendar'!$Q$1209=TYPE3)*(TYPE3&lt;&gt;"")+('Dvd Calendar'!$Q$1209=TYPE4)*(TYPE4&lt;&gt;"")+('Dvd Calendar'!$Q$1209=SPECIAL_LBL)*(INC_SPECIALS="Y"))=0,"",'Dvd Calendar'!$Q$1207)))</f>
        <v/>
      </c>
      <c r="P124" s="110">
        <f>IF(ER124="","",IF(ISNUMBER('Dvd Calendar'!$R$1207)=FALSE,"",IF((('Dvd Calendar'!$R$1209=TYPE1)*(TYPE1&lt;&gt;"")+('Dvd Calendar'!$R$1209=TYPE2)*(TYPE2&lt;&gt;"")+('Dvd Calendar'!$R$1209=TYPE3)*(TYPE3&lt;&gt;"")+('Dvd Calendar'!$R$1209=TYPE4)*(TYPE4&lt;&gt;"")+('Dvd Calendar'!$R$1209=SPECIAL_LBL)*(INC_SPECIALS="Y"))=0,"",'Dvd Calendar'!$R$1207)))</f>
        <v/>
      </c>
      <c r="Q124" s="110">
        <f>IF(ES124="","",IF(ISNUMBER('Dvd Calendar'!$S$1207)=FALSE,"",IF((('Dvd Calendar'!$S$1209=TYPE1)*(TYPE1&lt;&gt;"")+('Dvd Calendar'!$S$1209=TYPE2)*(TYPE2&lt;&gt;"")+('Dvd Calendar'!$S$1209=TYPE3)*(TYPE3&lt;&gt;"")+('Dvd Calendar'!$S$1209=TYPE4)*(TYPE4&lt;&gt;"")+('Dvd Calendar'!$S$1209=SPECIAL_LBL)*(INC_SPECIALS="Y"))=0,"",'Dvd Calendar'!$S$1207)))</f>
        <v/>
      </c>
      <c r="R124" s="110">
        <f>IF(ET124="","",IF(ISNUMBER('Dvd Calendar'!$T$1207)=FALSE,"",IF((('Dvd Calendar'!$T$1209=TYPE1)*(TYPE1&lt;&gt;"")+('Dvd Calendar'!$T$1209=TYPE2)*(TYPE2&lt;&gt;"")+('Dvd Calendar'!$T$1209=TYPE3)*(TYPE3&lt;&gt;"")+('Dvd Calendar'!$T$1209=TYPE4)*(TYPE4&lt;&gt;"")+('Dvd Calendar'!$T$1209=SPECIAL_LBL)*(INC_SPECIALS="Y"))=0,"",'Dvd Calendar'!$T$1207)))</f>
        <v/>
      </c>
      <c r="S124" s="110">
        <f>IF(EU124="","",IF(ISNUMBER('Dvd Calendar'!$U$1207)=FALSE,"",IF((('Dvd Calendar'!$U$1209=TYPE1)*(TYPE1&lt;&gt;"")+('Dvd Calendar'!$U$1209=TYPE2)*(TYPE2&lt;&gt;"")+('Dvd Calendar'!$U$1209=TYPE3)*(TYPE3&lt;&gt;"")+('Dvd Calendar'!$U$1209=TYPE4)*(TYPE4&lt;&gt;"")+('Dvd Calendar'!$U$1209=SPECIAL_LBL)*(INC_SPECIALS="Y"))=0,"",'Dvd Calendar'!$U$1207)))</f>
        <v/>
      </c>
      <c r="T124" s="110">
        <f>IF(EV124="","",IF(ISNUMBER('Dvd Calendar'!$V$1207)=FALSE,"",IF((('Dvd Calendar'!$V$1209=TYPE1)*(TYPE1&lt;&gt;"")+('Dvd Calendar'!$V$1209=TYPE2)*(TYPE2&lt;&gt;"")+('Dvd Calendar'!$V$1209=TYPE3)*(TYPE3&lt;&gt;"")+('Dvd Calendar'!$V$1209=TYPE4)*(TYPE4&lt;&gt;"")+('Dvd Calendar'!$V$1209=SPECIAL_LBL)*(INC_SPECIALS="Y"))=0,"",'Dvd Calendar'!$V$1207)))</f>
        <v/>
      </c>
      <c r="U124" s="110">
        <f>IF(EW124="","",IF(ISNUMBER('Dvd Calendar'!$W$1207)=FALSE,"",IF((('Dvd Calendar'!$W$1209=TYPE1)*(TYPE1&lt;&gt;"")+('Dvd Calendar'!$W$1209=TYPE2)*(TYPE2&lt;&gt;"")+('Dvd Calendar'!$W$1209=TYPE3)*(TYPE3&lt;&gt;"")+('Dvd Calendar'!$W$1209=TYPE4)*(TYPE4&lt;&gt;"")+('Dvd Calendar'!$W$1209=SPECIAL_LBL)*(INC_SPECIALS="Y"))=0,"",'Dvd Calendar'!$W$1207)))</f>
        <v/>
      </c>
      <c r="V124" s="110">
        <f>IF(EX124="","",IF(ISNUMBER('Dvd Calendar'!$X$1207)=FALSE,"",IF((('Dvd Calendar'!$X$1209=TYPE1)*(TYPE1&lt;&gt;"")+('Dvd Calendar'!$X$1209=TYPE2)*(TYPE2&lt;&gt;"")+('Dvd Calendar'!$X$1209=TYPE3)*(TYPE3&lt;&gt;"")+('Dvd Calendar'!$X$1209=TYPE4)*(TYPE4&lt;&gt;"")+('Dvd Calendar'!$X$1209=SPECIAL_LBL)*(INC_SPECIALS="Y"))=0,"",'Dvd Calendar'!$X$1207)))</f>
        <v/>
      </c>
      <c r="W124" s="110">
        <f>IF(EY124="","",IF(ISNUMBER('Dvd Calendar'!$Y$1207)=FALSE,"",IF((('Dvd Calendar'!$Y$1209=TYPE1)*(TYPE1&lt;&gt;"")+('Dvd Calendar'!$Y$1209=TYPE2)*(TYPE2&lt;&gt;"")+('Dvd Calendar'!$Y$1209=TYPE3)*(TYPE3&lt;&gt;"")+('Dvd Calendar'!$Y$1209=TYPE4)*(TYPE4&lt;&gt;"")+('Dvd Calendar'!$Y$1209=SPECIAL_LBL)*(INC_SPECIALS="Y"))=0,"",'Dvd Calendar'!$Y$1207)))</f>
        <v/>
      </c>
      <c r="X124" s="110">
        <f>IF(EZ124="","",IF(ISNUMBER('Dvd Calendar'!$Z$1207)=FALSE,"",IF((('Dvd Calendar'!$Z$1209=TYPE1)*(TYPE1&lt;&gt;"")+('Dvd Calendar'!$Z$1209=TYPE2)*(TYPE2&lt;&gt;"")+('Dvd Calendar'!$Z$1209=TYPE3)*(TYPE3&lt;&gt;"")+('Dvd Calendar'!$Z$1209=TYPE4)*(TYPE4&lt;&gt;"")+('Dvd Calendar'!$Z$1209=SPECIAL_LBL)*(INC_SPECIALS="Y"))=0,"",'Dvd Calendar'!$Z$1207)))</f>
        <v/>
      </c>
      <c r="Y124" s="110">
        <f>IF(FA124="","",IF(ISNUMBER('Dvd Calendar'!$AA$1207)=FALSE,"",IF((('Dvd Calendar'!$AA$1209=TYPE1)*(TYPE1&lt;&gt;"")+('Dvd Calendar'!$AA$1209=TYPE2)*(TYPE2&lt;&gt;"")+('Dvd Calendar'!$AA$1209=TYPE3)*(TYPE3&lt;&gt;"")+('Dvd Calendar'!$AA$1209=TYPE4)*(TYPE4&lt;&gt;"")+('Dvd Calendar'!$AA$1209=SPECIAL_LBL)*(INC_SPECIALS="Y"))=0,"",'Dvd Calendar'!$AA$1207)))</f>
        <v/>
      </c>
      <c r="Z124" s="110">
        <f>IF(FB124="","",IF(ISNUMBER('Dvd Calendar'!$AB$1207)=FALSE,"",IF((('Dvd Calendar'!$AB$1209=TYPE1)*(TYPE1&lt;&gt;"")+('Dvd Calendar'!$AB$1209=TYPE2)*(TYPE2&lt;&gt;"")+('Dvd Calendar'!$AB$1209=TYPE3)*(TYPE3&lt;&gt;"")+('Dvd Calendar'!$AB$1209=TYPE4)*(TYPE4&lt;&gt;"")+('Dvd Calendar'!$AB$1209=SPECIAL_LBL)*(INC_SPECIALS="Y"))=0,"",'Dvd Calendar'!$AB$1207)))</f>
        <v/>
      </c>
      <c r="AA124" s="110">
        <f>IF(FC124="","",IF(ISNUMBER('Dvd Calendar'!$AC$1207)=FALSE,"",IF((('Dvd Calendar'!$AC$1209=TYPE1)*(TYPE1&lt;&gt;"")+('Dvd Calendar'!$AC$1209=TYPE2)*(TYPE2&lt;&gt;"")+('Dvd Calendar'!$AC$1209=TYPE3)*(TYPE3&lt;&gt;"")+('Dvd Calendar'!$AC$1209=TYPE4)*(TYPE4&lt;&gt;"")+('Dvd Calendar'!$AC$1209=SPECIAL_LBL)*(INC_SPECIALS="Y"))=0,"",'Dvd Calendar'!$AC$1207)))</f>
        <v/>
      </c>
      <c r="AB124" s="110">
        <f>IF(FD124="","",IF(ISNUMBER('Dvd Calendar'!$AD$1207)=FALSE,"",IF((('Dvd Calendar'!$AD$1209=TYPE1)*(TYPE1&lt;&gt;"")+('Dvd Calendar'!$AD$1209=TYPE2)*(TYPE2&lt;&gt;"")+('Dvd Calendar'!$AD$1209=TYPE3)*(TYPE3&lt;&gt;"")+('Dvd Calendar'!$AD$1209=TYPE4)*(TYPE4&lt;&gt;"")+('Dvd Calendar'!$AD$1209=SPECIAL_LBL)*(INC_SPECIALS="Y"))=0,"",'Dvd Calendar'!$AD$1207)))</f>
        <v/>
      </c>
      <c r="AC124" s="110">
        <f>IF(FE124="","",IF(ISNUMBER('Dvd Calendar'!$AE$1207)=FALSE,"",IF((('Dvd Calendar'!$AE$1209=TYPE1)*(TYPE1&lt;&gt;"")+('Dvd Calendar'!$AE$1209=TYPE2)*(TYPE2&lt;&gt;"")+('Dvd Calendar'!$AE$1209=TYPE3)*(TYPE3&lt;&gt;"")+('Dvd Calendar'!$AE$1209=TYPE4)*(TYPE4&lt;&gt;"")+('Dvd Calendar'!$AE$1209=SPECIAL_LBL)*(INC_SPECIALS="Y"))=0,"",'Dvd Calendar'!$AE$1207)))</f>
        <v/>
      </c>
      <c r="AD124" s="110">
        <f>IF(FF124="","",IF(ISNUMBER('Dvd Calendar'!$AF$1207)=FALSE,"",IF((('Dvd Calendar'!$AF$1209=TYPE1)*(TYPE1&lt;&gt;"")+('Dvd Calendar'!$AF$1209=TYPE2)*(TYPE2&lt;&gt;"")+('Dvd Calendar'!$AF$1209=TYPE3)*(TYPE3&lt;&gt;"")+('Dvd Calendar'!$AF$1209=TYPE4)*(TYPE4&lt;&gt;"")+('Dvd Calendar'!$AF$1209=SPECIAL_LBL)*(INC_SPECIALS="Y"))=0,"",'Dvd Calendar'!$AF$1207)))</f>
        <v/>
      </c>
      <c r="AE124" s="110">
        <f>IF(FG124="","",IF(ISNUMBER('Dvd Calendar'!$AG$1207)=FALSE,"",IF((('Dvd Calendar'!$AG$1209=TYPE1)*(TYPE1&lt;&gt;"")+('Dvd Calendar'!$AG$1209=TYPE2)*(TYPE2&lt;&gt;"")+('Dvd Calendar'!$AG$1209=TYPE3)*(TYPE3&lt;&gt;"")+('Dvd Calendar'!$AG$1209=TYPE4)*(TYPE4&lt;&gt;"")+('Dvd Calendar'!$AG$1209=SPECIAL_LBL)*(INC_SPECIALS="Y"))=0,"",'Dvd Calendar'!$AG$1207)))</f>
        <v/>
      </c>
      <c r="AF124" s="110">
        <f>IF(FH124="","",IF(ISNUMBER('Dvd Calendar'!$AH$1207)=FALSE,"",IF((('Dvd Calendar'!$AH$1209=TYPE1)*(TYPE1&lt;&gt;"")+('Dvd Calendar'!$AH$1209=TYPE2)*(TYPE2&lt;&gt;"")+('Dvd Calendar'!$AH$1209=TYPE3)*(TYPE3&lt;&gt;"")+('Dvd Calendar'!$AH$1209=TYPE4)*(TYPE4&lt;&gt;"")+('Dvd Calendar'!$AH$1209=SPECIAL_LBL)*(INC_SPECIALS="Y"))=0,"",'Dvd Calendar'!$AH$1207)))</f>
        <v/>
      </c>
      <c r="AG124" s="110">
        <f>IF(FI124="","",IF(ISNUMBER('Dvd Calendar'!$AI$1207)=FALSE,"",IF((('Dvd Calendar'!$AI$1209=TYPE1)*(TYPE1&lt;&gt;"")+('Dvd Calendar'!$AI$1209=TYPE2)*(TYPE2&lt;&gt;"")+('Dvd Calendar'!$AI$1209=TYPE3)*(TYPE3&lt;&gt;"")+('Dvd Calendar'!$AI$1209=TYPE4)*(TYPE4&lt;&gt;"")+('Dvd Calendar'!$AI$1209=SPECIAL_LBL)*(INC_SPECIALS="Y"))=0,"",'Dvd Calendar'!$AI$1207)))</f>
        <v/>
      </c>
      <c r="AH124" s="110">
        <f>IF(FJ124="","",IF(ISNUMBER('Dvd Calendar'!$AJ$1207)=FALSE,"",IF((('Dvd Calendar'!$AJ$1209=TYPE1)*(TYPE1&lt;&gt;"")+('Dvd Calendar'!$AJ$1209=TYPE2)*(TYPE2&lt;&gt;"")+('Dvd Calendar'!$AJ$1209=TYPE3)*(TYPE3&lt;&gt;"")+('Dvd Calendar'!$AJ$1209=TYPE4)*(TYPE4&lt;&gt;"")+('Dvd Calendar'!$AJ$1209=SPECIAL_LBL)*(INC_SPECIALS="Y"))=0,"",'Dvd Calendar'!$AJ$1207)))</f>
        <v/>
      </c>
      <c r="AI124" s="110">
        <f>IF(FK124="","",IF(ISNUMBER('Dvd Calendar'!$AK$1207)=FALSE,"",IF((('Dvd Calendar'!$AK$1209=TYPE1)*(TYPE1&lt;&gt;"")+('Dvd Calendar'!$AK$1209=TYPE2)*(TYPE2&lt;&gt;"")+('Dvd Calendar'!$AK$1209=TYPE3)*(TYPE3&lt;&gt;"")+('Dvd Calendar'!$AK$1209=TYPE4)*(TYPE4&lt;&gt;"")+('Dvd Calendar'!$AK$1209=SPECIAL_LBL)*(INC_SPECIALS="Y"))=0,"",'Dvd Calendar'!$AK$1207)))</f>
        <v/>
      </c>
      <c r="AJ124" s="110">
        <f>IF(FL124="","",IF(ISNUMBER('Dvd Calendar'!$AL$1207)=FALSE,"",IF((('Dvd Calendar'!$AL$1209=TYPE1)*(TYPE1&lt;&gt;"")+('Dvd Calendar'!$AL$1209=TYPE2)*(TYPE2&lt;&gt;"")+('Dvd Calendar'!$AL$1209=TYPE3)*(TYPE3&lt;&gt;"")+('Dvd Calendar'!$AL$1209=TYPE4)*(TYPE4&lt;&gt;"")+('Dvd Calendar'!$AL$1209=SPECIAL_LBL)*(INC_SPECIALS="Y"))=0,"",'Dvd Calendar'!$AL$1207)))</f>
        <v/>
      </c>
      <c r="AK124" s="110">
        <f>IF(FM124="","",IF(ISNUMBER('Dvd Calendar'!$AM$1207)=FALSE,"",IF((('Dvd Calendar'!$AM$1209=TYPE1)*(TYPE1&lt;&gt;"")+('Dvd Calendar'!$AM$1209=TYPE2)*(TYPE2&lt;&gt;"")+('Dvd Calendar'!$AM$1209=TYPE3)*(TYPE3&lt;&gt;"")+('Dvd Calendar'!$AM$1209=TYPE4)*(TYPE4&lt;&gt;"")+('Dvd Calendar'!$AM$1209=SPECIAL_LBL)*(INC_SPECIALS="Y"))=0,"",'Dvd Calendar'!$AM$1207)))</f>
        <v/>
      </c>
      <c r="AL124" s="110">
        <f>IF(FN124="","",IF(ISNUMBER('Dvd Calendar'!$AN$1207)=FALSE,"",IF((('Dvd Calendar'!$AN$1209=TYPE1)*(TYPE1&lt;&gt;"")+('Dvd Calendar'!$AN$1209=TYPE2)*(TYPE2&lt;&gt;"")+('Dvd Calendar'!$AN$1209=TYPE3)*(TYPE3&lt;&gt;"")+('Dvd Calendar'!$AN$1209=TYPE4)*(TYPE4&lt;&gt;"")+('Dvd Calendar'!$AN$1209=SPECIAL_LBL)*(INC_SPECIALS="Y"))=0,"",'Dvd Calendar'!$AN$1207)))</f>
        <v/>
      </c>
      <c r="AM124" s="110">
        <f>IF(FO124="","",IF(ISNUMBER('Dvd Calendar'!$AO$1207)=FALSE,"",IF((('Dvd Calendar'!$AO$1209=TYPE1)*(TYPE1&lt;&gt;"")+('Dvd Calendar'!$AO$1209=TYPE2)*(TYPE2&lt;&gt;"")+('Dvd Calendar'!$AO$1209=TYPE3)*(TYPE3&lt;&gt;"")+('Dvd Calendar'!$AO$1209=TYPE4)*(TYPE4&lt;&gt;"")+('Dvd Calendar'!$AO$1209=SPECIAL_LBL)*(INC_SPECIALS="Y"))=0,"",'Dvd Calendar'!$AO$1207)))</f>
        <v/>
      </c>
      <c r="AN124" s="110">
        <f>IF(FP124="","",IF(ISNUMBER('Dvd Calendar'!$AP$1207)=FALSE,"",IF((('Dvd Calendar'!$AP$1209=TYPE1)*(TYPE1&lt;&gt;"")+('Dvd Calendar'!$AP$1209=TYPE2)*(TYPE2&lt;&gt;"")+('Dvd Calendar'!$AP$1209=TYPE3)*(TYPE3&lt;&gt;"")+('Dvd Calendar'!$AP$1209=TYPE4)*(TYPE4&lt;&gt;"")+('Dvd Calendar'!$AP$1209=SPECIAL_LBL)*(INC_SPECIALS="Y"))=0,"",'Dvd Calendar'!$AP$1207)))</f>
        <v/>
      </c>
      <c r="AO124" s="110">
        <f>IF(FQ124="","",IF(ISNUMBER('Dvd Calendar'!$AQ$1207)=FALSE,"",IF((('Dvd Calendar'!$AQ$1209=TYPE1)*(TYPE1&lt;&gt;"")+('Dvd Calendar'!$AQ$1209=TYPE2)*(TYPE2&lt;&gt;"")+('Dvd Calendar'!$AQ$1209=TYPE3)*(TYPE3&lt;&gt;"")+('Dvd Calendar'!$AQ$1209=TYPE4)*(TYPE4&lt;&gt;"")+('Dvd Calendar'!$AQ$1209=SPECIAL_LBL)*(INC_SPECIALS="Y"))=0,"",'Dvd Calendar'!$AQ$1207)))</f>
        <v/>
      </c>
      <c r="AP124" s="110">
        <f>IF(FR124="","",IF(ISNUMBER('Dvd Calendar'!$AR$1207)=FALSE,"",IF((('Dvd Calendar'!$AR$1209=TYPE1)*(TYPE1&lt;&gt;"")+('Dvd Calendar'!$AR$1209=TYPE2)*(TYPE2&lt;&gt;"")+('Dvd Calendar'!$AR$1209=TYPE3)*(TYPE3&lt;&gt;"")+('Dvd Calendar'!$AR$1209=TYPE4)*(TYPE4&lt;&gt;"")+('Dvd Calendar'!$AR$1209=SPECIAL_LBL)*(INC_SPECIALS="Y"))=0,"",'Dvd Calendar'!$AR$1207)))</f>
        <v/>
      </c>
      <c r="AQ124" s="110">
        <f>IF(FS124="","",IF(ISNUMBER('Dvd Calendar'!$E$1212)=FALSE,"",'Dvd Calendar'!$E$1212))</f>
        <v/>
      </c>
      <c r="AR124" s="110">
        <f>IF(FT124="","",IF(ISNUMBER('Dvd Calendar'!$F$1212)=FALSE,"",'Dvd Calendar'!$F$1212))</f>
        <v/>
      </c>
      <c r="AS124" s="110">
        <f>IF(FU124="","",IF(ISNUMBER('Dvd Calendar'!$G$1212)=FALSE,"",'Dvd Calendar'!$G$1212))</f>
        <v/>
      </c>
      <c r="AT124" s="110">
        <f>IF(FV124="","",IF(ISNUMBER('Dvd Calendar'!$H$1212)=FALSE,"",'Dvd Calendar'!$H$1212))</f>
        <v/>
      </c>
      <c r="AU124" s="110">
        <f>IF(FW124="","",IF(ISNUMBER('Dvd Calendar'!$I$1212)=FALSE,"",'Dvd Calendar'!$I$1212))</f>
        <v/>
      </c>
      <c r="AV124" s="110">
        <f>IF(FX124="","",IF(ISNUMBER('Dvd Calendar'!$J$1212)=FALSE,"",'Dvd Calendar'!$J$1212))</f>
        <v/>
      </c>
      <c r="AW124" s="110">
        <f>IF(FY124="","",IF(ISNUMBER('Dvd Calendar'!$K$1212)=FALSE,"",'Dvd Calendar'!$K$1212))</f>
        <v/>
      </c>
      <c r="AX124" s="110">
        <f>IF(FZ124="","",IF(ISNUMBER('Dvd Calendar'!$L$1212)=FALSE,"",'Dvd Calendar'!$L$1212))</f>
        <v/>
      </c>
      <c r="AY124" s="110">
        <f>IF(GA124="","",IF(ISNUMBER('Dvd Calendar'!$M$1212)=FALSE,"",'Dvd Calendar'!$M$1212))</f>
        <v/>
      </c>
      <c r="AZ124" s="110">
        <f>IF(GB124="","",IF(ISNUMBER('Dvd Calendar'!$N$1212)=FALSE,"",'Dvd Calendar'!$N$1212))</f>
        <v/>
      </c>
      <c r="BA124" s="110">
        <f>IF(GC124="","",IF(ISNUMBER('Dvd Calendar'!$O$1212)=FALSE,"",'Dvd Calendar'!$O$1212))</f>
        <v/>
      </c>
      <c r="BB124" s="110">
        <f>IF(GD124="","",IF(ISNUMBER('Dvd Calendar'!$P$1212)=FALSE,"",'Dvd Calendar'!$P$1212))</f>
        <v/>
      </c>
      <c r="BC124" s="110">
        <f>IF(GE124="","",IF(ISNUMBER('Dvd Calendar'!$Q$1212)=FALSE,"",'Dvd Calendar'!$Q$1212))</f>
        <v/>
      </c>
      <c r="BD124" s="110">
        <f>IF(GF124="","",IF(ISNUMBER('Dvd Calendar'!$R$1212)=FALSE,"",'Dvd Calendar'!$R$1212))</f>
        <v/>
      </c>
      <c r="BE124" s="110">
        <f>IF(GG124="","",IF(ISNUMBER('Dvd Calendar'!$S$1212)=FALSE,"",'Dvd Calendar'!$S$1212))</f>
        <v/>
      </c>
      <c r="BF124" s="110">
        <f>IF(GH124="","",IF(ISNUMBER('Dvd Calendar'!$T$1212)=FALSE,"",'Dvd Calendar'!$T$1212))</f>
        <v/>
      </c>
      <c r="BG124" s="110">
        <f>IF(GI124="","",IF(ISNUMBER('Dvd Calendar'!$U$1212)=FALSE,"",'Dvd Calendar'!$U$1212))</f>
        <v/>
      </c>
      <c r="BH124" s="110">
        <f>IF(GJ124="","",IF(ISNUMBER('Dvd Calendar'!$V$1212)=FALSE,"",'Dvd Calendar'!$V$1212))</f>
        <v/>
      </c>
      <c r="BI124" s="110">
        <f>IF(GK124="","",IF(ISNUMBER('Dvd Calendar'!$W$1212)=FALSE,"",'Dvd Calendar'!$W$1212))</f>
        <v/>
      </c>
      <c r="BJ124" s="110">
        <f>IF(GL124="","",IF(ISNUMBER('Dvd Calendar'!$X$1212)=FALSE,"",'Dvd Calendar'!$X$1212))</f>
        <v/>
      </c>
      <c r="BK124" s="110">
        <f>IF(GM124="","",IF(ISNUMBER('Dvd Calendar'!$Y$1212)=FALSE,"",'Dvd Calendar'!$Y$1212))</f>
        <v/>
      </c>
      <c r="BL124" s="110">
        <f>IF(GN124="","",IF(ISNUMBER('Dvd Calendar'!$Z$1212)=FALSE,"",'Dvd Calendar'!$Z$1212))</f>
        <v/>
      </c>
      <c r="BM124" s="110">
        <f>IF(GO124="","",IF(ISNUMBER('Dvd Calendar'!$AA$1212)=FALSE,"",'Dvd Calendar'!$AA$1212))</f>
        <v/>
      </c>
      <c r="BN124" s="110">
        <f>IF(GP124="","",IF(ISNUMBER('Dvd Calendar'!$AB$1212)=FALSE,"",'Dvd Calendar'!$AB$1212))</f>
        <v/>
      </c>
      <c r="BO124" s="110">
        <f>IF(GQ124="","",IF(ISNUMBER('Dvd Calendar'!$AC$1212)=FALSE,"",'Dvd Calendar'!$AC$1212))</f>
        <v/>
      </c>
      <c r="BQ124" s="110">
        <f>IF(C124="","",IFERROR(C124*HSTECH!$B$15*HSTECH!$G$15/HSTECH!$B$3,""))</f>
        <v/>
      </c>
      <c r="BR124" s="110">
        <f>IF(D124="","",IFERROR(D124*HSTECH!$B$15*HSTECH!$G$15/HSTECH!$B$3,""))</f>
        <v/>
      </c>
      <c r="BS124" s="110">
        <f>IF(E124="","",IFERROR(E124*HSTECH!$B$15*HSTECH!$G$15/HSTECH!$B$3,""))</f>
        <v/>
      </c>
      <c r="BT124" s="110">
        <f>IF(F124="","",IFERROR(F124*HSTECH!$B$15*HSTECH!$G$15/HSTECH!$B$3,""))</f>
        <v/>
      </c>
      <c r="BU124" s="110">
        <f>IF(G124="","",IFERROR(G124*HSTECH!$B$15*HSTECH!$G$15/HSTECH!$B$3,""))</f>
        <v/>
      </c>
      <c r="BV124" s="110">
        <f>IF(H124="","",IFERROR(H124*HSTECH!$B$15*HSTECH!$G$15/HSTECH!$B$3,""))</f>
        <v/>
      </c>
      <c r="BW124" s="110">
        <f>IF(I124="","",IFERROR(I124*HSTECH!$B$15*HSTECH!$G$15/HSTECH!$B$3,""))</f>
        <v/>
      </c>
      <c r="BX124" s="110">
        <f>IF(J124="","",IFERROR(J124*HSTECH!$B$15*HSTECH!$G$15/HSTECH!$B$3,""))</f>
        <v/>
      </c>
      <c r="BY124" s="110">
        <f>IF(K124="","",IFERROR(K124*HSTECH!$B$15*HSTECH!$G$15/HSTECH!$B$3,""))</f>
        <v/>
      </c>
      <c r="BZ124" s="110">
        <f>IF(L124="","",IFERROR(L124*HSTECH!$B$15*HSTECH!$G$15/HSTECH!$B$3,""))</f>
        <v/>
      </c>
      <c r="CA124" s="110">
        <f>IF(M124="","",IFERROR(M124*HSTECH!$B$15*HSTECH!$G$15/HSTECH!$B$3,""))</f>
        <v/>
      </c>
      <c r="CB124" s="110">
        <f>IF(N124="","",IFERROR(N124*HSTECH!$B$15*HSTECH!$G$15/HSTECH!$B$3,""))</f>
        <v/>
      </c>
      <c r="CC124" s="110">
        <f>IF(O124="","",IFERROR(O124*HSTECH!$B$15*HSTECH!$G$15/HSTECH!$B$3,""))</f>
        <v/>
      </c>
      <c r="CD124" s="110">
        <f>IF(P124="","",IFERROR(P124*HSTECH!$B$15*HSTECH!$G$15/HSTECH!$B$3,""))</f>
        <v/>
      </c>
      <c r="CE124" s="110">
        <f>IF(Q124="","",IFERROR(Q124*HSTECH!$B$15*HSTECH!$G$15/HSTECH!$B$3,""))</f>
        <v/>
      </c>
      <c r="CF124" s="110">
        <f>IF(R124="","",IFERROR(R124*HSTECH!$B$15*HSTECH!$G$15/HSTECH!$B$3,""))</f>
        <v/>
      </c>
      <c r="CG124" s="110">
        <f>IF(S124="","",IFERROR(S124*HSTECH!$B$15*HSTECH!$G$15/HSTECH!$B$3,""))</f>
        <v/>
      </c>
      <c r="CH124" s="110">
        <f>IF(T124="","",IFERROR(T124*HSTECH!$B$15*HSTECH!$G$15/HSTECH!$B$3,""))</f>
        <v/>
      </c>
      <c r="CI124" s="110">
        <f>IF(U124="","",IFERROR(U124*HSTECH!$B$15*HSTECH!$G$15/HSTECH!$B$3,""))</f>
        <v/>
      </c>
      <c r="CJ124" s="110">
        <f>IF(V124="","",IFERROR(V124*HSTECH!$B$15*HSTECH!$G$15/HSTECH!$B$3,""))</f>
        <v/>
      </c>
      <c r="CK124" s="110">
        <f>IF(W124="","",IFERROR(W124*HSTECH!$B$15*HSTECH!$G$15/HSTECH!$B$3,""))</f>
        <v/>
      </c>
      <c r="CL124" s="110">
        <f>IF(X124="","",IFERROR(X124*HSTECH!$B$15*HSTECH!$G$15/HSTECH!$B$3,""))</f>
        <v/>
      </c>
      <c r="CM124" s="110">
        <f>IF(Y124="","",IFERROR(Y124*HSTECH!$B$15*HSTECH!$G$15/HSTECH!$B$3,""))</f>
        <v/>
      </c>
      <c r="CN124" s="110">
        <f>IF(Z124="","",IFERROR(Z124*HSTECH!$B$15*HSTECH!$G$15/HSTECH!$B$3,""))</f>
        <v/>
      </c>
      <c r="CO124" s="110">
        <f>IF(AA124="","",IFERROR(AA124*HSTECH!$B$15*HSTECH!$G$15/HSTECH!$B$3,""))</f>
        <v/>
      </c>
      <c r="CP124" s="110">
        <f>IF(AB124="","",IFERROR(AB124*HSTECH!$B$15*HSTECH!$G$15/HSTECH!$B$3,""))</f>
        <v/>
      </c>
      <c r="CQ124" s="110">
        <f>IF(AC124="","",IFERROR(AC124*HSTECH!$B$15*HSTECH!$G$15/HSTECH!$B$3,""))</f>
        <v/>
      </c>
      <c r="CR124" s="110">
        <f>IF(AD124="","",IFERROR(AD124*HSTECH!$B$15*HSTECH!$G$15/HSTECH!$B$3,""))</f>
        <v/>
      </c>
      <c r="CS124" s="110">
        <f>IF(AE124="","",IFERROR(AE124*HSTECH!$B$15*HSTECH!$G$15/HSTECH!$B$3,""))</f>
        <v/>
      </c>
      <c r="CT124" s="110">
        <f>IF(AF124="","",IFERROR(AF124*HSTECH!$B$15*HSTECH!$G$15/HSTECH!$B$3,""))</f>
        <v/>
      </c>
      <c r="CU124" s="110">
        <f>IF(AG124="","",IFERROR(AG124*HSTECH!$B$15*HSTECH!$G$15/HSTECH!$B$3,""))</f>
        <v/>
      </c>
      <c r="CV124" s="110">
        <f>IF(AH124="","",IFERROR(AH124*HSTECH!$B$15*HSTECH!$G$15/HSTECH!$B$3,""))</f>
        <v/>
      </c>
      <c r="CW124" s="110">
        <f>IF(AI124="","",IFERROR(AI124*HSTECH!$B$15*HSTECH!$G$15/HSTECH!$B$3,""))</f>
        <v/>
      </c>
      <c r="CX124" s="110">
        <f>IF(AJ124="","",IFERROR(AJ124*HSTECH!$B$15*HSTECH!$G$15/HSTECH!$B$3,""))</f>
        <v/>
      </c>
      <c r="CY124" s="110">
        <f>IF(AK124="","",IFERROR(AK124*HSTECH!$B$15*HSTECH!$G$15/HSTECH!$B$3,""))</f>
        <v/>
      </c>
      <c r="CZ124" s="110">
        <f>IF(AL124="","",IFERROR(AL124*HSTECH!$B$15*HSTECH!$G$15/HSTECH!$B$3,""))</f>
        <v/>
      </c>
      <c r="DA124" s="110">
        <f>IF(AM124="","",IFERROR(AM124*HSTECH!$B$15*HSTECH!$G$15/HSTECH!$B$3,""))</f>
        <v/>
      </c>
      <c r="DB124" s="110">
        <f>IF(AN124="","",IFERROR(AN124*HSTECH!$B$15*HSTECH!$G$15/HSTECH!$B$3,""))</f>
        <v/>
      </c>
      <c r="DC124" s="110">
        <f>IF(AO124="","",IFERROR(AO124*HSTECH!$B$15*HSTECH!$G$15/HSTECH!$B$3,""))</f>
        <v/>
      </c>
      <c r="DD124" s="110">
        <f>IF(AP124="","",IFERROR(AP124*HSTECH!$B$15*HSTECH!$G$15/HSTECH!$B$3,""))</f>
        <v/>
      </c>
      <c r="DE124" s="110">
        <f>IF(AQ124="","",IFERROR(AQ124*HSTECH!$B$15*HSTECH!$G$15/HSTECH!$B$3,""))</f>
        <v/>
      </c>
      <c r="DF124" s="110">
        <f>IF(AR124="","",IFERROR(AR124*HSTECH!$B$15*HSTECH!$G$15/HSTECH!$B$3,""))</f>
        <v/>
      </c>
      <c r="DG124" s="110">
        <f>IF(AS124="","",IFERROR(AS124*HSTECH!$B$15*HSTECH!$G$15/HSTECH!$B$3,""))</f>
        <v/>
      </c>
      <c r="DH124" s="110">
        <f>IF(AT124="","",IFERROR(AT124*HSTECH!$B$15*HSTECH!$G$15/HSTECH!$B$3,""))</f>
        <v/>
      </c>
      <c r="DI124" s="110">
        <f>IF(AU124="","",IFERROR(AU124*HSTECH!$B$15*HSTECH!$G$15/HSTECH!$B$3,""))</f>
        <v/>
      </c>
      <c r="DJ124" s="110">
        <f>IF(AV124="","",IFERROR(AV124*HSTECH!$B$15*HSTECH!$G$15/HSTECH!$B$3,""))</f>
        <v/>
      </c>
      <c r="DK124" s="110">
        <f>IF(AW124="","",IFERROR(AW124*HSTECH!$B$15*HSTECH!$G$15/HSTECH!$B$3,""))</f>
        <v/>
      </c>
      <c r="DL124" s="110">
        <f>IF(AX124="","",IFERROR(AX124*HSTECH!$B$15*HSTECH!$G$15/HSTECH!$B$3,""))</f>
        <v/>
      </c>
      <c r="DM124" s="110">
        <f>IF(AY124="","",IFERROR(AY124*HSTECH!$B$15*HSTECH!$G$15/HSTECH!$B$3,""))</f>
        <v/>
      </c>
      <c r="DN124" s="110">
        <f>IF(AZ124="","",IFERROR(AZ124*HSTECH!$B$15*HSTECH!$G$15/HSTECH!$B$3,""))</f>
        <v/>
      </c>
      <c r="DO124" s="110">
        <f>IF(BA124="","",IFERROR(BA124*HSTECH!$B$15*HSTECH!$G$15/HSTECH!$B$3,""))</f>
        <v/>
      </c>
      <c r="DP124" s="110">
        <f>IF(BB124="","",IFERROR(BB124*HSTECH!$B$15*HSTECH!$G$15/HSTECH!$B$3,""))</f>
        <v/>
      </c>
      <c r="DQ124" s="110">
        <f>IF(BC124="","",IFERROR(BC124*HSTECH!$B$15*HSTECH!$G$15/HSTECH!$B$3,""))</f>
        <v/>
      </c>
      <c r="DR124" s="110">
        <f>IF(BD124="","",IFERROR(BD124*HSTECH!$B$15*HSTECH!$G$15/HSTECH!$B$3,""))</f>
        <v/>
      </c>
      <c r="DS124" s="110">
        <f>IF(BE124="","",IFERROR(BE124*HSTECH!$B$15*HSTECH!$G$15/HSTECH!$B$3,""))</f>
        <v/>
      </c>
      <c r="DT124" s="110">
        <f>IF(BF124="","",IFERROR(BF124*HSTECH!$B$15*HSTECH!$G$15/HSTECH!$B$3,""))</f>
        <v/>
      </c>
      <c r="DU124" s="110">
        <f>IF(BG124="","",IFERROR(BG124*HSTECH!$B$15*HSTECH!$G$15/HSTECH!$B$3,""))</f>
        <v/>
      </c>
      <c r="DV124" s="110">
        <f>IF(BH124="","",IFERROR(BH124*HSTECH!$B$15*HSTECH!$G$15/HSTECH!$B$3,""))</f>
        <v/>
      </c>
      <c r="DW124" s="110">
        <f>IF(BI124="","",IFERROR(BI124*HSTECH!$B$15*HSTECH!$G$15/HSTECH!$B$3,""))</f>
        <v/>
      </c>
      <c r="DX124" s="110">
        <f>IF(BJ124="","",IFERROR(BJ124*HSTECH!$B$15*HSTECH!$G$15/HSTECH!$B$3,""))</f>
        <v/>
      </c>
      <c r="DY124" s="110">
        <f>IF(BK124="","",IFERROR(BK124*HSTECH!$B$15*HSTECH!$G$15/HSTECH!$B$3,""))</f>
        <v/>
      </c>
      <c r="DZ124" s="110">
        <f>IF(BL124="","",IFERROR(BL124*HSTECH!$B$15*HSTECH!$G$15/HSTECH!$B$3,""))</f>
        <v/>
      </c>
      <c r="EA124" s="110">
        <f>IF(BM124="","",IFERROR(BM124*HSTECH!$B$15*HSTECH!$G$15/HSTECH!$B$3,""))</f>
        <v/>
      </c>
      <c r="EB124" s="110">
        <f>IF(BN124="","",IFERROR(BN124*HSTECH!$B$15*HSTECH!$G$15/HSTECH!$B$3,""))</f>
        <v/>
      </c>
      <c r="EC124" s="110">
        <f>IF(BO124="","",IFERROR(BO124*HSTECH!$B$15*HSTECH!$G$15/HSTECH!$B$3,""))</f>
        <v/>
      </c>
      <c r="EE124" s="39">
        <f>IF(N('Dvd Calendar'!$E$1204)=0,"",IF(('Dvd Calendar'!$E$1204&gt;=GRID_FROM)*('Dvd Calendar'!$E$1204&lt;=GRID_TO)*((('Dvd Calendar'!$E$1204&lt;=VAL_DATE)+(COUNTIF('Dvd Calendar'!$E$1211:$AR$1211,'Dvd Calendar'!$E$1204)=0))&gt;0)=0,"",'Dvd Calendar'!$E$1204*1000000000+ISNUMBER('Dvd Calendar'!$E$1207)*100000000+('Dvd Calendar'!$E$1209=SPECIAL_LBL)*10000000+(N('Dvd Calendar'!$E$1203)&gt;0)*(N('Dvd Calendar'!$E$1203)&lt;=VAL_SERIAL)*1000000+9*1000+1))</f>
        <v/>
      </c>
      <c r="EF124" s="39">
        <f>IF(N('Dvd Calendar'!$F$1204)=0,"",IF(('Dvd Calendar'!$F$1204&gt;=GRID_FROM)*('Dvd Calendar'!$F$1204&lt;=GRID_TO)*((('Dvd Calendar'!$F$1204&lt;=VAL_DATE)+(COUNTIF('Dvd Calendar'!$E$1211:$AR$1211,'Dvd Calendar'!$F$1204)=0))&gt;0)=0,"",'Dvd Calendar'!$F$1204*1000000000+ISNUMBER('Dvd Calendar'!$F$1207)*100000000+('Dvd Calendar'!$F$1209=SPECIAL_LBL)*10000000+(N('Dvd Calendar'!$F$1203)&gt;0)*(N('Dvd Calendar'!$F$1203)&lt;=VAL_SERIAL)*1000000+9*1000+2))</f>
        <v/>
      </c>
      <c r="EG124" s="39">
        <f>IF(N('Dvd Calendar'!$G$1204)=0,"",IF(('Dvd Calendar'!$G$1204&gt;=GRID_FROM)*('Dvd Calendar'!$G$1204&lt;=GRID_TO)*((('Dvd Calendar'!$G$1204&lt;=VAL_DATE)+(COUNTIF('Dvd Calendar'!$E$1211:$AR$1211,'Dvd Calendar'!$G$1204)=0))&gt;0)=0,"",'Dvd Calendar'!$G$1204*1000000000+ISNUMBER('Dvd Calendar'!$G$1207)*100000000+('Dvd Calendar'!$G$1209=SPECIAL_LBL)*10000000+(N('Dvd Calendar'!$G$1203)&gt;0)*(N('Dvd Calendar'!$G$1203)&lt;=VAL_SERIAL)*1000000+9*1000+3))</f>
        <v/>
      </c>
      <c r="EH124" s="39">
        <f>IF(N('Dvd Calendar'!$H$1204)=0,"",IF(('Dvd Calendar'!$H$1204&gt;=GRID_FROM)*('Dvd Calendar'!$H$1204&lt;=GRID_TO)*((('Dvd Calendar'!$H$1204&lt;=VAL_DATE)+(COUNTIF('Dvd Calendar'!$E$1211:$AR$1211,'Dvd Calendar'!$H$1204)=0))&gt;0)=0,"",'Dvd Calendar'!$H$1204*1000000000+ISNUMBER('Dvd Calendar'!$H$1207)*100000000+('Dvd Calendar'!$H$1209=SPECIAL_LBL)*10000000+(N('Dvd Calendar'!$H$1203)&gt;0)*(N('Dvd Calendar'!$H$1203)&lt;=VAL_SERIAL)*1000000+9*1000+4))</f>
        <v/>
      </c>
      <c r="EI124" s="39">
        <f>IF(N('Dvd Calendar'!$I$1204)=0,"",IF(('Dvd Calendar'!$I$1204&gt;=GRID_FROM)*('Dvd Calendar'!$I$1204&lt;=GRID_TO)*((('Dvd Calendar'!$I$1204&lt;=VAL_DATE)+(COUNTIF('Dvd Calendar'!$E$1211:$AR$1211,'Dvd Calendar'!$I$1204)=0))&gt;0)=0,"",'Dvd Calendar'!$I$1204*1000000000+ISNUMBER('Dvd Calendar'!$I$1207)*100000000+('Dvd Calendar'!$I$1209=SPECIAL_LBL)*10000000+(N('Dvd Calendar'!$I$1203)&gt;0)*(N('Dvd Calendar'!$I$1203)&lt;=VAL_SERIAL)*1000000+9*1000+5))</f>
        <v/>
      </c>
      <c r="EJ124" s="39">
        <f>IF(N('Dvd Calendar'!$J$1204)=0,"",IF(('Dvd Calendar'!$J$1204&gt;=GRID_FROM)*('Dvd Calendar'!$J$1204&lt;=GRID_TO)*((('Dvd Calendar'!$J$1204&lt;=VAL_DATE)+(COUNTIF('Dvd Calendar'!$E$1211:$AR$1211,'Dvd Calendar'!$J$1204)=0))&gt;0)=0,"",'Dvd Calendar'!$J$1204*1000000000+ISNUMBER('Dvd Calendar'!$J$1207)*100000000+('Dvd Calendar'!$J$1209=SPECIAL_LBL)*10000000+(N('Dvd Calendar'!$J$1203)&gt;0)*(N('Dvd Calendar'!$J$1203)&lt;=VAL_SERIAL)*1000000+9*1000+6))</f>
        <v/>
      </c>
      <c r="EK124" s="39">
        <f>IF(N('Dvd Calendar'!$K$1204)=0,"",IF(('Dvd Calendar'!$K$1204&gt;=GRID_FROM)*('Dvd Calendar'!$K$1204&lt;=GRID_TO)*((('Dvd Calendar'!$K$1204&lt;=VAL_DATE)+(COUNTIF('Dvd Calendar'!$E$1211:$AR$1211,'Dvd Calendar'!$K$1204)=0))&gt;0)=0,"",'Dvd Calendar'!$K$1204*1000000000+ISNUMBER('Dvd Calendar'!$K$1207)*100000000+('Dvd Calendar'!$K$1209=SPECIAL_LBL)*10000000+(N('Dvd Calendar'!$K$1203)&gt;0)*(N('Dvd Calendar'!$K$1203)&lt;=VAL_SERIAL)*1000000+9*1000+7))</f>
        <v/>
      </c>
      <c r="EL124" s="39">
        <f>IF(N('Dvd Calendar'!$L$1204)=0,"",IF(('Dvd Calendar'!$L$1204&gt;=GRID_FROM)*('Dvd Calendar'!$L$1204&lt;=GRID_TO)*((('Dvd Calendar'!$L$1204&lt;=VAL_DATE)+(COUNTIF('Dvd Calendar'!$E$1211:$AR$1211,'Dvd Calendar'!$L$1204)=0))&gt;0)=0,"",'Dvd Calendar'!$L$1204*1000000000+ISNUMBER('Dvd Calendar'!$L$1207)*100000000+('Dvd Calendar'!$L$1209=SPECIAL_LBL)*10000000+(N('Dvd Calendar'!$L$1203)&gt;0)*(N('Dvd Calendar'!$L$1203)&lt;=VAL_SERIAL)*1000000+9*1000+8))</f>
        <v/>
      </c>
      <c r="EM124" s="39">
        <f>IF(N('Dvd Calendar'!$M$1204)=0,"",IF(('Dvd Calendar'!$M$1204&gt;=GRID_FROM)*('Dvd Calendar'!$M$1204&lt;=GRID_TO)*((('Dvd Calendar'!$M$1204&lt;=VAL_DATE)+(COUNTIF('Dvd Calendar'!$E$1211:$AR$1211,'Dvd Calendar'!$M$1204)=0))&gt;0)=0,"",'Dvd Calendar'!$M$1204*1000000000+ISNUMBER('Dvd Calendar'!$M$1207)*100000000+('Dvd Calendar'!$M$1209=SPECIAL_LBL)*10000000+(N('Dvd Calendar'!$M$1203)&gt;0)*(N('Dvd Calendar'!$M$1203)&lt;=VAL_SERIAL)*1000000+9*1000+9))</f>
        <v/>
      </c>
      <c r="EN124" s="39">
        <f>IF(N('Dvd Calendar'!$N$1204)=0,"",IF(('Dvd Calendar'!$N$1204&gt;=GRID_FROM)*('Dvd Calendar'!$N$1204&lt;=GRID_TO)*((('Dvd Calendar'!$N$1204&lt;=VAL_DATE)+(COUNTIF('Dvd Calendar'!$E$1211:$AR$1211,'Dvd Calendar'!$N$1204)=0))&gt;0)=0,"",'Dvd Calendar'!$N$1204*1000000000+ISNUMBER('Dvd Calendar'!$N$1207)*100000000+('Dvd Calendar'!$N$1209=SPECIAL_LBL)*10000000+(N('Dvd Calendar'!$N$1203)&gt;0)*(N('Dvd Calendar'!$N$1203)&lt;=VAL_SERIAL)*1000000+9*1000+10))</f>
        <v/>
      </c>
      <c r="EO124" s="39">
        <f>IF(N('Dvd Calendar'!$O$1204)=0,"",IF(('Dvd Calendar'!$O$1204&gt;=GRID_FROM)*('Dvd Calendar'!$O$1204&lt;=GRID_TO)*((('Dvd Calendar'!$O$1204&lt;=VAL_DATE)+(COUNTIF('Dvd Calendar'!$E$1211:$AR$1211,'Dvd Calendar'!$O$1204)=0))&gt;0)=0,"",'Dvd Calendar'!$O$1204*1000000000+ISNUMBER('Dvd Calendar'!$O$1207)*100000000+('Dvd Calendar'!$O$1209=SPECIAL_LBL)*10000000+(N('Dvd Calendar'!$O$1203)&gt;0)*(N('Dvd Calendar'!$O$1203)&lt;=VAL_SERIAL)*1000000+9*1000+11))</f>
        <v/>
      </c>
      <c r="EP124" s="39">
        <f>IF(N('Dvd Calendar'!$P$1204)=0,"",IF(('Dvd Calendar'!$P$1204&gt;=GRID_FROM)*('Dvd Calendar'!$P$1204&lt;=GRID_TO)*((('Dvd Calendar'!$P$1204&lt;=VAL_DATE)+(COUNTIF('Dvd Calendar'!$E$1211:$AR$1211,'Dvd Calendar'!$P$1204)=0))&gt;0)=0,"",'Dvd Calendar'!$P$1204*1000000000+ISNUMBER('Dvd Calendar'!$P$1207)*100000000+('Dvd Calendar'!$P$1209=SPECIAL_LBL)*10000000+(N('Dvd Calendar'!$P$1203)&gt;0)*(N('Dvd Calendar'!$P$1203)&lt;=VAL_SERIAL)*1000000+9*1000+12))</f>
        <v/>
      </c>
      <c r="EQ124" s="39">
        <f>IF(N('Dvd Calendar'!$Q$1204)=0,"",IF(('Dvd Calendar'!$Q$1204&gt;=GRID_FROM)*('Dvd Calendar'!$Q$1204&lt;=GRID_TO)*((('Dvd Calendar'!$Q$1204&lt;=VAL_DATE)+(COUNTIF('Dvd Calendar'!$E$1211:$AR$1211,'Dvd Calendar'!$Q$1204)=0))&gt;0)=0,"",'Dvd Calendar'!$Q$1204*1000000000+ISNUMBER('Dvd Calendar'!$Q$1207)*100000000+('Dvd Calendar'!$Q$1209=SPECIAL_LBL)*10000000+(N('Dvd Calendar'!$Q$1203)&gt;0)*(N('Dvd Calendar'!$Q$1203)&lt;=VAL_SERIAL)*1000000+9*1000+13))</f>
        <v/>
      </c>
      <c r="ER124" s="39">
        <f>IF(N('Dvd Calendar'!$R$1204)=0,"",IF(('Dvd Calendar'!$R$1204&gt;=GRID_FROM)*('Dvd Calendar'!$R$1204&lt;=GRID_TO)*((('Dvd Calendar'!$R$1204&lt;=VAL_DATE)+(COUNTIF('Dvd Calendar'!$E$1211:$AR$1211,'Dvd Calendar'!$R$1204)=0))&gt;0)=0,"",'Dvd Calendar'!$R$1204*1000000000+ISNUMBER('Dvd Calendar'!$R$1207)*100000000+('Dvd Calendar'!$R$1209=SPECIAL_LBL)*10000000+(N('Dvd Calendar'!$R$1203)&gt;0)*(N('Dvd Calendar'!$R$1203)&lt;=VAL_SERIAL)*1000000+9*1000+14))</f>
        <v/>
      </c>
      <c r="ES124" s="39">
        <f>IF(N('Dvd Calendar'!$S$1204)=0,"",IF(('Dvd Calendar'!$S$1204&gt;=GRID_FROM)*('Dvd Calendar'!$S$1204&lt;=GRID_TO)*((('Dvd Calendar'!$S$1204&lt;=VAL_DATE)+(COUNTIF('Dvd Calendar'!$E$1211:$AR$1211,'Dvd Calendar'!$S$1204)=0))&gt;0)=0,"",'Dvd Calendar'!$S$1204*1000000000+ISNUMBER('Dvd Calendar'!$S$1207)*100000000+('Dvd Calendar'!$S$1209=SPECIAL_LBL)*10000000+(N('Dvd Calendar'!$S$1203)&gt;0)*(N('Dvd Calendar'!$S$1203)&lt;=VAL_SERIAL)*1000000+9*1000+15))</f>
        <v/>
      </c>
      <c r="ET124" s="39">
        <f>IF(N('Dvd Calendar'!$T$1204)=0,"",IF(('Dvd Calendar'!$T$1204&gt;=GRID_FROM)*('Dvd Calendar'!$T$1204&lt;=GRID_TO)*((('Dvd Calendar'!$T$1204&lt;=VAL_DATE)+(COUNTIF('Dvd Calendar'!$E$1211:$AR$1211,'Dvd Calendar'!$T$1204)=0))&gt;0)=0,"",'Dvd Calendar'!$T$1204*1000000000+ISNUMBER('Dvd Calendar'!$T$1207)*100000000+('Dvd Calendar'!$T$1209=SPECIAL_LBL)*10000000+(N('Dvd Calendar'!$T$1203)&gt;0)*(N('Dvd Calendar'!$T$1203)&lt;=VAL_SERIAL)*1000000+9*1000+16))</f>
        <v/>
      </c>
      <c r="EU124" s="39">
        <f>IF(N('Dvd Calendar'!$U$1204)=0,"",IF(('Dvd Calendar'!$U$1204&gt;=GRID_FROM)*('Dvd Calendar'!$U$1204&lt;=GRID_TO)*((('Dvd Calendar'!$U$1204&lt;=VAL_DATE)+(COUNTIF('Dvd Calendar'!$E$1211:$AR$1211,'Dvd Calendar'!$U$1204)=0))&gt;0)=0,"",'Dvd Calendar'!$U$1204*1000000000+ISNUMBER('Dvd Calendar'!$U$1207)*100000000+('Dvd Calendar'!$U$1209=SPECIAL_LBL)*10000000+(N('Dvd Calendar'!$U$1203)&gt;0)*(N('Dvd Calendar'!$U$1203)&lt;=VAL_SERIAL)*1000000+9*1000+17))</f>
        <v/>
      </c>
      <c r="EV124" s="39">
        <f>IF(N('Dvd Calendar'!$V$1204)=0,"",IF(('Dvd Calendar'!$V$1204&gt;=GRID_FROM)*('Dvd Calendar'!$V$1204&lt;=GRID_TO)*((('Dvd Calendar'!$V$1204&lt;=VAL_DATE)+(COUNTIF('Dvd Calendar'!$E$1211:$AR$1211,'Dvd Calendar'!$V$1204)=0))&gt;0)=0,"",'Dvd Calendar'!$V$1204*1000000000+ISNUMBER('Dvd Calendar'!$V$1207)*100000000+('Dvd Calendar'!$V$1209=SPECIAL_LBL)*10000000+(N('Dvd Calendar'!$V$1203)&gt;0)*(N('Dvd Calendar'!$V$1203)&lt;=VAL_SERIAL)*1000000+9*1000+18))</f>
        <v/>
      </c>
      <c r="EW124" s="39">
        <f>IF(N('Dvd Calendar'!$W$1204)=0,"",IF(('Dvd Calendar'!$W$1204&gt;=GRID_FROM)*('Dvd Calendar'!$W$1204&lt;=GRID_TO)*((('Dvd Calendar'!$W$1204&lt;=VAL_DATE)+(COUNTIF('Dvd Calendar'!$E$1211:$AR$1211,'Dvd Calendar'!$W$1204)=0))&gt;0)=0,"",'Dvd Calendar'!$W$1204*1000000000+ISNUMBER('Dvd Calendar'!$W$1207)*100000000+('Dvd Calendar'!$W$1209=SPECIAL_LBL)*10000000+(N('Dvd Calendar'!$W$1203)&gt;0)*(N('Dvd Calendar'!$W$1203)&lt;=VAL_SERIAL)*1000000+9*1000+19))</f>
        <v/>
      </c>
      <c r="EX124" s="39">
        <f>IF(N('Dvd Calendar'!$X$1204)=0,"",IF(('Dvd Calendar'!$X$1204&gt;=GRID_FROM)*('Dvd Calendar'!$X$1204&lt;=GRID_TO)*((('Dvd Calendar'!$X$1204&lt;=VAL_DATE)+(COUNTIF('Dvd Calendar'!$E$1211:$AR$1211,'Dvd Calendar'!$X$1204)=0))&gt;0)=0,"",'Dvd Calendar'!$X$1204*1000000000+ISNUMBER('Dvd Calendar'!$X$1207)*100000000+('Dvd Calendar'!$X$1209=SPECIAL_LBL)*10000000+(N('Dvd Calendar'!$X$1203)&gt;0)*(N('Dvd Calendar'!$X$1203)&lt;=VAL_SERIAL)*1000000+9*1000+20))</f>
        <v/>
      </c>
      <c r="EY124" s="39">
        <f>IF(N('Dvd Calendar'!$Y$1204)=0,"",IF(('Dvd Calendar'!$Y$1204&gt;=GRID_FROM)*('Dvd Calendar'!$Y$1204&lt;=GRID_TO)*((('Dvd Calendar'!$Y$1204&lt;=VAL_DATE)+(COUNTIF('Dvd Calendar'!$E$1211:$AR$1211,'Dvd Calendar'!$Y$1204)=0))&gt;0)=0,"",'Dvd Calendar'!$Y$1204*1000000000+ISNUMBER('Dvd Calendar'!$Y$1207)*100000000+('Dvd Calendar'!$Y$1209=SPECIAL_LBL)*10000000+(N('Dvd Calendar'!$Y$1203)&gt;0)*(N('Dvd Calendar'!$Y$1203)&lt;=VAL_SERIAL)*1000000+9*1000+21))</f>
        <v/>
      </c>
      <c r="EZ124" s="39">
        <f>IF(N('Dvd Calendar'!$Z$1204)=0,"",IF(('Dvd Calendar'!$Z$1204&gt;=GRID_FROM)*('Dvd Calendar'!$Z$1204&lt;=GRID_TO)*((('Dvd Calendar'!$Z$1204&lt;=VAL_DATE)+(COUNTIF('Dvd Calendar'!$E$1211:$AR$1211,'Dvd Calendar'!$Z$1204)=0))&gt;0)=0,"",'Dvd Calendar'!$Z$1204*1000000000+ISNUMBER('Dvd Calendar'!$Z$1207)*100000000+('Dvd Calendar'!$Z$1209=SPECIAL_LBL)*10000000+(N('Dvd Calendar'!$Z$1203)&gt;0)*(N('Dvd Calendar'!$Z$1203)&lt;=VAL_SERIAL)*1000000+9*1000+22))</f>
        <v/>
      </c>
      <c r="FA124" s="39">
        <f>IF(N('Dvd Calendar'!$AA$1204)=0,"",IF(('Dvd Calendar'!$AA$1204&gt;=GRID_FROM)*('Dvd Calendar'!$AA$1204&lt;=GRID_TO)*((('Dvd Calendar'!$AA$1204&lt;=VAL_DATE)+(COUNTIF('Dvd Calendar'!$E$1211:$AR$1211,'Dvd Calendar'!$AA$1204)=0))&gt;0)=0,"",'Dvd Calendar'!$AA$1204*1000000000+ISNUMBER('Dvd Calendar'!$AA$1207)*100000000+('Dvd Calendar'!$AA$1209=SPECIAL_LBL)*10000000+(N('Dvd Calendar'!$AA$1203)&gt;0)*(N('Dvd Calendar'!$AA$1203)&lt;=VAL_SERIAL)*1000000+9*1000+23))</f>
        <v/>
      </c>
      <c r="FB124" s="39">
        <f>IF(N('Dvd Calendar'!$AB$1204)=0,"",IF(('Dvd Calendar'!$AB$1204&gt;=GRID_FROM)*('Dvd Calendar'!$AB$1204&lt;=GRID_TO)*((('Dvd Calendar'!$AB$1204&lt;=VAL_DATE)+(COUNTIF('Dvd Calendar'!$E$1211:$AR$1211,'Dvd Calendar'!$AB$1204)=0))&gt;0)=0,"",'Dvd Calendar'!$AB$1204*1000000000+ISNUMBER('Dvd Calendar'!$AB$1207)*100000000+('Dvd Calendar'!$AB$1209=SPECIAL_LBL)*10000000+(N('Dvd Calendar'!$AB$1203)&gt;0)*(N('Dvd Calendar'!$AB$1203)&lt;=VAL_SERIAL)*1000000+9*1000+24))</f>
        <v/>
      </c>
      <c r="FC124" s="39">
        <f>IF(N('Dvd Calendar'!$AC$1204)=0,"",IF(('Dvd Calendar'!$AC$1204&gt;=GRID_FROM)*('Dvd Calendar'!$AC$1204&lt;=GRID_TO)*((('Dvd Calendar'!$AC$1204&lt;=VAL_DATE)+(COUNTIF('Dvd Calendar'!$E$1211:$AR$1211,'Dvd Calendar'!$AC$1204)=0))&gt;0)=0,"",'Dvd Calendar'!$AC$1204*1000000000+ISNUMBER('Dvd Calendar'!$AC$1207)*100000000+('Dvd Calendar'!$AC$1209=SPECIAL_LBL)*10000000+(N('Dvd Calendar'!$AC$1203)&gt;0)*(N('Dvd Calendar'!$AC$1203)&lt;=VAL_SERIAL)*1000000+9*1000+25))</f>
        <v/>
      </c>
      <c r="FD124" s="39">
        <f>IF(N('Dvd Calendar'!$AD$1204)=0,"",IF(('Dvd Calendar'!$AD$1204&gt;=GRID_FROM)*('Dvd Calendar'!$AD$1204&lt;=GRID_TO)*((('Dvd Calendar'!$AD$1204&lt;=VAL_DATE)+(COUNTIF('Dvd Calendar'!$E$1211:$AR$1211,'Dvd Calendar'!$AD$1204)=0))&gt;0)=0,"",'Dvd Calendar'!$AD$1204*1000000000+ISNUMBER('Dvd Calendar'!$AD$1207)*100000000+('Dvd Calendar'!$AD$1209=SPECIAL_LBL)*10000000+(N('Dvd Calendar'!$AD$1203)&gt;0)*(N('Dvd Calendar'!$AD$1203)&lt;=VAL_SERIAL)*1000000+9*1000+26))</f>
        <v/>
      </c>
      <c r="FE124" s="39">
        <f>IF(N('Dvd Calendar'!$AE$1204)=0,"",IF(('Dvd Calendar'!$AE$1204&gt;=GRID_FROM)*('Dvd Calendar'!$AE$1204&lt;=GRID_TO)*((('Dvd Calendar'!$AE$1204&lt;=VAL_DATE)+(COUNTIF('Dvd Calendar'!$E$1211:$AR$1211,'Dvd Calendar'!$AE$1204)=0))&gt;0)=0,"",'Dvd Calendar'!$AE$1204*1000000000+ISNUMBER('Dvd Calendar'!$AE$1207)*100000000+('Dvd Calendar'!$AE$1209=SPECIAL_LBL)*10000000+(N('Dvd Calendar'!$AE$1203)&gt;0)*(N('Dvd Calendar'!$AE$1203)&lt;=VAL_SERIAL)*1000000+9*1000+27))</f>
        <v/>
      </c>
      <c r="FF124" s="39">
        <f>IF(N('Dvd Calendar'!$AF$1204)=0,"",IF(('Dvd Calendar'!$AF$1204&gt;=GRID_FROM)*('Dvd Calendar'!$AF$1204&lt;=GRID_TO)*((('Dvd Calendar'!$AF$1204&lt;=VAL_DATE)+(COUNTIF('Dvd Calendar'!$E$1211:$AR$1211,'Dvd Calendar'!$AF$1204)=0))&gt;0)=0,"",'Dvd Calendar'!$AF$1204*1000000000+ISNUMBER('Dvd Calendar'!$AF$1207)*100000000+('Dvd Calendar'!$AF$1209=SPECIAL_LBL)*10000000+(N('Dvd Calendar'!$AF$1203)&gt;0)*(N('Dvd Calendar'!$AF$1203)&lt;=VAL_SERIAL)*1000000+9*1000+28))</f>
        <v/>
      </c>
      <c r="FG124" s="39">
        <f>IF(N('Dvd Calendar'!$AG$1204)=0,"",IF(('Dvd Calendar'!$AG$1204&gt;=GRID_FROM)*('Dvd Calendar'!$AG$1204&lt;=GRID_TO)*((('Dvd Calendar'!$AG$1204&lt;=VAL_DATE)+(COUNTIF('Dvd Calendar'!$E$1211:$AR$1211,'Dvd Calendar'!$AG$1204)=0))&gt;0)=0,"",'Dvd Calendar'!$AG$1204*1000000000+ISNUMBER('Dvd Calendar'!$AG$1207)*100000000+('Dvd Calendar'!$AG$1209=SPECIAL_LBL)*10000000+(N('Dvd Calendar'!$AG$1203)&gt;0)*(N('Dvd Calendar'!$AG$1203)&lt;=VAL_SERIAL)*1000000+9*1000+29))</f>
        <v/>
      </c>
      <c r="FH124" s="39">
        <f>IF(N('Dvd Calendar'!$AH$1204)=0,"",IF(('Dvd Calendar'!$AH$1204&gt;=GRID_FROM)*('Dvd Calendar'!$AH$1204&lt;=GRID_TO)*((('Dvd Calendar'!$AH$1204&lt;=VAL_DATE)+(COUNTIF('Dvd Calendar'!$E$1211:$AR$1211,'Dvd Calendar'!$AH$1204)=0))&gt;0)=0,"",'Dvd Calendar'!$AH$1204*1000000000+ISNUMBER('Dvd Calendar'!$AH$1207)*100000000+('Dvd Calendar'!$AH$1209=SPECIAL_LBL)*10000000+(N('Dvd Calendar'!$AH$1203)&gt;0)*(N('Dvd Calendar'!$AH$1203)&lt;=VAL_SERIAL)*1000000+9*1000+30))</f>
        <v/>
      </c>
      <c r="FI124" s="39">
        <f>IF(N('Dvd Calendar'!$AI$1204)=0,"",IF(('Dvd Calendar'!$AI$1204&gt;=GRID_FROM)*('Dvd Calendar'!$AI$1204&lt;=GRID_TO)*((('Dvd Calendar'!$AI$1204&lt;=VAL_DATE)+(COUNTIF('Dvd Calendar'!$E$1211:$AR$1211,'Dvd Calendar'!$AI$1204)=0))&gt;0)=0,"",'Dvd Calendar'!$AI$1204*1000000000+ISNUMBER('Dvd Calendar'!$AI$1207)*100000000+('Dvd Calendar'!$AI$1209=SPECIAL_LBL)*10000000+(N('Dvd Calendar'!$AI$1203)&gt;0)*(N('Dvd Calendar'!$AI$1203)&lt;=VAL_SERIAL)*1000000+9*1000+31))</f>
        <v/>
      </c>
      <c r="FJ124" s="39">
        <f>IF(N('Dvd Calendar'!$AJ$1204)=0,"",IF(('Dvd Calendar'!$AJ$1204&gt;=GRID_FROM)*('Dvd Calendar'!$AJ$1204&lt;=GRID_TO)*((('Dvd Calendar'!$AJ$1204&lt;=VAL_DATE)+(COUNTIF('Dvd Calendar'!$E$1211:$AR$1211,'Dvd Calendar'!$AJ$1204)=0))&gt;0)=0,"",'Dvd Calendar'!$AJ$1204*1000000000+ISNUMBER('Dvd Calendar'!$AJ$1207)*100000000+('Dvd Calendar'!$AJ$1209=SPECIAL_LBL)*10000000+(N('Dvd Calendar'!$AJ$1203)&gt;0)*(N('Dvd Calendar'!$AJ$1203)&lt;=VAL_SERIAL)*1000000+9*1000+32))</f>
        <v/>
      </c>
      <c r="FK124" s="39">
        <f>IF(N('Dvd Calendar'!$AK$1204)=0,"",IF(('Dvd Calendar'!$AK$1204&gt;=GRID_FROM)*('Dvd Calendar'!$AK$1204&lt;=GRID_TO)*((('Dvd Calendar'!$AK$1204&lt;=VAL_DATE)+(COUNTIF('Dvd Calendar'!$E$1211:$AR$1211,'Dvd Calendar'!$AK$1204)=0))&gt;0)=0,"",'Dvd Calendar'!$AK$1204*1000000000+ISNUMBER('Dvd Calendar'!$AK$1207)*100000000+('Dvd Calendar'!$AK$1209=SPECIAL_LBL)*10000000+(N('Dvd Calendar'!$AK$1203)&gt;0)*(N('Dvd Calendar'!$AK$1203)&lt;=VAL_SERIAL)*1000000+9*1000+33))</f>
        <v/>
      </c>
      <c r="FL124" s="39">
        <f>IF(N('Dvd Calendar'!$AL$1204)=0,"",IF(('Dvd Calendar'!$AL$1204&gt;=GRID_FROM)*('Dvd Calendar'!$AL$1204&lt;=GRID_TO)*((('Dvd Calendar'!$AL$1204&lt;=VAL_DATE)+(COUNTIF('Dvd Calendar'!$E$1211:$AR$1211,'Dvd Calendar'!$AL$1204)=0))&gt;0)=0,"",'Dvd Calendar'!$AL$1204*1000000000+ISNUMBER('Dvd Calendar'!$AL$1207)*100000000+('Dvd Calendar'!$AL$1209=SPECIAL_LBL)*10000000+(N('Dvd Calendar'!$AL$1203)&gt;0)*(N('Dvd Calendar'!$AL$1203)&lt;=VAL_SERIAL)*1000000+9*1000+34))</f>
        <v/>
      </c>
      <c r="FM124" s="39">
        <f>IF(N('Dvd Calendar'!$AM$1204)=0,"",IF(('Dvd Calendar'!$AM$1204&gt;=GRID_FROM)*('Dvd Calendar'!$AM$1204&lt;=GRID_TO)*((('Dvd Calendar'!$AM$1204&lt;=VAL_DATE)+(COUNTIF('Dvd Calendar'!$E$1211:$AR$1211,'Dvd Calendar'!$AM$1204)=0))&gt;0)=0,"",'Dvd Calendar'!$AM$1204*1000000000+ISNUMBER('Dvd Calendar'!$AM$1207)*100000000+('Dvd Calendar'!$AM$1209=SPECIAL_LBL)*10000000+(N('Dvd Calendar'!$AM$1203)&gt;0)*(N('Dvd Calendar'!$AM$1203)&lt;=VAL_SERIAL)*1000000+9*1000+35))</f>
        <v/>
      </c>
      <c r="FN124" s="39">
        <f>IF(N('Dvd Calendar'!$AN$1204)=0,"",IF(('Dvd Calendar'!$AN$1204&gt;=GRID_FROM)*('Dvd Calendar'!$AN$1204&lt;=GRID_TO)*((('Dvd Calendar'!$AN$1204&lt;=VAL_DATE)+(COUNTIF('Dvd Calendar'!$E$1211:$AR$1211,'Dvd Calendar'!$AN$1204)=0))&gt;0)=0,"",'Dvd Calendar'!$AN$1204*1000000000+ISNUMBER('Dvd Calendar'!$AN$1207)*100000000+('Dvd Calendar'!$AN$1209=SPECIAL_LBL)*10000000+(N('Dvd Calendar'!$AN$1203)&gt;0)*(N('Dvd Calendar'!$AN$1203)&lt;=VAL_SERIAL)*1000000+9*1000+36))</f>
        <v/>
      </c>
      <c r="FO124" s="39">
        <f>IF(N('Dvd Calendar'!$AO$1204)=0,"",IF(('Dvd Calendar'!$AO$1204&gt;=GRID_FROM)*('Dvd Calendar'!$AO$1204&lt;=GRID_TO)*((('Dvd Calendar'!$AO$1204&lt;=VAL_DATE)+(COUNTIF('Dvd Calendar'!$E$1211:$AR$1211,'Dvd Calendar'!$AO$1204)=0))&gt;0)=0,"",'Dvd Calendar'!$AO$1204*1000000000+ISNUMBER('Dvd Calendar'!$AO$1207)*100000000+('Dvd Calendar'!$AO$1209=SPECIAL_LBL)*10000000+(N('Dvd Calendar'!$AO$1203)&gt;0)*(N('Dvd Calendar'!$AO$1203)&lt;=VAL_SERIAL)*1000000+9*1000+37))</f>
        <v/>
      </c>
      <c r="FP124" s="39">
        <f>IF(N('Dvd Calendar'!$AP$1204)=0,"",IF(('Dvd Calendar'!$AP$1204&gt;=GRID_FROM)*('Dvd Calendar'!$AP$1204&lt;=GRID_TO)*((('Dvd Calendar'!$AP$1204&lt;=VAL_DATE)+(COUNTIF('Dvd Calendar'!$E$1211:$AR$1211,'Dvd Calendar'!$AP$1204)=0))&gt;0)=0,"",'Dvd Calendar'!$AP$1204*1000000000+ISNUMBER('Dvd Calendar'!$AP$1207)*100000000+('Dvd Calendar'!$AP$1209=SPECIAL_LBL)*10000000+(N('Dvd Calendar'!$AP$1203)&gt;0)*(N('Dvd Calendar'!$AP$1203)&lt;=VAL_SERIAL)*1000000+9*1000+38))</f>
        <v/>
      </c>
      <c r="FQ124" s="39">
        <f>IF(N('Dvd Calendar'!$AQ$1204)=0,"",IF(('Dvd Calendar'!$AQ$1204&gt;=GRID_FROM)*('Dvd Calendar'!$AQ$1204&lt;=GRID_TO)*((('Dvd Calendar'!$AQ$1204&lt;=VAL_DATE)+(COUNTIF('Dvd Calendar'!$E$1211:$AR$1211,'Dvd Calendar'!$AQ$1204)=0))&gt;0)=0,"",'Dvd Calendar'!$AQ$1204*1000000000+ISNUMBER('Dvd Calendar'!$AQ$1207)*100000000+('Dvd Calendar'!$AQ$1209=SPECIAL_LBL)*10000000+(N('Dvd Calendar'!$AQ$1203)&gt;0)*(N('Dvd Calendar'!$AQ$1203)&lt;=VAL_SERIAL)*1000000+9*1000+39))</f>
        <v/>
      </c>
      <c r="FR124" s="39">
        <f>IF(N('Dvd Calendar'!$AR$1204)=0,"",IF(('Dvd Calendar'!$AR$1204&gt;=GRID_FROM)*('Dvd Calendar'!$AR$1204&lt;=GRID_TO)*((('Dvd Calendar'!$AR$1204&lt;=VAL_DATE)+(COUNTIF('Dvd Calendar'!$E$1211:$AR$1211,'Dvd Calendar'!$AR$1204)=0))&gt;0)=0,"",'Dvd Calendar'!$AR$1204*1000000000+ISNUMBER('Dvd Calendar'!$AR$1207)*100000000+('Dvd Calendar'!$AR$1209=SPECIAL_LBL)*10000000+(N('Dvd Calendar'!$AR$1203)&gt;0)*(N('Dvd Calendar'!$AR$1203)&lt;=VAL_SERIAL)*1000000+9*1000+40))</f>
        <v/>
      </c>
      <c r="FS124" s="39">
        <f>IF(N('Dvd Calendar'!$E$1211)=0,"",IF(('Dvd Calendar'!$E$1211&gt;=GRID_FROM)*('Dvd Calendar'!$E$1211&lt;=GRID_TO)*('Dvd Calendar'!$E$1211&gt;VAL_DATE)=0,"",'Dvd Calendar'!$E$1211*1000000000+ISNUMBER('Dvd Calendar'!$E$1212)*100000000+0*10000000+(N('Dvd Calendar'!$E$1210)&gt;0)*(N('Dvd Calendar'!$E$1210)&lt;=VAL_SERIAL)*1000000+9*1000+41))</f>
        <v/>
      </c>
      <c r="FT124" s="39">
        <f>IF(N('Dvd Calendar'!$F$1211)=0,"",IF(('Dvd Calendar'!$F$1211&gt;=GRID_FROM)*('Dvd Calendar'!$F$1211&lt;=GRID_TO)*('Dvd Calendar'!$F$1211&gt;VAL_DATE)=0,"",'Dvd Calendar'!$F$1211*1000000000+ISNUMBER('Dvd Calendar'!$F$1212)*100000000+0*10000000+(N('Dvd Calendar'!$F$1210)&gt;0)*(N('Dvd Calendar'!$F$1210)&lt;=VAL_SERIAL)*1000000+9*1000+42))</f>
        <v/>
      </c>
      <c r="FU124" s="39">
        <f>IF(N('Dvd Calendar'!$G$1211)=0,"",IF(('Dvd Calendar'!$G$1211&gt;=GRID_FROM)*('Dvd Calendar'!$G$1211&lt;=GRID_TO)*('Dvd Calendar'!$G$1211&gt;VAL_DATE)=0,"",'Dvd Calendar'!$G$1211*1000000000+ISNUMBER('Dvd Calendar'!$G$1212)*100000000+0*10000000+(N('Dvd Calendar'!$G$1210)&gt;0)*(N('Dvd Calendar'!$G$1210)&lt;=VAL_SERIAL)*1000000+9*1000+43))</f>
        <v/>
      </c>
      <c r="FV124" s="39">
        <f>IF(N('Dvd Calendar'!$H$1211)=0,"",IF(('Dvd Calendar'!$H$1211&gt;=GRID_FROM)*('Dvd Calendar'!$H$1211&lt;=GRID_TO)*('Dvd Calendar'!$H$1211&gt;VAL_DATE)=0,"",'Dvd Calendar'!$H$1211*1000000000+ISNUMBER('Dvd Calendar'!$H$1212)*100000000+0*10000000+(N('Dvd Calendar'!$H$1210)&gt;0)*(N('Dvd Calendar'!$H$1210)&lt;=VAL_SERIAL)*1000000+9*1000+44))</f>
        <v/>
      </c>
      <c r="FW124" s="39">
        <f>IF(N('Dvd Calendar'!$I$1211)=0,"",IF(('Dvd Calendar'!$I$1211&gt;=GRID_FROM)*('Dvd Calendar'!$I$1211&lt;=GRID_TO)*('Dvd Calendar'!$I$1211&gt;VAL_DATE)=0,"",'Dvd Calendar'!$I$1211*1000000000+ISNUMBER('Dvd Calendar'!$I$1212)*100000000+0*10000000+(N('Dvd Calendar'!$I$1210)&gt;0)*(N('Dvd Calendar'!$I$1210)&lt;=VAL_SERIAL)*1000000+9*1000+45))</f>
        <v/>
      </c>
      <c r="FX124" s="39">
        <f>IF(N('Dvd Calendar'!$J$1211)=0,"",IF(('Dvd Calendar'!$J$1211&gt;=GRID_FROM)*('Dvd Calendar'!$J$1211&lt;=GRID_TO)*('Dvd Calendar'!$J$1211&gt;VAL_DATE)=0,"",'Dvd Calendar'!$J$1211*1000000000+ISNUMBER('Dvd Calendar'!$J$1212)*100000000+0*10000000+(N('Dvd Calendar'!$J$1210)&gt;0)*(N('Dvd Calendar'!$J$1210)&lt;=VAL_SERIAL)*1000000+9*1000+46))</f>
        <v/>
      </c>
      <c r="FY124" s="39">
        <f>IF(N('Dvd Calendar'!$K$1211)=0,"",IF(('Dvd Calendar'!$K$1211&gt;=GRID_FROM)*('Dvd Calendar'!$K$1211&lt;=GRID_TO)*('Dvd Calendar'!$K$1211&gt;VAL_DATE)=0,"",'Dvd Calendar'!$K$1211*1000000000+ISNUMBER('Dvd Calendar'!$K$1212)*100000000+0*10000000+(N('Dvd Calendar'!$K$1210)&gt;0)*(N('Dvd Calendar'!$K$1210)&lt;=VAL_SERIAL)*1000000+9*1000+47))</f>
        <v/>
      </c>
      <c r="FZ124" s="39">
        <f>IF(N('Dvd Calendar'!$L$1211)=0,"",IF(('Dvd Calendar'!$L$1211&gt;=GRID_FROM)*('Dvd Calendar'!$L$1211&lt;=GRID_TO)*('Dvd Calendar'!$L$1211&gt;VAL_DATE)=0,"",'Dvd Calendar'!$L$1211*1000000000+ISNUMBER('Dvd Calendar'!$L$1212)*100000000+0*10000000+(N('Dvd Calendar'!$L$1210)&gt;0)*(N('Dvd Calendar'!$L$1210)&lt;=VAL_SERIAL)*1000000+9*1000+48))</f>
        <v/>
      </c>
      <c r="GA124" s="39">
        <f>IF(N('Dvd Calendar'!$M$1211)=0,"",IF(('Dvd Calendar'!$M$1211&gt;=GRID_FROM)*('Dvd Calendar'!$M$1211&lt;=GRID_TO)*('Dvd Calendar'!$M$1211&gt;VAL_DATE)=0,"",'Dvd Calendar'!$M$1211*1000000000+ISNUMBER('Dvd Calendar'!$M$1212)*100000000+0*10000000+(N('Dvd Calendar'!$M$1210)&gt;0)*(N('Dvd Calendar'!$M$1210)&lt;=VAL_SERIAL)*1000000+9*1000+49))</f>
        <v/>
      </c>
      <c r="GB124" s="39">
        <f>IF(N('Dvd Calendar'!$N$1211)=0,"",IF(('Dvd Calendar'!$N$1211&gt;=GRID_FROM)*('Dvd Calendar'!$N$1211&lt;=GRID_TO)*('Dvd Calendar'!$N$1211&gt;VAL_DATE)=0,"",'Dvd Calendar'!$N$1211*1000000000+ISNUMBER('Dvd Calendar'!$N$1212)*100000000+0*10000000+(N('Dvd Calendar'!$N$1210)&gt;0)*(N('Dvd Calendar'!$N$1210)&lt;=VAL_SERIAL)*1000000+9*1000+50))</f>
        <v/>
      </c>
      <c r="GC124" s="39">
        <f>IF(N('Dvd Calendar'!$O$1211)=0,"",IF(('Dvd Calendar'!$O$1211&gt;=GRID_FROM)*('Dvd Calendar'!$O$1211&lt;=GRID_TO)*('Dvd Calendar'!$O$1211&gt;VAL_DATE)=0,"",'Dvd Calendar'!$O$1211*1000000000+ISNUMBER('Dvd Calendar'!$O$1212)*100000000+0*10000000+(N('Dvd Calendar'!$O$1210)&gt;0)*(N('Dvd Calendar'!$O$1210)&lt;=VAL_SERIAL)*1000000+9*1000+51))</f>
        <v/>
      </c>
      <c r="GD124" s="39">
        <f>IF(N('Dvd Calendar'!$P$1211)=0,"",IF(('Dvd Calendar'!$P$1211&gt;=GRID_FROM)*('Dvd Calendar'!$P$1211&lt;=GRID_TO)*('Dvd Calendar'!$P$1211&gt;VAL_DATE)=0,"",'Dvd Calendar'!$P$1211*1000000000+ISNUMBER('Dvd Calendar'!$P$1212)*100000000+0*10000000+(N('Dvd Calendar'!$P$1210)&gt;0)*(N('Dvd Calendar'!$P$1210)&lt;=VAL_SERIAL)*1000000+9*1000+52))</f>
        <v/>
      </c>
      <c r="GE124" s="39">
        <f>IF(N('Dvd Calendar'!$Q$1211)=0,"",IF(('Dvd Calendar'!$Q$1211&gt;=GRID_FROM)*('Dvd Calendar'!$Q$1211&lt;=GRID_TO)*('Dvd Calendar'!$Q$1211&gt;VAL_DATE)=0,"",'Dvd Calendar'!$Q$1211*1000000000+ISNUMBER('Dvd Calendar'!$Q$1212)*100000000+0*10000000+(N('Dvd Calendar'!$Q$1210)&gt;0)*(N('Dvd Calendar'!$Q$1210)&lt;=VAL_SERIAL)*1000000+9*1000+53))</f>
        <v/>
      </c>
      <c r="GF124" s="39">
        <f>IF(N('Dvd Calendar'!$R$1211)=0,"",IF(('Dvd Calendar'!$R$1211&gt;=GRID_FROM)*('Dvd Calendar'!$R$1211&lt;=GRID_TO)*('Dvd Calendar'!$R$1211&gt;VAL_DATE)=0,"",'Dvd Calendar'!$R$1211*1000000000+ISNUMBER('Dvd Calendar'!$R$1212)*100000000+0*10000000+(N('Dvd Calendar'!$R$1210)&gt;0)*(N('Dvd Calendar'!$R$1210)&lt;=VAL_SERIAL)*1000000+9*1000+54))</f>
        <v/>
      </c>
      <c r="GG124" s="39">
        <f>IF(N('Dvd Calendar'!$S$1211)=0,"",IF(('Dvd Calendar'!$S$1211&gt;=GRID_FROM)*('Dvd Calendar'!$S$1211&lt;=GRID_TO)*('Dvd Calendar'!$S$1211&gt;VAL_DATE)=0,"",'Dvd Calendar'!$S$1211*1000000000+ISNUMBER('Dvd Calendar'!$S$1212)*100000000+0*10000000+(N('Dvd Calendar'!$S$1210)&gt;0)*(N('Dvd Calendar'!$S$1210)&lt;=VAL_SERIAL)*1000000+9*1000+55))</f>
        <v/>
      </c>
      <c r="GH124" s="39">
        <f>IF(N('Dvd Calendar'!$T$1211)=0,"",IF(('Dvd Calendar'!$T$1211&gt;=GRID_FROM)*('Dvd Calendar'!$T$1211&lt;=GRID_TO)*('Dvd Calendar'!$T$1211&gt;VAL_DATE)=0,"",'Dvd Calendar'!$T$1211*1000000000+ISNUMBER('Dvd Calendar'!$T$1212)*100000000+0*10000000+(N('Dvd Calendar'!$T$1210)&gt;0)*(N('Dvd Calendar'!$T$1210)&lt;=VAL_SERIAL)*1000000+9*1000+56))</f>
        <v/>
      </c>
      <c r="GI124" s="39">
        <f>IF(N('Dvd Calendar'!$U$1211)=0,"",IF(('Dvd Calendar'!$U$1211&gt;=GRID_FROM)*('Dvd Calendar'!$U$1211&lt;=GRID_TO)*('Dvd Calendar'!$U$1211&gt;VAL_DATE)=0,"",'Dvd Calendar'!$U$1211*1000000000+ISNUMBER('Dvd Calendar'!$U$1212)*100000000+0*10000000+(N('Dvd Calendar'!$U$1210)&gt;0)*(N('Dvd Calendar'!$U$1210)&lt;=VAL_SERIAL)*1000000+9*1000+57))</f>
        <v/>
      </c>
      <c r="GJ124" s="39">
        <f>IF(N('Dvd Calendar'!$V$1211)=0,"",IF(('Dvd Calendar'!$V$1211&gt;=GRID_FROM)*('Dvd Calendar'!$V$1211&lt;=GRID_TO)*('Dvd Calendar'!$V$1211&gt;VAL_DATE)=0,"",'Dvd Calendar'!$V$1211*1000000000+ISNUMBER('Dvd Calendar'!$V$1212)*100000000+0*10000000+(N('Dvd Calendar'!$V$1210)&gt;0)*(N('Dvd Calendar'!$V$1210)&lt;=VAL_SERIAL)*1000000+9*1000+58))</f>
        <v/>
      </c>
      <c r="GK124" s="39">
        <f>IF(N('Dvd Calendar'!$W$1211)=0,"",IF(('Dvd Calendar'!$W$1211&gt;=GRID_FROM)*('Dvd Calendar'!$W$1211&lt;=GRID_TO)*('Dvd Calendar'!$W$1211&gt;VAL_DATE)=0,"",'Dvd Calendar'!$W$1211*1000000000+ISNUMBER('Dvd Calendar'!$W$1212)*100000000+0*10000000+(N('Dvd Calendar'!$W$1210)&gt;0)*(N('Dvd Calendar'!$W$1210)&lt;=VAL_SERIAL)*1000000+9*1000+59))</f>
        <v/>
      </c>
      <c r="GL124" s="39">
        <f>IF(N('Dvd Calendar'!$X$1211)=0,"",IF(('Dvd Calendar'!$X$1211&gt;=GRID_FROM)*('Dvd Calendar'!$X$1211&lt;=GRID_TO)*('Dvd Calendar'!$X$1211&gt;VAL_DATE)=0,"",'Dvd Calendar'!$X$1211*1000000000+ISNUMBER('Dvd Calendar'!$X$1212)*100000000+0*10000000+(N('Dvd Calendar'!$X$1210)&gt;0)*(N('Dvd Calendar'!$X$1210)&lt;=VAL_SERIAL)*1000000+9*1000+60))</f>
        <v/>
      </c>
      <c r="GM124" s="39">
        <f>IF(N('Dvd Calendar'!$Y$1211)=0,"",IF(('Dvd Calendar'!$Y$1211&gt;=GRID_FROM)*('Dvd Calendar'!$Y$1211&lt;=GRID_TO)*('Dvd Calendar'!$Y$1211&gt;VAL_DATE)=0,"",'Dvd Calendar'!$Y$1211*1000000000+ISNUMBER('Dvd Calendar'!$Y$1212)*100000000+0*10000000+(N('Dvd Calendar'!$Y$1210)&gt;0)*(N('Dvd Calendar'!$Y$1210)&lt;=VAL_SERIAL)*1000000+9*1000+61))</f>
        <v/>
      </c>
      <c r="GN124" s="39">
        <f>IF(N('Dvd Calendar'!$Z$1211)=0,"",IF(('Dvd Calendar'!$Z$1211&gt;=GRID_FROM)*('Dvd Calendar'!$Z$1211&lt;=GRID_TO)*('Dvd Calendar'!$Z$1211&gt;VAL_DATE)=0,"",'Dvd Calendar'!$Z$1211*1000000000+ISNUMBER('Dvd Calendar'!$Z$1212)*100000000+0*10000000+(N('Dvd Calendar'!$Z$1210)&gt;0)*(N('Dvd Calendar'!$Z$1210)&lt;=VAL_SERIAL)*1000000+9*1000+62))</f>
        <v/>
      </c>
      <c r="GO124" s="39">
        <f>IF(N('Dvd Calendar'!$AA$1211)=0,"",IF(('Dvd Calendar'!$AA$1211&gt;=GRID_FROM)*('Dvd Calendar'!$AA$1211&lt;=GRID_TO)*('Dvd Calendar'!$AA$1211&gt;VAL_DATE)=0,"",'Dvd Calendar'!$AA$1211*1000000000+ISNUMBER('Dvd Calendar'!$AA$1212)*100000000+0*10000000+(N('Dvd Calendar'!$AA$1210)&gt;0)*(N('Dvd Calendar'!$AA$1210)&lt;=VAL_SERIAL)*1000000+9*1000+63))</f>
        <v/>
      </c>
      <c r="GP124" s="39">
        <f>IF(N('Dvd Calendar'!$AB$1211)=0,"",IF(('Dvd Calendar'!$AB$1211&gt;=GRID_FROM)*('Dvd Calendar'!$AB$1211&lt;=GRID_TO)*('Dvd Calendar'!$AB$1211&gt;VAL_DATE)=0,"",'Dvd Calendar'!$AB$1211*1000000000+ISNUMBER('Dvd Calendar'!$AB$1212)*100000000+0*10000000+(N('Dvd Calendar'!$AB$1210)&gt;0)*(N('Dvd Calendar'!$AB$1210)&lt;=VAL_SERIAL)*1000000+9*1000+64))</f>
        <v/>
      </c>
      <c r="GQ124" s="39">
        <f>IF(N('Dvd Calendar'!$AC$1211)=0,"",IF(('Dvd Calendar'!$AC$1211&gt;=GRID_FROM)*('Dvd Calendar'!$AC$1211&lt;=GRID_TO)*('Dvd Calendar'!$AC$1211&gt;VAL_DATE)=0,"",'Dvd Calendar'!$AC$1211*1000000000+ISNUMBER('Dvd Calendar'!$AC$1212)*100000000+0*10000000+(N('Dvd Calendar'!$AC$1210)&gt;0)*(N('Dvd Calendar'!$AC$1210)&lt;=VAL_SERIAL)*1000000+9*1000+65))</f>
        <v/>
      </c>
    </row>
    <row r="125">
      <c r="B125" s="2">
        <f>IF(HSTECH!$C$16="","",HSTECH!$C$16)</f>
        <v/>
      </c>
      <c r="C125" s="110">
        <f>IF(EE125="","",IF(ISNUMBER('Dvd Calendar'!$E$1218)=FALSE,"",IF((('Dvd Calendar'!$E$1220=TYPE1)*(TYPE1&lt;&gt;"")+('Dvd Calendar'!$E$1220=TYPE2)*(TYPE2&lt;&gt;"")+('Dvd Calendar'!$E$1220=TYPE3)*(TYPE3&lt;&gt;"")+('Dvd Calendar'!$E$1220=TYPE4)*(TYPE4&lt;&gt;"")+('Dvd Calendar'!$E$1220=SPECIAL_LBL)*(INC_SPECIALS="Y"))=0,"",'Dvd Calendar'!$E$1218)))</f>
        <v/>
      </c>
      <c r="D125" s="110">
        <f>IF(EF125="","",IF(ISNUMBER('Dvd Calendar'!$F$1218)=FALSE,"",IF((('Dvd Calendar'!$F$1220=TYPE1)*(TYPE1&lt;&gt;"")+('Dvd Calendar'!$F$1220=TYPE2)*(TYPE2&lt;&gt;"")+('Dvd Calendar'!$F$1220=TYPE3)*(TYPE3&lt;&gt;"")+('Dvd Calendar'!$F$1220=TYPE4)*(TYPE4&lt;&gt;"")+('Dvd Calendar'!$F$1220=SPECIAL_LBL)*(INC_SPECIALS="Y"))=0,"",'Dvd Calendar'!$F$1218)))</f>
        <v/>
      </c>
      <c r="E125" s="110">
        <f>IF(EG125="","",IF(ISNUMBER('Dvd Calendar'!$G$1218)=FALSE,"",IF((('Dvd Calendar'!$G$1220=TYPE1)*(TYPE1&lt;&gt;"")+('Dvd Calendar'!$G$1220=TYPE2)*(TYPE2&lt;&gt;"")+('Dvd Calendar'!$G$1220=TYPE3)*(TYPE3&lt;&gt;"")+('Dvd Calendar'!$G$1220=TYPE4)*(TYPE4&lt;&gt;"")+('Dvd Calendar'!$G$1220=SPECIAL_LBL)*(INC_SPECIALS="Y"))=0,"",'Dvd Calendar'!$G$1218)))</f>
        <v/>
      </c>
      <c r="F125" s="110">
        <f>IF(EH125="","",IF(ISNUMBER('Dvd Calendar'!$H$1218)=FALSE,"",IF((('Dvd Calendar'!$H$1220=TYPE1)*(TYPE1&lt;&gt;"")+('Dvd Calendar'!$H$1220=TYPE2)*(TYPE2&lt;&gt;"")+('Dvd Calendar'!$H$1220=TYPE3)*(TYPE3&lt;&gt;"")+('Dvd Calendar'!$H$1220=TYPE4)*(TYPE4&lt;&gt;"")+('Dvd Calendar'!$H$1220=SPECIAL_LBL)*(INC_SPECIALS="Y"))=0,"",'Dvd Calendar'!$H$1218)))</f>
        <v/>
      </c>
      <c r="G125" s="110">
        <f>IF(EI125="","",IF(ISNUMBER('Dvd Calendar'!$I$1218)=FALSE,"",IF((('Dvd Calendar'!$I$1220=TYPE1)*(TYPE1&lt;&gt;"")+('Dvd Calendar'!$I$1220=TYPE2)*(TYPE2&lt;&gt;"")+('Dvd Calendar'!$I$1220=TYPE3)*(TYPE3&lt;&gt;"")+('Dvd Calendar'!$I$1220=TYPE4)*(TYPE4&lt;&gt;"")+('Dvd Calendar'!$I$1220=SPECIAL_LBL)*(INC_SPECIALS="Y"))=0,"",'Dvd Calendar'!$I$1218)))</f>
        <v/>
      </c>
      <c r="H125" s="110">
        <f>IF(EJ125="","",IF(ISNUMBER('Dvd Calendar'!$J$1218)=FALSE,"",IF((('Dvd Calendar'!$J$1220=TYPE1)*(TYPE1&lt;&gt;"")+('Dvd Calendar'!$J$1220=TYPE2)*(TYPE2&lt;&gt;"")+('Dvd Calendar'!$J$1220=TYPE3)*(TYPE3&lt;&gt;"")+('Dvd Calendar'!$J$1220=TYPE4)*(TYPE4&lt;&gt;"")+('Dvd Calendar'!$J$1220=SPECIAL_LBL)*(INC_SPECIALS="Y"))=0,"",'Dvd Calendar'!$J$1218)))</f>
        <v/>
      </c>
      <c r="I125" s="110">
        <f>IF(EK125="","",IF(ISNUMBER('Dvd Calendar'!$K$1218)=FALSE,"",IF((('Dvd Calendar'!$K$1220=TYPE1)*(TYPE1&lt;&gt;"")+('Dvd Calendar'!$K$1220=TYPE2)*(TYPE2&lt;&gt;"")+('Dvd Calendar'!$K$1220=TYPE3)*(TYPE3&lt;&gt;"")+('Dvd Calendar'!$K$1220=TYPE4)*(TYPE4&lt;&gt;"")+('Dvd Calendar'!$K$1220=SPECIAL_LBL)*(INC_SPECIALS="Y"))=0,"",'Dvd Calendar'!$K$1218)))</f>
        <v/>
      </c>
      <c r="J125" s="110">
        <f>IF(EL125="","",IF(ISNUMBER('Dvd Calendar'!$L$1218)=FALSE,"",IF((('Dvd Calendar'!$L$1220=TYPE1)*(TYPE1&lt;&gt;"")+('Dvd Calendar'!$L$1220=TYPE2)*(TYPE2&lt;&gt;"")+('Dvd Calendar'!$L$1220=TYPE3)*(TYPE3&lt;&gt;"")+('Dvd Calendar'!$L$1220=TYPE4)*(TYPE4&lt;&gt;"")+('Dvd Calendar'!$L$1220=SPECIAL_LBL)*(INC_SPECIALS="Y"))=0,"",'Dvd Calendar'!$L$1218)))</f>
        <v/>
      </c>
      <c r="K125" s="110">
        <f>IF(EM125="","",IF(ISNUMBER('Dvd Calendar'!$M$1218)=FALSE,"",IF((('Dvd Calendar'!$M$1220=TYPE1)*(TYPE1&lt;&gt;"")+('Dvd Calendar'!$M$1220=TYPE2)*(TYPE2&lt;&gt;"")+('Dvd Calendar'!$M$1220=TYPE3)*(TYPE3&lt;&gt;"")+('Dvd Calendar'!$M$1220=TYPE4)*(TYPE4&lt;&gt;"")+('Dvd Calendar'!$M$1220=SPECIAL_LBL)*(INC_SPECIALS="Y"))=0,"",'Dvd Calendar'!$M$1218)))</f>
        <v/>
      </c>
      <c r="L125" s="110">
        <f>IF(EN125="","",IF(ISNUMBER('Dvd Calendar'!$N$1218)=FALSE,"",IF((('Dvd Calendar'!$N$1220=TYPE1)*(TYPE1&lt;&gt;"")+('Dvd Calendar'!$N$1220=TYPE2)*(TYPE2&lt;&gt;"")+('Dvd Calendar'!$N$1220=TYPE3)*(TYPE3&lt;&gt;"")+('Dvd Calendar'!$N$1220=TYPE4)*(TYPE4&lt;&gt;"")+('Dvd Calendar'!$N$1220=SPECIAL_LBL)*(INC_SPECIALS="Y"))=0,"",'Dvd Calendar'!$N$1218)))</f>
        <v/>
      </c>
      <c r="M125" s="110">
        <f>IF(EO125="","",IF(ISNUMBER('Dvd Calendar'!$O$1218)=FALSE,"",IF((('Dvd Calendar'!$O$1220=TYPE1)*(TYPE1&lt;&gt;"")+('Dvd Calendar'!$O$1220=TYPE2)*(TYPE2&lt;&gt;"")+('Dvd Calendar'!$O$1220=TYPE3)*(TYPE3&lt;&gt;"")+('Dvd Calendar'!$O$1220=TYPE4)*(TYPE4&lt;&gt;"")+('Dvd Calendar'!$O$1220=SPECIAL_LBL)*(INC_SPECIALS="Y"))=0,"",'Dvd Calendar'!$O$1218)))</f>
        <v/>
      </c>
      <c r="N125" s="110">
        <f>IF(EP125="","",IF(ISNUMBER('Dvd Calendar'!$P$1218)=FALSE,"",IF((('Dvd Calendar'!$P$1220=TYPE1)*(TYPE1&lt;&gt;"")+('Dvd Calendar'!$P$1220=TYPE2)*(TYPE2&lt;&gt;"")+('Dvd Calendar'!$P$1220=TYPE3)*(TYPE3&lt;&gt;"")+('Dvd Calendar'!$P$1220=TYPE4)*(TYPE4&lt;&gt;"")+('Dvd Calendar'!$P$1220=SPECIAL_LBL)*(INC_SPECIALS="Y"))=0,"",'Dvd Calendar'!$P$1218)))</f>
        <v/>
      </c>
      <c r="O125" s="110">
        <f>IF(EQ125="","",IF(ISNUMBER('Dvd Calendar'!$Q$1218)=FALSE,"",IF((('Dvd Calendar'!$Q$1220=TYPE1)*(TYPE1&lt;&gt;"")+('Dvd Calendar'!$Q$1220=TYPE2)*(TYPE2&lt;&gt;"")+('Dvd Calendar'!$Q$1220=TYPE3)*(TYPE3&lt;&gt;"")+('Dvd Calendar'!$Q$1220=TYPE4)*(TYPE4&lt;&gt;"")+('Dvd Calendar'!$Q$1220=SPECIAL_LBL)*(INC_SPECIALS="Y"))=0,"",'Dvd Calendar'!$Q$1218)))</f>
        <v/>
      </c>
      <c r="P125" s="110">
        <f>IF(ER125="","",IF(ISNUMBER('Dvd Calendar'!$R$1218)=FALSE,"",IF((('Dvd Calendar'!$R$1220=TYPE1)*(TYPE1&lt;&gt;"")+('Dvd Calendar'!$R$1220=TYPE2)*(TYPE2&lt;&gt;"")+('Dvd Calendar'!$R$1220=TYPE3)*(TYPE3&lt;&gt;"")+('Dvd Calendar'!$R$1220=TYPE4)*(TYPE4&lt;&gt;"")+('Dvd Calendar'!$R$1220=SPECIAL_LBL)*(INC_SPECIALS="Y"))=0,"",'Dvd Calendar'!$R$1218)))</f>
        <v/>
      </c>
      <c r="Q125" s="110">
        <f>IF(ES125="","",IF(ISNUMBER('Dvd Calendar'!$S$1218)=FALSE,"",IF((('Dvd Calendar'!$S$1220=TYPE1)*(TYPE1&lt;&gt;"")+('Dvd Calendar'!$S$1220=TYPE2)*(TYPE2&lt;&gt;"")+('Dvd Calendar'!$S$1220=TYPE3)*(TYPE3&lt;&gt;"")+('Dvd Calendar'!$S$1220=TYPE4)*(TYPE4&lt;&gt;"")+('Dvd Calendar'!$S$1220=SPECIAL_LBL)*(INC_SPECIALS="Y"))=0,"",'Dvd Calendar'!$S$1218)))</f>
        <v/>
      </c>
      <c r="R125" s="110">
        <f>IF(ET125="","",IF(ISNUMBER('Dvd Calendar'!$T$1218)=FALSE,"",IF((('Dvd Calendar'!$T$1220=TYPE1)*(TYPE1&lt;&gt;"")+('Dvd Calendar'!$T$1220=TYPE2)*(TYPE2&lt;&gt;"")+('Dvd Calendar'!$T$1220=TYPE3)*(TYPE3&lt;&gt;"")+('Dvd Calendar'!$T$1220=TYPE4)*(TYPE4&lt;&gt;"")+('Dvd Calendar'!$T$1220=SPECIAL_LBL)*(INC_SPECIALS="Y"))=0,"",'Dvd Calendar'!$T$1218)))</f>
        <v/>
      </c>
      <c r="S125" s="110">
        <f>IF(EU125="","",IF(ISNUMBER('Dvd Calendar'!$U$1218)=FALSE,"",IF((('Dvd Calendar'!$U$1220=TYPE1)*(TYPE1&lt;&gt;"")+('Dvd Calendar'!$U$1220=TYPE2)*(TYPE2&lt;&gt;"")+('Dvd Calendar'!$U$1220=TYPE3)*(TYPE3&lt;&gt;"")+('Dvd Calendar'!$U$1220=TYPE4)*(TYPE4&lt;&gt;"")+('Dvd Calendar'!$U$1220=SPECIAL_LBL)*(INC_SPECIALS="Y"))=0,"",'Dvd Calendar'!$U$1218)))</f>
        <v/>
      </c>
      <c r="T125" s="110">
        <f>IF(EV125="","",IF(ISNUMBER('Dvd Calendar'!$V$1218)=FALSE,"",IF((('Dvd Calendar'!$V$1220=TYPE1)*(TYPE1&lt;&gt;"")+('Dvd Calendar'!$V$1220=TYPE2)*(TYPE2&lt;&gt;"")+('Dvd Calendar'!$V$1220=TYPE3)*(TYPE3&lt;&gt;"")+('Dvd Calendar'!$V$1220=TYPE4)*(TYPE4&lt;&gt;"")+('Dvd Calendar'!$V$1220=SPECIAL_LBL)*(INC_SPECIALS="Y"))=0,"",'Dvd Calendar'!$V$1218)))</f>
        <v/>
      </c>
      <c r="U125" s="110">
        <f>IF(EW125="","",IF(ISNUMBER('Dvd Calendar'!$W$1218)=FALSE,"",IF((('Dvd Calendar'!$W$1220=TYPE1)*(TYPE1&lt;&gt;"")+('Dvd Calendar'!$W$1220=TYPE2)*(TYPE2&lt;&gt;"")+('Dvd Calendar'!$W$1220=TYPE3)*(TYPE3&lt;&gt;"")+('Dvd Calendar'!$W$1220=TYPE4)*(TYPE4&lt;&gt;"")+('Dvd Calendar'!$W$1220=SPECIAL_LBL)*(INC_SPECIALS="Y"))=0,"",'Dvd Calendar'!$W$1218)))</f>
        <v/>
      </c>
      <c r="V125" s="110">
        <f>IF(EX125="","",IF(ISNUMBER('Dvd Calendar'!$X$1218)=FALSE,"",IF((('Dvd Calendar'!$X$1220=TYPE1)*(TYPE1&lt;&gt;"")+('Dvd Calendar'!$X$1220=TYPE2)*(TYPE2&lt;&gt;"")+('Dvd Calendar'!$X$1220=TYPE3)*(TYPE3&lt;&gt;"")+('Dvd Calendar'!$X$1220=TYPE4)*(TYPE4&lt;&gt;"")+('Dvd Calendar'!$X$1220=SPECIAL_LBL)*(INC_SPECIALS="Y"))=0,"",'Dvd Calendar'!$X$1218)))</f>
        <v/>
      </c>
      <c r="W125" s="110">
        <f>IF(EY125="","",IF(ISNUMBER('Dvd Calendar'!$Y$1218)=FALSE,"",IF((('Dvd Calendar'!$Y$1220=TYPE1)*(TYPE1&lt;&gt;"")+('Dvd Calendar'!$Y$1220=TYPE2)*(TYPE2&lt;&gt;"")+('Dvd Calendar'!$Y$1220=TYPE3)*(TYPE3&lt;&gt;"")+('Dvd Calendar'!$Y$1220=TYPE4)*(TYPE4&lt;&gt;"")+('Dvd Calendar'!$Y$1220=SPECIAL_LBL)*(INC_SPECIALS="Y"))=0,"",'Dvd Calendar'!$Y$1218)))</f>
        <v/>
      </c>
      <c r="X125" s="110">
        <f>IF(EZ125="","",IF(ISNUMBER('Dvd Calendar'!$Z$1218)=FALSE,"",IF((('Dvd Calendar'!$Z$1220=TYPE1)*(TYPE1&lt;&gt;"")+('Dvd Calendar'!$Z$1220=TYPE2)*(TYPE2&lt;&gt;"")+('Dvd Calendar'!$Z$1220=TYPE3)*(TYPE3&lt;&gt;"")+('Dvd Calendar'!$Z$1220=TYPE4)*(TYPE4&lt;&gt;"")+('Dvd Calendar'!$Z$1220=SPECIAL_LBL)*(INC_SPECIALS="Y"))=0,"",'Dvd Calendar'!$Z$1218)))</f>
        <v/>
      </c>
      <c r="Y125" s="110">
        <f>IF(FA125="","",IF(ISNUMBER('Dvd Calendar'!$AA$1218)=FALSE,"",IF((('Dvd Calendar'!$AA$1220=TYPE1)*(TYPE1&lt;&gt;"")+('Dvd Calendar'!$AA$1220=TYPE2)*(TYPE2&lt;&gt;"")+('Dvd Calendar'!$AA$1220=TYPE3)*(TYPE3&lt;&gt;"")+('Dvd Calendar'!$AA$1220=TYPE4)*(TYPE4&lt;&gt;"")+('Dvd Calendar'!$AA$1220=SPECIAL_LBL)*(INC_SPECIALS="Y"))=0,"",'Dvd Calendar'!$AA$1218)))</f>
        <v/>
      </c>
      <c r="Z125" s="110">
        <f>IF(FB125="","",IF(ISNUMBER('Dvd Calendar'!$AB$1218)=FALSE,"",IF((('Dvd Calendar'!$AB$1220=TYPE1)*(TYPE1&lt;&gt;"")+('Dvd Calendar'!$AB$1220=TYPE2)*(TYPE2&lt;&gt;"")+('Dvd Calendar'!$AB$1220=TYPE3)*(TYPE3&lt;&gt;"")+('Dvd Calendar'!$AB$1220=TYPE4)*(TYPE4&lt;&gt;"")+('Dvd Calendar'!$AB$1220=SPECIAL_LBL)*(INC_SPECIALS="Y"))=0,"",'Dvd Calendar'!$AB$1218)))</f>
        <v/>
      </c>
      <c r="AA125" s="110">
        <f>IF(FC125="","",IF(ISNUMBER('Dvd Calendar'!$AC$1218)=FALSE,"",IF((('Dvd Calendar'!$AC$1220=TYPE1)*(TYPE1&lt;&gt;"")+('Dvd Calendar'!$AC$1220=TYPE2)*(TYPE2&lt;&gt;"")+('Dvd Calendar'!$AC$1220=TYPE3)*(TYPE3&lt;&gt;"")+('Dvd Calendar'!$AC$1220=TYPE4)*(TYPE4&lt;&gt;"")+('Dvd Calendar'!$AC$1220=SPECIAL_LBL)*(INC_SPECIALS="Y"))=0,"",'Dvd Calendar'!$AC$1218)))</f>
        <v/>
      </c>
      <c r="AB125" s="110">
        <f>IF(FD125="","",IF(ISNUMBER('Dvd Calendar'!$AD$1218)=FALSE,"",IF((('Dvd Calendar'!$AD$1220=TYPE1)*(TYPE1&lt;&gt;"")+('Dvd Calendar'!$AD$1220=TYPE2)*(TYPE2&lt;&gt;"")+('Dvd Calendar'!$AD$1220=TYPE3)*(TYPE3&lt;&gt;"")+('Dvd Calendar'!$AD$1220=TYPE4)*(TYPE4&lt;&gt;"")+('Dvd Calendar'!$AD$1220=SPECIAL_LBL)*(INC_SPECIALS="Y"))=0,"",'Dvd Calendar'!$AD$1218)))</f>
        <v/>
      </c>
      <c r="AC125" s="110">
        <f>IF(FE125="","",IF(ISNUMBER('Dvd Calendar'!$AE$1218)=FALSE,"",IF((('Dvd Calendar'!$AE$1220=TYPE1)*(TYPE1&lt;&gt;"")+('Dvd Calendar'!$AE$1220=TYPE2)*(TYPE2&lt;&gt;"")+('Dvd Calendar'!$AE$1220=TYPE3)*(TYPE3&lt;&gt;"")+('Dvd Calendar'!$AE$1220=TYPE4)*(TYPE4&lt;&gt;"")+('Dvd Calendar'!$AE$1220=SPECIAL_LBL)*(INC_SPECIALS="Y"))=0,"",'Dvd Calendar'!$AE$1218)))</f>
        <v/>
      </c>
      <c r="AD125" s="110">
        <f>IF(FF125="","",IF(ISNUMBER('Dvd Calendar'!$AF$1218)=FALSE,"",IF((('Dvd Calendar'!$AF$1220=TYPE1)*(TYPE1&lt;&gt;"")+('Dvd Calendar'!$AF$1220=TYPE2)*(TYPE2&lt;&gt;"")+('Dvd Calendar'!$AF$1220=TYPE3)*(TYPE3&lt;&gt;"")+('Dvd Calendar'!$AF$1220=TYPE4)*(TYPE4&lt;&gt;"")+('Dvd Calendar'!$AF$1220=SPECIAL_LBL)*(INC_SPECIALS="Y"))=0,"",'Dvd Calendar'!$AF$1218)))</f>
        <v/>
      </c>
      <c r="AE125" s="110">
        <f>IF(FG125="","",IF(ISNUMBER('Dvd Calendar'!$AG$1218)=FALSE,"",IF((('Dvd Calendar'!$AG$1220=TYPE1)*(TYPE1&lt;&gt;"")+('Dvd Calendar'!$AG$1220=TYPE2)*(TYPE2&lt;&gt;"")+('Dvd Calendar'!$AG$1220=TYPE3)*(TYPE3&lt;&gt;"")+('Dvd Calendar'!$AG$1220=TYPE4)*(TYPE4&lt;&gt;"")+('Dvd Calendar'!$AG$1220=SPECIAL_LBL)*(INC_SPECIALS="Y"))=0,"",'Dvd Calendar'!$AG$1218)))</f>
        <v/>
      </c>
      <c r="AF125" s="110">
        <f>IF(FH125="","",IF(ISNUMBER('Dvd Calendar'!$AH$1218)=FALSE,"",IF((('Dvd Calendar'!$AH$1220=TYPE1)*(TYPE1&lt;&gt;"")+('Dvd Calendar'!$AH$1220=TYPE2)*(TYPE2&lt;&gt;"")+('Dvd Calendar'!$AH$1220=TYPE3)*(TYPE3&lt;&gt;"")+('Dvd Calendar'!$AH$1220=TYPE4)*(TYPE4&lt;&gt;"")+('Dvd Calendar'!$AH$1220=SPECIAL_LBL)*(INC_SPECIALS="Y"))=0,"",'Dvd Calendar'!$AH$1218)))</f>
        <v/>
      </c>
      <c r="AG125" s="110">
        <f>IF(FI125="","",IF(ISNUMBER('Dvd Calendar'!$AI$1218)=FALSE,"",IF((('Dvd Calendar'!$AI$1220=TYPE1)*(TYPE1&lt;&gt;"")+('Dvd Calendar'!$AI$1220=TYPE2)*(TYPE2&lt;&gt;"")+('Dvd Calendar'!$AI$1220=TYPE3)*(TYPE3&lt;&gt;"")+('Dvd Calendar'!$AI$1220=TYPE4)*(TYPE4&lt;&gt;"")+('Dvd Calendar'!$AI$1220=SPECIAL_LBL)*(INC_SPECIALS="Y"))=0,"",'Dvd Calendar'!$AI$1218)))</f>
        <v/>
      </c>
      <c r="AH125" s="110">
        <f>IF(FJ125="","",IF(ISNUMBER('Dvd Calendar'!$AJ$1218)=FALSE,"",IF((('Dvd Calendar'!$AJ$1220=TYPE1)*(TYPE1&lt;&gt;"")+('Dvd Calendar'!$AJ$1220=TYPE2)*(TYPE2&lt;&gt;"")+('Dvd Calendar'!$AJ$1220=TYPE3)*(TYPE3&lt;&gt;"")+('Dvd Calendar'!$AJ$1220=TYPE4)*(TYPE4&lt;&gt;"")+('Dvd Calendar'!$AJ$1220=SPECIAL_LBL)*(INC_SPECIALS="Y"))=0,"",'Dvd Calendar'!$AJ$1218)))</f>
        <v/>
      </c>
      <c r="AI125" s="110">
        <f>IF(FK125="","",IF(ISNUMBER('Dvd Calendar'!$AK$1218)=FALSE,"",IF((('Dvd Calendar'!$AK$1220=TYPE1)*(TYPE1&lt;&gt;"")+('Dvd Calendar'!$AK$1220=TYPE2)*(TYPE2&lt;&gt;"")+('Dvd Calendar'!$AK$1220=TYPE3)*(TYPE3&lt;&gt;"")+('Dvd Calendar'!$AK$1220=TYPE4)*(TYPE4&lt;&gt;"")+('Dvd Calendar'!$AK$1220=SPECIAL_LBL)*(INC_SPECIALS="Y"))=0,"",'Dvd Calendar'!$AK$1218)))</f>
        <v/>
      </c>
      <c r="AJ125" s="110">
        <f>IF(FL125="","",IF(ISNUMBER('Dvd Calendar'!$AL$1218)=FALSE,"",IF((('Dvd Calendar'!$AL$1220=TYPE1)*(TYPE1&lt;&gt;"")+('Dvd Calendar'!$AL$1220=TYPE2)*(TYPE2&lt;&gt;"")+('Dvd Calendar'!$AL$1220=TYPE3)*(TYPE3&lt;&gt;"")+('Dvd Calendar'!$AL$1220=TYPE4)*(TYPE4&lt;&gt;"")+('Dvd Calendar'!$AL$1220=SPECIAL_LBL)*(INC_SPECIALS="Y"))=0,"",'Dvd Calendar'!$AL$1218)))</f>
        <v/>
      </c>
      <c r="AK125" s="110">
        <f>IF(FM125="","",IF(ISNUMBER('Dvd Calendar'!$AM$1218)=FALSE,"",IF((('Dvd Calendar'!$AM$1220=TYPE1)*(TYPE1&lt;&gt;"")+('Dvd Calendar'!$AM$1220=TYPE2)*(TYPE2&lt;&gt;"")+('Dvd Calendar'!$AM$1220=TYPE3)*(TYPE3&lt;&gt;"")+('Dvd Calendar'!$AM$1220=TYPE4)*(TYPE4&lt;&gt;"")+('Dvd Calendar'!$AM$1220=SPECIAL_LBL)*(INC_SPECIALS="Y"))=0,"",'Dvd Calendar'!$AM$1218)))</f>
        <v/>
      </c>
      <c r="AL125" s="110">
        <f>IF(FN125="","",IF(ISNUMBER('Dvd Calendar'!$AN$1218)=FALSE,"",IF((('Dvd Calendar'!$AN$1220=TYPE1)*(TYPE1&lt;&gt;"")+('Dvd Calendar'!$AN$1220=TYPE2)*(TYPE2&lt;&gt;"")+('Dvd Calendar'!$AN$1220=TYPE3)*(TYPE3&lt;&gt;"")+('Dvd Calendar'!$AN$1220=TYPE4)*(TYPE4&lt;&gt;"")+('Dvd Calendar'!$AN$1220=SPECIAL_LBL)*(INC_SPECIALS="Y"))=0,"",'Dvd Calendar'!$AN$1218)))</f>
        <v/>
      </c>
      <c r="AM125" s="110">
        <f>IF(FO125="","",IF(ISNUMBER('Dvd Calendar'!$AO$1218)=FALSE,"",IF((('Dvd Calendar'!$AO$1220=TYPE1)*(TYPE1&lt;&gt;"")+('Dvd Calendar'!$AO$1220=TYPE2)*(TYPE2&lt;&gt;"")+('Dvd Calendar'!$AO$1220=TYPE3)*(TYPE3&lt;&gt;"")+('Dvd Calendar'!$AO$1220=TYPE4)*(TYPE4&lt;&gt;"")+('Dvd Calendar'!$AO$1220=SPECIAL_LBL)*(INC_SPECIALS="Y"))=0,"",'Dvd Calendar'!$AO$1218)))</f>
        <v/>
      </c>
      <c r="AN125" s="110">
        <f>IF(FP125="","",IF(ISNUMBER('Dvd Calendar'!$AP$1218)=FALSE,"",IF((('Dvd Calendar'!$AP$1220=TYPE1)*(TYPE1&lt;&gt;"")+('Dvd Calendar'!$AP$1220=TYPE2)*(TYPE2&lt;&gt;"")+('Dvd Calendar'!$AP$1220=TYPE3)*(TYPE3&lt;&gt;"")+('Dvd Calendar'!$AP$1220=TYPE4)*(TYPE4&lt;&gt;"")+('Dvd Calendar'!$AP$1220=SPECIAL_LBL)*(INC_SPECIALS="Y"))=0,"",'Dvd Calendar'!$AP$1218)))</f>
        <v/>
      </c>
      <c r="AO125" s="110">
        <f>IF(FQ125="","",IF(ISNUMBER('Dvd Calendar'!$AQ$1218)=FALSE,"",IF((('Dvd Calendar'!$AQ$1220=TYPE1)*(TYPE1&lt;&gt;"")+('Dvd Calendar'!$AQ$1220=TYPE2)*(TYPE2&lt;&gt;"")+('Dvd Calendar'!$AQ$1220=TYPE3)*(TYPE3&lt;&gt;"")+('Dvd Calendar'!$AQ$1220=TYPE4)*(TYPE4&lt;&gt;"")+('Dvd Calendar'!$AQ$1220=SPECIAL_LBL)*(INC_SPECIALS="Y"))=0,"",'Dvd Calendar'!$AQ$1218)))</f>
        <v/>
      </c>
      <c r="AP125" s="110">
        <f>IF(FR125="","",IF(ISNUMBER('Dvd Calendar'!$AR$1218)=FALSE,"",IF((('Dvd Calendar'!$AR$1220=TYPE1)*(TYPE1&lt;&gt;"")+('Dvd Calendar'!$AR$1220=TYPE2)*(TYPE2&lt;&gt;"")+('Dvd Calendar'!$AR$1220=TYPE3)*(TYPE3&lt;&gt;"")+('Dvd Calendar'!$AR$1220=TYPE4)*(TYPE4&lt;&gt;"")+('Dvd Calendar'!$AR$1220=SPECIAL_LBL)*(INC_SPECIALS="Y"))=0,"",'Dvd Calendar'!$AR$1218)))</f>
        <v/>
      </c>
      <c r="AQ125" s="110">
        <f>IF(FS125="","",IF(ISNUMBER('Dvd Calendar'!$E$1223)=FALSE,"",'Dvd Calendar'!$E$1223))</f>
        <v/>
      </c>
      <c r="AR125" s="110">
        <f>IF(FT125="","",IF(ISNUMBER('Dvd Calendar'!$F$1223)=FALSE,"",'Dvd Calendar'!$F$1223))</f>
        <v/>
      </c>
      <c r="AS125" s="110">
        <f>IF(FU125="","",IF(ISNUMBER('Dvd Calendar'!$G$1223)=FALSE,"",'Dvd Calendar'!$G$1223))</f>
        <v/>
      </c>
      <c r="AT125" s="110">
        <f>IF(FV125="","",IF(ISNUMBER('Dvd Calendar'!$H$1223)=FALSE,"",'Dvd Calendar'!$H$1223))</f>
        <v/>
      </c>
      <c r="AU125" s="110">
        <f>IF(FW125="","",IF(ISNUMBER('Dvd Calendar'!$I$1223)=FALSE,"",'Dvd Calendar'!$I$1223))</f>
        <v/>
      </c>
      <c r="AV125" s="110">
        <f>IF(FX125="","",IF(ISNUMBER('Dvd Calendar'!$J$1223)=FALSE,"",'Dvd Calendar'!$J$1223))</f>
        <v/>
      </c>
      <c r="AW125" s="110">
        <f>IF(FY125="","",IF(ISNUMBER('Dvd Calendar'!$K$1223)=FALSE,"",'Dvd Calendar'!$K$1223))</f>
        <v/>
      </c>
      <c r="AX125" s="110">
        <f>IF(FZ125="","",IF(ISNUMBER('Dvd Calendar'!$L$1223)=FALSE,"",'Dvd Calendar'!$L$1223))</f>
        <v/>
      </c>
      <c r="AY125" s="110">
        <f>IF(GA125="","",IF(ISNUMBER('Dvd Calendar'!$M$1223)=FALSE,"",'Dvd Calendar'!$M$1223))</f>
        <v/>
      </c>
      <c r="AZ125" s="110">
        <f>IF(GB125="","",IF(ISNUMBER('Dvd Calendar'!$N$1223)=FALSE,"",'Dvd Calendar'!$N$1223))</f>
        <v/>
      </c>
      <c r="BA125" s="110">
        <f>IF(GC125="","",IF(ISNUMBER('Dvd Calendar'!$O$1223)=FALSE,"",'Dvd Calendar'!$O$1223))</f>
        <v/>
      </c>
      <c r="BB125" s="110">
        <f>IF(GD125="","",IF(ISNUMBER('Dvd Calendar'!$P$1223)=FALSE,"",'Dvd Calendar'!$P$1223))</f>
        <v/>
      </c>
      <c r="BC125" s="110">
        <f>IF(GE125="","",IF(ISNUMBER('Dvd Calendar'!$Q$1223)=FALSE,"",'Dvd Calendar'!$Q$1223))</f>
        <v/>
      </c>
      <c r="BD125" s="110">
        <f>IF(GF125="","",IF(ISNUMBER('Dvd Calendar'!$R$1223)=FALSE,"",'Dvd Calendar'!$R$1223))</f>
        <v/>
      </c>
      <c r="BE125" s="110">
        <f>IF(GG125="","",IF(ISNUMBER('Dvd Calendar'!$S$1223)=FALSE,"",'Dvd Calendar'!$S$1223))</f>
        <v/>
      </c>
      <c r="BF125" s="110">
        <f>IF(GH125="","",IF(ISNUMBER('Dvd Calendar'!$T$1223)=FALSE,"",'Dvd Calendar'!$T$1223))</f>
        <v/>
      </c>
      <c r="BG125" s="110">
        <f>IF(GI125="","",IF(ISNUMBER('Dvd Calendar'!$U$1223)=FALSE,"",'Dvd Calendar'!$U$1223))</f>
        <v/>
      </c>
      <c r="BH125" s="110">
        <f>IF(GJ125="","",IF(ISNUMBER('Dvd Calendar'!$V$1223)=FALSE,"",'Dvd Calendar'!$V$1223))</f>
        <v/>
      </c>
      <c r="BI125" s="110">
        <f>IF(GK125="","",IF(ISNUMBER('Dvd Calendar'!$W$1223)=FALSE,"",'Dvd Calendar'!$W$1223))</f>
        <v/>
      </c>
      <c r="BJ125" s="110">
        <f>IF(GL125="","",IF(ISNUMBER('Dvd Calendar'!$X$1223)=FALSE,"",'Dvd Calendar'!$X$1223))</f>
        <v/>
      </c>
      <c r="BK125" s="110">
        <f>IF(GM125="","",IF(ISNUMBER('Dvd Calendar'!$Y$1223)=FALSE,"",'Dvd Calendar'!$Y$1223))</f>
        <v/>
      </c>
      <c r="BL125" s="110">
        <f>IF(GN125="","",IF(ISNUMBER('Dvd Calendar'!$Z$1223)=FALSE,"",'Dvd Calendar'!$Z$1223))</f>
        <v/>
      </c>
      <c r="BM125" s="110">
        <f>IF(GO125="","",IF(ISNUMBER('Dvd Calendar'!$AA$1223)=FALSE,"",'Dvd Calendar'!$AA$1223))</f>
        <v/>
      </c>
      <c r="BN125" s="110">
        <f>IF(GP125="","",IF(ISNUMBER('Dvd Calendar'!$AB$1223)=FALSE,"",'Dvd Calendar'!$AB$1223))</f>
        <v/>
      </c>
      <c r="BO125" s="110">
        <f>IF(GQ125="","",IF(ISNUMBER('Dvd Calendar'!$AC$1223)=FALSE,"",'Dvd Calendar'!$AC$1223))</f>
        <v/>
      </c>
      <c r="BQ125" s="110">
        <f>IF(C125="","",IFERROR(C125*HSTECH!$B$16*HSTECH!$G$16/HSTECH!$B$3,""))</f>
        <v/>
      </c>
      <c r="BR125" s="110">
        <f>IF(D125="","",IFERROR(D125*HSTECH!$B$16*HSTECH!$G$16/HSTECH!$B$3,""))</f>
        <v/>
      </c>
      <c r="BS125" s="110">
        <f>IF(E125="","",IFERROR(E125*HSTECH!$B$16*HSTECH!$G$16/HSTECH!$B$3,""))</f>
        <v/>
      </c>
      <c r="BT125" s="110">
        <f>IF(F125="","",IFERROR(F125*HSTECH!$B$16*HSTECH!$G$16/HSTECH!$B$3,""))</f>
        <v/>
      </c>
      <c r="BU125" s="110">
        <f>IF(G125="","",IFERROR(G125*HSTECH!$B$16*HSTECH!$G$16/HSTECH!$B$3,""))</f>
        <v/>
      </c>
      <c r="BV125" s="110">
        <f>IF(H125="","",IFERROR(H125*HSTECH!$B$16*HSTECH!$G$16/HSTECH!$B$3,""))</f>
        <v/>
      </c>
      <c r="BW125" s="110">
        <f>IF(I125="","",IFERROR(I125*HSTECH!$B$16*HSTECH!$G$16/HSTECH!$B$3,""))</f>
        <v/>
      </c>
      <c r="BX125" s="110">
        <f>IF(J125="","",IFERROR(J125*HSTECH!$B$16*HSTECH!$G$16/HSTECH!$B$3,""))</f>
        <v/>
      </c>
      <c r="BY125" s="110">
        <f>IF(K125="","",IFERROR(K125*HSTECH!$B$16*HSTECH!$G$16/HSTECH!$B$3,""))</f>
        <v/>
      </c>
      <c r="BZ125" s="110">
        <f>IF(L125="","",IFERROR(L125*HSTECH!$B$16*HSTECH!$G$16/HSTECH!$B$3,""))</f>
        <v/>
      </c>
      <c r="CA125" s="110">
        <f>IF(M125="","",IFERROR(M125*HSTECH!$B$16*HSTECH!$G$16/HSTECH!$B$3,""))</f>
        <v/>
      </c>
      <c r="CB125" s="110">
        <f>IF(N125="","",IFERROR(N125*HSTECH!$B$16*HSTECH!$G$16/HSTECH!$B$3,""))</f>
        <v/>
      </c>
      <c r="CC125" s="110">
        <f>IF(O125="","",IFERROR(O125*HSTECH!$B$16*HSTECH!$G$16/HSTECH!$B$3,""))</f>
        <v/>
      </c>
      <c r="CD125" s="110">
        <f>IF(P125="","",IFERROR(P125*HSTECH!$B$16*HSTECH!$G$16/HSTECH!$B$3,""))</f>
        <v/>
      </c>
      <c r="CE125" s="110">
        <f>IF(Q125="","",IFERROR(Q125*HSTECH!$B$16*HSTECH!$G$16/HSTECH!$B$3,""))</f>
        <v/>
      </c>
      <c r="CF125" s="110">
        <f>IF(R125="","",IFERROR(R125*HSTECH!$B$16*HSTECH!$G$16/HSTECH!$B$3,""))</f>
        <v/>
      </c>
      <c r="CG125" s="110">
        <f>IF(S125="","",IFERROR(S125*HSTECH!$B$16*HSTECH!$G$16/HSTECH!$B$3,""))</f>
        <v/>
      </c>
      <c r="CH125" s="110">
        <f>IF(T125="","",IFERROR(T125*HSTECH!$B$16*HSTECH!$G$16/HSTECH!$B$3,""))</f>
        <v/>
      </c>
      <c r="CI125" s="110">
        <f>IF(U125="","",IFERROR(U125*HSTECH!$B$16*HSTECH!$G$16/HSTECH!$B$3,""))</f>
        <v/>
      </c>
      <c r="CJ125" s="110">
        <f>IF(V125="","",IFERROR(V125*HSTECH!$B$16*HSTECH!$G$16/HSTECH!$B$3,""))</f>
        <v/>
      </c>
      <c r="CK125" s="110">
        <f>IF(W125="","",IFERROR(W125*HSTECH!$B$16*HSTECH!$G$16/HSTECH!$B$3,""))</f>
        <v/>
      </c>
      <c r="CL125" s="110">
        <f>IF(X125="","",IFERROR(X125*HSTECH!$B$16*HSTECH!$G$16/HSTECH!$B$3,""))</f>
        <v/>
      </c>
      <c r="CM125" s="110">
        <f>IF(Y125="","",IFERROR(Y125*HSTECH!$B$16*HSTECH!$G$16/HSTECH!$B$3,""))</f>
        <v/>
      </c>
      <c r="CN125" s="110">
        <f>IF(Z125="","",IFERROR(Z125*HSTECH!$B$16*HSTECH!$G$16/HSTECH!$B$3,""))</f>
        <v/>
      </c>
      <c r="CO125" s="110">
        <f>IF(AA125="","",IFERROR(AA125*HSTECH!$B$16*HSTECH!$G$16/HSTECH!$B$3,""))</f>
        <v/>
      </c>
      <c r="CP125" s="110">
        <f>IF(AB125="","",IFERROR(AB125*HSTECH!$B$16*HSTECH!$G$16/HSTECH!$B$3,""))</f>
        <v/>
      </c>
      <c r="CQ125" s="110">
        <f>IF(AC125="","",IFERROR(AC125*HSTECH!$B$16*HSTECH!$G$16/HSTECH!$B$3,""))</f>
        <v/>
      </c>
      <c r="CR125" s="110">
        <f>IF(AD125="","",IFERROR(AD125*HSTECH!$B$16*HSTECH!$G$16/HSTECH!$B$3,""))</f>
        <v/>
      </c>
      <c r="CS125" s="110">
        <f>IF(AE125="","",IFERROR(AE125*HSTECH!$B$16*HSTECH!$G$16/HSTECH!$B$3,""))</f>
        <v/>
      </c>
      <c r="CT125" s="110">
        <f>IF(AF125="","",IFERROR(AF125*HSTECH!$B$16*HSTECH!$G$16/HSTECH!$B$3,""))</f>
        <v/>
      </c>
      <c r="CU125" s="110">
        <f>IF(AG125="","",IFERROR(AG125*HSTECH!$B$16*HSTECH!$G$16/HSTECH!$B$3,""))</f>
        <v/>
      </c>
      <c r="CV125" s="110">
        <f>IF(AH125="","",IFERROR(AH125*HSTECH!$B$16*HSTECH!$G$16/HSTECH!$B$3,""))</f>
        <v/>
      </c>
      <c r="CW125" s="110">
        <f>IF(AI125="","",IFERROR(AI125*HSTECH!$B$16*HSTECH!$G$16/HSTECH!$B$3,""))</f>
        <v/>
      </c>
      <c r="CX125" s="110">
        <f>IF(AJ125="","",IFERROR(AJ125*HSTECH!$B$16*HSTECH!$G$16/HSTECH!$B$3,""))</f>
        <v/>
      </c>
      <c r="CY125" s="110">
        <f>IF(AK125="","",IFERROR(AK125*HSTECH!$B$16*HSTECH!$G$16/HSTECH!$B$3,""))</f>
        <v/>
      </c>
      <c r="CZ125" s="110">
        <f>IF(AL125="","",IFERROR(AL125*HSTECH!$B$16*HSTECH!$G$16/HSTECH!$B$3,""))</f>
        <v/>
      </c>
      <c r="DA125" s="110">
        <f>IF(AM125="","",IFERROR(AM125*HSTECH!$B$16*HSTECH!$G$16/HSTECH!$B$3,""))</f>
        <v/>
      </c>
      <c r="DB125" s="110">
        <f>IF(AN125="","",IFERROR(AN125*HSTECH!$B$16*HSTECH!$G$16/HSTECH!$B$3,""))</f>
        <v/>
      </c>
      <c r="DC125" s="110">
        <f>IF(AO125="","",IFERROR(AO125*HSTECH!$B$16*HSTECH!$G$16/HSTECH!$B$3,""))</f>
        <v/>
      </c>
      <c r="DD125" s="110">
        <f>IF(AP125="","",IFERROR(AP125*HSTECH!$B$16*HSTECH!$G$16/HSTECH!$B$3,""))</f>
        <v/>
      </c>
      <c r="DE125" s="110">
        <f>IF(AQ125="","",IFERROR(AQ125*HSTECH!$B$16*HSTECH!$G$16/HSTECH!$B$3,""))</f>
        <v/>
      </c>
      <c r="DF125" s="110">
        <f>IF(AR125="","",IFERROR(AR125*HSTECH!$B$16*HSTECH!$G$16/HSTECH!$B$3,""))</f>
        <v/>
      </c>
      <c r="DG125" s="110">
        <f>IF(AS125="","",IFERROR(AS125*HSTECH!$B$16*HSTECH!$G$16/HSTECH!$B$3,""))</f>
        <v/>
      </c>
      <c r="DH125" s="110">
        <f>IF(AT125="","",IFERROR(AT125*HSTECH!$B$16*HSTECH!$G$16/HSTECH!$B$3,""))</f>
        <v/>
      </c>
      <c r="DI125" s="110">
        <f>IF(AU125="","",IFERROR(AU125*HSTECH!$B$16*HSTECH!$G$16/HSTECH!$B$3,""))</f>
        <v/>
      </c>
      <c r="DJ125" s="110">
        <f>IF(AV125="","",IFERROR(AV125*HSTECH!$B$16*HSTECH!$G$16/HSTECH!$B$3,""))</f>
        <v/>
      </c>
      <c r="DK125" s="110">
        <f>IF(AW125="","",IFERROR(AW125*HSTECH!$B$16*HSTECH!$G$16/HSTECH!$B$3,""))</f>
        <v/>
      </c>
      <c r="DL125" s="110">
        <f>IF(AX125="","",IFERROR(AX125*HSTECH!$B$16*HSTECH!$G$16/HSTECH!$B$3,""))</f>
        <v/>
      </c>
      <c r="DM125" s="110">
        <f>IF(AY125="","",IFERROR(AY125*HSTECH!$B$16*HSTECH!$G$16/HSTECH!$B$3,""))</f>
        <v/>
      </c>
      <c r="DN125" s="110">
        <f>IF(AZ125="","",IFERROR(AZ125*HSTECH!$B$16*HSTECH!$G$16/HSTECH!$B$3,""))</f>
        <v/>
      </c>
      <c r="DO125" s="110">
        <f>IF(BA125="","",IFERROR(BA125*HSTECH!$B$16*HSTECH!$G$16/HSTECH!$B$3,""))</f>
        <v/>
      </c>
      <c r="DP125" s="110">
        <f>IF(BB125="","",IFERROR(BB125*HSTECH!$B$16*HSTECH!$G$16/HSTECH!$B$3,""))</f>
        <v/>
      </c>
      <c r="DQ125" s="110">
        <f>IF(BC125="","",IFERROR(BC125*HSTECH!$B$16*HSTECH!$G$16/HSTECH!$B$3,""))</f>
        <v/>
      </c>
      <c r="DR125" s="110">
        <f>IF(BD125="","",IFERROR(BD125*HSTECH!$B$16*HSTECH!$G$16/HSTECH!$B$3,""))</f>
        <v/>
      </c>
      <c r="DS125" s="110">
        <f>IF(BE125="","",IFERROR(BE125*HSTECH!$B$16*HSTECH!$G$16/HSTECH!$B$3,""))</f>
        <v/>
      </c>
      <c r="DT125" s="110">
        <f>IF(BF125="","",IFERROR(BF125*HSTECH!$B$16*HSTECH!$G$16/HSTECH!$B$3,""))</f>
        <v/>
      </c>
      <c r="DU125" s="110">
        <f>IF(BG125="","",IFERROR(BG125*HSTECH!$B$16*HSTECH!$G$16/HSTECH!$B$3,""))</f>
        <v/>
      </c>
      <c r="DV125" s="110">
        <f>IF(BH125="","",IFERROR(BH125*HSTECH!$B$16*HSTECH!$G$16/HSTECH!$B$3,""))</f>
        <v/>
      </c>
      <c r="DW125" s="110">
        <f>IF(BI125="","",IFERROR(BI125*HSTECH!$B$16*HSTECH!$G$16/HSTECH!$B$3,""))</f>
        <v/>
      </c>
      <c r="DX125" s="110">
        <f>IF(BJ125="","",IFERROR(BJ125*HSTECH!$B$16*HSTECH!$G$16/HSTECH!$B$3,""))</f>
        <v/>
      </c>
      <c r="DY125" s="110">
        <f>IF(BK125="","",IFERROR(BK125*HSTECH!$B$16*HSTECH!$G$16/HSTECH!$B$3,""))</f>
        <v/>
      </c>
      <c r="DZ125" s="110">
        <f>IF(BL125="","",IFERROR(BL125*HSTECH!$B$16*HSTECH!$G$16/HSTECH!$B$3,""))</f>
        <v/>
      </c>
      <c r="EA125" s="110">
        <f>IF(BM125="","",IFERROR(BM125*HSTECH!$B$16*HSTECH!$G$16/HSTECH!$B$3,""))</f>
        <v/>
      </c>
      <c r="EB125" s="110">
        <f>IF(BN125="","",IFERROR(BN125*HSTECH!$B$16*HSTECH!$G$16/HSTECH!$B$3,""))</f>
        <v/>
      </c>
      <c r="EC125" s="110">
        <f>IF(BO125="","",IFERROR(BO125*HSTECH!$B$16*HSTECH!$G$16/HSTECH!$B$3,""))</f>
        <v/>
      </c>
      <c r="EE125" s="39">
        <f>IF(N('Dvd Calendar'!$E$1215)=0,"",IF(('Dvd Calendar'!$E$1215&gt;=GRID_FROM)*('Dvd Calendar'!$E$1215&lt;=GRID_TO)*((('Dvd Calendar'!$E$1215&lt;=VAL_DATE)+(COUNTIF('Dvd Calendar'!$E$1222:$AR$1222,'Dvd Calendar'!$E$1215)=0))&gt;0)=0,"",'Dvd Calendar'!$E$1215*1000000000+ISNUMBER('Dvd Calendar'!$E$1218)*100000000+('Dvd Calendar'!$E$1220=SPECIAL_LBL)*10000000+(N('Dvd Calendar'!$E$1214)&gt;0)*(N('Dvd Calendar'!$E$1214)&lt;=VAL_SERIAL)*1000000+10*1000+1))</f>
        <v/>
      </c>
      <c r="EF125" s="39">
        <f>IF(N('Dvd Calendar'!$F$1215)=0,"",IF(('Dvd Calendar'!$F$1215&gt;=GRID_FROM)*('Dvd Calendar'!$F$1215&lt;=GRID_TO)*((('Dvd Calendar'!$F$1215&lt;=VAL_DATE)+(COUNTIF('Dvd Calendar'!$E$1222:$AR$1222,'Dvd Calendar'!$F$1215)=0))&gt;0)=0,"",'Dvd Calendar'!$F$1215*1000000000+ISNUMBER('Dvd Calendar'!$F$1218)*100000000+('Dvd Calendar'!$F$1220=SPECIAL_LBL)*10000000+(N('Dvd Calendar'!$F$1214)&gt;0)*(N('Dvd Calendar'!$F$1214)&lt;=VAL_SERIAL)*1000000+10*1000+2))</f>
        <v/>
      </c>
      <c r="EG125" s="39">
        <f>IF(N('Dvd Calendar'!$G$1215)=0,"",IF(('Dvd Calendar'!$G$1215&gt;=GRID_FROM)*('Dvd Calendar'!$G$1215&lt;=GRID_TO)*((('Dvd Calendar'!$G$1215&lt;=VAL_DATE)+(COUNTIF('Dvd Calendar'!$E$1222:$AR$1222,'Dvd Calendar'!$G$1215)=0))&gt;0)=0,"",'Dvd Calendar'!$G$1215*1000000000+ISNUMBER('Dvd Calendar'!$G$1218)*100000000+('Dvd Calendar'!$G$1220=SPECIAL_LBL)*10000000+(N('Dvd Calendar'!$G$1214)&gt;0)*(N('Dvd Calendar'!$G$1214)&lt;=VAL_SERIAL)*1000000+10*1000+3))</f>
        <v/>
      </c>
      <c r="EH125" s="39">
        <f>IF(N('Dvd Calendar'!$H$1215)=0,"",IF(('Dvd Calendar'!$H$1215&gt;=GRID_FROM)*('Dvd Calendar'!$H$1215&lt;=GRID_TO)*((('Dvd Calendar'!$H$1215&lt;=VAL_DATE)+(COUNTIF('Dvd Calendar'!$E$1222:$AR$1222,'Dvd Calendar'!$H$1215)=0))&gt;0)=0,"",'Dvd Calendar'!$H$1215*1000000000+ISNUMBER('Dvd Calendar'!$H$1218)*100000000+('Dvd Calendar'!$H$1220=SPECIAL_LBL)*10000000+(N('Dvd Calendar'!$H$1214)&gt;0)*(N('Dvd Calendar'!$H$1214)&lt;=VAL_SERIAL)*1000000+10*1000+4))</f>
        <v/>
      </c>
      <c r="EI125" s="39">
        <f>IF(N('Dvd Calendar'!$I$1215)=0,"",IF(('Dvd Calendar'!$I$1215&gt;=GRID_FROM)*('Dvd Calendar'!$I$1215&lt;=GRID_TO)*((('Dvd Calendar'!$I$1215&lt;=VAL_DATE)+(COUNTIF('Dvd Calendar'!$E$1222:$AR$1222,'Dvd Calendar'!$I$1215)=0))&gt;0)=0,"",'Dvd Calendar'!$I$1215*1000000000+ISNUMBER('Dvd Calendar'!$I$1218)*100000000+('Dvd Calendar'!$I$1220=SPECIAL_LBL)*10000000+(N('Dvd Calendar'!$I$1214)&gt;0)*(N('Dvd Calendar'!$I$1214)&lt;=VAL_SERIAL)*1000000+10*1000+5))</f>
        <v/>
      </c>
      <c r="EJ125" s="39">
        <f>IF(N('Dvd Calendar'!$J$1215)=0,"",IF(('Dvd Calendar'!$J$1215&gt;=GRID_FROM)*('Dvd Calendar'!$J$1215&lt;=GRID_TO)*((('Dvd Calendar'!$J$1215&lt;=VAL_DATE)+(COUNTIF('Dvd Calendar'!$E$1222:$AR$1222,'Dvd Calendar'!$J$1215)=0))&gt;0)=0,"",'Dvd Calendar'!$J$1215*1000000000+ISNUMBER('Dvd Calendar'!$J$1218)*100000000+('Dvd Calendar'!$J$1220=SPECIAL_LBL)*10000000+(N('Dvd Calendar'!$J$1214)&gt;0)*(N('Dvd Calendar'!$J$1214)&lt;=VAL_SERIAL)*1000000+10*1000+6))</f>
        <v/>
      </c>
      <c r="EK125" s="39">
        <f>IF(N('Dvd Calendar'!$K$1215)=0,"",IF(('Dvd Calendar'!$K$1215&gt;=GRID_FROM)*('Dvd Calendar'!$K$1215&lt;=GRID_TO)*((('Dvd Calendar'!$K$1215&lt;=VAL_DATE)+(COUNTIF('Dvd Calendar'!$E$1222:$AR$1222,'Dvd Calendar'!$K$1215)=0))&gt;0)=0,"",'Dvd Calendar'!$K$1215*1000000000+ISNUMBER('Dvd Calendar'!$K$1218)*100000000+('Dvd Calendar'!$K$1220=SPECIAL_LBL)*10000000+(N('Dvd Calendar'!$K$1214)&gt;0)*(N('Dvd Calendar'!$K$1214)&lt;=VAL_SERIAL)*1000000+10*1000+7))</f>
        <v/>
      </c>
      <c r="EL125" s="39">
        <f>IF(N('Dvd Calendar'!$L$1215)=0,"",IF(('Dvd Calendar'!$L$1215&gt;=GRID_FROM)*('Dvd Calendar'!$L$1215&lt;=GRID_TO)*((('Dvd Calendar'!$L$1215&lt;=VAL_DATE)+(COUNTIF('Dvd Calendar'!$E$1222:$AR$1222,'Dvd Calendar'!$L$1215)=0))&gt;0)=0,"",'Dvd Calendar'!$L$1215*1000000000+ISNUMBER('Dvd Calendar'!$L$1218)*100000000+('Dvd Calendar'!$L$1220=SPECIAL_LBL)*10000000+(N('Dvd Calendar'!$L$1214)&gt;0)*(N('Dvd Calendar'!$L$1214)&lt;=VAL_SERIAL)*1000000+10*1000+8))</f>
        <v/>
      </c>
      <c r="EM125" s="39">
        <f>IF(N('Dvd Calendar'!$M$1215)=0,"",IF(('Dvd Calendar'!$M$1215&gt;=GRID_FROM)*('Dvd Calendar'!$M$1215&lt;=GRID_TO)*((('Dvd Calendar'!$M$1215&lt;=VAL_DATE)+(COUNTIF('Dvd Calendar'!$E$1222:$AR$1222,'Dvd Calendar'!$M$1215)=0))&gt;0)=0,"",'Dvd Calendar'!$M$1215*1000000000+ISNUMBER('Dvd Calendar'!$M$1218)*100000000+('Dvd Calendar'!$M$1220=SPECIAL_LBL)*10000000+(N('Dvd Calendar'!$M$1214)&gt;0)*(N('Dvd Calendar'!$M$1214)&lt;=VAL_SERIAL)*1000000+10*1000+9))</f>
        <v/>
      </c>
      <c r="EN125" s="39">
        <f>IF(N('Dvd Calendar'!$N$1215)=0,"",IF(('Dvd Calendar'!$N$1215&gt;=GRID_FROM)*('Dvd Calendar'!$N$1215&lt;=GRID_TO)*((('Dvd Calendar'!$N$1215&lt;=VAL_DATE)+(COUNTIF('Dvd Calendar'!$E$1222:$AR$1222,'Dvd Calendar'!$N$1215)=0))&gt;0)=0,"",'Dvd Calendar'!$N$1215*1000000000+ISNUMBER('Dvd Calendar'!$N$1218)*100000000+('Dvd Calendar'!$N$1220=SPECIAL_LBL)*10000000+(N('Dvd Calendar'!$N$1214)&gt;0)*(N('Dvd Calendar'!$N$1214)&lt;=VAL_SERIAL)*1000000+10*1000+10))</f>
        <v/>
      </c>
      <c r="EO125" s="39">
        <f>IF(N('Dvd Calendar'!$O$1215)=0,"",IF(('Dvd Calendar'!$O$1215&gt;=GRID_FROM)*('Dvd Calendar'!$O$1215&lt;=GRID_TO)*((('Dvd Calendar'!$O$1215&lt;=VAL_DATE)+(COUNTIF('Dvd Calendar'!$E$1222:$AR$1222,'Dvd Calendar'!$O$1215)=0))&gt;0)=0,"",'Dvd Calendar'!$O$1215*1000000000+ISNUMBER('Dvd Calendar'!$O$1218)*100000000+('Dvd Calendar'!$O$1220=SPECIAL_LBL)*10000000+(N('Dvd Calendar'!$O$1214)&gt;0)*(N('Dvd Calendar'!$O$1214)&lt;=VAL_SERIAL)*1000000+10*1000+11))</f>
        <v/>
      </c>
      <c r="EP125" s="39">
        <f>IF(N('Dvd Calendar'!$P$1215)=0,"",IF(('Dvd Calendar'!$P$1215&gt;=GRID_FROM)*('Dvd Calendar'!$P$1215&lt;=GRID_TO)*((('Dvd Calendar'!$P$1215&lt;=VAL_DATE)+(COUNTIF('Dvd Calendar'!$E$1222:$AR$1222,'Dvd Calendar'!$P$1215)=0))&gt;0)=0,"",'Dvd Calendar'!$P$1215*1000000000+ISNUMBER('Dvd Calendar'!$P$1218)*100000000+('Dvd Calendar'!$P$1220=SPECIAL_LBL)*10000000+(N('Dvd Calendar'!$P$1214)&gt;0)*(N('Dvd Calendar'!$P$1214)&lt;=VAL_SERIAL)*1000000+10*1000+12))</f>
        <v/>
      </c>
      <c r="EQ125" s="39">
        <f>IF(N('Dvd Calendar'!$Q$1215)=0,"",IF(('Dvd Calendar'!$Q$1215&gt;=GRID_FROM)*('Dvd Calendar'!$Q$1215&lt;=GRID_TO)*((('Dvd Calendar'!$Q$1215&lt;=VAL_DATE)+(COUNTIF('Dvd Calendar'!$E$1222:$AR$1222,'Dvd Calendar'!$Q$1215)=0))&gt;0)=0,"",'Dvd Calendar'!$Q$1215*1000000000+ISNUMBER('Dvd Calendar'!$Q$1218)*100000000+('Dvd Calendar'!$Q$1220=SPECIAL_LBL)*10000000+(N('Dvd Calendar'!$Q$1214)&gt;0)*(N('Dvd Calendar'!$Q$1214)&lt;=VAL_SERIAL)*1000000+10*1000+13))</f>
        <v/>
      </c>
      <c r="ER125" s="39">
        <f>IF(N('Dvd Calendar'!$R$1215)=0,"",IF(('Dvd Calendar'!$R$1215&gt;=GRID_FROM)*('Dvd Calendar'!$R$1215&lt;=GRID_TO)*((('Dvd Calendar'!$R$1215&lt;=VAL_DATE)+(COUNTIF('Dvd Calendar'!$E$1222:$AR$1222,'Dvd Calendar'!$R$1215)=0))&gt;0)=0,"",'Dvd Calendar'!$R$1215*1000000000+ISNUMBER('Dvd Calendar'!$R$1218)*100000000+('Dvd Calendar'!$R$1220=SPECIAL_LBL)*10000000+(N('Dvd Calendar'!$R$1214)&gt;0)*(N('Dvd Calendar'!$R$1214)&lt;=VAL_SERIAL)*1000000+10*1000+14))</f>
        <v/>
      </c>
      <c r="ES125" s="39">
        <f>IF(N('Dvd Calendar'!$S$1215)=0,"",IF(('Dvd Calendar'!$S$1215&gt;=GRID_FROM)*('Dvd Calendar'!$S$1215&lt;=GRID_TO)*((('Dvd Calendar'!$S$1215&lt;=VAL_DATE)+(COUNTIF('Dvd Calendar'!$E$1222:$AR$1222,'Dvd Calendar'!$S$1215)=0))&gt;0)=0,"",'Dvd Calendar'!$S$1215*1000000000+ISNUMBER('Dvd Calendar'!$S$1218)*100000000+('Dvd Calendar'!$S$1220=SPECIAL_LBL)*10000000+(N('Dvd Calendar'!$S$1214)&gt;0)*(N('Dvd Calendar'!$S$1214)&lt;=VAL_SERIAL)*1000000+10*1000+15))</f>
        <v/>
      </c>
      <c r="ET125" s="39">
        <f>IF(N('Dvd Calendar'!$T$1215)=0,"",IF(('Dvd Calendar'!$T$1215&gt;=GRID_FROM)*('Dvd Calendar'!$T$1215&lt;=GRID_TO)*((('Dvd Calendar'!$T$1215&lt;=VAL_DATE)+(COUNTIF('Dvd Calendar'!$E$1222:$AR$1222,'Dvd Calendar'!$T$1215)=0))&gt;0)=0,"",'Dvd Calendar'!$T$1215*1000000000+ISNUMBER('Dvd Calendar'!$T$1218)*100000000+('Dvd Calendar'!$T$1220=SPECIAL_LBL)*10000000+(N('Dvd Calendar'!$T$1214)&gt;0)*(N('Dvd Calendar'!$T$1214)&lt;=VAL_SERIAL)*1000000+10*1000+16))</f>
        <v/>
      </c>
      <c r="EU125" s="39">
        <f>IF(N('Dvd Calendar'!$U$1215)=0,"",IF(('Dvd Calendar'!$U$1215&gt;=GRID_FROM)*('Dvd Calendar'!$U$1215&lt;=GRID_TO)*((('Dvd Calendar'!$U$1215&lt;=VAL_DATE)+(COUNTIF('Dvd Calendar'!$E$1222:$AR$1222,'Dvd Calendar'!$U$1215)=0))&gt;0)=0,"",'Dvd Calendar'!$U$1215*1000000000+ISNUMBER('Dvd Calendar'!$U$1218)*100000000+('Dvd Calendar'!$U$1220=SPECIAL_LBL)*10000000+(N('Dvd Calendar'!$U$1214)&gt;0)*(N('Dvd Calendar'!$U$1214)&lt;=VAL_SERIAL)*1000000+10*1000+17))</f>
        <v/>
      </c>
      <c r="EV125" s="39">
        <f>IF(N('Dvd Calendar'!$V$1215)=0,"",IF(('Dvd Calendar'!$V$1215&gt;=GRID_FROM)*('Dvd Calendar'!$V$1215&lt;=GRID_TO)*((('Dvd Calendar'!$V$1215&lt;=VAL_DATE)+(COUNTIF('Dvd Calendar'!$E$1222:$AR$1222,'Dvd Calendar'!$V$1215)=0))&gt;0)=0,"",'Dvd Calendar'!$V$1215*1000000000+ISNUMBER('Dvd Calendar'!$V$1218)*100000000+('Dvd Calendar'!$V$1220=SPECIAL_LBL)*10000000+(N('Dvd Calendar'!$V$1214)&gt;0)*(N('Dvd Calendar'!$V$1214)&lt;=VAL_SERIAL)*1000000+10*1000+18))</f>
        <v/>
      </c>
      <c r="EW125" s="39">
        <f>IF(N('Dvd Calendar'!$W$1215)=0,"",IF(('Dvd Calendar'!$W$1215&gt;=GRID_FROM)*('Dvd Calendar'!$W$1215&lt;=GRID_TO)*((('Dvd Calendar'!$W$1215&lt;=VAL_DATE)+(COUNTIF('Dvd Calendar'!$E$1222:$AR$1222,'Dvd Calendar'!$W$1215)=0))&gt;0)=0,"",'Dvd Calendar'!$W$1215*1000000000+ISNUMBER('Dvd Calendar'!$W$1218)*100000000+('Dvd Calendar'!$W$1220=SPECIAL_LBL)*10000000+(N('Dvd Calendar'!$W$1214)&gt;0)*(N('Dvd Calendar'!$W$1214)&lt;=VAL_SERIAL)*1000000+10*1000+19))</f>
        <v/>
      </c>
      <c r="EX125" s="39">
        <f>IF(N('Dvd Calendar'!$X$1215)=0,"",IF(('Dvd Calendar'!$X$1215&gt;=GRID_FROM)*('Dvd Calendar'!$X$1215&lt;=GRID_TO)*((('Dvd Calendar'!$X$1215&lt;=VAL_DATE)+(COUNTIF('Dvd Calendar'!$E$1222:$AR$1222,'Dvd Calendar'!$X$1215)=0))&gt;0)=0,"",'Dvd Calendar'!$X$1215*1000000000+ISNUMBER('Dvd Calendar'!$X$1218)*100000000+('Dvd Calendar'!$X$1220=SPECIAL_LBL)*10000000+(N('Dvd Calendar'!$X$1214)&gt;0)*(N('Dvd Calendar'!$X$1214)&lt;=VAL_SERIAL)*1000000+10*1000+20))</f>
        <v/>
      </c>
      <c r="EY125" s="39">
        <f>IF(N('Dvd Calendar'!$Y$1215)=0,"",IF(('Dvd Calendar'!$Y$1215&gt;=GRID_FROM)*('Dvd Calendar'!$Y$1215&lt;=GRID_TO)*((('Dvd Calendar'!$Y$1215&lt;=VAL_DATE)+(COUNTIF('Dvd Calendar'!$E$1222:$AR$1222,'Dvd Calendar'!$Y$1215)=0))&gt;0)=0,"",'Dvd Calendar'!$Y$1215*1000000000+ISNUMBER('Dvd Calendar'!$Y$1218)*100000000+('Dvd Calendar'!$Y$1220=SPECIAL_LBL)*10000000+(N('Dvd Calendar'!$Y$1214)&gt;0)*(N('Dvd Calendar'!$Y$1214)&lt;=VAL_SERIAL)*1000000+10*1000+21))</f>
        <v/>
      </c>
      <c r="EZ125" s="39">
        <f>IF(N('Dvd Calendar'!$Z$1215)=0,"",IF(('Dvd Calendar'!$Z$1215&gt;=GRID_FROM)*('Dvd Calendar'!$Z$1215&lt;=GRID_TO)*((('Dvd Calendar'!$Z$1215&lt;=VAL_DATE)+(COUNTIF('Dvd Calendar'!$E$1222:$AR$1222,'Dvd Calendar'!$Z$1215)=0))&gt;0)=0,"",'Dvd Calendar'!$Z$1215*1000000000+ISNUMBER('Dvd Calendar'!$Z$1218)*100000000+('Dvd Calendar'!$Z$1220=SPECIAL_LBL)*10000000+(N('Dvd Calendar'!$Z$1214)&gt;0)*(N('Dvd Calendar'!$Z$1214)&lt;=VAL_SERIAL)*1000000+10*1000+22))</f>
        <v/>
      </c>
      <c r="FA125" s="39">
        <f>IF(N('Dvd Calendar'!$AA$1215)=0,"",IF(('Dvd Calendar'!$AA$1215&gt;=GRID_FROM)*('Dvd Calendar'!$AA$1215&lt;=GRID_TO)*((('Dvd Calendar'!$AA$1215&lt;=VAL_DATE)+(COUNTIF('Dvd Calendar'!$E$1222:$AR$1222,'Dvd Calendar'!$AA$1215)=0))&gt;0)=0,"",'Dvd Calendar'!$AA$1215*1000000000+ISNUMBER('Dvd Calendar'!$AA$1218)*100000000+('Dvd Calendar'!$AA$1220=SPECIAL_LBL)*10000000+(N('Dvd Calendar'!$AA$1214)&gt;0)*(N('Dvd Calendar'!$AA$1214)&lt;=VAL_SERIAL)*1000000+10*1000+23))</f>
        <v/>
      </c>
      <c r="FB125" s="39">
        <f>IF(N('Dvd Calendar'!$AB$1215)=0,"",IF(('Dvd Calendar'!$AB$1215&gt;=GRID_FROM)*('Dvd Calendar'!$AB$1215&lt;=GRID_TO)*((('Dvd Calendar'!$AB$1215&lt;=VAL_DATE)+(COUNTIF('Dvd Calendar'!$E$1222:$AR$1222,'Dvd Calendar'!$AB$1215)=0))&gt;0)=0,"",'Dvd Calendar'!$AB$1215*1000000000+ISNUMBER('Dvd Calendar'!$AB$1218)*100000000+('Dvd Calendar'!$AB$1220=SPECIAL_LBL)*10000000+(N('Dvd Calendar'!$AB$1214)&gt;0)*(N('Dvd Calendar'!$AB$1214)&lt;=VAL_SERIAL)*1000000+10*1000+24))</f>
        <v/>
      </c>
      <c r="FC125" s="39">
        <f>IF(N('Dvd Calendar'!$AC$1215)=0,"",IF(('Dvd Calendar'!$AC$1215&gt;=GRID_FROM)*('Dvd Calendar'!$AC$1215&lt;=GRID_TO)*((('Dvd Calendar'!$AC$1215&lt;=VAL_DATE)+(COUNTIF('Dvd Calendar'!$E$1222:$AR$1222,'Dvd Calendar'!$AC$1215)=0))&gt;0)=0,"",'Dvd Calendar'!$AC$1215*1000000000+ISNUMBER('Dvd Calendar'!$AC$1218)*100000000+('Dvd Calendar'!$AC$1220=SPECIAL_LBL)*10000000+(N('Dvd Calendar'!$AC$1214)&gt;0)*(N('Dvd Calendar'!$AC$1214)&lt;=VAL_SERIAL)*1000000+10*1000+25))</f>
        <v/>
      </c>
      <c r="FD125" s="39">
        <f>IF(N('Dvd Calendar'!$AD$1215)=0,"",IF(('Dvd Calendar'!$AD$1215&gt;=GRID_FROM)*('Dvd Calendar'!$AD$1215&lt;=GRID_TO)*((('Dvd Calendar'!$AD$1215&lt;=VAL_DATE)+(COUNTIF('Dvd Calendar'!$E$1222:$AR$1222,'Dvd Calendar'!$AD$1215)=0))&gt;0)=0,"",'Dvd Calendar'!$AD$1215*1000000000+ISNUMBER('Dvd Calendar'!$AD$1218)*100000000+('Dvd Calendar'!$AD$1220=SPECIAL_LBL)*10000000+(N('Dvd Calendar'!$AD$1214)&gt;0)*(N('Dvd Calendar'!$AD$1214)&lt;=VAL_SERIAL)*1000000+10*1000+26))</f>
        <v/>
      </c>
      <c r="FE125" s="39">
        <f>IF(N('Dvd Calendar'!$AE$1215)=0,"",IF(('Dvd Calendar'!$AE$1215&gt;=GRID_FROM)*('Dvd Calendar'!$AE$1215&lt;=GRID_TO)*((('Dvd Calendar'!$AE$1215&lt;=VAL_DATE)+(COUNTIF('Dvd Calendar'!$E$1222:$AR$1222,'Dvd Calendar'!$AE$1215)=0))&gt;0)=0,"",'Dvd Calendar'!$AE$1215*1000000000+ISNUMBER('Dvd Calendar'!$AE$1218)*100000000+('Dvd Calendar'!$AE$1220=SPECIAL_LBL)*10000000+(N('Dvd Calendar'!$AE$1214)&gt;0)*(N('Dvd Calendar'!$AE$1214)&lt;=VAL_SERIAL)*1000000+10*1000+27))</f>
        <v/>
      </c>
      <c r="FF125" s="39">
        <f>IF(N('Dvd Calendar'!$AF$1215)=0,"",IF(('Dvd Calendar'!$AF$1215&gt;=GRID_FROM)*('Dvd Calendar'!$AF$1215&lt;=GRID_TO)*((('Dvd Calendar'!$AF$1215&lt;=VAL_DATE)+(COUNTIF('Dvd Calendar'!$E$1222:$AR$1222,'Dvd Calendar'!$AF$1215)=0))&gt;0)=0,"",'Dvd Calendar'!$AF$1215*1000000000+ISNUMBER('Dvd Calendar'!$AF$1218)*100000000+('Dvd Calendar'!$AF$1220=SPECIAL_LBL)*10000000+(N('Dvd Calendar'!$AF$1214)&gt;0)*(N('Dvd Calendar'!$AF$1214)&lt;=VAL_SERIAL)*1000000+10*1000+28))</f>
        <v/>
      </c>
      <c r="FG125" s="39">
        <f>IF(N('Dvd Calendar'!$AG$1215)=0,"",IF(('Dvd Calendar'!$AG$1215&gt;=GRID_FROM)*('Dvd Calendar'!$AG$1215&lt;=GRID_TO)*((('Dvd Calendar'!$AG$1215&lt;=VAL_DATE)+(COUNTIF('Dvd Calendar'!$E$1222:$AR$1222,'Dvd Calendar'!$AG$1215)=0))&gt;0)=0,"",'Dvd Calendar'!$AG$1215*1000000000+ISNUMBER('Dvd Calendar'!$AG$1218)*100000000+('Dvd Calendar'!$AG$1220=SPECIAL_LBL)*10000000+(N('Dvd Calendar'!$AG$1214)&gt;0)*(N('Dvd Calendar'!$AG$1214)&lt;=VAL_SERIAL)*1000000+10*1000+29))</f>
        <v/>
      </c>
      <c r="FH125" s="39">
        <f>IF(N('Dvd Calendar'!$AH$1215)=0,"",IF(('Dvd Calendar'!$AH$1215&gt;=GRID_FROM)*('Dvd Calendar'!$AH$1215&lt;=GRID_TO)*((('Dvd Calendar'!$AH$1215&lt;=VAL_DATE)+(COUNTIF('Dvd Calendar'!$E$1222:$AR$1222,'Dvd Calendar'!$AH$1215)=0))&gt;0)=0,"",'Dvd Calendar'!$AH$1215*1000000000+ISNUMBER('Dvd Calendar'!$AH$1218)*100000000+('Dvd Calendar'!$AH$1220=SPECIAL_LBL)*10000000+(N('Dvd Calendar'!$AH$1214)&gt;0)*(N('Dvd Calendar'!$AH$1214)&lt;=VAL_SERIAL)*1000000+10*1000+30))</f>
        <v/>
      </c>
      <c r="FI125" s="39">
        <f>IF(N('Dvd Calendar'!$AI$1215)=0,"",IF(('Dvd Calendar'!$AI$1215&gt;=GRID_FROM)*('Dvd Calendar'!$AI$1215&lt;=GRID_TO)*((('Dvd Calendar'!$AI$1215&lt;=VAL_DATE)+(COUNTIF('Dvd Calendar'!$E$1222:$AR$1222,'Dvd Calendar'!$AI$1215)=0))&gt;0)=0,"",'Dvd Calendar'!$AI$1215*1000000000+ISNUMBER('Dvd Calendar'!$AI$1218)*100000000+('Dvd Calendar'!$AI$1220=SPECIAL_LBL)*10000000+(N('Dvd Calendar'!$AI$1214)&gt;0)*(N('Dvd Calendar'!$AI$1214)&lt;=VAL_SERIAL)*1000000+10*1000+31))</f>
        <v/>
      </c>
      <c r="FJ125" s="39">
        <f>IF(N('Dvd Calendar'!$AJ$1215)=0,"",IF(('Dvd Calendar'!$AJ$1215&gt;=GRID_FROM)*('Dvd Calendar'!$AJ$1215&lt;=GRID_TO)*((('Dvd Calendar'!$AJ$1215&lt;=VAL_DATE)+(COUNTIF('Dvd Calendar'!$E$1222:$AR$1222,'Dvd Calendar'!$AJ$1215)=0))&gt;0)=0,"",'Dvd Calendar'!$AJ$1215*1000000000+ISNUMBER('Dvd Calendar'!$AJ$1218)*100000000+('Dvd Calendar'!$AJ$1220=SPECIAL_LBL)*10000000+(N('Dvd Calendar'!$AJ$1214)&gt;0)*(N('Dvd Calendar'!$AJ$1214)&lt;=VAL_SERIAL)*1000000+10*1000+32))</f>
        <v/>
      </c>
      <c r="FK125" s="39">
        <f>IF(N('Dvd Calendar'!$AK$1215)=0,"",IF(('Dvd Calendar'!$AK$1215&gt;=GRID_FROM)*('Dvd Calendar'!$AK$1215&lt;=GRID_TO)*((('Dvd Calendar'!$AK$1215&lt;=VAL_DATE)+(COUNTIF('Dvd Calendar'!$E$1222:$AR$1222,'Dvd Calendar'!$AK$1215)=0))&gt;0)=0,"",'Dvd Calendar'!$AK$1215*1000000000+ISNUMBER('Dvd Calendar'!$AK$1218)*100000000+('Dvd Calendar'!$AK$1220=SPECIAL_LBL)*10000000+(N('Dvd Calendar'!$AK$1214)&gt;0)*(N('Dvd Calendar'!$AK$1214)&lt;=VAL_SERIAL)*1000000+10*1000+33))</f>
        <v/>
      </c>
      <c r="FL125" s="39">
        <f>IF(N('Dvd Calendar'!$AL$1215)=0,"",IF(('Dvd Calendar'!$AL$1215&gt;=GRID_FROM)*('Dvd Calendar'!$AL$1215&lt;=GRID_TO)*((('Dvd Calendar'!$AL$1215&lt;=VAL_DATE)+(COUNTIF('Dvd Calendar'!$E$1222:$AR$1222,'Dvd Calendar'!$AL$1215)=0))&gt;0)=0,"",'Dvd Calendar'!$AL$1215*1000000000+ISNUMBER('Dvd Calendar'!$AL$1218)*100000000+('Dvd Calendar'!$AL$1220=SPECIAL_LBL)*10000000+(N('Dvd Calendar'!$AL$1214)&gt;0)*(N('Dvd Calendar'!$AL$1214)&lt;=VAL_SERIAL)*1000000+10*1000+34))</f>
        <v/>
      </c>
      <c r="FM125" s="39">
        <f>IF(N('Dvd Calendar'!$AM$1215)=0,"",IF(('Dvd Calendar'!$AM$1215&gt;=GRID_FROM)*('Dvd Calendar'!$AM$1215&lt;=GRID_TO)*((('Dvd Calendar'!$AM$1215&lt;=VAL_DATE)+(COUNTIF('Dvd Calendar'!$E$1222:$AR$1222,'Dvd Calendar'!$AM$1215)=0))&gt;0)=0,"",'Dvd Calendar'!$AM$1215*1000000000+ISNUMBER('Dvd Calendar'!$AM$1218)*100000000+('Dvd Calendar'!$AM$1220=SPECIAL_LBL)*10000000+(N('Dvd Calendar'!$AM$1214)&gt;0)*(N('Dvd Calendar'!$AM$1214)&lt;=VAL_SERIAL)*1000000+10*1000+35))</f>
        <v/>
      </c>
      <c r="FN125" s="39">
        <f>IF(N('Dvd Calendar'!$AN$1215)=0,"",IF(('Dvd Calendar'!$AN$1215&gt;=GRID_FROM)*('Dvd Calendar'!$AN$1215&lt;=GRID_TO)*((('Dvd Calendar'!$AN$1215&lt;=VAL_DATE)+(COUNTIF('Dvd Calendar'!$E$1222:$AR$1222,'Dvd Calendar'!$AN$1215)=0))&gt;0)=0,"",'Dvd Calendar'!$AN$1215*1000000000+ISNUMBER('Dvd Calendar'!$AN$1218)*100000000+('Dvd Calendar'!$AN$1220=SPECIAL_LBL)*10000000+(N('Dvd Calendar'!$AN$1214)&gt;0)*(N('Dvd Calendar'!$AN$1214)&lt;=VAL_SERIAL)*1000000+10*1000+36))</f>
        <v/>
      </c>
      <c r="FO125" s="39">
        <f>IF(N('Dvd Calendar'!$AO$1215)=0,"",IF(('Dvd Calendar'!$AO$1215&gt;=GRID_FROM)*('Dvd Calendar'!$AO$1215&lt;=GRID_TO)*((('Dvd Calendar'!$AO$1215&lt;=VAL_DATE)+(COUNTIF('Dvd Calendar'!$E$1222:$AR$1222,'Dvd Calendar'!$AO$1215)=0))&gt;0)=0,"",'Dvd Calendar'!$AO$1215*1000000000+ISNUMBER('Dvd Calendar'!$AO$1218)*100000000+('Dvd Calendar'!$AO$1220=SPECIAL_LBL)*10000000+(N('Dvd Calendar'!$AO$1214)&gt;0)*(N('Dvd Calendar'!$AO$1214)&lt;=VAL_SERIAL)*1000000+10*1000+37))</f>
        <v/>
      </c>
      <c r="FP125" s="39">
        <f>IF(N('Dvd Calendar'!$AP$1215)=0,"",IF(('Dvd Calendar'!$AP$1215&gt;=GRID_FROM)*('Dvd Calendar'!$AP$1215&lt;=GRID_TO)*((('Dvd Calendar'!$AP$1215&lt;=VAL_DATE)+(COUNTIF('Dvd Calendar'!$E$1222:$AR$1222,'Dvd Calendar'!$AP$1215)=0))&gt;0)=0,"",'Dvd Calendar'!$AP$1215*1000000000+ISNUMBER('Dvd Calendar'!$AP$1218)*100000000+('Dvd Calendar'!$AP$1220=SPECIAL_LBL)*10000000+(N('Dvd Calendar'!$AP$1214)&gt;0)*(N('Dvd Calendar'!$AP$1214)&lt;=VAL_SERIAL)*1000000+10*1000+38))</f>
        <v/>
      </c>
      <c r="FQ125" s="39">
        <f>IF(N('Dvd Calendar'!$AQ$1215)=0,"",IF(('Dvd Calendar'!$AQ$1215&gt;=GRID_FROM)*('Dvd Calendar'!$AQ$1215&lt;=GRID_TO)*((('Dvd Calendar'!$AQ$1215&lt;=VAL_DATE)+(COUNTIF('Dvd Calendar'!$E$1222:$AR$1222,'Dvd Calendar'!$AQ$1215)=0))&gt;0)=0,"",'Dvd Calendar'!$AQ$1215*1000000000+ISNUMBER('Dvd Calendar'!$AQ$1218)*100000000+('Dvd Calendar'!$AQ$1220=SPECIAL_LBL)*10000000+(N('Dvd Calendar'!$AQ$1214)&gt;0)*(N('Dvd Calendar'!$AQ$1214)&lt;=VAL_SERIAL)*1000000+10*1000+39))</f>
        <v/>
      </c>
      <c r="FR125" s="39">
        <f>IF(N('Dvd Calendar'!$AR$1215)=0,"",IF(('Dvd Calendar'!$AR$1215&gt;=GRID_FROM)*('Dvd Calendar'!$AR$1215&lt;=GRID_TO)*((('Dvd Calendar'!$AR$1215&lt;=VAL_DATE)+(COUNTIF('Dvd Calendar'!$E$1222:$AR$1222,'Dvd Calendar'!$AR$1215)=0))&gt;0)=0,"",'Dvd Calendar'!$AR$1215*1000000000+ISNUMBER('Dvd Calendar'!$AR$1218)*100000000+('Dvd Calendar'!$AR$1220=SPECIAL_LBL)*10000000+(N('Dvd Calendar'!$AR$1214)&gt;0)*(N('Dvd Calendar'!$AR$1214)&lt;=VAL_SERIAL)*1000000+10*1000+40))</f>
        <v/>
      </c>
      <c r="FS125" s="39">
        <f>IF(N('Dvd Calendar'!$E$1222)=0,"",IF(('Dvd Calendar'!$E$1222&gt;=GRID_FROM)*('Dvd Calendar'!$E$1222&lt;=GRID_TO)*('Dvd Calendar'!$E$1222&gt;VAL_DATE)=0,"",'Dvd Calendar'!$E$1222*1000000000+ISNUMBER('Dvd Calendar'!$E$1223)*100000000+0*10000000+(N('Dvd Calendar'!$E$1221)&gt;0)*(N('Dvd Calendar'!$E$1221)&lt;=VAL_SERIAL)*1000000+10*1000+41))</f>
        <v/>
      </c>
      <c r="FT125" s="39">
        <f>IF(N('Dvd Calendar'!$F$1222)=0,"",IF(('Dvd Calendar'!$F$1222&gt;=GRID_FROM)*('Dvd Calendar'!$F$1222&lt;=GRID_TO)*('Dvd Calendar'!$F$1222&gt;VAL_DATE)=0,"",'Dvd Calendar'!$F$1222*1000000000+ISNUMBER('Dvd Calendar'!$F$1223)*100000000+0*10000000+(N('Dvd Calendar'!$F$1221)&gt;0)*(N('Dvd Calendar'!$F$1221)&lt;=VAL_SERIAL)*1000000+10*1000+42))</f>
        <v/>
      </c>
      <c r="FU125" s="39">
        <f>IF(N('Dvd Calendar'!$G$1222)=0,"",IF(('Dvd Calendar'!$G$1222&gt;=GRID_FROM)*('Dvd Calendar'!$G$1222&lt;=GRID_TO)*('Dvd Calendar'!$G$1222&gt;VAL_DATE)=0,"",'Dvd Calendar'!$G$1222*1000000000+ISNUMBER('Dvd Calendar'!$G$1223)*100000000+0*10000000+(N('Dvd Calendar'!$G$1221)&gt;0)*(N('Dvd Calendar'!$G$1221)&lt;=VAL_SERIAL)*1000000+10*1000+43))</f>
        <v/>
      </c>
      <c r="FV125" s="39">
        <f>IF(N('Dvd Calendar'!$H$1222)=0,"",IF(('Dvd Calendar'!$H$1222&gt;=GRID_FROM)*('Dvd Calendar'!$H$1222&lt;=GRID_TO)*('Dvd Calendar'!$H$1222&gt;VAL_DATE)=0,"",'Dvd Calendar'!$H$1222*1000000000+ISNUMBER('Dvd Calendar'!$H$1223)*100000000+0*10000000+(N('Dvd Calendar'!$H$1221)&gt;0)*(N('Dvd Calendar'!$H$1221)&lt;=VAL_SERIAL)*1000000+10*1000+44))</f>
        <v/>
      </c>
      <c r="FW125" s="39">
        <f>IF(N('Dvd Calendar'!$I$1222)=0,"",IF(('Dvd Calendar'!$I$1222&gt;=GRID_FROM)*('Dvd Calendar'!$I$1222&lt;=GRID_TO)*('Dvd Calendar'!$I$1222&gt;VAL_DATE)=0,"",'Dvd Calendar'!$I$1222*1000000000+ISNUMBER('Dvd Calendar'!$I$1223)*100000000+0*10000000+(N('Dvd Calendar'!$I$1221)&gt;0)*(N('Dvd Calendar'!$I$1221)&lt;=VAL_SERIAL)*1000000+10*1000+45))</f>
        <v/>
      </c>
      <c r="FX125" s="39">
        <f>IF(N('Dvd Calendar'!$J$1222)=0,"",IF(('Dvd Calendar'!$J$1222&gt;=GRID_FROM)*('Dvd Calendar'!$J$1222&lt;=GRID_TO)*('Dvd Calendar'!$J$1222&gt;VAL_DATE)=0,"",'Dvd Calendar'!$J$1222*1000000000+ISNUMBER('Dvd Calendar'!$J$1223)*100000000+0*10000000+(N('Dvd Calendar'!$J$1221)&gt;0)*(N('Dvd Calendar'!$J$1221)&lt;=VAL_SERIAL)*1000000+10*1000+46))</f>
        <v/>
      </c>
      <c r="FY125" s="39">
        <f>IF(N('Dvd Calendar'!$K$1222)=0,"",IF(('Dvd Calendar'!$K$1222&gt;=GRID_FROM)*('Dvd Calendar'!$K$1222&lt;=GRID_TO)*('Dvd Calendar'!$K$1222&gt;VAL_DATE)=0,"",'Dvd Calendar'!$K$1222*1000000000+ISNUMBER('Dvd Calendar'!$K$1223)*100000000+0*10000000+(N('Dvd Calendar'!$K$1221)&gt;0)*(N('Dvd Calendar'!$K$1221)&lt;=VAL_SERIAL)*1000000+10*1000+47))</f>
        <v/>
      </c>
      <c r="FZ125" s="39">
        <f>IF(N('Dvd Calendar'!$L$1222)=0,"",IF(('Dvd Calendar'!$L$1222&gt;=GRID_FROM)*('Dvd Calendar'!$L$1222&lt;=GRID_TO)*('Dvd Calendar'!$L$1222&gt;VAL_DATE)=0,"",'Dvd Calendar'!$L$1222*1000000000+ISNUMBER('Dvd Calendar'!$L$1223)*100000000+0*10000000+(N('Dvd Calendar'!$L$1221)&gt;0)*(N('Dvd Calendar'!$L$1221)&lt;=VAL_SERIAL)*1000000+10*1000+48))</f>
        <v/>
      </c>
      <c r="GA125" s="39">
        <f>IF(N('Dvd Calendar'!$M$1222)=0,"",IF(('Dvd Calendar'!$M$1222&gt;=GRID_FROM)*('Dvd Calendar'!$M$1222&lt;=GRID_TO)*('Dvd Calendar'!$M$1222&gt;VAL_DATE)=0,"",'Dvd Calendar'!$M$1222*1000000000+ISNUMBER('Dvd Calendar'!$M$1223)*100000000+0*10000000+(N('Dvd Calendar'!$M$1221)&gt;0)*(N('Dvd Calendar'!$M$1221)&lt;=VAL_SERIAL)*1000000+10*1000+49))</f>
        <v/>
      </c>
      <c r="GB125" s="39">
        <f>IF(N('Dvd Calendar'!$N$1222)=0,"",IF(('Dvd Calendar'!$N$1222&gt;=GRID_FROM)*('Dvd Calendar'!$N$1222&lt;=GRID_TO)*('Dvd Calendar'!$N$1222&gt;VAL_DATE)=0,"",'Dvd Calendar'!$N$1222*1000000000+ISNUMBER('Dvd Calendar'!$N$1223)*100000000+0*10000000+(N('Dvd Calendar'!$N$1221)&gt;0)*(N('Dvd Calendar'!$N$1221)&lt;=VAL_SERIAL)*1000000+10*1000+50))</f>
        <v/>
      </c>
      <c r="GC125" s="39">
        <f>IF(N('Dvd Calendar'!$O$1222)=0,"",IF(('Dvd Calendar'!$O$1222&gt;=GRID_FROM)*('Dvd Calendar'!$O$1222&lt;=GRID_TO)*('Dvd Calendar'!$O$1222&gt;VAL_DATE)=0,"",'Dvd Calendar'!$O$1222*1000000000+ISNUMBER('Dvd Calendar'!$O$1223)*100000000+0*10000000+(N('Dvd Calendar'!$O$1221)&gt;0)*(N('Dvd Calendar'!$O$1221)&lt;=VAL_SERIAL)*1000000+10*1000+51))</f>
        <v/>
      </c>
      <c r="GD125" s="39">
        <f>IF(N('Dvd Calendar'!$P$1222)=0,"",IF(('Dvd Calendar'!$P$1222&gt;=GRID_FROM)*('Dvd Calendar'!$P$1222&lt;=GRID_TO)*('Dvd Calendar'!$P$1222&gt;VAL_DATE)=0,"",'Dvd Calendar'!$P$1222*1000000000+ISNUMBER('Dvd Calendar'!$P$1223)*100000000+0*10000000+(N('Dvd Calendar'!$P$1221)&gt;0)*(N('Dvd Calendar'!$P$1221)&lt;=VAL_SERIAL)*1000000+10*1000+52))</f>
        <v/>
      </c>
      <c r="GE125" s="39">
        <f>IF(N('Dvd Calendar'!$Q$1222)=0,"",IF(('Dvd Calendar'!$Q$1222&gt;=GRID_FROM)*('Dvd Calendar'!$Q$1222&lt;=GRID_TO)*('Dvd Calendar'!$Q$1222&gt;VAL_DATE)=0,"",'Dvd Calendar'!$Q$1222*1000000000+ISNUMBER('Dvd Calendar'!$Q$1223)*100000000+0*10000000+(N('Dvd Calendar'!$Q$1221)&gt;0)*(N('Dvd Calendar'!$Q$1221)&lt;=VAL_SERIAL)*1000000+10*1000+53))</f>
        <v/>
      </c>
      <c r="GF125" s="39">
        <f>IF(N('Dvd Calendar'!$R$1222)=0,"",IF(('Dvd Calendar'!$R$1222&gt;=GRID_FROM)*('Dvd Calendar'!$R$1222&lt;=GRID_TO)*('Dvd Calendar'!$R$1222&gt;VAL_DATE)=0,"",'Dvd Calendar'!$R$1222*1000000000+ISNUMBER('Dvd Calendar'!$R$1223)*100000000+0*10000000+(N('Dvd Calendar'!$R$1221)&gt;0)*(N('Dvd Calendar'!$R$1221)&lt;=VAL_SERIAL)*1000000+10*1000+54))</f>
        <v/>
      </c>
      <c r="GG125" s="39">
        <f>IF(N('Dvd Calendar'!$S$1222)=0,"",IF(('Dvd Calendar'!$S$1222&gt;=GRID_FROM)*('Dvd Calendar'!$S$1222&lt;=GRID_TO)*('Dvd Calendar'!$S$1222&gt;VAL_DATE)=0,"",'Dvd Calendar'!$S$1222*1000000000+ISNUMBER('Dvd Calendar'!$S$1223)*100000000+0*10000000+(N('Dvd Calendar'!$S$1221)&gt;0)*(N('Dvd Calendar'!$S$1221)&lt;=VAL_SERIAL)*1000000+10*1000+55))</f>
        <v/>
      </c>
      <c r="GH125" s="39">
        <f>IF(N('Dvd Calendar'!$T$1222)=0,"",IF(('Dvd Calendar'!$T$1222&gt;=GRID_FROM)*('Dvd Calendar'!$T$1222&lt;=GRID_TO)*('Dvd Calendar'!$T$1222&gt;VAL_DATE)=0,"",'Dvd Calendar'!$T$1222*1000000000+ISNUMBER('Dvd Calendar'!$T$1223)*100000000+0*10000000+(N('Dvd Calendar'!$T$1221)&gt;0)*(N('Dvd Calendar'!$T$1221)&lt;=VAL_SERIAL)*1000000+10*1000+56))</f>
        <v/>
      </c>
      <c r="GI125" s="39">
        <f>IF(N('Dvd Calendar'!$U$1222)=0,"",IF(('Dvd Calendar'!$U$1222&gt;=GRID_FROM)*('Dvd Calendar'!$U$1222&lt;=GRID_TO)*('Dvd Calendar'!$U$1222&gt;VAL_DATE)=0,"",'Dvd Calendar'!$U$1222*1000000000+ISNUMBER('Dvd Calendar'!$U$1223)*100000000+0*10000000+(N('Dvd Calendar'!$U$1221)&gt;0)*(N('Dvd Calendar'!$U$1221)&lt;=VAL_SERIAL)*1000000+10*1000+57))</f>
        <v/>
      </c>
      <c r="GJ125" s="39">
        <f>IF(N('Dvd Calendar'!$V$1222)=0,"",IF(('Dvd Calendar'!$V$1222&gt;=GRID_FROM)*('Dvd Calendar'!$V$1222&lt;=GRID_TO)*('Dvd Calendar'!$V$1222&gt;VAL_DATE)=0,"",'Dvd Calendar'!$V$1222*1000000000+ISNUMBER('Dvd Calendar'!$V$1223)*100000000+0*10000000+(N('Dvd Calendar'!$V$1221)&gt;0)*(N('Dvd Calendar'!$V$1221)&lt;=VAL_SERIAL)*1000000+10*1000+58))</f>
        <v/>
      </c>
      <c r="GK125" s="39">
        <f>IF(N('Dvd Calendar'!$W$1222)=0,"",IF(('Dvd Calendar'!$W$1222&gt;=GRID_FROM)*('Dvd Calendar'!$W$1222&lt;=GRID_TO)*('Dvd Calendar'!$W$1222&gt;VAL_DATE)=0,"",'Dvd Calendar'!$W$1222*1000000000+ISNUMBER('Dvd Calendar'!$W$1223)*100000000+0*10000000+(N('Dvd Calendar'!$W$1221)&gt;0)*(N('Dvd Calendar'!$W$1221)&lt;=VAL_SERIAL)*1000000+10*1000+59))</f>
        <v/>
      </c>
      <c r="GL125" s="39">
        <f>IF(N('Dvd Calendar'!$X$1222)=0,"",IF(('Dvd Calendar'!$X$1222&gt;=GRID_FROM)*('Dvd Calendar'!$X$1222&lt;=GRID_TO)*('Dvd Calendar'!$X$1222&gt;VAL_DATE)=0,"",'Dvd Calendar'!$X$1222*1000000000+ISNUMBER('Dvd Calendar'!$X$1223)*100000000+0*10000000+(N('Dvd Calendar'!$X$1221)&gt;0)*(N('Dvd Calendar'!$X$1221)&lt;=VAL_SERIAL)*1000000+10*1000+60))</f>
        <v/>
      </c>
      <c r="GM125" s="39">
        <f>IF(N('Dvd Calendar'!$Y$1222)=0,"",IF(('Dvd Calendar'!$Y$1222&gt;=GRID_FROM)*('Dvd Calendar'!$Y$1222&lt;=GRID_TO)*('Dvd Calendar'!$Y$1222&gt;VAL_DATE)=0,"",'Dvd Calendar'!$Y$1222*1000000000+ISNUMBER('Dvd Calendar'!$Y$1223)*100000000+0*10000000+(N('Dvd Calendar'!$Y$1221)&gt;0)*(N('Dvd Calendar'!$Y$1221)&lt;=VAL_SERIAL)*1000000+10*1000+61))</f>
        <v/>
      </c>
      <c r="GN125" s="39">
        <f>IF(N('Dvd Calendar'!$Z$1222)=0,"",IF(('Dvd Calendar'!$Z$1222&gt;=GRID_FROM)*('Dvd Calendar'!$Z$1222&lt;=GRID_TO)*('Dvd Calendar'!$Z$1222&gt;VAL_DATE)=0,"",'Dvd Calendar'!$Z$1222*1000000000+ISNUMBER('Dvd Calendar'!$Z$1223)*100000000+0*10000000+(N('Dvd Calendar'!$Z$1221)&gt;0)*(N('Dvd Calendar'!$Z$1221)&lt;=VAL_SERIAL)*1000000+10*1000+62))</f>
        <v/>
      </c>
      <c r="GO125" s="39">
        <f>IF(N('Dvd Calendar'!$AA$1222)=0,"",IF(('Dvd Calendar'!$AA$1222&gt;=GRID_FROM)*('Dvd Calendar'!$AA$1222&lt;=GRID_TO)*('Dvd Calendar'!$AA$1222&gt;VAL_DATE)=0,"",'Dvd Calendar'!$AA$1222*1000000000+ISNUMBER('Dvd Calendar'!$AA$1223)*100000000+0*10000000+(N('Dvd Calendar'!$AA$1221)&gt;0)*(N('Dvd Calendar'!$AA$1221)&lt;=VAL_SERIAL)*1000000+10*1000+63))</f>
        <v/>
      </c>
      <c r="GP125" s="39">
        <f>IF(N('Dvd Calendar'!$AB$1222)=0,"",IF(('Dvd Calendar'!$AB$1222&gt;=GRID_FROM)*('Dvd Calendar'!$AB$1222&lt;=GRID_TO)*('Dvd Calendar'!$AB$1222&gt;VAL_DATE)=0,"",'Dvd Calendar'!$AB$1222*1000000000+ISNUMBER('Dvd Calendar'!$AB$1223)*100000000+0*10000000+(N('Dvd Calendar'!$AB$1221)&gt;0)*(N('Dvd Calendar'!$AB$1221)&lt;=VAL_SERIAL)*1000000+10*1000+64))</f>
        <v/>
      </c>
      <c r="GQ125" s="39">
        <f>IF(N('Dvd Calendar'!$AC$1222)=0,"",IF(('Dvd Calendar'!$AC$1222&gt;=GRID_FROM)*('Dvd Calendar'!$AC$1222&lt;=GRID_TO)*('Dvd Calendar'!$AC$1222&gt;VAL_DATE)=0,"",'Dvd Calendar'!$AC$1222*1000000000+ISNUMBER('Dvd Calendar'!$AC$1223)*100000000+0*10000000+(N('Dvd Calendar'!$AC$1221)&gt;0)*(N('Dvd Calendar'!$AC$1221)&lt;=VAL_SERIAL)*1000000+10*1000+65))</f>
        <v/>
      </c>
    </row>
    <row r="126">
      <c r="B126" s="2">
        <f>IF(HSTECH!$C$17="","",HSTECH!$C$17)</f>
        <v/>
      </c>
      <c r="C126" s="110">
        <f>IF(EE126="","",IF(ISNUMBER('Dvd Calendar'!$E$1229)=FALSE,"",IF((('Dvd Calendar'!$E$1231=TYPE1)*(TYPE1&lt;&gt;"")+('Dvd Calendar'!$E$1231=TYPE2)*(TYPE2&lt;&gt;"")+('Dvd Calendar'!$E$1231=TYPE3)*(TYPE3&lt;&gt;"")+('Dvd Calendar'!$E$1231=TYPE4)*(TYPE4&lt;&gt;"")+('Dvd Calendar'!$E$1231=SPECIAL_LBL)*(INC_SPECIALS="Y"))=0,"",'Dvd Calendar'!$E$1229)))</f>
        <v/>
      </c>
      <c r="D126" s="110">
        <f>IF(EF126="","",IF(ISNUMBER('Dvd Calendar'!$F$1229)=FALSE,"",IF((('Dvd Calendar'!$F$1231=TYPE1)*(TYPE1&lt;&gt;"")+('Dvd Calendar'!$F$1231=TYPE2)*(TYPE2&lt;&gt;"")+('Dvd Calendar'!$F$1231=TYPE3)*(TYPE3&lt;&gt;"")+('Dvd Calendar'!$F$1231=TYPE4)*(TYPE4&lt;&gt;"")+('Dvd Calendar'!$F$1231=SPECIAL_LBL)*(INC_SPECIALS="Y"))=0,"",'Dvd Calendar'!$F$1229)))</f>
        <v/>
      </c>
      <c r="E126" s="110">
        <f>IF(EG126="","",IF(ISNUMBER('Dvd Calendar'!$G$1229)=FALSE,"",IF((('Dvd Calendar'!$G$1231=TYPE1)*(TYPE1&lt;&gt;"")+('Dvd Calendar'!$G$1231=TYPE2)*(TYPE2&lt;&gt;"")+('Dvd Calendar'!$G$1231=TYPE3)*(TYPE3&lt;&gt;"")+('Dvd Calendar'!$G$1231=TYPE4)*(TYPE4&lt;&gt;"")+('Dvd Calendar'!$G$1231=SPECIAL_LBL)*(INC_SPECIALS="Y"))=0,"",'Dvd Calendar'!$G$1229)))</f>
        <v/>
      </c>
      <c r="F126" s="110">
        <f>IF(EH126="","",IF(ISNUMBER('Dvd Calendar'!$H$1229)=FALSE,"",IF((('Dvd Calendar'!$H$1231=TYPE1)*(TYPE1&lt;&gt;"")+('Dvd Calendar'!$H$1231=TYPE2)*(TYPE2&lt;&gt;"")+('Dvd Calendar'!$H$1231=TYPE3)*(TYPE3&lt;&gt;"")+('Dvd Calendar'!$H$1231=TYPE4)*(TYPE4&lt;&gt;"")+('Dvd Calendar'!$H$1231=SPECIAL_LBL)*(INC_SPECIALS="Y"))=0,"",'Dvd Calendar'!$H$1229)))</f>
        <v/>
      </c>
      <c r="G126" s="110">
        <f>IF(EI126="","",IF(ISNUMBER('Dvd Calendar'!$I$1229)=FALSE,"",IF((('Dvd Calendar'!$I$1231=TYPE1)*(TYPE1&lt;&gt;"")+('Dvd Calendar'!$I$1231=TYPE2)*(TYPE2&lt;&gt;"")+('Dvd Calendar'!$I$1231=TYPE3)*(TYPE3&lt;&gt;"")+('Dvd Calendar'!$I$1231=TYPE4)*(TYPE4&lt;&gt;"")+('Dvd Calendar'!$I$1231=SPECIAL_LBL)*(INC_SPECIALS="Y"))=0,"",'Dvd Calendar'!$I$1229)))</f>
        <v/>
      </c>
      <c r="H126" s="110">
        <f>IF(EJ126="","",IF(ISNUMBER('Dvd Calendar'!$J$1229)=FALSE,"",IF((('Dvd Calendar'!$J$1231=TYPE1)*(TYPE1&lt;&gt;"")+('Dvd Calendar'!$J$1231=TYPE2)*(TYPE2&lt;&gt;"")+('Dvd Calendar'!$J$1231=TYPE3)*(TYPE3&lt;&gt;"")+('Dvd Calendar'!$J$1231=TYPE4)*(TYPE4&lt;&gt;"")+('Dvd Calendar'!$J$1231=SPECIAL_LBL)*(INC_SPECIALS="Y"))=0,"",'Dvd Calendar'!$J$1229)))</f>
        <v/>
      </c>
      <c r="I126" s="110">
        <f>IF(EK126="","",IF(ISNUMBER('Dvd Calendar'!$K$1229)=FALSE,"",IF((('Dvd Calendar'!$K$1231=TYPE1)*(TYPE1&lt;&gt;"")+('Dvd Calendar'!$K$1231=TYPE2)*(TYPE2&lt;&gt;"")+('Dvd Calendar'!$K$1231=TYPE3)*(TYPE3&lt;&gt;"")+('Dvd Calendar'!$K$1231=TYPE4)*(TYPE4&lt;&gt;"")+('Dvd Calendar'!$K$1231=SPECIAL_LBL)*(INC_SPECIALS="Y"))=0,"",'Dvd Calendar'!$K$1229)))</f>
        <v/>
      </c>
      <c r="J126" s="110">
        <f>IF(EL126="","",IF(ISNUMBER('Dvd Calendar'!$L$1229)=FALSE,"",IF((('Dvd Calendar'!$L$1231=TYPE1)*(TYPE1&lt;&gt;"")+('Dvd Calendar'!$L$1231=TYPE2)*(TYPE2&lt;&gt;"")+('Dvd Calendar'!$L$1231=TYPE3)*(TYPE3&lt;&gt;"")+('Dvd Calendar'!$L$1231=TYPE4)*(TYPE4&lt;&gt;"")+('Dvd Calendar'!$L$1231=SPECIAL_LBL)*(INC_SPECIALS="Y"))=0,"",'Dvd Calendar'!$L$1229)))</f>
        <v/>
      </c>
      <c r="K126" s="110">
        <f>IF(EM126="","",IF(ISNUMBER('Dvd Calendar'!$M$1229)=FALSE,"",IF((('Dvd Calendar'!$M$1231=TYPE1)*(TYPE1&lt;&gt;"")+('Dvd Calendar'!$M$1231=TYPE2)*(TYPE2&lt;&gt;"")+('Dvd Calendar'!$M$1231=TYPE3)*(TYPE3&lt;&gt;"")+('Dvd Calendar'!$M$1231=TYPE4)*(TYPE4&lt;&gt;"")+('Dvd Calendar'!$M$1231=SPECIAL_LBL)*(INC_SPECIALS="Y"))=0,"",'Dvd Calendar'!$M$1229)))</f>
        <v/>
      </c>
      <c r="L126" s="110">
        <f>IF(EN126="","",IF(ISNUMBER('Dvd Calendar'!$N$1229)=FALSE,"",IF((('Dvd Calendar'!$N$1231=TYPE1)*(TYPE1&lt;&gt;"")+('Dvd Calendar'!$N$1231=TYPE2)*(TYPE2&lt;&gt;"")+('Dvd Calendar'!$N$1231=TYPE3)*(TYPE3&lt;&gt;"")+('Dvd Calendar'!$N$1231=TYPE4)*(TYPE4&lt;&gt;"")+('Dvd Calendar'!$N$1231=SPECIAL_LBL)*(INC_SPECIALS="Y"))=0,"",'Dvd Calendar'!$N$1229)))</f>
        <v/>
      </c>
      <c r="M126" s="110">
        <f>IF(EO126="","",IF(ISNUMBER('Dvd Calendar'!$O$1229)=FALSE,"",IF((('Dvd Calendar'!$O$1231=TYPE1)*(TYPE1&lt;&gt;"")+('Dvd Calendar'!$O$1231=TYPE2)*(TYPE2&lt;&gt;"")+('Dvd Calendar'!$O$1231=TYPE3)*(TYPE3&lt;&gt;"")+('Dvd Calendar'!$O$1231=TYPE4)*(TYPE4&lt;&gt;"")+('Dvd Calendar'!$O$1231=SPECIAL_LBL)*(INC_SPECIALS="Y"))=0,"",'Dvd Calendar'!$O$1229)))</f>
        <v/>
      </c>
      <c r="N126" s="110">
        <f>IF(EP126="","",IF(ISNUMBER('Dvd Calendar'!$P$1229)=FALSE,"",IF((('Dvd Calendar'!$P$1231=TYPE1)*(TYPE1&lt;&gt;"")+('Dvd Calendar'!$P$1231=TYPE2)*(TYPE2&lt;&gt;"")+('Dvd Calendar'!$P$1231=TYPE3)*(TYPE3&lt;&gt;"")+('Dvd Calendar'!$P$1231=TYPE4)*(TYPE4&lt;&gt;"")+('Dvd Calendar'!$P$1231=SPECIAL_LBL)*(INC_SPECIALS="Y"))=0,"",'Dvd Calendar'!$P$1229)))</f>
        <v/>
      </c>
      <c r="O126" s="110">
        <f>IF(EQ126="","",IF(ISNUMBER('Dvd Calendar'!$Q$1229)=FALSE,"",IF((('Dvd Calendar'!$Q$1231=TYPE1)*(TYPE1&lt;&gt;"")+('Dvd Calendar'!$Q$1231=TYPE2)*(TYPE2&lt;&gt;"")+('Dvd Calendar'!$Q$1231=TYPE3)*(TYPE3&lt;&gt;"")+('Dvd Calendar'!$Q$1231=TYPE4)*(TYPE4&lt;&gt;"")+('Dvd Calendar'!$Q$1231=SPECIAL_LBL)*(INC_SPECIALS="Y"))=0,"",'Dvd Calendar'!$Q$1229)))</f>
        <v/>
      </c>
      <c r="P126" s="110">
        <f>IF(ER126="","",IF(ISNUMBER('Dvd Calendar'!$R$1229)=FALSE,"",IF((('Dvd Calendar'!$R$1231=TYPE1)*(TYPE1&lt;&gt;"")+('Dvd Calendar'!$R$1231=TYPE2)*(TYPE2&lt;&gt;"")+('Dvd Calendar'!$R$1231=TYPE3)*(TYPE3&lt;&gt;"")+('Dvd Calendar'!$R$1231=TYPE4)*(TYPE4&lt;&gt;"")+('Dvd Calendar'!$R$1231=SPECIAL_LBL)*(INC_SPECIALS="Y"))=0,"",'Dvd Calendar'!$R$1229)))</f>
        <v/>
      </c>
      <c r="Q126" s="110">
        <f>IF(ES126="","",IF(ISNUMBER('Dvd Calendar'!$S$1229)=FALSE,"",IF((('Dvd Calendar'!$S$1231=TYPE1)*(TYPE1&lt;&gt;"")+('Dvd Calendar'!$S$1231=TYPE2)*(TYPE2&lt;&gt;"")+('Dvd Calendar'!$S$1231=TYPE3)*(TYPE3&lt;&gt;"")+('Dvd Calendar'!$S$1231=TYPE4)*(TYPE4&lt;&gt;"")+('Dvd Calendar'!$S$1231=SPECIAL_LBL)*(INC_SPECIALS="Y"))=0,"",'Dvd Calendar'!$S$1229)))</f>
        <v/>
      </c>
      <c r="R126" s="110">
        <f>IF(ET126="","",IF(ISNUMBER('Dvd Calendar'!$T$1229)=FALSE,"",IF((('Dvd Calendar'!$T$1231=TYPE1)*(TYPE1&lt;&gt;"")+('Dvd Calendar'!$T$1231=TYPE2)*(TYPE2&lt;&gt;"")+('Dvd Calendar'!$T$1231=TYPE3)*(TYPE3&lt;&gt;"")+('Dvd Calendar'!$T$1231=TYPE4)*(TYPE4&lt;&gt;"")+('Dvd Calendar'!$T$1231=SPECIAL_LBL)*(INC_SPECIALS="Y"))=0,"",'Dvd Calendar'!$T$1229)))</f>
        <v/>
      </c>
      <c r="S126" s="110">
        <f>IF(EU126="","",IF(ISNUMBER('Dvd Calendar'!$U$1229)=FALSE,"",IF((('Dvd Calendar'!$U$1231=TYPE1)*(TYPE1&lt;&gt;"")+('Dvd Calendar'!$U$1231=TYPE2)*(TYPE2&lt;&gt;"")+('Dvd Calendar'!$U$1231=TYPE3)*(TYPE3&lt;&gt;"")+('Dvd Calendar'!$U$1231=TYPE4)*(TYPE4&lt;&gt;"")+('Dvd Calendar'!$U$1231=SPECIAL_LBL)*(INC_SPECIALS="Y"))=0,"",'Dvd Calendar'!$U$1229)))</f>
        <v/>
      </c>
      <c r="T126" s="110">
        <f>IF(EV126="","",IF(ISNUMBER('Dvd Calendar'!$V$1229)=FALSE,"",IF((('Dvd Calendar'!$V$1231=TYPE1)*(TYPE1&lt;&gt;"")+('Dvd Calendar'!$V$1231=TYPE2)*(TYPE2&lt;&gt;"")+('Dvd Calendar'!$V$1231=TYPE3)*(TYPE3&lt;&gt;"")+('Dvd Calendar'!$V$1231=TYPE4)*(TYPE4&lt;&gt;"")+('Dvd Calendar'!$V$1231=SPECIAL_LBL)*(INC_SPECIALS="Y"))=0,"",'Dvd Calendar'!$V$1229)))</f>
        <v/>
      </c>
      <c r="U126" s="110">
        <f>IF(EW126="","",IF(ISNUMBER('Dvd Calendar'!$W$1229)=FALSE,"",IF((('Dvd Calendar'!$W$1231=TYPE1)*(TYPE1&lt;&gt;"")+('Dvd Calendar'!$W$1231=TYPE2)*(TYPE2&lt;&gt;"")+('Dvd Calendar'!$W$1231=TYPE3)*(TYPE3&lt;&gt;"")+('Dvd Calendar'!$W$1231=TYPE4)*(TYPE4&lt;&gt;"")+('Dvd Calendar'!$W$1231=SPECIAL_LBL)*(INC_SPECIALS="Y"))=0,"",'Dvd Calendar'!$W$1229)))</f>
        <v/>
      </c>
      <c r="V126" s="110">
        <f>IF(EX126="","",IF(ISNUMBER('Dvd Calendar'!$X$1229)=FALSE,"",IF((('Dvd Calendar'!$X$1231=TYPE1)*(TYPE1&lt;&gt;"")+('Dvd Calendar'!$X$1231=TYPE2)*(TYPE2&lt;&gt;"")+('Dvd Calendar'!$X$1231=TYPE3)*(TYPE3&lt;&gt;"")+('Dvd Calendar'!$X$1231=TYPE4)*(TYPE4&lt;&gt;"")+('Dvd Calendar'!$X$1231=SPECIAL_LBL)*(INC_SPECIALS="Y"))=0,"",'Dvd Calendar'!$X$1229)))</f>
        <v/>
      </c>
      <c r="W126" s="110">
        <f>IF(EY126="","",IF(ISNUMBER('Dvd Calendar'!$Y$1229)=FALSE,"",IF((('Dvd Calendar'!$Y$1231=TYPE1)*(TYPE1&lt;&gt;"")+('Dvd Calendar'!$Y$1231=TYPE2)*(TYPE2&lt;&gt;"")+('Dvd Calendar'!$Y$1231=TYPE3)*(TYPE3&lt;&gt;"")+('Dvd Calendar'!$Y$1231=TYPE4)*(TYPE4&lt;&gt;"")+('Dvd Calendar'!$Y$1231=SPECIAL_LBL)*(INC_SPECIALS="Y"))=0,"",'Dvd Calendar'!$Y$1229)))</f>
        <v/>
      </c>
      <c r="X126" s="110">
        <f>IF(EZ126="","",IF(ISNUMBER('Dvd Calendar'!$Z$1229)=FALSE,"",IF((('Dvd Calendar'!$Z$1231=TYPE1)*(TYPE1&lt;&gt;"")+('Dvd Calendar'!$Z$1231=TYPE2)*(TYPE2&lt;&gt;"")+('Dvd Calendar'!$Z$1231=TYPE3)*(TYPE3&lt;&gt;"")+('Dvd Calendar'!$Z$1231=TYPE4)*(TYPE4&lt;&gt;"")+('Dvd Calendar'!$Z$1231=SPECIAL_LBL)*(INC_SPECIALS="Y"))=0,"",'Dvd Calendar'!$Z$1229)))</f>
        <v/>
      </c>
      <c r="Y126" s="110">
        <f>IF(FA126="","",IF(ISNUMBER('Dvd Calendar'!$AA$1229)=FALSE,"",IF((('Dvd Calendar'!$AA$1231=TYPE1)*(TYPE1&lt;&gt;"")+('Dvd Calendar'!$AA$1231=TYPE2)*(TYPE2&lt;&gt;"")+('Dvd Calendar'!$AA$1231=TYPE3)*(TYPE3&lt;&gt;"")+('Dvd Calendar'!$AA$1231=TYPE4)*(TYPE4&lt;&gt;"")+('Dvd Calendar'!$AA$1231=SPECIAL_LBL)*(INC_SPECIALS="Y"))=0,"",'Dvd Calendar'!$AA$1229)))</f>
        <v/>
      </c>
      <c r="Z126" s="110">
        <f>IF(FB126="","",IF(ISNUMBER('Dvd Calendar'!$AB$1229)=FALSE,"",IF((('Dvd Calendar'!$AB$1231=TYPE1)*(TYPE1&lt;&gt;"")+('Dvd Calendar'!$AB$1231=TYPE2)*(TYPE2&lt;&gt;"")+('Dvd Calendar'!$AB$1231=TYPE3)*(TYPE3&lt;&gt;"")+('Dvd Calendar'!$AB$1231=TYPE4)*(TYPE4&lt;&gt;"")+('Dvd Calendar'!$AB$1231=SPECIAL_LBL)*(INC_SPECIALS="Y"))=0,"",'Dvd Calendar'!$AB$1229)))</f>
        <v/>
      </c>
      <c r="AA126" s="110">
        <f>IF(FC126="","",IF(ISNUMBER('Dvd Calendar'!$AC$1229)=FALSE,"",IF((('Dvd Calendar'!$AC$1231=TYPE1)*(TYPE1&lt;&gt;"")+('Dvd Calendar'!$AC$1231=TYPE2)*(TYPE2&lt;&gt;"")+('Dvd Calendar'!$AC$1231=TYPE3)*(TYPE3&lt;&gt;"")+('Dvd Calendar'!$AC$1231=TYPE4)*(TYPE4&lt;&gt;"")+('Dvd Calendar'!$AC$1231=SPECIAL_LBL)*(INC_SPECIALS="Y"))=0,"",'Dvd Calendar'!$AC$1229)))</f>
        <v/>
      </c>
      <c r="AB126" s="110">
        <f>IF(FD126="","",IF(ISNUMBER('Dvd Calendar'!$AD$1229)=FALSE,"",IF((('Dvd Calendar'!$AD$1231=TYPE1)*(TYPE1&lt;&gt;"")+('Dvd Calendar'!$AD$1231=TYPE2)*(TYPE2&lt;&gt;"")+('Dvd Calendar'!$AD$1231=TYPE3)*(TYPE3&lt;&gt;"")+('Dvd Calendar'!$AD$1231=TYPE4)*(TYPE4&lt;&gt;"")+('Dvd Calendar'!$AD$1231=SPECIAL_LBL)*(INC_SPECIALS="Y"))=0,"",'Dvd Calendar'!$AD$1229)))</f>
        <v/>
      </c>
      <c r="AC126" s="110">
        <f>IF(FE126="","",IF(ISNUMBER('Dvd Calendar'!$AE$1229)=FALSE,"",IF((('Dvd Calendar'!$AE$1231=TYPE1)*(TYPE1&lt;&gt;"")+('Dvd Calendar'!$AE$1231=TYPE2)*(TYPE2&lt;&gt;"")+('Dvd Calendar'!$AE$1231=TYPE3)*(TYPE3&lt;&gt;"")+('Dvd Calendar'!$AE$1231=TYPE4)*(TYPE4&lt;&gt;"")+('Dvd Calendar'!$AE$1231=SPECIAL_LBL)*(INC_SPECIALS="Y"))=0,"",'Dvd Calendar'!$AE$1229)))</f>
        <v/>
      </c>
      <c r="AD126" s="110">
        <f>IF(FF126="","",IF(ISNUMBER('Dvd Calendar'!$AF$1229)=FALSE,"",IF((('Dvd Calendar'!$AF$1231=TYPE1)*(TYPE1&lt;&gt;"")+('Dvd Calendar'!$AF$1231=TYPE2)*(TYPE2&lt;&gt;"")+('Dvd Calendar'!$AF$1231=TYPE3)*(TYPE3&lt;&gt;"")+('Dvd Calendar'!$AF$1231=TYPE4)*(TYPE4&lt;&gt;"")+('Dvd Calendar'!$AF$1231=SPECIAL_LBL)*(INC_SPECIALS="Y"))=0,"",'Dvd Calendar'!$AF$1229)))</f>
        <v/>
      </c>
      <c r="AE126" s="110">
        <f>IF(FG126="","",IF(ISNUMBER('Dvd Calendar'!$AG$1229)=FALSE,"",IF((('Dvd Calendar'!$AG$1231=TYPE1)*(TYPE1&lt;&gt;"")+('Dvd Calendar'!$AG$1231=TYPE2)*(TYPE2&lt;&gt;"")+('Dvd Calendar'!$AG$1231=TYPE3)*(TYPE3&lt;&gt;"")+('Dvd Calendar'!$AG$1231=TYPE4)*(TYPE4&lt;&gt;"")+('Dvd Calendar'!$AG$1231=SPECIAL_LBL)*(INC_SPECIALS="Y"))=0,"",'Dvd Calendar'!$AG$1229)))</f>
        <v/>
      </c>
      <c r="AF126" s="110">
        <f>IF(FH126="","",IF(ISNUMBER('Dvd Calendar'!$AH$1229)=FALSE,"",IF((('Dvd Calendar'!$AH$1231=TYPE1)*(TYPE1&lt;&gt;"")+('Dvd Calendar'!$AH$1231=TYPE2)*(TYPE2&lt;&gt;"")+('Dvd Calendar'!$AH$1231=TYPE3)*(TYPE3&lt;&gt;"")+('Dvd Calendar'!$AH$1231=TYPE4)*(TYPE4&lt;&gt;"")+('Dvd Calendar'!$AH$1231=SPECIAL_LBL)*(INC_SPECIALS="Y"))=0,"",'Dvd Calendar'!$AH$1229)))</f>
        <v/>
      </c>
      <c r="AG126" s="110">
        <f>IF(FI126="","",IF(ISNUMBER('Dvd Calendar'!$AI$1229)=FALSE,"",IF((('Dvd Calendar'!$AI$1231=TYPE1)*(TYPE1&lt;&gt;"")+('Dvd Calendar'!$AI$1231=TYPE2)*(TYPE2&lt;&gt;"")+('Dvd Calendar'!$AI$1231=TYPE3)*(TYPE3&lt;&gt;"")+('Dvd Calendar'!$AI$1231=TYPE4)*(TYPE4&lt;&gt;"")+('Dvd Calendar'!$AI$1231=SPECIAL_LBL)*(INC_SPECIALS="Y"))=0,"",'Dvd Calendar'!$AI$1229)))</f>
        <v/>
      </c>
      <c r="AH126" s="110">
        <f>IF(FJ126="","",IF(ISNUMBER('Dvd Calendar'!$AJ$1229)=FALSE,"",IF((('Dvd Calendar'!$AJ$1231=TYPE1)*(TYPE1&lt;&gt;"")+('Dvd Calendar'!$AJ$1231=TYPE2)*(TYPE2&lt;&gt;"")+('Dvd Calendar'!$AJ$1231=TYPE3)*(TYPE3&lt;&gt;"")+('Dvd Calendar'!$AJ$1231=TYPE4)*(TYPE4&lt;&gt;"")+('Dvd Calendar'!$AJ$1231=SPECIAL_LBL)*(INC_SPECIALS="Y"))=0,"",'Dvd Calendar'!$AJ$1229)))</f>
        <v/>
      </c>
      <c r="AI126" s="110">
        <f>IF(FK126="","",IF(ISNUMBER('Dvd Calendar'!$AK$1229)=FALSE,"",IF((('Dvd Calendar'!$AK$1231=TYPE1)*(TYPE1&lt;&gt;"")+('Dvd Calendar'!$AK$1231=TYPE2)*(TYPE2&lt;&gt;"")+('Dvd Calendar'!$AK$1231=TYPE3)*(TYPE3&lt;&gt;"")+('Dvd Calendar'!$AK$1231=TYPE4)*(TYPE4&lt;&gt;"")+('Dvd Calendar'!$AK$1231=SPECIAL_LBL)*(INC_SPECIALS="Y"))=0,"",'Dvd Calendar'!$AK$1229)))</f>
        <v/>
      </c>
      <c r="AJ126" s="110">
        <f>IF(FL126="","",IF(ISNUMBER('Dvd Calendar'!$AL$1229)=FALSE,"",IF((('Dvd Calendar'!$AL$1231=TYPE1)*(TYPE1&lt;&gt;"")+('Dvd Calendar'!$AL$1231=TYPE2)*(TYPE2&lt;&gt;"")+('Dvd Calendar'!$AL$1231=TYPE3)*(TYPE3&lt;&gt;"")+('Dvd Calendar'!$AL$1231=TYPE4)*(TYPE4&lt;&gt;"")+('Dvd Calendar'!$AL$1231=SPECIAL_LBL)*(INC_SPECIALS="Y"))=0,"",'Dvd Calendar'!$AL$1229)))</f>
        <v/>
      </c>
      <c r="AK126" s="110">
        <f>IF(FM126="","",IF(ISNUMBER('Dvd Calendar'!$AM$1229)=FALSE,"",IF((('Dvd Calendar'!$AM$1231=TYPE1)*(TYPE1&lt;&gt;"")+('Dvd Calendar'!$AM$1231=TYPE2)*(TYPE2&lt;&gt;"")+('Dvd Calendar'!$AM$1231=TYPE3)*(TYPE3&lt;&gt;"")+('Dvd Calendar'!$AM$1231=TYPE4)*(TYPE4&lt;&gt;"")+('Dvd Calendar'!$AM$1231=SPECIAL_LBL)*(INC_SPECIALS="Y"))=0,"",'Dvd Calendar'!$AM$1229)))</f>
        <v/>
      </c>
      <c r="AL126" s="110">
        <f>IF(FN126="","",IF(ISNUMBER('Dvd Calendar'!$AN$1229)=FALSE,"",IF((('Dvd Calendar'!$AN$1231=TYPE1)*(TYPE1&lt;&gt;"")+('Dvd Calendar'!$AN$1231=TYPE2)*(TYPE2&lt;&gt;"")+('Dvd Calendar'!$AN$1231=TYPE3)*(TYPE3&lt;&gt;"")+('Dvd Calendar'!$AN$1231=TYPE4)*(TYPE4&lt;&gt;"")+('Dvd Calendar'!$AN$1231=SPECIAL_LBL)*(INC_SPECIALS="Y"))=0,"",'Dvd Calendar'!$AN$1229)))</f>
        <v/>
      </c>
      <c r="AM126" s="110">
        <f>IF(FO126="","",IF(ISNUMBER('Dvd Calendar'!$AO$1229)=FALSE,"",IF((('Dvd Calendar'!$AO$1231=TYPE1)*(TYPE1&lt;&gt;"")+('Dvd Calendar'!$AO$1231=TYPE2)*(TYPE2&lt;&gt;"")+('Dvd Calendar'!$AO$1231=TYPE3)*(TYPE3&lt;&gt;"")+('Dvd Calendar'!$AO$1231=TYPE4)*(TYPE4&lt;&gt;"")+('Dvd Calendar'!$AO$1231=SPECIAL_LBL)*(INC_SPECIALS="Y"))=0,"",'Dvd Calendar'!$AO$1229)))</f>
        <v/>
      </c>
      <c r="AN126" s="110">
        <f>IF(FP126="","",IF(ISNUMBER('Dvd Calendar'!$AP$1229)=FALSE,"",IF((('Dvd Calendar'!$AP$1231=TYPE1)*(TYPE1&lt;&gt;"")+('Dvd Calendar'!$AP$1231=TYPE2)*(TYPE2&lt;&gt;"")+('Dvd Calendar'!$AP$1231=TYPE3)*(TYPE3&lt;&gt;"")+('Dvd Calendar'!$AP$1231=TYPE4)*(TYPE4&lt;&gt;"")+('Dvd Calendar'!$AP$1231=SPECIAL_LBL)*(INC_SPECIALS="Y"))=0,"",'Dvd Calendar'!$AP$1229)))</f>
        <v/>
      </c>
      <c r="AO126" s="110">
        <f>IF(FQ126="","",IF(ISNUMBER('Dvd Calendar'!$AQ$1229)=FALSE,"",IF((('Dvd Calendar'!$AQ$1231=TYPE1)*(TYPE1&lt;&gt;"")+('Dvd Calendar'!$AQ$1231=TYPE2)*(TYPE2&lt;&gt;"")+('Dvd Calendar'!$AQ$1231=TYPE3)*(TYPE3&lt;&gt;"")+('Dvd Calendar'!$AQ$1231=TYPE4)*(TYPE4&lt;&gt;"")+('Dvd Calendar'!$AQ$1231=SPECIAL_LBL)*(INC_SPECIALS="Y"))=0,"",'Dvd Calendar'!$AQ$1229)))</f>
        <v/>
      </c>
      <c r="AP126" s="110">
        <f>IF(FR126="","",IF(ISNUMBER('Dvd Calendar'!$AR$1229)=FALSE,"",IF((('Dvd Calendar'!$AR$1231=TYPE1)*(TYPE1&lt;&gt;"")+('Dvd Calendar'!$AR$1231=TYPE2)*(TYPE2&lt;&gt;"")+('Dvd Calendar'!$AR$1231=TYPE3)*(TYPE3&lt;&gt;"")+('Dvd Calendar'!$AR$1231=TYPE4)*(TYPE4&lt;&gt;"")+('Dvd Calendar'!$AR$1231=SPECIAL_LBL)*(INC_SPECIALS="Y"))=0,"",'Dvd Calendar'!$AR$1229)))</f>
        <v/>
      </c>
      <c r="AQ126" s="110">
        <f>IF(FS126="","",IF(ISNUMBER('Dvd Calendar'!$E$1234)=FALSE,"",'Dvd Calendar'!$E$1234))</f>
        <v/>
      </c>
      <c r="AR126" s="110">
        <f>IF(FT126="","",IF(ISNUMBER('Dvd Calendar'!$F$1234)=FALSE,"",'Dvd Calendar'!$F$1234))</f>
        <v/>
      </c>
      <c r="AS126" s="110">
        <f>IF(FU126="","",IF(ISNUMBER('Dvd Calendar'!$G$1234)=FALSE,"",'Dvd Calendar'!$G$1234))</f>
        <v/>
      </c>
      <c r="AT126" s="110">
        <f>IF(FV126="","",IF(ISNUMBER('Dvd Calendar'!$H$1234)=FALSE,"",'Dvd Calendar'!$H$1234))</f>
        <v/>
      </c>
      <c r="AU126" s="110">
        <f>IF(FW126="","",IF(ISNUMBER('Dvd Calendar'!$I$1234)=FALSE,"",'Dvd Calendar'!$I$1234))</f>
        <v/>
      </c>
      <c r="AV126" s="110">
        <f>IF(FX126="","",IF(ISNUMBER('Dvd Calendar'!$J$1234)=FALSE,"",'Dvd Calendar'!$J$1234))</f>
        <v/>
      </c>
      <c r="AW126" s="110">
        <f>IF(FY126="","",IF(ISNUMBER('Dvd Calendar'!$K$1234)=FALSE,"",'Dvd Calendar'!$K$1234))</f>
        <v/>
      </c>
      <c r="AX126" s="110">
        <f>IF(FZ126="","",IF(ISNUMBER('Dvd Calendar'!$L$1234)=FALSE,"",'Dvd Calendar'!$L$1234))</f>
        <v/>
      </c>
      <c r="AY126" s="110">
        <f>IF(GA126="","",IF(ISNUMBER('Dvd Calendar'!$M$1234)=FALSE,"",'Dvd Calendar'!$M$1234))</f>
        <v/>
      </c>
      <c r="AZ126" s="110">
        <f>IF(GB126="","",IF(ISNUMBER('Dvd Calendar'!$N$1234)=FALSE,"",'Dvd Calendar'!$N$1234))</f>
        <v/>
      </c>
      <c r="BA126" s="110">
        <f>IF(GC126="","",IF(ISNUMBER('Dvd Calendar'!$O$1234)=FALSE,"",'Dvd Calendar'!$O$1234))</f>
        <v/>
      </c>
      <c r="BB126" s="110">
        <f>IF(GD126="","",IF(ISNUMBER('Dvd Calendar'!$P$1234)=FALSE,"",'Dvd Calendar'!$P$1234))</f>
        <v/>
      </c>
      <c r="BC126" s="110">
        <f>IF(GE126="","",IF(ISNUMBER('Dvd Calendar'!$Q$1234)=FALSE,"",'Dvd Calendar'!$Q$1234))</f>
        <v/>
      </c>
      <c r="BD126" s="110">
        <f>IF(GF126="","",IF(ISNUMBER('Dvd Calendar'!$R$1234)=FALSE,"",'Dvd Calendar'!$R$1234))</f>
        <v/>
      </c>
      <c r="BE126" s="110">
        <f>IF(GG126="","",IF(ISNUMBER('Dvd Calendar'!$S$1234)=FALSE,"",'Dvd Calendar'!$S$1234))</f>
        <v/>
      </c>
      <c r="BF126" s="110">
        <f>IF(GH126="","",IF(ISNUMBER('Dvd Calendar'!$T$1234)=FALSE,"",'Dvd Calendar'!$T$1234))</f>
        <v/>
      </c>
      <c r="BG126" s="110">
        <f>IF(GI126="","",IF(ISNUMBER('Dvd Calendar'!$U$1234)=FALSE,"",'Dvd Calendar'!$U$1234))</f>
        <v/>
      </c>
      <c r="BH126" s="110">
        <f>IF(GJ126="","",IF(ISNUMBER('Dvd Calendar'!$V$1234)=FALSE,"",'Dvd Calendar'!$V$1234))</f>
        <v/>
      </c>
      <c r="BI126" s="110">
        <f>IF(GK126="","",IF(ISNUMBER('Dvd Calendar'!$W$1234)=FALSE,"",'Dvd Calendar'!$W$1234))</f>
        <v/>
      </c>
      <c r="BJ126" s="110">
        <f>IF(GL126="","",IF(ISNUMBER('Dvd Calendar'!$X$1234)=FALSE,"",'Dvd Calendar'!$X$1234))</f>
        <v/>
      </c>
      <c r="BK126" s="110">
        <f>IF(GM126="","",IF(ISNUMBER('Dvd Calendar'!$Y$1234)=FALSE,"",'Dvd Calendar'!$Y$1234))</f>
        <v/>
      </c>
      <c r="BL126" s="110">
        <f>IF(GN126="","",IF(ISNUMBER('Dvd Calendar'!$Z$1234)=FALSE,"",'Dvd Calendar'!$Z$1234))</f>
        <v/>
      </c>
      <c r="BM126" s="110">
        <f>IF(GO126="","",IF(ISNUMBER('Dvd Calendar'!$AA$1234)=FALSE,"",'Dvd Calendar'!$AA$1234))</f>
        <v/>
      </c>
      <c r="BN126" s="110">
        <f>IF(GP126="","",IF(ISNUMBER('Dvd Calendar'!$AB$1234)=FALSE,"",'Dvd Calendar'!$AB$1234))</f>
        <v/>
      </c>
      <c r="BO126" s="110">
        <f>IF(GQ126="","",IF(ISNUMBER('Dvd Calendar'!$AC$1234)=FALSE,"",'Dvd Calendar'!$AC$1234))</f>
        <v/>
      </c>
      <c r="BQ126" s="110">
        <f>IF(C126="","",IFERROR(C126*HSTECH!$B$17*HSTECH!$G$17/HSTECH!$B$3,""))</f>
        <v/>
      </c>
      <c r="BR126" s="110">
        <f>IF(D126="","",IFERROR(D126*HSTECH!$B$17*HSTECH!$G$17/HSTECH!$B$3,""))</f>
        <v/>
      </c>
      <c r="BS126" s="110">
        <f>IF(E126="","",IFERROR(E126*HSTECH!$B$17*HSTECH!$G$17/HSTECH!$B$3,""))</f>
        <v/>
      </c>
      <c r="BT126" s="110">
        <f>IF(F126="","",IFERROR(F126*HSTECH!$B$17*HSTECH!$G$17/HSTECH!$B$3,""))</f>
        <v/>
      </c>
      <c r="BU126" s="110">
        <f>IF(G126="","",IFERROR(G126*HSTECH!$B$17*HSTECH!$G$17/HSTECH!$B$3,""))</f>
        <v/>
      </c>
      <c r="BV126" s="110">
        <f>IF(H126="","",IFERROR(H126*HSTECH!$B$17*HSTECH!$G$17/HSTECH!$B$3,""))</f>
        <v/>
      </c>
      <c r="BW126" s="110">
        <f>IF(I126="","",IFERROR(I126*HSTECH!$B$17*HSTECH!$G$17/HSTECH!$B$3,""))</f>
        <v/>
      </c>
      <c r="BX126" s="110">
        <f>IF(J126="","",IFERROR(J126*HSTECH!$B$17*HSTECH!$G$17/HSTECH!$B$3,""))</f>
        <v/>
      </c>
      <c r="BY126" s="110">
        <f>IF(K126="","",IFERROR(K126*HSTECH!$B$17*HSTECH!$G$17/HSTECH!$B$3,""))</f>
        <v/>
      </c>
      <c r="BZ126" s="110">
        <f>IF(L126="","",IFERROR(L126*HSTECH!$B$17*HSTECH!$G$17/HSTECH!$B$3,""))</f>
        <v/>
      </c>
      <c r="CA126" s="110">
        <f>IF(M126="","",IFERROR(M126*HSTECH!$B$17*HSTECH!$G$17/HSTECH!$B$3,""))</f>
        <v/>
      </c>
      <c r="CB126" s="110">
        <f>IF(N126="","",IFERROR(N126*HSTECH!$B$17*HSTECH!$G$17/HSTECH!$B$3,""))</f>
        <v/>
      </c>
      <c r="CC126" s="110">
        <f>IF(O126="","",IFERROR(O126*HSTECH!$B$17*HSTECH!$G$17/HSTECH!$B$3,""))</f>
        <v/>
      </c>
      <c r="CD126" s="110">
        <f>IF(P126="","",IFERROR(P126*HSTECH!$B$17*HSTECH!$G$17/HSTECH!$B$3,""))</f>
        <v/>
      </c>
      <c r="CE126" s="110">
        <f>IF(Q126="","",IFERROR(Q126*HSTECH!$B$17*HSTECH!$G$17/HSTECH!$B$3,""))</f>
        <v/>
      </c>
      <c r="CF126" s="110">
        <f>IF(R126="","",IFERROR(R126*HSTECH!$B$17*HSTECH!$G$17/HSTECH!$B$3,""))</f>
        <v/>
      </c>
      <c r="CG126" s="110">
        <f>IF(S126="","",IFERROR(S126*HSTECH!$B$17*HSTECH!$G$17/HSTECH!$B$3,""))</f>
        <v/>
      </c>
      <c r="CH126" s="110">
        <f>IF(T126="","",IFERROR(T126*HSTECH!$B$17*HSTECH!$G$17/HSTECH!$B$3,""))</f>
        <v/>
      </c>
      <c r="CI126" s="110">
        <f>IF(U126="","",IFERROR(U126*HSTECH!$B$17*HSTECH!$G$17/HSTECH!$B$3,""))</f>
        <v/>
      </c>
      <c r="CJ126" s="110">
        <f>IF(V126="","",IFERROR(V126*HSTECH!$B$17*HSTECH!$G$17/HSTECH!$B$3,""))</f>
        <v/>
      </c>
      <c r="CK126" s="110">
        <f>IF(W126="","",IFERROR(W126*HSTECH!$B$17*HSTECH!$G$17/HSTECH!$B$3,""))</f>
        <v/>
      </c>
      <c r="CL126" s="110">
        <f>IF(X126="","",IFERROR(X126*HSTECH!$B$17*HSTECH!$G$17/HSTECH!$B$3,""))</f>
        <v/>
      </c>
      <c r="CM126" s="110">
        <f>IF(Y126="","",IFERROR(Y126*HSTECH!$B$17*HSTECH!$G$17/HSTECH!$B$3,""))</f>
        <v/>
      </c>
      <c r="CN126" s="110">
        <f>IF(Z126="","",IFERROR(Z126*HSTECH!$B$17*HSTECH!$G$17/HSTECH!$B$3,""))</f>
        <v/>
      </c>
      <c r="CO126" s="110">
        <f>IF(AA126="","",IFERROR(AA126*HSTECH!$B$17*HSTECH!$G$17/HSTECH!$B$3,""))</f>
        <v/>
      </c>
      <c r="CP126" s="110">
        <f>IF(AB126="","",IFERROR(AB126*HSTECH!$B$17*HSTECH!$G$17/HSTECH!$B$3,""))</f>
        <v/>
      </c>
      <c r="CQ126" s="110">
        <f>IF(AC126="","",IFERROR(AC126*HSTECH!$B$17*HSTECH!$G$17/HSTECH!$B$3,""))</f>
        <v/>
      </c>
      <c r="CR126" s="110">
        <f>IF(AD126="","",IFERROR(AD126*HSTECH!$B$17*HSTECH!$G$17/HSTECH!$B$3,""))</f>
        <v/>
      </c>
      <c r="CS126" s="110">
        <f>IF(AE126="","",IFERROR(AE126*HSTECH!$B$17*HSTECH!$G$17/HSTECH!$B$3,""))</f>
        <v/>
      </c>
      <c r="CT126" s="110">
        <f>IF(AF126="","",IFERROR(AF126*HSTECH!$B$17*HSTECH!$G$17/HSTECH!$B$3,""))</f>
        <v/>
      </c>
      <c r="CU126" s="110">
        <f>IF(AG126="","",IFERROR(AG126*HSTECH!$B$17*HSTECH!$G$17/HSTECH!$B$3,""))</f>
        <v/>
      </c>
      <c r="CV126" s="110">
        <f>IF(AH126="","",IFERROR(AH126*HSTECH!$B$17*HSTECH!$G$17/HSTECH!$B$3,""))</f>
        <v/>
      </c>
      <c r="CW126" s="110">
        <f>IF(AI126="","",IFERROR(AI126*HSTECH!$B$17*HSTECH!$G$17/HSTECH!$B$3,""))</f>
        <v/>
      </c>
      <c r="CX126" s="110">
        <f>IF(AJ126="","",IFERROR(AJ126*HSTECH!$B$17*HSTECH!$G$17/HSTECH!$B$3,""))</f>
        <v/>
      </c>
      <c r="CY126" s="110">
        <f>IF(AK126="","",IFERROR(AK126*HSTECH!$B$17*HSTECH!$G$17/HSTECH!$B$3,""))</f>
        <v/>
      </c>
      <c r="CZ126" s="110">
        <f>IF(AL126="","",IFERROR(AL126*HSTECH!$B$17*HSTECH!$G$17/HSTECH!$B$3,""))</f>
        <v/>
      </c>
      <c r="DA126" s="110">
        <f>IF(AM126="","",IFERROR(AM126*HSTECH!$B$17*HSTECH!$G$17/HSTECH!$B$3,""))</f>
        <v/>
      </c>
      <c r="DB126" s="110">
        <f>IF(AN126="","",IFERROR(AN126*HSTECH!$B$17*HSTECH!$G$17/HSTECH!$B$3,""))</f>
        <v/>
      </c>
      <c r="DC126" s="110">
        <f>IF(AO126="","",IFERROR(AO126*HSTECH!$B$17*HSTECH!$G$17/HSTECH!$B$3,""))</f>
        <v/>
      </c>
      <c r="DD126" s="110">
        <f>IF(AP126="","",IFERROR(AP126*HSTECH!$B$17*HSTECH!$G$17/HSTECH!$B$3,""))</f>
        <v/>
      </c>
      <c r="DE126" s="110">
        <f>IF(AQ126="","",IFERROR(AQ126*HSTECH!$B$17*HSTECH!$G$17/HSTECH!$B$3,""))</f>
        <v/>
      </c>
      <c r="DF126" s="110">
        <f>IF(AR126="","",IFERROR(AR126*HSTECH!$B$17*HSTECH!$G$17/HSTECH!$B$3,""))</f>
        <v/>
      </c>
      <c r="DG126" s="110">
        <f>IF(AS126="","",IFERROR(AS126*HSTECH!$B$17*HSTECH!$G$17/HSTECH!$B$3,""))</f>
        <v/>
      </c>
      <c r="DH126" s="110">
        <f>IF(AT126="","",IFERROR(AT126*HSTECH!$B$17*HSTECH!$G$17/HSTECH!$B$3,""))</f>
        <v/>
      </c>
      <c r="DI126" s="110">
        <f>IF(AU126="","",IFERROR(AU126*HSTECH!$B$17*HSTECH!$G$17/HSTECH!$B$3,""))</f>
        <v/>
      </c>
      <c r="DJ126" s="110">
        <f>IF(AV126="","",IFERROR(AV126*HSTECH!$B$17*HSTECH!$G$17/HSTECH!$B$3,""))</f>
        <v/>
      </c>
      <c r="DK126" s="110">
        <f>IF(AW126="","",IFERROR(AW126*HSTECH!$B$17*HSTECH!$G$17/HSTECH!$B$3,""))</f>
        <v/>
      </c>
      <c r="DL126" s="110">
        <f>IF(AX126="","",IFERROR(AX126*HSTECH!$B$17*HSTECH!$G$17/HSTECH!$B$3,""))</f>
        <v/>
      </c>
      <c r="DM126" s="110">
        <f>IF(AY126="","",IFERROR(AY126*HSTECH!$B$17*HSTECH!$G$17/HSTECH!$B$3,""))</f>
        <v/>
      </c>
      <c r="DN126" s="110">
        <f>IF(AZ126="","",IFERROR(AZ126*HSTECH!$B$17*HSTECH!$G$17/HSTECH!$B$3,""))</f>
        <v/>
      </c>
      <c r="DO126" s="110">
        <f>IF(BA126="","",IFERROR(BA126*HSTECH!$B$17*HSTECH!$G$17/HSTECH!$B$3,""))</f>
        <v/>
      </c>
      <c r="DP126" s="110">
        <f>IF(BB126="","",IFERROR(BB126*HSTECH!$B$17*HSTECH!$G$17/HSTECH!$B$3,""))</f>
        <v/>
      </c>
      <c r="DQ126" s="110">
        <f>IF(BC126="","",IFERROR(BC126*HSTECH!$B$17*HSTECH!$G$17/HSTECH!$B$3,""))</f>
        <v/>
      </c>
      <c r="DR126" s="110">
        <f>IF(BD126="","",IFERROR(BD126*HSTECH!$B$17*HSTECH!$G$17/HSTECH!$B$3,""))</f>
        <v/>
      </c>
      <c r="DS126" s="110">
        <f>IF(BE126="","",IFERROR(BE126*HSTECH!$B$17*HSTECH!$G$17/HSTECH!$B$3,""))</f>
        <v/>
      </c>
      <c r="DT126" s="110">
        <f>IF(BF126="","",IFERROR(BF126*HSTECH!$B$17*HSTECH!$G$17/HSTECH!$B$3,""))</f>
        <v/>
      </c>
      <c r="DU126" s="110">
        <f>IF(BG126="","",IFERROR(BG126*HSTECH!$B$17*HSTECH!$G$17/HSTECH!$B$3,""))</f>
        <v/>
      </c>
      <c r="DV126" s="110">
        <f>IF(BH126="","",IFERROR(BH126*HSTECH!$B$17*HSTECH!$G$17/HSTECH!$B$3,""))</f>
        <v/>
      </c>
      <c r="DW126" s="110">
        <f>IF(BI126="","",IFERROR(BI126*HSTECH!$B$17*HSTECH!$G$17/HSTECH!$B$3,""))</f>
        <v/>
      </c>
      <c r="DX126" s="110">
        <f>IF(BJ126="","",IFERROR(BJ126*HSTECH!$B$17*HSTECH!$G$17/HSTECH!$B$3,""))</f>
        <v/>
      </c>
      <c r="DY126" s="110">
        <f>IF(BK126="","",IFERROR(BK126*HSTECH!$B$17*HSTECH!$G$17/HSTECH!$B$3,""))</f>
        <v/>
      </c>
      <c r="DZ126" s="110">
        <f>IF(BL126="","",IFERROR(BL126*HSTECH!$B$17*HSTECH!$G$17/HSTECH!$B$3,""))</f>
        <v/>
      </c>
      <c r="EA126" s="110">
        <f>IF(BM126="","",IFERROR(BM126*HSTECH!$B$17*HSTECH!$G$17/HSTECH!$B$3,""))</f>
        <v/>
      </c>
      <c r="EB126" s="110">
        <f>IF(BN126="","",IFERROR(BN126*HSTECH!$B$17*HSTECH!$G$17/HSTECH!$B$3,""))</f>
        <v/>
      </c>
      <c r="EC126" s="110">
        <f>IF(BO126="","",IFERROR(BO126*HSTECH!$B$17*HSTECH!$G$17/HSTECH!$B$3,""))</f>
        <v/>
      </c>
      <c r="EE126" s="39">
        <f>IF(N('Dvd Calendar'!$E$1226)=0,"",IF(('Dvd Calendar'!$E$1226&gt;=GRID_FROM)*('Dvd Calendar'!$E$1226&lt;=GRID_TO)*((('Dvd Calendar'!$E$1226&lt;=VAL_DATE)+(COUNTIF('Dvd Calendar'!$E$1233:$AR$1233,'Dvd Calendar'!$E$1226)=0))&gt;0)=0,"",'Dvd Calendar'!$E$1226*1000000000+ISNUMBER('Dvd Calendar'!$E$1229)*100000000+('Dvd Calendar'!$E$1231=SPECIAL_LBL)*10000000+(N('Dvd Calendar'!$E$1225)&gt;0)*(N('Dvd Calendar'!$E$1225)&lt;=VAL_SERIAL)*1000000+11*1000+1))</f>
        <v/>
      </c>
      <c r="EF126" s="39">
        <f>IF(N('Dvd Calendar'!$F$1226)=0,"",IF(('Dvd Calendar'!$F$1226&gt;=GRID_FROM)*('Dvd Calendar'!$F$1226&lt;=GRID_TO)*((('Dvd Calendar'!$F$1226&lt;=VAL_DATE)+(COUNTIF('Dvd Calendar'!$E$1233:$AR$1233,'Dvd Calendar'!$F$1226)=0))&gt;0)=0,"",'Dvd Calendar'!$F$1226*1000000000+ISNUMBER('Dvd Calendar'!$F$1229)*100000000+('Dvd Calendar'!$F$1231=SPECIAL_LBL)*10000000+(N('Dvd Calendar'!$F$1225)&gt;0)*(N('Dvd Calendar'!$F$1225)&lt;=VAL_SERIAL)*1000000+11*1000+2))</f>
        <v/>
      </c>
      <c r="EG126" s="39">
        <f>IF(N('Dvd Calendar'!$G$1226)=0,"",IF(('Dvd Calendar'!$G$1226&gt;=GRID_FROM)*('Dvd Calendar'!$G$1226&lt;=GRID_TO)*((('Dvd Calendar'!$G$1226&lt;=VAL_DATE)+(COUNTIF('Dvd Calendar'!$E$1233:$AR$1233,'Dvd Calendar'!$G$1226)=0))&gt;0)=0,"",'Dvd Calendar'!$G$1226*1000000000+ISNUMBER('Dvd Calendar'!$G$1229)*100000000+('Dvd Calendar'!$G$1231=SPECIAL_LBL)*10000000+(N('Dvd Calendar'!$G$1225)&gt;0)*(N('Dvd Calendar'!$G$1225)&lt;=VAL_SERIAL)*1000000+11*1000+3))</f>
        <v/>
      </c>
      <c r="EH126" s="39">
        <f>IF(N('Dvd Calendar'!$H$1226)=0,"",IF(('Dvd Calendar'!$H$1226&gt;=GRID_FROM)*('Dvd Calendar'!$H$1226&lt;=GRID_TO)*((('Dvd Calendar'!$H$1226&lt;=VAL_DATE)+(COUNTIF('Dvd Calendar'!$E$1233:$AR$1233,'Dvd Calendar'!$H$1226)=0))&gt;0)=0,"",'Dvd Calendar'!$H$1226*1000000000+ISNUMBER('Dvd Calendar'!$H$1229)*100000000+('Dvd Calendar'!$H$1231=SPECIAL_LBL)*10000000+(N('Dvd Calendar'!$H$1225)&gt;0)*(N('Dvd Calendar'!$H$1225)&lt;=VAL_SERIAL)*1000000+11*1000+4))</f>
        <v/>
      </c>
      <c r="EI126" s="39">
        <f>IF(N('Dvd Calendar'!$I$1226)=0,"",IF(('Dvd Calendar'!$I$1226&gt;=GRID_FROM)*('Dvd Calendar'!$I$1226&lt;=GRID_TO)*((('Dvd Calendar'!$I$1226&lt;=VAL_DATE)+(COUNTIF('Dvd Calendar'!$E$1233:$AR$1233,'Dvd Calendar'!$I$1226)=0))&gt;0)=0,"",'Dvd Calendar'!$I$1226*1000000000+ISNUMBER('Dvd Calendar'!$I$1229)*100000000+('Dvd Calendar'!$I$1231=SPECIAL_LBL)*10000000+(N('Dvd Calendar'!$I$1225)&gt;0)*(N('Dvd Calendar'!$I$1225)&lt;=VAL_SERIAL)*1000000+11*1000+5))</f>
        <v/>
      </c>
      <c r="EJ126" s="39">
        <f>IF(N('Dvd Calendar'!$J$1226)=0,"",IF(('Dvd Calendar'!$J$1226&gt;=GRID_FROM)*('Dvd Calendar'!$J$1226&lt;=GRID_TO)*((('Dvd Calendar'!$J$1226&lt;=VAL_DATE)+(COUNTIF('Dvd Calendar'!$E$1233:$AR$1233,'Dvd Calendar'!$J$1226)=0))&gt;0)=0,"",'Dvd Calendar'!$J$1226*1000000000+ISNUMBER('Dvd Calendar'!$J$1229)*100000000+('Dvd Calendar'!$J$1231=SPECIAL_LBL)*10000000+(N('Dvd Calendar'!$J$1225)&gt;0)*(N('Dvd Calendar'!$J$1225)&lt;=VAL_SERIAL)*1000000+11*1000+6))</f>
        <v/>
      </c>
      <c r="EK126" s="39">
        <f>IF(N('Dvd Calendar'!$K$1226)=0,"",IF(('Dvd Calendar'!$K$1226&gt;=GRID_FROM)*('Dvd Calendar'!$K$1226&lt;=GRID_TO)*((('Dvd Calendar'!$K$1226&lt;=VAL_DATE)+(COUNTIF('Dvd Calendar'!$E$1233:$AR$1233,'Dvd Calendar'!$K$1226)=0))&gt;0)=0,"",'Dvd Calendar'!$K$1226*1000000000+ISNUMBER('Dvd Calendar'!$K$1229)*100000000+('Dvd Calendar'!$K$1231=SPECIAL_LBL)*10000000+(N('Dvd Calendar'!$K$1225)&gt;0)*(N('Dvd Calendar'!$K$1225)&lt;=VAL_SERIAL)*1000000+11*1000+7))</f>
        <v/>
      </c>
      <c r="EL126" s="39">
        <f>IF(N('Dvd Calendar'!$L$1226)=0,"",IF(('Dvd Calendar'!$L$1226&gt;=GRID_FROM)*('Dvd Calendar'!$L$1226&lt;=GRID_TO)*((('Dvd Calendar'!$L$1226&lt;=VAL_DATE)+(COUNTIF('Dvd Calendar'!$E$1233:$AR$1233,'Dvd Calendar'!$L$1226)=0))&gt;0)=0,"",'Dvd Calendar'!$L$1226*1000000000+ISNUMBER('Dvd Calendar'!$L$1229)*100000000+('Dvd Calendar'!$L$1231=SPECIAL_LBL)*10000000+(N('Dvd Calendar'!$L$1225)&gt;0)*(N('Dvd Calendar'!$L$1225)&lt;=VAL_SERIAL)*1000000+11*1000+8))</f>
        <v/>
      </c>
      <c r="EM126" s="39">
        <f>IF(N('Dvd Calendar'!$M$1226)=0,"",IF(('Dvd Calendar'!$M$1226&gt;=GRID_FROM)*('Dvd Calendar'!$M$1226&lt;=GRID_TO)*((('Dvd Calendar'!$M$1226&lt;=VAL_DATE)+(COUNTIF('Dvd Calendar'!$E$1233:$AR$1233,'Dvd Calendar'!$M$1226)=0))&gt;0)=0,"",'Dvd Calendar'!$M$1226*1000000000+ISNUMBER('Dvd Calendar'!$M$1229)*100000000+('Dvd Calendar'!$M$1231=SPECIAL_LBL)*10000000+(N('Dvd Calendar'!$M$1225)&gt;0)*(N('Dvd Calendar'!$M$1225)&lt;=VAL_SERIAL)*1000000+11*1000+9))</f>
        <v/>
      </c>
      <c r="EN126" s="39">
        <f>IF(N('Dvd Calendar'!$N$1226)=0,"",IF(('Dvd Calendar'!$N$1226&gt;=GRID_FROM)*('Dvd Calendar'!$N$1226&lt;=GRID_TO)*((('Dvd Calendar'!$N$1226&lt;=VAL_DATE)+(COUNTIF('Dvd Calendar'!$E$1233:$AR$1233,'Dvd Calendar'!$N$1226)=0))&gt;0)=0,"",'Dvd Calendar'!$N$1226*1000000000+ISNUMBER('Dvd Calendar'!$N$1229)*100000000+('Dvd Calendar'!$N$1231=SPECIAL_LBL)*10000000+(N('Dvd Calendar'!$N$1225)&gt;0)*(N('Dvd Calendar'!$N$1225)&lt;=VAL_SERIAL)*1000000+11*1000+10))</f>
        <v/>
      </c>
      <c r="EO126" s="39">
        <f>IF(N('Dvd Calendar'!$O$1226)=0,"",IF(('Dvd Calendar'!$O$1226&gt;=GRID_FROM)*('Dvd Calendar'!$O$1226&lt;=GRID_TO)*((('Dvd Calendar'!$O$1226&lt;=VAL_DATE)+(COUNTIF('Dvd Calendar'!$E$1233:$AR$1233,'Dvd Calendar'!$O$1226)=0))&gt;0)=0,"",'Dvd Calendar'!$O$1226*1000000000+ISNUMBER('Dvd Calendar'!$O$1229)*100000000+('Dvd Calendar'!$O$1231=SPECIAL_LBL)*10000000+(N('Dvd Calendar'!$O$1225)&gt;0)*(N('Dvd Calendar'!$O$1225)&lt;=VAL_SERIAL)*1000000+11*1000+11))</f>
        <v/>
      </c>
      <c r="EP126" s="39">
        <f>IF(N('Dvd Calendar'!$P$1226)=0,"",IF(('Dvd Calendar'!$P$1226&gt;=GRID_FROM)*('Dvd Calendar'!$P$1226&lt;=GRID_TO)*((('Dvd Calendar'!$P$1226&lt;=VAL_DATE)+(COUNTIF('Dvd Calendar'!$E$1233:$AR$1233,'Dvd Calendar'!$P$1226)=0))&gt;0)=0,"",'Dvd Calendar'!$P$1226*1000000000+ISNUMBER('Dvd Calendar'!$P$1229)*100000000+('Dvd Calendar'!$P$1231=SPECIAL_LBL)*10000000+(N('Dvd Calendar'!$P$1225)&gt;0)*(N('Dvd Calendar'!$P$1225)&lt;=VAL_SERIAL)*1000000+11*1000+12))</f>
        <v/>
      </c>
      <c r="EQ126" s="39">
        <f>IF(N('Dvd Calendar'!$Q$1226)=0,"",IF(('Dvd Calendar'!$Q$1226&gt;=GRID_FROM)*('Dvd Calendar'!$Q$1226&lt;=GRID_TO)*((('Dvd Calendar'!$Q$1226&lt;=VAL_DATE)+(COUNTIF('Dvd Calendar'!$E$1233:$AR$1233,'Dvd Calendar'!$Q$1226)=0))&gt;0)=0,"",'Dvd Calendar'!$Q$1226*1000000000+ISNUMBER('Dvd Calendar'!$Q$1229)*100000000+('Dvd Calendar'!$Q$1231=SPECIAL_LBL)*10000000+(N('Dvd Calendar'!$Q$1225)&gt;0)*(N('Dvd Calendar'!$Q$1225)&lt;=VAL_SERIAL)*1000000+11*1000+13))</f>
        <v/>
      </c>
      <c r="ER126" s="39">
        <f>IF(N('Dvd Calendar'!$R$1226)=0,"",IF(('Dvd Calendar'!$R$1226&gt;=GRID_FROM)*('Dvd Calendar'!$R$1226&lt;=GRID_TO)*((('Dvd Calendar'!$R$1226&lt;=VAL_DATE)+(COUNTIF('Dvd Calendar'!$E$1233:$AR$1233,'Dvd Calendar'!$R$1226)=0))&gt;0)=0,"",'Dvd Calendar'!$R$1226*1000000000+ISNUMBER('Dvd Calendar'!$R$1229)*100000000+('Dvd Calendar'!$R$1231=SPECIAL_LBL)*10000000+(N('Dvd Calendar'!$R$1225)&gt;0)*(N('Dvd Calendar'!$R$1225)&lt;=VAL_SERIAL)*1000000+11*1000+14))</f>
        <v/>
      </c>
      <c r="ES126" s="39">
        <f>IF(N('Dvd Calendar'!$S$1226)=0,"",IF(('Dvd Calendar'!$S$1226&gt;=GRID_FROM)*('Dvd Calendar'!$S$1226&lt;=GRID_TO)*((('Dvd Calendar'!$S$1226&lt;=VAL_DATE)+(COUNTIF('Dvd Calendar'!$E$1233:$AR$1233,'Dvd Calendar'!$S$1226)=0))&gt;0)=0,"",'Dvd Calendar'!$S$1226*1000000000+ISNUMBER('Dvd Calendar'!$S$1229)*100000000+('Dvd Calendar'!$S$1231=SPECIAL_LBL)*10000000+(N('Dvd Calendar'!$S$1225)&gt;0)*(N('Dvd Calendar'!$S$1225)&lt;=VAL_SERIAL)*1000000+11*1000+15))</f>
        <v/>
      </c>
      <c r="ET126" s="39">
        <f>IF(N('Dvd Calendar'!$T$1226)=0,"",IF(('Dvd Calendar'!$T$1226&gt;=GRID_FROM)*('Dvd Calendar'!$T$1226&lt;=GRID_TO)*((('Dvd Calendar'!$T$1226&lt;=VAL_DATE)+(COUNTIF('Dvd Calendar'!$E$1233:$AR$1233,'Dvd Calendar'!$T$1226)=0))&gt;0)=0,"",'Dvd Calendar'!$T$1226*1000000000+ISNUMBER('Dvd Calendar'!$T$1229)*100000000+('Dvd Calendar'!$T$1231=SPECIAL_LBL)*10000000+(N('Dvd Calendar'!$T$1225)&gt;0)*(N('Dvd Calendar'!$T$1225)&lt;=VAL_SERIAL)*1000000+11*1000+16))</f>
        <v/>
      </c>
      <c r="EU126" s="39">
        <f>IF(N('Dvd Calendar'!$U$1226)=0,"",IF(('Dvd Calendar'!$U$1226&gt;=GRID_FROM)*('Dvd Calendar'!$U$1226&lt;=GRID_TO)*((('Dvd Calendar'!$U$1226&lt;=VAL_DATE)+(COUNTIF('Dvd Calendar'!$E$1233:$AR$1233,'Dvd Calendar'!$U$1226)=0))&gt;0)=0,"",'Dvd Calendar'!$U$1226*1000000000+ISNUMBER('Dvd Calendar'!$U$1229)*100000000+('Dvd Calendar'!$U$1231=SPECIAL_LBL)*10000000+(N('Dvd Calendar'!$U$1225)&gt;0)*(N('Dvd Calendar'!$U$1225)&lt;=VAL_SERIAL)*1000000+11*1000+17))</f>
        <v/>
      </c>
      <c r="EV126" s="39">
        <f>IF(N('Dvd Calendar'!$V$1226)=0,"",IF(('Dvd Calendar'!$V$1226&gt;=GRID_FROM)*('Dvd Calendar'!$V$1226&lt;=GRID_TO)*((('Dvd Calendar'!$V$1226&lt;=VAL_DATE)+(COUNTIF('Dvd Calendar'!$E$1233:$AR$1233,'Dvd Calendar'!$V$1226)=0))&gt;0)=0,"",'Dvd Calendar'!$V$1226*1000000000+ISNUMBER('Dvd Calendar'!$V$1229)*100000000+('Dvd Calendar'!$V$1231=SPECIAL_LBL)*10000000+(N('Dvd Calendar'!$V$1225)&gt;0)*(N('Dvd Calendar'!$V$1225)&lt;=VAL_SERIAL)*1000000+11*1000+18))</f>
        <v/>
      </c>
      <c r="EW126" s="39">
        <f>IF(N('Dvd Calendar'!$W$1226)=0,"",IF(('Dvd Calendar'!$W$1226&gt;=GRID_FROM)*('Dvd Calendar'!$W$1226&lt;=GRID_TO)*((('Dvd Calendar'!$W$1226&lt;=VAL_DATE)+(COUNTIF('Dvd Calendar'!$E$1233:$AR$1233,'Dvd Calendar'!$W$1226)=0))&gt;0)=0,"",'Dvd Calendar'!$W$1226*1000000000+ISNUMBER('Dvd Calendar'!$W$1229)*100000000+('Dvd Calendar'!$W$1231=SPECIAL_LBL)*10000000+(N('Dvd Calendar'!$W$1225)&gt;0)*(N('Dvd Calendar'!$W$1225)&lt;=VAL_SERIAL)*1000000+11*1000+19))</f>
        <v/>
      </c>
      <c r="EX126" s="39">
        <f>IF(N('Dvd Calendar'!$X$1226)=0,"",IF(('Dvd Calendar'!$X$1226&gt;=GRID_FROM)*('Dvd Calendar'!$X$1226&lt;=GRID_TO)*((('Dvd Calendar'!$X$1226&lt;=VAL_DATE)+(COUNTIF('Dvd Calendar'!$E$1233:$AR$1233,'Dvd Calendar'!$X$1226)=0))&gt;0)=0,"",'Dvd Calendar'!$X$1226*1000000000+ISNUMBER('Dvd Calendar'!$X$1229)*100000000+('Dvd Calendar'!$X$1231=SPECIAL_LBL)*10000000+(N('Dvd Calendar'!$X$1225)&gt;0)*(N('Dvd Calendar'!$X$1225)&lt;=VAL_SERIAL)*1000000+11*1000+20))</f>
        <v/>
      </c>
      <c r="EY126" s="39">
        <f>IF(N('Dvd Calendar'!$Y$1226)=0,"",IF(('Dvd Calendar'!$Y$1226&gt;=GRID_FROM)*('Dvd Calendar'!$Y$1226&lt;=GRID_TO)*((('Dvd Calendar'!$Y$1226&lt;=VAL_DATE)+(COUNTIF('Dvd Calendar'!$E$1233:$AR$1233,'Dvd Calendar'!$Y$1226)=0))&gt;0)=0,"",'Dvd Calendar'!$Y$1226*1000000000+ISNUMBER('Dvd Calendar'!$Y$1229)*100000000+('Dvd Calendar'!$Y$1231=SPECIAL_LBL)*10000000+(N('Dvd Calendar'!$Y$1225)&gt;0)*(N('Dvd Calendar'!$Y$1225)&lt;=VAL_SERIAL)*1000000+11*1000+21))</f>
        <v/>
      </c>
      <c r="EZ126" s="39">
        <f>IF(N('Dvd Calendar'!$Z$1226)=0,"",IF(('Dvd Calendar'!$Z$1226&gt;=GRID_FROM)*('Dvd Calendar'!$Z$1226&lt;=GRID_TO)*((('Dvd Calendar'!$Z$1226&lt;=VAL_DATE)+(COUNTIF('Dvd Calendar'!$E$1233:$AR$1233,'Dvd Calendar'!$Z$1226)=0))&gt;0)=0,"",'Dvd Calendar'!$Z$1226*1000000000+ISNUMBER('Dvd Calendar'!$Z$1229)*100000000+('Dvd Calendar'!$Z$1231=SPECIAL_LBL)*10000000+(N('Dvd Calendar'!$Z$1225)&gt;0)*(N('Dvd Calendar'!$Z$1225)&lt;=VAL_SERIAL)*1000000+11*1000+22))</f>
        <v/>
      </c>
      <c r="FA126" s="39">
        <f>IF(N('Dvd Calendar'!$AA$1226)=0,"",IF(('Dvd Calendar'!$AA$1226&gt;=GRID_FROM)*('Dvd Calendar'!$AA$1226&lt;=GRID_TO)*((('Dvd Calendar'!$AA$1226&lt;=VAL_DATE)+(COUNTIF('Dvd Calendar'!$E$1233:$AR$1233,'Dvd Calendar'!$AA$1226)=0))&gt;0)=0,"",'Dvd Calendar'!$AA$1226*1000000000+ISNUMBER('Dvd Calendar'!$AA$1229)*100000000+('Dvd Calendar'!$AA$1231=SPECIAL_LBL)*10000000+(N('Dvd Calendar'!$AA$1225)&gt;0)*(N('Dvd Calendar'!$AA$1225)&lt;=VAL_SERIAL)*1000000+11*1000+23))</f>
        <v/>
      </c>
      <c r="FB126" s="39">
        <f>IF(N('Dvd Calendar'!$AB$1226)=0,"",IF(('Dvd Calendar'!$AB$1226&gt;=GRID_FROM)*('Dvd Calendar'!$AB$1226&lt;=GRID_TO)*((('Dvd Calendar'!$AB$1226&lt;=VAL_DATE)+(COUNTIF('Dvd Calendar'!$E$1233:$AR$1233,'Dvd Calendar'!$AB$1226)=0))&gt;0)=0,"",'Dvd Calendar'!$AB$1226*1000000000+ISNUMBER('Dvd Calendar'!$AB$1229)*100000000+('Dvd Calendar'!$AB$1231=SPECIAL_LBL)*10000000+(N('Dvd Calendar'!$AB$1225)&gt;0)*(N('Dvd Calendar'!$AB$1225)&lt;=VAL_SERIAL)*1000000+11*1000+24))</f>
        <v/>
      </c>
      <c r="FC126" s="39">
        <f>IF(N('Dvd Calendar'!$AC$1226)=0,"",IF(('Dvd Calendar'!$AC$1226&gt;=GRID_FROM)*('Dvd Calendar'!$AC$1226&lt;=GRID_TO)*((('Dvd Calendar'!$AC$1226&lt;=VAL_DATE)+(COUNTIF('Dvd Calendar'!$E$1233:$AR$1233,'Dvd Calendar'!$AC$1226)=0))&gt;0)=0,"",'Dvd Calendar'!$AC$1226*1000000000+ISNUMBER('Dvd Calendar'!$AC$1229)*100000000+('Dvd Calendar'!$AC$1231=SPECIAL_LBL)*10000000+(N('Dvd Calendar'!$AC$1225)&gt;0)*(N('Dvd Calendar'!$AC$1225)&lt;=VAL_SERIAL)*1000000+11*1000+25))</f>
        <v/>
      </c>
      <c r="FD126" s="39">
        <f>IF(N('Dvd Calendar'!$AD$1226)=0,"",IF(('Dvd Calendar'!$AD$1226&gt;=GRID_FROM)*('Dvd Calendar'!$AD$1226&lt;=GRID_TO)*((('Dvd Calendar'!$AD$1226&lt;=VAL_DATE)+(COUNTIF('Dvd Calendar'!$E$1233:$AR$1233,'Dvd Calendar'!$AD$1226)=0))&gt;0)=0,"",'Dvd Calendar'!$AD$1226*1000000000+ISNUMBER('Dvd Calendar'!$AD$1229)*100000000+('Dvd Calendar'!$AD$1231=SPECIAL_LBL)*10000000+(N('Dvd Calendar'!$AD$1225)&gt;0)*(N('Dvd Calendar'!$AD$1225)&lt;=VAL_SERIAL)*1000000+11*1000+26))</f>
        <v/>
      </c>
      <c r="FE126" s="39">
        <f>IF(N('Dvd Calendar'!$AE$1226)=0,"",IF(('Dvd Calendar'!$AE$1226&gt;=GRID_FROM)*('Dvd Calendar'!$AE$1226&lt;=GRID_TO)*((('Dvd Calendar'!$AE$1226&lt;=VAL_DATE)+(COUNTIF('Dvd Calendar'!$E$1233:$AR$1233,'Dvd Calendar'!$AE$1226)=0))&gt;0)=0,"",'Dvd Calendar'!$AE$1226*1000000000+ISNUMBER('Dvd Calendar'!$AE$1229)*100000000+('Dvd Calendar'!$AE$1231=SPECIAL_LBL)*10000000+(N('Dvd Calendar'!$AE$1225)&gt;0)*(N('Dvd Calendar'!$AE$1225)&lt;=VAL_SERIAL)*1000000+11*1000+27))</f>
        <v/>
      </c>
      <c r="FF126" s="39">
        <f>IF(N('Dvd Calendar'!$AF$1226)=0,"",IF(('Dvd Calendar'!$AF$1226&gt;=GRID_FROM)*('Dvd Calendar'!$AF$1226&lt;=GRID_TO)*((('Dvd Calendar'!$AF$1226&lt;=VAL_DATE)+(COUNTIF('Dvd Calendar'!$E$1233:$AR$1233,'Dvd Calendar'!$AF$1226)=0))&gt;0)=0,"",'Dvd Calendar'!$AF$1226*1000000000+ISNUMBER('Dvd Calendar'!$AF$1229)*100000000+('Dvd Calendar'!$AF$1231=SPECIAL_LBL)*10000000+(N('Dvd Calendar'!$AF$1225)&gt;0)*(N('Dvd Calendar'!$AF$1225)&lt;=VAL_SERIAL)*1000000+11*1000+28))</f>
        <v/>
      </c>
      <c r="FG126" s="39">
        <f>IF(N('Dvd Calendar'!$AG$1226)=0,"",IF(('Dvd Calendar'!$AG$1226&gt;=GRID_FROM)*('Dvd Calendar'!$AG$1226&lt;=GRID_TO)*((('Dvd Calendar'!$AG$1226&lt;=VAL_DATE)+(COUNTIF('Dvd Calendar'!$E$1233:$AR$1233,'Dvd Calendar'!$AG$1226)=0))&gt;0)=0,"",'Dvd Calendar'!$AG$1226*1000000000+ISNUMBER('Dvd Calendar'!$AG$1229)*100000000+('Dvd Calendar'!$AG$1231=SPECIAL_LBL)*10000000+(N('Dvd Calendar'!$AG$1225)&gt;0)*(N('Dvd Calendar'!$AG$1225)&lt;=VAL_SERIAL)*1000000+11*1000+29))</f>
        <v/>
      </c>
      <c r="FH126" s="39">
        <f>IF(N('Dvd Calendar'!$AH$1226)=0,"",IF(('Dvd Calendar'!$AH$1226&gt;=GRID_FROM)*('Dvd Calendar'!$AH$1226&lt;=GRID_TO)*((('Dvd Calendar'!$AH$1226&lt;=VAL_DATE)+(COUNTIF('Dvd Calendar'!$E$1233:$AR$1233,'Dvd Calendar'!$AH$1226)=0))&gt;0)=0,"",'Dvd Calendar'!$AH$1226*1000000000+ISNUMBER('Dvd Calendar'!$AH$1229)*100000000+('Dvd Calendar'!$AH$1231=SPECIAL_LBL)*10000000+(N('Dvd Calendar'!$AH$1225)&gt;0)*(N('Dvd Calendar'!$AH$1225)&lt;=VAL_SERIAL)*1000000+11*1000+30))</f>
        <v/>
      </c>
      <c r="FI126" s="39">
        <f>IF(N('Dvd Calendar'!$AI$1226)=0,"",IF(('Dvd Calendar'!$AI$1226&gt;=GRID_FROM)*('Dvd Calendar'!$AI$1226&lt;=GRID_TO)*((('Dvd Calendar'!$AI$1226&lt;=VAL_DATE)+(COUNTIF('Dvd Calendar'!$E$1233:$AR$1233,'Dvd Calendar'!$AI$1226)=0))&gt;0)=0,"",'Dvd Calendar'!$AI$1226*1000000000+ISNUMBER('Dvd Calendar'!$AI$1229)*100000000+('Dvd Calendar'!$AI$1231=SPECIAL_LBL)*10000000+(N('Dvd Calendar'!$AI$1225)&gt;0)*(N('Dvd Calendar'!$AI$1225)&lt;=VAL_SERIAL)*1000000+11*1000+31))</f>
        <v/>
      </c>
      <c r="FJ126" s="39">
        <f>IF(N('Dvd Calendar'!$AJ$1226)=0,"",IF(('Dvd Calendar'!$AJ$1226&gt;=GRID_FROM)*('Dvd Calendar'!$AJ$1226&lt;=GRID_TO)*((('Dvd Calendar'!$AJ$1226&lt;=VAL_DATE)+(COUNTIF('Dvd Calendar'!$E$1233:$AR$1233,'Dvd Calendar'!$AJ$1226)=0))&gt;0)=0,"",'Dvd Calendar'!$AJ$1226*1000000000+ISNUMBER('Dvd Calendar'!$AJ$1229)*100000000+('Dvd Calendar'!$AJ$1231=SPECIAL_LBL)*10000000+(N('Dvd Calendar'!$AJ$1225)&gt;0)*(N('Dvd Calendar'!$AJ$1225)&lt;=VAL_SERIAL)*1000000+11*1000+32))</f>
        <v/>
      </c>
      <c r="FK126" s="39">
        <f>IF(N('Dvd Calendar'!$AK$1226)=0,"",IF(('Dvd Calendar'!$AK$1226&gt;=GRID_FROM)*('Dvd Calendar'!$AK$1226&lt;=GRID_TO)*((('Dvd Calendar'!$AK$1226&lt;=VAL_DATE)+(COUNTIF('Dvd Calendar'!$E$1233:$AR$1233,'Dvd Calendar'!$AK$1226)=0))&gt;0)=0,"",'Dvd Calendar'!$AK$1226*1000000000+ISNUMBER('Dvd Calendar'!$AK$1229)*100000000+('Dvd Calendar'!$AK$1231=SPECIAL_LBL)*10000000+(N('Dvd Calendar'!$AK$1225)&gt;0)*(N('Dvd Calendar'!$AK$1225)&lt;=VAL_SERIAL)*1000000+11*1000+33))</f>
        <v/>
      </c>
      <c r="FL126" s="39">
        <f>IF(N('Dvd Calendar'!$AL$1226)=0,"",IF(('Dvd Calendar'!$AL$1226&gt;=GRID_FROM)*('Dvd Calendar'!$AL$1226&lt;=GRID_TO)*((('Dvd Calendar'!$AL$1226&lt;=VAL_DATE)+(COUNTIF('Dvd Calendar'!$E$1233:$AR$1233,'Dvd Calendar'!$AL$1226)=0))&gt;0)=0,"",'Dvd Calendar'!$AL$1226*1000000000+ISNUMBER('Dvd Calendar'!$AL$1229)*100000000+('Dvd Calendar'!$AL$1231=SPECIAL_LBL)*10000000+(N('Dvd Calendar'!$AL$1225)&gt;0)*(N('Dvd Calendar'!$AL$1225)&lt;=VAL_SERIAL)*1000000+11*1000+34))</f>
        <v/>
      </c>
      <c r="FM126" s="39">
        <f>IF(N('Dvd Calendar'!$AM$1226)=0,"",IF(('Dvd Calendar'!$AM$1226&gt;=GRID_FROM)*('Dvd Calendar'!$AM$1226&lt;=GRID_TO)*((('Dvd Calendar'!$AM$1226&lt;=VAL_DATE)+(COUNTIF('Dvd Calendar'!$E$1233:$AR$1233,'Dvd Calendar'!$AM$1226)=0))&gt;0)=0,"",'Dvd Calendar'!$AM$1226*1000000000+ISNUMBER('Dvd Calendar'!$AM$1229)*100000000+('Dvd Calendar'!$AM$1231=SPECIAL_LBL)*10000000+(N('Dvd Calendar'!$AM$1225)&gt;0)*(N('Dvd Calendar'!$AM$1225)&lt;=VAL_SERIAL)*1000000+11*1000+35))</f>
        <v/>
      </c>
      <c r="FN126" s="39">
        <f>IF(N('Dvd Calendar'!$AN$1226)=0,"",IF(('Dvd Calendar'!$AN$1226&gt;=GRID_FROM)*('Dvd Calendar'!$AN$1226&lt;=GRID_TO)*((('Dvd Calendar'!$AN$1226&lt;=VAL_DATE)+(COUNTIF('Dvd Calendar'!$E$1233:$AR$1233,'Dvd Calendar'!$AN$1226)=0))&gt;0)=0,"",'Dvd Calendar'!$AN$1226*1000000000+ISNUMBER('Dvd Calendar'!$AN$1229)*100000000+('Dvd Calendar'!$AN$1231=SPECIAL_LBL)*10000000+(N('Dvd Calendar'!$AN$1225)&gt;0)*(N('Dvd Calendar'!$AN$1225)&lt;=VAL_SERIAL)*1000000+11*1000+36))</f>
        <v/>
      </c>
      <c r="FO126" s="39">
        <f>IF(N('Dvd Calendar'!$AO$1226)=0,"",IF(('Dvd Calendar'!$AO$1226&gt;=GRID_FROM)*('Dvd Calendar'!$AO$1226&lt;=GRID_TO)*((('Dvd Calendar'!$AO$1226&lt;=VAL_DATE)+(COUNTIF('Dvd Calendar'!$E$1233:$AR$1233,'Dvd Calendar'!$AO$1226)=0))&gt;0)=0,"",'Dvd Calendar'!$AO$1226*1000000000+ISNUMBER('Dvd Calendar'!$AO$1229)*100000000+('Dvd Calendar'!$AO$1231=SPECIAL_LBL)*10000000+(N('Dvd Calendar'!$AO$1225)&gt;0)*(N('Dvd Calendar'!$AO$1225)&lt;=VAL_SERIAL)*1000000+11*1000+37))</f>
        <v/>
      </c>
      <c r="FP126" s="39">
        <f>IF(N('Dvd Calendar'!$AP$1226)=0,"",IF(('Dvd Calendar'!$AP$1226&gt;=GRID_FROM)*('Dvd Calendar'!$AP$1226&lt;=GRID_TO)*((('Dvd Calendar'!$AP$1226&lt;=VAL_DATE)+(COUNTIF('Dvd Calendar'!$E$1233:$AR$1233,'Dvd Calendar'!$AP$1226)=0))&gt;0)=0,"",'Dvd Calendar'!$AP$1226*1000000000+ISNUMBER('Dvd Calendar'!$AP$1229)*100000000+('Dvd Calendar'!$AP$1231=SPECIAL_LBL)*10000000+(N('Dvd Calendar'!$AP$1225)&gt;0)*(N('Dvd Calendar'!$AP$1225)&lt;=VAL_SERIAL)*1000000+11*1000+38))</f>
        <v/>
      </c>
      <c r="FQ126" s="39">
        <f>IF(N('Dvd Calendar'!$AQ$1226)=0,"",IF(('Dvd Calendar'!$AQ$1226&gt;=GRID_FROM)*('Dvd Calendar'!$AQ$1226&lt;=GRID_TO)*((('Dvd Calendar'!$AQ$1226&lt;=VAL_DATE)+(COUNTIF('Dvd Calendar'!$E$1233:$AR$1233,'Dvd Calendar'!$AQ$1226)=0))&gt;0)=0,"",'Dvd Calendar'!$AQ$1226*1000000000+ISNUMBER('Dvd Calendar'!$AQ$1229)*100000000+('Dvd Calendar'!$AQ$1231=SPECIAL_LBL)*10000000+(N('Dvd Calendar'!$AQ$1225)&gt;0)*(N('Dvd Calendar'!$AQ$1225)&lt;=VAL_SERIAL)*1000000+11*1000+39))</f>
        <v/>
      </c>
      <c r="FR126" s="39">
        <f>IF(N('Dvd Calendar'!$AR$1226)=0,"",IF(('Dvd Calendar'!$AR$1226&gt;=GRID_FROM)*('Dvd Calendar'!$AR$1226&lt;=GRID_TO)*((('Dvd Calendar'!$AR$1226&lt;=VAL_DATE)+(COUNTIF('Dvd Calendar'!$E$1233:$AR$1233,'Dvd Calendar'!$AR$1226)=0))&gt;0)=0,"",'Dvd Calendar'!$AR$1226*1000000000+ISNUMBER('Dvd Calendar'!$AR$1229)*100000000+('Dvd Calendar'!$AR$1231=SPECIAL_LBL)*10000000+(N('Dvd Calendar'!$AR$1225)&gt;0)*(N('Dvd Calendar'!$AR$1225)&lt;=VAL_SERIAL)*1000000+11*1000+40))</f>
        <v/>
      </c>
      <c r="FS126" s="39">
        <f>IF(N('Dvd Calendar'!$E$1233)=0,"",IF(('Dvd Calendar'!$E$1233&gt;=GRID_FROM)*('Dvd Calendar'!$E$1233&lt;=GRID_TO)*('Dvd Calendar'!$E$1233&gt;VAL_DATE)=0,"",'Dvd Calendar'!$E$1233*1000000000+ISNUMBER('Dvd Calendar'!$E$1234)*100000000+0*10000000+(N('Dvd Calendar'!$E$1232)&gt;0)*(N('Dvd Calendar'!$E$1232)&lt;=VAL_SERIAL)*1000000+11*1000+41))</f>
        <v/>
      </c>
      <c r="FT126" s="39">
        <f>IF(N('Dvd Calendar'!$F$1233)=0,"",IF(('Dvd Calendar'!$F$1233&gt;=GRID_FROM)*('Dvd Calendar'!$F$1233&lt;=GRID_TO)*('Dvd Calendar'!$F$1233&gt;VAL_DATE)=0,"",'Dvd Calendar'!$F$1233*1000000000+ISNUMBER('Dvd Calendar'!$F$1234)*100000000+0*10000000+(N('Dvd Calendar'!$F$1232)&gt;0)*(N('Dvd Calendar'!$F$1232)&lt;=VAL_SERIAL)*1000000+11*1000+42))</f>
        <v/>
      </c>
      <c r="FU126" s="39">
        <f>IF(N('Dvd Calendar'!$G$1233)=0,"",IF(('Dvd Calendar'!$G$1233&gt;=GRID_FROM)*('Dvd Calendar'!$G$1233&lt;=GRID_TO)*('Dvd Calendar'!$G$1233&gt;VAL_DATE)=0,"",'Dvd Calendar'!$G$1233*1000000000+ISNUMBER('Dvd Calendar'!$G$1234)*100000000+0*10000000+(N('Dvd Calendar'!$G$1232)&gt;0)*(N('Dvd Calendar'!$G$1232)&lt;=VAL_SERIAL)*1000000+11*1000+43))</f>
        <v/>
      </c>
      <c r="FV126" s="39">
        <f>IF(N('Dvd Calendar'!$H$1233)=0,"",IF(('Dvd Calendar'!$H$1233&gt;=GRID_FROM)*('Dvd Calendar'!$H$1233&lt;=GRID_TO)*('Dvd Calendar'!$H$1233&gt;VAL_DATE)=0,"",'Dvd Calendar'!$H$1233*1000000000+ISNUMBER('Dvd Calendar'!$H$1234)*100000000+0*10000000+(N('Dvd Calendar'!$H$1232)&gt;0)*(N('Dvd Calendar'!$H$1232)&lt;=VAL_SERIAL)*1000000+11*1000+44))</f>
        <v/>
      </c>
      <c r="FW126" s="39">
        <f>IF(N('Dvd Calendar'!$I$1233)=0,"",IF(('Dvd Calendar'!$I$1233&gt;=GRID_FROM)*('Dvd Calendar'!$I$1233&lt;=GRID_TO)*('Dvd Calendar'!$I$1233&gt;VAL_DATE)=0,"",'Dvd Calendar'!$I$1233*1000000000+ISNUMBER('Dvd Calendar'!$I$1234)*100000000+0*10000000+(N('Dvd Calendar'!$I$1232)&gt;0)*(N('Dvd Calendar'!$I$1232)&lt;=VAL_SERIAL)*1000000+11*1000+45))</f>
        <v/>
      </c>
      <c r="FX126" s="39">
        <f>IF(N('Dvd Calendar'!$J$1233)=0,"",IF(('Dvd Calendar'!$J$1233&gt;=GRID_FROM)*('Dvd Calendar'!$J$1233&lt;=GRID_TO)*('Dvd Calendar'!$J$1233&gt;VAL_DATE)=0,"",'Dvd Calendar'!$J$1233*1000000000+ISNUMBER('Dvd Calendar'!$J$1234)*100000000+0*10000000+(N('Dvd Calendar'!$J$1232)&gt;0)*(N('Dvd Calendar'!$J$1232)&lt;=VAL_SERIAL)*1000000+11*1000+46))</f>
        <v/>
      </c>
      <c r="FY126" s="39">
        <f>IF(N('Dvd Calendar'!$K$1233)=0,"",IF(('Dvd Calendar'!$K$1233&gt;=GRID_FROM)*('Dvd Calendar'!$K$1233&lt;=GRID_TO)*('Dvd Calendar'!$K$1233&gt;VAL_DATE)=0,"",'Dvd Calendar'!$K$1233*1000000000+ISNUMBER('Dvd Calendar'!$K$1234)*100000000+0*10000000+(N('Dvd Calendar'!$K$1232)&gt;0)*(N('Dvd Calendar'!$K$1232)&lt;=VAL_SERIAL)*1000000+11*1000+47))</f>
        <v/>
      </c>
      <c r="FZ126" s="39">
        <f>IF(N('Dvd Calendar'!$L$1233)=0,"",IF(('Dvd Calendar'!$L$1233&gt;=GRID_FROM)*('Dvd Calendar'!$L$1233&lt;=GRID_TO)*('Dvd Calendar'!$L$1233&gt;VAL_DATE)=0,"",'Dvd Calendar'!$L$1233*1000000000+ISNUMBER('Dvd Calendar'!$L$1234)*100000000+0*10000000+(N('Dvd Calendar'!$L$1232)&gt;0)*(N('Dvd Calendar'!$L$1232)&lt;=VAL_SERIAL)*1000000+11*1000+48))</f>
        <v/>
      </c>
      <c r="GA126" s="39">
        <f>IF(N('Dvd Calendar'!$M$1233)=0,"",IF(('Dvd Calendar'!$M$1233&gt;=GRID_FROM)*('Dvd Calendar'!$M$1233&lt;=GRID_TO)*('Dvd Calendar'!$M$1233&gt;VAL_DATE)=0,"",'Dvd Calendar'!$M$1233*1000000000+ISNUMBER('Dvd Calendar'!$M$1234)*100000000+0*10000000+(N('Dvd Calendar'!$M$1232)&gt;0)*(N('Dvd Calendar'!$M$1232)&lt;=VAL_SERIAL)*1000000+11*1000+49))</f>
        <v/>
      </c>
      <c r="GB126" s="39">
        <f>IF(N('Dvd Calendar'!$N$1233)=0,"",IF(('Dvd Calendar'!$N$1233&gt;=GRID_FROM)*('Dvd Calendar'!$N$1233&lt;=GRID_TO)*('Dvd Calendar'!$N$1233&gt;VAL_DATE)=0,"",'Dvd Calendar'!$N$1233*1000000000+ISNUMBER('Dvd Calendar'!$N$1234)*100000000+0*10000000+(N('Dvd Calendar'!$N$1232)&gt;0)*(N('Dvd Calendar'!$N$1232)&lt;=VAL_SERIAL)*1000000+11*1000+50))</f>
        <v/>
      </c>
      <c r="GC126" s="39">
        <f>IF(N('Dvd Calendar'!$O$1233)=0,"",IF(('Dvd Calendar'!$O$1233&gt;=GRID_FROM)*('Dvd Calendar'!$O$1233&lt;=GRID_TO)*('Dvd Calendar'!$O$1233&gt;VAL_DATE)=0,"",'Dvd Calendar'!$O$1233*1000000000+ISNUMBER('Dvd Calendar'!$O$1234)*100000000+0*10000000+(N('Dvd Calendar'!$O$1232)&gt;0)*(N('Dvd Calendar'!$O$1232)&lt;=VAL_SERIAL)*1000000+11*1000+51))</f>
        <v/>
      </c>
      <c r="GD126" s="39">
        <f>IF(N('Dvd Calendar'!$P$1233)=0,"",IF(('Dvd Calendar'!$P$1233&gt;=GRID_FROM)*('Dvd Calendar'!$P$1233&lt;=GRID_TO)*('Dvd Calendar'!$P$1233&gt;VAL_DATE)=0,"",'Dvd Calendar'!$P$1233*1000000000+ISNUMBER('Dvd Calendar'!$P$1234)*100000000+0*10000000+(N('Dvd Calendar'!$P$1232)&gt;0)*(N('Dvd Calendar'!$P$1232)&lt;=VAL_SERIAL)*1000000+11*1000+52))</f>
        <v/>
      </c>
      <c r="GE126" s="39">
        <f>IF(N('Dvd Calendar'!$Q$1233)=0,"",IF(('Dvd Calendar'!$Q$1233&gt;=GRID_FROM)*('Dvd Calendar'!$Q$1233&lt;=GRID_TO)*('Dvd Calendar'!$Q$1233&gt;VAL_DATE)=0,"",'Dvd Calendar'!$Q$1233*1000000000+ISNUMBER('Dvd Calendar'!$Q$1234)*100000000+0*10000000+(N('Dvd Calendar'!$Q$1232)&gt;0)*(N('Dvd Calendar'!$Q$1232)&lt;=VAL_SERIAL)*1000000+11*1000+53))</f>
        <v/>
      </c>
      <c r="GF126" s="39">
        <f>IF(N('Dvd Calendar'!$R$1233)=0,"",IF(('Dvd Calendar'!$R$1233&gt;=GRID_FROM)*('Dvd Calendar'!$R$1233&lt;=GRID_TO)*('Dvd Calendar'!$R$1233&gt;VAL_DATE)=0,"",'Dvd Calendar'!$R$1233*1000000000+ISNUMBER('Dvd Calendar'!$R$1234)*100000000+0*10000000+(N('Dvd Calendar'!$R$1232)&gt;0)*(N('Dvd Calendar'!$R$1232)&lt;=VAL_SERIAL)*1000000+11*1000+54))</f>
        <v/>
      </c>
      <c r="GG126" s="39">
        <f>IF(N('Dvd Calendar'!$S$1233)=0,"",IF(('Dvd Calendar'!$S$1233&gt;=GRID_FROM)*('Dvd Calendar'!$S$1233&lt;=GRID_TO)*('Dvd Calendar'!$S$1233&gt;VAL_DATE)=0,"",'Dvd Calendar'!$S$1233*1000000000+ISNUMBER('Dvd Calendar'!$S$1234)*100000000+0*10000000+(N('Dvd Calendar'!$S$1232)&gt;0)*(N('Dvd Calendar'!$S$1232)&lt;=VAL_SERIAL)*1000000+11*1000+55))</f>
        <v/>
      </c>
      <c r="GH126" s="39">
        <f>IF(N('Dvd Calendar'!$T$1233)=0,"",IF(('Dvd Calendar'!$T$1233&gt;=GRID_FROM)*('Dvd Calendar'!$T$1233&lt;=GRID_TO)*('Dvd Calendar'!$T$1233&gt;VAL_DATE)=0,"",'Dvd Calendar'!$T$1233*1000000000+ISNUMBER('Dvd Calendar'!$T$1234)*100000000+0*10000000+(N('Dvd Calendar'!$T$1232)&gt;0)*(N('Dvd Calendar'!$T$1232)&lt;=VAL_SERIAL)*1000000+11*1000+56))</f>
        <v/>
      </c>
      <c r="GI126" s="39">
        <f>IF(N('Dvd Calendar'!$U$1233)=0,"",IF(('Dvd Calendar'!$U$1233&gt;=GRID_FROM)*('Dvd Calendar'!$U$1233&lt;=GRID_TO)*('Dvd Calendar'!$U$1233&gt;VAL_DATE)=0,"",'Dvd Calendar'!$U$1233*1000000000+ISNUMBER('Dvd Calendar'!$U$1234)*100000000+0*10000000+(N('Dvd Calendar'!$U$1232)&gt;0)*(N('Dvd Calendar'!$U$1232)&lt;=VAL_SERIAL)*1000000+11*1000+57))</f>
        <v/>
      </c>
      <c r="GJ126" s="39">
        <f>IF(N('Dvd Calendar'!$V$1233)=0,"",IF(('Dvd Calendar'!$V$1233&gt;=GRID_FROM)*('Dvd Calendar'!$V$1233&lt;=GRID_TO)*('Dvd Calendar'!$V$1233&gt;VAL_DATE)=0,"",'Dvd Calendar'!$V$1233*1000000000+ISNUMBER('Dvd Calendar'!$V$1234)*100000000+0*10000000+(N('Dvd Calendar'!$V$1232)&gt;0)*(N('Dvd Calendar'!$V$1232)&lt;=VAL_SERIAL)*1000000+11*1000+58))</f>
        <v/>
      </c>
      <c r="GK126" s="39">
        <f>IF(N('Dvd Calendar'!$W$1233)=0,"",IF(('Dvd Calendar'!$W$1233&gt;=GRID_FROM)*('Dvd Calendar'!$W$1233&lt;=GRID_TO)*('Dvd Calendar'!$W$1233&gt;VAL_DATE)=0,"",'Dvd Calendar'!$W$1233*1000000000+ISNUMBER('Dvd Calendar'!$W$1234)*100000000+0*10000000+(N('Dvd Calendar'!$W$1232)&gt;0)*(N('Dvd Calendar'!$W$1232)&lt;=VAL_SERIAL)*1000000+11*1000+59))</f>
        <v/>
      </c>
      <c r="GL126" s="39">
        <f>IF(N('Dvd Calendar'!$X$1233)=0,"",IF(('Dvd Calendar'!$X$1233&gt;=GRID_FROM)*('Dvd Calendar'!$X$1233&lt;=GRID_TO)*('Dvd Calendar'!$X$1233&gt;VAL_DATE)=0,"",'Dvd Calendar'!$X$1233*1000000000+ISNUMBER('Dvd Calendar'!$X$1234)*100000000+0*10000000+(N('Dvd Calendar'!$X$1232)&gt;0)*(N('Dvd Calendar'!$X$1232)&lt;=VAL_SERIAL)*1000000+11*1000+60))</f>
        <v/>
      </c>
      <c r="GM126" s="39">
        <f>IF(N('Dvd Calendar'!$Y$1233)=0,"",IF(('Dvd Calendar'!$Y$1233&gt;=GRID_FROM)*('Dvd Calendar'!$Y$1233&lt;=GRID_TO)*('Dvd Calendar'!$Y$1233&gt;VAL_DATE)=0,"",'Dvd Calendar'!$Y$1233*1000000000+ISNUMBER('Dvd Calendar'!$Y$1234)*100000000+0*10000000+(N('Dvd Calendar'!$Y$1232)&gt;0)*(N('Dvd Calendar'!$Y$1232)&lt;=VAL_SERIAL)*1000000+11*1000+61))</f>
        <v/>
      </c>
      <c r="GN126" s="39">
        <f>IF(N('Dvd Calendar'!$Z$1233)=0,"",IF(('Dvd Calendar'!$Z$1233&gt;=GRID_FROM)*('Dvd Calendar'!$Z$1233&lt;=GRID_TO)*('Dvd Calendar'!$Z$1233&gt;VAL_DATE)=0,"",'Dvd Calendar'!$Z$1233*1000000000+ISNUMBER('Dvd Calendar'!$Z$1234)*100000000+0*10000000+(N('Dvd Calendar'!$Z$1232)&gt;0)*(N('Dvd Calendar'!$Z$1232)&lt;=VAL_SERIAL)*1000000+11*1000+62))</f>
        <v/>
      </c>
      <c r="GO126" s="39">
        <f>IF(N('Dvd Calendar'!$AA$1233)=0,"",IF(('Dvd Calendar'!$AA$1233&gt;=GRID_FROM)*('Dvd Calendar'!$AA$1233&lt;=GRID_TO)*('Dvd Calendar'!$AA$1233&gt;VAL_DATE)=0,"",'Dvd Calendar'!$AA$1233*1000000000+ISNUMBER('Dvd Calendar'!$AA$1234)*100000000+0*10000000+(N('Dvd Calendar'!$AA$1232)&gt;0)*(N('Dvd Calendar'!$AA$1232)&lt;=VAL_SERIAL)*1000000+11*1000+63))</f>
        <v/>
      </c>
      <c r="GP126" s="39">
        <f>IF(N('Dvd Calendar'!$AB$1233)=0,"",IF(('Dvd Calendar'!$AB$1233&gt;=GRID_FROM)*('Dvd Calendar'!$AB$1233&lt;=GRID_TO)*('Dvd Calendar'!$AB$1233&gt;VAL_DATE)=0,"",'Dvd Calendar'!$AB$1233*1000000000+ISNUMBER('Dvd Calendar'!$AB$1234)*100000000+0*10000000+(N('Dvd Calendar'!$AB$1232)&gt;0)*(N('Dvd Calendar'!$AB$1232)&lt;=VAL_SERIAL)*1000000+11*1000+64))</f>
        <v/>
      </c>
      <c r="GQ126" s="39">
        <f>IF(N('Dvd Calendar'!$AC$1233)=0,"",IF(('Dvd Calendar'!$AC$1233&gt;=GRID_FROM)*('Dvd Calendar'!$AC$1233&lt;=GRID_TO)*('Dvd Calendar'!$AC$1233&gt;VAL_DATE)=0,"",'Dvd Calendar'!$AC$1233*1000000000+ISNUMBER('Dvd Calendar'!$AC$1234)*100000000+0*10000000+(N('Dvd Calendar'!$AC$1232)&gt;0)*(N('Dvd Calendar'!$AC$1232)&lt;=VAL_SERIAL)*1000000+11*1000+65))</f>
        <v/>
      </c>
    </row>
    <row r="127">
      <c r="B127" s="2">
        <f>IF(HSTECH!$C$18="","",HSTECH!$C$18)</f>
        <v/>
      </c>
      <c r="C127" s="110">
        <f>IF(EE127="","",IF(ISNUMBER('Dvd Calendar'!$E$1240)=FALSE,"",IF((('Dvd Calendar'!$E$1242=TYPE1)*(TYPE1&lt;&gt;"")+('Dvd Calendar'!$E$1242=TYPE2)*(TYPE2&lt;&gt;"")+('Dvd Calendar'!$E$1242=TYPE3)*(TYPE3&lt;&gt;"")+('Dvd Calendar'!$E$1242=TYPE4)*(TYPE4&lt;&gt;"")+('Dvd Calendar'!$E$1242=SPECIAL_LBL)*(INC_SPECIALS="Y"))=0,"",'Dvd Calendar'!$E$1240)))</f>
        <v/>
      </c>
      <c r="D127" s="110">
        <f>IF(EF127="","",IF(ISNUMBER('Dvd Calendar'!$F$1240)=FALSE,"",IF((('Dvd Calendar'!$F$1242=TYPE1)*(TYPE1&lt;&gt;"")+('Dvd Calendar'!$F$1242=TYPE2)*(TYPE2&lt;&gt;"")+('Dvd Calendar'!$F$1242=TYPE3)*(TYPE3&lt;&gt;"")+('Dvd Calendar'!$F$1242=TYPE4)*(TYPE4&lt;&gt;"")+('Dvd Calendar'!$F$1242=SPECIAL_LBL)*(INC_SPECIALS="Y"))=0,"",'Dvd Calendar'!$F$1240)))</f>
        <v/>
      </c>
      <c r="E127" s="110">
        <f>IF(EG127="","",IF(ISNUMBER('Dvd Calendar'!$G$1240)=FALSE,"",IF((('Dvd Calendar'!$G$1242=TYPE1)*(TYPE1&lt;&gt;"")+('Dvd Calendar'!$G$1242=TYPE2)*(TYPE2&lt;&gt;"")+('Dvd Calendar'!$G$1242=TYPE3)*(TYPE3&lt;&gt;"")+('Dvd Calendar'!$G$1242=TYPE4)*(TYPE4&lt;&gt;"")+('Dvd Calendar'!$G$1242=SPECIAL_LBL)*(INC_SPECIALS="Y"))=0,"",'Dvd Calendar'!$G$1240)))</f>
        <v/>
      </c>
      <c r="F127" s="110">
        <f>IF(EH127="","",IF(ISNUMBER('Dvd Calendar'!$H$1240)=FALSE,"",IF((('Dvd Calendar'!$H$1242=TYPE1)*(TYPE1&lt;&gt;"")+('Dvd Calendar'!$H$1242=TYPE2)*(TYPE2&lt;&gt;"")+('Dvd Calendar'!$H$1242=TYPE3)*(TYPE3&lt;&gt;"")+('Dvd Calendar'!$H$1242=TYPE4)*(TYPE4&lt;&gt;"")+('Dvd Calendar'!$H$1242=SPECIAL_LBL)*(INC_SPECIALS="Y"))=0,"",'Dvd Calendar'!$H$1240)))</f>
        <v/>
      </c>
      <c r="G127" s="110">
        <f>IF(EI127="","",IF(ISNUMBER('Dvd Calendar'!$I$1240)=FALSE,"",IF((('Dvd Calendar'!$I$1242=TYPE1)*(TYPE1&lt;&gt;"")+('Dvd Calendar'!$I$1242=TYPE2)*(TYPE2&lt;&gt;"")+('Dvd Calendar'!$I$1242=TYPE3)*(TYPE3&lt;&gt;"")+('Dvd Calendar'!$I$1242=TYPE4)*(TYPE4&lt;&gt;"")+('Dvd Calendar'!$I$1242=SPECIAL_LBL)*(INC_SPECIALS="Y"))=0,"",'Dvd Calendar'!$I$1240)))</f>
        <v/>
      </c>
      <c r="H127" s="110">
        <f>IF(EJ127="","",IF(ISNUMBER('Dvd Calendar'!$J$1240)=FALSE,"",IF((('Dvd Calendar'!$J$1242=TYPE1)*(TYPE1&lt;&gt;"")+('Dvd Calendar'!$J$1242=TYPE2)*(TYPE2&lt;&gt;"")+('Dvd Calendar'!$J$1242=TYPE3)*(TYPE3&lt;&gt;"")+('Dvd Calendar'!$J$1242=TYPE4)*(TYPE4&lt;&gt;"")+('Dvd Calendar'!$J$1242=SPECIAL_LBL)*(INC_SPECIALS="Y"))=0,"",'Dvd Calendar'!$J$1240)))</f>
        <v/>
      </c>
      <c r="I127" s="110">
        <f>IF(EK127="","",IF(ISNUMBER('Dvd Calendar'!$K$1240)=FALSE,"",IF((('Dvd Calendar'!$K$1242=TYPE1)*(TYPE1&lt;&gt;"")+('Dvd Calendar'!$K$1242=TYPE2)*(TYPE2&lt;&gt;"")+('Dvd Calendar'!$K$1242=TYPE3)*(TYPE3&lt;&gt;"")+('Dvd Calendar'!$K$1242=TYPE4)*(TYPE4&lt;&gt;"")+('Dvd Calendar'!$K$1242=SPECIAL_LBL)*(INC_SPECIALS="Y"))=0,"",'Dvd Calendar'!$K$1240)))</f>
        <v/>
      </c>
      <c r="J127" s="110">
        <f>IF(EL127="","",IF(ISNUMBER('Dvd Calendar'!$L$1240)=FALSE,"",IF((('Dvd Calendar'!$L$1242=TYPE1)*(TYPE1&lt;&gt;"")+('Dvd Calendar'!$L$1242=TYPE2)*(TYPE2&lt;&gt;"")+('Dvd Calendar'!$L$1242=TYPE3)*(TYPE3&lt;&gt;"")+('Dvd Calendar'!$L$1242=TYPE4)*(TYPE4&lt;&gt;"")+('Dvd Calendar'!$L$1242=SPECIAL_LBL)*(INC_SPECIALS="Y"))=0,"",'Dvd Calendar'!$L$1240)))</f>
        <v/>
      </c>
      <c r="K127" s="110">
        <f>IF(EM127="","",IF(ISNUMBER('Dvd Calendar'!$M$1240)=FALSE,"",IF((('Dvd Calendar'!$M$1242=TYPE1)*(TYPE1&lt;&gt;"")+('Dvd Calendar'!$M$1242=TYPE2)*(TYPE2&lt;&gt;"")+('Dvd Calendar'!$M$1242=TYPE3)*(TYPE3&lt;&gt;"")+('Dvd Calendar'!$M$1242=TYPE4)*(TYPE4&lt;&gt;"")+('Dvd Calendar'!$M$1242=SPECIAL_LBL)*(INC_SPECIALS="Y"))=0,"",'Dvd Calendar'!$M$1240)))</f>
        <v/>
      </c>
      <c r="L127" s="110">
        <f>IF(EN127="","",IF(ISNUMBER('Dvd Calendar'!$N$1240)=FALSE,"",IF((('Dvd Calendar'!$N$1242=TYPE1)*(TYPE1&lt;&gt;"")+('Dvd Calendar'!$N$1242=TYPE2)*(TYPE2&lt;&gt;"")+('Dvd Calendar'!$N$1242=TYPE3)*(TYPE3&lt;&gt;"")+('Dvd Calendar'!$N$1242=TYPE4)*(TYPE4&lt;&gt;"")+('Dvd Calendar'!$N$1242=SPECIAL_LBL)*(INC_SPECIALS="Y"))=0,"",'Dvd Calendar'!$N$1240)))</f>
        <v/>
      </c>
      <c r="M127" s="110">
        <f>IF(EO127="","",IF(ISNUMBER('Dvd Calendar'!$O$1240)=FALSE,"",IF((('Dvd Calendar'!$O$1242=TYPE1)*(TYPE1&lt;&gt;"")+('Dvd Calendar'!$O$1242=TYPE2)*(TYPE2&lt;&gt;"")+('Dvd Calendar'!$O$1242=TYPE3)*(TYPE3&lt;&gt;"")+('Dvd Calendar'!$O$1242=TYPE4)*(TYPE4&lt;&gt;"")+('Dvd Calendar'!$O$1242=SPECIAL_LBL)*(INC_SPECIALS="Y"))=0,"",'Dvd Calendar'!$O$1240)))</f>
        <v/>
      </c>
      <c r="N127" s="110">
        <f>IF(EP127="","",IF(ISNUMBER('Dvd Calendar'!$P$1240)=FALSE,"",IF((('Dvd Calendar'!$P$1242=TYPE1)*(TYPE1&lt;&gt;"")+('Dvd Calendar'!$P$1242=TYPE2)*(TYPE2&lt;&gt;"")+('Dvd Calendar'!$P$1242=TYPE3)*(TYPE3&lt;&gt;"")+('Dvd Calendar'!$P$1242=TYPE4)*(TYPE4&lt;&gt;"")+('Dvd Calendar'!$P$1242=SPECIAL_LBL)*(INC_SPECIALS="Y"))=0,"",'Dvd Calendar'!$P$1240)))</f>
        <v/>
      </c>
      <c r="O127" s="110">
        <f>IF(EQ127="","",IF(ISNUMBER('Dvd Calendar'!$Q$1240)=FALSE,"",IF((('Dvd Calendar'!$Q$1242=TYPE1)*(TYPE1&lt;&gt;"")+('Dvd Calendar'!$Q$1242=TYPE2)*(TYPE2&lt;&gt;"")+('Dvd Calendar'!$Q$1242=TYPE3)*(TYPE3&lt;&gt;"")+('Dvd Calendar'!$Q$1242=TYPE4)*(TYPE4&lt;&gt;"")+('Dvd Calendar'!$Q$1242=SPECIAL_LBL)*(INC_SPECIALS="Y"))=0,"",'Dvd Calendar'!$Q$1240)))</f>
        <v/>
      </c>
      <c r="P127" s="110">
        <f>IF(ER127="","",IF(ISNUMBER('Dvd Calendar'!$R$1240)=FALSE,"",IF((('Dvd Calendar'!$R$1242=TYPE1)*(TYPE1&lt;&gt;"")+('Dvd Calendar'!$R$1242=TYPE2)*(TYPE2&lt;&gt;"")+('Dvd Calendar'!$R$1242=TYPE3)*(TYPE3&lt;&gt;"")+('Dvd Calendar'!$R$1242=TYPE4)*(TYPE4&lt;&gt;"")+('Dvd Calendar'!$R$1242=SPECIAL_LBL)*(INC_SPECIALS="Y"))=0,"",'Dvd Calendar'!$R$1240)))</f>
        <v/>
      </c>
      <c r="Q127" s="110">
        <f>IF(ES127="","",IF(ISNUMBER('Dvd Calendar'!$S$1240)=FALSE,"",IF((('Dvd Calendar'!$S$1242=TYPE1)*(TYPE1&lt;&gt;"")+('Dvd Calendar'!$S$1242=TYPE2)*(TYPE2&lt;&gt;"")+('Dvd Calendar'!$S$1242=TYPE3)*(TYPE3&lt;&gt;"")+('Dvd Calendar'!$S$1242=TYPE4)*(TYPE4&lt;&gt;"")+('Dvd Calendar'!$S$1242=SPECIAL_LBL)*(INC_SPECIALS="Y"))=0,"",'Dvd Calendar'!$S$1240)))</f>
        <v/>
      </c>
      <c r="R127" s="110">
        <f>IF(ET127="","",IF(ISNUMBER('Dvd Calendar'!$T$1240)=FALSE,"",IF((('Dvd Calendar'!$T$1242=TYPE1)*(TYPE1&lt;&gt;"")+('Dvd Calendar'!$T$1242=TYPE2)*(TYPE2&lt;&gt;"")+('Dvd Calendar'!$T$1242=TYPE3)*(TYPE3&lt;&gt;"")+('Dvd Calendar'!$T$1242=TYPE4)*(TYPE4&lt;&gt;"")+('Dvd Calendar'!$T$1242=SPECIAL_LBL)*(INC_SPECIALS="Y"))=0,"",'Dvd Calendar'!$T$1240)))</f>
        <v/>
      </c>
      <c r="S127" s="110">
        <f>IF(EU127="","",IF(ISNUMBER('Dvd Calendar'!$U$1240)=FALSE,"",IF((('Dvd Calendar'!$U$1242=TYPE1)*(TYPE1&lt;&gt;"")+('Dvd Calendar'!$U$1242=TYPE2)*(TYPE2&lt;&gt;"")+('Dvd Calendar'!$U$1242=TYPE3)*(TYPE3&lt;&gt;"")+('Dvd Calendar'!$U$1242=TYPE4)*(TYPE4&lt;&gt;"")+('Dvd Calendar'!$U$1242=SPECIAL_LBL)*(INC_SPECIALS="Y"))=0,"",'Dvd Calendar'!$U$1240)))</f>
        <v/>
      </c>
      <c r="T127" s="110">
        <f>IF(EV127="","",IF(ISNUMBER('Dvd Calendar'!$V$1240)=FALSE,"",IF((('Dvd Calendar'!$V$1242=TYPE1)*(TYPE1&lt;&gt;"")+('Dvd Calendar'!$V$1242=TYPE2)*(TYPE2&lt;&gt;"")+('Dvd Calendar'!$V$1242=TYPE3)*(TYPE3&lt;&gt;"")+('Dvd Calendar'!$V$1242=TYPE4)*(TYPE4&lt;&gt;"")+('Dvd Calendar'!$V$1242=SPECIAL_LBL)*(INC_SPECIALS="Y"))=0,"",'Dvd Calendar'!$V$1240)))</f>
        <v/>
      </c>
      <c r="U127" s="110">
        <f>IF(EW127="","",IF(ISNUMBER('Dvd Calendar'!$W$1240)=FALSE,"",IF((('Dvd Calendar'!$W$1242=TYPE1)*(TYPE1&lt;&gt;"")+('Dvd Calendar'!$W$1242=TYPE2)*(TYPE2&lt;&gt;"")+('Dvd Calendar'!$W$1242=TYPE3)*(TYPE3&lt;&gt;"")+('Dvd Calendar'!$W$1242=TYPE4)*(TYPE4&lt;&gt;"")+('Dvd Calendar'!$W$1242=SPECIAL_LBL)*(INC_SPECIALS="Y"))=0,"",'Dvd Calendar'!$W$1240)))</f>
        <v/>
      </c>
      <c r="V127" s="110">
        <f>IF(EX127="","",IF(ISNUMBER('Dvd Calendar'!$X$1240)=FALSE,"",IF((('Dvd Calendar'!$X$1242=TYPE1)*(TYPE1&lt;&gt;"")+('Dvd Calendar'!$X$1242=TYPE2)*(TYPE2&lt;&gt;"")+('Dvd Calendar'!$X$1242=TYPE3)*(TYPE3&lt;&gt;"")+('Dvd Calendar'!$X$1242=TYPE4)*(TYPE4&lt;&gt;"")+('Dvd Calendar'!$X$1242=SPECIAL_LBL)*(INC_SPECIALS="Y"))=0,"",'Dvd Calendar'!$X$1240)))</f>
        <v/>
      </c>
      <c r="W127" s="110">
        <f>IF(EY127="","",IF(ISNUMBER('Dvd Calendar'!$Y$1240)=FALSE,"",IF((('Dvd Calendar'!$Y$1242=TYPE1)*(TYPE1&lt;&gt;"")+('Dvd Calendar'!$Y$1242=TYPE2)*(TYPE2&lt;&gt;"")+('Dvd Calendar'!$Y$1242=TYPE3)*(TYPE3&lt;&gt;"")+('Dvd Calendar'!$Y$1242=TYPE4)*(TYPE4&lt;&gt;"")+('Dvd Calendar'!$Y$1242=SPECIAL_LBL)*(INC_SPECIALS="Y"))=0,"",'Dvd Calendar'!$Y$1240)))</f>
        <v/>
      </c>
      <c r="X127" s="110">
        <f>IF(EZ127="","",IF(ISNUMBER('Dvd Calendar'!$Z$1240)=FALSE,"",IF((('Dvd Calendar'!$Z$1242=TYPE1)*(TYPE1&lt;&gt;"")+('Dvd Calendar'!$Z$1242=TYPE2)*(TYPE2&lt;&gt;"")+('Dvd Calendar'!$Z$1242=TYPE3)*(TYPE3&lt;&gt;"")+('Dvd Calendar'!$Z$1242=TYPE4)*(TYPE4&lt;&gt;"")+('Dvd Calendar'!$Z$1242=SPECIAL_LBL)*(INC_SPECIALS="Y"))=0,"",'Dvd Calendar'!$Z$1240)))</f>
        <v/>
      </c>
      <c r="Y127" s="110">
        <f>IF(FA127="","",IF(ISNUMBER('Dvd Calendar'!$AA$1240)=FALSE,"",IF((('Dvd Calendar'!$AA$1242=TYPE1)*(TYPE1&lt;&gt;"")+('Dvd Calendar'!$AA$1242=TYPE2)*(TYPE2&lt;&gt;"")+('Dvd Calendar'!$AA$1242=TYPE3)*(TYPE3&lt;&gt;"")+('Dvd Calendar'!$AA$1242=TYPE4)*(TYPE4&lt;&gt;"")+('Dvd Calendar'!$AA$1242=SPECIAL_LBL)*(INC_SPECIALS="Y"))=0,"",'Dvd Calendar'!$AA$1240)))</f>
        <v/>
      </c>
      <c r="Z127" s="110">
        <f>IF(FB127="","",IF(ISNUMBER('Dvd Calendar'!$AB$1240)=FALSE,"",IF((('Dvd Calendar'!$AB$1242=TYPE1)*(TYPE1&lt;&gt;"")+('Dvd Calendar'!$AB$1242=TYPE2)*(TYPE2&lt;&gt;"")+('Dvd Calendar'!$AB$1242=TYPE3)*(TYPE3&lt;&gt;"")+('Dvd Calendar'!$AB$1242=TYPE4)*(TYPE4&lt;&gt;"")+('Dvd Calendar'!$AB$1242=SPECIAL_LBL)*(INC_SPECIALS="Y"))=0,"",'Dvd Calendar'!$AB$1240)))</f>
        <v/>
      </c>
      <c r="AA127" s="110">
        <f>IF(FC127="","",IF(ISNUMBER('Dvd Calendar'!$AC$1240)=FALSE,"",IF((('Dvd Calendar'!$AC$1242=TYPE1)*(TYPE1&lt;&gt;"")+('Dvd Calendar'!$AC$1242=TYPE2)*(TYPE2&lt;&gt;"")+('Dvd Calendar'!$AC$1242=TYPE3)*(TYPE3&lt;&gt;"")+('Dvd Calendar'!$AC$1242=TYPE4)*(TYPE4&lt;&gt;"")+('Dvd Calendar'!$AC$1242=SPECIAL_LBL)*(INC_SPECIALS="Y"))=0,"",'Dvd Calendar'!$AC$1240)))</f>
        <v/>
      </c>
      <c r="AB127" s="110">
        <f>IF(FD127="","",IF(ISNUMBER('Dvd Calendar'!$AD$1240)=FALSE,"",IF((('Dvd Calendar'!$AD$1242=TYPE1)*(TYPE1&lt;&gt;"")+('Dvd Calendar'!$AD$1242=TYPE2)*(TYPE2&lt;&gt;"")+('Dvd Calendar'!$AD$1242=TYPE3)*(TYPE3&lt;&gt;"")+('Dvd Calendar'!$AD$1242=TYPE4)*(TYPE4&lt;&gt;"")+('Dvd Calendar'!$AD$1242=SPECIAL_LBL)*(INC_SPECIALS="Y"))=0,"",'Dvd Calendar'!$AD$1240)))</f>
        <v/>
      </c>
      <c r="AC127" s="110">
        <f>IF(FE127="","",IF(ISNUMBER('Dvd Calendar'!$AE$1240)=FALSE,"",IF((('Dvd Calendar'!$AE$1242=TYPE1)*(TYPE1&lt;&gt;"")+('Dvd Calendar'!$AE$1242=TYPE2)*(TYPE2&lt;&gt;"")+('Dvd Calendar'!$AE$1242=TYPE3)*(TYPE3&lt;&gt;"")+('Dvd Calendar'!$AE$1242=TYPE4)*(TYPE4&lt;&gt;"")+('Dvd Calendar'!$AE$1242=SPECIAL_LBL)*(INC_SPECIALS="Y"))=0,"",'Dvd Calendar'!$AE$1240)))</f>
        <v/>
      </c>
      <c r="AD127" s="110">
        <f>IF(FF127="","",IF(ISNUMBER('Dvd Calendar'!$AF$1240)=FALSE,"",IF((('Dvd Calendar'!$AF$1242=TYPE1)*(TYPE1&lt;&gt;"")+('Dvd Calendar'!$AF$1242=TYPE2)*(TYPE2&lt;&gt;"")+('Dvd Calendar'!$AF$1242=TYPE3)*(TYPE3&lt;&gt;"")+('Dvd Calendar'!$AF$1242=TYPE4)*(TYPE4&lt;&gt;"")+('Dvd Calendar'!$AF$1242=SPECIAL_LBL)*(INC_SPECIALS="Y"))=0,"",'Dvd Calendar'!$AF$1240)))</f>
        <v/>
      </c>
      <c r="AE127" s="110">
        <f>IF(FG127="","",IF(ISNUMBER('Dvd Calendar'!$AG$1240)=FALSE,"",IF((('Dvd Calendar'!$AG$1242=TYPE1)*(TYPE1&lt;&gt;"")+('Dvd Calendar'!$AG$1242=TYPE2)*(TYPE2&lt;&gt;"")+('Dvd Calendar'!$AG$1242=TYPE3)*(TYPE3&lt;&gt;"")+('Dvd Calendar'!$AG$1242=TYPE4)*(TYPE4&lt;&gt;"")+('Dvd Calendar'!$AG$1242=SPECIAL_LBL)*(INC_SPECIALS="Y"))=0,"",'Dvd Calendar'!$AG$1240)))</f>
        <v/>
      </c>
      <c r="AF127" s="110">
        <f>IF(FH127="","",IF(ISNUMBER('Dvd Calendar'!$AH$1240)=FALSE,"",IF((('Dvd Calendar'!$AH$1242=TYPE1)*(TYPE1&lt;&gt;"")+('Dvd Calendar'!$AH$1242=TYPE2)*(TYPE2&lt;&gt;"")+('Dvd Calendar'!$AH$1242=TYPE3)*(TYPE3&lt;&gt;"")+('Dvd Calendar'!$AH$1242=TYPE4)*(TYPE4&lt;&gt;"")+('Dvd Calendar'!$AH$1242=SPECIAL_LBL)*(INC_SPECIALS="Y"))=0,"",'Dvd Calendar'!$AH$1240)))</f>
        <v/>
      </c>
      <c r="AG127" s="110">
        <f>IF(FI127="","",IF(ISNUMBER('Dvd Calendar'!$AI$1240)=FALSE,"",IF((('Dvd Calendar'!$AI$1242=TYPE1)*(TYPE1&lt;&gt;"")+('Dvd Calendar'!$AI$1242=TYPE2)*(TYPE2&lt;&gt;"")+('Dvd Calendar'!$AI$1242=TYPE3)*(TYPE3&lt;&gt;"")+('Dvd Calendar'!$AI$1242=TYPE4)*(TYPE4&lt;&gt;"")+('Dvd Calendar'!$AI$1242=SPECIAL_LBL)*(INC_SPECIALS="Y"))=0,"",'Dvd Calendar'!$AI$1240)))</f>
        <v/>
      </c>
      <c r="AH127" s="110">
        <f>IF(FJ127="","",IF(ISNUMBER('Dvd Calendar'!$AJ$1240)=FALSE,"",IF((('Dvd Calendar'!$AJ$1242=TYPE1)*(TYPE1&lt;&gt;"")+('Dvd Calendar'!$AJ$1242=TYPE2)*(TYPE2&lt;&gt;"")+('Dvd Calendar'!$AJ$1242=TYPE3)*(TYPE3&lt;&gt;"")+('Dvd Calendar'!$AJ$1242=TYPE4)*(TYPE4&lt;&gt;"")+('Dvd Calendar'!$AJ$1242=SPECIAL_LBL)*(INC_SPECIALS="Y"))=0,"",'Dvd Calendar'!$AJ$1240)))</f>
        <v/>
      </c>
      <c r="AI127" s="110">
        <f>IF(FK127="","",IF(ISNUMBER('Dvd Calendar'!$AK$1240)=FALSE,"",IF((('Dvd Calendar'!$AK$1242=TYPE1)*(TYPE1&lt;&gt;"")+('Dvd Calendar'!$AK$1242=TYPE2)*(TYPE2&lt;&gt;"")+('Dvd Calendar'!$AK$1242=TYPE3)*(TYPE3&lt;&gt;"")+('Dvd Calendar'!$AK$1242=TYPE4)*(TYPE4&lt;&gt;"")+('Dvd Calendar'!$AK$1242=SPECIAL_LBL)*(INC_SPECIALS="Y"))=0,"",'Dvd Calendar'!$AK$1240)))</f>
        <v/>
      </c>
      <c r="AJ127" s="110">
        <f>IF(FL127="","",IF(ISNUMBER('Dvd Calendar'!$AL$1240)=FALSE,"",IF((('Dvd Calendar'!$AL$1242=TYPE1)*(TYPE1&lt;&gt;"")+('Dvd Calendar'!$AL$1242=TYPE2)*(TYPE2&lt;&gt;"")+('Dvd Calendar'!$AL$1242=TYPE3)*(TYPE3&lt;&gt;"")+('Dvd Calendar'!$AL$1242=TYPE4)*(TYPE4&lt;&gt;"")+('Dvd Calendar'!$AL$1242=SPECIAL_LBL)*(INC_SPECIALS="Y"))=0,"",'Dvd Calendar'!$AL$1240)))</f>
        <v/>
      </c>
      <c r="AK127" s="110">
        <f>IF(FM127="","",IF(ISNUMBER('Dvd Calendar'!$AM$1240)=FALSE,"",IF((('Dvd Calendar'!$AM$1242=TYPE1)*(TYPE1&lt;&gt;"")+('Dvd Calendar'!$AM$1242=TYPE2)*(TYPE2&lt;&gt;"")+('Dvd Calendar'!$AM$1242=TYPE3)*(TYPE3&lt;&gt;"")+('Dvd Calendar'!$AM$1242=TYPE4)*(TYPE4&lt;&gt;"")+('Dvd Calendar'!$AM$1242=SPECIAL_LBL)*(INC_SPECIALS="Y"))=0,"",'Dvd Calendar'!$AM$1240)))</f>
        <v/>
      </c>
      <c r="AL127" s="110">
        <f>IF(FN127="","",IF(ISNUMBER('Dvd Calendar'!$AN$1240)=FALSE,"",IF((('Dvd Calendar'!$AN$1242=TYPE1)*(TYPE1&lt;&gt;"")+('Dvd Calendar'!$AN$1242=TYPE2)*(TYPE2&lt;&gt;"")+('Dvd Calendar'!$AN$1242=TYPE3)*(TYPE3&lt;&gt;"")+('Dvd Calendar'!$AN$1242=TYPE4)*(TYPE4&lt;&gt;"")+('Dvd Calendar'!$AN$1242=SPECIAL_LBL)*(INC_SPECIALS="Y"))=0,"",'Dvd Calendar'!$AN$1240)))</f>
        <v/>
      </c>
      <c r="AM127" s="110">
        <f>IF(FO127="","",IF(ISNUMBER('Dvd Calendar'!$AO$1240)=FALSE,"",IF((('Dvd Calendar'!$AO$1242=TYPE1)*(TYPE1&lt;&gt;"")+('Dvd Calendar'!$AO$1242=TYPE2)*(TYPE2&lt;&gt;"")+('Dvd Calendar'!$AO$1242=TYPE3)*(TYPE3&lt;&gt;"")+('Dvd Calendar'!$AO$1242=TYPE4)*(TYPE4&lt;&gt;"")+('Dvd Calendar'!$AO$1242=SPECIAL_LBL)*(INC_SPECIALS="Y"))=0,"",'Dvd Calendar'!$AO$1240)))</f>
        <v/>
      </c>
      <c r="AN127" s="110">
        <f>IF(FP127="","",IF(ISNUMBER('Dvd Calendar'!$AP$1240)=FALSE,"",IF((('Dvd Calendar'!$AP$1242=TYPE1)*(TYPE1&lt;&gt;"")+('Dvd Calendar'!$AP$1242=TYPE2)*(TYPE2&lt;&gt;"")+('Dvd Calendar'!$AP$1242=TYPE3)*(TYPE3&lt;&gt;"")+('Dvd Calendar'!$AP$1242=TYPE4)*(TYPE4&lt;&gt;"")+('Dvd Calendar'!$AP$1242=SPECIAL_LBL)*(INC_SPECIALS="Y"))=0,"",'Dvd Calendar'!$AP$1240)))</f>
        <v/>
      </c>
      <c r="AO127" s="110">
        <f>IF(FQ127="","",IF(ISNUMBER('Dvd Calendar'!$AQ$1240)=FALSE,"",IF((('Dvd Calendar'!$AQ$1242=TYPE1)*(TYPE1&lt;&gt;"")+('Dvd Calendar'!$AQ$1242=TYPE2)*(TYPE2&lt;&gt;"")+('Dvd Calendar'!$AQ$1242=TYPE3)*(TYPE3&lt;&gt;"")+('Dvd Calendar'!$AQ$1242=TYPE4)*(TYPE4&lt;&gt;"")+('Dvd Calendar'!$AQ$1242=SPECIAL_LBL)*(INC_SPECIALS="Y"))=0,"",'Dvd Calendar'!$AQ$1240)))</f>
        <v/>
      </c>
      <c r="AP127" s="110">
        <f>IF(FR127="","",IF(ISNUMBER('Dvd Calendar'!$AR$1240)=FALSE,"",IF((('Dvd Calendar'!$AR$1242=TYPE1)*(TYPE1&lt;&gt;"")+('Dvd Calendar'!$AR$1242=TYPE2)*(TYPE2&lt;&gt;"")+('Dvd Calendar'!$AR$1242=TYPE3)*(TYPE3&lt;&gt;"")+('Dvd Calendar'!$AR$1242=TYPE4)*(TYPE4&lt;&gt;"")+('Dvd Calendar'!$AR$1242=SPECIAL_LBL)*(INC_SPECIALS="Y"))=0,"",'Dvd Calendar'!$AR$1240)))</f>
        <v/>
      </c>
      <c r="AQ127" s="110">
        <f>IF(FS127="","",IF(ISNUMBER('Dvd Calendar'!$E$1245)=FALSE,"",'Dvd Calendar'!$E$1245))</f>
        <v/>
      </c>
      <c r="AR127" s="110">
        <f>IF(FT127="","",IF(ISNUMBER('Dvd Calendar'!$F$1245)=FALSE,"",'Dvd Calendar'!$F$1245))</f>
        <v/>
      </c>
      <c r="AS127" s="110">
        <f>IF(FU127="","",IF(ISNUMBER('Dvd Calendar'!$G$1245)=FALSE,"",'Dvd Calendar'!$G$1245))</f>
        <v/>
      </c>
      <c r="AT127" s="110">
        <f>IF(FV127="","",IF(ISNUMBER('Dvd Calendar'!$H$1245)=FALSE,"",'Dvd Calendar'!$H$1245))</f>
        <v/>
      </c>
      <c r="AU127" s="110">
        <f>IF(FW127="","",IF(ISNUMBER('Dvd Calendar'!$I$1245)=FALSE,"",'Dvd Calendar'!$I$1245))</f>
        <v/>
      </c>
      <c r="AV127" s="110">
        <f>IF(FX127="","",IF(ISNUMBER('Dvd Calendar'!$J$1245)=FALSE,"",'Dvd Calendar'!$J$1245))</f>
        <v/>
      </c>
      <c r="AW127" s="110">
        <f>IF(FY127="","",IF(ISNUMBER('Dvd Calendar'!$K$1245)=FALSE,"",'Dvd Calendar'!$K$1245))</f>
        <v/>
      </c>
      <c r="AX127" s="110">
        <f>IF(FZ127="","",IF(ISNUMBER('Dvd Calendar'!$L$1245)=FALSE,"",'Dvd Calendar'!$L$1245))</f>
        <v/>
      </c>
      <c r="AY127" s="110">
        <f>IF(GA127="","",IF(ISNUMBER('Dvd Calendar'!$M$1245)=FALSE,"",'Dvd Calendar'!$M$1245))</f>
        <v/>
      </c>
      <c r="AZ127" s="110">
        <f>IF(GB127="","",IF(ISNUMBER('Dvd Calendar'!$N$1245)=FALSE,"",'Dvd Calendar'!$N$1245))</f>
        <v/>
      </c>
      <c r="BA127" s="110">
        <f>IF(GC127="","",IF(ISNUMBER('Dvd Calendar'!$O$1245)=FALSE,"",'Dvd Calendar'!$O$1245))</f>
        <v/>
      </c>
      <c r="BB127" s="110">
        <f>IF(GD127="","",IF(ISNUMBER('Dvd Calendar'!$P$1245)=FALSE,"",'Dvd Calendar'!$P$1245))</f>
        <v/>
      </c>
      <c r="BC127" s="110">
        <f>IF(GE127="","",IF(ISNUMBER('Dvd Calendar'!$Q$1245)=FALSE,"",'Dvd Calendar'!$Q$1245))</f>
        <v/>
      </c>
      <c r="BD127" s="110">
        <f>IF(GF127="","",IF(ISNUMBER('Dvd Calendar'!$R$1245)=FALSE,"",'Dvd Calendar'!$R$1245))</f>
        <v/>
      </c>
      <c r="BE127" s="110">
        <f>IF(GG127="","",IF(ISNUMBER('Dvd Calendar'!$S$1245)=FALSE,"",'Dvd Calendar'!$S$1245))</f>
        <v/>
      </c>
      <c r="BF127" s="110">
        <f>IF(GH127="","",IF(ISNUMBER('Dvd Calendar'!$T$1245)=FALSE,"",'Dvd Calendar'!$T$1245))</f>
        <v/>
      </c>
      <c r="BG127" s="110">
        <f>IF(GI127="","",IF(ISNUMBER('Dvd Calendar'!$U$1245)=FALSE,"",'Dvd Calendar'!$U$1245))</f>
        <v/>
      </c>
      <c r="BH127" s="110">
        <f>IF(GJ127="","",IF(ISNUMBER('Dvd Calendar'!$V$1245)=FALSE,"",'Dvd Calendar'!$V$1245))</f>
        <v/>
      </c>
      <c r="BI127" s="110">
        <f>IF(GK127="","",IF(ISNUMBER('Dvd Calendar'!$W$1245)=FALSE,"",'Dvd Calendar'!$W$1245))</f>
        <v/>
      </c>
      <c r="BJ127" s="110">
        <f>IF(GL127="","",IF(ISNUMBER('Dvd Calendar'!$X$1245)=FALSE,"",'Dvd Calendar'!$X$1245))</f>
        <v/>
      </c>
      <c r="BK127" s="110">
        <f>IF(GM127="","",IF(ISNUMBER('Dvd Calendar'!$Y$1245)=FALSE,"",'Dvd Calendar'!$Y$1245))</f>
        <v/>
      </c>
      <c r="BL127" s="110">
        <f>IF(GN127="","",IF(ISNUMBER('Dvd Calendar'!$Z$1245)=FALSE,"",'Dvd Calendar'!$Z$1245))</f>
        <v/>
      </c>
      <c r="BM127" s="110">
        <f>IF(GO127="","",IF(ISNUMBER('Dvd Calendar'!$AA$1245)=FALSE,"",'Dvd Calendar'!$AA$1245))</f>
        <v/>
      </c>
      <c r="BN127" s="110">
        <f>IF(GP127="","",IF(ISNUMBER('Dvd Calendar'!$AB$1245)=FALSE,"",'Dvd Calendar'!$AB$1245))</f>
        <v/>
      </c>
      <c r="BO127" s="110">
        <f>IF(GQ127="","",IF(ISNUMBER('Dvd Calendar'!$AC$1245)=FALSE,"",'Dvd Calendar'!$AC$1245))</f>
        <v/>
      </c>
      <c r="BQ127" s="110">
        <f>IF(C127="","",IFERROR(C127*HSTECH!$B$18*HSTECH!$G$18/HSTECH!$B$3,""))</f>
        <v/>
      </c>
      <c r="BR127" s="110">
        <f>IF(D127="","",IFERROR(D127*HSTECH!$B$18*HSTECH!$G$18/HSTECH!$B$3,""))</f>
        <v/>
      </c>
      <c r="BS127" s="110">
        <f>IF(E127="","",IFERROR(E127*HSTECH!$B$18*HSTECH!$G$18/HSTECH!$B$3,""))</f>
        <v/>
      </c>
      <c r="BT127" s="110">
        <f>IF(F127="","",IFERROR(F127*HSTECH!$B$18*HSTECH!$G$18/HSTECH!$B$3,""))</f>
        <v/>
      </c>
      <c r="BU127" s="110">
        <f>IF(G127="","",IFERROR(G127*HSTECH!$B$18*HSTECH!$G$18/HSTECH!$B$3,""))</f>
        <v/>
      </c>
      <c r="BV127" s="110">
        <f>IF(H127="","",IFERROR(H127*HSTECH!$B$18*HSTECH!$G$18/HSTECH!$B$3,""))</f>
        <v/>
      </c>
      <c r="BW127" s="110">
        <f>IF(I127="","",IFERROR(I127*HSTECH!$B$18*HSTECH!$G$18/HSTECH!$B$3,""))</f>
        <v/>
      </c>
      <c r="BX127" s="110">
        <f>IF(J127="","",IFERROR(J127*HSTECH!$B$18*HSTECH!$G$18/HSTECH!$B$3,""))</f>
        <v/>
      </c>
      <c r="BY127" s="110">
        <f>IF(K127="","",IFERROR(K127*HSTECH!$B$18*HSTECH!$G$18/HSTECH!$B$3,""))</f>
        <v/>
      </c>
      <c r="BZ127" s="110">
        <f>IF(L127="","",IFERROR(L127*HSTECH!$B$18*HSTECH!$G$18/HSTECH!$B$3,""))</f>
        <v/>
      </c>
      <c r="CA127" s="110">
        <f>IF(M127="","",IFERROR(M127*HSTECH!$B$18*HSTECH!$G$18/HSTECH!$B$3,""))</f>
        <v/>
      </c>
      <c r="CB127" s="110">
        <f>IF(N127="","",IFERROR(N127*HSTECH!$B$18*HSTECH!$G$18/HSTECH!$B$3,""))</f>
        <v/>
      </c>
      <c r="CC127" s="110">
        <f>IF(O127="","",IFERROR(O127*HSTECH!$B$18*HSTECH!$G$18/HSTECH!$B$3,""))</f>
        <v/>
      </c>
      <c r="CD127" s="110">
        <f>IF(P127="","",IFERROR(P127*HSTECH!$B$18*HSTECH!$G$18/HSTECH!$B$3,""))</f>
        <v/>
      </c>
      <c r="CE127" s="110">
        <f>IF(Q127="","",IFERROR(Q127*HSTECH!$B$18*HSTECH!$G$18/HSTECH!$B$3,""))</f>
        <v/>
      </c>
      <c r="CF127" s="110">
        <f>IF(R127="","",IFERROR(R127*HSTECH!$B$18*HSTECH!$G$18/HSTECH!$B$3,""))</f>
        <v/>
      </c>
      <c r="CG127" s="110">
        <f>IF(S127="","",IFERROR(S127*HSTECH!$B$18*HSTECH!$G$18/HSTECH!$B$3,""))</f>
        <v/>
      </c>
      <c r="CH127" s="110">
        <f>IF(T127="","",IFERROR(T127*HSTECH!$B$18*HSTECH!$G$18/HSTECH!$B$3,""))</f>
        <v/>
      </c>
      <c r="CI127" s="110">
        <f>IF(U127="","",IFERROR(U127*HSTECH!$B$18*HSTECH!$G$18/HSTECH!$B$3,""))</f>
        <v/>
      </c>
      <c r="CJ127" s="110">
        <f>IF(V127="","",IFERROR(V127*HSTECH!$B$18*HSTECH!$G$18/HSTECH!$B$3,""))</f>
        <v/>
      </c>
      <c r="CK127" s="110">
        <f>IF(W127="","",IFERROR(W127*HSTECH!$B$18*HSTECH!$G$18/HSTECH!$B$3,""))</f>
        <v/>
      </c>
      <c r="CL127" s="110">
        <f>IF(X127="","",IFERROR(X127*HSTECH!$B$18*HSTECH!$G$18/HSTECH!$B$3,""))</f>
        <v/>
      </c>
      <c r="CM127" s="110">
        <f>IF(Y127="","",IFERROR(Y127*HSTECH!$B$18*HSTECH!$G$18/HSTECH!$B$3,""))</f>
        <v/>
      </c>
      <c r="CN127" s="110">
        <f>IF(Z127="","",IFERROR(Z127*HSTECH!$B$18*HSTECH!$G$18/HSTECH!$B$3,""))</f>
        <v/>
      </c>
      <c r="CO127" s="110">
        <f>IF(AA127="","",IFERROR(AA127*HSTECH!$B$18*HSTECH!$G$18/HSTECH!$B$3,""))</f>
        <v/>
      </c>
      <c r="CP127" s="110">
        <f>IF(AB127="","",IFERROR(AB127*HSTECH!$B$18*HSTECH!$G$18/HSTECH!$B$3,""))</f>
        <v/>
      </c>
      <c r="CQ127" s="110">
        <f>IF(AC127="","",IFERROR(AC127*HSTECH!$B$18*HSTECH!$G$18/HSTECH!$B$3,""))</f>
        <v/>
      </c>
      <c r="CR127" s="110">
        <f>IF(AD127="","",IFERROR(AD127*HSTECH!$B$18*HSTECH!$G$18/HSTECH!$B$3,""))</f>
        <v/>
      </c>
      <c r="CS127" s="110">
        <f>IF(AE127="","",IFERROR(AE127*HSTECH!$B$18*HSTECH!$G$18/HSTECH!$B$3,""))</f>
        <v/>
      </c>
      <c r="CT127" s="110">
        <f>IF(AF127="","",IFERROR(AF127*HSTECH!$B$18*HSTECH!$G$18/HSTECH!$B$3,""))</f>
        <v/>
      </c>
      <c r="CU127" s="110">
        <f>IF(AG127="","",IFERROR(AG127*HSTECH!$B$18*HSTECH!$G$18/HSTECH!$B$3,""))</f>
        <v/>
      </c>
      <c r="CV127" s="110">
        <f>IF(AH127="","",IFERROR(AH127*HSTECH!$B$18*HSTECH!$G$18/HSTECH!$B$3,""))</f>
        <v/>
      </c>
      <c r="CW127" s="110">
        <f>IF(AI127="","",IFERROR(AI127*HSTECH!$B$18*HSTECH!$G$18/HSTECH!$B$3,""))</f>
        <v/>
      </c>
      <c r="CX127" s="110">
        <f>IF(AJ127="","",IFERROR(AJ127*HSTECH!$B$18*HSTECH!$G$18/HSTECH!$B$3,""))</f>
        <v/>
      </c>
      <c r="CY127" s="110">
        <f>IF(AK127="","",IFERROR(AK127*HSTECH!$B$18*HSTECH!$G$18/HSTECH!$B$3,""))</f>
        <v/>
      </c>
      <c r="CZ127" s="110">
        <f>IF(AL127="","",IFERROR(AL127*HSTECH!$B$18*HSTECH!$G$18/HSTECH!$B$3,""))</f>
        <v/>
      </c>
      <c r="DA127" s="110">
        <f>IF(AM127="","",IFERROR(AM127*HSTECH!$B$18*HSTECH!$G$18/HSTECH!$B$3,""))</f>
        <v/>
      </c>
      <c r="DB127" s="110">
        <f>IF(AN127="","",IFERROR(AN127*HSTECH!$B$18*HSTECH!$G$18/HSTECH!$B$3,""))</f>
        <v/>
      </c>
      <c r="DC127" s="110">
        <f>IF(AO127="","",IFERROR(AO127*HSTECH!$B$18*HSTECH!$G$18/HSTECH!$B$3,""))</f>
        <v/>
      </c>
      <c r="DD127" s="110">
        <f>IF(AP127="","",IFERROR(AP127*HSTECH!$B$18*HSTECH!$G$18/HSTECH!$B$3,""))</f>
        <v/>
      </c>
      <c r="DE127" s="110">
        <f>IF(AQ127="","",IFERROR(AQ127*HSTECH!$B$18*HSTECH!$G$18/HSTECH!$B$3,""))</f>
        <v/>
      </c>
      <c r="DF127" s="110">
        <f>IF(AR127="","",IFERROR(AR127*HSTECH!$B$18*HSTECH!$G$18/HSTECH!$B$3,""))</f>
        <v/>
      </c>
      <c r="DG127" s="110">
        <f>IF(AS127="","",IFERROR(AS127*HSTECH!$B$18*HSTECH!$G$18/HSTECH!$B$3,""))</f>
        <v/>
      </c>
      <c r="DH127" s="110">
        <f>IF(AT127="","",IFERROR(AT127*HSTECH!$B$18*HSTECH!$G$18/HSTECH!$B$3,""))</f>
        <v/>
      </c>
      <c r="DI127" s="110">
        <f>IF(AU127="","",IFERROR(AU127*HSTECH!$B$18*HSTECH!$G$18/HSTECH!$B$3,""))</f>
        <v/>
      </c>
      <c r="DJ127" s="110">
        <f>IF(AV127="","",IFERROR(AV127*HSTECH!$B$18*HSTECH!$G$18/HSTECH!$B$3,""))</f>
        <v/>
      </c>
      <c r="DK127" s="110">
        <f>IF(AW127="","",IFERROR(AW127*HSTECH!$B$18*HSTECH!$G$18/HSTECH!$B$3,""))</f>
        <v/>
      </c>
      <c r="DL127" s="110">
        <f>IF(AX127="","",IFERROR(AX127*HSTECH!$B$18*HSTECH!$G$18/HSTECH!$B$3,""))</f>
        <v/>
      </c>
      <c r="DM127" s="110">
        <f>IF(AY127="","",IFERROR(AY127*HSTECH!$B$18*HSTECH!$G$18/HSTECH!$B$3,""))</f>
        <v/>
      </c>
      <c r="DN127" s="110">
        <f>IF(AZ127="","",IFERROR(AZ127*HSTECH!$B$18*HSTECH!$G$18/HSTECH!$B$3,""))</f>
        <v/>
      </c>
      <c r="DO127" s="110">
        <f>IF(BA127="","",IFERROR(BA127*HSTECH!$B$18*HSTECH!$G$18/HSTECH!$B$3,""))</f>
        <v/>
      </c>
      <c r="DP127" s="110">
        <f>IF(BB127="","",IFERROR(BB127*HSTECH!$B$18*HSTECH!$G$18/HSTECH!$B$3,""))</f>
        <v/>
      </c>
      <c r="DQ127" s="110">
        <f>IF(BC127="","",IFERROR(BC127*HSTECH!$B$18*HSTECH!$G$18/HSTECH!$B$3,""))</f>
        <v/>
      </c>
      <c r="DR127" s="110">
        <f>IF(BD127="","",IFERROR(BD127*HSTECH!$B$18*HSTECH!$G$18/HSTECH!$B$3,""))</f>
        <v/>
      </c>
      <c r="DS127" s="110">
        <f>IF(BE127="","",IFERROR(BE127*HSTECH!$B$18*HSTECH!$G$18/HSTECH!$B$3,""))</f>
        <v/>
      </c>
      <c r="DT127" s="110">
        <f>IF(BF127="","",IFERROR(BF127*HSTECH!$B$18*HSTECH!$G$18/HSTECH!$B$3,""))</f>
        <v/>
      </c>
      <c r="DU127" s="110">
        <f>IF(BG127="","",IFERROR(BG127*HSTECH!$B$18*HSTECH!$G$18/HSTECH!$B$3,""))</f>
        <v/>
      </c>
      <c r="DV127" s="110">
        <f>IF(BH127="","",IFERROR(BH127*HSTECH!$B$18*HSTECH!$G$18/HSTECH!$B$3,""))</f>
        <v/>
      </c>
      <c r="DW127" s="110">
        <f>IF(BI127="","",IFERROR(BI127*HSTECH!$B$18*HSTECH!$G$18/HSTECH!$B$3,""))</f>
        <v/>
      </c>
      <c r="DX127" s="110">
        <f>IF(BJ127="","",IFERROR(BJ127*HSTECH!$B$18*HSTECH!$G$18/HSTECH!$B$3,""))</f>
        <v/>
      </c>
      <c r="DY127" s="110">
        <f>IF(BK127="","",IFERROR(BK127*HSTECH!$B$18*HSTECH!$G$18/HSTECH!$B$3,""))</f>
        <v/>
      </c>
      <c r="DZ127" s="110">
        <f>IF(BL127="","",IFERROR(BL127*HSTECH!$B$18*HSTECH!$G$18/HSTECH!$B$3,""))</f>
        <v/>
      </c>
      <c r="EA127" s="110">
        <f>IF(BM127="","",IFERROR(BM127*HSTECH!$B$18*HSTECH!$G$18/HSTECH!$B$3,""))</f>
        <v/>
      </c>
      <c r="EB127" s="110">
        <f>IF(BN127="","",IFERROR(BN127*HSTECH!$B$18*HSTECH!$G$18/HSTECH!$B$3,""))</f>
        <v/>
      </c>
      <c r="EC127" s="110">
        <f>IF(BO127="","",IFERROR(BO127*HSTECH!$B$18*HSTECH!$G$18/HSTECH!$B$3,""))</f>
        <v/>
      </c>
      <c r="EE127" s="39">
        <f>IF(N('Dvd Calendar'!$E$1237)=0,"",IF(('Dvd Calendar'!$E$1237&gt;=GRID_FROM)*('Dvd Calendar'!$E$1237&lt;=GRID_TO)*((('Dvd Calendar'!$E$1237&lt;=VAL_DATE)+(COUNTIF('Dvd Calendar'!$E$1244:$AR$1244,'Dvd Calendar'!$E$1237)=0))&gt;0)=0,"",'Dvd Calendar'!$E$1237*1000000000+ISNUMBER('Dvd Calendar'!$E$1240)*100000000+('Dvd Calendar'!$E$1242=SPECIAL_LBL)*10000000+(N('Dvd Calendar'!$E$1236)&gt;0)*(N('Dvd Calendar'!$E$1236)&lt;=VAL_SERIAL)*1000000+12*1000+1))</f>
        <v/>
      </c>
      <c r="EF127" s="39">
        <f>IF(N('Dvd Calendar'!$F$1237)=0,"",IF(('Dvd Calendar'!$F$1237&gt;=GRID_FROM)*('Dvd Calendar'!$F$1237&lt;=GRID_TO)*((('Dvd Calendar'!$F$1237&lt;=VAL_DATE)+(COUNTIF('Dvd Calendar'!$E$1244:$AR$1244,'Dvd Calendar'!$F$1237)=0))&gt;0)=0,"",'Dvd Calendar'!$F$1237*1000000000+ISNUMBER('Dvd Calendar'!$F$1240)*100000000+('Dvd Calendar'!$F$1242=SPECIAL_LBL)*10000000+(N('Dvd Calendar'!$F$1236)&gt;0)*(N('Dvd Calendar'!$F$1236)&lt;=VAL_SERIAL)*1000000+12*1000+2))</f>
        <v/>
      </c>
      <c r="EG127" s="39">
        <f>IF(N('Dvd Calendar'!$G$1237)=0,"",IF(('Dvd Calendar'!$G$1237&gt;=GRID_FROM)*('Dvd Calendar'!$G$1237&lt;=GRID_TO)*((('Dvd Calendar'!$G$1237&lt;=VAL_DATE)+(COUNTIF('Dvd Calendar'!$E$1244:$AR$1244,'Dvd Calendar'!$G$1237)=0))&gt;0)=0,"",'Dvd Calendar'!$G$1237*1000000000+ISNUMBER('Dvd Calendar'!$G$1240)*100000000+('Dvd Calendar'!$G$1242=SPECIAL_LBL)*10000000+(N('Dvd Calendar'!$G$1236)&gt;0)*(N('Dvd Calendar'!$G$1236)&lt;=VAL_SERIAL)*1000000+12*1000+3))</f>
        <v/>
      </c>
      <c r="EH127" s="39">
        <f>IF(N('Dvd Calendar'!$H$1237)=0,"",IF(('Dvd Calendar'!$H$1237&gt;=GRID_FROM)*('Dvd Calendar'!$H$1237&lt;=GRID_TO)*((('Dvd Calendar'!$H$1237&lt;=VAL_DATE)+(COUNTIF('Dvd Calendar'!$E$1244:$AR$1244,'Dvd Calendar'!$H$1237)=0))&gt;0)=0,"",'Dvd Calendar'!$H$1237*1000000000+ISNUMBER('Dvd Calendar'!$H$1240)*100000000+('Dvd Calendar'!$H$1242=SPECIAL_LBL)*10000000+(N('Dvd Calendar'!$H$1236)&gt;0)*(N('Dvd Calendar'!$H$1236)&lt;=VAL_SERIAL)*1000000+12*1000+4))</f>
        <v/>
      </c>
      <c r="EI127" s="39">
        <f>IF(N('Dvd Calendar'!$I$1237)=0,"",IF(('Dvd Calendar'!$I$1237&gt;=GRID_FROM)*('Dvd Calendar'!$I$1237&lt;=GRID_TO)*((('Dvd Calendar'!$I$1237&lt;=VAL_DATE)+(COUNTIF('Dvd Calendar'!$E$1244:$AR$1244,'Dvd Calendar'!$I$1237)=0))&gt;0)=0,"",'Dvd Calendar'!$I$1237*1000000000+ISNUMBER('Dvd Calendar'!$I$1240)*100000000+('Dvd Calendar'!$I$1242=SPECIAL_LBL)*10000000+(N('Dvd Calendar'!$I$1236)&gt;0)*(N('Dvd Calendar'!$I$1236)&lt;=VAL_SERIAL)*1000000+12*1000+5))</f>
        <v/>
      </c>
      <c r="EJ127" s="39">
        <f>IF(N('Dvd Calendar'!$J$1237)=0,"",IF(('Dvd Calendar'!$J$1237&gt;=GRID_FROM)*('Dvd Calendar'!$J$1237&lt;=GRID_TO)*((('Dvd Calendar'!$J$1237&lt;=VAL_DATE)+(COUNTIF('Dvd Calendar'!$E$1244:$AR$1244,'Dvd Calendar'!$J$1237)=0))&gt;0)=0,"",'Dvd Calendar'!$J$1237*1000000000+ISNUMBER('Dvd Calendar'!$J$1240)*100000000+('Dvd Calendar'!$J$1242=SPECIAL_LBL)*10000000+(N('Dvd Calendar'!$J$1236)&gt;0)*(N('Dvd Calendar'!$J$1236)&lt;=VAL_SERIAL)*1000000+12*1000+6))</f>
        <v/>
      </c>
      <c r="EK127" s="39">
        <f>IF(N('Dvd Calendar'!$K$1237)=0,"",IF(('Dvd Calendar'!$K$1237&gt;=GRID_FROM)*('Dvd Calendar'!$K$1237&lt;=GRID_TO)*((('Dvd Calendar'!$K$1237&lt;=VAL_DATE)+(COUNTIF('Dvd Calendar'!$E$1244:$AR$1244,'Dvd Calendar'!$K$1237)=0))&gt;0)=0,"",'Dvd Calendar'!$K$1237*1000000000+ISNUMBER('Dvd Calendar'!$K$1240)*100000000+('Dvd Calendar'!$K$1242=SPECIAL_LBL)*10000000+(N('Dvd Calendar'!$K$1236)&gt;0)*(N('Dvd Calendar'!$K$1236)&lt;=VAL_SERIAL)*1000000+12*1000+7))</f>
        <v/>
      </c>
      <c r="EL127" s="39">
        <f>IF(N('Dvd Calendar'!$L$1237)=0,"",IF(('Dvd Calendar'!$L$1237&gt;=GRID_FROM)*('Dvd Calendar'!$L$1237&lt;=GRID_TO)*((('Dvd Calendar'!$L$1237&lt;=VAL_DATE)+(COUNTIF('Dvd Calendar'!$E$1244:$AR$1244,'Dvd Calendar'!$L$1237)=0))&gt;0)=0,"",'Dvd Calendar'!$L$1237*1000000000+ISNUMBER('Dvd Calendar'!$L$1240)*100000000+('Dvd Calendar'!$L$1242=SPECIAL_LBL)*10000000+(N('Dvd Calendar'!$L$1236)&gt;0)*(N('Dvd Calendar'!$L$1236)&lt;=VAL_SERIAL)*1000000+12*1000+8))</f>
        <v/>
      </c>
      <c r="EM127" s="39">
        <f>IF(N('Dvd Calendar'!$M$1237)=0,"",IF(('Dvd Calendar'!$M$1237&gt;=GRID_FROM)*('Dvd Calendar'!$M$1237&lt;=GRID_TO)*((('Dvd Calendar'!$M$1237&lt;=VAL_DATE)+(COUNTIF('Dvd Calendar'!$E$1244:$AR$1244,'Dvd Calendar'!$M$1237)=0))&gt;0)=0,"",'Dvd Calendar'!$M$1237*1000000000+ISNUMBER('Dvd Calendar'!$M$1240)*100000000+('Dvd Calendar'!$M$1242=SPECIAL_LBL)*10000000+(N('Dvd Calendar'!$M$1236)&gt;0)*(N('Dvd Calendar'!$M$1236)&lt;=VAL_SERIAL)*1000000+12*1000+9))</f>
        <v/>
      </c>
      <c r="EN127" s="39">
        <f>IF(N('Dvd Calendar'!$N$1237)=0,"",IF(('Dvd Calendar'!$N$1237&gt;=GRID_FROM)*('Dvd Calendar'!$N$1237&lt;=GRID_TO)*((('Dvd Calendar'!$N$1237&lt;=VAL_DATE)+(COUNTIF('Dvd Calendar'!$E$1244:$AR$1244,'Dvd Calendar'!$N$1237)=0))&gt;0)=0,"",'Dvd Calendar'!$N$1237*1000000000+ISNUMBER('Dvd Calendar'!$N$1240)*100000000+('Dvd Calendar'!$N$1242=SPECIAL_LBL)*10000000+(N('Dvd Calendar'!$N$1236)&gt;0)*(N('Dvd Calendar'!$N$1236)&lt;=VAL_SERIAL)*1000000+12*1000+10))</f>
        <v/>
      </c>
      <c r="EO127" s="39">
        <f>IF(N('Dvd Calendar'!$O$1237)=0,"",IF(('Dvd Calendar'!$O$1237&gt;=GRID_FROM)*('Dvd Calendar'!$O$1237&lt;=GRID_TO)*((('Dvd Calendar'!$O$1237&lt;=VAL_DATE)+(COUNTIF('Dvd Calendar'!$E$1244:$AR$1244,'Dvd Calendar'!$O$1237)=0))&gt;0)=0,"",'Dvd Calendar'!$O$1237*1000000000+ISNUMBER('Dvd Calendar'!$O$1240)*100000000+('Dvd Calendar'!$O$1242=SPECIAL_LBL)*10000000+(N('Dvd Calendar'!$O$1236)&gt;0)*(N('Dvd Calendar'!$O$1236)&lt;=VAL_SERIAL)*1000000+12*1000+11))</f>
        <v/>
      </c>
      <c r="EP127" s="39">
        <f>IF(N('Dvd Calendar'!$P$1237)=0,"",IF(('Dvd Calendar'!$P$1237&gt;=GRID_FROM)*('Dvd Calendar'!$P$1237&lt;=GRID_TO)*((('Dvd Calendar'!$P$1237&lt;=VAL_DATE)+(COUNTIF('Dvd Calendar'!$E$1244:$AR$1244,'Dvd Calendar'!$P$1237)=0))&gt;0)=0,"",'Dvd Calendar'!$P$1237*1000000000+ISNUMBER('Dvd Calendar'!$P$1240)*100000000+('Dvd Calendar'!$P$1242=SPECIAL_LBL)*10000000+(N('Dvd Calendar'!$P$1236)&gt;0)*(N('Dvd Calendar'!$P$1236)&lt;=VAL_SERIAL)*1000000+12*1000+12))</f>
        <v/>
      </c>
      <c r="EQ127" s="39">
        <f>IF(N('Dvd Calendar'!$Q$1237)=0,"",IF(('Dvd Calendar'!$Q$1237&gt;=GRID_FROM)*('Dvd Calendar'!$Q$1237&lt;=GRID_TO)*((('Dvd Calendar'!$Q$1237&lt;=VAL_DATE)+(COUNTIF('Dvd Calendar'!$E$1244:$AR$1244,'Dvd Calendar'!$Q$1237)=0))&gt;0)=0,"",'Dvd Calendar'!$Q$1237*1000000000+ISNUMBER('Dvd Calendar'!$Q$1240)*100000000+('Dvd Calendar'!$Q$1242=SPECIAL_LBL)*10000000+(N('Dvd Calendar'!$Q$1236)&gt;0)*(N('Dvd Calendar'!$Q$1236)&lt;=VAL_SERIAL)*1000000+12*1000+13))</f>
        <v/>
      </c>
      <c r="ER127" s="39">
        <f>IF(N('Dvd Calendar'!$R$1237)=0,"",IF(('Dvd Calendar'!$R$1237&gt;=GRID_FROM)*('Dvd Calendar'!$R$1237&lt;=GRID_TO)*((('Dvd Calendar'!$R$1237&lt;=VAL_DATE)+(COUNTIF('Dvd Calendar'!$E$1244:$AR$1244,'Dvd Calendar'!$R$1237)=0))&gt;0)=0,"",'Dvd Calendar'!$R$1237*1000000000+ISNUMBER('Dvd Calendar'!$R$1240)*100000000+('Dvd Calendar'!$R$1242=SPECIAL_LBL)*10000000+(N('Dvd Calendar'!$R$1236)&gt;0)*(N('Dvd Calendar'!$R$1236)&lt;=VAL_SERIAL)*1000000+12*1000+14))</f>
        <v/>
      </c>
      <c r="ES127" s="39">
        <f>IF(N('Dvd Calendar'!$S$1237)=0,"",IF(('Dvd Calendar'!$S$1237&gt;=GRID_FROM)*('Dvd Calendar'!$S$1237&lt;=GRID_TO)*((('Dvd Calendar'!$S$1237&lt;=VAL_DATE)+(COUNTIF('Dvd Calendar'!$E$1244:$AR$1244,'Dvd Calendar'!$S$1237)=0))&gt;0)=0,"",'Dvd Calendar'!$S$1237*1000000000+ISNUMBER('Dvd Calendar'!$S$1240)*100000000+('Dvd Calendar'!$S$1242=SPECIAL_LBL)*10000000+(N('Dvd Calendar'!$S$1236)&gt;0)*(N('Dvd Calendar'!$S$1236)&lt;=VAL_SERIAL)*1000000+12*1000+15))</f>
        <v/>
      </c>
      <c r="ET127" s="39">
        <f>IF(N('Dvd Calendar'!$T$1237)=0,"",IF(('Dvd Calendar'!$T$1237&gt;=GRID_FROM)*('Dvd Calendar'!$T$1237&lt;=GRID_TO)*((('Dvd Calendar'!$T$1237&lt;=VAL_DATE)+(COUNTIF('Dvd Calendar'!$E$1244:$AR$1244,'Dvd Calendar'!$T$1237)=0))&gt;0)=0,"",'Dvd Calendar'!$T$1237*1000000000+ISNUMBER('Dvd Calendar'!$T$1240)*100000000+('Dvd Calendar'!$T$1242=SPECIAL_LBL)*10000000+(N('Dvd Calendar'!$T$1236)&gt;0)*(N('Dvd Calendar'!$T$1236)&lt;=VAL_SERIAL)*1000000+12*1000+16))</f>
        <v/>
      </c>
      <c r="EU127" s="39">
        <f>IF(N('Dvd Calendar'!$U$1237)=0,"",IF(('Dvd Calendar'!$U$1237&gt;=GRID_FROM)*('Dvd Calendar'!$U$1237&lt;=GRID_TO)*((('Dvd Calendar'!$U$1237&lt;=VAL_DATE)+(COUNTIF('Dvd Calendar'!$E$1244:$AR$1244,'Dvd Calendar'!$U$1237)=0))&gt;0)=0,"",'Dvd Calendar'!$U$1237*1000000000+ISNUMBER('Dvd Calendar'!$U$1240)*100000000+('Dvd Calendar'!$U$1242=SPECIAL_LBL)*10000000+(N('Dvd Calendar'!$U$1236)&gt;0)*(N('Dvd Calendar'!$U$1236)&lt;=VAL_SERIAL)*1000000+12*1000+17))</f>
        <v/>
      </c>
      <c r="EV127" s="39">
        <f>IF(N('Dvd Calendar'!$V$1237)=0,"",IF(('Dvd Calendar'!$V$1237&gt;=GRID_FROM)*('Dvd Calendar'!$V$1237&lt;=GRID_TO)*((('Dvd Calendar'!$V$1237&lt;=VAL_DATE)+(COUNTIF('Dvd Calendar'!$E$1244:$AR$1244,'Dvd Calendar'!$V$1237)=0))&gt;0)=0,"",'Dvd Calendar'!$V$1237*1000000000+ISNUMBER('Dvd Calendar'!$V$1240)*100000000+('Dvd Calendar'!$V$1242=SPECIAL_LBL)*10000000+(N('Dvd Calendar'!$V$1236)&gt;0)*(N('Dvd Calendar'!$V$1236)&lt;=VAL_SERIAL)*1000000+12*1000+18))</f>
        <v/>
      </c>
      <c r="EW127" s="39">
        <f>IF(N('Dvd Calendar'!$W$1237)=0,"",IF(('Dvd Calendar'!$W$1237&gt;=GRID_FROM)*('Dvd Calendar'!$W$1237&lt;=GRID_TO)*((('Dvd Calendar'!$W$1237&lt;=VAL_DATE)+(COUNTIF('Dvd Calendar'!$E$1244:$AR$1244,'Dvd Calendar'!$W$1237)=0))&gt;0)=0,"",'Dvd Calendar'!$W$1237*1000000000+ISNUMBER('Dvd Calendar'!$W$1240)*100000000+('Dvd Calendar'!$W$1242=SPECIAL_LBL)*10000000+(N('Dvd Calendar'!$W$1236)&gt;0)*(N('Dvd Calendar'!$W$1236)&lt;=VAL_SERIAL)*1000000+12*1000+19))</f>
        <v/>
      </c>
      <c r="EX127" s="39">
        <f>IF(N('Dvd Calendar'!$X$1237)=0,"",IF(('Dvd Calendar'!$X$1237&gt;=GRID_FROM)*('Dvd Calendar'!$X$1237&lt;=GRID_TO)*((('Dvd Calendar'!$X$1237&lt;=VAL_DATE)+(COUNTIF('Dvd Calendar'!$E$1244:$AR$1244,'Dvd Calendar'!$X$1237)=0))&gt;0)=0,"",'Dvd Calendar'!$X$1237*1000000000+ISNUMBER('Dvd Calendar'!$X$1240)*100000000+('Dvd Calendar'!$X$1242=SPECIAL_LBL)*10000000+(N('Dvd Calendar'!$X$1236)&gt;0)*(N('Dvd Calendar'!$X$1236)&lt;=VAL_SERIAL)*1000000+12*1000+20))</f>
        <v/>
      </c>
      <c r="EY127" s="39">
        <f>IF(N('Dvd Calendar'!$Y$1237)=0,"",IF(('Dvd Calendar'!$Y$1237&gt;=GRID_FROM)*('Dvd Calendar'!$Y$1237&lt;=GRID_TO)*((('Dvd Calendar'!$Y$1237&lt;=VAL_DATE)+(COUNTIF('Dvd Calendar'!$E$1244:$AR$1244,'Dvd Calendar'!$Y$1237)=0))&gt;0)=0,"",'Dvd Calendar'!$Y$1237*1000000000+ISNUMBER('Dvd Calendar'!$Y$1240)*100000000+('Dvd Calendar'!$Y$1242=SPECIAL_LBL)*10000000+(N('Dvd Calendar'!$Y$1236)&gt;0)*(N('Dvd Calendar'!$Y$1236)&lt;=VAL_SERIAL)*1000000+12*1000+21))</f>
        <v/>
      </c>
      <c r="EZ127" s="39">
        <f>IF(N('Dvd Calendar'!$Z$1237)=0,"",IF(('Dvd Calendar'!$Z$1237&gt;=GRID_FROM)*('Dvd Calendar'!$Z$1237&lt;=GRID_TO)*((('Dvd Calendar'!$Z$1237&lt;=VAL_DATE)+(COUNTIF('Dvd Calendar'!$E$1244:$AR$1244,'Dvd Calendar'!$Z$1237)=0))&gt;0)=0,"",'Dvd Calendar'!$Z$1237*1000000000+ISNUMBER('Dvd Calendar'!$Z$1240)*100000000+('Dvd Calendar'!$Z$1242=SPECIAL_LBL)*10000000+(N('Dvd Calendar'!$Z$1236)&gt;0)*(N('Dvd Calendar'!$Z$1236)&lt;=VAL_SERIAL)*1000000+12*1000+22))</f>
        <v/>
      </c>
      <c r="FA127" s="39">
        <f>IF(N('Dvd Calendar'!$AA$1237)=0,"",IF(('Dvd Calendar'!$AA$1237&gt;=GRID_FROM)*('Dvd Calendar'!$AA$1237&lt;=GRID_TO)*((('Dvd Calendar'!$AA$1237&lt;=VAL_DATE)+(COUNTIF('Dvd Calendar'!$E$1244:$AR$1244,'Dvd Calendar'!$AA$1237)=0))&gt;0)=0,"",'Dvd Calendar'!$AA$1237*1000000000+ISNUMBER('Dvd Calendar'!$AA$1240)*100000000+('Dvd Calendar'!$AA$1242=SPECIAL_LBL)*10000000+(N('Dvd Calendar'!$AA$1236)&gt;0)*(N('Dvd Calendar'!$AA$1236)&lt;=VAL_SERIAL)*1000000+12*1000+23))</f>
        <v/>
      </c>
      <c r="FB127" s="39">
        <f>IF(N('Dvd Calendar'!$AB$1237)=0,"",IF(('Dvd Calendar'!$AB$1237&gt;=GRID_FROM)*('Dvd Calendar'!$AB$1237&lt;=GRID_TO)*((('Dvd Calendar'!$AB$1237&lt;=VAL_DATE)+(COUNTIF('Dvd Calendar'!$E$1244:$AR$1244,'Dvd Calendar'!$AB$1237)=0))&gt;0)=0,"",'Dvd Calendar'!$AB$1237*1000000000+ISNUMBER('Dvd Calendar'!$AB$1240)*100000000+('Dvd Calendar'!$AB$1242=SPECIAL_LBL)*10000000+(N('Dvd Calendar'!$AB$1236)&gt;0)*(N('Dvd Calendar'!$AB$1236)&lt;=VAL_SERIAL)*1000000+12*1000+24))</f>
        <v/>
      </c>
      <c r="FC127" s="39">
        <f>IF(N('Dvd Calendar'!$AC$1237)=0,"",IF(('Dvd Calendar'!$AC$1237&gt;=GRID_FROM)*('Dvd Calendar'!$AC$1237&lt;=GRID_TO)*((('Dvd Calendar'!$AC$1237&lt;=VAL_DATE)+(COUNTIF('Dvd Calendar'!$E$1244:$AR$1244,'Dvd Calendar'!$AC$1237)=0))&gt;0)=0,"",'Dvd Calendar'!$AC$1237*1000000000+ISNUMBER('Dvd Calendar'!$AC$1240)*100000000+('Dvd Calendar'!$AC$1242=SPECIAL_LBL)*10000000+(N('Dvd Calendar'!$AC$1236)&gt;0)*(N('Dvd Calendar'!$AC$1236)&lt;=VAL_SERIAL)*1000000+12*1000+25))</f>
        <v/>
      </c>
      <c r="FD127" s="39">
        <f>IF(N('Dvd Calendar'!$AD$1237)=0,"",IF(('Dvd Calendar'!$AD$1237&gt;=GRID_FROM)*('Dvd Calendar'!$AD$1237&lt;=GRID_TO)*((('Dvd Calendar'!$AD$1237&lt;=VAL_DATE)+(COUNTIF('Dvd Calendar'!$E$1244:$AR$1244,'Dvd Calendar'!$AD$1237)=0))&gt;0)=0,"",'Dvd Calendar'!$AD$1237*1000000000+ISNUMBER('Dvd Calendar'!$AD$1240)*100000000+('Dvd Calendar'!$AD$1242=SPECIAL_LBL)*10000000+(N('Dvd Calendar'!$AD$1236)&gt;0)*(N('Dvd Calendar'!$AD$1236)&lt;=VAL_SERIAL)*1000000+12*1000+26))</f>
        <v/>
      </c>
      <c r="FE127" s="39">
        <f>IF(N('Dvd Calendar'!$AE$1237)=0,"",IF(('Dvd Calendar'!$AE$1237&gt;=GRID_FROM)*('Dvd Calendar'!$AE$1237&lt;=GRID_TO)*((('Dvd Calendar'!$AE$1237&lt;=VAL_DATE)+(COUNTIF('Dvd Calendar'!$E$1244:$AR$1244,'Dvd Calendar'!$AE$1237)=0))&gt;0)=0,"",'Dvd Calendar'!$AE$1237*1000000000+ISNUMBER('Dvd Calendar'!$AE$1240)*100000000+('Dvd Calendar'!$AE$1242=SPECIAL_LBL)*10000000+(N('Dvd Calendar'!$AE$1236)&gt;0)*(N('Dvd Calendar'!$AE$1236)&lt;=VAL_SERIAL)*1000000+12*1000+27))</f>
        <v/>
      </c>
      <c r="FF127" s="39">
        <f>IF(N('Dvd Calendar'!$AF$1237)=0,"",IF(('Dvd Calendar'!$AF$1237&gt;=GRID_FROM)*('Dvd Calendar'!$AF$1237&lt;=GRID_TO)*((('Dvd Calendar'!$AF$1237&lt;=VAL_DATE)+(COUNTIF('Dvd Calendar'!$E$1244:$AR$1244,'Dvd Calendar'!$AF$1237)=0))&gt;0)=0,"",'Dvd Calendar'!$AF$1237*1000000000+ISNUMBER('Dvd Calendar'!$AF$1240)*100000000+('Dvd Calendar'!$AF$1242=SPECIAL_LBL)*10000000+(N('Dvd Calendar'!$AF$1236)&gt;0)*(N('Dvd Calendar'!$AF$1236)&lt;=VAL_SERIAL)*1000000+12*1000+28))</f>
        <v/>
      </c>
      <c r="FG127" s="39">
        <f>IF(N('Dvd Calendar'!$AG$1237)=0,"",IF(('Dvd Calendar'!$AG$1237&gt;=GRID_FROM)*('Dvd Calendar'!$AG$1237&lt;=GRID_TO)*((('Dvd Calendar'!$AG$1237&lt;=VAL_DATE)+(COUNTIF('Dvd Calendar'!$E$1244:$AR$1244,'Dvd Calendar'!$AG$1237)=0))&gt;0)=0,"",'Dvd Calendar'!$AG$1237*1000000000+ISNUMBER('Dvd Calendar'!$AG$1240)*100000000+('Dvd Calendar'!$AG$1242=SPECIAL_LBL)*10000000+(N('Dvd Calendar'!$AG$1236)&gt;0)*(N('Dvd Calendar'!$AG$1236)&lt;=VAL_SERIAL)*1000000+12*1000+29))</f>
        <v/>
      </c>
      <c r="FH127" s="39">
        <f>IF(N('Dvd Calendar'!$AH$1237)=0,"",IF(('Dvd Calendar'!$AH$1237&gt;=GRID_FROM)*('Dvd Calendar'!$AH$1237&lt;=GRID_TO)*((('Dvd Calendar'!$AH$1237&lt;=VAL_DATE)+(COUNTIF('Dvd Calendar'!$E$1244:$AR$1244,'Dvd Calendar'!$AH$1237)=0))&gt;0)=0,"",'Dvd Calendar'!$AH$1237*1000000000+ISNUMBER('Dvd Calendar'!$AH$1240)*100000000+('Dvd Calendar'!$AH$1242=SPECIAL_LBL)*10000000+(N('Dvd Calendar'!$AH$1236)&gt;0)*(N('Dvd Calendar'!$AH$1236)&lt;=VAL_SERIAL)*1000000+12*1000+30))</f>
        <v/>
      </c>
      <c r="FI127" s="39">
        <f>IF(N('Dvd Calendar'!$AI$1237)=0,"",IF(('Dvd Calendar'!$AI$1237&gt;=GRID_FROM)*('Dvd Calendar'!$AI$1237&lt;=GRID_TO)*((('Dvd Calendar'!$AI$1237&lt;=VAL_DATE)+(COUNTIF('Dvd Calendar'!$E$1244:$AR$1244,'Dvd Calendar'!$AI$1237)=0))&gt;0)=0,"",'Dvd Calendar'!$AI$1237*1000000000+ISNUMBER('Dvd Calendar'!$AI$1240)*100000000+('Dvd Calendar'!$AI$1242=SPECIAL_LBL)*10000000+(N('Dvd Calendar'!$AI$1236)&gt;0)*(N('Dvd Calendar'!$AI$1236)&lt;=VAL_SERIAL)*1000000+12*1000+31))</f>
        <v/>
      </c>
      <c r="FJ127" s="39">
        <f>IF(N('Dvd Calendar'!$AJ$1237)=0,"",IF(('Dvd Calendar'!$AJ$1237&gt;=GRID_FROM)*('Dvd Calendar'!$AJ$1237&lt;=GRID_TO)*((('Dvd Calendar'!$AJ$1237&lt;=VAL_DATE)+(COUNTIF('Dvd Calendar'!$E$1244:$AR$1244,'Dvd Calendar'!$AJ$1237)=0))&gt;0)=0,"",'Dvd Calendar'!$AJ$1237*1000000000+ISNUMBER('Dvd Calendar'!$AJ$1240)*100000000+('Dvd Calendar'!$AJ$1242=SPECIAL_LBL)*10000000+(N('Dvd Calendar'!$AJ$1236)&gt;0)*(N('Dvd Calendar'!$AJ$1236)&lt;=VAL_SERIAL)*1000000+12*1000+32))</f>
        <v/>
      </c>
      <c r="FK127" s="39">
        <f>IF(N('Dvd Calendar'!$AK$1237)=0,"",IF(('Dvd Calendar'!$AK$1237&gt;=GRID_FROM)*('Dvd Calendar'!$AK$1237&lt;=GRID_TO)*((('Dvd Calendar'!$AK$1237&lt;=VAL_DATE)+(COUNTIF('Dvd Calendar'!$E$1244:$AR$1244,'Dvd Calendar'!$AK$1237)=0))&gt;0)=0,"",'Dvd Calendar'!$AK$1237*1000000000+ISNUMBER('Dvd Calendar'!$AK$1240)*100000000+('Dvd Calendar'!$AK$1242=SPECIAL_LBL)*10000000+(N('Dvd Calendar'!$AK$1236)&gt;0)*(N('Dvd Calendar'!$AK$1236)&lt;=VAL_SERIAL)*1000000+12*1000+33))</f>
        <v/>
      </c>
      <c r="FL127" s="39">
        <f>IF(N('Dvd Calendar'!$AL$1237)=0,"",IF(('Dvd Calendar'!$AL$1237&gt;=GRID_FROM)*('Dvd Calendar'!$AL$1237&lt;=GRID_TO)*((('Dvd Calendar'!$AL$1237&lt;=VAL_DATE)+(COUNTIF('Dvd Calendar'!$E$1244:$AR$1244,'Dvd Calendar'!$AL$1237)=0))&gt;0)=0,"",'Dvd Calendar'!$AL$1237*1000000000+ISNUMBER('Dvd Calendar'!$AL$1240)*100000000+('Dvd Calendar'!$AL$1242=SPECIAL_LBL)*10000000+(N('Dvd Calendar'!$AL$1236)&gt;0)*(N('Dvd Calendar'!$AL$1236)&lt;=VAL_SERIAL)*1000000+12*1000+34))</f>
        <v/>
      </c>
      <c r="FM127" s="39">
        <f>IF(N('Dvd Calendar'!$AM$1237)=0,"",IF(('Dvd Calendar'!$AM$1237&gt;=GRID_FROM)*('Dvd Calendar'!$AM$1237&lt;=GRID_TO)*((('Dvd Calendar'!$AM$1237&lt;=VAL_DATE)+(COUNTIF('Dvd Calendar'!$E$1244:$AR$1244,'Dvd Calendar'!$AM$1237)=0))&gt;0)=0,"",'Dvd Calendar'!$AM$1237*1000000000+ISNUMBER('Dvd Calendar'!$AM$1240)*100000000+('Dvd Calendar'!$AM$1242=SPECIAL_LBL)*10000000+(N('Dvd Calendar'!$AM$1236)&gt;0)*(N('Dvd Calendar'!$AM$1236)&lt;=VAL_SERIAL)*1000000+12*1000+35))</f>
        <v/>
      </c>
      <c r="FN127" s="39">
        <f>IF(N('Dvd Calendar'!$AN$1237)=0,"",IF(('Dvd Calendar'!$AN$1237&gt;=GRID_FROM)*('Dvd Calendar'!$AN$1237&lt;=GRID_TO)*((('Dvd Calendar'!$AN$1237&lt;=VAL_DATE)+(COUNTIF('Dvd Calendar'!$E$1244:$AR$1244,'Dvd Calendar'!$AN$1237)=0))&gt;0)=0,"",'Dvd Calendar'!$AN$1237*1000000000+ISNUMBER('Dvd Calendar'!$AN$1240)*100000000+('Dvd Calendar'!$AN$1242=SPECIAL_LBL)*10000000+(N('Dvd Calendar'!$AN$1236)&gt;0)*(N('Dvd Calendar'!$AN$1236)&lt;=VAL_SERIAL)*1000000+12*1000+36))</f>
        <v/>
      </c>
      <c r="FO127" s="39">
        <f>IF(N('Dvd Calendar'!$AO$1237)=0,"",IF(('Dvd Calendar'!$AO$1237&gt;=GRID_FROM)*('Dvd Calendar'!$AO$1237&lt;=GRID_TO)*((('Dvd Calendar'!$AO$1237&lt;=VAL_DATE)+(COUNTIF('Dvd Calendar'!$E$1244:$AR$1244,'Dvd Calendar'!$AO$1237)=0))&gt;0)=0,"",'Dvd Calendar'!$AO$1237*1000000000+ISNUMBER('Dvd Calendar'!$AO$1240)*100000000+('Dvd Calendar'!$AO$1242=SPECIAL_LBL)*10000000+(N('Dvd Calendar'!$AO$1236)&gt;0)*(N('Dvd Calendar'!$AO$1236)&lt;=VAL_SERIAL)*1000000+12*1000+37))</f>
        <v/>
      </c>
      <c r="FP127" s="39">
        <f>IF(N('Dvd Calendar'!$AP$1237)=0,"",IF(('Dvd Calendar'!$AP$1237&gt;=GRID_FROM)*('Dvd Calendar'!$AP$1237&lt;=GRID_TO)*((('Dvd Calendar'!$AP$1237&lt;=VAL_DATE)+(COUNTIF('Dvd Calendar'!$E$1244:$AR$1244,'Dvd Calendar'!$AP$1237)=0))&gt;0)=0,"",'Dvd Calendar'!$AP$1237*1000000000+ISNUMBER('Dvd Calendar'!$AP$1240)*100000000+('Dvd Calendar'!$AP$1242=SPECIAL_LBL)*10000000+(N('Dvd Calendar'!$AP$1236)&gt;0)*(N('Dvd Calendar'!$AP$1236)&lt;=VAL_SERIAL)*1000000+12*1000+38))</f>
        <v/>
      </c>
      <c r="FQ127" s="39">
        <f>IF(N('Dvd Calendar'!$AQ$1237)=0,"",IF(('Dvd Calendar'!$AQ$1237&gt;=GRID_FROM)*('Dvd Calendar'!$AQ$1237&lt;=GRID_TO)*((('Dvd Calendar'!$AQ$1237&lt;=VAL_DATE)+(COUNTIF('Dvd Calendar'!$E$1244:$AR$1244,'Dvd Calendar'!$AQ$1237)=0))&gt;0)=0,"",'Dvd Calendar'!$AQ$1237*1000000000+ISNUMBER('Dvd Calendar'!$AQ$1240)*100000000+('Dvd Calendar'!$AQ$1242=SPECIAL_LBL)*10000000+(N('Dvd Calendar'!$AQ$1236)&gt;0)*(N('Dvd Calendar'!$AQ$1236)&lt;=VAL_SERIAL)*1000000+12*1000+39))</f>
        <v/>
      </c>
      <c r="FR127" s="39">
        <f>IF(N('Dvd Calendar'!$AR$1237)=0,"",IF(('Dvd Calendar'!$AR$1237&gt;=GRID_FROM)*('Dvd Calendar'!$AR$1237&lt;=GRID_TO)*((('Dvd Calendar'!$AR$1237&lt;=VAL_DATE)+(COUNTIF('Dvd Calendar'!$E$1244:$AR$1244,'Dvd Calendar'!$AR$1237)=0))&gt;0)=0,"",'Dvd Calendar'!$AR$1237*1000000000+ISNUMBER('Dvd Calendar'!$AR$1240)*100000000+('Dvd Calendar'!$AR$1242=SPECIAL_LBL)*10000000+(N('Dvd Calendar'!$AR$1236)&gt;0)*(N('Dvd Calendar'!$AR$1236)&lt;=VAL_SERIAL)*1000000+12*1000+40))</f>
        <v/>
      </c>
      <c r="FS127" s="39">
        <f>IF(N('Dvd Calendar'!$E$1244)=0,"",IF(('Dvd Calendar'!$E$1244&gt;=GRID_FROM)*('Dvd Calendar'!$E$1244&lt;=GRID_TO)*('Dvd Calendar'!$E$1244&gt;VAL_DATE)=0,"",'Dvd Calendar'!$E$1244*1000000000+ISNUMBER('Dvd Calendar'!$E$1245)*100000000+0*10000000+(N('Dvd Calendar'!$E$1243)&gt;0)*(N('Dvd Calendar'!$E$1243)&lt;=VAL_SERIAL)*1000000+12*1000+41))</f>
        <v/>
      </c>
      <c r="FT127" s="39">
        <f>IF(N('Dvd Calendar'!$F$1244)=0,"",IF(('Dvd Calendar'!$F$1244&gt;=GRID_FROM)*('Dvd Calendar'!$F$1244&lt;=GRID_TO)*('Dvd Calendar'!$F$1244&gt;VAL_DATE)=0,"",'Dvd Calendar'!$F$1244*1000000000+ISNUMBER('Dvd Calendar'!$F$1245)*100000000+0*10000000+(N('Dvd Calendar'!$F$1243)&gt;0)*(N('Dvd Calendar'!$F$1243)&lt;=VAL_SERIAL)*1000000+12*1000+42))</f>
        <v/>
      </c>
      <c r="FU127" s="39">
        <f>IF(N('Dvd Calendar'!$G$1244)=0,"",IF(('Dvd Calendar'!$G$1244&gt;=GRID_FROM)*('Dvd Calendar'!$G$1244&lt;=GRID_TO)*('Dvd Calendar'!$G$1244&gt;VAL_DATE)=0,"",'Dvd Calendar'!$G$1244*1000000000+ISNUMBER('Dvd Calendar'!$G$1245)*100000000+0*10000000+(N('Dvd Calendar'!$G$1243)&gt;0)*(N('Dvd Calendar'!$G$1243)&lt;=VAL_SERIAL)*1000000+12*1000+43))</f>
        <v/>
      </c>
      <c r="FV127" s="39">
        <f>IF(N('Dvd Calendar'!$H$1244)=0,"",IF(('Dvd Calendar'!$H$1244&gt;=GRID_FROM)*('Dvd Calendar'!$H$1244&lt;=GRID_TO)*('Dvd Calendar'!$H$1244&gt;VAL_DATE)=0,"",'Dvd Calendar'!$H$1244*1000000000+ISNUMBER('Dvd Calendar'!$H$1245)*100000000+0*10000000+(N('Dvd Calendar'!$H$1243)&gt;0)*(N('Dvd Calendar'!$H$1243)&lt;=VAL_SERIAL)*1000000+12*1000+44))</f>
        <v/>
      </c>
      <c r="FW127" s="39">
        <f>IF(N('Dvd Calendar'!$I$1244)=0,"",IF(('Dvd Calendar'!$I$1244&gt;=GRID_FROM)*('Dvd Calendar'!$I$1244&lt;=GRID_TO)*('Dvd Calendar'!$I$1244&gt;VAL_DATE)=0,"",'Dvd Calendar'!$I$1244*1000000000+ISNUMBER('Dvd Calendar'!$I$1245)*100000000+0*10000000+(N('Dvd Calendar'!$I$1243)&gt;0)*(N('Dvd Calendar'!$I$1243)&lt;=VAL_SERIAL)*1000000+12*1000+45))</f>
        <v/>
      </c>
      <c r="FX127" s="39">
        <f>IF(N('Dvd Calendar'!$J$1244)=0,"",IF(('Dvd Calendar'!$J$1244&gt;=GRID_FROM)*('Dvd Calendar'!$J$1244&lt;=GRID_TO)*('Dvd Calendar'!$J$1244&gt;VAL_DATE)=0,"",'Dvd Calendar'!$J$1244*1000000000+ISNUMBER('Dvd Calendar'!$J$1245)*100000000+0*10000000+(N('Dvd Calendar'!$J$1243)&gt;0)*(N('Dvd Calendar'!$J$1243)&lt;=VAL_SERIAL)*1000000+12*1000+46))</f>
        <v/>
      </c>
      <c r="FY127" s="39">
        <f>IF(N('Dvd Calendar'!$K$1244)=0,"",IF(('Dvd Calendar'!$K$1244&gt;=GRID_FROM)*('Dvd Calendar'!$K$1244&lt;=GRID_TO)*('Dvd Calendar'!$K$1244&gt;VAL_DATE)=0,"",'Dvd Calendar'!$K$1244*1000000000+ISNUMBER('Dvd Calendar'!$K$1245)*100000000+0*10000000+(N('Dvd Calendar'!$K$1243)&gt;0)*(N('Dvd Calendar'!$K$1243)&lt;=VAL_SERIAL)*1000000+12*1000+47))</f>
        <v/>
      </c>
      <c r="FZ127" s="39">
        <f>IF(N('Dvd Calendar'!$L$1244)=0,"",IF(('Dvd Calendar'!$L$1244&gt;=GRID_FROM)*('Dvd Calendar'!$L$1244&lt;=GRID_TO)*('Dvd Calendar'!$L$1244&gt;VAL_DATE)=0,"",'Dvd Calendar'!$L$1244*1000000000+ISNUMBER('Dvd Calendar'!$L$1245)*100000000+0*10000000+(N('Dvd Calendar'!$L$1243)&gt;0)*(N('Dvd Calendar'!$L$1243)&lt;=VAL_SERIAL)*1000000+12*1000+48))</f>
        <v/>
      </c>
      <c r="GA127" s="39">
        <f>IF(N('Dvd Calendar'!$M$1244)=0,"",IF(('Dvd Calendar'!$M$1244&gt;=GRID_FROM)*('Dvd Calendar'!$M$1244&lt;=GRID_TO)*('Dvd Calendar'!$M$1244&gt;VAL_DATE)=0,"",'Dvd Calendar'!$M$1244*1000000000+ISNUMBER('Dvd Calendar'!$M$1245)*100000000+0*10000000+(N('Dvd Calendar'!$M$1243)&gt;0)*(N('Dvd Calendar'!$M$1243)&lt;=VAL_SERIAL)*1000000+12*1000+49))</f>
        <v/>
      </c>
      <c r="GB127" s="39">
        <f>IF(N('Dvd Calendar'!$N$1244)=0,"",IF(('Dvd Calendar'!$N$1244&gt;=GRID_FROM)*('Dvd Calendar'!$N$1244&lt;=GRID_TO)*('Dvd Calendar'!$N$1244&gt;VAL_DATE)=0,"",'Dvd Calendar'!$N$1244*1000000000+ISNUMBER('Dvd Calendar'!$N$1245)*100000000+0*10000000+(N('Dvd Calendar'!$N$1243)&gt;0)*(N('Dvd Calendar'!$N$1243)&lt;=VAL_SERIAL)*1000000+12*1000+50))</f>
        <v/>
      </c>
      <c r="GC127" s="39">
        <f>IF(N('Dvd Calendar'!$O$1244)=0,"",IF(('Dvd Calendar'!$O$1244&gt;=GRID_FROM)*('Dvd Calendar'!$O$1244&lt;=GRID_TO)*('Dvd Calendar'!$O$1244&gt;VAL_DATE)=0,"",'Dvd Calendar'!$O$1244*1000000000+ISNUMBER('Dvd Calendar'!$O$1245)*100000000+0*10000000+(N('Dvd Calendar'!$O$1243)&gt;0)*(N('Dvd Calendar'!$O$1243)&lt;=VAL_SERIAL)*1000000+12*1000+51))</f>
        <v/>
      </c>
      <c r="GD127" s="39">
        <f>IF(N('Dvd Calendar'!$P$1244)=0,"",IF(('Dvd Calendar'!$P$1244&gt;=GRID_FROM)*('Dvd Calendar'!$P$1244&lt;=GRID_TO)*('Dvd Calendar'!$P$1244&gt;VAL_DATE)=0,"",'Dvd Calendar'!$P$1244*1000000000+ISNUMBER('Dvd Calendar'!$P$1245)*100000000+0*10000000+(N('Dvd Calendar'!$P$1243)&gt;0)*(N('Dvd Calendar'!$P$1243)&lt;=VAL_SERIAL)*1000000+12*1000+52))</f>
        <v/>
      </c>
      <c r="GE127" s="39">
        <f>IF(N('Dvd Calendar'!$Q$1244)=0,"",IF(('Dvd Calendar'!$Q$1244&gt;=GRID_FROM)*('Dvd Calendar'!$Q$1244&lt;=GRID_TO)*('Dvd Calendar'!$Q$1244&gt;VAL_DATE)=0,"",'Dvd Calendar'!$Q$1244*1000000000+ISNUMBER('Dvd Calendar'!$Q$1245)*100000000+0*10000000+(N('Dvd Calendar'!$Q$1243)&gt;0)*(N('Dvd Calendar'!$Q$1243)&lt;=VAL_SERIAL)*1000000+12*1000+53))</f>
        <v/>
      </c>
      <c r="GF127" s="39">
        <f>IF(N('Dvd Calendar'!$R$1244)=0,"",IF(('Dvd Calendar'!$R$1244&gt;=GRID_FROM)*('Dvd Calendar'!$R$1244&lt;=GRID_TO)*('Dvd Calendar'!$R$1244&gt;VAL_DATE)=0,"",'Dvd Calendar'!$R$1244*1000000000+ISNUMBER('Dvd Calendar'!$R$1245)*100000000+0*10000000+(N('Dvd Calendar'!$R$1243)&gt;0)*(N('Dvd Calendar'!$R$1243)&lt;=VAL_SERIAL)*1000000+12*1000+54))</f>
        <v/>
      </c>
      <c r="GG127" s="39">
        <f>IF(N('Dvd Calendar'!$S$1244)=0,"",IF(('Dvd Calendar'!$S$1244&gt;=GRID_FROM)*('Dvd Calendar'!$S$1244&lt;=GRID_TO)*('Dvd Calendar'!$S$1244&gt;VAL_DATE)=0,"",'Dvd Calendar'!$S$1244*1000000000+ISNUMBER('Dvd Calendar'!$S$1245)*100000000+0*10000000+(N('Dvd Calendar'!$S$1243)&gt;0)*(N('Dvd Calendar'!$S$1243)&lt;=VAL_SERIAL)*1000000+12*1000+55))</f>
        <v/>
      </c>
      <c r="GH127" s="39">
        <f>IF(N('Dvd Calendar'!$T$1244)=0,"",IF(('Dvd Calendar'!$T$1244&gt;=GRID_FROM)*('Dvd Calendar'!$T$1244&lt;=GRID_TO)*('Dvd Calendar'!$T$1244&gt;VAL_DATE)=0,"",'Dvd Calendar'!$T$1244*1000000000+ISNUMBER('Dvd Calendar'!$T$1245)*100000000+0*10000000+(N('Dvd Calendar'!$T$1243)&gt;0)*(N('Dvd Calendar'!$T$1243)&lt;=VAL_SERIAL)*1000000+12*1000+56))</f>
        <v/>
      </c>
      <c r="GI127" s="39">
        <f>IF(N('Dvd Calendar'!$U$1244)=0,"",IF(('Dvd Calendar'!$U$1244&gt;=GRID_FROM)*('Dvd Calendar'!$U$1244&lt;=GRID_TO)*('Dvd Calendar'!$U$1244&gt;VAL_DATE)=0,"",'Dvd Calendar'!$U$1244*1000000000+ISNUMBER('Dvd Calendar'!$U$1245)*100000000+0*10000000+(N('Dvd Calendar'!$U$1243)&gt;0)*(N('Dvd Calendar'!$U$1243)&lt;=VAL_SERIAL)*1000000+12*1000+57))</f>
        <v/>
      </c>
      <c r="GJ127" s="39">
        <f>IF(N('Dvd Calendar'!$V$1244)=0,"",IF(('Dvd Calendar'!$V$1244&gt;=GRID_FROM)*('Dvd Calendar'!$V$1244&lt;=GRID_TO)*('Dvd Calendar'!$V$1244&gt;VAL_DATE)=0,"",'Dvd Calendar'!$V$1244*1000000000+ISNUMBER('Dvd Calendar'!$V$1245)*100000000+0*10000000+(N('Dvd Calendar'!$V$1243)&gt;0)*(N('Dvd Calendar'!$V$1243)&lt;=VAL_SERIAL)*1000000+12*1000+58))</f>
        <v/>
      </c>
      <c r="GK127" s="39">
        <f>IF(N('Dvd Calendar'!$W$1244)=0,"",IF(('Dvd Calendar'!$W$1244&gt;=GRID_FROM)*('Dvd Calendar'!$W$1244&lt;=GRID_TO)*('Dvd Calendar'!$W$1244&gt;VAL_DATE)=0,"",'Dvd Calendar'!$W$1244*1000000000+ISNUMBER('Dvd Calendar'!$W$1245)*100000000+0*10000000+(N('Dvd Calendar'!$W$1243)&gt;0)*(N('Dvd Calendar'!$W$1243)&lt;=VAL_SERIAL)*1000000+12*1000+59))</f>
        <v/>
      </c>
      <c r="GL127" s="39">
        <f>IF(N('Dvd Calendar'!$X$1244)=0,"",IF(('Dvd Calendar'!$X$1244&gt;=GRID_FROM)*('Dvd Calendar'!$X$1244&lt;=GRID_TO)*('Dvd Calendar'!$X$1244&gt;VAL_DATE)=0,"",'Dvd Calendar'!$X$1244*1000000000+ISNUMBER('Dvd Calendar'!$X$1245)*100000000+0*10000000+(N('Dvd Calendar'!$X$1243)&gt;0)*(N('Dvd Calendar'!$X$1243)&lt;=VAL_SERIAL)*1000000+12*1000+60))</f>
        <v/>
      </c>
      <c r="GM127" s="39">
        <f>IF(N('Dvd Calendar'!$Y$1244)=0,"",IF(('Dvd Calendar'!$Y$1244&gt;=GRID_FROM)*('Dvd Calendar'!$Y$1244&lt;=GRID_TO)*('Dvd Calendar'!$Y$1244&gt;VAL_DATE)=0,"",'Dvd Calendar'!$Y$1244*1000000000+ISNUMBER('Dvd Calendar'!$Y$1245)*100000000+0*10000000+(N('Dvd Calendar'!$Y$1243)&gt;0)*(N('Dvd Calendar'!$Y$1243)&lt;=VAL_SERIAL)*1000000+12*1000+61))</f>
        <v/>
      </c>
      <c r="GN127" s="39">
        <f>IF(N('Dvd Calendar'!$Z$1244)=0,"",IF(('Dvd Calendar'!$Z$1244&gt;=GRID_FROM)*('Dvd Calendar'!$Z$1244&lt;=GRID_TO)*('Dvd Calendar'!$Z$1244&gt;VAL_DATE)=0,"",'Dvd Calendar'!$Z$1244*1000000000+ISNUMBER('Dvd Calendar'!$Z$1245)*100000000+0*10000000+(N('Dvd Calendar'!$Z$1243)&gt;0)*(N('Dvd Calendar'!$Z$1243)&lt;=VAL_SERIAL)*1000000+12*1000+62))</f>
        <v/>
      </c>
      <c r="GO127" s="39">
        <f>IF(N('Dvd Calendar'!$AA$1244)=0,"",IF(('Dvd Calendar'!$AA$1244&gt;=GRID_FROM)*('Dvd Calendar'!$AA$1244&lt;=GRID_TO)*('Dvd Calendar'!$AA$1244&gt;VAL_DATE)=0,"",'Dvd Calendar'!$AA$1244*1000000000+ISNUMBER('Dvd Calendar'!$AA$1245)*100000000+0*10000000+(N('Dvd Calendar'!$AA$1243)&gt;0)*(N('Dvd Calendar'!$AA$1243)&lt;=VAL_SERIAL)*1000000+12*1000+63))</f>
        <v/>
      </c>
      <c r="GP127" s="39">
        <f>IF(N('Dvd Calendar'!$AB$1244)=0,"",IF(('Dvd Calendar'!$AB$1244&gt;=GRID_FROM)*('Dvd Calendar'!$AB$1244&lt;=GRID_TO)*('Dvd Calendar'!$AB$1244&gt;VAL_DATE)=0,"",'Dvd Calendar'!$AB$1244*1000000000+ISNUMBER('Dvd Calendar'!$AB$1245)*100000000+0*10000000+(N('Dvd Calendar'!$AB$1243)&gt;0)*(N('Dvd Calendar'!$AB$1243)&lt;=VAL_SERIAL)*1000000+12*1000+64))</f>
        <v/>
      </c>
      <c r="GQ127" s="39">
        <f>IF(N('Dvd Calendar'!$AC$1244)=0,"",IF(('Dvd Calendar'!$AC$1244&gt;=GRID_FROM)*('Dvd Calendar'!$AC$1244&lt;=GRID_TO)*('Dvd Calendar'!$AC$1244&gt;VAL_DATE)=0,"",'Dvd Calendar'!$AC$1244*1000000000+ISNUMBER('Dvd Calendar'!$AC$1245)*100000000+0*10000000+(N('Dvd Calendar'!$AC$1243)&gt;0)*(N('Dvd Calendar'!$AC$1243)&lt;=VAL_SERIAL)*1000000+12*1000+65))</f>
        <v/>
      </c>
    </row>
    <row r="128">
      <c r="B128" s="2">
        <f>IF(HSTECH!$C$19="","",HSTECH!$C$19)</f>
        <v/>
      </c>
      <c r="C128" s="110">
        <f>IF(EE128="","",IF(ISNUMBER('Dvd Calendar'!$E$1251)=FALSE,"",IF((('Dvd Calendar'!$E$1253=TYPE1)*(TYPE1&lt;&gt;"")+('Dvd Calendar'!$E$1253=TYPE2)*(TYPE2&lt;&gt;"")+('Dvd Calendar'!$E$1253=TYPE3)*(TYPE3&lt;&gt;"")+('Dvd Calendar'!$E$1253=TYPE4)*(TYPE4&lt;&gt;"")+('Dvd Calendar'!$E$1253=SPECIAL_LBL)*(INC_SPECIALS="Y"))=0,"",'Dvd Calendar'!$E$1251)))</f>
        <v/>
      </c>
      <c r="D128" s="110">
        <f>IF(EF128="","",IF(ISNUMBER('Dvd Calendar'!$F$1251)=FALSE,"",IF((('Dvd Calendar'!$F$1253=TYPE1)*(TYPE1&lt;&gt;"")+('Dvd Calendar'!$F$1253=TYPE2)*(TYPE2&lt;&gt;"")+('Dvd Calendar'!$F$1253=TYPE3)*(TYPE3&lt;&gt;"")+('Dvd Calendar'!$F$1253=TYPE4)*(TYPE4&lt;&gt;"")+('Dvd Calendar'!$F$1253=SPECIAL_LBL)*(INC_SPECIALS="Y"))=0,"",'Dvd Calendar'!$F$1251)))</f>
        <v/>
      </c>
      <c r="E128" s="110">
        <f>IF(EG128="","",IF(ISNUMBER('Dvd Calendar'!$G$1251)=FALSE,"",IF((('Dvd Calendar'!$G$1253=TYPE1)*(TYPE1&lt;&gt;"")+('Dvd Calendar'!$G$1253=TYPE2)*(TYPE2&lt;&gt;"")+('Dvd Calendar'!$G$1253=TYPE3)*(TYPE3&lt;&gt;"")+('Dvd Calendar'!$G$1253=TYPE4)*(TYPE4&lt;&gt;"")+('Dvd Calendar'!$G$1253=SPECIAL_LBL)*(INC_SPECIALS="Y"))=0,"",'Dvd Calendar'!$G$1251)))</f>
        <v/>
      </c>
      <c r="F128" s="110">
        <f>IF(EH128="","",IF(ISNUMBER('Dvd Calendar'!$H$1251)=FALSE,"",IF((('Dvd Calendar'!$H$1253=TYPE1)*(TYPE1&lt;&gt;"")+('Dvd Calendar'!$H$1253=TYPE2)*(TYPE2&lt;&gt;"")+('Dvd Calendar'!$H$1253=TYPE3)*(TYPE3&lt;&gt;"")+('Dvd Calendar'!$H$1253=TYPE4)*(TYPE4&lt;&gt;"")+('Dvd Calendar'!$H$1253=SPECIAL_LBL)*(INC_SPECIALS="Y"))=0,"",'Dvd Calendar'!$H$1251)))</f>
        <v/>
      </c>
      <c r="G128" s="110">
        <f>IF(EI128="","",IF(ISNUMBER('Dvd Calendar'!$I$1251)=FALSE,"",IF((('Dvd Calendar'!$I$1253=TYPE1)*(TYPE1&lt;&gt;"")+('Dvd Calendar'!$I$1253=TYPE2)*(TYPE2&lt;&gt;"")+('Dvd Calendar'!$I$1253=TYPE3)*(TYPE3&lt;&gt;"")+('Dvd Calendar'!$I$1253=TYPE4)*(TYPE4&lt;&gt;"")+('Dvd Calendar'!$I$1253=SPECIAL_LBL)*(INC_SPECIALS="Y"))=0,"",'Dvd Calendar'!$I$1251)))</f>
        <v/>
      </c>
      <c r="H128" s="110">
        <f>IF(EJ128="","",IF(ISNUMBER('Dvd Calendar'!$J$1251)=FALSE,"",IF((('Dvd Calendar'!$J$1253=TYPE1)*(TYPE1&lt;&gt;"")+('Dvd Calendar'!$J$1253=TYPE2)*(TYPE2&lt;&gt;"")+('Dvd Calendar'!$J$1253=TYPE3)*(TYPE3&lt;&gt;"")+('Dvd Calendar'!$J$1253=TYPE4)*(TYPE4&lt;&gt;"")+('Dvd Calendar'!$J$1253=SPECIAL_LBL)*(INC_SPECIALS="Y"))=0,"",'Dvd Calendar'!$J$1251)))</f>
        <v/>
      </c>
      <c r="I128" s="110">
        <f>IF(EK128="","",IF(ISNUMBER('Dvd Calendar'!$K$1251)=FALSE,"",IF((('Dvd Calendar'!$K$1253=TYPE1)*(TYPE1&lt;&gt;"")+('Dvd Calendar'!$K$1253=TYPE2)*(TYPE2&lt;&gt;"")+('Dvd Calendar'!$K$1253=TYPE3)*(TYPE3&lt;&gt;"")+('Dvd Calendar'!$K$1253=TYPE4)*(TYPE4&lt;&gt;"")+('Dvd Calendar'!$K$1253=SPECIAL_LBL)*(INC_SPECIALS="Y"))=0,"",'Dvd Calendar'!$K$1251)))</f>
        <v/>
      </c>
      <c r="J128" s="110">
        <f>IF(EL128="","",IF(ISNUMBER('Dvd Calendar'!$L$1251)=FALSE,"",IF((('Dvd Calendar'!$L$1253=TYPE1)*(TYPE1&lt;&gt;"")+('Dvd Calendar'!$L$1253=TYPE2)*(TYPE2&lt;&gt;"")+('Dvd Calendar'!$L$1253=TYPE3)*(TYPE3&lt;&gt;"")+('Dvd Calendar'!$L$1253=TYPE4)*(TYPE4&lt;&gt;"")+('Dvd Calendar'!$L$1253=SPECIAL_LBL)*(INC_SPECIALS="Y"))=0,"",'Dvd Calendar'!$L$1251)))</f>
        <v/>
      </c>
      <c r="K128" s="110">
        <f>IF(EM128="","",IF(ISNUMBER('Dvd Calendar'!$M$1251)=FALSE,"",IF((('Dvd Calendar'!$M$1253=TYPE1)*(TYPE1&lt;&gt;"")+('Dvd Calendar'!$M$1253=TYPE2)*(TYPE2&lt;&gt;"")+('Dvd Calendar'!$M$1253=TYPE3)*(TYPE3&lt;&gt;"")+('Dvd Calendar'!$M$1253=TYPE4)*(TYPE4&lt;&gt;"")+('Dvd Calendar'!$M$1253=SPECIAL_LBL)*(INC_SPECIALS="Y"))=0,"",'Dvd Calendar'!$M$1251)))</f>
        <v/>
      </c>
      <c r="L128" s="110">
        <f>IF(EN128="","",IF(ISNUMBER('Dvd Calendar'!$N$1251)=FALSE,"",IF((('Dvd Calendar'!$N$1253=TYPE1)*(TYPE1&lt;&gt;"")+('Dvd Calendar'!$N$1253=TYPE2)*(TYPE2&lt;&gt;"")+('Dvd Calendar'!$N$1253=TYPE3)*(TYPE3&lt;&gt;"")+('Dvd Calendar'!$N$1253=TYPE4)*(TYPE4&lt;&gt;"")+('Dvd Calendar'!$N$1253=SPECIAL_LBL)*(INC_SPECIALS="Y"))=0,"",'Dvd Calendar'!$N$1251)))</f>
        <v/>
      </c>
      <c r="M128" s="110">
        <f>IF(EO128="","",IF(ISNUMBER('Dvd Calendar'!$O$1251)=FALSE,"",IF((('Dvd Calendar'!$O$1253=TYPE1)*(TYPE1&lt;&gt;"")+('Dvd Calendar'!$O$1253=TYPE2)*(TYPE2&lt;&gt;"")+('Dvd Calendar'!$O$1253=TYPE3)*(TYPE3&lt;&gt;"")+('Dvd Calendar'!$O$1253=TYPE4)*(TYPE4&lt;&gt;"")+('Dvd Calendar'!$O$1253=SPECIAL_LBL)*(INC_SPECIALS="Y"))=0,"",'Dvd Calendar'!$O$1251)))</f>
        <v/>
      </c>
      <c r="N128" s="110">
        <f>IF(EP128="","",IF(ISNUMBER('Dvd Calendar'!$P$1251)=FALSE,"",IF((('Dvd Calendar'!$P$1253=TYPE1)*(TYPE1&lt;&gt;"")+('Dvd Calendar'!$P$1253=TYPE2)*(TYPE2&lt;&gt;"")+('Dvd Calendar'!$P$1253=TYPE3)*(TYPE3&lt;&gt;"")+('Dvd Calendar'!$P$1253=TYPE4)*(TYPE4&lt;&gt;"")+('Dvd Calendar'!$P$1253=SPECIAL_LBL)*(INC_SPECIALS="Y"))=0,"",'Dvd Calendar'!$P$1251)))</f>
        <v/>
      </c>
      <c r="O128" s="110">
        <f>IF(EQ128="","",IF(ISNUMBER('Dvd Calendar'!$Q$1251)=FALSE,"",IF((('Dvd Calendar'!$Q$1253=TYPE1)*(TYPE1&lt;&gt;"")+('Dvd Calendar'!$Q$1253=TYPE2)*(TYPE2&lt;&gt;"")+('Dvd Calendar'!$Q$1253=TYPE3)*(TYPE3&lt;&gt;"")+('Dvd Calendar'!$Q$1253=TYPE4)*(TYPE4&lt;&gt;"")+('Dvd Calendar'!$Q$1253=SPECIAL_LBL)*(INC_SPECIALS="Y"))=0,"",'Dvd Calendar'!$Q$1251)))</f>
        <v/>
      </c>
      <c r="P128" s="110">
        <f>IF(ER128="","",IF(ISNUMBER('Dvd Calendar'!$R$1251)=FALSE,"",IF((('Dvd Calendar'!$R$1253=TYPE1)*(TYPE1&lt;&gt;"")+('Dvd Calendar'!$R$1253=TYPE2)*(TYPE2&lt;&gt;"")+('Dvd Calendar'!$R$1253=TYPE3)*(TYPE3&lt;&gt;"")+('Dvd Calendar'!$R$1253=TYPE4)*(TYPE4&lt;&gt;"")+('Dvd Calendar'!$R$1253=SPECIAL_LBL)*(INC_SPECIALS="Y"))=0,"",'Dvd Calendar'!$R$1251)))</f>
        <v/>
      </c>
      <c r="Q128" s="110">
        <f>IF(ES128="","",IF(ISNUMBER('Dvd Calendar'!$S$1251)=FALSE,"",IF((('Dvd Calendar'!$S$1253=TYPE1)*(TYPE1&lt;&gt;"")+('Dvd Calendar'!$S$1253=TYPE2)*(TYPE2&lt;&gt;"")+('Dvd Calendar'!$S$1253=TYPE3)*(TYPE3&lt;&gt;"")+('Dvd Calendar'!$S$1253=TYPE4)*(TYPE4&lt;&gt;"")+('Dvd Calendar'!$S$1253=SPECIAL_LBL)*(INC_SPECIALS="Y"))=0,"",'Dvd Calendar'!$S$1251)))</f>
        <v/>
      </c>
      <c r="R128" s="110">
        <f>IF(ET128="","",IF(ISNUMBER('Dvd Calendar'!$T$1251)=FALSE,"",IF((('Dvd Calendar'!$T$1253=TYPE1)*(TYPE1&lt;&gt;"")+('Dvd Calendar'!$T$1253=TYPE2)*(TYPE2&lt;&gt;"")+('Dvd Calendar'!$T$1253=TYPE3)*(TYPE3&lt;&gt;"")+('Dvd Calendar'!$T$1253=TYPE4)*(TYPE4&lt;&gt;"")+('Dvd Calendar'!$T$1253=SPECIAL_LBL)*(INC_SPECIALS="Y"))=0,"",'Dvd Calendar'!$T$1251)))</f>
        <v/>
      </c>
      <c r="S128" s="110">
        <f>IF(EU128="","",IF(ISNUMBER('Dvd Calendar'!$U$1251)=FALSE,"",IF((('Dvd Calendar'!$U$1253=TYPE1)*(TYPE1&lt;&gt;"")+('Dvd Calendar'!$U$1253=TYPE2)*(TYPE2&lt;&gt;"")+('Dvd Calendar'!$U$1253=TYPE3)*(TYPE3&lt;&gt;"")+('Dvd Calendar'!$U$1253=TYPE4)*(TYPE4&lt;&gt;"")+('Dvd Calendar'!$U$1253=SPECIAL_LBL)*(INC_SPECIALS="Y"))=0,"",'Dvd Calendar'!$U$1251)))</f>
        <v/>
      </c>
      <c r="T128" s="110">
        <f>IF(EV128="","",IF(ISNUMBER('Dvd Calendar'!$V$1251)=FALSE,"",IF((('Dvd Calendar'!$V$1253=TYPE1)*(TYPE1&lt;&gt;"")+('Dvd Calendar'!$V$1253=TYPE2)*(TYPE2&lt;&gt;"")+('Dvd Calendar'!$V$1253=TYPE3)*(TYPE3&lt;&gt;"")+('Dvd Calendar'!$V$1253=TYPE4)*(TYPE4&lt;&gt;"")+('Dvd Calendar'!$V$1253=SPECIAL_LBL)*(INC_SPECIALS="Y"))=0,"",'Dvd Calendar'!$V$1251)))</f>
        <v/>
      </c>
      <c r="U128" s="110">
        <f>IF(EW128="","",IF(ISNUMBER('Dvd Calendar'!$W$1251)=FALSE,"",IF((('Dvd Calendar'!$W$1253=TYPE1)*(TYPE1&lt;&gt;"")+('Dvd Calendar'!$W$1253=TYPE2)*(TYPE2&lt;&gt;"")+('Dvd Calendar'!$W$1253=TYPE3)*(TYPE3&lt;&gt;"")+('Dvd Calendar'!$W$1253=TYPE4)*(TYPE4&lt;&gt;"")+('Dvd Calendar'!$W$1253=SPECIAL_LBL)*(INC_SPECIALS="Y"))=0,"",'Dvd Calendar'!$W$1251)))</f>
        <v/>
      </c>
      <c r="V128" s="110">
        <f>IF(EX128="","",IF(ISNUMBER('Dvd Calendar'!$X$1251)=FALSE,"",IF((('Dvd Calendar'!$X$1253=TYPE1)*(TYPE1&lt;&gt;"")+('Dvd Calendar'!$X$1253=TYPE2)*(TYPE2&lt;&gt;"")+('Dvd Calendar'!$X$1253=TYPE3)*(TYPE3&lt;&gt;"")+('Dvd Calendar'!$X$1253=TYPE4)*(TYPE4&lt;&gt;"")+('Dvd Calendar'!$X$1253=SPECIAL_LBL)*(INC_SPECIALS="Y"))=0,"",'Dvd Calendar'!$X$1251)))</f>
        <v/>
      </c>
      <c r="W128" s="110">
        <f>IF(EY128="","",IF(ISNUMBER('Dvd Calendar'!$Y$1251)=FALSE,"",IF((('Dvd Calendar'!$Y$1253=TYPE1)*(TYPE1&lt;&gt;"")+('Dvd Calendar'!$Y$1253=TYPE2)*(TYPE2&lt;&gt;"")+('Dvd Calendar'!$Y$1253=TYPE3)*(TYPE3&lt;&gt;"")+('Dvd Calendar'!$Y$1253=TYPE4)*(TYPE4&lt;&gt;"")+('Dvd Calendar'!$Y$1253=SPECIAL_LBL)*(INC_SPECIALS="Y"))=0,"",'Dvd Calendar'!$Y$1251)))</f>
        <v/>
      </c>
      <c r="X128" s="110">
        <f>IF(EZ128="","",IF(ISNUMBER('Dvd Calendar'!$Z$1251)=FALSE,"",IF((('Dvd Calendar'!$Z$1253=TYPE1)*(TYPE1&lt;&gt;"")+('Dvd Calendar'!$Z$1253=TYPE2)*(TYPE2&lt;&gt;"")+('Dvd Calendar'!$Z$1253=TYPE3)*(TYPE3&lt;&gt;"")+('Dvd Calendar'!$Z$1253=TYPE4)*(TYPE4&lt;&gt;"")+('Dvd Calendar'!$Z$1253=SPECIAL_LBL)*(INC_SPECIALS="Y"))=0,"",'Dvd Calendar'!$Z$1251)))</f>
        <v/>
      </c>
      <c r="Y128" s="110">
        <f>IF(FA128="","",IF(ISNUMBER('Dvd Calendar'!$AA$1251)=FALSE,"",IF((('Dvd Calendar'!$AA$1253=TYPE1)*(TYPE1&lt;&gt;"")+('Dvd Calendar'!$AA$1253=TYPE2)*(TYPE2&lt;&gt;"")+('Dvd Calendar'!$AA$1253=TYPE3)*(TYPE3&lt;&gt;"")+('Dvd Calendar'!$AA$1253=TYPE4)*(TYPE4&lt;&gt;"")+('Dvd Calendar'!$AA$1253=SPECIAL_LBL)*(INC_SPECIALS="Y"))=0,"",'Dvd Calendar'!$AA$1251)))</f>
        <v/>
      </c>
      <c r="Z128" s="110">
        <f>IF(FB128="","",IF(ISNUMBER('Dvd Calendar'!$AB$1251)=FALSE,"",IF((('Dvd Calendar'!$AB$1253=TYPE1)*(TYPE1&lt;&gt;"")+('Dvd Calendar'!$AB$1253=TYPE2)*(TYPE2&lt;&gt;"")+('Dvd Calendar'!$AB$1253=TYPE3)*(TYPE3&lt;&gt;"")+('Dvd Calendar'!$AB$1253=TYPE4)*(TYPE4&lt;&gt;"")+('Dvd Calendar'!$AB$1253=SPECIAL_LBL)*(INC_SPECIALS="Y"))=0,"",'Dvd Calendar'!$AB$1251)))</f>
        <v/>
      </c>
      <c r="AA128" s="110">
        <f>IF(FC128="","",IF(ISNUMBER('Dvd Calendar'!$AC$1251)=FALSE,"",IF((('Dvd Calendar'!$AC$1253=TYPE1)*(TYPE1&lt;&gt;"")+('Dvd Calendar'!$AC$1253=TYPE2)*(TYPE2&lt;&gt;"")+('Dvd Calendar'!$AC$1253=TYPE3)*(TYPE3&lt;&gt;"")+('Dvd Calendar'!$AC$1253=TYPE4)*(TYPE4&lt;&gt;"")+('Dvd Calendar'!$AC$1253=SPECIAL_LBL)*(INC_SPECIALS="Y"))=0,"",'Dvd Calendar'!$AC$1251)))</f>
        <v/>
      </c>
      <c r="AB128" s="110">
        <f>IF(FD128="","",IF(ISNUMBER('Dvd Calendar'!$AD$1251)=FALSE,"",IF((('Dvd Calendar'!$AD$1253=TYPE1)*(TYPE1&lt;&gt;"")+('Dvd Calendar'!$AD$1253=TYPE2)*(TYPE2&lt;&gt;"")+('Dvd Calendar'!$AD$1253=TYPE3)*(TYPE3&lt;&gt;"")+('Dvd Calendar'!$AD$1253=TYPE4)*(TYPE4&lt;&gt;"")+('Dvd Calendar'!$AD$1253=SPECIAL_LBL)*(INC_SPECIALS="Y"))=0,"",'Dvd Calendar'!$AD$1251)))</f>
        <v/>
      </c>
      <c r="AC128" s="110">
        <f>IF(FE128="","",IF(ISNUMBER('Dvd Calendar'!$AE$1251)=FALSE,"",IF((('Dvd Calendar'!$AE$1253=TYPE1)*(TYPE1&lt;&gt;"")+('Dvd Calendar'!$AE$1253=TYPE2)*(TYPE2&lt;&gt;"")+('Dvd Calendar'!$AE$1253=TYPE3)*(TYPE3&lt;&gt;"")+('Dvd Calendar'!$AE$1253=TYPE4)*(TYPE4&lt;&gt;"")+('Dvd Calendar'!$AE$1253=SPECIAL_LBL)*(INC_SPECIALS="Y"))=0,"",'Dvd Calendar'!$AE$1251)))</f>
        <v/>
      </c>
      <c r="AD128" s="110">
        <f>IF(FF128="","",IF(ISNUMBER('Dvd Calendar'!$AF$1251)=FALSE,"",IF((('Dvd Calendar'!$AF$1253=TYPE1)*(TYPE1&lt;&gt;"")+('Dvd Calendar'!$AF$1253=TYPE2)*(TYPE2&lt;&gt;"")+('Dvd Calendar'!$AF$1253=TYPE3)*(TYPE3&lt;&gt;"")+('Dvd Calendar'!$AF$1253=TYPE4)*(TYPE4&lt;&gt;"")+('Dvd Calendar'!$AF$1253=SPECIAL_LBL)*(INC_SPECIALS="Y"))=0,"",'Dvd Calendar'!$AF$1251)))</f>
        <v/>
      </c>
      <c r="AE128" s="110">
        <f>IF(FG128="","",IF(ISNUMBER('Dvd Calendar'!$AG$1251)=FALSE,"",IF((('Dvd Calendar'!$AG$1253=TYPE1)*(TYPE1&lt;&gt;"")+('Dvd Calendar'!$AG$1253=TYPE2)*(TYPE2&lt;&gt;"")+('Dvd Calendar'!$AG$1253=TYPE3)*(TYPE3&lt;&gt;"")+('Dvd Calendar'!$AG$1253=TYPE4)*(TYPE4&lt;&gt;"")+('Dvd Calendar'!$AG$1253=SPECIAL_LBL)*(INC_SPECIALS="Y"))=0,"",'Dvd Calendar'!$AG$1251)))</f>
        <v/>
      </c>
      <c r="AF128" s="110">
        <f>IF(FH128="","",IF(ISNUMBER('Dvd Calendar'!$AH$1251)=FALSE,"",IF((('Dvd Calendar'!$AH$1253=TYPE1)*(TYPE1&lt;&gt;"")+('Dvd Calendar'!$AH$1253=TYPE2)*(TYPE2&lt;&gt;"")+('Dvd Calendar'!$AH$1253=TYPE3)*(TYPE3&lt;&gt;"")+('Dvd Calendar'!$AH$1253=TYPE4)*(TYPE4&lt;&gt;"")+('Dvd Calendar'!$AH$1253=SPECIAL_LBL)*(INC_SPECIALS="Y"))=0,"",'Dvd Calendar'!$AH$1251)))</f>
        <v/>
      </c>
      <c r="AG128" s="110">
        <f>IF(FI128="","",IF(ISNUMBER('Dvd Calendar'!$AI$1251)=FALSE,"",IF((('Dvd Calendar'!$AI$1253=TYPE1)*(TYPE1&lt;&gt;"")+('Dvd Calendar'!$AI$1253=TYPE2)*(TYPE2&lt;&gt;"")+('Dvd Calendar'!$AI$1253=TYPE3)*(TYPE3&lt;&gt;"")+('Dvd Calendar'!$AI$1253=TYPE4)*(TYPE4&lt;&gt;"")+('Dvd Calendar'!$AI$1253=SPECIAL_LBL)*(INC_SPECIALS="Y"))=0,"",'Dvd Calendar'!$AI$1251)))</f>
        <v/>
      </c>
      <c r="AH128" s="110">
        <f>IF(FJ128="","",IF(ISNUMBER('Dvd Calendar'!$AJ$1251)=FALSE,"",IF((('Dvd Calendar'!$AJ$1253=TYPE1)*(TYPE1&lt;&gt;"")+('Dvd Calendar'!$AJ$1253=TYPE2)*(TYPE2&lt;&gt;"")+('Dvd Calendar'!$AJ$1253=TYPE3)*(TYPE3&lt;&gt;"")+('Dvd Calendar'!$AJ$1253=TYPE4)*(TYPE4&lt;&gt;"")+('Dvd Calendar'!$AJ$1253=SPECIAL_LBL)*(INC_SPECIALS="Y"))=0,"",'Dvd Calendar'!$AJ$1251)))</f>
        <v/>
      </c>
      <c r="AI128" s="110">
        <f>IF(FK128="","",IF(ISNUMBER('Dvd Calendar'!$AK$1251)=FALSE,"",IF((('Dvd Calendar'!$AK$1253=TYPE1)*(TYPE1&lt;&gt;"")+('Dvd Calendar'!$AK$1253=TYPE2)*(TYPE2&lt;&gt;"")+('Dvd Calendar'!$AK$1253=TYPE3)*(TYPE3&lt;&gt;"")+('Dvd Calendar'!$AK$1253=TYPE4)*(TYPE4&lt;&gt;"")+('Dvd Calendar'!$AK$1253=SPECIAL_LBL)*(INC_SPECIALS="Y"))=0,"",'Dvd Calendar'!$AK$1251)))</f>
        <v/>
      </c>
      <c r="AJ128" s="110">
        <f>IF(FL128="","",IF(ISNUMBER('Dvd Calendar'!$AL$1251)=FALSE,"",IF((('Dvd Calendar'!$AL$1253=TYPE1)*(TYPE1&lt;&gt;"")+('Dvd Calendar'!$AL$1253=TYPE2)*(TYPE2&lt;&gt;"")+('Dvd Calendar'!$AL$1253=TYPE3)*(TYPE3&lt;&gt;"")+('Dvd Calendar'!$AL$1253=TYPE4)*(TYPE4&lt;&gt;"")+('Dvd Calendar'!$AL$1253=SPECIAL_LBL)*(INC_SPECIALS="Y"))=0,"",'Dvd Calendar'!$AL$1251)))</f>
        <v/>
      </c>
      <c r="AK128" s="110">
        <f>IF(FM128="","",IF(ISNUMBER('Dvd Calendar'!$AM$1251)=FALSE,"",IF((('Dvd Calendar'!$AM$1253=TYPE1)*(TYPE1&lt;&gt;"")+('Dvd Calendar'!$AM$1253=TYPE2)*(TYPE2&lt;&gt;"")+('Dvd Calendar'!$AM$1253=TYPE3)*(TYPE3&lt;&gt;"")+('Dvd Calendar'!$AM$1253=TYPE4)*(TYPE4&lt;&gt;"")+('Dvd Calendar'!$AM$1253=SPECIAL_LBL)*(INC_SPECIALS="Y"))=0,"",'Dvd Calendar'!$AM$1251)))</f>
        <v/>
      </c>
      <c r="AL128" s="110">
        <f>IF(FN128="","",IF(ISNUMBER('Dvd Calendar'!$AN$1251)=FALSE,"",IF((('Dvd Calendar'!$AN$1253=TYPE1)*(TYPE1&lt;&gt;"")+('Dvd Calendar'!$AN$1253=TYPE2)*(TYPE2&lt;&gt;"")+('Dvd Calendar'!$AN$1253=TYPE3)*(TYPE3&lt;&gt;"")+('Dvd Calendar'!$AN$1253=TYPE4)*(TYPE4&lt;&gt;"")+('Dvd Calendar'!$AN$1253=SPECIAL_LBL)*(INC_SPECIALS="Y"))=0,"",'Dvd Calendar'!$AN$1251)))</f>
        <v/>
      </c>
      <c r="AM128" s="110">
        <f>IF(FO128="","",IF(ISNUMBER('Dvd Calendar'!$AO$1251)=FALSE,"",IF((('Dvd Calendar'!$AO$1253=TYPE1)*(TYPE1&lt;&gt;"")+('Dvd Calendar'!$AO$1253=TYPE2)*(TYPE2&lt;&gt;"")+('Dvd Calendar'!$AO$1253=TYPE3)*(TYPE3&lt;&gt;"")+('Dvd Calendar'!$AO$1253=TYPE4)*(TYPE4&lt;&gt;"")+('Dvd Calendar'!$AO$1253=SPECIAL_LBL)*(INC_SPECIALS="Y"))=0,"",'Dvd Calendar'!$AO$1251)))</f>
        <v/>
      </c>
      <c r="AN128" s="110">
        <f>IF(FP128="","",IF(ISNUMBER('Dvd Calendar'!$AP$1251)=FALSE,"",IF((('Dvd Calendar'!$AP$1253=TYPE1)*(TYPE1&lt;&gt;"")+('Dvd Calendar'!$AP$1253=TYPE2)*(TYPE2&lt;&gt;"")+('Dvd Calendar'!$AP$1253=TYPE3)*(TYPE3&lt;&gt;"")+('Dvd Calendar'!$AP$1253=TYPE4)*(TYPE4&lt;&gt;"")+('Dvd Calendar'!$AP$1253=SPECIAL_LBL)*(INC_SPECIALS="Y"))=0,"",'Dvd Calendar'!$AP$1251)))</f>
        <v/>
      </c>
      <c r="AO128" s="110">
        <f>IF(FQ128="","",IF(ISNUMBER('Dvd Calendar'!$AQ$1251)=FALSE,"",IF((('Dvd Calendar'!$AQ$1253=TYPE1)*(TYPE1&lt;&gt;"")+('Dvd Calendar'!$AQ$1253=TYPE2)*(TYPE2&lt;&gt;"")+('Dvd Calendar'!$AQ$1253=TYPE3)*(TYPE3&lt;&gt;"")+('Dvd Calendar'!$AQ$1253=TYPE4)*(TYPE4&lt;&gt;"")+('Dvd Calendar'!$AQ$1253=SPECIAL_LBL)*(INC_SPECIALS="Y"))=0,"",'Dvd Calendar'!$AQ$1251)))</f>
        <v/>
      </c>
      <c r="AP128" s="110">
        <f>IF(FR128="","",IF(ISNUMBER('Dvd Calendar'!$AR$1251)=FALSE,"",IF((('Dvd Calendar'!$AR$1253=TYPE1)*(TYPE1&lt;&gt;"")+('Dvd Calendar'!$AR$1253=TYPE2)*(TYPE2&lt;&gt;"")+('Dvd Calendar'!$AR$1253=TYPE3)*(TYPE3&lt;&gt;"")+('Dvd Calendar'!$AR$1253=TYPE4)*(TYPE4&lt;&gt;"")+('Dvd Calendar'!$AR$1253=SPECIAL_LBL)*(INC_SPECIALS="Y"))=0,"",'Dvd Calendar'!$AR$1251)))</f>
        <v/>
      </c>
      <c r="AQ128" s="110">
        <f>IF(FS128="","",IF(ISNUMBER('Dvd Calendar'!$E$1256)=FALSE,"",'Dvd Calendar'!$E$1256))</f>
        <v/>
      </c>
      <c r="AR128" s="110">
        <f>IF(FT128="","",IF(ISNUMBER('Dvd Calendar'!$F$1256)=FALSE,"",'Dvd Calendar'!$F$1256))</f>
        <v/>
      </c>
      <c r="AS128" s="110">
        <f>IF(FU128="","",IF(ISNUMBER('Dvd Calendar'!$G$1256)=FALSE,"",'Dvd Calendar'!$G$1256))</f>
        <v/>
      </c>
      <c r="AT128" s="110">
        <f>IF(FV128="","",IF(ISNUMBER('Dvd Calendar'!$H$1256)=FALSE,"",'Dvd Calendar'!$H$1256))</f>
        <v/>
      </c>
      <c r="AU128" s="110">
        <f>IF(FW128="","",IF(ISNUMBER('Dvd Calendar'!$I$1256)=FALSE,"",'Dvd Calendar'!$I$1256))</f>
        <v/>
      </c>
      <c r="AV128" s="110">
        <f>IF(FX128="","",IF(ISNUMBER('Dvd Calendar'!$J$1256)=FALSE,"",'Dvd Calendar'!$J$1256))</f>
        <v/>
      </c>
      <c r="AW128" s="110">
        <f>IF(FY128="","",IF(ISNUMBER('Dvd Calendar'!$K$1256)=FALSE,"",'Dvd Calendar'!$K$1256))</f>
        <v/>
      </c>
      <c r="AX128" s="110">
        <f>IF(FZ128="","",IF(ISNUMBER('Dvd Calendar'!$L$1256)=FALSE,"",'Dvd Calendar'!$L$1256))</f>
        <v/>
      </c>
      <c r="AY128" s="110">
        <f>IF(GA128="","",IF(ISNUMBER('Dvd Calendar'!$M$1256)=FALSE,"",'Dvd Calendar'!$M$1256))</f>
        <v/>
      </c>
      <c r="AZ128" s="110">
        <f>IF(GB128="","",IF(ISNUMBER('Dvd Calendar'!$N$1256)=FALSE,"",'Dvd Calendar'!$N$1256))</f>
        <v/>
      </c>
      <c r="BA128" s="110">
        <f>IF(GC128="","",IF(ISNUMBER('Dvd Calendar'!$O$1256)=FALSE,"",'Dvd Calendar'!$O$1256))</f>
        <v/>
      </c>
      <c r="BB128" s="110">
        <f>IF(GD128="","",IF(ISNUMBER('Dvd Calendar'!$P$1256)=FALSE,"",'Dvd Calendar'!$P$1256))</f>
        <v/>
      </c>
      <c r="BC128" s="110">
        <f>IF(GE128="","",IF(ISNUMBER('Dvd Calendar'!$Q$1256)=FALSE,"",'Dvd Calendar'!$Q$1256))</f>
        <v/>
      </c>
      <c r="BD128" s="110">
        <f>IF(GF128="","",IF(ISNUMBER('Dvd Calendar'!$R$1256)=FALSE,"",'Dvd Calendar'!$R$1256))</f>
        <v/>
      </c>
      <c r="BE128" s="110">
        <f>IF(GG128="","",IF(ISNUMBER('Dvd Calendar'!$S$1256)=FALSE,"",'Dvd Calendar'!$S$1256))</f>
        <v/>
      </c>
      <c r="BF128" s="110">
        <f>IF(GH128="","",IF(ISNUMBER('Dvd Calendar'!$T$1256)=FALSE,"",'Dvd Calendar'!$T$1256))</f>
        <v/>
      </c>
      <c r="BG128" s="110">
        <f>IF(GI128="","",IF(ISNUMBER('Dvd Calendar'!$U$1256)=FALSE,"",'Dvd Calendar'!$U$1256))</f>
        <v/>
      </c>
      <c r="BH128" s="110">
        <f>IF(GJ128="","",IF(ISNUMBER('Dvd Calendar'!$V$1256)=FALSE,"",'Dvd Calendar'!$V$1256))</f>
        <v/>
      </c>
      <c r="BI128" s="110">
        <f>IF(GK128="","",IF(ISNUMBER('Dvd Calendar'!$W$1256)=FALSE,"",'Dvd Calendar'!$W$1256))</f>
        <v/>
      </c>
      <c r="BJ128" s="110">
        <f>IF(GL128="","",IF(ISNUMBER('Dvd Calendar'!$X$1256)=FALSE,"",'Dvd Calendar'!$X$1256))</f>
        <v/>
      </c>
      <c r="BK128" s="110">
        <f>IF(GM128="","",IF(ISNUMBER('Dvd Calendar'!$Y$1256)=FALSE,"",'Dvd Calendar'!$Y$1256))</f>
        <v/>
      </c>
      <c r="BL128" s="110">
        <f>IF(GN128="","",IF(ISNUMBER('Dvd Calendar'!$Z$1256)=FALSE,"",'Dvd Calendar'!$Z$1256))</f>
        <v/>
      </c>
      <c r="BM128" s="110">
        <f>IF(GO128="","",IF(ISNUMBER('Dvd Calendar'!$AA$1256)=FALSE,"",'Dvd Calendar'!$AA$1256))</f>
        <v/>
      </c>
      <c r="BN128" s="110">
        <f>IF(GP128="","",IF(ISNUMBER('Dvd Calendar'!$AB$1256)=FALSE,"",'Dvd Calendar'!$AB$1256))</f>
        <v/>
      </c>
      <c r="BO128" s="110">
        <f>IF(GQ128="","",IF(ISNUMBER('Dvd Calendar'!$AC$1256)=FALSE,"",'Dvd Calendar'!$AC$1256))</f>
        <v/>
      </c>
      <c r="BQ128" s="110">
        <f>IF(C128="","",IFERROR(C128*HSTECH!$B$19*HSTECH!$G$19/HSTECH!$B$3,""))</f>
        <v/>
      </c>
      <c r="BR128" s="110">
        <f>IF(D128="","",IFERROR(D128*HSTECH!$B$19*HSTECH!$G$19/HSTECH!$B$3,""))</f>
        <v/>
      </c>
      <c r="BS128" s="110">
        <f>IF(E128="","",IFERROR(E128*HSTECH!$B$19*HSTECH!$G$19/HSTECH!$B$3,""))</f>
        <v/>
      </c>
      <c r="BT128" s="110">
        <f>IF(F128="","",IFERROR(F128*HSTECH!$B$19*HSTECH!$G$19/HSTECH!$B$3,""))</f>
        <v/>
      </c>
      <c r="BU128" s="110">
        <f>IF(G128="","",IFERROR(G128*HSTECH!$B$19*HSTECH!$G$19/HSTECH!$B$3,""))</f>
        <v/>
      </c>
      <c r="BV128" s="110">
        <f>IF(H128="","",IFERROR(H128*HSTECH!$B$19*HSTECH!$G$19/HSTECH!$B$3,""))</f>
        <v/>
      </c>
      <c r="BW128" s="110">
        <f>IF(I128="","",IFERROR(I128*HSTECH!$B$19*HSTECH!$G$19/HSTECH!$B$3,""))</f>
        <v/>
      </c>
      <c r="BX128" s="110">
        <f>IF(J128="","",IFERROR(J128*HSTECH!$B$19*HSTECH!$G$19/HSTECH!$B$3,""))</f>
        <v/>
      </c>
      <c r="BY128" s="110">
        <f>IF(K128="","",IFERROR(K128*HSTECH!$B$19*HSTECH!$G$19/HSTECH!$B$3,""))</f>
        <v/>
      </c>
      <c r="BZ128" s="110">
        <f>IF(L128="","",IFERROR(L128*HSTECH!$B$19*HSTECH!$G$19/HSTECH!$B$3,""))</f>
        <v/>
      </c>
      <c r="CA128" s="110">
        <f>IF(M128="","",IFERROR(M128*HSTECH!$B$19*HSTECH!$G$19/HSTECH!$B$3,""))</f>
        <v/>
      </c>
      <c r="CB128" s="110">
        <f>IF(N128="","",IFERROR(N128*HSTECH!$B$19*HSTECH!$G$19/HSTECH!$B$3,""))</f>
        <v/>
      </c>
      <c r="CC128" s="110">
        <f>IF(O128="","",IFERROR(O128*HSTECH!$B$19*HSTECH!$G$19/HSTECH!$B$3,""))</f>
        <v/>
      </c>
      <c r="CD128" s="110">
        <f>IF(P128="","",IFERROR(P128*HSTECH!$B$19*HSTECH!$G$19/HSTECH!$B$3,""))</f>
        <v/>
      </c>
      <c r="CE128" s="110">
        <f>IF(Q128="","",IFERROR(Q128*HSTECH!$B$19*HSTECH!$G$19/HSTECH!$B$3,""))</f>
        <v/>
      </c>
      <c r="CF128" s="110">
        <f>IF(R128="","",IFERROR(R128*HSTECH!$B$19*HSTECH!$G$19/HSTECH!$B$3,""))</f>
        <v/>
      </c>
      <c r="CG128" s="110">
        <f>IF(S128="","",IFERROR(S128*HSTECH!$B$19*HSTECH!$G$19/HSTECH!$B$3,""))</f>
        <v/>
      </c>
      <c r="CH128" s="110">
        <f>IF(T128="","",IFERROR(T128*HSTECH!$B$19*HSTECH!$G$19/HSTECH!$B$3,""))</f>
        <v/>
      </c>
      <c r="CI128" s="110">
        <f>IF(U128="","",IFERROR(U128*HSTECH!$B$19*HSTECH!$G$19/HSTECH!$B$3,""))</f>
        <v/>
      </c>
      <c r="CJ128" s="110">
        <f>IF(V128="","",IFERROR(V128*HSTECH!$B$19*HSTECH!$G$19/HSTECH!$B$3,""))</f>
        <v/>
      </c>
      <c r="CK128" s="110">
        <f>IF(W128="","",IFERROR(W128*HSTECH!$B$19*HSTECH!$G$19/HSTECH!$B$3,""))</f>
        <v/>
      </c>
      <c r="CL128" s="110">
        <f>IF(X128="","",IFERROR(X128*HSTECH!$B$19*HSTECH!$G$19/HSTECH!$B$3,""))</f>
        <v/>
      </c>
      <c r="CM128" s="110">
        <f>IF(Y128="","",IFERROR(Y128*HSTECH!$B$19*HSTECH!$G$19/HSTECH!$B$3,""))</f>
        <v/>
      </c>
      <c r="CN128" s="110">
        <f>IF(Z128="","",IFERROR(Z128*HSTECH!$B$19*HSTECH!$G$19/HSTECH!$B$3,""))</f>
        <v/>
      </c>
      <c r="CO128" s="110">
        <f>IF(AA128="","",IFERROR(AA128*HSTECH!$B$19*HSTECH!$G$19/HSTECH!$B$3,""))</f>
        <v/>
      </c>
      <c r="CP128" s="110">
        <f>IF(AB128="","",IFERROR(AB128*HSTECH!$B$19*HSTECH!$G$19/HSTECH!$B$3,""))</f>
        <v/>
      </c>
      <c r="CQ128" s="110">
        <f>IF(AC128="","",IFERROR(AC128*HSTECH!$B$19*HSTECH!$G$19/HSTECH!$B$3,""))</f>
        <v/>
      </c>
      <c r="CR128" s="110">
        <f>IF(AD128="","",IFERROR(AD128*HSTECH!$B$19*HSTECH!$G$19/HSTECH!$B$3,""))</f>
        <v/>
      </c>
      <c r="CS128" s="110">
        <f>IF(AE128="","",IFERROR(AE128*HSTECH!$B$19*HSTECH!$G$19/HSTECH!$B$3,""))</f>
        <v/>
      </c>
      <c r="CT128" s="110">
        <f>IF(AF128="","",IFERROR(AF128*HSTECH!$B$19*HSTECH!$G$19/HSTECH!$B$3,""))</f>
        <v/>
      </c>
      <c r="CU128" s="110">
        <f>IF(AG128="","",IFERROR(AG128*HSTECH!$B$19*HSTECH!$G$19/HSTECH!$B$3,""))</f>
        <v/>
      </c>
      <c r="CV128" s="110">
        <f>IF(AH128="","",IFERROR(AH128*HSTECH!$B$19*HSTECH!$G$19/HSTECH!$B$3,""))</f>
        <v/>
      </c>
      <c r="CW128" s="110">
        <f>IF(AI128="","",IFERROR(AI128*HSTECH!$B$19*HSTECH!$G$19/HSTECH!$B$3,""))</f>
        <v/>
      </c>
      <c r="CX128" s="110">
        <f>IF(AJ128="","",IFERROR(AJ128*HSTECH!$B$19*HSTECH!$G$19/HSTECH!$B$3,""))</f>
        <v/>
      </c>
      <c r="CY128" s="110">
        <f>IF(AK128="","",IFERROR(AK128*HSTECH!$B$19*HSTECH!$G$19/HSTECH!$B$3,""))</f>
        <v/>
      </c>
      <c r="CZ128" s="110">
        <f>IF(AL128="","",IFERROR(AL128*HSTECH!$B$19*HSTECH!$G$19/HSTECH!$B$3,""))</f>
        <v/>
      </c>
      <c r="DA128" s="110">
        <f>IF(AM128="","",IFERROR(AM128*HSTECH!$B$19*HSTECH!$G$19/HSTECH!$B$3,""))</f>
        <v/>
      </c>
      <c r="DB128" s="110">
        <f>IF(AN128="","",IFERROR(AN128*HSTECH!$B$19*HSTECH!$G$19/HSTECH!$B$3,""))</f>
        <v/>
      </c>
      <c r="DC128" s="110">
        <f>IF(AO128="","",IFERROR(AO128*HSTECH!$B$19*HSTECH!$G$19/HSTECH!$B$3,""))</f>
        <v/>
      </c>
      <c r="DD128" s="110">
        <f>IF(AP128="","",IFERROR(AP128*HSTECH!$B$19*HSTECH!$G$19/HSTECH!$B$3,""))</f>
        <v/>
      </c>
      <c r="DE128" s="110">
        <f>IF(AQ128="","",IFERROR(AQ128*HSTECH!$B$19*HSTECH!$G$19/HSTECH!$B$3,""))</f>
        <v/>
      </c>
      <c r="DF128" s="110">
        <f>IF(AR128="","",IFERROR(AR128*HSTECH!$B$19*HSTECH!$G$19/HSTECH!$B$3,""))</f>
        <v/>
      </c>
      <c r="DG128" s="110">
        <f>IF(AS128="","",IFERROR(AS128*HSTECH!$B$19*HSTECH!$G$19/HSTECH!$B$3,""))</f>
        <v/>
      </c>
      <c r="DH128" s="110">
        <f>IF(AT128="","",IFERROR(AT128*HSTECH!$B$19*HSTECH!$G$19/HSTECH!$B$3,""))</f>
        <v/>
      </c>
      <c r="DI128" s="110">
        <f>IF(AU128="","",IFERROR(AU128*HSTECH!$B$19*HSTECH!$G$19/HSTECH!$B$3,""))</f>
        <v/>
      </c>
      <c r="DJ128" s="110">
        <f>IF(AV128="","",IFERROR(AV128*HSTECH!$B$19*HSTECH!$G$19/HSTECH!$B$3,""))</f>
        <v/>
      </c>
      <c r="DK128" s="110">
        <f>IF(AW128="","",IFERROR(AW128*HSTECH!$B$19*HSTECH!$G$19/HSTECH!$B$3,""))</f>
        <v/>
      </c>
      <c r="DL128" s="110">
        <f>IF(AX128="","",IFERROR(AX128*HSTECH!$B$19*HSTECH!$G$19/HSTECH!$B$3,""))</f>
        <v/>
      </c>
      <c r="DM128" s="110">
        <f>IF(AY128="","",IFERROR(AY128*HSTECH!$B$19*HSTECH!$G$19/HSTECH!$B$3,""))</f>
        <v/>
      </c>
      <c r="DN128" s="110">
        <f>IF(AZ128="","",IFERROR(AZ128*HSTECH!$B$19*HSTECH!$G$19/HSTECH!$B$3,""))</f>
        <v/>
      </c>
      <c r="DO128" s="110">
        <f>IF(BA128="","",IFERROR(BA128*HSTECH!$B$19*HSTECH!$G$19/HSTECH!$B$3,""))</f>
        <v/>
      </c>
      <c r="DP128" s="110">
        <f>IF(BB128="","",IFERROR(BB128*HSTECH!$B$19*HSTECH!$G$19/HSTECH!$B$3,""))</f>
        <v/>
      </c>
      <c r="DQ128" s="110">
        <f>IF(BC128="","",IFERROR(BC128*HSTECH!$B$19*HSTECH!$G$19/HSTECH!$B$3,""))</f>
        <v/>
      </c>
      <c r="DR128" s="110">
        <f>IF(BD128="","",IFERROR(BD128*HSTECH!$B$19*HSTECH!$G$19/HSTECH!$B$3,""))</f>
        <v/>
      </c>
      <c r="DS128" s="110">
        <f>IF(BE128="","",IFERROR(BE128*HSTECH!$B$19*HSTECH!$G$19/HSTECH!$B$3,""))</f>
        <v/>
      </c>
      <c r="DT128" s="110">
        <f>IF(BF128="","",IFERROR(BF128*HSTECH!$B$19*HSTECH!$G$19/HSTECH!$B$3,""))</f>
        <v/>
      </c>
      <c r="DU128" s="110">
        <f>IF(BG128="","",IFERROR(BG128*HSTECH!$B$19*HSTECH!$G$19/HSTECH!$B$3,""))</f>
        <v/>
      </c>
      <c r="DV128" s="110">
        <f>IF(BH128="","",IFERROR(BH128*HSTECH!$B$19*HSTECH!$G$19/HSTECH!$B$3,""))</f>
        <v/>
      </c>
      <c r="DW128" s="110">
        <f>IF(BI128="","",IFERROR(BI128*HSTECH!$B$19*HSTECH!$G$19/HSTECH!$B$3,""))</f>
        <v/>
      </c>
      <c r="DX128" s="110">
        <f>IF(BJ128="","",IFERROR(BJ128*HSTECH!$B$19*HSTECH!$G$19/HSTECH!$B$3,""))</f>
        <v/>
      </c>
      <c r="DY128" s="110">
        <f>IF(BK128="","",IFERROR(BK128*HSTECH!$B$19*HSTECH!$G$19/HSTECH!$B$3,""))</f>
        <v/>
      </c>
      <c r="DZ128" s="110">
        <f>IF(BL128="","",IFERROR(BL128*HSTECH!$B$19*HSTECH!$G$19/HSTECH!$B$3,""))</f>
        <v/>
      </c>
      <c r="EA128" s="110">
        <f>IF(BM128="","",IFERROR(BM128*HSTECH!$B$19*HSTECH!$G$19/HSTECH!$B$3,""))</f>
        <v/>
      </c>
      <c r="EB128" s="110">
        <f>IF(BN128="","",IFERROR(BN128*HSTECH!$B$19*HSTECH!$G$19/HSTECH!$B$3,""))</f>
        <v/>
      </c>
      <c r="EC128" s="110">
        <f>IF(BO128="","",IFERROR(BO128*HSTECH!$B$19*HSTECH!$G$19/HSTECH!$B$3,""))</f>
        <v/>
      </c>
      <c r="EE128" s="39">
        <f>IF(N('Dvd Calendar'!$E$1248)=0,"",IF(('Dvd Calendar'!$E$1248&gt;=GRID_FROM)*('Dvd Calendar'!$E$1248&lt;=GRID_TO)*((('Dvd Calendar'!$E$1248&lt;=VAL_DATE)+(COUNTIF('Dvd Calendar'!$E$1255:$AR$1255,'Dvd Calendar'!$E$1248)=0))&gt;0)=0,"",'Dvd Calendar'!$E$1248*1000000000+ISNUMBER('Dvd Calendar'!$E$1251)*100000000+('Dvd Calendar'!$E$1253=SPECIAL_LBL)*10000000+(N('Dvd Calendar'!$E$1247)&gt;0)*(N('Dvd Calendar'!$E$1247)&lt;=VAL_SERIAL)*1000000+13*1000+1))</f>
        <v/>
      </c>
      <c r="EF128" s="39">
        <f>IF(N('Dvd Calendar'!$F$1248)=0,"",IF(('Dvd Calendar'!$F$1248&gt;=GRID_FROM)*('Dvd Calendar'!$F$1248&lt;=GRID_TO)*((('Dvd Calendar'!$F$1248&lt;=VAL_DATE)+(COUNTIF('Dvd Calendar'!$E$1255:$AR$1255,'Dvd Calendar'!$F$1248)=0))&gt;0)=0,"",'Dvd Calendar'!$F$1248*1000000000+ISNUMBER('Dvd Calendar'!$F$1251)*100000000+('Dvd Calendar'!$F$1253=SPECIAL_LBL)*10000000+(N('Dvd Calendar'!$F$1247)&gt;0)*(N('Dvd Calendar'!$F$1247)&lt;=VAL_SERIAL)*1000000+13*1000+2))</f>
        <v/>
      </c>
      <c r="EG128" s="39">
        <f>IF(N('Dvd Calendar'!$G$1248)=0,"",IF(('Dvd Calendar'!$G$1248&gt;=GRID_FROM)*('Dvd Calendar'!$G$1248&lt;=GRID_TO)*((('Dvd Calendar'!$G$1248&lt;=VAL_DATE)+(COUNTIF('Dvd Calendar'!$E$1255:$AR$1255,'Dvd Calendar'!$G$1248)=0))&gt;0)=0,"",'Dvd Calendar'!$G$1248*1000000000+ISNUMBER('Dvd Calendar'!$G$1251)*100000000+('Dvd Calendar'!$G$1253=SPECIAL_LBL)*10000000+(N('Dvd Calendar'!$G$1247)&gt;0)*(N('Dvd Calendar'!$G$1247)&lt;=VAL_SERIAL)*1000000+13*1000+3))</f>
        <v/>
      </c>
      <c r="EH128" s="39">
        <f>IF(N('Dvd Calendar'!$H$1248)=0,"",IF(('Dvd Calendar'!$H$1248&gt;=GRID_FROM)*('Dvd Calendar'!$H$1248&lt;=GRID_TO)*((('Dvd Calendar'!$H$1248&lt;=VAL_DATE)+(COUNTIF('Dvd Calendar'!$E$1255:$AR$1255,'Dvd Calendar'!$H$1248)=0))&gt;0)=0,"",'Dvd Calendar'!$H$1248*1000000000+ISNUMBER('Dvd Calendar'!$H$1251)*100000000+('Dvd Calendar'!$H$1253=SPECIAL_LBL)*10000000+(N('Dvd Calendar'!$H$1247)&gt;0)*(N('Dvd Calendar'!$H$1247)&lt;=VAL_SERIAL)*1000000+13*1000+4))</f>
        <v/>
      </c>
      <c r="EI128" s="39">
        <f>IF(N('Dvd Calendar'!$I$1248)=0,"",IF(('Dvd Calendar'!$I$1248&gt;=GRID_FROM)*('Dvd Calendar'!$I$1248&lt;=GRID_TO)*((('Dvd Calendar'!$I$1248&lt;=VAL_DATE)+(COUNTIF('Dvd Calendar'!$E$1255:$AR$1255,'Dvd Calendar'!$I$1248)=0))&gt;0)=0,"",'Dvd Calendar'!$I$1248*1000000000+ISNUMBER('Dvd Calendar'!$I$1251)*100000000+('Dvd Calendar'!$I$1253=SPECIAL_LBL)*10000000+(N('Dvd Calendar'!$I$1247)&gt;0)*(N('Dvd Calendar'!$I$1247)&lt;=VAL_SERIAL)*1000000+13*1000+5))</f>
        <v/>
      </c>
      <c r="EJ128" s="39">
        <f>IF(N('Dvd Calendar'!$J$1248)=0,"",IF(('Dvd Calendar'!$J$1248&gt;=GRID_FROM)*('Dvd Calendar'!$J$1248&lt;=GRID_TO)*((('Dvd Calendar'!$J$1248&lt;=VAL_DATE)+(COUNTIF('Dvd Calendar'!$E$1255:$AR$1255,'Dvd Calendar'!$J$1248)=0))&gt;0)=0,"",'Dvd Calendar'!$J$1248*1000000000+ISNUMBER('Dvd Calendar'!$J$1251)*100000000+('Dvd Calendar'!$J$1253=SPECIAL_LBL)*10000000+(N('Dvd Calendar'!$J$1247)&gt;0)*(N('Dvd Calendar'!$J$1247)&lt;=VAL_SERIAL)*1000000+13*1000+6))</f>
        <v/>
      </c>
      <c r="EK128" s="39">
        <f>IF(N('Dvd Calendar'!$K$1248)=0,"",IF(('Dvd Calendar'!$K$1248&gt;=GRID_FROM)*('Dvd Calendar'!$K$1248&lt;=GRID_TO)*((('Dvd Calendar'!$K$1248&lt;=VAL_DATE)+(COUNTIF('Dvd Calendar'!$E$1255:$AR$1255,'Dvd Calendar'!$K$1248)=0))&gt;0)=0,"",'Dvd Calendar'!$K$1248*1000000000+ISNUMBER('Dvd Calendar'!$K$1251)*100000000+('Dvd Calendar'!$K$1253=SPECIAL_LBL)*10000000+(N('Dvd Calendar'!$K$1247)&gt;0)*(N('Dvd Calendar'!$K$1247)&lt;=VAL_SERIAL)*1000000+13*1000+7))</f>
        <v/>
      </c>
      <c r="EL128" s="39">
        <f>IF(N('Dvd Calendar'!$L$1248)=0,"",IF(('Dvd Calendar'!$L$1248&gt;=GRID_FROM)*('Dvd Calendar'!$L$1248&lt;=GRID_TO)*((('Dvd Calendar'!$L$1248&lt;=VAL_DATE)+(COUNTIF('Dvd Calendar'!$E$1255:$AR$1255,'Dvd Calendar'!$L$1248)=0))&gt;0)=0,"",'Dvd Calendar'!$L$1248*1000000000+ISNUMBER('Dvd Calendar'!$L$1251)*100000000+('Dvd Calendar'!$L$1253=SPECIAL_LBL)*10000000+(N('Dvd Calendar'!$L$1247)&gt;0)*(N('Dvd Calendar'!$L$1247)&lt;=VAL_SERIAL)*1000000+13*1000+8))</f>
        <v/>
      </c>
      <c r="EM128" s="39">
        <f>IF(N('Dvd Calendar'!$M$1248)=0,"",IF(('Dvd Calendar'!$M$1248&gt;=GRID_FROM)*('Dvd Calendar'!$M$1248&lt;=GRID_TO)*((('Dvd Calendar'!$M$1248&lt;=VAL_DATE)+(COUNTIF('Dvd Calendar'!$E$1255:$AR$1255,'Dvd Calendar'!$M$1248)=0))&gt;0)=0,"",'Dvd Calendar'!$M$1248*1000000000+ISNUMBER('Dvd Calendar'!$M$1251)*100000000+('Dvd Calendar'!$M$1253=SPECIAL_LBL)*10000000+(N('Dvd Calendar'!$M$1247)&gt;0)*(N('Dvd Calendar'!$M$1247)&lt;=VAL_SERIAL)*1000000+13*1000+9))</f>
        <v/>
      </c>
      <c r="EN128" s="39">
        <f>IF(N('Dvd Calendar'!$N$1248)=0,"",IF(('Dvd Calendar'!$N$1248&gt;=GRID_FROM)*('Dvd Calendar'!$N$1248&lt;=GRID_TO)*((('Dvd Calendar'!$N$1248&lt;=VAL_DATE)+(COUNTIF('Dvd Calendar'!$E$1255:$AR$1255,'Dvd Calendar'!$N$1248)=0))&gt;0)=0,"",'Dvd Calendar'!$N$1248*1000000000+ISNUMBER('Dvd Calendar'!$N$1251)*100000000+('Dvd Calendar'!$N$1253=SPECIAL_LBL)*10000000+(N('Dvd Calendar'!$N$1247)&gt;0)*(N('Dvd Calendar'!$N$1247)&lt;=VAL_SERIAL)*1000000+13*1000+10))</f>
        <v/>
      </c>
      <c r="EO128" s="39">
        <f>IF(N('Dvd Calendar'!$O$1248)=0,"",IF(('Dvd Calendar'!$O$1248&gt;=GRID_FROM)*('Dvd Calendar'!$O$1248&lt;=GRID_TO)*((('Dvd Calendar'!$O$1248&lt;=VAL_DATE)+(COUNTIF('Dvd Calendar'!$E$1255:$AR$1255,'Dvd Calendar'!$O$1248)=0))&gt;0)=0,"",'Dvd Calendar'!$O$1248*1000000000+ISNUMBER('Dvd Calendar'!$O$1251)*100000000+('Dvd Calendar'!$O$1253=SPECIAL_LBL)*10000000+(N('Dvd Calendar'!$O$1247)&gt;0)*(N('Dvd Calendar'!$O$1247)&lt;=VAL_SERIAL)*1000000+13*1000+11))</f>
        <v/>
      </c>
      <c r="EP128" s="39">
        <f>IF(N('Dvd Calendar'!$P$1248)=0,"",IF(('Dvd Calendar'!$P$1248&gt;=GRID_FROM)*('Dvd Calendar'!$P$1248&lt;=GRID_TO)*((('Dvd Calendar'!$P$1248&lt;=VAL_DATE)+(COUNTIF('Dvd Calendar'!$E$1255:$AR$1255,'Dvd Calendar'!$P$1248)=0))&gt;0)=0,"",'Dvd Calendar'!$P$1248*1000000000+ISNUMBER('Dvd Calendar'!$P$1251)*100000000+('Dvd Calendar'!$P$1253=SPECIAL_LBL)*10000000+(N('Dvd Calendar'!$P$1247)&gt;0)*(N('Dvd Calendar'!$P$1247)&lt;=VAL_SERIAL)*1000000+13*1000+12))</f>
        <v/>
      </c>
      <c r="EQ128" s="39">
        <f>IF(N('Dvd Calendar'!$Q$1248)=0,"",IF(('Dvd Calendar'!$Q$1248&gt;=GRID_FROM)*('Dvd Calendar'!$Q$1248&lt;=GRID_TO)*((('Dvd Calendar'!$Q$1248&lt;=VAL_DATE)+(COUNTIF('Dvd Calendar'!$E$1255:$AR$1255,'Dvd Calendar'!$Q$1248)=0))&gt;0)=0,"",'Dvd Calendar'!$Q$1248*1000000000+ISNUMBER('Dvd Calendar'!$Q$1251)*100000000+('Dvd Calendar'!$Q$1253=SPECIAL_LBL)*10000000+(N('Dvd Calendar'!$Q$1247)&gt;0)*(N('Dvd Calendar'!$Q$1247)&lt;=VAL_SERIAL)*1000000+13*1000+13))</f>
        <v/>
      </c>
      <c r="ER128" s="39">
        <f>IF(N('Dvd Calendar'!$R$1248)=0,"",IF(('Dvd Calendar'!$R$1248&gt;=GRID_FROM)*('Dvd Calendar'!$R$1248&lt;=GRID_TO)*((('Dvd Calendar'!$R$1248&lt;=VAL_DATE)+(COUNTIF('Dvd Calendar'!$E$1255:$AR$1255,'Dvd Calendar'!$R$1248)=0))&gt;0)=0,"",'Dvd Calendar'!$R$1248*1000000000+ISNUMBER('Dvd Calendar'!$R$1251)*100000000+('Dvd Calendar'!$R$1253=SPECIAL_LBL)*10000000+(N('Dvd Calendar'!$R$1247)&gt;0)*(N('Dvd Calendar'!$R$1247)&lt;=VAL_SERIAL)*1000000+13*1000+14))</f>
        <v/>
      </c>
      <c r="ES128" s="39">
        <f>IF(N('Dvd Calendar'!$S$1248)=0,"",IF(('Dvd Calendar'!$S$1248&gt;=GRID_FROM)*('Dvd Calendar'!$S$1248&lt;=GRID_TO)*((('Dvd Calendar'!$S$1248&lt;=VAL_DATE)+(COUNTIF('Dvd Calendar'!$E$1255:$AR$1255,'Dvd Calendar'!$S$1248)=0))&gt;0)=0,"",'Dvd Calendar'!$S$1248*1000000000+ISNUMBER('Dvd Calendar'!$S$1251)*100000000+('Dvd Calendar'!$S$1253=SPECIAL_LBL)*10000000+(N('Dvd Calendar'!$S$1247)&gt;0)*(N('Dvd Calendar'!$S$1247)&lt;=VAL_SERIAL)*1000000+13*1000+15))</f>
        <v/>
      </c>
      <c r="ET128" s="39">
        <f>IF(N('Dvd Calendar'!$T$1248)=0,"",IF(('Dvd Calendar'!$T$1248&gt;=GRID_FROM)*('Dvd Calendar'!$T$1248&lt;=GRID_TO)*((('Dvd Calendar'!$T$1248&lt;=VAL_DATE)+(COUNTIF('Dvd Calendar'!$E$1255:$AR$1255,'Dvd Calendar'!$T$1248)=0))&gt;0)=0,"",'Dvd Calendar'!$T$1248*1000000000+ISNUMBER('Dvd Calendar'!$T$1251)*100000000+('Dvd Calendar'!$T$1253=SPECIAL_LBL)*10000000+(N('Dvd Calendar'!$T$1247)&gt;0)*(N('Dvd Calendar'!$T$1247)&lt;=VAL_SERIAL)*1000000+13*1000+16))</f>
        <v/>
      </c>
      <c r="EU128" s="39">
        <f>IF(N('Dvd Calendar'!$U$1248)=0,"",IF(('Dvd Calendar'!$U$1248&gt;=GRID_FROM)*('Dvd Calendar'!$U$1248&lt;=GRID_TO)*((('Dvd Calendar'!$U$1248&lt;=VAL_DATE)+(COUNTIF('Dvd Calendar'!$E$1255:$AR$1255,'Dvd Calendar'!$U$1248)=0))&gt;0)=0,"",'Dvd Calendar'!$U$1248*1000000000+ISNUMBER('Dvd Calendar'!$U$1251)*100000000+('Dvd Calendar'!$U$1253=SPECIAL_LBL)*10000000+(N('Dvd Calendar'!$U$1247)&gt;0)*(N('Dvd Calendar'!$U$1247)&lt;=VAL_SERIAL)*1000000+13*1000+17))</f>
        <v/>
      </c>
      <c r="EV128" s="39">
        <f>IF(N('Dvd Calendar'!$V$1248)=0,"",IF(('Dvd Calendar'!$V$1248&gt;=GRID_FROM)*('Dvd Calendar'!$V$1248&lt;=GRID_TO)*((('Dvd Calendar'!$V$1248&lt;=VAL_DATE)+(COUNTIF('Dvd Calendar'!$E$1255:$AR$1255,'Dvd Calendar'!$V$1248)=0))&gt;0)=0,"",'Dvd Calendar'!$V$1248*1000000000+ISNUMBER('Dvd Calendar'!$V$1251)*100000000+('Dvd Calendar'!$V$1253=SPECIAL_LBL)*10000000+(N('Dvd Calendar'!$V$1247)&gt;0)*(N('Dvd Calendar'!$V$1247)&lt;=VAL_SERIAL)*1000000+13*1000+18))</f>
        <v/>
      </c>
      <c r="EW128" s="39">
        <f>IF(N('Dvd Calendar'!$W$1248)=0,"",IF(('Dvd Calendar'!$W$1248&gt;=GRID_FROM)*('Dvd Calendar'!$W$1248&lt;=GRID_TO)*((('Dvd Calendar'!$W$1248&lt;=VAL_DATE)+(COUNTIF('Dvd Calendar'!$E$1255:$AR$1255,'Dvd Calendar'!$W$1248)=0))&gt;0)=0,"",'Dvd Calendar'!$W$1248*1000000000+ISNUMBER('Dvd Calendar'!$W$1251)*100000000+('Dvd Calendar'!$W$1253=SPECIAL_LBL)*10000000+(N('Dvd Calendar'!$W$1247)&gt;0)*(N('Dvd Calendar'!$W$1247)&lt;=VAL_SERIAL)*1000000+13*1000+19))</f>
        <v/>
      </c>
      <c r="EX128" s="39">
        <f>IF(N('Dvd Calendar'!$X$1248)=0,"",IF(('Dvd Calendar'!$X$1248&gt;=GRID_FROM)*('Dvd Calendar'!$X$1248&lt;=GRID_TO)*((('Dvd Calendar'!$X$1248&lt;=VAL_DATE)+(COUNTIF('Dvd Calendar'!$E$1255:$AR$1255,'Dvd Calendar'!$X$1248)=0))&gt;0)=0,"",'Dvd Calendar'!$X$1248*1000000000+ISNUMBER('Dvd Calendar'!$X$1251)*100000000+('Dvd Calendar'!$X$1253=SPECIAL_LBL)*10000000+(N('Dvd Calendar'!$X$1247)&gt;0)*(N('Dvd Calendar'!$X$1247)&lt;=VAL_SERIAL)*1000000+13*1000+20))</f>
        <v/>
      </c>
      <c r="EY128" s="39">
        <f>IF(N('Dvd Calendar'!$Y$1248)=0,"",IF(('Dvd Calendar'!$Y$1248&gt;=GRID_FROM)*('Dvd Calendar'!$Y$1248&lt;=GRID_TO)*((('Dvd Calendar'!$Y$1248&lt;=VAL_DATE)+(COUNTIF('Dvd Calendar'!$E$1255:$AR$1255,'Dvd Calendar'!$Y$1248)=0))&gt;0)=0,"",'Dvd Calendar'!$Y$1248*1000000000+ISNUMBER('Dvd Calendar'!$Y$1251)*100000000+('Dvd Calendar'!$Y$1253=SPECIAL_LBL)*10000000+(N('Dvd Calendar'!$Y$1247)&gt;0)*(N('Dvd Calendar'!$Y$1247)&lt;=VAL_SERIAL)*1000000+13*1000+21))</f>
        <v/>
      </c>
      <c r="EZ128" s="39">
        <f>IF(N('Dvd Calendar'!$Z$1248)=0,"",IF(('Dvd Calendar'!$Z$1248&gt;=GRID_FROM)*('Dvd Calendar'!$Z$1248&lt;=GRID_TO)*((('Dvd Calendar'!$Z$1248&lt;=VAL_DATE)+(COUNTIF('Dvd Calendar'!$E$1255:$AR$1255,'Dvd Calendar'!$Z$1248)=0))&gt;0)=0,"",'Dvd Calendar'!$Z$1248*1000000000+ISNUMBER('Dvd Calendar'!$Z$1251)*100000000+('Dvd Calendar'!$Z$1253=SPECIAL_LBL)*10000000+(N('Dvd Calendar'!$Z$1247)&gt;0)*(N('Dvd Calendar'!$Z$1247)&lt;=VAL_SERIAL)*1000000+13*1000+22))</f>
        <v/>
      </c>
      <c r="FA128" s="39">
        <f>IF(N('Dvd Calendar'!$AA$1248)=0,"",IF(('Dvd Calendar'!$AA$1248&gt;=GRID_FROM)*('Dvd Calendar'!$AA$1248&lt;=GRID_TO)*((('Dvd Calendar'!$AA$1248&lt;=VAL_DATE)+(COUNTIF('Dvd Calendar'!$E$1255:$AR$1255,'Dvd Calendar'!$AA$1248)=0))&gt;0)=0,"",'Dvd Calendar'!$AA$1248*1000000000+ISNUMBER('Dvd Calendar'!$AA$1251)*100000000+('Dvd Calendar'!$AA$1253=SPECIAL_LBL)*10000000+(N('Dvd Calendar'!$AA$1247)&gt;0)*(N('Dvd Calendar'!$AA$1247)&lt;=VAL_SERIAL)*1000000+13*1000+23))</f>
        <v/>
      </c>
      <c r="FB128" s="39">
        <f>IF(N('Dvd Calendar'!$AB$1248)=0,"",IF(('Dvd Calendar'!$AB$1248&gt;=GRID_FROM)*('Dvd Calendar'!$AB$1248&lt;=GRID_TO)*((('Dvd Calendar'!$AB$1248&lt;=VAL_DATE)+(COUNTIF('Dvd Calendar'!$E$1255:$AR$1255,'Dvd Calendar'!$AB$1248)=0))&gt;0)=0,"",'Dvd Calendar'!$AB$1248*1000000000+ISNUMBER('Dvd Calendar'!$AB$1251)*100000000+('Dvd Calendar'!$AB$1253=SPECIAL_LBL)*10000000+(N('Dvd Calendar'!$AB$1247)&gt;0)*(N('Dvd Calendar'!$AB$1247)&lt;=VAL_SERIAL)*1000000+13*1000+24))</f>
        <v/>
      </c>
      <c r="FC128" s="39">
        <f>IF(N('Dvd Calendar'!$AC$1248)=0,"",IF(('Dvd Calendar'!$AC$1248&gt;=GRID_FROM)*('Dvd Calendar'!$AC$1248&lt;=GRID_TO)*((('Dvd Calendar'!$AC$1248&lt;=VAL_DATE)+(COUNTIF('Dvd Calendar'!$E$1255:$AR$1255,'Dvd Calendar'!$AC$1248)=0))&gt;0)=0,"",'Dvd Calendar'!$AC$1248*1000000000+ISNUMBER('Dvd Calendar'!$AC$1251)*100000000+('Dvd Calendar'!$AC$1253=SPECIAL_LBL)*10000000+(N('Dvd Calendar'!$AC$1247)&gt;0)*(N('Dvd Calendar'!$AC$1247)&lt;=VAL_SERIAL)*1000000+13*1000+25))</f>
        <v/>
      </c>
      <c r="FD128" s="39">
        <f>IF(N('Dvd Calendar'!$AD$1248)=0,"",IF(('Dvd Calendar'!$AD$1248&gt;=GRID_FROM)*('Dvd Calendar'!$AD$1248&lt;=GRID_TO)*((('Dvd Calendar'!$AD$1248&lt;=VAL_DATE)+(COUNTIF('Dvd Calendar'!$E$1255:$AR$1255,'Dvd Calendar'!$AD$1248)=0))&gt;0)=0,"",'Dvd Calendar'!$AD$1248*1000000000+ISNUMBER('Dvd Calendar'!$AD$1251)*100000000+('Dvd Calendar'!$AD$1253=SPECIAL_LBL)*10000000+(N('Dvd Calendar'!$AD$1247)&gt;0)*(N('Dvd Calendar'!$AD$1247)&lt;=VAL_SERIAL)*1000000+13*1000+26))</f>
        <v/>
      </c>
      <c r="FE128" s="39">
        <f>IF(N('Dvd Calendar'!$AE$1248)=0,"",IF(('Dvd Calendar'!$AE$1248&gt;=GRID_FROM)*('Dvd Calendar'!$AE$1248&lt;=GRID_TO)*((('Dvd Calendar'!$AE$1248&lt;=VAL_DATE)+(COUNTIF('Dvd Calendar'!$E$1255:$AR$1255,'Dvd Calendar'!$AE$1248)=0))&gt;0)=0,"",'Dvd Calendar'!$AE$1248*1000000000+ISNUMBER('Dvd Calendar'!$AE$1251)*100000000+('Dvd Calendar'!$AE$1253=SPECIAL_LBL)*10000000+(N('Dvd Calendar'!$AE$1247)&gt;0)*(N('Dvd Calendar'!$AE$1247)&lt;=VAL_SERIAL)*1000000+13*1000+27))</f>
        <v/>
      </c>
      <c r="FF128" s="39">
        <f>IF(N('Dvd Calendar'!$AF$1248)=0,"",IF(('Dvd Calendar'!$AF$1248&gt;=GRID_FROM)*('Dvd Calendar'!$AF$1248&lt;=GRID_TO)*((('Dvd Calendar'!$AF$1248&lt;=VAL_DATE)+(COUNTIF('Dvd Calendar'!$E$1255:$AR$1255,'Dvd Calendar'!$AF$1248)=0))&gt;0)=0,"",'Dvd Calendar'!$AF$1248*1000000000+ISNUMBER('Dvd Calendar'!$AF$1251)*100000000+('Dvd Calendar'!$AF$1253=SPECIAL_LBL)*10000000+(N('Dvd Calendar'!$AF$1247)&gt;0)*(N('Dvd Calendar'!$AF$1247)&lt;=VAL_SERIAL)*1000000+13*1000+28))</f>
        <v/>
      </c>
      <c r="FG128" s="39">
        <f>IF(N('Dvd Calendar'!$AG$1248)=0,"",IF(('Dvd Calendar'!$AG$1248&gt;=GRID_FROM)*('Dvd Calendar'!$AG$1248&lt;=GRID_TO)*((('Dvd Calendar'!$AG$1248&lt;=VAL_DATE)+(COUNTIF('Dvd Calendar'!$E$1255:$AR$1255,'Dvd Calendar'!$AG$1248)=0))&gt;0)=0,"",'Dvd Calendar'!$AG$1248*1000000000+ISNUMBER('Dvd Calendar'!$AG$1251)*100000000+('Dvd Calendar'!$AG$1253=SPECIAL_LBL)*10000000+(N('Dvd Calendar'!$AG$1247)&gt;0)*(N('Dvd Calendar'!$AG$1247)&lt;=VAL_SERIAL)*1000000+13*1000+29))</f>
        <v/>
      </c>
      <c r="FH128" s="39">
        <f>IF(N('Dvd Calendar'!$AH$1248)=0,"",IF(('Dvd Calendar'!$AH$1248&gt;=GRID_FROM)*('Dvd Calendar'!$AH$1248&lt;=GRID_TO)*((('Dvd Calendar'!$AH$1248&lt;=VAL_DATE)+(COUNTIF('Dvd Calendar'!$E$1255:$AR$1255,'Dvd Calendar'!$AH$1248)=0))&gt;0)=0,"",'Dvd Calendar'!$AH$1248*1000000000+ISNUMBER('Dvd Calendar'!$AH$1251)*100000000+('Dvd Calendar'!$AH$1253=SPECIAL_LBL)*10000000+(N('Dvd Calendar'!$AH$1247)&gt;0)*(N('Dvd Calendar'!$AH$1247)&lt;=VAL_SERIAL)*1000000+13*1000+30))</f>
        <v/>
      </c>
      <c r="FI128" s="39">
        <f>IF(N('Dvd Calendar'!$AI$1248)=0,"",IF(('Dvd Calendar'!$AI$1248&gt;=GRID_FROM)*('Dvd Calendar'!$AI$1248&lt;=GRID_TO)*((('Dvd Calendar'!$AI$1248&lt;=VAL_DATE)+(COUNTIF('Dvd Calendar'!$E$1255:$AR$1255,'Dvd Calendar'!$AI$1248)=0))&gt;0)=0,"",'Dvd Calendar'!$AI$1248*1000000000+ISNUMBER('Dvd Calendar'!$AI$1251)*100000000+('Dvd Calendar'!$AI$1253=SPECIAL_LBL)*10000000+(N('Dvd Calendar'!$AI$1247)&gt;0)*(N('Dvd Calendar'!$AI$1247)&lt;=VAL_SERIAL)*1000000+13*1000+31))</f>
        <v/>
      </c>
      <c r="FJ128" s="39">
        <f>IF(N('Dvd Calendar'!$AJ$1248)=0,"",IF(('Dvd Calendar'!$AJ$1248&gt;=GRID_FROM)*('Dvd Calendar'!$AJ$1248&lt;=GRID_TO)*((('Dvd Calendar'!$AJ$1248&lt;=VAL_DATE)+(COUNTIF('Dvd Calendar'!$E$1255:$AR$1255,'Dvd Calendar'!$AJ$1248)=0))&gt;0)=0,"",'Dvd Calendar'!$AJ$1248*1000000000+ISNUMBER('Dvd Calendar'!$AJ$1251)*100000000+('Dvd Calendar'!$AJ$1253=SPECIAL_LBL)*10000000+(N('Dvd Calendar'!$AJ$1247)&gt;0)*(N('Dvd Calendar'!$AJ$1247)&lt;=VAL_SERIAL)*1000000+13*1000+32))</f>
        <v/>
      </c>
      <c r="FK128" s="39">
        <f>IF(N('Dvd Calendar'!$AK$1248)=0,"",IF(('Dvd Calendar'!$AK$1248&gt;=GRID_FROM)*('Dvd Calendar'!$AK$1248&lt;=GRID_TO)*((('Dvd Calendar'!$AK$1248&lt;=VAL_DATE)+(COUNTIF('Dvd Calendar'!$E$1255:$AR$1255,'Dvd Calendar'!$AK$1248)=0))&gt;0)=0,"",'Dvd Calendar'!$AK$1248*1000000000+ISNUMBER('Dvd Calendar'!$AK$1251)*100000000+('Dvd Calendar'!$AK$1253=SPECIAL_LBL)*10000000+(N('Dvd Calendar'!$AK$1247)&gt;0)*(N('Dvd Calendar'!$AK$1247)&lt;=VAL_SERIAL)*1000000+13*1000+33))</f>
        <v/>
      </c>
      <c r="FL128" s="39">
        <f>IF(N('Dvd Calendar'!$AL$1248)=0,"",IF(('Dvd Calendar'!$AL$1248&gt;=GRID_FROM)*('Dvd Calendar'!$AL$1248&lt;=GRID_TO)*((('Dvd Calendar'!$AL$1248&lt;=VAL_DATE)+(COUNTIF('Dvd Calendar'!$E$1255:$AR$1255,'Dvd Calendar'!$AL$1248)=0))&gt;0)=0,"",'Dvd Calendar'!$AL$1248*1000000000+ISNUMBER('Dvd Calendar'!$AL$1251)*100000000+('Dvd Calendar'!$AL$1253=SPECIAL_LBL)*10000000+(N('Dvd Calendar'!$AL$1247)&gt;0)*(N('Dvd Calendar'!$AL$1247)&lt;=VAL_SERIAL)*1000000+13*1000+34))</f>
        <v/>
      </c>
      <c r="FM128" s="39">
        <f>IF(N('Dvd Calendar'!$AM$1248)=0,"",IF(('Dvd Calendar'!$AM$1248&gt;=GRID_FROM)*('Dvd Calendar'!$AM$1248&lt;=GRID_TO)*((('Dvd Calendar'!$AM$1248&lt;=VAL_DATE)+(COUNTIF('Dvd Calendar'!$E$1255:$AR$1255,'Dvd Calendar'!$AM$1248)=0))&gt;0)=0,"",'Dvd Calendar'!$AM$1248*1000000000+ISNUMBER('Dvd Calendar'!$AM$1251)*100000000+('Dvd Calendar'!$AM$1253=SPECIAL_LBL)*10000000+(N('Dvd Calendar'!$AM$1247)&gt;0)*(N('Dvd Calendar'!$AM$1247)&lt;=VAL_SERIAL)*1000000+13*1000+35))</f>
        <v/>
      </c>
      <c r="FN128" s="39">
        <f>IF(N('Dvd Calendar'!$AN$1248)=0,"",IF(('Dvd Calendar'!$AN$1248&gt;=GRID_FROM)*('Dvd Calendar'!$AN$1248&lt;=GRID_TO)*((('Dvd Calendar'!$AN$1248&lt;=VAL_DATE)+(COUNTIF('Dvd Calendar'!$E$1255:$AR$1255,'Dvd Calendar'!$AN$1248)=0))&gt;0)=0,"",'Dvd Calendar'!$AN$1248*1000000000+ISNUMBER('Dvd Calendar'!$AN$1251)*100000000+('Dvd Calendar'!$AN$1253=SPECIAL_LBL)*10000000+(N('Dvd Calendar'!$AN$1247)&gt;0)*(N('Dvd Calendar'!$AN$1247)&lt;=VAL_SERIAL)*1000000+13*1000+36))</f>
        <v/>
      </c>
      <c r="FO128" s="39">
        <f>IF(N('Dvd Calendar'!$AO$1248)=0,"",IF(('Dvd Calendar'!$AO$1248&gt;=GRID_FROM)*('Dvd Calendar'!$AO$1248&lt;=GRID_TO)*((('Dvd Calendar'!$AO$1248&lt;=VAL_DATE)+(COUNTIF('Dvd Calendar'!$E$1255:$AR$1255,'Dvd Calendar'!$AO$1248)=0))&gt;0)=0,"",'Dvd Calendar'!$AO$1248*1000000000+ISNUMBER('Dvd Calendar'!$AO$1251)*100000000+('Dvd Calendar'!$AO$1253=SPECIAL_LBL)*10000000+(N('Dvd Calendar'!$AO$1247)&gt;0)*(N('Dvd Calendar'!$AO$1247)&lt;=VAL_SERIAL)*1000000+13*1000+37))</f>
        <v/>
      </c>
      <c r="FP128" s="39">
        <f>IF(N('Dvd Calendar'!$AP$1248)=0,"",IF(('Dvd Calendar'!$AP$1248&gt;=GRID_FROM)*('Dvd Calendar'!$AP$1248&lt;=GRID_TO)*((('Dvd Calendar'!$AP$1248&lt;=VAL_DATE)+(COUNTIF('Dvd Calendar'!$E$1255:$AR$1255,'Dvd Calendar'!$AP$1248)=0))&gt;0)=0,"",'Dvd Calendar'!$AP$1248*1000000000+ISNUMBER('Dvd Calendar'!$AP$1251)*100000000+('Dvd Calendar'!$AP$1253=SPECIAL_LBL)*10000000+(N('Dvd Calendar'!$AP$1247)&gt;0)*(N('Dvd Calendar'!$AP$1247)&lt;=VAL_SERIAL)*1000000+13*1000+38))</f>
        <v/>
      </c>
      <c r="FQ128" s="39">
        <f>IF(N('Dvd Calendar'!$AQ$1248)=0,"",IF(('Dvd Calendar'!$AQ$1248&gt;=GRID_FROM)*('Dvd Calendar'!$AQ$1248&lt;=GRID_TO)*((('Dvd Calendar'!$AQ$1248&lt;=VAL_DATE)+(COUNTIF('Dvd Calendar'!$E$1255:$AR$1255,'Dvd Calendar'!$AQ$1248)=0))&gt;0)=0,"",'Dvd Calendar'!$AQ$1248*1000000000+ISNUMBER('Dvd Calendar'!$AQ$1251)*100000000+('Dvd Calendar'!$AQ$1253=SPECIAL_LBL)*10000000+(N('Dvd Calendar'!$AQ$1247)&gt;0)*(N('Dvd Calendar'!$AQ$1247)&lt;=VAL_SERIAL)*1000000+13*1000+39))</f>
        <v/>
      </c>
      <c r="FR128" s="39">
        <f>IF(N('Dvd Calendar'!$AR$1248)=0,"",IF(('Dvd Calendar'!$AR$1248&gt;=GRID_FROM)*('Dvd Calendar'!$AR$1248&lt;=GRID_TO)*((('Dvd Calendar'!$AR$1248&lt;=VAL_DATE)+(COUNTIF('Dvd Calendar'!$E$1255:$AR$1255,'Dvd Calendar'!$AR$1248)=0))&gt;0)=0,"",'Dvd Calendar'!$AR$1248*1000000000+ISNUMBER('Dvd Calendar'!$AR$1251)*100000000+('Dvd Calendar'!$AR$1253=SPECIAL_LBL)*10000000+(N('Dvd Calendar'!$AR$1247)&gt;0)*(N('Dvd Calendar'!$AR$1247)&lt;=VAL_SERIAL)*1000000+13*1000+40))</f>
        <v/>
      </c>
      <c r="FS128" s="39">
        <f>IF(N('Dvd Calendar'!$E$1255)=0,"",IF(('Dvd Calendar'!$E$1255&gt;=GRID_FROM)*('Dvd Calendar'!$E$1255&lt;=GRID_TO)*('Dvd Calendar'!$E$1255&gt;VAL_DATE)=0,"",'Dvd Calendar'!$E$1255*1000000000+ISNUMBER('Dvd Calendar'!$E$1256)*100000000+0*10000000+(N('Dvd Calendar'!$E$1254)&gt;0)*(N('Dvd Calendar'!$E$1254)&lt;=VAL_SERIAL)*1000000+13*1000+41))</f>
        <v/>
      </c>
      <c r="FT128" s="39">
        <f>IF(N('Dvd Calendar'!$F$1255)=0,"",IF(('Dvd Calendar'!$F$1255&gt;=GRID_FROM)*('Dvd Calendar'!$F$1255&lt;=GRID_TO)*('Dvd Calendar'!$F$1255&gt;VAL_DATE)=0,"",'Dvd Calendar'!$F$1255*1000000000+ISNUMBER('Dvd Calendar'!$F$1256)*100000000+0*10000000+(N('Dvd Calendar'!$F$1254)&gt;0)*(N('Dvd Calendar'!$F$1254)&lt;=VAL_SERIAL)*1000000+13*1000+42))</f>
        <v/>
      </c>
      <c r="FU128" s="39">
        <f>IF(N('Dvd Calendar'!$G$1255)=0,"",IF(('Dvd Calendar'!$G$1255&gt;=GRID_FROM)*('Dvd Calendar'!$G$1255&lt;=GRID_TO)*('Dvd Calendar'!$G$1255&gt;VAL_DATE)=0,"",'Dvd Calendar'!$G$1255*1000000000+ISNUMBER('Dvd Calendar'!$G$1256)*100000000+0*10000000+(N('Dvd Calendar'!$G$1254)&gt;0)*(N('Dvd Calendar'!$G$1254)&lt;=VAL_SERIAL)*1000000+13*1000+43))</f>
        <v/>
      </c>
      <c r="FV128" s="39">
        <f>IF(N('Dvd Calendar'!$H$1255)=0,"",IF(('Dvd Calendar'!$H$1255&gt;=GRID_FROM)*('Dvd Calendar'!$H$1255&lt;=GRID_TO)*('Dvd Calendar'!$H$1255&gt;VAL_DATE)=0,"",'Dvd Calendar'!$H$1255*1000000000+ISNUMBER('Dvd Calendar'!$H$1256)*100000000+0*10000000+(N('Dvd Calendar'!$H$1254)&gt;0)*(N('Dvd Calendar'!$H$1254)&lt;=VAL_SERIAL)*1000000+13*1000+44))</f>
        <v/>
      </c>
      <c r="FW128" s="39">
        <f>IF(N('Dvd Calendar'!$I$1255)=0,"",IF(('Dvd Calendar'!$I$1255&gt;=GRID_FROM)*('Dvd Calendar'!$I$1255&lt;=GRID_TO)*('Dvd Calendar'!$I$1255&gt;VAL_DATE)=0,"",'Dvd Calendar'!$I$1255*1000000000+ISNUMBER('Dvd Calendar'!$I$1256)*100000000+0*10000000+(N('Dvd Calendar'!$I$1254)&gt;0)*(N('Dvd Calendar'!$I$1254)&lt;=VAL_SERIAL)*1000000+13*1000+45))</f>
        <v/>
      </c>
      <c r="FX128" s="39">
        <f>IF(N('Dvd Calendar'!$J$1255)=0,"",IF(('Dvd Calendar'!$J$1255&gt;=GRID_FROM)*('Dvd Calendar'!$J$1255&lt;=GRID_TO)*('Dvd Calendar'!$J$1255&gt;VAL_DATE)=0,"",'Dvd Calendar'!$J$1255*1000000000+ISNUMBER('Dvd Calendar'!$J$1256)*100000000+0*10000000+(N('Dvd Calendar'!$J$1254)&gt;0)*(N('Dvd Calendar'!$J$1254)&lt;=VAL_SERIAL)*1000000+13*1000+46))</f>
        <v/>
      </c>
      <c r="FY128" s="39">
        <f>IF(N('Dvd Calendar'!$K$1255)=0,"",IF(('Dvd Calendar'!$K$1255&gt;=GRID_FROM)*('Dvd Calendar'!$K$1255&lt;=GRID_TO)*('Dvd Calendar'!$K$1255&gt;VAL_DATE)=0,"",'Dvd Calendar'!$K$1255*1000000000+ISNUMBER('Dvd Calendar'!$K$1256)*100000000+0*10000000+(N('Dvd Calendar'!$K$1254)&gt;0)*(N('Dvd Calendar'!$K$1254)&lt;=VAL_SERIAL)*1000000+13*1000+47))</f>
        <v/>
      </c>
      <c r="FZ128" s="39">
        <f>IF(N('Dvd Calendar'!$L$1255)=0,"",IF(('Dvd Calendar'!$L$1255&gt;=GRID_FROM)*('Dvd Calendar'!$L$1255&lt;=GRID_TO)*('Dvd Calendar'!$L$1255&gt;VAL_DATE)=0,"",'Dvd Calendar'!$L$1255*1000000000+ISNUMBER('Dvd Calendar'!$L$1256)*100000000+0*10000000+(N('Dvd Calendar'!$L$1254)&gt;0)*(N('Dvd Calendar'!$L$1254)&lt;=VAL_SERIAL)*1000000+13*1000+48))</f>
        <v/>
      </c>
      <c r="GA128" s="39">
        <f>IF(N('Dvd Calendar'!$M$1255)=0,"",IF(('Dvd Calendar'!$M$1255&gt;=GRID_FROM)*('Dvd Calendar'!$M$1255&lt;=GRID_TO)*('Dvd Calendar'!$M$1255&gt;VAL_DATE)=0,"",'Dvd Calendar'!$M$1255*1000000000+ISNUMBER('Dvd Calendar'!$M$1256)*100000000+0*10000000+(N('Dvd Calendar'!$M$1254)&gt;0)*(N('Dvd Calendar'!$M$1254)&lt;=VAL_SERIAL)*1000000+13*1000+49))</f>
        <v/>
      </c>
      <c r="GB128" s="39">
        <f>IF(N('Dvd Calendar'!$N$1255)=0,"",IF(('Dvd Calendar'!$N$1255&gt;=GRID_FROM)*('Dvd Calendar'!$N$1255&lt;=GRID_TO)*('Dvd Calendar'!$N$1255&gt;VAL_DATE)=0,"",'Dvd Calendar'!$N$1255*1000000000+ISNUMBER('Dvd Calendar'!$N$1256)*100000000+0*10000000+(N('Dvd Calendar'!$N$1254)&gt;0)*(N('Dvd Calendar'!$N$1254)&lt;=VAL_SERIAL)*1000000+13*1000+50))</f>
        <v/>
      </c>
      <c r="GC128" s="39">
        <f>IF(N('Dvd Calendar'!$O$1255)=0,"",IF(('Dvd Calendar'!$O$1255&gt;=GRID_FROM)*('Dvd Calendar'!$O$1255&lt;=GRID_TO)*('Dvd Calendar'!$O$1255&gt;VAL_DATE)=0,"",'Dvd Calendar'!$O$1255*1000000000+ISNUMBER('Dvd Calendar'!$O$1256)*100000000+0*10000000+(N('Dvd Calendar'!$O$1254)&gt;0)*(N('Dvd Calendar'!$O$1254)&lt;=VAL_SERIAL)*1000000+13*1000+51))</f>
        <v/>
      </c>
      <c r="GD128" s="39">
        <f>IF(N('Dvd Calendar'!$P$1255)=0,"",IF(('Dvd Calendar'!$P$1255&gt;=GRID_FROM)*('Dvd Calendar'!$P$1255&lt;=GRID_TO)*('Dvd Calendar'!$P$1255&gt;VAL_DATE)=0,"",'Dvd Calendar'!$P$1255*1000000000+ISNUMBER('Dvd Calendar'!$P$1256)*100000000+0*10000000+(N('Dvd Calendar'!$P$1254)&gt;0)*(N('Dvd Calendar'!$P$1254)&lt;=VAL_SERIAL)*1000000+13*1000+52))</f>
        <v/>
      </c>
      <c r="GE128" s="39">
        <f>IF(N('Dvd Calendar'!$Q$1255)=0,"",IF(('Dvd Calendar'!$Q$1255&gt;=GRID_FROM)*('Dvd Calendar'!$Q$1255&lt;=GRID_TO)*('Dvd Calendar'!$Q$1255&gt;VAL_DATE)=0,"",'Dvd Calendar'!$Q$1255*1000000000+ISNUMBER('Dvd Calendar'!$Q$1256)*100000000+0*10000000+(N('Dvd Calendar'!$Q$1254)&gt;0)*(N('Dvd Calendar'!$Q$1254)&lt;=VAL_SERIAL)*1000000+13*1000+53))</f>
        <v/>
      </c>
      <c r="GF128" s="39">
        <f>IF(N('Dvd Calendar'!$R$1255)=0,"",IF(('Dvd Calendar'!$R$1255&gt;=GRID_FROM)*('Dvd Calendar'!$R$1255&lt;=GRID_TO)*('Dvd Calendar'!$R$1255&gt;VAL_DATE)=0,"",'Dvd Calendar'!$R$1255*1000000000+ISNUMBER('Dvd Calendar'!$R$1256)*100000000+0*10000000+(N('Dvd Calendar'!$R$1254)&gt;0)*(N('Dvd Calendar'!$R$1254)&lt;=VAL_SERIAL)*1000000+13*1000+54))</f>
        <v/>
      </c>
      <c r="GG128" s="39">
        <f>IF(N('Dvd Calendar'!$S$1255)=0,"",IF(('Dvd Calendar'!$S$1255&gt;=GRID_FROM)*('Dvd Calendar'!$S$1255&lt;=GRID_TO)*('Dvd Calendar'!$S$1255&gt;VAL_DATE)=0,"",'Dvd Calendar'!$S$1255*1000000000+ISNUMBER('Dvd Calendar'!$S$1256)*100000000+0*10000000+(N('Dvd Calendar'!$S$1254)&gt;0)*(N('Dvd Calendar'!$S$1254)&lt;=VAL_SERIAL)*1000000+13*1000+55))</f>
        <v/>
      </c>
      <c r="GH128" s="39">
        <f>IF(N('Dvd Calendar'!$T$1255)=0,"",IF(('Dvd Calendar'!$T$1255&gt;=GRID_FROM)*('Dvd Calendar'!$T$1255&lt;=GRID_TO)*('Dvd Calendar'!$T$1255&gt;VAL_DATE)=0,"",'Dvd Calendar'!$T$1255*1000000000+ISNUMBER('Dvd Calendar'!$T$1256)*100000000+0*10000000+(N('Dvd Calendar'!$T$1254)&gt;0)*(N('Dvd Calendar'!$T$1254)&lt;=VAL_SERIAL)*1000000+13*1000+56))</f>
        <v/>
      </c>
      <c r="GI128" s="39">
        <f>IF(N('Dvd Calendar'!$U$1255)=0,"",IF(('Dvd Calendar'!$U$1255&gt;=GRID_FROM)*('Dvd Calendar'!$U$1255&lt;=GRID_TO)*('Dvd Calendar'!$U$1255&gt;VAL_DATE)=0,"",'Dvd Calendar'!$U$1255*1000000000+ISNUMBER('Dvd Calendar'!$U$1256)*100000000+0*10000000+(N('Dvd Calendar'!$U$1254)&gt;0)*(N('Dvd Calendar'!$U$1254)&lt;=VAL_SERIAL)*1000000+13*1000+57))</f>
        <v/>
      </c>
      <c r="GJ128" s="39">
        <f>IF(N('Dvd Calendar'!$V$1255)=0,"",IF(('Dvd Calendar'!$V$1255&gt;=GRID_FROM)*('Dvd Calendar'!$V$1255&lt;=GRID_TO)*('Dvd Calendar'!$V$1255&gt;VAL_DATE)=0,"",'Dvd Calendar'!$V$1255*1000000000+ISNUMBER('Dvd Calendar'!$V$1256)*100000000+0*10000000+(N('Dvd Calendar'!$V$1254)&gt;0)*(N('Dvd Calendar'!$V$1254)&lt;=VAL_SERIAL)*1000000+13*1000+58))</f>
        <v/>
      </c>
      <c r="GK128" s="39">
        <f>IF(N('Dvd Calendar'!$W$1255)=0,"",IF(('Dvd Calendar'!$W$1255&gt;=GRID_FROM)*('Dvd Calendar'!$W$1255&lt;=GRID_TO)*('Dvd Calendar'!$W$1255&gt;VAL_DATE)=0,"",'Dvd Calendar'!$W$1255*1000000000+ISNUMBER('Dvd Calendar'!$W$1256)*100000000+0*10000000+(N('Dvd Calendar'!$W$1254)&gt;0)*(N('Dvd Calendar'!$W$1254)&lt;=VAL_SERIAL)*1000000+13*1000+59))</f>
        <v/>
      </c>
      <c r="GL128" s="39">
        <f>IF(N('Dvd Calendar'!$X$1255)=0,"",IF(('Dvd Calendar'!$X$1255&gt;=GRID_FROM)*('Dvd Calendar'!$X$1255&lt;=GRID_TO)*('Dvd Calendar'!$X$1255&gt;VAL_DATE)=0,"",'Dvd Calendar'!$X$1255*1000000000+ISNUMBER('Dvd Calendar'!$X$1256)*100000000+0*10000000+(N('Dvd Calendar'!$X$1254)&gt;0)*(N('Dvd Calendar'!$X$1254)&lt;=VAL_SERIAL)*1000000+13*1000+60))</f>
        <v/>
      </c>
      <c r="GM128" s="39">
        <f>IF(N('Dvd Calendar'!$Y$1255)=0,"",IF(('Dvd Calendar'!$Y$1255&gt;=GRID_FROM)*('Dvd Calendar'!$Y$1255&lt;=GRID_TO)*('Dvd Calendar'!$Y$1255&gt;VAL_DATE)=0,"",'Dvd Calendar'!$Y$1255*1000000000+ISNUMBER('Dvd Calendar'!$Y$1256)*100000000+0*10000000+(N('Dvd Calendar'!$Y$1254)&gt;0)*(N('Dvd Calendar'!$Y$1254)&lt;=VAL_SERIAL)*1000000+13*1000+61))</f>
        <v/>
      </c>
      <c r="GN128" s="39">
        <f>IF(N('Dvd Calendar'!$Z$1255)=0,"",IF(('Dvd Calendar'!$Z$1255&gt;=GRID_FROM)*('Dvd Calendar'!$Z$1255&lt;=GRID_TO)*('Dvd Calendar'!$Z$1255&gt;VAL_DATE)=0,"",'Dvd Calendar'!$Z$1255*1000000000+ISNUMBER('Dvd Calendar'!$Z$1256)*100000000+0*10000000+(N('Dvd Calendar'!$Z$1254)&gt;0)*(N('Dvd Calendar'!$Z$1254)&lt;=VAL_SERIAL)*1000000+13*1000+62))</f>
        <v/>
      </c>
      <c r="GO128" s="39">
        <f>IF(N('Dvd Calendar'!$AA$1255)=0,"",IF(('Dvd Calendar'!$AA$1255&gt;=GRID_FROM)*('Dvd Calendar'!$AA$1255&lt;=GRID_TO)*('Dvd Calendar'!$AA$1255&gt;VAL_DATE)=0,"",'Dvd Calendar'!$AA$1255*1000000000+ISNUMBER('Dvd Calendar'!$AA$1256)*100000000+0*10000000+(N('Dvd Calendar'!$AA$1254)&gt;0)*(N('Dvd Calendar'!$AA$1254)&lt;=VAL_SERIAL)*1000000+13*1000+63))</f>
        <v/>
      </c>
      <c r="GP128" s="39">
        <f>IF(N('Dvd Calendar'!$AB$1255)=0,"",IF(('Dvd Calendar'!$AB$1255&gt;=GRID_FROM)*('Dvd Calendar'!$AB$1255&lt;=GRID_TO)*('Dvd Calendar'!$AB$1255&gt;VAL_DATE)=0,"",'Dvd Calendar'!$AB$1255*1000000000+ISNUMBER('Dvd Calendar'!$AB$1256)*100000000+0*10000000+(N('Dvd Calendar'!$AB$1254)&gt;0)*(N('Dvd Calendar'!$AB$1254)&lt;=VAL_SERIAL)*1000000+13*1000+64))</f>
        <v/>
      </c>
      <c r="GQ128" s="39">
        <f>IF(N('Dvd Calendar'!$AC$1255)=0,"",IF(('Dvd Calendar'!$AC$1255&gt;=GRID_FROM)*('Dvd Calendar'!$AC$1255&lt;=GRID_TO)*('Dvd Calendar'!$AC$1255&gt;VAL_DATE)=0,"",'Dvd Calendar'!$AC$1255*1000000000+ISNUMBER('Dvd Calendar'!$AC$1256)*100000000+0*10000000+(N('Dvd Calendar'!$AC$1254)&gt;0)*(N('Dvd Calendar'!$AC$1254)&lt;=VAL_SERIAL)*1000000+13*1000+65))</f>
        <v/>
      </c>
    </row>
    <row r="129">
      <c r="B129" s="2">
        <f>IF(HSTECH!$C$20="","",HSTECH!$C$20)</f>
        <v/>
      </c>
      <c r="C129" s="110">
        <f>IF(EE129="","",IF(ISNUMBER('Dvd Calendar'!$E$1262)=FALSE,"",IF((('Dvd Calendar'!$E$1264=TYPE1)*(TYPE1&lt;&gt;"")+('Dvd Calendar'!$E$1264=TYPE2)*(TYPE2&lt;&gt;"")+('Dvd Calendar'!$E$1264=TYPE3)*(TYPE3&lt;&gt;"")+('Dvd Calendar'!$E$1264=TYPE4)*(TYPE4&lt;&gt;"")+('Dvd Calendar'!$E$1264=SPECIAL_LBL)*(INC_SPECIALS="Y"))=0,"",'Dvd Calendar'!$E$1262)))</f>
        <v/>
      </c>
      <c r="D129" s="110">
        <f>IF(EF129="","",IF(ISNUMBER('Dvd Calendar'!$F$1262)=FALSE,"",IF((('Dvd Calendar'!$F$1264=TYPE1)*(TYPE1&lt;&gt;"")+('Dvd Calendar'!$F$1264=TYPE2)*(TYPE2&lt;&gt;"")+('Dvd Calendar'!$F$1264=TYPE3)*(TYPE3&lt;&gt;"")+('Dvd Calendar'!$F$1264=TYPE4)*(TYPE4&lt;&gt;"")+('Dvd Calendar'!$F$1264=SPECIAL_LBL)*(INC_SPECIALS="Y"))=0,"",'Dvd Calendar'!$F$1262)))</f>
        <v/>
      </c>
      <c r="E129" s="110">
        <f>IF(EG129="","",IF(ISNUMBER('Dvd Calendar'!$G$1262)=FALSE,"",IF((('Dvd Calendar'!$G$1264=TYPE1)*(TYPE1&lt;&gt;"")+('Dvd Calendar'!$G$1264=TYPE2)*(TYPE2&lt;&gt;"")+('Dvd Calendar'!$G$1264=TYPE3)*(TYPE3&lt;&gt;"")+('Dvd Calendar'!$G$1264=TYPE4)*(TYPE4&lt;&gt;"")+('Dvd Calendar'!$G$1264=SPECIAL_LBL)*(INC_SPECIALS="Y"))=0,"",'Dvd Calendar'!$G$1262)))</f>
        <v/>
      </c>
      <c r="F129" s="110">
        <f>IF(EH129="","",IF(ISNUMBER('Dvd Calendar'!$H$1262)=FALSE,"",IF((('Dvd Calendar'!$H$1264=TYPE1)*(TYPE1&lt;&gt;"")+('Dvd Calendar'!$H$1264=TYPE2)*(TYPE2&lt;&gt;"")+('Dvd Calendar'!$H$1264=TYPE3)*(TYPE3&lt;&gt;"")+('Dvd Calendar'!$H$1264=TYPE4)*(TYPE4&lt;&gt;"")+('Dvd Calendar'!$H$1264=SPECIAL_LBL)*(INC_SPECIALS="Y"))=0,"",'Dvd Calendar'!$H$1262)))</f>
        <v/>
      </c>
      <c r="G129" s="110">
        <f>IF(EI129="","",IF(ISNUMBER('Dvd Calendar'!$I$1262)=FALSE,"",IF((('Dvd Calendar'!$I$1264=TYPE1)*(TYPE1&lt;&gt;"")+('Dvd Calendar'!$I$1264=TYPE2)*(TYPE2&lt;&gt;"")+('Dvd Calendar'!$I$1264=TYPE3)*(TYPE3&lt;&gt;"")+('Dvd Calendar'!$I$1264=TYPE4)*(TYPE4&lt;&gt;"")+('Dvd Calendar'!$I$1264=SPECIAL_LBL)*(INC_SPECIALS="Y"))=0,"",'Dvd Calendar'!$I$1262)))</f>
        <v/>
      </c>
      <c r="H129" s="110">
        <f>IF(EJ129="","",IF(ISNUMBER('Dvd Calendar'!$J$1262)=FALSE,"",IF((('Dvd Calendar'!$J$1264=TYPE1)*(TYPE1&lt;&gt;"")+('Dvd Calendar'!$J$1264=TYPE2)*(TYPE2&lt;&gt;"")+('Dvd Calendar'!$J$1264=TYPE3)*(TYPE3&lt;&gt;"")+('Dvd Calendar'!$J$1264=TYPE4)*(TYPE4&lt;&gt;"")+('Dvd Calendar'!$J$1264=SPECIAL_LBL)*(INC_SPECIALS="Y"))=0,"",'Dvd Calendar'!$J$1262)))</f>
        <v/>
      </c>
      <c r="I129" s="110">
        <f>IF(EK129="","",IF(ISNUMBER('Dvd Calendar'!$K$1262)=FALSE,"",IF((('Dvd Calendar'!$K$1264=TYPE1)*(TYPE1&lt;&gt;"")+('Dvd Calendar'!$K$1264=TYPE2)*(TYPE2&lt;&gt;"")+('Dvd Calendar'!$K$1264=TYPE3)*(TYPE3&lt;&gt;"")+('Dvd Calendar'!$K$1264=TYPE4)*(TYPE4&lt;&gt;"")+('Dvd Calendar'!$K$1264=SPECIAL_LBL)*(INC_SPECIALS="Y"))=0,"",'Dvd Calendar'!$K$1262)))</f>
        <v/>
      </c>
      <c r="J129" s="110">
        <f>IF(EL129="","",IF(ISNUMBER('Dvd Calendar'!$L$1262)=FALSE,"",IF((('Dvd Calendar'!$L$1264=TYPE1)*(TYPE1&lt;&gt;"")+('Dvd Calendar'!$L$1264=TYPE2)*(TYPE2&lt;&gt;"")+('Dvd Calendar'!$L$1264=TYPE3)*(TYPE3&lt;&gt;"")+('Dvd Calendar'!$L$1264=TYPE4)*(TYPE4&lt;&gt;"")+('Dvd Calendar'!$L$1264=SPECIAL_LBL)*(INC_SPECIALS="Y"))=0,"",'Dvd Calendar'!$L$1262)))</f>
        <v/>
      </c>
      <c r="K129" s="110">
        <f>IF(EM129="","",IF(ISNUMBER('Dvd Calendar'!$M$1262)=FALSE,"",IF((('Dvd Calendar'!$M$1264=TYPE1)*(TYPE1&lt;&gt;"")+('Dvd Calendar'!$M$1264=TYPE2)*(TYPE2&lt;&gt;"")+('Dvd Calendar'!$M$1264=TYPE3)*(TYPE3&lt;&gt;"")+('Dvd Calendar'!$M$1264=TYPE4)*(TYPE4&lt;&gt;"")+('Dvd Calendar'!$M$1264=SPECIAL_LBL)*(INC_SPECIALS="Y"))=0,"",'Dvd Calendar'!$M$1262)))</f>
        <v/>
      </c>
      <c r="L129" s="110">
        <f>IF(EN129="","",IF(ISNUMBER('Dvd Calendar'!$N$1262)=FALSE,"",IF((('Dvd Calendar'!$N$1264=TYPE1)*(TYPE1&lt;&gt;"")+('Dvd Calendar'!$N$1264=TYPE2)*(TYPE2&lt;&gt;"")+('Dvd Calendar'!$N$1264=TYPE3)*(TYPE3&lt;&gt;"")+('Dvd Calendar'!$N$1264=TYPE4)*(TYPE4&lt;&gt;"")+('Dvd Calendar'!$N$1264=SPECIAL_LBL)*(INC_SPECIALS="Y"))=0,"",'Dvd Calendar'!$N$1262)))</f>
        <v/>
      </c>
      <c r="M129" s="110">
        <f>IF(EO129="","",IF(ISNUMBER('Dvd Calendar'!$O$1262)=FALSE,"",IF((('Dvd Calendar'!$O$1264=TYPE1)*(TYPE1&lt;&gt;"")+('Dvd Calendar'!$O$1264=TYPE2)*(TYPE2&lt;&gt;"")+('Dvd Calendar'!$O$1264=TYPE3)*(TYPE3&lt;&gt;"")+('Dvd Calendar'!$O$1264=TYPE4)*(TYPE4&lt;&gt;"")+('Dvd Calendar'!$O$1264=SPECIAL_LBL)*(INC_SPECIALS="Y"))=0,"",'Dvd Calendar'!$O$1262)))</f>
        <v/>
      </c>
      <c r="N129" s="110">
        <f>IF(EP129="","",IF(ISNUMBER('Dvd Calendar'!$P$1262)=FALSE,"",IF((('Dvd Calendar'!$P$1264=TYPE1)*(TYPE1&lt;&gt;"")+('Dvd Calendar'!$P$1264=TYPE2)*(TYPE2&lt;&gt;"")+('Dvd Calendar'!$P$1264=TYPE3)*(TYPE3&lt;&gt;"")+('Dvd Calendar'!$P$1264=TYPE4)*(TYPE4&lt;&gt;"")+('Dvd Calendar'!$P$1264=SPECIAL_LBL)*(INC_SPECIALS="Y"))=0,"",'Dvd Calendar'!$P$1262)))</f>
        <v/>
      </c>
      <c r="O129" s="110">
        <f>IF(EQ129="","",IF(ISNUMBER('Dvd Calendar'!$Q$1262)=FALSE,"",IF((('Dvd Calendar'!$Q$1264=TYPE1)*(TYPE1&lt;&gt;"")+('Dvd Calendar'!$Q$1264=TYPE2)*(TYPE2&lt;&gt;"")+('Dvd Calendar'!$Q$1264=TYPE3)*(TYPE3&lt;&gt;"")+('Dvd Calendar'!$Q$1264=TYPE4)*(TYPE4&lt;&gt;"")+('Dvd Calendar'!$Q$1264=SPECIAL_LBL)*(INC_SPECIALS="Y"))=0,"",'Dvd Calendar'!$Q$1262)))</f>
        <v/>
      </c>
      <c r="P129" s="110">
        <f>IF(ER129="","",IF(ISNUMBER('Dvd Calendar'!$R$1262)=FALSE,"",IF((('Dvd Calendar'!$R$1264=TYPE1)*(TYPE1&lt;&gt;"")+('Dvd Calendar'!$R$1264=TYPE2)*(TYPE2&lt;&gt;"")+('Dvd Calendar'!$R$1264=TYPE3)*(TYPE3&lt;&gt;"")+('Dvd Calendar'!$R$1264=TYPE4)*(TYPE4&lt;&gt;"")+('Dvd Calendar'!$R$1264=SPECIAL_LBL)*(INC_SPECIALS="Y"))=0,"",'Dvd Calendar'!$R$1262)))</f>
        <v/>
      </c>
      <c r="Q129" s="110">
        <f>IF(ES129="","",IF(ISNUMBER('Dvd Calendar'!$S$1262)=FALSE,"",IF((('Dvd Calendar'!$S$1264=TYPE1)*(TYPE1&lt;&gt;"")+('Dvd Calendar'!$S$1264=TYPE2)*(TYPE2&lt;&gt;"")+('Dvd Calendar'!$S$1264=TYPE3)*(TYPE3&lt;&gt;"")+('Dvd Calendar'!$S$1264=TYPE4)*(TYPE4&lt;&gt;"")+('Dvd Calendar'!$S$1264=SPECIAL_LBL)*(INC_SPECIALS="Y"))=0,"",'Dvd Calendar'!$S$1262)))</f>
        <v/>
      </c>
      <c r="R129" s="110">
        <f>IF(ET129="","",IF(ISNUMBER('Dvd Calendar'!$T$1262)=FALSE,"",IF((('Dvd Calendar'!$T$1264=TYPE1)*(TYPE1&lt;&gt;"")+('Dvd Calendar'!$T$1264=TYPE2)*(TYPE2&lt;&gt;"")+('Dvd Calendar'!$T$1264=TYPE3)*(TYPE3&lt;&gt;"")+('Dvd Calendar'!$T$1264=TYPE4)*(TYPE4&lt;&gt;"")+('Dvd Calendar'!$T$1264=SPECIAL_LBL)*(INC_SPECIALS="Y"))=0,"",'Dvd Calendar'!$T$1262)))</f>
        <v/>
      </c>
      <c r="S129" s="110">
        <f>IF(EU129="","",IF(ISNUMBER('Dvd Calendar'!$U$1262)=FALSE,"",IF((('Dvd Calendar'!$U$1264=TYPE1)*(TYPE1&lt;&gt;"")+('Dvd Calendar'!$U$1264=TYPE2)*(TYPE2&lt;&gt;"")+('Dvd Calendar'!$U$1264=TYPE3)*(TYPE3&lt;&gt;"")+('Dvd Calendar'!$U$1264=TYPE4)*(TYPE4&lt;&gt;"")+('Dvd Calendar'!$U$1264=SPECIAL_LBL)*(INC_SPECIALS="Y"))=0,"",'Dvd Calendar'!$U$1262)))</f>
        <v/>
      </c>
      <c r="T129" s="110">
        <f>IF(EV129="","",IF(ISNUMBER('Dvd Calendar'!$V$1262)=FALSE,"",IF((('Dvd Calendar'!$V$1264=TYPE1)*(TYPE1&lt;&gt;"")+('Dvd Calendar'!$V$1264=TYPE2)*(TYPE2&lt;&gt;"")+('Dvd Calendar'!$V$1264=TYPE3)*(TYPE3&lt;&gt;"")+('Dvd Calendar'!$V$1264=TYPE4)*(TYPE4&lt;&gt;"")+('Dvd Calendar'!$V$1264=SPECIAL_LBL)*(INC_SPECIALS="Y"))=0,"",'Dvd Calendar'!$V$1262)))</f>
        <v/>
      </c>
      <c r="U129" s="110">
        <f>IF(EW129="","",IF(ISNUMBER('Dvd Calendar'!$W$1262)=FALSE,"",IF((('Dvd Calendar'!$W$1264=TYPE1)*(TYPE1&lt;&gt;"")+('Dvd Calendar'!$W$1264=TYPE2)*(TYPE2&lt;&gt;"")+('Dvd Calendar'!$W$1264=TYPE3)*(TYPE3&lt;&gt;"")+('Dvd Calendar'!$W$1264=TYPE4)*(TYPE4&lt;&gt;"")+('Dvd Calendar'!$W$1264=SPECIAL_LBL)*(INC_SPECIALS="Y"))=0,"",'Dvd Calendar'!$W$1262)))</f>
        <v/>
      </c>
      <c r="V129" s="110">
        <f>IF(EX129="","",IF(ISNUMBER('Dvd Calendar'!$X$1262)=FALSE,"",IF((('Dvd Calendar'!$X$1264=TYPE1)*(TYPE1&lt;&gt;"")+('Dvd Calendar'!$X$1264=TYPE2)*(TYPE2&lt;&gt;"")+('Dvd Calendar'!$X$1264=TYPE3)*(TYPE3&lt;&gt;"")+('Dvd Calendar'!$X$1264=TYPE4)*(TYPE4&lt;&gt;"")+('Dvd Calendar'!$X$1264=SPECIAL_LBL)*(INC_SPECIALS="Y"))=0,"",'Dvd Calendar'!$X$1262)))</f>
        <v/>
      </c>
      <c r="W129" s="110">
        <f>IF(EY129="","",IF(ISNUMBER('Dvd Calendar'!$Y$1262)=FALSE,"",IF((('Dvd Calendar'!$Y$1264=TYPE1)*(TYPE1&lt;&gt;"")+('Dvd Calendar'!$Y$1264=TYPE2)*(TYPE2&lt;&gt;"")+('Dvd Calendar'!$Y$1264=TYPE3)*(TYPE3&lt;&gt;"")+('Dvd Calendar'!$Y$1264=TYPE4)*(TYPE4&lt;&gt;"")+('Dvd Calendar'!$Y$1264=SPECIAL_LBL)*(INC_SPECIALS="Y"))=0,"",'Dvd Calendar'!$Y$1262)))</f>
        <v/>
      </c>
      <c r="X129" s="110">
        <f>IF(EZ129="","",IF(ISNUMBER('Dvd Calendar'!$Z$1262)=FALSE,"",IF((('Dvd Calendar'!$Z$1264=TYPE1)*(TYPE1&lt;&gt;"")+('Dvd Calendar'!$Z$1264=TYPE2)*(TYPE2&lt;&gt;"")+('Dvd Calendar'!$Z$1264=TYPE3)*(TYPE3&lt;&gt;"")+('Dvd Calendar'!$Z$1264=TYPE4)*(TYPE4&lt;&gt;"")+('Dvd Calendar'!$Z$1264=SPECIAL_LBL)*(INC_SPECIALS="Y"))=0,"",'Dvd Calendar'!$Z$1262)))</f>
        <v/>
      </c>
      <c r="Y129" s="110">
        <f>IF(FA129="","",IF(ISNUMBER('Dvd Calendar'!$AA$1262)=FALSE,"",IF((('Dvd Calendar'!$AA$1264=TYPE1)*(TYPE1&lt;&gt;"")+('Dvd Calendar'!$AA$1264=TYPE2)*(TYPE2&lt;&gt;"")+('Dvd Calendar'!$AA$1264=TYPE3)*(TYPE3&lt;&gt;"")+('Dvd Calendar'!$AA$1264=TYPE4)*(TYPE4&lt;&gt;"")+('Dvd Calendar'!$AA$1264=SPECIAL_LBL)*(INC_SPECIALS="Y"))=0,"",'Dvd Calendar'!$AA$1262)))</f>
        <v/>
      </c>
      <c r="Z129" s="110">
        <f>IF(FB129="","",IF(ISNUMBER('Dvd Calendar'!$AB$1262)=FALSE,"",IF((('Dvd Calendar'!$AB$1264=TYPE1)*(TYPE1&lt;&gt;"")+('Dvd Calendar'!$AB$1264=TYPE2)*(TYPE2&lt;&gt;"")+('Dvd Calendar'!$AB$1264=TYPE3)*(TYPE3&lt;&gt;"")+('Dvd Calendar'!$AB$1264=TYPE4)*(TYPE4&lt;&gt;"")+('Dvd Calendar'!$AB$1264=SPECIAL_LBL)*(INC_SPECIALS="Y"))=0,"",'Dvd Calendar'!$AB$1262)))</f>
        <v/>
      </c>
      <c r="AA129" s="110">
        <f>IF(FC129="","",IF(ISNUMBER('Dvd Calendar'!$AC$1262)=FALSE,"",IF((('Dvd Calendar'!$AC$1264=TYPE1)*(TYPE1&lt;&gt;"")+('Dvd Calendar'!$AC$1264=TYPE2)*(TYPE2&lt;&gt;"")+('Dvd Calendar'!$AC$1264=TYPE3)*(TYPE3&lt;&gt;"")+('Dvd Calendar'!$AC$1264=TYPE4)*(TYPE4&lt;&gt;"")+('Dvd Calendar'!$AC$1264=SPECIAL_LBL)*(INC_SPECIALS="Y"))=0,"",'Dvd Calendar'!$AC$1262)))</f>
        <v/>
      </c>
      <c r="AB129" s="110">
        <f>IF(FD129="","",IF(ISNUMBER('Dvd Calendar'!$AD$1262)=FALSE,"",IF((('Dvd Calendar'!$AD$1264=TYPE1)*(TYPE1&lt;&gt;"")+('Dvd Calendar'!$AD$1264=TYPE2)*(TYPE2&lt;&gt;"")+('Dvd Calendar'!$AD$1264=TYPE3)*(TYPE3&lt;&gt;"")+('Dvd Calendar'!$AD$1264=TYPE4)*(TYPE4&lt;&gt;"")+('Dvd Calendar'!$AD$1264=SPECIAL_LBL)*(INC_SPECIALS="Y"))=0,"",'Dvd Calendar'!$AD$1262)))</f>
        <v/>
      </c>
      <c r="AC129" s="110">
        <f>IF(FE129="","",IF(ISNUMBER('Dvd Calendar'!$AE$1262)=FALSE,"",IF((('Dvd Calendar'!$AE$1264=TYPE1)*(TYPE1&lt;&gt;"")+('Dvd Calendar'!$AE$1264=TYPE2)*(TYPE2&lt;&gt;"")+('Dvd Calendar'!$AE$1264=TYPE3)*(TYPE3&lt;&gt;"")+('Dvd Calendar'!$AE$1264=TYPE4)*(TYPE4&lt;&gt;"")+('Dvd Calendar'!$AE$1264=SPECIAL_LBL)*(INC_SPECIALS="Y"))=0,"",'Dvd Calendar'!$AE$1262)))</f>
        <v/>
      </c>
      <c r="AD129" s="110">
        <f>IF(FF129="","",IF(ISNUMBER('Dvd Calendar'!$AF$1262)=FALSE,"",IF((('Dvd Calendar'!$AF$1264=TYPE1)*(TYPE1&lt;&gt;"")+('Dvd Calendar'!$AF$1264=TYPE2)*(TYPE2&lt;&gt;"")+('Dvd Calendar'!$AF$1264=TYPE3)*(TYPE3&lt;&gt;"")+('Dvd Calendar'!$AF$1264=TYPE4)*(TYPE4&lt;&gt;"")+('Dvd Calendar'!$AF$1264=SPECIAL_LBL)*(INC_SPECIALS="Y"))=0,"",'Dvd Calendar'!$AF$1262)))</f>
        <v/>
      </c>
      <c r="AE129" s="110">
        <f>IF(FG129="","",IF(ISNUMBER('Dvd Calendar'!$AG$1262)=FALSE,"",IF((('Dvd Calendar'!$AG$1264=TYPE1)*(TYPE1&lt;&gt;"")+('Dvd Calendar'!$AG$1264=TYPE2)*(TYPE2&lt;&gt;"")+('Dvd Calendar'!$AG$1264=TYPE3)*(TYPE3&lt;&gt;"")+('Dvd Calendar'!$AG$1264=TYPE4)*(TYPE4&lt;&gt;"")+('Dvd Calendar'!$AG$1264=SPECIAL_LBL)*(INC_SPECIALS="Y"))=0,"",'Dvd Calendar'!$AG$1262)))</f>
        <v/>
      </c>
      <c r="AF129" s="110">
        <f>IF(FH129="","",IF(ISNUMBER('Dvd Calendar'!$AH$1262)=FALSE,"",IF((('Dvd Calendar'!$AH$1264=TYPE1)*(TYPE1&lt;&gt;"")+('Dvd Calendar'!$AH$1264=TYPE2)*(TYPE2&lt;&gt;"")+('Dvd Calendar'!$AH$1264=TYPE3)*(TYPE3&lt;&gt;"")+('Dvd Calendar'!$AH$1264=TYPE4)*(TYPE4&lt;&gt;"")+('Dvd Calendar'!$AH$1264=SPECIAL_LBL)*(INC_SPECIALS="Y"))=0,"",'Dvd Calendar'!$AH$1262)))</f>
        <v/>
      </c>
      <c r="AG129" s="110">
        <f>IF(FI129="","",IF(ISNUMBER('Dvd Calendar'!$AI$1262)=FALSE,"",IF((('Dvd Calendar'!$AI$1264=TYPE1)*(TYPE1&lt;&gt;"")+('Dvd Calendar'!$AI$1264=TYPE2)*(TYPE2&lt;&gt;"")+('Dvd Calendar'!$AI$1264=TYPE3)*(TYPE3&lt;&gt;"")+('Dvd Calendar'!$AI$1264=TYPE4)*(TYPE4&lt;&gt;"")+('Dvd Calendar'!$AI$1264=SPECIAL_LBL)*(INC_SPECIALS="Y"))=0,"",'Dvd Calendar'!$AI$1262)))</f>
        <v/>
      </c>
      <c r="AH129" s="110">
        <f>IF(FJ129="","",IF(ISNUMBER('Dvd Calendar'!$AJ$1262)=FALSE,"",IF((('Dvd Calendar'!$AJ$1264=TYPE1)*(TYPE1&lt;&gt;"")+('Dvd Calendar'!$AJ$1264=TYPE2)*(TYPE2&lt;&gt;"")+('Dvd Calendar'!$AJ$1264=TYPE3)*(TYPE3&lt;&gt;"")+('Dvd Calendar'!$AJ$1264=TYPE4)*(TYPE4&lt;&gt;"")+('Dvd Calendar'!$AJ$1264=SPECIAL_LBL)*(INC_SPECIALS="Y"))=0,"",'Dvd Calendar'!$AJ$1262)))</f>
        <v/>
      </c>
      <c r="AI129" s="110">
        <f>IF(FK129="","",IF(ISNUMBER('Dvd Calendar'!$AK$1262)=FALSE,"",IF((('Dvd Calendar'!$AK$1264=TYPE1)*(TYPE1&lt;&gt;"")+('Dvd Calendar'!$AK$1264=TYPE2)*(TYPE2&lt;&gt;"")+('Dvd Calendar'!$AK$1264=TYPE3)*(TYPE3&lt;&gt;"")+('Dvd Calendar'!$AK$1264=TYPE4)*(TYPE4&lt;&gt;"")+('Dvd Calendar'!$AK$1264=SPECIAL_LBL)*(INC_SPECIALS="Y"))=0,"",'Dvd Calendar'!$AK$1262)))</f>
        <v/>
      </c>
      <c r="AJ129" s="110">
        <f>IF(FL129="","",IF(ISNUMBER('Dvd Calendar'!$AL$1262)=FALSE,"",IF((('Dvd Calendar'!$AL$1264=TYPE1)*(TYPE1&lt;&gt;"")+('Dvd Calendar'!$AL$1264=TYPE2)*(TYPE2&lt;&gt;"")+('Dvd Calendar'!$AL$1264=TYPE3)*(TYPE3&lt;&gt;"")+('Dvd Calendar'!$AL$1264=TYPE4)*(TYPE4&lt;&gt;"")+('Dvd Calendar'!$AL$1264=SPECIAL_LBL)*(INC_SPECIALS="Y"))=0,"",'Dvd Calendar'!$AL$1262)))</f>
        <v/>
      </c>
      <c r="AK129" s="110">
        <f>IF(FM129="","",IF(ISNUMBER('Dvd Calendar'!$AM$1262)=FALSE,"",IF((('Dvd Calendar'!$AM$1264=TYPE1)*(TYPE1&lt;&gt;"")+('Dvd Calendar'!$AM$1264=TYPE2)*(TYPE2&lt;&gt;"")+('Dvd Calendar'!$AM$1264=TYPE3)*(TYPE3&lt;&gt;"")+('Dvd Calendar'!$AM$1264=TYPE4)*(TYPE4&lt;&gt;"")+('Dvd Calendar'!$AM$1264=SPECIAL_LBL)*(INC_SPECIALS="Y"))=0,"",'Dvd Calendar'!$AM$1262)))</f>
        <v/>
      </c>
      <c r="AL129" s="110">
        <f>IF(FN129="","",IF(ISNUMBER('Dvd Calendar'!$AN$1262)=FALSE,"",IF((('Dvd Calendar'!$AN$1264=TYPE1)*(TYPE1&lt;&gt;"")+('Dvd Calendar'!$AN$1264=TYPE2)*(TYPE2&lt;&gt;"")+('Dvd Calendar'!$AN$1264=TYPE3)*(TYPE3&lt;&gt;"")+('Dvd Calendar'!$AN$1264=TYPE4)*(TYPE4&lt;&gt;"")+('Dvd Calendar'!$AN$1264=SPECIAL_LBL)*(INC_SPECIALS="Y"))=0,"",'Dvd Calendar'!$AN$1262)))</f>
        <v/>
      </c>
      <c r="AM129" s="110">
        <f>IF(FO129="","",IF(ISNUMBER('Dvd Calendar'!$AO$1262)=FALSE,"",IF((('Dvd Calendar'!$AO$1264=TYPE1)*(TYPE1&lt;&gt;"")+('Dvd Calendar'!$AO$1264=TYPE2)*(TYPE2&lt;&gt;"")+('Dvd Calendar'!$AO$1264=TYPE3)*(TYPE3&lt;&gt;"")+('Dvd Calendar'!$AO$1264=TYPE4)*(TYPE4&lt;&gt;"")+('Dvd Calendar'!$AO$1264=SPECIAL_LBL)*(INC_SPECIALS="Y"))=0,"",'Dvd Calendar'!$AO$1262)))</f>
        <v/>
      </c>
      <c r="AN129" s="110">
        <f>IF(FP129="","",IF(ISNUMBER('Dvd Calendar'!$AP$1262)=FALSE,"",IF((('Dvd Calendar'!$AP$1264=TYPE1)*(TYPE1&lt;&gt;"")+('Dvd Calendar'!$AP$1264=TYPE2)*(TYPE2&lt;&gt;"")+('Dvd Calendar'!$AP$1264=TYPE3)*(TYPE3&lt;&gt;"")+('Dvd Calendar'!$AP$1264=TYPE4)*(TYPE4&lt;&gt;"")+('Dvd Calendar'!$AP$1264=SPECIAL_LBL)*(INC_SPECIALS="Y"))=0,"",'Dvd Calendar'!$AP$1262)))</f>
        <v/>
      </c>
      <c r="AO129" s="110">
        <f>IF(FQ129="","",IF(ISNUMBER('Dvd Calendar'!$AQ$1262)=FALSE,"",IF((('Dvd Calendar'!$AQ$1264=TYPE1)*(TYPE1&lt;&gt;"")+('Dvd Calendar'!$AQ$1264=TYPE2)*(TYPE2&lt;&gt;"")+('Dvd Calendar'!$AQ$1264=TYPE3)*(TYPE3&lt;&gt;"")+('Dvd Calendar'!$AQ$1264=TYPE4)*(TYPE4&lt;&gt;"")+('Dvd Calendar'!$AQ$1264=SPECIAL_LBL)*(INC_SPECIALS="Y"))=0,"",'Dvd Calendar'!$AQ$1262)))</f>
        <v/>
      </c>
      <c r="AP129" s="110">
        <f>IF(FR129="","",IF(ISNUMBER('Dvd Calendar'!$AR$1262)=FALSE,"",IF((('Dvd Calendar'!$AR$1264=TYPE1)*(TYPE1&lt;&gt;"")+('Dvd Calendar'!$AR$1264=TYPE2)*(TYPE2&lt;&gt;"")+('Dvd Calendar'!$AR$1264=TYPE3)*(TYPE3&lt;&gt;"")+('Dvd Calendar'!$AR$1264=TYPE4)*(TYPE4&lt;&gt;"")+('Dvd Calendar'!$AR$1264=SPECIAL_LBL)*(INC_SPECIALS="Y"))=0,"",'Dvd Calendar'!$AR$1262)))</f>
        <v/>
      </c>
      <c r="AQ129" s="110">
        <f>IF(FS129="","",IF(ISNUMBER('Dvd Calendar'!$E$1267)=FALSE,"",'Dvd Calendar'!$E$1267))</f>
        <v/>
      </c>
      <c r="AR129" s="110">
        <f>IF(FT129="","",IF(ISNUMBER('Dvd Calendar'!$F$1267)=FALSE,"",'Dvd Calendar'!$F$1267))</f>
        <v/>
      </c>
      <c r="AS129" s="110">
        <f>IF(FU129="","",IF(ISNUMBER('Dvd Calendar'!$G$1267)=FALSE,"",'Dvd Calendar'!$G$1267))</f>
        <v/>
      </c>
      <c r="AT129" s="110">
        <f>IF(FV129="","",IF(ISNUMBER('Dvd Calendar'!$H$1267)=FALSE,"",'Dvd Calendar'!$H$1267))</f>
        <v/>
      </c>
      <c r="AU129" s="110">
        <f>IF(FW129="","",IF(ISNUMBER('Dvd Calendar'!$I$1267)=FALSE,"",'Dvd Calendar'!$I$1267))</f>
        <v/>
      </c>
      <c r="AV129" s="110">
        <f>IF(FX129="","",IF(ISNUMBER('Dvd Calendar'!$J$1267)=FALSE,"",'Dvd Calendar'!$J$1267))</f>
        <v/>
      </c>
      <c r="AW129" s="110">
        <f>IF(FY129="","",IF(ISNUMBER('Dvd Calendar'!$K$1267)=FALSE,"",'Dvd Calendar'!$K$1267))</f>
        <v/>
      </c>
      <c r="AX129" s="110">
        <f>IF(FZ129="","",IF(ISNUMBER('Dvd Calendar'!$L$1267)=FALSE,"",'Dvd Calendar'!$L$1267))</f>
        <v/>
      </c>
      <c r="AY129" s="110">
        <f>IF(GA129="","",IF(ISNUMBER('Dvd Calendar'!$M$1267)=FALSE,"",'Dvd Calendar'!$M$1267))</f>
        <v/>
      </c>
      <c r="AZ129" s="110">
        <f>IF(GB129="","",IF(ISNUMBER('Dvd Calendar'!$N$1267)=FALSE,"",'Dvd Calendar'!$N$1267))</f>
        <v/>
      </c>
      <c r="BA129" s="110">
        <f>IF(GC129="","",IF(ISNUMBER('Dvd Calendar'!$O$1267)=FALSE,"",'Dvd Calendar'!$O$1267))</f>
        <v/>
      </c>
      <c r="BB129" s="110">
        <f>IF(GD129="","",IF(ISNUMBER('Dvd Calendar'!$P$1267)=FALSE,"",'Dvd Calendar'!$P$1267))</f>
        <v/>
      </c>
      <c r="BC129" s="110">
        <f>IF(GE129="","",IF(ISNUMBER('Dvd Calendar'!$Q$1267)=FALSE,"",'Dvd Calendar'!$Q$1267))</f>
        <v/>
      </c>
      <c r="BD129" s="110">
        <f>IF(GF129="","",IF(ISNUMBER('Dvd Calendar'!$R$1267)=FALSE,"",'Dvd Calendar'!$R$1267))</f>
        <v/>
      </c>
      <c r="BE129" s="110">
        <f>IF(GG129="","",IF(ISNUMBER('Dvd Calendar'!$S$1267)=FALSE,"",'Dvd Calendar'!$S$1267))</f>
        <v/>
      </c>
      <c r="BF129" s="110">
        <f>IF(GH129="","",IF(ISNUMBER('Dvd Calendar'!$T$1267)=FALSE,"",'Dvd Calendar'!$T$1267))</f>
        <v/>
      </c>
      <c r="BG129" s="110">
        <f>IF(GI129="","",IF(ISNUMBER('Dvd Calendar'!$U$1267)=FALSE,"",'Dvd Calendar'!$U$1267))</f>
        <v/>
      </c>
      <c r="BH129" s="110">
        <f>IF(GJ129="","",IF(ISNUMBER('Dvd Calendar'!$V$1267)=FALSE,"",'Dvd Calendar'!$V$1267))</f>
        <v/>
      </c>
      <c r="BI129" s="110">
        <f>IF(GK129="","",IF(ISNUMBER('Dvd Calendar'!$W$1267)=FALSE,"",'Dvd Calendar'!$W$1267))</f>
        <v/>
      </c>
      <c r="BJ129" s="110">
        <f>IF(GL129="","",IF(ISNUMBER('Dvd Calendar'!$X$1267)=FALSE,"",'Dvd Calendar'!$X$1267))</f>
        <v/>
      </c>
      <c r="BK129" s="110">
        <f>IF(GM129="","",IF(ISNUMBER('Dvd Calendar'!$Y$1267)=FALSE,"",'Dvd Calendar'!$Y$1267))</f>
        <v/>
      </c>
      <c r="BL129" s="110">
        <f>IF(GN129="","",IF(ISNUMBER('Dvd Calendar'!$Z$1267)=FALSE,"",'Dvd Calendar'!$Z$1267))</f>
        <v/>
      </c>
      <c r="BM129" s="110">
        <f>IF(GO129="","",IF(ISNUMBER('Dvd Calendar'!$AA$1267)=FALSE,"",'Dvd Calendar'!$AA$1267))</f>
        <v/>
      </c>
      <c r="BN129" s="110">
        <f>IF(GP129="","",IF(ISNUMBER('Dvd Calendar'!$AB$1267)=FALSE,"",'Dvd Calendar'!$AB$1267))</f>
        <v/>
      </c>
      <c r="BO129" s="110">
        <f>IF(GQ129="","",IF(ISNUMBER('Dvd Calendar'!$AC$1267)=FALSE,"",'Dvd Calendar'!$AC$1267))</f>
        <v/>
      </c>
      <c r="BQ129" s="110">
        <f>IF(C129="","",IFERROR(C129*HSTECH!$B$20*HSTECH!$G$20/HSTECH!$B$3,""))</f>
        <v/>
      </c>
      <c r="BR129" s="110">
        <f>IF(D129="","",IFERROR(D129*HSTECH!$B$20*HSTECH!$G$20/HSTECH!$B$3,""))</f>
        <v/>
      </c>
      <c r="BS129" s="110">
        <f>IF(E129="","",IFERROR(E129*HSTECH!$B$20*HSTECH!$G$20/HSTECH!$B$3,""))</f>
        <v/>
      </c>
      <c r="BT129" s="110">
        <f>IF(F129="","",IFERROR(F129*HSTECH!$B$20*HSTECH!$G$20/HSTECH!$B$3,""))</f>
        <v/>
      </c>
      <c r="BU129" s="110">
        <f>IF(G129="","",IFERROR(G129*HSTECH!$B$20*HSTECH!$G$20/HSTECH!$B$3,""))</f>
        <v/>
      </c>
      <c r="BV129" s="110">
        <f>IF(H129="","",IFERROR(H129*HSTECH!$B$20*HSTECH!$G$20/HSTECH!$B$3,""))</f>
        <v/>
      </c>
      <c r="BW129" s="110">
        <f>IF(I129="","",IFERROR(I129*HSTECH!$B$20*HSTECH!$G$20/HSTECH!$B$3,""))</f>
        <v/>
      </c>
      <c r="BX129" s="110">
        <f>IF(J129="","",IFERROR(J129*HSTECH!$B$20*HSTECH!$G$20/HSTECH!$B$3,""))</f>
        <v/>
      </c>
      <c r="BY129" s="110">
        <f>IF(K129="","",IFERROR(K129*HSTECH!$B$20*HSTECH!$G$20/HSTECH!$B$3,""))</f>
        <v/>
      </c>
      <c r="BZ129" s="110">
        <f>IF(L129="","",IFERROR(L129*HSTECH!$B$20*HSTECH!$G$20/HSTECH!$B$3,""))</f>
        <v/>
      </c>
      <c r="CA129" s="110">
        <f>IF(M129="","",IFERROR(M129*HSTECH!$B$20*HSTECH!$G$20/HSTECH!$B$3,""))</f>
        <v/>
      </c>
      <c r="CB129" s="110">
        <f>IF(N129="","",IFERROR(N129*HSTECH!$B$20*HSTECH!$G$20/HSTECH!$B$3,""))</f>
        <v/>
      </c>
      <c r="CC129" s="110">
        <f>IF(O129="","",IFERROR(O129*HSTECH!$B$20*HSTECH!$G$20/HSTECH!$B$3,""))</f>
        <v/>
      </c>
      <c r="CD129" s="110">
        <f>IF(P129="","",IFERROR(P129*HSTECH!$B$20*HSTECH!$G$20/HSTECH!$B$3,""))</f>
        <v/>
      </c>
      <c r="CE129" s="110">
        <f>IF(Q129="","",IFERROR(Q129*HSTECH!$B$20*HSTECH!$G$20/HSTECH!$B$3,""))</f>
        <v/>
      </c>
      <c r="CF129" s="110">
        <f>IF(R129="","",IFERROR(R129*HSTECH!$B$20*HSTECH!$G$20/HSTECH!$B$3,""))</f>
        <v/>
      </c>
      <c r="CG129" s="110">
        <f>IF(S129="","",IFERROR(S129*HSTECH!$B$20*HSTECH!$G$20/HSTECH!$B$3,""))</f>
        <v/>
      </c>
      <c r="CH129" s="110">
        <f>IF(T129="","",IFERROR(T129*HSTECH!$B$20*HSTECH!$G$20/HSTECH!$B$3,""))</f>
        <v/>
      </c>
      <c r="CI129" s="110">
        <f>IF(U129="","",IFERROR(U129*HSTECH!$B$20*HSTECH!$G$20/HSTECH!$B$3,""))</f>
        <v/>
      </c>
      <c r="CJ129" s="110">
        <f>IF(V129="","",IFERROR(V129*HSTECH!$B$20*HSTECH!$G$20/HSTECH!$B$3,""))</f>
        <v/>
      </c>
      <c r="CK129" s="110">
        <f>IF(W129="","",IFERROR(W129*HSTECH!$B$20*HSTECH!$G$20/HSTECH!$B$3,""))</f>
        <v/>
      </c>
      <c r="CL129" s="110">
        <f>IF(X129="","",IFERROR(X129*HSTECH!$B$20*HSTECH!$G$20/HSTECH!$B$3,""))</f>
        <v/>
      </c>
      <c r="CM129" s="110">
        <f>IF(Y129="","",IFERROR(Y129*HSTECH!$B$20*HSTECH!$G$20/HSTECH!$B$3,""))</f>
        <v/>
      </c>
      <c r="CN129" s="110">
        <f>IF(Z129="","",IFERROR(Z129*HSTECH!$B$20*HSTECH!$G$20/HSTECH!$B$3,""))</f>
        <v/>
      </c>
      <c r="CO129" s="110">
        <f>IF(AA129="","",IFERROR(AA129*HSTECH!$B$20*HSTECH!$G$20/HSTECH!$B$3,""))</f>
        <v/>
      </c>
      <c r="CP129" s="110">
        <f>IF(AB129="","",IFERROR(AB129*HSTECH!$B$20*HSTECH!$G$20/HSTECH!$B$3,""))</f>
        <v/>
      </c>
      <c r="CQ129" s="110">
        <f>IF(AC129="","",IFERROR(AC129*HSTECH!$B$20*HSTECH!$G$20/HSTECH!$B$3,""))</f>
        <v/>
      </c>
      <c r="CR129" s="110">
        <f>IF(AD129="","",IFERROR(AD129*HSTECH!$B$20*HSTECH!$G$20/HSTECH!$B$3,""))</f>
        <v/>
      </c>
      <c r="CS129" s="110">
        <f>IF(AE129="","",IFERROR(AE129*HSTECH!$B$20*HSTECH!$G$20/HSTECH!$B$3,""))</f>
        <v/>
      </c>
      <c r="CT129" s="110">
        <f>IF(AF129="","",IFERROR(AF129*HSTECH!$B$20*HSTECH!$G$20/HSTECH!$B$3,""))</f>
        <v/>
      </c>
      <c r="CU129" s="110">
        <f>IF(AG129="","",IFERROR(AG129*HSTECH!$B$20*HSTECH!$G$20/HSTECH!$B$3,""))</f>
        <v/>
      </c>
      <c r="CV129" s="110">
        <f>IF(AH129="","",IFERROR(AH129*HSTECH!$B$20*HSTECH!$G$20/HSTECH!$B$3,""))</f>
        <v/>
      </c>
      <c r="CW129" s="110">
        <f>IF(AI129="","",IFERROR(AI129*HSTECH!$B$20*HSTECH!$G$20/HSTECH!$B$3,""))</f>
        <v/>
      </c>
      <c r="CX129" s="110">
        <f>IF(AJ129="","",IFERROR(AJ129*HSTECH!$B$20*HSTECH!$G$20/HSTECH!$B$3,""))</f>
        <v/>
      </c>
      <c r="CY129" s="110">
        <f>IF(AK129="","",IFERROR(AK129*HSTECH!$B$20*HSTECH!$G$20/HSTECH!$B$3,""))</f>
        <v/>
      </c>
      <c r="CZ129" s="110">
        <f>IF(AL129="","",IFERROR(AL129*HSTECH!$B$20*HSTECH!$G$20/HSTECH!$B$3,""))</f>
        <v/>
      </c>
      <c r="DA129" s="110">
        <f>IF(AM129="","",IFERROR(AM129*HSTECH!$B$20*HSTECH!$G$20/HSTECH!$B$3,""))</f>
        <v/>
      </c>
      <c r="DB129" s="110">
        <f>IF(AN129="","",IFERROR(AN129*HSTECH!$B$20*HSTECH!$G$20/HSTECH!$B$3,""))</f>
        <v/>
      </c>
      <c r="DC129" s="110">
        <f>IF(AO129="","",IFERROR(AO129*HSTECH!$B$20*HSTECH!$G$20/HSTECH!$B$3,""))</f>
        <v/>
      </c>
      <c r="DD129" s="110">
        <f>IF(AP129="","",IFERROR(AP129*HSTECH!$B$20*HSTECH!$G$20/HSTECH!$B$3,""))</f>
        <v/>
      </c>
      <c r="DE129" s="110">
        <f>IF(AQ129="","",IFERROR(AQ129*HSTECH!$B$20*HSTECH!$G$20/HSTECH!$B$3,""))</f>
        <v/>
      </c>
      <c r="DF129" s="110">
        <f>IF(AR129="","",IFERROR(AR129*HSTECH!$B$20*HSTECH!$G$20/HSTECH!$B$3,""))</f>
        <v/>
      </c>
      <c r="DG129" s="110">
        <f>IF(AS129="","",IFERROR(AS129*HSTECH!$B$20*HSTECH!$G$20/HSTECH!$B$3,""))</f>
        <v/>
      </c>
      <c r="DH129" s="110">
        <f>IF(AT129="","",IFERROR(AT129*HSTECH!$B$20*HSTECH!$G$20/HSTECH!$B$3,""))</f>
        <v/>
      </c>
      <c r="DI129" s="110">
        <f>IF(AU129="","",IFERROR(AU129*HSTECH!$B$20*HSTECH!$G$20/HSTECH!$B$3,""))</f>
        <v/>
      </c>
      <c r="DJ129" s="110">
        <f>IF(AV129="","",IFERROR(AV129*HSTECH!$B$20*HSTECH!$G$20/HSTECH!$B$3,""))</f>
        <v/>
      </c>
      <c r="DK129" s="110">
        <f>IF(AW129="","",IFERROR(AW129*HSTECH!$B$20*HSTECH!$G$20/HSTECH!$B$3,""))</f>
        <v/>
      </c>
      <c r="DL129" s="110">
        <f>IF(AX129="","",IFERROR(AX129*HSTECH!$B$20*HSTECH!$G$20/HSTECH!$B$3,""))</f>
        <v/>
      </c>
      <c r="DM129" s="110">
        <f>IF(AY129="","",IFERROR(AY129*HSTECH!$B$20*HSTECH!$G$20/HSTECH!$B$3,""))</f>
        <v/>
      </c>
      <c r="DN129" s="110">
        <f>IF(AZ129="","",IFERROR(AZ129*HSTECH!$B$20*HSTECH!$G$20/HSTECH!$B$3,""))</f>
        <v/>
      </c>
      <c r="DO129" s="110">
        <f>IF(BA129="","",IFERROR(BA129*HSTECH!$B$20*HSTECH!$G$20/HSTECH!$B$3,""))</f>
        <v/>
      </c>
      <c r="DP129" s="110">
        <f>IF(BB129="","",IFERROR(BB129*HSTECH!$B$20*HSTECH!$G$20/HSTECH!$B$3,""))</f>
        <v/>
      </c>
      <c r="DQ129" s="110">
        <f>IF(BC129="","",IFERROR(BC129*HSTECH!$B$20*HSTECH!$G$20/HSTECH!$B$3,""))</f>
        <v/>
      </c>
      <c r="DR129" s="110">
        <f>IF(BD129="","",IFERROR(BD129*HSTECH!$B$20*HSTECH!$G$20/HSTECH!$B$3,""))</f>
        <v/>
      </c>
      <c r="DS129" s="110">
        <f>IF(BE129="","",IFERROR(BE129*HSTECH!$B$20*HSTECH!$G$20/HSTECH!$B$3,""))</f>
        <v/>
      </c>
      <c r="DT129" s="110">
        <f>IF(BF129="","",IFERROR(BF129*HSTECH!$B$20*HSTECH!$G$20/HSTECH!$B$3,""))</f>
        <v/>
      </c>
      <c r="DU129" s="110">
        <f>IF(BG129="","",IFERROR(BG129*HSTECH!$B$20*HSTECH!$G$20/HSTECH!$B$3,""))</f>
        <v/>
      </c>
      <c r="DV129" s="110">
        <f>IF(BH129="","",IFERROR(BH129*HSTECH!$B$20*HSTECH!$G$20/HSTECH!$B$3,""))</f>
        <v/>
      </c>
      <c r="DW129" s="110">
        <f>IF(BI129="","",IFERROR(BI129*HSTECH!$B$20*HSTECH!$G$20/HSTECH!$B$3,""))</f>
        <v/>
      </c>
      <c r="DX129" s="110">
        <f>IF(BJ129="","",IFERROR(BJ129*HSTECH!$B$20*HSTECH!$G$20/HSTECH!$B$3,""))</f>
        <v/>
      </c>
      <c r="DY129" s="110">
        <f>IF(BK129="","",IFERROR(BK129*HSTECH!$B$20*HSTECH!$G$20/HSTECH!$B$3,""))</f>
        <v/>
      </c>
      <c r="DZ129" s="110">
        <f>IF(BL129="","",IFERROR(BL129*HSTECH!$B$20*HSTECH!$G$20/HSTECH!$B$3,""))</f>
        <v/>
      </c>
      <c r="EA129" s="110">
        <f>IF(BM129="","",IFERROR(BM129*HSTECH!$B$20*HSTECH!$G$20/HSTECH!$B$3,""))</f>
        <v/>
      </c>
      <c r="EB129" s="110">
        <f>IF(BN129="","",IFERROR(BN129*HSTECH!$B$20*HSTECH!$G$20/HSTECH!$B$3,""))</f>
        <v/>
      </c>
      <c r="EC129" s="110">
        <f>IF(BO129="","",IFERROR(BO129*HSTECH!$B$20*HSTECH!$G$20/HSTECH!$B$3,""))</f>
        <v/>
      </c>
      <c r="EE129" s="39">
        <f>IF(N('Dvd Calendar'!$E$1259)=0,"",IF(('Dvd Calendar'!$E$1259&gt;=GRID_FROM)*('Dvd Calendar'!$E$1259&lt;=GRID_TO)*((('Dvd Calendar'!$E$1259&lt;=VAL_DATE)+(COUNTIF('Dvd Calendar'!$E$1266:$AR$1266,'Dvd Calendar'!$E$1259)=0))&gt;0)=0,"",'Dvd Calendar'!$E$1259*1000000000+ISNUMBER('Dvd Calendar'!$E$1262)*100000000+('Dvd Calendar'!$E$1264=SPECIAL_LBL)*10000000+(N('Dvd Calendar'!$E$1258)&gt;0)*(N('Dvd Calendar'!$E$1258)&lt;=VAL_SERIAL)*1000000+14*1000+1))</f>
        <v/>
      </c>
      <c r="EF129" s="39">
        <f>IF(N('Dvd Calendar'!$F$1259)=0,"",IF(('Dvd Calendar'!$F$1259&gt;=GRID_FROM)*('Dvd Calendar'!$F$1259&lt;=GRID_TO)*((('Dvd Calendar'!$F$1259&lt;=VAL_DATE)+(COUNTIF('Dvd Calendar'!$E$1266:$AR$1266,'Dvd Calendar'!$F$1259)=0))&gt;0)=0,"",'Dvd Calendar'!$F$1259*1000000000+ISNUMBER('Dvd Calendar'!$F$1262)*100000000+('Dvd Calendar'!$F$1264=SPECIAL_LBL)*10000000+(N('Dvd Calendar'!$F$1258)&gt;0)*(N('Dvd Calendar'!$F$1258)&lt;=VAL_SERIAL)*1000000+14*1000+2))</f>
        <v/>
      </c>
      <c r="EG129" s="39">
        <f>IF(N('Dvd Calendar'!$G$1259)=0,"",IF(('Dvd Calendar'!$G$1259&gt;=GRID_FROM)*('Dvd Calendar'!$G$1259&lt;=GRID_TO)*((('Dvd Calendar'!$G$1259&lt;=VAL_DATE)+(COUNTIF('Dvd Calendar'!$E$1266:$AR$1266,'Dvd Calendar'!$G$1259)=0))&gt;0)=0,"",'Dvd Calendar'!$G$1259*1000000000+ISNUMBER('Dvd Calendar'!$G$1262)*100000000+('Dvd Calendar'!$G$1264=SPECIAL_LBL)*10000000+(N('Dvd Calendar'!$G$1258)&gt;0)*(N('Dvd Calendar'!$G$1258)&lt;=VAL_SERIAL)*1000000+14*1000+3))</f>
        <v/>
      </c>
      <c r="EH129" s="39">
        <f>IF(N('Dvd Calendar'!$H$1259)=0,"",IF(('Dvd Calendar'!$H$1259&gt;=GRID_FROM)*('Dvd Calendar'!$H$1259&lt;=GRID_TO)*((('Dvd Calendar'!$H$1259&lt;=VAL_DATE)+(COUNTIF('Dvd Calendar'!$E$1266:$AR$1266,'Dvd Calendar'!$H$1259)=0))&gt;0)=0,"",'Dvd Calendar'!$H$1259*1000000000+ISNUMBER('Dvd Calendar'!$H$1262)*100000000+('Dvd Calendar'!$H$1264=SPECIAL_LBL)*10000000+(N('Dvd Calendar'!$H$1258)&gt;0)*(N('Dvd Calendar'!$H$1258)&lt;=VAL_SERIAL)*1000000+14*1000+4))</f>
        <v/>
      </c>
      <c r="EI129" s="39">
        <f>IF(N('Dvd Calendar'!$I$1259)=0,"",IF(('Dvd Calendar'!$I$1259&gt;=GRID_FROM)*('Dvd Calendar'!$I$1259&lt;=GRID_TO)*((('Dvd Calendar'!$I$1259&lt;=VAL_DATE)+(COUNTIF('Dvd Calendar'!$E$1266:$AR$1266,'Dvd Calendar'!$I$1259)=0))&gt;0)=0,"",'Dvd Calendar'!$I$1259*1000000000+ISNUMBER('Dvd Calendar'!$I$1262)*100000000+('Dvd Calendar'!$I$1264=SPECIAL_LBL)*10000000+(N('Dvd Calendar'!$I$1258)&gt;0)*(N('Dvd Calendar'!$I$1258)&lt;=VAL_SERIAL)*1000000+14*1000+5))</f>
        <v/>
      </c>
      <c r="EJ129" s="39">
        <f>IF(N('Dvd Calendar'!$J$1259)=0,"",IF(('Dvd Calendar'!$J$1259&gt;=GRID_FROM)*('Dvd Calendar'!$J$1259&lt;=GRID_TO)*((('Dvd Calendar'!$J$1259&lt;=VAL_DATE)+(COUNTIF('Dvd Calendar'!$E$1266:$AR$1266,'Dvd Calendar'!$J$1259)=0))&gt;0)=0,"",'Dvd Calendar'!$J$1259*1000000000+ISNUMBER('Dvd Calendar'!$J$1262)*100000000+('Dvd Calendar'!$J$1264=SPECIAL_LBL)*10000000+(N('Dvd Calendar'!$J$1258)&gt;0)*(N('Dvd Calendar'!$J$1258)&lt;=VAL_SERIAL)*1000000+14*1000+6))</f>
        <v/>
      </c>
      <c r="EK129" s="39">
        <f>IF(N('Dvd Calendar'!$K$1259)=0,"",IF(('Dvd Calendar'!$K$1259&gt;=GRID_FROM)*('Dvd Calendar'!$K$1259&lt;=GRID_TO)*((('Dvd Calendar'!$K$1259&lt;=VAL_DATE)+(COUNTIF('Dvd Calendar'!$E$1266:$AR$1266,'Dvd Calendar'!$K$1259)=0))&gt;0)=0,"",'Dvd Calendar'!$K$1259*1000000000+ISNUMBER('Dvd Calendar'!$K$1262)*100000000+('Dvd Calendar'!$K$1264=SPECIAL_LBL)*10000000+(N('Dvd Calendar'!$K$1258)&gt;0)*(N('Dvd Calendar'!$K$1258)&lt;=VAL_SERIAL)*1000000+14*1000+7))</f>
        <v/>
      </c>
      <c r="EL129" s="39">
        <f>IF(N('Dvd Calendar'!$L$1259)=0,"",IF(('Dvd Calendar'!$L$1259&gt;=GRID_FROM)*('Dvd Calendar'!$L$1259&lt;=GRID_TO)*((('Dvd Calendar'!$L$1259&lt;=VAL_DATE)+(COUNTIF('Dvd Calendar'!$E$1266:$AR$1266,'Dvd Calendar'!$L$1259)=0))&gt;0)=0,"",'Dvd Calendar'!$L$1259*1000000000+ISNUMBER('Dvd Calendar'!$L$1262)*100000000+('Dvd Calendar'!$L$1264=SPECIAL_LBL)*10000000+(N('Dvd Calendar'!$L$1258)&gt;0)*(N('Dvd Calendar'!$L$1258)&lt;=VAL_SERIAL)*1000000+14*1000+8))</f>
        <v/>
      </c>
      <c r="EM129" s="39">
        <f>IF(N('Dvd Calendar'!$M$1259)=0,"",IF(('Dvd Calendar'!$M$1259&gt;=GRID_FROM)*('Dvd Calendar'!$M$1259&lt;=GRID_TO)*((('Dvd Calendar'!$M$1259&lt;=VAL_DATE)+(COUNTIF('Dvd Calendar'!$E$1266:$AR$1266,'Dvd Calendar'!$M$1259)=0))&gt;0)=0,"",'Dvd Calendar'!$M$1259*1000000000+ISNUMBER('Dvd Calendar'!$M$1262)*100000000+('Dvd Calendar'!$M$1264=SPECIAL_LBL)*10000000+(N('Dvd Calendar'!$M$1258)&gt;0)*(N('Dvd Calendar'!$M$1258)&lt;=VAL_SERIAL)*1000000+14*1000+9))</f>
        <v/>
      </c>
      <c r="EN129" s="39">
        <f>IF(N('Dvd Calendar'!$N$1259)=0,"",IF(('Dvd Calendar'!$N$1259&gt;=GRID_FROM)*('Dvd Calendar'!$N$1259&lt;=GRID_TO)*((('Dvd Calendar'!$N$1259&lt;=VAL_DATE)+(COUNTIF('Dvd Calendar'!$E$1266:$AR$1266,'Dvd Calendar'!$N$1259)=0))&gt;0)=0,"",'Dvd Calendar'!$N$1259*1000000000+ISNUMBER('Dvd Calendar'!$N$1262)*100000000+('Dvd Calendar'!$N$1264=SPECIAL_LBL)*10000000+(N('Dvd Calendar'!$N$1258)&gt;0)*(N('Dvd Calendar'!$N$1258)&lt;=VAL_SERIAL)*1000000+14*1000+10))</f>
        <v/>
      </c>
      <c r="EO129" s="39">
        <f>IF(N('Dvd Calendar'!$O$1259)=0,"",IF(('Dvd Calendar'!$O$1259&gt;=GRID_FROM)*('Dvd Calendar'!$O$1259&lt;=GRID_TO)*((('Dvd Calendar'!$O$1259&lt;=VAL_DATE)+(COUNTIF('Dvd Calendar'!$E$1266:$AR$1266,'Dvd Calendar'!$O$1259)=0))&gt;0)=0,"",'Dvd Calendar'!$O$1259*1000000000+ISNUMBER('Dvd Calendar'!$O$1262)*100000000+('Dvd Calendar'!$O$1264=SPECIAL_LBL)*10000000+(N('Dvd Calendar'!$O$1258)&gt;0)*(N('Dvd Calendar'!$O$1258)&lt;=VAL_SERIAL)*1000000+14*1000+11))</f>
        <v/>
      </c>
      <c r="EP129" s="39">
        <f>IF(N('Dvd Calendar'!$P$1259)=0,"",IF(('Dvd Calendar'!$P$1259&gt;=GRID_FROM)*('Dvd Calendar'!$P$1259&lt;=GRID_TO)*((('Dvd Calendar'!$P$1259&lt;=VAL_DATE)+(COUNTIF('Dvd Calendar'!$E$1266:$AR$1266,'Dvd Calendar'!$P$1259)=0))&gt;0)=0,"",'Dvd Calendar'!$P$1259*1000000000+ISNUMBER('Dvd Calendar'!$P$1262)*100000000+('Dvd Calendar'!$P$1264=SPECIAL_LBL)*10000000+(N('Dvd Calendar'!$P$1258)&gt;0)*(N('Dvd Calendar'!$P$1258)&lt;=VAL_SERIAL)*1000000+14*1000+12))</f>
        <v/>
      </c>
      <c r="EQ129" s="39">
        <f>IF(N('Dvd Calendar'!$Q$1259)=0,"",IF(('Dvd Calendar'!$Q$1259&gt;=GRID_FROM)*('Dvd Calendar'!$Q$1259&lt;=GRID_TO)*((('Dvd Calendar'!$Q$1259&lt;=VAL_DATE)+(COUNTIF('Dvd Calendar'!$E$1266:$AR$1266,'Dvd Calendar'!$Q$1259)=0))&gt;0)=0,"",'Dvd Calendar'!$Q$1259*1000000000+ISNUMBER('Dvd Calendar'!$Q$1262)*100000000+('Dvd Calendar'!$Q$1264=SPECIAL_LBL)*10000000+(N('Dvd Calendar'!$Q$1258)&gt;0)*(N('Dvd Calendar'!$Q$1258)&lt;=VAL_SERIAL)*1000000+14*1000+13))</f>
        <v/>
      </c>
      <c r="ER129" s="39">
        <f>IF(N('Dvd Calendar'!$R$1259)=0,"",IF(('Dvd Calendar'!$R$1259&gt;=GRID_FROM)*('Dvd Calendar'!$R$1259&lt;=GRID_TO)*((('Dvd Calendar'!$R$1259&lt;=VAL_DATE)+(COUNTIF('Dvd Calendar'!$E$1266:$AR$1266,'Dvd Calendar'!$R$1259)=0))&gt;0)=0,"",'Dvd Calendar'!$R$1259*1000000000+ISNUMBER('Dvd Calendar'!$R$1262)*100000000+('Dvd Calendar'!$R$1264=SPECIAL_LBL)*10000000+(N('Dvd Calendar'!$R$1258)&gt;0)*(N('Dvd Calendar'!$R$1258)&lt;=VAL_SERIAL)*1000000+14*1000+14))</f>
        <v/>
      </c>
      <c r="ES129" s="39">
        <f>IF(N('Dvd Calendar'!$S$1259)=0,"",IF(('Dvd Calendar'!$S$1259&gt;=GRID_FROM)*('Dvd Calendar'!$S$1259&lt;=GRID_TO)*((('Dvd Calendar'!$S$1259&lt;=VAL_DATE)+(COUNTIF('Dvd Calendar'!$E$1266:$AR$1266,'Dvd Calendar'!$S$1259)=0))&gt;0)=0,"",'Dvd Calendar'!$S$1259*1000000000+ISNUMBER('Dvd Calendar'!$S$1262)*100000000+('Dvd Calendar'!$S$1264=SPECIAL_LBL)*10000000+(N('Dvd Calendar'!$S$1258)&gt;0)*(N('Dvd Calendar'!$S$1258)&lt;=VAL_SERIAL)*1000000+14*1000+15))</f>
        <v/>
      </c>
      <c r="ET129" s="39">
        <f>IF(N('Dvd Calendar'!$T$1259)=0,"",IF(('Dvd Calendar'!$T$1259&gt;=GRID_FROM)*('Dvd Calendar'!$T$1259&lt;=GRID_TO)*((('Dvd Calendar'!$T$1259&lt;=VAL_DATE)+(COUNTIF('Dvd Calendar'!$E$1266:$AR$1266,'Dvd Calendar'!$T$1259)=0))&gt;0)=0,"",'Dvd Calendar'!$T$1259*1000000000+ISNUMBER('Dvd Calendar'!$T$1262)*100000000+('Dvd Calendar'!$T$1264=SPECIAL_LBL)*10000000+(N('Dvd Calendar'!$T$1258)&gt;0)*(N('Dvd Calendar'!$T$1258)&lt;=VAL_SERIAL)*1000000+14*1000+16))</f>
        <v/>
      </c>
      <c r="EU129" s="39">
        <f>IF(N('Dvd Calendar'!$U$1259)=0,"",IF(('Dvd Calendar'!$U$1259&gt;=GRID_FROM)*('Dvd Calendar'!$U$1259&lt;=GRID_TO)*((('Dvd Calendar'!$U$1259&lt;=VAL_DATE)+(COUNTIF('Dvd Calendar'!$E$1266:$AR$1266,'Dvd Calendar'!$U$1259)=0))&gt;0)=0,"",'Dvd Calendar'!$U$1259*1000000000+ISNUMBER('Dvd Calendar'!$U$1262)*100000000+('Dvd Calendar'!$U$1264=SPECIAL_LBL)*10000000+(N('Dvd Calendar'!$U$1258)&gt;0)*(N('Dvd Calendar'!$U$1258)&lt;=VAL_SERIAL)*1000000+14*1000+17))</f>
        <v/>
      </c>
      <c r="EV129" s="39">
        <f>IF(N('Dvd Calendar'!$V$1259)=0,"",IF(('Dvd Calendar'!$V$1259&gt;=GRID_FROM)*('Dvd Calendar'!$V$1259&lt;=GRID_TO)*((('Dvd Calendar'!$V$1259&lt;=VAL_DATE)+(COUNTIF('Dvd Calendar'!$E$1266:$AR$1266,'Dvd Calendar'!$V$1259)=0))&gt;0)=0,"",'Dvd Calendar'!$V$1259*1000000000+ISNUMBER('Dvd Calendar'!$V$1262)*100000000+('Dvd Calendar'!$V$1264=SPECIAL_LBL)*10000000+(N('Dvd Calendar'!$V$1258)&gt;0)*(N('Dvd Calendar'!$V$1258)&lt;=VAL_SERIAL)*1000000+14*1000+18))</f>
        <v/>
      </c>
      <c r="EW129" s="39">
        <f>IF(N('Dvd Calendar'!$W$1259)=0,"",IF(('Dvd Calendar'!$W$1259&gt;=GRID_FROM)*('Dvd Calendar'!$W$1259&lt;=GRID_TO)*((('Dvd Calendar'!$W$1259&lt;=VAL_DATE)+(COUNTIF('Dvd Calendar'!$E$1266:$AR$1266,'Dvd Calendar'!$W$1259)=0))&gt;0)=0,"",'Dvd Calendar'!$W$1259*1000000000+ISNUMBER('Dvd Calendar'!$W$1262)*100000000+('Dvd Calendar'!$W$1264=SPECIAL_LBL)*10000000+(N('Dvd Calendar'!$W$1258)&gt;0)*(N('Dvd Calendar'!$W$1258)&lt;=VAL_SERIAL)*1000000+14*1000+19))</f>
        <v/>
      </c>
      <c r="EX129" s="39">
        <f>IF(N('Dvd Calendar'!$X$1259)=0,"",IF(('Dvd Calendar'!$X$1259&gt;=GRID_FROM)*('Dvd Calendar'!$X$1259&lt;=GRID_TO)*((('Dvd Calendar'!$X$1259&lt;=VAL_DATE)+(COUNTIF('Dvd Calendar'!$E$1266:$AR$1266,'Dvd Calendar'!$X$1259)=0))&gt;0)=0,"",'Dvd Calendar'!$X$1259*1000000000+ISNUMBER('Dvd Calendar'!$X$1262)*100000000+('Dvd Calendar'!$X$1264=SPECIAL_LBL)*10000000+(N('Dvd Calendar'!$X$1258)&gt;0)*(N('Dvd Calendar'!$X$1258)&lt;=VAL_SERIAL)*1000000+14*1000+20))</f>
        <v/>
      </c>
      <c r="EY129" s="39">
        <f>IF(N('Dvd Calendar'!$Y$1259)=0,"",IF(('Dvd Calendar'!$Y$1259&gt;=GRID_FROM)*('Dvd Calendar'!$Y$1259&lt;=GRID_TO)*((('Dvd Calendar'!$Y$1259&lt;=VAL_DATE)+(COUNTIF('Dvd Calendar'!$E$1266:$AR$1266,'Dvd Calendar'!$Y$1259)=0))&gt;0)=0,"",'Dvd Calendar'!$Y$1259*1000000000+ISNUMBER('Dvd Calendar'!$Y$1262)*100000000+('Dvd Calendar'!$Y$1264=SPECIAL_LBL)*10000000+(N('Dvd Calendar'!$Y$1258)&gt;0)*(N('Dvd Calendar'!$Y$1258)&lt;=VAL_SERIAL)*1000000+14*1000+21))</f>
        <v/>
      </c>
      <c r="EZ129" s="39">
        <f>IF(N('Dvd Calendar'!$Z$1259)=0,"",IF(('Dvd Calendar'!$Z$1259&gt;=GRID_FROM)*('Dvd Calendar'!$Z$1259&lt;=GRID_TO)*((('Dvd Calendar'!$Z$1259&lt;=VAL_DATE)+(COUNTIF('Dvd Calendar'!$E$1266:$AR$1266,'Dvd Calendar'!$Z$1259)=0))&gt;0)=0,"",'Dvd Calendar'!$Z$1259*1000000000+ISNUMBER('Dvd Calendar'!$Z$1262)*100000000+('Dvd Calendar'!$Z$1264=SPECIAL_LBL)*10000000+(N('Dvd Calendar'!$Z$1258)&gt;0)*(N('Dvd Calendar'!$Z$1258)&lt;=VAL_SERIAL)*1000000+14*1000+22))</f>
        <v/>
      </c>
      <c r="FA129" s="39">
        <f>IF(N('Dvd Calendar'!$AA$1259)=0,"",IF(('Dvd Calendar'!$AA$1259&gt;=GRID_FROM)*('Dvd Calendar'!$AA$1259&lt;=GRID_TO)*((('Dvd Calendar'!$AA$1259&lt;=VAL_DATE)+(COUNTIF('Dvd Calendar'!$E$1266:$AR$1266,'Dvd Calendar'!$AA$1259)=0))&gt;0)=0,"",'Dvd Calendar'!$AA$1259*1000000000+ISNUMBER('Dvd Calendar'!$AA$1262)*100000000+('Dvd Calendar'!$AA$1264=SPECIAL_LBL)*10000000+(N('Dvd Calendar'!$AA$1258)&gt;0)*(N('Dvd Calendar'!$AA$1258)&lt;=VAL_SERIAL)*1000000+14*1000+23))</f>
        <v/>
      </c>
      <c r="FB129" s="39">
        <f>IF(N('Dvd Calendar'!$AB$1259)=0,"",IF(('Dvd Calendar'!$AB$1259&gt;=GRID_FROM)*('Dvd Calendar'!$AB$1259&lt;=GRID_TO)*((('Dvd Calendar'!$AB$1259&lt;=VAL_DATE)+(COUNTIF('Dvd Calendar'!$E$1266:$AR$1266,'Dvd Calendar'!$AB$1259)=0))&gt;0)=0,"",'Dvd Calendar'!$AB$1259*1000000000+ISNUMBER('Dvd Calendar'!$AB$1262)*100000000+('Dvd Calendar'!$AB$1264=SPECIAL_LBL)*10000000+(N('Dvd Calendar'!$AB$1258)&gt;0)*(N('Dvd Calendar'!$AB$1258)&lt;=VAL_SERIAL)*1000000+14*1000+24))</f>
        <v/>
      </c>
      <c r="FC129" s="39">
        <f>IF(N('Dvd Calendar'!$AC$1259)=0,"",IF(('Dvd Calendar'!$AC$1259&gt;=GRID_FROM)*('Dvd Calendar'!$AC$1259&lt;=GRID_TO)*((('Dvd Calendar'!$AC$1259&lt;=VAL_DATE)+(COUNTIF('Dvd Calendar'!$E$1266:$AR$1266,'Dvd Calendar'!$AC$1259)=0))&gt;0)=0,"",'Dvd Calendar'!$AC$1259*1000000000+ISNUMBER('Dvd Calendar'!$AC$1262)*100000000+('Dvd Calendar'!$AC$1264=SPECIAL_LBL)*10000000+(N('Dvd Calendar'!$AC$1258)&gt;0)*(N('Dvd Calendar'!$AC$1258)&lt;=VAL_SERIAL)*1000000+14*1000+25))</f>
        <v/>
      </c>
      <c r="FD129" s="39">
        <f>IF(N('Dvd Calendar'!$AD$1259)=0,"",IF(('Dvd Calendar'!$AD$1259&gt;=GRID_FROM)*('Dvd Calendar'!$AD$1259&lt;=GRID_TO)*((('Dvd Calendar'!$AD$1259&lt;=VAL_DATE)+(COUNTIF('Dvd Calendar'!$E$1266:$AR$1266,'Dvd Calendar'!$AD$1259)=0))&gt;0)=0,"",'Dvd Calendar'!$AD$1259*1000000000+ISNUMBER('Dvd Calendar'!$AD$1262)*100000000+('Dvd Calendar'!$AD$1264=SPECIAL_LBL)*10000000+(N('Dvd Calendar'!$AD$1258)&gt;0)*(N('Dvd Calendar'!$AD$1258)&lt;=VAL_SERIAL)*1000000+14*1000+26))</f>
        <v/>
      </c>
      <c r="FE129" s="39">
        <f>IF(N('Dvd Calendar'!$AE$1259)=0,"",IF(('Dvd Calendar'!$AE$1259&gt;=GRID_FROM)*('Dvd Calendar'!$AE$1259&lt;=GRID_TO)*((('Dvd Calendar'!$AE$1259&lt;=VAL_DATE)+(COUNTIF('Dvd Calendar'!$E$1266:$AR$1266,'Dvd Calendar'!$AE$1259)=0))&gt;0)=0,"",'Dvd Calendar'!$AE$1259*1000000000+ISNUMBER('Dvd Calendar'!$AE$1262)*100000000+('Dvd Calendar'!$AE$1264=SPECIAL_LBL)*10000000+(N('Dvd Calendar'!$AE$1258)&gt;0)*(N('Dvd Calendar'!$AE$1258)&lt;=VAL_SERIAL)*1000000+14*1000+27))</f>
        <v/>
      </c>
      <c r="FF129" s="39">
        <f>IF(N('Dvd Calendar'!$AF$1259)=0,"",IF(('Dvd Calendar'!$AF$1259&gt;=GRID_FROM)*('Dvd Calendar'!$AF$1259&lt;=GRID_TO)*((('Dvd Calendar'!$AF$1259&lt;=VAL_DATE)+(COUNTIF('Dvd Calendar'!$E$1266:$AR$1266,'Dvd Calendar'!$AF$1259)=0))&gt;0)=0,"",'Dvd Calendar'!$AF$1259*1000000000+ISNUMBER('Dvd Calendar'!$AF$1262)*100000000+('Dvd Calendar'!$AF$1264=SPECIAL_LBL)*10000000+(N('Dvd Calendar'!$AF$1258)&gt;0)*(N('Dvd Calendar'!$AF$1258)&lt;=VAL_SERIAL)*1000000+14*1000+28))</f>
        <v/>
      </c>
      <c r="FG129" s="39">
        <f>IF(N('Dvd Calendar'!$AG$1259)=0,"",IF(('Dvd Calendar'!$AG$1259&gt;=GRID_FROM)*('Dvd Calendar'!$AG$1259&lt;=GRID_TO)*((('Dvd Calendar'!$AG$1259&lt;=VAL_DATE)+(COUNTIF('Dvd Calendar'!$E$1266:$AR$1266,'Dvd Calendar'!$AG$1259)=0))&gt;0)=0,"",'Dvd Calendar'!$AG$1259*1000000000+ISNUMBER('Dvd Calendar'!$AG$1262)*100000000+('Dvd Calendar'!$AG$1264=SPECIAL_LBL)*10000000+(N('Dvd Calendar'!$AG$1258)&gt;0)*(N('Dvd Calendar'!$AG$1258)&lt;=VAL_SERIAL)*1000000+14*1000+29))</f>
        <v/>
      </c>
      <c r="FH129" s="39">
        <f>IF(N('Dvd Calendar'!$AH$1259)=0,"",IF(('Dvd Calendar'!$AH$1259&gt;=GRID_FROM)*('Dvd Calendar'!$AH$1259&lt;=GRID_TO)*((('Dvd Calendar'!$AH$1259&lt;=VAL_DATE)+(COUNTIF('Dvd Calendar'!$E$1266:$AR$1266,'Dvd Calendar'!$AH$1259)=0))&gt;0)=0,"",'Dvd Calendar'!$AH$1259*1000000000+ISNUMBER('Dvd Calendar'!$AH$1262)*100000000+('Dvd Calendar'!$AH$1264=SPECIAL_LBL)*10000000+(N('Dvd Calendar'!$AH$1258)&gt;0)*(N('Dvd Calendar'!$AH$1258)&lt;=VAL_SERIAL)*1000000+14*1000+30))</f>
        <v/>
      </c>
      <c r="FI129" s="39">
        <f>IF(N('Dvd Calendar'!$AI$1259)=0,"",IF(('Dvd Calendar'!$AI$1259&gt;=GRID_FROM)*('Dvd Calendar'!$AI$1259&lt;=GRID_TO)*((('Dvd Calendar'!$AI$1259&lt;=VAL_DATE)+(COUNTIF('Dvd Calendar'!$E$1266:$AR$1266,'Dvd Calendar'!$AI$1259)=0))&gt;0)=0,"",'Dvd Calendar'!$AI$1259*1000000000+ISNUMBER('Dvd Calendar'!$AI$1262)*100000000+('Dvd Calendar'!$AI$1264=SPECIAL_LBL)*10000000+(N('Dvd Calendar'!$AI$1258)&gt;0)*(N('Dvd Calendar'!$AI$1258)&lt;=VAL_SERIAL)*1000000+14*1000+31))</f>
        <v/>
      </c>
      <c r="FJ129" s="39">
        <f>IF(N('Dvd Calendar'!$AJ$1259)=0,"",IF(('Dvd Calendar'!$AJ$1259&gt;=GRID_FROM)*('Dvd Calendar'!$AJ$1259&lt;=GRID_TO)*((('Dvd Calendar'!$AJ$1259&lt;=VAL_DATE)+(COUNTIF('Dvd Calendar'!$E$1266:$AR$1266,'Dvd Calendar'!$AJ$1259)=0))&gt;0)=0,"",'Dvd Calendar'!$AJ$1259*1000000000+ISNUMBER('Dvd Calendar'!$AJ$1262)*100000000+('Dvd Calendar'!$AJ$1264=SPECIAL_LBL)*10000000+(N('Dvd Calendar'!$AJ$1258)&gt;0)*(N('Dvd Calendar'!$AJ$1258)&lt;=VAL_SERIAL)*1000000+14*1000+32))</f>
        <v/>
      </c>
      <c r="FK129" s="39">
        <f>IF(N('Dvd Calendar'!$AK$1259)=0,"",IF(('Dvd Calendar'!$AK$1259&gt;=GRID_FROM)*('Dvd Calendar'!$AK$1259&lt;=GRID_TO)*((('Dvd Calendar'!$AK$1259&lt;=VAL_DATE)+(COUNTIF('Dvd Calendar'!$E$1266:$AR$1266,'Dvd Calendar'!$AK$1259)=0))&gt;0)=0,"",'Dvd Calendar'!$AK$1259*1000000000+ISNUMBER('Dvd Calendar'!$AK$1262)*100000000+('Dvd Calendar'!$AK$1264=SPECIAL_LBL)*10000000+(N('Dvd Calendar'!$AK$1258)&gt;0)*(N('Dvd Calendar'!$AK$1258)&lt;=VAL_SERIAL)*1000000+14*1000+33))</f>
        <v/>
      </c>
      <c r="FL129" s="39">
        <f>IF(N('Dvd Calendar'!$AL$1259)=0,"",IF(('Dvd Calendar'!$AL$1259&gt;=GRID_FROM)*('Dvd Calendar'!$AL$1259&lt;=GRID_TO)*((('Dvd Calendar'!$AL$1259&lt;=VAL_DATE)+(COUNTIF('Dvd Calendar'!$E$1266:$AR$1266,'Dvd Calendar'!$AL$1259)=0))&gt;0)=0,"",'Dvd Calendar'!$AL$1259*1000000000+ISNUMBER('Dvd Calendar'!$AL$1262)*100000000+('Dvd Calendar'!$AL$1264=SPECIAL_LBL)*10000000+(N('Dvd Calendar'!$AL$1258)&gt;0)*(N('Dvd Calendar'!$AL$1258)&lt;=VAL_SERIAL)*1000000+14*1000+34))</f>
        <v/>
      </c>
      <c r="FM129" s="39">
        <f>IF(N('Dvd Calendar'!$AM$1259)=0,"",IF(('Dvd Calendar'!$AM$1259&gt;=GRID_FROM)*('Dvd Calendar'!$AM$1259&lt;=GRID_TO)*((('Dvd Calendar'!$AM$1259&lt;=VAL_DATE)+(COUNTIF('Dvd Calendar'!$E$1266:$AR$1266,'Dvd Calendar'!$AM$1259)=0))&gt;0)=0,"",'Dvd Calendar'!$AM$1259*1000000000+ISNUMBER('Dvd Calendar'!$AM$1262)*100000000+('Dvd Calendar'!$AM$1264=SPECIAL_LBL)*10000000+(N('Dvd Calendar'!$AM$1258)&gt;0)*(N('Dvd Calendar'!$AM$1258)&lt;=VAL_SERIAL)*1000000+14*1000+35))</f>
        <v/>
      </c>
      <c r="FN129" s="39">
        <f>IF(N('Dvd Calendar'!$AN$1259)=0,"",IF(('Dvd Calendar'!$AN$1259&gt;=GRID_FROM)*('Dvd Calendar'!$AN$1259&lt;=GRID_TO)*((('Dvd Calendar'!$AN$1259&lt;=VAL_DATE)+(COUNTIF('Dvd Calendar'!$E$1266:$AR$1266,'Dvd Calendar'!$AN$1259)=0))&gt;0)=0,"",'Dvd Calendar'!$AN$1259*1000000000+ISNUMBER('Dvd Calendar'!$AN$1262)*100000000+('Dvd Calendar'!$AN$1264=SPECIAL_LBL)*10000000+(N('Dvd Calendar'!$AN$1258)&gt;0)*(N('Dvd Calendar'!$AN$1258)&lt;=VAL_SERIAL)*1000000+14*1000+36))</f>
        <v/>
      </c>
      <c r="FO129" s="39">
        <f>IF(N('Dvd Calendar'!$AO$1259)=0,"",IF(('Dvd Calendar'!$AO$1259&gt;=GRID_FROM)*('Dvd Calendar'!$AO$1259&lt;=GRID_TO)*((('Dvd Calendar'!$AO$1259&lt;=VAL_DATE)+(COUNTIF('Dvd Calendar'!$E$1266:$AR$1266,'Dvd Calendar'!$AO$1259)=0))&gt;0)=0,"",'Dvd Calendar'!$AO$1259*1000000000+ISNUMBER('Dvd Calendar'!$AO$1262)*100000000+('Dvd Calendar'!$AO$1264=SPECIAL_LBL)*10000000+(N('Dvd Calendar'!$AO$1258)&gt;0)*(N('Dvd Calendar'!$AO$1258)&lt;=VAL_SERIAL)*1000000+14*1000+37))</f>
        <v/>
      </c>
      <c r="FP129" s="39">
        <f>IF(N('Dvd Calendar'!$AP$1259)=0,"",IF(('Dvd Calendar'!$AP$1259&gt;=GRID_FROM)*('Dvd Calendar'!$AP$1259&lt;=GRID_TO)*((('Dvd Calendar'!$AP$1259&lt;=VAL_DATE)+(COUNTIF('Dvd Calendar'!$E$1266:$AR$1266,'Dvd Calendar'!$AP$1259)=0))&gt;0)=0,"",'Dvd Calendar'!$AP$1259*1000000000+ISNUMBER('Dvd Calendar'!$AP$1262)*100000000+('Dvd Calendar'!$AP$1264=SPECIAL_LBL)*10000000+(N('Dvd Calendar'!$AP$1258)&gt;0)*(N('Dvd Calendar'!$AP$1258)&lt;=VAL_SERIAL)*1000000+14*1000+38))</f>
        <v/>
      </c>
      <c r="FQ129" s="39">
        <f>IF(N('Dvd Calendar'!$AQ$1259)=0,"",IF(('Dvd Calendar'!$AQ$1259&gt;=GRID_FROM)*('Dvd Calendar'!$AQ$1259&lt;=GRID_TO)*((('Dvd Calendar'!$AQ$1259&lt;=VAL_DATE)+(COUNTIF('Dvd Calendar'!$E$1266:$AR$1266,'Dvd Calendar'!$AQ$1259)=0))&gt;0)=0,"",'Dvd Calendar'!$AQ$1259*1000000000+ISNUMBER('Dvd Calendar'!$AQ$1262)*100000000+('Dvd Calendar'!$AQ$1264=SPECIAL_LBL)*10000000+(N('Dvd Calendar'!$AQ$1258)&gt;0)*(N('Dvd Calendar'!$AQ$1258)&lt;=VAL_SERIAL)*1000000+14*1000+39))</f>
        <v/>
      </c>
      <c r="FR129" s="39">
        <f>IF(N('Dvd Calendar'!$AR$1259)=0,"",IF(('Dvd Calendar'!$AR$1259&gt;=GRID_FROM)*('Dvd Calendar'!$AR$1259&lt;=GRID_TO)*((('Dvd Calendar'!$AR$1259&lt;=VAL_DATE)+(COUNTIF('Dvd Calendar'!$E$1266:$AR$1266,'Dvd Calendar'!$AR$1259)=0))&gt;0)=0,"",'Dvd Calendar'!$AR$1259*1000000000+ISNUMBER('Dvd Calendar'!$AR$1262)*100000000+('Dvd Calendar'!$AR$1264=SPECIAL_LBL)*10000000+(N('Dvd Calendar'!$AR$1258)&gt;0)*(N('Dvd Calendar'!$AR$1258)&lt;=VAL_SERIAL)*1000000+14*1000+40))</f>
        <v/>
      </c>
      <c r="FS129" s="39">
        <f>IF(N('Dvd Calendar'!$E$1266)=0,"",IF(('Dvd Calendar'!$E$1266&gt;=GRID_FROM)*('Dvd Calendar'!$E$1266&lt;=GRID_TO)*('Dvd Calendar'!$E$1266&gt;VAL_DATE)=0,"",'Dvd Calendar'!$E$1266*1000000000+ISNUMBER('Dvd Calendar'!$E$1267)*100000000+0*10000000+(N('Dvd Calendar'!$E$1265)&gt;0)*(N('Dvd Calendar'!$E$1265)&lt;=VAL_SERIAL)*1000000+14*1000+41))</f>
        <v/>
      </c>
      <c r="FT129" s="39">
        <f>IF(N('Dvd Calendar'!$F$1266)=0,"",IF(('Dvd Calendar'!$F$1266&gt;=GRID_FROM)*('Dvd Calendar'!$F$1266&lt;=GRID_TO)*('Dvd Calendar'!$F$1266&gt;VAL_DATE)=0,"",'Dvd Calendar'!$F$1266*1000000000+ISNUMBER('Dvd Calendar'!$F$1267)*100000000+0*10000000+(N('Dvd Calendar'!$F$1265)&gt;0)*(N('Dvd Calendar'!$F$1265)&lt;=VAL_SERIAL)*1000000+14*1000+42))</f>
        <v/>
      </c>
      <c r="FU129" s="39">
        <f>IF(N('Dvd Calendar'!$G$1266)=0,"",IF(('Dvd Calendar'!$G$1266&gt;=GRID_FROM)*('Dvd Calendar'!$G$1266&lt;=GRID_TO)*('Dvd Calendar'!$G$1266&gt;VAL_DATE)=0,"",'Dvd Calendar'!$G$1266*1000000000+ISNUMBER('Dvd Calendar'!$G$1267)*100000000+0*10000000+(N('Dvd Calendar'!$G$1265)&gt;0)*(N('Dvd Calendar'!$G$1265)&lt;=VAL_SERIAL)*1000000+14*1000+43))</f>
        <v/>
      </c>
      <c r="FV129" s="39">
        <f>IF(N('Dvd Calendar'!$H$1266)=0,"",IF(('Dvd Calendar'!$H$1266&gt;=GRID_FROM)*('Dvd Calendar'!$H$1266&lt;=GRID_TO)*('Dvd Calendar'!$H$1266&gt;VAL_DATE)=0,"",'Dvd Calendar'!$H$1266*1000000000+ISNUMBER('Dvd Calendar'!$H$1267)*100000000+0*10000000+(N('Dvd Calendar'!$H$1265)&gt;0)*(N('Dvd Calendar'!$H$1265)&lt;=VAL_SERIAL)*1000000+14*1000+44))</f>
        <v/>
      </c>
      <c r="FW129" s="39">
        <f>IF(N('Dvd Calendar'!$I$1266)=0,"",IF(('Dvd Calendar'!$I$1266&gt;=GRID_FROM)*('Dvd Calendar'!$I$1266&lt;=GRID_TO)*('Dvd Calendar'!$I$1266&gt;VAL_DATE)=0,"",'Dvd Calendar'!$I$1266*1000000000+ISNUMBER('Dvd Calendar'!$I$1267)*100000000+0*10000000+(N('Dvd Calendar'!$I$1265)&gt;0)*(N('Dvd Calendar'!$I$1265)&lt;=VAL_SERIAL)*1000000+14*1000+45))</f>
        <v/>
      </c>
      <c r="FX129" s="39">
        <f>IF(N('Dvd Calendar'!$J$1266)=0,"",IF(('Dvd Calendar'!$J$1266&gt;=GRID_FROM)*('Dvd Calendar'!$J$1266&lt;=GRID_TO)*('Dvd Calendar'!$J$1266&gt;VAL_DATE)=0,"",'Dvd Calendar'!$J$1266*1000000000+ISNUMBER('Dvd Calendar'!$J$1267)*100000000+0*10000000+(N('Dvd Calendar'!$J$1265)&gt;0)*(N('Dvd Calendar'!$J$1265)&lt;=VAL_SERIAL)*1000000+14*1000+46))</f>
        <v/>
      </c>
      <c r="FY129" s="39">
        <f>IF(N('Dvd Calendar'!$K$1266)=0,"",IF(('Dvd Calendar'!$K$1266&gt;=GRID_FROM)*('Dvd Calendar'!$K$1266&lt;=GRID_TO)*('Dvd Calendar'!$K$1266&gt;VAL_DATE)=0,"",'Dvd Calendar'!$K$1266*1000000000+ISNUMBER('Dvd Calendar'!$K$1267)*100000000+0*10000000+(N('Dvd Calendar'!$K$1265)&gt;0)*(N('Dvd Calendar'!$K$1265)&lt;=VAL_SERIAL)*1000000+14*1000+47))</f>
        <v/>
      </c>
      <c r="FZ129" s="39">
        <f>IF(N('Dvd Calendar'!$L$1266)=0,"",IF(('Dvd Calendar'!$L$1266&gt;=GRID_FROM)*('Dvd Calendar'!$L$1266&lt;=GRID_TO)*('Dvd Calendar'!$L$1266&gt;VAL_DATE)=0,"",'Dvd Calendar'!$L$1266*1000000000+ISNUMBER('Dvd Calendar'!$L$1267)*100000000+0*10000000+(N('Dvd Calendar'!$L$1265)&gt;0)*(N('Dvd Calendar'!$L$1265)&lt;=VAL_SERIAL)*1000000+14*1000+48))</f>
        <v/>
      </c>
      <c r="GA129" s="39">
        <f>IF(N('Dvd Calendar'!$M$1266)=0,"",IF(('Dvd Calendar'!$M$1266&gt;=GRID_FROM)*('Dvd Calendar'!$M$1266&lt;=GRID_TO)*('Dvd Calendar'!$M$1266&gt;VAL_DATE)=0,"",'Dvd Calendar'!$M$1266*1000000000+ISNUMBER('Dvd Calendar'!$M$1267)*100000000+0*10000000+(N('Dvd Calendar'!$M$1265)&gt;0)*(N('Dvd Calendar'!$M$1265)&lt;=VAL_SERIAL)*1000000+14*1000+49))</f>
        <v/>
      </c>
      <c r="GB129" s="39">
        <f>IF(N('Dvd Calendar'!$N$1266)=0,"",IF(('Dvd Calendar'!$N$1266&gt;=GRID_FROM)*('Dvd Calendar'!$N$1266&lt;=GRID_TO)*('Dvd Calendar'!$N$1266&gt;VAL_DATE)=0,"",'Dvd Calendar'!$N$1266*1000000000+ISNUMBER('Dvd Calendar'!$N$1267)*100000000+0*10000000+(N('Dvd Calendar'!$N$1265)&gt;0)*(N('Dvd Calendar'!$N$1265)&lt;=VAL_SERIAL)*1000000+14*1000+50))</f>
        <v/>
      </c>
      <c r="GC129" s="39">
        <f>IF(N('Dvd Calendar'!$O$1266)=0,"",IF(('Dvd Calendar'!$O$1266&gt;=GRID_FROM)*('Dvd Calendar'!$O$1266&lt;=GRID_TO)*('Dvd Calendar'!$O$1266&gt;VAL_DATE)=0,"",'Dvd Calendar'!$O$1266*1000000000+ISNUMBER('Dvd Calendar'!$O$1267)*100000000+0*10000000+(N('Dvd Calendar'!$O$1265)&gt;0)*(N('Dvd Calendar'!$O$1265)&lt;=VAL_SERIAL)*1000000+14*1000+51))</f>
        <v/>
      </c>
      <c r="GD129" s="39">
        <f>IF(N('Dvd Calendar'!$P$1266)=0,"",IF(('Dvd Calendar'!$P$1266&gt;=GRID_FROM)*('Dvd Calendar'!$P$1266&lt;=GRID_TO)*('Dvd Calendar'!$P$1266&gt;VAL_DATE)=0,"",'Dvd Calendar'!$P$1266*1000000000+ISNUMBER('Dvd Calendar'!$P$1267)*100000000+0*10000000+(N('Dvd Calendar'!$P$1265)&gt;0)*(N('Dvd Calendar'!$P$1265)&lt;=VAL_SERIAL)*1000000+14*1000+52))</f>
        <v/>
      </c>
      <c r="GE129" s="39">
        <f>IF(N('Dvd Calendar'!$Q$1266)=0,"",IF(('Dvd Calendar'!$Q$1266&gt;=GRID_FROM)*('Dvd Calendar'!$Q$1266&lt;=GRID_TO)*('Dvd Calendar'!$Q$1266&gt;VAL_DATE)=0,"",'Dvd Calendar'!$Q$1266*1000000000+ISNUMBER('Dvd Calendar'!$Q$1267)*100000000+0*10000000+(N('Dvd Calendar'!$Q$1265)&gt;0)*(N('Dvd Calendar'!$Q$1265)&lt;=VAL_SERIAL)*1000000+14*1000+53))</f>
        <v/>
      </c>
      <c r="GF129" s="39">
        <f>IF(N('Dvd Calendar'!$R$1266)=0,"",IF(('Dvd Calendar'!$R$1266&gt;=GRID_FROM)*('Dvd Calendar'!$R$1266&lt;=GRID_TO)*('Dvd Calendar'!$R$1266&gt;VAL_DATE)=0,"",'Dvd Calendar'!$R$1266*1000000000+ISNUMBER('Dvd Calendar'!$R$1267)*100000000+0*10000000+(N('Dvd Calendar'!$R$1265)&gt;0)*(N('Dvd Calendar'!$R$1265)&lt;=VAL_SERIAL)*1000000+14*1000+54))</f>
        <v/>
      </c>
      <c r="GG129" s="39">
        <f>IF(N('Dvd Calendar'!$S$1266)=0,"",IF(('Dvd Calendar'!$S$1266&gt;=GRID_FROM)*('Dvd Calendar'!$S$1266&lt;=GRID_TO)*('Dvd Calendar'!$S$1266&gt;VAL_DATE)=0,"",'Dvd Calendar'!$S$1266*1000000000+ISNUMBER('Dvd Calendar'!$S$1267)*100000000+0*10000000+(N('Dvd Calendar'!$S$1265)&gt;0)*(N('Dvd Calendar'!$S$1265)&lt;=VAL_SERIAL)*1000000+14*1000+55))</f>
        <v/>
      </c>
      <c r="GH129" s="39">
        <f>IF(N('Dvd Calendar'!$T$1266)=0,"",IF(('Dvd Calendar'!$T$1266&gt;=GRID_FROM)*('Dvd Calendar'!$T$1266&lt;=GRID_TO)*('Dvd Calendar'!$T$1266&gt;VAL_DATE)=0,"",'Dvd Calendar'!$T$1266*1000000000+ISNUMBER('Dvd Calendar'!$T$1267)*100000000+0*10000000+(N('Dvd Calendar'!$T$1265)&gt;0)*(N('Dvd Calendar'!$T$1265)&lt;=VAL_SERIAL)*1000000+14*1000+56))</f>
        <v/>
      </c>
      <c r="GI129" s="39">
        <f>IF(N('Dvd Calendar'!$U$1266)=0,"",IF(('Dvd Calendar'!$U$1266&gt;=GRID_FROM)*('Dvd Calendar'!$U$1266&lt;=GRID_TO)*('Dvd Calendar'!$U$1266&gt;VAL_DATE)=0,"",'Dvd Calendar'!$U$1266*1000000000+ISNUMBER('Dvd Calendar'!$U$1267)*100000000+0*10000000+(N('Dvd Calendar'!$U$1265)&gt;0)*(N('Dvd Calendar'!$U$1265)&lt;=VAL_SERIAL)*1000000+14*1000+57))</f>
        <v/>
      </c>
      <c r="GJ129" s="39">
        <f>IF(N('Dvd Calendar'!$V$1266)=0,"",IF(('Dvd Calendar'!$V$1266&gt;=GRID_FROM)*('Dvd Calendar'!$V$1266&lt;=GRID_TO)*('Dvd Calendar'!$V$1266&gt;VAL_DATE)=0,"",'Dvd Calendar'!$V$1266*1000000000+ISNUMBER('Dvd Calendar'!$V$1267)*100000000+0*10000000+(N('Dvd Calendar'!$V$1265)&gt;0)*(N('Dvd Calendar'!$V$1265)&lt;=VAL_SERIAL)*1000000+14*1000+58))</f>
        <v/>
      </c>
      <c r="GK129" s="39">
        <f>IF(N('Dvd Calendar'!$W$1266)=0,"",IF(('Dvd Calendar'!$W$1266&gt;=GRID_FROM)*('Dvd Calendar'!$W$1266&lt;=GRID_TO)*('Dvd Calendar'!$W$1266&gt;VAL_DATE)=0,"",'Dvd Calendar'!$W$1266*1000000000+ISNUMBER('Dvd Calendar'!$W$1267)*100000000+0*10000000+(N('Dvd Calendar'!$W$1265)&gt;0)*(N('Dvd Calendar'!$W$1265)&lt;=VAL_SERIAL)*1000000+14*1000+59))</f>
        <v/>
      </c>
      <c r="GL129" s="39">
        <f>IF(N('Dvd Calendar'!$X$1266)=0,"",IF(('Dvd Calendar'!$X$1266&gt;=GRID_FROM)*('Dvd Calendar'!$X$1266&lt;=GRID_TO)*('Dvd Calendar'!$X$1266&gt;VAL_DATE)=0,"",'Dvd Calendar'!$X$1266*1000000000+ISNUMBER('Dvd Calendar'!$X$1267)*100000000+0*10000000+(N('Dvd Calendar'!$X$1265)&gt;0)*(N('Dvd Calendar'!$X$1265)&lt;=VAL_SERIAL)*1000000+14*1000+60))</f>
        <v/>
      </c>
      <c r="GM129" s="39">
        <f>IF(N('Dvd Calendar'!$Y$1266)=0,"",IF(('Dvd Calendar'!$Y$1266&gt;=GRID_FROM)*('Dvd Calendar'!$Y$1266&lt;=GRID_TO)*('Dvd Calendar'!$Y$1266&gt;VAL_DATE)=0,"",'Dvd Calendar'!$Y$1266*1000000000+ISNUMBER('Dvd Calendar'!$Y$1267)*100000000+0*10000000+(N('Dvd Calendar'!$Y$1265)&gt;0)*(N('Dvd Calendar'!$Y$1265)&lt;=VAL_SERIAL)*1000000+14*1000+61))</f>
        <v/>
      </c>
      <c r="GN129" s="39">
        <f>IF(N('Dvd Calendar'!$Z$1266)=0,"",IF(('Dvd Calendar'!$Z$1266&gt;=GRID_FROM)*('Dvd Calendar'!$Z$1266&lt;=GRID_TO)*('Dvd Calendar'!$Z$1266&gt;VAL_DATE)=0,"",'Dvd Calendar'!$Z$1266*1000000000+ISNUMBER('Dvd Calendar'!$Z$1267)*100000000+0*10000000+(N('Dvd Calendar'!$Z$1265)&gt;0)*(N('Dvd Calendar'!$Z$1265)&lt;=VAL_SERIAL)*1000000+14*1000+62))</f>
        <v/>
      </c>
      <c r="GO129" s="39">
        <f>IF(N('Dvd Calendar'!$AA$1266)=0,"",IF(('Dvd Calendar'!$AA$1266&gt;=GRID_FROM)*('Dvd Calendar'!$AA$1266&lt;=GRID_TO)*('Dvd Calendar'!$AA$1266&gt;VAL_DATE)=0,"",'Dvd Calendar'!$AA$1266*1000000000+ISNUMBER('Dvd Calendar'!$AA$1267)*100000000+0*10000000+(N('Dvd Calendar'!$AA$1265)&gt;0)*(N('Dvd Calendar'!$AA$1265)&lt;=VAL_SERIAL)*1000000+14*1000+63))</f>
        <v/>
      </c>
      <c r="GP129" s="39">
        <f>IF(N('Dvd Calendar'!$AB$1266)=0,"",IF(('Dvd Calendar'!$AB$1266&gt;=GRID_FROM)*('Dvd Calendar'!$AB$1266&lt;=GRID_TO)*('Dvd Calendar'!$AB$1266&gt;VAL_DATE)=0,"",'Dvd Calendar'!$AB$1266*1000000000+ISNUMBER('Dvd Calendar'!$AB$1267)*100000000+0*10000000+(N('Dvd Calendar'!$AB$1265)&gt;0)*(N('Dvd Calendar'!$AB$1265)&lt;=VAL_SERIAL)*1000000+14*1000+64))</f>
        <v/>
      </c>
      <c r="GQ129" s="39">
        <f>IF(N('Dvd Calendar'!$AC$1266)=0,"",IF(('Dvd Calendar'!$AC$1266&gt;=GRID_FROM)*('Dvd Calendar'!$AC$1266&lt;=GRID_TO)*('Dvd Calendar'!$AC$1266&gt;VAL_DATE)=0,"",'Dvd Calendar'!$AC$1266*1000000000+ISNUMBER('Dvd Calendar'!$AC$1267)*100000000+0*10000000+(N('Dvd Calendar'!$AC$1265)&gt;0)*(N('Dvd Calendar'!$AC$1265)&lt;=VAL_SERIAL)*1000000+14*1000+65))</f>
        <v/>
      </c>
    </row>
    <row r="130">
      <c r="B130" s="2">
        <f>IF(HSTECH!$C$21="","",HSTECH!$C$21)</f>
        <v/>
      </c>
      <c r="C130" s="110">
        <f>IF(EE130="","",IF(ISNUMBER('Dvd Calendar'!$E$1273)=FALSE,"",IF((('Dvd Calendar'!$E$1275=TYPE1)*(TYPE1&lt;&gt;"")+('Dvd Calendar'!$E$1275=TYPE2)*(TYPE2&lt;&gt;"")+('Dvd Calendar'!$E$1275=TYPE3)*(TYPE3&lt;&gt;"")+('Dvd Calendar'!$E$1275=TYPE4)*(TYPE4&lt;&gt;"")+('Dvd Calendar'!$E$1275=SPECIAL_LBL)*(INC_SPECIALS="Y"))=0,"",'Dvd Calendar'!$E$1273)))</f>
        <v/>
      </c>
      <c r="D130" s="110">
        <f>IF(EF130="","",IF(ISNUMBER('Dvd Calendar'!$F$1273)=FALSE,"",IF((('Dvd Calendar'!$F$1275=TYPE1)*(TYPE1&lt;&gt;"")+('Dvd Calendar'!$F$1275=TYPE2)*(TYPE2&lt;&gt;"")+('Dvd Calendar'!$F$1275=TYPE3)*(TYPE3&lt;&gt;"")+('Dvd Calendar'!$F$1275=TYPE4)*(TYPE4&lt;&gt;"")+('Dvd Calendar'!$F$1275=SPECIAL_LBL)*(INC_SPECIALS="Y"))=0,"",'Dvd Calendar'!$F$1273)))</f>
        <v/>
      </c>
      <c r="E130" s="110">
        <f>IF(EG130="","",IF(ISNUMBER('Dvd Calendar'!$G$1273)=FALSE,"",IF((('Dvd Calendar'!$G$1275=TYPE1)*(TYPE1&lt;&gt;"")+('Dvd Calendar'!$G$1275=TYPE2)*(TYPE2&lt;&gt;"")+('Dvd Calendar'!$G$1275=TYPE3)*(TYPE3&lt;&gt;"")+('Dvd Calendar'!$G$1275=TYPE4)*(TYPE4&lt;&gt;"")+('Dvd Calendar'!$G$1275=SPECIAL_LBL)*(INC_SPECIALS="Y"))=0,"",'Dvd Calendar'!$G$1273)))</f>
        <v/>
      </c>
      <c r="F130" s="110">
        <f>IF(EH130="","",IF(ISNUMBER('Dvd Calendar'!$H$1273)=FALSE,"",IF((('Dvd Calendar'!$H$1275=TYPE1)*(TYPE1&lt;&gt;"")+('Dvd Calendar'!$H$1275=TYPE2)*(TYPE2&lt;&gt;"")+('Dvd Calendar'!$H$1275=TYPE3)*(TYPE3&lt;&gt;"")+('Dvd Calendar'!$H$1275=TYPE4)*(TYPE4&lt;&gt;"")+('Dvd Calendar'!$H$1275=SPECIAL_LBL)*(INC_SPECIALS="Y"))=0,"",'Dvd Calendar'!$H$1273)))</f>
        <v/>
      </c>
      <c r="G130" s="110">
        <f>IF(EI130="","",IF(ISNUMBER('Dvd Calendar'!$I$1273)=FALSE,"",IF((('Dvd Calendar'!$I$1275=TYPE1)*(TYPE1&lt;&gt;"")+('Dvd Calendar'!$I$1275=TYPE2)*(TYPE2&lt;&gt;"")+('Dvd Calendar'!$I$1275=TYPE3)*(TYPE3&lt;&gt;"")+('Dvd Calendar'!$I$1275=TYPE4)*(TYPE4&lt;&gt;"")+('Dvd Calendar'!$I$1275=SPECIAL_LBL)*(INC_SPECIALS="Y"))=0,"",'Dvd Calendar'!$I$1273)))</f>
        <v/>
      </c>
      <c r="H130" s="110">
        <f>IF(EJ130="","",IF(ISNUMBER('Dvd Calendar'!$J$1273)=FALSE,"",IF((('Dvd Calendar'!$J$1275=TYPE1)*(TYPE1&lt;&gt;"")+('Dvd Calendar'!$J$1275=TYPE2)*(TYPE2&lt;&gt;"")+('Dvd Calendar'!$J$1275=TYPE3)*(TYPE3&lt;&gt;"")+('Dvd Calendar'!$J$1275=TYPE4)*(TYPE4&lt;&gt;"")+('Dvd Calendar'!$J$1275=SPECIAL_LBL)*(INC_SPECIALS="Y"))=0,"",'Dvd Calendar'!$J$1273)))</f>
        <v/>
      </c>
      <c r="I130" s="110">
        <f>IF(EK130="","",IF(ISNUMBER('Dvd Calendar'!$K$1273)=FALSE,"",IF((('Dvd Calendar'!$K$1275=TYPE1)*(TYPE1&lt;&gt;"")+('Dvd Calendar'!$K$1275=TYPE2)*(TYPE2&lt;&gt;"")+('Dvd Calendar'!$K$1275=TYPE3)*(TYPE3&lt;&gt;"")+('Dvd Calendar'!$K$1275=TYPE4)*(TYPE4&lt;&gt;"")+('Dvd Calendar'!$K$1275=SPECIAL_LBL)*(INC_SPECIALS="Y"))=0,"",'Dvd Calendar'!$K$1273)))</f>
        <v/>
      </c>
      <c r="J130" s="110">
        <f>IF(EL130="","",IF(ISNUMBER('Dvd Calendar'!$L$1273)=FALSE,"",IF((('Dvd Calendar'!$L$1275=TYPE1)*(TYPE1&lt;&gt;"")+('Dvd Calendar'!$L$1275=TYPE2)*(TYPE2&lt;&gt;"")+('Dvd Calendar'!$L$1275=TYPE3)*(TYPE3&lt;&gt;"")+('Dvd Calendar'!$L$1275=TYPE4)*(TYPE4&lt;&gt;"")+('Dvd Calendar'!$L$1275=SPECIAL_LBL)*(INC_SPECIALS="Y"))=0,"",'Dvd Calendar'!$L$1273)))</f>
        <v/>
      </c>
      <c r="K130" s="110">
        <f>IF(EM130="","",IF(ISNUMBER('Dvd Calendar'!$M$1273)=FALSE,"",IF((('Dvd Calendar'!$M$1275=TYPE1)*(TYPE1&lt;&gt;"")+('Dvd Calendar'!$M$1275=TYPE2)*(TYPE2&lt;&gt;"")+('Dvd Calendar'!$M$1275=TYPE3)*(TYPE3&lt;&gt;"")+('Dvd Calendar'!$M$1275=TYPE4)*(TYPE4&lt;&gt;"")+('Dvd Calendar'!$M$1275=SPECIAL_LBL)*(INC_SPECIALS="Y"))=0,"",'Dvd Calendar'!$M$1273)))</f>
        <v/>
      </c>
      <c r="L130" s="110">
        <f>IF(EN130="","",IF(ISNUMBER('Dvd Calendar'!$N$1273)=FALSE,"",IF((('Dvd Calendar'!$N$1275=TYPE1)*(TYPE1&lt;&gt;"")+('Dvd Calendar'!$N$1275=TYPE2)*(TYPE2&lt;&gt;"")+('Dvd Calendar'!$N$1275=TYPE3)*(TYPE3&lt;&gt;"")+('Dvd Calendar'!$N$1275=TYPE4)*(TYPE4&lt;&gt;"")+('Dvd Calendar'!$N$1275=SPECIAL_LBL)*(INC_SPECIALS="Y"))=0,"",'Dvd Calendar'!$N$1273)))</f>
        <v/>
      </c>
      <c r="M130" s="110">
        <f>IF(EO130="","",IF(ISNUMBER('Dvd Calendar'!$O$1273)=FALSE,"",IF((('Dvd Calendar'!$O$1275=TYPE1)*(TYPE1&lt;&gt;"")+('Dvd Calendar'!$O$1275=TYPE2)*(TYPE2&lt;&gt;"")+('Dvd Calendar'!$O$1275=TYPE3)*(TYPE3&lt;&gt;"")+('Dvd Calendar'!$O$1275=TYPE4)*(TYPE4&lt;&gt;"")+('Dvd Calendar'!$O$1275=SPECIAL_LBL)*(INC_SPECIALS="Y"))=0,"",'Dvd Calendar'!$O$1273)))</f>
        <v/>
      </c>
      <c r="N130" s="110">
        <f>IF(EP130="","",IF(ISNUMBER('Dvd Calendar'!$P$1273)=FALSE,"",IF((('Dvd Calendar'!$P$1275=TYPE1)*(TYPE1&lt;&gt;"")+('Dvd Calendar'!$P$1275=TYPE2)*(TYPE2&lt;&gt;"")+('Dvd Calendar'!$P$1275=TYPE3)*(TYPE3&lt;&gt;"")+('Dvd Calendar'!$P$1275=TYPE4)*(TYPE4&lt;&gt;"")+('Dvd Calendar'!$P$1275=SPECIAL_LBL)*(INC_SPECIALS="Y"))=0,"",'Dvd Calendar'!$P$1273)))</f>
        <v/>
      </c>
      <c r="O130" s="110">
        <f>IF(EQ130="","",IF(ISNUMBER('Dvd Calendar'!$Q$1273)=FALSE,"",IF((('Dvd Calendar'!$Q$1275=TYPE1)*(TYPE1&lt;&gt;"")+('Dvd Calendar'!$Q$1275=TYPE2)*(TYPE2&lt;&gt;"")+('Dvd Calendar'!$Q$1275=TYPE3)*(TYPE3&lt;&gt;"")+('Dvd Calendar'!$Q$1275=TYPE4)*(TYPE4&lt;&gt;"")+('Dvd Calendar'!$Q$1275=SPECIAL_LBL)*(INC_SPECIALS="Y"))=0,"",'Dvd Calendar'!$Q$1273)))</f>
        <v/>
      </c>
      <c r="P130" s="110">
        <f>IF(ER130="","",IF(ISNUMBER('Dvd Calendar'!$R$1273)=FALSE,"",IF((('Dvd Calendar'!$R$1275=TYPE1)*(TYPE1&lt;&gt;"")+('Dvd Calendar'!$R$1275=TYPE2)*(TYPE2&lt;&gt;"")+('Dvd Calendar'!$R$1275=TYPE3)*(TYPE3&lt;&gt;"")+('Dvd Calendar'!$R$1275=TYPE4)*(TYPE4&lt;&gt;"")+('Dvd Calendar'!$R$1275=SPECIAL_LBL)*(INC_SPECIALS="Y"))=0,"",'Dvd Calendar'!$R$1273)))</f>
        <v/>
      </c>
      <c r="Q130" s="110">
        <f>IF(ES130="","",IF(ISNUMBER('Dvd Calendar'!$S$1273)=FALSE,"",IF((('Dvd Calendar'!$S$1275=TYPE1)*(TYPE1&lt;&gt;"")+('Dvd Calendar'!$S$1275=TYPE2)*(TYPE2&lt;&gt;"")+('Dvd Calendar'!$S$1275=TYPE3)*(TYPE3&lt;&gt;"")+('Dvd Calendar'!$S$1275=TYPE4)*(TYPE4&lt;&gt;"")+('Dvd Calendar'!$S$1275=SPECIAL_LBL)*(INC_SPECIALS="Y"))=0,"",'Dvd Calendar'!$S$1273)))</f>
        <v/>
      </c>
      <c r="R130" s="110">
        <f>IF(ET130="","",IF(ISNUMBER('Dvd Calendar'!$T$1273)=FALSE,"",IF((('Dvd Calendar'!$T$1275=TYPE1)*(TYPE1&lt;&gt;"")+('Dvd Calendar'!$T$1275=TYPE2)*(TYPE2&lt;&gt;"")+('Dvd Calendar'!$T$1275=TYPE3)*(TYPE3&lt;&gt;"")+('Dvd Calendar'!$T$1275=TYPE4)*(TYPE4&lt;&gt;"")+('Dvd Calendar'!$T$1275=SPECIAL_LBL)*(INC_SPECIALS="Y"))=0,"",'Dvd Calendar'!$T$1273)))</f>
        <v/>
      </c>
      <c r="S130" s="110">
        <f>IF(EU130="","",IF(ISNUMBER('Dvd Calendar'!$U$1273)=FALSE,"",IF((('Dvd Calendar'!$U$1275=TYPE1)*(TYPE1&lt;&gt;"")+('Dvd Calendar'!$U$1275=TYPE2)*(TYPE2&lt;&gt;"")+('Dvd Calendar'!$U$1275=TYPE3)*(TYPE3&lt;&gt;"")+('Dvd Calendar'!$U$1275=TYPE4)*(TYPE4&lt;&gt;"")+('Dvd Calendar'!$U$1275=SPECIAL_LBL)*(INC_SPECIALS="Y"))=0,"",'Dvd Calendar'!$U$1273)))</f>
        <v/>
      </c>
      <c r="T130" s="110">
        <f>IF(EV130="","",IF(ISNUMBER('Dvd Calendar'!$V$1273)=FALSE,"",IF((('Dvd Calendar'!$V$1275=TYPE1)*(TYPE1&lt;&gt;"")+('Dvd Calendar'!$V$1275=TYPE2)*(TYPE2&lt;&gt;"")+('Dvd Calendar'!$V$1275=TYPE3)*(TYPE3&lt;&gt;"")+('Dvd Calendar'!$V$1275=TYPE4)*(TYPE4&lt;&gt;"")+('Dvd Calendar'!$V$1275=SPECIAL_LBL)*(INC_SPECIALS="Y"))=0,"",'Dvd Calendar'!$V$1273)))</f>
        <v/>
      </c>
      <c r="U130" s="110">
        <f>IF(EW130="","",IF(ISNUMBER('Dvd Calendar'!$W$1273)=FALSE,"",IF((('Dvd Calendar'!$W$1275=TYPE1)*(TYPE1&lt;&gt;"")+('Dvd Calendar'!$W$1275=TYPE2)*(TYPE2&lt;&gt;"")+('Dvd Calendar'!$W$1275=TYPE3)*(TYPE3&lt;&gt;"")+('Dvd Calendar'!$W$1275=TYPE4)*(TYPE4&lt;&gt;"")+('Dvd Calendar'!$W$1275=SPECIAL_LBL)*(INC_SPECIALS="Y"))=0,"",'Dvd Calendar'!$W$1273)))</f>
        <v/>
      </c>
      <c r="V130" s="110">
        <f>IF(EX130="","",IF(ISNUMBER('Dvd Calendar'!$X$1273)=FALSE,"",IF((('Dvd Calendar'!$X$1275=TYPE1)*(TYPE1&lt;&gt;"")+('Dvd Calendar'!$X$1275=TYPE2)*(TYPE2&lt;&gt;"")+('Dvd Calendar'!$X$1275=TYPE3)*(TYPE3&lt;&gt;"")+('Dvd Calendar'!$X$1275=TYPE4)*(TYPE4&lt;&gt;"")+('Dvd Calendar'!$X$1275=SPECIAL_LBL)*(INC_SPECIALS="Y"))=0,"",'Dvd Calendar'!$X$1273)))</f>
        <v/>
      </c>
      <c r="W130" s="110">
        <f>IF(EY130="","",IF(ISNUMBER('Dvd Calendar'!$Y$1273)=FALSE,"",IF((('Dvd Calendar'!$Y$1275=TYPE1)*(TYPE1&lt;&gt;"")+('Dvd Calendar'!$Y$1275=TYPE2)*(TYPE2&lt;&gt;"")+('Dvd Calendar'!$Y$1275=TYPE3)*(TYPE3&lt;&gt;"")+('Dvd Calendar'!$Y$1275=TYPE4)*(TYPE4&lt;&gt;"")+('Dvd Calendar'!$Y$1275=SPECIAL_LBL)*(INC_SPECIALS="Y"))=0,"",'Dvd Calendar'!$Y$1273)))</f>
        <v/>
      </c>
      <c r="X130" s="110">
        <f>IF(EZ130="","",IF(ISNUMBER('Dvd Calendar'!$Z$1273)=FALSE,"",IF((('Dvd Calendar'!$Z$1275=TYPE1)*(TYPE1&lt;&gt;"")+('Dvd Calendar'!$Z$1275=TYPE2)*(TYPE2&lt;&gt;"")+('Dvd Calendar'!$Z$1275=TYPE3)*(TYPE3&lt;&gt;"")+('Dvd Calendar'!$Z$1275=TYPE4)*(TYPE4&lt;&gt;"")+('Dvd Calendar'!$Z$1275=SPECIAL_LBL)*(INC_SPECIALS="Y"))=0,"",'Dvd Calendar'!$Z$1273)))</f>
        <v/>
      </c>
      <c r="Y130" s="110">
        <f>IF(FA130="","",IF(ISNUMBER('Dvd Calendar'!$AA$1273)=FALSE,"",IF((('Dvd Calendar'!$AA$1275=TYPE1)*(TYPE1&lt;&gt;"")+('Dvd Calendar'!$AA$1275=TYPE2)*(TYPE2&lt;&gt;"")+('Dvd Calendar'!$AA$1275=TYPE3)*(TYPE3&lt;&gt;"")+('Dvd Calendar'!$AA$1275=TYPE4)*(TYPE4&lt;&gt;"")+('Dvd Calendar'!$AA$1275=SPECIAL_LBL)*(INC_SPECIALS="Y"))=0,"",'Dvd Calendar'!$AA$1273)))</f>
        <v/>
      </c>
      <c r="Z130" s="110">
        <f>IF(FB130="","",IF(ISNUMBER('Dvd Calendar'!$AB$1273)=FALSE,"",IF((('Dvd Calendar'!$AB$1275=TYPE1)*(TYPE1&lt;&gt;"")+('Dvd Calendar'!$AB$1275=TYPE2)*(TYPE2&lt;&gt;"")+('Dvd Calendar'!$AB$1275=TYPE3)*(TYPE3&lt;&gt;"")+('Dvd Calendar'!$AB$1275=TYPE4)*(TYPE4&lt;&gt;"")+('Dvd Calendar'!$AB$1275=SPECIAL_LBL)*(INC_SPECIALS="Y"))=0,"",'Dvd Calendar'!$AB$1273)))</f>
        <v/>
      </c>
      <c r="AA130" s="110">
        <f>IF(FC130="","",IF(ISNUMBER('Dvd Calendar'!$AC$1273)=FALSE,"",IF((('Dvd Calendar'!$AC$1275=TYPE1)*(TYPE1&lt;&gt;"")+('Dvd Calendar'!$AC$1275=TYPE2)*(TYPE2&lt;&gt;"")+('Dvd Calendar'!$AC$1275=TYPE3)*(TYPE3&lt;&gt;"")+('Dvd Calendar'!$AC$1275=TYPE4)*(TYPE4&lt;&gt;"")+('Dvd Calendar'!$AC$1275=SPECIAL_LBL)*(INC_SPECIALS="Y"))=0,"",'Dvd Calendar'!$AC$1273)))</f>
        <v/>
      </c>
      <c r="AB130" s="110">
        <f>IF(FD130="","",IF(ISNUMBER('Dvd Calendar'!$AD$1273)=FALSE,"",IF((('Dvd Calendar'!$AD$1275=TYPE1)*(TYPE1&lt;&gt;"")+('Dvd Calendar'!$AD$1275=TYPE2)*(TYPE2&lt;&gt;"")+('Dvd Calendar'!$AD$1275=TYPE3)*(TYPE3&lt;&gt;"")+('Dvd Calendar'!$AD$1275=TYPE4)*(TYPE4&lt;&gt;"")+('Dvd Calendar'!$AD$1275=SPECIAL_LBL)*(INC_SPECIALS="Y"))=0,"",'Dvd Calendar'!$AD$1273)))</f>
        <v/>
      </c>
      <c r="AC130" s="110">
        <f>IF(FE130="","",IF(ISNUMBER('Dvd Calendar'!$AE$1273)=FALSE,"",IF((('Dvd Calendar'!$AE$1275=TYPE1)*(TYPE1&lt;&gt;"")+('Dvd Calendar'!$AE$1275=TYPE2)*(TYPE2&lt;&gt;"")+('Dvd Calendar'!$AE$1275=TYPE3)*(TYPE3&lt;&gt;"")+('Dvd Calendar'!$AE$1275=TYPE4)*(TYPE4&lt;&gt;"")+('Dvd Calendar'!$AE$1275=SPECIAL_LBL)*(INC_SPECIALS="Y"))=0,"",'Dvd Calendar'!$AE$1273)))</f>
        <v/>
      </c>
      <c r="AD130" s="110">
        <f>IF(FF130="","",IF(ISNUMBER('Dvd Calendar'!$AF$1273)=FALSE,"",IF((('Dvd Calendar'!$AF$1275=TYPE1)*(TYPE1&lt;&gt;"")+('Dvd Calendar'!$AF$1275=TYPE2)*(TYPE2&lt;&gt;"")+('Dvd Calendar'!$AF$1275=TYPE3)*(TYPE3&lt;&gt;"")+('Dvd Calendar'!$AF$1275=TYPE4)*(TYPE4&lt;&gt;"")+('Dvd Calendar'!$AF$1275=SPECIAL_LBL)*(INC_SPECIALS="Y"))=0,"",'Dvd Calendar'!$AF$1273)))</f>
        <v/>
      </c>
      <c r="AE130" s="110">
        <f>IF(FG130="","",IF(ISNUMBER('Dvd Calendar'!$AG$1273)=FALSE,"",IF((('Dvd Calendar'!$AG$1275=TYPE1)*(TYPE1&lt;&gt;"")+('Dvd Calendar'!$AG$1275=TYPE2)*(TYPE2&lt;&gt;"")+('Dvd Calendar'!$AG$1275=TYPE3)*(TYPE3&lt;&gt;"")+('Dvd Calendar'!$AG$1275=TYPE4)*(TYPE4&lt;&gt;"")+('Dvd Calendar'!$AG$1275=SPECIAL_LBL)*(INC_SPECIALS="Y"))=0,"",'Dvd Calendar'!$AG$1273)))</f>
        <v/>
      </c>
      <c r="AF130" s="110">
        <f>IF(FH130="","",IF(ISNUMBER('Dvd Calendar'!$AH$1273)=FALSE,"",IF((('Dvd Calendar'!$AH$1275=TYPE1)*(TYPE1&lt;&gt;"")+('Dvd Calendar'!$AH$1275=TYPE2)*(TYPE2&lt;&gt;"")+('Dvd Calendar'!$AH$1275=TYPE3)*(TYPE3&lt;&gt;"")+('Dvd Calendar'!$AH$1275=TYPE4)*(TYPE4&lt;&gt;"")+('Dvd Calendar'!$AH$1275=SPECIAL_LBL)*(INC_SPECIALS="Y"))=0,"",'Dvd Calendar'!$AH$1273)))</f>
        <v/>
      </c>
      <c r="AG130" s="110">
        <f>IF(FI130="","",IF(ISNUMBER('Dvd Calendar'!$AI$1273)=FALSE,"",IF((('Dvd Calendar'!$AI$1275=TYPE1)*(TYPE1&lt;&gt;"")+('Dvd Calendar'!$AI$1275=TYPE2)*(TYPE2&lt;&gt;"")+('Dvd Calendar'!$AI$1275=TYPE3)*(TYPE3&lt;&gt;"")+('Dvd Calendar'!$AI$1275=TYPE4)*(TYPE4&lt;&gt;"")+('Dvd Calendar'!$AI$1275=SPECIAL_LBL)*(INC_SPECIALS="Y"))=0,"",'Dvd Calendar'!$AI$1273)))</f>
        <v/>
      </c>
      <c r="AH130" s="110">
        <f>IF(FJ130="","",IF(ISNUMBER('Dvd Calendar'!$AJ$1273)=FALSE,"",IF((('Dvd Calendar'!$AJ$1275=TYPE1)*(TYPE1&lt;&gt;"")+('Dvd Calendar'!$AJ$1275=TYPE2)*(TYPE2&lt;&gt;"")+('Dvd Calendar'!$AJ$1275=TYPE3)*(TYPE3&lt;&gt;"")+('Dvd Calendar'!$AJ$1275=TYPE4)*(TYPE4&lt;&gt;"")+('Dvd Calendar'!$AJ$1275=SPECIAL_LBL)*(INC_SPECIALS="Y"))=0,"",'Dvd Calendar'!$AJ$1273)))</f>
        <v/>
      </c>
      <c r="AI130" s="110">
        <f>IF(FK130="","",IF(ISNUMBER('Dvd Calendar'!$AK$1273)=FALSE,"",IF((('Dvd Calendar'!$AK$1275=TYPE1)*(TYPE1&lt;&gt;"")+('Dvd Calendar'!$AK$1275=TYPE2)*(TYPE2&lt;&gt;"")+('Dvd Calendar'!$AK$1275=TYPE3)*(TYPE3&lt;&gt;"")+('Dvd Calendar'!$AK$1275=TYPE4)*(TYPE4&lt;&gt;"")+('Dvd Calendar'!$AK$1275=SPECIAL_LBL)*(INC_SPECIALS="Y"))=0,"",'Dvd Calendar'!$AK$1273)))</f>
        <v/>
      </c>
      <c r="AJ130" s="110">
        <f>IF(FL130="","",IF(ISNUMBER('Dvd Calendar'!$AL$1273)=FALSE,"",IF((('Dvd Calendar'!$AL$1275=TYPE1)*(TYPE1&lt;&gt;"")+('Dvd Calendar'!$AL$1275=TYPE2)*(TYPE2&lt;&gt;"")+('Dvd Calendar'!$AL$1275=TYPE3)*(TYPE3&lt;&gt;"")+('Dvd Calendar'!$AL$1275=TYPE4)*(TYPE4&lt;&gt;"")+('Dvd Calendar'!$AL$1275=SPECIAL_LBL)*(INC_SPECIALS="Y"))=0,"",'Dvd Calendar'!$AL$1273)))</f>
        <v/>
      </c>
      <c r="AK130" s="110">
        <f>IF(FM130="","",IF(ISNUMBER('Dvd Calendar'!$AM$1273)=FALSE,"",IF((('Dvd Calendar'!$AM$1275=TYPE1)*(TYPE1&lt;&gt;"")+('Dvd Calendar'!$AM$1275=TYPE2)*(TYPE2&lt;&gt;"")+('Dvd Calendar'!$AM$1275=TYPE3)*(TYPE3&lt;&gt;"")+('Dvd Calendar'!$AM$1275=TYPE4)*(TYPE4&lt;&gt;"")+('Dvd Calendar'!$AM$1275=SPECIAL_LBL)*(INC_SPECIALS="Y"))=0,"",'Dvd Calendar'!$AM$1273)))</f>
        <v/>
      </c>
      <c r="AL130" s="110">
        <f>IF(FN130="","",IF(ISNUMBER('Dvd Calendar'!$AN$1273)=FALSE,"",IF((('Dvd Calendar'!$AN$1275=TYPE1)*(TYPE1&lt;&gt;"")+('Dvd Calendar'!$AN$1275=TYPE2)*(TYPE2&lt;&gt;"")+('Dvd Calendar'!$AN$1275=TYPE3)*(TYPE3&lt;&gt;"")+('Dvd Calendar'!$AN$1275=TYPE4)*(TYPE4&lt;&gt;"")+('Dvd Calendar'!$AN$1275=SPECIAL_LBL)*(INC_SPECIALS="Y"))=0,"",'Dvd Calendar'!$AN$1273)))</f>
        <v/>
      </c>
      <c r="AM130" s="110">
        <f>IF(FO130="","",IF(ISNUMBER('Dvd Calendar'!$AO$1273)=FALSE,"",IF((('Dvd Calendar'!$AO$1275=TYPE1)*(TYPE1&lt;&gt;"")+('Dvd Calendar'!$AO$1275=TYPE2)*(TYPE2&lt;&gt;"")+('Dvd Calendar'!$AO$1275=TYPE3)*(TYPE3&lt;&gt;"")+('Dvd Calendar'!$AO$1275=TYPE4)*(TYPE4&lt;&gt;"")+('Dvd Calendar'!$AO$1275=SPECIAL_LBL)*(INC_SPECIALS="Y"))=0,"",'Dvd Calendar'!$AO$1273)))</f>
        <v/>
      </c>
      <c r="AN130" s="110">
        <f>IF(FP130="","",IF(ISNUMBER('Dvd Calendar'!$AP$1273)=FALSE,"",IF((('Dvd Calendar'!$AP$1275=TYPE1)*(TYPE1&lt;&gt;"")+('Dvd Calendar'!$AP$1275=TYPE2)*(TYPE2&lt;&gt;"")+('Dvd Calendar'!$AP$1275=TYPE3)*(TYPE3&lt;&gt;"")+('Dvd Calendar'!$AP$1275=TYPE4)*(TYPE4&lt;&gt;"")+('Dvd Calendar'!$AP$1275=SPECIAL_LBL)*(INC_SPECIALS="Y"))=0,"",'Dvd Calendar'!$AP$1273)))</f>
        <v/>
      </c>
      <c r="AO130" s="110">
        <f>IF(FQ130="","",IF(ISNUMBER('Dvd Calendar'!$AQ$1273)=FALSE,"",IF((('Dvd Calendar'!$AQ$1275=TYPE1)*(TYPE1&lt;&gt;"")+('Dvd Calendar'!$AQ$1275=TYPE2)*(TYPE2&lt;&gt;"")+('Dvd Calendar'!$AQ$1275=TYPE3)*(TYPE3&lt;&gt;"")+('Dvd Calendar'!$AQ$1275=TYPE4)*(TYPE4&lt;&gt;"")+('Dvd Calendar'!$AQ$1275=SPECIAL_LBL)*(INC_SPECIALS="Y"))=0,"",'Dvd Calendar'!$AQ$1273)))</f>
        <v/>
      </c>
      <c r="AP130" s="110">
        <f>IF(FR130="","",IF(ISNUMBER('Dvd Calendar'!$AR$1273)=FALSE,"",IF((('Dvd Calendar'!$AR$1275=TYPE1)*(TYPE1&lt;&gt;"")+('Dvd Calendar'!$AR$1275=TYPE2)*(TYPE2&lt;&gt;"")+('Dvd Calendar'!$AR$1275=TYPE3)*(TYPE3&lt;&gt;"")+('Dvd Calendar'!$AR$1275=TYPE4)*(TYPE4&lt;&gt;"")+('Dvd Calendar'!$AR$1275=SPECIAL_LBL)*(INC_SPECIALS="Y"))=0,"",'Dvd Calendar'!$AR$1273)))</f>
        <v/>
      </c>
      <c r="AQ130" s="110">
        <f>IF(FS130="","",IF(ISNUMBER('Dvd Calendar'!$E$1278)=FALSE,"",'Dvd Calendar'!$E$1278))</f>
        <v/>
      </c>
      <c r="AR130" s="110">
        <f>IF(FT130="","",IF(ISNUMBER('Dvd Calendar'!$F$1278)=FALSE,"",'Dvd Calendar'!$F$1278))</f>
        <v/>
      </c>
      <c r="AS130" s="110">
        <f>IF(FU130="","",IF(ISNUMBER('Dvd Calendar'!$G$1278)=FALSE,"",'Dvd Calendar'!$G$1278))</f>
        <v/>
      </c>
      <c r="AT130" s="110">
        <f>IF(FV130="","",IF(ISNUMBER('Dvd Calendar'!$H$1278)=FALSE,"",'Dvd Calendar'!$H$1278))</f>
        <v/>
      </c>
      <c r="AU130" s="110">
        <f>IF(FW130="","",IF(ISNUMBER('Dvd Calendar'!$I$1278)=FALSE,"",'Dvd Calendar'!$I$1278))</f>
        <v/>
      </c>
      <c r="AV130" s="110">
        <f>IF(FX130="","",IF(ISNUMBER('Dvd Calendar'!$J$1278)=FALSE,"",'Dvd Calendar'!$J$1278))</f>
        <v/>
      </c>
      <c r="AW130" s="110">
        <f>IF(FY130="","",IF(ISNUMBER('Dvd Calendar'!$K$1278)=FALSE,"",'Dvd Calendar'!$K$1278))</f>
        <v/>
      </c>
      <c r="AX130" s="110">
        <f>IF(FZ130="","",IF(ISNUMBER('Dvd Calendar'!$L$1278)=FALSE,"",'Dvd Calendar'!$L$1278))</f>
        <v/>
      </c>
      <c r="AY130" s="110">
        <f>IF(GA130="","",IF(ISNUMBER('Dvd Calendar'!$M$1278)=FALSE,"",'Dvd Calendar'!$M$1278))</f>
        <v/>
      </c>
      <c r="AZ130" s="110">
        <f>IF(GB130="","",IF(ISNUMBER('Dvd Calendar'!$N$1278)=FALSE,"",'Dvd Calendar'!$N$1278))</f>
        <v/>
      </c>
      <c r="BA130" s="110">
        <f>IF(GC130="","",IF(ISNUMBER('Dvd Calendar'!$O$1278)=FALSE,"",'Dvd Calendar'!$O$1278))</f>
        <v/>
      </c>
      <c r="BB130" s="110">
        <f>IF(GD130="","",IF(ISNUMBER('Dvd Calendar'!$P$1278)=FALSE,"",'Dvd Calendar'!$P$1278))</f>
        <v/>
      </c>
      <c r="BC130" s="110">
        <f>IF(GE130="","",IF(ISNUMBER('Dvd Calendar'!$Q$1278)=FALSE,"",'Dvd Calendar'!$Q$1278))</f>
        <v/>
      </c>
      <c r="BD130" s="110">
        <f>IF(GF130="","",IF(ISNUMBER('Dvd Calendar'!$R$1278)=FALSE,"",'Dvd Calendar'!$R$1278))</f>
        <v/>
      </c>
      <c r="BE130" s="110">
        <f>IF(GG130="","",IF(ISNUMBER('Dvd Calendar'!$S$1278)=FALSE,"",'Dvd Calendar'!$S$1278))</f>
        <v/>
      </c>
      <c r="BF130" s="110">
        <f>IF(GH130="","",IF(ISNUMBER('Dvd Calendar'!$T$1278)=FALSE,"",'Dvd Calendar'!$T$1278))</f>
        <v/>
      </c>
      <c r="BG130" s="110">
        <f>IF(GI130="","",IF(ISNUMBER('Dvd Calendar'!$U$1278)=FALSE,"",'Dvd Calendar'!$U$1278))</f>
        <v/>
      </c>
      <c r="BH130" s="110">
        <f>IF(GJ130="","",IF(ISNUMBER('Dvd Calendar'!$V$1278)=FALSE,"",'Dvd Calendar'!$V$1278))</f>
        <v/>
      </c>
      <c r="BI130" s="110">
        <f>IF(GK130="","",IF(ISNUMBER('Dvd Calendar'!$W$1278)=FALSE,"",'Dvd Calendar'!$W$1278))</f>
        <v/>
      </c>
      <c r="BJ130" s="110">
        <f>IF(GL130="","",IF(ISNUMBER('Dvd Calendar'!$X$1278)=FALSE,"",'Dvd Calendar'!$X$1278))</f>
        <v/>
      </c>
      <c r="BK130" s="110">
        <f>IF(GM130="","",IF(ISNUMBER('Dvd Calendar'!$Y$1278)=FALSE,"",'Dvd Calendar'!$Y$1278))</f>
        <v/>
      </c>
      <c r="BL130" s="110">
        <f>IF(GN130="","",IF(ISNUMBER('Dvd Calendar'!$Z$1278)=FALSE,"",'Dvd Calendar'!$Z$1278))</f>
        <v/>
      </c>
      <c r="BM130" s="110">
        <f>IF(GO130="","",IF(ISNUMBER('Dvd Calendar'!$AA$1278)=FALSE,"",'Dvd Calendar'!$AA$1278))</f>
        <v/>
      </c>
      <c r="BN130" s="110">
        <f>IF(GP130="","",IF(ISNUMBER('Dvd Calendar'!$AB$1278)=FALSE,"",'Dvd Calendar'!$AB$1278))</f>
        <v/>
      </c>
      <c r="BO130" s="110">
        <f>IF(GQ130="","",IF(ISNUMBER('Dvd Calendar'!$AC$1278)=FALSE,"",'Dvd Calendar'!$AC$1278))</f>
        <v/>
      </c>
      <c r="BQ130" s="110">
        <f>IF(C130="","",IFERROR(C130*HSTECH!$B$21*HSTECH!$G$21/HSTECH!$B$3,""))</f>
        <v/>
      </c>
      <c r="BR130" s="110">
        <f>IF(D130="","",IFERROR(D130*HSTECH!$B$21*HSTECH!$G$21/HSTECH!$B$3,""))</f>
        <v/>
      </c>
      <c r="BS130" s="110">
        <f>IF(E130="","",IFERROR(E130*HSTECH!$B$21*HSTECH!$G$21/HSTECH!$B$3,""))</f>
        <v/>
      </c>
      <c r="BT130" s="110">
        <f>IF(F130="","",IFERROR(F130*HSTECH!$B$21*HSTECH!$G$21/HSTECH!$B$3,""))</f>
        <v/>
      </c>
      <c r="BU130" s="110">
        <f>IF(G130="","",IFERROR(G130*HSTECH!$B$21*HSTECH!$G$21/HSTECH!$B$3,""))</f>
        <v/>
      </c>
      <c r="BV130" s="110">
        <f>IF(H130="","",IFERROR(H130*HSTECH!$B$21*HSTECH!$G$21/HSTECH!$B$3,""))</f>
        <v/>
      </c>
      <c r="BW130" s="110">
        <f>IF(I130="","",IFERROR(I130*HSTECH!$B$21*HSTECH!$G$21/HSTECH!$B$3,""))</f>
        <v/>
      </c>
      <c r="BX130" s="110">
        <f>IF(J130="","",IFERROR(J130*HSTECH!$B$21*HSTECH!$G$21/HSTECH!$B$3,""))</f>
        <v/>
      </c>
      <c r="BY130" s="110">
        <f>IF(K130="","",IFERROR(K130*HSTECH!$B$21*HSTECH!$G$21/HSTECH!$B$3,""))</f>
        <v/>
      </c>
      <c r="BZ130" s="110">
        <f>IF(L130="","",IFERROR(L130*HSTECH!$B$21*HSTECH!$G$21/HSTECH!$B$3,""))</f>
        <v/>
      </c>
      <c r="CA130" s="110">
        <f>IF(M130="","",IFERROR(M130*HSTECH!$B$21*HSTECH!$G$21/HSTECH!$B$3,""))</f>
        <v/>
      </c>
      <c r="CB130" s="110">
        <f>IF(N130="","",IFERROR(N130*HSTECH!$B$21*HSTECH!$G$21/HSTECH!$B$3,""))</f>
        <v/>
      </c>
      <c r="CC130" s="110">
        <f>IF(O130="","",IFERROR(O130*HSTECH!$B$21*HSTECH!$G$21/HSTECH!$B$3,""))</f>
        <v/>
      </c>
      <c r="CD130" s="110">
        <f>IF(P130="","",IFERROR(P130*HSTECH!$B$21*HSTECH!$G$21/HSTECH!$B$3,""))</f>
        <v/>
      </c>
      <c r="CE130" s="110">
        <f>IF(Q130="","",IFERROR(Q130*HSTECH!$B$21*HSTECH!$G$21/HSTECH!$B$3,""))</f>
        <v/>
      </c>
      <c r="CF130" s="110">
        <f>IF(R130="","",IFERROR(R130*HSTECH!$B$21*HSTECH!$G$21/HSTECH!$B$3,""))</f>
        <v/>
      </c>
      <c r="CG130" s="110">
        <f>IF(S130="","",IFERROR(S130*HSTECH!$B$21*HSTECH!$G$21/HSTECH!$B$3,""))</f>
        <v/>
      </c>
      <c r="CH130" s="110">
        <f>IF(T130="","",IFERROR(T130*HSTECH!$B$21*HSTECH!$G$21/HSTECH!$B$3,""))</f>
        <v/>
      </c>
      <c r="CI130" s="110">
        <f>IF(U130="","",IFERROR(U130*HSTECH!$B$21*HSTECH!$G$21/HSTECH!$B$3,""))</f>
        <v/>
      </c>
      <c r="CJ130" s="110">
        <f>IF(V130="","",IFERROR(V130*HSTECH!$B$21*HSTECH!$G$21/HSTECH!$B$3,""))</f>
        <v/>
      </c>
      <c r="CK130" s="110">
        <f>IF(W130="","",IFERROR(W130*HSTECH!$B$21*HSTECH!$G$21/HSTECH!$B$3,""))</f>
        <v/>
      </c>
      <c r="CL130" s="110">
        <f>IF(X130="","",IFERROR(X130*HSTECH!$B$21*HSTECH!$G$21/HSTECH!$B$3,""))</f>
        <v/>
      </c>
      <c r="CM130" s="110">
        <f>IF(Y130="","",IFERROR(Y130*HSTECH!$B$21*HSTECH!$G$21/HSTECH!$B$3,""))</f>
        <v/>
      </c>
      <c r="CN130" s="110">
        <f>IF(Z130="","",IFERROR(Z130*HSTECH!$B$21*HSTECH!$G$21/HSTECH!$B$3,""))</f>
        <v/>
      </c>
      <c r="CO130" s="110">
        <f>IF(AA130="","",IFERROR(AA130*HSTECH!$B$21*HSTECH!$G$21/HSTECH!$B$3,""))</f>
        <v/>
      </c>
      <c r="CP130" s="110">
        <f>IF(AB130="","",IFERROR(AB130*HSTECH!$B$21*HSTECH!$G$21/HSTECH!$B$3,""))</f>
        <v/>
      </c>
      <c r="CQ130" s="110">
        <f>IF(AC130="","",IFERROR(AC130*HSTECH!$B$21*HSTECH!$G$21/HSTECH!$B$3,""))</f>
        <v/>
      </c>
      <c r="CR130" s="110">
        <f>IF(AD130="","",IFERROR(AD130*HSTECH!$B$21*HSTECH!$G$21/HSTECH!$B$3,""))</f>
        <v/>
      </c>
      <c r="CS130" s="110">
        <f>IF(AE130="","",IFERROR(AE130*HSTECH!$B$21*HSTECH!$G$21/HSTECH!$B$3,""))</f>
        <v/>
      </c>
      <c r="CT130" s="110">
        <f>IF(AF130="","",IFERROR(AF130*HSTECH!$B$21*HSTECH!$G$21/HSTECH!$B$3,""))</f>
        <v/>
      </c>
      <c r="CU130" s="110">
        <f>IF(AG130="","",IFERROR(AG130*HSTECH!$B$21*HSTECH!$G$21/HSTECH!$B$3,""))</f>
        <v/>
      </c>
      <c r="CV130" s="110">
        <f>IF(AH130="","",IFERROR(AH130*HSTECH!$B$21*HSTECH!$G$21/HSTECH!$B$3,""))</f>
        <v/>
      </c>
      <c r="CW130" s="110">
        <f>IF(AI130="","",IFERROR(AI130*HSTECH!$B$21*HSTECH!$G$21/HSTECH!$B$3,""))</f>
        <v/>
      </c>
      <c r="CX130" s="110">
        <f>IF(AJ130="","",IFERROR(AJ130*HSTECH!$B$21*HSTECH!$G$21/HSTECH!$B$3,""))</f>
        <v/>
      </c>
      <c r="CY130" s="110">
        <f>IF(AK130="","",IFERROR(AK130*HSTECH!$B$21*HSTECH!$G$21/HSTECH!$B$3,""))</f>
        <v/>
      </c>
      <c r="CZ130" s="110">
        <f>IF(AL130="","",IFERROR(AL130*HSTECH!$B$21*HSTECH!$G$21/HSTECH!$B$3,""))</f>
        <v/>
      </c>
      <c r="DA130" s="110">
        <f>IF(AM130="","",IFERROR(AM130*HSTECH!$B$21*HSTECH!$G$21/HSTECH!$B$3,""))</f>
        <v/>
      </c>
      <c r="DB130" s="110">
        <f>IF(AN130="","",IFERROR(AN130*HSTECH!$B$21*HSTECH!$G$21/HSTECH!$B$3,""))</f>
        <v/>
      </c>
      <c r="DC130" s="110">
        <f>IF(AO130="","",IFERROR(AO130*HSTECH!$B$21*HSTECH!$G$21/HSTECH!$B$3,""))</f>
        <v/>
      </c>
      <c r="DD130" s="110">
        <f>IF(AP130="","",IFERROR(AP130*HSTECH!$B$21*HSTECH!$G$21/HSTECH!$B$3,""))</f>
        <v/>
      </c>
      <c r="DE130" s="110">
        <f>IF(AQ130="","",IFERROR(AQ130*HSTECH!$B$21*HSTECH!$G$21/HSTECH!$B$3,""))</f>
        <v/>
      </c>
      <c r="DF130" s="110">
        <f>IF(AR130="","",IFERROR(AR130*HSTECH!$B$21*HSTECH!$G$21/HSTECH!$B$3,""))</f>
        <v/>
      </c>
      <c r="DG130" s="110">
        <f>IF(AS130="","",IFERROR(AS130*HSTECH!$B$21*HSTECH!$G$21/HSTECH!$B$3,""))</f>
        <v/>
      </c>
      <c r="DH130" s="110">
        <f>IF(AT130="","",IFERROR(AT130*HSTECH!$B$21*HSTECH!$G$21/HSTECH!$B$3,""))</f>
        <v/>
      </c>
      <c r="DI130" s="110">
        <f>IF(AU130="","",IFERROR(AU130*HSTECH!$B$21*HSTECH!$G$21/HSTECH!$B$3,""))</f>
        <v/>
      </c>
      <c r="DJ130" s="110">
        <f>IF(AV130="","",IFERROR(AV130*HSTECH!$B$21*HSTECH!$G$21/HSTECH!$B$3,""))</f>
        <v/>
      </c>
      <c r="DK130" s="110">
        <f>IF(AW130="","",IFERROR(AW130*HSTECH!$B$21*HSTECH!$G$21/HSTECH!$B$3,""))</f>
        <v/>
      </c>
      <c r="DL130" s="110">
        <f>IF(AX130="","",IFERROR(AX130*HSTECH!$B$21*HSTECH!$G$21/HSTECH!$B$3,""))</f>
        <v/>
      </c>
      <c r="DM130" s="110">
        <f>IF(AY130="","",IFERROR(AY130*HSTECH!$B$21*HSTECH!$G$21/HSTECH!$B$3,""))</f>
        <v/>
      </c>
      <c r="DN130" s="110">
        <f>IF(AZ130="","",IFERROR(AZ130*HSTECH!$B$21*HSTECH!$G$21/HSTECH!$B$3,""))</f>
        <v/>
      </c>
      <c r="DO130" s="110">
        <f>IF(BA130="","",IFERROR(BA130*HSTECH!$B$21*HSTECH!$G$21/HSTECH!$B$3,""))</f>
        <v/>
      </c>
      <c r="DP130" s="110">
        <f>IF(BB130="","",IFERROR(BB130*HSTECH!$B$21*HSTECH!$G$21/HSTECH!$B$3,""))</f>
        <v/>
      </c>
      <c r="DQ130" s="110">
        <f>IF(BC130="","",IFERROR(BC130*HSTECH!$B$21*HSTECH!$G$21/HSTECH!$B$3,""))</f>
        <v/>
      </c>
      <c r="DR130" s="110">
        <f>IF(BD130="","",IFERROR(BD130*HSTECH!$B$21*HSTECH!$G$21/HSTECH!$B$3,""))</f>
        <v/>
      </c>
      <c r="DS130" s="110">
        <f>IF(BE130="","",IFERROR(BE130*HSTECH!$B$21*HSTECH!$G$21/HSTECH!$B$3,""))</f>
        <v/>
      </c>
      <c r="DT130" s="110">
        <f>IF(BF130="","",IFERROR(BF130*HSTECH!$B$21*HSTECH!$G$21/HSTECH!$B$3,""))</f>
        <v/>
      </c>
      <c r="DU130" s="110">
        <f>IF(BG130="","",IFERROR(BG130*HSTECH!$B$21*HSTECH!$G$21/HSTECH!$B$3,""))</f>
        <v/>
      </c>
      <c r="DV130" s="110">
        <f>IF(BH130="","",IFERROR(BH130*HSTECH!$B$21*HSTECH!$G$21/HSTECH!$B$3,""))</f>
        <v/>
      </c>
      <c r="DW130" s="110">
        <f>IF(BI130="","",IFERROR(BI130*HSTECH!$B$21*HSTECH!$G$21/HSTECH!$B$3,""))</f>
        <v/>
      </c>
      <c r="DX130" s="110">
        <f>IF(BJ130="","",IFERROR(BJ130*HSTECH!$B$21*HSTECH!$G$21/HSTECH!$B$3,""))</f>
        <v/>
      </c>
      <c r="DY130" s="110">
        <f>IF(BK130="","",IFERROR(BK130*HSTECH!$B$21*HSTECH!$G$21/HSTECH!$B$3,""))</f>
        <v/>
      </c>
      <c r="DZ130" s="110">
        <f>IF(BL130="","",IFERROR(BL130*HSTECH!$B$21*HSTECH!$G$21/HSTECH!$B$3,""))</f>
        <v/>
      </c>
      <c r="EA130" s="110">
        <f>IF(BM130="","",IFERROR(BM130*HSTECH!$B$21*HSTECH!$G$21/HSTECH!$B$3,""))</f>
        <v/>
      </c>
      <c r="EB130" s="110">
        <f>IF(BN130="","",IFERROR(BN130*HSTECH!$B$21*HSTECH!$G$21/HSTECH!$B$3,""))</f>
        <v/>
      </c>
      <c r="EC130" s="110">
        <f>IF(BO130="","",IFERROR(BO130*HSTECH!$B$21*HSTECH!$G$21/HSTECH!$B$3,""))</f>
        <v/>
      </c>
      <c r="EE130" s="39">
        <f>IF(N('Dvd Calendar'!$E$1270)=0,"",IF(('Dvd Calendar'!$E$1270&gt;=GRID_FROM)*('Dvd Calendar'!$E$1270&lt;=GRID_TO)*((('Dvd Calendar'!$E$1270&lt;=VAL_DATE)+(COUNTIF('Dvd Calendar'!$E$1277:$AR$1277,'Dvd Calendar'!$E$1270)=0))&gt;0)=0,"",'Dvd Calendar'!$E$1270*1000000000+ISNUMBER('Dvd Calendar'!$E$1273)*100000000+('Dvd Calendar'!$E$1275=SPECIAL_LBL)*10000000+(N('Dvd Calendar'!$E$1269)&gt;0)*(N('Dvd Calendar'!$E$1269)&lt;=VAL_SERIAL)*1000000+15*1000+1))</f>
        <v/>
      </c>
      <c r="EF130" s="39">
        <f>IF(N('Dvd Calendar'!$F$1270)=0,"",IF(('Dvd Calendar'!$F$1270&gt;=GRID_FROM)*('Dvd Calendar'!$F$1270&lt;=GRID_TO)*((('Dvd Calendar'!$F$1270&lt;=VAL_DATE)+(COUNTIF('Dvd Calendar'!$E$1277:$AR$1277,'Dvd Calendar'!$F$1270)=0))&gt;0)=0,"",'Dvd Calendar'!$F$1270*1000000000+ISNUMBER('Dvd Calendar'!$F$1273)*100000000+('Dvd Calendar'!$F$1275=SPECIAL_LBL)*10000000+(N('Dvd Calendar'!$F$1269)&gt;0)*(N('Dvd Calendar'!$F$1269)&lt;=VAL_SERIAL)*1000000+15*1000+2))</f>
        <v/>
      </c>
      <c r="EG130" s="39">
        <f>IF(N('Dvd Calendar'!$G$1270)=0,"",IF(('Dvd Calendar'!$G$1270&gt;=GRID_FROM)*('Dvd Calendar'!$G$1270&lt;=GRID_TO)*((('Dvd Calendar'!$G$1270&lt;=VAL_DATE)+(COUNTIF('Dvd Calendar'!$E$1277:$AR$1277,'Dvd Calendar'!$G$1270)=0))&gt;0)=0,"",'Dvd Calendar'!$G$1270*1000000000+ISNUMBER('Dvd Calendar'!$G$1273)*100000000+('Dvd Calendar'!$G$1275=SPECIAL_LBL)*10000000+(N('Dvd Calendar'!$G$1269)&gt;0)*(N('Dvd Calendar'!$G$1269)&lt;=VAL_SERIAL)*1000000+15*1000+3))</f>
        <v/>
      </c>
      <c r="EH130" s="39">
        <f>IF(N('Dvd Calendar'!$H$1270)=0,"",IF(('Dvd Calendar'!$H$1270&gt;=GRID_FROM)*('Dvd Calendar'!$H$1270&lt;=GRID_TO)*((('Dvd Calendar'!$H$1270&lt;=VAL_DATE)+(COUNTIF('Dvd Calendar'!$E$1277:$AR$1277,'Dvd Calendar'!$H$1270)=0))&gt;0)=0,"",'Dvd Calendar'!$H$1270*1000000000+ISNUMBER('Dvd Calendar'!$H$1273)*100000000+('Dvd Calendar'!$H$1275=SPECIAL_LBL)*10000000+(N('Dvd Calendar'!$H$1269)&gt;0)*(N('Dvd Calendar'!$H$1269)&lt;=VAL_SERIAL)*1000000+15*1000+4))</f>
        <v/>
      </c>
      <c r="EI130" s="39">
        <f>IF(N('Dvd Calendar'!$I$1270)=0,"",IF(('Dvd Calendar'!$I$1270&gt;=GRID_FROM)*('Dvd Calendar'!$I$1270&lt;=GRID_TO)*((('Dvd Calendar'!$I$1270&lt;=VAL_DATE)+(COUNTIF('Dvd Calendar'!$E$1277:$AR$1277,'Dvd Calendar'!$I$1270)=0))&gt;0)=0,"",'Dvd Calendar'!$I$1270*1000000000+ISNUMBER('Dvd Calendar'!$I$1273)*100000000+('Dvd Calendar'!$I$1275=SPECIAL_LBL)*10000000+(N('Dvd Calendar'!$I$1269)&gt;0)*(N('Dvd Calendar'!$I$1269)&lt;=VAL_SERIAL)*1000000+15*1000+5))</f>
        <v/>
      </c>
      <c r="EJ130" s="39">
        <f>IF(N('Dvd Calendar'!$J$1270)=0,"",IF(('Dvd Calendar'!$J$1270&gt;=GRID_FROM)*('Dvd Calendar'!$J$1270&lt;=GRID_TO)*((('Dvd Calendar'!$J$1270&lt;=VAL_DATE)+(COUNTIF('Dvd Calendar'!$E$1277:$AR$1277,'Dvd Calendar'!$J$1270)=0))&gt;0)=0,"",'Dvd Calendar'!$J$1270*1000000000+ISNUMBER('Dvd Calendar'!$J$1273)*100000000+('Dvd Calendar'!$J$1275=SPECIAL_LBL)*10000000+(N('Dvd Calendar'!$J$1269)&gt;0)*(N('Dvd Calendar'!$J$1269)&lt;=VAL_SERIAL)*1000000+15*1000+6))</f>
        <v/>
      </c>
      <c r="EK130" s="39">
        <f>IF(N('Dvd Calendar'!$K$1270)=0,"",IF(('Dvd Calendar'!$K$1270&gt;=GRID_FROM)*('Dvd Calendar'!$K$1270&lt;=GRID_TO)*((('Dvd Calendar'!$K$1270&lt;=VAL_DATE)+(COUNTIF('Dvd Calendar'!$E$1277:$AR$1277,'Dvd Calendar'!$K$1270)=0))&gt;0)=0,"",'Dvd Calendar'!$K$1270*1000000000+ISNUMBER('Dvd Calendar'!$K$1273)*100000000+('Dvd Calendar'!$K$1275=SPECIAL_LBL)*10000000+(N('Dvd Calendar'!$K$1269)&gt;0)*(N('Dvd Calendar'!$K$1269)&lt;=VAL_SERIAL)*1000000+15*1000+7))</f>
        <v/>
      </c>
      <c r="EL130" s="39">
        <f>IF(N('Dvd Calendar'!$L$1270)=0,"",IF(('Dvd Calendar'!$L$1270&gt;=GRID_FROM)*('Dvd Calendar'!$L$1270&lt;=GRID_TO)*((('Dvd Calendar'!$L$1270&lt;=VAL_DATE)+(COUNTIF('Dvd Calendar'!$E$1277:$AR$1277,'Dvd Calendar'!$L$1270)=0))&gt;0)=0,"",'Dvd Calendar'!$L$1270*1000000000+ISNUMBER('Dvd Calendar'!$L$1273)*100000000+('Dvd Calendar'!$L$1275=SPECIAL_LBL)*10000000+(N('Dvd Calendar'!$L$1269)&gt;0)*(N('Dvd Calendar'!$L$1269)&lt;=VAL_SERIAL)*1000000+15*1000+8))</f>
        <v/>
      </c>
      <c r="EM130" s="39">
        <f>IF(N('Dvd Calendar'!$M$1270)=0,"",IF(('Dvd Calendar'!$M$1270&gt;=GRID_FROM)*('Dvd Calendar'!$M$1270&lt;=GRID_TO)*((('Dvd Calendar'!$M$1270&lt;=VAL_DATE)+(COUNTIF('Dvd Calendar'!$E$1277:$AR$1277,'Dvd Calendar'!$M$1270)=0))&gt;0)=0,"",'Dvd Calendar'!$M$1270*1000000000+ISNUMBER('Dvd Calendar'!$M$1273)*100000000+('Dvd Calendar'!$M$1275=SPECIAL_LBL)*10000000+(N('Dvd Calendar'!$M$1269)&gt;0)*(N('Dvd Calendar'!$M$1269)&lt;=VAL_SERIAL)*1000000+15*1000+9))</f>
        <v/>
      </c>
      <c r="EN130" s="39">
        <f>IF(N('Dvd Calendar'!$N$1270)=0,"",IF(('Dvd Calendar'!$N$1270&gt;=GRID_FROM)*('Dvd Calendar'!$N$1270&lt;=GRID_TO)*((('Dvd Calendar'!$N$1270&lt;=VAL_DATE)+(COUNTIF('Dvd Calendar'!$E$1277:$AR$1277,'Dvd Calendar'!$N$1270)=0))&gt;0)=0,"",'Dvd Calendar'!$N$1270*1000000000+ISNUMBER('Dvd Calendar'!$N$1273)*100000000+('Dvd Calendar'!$N$1275=SPECIAL_LBL)*10000000+(N('Dvd Calendar'!$N$1269)&gt;0)*(N('Dvd Calendar'!$N$1269)&lt;=VAL_SERIAL)*1000000+15*1000+10))</f>
        <v/>
      </c>
      <c r="EO130" s="39">
        <f>IF(N('Dvd Calendar'!$O$1270)=0,"",IF(('Dvd Calendar'!$O$1270&gt;=GRID_FROM)*('Dvd Calendar'!$O$1270&lt;=GRID_TO)*((('Dvd Calendar'!$O$1270&lt;=VAL_DATE)+(COUNTIF('Dvd Calendar'!$E$1277:$AR$1277,'Dvd Calendar'!$O$1270)=0))&gt;0)=0,"",'Dvd Calendar'!$O$1270*1000000000+ISNUMBER('Dvd Calendar'!$O$1273)*100000000+('Dvd Calendar'!$O$1275=SPECIAL_LBL)*10000000+(N('Dvd Calendar'!$O$1269)&gt;0)*(N('Dvd Calendar'!$O$1269)&lt;=VAL_SERIAL)*1000000+15*1000+11))</f>
        <v/>
      </c>
      <c r="EP130" s="39">
        <f>IF(N('Dvd Calendar'!$P$1270)=0,"",IF(('Dvd Calendar'!$P$1270&gt;=GRID_FROM)*('Dvd Calendar'!$P$1270&lt;=GRID_TO)*((('Dvd Calendar'!$P$1270&lt;=VAL_DATE)+(COUNTIF('Dvd Calendar'!$E$1277:$AR$1277,'Dvd Calendar'!$P$1270)=0))&gt;0)=0,"",'Dvd Calendar'!$P$1270*1000000000+ISNUMBER('Dvd Calendar'!$P$1273)*100000000+('Dvd Calendar'!$P$1275=SPECIAL_LBL)*10000000+(N('Dvd Calendar'!$P$1269)&gt;0)*(N('Dvd Calendar'!$P$1269)&lt;=VAL_SERIAL)*1000000+15*1000+12))</f>
        <v/>
      </c>
      <c r="EQ130" s="39">
        <f>IF(N('Dvd Calendar'!$Q$1270)=0,"",IF(('Dvd Calendar'!$Q$1270&gt;=GRID_FROM)*('Dvd Calendar'!$Q$1270&lt;=GRID_TO)*((('Dvd Calendar'!$Q$1270&lt;=VAL_DATE)+(COUNTIF('Dvd Calendar'!$E$1277:$AR$1277,'Dvd Calendar'!$Q$1270)=0))&gt;0)=0,"",'Dvd Calendar'!$Q$1270*1000000000+ISNUMBER('Dvd Calendar'!$Q$1273)*100000000+('Dvd Calendar'!$Q$1275=SPECIAL_LBL)*10000000+(N('Dvd Calendar'!$Q$1269)&gt;0)*(N('Dvd Calendar'!$Q$1269)&lt;=VAL_SERIAL)*1000000+15*1000+13))</f>
        <v/>
      </c>
      <c r="ER130" s="39">
        <f>IF(N('Dvd Calendar'!$R$1270)=0,"",IF(('Dvd Calendar'!$R$1270&gt;=GRID_FROM)*('Dvd Calendar'!$R$1270&lt;=GRID_TO)*((('Dvd Calendar'!$R$1270&lt;=VAL_DATE)+(COUNTIF('Dvd Calendar'!$E$1277:$AR$1277,'Dvd Calendar'!$R$1270)=0))&gt;0)=0,"",'Dvd Calendar'!$R$1270*1000000000+ISNUMBER('Dvd Calendar'!$R$1273)*100000000+('Dvd Calendar'!$R$1275=SPECIAL_LBL)*10000000+(N('Dvd Calendar'!$R$1269)&gt;0)*(N('Dvd Calendar'!$R$1269)&lt;=VAL_SERIAL)*1000000+15*1000+14))</f>
        <v/>
      </c>
      <c r="ES130" s="39">
        <f>IF(N('Dvd Calendar'!$S$1270)=0,"",IF(('Dvd Calendar'!$S$1270&gt;=GRID_FROM)*('Dvd Calendar'!$S$1270&lt;=GRID_TO)*((('Dvd Calendar'!$S$1270&lt;=VAL_DATE)+(COUNTIF('Dvd Calendar'!$E$1277:$AR$1277,'Dvd Calendar'!$S$1270)=0))&gt;0)=0,"",'Dvd Calendar'!$S$1270*1000000000+ISNUMBER('Dvd Calendar'!$S$1273)*100000000+('Dvd Calendar'!$S$1275=SPECIAL_LBL)*10000000+(N('Dvd Calendar'!$S$1269)&gt;0)*(N('Dvd Calendar'!$S$1269)&lt;=VAL_SERIAL)*1000000+15*1000+15))</f>
        <v/>
      </c>
      <c r="ET130" s="39">
        <f>IF(N('Dvd Calendar'!$T$1270)=0,"",IF(('Dvd Calendar'!$T$1270&gt;=GRID_FROM)*('Dvd Calendar'!$T$1270&lt;=GRID_TO)*((('Dvd Calendar'!$T$1270&lt;=VAL_DATE)+(COUNTIF('Dvd Calendar'!$E$1277:$AR$1277,'Dvd Calendar'!$T$1270)=0))&gt;0)=0,"",'Dvd Calendar'!$T$1270*1000000000+ISNUMBER('Dvd Calendar'!$T$1273)*100000000+('Dvd Calendar'!$T$1275=SPECIAL_LBL)*10000000+(N('Dvd Calendar'!$T$1269)&gt;0)*(N('Dvd Calendar'!$T$1269)&lt;=VAL_SERIAL)*1000000+15*1000+16))</f>
        <v/>
      </c>
      <c r="EU130" s="39">
        <f>IF(N('Dvd Calendar'!$U$1270)=0,"",IF(('Dvd Calendar'!$U$1270&gt;=GRID_FROM)*('Dvd Calendar'!$U$1270&lt;=GRID_TO)*((('Dvd Calendar'!$U$1270&lt;=VAL_DATE)+(COUNTIF('Dvd Calendar'!$E$1277:$AR$1277,'Dvd Calendar'!$U$1270)=0))&gt;0)=0,"",'Dvd Calendar'!$U$1270*1000000000+ISNUMBER('Dvd Calendar'!$U$1273)*100000000+('Dvd Calendar'!$U$1275=SPECIAL_LBL)*10000000+(N('Dvd Calendar'!$U$1269)&gt;0)*(N('Dvd Calendar'!$U$1269)&lt;=VAL_SERIAL)*1000000+15*1000+17))</f>
        <v/>
      </c>
      <c r="EV130" s="39">
        <f>IF(N('Dvd Calendar'!$V$1270)=0,"",IF(('Dvd Calendar'!$V$1270&gt;=GRID_FROM)*('Dvd Calendar'!$V$1270&lt;=GRID_TO)*((('Dvd Calendar'!$V$1270&lt;=VAL_DATE)+(COUNTIF('Dvd Calendar'!$E$1277:$AR$1277,'Dvd Calendar'!$V$1270)=0))&gt;0)=0,"",'Dvd Calendar'!$V$1270*1000000000+ISNUMBER('Dvd Calendar'!$V$1273)*100000000+('Dvd Calendar'!$V$1275=SPECIAL_LBL)*10000000+(N('Dvd Calendar'!$V$1269)&gt;0)*(N('Dvd Calendar'!$V$1269)&lt;=VAL_SERIAL)*1000000+15*1000+18))</f>
        <v/>
      </c>
      <c r="EW130" s="39">
        <f>IF(N('Dvd Calendar'!$W$1270)=0,"",IF(('Dvd Calendar'!$W$1270&gt;=GRID_FROM)*('Dvd Calendar'!$W$1270&lt;=GRID_TO)*((('Dvd Calendar'!$W$1270&lt;=VAL_DATE)+(COUNTIF('Dvd Calendar'!$E$1277:$AR$1277,'Dvd Calendar'!$W$1270)=0))&gt;0)=0,"",'Dvd Calendar'!$W$1270*1000000000+ISNUMBER('Dvd Calendar'!$W$1273)*100000000+('Dvd Calendar'!$W$1275=SPECIAL_LBL)*10000000+(N('Dvd Calendar'!$W$1269)&gt;0)*(N('Dvd Calendar'!$W$1269)&lt;=VAL_SERIAL)*1000000+15*1000+19))</f>
        <v/>
      </c>
      <c r="EX130" s="39">
        <f>IF(N('Dvd Calendar'!$X$1270)=0,"",IF(('Dvd Calendar'!$X$1270&gt;=GRID_FROM)*('Dvd Calendar'!$X$1270&lt;=GRID_TO)*((('Dvd Calendar'!$X$1270&lt;=VAL_DATE)+(COUNTIF('Dvd Calendar'!$E$1277:$AR$1277,'Dvd Calendar'!$X$1270)=0))&gt;0)=0,"",'Dvd Calendar'!$X$1270*1000000000+ISNUMBER('Dvd Calendar'!$X$1273)*100000000+('Dvd Calendar'!$X$1275=SPECIAL_LBL)*10000000+(N('Dvd Calendar'!$X$1269)&gt;0)*(N('Dvd Calendar'!$X$1269)&lt;=VAL_SERIAL)*1000000+15*1000+20))</f>
        <v/>
      </c>
      <c r="EY130" s="39">
        <f>IF(N('Dvd Calendar'!$Y$1270)=0,"",IF(('Dvd Calendar'!$Y$1270&gt;=GRID_FROM)*('Dvd Calendar'!$Y$1270&lt;=GRID_TO)*((('Dvd Calendar'!$Y$1270&lt;=VAL_DATE)+(COUNTIF('Dvd Calendar'!$E$1277:$AR$1277,'Dvd Calendar'!$Y$1270)=0))&gt;0)=0,"",'Dvd Calendar'!$Y$1270*1000000000+ISNUMBER('Dvd Calendar'!$Y$1273)*100000000+('Dvd Calendar'!$Y$1275=SPECIAL_LBL)*10000000+(N('Dvd Calendar'!$Y$1269)&gt;0)*(N('Dvd Calendar'!$Y$1269)&lt;=VAL_SERIAL)*1000000+15*1000+21))</f>
        <v/>
      </c>
      <c r="EZ130" s="39">
        <f>IF(N('Dvd Calendar'!$Z$1270)=0,"",IF(('Dvd Calendar'!$Z$1270&gt;=GRID_FROM)*('Dvd Calendar'!$Z$1270&lt;=GRID_TO)*((('Dvd Calendar'!$Z$1270&lt;=VAL_DATE)+(COUNTIF('Dvd Calendar'!$E$1277:$AR$1277,'Dvd Calendar'!$Z$1270)=0))&gt;0)=0,"",'Dvd Calendar'!$Z$1270*1000000000+ISNUMBER('Dvd Calendar'!$Z$1273)*100000000+('Dvd Calendar'!$Z$1275=SPECIAL_LBL)*10000000+(N('Dvd Calendar'!$Z$1269)&gt;0)*(N('Dvd Calendar'!$Z$1269)&lt;=VAL_SERIAL)*1000000+15*1000+22))</f>
        <v/>
      </c>
      <c r="FA130" s="39">
        <f>IF(N('Dvd Calendar'!$AA$1270)=0,"",IF(('Dvd Calendar'!$AA$1270&gt;=GRID_FROM)*('Dvd Calendar'!$AA$1270&lt;=GRID_TO)*((('Dvd Calendar'!$AA$1270&lt;=VAL_DATE)+(COUNTIF('Dvd Calendar'!$E$1277:$AR$1277,'Dvd Calendar'!$AA$1270)=0))&gt;0)=0,"",'Dvd Calendar'!$AA$1270*1000000000+ISNUMBER('Dvd Calendar'!$AA$1273)*100000000+('Dvd Calendar'!$AA$1275=SPECIAL_LBL)*10000000+(N('Dvd Calendar'!$AA$1269)&gt;0)*(N('Dvd Calendar'!$AA$1269)&lt;=VAL_SERIAL)*1000000+15*1000+23))</f>
        <v/>
      </c>
      <c r="FB130" s="39">
        <f>IF(N('Dvd Calendar'!$AB$1270)=0,"",IF(('Dvd Calendar'!$AB$1270&gt;=GRID_FROM)*('Dvd Calendar'!$AB$1270&lt;=GRID_TO)*((('Dvd Calendar'!$AB$1270&lt;=VAL_DATE)+(COUNTIF('Dvd Calendar'!$E$1277:$AR$1277,'Dvd Calendar'!$AB$1270)=0))&gt;0)=0,"",'Dvd Calendar'!$AB$1270*1000000000+ISNUMBER('Dvd Calendar'!$AB$1273)*100000000+('Dvd Calendar'!$AB$1275=SPECIAL_LBL)*10000000+(N('Dvd Calendar'!$AB$1269)&gt;0)*(N('Dvd Calendar'!$AB$1269)&lt;=VAL_SERIAL)*1000000+15*1000+24))</f>
        <v/>
      </c>
      <c r="FC130" s="39">
        <f>IF(N('Dvd Calendar'!$AC$1270)=0,"",IF(('Dvd Calendar'!$AC$1270&gt;=GRID_FROM)*('Dvd Calendar'!$AC$1270&lt;=GRID_TO)*((('Dvd Calendar'!$AC$1270&lt;=VAL_DATE)+(COUNTIF('Dvd Calendar'!$E$1277:$AR$1277,'Dvd Calendar'!$AC$1270)=0))&gt;0)=0,"",'Dvd Calendar'!$AC$1270*1000000000+ISNUMBER('Dvd Calendar'!$AC$1273)*100000000+('Dvd Calendar'!$AC$1275=SPECIAL_LBL)*10000000+(N('Dvd Calendar'!$AC$1269)&gt;0)*(N('Dvd Calendar'!$AC$1269)&lt;=VAL_SERIAL)*1000000+15*1000+25))</f>
        <v/>
      </c>
      <c r="FD130" s="39">
        <f>IF(N('Dvd Calendar'!$AD$1270)=0,"",IF(('Dvd Calendar'!$AD$1270&gt;=GRID_FROM)*('Dvd Calendar'!$AD$1270&lt;=GRID_TO)*((('Dvd Calendar'!$AD$1270&lt;=VAL_DATE)+(COUNTIF('Dvd Calendar'!$E$1277:$AR$1277,'Dvd Calendar'!$AD$1270)=0))&gt;0)=0,"",'Dvd Calendar'!$AD$1270*1000000000+ISNUMBER('Dvd Calendar'!$AD$1273)*100000000+('Dvd Calendar'!$AD$1275=SPECIAL_LBL)*10000000+(N('Dvd Calendar'!$AD$1269)&gt;0)*(N('Dvd Calendar'!$AD$1269)&lt;=VAL_SERIAL)*1000000+15*1000+26))</f>
        <v/>
      </c>
      <c r="FE130" s="39">
        <f>IF(N('Dvd Calendar'!$AE$1270)=0,"",IF(('Dvd Calendar'!$AE$1270&gt;=GRID_FROM)*('Dvd Calendar'!$AE$1270&lt;=GRID_TO)*((('Dvd Calendar'!$AE$1270&lt;=VAL_DATE)+(COUNTIF('Dvd Calendar'!$E$1277:$AR$1277,'Dvd Calendar'!$AE$1270)=0))&gt;0)=0,"",'Dvd Calendar'!$AE$1270*1000000000+ISNUMBER('Dvd Calendar'!$AE$1273)*100000000+('Dvd Calendar'!$AE$1275=SPECIAL_LBL)*10000000+(N('Dvd Calendar'!$AE$1269)&gt;0)*(N('Dvd Calendar'!$AE$1269)&lt;=VAL_SERIAL)*1000000+15*1000+27))</f>
        <v/>
      </c>
      <c r="FF130" s="39">
        <f>IF(N('Dvd Calendar'!$AF$1270)=0,"",IF(('Dvd Calendar'!$AF$1270&gt;=GRID_FROM)*('Dvd Calendar'!$AF$1270&lt;=GRID_TO)*((('Dvd Calendar'!$AF$1270&lt;=VAL_DATE)+(COUNTIF('Dvd Calendar'!$E$1277:$AR$1277,'Dvd Calendar'!$AF$1270)=0))&gt;0)=0,"",'Dvd Calendar'!$AF$1270*1000000000+ISNUMBER('Dvd Calendar'!$AF$1273)*100000000+('Dvd Calendar'!$AF$1275=SPECIAL_LBL)*10000000+(N('Dvd Calendar'!$AF$1269)&gt;0)*(N('Dvd Calendar'!$AF$1269)&lt;=VAL_SERIAL)*1000000+15*1000+28))</f>
        <v/>
      </c>
      <c r="FG130" s="39">
        <f>IF(N('Dvd Calendar'!$AG$1270)=0,"",IF(('Dvd Calendar'!$AG$1270&gt;=GRID_FROM)*('Dvd Calendar'!$AG$1270&lt;=GRID_TO)*((('Dvd Calendar'!$AG$1270&lt;=VAL_DATE)+(COUNTIF('Dvd Calendar'!$E$1277:$AR$1277,'Dvd Calendar'!$AG$1270)=0))&gt;0)=0,"",'Dvd Calendar'!$AG$1270*1000000000+ISNUMBER('Dvd Calendar'!$AG$1273)*100000000+('Dvd Calendar'!$AG$1275=SPECIAL_LBL)*10000000+(N('Dvd Calendar'!$AG$1269)&gt;0)*(N('Dvd Calendar'!$AG$1269)&lt;=VAL_SERIAL)*1000000+15*1000+29))</f>
        <v/>
      </c>
      <c r="FH130" s="39">
        <f>IF(N('Dvd Calendar'!$AH$1270)=0,"",IF(('Dvd Calendar'!$AH$1270&gt;=GRID_FROM)*('Dvd Calendar'!$AH$1270&lt;=GRID_TO)*((('Dvd Calendar'!$AH$1270&lt;=VAL_DATE)+(COUNTIF('Dvd Calendar'!$E$1277:$AR$1277,'Dvd Calendar'!$AH$1270)=0))&gt;0)=0,"",'Dvd Calendar'!$AH$1270*1000000000+ISNUMBER('Dvd Calendar'!$AH$1273)*100000000+('Dvd Calendar'!$AH$1275=SPECIAL_LBL)*10000000+(N('Dvd Calendar'!$AH$1269)&gt;0)*(N('Dvd Calendar'!$AH$1269)&lt;=VAL_SERIAL)*1000000+15*1000+30))</f>
        <v/>
      </c>
      <c r="FI130" s="39">
        <f>IF(N('Dvd Calendar'!$AI$1270)=0,"",IF(('Dvd Calendar'!$AI$1270&gt;=GRID_FROM)*('Dvd Calendar'!$AI$1270&lt;=GRID_TO)*((('Dvd Calendar'!$AI$1270&lt;=VAL_DATE)+(COUNTIF('Dvd Calendar'!$E$1277:$AR$1277,'Dvd Calendar'!$AI$1270)=0))&gt;0)=0,"",'Dvd Calendar'!$AI$1270*1000000000+ISNUMBER('Dvd Calendar'!$AI$1273)*100000000+('Dvd Calendar'!$AI$1275=SPECIAL_LBL)*10000000+(N('Dvd Calendar'!$AI$1269)&gt;0)*(N('Dvd Calendar'!$AI$1269)&lt;=VAL_SERIAL)*1000000+15*1000+31))</f>
        <v/>
      </c>
      <c r="FJ130" s="39">
        <f>IF(N('Dvd Calendar'!$AJ$1270)=0,"",IF(('Dvd Calendar'!$AJ$1270&gt;=GRID_FROM)*('Dvd Calendar'!$AJ$1270&lt;=GRID_TO)*((('Dvd Calendar'!$AJ$1270&lt;=VAL_DATE)+(COUNTIF('Dvd Calendar'!$E$1277:$AR$1277,'Dvd Calendar'!$AJ$1270)=0))&gt;0)=0,"",'Dvd Calendar'!$AJ$1270*1000000000+ISNUMBER('Dvd Calendar'!$AJ$1273)*100000000+('Dvd Calendar'!$AJ$1275=SPECIAL_LBL)*10000000+(N('Dvd Calendar'!$AJ$1269)&gt;0)*(N('Dvd Calendar'!$AJ$1269)&lt;=VAL_SERIAL)*1000000+15*1000+32))</f>
        <v/>
      </c>
      <c r="FK130" s="39">
        <f>IF(N('Dvd Calendar'!$AK$1270)=0,"",IF(('Dvd Calendar'!$AK$1270&gt;=GRID_FROM)*('Dvd Calendar'!$AK$1270&lt;=GRID_TO)*((('Dvd Calendar'!$AK$1270&lt;=VAL_DATE)+(COUNTIF('Dvd Calendar'!$E$1277:$AR$1277,'Dvd Calendar'!$AK$1270)=0))&gt;0)=0,"",'Dvd Calendar'!$AK$1270*1000000000+ISNUMBER('Dvd Calendar'!$AK$1273)*100000000+('Dvd Calendar'!$AK$1275=SPECIAL_LBL)*10000000+(N('Dvd Calendar'!$AK$1269)&gt;0)*(N('Dvd Calendar'!$AK$1269)&lt;=VAL_SERIAL)*1000000+15*1000+33))</f>
        <v/>
      </c>
      <c r="FL130" s="39">
        <f>IF(N('Dvd Calendar'!$AL$1270)=0,"",IF(('Dvd Calendar'!$AL$1270&gt;=GRID_FROM)*('Dvd Calendar'!$AL$1270&lt;=GRID_TO)*((('Dvd Calendar'!$AL$1270&lt;=VAL_DATE)+(COUNTIF('Dvd Calendar'!$E$1277:$AR$1277,'Dvd Calendar'!$AL$1270)=0))&gt;0)=0,"",'Dvd Calendar'!$AL$1270*1000000000+ISNUMBER('Dvd Calendar'!$AL$1273)*100000000+('Dvd Calendar'!$AL$1275=SPECIAL_LBL)*10000000+(N('Dvd Calendar'!$AL$1269)&gt;0)*(N('Dvd Calendar'!$AL$1269)&lt;=VAL_SERIAL)*1000000+15*1000+34))</f>
        <v/>
      </c>
      <c r="FM130" s="39">
        <f>IF(N('Dvd Calendar'!$AM$1270)=0,"",IF(('Dvd Calendar'!$AM$1270&gt;=GRID_FROM)*('Dvd Calendar'!$AM$1270&lt;=GRID_TO)*((('Dvd Calendar'!$AM$1270&lt;=VAL_DATE)+(COUNTIF('Dvd Calendar'!$E$1277:$AR$1277,'Dvd Calendar'!$AM$1270)=0))&gt;0)=0,"",'Dvd Calendar'!$AM$1270*1000000000+ISNUMBER('Dvd Calendar'!$AM$1273)*100000000+('Dvd Calendar'!$AM$1275=SPECIAL_LBL)*10000000+(N('Dvd Calendar'!$AM$1269)&gt;0)*(N('Dvd Calendar'!$AM$1269)&lt;=VAL_SERIAL)*1000000+15*1000+35))</f>
        <v/>
      </c>
      <c r="FN130" s="39">
        <f>IF(N('Dvd Calendar'!$AN$1270)=0,"",IF(('Dvd Calendar'!$AN$1270&gt;=GRID_FROM)*('Dvd Calendar'!$AN$1270&lt;=GRID_TO)*((('Dvd Calendar'!$AN$1270&lt;=VAL_DATE)+(COUNTIF('Dvd Calendar'!$E$1277:$AR$1277,'Dvd Calendar'!$AN$1270)=0))&gt;0)=0,"",'Dvd Calendar'!$AN$1270*1000000000+ISNUMBER('Dvd Calendar'!$AN$1273)*100000000+('Dvd Calendar'!$AN$1275=SPECIAL_LBL)*10000000+(N('Dvd Calendar'!$AN$1269)&gt;0)*(N('Dvd Calendar'!$AN$1269)&lt;=VAL_SERIAL)*1000000+15*1000+36))</f>
        <v/>
      </c>
      <c r="FO130" s="39">
        <f>IF(N('Dvd Calendar'!$AO$1270)=0,"",IF(('Dvd Calendar'!$AO$1270&gt;=GRID_FROM)*('Dvd Calendar'!$AO$1270&lt;=GRID_TO)*((('Dvd Calendar'!$AO$1270&lt;=VAL_DATE)+(COUNTIF('Dvd Calendar'!$E$1277:$AR$1277,'Dvd Calendar'!$AO$1270)=0))&gt;0)=0,"",'Dvd Calendar'!$AO$1270*1000000000+ISNUMBER('Dvd Calendar'!$AO$1273)*100000000+('Dvd Calendar'!$AO$1275=SPECIAL_LBL)*10000000+(N('Dvd Calendar'!$AO$1269)&gt;0)*(N('Dvd Calendar'!$AO$1269)&lt;=VAL_SERIAL)*1000000+15*1000+37))</f>
        <v/>
      </c>
      <c r="FP130" s="39">
        <f>IF(N('Dvd Calendar'!$AP$1270)=0,"",IF(('Dvd Calendar'!$AP$1270&gt;=GRID_FROM)*('Dvd Calendar'!$AP$1270&lt;=GRID_TO)*((('Dvd Calendar'!$AP$1270&lt;=VAL_DATE)+(COUNTIF('Dvd Calendar'!$E$1277:$AR$1277,'Dvd Calendar'!$AP$1270)=0))&gt;0)=0,"",'Dvd Calendar'!$AP$1270*1000000000+ISNUMBER('Dvd Calendar'!$AP$1273)*100000000+('Dvd Calendar'!$AP$1275=SPECIAL_LBL)*10000000+(N('Dvd Calendar'!$AP$1269)&gt;0)*(N('Dvd Calendar'!$AP$1269)&lt;=VAL_SERIAL)*1000000+15*1000+38))</f>
        <v/>
      </c>
      <c r="FQ130" s="39">
        <f>IF(N('Dvd Calendar'!$AQ$1270)=0,"",IF(('Dvd Calendar'!$AQ$1270&gt;=GRID_FROM)*('Dvd Calendar'!$AQ$1270&lt;=GRID_TO)*((('Dvd Calendar'!$AQ$1270&lt;=VAL_DATE)+(COUNTIF('Dvd Calendar'!$E$1277:$AR$1277,'Dvd Calendar'!$AQ$1270)=0))&gt;0)=0,"",'Dvd Calendar'!$AQ$1270*1000000000+ISNUMBER('Dvd Calendar'!$AQ$1273)*100000000+('Dvd Calendar'!$AQ$1275=SPECIAL_LBL)*10000000+(N('Dvd Calendar'!$AQ$1269)&gt;0)*(N('Dvd Calendar'!$AQ$1269)&lt;=VAL_SERIAL)*1000000+15*1000+39))</f>
        <v/>
      </c>
      <c r="FR130" s="39">
        <f>IF(N('Dvd Calendar'!$AR$1270)=0,"",IF(('Dvd Calendar'!$AR$1270&gt;=GRID_FROM)*('Dvd Calendar'!$AR$1270&lt;=GRID_TO)*((('Dvd Calendar'!$AR$1270&lt;=VAL_DATE)+(COUNTIF('Dvd Calendar'!$E$1277:$AR$1277,'Dvd Calendar'!$AR$1270)=0))&gt;0)=0,"",'Dvd Calendar'!$AR$1270*1000000000+ISNUMBER('Dvd Calendar'!$AR$1273)*100000000+('Dvd Calendar'!$AR$1275=SPECIAL_LBL)*10000000+(N('Dvd Calendar'!$AR$1269)&gt;0)*(N('Dvd Calendar'!$AR$1269)&lt;=VAL_SERIAL)*1000000+15*1000+40))</f>
        <v/>
      </c>
      <c r="FS130" s="39">
        <f>IF(N('Dvd Calendar'!$E$1277)=0,"",IF(('Dvd Calendar'!$E$1277&gt;=GRID_FROM)*('Dvd Calendar'!$E$1277&lt;=GRID_TO)*('Dvd Calendar'!$E$1277&gt;VAL_DATE)=0,"",'Dvd Calendar'!$E$1277*1000000000+ISNUMBER('Dvd Calendar'!$E$1278)*100000000+0*10000000+(N('Dvd Calendar'!$E$1276)&gt;0)*(N('Dvd Calendar'!$E$1276)&lt;=VAL_SERIAL)*1000000+15*1000+41))</f>
        <v/>
      </c>
      <c r="FT130" s="39">
        <f>IF(N('Dvd Calendar'!$F$1277)=0,"",IF(('Dvd Calendar'!$F$1277&gt;=GRID_FROM)*('Dvd Calendar'!$F$1277&lt;=GRID_TO)*('Dvd Calendar'!$F$1277&gt;VAL_DATE)=0,"",'Dvd Calendar'!$F$1277*1000000000+ISNUMBER('Dvd Calendar'!$F$1278)*100000000+0*10000000+(N('Dvd Calendar'!$F$1276)&gt;0)*(N('Dvd Calendar'!$F$1276)&lt;=VAL_SERIAL)*1000000+15*1000+42))</f>
        <v/>
      </c>
      <c r="FU130" s="39">
        <f>IF(N('Dvd Calendar'!$G$1277)=0,"",IF(('Dvd Calendar'!$G$1277&gt;=GRID_FROM)*('Dvd Calendar'!$G$1277&lt;=GRID_TO)*('Dvd Calendar'!$G$1277&gt;VAL_DATE)=0,"",'Dvd Calendar'!$G$1277*1000000000+ISNUMBER('Dvd Calendar'!$G$1278)*100000000+0*10000000+(N('Dvd Calendar'!$G$1276)&gt;0)*(N('Dvd Calendar'!$G$1276)&lt;=VAL_SERIAL)*1000000+15*1000+43))</f>
        <v/>
      </c>
      <c r="FV130" s="39">
        <f>IF(N('Dvd Calendar'!$H$1277)=0,"",IF(('Dvd Calendar'!$H$1277&gt;=GRID_FROM)*('Dvd Calendar'!$H$1277&lt;=GRID_TO)*('Dvd Calendar'!$H$1277&gt;VAL_DATE)=0,"",'Dvd Calendar'!$H$1277*1000000000+ISNUMBER('Dvd Calendar'!$H$1278)*100000000+0*10000000+(N('Dvd Calendar'!$H$1276)&gt;0)*(N('Dvd Calendar'!$H$1276)&lt;=VAL_SERIAL)*1000000+15*1000+44))</f>
        <v/>
      </c>
      <c r="FW130" s="39">
        <f>IF(N('Dvd Calendar'!$I$1277)=0,"",IF(('Dvd Calendar'!$I$1277&gt;=GRID_FROM)*('Dvd Calendar'!$I$1277&lt;=GRID_TO)*('Dvd Calendar'!$I$1277&gt;VAL_DATE)=0,"",'Dvd Calendar'!$I$1277*1000000000+ISNUMBER('Dvd Calendar'!$I$1278)*100000000+0*10000000+(N('Dvd Calendar'!$I$1276)&gt;0)*(N('Dvd Calendar'!$I$1276)&lt;=VAL_SERIAL)*1000000+15*1000+45))</f>
        <v/>
      </c>
      <c r="FX130" s="39">
        <f>IF(N('Dvd Calendar'!$J$1277)=0,"",IF(('Dvd Calendar'!$J$1277&gt;=GRID_FROM)*('Dvd Calendar'!$J$1277&lt;=GRID_TO)*('Dvd Calendar'!$J$1277&gt;VAL_DATE)=0,"",'Dvd Calendar'!$J$1277*1000000000+ISNUMBER('Dvd Calendar'!$J$1278)*100000000+0*10000000+(N('Dvd Calendar'!$J$1276)&gt;0)*(N('Dvd Calendar'!$J$1276)&lt;=VAL_SERIAL)*1000000+15*1000+46))</f>
        <v/>
      </c>
      <c r="FY130" s="39">
        <f>IF(N('Dvd Calendar'!$K$1277)=0,"",IF(('Dvd Calendar'!$K$1277&gt;=GRID_FROM)*('Dvd Calendar'!$K$1277&lt;=GRID_TO)*('Dvd Calendar'!$K$1277&gt;VAL_DATE)=0,"",'Dvd Calendar'!$K$1277*1000000000+ISNUMBER('Dvd Calendar'!$K$1278)*100000000+0*10000000+(N('Dvd Calendar'!$K$1276)&gt;0)*(N('Dvd Calendar'!$K$1276)&lt;=VAL_SERIAL)*1000000+15*1000+47))</f>
        <v/>
      </c>
      <c r="FZ130" s="39">
        <f>IF(N('Dvd Calendar'!$L$1277)=0,"",IF(('Dvd Calendar'!$L$1277&gt;=GRID_FROM)*('Dvd Calendar'!$L$1277&lt;=GRID_TO)*('Dvd Calendar'!$L$1277&gt;VAL_DATE)=0,"",'Dvd Calendar'!$L$1277*1000000000+ISNUMBER('Dvd Calendar'!$L$1278)*100000000+0*10000000+(N('Dvd Calendar'!$L$1276)&gt;0)*(N('Dvd Calendar'!$L$1276)&lt;=VAL_SERIAL)*1000000+15*1000+48))</f>
        <v/>
      </c>
      <c r="GA130" s="39">
        <f>IF(N('Dvd Calendar'!$M$1277)=0,"",IF(('Dvd Calendar'!$M$1277&gt;=GRID_FROM)*('Dvd Calendar'!$M$1277&lt;=GRID_TO)*('Dvd Calendar'!$M$1277&gt;VAL_DATE)=0,"",'Dvd Calendar'!$M$1277*1000000000+ISNUMBER('Dvd Calendar'!$M$1278)*100000000+0*10000000+(N('Dvd Calendar'!$M$1276)&gt;0)*(N('Dvd Calendar'!$M$1276)&lt;=VAL_SERIAL)*1000000+15*1000+49))</f>
        <v/>
      </c>
      <c r="GB130" s="39">
        <f>IF(N('Dvd Calendar'!$N$1277)=0,"",IF(('Dvd Calendar'!$N$1277&gt;=GRID_FROM)*('Dvd Calendar'!$N$1277&lt;=GRID_TO)*('Dvd Calendar'!$N$1277&gt;VAL_DATE)=0,"",'Dvd Calendar'!$N$1277*1000000000+ISNUMBER('Dvd Calendar'!$N$1278)*100000000+0*10000000+(N('Dvd Calendar'!$N$1276)&gt;0)*(N('Dvd Calendar'!$N$1276)&lt;=VAL_SERIAL)*1000000+15*1000+50))</f>
        <v/>
      </c>
      <c r="GC130" s="39">
        <f>IF(N('Dvd Calendar'!$O$1277)=0,"",IF(('Dvd Calendar'!$O$1277&gt;=GRID_FROM)*('Dvd Calendar'!$O$1277&lt;=GRID_TO)*('Dvd Calendar'!$O$1277&gt;VAL_DATE)=0,"",'Dvd Calendar'!$O$1277*1000000000+ISNUMBER('Dvd Calendar'!$O$1278)*100000000+0*10000000+(N('Dvd Calendar'!$O$1276)&gt;0)*(N('Dvd Calendar'!$O$1276)&lt;=VAL_SERIAL)*1000000+15*1000+51))</f>
        <v/>
      </c>
      <c r="GD130" s="39">
        <f>IF(N('Dvd Calendar'!$P$1277)=0,"",IF(('Dvd Calendar'!$P$1277&gt;=GRID_FROM)*('Dvd Calendar'!$P$1277&lt;=GRID_TO)*('Dvd Calendar'!$P$1277&gt;VAL_DATE)=0,"",'Dvd Calendar'!$P$1277*1000000000+ISNUMBER('Dvd Calendar'!$P$1278)*100000000+0*10000000+(N('Dvd Calendar'!$P$1276)&gt;0)*(N('Dvd Calendar'!$P$1276)&lt;=VAL_SERIAL)*1000000+15*1000+52))</f>
        <v/>
      </c>
      <c r="GE130" s="39">
        <f>IF(N('Dvd Calendar'!$Q$1277)=0,"",IF(('Dvd Calendar'!$Q$1277&gt;=GRID_FROM)*('Dvd Calendar'!$Q$1277&lt;=GRID_TO)*('Dvd Calendar'!$Q$1277&gt;VAL_DATE)=0,"",'Dvd Calendar'!$Q$1277*1000000000+ISNUMBER('Dvd Calendar'!$Q$1278)*100000000+0*10000000+(N('Dvd Calendar'!$Q$1276)&gt;0)*(N('Dvd Calendar'!$Q$1276)&lt;=VAL_SERIAL)*1000000+15*1000+53))</f>
        <v/>
      </c>
      <c r="GF130" s="39">
        <f>IF(N('Dvd Calendar'!$R$1277)=0,"",IF(('Dvd Calendar'!$R$1277&gt;=GRID_FROM)*('Dvd Calendar'!$R$1277&lt;=GRID_TO)*('Dvd Calendar'!$R$1277&gt;VAL_DATE)=0,"",'Dvd Calendar'!$R$1277*1000000000+ISNUMBER('Dvd Calendar'!$R$1278)*100000000+0*10000000+(N('Dvd Calendar'!$R$1276)&gt;0)*(N('Dvd Calendar'!$R$1276)&lt;=VAL_SERIAL)*1000000+15*1000+54))</f>
        <v/>
      </c>
      <c r="GG130" s="39">
        <f>IF(N('Dvd Calendar'!$S$1277)=0,"",IF(('Dvd Calendar'!$S$1277&gt;=GRID_FROM)*('Dvd Calendar'!$S$1277&lt;=GRID_TO)*('Dvd Calendar'!$S$1277&gt;VAL_DATE)=0,"",'Dvd Calendar'!$S$1277*1000000000+ISNUMBER('Dvd Calendar'!$S$1278)*100000000+0*10000000+(N('Dvd Calendar'!$S$1276)&gt;0)*(N('Dvd Calendar'!$S$1276)&lt;=VAL_SERIAL)*1000000+15*1000+55))</f>
        <v/>
      </c>
      <c r="GH130" s="39">
        <f>IF(N('Dvd Calendar'!$T$1277)=0,"",IF(('Dvd Calendar'!$T$1277&gt;=GRID_FROM)*('Dvd Calendar'!$T$1277&lt;=GRID_TO)*('Dvd Calendar'!$T$1277&gt;VAL_DATE)=0,"",'Dvd Calendar'!$T$1277*1000000000+ISNUMBER('Dvd Calendar'!$T$1278)*100000000+0*10000000+(N('Dvd Calendar'!$T$1276)&gt;0)*(N('Dvd Calendar'!$T$1276)&lt;=VAL_SERIAL)*1000000+15*1000+56))</f>
        <v/>
      </c>
      <c r="GI130" s="39">
        <f>IF(N('Dvd Calendar'!$U$1277)=0,"",IF(('Dvd Calendar'!$U$1277&gt;=GRID_FROM)*('Dvd Calendar'!$U$1277&lt;=GRID_TO)*('Dvd Calendar'!$U$1277&gt;VAL_DATE)=0,"",'Dvd Calendar'!$U$1277*1000000000+ISNUMBER('Dvd Calendar'!$U$1278)*100000000+0*10000000+(N('Dvd Calendar'!$U$1276)&gt;0)*(N('Dvd Calendar'!$U$1276)&lt;=VAL_SERIAL)*1000000+15*1000+57))</f>
        <v/>
      </c>
      <c r="GJ130" s="39">
        <f>IF(N('Dvd Calendar'!$V$1277)=0,"",IF(('Dvd Calendar'!$V$1277&gt;=GRID_FROM)*('Dvd Calendar'!$V$1277&lt;=GRID_TO)*('Dvd Calendar'!$V$1277&gt;VAL_DATE)=0,"",'Dvd Calendar'!$V$1277*1000000000+ISNUMBER('Dvd Calendar'!$V$1278)*100000000+0*10000000+(N('Dvd Calendar'!$V$1276)&gt;0)*(N('Dvd Calendar'!$V$1276)&lt;=VAL_SERIAL)*1000000+15*1000+58))</f>
        <v/>
      </c>
      <c r="GK130" s="39">
        <f>IF(N('Dvd Calendar'!$W$1277)=0,"",IF(('Dvd Calendar'!$W$1277&gt;=GRID_FROM)*('Dvd Calendar'!$W$1277&lt;=GRID_TO)*('Dvd Calendar'!$W$1277&gt;VAL_DATE)=0,"",'Dvd Calendar'!$W$1277*1000000000+ISNUMBER('Dvd Calendar'!$W$1278)*100000000+0*10000000+(N('Dvd Calendar'!$W$1276)&gt;0)*(N('Dvd Calendar'!$W$1276)&lt;=VAL_SERIAL)*1000000+15*1000+59))</f>
        <v/>
      </c>
      <c r="GL130" s="39">
        <f>IF(N('Dvd Calendar'!$X$1277)=0,"",IF(('Dvd Calendar'!$X$1277&gt;=GRID_FROM)*('Dvd Calendar'!$X$1277&lt;=GRID_TO)*('Dvd Calendar'!$X$1277&gt;VAL_DATE)=0,"",'Dvd Calendar'!$X$1277*1000000000+ISNUMBER('Dvd Calendar'!$X$1278)*100000000+0*10000000+(N('Dvd Calendar'!$X$1276)&gt;0)*(N('Dvd Calendar'!$X$1276)&lt;=VAL_SERIAL)*1000000+15*1000+60))</f>
        <v/>
      </c>
      <c r="GM130" s="39">
        <f>IF(N('Dvd Calendar'!$Y$1277)=0,"",IF(('Dvd Calendar'!$Y$1277&gt;=GRID_FROM)*('Dvd Calendar'!$Y$1277&lt;=GRID_TO)*('Dvd Calendar'!$Y$1277&gt;VAL_DATE)=0,"",'Dvd Calendar'!$Y$1277*1000000000+ISNUMBER('Dvd Calendar'!$Y$1278)*100000000+0*10000000+(N('Dvd Calendar'!$Y$1276)&gt;0)*(N('Dvd Calendar'!$Y$1276)&lt;=VAL_SERIAL)*1000000+15*1000+61))</f>
        <v/>
      </c>
      <c r="GN130" s="39">
        <f>IF(N('Dvd Calendar'!$Z$1277)=0,"",IF(('Dvd Calendar'!$Z$1277&gt;=GRID_FROM)*('Dvd Calendar'!$Z$1277&lt;=GRID_TO)*('Dvd Calendar'!$Z$1277&gt;VAL_DATE)=0,"",'Dvd Calendar'!$Z$1277*1000000000+ISNUMBER('Dvd Calendar'!$Z$1278)*100000000+0*10000000+(N('Dvd Calendar'!$Z$1276)&gt;0)*(N('Dvd Calendar'!$Z$1276)&lt;=VAL_SERIAL)*1000000+15*1000+62))</f>
        <v/>
      </c>
      <c r="GO130" s="39">
        <f>IF(N('Dvd Calendar'!$AA$1277)=0,"",IF(('Dvd Calendar'!$AA$1277&gt;=GRID_FROM)*('Dvd Calendar'!$AA$1277&lt;=GRID_TO)*('Dvd Calendar'!$AA$1277&gt;VAL_DATE)=0,"",'Dvd Calendar'!$AA$1277*1000000000+ISNUMBER('Dvd Calendar'!$AA$1278)*100000000+0*10000000+(N('Dvd Calendar'!$AA$1276)&gt;0)*(N('Dvd Calendar'!$AA$1276)&lt;=VAL_SERIAL)*1000000+15*1000+63))</f>
        <v/>
      </c>
      <c r="GP130" s="39">
        <f>IF(N('Dvd Calendar'!$AB$1277)=0,"",IF(('Dvd Calendar'!$AB$1277&gt;=GRID_FROM)*('Dvd Calendar'!$AB$1277&lt;=GRID_TO)*('Dvd Calendar'!$AB$1277&gt;VAL_DATE)=0,"",'Dvd Calendar'!$AB$1277*1000000000+ISNUMBER('Dvd Calendar'!$AB$1278)*100000000+0*10000000+(N('Dvd Calendar'!$AB$1276)&gt;0)*(N('Dvd Calendar'!$AB$1276)&lt;=VAL_SERIAL)*1000000+15*1000+64))</f>
        <v/>
      </c>
      <c r="GQ130" s="39">
        <f>IF(N('Dvd Calendar'!$AC$1277)=0,"",IF(('Dvd Calendar'!$AC$1277&gt;=GRID_FROM)*('Dvd Calendar'!$AC$1277&lt;=GRID_TO)*('Dvd Calendar'!$AC$1277&gt;VAL_DATE)=0,"",'Dvd Calendar'!$AC$1277*1000000000+ISNUMBER('Dvd Calendar'!$AC$1278)*100000000+0*10000000+(N('Dvd Calendar'!$AC$1276)&gt;0)*(N('Dvd Calendar'!$AC$1276)&lt;=VAL_SERIAL)*1000000+15*1000+65))</f>
        <v/>
      </c>
    </row>
    <row r="131">
      <c r="B131" s="2">
        <f>IF(HSTECH!$C$22="","",HSTECH!$C$22)</f>
        <v/>
      </c>
      <c r="C131" s="110">
        <f>IF(EE131="","",IF(ISNUMBER('Dvd Calendar'!$E$1284)=FALSE,"",IF((('Dvd Calendar'!$E$1286=TYPE1)*(TYPE1&lt;&gt;"")+('Dvd Calendar'!$E$1286=TYPE2)*(TYPE2&lt;&gt;"")+('Dvd Calendar'!$E$1286=TYPE3)*(TYPE3&lt;&gt;"")+('Dvd Calendar'!$E$1286=TYPE4)*(TYPE4&lt;&gt;"")+('Dvd Calendar'!$E$1286=SPECIAL_LBL)*(INC_SPECIALS="Y"))=0,"",'Dvd Calendar'!$E$1284)))</f>
        <v/>
      </c>
      <c r="D131" s="110">
        <f>IF(EF131="","",IF(ISNUMBER('Dvd Calendar'!$F$1284)=FALSE,"",IF((('Dvd Calendar'!$F$1286=TYPE1)*(TYPE1&lt;&gt;"")+('Dvd Calendar'!$F$1286=TYPE2)*(TYPE2&lt;&gt;"")+('Dvd Calendar'!$F$1286=TYPE3)*(TYPE3&lt;&gt;"")+('Dvd Calendar'!$F$1286=TYPE4)*(TYPE4&lt;&gt;"")+('Dvd Calendar'!$F$1286=SPECIAL_LBL)*(INC_SPECIALS="Y"))=0,"",'Dvd Calendar'!$F$1284)))</f>
        <v/>
      </c>
      <c r="E131" s="110">
        <f>IF(EG131="","",IF(ISNUMBER('Dvd Calendar'!$G$1284)=FALSE,"",IF((('Dvd Calendar'!$G$1286=TYPE1)*(TYPE1&lt;&gt;"")+('Dvd Calendar'!$G$1286=TYPE2)*(TYPE2&lt;&gt;"")+('Dvd Calendar'!$G$1286=TYPE3)*(TYPE3&lt;&gt;"")+('Dvd Calendar'!$G$1286=TYPE4)*(TYPE4&lt;&gt;"")+('Dvd Calendar'!$G$1286=SPECIAL_LBL)*(INC_SPECIALS="Y"))=0,"",'Dvd Calendar'!$G$1284)))</f>
        <v/>
      </c>
      <c r="F131" s="110">
        <f>IF(EH131="","",IF(ISNUMBER('Dvd Calendar'!$H$1284)=FALSE,"",IF((('Dvd Calendar'!$H$1286=TYPE1)*(TYPE1&lt;&gt;"")+('Dvd Calendar'!$H$1286=TYPE2)*(TYPE2&lt;&gt;"")+('Dvd Calendar'!$H$1286=TYPE3)*(TYPE3&lt;&gt;"")+('Dvd Calendar'!$H$1286=TYPE4)*(TYPE4&lt;&gt;"")+('Dvd Calendar'!$H$1286=SPECIAL_LBL)*(INC_SPECIALS="Y"))=0,"",'Dvd Calendar'!$H$1284)))</f>
        <v/>
      </c>
      <c r="G131" s="110">
        <f>IF(EI131="","",IF(ISNUMBER('Dvd Calendar'!$I$1284)=FALSE,"",IF((('Dvd Calendar'!$I$1286=TYPE1)*(TYPE1&lt;&gt;"")+('Dvd Calendar'!$I$1286=TYPE2)*(TYPE2&lt;&gt;"")+('Dvd Calendar'!$I$1286=TYPE3)*(TYPE3&lt;&gt;"")+('Dvd Calendar'!$I$1286=TYPE4)*(TYPE4&lt;&gt;"")+('Dvd Calendar'!$I$1286=SPECIAL_LBL)*(INC_SPECIALS="Y"))=0,"",'Dvd Calendar'!$I$1284)))</f>
        <v/>
      </c>
      <c r="H131" s="110">
        <f>IF(EJ131="","",IF(ISNUMBER('Dvd Calendar'!$J$1284)=FALSE,"",IF((('Dvd Calendar'!$J$1286=TYPE1)*(TYPE1&lt;&gt;"")+('Dvd Calendar'!$J$1286=TYPE2)*(TYPE2&lt;&gt;"")+('Dvd Calendar'!$J$1286=TYPE3)*(TYPE3&lt;&gt;"")+('Dvd Calendar'!$J$1286=TYPE4)*(TYPE4&lt;&gt;"")+('Dvd Calendar'!$J$1286=SPECIAL_LBL)*(INC_SPECIALS="Y"))=0,"",'Dvd Calendar'!$J$1284)))</f>
        <v/>
      </c>
      <c r="I131" s="110">
        <f>IF(EK131="","",IF(ISNUMBER('Dvd Calendar'!$K$1284)=FALSE,"",IF((('Dvd Calendar'!$K$1286=TYPE1)*(TYPE1&lt;&gt;"")+('Dvd Calendar'!$K$1286=TYPE2)*(TYPE2&lt;&gt;"")+('Dvd Calendar'!$K$1286=TYPE3)*(TYPE3&lt;&gt;"")+('Dvd Calendar'!$K$1286=TYPE4)*(TYPE4&lt;&gt;"")+('Dvd Calendar'!$K$1286=SPECIAL_LBL)*(INC_SPECIALS="Y"))=0,"",'Dvd Calendar'!$K$1284)))</f>
        <v/>
      </c>
      <c r="J131" s="110">
        <f>IF(EL131="","",IF(ISNUMBER('Dvd Calendar'!$L$1284)=FALSE,"",IF((('Dvd Calendar'!$L$1286=TYPE1)*(TYPE1&lt;&gt;"")+('Dvd Calendar'!$L$1286=TYPE2)*(TYPE2&lt;&gt;"")+('Dvd Calendar'!$L$1286=TYPE3)*(TYPE3&lt;&gt;"")+('Dvd Calendar'!$L$1286=TYPE4)*(TYPE4&lt;&gt;"")+('Dvd Calendar'!$L$1286=SPECIAL_LBL)*(INC_SPECIALS="Y"))=0,"",'Dvd Calendar'!$L$1284)))</f>
        <v/>
      </c>
      <c r="K131" s="110">
        <f>IF(EM131="","",IF(ISNUMBER('Dvd Calendar'!$M$1284)=FALSE,"",IF((('Dvd Calendar'!$M$1286=TYPE1)*(TYPE1&lt;&gt;"")+('Dvd Calendar'!$M$1286=TYPE2)*(TYPE2&lt;&gt;"")+('Dvd Calendar'!$M$1286=TYPE3)*(TYPE3&lt;&gt;"")+('Dvd Calendar'!$M$1286=TYPE4)*(TYPE4&lt;&gt;"")+('Dvd Calendar'!$M$1286=SPECIAL_LBL)*(INC_SPECIALS="Y"))=0,"",'Dvd Calendar'!$M$1284)))</f>
        <v/>
      </c>
      <c r="L131" s="110">
        <f>IF(EN131="","",IF(ISNUMBER('Dvd Calendar'!$N$1284)=FALSE,"",IF((('Dvd Calendar'!$N$1286=TYPE1)*(TYPE1&lt;&gt;"")+('Dvd Calendar'!$N$1286=TYPE2)*(TYPE2&lt;&gt;"")+('Dvd Calendar'!$N$1286=TYPE3)*(TYPE3&lt;&gt;"")+('Dvd Calendar'!$N$1286=TYPE4)*(TYPE4&lt;&gt;"")+('Dvd Calendar'!$N$1286=SPECIAL_LBL)*(INC_SPECIALS="Y"))=0,"",'Dvd Calendar'!$N$1284)))</f>
        <v/>
      </c>
      <c r="M131" s="110">
        <f>IF(EO131="","",IF(ISNUMBER('Dvd Calendar'!$O$1284)=FALSE,"",IF((('Dvd Calendar'!$O$1286=TYPE1)*(TYPE1&lt;&gt;"")+('Dvd Calendar'!$O$1286=TYPE2)*(TYPE2&lt;&gt;"")+('Dvd Calendar'!$O$1286=TYPE3)*(TYPE3&lt;&gt;"")+('Dvd Calendar'!$O$1286=TYPE4)*(TYPE4&lt;&gt;"")+('Dvd Calendar'!$O$1286=SPECIAL_LBL)*(INC_SPECIALS="Y"))=0,"",'Dvd Calendar'!$O$1284)))</f>
        <v/>
      </c>
      <c r="N131" s="110">
        <f>IF(EP131="","",IF(ISNUMBER('Dvd Calendar'!$P$1284)=FALSE,"",IF((('Dvd Calendar'!$P$1286=TYPE1)*(TYPE1&lt;&gt;"")+('Dvd Calendar'!$P$1286=TYPE2)*(TYPE2&lt;&gt;"")+('Dvd Calendar'!$P$1286=TYPE3)*(TYPE3&lt;&gt;"")+('Dvd Calendar'!$P$1286=TYPE4)*(TYPE4&lt;&gt;"")+('Dvd Calendar'!$P$1286=SPECIAL_LBL)*(INC_SPECIALS="Y"))=0,"",'Dvd Calendar'!$P$1284)))</f>
        <v/>
      </c>
      <c r="O131" s="110">
        <f>IF(EQ131="","",IF(ISNUMBER('Dvd Calendar'!$Q$1284)=FALSE,"",IF((('Dvd Calendar'!$Q$1286=TYPE1)*(TYPE1&lt;&gt;"")+('Dvd Calendar'!$Q$1286=TYPE2)*(TYPE2&lt;&gt;"")+('Dvd Calendar'!$Q$1286=TYPE3)*(TYPE3&lt;&gt;"")+('Dvd Calendar'!$Q$1286=TYPE4)*(TYPE4&lt;&gt;"")+('Dvd Calendar'!$Q$1286=SPECIAL_LBL)*(INC_SPECIALS="Y"))=0,"",'Dvd Calendar'!$Q$1284)))</f>
        <v/>
      </c>
      <c r="P131" s="110">
        <f>IF(ER131="","",IF(ISNUMBER('Dvd Calendar'!$R$1284)=FALSE,"",IF((('Dvd Calendar'!$R$1286=TYPE1)*(TYPE1&lt;&gt;"")+('Dvd Calendar'!$R$1286=TYPE2)*(TYPE2&lt;&gt;"")+('Dvd Calendar'!$R$1286=TYPE3)*(TYPE3&lt;&gt;"")+('Dvd Calendar'!$R$1286=TYPE4)*(TYPE4&lt;&gt;"")+('Dvd Calendar'!$R$1286=SPECIAL_LBL)*(INC_SPECIALS="Y"))=0,"",'Dvd Calendar'!$R$1284)))</f>
        <v/>
      </c>
      <c r="Q131" s="110">
        <f>IF(ES131="","",IF(ISNUMBER('Dvd Calendar'!$S$1284)=FALSE,"",IF((('Dvd Calendar'!$S$1286=TYPE1)*(TYPE1&lt;&gt;"")+('Dvd Calendar'!$S$1286=TYPE2)*(TYPE2&lt;&gt;"")+('Dvd Calendar'!$S$1286=TYPE3)*(TYPE3&lt;&gt;"")+('Dvd Calendar'!$S$1286=TYPE4)*(TYPE4&lt;&gt;"")+('Dvd Calendar'!$S$1286=SPECIAL_LBL)*(INC_SPECIALS="Y"))=0,"",'Dvd Calendar'!$S$1284)))</f>
        <v/>
      </c>
      <c r="R131" s="110">
        <f>IF(ET131="","",IF(ISNUMBER('Dvd Calendar'!$T$1284)=FALSE,"",IF((('Dvd Calendar'!$T$1286=TYPE1)*(TYPE1&lt;&gt;"")+('Dvd Calendar'!$T$1286=TYPE2)*(TYPE2&lt;&gt;"")+('Dvd Calendar'!$T$1286=TYPE3)*(TYPE3&lt;&gt;"")+('Dvd Calendar'!$T$1286=TYPE4)*(TYPE4&lt;&gt;"")+('Dvd Calendar'!$T$1286=SPECIAL_LBL)*(INC_SPECIALS="Y"))=0,"",'Dvd Calendar'!$T$1284)))</f>
        <v/>
      </c>
      <c r="S131" s="110">
        <f>IF(EU131="","",IF(ISNUMBER('Dvd Calendar'!$U$1284)=FALSE,"",IF((('Dvd Calendar'!$U$1286=TYPE1)*(TYPE1&lt;&gt;"")+('Dvd Calendar'!$U$1286=TYPE2)*(TYPE2&lt;&gt;"")+('Dvd Calendar'!$U$1286=TYPE3)*(TYPE3&lt;&gt;"")+('Dvd Calendar'!$U$1286=TYPE4)*(TYPE4&lt;&gt;"")+('Dvd Calendar'!$U$1286=SPECIAL_LBL)*(INC_SPECIALS="Y"))=0,"",'Dvd Calendar'!$U$1284)))</f>
        <v/>
      </c>
      <c r="T131" s="110">
        <f>IF(EV131="","",IF(ISNUMBER('Dvd Calendar'!$V$1284)=FALSE,"",IF((('Dvd Calendar'!$V$1286=TYPE1)*(TYPE1&lt;&gt;"")+('Dvd Calendar'!$V$1286=TYPE2)*(TYPE2&lt;&gt;"")+('Dvd Calendar'!$V$1286=TYPE3)*(TYPE3&lt;&gt;"")+('Dvd Calendar'!$V$1286=TYPE4)*(TYPE4&lt;&gt;"")+('Dvd Calendar'!$V$1286=SPECIAL_LBL)*(INC_SPECIALS="Y"))=0,"",'Dvd Calendar'!$V$1284)))</f>
        <v/>
      </c>
      <c r="U131" s="110">
        <f>IF(EW131="","",IF(ISNUMBER('Dvd Calendar'!$W$1284)=FALSE,"",IF((('Dvd Calendar'!$W$1286=TYPE1)*(TYPE1&lt;&gt;"")+('Dvd Calendar'!$W$1286=TYPE2)*(TYPE2&lt;&gt;"")+('Dvd Calendar'!$W$1286=TYPE3)*(TYPE3&lt;&gt;"")+('Dvd Calendar'!$W$1286=TYPE4)*(TYPE4&lt;&gt;"")+('Dvd Calendar'!$W$1286=SPECIAL_LBL)*(INC_SPECIALS="Y"))=0,"",'Dvd Calendar'!$W$1284)))</f>
        <v/>
      </c>
      <c r="V131" s="110">
        <f>IF(EX131="","",IF(ISNUMBER('Dvd Calendar'!$X$1284)=FALSE,"",IF((('Dvd Calendar'!$X$1286=TYPE1)*(TYPE1&lt;&gt;"")+('Dvd Calendar'!$X$1286=TYPE2)*(TYPE2&lt;&gt;"")+('Dvd Calendar'!$X$1286=TYPE3)*(TYPE3&lt;&gt;"")+('Dvd Calendar'!$X$1286=TYPE4)*(TYPE4&lt;&gt;"")+('Dvd Calendar'!$X$1286=SPECIAL_LBL)*(INC_SPECIALS="Y"))=0,"",'Dvd Calendar'!$X$1284)))</f>
        <v/>
      </c>
      <c r="W131" s="110">
        <f>IF(EY131="","",IF(ISNUMBER('Dvd Calendar'!$Y$1284)=FALSE,"",IF((('Dvd Calendar'!$Y$1286=TYPE1)*(TYPE1&lt;&gt;"")+('Dvd Calendar'!$Y$1286=TYPE2)*(TYPE2&lt;&gt;"")+('Dvd Calendar'!$Y$1286=TYPE3)*(TYPE3&lt;&gt;"")+('Dvd Calendar'!$Y$1286=TYPE4)*(TYPE4&lt;&gt;"")+('Dvd Calendar'!$Y$1286=SPECIAL_LBL)*(INC_SPECIALS="Y"))=0,"",'Dvd Calendar'!$Y$1284)))</f>
        <v/>
      </c>
      <c r="X131" s="110">
        <f>IF(EZ131="","",IF(ISNUMBER('Dvd Calendar'!$Z$1284)=FALSE,"",IF((('Dvd Calendar'!$Z$1286=TYPE1)*(TYPE1&lt;&gt;"")+('Dvd Calendar'!$Z$1286=TYPE2)*(TYPE2&lt;&gt;"")+('Dvd Calendar'!$Z$1286=TYPE3)*(TYPE3&lt;&gt;"")+('Dvd Calendar'!$Z$1286=TYPE4)*(TYPE4&lt;&gt;"")+('Dvd Calendar'!$Z$1286=SPECIAL_LBL)*(INC_SPECIALS="Y"))=0,"",'Dvd Calendar'!$Z$1284)))</f>
        <v/>
      </c>
      <c r="Y131" s="110">
        <f>IF(FA131="","",IF(ISNUMBER('Dvd Calendar'!$AA$1284)=FALSE,"",IF((('Dvd Calendar'!$AA$1286=TYPE1)*(TYPE1&lt;&gt;"")+('Dvd Calendar'!$AA$1286=TYPE2)*(TYPE2&lt;&gt;"")+('Dvd Calendar'!$AA$1286=TYPE3)*(TYPE3&lt;&gt;"")+('Dvd Calendar'!$AA$1286=TYPE4)*(TYPE4&lt;&gt;"")+('Dvd Calendar'!$AA$1286=SPECIAL_LBL)*(INC_SPECIALS="Y"))=0,"",'Dvd Calendar'!$AA$1284)))</f>
        <v/>
      </c>
      <c r="Z131" s="110">
        <f>IF(FB131="","",IF(ISNUMBER('Dvd Calendar'!$AB$1284)=FALSE,"",IF((('Dvd Calendar'!$AB$1286=TYPE1)*(TYPE1&lt;&gt;"")+('Dvd Calendar'!$AB$1286=TYPE2)*(TYPE2&lt;&gt;"")+('Dvd Calendar'!$AB$1286=TYPE3)*(TYPE3&lt;&gt;"")+('Dvd Calendar'!$AB$1286=TYPE4)*(TYPE4&lt;&gt;"")+('Dvd Calendar'!$AB$1286=SPECIAL_LBL)*(INC_SPECIALS="Y"))=0,"",'Dvd Calendar'!$AB$1284)))</f>
        <v/>
      </c>
      <c r="AA131" s="110">
        <f>IF(FC131="","",IF(ISNUMBER('Dvd Calendar'!$AC$1284)=FALSE,"",IF((('Dvd Calendar'!$AC$1286=TYPE1)*(TYPE1&lt;&gt;"")+('Dvd Calendar'!$AC$1286=TYPE2)*(TYPE2&lt;&gt;"")+('Dvd Calendar'!$AC$1286=TYPE3)*(TYPE3&lt;&gt;"")+('Dvd Calendar'!$AC$1286=TYPE4)*(TYPE4&lt;&gt;"")+('Dvd Calendar'!$AC$1286=SPECIAL_LBL)*(INC_SPECIALS="Y"))=0,"",'Dvd Calendar'!$AC$1284)))</f>
        <v/>
      </c>
      <c r="AB131" s="110">
        <f>IF(FD131="","",IF(ISNUMBER('Dvd Calendar'!$AD$1284)=FALSE,"",IF((('Dvd Calendar'!$AD$1286=TYPE1)*(TYPE1&lt;&gt;"")+('Dvd Calendar'!$AD$1286=TYPE2)*(TYPE2&lt;&gt;"")+('Dvd Calendar'!$AD$1286=TYPE3)*(TYPE3&lt;&gt;"")+('Dvd Calendar'!$AD$1286=TYPE4)*(TYPE4&lt;&gt;"")+('Dvd Calendar'!$AD$1286=SPECIAL_LBL)*(INC_SPECIALS="Y"))=0,"",'Dvd Calendar'!$AD$1284)))</f>
        <v/>
      </c>
      <c r="AC131" s="110">
        <f>IF(FE131="","",IF(ISNUMBER('Dvd Calendar'!$AE$1284)=FALSE,"",IF((('Dvd Calendar'!$AE$1286=TYPE1)*(TYPE1&lt;&gt;"")+('Dvd Calendar'!$AE$1286=TYPE2)*(TYPE2&lt;&gt;"")+('Dvd Calendar'!$AE$1286=TYPE3)*(TYPE3&lt;&gt;"")+('Dvd Calendar'!$AE$1286=TYPE4)*(TYPE4&lt;&gt;"")+('Dvd Calendar'!$AE$1286=SPECIAL_LBL)*(INC_SPECIALS="Y"))=0,"",'Dvd Calendar'!$AE$1284)))</f>
        <v/>
      </c>
      <c r="AD131" s="110">
        <f>IF(FF131="","",IF(ISNUMBER('Dvd Calendar'!$AF$1284)=FALSE,"",IF((('Dvd Calendar'!$AF$1286=TYPE1)*(TYPE1&lt;&gt;"")+('Dvd Calendar'!$AF$1286=TYPE2)*(TYPE2&lt;&gt;"")+('Dvd Calendar'!$AF$1286=TYPE3)*(TYPE3&lt;&gt;"")+('Dvd Calendar'!$AF$1286=TYPE4)*(TYPE4&lt;&gt;"")+('Dvd Calendar'!$AF$1286=SPECIAL_LBL)*(INC_SPECIALS="Y"))=0,"",'Dvd Calendar'!$AF$1284)))</f>
        <v/>
      </c>
      <c r="AE131" s="110">
        <f>IF(FG131="","",IF(ISNUMBER('Dvd Calendar'!$AG$1284)=FALSE,"",IF((('Dvd Calendar'!$AG$1286=TYPE1)*(TYPE1&lt;&gt;"")+('Dvd Calendar'!$AG$1286=TYPE2)*(TYPE2&lt;&gt;"")+('Dvd Calendar'!$AG$1286=TYPE3)*(TYPE3&lt;&gt;"")+('Dvd Calendar'!$AG$1286=TYPE4)*(TYPE4&lt;&gt;"")+('Dvd Calendar'!$AG$1286=SPECIAL_LBL)*(INC_SPECIALS="Y"))=0,"",'Dvd Calendar'!$AG$1284)))</f>
        <v/>
      </c>
      <c r="AF131" s="110">
        <f>IF(FH131="","",IF(ISNUMBER('Dvd Calendar'!$AH$1284)=FALSE,"",IF((('Dvd Calendar'!$AH$1286=TYPE1)*(TYPE1&lt;&gt;"")+('Dvd Calendar'!$AH$1286=TYPE2)*(TYPE2&lt;&gt;"")+('Dvd Calendar'!$AH$1286=TYPE3)*(TYPE3&lt;&gt;"")+('Dvd Calendar'!$AH$1286=TYPE4)*(TYPE4&lt;&gt;"")+('Dvd Calendar'!$AH$1286=SPECIAL_LBL)*(INC_SPECIALS="Y"))=0,"",'Dvd Calendar'!$AH$1284)))</f>
        <v/>
      </c>
      <c r="AG131" s="110">
        <f>IF(FI131="","",IF(ISNUMBER('Dvd Calendar'!$AI$1284)=FALSE,"",IF((('Dvd Calendar'!$AI$1286=TYPE1)*(TYPE1&lt;&gt;"")+('Dvd Calendar'!$AI$1286=TYPE2)*(TYPE2&lt;&gt;"")+('Dvd Calendar'!$AI$1286=TYPE3)*(TYPE3&lt;&gt;"")+('Dvd Calendar'!$AI$1286=TYPE4)*(TYPE4&lt;&gt;"")+('Dvd Calendar'!$AI$1286=SPECIAL_LBL)*(INC_SPECIALS="Y"))=0,"",'Dvd Calendar'!$AI$1284)))</f>
        <v/>
      </c>
      <c r="AH131" s="110">
        <f>IF(FJ131="","",IF(ISNUMBER('Dvd Calendar'!$AJ$1284)=FALSE,"",IF((('Dvd Calendar'!$AJ$1286=TYPE1)*(TYPE1&lt;&gt;"")+('Dvd Calendar'!$AJ$1286=TYPE2)*(TYPE2&lt;&gt;"")+('Dvd Calendar'!$AJ$1286=TYPE3)*(TYPE3&lt;&gt;"")+('Dvd Calendar'!$AJ$1286=TYPE4)*(TYPE4&lt;&gt;"")+('Dvd Calendar'!$AJ$1286=SPECIAL_LBL)*(INC_SPECIALS="Y"))=0,"",'Dvd Calendar'!$AJ$1284)))</f>
        <v/>
      </c>
      <c r="AI131" s="110">
        <f>IF(FK131="","",IF(ISNUMBER('Dvd Calendar'!$AK$1284)=FALSE,"",IF((('Dvd Calendar'!$AK$1286=TYPE1)*(TYPE1&lt;&gt;"")+('Dvd Calendar'!$AK$1286=TYPE2)*(TYPE2&lt;&gt;"")+('Dvd Calendar'!$AK$1286=TYPE3)*(TYPE3&lt;&gt;"")+('Dvd Calendar'!$AK$1286=TYPE4)*(TYPE4&lt;&gt;"")+('Dvd Calendar'!$AK$1286=SPECIAL_LBL)*(INC_SPECIALS="Y"))=0,"",'Dvd Calendar'!$AK$1284)))</f>
        <v/>
      </c>
      <c r="AJ131" s="110">
        <f>IF(FL131="","",IF(ISNUMBER('Dvd Calendar'!$AL$1284)=FALSE,"",IF((('Dvd Calendar'!$AL$1286=TYPE1)*(TYPE1&lt;&gt;"")+('Dvd Calendar'!$AL$1286=TYPE2)*(TYPE2&lt;&gt;"")+('Dvd Calendar'!$AL$1286=TYPE3)*(TYPE3&lt;&gt;"")+('Dvd Calendar'!$AL$1286=TYPE4)*(TYPE4&lt;&gt;"")+('Dvd Calendar'!$AL$1286=SPECIAL_LBL)*(INC_SPECIALS="Y"))=0,"",'Dvd Calendar'!$AL$1284)))</f>
        <v/>
      </c>
      <c r="AK131" s="110">
        <f>IF(FM131="","",IF(ISNUMBER('Dvd Calendar'!$AM$1284)=FALSE,"",IF((('Dvd Calendar'!$AM$1286=TYPE1)*(TYPE1&lt;&gt;"")+('Dvd Calendar'!$AM$1286=TYPE2)*(TYPE2&lt;&gt;"")+('Dvd Calendar'!$AM$1286=TYPE3)*(TYPE3&lt;&gt;"")+('Dvd Calendar'!$AM$1286=TYPE4)*(TYPE4&lt;&gt;"")+('Dvd Calendar'!$AM$1286=SPECIAL_LBL)*(INC_SPECIALS="Y"))=0,"",'Dvd Calendar'!$AM$1284)))</f>
        <v/>
      </c>
      <c r="AL131" s="110">
        <f>IF(FN131="","",IF(ISNUMBER('Dvd Calendar'!$AN$1284)=FALSE,"",IF((('Dvd Calendar'!$AN$1286=TYPE1)*(TYPE1&lt;&gt;"")+('Dvd Calendar'!$AN$1286=TYPE2)*(TYPE2&lt;&gt;"")+('Dvd Calendar'!$AN$1286=TYPE3)*(TYPE3&lt;&gt;"")+('Dvd Calendar'!$AN$1286=TYPE4)*(TYPE4&lt;&gt;"")+('Dvd Calendar'!$AN$1286=SPECIAL_LBL)*(INC_SPECIALS="Y"))=0,"",'Dvd Calendar'!$AN$1284)))</f>
        <v/>
      </c>
      <c r="AM131" s="110">
        <f>IF(FO131="","",IF(ISNUMBER('Dvd Calendar'!$AO$1284)=FALSE,"",IF((('Dvd Calendar'!$AO$1286=TYPE1)*(TYPE1&lt;&gt;"")+('Dvd Calendar'!$AO$1286=TYPE2)*(TYPE2&lt;&gt;"")+('Dvd Calendar'!$AO$1286=TYPE3)*(TYPE3&lt;&gt;"")+('Dvd Calendar'!$AO$1286=TYPE4)*(TYPE4&lt;&gt;"")+('Dvd Calendar'!$AO$1286=SPECIAL_LBL)*(INC_SPECIALS="Y"))=0,"",'Dvd Calendar'!$AO$1284)))</f>
        <v/>
      </c>
      <c r="AN131" s="110">
        <f>IF(FP131="","",IF(ISNUMBER('Dvd Calendar'!$AP$1284)=FALSE,"",IF((('Dvd Calendar'!$AP$1286=TYPE1)*(TYPE1&lt;&gt;"")+('Dvd Calendar'!$AP$1286=TYPE2)*(TYPE2&lt;&gt;"")+('Dvd Calendar'!$AP$1286=TYPE3)*(TYPE3&lt;&gt;"")+('Dvd Calendar'!$AP$1286=TYPE4)*(TYPE4&lt;&gt;"")+('Dvd Calendar'!$AP$1286=SPECIAL_LBL)*(INC_SPECIALS="Y"))=0,"",'Dvd Calendar'!$AP$1284)))</f>
        <v/>
      </c>
      <c r="AO131" s="110">
        <f>IF(FQ131="","",IF(ISNUMBER('Dvd Calendar'!$AQ$1284)=FALSE,"",IF((('Dvd Calendar'!$AQ$1286=TYPE1)*(TYPE1&lt;&gt;"")+('Dvd Calendar'!$AQ$1286=TYPE2)*(TYPE2&lt;&gt;"")+('Dvd Calendar'!$AQ$1286=TYPE3)*(TYPE3&lt;&gt;"")+('Dvd Calendar'!$AQ$1286=TYPE4)*(TYPE4&lt;&gt;"")+('Dvd Calendar'!$AQ$1286=SPECIAL_LBL)*(INC_SPECIALS="Y"))=0,"",'Dvd Calendar'!$AQ$1284)))</f>
        <v/>
      </c>
      <c r="AP131" s="110">
        <f>IF(FR131="","",IF(ISNUMBER('Dvd Calendar'!$AR$1284)=FALSE,"",IF((('Dvd Calendar'!$AR$1286=TYPE1)*(TYPE1&lt;&gt;"")+('Dvd Calendar'!$AR$1286=TYPE2)*(TYPE2&lt;&gt;"")+('Dvd Calendar'!$AR$1286=TYPE3)*(TYPE3&lt;&gt;"")+('Dvd Calendar'!$AR$1286=TYPE4)*(TYPE4&lt;&gt;"")+('Dvd Calendar'!$AR$1286=SPECIAL_LBL)*(INC_SPECIALS="Y"))=0,"",'Dvd Calendar'!$AR$1284)))</f>
        <v/>
      </c>
      <c r="AQ131" s="110">
        <f>IF(FS131="","",IF(ISNUMBER('Dvd Calendar'!$E$1289)=FALSE,"",'Dvd Calendar'!$E$1289))</f>
        <v/>
      </c>
      <c r="AR131" s="110">
        <f>IF(FT131="","",IF(ISNUMBER('Dvd Calendar'!$F$1289)=FALSE,"",'Dvd Calendar'!$F$1289))</f>
        <v/>
      </c>
      <c r="AS131" s="110">
        <f>IF(FU131="","",IF(ISNUMBER('Dvd Calendar'!$G$1289)=FALSE,"",'Dvd Calendar'!$G$1289))</f>
        <v/>
      </c>
      <c r="AT131" s="110">
        <f>IF(FV131="","",IF(ISNUMBER('Dvd Calendar'!$H$1289)=FALSE,"",'Dvd Calendar'!$H$1289))</f>
        <v/>
      </c>
      <c r="AU131" s="110">
        <f>IF(FW131="","",IF(ISNUMBER('Dvd Calendar'!$I$1289)=FALSE,"",'Dvd Calendar'!$I$1289))</f>
        <v/>
      </c>
      <c r="AV131" s="110">
        <f>IF(FX131="","",IF(ISNUMBER('Dvd Calendar'!$J$1289)=FALSE,"",'Dvd Calendar'!$J$1289))</f>
        <v/>
      </c>
      <c r="AW131" s="110">
        <f>IF(FY131="","",IF(ISNUMBER('Dvd Calendar'!$K$1289)=FALSE,"",'Dvd Calendar'!$K$1289))</f>
        <v/>
      </c>
      <c r="AX131" s="110">
        <f>IF(FZ131="","",IF(ISNUMBER('Dvd Calendar'!$L$1289)=FALSE,"",'Dvd Calendar'!$L$1289))</f>
        <v/>
      </c>
      <c r="AY131" s="110">
        <f>IF(GA131="","",IF(ISNUMBER('Dvd Calendar'!$M$1289)=FALSE,"",'Dvd Calendar'!$M$1289))</f>
        <v/>
      </c>
      <c r="AZ131" s="110">
        <f>IF(GB131="","",IF(ISNUMBER('Dvd Calendar'!$N$1289)=FALSE,"",'Dvd Calendar'!$N$1289))</f>
        <v/>
      </c>
      <c r="BA131" s="110">
        <f>IF(GC131="","",IF(ISNUMBER('Dvd Calendar'!$O$1289)=FALSE,"",'Dvd Calendar'!$O$1289))</f>
        <v/>
      </c>
      <c r="BB131" s="110">
        <f>IF(GD131="","",IF(ISNUMBER('Dvd Calendar'!$P$1289)=FALSE,"",'Dvd Calendar'!$P$1289))</f>
        <v/>
      </c>
      <c r="BC131" s="110">
        <f>IF(GE131="","",IF(ISNUMBER('Dvd Calendar'!$Q$1289)=FALSE,"",'Dvd Calendar'!$Q$1289))</f>
        <v/>
      </c>
      <c r="BD131" s="110">
        <f>IF(GF131="","",IF(ISNUMBER('Dvd Calendar'!$R$1289)=FALSE,"",'Dvd Calendar'!$R$1289))</f>
        <v/>
      </c>
      <c r="BE131" s="110">
        <f>IF(GG131="","",IF(ISNUMBER('Dvd Calendar'!$S$1289)=FALSE,"",'Dvd Calendar'!$S$1289))</f>
        <v/>
      </c>
      <c r="BF131" s="110">
        <f>IF(GH131="","",IF(ISNUMBER('Dvd Calendar'!$T$1289)=FALSE,"",'Dvd Calendar'!$T$1289))</f>
        <v/>
      </c>
      <c r="BG131" s="110">
        <f>IF(GI131="","",IF(ISNUMBER('Dvd Calendar'!$U$1289)=FALSE,"",'Dvd Calendar'!$U$1289))</f>
        <v/>
      </c>
      <c r="BH131" s="110">
        <f>IF(GJ131="","",IF(ISNUMBER('Dvd Calendar'!$V$1289)=FALSE,"",'Dvd Calendar'!$V$1289))</f>
        <v/>
      </c>
      <c r="BI131" s="110">
        <f>IF(GK131="","",IF(ISNUMBER('Dvd Calendar'!$W$1289)=FALSE,"",'Dvd Calendar'!$W$1289))</f>
        <v/>
      </c>
      <c r="BJ131" s="110">
        <f>IF(GL131="","",IF(ISNUMBER('Dvd Calendar'!$X$1289)=FALSE,"",'Dvd Calendar'!$X$1289))</f>
        <v/>
      </c>
      <c r="BK131" s="110">
        <f>IF(GM131="","",IF(ISNUMBER('Dvd Calendar'!$Y$1289)=FALSE,"",'Dvd Calendar'!$Y$1289))</f>
        <v/>
      </c>
      <c r="BL131" s="110">
        <f>IF(GN131="","",IF(ISNUMBER('Dvd Calendar'!$Z$1289)=FALSE,"",'Dvd Calendar'!$Z$1289))</f>
        <v/>
      </c>
      <c r="BM131" s="110">
        <f>IF(GO131="","",IF(ISNUMBER('Dvd Calendar'!$AA$1289)=FALSE,"",'Dvd Calendar'!$AA$1289))</f>
        <v/>
      </c>
      <c r="BN131" s="110">
        <f>IF(GP131="","",IF(ISNUMBER('Dvd Calendar'!$AB$1289)=FALSE,"",'Dvd Calendar'!$AB$1289))</f>
        <v/>
      </c>
      <c r="BO131" s="110">
        <f>IF(GQ131="","",IF(ISNUMBER('Dvd Calendar'!$AC$1289)=FALSE,"",'Dvd Calendar'!$AC$1289))</f>
        <v/>
      </c>
      <c r="BQ131" s="110">
        <f>IF(C131="","",IFERROR(C131*HSTECH!$B$22*HSTECH!$G$22/HSTECH!$B$3,""))</f>
        <v/>
      </c>
      <c r="BR131" s="110">
        <f>IF(D131="","",IFERROR(D131*HSTECH!$B$22*HSTECH!$G$22/HSTECH!$B$3,""))</f>
        <v/>
      </c>
      <c r="BS131" s="110">
        <f>IF(E131="","",IFERROR(E131*HSTECH!$B$22*HSTECH!$G$22/HSTECH!$B$3,""))</f>
        <v/>
      </c>
      <c r="BT131" s="110">
        <f>IF(F131="","",IFERROR(F131*HSTECH!$B$22*HSTECH!$G$22/HSTECH!$B$3,""))</f>
        <v/>
      </c>
      <c r="BU131" s="110">
        <f>IF(G131="","",IFERROR(G131*HSTECH!$B$22*HSTECH!$G$22/HSTECH!$B$3,""))</f>
        <v/>
      </c>
      <c r="BV131" s="110">
        <f>IF(H131="","",IFERROR(H131*HSTECH!$B$22*HSTECH!$G$22/HSTECH!$B$3,""))</f>
        <v/>
      </c>
      <c r="BW131" s="110">
        <f>IF(I131="","",IFERROR(I131*HSTECH!$B$22*HSTECH!$G$22/HSTECH!$B$3,""))</f>
        <v/>
      </c>
      <c r="BX131" s="110">
        <f>IF(J131="","",IFERROR(J131*HSTECH!$B$22*HSTECH!$G$22/HSTECH!$B$3,""))</f>
        <v/>
      </c>
      <c r="BY131" s="110">
        <f>IF(K131="","",IFERROR(K131*HSTECH!$B$22*HSTECH!$G$22/HSTECH!$B$3,""))</f>
        <v/>
      </c>
      <c r="BZ131" s="110">
        <f>IF(L131="","",IFERROR(L131*HSTECH!$B$22*HSTECH!$G$22/HSTECH!$B$3,""))</f>
        <v/>
      </c>
      <c r="CA131" s="110">
        <f>IF(M131="","",IFERROR(M131*HSTECH!$B$22*HSTECH!$G$22/HSTECH!$B$3,""))</f>
        <v/>
      </c>
      <c r="CB131" s="110">
        <f>IF(N131="","",IFERROR(N131*HSTECH!$B$22*HSTECH!$G$22/HSTECH!$B$3,""))</f>
        <v/>
      </c>
      <c r="CC131" s="110">
        <f>IF(O131="","",IFERROR(O131*HSTECH!$B$22*HSTECH!$G$22/HSTECH!$B$3,""))</f>
        <v/>
      </c>
      <c r="CD131" s="110">
        <f>IF(P131="","",IFERROR(P131*HSTECH!$B$22*HSTECH!$G$22/HSTECH!$B$3,""))</f>
        <v/>
      </c>
      <c r="CE131" s="110">
        <f>IF(Q131="","",IFERROR(Q131*HSTECH!$B$22*HSTECH!$G$22/HSTECH!$B$3,""))</f>
        <v/>
      </c>
      <c r="CF131" s="110">
        <f>IF(R131="","",IFERROR(R131*HSTECH!$B$22*HSTECH!$G$22/HSTECH!$B$3,""))</f>
        <v/>
      </c>
      <c r="CG131" s="110">
        <f>IF(S131="","",IFERROR(S131*HSTECH!$B$22*HSTECH!$G$22/HSTECH!$B$3,""))</f>
        <v/>
      </c>
      <c r="CH131" s="110">
        <f>IF(T131="","",IFERROR(T131*HSTECH!$B$22*HSTECH!$G$22/HSTECH!$B$3,""))</f>
        <v/>
      </c>
      <c r="CI131" s="110">
        <f>IF(U131="","",IFERROR(U131*HSTECH!$B$22*HSTECH!$G$22/HSTECH!$B$3,""))</f>
        <v/>
      </c>
      <c r="CJ131" s="110">
        <f>IF(V131="","",IFERROR(V131*HSTECH!$B$22*HSTECH!$G$22/HSTECH!$B$3,""))</f>
        <v/>
      </c>
      <c r="CK131" s="110">
        <f>IF(W131="","",IFERROR(W131*HSTECH!$B$22*HSTECH!$G$22/HSTECH!$B$3,""))</f>
        <v/>
      </c>
      <c r="CL131" s="110">
        <f>IF(X131="","",IFERROR(X131*HSTECH!$B$22*HSTECH!$G$22/HSTECH!$B$3,""))</f>
        <v/>
      </c>
      <c r="CM131" s="110">
        <f>IF(Y131="","",IFERROR(Y131*HSTECH!$B$22*HSTECH!$G$22/HSTECH!$B$3,""))</f>
        <v/>
      </c>
      <c r="CN131" s="110">
        <f>IF(Z131="","",IFERROR(Z131*HSTECH!$B$22*HSTECH!$G$22/HSTECH!$B$3,""))</f>
        <v/>
      </c>
      <c r="CO131" s="110">
        <f>IF(AA131="","",IFERROR(AA131*HSTECH!$B$22*HSTECH!$G$22/HSTECH!$B$3,""))</f>
        <v/>
      </c>
      <c r="CP131" s="110">
        <f>IF(AB131="","",IFERROR(AB131*HSTECH!$B$22*HSTECH!$G$22/HSTECH!$B$3,""))</f>
        <v/>
      </c>
      <c r="CQ131" s="110">
        <f>IF(AC131="","",IFERROR(AC131*HSTECH!$B$22*HSTECH!$G$22/HSTECH!$B$3,""))</f>
        <v/>
      </c>
      <c r="CR131" s="110">
        <f>IF(AD131="","",IFERROR(AD131*HSTECH!$B$22*HSTECH!$G$22/HSTECH!$B$3,""))</f>
        <v/>
      </c>
      <c r="CS131" s="110">
        <f>IF(AE131="","",IFERROR(AE131*HSTECH!$B$22*HSTECH!$G$22/HSTECH!$B$3,""))</f>
        <v/>
      </c>
      <c r="CT131" s="110">
        <f>IF(AF131="","",IFERROR(AF131*HSTECH!$B$22*HSTECH!$G$22/HSTECH!$B$3,""))</f>
        <v/>
      </c>
      <c r="CU131" s="110">
        <f>IF(AG131="","",IFERROR(AG131*HSTECH!$B$22*HSTECH!$G$22/HSTECH!$B$3,""))</f>
        <v/>
      </c>
      <c r="CV131" s="110">
        <f>IF(AH131="","",IFERROR(AH131*HSTECH!$B$22*HSTECH!$G$22/HSTECH!$B$3,""))</f>
        <v/>
      </c>
      <c r="CW131" s="110">
        <f>IF(AI131="","",IFERROR(AI131*HSTECH!$B$22*HSTECH!$G$22/HSTECH!$B$3,""))</f>
        <v/>
      </c>
      <c r="CX131" s="110">
        <f>IF(AJ131="","",IFERROR(AJ131*HSTECH!$B$22*HSTECH!$G$22/HSTECH!$B$3,""))</f>
        <v/>
      </c>
      <c r="CY131" s="110">
        <f>IF(AK131="","",IFERROR(AK131*HSTECH!$B$22*HSTECH!$G$22/HSTECH!$B$3,""))</f>
        <v/>
      </c>
      <c r="CZ131" s="110">
        <f>IF(AL131="","",IFERROR(AL131*HSTECH!$B$22*HSTECH!$G$22/HSTECH!$B$3,""))</f>
        <v/>
      </c>
      <c r="DA131" s="110">
        <f>IF(AM131="","",IFERROR(AM131*HSTECH!$B$22*HSTECH!$G$22/HSTECH!$B$3,""))</f>
        <v/>
      </c>
      <c r="DB131" s="110">
        <f>IF(AN131="","",IFERROR(AN131*HSTECH!$B$22*HSTECH!$G$22/HSTECH!$B$3,""))</f>
        <v/>
      </c>
      <c r="DC131" s="110">
        <f>IF(AO131="","",IFERROR(AO131*HSTECH!$B$22*HSTECH!$G$22/HSTECH!$B$3,""))</f>
        <v/>
      </c>
      <c r="DD131" s="110">
        <f>IF(AP131="","",IFERROR(AP131*HSTECH!$B$22*HSTECH!$G$22/HSTECH!$B$3,""))</f>
        <v/>
      </c>
      <c r="DE131" s="110">
        <f>IF(AQ131="","",IFERROR(AQ131*HSTECH!$B$22*HSTECH!$G$22/HSTECH!$B$3,""))</f>
        <v/>
      </c>
      <c r="DF131" s="110">
        <f>IF(AR131="","",IFERROR(AR131*HSTECH!$B$22*HSTECH!$G$22/HSTECH!$B$3,""))</f>
        <v/>
      </c>
      <c r="DG131" s="110">
        <f>IF(AS131="","",IFERROR(AS131*HSTECH!$B$22*HSTECH!$G$22/HSTECH!$B$3,""))</f>
        <v/>
      </c>
      <c r="DH131" s="110">
        <f>IF(AT131="","",IFERROR(AT131*HSTECH!$B$22*HSTECH!$G$22/HSTECH!$B$3,""))</f>
        <v/>
      </c>
      <c r="DI131" s="110">
        <f>IF(AU131="","",IFERROR(AU131*HSTECH!$B$22*HSTECH!$G$22/HSTECH!$B$3,""))</f>
        <v/>
      </c>
      <c r="DJ131" s="110">
        <f>IF(AV131="","",IFERROR(AV131*HSTECH!$B$22*HSTECH!$G$22/HSTECH!$B$3,""))</f>
        <v/>
      </c>
      <c r="DK131" s="110">
        <f>IF(AW131="","",IFERROR(AW131*HSTECH!$B$22*HSTECH!$G$22/HSTECH!$B$3,""))</f>
        <v/>
      </c>
      <c r="DL131" s="110">
        <f>IF(AX131="","",IFERROR(AX131*HSTECH!$B$22*HSTECH!$G$22/HSTECH!$B$3,""))</f>
        <v/>
      </c>
      <c r="DM131" s="110">
        <f>IF(AY131="","",IFERROR(AY131*HSTECH!$B$22*HSTECH!$G$22/HSTECH!$B$3,""))</f>
        <v/>
      </c>
      <c r="DN131" s="110">
        <f>IF(AZ131="","",IFERROR(AZ131*HSTECH!$B$22*HSTECH!$G$22/HSTECH!$B$3,""))</f>
        <v/>
      </c>
      <c r="DO131" s="110">
        <f>IF(BA131="","",IFERROR(BA131*HSTECH!$B$22*HSTECH!$G$22/HSTECH!$B$3,""))</f>
        <v/>
      </c>
      <c r="DP131" s="110">
        <f>IF(BB131="","",IFERROR(BB131*HSTECH!$B$22*HSTECH!$G$22/HSTECH!$B$3,""))</f>
        <v/>
      </c>
      <c r="DQ131" s="110">
        <f>IF(BC131="","",IFERROR(BC131*HSTECH!$B$22*HSTECH!$G$22/HSTECH!$B$3,""))</f>
        <v/>
      </c>
      <c r="DR131" s="110">
        <f>IF(BD131="","",IFERROR(BD131*HSTECH!$B$22*HSTECH!$G$22/HSTECH!$B$3,""))</f>
        <v/>
      </c>
      <c r="DS131" s="110">
        <f>IF(BE131="","",IFERROR(BE131*HSTECH!$B$22*HSTECH!$G$22/HSTECH!$B$3,""))</f>
        <v/>
      </c>
      <c r="DT131" s="110">
        <f>IF(BF131="","",IFERROR(BF131*HSTECH!$B$22*HSTECH!$G$22/HSTECH!$B$3,""))</f>
        <v/>
      </c>
      <c r="DU131" s="110">
        <f>IF(BG131="","",IFERROR(BG131*HSTECH!$B$22*HSTECH!$G$22/HSTECH!$B$3,""))</f>
        <v/>
      </c>
      <c r="DV131" s="110">
        <f>IF(BH131="","",IFERROR(BH131*HSTECH!$B$22*HSTECH!$G$22/HSTECH!$B$3,""))</f>
        <v/>
      </c>
      <c r="DW131" s="110">
        <f>IF(BI131="","",IFERROR(BI131*HSTECH!$B$22*HSTECH!$G$22/HSTECH!$B$3,""))</f>
        <v/>
      </c>
      <c r="DX131" s="110">
        <f>IF(BJ131="","",IFERROR(BJ131*HSTECH!$B$22*HSTECH!$G$22/HSTECH!$B$3,""))</f>
        <v/>
      </c>
      <c r="DY131" s="110">
        <f>IF(BK131="","",IFERROR(BK131*HSTECH!$B$22*HSTECH!$G$22/HSTECH!$B$3,""))</f>
        <v/>
      </c>
      <c r="DZ131" s="110">
        <f>IF(BL131="","",IFERROR(BL131*HSTECH!$B$22*HSTECH!$G$22/HSTECH!$B$3,""))</f>
        <v/>
      </c>
      <c r="EA131" s="110">
        <f>IF(BM131="","",IFERROR(BM131*HSTECH!$B$22*HSTECH!$G$22/HSTECH!$B$3,""))</f>
        <v/>
      </c>
      <c r="EB131" s="110">
        <f>IF(BN131="","",IFERROR(BN131*HSTECH!$B$22*HSTECH!$G$22/HSTECH!$B$3,""))</f>
        <v/>
      </c>
      <c r="EC131" s="110">
        <f>IF(BO131="","",IFERROR(BO131*HSTECH!$B$22*HSTECH!$G$22/HSTECH!$B$3,""))</f>
        <v/>
      </c>
      <c r="EE131" s="39">
        <f>IF(N('Dvd Calendar'!$E$1281)=0,"",IF(('Dvd Calendar'!$E$1281&gt;=GRID_FROM)*('Dvd Calendar'!$E$1281&lt;=GRID_TO)*((('Dvd Calendar'!$E$1281&lt;=VAL_DATE)+(COUNTIF('Dvd Calendar'!$E$1288:$AR$1288,'Dvd Calendar'!$E$1281)=0))&gt;0)=0,"",'Dvd Calendar'!$E$1281*1000000000+ISNUMBER('Dvd Calendar'!$E$1284)*100000000+('Dvd Calendar'!$E$1286=SPECIAL_LBL)*10000000+(N('Dvd Calendar'!$E$1280)&gt;0)*(N('Dvd Calendar'!$E$1280)&lt;=VAL_SERIAL)*1000000+16*1000+1))</f>
        <v/>
      </c>
      <c r="EF131" s="39">
        <f>IF(N('Dvd Calendar'!$F$1281)=0,"",IF(('Dvd Calendar'!$F$1281&gt;=GRID_FROM)*('Dvd Calendar'!$F$1281&lt;=GRID_TO)*((('Dvd Calendar'!$F$1281&lt;=VAL_DATE)+(COUNTIF('Dvd Calendar'!$E$1288:$AR$1288,'Dvd Calendar'!$F$1281)=0))&gt;0)=0,"",'Dvd Calendar'!$F$1281*1000000000+ISNUMBER('Dvd Calendar'!$F$1284)*100000000+('Dvd Calendar'!$F$1286=SPECIAL_LBL)*10000000+(N('Dvd Calendar'!$F$1280)&gt;0)*(N('Dvd Calendar'!$F$1280)&lt;=VAL_SERIAL)*1000000+16*1000+2))</f>
        <v/>
      </c>
      <c r="EG131" s="39">
        <f>IF(N('Dvd Calendar'!$G$1281)=0,"",IF(('Dvd Calendar'!$G$1281&gt;=GRID_FROM)*('Dvd Calendar'!$G$1281&lt;=GRID_TO)*((('Dvd Calendar'!$G$1281&lt;=VAL_DATE)+(COUNTIF('Dvd Calendar'!$E$1288:$AR$1288,'Dvd Calendar'!$G$1281)=0))&gt;0)=0,"",'Dvd Calendar'!$G$1281*1000000000+ISNUMBER('Dvd Calendar'!$G$1284)*100000000+('Dvd Calendar'!$G$1286=SPECIAL_LBL)*10000000+(N('Dvd Calendar'!$G$1280)&gt;0)*(N('Dvd Calendar'!$G$1280)&lt;=VAL_SERIAL)*1000000+16*1000+3))</f>
        <v/>
      </c>
      <c r="EH131" s="39">
        <f>IF(N('Dvd Calendar'!$H$1281)=0,"",IF(('Dvd Calendar'!$H$1281&gt;=GRID_FROM)*('Dvd Calendar'!$H$1281&lt;=GRID_TO)*((('Dvd Calendar'!$H$1281&lt;=VAL_DATE)+(COUNTIF('Dvd Calendar'!$E$1288:$AR$1288,'Dvd Calendar'!$H$1281)=0))&gt;0)=0,"",'Dvd Calendar'!$H$1281*1000000000+ISNUMBER('Dvd Calendar'!$H$1284)*100000000+('Dvd Calendar'!$H$1286=SPECIAL_LBL)*10000000+(N('Dvd Calendar'!$H$1280)&gt;0)*(N('Dvd Calendar'!$H$1280)&lt;=VAL_SERIAL)*1000000+16*1000+4))</f>
        <v/>
      </c>
      <c r="EI131" s="39">
        <f>IF(N('Dvd Calendar'!$I$1281)=0,"",IF(('Dvd Calendar'!$I$1281&gt;=GRID_FROM)*('Dvd Calendar'!$I$1281&lt;=GRID_TO)*((('Dvd Calendar'!$I$1281&lt;=VAL_DATE)+(COUNTIF('Dvd Calendar'!$E$1288:$AR$1288,'Dvd Calendar'!$I$1281)=0))&gt;0)=0,"",'Dvd Calendar'!$I$1281*1000000000+ISNUMBER('Dvd Calendar'!$I$1284)*100000000+('Dvd Calendar'!$I$1286=SPECIAL_LBL)*10000000+(N('Dvd Calendar'!$I$1280)&gt;0)*(N('Dvd Calendar'!$I$1280)&lt;=VAL_SERIAL)*1000000+16*1000+5))</f>
        <v/>
      </c>
      <c r="EJ131" s="39">
        <f>IF(N('Dvd Calendar'!$J$1281)=0,"",IF(('Dvd Calendar'!$J$1281&gt;=GRID_FROM)*('Dvd Calendar'!$J$1281&lt;=GRID_TO)*((('Dvd Calendar'!$J$1281&lt;=VAL_DATE)+(COUNTIF('Dvd Calendar'!$E$1288:$AR$1288,'Dvd Calendar'!$J$1281)=0))&gt;0)=0,"",'Dvd Calendar'!$J$1281*1000000000+ISNUMBER('Dvd Calendar'!$J$1284)*100000000+('Dvd Calendar'!$J$1286=SPECIAL_LBL)*10000000+(N('Dvd Calendar'!$J$1280)&gt;0)*(N('Dvd Calendar'!$J$1280)&lt;=VAL_SERIAL)*1000000+16*1000+6))</f>
        <v/>
      </c>
      <c r="EK131" s="39">
        <f>IF(N('Dvd Calendar'!$K$1281)=0,"",IF(('Dvd Calendar'!$K$1281&gt;=GRID_FROM)*('Dvd Calendar'!$K$1281&lt;=GRID_TO)*((('Dvd Calendar'!$K$1281&lt;=VAL_DATE)+(COUNTIF('Dvd Calendar'!$E$1288:$AR$1288,'Dvd Calendar'!$K$1281)=0))&gt;0)=0,"",'Dvd Calendar'!$K$1281*1000000000+ISNUMBER('Dvd Calendar'!$K$1284)*100000000+('Dvd Calendar'!$K$1286=SPECIAL_LBL)*10000000+(N('Dvd Calendar'!$K$1280)&gt;0)*(N('Dvd Calendar'!$K$1280)&lt;=VAL_SERIAL)*1000000+16*1000+7))</f>
        <v/>
      </c>
      <c r="EL131" s="39">
        <f>IF(N('Dvd Calendar'!$L$1281)=0,"",IF(('Dvd Calendar'!$L$1281&gt;=GRID_FROM)*('Dvd Calendar'!$L$1281&lt;=GRID_TO)*((('Dvd Calendar'!$L$1281&lt;=VAL_DATE)+(COUNTIF('Dvd Calendar'!$E$1288:$AR$1288,'Dvd Calendar'!$L$1281)=0))&gt;0)=0,"",'Dvd Calendar'!$L$1281*1000000000+ISNUMBER('Dvd Calendar'!$L$1284)*100000000+('Dvd Calendar'!$L$1286=SPECIAL_LBL)*10000000+(N('Dvd Calendar'!$L$1280)&gt;0)*(N('Dvd Calendar'!$L$1280)&lt;=VAL_SERIAL)*1000000+16*1000+8))</f>
        <v/>
      </c>
      <c r="EM131" s="39">
        <f>IF(N('Dvd Calendar'!$M$1281)=0,"",IF(('Dvd Calendar'!$M$1281&gt;=GRID_FROM)*('Dvd Calendar'!$M$1281&lt;=GRID_TO)*((('Dvd Calendar'!$M$1281&lt;=VAL_DATE)+(COUNTIF('Dvd Calendar'!$E$1288:$AR$1288,'Dvd Calendar'!$M$1281)=0))&gt;0)=0,"",'Dvd Calendar'!$M$1281*1000000000+ISNUMBER('Dvd Calendar'!$M$1284)*100000000+('Dvd Calendar'!$M$1286=SPECIAL_LBL)*10000000+(N('Dvd Calendar'!$M$1280)&gt;0)*(N('Dvd Calendar'!$M$1280)&lt;=VAL_SERIAL)*1000000+16*1000+9))</f>
        <v/>
      </c>
      <c r="EN131" s="39">
        <f>IF(N('Dvd Calendar'!$N$1281)=0,"",IF(('Dvd Calendar'!$N$1281&gt;=GRID_FROM)*('Dvd Calendar'!$N$1281&lt;=GRID_TO)*((('Dvd Calendar'!$N$1281&lt;=VAL_DATE)+(COUNTIF('Dvd Calendar'!$E$1288:$AR$1288,'Dvd Calendar'!$N$1281)=0))&gt;0)=0,"",'Dvd Calendar'!$N$1281*1000000000+ISNUMBER('Dvd Calendar'!$N$1284)*100000000+('Dvd Calendar'!$N$1286=SPECIAL_LBL)*10000000+(N('Dvd Calendar'!$N$1280)&gt;0)*(N('Dvd Calendar'!$N$1280)&lt;=VAL_SERIAL)*1000000+16*1000+10))</f>
        <v/>
      </c>
      <c r="EO131" s="39">
        <f>IF(N('Dvd Calendar'!$O$1281)=0,"",IF(('Dvd Calendar'!$O$1281&gt;=GRID_FROM)*('Dvd Calendar'!$O$1281&lt;=GRID_TO)*((('Dvd Calendar'!$O$1281&lt;=VAL_DATE)+(COUNTIF('Dvd Calendar'!$E$1288:$AR$1288,'Dvd Calendar'!$O$1281)=0))&gt;0)=0,"",'Dvd Calendar'!$O$1281*1000000000+ISNUMBER('Dvd Calendar'!$O$1284)*100000000+('Dvd Calendar'!$O$1286=SPECIAL_LBL)*10000000+(N('Dvd Calendar'!$O$1280)&gt;0)*(N('Dvd Calendar'!$O$1280)&lt;=VAL_SERIAL)*1000000+16*1000+11))</f>
        <v/>
      </c>
      <c r="EP131" s="39">
        <f>IF(N('Dvd Calendar'!$P$1281)=0,"",IF(('Dvd Calendar'!$P$1281&gt;=GRID_FROM)*('Dvd Calendar'!$P$1281&lt;=GRID_TO)*((('Dvd Calendar'!$P$1281&lt;=VAL_DATE)+(COUNTIF('Dvd Calendar'!$E$1288:$AR$1288,'Dvd Calendar'!$P$1281)=0))&gt;0)=0,"",'Dvd Calendar'!$P$1281*1000000000+ISNUMBER('Dvd Calendar'!$P$1284)*100000000+('Dvd Calendar'!$P$1286=SPECIAL_LBL)*10000000+(N('Dvd Calendar'!$P$1280)&gt;0)*(N('Dvd Calendar'!$P$1280)&lt;=VAL_SERIAL)*1000000+16*1000+12))</f>
        <v/>
      </c>
      <c r="EQ131" s="39">
        <f>IF(N('Dvd Calendar'!$Q$1281)=0,"",IF(('Dvd Calendar'!$Q$1281&gt;=GRID_FROM)*('Dvd Calendar'!$Q$1281&lt;=GRID_TO)*((('Dvd Calendar'!$Q$1281&lt;=VAL_DATE)+(COUNTIF('Dvd Calendar'!$E$1288:$AR$1288,'Dvd Calendar'!$Q$1281)=0))&gt;0)=0,"",'Dvd Calendar'!$Q$1281*1000000000+ISNUMBER('Dvd Calendar'!$Q$1284)*100000000+('Dvd Calendar'!$Q$1286=SPECIAL_LBL)*10000000+(N('Dvd Calendar'!$Q$1280)&gt;0)*(N('Dvd Calendar'!$Q$1280)&lt;=VAL_SERIAL)*1000000+16*1000+13))</f>
        <v/>
      </c>
      <c r="ER131" s="39">
        <f>IF(N('Dvd Calendar'!$R$1281)=0,"",IF(('Dvd Calendar'!$R$1281&gt;=GRID_FROM)*('Dvd Calendar'!$R$1281&lt;=GRID_TO)*((('Dvd Calendar'!$R$1281&lt;=VAL_DATE)+(COUNTIF('Dvd Calendar'!$E$1288:$AR$1288,'Dvd Calendar'!$R$1281)=0))&gt;0)=0,"",'Dvd Calendar'!$R$1281*1000000000+ISNUMBER('Dvd Calendar'!$R$1284)*100000000+('Dvd Calendar'!$R$1286=SPECIAL_LBL)*10000000+(N('Dvd Calendar'!$R$1280)&gt;0)*(N('Dvd Calendar'!$R$1280)&lt;=VAL_SERIAL)*1000000+16*1000+14))</f>
        <v/>
      </c>
      <c r="ES131" s="39">
        <f>IF(N('Dvd Calendar'!$S$1281)=0,"",IF(('Dvd Calendar'!$S$1281&gt;=GRID_FROM)*('Dvd Calendar'!$S$1281&lt;=GRID_TO)*((('Dvd Calendar'!$S$1281&lt;=VAL_DATE)+(COUNTIF('Dvd Calendar'!$E$1288:$AR$1288,'Dvd Calendar'!$S$1281)=0))&gt;0)=0,"",'Dvd Calendar'!$S$1281*1000000000+ISNUMBER('Dvd Calendar'!$S$1284)*100000000+('Dvd Calendar'!$S$1286=SPECIAL_LBL)*10000000+(N('Dvd Calendar'!$S$1280)&gt;0)*(N('Dvd Calendar'!$S$1280)&lt;=VAL_SERIAL)*1000000+16*1000+15))</f>
        <v/>
      </c>
      <c r="ET131" s="39">
        <f>IF(N('Dvd Calendar'!$T$1281)=0,"",IF(('Dvd Calendar'!$T$1281&gt;=GRID_FROM)*('Dvd Calendar'!$T$1281&lt;=GRID_TO)*((('Dvd Calendar'!$T$1281&lt;=VAL_DATE)+(COUNTIF('Dvd Calendar'!$E$1288:$AR$1288,'Dvd Calendar'!$T$1281)=0))&gt;0)=0,"",'Dvd Calendar'!$T$1281*1000000000+ISNUMBER('Dvd Calendar'!$T$1284)*100000000+('Dvd Calendar'!$T$1286=SPECIAL_LBL)*10000000+(N('Dvd Calendar'!$T$1280)&gt;0)*(N('Dvd Calendar'!$T$1280)&lt;=VAL_SERIAL)*1000000+16*1000+16))</f>
        <v/>
      </c>
      <c r="EU131" s="39">
        <f>IF(N('Dvd Calendar'!$U$1281)=0,"",IF(('Dvd Calendar'!$U$1281&gt;=GRID_FROM)*('Dvd Calendar'!$U$1281&lt;=GRID_TO)*((('Dvd Calendar'!$U$1281&lt;=VAL_DATE)+(COUNTIF('Dvd Calendar'!$E$1288:$AR$1288,'Dvd Calendar'!$U$1281)=0))&gt;0)=0,"",'Dvd Calendar'!$U$1281*1000000000+ISNUMBER('Dvd Calendar'!$U$1284)*100000000+('Dvd Calendar'!$U$1286=SPECIAL_LBL)*10000000+(N('Dvd Calendar'!$U$1280)&gt;0)*(N('Dvd Calendar'!$U$1280)&lt;=VAL_SERIAL)*1000000+16*1000+17))</f>
        <v/>
      </c>
      <c r="EV131" s="39">
        <f>IF(N('Dvd Calendar'!$V$1281)=0,"",IF(('Dvd Calendar'!$V$1281&gt;=GRID_FROM)*('Dvd Calendar'!$V$1281&lt;=GRID_TO)*((('Dvd Calendar'!$V$1281&lt;=VAL_DATE)+(COUNTIF('Dvd Calendar'!$E$1288:$AR$1288,'Dvd Calendar'!$V$1281)=0))&gt;0)=0,"",'Dvd Calendar'!$V$1281*1000000000+ISNUMBER('Dvd Calendar'!$V$1284)*100000000+('Dvd Calendar'!$V$1286=SPECIAL_LBL)*10000000+(N('Dvd Calendar'!$V$1280)&gt;0)*(N('Dvd Calendar'!$V$1280)&lt;=VAL_SERIAL)*1000000+16*1000+18))</f>
        <v/>
      </c>
      <c r="EW131" s="39">
        <f>IF(N('Dvd Calendar'!$W$1281)=0,"",IF(('Dvd Calendar'!$W$1281&gt;=GRID_FROM)*('Dvd Calendar'!$W$1281&lt;=GRID_TO)*((('Dvd Calendar'!$W$1281&lt;=VAL_DATE)+(COUNTIF('Dvd Calendar'!$E$1288:$AR$1288,'Dvd Calendar'!$W$1281)=0))&gt;0)=0,"",'Dvd Calendar'!$W$1281*1000000000+ISNUMBER('Dvd Calendar'!$W$1284)*100000000+('Dvd Calendar'!$W$1286=SPECIAL_LBL)*10000000+(N('Dvd Calendar'!$W$1280)&gt;0)*(N('Dvd Calendar'!$W$1280)&lt;=VAL_SERIAL)*1000000+16*1000+19))</f>
        <v/>
      </c>
      <c r="EX131" s="39">
        <f>IF(N('Dvd Calendar'!$X$1281)=0,"",IF(('Dvd Calendar'!$X$1281&gt;=GRID_FROM)*('Dvd Calendar'!$X$1281&lt;=GRID_TO)*((('Dvd Calendar'!$X$1281&lt;=VAL_DATE)+(COUNTIF('Dvd Calendar'!$E$1288:$AR$1288,'Dvd Calendar'!$X$1281)=0))&gt;0)=0,"",'Dvd Calendar'!$X$1281*1000000000+ISNUMBER('Dvd Calendar'!$X$1284)*100000000+('Dvd Calendar'!$X$1286=SPECIAL_LBL)*10000000+(N('Dvd Calendar'!$X$1280)&gt;0)*(N('Dvd Calendar'!$X$1280)&lt;=VAL_SERIAL)*1000000+16*1000+20))</f>
        <v/>
      </c>
      <c r="EY131" s="39">
        <f>IF(N('Dvd Calendar'!$Y$1281)=0,"",IF(('Dvd Calendar'!$Y$1281&gt;=GRID_FROM)*('Dvd Calendar'!$Y$1281&lt;=GRID_TO)*((('Dvd Calendar'!$Y$1281&lt;=VAL_DATE)+(COUNTIF('Dvd Calendar'!$E$1288:$AR$1288,'Dvd Calendar'!$Y$1281)=0))&gt;0)=0,"",'Dvd Calendar'!$Y$1281*1000000000+ISNUMBER('Dvd Calendar'!$Y$1284)*100000000+('Dvd Calendar'!$Y$1286=SPECIAL_LBL)*10000000+(N('Dvd Calendar'!$Y$1280)&gt;0)*(N('Dvd Calendar'!$Y$1280)&lt;=VAL_SERIAL)*1000000+16*1000+21))</f>
        <v/>
      </c>
      <c r="EZ131" s="39">
        <f>IF(N('Dvd Calendar'!$Z$1281)=0,"",IF(('Dvd Calendar'!$Z$1281&gt;=GRID_FROM)*('Dvd Calendar'!$Z$1281&lt;=GRID_TO)*((('Dvd Calendar'!$Z$1281&lt;=VAL_DATE)+(COUNTIF('Dvd Calendar'!$E$1288:$AR$1288,'Dvd Calendar'!$Z$1281)=0))&gt;0)=0,"",'Dvd Calendar'!$Z$1281*1000000000+ISNUMBER('Dvd Calendar'!$Z$1284)*100000000+('Dvd Calendar'!$Z$1286=SPECIAL_LBL)*10000000+(N('Dvd Calendar'!$Z$1280)&gt;0)*(N('Dvd Calendar'!$Z$1280)&lt;=VAL_SERIAL)*1000000+16*1000+22))</f>
        <v/>
      </c>
      <c r="FA131" s="39">
        <f>IF(N('Dvd Calendar'!$AA$1281)=0,"",IF(('Dvd Calendar'!$AA$1281&gt;=GRID_FROM)*('Dvd Calendar'!$AA$1281&lt;=GRID_TO)*((('Dvd Calendar'!$AA$1281&lt;=VAL_DATE)+(COUNTIF('Dvd Calendar'!$E$1288:$AR$1288,'Dvd Calendar'!$AA$1281)=0))&gt;0)=0,"",'Dvd Calendar'!$AA$1281*1000000000+ISNUMBER('Dvd Calendar'!$AA$1284)*100000000+('Dvd Calendar'!$AA$1286=SPECIAL_LBL)*10000000+(N('Dvd Calendar'!$AA$1280)&gt;0)*(N('Dvd Calendar'!$AA$1280)&lt;=VAL_SERIAL)*1000000+16*1000+23))</f>
        <v/>
      </c>
      <c r="FB131" s="39">
        <f>IF(N('Dvd Calendar'!$AB$1281)=0,"",IF(('Dvd Calendar'!$AB$1281&gt;=GRID_FROM)*('Dvd Calendar'!$AB$1281&lt;=GRID_TO)*((('Dvd Calendar'!$AB$1281&lt;=VAL_DATE)+(COUNTIF('Dvd Calendar'!$E$1288:$AR$1288,'Dvd Calendar'!$AB$1281)=0))&gt;0)=0,"",'Dvd Calendar'!$AB$1281*1000000000+ISNUMBER('Dvd Calendar'!$AB$1284)*100000000+('Dvd Calendar'!$AB$1286=SPECIAL_LBL)*10000000+(N('Dvd Calendar'!$AB$1280)&gt;0)*(N('Dvd Calendar'!$AB$1280)&lt;=VAL_SERIAL)*1000000+16*1000+24))</f>
        <v/>
      </c>
      <c r="FC131" s="39">
        <f>IF(N('Dvd Calendar'!$AC$1281)=0,"",IF(('Dvd Calendar'!$AC$1281&gt;=GRID_FROM)*('Dvd Calendar'!$AC$1281&lt;=GRID_TO)*((('Dvd Calendar'!$AC$1281&lt;=VAL_DATE)+(COUNTIF('Dvd Calendar'!$E$1288:$AR$1288,'Dvd Calendar'!$AC$1281)=0))&gt;0)=0,"",'Dvd Calendar'!$AC$1281*1000000000+ISNUMBER('Dvd Calendar'!$AC$1284)*100000000+('Dvd Calendar'!$AC$1286=SPECIAL_LBL)*10000000+(N('Dvd Calendar'!$AC$1280)&gt;0)*(N('Dvd Calendar'!$AC$1280)&lt;=VAL_SERIAL)*1000000+16*1000+25))</f>
        <v/>
      </c>
      <c r="FD131" s="39">
        <f>IF(N('Dvd Calendar'!$AD$1281)=0,"",IF(('Dvd Calendar'!$AD$1281&gt;=GRID_FROM)*('Dvd Calendar'!$AD$1281&lt;=GRID_TO)*((('Dvd Calendar'!$AD$1281&lt;=VAL_DATE)+(COUNTIF('Dvd Calendar'!$E$1288:$AR$1288,'Dvd Calendar'!$AD$1281)=0))&gt;0)=0,"",'Dvd Calendar'!$AD$1281*1000000000+ISNUMBER('Dvd Calendar'!$AD$1284)*100000000+('Dvd Calendar'!$AD$1286=SPECIAL_LBL)*10000000+(N('Dvd Calendar'!$AD$1280)&gt;0)*(N('Dvd Calendar'!$AD$1280)&lt;=VAL_SERIAL)*1000000+16*1000+26))</f>
        <v/>
      </c>
      <c r="FE131" s="39">
        <f>IF(N('Dvd Calendar'!$AE$1281)=0,"",IF(('Dvd Calendar'!$AE$1281&gt;=GRID_FROM)*('Dvd Calendar'!$AE$1281&lt;=GRID_TO)*((('Dvd Calendar'!$AE$1281&lt;=VAL_DATE)+(COUNTIF('Dvd Calendar'!$E$1288:$AR$1288,'Dvd Calendar'!$AE$1281)=0))&gt;0)=0,"",'Dvd Calendar'!$AE$1281*1000000000+ISNUMBER('Dvd Calendar'!$AE$1284)*100000000+('Dvd Calendar'!$AE$1286=SPECIAL_LBL)*10000000+(N('Dvd Calendar'!$AE$1280)&gt;0)*(N('Dvd Calendar'!$AE$1280)&lt;=VAL_SERIAL)*1000000+16*1000+27))</f>
        <v/>
      </c>
      <c r="FF131" s="39">
        <f>IF(N('Dvd Calendar'!$AF$1281)=0,"",IF(('Dvd Calendar'!$AF$1281&gt;=GRID_FROM)*('Dvd Calendar'!$AF$1281&lt;=GRID_TO)*((('Dvd Calendar'!$AF$1281&lt;=VAL_DATE)+(COUNTIF('Dvd Calendar'!$E$1288:$AR$1288,'Dvd Calendar'!$AF$1281)=0))&gt;0)=0,"",'Dvd Calendar'!$AF$1281*1000000000+ISNUMBER('Dvd Calendar'!$AF$1284)*100000000+('Dvd Calendar'!$AF$1286=SPECIAL_LBL)*10000000+(N('Dvd Calendar'!$AF$1280)&gt;0)*(N('Dvd Calendar'!$AF$1280)&lt;=VAL_SERIAL)*1000000+16*1000+28))</f>
        <v/>
      </c>
      <c r="FG131" s="39">
        <f>IF(N('Dvd Calendar'!$AG$1281)=0,"",IF(('Dvd Calendar'!$AG$1281&gt;=GRID_FROM)*('Dvd Calendar'!$AG$1281&lt;=GRID_TO)*((('Dvd Calendar'!$AG$1281&lt;=VAL_DATE)+(COUNTIF('Dvd Calendar'!$E$1288:$AR$1288,'Dvd Calendar'!$AG$1281)=0))&gt;0)=0,"",'Dvd Calendar'!$AG$1281*1000000000+ISNUMBER('Dvd Calendar'!$AG$1284)*100000000+('Dvd Calendar'!$AG$1286=SPECIAL_LBL)*10000000+(N('Dvd Calendar'!$AG$1280)&gt;0)*(N('Dvd Calendar'!$AG$1280)&lt;=VAL_SERIAL)*1000000+16*1000+29))</f>
        <v/>
      </c>
      <c r="FH131" s="39">
        <f>IF(N('Dvd Calendar'!$AH$1281)=0,"",IF(('Dvd Calendar'!$AH$1281&gt;=GRID_FROM)*('Dvd Calendar'!$AH$1281&lt;=GRID_TO)*((('Dvd Calendar'!$AH$1281&lt;=VAL_DATE)+(COUNTIF('Dvd Calendar'!$E$1288:$AR$1288,'Dvd Calendar'!$AH$1281)=0))&gt;0)=0,"",'Dvd Calendar'!$AH$1281*1000000000+ISNUMBER('Dvd Calendar'!$AH$1284)*100000000+('Dvd Calendar'!$AH$1286=SPECIAL_LBL)*10000000+(N('Dvd Calendar'!$AH$1280)&gt;0)*(N('Dvd Calendar'!$AH$1280)&lt;=VAL_SERIAL)*1000000+16*1000+30))</f>
        <v/>
      </c>
      <c r="FI131" s="39">
        <f>IF(N('Dvd Calendar'!$AI$1281)=0,"",IF(('Dvd Calendar'!$AI$1281&gt;=GRID_FROM)*('Dvd Calendar'!$AI$1281&lt;=GRID_TO)*((('Dvd Calendar'!$AI$1281&lt;=VAL_DATE)+(COUNTIF('Dvd Calendar'!$E$1288:$AR$1288,'Dvd Calendar'!$AI$1281)=0))&gt;0)=0,"",'Dvd Calendar'!$AI$1281*1000000000+ISNUMBER('Dvd Calendar'!$AI$1284)*100000000+('Dvd Calendar'!$AI$1286=SPECIAL_LBL)*10000000+(N('Dvd Calendar'!$AI$1280)&gt;0)*(N('Dvd Calendar'!$AI$1280)&lt;=VAL_SERIAL)*1000000+16*1000+31))</f>
        <v/>
      </c>
      <c r="FJ131" s="39">
        <f>IF(N('Dvd Calendar'!$AJ$1281)=0,"",IF(('Dvd Calendar'!$AJ$1281&gt;=GRID_FROM)*('Dvd Calendar'!$AJ$1281&lt;=GRID_TO)*((('Dvd Calendar'!$AJ$1281&lt;=VAL_DATE)+(COUNTIF('Dvd Calendar'!$E$1288:$AR$1288,'Dvd Calendar'!$AJ$1281)=0))&gt;0)=0,"",'Dvd Calendar'!$AJ$1281*1000000000+ISNUMBER('Dvd Calendar'!$AJ$1284)*100000000+('Dvd Calendar'!$AJ$1286=SPECIAL_LBL)*10000000+(N('Dvd Calendar'!$AJ$1280)&gt;0)*(N('Dvd Calendar'!$AJ$1280)&lt;=VAL_SERIAL)*1000000+16*1000+32))</f>
        <v/>
      </c>
      <c r="FK131" s="39">
        <f>IF(N('Dvd Calendar'!$AK$1281)=0,"",IF(('Dvd Calendar'!$AK$1281&gt;=GRID_FROM)*('Dvd Calendar'!$AK$1281&lt;=GRID_TO)*((('Dvd Calendar'!$AK$1281&lt;=VAL_DATE)+(COUNTIF('Dvd Calendar'!$E$1288:$AR$1288,'Dvd Calendar'!$AK$1281)=0))&gt;0)=0,"",'Dvd Calendar'!$AK$1281*1000000000+ISNUMBER('Dvd Calendar'!$AK$1284)*100000000+('Dvd Calendar'!$AK$1286=SPECIAL_LBL)*10000000+(N('Dvd Calendar'!$AK$1280)&gt;0)*(N('Dvd Calendar'!$AK$1280)&lt;=VAL_SERIAL)*1000000+16*1000+33))</f>
        <v/>
      </c>
      <c r="FL131" s="39">
        <f>IF(N('Dvd Calendar'!$AL$1281)=0,"",IF(('Dvd Calendar'!$AL$1281&gt;=GRID_FROM)*('Dvd Calendar'!$AL$1281&lt;=GRID_TO)*((('Dvd Calendar'!$AL$1281&lt;=VAL_DATE)+(COUNTIF('Dvd Calendar'!$E$1288:$AR$1288,'Dvd Calendar'!$AL$1281)=0))&gt;0)=0,"",'Dvd Calendar'!$AL$1281*1000000000+ISNUMBER('Dvd Calendar'!$AL$1284)*100000000+('Dvd Calendar'!$AL$1286=SPECIAL_LBL)*10000000+(N('Dvd Calendar'!$AL$1280)&gt;0)*(N('Dvd Calendar'!$AL$1280)&lt;=VAL_SERIAL)*1000000+16*1000+34))</f>
        <v/>
      </c>
      <c r="FM131" s="39">
        <f>IF(N('Dvd Calendar'!$AM$1281)=0,"",IF(('Dvd Calendar'!$AM$1281&gt;=GRID_FROM)*('Dvd Calendar'!$AM$1281&lt;=GRID_TO)*((('Dvd Calendar'!$AM$1281&lt;=VAL_DATE)+(COUNTIF('Dvd Calendar'!$E$1288:$AR$1288,'Dvd Calendar'!$AM$1281)=0))&gt;0)=0,"",'Dvd Calendar'!$AM$1281*1000000000+ISNUMBER('Dvd Calendar'!$AM$1284)*100000000+('Dvd Calendar'!$AM$1286=SPECIAL_LBL)*10000000+(N('Dvd Calendar'!$AM$1280)&gt;0)*(N('Dvd Calendar'!$AM$1280)&lt;=VAL_SERIAL)*1000000+16*1000+35))</f>
        <v/>
      </c>
      <c r="FN131" s="39">
        <f>IF(N('Dvd Calendar'!$AN$1281)=0,"",IF(('Dvd Calendar'!$AN$1281&gt;=GRID_FROM)*('Dvd Calendar'!$AN$1281&lt;=GRID_TO)*((('Dvd Calendar'!$AN$1281&lt;=VAL_DATE)+(COUNTIF('Dvd Calendar'!$E$1288:$AR$1288,'Dvd Calendar'!$AN$1281)=0))&gt;0)=0,"",'Dvd Calendar'!$AN$1281*1000000000+ISNUMBER('Dvd Calendar'!$AN$1284)*100000000+('Dvd Calendar'!$AN$1286=SPECIAL_LBL)*10000000+(N('Dvd Calendar'!$AN$1280)&gt;0)*(N('Dvd Calendar'!$AN$1280)&lt;=VAL_SERIAL)*1000000+16*1000+36))</f>
        <v/>
      </c>
      <c r="FO131" s="39">
        <f>IF(N('Dvd Calendar'!$AO$1281)=0,"",IF(('Dvd Calendar'!$AO$1281&gt;=GRID_FROM)*('Dvd Calendar'!$AO$1281&lt;=GRID_TO)*((('Dvd Calendar'!$AO$1281&lt;=VAL_DATE)+(COUNTIF('Dvd Calendar'!$E$1288:$AR$1288,'Dvd Calendar'!$AO$1281)=0))&gt;0)=0,"",'Dvd Calendar'!$AO$1281*1000000000+ISNUMBER('Dvd Calendar'!$AO$1284)*100000000+('Dvd Calendar'!$AO$1286=SPECIAL_LBL)*10000000+(N('Dvd Calendar'!$AO$1280)&gt;0)*(N('Dvd Calendar'!$AO$1280)&lt;=VAL_SERIAL)*1000000+16*1000+37))</f>
        <v/>
      </c>
      <c r="FP131" s="39">
        <f>IF(N('Dvd Calendar'!$AP$1281)=0,"",IF(('Dvd Calendar'!$AP$1281&gt;=GRID_FROM)*('Dvd Calendar'!$AP$1281&lt;=GRID_TO)*((('Dvd Calendar'!$AP$1281&lt;=VAL_DATE)+(COUNTIF('Dvd Calendar'!$E$1288:$AR$1288,'Dvd Calendar'!$AP$1281)=0))&gt;0)=0,"",'Dvd Calendar'!$AP$1281*1000000000+ISNUMBER('Dvd Calendar'!$AP$1284)*100000000+('Dvd Calendar'!$AP$1286=SPECIAL_LBL)*10000000+(N('Dvd Calendar'!$AP$1280)&gt;0)*(N('Dvd Calendar'!$AP$1280)&lt;=VAL_SERIAL)*1000000+16*1000+38))</f>
        <v/>
      </c>
      <c r="FQ131" s="39">
        <f>IF(N('Dvd Calendar'!$AQ$1281)=0,"",IF(('Dvd Calendar'!$AQ$1281&gt;=GRID_FROM)*('Dvd Calendar'!$AQ$1281&lt;=GRID_TO)*((('Dvd Calendar'!$AQ$1281&lt;=VAL_DATE)+(COUNTIF('Dvd Calendar'!$E$1288:$AR$1288,'Dvd Calendar'!$AQ$1281)=0))&gt;0)=0,"",'Dvd Calendar'!$AQ$1281*1000000000+ISNUMBER('Dvd Calendar'!$AQ$1284)*100000000+('Dvd Calendar'!$AQ$1286=SPECIAL_LBL)*10000000+(N('Dvd Calendar'!$AQ$1280)&gt;0)*(N('Dvd Calendar'!$AQ$1280)&lt;=VAL_SERIAL)*1000000+16*1000+39))</f>
        <v/>
      </c>
      <c r="FR131" s="39">
        <f>IF(N('Dvd Calendar'!$AR$1281)=0,"",IF(('Dvd Calendar'!$AR$1281&gt;=GRID_FROM)*('Dvd Calendar'!$AR$1281&lt;=GRID_TO)*((('Dvd Calendar'!$AR$1281&lt;=VAL_DATE)+(COUNTIF('Dvd Calendar'!$E$1288:$AR$1288,'Dvd Calendar'!$AR$1281)=0))&gt;0)=0,"",'Dvd Calendar'!$AR$1281*1000000000+ISNUMBER('Dvd Calendar'!$AR$1284)*100000000+('Dvd Calendar'!$AR$1286=SPECIAL_LBL)*10000000+(N('Dvd Calendar'!$AR$1280)&gt;0)*(N('Dvd Calendar'!$AR$1280)&lt;=VAL_SERIAL)*1000000+16*1000+40))</f>
        <v/>
      </c>
      <c r="FS131" s="39">
        <f>IF(N('Dvd Calendar'!$E$1288)=0,"",IF(('Dvd Calendar'!$E$1288&gt;=GRID_FROM)*('Dvd Calendar'!$E$1288&lt;=GRID_TO)*('Dvd Calendar'!$E$1288&gt;VAL_DATE)=0,"",'Dvd Calendar'!$E$1288*1000000000+ISNUMBER('Dvd Calendar'!$E$1289)*100000000+0*10000000+(N('Dvd Calendar'!$E$1287)&gt;0)*(N('Dvd Calendar'!$E$1287)&lt;=VAL_SERIAL)*1000000+16*1000+41))</f>
        <v/>
      </c>
      <c r="FT131" s="39">
        <f>IF(N('Dvd Calendar'!$F$1288)=0,"",IF(('Dvd Calendar'!$F$1288&gt;=GRID_FROM)*('Dvd Calendar'!$F$1288&lt;=GRID_TO)*('Dvd Calendar'!$F$1288&gt;VAL_DATE)=0,"",'Dvd Calendar'!$F$1288*1000000000+ISNUMBER('Dvd Calendar'!$F$1289)*100000000+0*10000000+(N('Dvd Calendar'!$F$1287)&gt;0)*(N('Dvd Calendar'!$F$1287)&lt;=VAL_SERIAL)*1000000+16*1000+42))</f>
        <v/>
      </c>
      <c r="FU131" s="39">
        <f>IF(N('Dvd Calendar'!$G$1288)=0,"",IF(('Dvd Calendar'!$G$1288&gt;=GRID_FROM)*('Dvd Calendar'!$G$1288&lt;=GRID_TO)*('Dvd Calendar'!$G$1288&gt;VAL_DATE)=0,"",'Dvd Calendar'!$G$1288*1000000000+ISNUMBER('Dvd Calendar'!$G$1289)*100000000+0*10000000+(N('Dvd Calendar'!$G$1287)&gt;0)*(N('Dvd Calendar'!$G$1287)&lt;=VAL_SERIAL)*1000000+16*1000+43))</f>
        <v/>
      </c>
      <c r="FV131" s="39">
        <f>IF(N('Dvd Calendar'!$H$1288)=0,"",IF(('Dvd Calendar'!$H$1288&gt;=GRID_FROM)*('Dvd Calendar'!$H$1288&lt;=GRID_TO)*('Dvd Calendar'!$H$1288&gt;VAL_DATE)=0,"",'Dvd Calendar'!$H$1288*1000000000+ISNUMBER('Dvd Calendar'!$H$1289)*100000000+0*10000000+(N('Dvd Calendar'!$H$1287)&gt;0)*(N('Dvd Calendar'!$H$1287)&lt;=VAL_SERIAL)*1000000+16*1000+44))</f>
        <v/>
      </c>
      <c r="FW131" s="39">
        <f>IF(N('Dvd Calendar'!$I$1288)=0,"",IF(('Dvd Calendar'!$I$1288&gt;=GRID_FROM)*('Dvd Calendar'!$I$1288&lt;=GRID_TO)*('Dvd Calendar'!$I$1288&gt;VAL_DATE)=0,"",'Dvd Calendar'!$I$1288*1000000000+ISNUMBER('Dvd Calendar'!$I$1289)*100000000+0*10000000+(N('Dvd Calendar'!$I$1287)&gt;0)*(N('Dvd Calendar'!$I$1287)&lt;=VAL_SERIAL)*1000000+16*1000+45))</f>
        <v/>
      </c>
      <c r="FX131" s="39">
        <f>IF(N('Dvd Calendar'!$J$1288)=0,"",IF(('Dvd Calendar'!$J$1288&gt;=GRID_FROM)*('Dvd Calendar'!$J$1288&lt;=GRID_TO)*('Dvd Calendar'!$J$1288&gt;VAL_DATE)=0,"",'Dvd Calendar'!$J$1288*1000000000+ISNUMBER('Dvd Calendar'!$J$1289)*100000000+0*10000000+(N('Dvd Calendar'!$J$1287)&gt;0)*(N('Dvd Calendar'!$J$1287)&lt;=VAL_SERIAL)*1000000+16*1000+46))</f>
        <v/>
      </c>
      <c r="FY131" s="39">
        <f>IF(N('Dvd Calendar'!$K$1288)=0,"",IF(('Dvd Calendar'!$K$1288&gt;=GRID_FROM)*('Dvd Calendar'!$K$1288&lt;=GRID_TO)*('Dvd Calendar'!$K$1288&gt;VAL_DATE)=0,"",'Dvd Calendar'!$K$1288*1000000000+ISNUMBER('Dvd Calendar'!$K$1289)*100000000+0*10000000+(N('Dvd Calendar'!$K$1287)&gt;0)*(N('Dvd Calendar'!$K$1287)&lt;=VAL_SERIAL)*1000000+16*1000+47))</f>
        <v/>
      </c>
      <c r="FZ131" s="39">
        <f>IF(N('Dvd Calendar'!$L$1288)=0,"",IF(('Dvd Calendar'!$L$1288&gt;=GRID_FROM)*('Dvd Calendar'!$L$1288&lt;=GRID_TO)*('Dvd Calendar'!$L$1288&gt;VAL_DATE)=0,"",'Dvd Calendar'!$L$1288*1000000000+ISNUMBER('Dvd Calendar'!$L$1289)*100000000+0*10000000+(N('Dvd Calendar'!$L$1287)&gt;0)*(N('Dvd Calendar'!$L$1287)&lt;=VAL_SERIAL)*1000000+16*1000+48))</f>
        <v/>
      </c>
      <c r="GA131" s="39">
        <f>IF(N('Dvd Calendar'!$M$1288)=0,"",IF(('Dvd Calendar'!$M$1288&gt;=GRID_FROM)*('Dvd Calendar'!$M$1288&lt;=GRID_TO)*('Dvd Calendar'!$M$1288&gt;VAL_DATE)=0,"",'Dvd Calendar'!$M$1288*1000000000+ISNUMBER('Dvd Calendar'!$M$1289)*100000000+0*10000000+(N('Dvd Calendar'!$M$1287)&gt;0)*(N('Dvd Calendar'!$M$1287)&lt;=VAL_SERIAL)*1000000+16*1000+49))</f>
        <v/>
      </c>
      <c r="GB131" s="39">
        <f>IF(N('Dvd Calendar'!$N$1288)=0,"",IF(('Dvd Calendar'!$N$1288&gt;=GRID_FROM)*('Dvd Calendar'!$N$1288&lt;=GRID_TO)*('Dvd Calendar'!$N$1288&gt;VAL_DATE)=0,"",'Dvd Calendar'!$N$1288*1000000000+ISNUMBER('Dvd Calendar'!$N$1289)*100000000+0*10000000+(N('Dvd Calendar'!$N$1287)&gt;0)*(N('Dvd Calendar'!$N$1287)&lt;=VAL_SERIAL)*1000000+16*1000+50))</f>
        <v/>
      </c>
      <c r="GC131" s="39">
        <f>IF(N('Dvd Calendar'!$O$1288)=0,"",IF(('Dvd Calendar'!$O$1288&gt;=GRID_FROM)*('Dvd Calendar'!$O$1288&lt;=GRID_TO)*('Dvd Calendar'!$O$1288&gt;VAL_DATE)=0,"",'Dvd Calendar'!$O$1288*1000000000+ISNUMBER('Dvd Calendar'!$O$1289)*100000000+0*10000000+(N('Dvd Calendar'!$O$1287)&gt;0)*(N('Dvd Calendar'!$O$1287)&lt;=VAL_SERIAL)*1000000+16*1000+51))</f>
        <v/>
      </c>
      <c r="GD131" s="39">
        <f>IF(N('Dvd Calendar'!$P$1288)=0,"",IF(('Dvd Calendar'!$P$1288&gt;=GRID_FROM)*('Dvd Calendar'!$P$1288&lt;=GRID_TO)*('Dvd Calendar'!$P$1288&gt;VAL_DATE)=0,"",'Dvd Calendar'!$P$1288*1000000000+ISNUMBER('Dvd Calendar'!$P$1289)*100000000+0*10000000+(N('Dvd Calendar'!$P$1287)&gt;0)*(N('Dvd Calendar'!$P$1287)&lt;=VAL_SERIAL)*1000000+16*1000+52))</f>
        <v/>
      </c>
      <c r="GE131" s="39">
        <f>IF(N('Dvd Calendar'!$Q$1288)=0,"",IF(('Dvd Calendar'!$Q$1288&gt;=GRID_FROM)*('Dvd Calendar'!$Q$1288&lt;=GRID_TO)*('Dvd Calendar'!$Q$1288&gt;VAL_DATE)=0,"",'Dvd Calendar'!$Q$1288*1000000000+ISNUMBER('Dvd Calendar'!$Q$1289)*100000000+0*10000000+(N('Dvd Calendar'!$Q$1287)&gt;0)*(N('Dvd Calendar'!$Q$1287)&lt;=VAL_SERIAL)*1000000+16*1000+53))</f>
        <v/>
      </c>
      <c r="GF131" s="39">
        <f>IF(N('Dvd Calendar'!$R$1288)=0,"",IF(('Dvd Calendar'!$R$1288&gt;=GRID_FROM)*('Dvd Calendar'!$R$1288&lt;=GRID_TO)*('Dvd Calendar'!$R$1288&gt;VAL_DATE)=0,"",'Dvd Calendar'!$R$1288*1000000000+ISNUMBER('Dvd Calendar'!$R$1289)*100000000+0*10000000+(N('Dvd Calendar'!$R$1287)&gt;0)*(N('Dvd Calendar'!$R$1287)&lt;=VAL_SERIAL)*1000000+16*1000+54))</f>
        <v/>
      </c>
      <c r="GG131" s="39">
        <f>IF(N('Dvd Calendar'!$S$1288)=0,"",IF(('Dvd Calendar'!$S$1288&gt;=GRID_FROM)*('Dvd Calendar'!$S$1288&lt;=GRID_TO)*('Dvd Calendar'!$S$1288&gt;VAL_DATE)=0,"",'Dvd Calendar'!$S$1288*1000000000+ISNUMBER('Dvd Calendar'!$S$1289)*100000000+0*10000000+(N('Dvd Calendar'!$S$1287)&gt;0)*(N('Dvd Calendar'!$S$1287)&lt;=VAL_SERIAL)*1000000+16*1000+55))</f>
        <v/>
      </c>
      <c r="GH131" s="39">
        <f>IF(N('Dvd Calendar'!$T$1288)=0,"",IF(('Dvd Calendar'!$T$1288&gt;=GRID_FROM)*('Dvd Calendar'!$T$1288&lt;=GRID_TO)*('Dvd Calendar'!$T$1288&gt;VAL_DATE)=0,"",'Dvd Calendar'!$T$1288*1000000000+ISNUMBER('Dvd Calendar'!$T$1289)*100000000+0*10000000+(N('Dvd Calendar'!$T$1287)&gt;0)*(N('Dvd Calendar'!$T$1287)&lt;=VAL_SERIAL)*1000000+16*1000+56))</f>
        <v/>
      </c>
      <c r="GI131" s="39">
        <f>IF(N('Dvd Calendar'!$U$1288)=0,"",IF(('Dvd Calendar'!$U$1288&gt;=GRID_FROM)*('Dvd Calendar'!$U$1288&lt;=GRID_TO)*('Dvd Calendar'!$U$1288&gt;VAL_DATE)=0,"",'Dvd Calendar'!$U$1288*1000000000+ISNUMBER('Dvd Calendar'!$U$1289)*100000000+0*10000000+(N('Dvd Calendar'!$U$1287)&gt;0)*(N('Dvd Calendar'!$U$1287)&lt;=VAL_SERIAL)*1000000+16*1000+57))</f>
        <v/>
      </c>
      <c r="GJ131" s="39">
        <f>IF(N('Dvd Calendar'!$V$1288)=0,"",IF(('Dvd Calendar'!$V$1288&gt;=GRID_FROM)*('Dvd Calendar'!$V$1288&lt;=GRID_TO)*('Dvd Calendar'!$V$1288&gt;VAL_DATE)=0,"",'Dvd Calendar'!$V$1288*1000000000+ISNUMBER('Dvd Calendar'!$V$1289)*100000000+0*10000000+(N('Dvd Calendar'!$V$1287)&gt;0)*(N('Dvd Calendar'!$V$1287)&lt;=VAL_SERIAL)*1000000+16*1000+58))</f>
        <v/>
      </c>
      <c r="GK131" s="39">
        <f>IF(N('Dvd Calendar'!$W$1288)=0,"",IF(('Dvd Calendar'!$W$1288&gt;=GRID_FROM)*('Dvd Calendar'!$W$1288&lt;=GRID_TO)*('Dvd Calendar'!$W$1288&gt;VAL_DATE)=0,"",'Dvd Calendar'!$W$1288*1000000000+ISNUMBER('Dvd Calendar'!$W$1289)*100000000+0*10000000+(N('Dvd Calendar'!$W$1287)&gt;0)*(N('Dvd Calendar'!$W$1287)&lt;=VAL_SERIAL)*1000000+16*1000+59))</f>
        <v/>
      </c>
      <c r="GL131" s="39">
        <f>IF(N('Dvd Calendar'!$X$1288)=0,"",IF(('Dvd Calendar'!$X$1288&gt;=GRID_FROM)*('Dvd Calendar'!$X$1288&lt;=GRID_TO)*('Dvd Calendar'!$X$1288&gt;VAL_DATE)=0,"",'Dvd Calendar'!$X$1288*1000000000+ISNUMBER('Dvd Calendar'!$X$1289)*100000000+0*10000000+(N('Dvd Calendar'!$X$1287)&gt;0)*(N('Dvd Calendar'!$X$1287)&lt;=VAL_SERIAL)*1000000+16*1000+60))</f>
        <v/>
      </c>
      <c r="GM131" s="39">
        <f>IF(N('Dvd Calendar'!$Y$1288)=0,"",IF(('Dvd Calendar'!$Y$1288&gt;=GRID_FROM)*('Dvd Calendar'!$Y$1288&lt;=GRID_TO)*('Dvd Calendar'!$Y$1288&gt;VAL_DATE)=0,"",'Dvd Calendar'!$Y$1288*1000000000+ISNUMBER('Dvd Calendar'!$Y$1289)*100000000+0*10000000+(N('Dvd Calendar'!$Y$1287)&gt;0)*(N('Dvd Calendar'!$Y$1287)&lt;=VAL_SERIAL)*1000000+16*1000+61))</f>
        <v/>
      </c>
      <c r="GN131" s="39">
        <f>IF(N('Dvd Calendar'!$Z$1288)=0,"",IF(('Dvd Calendar'!$Z$1288&gt;=GRID_FROM)*('Dvd Calendar'!$Z$1288&lt;=GRID_TO)*('Dvd Calendar'!$Z$1288&gt;VAL_DATE)=0,"",'Dvd Calendar'!$Z$1288*1000000000+ISNUMBER('Dvd Calendar'!$Z$1289)*100000000+0*10000000+(N('Dvd Calendar'!$Z$1287)&gt;0)*(N('Dvd Calendar'!$Z$1287)&lt;=VAL_SERIAL)*1000000+16*1000+62))</f>
        <v/>
      </c>
      <c r="GO131" s="39">
        <f>IF(N('Dvd Calendar'!$AA$1288)=0,"",IF(('Dvd Calendar'!$AA$1288&gt;=GRID_FROM)*('Dvd Calendar'!$AA$1288&lt;=GRID_TO)*('Dvd Calendar'!$AA$1288&gt;VAL_DATE)=0,"",'Dvd Calendar'!$AA$1288*1000000000+ISNUMBER('Dvd Calendar'!$AA$1289)*100000000+0*10000000+(N('Dvd Calendar'!$AA$1287)&gt;0)*(N('Dvd Calendar'!$AA$1287)&lt;=VAL_SERIAL)*1000000+16*1000+63))</f>
        <v/>
      </c>
      <c r="GP131" s="39">
        <f>IF(N('Dvd Calendar'!$AB$1288)=0,"",IF(('Dvd Calendar'!$AB$1288&gt;=GRID_FROM)*('Dvd Calendar'!$AB$1288&lt;=GRID_TO)*('Dvd Calendar'!$AB$1288&gt;VAL_DATE)=0,"",'Dvd Calendar'!$AB$1288*1000000000+ISNUMBER('Dvd Calendar'!$AB$1289)*100000000+0*10000000+(N('Dvd Calendar'!$AB$1287)&gt;0)*(N('Dvd Calendar'!$AB$1287)&lt;=VAL_SERIAL)*1000000+16*1000+64))</f>
        <v/>
      </c>
      <c r="GQ131" s="39">
        <f>IF(N('Dvd Calendar'!$AC$1288)=0,"",IF(('Dvd Calendar'!$AC$1288&gt;=GRID_FROM)*('Dvd Calendar'!$AC$1288&lt;=GRID_TO)*('Dvd Calendar'!$AC$1288&gt;VAL_DATE)=0,"",'Dvd Calendar'!$AC$1288*1000000000+ISNUMBER('Dvd Calendar'!$AC$1289)*100000000+0*10000000+(N('Dvd Calendar'!$AC$1287)&gt;0)*(N('Dvd Calendar'!$AC$1287)&lt;=VAL_SERIAL)*1000000+16*1000+65))</f>
        <v/>
      </c>
    </row>
    <row r="132">
      <c r="B132" s="2">
        <f>IF(HSTECH!$C$23="","",HSTECH!$C$23)</f>
        <v/>
      </c>
      <c r="C132" s="110">
        <f>IF(EE132="","",IF(ISNUMBER('Dvd Calendar'!$E$1295)=FALSE,"",IF((('Dvd Calendar'!$E$1297=TYPE1)*(TYPE1&lt;&gt;"")+('Dvd Calendar'!$E$1297=TYPE2)*(TYPE2&lt;&gt;"")+('Dvd Calendar'!$E$1297=TYPE3)*(TYPE3&lt;&gt;"")+('Dvd Calendar'!$E$1297=TYPE4)*(TYPE4&lt;&gt;"")+('Dvd Calendar'!$E$1297=SPECIAL_LBL)*(INC_SPECIALS="Y"))=0,"",'Dvd Calendar'!$E$1295)))</f>
        <v/>
      </c>
      <c r="D132" s="110">
        <f>IF(EF132="","",IF(ISNUMBER('Dvd Calendar'!$F$1295)=FALSE,"",IF((('Dvd Calendar'!$F$1297=TYPE1)*(TYPE1&lt;&gt;"")+('Dvd Calendar'!$F$1297=TYPE2)*(TYPE2&lt;&gt;"")+('Dvd Calendar'!$F$1297=TYPE3)*(TYPE3&lt;&gt;"")+('Dvd Calendar'!$F$1297=TYPE4)*(TYPE4&lt;&gt;"")+('Dvd Calendar'!$F$1297=SPECIAL_LBL)*(INC_SPECIALS="Y"))=0,"",'Dvd Calendar'!$F$1295)))</f>
        <v/>
      </c>
      <c r="E132" s="110">
        <f>IF(EG132="","",IF(ISNUMBER('Dvd Calendar'!$G$1295)=FALSE,"",IF((('Dvd Calendar'!$G$1297=TYPE1)*(TYPE1&lt;&gt;"")+('Dvd Calendar'!$G$1297=TYPE2)*(TYPE2&lt;&gt;"")+('Dvd Calendar'!$G$1297=TYPE3)*(TYPE3&lt;&gt;"")+('Dvd Calendar'!$G$1297=TYPE4)*(TYPE4&lt;&gt;"")+('Dvd Calendar'!$G$1297=SPECIAL_LBL)*(INC_SPECIALS="Y"))=0,"",'Dvd Calendar'!$G$1295)))</f>
        <v/>
      </c>
      <c r="F132" s="110">
        <f>IF(EH132="","",IF(ISNUMBER('Dvd Calendar'!$H$1295)=FALSE,"",IF((('Dvd Calendar'!$H$1297=TYPE1)*(TYPE1&lt;&gt;"")+('Dvd Calendar'!$H$1297=TYPE2)*(TYPE2&lt;&gt;"")+('Dvd Calendar'!$H$1297=TYPE3)*(TYPE3&lt;&gt;"")+('Dvd Calendar'!$H$1297=TYPE4)*(TYPE4&lt;&gt;"")+('Dvd Calendar'!$H$1297=SPECIAL_LBL)*(INC_SPECIALS="Y"))=0,"",'Dvd Calendar'!$H$1295)))</f>
        <v/>
      </c>
      <c r="G132" s="110">
        <f>IF(EI132="","",IF(ISNUMBER('Dvd Calendar'!$I$1295)=FALSE,"",IF((('Dvd Calendar'!$I$1297=TYPE1)*(TYPE1&lt;&gt;"")+('Dvd Calendar'!$I$1297=TYPE2)*(TYPE2&lt;&gt;"")+('Dvd Calendar'!$I$1297=TYPE3)*(TYPE3&lt;&gt;"")+('Dvd Calendar'!$I$1297=TYPE4)*(TYPE4&lt;&gt;"")+('Dvd Calendar'!$I$1297=SPECIAL_LBL)*(INC_SPECIALS="Y"))=0,"",'Dvd Calendar'!$I$1295)))</f>
        <v/>
      </c>
      <c r="H132" s="110">
        <f>IF(EJ132="","",IF(ISNUMBER('Dvd Calendar'!$J$1295)=FALSE,"",IF((('Dvd Calendar'!$J$1297=TYPE1)*(TYPE1&lt;&gt;"")+('Dvd Calendar'!$J$1297=TYPE2)*(TYPE2&lt;&gt;"")+('Dvd Calendar'!$J$1297=TYPE3)*(TYPE3&lt;&gt;"")+('Dvd Calendar'!$J$1297=TYPE4)*(TYPE4&lt;&gt;"")+('Dvd Calendar'!$J$1297=SPECIAL_LBL)*(INC_SPECIALS="Y"))=0,"",'Dvd Calendar'!$J$1295)))</f>
        <v/>
      </c>
      <c r="I132" s="110">
        <f>IF(EK132="","",IF(ISNUMBER('Dvd Calendar'!$K$1295)=FALSE,"",IF((('Dvd Calendar'!$K$1297=TYPE1)*(TYPE1&lt;&gt;"")+('Dvd Calendar'!$K$1297=TYPE2)*(TYPE2&lt;&gt;"")+('Dvd Calendar'!$K$1297=TYPE3)*(TYPE3&lt;&gt;"")+('Dvd Calendar'!$K$1297=TYPE4)*(TYPE4&lt;&gt;"")+('Dvd Calendar'!$K$1297=SPECIAL_LBL)*(INC_SPECIALS="Y"))=0,"",'Dvd Calendar'!$K$1295)))</f>
        <v/>
      </c>
      <c r="J132" s="110">
        <f>IF(EL132="","",IF(ISNUMBER('Dvd Calendar'!$L$1295)=FALSE,"",IF((('Dvd Calendar'!$L$1297=TYPE1)*(TYPE1&lt;&gt;"")+('Dvd Calendar'!$L$1297=TYPE2)*(TYPE2&lt;&gt;"")+('Dvd Calendar'!$L$1297=TYPE3)*(TYPE3&lt;&gt;"")+('Dvd Calendar'!$L$1297=TYPE4)*(TYPE4&lt;&gt;"")+('Dvd Calendar'!$L$1297=SPECIAL_LBL)*(INC_SPECIALS="Y"))=0,"",'Dvd Calendar'!$L$1295)))</f>
        <v/>
      </c>
      <c r="K132" s="110">
        <f>IF(EM132="","",IF(ISNUMBER('Dvd Calendar'!$M$1295)=FALSE,"",IF((('Dvd Calendar'!$M$1297=TYPE1)*(TYPE1&lt;&gt;"")+('Dvd Calendar'!$M$1297=TYPE2)*(TYPE2&lt;&gt;"")+('Dvd Calendar'!$M$1297=TYPE3)*(TYPE3&lt;&gt;"")+('Dvd Calendar'!$M$1297=TYPE4)*(TYPE4&lt;&gt;"")+('Dvd Calendar'!$M$1297=SPECIAL_LBL)*(INC_SPECIALS="Y"))=0,"",'Dvd Calendar'!$M$1295)))</f>
        <v/>
      </c>
      <c r="L132" s="110">
        <f>IF(EN132="","",IF(ISNUMBER('Dvd Calendar'!$N$1295)=FALSE,"",IF((('Dvd Calendar'!$N$1297=TYPE1)*(TYPE1&lt;&gt;"")+('Dvd Calendar'!$N$1297=TYPE2)*(TYPE2&lt;&gt;"")+('Dvd Calendar'!$N$1297=TYPE3)*(TYPE3&lt;&gt;"")+('Dvd Calendar'!$N$1297=TYPE4)*(TYPE4&lt;&gt;"")+('Dvd Calendar'!$N$1297=SPECIAL_LBL)*(INC_SPECIALS="Y"))=0,"",'Dvd Calendar'!$N$1295)))</f>
        <v/>
      </c>
      <c r="M132" s="110">
        <f>IF(EO132="","",IF(ISNUMBER('Dvd Calendar'!$O$1295)=FALSE,"",IF((('Dvd Calendar'!$O$1297=TYPE1)*(TYPE1&lt;&gt;"")+('Dvd Calendar'!$O$1297=TYPE2)*(TYPE2&lt;&gt;"")+('Dvd Calendar'!$O$1297=TYPE3)*(TYPE3&lt;&gt;"")+('Dvd Calendar'!$O$1297=TYPE4)*(TYPE4&lt;&gt;"")+('Dvd Calendar'!$O$1297=SPECIAL_LBL)*(INC_SPECIALS="Y"))=0,"",'Dvd Calendar'!$O$1295)))</f>
        <v/>
      </c>
      <c r="N132" s="110">
        <f>IF(EP132="","",IF(ISNUMBER('Dvd Calendar'!$P$1295)=FALSE,"",IF((('Dvd Calendar'!$P$1297=TYPE1)*(TYPE1&lt;&gt;"")+('Dvd Calendar'!$P$1297=TYPE2)*(TYPE2&lt;&gt;"")+('Dvd Calendar'!$P$1297=TYPE3)*(TYPE3&lt;&gt;"")+('Dvd Calendar'!$P$1297=TYPE4)*(TYPE4&lt;&gt;"")+('Dvd Calendar'!$P$1297=SPECIAL_LBL)*(INC_SPECIALS="Y"))=0,"",'Dvd Calendar'!$P$1295)))</f>
        <v/>
      </c>
      <c r="O132" s="110">
        <f>IF(EQ132="","",IF(ISNUMBER('Dvd Calendar'!$Q$1295)=FALSE,"",IF((('Dvd Calendar'!$Q$1297=TYPE1)*(TYPE1&lt;&gt;"")+('Dvd Calendar'!$Q$1297=TYPE2)*(TYPE2&lt;&gt;"")+('Dvd Calendar'!$Q$1297=TYPE3)*(TYPE3&lt;&gt;"")+('Dvd Calendar'!$Q$1297=TYPE4)*(TYPE4&lt;&gt;"")+('Dvd Calendar'!$Q$1297=SPECIAL_LBL)*(INC_SPECIALS="Y"))=0,"",'Dvd Calendar'!$Q$1295)))</f>
        <v/>
      </c>
      <c r="P132" s="110">
        <f>IF(ER132="","",IF(ISNUMBER('Dvd Calendar'!$R$1295)=FALSE,"",IF((('Dvd Calendar'!$R$1297=TYPE1)*(TYPE1&lt;&gt;"")+('Dvd Calendar'!$R$1297=TYPE2)*(TYPE2&lt;&gt;"")+('Dvd Calendar'!$R$1297=TYPE3)*(TYPE3&lt;&gt;"")+('Dvd Calendar'!$R$1297=TYPE4)*(TYPE4&lt;&gt;"")+('Dvd Calendar'!$R$1297=SPECIAL_LBL)*(INC_SPECIALS="Y"))=0,"",'Dvd Calendar'!$R$1295)))</f>
        <v/>
      </c>
      <c r="Q132" s="110">
        <f>IF(ES132="","",IF(ISNUMBER('Dvd Calendar'!$S$1295)=FALSE,"",IF((('Dvd Calendar'!$S$1297=TYPE1)*(TYPE1&lt;&gt;"")+('Dvd Calendar'!$S$1297=TYPE2)*(TYPE2&lt;&gt;"")+('Dvd Calendar'!$S$1297=TYPE3)*(TYPE3&lt;&gt;"")+('Dvd Calendar'!$S$1297=TYPE4)*(TYPE4&lt;&gt;"")+('Dvd Calendar'!$S$1297=SPECIAL_LBL)*(INC_SPECIALS="Y"))=0,"",'Dvd Calendar'!$S$1295)))</f>
        <v/>
      </c>
      <c r="R132" s="110">
        <f>IF(ET132="","",IF(ISNUMBER('Dvd Calendar'!$T$1295)=FALSE,"",IF((('Dvd Calendar'!$T$1297=TYPE1)*(TYPE1&lt;&gt;"")+('Dvd Calendar'!$T$1297=TYPE2)*(TYPE2&lt;&gt;"")+('Dvd Calendar'!$T$1297=TYPE3)*(TYPE3&lt;&gt;"")+('Dvd Calendar'!$T$1297=TYPE4)*(TYPE4&lt;&gt;"")+('Dvd Calendar'!$T$1297=SPECIAL_LBL)*(INC_SPECIALS="Y"))=0,"",'Dvd Calendar'!$T$1295)))</f>
        <v/>
      </c>
      <c r="S132" s="110">
        <f>IF(EU132="","",IF(ISNUMBER('Dvd Calendar'!$U$1295)=FALSE,"",IF((('Dvd Calendar'!$U$1297=TYPE1)*(TYPE1&lt;&gt;"")+('Dvd Calendar'!$U$1297=TYPE2)*(TYPE2&lt;&gt;"")+('Dvd Calendar'!$U$1297=TYPE3)*(TYPE3&lt;&gt;"")+('Dvd Calendar'!$U$1297=TYPE4)*(TYPE4&lt;&gt;"")+('Dvd Calendar'!$U$1297=SPECIAL_LBL)*(INC_SPECIALS="Y"))=0,"",'Dvd Calendar'!$U$1295)))</f>
        <v/>
      </c>
      <c r="T132" s="110">
        <f>IF(EV132="","",IF(ISNUMBER('Dvd Calendar'!$V$1295)=FALSE,"",IF((('Dvd Calendar'!$V$1297=TYPE1)*(TYPE1&lt;&gt;"")+('Dvd Calendar'!$V$1297=TYPE2)*(TYPE2&lt;&gt;"")+('Dvd Calendar'!$V$1297=TYPE3)*(TYPE3&lt;&gt;"")+('Dvd Calendar'!$V$1297=TYPE4)*(TYPE4&lt;&gt;"")+('Dvd Calendar'!$V$1297=SPECIAL_LBL)*(INC_SPECIALS="Y"))=0,"",'Dvd Calendar'!$V$1295)))</f>
        <v/>
      </c>
      <c r="U132" s="110">
        <f>IF(EW132="","",IF(ISNUMBER('Dvd Calendar'!$W$1295)=FALSE,"",IF((('Dvd Calendar'!$W$1297=TYPE1)*(TYPE1&lt;&gt;"")+('Dvd Calendar'!$W$1297=TYPE2)*(TYPE2&lt;&gt;"")+('Dvd Calendar'!$W$1297=TYPE3)*(TYPE3&lt;&gt;"")+('Dvd Calendar'!$W$1297=TYPE4)*(TYPE4&lt;&gt;"")+('Dvd Calendar'!$W$1297=SPECIAL_LBL)*(INC_SPECIALS="Y"))=0,"",'Dvd Calendar'!$W$1295)))</f>
        <v/>
      </c>
      <c r="V132" s="110">
        <f>IF(EX132="","",IF(ISNUMBER('Dvd Calendar'!$X$1295)=FALSE,"",IF((('Dvd Calendar'!$X$1297=TYPE1)*(TYPE1&lt;&gt;"")+('Dvd Calendar'!$X$1297=TYPE2)*(TYPE2&lt;&gt;"")+('Dvd Calendar'!$X$1297=TYPE3)*(TYPE3&lt;&gt;"")+('Dvd Calendar'!$X$1297=TYPE4)*(TYPE4&lt;&gt;"")+('Dvd Calendar'!$X$1297=SPECIAL_LBL)*(INC_SPECIALS="Y"))=0,"",'Dvd Calendar'!$X$1295)))</f>
        <v/>
      </c>
      <c r="W132" s="110">
        <f>IF(EY132="","",IF(ISNUMBER('Dvd Calendar'!$Y$1295)=FALSE,"",IF((('Dvd Calendar'!$Y$1297=TYPE1)*(TYPE1&lt;&gt;"")+('Dvd Calendar'!$Y$1297=TYPE2)*(TYPE2&lt;&gt;"")+('Dvd Calendar'!$Y$1297=TYPE3)*(TYPE3&lt;&gt;"")+('Dvd Calendar'!$Y$1297=TYPE4)*(TYPE4&lt;&gt;"")+('Dvd Calendar'!$Y$1297=SPECIAL_LBL)*(INC_SPECIALS="Y"))=0,"",'Dvd Calendar'!$Y$1295)))</f>
        <v/>
      </c>
      <c r="X132" s="110">
        <f>IF(EZ132="","",IF(ISNUMBER('Dvd Calendar'!$Z$1295)=FALSE,"",IF((('Dvd Calendar'!$Z$1297=TYPE1)*(TYPE1&lt;&gt;"")+('Dvd Calendar'!$Z$1297=TYPE2)*(TYPE2&lt;&gt;"")+('Dvd Calendar'!$Z$1297=TYPE3)*(TYPE3&lt;&gt;"")+('Dvd Calendar'!$Z$1297=TYPE4)*(TYPE4&lt;&gt;"")+('Dvd Calendar'!$Z$1297=SPECIAL_LBL)*(INC_SPECIALS="Y"))=0,"",'Dvd Calendar'!$Z$1295)))</f>
        <v/>
      </c>
      <c r="Y132" s="110">
        <f>IF(FA132="","",IF(ISNUMBER('Dvd Calendar'!$AA$1295)=FALSE,"",IF((('Dvd Calendar'!$AA$1297=TYPE1)*(TYPE1&lt;&gt;"")+('Dvd Calendar'!$AA$1297=TYPE2)*(TYPE2&lt;&gt;"")+('Dvd Calendar'!$AA$1297=TYPE3)*(TYPE3&lt;&gt;"")+('Dvd Calendar'!$AA$1297=TYPE4)*(TYPE4&lt;&gt;"")+('Dvd Calendar'!$AA$1297=SPECIAL_LBL)*(INC_SPECIALS="Y"))=0,"",'Dvd Calendar'!$AA$1295)))</f>
        <v/>
      </c>
      <c r="Z132" s="110">
        <f>IF(FB132="","",IF(ISNUMBER('Dvd Calendar'!$AB$1295)=FALSE,"",IF((('Dvd Calendar'!$AB$1297=TYPE1)*(TYPE1&lt;&gt;"")+('Dvd Calendar'!$AB$1297=TYPE2)*(TYPE2&lt;&gt;"")+('Dvd Calendar'!$AB$1297=TYPE3)*(TYPE3&lt;&gt;"")+('Dvd Calendar'!$AB$1297=TYPE4)*(TYPE4&lt;&gt;"")+('Dvd Calendar'!$AB$1297=SPECIAL_LBL)*(INC_SPECIALS="Y"))=0,"",'Dvd Calendar'!$AB$1295)))</f>
        <v/>
      </c>
      <c r="AA132" s="110">
        <f>IF(FC132="","",IF(ISNUMBER('Dvd Calendar'!$AC$1295)=FALSE,"",IF((('Dvd Calendar'!$AC$1297=TYPE1)*(TYPE1&lt;&gt;"")+('Dvd Calendar'!$AC$1297=TYPE2)*(TYPE2&lt;&gt;"")+('Dvd Calendar'!$AC$1297=TYPE3)*(TYPE3&lt;&gt;"")+('Dvd Calendar'!$AC$1297=TYPE4)*(TYPE4&lt;&gt;"")+('Dvd Calendar'!$AC$1297=SPECIAL_LBL)*(INC_SPECIALS="Y"))=0,"",'Dvd Calendar'!$AC$1295)))</f>
        <v/>
      </c>
      <c r="AB132" s="110">
        <f>IF(FD132="","",IF(ISNUMBER('Dvd Calendar'!$AD$1295)=FALSE,"",IF((('Dvd Calendar'!$AD$1297=TYPE1)*(TYPE1&lt;&gt;"")+('Dvd Calendar'!$AD$1297=TYPE2)*(TYPE2&lt;&gt;"")+('Dvd Calendar'!$AD$1297=TYPE3)*(TYPE3&lt;&gt;"")+('Dvd Calendar'!$AD$1297=TYPE4)*(TYPE4&lt;&gt;"")+('Dvd Calendar'!$AD$1297=SPECIAL_LBL)*(INC_SPECIALS="Y"))=0,"",'Dvd Calendar'!$AD$1295)))</f>
        <v/>
      </c>
      <c r="AC132" s="110">
        <f>IF(FE132="","",IF(ISNUMBER('Dvd Calendar'!$AE$1295)=FALSE,"",IF((('Dvd Calendar'!$AE$1297=TYPE1)*(TYPE1&lt;&gt;"")+('Dvd Calendar'!$AE$1297=TYPE2)*(TYPE2&lt;&gt;"")+('Dvd Calendar'!$AE$1297=TYPE3)*(TYPE3&lt;&gt;"")+('Dvd Calendar'!$AE$1297=TYPE4)*(TYPE4&lt;&gt;"")+('Dvd Calendar'!$AE$1297=SPECIAL_LBL)*(INC_SPECIALS="Y"))=0,"",'Dvd Calendar'!$AE$1295)))</f>
        <v/>
      </c>
      <c r="AD132" s="110">
        <f>IF(FF132="","",IF(ISNUMBER('Dvd Calendar'!$AF$1295)=FALSE,"",IF((('Dvd Calendar'!$AF$1297=TYPE1)*(TYPE1&lt;&gt;"")+('Dvd Calendar'!$AF$1297=TYPE2)*(TYPE2&lt;&gt;"")+('Dvd Calendar'!$AF$1297=TYPE3)*(TYPE3&lt;&gt;"")+('Dvd Calendar'!$AF$1297=TYPE4)*(TYPE4&lt;&gt;"")+('Dvd Calendar'!$AF$1297=SPECIAL_LBL)*(INC_SPECIALS="Y"))=0,"",'Dvd Calendar'!$AF$1295)))</f>
        <v/>
      </c>
      <c r="AE132" s="110">
        <f>IF(FG132="","",IF(ISNUMBER('Dvd Calendar'!$AG$1295)=FALSE,"",IF((('Dvd Calendar'!$AG$1297=TYPE1)*(TYPE1&lt;&gt;"")+('Dvd Calendar'!$AG$1297=TYPE2)*(TYPE2&lt;&gt;"")+('Dvd Calendar'!$AG$1297=TYPE3)*(TYPE3&lt;&gt;"")+('Dvd Calendar'!$AG$1297=TYPE4)*(TYPE4&lt;&gt;"")+('Dvd Calendar'!$AG$1297=SPECIAL_LBL)*(INC_SPECIALS="Y"))=0,"",'Dvd Calendar'!$AG$1295)))</f>
        <v/>
      </c>
      <c r="AF132" s="110">
        <f>IF(FH132="","",IF(ISNUMBER('Dvd Calendar'!$AH$1295)=FALSE,"",IF((('Dvd Calendar'!$AH$1297=TYPE1)*(TYPE1&lt;&gt;"")+('Dvd Calendar'!$AH$1297=TYPE2)*(TYPE2&lt;&gt;"")+('Dvd Calendar'!$AH$1297=TYPE3)*(TYPE3&lt;&gt;"")+('Dvd Calendar'!$AH$1297=TYPE4)*(TYPE4&lt;&gt;"")+('Dvd Calendar'!$AH$1297=SPECIAL_LBL)*(INC_SPECIALS="Y"))=0,"",'Dvd Calendar'!$AH$1295)))</f>
        <v/>
      </c>
      <c r="AG132" s="110">
        <f>IF(FI132="","",IF(ISNUMBER('Dvd Calendar'!$AI$1295)=FALSE,"",IF((('Dvd Calendar'!$AI$1297=TYPE1)*(TYPE1&lt;&gt;"")+('Dvd Calendar'!$AI$1297=TYPE2)*(TYPE2&lt;&gt;"")+('Dvd Calendar'!$AI$1297=TYPE3)*(TYPE3&lt;&gt;"")+('Dvd Calendar'!$AI$1297=TYPE4)*(TYPE4&lt;&gt;"")+('Dvd Calendar'!$AI$1297=SPECIAL_LBL)*(INC_SPECIALS="Y"))=0,"",'Dvd Calendar'!$AI$1295)))</f>
        <v/>
      </c>
      <c r="AH132" s="110">
        <f>IF(FJ132="","",IF(ISNUMBER('Dvd Calendar'!$AJ$1295)=FALSE,"",IF((('Dvd Calendar'!$AJ$1297=TYPE1)*(TYPE1&lt;&gt;"")+('Dvd Calendar'!$AJ$1297=TYPE2)*(TYPE2&lt;&gt;"")+('Dvd Calendar'!$AJ$1297=TYPE3)*(TYPE3&lt;&gt;"")+('Dvd Calendar'!$AJ$1297=TYPE4)*(TYPE4&lt;&gt;"")+('Dvd Calendar'!$AJ$1297=SPECIAL_LBL)*(INC_SPECIALS="Y"))=0,"",'Dvd Calendar'!$AJ$1295)))</f>
        <v/>
      </c>
      <c r="AI132" s="110">
        <f>IF(FK132="","",IF(ISNUMBER('Dvd Calendar'!$AK$1295)=FALSE,"",IF((('Dvd Calendar'!$AK$1297=TYPE1)*(TYPE1&lt;&gt;"")+('Dvd Calendar'!$AK$1297=TYPE2)*(TYPE2&lt;&gt;"")+('Dvd Calendar'!$AK$1297=TYPE3)*(TYPE3&lt;&gt;"")+('Dvd Calendar'!$AK$1297=TYPE4)*(TYPE4&lt;&gt;"")+('Dvd Calendar'!$AK$1297=SPECIAL_LBL)*(INC_SPECIALS="Y"))=0,"",'Dvd Calendar'!$AK$1295)))</f>
        <v/>
      </c>
      <c r="AJ132" s="110">
        <f>IF(FL132="","",IF(ISNUMBER('Dvd Calendar'!$AL$1295)=FALSE,"",IF((('Dvd Calendar'!$AL$1297=TYPE1)*(TYPE1&lt;&gt;"")+('Dvd Calendar'!$AL$1297=TYPE2)*(TYPE2&lt;&gt;"")+('Dvd Calendar'!$AL$1297=TYPE3)*(TYPE3&lt;&gt;"")+('Dvd Calendar'!$AL$1297=TYPE4)*(TYPE4&lt;&gt;"")+('Dvd Calendar'!$AL$1297=SPECIAL_LBL)*(INC_SPECIALS="Y"))=0,"",'Dvd Calendar'!$AL$1295)))</f>
        <v/>
      </c>
      <c r="AK132" s="110">
        <f>IF(FM132="","",IF(ISNUMBER('Dvd Calendar'!$AM$1295)=FALSE,"",IF((('Dvd Calendar'!$AM$1297=TYPE1)*(TYPE1&lt;&gt;"")+('Dvd Calendar'!$AM$1297=TYPE2)*(TYPE2&lt;&gt;"")+('Dvd Calendar'!$AM$1297=TYPE3)*(TYPE3&lt;&gt;"")+('Dvd Calendar'!$AM$1297=TYPE4)*(TYPE4&lt;&gt;"")+('Dvd Calendar'!$AM$1297=SPECIAL_LBL)*(INC_SPECIALS="Y"))=0,"",'Dvd Calendar'!$AM$1295)))</f>
        <v/>
      </c>
      <c r="AL132" s="110">
        <f>IF(FN132="","",IF(ISNUMBER('Dvd Calendar'!$AN$1295)=FALSE,"",IF((('Dvd Calendar'!$AN$1297=TYPE1)*(TYPE1&lt;&gt;"")+('Dvd Calendar'!$AN$1297=TYPE2)*(TYPE2&lt;&gt;"")+('Dvd Calendar'!$AN$1297=TYPE3)*(TYPE3&lt;&gt;"")+('Dvd Calendar'!$AN$1297=TYPE4)*(TYPE4&lt;&gt;"")+('Dvd Calendar'!$AN$1297=SPECIAL_LBL)*(INC_SPECIALS="Y"))=0,"",'Dvd Calendar'!$AN$1295)))</f>
        <v/>
      </c>
      <c r="AM132" s="110">
        <f>IF(FO132="","",IF(ISNUMBER('Dvd Calendar'!$AO$1295)=FALSE,"",IF((('Dvd Calendar'!$AO$1297=TYPE1)*(TYPE1&lt;&gt;"")+('Dvd Calendar'!$AO$1297=TYPE2)*(TYPE2&lt;&gt;"")+('Dvd Calendar'!$AO$1297=TYPE3)*(TYPE3&lt;&gt;"")+('Dvd Calendar'!$AO$1297=TYPE4)*(TYPE4&lt;&gt;"")+('Dvd Calendar'!$AO$1297=SPECIAL_LBL)*(INC_SPECIALS="Y"))=0,"",'Dvd Calendar'!$AO$1295)))</f>
        <v/>
      </c>
      <c r="AN132" s="110">
        <f>IF(FP132="","",IF(ISNUMBER('Dvd Calendar'!$AP$1295)=FALSE,"",IF((('Dvd Calendar'!$AP$1297=TYPE1)*(TYPE1&lt;&gt;"")+('Dvd Calendar'!$AP$1297=TYPE2)*(TYPE2&lt;&gt;"")+('Dvd Calendar'!$AP$1297=TYPE3)*(TYPE3&lt;&gt;"")+('Dvd Calendar'!$AP$1297=TYPE4)*(TYPE4&lt;&gt;"")+('Dvd Calendar'!$AP$1297=SPECIAL_LBL)*(INC_SPECIALS="Y"))=0,"",'Dvd Calendar'!$AP$1295)))</f>
        <v/>
      </c>
      <c r="AO132" s="110">
        <f>IF(FQ132="","",IF(ISNUMBER('Dvd Calendar'!$AQ$1295)=FALSE,"",IF((('Dvd Calendar'!$AQ$1297=TYPE1)*(TYPE1&lt;&gt;"")+('Dvd Calendar'!$AQ$1297=TYPE2)*(TYPE2&lt;&gt;"")+('Dvd Calendar'!$AQ$1297=TYPE3)*(TYPE3&lt;&gt;"")+('Dvd Calendar'!$AQ$1297=TYPE4)*(TYPE4&lt;&gt;"")+('Dvd Calendar'!$AQ$1297=SPECIAL_LBL)*(INC_SPECIALS="Y"))=0,"",'Dvd Calendar'!$AQ$1295)))</f>
        <v/>
      </c>
      <c r="AP132" s="110">
        <f>IF(FR132="","",IF(ISNUMBER('Dvd Calendar'!$AR$1295)=FALSE,"",IF((('Dvd Calendar'!$AR$1297=TYPE1)*(TYPE1&lt;&gt;"")+('Dvd Calendar'!$AR$1297=TYPE2)*(TYPE2&lt;&gt;"")+('Dvd Calendar'!$AR$1297=TYPE3)*(TYPE3&lt;&gt;"")+('Dvd Calendar'!$AR$1297=TYPE4)*(TYPE4&lt;&gt;"")+('Dvd Calendar'!$AR$1297=SPECIAL_LBL)*(INC_SPECIALS="Y"))=0,"",'Dvd Calendar'!$AR$1295)))</f>
        <v/>
      </c>
      <c r="AQ132" s="110">
        <f>IF(FS132="","",IF(ISNUMBER('Dvd Calendar'!$E$1300)=FALSE,"",'Dvd Calendar'!$E$1300))</f>
        <v/>
      </c>
      <c r="AR132" s="110">
        <f>IF(FT132="","",IF(ISNUMBER('Dvd Calendar'!$F$1300)=FALSE,"",'Dvd Calendar'!$F$1300))</f>
        <v/>
      </c>
      <c r="AS132" s="110">
        <f>IF(FU132="","",IF(ISNUMBER('Dvd Calendar'!$G$1300)=FALSE,"",'Dvd Calendar'!$G$1300))</f>
        <v/>
      </c>
      <c r="AT132" s="110">
        <f>IF(FV132="","",IF(ISNUMBER('Dvd Calendar'!$H$1300)=FALSE,"",'Dvd Calendar'!$H$1300))</f>
        <v/>
      </c>
      <c r="AU132" s="110">
        <f>IF(FW132="","",IF(ISNUMBER('Dvd Calendar'!$I$1300)=FALSE,"",'Dvd Calendar'!$I$1300))</f>
        <v/>
      </c>
      <c r="AV132" s="110">
        <f>IF(FX132="","",IF(ISNUMBER('Dvd Calendar'!$J$1300)=FALSE,"",'Dvd Calendar'!$J$1300))</f>
        <v/>
      </c>
      <c r="AW132" s="110">
        <f>IF(FY132="","",IF(ISNUMBER('Dvd Calendar'!$K$1300)=FALSE,"",'Dvd Calendar'!$K$1300))</f>
        <v/>
      </c>
      <c r="AX132" s="110">
        <f>IF(FZ132="","",IF(ISNUMBER('Dvd Calendar'!$L$1300)=FALSE,"",'Dvd Calendar'!$L$1300))</f>
        <v/>
      </c>
      <c r="AY132" s="110">
        <f>IF(GA132="","",IF(ISNUMBER('Dvd Calendar'!$M$1300)=FALSE,"",'Dvd Calendar'!$M$1300))</f>
        <v/>
      </c>
      <c r="AZ132" s="110">
        <f>IF(GB132="","",IF(ISNUMBER('Dvd Calendar'!$N$1300)=FALSE,"",'Dvd Calendar'!$N$1300))</f>
        <v/>
      </c>
      <c r="BA132" s="110">
        <f>IF(GC132="","",IF(ISNUMBER('Dvd Calendar'!$O$1300)=FALSE,"",'Dvd Calendar'!$O$1300))</f>
        <v/>
      </c>
      <c r="BB132" s="110">
        <f>IF(GD132="","",IF(ISNUMBER('Dvd Calendar'!$P$1300)=FALSE,"",'Dvd Calendar'!$P$1300))</f>
        <v/>
      </c>
      <c r="BC132" s="110">
        <f>IF(GE132="","",IF(ISNUMBER('Dvd Calendar'!$Q$1300)=FALSE,"",'Dvd Calendar'!$Q$1300))</f>
        <v/>
      </c>
      <c r="BD132" s="110">
        <f>IF(GF132="","",IF(ISNUMBER('Dvd Calendar'!$R$1300)=FALSE,"",'Dvd Calendar'!$R$1300))</f>
        <v/>
      </c>
      <c r="BE132" s="110">
        <f>IF(GG132="","",IF(ISNUMBER('Dvd Calendar'!$S$1300)=FALSE,"",'Dvd Calendar'!$S$1300))</f>
        <v/>
      </c>
      <c r="BF132" s="110">
        <f>IF(GH132="","",IF(ISNUMBER('Dvd Calendar'!$T$1300)=FALSE,"",'Dvd Calendar'!$T$1300))</f>
        <v/>
      </c>
      <c r="BG132" s="110">
        <f>IF(GI132="","",IF(ISNUMBER('Dvd Calendar'!$U$1300)=FALSE,"",'Dvd Calendar'!$U$1300))</f>
        <v/>
      </c>
      <c r="BH132" s="110">
        <f>IF(GJ132="","",IF(ISNUMBER('Dvd Calendar'!$V$1300)=FALSE,"",'Dvd Calendar'!$V$1300))</f>
        <v/>
      </c>
      <c r="BI132" s="110">
        <f>IF(GK132="","",IF(ISNUMBER('Dvd Calendar'!$W$1300)=FALSE,"",'Dvd Calendar'!$W$1300))</f>
        <v/>
      </c>
      <c r="BJ132" s="110">
        <f>IF(GL132="","",IF(ISNUMBER('Dvd Calendar'!$X$1300)=FALSE,"",'Dvd Calendar'!$X$1300))</f>
        <v/>
      </c>
      <c r="BK132" s="110">
        <f>IF(GM132="","",IF(ISNUMBER('Dvd Calendar'!$Y$1300)=FALSE,"",'Dvd Calendar'!$Y$1300))</f>
        <v/>
      </c>
      <c r="BL132" s="110">
        <f>IF(GN132="","",IF(ISNUMBER('Dvd Calendar'!$Z$1300)=FALSE,"",'Dvd Calendar'!$Z$1300))</f>
        <v/>
      </c>
      <c r="BM132" s="110">
        <f>IF(GO132="","",IF(ISNUMBER('Dvd Calendar'!$AA$1300)=FALSE,"",'Dvd Calendar'!$AA$1300))</f>
        <v/>
      </c>
      <c r="BN132" s="110">
        <f>IF(GP132="","",IF(ISNUMBER('Dvd Calendar'!$AB$1300)=FALSE,"",'Dvd Calendar'!$AB$1300))</f>
        <v/>
      </c>
      <c r="BO132" s="110">
        <f>IF(GQ132="","",IF(ISNUMBER('Dvd Calendar'!$AC$1300)=FALSE,"",'Dvd Calendar'!$AC$1300))</f>
        <v/>
      </c>
      <c r="BQ132" s="110">
        <f>IF(C132="","",IFERROR(C132*HSTECH!$B$23*HSTECH!$G$23/HSTECH!$B$3,""))</f>
        <v/>
      </c>
      <c r="BR132" s="110">
        <f>IF(D132="","",IFERROR(D132*HSTECH!$B$23*HSTECH!$G$23/HSTECH!$B$3,""))</f>
        <v/>
      </c>
      <c r="BS132" s="110">
        <f>IF(E132="","",IFERROR(E132*HSTECH!$B$23*HSTECH!$G$23/HSTECH!$B$3,""))</f>
        <v/>
      </c>
      <c r="BT132" s="110">
        <f>IF(F132="","",IFERROR(F132*HSTECH!$B$23*HSTECH!$G$23/HSTECH!$B$3,""))</f>
        <v/>
      </c>
      <c r="BU132" s="110">
        <f>IF(G132="","",IFERROR(G132*HSTECH!$B$23*HSTECH!$G$23/HSTECH!$B$3,""))</f>
        <v/>
      </c>
      <c r="BV132" s="110">
        <f>IF(H132="","",IFERROR(H132*HSTECH!$B$23*HSTECH!$G$23/HSTECH!$B$3,""))</f>
        <v/>
      </c>
      <c r="BW132" s="110">
        <f>IF(I132="","",IFERROR(I132*HSTECH!$B$23*HSTECH!$G$23/HSTECH!$B$3,""))</f>
        <v/>
      </c>
      <c r="BX132" s="110">
        <f>IF(J132="","",IFERROR(J132*HSTECH!$B$23*HSTECH!$G$23/HSTECH!$B$3,""))</f>
        <v/>
      </c>
      <c r="BY132" s="110">
        <f>IF(K132="","",IFERROR(K132*HSTECH!$B$23*HSTECH!$G$23/HSTECH!$B$3,""))</f>
        <v/>
      </c>
      <c r="BZ132" s="110">
        <f>IF(L132="","",IFERROR(L132*HSTECH!$B$23*HSTECH!$G$23/HSTECH!$B$3,""))</f>
        <v/>
      </c>
      <c r="CA132" s="110">
        <f>IF(M132="","",IFERROR(M132*HSTECH!$B$23*HSTECH!$G$23/HSTECH!$B$3,""))</f>
        <v/>
      </c>
      <c r="CB132" s="110">
        <f>IF(N132="","",IFERROR(N132*HSTECH!$B$23*HSTECH!$G$23/HSTECH!$B$3,""))</f>
        <v/>
      </c>
      <c r="CC132" s="110">
        <f>IF(O132="","",IFERROR(O132*HSTECH!$B$23*HSTECH!$G$23/HSTECH!$B$3,""))</f>
        <v/>
      </c>
      <c r="CD132" s="110">
        <f>IF(P132="","",IFERROR(P132*HSTECH!$B$23*HSTECH!$G$23/HSTECH!$B$3,""))</f>
        <v/>
      </c>
      <c r="CE132" s="110">
        <f>IF(Q132="","",IFERROR(Q132*HSTECH!$B$23*HSTECH!$G$23/HSTECH!$B$3,""))</f>
        <v/>
      </c>
      <c r="CF132" s="110">
        <f>IF(R132="","",IFERROR(R132*HSTECH!$B$23*HSTECH!$G$23/HSTECH!$B$3,""))</f>
        <v/>
      </c>
      <c r="CG132" s="110">
        <f>IF(S132="","",IFERROR(S132*HSTECH!$B$23*HSTECH!$G$23/HSTECH!$B$3,""))</f>
        <v/>
      </c>
      <c r="CH132" s="110">
        <f>IF(T132="","",IFERROR(T132*HSTECH!$B$23*HSTECH!$G$23/HSTECH!$B$3,""))</f>
        <v/>
      </c>
      <c r="CI132" s="110">
        <f>IF(U132="","",IFERROR(U132*HSTECH!$B$23*HSTECH!$G$23/HSTECH!$B$3,""))</f>
        <v/>
      </c>
      <c r="CJ132" s="110">
        <f>IF(V132="","",IFERROR(V132*HSTECH!$B$23*HSTECH!$G$23/HSTECH!$B$3,""))</f>
        <v/>
      </c>
      <c r="CK132" s="110">
        <f>IF(W132="","",IFERROR(W132*HSTECH!$B$23*HSTECH!$G$23/HSTECH!$B$3,""))</f>
        <v/>
      </c>
      <c r="CL132" s="110">
        <f>IF(X132="","",IFERROR(X132*HSTECH!$B$23*HSTECH!$G$23/HSTECH!$B$3,""))</f>
        <v/>
      </c>
      <c r="CM132" s="110">
        <f>IF(Y132="","",IFERROR(Y132*HSTECH!$B$23*HSTECH!$G$23/HSTECH!$B$3,""))</f>
        <v/>
      </c>
      <c r="CN132" s="110">
        <f>IF(Z132="","",IFERROR(Z132*HSTECH!$B$23*HSTECH!$G$23/HSTECH!$B$3,""))</f>
        <v/>
      </c>
      <c r="CO132" s="110">
        <f>IF(AA132="","",IFERROR(AA132*HSTECH!$B$23*HSTECH!$G$23/HSTECH!$B$3,""))</f>
        <v/>
      </c>
      <c r="CP132" s="110">
        <f>IF(AB132="","",IFERROR(AB132*HSTECH!$B$23*HSTECH!$G$23/HSTECH!$B$3,""))</f>
        <v/>
      </c>
      <c r="CQ132" s="110">
        <f>IF(AC132="","",IFERROR(AC132*HSTECH!$B$23*HSTECH!$G$23/HSTECH!$B$3,""))</f>
        <v/>
      </c>
      <c r="CR132" s="110">
        <f>IF(AD132="","",IFERROR(AD132*HSTECH!$B$23*HSTECH!$G$23/HSTECH!$B$3,""))</f>
        <v/>
      </c>
      <c r="CS132" s="110">
        <f>IF(AE132="","",IFERROR(AE132*HSTECH!$B$23*HSTECH!$G$23/HSTECH!$B$3,""))</f>
        <v/>
      </c>
      <c r="CT132" s="110">
        <f>IF(AF132="","",IFERROR(AF132*HSTECH!$B$23*HSTECH!$G$23/HSTECH!$B$3,""))</f>
        <v/>
      </c>
      <c r="CU132" s="110">
        <f>IF(AG132="","",IFERROR(AG132*HSTECH!$B$23*HSTECH!$G$23/HSTECH!$B$3,""))</f>
        <v/>
      </c>
      <c r="CV132" s="110">
        <f>IF(AH132="","",IFERROR(AH132*HSTECH!$B$23*HSTECH!$G$23/HSTECH!$B$3,""))</f>
        <v/>
      </c>
      <c r="CW132" s="110">
        <f>IF(AI132="","",IFERROR(AI132*HSTECH!$B$23*HSTECH!$G$23/HSTECH!$B$3,""))</f>
        <v/>
      </c>
      <c r="CX132" s="110">
        <f>IF(AJ132="","",IFERROR(AJ132*HSTECH!$B$23*HSTECH!$G$23/HSTECH!$B$3,""))</f>
        <v/>
      </c>
      <c r="CY132" s="110">
        <f>IF(AK132="","",IFERROR(AK132*HSTECH!$B$23*HSTECH!$G$23/HSTECH!$B$3,""))</f>
        <v/>
      </c>
      <c r="CZ132" s="110">
        <f>IF(AL132="","",IFERROR(AL132*HSTECH!$B$23*HSTECH!$G$23/HSTECH!$B$3,""))</f>
        <v/>
      </c>
      <c r="DA132" s="110">
        <f>IF(AM132="","",IFERROR(AM132*HSTECH!$B$23*HSTECH!$G$23/HSTECH!$B$3,""))</f>
        <v/>
      </c>
      <c r="DB132" s="110">
        <f>IF(AN132="","",IFERROR(AN132*HSTECH!$B$23*HSTECH!$G$23/HSTECH!$B$3,""))</f>
        <v/>
      </c>
      <c r="DC132" s="110">
        <f>IF(AO132="","",IFERROR(AO132*HSTECH!$B$23*HSTECH!$G$23/HSTECH!$B$3,""))</f>
        <v/>
      </c>
      <c r="DD132" s="110">
        <f>IF(AP132="","",IFERROR(AP132*HSTECH!$B$23*HSTECH!$G$23/HSTECH!$B$3,""))</f>
        <v/>
      </c>
      <c r="DE132" s="110">
        <f>IF(AQ132="","",IFERROR(AQ132*HSTECH!$B$23*HSTECH!$G$23/HSTECH!$B$3,""))</f>
        <v/>
      </c>
      <c r="DF132" s="110">
        <f>IF(AR132="","",IFERROR(AR132*HSTECH!$B$23*HSTECH!$G$23/HSTECH!$B$3,""))</f>
        <v/>
      </c>
      <c r="DG132" s="110">
        <f>IF(AS132="","",IFERROR(AS132*HSTECH!$B$23*HSTECH!$G$23/HSTECH!$B$3,""))</f>
        <v/>
      </c>
      <c r="DH132" s="110">
        <f>IF(AT132="","",IFERROR(AT132*HSTECH!$B$23*HSTECH!$G$23/HSTECH!$B$3,""))</f>
        <v/>
      </c>
      <c r="DI132" s="110">
        <f>IF(AU132="","",IFERROR(AU132*HSTECH!$B$23*HSTECH!$G$23/HSTECH!$B$3,""))</f>
        <v/>
      </c>
      <c r="DJ132" s="110">
        <f>IF(AV132="","",IFERROR(AV132*HSTECH!$B$23*HSTECH!$G$23/HSTECH!$B$3,""))</f>
        <v/>
      </c>
      <c r="DK132" s="110">
        <f>IF(AW132="","",IFERROR(AW132*HSTECH!$B$23*HSTECH!$G$23/HSTECH!$B$3,""))</f>
        <v/>
      </c>
      <c r="DL132" s="110">
        <f>IF(AX132="","",IFERROR(AX132*HSTECH!$B$23*HSTECH!$G$23/HSTECH!$B$3,""))</f>
        <v/>
      </c>
      <c r="DM132" s="110">
        <f>IF(AY132="","",IFERROR(AY132*HSTECH!$B$23*HSTECH!$G$23/HSTECH!$B$3,""))</f>
        <v/>
      </c>
      <c r="DN132" s="110">
        <f>IF(AZ132="","",IFERROR(AZ132*HSTECH!$B$23*HSTECH!$G$23/HSTECH!$B$3,""))</f>
        <v/>
      </c>
      <c r="DO132" s="110">
        <f>IF(BA132="","",IFERROR(BA132*HSTECH!$B$23*HSTECH!$G$23/HSTECH!$B$3,""))</f>
        <v/>
      </c>
      <c r="DP132" s="110">
        <f>IF(BB132="","",IFERROR(BB132*HSTECH!$B$23*HSTECH!$G$23/HSTECH!$B$3,""))</f>
        <v/>
      </c>
      <c r="DQ132" s="110">
        <f>IF(BC132="","",IFERROR(BC132*HSTECH!$B$23*HSTECH!$G$23/HSTECH!$B$3,""))</f>
        <v/>
      </c>
      <c r="DR132" s="110">
        <f>IF(BD132="","",IFERROR(BD132*HSTECH!$B$23*HSTECH!$G$23/HSTECH!$B$3,""))</f>
        <v/>
      </c>
      <c r="DS132" s="110">
        <f>IF(BE132="","",IFERROR(BE132*HSTECH!$B$23*HSTECH!$G$23/HSTECH!$B$3,""))</f>
        <v/>
      </c>
      <c r="DT132" s="110">
        <f>IF(BF132="","",IFERROR(BF132*HSTECH!$B$23*HSTECH!$G$23/HSTECH!$B$3,""))</f>
        <v/>
      </c>
      <c r="DU132" s="110">
        <f>IF(BG132="","",IFERROR(BG132*HSTECH!$B$23*HSTECH!$G$23/HSTECH!$B$3,""))</f>
        <v/>
      </c>
      <c r="DV132" s="110">
        <f>IF(BH132="","",IFERROR(BH132*HSTECH!$B$23*HSTECH!$G$23/HSTECH!$B$3,""))</f>
        <v/>
      </c>
      <c r="DW132" s="110">
        <f>IF(BI132="","",IFERROR(BI132*HSTECH!$B$23*HSTECH!$G$23/HSTECH!$B$3,""))</f>
        <v/>
      </c>
      <c r="DX132" s="110">
        <f>IF(BJ132="","",IFERROR(BJ132*HSTECH!$B$23*HSTECH!$G$23/HSTECH!$B$3,""))</f>
        <v/>
      </c>
      <c r="DY132" s="110">
        <f>IF(BK132="","",IFERROR(BK132*HSTECH!$B$23*HSTECH!$G$23/HSTECH!$B$3,""))</f>
        <v/>
      </c>
      <c r="DZ132" s="110">
        <f>IF(BL132="","",IFERROR(BL132*HSTECH!$B$23*HSTECH!$G$23/HSTECH!$B$3,""))</f>
        <v/>
      </c>
      <c r="EA132" s="110">
        <f>IF(BM132="","",IFERROR(BM132*HSTECH!$B$23*HSTECH!$G$23/HSTECH!$B$3,""))</f>
        <v/>
      </c>
      <c r="EB132" s="110">
        <f>IF(BN132="","",IFERROR(BN132*HSTECH!$B$23*HSTECH!$G$23/HSTECH!$B$3,""))</f>
        <v/>
      </c>
      <c r="EC132" s="110">
        <f>IF(BO132="","",IFERROR(BO132*HSTECH!$B$23*HSTECH!$G$23/HSTECH!$B$3,""))</f>
        <v/>
      </c>
      <c r="EE132" s="39">
        <f>IF(N('Dvd Calendar'!$E$1292)=0,"",IF(('Dvd Calendar'!$E$1292&gt;=GRID_FROM)*('Dvd Calendar'!$E$1292&lt;=GRID_TO)*((('Dvd Calendar'!$E$1292&lt;=VAL_DATE)+(COUNTIF('Dvd Calendar'!$E$1299:$AR$1299,'Dvd Calendar'!$E$1292)=0))&gt;0)=0,"",'Dvd Calendar'!$E$1292*1000000000+ISNUMBER('Dvd Calendar'!$E$1295)*100000000+('Dvd Calendar'!$E$1297=SPECIAL_LBL)*10000000+(N('Dvd Calendar'!$E$1291)&gt;0)*(N('Dvd Calendar'!$E$1291)&lt;=VAL_SERIAL)*1000000+17*1000+1))</f>
        <v/>
      </c>
      <c r="EF132" s="39">
        <f>IF(N('Dvd Calendar'!$F$1292)=0,"",IF(('Dvd Calendar'!$F$1292&gt;=GRID_FROM)*('Dvd Calendar'!$F$1292&lt;=GRID_TO)*((('Dvd Calendar'!$F$1292&lt;=VAL_DATE)+(COUNTIF('Dvd Calendar'!$E$1299:$AR$1299,'Dvd Calendar'!$F$1292)=0))&gt;0)=0,"",'Dvd Calendar'!$F$1292*1000000000+ISNUMBER('Dvd Calendar'!$F$1295)*100000000+('Dvd Calendar'!$F$1297=SPECIAL_LBL)*10000000+(N('Dvd Calendar'!$F$1291)&gt;0)*(N('Dvd Calendar'!$F$1291)&lt;=VAL_SERIAL)*1000000+17*1000+2))</f>
        <v/>
      </c>
      <c r="EG132" s="39">
        <f>IF(N('Dvd Calendar'!$G$1292)=0,"",IF(('Dvd Calendar'!$G$1292&gt;=GRID_FROM)*('Dvd Calendar'!$G$1292&lt;=GRID_TO)*((('Dvd Calendar'!$G$1292&lt;=VAL_DATE)+(COUNTIF('Dvd Calendar'!$E$1299:$AR$1299,'Dvd Calendar'!$G$1292)=0))&gt;0)=0,"",'Dvd Calendar'!$G$1292*1000000000+ISNUMBER('Dvd Calendar'!$G$1295)*100000000+('Dvd Calendar'!$G$1297=SPECIAL_LBL)*10000000+(N('Dvd Calendar'!$G$1291)&gt;0)*(N('Dvd Calendar'!$G$1291)&lt;=VAL_SERIAL)*1000000+17*1000+3))</f>
        <v/>
      </c>
      <c r="EH132" s="39">
        <f>IF(N('Dvd Calendar'!$H$1292)=0,"",IF(('Dvd Calendar'!$H$1292&gt;=GRID_FROM)*('Dvd Calendar'!$H$1292&lt;=GRID_TO)*((('Dvd Calendar'!$H$1292&lt;=VAL_DATE)+(COUNTIF('Dvd Calendar'!$E$1299:$AR$1299,'Dvd Calendar'!$H$1292)=0))&gt;0)=0,"",'Dvd Calendar'!$H$1292*1000000000+ISNUMBER('Dvd Calendar'!$H$1295)*100000000+('Dvd Calendar'!$H$1297=SPECIAL_LBL)*10000000+(N('Dvd Calendar'!$H$1291)&gt;0)*(N('Dvd Calendar'!$H$1291)&lt;=VAL_SERIAL)*1000000+17*1000+4))</f>
        <v/>
      </c>
      <c r="EI132" s="39">
        <f>IF(N('Dvd Calendar'!$I$1292)=0,"",IF(('Dvd Calendar'!$I$1292&gt;=GRID_FROM)*('Dvd Calendar'!$I$1292&lt;=GRID_TO)*((('Dvd Calendar'!$I$1292&lt;=VAL_DATE)+(COUNTIF('Dvd Calendar'!$E$1299:$AR$1299,'Dvd Calendar'!$I$1292)=0))&gt;0)=0,"",'Dvd Calendar'!$I$1292*1000000000+ISNUMBER('Dvd Calendar'!$I$1295)*100000000+('Dvd Calendar'!$I$1297=SPECIAL_LBL)*10000000+(N('Dvd Calendar'!$I$1291)&gt;0)*(N('Dvd Calendar'!$I$1291)&lt;=VAL_SERIAL)*1000000+17*1000+5))</f>
        <v/>
      </c>
      <c r="EJ132" s="39">
        <f>IF(N('Dvd Calendar'!$J$1292)=0,"",IF(('Dvd Calendar'!$J$1292&gt;=GRID_FROM)*('Dvd Calendar'!$J$1292&lt;=GRID_TO)*((('Dvd Calendar'!$J$1292&lt;=VAL_DATE)+(COUNTIF('Dvd Calendar'!$E$1299:$AR$1299,'Dvd Calendar'!$J$1292)=0))&gt;0)=0,"",'Dvd Calendar'!$J$1292*1000000000+ISNUMBER('Dvd Calendar'!$J$1295)*100000000+('Dvd Calendar'!$J$1297=SPECIAL_LBL)*10000000+(N('Dvd Calendar'!$J$1291)&gt;0)*(N('Dvd Calendar'!$J$1291)&lt;=VAL_SERIAL)*1000000+17*1000+6))</f>
        <v/>
      </c>
      <c r="EK132" s="39">
        <f>IF(N('Dvd Calendar'!$K$1292)=0,"",IF(('Dvd Calendar'!$K$1292&gt;=GRID_FROM)*('Dvd Calendar'!$K$1292&lt;=GRID_TO)*((('Dvd Calendar'!$K$1292&lt;=VAL_DATE)+(COUNTIF('Dvd Calendar'!$E$1299:$AR$1299,'Dvd Calendar'!$K$1292)=0))&gt;0)=0,"",'Dvd Calendar'!$K$1292*1000000000+ISNUMBER('Dvd Calendar'!$K$1295)*100000000+('Dvd Calendar'!$K$1297=SPECIAL_LBL)*10000000+(N('Dvd Calendar'!$K$1291)&gt;0)*(N('Dvd Calendar'!$K$1291)&lt;=VAL_SERIAL)*1000000+17*1000+7))</f>
        <v/>
      </c>
      <c r="EL132" s="39">
        <f>IF(N('Dvd Calendar'!$L$1292)=0,"",IF(('Dvd Calendar'!$L$1292&gt;=GRID_FROM)*('Dvd Calendar'!$L$1292&lt;=GRID_TO)*((('Dvd Calendar'!$L$1292&lt;=VAL_DATE)+(COUNTIF('Dvd Calendar'!$E$1299:$AR$1299,'Dvd Calendar'!$L$1292)=0))&gt;0)=0,"",'Dvd Calendar'!$L$1292*1000000000+ISNUMBER('Dvd Calendar'!$L$1295)*100000000+('Dvd Calendar'!$L$1297=SPECIAL_LBL)*10000000+(N('Dvd Calendar'!$L$1291)&gt;0)*(N('Dvd Calendar'!$L$1291)&lt;=VAL_SERIAL)*1000000+17*1000+8))</f>
        <v/>
      </c>
      <c r="EM132" s="39">
        <f>IF(N('Dvd Calendar'!$M$1292)=0,"",IF(('Dvd Calendar'!$M$1292&gt;=GRID_FROM)*('Dvd Calendar'!$M$1292&lt;=GRID_TO)*((('Dvd Calendar'!$M$1292&lt;=VAL_DATE)+(COUNTIF('Dvd Calendar'!$E$1299:$AR$1299,'Dvd Calendar'!$M$1292)=0))&gt;0)=0,"",'Dvd Calendar'!$M$1292*1000000000+ISNUMBER('Dvd Calendar'!$M$1295)*100000000+('Dvd Calendar'!$M$1297=SPECIAL_LBL)*10000000+(N('Dvd Calendar'!$M$1291)&gt;0)*(N('Dvd Calendar'!$M$1291)&lt;=VAL_SERIAL)*1000000+17*1000+9))</f>
        <v/>
      </c>
      <c r="EN132" s="39">
        <f>IF(N('Dvd Calendar'!$N$1292)=0,"",IF(('Dvd Calendar'!$N$1292&gt;=GRID_FROM)*('Dvd Calendar'!$N$1292&lt;=GRID_TO)*((('Dvd Calendar'!$N$1292&lt;=VAL_DATE)+(COUNTIF('Dvd Calendar'!$E$1299:$AR$1299,'Dvd Calendar'!$N$1292)=0))&gt;0)=0,"",'Dvd Calendar'!$N$1292*1000000000+ISNUMBER('Dvd Calendar'!$N$1295)*100000000+('Dvd Calendar'!$N$1297=SPECIAL_LBL)*10000000+(N('Dvd Calendar'!$N$1291)&gt;0)*(N('Dvd Calendar'!$N$1291)&lt;=VAL_SERIAL)*1000000+17*1000+10))</f>
        <v/>
      </c>
      <c r="EO132" s="39">
        <f>IF(N('Dvd Calendar'!$O$1292)=0,"",IF(('Dvd Calendar'!$O$1292&gt;=GRID_FROM)*('Dvd Calendar'!$O$1292&lt;=GRID_TO)*((('Dvd Calendar'!$O$1292&lt;=VAL_DATE)+(COUNTIF('Dvd Calendar'!$E$1299:$AR$1299,'Dvd Calendar'!$O$1292)=0))&gt;0)=0,"",'Dvd Calendar'!$O$1292*1000000000+ISNUMBER('Dvd Calendar'!$O$1295)*100000000+('Dvd Calendar'!$O$1297=SPECIAL_LBL)*10000000+(N('Dvd Calendar'!$O$1291)&gt;0)*(N('Dvd Calendar'!$O$1291)&lt;=VAL_SERIAL)*1000000+17*1000+11))</f>
        <v/>
      </c>
      <c r="EP132" s="39">
        <f>IF(N('Dvd Calendar'!$P$1292)=0,"",IF(('Dvd Calendar'!$P$1292&gt;=GRID_FROM)*('Dvd Calendar'!$P$1292&lt;=GRID_TO)*((('Dvd Calendar'!$P$1292&lt;=VAL_DATE)+(COUNTIF('Dvd Calendar'!$E$1299:$AR$1299,'Dvd Calendar'!$P$1292)=0))&gt;0)=0,"",'Dvd Calendar'!$P$1292*1000000000+ISNUMBER('Dvd Calendar'!$P$1295)*100000000+('Dvd Calendar'!$P$1297=SPECIAL_LBL)*10000000+(N('Dvd Calendar'!$P$1291)&gt;0)*(N('Dvd Calendar'!$P$1291)&lt;=VAL_SERIAL)*1000000+17*1000+12))</f>
        <v/>
      </c>
      <c r="EQ132" s="39">
        <f>IF(N('Dvd Calendar'!$Q$1292)=0,"",IF(('Dvd Calendar'!$Q$1292&gt;=GRID_FROM)*('Dvd Calendar'!$Q$1292&lt;=GRID_TO)*((('Dvd Calendar'!$Q$1292&lt;=VAL_DATE)+(COUNTIF('Dvd Calendar'!$E$1299:$AR$1299,'Dvd Calendar'!$Q$1292)=0))&gt;0)=0,"",'Dvd Calendar'!$Q$1292*1000000000+ISNUMBER('Dvd Calendar'!$Q$1295)*100000000+('Dvd Calendar'!$Q$1297=SPECIAL_LBL)*10000000+(N('Dvd Calendar'!$Q$1291)&gt;0)*(N('Dvd Calendar'!$Q$1291)&lt;=VAL_SERIAL)*1000000+17*1000+13))</f>
        <v/>
      </c>
      <c r="ER132" s="39">
        <f>IF(N('Dvd Calendar'!$R$1292)=0,"",IF(('Dvd Calendar'!$R$1292&gt;=GRID_FROM)*('Dvd Calendar'!$R$1292&lt;=GRID_TO)*((('Dvd Calendar'!$R$1292&lt;=VAL_DATE)+(COUNTIF('Dvd Calendar'!$E$1299:$AR$1299,'Dvd Calendar'!$R$1292)=0))&gt;0)=0,"",'Dvd Calendar'!$R$1292*1000000000+ISNUMBER('Dvd Calendar'!$R$1295)*100000000+('Dvd Calendar'!$R$1297=SPECIAL_LBL)*10000000+(N('Dvd Calendar'!$R$1291)&gt;0)*(N('Dvd Calendar'!$R$1291)&lt;=VAL_SERIAL)*1000000+17*1000+14))</f>
        <v/>
      </c>
      <c r="ES132" s="39">
        <f>IF(N('Dvd Calendar'!$S$1292)=0,"",IF(('Dvd Calendar'!$S$1292&gt;=GRID_FROM)*('Dvd Calendar'!$S$1292&lt;=GRID_TO)*((('Dvd Calendar'!$S$1292&lt;=VAL_DATE)+(COUNTIF('Dvd Calendar'!$E$1299:$AR$1299,'Dvd Calendar'!$S$1292)=0))&gt;0)=0,"",'Dvd Calendar'!$S$1292*1000000000+ISNUMBER('Dvd Calendar'!$S$1295)*100000000+('Dvd Calendar'!$S$1297=SPECIAL_LBL)*10000000+(N('Dvd Calendar'!$S$1291)&gt;0)*(N('Dvd Calendar'!$S$1291)&lt;=VAL_SERIAL)*1000000+17*1000+15))</f>
        <v/>
      </c>
      <c r="ET132" s="39">
        <f>IF(N('Dvd Calendar'!$T$1292)=0,"",IF(('Dvd Calendar'!$T$1292&gt;=GRID_FROM)*('Dvd Calendar'!$T$1292&lt;=GRID_TO)*((('Dvd Calendar'!$T$1292&lt;=VAL_DATE)+(COUNTIF('Dvd Calendar'!$E$1299:$AR$1299,'Dvd Calendar'!$T$1292)=0))&gt;0)=0,"",'Dvd Calendar'!$T$1292*1000000000+ISNUMBER('Dvd Calendar'!$T$1295)*100000000+('Dvd Calendar'!$T$1297=SPECIAL_LBL)*10000000+(N('Dvd Calendar'!$T$1291)&gt;0)*(N('Dvd Calendar'!$T$1291)&lt;=VAL_SERIAL)*1000000+17*1000+16))</f>
        <v/>
      </c>
      <c r="EU132" s="39">
        <f>IF(N('Dvd Calendar'!$U$1292)=0,"",IF(('Dvd Calendar'!$U$1292&gt;=GRID_FROM)*('Dvd Calendar'!$U$1292&lt;=GRID_TO)*((('Dvd Calendar'!$U$1292&lt;=VAL_DATE)+(COUNTIF('Dvd Calendar'!$E$1299:$AR$1299,'Dvd Calendar'!$U$1292)=0))&gt;0)=0,"",'Dvd Calendar'!$U$1292*1000000000+ISNUMBER('Dvd Calendar'!$U$1295)*100000000+('Dvd Calendar'!$U$1297=SPECIAL_LBL)*10000000+(N('Dvd Calendar'!$U$1291)&gt;0)*(N('Dvd Calendar'!$U$1291)&lt;=VAL_SERIAL)*1000000+17*1000+17))</f>
        <v/>
      </c>
      <c r="EV132" s="39">
        <f>IF(N('Dvd Calendar'!$V$1292)=0,"",IF(('Dvd Calendar'!$V$1292&gt;=GRID_FROM)*('Dvd Calendar'!$V$1292&lt;=GRID_TO)*((('Dvd Calendar'!$V$1292&lt;=VAL_DATE)+(COUNTIF('Dvd Calendar'!$E$1299:$AR$1299,'Dvd Calendar'!$V$1292)=0))&gt;0)=0,"",'Dvd Calendar'!$V$1292*1000000000+ISNUMBER('Dvd Calendar'!$V$1295)*100000000+('Dvd Calendar'!$V$1297=SPECIAL_LBL)*10000000+(N('Dvd Calendar'!$V$1291)&gt;0)*(N('Dvd Calendar'!$V$1291)&lt;=VAL_SERIAL)*1000000+17*1000+18))</f>
        <v/>
      </c>
      <c r="EW132" s="39">
        <f>IF(N('Dvd Calendar'!$W$1292)=0,"",IF(('Dvd Calendar'!$W$1292&gt;=GRID_FROM)*('Dvd Calendar'!$W$1292&lt;=GRID_TO)*((('Dvd Calendar'!$W$1292&lt;=VAL_DATE)+(COUNTIF('Dvd Calendar'!$E$1299:$AR$1299,'Dvd Calendar'!$W$1292)=0))&gt;0)=0,"",'Dvd Calendar'!$W$1292*1000000000+ISNUMBER('Dvd Calendar'!$W$1295)*100000000+('Dvd Calendar'!$W$1297=SPECIAL_LBL)*10000000+(N('Dvd Calendar'!$W$1291)&gt;0)*(N('Dvd Calendar'!$W$1291)&lt;=VAL_SERIAL)*1000000+17*1000+19))</f>
        <v/>
      </c>
      <c r="EX132" s="39">
        <f>IF(N('Dvd Calendar'!$X$1292)=0,"",IF(('Dvd Calendar'!$X$1292&gt;=GRID_FROM)*('Dvd Calendar'!$X$1292&lt;=GRID_TO)*((('Dvd Calendar'!$X$1292&lt;=VAL_DATE)+(COUNTIF('Dvd Calendar'!$E$1299:$AR$1299,'Dvd Calendar'!$X$1292)=0))&gt;0)=0,"",'Dvd Calendar'!$X$1292*1000000000+ISNUMBER('Dvd Calendar'!$X$1295)*100000000+('Dvd Calendar'!$X$1297=SPECIAL_LBL)*10000000+(N('Dvd Calendar'!$X$1291)&gt;0)*(N('Dvd Calendar'!$X$1291)&lt;=VAL_SERIAL)*1000000+17*1000+20))</f>
        <v/>
      </c>
      <c r="EY132" s="39">
        <f>IF(N('Dvd Calendar'!$Y$1292)=0,"",IF(('Dvd Calendar'!$Y$1292&gt;=GRID_FROM)*('Dvd Calendar'!$Y$1292&lt;=GRID_TO)*((('Dvd Calendar'!$Y$1292&lt;=VAL_DATE)+(COUNTIF('Dvd Calendar'!$E$1299:$AR$1299,'Dvd Calendar'!$Y$1292)=0))&gt;0)=0,"",'Dvd Calendar'!$Y$1292*1000000000+ISNUMBER('Dvd Calendar'!$Y$1295)*100000000+('Dvd Calendar'!$Y$1297=SPECIAL_LBL)*10000000+(N('Dvd Calendar'!$Y$1291)&gt;0)*(N('Dvd Calendar'!$Y$1291)&lt;=VAL_SERIAL)*1000000+17*1000+21))</f>
        <v/>
      </c>
      <c r="EZ132" s="39">
        <f>IF(N('Dvd Calendar'!$Z$1292)=0,"",IF(('Dvd Calendar'!$Z$1292&gt;=GRID_FROM)*('Dvd Calendar'!$Z$1292&lt;=GRID_TO)*((('Dvd Calendar'!$Z$1292&lt;=VAL_DATE)+(COUNTIF('Dvd Calendar'!$E$1299:$AR$1299,'Dvd Calendar'!$Z$1292)=0))&gt;0)=0,"",'Dvd Calendar'!$Z$1292*1000000000+ISNUMBER('Dvd Calendar'!$Z$1295)*100000000+('Dvd Calendar'!$Z$1297=SPECIAL_LBL)*10000000+(N('Dvd Calendar'!$Z$1291)&gt;0)*(N('Dvd Calendar'!$Z$1291)&lt;=VAL_SERIAL)*1000000+17*1000+22))</f>
        <v/>
      </c>
      <c r="FA132" s="39">
        <f>IF(N('Dvd Calendar'!$AA$1292)=0,"",IF(('Dvd Calendar'!$AA$1292&gt;=GRID_FROM)*('Dvd Calendar'!$AA$1292&lt;=GRID_TO)*((('Dvd Calendar'!$AA$1292&lt;=VAL_DATE)+(COUNTIF('Dvd Calendar'!$E$1299:$AR$1299,'Dvd Calendar'!$AA$1292)=0))&gt;0)=0,"",'Dvd Calendar'!$AA$1292*1000000000+ISNUMBER('Dvd Calendar'!$AA$1295)*100000000+('Dvd Calendar'!$AA$1297=SPECIAL_LBL)*10000000+(N('Dvd Calendar'!$AA$1291)&gt;0)*(N('Dvd Calendar'!$AA$1291)&lt;=VAL_SERIAL)*1000000+17*1000+23))</f>
        <v/>
      </c>
      <c r="FB132" s="39">
        <f>IF(N('Dvd Calendar'!$AB$1292)=0,"",IF(('Dvd Calendar'!$AB$1292&gt;=GRID_FROM)*('Dvd Calendar'!$AB$1292&lt;=GRID_TO)*((('Dvd Calendar'!$AB$1292&lt;=VAL_DATE)+(COUNTIF('Dvd Calendar'!$E$1299:$AR$1299,'Dvd Calendar'!$AB$1292)=0))&gt;0)=0,"",'Dvd Calendar'!$AB$1292*1000000000+ISNUMBER('Dvd Calendar'!$AB$1295)*100000000+('Dvd Calendar'!$AB$1297=SPECIAL_LBL)*10000000+(N('Dvd Calendar'!$AB$1291)&gt;0)*(N('Dvd Calendar'!$AB$1291)&lt;=VAL_SERIAL)*1000000+17*1000+24))</f>
        <v/>
      </c>
      <c r="FC132" s="39">
        <f>IF(N('Dvd Calendar'!$AC$1292)=0,"",IF(('Dvd Calendar'!$AC$1292&gt;=GRID_FROM)*('Dvd Calendar'!$AC$1292&lt;=GRID_TO)*((('Dvd Calendar'!$AC$1292&lt;=VAL_DATE)+(COUNTIF('Dvd Calendar'!$E$1299:$AR$1299,'Dvd Calendar'!$AC$1292)=0))&gt;0)=0,"",'Dvd Calendar'!$AC$1292*1000000000+ISNUMBER('Dvd Calendar'!$AC$1295)*100000000+('Dvd Calendar'!$AC$1297=SPECIAL_LBL)*10000000+(N('Dvd Calendar'!$AC$1291)&gt;0)*(N('Dvd Calendar'!$AC$1291)&lt;=VAL_SERIAL)*1000000+17*1000+25))</f>
        <v/>
      </c>
      <c r="FD132" s="39">
        <f>IF(N('Dvd Calendar'!$AD$1292)=0,"",IF(('Dvd Calendar'!$AD$1292&gt;=GRID_FROM)*('Dvd Calendar'!$AD$1292&lt;=GRID_TO)*((('Dvd Calendar'!$AD$1292&lt;=VAL_DATE)+(COUNTIF('Dvd Calendar'!$E$1299:$AR$1299,'Dvd Calendar'!$AD$1292)=0))&gt;0)=0,"",'Dvd Calendar'!$AD$1292*1000000000+ISNUMBER('Dvd Calendar'!$AD$1295)*100000000+('Dvd Calendar'!$AD$1297=SPECIAL_LBL)*10000000+(N('Dvd Calendar'!$AD$1291)&gt;0)*(N('Dvd Calendar'!$AD$1291)&lt;=VAL_SERIAL)*1000000+17*1000+26))</f>
        <v/>
      </c>
      <c r="FE132" s="39">
        <f>IF(N('Dvd Calendar'!$AE$1292)=0,"",IF(('Dvd Calendar'!$AE$1292&gt;=GRID_FROM)*('Dvd Calendar'!$AE$1292&lt;=GRID_TO)*((('Dvd Calendar'!$AE$1292&lt;=VAL_DATE)+(COUNTIF('Dvd Calendar'!$E$1299:$AR$1299,'Dvd Calendar'!$AE$1292)=0))&gt;0)=0,"",'Dvd Calendar'!$AE$1292*1000000000+ISNUMBER('Dvd Calendar'!$AE$1295)*100000000+('Dvd Calendar'!$AE$1297=SPECIAL_LBL)*10000000+(N('Dvd Calendar'!$AE$1291)&gt;0)*(N('Dvd Calendar'!$AE$1291)&lt;=VAL_SERIAL)*1000000+17*1000+27))</f>
        <v/>
      </c>
      <c r="FF132" s="39">
        <f>IF(N('Dvd Calendar'!$AF$1292)=0,"",IF(('Dvd Calendar'!$AF$1292&gt;=GRID_FROM)*('Dvd Calendar'!$AF$1292&lt;=GRID_TO)*((('Dvd Calendar'!$AF$1292&lt;=VAL_DATE)+(COUNTIF('Dvd Calendar'!$E$1299:$AR$1299,'Dvd Calendar'!$AF$1292)=0))&gt;0)=0,"",'Dvd Calendar'!$AF$1292*1000000000+ISNUMBER('Dvd Calendar'!$AF$1295)*100000000+('Dvd Calendar'!$AF$1297=SPECIAL_LBL)*10000000+(N('Dvd Calendar'!$AF$1291)&gt;0)*(N('Dvd Calendar'!$AF$1291)&lt;=VAL_SERIAL)*1000000+17*1000+28))</f>
        <v/>
      </c>
      <c r="FG132" s="39">
        <f>IF(N('Dvd Calendar'!$AG$1292)=0,"",IF(('Dvd Calendar'!$AG$1292&gt;=GRID_FROM)*('Dvd Calendar'!$AG$1292&lt;=GRID_TO)*((('Dvd Calendar'!$AG$1292&lt;=VAL_DATE)+(COUNTIF('Dvd Calendar'!$E$1299:$AR$1299,'Dvd Calendar'!$AG$1292)=0))&gt;0)=0,"",'Dvd Calendar'!$AG$1292*1000000000+ISNUMBER('Dvd Calendar'!$AG$1295)*100000000+('Dvd Calendar'!$AG$1297=SPECIAL_LBL)*10000000+(N('Dvd Calendar'!$AG$1291)&gt;0)*(N('Dvd Calendar'!$AG$1291)&lt;=VAL_SERIAL)*1000000+17*1000+29))</f>
        <v/>
      </c>
      <c r="FH132" s="39">
        <f>IF(N('Dvd Calendar'!$AH$1292)=0,"",IF(('Dvd Calendar'!$AH$1292&gt;=GRID_FROM)*('Dvd Calendar'!$AH$1292&lt;=GRID_TO)*((('Dvd Calendar'!$AH$1292&lt;=VAL_DATE)+(COUNTIF('Dvd Calendar'!$E$1299:$AR$1299,'Dvd Calendar'!$AH$1292)=0))&gt;0)=0,"",'Dvd Calendar'!$AH$1292*1000000000+ISNUMBER('Dvd Calendar'!$AH$1295)*100000000+('Dvd Calendar'!$AH$1297=SPECIAL_LBL)*10000000+(N('Dvd Calendar'!$AH$1291)&gt;0)*(N('Dvd Calendar'!$AH$1291)&lt;=VAL_SERIAL)*1000000+17*1000+30))</f>
        <v/>
      </c>
      <c r="FI132" s="39">
        <f>IF(N('Dvd Calendar'!$AI$1292)=0,"",IF(('Dvd Calendar'!$AI$1292&gt;=GRID_FROM)*('Dvd Calendar'!$AI$1292&lt;=GRID_TO)*((('Dvd Calendar'!$AI$1292&lt;=VAL_DATE)+(COUNTIF('Dvd Calendar'!$E$1299:$AR$1299,'Dvd Calendar'!$AI$1292)=0))&gt;0)=0,"",'Dvd Calendar'!$AI$1292*1000000000+ISNUMBER('Dvd Calendar'!$AI$1295)*100000000+('Dvd Calendar'!$AI$1297=SPECIAL_LBL)*10000000+(N('Dvd Calendar'!$AI$1291)&gt;0)*(N('Dvd Calendar'!$AI$1291)&lt;=VAL_SERIAL)*1000000+17*1000+31))</f>
        <v/>
      </c>
      <c r="FJ132" s="39">
        <f>IF(N('Dvd Calendar'!$AJ$1292)=0,"",IF(('Dvd Calendar'!$AJ$1292&gt;=GRID_FROM)*('Dvd Calendar'!$AJ$1292&lt;=GRID_TO)*((('Dvd Calendar'!$AJ$1292&lt;=VAL_DATE)+(COUNTIF('Dvd Calendar'!$E$1299:$AR$1299,'Dvd Calendar'!$AJ$1292)=0))&gt;0)=0,"",'Dvd Calendar'!$AJ$1292*1000000000+ISNUMBER('Dvd Calendar'!$AJ$1295)*100000000+('Dvd Calendar'!$AJ$1297=SPECIAL_LBL)*10000000+(N('Dvd Calendar'!$AJ$1291)&gt;0)*(N('Dvd Calendar'!$AJ$1291)&lt;=VAL_SERIAL)*1000000+17*1000+32))</f>
        <v/>
      </c>
      <c r="FK132" s="39">
        <f>IF(N('Dvd Calendar'!$AK$1292)=0,"",IF(('Dvd Calendar'!$AK$1292&gt;=GRID_FROM)*('Dvd Calendar'!$AK$1292&lt;=GRID_TO)*((('Dvd Calendar'!$AK$1292&lt;=VAL_DATE)+(COUNTIF('Dvd Calendar'!$E$1299:$AR$1299,'Dvd Calendar'!$AK$1292)=0))&gt;0)=0,"",'Dvd Calendar'!$AK$1292*1000000000+ISNUMBER('Dvd Calendar'!$AK$1295)*100000000+('Dvd Calendar'!$AK$1297=SPECIAL_LBL)*10000000+(N('Dvd Calendar'!$AK$1291)&gt;0)*(N('Dvd Calendar'!$AK$1291)&lt;=VAL_SERIAL)*1000000+17*1000+33))</f>
        <v/>
      </c>
      <c r="FL132" s="39">
        <f>IF(N('Dvd Calendar'!$AL$1292)=0,"",IF(('Dvd Calendar'!$AL$1292&gt;=GRID_FROM)*('Dvd Calendar'!$AL$1292&lt;=GRID_TO)*((('Dvd Calendar'!$AL$1292&lt;=VAL_DATE)+(COUNTIF('Dvd Calendar'!$E$1299:$AR$1299,'Dvd Calendar'!$AL$1292)=0))&gt;0)=0,"",'Dvd Calendar'!$AL$1292*1000000000+ISNUMBER('Dvd Calendar'!$AL$1295)*100000000+('Dvd Calendar'!$AL$1297=SPECIAL_LBL)*10000000+(N('Dvd Calendar'!$AL$1291)&gt;0)*(N('Dvd Calendar'!$AL$1291)&lt;=VAL_SERIAL)*1000000+17*1000+34))</f>
        <v/>
      </c>
      <c r="FM132" s="39">
        <f>IF(N('Dvd Calendar'!$AM$1292)=0,"",IF(('Dvd Calendar'!$AM$1292&gt;=GRID_FROM)*('Dvd Calendar'!$AM$1292&lt;=GRID_TO)*((('Dvd Calendar'!$AM$1292&lt;=VAL_DATE)+(COUNTIF('Dvd Calendar'!$E$1299:$AR$1299,'Dvd Calendar'!$AM$1292)=0))&gt;0)=0,"",'Dvd Calendar'!$AM$1292*1000000000+ISNUMBER('Dvd Calendar'!$AM$1295)*100000000+('Dvd Calendar'!$AM$1297=SPECIAL_LBL)*10000000+(N('Dvd Calendar'!$AM$1291)&gt;0)*(N('Dvd Calendar'!$AM$1291)&lt;=VAL_SERIAL)*1000000+17*1000+35))</f>
        <v/>
      </c>
      <c r="FN132" s="39">
        <f>IF(N('Dvd Calendar'!$AN$1292)=0,"",IF(('Dvd Calendar'!$AN$1292&gt;=GRID_FROM)*('Dvd Calendar'!$AN$1292&lt;=GRID_TO)*((('Dvd Calendar'!$AN$1292&lt;=VAL_DATE)+(COUNTIF('Dvd Calendar'!$E$1299:$AR$1299,'Dvd Calendar'!$AN$1292)=0))&gt;0)=0,"",'Dvd Calendar'!$AN$1292*1000000000+ISNUMBER('Dvd Calendar'!$AN$1295)*100000000+('Dvd Calendar'!$AN$1297=SPECIAL_LBL)*10000000+(N('Dvd Calendar'!$AN$1291)&gt;0)*(N('Dvd Calendar'!$AN$1291)&lt;=VAL_SERIAL)*1000000+17*1000+36))</f>
        <v/>
      </c>
      <c r="FO132" s="39">
        <f>IF(N('Dvd Calendar'!$AO$1292)=0,"",IF(('Dvd Calendar'!$AO$1292&gt;=GRID_FROM)*('Dvd Calendar'!$AO$1292&lt;=GRID_TO)*((('Dvd Calendar'!$AO$1292&lt;=VAL_DATE)+(COUNTIF('Dvd Calendar'!$E$1299:$AR$1299,'Dvd Calendar'!$AO$1292)=0))&gt;0)=0,"",'Dvd Calendar'!$AO$1292*1000000000+ISNUMBER('Dvd Calendar'!$AO$1295)*100000000+('Dvd Calendar'!$AO$1297=SPECIAL_LBL)*10000000+(N('Dvd Calendar'!$AO$1291)&gt;0)*(N('Dvd Calendar'!$AO$1291)&lt;=VAL_SERIAL)*1000000+17*1000+37))</f>
        <v/>
      </c>
      <c r="FP132" s="39">
        <f>IF(N('Dvd Calendar'!$AP$1292)=0,"",IF(('Dvd Calendar'!$AP$1292&gt;=GRID_FROM)*('Dvd Calendar'!$AP$1292&lt;=GRID_TO)*((('Dvd Calendar'!$AP$1292&lt;=VAL_DATE)+(COUNTIF('Dvd Calendar'!$E$1299:$AR$1299,'Dvd Calendar'!$AP$1292)=0))&gt;0)=0,"",'Dvd Calendar'!$AP$1292*1000000000+ISNUMBER('Dvd Calendar'!$AP$1295)*100000000+('Dvd Calendar'!$AP$1297=SPECIAL_LBL)*10000000+(N('Dvd Calendar'!$AP$1291)&gt;0)*(N('Dvd Calendar'!$AP$1291)&lt;=VAL_SERIAL)*1000000+17*1000+38))</f>
        <v/>
      </c>
      <c r="FQ132" s="39">
        <f>IF(N('Dvd Calendar'!$AQ$1292)=0,"",IF(('Dvd Calendar'!$AQ$1292&gt;=GRID_FROM)*('Dvd Calendar'!$AQ$1292&lt;=GRID_TO)*((('Dvd Calendar'!$AQ$1292&lt;=VAL_DATE)+(COUNTIF('Dvd Calendar'!$E$1299:$AR$1299,'Dvd Calendar'!$AQ$1292)=0))&gt;0)=0,"",'Dvd Calendar'!$AQ$1292*1000000000+ISNUMBER('Dvd Calendar'!$AQ$1295)*100000000+('Dvd Calendar'!$AQ$1297=SPECIAL_LBL)*10000000+(N('Dvd Calendar'!$AQ$1291)&gt;0)*(N('Dvd Calendar'!$AQ$1291)&lt;=VAL_SERIAL)*1000000+17*1000+39))</f>
        <v/>
      </c>
      <c r="FR132" s="39">
        <f>IF(N('Dvd Calendar'!$AR$1292)=0,"",IF(('Dvd Calendar'!$AR$1292&gt;=GRID_FROM)*('Dvd Calendar'!$AR$1292&lt;=GRID_TO)*((('Dvd Calendar'!$AR$1292&lt;=VAL_DATE)+(COUNTIF('Dvd Calendar'!$E$1299:$AR$1299,'Dvd Calendar'!$AR$1292)=0))&gt;0)=0,"",'Dvd Calendar'!$AR$1292*1000000000+ISNUMBER('Dvd Calendar'!$AR$1295)*100000000+('Dvd Calendar'!$AR$1297=SPECIAL_LBL)*10000000+(N('Dvd Calendar'!$AR$1291)&gt;0)*(N('Dvd Calendar'!$AR$1291)&lt;=VAL_SERIAL)*1000000+17*1000+40))</f>
        <v/>
      </c>
      <c r="FS132" s="39">
        <f>IF(N('Dvd Calendar'!$E$1299)=0,"",IF(('Dvd Calendar'!$E$1299&gt;=GRID_FROM)*('Dvd Calendar'!$E$1299&lt;=GRID_TO)*('Dvd Calendar'!$E$1299&gt;VAL_DATE)=0,"",'Dvd Calendar'!$E$1299*1000000000+ISNUMBER('Dvd Calendar'!$E$1300)*100000000+0*10000000+(N('Dvd Calendar'!$E$1298)&gt;0)*(N('Dvd Calendar'!$E$1298)&lt;=VAL_SERIAL)*1000000+17*1000+41))</f>
        <v/>
      </c>
      <c r="FT132" s="39">
        <f>IF(N('Dvd Calendar'!$F$1299)=0,"",IF(('Dvd Calendar'!$F$1299&gt;=GRID_FROM)*('Dvd Calendar'!$F$1299&lt;=GRID_TO)*('Dvd Calendar'!$F$1299&gt;VAL_DATE)=0,"",'Dvd Calendar'!$F$1299*1000000000+ISNUMBER('Dvd Calendar'!$F$1300)*100000000+0*10000000+(N('Dvd Calendar'!$F$1298)&gt;0)*(N('Dvd Calendar'!$F$1298)&lt;=VAL_SERIAL)*1000000+17*1000+42))</f>
        <v/>
      </c>
      <c r="FU132" s="39">
        <f>IF(N('Dvd Calendar'!$G$1299)=0,"",IF(('Dvd Calendar'!$G$1299&gt;=GRID_FROM)*('Dvd Calendar'!$G$1299&lt;=GRID_TO)*('Dvd Calendar'!$G$1299&gt;VAL_DATE)=0,"",'Dvd Calendar'!$G$1299*1000000000+ISNUMBER('Dvd Calendar'!$G$1300)*100000000+0*10000000+(N('Dvd Calendar'!$G$1298)&gt;0)*(N('Dvd Calendar'!$G$1298)&lt;=VAL_SERIAL)*1000000+17*1000+43))</f>
        <v/>
      </c>
      <c r="FV132" s="39">
        <f>IF(N('Dvd Calendar'!$H$1299)=0,"",IF(('Dvd Calendar'!$H$1299&gt;=GRID_FROM)*('Dvd Calendar'!$H$1299&lt;=GRID_TO)*('Dvd Calendar'!$H$1299&gt;VAL_DATE)=0,"",'Dvd Calendar'!$H$1299*1000000000+ISNUMBER('Dvd Calendar'!$H$1300)*100000000+0*10000000+(N('Dvd Calendar'!$H$1298)&gt;0)*(N('Dvd Calendar'!$H$1298)&lt;=VAL_SERIAL)*1000000+17*1000+44))</f>
        <v/>
      </c>
      <c r="FW132" s="39">
        <f>IF(N('Dvd Calendar'!$I$1299)=0,"",IF(('Dvd Calendar'!$I$1299&gt;=GRID_FROM)*('Dvd Calendar'!$I$1299&lt;=GRID_TO)*('Dvd Calendar'!$I$1299&gt;VAL_DATE)=0,"",'Dvd Calendar'!$I$1299*1000000000+ISNUMBER('Dvd Calendar'!$I$1300)*100000000+0*10000000+(N('Dvd Calendar'!$I$1298)&gt;0)*(N('Dvd Calendar'!$I$1298)&lt;=VAL_SERIAL)*1000000+17*1000+45))</f>
        <v/>
      </c>
      <c r="FX132" s="39">
        <f>IF(N('Dvd Calendar'!$J$1299)=0,"",IF(('Dvd Calendar'!$J$1299&gt;=GRID_FROM)*('Dvd Calendar'!$J$1299&lt;=GRID_TO)*('Dvd Calendar'!$J$1299&gt;VAL_DATE)=0,"",'Dvd Calendar'!$J$1299*1000000000+ISNUMBER('Dvd Calendar'!$J$1300)*100000000+0*10000000+(N('Dvd Calendar'!$J$1298)&gt;0)*(N('Dvd Calendar'!$J$1298)&lt;=VAL_SERIAL)*1000000+17*1000+46))</f>
        <v/>
      </c>
      <c r="FY132" s="39">
        <f>IF(N('Dvd Calendar'!$K$1299)=0,"",IF(('Dvd Calendar'!$K$1299&gt;=GRID_FROM)*('Dvd Calendar'!$K$1299&lt;=GRID_TO)*('Dvd Calendar'!$K$1299&gt;VAL_DATE)=0,"",'Dvd Calendar'!$K$1299*1000000000+ISNUMBER('Dvd Calendar'!$K$1300)*100000000+0*10000000+(N('Dvd Calendar'!$K$1298)&gt;0)*(N('Dvd Calendar'!$K$1298)&lt;=VAL_SERIAL)*1000000+17*1000+47))</f>
        <v/>
      </c>
      <c r="FZ132" s="39">
        <f>IF(N('Dvd Calendar'!$L$1299)=0,"",IF(('Dvd Calendar'!$L$1299&gt;=GRID_FROM)*('Dvd Calendar'!$L$1299&lt;=GRID_TO)*('Dvd Calendar'!$L$1299&gt;VAL_DATE)=0,"",'Dvd Calendar'!$L$1299*1000000000+ISNUMBER('Dvd Calendar'!$L$1300)*100000000+0*10000000+(N('Dvd Calendar'!$L$1298)&gt;0)*(N('Dvd Calendar'!$L$1298)&lt;=VAL_SERIAL)*1000000+17*1000+48))</f>
        <v/>
      </c>
      <c r="GA132" s="39">
        <f>IF(N('Dvd Calendar'!$M$1299)=0,"",IF(('Dvd Calendar'!$M$1299&gt;=GRID_FROM)*('Dvd Calendar'!$M$1299&lt;=GRID_TO)*('Dvd Calendar'!$M$1299&gt;VAL_DATE)=0,"",'Dvd Calendar'!$M$1299*1000000000+ISNUMBER('Dvd Calendar'!$M$1300)*100000000+0*10000000+(N('Dvd Calendar'!$M$1298)&gt;0)*(N('Dvd Calendar'!$M$1298)&lt;=VAL_SERIAL)*1000000+17*1000+49))</f>
        <v/>
      </c>
      <c r="GB132" s="39">
        <f>IF(N('Dvd Calendar'!$N$1299)=0,"",IF(('Dvd Calendar'!$N$1299&gt;=GRID_FROM)*('Dvd Calendar'!$N$1299&lt;=GRID_TO)*('Dvd Calendar'!$N$1299&gt;VAL_DATE)=0,"",'Dvd Calendar'!$N$1299*1000000000+ISNUMBER('Dvd Calendar'!$N$1300)*100000000+0*10000000+(N('Dvd Calendar'!$N$1298)&gt;0)*(N('Dvd Calendar'!$N$1298)&lt;=VAL_SERIAL)*1000000+17*1000+50))</f>
        <v/>
      </c>
      <c r="GC132" s="39">
        <f>IF(N('Dvd Calendar'!$O$1299)=0,"",IF(('Dvd Calendar'!$O$1299&gt;=GRID_FROM)*('Dvd Calendar'!$O$1299&lt;=GRID_TO)*('Dvd Calendar'!$O$1299&gt;VAL_DATE)=0,"",'Dvd Calendar'!$O$1299*1000000000+ISNUMBER('Dvd Calendar'!$O$1300)*100000000+0*10000000+(N('Dvd Calendar'!$O$1298)&gt;0)*(N('Dvd Calendar'!$O$1298)&lt;=VAL_SERIAL)*1000000+17*1000+51))</f>
        <v/>
      </c>
      <c r="GD132" s="39">
        <f>IF(N('Dvd Calendar'!$P$1299)=0,"",IF(('Dvd Calendar'!$P$1299&gt;=GRID_FROM)*('Dvd Calendar'!$P$1299&lt;=GRID_TO)*('Dvd Calendar'!$P$1299&gt;VAL_DATE)=0,"",'Dvd Calendar'!$P$1299*1000000000+ISNUMBER('Dvd Calendar'!$P$1300)*100000000+0*10000000+(N('Dvd Calendar'!$P$1298)&gt;0)*(N('Dvd Calendar'!$P$1298)&lt;=VAL_SERIAL)*1000000+17*1000+52))</f>
        <v/>
      </c>
      <c r="GE132" s="39">
        <f>IF(N('Dvd Calendar'!$Q$1299)=0,"",IF(('Dvd Calendar'!$Q$1299&gt;=GRID_FROM)*('Dvd Calendar'!$Q$1299&lt;=GRID_TO)*('Dvd Calendar'!$Q$1299&gt;VAL_DATE)=0,"",'Dvd Calendar'!$Q$1299*1000000000+ISNUMBER('Dvd Calendar'!$Q$1300)*100000000+0*10000000+(N('Dvd Calendar'!$Q$1298)&gt;0)*(N('Dvd Calendar'!$Q$1298)&lt;=VAL_SERIAL)*1000000+17*1000+53))</f>
        <v/>
      </c>
      <c r="GF132" s="39">
        <f>IF(N('Dvd Calendar'!$R$1299)=0,"",IF(('Dvd Calendar'!$R$1299&gt;=GRID_FROM)*('Dvd Calendar'!$R$1299&lt;=GRID_TO)*('Dvd Calendar'!$R$1299&gt;VAL_DATE)=0,"",'Dvd Calendar'!$R$1299*1000000000+ISNUMBER('Dvd Calendar'!$R$1300)*100000000+0*10000000+(N('Dvd Calendar'!$R$1298)&gt;0)*(N('Dvd Calendar'!$R$1298)&lt;=VAL_SERIAL)*1000000+17*1000+54))</f>
        <v/>
      </c>
      <c r="GG132" s="39">
        <f>IF(N('Dvd Calendar'!$S$1299)=0,"",IF(('Dvd Calendar'!$S$1299&gt;=GRID_FROM)*('Dvd Calendar'!$S$1299&lt;=GRID_TO)*('Dvd Calendar'!$S$1299&gt;VAL_DATE)=0,"",'Dvd Calendar'!$S$1299*1000000000+ISNUMBER('Dvd Calendar'!$S$1300)*100000000+0*10000000+(N('Dvd Calendar'!$S$1298)&gt;0)*(N('Dvd Calendar'!$S$1298)&lt;=VAL_SERIAL)*1000000+17*1000+55))</f>
        <v/>
      </c>
      <c r="GH132" s="39">
        <f>IF(N('Dvd Calendar'!$T$1299)=0,"",IF(('Dvd Calendar'!$T$1299&gt;=GRID_FROM)*('Dvd Calendar'!$T$1299&lt;=GRID_TO)*('Dvd Calendar'!$T$1299&gt;VAL_DATE)=0,"",'Dvd Calendar'!$T$1299*1000000000+ISNUMBER('Dvd Calendar'!$T$1300)*100000000+0*10000000+(N('Dvd Calendar'!$T$1298)&gt;0)*(N('Dvd Calendar'!$T$1298)&lt;=VAL_SERIAL)*1000000+17*1000+56))</f>
        <v/>
      </c>
      <c r="GI132" s="39">
        <f>IF(N('Dvd Calendar'!$U$1299)=0,"",IF(('Dvd Calendar'!$U$1299&gt;=GRID_FROM)*('Dvd Calendar'!$U$1299&lt;=GRID_TO)*('Dvd Calendar'!$U$1299&gt;VAL_DATE)=0,"",'Dvd Calendar'!$U$1299*1000000000+ISNUMBER('Dvd Calendar'!$U$1300)*100000000+0*10000000+(N('Dvd Calendar'!$U$1298)&gt;0)*(N('Dvd Calendar'!$U$1298)&lt;=VAL_SERIAL)*1000000+17*1000+57))</f>
        <v/>
      </c>
      <c r="GJ132" s="39">
        <f>IF(N('Dvd Calendar'!$V$1299)=0,"",IF(('Dvd Calendar'!$V$1299&gt;=GRID_FROM)*('Dvd Calendar'!$V$1299&lt;=GRID_TO)*('Dvd Calendar'!$V$1299&gt;VAL_DATE)=0,"",'Dvd Calendar'!$V$1299*1000000000+ISNUMBER('Dvd Calendar'!$V$1300)*100000000+0*10000000+(N('Dvd Calendar'!$V$1298)&gt;0)*(N('Dvd Calendar'!$V$1298)&lt;=VAL_SERIAL)*1000000+17*1000+58))</f>
        <v/>
      </c>
      <c r="GK132" s="39">
        <f>IF(N('Dvd Calendar'!$W$1299)=0,"",IF(('Dvd Calendar'!$W$1299&gt;=GRID_FROM)*('Dvd Calendar'!$W$1299&lt;=GRID_TO)*('Dvd Calendar'!$W$1299&gt;VAL_DATE)=0,"",'Dvd Calendar'!$W$1299*1000000000+ISNUMBER('Dvd Calendar'!$W$1300)*100000000+0*10000000+(N('Dvd Calendar'!$W$1298)&gt;0)*(N('Dvd Calendar'!$W$1298)&lt;=VAL_SERIAL)*1000000+17*1000+59))</f>
        <v/>
      </c>
      <c r="GL132" s="39">
        <f>IF(N('Dvd Calendar'!$X$1299)=0,"",IF(('Dvd Calendar'!$X$1299&gt;=GRID_FROM)*('Dvd Calendar'!$X$1299&lt;=GRID_TO)*('Dvd Calendar'!$X$1299&gt;VAL_DATE)=0,"",'Dvd Calendar'!$X$1299*1000000000+ISNUMBER('Dvd Calendar'!$X$1300)*100000000+0*10000000+(N('Dvd Calendar'!$X$1298)&gt;0)*(N('Dvd Calendar'!$X$1298)&lt;=VAL_SERIAL)*1000000+17*1000+60))</f>
        <v/>
      </c>
      <c r="GM132" s="39">
        <f>IF(N('Dvd Calendar'!$Y$1299)=0,"",IF(('Dvd Calendar'!$Y$1299&gt;=GRID_FROM)*('Dvd Calendar'!$Y$1299&lt;=GRID_TO)*('Dvd Calendar'!$Y$1299&gt;VAL_DATE)=0,"",'Dvd Calendar'!$Y$1299*1000000000+ISNUMBER('Dvd Calendar'!$Y$1300)*100000000+0*10000000+(N('Dvd Calendar'!$Y$1298)&gt;0)*(N('Dvd Calendar'!$Y$1298)&lt;=VAL_SERIAL)*1000000+17*1000+61))</f>
        <v/>
      </c>
      <c r="GN132" s="39">
        <f>IF(N('Dvd Calendar'!$Z$1299)=0,"",IF(('Dvd Calendar'!$Z$1299&gt;=GRID_FROM)*('Dvd Calendar'!$Z$1299&lt;=GRID_TO)*('Dvd Calendar'!$Z$1299&gt;VAL_DATE)=0,"",'Dvd Calendar'!$Z$1299*1000000000+ISNUMBER('Dvd Calendar'!$Z$1300)*100000000+0*10000000+(N('Dvd Calendar'!$Z$1298)&gt;0)*(N('Dvd Calendar'!$Z$1298)&lt;=VAL_SERIAL)*1000000+17*1000+62))</f>
        <v/>
      </c>
      <c r="GO132" s="39">
        <f>IF(N('Dvd Calendar'!$AA$1299)=0,"",IF(('Dvd Calendar'!$AA$1299&gt;=GRID_FROM)*('Dvd Calendar'!$AA$1299&lt;=GRID_TO)*('Dvd Calendar'!$AA$1299&gt;VAL_DATE)=0,"",'Dvd Calendar'!$AA$1299*1000000000+ISNUMBER('Dvd Calendar'!$AA$1300)*100000000+0*10000000+(N('Dvd Calendar'!$AA$1298)&gt;0)*(N('Dvd Calendar'!$AA$1298)&lt;=VAL_SERIAL)*1000000+17*1000+63))</f>
        <v/>
      </c>
      <c r="GP132" s="39">
        <f>IF(N('Dvd Calendar'!$AB$1299)=0,"",IF(('Dvd Calendar'!$AB$1299&gt;=GRID_FROM)*('Dvd Calendar'!$AB$1299&lt;=GRID_TO)*('Dvd Calendar'!$AB$1299&gt;VAL_DATE)=0,"",'Dvd Calendar'!$AB$1299*1000000000+ISNUMBER('Dvd Calendar'!$AB$1300)*100000000+0*10000000+(N('Dvd Calendar'!$AB$1298)&gt;0)*(N('Dvd Calendar'!$AB$1298)&lt;=VAL_SERIAL)*1000000+17*1000+64))</f>
        <v/>
      </c>
      <c r="GQ132" s="39">
        <f>IF(N('Dvd Calendar'!$AC$1299)=0,"",IF(('Dvd Calendar'!$AC$1299&gt;=GRID_FROM)*('Dvd Calendar'!$AC$1299&lt;=GRID_TO)*('Dvd Calendar'!$AC$1299&gt;VAL_DATE)=0,"",'Dvd Calendar'!$AC$1299*1000000000+ISNUMBER('Dvd Calendar'!$AC$1300)*100000000+0*10000000+(N('Dvd Calendar'!$AC$1298)&gt;0)*(N('Dvd Calendar'!$AC$1298)&lt;=VAL_SERIAL)*1000000+17*1000+65))</f>
        <v/>
      </c>
    </row>
    <row r="133">
      <c r="B133" s="2">
        <f>IF(HSTECH!$C$24="","",HSTECH!$C$24)</f>
        <v/>
      </c>
      <c r="C133" s="110">
        <f>IF(EE133="","",IF(ISNUMBER('Dvd Calendar'!$E$1306)=FALSE,"",IF((('Dvd Calendar'!$E$1308=TYPE1)*(TYPE1&lt;&gt;"")+('Dvd Calendar'!$E$1308=TYPE2)*(TYPE2&lt;&gt;"")+('Dvd Calendar'!$E$1308=TYPE3)*(TYPE3&lt;&gt;"")+('Dvd Calendar'!$E$1308=TYPE4)*(TYPE4&lt;&gt;"")+('Dvd Calendar'!$E$1308=SPECIAL_LBL)*(INC_SPECIALS="Y"))=0,"",'Dvd Calendar'!$E$1306)))</f>
        <v/>
      </c>
      <c r="D133" s="110">
        <f>IF(EF133="","",IF(ISNUMBER('Dvd Calendar'!$F$1306)=FALSE,"",IF((('Dvd Calendar'!$F$1308=TYPE1)*(TYPE1&lt;&gt;"")+('Dvd Calendar'!$F$1308=TYPE2)*(TYPE2&lt;&gt;"")+('Dvd Calendar'!$F$1308=TYPE3)*(TYPE3&lt;&gt;"")+('Dvd Calendar'!$F$1308=TYPE4)*(TYPE4&lt;&gt;"")+('Dvd Calendar'!$F$1308=SPECIAL_LBL)*(INC_SPECIALS="Y"))=0,"",'Dvd Calendar'!$F$1306)))</f>
        <v/>
      </c>
      <c r="E133" s="110">
        <f>IF(EG133="","",IF(ISNUMBER('Dvd Calendar'!$G$1306)=FALSE,"",IF((('Dvd Calendar'!$G$1308=TYPE1)*(TYPE1&lt;&gt;"")+('Dvd Calendar'!$G$1308=TYPE2)*(TYPE2&lt;&gt;"")+('Dvd Calendar'!$G$1308=TYPE3)*(TYPE3&lt;&gt;"")+('Dvd Calendar'!$G$1308=TYPE4)*(TYPE4&lt;&gt;"")+('Dvd Calendar'!$G$1308=SPECIAL_LBL)*(INC_SPECIALS="Y"))=0,"",'Dvd Calendar'!$G$1306)))</f>
        <v/>
      </c>
      <c r="F133" s="110">
        <f>IF(EH133="","",IF(ISNUMBER('Dvd Calendar'!$H$1306)=FALSE,"",IF((('Dvd Calendar'!$H$1308=TYPE1)*(TYPE1&lt;&gt;"")+('Dvd Calendar'!$H$1308=TYPE2)*(TYPE2&lt;&gt;"")+('Dvd Calendar'!$H$1308=TYPE3)*(TYPE3&lt;&gt;"")+('Dvd Calendar'!$H$1308=TYPE4)*(TYPE4&lt;&gt;"")+('Dvd Calendar'!$H$1308=SPECIAL_LBL)*(INC_SPECIALS="Y"))=0,"",'Dvd Calendar'!$H$1306)))</f>
        <v/>
      </c>
      <c r="G133" s="110">
        <f>IF(EI133="","",IF(ISNUMBER('Dvd Calendar'!$I$1306)=FALSE,"",IF((('Dvd Calendar'!$I$1308=TYPE1)*(TYPE1&lt;&gt;"")+('Dvd Calendar'!$I$1308=TYPE2)*(TYPE2&lt;&gt;"")+('Dvd Calendar'!$I$1308=TYPE3)*(TYPE3&lt;&gt;"")+('Dvd Calendar'!$I$1308=TYPE4)*(TYPE4&lt;&gt;"")+('Dvd Calendar'!$I$1308=SPECIAL_LBL)*(INC_SPECIALS="Y"))=0,"",'Dvd Calendar'!$I$1306)))</f>
        <v/>
      </c>
      <c r="H133" s="110">
        <f>IF(EJ133="","",IF(ISNUMBER('Dvd Calendar'!$J$1306)=FALSE,"",IF((('Dvd Calendar'!$J$1308=TYPE1)*(TYPE1&lt;&gt;"")+('Dvd Calendar'!$J$1308=TYPE2)*(TYPE2&lt;&gt;"")+('Dvd Calendar'!$J$1308=TYPE3)*(TYPE3&lt;&gt;"")+('Dvd Calendar'!$J$1308=TYPE4)*(TYPE4&lt;&gt;"")+('Dvd Calendar'!$J$1308=SPECIAL_LBL)*(INC_SPECIALS="Y"))=0,"",'Dvd Calendar'!$J$1306)))</f>
        <v/>
      </c>
      <c r="I133" s="110">
        <f>IF(EK133="","",IF(ISNUMBER('Dvd Calendar'!$K$1306)=FALSE,"",IF((('Dvd Calendar'!$K$1308=TYPE1)*(TYPE1&lt;&gt;"")+('Dvd Calendar'!$K$1308=TYPE2)*(TYPE2&lt;&gt;"")+('Dvd Calendar'!$K$1308=TYPE3)*(TYPE3&lt;&gt;"")+('Dvd Calendar'!$K$1308=TYPE4)*(TYPE4&lt;&gt;"")+('Dvd Calendar'!$K$1308=SPECIAL_LBL)*(INC_SPECIALS="Y"))=0,"",'Dvd Calendar'!$K$1306)))</f>
        <v/>
      </c>
      <c r="J133" s="110">
        <f>IF(EL133="","",IF(ISNUMBER('Dvd Calendar'!$L$1306)=FALSE,"",IF((('Dvd Calendar'!$L$1308=TYPE1)*(TYPE1&lt;&gt;"")+('Dvd Calendar'!$L$1308=TYPE2)*(TYPE2&lt;&gt;"")+('Dvd Calendar'!$L$1308=TYPE3)*(TYPE3&lt;&gt;"")+('Dvd Calendar'!$L$1308=TYPE4)*(TYPE4&lt;&gt;"")+('Dvd Calendar'!$L$1308=SPECIAL_LBL)*(INC_SPECIALS="Y"))=0,"",'Dvd Calendar'!$L$1306)))</f>
        <v/>
      </c>
      <c r="K133" s="110">
        <f>IF(EM133="","",IF(ISNUMBER('Dvd Calendar'!$M$1306)=FALSE,"",IF((('Dvd Calendar'!$M$1308=TYPE1)*(TYPE1&lt;&gt;"")+('Dvd Calendar'!$M$1308=TYPE2)*(TYPE2&lt;&gt;"")+('Dvd Calendar'!$M$1308=TYPE3)*(TYPE3&lt;&gt;"")+('Dvd Calendar'!$M$1308=TYPE4)*(TYPE4&lt;&gt;"")+('Dvd Calendar'!$M$1308=SPECIAL_LBL)*(INC_SPECIALS="Y"))=0,"",'Dvd Calendar'!$M$1306)))</f>
        <v/>
      </c>
      <c r="L133" s="110">
        <f>IF(EN133="","",IF(ISNUMBER('Dvd Calendar'!$N$1306)=FALSE,"",IF((('Dvd Calendar'!$N$1308=TYPE1)*(TYPE1&lt;&gt;"")+('Dvd Calendar'!$N$1308=TYPE2)*(TYPE2&lt;&gt;"")+('Dvd Calendar'!$N$1308=TYPE3)*(TYPE3&lt;&gt;"")+('Dvd Calendar'!$N$1308=TYPE4)*(TYPE4&lt;&gt;"")+('Dvd Calendar'!$N$1308=SPECIAL_LBL)*(INC_SPECIALS="Y"))=0,"",'Dvd Calendar'!$N$1306)))</f>
        <v/>
      </c>
      <c r="M133" s="110">
        <f>IF(EO133="","",IF(ISNUMBER('Dvd Calendar'!$O$1306)=FALSE,"",IF((('Dvd Calendar'!$O$1308=TYPE1)*(TYPE1&lt;&gt;"")+('Dvd Calendar'!$O$1308=TYPE2)*(TYPE2&lt;&gt;"")+('Dvd Calendar'!$O$1308=TYPE3)*(TYPE3&lt;&gt;"")+('Dvd Calendar'!$O$1308=TYPE4)*(TYPE4&lt;&gt;"")+('Dvd Calendar'!$O$1308=SPECIAL_LBL)*(INC_SPECIALS="Y"))=0,"",'Dvd Calendar'!$O$1306)))</f>
        <v/>
      </c>
      <c r="N133" s="110">
        <f>IF(EP133="","",IF(ISNUMBER('Dvd Calendar'!$P$1306)=FALSE,"",IF((('Dvd Calendar'!$P$1308=TYPE1)*(TYPE1&lt;&gt;"")+('Dvd Calendar'!$P$1308=TYPE2)*(TYPE2&lt;&gt;"")+('Dvd Calendar'!$P$1308=TYPE3)*(TYPE3&lt;&gt;"")+('Dvd Calendar'!$P$1308=TYPE4)*(TYPE4&lt;&gt;"")+('Dvd Calendar'!$P$1308=SPECIAL_LBL)*(INC_SPECIALS="Y"))=0,"",'Dvd Calendar'!$P$1306)))</f>
        <v/>
      </c>
      <c r="O133" s="110">
        <f>IF(EQ133="","",IF(ISNUMBER('Dvd Calendar'!$Q$1306)=FALSE,"",IF((('Dvd Calendar'!$Q$1308=TYPE1)*(TYPE1&lt;&gt;"")+('Dvd Calendar'!$Q$1308=TYPE2)*(TYPE2&lt;&gt;"")+('Dvd Calendar'!$Q$1308=TYPE3)*(TYPE3&lt;&gt;"")+('Dvd Calendar'!$Q$1308=TYPE4)*(TYPE4&lt;&gt;"")+('Dvd Calendar'!$Q$1308=SPECIAL_LBL)*(INC_SPECIALS="Y"))=0,"",'Dvd Calendar'!$Q$1306)))</f>
        <v/>
      </c>
      <c r="P133" s="110">
        <f>IF(ER133="","",IF(ISNUMBER('Dvd Calendar'!$R$1306)=FALSE,"",IF((('Dvd Calendar'!$R$1308=TYPE1)*(TYPE1&lt;&gt;"")+('Dvd Calendar'!$R$1308=TYPE2)*(TYPE2&lt;&gt;"")+('Dvd Calendar'!$R$1308=TYPE3)*(TYPE3&lt;&gt;"")+('Dvd Calendar'!$R$1308=TYPE4)*(TYPE4&lt;&gt;"")+('Dvd Calendar'!$R$1308=SPECIAL_LBL)*(INC_SPECIALS="Y"))=0,"",'Dvd Calendar'!$R$1306)))</f>
        <v/>
      </c>
      <c r="Q133" s="110">
        <f>IF(ES133="","",IF(ISNUMBER('Dvd Calendar'!$S$1306)=FALSE,"",IF((('Dvd Calendar'!$S$1308=TYPE1)*(TYPE1&lt;&gt;"")+('Dvd Calendar'!$S$1308=TYPE2)*(TYPE2&lt;&gt;"")+('Dvd Calendar'!$S$1308=TYPE3)*(TYPE3&lt;&gt;"")+('Dvd Calendar'!$S$1308=TYPE4)*(TYPE4&lt;&gt;"")+('Dvd Calendar'!$S$1308=SPECIAL_LBL)*(INC_SPECIALS="Y"))=0,"",'Dvd Calendar'!$S$1306)))</f>
        <v/>
      </c>
      <c r="R133" s="110">
        <f>IF(ET133="","",IF(ISNUMBER('Dvd Calendar'!$T$1306)=FALSE,"",IF((('Dvd Calendar'!$T$1308=TYPE1)*(TYPE1&lt;&gt;"")+('Dvd Calendar'!$T$1308=TYPE2)*(TYPE2&lt;&gt;"")+('Dvd Calendar'!$T$1308=TYPE3)*(TYPE3&lt;&gt;"")+('Dvd Calendar'!$T$1308=TYPE4)*(TYPE4&lt;&gt;"")+('Dvd Calendar'!$T$1308=SPECIAL_LBL)*(INC_SPECIALS="Y"))=0,"",'Dvd Calendar'!$T$1306)))</f>
        <v/>
      </c>
      <c r="S133" s="110">
        <f>IF(EU133="","",IF(ISNUMBER('Dvd Calendar'!$U$1306)=FALSE,"",IF((('Dvd Calendar'!$U$1308=TYPE1)*(TYPE1&lt;&gt;"")+('Dvd Calendar'!$U$1308=TYPE2)*(TYPE2&lt;&gt;"")+('Dvd Calendar'!$U$1308=TYPE3)*(TYPE3&lt;&gt;"")+('Dvd Calendar'!$U$1308=TYPE4)*(TYPE4&lt;&gt;"")+('Dvd Calendar'!$U$1308=SPECIAL_LBL)*(INC_SPECIALS="Y"))=0,"",'Dvd Calendar'!$U$1306)))</f>
        <v/>
      </c>
      <c r="T133" s="110">
        <f>IF(EV133="","",IF(ISNUMBER('Dvd Calendar'!$V$1306)=FALSE,"",IF((('Dvd Calendar'!$V$1308=TYPE1)*(TYPE1&lt;&gt;"")+('Dvd Calendar'!$V$1308=TYPE2)*(TYPE2&lt;&gt;"")+('Dvd Calendar'!$V$1308=TYPE3)*(TYPE3&lt;&gt;"")+('Dvd Calendar'!$V$1308=TYPE4)*(TYPE4&lt;&gt;"")+('Dvd Calendar'!$V$1308=SPECIAL_LBL)*(INC_SPECIALS="Y"))=0,"",'Dvd Calendar'!$V$1306)))</f>
        <v/>
      </c>
      <c r="U133" s="110">
        <f>IF(EW133="","",IF(ISNUMBER('Dvd Calendar'!$W$1306)=FALSE,"",IF((('Dvd Calendar'!$W$1308=TYPE1)*(TYPE1&lt;&gt;"")+('Dvd Calendar'!$W$1308=TYPE2)*(TYPE2&lt;&gt;"")+('Dvd Calendar'!$W$1308=TYPE3)*(TYPE3&lt;&gt;"")+('Dvd Calendar'!$W$1308=TYPE4)*(TYPE4&lt;&gt;"")+('Dvd Calendar'!$W$1308=SPECIAL_LBL)*(INC_SPECIALS="Y"))=0,"",'Dvd Calendar'!$W$1306)))</f>
        <v/>
      </c>
      <c r="V133" s="110">
        <f>IF(EX133="","",IF(ISNUMBER('Dvd Calendar'!$X$1306)=FALSE,"",IF((('Dvd Calendar'!$X$1308=TYPE1)*(TYPE1&lt;&gt;"")+('Dvd Calendar'!$X$1308=TYPE2)*(TYPE2&lt;&gt;"")+('Dvd Calendar'!$X$1308=TYPE3)*(TYPE3&lt;&gt;"")+('Dvd Calendar'!$X$1308=TYPE4)*(TYPE4&lt;&gt;"")+('Dvd Calendar'!$X$1308=SPECIAL_LBL)*(INC_SPECIALS="Y"))=0,"",'Dvd Calendar'!$X$1306)))</f>
        <v/>
      </c>
      <c r="W133" s="110">
        <f>IF(EY133="","",IF(ISNUMBER('Dvd Calendar'!$Y$1306)=FALSE,"",IF((('Dvd Calendar'!$Y$1308=TYPE1)*(TYPE1&lt;&gt;"")+('Dvd Calendar'!$Y$1308=TYPE2)*(TYPE2&lt;&gt;"")+('Dvd Calendar'!$Y$1308=TYPE3)*(TYPE3&lt;&gt;"")+('Dvd Calendar'!$Y$1308=TYPE4)*(TYPE4&lt;&gt;"")+('Dvd Calendar'!$Y$1308=SPECIAL_LBL)*(INC_SPECIALS="Y"))=0,"",'Dvd Calendar'!$Y$1306)))</f>
        <v/>
      </c>
      <c r="X133" s="110">
        <f>IF(EZ133="","",IF(ISNUMBER('Dvd Calendar'!$Z$1306)=FALSE,"",IF((('Dvd Calendar'!$Z$1308=TYPE1)*(TYPE1&lt;&gt;"")+('Dvd Calendar'!$Z$1308=TYPE2)*(TYPE2&lt;&gt;"")+('Dvd Calendar'!$Z$1308=TYPE3)*(TYPE3&lt;&gt;"")+('Dvd Calendar'!$Z$1308=TYPE4)*(TYPE4&lt;&gt;"")+('Dvd Calendar'!$Z$1308=SPECIAL_LBL)*(INC_SPECIALS="Y"))=0,"",'Dvd Calendar'!$Z$1306)))</f>
        <v/>
      </c>
      <c r="Y133" s="110">
        <f>IF(FA133="","",IF(ISNUMBER('Dvd Calendar'!$AA$1306)=FALSE,"",IF((('Dvd Calendar'!$AA$1308=TYPE1)*(TYPE1&lt;&gt;"")+('Dvd Calendar'!$AA$1308=TYPE2)*(TYPE2&lt;&gt;"")+('Dvd Calendar'!$AA$1308=TYPE3)*(TYPE3&lt;&gt;"")+('Dvd Calendar'!$AA$1308=TYPE4)*(TYPE4&lt;&gt;"")+('Dvd Calendar'!$AA$1308=SPECIAL_LBL)*(INC_SPECIALS="Y"))=0,"",'Dvd Calendar'!$AA$1306)))</f>
        <v/>
      </c>
      <c r="Z133" s="110">
        <f>IF(FB133="","",IF(ISNUMBER('Dvd Calendar'!$AB$1306)=FALSE,"",IF((('Dvd Calendar'!$AB$1308=TYPE1)*(TYPE1&lt;&gt;"")+('Dvd Calendar'!$AB$1308=TYPE2)*(TYPE2&lt;&gt;"")+('Dvd Calendar'!$AB$1308=TYPE3)*(TYPE3&lt;&gt;"")+('Dvd Calendar'!$AB$1308=TYPE4)*(TYPE4&lt;&gt;"")+('Dvd Calendar'!$AB$1308=SPECIAL_LBL)*(INC_SPECIALS="Y"))=0,"",'Dvd Calendar'!$AB$1306)))</f>
        <v/>
      </c>
      <c r="AA133" s="110">
        <f>IF(FC133="","",IF(ISNUMBER('Dvd Calendar'!$AC$1306)=FALSE,"",IF((('Dvd Calendar'!$AC$1308=TYPE1)*(TYPE1&lt;&gt;"")+('Dvd Calendar'!$AC$1308=TYPE2)*(TYPE2&lt;&gt;"")+('Dvd Calendar'!$AC$1308=TYPE3)*(TYPE3&lt;&gt;"")+('Dvd Calendar'!$AC$1308=TYPE4)*(TYPE4&lt;&gt;"")+('Dvd Calendar'!$AC$1308=SPECIAL_LBL)*(INC_SPECIALS="Y"))=0,"",'Dvd Calendar'!$AC$1306)))</f>
        <v/>
      </c>
      <c r="AB133" s="110">
        <f>IF(FD133="","",IF(ISNUMBER('Dvd Calendar'!$AD$1306)=FALSE,"",IF((('Dvd Calendar'!$AD$1308=TYPE1)*(TYPE1&lt;&gt;"")+('Dvd Calendar'!$AD$1308=TYPE2)*(TYPE2&lt;&gt;"")+('Dvd Calendar'!$AD$1308=TYPE3)*(TYPE3&lt;&gt;"")+('Dvd Calendar'!$AD$1308=TYPE4)*(TYPE4&lt;&gt;"")+('Dvd Calendar'!$AD$1308=SPECIAL_LBL)*(INC_SPECIALS="Y"))=0,"",'Dvd Calendar'!$AD$1306)))</f>
        <v/>
      </c>
      <c r="AC133" s="110">
        <f>IF(FE133="","",IF(ISNUMBER('Dvd Calendar'!$AE$1306)=FALSE,"",IF((('Dvd Calendar'!$AE$1308=TYPE1)*(TYPE1&lt;&gt;"")+('Dvd Calendar'!$AE$1308=TYPE2)*(TYPE2&lt;&gt;"")+('Dvd Calendar'!$AE$1308=TYPE3)*(TYPE3&lt;&gt;"")+('Dvd Calendar'!$AE$1308=TYPE4)*(TYPE4&lt;&gt;"")+('Dvd Calendar'!$AE$1308=SPECIAL_LBL)*(INC_SPECIALS="Y"))=0,"",'Dvd Calendar'!$AE$1306)))</f>
        <v/>
      </c>
      <c r="AD133" s="110">
        <f>IF(FF133="","",IF(ISNUMBER('Dvd Calendar'!$AF$1306)=FALSE,"",IF((('Dvd Calendar'!$AF$1308=TYPE1)*(TYPE1&lt;&gt;"")+('Dvd Calendar'!$AF$1308=TYPE2)*(TYPE2&lt;&gt;"")+('Dvd Calendar'!$AF$1308=TYPE3)*(TYPE3&lt;&gt;"")+('Dvd Calendar'!$AF$1308=TYPE4)*(TYPE4&lt;&gt;"")+('Dvd Calendar'!$AF$1308=SPECIAL_LBL)*(INC_SPECIALS="Y"))=0,"",'Dvd Calendar'!$AF$1306)))</f>
        <v/>
      </c>
      <c r="AE133" s="110">
        <f>IF(FG133="","",IF(ISNUMBER('Dvd Calendar'!$AG$1306)=FALSE,"",IF((('Dvd Calendar'!$AG$1308=TYPE1)*(TYPE1&lt;&gt;"")+('Dvd Calendar'!$AG$1308=TYPE2)*(TYPE2&lt;&gt;"")+('Dvd Calendar'!$AG$1308=TYPE3)*(TYPE3&lt;&gt;"")+('Dvd Calendar'!$AG$1308=TYPE4)*(TYPE4&lt;&gt;"")+('Dvd Calendar'!$AG$1308=SPECIAL_LBL)*(INC_SPECIALS="Y"))=0,"",'Dvd Calendar'!$AG$1306)))</f>
        <v/>
      </c>
      <c r="AF133" s="110">
        <f>IF(FH133="","",IF(ISNUMBER('Dvd Calendar'!$AH$1306)=FALSE,"",IF((('Dvd Calendar'!$AH$1308=TYPE1)*(TYPE1&lt;&gt;"")+('Dvd Calendar'!$AH$1308=TYPE2)*(TYPE2&lt;&gt;"")+('Dvd Calendar'!$AH$1308=TYPE3)*(TYPE3&lt;&gt;"")+('Dvd Calendar'!$AH$1308=TYPE4)*(TYPE4&lt;&gt;"")+('Dvd Calendar'!$AH$1308=SPECIAL_LBL)*(INC_SPECIALS="Y"))=0,"",'Dvd Calendar'!$AH$1306)))</f>
        <v/>
      </c>
      <c r="AG133" s="110">
        <f>IF(FI133="","",IF(ISNUMBER('Dvd Calendar'!$AI$1306)=FALSE,"",IF((('Dvd Calendar'!$AI$1308=TYPE1)*(TYPE1&lt;&gt;"")+('Dvd Calendar'!$AI$1308=TYPE2)*(TYPE2&lt;&gt;"")+('Dvd Calendar'!$AI$1308=TYPE3)*(TYPE3&lt;&gt;"")+('Dvd Calendar'!$AI$1308=TYPE4)*(TYPE4&lt;&gt;"")+('Dvd Calendar'!$AI$1308=SPECIAL_LBL)*(INC_SPECIALS="Y"))=0,"",'Dvd Calendar'!$AI$1306)))</f>
        <v/>
      </c>
      <c r="AH133" s="110">
        <f>IF(FJ133="","",IF(ISNUMBER('Dvd Calendar'!$AJ$1306)=FALSE,"",IF((('Dvd Calendar'!$AJ$1308=TYPE1)*(TYPE1&lt;&gt;"")+('Dvd Calendar'!$AJ$1308=TYPE2)*(TYPE2&lt;&gt;"")+('Dvd Calendar'!$AJ$1308=TYPE3)*(TYPE3&lt;&gt;"")+('Dvd Calendar'!$AJ$1308=TYPE4)*(TYPE4&lt;&gt;"")+('Dvd Calendar'!$AJ$1308=SPECIAL_LBL)*(INC_SPECIALS="Y"))=0,"",'Dvd Calendar'!$AJ$1306)))</f>
        <v/>
      </c>
      <c r="AI133" s="110">
        <f>IF(FK133="","",IF(ISNUMBER('Dvd Calendar'!$AK$1306)=FALSE,"",IF((('Dvd Calendar'!$AK$1308=TYPE1)*(TYPE1&lt;&gt;"")+('Dvd Calendar'!$AK$1308=TYPE2)*(TYPE2&lt;&gt;"")+('Dvd Calendar'!$AK$1308=TYPE3)*(TYPE3&lt;&gt;"")+('Dvd Calendar'!$AK$1308=TYPE4)*(TYPE4&lt;&gt;"")+('Dvd Calendar'!$AK$1308=SPECIAL_LBL)*(INC_SPECIALS="Y"))=0,"",'Dvd Calendar'!$AK$1306)))</f>
        <v/>
      </c>
      <c r="AJ133" s="110">
        <f>IF(FL133="","",IF(ISNUMBER('Dvd Calendar'!$AL$1306)=FALSE,"",IF((('Dvd Calendar'!$AL$1308=TYPE1)*(TYPE1&lt;&gt;"")+('Dvd Calendar'!$AL$1308=TYPE2)*(TYPE2&lt;&gt;"")+('Dvd Calendar'!$AL$1308=TYPE3)*(TYPE3&lt;&gt;"")+('Dvd Calendar'!$AL$1308=TYPE4)*(TYPE4&lt;&gt;"")+('Dvd Calendar'!$AL$1308=SPECIAL_LBL)*(INC_SPECIALS="Y"))=0,"",'Dvd Calendar'!$AL$1306)))</f>
        <v/>
      </c>
      <c r="AK133" s="110">
        <f>IF(FM133="","",IF(ISNUMBER('Dvd Calendar'!$AM$1306)=FALSE,"",IF((('Dvd Calendar'!$AM$1308=TYPE1)*(TYPE1&lt;&gt;"")+('Dvd Calendar'!$AM$1308=TYPE2)*(TYPE2&lt;&gt;"")+('Dvd Calendar'!$AM$1308=TYPE3)*(TYPE3&lt;&gt;"")+('Dvd Calendar'!$AM$1308=TYPE4)*(TYPE4&lt;&gt;"")+('Dvd Calendar'!$AM$1308=SPECIAL_LBL)*(INC_SPECIALS="Y"))=0,"",'Dvd Calendar'!$AM$1306)))</f>
        <v/>
      </c>
      <c r="AL133" s="110">
        <f>IF(FN133="","",IF(ISNUMBER('Dvd Calendar'!$AN$1306)=FALSE,"",IF((('Dvd Calendar'!$AN$1308=TYPE1)*(TYPE1&lt;&gt;"")+('Dvd Calendar'!$AN$1308=TYPE2)*(TYPE2&lt;&gt;"")+('Dvd Calendar'!$AN$1308=TYPE3)*(TYPE3&lt;&gt;"")+('Dvd Calendar'!$AN$1308=TYPE4)*(TYPE4&lt;&gt;"")+('Dvd Calendar'!$AN$1308=SPECIAL_LBL)*(INC_SPECIALS="Y"))=0,"",'Dvd Calendar'!$AN$1306)))</f>
        <v/>
      </c>
      <c r="AM133" s="110">
        <f>IF(FO133="","",IF(ISNUMBER('Dvd Calendar'!$AO$1306)=FALSE,"",IF((('Dvd Calendar'!$AO$1308=TYPE1)*(TYPE1&lt;&gt;"")+('Dvd Calendar'!$AO$1308=TYPE2)*(TYPE2&lt;&gt;"")+('Dvd Calendar'!$AO$1308=TYPE3)*(TYPE3&lt;&gt;"")+('Dvd Calendar'!$AO$1308=TYPE4)*(TYPE4&lt;&gt;"")+('Dvd Calendar'!$AO$1308=SPECIAL_LBL)*(INC_SPECIALS="Y"))=0,"",'Dvd Calendar'!$AO$1306)))</f>
        <v/>
      </c>
      <c r="AN133" s="110">
        <f>IF(FP133="","",IF(ISNUMBER('Dvd Calendar'!$AP$1306)=FALSE,"",IF((('Dvd Calendar'!$AP$1308=TYPE1)*(TYPE1&lt;&gt;"")+('Dvd Calendar'!$AP$1308=TYPE2)*(TYPE2&lt;&gt;"")+('Dvd Calendar'!$AP$1308=TYPE3)*(TYPE3&lt;&gt;"")+('Dvd Calendar'!$AP$1308=TYPE4)*(TYPE4&lt;&gt;"")+('Dvd Calendar'!$AP$1308=SPECIAL_LBL)*(INC_SPECIALS="Y"))=0,"",'Dvd Calendar'!$AP$1306)))</f>
        <v/>
      </c>
      <c r="AO133" s="110">
        <f>IF(FQ133="","",IF(ISNUMBER('Dvd Calendar'!$AQ$1306)=FALSE,"",IF((('Dvd Calendar'!$AQ$1308=TYPE1)*(TYPE1&lt;&gt;"")+('Dvd Calendar'!$AQ$1308=TYPE2)*(TYPE2&lt;&gt;"")+('Dvd Calendar'!$AQ$1308=TYPE3)*(TYPE3&lt;&gt;"")+('Dvd Calendar'!$AQ$1308=TYPE4)*(TYPE4&lt;&gt;"")+('Dvd Calendar'!$AQ$1308=SPECIAL_LBL)*(INC_SPECIALS="Y"))=0,"",'Dvd Calendar'!$AQ$1306)))</f>
        <v/>
      </c>
      <c r="AP133" s="110">
        <f>IF(FR133="","",IF(ISNUMBER('Dvd Calendar'!$AR$1306)=FALSE,"",IF((('Dvd Calendar'!$AR$1308=TYPE1)*(TYPE1&lt;&gt;"")+('Dvd Calendar'!$AR$1308=TYPE2)*(TYPE2&lt;&gt;"")+('Dvd Calendar'!$AR$1308=TYPE3)*(TYPE3&lt;&gt;"")+('Dvd Calendar'!$AR$1308=TYPE4)*(TYPE4&lt;&gt;"")+('Dvd Calendar'!$AR$1308=SPECIAL_LBL)*(INC_SPECIALS="Y"))=0,"",'Dvd Calendar'!$AR$1306)))</f>
        <v/>
      </c>
      <c r="AQ133" s="110">
        <f>IF(FS133="","",IF(ISNUMBER('Dvd Calendar'!$E$1311)=FALSE,"",'Dvd Calendar'!$E$1311))</f>
        <v/>
      </c>
      <c r="AR133" s="110">
        <f>IF(FT133="","",IF(ISNUMBER('Dvd Calendar'!$F$1311)=FALSE,"",'Dvd Calendar'!$F$1311))</f>
        <v/>
      </c>
      <c r="AS133" s="110">
        <f>IF(FU133="","",IF(ISNUMBER('Dvd Calendar'!$G$1311)=FALSE,"",'Dvd Calendar'!$G$1311))</f>
        <v/>
      </c>
      <c r="AT133" s="110">
        <f>IF(FV133="","",IF(ISNUMBER('Dvd Calendar'!$H$1311)=FALSE,"",'Dvd Calendar'!$H$1311))</f>
        <v/>
      </c>
      <c r="AU133" s="110">
        <f>IF(FW133="","",IF(ISNUMBER('Dvd Calendar'!$I$1311)=FALSE,"",'Dvd Calendar'!$I$1311))</f>
        <v/>
      </c>
      <c r="AV133" s="110">
        <f>IF(FX133="","",IF(ISNUMBER('Dvd Calendar'!$J$1311)=FALSE,"",'Dvd Calendar'!$J$1311))</f>
        <v/>
      </c>
      <c r="AW133" s="110">
        <f>IF(FY133="","",IF(ISNUMBER('Dvd Calendar'!$K$1311)=FALSE,"",'Dvd Calendar'!$K$1311))</f>
        <v/>
      </c>
      <c r="AX133" s="110">
        <f>IF(FZ133="","",IF(ISNUMBER('Dvd Calendar'!$L$1311)=FALSE,"",'Dvd Calendar'!$L$1311))</f>
        <v/>
      </c>
      <c r="AY133" s="110">
        <f>IF(GA133="","",IF(ISNUMBER('Dvd Calendar'!$M$1311)=FALSE,"",'Dvd Calendar'!$M$1311))</f>
        <v/>
      </c>
      <c r="AZ133" s="110">
        <f>IF(GB133="","",IF(ISNUMBER('Dvd Calendar'!$N$1311)=FALSE,"",'Dvd Calendar'!$N$1311))</f>
        <v/>
      </c>
      <c r="BA133" s="110">
        <f>IF(GC133="","",IF(ISNUMBER('Dvd Calendar'!$O$1311)=FALSE,"",'Dvd Calendar'!$O$1311))</f>
        <v/>
      </c>
      <c r="BB133" s="110">
        <f>IF(GD133="","",IF(ISNUMBER('Dvd Calendar'!$P$1311)=FALSE,"",'Dvd Calendar'!$P$1311))</f>
        <v/>
      </c>
      <c r="BC133" s="110">
        <f>IF(GE133="","",IF(ISNUMBER('Dvd Calendar'!$Q$1311)=FALSE,"",'Dvd Calendar'!$Q$1311))</f>
        <v/>
      </c>
      <c r="BD133" s="110">
        <f>IF(GF133="","",IF(ISNUMBER('Dvd Calendar'!$R$1311)=FALSE,"",'Dvd Calendar'!$R$1311))</f>
        <v/>
      </c>
      <c r="BE133" s="110">
        <f>IF(GG133="","",IF(ISNUMBER('Dvd Calendar'!$S$1311)=FALSE,"",'Dvd Calendar'!$S$1311))</f>
        <v/>
      </c>
      <c r="BF133" s="110">
        <f>IF(GH133="","",IF(ISNUMBER('Dvd Calendar'!$T$1311)=FALSE,"",'Dvd Calendar'!$T$1311))</f>
        <v/>
      </c>
      <c r="BG133" s="110">
        <f>IF(GI133="","",IF(ISNUMBER('Dvd Calendar'!$U$1311)=FALSE,"",'Dvd Calendar'!$U$1311))</f>
        <v/>
      </c>
      <c r="BH133" s="110">
        <f>IF(GJ133="","",IF(ISNUMBER('Dvd Calendar'!$V$1311)=FALSE,"",'Dvd Calendar'!$V$1311))</f>
        <v/>
      </c>
      <c r="BI133" s="110">
        <f>IF(GK133="","",IF(ISNUMBER('Dvd Calendar'!$W$1311)=FALSE,"",'Dvd Calendar'!$W$1311))</f>
        <v/>
      </c>
      <c r="BJ133" s="110">
        <f>IF(GL133="","",IF(ISNUMBER('Dvd Calendar'!$X$1311)=FALSE,"",'Dvd Calendar'!$X$1311))</f>
        <v/>
      </c>
      <c r="BK133" s="110">
        <f>IF(GM133="","",IF(ISNUMBER('Dvd Calendar'!$Y$1311)=FALSE,"",'Dvd Calendar'!$Y$1311))</f>
        <v/>
      </c>
      <c r="BL133" s="110">
        <f>IF(GN133="","",IF(ISNUMBER('Dvd Calendar'!$Z$1311)=FALSE,"",'Dvd Calendar'!$Z$1311))</f>
        <v/>
      </c>
      <c r="BM133" s="110">
        <f>IF(GO133="","",IF(ISNUMBER('Dvd Calendar'!$AA$1311)=FALSE,"",'Dvd Calendar'!$AA$1311))</f>
        <v/>
      </c>
      <c r="BN133" s="110">
        <f>IF(GP133="","",IF(ISNUMBER('Dvd Calendar'!$AB$1311)=FALSE,"",'Dvd Calendar'!$AB$1311))</f>
        <v/>
      </c>
      <c r="BO133" s="110">
        <f>IF(GQ133="","",IF(ISNUMBER('Dvd Calendar'!$AC$1311)=FALSE,"",'Dvd Calendar'!$AC$1311))</f>
        <v/>
      </c>
      <c r="BQ133" s="110">
        <f>IF(C133="","",IFERROR(C133*HSTECH!$B$24*HSTECH!$G$24/HSTECH!$B$3,""))</f>
        <v/>
      </c>
      <c r="BR133" s="110">
        <f>IF(D133="","",IFERROR(D133*HSTECH!$B$24*HSTECH!$G$24/HSTECH!$B$3,""))</f>
        <v/>
      </c>
      <c r="BS133" s="110">
        <f>IF(E133="","",IFERROR(E133*HSTECH!$B$24*HSTECH!$G$24/HSTECH!$B$3,""))</f>
        <v/>
      </c>
      <c r="BT133" s="110">
        <f>IF(F133="","",IFERROR(F133*HSTECH!$B$24*HSTECH!$G$24/HSTECH!$B$3,""))</f>
        <v/>
      </c>
      <c r="BU133" s="110">
        <f>IF(G133="","",IFERROR(G133*HSTECH!$B$24*HSTECH!$G$24/HSTECH!$B$3,""))</f>
        <v/>
      </c>
      <c r="BV133" s="110">
        <f>IF(H133="","",IFERROR(H133*HSTECH!$B$24*HSTECH!$G$24/HSTECH!$B$3,""))</f>
        <v/>
      </c>
      <c r="BW133" s="110">
        <f>IF(I133="","",IFERROR(I133*HSTECH!$B$24*HSTECH!$G$24/HSTECH!$B$3,""))</f>
        <v/>
      </c>
      <c r="BX133" s="110">
        <f>IF(J133="","",IFERROR(J133*HSTECH!$B$24*HSTECH!$G$24/HSTECH!$B$3,""))</f>
        <v/>
      </c>
      <c r="BY133" s="110">
        <f>IF(K133="","",IFERROR(K133*HSTECH!$B$24*HSTECH!$G$24/HSTECH!$B$3,""))</f>
        <v/>
      </c>
      <c r="BZ133" s="110">
        <f>IF(L133="","",IFERROR(L133*HSTECH!$B$24*HSTECH!$G$24/HSTECH!$B$3,""))</f>
        <v/>
      </c>
      <c r="CA133" s="110">
        <f>IF(M133="","",IFERROR(M133*HSTECH!$B$24*HSTECH!$G$24/HSTECH!$B$3,""))</f>
        <v/>
      </c>
      <c r="CB133" s="110">
        <f>IF(N133="","",IFERROR(N133*HSTECH!$B$24*HSTECH!$G$24/HSTECH!$B$3,""))</f>
        <v/>
      </c>
      <c r="CC133" s="110">
        <f>IF(O133="","",IFERROR(O133*HSTECH!$B$24*HSTECH!$G$24/HSTECH!$B$3,""))</f>
        <v/>
      </c>
      <c r="CD133" s="110">
        <f>IF(P133="","",IFERROR(P133*HSTECH!$B$24*HSTECH!$G$24/HSTECH!$B$3,""))</f>
        <v/>
      </c>
      <c r="CE133" s="110">
        <f>IF(Q133="","",IFERROR(Q133*HSTECH!$B$24*HSTECH!$G$24/HSTECH!$B$3,""))</f>
        <v/>
      </c>
      <c r="CF133" s="110">
        <f>IF(R133="","",IFERROR(R133*HSTECH!$B$24*HSTECH!$G$24/HSTECH!$B$3,""))</f>
        <v/>
      </c>
      <c r="CG133" s="110">
        <f>IF(S133="","",IFERROR(S133*HSTECH!$B$24*HSTECH!$G$24/HSTECH!$B$3,""))</f>
        <v/>
      </c>
      <c r="CH133" s="110">
        <f>IF(T133="","",IFERROR(T133*HSTECH!$B$24*HSTECH!$G$24/HSTECH!$B$3,""))</f>
        <v/>
      </c>
      <c r="CI133" s="110">
        <f>IF(U133="","",IFERROR(U133*HSTECH!$B$24*HSTECH!$G$24/HSTECH!$B$3,""))</f>
        <v/>
      </c>
      <c r="CJ133" s="110">
        <f>IF(V133="","",IFERROR(V133*HSTECH!$B$24*HSTECH!$G$24/HSTECH!$B$3,""))</f>
        <v/>
      </c>
      <c r="CK133" s="110">
        <f>IF(W133="","",IFERROR(W133*HSTECH!$B$24*HSTECH!$G$24/HSTECH!$B$3,""))</f>
        <v/>
      </c>
      <c r="CL133" s="110">
        <f>IF(X133="","",IFERROR(X133*HSTECH!$B$24*HSTECH!$G$24/HSTECH!$B$3,""))</f>
        <v/>
      </c>
      <c r="CM133" s="110">
        <f>IF(Y133="","",IFERROR(Y133*HSTECH!$B$24*HSTECH!$G$24/HSTECH!$B$3,""))</f>
        <v/>
      </c>
      <c r="CN133" s="110">
        <f>IF(Z133="","",IFERROR(Z133*HSTECH!$B$24*HSTECH!$G$24/HSTECH!$B$3,""))</f>
        <v/>
      </c>
      <c r="CO133" s="110">
        <f>IF(AA133="","",IFERROR(AA133*HSTECH!$B$24*HSTECH!$G$24/HSTECH!$B$3,""))</f>
        <v/>
      </c>
      <c r="CP133" s="110">
        <f>IF(AB133="","",IFERROR(AB133*HSTECH!$B$24*HSTECH!$G$24/HSTECH!$B$3,""))</f>
        <v/>
      </c>
      <c r="CQ133" s="110">
        <f>IF(AC133="","",IFERROR(AC133*HSTECH!$B$24*HSTECH!$G$24/HSTECH!$B$3,""))</f>
        <v/>
      </c>
      <c r="CR133" s="110">
        <f>IF(AD133="","",IFERROR(AD133*HSTECH!$B$24*HSTECH!$G$24/HSTECH!$B$3,""))</f>
        <v/>
      </c>
      <c r="CS133" s="110">
        <f>IF(AE133="","",IFERROR(AE133*HSTECH!$B$24*HSTECH!$G$24/HSTECH!$B$3,""))</f>
        <v/>
      </c>
      <c r="CT133" s="110">
        <f>IF(AF133="","",IFERROR(AF133*HSTECH!$B$24*HSTECH!$G$24/HSTECH!$B$3,""))</f>
        <v/>
      </c>
      <c r="CU133" s="110">
        <f>IF(AG133="","",IFERROR(AG133*HSTECH!$B$24*HSTECH!$G$24/HSTECH!$B$3,""))</f>
        <v/>
      </c>
      <c r="CV133" s="110">
        <f>IF(AH133="","",IFERROR(AH133*HSTECH!$B$24*HSTECH!$G$24/HSTECH!$B$3,""))</f>
        <v/>
      </c>
      <c r="CW133" s="110">
        <f>IF(AI133="","",IFERROR(AI133*HSTECH!$B$24*HSTECH!$G$24/HSTECH!$B$3,""))</f>
        <v/>
      </c>
      <c r="CX133" s="110">
        <f>IF(AJ133="","",IFERROR(AJ133*HSTECH!$B$24*HSTECH!$G$24/HSTECH!$B$3,""))</f>
        <v/>
      </c>
      <c r="CY133" s="110">
        <f>IF(AK133="","",IFERROR(AK133*HSTECH!$B$24*HSTECH!$G$24/HSTECH!$B$3,""))</f>
        <v/>
      </c>
      <c r="CZ133" s="110">
        <f>IF(AL133="","",IFERROR(AL133*HSTECH!$B$24*HSTECH!$G$24/HSTECH!$B$3,""))</f>
        <v/>
      </c>
      <c r="DA133" s="110">
        <f>IF(AM133="","",IFERROR(AM133*HSTECH!$B$24*HSTECH!$G$24/HSTECH!$B$3,""))</f>
        <v/>
      </c>
      <c r="DB133" s="110">
        <f>IF(AN133="","",IFERROR(AN133*HSTECH!$B$24*HSTECH!$G$24/HSTECH!$B$3,""))</f>
        <v/>
      </c>
      <c r="DC133" s="110">
        <f>IF(AO133="","",IFERROR(AO133*HSTECH!$B$24*HSTECH!$G$24/HSTECH!$B$3,""))</f>
        <v/>
      </c>
      <c r="DD133" s="110">
        <f>IF(AP133="","",IFERROR(AP133*HSTECH!$B$24*HSTECH!$G$24/HSTECH!$B$3,""))</f>
        <v/>
      </c>
      <c r="DE133" s="110">
        <f>IF(AQ133="","",IFERROR(AQ133*HSTECH!$B$24*HSTECH!$G$24/HSTECH!$B$3,""))</f>
        <v/>
      </c>
      <c r="DF133" s="110">
        <f>IF(AR133="","",IFERROR(AR133*HSTECH!$B$24*HSTECH!$G$24/HSTECH!$B$3,""))</f>
        <v/>
      </c>
      <c r="DG133" s="110">
        <f>IF(AS133="","",IFERROR(AS133*HSTECH!$B$24*HSTECH!$G$24/HSTECH!$B$3,""))</f>
        <v/>
      </c>
      <c r="DH133" s="110">
        <f>IF(AT133="","",IFERROR(AT133*HSTECH!$B$24*HSTECH!$G$24/HSTECH!$B$3,""))</f>
        <v/>
      </c>
      <c r="DI133" s="110">
        <f>IF(AU133="","",IFERROR(AU133*HSTECH!$B$24*HSTECH!$G$24/HSTECH!$B$3,""))</f>
        <v/>
      </c>
      <c r="DJ133" s="110">
        <f>IF(AV133="","",IFERROR(AV133*HSTECH!$B$24*HSTECH!$G$24/HSTECH!$B$3,""))</f>
        <v/>
      </c>
      <c r="DK133" s="110">
        <f>IF(AW133="","",IFERROR(AW133*HSTECH!$B$24*HSTECH!$G$24/HSTECH!$B$3,""))</f>
        <v/>
      </c>
      <c r="DL133" s="110">
        <f>IF(AX133="","",IFERROR(AX133*HSTECH!$B$24*HSTECH!$G$24/HSTECH!$B$3,""))</f>
        <v/>
      </c>
      <c r="DM133" s="110">
        <f>IF(AY133="","",IFERROR(AY133*HSTECH!$B$24*HSTECH!$G$24/HSTECH!$B$3,""))</f>
        <v/>
      </c>
      <c r="DN133" s="110">
        <f>IF(AZ133="","",IFERROR(AZ133*HSTECH!$B$24*HSTECH!$G$24/HSTECH!$B$3,""))</f>
        <v/>
      </c>
      <c r="DO133" s="110">
        <f>IF(BA133="","",IFERROR(BA133*HSTECH!$B$24*HSTECH!$G$24/HSTECH!$B$3,""))</f>
        <v/>
      </c>
      <c r="DP133" s="110">
        <f>IF(BB133="","",IFERROR(BB133*HSTECH!$B$24*HSTECH!$G$24/HSTECH!$B$3,""))</f>
        <v/>
      </c>
      <c r="DQ133" s="110">
        <f>IF(BC133="","",IFERROR(BC133*HSTECH!$B$24*HSTECH!$G$24/HSTECH!$B$3,""))</f>
        <v/>
      </c>
      <c r="DR133" s="110">
        <f>IF(BD133="","",IFERROR(BD133*HSTECH!$B$24*HSTECH!$G$24/HSTECH!$B$3,""))</f>
        <v/>
      </c>
      <c r="DS133" s="110">
        <f>IF(BE133="","",IFERROR(BE133*HSTECH!$B$24*HSTECH!$G$24/HSTECH!$B$3,""))</f>
        <v/>
      </c>
      <c r="DT133" s="110">
        <f>IF(BF133="","",IFERROR(BF133*HSTECH!$B$24*HSTECH!$G$24/HSTECH!$B$3,""))</f>
        <v/>
      </c>
      <c r="DU133" s="110">
        <f>IF(BG133="","",IFERROR(BG133*HSTECH!$B$24*HSTECH!$G$24/HSTECH!$B$3,""))</f>
        <v/>
      </c>
      <c r="DV133" s="110">
        <f>IF(BH133="","",IFERROR(BH133*HSTECH!$B$24*HSTECH!$G$24/HSTECH!$B$3,""))</f>
        <v/>
      </c>
      <c r="DW133" s="110">
        <f>IF(BI133="","",IFERROR(BI133*HSTECH!$B$24*HSTECH!$G$24/HSTECH!$B$3,""))</f>
        <v/>
      </c>
      <c r="DX133" s="110">
        <f>IF(BJ133="","",IFERROR(BJ133*HSTECH!$B$24*HSTECH!$G$24/HSTECH!$B$3,""))</f>
        <v/>
      </c>
      <c r="DY133" s="110">
        <f>IF(BK133="","",IFERROR(BK133*HSTECH!$B$24*HSTECH!$G$24/HSTECH!$B$3,""))</f>
        <v/>
      </c>
      <c r="DZ133" s="110">
        <f>IF(BL133="","",IFERROR(BL133*HSTECH!$B$24*HSTECH!$G$24/HSTECH!$B$3,""))</f>
        <v/>
      </c>
      <c r="EA133" s="110">
        <f>IF(BM133="","",IFERROR(BM133*HSTECH!$B$24*HSTECH!$G$24/HSTECH!$B$3,""))</f>
        <v/>
      </c>
      <c r="EB133" s="110">
        <f>IF(BN133="","",IFERROR(BN133*HSTECH!$B$24*HSTECH!$G$24/HSTECH!$B$3,""))</f>
        <v/>
      </c>
      <c r="EC133" s="110">
        <f>IF(BO133="","",IFERROR(BO133*HSTECH!$B$24*HSTECH!$G$24/HSTECH!$B$3,""))</f>
        <v/>
      </c>
      <c r="EE133" s="39">
        <f>IF(N('Dvd Calendar'!$E$1303)=0,"",IF(('Dvd Calendar'!$E$1303&gt;=GRID_FROM)*('Dvd Calendar'!$E$1303&lt;=GRID_TO)*((('Dvd Calendar'!$E$1303&lt;=VAL_DATE)+(COUNTIF('Dvd Calendar'!$E$1310:$AR$1310,'Dvd Calendar'!$E$1303)=0))&gt;0)=0,"",'Dvd Calendar'!$E$1303*1000000000+ISNUMBER('Dvd Calendar'!$E$1306)*100000000+('Dvd Calendar'!$E$1308=SPECIAL_LBL)*10000000+(N('Dvd Calendar'!$E$1302)&gt;0)*(N('Dvd Calendar'!$E$1302)&lt;=VAL_SERIAL)*1000000+18*1000+1))</f>
        <v/>
      </c>
      <c r="EF133" s="39">
        <f>IF(N('Dvd Calendar'!$F$1303)=0,"",IF(('Dvd Calendar'!$F$1303&gt;=GRID_FROM)*('Dvd Calendar'!$F$1303&lt;=GRID_TO)*((('Dvd Calendar'!$F$1303&lt;=VAL_DATE)+(COUNTIF('Dvd Calendar'!$E$1310:$AR$1310,'Dvd Calendar'!$F$1303)=0))&gt;0)=0,"",'Dvd Calendar'!$F$1303*1000000000+ISNUMBER('Dvd Calendar'!$F$1306)*100000000+('Dvd Calendar'!$F$1308=SPECIAL_LBL)*10000000+(N('Dvd Calendar'!$F$1302)&gt;0)*(N('Dvd Calendar'!$F$1302)&lt;=VAL_SERIAL)*1000000+18*1000+2))</f>
        <v/>
      </c>
      <c r="EG133" s="39">
        <f>IF(N('Dvd Calendar'!$G$1303)=0,"",IF(('Dvd Calendar'!$G$1303&gt;=GRID_FROM)*('Dvd Calendar'!$G$1303&lt;=GRID_TO)*((('Dvd Calendar'!$G$1303&lt;=VAL_DATE)+(COUNTIF('Dvd Calendar'!$E$1310:$AR$1310,'Dvd Calendar'!$G$1303)=0))&gt;0)=0,"",'Dvd Calendar'!$G$1303*1000000000+ISNUMBER('Dvd Calendar'!$G$1306)*100000000+('Dvd Calendar'!$G$1308=SPECIAL_LBL)*10000000+(N('Dvd Calendar'!$G$1302)&gt;0)*(N('Dvd Calendar'!$G$1302)&lt;=VAL_SERIAL)*1000000+18*1000+3))</f>
        <v/>
      </c>
      <c r="EH133" s="39">
        <f>IF(N('Dvd Calendar'!$H$1303)=0,"",IF(('Dvd Calendar'!$H$1303&gt;=GRID_FROM)*('Dvd Calendar'!$H$1303&lt;=GRID_TO)*((('Dvd Calendar'!$H$1303&lt;=VAL_DATE)+(COUNTIF('Dvd Calendar'!$E$1310:$AR$1310,'Dvd Calendar'!$H$1303)=0))&gt;0)=0,"",'Dvd Calendar'!$H$1303*1000000000+ISNUMBER('Dvd Calendar'!$H$1306)*100000000+('Dvd Calendar'!$H$1308=SPECIAL_LBL)*10000000+(N('Dvd Calendar'!$H$1302)&gt;0)*(N('Dvd Calendar'!$H$1302)&lt;=VAL_SERIAL)*1000000+18*1000+4))</f>
        <v/>
      </c>
      <c r="EI133" s="39">
        <f>IF(N('Dvd Calendar'!$I$1303)=0,"",IF(('Dvd Calendar'!$I$1303&gt;=GRID_FROM)*('Dvd Calendar'!$I$1303&lt;=GRID_TO)*((('Dvd Calendar'!$I$1303&lt;=VAL_DATE)+(COUNTIF('Dvd Calendar'!$E$1310:$AR$1310,'Dvd Calendar'!$I$1303)=0))&gt;0)=0,"",'Dvd Calendar'!$I$1303*1000000000+ISNUMBER('Dvd Calendar'!$I$1306)*100000000+('Dvd Calendar'!$I$1308=SPECIAL_LBL)*10000000+(N('Dvd Calendar'!$I$1302)&gt;0)*(N('Dvd Calendar'!$I$1302)&lt;=VAL_SERIAL)*1000000+18*1000+5))</f>
        <v/>
      </c>
      <c r="EJ133" s="39">
        <f>IF(N('Dvd Calendar'!$J$1303)=0,"",IF(('Dvd Calendar'!$J$1303&gt;=GRID_FROM)*('Dvd Calendar'!$J$1303&lt;=GRID_TO)*((('Dvd Calendar'!$J$1303&lt;=VAL_DATE)+(COUNTIF('Dvd Calendar'!$E$1310:$AR$1310,'Dvd Calendar'!$J$1303)=0))&gt;0)=0,"",'Dvd Calendar'!$J$1303*1000000000+ISNUMBER('Dvd Calendar'!$J$1306)*100000000+('Dvd Calendar'!$J$1308=SPECIAL_LBL)*10000000+(N('Dvd Calendar'!$J$1302)&gt;0)*(N('Dvd Calendar'!$J$1302)&lt;=VAL_SERIAL)*1000000+18*1000+6))</f>
        <v/>
      </c>
      <c r="EK133" s="39">
        <f>IF(N('Dvd Calendar'!$K$1303)=0,"",IF(('Dvd Calendar'!$K$1303&gt;=GRID_FROM)*('Dvd Calendar'!$K$1303&lt;=GRID_TO)*((('Dvd Calendar'!$K$1303&lt;=VAL_DATE)+(COUNTIF('Dvd Calendar'!$E$1310:$AR$1310,'Dvd Calendar'!$K$1303)=0))&gt;0)=0,"",'Dvd Calendar'!$K$1303*1000000000+ISNUMBER('Dvd Calendar'!$K$1306)*100000000+('Dvd Calendar'!$K$1308=SPECIAL_LBL)*10000000+(N('Dvd Calendar'!$K$1302)&gt;0)*(N('Dvd Calendar'!$K$1302)&lt;=VAL_SERIAL)*1000000+18*1000+7))</f>
        <v/>
      </c>
      <c r="EL133" s="39">
        <f>IF(N('Dvd Calendar'!$L$1303)=0,"",IF(('Dvd Calendar'!$L$1303&gt;=GRID_FROM)*('Dvd Calendar'!$L$1303&lt;=GRID_TO)*((('Dvd Calendar'!$L$1303&lt;=VAL_DATE)+(COUNTIF('Dvd Calendar'!$E$1310:$AR$1310,'Dvd Calendar'!$L$1303)=0))&gt;0)=0,"",'Dvd Calendar'!$L$1303*1000000000+ISNUMBER('Dvd Calendar'!$L$1306)*100000000+('Dvd Calendar'!$L$1308=SPECIAL_LBL)*10000000+(N('Dvd Calendar'!$L$1302)&gt;0)*(N('Dvd Calendar'!$L$1302)&lt;=VAL_SERIAL)*1000000+18*1000+8))</f>
        <v/>
      </c>
      <c r="EM133" s="39">
        <f>IF(N('Dvd Calendar'!$M$1303)=0,"",IF(('Dvd Calendar'!$M$1303&gt;=GRID_FROM)*('Dvd Calendar'!$M$1303&lt;=GRID_TO)*((('Dvd Calendar'!$M$1303&lt;=VAL_DATE)+(COUNTIF('Dvd Calendar'!$E$1310:$AR$1310,'Dvd Calendar'!$M$1303)=0))&gt;0)=0,"",'Dvd Calendar'!$M$1303*1000000000+ISNUMBER('Dvd Calendar'!$M$1306)*100000000+('Dvd Calendar'!$M$1308=SPECIAL_LBL)*10000000+(N('Dvd Calendar'!$M$1302)&gt;0)*(N('Dvd Calendar'!$M$1302)&lt;=VAL_SERIAL)*1000000+18*1000+9))</f>
        <v/>
      </c>
      <c r="EN133" s="39">
        <f>IF(N('Dvd Calendar'!$N$1303)=0,"",IF(('Dvd Calendar'!$N$1303&gt;=GRID_FROM)*('Dvd Calendar'!$N$1303&lt;=GRID_TO)*((('Dvd Calendar'!$N$1303&lt;=VAL_DATE)+(COUNTIF('Dvd Calendar'!$E$1310:$AR$1310,'Dvd Calendar'!$N$1303)=0))&gt;0)=0,"",'Dvd Calendar'!$N$1303*1000000000+ISNUMBER('Dvd Calendar'!$N$1306)*100000000+('Dvd Calendar'!$N$1308=SPECIAL_LBL)*10000000+(N('Dvd Calendar'!$N$1302)&gt;0)*(N('Dvd Calendar'!$N$1302)&lt;=VAL_SERIAL)*1000000+18*1000+10))</f>
        <v/>
      </c>
      <c r="EO133" s="39">
        <f>IF(N('Dvd Calendar'!$O$1303)=0,"",IF(('Dvd Calendar'!$O$1303&gt;=GRID_FROM)*('Dvd Calendar'!$O$1303&lt;=GRID_TO)*((('Dvd Calendar'!$O$1303&lt;=VAL_DATE)+(COUNTIF('Dvd Calendar'!$E$1310:$AR$1310,'Dvd Calendar'!$O$1303)=0))&gt;0)=0,"",'Dvd Calendar'!$O$1303*1000000000+ISNUMBER('Dvd Calendar'!$O$1306)*100000000+('Dvd Calendar'!$O$1308=SPECIAL_LBL)*10000000+(N('Dvd Calendar'!$O$1302)&gt;0)*(N('Dvd Calendar'!$O$1302)&lt;=VAL_SERIAL)*1000000+18*1000+11))</f>
        <v/>
      </c>
      <c r="EP133" s="39">
        <f>IF(N('Dvd Calendar'!$P$1303)=0,"",IF(('Dvd Calendar'!$P$1303&gt;=GRID_FROM)*('Dvd Calendar'!$P$1303&lt;=GRID_TO)*((('Dvd Calendar'!$P$1303&lt;=VAL_DATE)+(COUNTIF('Dvd Calendar'!$E$1310:$AR$1310,'Dvd Calendar'!$P$1303)=0))&gt;0)=0,"",'Dvd Calendar'!$P$1303*1000000000+ISNUMBER('Dvd Calendar'!$P$1306)*100000000+('Dvd Calendar'!$P$1308=SPECIAL_LBL)*10000000+(N('Dvd Calendar'!$P$1302)&gt;0)*(N('Dvd Calendar'!$P$1302)&lt;=VAL_SERIAL)*1000000+18*1000+12))</f>
        <v/>
      </c>
      <c r="EQ133" s="39">
        <f>IF(N('Dvd Calendar'!$Q$1303)=0,"",IF(('Dvd Calendar'!$Q$1303&gt;=GRID_FROM)*('Dvd Calendar'!$Q$1303&lt;=GRID_TO)*((('Dvd Calendar'!$Q$1303&lt;=VAL_DATE)+(COUNTIF('Dvd Calendar'!$E$1310:$AR$1310,'Dvd Calendar'!$Q$1303)=0))&gt;0)=0,"",'Dvd Calendar'!$Q$1303*1000000000+ISNUMBER('Dvd Calendar'!$Q$1306)*100000000+('Dvd Calendar'!$Q$1308=SPECIAL_LBL)*10000000+(N('Dvd Calendar'!$Q$1302)&gt;0)*(N('Dvd Calendar'!$Q$1302)&lt;=VAL_SERIAL)*1000000+18*1000+13))</f>
        <v/>
      </c>
      <c r="ER133" s="39">
        <f>IF(N('Dvd Calendar'!$R$1303)=0,"",IF(('Dvd Calendar'!$R$1303&gt;=GRID_FROM)*('Dvd Calendar'!$R$1303&lt;=GRID_TO)*((('Dvd Calendar'!$R$1303&lt;=VAL_DATE)+(COUNTIF('Dvd Calendar'!$E$1310:$AR$1310,'Dvd Calendar'!$R$1303)=0))&gt;0)=0,"",'Dvd Calendar'!$R$1303*1000000000+ISNUMBER('Dvd Calendar'!$R$1306)*100000000+('Dvd Calendar'!$R$1308=SPECIAL_LBL)*10000000+(N('Dvd Calendar'!$R$1302)&gt;0)*(N('Dvd Calendar'!$R$1302)&lt;=VAL_SERIAL)*1000000+18*1000+14))</f>
        <v/>
      </c>
      <c r="ES133" s="39">
        <f>IF(N('Dvd Calendar'!$S$1303)=0,"",IF(('Dvd Calendar'!$S$1303&gt;=GRID_FROM)*('Dvd Calendar'!$S$1303&lt;=GRID_TO)*((('Dvd Calendar'!$S$1303&lt;=VAL_DATE)+(COUNTIF('Dvd Calendar'!$E$1310:$AR$1310,'Dvd Calendar'!$S$1303)=0))&gt;0)=0,"",'Dvd Calendar'!$S$1303*1000000000+ISNUMBER('Dvd Calendar'!$S$1306)*100000000+('Dvd Calendar'!$S$1308=SPECIAL_LBL)*10000000+(N('Dvd Calendar'!$S$1302)&gt;0)*(N('Dvd Calendar'!$S$1302)&lt;=VAL_SERIAL)*1000000+18*1000+15))</f>
        <v/>
      </c>
      <c r="ET133" s="39">
        <f>IF(N('Dvd Calendar'!$T$1303)=0,"",IF(('Dvd Calendar'!$T$1303&gt;=GRID_FROM)*('Dvd Calendar'!$T$1303&lt;=GRID_TO)*((('Dvd Calendar'!$T$1303&lt;=VAL_DATE)+(COUNTIF('Dvd Calendar'!$E$1310:$AR$1310,'Dvd Calendar'!$T$1303)=0))&gt;0)=0,"",'Dvd Calendar'!$T$1303*1000000000+ISNUMBER('Dvd Calendar'!$T$1306)*100000000+('Dvd Calendar'!$T$1308=SPECIAL_LBL)*10000000+(N('Dvd Calendar'!$T$1302)&gt;0)*(N('Dvd Calendar'!$T$1302)&lt;=VAL_SERIAL)*1000000+18*1000+16))</f>
        <v/>
      </c>
      <c r="EU133" s="39">
        <f>IF(N('Dvd Calendar'!$U$1303)=0,"",IF(('Dvd Calendar'!$U$1303&gt;=GRID_FROM)*('Dvd Calendar'!$U$1303&lt;=GRID_TO)*((('Dvd Calendar'!$U$1303&lt;=VAL_DATE)+(COUNTIF('Dvd Calendar'!$E$1310:$AR$1310,'Dvd Calendar'!$U$1303)=0))&gt;0)=0,"",'Dvd Calendar'!$U$1303*1000000000+ISNUMBER('Dvd Calendar'!$U$1306)*100000000+('Dvd Calendar'!$U$1308=SPECIAL_LBL)*10000000+(N('Dvd Calendar'!$U$1302)&gt;0)*(N('Dvd Calendar'!$U$1302)&lt;=VAL_SERIAL)*1000000+18*1000+17))</f>
        <v/>
      </c>
      <c r="EV133" s="39">
        <f>IF(N('Dvd Calendar'!$V$1303)=0,"",IF(('Dvd Calendar'!$V$1303&gt;=GRID_FROM)*('Dvd Calendar'!$V$1303&lt;=GRID_TO)*((('Dvd Calendar'!$V$1303&lt;=VAL_DATE)+(COUNTIF('Dvd Calendar'!$E$1310:$AR$1310,'Dvd Calendar'!$V$1303)=0))&gt;0)=0,"",'Dvd Calendar'!$V$1303*1000000000+ISNUMBER('Dvd Calendar'!$V$1306)*100000000+('Dvd Calendar'!$V$1308=SPECIAL_LBL)*10000000+(N('Dvd Calendar'!$V$1302)&gt;0)*(N('Dvd Calendar'!$V$1302)&lt;=VAL_SERIAL)*1000000+18*1000+18))</f>
        <v/>
      </c>
      <c r="EW133" s="39">
        <f>IF(N('Dvd Calendar'!$W$1303)=0,"",IF(('Dvd Calendar'!$W$1303&gt;=GRID_FROM)*('Dvd Calendar'!$W$1303&lt;=GRID_TO)*((('Dvd Calendar'!$W$1303&lt;=VAL_DATE)+(COUNTIF('Dvd Calendar'!$E$1310:$AR$1310,'Dvd Calendar'!$W$1303)=0))&gt;0)=0,"",'Dvd Calendar'!$W$1303*1000000000+ISNUMBER('Dvd Calendar'!$W$1306)*100000000+('Dvd Calendar'!$W$1308=SPECIAL_LBL)*10000000+(N('Dvd Calendar'!$W$1302)&gt;0)*(N('Dvd Calendar'!$W$1302)&lt;=VAL_SERIAL)*1000000+18*1000+19))</f>
        <v/>
      </c>
      <c r="EX133" s="39">
        <f>IF(N('Dvd Calendar'!$X$1303)=0,"",IF(('Dvd Calendar'!$X$1303&gt;=GRID_FROM)*('Dvd Calendar'!$X$1303&lt;=GRID_TO)*((('Dvd Calendar'!$X$1303&lt;=VAL_DATE)+(COUNTIF('Dvd Calendar'!$E$1310:$AR$1310,'Dvd Calendar'!$X$1303)=0))&gt;0)=0,"",'Dvd Calendar'!$X$1303*1000000000+ISNUMBER('Dvd Calendar'!$X$1306)*100000000+('Dvd Calendar'!$X$1308=SPECIAL_LBL)*10000000+(N('Dvd Calendar'!$X$1302)&gt;0)*(N('Dvd Calendar'!$X$1302)&lt;=VAL_SERIAL)*1000000+18*1000+20))</f>
        <v/>
      </c>
      <c r="EY133" s="39">
        <f>IF(N('Dvd Calendar'!$Y$1303)=0,"",IF(('Dvd Calendar'!$Y$1303&gt;=GRID_FROM)*('Dvd Calendar'!$Y$1303&lt;=GRID_TO)*((('Dvd Calendar'!$Y$1303&lt;=VAL_DATE)+(COUNTIF('Dvd Calendar'!$E$1310:$AR$1310,'Dvd Calendar'!$Y$1303)=0))&gt;0)=0,"",'Dvd Calendar'!$Y$1303*1000000000+ISNUMBER('Dvd Calendar'!$Y$1306)*100000000+('Dvd Calendar'!$Y$1308=SPECIAL_LBL)*10000000+(N('Dvd Calendar'!$Y$1302)&gt;0)*(N('Dvd Calendar'!$Y$1302)&lt;=VAL_SERIAL)*1000000+18*1000+21))</f>
        <v/>
      </c>
      <c r="EZ133" s="39">
        <f>IF(N('Dvd Calendar'!$Z$1303)=0,"",IF(('Dvd Calendar'!$Z$1303&gt;=GRID_FROM)*('Dvd Calendar'!$Z$1303&lt;=GRID_TO)*((('Dvd Calendar'!$Z$1303&lt;=VAL_DATE)+(COUNTIF('Dvd Calendar'!$E$1310:$AR$1310,'Dvd Calendar'!$Z$1303)=0))&gt;0)=0,"",'Dvd Calendar'!$Z$1303*1000000000+ISNUMBER('Dvd Calendar'!$Z$1306)*100000000+('Dvd Calendar'!$Z$1308=SPECIAL_LBL)*10000000+(N('Dvd Calendar'!$Z$1302)&gt;0)*(N('Dvd Calendar'!$Z$1302)&lt;=VAL_SERIAL)*1000000+18*1000+22))</f>
        <v/>
      </c>
      <c r="FA133" s="39">
        <f>IF(N('Dvd Calendar'!$AA$1303)=0,"",IF(('Dvd Calendar'!$AA$1303&gt;=GRID_FROM)*('Dvd Calendar'!$AA$1303&lt;=GRID_TO)*((('Dvd Calendar'!$AA$1303&lt;=VAL_DATE)+(COUNTIF('Dvd Calendar'!$E$1310:$AR$1310,'Dvd Calendar'!$AA$1303)=0))&gt;0)=0,"",'Dvd Calendar'!$AA$1303*1000000000+ISNUMBER('Dvd Calendar'!$AA$1306)*100000000+('Dvd Calendar'!$AA$1308=SPECIAL_LBL)*10000000+(N('Dvd Calendar'!$AA$1302)&gt;0)*(N('Dvd Calendar'!$AA$1302)&lt;=VAL_SERIAL)*1000000+18*1000+23))</f>
        <v/>
      </c>
      <c r="FB133" s="39">
        <f>IF(N('Dvd Calendar'!$AB$1303)=0,"",IF(('Dvd Calendar'!$AB$1303&gt;=GRID_FROM)*('Dvd Calendar'!$AB$1303&lt;=GRID_TO)*((('Dvd Calendar'!$AB$1303&lt;=VAL_DATE)+(COUNTIF('Dvd Calendar'!$E$1310:$AR$1310,'Dvd Calendar'!$AB$1303)=0))&gt;0)=0,"",'Dvd Calendar'!$AB$1303*1000000000+ISNUMBER('Dvd Calendar'!$AB$1306)*100000000+('Dvd Calendar'!$AB$1308=SPECIAL_LBL)*10000000+(N('Dvd Calendar'!$AB$1302)&gt;0)*(N('Dvd Calendar'!$AB$1302)&lt;=VAL_SERIAL)*1000000+18*1000+24))</f>
        <v/>
      </c>
      <c r="FC133" s="39">
        <f>IF(N('Dvd Calendar'!$AC$1303)=0,"",IF(('Dvd Calendar'!$AC$1303&gt;=GRID_FROM)*('Dvd Calendar'!$AC$1303&lt;=GRID_TO)*((('Dvd Calendar'!$AC$1303&lt;=VAL_DATE)+(COUNTIF('Dvd Calendar'!$E$1310:$AR$1310,'Dvd Calendar'!$AC$1303)=0))&gt;0)=0,"",'Dvd Calendar'!$AC$1303*1000000000+ISNUMBER('Dvd Calendar'!$AC$1306)*100000000+('Dvd Calendar'!$AC$1308=SPECIAL_LBL)*10000000+(N('Dvd Calendar'!$AC$1302)&gt;0)*(N('Dvd Calendar'!$AC$1302)&lt;=VAL_SERIAL)*1000000+18*1000+25))</f>
        <v/>
      </c>
      <c r="FD133" s="39">
        <f>IF(N('Dvd Calendar'!$AD$1303)=0,"",IF(('Dvd Calendar'!$AD$1303&gt;=GRID_FROM)*('Dvd Calendar'!$AD$1303&lt;=GRID_TO)*((('Dvd Calendar'!$AD$1303&lt;=VAL_DATE)+(COUNTIF('Dvd Calendar'!$E$1310:$AR$1310,'Dvd Calendar'!$AD$1303)=0))&gt;0)=0,"",'Dvd Calendar'!$AD$1303*1000000000+ISNUMBER('Dvd Calendar'!$AD$1306)*100000000+('Dvd Calendar'!$AD$1308=SPECIAL_LBL)*10000000+(N('Dvd Calendar'!$AD$1302)&gt;0)*(N('Dvd Calendar'!$AD$1302)&lt;=VAL_SERIAL)*1000000+18*1000+26))</f>
        <v/>
      </c>
      <c r="FE133" s="39">
        <f>IF(N('Dvd Calendar'!$AE$1303)=0,"",IF(('Dvd Calendar'!$AE$1303&gt;=GRID_FROM)*('Dvd Calendar'!$AE$1303&lt;=GRID_TO)*((('Dvd Calendar'!$AE$1303&lt;=VAL_DATE)+(COUNTIF('Dvd Calendar'!$E$1310:$AR$1310,'Dvd Calendar'!$AE$1303)=0))&gt;0)=0,"",'Dvd Calendar'!$AE$1303*1000000000+ISNUMBER('Dvd Calendar'!$AE$1306)*100000000+('Dvd Calendar'!$AE$1308=SPECIAL_LBL)*10000000+(N('Dvd Calendar'!$AE$1302)&gt;0)*(N('Dvd Calendar'!$AE$1302)&lt;=VAL_SERIAL)*1000000+18*1000+27))</f>
        <v/>
      </c>
      <c r="FF133" s="39">
        <f>IF(N('Dvd Calendar'!$AF$1303)=0,"",IF(('Dvd Calendar'!$AF$1303&gt;=GRID_FROM)*('Dvd Calendar'!$AF$1303&lt;=GRID_TO)*((('Dvd Calendar'!$AF$1303&lt;=VAL_DATE)+(COUNTIF('Dvd Calendar'!$E$1310:$AR$1310,'Dvd Calendar'!$AF$1303)=0))&gt;0)=0,"",'Dvd Calendar'!$AF$1303*1000000000+ISNUMBER('Dvd Calendar'!$AF$1306)*100000000+('Dvd Calendar'!$AF$1308=SPECIAL_LBL)*10000000+(N('Dvd Calendar'!$AF$1302)&gt;0)*(N('Dvd Calendar'!$AF$1302)&lt;=VAL_SERIAL)*1000000+18*1000+28))</f>
        <v/>
      </c>
      <c r="FG133" s="39">
        <f>IF(N('Dvd Calendar'!$AG$1303)=0,"",IF(('Dvd Calendar'!$AG$1303&gt;=GRID_FROM)*('Dvd Calendar'!$AG$1303&lt;=GRID_TO)*((('Dvd Calendar'!$AG$1303&lt;=VAL_DATE)+(COUNTIF('Dvd Calendar'!$E$1310:$AR$1310,'Dvd Calendar'!$AG$1303)=0))&gt;0)=0,"",'Dvd Calendar'!$AG$1303*1000000000+ISNUMBER('Dvd Calendar'!$AG$1306)*100000000+('Dvd Calendar'!$AG$1308=SPECIAL_LBL)*10000000+(N('Dvd Calendar'!$AG$1302)&gt;0)*(N('Dvd Calendar'!$AG$1302)&lt;=VAL_SERIAL)*1000000+18*1000+29))</f>
        <v/>
      </c>
      <c r="FH133" s="39">
        <f>IF(N('Dvd Calendar'!$AH$1303)=0,"",IF(('Dvd Calendar'!$AH$1303&gt;=GRID_FROM)*('Dvd Calendar'!$AH$1303&lt;=GRID_TO)*((('Dvd Calendar'!$AH$1303&lt;=VAL_DATE)+(COUNTIF('Dvd Calendar'!$E$1310:$AR$1310,'Dvd Calendar'!$AH$1303)=0))&gt;0)=0,"",'Dvd Calendar'!$AH$1303*1000000000+ISNUMBER('Dvd Calendar'!$AH$1306)*100000000+('Dvd Calendar'!$AH$1308=SPECIAL_LBL)*10000000+(N('Dvd Calendar'!$AH$1302)&gt;0)*(N('Dvd Calendar'!$AH$1302)&lt;=VAL_SERIAL)*1000000+18*1000+30))</f>
        <v/>
      </c>
      <c r="FI133" s="39">
        <f>IF(N('Dvd Calendar'!$AI$1303)=0,"",IF(('Dvd Calendar'!$AI$1303&gt;=GRID_FROM)*('Dvd Calendar'!$AI$1303&lt;=GRID_TO)*((('Dvd Calendar'!$AI$1303&lt;=VAL_DATE)+(COUNTIF('Dvd Calendar'!$E$1310:$AR$1310,'Dvd Calendar'!$AI$1303)=0))&gt;0)=0,"",'Dvd Calendar'!$AI$1303*1000000000+ISNUMBER('Dvd Calendar'!$AI$1306)*100000000+('Dvd Calendar'!$AI$1308=SPECIAL_LBL)*10000000+(N('Dvd Calendar'!$AI$1302)&gt;0)*(N('Dvd Calendar'!$AI$1302)&lt;=VAL_SERIAL)*1000000+18*1000+31))</f>
        <v/>
      </c>
      <c r="FJ133" s="39">
        <f>IF(N('Dvd Calendar'!$AJ$1303)=0,"",IF(('Dvd Calendar'!$AJ$1303&gt;=GRID_FROM)*('Dvd Calendar'!$AJ$1303&lt;=GRID_TO)*((('Dvd Calendar'!$AJ$1303&lt;=VAL_DATE)+(COUNTIF('Dvd Calendar'!$E$1310:$AR$1310,'Dvd Calendar'!$AJ$1303)=0))&gt;0)=0,"",'Dvd Calendar'!$AJ$1303*1000000000+ISNUMBER('Dvd Calendar'!$AJ$1306)*100000000+('Dvd Calendar'!$AJ$1308=SPECIAL_LBL)*10000000+(N('Dvd Calendar'!$AJ$1302)&gt;0)*(N('Dvd Calendar'!$AJ$1302)&lt;=VAL_SERIAL)*1000000+18*1000+32))</f>
        <v/>
      </c>
      <c r="FK133" s="39">
        <f>IF(N('Dvd Calendar'!$AK$1303)=0,"",IF(('Dvd Calendar'!$AK$1303&gt;=GRID_FROM)*('Dvd Calendar'!$AK$1303&lt;=GRID_TO)*((('Dvd Calendar'!$AK$1303&lt;=VAL_DATE)+(COUNTIF('Dvd Calendar'!$E$1310:$AR$1310,'Dvd Calendar'!$AK$1303)=0))&gt;0)=0,"",'Dvd Calendar'!$AK$1303*1000000000+ISNUMBER('Dvd Calendar'!$AK$1306)*100000000+('Dvd Calendar'!$AK$1308=SPECIAL_LBL)*10000000+(N('Dvd Calendar'!$AK$1302)&gt;0)*(N('Dvd Calendar'!$AK$1302)&lt;=VAL_SERIAL)*1000000+18*1000+33))</f>
        <v/>
      </c>
      <c r="FL133" s="39">
        <f>IF(N('Dvd Calendar'!$AL$1303)=0,"",IF(('Dvd Calendar'!$AL$1303&gt;=GRID_FROM)*('Dvd Calendar'!$AL$1303&lt;=GRID_TO)*((('Dvd Calendar'!$AL$1303&lt;=VAL_DATE)+(COUNTIF('Dvd Calendar'!$E$1310:$AR$1310,'Dvd Calendar'!$AL$1303)=0))&gt;0)=0,"",'Dvd Calendar'!$AL$1303*1000000000+ISNUMBER('Dvd Calendar'!$AL$1306)*100000000+('Dvd Calendar'!$AL$1308=SPECIAL_LBL)*10000000+(N('Dvd Calendar'!$AL$1302)&gt;0)*(N('Dvd Calendar'!$AL$1302)&lt;=VAL_SERIAL)*1000000+18*1000+34))</f>
        <v/>
      </c>
      <c r="FM133" s="39">
        <f>IF(N('Dvd Calendar'!$AM$1303)=0,"",IF(('Dvd Calendar'!$AM$1303&gt;=GRID_FROM)*('Dvd Calendar'!$AM$1303&lt;=GRID_TO)*((('Dvd Calendar'!$AM$1303&lt;=VAL_DATE)+(COUNTIF('Dvd Calendar'!$E$1310:$AR$1310,'Dvd Calendar'!$AM$1303)=0))&gt;0)=0,"",'Dvd Calendar'!$AM$1303*1000000000+ISNUMBER('Dvd Calendar'!$AM$1306)*100000000+('Dvd Calendar'!$AM$1308=SPECIAL_LBL)*10000000+(N('Dvd Calendar'!$AM$1302)&gt;0)*(N('Dvd Calendar'!$AM$1302)&lt;=VAL_SERIAL)*1000000+18*1000+35))</f>
        <v/>
      </c>
      <c r="FN133" s="39">
        <f>IF(N('Dvd Calendar'!$AN$1303)=0,"",IF(('Dvd Calendar'!$AN$1303&gt;=GRID_FROM)*('Dvd Calendar'!$AN$1303&lt;=GRID_TO)*((('Dvd Calendar'!$AN$1303&lt;=VAL_DATE)+(COUNTIF('Dvd Calendar'!$E$1310:$AR$1310,'Dvd Calendar'!$AN$1303)=0))&gt;0)=0,"",'Dvd Calendar'!$AN$1303*1000000000+ISNUMBER('Dvd Calendar'!$AN$1306)*100000000+('Dvd Calendar'!$AN$1308=SPECIAL_LBL)*10000000+(N('Dvd Calendar'!$AN$1302)&gt;0)*(N('Dvd Calendar'!$AN$1302)&lt;=VAL_SERIAL)*1000000+18*1000+36))</f>
        <v/>
      </c>
      <c r="FO133" s="39">
        <f>IF(N('Dvd Calendar'!$AO$1303)=0,"",IF(('Dvd Calendar'!$AO$1303&gt;=GRID_FROM)*('Dvd Calendar'!$AO$1303&lt;=GRID_TO)*((('Dvd Calendar'!$AO$1303&lt;=VAL_DATE)+(COUNTIF('Dvd Calendar'!$E$1310:$AR$1310,'Dvd Calendar'!$AO$1303)=0))&gt;0)=0,"",'Dvd Calendar'!$AO$1303*1000000000+ISNUMBER('Dvd Calendar'!$AO$1306)*100000000+('Dvd Calendar'!$AO$1308=SPECIAL_LBL)*10000000+(N('Dvd Calendar'!$AO$1302)&gt;0)*(N('Dvd Calendar'!$AO$1302)&lt;=VAL_SERIAL)*1000000+18*1000+37))</f>
        <v/>
      </c>
      <c r="FP133" s="39">
        <f>IF(N('Dvd Calendar'!$AP$1303)=0,"",IF(('Dvd Calendar'!$AP$1303&gt;=GRID_FROM)*('Dvd Calendar'!$AP$1303&lt;=GRID_TO)*((('Dvd Calendar'!$AP$1303&lt;=VAL_DATE)+(COUNTIF('Dvd Calendar'!$E$1310:$AR$1310,'Dvd Calendar'!$AP$1303)=0))&gt;0)=0,"",'Dvd Calendar'!$AP$1303*1000000000+ISNUMBER('Dvd Calendar'!$AP$1306)*100000000+('Dvd Calendar'!$AP$1308=SPECIAL_LBL)*10000000+(N('Dvd Calendar'!$AP$1302)&gt;0)*(N('Dvd Calendar'!$AP$1302)&lt;=VAL_SERIAL)*1000000+18*1000+38))</f>
        <v/>
      </c>
      <c r="FQ133" s="39">
        <f>IF(N('Dvd Calendar'!$AQ$1303)=0,"",IF(('Dvd Calendar'!$AQ$1303&gt;=GRID_FROM)*('Dvd Calendar'!$AQ$1303&lt;=GRID_TO)*((('Dvd Calendar'!$AQ$1303&lt;=VAL_DATE)+(COUNTIF('Dvd Calendar'!$E$1310:$AR$1310,'Dvd Calendar'!$AQ$1303)=0))&gt;0)=0,"",'Dvd Calendar'!$AQ$1303*1000000000+ISNUMBER('Dvd Calendar'!$AQ$1306)*100000000+('Dvd Calendar'!$AQ$1308=SPECIAL_LBL)*10000000+(N('Dvd Calendar'!$AQ$1302)&gt;0)*(N('Dvd Calendar'!$AQ$1302)&lt;=VAL_SERIAL)*1000000+18*1000+39))</f>
        <v/>
      </c>
      <c r="FR133" s="39">
        <f>IF(N('Dvd Calendar'!$AR$1303)=0,"",IF(('Dvd Calendar'!$AR$1303&gt;=GRID_FROM)*('Dvd Calendar'!$AR$1303&lt;=GRID_TO)*((('Dvd Calendar'!$AR$1303&lt;=VAL_DATE)+(COUNTIF('Dvd Calendar'!$E$1310:$AR$1310,'Dvd Calendar'!$AR$1303)=0))&gt;0)=0,"",'Dvd Calendar'!$AR$1303*1000000000+ISNUMBER('Dvd Calendar'!$AR$1306)*100000000+('Dvd Calendar'!$AR$1308=SPECIAL_LBL)*10000000+(N('Dvd Calendar'!$AR$1302)&gt;0)*(N('Dvd Calendar'!$AR$1302)&lt;=VAL_SERIAL)*1000000+18*1000+40))</f>
        <v/>
      </c>
      <c r="FS133" s="39">
        <f>IF(N('Dvd Calendar'!$E$1310)=0,"",IF(('Dvd Calendar'!$E$1310&gt;=GRID_FROM)*('Dvd Calendar'!$E$1310&lt;=GRID_TO)*('Dvd Calendar'!$E$1310&gt;VAL_DATE)=0,"",'Dvd Calendar'!$E$1310*1000000000+ISNUMBER('Dvd Calendar'!$E$1311)*100000000+0*10000000+(N('Dvd Calendar'!$E$1309)&gt;0)*(N('Dvd Calendar'!$E$1309)&lt;=VAL_SERIAL)*1000000+18*1000+41))</f>
        <v/>
      </c>
      <c r="FT133" s="39">
        <f>IF(N('Dvd Calendar'!$F$1310)=0,"",IF(('Dvd Calendar'!$F$1310&gt;=GRID_FROM)*('Dvd Calendar'!$F$1310&lt;=GRID_TO)*('Dvd Calendar'!$F$1310&gt;VAL_DATE)=0,"",'Dvd Calendar'!$F$1310*1000000000+ISNUMBER('Dvd Calendar'!$F$1311)*100000000+0*10000000+(N('Dvd Calendar'!$F$1309)&gt;0)*(N('Dvd Calendar'!$F$1309)&lt;=VAL_SERIAL)*1000000+18*1000+42))</f>
        <v/>
      </c>
      <c r="FU133" s="39">
        <f>IF(N('Dvd Calendar'!$G$1310)=0,"",IF(('Dvd Calendar'!$G$1310&gt;=GRID_FROM)*('Dvd Calendar'!$G$1310&lt;=GRID_TO)*('Dvd Calendar'!$G$1310&gt;VAL_DATE)=0,"",'Dvd Calendar'!$G$1310*1000000000+ISNUMBER('Dvd Calendar'!$G$1311)*100000000+0*10000000+(N('Dvd Calendar'!$G$1309)&gt;0)*(N('Dvd Calendar'!$G$1309)&lt;=VAL_SERIAL)*1000000+18*1000+43))</f>
        <v/>
      </c>
      <c r="FV133" s="39">
        <f>IF(N('Dvd Calendar'!$H$1310)=0,"",IF(('Dvd Calendar'!$H$1310&gt;=GRID_FROM)*('Dvd Calendar'!$H$1310&lt;=GRID_TO)*('Dvd Calendar'!$H$1310&gt;VAL_DATE)=0,"",'Dvd Calendar'!$H$1310*1000000000+ISNUMBER('Dvd Calendar'!$H$1311)*100000000+0*10000000+(N('Dvd Calendar'!$H$1309)&gt;0)*(N('Dvd Calendar'!$H$1309)&lt;=VAL_SERIAL)*1000000+18*1000+44))</f>
        <v/>
      </c>
      <c r="FW133" s="39">
        <f>IF(N('Dvd Calendar'!$I$1310)=0,"",IF(('Dvd Calendar'!$I$1310&gt;=GRID_FROM)*('Dvd Calendar'!$I$1310&lt;=GRID_TO)*('Dvd Calendar'!$I$1310&gt;VAL_DATE)=0,"",'Dvd Calendar'!$I$1310*1000000000+ISNUMBER('Dvd Calendar'!$I$1311)*100000000+0*10000000+(N('Dvd Calendar'!$I$1309)&gt;0)*(N('Dvd Calendar'!$I$1309)&lt;=VAL_SERIAL)*1000000+18*1000+45))</f>
        <v/>
      </c>
      <c r="FX133" s="39">
        <f>IF(N('Dvd Calendar'!$J$1310)=0,"",IF(('Dvd Calendar'!$J$1310&gt;=GRID_FROM)*('Dvd Calendar'!$J$1310&lt;=GRID_TO)*('Dvd Calendar'!$J$1310&gt;VAL_DATE)=0,"",'Dvd Calendar'!$J$1310*1000000000+ISNUMBER('Dvd Calendar'!$J$1311)*100000000+0*10000000+(N('Dvd Calendar'!$J$1309)&gt;0)*(N('Dvd Calendar'!$J$1309)&lt;=VAL_SERIAL)*1000000+18*1000+46))</f>
        <v/>
      </c>
      <c r="FY133" s="39">
        <f>IF(N('Dvd Calendar'!$K$1310)=0,"",IF(('Dvd Calendar'!$K$1310&gt;=GRID_FROM)*('Dvd Calendar'!$K$1310&lt;=GRID_TO)*('Dvd Calendar'!$K$1310&gt;VAL_DATE)=0,"",'Dvd Calendar'!$K$1310*1000000000+ISNUMBER('Dvd Calendar'!$K$1311)*100000000+0*10000000+(N('Dvd Calendar'!$K$1309)&gt;0)*(N('Dvd Calendar'!$K$1309)&lt;=VAL_SERIAL)*1000000+18*1000+47))</f>
        <v/>
      </c>
      <c r="FZ133" s="39">
        <f>IF(N('Dvd Calendar'!$L$1310)=0,"",IF(('Dvd Calendar'!$L$1310&gt;=GRID_FROM)*('Dvd Calendar'!$L$1310&lt;=GRID_TO)*('Dvd Calendar'!$L$1310&gt;VAL_DATE)=0,"",'Dvd Calendar'!$L$1310*1000000000+ISNUMBER('Dvd Calendar'!$L$1311)*100000000+0*10000000+(N('Dvd Calendar'!$L$1309)&gt;0)*(N('Dvd Calendar'!$L$1309)&lt;=VAL_SERIAL)*1000000+18*1000+48))</f>
        <v/>
      </c>
      <c r="GA133" s="39">
        <f>IF(N('Dvd Calendar'!$M$1310)=0,"",IF(('Dvd Calendar'!$M$1310&gt;=GRID_FROM)*('Dvd Calendar'!$M$1310&lt;=GRID_TO)*('Dvd Calendar'!$M$1310&gt;VAL_DATE)=0,"",'Dvd Calendar'!$M$1310*1000000000+ISNUMBER('Dvd Calendar'!$M$1311)*100000000+0*10000000+(N('Dvd Calendar'!$M$1309)&gt;0)*(N('Dvd Calendar'!$M$1309)&lt;=VAL_SERIAL)*1000000+18*1000+49))</f>
        <v/>
      </c>
      <c r="GB133" s="39">
        <f>IF(N('Dvd Calendar'!$N$1310)=0,"",IF(('Dvd Calendar'!$N$1310&gt;=GRID_FROM)*('Dvd Calendar'!$N$1310&lt;=GRID_TO)*('Dvd Calendar'!$N$1310&gt;VAL_DATE)=0,"",'Dvd Calendar'!$N$1310*1000000000+ISNUMBER('Dvd Calendar'!$N$1311)*100000000+0*10000000+(N('Dvd Calendar'!$N$1309)&gt;0)*(N('Dvd Calendar'!$N$1309)&lt;=VAL_SERIAL)*1000000+18*1000+50))</f>
        <v/>
      </c>
      <c r="GC133" s="39">
        <f>IF(N('Dvd Calendar'!$O$1310)=0,"",IF(('Dvd Calendar'!$O$1310&gt;=GRID_FROM)*('Dvd Calendar'!$O$1310&lt;=GRID_TO)*('Dvd Calendar'!$O$1310&gt;VAL_DATE)=0,"",'Dvd Calendar'!$O$1310*1000000000+ISNUMBER('Dvd Calendar'!$O$1311)*100000000+0*10000000+(N('Dvd Calendar'!$O$1309)&gt;0)*(N('Dvd Calendar'!$O$1309)&lt;=VAL_SERIAL)*1000000+18*1000+51))</f>
        <v/>
      </c>
      <c r="GD133" s="39">
        <f>IF(N('Dvd Calendar'!$P$1310)=0,"",IF(('Dvd Calendar'!$P$1310&gt;=GRID_FROM)*('Dvd Calendar'!$P$1310&lt;=GRID_TO)*('Dvd Calendar'!$P$1310&gt;VAL_DATE)=0,"",'Dvd Calendar'!$P$1310*1000000000+ISNUMBER('Dvd Calendar'!$P$1311)*100000000+0*10000000+(N('Dvd Calendar'!$P$1309)&gt;0)*(N('Dvd Calendar'!$P$1309)&lt;=VAL_SERIAL)*1000000+18*1000+52))</f>
        <v/>
      </c>
      <c r="GE133" s="39">
        <f>IF(N('Dvd Calendar'!$Q$1310)=0,"",IF(('Dvd Calendar'!$Q$1310&gt;=GRID_FROM)*('Dvd Calendar'!$Q$1310&lt;=GRID_TO)*('Dvd Calendar'!$Q$1310&gt;VAL_DATE)=0,"",'Dvd Calendar'!$Q$1310*1000000000+ISNUMBER('Dvd Calendar'!$Q$1311)*100000000+0*10000000+(N('Dvd Calendar'!$Q$1309)&gt;0)*(N('Dvd Calendar'!$Q$1309)&lt;=VAL_SERIAL)*1000000+18*1000+53))</f>
        <v/>
      </c>
      <c r="GF133" s="39">
        <f>IF(N('Dvd Calendar'!$R$1310)=0,"",IF(('Dvd Calendar'!$R$1310&gt;=GRID_FROM)*('Dvd Calendar'!$R$1310&lt;=GRID_TO)*('Dvd Calendar'!$R$1310&gt;VAL_DATE)=0,"",'Dvd Calendar'!$R$1310*1000000000+ISNUMBER('Dvd Calendar'!$R$1311)*100000000+0*10000000+(N('Dvd Calendar'!$R$1309)&gt;0)*(N('Dvd Calendar'!$R$1309)&lt;=VAL_SERIAL)*1000000+18*1000+54))</f>
        <v/>
      </c>
      <c r="GG133" s="39">
        <f>IF(N('Dvd Calendar'!$S$1310)=0,"",IF(('Dvd Calendar'!$S$1310&gt;=GRID_FROM)*('Dvd Calendar'!$S$1310&lt;=GRID_TO)*('Dvd Calendar'!$S$1310&gt;VAL_DATE)=0,"",'Dvd Calendar'!$S$1310*1000000000+ISNUMBER('Dvd Calendar'!$S$1311)*100000000+0*10000000+(N('Dvd Calendar'!$S$1309)&gt;0)*(N('Dvd Calendar'!$S$1309)&lt;=VAL_SERIAL)*1000000+18*1000+55))</f>
        <v/>
      </c>
      <c r="GH133" s="39">
        <f>IF(N('Dvd Calendar'!$T$1310)=0,"",IF(('Dvd Calendar'!$T$1310&gt;=GRID_FROM)*('Dvd Calendar'!$T$1310&lt;=GRID_TO)*('Dvd Calendar'!$T$1310&gt;VAL_DATE)=0,"",'Dvd Calendar'!$T$1310*1000000000+ISNUMBER('Dvd Calendar'!$T$1311)*100000000+0*10000000+(N('Dvd Calendar'!$T$1309)&gt;0)*(N('Dvd Calendar'!$T$1309)&lt;=VAL_SERIAL)*1000000+18*1000+56))</f>
        <v/>
      </c>
      <c r="GI133" s="39">
        <f>IF(N('Dvd Calendar'!$U$1310)=0,"",IF(('Dvd Calendar'!$U$1310&gt;=GRID_FROM)*('Dvd Calendar'!$U$1310&lt;=GRID_TO)*('Dvd Calendar'!$U$1310&gt;VAL_DATE)=0,"",'Dvd Calendar'!$U$1310*1000000000+ISNUMBER('Dvd Calendar'!$U$1311)*100000000+0*10000000+(N('Dvd Calendar'!$U$1309)&gt;0)*(N('Dvd Calendar'!$U$1309)&lt;=VAL_SERIAL)*1000000+18*1000+57))</f>
        <v/>
      </c>
      <c r="GJ133" s="39">
        <f>IF(N('Dvd Calendar'!$V$1310)=0,"",IF(('Dvd Calendar'!$V$1310&gt;=GRID_FROM)*('Dvd Calendar'!$V$1310&lt;=GRID_TO)*('Dvd Calendar'!$V$1310&gt;VAL_DATE)=0,"",'Dvd Calendar'!$V$1310*1000000000+ISNUMBER('Dvd Calendar'!$V$1311)*100000000+0*10000000+(N('Dvd Calendar'!$V$1309)&gt;0)*(N('Dvd Calendar'!$V$1309)&lt;=VAL_SERIAL)*1000000+18*1000+58))</f>
        <v/>
      </c>
      <c r="GK133" s="39">
        <f>IF(N('Dvd Calendar'!$W$1310)=0,"",IF(('Dvd Calendar'!$W$1310&gt;=GRID_FROM)*('Dvd Calendar'!$W$1310&lt;=GRID_TO)*('Dvd Calendar'!$W$1310&gt;VAL_DATE)=0,"",'Dvd Calendar'!$W$1310*1000000000+ISNUMBER('Dvd Calendar'!$W$1311)*100000000+0*10000000+(N('Dvd Calendar'!$W$1309)&gt;0)*(N('Dvd Calendar'!$W$1309)&lt;=VAL_SERIAL)*1000000+18*1000+59))</f>
        <v/>
      </c>
      <c r="GL133" s="39">
        <f>IF(N('Dvd Calendar'!$X$1310)=0,"",IF(('Dvd Calendar'!$X$1310&gt;=GRID_FROM)*('Dvd Calendar'!$X$1310&lt;=GRID_TO)*('Dvd Calendar'!$X$1310&gt;VAL_DATE)=0,"",'Dvd Calendar'!$X$1310*1000000000+ISNUMBER('Dvd Calendar'!$X$1311)*100000000+0*10000000+(N('Dvd Calendar'!$X$1309)&gt;0)*(N('Dvd Calendar'!$X$1309)&lt;=VAL_SERIAL)*1000000+18*1000+60))</f>
        <v/>
      </c>
      <c r="GM133" s="39">
        <f>IF(N('Dvd Calendar'!$Y$1310)=0,"",IF(('Dvd Calendar'!$Y$1310&gt;=GRID_FROM)*('Dvd Calendar'!$Y$1310&lt;=GRID_TO)*('Dvd Calendar'!$Y$1310&gt;VAL_DATE)=0,"",'Dvd Calendar'!$Y$1310*1000000000+ISNUMBER('Dvd Calendar'!$Y$1311)*100000000+0*10000000+(N('Dvd Calendar'!$Y$1309)&gt;0)*(N('Dvd Calendar'!$Y$1309)&lt;=VAL_SERIAL)*1000000+18*1000+61))</f>
        <v/>
      </c>
      <c r="GN133" s="39">
        <f>IF(N('Dvd Calendar'!$Z$1310)=0,"",IF(('Dvd Calendar'!$Z$1310&gt;=GRID_FROM)*('Dvd Calendar'!$Z$1310&lt;=GRID_TO)*('Dvd Calendar'!$Z$1310&gt;VAL_DATE)=0,"",'Dvd Calendar'!$Z$1310*1000000000+ISNUMBER('Dvd Calendar'!$Z$1311)*100000000+0*10000000+(N('Dvd Calendar'!$Z$1309)&gt;0)*(N('Dvd Calendar'!$Z$1309)&lt;=VAL_SERIAL)*1000000+18*1000+62))</f>
        <v/>
      </c>
      <c r="GO133" s="39">
        <f>IF(N('Dvd Calendar'!$AA$1310)=0,"",IF(('Dvd Calendar'!$AA$1310&gt;=GRID_FROM)*('Dvd Calendar'!$AA$1310&lt;=GRID_TO)*('Dvd Calendar'!$AA$1310&gt;VAL_DATE)=0,"",'Dvd Calendar'!$AA$1310*1000000000+ISNUMBER('Dvd Calendar'!$AA$1311)*100000000+0*10000000+(N('Dvd Calendar'!$AA$1309)&gt;0)*(N('Dvd Calendar'!$AA$1309)&lt;=VAL_SERIAL)*1000000+18*1000+63))</f>
        <v/>
      </c>
      <c r="GP133" s="39">
        <f>IF(N('Dvd Calendar'!$AB$1310)=0,"",IF(('Dvd Calendar'!$AB$1310&gt;=GRID_FROM)*('Dvd Calendar'!$AB$1310&lt;=GRID_TO)*('Dvd Calendar'!$AB$1310&gt;VAL_DATE)=0,"",'Dvd Calendar'!$AB$1310*1000000000+ISNUMBER('Dvd Calendar'!$AB$1311)*100000000+0*10000000+(N('Dvd Calendar'!$AB$1309)&gt;0)*(N('Dvd Calendar'!$AB$1309)&lt;=VAL_SERIAL)*1000000+18*1000+64))</f>
        <v/>
      </c>
      <c r="GQ133" s="39">
        <f>IF(N('Dvd Calendar'!$AC$1310)=0,"",IF(('Dvd Calendar'!$AC$1310&gt;=GRID_FROM)*('Dvd Calendar'!$AC$1310&lt;=GRID_TO)*('Dvd Calendar'!$AC$1310&gt;VAL_DATE)=0,"",'Dvd Calendar'!$AC$1310*1000000000+ISNUMBER('Dvd Calendar'!$AC$1311)*100000000+0*10000000+(N('Dvd Calendar'!$AC$1309)&gt;0)*(N('Dvd Calendar'!$AC$1309)&lt;=VAL_SERIAL)*1000000+18*1000+65))</f>
        <v/>
      </c>
    </row>
    <row r="134">
      <c r="B134" s="2">
        <f>IF(HSTECH!$C$25="","",HSTECH!$C$25)</f>
        <v/>
      </c>
      <c r="C134" s="110">
        <f>IF(EE134="","",IF(ISNUMBER('Dvd Calendar'!$E$1317)=FALSE,"",IF((('Dvd Calendar'!$E$1319=TYPE1)*(TYPE1&lt;&gt;"")+('Dvd Calendar'!$E$1319=TYPE2)*(TYPE2&lt;&gt;"")+('Dvd Calendar'!$E$1319=TYPE3)*(TYPE3&lt;&gt;"")+('Dvd Calendar'!$E$1319=TYPE4)*(TYPE4&lt;&gt;"")+('Dvd Calendar'!$E$1319=SPECIAL_LBL)*(INC_SPECIALS="Y"))=0,"",'Dvd Calendar'!$E$1317)))</f>
        <v/>
      </c>
      <c r="D134" s="110">
        <f>IF(EF134="","",IF(ISNUMBER('Dvd Calendar'!$F$1317)=FALSE,"",IF((('Dvd Calendar'!$F$1319=TYPE1)*(TYPE1&lt;&gt;"")+('Dvd Calendar'!$F$1319=TYPE2)*(TYPE2&lt;&gt;"")+('Dvd Calendar'!$F$1319=TYPE3)*(TYPE3&lt;&gt;"")+('Dvd Calendar'!$F$1319=TYPE4)*(TYPE4&lt;&gt;"")+('Dvd Calendar'!$F$1319=SPECIAL_LBL)*(INC_SPECIALS="Y"))=0,"",'Dvd Calendar'!$F$1317)))</f>
        <v/>
      </c>
      <c r="E134" s="110">
        <f>IF(EG134="","",IF(ISNUMBER('Dvd Calendar'!$G$1317)=FALSE,"",IF((('Dvd Calendar'!$G$1319=TYPE1)*(TYPE1&lt;&gt;"")+('Dvd Calendar'!$G$1319=TYPE2)*(TYPE2&lt;&gt;"")+('Dvd Calendar'!$G$1319=TYPE3)*(TYPE3&lt;&gt;"")+('Dvd Calendar'!$G$1319=TYPE4)*(TYPE4&lt;&gt;"")+('Dvd Calendar'!$G$1319=SPECIAL_LBL)*(INC_SPECIALS="Y"))=0,"",'Dvd Calendar'!$G$1317)))</f>
        <v/>
      </c>
      <c r="F134" s="110">
        <f>IF(EH134="","",IF(ISNUMBER('Dvd Calendar'!$H$1317)=FALSE,"",IF((('Dvd Calendar'!$H$1319=TYPE1)*(TYPE1&lt;&gt;"")+('Dvd Calendar'!$H$1319=TYPE2)*(TYPE2&lt;&gt;"")+('Dvd Calendar'!$H$1319=TYPE3)*(TYPE3&lt;&gt;"")+('Dvd Calendar'!$H$1319=TYPE4)*(TYPE4&lt;&gt;"")+('Dvd Calendar'!$H$1319=SPECIAL_LBL)*(INC_SPECIALS="Y"))=0,"",'Dvd Calendar'!$H$1317)))</f>
        <v/>
      </c>
      <c r="G134" s="110">
        <f>IF(EI134="","",IF(ISNUMBER('Dvd Calendar'!$I$1317)=FALSE,"",IF((('Dvd Calendar'!$I$1319=TYPE1)*(TYPE1&lt;&gt;"")+('Dvd Calendar'!$I$1319=TYPE2)*(TYPE2&lt;&gt;"")+('Dvd Calendar'!$I$1319=TYPE3)*(TYPE3&lt;&gt;"")+('Dvd Calendar'!$I$1319=TYPE4)*(TYPE4&lt;&gt;"")+('Dvd Calendar'!$I$1319=SPECIAL_LBL)*(INC_SPECIALS="Y"))=0,"",'Dvd Calendar'!$I$1317)))</f>
        <v/>
      </c>
      <c r="H134" s="110">
        <f>IF(EJ134="","",IF(ISNUMBER('Dvd Calendar'!$J$1317)=FALSE,"",IF((('Dvd Calendar'!$J$1319=TYPE1)*(TYPE1&lt;&gt;"")+('Dvd Calendar'!$J$1319=TYPE2)*(TYPE2&lt;&gt;"")+('Dvd Calendar'!$J$1319=TYPE3)*(TYPE3&lt;&gt;"")+('Dvd Calendar'!$J$1319=TYPE4)*(TYPE4&lt;&gt;"")+('Dvd Calendar'!$J$1319=SPECIAL_LBL)*(INC_SPECIALS="Y"))=0,"",'Dvd Calendar'!$J$1317)))</f>
        <v/>
      </c>
      <c r="I134" s="110">
        <f>IF(EK134="","",IF(ISNUMBER('Dvd Calendar'!$K$1317)=FALSE,"",IF((('Dvd Calendar'!$K$1319=TYPE1)*(TYPE1&lt;&gt;"")+('Dvd Calendar'!$K$1319=TYPE2)*(TYPE2&lt;&gt;"")+('Dvd Calendar'!$K$1319=TYPE3)*(TYPE3&lt;&gt;"")+('Dvd Calendar'!$K$1319=TYPE4)*(TYPE4&lt;&gt;"")+('Dvd Calendar'!$K$1319=SPECIAL_LBL)*(INC_SPECIALS="Y"))=0,"",'Dvd Calendar'!$K$1317)))</f>
        <v/>
      </c>
      <c r="J134" s="110">
        <f>IF(EL134="","",IF(ISNUMBER('Dvd Calendar'!$L$1317)=FALSE,"",IF((('Dvd Calendar'!$L$1319=TYPE1)*(TYPE1&lt;&gt;"")+('Dvd Calendar'!$L$1319=TYPE2)*(TYPE2&lt;&gt;"")+('Dvd Calendar'!$L$1319=TYPE3)*(TYPE3&lt;&gt;"")+('Dvd Calendar'!$L$1319=TYPE4)*(TYPE4&lt;&gt;"")+('Dvd Calendar'!$L$1319=SPECIAL_LBL)*(INC_SPECIALS="Y"))=0,"",'Dvd Calendar'!$L$1317)))</f>
        <v/>
      </c>
      <c r="K134" s="110">
        <f>IF(EM134="","",IF(ISNUMBER('Dvd Calendar'!$M$1317)=FALSE,"",IF((('Dvd Calendar'!$M$1319=TYPE1)*(TYPE1&lt;&gt;"")+('Dvd Calendar'!$M$1319=TYPE2)*(TYPE2&lt;&gt;"")+('Dvd Calendar'!$M$1319=TYPE3)*(TYPE3&lt;&gt;"")+('Dvd Calendar'!$M$1319=TYPE4)*(TYPE4&lt;&gt;"")+('Dvd Calendar'!$M$1319=SPECIAL_LBL)*(INC_SPECIALS="Y"))=0,"",'Dvd Calendar'!$M$1317)))</f>
        <v/>
      </c>
      <c r="L134" s="110">
        <f>IF(EN134="","",IF(ISNUMBER('Dvd Calendar'!$N$1317)=FALSE,"",IF((('Dvd Calendar'!$N$1319=TYPE1)*(TYPE1&lt;&gt;"")+('Dvd Calendar'!$N$1319=TYPE2)*(TYPE2&lt;&gt;"")+('Dvd Calendar'!$N$1319=TYPE3)*(TYPE3&lt;&gt;"")+('Dvd Calendar'!$N$1319=TYPE4)*(TYPE4&lt;&gt;"")+('Dvd Calendar'!$N$1319=SPECIAL_LBL)*(INC_SPECIALS="Y"))=0,"",'Dvd Calendar'!$N$1317)))</f>
        <v/>
      </c>
      <c r="M134" s="110">
        <f>IF(EO134="","",IF(ISNUMBER('Dvd Calendar'!$O$1317)=FALSE,"",IF((('Dvd Calendar'!$O$1319=TYPE1)*(TYPE1&lt;&gt;"")+('Dvd Calendar'!$O$1319=TYPE2)*(TYPE2&lt;&gt;"")+('Dvd Calendar'!$O$1319=TYPE3)*(TYPE3&lt;&gt;"")+('Dvd Calendar'!$O$1319=TYPE4)*(TYPE4&lt;&gt;"")+('Dvd Calendar'!$O$1319=SPECIAL_LBL)*(INC_SPECIALS="Y"))=0,"",'Dvd Calendar'!$O$1317)))</f>
        <v/>
      </c>
      <c r="N134" s="110">
        <f>IF(EP134="","",IF(ISNUMBER('Dvd Calendar'!$P$1317)=FALSE,"",IF((('Dvd Calendar'!$P$1319=TYPE1)*(TYPE1&lt;&gt;"")+('Dvd Calendar'!$P$1319=TYPE2)*(TYPE2&lt;&gt;"")+('Dvd Calendar'!$P$1319=TYPE3)*(TYPE3&lt;&gt;"")+('Dvd Calendar'!$P$1319=TYPE4)*(TYPE4&lt;&gt;"")+('Dvd Calendar'!$P$1319=SPECIAL_LBL)*(INC_SPECIALS="Y"))=0,"",'Dvd Calendar'!$P$1317)))</f>
        <v/>
      </c>
      <c r="O134" s="110">
        <f>IF(EQ134="","",IF(ISNUMBER('Dvd Calendar'!$Q$1317)=FALSE,"",IF((('Dvd Calendar'!$Q$1319=TYPE1)*(TYPE1&lt;&gt;"")+('Dvd Calendar'!$Q$1319=TYPE2)*(TYPE2&lt;&gt;"")+('Dvd Calendar'!$Q$1319=TYPE3)*(TYPE3&lt;&gt;"")+('Dvd Calendar'!$Q$1319=TYPE4)*(TYPE4&lt;&gt;"")+('Dvd Calendar'!$Q$1319=SPECIAL_LBL)*(INC_SPECIALS="Y"))=0,"",'Dvd Calendar'!$Q$1317)))</f>
        <v/>
      </c>
      <c r="P134" s="110">
        <f>IF(ER134="","",IF(ISNUMBER('Dvd Calendar'!$R$1317)=FALSE,"",IF((('Dvd Calendar'!$R$1319=TYPE1)*(TYPE1&lt;&gt;"")+('Dvd Calendar'!$R$1319=TYPE2)*(TYPE2&lt;&gt;"")+('Dvd Calendar'!$R$1319=TYPE3)*(TYPE3&lt;&gt;"")+('Dvd Calendar'!$R$1319=TYPE4)*(TYPE4&lt;&gt;"")+('Dvd Calendar'!$R$1319=SPECIAL_LBL)*(INC_SPECIALS="Y"))=0,"",'Dvd Calendar'!$R$1317)))</f>
        <v/>
      </c>
      <c r="Q134" s="110">
        <f>IF(ES134="","",IF(ISNUMBER('Dvd Calendar'!$S$1317)=FALSE,"",IF((('Dvd Calendar'!$S$1319=TYPE1)*(TYPE1&lt;&gt;"")+('Dvd Calendar'!$S$1319=TYPE2)*(TYPE2&lt;&gt;"")+('Dvd Calendar'!$S$1319=TYPE3)*(TYPE3&lt;&gt;"")+('Dvd Calendar'!$S$1319=TYPE4)*(TYPE4&lt;&gt;"")+('Dvd Calendar'!$S$1319=SPECIAL_LBL)*(INC_SPECIALS="Y"))=0,"",'Dvd Calendar'!$S$1317)))</f>
        <v/>
      </c>
      <c r="R134" s="110">
        <f>IF(ET134="","",IF(ISNUMBER('Dvd Calendar'!$T$1317)=FALSE,"",IF((('Dvd Calendar'!$T$1319=TYPE1)*(TYPE1&lt;&gt;"")+('Dvd Calendar'!$T$1319=TYPE2)*(TYPE2&lt;&gt;"")+('Dvd Calendar'!$T$1319=TYPE3)*(TYPE3&lt;&gt;"")+('Dvd Calendar'!$T$1319=TYPE4)*(TYPE4&lt;&gt;"")+('Dvd Calendar'!$T$1319=SPECIAL_LBL)*(INC_SPECIALS="Y"))=0,"",'Dvd Calendar'!$T$1317)))</f>
        <v/>
      </c>
      <c r="S134" s="110">
        <f>IF(EU134="","",IF(ISNUMBER('Dvd Calendar'!$U$1317)=FALSE,"",IF((('Dvd Calendar'!$U$1319=TYPE1)*(TYPE1&lt;&gt;"")+('Dvd Calendar'!$U$1319=TYPE2)*(TYPE2&lt;&gt;"")+('Dvd Calendar'!$U$1319=TYPE3)*(TYPE3&lt;&gt;"")+('Dvd Calendar'!$U$1319=TYPE4)*(TYPE4&lt;&gt;"")+('Dvd Calendar'!$U$1319=SPECIAL_LBL)*(INC_SPECIALS="Y"))=0,"",'Dvd Calendar'!$U$1317)))</f>
        <v/>
      </c>
      <c r="T134" s="110">
        <f>IF(EV134="","",IF(ISNUMBER('Dvd Calendar'!$V$1317)=FALSE,"",IF((('Dvd Calendar'!$V$1319=TYPE1)*(TYPE1&lt;&gt;"")+('Dvd Calendar'!$V$1319=TYPE2)*(TYPE2&lt;&gt;"")+('Dvd Calendar'!$V$1319=TYPE3)*(TYPE3&lt;&gt;"")+('Dvd Calendar'!$V$1319=TYPE4)*(TYPE4&lt;&gt;"")+('Dvd Calendar'!$V$1319=SPECIAL_LBL)*(INC_SPECIALS="Y"))=0,"",'Dvd Calendar'!$V$1317)))</f>
        <v/>
      </c>
      <c r="U134" s="110">
        <f>IF(EW134="","",IF(ISNUMBER('Dvd Calendar'!$W$1317)=FALSE,"",IF((('Dvd Calendar'!$W$1319=TYPE1)*(TYPE1&lt;&gt;"")+('Dvd Calendar'!$W$1319=TYPE2)*(TYPE2&lt;&gt;"")+('Dvd Calendar'!$W$1319=TYPE3)*(TYPE3&lt;&gt;"")+('Dvd Calendar'!$W$1319=TYPE4)*(TYPE4&lt;&gt;"")+('Dvd Calendar'!$W$1319=SPECIAL_LBL)*(INC_SPECIALS="Y"))=0,"",'Dvd Calendar'!$W$1317)))</f>
        <v/>
      </c>
      <c r="V134" s="110">
        <f>IF(EX134="","",IF(ISNUMBER('Dvd Calendar'!$X$1317)=FALSE,"",IF((('Dvd Calendar'!$X$1319=TYPE1)*(TYPE1&lt;&gt;"")+('Dvd Calendar'!$X$1319=TYPE2)*(TYPE2&lt;&gt;"")+('Dvd Calendar'!$X$1319=TYPE3)*(TYPE3&lt;&gt;"")+('Dvd Calendar'!$X$1319=TYPE4)*(TYPE4&lt;&gt;"")+('Dvd Calendar'!$X$1319=SPECIAL_LBL)*(INC_SPECIALS="Y"))=0,"",'Dvd Calendar'!$X$1317)))</f>
        <v/>
      </c>
      <c r="W134" s="110">
        <f>IF(EY134="","",IF(ISNUMBER('Dvd Calendar'!$Y$1317)=FALSE,"",IF((('Dvd Calendar'!$Y$1319=TYPE1)*(TYPE1&lt;&gt;"")+('Dvd Calendar'!$Y$1319=TYPE2)*(TYPE2&lt;&gt;"")+('Dvd Calendar'!$Y$1319=TYPE3)*(TYPE3&lt;&gt;"")+('Dvd Calendar'!$Y$1319=TYPE4)*(TYPE4&lt;&gt;"")+('Dvd Calendar'!$Y$1319=SPECIAL_LBL)*(INC_SPECIALS="Y"))=0,"",'Dvd Calendar'!$Y$1317)))</f>
        <v/>
      </c>
      <c r="X134" s="110">
        <f>IF(EZ134="","",IF(ISNUMBER('Dvd Calendar'!$Z$1317)=FALSE,"",IF((('Dvd Calendar'!$Z$1319=TYPE1)*(TYPE1&lt;&gt;"")+('Dvd Calendar'!$Z$1319=TYPE2)*(TYPE2&lt;&gt;"")+('Dvd Calendar'!$Z$1319=TYPE3)*(TYPE3&lt;&gt;"")+('Dvd Calendar'!$Z$1319=TYPE4)*(TYPE4&lt;&gt;"")+('Dvd Calendar'!$Z$1319=SPECIAL_LBL)*(INC_SPECIALS="Y"))=0,"",'Dvd Calendar'!$Z$1317)))</f>
        <v/>
      </c>
      <c r="Y134" s="110">
        <f>IF(FA134="","",IF(ISNUMBER('Dvd Calendar'!$AA$1317)=FALSE,"",IF((('Dvd Calendar'!$AA$1319=TYPE1)*(TYPE1&lt;&gt;"")+('Dvd Calendar'!$AA$1319=TYPE2)*(TYPE2&lt;&gt;"")+('Dvd Calendar'!$AA$1319=TYPE3)*(TYPE3&lt;&gt;"")+('Dvd Calendar'!$AA$1319=TYPE4)*(TYPE4&lt;&gt;"")+('Dvd Calendar'!$AA$1319=SPECIAL_LBL)*(INC_SPECIALS="Y"))=0,"",'Dvd Calendar'!$AA$1317)))</f>
        <v/>
      </c>
      <c r="Z134" s="110">
        <f>IF(FB134="","",IF(ISNUMBER('Dvd Calendar'!$AB$1317)=FALSE,"",IF((('Dvd Calendar'!$AB$1319=TYPE1)*(TYPE1&lt;&gt;"")+('Dvd Calendar'!$AB$1319=TYPE2)*(TYPE2&lt;&gt;"")+('Dvd Calendar'!$AB$1319=TYPE3)*(TYPE3&lt;&gt;"")+('Dvd Calendar'!$AB$1319=TYPE4)*(TYPE4&lt;&gt;"")+('Dvd Calendar'!$AB$1319=SPECIAL_LBL)*(INC_SPECIALS="Y"))=0,"",'Dvd Calendar'!$AB$1317)))</f>
        <v/>
      </c>
      <c r="AA134" s="110">
        <f>IF(FC134="","",IF(ISNUMBER('Dvd Calendar'!$AC$1317)=FALSE,"",IF((('Dvd Calendar'!$AC$1319=TYPE1)*(TYPE1&lt;&gt;"")+('Dvd Calendar'!$AC$1319=TYPE2)*(TYPE2&lt;&gt;"")+('Dvd Calendar'!$AC$1319=TYPE3)*(TYPE3&lt;&gt;"")+('Dvd Calendar'!$AC$1319=TYPE4)*(TYPE4&lt;&gt;"")+('Dvd Calendar'!$AC$1319=SPECIAL_LBL)*(INC_SPECIALS="Y"))=0,"",'Dvd Calendar'!$AC$1317)))</f>
        <v/>
      </c>
      <c r="AB134" s="110">
        <f>IF(FD134="","",IF(ISNUMBER('Dvd Calendar'!$AD$1317)=FALSE,"",IF((('Dvd Calendar'!$AD$1319=TYPE1)*(TYPE1&lt;&gt;"")+('Dvd Calendar'!$AD$1319=TYPE2)*(TYPE2&lt;&gt;"")+('Dvd Calendar'!$AD$1319=TYPE3)*(TYPE3&lt;&gt;"")+('Dvd Calendar'!$AD$1319=TYPE4)*(TYPE4&lt;&gt;"")+('Dvd Calendar'!$AD$1319=SPECIAL_LBL)*(INC_SPECIALS="Y"))=0,"",'Dvd Calendar'!$AD$1317)))</f>
        <v/>
      </c>
      <c r="AC134" s="110">
        <f>IF(FE134="","",IF(ISNUMBER('Dvd Calendar'!$AE$1317)=FALSE,"",IF((('Dvd Calendar'!$AE$1319=TYPE1)*(TYPE1&lt;&gt;"")+('Dvd Calendar'!$AE$1319=TYPE2)*(TYPE2&lt;&gt;"")+('Dvd Calendar'!$AE$1319=TYPE3)*(TYPE3&lt;&gt;"")+('Dvd Calendar'!$AE$1319=TYPE4)*(TYPE4&lt;&gt;"")+('Dvd Calendar'!$AE$1319=SPECIAL_LBL)*(INC_SPECIALS="Y"))=0,"",'Dvd Calendar'!$AE$1317)))</f>
        <v/>
      </c>
      <c r="AD134" s="110">
        <f>IF(FF134="","",IF(ISNUMBER('Dvd Calendar'!$AF$1317)=FALSE,"",IF((('Dvd Calendar'!$AF$1319=TYPE1)*(TYPE1&lt;&gt;"")+('Dvd Calendar'!$AF$1319=TYPE2)*(TYPE2&lt;&gt;"")+('Dvd Calendar'!$AF$1319=TYPE3)*(TYPE3&lt;&gt;"")+('Dvd Calendar'!$AF$1319=TYPE4)*(TYPE4&lt;&gt;"")+('Dvd Calendar'!$AF$1319=SPECIAL_LBL)*(INC_SPECIALS="Y"))=0,"",'Dvd Calendar'!$AF$1317)))</f>
        <v/>
      </c>
      <c r="AE134" s="110">
        <f>IF(FG134="","",IF(ISNUMBER('Dvd Calendar'!$AG$1317)=FALSE,"",IF((('Dvd Calendar'!$AG$1319=TYPE1)*(TYPE1&lt;&gt;"")+('Dvd Calendar'!$AG$1319=TYPE2)*(TYPE2&lt;&gt;"")+('Dvd Calendar'!$AG$1319=TYPE3)*(TYPE3&lt;&gt;"")+('Dvd Calendar'!$AG$1319=TYPE4)*(TYPE4&lt;&gt;"")+('Dvd Calendar'!$AG$1319=SPECIAL_LBL)*(INC_SPECIALS="Y"))=0,"",'Dvd Calendar'!$AG$1317)))</f>
        <v/>
      </c>
      <c r="AF134" s="110">
        <f>IF(FH134="","",IF(ISNUMBER('Dvd Calendar'!$AH$1317)=FALSE,"",IF((('Dvd Calendar'!$AH$1319=TYPE1)*(TYPE1&lt;&gt;"")+('Dvd Calendar'!$AH$1319=TYPE2)*(TYPE2&lt;&gt;"")+('Dvd Calendar'!$AH$1319=TYPE3)*(TYPE3&lt;&gt;"")+('Dvd Calendar'!$AH$1319=TYPE4)*(TYPE4&lt;&gt;"")+('Dvd Calendar'!$AH$1319=SPECIAL_LBL)*(INC_SPECIALS="Y"))=0,"",'Dvd Calendar'!$AH$1317)))</f>
        <v/>
      </c>
      <c r="AG134" s="110">
        <f>IF(FI134="","",IF(ISNUMBER('Dvd Calendar'!$AI$1317)=FALSE,"",IF((('Dvd Calendar'!$AI$1319=TYPE1)*(TYPE1&lt;&gt;"")+('Dvd Calendar'!$AI$1319=TYPE2)*(TYPE2&lt;&gt;"")+('Dvd Calendar'!$AI$1319=TYPE3)*(TYPE3&lt;&gt;"")+('Dvd Calendar'!$AI$1319=TYPE4)*(TYPE4&lt;&gt;"")+('Dvd Calendar'!$AI$1319=SPECIAL_LBL)*(INC_SPECIALS="Y"))=0,"",'Dvd Calendar'!$AI$1317)))</f>
        <v/>
      </c>
      <c r="AH134" s="110">
        <f>IF(FJ134="","",IF(ISNUMBER('Dvd Calendar'!$AJ$1317)=FALSE,"",IF((('Dvd Calendar'!$AJ$1319=TYPE1)*(TYPE1&lt;&gt;"")+('Dvd Calendar'!$AJ$1319=TYPE2)*(TYPE2&lt;&gt;"")+('Dvd Calendar'!$AJ$1319=TYPE3)*(TYPE3&lt;&gt;"")+('Dvd Calendar'!$AJ$1319=TYPE4)*(TYPE4&lt;&gt;"")+('Dvd Calendar'!$AJ$1319=SPECIAL_LBL)*(INC_SPECIALS="Y"))=0,"",'Dvd Calendar'!$AJ$1317)))</f>
        <v/>
      </c>
      <c r="AI134" s="110">
        <f>IF(FK134="","",IF(ISNUMBER('Dvd Calendar'!$AK$1317)=FALSE,"",IF((('Dvd Calendar'!$AK$1319=TYPE1)*(TYPE1&lt;&gt;"")+('Dvd Calendar'!$AK$1319=TYPE2)*(TYPE2&lt;&gt;"")+('Dvd Calendar'!$AK$1319=TYPE3)*(TYPE3&lt;&gt;"")+('Dvd Calendar'!$AK$1319=TYPE4)*(TYPE4&lt;&gt;"")+('Dvd Calendar'!$AK$1319=SPECIAL_LBL)*(INC_SPECIALS="Y"))=0,"",'Dvd Calendar'!$AK$1317)))</f>
        <v/>
      </c>
      <c r="AJ134" s="110">
        <f>IF(FL134="","",IF(ISNUMBER('Dvd Calendar'!$AL$1317)=FALSE,"",IF((('Dvd Calendar'!$AL$1319=TYPE1)*(TYPE1&lt;&gt;"")+('Dvd Calendar'!$AL$1319=TYPE2)*(TYPE2&lt;&gt;"")+('Dvd Calendar'!$AL$1319=TYPE3)*(TYPE3&lt;&gt;"")+('Dvd Calendar'!$AL$1319=TYPE4)*(TYPE4&lt;&gt;"")+('Dvd Calendar'!$AL$1319=SPECIAL_LBL)*(INC_SPECIALS="Y"))=0,"",'Dvd Calendar'!$AL$1317)))</f>
        <v/>
      </c>
      <c r="AK134" s="110">
        <f>IF(FM134="","",IF(ISNUMBER('Dvd Calendar'!$AM$1317)=FALSE,"",IF((('Dvd Calendar'!$AM$1319=TYPE1)*(TYPE1&lt;&gt;"")+('Dvd Calendar'!$AM$1319=TYPE2)*(TYPE2&lt;&gt;"")+('Dvd Calendar'!$AM$1319=TYPE3)*(TYPE3&lt;&gt;"")+('Dvd Calendar'!$AM$1319=TYPE4)*(TYPE4&lt;&gt;"")+('Dvd Calendar'!$AM$1319=SPECIAL_LBL)*(INC_SPECIALS="Y"))=0,"",'Dvd Calendar'!$AM$1317)))</f>
        <v/>
      </c>
      <c r="AL134" s="110">
        <f>IF(FN134="","",IF(ISNUMBER('Dvd Calendar'!$AN$1317)=FALSE,"",IF((('Dvd Calendar'!$AN$1319=TYPE1)*(TYPE1&lt;&gt;"")+('Dvd Calendar'!$AN$1319=TYPE2)*(TYPE2&lt;&gt;"")+('Dvd Calendar'!$AN$1319=TYPE3)*(TYPE3&lt;&gt;"")+('Dvd Calendar'!$AN$1319=TYPE4)*(TYPE4&lt;&gt;"")+('Dvd Calendar'!$AN$1319=SPECIAL_LBL)*(INC_SPECIALS="Y"))=0,"",'Dvd Calendar'!$AN$1317)))</f>
        <v/>
      </c>
      <c r="AM134" s="110">
        <f>IF(FO134="","",IF(ISNUMBER('Dvd Calendar'!$AO$1317)=FALSE,"",IF((('Dvd Calendar'!$AO$1319=TYPE1)*(TYPE1&lt;&gt;"")+('Dvd Calendar'!$AO$1319=TYPE2)*(TYPE2&lt;&gt;"")+('Dvd Calendar'!$AO$1319=TYPE3)*(TYPE3&lt;&gt;"")+('Dvd Calendar'!$AO$1319=TYPE4)*(TYPE4&lt;&gt;"")+('Dvd Calendar'!$AO$1319=SPECIAL_LBL)*(INC_SPECIALS="Y"))=0,"",'Dvd Calendar'!$AO$1317)))</f>
        <v/>
      </c>
      <c r="AN134" s="110">
        <f>IF(FP134="","",IF(ISNUMBER('Dvd Calendar'!$AP$1317)=FALSE,"",IF((('Dvd Calendar'!$AP$1319=TYPE1)*(TYPE1&lt;&gt;"")+('Dvd Calendar'!$AP$1319=TYPE2)*(TYPE2&lt;&gt;"")+('Dvd Calendar'!$AP$1319=TYPE3)*(TYPE3&lt;&gt;"")+('Dvd Calendar'!$AP$1319=TYPE4)*(TYPE4&lt;&gt;"")+('Dvd Calendar'!$AP$1319=SPECIAL_LBL)*(INC_SPECIALS="Y"))=0,"",'Dvd Calendar'!$AP$1317)))</f>
        <v/>
      </c>
      <c r="AO134" s="110">
        <f>IF(FQ134="","",IF(ISNUMBER('Dvd Calendar'!$AQ$1317)=FALSE,"",IF((('Dvd Calendar'!$AQ$1319=TYPE1)*(TYPE1&lt;&gt;"")+('Dvd Calendar'!$AQ$1319=TYPE2)*(TYPE2&lt;&gt;"")+('Dvd Calendar'!$AQ$1319=TYPE3)*(TYPE3&lt;&gt;"")+('Dvd Calendar'!$AQ$1319=TYPE4)*(TYPE4&lt;&gt;"")+('Dvd Calendar'!$AQ$1319=SPECIAL_LBL)*(INC_SPECIALS="Y"))=0,"",'Dvd Calendar'!$AQ$1317)))</f>
        <v/>
      </c>
      <c r="AP134" s="110">
        <f>IF(FR134="","",IF(ISNUMBER('Dvd Calendar'!$AR$1317)=FALSE,"",IF((('Dvd Calendar'!$AR$1319=TYPE1)*(TYPE1&lt;&gt;"")+('Dvd Calendar'!$AR$1319=TYPE2)*(TYPE2&lt;&gt;"")+('Dvd Calendar'!$AR$1319=TYPE3)*(TYPE3&lt;&gt;"")+('Dvd Calendar'!$AR$1319=TYPE4)*(TYPE4&lt;&gt;"")+('Dvd Calendar'!$AR$1319=SPECIAL_LBL)*(INC_SPECIALS="Y"))=0,"",'Dvd Calendar'!$AR$1317)))</f>
        <v/>
      </c>
      <c r="AQ134" s="110">
        <f>IF(FS134="","",IF(ISNUMBER('Dvd Calendar'!$E$1322)=FALSE,"",'Dvd Calendar'!$E$1322))</f>
        <v/>
      </c>
      <c r="AR134" s="110">
        <f>IF(FT134="","",IF(ISNUMBER('Dvd Calendar'!$F$1322)=FALSE,"",'Dvd Calendar'!$F$1322))</f>
        <v/>
      </c>
      <c r="AS134" s="110">
        <f>IF(FU134="","",IF(ISNUMBER('Dvd Calendar'!$G$1322)=FALSE,"",'Dvd Calendar'!$G$1322))</f>
        <v/>
      </c>
      <c r="AT134" s="110">
        <f>IF(FV134="","",IF(ISNUMBER('Dvd Calendar'!$H$1322)=FALSE,"",'Dvd Calendar'!$H$1322))</f>
        <v/>
      </c>
      <c r="AU134" s="110">
        <f>IF(FW134="","",IF(ISNUMBER('Dvd Calendar'!$I$1322)=FALSE,"",'Dvd Calendar'!$I$1322))</f>
        <v/>
      </c>
      <c r="AV134" s="110">
        <f>IF(FX134="","",IF(ISNUMBER('Dvd Calendar'!$J$1322)=FALSE,"",'Dvd Calendar'!$J$1322))</f>
        <v/>
      </c>
      <c r="AW134" s="110">
        <f>IF(FY134="","",IF(ISNUMBER('Dvd Calendar'!$K$1322)=FALSE,"",'Dvd Calendar'!$K$1322))</f>
        <v/>
      </c>
      <c r="AX134" s="110">
        <f>IF(FZ134="","",IF(ISNUMBER('Dvd Calendar'!$L$1322)=FALSE,"",'Dvd Calendar'!$L$1322))</f>
        <v/>
      </c>
      <c r="AY134" s="110">
        <f>IF(GA134="","",IF(ISNUMBER('Dvd Calendar'!$M$1322)=FALSE,"",'Dvd Calendar'!$M$1322))</f>
        <v/>
      </c>
      <c r="AZ134" s="110">
        <f>IF(GB134="","",IF(ISNUMBER('Dvd Calendar'!$N$1322)=FALSE,"",'Dvd Calendar'!$N$1322))</f>
        <v/>
      </c>
      <c r="BA134" s="110">
        <f>IF(GC134="","",IF(ISNUMBER('Dvd Calendar'!$O$1322)=FALSE,"",'Dvd Calendar'!$O$1322))</f>
        <v/>
      </c>
      <c r="BB134" s="110">
        <f>IF(GD134="","",IF(ISNUMBER('Dvd Calendar'!$P$1322)=FALSE,"",'Dvd Calendar'!$P$1322))</f>
        <v/>
      </c>
      <c r="BC134" s="110">
        <f>IF(GE134="","",IF(ISNUMBER('Dvd Calendar'!$Q$1322)=FALSE,"",'Dvd Calendar'!$Q$1322))</f>
        <v/>
      </c>
      <c r="BD134" s="110">
        <f>IF(GF134="","",IF(ISNUMBER('Dvd Calendar'!$R$1322)=FALSE,"",'Dvd Calendar'!$R$1322))</f>
        <v/>
      </c>
      <c r="BE134" s="110">
        <f>IF(GG134="","",IF(ISNUMBER('Dvd Calendar'!$S$1322)=FALSE,"",'Dvd Calendar'!$S$1322))</f>
        <v/>
      </c>
      <c r="BF134" s="110">
        <f>IF(GH134="","",IF(ISNUMBER('Dvd Calendar'!$T$1322)=FALSE,"",'Dvd Calendar'!$T$1322))</f>
        <v/>
      </c>
      <c r="BG134" s="110">
        <f>IF(GI134="","",IF(ISNUMBER('Dvd Calendar'!$U$1322)=FALSE,"",'Dvd Calendar'!$U$1322))</f>
        <v/>
      </c>
      <c r="BH134" s="110">
        <f>IF(GJ134="","",IF(ISNUMBER('Dvd Calendar'!$V$1322)=FALSE,"",'Dvd Calendar'!$V$1322))</f>
        <v/>
      </c>
      <c r="BI134" s="110">
        <f>IF(GK134="","",IF(ISNUMBER('Dvd Calendar'!$W$1322)=FALSE,"",'Dvd Calendar'!$W$1322))</f>
        <v/>
      </c>
      <c r="BJ134" s="110">
        <f>IF(GL134="","",IF(ISNUMBER('Dvd Calendar'!$X$1322)=FALSE,"",'Dvd Calendar'!$X$1322))</f>
        <v/>
      </c>
      <c r="BK134" s="110">
        <f>IF(GM134="","",IF(ISNUMBER('Dvd Calendar'!$Y$1322)=FALSE,"",'Dvd Calendar'!$Y$1322))</f>
        <v/>
      </c>
      <c r="BL134" s="110">
        <f>IF(GN134="","",IF(ISNUMBER('Dvd Calendar'!$Z$1322)=FALSE,"",'Dvd Calendar'!$Z$1322))</f>
        <v/>
      </c>
      <c r="BM134" s="110">
        <f>IF(GO134="","",IF(ISNUMBER('Dvd Calendar'!$AA$1322)=FALSE,"",'Dvd Calendar'!$AA$1322))</f>
        <v/>
      </c>
      <c r="BN134" s="110">
        <f>IF(GP134="","",IF(ISNUMBER('Dvd Calendar'!$AB$1322)=FALSE,"",'Dvd Calendar'!$AB$1322))</f>
        <v/>
      </c>
      <c r="BO134" s="110">
        <f>IF(GQ134="","",IF(ISNUMBER('Dvd Calendar'!$AC$1322)=FALSE,"",'Dvd Calendar'!$AC$1322))</f>
        <v/>
      </c>
      <c r="BQ134" s="110">
        <f>IF(C134="","",IFERROR(C134*HSTECH!$B$25*HSTECH!$G$25/HSTECH!$B$3,""))</f>
        <v/>
      </c>
      <c r="BR134" s="110">
        <f>IF(D134="","",IFERROR(D134*HSTECH!$B$25*HSTECH!$G$25/HSTECH!$B$3,""))</f>
        <v/>
      </c>
      <c r="BS134" s="110">
        <f>IF(E134="","",IFERROR(E134*HSTECH!$B$25*HSTECH!$G$25/HSTECH!$B$3,""))</f>
        <v/>
      </c>
      <c r="BT134" s="110">
        <f>IF(F134="","",IFERROR(F134*HSTECH!$B$25*HSTECH!$G$25/HSTECH!$B$3,""))</f>
        <v/>
      </c>
      <c r="BU134" s="110">
        <f>IF(G134="","",IFERROR(G134*HSTECH!$B$25*HSTECH!$G$25/HSTECH!$B$3,""))</f>
        <v/>
      </c>
      <c r="BV134" s="110">
        <f>IF(H134="","",IFERROR(H134*HSTECH!$B$25*HSTECH!$G$25/HSTECH!$B$3,""))</f>
        <v/>
      </c>
      <c r="BW134" s="110">
        <f>IF(I134="","",IFERROR(I134*HSTECH!$B$25*HSTECH!$G$25/HSTECH!$B$3,""))</f>
        <v/>
      </c>
      <c r="BX134" s="110">
        <f>IF(J134="","",IFERROR(J134*HSTECH!$B$25*HSTECH!$G$25/HSTECH!$B$3,""))</f>
        <v/>
      </c>
      <c r="BY134" s="110">
        <f>IF(K134="","",IFERROR(K134*HSTECH!$B$25*HSTECH!$G$25/HSTECH!$B$3,""))</f>
        <v/>
      </c>
      <c r="BZ134" s="110">
        <f>IF(L134="","",IFERROR(L134*HSTECH!$B$25*HSTECH!$G$25/HSTECH!$B$3,""))</f>
        <v/>
      </c>
      <c r="CA134" s="110">
        <f>IF(M134="","",IFERROR(M134*HSTECH!$B$25*HSTECH!$G$25/HSTECH!$B$3,""))</f>
        <v/>
      </c>
      <c r="CB134" s="110">
        <f>IF(N134="","",IFERROR(N134*HSTECH!$B$25*HSTECH!$G$25/HSTECH!$B$3,""))</f>
        <v/>
      </c>
      <c r="CC134" s="110">
        <f>IF(O134="","",IFERROR(O134*HSTECH!$B$25*HSTECH!$G$25/HSTECH!$B$3,""))</f>
        <v/>
      </c>
      <c r="CD134" s="110">
        <f>IF(P134="","",IFERROR(P134*HSTECH!$B$25*HSTECH!$G$25/HSTECH!$B$3,""))</f>
        <v/>
      </c>
      <c r="CE134" s="110">
        <f>IF(Q134="","",IFERROR(Q134*HSTECH!$B$25*HSTECH!$G$25/HSTECH!$B$3,""))</f>
        <v/>
      </c>
      <c r="CF134" s="110">
        <f>IF(R134="","",IFERROR(R134*HSTECH!$B$25*HSTECH!$G$25/HSTECH!$B$3,""))</f>
        <v/>
      </c>
      <c r="CG134" s="110">
        <f>IF(S134="","",IFERROR(S134*HSTECH!$B$25*HSTECH!$G$25/HSTECH!$B$3,""))</f>
        <v/>
      </c>
      <c r="CH134" s="110">
        <f>IF(T134="","",IFERROR(T134*HSTECH!$B$25*HSTECH!$G$25/HSTECH!$B$3,""))</f>
        <v/>
      </c>
      <c r="CI134" s="110">
        <f>IF(U134="","",IFERROR(U134*HSTECH!$B$25*HSTECH!$G$25/HSTECH!$B$3,""))</f>
        <v/>
      </c>
      <c r="CJ134" s="110">
        <f>IF(V134="","",IFERROR(V134*HSTECH!$B$25*HSTECH!$G$25/HSTECH!$B$3,""))</f>
        <v/>
      </c>
      <c r="CK134" s="110">
        <f>IF(W134="","",IFERROR(W134*HSTECH!$B$25*HSTECH!$G$25/HSTECH!$B$3,""))</f>
        <v/>
      </c>
      <c r="CL134" s="110">
        <f>IF(X134="","",IFERROR(X134*HSTECH!$B$25*HSTECH!$G$25/HSTECH!$B$3,""))</f>
        <v/>
      </c>
      <c r="CM134" s="110">
        <f>IF(Y134="","",IFERROR(Y134*HSTECH!$B$25*HSTECH!$G$25/HSTECH!$B$3,""))</f>
        <v/>
      </c>
      <c r="CN134" s="110">
        <f>IF(Z134="","",IFERROR(Z134*HSTECH!$B$25*HSTECH!$G$25/HSTECH!$B$3,""))</f>
        <v/>
      </c>
      <c r="CO134" s="110">
        <f>IF(AA134="","",IFERROR(AA134*HSTECH!$B$25*HSTECH!$G$25/HSTECH!$B$3,""))</f>
        <v/>
      </c>
      <c r="CP134" s="110">
        <f>IF(AB134="","",IFERROR(AB134*HSTECH!$B$25*HSTECH!$G$25/HSTECH!$B$3,""))</f>
        <v/>
      </c>
      <c r="CQ134" s="110">
        <f>IF(AC134="","",IFERROR(AC134*HSTECH!$B$25*HSTECH!$G$25/HSTECH!$B$3,""))</f>
        <v/>
      </c>
      <c r="CR134" s="110">
        <f>IF(AD134="","",IFERROR(AD134*HSTECH!$B$25*HSTECH!$G$25/HSTECH!$B$3,""))</f>
        <v/>
      </c>
      <c r="CS134" s="110">
        <f>IF(AE134="","",IFERROR(AE134*HSTECH!$B$25*HSTECH!$G$25/HSTECH!$B$3,""))</f>
        <v/>
      </c>
      <c r="CT134" s="110">
        <f>IF(AF134="","",IFERROR(AF134*HSTECH!$B$25*HSTECH!$G$25/HSTECH!$B$3,""))</f>
        <v/>
      </c>
      <c r="CU134" s="110">
        <f>IF(AG134="","",IFERROR(AG134*HSTECH!$B$25*HSTECH!$G$25/HSTECH!$B$3,""))</f>
        <v/>
      </c>
      <c r="CV134" s="110">
        <f>IF(AH134="","",IFERROR(AH134*HSTECH!$B$25*HSTECH!$G$25/HSTECH!$B$3,""))</f>
        <v/>
      </c>
      <c r="CW134" s="110">
        <f>IF(AI134="","",IFERROR(AI134*HSTECH!$B$25*HSTECH!$G$25/HSTECH!$B$3,""))</f>
        <v/>
      </c>
      <c r="CX134" s="110">
        <f>IF(AJ134="","",IFERROR(AJ134*HSTECH!$B$25*HSTECH!$G$25/HSTECH!$B$3,""))</f>
        <v/>
      </c>
      <c r="CY134" s="110">
        <f>IF(AK134="","",IFERROR(AK134*HSTECH!$B$25*HSTECH!$G$25/HSTECH!$B$3,""))</f>
        <v/>
      </c>
      <c r="CZ134" s="110">
        <f>IF(AL134="","",IFERROR(AL134*HSTECH!$B$25*HSTECH!$G$25/HSTECH!$B$3,""))</f>
        <v/>
      </c>
      <c r="DA134" s="110">
        <f>IF(AM134="","",IFERROR(AM134*HSTECH!$B$25*HSTECH!$G$25/HSTECH!$B$3,""))</f>
        <v/>
      </c>
      <c r="DB134" s="110">
        <f>IF(AN134="","",IFERROR(AN134*HSTECH!$B$25*HSTECH!$G$25/HSTECH!$B$3,""))</f>
        <v/>
      </c>
      <c r="DC134" s="110">
        <f>IF(AO134="","",IFERROR(AO134*HSTECH!$B$25*HSTECH!$G$25/HSTECH!$B$3,""))</f>
        <v/>
      </c>
      <c r="DD134" s="110">
        <f>IF(AP134="","",IFERROR(AP134*HSTECH!$B$25*HSTECH!$G$25/HSTECH!$B$3,""))</f>
        <v/>
      </c>
      <c r="DE134" s="110">
        <f>IF(AQ134="","",IFERROR(AQ134*HSTECH!$B$25*HSTECH!$G$25/HSTECH!$B$3,""))</f>
        <v/>
      </c>
      <c r="DF134" s="110">
        <f>IF(AR134="","",IFERROR(AR134*HSTECH!$B$25*HSTECH!$G$25/HSTECH!$B$3,""))</f>
        <v/>
      </c>
      <c r="DG134" s="110">
        <f>IF(AS134="","",IFERROR(AS134*HSTECH!$B$25*HSTECH!$G$25/HSTECH!$B$3,""))</f>
        <v/>
      </c>
      <c r="DH134" s="110">
        <f>IF(AT134="","",IFERROR(AT134*HSTECH!$B$25*HSTECH!$G$25/HSTECH!$B$3,""))</f>
        <v/>
      </c>
      <c r="DI134" s="110">
        <f>IF(AU134="","",IFERROR(AU134*HSTECH!$B$25*HSTECH!$G$25/HSTECH!$B$3,""))</f>
        <v/>
      </c>
      <c r="DJ134" s="110">
        <f>IF(AV134="","",IFERROR(AV134*HSTECH!$B$25*HSTECH!$G$25/HSTECH!$B$3,""))</f>
        <v/>
      </c>
      <c r="DK134" s="110">
        <f>IF(AW134="","",IFERROR(AW134*HSTECH!$B$25*HSTECH!$G$25/HSTECH!$B$3,""))</f>
        <v/>
      </c>
      <c r="DL134" s="110">
        <f>IF(AX134="","",IFERROR(AX134*HSTECH!$B$25*HSTECH!$G$25/HSTECH!$B$3,""))</f>
        <v/>
      </c>
      <c r="DM134" s="110">
        <f>IF(AY134="","",IFERROR(AY134*HSTECH!$B$25*HSTECH!$G$25/HSTECH!$B$3,""))</f>
        <v/>
      </c>
      <c r="DN134" s="110">
        <f>IF(AZ134="","",IFERROR(AZ134*HSTECH!$B$25*HSTECH!$G$25/HSTECH!$B$3,""))</f>
        <v/>
      </c>
      <c r="DO134" s="110">
        <f>IF(BA134="","",IFERROR(BA134*HSTECH!$B$25*HSTECH!$G$25/HSTECH!$B$3,""))</f>
        <v/>
      </c>
      <c r="DP134" s="110">
        <f>IF(BB134="","",IFERROR(BB134*HSTECH!$B$25*HSTECH!$G$25/HSTECH!$B$3,""))</f>
        <v/>
      </c>
      <c r="DQ134" s="110">
        <f>IF(BC134="","",IFERROR(BC134*HSTECH!$B$25*HSTECH!$G$25/HSTECH!$B$3,""))</f>
        <v/>
      </c>
      <c r="DR134" s="110">
        <f>IF(BD134="","",IFERROR(BD134*HSTECH!$B$25*HSTECH!$G$25/HSTECH!$B$3,""))</f>
        <v/>
      </c>
      <c r="DS134" s="110">
        <f>IF(BE134="","",IFERROR(BE134*HSTECH!$B$25*HSTECH!$G$25/HSTECH!$B$3,""))</f>
        <v/>
      </c>
      <c r="DT134" s="110">
        <f>IF(BF134="","",IFERROR(BF134*HSTECH!$B$25*HSTECH!$G$25/HSTECH!$B$3,""))</f>
        <v/>
      </c>
      <c r="DU134" s="110">
        <f>IF(BG134="","",IFERROR(BG134*HSTECH!$B$25*HSTECH!$G$25/HSTECH!$B$3,""))</f>
        <v/>
      </c>
      <c r="DV134" s="110">
        <f>IF(BH134="","",IFERROR(BH134*HSTECH!$B$25*HSTECH!$G$25/HSTECH!$B$3,""))</f>
        <v/>
      </c>
      <c r="DW134" s="110">
        <f>IF(BI134="","",IFERROR(BI134*HSTECH!$B$25*HSTECH!$G$25/HSTECH!$B$3,""))</f>
        <v/>
      </c>
      <c r="DX134" s="110">
        <f>IF(BJ134="","",IFERROR(BJ134*HSTECH!$B$25*HSTECH!$G$25/HSTECH!$B$3,""))</f>
        <v/>
      </c>
      <c r="DY134" s="110">
        <f>IF(BK134="","",IFERROR(BK134*HSTECH!$B$25*HSTECH!$G$25/HSTECH!$B$3,""))</f>
        <v/>
      </c>
      <c r="DZ134" s="110">
        <f>IF(BL134="","",IFERROR(BL134*HSTECH!$B$25*HSTECH!$G$25/HSTECH!$B$3,""))</f>
        <v/>
      </c>
      <c r="EA134" s="110">
        <f>IF(BM134="","",IFERROR(BM134*HSTECH!$B$25*HSTECH!$G$25/HSTECH!$B$3,""))</f>
        <v/>
      </c>
      <c r="EB134" s="110">
        <f>IF(BN134="","",IFERROR(BN134*HSTECH!$B$25*HSTECH!$G$25/HSTECH!$B$3,""))</f>
        <v/>
      </c>
      <c r="EC134" s="110">
        <f>IF(BO134="","",IFERROR(BO134*HSTECH!$B$25*HSTECH!$G$25/HSTECH!$B$3,""))</f>
        <v/>
      </c>
      <c r="EE134" s="39">
        <f>IF(N('Dvd Calendar'!$E$1314)=0,"",IF(('Dvd Calendar'!$E$1314&gt;=GRID_FROM)*('Dvd Calendar'!$E$1314&lt;=GRID_TO)*((('Dvd Calendar'!$E$1314&lt;=VAL_DATE)+(COUNTIF('Dvd Calendar'!$E$1321:$AR$1321,'Dvd Calendar'!$E$1314)=0))&gt;0)=0,"",'Dvd Calendar'!$E$1314*1000000000+ISNUMBER('Dvd Calendar'!$E$1317)*100000000+('Dvd Calendar'!$E$1319=SPECIAL_LBL)*10000000+(N('Dvd Calendar'!$E$1313)&gt;0)*(N('Dvd Calendar'!$E$1313)&lt;=VAL_SERIAL)*1000000+19*1000+1))</f>
        <v/>
      </c>
      <c r="EF134" s="39">
        <f>IF(N('Dvd Calendar'!$F$1314)=0,"",IF(('Dvd Calendar'!$F$1314&gt;=GRID_FROM)*('Dvd Calendar'!$F$1314&lt;=GRID_TO)*((('Dvd Calendar'!$F$1314&lt;=VAL_DATE)+(COUNTIF('Dvd Calendar'!$E$1321:$AR$1321,'Dvd Calendar'!$F$1314)=0))&gt;0)=0,"",'Dvd Calendar'!$F$1314*1000000000+ISNUMBER('Dvd Calendar'!$F$1317)*100000000+('Dvd Calendar'!$F$1319=SPECIAL_LBL)*10000000+(N('Dvd Calendar'!$F$1313)&gt;0)*(N('Dvd Calendar'!$F$1313)&lt;=VAL_SERIAL)*1000000+19*1000+2))</f>
        <v/>
      </c>
      <c r="EG134" s="39">
        <f>IF(N('Dvd Calendar'!$G$1314)=0,"",IF(('Dvd Calendar'!$G$1314&gt;=GRID_FROM)*('Dvd Calendar'!$G$1314&lt;=GRID_TO)*((('Dvd Calendar'!$G$1314&lt;=VAL_DATE)+(COUNTIF('Dvd Calendar'!$E$1321:$AR$1321,'Dvd Calendar'!$G$1314)=0))&gt;0)=0,"",'Dvd Calendar'!$G$1314*1000000000+ISNUMBER('Dvd Calendar'!$G$1317)*100000000+('Dvd Calendar'!$G$1319=SPECIAL_LBL)*10000000+(N('Dvd Calendar'!$G$1313)&gt;0)*(N('Dvd Calendar'!$G$1313)&lt;=VAL_SERIAL)*1000000+19*1000+3))</f>
        <v/>
      </c>
      <c r="EH134" s="39">
        <f>IF(N('Dvd Calendar'!$H$1314)=0,"",IF(('Dvd Calendar'!$H$1314&gt;=GRID_FROM)*('Dvd Calendar'!$H$1314&lt;=GRID_TO)*((('Dvd Calendar'!$H$1314&lt;=VAL_DATE)+(COUNTIF('Dvd Calendar'!$E$1321:$AR$1321,'Dvd Calendar'!$H$1314)=0))&gt;0)=0,"",'Dvd Calendar'!$H$1314*1000000000+ISNUMBER('Dvd Calendar'!$H$1317)*100000000+('Dvd Calendar'!$H$1319=SPECIAL_LBL)*10000000+(N('Dvd Calendar'!$H$1313)&gt;0)*(N('Dvd Calendar'!$H$1313)&lt;=VAL_SERIAL)*1000000+19*1000+4))</f>
        <v/>
      </c>
      <c r="EI134" s="39">
        <f>IF(N('Dvd Calendar'!$I$1314)=0,"",IF(('Dvd Calendar'!$I$1314&gt;=GRID_FROM)*('Dvd Calendar'!$I$1314&lt;=GRID_TO)*((('Dvd Calendar'!$I$1314&lt;=VAL_DATE)+(COUNTIF('Dvd Calendar'!$E$1321:$AR$1321,'Dvd Calendar'!$I$1314)=0))&gt;0)=0,"",'Dvd Calendar'!$I$1314*1000000000+ISNUMBER('Dvd Calendar'!$I$1317)*100000000+('Dvd Calendar'!$I$1319=SPECIAL_LBL)*10000000+(N('Dvd Calendar'!$I$1313)&gt;0)*(N('Dvd Calendar'!$I$1313)&lt;=VAL_SERIAL)*1000000+19*1000+5))</f>
        <v/>
      </c>
      <c r="EJ134" s="39">
        <f>IF(N('Dvd Calendar'!$J$1314)=0,"",IF(('Dvd Calendar'!$J$1314&gt;=GRID_FROM)*('Dvd Calendar'!$J$1314&lt;=GRID_TO)*((('Dvd Calendar'!$J$1314&lt;=VAL_DATE)+(COUNTIF('Dvd Calendar'!$E$1321:$AR$1321,'Dvd Calendar'!$J$1314)=0))&gt;0)=0,"",'Dvd Calendar'!$J$1314*1000000000+ISNUMBER('Dvd Calendar'!$J$1317)*100000000+('Dvd Calendar'!$J$1319=SPECIAL_LBL)*10000000+(N('Dvd Calendar'!$J$1313)&gt;0)*(N('Dvd Calendar'!$J$1313)&lt;=VAL_SERIAL)*1000000+19*1000+6))</f>
        <v/>
      </c>
      <c r="EK134" s="39">
        <f>IF(N('Dvd Calendar'!$K$1314)=0,"",IF(('Dvd Calendar'!$K$1314&gt;=GRID_FROM)*('Dvd Calendar'!$K$1314&lt;=GRID_TO)*((('Dvd Calendar'!$K$1314&lt;=VAL_DATE)+(COUNTIF('Dvd Calendar'!$E$1321:$AR$1321,'Dvd Calendar'!$K$1314)=0))&gt;0)=0,"",'Dvd Calendar'!$K$1314*1000000000+ISNUMBER('Dvd Calendar'!$K$1317)*100000000+('Dvd Calendar'!$K$1319=SPECIAL_LBL)*10000000+(N('Dvd Calendar'!$K$1313)&gt;0)*(N('Dvd Calendar'!$K$1313)&lt;=VAL_SERIAL)*1000000+19*1000+7))</f>
        <v/>
      </c>
      <c r="EL134" s="39">
        <f>IF(N('Dvd Calendar'!$L$1314)=0,"",IF(('Dvd Calendar'!$L$1314&gt;=GRID_FROM)*('Dvd Calendar'!$L$1314&lt;=GRID_TO)*((('Dvd Calendar'!$L$1314&lt;=VAL_DATE)+(COUNTIF('Dvd Calendar'!$E$1321:$AR$1321,'Dvd Calendar'!$L$1314)=0))&gt;0)=0,"",'Dvd Calendar'!$L$1314*1000000000+ISNUMBER('Dvd Calendar'!$L$1317)*100000000+('Dvd Calendar'!$L$1319=SPECIAL_LBL)*10000000+(N('Dvd Calendar'!$L$1313)&gt;0)*(N('Dvd Calendar'!$L$1313)&lt;=VAL_SERIAL)*1000000+19*1000+8))</f>
        <v/>
      </c>
      <c r="EM134" s="39">
        <f>IF(N('Dvd Calendar'!$M$1314)=0,"",IF(('Dvd Calendar'!$M$1314&gt;=GRID_FROM)*('Dvd Calendar'!$M$1314&lt;=GRID_TO)*((('Dvd Calendar'!$M$1314&lt;=VAL_DATE)+(COUNTIF('Dvd Calendar'!$E$1321:$AR$1321,'Dvd Calendar'!$M$1314)=0))&gt;0)=0,"",'Dvd Calendar'!$M$1314*1000000000+ISNUMBER('Dvd Calendar'!$M$1317)*100000000+('Dvd Calendar'!$M$1319=SPECIAL_LBL)*10000000+(N('Dvd Calendar'!$M$1313)&gt;0)*(N('Dvd Calendar'!$M$1313)&lt;=VAL_SERIAL)*1000000+19*1000+9))</f>
        <v/>
      </c>
      <c r="EN134" s="39">
        <f>IF(N('Dvd Calendar'!$N$1314)=0,"",IF(('Dvd Calendar'!$N$1314&gt;=GRID_FROM)*('Dvd Calendar'!$N$1314&lt;=GRID_TO)*((('Dvd Calendar'!$N$1314&lt;=VAL_DATE)+(COUNTIF('Dvd Calendar'!$E$1321:$AR$1321,'Dvd Calendar'!$N$1314)=0))&gt;0)=0,"",'Dvd Calendar'!$N$1314*1000000000+ISNUMBER('Dvd Calendar'!$N$1317)*100000000+('Dvd Calendar'!$N$1319=SPECIAL_LBL)*10000000+(N('Dvd Calendar'!$N$1313)&gt;0)*(N('Dvd Calendar'!$N$1313)&lt;=VAL_SERIAL)*1000000+19*1000+10))</f>
        <v/>
      </c>
      <c r="EO134" s="39">
        <f>IF(N('Dvd Calendar'!$O$1314)=0,"",IF(('Dvd Calendar'!$O$1314&gt;=GRID_FROM)*('Dvd Calendar'!$O$1314&lt;=GRID_TO)*((('Dvd Calendar'!$O$1314&lt;=VAL_DATE)+(COUNTIF('Dvd Calendar'!$E$1321:$AR$1321,'Dvd Calendar'!$O$1314)=0))&gt;0)=0,"",'Dvd Calendar'!$O$1314*1000000000+ISNUMBER('Dvd Calendar'!$O$1317)*100000000+('Dvd Calendar'!$O$1319=SPECIAL_LBL)*10000000+(N('Dvd Calendar'!$O$1313)&gt;0)*(N('Dvd Calendar'!$O$1313)&lt;=VAL_SERIAL)*1000000+19*1000+11))</f>
        <v/>
      </c>
      <c r="EP134" s="39">
        <f>IF(N('Dvd Calendar'!$P$1314)=0,"",IF(('Dvd Calendar'!$P$1314&gt;=GRID_FROM)*('Dvd Calendar'!$P$1314&lt;=GRID_TO)*((('Dvd Calendar'!$P$1314&lt;=VAL_DATE)+(COUNTIF('Dvd Calendar'!$E$1321:$AR$1321,'Dvd Calendar'!$P$1314)=0))&gt;0)=0,"",'Dvd Calendar'!$P$1314*1000000000+ISNUMBER('Dvd Calendar'!$P$1317)*100000000+('Dvd Calendar'!$P$1319=SPECIAL_LBL)*10000000+(N('Dvd Calendar'!$P$1313)&gt;0)*(N('Dvd Calendar'!$P$1313)&lt;=VAL_SERIAL)*1000000+19*1000+12))</f>
        <v/>
      </c>
      <c r="EQ134" s="39">
        <f>IF(N('Dvd Calendar'!$Q$1314)=0,"",IF(('Dvd Calendar'!$Q$1314&gt;=GRID_FROM)*('Dvd Calendar'!$Q$1314&lt;=GRID_TO)*((('Dvd Calendar'!$Q$1314&lt;=VAL_DATE)+(COUNTIF('Dvd Calendar'!$E$1321:$AR$1321,'Dvd Calendar'!$Q$1314)=0))&gt;0)=0,"",'Dvd Calendar'!$Q$1314*1000000000+ISNUMBER('Dvd Calendar'!$Q$1317)*100000000+('Dvd Calendar'!$Q$1319=SPECIAL_LBL)*10000000+(N('Dvd Calendar'!$Q$1313)&gt;0)*(N('Dvd Calendar'!$Q$1313)&lt;=VAL_SERIAL)*1000000+19*1000+13))</f>
        <v/>
      </c>
      <c r="ER134" s="39">
        <f>IF(N('Dvd Calendar'!$R$1314)=0,"",IF(('Dvd Calendar'!$R$1314&gt;=GRID_FROM)*('Dvd Calendar'!$R$1314&lt;=GRID_TO)*((('Dvd Calendar'!$R$1314&lt;=VAL_DATE)+(COUNTIF('Dvd Calendar'!$E$1321:$AR$1321,'Dvd Calendar'!$R$1314)=0))&gt;0)=0,"",'Dvd Calendar'!$R$1314*1000000000+ISNUMBER('Dvd Calendar'!$R$1317)*100000000+('Dvd Calendar'!$R$1319=SPECIAL_LBL)*10000000+(N('Dvd Calendar'!$R$1313)&gt;0)*(N('Dvd Calendar'!$R$1313)&lt;=VAL_SERIAL)*1000000+19*1000+14))</f>
        <v/>
      </c>
      <c r="ES134" s="39">
        <f>IF(N('Dvd Calendar'!$S$1314)=0,"",IF(('Dvd Calendar'!$S$1314&gt;=GRID_FROM)*('Dvd Calendar'!$S$1314&lt;=GRID_TO)*((('Dvd Calendar'!$S$1314&lt;=VAL_DATE)+(COUNTIF('Dvd Calendar'!$E$1321:$AR$1321,'Dvd Calendar'!$S$1314)=0))&gt;0)=0,"",'Dvd Calendar'!$S$1314*1000000000+ISNUMBER('Dvd Calendar'!$S$1317)*100000000+('Dvd Calendar'!$S$1319=SPECIAL_LBL)*10000000+(N('Dvd Calendar'!$S$1313)&gt;0)*(N('Dvd Calendar'!$S$1313)&lt;=VAL_SERIAL)*1000000+19*1000+15))</f>
        <v/>
      </c>
      <c r="ET134" s="39">
        <f>IF(N('Dvd Calendar'!$T$1314)=0,"",IF(('Dvd Calendar'!$T$1314&gt;=GRID_FROM)*('Dvd Calendar'!$T$1314&lt;=GRID_TO)*((('Dvd Calendar'!$T$1314&lt;=VAL_DATE)+(COUNTIF('Dvd Calendar'!$E$1321:$AR$1321,'Dvd Calendar'!$T$1314)=0))&gt;0)=0,"",'Dvd Calendar'!$T$1314*1000000000+ISNUMBER('Dvd Calendar'!$T$1317)*100000000+('Dvd Calendar'!$T$1319=SPECIAL_LBL)*10000000+(N('Dvd Calendar'!$T$1313)&gt;0)*(N('Dvd Calendar'!$T$1313)&lt;=VAL_SERIAL)*1000000+19*1000+16))</f>
        <v/>
      </c>
      <c r="EU134" s="39">
        <f>IF(N('Dvd Calendar'!$U$1314)=0,"",IF(('Dvd Calendar'!$U$1314&gt;=GRID_FROM)*('Dvd Calendar'!$U$1314&lt;=GRID_TO)*((('Dvd Calendar'!$U$1314&lt;=VAL_DATE)+(COUNTIF('Dvd Calendar'!$E$1321:$AR$1321,'Dvd Calendar'!$U$1314)=0))&gt;0)=0,"",'Dvd Calendar'!$U$1314*1000000000+ISNUMBER('Dvd Calendar'!$U$1317)*100000000+('Dvd Calendar'!$U$1319=SPECIAL_LBL)*10000000+(N('Dvd Calendar'!$U$1313)&gt;0)*(N('Dvd Calendar'!$U$1313)&lt;=VAL_SERIAL)*1000000+19*1000+17))</f>
        <v/>
      </c>
      <c r="EV134" s="39">
        <f>IF(N('Dvd Calendar'!$V$1314)=0,"",IF(('Dvd Calendar'!$V$1314&gt;=GRID_FROM)*('Dvd Calendar'!$V$1314&lt;=GRID_TO)*((('Dvd Calendar'!$V$1314&lt;=VAL_DATE)+(COUNTIF('Dvd Calendar'!$E$1321:$AR$1321,'Dvd Calendar'!$V$1314)=0))&gt;0)=0,"",'Dvd Calendar'!$V$1314*1000000000+ISNUMBER('Dvd Calendar'!$V$1317)*100000000+('Dvd Calendar'!$V$1319=SPECIAL_LBL)*10000000+(N('Dvd Calendar'!$V$1313)&gt;0)*(N('Dvd Calendar'!$V$1313)&lt;=VAL_SERIAL)*1000000+19*1000+18))</f>
        <v/>
      </c>
      <c r="EW134" s="39">
        <f>IF(N('Dvd Calendar'!$W$1314)=0,"",IF(('Dvd Calendar'!$W$1314&gt;=GRID_FROM)*('Dvd Calendar'!$W$1314&lt;=GRID_TO)*((('Dvd Calendar'!$W$1314&lt;=VAL_DATE)+(COUNTIF('Dvd Calendar'!$E$1321:$AR$1321,'Dvd Calendar'!$W$1314)=0))&gt;0)=0,"",'Dvd Calendar'!$W$1314*1000000000+ISNUMBER('Dvd Calendar'!$W$1317)*100000000+('Dvd Calendar'!$W$1319=SPECIAL_LBL)*10000000+(N('Dvd Calendar'!$W$1313)&gt;0)*(N('Dvd Calendar'!$W$1313)&lt;=VAL_SERIAL)*1000000+19*1000+19))</f>
        <v/>
      </c>
      <c r="EX134" s="39">
        <f>IF(N('Dvd Calendar'!$X$1314)=0,"",IF(('Dvd Calendar'!$X$1314&gt;=GRID_FROM)*('Dvd Calendar'!$X$1314&lt;=GRID_TO)*((('Dvd Calendar'!$X$1314&lt;=VAL_DATE)+(COUNTIF('Dvd Calendar'!$E$1321:$AR$1321,'Dvd Calendar'!$X$1314)=0))&gt;0)=0,"",'Dvd Calendar'!$X$1314*1000000000+ISNUMBER('Dvd Calendar'!$X$1317)*100000000+('Dvd Calendar'!$X$1319=SPECIAL_LBL)*10000000+(N('Dvd Calendar'!$X$1313)&gt;0)*(N('Dvd Calendar'!$X$1313)&lt;=VAL_SERIAL)*1000000+19*1000+20))</f>
        <v/>
      </c>
      <c r="EY134" s="39">
        <f>IF(N('Dvd Calendar'!$Y$1314)=0,"",IF(('Dvd Calendar'!$Y$1314&gt;=GRID_FROM)*('Dvd Calendar'!$Y$1314&lt;=GRID_TO)*((('Dvd Calendar'!$Y$1314&lt;=VAL_DATE)+(COUNTIF('Dvd Calendar'!$E$1321:$AR$1321,'Dvd Calendar'!$Y$1314)=0))&gt;0)=0,"",'Dvd Calendar'!$Y$1314*1000000000+ISNUMBER('Dvd Calendar'!$Y$1317)*100000000+('Dvd Calendar'!$Y$1319=SPECIAL_LBL)*10000000+(N('Dvd Calendar'!$Y$1313)&gt;0)*(N('Dvd Calendar'!$Y$1313)&lt;=VAL_SERIAL)*1000000+19*1000+21))</f>
        <v/>
      </c>
      <c r="EZ134" s="39">
        <f>IF(N('Dvd Calendar'!$Z$1314)=0,"",IF(('Dvd Calendar'!$Z$1314&gt;=GRID_FROM)*('Dvd Calendar'!$Z$1314&lt;=GRID_TO)*((('Dvd Calendar'!$Z$1314&lt;=VAL_DATE)+(COUNTIF('Dvd Calendar'!$E$1321:$AR$1321,'Dvd Calendar'!$Z$1314)=0))&gt;0)=0,"",'Dvd Calendar'!$Z$1314*1000000000+ISNUMBER('Dvd Calendar'!$Z$1317)*100000000+('Dvd Calendar'!$Z$1319=SPECIAL_LBL)*10000000+(N('Dvd Calendar'!$Z$1313)&gt;0)*(N('Dvd Calendar'!$Z$1313)&lt;=VAL_SERIAL)*1000000+19*1000+22))</f>
        <v/>
      </c>
      <c r="FA134" s="39">
        <f>IF(N('Dvd Calendar'!$AA$1314)=0,"",IF(('Dvd Calendar'!$AA$1314&gt;=GRID_FROM)*('Dvd Calendar'!$AA$1314&lt;=GRID_TO)*((('Dvd Calendar'!$AA$1314&lt;=VAL_DATE)+(COUNTIF('Dvd Calendar'!$E$1321:$AR$1321,'Dvd Calendar'!$AA$1314)=0))&gt;0)=0,"",'Dvd Calendar'!$AA$1314*1000000000+ISNUMBER('Dvd Calendar'!$AA$1317)*100000000+('Dvd Calendar'!$AA$1319=SPECIAL_LBL)*10000000+(N('Dvd Calendar'!$AA$1313)&gt;0)*(N('Dvd Calendar'!$AA$1313)&lt;=VAL_SERIAL)*1000000+19*1000+23))</f>
        <v/>
      </c>
      <c r="FB134" s="39">
        <f>IF(N('Dvd Calendar'!$AB$1314)=0,"",IF(('Dvd Calendar'!$AB$1314&gt;=GRID_FROM)*('Dvd Calendar'!$AB$1314&lt;=GRID_TO)*((('Dvd Calendar'!$AB$1314&lt;=VAL_DATE)+(COUNTIF('Dvd Calendar'!$E$1321:$AR$1321,'Dvd Calendar'!$AB$1314)=0))&gt;0)=0,"",'Dvd Calendar'!$AB$1314*1000000000+ISNUMBER('Dvd Calendar'!$AB$1317)*100000000+('Dvd Calendar'!$AB$1319=SPECIAL_LBL)*10000000+(N('Dvd Calendar'!$AB$1313)&gt;0)*(N('Dvd Calendar'!$AB$1313)&lt;=VAL_SERIAL)*1000000+19*1000+24))</f>
        <v/>
      </c>
      <c r="FC134" s="39">
        <f>IF(N('Dvd Calendar'!$AC$1314)=0,"",IF(('Dvd Calendar'!$AC$1314&gt;=GRID_FROM)*('Dvd Calendar'!$AC$1314&lt;=GRID_TO)*((('Dvd Calendar'!$AC$1314&lt;=VAL_DATE)+(COUNTIF('Dvd Calendar'!$E$1321:$AR$1321,'Dvd Calendar'!$AC$1314)=0))&gt;0)=0,"",'Dvd Calendar'!$AC$1314*1000000000+ISNUMBER('Dvd Calendar'!$AC$1317)*100000000+('Dvd Calendar'!$AC$1319=SPECIAL_LBL)*10000000+(N('Dvd Calendar'!$AC$1313)&gt;0)*(N('Dvd Calendar'!$AC$1313)&lt;=VAL_SERIAL)*1000000+19*1000+25))</f>
        <v/>
      </c>
      <c r="FD134" s="39">
        <f>IF(N('Dvd Calendar'!$AD$1314)=0,"",IF(('Dvd Calendar'!$AD$1314&gt;=GRID_FROM)*('Dvd Calendar'!$AD$1314&lt;=GRID_TO)*((('Dvd Calendar'!$AD$1314&lt;=VAL_DATE)+(COUNTIF('Dvd Calendar'!$E$1321:$AR$1321,'Dvd Calendar'!$AD$1314)=0))&gt;0)=0,"",'Dvd Calendar'!$AD$1314*1000000000+ISNUMBER('Dvd Calendar'!$AD$1317)*100000000+('Dvd Calendar'!$AD$1319=SPECIAL_LBL)*10000000+(N('Dvd Calendar'!$AD$1313)&gt;0)*(N('Dvd Calendar'!$AD$1313)&lt;=VAL_SERIAL)*1000000+19*1000+26))</f>
        <v/>
      </c>
      <c r="FE134" s="39">
        <f>IF(N('Dvd Calendar'!$AE$1314)=0,"",IF(('Dvd Calendar'!$AE$1314&gt;=GRID_FROM)*('Dvd Calendar'!$AE$1314&lt;=GRID_TO)*((('Dvd Calendar'!$AE$1314&lt;=VAL_DATE)+(COUNTIF('Dvd Calendar'!$E$1321:$AR$1321,'Dvd Calendar'!$AE$1314)=0))&gt;0)=0,"",'Dvd Calendar'!$AE$1314*1000000000+ISNUMBER('Dvd Calendar'!$AE$1317)*100000000+('Dvd Calendar'!$AE$1319=SPECIAL_LBL)*10000000+(N('Dvd Calendar'!$AE$1313)&gt;0)*(N('Dvd Calendar'!$AE$1313)&lt;=VAL_SERIAL)*1000000+19*1000+27))</f>
        <v/>
      </c>
      <c r="FF134" s="39">
        <f>IF(N('Dvd Calendar'!$AF$1314)=0,"",IF(('Dvd Calendar'!$AF$1314&gt;=GRID_FROM)*('Dvd Calendar'!$AF$1314&lt;=GRID_TO)*((('Dvd Calendar'!$AF$1314&lt;=VAL_DATE)+(COUNTIF('Dvd Calendar'!$E$1321:$AR$1321,'Dvd Calendar'!$AF$1314)=0))&gt;0)=0,"",'Dvd Calendar'!$AF$1314*1000000000+ISNUMBER('Dvd Calendar'!$AF$1317)*100000000+('Dvd Calendar'!$AF$1319=SPECIAL_LBL)*10000000+(N('Dvd Calendar'!$AF$1313)&gt;0)*(N('Dvd Calendar'!$AF$1313)&lt;=VAL_SERIAL)*1000000+19*1000+28))</f>
        <v/>
      </c>
      <c r="FG134" s="39">
        <f>IF(N('Dvd Calendar'!$AG$1314)=0,"",IF(('Dvd Calendar'!$AG$1314&gt;=GRID_FROM)*('Dvd Calendar'!$AG$1314&lt;=GRID_TO)*((('Dvd Calendar'!$AG$1314&lt;=VAL_DATE)+(COUNTIF('Dvd Calendar'!$E$1321:$AR$1321,'Dvd Calendar'!$AG$1314)=0))&gt;0)=0,"",'Dvd Calendar'!$AG$1314*1000000000+ISNUMBER('Dvd Calendar'!$AG$1317)*100000000+('Dvd Calendar'!$AG$1319=SPECIAL_LBL)*10000000+(N('Dvd Calendar'!$AG$1313)&gt;0)*(N('Dvd Calendar'!$AG$1313)&lt;=VAL_SERIAL)*1000000+19*1000+29))</f>
        <v/>
      </c>
      <c r="FH134" s="39">
        <f>IF(N('Dvd Calendar'!$AH$1314)=0,"",IF(('Dvd Calendar'!$AH$1314&gt;=GRID_FROM)*('Dvd Calendar'!$AH$1314&lt;=GRID_TO)*((('Dvd Calendar'!$AH$1314&lt;=VAL_DATE)+(COUNTIF('Dvd Calendar'!$E$1321:$AR$1321,'Dvd Calendar'!$AH$1314)=0))&gt;0)=0,"",'Dvd Calendar'!$AH$1314*1000000000+ISNUMBER('Dvd Calendar'!$AH$1317)*100000000+('Dvd Calendar'!$AH$1319=SPECIAL_LBL)*10000000+(N('Dvd Calendar'!$AH$1313)&gt;0)*(N('Dvd Calendar'!$AH$1313)&lt;=VAL_SERIAL)*1000000+19*1000+30))</f>
        <v/>
      </c>
      <c r="FI134" s="39">
        <f>IF(N('Dvd Calendar'!$AI$1314)=0,"",IF(('Dvd Calendar'!$AI$1314&gt;=GRID_FROM)*('Dvd Calendar'!$AI$1314&lt;=GRID_TO)*((('Dvd Calendar'!$AI$1314&lt;=VAL_DATE)+(COUNTIF('Dvd Calendar'!$E$1321:$AR$1321,'Dvd Calendar'!$AI$1314)=0))&gt;0)=0,"",'Dvd Calendar'!$AI$1314*1000000000+ISNUMBER('Dvd Calendar'!$AI$1317)*100000000+('Dvd Calendar'!$AI$1319=SPECIAL_LBL)*10000000+(N('Dvd Calendar'!$AI$1313)&gt;0)*(N('Dvd Calendar'!$AI$1313)&lt;=VAL_SERIAL)*1000000+19*1000+31))</f>
        <v/>
      </c>
      <c r="FJ134" s="39">
        <f>IF(N('Dvd Calendar'!$AJ$1314)=0,"",IF(('Dvd Calendar'!$AJ$1314&gt;=GRID_FROM)*('Dvd Calendar'!$AJ$1314&lt;=GRID_TO)*((('Dvd Calendar'!$AJ$1314&lt;=VAL_DATE)+(COUNTIF('Dvd Calendar'!$E$1321:$AR$1321,'Dvd Calendar'!$AJ$1314)=0))&gt;0)=0,"",'Dvd Calendar'!$AJ$1314*1000000000+ISNUMBER('Dvd Calendar'!$AJ$1317)*100000000+('Dvd Calendar'!$AJ$1319=SPECIAL_LBL)*10000000+(N('Dvd Calendar'!$AJ$1313)&gt;0)*(N('Dvd Calendar'!$AJ$1313)&lt;=VAL_SERIAL)*1000000+19*1000+32))</f>
        <v/>
      </c>
      <c r="FK134" s="39">
        <f>IF(N('Dvd Calendar'!$AK$1314)=0,"",IF(('Dvd Calendar'!$AK$1314&gt;=GRID_FROM)*('Dvd Calendar'!$AK$1314&lt;=GRID_TO)*((('Dvd Calendar'!$AK$1314&lt;=VAL_DATE)+(COUNTIF('Dvd Calendar'!$E$1321:$AR$1321,'Dvd Calendar'!$AK$1314)=0))&gt;0)=0,"",'Dvd Calendar'!$AK$1314*1000000000+ISNUMBER('Dvd Calendar'!$AK$1317)*100000000+('Dvd Calendar'!$AK$1319=SPECIAL_LBL)*10000000+(N('Dvd Calendar'!$AK$1313)&gt;0)*(N('Dvd Calendar'!$AK$1313)&lt;=VAL_SERIAL)*1000000+19*1000+33))</f>
        <v/>
      </c>
      <c r="FL134" s="39">
        <f>IF(N('Dvd Calendar'!$AL$1314)=0,"",IF(('Dvd Calendar'!$AL$1314&gt;=GRID_FROM)*('Dvd Calendar'!$AL$1314&lt;=GRID_TO)*((('Dvd Calendar'!$AL$1314&lt;=VAL_DATE)+(COUNTIF('Dvd Calendar'!$E$1321:$AR$1321,'Dvd Calendar'!$AL$1314)=0))&gt;0)=0,"",'Dvd Calendar'!$AL$1314*1000000000+ISNUMBER('Dvd Calendar'!$AL$1317)*100000000+('Dvd Calendar'!$AL$1319=SPECIAL_LBL)*10000000+(N('Dvd Calendar'!$AL$1313)&gt;0)*(N('Dvd Calendar'!$AL$1313)&lt;=VAL_SERIAL)*1000000+19*1000+34))</f>
        <v/>
      </c>
      <c r="FM134" s="39">
        <f>IF(N('Dvd Calendar'!$AM$1314)=0,"",IF(('Dvd Calendar'!$AM$1314&gt;=GRID_FROM)*('Dvd Calendar'!$AM$1314&lt;=GRID_TO)*((('Dvd Calendar'!$AM$1314&lt;=VAL_DATE)+(COUNTIF('Dvd Calendar'!$E$1321:$AR$1321,'Dvd Calendar'!$AM$1314)=0))&gt;0)=0,"",'Dvd Calendar'!$AM$1314*1000000000+ISNUMBER('Dvd Calendar'!$AM$1317)*100000000+('Dvd Calendar'!$AM$1319=SPECIAL_LBL)*10000000+(N('Dvd Calendar'!$AM$1313)&gt;0)*(N('Dvd Calendar'!$AM$1313)&lt;=VAL_SERIAL)*1000000+19*1000+35))</f>
        <v/>
      </c>
      <c r="FN134" s="39">
        <f>IF(N('Dvd Calendar'!$AN$1314)=0,"",IF(('Dvd Calendar'!$AN$1314&gt;=GRID_FROM)*('Dvd Calendar'!$AN$1314&lt;=GRID_TO)*((('Dvd Calendar'!$AN$1314&lt;=VAL_DATE)+(COUNTIF('Dvd Calendar'!$E$1321:$AR$1321,'Dvd Calendar'!$AN$1314)=0))&gt;0)=0,"",'Dvd Calendar'!$AN$1314*1000000000+ISNUMBER('Dvd Calendar'!$AN$1317)*100000000+('Dvd Calendar'!$AN$1319=SPECIAL_LBL)*10000000+(N('Dvd Calendar'!$AN$1313)&gt;0)*(N('Dvd Calendar'!$AN$1313)&lt;=VAL_SERIAL)*1000000+19*1000+36))</f>
        <v/>
      </c>
      <c r="FO134" s="39">
        <f>IF(N('Dvd Calendar'!$AO$1314)=0,"",IF(('Dvd Calendar'!$AO$1314&gt;=GRID_FROM)*('Dvd Calendar'!$AO$1314&lt;=GRID_TO)*((('Dvd Calendar'!$AO$1314&lt;=VAL_DATE)+(COUNTIF('Dvd Calendar'!$E$1321:$AR$1321,'Dvd Calendar'!$AO$1314)=0))&gt;0)=0,"",'Dvd Calendar'!$AO$1314*1000000000+ISNUMBER('Dvd Calendar'!$AO$1317)*100000000+('Dvd Calendar'!$AO$1319=SPECIAL_LBL)*10000000+(N('Dvd Calendar'!$AO$1313)&gt;0)*(N('Dvd Calendar'!$AO$1313)&lt;=VAL_SERIAL)*1000000+19*1000+37))</f>
        <v/>
      </c>
      <c r="FP134" s="39">
        <f>IF(N('Dvd Calendar'!$AP$1314)=0,"",IF(('Dvd Calendar'!$AP$1314&gt;=GRID_FROM)*('Dvd Calendar'!$AP$1314&lt;=GRID_TO)*((('Dvd Calendar'!$AP$1314&lt;=VAL_DATE)+(COUNTIF('Dvd Calendar'!$E$1321:$AR$1321,'Dvd Calendar'!$AP$1314)=0))&gt;0)=0,"",'Dvd Calendar'!$AP$1314*1000000000+ISNUMBER('Dvd Calendar'!$AP$1317)*100000000+('Dvd Calendar'!$AP$1319=SPECIAL_LBL)*10000000+(N('Dvd Calendar'!$AP$1313)&gt;0)*(N('Dvd Calendar'!$AP$1313)&lt;=VAL_SERIAL)*1000000+19*1000+38))</f>
        <v/>
      </c>
      <c r="FQ134" s="39">
        <f>IF(N('Dvd Calendar'!$AQ$1314)=0,"",IF(('Dvd Calendar'!$AQ$1314&gt;=GRID_FROM)*('Dvd Calendar'!$AQ$1314&lt;=GRID_TO)*((('Dvd Calendar'!$AQ$1314&lt;=VAL_DATE)+(COUNTIF('Dvd Calendar'!$E$1321:$AR$1321,'Dvd Calendar'!$AQ$1314)=0))&gt;0)=0,"",'Dvd Calendar'!$AQ$1314*1000000000+ISNUMBER('Dvd Calendar'!$AQ$1317)*100000000+('Dvd Calendar'!$AQ$1319=SPECIAL_LBL)*10000000+(N('Dvd Calendar'!$AQ$1313)&gt;0)*(N('Dvd Calendar'!$AQ$1313)&lt;=VAL_SERIAL)*1000000+19*1000+39))</f>
        <v/>
      </c>
      <c r="FR134" s="39">
        <f>IF(N('Dvd Calendar'!$AR$1314)=0,"",IF(('Dvd Calendar'!$AR$1314&gt;=GRID_FROM)*('Dvd Calendar'!$AR$1314&lt;=GRID_TO)*((('Dvd Calendar'!$AR$1314&lt;=VAL_DATE)+(COUNTIF('Dvd Calendar'!$E$1321:$AR$1321,'Dvd Calendar'!$AR$1314)=0))&gt;0)=0,"",'Dvd Calendar'!$AR$1314*1000000000+ISNUMBER('Dvd Calendar'!$AR$1317)*100000000+('Dvd Calendar'!$AR$1319=SPECIAL_LBL)*10000000+(N('Dvd Calendar'!$AR$1313)&gt;0)*(N('Dvd Calendar'!$AR$1313)&lt;=VAL_SERIAL)*1000000+19*1000+40))</f>
        <v/>
      </c>
      <c r="FS134" s="39">
        <f>IF(N('Dvd Calendar'!$E$1321)=0,"",IF(('Dvd Calendar'!$E$1321&gt;=GRID_FROM)*('Dvd Calendar'!$E$1321&lt;=GRID_TO)*('Dvd Calendar'!$E$1321&gt;VAL_DATE)=0,"",'Dvd Calendar'!$E$1321*1000000000+ISNUMBER('Dvd Calendar'!$E$1322)*100000000+0*10000000+(N('Dvd Calendar'!$E$1320)&gt;0)*(N('Dvd Calendar'!$E$1320)&lt;=VAL_SERIAL)*1000000+19*1000+41))</f>
        <v/>
      </c>
      <c r="FT134" s="39">
        <f>IF(N('Dvd Calendar'!$F$1321)=0,"",IF(('Dvd Calendar'!$F$1321&gt;=GRID_FROM)*('Dvd Calendar'!$F$1321&lt;=GRID_TO)*('Dvd Calendar'!$F$1321&gt;VAL_DATE)=0,"",'Dvd Calendar'!$F$1321*1000000000+ISNUMBER('Dvd Calendar'!$F$1322)*100000000+0*10000000+(N('Dvd Calendar'!$F$1320)&gt;0)*(N('Dvd Calendar'!$F$1320)&lt;=VAL_SERIAL)*1000000+19*1000+42))</f>
        <v/>
      </c>
      <c r="FU134" s="39">
        <f>IF(N('Dvd Calendar'!$G$1321)=0,"",IF(('Dvd Calendar'!$G$1321&gt;=GRID_FROM)*('Dvd Calendar'!$G$1321&lt;=GRID_TO)*('Dvd Calendar'!$G$1321&gt;VAL_DATE)=0,"",'Dvd Calendar'!$G$1321*1000000000+ISNUMBER('Dvd Calendar'!$G$1322)*100000000+0*10000000+(N('Dvd Calendar'!$G$1320)&gt;0)*(N('Dvd Calendar'!$G$1320)&lt;=VAL_SERIAL)*1000000+19*1000+43))</f>
        <v/>
      </c>
      <c r="FV134" s="39">
        <f>IF(N('Dvd Calendar'!$H$1321)=0,"",IF(('Dvd Calendar'!$H$1321&gt;=GRID_FROM)*('Dvd Calendar'!$H$1321&lt;=GRID_TO)*('Dvd Calendar'!$H$1321&gt;VAL_DATE)=0,"",'Dvd Calendar'!$H$1321*1000000000+ISNUMBER('Dvd Calendar'!$H$1322)*100000000+0*10000000+(N('Dvd Calendar'!$H$1320)&gt;0)*(N('Dvd Calendar'!$H$1320)&lt;=VAL_SERIAL)*1000000+19*1000+44))</f>
        <v/>
      </c>
      <c r="FW134" s="39">
        <f>IF(N('Dvd Calendar'!$I$1321)=0,"",IF(('Dvd Calendar'!$I$1321&gt;=GRID_FROM)*('Dvd Calendar'!$I$1321&lt;=GRID_TO)*('Dvd Calendar'!$I$1321&gt;VAL_DATE)=0,"",'Dvd Calendar'!$I$1321*1000000000+ISNUMBER('Dvd Calendar'!$I$1322)*100000000+0*10000000+(N('Dvd Calendar'!$I$1320)&gt;0)*(N('Dvd Calendar'!$I$1320)&lt;=VAL_SERIAL)*1000000+19*1000+45))</f>
        <v/>
      </c>
      <c r="FX134" s="39">
        <f>IF(N('Dvd Calendar'!$J$1321)=0,"",IF(('Dvd Calendar'!$J$1321&gt;=GRID_FROM)*('Dvd Calendar'!$J$1321&lt;=GRID_TO)*('Dvd Calendar'!$J$1321&gt;VAL_DATE)=0,"",'Dvd Calendar'!$J$1321*1000000000+ISNUMBER('Dvd Calendar'!$J$1322)*100000000+0*10000000+(N('Dvd Calendar'!$J$1320)&gt;0)*(N('Dvd Calendar'!$J$1320)&lt;=VAL_SERIAL)*1000000+19*1000+46))</f>
        <v/>
      </c>
      <c r="FY134" s="39">
        <f>IF(N('Dvd Calendar'!$K$1321)=0,"",IF(('Dvd Calendar'!$K$1321&gt;=GRID_FROM)*('Dvd Calendar'!$K$1321&lt;=GRID_TO)*('Dvd Calendar'!$K$1321&gt;VAL_DATE)=0,"",'Dvd Calendar'!$K$1321*1000000000+ISNUMBER('Dvd Calendar'!$K$1322)*100000000+0*10000000+(N('Dvd Calendar'!$K$1320)&gt;0)*(N('Dvd Calendar'!$K$1320)&lt;=VAL_SERIAL)*1000000+19*1000+47))</f>
        <v/>
      </c>
      <c r="FZ134" s="39">
        <f>IF(N('Dvd Calendar'!$L$1321)=0,"",IF(('Dvd Calendar'!$L$1321&gt;=GRID_FROM)*('Dvd Calendar'!$L$1321&lt;=GRID_TO)*('Dvd Calendar'!$L$1321&gt;VAL_DATE)=0,"",'Dvd Calendar'!$L$1321*1000000000+ISNUMBER('Dvd Calendar'!$L$1322)*100000000+0*10000000+(N('Dvd Calendar'!$L$1320)&gt;0)*(N('Dvd Calendar'!$L$1320)&lt;=VAL_SERIAL)*1000000+19*1000+48))</f>
        <v/>
      </c>
      <c r="GA134" s="39">
        <f>IF(N('Dvd Calendar'!$M$1321)=0,"",IF(('Dvd Calendar'!$M$1321&gt;=GRID_FROM)*('Dvd Calendar'!$M$1321&lt;=GRID_TO)*('Dvd Calendar'!$M$1321&gt;VAL_DATE)=0,"",'Dvd Calendar'!$M$1321*1000000000+ISNUMBER('Dvd Calendar'!$M$1322)*100000000+0*10000000+(N('Dvd Calendar'!$M$1320)&gt;0)*(N('Dvd Calendar'!$M$1320)&lt;=VAL_SERIAL)*1000000+19*1000+49))</f>
        <v/>
      </c>
      <c r="GB134" s="39">
        <f>IF(N('Dvd Calendar'!$N$1321)=0,"",IF(('Dvd Calendar'!$N$1321&gt;=GRID_FROM)*('Dvd Calendar'!$N$1321&lt;=GRID_TO)*('Dvd Calendar'!$N$1321&gt;VAL_DATE)=0,"",'Dvd Calendar'!$N$1321*1000000000+ISNUMBER('Dvd Calendar'!$N$1322)*100000000+0*10000000+(N('Dvd Calendar'!$N$1320)&gt;0)*(N('Dvd Calendar'!$N$1320)&lt;=VAL_SERIAL)*1000000+19*1000+50))</f>
        <v/>
      </c>
      <c r="GC134" s="39">
        <f>IF(N('Dvd Calendar'!$O$1321)=0,"",IF(('Dvd Calendar'!$O$1321&gt;=GRID_FROM)*('Dvd Calendar'!$O$1321&lt;=GRID_TO)*('Dvd Calendar'!$O$1321&gt;VAL_DATE)=0,"",'Dvd Calendar'!$O$1321*1000000000+ISNUMBER('Dvd Calendar'!$O$1322)*100000000+0*10000000+(N('Dvd Calendar'!$O$1320)&gt;0)*(N('Dvd Calendar'!$O$1320)&lt;=VAL_SERIAL)*1000000+19*1000+51))</f>
        <v/>
      </c>
      <c r="GD134" s="39">
        <f>IF(N('Dvd Calendar'!$P$1321)=0,"",IF(('Dvd Calendar'!$P$1321&gt;=GRID_FROM)*('Dvd Calendar'!$P$1321&lt;=GRID_TO)*('Dvd Calendar'!$P$1321&gt;VAL_DATE)=0,"",'Dvd Calendar'!$P$1321*1000000000+ISNUMBER('Dvd Calendar'!$P$1322)*100000000+0*10000000+(N('Dvd Calendar'!$P$1320)&gt;0)*(N('Dvd Calendar'!$P$1320)&lt;=VAL_SERIAL)*1000000+19*1000+52))</f>
        <v/>
      </c>
      <c r="GE134" s="39">
        <f>IF(N('Dvd Calendar'!$Q$1321)=0,"",IF(('Dvd Calendar'!$Q$1321&gt;=GRID_FROM)*('Dvd Calendar'!$Q$1321&lt;=GRID_TO)*('Dvd Calendar'!$Q$1321&gt;VAL_DATE)=0,"",'Dvd Calendar'!$Q$1321*1000000000+ISNUMBER('Dvd Calendar'!$Q$1322)*100000000+0*10000000+(N('Dvd Calendar'!$Q$1320)&gt;0)*(N('Dvd Calendar'!$Q$1320)&lt;=VAL_SERIAL)*1000000+19*1000+53))</f>
        <v/>
      </c>
      <c r="GF134" s="39">
        <f>IF(N('Dvd Calendar'!$R$1321)=0,"",IF(('Dvd Calendar'!$R$1321&gt;=GRID_FROM)*('Dvd Calendar'!$R$1321&lt;=GRID_TO)*('Dvd Calendar'!$R$1321&gt;VAL_DATE)=0,"",'Dvd Calendar'!$R$1321*1000000000+ISNUMBER('Dvd Calendar'!$R$1322)*100000000+0*10000000+(N('Dvd Calendar'!$R$1320)&gt;0)*(N('Dvd Calendar'!$R$1320)&lt;=VAL_SERIAL)*1000000+19*1000+54))</f>
        <v/>
      </c>
      <c r="GG134" s="39">
        <f>IF(N('Dvd Calendar'!$S$1321)=0,"",IF(('Dvd Calendar'!$S$1321&gt;=GRID_FROM)*('Dvd Calendar'!$S$1321&lt;=GRID_TO)*('Dvd Calendar'!$S$1321&gt;VAL_DATE)=0,"",'Dvd Calendar'!$S$1321*1000000000+ISNUMBER('Dvd Calendar'!$S$1322)*100000000+0*10000000+(N('Dvd Calendar'!$S$1320)&gt;0)*(N('Dvd Calendar'!$S$1320)&lt;=VAL_SERIAL)*1000000+19*1000+55))</f>
        <v/>
      </c>
      <c r="GH134" s="39">
        <f>IF(N('Dvd Calendar'!$T$1321)=0,"",IF(('Dvd Calendar'!$T$1321&gt;=GRID_FROM)*('Dvd Calendar'!$T$1321&lt;=GRID_TO)*('Dvd Calendar'!$T$1321&gt;VAL_DATE)=0,"",'Dvd Calendar'!$T$1321*1000000000+ISNUMBER('Dvd Calendar'!$T$1322)*100000000+0*10000000+(N('Dvd Calendar'!$T$1320)&gt;0)*(N('Dvd Calendar'!$T$1320)&lt;=VAL_SERIAL)*1000000+19*1000+56))</f>
        <v/>
      </c>
      <c r="GI134" s="39">
        <f>IF(N('Dvd Calendar'!$U$1321)=0,"",IF(('Dvd Calendar'!$U$1321&gt;=GRID_FROM)*('Dvd Calendar'!$U$1321&lt;=GRID_TO)*('Dvd Calendar'!$U$1321&gt;VAL_DATE)=0,"",'Dvd Calendar'!$U$1321*1000000000+ISNUMBER('Dvd Calendar'!$U$1322)*100000000+0*10000000+(N('Dvd Calendar'!$U$1320)&gt;0)*(N('Dvd Calendar'!$U$1320)&lt;=VAL_SERIAL)*1000000+19*1000+57))</f>
        <v/>
      </c>
      <c r="GJ134" s="39">
        <f>IF(N('Dvd Calendar'!$V$1321)=0,"",IF(('Dvd Calendar'!$V$1321&gt;=GRID_FROM)*('Dvd Calendar'!$V$1321&lt;=GRID_TO)*('Dvd Calendar'!$V$1321&gt;VAL_DATE)=0,"",'Dvd Calendar'!$V$1321*1000000000+ISNUMBER('Dvd Calendar'!$V$1322)*100000000+0*10000000+(N('Dvd Calendar'!$V$1320)&gt;0)*(N('Dvd Calendar'!$V$1320)&lt;=VAL_SERIAL)*1000000+19*1000+58))</f>
        <v/>
      </c>
      <c r="GK134" s="39">
        <f>IF(N('Dvd Calendar'!$W$1321)=0,"",IF(('Dvd Calendar'!$W$1321&gt;=GRID_FROM)*('Dvd Calendar'!$W$1321&lt;=GRID_TO)*('Dvd Calendar'!$W$1321&gt;VAL_DATE)=0,"",'Dvd Calendar'!$W$1321*1000000000+ISNUMBER('Dvd Calendar'!$W$1322)*100000000+0*10000000+(N('Dvd Calendar'!$W$1320)&gt;0)*(N('Dvd Calendar'!$W$1320)&lt;=VAL_SERIAL)*1000000+19*1000+59))</f>
        <v/>
      </c>
      <c r="GL134" s="39">
        <f>IF(N('Dvd Calendar'!$X$1321)=0,"",IF(('Dvd Calendar'!$X$1321&gt;=GRID_FROM)*('Dvd Calendar'!$X$1321&lt;=GRID_TO)*('Dvd Calendar'!$X$1321&gt;VAL_DATE)=0,"",'Dvd Calendar'!$X$1321*1000000000+ISNUMBER('Dvd Calendar'!$X$1322)*100000000+0*10000000+(N('Dvd Calendar'!$X$1320)&gt;0)*(N('Dvd Calendar'!$X$1320)&lt;=VAL_SERIAL)*1000000+19*1000+60))</f>
        <v/>
      </c>
      <c r="GM134" s="39">
        <f>IF(N('Dvd Calendar'!$Y$1321)=0,"",IF(('Dvd Calendar'!$Y$1321&gt;=GRID_FROM)*('Dvd Calendar'!$Y$1321&lt;=GRID_TO)*('Dvd Calendar'!$Y$1321&gt;VAL_DATE)=0,"",'Dvd Calendar'!$Y$1321*1000000000+ISNUMBER('Dvd Calendar'!$Y$1322)*100000000+0*10000000+(N('Dvd Calendar'!$Y$1320)&gt;0)*(N('Dvd Calendar'!$Y$1320)&lt;=VAL_SERIAL)*1000000+19*1000+61))</f>
        <v/>
      </c>
      <c r="GN134" s="39">
        <f>IF(N('Dvd Calendar'!$Z$1321)=0,"",IF(('Dvd Calendar'!$Z$1321&gt;=GRID_FROM)*('Dvd Calendar'!$Z$1321&lt;=GRID_TO)*('Dvd Calendar'!$Z$1321&gt;VAL_DATE)=0,"",'Dvd Calendar'!$Z$1321*1000000000+ISNUMBER('Dvd Calendar'!$Z$1322)*100000000+0*10000000+(N('Dvd Calendar'!$Z$1320)&gt;0)*(N('Dvd Calendar'!$Z$1320)&lt;=VAL_SERIAL)*1000000+19*1000+62))</f>
        <v/>
      </c>
      <c r="GO134" s="39">
        <f>IF(N('Dvd Calendar'!$AA$1321)=0,"",IF(('Dvd Calendar'!$AA$1321&gt;=GRID_FROM)*('Dvd Calendar'!$AA$1321&lt;=GRID_TO)*('Dvd Calendar'!$AA$1321&gt;VAL_DATE)=0,"",'Dvd Calendar'!$AA$1321*1000000000+ISNUMBER('Dvd Calendar'!$AA$1322)*100000000+0*10000000+(N('Dvd Calendar'!$AA$1320)&gt;0)*(N('Dvd Calendar'!$AA$1320)&lt;=VAL_SERIAL)*1000000+19*1000+63))</f>
        <v/>
      </c>
      <c r="GP134" s="39">
        <f>IF(N('Dvd Calendar'!$AB$1321)=0,"",IF(('Dvd Calendar'!$AB$1321&gt;=GRID_FROM)*('Dvd Calendar'!$AB$1321&lt;=GRID_TO)*('Dvd Calendar'!$AB$1321&gt;VAL_DATE)=0,"",'Dvd Calendar'!$AB$1321*1000000000+ISNUMBER('Dvd Calendar'!$AB$1322)*100000000+0*10000000+(N('Dvd Calendar'!$AB$1320)&gt;0)*(N('Dvd Calendar'!$AB$1320)&lt;=VAL_SERIAL)*1000000+19*1000+64))</f>
        <v/>
      </c>
      <c r="GQ134" s="39">
        <f>IF(N('Dvd Calendar'!$AC$1321)=0,"",IF(('Dvd Calendar'!$AC$1321&gt;=GRID_FROM)*('Dvd Calendar'!$AC$1321&lt;=GRID_TO)*('Dvd Calendar'!$AC$1321&gt;VAL_DATE)=0,"",'Dvd Calendar'!$AC$1321*1000000000+ISNUMBER('Dvd Calendar'!$AC$1322)*100000000+0*10000000+(N('Dvd Calendar'!$AC$1320)&gt;0)*(N('Dvd Calendar'!$AC$1320)&lt;=VAL_SERIAL)*1000000+19*1000+65))</f>
        <v/>
      </c>
    </row>
    <row r="135">
      <c r="B135" s="2">
        <f>IF(HSTECH!$C$26="","",HSTECH!$C$26)</f>
        <v/>
      </c>
      <c r="C135" s="110">
        <f>IF(EE135="","",IF(ISNUMBER('Dvd Calendar'!$E$1328)=FALSE,"",IF((('Dvd Calendar'!$E$1330=TYPE1)*(TYPE1&lt;&gt;"")+('Dvd Calendar'!$E$1330=TYPE2)*(TYPE2&lt;&gt;"")+('Dvd Calendar'!$E$1330=TYPE3)*(TYPE3&lt;&gt;"")+('Dvd Calendar'!$E$1330=TYPE4)*(TYPE4&lt;&gt;"")+('Dvd Calendar'!$E$1330=SPECIAL_LBL)*(INC_SPECIALS="Y"))=0,"",'Dvd Calendar'!$E$1328)))</f>
        <v/>
      </c>
      <c r="D135" s="110">
        <f>IF(EF135="","",IF(ISNUMBER('Dvd Calendar'!$F$1328)=FALSE,"",IF((('Dvd Calendar'!$F$1330=TYPE1)*(TYPE1&lt;&gt;"")+('Dvd Calendar'!$F$1330=TYPE2)*(TYPE2&lt;&gt;"")+('Dvd Calendar'!$F$1330=TYPE3)*(TYPE3&lt;&gt;"")+('Dvd Calendar'!$F$1330=TYPE4)*(TYPE4&lt;&gt;"")+('Dvd Calendar'!$F$1330=SPECIAL_LBL)*(INC_SPECIALS="Y"))=0,"",'Dvd Calendar'!$F$1328)))</f>
        <v/>
      </c>
      <c r="E135" s="110">
        <f>IF(EG135="","",IF(ISNUMBER('Dvd Calendar'!$G$1328)=FALSE,"",IF((('Dvd Calendar'!$G$1330=TYPE1)*(TYPE1&lt;&gt;"")+('Dvd Calendar'!$G$1330=TYPE2)*(TYPE2&lt;&gt;"")+('Dvd Calendar'!$G$1330=TYPE3)*(TYPE3&lt;&gt;"")+('Dvd Calendar'!$G$1330=TYPE4)*(TYPE4&lt;&gt;"")+('Dvd Calendar'!$G$1330=SPECIAL_LBL)*(INC_SPECIALS="Y"))=0,"",'Dvd Calendar'!$G$1328)))</f>
        <v/>
      </c>
      <c r="F135" s="110">
        <f>IF(EH135="","",IF(ISNUMBER('Dvd Calendar'!$H$1328)=FALSE,"",IF((('Dvd Calendar'!$H$1330=TYPE1)*(TYPE1&lt;&gt;"")+('Dvd Calendar'!$H$1330=TYPE2)*(TYPE2&lt;&gt;"")+('Dvd Calendar'!$H$1330=TYPE3)*(TYPE3&lt;&gt;"")+('Dvd Calendar'!$H$1330=TYPE4)*(TYPE4&lt;&gt;"")+('Dvd Calendar'!$H$1330=SPECIAL_LBL)*(INC_SPECIALS="Y"))=0,"",'Dvd Calendar'!$H$1328)))</f>
        <v/>
      </c>
      <c r="G135" s="110">
        <f>IF(EI135="","",IF(ISNUMBER('Dvd Calendar'!$I$1328)=FALSE,"",IF((('Dvd Calendar'!$I$1330=TYPE1)*(TYPE1&lt;&gt;"")+('Dvd Calendar'!$I$1330=TYPE2)*(TYPE2&lt;&gt;"")+('Dvd Calendar'!$I$1330=TYPE3)*(TYPE3&lt;&gt;"")+('Dvd Calendar'!$I$1330=TYPE4)*(TYPE4&lt;&gt;"")+('Dvd Calendar'!$I$1330=SPECIAL_LBL)*(INC_SPECIALS="Y"))=0,"",'Dvd Calendar'!$I$1328)))</f>
        <v/>
      </c>
      <c r="H135" s="110">
        <f>IF(EJ135="","",IF(ISNUMBER('Dvd Calendar'!$J$1328)=FALSE,"",IF((('Dvd Calendar'!$J$1330=TYPE1)*(TYPE1&lt;&gt;"")+('Dvd Calendar'!$J$1330=TYPE2)*(TYPE2&lt;&gt;"")+('Dvd Calendar'!$J$1330=TYPE3)*(TYPE3&lt;&gt;"")+('Dvd Calendar'!$J$1330=TYPE4)*(TYPE4&lt;&gt;"")+('Dvd Calendar'!$J$1330=SPECIAL_LBL)*(INC_SPECIALS="Y"))=0,"",'Dvd Calendar'!$J$1328)))</f>
        <v/>
      </c>
      <c r="I135" s="110">
        <f>IF(EK135="","",IF(ISNUMBER('Dvd Calendar'!$K$1328)=FALSE,"",IF((('Dvd Calendar'!$K$1330=TYPE1)*(TYPE1&lt;&gt;"")+('Dvd Calendar'!$K$1330=TYPE2)*(TYPE2&lt;&gt;"")+('Dvd Calendar'!$K$1330=TYPE3)*(TYPE3&lt;&gt;"")+('Dvd Calendar'!$K$1330=TYPE4)*(TYPE4&lt;&gt;"")+('Dvd Calendar'!$K$1330=SPECIAL_LBL)*(INC_SPECIALS="Y"))=0,"",'Dvd Calendar'!$K$1328)))</f>
        <v/>
      </c>
      <c r="J135" s="110">
        <f>IF(EL135="","",IF(ISNUMBER('Dvd Calendar'!$L$1328)=FALSE,"",IF((('Dvd Calendar'!$L$1330=TYPE1)*(TYPE1&lt;&gt;"")+('Dvd Calendar'!$L$1330=TYPE2)*(TYPE2&lt;&gt;"")+('Dvd Calendar'!$L$1330=TYPE3)*(TYPE3&lt;&gt;"")+('Dvd Calendar'!$L$1330=TYPE4)*(TYPE4&lt;&gt;"")+('Dvd Calendar'!$L$1330=SPECIAL_LBL)*(INC_SPECIALS="Y"))=0,"",'Dvd Calendar'!$L$1328)))</f>
        <v/>
      </c>
      <c r="K135" s="110">
        <f>IF(EM135="","",IF(ISNUMBER('Dvd Calendar'!$M$1328)=FALSE,"",IF((('Dvd Calendar'!$M$1330=TYPE1)*(TYPE1&lt;&gt;"")+('Dvd Calendar'!$M$1330=TYPE2)*(TYPE2&lt;&gt;"")+('Dvd Calendar'!$M$1330=TYPE3)*(TYPE3&lt;&gt;"")+('Dvd Calendar'!$M$1330=TYPE4)*(TYPE4&lt;&gt;"")+('Dvd Calendar'!$M$1330=SPECIAL_LBL)*(INC_SPECIALS="Y"))=0,"",'Dvd Calendar'!$M$1328)))</f>
        <v/>
      </c>
      <c r="L135" s="110">
        <f>IF(EN135="","",IF(ISNUMBER('Dvd Calendar'!$N$1328)=FALSE,"",IF((('Dvd Calendar'!$N$1330=TYPE1)*(TYPE1&lt;&gt;"")+('Dvd Calendar'!$N$1330=TYPE2)*(TYPE2&lt;&gt;"")+('Dvd Calendar'!$N$1330=TYPE3)*(TYPE3&lt;&gt;"")+('Dvd Calendar'!$N$1330=TYPE4)*(TYPE4&lt;&gt;"")+('Dvd Calendar'!$N$1330=SPECIAL_LBL)*(INC_SPECIALS="Y"))=0,"",'Dvd Calendar'!$N$1328)))</f>
        <v/>
      </c>
      <c r="M135" s="110">
        <f>IF(EO135="","",IF(ISNUMBER('Dvd Calendar'!$O$1328)=FALSE,"",IF((('Dvd Calendar'!$O$1330=TYPE1)*(TYPE1&lt;&gt;"")+('Dvd Calendar'!$O$1330=TYPE2)*(TYPE2&lt;&gt;"")+('Dvd Calendar'!$O$1330=TYPE3)*(TYPE3&lt;&gt;"")+('Dvd Calendar'!$O$1330=TYPE4)*(TYPE4&lt;&gt;"")+('Dvd Calendar'!$O$1330=SPECIAL_LBL)*(INC_SPECIALS="Y"))=0,"",'Dvd Calendar'!$O$1328)))</f>
        <v/>
      </c>
      <c r="N135" s="110">
        <f>IF(EP135="","",IF(ISNUMBER('Dvd Calendar'!$P$1328)=FALSE,"",IF((('Dvd Calendar'!$P$1330=TYPE1)*(TYPE1&lt;&gt;"")+('Dvd Calendar'!$P$1330=TYPE2)*(TYPE2&lt;&gt;"")+('Dvd Calendar'!$P$1330=TYPE3)*(TYPE3&lt;&gt;"")+('Dvd Calendar'!$P$1330=TYPE4)*(TYPE4&lt;&gt;"")+('Dvd Calendar'!$P$1330=SPECIAL_LBL)*(INC_SPECIALS="Y"))=0,"",'Dvd Calendar'!$P$1328)))</f>
        <v/>
      </c>
      <c r="O135" s="110">
        <f>IF(EQ135="","",IF(ISNUMBER('Dvd Calendar'!$Q$1328)=FALSE,"",IF((('Dvd Calendar'!$Q$1330=TYPE1)*(TYPE1&lt;&gt;"")+('Dvd Calendar'!$Q$1330=TYPE2)*(TYPE2&lt;&gt;"")+('Dvd Calendar'!$Q$1330=TYPE3)*(TYPE3&lt;&gt;"")+('Dvd Calendar'!$Q$1330=TYPE4)*(TYPE4&lt;&gt;"")+('Dvd Calendar'!$Q$1330=SPECIAL_LBL)*(INC_SPECIALS="Y"))=0,"",'Dvd Calendar'!$Q$1328)))</f>
        <v/>
      </c>
      <c r="P135" s="110">
        <f>IF(ER135="","",IF(ISNUMBER('Dvd Calendar'!$R$1328)=FALSE,"",IF((('Dvd Calendar'!$R$1330=TYPE1)*(TYPE1&lt;&gt;"")+('Dvd Calendar'!$R$1330=TYPE2)*(TYPE2&lt;&gt;"")+('Dvd Calendar'!$R$1330=TYPE3)*(TYPE3&lt;&gt;"")+('Dvd Calendar'!$R$1330=TYPE4)*(TYPE4&lt;&gt;"")+('Dvd Calendar'!$R$1330=SPECIAL_LBL)*(INC_SPECIALS="Y"))=0,"",'Dvd Calendar'!$R$1328)))</f>
        <v/>
      </c>
      <c r="Q135" s="110">
        <f>IF(ES135="","",IF(ISNUMBER('Dvd Calendar'!$S$1328)=FALSE,"",IF((('Dvd Calendar'!$S$1330=TYPE1)*(TYPE1&lt;&gt;"")+('Dvd Calendar'!$S$1330=TYPE2)*(TYPE2&lt;&gt;"")+('Dvd Calendar'!$S$1330=TYPE3)*(TYPE3&lt;&gt;"")+('Dvd Calendar'!$S$1330=TYPE4)*(TYPE4&lt;&gt;"")+('Dvd Calendar'!$S$1330=SPECIAL_LBL)*(INC_SPECIALS="Y"))=0,"",'Dvd Calendar'!$S$1328)))</f>
        <v/>
      </c>
      <c r="R135" s="110">
        <f>IF(ET135="","",IF(ISNUMBER('Dvd Calendar'!$T$1328)=FALSE,"",IF((('Dvd Calendar'!$T$1330=TYPE1)*(TYPE1&lt;&gt;"")+('Dvd Calendar'!$T$1330=TYPE2)*(TYPE2&lt;&gt;"")+('Dvd Calendar'!$T$1330=TYPE3)*(TYPE3&lt;&gt;"")+('Dvd Calendar'!$T$1330=TYPE4)*(TYPE4&lt;&gt;"")+('Dvd Calendar'!$T$1330=SPECIAL_LBL)*(INC_SPECIALS="Y"))=0,"",'Dvd Calendar'!$T$1328)))</f>
        <v/>
      </c>
      <c r="S135" s="110">
        <f>IF(EU135="","",IF(ISNUMBER('Dvd Calendar'!$U$1328)=FALSE,"",IF((('Dvd Calendar'!$U$1330=TYPE1)*(TYPE1&lt;&gt;"")+('Dvd Calendar'!$U$1330=TYPE2)*(TYPE2&lt;&gt;"")+('Dvd Calendar'!$U$1330=TYPE3)*(TYPE3&lt;&gt;"")+('Dvd Calendar'!$U$1330=TYPE4)*(TYPE4&lt;&gt;"")+('Dvd Calendar'!$U$1330=SPECIAL_LBL)*(INC_SPECIALS="Y"))=0,"",'Dvd Calendar'!$U$1328)))</f>
        <v/>
      </c>
      <c r="T135" s="110">
        <f>IF(EV135="","",IF(ISNUMBER('Dvd Calendar'!$V$1328)=FALSE,"",IF((('Dvd Calendar'!$V$1330=TYPE1)*(TYPE1&lt;&gt;"")+('Dvd Calendar'!$V$1330=TYPE2)*(TYPE2&lt;&gt;"")+('Dvd Calendar'!$V$1330=TYPE3)*(TYPE3&lt;&gt;"")+('Dvd Calendar'!$V$1330=TYPE4)*(TYPE4&lt;&gt;"")+('Dvd Calendar'!$V$1330=SPECIAL_LBL)*(INC_SPECIALS="Y"))=0,"",'Dvd Calendar'!$V$1328)))</f>
        <v/>
      </c>
      <c r="U135" s="110">
        <f>IF(EW135="","",IF(ISNUMBER('Dvd Calendar'!$W$1328)=FALSE,"",IF((('Dvd Calendar'!$W$1330=TYPE1)*(TYPE1&lt;&gt;"")+('Dvd Calendar'!$W$1330=TYPE2)*(TYPE2&lt;&gt;"")+('Dvd Calendar'!$W$1330=TYPE3)*(TYPE3&lt;&gt;"")+('Dvd Calendar'!$W$1330=TYPE4)*(TYPE4&lt;&gt;"")+('Dvd Calendar'!$W$1330=SPECIAL_LBL)*(INC_SPECIALS="Y"))=0,"",'Dvd Calendar'!$W$1328)))</f>
        <v/>
      </c>
      <c r="V135" s="110">
        <f>IF(EX135="","",IF(ISNUMBER('Dvd Calendar'!$X$1328)=FALSE,"",IF((('Dvd Calendar'!$X$1330=TYPE1)*(TYPE1&lt;&gt;"")+('Dvd Calendar'!$X$1330=TYPE2)*(TYPE2&lt;&gt;"")+('Dvd Calendar'!$X$1330=TYPE3)*(TYPE3&lt;&gt;"")+('Dvd Calendar'!$X$1330=TYPE4)*(TYPE4&lt;&gt;"")+('Dvd Calendar'!$X$1330=SPECIAL_LBL)*(INC_SPECIALS="Y"))=0,"",'Dvd Calendar'!$X$1328)))</f>
        <v/>
      </c>
      <c r="W135" s="110">
        <f>IF(EY135="","",IF(ISNUMBER('Dvd Calendar'!$Y$1328)=FALSE,"",IF((('Dvd Calendar'!$Y$1330=TYPE1)*(TYPE1&lt;&gt;"")+('Dvd Calendar'!$Y$1330=TYPE2)*(TYPE2&lt;&gt;"")+('Dvd Calendar'!$Y$1330=TYPE3)*(TYPE3&lt;&gt;"")+('Dvd Calendar'!$Y$1330=TYPE4)*(TYPE4&lt;&gt;"")+('Dvd Calendar'!$Y$1330=SPECIAL_LBL)*(INC_SPECIALS="Y"))=0,"",'Dvd Calendar'!$Y$1328)))</f>
        <v/>
      </c>
      <c r="X135" s="110">
        <f>IF(EZ135="","",IF(ISNUMBER('Dvd Calendar'!$Z$1328)=FALSE,"",IF((('Dvd Calendar'!$Z$1330=TYPE1)*(TYPE1&lt;&gt;"")+('Dvd Calendar'!$Z$1330=TYPE2)*(TYPE2&lt;&gt;"")+('Dvd Calendar'!$Z$1330=TYPE3)*(TYPE3&lt;&gt;"")+('Dvd Calendar'!$Z$1330=TYPE4)*(TYPE4&lt;&gt;"")+('Dvd Calendar'!$Z$1330=SPECIAL_LBL)*(INC_SPECIALS="Y"))=0,"",'Dvd Calendar'!$Z$1328)))</f>
        <v/>
      </c>
      <c r="Y135" s="110">
        <f>IF(FA135="","",IF(ISNUMBER('Dvd Calendar'!$AA$1328)=FALSE,"",IF((('Dvd Calendar'!$AA$1330=TYPE1)*(TYPE1&lt;&gt;"")+('Dvd Calendar'!$AA$1330=TYPE2)*(TYPE2&lt;&gt;"")+('Dvd Calendar'!$AA$1330=TYPE3)*(TYPE3&lt;&gt;"")+('Dvd Calendar'!$AA$1330=TYPE4)*(TYPE4&lt;&gt;"")+('Dvd Calendar'!$AA$1330=SPECIAL_LBL)*(INC_SPECIALS="Y"))=0,"",'Dvd Calendar'!$AA$1328)))</f>
        <v/>
      </c>
      <c r="Z135" s="110">
        <f>IF(FB135="","",IF(ISNUMBER('Dvd Calendar'!$AB$1328)=FALSE,"",IF((('Dvd Calendar'!$AB$1330=TYPE1)*(TYPE1&lt;&gt;"")+('Dvd Calendar'!$AB$1330=TYPE2)*(TYPE2&lt;&gt;"")+('Dvd Calendar'!$AB$1330=TYPE3)*(TYPE3&lt;&gt;"")+('Dvd Calendar'!$AB$1330=TYPE4)*(TYPE4&lt;&gt;"")+('Dvd Calendar'!$AB$1330=SPECIAL_LBL)*(INC_SPECIALS="Y"))=0,"",'Dvd Calendar'!$AB$1328)))</f>
        <v/>
      </c>
      <c r="AA135" s="110">
        <f>IF(FC135="","",IF(ISNUMBER('Dvd Calendar'!$AC$1328)=FALSE,"",IF((('Dvd Calendar'!$AC$1330=TYPE1)*(TYPE1&lt;&gt;"")+('Dvd Calendar'!$AC$1330=TYPE2)*(TYPE2&lt;&gt;"")+('Dvd Calendar'!$AC$1330=TYPE3)*(TYPE3&lt;&gt;"")+('Dvd Calendar'!$AC$1330=TYPE4)*(TYPE4&lt;&gt;"")+('Dvd Calendar'!$AC$1330=SPECIAL_LBL)*(INC_SPECIALS="Y"))=0,"",'Dvd Calendar'!$AC$1328)))</f>
        <v/>
      </c>
      <c r="AB135" s="110">
        <f>IF(FD135="","",IF(ISNUMBER('Dvd Calendar'!$AD$1328)=FALSE,"",IF((('Dvd Calendar'!$AD$1330=TYPE1)*(TYPE1&lt;&gt;"")+('Dvd Calendar'!$AD$1330=TYPE2)*(TYPE2&lt;&gt;"")+('Dvd Calendar'!$AD$1330=TYPE3)*(TYPE3&lt;&gt;"")+('Dvd Calendar'!$AD$1330=TYPE4)*(TYPE4&lt;&gt;"")+('Dvd Calendar'!$AD$1330=SPECIAL_LBL)*(INC_SPECIALS="Y"))=0,"",'Dvd Calendar'!$AD$1328)))</f>
        <v/>
      </c>
      <c r="AC135" s="110">
        <f>IF(FE135="","",IF(ISNUMBER('Dvd Calendar'!$AE$1328)=FALSE,"",IF((('Dvd Calendar'!$AE$1330=TYPE1)*(TYPE1&lt;&gt;"")+('Dvd Calendar'!$AE$1330=TYPE2)*(TYPE2&lt;&gt;"")+('Dvd Calendar'!$AE$1330=TYPE3)*(TYPE3&lt;&gt;"")+('Dvd Calendar'!$AE$1330=TYPE4)*(TYPE4&lt;&gt;"")+('Dvd Calendar'!$AE$1330=SPECIAL_LBL)*(INC_SPECIALS="Y"))=0,"",'Dvd Calendar'!$AE$1328)))</f>
        <v/>
      </c>
      <c r="AD135" s="110">
        <f>IF(FF135="","",IF(ISNUMBER('Dvd Calendar'!$AF$1328)=FALSE,"",IF((('Dvd Calendar'!$AF$1330=TYPE1)*(TYPE1&lt;&gt;"")+('Dvd Calendar'!$AF$1330=TYPE2)*(TYPE2&lt;&gt;"")+('Dvd Calendar'!$AF$1330=TYPE3)*(TYPE3&lt;&gt;"")+('Dvd Calendar'!$AF$1330=TYPE4)*(TYPE4&lt;&gt;"")+('Dvd Calendar'!$AF$1330=SPECIAL_LBL)*(INC_SPECIALS="Y"))=0,"",'Dvd Calendar'!$AF$1328)))</f>
        <v/>
      </c>
      <c r="AE135" s="110">
        <f>IF(FG135="","",IF(ISNUMBER('Dvd Calendar'!$AG$1328)=FALSE,"",IF((('Dvd Calendar'!$AG$1330=TYPE1)*(TYPE1&lt;&gt;"")+('Dvd Calendar'!$AG$1330=TYPE2)*(TYPE2&lt;&gt;"")+('Dvd Calendar'!$AG$1330=TYPE3)*(TYPE3&lt;&gt;"")+('Dvd Calendar'!$AG$1330=TYPE4)*(TYPE4&lt;&gt;"")+('Dvd Calendar'!$AG$1330=SPECIAL_LBL)*(INC_SPECIALS="Y"))=0,"",'Dvd Calendar'!$AG$1328)))</f>
        <v/>
      </c>
      <c r="AF135" s="110">
        <f>IF(FH135="","",IF(ISNUMBER('Dvd Calendar'!$AH$1328)=FALSE,"",IF((('Dvd Calendar'!$AH$1330=TYPE1)*(TYPE1&lt;&gt;"")+('Dvd Calendar'!$AH$1330=TYPE2)*(TYPE2&lt;&gt;"")+('Dvd Calendar'!$AH$1330=TYPE3)*(TYPE3&lt;&gt;"")+('Dvd Calendar'!$AH$1330=TYPE4)*(TYPE4&lt;&gt;"")+('Dvd Calendar'!$AH$1330=SPECIAL_LBL)*(INC_SPECIALS="Y"))=0,"",'Dvd Calendar'!$AH$1328)))</f>
        <v/>
      </c>
      <c r="AG135" s="110">
        <f>IF(FI135="","",IF(ISNUMBER('Dvd Calendar'!$AI$1328)=FALSE,"",IF((('Dvd Calendar'!$AI$1330=TYPE1)*(TYPE1&lt;&gt;"")+('Dvd Calendar'!$AI$1330=TYPE2)*(TYPE2&lt;&gt;"")+('Dvd Calendar'!$AI$1330=TYPE3)*(TYPE3&lt;&gt;"")+('Dvd Calendar'!$AI$1330=TYPE4)*(TYPE4&lt;&gt;"")+('Dvd Calendar'!$AI$1330=SPECIAL_LBL)*(INC_SPECIALS="Y"))=0,"",'Dvd Calendar'!$AI$1328)))</f>
        <v/>
      </c>
      <c r="AH135" s="110">
        <f>IF(FJ135="","",IF(ISNUMBER('Dvd Calendar'!$AJ$1328)=FALSE,"",IF((('Dvd Calendar'!$AJ$1330=TYPE1)*(TYPE1&lt;&gt;"")+('Dvd Calendar'!$AJ$1330=TYPE2)*(TYPE2&lt;&gt;"")+('Dvd Calendar'!$AJ$1330=TYPE3)*(TYPE3&lt;&gt;"")+('Dvd Calendar'!$AJ$1330=TYPE4)*(TYPE4&lt;&gt;"")+('Dvd Calendar'!$AJ$1330=SPECIAL_LBL)*(INC_SPECIALS="Y"))=0,"",'Dvd Calendar'!$AJ$1328)))</f>
        <v/>
      </c>
      <c r="AI135" s="110">
        <f>IF(FK135="","",IF(ISNUMBER('Dvd Calendar'!$AK$1328)=FALSE,"",IF((('Dvd Calendar'!$AK$1330=TYPE1)*(TYPE1&lt;&gt;"")+('Dvd Calendar'!$AK$1330=TYPE2)*(TYPE2&lt;&gt;"")+('Dvd Calendar'!$AK$1330=TYPE3)*(TYPE3&lt;&gt;"")+('Dvd Calendar'!$AK$1330=TYPE4)*(TYPE4&lt;&gt;"")+('Dvd Calendar'!$AK$1330=SPECIAL_LBL)*(INC_SPECIALS="Y"))=0,"",'Dvd Calendar'!$AK$1328)))</f>
        <v/>
      </c>
      <c r="AJ135" s="110">
        <f>IF(FL135="","",IF(ISNUMBER('Dvd Calendar'!$AL$1328)=FALSE,"",IF((('Dvd Calendar'!$AL$1330=TYPE1)*(TYPE1&lt;&gt;"")+('Dvd Calendar'!$AL$1330=TYPE2)*(TYPE2&lt;&gt;"")+('Dvd Calendar'!$AL$1330=TYPE3)*(TYPE3&lt;&gt;"")+('Dvd Calendar'!$AL$1330=TYPE4)*(TYPE4&lt;&gt;"")+('Dvd Calendar'!$AL$1330=SPECIAL_LBL)*(INC_SPECIALS="Y"))=0,"",'Dvd Calendar'!$AL$1328)))</f>
        <v/>
      </c>
      <c r="AK135" s="110">
        <f>IF(FM135="","",IF(ISNUMBER('Dvd Calendar'!$AM$1328)=FALSE,"",IF((('Dvd Calendar'!$AM$1330=TYPE1)*(TYPE1&lt;&gt;"")+('Dvd Calendar'!$AM$1330=TYPE2)*(TYPE2&lt;&gt;"")+('Dvd Calendar'!$AM$1330=TYPE3)*(TYPE3&lt;&gt;"")+('Dvd Calendar'!$AM$1330=TYPE4)*(TYPE4&lt;&gt;"")+('Dvd Calendar'!$AM$1330=SPECIAL_LBL)*(INC_SPECIALS="Y"))=0,"",'Dvd Calendar'!$AM$1328)))</f>
        <v/>
      </c>
      <c r="AL135" s="110">
        <f>IF(FN135="","",IF(ISNUMBER('Dvd Calendar'!$AN$1328)=FALSE,"",IF((('Dvd Calendar'!$AN$1330=TYPE1)*(TYPE1&lt;&gt;"")+('Dvd Calendar'!$AN$1330=TYPE2)*(TYPE2&lt;&gt;"")+('Dvd Calendar'!$AN$1330=TYPE3)*(TYPE3&lt;&gt;"")+('Dvd Calendar'!$AN$1330=TYPE4)*(TYPE4&lt;&gt;"")+('Dvd Calendar'!$AN$1330=SPECIAL_LBL)*(INC_SPECIALS="Y"))=0,"",'Dvd Calendar'!$AN$1328)))</f>
        <v/>
      </c>
      <c r="AM135" s="110">
        <f>IF(FO135="","",IF(ISNUMBER('Dvd Calendar'!$AO$1328)=FALSE,"",IF((('Dvd Calendar'!$AO$1330=TYPE1)*(TYPE1&lt;&gt;"")+('Dvd Calendar'!$AO$1330=TYPE2)*(TYPE2&lt;&gt;"")+('Dvd Calendar'!$AO$1330=TYPE3)*(TYPE3&lt;&gt;"")+('Dvd Calendar'!$AO$1330=TYPE4)*(TYPE4&lt;&gt;"")+('Dvd Calendar'!$AO$1330=SPECIAL_LBL)*(INC_SPECIALS="Y"))=0,"",'Dvd Calendar'!$AO$1328)))</f>
        <v/>
      </c>
      <c r="AN135" s="110">
        <f>IF(FP135="","",IF(ISNUMBER('Dvd Calendar'!$AP$1328)=FALSE,"",IF((('Dvd Calendar'!$AP$1330=TYPE1)*(TYPE1&lt;&gt;"")+('Dvd Calendar'!$AP$1330=TYPE2)*(TYPE2&lt;&gt;"")+('Dvd Calendar'!$AP$1330=TYPE3)*(TYPE3&lt;&gt;"")+('Dvd Calendar'!$AP$1330=TYPE4)*(TYPE4&lt;&gt;"")+('Dvd Calendar'!$AP$1330=SPECIAL_LBL)*(INC_SPECIALS="Y"))=0,"",'Dvd Calendar'!$AP$1328)))</f>
        <v/>
      </c>
      <c r="AO135" s="110">
        <f>IF(FQ135="","",IF(ISNUMBER('Dvd Calendar'!$AQ$1328)=FALSE,"",IF((('Dvd Calendar'!$AQ$1330=TYPE1)*(TYPE1&lt;&gt;"")+('Dvd Calendar'!$AQ$1330=TYPE2)*(TYPE2&lt;&gt;"")+('Dvd Calendar'!$AQ$1330=TYPE3)*(TYPE3&lt;&gt;"")+('Dvd Calendar'!$AQ$1330=TYPE4)*(TYPE4&lt;&gt;"")+('Dvd Calendar'!$AQ$1330=SPECIAL_LBL)*(INC_SPECIALS="Y"))=0,"",'Dvd Calendar'!$AQ$1328)))</f>
        <v/>
      </c>
      <c r="AP135" s="110">
        <f>IF(FR135="","",IF(ISNUMBER('Dvd Calendar'!$AR$1328)=FALSE,"",IF((('Dvd Calendar'!$AR$1330=TYPE1)*(TYPE1&lt;&gt;"")+('Dvd Calendar'!$AR$1330=TYPE2)*(TYPE2&lt;&gt;"")+('Dvd Calendar'!$AR$1330=TYPE3)*(TYPE3&lt;&gt;"")+('Dvd Calendar'!$AR$1330=TYPE4)*(TYPE4&lt;&gt;"")+('Dvd Calendar'!$AR$1330=SPECIAL_LBL)*(INC_SPECIALS="Y"))=0,"",'Dvd Calendar'!$AR$1328)))</f>
        <v/>
      </c>
      <c r="AQ135" s="110">
        <f>IF(FS135="","",IF(ISNUMBER('Dvd Calendar'!$E$1333)=FALSE,"",'Dvd Calendar'!$E$1333))</f>
        <v/>
      </c>
      <c r="AR135" s="110">
        <f>IF(FT135="","",IF(ISNUMBER('Dvd Calendar'!$F$1333)=FALSE,"",'Dvd Calendar'!$F$1333))</f>
        <v/>
      </c>
      <c r="AS135" s="110">
        <f>IF(FU135="","",IF(ISNUMBER('Dvd Calendar'!$G$1333)=FALSE,"",'Dvd Calendar'!$G$1333))</f>
        <v/>
      </c>
      <c r="AT135" s="110">
        <f>IF(FV135="","",IF(ISNUMBER('Dvd Calendar'!$H$1333)=FALSE,"",'Dvd Calendar'!$H$1333))</f>
        <v/>
      </c>
      <c r="AU135" s="110">
        <f>IF(FW135="","",IF(ISNUMBER('Dvd Calendar'!$I$1333)=FALSE,"",'Dvd Calendar'!$I$1333))</f>
        <v/>
      </c>
      <c r="AV135" s="110">
        <f>IF(FX135="","",IF(ISNUMBER('Dvd Calendar'!$J$1333)=FALSE,"",'Dvd Calendar'!$J$1333))</f>
        <v/>
      </c>
      <c r="AW135" s="110">
        <f>IF(FY135="","",IF(ISNUMBER('Dvd Calendar'!$K$1333)=FALSE,"",'Dvd Calendar'!$K$1333))</f>
        <v/>
      </c>
      <c r="AX135" s="110">
        <f>IF(FZ135="","",IF(ISNUMBER('Dvd Calendar'!$L$1333)=FALSE,"",'Dvd Calendar'!$L$1333))</f>
        <v/>
      </c>
      <c r="AY135" s="110">
        <f>IF(GA135="","",IF(ISNUMBER('Dvd Calendar'!$M$1333)=FALSE,"",'Dvd Calendar'!$M$1333))</f>
        <v/>
      </c>
      <c r="AZ135" s="110">
        <f>IF(GB135="","",IF(ISNUMBER('Dvd Calendar'!$N$1333)=FALSE,"",'Dvd Calendar'!$N$1333))</f>
        <v/>
      </c>
      <c r="BA135" s="110">
        <f>IF(GC135="","",IF(ISNUMBER('Dvd Calendar'!$O$1333)=FALSE,"",'Dvd Calendar'!$O$1333))</f>
        <v/>
      </c>
      <c r="BB135" s="110">
        <f>IF(GD135="","",IF(ISNUMBER('Dvd Calendar'!$P$1333)=FALSE,"",'Dvd Calendar'!$P$1333))</f>
        <v/>
      </c>
      <c r="BC135" s="110">
        <f>IF(GE135="","",IF(ISNUMBER('Dvd Calendar'!$Q$1333)=FALSE,"",'Dvd Calendar'!$Q$1333))</f>
        <v/>
      </c>
      <c r="BD135" s="110">
        <f>IF(GF135="","",IF(ISNUMBER('Dvd Calendar'!$R$1333)=FALSE,"",'Dvd Calendar'!$R$1333))</f>
        <v/>
      </c>
      <c r="BE135" s="110">
        <f>IF(GG135="","",IF(ISNUMBER('Dvd Calendar'!$S$1333)=FALSE,"",'Dvd Calendar'!$S$1333))</f>
        <v/>
      </c>
      <c r="BF135" s="110">
        <f>IF(GH135="","",IF(ISNUMBER('Dvd Calendar'!$T$1333)=FALSE,"",'Dvd Calendar'!$T$1333))</f>
        <v/>
      </c>
      <c r="BG135" s="110">
        <f>IF(GI135="","",IF(ISNUMBER('Dvd Calendar'!$U$1333)=FALSE,"",'Dvd Calendar'!$U$1333))</f>
        <v/>
      </c>
      <c r="BH135" s="110">
        <f>IF(GJ135="","",IF(ISNUMBER('Dvd Calendar'!$V$1333)=FALSE,"",'Dvd Calendar'!$V$1333))</f>
        <v/>
      </c>
      <c r="BI135" s="110">
        <f>IF(GK135="","",IF(ISNUMBER('Dvd Calendar'!$W$1333)=FALSE,"",'Dvd Calendar'!$W$1333))</f>
        <v/>
      </c>
      <c r="BJ135" s="110">
        <f>IF(GL135="","",IF(ISNUMBER('Dvd Calendar'!$X$1333)=FALSE,"",'Dvd Calendar'!$X$1333))</f>
        <v/>
      </c>
      <c r="BK135" s="110">
        <f>IF(GM135="","",IF(ISNUMBER('Dvd Calendar'!$Y$1333)=FALSE,"",'Dvd Calendar'!$Y$1333))</f>
        <v/>
      </c>
      <c r="BL135" s="110">
        <f>IF(GN135="","",IF(ISNUMBER('Dvd Calendar'!$Z$1333)=FALSE,"",'Dvd Calendar'!$Z$1333))</f>
        <v/>
      </c>
      <c r="BM135" s="110">
        <f>IF(GO135="","",IF(ISNUMBER('Dvd Calendar'!$AA$1333)=FALSE,"",'Dvd Calendar'!$AA$1333))</f>
        <v/>
      </c>
      <c r="BN135" s="110">
        <f>IF(GP135="","",IF(ISNUMBER('Dvd Calendar'!$AB$1333)=FALSE,"",'Dvd Calendar'!$AB$1333))</f>
        <v/>
      </c>
      <c r="BO135" s="110">
        <f>IF(GQ135="","",IF(ISNUMBER('Dvd Calendar'!$AC$1333)=FALSE,"",'Dvd Calendar'!$AC$1333))</f>
        <v/>
      </c>
      <c r="BQ135" s="110">
        <f>IF(C135="","",IFERROR(C135*HSTECH!$B$26*HSTECH!$G$26/HSTECH!$B$3,""))</f>
        <v/>
      </c>
      <c r="BR135" s="110">
        <f>IF(D135="","",IFERROR(D135*HSTECH!$B$26*HSTECH!$G$26/HSTECH!$B$3,""))</f>
        <v/>
      </c>
      <c r="BS135" s="110">
        <f>IF(E135="","",IFERROR(E135*HSTECH!$B$26*HSTECH!$G$26/HSTECH!$B$3,""))</f>
        <v/>
      </c>
      <c r="BT135" s="110">
        <f>IF(F135="","",IFERROR(F135*HSTECH!$B$26*HSTECH!$G$26/HSTECH!$B$3,""))</f>
        <v/>
      </c>
      <c r="BU135" s="110">
        <f>IF(G135="","",IFERROR(G135*HSTECH!$B$26*HSTECH!$G$26/HSTECH!$B$3,""))</f>
        <v/>
      </c>
      <c r="BV135" s="110">
        <f>IF(H135="","",IFERROR(H135*HSTECH!$B$26*HSTECH!$G$26/HSTECH!$B$3,""))</f>
        <v/>
      </c>
      <c r="BW135" s="110">
        <f>IF(I135="","",IFERROR(I135*HSTECH!$B$26*HSTECH!$G$26/HSTECH!$B$3,""))</f>
        <v/>
      </c>
      <c r="BX135" s="110">
        <f>IF(J135="","",IFERROR(J135*HSTECH!$B$26*HSTECH!$G$26/HSTECH!$B$3,""))</f>
        <v/>
      </c>
      <c r="BY135" s="110">
        <f>IF(K135="","",IFERROR(K135*HSTECH!$B$26*HSTECH!$G$26/HSTECH!$B$3,""))</f>
        <v/>
      </c>
      <c r="BZ135" s="110">
        <f>IF(L135="","",IFERROR(L135*HSTECH!$B$26*HSTECH!$G$26/HSTECH!$B$3,""))</f>
        <v/>
      </c>
      <c r="CA135" s="110">
        <f>IF(M135="","",IFERROR(M135*HSTECH!$B$26*HSTECH!$G$26/HSTECH!$B$3,""))</f>
        <v/>
      </c>
      <c r="CB135" s="110">
        <f>IF(N135="","",IFERROR(N135*HSTECH!$B$26*HSTECH!$G$26/HSTECH!$B$3,""))</f>
        <v/>
      </c>
      <c r="CC135" s="110">
        <f>IF(O135="","",IFERROR(O135*HSTECH!$B$26*HSTECH!$G$26/HSTECH!$B$3,""))</f>
        <v/>
      </c>
      <c r="CD135" s="110">
        <f>IF(P135="","",IFERROR(P135*HSTECH!$B$26*HSTECH!$G$26/HSTECH!$B$3,""))</f>
        <v/>
      </c>
      <c r="CE135" s="110">
        <f>IF(Q135="","",IFERROR(Q135*HSTECH!$B$26*HSTECH!$G$26/HSTECH!$B$3,""))</f>
        <v/>
      </c>
      <c r="CF135" s="110">
        <f>IF(R135="","",IFERROR(R135*HSTECH!$B$26*HSTECH!$G$26/HSTECH!$B$3,""))</f>
        <v/>
      </c>
      <c r="CG135" s="110">
        <f>IF(S135="","",IFERROR(S135*HSTECH!$B$26*HSTECH!$G$26/HSTECH!$B$3,""))</f>
        <v/>
      </c>
      <c r="CH135" s="110">
        <f>IF(T135="","",IFERROR(T135*HSTECH!$B$26*HSTECH!$G$26/HSTECH!$B$3,""))</f>
        <v/>
      </c>
      <c r="CI135" s="110">
        <f>IF(U135="","",IFERROR(U135*HSTECH!$B$26*HSTECH!$G$26/HSTECH!$B$3,""))</f>
        <v/>
      </c>
      <c r="CJ135" s="110">
        <f>IF(V135="","",IFERROR(V135*HSTECH!$B$26*HSTECH!$G$26/HSTECH!$B$3,""))</f>
        <v/>
      </c>
      <c r="CK135" s="110">
        <f>IF(W135="","",IFERROR(W135*HSTECH!$B$26*HSTECH!$G$26/HSTECH!$B$3,""))</f>
        <v/>
      </c>
      <c r="CL135" s="110">
        <f>IF(X135="","",IFERROR(X135*HSTECH!$B$26*HSTECH!$G$26/HSTECH!$B$3,""))</f>
        <v/>
      </c>
      <c r="CM135" s="110">
        <f>IF(Y135="","",IFERROR(Y135*HSTECH!$B$26*HSTECH!$G$26/HSTECH!$B$3,""))</f>
        <v/>
      </c>
      <c r="CN135" s="110">
        <f>IF(Z135="","",IFERROR(Z135*HSTECH!$B$26*HSTECH!$G$26/HSTECH!$B$3,""))</f>
        <v/>
      </c>
      <c r="CO135" s="110">
        <f>IF(AA135="","",IFERROR(AA135*HSTECH!$B$26*HSTECH!$G$26/HSTECH!$B$3,""))</f>
        <v/>
      </c>
      <c r="CP135" s="110">
        <f>IF(AB135="","",IFERROR(AB135*HSTECH!$B$26*HSTECH!$G$26/HSTECH!$B$3,""))</f>
        <v/>
      </c>
      <c r="CQ135" s="110">
        <f>IF(AC135="","",IFERROR(AC135*HSTECH!$B$26*HSTECH!$G$26/HSTECH!$B$3,""))</f>
        <v/>
      </c>
      <c r="CR135" s="110">
        <f>IF(AD135="","",IFERROR(AD135*HSTECH!$B$26*HSTECH!$G$26/HSTECH!$B$3,""))</f>
        <v/>
      </c>
      <c r="CS135" s="110">
        <f>IF(AE135="","",IFERROR(AE135*HSTECH!$B$26*HSTECH!$G$26/HSTECH!$B$3,""))</f>
        <v/>
      </c>
      <c r="CT135" s="110">
        <f>IF(AF135="","",IFERROR(AF135*HSTECH!$B$26*HSTECH!$G$26/HSTECH!$B$3,""))</f>
        <v/>
      </c>
      <c r="CU135" s="110">
        <f>IF(AG135="","",IFERROR(AG135*HSTECH!$B$26*HSTECH!$G$26/HSTECH!$B$3,""))</f>
        <v/>
      </c>
      <c r="CV135" s="110">
        <f>IF(AH135="","",IFERROR(AH135*HSTECH!$B$26*HSTECH!$G$26/HSTECH!$B$3,""))</f>
        <v/>
      </c>
      <c r="CW135" s="110">
        <f>IF(AI135="","",IFERROR(AI135*HSTECH!$B$26*HSTECH!$G$26/HSTECH!$B$3,""))</f>
        <v/>
      </c>
      <c r="CX135" s="110">
        <f>IF(AJ135="","",IFERROR(AJ135*HSTECH!$B$26*HSTECH!$G$26/HSTECH!$B$3,""))</f>
        <v/>
      </c>
      <c r="CY135" s="110">
        <f>IF(AK135="","",IFERROR(AK135*HSTECH!$B$26*HSTECH!$G$26/HSTECH!$B$3,""))</f>
        <v/>
      </c>
      <c r="CZ135" s="110">
        <f>IF(AL135="","",IFERROR(AL135*HSTECH!$B$26*HSTECH!$G$26/HSTECH!$B$3,""))</f>
        <v/>
      </c>
      <c r="DA135" s="110">
        <f>IF(AM135="","",IFERROR(AM135*HSTECH!$B$26*HSTECH!$G$26/HSTECH!$B$3,""))</f>
        <v/>
      </c>
      <c r="DB135" s="110">
        <f>IF(AN135="","",IFERROR(AN135*HSTECH!$B$26*HSTECH!$G$26/HSTECH!$B$3,""))</f>
        <v/>
      </c>
      <c r="DC135" s="110">
        <f>IF(AO135="","",IFERROR(AO135*HSTECH!$B$26*HSTECH!$G$26/HSTECH!$B$3,""))</f>
        <v/>
      </c>
      <c r="DD135" s="110">
        <f>IF(AP135="","",IFERROR(AP135*HSTECH!$B$26*HSTECH!$G$26/HSTECH!$B$3,""))</f>
        <v/>
      </c>
      <c r="DE135" s="110">
        <f>IF(AQ135="","",IFERROR(AQ135*HSTECH!$B$26*HSTECH!$G$26/HSTECH!$B$3,""))</f>
        <v/>
      </c>
      <c r="DF135" s="110">
        <f>IF(AR135="","",IFERROR(AR135*HSTECH!$B$26*HSTECH!$G$26/HSTECH!$B$3,""))</f>
        <v/>
      </c>
      <c r="DG135" s="110">
        <f>IF(AS135="","",IFERROR(AS135*HSTECH!$B$26*HSTECH!$G$26/HSTECH!$B$3,""))</f>
        <v/>
      </c>
      <c r="DH135" s="110">
        <f>IF(AT135="","",IFERROR(AT135*HSTECH!$B$26*HSTECH!$G$26/HSTECH!$B$3,""))</f>
        <v/>
      </c>
      <c r="DI135" s="110">
        <f>IF(AU135="","",IFERROR(AU135*HSTECH!$B$26*HSTECH!$G$26/HSTECH!$B$3,""))</f>
        <v/>
      </c>
      <c r="DJ135" s="110">
        <f>IF(AV135="","",IFERROR(AV135*HSTECH!$B$26*HSTECH!$G$26/HSTECH!$B$3,""))</f>
        <v/>
      </c>
      <c r="DK135" s="110">
        <f>IF(AW135="","",IFERROR(AW135*HSTECH!$B$26*HSTECH!$G$26/HSTECH!$B$3,""))</f>
        <v/>
      </c>
      <c r="DL135" s="110">
        <f>IF(AX135="","",IFERROR(AX135*HSTECH!$B$26*HSTECH!$G$26/HSTECH!$B$3,""))</f>
        <v/>
      </c>
      <c r="DM135" s="110">
        <f>IF(AY135="","",IFERROR(AY135*HSTECH!$B$26*HSTECH!$G$26/HSTECH!$B$3,""))</f>
        <v/>
      </c>
      <c r="DN135" s="110">
        <f>IF(AZ135="","",IFERROR(AZ135*HSTECH!$B$26*HSTECH!$G$26/HSTECH!$B$3,""))</f>
        <v/>
      </c>
      <c r="DO135" s="110">
        <f>IF(BA135="","",IFERROR(BA135*HSTECH!$B$26*HSTECH!$G$26/HSTECH!$B$3,""))</f>
        <v/>
      </c>
      <c r="DP135" s="110">
        <f>IF(BB135="","",IFERROR(BB135*HSTECH!$B$26*HSTECH!$G$26/HSTECH!$B$3,""))</f>
        <v/>
      </c>
      <c r="DQ135" s="110">
        <f>IF(BC135="","",IFERROR(BC135*HSTECH!$B$26*HSTECH!$G$26/HSTECH!$B$3,""))</f>
        <v/>
      </c>
      <c r="DR135" s="110">
        <f>IF(BD135="","",IFERROR(BD135*HSTECH!$B$26*HSTECH!$G$26/HSTECH!$B$3,""))</f>
        <v/>
      </c>
      <c r="DS135" s="110">
        <f>IF(BE135="","",IFERROR(BE135*HSTECH!$B$26*HSTECH!$G$26/HSTECH!$B$3,""))</f>
        <v/>
      </c>
      <c r="DT135" s="110">
        <f>IF(BF135="","",IFERROR(BF135*HSTECH!$B$26*HSTECH!$G$26/HSTECH!$B$3,""))</f>
        <v/>
      </c>
      <c r="DU135" s="110">
        <f>IF(BG135="","",IFERROR(BG135*HSTECH!$B$26*HSTECH!$G$26/HSTECH!$B$3,""))</f>
        <v/>
      </c>
      <c r="DV135" s="110">
        <f>IF(BH135="","",IFERROR(BH135*HSTECH!$B$26*HSTECH!$G$26/HSTECH!$B$3,""))</f>
        <v/>
      </c>
      <c r="DW135" s="110">
        <f>IF(BI135="","",IFERROR(BI135*HSTECH!$B$26*HSTECH!$G$26/HSTECH!$B$3,""))</f>
        <v/>
      </c>
      <c r="DX135" s="110">
        <f>IF(BJ135="","",IFERROR(BJ135*HSTECH!$B$26*HSTECH!$G$26/HSTECH!$B$3,""))</f>
        <v/>
      </c>
      <c r="DY135" s="110">
        <f>IF(BK135="","",IFERROR(BK135*HSTECH!$B$26*HSTECH!$G$26/HSTECH!$B$3,""))</f>
        <v/>
      </c>
      <c r="DZ135" s="110">
        <f>IF(BL135="","",IFERROR(BL135*HSTECH!$B$26*HSTECH!$G$26/HSTECH!$B$3,""))</f>
        <v/>
      </c>
      <c r="EA135" s="110">
        <f>IF(BM135="","",IFERROR(BM135*HSTECH!$B$26*HSTECH!$G$26/HSTECH!$B$3,""))</f>
        <v/>
      </c>
      <c r="EB135" s="110">
        <f>IF(BN135="","",IFERROR(BN135*HSTECH!$B$26*HSTECH!$G$26/HSTECH!$B$3,""))</f>
        <v/>
      </c>
      <c r="EC135" s="110">
        <f>IF(BO135="","",IFERROR(BO135*HSTECH!$B$26*HSTECH!$G$26/HSTECH!$B$3,""))</f>
        <v/>
      </c>
      <c r="EE135" s="39">
        <f>IF(N('Dvd Calendar'!$E$1325)=0,"",IF(('Dvd Calendar'!$E$1325&gt;=GRID_FROM)*('Dvd Calendar'!$E$1325&lt;=GRID_TO)*((('Dvd Calendar'!$E$1325&lt;=VAL_DATE)+(COUNTIF('Dvd Calendar'!$E$1332:$AR$1332,'Dvd Calendar'!$E$1325)=0))&gt;0)=0,"",'Dvd Calendar'!$E$1325*1000000000+ISNUMBER('Dvd Calendar'!$E$1328)*100000000+('Dvd Calendar'!$E$1330=SPECIAL_LBL)*10000000+(N('Dvd Calendar'!$E$1324)&gt;0)*(N('Dvd Calendar'!$E$1324)&lt;=VAL_SERIAL)*1000000+20*1000+1))</f>
        <v/>
      </c>
      <c r="EF135" s="39">
        <f>IF(N('Dvd Calendar'!$F$1325)=0,"",IF(('Dvd Calendar'!$F$1325&gt;=GRID_FROM)*('Dvd Calendar'!$F$1325&lt;=GRID_TO)*((('Dvd Calendar'!$F$1325&lt;=VAL_DATE)+(COUNTIF('Dvd Calendar'!$E$1332:$AR$1332,'Dvd Calendar'!$F$1325)=0))&gt;0)=0,"",'Dvd Calendar'!$F$1325*1000000000+ISNUMBER('Dvd Calendar'!$F$1328)*100000000+('Dvd Calendar'!$F$1330=SPECIAL_LBL)*10000000+(N('Dvd Calendar'!$F$1324)&gt;0)*(N('Dvd Calendar'!$F$1324)&lt;=VAL_SERIAL)*1000000+20*1000+2))</f>
        <v/>
      </c>
      <c r="EG135" s="39">
        <f>IF(N('Dvd Calendar'!$G$1325)=0,"",IF(('Dvd Calendar'!$G$1325&gt;=GRID_FROM)*('Dvd Calendar'!$G$1325&lt;=GRID_TO)*((('Dvd Calendar'!$G$1325&lt;=VAL_DATE)+(COUNTIF('Dvd Calendar'!$E$1332:$AR$1332,'Dvd Calendar'!$G$1325)=0))&gt;0)=0,"",'Dvd Calendar'!$G$1325*1000000000+ISNUMBER('Dvd Calendar'!$G$1328)*100000000+('Dvd Calendar'!$G$1330=SPECIAL_LBL)*10000000+(N('Dvd Calendar'!$G$1324)&gt;0)*(N('Dvd Calendar'!$G$1324)&lt;=VAL_SERIAL)*1000000+20*1000+3))</f>
        <v/>
      </c>
      <c r="EH135" s="39">
        <f>IF(N('Dvd Calendar'!$H$1325)=0,"",IF(('Dvd Calendar'!$H$1325&gt;=GRID_FROM)*('Dvd Calendar'!$H$1325&lt;=GRID_TO)*((('Dvd Calendar'!$H$1325&lt;=VAL_DATE)+(COUNTIF('Dvd Calendar'!$E$1332:$AR$1332,'Dvd Calendar'!$H$1325)=0))&gt;0)=0,"",'Dvd Calendar'!$H$1325*1000000000+ISNUMBER('Dvd Calendar'!$H$1328)*100000000+('Dvd Calendar'!$H$1330=SPECIAL_LBL)*10000000+(N('Dvd Calendar'!$H$1324)&gt;0)*(N('Dvd Calendar'!$H$1324)&lt;=VAL_SERIAL)*1000000+20*1000+4))</f>
        <v/>
      </c>
      <c r="EI135" s="39">
        <f>IF(N('Dvd Calendar'!$I$1325)=0,"",IF(('Dvd Calendar'!$I$1325&gt;=GRID_FROM)*('Dvd Calendar'!$I$1325&lt;=GRID_TO)*((('Dvd Calendar'!$I$1325&lt;=VAL_DATE)+(COUNTIF('Dvd Calendar'!$E$1332:$AR$1332,'Dvd Calendar'!$I$1325)=0))&gt;0)=0,"",'Dvd Calendar'!$I$1325*1000000000+ISNUMBER('Dvd Calendar'!$I$1328)*100000000+('Dvd Calendar'!$I$1330=SPECIAL_LBL)*10000000+(N('Dvd Calendar'!$I$1324)&gt;0)*(N('Dvd Calendar'!$I$1324)&lt;=VAL_SERIAL)*1000000+20*1000+5))</f>
        <v/>
      </c>
      <c r="EJ135" s="39">
        <f>IF(N('Dvd Calendar'!$J$1325)=0,"",IF(('Dvd Calendar'!$J$1325&gt;=GRID_FROM)*('Dvd Calendar'!$J$1325&lt;=GRID_TO)*((('Dvd Calendar'!$J$1325&lt;=VAL_DATE)+(COUNTIF('Dvd Calendar'!$E$1332:$AR$1332,'Dvd Calendar'!$J$1325)=0))&gt;0)=0,"",'Dvd Calendar'!$J$1325*1000000000+ISNUMBER('Dvd Calendar'!$J$1328)*100000000+('Dvd Calendar'!$J$1330=SPECIAL_LBL)*10000000+(N('Dvd Calendar'!$J$1324)&gt;0)*(N('Dvd Calendar'!$J$1324)&lt;=VAL_SERIAL)*1000000+20*1000+6))</f>
        <v/>
      </c>
      <c r="EK135" s="39">
        <f>IF(N('Dvd Calendar'!$K$1325)=0,"",IF(('Dvd Calendar'!$K$1325&gt;=GRID_FROM)*('Dvd Calendar'!$K$1325&lt;=GRID_TO)*((('Dvd Calendar'!$K$1325&lt;=VAL_DATE)+(COUNTIF('Dvd Calendar'!$E$1332:$AR$1332,'Dvd Calendar'!$K$1325)=0))&gt;0)=0,"",'Dvd Calendar'!$K$1325*1000000000+ISNUMBER('Dvd Calendar'!$K$1328)*100000000+('Dvd Calendar'!$K$1330=SPECIAL_LBL)*10000000+(N('Dvd Calendar'!$K$1324)&gt;0)*(N('Dvd Calendar'!$K$1324)&lt;=VAL_SERIAL)*1000000+20*1000+7))</f>
        <v/>
      </c>
      <c r="EL135" s="39">
        <f>IF(N('Dvd Calendar'!$L$1325)=0,"",IF(('Dvd Calendar'!$L$1325&gt;=GRID_FROM)*('Dvd Calendar'!$L$1325&lt;=GRID_TO)*((('Dvd Calendar'!$L$1325&lt;=VAL_DATE)+(COUNTIF('Dvd Calendar'!$E$1332:$AR$1332,'Dvd Calendar'!$L$1325)=0))&gt;0)=0,"",'Dvd Calendar'!$L$1325*1000000000+ISNUMBER('Dvd Calendar'!$L$1328)*100000000+('Dvd Calendar'!$L$1330=SPECIAL_LBL)*10000000+(N('Dvd Calendar'!$L$1324)&gt;0)*(N('Dvd Calendar'!$L$1324)&lt;=VAL_SERIAL)*1000000+20*1000+8))</f>
        <v/>
      </c>
      <c r="EM135" s="39">
        <f>IF(N('Dvd Calendar'!$M$1325)=0,"",IF(('Dvd Calendar'!$M$1325&gt;=GRID_FROM)*('Dvd Calendar'!$M$1325&lt;=GRID_TO)*((('Dvd Calendar'!$M$1325&lt;=VAL_DATE)+(COUNTIF('Dvd Calendar'!$E$1332:$AR$1332,'Dvd Calendar'!$M$1325)=0))&gt;0)=0,"",'Dvd Calendar'!$M$1325*1000000000+ISNUMBER('Dvd Calendar'!$M$1328)*100000000+('Dvd Calendar'!$M$1330=SPECIAL_LBL)*10000000+(N('Dvd Calendar'!$M$1324)&gt;0)*(N('Dvd Calendar'!$M$1324)&lt;=VAL_SERIAL)*1000000+20*1000+9))</f>
        <v/>
      </c>
      <c r="EN135" s="39">
        <f>IF(N('Dvd Calendar'!$N$1325)=0,"",IF(('Dvd Calendar'!$N$1325&gt;=GRID_FROM)*('Dvd Calendar'!$N$1325&lt;=GRID_TO)*((('Dvd Calendar'!$N$1325&lt;=VAL_DATE)+(COUNTIF('Dvd Calendar'!$E$1332:$AR$1332,'Dvd Calendar'!$N$1325)=0))&gt;0)=0,"",'Dvd Calendar'!$N$1325*1000000000+ISNUMBER('Dvd Calendar'!$N$1328)*100000000+('Dvd Calendar'!$N$1330=SPECIAL_LBL)*10000000+(N('Dvd Calendar'!$N$1324)&gt;0)*(N('Dvd Calendar'!$N$1324)&lt;=VAL_SERIAL)*1000000+20*1000+10))</f>
        <v/>
      </c>
      <c r="EO135" s="39">
        <f>IF(N('Dvd Calendar'!$O$1325)=0,"",IF(('Dvd Calendar'!$O$1325&gt;=GRID_FROM)*('Dvd Calendar'!$O$1325&lt;=GRID_TO)*((('Dvd Calendar'!$O$1325&lt;=VAL_DATE)+(COUNTIF('Dvd Calendar'!$E$1332:$AR$1332,'Dvd Calendar'!$O$1325)=0))&gt;0)=0,"",'Dvd Calendar'!$O$1325*1000000000+ISNUMBER('Dvd Calendar'!$O$1328)*100000000+('Dvd Calendar'!$O$1330=SPECIAL_LBL)*10000000+(N('Dvd Calendar'!$O$1324)&gt;0)*(N('Dvd Calendar'!$O$1324)&lt;=VAL_SERIAL)*1000000+20*1000+11))</f>
        <v/>
      </c>
      <c r="EP135" s="39">
        <f>IF(N('Dvd Calendar'!$P$1325)=0,"",IF(('Dvd Calendar'!$P$1325&gt;=GRID_FROM)*('Dvd Calendar'!$P$1325&lt;=GRID_TO)*((('Dvd Calendar'!$P$1325&lt;=VAL_DATE)+(COUNTIF('Dvd Calendar'!$E$1332:$AR$1332,'Dvd Calendar'!$P$1325)=0))&gt;0)=0,"",'Dvd Calendar'!$P$1325*1000000000+ISNUMBER('Dvd Calendar'!$P$1328)*100000000+('Dvd Calendar'!$P$1330=SPECIAL_LBL)*10000000+(N('Dvd Calendar'!$P$1324)&gt;0)*(N('Dvd Calendar'!$P$1324)&lt;=VAL_SERIAL)*1000000+20*1000+12))</f>
        <v/>
      </c>
      <c r="EQ135" s="39">
        <f>IF(N('Dvd Calendar'!$Q$1325)=0,"",IF(('Dvd Calendar'!$Q$1325&gt;=GRID_FROM)*('Dvd Calendar'!$Q$1325&lt;=GRID_TO)*((('Dvd Calendar'!$Q$1325&lt;=VAL_DATE)+(COUNTIF('Dvd Calendar'!$E$1332:$AR$1332,'Dvd Calendar'!$Q$1325)=0))&gt;0)=0,"",'Dvd Calendar'!$Q$1325*1000000000+ISNUMBER('Dvd Calendar'!$Q$1328)*100000000+('Dvd Calendar'!$Q$1330=SPECIAL_LBL)*10000000+(N('Dvd Calendar'!$Q$1324)&gt;0)*(N('Dvd Calendar'!$Q$1324)&lt;=VAL_SERIAL)*1000000+20*1000+13))</f>
        <v/>
      </c>
      <c r="ER135" s="39">
        <f>IF(N('Dvd Calendar'!$R$1325)=0,"",IF(('Dvd Calendar'!$R$1325&gt;=GRID_FROM)*('Dvd Calendar'!$R$1325&lt;=GRID_TO)*((('Dvd Calendar'!$R$1325&lt;=VAL_DATE)+(COUNTIF('Dvd Calendar'!$E$1332:$AR$1332,'Dvd Calendar'!$R$1325)=0))&gt;0)=0,"",'Dvd Calendar'!$R$1325*1000000000+ISNUMBER('Dvd Calendar'!$R$1328)*100000000+('Dvd Calendar'!$R$1330=SPECIAL_LBL)*10000000+(N('Dvd Calendar'!$R$1324)&gt;0)*(N('Dvd Calendar'!$R$1324)&lt;=VAL_SERIAL)*1000000+20*1000+14))</f>
        <v/>
      </c>
      <c r="ES135" s="39">
        <f>IF(N('Dvd Calendar'!$S$1325)=0,"",IF(('Dvd Calendar'!$S$1325&gt;=GRID_FROM)*('Dvd Calendar'!$S$1325&lt;=GRID_TO)*((('Dvd Calendar'!$S$1325&lt;=VAL_DATE)+(COUNTIF('Dvd Calendar'!$E$1332:$AR$1332,'Dvd Calendar'!$S$1325)=0))&gt;0)=0,"",'Dvd Calendar'!$S$1325*1000000000+ISNUMBER('Dvd Calendar'!$S$1328)*100000000+('Dvd Calendar'!$S$1330=SPECIAL_LBL)*10000000+(N('Dvd Calendar'!$S$1324)&gt;0)*(N('Dvd Calendar'!$S$1324)&lt;=VAL_SERIAL)*1000000+20*1000+15))</f>
        <v/>
      </c>
      <c r="ET135" s="39">
        <f>IF(N('Dvd Calendar'!$T$1325)=0,"",IF(('Dvd Calendar'!$T$1325&gt;=GRID_FROM)*('Dvd Calendar'!$T$1325&lt;=GRID_TO)*((('Dvd Calendar'!$T$1325&lt;=VAL_DATE)+(COUNTIF('Dvd Calendar'!$E$1332:$AR$1332,'Dvd Calendar'!$T$1325)=0))&gt;0)=0,"",'Dvd Calendar'!$T$1325*1000000000+ISNUMBER('Dvd Calendar'!$T$1328)*100000000+('Dvd Calendar'!$T$1330=SPECIAL_LBL)*10000000+(N('Dvd Calendar'!$T$1324)&gt;0)*(N('Dvd Calendar'!$T$1324)&lt;=VAL_SERIAL)*1000000+20*1000+16))</f>
        <v/>
      </c>
      <c r="EU135" s="39">
        <f>IF(N('Dvd Calendar'!$U$1325)=0,"",IF(('Dvd Calendar'!$U$1325&gt;=GRID_FROM)*('Dvd Calendar'!$U$1325&lt;=GRID_TO)*((('Dvd Calendar'!$U$1325&lt;=VAL_DATE)+(COUNTIF('Dvd Calendar'!$E$1332:$AR$1332,'Dvd Calendar'!$U$1325)=0))&gt;0)=0,"",'Dvd Calendar'!$U$1325*1000000000+ISNUMBER('Dvd Calendar'!$U$1328)*100000000+('Dvd Calendar'!$U$1330=SPECIAL_LBL)*10000000+(N('Dvd Calendar'!$U$1324)&gt;0)*(N('Dvd Calendar'!$U$1324)&lt;=VAL_SERIAL)*1000000+20*1000+17))</f>
        <v/>
      </c>
      <c r="EV135" s="39">
        <f>IF(N('Dvd Calendar'!$V$1325)=0,"",IF(('Dvd Calendar'!$V$1325&gt;=GRID_FROM)*('Dvd Calendar'!$V$1325&lt;=GRID_TO)*((('Dvd Calendar'!$V$1325&lt;=VAL_DATE)+(COUNTIF('Dvd Calendar'!$E$1332:$AR$1332,'Dvd Calendar'!$V$1325)=0))&gt;0)=0,"",'Dvd Calendar'!$V$1325*1000000000+ISNUMBER('Dvd Calendar'!$V$1328)*100000000+('Dvd Calendar'!$V$1330=SPECIAL_LBL)*10000000+(N('Dvd Calendar'!$V$1324)&gt;0)*(N('Dvd Calendar'!$V$1324)&lt;=VAL_SERIAL)*1000000+20*1000+18))</f>
        <v/>
      </c>
      <c r="EW135" s="39">
        <f>IF(N('Dvd Calendar'!$W$1325)=0,"",IF(('Dvd Calendar'!$W$1325&gt;=GRID_FROM)*('Dvd Calendar'!$W$1325&lt;=GRID_TO)*((('Dvd Calendar'!$W$1325&lt;=VAL_DATE)+(COUNTIF('Dvd Calendar'!$E$1332:$AR$1332,'Dvd Calendar'!$W$1325)=0))&gt;0)=0,"",'Dvd Calendar'!$W$1325*1000000000+ISNUMBER('Dvd Calendar'!$W$1328)*100000000+('Dvd Calendar'!$W$1330=SPECIAL_LBL)*10000000+(N('Dvd Calendar'!$W$1324)&gt;0)*(N('Dvd Calendar'!$W$1324)&lt;=VAL_SERIAL)*1000000+20*1000+19))</f>
        <v/>
      </c>
      <c r="EX135" s="39">
        <f>IF(N('Dvd Calendar'!$X$1325)=0,"",IF(('Dvd Calendar'!$X$1325&gt;=GRID_FROM)*('Dvd Calendar'!$X$1325&lt;=GRID_TO)*((('Dvd Calendar'!$X$1325&lt;=VAL_DATE)+(COUNTIF('Dvd Calendar'!$E$1332:$AR$1332,'Dvd Calendar'!$X$1325)=0))&gt;0)=0,"",'Dvd Calendar'!$X$1325*1000000000+ISNUMBER('Dvd Calendar'!$X$1328)*100000000+('Dvd Calendar'!$X$1330=SPECIAL_LBL)*10000000+(N('Dvd Calendar'!$X$1324)&gt;0)*(N('Dvd Calendar'!$X$1324)&lt;=VAL_SERIAL)*1000000+20*1000+20))</f>
        <v/>
      </c>
      <c r="EY135" s="39">
        <f>IF(N('Dvd Calendar'!$Y$1325)=0,"",IF(('Dvd Calendar'!$Y$1325&gt;=GRID_FROM)*('Dvd Calendar'!$Y$1325&lt;=GRID_TO)*((('Dvd Calendar'!$Y$1325&lt;=VAL_DATE)+(COUNTIF('Dvd Calendar'!$E$1332:$AR$1332,'Dvd Calendar'!$Y$1325)=0))&gt;0)=0,"",'Dvd Calendar'!$Y$1325*1000000000+ISNUMBER('Dvd Calendar'!$Y$1328)*100000000+('Dvd Calendar'!$Y$1330=SPECIAL_LBL)*10000000+(N('Dvd Calendar'!$Y$1324)&gt;0)*(N('Dvd Calendar'!$Y$1324)&lt;=VAL_SERIAL)*1000000+20*1000+21))</f>
        <v/>
      </c>
      <c r="EZ135" s="39">
        <f>IF(N('Dvd Calendar'!$Z$1325)=0,"",IF(('Dvd Calendar'!$Z$1325&gt;=GRID_FROM)*('Dvd Calendar'!$Z$1325&lt;=GRID_TO)*((('Dvd Calendar'!$Z$1325&lt;=VAL_DATE)+(COUNTIF('Dvd Calendar'!$E$1332:$AR$1332,'Dvd Calendar'!$Z$1325)=0))&gt;0)=0,"",'Dvd Calendar'!$Z$1325*1000000000+ISNUMBER('Dvd Calendar'!$Z$1328)*100000000+('Dvd Calendar'!$Z$1330=SPECIAL_LBL)*10000000+(N('Dvd Calendar'!$Z$1324)&gt;0)*(N('Dvd Calendar'!$Z$1324)&lt;=VAL_SERIAL)*1000000+20*1000+22))</f>
        <v/>
      </c>
      <c r="FA135" s="39">
        <f>IF(N('Dvd Calendar'!$AA$1325)=0,"",IF(('Dvd Calendar'!$AA$1325&gt;=GRID_FROM)*('Dvd Calendar'!$AA$1325&lt;=GRID_TO)*((('Dvd Calendar'!$AA$1325&lt;=VAL_DATE)+(COUNTIF('Dvd Calendar'!$E$1332:$AR$1332,'Dvd Calendar'!$AA$1325)=0))&gt;0)=0,"",'Dvd Calendar'!$AA$1325*1000000000+ISNUMBER('Dvd Calendar'!$AA$1328)*100000000+('Dvd Calendar'!$AA$1330=SPECIAL_LBL)*10000000+(N('Dvd Calendar'!$AA$1324)&gt;0)*(N('Dvd Calendar'!$AA$1324)&lt;=VAL_SERIAL)*1000000+20*1000+23))</f>
        <v/>
      </c>
      <c r="FB135" s="39">
        <f>IF(N('Dvd Calendar'!$AB$1325)=0,"",IF(('Dvd Calendar'!$AB$1325&gt;=GRID_FROM)*('Dvd Calendar'!$AB$1325&lt;=GRID_TO)*((('Dvd Calendar'!$AB$1325&lt;=VAL_DATE)+(COUNTIF('Dvd Calendar'!$E$1332:$AR$1332,'Dvd Calendar'!$AB$1325)=0))&gt;0)=0,"",'Dvd Calendar'!$AB$1325*1000000000+ISNUMBER('Dvd Calendar'!$AB$1328)*100000000+('Dvd Calendar'!$AB$1330=SPECIAL_LBL)*10000000+(N('Dvd Calendar'!$AB$1324)&gt;0)*(N('Dvd Calendar'!$AB$1324)&lt;=VAL_SERIAL)*1000000+20*1000+24))</f>
        <v/>
      </c>
      <c r="FC135" s="39">
        <f>IF(N('Dvd Calendar'!$AC$1325)=0,"",IF(('Dvd Calendar'!$AC$1325&gt;=GRID_FROM)*('Dvd Calendar'!$AC$1325&lt;=GRID_TO)*((('Dvd Calendar'!$AC$1325&lt;=VAL_DATE)+(COUNTIF('Dvd Calendar'!$E$1332:$AR$1332,'Dvd Calendar'!$AC$1325)=0))&gt;0)=0,"",'Dvd Calendar'!$AC$1325*1000000000+ISNUMBER('Dvd Calendar'!$AC$1328)*100000000+('Dvd Calendar'!$AC$1330=SPECIAL_LBL)*10000000+(N('Dvd Calendar'!$AC$1324)&gt;0)*(N('Dvd Calendar'!$AC$1324)&lt;=VAL_SERIAL)*1000000+20*1000+25))</f>
        <v/>
      </c>
      <c r="FD135" s="39">
        <f>IF(N('Dvd Calendar'!$AD$1325)=0,"",IF(('Dvd Calendar'!$AD$1325&gt;=GRID_FROM)*('Dvd Calendar'!$AD$1325&lt;=GRID_TO)*((('Dvd Calendar'!$AD$1325&lt;=VAL_DATE)+(COUNTIF('Dvd Calendar'!$E$1332:$AR$1332,'Dvd Calendar'!$AD$1325)=0))&gt;0)=0,"",'Dvd Calendar'!$AD$1325*1000000000+ISNUMBER('Dvd Calendar'!$AD$1328)*100000000+('Dvd Calendar'!$AD$1330=SPECIAL_LBL)*10000000+(N('Dvd Calendar'!$AD$1324)&gt;0)*(N('Dvd Calendar'!$AD$1324)&lt;=VAL_SERIAL)*1000000+20*1000+26))</f>
        <v/>
      </c>
      <c r="FE135" s="39">
        <f>IF(N('Dvd Calendar'!$AE$1325)=0,"",IF(('Dvd Calendar'!$AE$1325&gt;=GRID_FROM)*('Dvd Calendar'!$AE$1325&lt;=GRID_TO)*((('Dvd Calendar'!$AE$1325&lt;=VAL_DATE)+(COUNTIF('Dvd Calendar'!$E$1332:$AR$1332,'Dvd Calendar'!$AE$1325)=0))&gt;0)=0,"",'Dvd Calendar'!$AE$1325*1000000000+ISNUMBER('Dvd Calendar'!$AE$1328)*100000000+('Dvd Calendar'!$AE$1330=SPECIAL_LBL)*10000000+(N('Dvd Calendar'!$AE$1324)&gt;0)*(N('Dvd Calendar'!$AE$1324)&lt;=VAL_SERIAL)*1000000+20*1000+27))</f>
        <v/>
      </c>
      <c r="FF135" s="39">
        <f>IF(N('Dvd Calendar'!$AF$1325)=0,"",IF(('Dvd Calendar'!$AF$1325&gt;=GRID_FROM)*('Dvd Calendar'!$AF$1325&lt;=GRID_TO)*((('Dvd Calendar'!$AF$1325&lt;=VAL_DATE)+(COUNTIF('Dvd Calendar'!$E$1332:$AR$1332,'Dvd Calendar'!$AF$1325)=0))&gt;0)=0,"",'Dvd Calendar'!$AF$1325*1000000000+ISNUMBER('Dvd Calendar'!$AF$1328)*100000000+('Dvd Calendar'!$AF$1330=SPECIAL_LBL)*10000000+(N('Dvd Calendar'!$AF$1324)&gt;0)*(N('Dvd Calendar'!$AF$1324)&lt;=VAL_SERIAL)*1000000+20*1000+28))</f>
        <v/>
      </c>
      <c r="FG135" s="39">
        <f>IF(N('Dvd Calendar'!$AG$1325)=0,"",IF(('Dvd Calendar'!$AG$1325&gt;=GRID_FROM)*('Dvd Calendar'!$AG$1325&lt;=GRID_TO)*((('Dvd Calendar'!$AG$1325&lt;=VAL_DATE)+(COUNTIF('Dvd Calendar'!$E$1332:$AR$1332,'Dvd Calendar'!$AG$1325)=0))&gt;0)=0,"",'Dvd Calendar'!$AG$1325*1000000000+ISNUMBER('Dvd Calendar'!$AG$1328)*100000000+('Dvd Calendar'!$AG$1330=SPECIAL_LBL)*10000000+(N('Dvd Calendar'!$AG$1324)&gt;0)*(N('Dvd Calendar'!$AG$1324)&lt;=VAL_SERIAL)*1000000+20*1000+29))</f>
        <v/>
      </c>
      <c r="FH135" s="39">
        <f>IF(N('Dvd Calendar'!$AH$1325)=0,"",IF(('Dvd Calendar'!$AH$1325&gt;=GRID_FROM)*('Dvd Calendar'!$AH$1325&lt;=GRID_TO)*((('Dvd Calendar'!$AH$1325&lt;=VAL_DATE)+(COUNTIF('Dvd Calendar'!$E$1332:$AR$1332,'Dvd Calendar'!$AH$1325)=0))&gt;0)=0,"",'Dvd Calendar'!$AH$1325*1000000000+ISNUMBER('Dvd Calendar'!$AH$1328)*100000000+('Dvd Calendar'!$AH$1330=SPECIAL_LBL)*10000000+(N('Dvd Calendar'!$AH$1324)&gt;0)*(N('Dvd Calendar'!$AH$1324)&lt;=VAL_SERIAL)*1000000+20*1000+30))</f>
        <v/>
      </c>
      <c r="FI135" s="39">
        <f>IF(N('Dvd Calendar'!$AI$1325)=0,"",IF(('Dvd Calendar'!$AI$1325&gt;=GRID_FROM)*('Dvd Calendar'!$AI$1325&lt;=GRID_TO)*((('Dvd Calendar'!$AI$1325&lt;=VAL_DATE)+(COUNTIF('Dvd Calendar'!$E$1332:$AR$1332,'Dvd Calendar'!$AI$1325)=0))&gt;0)=0,"",'Dvd Calendar'!$AI$1325*1000000000+ISNUMBER('Dvd Calendar'!$AI$1328)*100000000+('Dvd Calendar'!$AI$1330=SPECIAL_LBL)*10000000+(N('Dvd Calendar'!$AI$1324)&gt;0)*(N('Dvd Calendar'!$AI$1324)&lt;=VAL_SERIAL)*1000000+20*1000+31))</f>
        <v/>
      </c>
      <c r="FJ135" s="39">
        <f>IF(N('Dvd Calendar'!$AJ$1325)=0,"",IF(('Dvd Calendar'!$AJ$1325&gt;=GRID_FROM)*('Dvd Calendar'!$AJ$1325&lt;=GRID_TO)*((('Dvd Calendar'!$AJ$1325&lt;=VAL_DATE)+(COUNTIF('Dvd Calendar'!$E$1332:$AR$1332,'Dvd Calendar'!$AJ$1325)=0))&gt;0)=0,"",'Dvd Calendar'!$AJ$1325*1000000000+ISNUMBER('Dvd Calendar'!$AJ$1328)*100000000+('Dvd Calendar'!$AJ$1330=SPECIAL_LBL)*10000000+(N('Dvd Calendar'!$AJ$1324)&gt;0)*(N('Dvd Calendar'!$AJ$1324)&lt;=VAL_SERIAL)*1000000+20*1000+32))</f>
        <v/>
      </c>
      <c r="FK135" s="39">
        <f>IF(N('Dvd Calendar'!$AK$1325)=0,"",IF(('Dvd Calendar'!$AK$1325&gt;=GRID_FROM)*('Dvd Calendar'!$AK$1325&lt;=GRID_TO)*((('Dvd Calendar'!$AK$1325&lt;=VAL_DATE)+(COUNTIF('Dvd Calendar'!$E$1332:$AR$1332,'Dvd Calendar'!$AK$1325)=0))&gt;0)=0,"",'Dvd Calendar'!$AK$1325*1000000000+ISNUMBER('Dvd Calendar'!$AK$1328)*100000000+('Dvd Calendar'!$AK$1330=SPECIAL_LBL)*10000000+(N('Dvd Calendar'!$AK$1324)&gt;0)*(N('Dvd Calendar'!$AK$1324)&lt;=VAL_SERIAL)*1000000+20*1000+33))</f>
        <v/>
      </c>
      <c r="FL135" s="39">
        <f>IF(N('Dvd Calendar'!$AL$1325)=0,"",IF(('Dvd Calendar'!$AL$1325&gt;=GRID_FROM)*('Dvd Calendar'!$AL$1325&lt;=GRID_TO)*((('Dvd Calendar'!$AL$1325&lt;=VAL_DATE)+(COUNTIF('Dvd Calendar'!$E$1332:$AR$1332,'Dvd Calendar'!$AL$1325)=0))&gt;0)=0,"",'Dvd Calendar'!$AL$1325*1000000000+ISNUMBER('Dvd Calendar'!$AL$1328)*100000000+('Dvd Calendar'!$AL$1330=SPECIAL_LBL)*10000000+(N('Dvd Calendar'!$AL$1324)&gt;0)*(N('Dvd Calendar'!$AL$1324)&lt;=VAL_SERIAL)*1000000+20*1000+34))</f>
        <v/>
      </c>
      <c r="FM135" s="39">
        <f>IF(N('Dvd Calendar'!$AM$1325)=0,"",IF(('Dvd Calendar'!$AM$1325&gt;=GRID_FROM)*('Dvd Calendar'!$AM$1325&lt;=GRID_TO)*((('Dvd Calendar'!$AM$1325&lt;=VAL_DATE)+(COUNTIF('Dvd Calendar'!$E$1332:$AR$1332,'Dvd Calendar'!$AM$1325)=0))&gt;0)=0,"",'Dvd Calendar'!$AM$1325*1000000000+ISNUMBER('Dvd Calendar'!$AM$1328)*100000000+('Dvd Calendar'!$AM$1330=SPECIAL_LBL)*10000000+(N('Dvd Calendar'!$AM$1324)&gt;0)*(N('Dvd Calendar'!$AM$1324)&lt;=VAL_SERIAL)*1000000+20*1000+35))</f>
        <v/>
      </c>
      <c r="FN135" s="39">
        <f>IF(N('Dvd Calendar'!$AN$1325)=0,"",IF(('Dvd Calendar'!$AN$1325&gt;=GRID_FROM)*('Dvd Calendar'!$AN$1325&lt;=GRID_TO)*((('Dvd Calendar'!$AN$1325&lt;=VAL_DATE)+(COUNTIF('Dvd Calendar'!$E$1332:$AR$1332,'Dvd Calendar'!$AN$1325)=0))&gt;0)=0,"",'Dvd Calendar'!$AN$1325*1000000000+ISNUMBER('Dvd Calendar'!$AN$1328)*100000000+('Dvd Calendar'!$AN$1330=SPECIAL_LBL)*10000000+(N('Dvd Calendar'!$AN$1324)&gt;0)*(N('Dvd Calendar'!$AN$1324)&lt;=VAL_SERIAL)*1000000+20*1000+36))</f>
        <v/>
      </c>
      <c r="FO135" s="39">
        <f>IF(N('Dvd Calendar'!$AO$1325)=0,"",IF(('Dvd Calendar'!$AO$1325&gt;=GRID_FROM)*('Dvd Calendar'!$AO$1325&lt;=GRID_TO)*((('Dvd Calendar'!$AO$1325&lt;=VAL_DATE)+(COUNTIF('Dvd Calendar'!$E$1332:$AR$1332,'Dvd Calendar'!$AO$1325)=0))&gt;0)=0,"",'Dvd Calendar'!$AO$1325*1000000000+ISNUMBER('Dvd Calendar'!$AO$1328)*100000000+('Dvd Calendar'!$AO$1330=SPECIAL_LBL)*10000000+(N('Dvd Calendar'!$AO$1324)&gt;0)*(N('Dvd Calendar'!$AO$1324)&lt;=VAL_SERIAL)*1000000+20*1000+37))</f>
        <v/>
      </c>
      <c r="FP135" s="39">
        <f>IF(N('Dvd Calendar'!$AP$1325)=0,"",IF(('Dvd Calendar'!$AP$1325&gt;=GRID_FROM)*('Dvd Calendar'!$AP$1325&lt;=GRID_TO)*((('Dvd Calendar'!$AP$1325&lt;=VAL_DATE)+(COUNTIF('Dvd Calendar'!$E$1332:$AR$1332,'Dvd Calendar'!$AP$1325)=0))&gt;0)=0,"",'Dvd Calendar'!$AP$1325*1000000000+ISNUMBER('Dvd Calendar'!$AP$1328)*100000000+('Dvd Calendar'!$AP$1330=SPECIAL_LBL)*10000000+(N('Dvd Calendar'!$AP$1324)&gt;0)*(N('Dvd Calendar'!$AP$1324)&lt;=VAL_SERIAL)*1000000+20*1000+38))</f>
        <v/>
      </c>
      <c r="FQ135" s="39">
        <f>IF(N('Dvd Calendar'!$AQ$1325)=0,"",IF(('Dvd Calendar'!$AQ$1325&gt;=GRID_FROM)*('Dvd Calendar'!$AQ$1325&lt;=GRID_TO)*((('Dvd Calendar'!$AQ$1325&lt;=VAL_DATE)+(COUNTIF('Dvd Calendar'!$E$1332:$AR$1332,'Dvd Calendar'!$AQ$1325)=0))&gt;0)=0,"",'Dvd Calendar'!$AQ$1325*1000000000+ISNUMBER('Dvd Calendar'!$AQ$1328)*100000000+('Dvd Calendar'!$AQ$1330=SPECIAL_LBL)*10000000+(N('Dvd Calendar'!$AQ$1324)&gt;0)*(N('Dvd Calendar'!$AQ$1324)&lt;=VAL_SERIAL)*1000000+20*1000+39))</f>
        <v/>
      </c>
      <c r="FR135" s="39">
        <f>IF(N('Dvd Calendar'!$AR$1325)=0,"",IF(('Dvd Calendar'!$AR$1325&gt;=GRID_FROM)*('Dvd Calendar'!$AR$1325&lt;=GRID_TO)*((('Dvd Calendar'!$AR$1325&lt;=VAL_DATE)+(COUNTIF('Dvd Calendar'!$E$1332:$AR$1332,'Dvd Calendar'!$AR$1325)=0))&gt;0)=0,"",'Dvd Calendar'!$AR$1325*1000000000+ISNUMBER('Dvd Calendar'!$AR$1328)*100000000+('Dvd Calendar'!$AR$1330=SPECIAL_LBL)*10000000+(N('Dvd Calendar'!$AR$1324)&gt;0)*(N('Dvd Calendar'!$AR$1324)&lt;=VAL_SERIAL)*1000000+20*1000+40))</f>
        <v/>
      </c>
      <c r="FS135" s="39">
        <f>IF(N('Dvd Calendar'!$E$1332)=0,"",IF(('Dvd Calendar'!$E$1332&gt;=GRID_FROM)*('Dvd Calendar'!$E$1332&lt;=GRID_TO)*('Dvd Calendar'!$E$1332&gt;VAL_DATE)=0,"",'Dvd Calendar'!$E$1332*1000000000+ISNUMBER('Dvd Calendar'!$E$1333)*100000000+0*10000000+(N('Dvd Calendar'!$E$1331)&gt;0)*(N('Dvd Calendar'!$E$1331)&lt;=VAL_SERIAL)*1000000+20*1000+41))</f>
        <v/>
      </c>
      <c r="FT135" s="39">
        <f>IF(N('Dvd Calendar'!$F$1332)=0,"",IF(('Dvd Calendar'!$F$1332&gt;=GRID_FROM)*('Dvd Calendar'!$F$1332&lt;=GRID_TO)*('Dvd Calendar'!$F$1332&gt;VAL_DATE)=0,"",'Dvd Calendar'!$F$1332*1000000000+ISNUMBER('Dvd Calendar'!$F$1333)*100000000+0*10000000+(N('Dvd Calendar'!$F$1331)&gt;0)*(N('Dvd Calendar'!$F$1331)&lt;=VAL_SERIAL)*1000000+20*1000+42))</f>
        <v/>
      </c>
      <c r="FU135" s="39">
        <f>IF(N('Dvd Calendar'!$G$1332)=0,"",IF(('Dvd Calendar'!$G$1332&gt;=GRID_FROM)*('Dvd Calendar'!$G$1332&lt;=GRID_TO)*('Dvd Calendar'!$G$1332&gt;VAL_DATE)=0,"",'Dvd Calendar'!$G$1332*1000000000+ISNUMBER('Dvd Calendar'!$G$1333)*100000000+0*10000000+(N('Dvd Calendar'!$G$1331)&gt;0)*(N('Dvd Calendar'!$G$1331)&lt;=VAL_SERIAL)*1000000+20*1000+43))</f>
        <v/>
      </c>
      <c r="FV135" s="39">
        <f>IF(N('Dvd Calendar'!$H$1332)=0,"",IF(('Dvd Calendar'!$H$1332&gt;=GRID_FROM)*('Dvd Calendar'!$H$1332&lt;=GRID_TO)*('Dvd Calendar'!$H$1332&gt;VAL_DATE)=0,"",'Dvd Calendar'!$H$1332*1000000000+ISNUMBER('Dvd Calendar'!$H$1333)*100000000+0*10000000+(N('Dvd Calendar'!$H$1331)&gt;0)*(N('Dvd Calendar'!$H$1331)&lt;=VAL_SERIAL)*1000000+20*1000+44))</f>
        <v/>
      </c>
      <c r="FW135" s="39">
        <f>IF(N('Dvd Calendar'!$I$1332)=0,"",IF(('Dvd Calendar'!$I$1332&gt;=GRID_FROM)*('Dvd Calendar'!$I$1332&lt;=GRID_TO)*('Dvd Calendar'!$I$1332&gt;VAL_DATE)=0,"",'Dvd Calendar'!$I$1332*1000000000+ISNUMBER('Dvd Calendar'!$I$1333)*100000000+0*10000000+(N('Dvd Calendar'!$I$1331)&gt;0)*(N('Dvd Calendar'!$I$1331)&lt;=VAL_SERIAL)*1000000+20*1000+45))</f>
        <v/>
      </c>
      <c r="FX135" s="39">
        <f>IF(N('Dvd Calendar'!$J$1332)=0,"",IF(('Dvd Calendar'!$J$1332&gt;=GRID_FROM)*('Dvd Calendar'!$J$1332&lt;=GRID_TO)*('Dvd Calendar'!$J$1332&gt;VAL_DATE)=0,"",'Dvd Calendar'!$J$1332*1000000000+ISNUMBER('Dvd Calendar'!$J$1333)*100000000+0*10000000+(N('Dvd Calendar'!$J$1331)&gt;0)*(N('Dvd Calendar'!$J$1331)&lt;=VAL_SERIAL)*1000000+20*1000+46))</f>
        <v/>
      </c>
      <c r="FY135" s="39">
        <f>IF(N('Dvd Calendar'!$K$1332)=0,"",IF(('Dvd Calendar'!$K$1332&gt;=GRID_FROM)*('Dvd Calendar'!$K$1332&lt;=GRID_TO)*('Dvd Calendar'!$K$1332&gt;VAL_DATE)=0,"",'Dvd Calendar'!$K$1332*1000000000+ISNUMBER('Dvd Calendar'!$K$1333)*100000000+0*10000000+(N('Dvd Calendar'!$K$1331)&gt;0)*(N('Dvd Calendar'!$K$1331)&lt;=VAL_SERIAL)*1000000+20*1000+47))</f>
        <v/>
      </c>
      <c r="FZ135" s="39">
        <f>IF(N('Dvd Calendar'!$L$1332)=0,"",IF(('Dvd Calendar'!$L$1332&gt;=GRID_FROM)*('Dvd Calendar'!$L$1332&lt;=GRID_TO)*('Dvd Calendar'!$L$1332&gt;VAL_DATE)=0,"",'Dvd Calendar'!$L$1332*1000000000+ISNUMBER('Dvd Calendar'!$L$1333)*100000000+0*10000000+(N('Dvd Calendar'!$L$1331)&gt;0)*(N('Dvd Calendar'!$L$1331)&lt;=VAL_SERIAL)*1000000+20*1000+48))</f>
        <v/>
      </c>
      <c r="GA135" s="39">
        <f>IF(N('Dvd Calendar'!$M$1332)=0,"",IF(('Dvd Calendar'!$M$1332&gt;=GRID_FROM)*('Dvd Calendar'!$M$1332&lt;=GRID_TO)*('Dvd Calendar'!$M$1332&gt;VAL_DATE)=0,"",'Dvd Calendar'!$M$1332*1000000000+ISNUMBER('Dvd Calendar'!$M$1333)*100000000+0*10000000+(N('Dvd Calendar'!$M$1331)&gt;0)*(N('Dvd Calendar'!$M$1331)&lt;=VAL_SERIAL)*1000000+20*1000+49))</f>
        <v/>
      </c>
      <c r="GB135" s="39">
        <f>IF(N('Dvd Calendar'!$N$1332)=0,"",IF(('Dvd Calendar'!$N$1332&gt;=GRID_FROM)*('Dvd Calendar'!$N$1332&lt;=GRID_TO)*('Dvd Calendar'!$N$1332&gt;VAL_DATE)=0,"",'Dvd Calendar'!$N$1332*1000000000+ISNUMBER('Dvd Calendar'!$N$1333)*100000000+0*10000000+(N('Dvd Calendar'!$N$1331)&gt;0)*(N('Dvd Calendar'!$N$1331)&lt;=VAL_SERIAL)*1000000+20*1000+50))</f>
        <v/>
      </c>
      <c r="GC135" s="39">
        <f>IF(N('Dvd Calendar'!$O$1332)=0,"",IF(('Dvd Calendar'!$O$1332&gt;=GRID_FROM)*('Dvd Calendar'!$O$1332&lt;=GRID_TO)*('Dvd Calendar'!$O$1332&gt;VAL_DATE)=0,"",'Dvd Calendar'!$O$1332*1000000000+ISNUMBER('Dvd Calendar'!$O$1333)*100000000+0*10000000+(N('Dvd Calendar'!$O$1331)&gt;0)*(N('Dvd Calendar'!$O$1331)&lt;=VAL_SERIAL)*1000000+20*1000+51))</f>
        <v/>
      </c>
      <c r="GD135" s="39">
        <f>IF(N('Dvd Calendar'!$P$1332)=0,"",IF(('Dvd Calendar'!$P$1332&gt;=GRID_FROM)*('Dvd Calendar'!$P$1332&lt;=GRID_TO)*('Dvd Calendar'!$P$1332&gt;VAL_DATE)=0,"",'Dvd Calendar'!$P$1332*1000000000+ISNUMBER('Dvd Calendar'!$P$1333)*100000000+0*10000000+(N('Dvd Calendar'!$P$1331)&gt;0)*(N('Dvd Calendar'!$P$1331)&lt;=VAL_SERIAL)*1000000+20*1000+52))</f>
        <v/>
      </c>
      <c r="GE135" s="39">
        <f>IF(N('Dvd Calendar'!$Q$1332)=0,"",IF(('Dvd Calendar'!$Q$1332&gt;=GRID_FROM)*('Dvd Calendar'!$Q$1332&lt;=GRID_TO)*('Dvd Calendar'!$Q$1332&gt;VAL_DATE)=0,"",'Dvd Calendar'!$Q$1332*1000000000+ISNUMBER('Dvd Calendar'!$Q$1333)*100000000+0*10000000+(N('Dvd Calendar'!$Q$1331)&gt;0)*(N('Dvd Calendar'!$Q$1331)&lt;=VAL_SERIAL)*1000000+20*1000+53))</f>
        <v/>
      </c>
      <c r="GF135" s="39">
        <f>IF(N('Dvd Calendar'!$R$1332)=0,"",IF(('Dvd Calendar'!$R$1332&gt;=GRID_FROM)*('Dvd Calendar'!$R$1332&lt;=GRID_TO)*('Dvd Calendar'!$R$1332&gt;VAL_DATE)=0,"",'Dvd Calendar'!$R$1332*1000000000+ISNUMBER('Dvd Calendar'!$R$1333)*100000000+0*10000000+(N('Dvd Calendar'!$R$1331)&gt;0)*(N('Dvd Calendar'!$R$1331)&lt;=VAL_SERIAL)*1000000+20*1000+54))</f>
        <v/>
      </c>
      <c r="GG135" s="39">
        <f>IF(N('Dvd Calendar'!$S$1332)=0,"",IF(('Dvd Calendar'!$S$1332&gt;=GRID_FROM)*('Dvd Calendar'!$S$1332&lt;=GRID_TO)*('Dvd Calendar'!$S$1332&gt;VAL_DATE)=0,"",'Dvd Calendar'!$S$1332*1000000000+ISNUMBER('Dvd Calendar'!$S$1333)*100000000+0*10000000+(N('Dvd Calendar'!$S$1331)&gt;0)*(N('Dvd Calendar'!$S$1331)&lt;=VAL_SERIAL)*1000000+20*1000+55))</f>
        <v/>
      </c>
      <c r="GH135" s="39">
        <f>IF(N('Dvd Calendar'!$T$1332)=0,"",IF(('Dvd Calendar'!$T$1332&gt;=GRID_FROM)*('Dvd Calendar'!$T$1332&lt;=GRID_TO)*('Dvd Calendar'!$T$1332&gt;VAL_DATE)=0,"",'Dvd Calendar'!$T$1332*1000000000+ISNUMBER('Dvd Calendar'!$T$1333)*100000000+0*10000000+(N('Dvd Calendar'!$T$1331)&gt;0)*(N('Dvd Calendar'!$T$1331)&lt;=VAL_SERIAL)*1000000+20*1000+56))</f>
        <v/>
      </c>
      <c r="GI135" s="39">
        <f>IF(N('Dvd Calendar'!$U$1332)=0,"",IF(('Dvd Calendar'!$U$1332&gt;=GRID_FROM)*('Dvd Calendar'!$U$1332&lt;=GRID_TO)*('Dvd Calendar'!$U$1332&gt;VAL_DATE)=0,"",'Dvd Calendar'!$U$1332*1000000000+ISNUMBER('Dvd Calendar'!$U$1333)*100000000+0*10000000+(N('Dvd Calendar'!$U$1331)&gt;0)*(N('Dvd Calendar'!$U$1331)&lt;=VAL_SERIAL)*1000000+20*1000+57))</f>
        <v/>
      </c>
      <c r="GJ135" s="39">
        <f>IF(N('Dvd Calendar'!$V$1332)=0,"",IF(('Dvd Calendar'!$V$1332&gt;=GRID_FROM)*('Dvd Calendar'!$V$1332&lt;=GRID_TO)*('Dvd Calendar'!$V$1332&gt;VAL_DATE)=0,"",'Dvd Calendar'!$V$1332*1000000000+ISNUMBER('Dvd Calendar'!$V$1333)*100000000+0*10000000+(N('Dvd Calendar'!$V$1331)&gt;0)*(N('Dvd Calendar'!$V$1331)&lt;=VAL_SERIAL)*1000000+20*1000+58))</f>
        <v/>
      </c>
      <c r="GK135" s="39">
        <f>IF(N('Dvd Calendar'!$W$1332)=0,"",IF(('Dvd Calendar'!$W$1332&gt;=GRID_FROM)*('Dvd Calendar'!$W$1332&lt;=GRID_TO)*('Dvd Calendar'!$W$1332&gt;VAL_DATE)=0,"",'Dvd Calendar'!$W$1332*1000000000+ISNUMBER('Dvd Calendar'!$W$1333)*100000000+0*10000000+(N('Dvd Calendar'!$W$1331)&gt;0)*(N('Dvd Calendar'!$W$1331)&lt;=VAL_SERIAL)*1000000+20*1000+59))</f>
        <v/>
      </c>
      <c r="GL135" s="39">
        <f>IF(N('Dvd Calendar'!$X$1332)=0,"",IF(('Dvd Calendar'!$X$1332&gt;=GRID_FROM)*('Dvd Calendar'!$X$1332&lt;=GRID_TO)*('Dvd Calendar'!$X$1332&gt;VAL_DATE)=0,"",'Dvd Calendar'!$X$1332*1000000000+ISNUMBER('Dvd Calendar'!$X$1333)*100000000+0*10000000+(N('Dvd Calendar'!$X$1331)&gt;0)*(N('Dvd Calendar'!$X$1331)&lt;=VAL_SERIAL)*1000000+20*1000+60))</f>
        <v/>
      </c>
      <c r="GM135" s="39">
        <f>IF(N('Dvd Calendar'!$Y$1332)=0,"",IF(('Dvd Calendar'!$Y$1332&gt;=GRID_FROM)*('Dvd Calendar'!$Y$1332&lt;=GRID_TO)*('Dvd Calendar'!$Y$1332&gt;VAL_DATE)=0,"",'Dvd Calendar'!$Y$1332*1000000000+ISNUMBER('Dvd Calendar'!$Y$1333)*100000000+0*10000000+(N('Dvd Calendar'!$Y$1331)&gt;0)*(N('Dvd Calendar'!$Y$1331)&lt;=VAL_SERIAL)*1000000+20*1000+61))</f>
        <v/>
      </c>
      <c r="GN135" s="39">
        <f>IF(N('Dvd Calendar'!$Z$1332)=0,"",IF(('Dvd Calendar'!$Z$1332&gt;=GRID_FROM)*('Dvd Calendar'!$Z$1332&lt;=GRID_TO)*('Dvd Calendar'!$Z$1332&gt;VAL_DATE)=0,"",'Dvd Calendar'!$Z$1332*1000000000+ISNUMBER('Dvd Calendar'!$Z$1333)*100000000+0*10000000+(N('Dvd Calendar'!$Z$1331)&gt;0)*(N('Dvd Calendar'!$Z$1331)&lt;=VAL_SERIAL)*1000000+20*1000+62))</f>
        <v/>
      </c>
      <c r="GO135" s="39">
        <f>IF(N('Dvd Calendar'!$AA$1332)=0,"",IF(('Dvd Calendar'!$AA$1332&gt;=GRID_FROM)*('Dvd Calendar'!$AA$1332&lt;=GRID_TO)*('Dvd Calendar'!$AA$1332&gt;VAL_DATE)=0,"",'Dvd Calendar'!$AA$1332*1000000000+ISNUMBER('Dvd Calendar'!$AA$1333)*100000000+0*10000000+(N('Dvd Calendar'!$AA$1331)&gt;0)*(N('Dvd Calendar'!$AA$1331)&lt;=VAL_SERIAL)*1000000+20*1000+63))</f>
        <v/>
      </c>
      <c r="GP135" s="39">
        <f>IF(N('Dvd Calendar'!$AB$1332)=0,"",IF(('Dvd Calendar'!$AB$1332&gt;=GRID_FROM)*('Dvd Calendar'!$AB$1332&lt;=GRID_TO)*('Dvd Calendar'!$AB$1332&gt;VAL_DATE)=0,"",'Dvd Calendar'!$AB$1332*1000000000+ISNUMBER('Dvd Calendar'!$AB$1333)*100000000+0*10000000+(N('Dvd Calendar'!$AB$1331)&gt;0)*(N('Dvd Calendar'!$AB$1331)&lt;=VAL_SERIAL)*1000000+20*1000+64))</f>
        <v/>
      </c>
      <c r="GQ135" s="39">
        <f>IF(N('Dvd Calendar'!$AC$1332)=0,"",IF(('Dvd Calendar'!$AC$1332&gt;=GRID_FROM)*('Dvd Calendar'!$AC$1332&lt;=GRID_TO)*('Dvd Calendar'!$AC$1332&gt;VAL_DATE)=0,"",'Dvd Calendar'!$AC$1332*1000000000+ISNUMBER('Dvd Calendar'!$AC$1333)*100000000+0*10000000+(N('Dvd Calendar'!$AC$1331)&gt;0)*(N('Dvd Calendar'!$AC$1331)&lt;=VAL_SERIAL)*1000000+20*1000+65))</f>
        <v/>
      </c>
    </row>
    <row r="136">
      <c r="B136" s="2">
        <f>IF(HSTECH!$C$27="","",HSTECH!$C$27)</f>
        <v/>
      </c>
      <c r="C136" s="110">
        <f>IF(EE136="","",IF(ISNUMBER('Dvd Calendar'!$E$1339)=FALSE,"",IF((('Dvd Calendar'!$E$1341=TYPE1)*(TYPE1&lt;&gt;"")+('Dvd Calendar'!$E$1341=TYPE2)*(TYPE2&lt;&gt;"")+('Dvd Calendar'!$E$1341=TYPE3)*(TYPE3&lt;&gt;"")+('Dvd Calendar'!$E$1341=TYPE4)*(TYPE4&lt;&gt;"")+('Dvd Calendar'!$E$1341=SPECIAL_LBL)*(INC_SPECIALS="Y"))=0,"",'Dvd Calendar'!$E$1339)))</f>
        <v/>
      </c>
      <c r="D136" s="110">
        <f>IF(EF136="","",IF(ISNUMBER('Dvd Calendar'!$F$1339)=FALSE,"",IF((('Dvd Calendar'!$F$1341=TYPE1)*(TYPE1&lt;&gt;"")+('Dvd Calendar'!$F$1341=TYPE2)*(TYPE2&lt;&gt;"")+('Dvd Calendar'!$F$1341=TYPE3)*(TYPE3&lt;&gt;"")+('Dvd Calendar'!$F$1341=TYPE4)*(TYPE4&lt;&gt;"")+('Dvd Calendar'!$F$1341=SPECIAL_LBL)*(INC_SPECIALS="Y"))=0,"",'Dvd Calendar'!$F$1339)))</f>
        <v/>
      </c>
      <c r="E136" s="110">
        <f>IF(EG136="","",IF(ISNUMBER('Dvd Calendar'!$G$1339)=FALSE,"",IF((('Dvd Calendar'!$G$1341=TYPE1)*(TYPE1&lt;&gt;"")+('Dvd Calendar'!$G$1341=TYPE2)*(TYPE2&lt;&gt;"")+('Dvd Calendar'!$G$1341=TYPE3)*(TYPE3&lt;&gt;"")+('Dvd Calendar'!$G$1341=TYPE4)*(TYPE4&lt;&gt;"")+('Dvd Calendar'!$G$1341=SPECIAL_LBL)*(INC_SPECIALS="Y"))=0,"",'Dvd Calendar'!$G$1339)))</f>
        <v/>
      </c>
      <c r="F136" s="110">
        <f>IF(EH136="","",IF(ISNUMBER('Dvd Calendar'!$H$1339)=FALSE,"",IF((('Dvd Calendar'!$H$1341=TYPE1)*(TYPE1&lt;&gt;"")+('Dvd Calendar'!$H$1341=TYPE2)*(TYPE2&lt;&gt;"")+('Dvd Calendar'!$H$1341=TYPE3)*(TYPE3&lt;&gt;"")+('Dvd Calendar'!$H$1341=TYPE4)*(TYPE4&lt;&gt;"")+('Dvd Calendar'!$H$1341=SPECIAL_LBL)*(INC_SPECIALS="Y"))=0,"",'Dvd Calendar'!$H$1339)))</f>
        <v/>
      </c>
      <c r="G136" s="110">
        <f>IF(EI136="","",IF(ISNUMBER('Dvd Calendar'!$I$1339)=FALSE,"",IF((('Dvd Calendar'!$I$1341=TYPE1)*(TYPE1&lt;&gt;"")+('Dvd Calendar'!$I$1341=TYPE2)*(TYPE2&lt;&gt;"")+('Dvd Calendar'!$I$1341=TYPE3)*(TYPE3&lt;&gt;"")+('Dvd Calendar'!$I$1341=TYPE4)*(TYPE4&lt;&gt;"")+('Dvd Calendar'!$I$1341=SPECIAL_LBL)*(INC_SPECIALS="Y"))=0,"",'Dvd Calendar'!$I$1339)))</f>
        <v/>
      </c>
      <c r="H136" s="110">
        <f>IF(EJ136="","",IF(ISNUMBER('Dvd Calendar'!$J$1339)=FALSE,"",IF((('Dvd Calendar'!$J$1341=TYPE1)*(TYPE1&lt;&gt;"")+('Dvd Calendar'!$J$1341=TYPE2)*(TYPE2&lt;&gt;"")+('Dvd Calendar'!$J$1341=TYPE3)*(TYPE3&lt;&gt;"")+('Dvd Calendar'!$J$1341=TYPE4)*(TYPE4&lt;&gt;"")+('Dvd Calendar'!$J$1341=SPECIAL_LBL)*(INC_SPECIALS="Y"))=0,"",'Dvd Calendar'!$J$1339)))</f>
        <v/>
      </c>
      <c r="I136" s="110">
        <f>IF(EK136="","",IF(ISNUMBER('Dvd Calendar'!$K$1339)=FALSE,"",IF((('Dvd Calendar'!$K$1341=TYPE1)*(TYPE1&lt;&gt;"")+('Dvd Calendar'!$K$1341=TYPE2)*(TYPE2&lt;&gt;"")+('Dvd Calendar'!$K$1341=TYPE3)*(TYPE3&lt;&gt;"")+('Dvd Calendar'!$K$1341=TYPE4)*(TYPE4&lt;&gt;"")+('Dvd Calendar'!$K$1341=SPECIAL_LBL)*(INC_SPECIALS="Y"))=0,"",'Dvd Calendar'!$K$1339)))</f>
        <v/>
      </c>
      <c r="J136" s="110">
        <f>IF(EL136="","",IF(ISNUMBER('Dvd Calendar'!$L$1339)=FALSE,"",IF((('Dvd Calendar'!$L$1341=TYPE1)*(TYPE1&lt;&gt;"")+('Dvd Calendar'!$L$1341=TYPE2)*(TYPE2&lt;&gt;"")+('Dvd Calendar'!$L$1341=TYPE3)*(TYPE3&lt;&gt;"")+('Dvd Calendar'!$L$1341=TYPE4)*(TYPE4&lt;&gt;"")+('Dvd Calendar'!$L$1341=SPECIAL_LBL)*(INC_SPECIALS="Y"))=0,"",'Dvd Calendar'!$L$1339)))</f>
        <v/>
      </c>
      <c r="K136" s="110">
        <f>IF(EM136="","",IF(ISNUMBER('Dvd Calendar'!$M$1339)=FALSE,"",IF((('Dvd Calendar'!$M$1341=TYPE1)*(TYPE1&lt;&gt;"")+('Dvd Calendar'!$M$1341=TYPE2)*(TYPE2&lt;&gt;"")+('Dvd Calendar'!$M$1341=TYPE3)*(TYPE3&lt;&gt;"")+('Dvd Calendar'!$M$1341=TYPE4)*(TYPE4&lt;&gt;"")+('Dvd Calendar'!$M$1341=SPECIAL_LBL)*(INC_SPECIALS="Y"))=0,"",'Dvd Calendar'!$M$1339)))</f>
        <v/>
      </c>
      <c r="L136" s="110">
        <f>IF(EN136="","",IF(ISNUMBER('Dvd Calendar'!$N$1339)=FALSE,"",IF((('Dvd Calendar'!$N$1341=TYPE1)*(TYPE1&lt;&gt;"")+('Dvd Calendar'!$N$1341=TYPE2)*(TYPE2&lt;&gt;"")+('Dvd Calendar'!$N$1341=TYPE3)*(TYPE3&lt;&gt;"")+('Dvd Calendar'!$N$1341=TYPE4)*(TYPE4&lt;&gt;"")+('Dvd Calendar'!$N$1341=SPECIAL_LBL)*(INC_SPECIALS="Y"))=0,"",'Dvd Calendar'!$N$1339)))</f>
        <v/>
      </c>
      <c r="M136" s="110">
        <f>IF(EO136="","",IF(ISNUMBER('Dvd Calendar'!$O$1339)=FALSE,"",IF((('Dvd Calendar'!$O$1341=TYPE1)*(TYPE1&lt;&gt;"")+('Dvd Calendar'!$O$1341=TYPE2)*(TYPE2&lt;&gt;"")+('Dvd Calendar'!$O$1341=TYPE3)*(TYPE3&lt;&gt;"")+('Dvd Calendar'!$O$1341=TYPE4)*(TYPE4&lt;&gt;"")+('Dvd Calendar'!$O$1341=SPECIAL_LBL)*(INC_SPECIALS="Y"))=0,"",'Dvd Calendar'!$O$1339)))</f>
        <v/>
      </c>
      <c r="N136" s="110">
        <f>IF(EP136="","",IF(ISNUMBER('Dvd Calendar'!$P$1339)=FALSE,"",IF((('Dvd Calendar'!$P$1341=TYPE1)*(TYPE1&lt;&gt;"")+('Dvd Calendar'!$P$1341=TYPE2)*(TYPE2&lt;&gt;"")+('Dvd Calendar'!$P$1341=TYPE3)*(TYPE3&lt;&gt;"")+('Dvd Calendar'!$P$1341=TYPE4)*(TYPE4&lt;&gt;"")+('Dvd Calendar'!$P$1341=SPECIAL_LBL)*(INC_SPECIALS="Y"))=0,"",'Dvd Calendar'!$P$1339)))</f>
        <v/>
      </c>
      <c r="O136" s="110">
        <f>IF(EQ136="","",IF(ISNUMBER('Dvd Calendar'!$Q$1339)=FALSE,"",IF((('Dvd Calendar'!$Q$1341=TYPE1)*(TYPE1&lt;&gt;"")+('Dvd Calendar'!$Q$1341=TYPE2)*(TYPE2&lt;&gt;"")+('Dvd Calendar'!$Q$1341=TYPE3)*(TYPE3&lt;&gt;"")+('Dvd Calendar'!$Q$1341=TYPE4)*(TYPE4&lt;&gt;"")+('Dvd Calendar'!$Q$1341=SPECIAL_LBL)*(INC_SPECIALS="Y"))=0,"",'Dvd Calendar'!$Q$1339)))</f>
        <v/>
      </c>
      <c r="P136" s="110">
        <f>IF(ER136="","",IF(ISNUMBER('Dvd Calendar'!$R$1339)=FALSE,"",IF((('Dvd Calendar'!$R$1341=TYPE1)*(TYPE1&lt;&gt;"")+('Dvd Calendar'!$R$1341=TYPE2)*(TYPE2&lt;&gt;"")+('Dvd Calendar'!$R$1341=TYPE3)*(TYPE3&lt;&gt;"")+('Dvd Calendar'!$R$1341=TYPE4)*(TYPE4&lt;&gt;"")+('Dvd Calendar'!$R$1341=SPECIAL_LBL)*(INC_SPECIALS="Y"))=0,"",'Dvd Calendar'!$R$1339)))</f>
        <v/>
      </c>
      <c r="Q136" s="110">
        <f>IF(ES136="","",IF(ISNUMBER('Dvd Calendar'!$S$1339)=FALSE,"",IF((('Dvd Calendar'!$S$1341=TYPE1)*(TYPE1&lt;&gt;"")+('Dvd Calendar'!$S$1341=TYPE2)*(TYPE2&lt;&gt;"")+('Dvd Calendar'!$S$1341=TYPE3)*(TYPE3&lt;&gt;"")+('Dvd Calendar'!$S$1341=TYPE4)*(TYPE4&lt;&gt;"")+('Dvd Calendar'!$S$1341=SPECIAL_LBL)*(INC_SPECIALS="Y"))=0,"",'Dvd Calendar'!$S$1339)))</f>
        <v/>
      </c>
      <c r="R136" s="110">
        <f>IF(ET136="","",IF(ISNUMBER('Dvd Calendar'!$T$1339)=FALSE,"",IF((('Dvd Calendar'!$T$1341=TYPE1)*(TYPE1&lt;&gt;"")+('Dvd Calendar'!$T$1341=TYPE2)*(TYPE2&lt;&gt;"")+('Dvd Calendar'!$T$1341=TYPE3)*(TYPE3&lt;&gt;"")+('Dvd Calendar'!$T$1341=TYPE4)*(TYPE4&lt;&gt;"")+('Dvd Calendar'!$T$1341=SPECIAL_LBL)*(INC_SPECIALS="Y"))=0,"",'Dvd Calendar'!$T$1339)))</f>
        <v/>
      </c>
      <c r="S136" s="110">
        <f>IF(EU136="","",IF(ISNUMBER('Dvd Calendar'!$U$1339)=FALSE,"",IF((('Dvd Calendar'!$U$1341=TYPE1)*(TYPE1&lt;&gt;"")+('Dvd Calendar'!$U$1341=TYPE2)*(TYPE2&lt;&gt;"")+('Dvd Calendar'!$U$1341=TYPE3)*(TYPE3&lt;&gt;"")+('Dvd Calendar'!$U$1341=TYPE4)*(TYPE4&lt;&gt;"")+('Dvd Calendar'!$U$1341=SPECIAL_LBL)*(INC_SPECIALS="Y"))=0,"",'Dvd Calendar'!$U$1339)))</f>
        <v/>
      </c>
      <c r="T136" s="110">
        <f>IF(EV136="","",IF(ISNUMBER('Dvd Calendar'!$V$1339)=FALSE,"",IF((('Dvd Calendar'!$V$1341=TYPE1)*(TYPE1&lt;&gt;"")+('Dvd Calendar'!$V$1341=TYPE2)*(TYPE2&lt;&gt;"")+('Dvd Calendar'!$V$1341=TYPE3)*(TYPE3&lt;&gt;"")+('Dvd Calendar'!$V$1341=TYPE4)*(TYPE4&lt;&gt;"")+('Dvd Calendar'!$V$1341=SPECIAL_LBL)*(INC_SPECIALS="Y"))=0,"",'Dvd Calendar'!$V$1339)))</f>
        <v/>
      </c>
      <c r="U136" s="110">
        <f>IF(EW136="","",IF(ISNUMBER('Dvd Calendar'!$W$1339)=FALSE,"",IF((('Dvd Calendar'!$W$1341=TYPE1)*(TYPE1&lt;&gt;"")+('Dvd Calendar'!$W$1341=TYPE2)*(TYPE2&lt;&gt;"")+('Dvd Calendar'!$W$1341=TYPE3)*(TYPE3&lt;&gt;"")+('Dvd Calendar'!$W$1341=TYPE4)*(TYPE4&lt;&gt;"")+('Dvd Calendar'!$W$1341=SPECIAL_LBL)*(INC_SPECIALS="Y"))=0,"",'Dvd Calendar'!$W$1339)))</f>
        <v/>
      </c>
      <c r="V136" s="110">
        <f>IF(EX136="","",IF(ISNUMBER('Dvd Calendar'!$X$1339)=FALSE,"",IF((('Dvd Calendar'!$X$1341=TYPE1)*(TYPE1&lt;&gt;"")+('Dvd Calendar'!$X$1341=TYPE2)*(TYPE2&lt;&gt;"")+('Dvd Calendar'!$X$1341=TYPE3)*(TYPE3&lt;&gt;"")+('Dvd Calendar'!$X$1341=TYPE4)*(TYPE4&lt;&gt;"")+('Dvd Calendar'!$X$1341=SPECIAL_LBL)*(INC_SPECIALS="Y"))=0,"",'Dvd Calendar'!$X$1339)))</f>
        <v/>
      </c>
      <c r="W136" s="110">
        <f>IF(EY136="","",IF(ISNUMBER('Dvd Calendar'!$Y$1339)=FALSE,"",IF((('Dvd Calendar'!$Y$1341=TYPE1)*(TYPE1&lt;&gt;"")+('Dvd Calendar'!$Y$1341=TYPE2)*(TYPE2&lt;&gt;"")+('Dvd Calendar'!$Y$1341=TYPE3)*(TYPE3&lt;&gt;"")+('Dvd Calendar'!$Y$1341=TYPE4)*(TYPE4&lt;&gt;"")+('Dvd Calendar'!$Y$1341=SPECIAL_LBL)*(INC_SPECIALS="Y"))=0,"",'Dvd Calendar'!$Y$1339)))</f>
        <v/>
      </c>
      <c r="X136" s="110">
        <f>IF(EZ136="","",IF(ISNUMBER('Dvd Calendar'!$Z$1339)=FALSE,"",IF((('Dvd Calendar'!$Z$1341=TYPE1)*(TYPE1&lt;&gt;"")+('Dvd Calendar'!$Z$1341=TYPE2)*(TYPE2&lt;&gt;"")+('Dvd Calendar'!$Z$1341=TYPE3)*(TYPE3&lt;&gt;"")+('Dvd Calendar'!$Z$1341=TYPE4)*(TYPE4&lt;&gt;"")+('Dvd Calendar'!$Z$1341=SPECIAL_LBL)*(INC_SPECIALS="Y"))=0,"",'Dvd Calendar'!$Z$1339)))</f>
        <v/>
      </c>
      <c r="Y136" s="110">
        <f>IF(FA136="","",IF(ISNUMBER('Dvd Calendar'!$AA$1339)=FALSE,"",IF((('Dvd Calendar'!$AA$1341=TYPE1)*(TYPE1&lt;&gt;"")+('Dvd Calendar'!$AA$1341=TYPE2)*(TYPE2&lt;&gt;"")+('Dvd Calendar'!$AA$1341=TYPE3)*(TYPE3&lt;&gt;"")+('Dvd Calendar'!$AA$1341=TYPE4)*(TYPE4&lt;&gt;"")+('Dvd Calendar'!$AA$1341=SPECIAL_LBL)*(INC_SPECIALS="Y"))=0,"",'Dvd Calendar'!$AA$1339)))</f>
        <v/>
      </c>
      <c r="Z136" s="110">
        <f>IF(FB136="","",IF(ISNUMBER('Dvd Calendar'!$AB$1339)=FALSE,"",IF((('Dvd Calendar'!$AB$1341=TYPE1)*(TYPE1&lt;&gt;"")+('Dvd Calendar'!$AB$1341=TYPE2)*(TYPE2&lt;&gt;"")+('Dvd Calendar'!$AB$1341=TYPE3)*(TYPE3&lt;&gt;"")+('Dvd Calendar'!$AB$1341=TYPE4)*(TYPE4&lt;&gt;"")+('Dvd Calendar'!$AB$1341=SPECIAL_LBL)*(INC_SPECIALS="Y"))=0,"",'Dvd Calendar'!$AB$1339)))</f>
        <v/>
      </c>
      <c r="AA136" s="110">
        <f>IF(FC136="","",IF(ISNUMBER('Dvd Calendar'!$AC$1339)=FALSE,"",IF((('Dvd Calendar'!$AC$1341=TYPE1)*(TYPE1&lt;&gt;"")+('Dvd Calendar'!$AC$1341=TYPE2)*(TYPE2&lt;&gt;"")+('Dvd Calendar'!$AC$1341=TYPE3)*(TYPE3&lt;&gt;"")+('Dvd Calendar'!$AC$1341=TYPE4)*(TYPE4&lt;&gt;"")+('Dvd Calendar'!$AC$1341=SPECIAL_LBL)*(INC_SPECIALS="Y"))=0,"",'Dvd Calendar'!$AC$1339)))</f>
        <v/>
      </c>
      <c r="AB136" s="110">
        <f>IF(FD136="","",IF(ISNUMBER('Dvd Calendar'!$AD$1339)=FALSE,"",IF((('Dvd Calendar'!$AD$1341=TYPE1)*(TYPE1&lt;&gt;"")+('Dvd Calendar'!$AD$1341=TYPE2)*(TYPE2&lt;&gt;"")+('Dvd Calendar'!$AD$1341=TYPE3)*(TYPE3&lt;&gt;"")+('Dvd Calendar'!$AD$1341=TYPE4)*(TYPE4&lt;&gt;"")+('Dvd Calendar'!$AD$1341=SPECIAL_LBL)*(INC_SPECIALS="Y"))=0,"",'Dvd Calendar'!$AD$1339)))</f>
        <v/>
      </c>
      <c r="AC136" s="110">
        <f>IF(FE136="","",IF(ISNUMBER('Dvd Calendar'!$AE$1339)=FALSE,"",IF((('Dvd Calendar'!$AE$1341=TYPE1)*(TYPE1&lt;&gt;"")+('Dvd Calendar'!$AE$1341=TYPE2)*(TYPE2&lt;&gt;"")+('Dvd Calendar'!$AE$1341=TYPE3)*(TYPE3&lt;&gt;"")+('Dvd Calendar'!$AE$1341=TYPE4)*(TYPE4&lt;&gt;"")+('Dvd Calendar'!$AE$1341=SPECIAL_LBL)*(INC_SPECIALS="Y"))=0,"",'Dvd Calendar'!$AE$1339)))</f>
        <v/>
      </c>
      <c r="AD136" s="110">
        <f>IF(FF136="","",IF(ISNUMBER('Dvd Calendar'!$AF$1339)=FALSE,"",IF((('Dvd Calendar'!$AF$1341=TYPE1)*(TYPE1&lt;&gt;"")+('Dvd Calendar'!$AF$1341=TYPE2)*(TYPE2&lt;&gt;"")+('Dvd Calendar'!$AF$1341=TYPE3)*(TYPE3&lt;&gt;"")+('Dvd Calendar'!$AF$1341=TYPE4)*(TYPE4&lt;&gt;"")+('Dvd Calendar'!$AF$1341=SPECIAL_LBL)*(INC_SPECIALS="Y"))=0,"",'Dvd Calendar'!$AF$1339)))</f>
        <v/>
      </c>
      <c r="AE136" s="110">
        <f>IF(FG136="","",IF(ISNUMBER('Dvd Calendar'!$AG$1339)=FALSE,"",IF((('Dvd Calendar'!$AG$1341=TYPE1)*(TYPE1&lt;&gt;"")+('Dvd Calendar'!$AG$1341=TYPE2)*(TYPE2&lt;&gt;"")+('Dvd Calendar'!$AG$1341=TYPE3)*(TYPE3&lt;&gt;"")+('Dvd Calendar'!$AG$1341=TYPE4)*(TYPE4&lt;&gt;"")+('Dvd Calendar'!$AG$1341=SPECIAL_LBL)*(INC_SPECIALS="Y"))=0,"",'Dvd Calendar'!$AG$1339)))</f>
        <v/>
      </c>
      <c r="AF136" s="110">
        <f>IF(FH136="","",IF(ISNUMBER('Dvd Calendar'!$AH$1339)=FALSE,"",IF((('Dvd Calendar'!$AH$1341=TYPE1)*(TYPE1&lt;&gt;"")+('Dvd Calendar'!$AH$1341=TYPE2)*(TYPE2&lt;&gt;"")+('Dvd Calendar'!$AH$1341=TYPE3)*(TYPE3&lt;&gt;"")+('Dvd Calendar'!$AH$1341=TYPE4)*(TYPE4&lt;&gt;"")+('Dvd Calendar'!$AH$1341=SPECIAL_LBL)*(INC_SPECIALS="Y"))=0,"",'Dvd Calendar'!$AH$1339)))</f>
        <v/>
      </c>
      <c r="AG136" s="110">
        <f>IF(FI136="","",IF(ISNUMBER('Dvd Calendar'!$AI$1339)=FALSE,"",IF((('Dvd Calendar'!$AI$1341=TYPE1)*(TYPE1&lt;&gt;"")+('Dvd Calendar'!$AI$1341=TYPE2)*(TYPE2&lt;&gt;"")+('Dvd Calendar'!$AI$1341=TYPE3)*(TYPE3&lt;&gt;"")+('Dvd Calendar'!$AI$1341=TYPE4)*(TYPE4&lt;&gt;"")+('Dvd Calendar'!$AI$1341=SPECIAL_LBL)*(INC_SPECIALS="Y"))=0,"",'Dvd Calendar'!$AI$1339)))</f>
        <v/>
      </c>
      <c r="AH136" s="110">
        <f>IF(FJ136="","",IF(ISNUMBER('Dvd Calendar'!$AJ$1339)=FALSE,"",IF((('Dvd Calendar'!$AJ$1341=TYPE1)*(TYPE1&lt;&gt;"")+('Dvd Calendar'!$AJ$1341=TYPE2)*(TYPE2&lt;&gt;"")+('Dvd Calendar'!$AJ$1341=TYPE3)*(TYPE3&lt;&gt;"")+('Dvd Calendar'!$AJ$1341=TYPE4)*(TYPE4&lt;&gt;"")+('Dvd Calendar'!$AJ$1341=SPECIAL_LBL)*(INC_SPECIALS="Y"))=0,"",'Dvd Calendar'!$AJ$1339)))</f>
        <v/>
      </c>
      <c r="AI136" s="110">
        <f>IF(FK136="","",IF(ISNUMBER('Dvd Calendar'!$AK$1339)=FALSE,"",IF((('Dvd Calendar'!$AK$1341=TYPE1)*(TYPE1&lt;&gt;"")+('Dvd Calendar'!$AK$1341=TYPE2)*(TYPE2&lt;&gt;"")+('Dvd Calendar'!$AK$1341=TYPE3)*(TYPE3&lt;&gt;"")+('Dvd Calendar'!$AK$1341=TYPE4)*(TYPE4&lt;&gt;"")+('Dvd Calendar'!$AK$1341=SPECIAL_LBL)*(INC_SPECIALS="Y"))=0,"",'Dvd Calendar'!$AK$1339)))</f>
        <v/>
      </c>
      <c r="AJ136" s="110">
        <f>IF(FL136="","",IF(ISNUMBER('Dvd Calendar'!$AL$1339)=FALSE,"",IF((('Dvd Calendar'!$AL$1341=TYPE1)*(TYPE1&lt;&gt;"")+('Dvd Calendar'!$AL$1341=TYPE2)*(TYPE2&lt;&gt;"")+('Dvd Calendar'!$AL$1341=TYPE3)*(TYPE3&lt;&gt;"")+('Dvd Calendar'!$AL$1341=TYPE4)*(TYPE4&lt;&gt;"")+('Dvd Calendar'!$AL$1341=SPECIAL_LBL)*(INC_SPECIALS="Y"))=0,"",'Dvd Calendar'!$AL$1339)))</f>
        <v/>
      </c>
      <c r="AK136" s="110">
        <f>IF(FM136="","",IF(ISNUMBER('Dvd Calendar'!$AM$1339)=FALSE,"",IF((('Dvd Calendar'!$AM$1341=TYPE1)*(TYPE1&lt;&gt;"")+('Dvd Calendar'!$AM$1341=TYPE2)*(TYPE2&lt;&gt;"")+('Dvd Calendar'!$AM$1341=TYPE3)*(TYPE3&lt;&gt;"")+('Dvd Calendar'!$AM$1341=TYPE4)*(TYPE4&lt;&gt;"")+('Dvd Calendar'!$AM$1341=SPECIAL_LBL)*(INC_SPECIALS="Y"))=0,"",'Dvd Calendar'!$AM$1339)))</f>
        <v/>
      </c>
      <c r="AL136" s="110">
        <f>IF(FN136="","",IF(ISNUMBER('Dvd Calendar'!$AN$1339)=FALSE,"",IF((('Dvd Calendar'!$AN$1341=TYPE1)*(TYPE1&lt;&gt;"")+('Dvd Calendar'!$AN$1341=TYPE2)*(TYPE2&lt;&gt;"")+('Dvd Calendar'!$AN$1341=TYPE3)*(TYPE3&lt;&gt;"")+('Dvd Calendar'!$AN$1341=TYPE4)*(TYPE4&lt;&gt;"")+('Dvd Calendar'!$AN$1341=SPECIAL_LBL)*(INC_SPECIALS="Y"))=0,"",'Dvd Calendar'!$AN$1339)))</f>
        <v/>
      </c>
      <c r="AM136" s="110">
        <f>IF(FO136="","",IF(ISNUMBER('Dvd Calendar'!$AO$1339)=FALSE,"",IF((('Dvd Calendar'!$AO$1341=TYPE1)*(TYPE1&lt;&gt;"")+('Dvd Calendar'!$AO$1341=TYPE2)*(TYPE2&lt;&gt;"")+('Dvd Calendar'!$AO$1341=TYPE3)*(TYPE3&lt;&gt;"")+('Dvd Calendar'!$AO$1341=TYPE4)*(TYPE4&lt;&gt;"")+('Dvd Calendar'!$AO$1341=SPECIAL_LBL)*(INC_SPECIALS="Y"))=0,"",'Dvd Calendar'!$AO$1339)))</f>
        <v/>
      </c>
      <c r="AN136" s="110">
        <f>IF(FP136="","",IF(ISNUMBER('Dvd Calendar'!$AP$1339)=FALSE,"",IF((('Dvd Calendar'!$AP$1341=TYPE1)*(TYPE1&lt;&gt;"")+('Dvd Calendar'!$AP$1341=TYPE2)*(TYPE2&lt;&gt;"")+('Dvd Calendar'!$AP$1341=TYPE3)*(TYPE3&lt;&gt;"")+('Dvd Calendar'!$AP$1341=TYPE4)*(TYPE4&lt;&gt;"")+('Dvd Calendar'!$AP$1341=SPECIAL_LBL)*(INC_SPECIALS="Y"))=0,"",'Dvd Calendar'!$AP$1339)))</f>
        <v/>
      </c>
      <c r="AO136" s="110">
        <f>IF(FQ136="","",IF(ISNUMBER('Dvd Calendar'!$AQ$1339)=FALSE,"",IF((('Dvd Calendar'!$AQ$1341=TYPE1)*(TYPE1&lt;&gt;"")+('Dvd Calendar'!$AQ$1341=TYPE2)*(TYPE2&lt;&gt;"")+('Dvd Calendar'!$AQ$1341=TYPE3)*(TYPE3&lt;&gt;"")+('Dvd Calendar'!$AQ$1341=TYPE4)*(TYPE4&lt;&gt;"")+('Dvd Calendar'!$AQ$1341=SPECIAL_LBL)*(INC_SPECIALS="Y"))=0,"",'Dvd Calendar'!$AQ$1339)))</f>
        <v/>
      </c>
      <c r="AP136" s="110">
        <f>IF(FR136="","",IF(ISNUMBER('Dvd Calendar'!$AR$1339)=FALSE,"",IF((('Dvd Calendar'!$AR$1341=TYPE1)*(TYPE1&lt;&gt;"")+('Dvd Calendar'!$AR$1341=TYPE2)*(TYPE2&lt;&gt;"")+('Dvd Calendar'!$AR$1341=TYPE3)*(TYPE3&lt;&gt;"")+('Dvd Calendar'!$AR$1341=TYPE4)*(TYPE4&lt;&gt;"")+('Dvd Calendar'!$AR$1341=SPECIAL_LBL)*(INC_SPECIALS="Y"))=0,"",'Dvd Calendar'!$AR$1339)))</f>
        <v/>
      </c>
      <c r="AQ136" s="110">
        <f>IF(FS136="","",IF(ISNUMBER('Dvd Calendar'!$E$1344)=FALSE,"",'Dvd Calendar'!$E$1344))</f>
        <v/>
      </c>
      <c r="AR136" s="110">
        <f>IF(FT136="","",IF(ISNUMBER('Dvd Calendar'!$F$1344)=FALSE,"",'Dvd Calendar'!$F$1344))</f>
        <v/>
      </c>
      <c r="AS136" s="110">
        <f>IF(FU136="","",IF(ISNUMBER('Dvd Calendar'!$G$1344)=FALSE,"",'Dvd Calendar'!$G$1344))</f>
        <v/>
      </c>
      <c r="AT136" s="110">
        <f>IF(FV136="","",IF(ISNUMBER('Dvd Calendar'!$H$1344)=FALSE,"",'Dvd Calendar'!$H$1344))</f>
        <v/>
      </c>
      <c r="AU136" s="110">
        <f>IF(FW136="","",IF(ISNUMBER('Dvd Calendar'!$I$1344)=FALSE,"",'Dvd Calendar'!$I$1344))</f>
        <v/>
      </c>
      <c r="AV136" s="110">
        <f>IF(FX136="","",IF(ISNUMBER('Dvd Calendar'!$J$1344)=FALSE,"",'Dvd Calendar'!$J$1344))</f>
        <v/>
      </c>
      <c r="AW136" s="110">
        <f>IF(FY136="","",IF(ISNUMBER('Dvd Calendar'!$K$1344)=FALSE,"",'Dvd Calendar'!$K$1344))</f>
        <v/>
      </c>
      <c r="AX136" s="110">
        <f>IF(FZ136="","",IF(ISNUMBER('Dvd Calendar'!$L$1344)=FALSE,"",'Dvd Calendar'!$L$1344))</f>
        <v/>
      </c>
      <c r="AY136" s="110">
        <f>IF(GA136="","",IF(ISNUMBER('Dvd Calendar'!$M$1344)=FALSE,"",'Dvd Calendar'!$M$1344))</f>
        <v/>
      </c>
      <c r="AZ136" s="110">
        <f>IF(GB136="","",IF(ISNUMBER('Dvd Calendar'!$N$1344)=FALSE,"",'Dvd Calendar'!$N$1344))</f>
        <v/>
      </c>
      <c r="BA136" s="110">
        <f>IF(GC136="","",IF(ISNUMBER('Dvd Calendar'!$O$1344)=FALSE,"",'Dvd Calendar'!$O$1344))</f>
        <v/>
      </c>
      <c r="BB136" s="110">
        <f>IF(GD136="","",IF(ISNUMBER('Dvd Calendar'!$P$1344)=FALSE,"",'Dvd Calendar'!$P$1344))</f>
        <v/>
      </c>
      <c r="BC136" s="110">
        <f>IF(GE136="","",IF(ISNUMBER('Dvd Calendar'!$Q$1344)=FALSE,"",'Dvd Calendar'!$Q$1344))</f>
        <v/>
      </c>
      <c r="BD136" s="110">
        <f>IF(GF136="","",IF(ISNUMBER('Dvd Calendar'!$R$1344)=FALSE,"",'Dvd Calendar'!$R$1344))</f>
        <v/>
      </c>
      <c r="BE136" s="110">
        <f>IF(GG136="","",IF(ISNUMBER('Dvd Calendar'!$S$1344)=FALSE,"",'Dvd Calendar'!$S$1344))</f>
        <v/>
      </c>
      <c r="BF136" s="110">
        <f>IF(GH136="","",IF(ISNUMBER('Dvd Calendar'!$T$1344)=FALSE,"",'Dvd Calendar'!$T$1344))</f>
        <v/>
      </c>
      <c r="BG136" s="110">
        <f>IF(GI136="","",IF(ISNUMBER('Dvd Calendar'!$U$1344)=FALSE,"",'Dvd Calendar'!$U$1344))</f>
        <v/>
      </c>
      <c r="BH136" s="110">
        <f>IF(GJ136="","",IF(ISNUMBER('Dvd Calendar'!$V$1344)=FALSE,"",'Dvd Calendar'!$V$1344))</f>
        <v/>
      </c>
      <c r="BI136" s="110">
        <f>IF(GK136="","",IF(ISNUMBER('Dvd Calendar'!$W$1344)=FALSE,"",'Dvd Calendar'!$W$1344))</f>
        <v/>
      </c>
      <c r="BJ136" s="110">
        <f>IF(GL136="","",IF(ISNUMBER('Dvd Calendar'!$X$1344)=FALSE,"",'Dvd Calendar'!$X$1344))</f>
        <v/>
      </c>
      <c r="BK136" s="110">
        <f>IF(GM136="","",IF(ISNUMBER('Dvd Calendar'!$Y$1344)=FALSE,"",'Dvd Calendar'!$Y$1344))</f>
        <v/>
      </c>
      <c r="BL136" s="110">
        <f>IF(GN136="","",IF(ISNUMBER('Dvd Calendar'!$Z$1344)=FALSE,"",'Dvd Calendar'!$Z$1344))</f>
        <v/>
      </c>
      <c r="BM136" s="110">
        <f>IF(GO136="","",IF(ISNUMBER('Dvd Calendar'!$AA$1344)=FALSE,"",'Dvd Calendar'!$AA$1344))</f>
        <v/>
      </c>
      <c r="BN136" s="110">
        <f>IF(GP136="","",IF(ISNUMBER('Dvd Calendar'!$AB$1344)=FALSE,"",'Dvd Calendar'!$AB$1344))</f>
        <v/>
      </c>
      <c r="BO136" s="110">
        <f>IF(GQ136="","",IF(ISNUMBER('Dvd Calendar'!$AC$1344)=FALSE,"",'Dvd Calendar'!$AC$1344))</f>
        <v/>
      </c>
      <c r="BQ136" s="110">
        <f>IF(C136="","",IFERROR(C136*HSTECH!$B$27*HSTECH!$G$27/HSTECH!$B$3,""))</f>
        <v/>
      </c>
      <c r="BR136" s="110">
        <f>IF(D136="","",IFERROR(D136*HSTECH!$B$27*HSTECH!$G$27/HSTECH!$B$3,""))</f>
        <v/>
      </c>
      <c r="BS136" s="110">
        <f>IF(E136="","",IFERROR(E136*HSTECH!$B$27*HSTECH!$G$27/HSTECH!$B$3,""))</f>
        <v/>
      </c>
      <c r="BT136" s="110">
        <f>IF(F136="","",IFERROR(F136*HSTECH!$B$27*HSTECH!$G$27/HSTECH!$B$3,""))</f>
        <v/>
      </c>
      <c r="BU136" s="110">
        <f>IF(G136="","",IFERROR(G136*HSTECH!$B$27*HSTECH!$G$27/HSTECH!$B$3,""))</f>
        <v/>
      </c>
      <c r="BV136" s="110">
        <f>IF(H136="","",IFERROR(H136*HSTECH!$B$27*HSTECH!$G$27/HSTECH!$B$3,""))</f>
        <v/>
      </c>
      <c r="BW136" s="110">
        <f>IF(I136="","",IFERROR(I136*HSTECH!$B$27*HSTECH!$G$27/HSTECH!$B$3,""))</f>
        <v/>
      </c>
      <c r="BX136" s="110">
        <f>IF(J136="","",IFERROR(J136*HSTECH!$B$27*HSTECH!$G$27/HSTECH!$B$3,""))</f>
        <v/>
      </c>
      <c r="BY136" s="110">
        <f>IF(K136="","",IFERROR(K136*HSTECH!$B$27*HSTECH!$G$27/HSTECH!$B$3,""))</f>
        <v/>
      </c>
      <c r="BZ136" s="110">
        <f>IF(L136="","",IFERROR(L136*HSTECH!$B$27*HSTECH!$G$27/HSTECH!$B$3,""))</f>
        <v/>
      </c>
      <c r="CA136" s="110">
        <f>IF(M136="","",IFERROR(M136*HSTECH!$B$27*HSTECH!$G$27/HSTECH!$B$3,""))</f>
        <v/>
      </c>
      <c r="CB136" s="110">
        <f>IF(N136="","",IFERROR(N136*HSTECH!$B$27*HSTECH!$G$27/HSTECH!$B$3,""))</f>
        <v/>
      </c>
      <c r="CC136" s="110">
        <f>IF(O136="","",IFERROR(O136*HSTECH!$B$27*HSTECH!$G$27/HSTECH!$B$3,""))</f>
        <v/>
      </c>
      <c r="CD136" s="110">
        <f>IF(P136="","",IFERROR(P136*HSTECH!$B$27*HSTECH!$G$27/HSTECH!$B$3,""))</f>
        <v/>
      </c>
      <c r="CE136" s="110">
        <f>IF(Q136="","",IFERROR(Q136*HSTECH!$B$27*HSTECH!$G$27/HSTECH!$B$3,""))</f>
        <v/>
      </c>
      <c r="CF136" s="110">
        <f>IF(R136="","",IFERROR(R136*HSTECH!$B$27*HSTECH!$G$27/HSTECH!$B$3,""))</f>
        <v/>
      </c>
      <c r="CG136" s="110">
        <f>IF(S136="","",IFERROR(S136*HSTECH!$B$27*HSTECH!$G$27/HSTECH!$B$3,""))</f>
        <v/>
      </c>
      <c r="CH136" s="110">
        <f>IF(T136="","",IFERROR(T136*HSTECH!$B$27*HSTECH!$G$27/HSTECH!$B$3,""))</f>
        <v/>
      </c>
      <c r="CI136" s="110">
        <f>IF(U136="","",IFERROR(U136*HSTECH!$B$27*HSTECH!$G$27/HSTECH!$B$3,""))</f>
        <v/>
      </c>
      <c r="CJ136" s="110">
        <f>IF(V136="","",IFERROR(V136*HSTECH!$B$27*HSTECH!$G$27/HSTECH!$B$3,""))</f>
        <v/>
      </c>
      <c r="CK136" s="110">
        <f>IF(W136="","",IFERROR(W136*HSTECH!$B$27*HSTECH!$G$27/HSTECH!$B$3,""))</f>
        <v/>
      </c>
      <c r="CL136" s="110">
        <f>IF(X136="","",IFERROR(X136*HSTECH!$B$27*HSTECH!$G$27/HSTECH!$B$3,""))</f>
        <v/>
      </c>
      <c r="CM136" s="110">
        <f>IF(Y136="","",IFERROR(Y136*HSTECH!$B$27*HSTECH!$G$27/HSTECH!$B$3,""))</f>
        <v/>
      </c>
      <c r="CN136" s="110">
        <f>IF(Z136="","",IFERROR(Z136*HSTECH!$B$27*HSTECH!$G$27/HSTECH!$B$3,""))</f>
        <v/>
      </c>
      <c r="CO136" s="110">
        <f>IF(AA136="","",IFERROR(AA136*HSTECH!$B$27*HSTECH!$G$27/HSTECH!$B$3,""))</f>
        <v/>
      </c>
      <c r="CP136" s="110">
        <f>IF(AB136="","",IFERROR(AB136*HSTECH!$B$27*HSTECH!$G$27/HSTECH!$B$3,""))</f>
        <v/>
      </c>
      <c r="CQ136" s="110">
        <f>IF(AC136="","",IFERROR(AC136*HSTECH!$B$27*HSTECH!$G$27/HSTECH!$B$3,""))</f>
        <v/>
      </c>
      <c r="CR136" s="110">
        <f>IF(AD136="","",IFERROR(AD136*HSTECH!$B$27*HSTECH!$G$27/HSTECH!$B$3,""))</f>
        <v/>
      </c>
      <c r="CS136" s="110">
        <f>IF(AE136="","",IFERROR(AE136*HSTECH!$B$27*HSTECH!$G$27/HSTECH!$B$3,""))</f>
        <v/>
      </c>
      <c r="CT136" s="110">
        <f>IF(AF136="","",IFERROR(AF136*HSTECH!$B$27*HSTECH!$G$27/HSTECH!$B$3,""))</f>
        <v/>
      </c>
      <c r="CU136" s="110">
        <f>IF(AG136="","",IFERROR(AG136*HSTECH!$B$27*HSTECH!$G$27/HSTECH!$B$3,""))</f>
        <v/>
      </c>
      <c r="CV136" s="110">
        <f>IF(AH136="","",IFERROR(AH136*HSTECH!$B$27*HSTECH!$G$27/HSTECH!$B$3,""))</f>
        <v/>
      </c>
      <c r="CW136" s="110">
        <f>IF(AI136="","",IFERROR(AI136*HSTECH!$B$27*HSTECH!$G$27/HSTECH!$B$3,""))</f>
        <v/>
      </c>
      <c r="CX136" s="110">
        <f>IF(AJ136="","",IFERROR(AJ136*HSTECH!$B$27*HSTECH!$G$27/HSTECH!$B$3,""))</f>
        <v/>
      </c>
      <c r="CY136" s="110">
        <f>IF(AK136="","",IFERROR(AK136*HSTECH!$B$27*HSTECH!$G$27/HSTECH!$B$3,""))</f>
        <v/>
      </c>
      <c r="CZ136" s="110">
        <f>IF(AL136="","",IFERROR(AL136*HSTECH!$B$27*HSTECH!$G$27/HSTECH!$B$3,""))</f>
        <v/>
      </c>
      <c r="DA136" s="110">
        <f>IF(AM136="","",IFERROR(AM136*HSTECH!$B$27*HSTECH!$G$27/HSTECH!$B$3,""))</f>
        <v/>
      </c>
      <c r="DB136" s="110">
        <f>IF(AN136="","",IFERROR(AN136*HSTECH!$B$27*HSTECH!$G$27/HSTECH!$B$3,""))</f>
        <v/>
      </c>
      <c r="DC136" s="110">
        <f>IF(AO136="","",IFERROR(AO136*HSTECH!$B$27*HSTECH!$G$27/HSTECH!$B$3,""))</f>
        <v/>
      </c>
      <c r="DD136" s="110">
        <f>IF(AP136="","",IFERROR(AP136*HSTECH!$B$27*HSTECH!$G$27/HSTECH!$B$3,""))</f>
        <v/>
      </c>
      <c r="DE136" s="110">
        <f>IF(AQ136="","",IFERROR(AQ136*HSTECH!$B$27*HSTECH!$G$27/HSTECH!$B$3,""))</f>
        <v/>
      </c>
      <c r="DF136" s="110">
        <f>IF(AR136="","",IFERROR(AR136*HSTECH!$B$27*HSTECH!$G$27/HSTECH!$B$3,""))</f>
        <v/>
      </c>
      <c r="DG136" s="110">
        <f>IF(AS136="","",IFERROR(AS136*HSTECH!$B$27*HSTECH!$G$27/HSTECH!$B$3,""))</f>
        <v/>
      </c>
      <c r="DH136" s="110">
        <f>IF(AT136="","",IFERROR(AT136*HSTECH!$B$27*HSTECH!$G$27/HSTECH!$B$3,""))</f>
        <v/>
      </c>
      <c r="DI136" s="110">
        <f>IF(AU136="","",IFERROR(AU136*HSTECH!$B$27*HSTECH!$G$27/HSTECH!$B$3,""))</f>
        <v/>
      </c>
      <c r="DJ136" s="110">
        <f>IF(AV136="","",IFERROR(AV136*HSTECH!$B$27*HSTECH!$G$27/HSTECH!$B$3,""))</f>
        <v/>
      </c>
      <c r="DK136" s="110">
        <f>IF(AW136="","",IFERROR(AW136*HSTECH!$B$27*HSTECH!$G$27/HSTECH!$B$3,""))</f>
        <v/>
      </c>
      <c r="DL136" s="110">
        <f>IF(AX136="","",IFERROR(AX136*HSTECH!$B$27*HSTECH!$G$27/HSTECH!$B$3,""))</f>
        <v/>
      </c>
      <c r="DM136" s="110">
        <f>IF(AY136="","",IFERROR(AY136*HSTECH!$B$27*HSTECH!$G$27/HSTECH!$B$3,""))</f>
        <v/>
      </c>
      <c r="DN136" s="110">
        <f>IF(AZ136="","",IFERROR(AZ136*HSTECH!$B$27*HSTECH!$G$27/HSTECH!$B$3,""))</f>
        <v/>
      </c>
      <c r="DO136" s="110">
        <f>IF(BA136="","",IFERROR(BA136*HSTECH!$B$27*HSTECH!$G$27/HSTECH!$B$3,""))</f>
        <v/>
      </c>
      <c r="DP136" s="110">
        <f>IF(BB136="","",IFERROR(BB136*HSTECH!$B$27*HSTECH!$G$27/HSTECH!$B$3,""))</f>
        <v/>
      </c>
      <c r="DQ136" s="110">
        <f>IF(BC136="","",IFERROR(BC136*HSTECH!$B$27*HSTECH!$G$27/HSTECH!$B$3,""))</f>
        <v/>
      </c>
      <c r="DR136" s="110">
        <f>IF(BD136="","",IFERROR(BD136*HSTECH!$B$27*HSTECH!$G$27/HSTECH!$B$3,""))</f>
        <v/>
      </c>
      <c r="DS136" s="110">
        <f>IF(BE136="","",IFERROR(BE136*HSTECH!$B$27*HSTECH!$G$27/HSTECH!$B$3,""))</f>
        <v/>
      </c>
      <c r="DT136" s="110">
        <f>IF(BF136="","",IFERROR(BF136*HSTECH!$B$27*HSTECH!$G$27/HSTECH!$B$3,""))</f>
        <v/>
      </c>
      <c r="DU136" s="110">
        <f>IF(BG136="","",IFERROR(BG136*HSTECH!$B$27*HSTECH!$G$27/HSTECH!$B$3,""))</f>
        <v/>
      </c>
      <c r="DV136" s="110">
        <f>IF(BH136="","",IFERROR(BH136*HSTECH!$B$27*HSTECH!$G$27/HSTECH!$B$3,""))</f>
        <v/>
      </c>
      <c r="DW136" s="110">
        <f>IF(BI136="","",IFERROR(BI136*HSTECH!$B$27*HSTECH!$G$27/HSTECH!$B$3,""))</f>
        <v/>
      </c>
      <c r="DX136" s="110">
        <f>IF(BJ136="","",IFERROR(BJ136*HSTECH!$B$27*HSTECH!$G$27/HSTECH!$B$3,""))</f>
        <v/>
      </c>
      <c r="DY136" s="110">
        <f>IF(BK136="","",IFERROR(BK136*HSTECH!$B$27*HSTECH!$G$27/HSTECH!$B$3,""))</f>
        <v/>
      </c>
      <c r="DZ136" s="110">
        <f>IF(BL136="","",IFERROR(BL136*HSTECH!$B$27*HSTECH!$G$27/HSTECH!$B$3,""))</f>
        <v/>
      </c>
      <c r="EA136" s="110">
        <f>IF(BM136="","",IFERROR(BM136*HSTECH!$B$27*HSTECH!$G$27/HSTECH!$B$3,""))</f>
        <v/>
      </c>
      <c r="EB136" s="110">
        <f>IF(BN136="","",IFERROR(BN136*HSTECH!$B$27*HSTECH!$G$27/HSTECH!$B$3,""))</f>
        <v/>
      </c>
      <c r="EC136" s="110">
        <f>IF(BO136="","",IFERROR(BO136*HSTECH!$B$27*HSTECH!$G$27/HSTECH!$B$3,""))</f>
        <v/>
      </c>
      <c r="EE136" s="39">
        <f>IF(N('Dvd Calendar'!$E$1336)=0,"",IF(('Dvd Calendar'!$E$1336&gt;=GRID_FROM)*('Dvd Calendar'!$E$1336&lt;=GRID_TO)*((('Dvd Calendar'!$E$1336&lt;=VAL_DATE)+(COUNTIF('Dvd Calendar'!$E$1343:$AR$1343,'Dvd Calendar'!$E$1336)=0))&gt;0)=0,"",'Dvd Calendar'!$E$1336*1000000000+ISNUMBER('Dvd Calendar'!$E$1339)*100000000+('Dvd Calendar'!$E$1341=SPECIAL_LBL)*10000000+(N('Dvd Calendar'!$E$1335)&gt;0)*(N('Dvd Calendar'!$E$1335)&lt;=VAL_SERIAL)*1000000+21*1000+1))</f>
        <v/>
      </c>
      <c r="EF136" s="39">
        <f>IF(N('Dvd Calendar'!$F$1336)=0,"",IF(('Dvd Calendar'!$F$1336&gt;=GRID_FROM)*('Dvd Calendar'!$F$1336&lt;=GRID_TO)*((('Dvd Calendar'!$F$1336&lt;=VAL_DATE)+(COUNTIF('Dvd Calendar'!$E$1343:$AR$1343,'Dvd Calendar'!$F$1336)=0))&gt;0)=0,"",'Dvd Calendar'!$F$1336*1000000000+ISNUMBER('Dvd Calendar'!$F$1339)*100000000+('Dvd Calendar'!$F$1341=SPECIAL_LBL)*10000000+(N('Dvd Calendar'!$F$1335)&gt;0)*(N('Dvd Calendar'!$F$1335)&lt;=VAL_SERIAL)*1000000+21*1000+2))</f>
        <v/>
      </c>
      <c r="EG136" s="39">
        <f>IF(N('Dvd Calendar'!$G$1336)=0,"",IF(('Dvd Calendar'!$G$1336&gt;=GRID_FROM)*('Dvd Calendar'!$G$1336&lt;=GRID_TO)*((('Dvd Calendar'!$G$1336&lt;=VAL_DATE)+(COUNTIF('Dvd Calendar'!$E$1343:$AR$1343,'Dvd Calendar'!$G$1336)=0))&gt;0)=0,"",'Dvd Calendar'!$G$1336*1000000000+ISNUMBER('Dvd Calendar'!$G$1339)*100000000+('Dvd Calendar'!$G$1341=SPECIAL_LBL)*10000000+(N('Dvd Calendar'!$G$1335)&gt;0)*(N('Dvd Calendar'!$G$1335)&lt;=VAL_SERIAL)*1000000+21*1000+3))</f>
        <v/>
      </c>
      <c r="EH136" s="39">
        <f>IF(N('Dvd Calendar'!$H$1336)=0,"",IF(('Dvd Calendar'!$H$1336&gt;=GRID_FROM)*('Dvd Calendar'!$H$1336&lt;=GRID_TO)*((('Dvd Calendar'!$H$1336&lt;=VAL_DATE)+(COUNTIF('Dvd Calendar'!$E$1343:$AR$1343,'Dvd Calendar'!$H$1336)=0))&gt;0)=0,"",'Dvd Calendar'!$H$1336*1000000000+ISNUMBER('Dvd Calendar'!$H$1339)*100000000+('Dvd Calendar'!$H$1341=SPECIAL_LBL)*10000000+(N('Dvd Calendar'!$H$1335)&gt;0)*(N('Dvd Calendar'!$H$1335)&lt;=VAL_SERIAL)*1000000+21*1000+4))</f>
        <v/>
      </c>
      <c r="EI136" s="39">
        <f>IF(N('Dvd Calendar'!$I$1336)=0,"",IF(('Dvd Calendar'!$I$1336&gt;=GRID_FROM)*('Dvd Calendar'!$I$1336&lt;=GRID_TO)*((('Dvd Calendar'!$I$1336&lt;=VAL_DATE)+(COUNTIF('Dvd Calendar'!$E$1343:$AR$1343,'Dvd Calendar'!$I$1336)=0))&gt;0)=0,"",'Dvd Calendar'!$I$1336*1000000000+ISNUMBER('Dvd Calendar'!$I$1339)*100000000+('Dvd Calendar'!$I$1341=SPECIAL_LBL)*10000000+(N('Dvd Calendar'!$I$1335)&gt;0)*(N('Dvd Calendar'!$I$1335)&lt;=VAL_SERIAL)*1000000+21*1000+5))</f>
        <v/>
      </c>
      <c r="EJ136" s="39">
        <f>IF(N('Dvd Calendar'!$J$1336)=0,"",IF(('Dvd Calendar'!$J$1336&gt;=GRID_FROM)*('Dvd Calendar'!$J$1336&lt;=GRID_TO)*((('Dvd Calendar'!$J$1336&lt;=VAL_DATE)+(COUNTIF('Dvd Calendar'!$E$1343:$AR$1343,'Dvd Calendar'!$J$1336)=0))&gt;0)=0,"",'Dvd Calendar'!$J$1336*1000000000+ISNUMBER('Dvd Calendar'!$J$1339)*100000000+('Dvd Calendar'!$J$1341=SPECIAL_LBL)*10000000+(N('Dvd Calendar'!$J$1335)&gt;0)*(N('Dvd Calendar'!$J$1335)&lt;=VAL_SERIAL)*1000000+21*1000+6))</f>
        <v/>
      </c>
      <c r="EK136" s="39">
        <f>IF(N('Dvd Calendar'!$K$1336)=0,"",IF(('Dvd Calendar'!$K$1336&gt;=GRID_FROM)*('Dvd Calendar'!$K$1336&lt;=GRID_TO)*((('Dvd Calendar'!$K$1336&lt;=VAL_DATE)+(COUNTIF('Dvd Calendar'!$E$1343:$AR$1343,'Dvd Calendar'!$K$1336)=0))&gt;0)=0,"",'Dvd Calendar'!$K$1336*1000000000+ISNUMBER('Dvd Calendar'!$K$1339)*100000000+('Dvd Calendar'!$K$1341=SPECIAL_LBL)*10000000+(N('Dvd Calendar'!$K$1335)&gt;0)*(N('Dvd Calendar'!$K$1335)&lt;=VAL_SERIAL)*1000000+21*1000+7))</f>
        <v/>
      </c>
      <c r="EL136" s="39">
        <f>IF(N('Dvd Calendar'!$L$1336)=0,"",IF(('Dvd Calendar'!$L$1336&gt;=GRID_FROM)*('Dvd Calendar'!$L$1336&lt;=GRID_TO)*((('Dvd Calendar'!$L$1336&lt;=VAL_DATE)+(COUNTIF('Dvd Calendar'!$E$1343:$AR$1343,'Dvd Calendar'!$L$1336)=0))&gt;0)=0,"",'Dvd Calendar'!$L$1336*1000000000+ISNUMBER('Dvd Calendar'!$L$1339)*100000000+('Dvd Calendar'!$L$1341=SPECIAL_LBL)*10000000+(N('Dvd Calendar'!$L$1335)&gt;0)*(N('Dvd Calendar'!$L$1335)&lt;=VAL_SERIAL)*1000000+21*1000+8))</f>
        <v/>
      </c>
      <c r="EM136" s="39">
        <f>IF(N('Dvd Calendar'!$M$1336)=0,"",IF(('Dvd Calendar'!$M$1336&gt;=GRID_FROM)*('Dvd Calendar'!$M$1336&lt;=GRID_TO)*((('Dvd Calendar'!$M$1336&lt;=VAL_DATE)+(COUNTIF('Dvd Calendar'!$E$1343:$AR$1343,'Dvd Calendar'!$M$1336)=0))&gt;0)=0,"",'Dvd Calendar'!$M$1336*1000000000+ISNUMBER('Dvd Calendar'!$M$1339)*100000000+('Dvd Calendar'!$M$1341=SPECIAL_LBL)*10000000+(N('Dvd Calendar'!$M$1335)&gt;0)*(N('Dvd Calendar'!$M$1335)&lt;=VAL_SERIAL)*1000000+21*1000+9))</f>
        <v/>
      </c>
      <c r="EN136" s="39">
        <f>IF(N('Dvd Calendar'!$N$1336)=0,"",IF(('Dvd Calendar'!$N$1336&gt;=GRID_FROM)*('Dvd Calendar'!$N$1336&lt;=GRID_TO)*((('Dvd Calendar'!$N$1336&lt;=VAL_DATE)+(COUNTIF('Dvd Calendar'!$E$1343:$AR$1343,'Dvd Calendar'!$N$1336)=0))&gt;0)=0,"",'Dvd Calendar'!$N$1336*1000000000+ISNUMBER('Dvd Calendar'!$N$1339)*100000000+('Dvd Calendar'!$N$1341=SPECIAL_LBL)*10000000+(N('Dvd Calendar'!$N$1335)&gt;0)*(N('Dvd Calendar'!$N$1335)&lt;=VAL_SERIAL)*1000000+21*1000+10))</f>
        <v/>
      </c>
      <c r="EO136" s="39">
        <f>IF(N('Dvd Calendar'!$O$1336)=0,"",IF(('Dvd Calendar'!$O$1336&gt;=GRID_FROM)*('Dvd Calendar'!$O$1336&lt;=GRID_TO)*((('Dvd Calendar'!$O$1336&lt;=VAL_DATE)+(COUNTIF('Dvd Calendar'!$E$1343:$AR$1343,'Dvd Calendar'!$O$1336)=0))&gt;0)=0,"",'Dvd Calendar'!$O$1336*1000000000+ISNUMBER('Dvd Calendar'!$O$1339)*100000000+('Dvd Calendar'!$O$1341=SPECIAL_LBL)*10000000+(N('Dvd Calendar'!$O$1335)&gt;0)*(N('Dvd Calendar'!$O$1335)&lt;=VAL_SERIAL)*1000000+21*1000+11))</f>
        <v/>
      </c>
      <c r="EP136" s="39">
        <f>IF(N('Dvd Calendar'!$P$1336)=0,"",IF(('Dvd Calendar'!$P$1336&gt;=GRID_FROM)*('Dvd Calendar'!$P$1336&lt;=GRID_TO)*((('Dvd Calendar'!$P$1336&lt;=VAL_DATE)+(COUNTIF('Dvd Calendar'!$E$1343:$AR$1343,'Dvd Calendar'!$P$1336)=0))&gt;0)=0,"",'Dvd Calendar'!$P$1336*1000000000+ISNUMBER('Dvd Calendar'!$P$1339)*100000000+('Dvd Calendar'!$P$1341=SPECIAL_LBL)*10000000+(N('Dvd Calendar'!$P$1335)&gt;0)*(N('Dvd Calendar'!$P$1335)&lt;=VAL_SERIAL)*1000000+21*1000+12))</f>
        <v/>
      </c>
      <c r="EQ136" s="39">
        <f>IF(N('Dvd Calendar'!$Q$1336)=0,"",IF(('Dvd Calendar'!$Q$1336&gt;=GRID_FROM)*('Dvd Calendar'!$Q$1336&lt;=GRID_TO)*((('Dvd Calendar'!$Q$1336&lt;=VAL_DATE)+(COUNTIF('Dvd Calendar'!$E$1343:$AR$1343,'Dvd Calendar'!$Q$1336)=0))&gt;0)=0,"",'Dvd Calendar'!$Q$1336*1000000000+ISNUMBER('Dvd Calendar'!$Q$1339)*100000000+('Dvd Calendar'!$Q$1341=SPECIAL_LBL)*10000000+(N('Dvd Calendar'!$Q$1335)&gt;0)*(N('Dvd Calendar'!$Q$1335)&lt;=VAL_SERIAL)*1000000+21*1000+13))</f>
        <v/>
      </c>
      <c r="ER136" s="39">
        <f>IF(N('Dvd Calendar'!$R$1336)=0,"",IF(('Dvd Calendar'!$R$1336&gt;=GRID_FROM)*('Dvd Calendar'!$R$1336&lt;=GRID_TO)*((('Dvd Calendar'!$R$1336&lt;=VAL_DATE)+(COUNTIF('Dvd Calendar'!$E$1343:$AR$1343,'Dvd Calendar'!$R$1336)=0))&gt;0)=0,"",'Dvd Calendar'!$R$1336*1000000000+ISNUMBER('Dvd Calendar'!$R$1339)*100000000+('Dvd Calendar'!$R$1341=SPECIAL_LBL)*10000000+(N('Dvd Calendar'!$R$1335)&gt;0)*(N('Dvd Calendar'!$R$1335)&lt;=VAL_SERIAL)*1000000+21*1000+14))</f>
        <v/>
      </c>
      <c r="ES136" s="39">
        <f>IF(N('Dvd Calendar'!$S$1336)=0,"",IF(('Dvd Calendar'!$S$1336&gt;=GRID_FROM)*('Dvd Calendar'!$S$1336&lt;=GRID_TO)*((('Dvd Calendar'!$S$1336&lt;=VAL_DATE)+(COUNTIF('Dvd Calendar'!$E$1343:$AR$1343,'Dvd Calendar'!$S$1336)=0))&gt;0)=0,"",'Dvd Calendar'!$S$1336*1000000000+ISNUMBER('Dvd Calendar'!$S$1339)*100000000+('Dvd Calendar'!$S$1341=SPECIAL_LBL)*10000000+(N('Dvd Calendar'!$S$1335)&gt;0)*(N('Dvd Calendar'!$S$1335)&lt;=VAL_SERIAL)*1000000+21*1000+15))</f>
        <v/>
      </c>
      <c r="ET136" s="39">
        <f>IF(N('Dvd Calendar'!$T$1336)=0,"",IF(('Dvd Calendar'!$T$1336&gt;=GRID_FROM)*('Dvd Calendar'!$T$1336&lt;=GRID_TO)*((('Dvd Calendar'!$T$1336&lt;=VAL_DATE)+(COUNTIF('Dvd Calendar'!$E$1343:$AR$1343,'Dvd Calendar'!$T$1336)=0))&gt;0)=0,"",'Dvd Calendar'!$T$1336*1000000000+ISNUMBER('Dvd Calendar'!$T$1339)*100000000+('Dvd Calendar'!$T$1341=SPECIAL_LBL)*10000000+(N('Dvd Calendar'!$T$1335)&gt;0)*(N('Dvd Calendar'!$T$1335)&lt;=VAL_SERIAL)*1000000+21*1000+16))</f>
        <v/>
      </c>
      <c r="EU136" s="39">
        <f>IF(N('Dvd Calendar'!$U$1336)=0,"",IF(('Dvd Calendar'!$U$1336&gt;=GRID_FROM)*('Dvd Calendar'!$U$1336&lt;=GRID_TO)*((('Dvd Calendar'!$U$1336&lt;=VAL_DATE)+(COUNTIF('Dvd Calendar'!$E$1343:$AR$1343,'Dvd Calendar'!$U$1336)=0))&gt;0)=0,"",'Dvd Calendar'!$U$1336*1000000000+ISNUMBER('Dvd Calendar'!$U$1339)*100000000+('Dvd Calendar'!$U$1341=SPECIAL_LBL)*10000000+(N('Dvd Calendar'!$U$1335)&gt;0)*(N('Dvd Calendar'!$U$1335)&lt;=VAL_SERIAL)*1000000+21*1000+17))</f>
        <v/>
      </c>
      <c r="EV136" s="39">
        <f>IF(N('Dvd Calendar'!$V$1336)=0,"",IF(('Dvd Calendar'!$V$1336&gt;=GRID_FROM)*('Dvd Calendar'!$V$1336&lt;=GRID_TO)*((('Dvd Calendar'!$V$1336&lt;=VAL_DATE)+(COUNTIF('Dvd Calendar'!$E$1343:$AR$1343,'Dvd Calendar'!$V$1336)=0))&gt;0)=0,"",'Dvd Calendar'!$V$1336*1000000000+ISNUMBER('Dvd Calendar'!$V$1339)*100000000+('Dvd Calendar'!$V$1341=SPECIAL_LBL)*10000000+(N('Dvd Calendar'!$V$1335)&gt;0)*(N('Dvd Calendar'!$V$1335)&lt;=VAL_SERIAL)*1000000+21*1000+18))</f>
        <v/>
      </c>
      <c r="EW136" s="39">
        <f>IF(N('Dvd Calendar'!$W$1336)=0,"",IF(('Dvd Calendar'!$W$1336&gt;=GRID_FROM)*('Dvd Calendar'!$W$1336&lt;=GRID_TO)*((('Dvd Calendar'!$W$1336&lt;=VAL_DATE)+(COUNTIF('Dvd Calendar'!$E$1343:$AR$1343,'Dvd Calendar'!$W$1336)=0))&gt;0)=0,"",'Dvd Calendar'!$W$1336*1000000000+ISNUMBER('Dvd Calendar'!$W$1339)*100000000+('Dvd Calendar'!$W$1341=SPECIAL_LBL)*10000000+(N('Dvd Calendar'!$W$1335)&gt;0)*(N('Dvd Calendar'!$W$1335)&lt;=VAL_SERIAL)*1000000+21*1000+19))</f>
        <v/>
      </c>
      <c r="EX136" s="39">
        <f>IF(N('Dvd Calendar'!$X$1336)=0,"",IF(('Dvd Calendar'!$X$1336&gt;=GRID_FROM)*('Dvd Calendar'!$X$1336&lt;=GRID_TO)*((('Dvd Calendar'!$X$1336&lt;=VAL_DATE)+(COUNTIF('Dvd Calendar'!$E$1343:$AR$1343,'Dvd Calendar'!$X$1336)=0))&gt;0)=0,"",'Dvd Calendar'!$X$1336*1000000000+ISNUMBER('Dvd Calendar'!$X$1339)*100000000+('Dvd Calendar'!$X$1341=SPECIAL_LBL)*10000000+(N('Dvd Calendar'!$X$1335)&gt;0)*(N('Dvd Calendar'!$X$1335)&lt;=VAL_SERIAL)*1000000+21*1000+20))</f>
        <v/>
      </c>
      <c r="EY136" s="39">
        <f>IF(N('Dvd Calendar'!$Y$1336)=0,"",IF(('Dvd Calendar'!$Y$1336&gt;=GRID_FROM)*('Dvd Calendar'!$Y$1336&lt;=GRID_TO)*((('Dvd Calendar'!$Y$1336&lt;=VAL_DATE)+(COUNTIF('Dvd Calendar'!$E$1343:$AR$1343,'Dvd Calendar'!$Y$1336)=0))&gt;0)=0,"",'Dvd Calendar'!$Y$1336*1000000000+ISNUMBER('Dvd Calendar'!$Y$1339)*100000000+('Dvd Calendar'!$Y$1341=SPECIAL_LBL)*10000000+(N('Dvd Calendar'!$Y$1335)&gt;0)*(N('Dvd Calendar'!$Y$1335)&lt;=VAL_SERIAL)*1000000+21*1000+21))</f>
        <v/>
      </c>
      <c r="EZ136" s="39">
        <f>IF(N('Dvd Calendar'!$Z$1336)=0,"",IF(('Dvd Calendar'!$Z$1336&gt;=GRID_FROM)*('Dvd Calendar'!$Z$1336&lt;=GRID_TO)*((('Dvd Calendar'!$Z$1336&lt;=VAL_DATE)+(COUNTIF('Dvd Calendar'!$E$1343:$AR$1343,'Dvd Calendar'!$Z$1336)=0))&gt;0)=0,"",'Dvd Calendar'!$Z$1336*1000000000+ISNUMBER('Dvd Calendar'!$Z$1339)*100000000+('Dvd Calendar'!$Z$1341=SPECIAL_LBL)*10000000+(N('Dvd Calendar'!$Z$1335)&gt;0)*(N('Dvd Calendar'!$Z$1335)&lt;=VAL_SERIAL)*1000000+21*1000+22))</f>
        <v/>
      </c>
      <c r="FA136" s="39">
        <f>IF(N('Dvd Calendar'!$AA$1336)=0,"",IF(('Dvd Calendar'!$AA$1336&gt;=GRID_FROM)*('Dvd Calendar'!$AA$1336&lt;=GRID_TO)*((('Dvd Calendar'!$AA$1336&lt;=VAL_DATE)+(COUNTIF('Dvd Calendar'!$E$1343:$AR$1343,'Dvd Calendar'!$AA$1336)=0))&gt;0)=0,"",'Dvd Calendar'!$AA$1336*1000000000+ISNUMBER('Dvd Calendar'!$AA$1339)*100000000+('Dvd Calendar'!$AA$1341=SPECIAL_LBL)*10000000+(N('Dvd Calendar'!$AA$1335)&gt;0)*(N('Dvd Calendar'!$AA$1335)&lt;=VAL_SERIAL)*1000000+21*1000+23))</f>
        <v/>
      </c>
      <c r="FB136" s="39">
        <f>IF(N('Dvd Calendar'!$AB$1336)=0,"",IF(('Dvd Calendar'!$AB$1336&gt;=GRID_FROM)*('Dvd Calendar'!$AB$1336&lt;=GRID_TO)*((('Dvd Calendar'!$AB$1336&lt;=VAL_DATE)+(COUNTIF('Dvd Calendar'!$E$1343:$AR$1343,'Dvd Calendar'!$AB$1336)=0))&gt;0)=0,"",'Dvd Calendar'!$AB$1336*1000000000+ISNUMBER('Dvd Calendar'!$AB$1339)*100000000+('Dvd Calendar'!$AB$1341=SPECIAL_LBL)*10000000+(N('Dvd Calendar'!$AB$1335)&gt;0)*(N('Dvd Calendar'!$AB$1335)&lt;=VAL_SERIAL)*1000000+21*1000+24))</f>
        <v/>
      </c>
      <c r="FC136" s="39">
        <f>IF(N('Dvd Calendar'!$AC$1336)=0,"",IF(('Dvd Calendar'!$AC$1336&gt;=GRID_FROM)*('Dvd Calendar'!$AC$1336&lt;=GRID_TO)*((('Dvd Calendar'!$AC$1336&lt;=VAL_DATE)+(COUNTIF('Dvd Calendar'!$E$1343:$AR$1343,'Dvd Calendar'!$AC$1336)=0))&gt;0)=0,"",'Dvd Calendar'!$AC$1336*1000000000+ISNUMBER('Dvd Calendar'!$AC$1339)*100000000+('Dvd Calendar'!$AC$1341=SPECIAL_LBL)*10000000+(N('Dvd Calendar'!$AC$1335)&gt;0)*(N('Dvd Calendar'!$AC$1335)&lt;=VAL_SERIAL)*1000000+21*1000+25))</f>
        <v/>
      </c>
      <c r="FD136" s="39">
        <f>IF(N('Dvd Calendar'!$AD$1336)=0,"",IF(('Dvd Calendar'!$AD$1336&gt;=GRID_FROM)*('Dvd Calendar'!$AD$1336&lt;=GRID_TO)*((('Dvd Calendar'!$AD$1336&lt;=VAL_DATE)+(COUNTIF('Dvd Calendar'!$E$1343:$AR$1343,'Dvd Calendar'!$AD$1336)=0))&gt;0)=0,"",'Dvd Calendar'!$AD$1336*1000000000+ISNUMBER('Dvd Calendar'!$AD$1339)*100000000+('Dvd Calendar'!$AD$1341=SPECIAL_LBL)*10000000+(N('Dvd Calendar'!$AD$1335)&gt;0)*(N('Dvd Calendar'!$AD$1335)&lt;=VAL_SERIAL)*1000000+21*1000+26))</f>
        <v/>
      </c>
      <c r="FE136" s="39">
        <f>IF(N('Dvd Calendar'!$AE$1336)=0,"",IF(('Dvd Calendar'!$AE$1336&gt;=GRID_FROM)*('Dvd Calendar'!$AE$1336&lt;=GRID_TO)*((('Dvd Calendar'!$AE$1336&lt;=VAL_DATE)+(COUNTIF('Dvd Calendar'!$E$1343:$AR$1343,'Dvd Calendar'!$AE$1336)=0))&gt;0)=0,"",'Dvd Calendar'!$AE$1336*1000000000+ISNUMBER('Dvd Calendar'!$AE$1339)*100000000+('Dvd Calendar'!$AE$1341=SPECIAL_LBL)*10000000+(N('Dvd Calendar'!$AE$1335)&gt;0)*(N('Dvd Calendar'!$AE$1335)&lt;=VAL_SERIAL)*1000000+21*1000+27))</f>
        <v/>
      </c>
      <c r="FF136" s="39">
        <f>IF(N('Dvd Calendar'!$AF$1336)=0,"",IF(('Dvd Calendar'!$AF$1336&gt;=GRID_FROM)*('Dvd Calendar'!$AF$1336&lt;=GRID_TO)*((('Dvd Calendar'!$AF$1336&lt;=VAL_DATE)+(COUNTIF('Dvd Calendar'!$E$1343:$AR$1343,'Dvd Calendar'!$AF$1336)=0))&gt;0)=0,"",'Dvd Calendar'!$AF$1336*1000000000+ISNUMBER('Dvd Calendar'!$AF$1339)*100000000+('Dvd Calendar'!$AF$1341=SPECIAL_LBL)*10000000+(N('Dvd Calendar'!$AF$1335)&gt;0)*(N('Dvd Calendar'!$AF$1335)&lt;=VAL_SERIAL)*1000000+21*1000+28))</f>
        <v/>
      </c>
      <c r="FG136" s="39">
        <f>IF(N('Dvd Calendar'!$AG$1336)=0,"",IF(('Dvd Calendar'!$AG$1336&gt;=GRID_FROM)*('Dvd Calendar'!$AG$1336&lt;=GRID_TO)*((('Dvd Calendar'!$AG$1336&lt;=VAL_DATE)+(COUNTIF('Dvd Calendar'!$E$1343:$AR$1343,'Dvd Calendar'!$AG$1336)=0))&gt;0)=0,"",'Dvd Calendar'!$AG$1336*1000000000+ISNUMBER('Dvd Calendar'!$AG$1339)*100000000+('Dvd Calendar'!$AG$1341=SPECIAL_LBL)*10000000+(N('Dvd Calendar'!$AG$1335)&gt;0)*(N('Dvd Calendar'!$AG$1335)&lt;=VAL_SERIAL)*1000000+21*1000+29))</f>
        <v/>
      </c>
      <c r="FH136" s="39">
        <f>IF(N('Dvd Calendar'!$AH$1336)=0,"",IF(('Dvd Calendar'!$AH$1336&gt;=GRID_FROM)*('Dvd Calendar'!$AH$1336&lt;=GRID_TO)*((('Dvd Calendar'!$AH$1336&lt;=VAL_DATE)+(COUNTIF('Dvd Calendar'!$E$1343:$AR$1343,'Dvd Calendar'!$AH$1336)=0))&gt;0)=0,"",'Dvd Calendar'!$AH$1336*1000000000+ISNUMBER('Dvd Calendar'!$AH$1339)*100000000+('Dvd Calendar'!$AH$1341=SPECIAL_LBL)*10000000+(N('Dvd Calendar'!$AH$1335)&gt;0)*(N('Dvd Calendar'!$AH$1335)&lt;=VAL_SERIAL)*1000000+21*1000+30))</f>
        <v/>
      </c>
      <c r="FI136" s="39">
        <f>IF(N('Dvd Calendar'!$AI$1336)=0,"",IF(('Dvd Calendar'!$AI$1336&gt;=GRID_FROM)*('Dvd Calendar'!$AI$1336&lt;=GRID_TO)*((('Dvd Calendar'!$AI$1336&lt;=VAL_DATE)+(COUNTIF('Dvd Calendar'!$E$1343:$AR$1343,'Dvd Calendar'!$AI$1336)=0))&gt;0)=0,"",'Dvd Calendar'!$AI$1336*1000000000+ISNUMBER('Dvd Calendar'!$AI$1339)*100000000+('Dvd Calendar'!$AI$1341=SPECIAL_LBL)*10000000+(N('Dvd Calendar'!$AI$1335)&gt;0)*(N('Dvd Calendar'!$AI$1335)&lt;=VAL_SERIAL)*1000000+21*1000+31))</f>
        <v/>
      </c>
      <c r="FJ136" s="39">
        <f>IF(N('Dvd Calendar'!$AJ$1336)=0,"",IF(('Dvd Calendar'!$AJ$1336&gt;=GRID_FROM)*('Dvd Calendar'!$AJ$1336&lt;=GRID_TO)*((('Dvd Calendar'!$AJ$1336&lt;=VAL_DATE)+(COUNTIF('Dvd Calendar'!$E$1343:$AR$1343,'Dvd Calendar'!$AJ$1336)=0))&gt;0)=0,"",'Dvd Calendar'!$AJ$1336*1000000000+ISNUMBER('Dvd Calendar'!$AJ$1339)*100000000+('Dvd Calendar'!$AJ$1341=SPECIAL_LBL)*10000000+(N('Dvd Calendar'!$AJ$1335)&gt;0)*(N('Dvd Calendar'!$AJ$1335)&lt;=VAL_SERIAL)*1000000+21*1000+32))</f>
        <v/>
      </c>
      <c r="FK136" s="39">
        <f>IF(N('Dvd Calendar'!$AK$1336)=0,"",IF(('Dvd Calendar'!$AK$1336&gt;=GRID_FROM)*('Dvd Calendar'!$AK$1336&lt;=GRID_TO)*((('Dvd Calendar'!$AK$1336&lt;=VAL_DATE)+(COUNTIF('Dvd Calendar'!$E$1343:$AR$1343,'Dvd Calendar'!$AK$1336)=0))&gt;0)=0,"",'Dvd Calendar'!$AK$1336*1000000000+ISNUMBER('Dvd Calendar'!$AK$1339)*100000000+('Dvd Calendar'!$AK$1341=SPECIAL_LBL)*10000000+(N('Dvd Calendar'!$AK$1335)&gt;0)*(N('Dvd Calendar'!$AK$1335)&lt;=VAL_SERIAL)*1000000+21*1000+33))</f>
        <v/>
      </c>
      <c r="FL136" s="39">
        <f>IF(N('Dvd Calendar'!$AL$1336)=0,"",IF(('Dvd Calendar'!$AL$1336&gt;=GRID_FROM)*('Dvd Calendar'!$AL$1336&lt;=GRID_TO)*((('Dvd Calendar'!$AL$1336&lt;=VAL_DATE)+(COUNTIF('Dvd Calendar'!$E$1343:$AR$1343,'Dvd Calendar'!$AL$1336)=0))&gt;0)=0,"",'Dvd Calendar'!$AL$1336*1000000000+ISNUMBER('Dvd Calendar'!$AL$1339)*100000000+('Dvd Calendar'!$AL$1341=SPECIAL_LBL)*10000000+(N('Dvd Calendar'!$AL$1335)&gt;0)*(N('Dvd Calendar'!$AL$1335)&lt;=VAL_SERIAL)*1000000+21*1000+34))</f>
        <v/>
      </c>
      <c r="FM136" s="39">
        <f>IF(N('Dvd Calendar'!$AM$1336)=0,"",IF(('Dvd Calendar'!$AM$1336&gt;=GRID_FROM)*('Dvd Calendar'!$AM$1336&lt;=GRID_TO)*((('Dvd Calendar'!$AM$1336&lt;=VAL_DATE)+(COUNTIF('Dvd Calendar'!$E$1343:$AR$1343,'Dvd Calendar'!$AM$1336)=0))&gt;0)=0,"",'Dvd Calendar'!$AM$1336*1000000000+ISNUMBER('Dvd Calendar'!$AM$1339)*100000000+('Dvd Calendar'!$AM$1341=SPECIAL_LBL)*10000000+(N('Dvd Calendar'!$AM$1335)&gt;0)*(N('Dvd Calendar'!$AM$1335)&lt;=VAL_SERIAL)*1000000+21*1000+35))</f>
        <v/>
      </c>
      <c r="FN136" s="39">
        <f>IF(N('Dvd Calendar'!$AN$1336)=0,"",IF(('Dvd Calendar'!$AN$1336&gt;=GRID_FROM)*('Dvd Calendar'!$AN$1336&lt;=GRID_TO)*((('Dvd Calendar'!$AN$1336&lt;=VAL_DATE)+(COUNTIF('Dvd Calendar'!$E$1343:$AR$1343,'Dvd Calendar'!$AN$1336)=0))&gt;0)=0,"",'Dvd Calendar'!$AN$1336*1000000000+ISNUMBER('Dvd Calendar'!$AN$1339)*100000000+('Dvd Calendar'!$AN$1341=SPECIAL_LBL)*10000000+(N('Dvd Calendar'!$AN$1335)&gt;0)*(N('Dvd Calendar'!$AN$1335)&lt;=VAL_SERIAL)*1000000+21*1000+36))</f>
        <v/>
      </c>
      <c r="FO136" s="39">
        <f>IF(N('Dvd Calendar'!$AO$1336)=0,"",IF(('Dvd Calendar'!$AO$1336&gt;=GRID_FROM)*('Dvd Calendar'!$AO$1336&lt;=GRID_TO)*((('Dvd Calendar'!$AO$1336&lt;=VAL_DATE)+(COUNTIF('Dvd Calendar'!$E$1343:$AR$1343,'Dvd Calendar'!$AO$1336)=0))&gt;0)=0,"",'Dvd Calendar'!$AO$1336*1000000000+ISNUMBER('Dvd Calendar'!$AO$1339)*100000000+('Dvd Calendar'!$AO$1341=SPECIAL_LBL)*10000000+(N('Dvd Calendar'!$AO$1335)&gt;0)*(N('Dvd Calendar'!$AO$1335)&lt;=VAL_SERIAL)*1000000+21*1000+37))</f>
        <v/>
      </c>
      <c r="FP136" s="39">
        <f>IF(N('Dvd Calendar'!$AP$1336)=0,"",IF(('Dvd Calendar'!$AP$1336&gt;=GRID_FROM)*('Dvd Calendar'!$AP$1336&lt;=GRID_TO)*((('Dvd Calendar'!$AP$1336&lt;=VAL_DATE)+(COUNTIF('Dvd Calendar'!$E$1343:$AR$1343,'Dvd Calendar'!$AP$1336)=0))&gt;0)=0,"",'Dvd Calendar'!$AP$1336*1000000000+ISNUMBER('Dvd Calendar'!$AP$1339)*100000000+('Dvd Calendar'!$AP$1341=SPECIAL_LBL)*10000000+(N('Dvd Calendar'!$AP$1335)&gt;0)*(N('Dvd Calendar'!$AP$1335)&lt;=VAL_SERIAL)*1000000+21*1000+38))</f>
        <v/>
      </c>
      <c r="FQ136" s="39">
        <f>IF(N('Dvd Calendar'!$AQ$1336)=0,"",IF(('Dvd Calendar'!$AQ$1336&gt;=GRID_FROM)*('Dvd Calendar'!$AQ$1336&lt;=GRID_TO)*((('Dvd Calendar'!$AQ$1336&lt;=VAL_DATE)+(COUNTIF('Dvd Calendar'!$E$1343:$AR$1343,'Dvd Calendar'!$AQ$1336)=0))&gt;0)=0,"",'Dvd Calendar'!$AQ$1336*1000000000+ISNUMBER('Dvd Calendar'!$AQ$1339)*100000000+('Dvd Calendar'!$AQ$1341=SPECIAL_LBL)*10000000+(N('Dvd Calendar'!$AQ$1335)&gt;0)*(N('Dvd Calendar'!$AQ$1335)&lt;=VAL_SERIAL)*1000000+21*1000+39))</f>
        <v/>
      </c>
      <c r="FR136" s="39">
        <f>IF(N('Dvd Calendar'!$AR$1336)=0,"",IF(('Dvd Calendar'!$AR$1336&gt;=GRID_FROM)*('Dvd Calendar'!$AR$1336&lt;=GRID_TO)*((('Dvd Calendar'!$AR$1336&lt;=VAL_DATE)+(COUNTIF('Dvd Calendar'!$E$1343:$AR$1343,'Dvd Calendar'!$AR$1336)=0))&gt;0)=0,"",'Dvd Calendar'!$AR$1336*1000000000+ISNUMBER('Dvd Calendar'!$AR$1339)*100000000+('Dvd Calendar'!$AR$1341=SPECIAL_LBL)*10000000+(N('Dvd Calendar'!$AR$1335)&gt;0)*(N('Dvd Calendar'!$AR$1335)&lt;=VAL_SERIAL)*1000000+21*1000+40))</f>
        <v/>
      </c>
      <c r="FS136" s="39">
        <f>IF(N('Dvd Calendar'!$E$1343)=0,"",IF(('Dvd Calendar'!$E$1343&gt;=GRID_FROM)*('Dvd Calendar'!$E$1343&lt;=GRID_TO)*('Dvd Calendar'!$E$1343&gt;VAL_DATE)=0,"",'Dvd Calendar'!$E$1343*1000000000+ISNUMBER('Dvd Calendar'!$E$1344)*100000000+0*10000000+(N('Dvd Calendar'!$E$1342)&gt;0)*(N('Dvd Calendar'!$E$1342)&lt;=VAL_SERIAL)*1000000+21*1000+41))</f>
        <v/>
      </c>
      <c r="FT136" s="39">
        <f>IF(N('Dvd Calendar'!$F$1343)=0,"",IF(('Dvd Calendar'!$F$1343&gt;=GRID_FROM)*('Dvd Calendar'!$F$1343&lt;=GRID_TO)*('Dvd Calendar'!$F$1343&gt;VAL_DATE)=0,"",'Dvd Calendar'!$F$1343*1000000000+ISNUMBER('Dvd Calendar'!$F$1344)*100000000+0*10000000+(N('Dvd Calendar'!$F$1342)&gt;0)*(N('Dvd Calendar'!$F$1342)&lt;=VAL_SERIAL)*1000000+21*1000+42))</f>
        <v/>
      </c>
      <c r="FU136" s="39">
        <f>IF(N('Dvd Calendar'!$G$1343)=0,"",IF(('Dvd Calendar'!$G$1343&gt;=GRID_FROM)*('Dvd Calendar'!$G$1343&lt;=GRID_TO)*('Dvd Calendar'!$G$1343&gt;VAL_DATE)=0,"",'Dvd Calendar'!$G$1343*1000000000+ISNUMBER('Dvd Calendar'!$G$1344)*100000000+0*10000000+(N('Dvd Calendar'!$G$1342)&gt;0)*(N('Dvd Calendar'!$G$1342)&lt;=VAL_SERIAL)*1000000+21*1000+43))</f>
        <v/>
      </c>
      <c r="FV136" s="39">
        <f>IF(N('Dvd Calendar'!$H$1343)=0,"",IF(('Dvd Calendar'!$H$1343&gt;=GRID_FROM)*('Dvd Calendar'!$H$1343&lt;=GRID_TO)*('Dvd Calendar'!$H$1343&gt;VAL_DATE)=0,"",'Dvd Calendar'!$H$1343*1000000000+ISNUMBER('Dvd Calendar'!$H$1344)*100000000+0*10000000+(N('Dvd Calendar'!$H$1342)&gt;0)*(N('Dvd Calendar'!$H$1342)&lt;=VAL_SERIAL)*1000000+21*1000+44))</f>
        <v/>
      </c>
      <c r="FW136" s="39">
        <f>IF(N('Dvd Calendar'!$I$1343)=0,"",IF(('Dvd Calendar'!$I$1343&gt;=GRID_FROM)*('Dvd Calendar'!$I$1343&lt;=GRID_TO)*('Dvd Calendar'!$I$1343&gt;VAL_DATE)=0,"",'Dvd Calendar'!$I$1343*1000000000+ISNUMBER('Dvd Calendar'!$I$1344)*100000000+0*10000000+(N('Dvd Calendar'!$I$1342)&gt;0)*(N('Dvd Calendar'!$I$1342)&lt;=VAL_SERIAL)*1000000+21*1000+45))</f>
        <v/>
      </c>
      <c r="FX136" s="39">
        <f>IF(N('Dvd Calendar'!$J$1343)=0,"",IF(('Dvd Calendar'!$J$1343&gt;=GRID_FROM)*('Dvd Calendar'!$J$1343&lt;=GRID_TO)*('Dvd Calendar'!$J$1343&gt;VAL_DATE)=0,"",'Dvd Calendar'!$J$1343*1000000000+ISNUMBER('Dvd Calendar'!$J$1344)*100000000+0*10000000+(N('Dvd Calendar'!$J$1342)&gt;0)*(N('Dvd Calendar'!$J$1342)&lt;=VAL_SERIAL)*1000000+21*1000+46))</f>
        <v/>
      </c>
      <c r="FY136" s="39">
        <f>IF(N('Dvd Calendar'!$K$1343)=0,"",IF(('Dvd Calendar'!$K$1343&gt;=GRID_FROM)*('Dvd Calendar'!$K$1343&lt;=GRID_TO)*('Dvd Calendar'!$K$1343&gt;VAL_DATE)=0,"",'Dvd Calendar'!$K$1343*1000000000+ISNUMBER('Dvd Calendar'!$K$1344)*100000000+0*10000000+(N('Dvd Calendar'!$K$1342)&gt;0)*(N('Dvd Calendar'!$K$1342)&lt;=VAL_SERIAL)*1000000+21*1000+47))</f>
        <v/>
      </c>
      <c r="FZ136" s="39">
        <f>IF(N('Dvd Calendar'!$L$1343)=0,"",IF(('Dvd Calendar'!$L$1343&gt;=GRID_FROM)*('Dvd Calendar'!$L$1343&lt;=GRID_TO)*('Dvd Calendar'!$L$1343&gt;VAL_DATE)=0,"",'Dvd Calendar'!$L$1343*1000000000+ISNUMBER('Dvd Calendar'!$L$1344)*100000000+0*10000000+(N('Dvd Calendar'!$L$1342)&gt;0)*(N('Dvd Calendar'!$L$1342)&lt;=VAL_SERIAL)*1000000+21*1000+48))</f>
        <v/>
      </c>
      <c r="GA136" s="39">
        <f>IF(N('Dvd Calendar'!$M$1343)=0,"",IF(('Dvd Calendar'!$M$1343&gt;=GRID_FROM)*('Dvd Calendar'!$M$1343&lt;=GRID_TO)*('Dvd Calendar'!$M$1343&gt;VAL_DATE)=0,"",'Dvd Calendar'!$M$1343*1000000000+ISNUMBER('Dvd Calendar'!$M$1344)*100000000+0*10000000+(N('Dvd Calendar'!$M$1342)&gt;0)*(N('Dvd Calendar'!$M$1342)&lt;=VAL_SERIAL)*1000000+21*1000+49))</f>
        <v/>
      </c>
      <c r="GB136" s="39">
        <f>IF(N('Dvd Calendar'!$N$1343)=0,"",IF(('Dvd Calendar'!$N$1343&gt;=GRID_FROM)*('Dvd Calendar'!$N$1343&lt;=GRID_TO)*('Dvd Calendar'!$N$1343&gt;VAL_DATE)=0,"",'Dvd Calendar'!$N$1343*1000000000+ISNUMBER('Dvd Calendar'!$N$1344)*100000000+0*10000000+(N('Dvd Calendar'!$N$1342)&gt;0)*(N('Dvd Calendar'!$N$1342)&lt;=VAL_SERIAL)*1000000+21*1000+50))</f>
        <v/>
      </c>
      <c r="GC136" s="39">
        <f>IF(N('Dvd Calendar'!$O$1343)=0,"",IF(('Dvd Calendar'!$O$1343&gt;=GRID_FROM)*('Dvd Calendar'!$O$1343&lt;=GRID_TO)*('Dvd Calendar'!$O$1343&gt;VAL_DATE)=0,"",'Dvd Calendar'!$O$1343*1000000000+ISNUMBER('Dvd Calendar'!$O$1344)*100000000+0*10000000+(N('Dvd Calendar'!$O$1342)&gt;0)*(N('Dvd Calendar'!$O$1342)&lt;=VAL_SERIAL)*1000000+21*1000+51))</f>
        <v/>
      </c>
      <c r="GD136" s="39">
        <f>IF(N('Dvd Calendar'!$P$1343)=0,"",IF(('Dvd Calendar'!$P$1343&gt;=GRID_FROM)*('Dvd Calendar'!$P$1343&lt;=GRID_TO)*('Dvd Calendar'!$P$1343&gt;VAL_DATE)=0,"",'Dvd Calendar'!$P$1343*1000000000+ISNUMBER('Dvd Calendar'!$P$1344)*100000000+0*10000000+(N('Dvd Calendar'!$P$1342)&gt;0)*(N('Dvd Calendar'!$P$1342)&lt;=VAL_SERIAL)*1000000+21*1000+52))</f>
        <v/>
      </c>
      <c r="GE136" s="39">
        <f>IF(N('Dvd Calendar'!$Q$1343)=0,"",IF(('Dvd Calendar'!$Q$1343&gt;=GRID_FROM)*('Dvd Calendar'!$Q$1343&lt;=GRID_TO)*('Dvd Calendar'!$Q$1343&gt;VAL_DATE)=0,"",'Dvd Calendar'!$Q$1343*1000000000+ISNUMBER('Dvd Calendar'!$Q$1344)*100000000+0*10000000+(N('Dvd Calendar'!$Q$1342)&gt;0)*(N('Dvd Calendar'!$Q$1342)&lt;=VAL_SERIAL)*1000000+21*1000+53))</f>
        <v/>
      </c>
      <c r="GF136" s="39">
        <f>IF(N('Dvd Calendar'!$R$1343)=0,"",IF(('Dvd Calendar'!$R$1343&gt;=GRID_FROM)*('Dvd Calendar'!$R$1343&lt;=GRID_TO)*('Dvd Calendar'!$R$1343&gt;VAL_DATE)=0,"",'Dvd Calendar'!$R$1343*1000000000+ISNUMBER('Dvd Calendar'!$R$1344)*100000000+0*10000000+(N('Dvd Calendar'!$R$1342)&gt;0)*(N('Dvd Calendar'!$R$1342)&lt;=VAL_SERIAL)*1000000+21*1000+54))</f>
        <v/>
      </c>
      <c r="GG136" s="39">
        <f>IF(N('Dvd Calendar'!$S$1343)=0,"",IF(('Dvd Calendar'!$S$1343&gt;=GRID_FROM)*('Dvd Calendar'!$S$1343&lt;=GRID_TO)*('Dvd Calendar'!$S$1343&gt;VAL_DATE)=0,"",'Dvd Calendar'!$S$1343*1000000000+ISNUMBER('Dvd Calendar'!$S$1344)*100000000+0*10000000+(N('Dvd Calendar'!$S$1342)&gt;0)*(N('Dvd Calendar'!$S$1342)&lt;=VAL_SERIAL)*1000000+21*1000+55))</f>
        <v/>
      </c>
      <c r="GH136" s="39">
        <f>IF(N('Dvd Calendar'!$T$1343)=0,"",IF(('Dvd Calendar'!$T$1343&gt;=GRID_FROM)*('Dvd Calendar'!$T$1343&lt;=GRID_TO)*('Dvd Calendar'!$T$1343&gt;VAL_DATE)=0,"",'Dvd Calendar'!$T$1343*1000000000+ISNUMBER('Dvd Calendar'!$T$1344)*100000000+0*10000000+(N('Dvd Calendar'!$T$1342)&gt;0)*(N('Dvd Calendar'!$T$1342)&lt;=VAL_SERIAL)*1000000+21*1000+56))</f>
        <v/>
      </c>
      <c r="GI136" s="39">
        <f>IF(N('Dvd Calendar'!$U$1343)=0,"",IF(('Dvd Calendar'!$U$1343&gt;=GRID_FROM)*('Dvd Calendar'!$U$1343&lt;=GRID_TO)*('Dvd Calendar'!$U$1343&gt;VAL_DATE)=0,"",'Dvd Calendar'!$U$1343*1000000000+ISNUMBER('Dvd Calendar'!$U$1344)*100000000+0*10000000+(N('Dvd Calendar'!$U$1342)&gt;0)*(N('Dvd Calendar'!$U$1342)&lt;=VAL_SERIAL)*1000000+21*1000+57))</f>
        <v/>
      </c>
      <c r="GJ136" s="39">
        <f>IF(N('Dvd Calendar'!$V$1343)=0,"",IF(('Dvd Calendar'!$V$1343&gt;=GRID_FROM)*('Dvd Calendar'!$V$1343&lt;=GRID_TO)*('Dvd Calendar'!$V$1343&gt;VAL_DATE)=0,"",'Dvd Calendar'!$V$1343*1000000000+ISNUMBER('Dvd Calendar'!$V$1344)*100000000+0*10000000+(N('Dvd Calendar'!$V$1342)&gt;0)*(N('Dvd Calendar'!$V$1342)&lt;=VAL_SERIAL)*1000000+21*1000+58))</f>
        <v/>
      </c>
      <c r="GK136" s="39">
        <f>IF(N('Dvd Calendar'!$W$1343)=0,"",IF(('Dvd Calendar'!$W$1343&gt;=GRID_FROM)*('Dvd Calendar'!$W$1343&lt;=GRID_TO)*('Dvd Calendar'!$W$1343&gt;VAL_DATE)=0,"",'Dvd Calendar'!$W$1343*1000000000+ISNUMBER('Dvd Calendar'!$W$1344)*100000000+0*10000000+(N('Dvd Calendar'!$W$1342)&gt;0)*(N('Dvd Calendar'!$W$1342)&lt;=VAL_SERIAL)*1000000+21*1000+59))</f>
        <v/>
      </c>
      <c r="GL136" s="39">
        <f>IF(N('Dvd Calendar'!$X$1343)=0,"",IF(('Dvd Calendar'!$X$1343&gt;=GRID_FROM)*('Dvd Calendar'!$X$1343&lt;=GRID_TO)*('Dvd Calendar'!$X$1343&gt;VAL_DATE)=0,"",'Dvd Calendar'!$X$1343*1000000000+ISNUMBER('Dvd Calendar'!$X$1344)*100000000+0*10000000+(N('Dvd Calendar'!$X$1342)&gt;0)*(N('Dvd Calendar'!$X$1342)&lt;=VAL_SERIAL)*1000000+21*1000+60))</f>
        <v/>
      </c>
      <c r="GM136" s="39">
        <f>IF(N('Dvd Calendar'!$Y$1343)=0,"",IF(('Dvd Calendar'!$Y$1343&gt;=GRID_FROM)*('Dvd Calendar'!$Y$1343&lt;=GRID_TO)*('Dvd Calendar'!$Y$1343&gt;VAL_DATE)=0,"",'Dvd Calendar'!$Y$1343*1000000000+ISNUMBER('Dvd Calendar'!$Y$1344)*100000000+0*10000000+(N('Dvd Calendar'!$Y$1342)&gt;0)*(N('Dvd Calendar'!$Y$1342)&lt;=VAL_SERIAL)*1000000+21*1000+61))</f>
        <v/>
      </c>
      <c r="GN136" s="39">
        <f>IF(N('Dvd Calendar'!$Z$1343)=0,"",IF(('Dvd Calendar'!$Z$1343&gt;=GRID_FROM)*('Dvd Calendar'!$Z$1343&lt;=GRID_TO)*('Dvd Calendar'!$Z$1343&gt;VAL_DATE)=0,"",'Dvd Calendar'!$Z$1343*1000000000+ISNUMBER('Dvd Calendar'!$Z$1344)*100000000+0*10000000+(N('Dvd Calendar'!$Z$1342)&gt;0)*(N('Dvd Calendar'!$Z$1342)&lt;=VAL_SERIAL)*1000000+21*1000+62))</f>
        <v/>
      </c>
      <c r="GO136" s="39">
        <f>IF(N('Dvd Calendar'!$AA$1343)=0,"",IF(('Dvd Calendar'!$AA$1343&gt;=GRID_FROM)*('Dvd Calendar'!$AA$1343&lt;=GRID_TO)*('Dvd Calendar'!$AA$1343&gt;VAL_DATE)=0,"",'Dvd Calendar'!$AA$1343*1000000000+ISNUMBER('Dvd Calendar'!$AA$1344)*100000000+0*10000000+(N('Dvd Calendar'!$AA$1342)&gt;0)*(N('Dvd Calendar'!$AA$1342)&lt;=VAL_SERIAL)*1000000+21*1000+63))</f>
        <v/>
      </c>
      <c r="GP136" s="39">
        <f>IF(N('Dvd Calendar'!$AB$1343)=0,"",IF(('Dvd Calendar'!$AB$1343&gt;=GRID_FROM)*('Dvd Calendar'!$AB$1343&lt;=GRID_TO)*('Dvd Calendar'!$AB$1343&gt;VAL_DATE)=0,"",'Dvd Calendar'!$AB$1343*1000000000+ISNUMBER('Dvd Calendar'!$AB$1344)*100000000+0*10000000+(N('Dvd Calendar'!$AB$1342)&gt;0)*(N('Dvd Calendar'!$AB$1342)&lt;=VAL_SERIAL)*1000000+21*1000+64))</f>
        <v/>
      </c>
      <c r="GQ136" s="39">
        <f>IF(N('Dvd Calendar'!$AC$1343)=0,"",IF(('Dvd Calendar'!$AC$1343&gt;=GRID_FROM)*('Dvd Calendar'!$AC$1343&lt;=GRID_TO)*('Dvd Calendar'!$AC$1343&gt;VAL_DATE)=0,"",'Dvd Calendar'!$AC$1343*1000000000+ISNUMBER('Dvd Calendar'!$AC$1344)*100000000+0*10000000+(N('Dvd Calendar'!$AC$1342)&gt;0)*(N('Dvd Calendar'!$AC$1342)&lt;=VAL_SERIAL)*1000000+21*1000+65))</f>
        <v/>
      </c>
    </row>
    <row r="137">
      <c r="B137" s="2">
        <f>IF(HSTECH!$C$28="","",HSTECH!$C$28)</f>
        <v/>
      </c>
      <c r="C137" s="110">
        <f>IF(EE137="","",IF(ISNUMBER('Dvd Calendar'!$E$1350)=FALSE,"",IF((('Dvd Calendar'!$E$1352=TYPE1)*(TYPE1&lt;&gt;"")+('Dvd Calendar'!$E$1352=TYPE2)*(TYPE2&lt;&gt;"")+('Dvd Calendar'!$E$1352=TYPE3)*(TYPE3&lt;&gt;"")+('Dvd Calendar'!$E$1352=TYPE4)*(TYPE4&lt;&gt;"")+('Dvd Calendar'!$E$1352=SPECIAL_LBL)*(INC_SPECIALS="Y"))=0,"",'Dvd Calendar'!$E$1350)))</f>
        <v/>
      </c>
      <c r="D137" s="110">
        <f>IF(EF137="","",IF(ISNUMBER('Dvd Calendar'!$F$1350)=FALSE,"",IF((('Dvd Calendar'!$F$1352=TYPE1)*(TYPE1&lt;&gt;"")+('Dvd Calendar'!$F$1352=TYPE2)*(TYPE2&lt;&gt;"")+('Dvd Calendar'!$F$1352=TYPE3)*(TYPE3&lt;&gt;"")+('Dvd Calendar'!$F$1352=TYPE4)*(TYPE4&lt;&gt;"")+('Dvd Calendar'!$F$1352=SPECIAL_LBL)*(INC_SPECIALS="Y"))=0,"",'Dvd Calendar'!$F$1350)))</f>
        <v/>
      </c>
      <c r="E137" s="110">
        <f>IF(EG137="","",IF(ISNUMBER('Dvd Calendar'!$G$1350)=FALSE,"",IF((('Dvd Calendar'!$G$1352=TYPE1)*(TYPE1&lt;&gt;"")+('Dvd Calendar'!$G$1352=TYPE2)*(TYPE2&lt;&gt;"")+('Dvd Calendar'!$G$1352=TYPE3)*(TYPE3&lt;&gt;"")+('Dvd Calendar'!$G$1352=TYPE4)*(TYPE4&lt;&gt;"")+('Dvd Calendar'!$G$1352=SPECIAL_LBL)*(INC_SPECIALS="Y"))=0,"",'Dvd Calendar'!$G$1350)))</f>
        <v/>
      </c>
      <c r="F137" s="110">
        <f>IF(EH137="","",IF(ISNUMBER('Dvd Calendar'!$H$1350)=FALSE,"",IF((('Dvd Calendar'!$H$1352=TYPE1)*(TYPE1&lt;&gt;"")+('Dvd Calendar'!$H$1352=TYPE2)*(TYPE2&lt;&gt;"")+('Dvd Calendar'!$H$1352=TYPE3)*(TYPE3&lt;&gt;"")+('Dvd Calendar'!$H$1352=TYPE4)*(TYPE4&lt;&gt;"")+('Dvd Calendar'!$H$1352=SPECIAL_LBL)*(INC_SPECIALS="Y"))=0,"",'Dvd Calendar'!$H$1350)))</f>
        <v/>
      </c>
      <c r="G137" s="110">
        <f>IF(EI137="","",IF(ISNUMBER('Dvd Calendar'!$I$1350)=FALSE,"",IF((('Dvd Calendar'!$I$1352=TYPE1)*(TYPE1&lt;&gt;"")+('Dvd Calendar'!$I$1352=TYPE2)*(TYPE2&lt;&gt;"")+('Dvd Calendar'!$I$1352=TYPE3)*(TYPE3&lt;&gt;"")+('Dvd Calendar'!$I$1352=TYPE4)*(TYPE4&lt;&gt;"")+('Dvd Calendar'!$I$1352=SPECIAL_LBL)*(INC_SPECIALS="Y"))=0,"",'Dvd Calendar'!$I$1350)))</f>
        <v/>
      </c>
      <c r="H137" s="110">
        <f>IF(EJ137="","",IF(ISNUMBER('Dvd Calendar'!$J$1350)=FALSE,"",IF((('Dvd Calendar'!$J$1352=TYPE1)*(TYPE1&lt;&gt;"")+('Dvd Calendar'!$J$1352=TYPE2)*(TYPE2&lt;&gt;"")+('Dvd Calendar'!$J$1352=TYPE3)*(TYPE3&lt;&gt;"")+('Dvd Calendar'!$J$1352=TYPE4)*(TYPE4&lt;&gt;"")+('Dvd Calendar'!$J$1352=SPECIAL_LBL)*(INC_SPECIALS="Y"))=0,"",'Dvd Calendar'!$J$1350)))</f>
        <v/>
      </c>
      <c r="I137" s="110">
        <f>IF(EK137="","",IF(ISNUMBER('Dvd Calendar'!$K$1350)=FALSE,"",IF((('Dvd Calendar'!$K$1352=TYPE1)*(TYPE1&lt;&gt;"")+('Dvd Calendar'!$K$1352=TYPE2)*(TYPE2&lt;&gt;"")+('Dvd Calendar'!$K$1352=TYPE3)*(TYPE3&lt;&gt;"")+('Dvd Calendar'!$K$1352=TYPE4)*(TYPE4&lt;&gt;"")+('Dvd Calendar'!$K$1352=SPECIAL_LBL)*(INC_SPECIALS="Y"))=0,"",'Dvd Calendar'!$K$1350)))</f>
        <v/>
      </c>
      <c r="J137" s="110">
        <f>IF(EL137="","",IF(ISNUMBER('Dvd Calendar'!$L$1350)=FALSE,"",IF((('Dvd Calendar'!$L$1352=TYPE1)*(TYPE1&lt;&gt;"")+('Dvd Calendar'!$L$1352=TYPE2)*(TYPE2&lt;&gt;"")+('Dvd Calendar'!$L$1352=TYPE3)*(TYPE3&lt;&gt;"")+('Dvd Calendar'!$L$1352=TYPE4)*(TYPE4&lt;&gt;"")+('Dvd Calendar'!$L$1352=SPECIAL_LBL)*(INC_SPECIALS="Y"))=0,"",'Dvd Calendar'!$L$1350)))</f>
        <v/>
      </c>
      <c r="K137" s="110">
        <f>IF(EM137="","",IF(ISNUMBER('Dvd Calendar'!$M$1350)=FALSE,"",IF((('Dvd Calendar'!$M$1352=TYPE1)*(TYPE1&lt;&gt;"")+('Dvd Calendar'!$M$1352=TYPE2)*(TYPE2&lt;&gt;"")+('Dvd Calendar'!$M$1352=TYPE3)*(TYPE3&lt;&gt;"")+('Dvd Calendar'!$M$1352=TYPE4)*(TYPE4&lt;&gt;"")+('Dvd Calendar'!$M$1352=SPECIAL_LBL)*(INC_SPECIALS="Y"))=0,"",'Dvd Calendar'!$M$1350)))</f>
        <v/>
      </c>
      <c r="L137" s="110">
        <f>IF(EN137="","",IF(ISNUMBER('Dvd Calendar'!$N$1350)=FALSE,"",IF((('Dvd Calendar'!$N$1352=TYPE1)*(TYPE1&lt;&gt;"")+('Dvd Calendar'!$N$1352=TYPE2)*(TYPE2&lt;&gt;"")+('Dvd Calendar'!$N$1352=TYPE3)*(TYPE3&lt;&gt;"")+('Dvd Calendar'!$N$1352=TYPE4)*(TYPE4&lt;&gt;"")+('Dvd Calendar'!$N$1352=SPECIAL_LBL)*(INC_SPECIALS="Y"))=0,"",'Dvd Calendar'!$N$1350)))</f>
        <v/>
      </c>
      <c r="M137" s="110">
        <f>IF(EO137="","",IF(ISNUMBER('Dvd Calendar'!$O$1350)=FALSE,"",IF((('Dvd Calendar'!$O$1352=TYPE1)*(TYPE1&lt;&gt;"")+('Dvd Calendar'!$O$1352=TYPE2)*(TYPE2&lt;&gt;"")+('Dvd Calendar'!$O$1352=TYPE3)*(TYPE3&lt;&gt;"")+('Dvd Calendar'!$O$1352=TYPE4)*(TYPE4&lt;&gt;"")+('Dvd Calendar'!$O$1352=SPECIAL_LBL)*(INC_SPECIALS="Y"))=0,"",'Dvd Calendar'!$O$1350)))</f>
        <v/>
      </c>
      <c r="N137" s="110">
        <f>IF(EP137="","",IF(ISNUMBER('Dvd Calendar'!$P$1350)=FALSE,"",IF((('Dvd Calendar'!$P$1352=TYPE1)*(TYPE1&lt;&gt;"")+('Dvd Calendar'!$P$1352=TYPE2)*(TYPE2&lt;&gt;"")+('Dvd Calendar'!$P$1352=TYPE3)*(TYPE3&lt;&gt;"")+('Dvd Calendar'!$P$1352=TYPE4)*(TYPE4&lt;&gt;"")+('Dvd Calendar'!$P$1352=SPECIAL_LBL)*(INC_SPECIALS="Y"))=0,"",'Dvd Calendar'!$P$1350)))</f>
        <v/>
      </c>
      <c r="O137" s="110">
        <f>IF(EQ137="","",IF(ISNUMBER('Dvd Calendar'!$Q$1350)=FALSE,"",IF((('Dvd Calendar'!$Q$1352=TYPE1)*(TYPE1&lt;&gt;"")+('Dvd Calendar'!$Q$1352=TYPE2)*(TYPE2&lt;&gt;"")+('Dvd Calendar'!$Q$1352=TYPE3)*(TYPE3&lt;&gt;"")+('Dvd Calendar'!$Q$1352=TYPE4)*(TYPE4&lt;&gt;"")+('Dvd Calendar'!$Q$1352=SPECIAL_LBL)*(INC_SPECIALS="Y"))=0,"",'Dvd Calendar'!$Q$1350)))</f>
        <v/>
      </c>
      <c r="P137" s="110">
        <f>IF(ER137="","",IF(ISNUMBER('Dvd Calendar'!$R$1350)=FALSE,"",IF((('Dvd Calendar'!$R$1352=TYPE1)*(TYPE1&lt;&gt;"")+('Dvd Calendar'!$R$1352=TYPE2)*(TYPE2&lt;&gt;"")+('Dvd Calendar'!$R$1352=TYPE3)*(TYPE3&lt;&gt;"")+('Dvd Calendar'!$R$1352=TYPE4)*(TYPE4&lt;&gt;"")+('Dvd Calendar'!$R$1352=SPECIAL_LBL)*(INC_SPECIALS="Y"))=0,"",'Dvd Calendar'!$R$1350)))</f>
        <v/>
      </c>
      <c r="Q137" s="110">
        <f>IF(ES137="","",IF(ISNUMBER('Dvd Calendar'!$S$1350)=FALSE,"",IF((('Dvd Calendar'!$S$1352=TYPE1)*(TYPE1&lt;&gt;"")+('Dvd Calendar'!$S$1352=TYPE2)*(TYPE2&lt;&gt;"")+('Dvd Calendar'!$S$1352=TYPE3)*(TYPE3&lt;&gt;"")+('Dvd Calendar'!$S$1352=TYPE4)*(TYPE4&lt;&gt;"")+('Dvd Calendar'!$S$1352=SPECIAL_LBL)*(INC_SPECIALS="Y"))=0,"",'Dvd Calendar'!$S$1350)))</f>
        <v/>
      </c>
      <c r="R137" s="110">
        <f>IF(ET137="","",IF(ISNUMBER('Dvd Calendar'!$T$1350)=FALSE,"",IF((('Dvd Calendar'!$T$1352=TYPE1)*(TYPE1&lt;&gt;"")+('Dvd Calendar'!$T$1352=TYPE2)*(TYPE2&lt;&gt;"")+('Dvd Calendar'!$T$1352=TYPE3)*(TYPE3&lt;&gt;"")+('Dvd Calendar'!$T$1352=TYPE4)*(TYPE4&lt;&gt;"")+('Dvd Calendar'!$T$1352=SPECIAL_LBL)*(INC_SPECIALS="Y"))=0,"",'Dvd Calendar'!$T$1350)))</f>
        <v/>
      </c>
      <c r="S137" s="110">
        <f>IF(EU137="","",IF(ISNUMBER('Dvd Calendar'!$U$1350)=FALSE,"",IF((('Dvd Calendar'!$U$1352=TYPE1)*(TYPE1&lt;&gt;"")+('Dvd Calendar'!$U$1352=TYPE2)*(TYPE2&lt;&gt;"")+('Dvd Calendar'!$U$1352=TYPE3)*(TYPE3&lt;&gt;"")+('Dvd Calendar'!$U$1352=TYPE4)*(TYPE4&lt;&gt;"")+('Dvd Calendar'!$U$1352=SPECIAL_LBL)*(INC_SPECIALS="Y"))=0,"",'Dvd Calendar'!$U$1350)))</f>
        <v/>
      </c>
      <c r="T137" s="110">
        <f>IF(EV137="","",IF(ISNUMBER('Dvd Calendar'!$V$1350)=FALSE,"",IF((('Dvd Calendar'!$V$1352=TYPE1)*(TYPE1&lt;&gt;"")+('Dvd Calendar'!$V$1352=TYPE2)*(TYPE2&lt;&gt;"")+('Dvd Calendar'!$V$1352=TYPE3)*(TYPE3&lt;&gt;"")+('Dvd Calendar'!$V$1352=TYPE4)*(TYPE4&lt;&gt;"")+('Dvd Calendar'!$V$1352=SPECIAL_LBL)*(INC_SPECIALS="Y"))=0,"",'Dvd Calendar'!$V$1350)))</f>
        <v/>
      </c>
      <c r="U137" s="110">
        <f>IF(EW137="","",IF(ISNUMBER('Dvd Calendar'!$W$1350)=FALSE,"",IF((('Dvd Calendar'!$W$1352=TYPE1)*(TYPE1&lt;&gt;"")+('Dvd Calendar'!$W$1352=TYPE2)*(TYPE2&lt;&gt;"")+('Dvd Calendar'!$W$1352=TYPE3)*(TYPE3&lt;&gt;"")+('Dvd Calendar'!$W$1352=TYPE4)*(TYPE4&lt;&gt;"")+('Dvd Calendar'!$W$1352=SPECIAL_LBL)*(INC_SPECIALS="Y"))=0,"",'Dvd Calendar'!$W$1350)))</f>
        <v/>
      </c>
      <c r="V137" s="110">
        <f>IF(EX137="","",IF(ISNUMBER('Dvd Calendar'!$X$1350)=FALSE,"",IF((('Dvd Calendar'!$X$1352=TYPE1)*(TYPE1&lt;&gt;"")+('Dvd Calendar'!$X$1352=TYPE2)*(TYPE2&lt;&gt;"")+('Dvd Calendar'!$X$1352=TYPE3)*(TYPE3&lt;&gt;"")+('Dvd Calendar'!$X$1352=TYPE4)*(TYPE4&lt;&gt;"")+('Dvd Calendar'!$X$1352=SPECIAL_LBL)*(INC_SPECIALS="Y"))=0,"",'Dvd Calendar'!$X$1350)))</f>
        <v/>
      </c>
      <c r="W137" s="110">
        <f>IF(EY137="","",IF(ISNUMBER('Dvd Calendar'!$Y$1350)=FALSE,"",IF((('Dvd Calendar'!$Y$1352=TYPE1)*(TYPE1&lt;&gt;"")+('Dvd Calendar'!$Y$1352=TYPE2)*(TYPE2&lt;&gt;"")+('Dvd Calendar'!$Y$1352=TYPE3)*(TYPE3&lt;&gt;"")+('Dvd Calendar'!$Y$1352=TYPE4)*(TYPE4&lt;&gt;"")+('Dvd Calendar'!$Y$1352=SPECIAL_LBL)*(INC_SPECIALS="Y"))=0,"",'Dvd Calendar'!$Y$1350)))</f>
        <v/>
      </c>
      <c r="X137" s="110">
        <f>IF(EZ137="","",IF(ISNUMBER('Dvd Calendar'!$Z$1350)=FALSE,"",IF((('Dvd Calendar'!$Z$1352=TYPE1)*(TYPE1&lt;&gt;"")+('Dvd Calendar'!$Z$1352=TYPE2)*(TYPE2&lt;&gt;"")+('Dvd Calendar'!$Z$1352=TYPE3)*(TYPE3&lt;&gt;"")+('Dvd Calendar'!$Z$1352=TYPE4)*(TYPE4&lt;&gt;"")+('Dvd Calendar'!$Z$1352=SPECIAL_LBL)*(INC_SPECIALS="Y"))=0,"",'Dvd Calendar'!$Z$1350)))</f>
        <v/>
      </c>
      <c r="Y137" s="110">
        <f>IF(FA137="","",IF(ISNUMBER('Dvd Calendar'!$AA$1350)=FALSE,"",IF((('Dvd Calendar'!$AA$1352=TYPE1)*(TYPE1&lt;&gt;"")+('Dvd Calendar'!$AA$1352=TYPE2)*(TYPE2&lt;&gt;"")+('Dvd Calendar'!$AA$1352=TYPE3)*(TYPE3&lt;&gt;"")+('Dvd Calendar'!$AA$1352=TYPE4)*(TYPE4&lt;&gt;"")+('Dvd Calendar'!$AA$1352=SPECIAL_LBL)*(INC_SPECIALS="Y"))=0,"",'Dvd Calendar'!$AA$1350)))</f>
        <v/>
      </c>
      <c r="Z137" s="110">
        <f>IF(FB137="","",IF(ISNUMBER('Dvd Calendar'!$AB$1350)=FALSE,"",IF((('Dvd Calendar'!$AB$1352=TYPE1)*(TYPE1&lt;&gt;"")+('Dvd Calendar'!$AB$1352=TYPE2)*(TYPE2&lt;&gt;"")+('Dvd Calendar'!$AB$1352=TYPE3)*(TYPE3&lt;&gt;"")+('Dvd Calendar'!$AB$1352=TYPE4)*(TYPE4&lt;&gt;"")+('Dvd Calendar'!$AB$1352=SPECIAL_LBL)*(INC_SPECIALS="Y"))=0,"",'Dvd Calendar'!$AB$1350)))</f>
        <v/>
      </c>
      <c r="AA137" s="110">
        <f>IF(FC137="","",IF(ISNUMBER('Dvd Calendar'!$AC$1350)=FALSE,"",IF((('Dvd Calendar'!$AC$1352=TYPE1)*(TYPE1&lt;&gt;"")+('Dvd Calendar'!$AC$1352=TYPE2)*(TYPE2&lt;&gt;"")+('Dvd Calendar'!$AC$1352=TYPE3)*(TYPE3&lt;&gt;"")+('Dvd Calendar'!$AC$1352=TYPE4)*(TYPE4&lt;&gt;"")+('Dvd Calendar'!$AC$1352=SPECIAL_LBL)*(INC_SPECIALS="Y"))=0,"",'Dvd Calendar'!$AC$1350)))</f>
        <v/>
      </c>
      <c r="AB137" s="110">
        <f>IF(FD137="","",IF(ISNUMBER('Dvd Calendar'!$AD$1350)=FALSE,"",IF((('Dvd Calendar'!$AD$1352=TYPE1)*(TYPE1&lt;&gt;"")+('Dvd Calendar'!$AD$1352=TYPE2)*(TYPE2&lt;&gt;"")+('Dvd Calendar'!$AD$1352=TYPE3)*(TYPE3&lt;&gt;"")+('Dvd Calendar'!$AD$1352=TYPE4)*(TYPE4&lt;&gt;"")+('Dvd Calendar'!$AD$1352=SPECIAL_LBL)*(INC_SPECIALS="Y"))=0,"",'Dvd Calendar'!$AD$1350)))</f>
        <v/>
      </c>
      <c r="AC137" s="110">
        <f>IF(FE137="","",IF(ISNUMBER('Dvd Calendar'!$AE$1350)=FALSE,"",IF((('Dvd Calendar'!$AE$1352=TYPE1)*(TYPE1&lt;&gt;"")+('Dvd Calendar'!$AE$1352=TYPE2)*(TYPE2&lt;&gt;"")+('Dvd Calendar'!$AE$1352=TYPE3)*(TYPE3&lt;&gt;"")+('Dvd Calendar'!$AE$1352=TYPE4)*(TYPE4&lt;&gt;"")+('Dvd Calendar'!$AE$1352=SPECIAL_LBL)*(INC_SPECIALS="Y"))=0,"",'Dvd Calendar'!$AE$1350)))</f>
        <v/>
      </c>
      <c r="AD137" s="110">
        <f>IF(FF137="","",IF(ISNUMBER('Dvd Calendar'!$AF$1350)=FALSE,"",IF((('Dvd Calendar'!$AF$1352=TYPE1)*(TYPE1&lt;&gt;"")+('Dvd Calendar'!$AF$1352=TYPE2)*(TYPE2&lt;&gt;"")+('Dvd Calendar'!$AF$1352=TYPE3)*(TYPE3&lt;&gt;"")+('Dvd Calendar'!$AF$1352=TYPE4)*(TYPE4&lt;&gt;"")+('Dvd Calendar'!$AF$1352=SPECIAL_LBL)*(INC_SPECIALS="Y"))=0,"",'Dvd Calendar'!$AF$1350)))</f>
        <v/>
      </c>
      <c r="AE137" s="110">
        <f>IF(FG137="","",IF(ISNUMBER('Dvd Calendar'!$AG$1350)=FALSE,"",IF((('Dvd Calendar'!$AG$1352=TYPE1)*(TYPE1&lt;&gt;"")+('Dvd Calendar'!$AG$1352=TYPE2)*(TYPE2&lt;&gt;"")+('Dvd Calendar'!$AG$1352=TYPE3)*(TYPE3&lt;&gt;"")+('Dvd Calendar'!$AG$1352=TYPE4)*(TYPE4&lt;&gt;"")+('Dvd Calendar'!$AG$1352=SPECIAL_LBL)*(INC_SPECIALS="Y"))=0,"",'Dvd Calendar'!$AG$1350)))</f>
        <v/>
      </c>
      <c r="AF137" s="110">
        <f>IF(FH137="","",IF(ISNUMBER('Dvd Calendar'!$AH$1350)=FALSE,"",IF((('Dvd Calendar'!$AH$1352=TYPE1)*(TYPE1&lt;&gt;"")+('Dvd Calendar'!$AH$1352=TYPE2)*(TYPE2&lt;&gt;"")+('Dvd Calendar'!$AH$1352=TYPE3)*(TYPE3&lt;&gt;"")+('Dvd Calendar'!$AH$1352=TYPE4)*(TYPE4&lt;&gt;"")+('Dvd Calendar'!$AH$1352=SPECIAL_LBL)*(INC_SPECIALS="Y"))=0,"",'Dvd Calendar'!$AH$1350)))</f>
        <v/>
      </c>
      <c r="AG137" s="110">
        <f>IF(FI137="","",IF(ISNUMBER('Dvd Calendar'!$AI$1350)=FALSE,"",IF((('Dvd Calendar'!$AI$1352=TYPE1)*(TYPE1&lt;&gt;"")+('Dvd Calendar'!$AI$1352=TYPE2)*(TYPE2&lt;&gt;"")+('Dvd Calendar'!$AI$1352=TYPE3)*(TYPE3&lt;&gt;"")+('Dvd Calendar'!$AI$1352=TYPE4)*(TYPE4&lt;&gt;"")+('Dvd Calendar'!$AI$1352=SPECIAL_LBL)*(INC_SPECIALS="Y"))=0,"",'Dvd Calendar'!$AI$1350)))</f>
        <v/>
      </c>
      <c r="AH137" s="110">
        <f>IF(FJ137="","",IF(ISNUMBER('Dvd Calendar'!$AJ$1350)=FALSE,"",IF((('Dvd Calendar'!$AJ$1352=TYPE1)*(TYPE1&lt;&gt;"")+('Dvd Calendar'!$AJ$1352=TYPE2)*(TYPE2&lt;&gt;"")+('Dvd Calendar'!$AJ$1352=TYPE3)*(TYPE3&lt;&gt;"")+('Dvd Calendar'!$AJ$1352=TYPE4)*(TYPE4&lt;&gt;"")+('Dvd Calendar'!$AJ$1352=SPECIAL_LBL)*(INC_SPECIALS="Y"))=0,"",'Dvd Calendar'!$AJ$1350)))</f>
        <v/>
      </c>
      <c r="AI137" s="110">
        <f>IF(FK137="","",IF(ISNUMBER('Dvd Calendar'!$AK$1350)=FALSE,"",IF((('Dvd Calendar'!$AK$1352=TYPE1)*(TYPE1&lt;&gt;"")+('Dvd Calendar'!$AK$1352=TYPE2)*(TYPE2&lt;&gt;"")+('Dvd Calendar'!$AK$1352=TYPE3)*(TYPE3&lt;&gt;"")+('Dvd Calendar'!$AK$1352=TYPE4)*(TYPE4&lt;&gt;"")+('Dvd Calendar'!$AK$1352=SPECIAL_LBL)*(INC_SPECIALS="Y"))=0,"",'Dvd Calendar'!$AK$1350)))</f>
        <v/>
      </c>
      <c r="AJ137" s="110">
        <f>IF(FL137="","",IF(ISNUMBER('Dvd Calendar'!$AL$1350)=FALSE,"",IF((('Dvd Calendar'!$AL$1352=TYPE1)*(TYPE1&lt;&gt;"")+('Dvd Calendar'!$AL$1352=TYPE2)*(TYPE2&lt;&gt;"")+('Dvd Calendar'!$AL$1352=TYPE3)*(TYPE3&lt;&gt;"")+('Dvd Calendar'!$AL$1352=TYPE4)*(TYPE4&lt;&gt;"")+('Dvd Calendar'!$AL$1352=SPECIAL_LBL)*(INC_SPECIALS="Y"))=0,"",'Dvd Calendar'!$AL$1350)))</f>
        <v/>
      </c>
      <c r="AK137" s="110">
        <f>IF(FM137="","",IF(ISNUMBER('Dvd Calendar'!$AM$1350)=FALSE,"",IF((('Dvd Calendar'!$AM$1352=TYPE1)*(TYPE1&lt;&gt;"")+('Dvd Calendar'!$AM$1352=TYPE2)*(TYPE2&lt;&gt;"")+('Dvd Calendar'!$AM$1352=TYPE3)*(TYPE3&lt;&gt;"")+('Dvd Calendar'!$AM$1352=TYPE4)*(TYPE4&lt;&gt;"")+('Dvd Calendar'!$AM$1352=SPECIAL_LBL)*(INC_SPECIALS="Y"))=0,"",'Dvd Calendar'!$AM$1350)))</f>
        <v/>
      </c>
      <c r="AL137" s="110">
        <f>IF(FN137="","",IF(ISNUMBER('Dvd Calendar'!$AN$1350)=FALSE,"",IF((('Dvd Calendar'!$AN$1352=TYPE1)*(TYPE1&lt;&gt;"")+('Dvd Calendar'!$AN$1352=TYPE2)*(TYPE2&lt;&gt;"")+('Dvd Calendar'!$AN$1352=TYPE3)*(TYPE3&lt;&gt;"")+('Dvd Calendar'!$AN$1352=TYPE4)*(TYPE4&lt;&gt;"")+('Dvd Calendar'!$AN$1352=SPECIAL_LBL)*(INC_SPECIALS="Y"))=0,"",'Dvd Calendar'!$AN$1350)))</f>
        <v/>
      </c>
      <c r="AM137" s="110">
        <f>IF(FO137="","",IF(ISNUMBER('Dvd Calendar'!$AO$1350)=FALSE,"",IF((('Dvd Calendar'!$AO$1352=TYPE1)*(TYPE1&lt;&gt;"")+('Dvd Calendar'!$AO$1352=TYPE2)*(TYPE2&lt;&gt;"")+('Dvd Calendar'!$AO$1352=TYPE3)*(TYPE3&lt;&gt;"")+('Dvd Calendar'!$AO$1352=TYPE4)*(TYPE4&lt;&gt;"")+('Dvd Calendar'!$AO$1352=SPECIAL_LBL)*(INC_SPECIALS="Y"))=0,"",'Dvd Calendar'!$AO$1350)))</f>
        <v/>
      </c>
      <c r="AN137" s="110">
        <f>IF(FP137="","",IF(ISNUMBER('Dvd Calendar'!$AP$1350)=FALSE,"",IF((('Dvd Calendar'!$AP$1352=TYPE1)*(TYPE1&lt;&gt;"")+('Dvd Calendar'!$AP$1352=TYPE2)*(TYPE2&lt;&gt;"")+('Dvd Calendar'!$AP$1352=TYPE3)*(TYPE3&lt;&gt;"")+('Dvd Calendar'!$AP$1352=TYPE4)*(TYPE4&lt;&gt;"")+('Dvd Calendar'!$AP$1352=SPECIAL_LBL)*(INC_SPECIALS="Y"))=0,"",'Dvd Calendar'!$AP$1350)))</f>
        <v/>
      </c>
      <c r="AO137" s="110">
        <f>IF(FQ137="","",IF(ISNUMBER('Dvd Calendar'!$AQ$1350)=FALSE,"",IF((('Dvd Calendar'!$AQ$1352=TYPE1)*(TYPE1&lt;&gt;"")+('Dvd Calendar'!$AQ$1352=TYPE2)*(TYPE2&lt;&gt;"")+('Dvd Calendar'!$AQ$1352=TYPE3)*(TYPE3&lt;&gt;"")+('Dvd Calendar'!$AQ$1352=TYPE4)*(TYPE4&lt;&gt;"")+('Dvd Calendar'!$AQ$1352=SPECIAL_LBL)*(INC_SPECIALS="Y"))=0,"",'Dvd Calendar'!$AQ$1350)))</f>
        <v/>
      </c>
      <c r="AP137" s="110">
        <f>IF(FR137="","",IF(ISNUMBER('Dvd Calendar'!$AR$1350)=FALSE,"",IF((('Dvd Calendar'!$AR$1352=TYPE1)*(TYPE1&lt;&gt;"")+('Dvd Calendar'!$AR$1352=TYPE2)*(TYPE2&lt;&gt;"")+('Dvd Calendar'!$AR$1352=TYPE3)*(TYPE3&lt;&gt;"")+('Dvd Calendar'!$AR$1352=TYPE4)*(TYPE4&lt;&gt;"")+('Dvd Calendar'!$AR$1352=SPECIAL_LBL)*(INC_SPECIALS="Y"))=0,"",'Dvd Calendar'!$AR$1350)))</f>
        <v/>
      </c>
      <c r="AQ137" s="110">
        <f>IF(FS137="","",IF(ISNUMBER('Dvd Calendar'!$E$1355)=FALSE,"",'Dvd Calendar'!$E$1355))</f>
        <v/>
      </c>
      <c r="AR137" s="110">
        <f>IF(FT137="","",IF(ISNUMBER('Dvd Calendar'!$F$1355)=FALSE,"",'Dvd Calendar'!$F$1355))</f>
        <v/>
      </c>
      <c r="AS137" s="110">
        <f>IF(FU137="","",IF(ISNUMBER('Dvd Calendar'!$G$1355)=FALSE,"",'Dvd Calendar'!$G$1355))</f>
        <v/>
      </c>
      <c r="AT137" s="110">
        <f>IF(FV137="","",IF(ISNUMBER('Dvd Calendar'!$H$1355)=FALSE,"",'Dvd Calendar'!$H$1355))</f>
        <v/>
      </c>
      <c r="AU137" s="110">
        <f>IF(FW137="","",IF(ISNUMBER('Dvd Calendar'!$I$1355)=FALSE,"",'Dvd Calendar'!$I$1355))</f>
        <v/>
      </c>
      <c r="AV137" s="110">
        <f>IF(FX137="","",IF(ISNUMBER('Dvd Calendar'!$J$1355)=FALSE,"",'Dvd Calendar'!$J$1355))</f>
        <v/>
      </c>
      <c r="AW137" s="110">
        <f>IF(FY137="","",IF(ISNUMBER('Dvd Calendar'!$K$1355)=FALSE,"",'Dvd Calendar'!$K$1355))</f>
        <v/>
      </c>
      <c r="AX137" s="110">
        <f>IF(FZ137="","",IF(ISNUMBER('Dvd Calendar'!$L$1355)=FALSE,"",'Dvd Calendar'!$L$1355))</f>
        <v/>
      </c>
      <c r="AY137" s="110">
        <f>IF(GA137="","",IF(ISNUMBER('Dvd Calendar'!$M$1355)=FALSE,"",'Dvd Calendar'!$M$1355))</f>
        <v/>
      </c>
      <c r="AZ137" s="110">
        <f>IF(GB137="","",IF(ISNUMBER('Dvd Calendar'!$N$1355)=FALSE,"",'Dvd Calendar'!$N$1355))</f>
        <v/>
      </c>
      <c r="BA137" s="110">
        <f>IF(GC137="","",IF(ISNUMBER('Dvd Calendar'!$O$1355)=FALSE,"",'Dvd Calendar'!$O$1355))</f>
        <v/>
      </c>
      <c r="BB137" s="110">
        <f>IF(GD137="","",IF(ISNUMBER('Dvd Calendar'!$P$1355)=FALSE,"",'Dvd Calendar'!$P$1355))</f>
        <v/>
      </c>
      <c r="BC137" s="110">
        <f>IF(GE137="","",IF(ISNUMBER('Dvd Calendar'!$Q$1355)=FALSE,"",'Dvd Calendar'!$Q$1355))</f>
        <v/>
      </c>
      <c r="BD137" s="110">
        <f>IF(GF137="","",IF(ISNUMBER('Dvd Calendar'!$R$1355)=FALSE,"",'Dvd Calendar'!$R$1355))</f>
        <v/>
      </c>
      <c r="BE137" s="110">
        <f>IF(GG137="","",IF(ISNUMBER('Dvd Calendar'!$S$1355)=FALSE,"",'Dvd Calendar'!$S$1355))</f>
        <v/>
      </c>
      <c r="BF137" s="110">
        <f>IF(GH137="","",IF(ISNUMBER('Dvd Calendar'!$T$1355)=FALSE,"",'Dvd Calendar'!$T$1355))</f>
        <v/>
      </c>
      <c r="BG137" s="110">
        <f>IF(GI137="","",IF(ISNUMBER('Dvd Calendar'!$U$1355)=FALSE,"",'Dvd Calendar'!$U$1355))</f>
        <v/>
      </c>
      <c r="BH137" s="110">
        <f>IF(GJ137="","",IF(ISNUMBER('Dvd Calendar'!$V$1355)=FALSE,"",'Dvd Calendar'!$V$1355))</f>
        <v/>
      </c>
      <c r="BI137" s="110">
        <f>IF(GK137="","",IF(ISNUMBER('Dvd Calendar'!$W$1355)=FALSE,"",'Dvd Calendar'!$W$1355))</f>
        <v/>
      </c>
      <c r="BJ137" s="110">
        <f>IF(GL137="","",IF(ISNUMBER('Dvd Calendar'!$X$1355)=FALSE,"",'Dvd Calendar'!$X$1355))</f>
        <v/>
      </c>
      <c r="BK137" s="110">
        <f>IF(GM137="","",IF(ISNUMBER('Dvd Calendar'!$Y$1355)=FALSE,"",'Dvd Calendar'!$Y$1355))</f>
        <v/>
      </c>
      <c r="BL137" s="110">
        <f>IF(GN137="","",IF(ISNUMBER('Dvd Calendar'!$Z$1355)=FALSE,"",'Dvd Calendar'!$Z$1355))</f>
        <v/>
      </c>
      <c r="BM137" s="110">
        <f>IF(GO137="","",IF(ISNUMBER('Dvd Calendar'!$AA$1355)=FALSE,"",'Dvd Calendar'!$AA$1355))</f>
        <v/>
      </c>
      <c r="BN137" s="110">
        <f>IF(GP137="","",IF(ISNUMBER('Dvd Calendar'!$AB$1355)=FALSE,"",'Dvd Calendar'!$AB$1355))</f>
        <v/>
      </c>
      <c r="BO137" s="110">
        <f>IF(GQ137="","",IF(ISNUMBER('Dvd Calendar'!$AC$1355)=FALSE,"",'Dvd Calendar'!$AC$1355))</f>
        <v/>
      </c>
      <c r="BQ137" s="110">
        <f>IF(C137="","",IFERROR(C137*HSTECH!$B$28*HSTECH!$G$28/HSTECH!$B$3,""))</f>
        <v/>
      </c>
      <c r="BR137" s="110">
        <f>IF(D137="","",IFERROR(D137*HSTECH!$B$28*HSTECH!$G$28/HSTECH!$B$3,""))</f>
        <v/>
      </c>
      <c r="BS137" s="110">
        <f>IF(E137="","",IFERROR(E137*HSTECH!$B$28*HSTECH!$G$28/HSTECH!$B$3,""))</f>
        <v/>
      </c>
      <c r="BT137" s="110">
        <f>IF(F137="","",IFERROR(F137*HSTECH!$B$28*HSTECH!$G$28/HSTECH!$B$3,""))</f>
        <v/>
      </c>
      <c r="BU137" s="110">
        <f>IF(G137="","",IFERROR(G137*HSTECH!$B$28*HSTECH!$G$28/HSTECH!$B$3,""))</f>
        <v/>
      </c>
      <c r="BV137" s="110">
        <f>IF(H137="","",IFERROR(H137*HSTECH!$B$28*HSTECH!$G$28/HSTECH!$B$3,""))</f>
        <v/>
      </c>
      <c r="BW137" s="110">
        <f>IF(I137="","",IFERROR(I137*HSTECH!$B$28*HSTECH!$G$28/HSTECH!$B$3,""))</f>
        <v/>
      </c>
      <c r="BX137" s="110">
        <f>IF(J137="","",IFERROR(J137*HSTECH!$B$28*HSTECH!$G$28/HSTECH!$B$3,""))</f>
        <v/>
      </c>
      <c r="BY137" s="110">
        <f>IF(K137="","",IFERROR(K137*HSTECH!$B$28*HSTECH!$G$28/HSTECH!$B$3,""))</f>
        <v/>
      </c>
      <c r="BZ137" s="110">
        <f>IF(L137="","",IFERROR(L137*HSTECH!$B$28*HSTECH!$G$28/HSTECH!$B$3,""))</f>
        <v/>
      </c>
      <c r="CA137" s="110">
        <f>IF(M137="","",IFERROR(M137*HSTECH!$B$28*HSTECH!$G$28/HSTECH!$B$3,""))</f>
        <v/>
      </c>
      <c r="CB137" s="110">
        <f>IF(N137="","",IFERROR(N137*HSTECH!$B$28*HSTECH!$G$28/HSTECH!$B$3,""))</f>
        <v/>
      </c>
      <c r="CC137" s="110">
        <f>IF(O137="","",IFERROR(O137*HSTECH!$B$28*HSTECH!$G$28/HSTECH!$B$3,""))</f>
        <v/>
      </c>
      <c r="CD137" s="110">
        <f>IF(P137="","",IFERROR(P137*HSTECH!$B$28*HSTECH!$G$28/HSTECH!$B$3,""))</f>
        <v/>
      </c>
      <c r="CE137" s="110">
        <f>IF(Q137="","",IFERROR(Q137*HSTECH!$B$28*HSTECH!$G$28/HSTECH!$B$3,""))</f>
        <v/>
      </c>
      <c r="CF137" s="110">
        <f>IF(R137="","",IFERROR(R137*HSTECH!$B$28*HSTECH!$G$28/HSTECH!$B$3,""))</f>
        <v/>
      </c>
      <c r="CG137" s="110">
        <f>IF(S137="","",IFERROR(S137*HSTECH!$B$28*HSTECH!$G$28/HSTECH!$B$3,""))</f>
        <v/>
      </c>
      <c r="CH137" s="110">
        <f>IF(T137="","",IFERROR(T137*HSTECH!$B$28*HSTECH!$G$28/HSTECH!$B$3,""))</f>
        <v/>
      </c>
      <c r="CI137" s="110">
        <f>IF(U137="","",IFERROR(U137*HSTECH!$B$28*HSTECH!$G$28/HSTECH!$B$3,""))</f>
        <v/>
      </c>
      <c r="CJ137" s="110">
        <f>IF(V137="","",IFERROR(V137*HSTECH!$B$28*HSTECH!$G$28/HSTECH!$B$3,""))</f>
        <v/>
      </c>
      <c r="CK137" s="110">
        <f>IF(W137="","",IFERROR(W137*HSTECH!$B$28*HSTECH!$G$28/HSTECH!$B$3,""))</f>
        <v/>
      </c>
      <c r="CL137" s="110">
        <f>IF(X137="","",IFERROR(X137*HSTECH!$B$28*HSTECH!$G$28/HSTECH!$B$3,""))</f>
        <v/>
      </c>
      <c r="CM137" s="110">
        <f>IF(Y137="","",IFERROR(Y137*HSTECH!$B$28*HSTECH!$G$28/HSTECH!$B$3,""))</f>
        <v/>
      </c>
      <c r="CN137" s="110">
        <f>IF(Z137="","",IFERROR(Z137*HSTECH!$B$28*HSTECH!$G$28/HSTECH!$B$3,""))</f>
        <v/>
      </c>
      <c r="CO137" s="110">
        <f>IF(AA137="","",IFERROR(AA137*HSTECH!$B$28*HSTECH!$G$28/HSTECH!$B$3,""))</f>
        <v/>
      </c>
      <c r="CP137" s="110">
        <f>IF(AB137="","",IFERROR(AB137*HSTECH!$B$28*HSTECH!$G$28/HSTECH!$B$3,""))</f>
        <v/>
      </c>
      <c r="CQ137" s="110">
        <f>IF(AC137="","",IFERROR(AC137*HSTECH!$B$28*HSTECH!$G$28/HSTECH!$B$3,""))</f>
        <v/>
      </c>
      <c r="CR137" s="110">
        <f>IF(AD137="","",IFERROR(AD137*HSTECH!$B$28*HSTECH!$G$28/HSTECH!$B$3,""))</f>
        <v/>
      </c>
      <c r="CS137" s="110">
        <f>IF(AE137="","",IFERROR(AE137*HSTECH!$B$28*HSTECH!$G$28/HSTECH!$B$3,""))</f>
        <v/>
      </c>
      <c r="CT137" s="110">
        <f>IF(AF137="","",IFERROR(AF137*HSTECH!$B$28*HSTECH!$G$28/HSTECH!$B$3,""))</f>
        <v/>
      </c>
      <c r="CU137" s="110">
        <f>IF(AG137="","",IFERROR(AG137*HSTECH!$B$28*HSTECH!$G$28/HSTECH!$B$3,""))</f>
        <v/>
      </c>
      <c r="CV137" s="110">
        <f>IF(AH137="","",IFERROR(AH137*HSTECH!$B$28*HSTECH!$G$28/HSTECH!$B$3,""))</f>
        <v/>
      </c>
      <c r="CW137" s="110">
        <f>IF(AI137="","",IFERROR(AI137*HSTECH!$B$28*HSTECH!$G$28/HSTECH!$B$3,""))</f>
        <v/>
      </c>
      <c r="CX137" s="110">
        <f>IF(AJ137="","",IFERROR(AJ137*HSTECH!$B$28*HSTECH!$G$28/HSTECH!$B$3,""))</f>
        <v/>
      </c>
      <c r="CY137" s="110">
        <f>IF(AK137="","",IFERROR(AK137*HSTECH!$B$28*HSTECH!$G$28/HSTECH!$B$3,""))</f>
        <v/>
      </c>
      <c r="CZ137" s="110">
        <f>IF(AL137="","",IFERROR(AL137*HSTECH!$B$28*HSTECH!$G$28/HSTECH!$B$3,""))</f>
        <v/>
      </c>
      <c r="DA137" s="110">
        <f>IF(AM137="","",IFERROR(AM137*HSTECH!$B$28*HSTECH!$G$28/HSTECH!$B$3,""))</f>
        <v/>
      </c>
      <c r="DB137" s="110">
        <f>IF(AN137="","",IFERROR(AN137*HSTECH!$B$28*HSTECH!$G$28/HSTECH!$B$3,""))</f>
        <v/>
      </c>
      <c r="DC137" s="110">
        <f>IF(AO137="","",IFERROR(AO137*HSTECH!$B$28*HSTECH!$G$28/HSTECH!$B$3,""))</f>
        <v/>
      </c>
      <c r="DD137" s="110">
        <f>IF(AP137="","",IFERROR(AP137*HSTECH!$B$28*HSTECH!$G$28/HSTECH!$B$3,""))</f>
        <v/>
      </c>
      <c r="DE137" s="110">
        <f>IF(AQ137="","",IFERROR(AQ137*HSTECH!$B$28*HSTECH!$G$28/HSTECH!$B$3,""))</f>
        <v/>
      </c>
      <c r="DF137" s="110">
        <f>IF(AR137="","",IFERROR(AR137*HSTECH!$B$28*HSTECH!$G$28/HSTECH!$B$3,""))</f>
        <v/>
      </c>
      <c r="DG137" s="110">
        <f>IF(AS137="","",IFERROR(AS137*HSTECH!$B$28*HSTECH!$G$28/HSTECH!$B$3,""))</f>
        <v/>
      </c>
      <c r="DH137" s="110">
        <f>IF(AT137="","",IFERROR(AT137*HSTECH!$B$28*HSTECH!$G$28/HSTECH!$B$3,""))</f>
        <v/>
      </c>
      <c r="DI137" s="110">
        <f>IF(AU137="","",IFERROR(AU137*HSTECH!$B$28*HSTECH!$G$28/HSTECH!$B$3,""))</f>
        <v/>
      </c>
      <c r="DJ137" s="110">
        <f>IF(AV137="","",IFERROR(AV137*HSTECH!$B$28*HSTECH!$G$28/HSTECH!$B$3,""))</f>
        <v/>
      </c>
      <c r="DK137" s="110">
        <f>IF(AW137="","",IFERROR(AW137*HSTECH!$B$28*HSTECH!$G$28/HSTECH!$B$3,""))</f>
        <v/>
      </c>
      <c r="DL137" s="110">
        <f>IF(AX137="","",IFERROR(AX137*HSTECH!$B$28*HSTECH!$G$28/HSTECH!$B$3,""))</f>
        <v/>
      </c>
      <c r="DM137" s="110">
        <f>IF(AY137="","",IFERROR(AY137*HSTECH!$B$28*HSTECH!$G$28/HSTECH!$B$3,""))</f>
        <v/>
      </c>
      <c r="DN137" s="110">
        <f>IF(AZ137="","",IFERROR(AZ137*HSTECH!$B$28*HSTECH!$G$28/HSTECH!$B$3,""))</f>
        <v/>
      </c>
      <c r="DO137" s="110">
        <f>IF(BA137="","",IFERROR(BA137*HSTECH!$B$28*HSTECH!$G$28/HSTECH!$B$3,""))</f>
        <v/>
      </c>
      <c r="DP137" s="110">
        <f>IF(BB137="","",IFERROR(BB137*HSTECH!$B$28*HSTECH!$G$28/HSTECH!$B$3,""))</f>
        <v/>
      </c>
      <c r="DQ137" s="110">
        <f>IF(BC137="","",IFERROR(BC137*HSTECH!$B$28*HSTECH!$G$28/HSTECH!$B$3,""))</f>
        <v/>
      </c>
      <c r="DR137" s="110">
        <f>IF(BD137="","",IFERROR(BD137*HSTECH!$B$28*HSTECH!$G$28/HSTECH!$B$3,""))</f>
        <v/>
      </c>
      <c r="DS137" s="110">
        <f>IF(BE137="","",IFERROR(BE137*HSTECH!$B$28*HSTECH!$G$28/HSTECH!$B$3,""))</f>
        <v/>
      </c>
      <c r="DT137" s="110">
        <f>IF(BF137="","",IFERROR(BF137*HSTECH!$B$28*HSTECH!$G$28/HSTECH!$B$3,""))</f>
        <v/>
      </c>
      <c r="DU137" s="110">
        <f>IF(BG137="","",IFERROR(BG137*HSTECH!$B$28*HSTECH!$G$28/HSTECH!$B$3,""))</f>
        <v/>
      </c>
      <c r="DV137" s="110">
        <f>IF(BH137="","",IFERROR(BH137*HSTECH!$B$28*HSTECH!$G$28/HSTECH!$B$3,""))</f>
        <v/>
      </c>
      <c r="DW137" s="110">
        <f>IF(BI137="","",IFERROR(BI137*HSTECH!$B$28*HSTECH!$G$28/HSTECH!$B$3,""))</f>
        <v/>
      </c>
      <c r="DX137" s="110">
        <f>IF(BJ137="","",IFERROR(BJ137*HSTECH!$B$28*HSTECH!$G$28/HSTECH!$B$3,""))</f>
        <v/>
      </c>
      <c r="DY137" s="110">
        <f>IF(BK137="","",IFERROR(BK137*HSTECH!$B$28*HSTECH!$G$28/HSTECH!$B$3,""))</f>
        <v/>
      </c>
      <c r="DZ137" s="110">
        <f>IF(BL137="","",IFERROR(BL137*HSTECH!$B$28*HSTECH!$G$28/HSTECH!$B$3,""))</f>
        <v/>
      </c>
      <c r="EA137" s="110">
        <f>IF(BM137="","",IFERROR(BM137*HSTECH!$B$28*HSTECH!$G$28/HSTECH!$B$3,""))</f>
        <v/>
      </c>
      <c r="EB137" s="110">
        <f>IF(BN137="","",IFERROR(BN137*HSTECH!$B$28*HSTECH!$G$28/HSTECH!$B$3,""))</f>
        <v/>
      </c>
      <c r="EC137" s="110">
        <f>IF(BO137="","",IFERROR(BO137*HSTECH!$B$28*HSTECH!$G$28/HSTECH!$B$3,""))</f>
        <v/>
      </c>
      <c r="EE137" s="39">
        <f>IF(N('Dvd Calendar'!$E$1347)=0,"",IF(('Dvd Calendar'!$E$1347&gt;=GRID_FROM)*('Dvd Calendar'!$E$1347&lt;=GRID_TO)*((('Dvd Calendar'!$E$1347&lt;=VAL_DATE)+(COUNTIF('Dvd Calendar'!$E$1354:$AR$1354,'Dvd Calendar'!$E$1347)=0))&gt;0)=0,"",'Dvd Calendar'!$E$1347*1000000000+ISNUMBER('Dvd Calendar'!$E$1350)*100000000+('Dvd Calendar'!$E$1352=SPECIAL_LBL)*10000000+(N('Dvd Calendar'!$E$1346)&gt;0)*(N('Dvd Calendar'!$E$1346)&lt;=VAL_SERIAL)*1000000+22*1000+1))</f>
        <v/>
      </c>
      <c r="EF137" s="39">
        <f>IF(N('Dvd Calendar'!$F$1347)=0,"",IF(('Dvd Calendar'!$F$1347&gt;=GRID_FROM)*('Dvd Calendar'!$F$1347&lt;=GRID_TO)*((('Dvd Calendar'!$F$1347&lt;=VAL_DATE)+(COUNTIF('Dvd Calendar'!$E$1354:$AR$1354,'Dvd Calendar'!$F$1347)=0))&gt;0)=0,"",'Dvd Calendar'!$F$1347*1000000000+ISNUMBER('Dvd Calendar'!$F$1350)*100000000+('Dvd Calendar'!$F$1352=SPECIAL_LBL)*10000000+(N('Dvd Calendar'!$F$1346)&gt;0)*(N('Dvd Calendar'!$F$1346)&lt;=VAL_SERIAL)*1000000+22*1000+2))</f>
        <v/>
      </c>
      <c r="EG137" s="39">
        <f>IF(N('Dvd Calendar'!$G$1347)=0,"",IF(('Dvd Calendar'!$G$1347&gt;=GRID_FROM)*('Dvd Calendar'!$G$1347&lt;=GRID_TO)*((('Dvd Calendar'!$G$1347&lt;=VAL_DATE)+(COUNTIF('Dvd Calendar'!$E$1354:$AR$1354,'Dvd Calendar'!$G$1347)=0))&gt;0)=0,"",'Dvd Calendar'!$G$1347*1000000000+ISNUMBER('Dvd Calendar'!$G$1350)*100000000+('Dvd Calendar'!$G$1352=SPECIAL_LBL)*10000000+(N('Dvd Calendar'!$G$1346)&gt;0)*(N('Dvd Calendar'!$G$1346)&lt;=VAL_SERIAL)*1000000+22*1000+3))</f>
        <v/>
      </c>
      <c r="EH137" s="39">
        <f>IF(N('Dvd Calendar'!$H$1347)=0,"",IF(('Dvd Calendar'!$H$1347&gt;=GRID_FROM)*('Dvd Calendar'!$H$1347&lt;=GRID_TO)*((('Dvd Calendar'!$H$1347&lt;=VAL_DATE)+(COUNTIF('Dvd Calendar'!$E$1354:$AR$1354,'Dvd Calendar'!$H$1347)=0))&gt;0)=0,"",'Dvd Calendar'!$H$1347*1000000000+ISNUMBER('Dvd Calendar'!$H$1350)*100000000+('Dvd Calendar'!$H$1352=SPECIAL_LBL)*10000000+(N('Dvd Calendar'!$H$1346)&gt;0)*(N('Dvd Calendar'!$H$1346)&lt;=VAL_SERIAL)*1000000+22*1000+4))</f>
        <v/>
      </c>
      <c r="EI137" s="39">
        <f>IF(N('Dvd Calendar'!$I$1347)=0,"",IF(('Dvd Calendar'!$I$1347&gt;=GRID_FROM)*('Dvd Calendar'!$I$1347&lt;=GRID_TO)*((('Dvd Calendar'!$I$1347&lt;=VAL_DATE)+(COUNTIF('Dvd Calendar'!$E$1354:$AR$1354,'Dvd Calendar'!$I$1347)=0))&gt;0)=0,"",'Dvd Calendar'!$I$1347*1000000000+ISNUMBER('Dvd Calendar'!$I$1350)*100000000+('Dvd Calendar'!$I$1352=SPECIAL_LBL)*10000000+(N('Dvd Calendar'!$I$1346)&gt;0)*(N('Dvd Calendar'!$I$1346)&lt;=VAL_SERIAL)*1000000+22*1000+5))</f>
        <v/>
      </c>
      <c r="EJ137" s="39">
        <f>IF(N('Dvd Calendar'!$J$1347)=0,"",IF(('Dvd Calendar'!$J$1347&gt;=GRID_FROM)*('Dvd Calendar'!$J$1347&lt;=GRID_TO)*((('Dvd Calendar'!$J$1347&lt;=VAL_DATE)+(COUNTIF('Dvd Calendar'!$E$1354:$AR$1354,'Dvd Calendar'!$J$1347)=0))&gt;0)=0,"",'Dvd Calendar'!$J$1347*1000000000+ISNUMBER('Dvd Calendar'!$J$1350)*100000000+('Dvd Calendar'!$J$1352=SPECIAL_LBL)*10000000+(N('Dvd Calendar'!$J$1346)&gt;0)*(N('Dvd Calendar'!$J$1346)&lt;=VAL_SERIAL)*1000000+22*1000+6))</f>
        <v/>
      </c>
      <c r="EK137" s="39">
        <f>IF(N('Dvd Calendar'!$K$1347)=0,"",IF(('Dvd Calendar'!$K$1347&gt;=GRID_FROM)*('Dvd Calendar'!$K$1347&lt;=GRID_TO)*((('Dvd Calendar'!$K$1347&lt;=VAL_DATE)+(COUNTIF('Dvd Calendar'!$E$1354:$AR$1354,'Dvd Calendar'!$K$1347)=0))&gt;0)=0,"",'Dvd Calendar'!$K$1347*1000000000+ISNUMBER('Dvd Calendar'!$K$1350)*100000000+('Dvd Calendar'!$K$1352=SPECIAL_LBL)*10000000+(N('Dvd Calendar'!$K$1346)&gt;0)*(N('Dvd Calendar'!$K$1346)&lt;=VAL_SERIAL)*1000000+22*1000+7))</f>
        <v/>
      </c>
      <c r="EL137" s="39">
        <f>IF(N('Dvd Calendar'!$L$1347)=0,"",IF(('Dvd Calendar'!$L$1347&gt;=GRID_FROM)*('Dvd Calendar'!$L$1347&lt;=GRID_TO)*((('Dvd Calendar'!$L$1347&lt;=VAL_DATE)+(COUNTIF('Dvd Calendar'!$E$1354:$AR$1354,'Dvd Calendar'!$L$1347)=0))&gt;0)=0,"",'Dvd Calendar'!$L$1347*1000000000+ISNUMBER('Dvd Calendar'!$L$1350)*100000000+('Dvd Calendar'!$L$1352=SPECIAL_LBL)*10000000+(N('Dvd Calendar'!$L$1346)&gt;0)*(N('Dvd Calendar'!$L$1346)&lt;=VAL_SERIAL)*1000000+22*1000+8))</f>
        <v/>
      </c>
      <c r="EM137" s="39">
        <f>IF(N('Dvd Calendar'!$M$1347)=0,"",IF(('Dvd Calendar'!$M$1347&gt;=GRID_FROM)*('Dvd Calendar'!$M$1347&lt;=GRID_TO)*((('Dvd Calendar'!$M$1347&lt;=VAL_DATE)+(COUNTIF('Dvd Calendar'!$E$1354:$AR$1354,'Dvd Calendar'!$M$1347)=0))&gt;0)=0,"",'Dvd Calendar'!$M$1347*1000000000+ISNUMBER('Dvd Calendar'!$M$1350)*100000000+('Dvd Calendar'!$M$1352=SPECIAL_LBL)*10000000+(N('Dvd Calendar'!$M$1346)&gt;0)*(N('Dvd Calendar'!$M$1346)&lt;=VAL_SERIAL)*1000000+22*1000+9))</f>
        <v/>
      </c>
      <c r="EN137" s="39">
        <f>IF(N('Dvd Calendar'!$N$1347)=0,"",IF(('Dvd Calendar'!$N$1347&gt;=GRID_FROM)*('Dvd Calendar'!$N$1347&lt;=GRID_TO)*((('Dvd Calendar'!$N$1347&lt;=VAL_DATE)+(COUNTIF('Dvd Calendar'!$E$1354:$AR$1354,'Dvd Calendar'!$N$1347)=0))&gt;0)=0,"",'Dvd Calendar'!$N$1347*1000000000+ISNUMBER('Dvd Calendar'!$N$1350)*100000000+('Dvd Calendar'!$N$1352=SPECIAL_LBL)*10000000+(N('Dvd Calendar'!$N$1346)&gt;0)*(N('Dvd Calendar'!$N$1346)&lt;=VAL_SERIAL)*1000000+22*1000+10))</f>
        <v/>
      </c>
      <c r="EO137" s="39">
        <f>IF(N('Dvd Calendar'!$O$1347)=0,"",IF(('Dvd Calendar'!$O$1347&gt;=GRID_FROM)*('Dvd Calendar'!$O$1347&lt;=GRID_TO)*((('Dvd Calendar'!$O$1347&lt;=VAL_DATE)+(COUNTIF('Dvd Calendar'!$E$1354:$AR$1354,'Dvd Calendar'!$O$1347)=0))&gt;0)=0,"",'Dvd Calendar'!$O$1347*1000000000+ISNUMBER('Dvd Calendar'!$O$1350)*100000000+('Dvd Calendar'!$O$1352=SPECIAL_LBL)*10000000+(N('Dvd Calendar'!$O$1346)&gt;0)*(N('Dvd Calendar'!$O$1346)&lt;=VAL_SERIAL)*1000000+22*1000+11))</f>
        <v/>
      </c>
      <c r="EP137" s="39">
        <f>IF(N('Dvd Calendar'!$P$1347)=0,"",IF(('Dvd Calendar'!$P$1347&gt;=GRID_FROM)*('Dvd Calendar'!$P$1347&lt;=GRID_TO)*((('Dvd Calendar'!$P$1347&lt;=VAL_DATE)+(COUNTIF('Dvd Calendar'!$E$1354:$AR$1354,'Dvd Calendar'!$P$1347)=0))&gt;0)=0,"",'Dvd Calendar'!$P$1347*1000000000+ISNUMBER('Dvd Calendar'!$P$1350)*100000000+('Dvd Calendar'!$P$1352=SPECIAL_LBL)*10000000+(N('Dvd Calendar'!$P$1346)&gt;0)*(N('Dvd Calendar'!$P$1346)&lt;=VAL_SERIAL)*1000000+22*1000+12))</f>
        <v/>
      </c>
      <c r="EQ137" s="39">
        <f>IF(N('Dvd Calendar'!$Q$1347)=0,"",IF(('Dvd Calendar'!$Q$1347&gt;=GRID_FROM)*('Dvd Calendar'!$Q$1347&lt;=GRID_TO)*((('Dvd Calendar'!$Q$1347&lt;=VAL_DATE)+(COUNTIF('Dvd Calendar'!$E$1354:$AR$1354,'Dvd Calendar'!$Q$1347)=0))&gt;0)=0,"",'Dvd Calendar'!$Q$1347*1000000000+ISNUMBER('Dvd Calendar'!$Q$1350)*100000000+('Dvd Calendar'!$Q$1352=SPECIAL_LBL)*10000000+(N('Dvd Calendar'!$Q$1346)&gt;0)*(N('Dvd Calendar'!$Q$1346)&lt;=VAL_SERIAL)*1000000+22*1000+13))</f>
        <v/>
      </c>
      <c r="ER137" s="39">
        <f>IF(N('Dvd Calendar'!$R$1347)=0,"",IF(('Dvd Calendar'!$R$1347&gt;=GRID_FROM)*('Dvd Calendar'!$R$1347&lt;=GRID_TO)*((('Dvd Calendar'!$R$1347&lt;=VAL_DATE)+(COUNTIF('Dvd Calendar'!$E$1354:$AR$1354,'Dvd Calendar'!$R$1347)=0))&gt;0)=0,"",'Dvd Calendar'!$R$1347*1000000000+ISNUMBER('Dvd Calendar'!$R$1350)*100000000+('Dvd Calendar'!$R$1352=SPECIAL_LBL)*10000000+(N('Dvd Calendar'!$R$1346)&gt;0)*(N('Dvd Calendar'!$R$1346)&lt;=VAL_SERIAL)*1000000+22*1000+14))</f>
        <v/>
      </c>
      <c r="ES137" s="39">
        <f>IF(N('Dvd Calendar'!$S$1347)=0,"",IF(('Dvd Calendar'!$S$1347&gt;=GRID_FROM)*('Dvd Calendar'!$S$1347&lt;=GRID_TO)*((('Dvd Calendar'!$S$1347&lt;=VAL_DATE)+(COUNTIF('Dvd Calendar'!$E$1354:$AR$1354,'Dvd Calendar'!$S$1347)=0))&gt;0)=0,"",'Dvd Calendar'!$S$1347*1000000000+ISNUMBER('Dvd Calendar'!$S$1350)*100000000+('Dvd Calendar'!$S$1352=SPECIAL_LBL)*10000000+(N('Dvd Calendar'!$S$1346)&gt;0)*(N('Dvd Calendar'!$S$1346)&lt;=VAL_SERIAL)*1000000+22*1000+15))</f>
        <v/>
      </c>
      <c r="ET137" s="39">
        <f>IF(N('Dvd Calendar'!$T$1347)=0,"",IF(('Dvd Calendar'!$T$1347&gt;=GRID_FROM)*('Dvd Calendar'!$T$1347&lt;=GRID_TO)*((('Dvd Calendar'!$T$1347&lt;=VAL_DATE)+(COUNTIF('Dvd Calendar'!$E$1354:$AR$1354,'Dvd Calendar'!$T$1347)=0))&gt;0)=0,"",'Dvd Calendar'!$T$1347*1000000000+ISNUMBER('Dvd Calendar'!$T$1350)*100000000+('Dvd Calendar'!$T$1352=SPECIAL_LBL)*10000000+(N('Dvd Calendar'!$T$1346)&gt;0)*(N('Dvd Calendar'!$T$1346)&lt;=VAL_SERIAL)*1000000+22*1000+16))</f>
        <v/>
      </c>
      <c r="EU137" s="39">
        <f>IF(N('Dvd Calendar'!$U$1347)=0,"",IF(('Dvd Calendar'!$U$1347&gt;=GRID_FROM)*('Dvd Calendar'!$U$1347&lt;=GRID_TO)*((('Dvd Calendar'!$U$1347&lt;=VAL_DATE)+(COUNTIF('Dvd Calendar'!$E$1354:$AR$1354,'Dvd Calendar'!$U$1347)=0))&gt;0)=0,"",'Dvd Calendar'!$U$1347*1000000000+ISNUMBER('Dvd Calendar'!$U$1350)*100000000+('Dvd Calendar'!$U$1352=SPECIAL_LBL)*10000000+(N('Dvd Calendar'!$U$1346)&gt;0)*(N('Dvd Calendar'!$U$1346)&lt;=VAL_SERIAL)*1000000+22*1000+17))</f>
        <v/>
      </c>
      <c r="EV137" s="39">
        <f>IF(N('Dvd Calendar'!$V$1347)=0,"",IF(('Dvd Calendar'!$V$1347&gt;=GRID_FROM)*('Dvd Calendar'!$V$1347&lt;=GRID_TO)*((('Dvd Calendar'!$V$1347&lt;=VAL_DATE)+(COUNTIF('Dvd Calendar'!$E$1354:$AR$1354,'Dvd Calendar'!$V$1347)=0))&gt;0)=0,"",'Dvd Calendar'!$V$1347*1000000000+ISNUMBER('Dvd Calendar'!$V$1350)*100000000+('Dvd Calendar'!$V$1352=SPECIAL_LBL)*10000000+(N('Dvd Calendar'!$V$1346)&gt;0)*(N('Dvd Calendar'!$V$1346)&lt;=VAL_SERIAL)*1000000+22*1000+18))</f>
        <v/>
      </c>
      <c r="EW137" s="39">
        <f>IF(N('Dvd Calendar'!$W$1347)=0,"",IF(('Dvd Calendar'!$W$1347&gt;=GRID_FROM)*('Dvd Calendar'!$W$1347&lt;=GRID_TO)*((('Dvd Calendar'!$W$1347&lt;=VAL_DATE)+(COUNTIF('Dvd Calendar'!$E$1354:$AR$1354,'Dvd Calendar'!$W$1347)=0))&gt;0)=0,"",'Dvd Calendar'!$W$1347*1000000000+ISNUMBER('Dvd Calendar'!$W$1350)*100000000+('Dvd Calendar'!$W$1352=SPECIAL_LBL)*10000000+(N('Dvd Calendar'!$W$1346)&gt;0)*(N('Dvd Calendar'!$W$1346)&lt;=VAL_SERIAL)*1000000+22*1000+19))</f>
        <v/>
      </c>
      <c r="EX137" s="39">
        <f>IF(N('Dvd Calendar'!$X$1347)=0,"",IF(('Dvd Calendar'!$X$1347&gt;=GRID_FROM)*('Dvd Calendar'!$X$1347&lt;=GRID_TO)*((('Dvd Calendar'!$X$1347&lt;=VAL_DATE)+(COUNTIF('Dvd Calendar'!$E$1354:$AR$1354,'Dvd Calendar'!$X$1347)=0))&gt;0)=0,"",'Dvd Calendar'!$X$1347*1000000000+ISNUMBER('Dvd Calendar'!$X$1350)*100000000+('Dvd Calendar'!$X$1352=SPECIAL_LBL)*10000000+(N('Dvd Calendar'!$X$1346)&gt;0)*(N('Dvd Calendar'!$X$1346)&lt;=VAL_SERIAL)*1000000+22*1000+20))</f>
        <v/>
      </c>
      <c r="EY137" s="39">
        <f>IF(N('Dvd Calendar'!$Y$1347)=0,"",IF(('Dvd Calendar'!$Y$1347&gt;=GRID_FROM)*('Dvd Calendar'!$Y$1347&lt;=GRID_TO)*((('Dvd Calendar'!$Y$1347&lt;=VAL_DATE)+(COUNTIF('Dvd Calendar'!$E$1354:$AR$1354,'Dvd Calendar'!$Y$1347)=0))&gt;0)=0,"",'Dvd Calendar'!$Y$1347*1000000000+ISNUMBER('Dvd Calendar'!$Y$1350)*100000000+('Dvd Calendar'!$Y$1352=SPECIAL_LBL)*10000000+(N('Dvd Calendar'!$Y$1346)&gt;0)*(N('Dvd Calendar'!$Y$1346)&lt;=VAL_SERIAL)*1000000+22*1000+21))</f>
        <v/>
      </c>
      <c r="EZ137" s="39">
        <f>IF(N('Dvd Calendar'!$Z$1347)=0,"",IF(('Dvd Calendar'!$Z$1347&gt;=GRID_FROM)*('Dvd Calendar'!$Z$1347&lt;=GRID_TO)*((('Dvd Calendar'!$Z$1347&lt;=VAL_DATE)+(COUNTIF('Dvd Calendar'!$E$1354:$AR$1354,'Dvd Calendar'!$Z$1347)=0))&gt;0)=0,"",'Dvd Calendar'!$Z$1347*1000000000+ISNUMBER('Dvd Calendar'!$Z$1350)*100000000+('Dvd Calendar'!$Z$1352=SPECIAL_LBL)*10000000+(N('Dvd Calendar'!$Z$1346)&gt;0)*(N('Dvd Calendar'!$Z$1346)&lt;=VAL_SERIAL)*1000000+22*1000+22))</f>
        <v/>
      </c>
      <c r="FA137" s="39">
        <f>IF(N('Dvd Calendar'!$AA$1347)=0,"",IF(('Dvd Calendar'!$AA$1347&gt;=GRID_FROM)*('Dvd Calendar'!$AA$1347&lt;=GRID_TO)*((('Dvd Calendar'!$AA$1347&lt;=VAL_DATE)+(COUNTIF('Dvd Calendar'!$E$1354:$AR$1354,'Dvd Calendar'!$AA$1347)=0))&gt;0)=0,"",'Dvd Calendar'!$AA$1347*1000000000+ISNUMBER('Dvd Calendar'!$AA$1350)*100000000+('Dvd Calendar'!$AA$1352=SPECIAL_LBL)*10000000+(N('Dvd Calendar'!$AA$1346)&gt;0)*(N('Dvd Calendar'!$AA$1346)&lt;=VAL_SERIAL)*1000000+22*1000+23))</f>
        <v/>
      </c>
      <c r="FB137" s="39">
        <f>IF(N('Dvd Calendar'!$AB$1347)=0,"",IF(('Dvd Calendar'!$AB$1347&gt;=GRID_FROM)*('Dvd Calendar'!$AB$1347&lt;=GRID_TO)*((('Dvd Calendar'!$AB$1347&lt;=VAL_DATE)+(COUNTIF('Dvd Calendar'!$E$1354:$AR$1354,'Dvd Calendar'!$AB$1347)=0))&gt;0)=0,"",'Dvd Calendar'!$AB$1347*1000000000+ISNUMBER('Dvd Calendar'!$AB$1350)*100000000+('Dvd Calendar'!$AB$1352=SPECIAL_LBL)*10000000+(N('Dvd Calendar'!$AB$1346)&gt;0)*(N('Dvd Calendar'!$AB$1346)&lt;=VAL_SERIAL)*1000000+22*1000+24))</f>
        <v/>
      </c>
      <c r="FC137" s="39">
        <f>IF(N('Dvd Calendar'!$AC$1347)=0,"",IF(('Dvd Calendar'!$AC$1347&gt;=GRID_FROM)*('Dvd Calendar'!$AC$1347&lt;=GRID_TO)*((('Dvd Calendar'!$AC$1347&lt;=VAL_DATE)+(COUNTIF('Dvd Calendar'!$E$1354:$AR$1354,'Dvd Calendar'!$AC$1347)=0))&gt;0)=0,"",'Dvd Calendar'!$AC$1347*1000000000+ISNUMBER('Dvd Calendar'!$AC$1350)*100000000+('Dvd Calendar'!$AC$1352=SPECIAL_LBL)*10000000+(N('Dvd Calendar'!$AC$1346)&gt;0)*(N('Dvd Calendar'!$AC$1346)&lt;=VAL_SERIAL)*1000000+22*1000+25))</f>
        <v/>
      </c>
      <c r="FD137" s="39">
        <f>IF(N('Dvd Calendar'!$AD$1347)=0,"",IF(('Dvd Calendar'!$AD$1347&gt;=GRID_FROM)*('Dvd Calendar'!$AD$1347&lt;=GRID_TO)*((('Dvd Calendar'!$AD$1347&lt;=VAL_DATE)+(COUNTIF('Dvd Calendar'!$E$1354:$AR$1354,'Dvd Calendar'!$AD$1347)=0))&gt;0)=0,"",'Dvd Calendar'!$AD$1347*1000000000+ISNUMBER('Dvd Calendar'!$AD$1350)*100000000+('Dvd Calendar'!$AD$1352=SPECIAL_LBL)*10000000+(N('Dvd Calendar'!$AD$1346)&gt;0)*(N('Dvd Calendar'!$AD$1346)&lt;=VAL_SERIAL)*1000000+22*1000+26))</f>
        <v/>
      </c>
      <c r="FE137" s="39">
        <f>IF(N('Dvd Calendar'!$AE$1347)=0,"",IF(('Dvd Calendar'!$AE$1347&gt;=GRID_FROM)*('Dvd Calendar'!$AE$1347&lt;=GRID_TO)*((('Dvd Calendar'!$AE$1347&lt;=VAL_DATE)+(COUNTIF('Dvd Calendar'!$E$1354:$AR$1354,'Dvd Calendar'!$AE$1347)=0))&gt;0)=0,"",'Dvd Calendar'!$AE$1347*1000000000+ISNUMBER('Dvd Calendar'!$AE$1350)*100000000+('Dvd Calendar'!$AE$1352=SPECIAL_LBL)*10000000+(N('Dvd Calendar'!$AE$1346)&gt;0)*(N('Dvd Calendar'!$AE$1346)&lt;=VAL_SERIAL)*1000000+22*1000+27))</f>
        <v/>
      </c>
      <c r="FF137" s="39">
        <f>IF(N('Dvd Calendar'!$AF$1347)=0,"",IF(('Dvd Calendar'!$AF$1347&gt;=GRID_FROM)*('Dvd Calendar'!$AF$1347&lt;=GRID_TO)*((('Dvd Calendar'!$AF$1347&lt;=VAL_DATE)+(COUNTIF('Dvd Calendar'!$E$1354:$AR$1354,'Dvd Calendar'!$AF$1347)=0))&gt;0)=0,"",'Dvd Calendar'!$AF$1347*1000000000+ISNUMBER('Dvd Calendar'!$AF$1350)*100000000+('Dvd Calendar'!$AF$1352=SPECIAL_LBL)*10000000+(N('Dvd Calendar'!$AF$1346)&gt;0)*(N('Dvd Calendar'!$AF$1346)&lt;=VAL_SERIAL)*1000000+22*1000+28))</f>
        <v/>
      </c>
      <c r="FG137" s="39">
        <f>IF(N('Dvd Calendar'!$AG$1347)=0,"",IF(('Dvd Calendar'!$AG$1347&gt;=GRID_FROM)*('Dvd Calendar'!$AG$1347&lt;=GRID_TO)*((('Dvd Calendar'!$AG$1347&lt;=VAL_DATE)+(COUNTIF('Dvd Calendar'!$E$1354:$AR$1354,'Dvd Calendar'!$AG$1347)=0))&gt;0)=0,"",'Dvd Calendar'!$AG$1347*1000000000+ISNUMBER('Dvd Calendar'!$AG$1350)*100000000+('Dvd Calendar'!$AG$1352=SPECIAL_LBL)*10000000+(N('Dvd Calendar'!$AG$1346)&gt;0)*(N('Dvd Calendar'!$AG$1346)&lt;=VAL_SERIAL)*1000000+22*1000+29))</f>
        <v/>
      </c>
      <c r="FH137" s="39">
        <f>IF(N('Dvd Calendar'!$AH$1347)=0,"",IF(('Dvd Calendar'!$AH$1347&gt;=GRID_FROM)*('Dvd Calendar'!$AH$1347&lt;=GRID_TO)*((('Dvd Calendar'!$AH$1347&lt;=VAL_DATE)+(COUNTIF('Dvd Calendar'!$E$1354:$AR$1354,'Dvd Calendar'!$AH$1347)=0))&gt;0)=0,"",'Dvd Calendar'!$AH$1347*1000000000+ISNUMBER('Dvd Calendar'!$AH$1350)*100000000+('Dvd Calendar'!$AH$1352=SPECIAL_LBL)*10000000+(N('Dvd Calendar'!$AH$1346)&gt;0)*(N('Dvd Calendar'!$AH$1346)&lt;=VAL_SERIAL)*1000000+22*1000+30))</f>
        <v/>
      </c>
      <c r="FI137" s="39">
        <f>IF(N('Dvd Calendar'!$AI$1347)=0,"",IF(('Dvd Calendar'!$AI$1347&gt;=GRID_FROM)*('Dvd Calendar'!$AI$1347&lt;=GRID_TO)*((('Dvd Calendar'!$AI$1347&lt;=VAL_DATE)+(COUNTIF('Dvd Calendar'!$E$1354:$AR$1354,'Dvd Calendar'!$AI$1347)=0))&gt;0)=0,"",'Dvd Calendar'!$AI$1347*1000000000+ISNUMBER('Dvd Calendar'!$AI$1350)*100000000+('Dvd Calendar'!$AI$1352=SPECIAL_LBL)*10000000+(N('Dvd Calendar'!$AI$1346)&gt;0)*(N('Dvd Calendar'!$AI$1346)&lt;=VAL_SERIAL)*1000000+22*1000+31))</f>
        <v/>
      </c>
      <c r="FJ137" s="39">
        <f>IF(N('Dvd Calendar'!$AJ$1347)=0,"",IF(('Dvd Calendar'!$AJ$1347&gt;=GRID_FROM)*('Dvd Calendar'!$AJ$1347&lt;=GRID_TO)*((('Dvd Calendar'!$AJ$1347&lt;=VAL_DATE)+(COUNTIF('Dvd Calendar'!$E$1354:$AR$1354,'Dvd Calendar'!$AJ$1347)=0))&gt;0)=0,"",'Dvd Calendar'!$AJ$1347*1000000000+ISNUMBER('Dvd Calendar'!$AJ$1350)*100000000+('Dvd Calendar'!$AJ$1352=SPECIAL_LBL)*10000000+(N('Dvd Calendar'!$AJ$1346)&gt;0)*(N('Dvd Calendar'!$AJ$1346)&lt;=VAL_SERIAL)*1000000+22*1000+32))</f>
        <v/>
      </c>
      <c r="FK137" s="39">
        <f>IF(N('Dvd Calendar'!$AK$1347)=0,"",IF(('Dvd Calendar'!$AK$1347&gt;=GRID_FROM)*('Dvd Calendar'!$AK$1347&lt;=GRID_TO)*((('Dvd Calendar'!$AK$1347&lt;=VAL_DATE)+(COUNTIF('Dvd Calendar'!$E$1354:$AR$1354,'Dvd Calendar'!$AK$1347)=0))&gt;0)=0,"",'Dvd Calendar'!$AK$1347*1000000000+ISNUMBER('Dvd Calendar'!$AK$1350)*100000000+('Dvd Calendar'!$AK$1352=SPECIAL_LBL)*10000000+(N('Dvd Calendar'!$AK$1346)&gt;0)*(N('Dvd Calendar'!$AK$1346)&lt;=VAL_SERIAL)*1000000+22*1000+33))</f>
        <v/>
      </c>
      <c r="FL137" s="39">
        <f>IF(N('Dvd Calendar'!$AL$1347)=0,"",IF(('Dvd Calendar'!$AL$1347&gt;=GRID_FROM)*('Dvd Calendar'!$AL$1347&lt;=GRID_TO)*((('Dvd Calendar'!$AL$1347&lt;=VAL_DATE)+(COUNTIF('Dvd Calendar'!$E$1354:$AR$1354,'Dvd Calendar'!$AL$1347)=0))&gt;0)=0,"",'Dvd Calendar'!$AL$1347*1000000000+ISNUMBER('Dvd Calendar'!$AL$1350)*100000000+('Dvd Calendar'!$AL$1352=SPECIAL_LBL)*10000000+(N('Dvd Calendar'!$AL$1346)&gt;0)*(N('Dvd Calendar'!$AL$1346)&lt;=VAL_SERIAL)*1000000+22*1000+34))</f>
        <v/>
      </c>
      <c r="FM137" s="39">
        <f>IF(N('Dvd Calendar'!$AM$1347)=0,"",IF(('Dvd Calendar'!$AM$1347&gt;=GRID_FROM)*('Dvd Calendar'!$AM$1347&lt;=GRID_TO)*((('Dvd Calendar'!$AM$1347&lt;=VAL_DATE)+(COUNTIF('Dvd Calendar'!$E$1354:$AR$1354,'Dvd Calendar'!$AM$1347)=0))&gt;0)=0,"",'Dvd Calendar'!$AM$1347*1000000000+ISNUMBER('Dvd Calendar'!$AM$1350)*100000000+('Dvd Calendar'!$AM$1352=SPECIAL_LBL)*10000000+(N('Dvd Calendar'!$AM$1346)&gt;0)*(N('Dvd Calendar'!$AM$1346)&lt;=VAL_SERIAL)*1000000+22*1000+35))</f>
        <v/>
      </c>
      <c r="FN137" s="39">
        <f>IF(N('Dvd Calendar'!$AN$1347)=0,"",IF(('Dvd Calendar'!$AN$1347&gt;=GRID_FROM)*('Dvd Calendar'!$AN$1347&lt;=GRID_TO)*((('Dvd Calendar'!$AN$1347&lt;=VAL_DATE)+(COUNTIF('Dvd Calendar'!$E$1354:$AR$1354,'Dvd Calendar'!$AN$1347)=0))&gt;0)=0,"",'Dvd Calendar'!$AN$1347*1000000000+ISNUMBER('Dvd Calendar'!$AN$1350)*100000000+('Dvd Calendar'!$AN$1352=SPECIAL_LBL)*10000000+(N('Dvd Calendar'!$AN$1346)&gt;0)*(N('Dvd Calendar'!$AN$1346)&lt;=VAL_SERIAL)*1000000+22*1000+36))</f>
        <v/>
      </c>
      <c r="FO137" s="39">
        <f>IF(N('Dvd Calendar'!$AO$1347)=0,"",IF(('Dvd Calendar'!$AO$1347&gt;=GRID_FROM)*('Dvd Calendar'!$AO$1347&lt;=GRID_TO)*((('Dvd Calendar'!$AO$1347&lt;=VAL_DATE)+(COUNTIF('Dvd Calendar'!$E$1354:$AR$1354,'Dvd Calendar'!$AO$1347)=0))&gt;0)=0,"",'Dvd Calendar'!$AO$1347*1000000000+ISNUMBER('Dvd Calendar'!$AO$1350)*100000000+('Dvd Calendar'!$AO$1352=SPECIAL_LBL)*10000000+(N('Dvd Calendar'!$AO$1346)&gt;0)*(N('Dvd Calendar'!$AO$1346)&lt;=VAL_SERIAL)*1000000+22*1000+37))</f>
        <v/>
      </c>
      <c r="FP137" s="39">
        <f>IF(N('Dvd Calendar'!$AP$1347)=0,"",IF(('Dvd Calendar'!$AP$1347&gt;=GRID_FROM)*('Dvd Calendar'!$AP$1347&lt;=GRID_TO)*((('Dvd Calendar'!$AP$1347&lt;=VAL_DATE)+(COUNTIF('Dvd Calendar'!$E$1354:$AR$1354,'Dvd Calendar'!$AP$1347)=0))&gt;0)=0,"",'Dvd Calendar'!$AP$1347*1000000000+ISNUMBER('Dvd Calendar'!$AP$1350)*100000000+('Dvd Calendar'!$AP$1352=SPECIAL_LBL)*10000000+(N('Dvd Calendar'!$AP$1346)&gt;0)*(N('Dvd Calendar'!$AP$1346)&lt;=VAL_SERIAL)*1000000+22*1000+38))</f>
        <v/>
      </c>
      <c r="FQ137" s="39">
        <f>IF(N('Dvd Calendar'!$AQ$1347)=0,"",IF(('Dvd Calendar'!$AQ$1347&gt;=GRID_FROM)*('Dvd Calendar'!$AQ$1347&lt;=GRID_TO)*((('Dvd Calendar'!$AQ$1347&lt;=VAL_DATE)+(COUNTIF('Dvd Calendar'!$E$1354:$AR$1354,'Dvd Calendar'!$AQ$1347)=0))&gt;0)=0,"",'Dvd Calendar'!$AQ$1347*1000000000+ISNUMBER('Dvd Calendar'!$AQ$1350)*100000000+('Dvd Calendar'!$AQ$1352=SPECIAL_LBL)*10000000+(N('Dvd Calendar'!$AQ$1346)&gt;0)*(N('Dvd Calendar'!$AQ$1346)&lt;=VAL_SERIAL)*1000000+22*1000+39))</f>
        <v/>
      </c>
      <c r="FR137" s="39">
        <f>IF(N('Dvd Calendar'!$AR$1347)=0,"",IF(('Dvd Calendar'!$AR$1347&gt;=GRID_FROM)*('Dvd Calendar'!$AR$1347&lt;=GRID_TO)*((('Dvd Calendar'!$AR$1347&lt;=VAL_DATE)+(COUNTIF('Dvd Calendar'!$E$1354:$AR$1354,'Dvd Calendar'!$AR$1347)=0))&gt;0)=0,"",'Dvd Calendar'!$AR$1347*1000000000+ISNUMBER('Dvd Calendar'!$AR$1350)*100000000+('Dvd Calendar'!$AR$1352=SPECIAL_LBL)*10000000+(N('Dvd Calendar'!$AR$1346)&gt;0)*(N('Dvd Calendar'!$AR$1346)&lt;=VAL_SERIAL)*1000000+22*1000+40))</f>
        <v/>
      </c>
      <c r="FS137" s="39">
        <f>IF(N('Dvd Calendar'!$E$1354)=0,"",IF(('Dvd Calendar'!$E$1354&gt;=GRID_FROM)*('Dvd Calendar'!$E$1354&lt;=GRID_TO)*('Dvd Calendar'!$E$1354&gt;VAL_DATE)=0,"",'Dvd Calendar'!$E$1354*1000000000+ISNUMBER('Dvd Calendar'!$E$1355)*100000000+0*10000000+(N('Dvd Calendar'!$E$1353)&gt;0)*(N('Dvd Calendar'!$E$1353)&lt;=VAL_SERIAL)*1000000+22*1000+41))</f>
        <v/>
      </c>
      <c r="FT137" s="39">
        <f>IF(N('Dvd Calendar'!$F$1354)=0,"",IF(('Dvd Calendar'!$F$1354&gt;=GRID_FROM)*('Dvd Calendar'!$F$1354&lt;=GRID_TO)*('Dvd Calendar'!$F$1354&gt;VAL_DATE)=0,"",'Dvd Calendar'!$F$1354*1000000000+ISNUMBER('Dvd Calendar'!$F$1355)*100000000+0*10000000+(N('Dvd Calendar'!$F$1353)&gt;0)*(N('Dvd Calendar'!$F$1353)&lt;=VAL_SERIAL)*1000000+22*1000+42))</f>
        <v/>
      </c>
      <c r="FU137" s="39">
        <f>IF(N('Dvd Calendar'!$G$1354)=0,"",IF(('Dvd Calendar'!$G$1354&gt;=GRID_FROM)*('Dvd Calendar'!$G$1354&lt;=GRID_TO)*('Dvd Calendar'!$G$1354&gt;VAL_DATE)=0,"",'Dvd Calendar'!$G$1354*1000000000+ISNUMBER('Dvd Calendar'!$G$1355)*100000000+0*10000000+(N('Dvd Calendar'!$G$1353)&gt;0)*(N('Dvd Calendar'!$G$1353)&lt;=VAL_SERIAL)*1000000+22*1000+43))</f>
        <v/>
      </c>
      <c r="FV137" s="39">
        <f>IF(N('Dvd Calendar'!$H$1354)=0,"",IF(('Dvd Calendar'!$H$1354&gt;=GRID_FROM)*('Dvd Calendar'!$H$1354&lt;=GRID_TO)*('Dvd Calendar'!$H$1354&gt;VAL_DATE)=0,"",'Dvd Calendar'!$H$1354*1000000000+ISNUMBER('Dvd Calendar'!$H$1355)*100000000+0*10000000+(N('Dvd Calendar'!$H$1353)&gt;0)*(N('Dvd Calendar'!$H$1353)&lt;=VAL_SERIAL)*1000000+22*1000+44))</f>
        <v/>
      </c>
      <c r="FW137" s="39">
        <f>IF(N('Dvd Calendar'!$I$1354)=0,"",IF(('Dvd Calendar'!$I$1354&gt;=GRID_FROM)*('Dvd Calendar'!$I$1354&lt;=GRID_TO)*('Dvd Calendar'!$I$1354&gt;VAL_DATE)=0,"",'Dvd Calendar'!$I$1354*1000000000+ISNUMBER('Dvd Calendar'!$I$1355)*100000000+0*10000000+(N('Dvd Calendar'!$I$1353)&gt;0)*(N('Dvd Calendar'!$I$1353)&lt;=VAL_SERIAL)*1000000+22*1000+45))</f>
        <v/>
      </c>
      <c r="FX137" s="39">
        <f>IF(N('Dvd Calendar'!$J$1354)=0,"",IF(('Dvd Calendar'!$J$1354&gt;=GRID_FROM)*('Dvd Calendar'!$J$1354&lt;=GRID_TO)*('Dvd Calendar'!$J$1354&gt;VAL_DATE)=0,"",'Dvd Calendar'!$J$1354*1000000000+ISNUMBER('Dvd Calendar'!$J$1355)*100000000+0*10000000+(N('Dvd Calendar'!$J$1353)&gt;0)*(N('Dvd Calendar'!$J$1353)&lt;=VAL_SERIAL)*1000000+22*1000+46))</f>
        <v/>
      </c>
      <c r="FY137" s="39">
        <f>IF(N('Dvd Calendar'!$K$1354)=0,"",IF(('Dvd Calendar'!$K$1354&gt;=GRID_FROM)*('Dvd Calendar'!$K$1354&lt;=GRID_TO)*('Dvd Calendar'!$K$1354&gt;VAL_DATE)=0,"",'Dvd Calendar'!$K$1354*1000000000+ISNUMBER('Dvd Calendar'!$K$1355)*100000000+0*10000000+(N('Dvd Calendar'!$K$1353)&gt;0)*(N('Dvd Calendar'!$K$1353)&lt;=VAL_SERIAL)*1000000+22*1000+47))</f>
        <v/>
      </c>
      <c r="FZ137" s="39">
        <f>IF(N('Dvd Calendar'!$L$1354)=0,"",IF(('Dvd Calendar'!$L$1354&gt;=GRID_FROM)*('Dvd Calendar'!$L$1354&lt;=GRID_TO)*('Dvd Calendar'!$L$1354&gt;VAL_DATE)=0,"",'Dvd Calendar'!$L$1354*1000000000+ISNUMBER('Dvd Calendar'!$L$1355)*100000000+0*10000000+(N('Dvd Calendar'!$L$1353)&gt;0)*(N('Dvd Calendar'!$L$1353)&lt;=VAL_SERIAL)*1000000+22*1000+48))</f>
        <v/>
      </c>
      <c r="GA137" s="39">
        <f>IF(N('Dvd Calendar'!$M$1354)=0,"",IF(('Dvd Calendar'!$M$1354&gt;=GRID_FROM)*('Dvd Calendar'!$M$1354&lt;=GRID_TO)*('Dvd Calendar'!$M$1354&gt;VAL_DATE)=0,"",'Dvd Calendar'!$M$1354*1000000000+ISNUMBER('Dvd Calendar'!$M$1355)*100000000+0*10000000+(N('Dvd Calendar'!$M$1353)&gt;0)*(N('Dvd Calendar'!$M$1353)&lt;=VAL_SERIAL)*1000000+22*1000+49))</f>
        <v/>
      </c>
      <c r="GB137" s="39">
        <f>IF(N('Dvd Calendar'!$N$1354)=0,"",IF(('Dvd Calendar'!$N$1354&gt;=GRID_FROM)*('Dvd Calendar'!$N$1354&lt;=GRID_TO)*('Dvd Calendar'!$N$1354&gt;VAL_DATE)=0,"",'Dvd Calendar'!$N$1354*1000000000+ISNUMBER('Dvd Calendar'!$N$1355)*100000000+0*10000000+(N('Dvd Calendar'!$N$1353)&gt;0)*(N('Dvd Calendar'!$N$1353)&lt;=VAL_SERIAL)*1000000+22*1000+50))</f>
        <v/>
      </c>
      <c r="GC137" s="39">
        <f>IF(N('Dvd Calendar'!$O$1354)=0,"",IF(('Dvd Calendar'!$O$1354&gt;=GRID_FROM)*('Dvd Calendar'!$O$1354&lt;=GRID_TO)*('Dvd Calendar'!$O$1354&gt;VAL_DATE)=0,"",'Dvd Calendar'!$O$1354*1000000000+ISNUMBER('Dvd Calendar'!$O$1355)*100000000+0*10000000+(N('Dvd Calendar'!$O$1353)&gt;0)*(N('Dvd Calendar'!$O$1353)&lt;=VAL_SERIAL)*1000000+22*1000+51))</f>
        <v/>
      </c>
      <c r="GD137" s="39">
        <f>IF(N('Dvd Calendar'!$P$1354)=0,"",IF(('Dvd Calendar'!$P$1354&gt;=GRID_FROM)*('Dvd Calendar'!$P$1354&lt;=GRID_TO)*('Dvd Calendar'!$P$1354&gt;VAL_DATE)=0,"",'Dvd Calendar'!$P$1354*1000000000+ISNUMBER('Dvd Calendar'!$P$1355)*100000000+0*10000000+(N('Dvd Calendar'!$P$1353)&gt;0)*(N('Dvd Calendar'!$P$1353)&lt;=VAL_SERIAL)*1000000+22*1000+52))</f>
        <v/>
      </c>
      <c r="GE137" s="39">
        <f>IF(N('Dvd Calendar'!$Q$1354)=0,"",IF(('Dvd Calendar'!$Q$1354&gt;=GRID_FROM)*('Dvd Calendar'!$Q$1354&lt;=GRID_TO)*('Dvd Calendar'!$Q$1354&gt;VAL_DATE)=0,"",'Dvd Calendar'!$Q$1354*1000000000+ISNUMBER('Dvd Calendar'!$Q$1355)*100000000+0*10000000+(N('Dvd Calendar'!$Q$1353)&gt;0)*(N('Dvd Calendar'!$Q$1353)&lt;=VAL_SERIAL)*1000000+22*1000+53))</f>
        <v/>
      </c>
      <c r="GF137" s="39">
        <f>IF(N('Dvd Calendar'!$R$1354)=0,"",IF(('Dvd Calendar'!$R$1354&gt;=GRID_FROM)*('Dvd Calendar'!$R$1354&lt;=GRID_TO)*('Dvd Calendar'!$R$1354&gt;VAL_DATE)=0,"",'Dvd Calendar'!$R$1354*1000000000+ISNUMBER('Dvd Calendar'!$R$1355)*100000000+0*10000000+(N('Dvd Calendar'!$R$1353)&gt;0)*(N('Dvd Calendar'!$R$1353)&lt;=VAL_SERIAL)*1000000+22*1000+54))</f>
        <v/>
      </c>
      <c r="GG137" s="39">
        <f>IF(N('Dvd Calendar'!$S$1354)=0,"",IF(('Dvd Calendar'!$S$1354&gt;=GRID_FROM)*('Dvd Calendar'!$S$1354&lt;=GRID_TO)*('Dvd Calendar'!$S$1354&gt;VAL_DATE)=0,"",'Dvd Calendar'!$S$1354*1000000000+ISNUMBER('Dvd Calendar'!$S$1355)*100000000+0*10000000+(N('Dvd Calendar'!$S$1353)&gt;0)*(N('Dvd Calendar'!$S$1353)&lt;=VAL_SERIAL)*1000000+22*1000+55))</f>
        <v/>
      </c>
      <c r="GH137" s="39">
        <f>IF(N('Dvd Calendar'!$T$1354)=0,"",IF(('Dvd Calendar'!$T$1354&gt;=GRID_FROM)*('Dvd Calendar'!$T$1354&lt;=GRID_TO)*('Dvd Calendar'!$T$1354&gt;VAL_DATE)=0,"",'Dvd Calendar'!$T$1354*1000000000+ISNUMBER('Dvd Calendar'!$T$1355)*100000000+0*10000000+(N('Dvd Calendar'!$T$1353)&gt;0)*(N('Dvd Calendar'!$T$1353)&lt;=VAL_SERIAL)*1000000+22*1000+56))</f>
        <v/>
      </c>
      <c r="GI137" s="39">
        <f>IF(N('Dvd Calendar'!$U$1354)=0,"",IF(('Dvd Calendar'!$U$1354&gt;=GRID_FROM)*('Dvd Calendar'!$U$1354&lt;=GRID_TO)*('Dvd Calendar'!$U$1354&gt;VAL_DATE)=0,"",'Dvd Calendar'!$U$1354*1000000000+ISNUMBER('Dvd Calendar'!$U$1355)*100000000+0*10000000+(N('Dvd Calendar'!$U$1353)&gt;0)*(N('Dvd Calendar'!$U$1353)&lt;=VAL_SERIAL)*1000000+22*1000+57))</f>
        <v/>
      </c>
      <c r="GJ137" s="39">
        <f>IF(N('Dvd Calendar'!$V$1354)=0,"",IF(('Dvd Calendar'!$V$1354&gt;=GRID_FROM)*('Dvd Calendar'!$V$1354&lt;=GRID_TO)*('Dvd Calendar'!$V$1354&gt;VAL_DATE)=0,"",'Dvd Calendar'!$V$1354*1000000000+ISNUMBER('Dvd Calendar'!$V$1355)*100000000+0*10000000+(N('Dvd Calendar'!$V$1353)&gt;0)*(N('Dvd Calendar'!$V$1353)&lt;=VAL_SERIAL)*1000000+22*1000+58))</f>
        <v/>
      </c>
      <c r="GK137" s="39">
        <f>IF(N('Dvd Calendar'!$W$1354)=0,"",IF(('Dvd Calendar'!$W$1354&gt;=GRID_FROM)*('Dvd Calendar'!$W$1354&lt;=GRID_TO)*('Dvd Calendar'!$W$1354&gt;VAL_DATE)=0,"",'Dvd Calendar'!$W$1354*1000000000+ISNUMBER('Dvd Calendar'!$W$1355)*100000000+0*10000000+(N('Dvd Calendar'!$W$1353)&gt;0)*(N('Dvd Calendar'!$W$1353)&lt;=VAL_SERIAL)*1000000+22*1000+59))</f>
        <v/>
      </c>
      <c r="GL137" s="39">
        <f>IF(N('Dvd Calendar'!$X$1354)=0,"",IF(('Dvd Calendar'!$X$1354&gt;=GRID_FROM)*('Dvd Calendar'!$X$1354&lt;=GRID_TO)*('Dvd Calendar'!$X$1354&gt;VAL_DATE)=0,"",'Dvd Calendar'!$X$1354*1000000000+ISNUMBER('Dvd Calendar'!$X$1355)*100000000+0*10000000+(N('Dvd Calendar'!$X$1353)&gt;0)*(N('Dvd Calendar'!$X$1353)&lt;=VAL_SERIAL)*1000000+22*1000+60))</f>
        <v/>
      </c>
      <c r="GM137" s="39">
        <f>IF(N('Dvd Calendar'!$Y$1354)=0,"",IF(('Dvd Calendar'!$Y$1354&gt;=GRID_FROM)*('Dvd Calendar'!$Y$1354&lt;=GRID_TO)*('Dvd Calendar'!$Y$1354&gt;VAL_DATE)=0,"",'Dvd Calendar'!$Y$1354*1000000000+ISNUMBER('Dvd Calendar'!$Y$1355)*100000000+0*10000000+(N('Dvd Calendar'!$Y$1353)&gt;0)*(N('Dvd Calendar'!$Y$1353)&lt;=VAL_SERIAL)*1000000+22*1000+61))</f>
        <v/>
      </c>
      <c r="GN137" s="39">
        <f>IF(N('Dvd Calendar'!$Z$1354)=0,"",IF(('Dvd Calendar'!$Z$1354&gt;=GRID_FROM)*('Dvd Calendar'!$Z$1354&lt;=GRID_TO)*('Dvd Calendar'!$Z$1354&gt;VAL_DATE)=0,"",'Dvd Calendar'!$Z$1354*1000000000+ISNUMBER('Dvd Calendar'!$Z$1355)*100000000+0*10000000+(N('Dvd Calendar'!$Z$1353)&gt;0)*(N('Dvd Calendar'!$Z$1353)&lt;=VAL_SERIAL)*1000000+22*1000+62))</f>
        <v/>
      </c>
      <c r="GO137" s="39">
        <f>IF(N('Dvd Calendar'!$AA$1354)=0,"",IF(('Dvd Calendar'!$AA$1354&gt;=GRID_FROM)*('Dvd Calendar'!$AA$1354&lt;=GRID_TO)*('Dvd Calendar'!$AA$1354&gt;VAL_DATE)=0,"",'Dvd Calendar'!$AA$1354*1000000000+ISNUMBER('Dvd Calendar'!$AA$1355)*100000000+0*10000000+(N('Dvd Calendar'!$AA$1353)&gt;0)*(N('Dvd Calendar'!$AA$1353)&lt;=VAL_SERIAL)*1000000+22*1000+63))</f>
        <v/>
      </c>
      <c r="GP137" s="39">
        <f>IF(N('Dvd Calendar'!$AB$1354)=0,"",IF(('Dvd Calendar'!$AB$1354&gt;=GRID_FROM)*('Dvd Calendar'!$AB$1354&lt;=GRID_TO)*('Dvd Calendar'!$AB$1354&gt;VAL_DATE)=0,"",'Dvd Calendar'!$AB$1354*1000000000+ISNUMBER('Dvd Calendar'!$AB$1355)*100000000+0*10000000+(N('Dvd Calendar'!$AB$1353)&gt;0)*(N('Dvd Calendar'!$AB$1353)&lt;=VAL_SERIAL)*1000000+22*1000+64))</f>
        <v/>
      </c>
      <c r="GQ137" s="39">
        <f>IF(N('Dvd Calendar'!$AC$1354)=0,"",IF(('Dvd Calendar'!$AC$1354&gt;=GRID_FROM)*('Dvd Calendar'!$AC$1354&lt;=GRID_TO)*('Dvd Calendar'!$AC$1354&gt;VAL_DATE)=0,"",'Dvd Calendar'!$AC$1354*1000000000+ISNUMBER('Dvd Calendar'!$AC$1355)*100000000+0*10000000+(N('Dvd Calendar'!$AC$1353)&gt;0)*(N('Dvd Calendar'!$AC$1353)&lt;=VAL_SERIAL)*1000000+22*1000+65))</f>
        <v/>
      </c>
    </row>
    <row r="138">
      <c r="B138" s="2">
        <f>IF(HSTECH!$C$29="","",HSTECH!$C$29)</f>
        <v/>
      </c>
      <c r="C138" s="110">
        <f>IF(EE138="","",IF(ISNUMBER('Dvd Calendar'!$E$1361)=FALSE,"",IF((('Dvd Calendar'!$E$1363=TYPE1)*(TYPE1&lt;&gt;"")+('Dvd Calendar'!$E$1363=TYPE2)*(TYPE2&lt;&gt;"")+('Dvd Calendar'!$E$1363=TYPE3)*(TYPE3&lt;&gt;"")+('Dvd Calendar'!$E$1363=TYPE4)*(TYPE4&lt;&gt;"")+('Dvd Calendar'!$E$1363=SPECIAL_LBL)*(INC_SPECIALS="Y"))=0,"",'Dvd Calendar'!$E$1361)))</f>
        <v/>
      </c>
      <c r="D138" s="110">
        <f>IF(EF138="","",IF(ISNUMBER('Dvd Calendar'!$F$1361)=FALSE,"",IF((('Dvd Calendar'!$F$1363=TYPE1)*(TYPE1&lt;&gt;"")+('Dvd Calendar'!$F$1363=TYPE2)*(TYPE2&lt;&gt;"")+('Dvd Calendar'!$F$1363=TYPE3)*(TYPE3&lt;&gt;"")+('Dvd Calendar'!$F$1363=TYPE4)*(TYPE4&lt;&gt;"")+('Dvd Calendar'!$F$1363=SPECIAL_LBL)*(INC_SPECIALS="Y"))=0,"",'Dvd Calendar'!$F$1361)))</f>
        <v/>
      </c>
      <c r="E138" s="110">
        <f>IF(EG138="","",IF(ISNUMBER('Dvd Calendar'!$G$1361)=FALSE,"",IF((('Dvd Calendar'!$G$1363=TYPE1)*(TYPE1&lt;&gt;"")+('Dvd Calendar'!$G$1363=TYPE2)*(TYPE2&lt;&gt;"")+('Dvd Calendar'!$G$1363=TYPE3)*(TYPE3&lt;&gt;"")+('Dvd Calendar'!$G$1363=TYPE4)*(TYPE4&lt;&gt;"")+('Dvd Calendar'!$G$1363=SPECIAL_LBL)*(INC_SPECIALS="Y"))=0,"",'Dvd Calendar'!$G$1361)))</f>
        <v/>
      </c>
      <c r="F138" s="110">
        <f>IF(EH138="","",IF(ISNUMBER('Dvd Calendar'!$H$1361)=FALSE,"",IF((('Dvd Calendar'!$H$1363=TYPE1)*(TYPE1&lt;&gt;"")+('Dvd Calendar'!$H$1363=TYPE2)*(TYPE2&lt;&gt;"")+('Dvd Calendar'!$H$1363=TYPE3)*(TYPE3&lt;&gt;"")+('Dvd Calendar'!$H$1363=TYPE4)*(TYPE4&lt;&gt;"")+('Dvd Calendar'!$H$1363=SPECIAL_LBL)*(INC_SPECIALS="Y"))=0,"",'Dvd Calendar'!$H$1361)))</f>
        <v/>
      </c>
      <c r="G138" s="110">
        <f>IF(EI138="","",IF(ISNUMBER('Dvd Calendar'!$I$1361)=FALSE,"",IF((('Dvd Calendar'!$I$1363=TYPE1)*(TYPE1&lt;&gt;"")+('Dvd Calendar'!$I$1363=TYPE2)*(TYPE2&lt;&gt;"")+('Dvd Calendar'!$I$1363=TYPE3)*(TYPE3&lt;&gt;"")+('Dvd Calendar'!$I$1363=TYPE4)*(TYPE4&lt;&gt;"")+('Dvd Calendar'!$I$1363=SPECIAL_LBL)*(INC_SPECIALS="Y"))=0,"",'Dvd Calendar'!$I$1361)))</f>
        <v/>
      </c>
      <c r="H138" s="110">
        <f>IF(EJ138="","",IF(ISNUMBER('Dvd Calendar'!$J$1361)=FALSE,"",IF((('Dvd Calendar'!$J$1363=TYPE1)*(TYPE1&lt;&gt;"")+('Dvd Calendar'!$J$1363=TYPE2)*(TYPE2&lt;&gt;"")+('Dvd Calendar'!$J$1363=TYPE3)*(TYPE3&lt;&gt;"")+('Dvd Calendar'!$J$1363=TYPE4)*(TYPE4&lt;&gt;"")+('Dvd Calendar'!$J$1363=SPECIAL_LBL)*(INC_SPECIALS="Y"))=0,"",'Dvd Calendar'!$J$1361)))</f>
        <v/>
      </c>
      <c r="I138" s="110">
        <f>IF(EK138="","",IF(ISNUMBER('Dvd Calendar'!$K$1361)=FALSE,"",IF((('Dvd Calendar'!$K$1363=TYPE1)*(TYPE1&lt;&gt;"")+('Dvd Calendar'!$K$1363=TYPE2)*(TYPE2&lt;&gt;"")+('Dvd Calendar'!$K$1363=TYPE3)*(TYPE3&lt;&gt;"")+('Dvd Calendar'!$K$1363=TYPE4)*(TYPE4&lt;&gt;"")+('Dvd Calendar'!$K$1363=SPECIAL_LBL)*(INC_SPECIALS="Y"))=0,"",'Dvd Calendar'!$K$1361)))</f>
        <v/>
      </c>
      <c r="J138" s="110">
        <f>IF(EL138="","",IF(ISNUMBER('Dvd Calendar'!$L$1361)=FALSE,"",IF((('Dvd Calendar'!$L$1363=TYPE1)*(TYPE1&lt;&gt;"")+('Dvd Calendar'!$L$1363=TYPE2)*(TYPE2&lt;&gt;"")+('Dvd Calendar'!$L$1363=TYPE3)*(TYPE3&lt;&gt;"")+('Dvd Calendar'!$L$1363=TYPE4)*(TYPE4&lt;&gt;"")+('Dvd Calendar'!$L$1363=SPECIAL_LBL)*(INC_SPECIALS="Y"))=0,"",'Dvd Calendar'!$L$1361)))</f>
        <v/>
      </c>
      <c r="K138" s="110">
        <f>IF(EM138="","",IF(ISNUMBER('Dvd Calendar'!$M$1361)=FALSE,"",IF((('Dvd Calendar'!$M$1363=TYPE1)*(TYPE1&lt;&gt;"")+('Dvd Calendar'!$M$1363=TYPE2)*(TYPE2&lt;&gt;"")+('Dvd Calendar'!$M$1363=TYPE3)*(TYPE3&lt;&gt;"")+('Dvd Calendar'!$M$1363=TYPE4)*(TYPE4&lt;&gt;"")+('Dvd Calendar'!$M$1363=SPECIAL_LBL)*(INC_SPECIALS="Y"))=0,"",'Dvd Calendar'!$M$1361)))</f>
        <v/>
      </c>
      <c r="L138" s="110">
        <f>IF(EN138="","",IF(ISNUMBER('Dvd Calendar'!$N$1361)=FALSE,"",IF((('Dvd Calendar'!$N$1363=TYPE1)*(TYPE1&lt;&gt;"")+('Dvd Calendar'!$N$1363=TYPE2)*(TYPE2&lt;&gt;"")+('Dvd Calendar'!$N$1363=TYPE3)*(TYPE3&lt;&gt;"")+('Dvd Calendar'!$N$1363=TYPE4)*(TYPE4&lt;&gt;"")+('Dvd Calendar'!$N$1363=SPECIAL_LBL)*(INC_SPECIALS="Y"))=0,"",'Dvd Calendar'!$N$1361)))</f>
        <v/>
      </c>
      <c r="M138" s="110">
        <f>IF(EO138="","",IF(ISNUMBER('Dvd Calendar'!$O$1361)=FALSE,"",IF((('Dvd Calendar'!$O$1363=TYPE1)*(TYPE1&lt;&gt;"")+('Dvd Calendar'!$O$1363=TYPE2)*(TYPE2&lt;&gt;"")+('Dvd Calendar'!$O$1363=TYPE3)*(TYPE3&lt;&gt;"")+('Dvd Calendar'!$O$1363=TYPE4)*(TYPE4&lt;&gt;"")+('Dvd Calendar'!$O$1363=SPECIAL_LBL)*(INC_SPECIALS="Y"))=0,"",'Dvd Calendar'!$O$1361)))</f>
        <v/>
      </c>
      <c r="N138" s="110">
        <f>IF(EP138="","",IF(ISNUMBER('Dvd Calendar'!$P$1361)=FALSE,"",IF((('Dvd Calendar'!$P$1363=TYPE1)*(TYPE1&lt;&gt;"")+('Dvd Calendar'!$P$1363=TYPE2)*(TYPE2&lt;&gt;"")+('Dvd Calendar'!$P$1363=TYPE3)*(TYPE3&lt;&gt;"")+('Dvd Calendar'!$P$1363=TYPE4)*(TYPE4&lt;&gt;"")+('Dvd Calendar'!$P$1363=SPECIAL_LBL)*(INC_SPECIALS="Y"))=0,"",'Dvd Calendar'!$P$1361)))</f>
        <v/>
      </c>
      <c r="O138" s="110">
        <f>IF(EQ138="","",IF(ISNUMBER('Dvd Calendar'!$Q$1361)=FALSE,"",IF((('Dvd Calendar'!$Q$1363=TYPE1)*(TYPE1&lt;&gt;"")+('Dvd Calendar'!$Q$1363=TYPE2)*(TYPE2&lt;&gt;"")+('Dvd Calendar'!$Q$1363=TYPE3)*(TYPE3&lt;&gt;"")+('Dvd Calendar'!$Q$1363=TYPE4)*(TYPE4&lt;&gt;"")+('Dvd Calendar'!$Q$1363=SPECIAL_LBL)*(INC_SPECIALS="Y"))=0,"",'Dvd Calendar'!$Q$1361)))</f>
        <v/>
      </c>
      <c r="P138" s="110">
        <f>IF(ER138="","",IF(ISNUMBER('Dvd Calendar'!$R$1361)=FALSE,"",IF((('Dvd Calendar'!$R$1363=TYPE1)*(TYPE1&lt;&gt;"")+('Dvd Calendar'!$R$1363=TYPE2)*(TYPE2&lt;&gt;"")+('Dvd Calendar'!$R$1363=TYPE3)*(TYPE3&lt;&gt;"")+('Dvd Calendar'!$R$1363=TYPE4)*(TYPE4&lt;&gt;"")+('Dvd Calendar'!$R$1363=SPECIAL_LBL)*(INC_SPECIALS="Y"))=0,"",'Dvd Calendar'!$R$1361)))</f>
        <v/>
      </c>
      <c r="Q138" s="110">
        <f>IF(ES138="","",IF(ISNUMBER('Dvd Calendar'!$S$1361)=FALSE,"",IF((('Dvd Calendar'!$S$1363=TYPE1)*(TYPE1&lt;&gt;"")+('Dvd Calendar'!$S$1363=TYPE2)*(TYPE2&lt;&gt;"")+('Dvd Calendar'!$S$1363=TYPE3)*(TYPE3&lt;&gt;"")+('Dvd Calendar'!$S$1363=TYPE4)*(TYPE4&lt;&gt;"")+('Dvd Calendar'!$S$1363=SPECIAL_LBL)*(INC_SPECIALS="Y"))=0,"",'Dvd Calendar'!$S$1361)))</f>
        <v/>
      </c>
      <c r="R138" s="110">
        <f>IF(ET138="","",IF(ISNUMBER('Dvd Calendar'!$T$1361)=FALSE,"",IF((('Dvd Calendar'!$T$1363=TYPE1)*(TYPE1&lt;&gt;"")+('Dvd Calendar'!$T$1363=TYPE2)*(TYPE2&lt;&gt;"")+('Dvd Calendar'!$T$1363=TYPE3)*(TYPE3&lt;&gt;"")+('Dvd Calendar'!$T$1363=TYPE4)*(TYPE4&lt;&gt;"")+('Dvd Calendar'!$T$1363=SPECIAL_LBL)*(INC_SPECIALS="Y"))=0,"",'Dvd Calendar'!$T$1361)))</f>
        <v/>
      </c>
      <c r="S138" s="110">
        <f>IF(EU138="","",IF(ISNUMBER('Dvd Calendar'!$U$1361)=FALSE,"",IF((('Dvd Calendar'!$U$1363=TYPE1)*(TYPE1&lt;&gt;"")+('Dvd Calendar'!$U$1363=TYPE2)*(TYPE2&lt;&gt;"")+('Dvd Calendar'!$U$1363=TYPE3)*(TYPE3&lt;&gt;"")+('Dvd Calendar'!$U$1363=TYPE4)*(TYPE4&lt;&gt;"")+('Dvd Calendar'!$U$1363=SPECIAL_LBL)*(INC_SPECIALS="Y"))=0,"",'Dvd Calendar'!$U$1361)))</f>
        <v/>
      </c>
      <c r="T138" s="110">
        <f>IF(EV138="","",IF(ISNUMBER('Dvd Calendar'!$V$1361)=FALSE,"",IF((('Dvd Calendar'!$V$1363=TYPE1)*(TYPE1&lt;&gt;"")+('Dvd Calendar'!$V$1363=TYPE2)*(TYPE2&lt;&gt;"")+('Dvd Calendar'!$V$1363=TYPE3)*(TYPE3&lt;&gt;"")+('Dvd Calendar'!$V$1363=TYPE4)*(TYPE4&lt;&gt;"")+('Dvd Calendar'!$V$1363=SPECIAL_LBL)*(INC_SPECIALS="Y"))=0,"",'Dvd Calendar'!$V$1361)))</f>
        <v/>
      </c>
      <c r="U138" s="110">
        <f>IF(EW138="","",IF(ISNUMBER('Dvd Calendar'!$W$1361)=FALSE,"",IF((('Dvd Calendar'!$W$1363=TYPE1)*(TYPE1&lt;&gt;"")+('Dvd Calendar'!$W$1363=TYPE2)*(TYPE2&lt;&gt;"")+('Dvd Calendar'!$W$1363=TYPE3)*(TYPE3&lt;&gt;"")+('Dvd Calendar'!$W$1363=TYPE4)*(TYPE4&lt;&gt;"")+('Dvd Calendar'!$W$1363=SPECIAL_LBL)*(INC_SPECIALS="Y"))=0,"",'Dvd Calendar'!$W$1361)))</f>
        <v/>
      </c>
      <c r="V138" s="110">
        <f>IF(EX138="","",IF(ISNUMBER('Dvd Calendar'!$X$1361)=FALSE,"",IF((('Dvd Calendar'!$X$1363=TYPE1)*(TYPE1&lt;&gt;"")+('Dvd Calendar'!$X$1363=TYPE2)*(TYPE2&lt;&gt;"")+('Dvd Calendar'!$X$1363=TYPE3)*(TYPE3&lt;&gt;"")+('Dvd Calendar'!$X$1363=TYPE4)*(TYPE4&lt;&gt;"")+('Dvd Calendar'!$X$1363=SPECIAL_LBL)*(INC_SPECIALS="Y"))=0,"",'Dvd Calendar'!$X$1361)))</f>
        <v/>
      </c>
      <c r="W138" s="110">
        <f>IF(EY138="","",IF(ISNUMBER('Dvd Calendar'!$Y$1361)=FALSE,"",IF((('Dvd Calendar'!$Y$1363=TYPE1)*(TYPE1&lt;&gt;"")+('Dvd Calendar'!$Y$1363=TYPE2)*(TYPE2&lt;&gt;"")+('Dvd Calendar'!$Y$1363=TYPE3)*(TYPE3&lt;&gt;"")+('Dvd Calendar'!$Y$1363=TYPE4)*(TYPE4&lt;&gt;"")+('Dvd Calendar'!$Y$1363=SPECIAL_LBL)*(INC_SPECIALS="Y"))=0,"",'Dvd Calendar'!$Y$1361)))</f>
        <v/>
      </c>
      <c r="X138" s="110">
        <f>IF(EZ138="","",IF(ISNUMBER('Dvd Calendar'!$Z$1361)=FALSE,"",IF((('Dvd Calendar'!$Z$1363=TYPE1)*(TYPE1&lt;&gt;"")+('Dvd Calendar'!$Z$1363=TYPE2)*(TYPE2&lt;&gt;"")+('Dvd Calendar'!$Z$1363=TYPE3)*(TYPE3&lt;&gt;"")+('Dvd Calendar'!$Z$1363=TYPE4)*(TYPE4&lt;&gt;"")+('Dvd Calendar'!$Z$1363=SPECIAL_LBL)*(INC_SPECIALS="Y"))=0,"",'Dvd Calendar'!$Z$1361)))</f>
        <v/>
      </c>
      <c r="Y138" s="110">
        <f>IF(FA138="","",IF(ISNUMBER('Dvd Calendar'!$AA$1361)=FALSE,"",IF((('Dvd Calendar'!$AA$1363=TYPE1)*(TYPE1&lt;&gt;"")+('Dvd Calendar'!$AA$1363=TYPE2)*(TYPE2&lt;&gt;"")+('Dvd Calendar'!$AA$1363=TYPE3)*(TYPE3&lt;&gt;"")+('Dvd Calendar'!$AA$1363=TYPE4)*(TYPE4&lt;&gt;"")+('Dvd Calendar'!$AA$1363=SPECIAL_LBL)*(INC_SPECIALS="Y"))=0,"",'Dvd Calendar'!$AA$1361)))</f>
        <v/>
      </c>
      <c r="Z138" s="110">
        <f>IF(FB138="","",IF(ISNUMBER('Dvd Calendar'!$AB$1361)=FALSE,"",IF((('Dvd Calendar'!$AB$1363=TYPE1)*(TYPE1&lt;&gt;"")+('Dvd Calendar'!$AB$1363=TYPE2)*(TYPE2&lt;&gt;"")+('Dvd Calendar'!$AB$1363=TYPE3)*(TYPE3&lt;&gt;"")+('Dvd Calendar'!$AB$1363=TYPE4)*(TYPE4&lt;&gt;"")+('Dvd Calendar'!$AB$1363=SPECIAL_LBL)*(INC_SPECIALS="Y"))=0,"",'Dvd Calendar'!$AB$1361)))</f>
        <v/>
      </c>
      <c r="AA138" s="110">
        <f>IF(FC138="","",IF(ISNUMBER('Dvd Calendar'!$AC$1361)=FALSE,"",IF((('Dvd Calendar'!$AC$1363=TYPE1)*(TYPE1&lt;&gt;"")+('Dvd Calendar'!$AC$1363=TYPE2)*(TYPE2&lt;&gt;"")+('Dvd Calendar'!$AC$1363=TYPE3)*(TYPE3&lt;&gt;"")+('Dvd Calendar'!$AC$1363=TYPE4)*(TYPE4&lt;&gt;"")+('Dvd Calendar'!$AC$1363=SPECIAL_LBL)*(INC_SPECIALS="Y"))=0,"",'Dvd Calendar'!$AC$1361)))</f>
        <v/>
      </c>
      <c r="AB138" s="110">
        <f>IF(FD138="","",IF(ISNUMBER('Dvd Calendar'!$AD$1361)=FALSE,"",IF((('Dvd Calendar'!$AD$1363=TYPE1)*(TYPE1&lt;&gt;"")+('Dvd Calendar'!$AD$1363=TYPE2)*(TYPE2&lt;&gt;"")+('Dvd Calendar'!$AD$1363=TYPE3)*(TYPE3&lt;&gt;"")+('Dvd Calendar'!$AD$1363=TYPE4)*(TYPE4&lt;&gt;"")+('Dvd Calendar'!$AD$1363=SPECIAL_LBL)*(INC_SPECIALS="Y"))=0,"",'Dvd Calendar'!$AD$1361)))</f>
        <v/>
      </c>
      <c r="AC138" s="110">
        <f>IF(FE138="","",IF(ISNUMBER('Dvd Calendar'!$AE$1361)=FALSE,"",IF((('Dvd Calendar'!$AE$1363=TYPE1)*(TYPE1&lt;&gt;"")+('Dvd Calendar'!$AE$1363=TYPE2)*(TYPE2&lt;&gt;"")+('Dvd Calendar'!$AE$1363=TYPE3)*(TYPE3&lt;&gt;"")+('Dvd Calendar'!$AE$1363=TYPE4)*(TYPE4&lt;&gt;"")+('Dvd Calendar'!$AE$1363=SPECIAL_LBL)*(INC_SPECIALS="Y"))=0,"",'Dvd Calendar'!$AE$1361)))</f>
        <v/>
      </c>
      <c r="AD138" s="110">
        <f>IF(FF138="","",IF(ISNUMBER('Dvd Calendar'!$AF$1361)=FALSE,"",IF((('Dvd Calendar'!$AF$1363=TYPE1)*(TYPE1&lt;&gt;"")+('Dvd Calendar'!$AF$1363=TYPE2)*(TYPE2&lt;&gt;"")+('Dvd Calendar'!$AF$1363=TYPE3)*(TYPE3&lt;&gt;"")+('Dvd Calendar'!$AF$1363=TYPE4)*(TYPE4&lt;&gt;"")+('Dvd Calendar'!$AF$1363=SPECIAL_LBL)*(INC_SPECIALS="Y"))=0,"",'Dvd Calendar'!$AF$1361)))</f>
        <v/>
      </c>
      <c r="AE138" s="110">
        <f>IF(FG138="","",IF(ISNUMBER('Dvd Calendar'!$AG$1361)=FALSE,"",IF((('Dvd Calendar'!$AG$1363=TYPE1)*(TYPE1&lt;&gt;"")+('Dvd Calendar'!$AG$1363=TYPE2)*(TYPE2&lt;&gt;"")+('Dvd Calendar'!$AG$1363=TYPE3)*(TYPE3&lt;&gt;"")+('Dvd Calendar'!$AG$1363=TYPE4)*(TYPE4&lt;&gt;"")+('Dvd Calendar'!$AG$1363=SPECIAL_LBL)*(INC_SPECIALS="Y"))=0,"",'Dvd Calendar'!$AG$1361)))</f>
        <v/>
      </c>
      <c r="AF138" s="110">
        <f>IF(FH138="","",IF(ISNUMBER('Dvd Calendar'!$AH$1361)=FALSE,"",IF((('Dvd Calendar'!$AH$1363=TYPE1)*(TYPE1&lt;&gt;"")+('Dvd Calendar'!$AH$1363=TYPE2)*(TYPE2&lt;&gt;"")+('Dvd Calendar'!$AH$1363=TYPE3)*(TYPE3&lt;&gt;"")+('Dvd Calendar'!$AH$1363=TYPE4)*(TYPE4&lt;&gt;"")+('Dvd Calendar'!$AH$1363=SPECIAL_LBL)*(INC_SPECIALS="Y"))=0,"",'Dvd Calendar'!$AH$1361)))</f>
        <v/>
      </c>
      <c r="AG138" s="110">
        <f>IF(FI138="","",IF(ISNUMBER('Dvd Calendar'!$AI$1361)=FALSE,"",IF((('Dvd Calendar'!$AI$1363=TYPE1)*(TYPE1&lt;&gt;"")+('Dvd Calendar'!$AI$1363=TYPE2)*(TYPE2&lt;&gt;"")+('Dvd Calendar'!$AI$1363=TYPE3)*(TYPE3&lt;&gt;"")+('Dvd Calendar'!$AI$1363=TYPE4)*(TYPE4&lt;&gt;"")+('Dvd Calendar'!$AI$1363=SPECIAL_LBL)*(INC_SPECIALS="Y"))=0,"",'Dvd Calendar'!$AI$1361)))</f>
        <v/>
      </c>
      <c r="AH138" s="110">
        <f>IF(FJ138="","",IF(ISNUMBER('Dvd Calendar'!$AJ$1361)=FALSE,"",IF((('Dvd Calendar'!$AJ$1363=TYPE1)*(TYPE1&lt;&gt;"")+('Dvd Calendar'!$AJ$1363=TYPE2)*(TYPE2&lt;&gt;"")+('Dvd Calendar'!$AJ$1363=TYPE3)*(TYPE3&lt;&gt;"")+('Dvd Calendar'!$AJ$1363=TYPE4)*(TYPE4&lt;&gt;"")+('Dvd Calendar'!$AJ$1363=SPECIAL_LBL)*(INC_SPECIALS="Y"))=0,"",'Dvd Calendar'!$AJ$1361)))</f>
        <v/>
      </c>
      <c r="AI138" s="110">
        <f>IF(FK138="","",IF(ISNUMBER('Dvd Calendar'!$AK$1361)=FALSE,"",IF((('Dvd Calendar'!$AK$1363=TYPE1)*(TYPE1&lt;&gt;"")+('Dvd Calendar'!$AK$1363=TYPE2)*(TYPE2&lt;&gt;"")+('Dvd Calendar'!$AK$1363=TYPE3)*(TYPE3&lt;&gt;"")+('Dvd Calendar'!$AK$1363=TYPE4)*(TYPE4&lt;&gt;"")+('Dvd Calendar'!$AK$1363=SPECIAL_LBL)*(INC_SPECIALS="Y"))=0,"",'Dvd Calendar'!$AK$1361)))</f>
        <v/>
      </c>
      <c r="AJ138" s="110">
        <f>IF(FL138="","",IF(ISNUMBER('Dvd Calendar'!$AL$1361)=FALSE,"",IF((('Dvd Calendar'!$AL$1363=TYPE1)*(TYPE1&lt;&gt;"")+('Dvd Calendar'!$AL$1363=TYPE2)*(TYPE2&lt;&gt;"")+('Dvd Calendar'!$AL$1363=TYPE3)*(TYPE3&lt;&gt;"")+('Dvd Calendar'!$AL$1363=TYPE4)*(TYPE4&lt;&gt;"")+('Dvd Calendar'!$AL$1363=SPECIAL_LBL)*(INC_SPECIALS="Y"))=0,"",'Dvd Calendar'!$AL$1361)))</f>
        <v/>
      </c>
      <c r="AK138" s="110">
        <f>IF(FM138="","",IF(ISNUMBER('Dvd Calendar'!$AM$1361)=FALSE,"",IF((('Dvd Calendar'!$AM$1363=TYPE1)*(TYPE1&lt;&gt;"")+('Dvd Calendar'!$AM$1363=TYPE2)*(TYPE2&lt;&gt;"")+('Dvd Calendar'!$AM$1363=TYPE3)*(TYPE3&lt;&gt;"")+('Dvd Calendar'!$AM$1363=TYPE4)*(TYPE4&lt;&gt;"")+('Dvd Calendar'!$AM$1363=SPECIAL_LBL)*(INC_SPECIALS="Y"))=0,"",'Dvd Calendar'!$AM$1361)))</f>
        <v/>
      </c>
      <c r="AL138" s="110">
        <f>IF(FN138="","",IF(ISNUMBER('Dvd Calendar'!$AN$1361)=FALSE,"",IF((('Dvd Calendar'!$AN$1363=TYPE1)*(TYPE1&lt;&gt;"")+('Dvd Calendar'!$AN$1363=TYPE2)*(TYPE2&lt;&gt;"")+('Dvd Calendar'!$AN$1363=TYPE3)*(TYPE3&lt;&gt;"")+('Dvd Calendar'!$AN$1363=TYPE4)*(TYPE4&lt;&gt;"")+('Dvd Calendar'!$AN$1363=SPECIAL_LBL)*(INC_SPECIALS="Y"))=0,"",'Dvd Calendar'!$AN$1361)))</f>
        <v/>
      </c>
      <c r="AM138" s="110">
        <f>IF(FO138="","",IF(ISNUMBER('Dvd Calendar'!$AO$1361)=FALSE,"",IF((('Dvd Calendar'!$AO$1363=TYPE1)*(TYPE1&lt;&gt;"")+('Dvd Calendar'!$AO$1363=TYPE2)*(TYPE2&lt;&gt;"")+('Dvd Calendar'!$AO$1363=TYPE3)*(TYPE3&lt;&gt;"")+('Dvd Calendar'!$AO$1363=TYPE4)*(TYPE4&lt;&gt;"")+('Dvd Calendar'!$AO$1363=SPECIAL_LBL)*(INC_SPECIALS="Y"))=0,"",'Dvd Calendar'!$AO$1361)))</f>
        <v/>
      </c>
      <c r="AN138" s="110">
        <f>IF(FP138="","",IF(ISNUMBER('Dvd Calendar'!$AP$1361)=FALSE,"",IF((('Dvd Calendar'!$AP$1363=TYPE1)*(TYPE1&lt;&gt;"")+('Dvd Calendar'!$AP$1363=TYPE2)*(TYPE2&lt;&gt;"")+('Dvd Calendar'!$AP$1363=TYPE3)*(TYPE3&lt;&gt;"")+('Dvd Calendar'!$AP$1363=TYPE4)*(TYPE4&lt;&gt;"")+('Dvd Calendar'!$AP$1363=SPECIAL_LBL)*(INC_SPECIALS="Y"))=0,"",'Dvd Calendar'!$AP$1361)))</f>
        <v/>
      </c>
      <c r="AO138" s="110">
        <f>IF(FQ138="","",IF(ISNUMBER('Dvd Calendar'!$AQ$1361)=FALSE,"",IF((('Dvd Calendar'!$AQ$1363=TYPE1)*(TYPE1&lt;&gt;"")+('Dvd Calendar'!$AQ$1363=TYPE2)*(TYPE2&lt;&gt;"")+('Dvd Calendar'!$AQ$1363=TYPE3)*(TYPE3&lt;&gt;"")+('Dvd Calendar'!$AQ$1363=TYPE4)*(TYPE4&lt;&gt;"")+('Dvd Calendar'!$AQ$1363=SPECIAL_LBL)*(INC_SPECIALS="Y"))=0,"",'Dvd Calendar'!$AQ$1361)))</f>
        <v/>
      </c>
      <c r="AP138" s="110">
        <f>IF(FR138="","",IF(ISNUMBER('Dvd Calendar'!$AR$1361)=FALSE,"",IF((('Dvd Calendar'!$AR$1363=TYPE1)*(TYPE1&lt;&gt;"")+('Dvd Calendar'!$AR$1363=TYPE2)*(TYPE2&lt;&gt;"")+('Dvd Calendar'!$AR$1363=TYPE3)*(TYPE3&lt;&gt;"")+('Dvd Calendar'!$AR$1363=TYPE4)*(TYPE4&lt;&gt;"")+('Dvd Calendar'!$AR$1363=SPECIAL_LBL)*(INC_SPECIALS="Y"))=0,"",'Dvd Calendar'!$AR$1361)))</f>
        <v/>
      </c>
      <c r="AQ138" s="110">
        <f>IF(FS138="","",IF(ISNUMBER('Dvd Calendar'!$E$1366)=FALSE,"",'Dvd Calendar'!$E$1366))</f>
        <v/>
      </c>
      <c r="AR138" s="110">
        <f>IF(FT138="","",IF(ISNUMBER('Dvd Calendar'!$F$1366)=FALSE,"",'Dvd Calendar'!$F$1366))</f>
        <v/>
      </c>
      <c r="AS138" s="110">
        <f>IF(FU138="","",IF(ISNUMBER('Dvd Calendar'!$G$1366)=FALSE,"",'Dvd Calendar'!$G$1366))</f>
        <v/>
      </c>
      <c r="AT138" s="110">
        <f>IF(FV138="","",IF(ISNUMBER('Dvd Calendar'!$H$1366)=FALSE,"",'Dvd Calendar'!$H$1366))</f>
        <v/>
      </c>
      <c r="AU138" s="110">
        <f>IF(FW138="","",IF(ISNUMBER('Dvd Calendar'!$I$1366)=FALSE,"",'Dvd Calendar'!$I$1366))</f>
        <v/>
      </c>
      <c r="AV138" s="110">
        <f>IF(FX138="","",IF(ISNUMBER('Dvd Calendar'!$J$1366)=FALSE,"",'Dvd Calendar'!$J$1366))</f>
        <v/>
      </c>
      <c r="AW138" s="110">
        <f>IF(FY138="","",IF(ISNUMBER('Dvd Calendar'!$K$1366)=FALSE,"",'Dvd Calendar'!$K$1366))</f>
        <v/>
      </c>
      <c r="AX138" s="110">
        <f>IF(FZ138="","",IF(ISNUMBER('Dvd Calendar'!$L$1366)=FALSE,"",'Dvd Calendar'!$L$1366))</f>
        <v/>
      </c>
      <c r="AY138" s="110">
        <f>IF(GA138="","",IF(ISNUMBER('Dvd Calendar'!$M$1366)=FALSE,"",'Dvd Calendar'!$M$1366))</f>
        <v/>
      </c>
      <c r="AZ138" s="110">
        <f>IF(GB138="","",IF(ISNUMBER('Dvd Calendar'!$N$1366)=FALSE,"",'Dvd Calendar'!$N$1366))</f>
        <v/>
      </c>
      <c r="BA138" s="110">
        <f>IF(GC138="","",IF(ISNUMBER('Dvd Calendar'!$O$1366)=FALSE,"",'Dvd Calendar'!$O$1366))</f>
        <v/>
      </c>
      <c r="BB138" s="110">
        <f>IF(GD138="","",IF(ISNUMBER('Dvd Calendar'!$P$1366)=FALSE,"",'Dvd Calendar'!$P$1366))</f>
        <v/>
      </c>
      <c r="BC138" s="110">
        <f>IF(GE138="","",IF(ISNUMBER('Dvd Calendar'!$Q$1366)=FALSE,"",'Dvd Calendar'!$Q$1366))</f>
        <v/>
      </c>
      <c r="BD138" s="110">
        <f>IF(GF138="","",IF(ISNUMBER('Dvd Calendar'!$R$1366)=FALSE,"",'Dvd Calendar'!$R$1366))</f>
        <v/>
      </c>
      <c r="BE138" s="110">
        <f>IF(GG138="","",IF(ISNUMBER('Dvd Calendar'!$S$1366)=FALSE,"",'Dvd Calendar'!$S$1366))</f>
        <v/>
      </c>
      <c r="BF138" s="110">
        <f>IF(GH138="","",IF(ISNUMBER('Dvd Calendar'!$T$1366)=FALSE,"",'Dvd Calendar'!$T$1366))</f>
        <v/>
      </c>
      <c r="BG138" s="110">
        <f>IF(GI138="","",IF(ISNUMBER('Dvd Calendar'!$U$1366)=FALSE,"",'Dvd Calendar'!$U$1366))</f>
        <v/>
      </c>
      <c r="BH138" s="110">
        <f>IF(GJ138="","",IF(ISNUMBER('Dvd Calendar'!$V$1366)=FALSE,"",'Dvd Calendar'!$V$1366))</f>
        <v/>
      </c>
      <c r="BI138" s="110">
        <f>IF(GK138="","",IF(ISNUMBER('Dvd Calendar'!$W$1366)=FALSE,"",'Dvd Calendar'!$W$1366))</f>
        <v/>
      </c>
      <c r="BJ138" s="110">
        <f>IF(GL138="","",IF(ISNUMBER('Dvd Calendar'!$X$1366)=FALSE,"",'Dvd Calendar'!$X$1366))</f>
        <v/>
      </c>
      <c r="BK138" s="110">
        <f>IF(GM138="","",IF(ISNUMBER('Dvd Calendar'!$Y$1366)=FALSE,"",'Dvd Calendar'!$Y$1366))</f>
        <v/>
      </c>
      <c r="BL138" s="110">
        <f>IF(GN138="","",IF(ISNUMBER('Dvd Calendar'!$Z$1366)=FALSE,"",'Dvd Calendar'!$Z$1366))</f>
        <v/>
      </c>
      <c r="BM138" s="110">
        <f>IF(GO138="","",IF(ISNUMBER('Dvd Calendar'!$AA$1366)=FALSE,"",'Dvd Calendar'!$AA$1366))</f>
        <v/>
      </c>
      <c r="BN138" s="110">
        <f>IF(GP138="","",IF(ISNUMBER('Dvd Calendar'!$AB$1366)=FALSE,"",'Dvd Calendar'!$AB$1366))</f>
        <v/>
      </c>
      <c r="BO138" s="110">
        <f>IF(GQ138="","",IF(ISNUMBER('Dvd Calendar'!$AC$1366)=FALSE,"",'Dvd Calendar'!$AC$1366))</f>
        <v/>
      </c>
      <c r="BQ138" s="110">
        <f>IF(C138="","",IFERROR(C138*HSTECH!$B$29*HSTECH!$G$29/HSTECH!$B$3,""))</f>
        <v/>
      </c>
      <c r="BR138" s="110">
        <f>IF(D138="","",IFERROR(D138*HSTECH!$B$29*HSTECH!$G$29/HSTECH!$B$3,""))</f>
        <v/>
      </c>
      <c r="BS138" s="110">
        <f>IF(E138="","",IFERROR(E138*HSTECH!$B$29*HSTECH!$G$29/HSTECH!$B$3,""))</f>
        <v/>
      </c>
      <c r="BT138" s="110">
        <f>IF(F138="","",IFERROR(F138*HSTECH!$B$29*HSTECH!$G$29/HSTECH!$B$3,""))</f>
        <v/>
      </c>
      <c r="BU138" s="110">
        <f>IF(G138="","",IFERROR(G138*HSTECH!$B$29*HSTECH!$G$29/HSTECH!$B$3,""))</f>
        <v/>
      </c>
      <c r="BV138" s="110">
        <f>IF(H138="","",IFERROR(H138*HSTECH!$B$29*HSTECH!$G$29/HSTECH!$B$3,""))</f>
        <v/>
      </c>
      <c r="BW138" s="110">
        <f>IF(I138="","",IFERROR(I138*HSTECH!$B$29*HSTECH!$G$29/HSTECH!$B$3,""))</f>
        <v/>
      </c>
      <c r="BX138" s="110">
        <f>IF(J138="","",IFERROR(J138*HSTECH!$B$29*HSTECH!$G$29/HSTECH!$B$3,""))</f>
        <v/>
      </c>
      <c r="BY138" s="110">
        <f>IF(K138="","",IFERROR(K138*HSTECH!$B$29*HSTECH!$G$29/HSTECH!$B$3,""))</f>
        <v/>
      </c>
      <c r="BZ138" s="110">
        <f>IF(L138="","",IFERROR(L138*HSTECH!$B$29*HSTECH!$G$29/HSTECH!$B$3,""))</f>
        <v/>
      </c>
      <c r="CA138" s="110">
        <f>IF(M138="","",IFERROR(M138*HSTECH!$B$29*HSTECH!$G$29/HSTECH!$B$3,""))</f>
        <v/>
      </c>
      <c r="CB138" s="110">
        <f>IF(N138="","",IFERROR(N138*HSTECH!$B$29*HSTECH!$G$29/HSTECH!$B$3,""))</f>
        <v/>
      </c>
      <c r="CC138" s="110">
        <f>IF(O138="","",IFERROR(O138*HSTECH!$B$29*HSTECH!$G$29/HSTECH!$B$3,""))</f>
        <v/>
      </c>
      <c r="CD138" s="110">
        <f>IF(P138="","",IFERROR(P138*HSTECH!$B$29*HSTECH!$G$29/HSTECH!$B$3,""))</f>
        <v/>
      </c>
      <c r="CE138" s="110">
        <f>IF(Q138="","",IFERROR(Q138*HSTECH!$B$29*HSTECH!$G$29/HSTECH!$B$3,""))</f>
        <v/>
      </c>
      <c r="CF138" s="110">
        <f>IF(R138="","",IFERROR(R138*HSTECH!$B$29*HSTECH!$G$29/HSTECH!$B$3,""))</f>
        <v/>
      </c>
      <c r="CG138" s="110">
        <f>IF(S138="","",IFERROR(S138*HSTECH!$B$29*HSTECH!$G$29/HSTECH!$B$3,""))</f>
        <v/>
      </c>
      <c r="CH138" s="110">
        <f>IF(T138="","",IFERROR(T138*HSTECH!$B$29*HSTECH!$G$29/HSTECH!$B$3,""))</f>
        <v/>
      </c>
      <c r="CI138" s="110">
        <f>IF(U138="","",IFERROR(U138*HSTECH!$B$29*HSTECH!$G$29/HSTECH!$B$3,""))</f>
        <v/>
      </c>
      <c r="CJ138" s="110">
        <f>IF(V138="","",IFERROR(V138*HSTECH!$B$29*HSTECH!$G$29/HSTECH!$B$3,""))</f>
        <v/>
      </c>
      <c r="CK138" s="110">
        <f>IF(W138="","",IFERROR(W138*HSTECH!$B$29*HSTECH!$G$29/HSTECH!$B$3,""))</f>
        <v/>
      </c>
      <c r="CL138" s="110">
        <f>IF(X138="","",IFERROR(X138*HSTECH!$B$29*HSTECH!$G$29/HSTECH!$B$3,""))</f>
        <v/>
      </c>
      <c r="CM138" s="110">
        <f>IF(Y138="","",IFERROR(Y138*HSTECH!$B$29*HSTECH!$G$29/HSTECH!$B$3,""))</f>
        <v/>
      </c>
      <c r="CN138" s="110">
        <f>IF(Z138="","",IFERROR(Z138*HSTECH!$B$29*HSTECH!$G$29/HSTECH!$B$3,""))</f>
        <v/>
      </c>
      <c r="CO138" s="110">
        <f>IF(AA138="","",IFERROR(AA138*HSTECH!$B$29*HSTECH!$G$29/HSTECH!$B$3,""))</f>
        <v/>
      </c>
      <c r="CP138" s="110">
        <f>IF(AB138="","",IFERROR(AB138*HSTECH!$B$29*HSTECH!$G$29/HSTECH!$B$3,""))</f>
        <v/>
      </c>
      <c r="CQ138" s="110">
        <f>IF(AC138="","",IFERROR(AC138*HSTECH!$B$29*HSTECH!$G$29/HSTECH!$B$3,""))</f>
        <v/>
      </c>
      <c r="CR138" s="110">
        <f>IF(AD138="","",IFERROR(AD138*HSTECH!$B$29*HSTECH!$G$29/HSTECH!$B$3,""))</f>
        <v/>
      </c>
      <c r="CS138" s="110">
        <f>IF(AE138="","",IFERROR(AE138*HSTECH!$B$29*HSTECH!$G$29/HSTECH!$B$3,""))</f>
        <v/>
      </c>
      <c r="CT138" s="110">
        <f>IF(AF138="","",IFERROR(AF138*HSTECH!$B$29*HSTECH!$G$29/HSTECH!$B$3,""))</f>
        <v/>
      </c>
      <c r="CU138" s="110">
        <f>IF(AG138="","",IFERROR(AG138*HSTECH!$B$29*HSTECH!$G$29/HSTECH!$B$3,""))</f>
        <v/>
      </c>
      <c r="CV138" s="110">
        <f>IF(AH138="","",IFERROR(AH138*HSTECH!$B$29*HSTECH!$G$29/HSTECH!$B$3,""))</f>
        <v/>
      </c>
      <c r="CW138" s="110">
        <f>IF(AI138="","",IFERROR(AI138*HSTECH!$B$29*HSTECH!$G$29/HSTECH!$B$3,""))</f>
        <v/>
      </c>
      <c r="CX138" s="110">
        <f>IF(AJ138="","",IFERROR(AJ138*HSTECH!$B$29*HSTECH!$G$29/HSTECH!$B$3,""))</f>
        <v/>
      </c>
      <c r="CY138" s="110">
        <f>IF(AK138="","",IFERROR(AK138*HSTECH!$B$29*HSTECH!$G$29/HSTECH!$B$3,""))</f>
        <v/>
      </c>
      <c r="CZ138" s="110">
        <f>IF(AL138="","",IFERROR(AL138*HSTECH!$B$29*HSTECH!$G$29/HSTECH!$B$3,""))</f>
        <v/>
      </c>
      <c r="DA138" s="110">
        <f>IF(AM138="","",IFERROR(AM138*HSTECH!$B$29*HSTECH!$G$29/HSTECH!$B$3,""))</f>
        <v/>
      </c>
      <c r="DB138" s="110">
        <f>IF(AN138="","",IFERROR(AN138*HSTECH!$B$29*HSTECH!$G$29/HSTECH!$B$3,""))</f>
        <v/>
      </c>
      <c r="DC138" s="110">
        <f>IF(AO138="","",IFERROR(AO138*HSTECH!$B$29*HSTECH!$G$29/HSTECH!$B$3,""))</f>
        <v/>
      </c>
      <c r="DD138" s="110">
        <f>IF(AP138="","",IFERROR(AP138*HSTECH!$B$29*HSTECH!$G$29/HSTECH!$B$3,""))</f>
        <v/>
      </c>
      <c r="DE138" s="110">
        <f>IF(AQ138="","",IFERROR(AQ138*HSTECH!$B$29*HSTECH!$G$29/HSTECH!$B$3,""))</f>
        <v/>
      </c>
      <c r="DF138" s="110">
        <f>IF(AR138="","",IFERROR(AR138*HSTECH!$B$29*HSTECH!$G$29/HSTECH!$B$3,""))</f>
        <v/>
      </c>
      <c r="DG138" s="110">
        <f>IF(AS138="","",IFERROR(AS138*HSTECH!$B$29*HSTECH!$G$29/HSTECH!$B$3,""))</f>
        <v/>
      </c>
      <c r="DH138" s="110">
        <f>IF(AT138="","",IFERROR(AT138*HSTECH!$B$29*HSTECH!$G$29/HSTECH!$B$3,""))</f>
        <v/>
      </c>
      <c r="DI138" s="110">
        <f>IF(AU138="","",IFERROR(AU138*HSTECH!$B$29*HSTECH!$G$29/HSTECH!$B$3,""))</f>
        <v/>
      </c>
      <c r="DJ138" s="110">
        <f>IF(AV138="","",IFERROR(AV138*HSTECH!$B$29*HSTECH!$G$29/HSTECH!$B$3,""))</f>
        <v/>
      </c>
      <c r="DK138" s="110">
        <f>IF(AW138="","",IFERROR(AW138*HSTECH!$B$29*HSTECH!$G$29/HSTECH!$B$3,""))</f>
        <v/>
      </c>
      <c r="DL138" s="110">
        <f>IF(AX138="","",IFERROR(AX138*HSTECH!$B$29*HSTECH!$G$29/HSTECH!$B$3,""))</f>
        <v/>
      </c>
      <c r="DM138" s="110">
        <f>IF(AY138="","",IFERROR(AY138*HSTECH!$B$29*HSTECH!$G$29/HSTECH!$B$3,""))</f>
        <v/>
      </c>
      <c r="DN138" s="110">
        <f>IF(AZ138="","",IFERROR(AZ138*HSTECH!$B$29*HSTECH!$G$29/HSTECH!$B$3,""))</f>
        <v/>
      </c>
      <c r="DO138" s="110">
        <f>IF(BA138="","",IFERROR(BA138*HSTECH!$B$29*HSTECH!$G$29/HSTECH!$B$3,""))</f>
        <v/>
      </c>
      <c r="DP138" s="110">
        <f>IF(BB138="","",IFERROR(BB138*HSTECH!$B$29*HSTECH!$G$29/HSTECH!$B$3,""))</f>
        <v/>
      </c>
      <c r="DQ138" s="110">
        <f>IF(BC138="","",IFERROR(BC138*HSTECH!$B$29*HSTECH!$G$29/HSTECH!$B$3,""))</f>
        <v/>
      </c>
      <c r="DR138" s="110">
        <f>IF(BD138="","",IFERROR(BD138*HSTECH!$B$29*HSTECH!$G$29/HSTECH!$B$3,""))</f>
        <v/>
      </c>
      <c r="DS138" s="110">
        <f>IF(BE138="","",IFERROR(BE138*HSTECH!$B$29*HSTECH!$G$29/HSTECH!$B$3,""))</f>
        <v/>
      </c>
      <c r="DT138" s="110">
        <f>IF(BF138="","",IFERROR(BF138*HSTECH!$B$29*HSTECH!$G$29/HSTECH!$B$3,""))</f>
        <v/>
      </c>
      <c r="DU138" s="110">
        <f>IF(BG138="","",IFERROR(BG138*HSTECH!$B$29*HSTECH!$G$29/HSTECH!$B$3,""))</f>
        <v/>
      </c>
      <c r="DV138" s="110">
        <f>IF(BH138="","",IFERROR(BH138*HSTECH!$B$29*HSTECH!$G$29/HSTECH!$B$3,""))</f>
        <v/>
      </c>
      <c r="DW138" s="110">
        <f>IF(BI138="","",IFERROR(BI138*HSTECH!$B$29*HSTECH!$G$29/HSTECH!$B$3,""))</f>
        <v/>
      </c>
      <c r="DX138" s="110">
        <f>IF(BJ138="","",IFERROR(BJ138*HSTECH!$B$29*HSTECH!$G$29/HSTECH!$B$3,""))</f>
        <v/>
      </c>
      <c r="DY138" s="110">
        <f>IF(BK138="","",IFERROR(BK138*HSTECH!$B$29*HSTECH!$G$29/HSTECH!$B$3,""))</f>
        <v/>
      </c>
      <c r="DZ138" s="110">
        <f>IF(BL138="","",IFERROR(BL138*HSTECH!$B$29*HSTECH!$G$29/HSTECH!$B$3,""))</f>
        <v/>
      </c>
      <c r="EA138" s="110">
        <f>IF(BM138="","",IFERROR(BM138*HSTECH!$B$29*HSTECH!$G$29/HSTECH!$B$3,""))</f>
        <v/>
      </c>
      <c r="EB138" s="110">
        <f>IF(BN138="","",IFERROR(BN138*HSTECH!$B$29*HSTECH!$G$29/HSTECH!$B$3,""))</f>
        <v/>
      </c>
      <c r="EC138" s="110">
        <f>IF(BO138="","",IFERROR(BO138*HSTECH!$B$29*HSTECH!$G$29/HSTECH!$B$3,""))</f>
        <v/>
      </c>
      <c r="EE138" s="39">
        <f>IF(N('Dvd Calendar'!$E$1358)=0,"",IF(('Dvd Calendar'!$E$1358&gt;=GRID_FROM)*('Dvd Calendar'!$E$1358&lt;=GRID_TO)*((('Dvd Calendar'!$E$1358&lt;=VAL_DATE)+(COUNTIF('Dvd Calendar'!$E$1365:$AR$1365,'Dvd Calendar'!$E$1358)=0))&gt;0)=0,"",'Dvd Calendar'!$E$1358*1000000000+ISNUMBER('Dvd Calendar'!$E$1361)*100000000+('Dvd Calendar'!$E$1363=SPECIAL_LBL)*10000000+(N('Dvd Calendar'!$E$1357)&gt;0)*(N('Dvd Calendar'!$E$1357)&lt;=VAL_SERIAL)*1000000+23*1000+1))</f>
        <v/>
      </c>
      <c r="EF138" s="39">
        <f>IF(N('Dvd Calendar'!$F$1358)=0,"",IF(('Dvd Calendar'!$F$1358&gt;=GRID_FROM)*('Dvd Calendar'!$F$1358&lt;=GRID_TO)*((('Dvd Calendar'!$F$1358&lt;=VAL_DATE)+(COUNTIF('Dvd Calendar'!$E$1365:$AR$1365,'Dvd Calendar'!$F$1358)=0))&gt;0)=0,"",'Dvd Calendar'!$F$1358*1000000000+ISNUMBER('Dvd Calendar'!$F$1361)*100000000+('Dvd Calendar'!$F$1363=SPECIAL_LBL)*10000000+(N('Dvd Calendar'!$F$1357)&gt;0)*(N('Dvd Calendar'!$F$1357)&lt;=VAL_SERIAL)*1000000+23*1000+2))</f>
        <v/>
      </c>
      <c r="EG138" s="39">
        <f>IF(N('Dvd Calendar'!$G$1358)=0,"",IF(('Dvd Calendar'!$G$1358&gt;=GRID_FROM)*('Dvd Calendar'!$G$1358&lt;=GRID_TO)*((('Dvd Calendar'!$G$1358&lt;=VAL_DATE)+(COUNTIF('Dvd Calendar'!$E$1365:$AR$1365,'Dvd Calendar'!$G$1358)=0))&gt;0)=0,"",'Dvd Calendar'!$G$1358*1000000000+ISNUMBER('Dvd Calendar'!$G$1361)*100000000+('Dvd Calendar'!$G$1363=SPECIAL_LBL)*10000000+(N('Dvd Calendar'!$G$1357)&gt;0)*(N('Dvd Calendar'!$G$1357)&lt;=VAL_SERIAL)*1000000+23*1000+3))</f>
        <v/>
      </c>
      <c r="EH138" s="39">
        <f>IF(N('Dvd Calendar'!$H$1358)=0,"",IF(('Dvd Calendar'!$H$1358&gt;=GRID_FROM)*('Dvd Calendar'!$H$1358&lt;=GRID_TO)*((('Dvd Calendar'!$H$1358&lt;=VAL_DATE)+(COUNTIF('Dvd Calendar'!$E$1365:$AR$1365,'Dvd Calendar'!$H$1358)=0))&gt;0)=0,"",'Dvd Calendar'!$H$1358*1000000000+ISNUMBER('Dvd Calendar'!$H$1361)*100000000+('Dvd Calendar'!$H$1363=SPECIAL_LBL)*10000000+(N('Dvd Calendar'!$H$1357)&gt;0)*(N('Dvd Calendar'!$H$1357)&lt;=VAL_SERIAL)*1000000+23*1000+4))</f>
        <v/>
      </c>
      <c r="EI138" s="39">
        <f>IF(N('Dvd Calendar'!$I$1358)=0,"",IF(('Dvd Calendar'!$I$1358&gt;=GRID_FROM)*('Dvd Calendar'!$I$1358&lt;=GRID_TO)*((('Dvd Calendar'!$I$1358&lt;=VAL_DATE)+(COUNTIF('Dvd Calendar'!$E$1365:$AR$1365,'Dvd Calendar'!$I$1358)=0))&gt;0)=0,"",'Dvd Calendar'!$I$1358*1000000000+ISNUMBER('Dvd Calendar'!$I$1361)*100000000+('Dvd Calendar'!$I$1363=SPECIAL_LBL)*10000000+(N('Dvd Calendar'!$I$1357)&gt;0)*(N('Dvd Calendar'!$I$1357)&lt;=VAL_SERIAL)*1000000+23*1000+5))</f>
        <v/>
      </c>
      <c r="EJ138" s="39">
        <f>IF(N('Dvd Calendar'!$J$1358)=0,"",IF(('Dvd Calendar'!$J$1358&gt;=GRID_FROM)*('Dvd Calendar'!$J$1358&lt;=GRID_TO)*((('Dvd Calendar'!$J$1358&lt;=VAL_DATE)+(COUNTIF('Dvd Calendar'!$E$1365:$AR$1365,'Dvd Calendar'!$J$1358)=0))&gt;0)=0,"",'Dvd Calendar'!$J$1358*1000000000+ISNUMBER('Dvd Calendar'!$J$1361)*100000000+('Dvd Calendar'!$J$1363=SPECIAL_LBL)*10000000+(N('Dvd Calendar'!$J$1357)&gt;0)*(N('Dvd Calendar'!$J$1357)&lt;=VAL_SERIAL)*1000000+23*1000+6))</f>
        <v/>
      </c>
      <c r="EK138" s="39">
        <f>IF(N('Dvd Calendar'!$K$1358)=0,"",IF(('Dvd Calendar'!$K$1358&gt;=GRID_FROM)*('Dvd Calendar'!$K$1358&lt;=GRID_TO)*((('Dvd Calendar'!$K$1358&lt;=VAL_DATE)+(COUNTIF('Dvd Calendar'!$E$1365:$AR$1365,'Dvd Calendar'!$K$1358)=0))&gt;0)=0,"",'Dvd Calendar'!$K$1358*1000000000+ISNUMBER('Dvd Calendar'!$K$1361)*100000000+('Dvd Calendar'!$K$1363=SPECIAL_LBL)*10000000+(N('Dvd Calendar'!$K$1357)&gt;0)*(N('Dvd Calendar'!$K$1357)&lt;=VAL_SERIAL)*1000000+23*1000+7))</f>
        <v/>
      </c>
      <c r="EL138" s="39">
        <f>IF(N('Dvd Calendar'!$L$1358)=0,"",IF(('Dvd Calendar'!$L$1358&gt;=GRID_FROM)*('Dvd Calendar'!$L$1358&lt;=GRID_TO)*((('Dvd Calendar'!$L$1358&lt;=VAL_DATE)+(COUNTIF('Dvd Calendar'!$E$1365:$AR$1365,'Dvd Calendar'!$L$1358)=0))&gt;0)=0,"",'Dvd Calendar'!$L$1358*1000000000+ISNUMBER('Dvd Calendar'!$L$1361)*100000000+('Dvd Calendar'!$L$1363=SPECIAL_LBL)*10000000+(N('Dvd Calendar'!$L$1357)&gt;0)*(N('Dvd Calendar'!$L$1357)&lt;=VAL_SERIAL)*1000000+23*1000+8))</f>
        <v/>
      </c>
      <c r="EM138" s="39">
        <f>IF(N('Dvd Calendar'!$M$1358)=0,"",IF(('Dvd Calendar'!$M$1358&gt;=GRID_FROM)*('Dvd Calendar'!$M$1358&lt;=GRID_TO)*((('Dvd Calendar'!$M$1358&lt;=VAL_DATE)+(COUNTIF('Dvd Calendar'!$E$1365:$AR$1365,'Dvd Calendar'!$M$1358)=0))&gt;0)=0,"",'Dvd Calendar'!$M$1358*1000000000+ISNUMBER('Dvd Calendar'!$M$1361)*100000000+('Dvd Calendar'!$M$1363=SPECIAL_LBL)*10000000+(N('Dvd Calendar'!$M$1357)&gt;0)*(N('Dvd Calendar'!$M$1357)&lt;=VAL_SERIAL)*1000000+23*1000+9))</f>
        <v/>
      </c>
      <c r="EN138" s="39">
        <f>IF(N('Dvd Calendar'!$N$1358)=0,"",IF(('Dvd Calendar'!$N$1358&gt;=GRID_FROM)*('Dvd Calendar'!$N$1358&lt;=GRID_TO)*((('Dvd Calendar'!$N$1358&lt;=VAL_DATE)+(COUNTIF('Dvd Calendar'!$E$1365:$AR$1365,'Dvd Calendar'!$N$1358)=0))&gt;0)=0,"",'Dvd Calendar'!$N$1358*1000000000+ISNUMBER('Dvd Calendar'!$N$1361)*100000000+('Dvd Calendar'!$N$1363=SPECIAL_LBL)*10000000+(N('Dvd Calendar'!$N$1357)&gt;0)*(N('Dvd Calendar'!$N$1357)&lt;=VAL_SERIAL)*1000000+23*1000+10))</f>
        <v/>
      </c>
      <c r="EO138" s="39">
        <f>IF(N('Dvd Calendar'!$O$1358)=0,"",IF(('Dvd Calendar'!$O$1358&gt;=GRID_FROM)*('Dvd Calendar'!$O$1358&lt;=GRID_TO)*((('Dvd Calendar'!$O$1358&lt;=VAL_DATE)+(COUNTIF('Dvd Calendar'!$E$1365:$AR$1365,'Dvd Calendar'!$O$1358)=0))&gt;0)=0,"",'Dvd Calendar'!$O$1358*1000000000+ISNUMBER('Dvd Calendar'!$O$1361)*100000000+('Dvd Calendar'!$O$1363=SPECIAL_LBL)*10000000+(N('Dvd Calendar'!$O$1357)&gt;0)*(N('Dvd Calendar'!$O$1357)&lt;=VAL_SERIAL)*1000000+23*1000+11))</f>
        <v/>
      </c>
      <c r="EP138" s="39">
        <f>IF(N('Dvd Calendar'!$P$1358)=0,"",IF(('Dvd Calendar'!$P$1358&gt;=GRID_FROM)*('Dvd Calendar'!$P$1358&lt;=GRID_TO)*((('Dvd Calendar'!$P$1358&lt;=VAL_DATE)+(COUNTIF('Dvd Calendar'!$E$1365:$AR$1365,'Dvd Calendar'!$P$1358)=0))&gt;0)=0,"",'Dvd Calendar'!$P$1358*1000000000+ISNUMBER('Dvd Calendar'!$P$1361)*100000000+('Dvd Calendar'!$P$1363=SPECIAL_LBL)*10000000+(N('Dvd Calendar'!$P$1357)&gt;0)*(N('Dvd Calendar'!$P$1357)&lt;=VAL_SERIAL)*1000000+23*1000+12))</f>
        <v/>
      </c>
      <c r="EQ138" s="39">
        <f>IF(N('Dvd Calendar'!$Q$1358)=0,"",IF(('Dvd Calendar'!$Q$1358&gt;=GRID_FROM)*('Dvd Calendar'!$Q$1358&lt;=GRID_TO)*((('Dvd Calendar'!$Q$1358&lt;=VAL_DATE)+(COUNTIF('Dvd Calendar'!$E$1365:$AR$1365,'Dvd Calendar'!$Q$1358)=0))&gt;0)=0,"",'Dvd Calendar'!$Q$1358*1000000000+ISNUMBER('Dvd Calendar'!$Q$1361)*100000000+('Dvd Calendar'!$Q$1363=SPECIAL_LBL)*10000000+(N('Dvd Calendar'!$Q$1357)&gt;0)*(N('Dvd Calendar'!$Q$1357)&lt;=VAL_SERIAL)*1000000+23*1000+13))</f>
        <v/>
      </c>
      <c r="ER138" s="39">
        <f>IF(N('Dvd Calendar'!$R$1358)=0,"",IF(('Dvd Calendar'!$R$1358&gt;=GRID_FROM)*('Dvd Calendar'!$R$1358&lt;=GRID_TO)*((('Dvd Calendar'!$R$1358&lt;=VAL_DATE)+(COUNTIF('Dvd Calendar'!$E$1365:$AR$1365,'Dvd Calendar'!$R$1358)=0))&gt;0)=0,"",'Dvd Calendar'!$R$1358*1000000000+ISNUMBER('Dvd Calendar'!$R$1361)*100000000+('Dvd Calendar'!$R$1363=SPECIAL_LBL)*10000000+(N('Dvd Calendar'!$R$1357)&gt;0)*(N('Dvd Calendar'!$R$1357)&lt;=VAL_SERIAL)*1000000+23*1000+14))</f>
        <v/>
      </c>
      <c r="ES138" s="39">
        <f>IF(N('Dvd Calendar'!$S$1358)=0,"",IF(('Dvd Calendar'!$S$1358&gt;=GRID_FROM)*('Dvd Calendar'!$S$1358&lt;=GRID_TO)*((('Dvd Calendar'!$S$1358&lt;=VAL_DATE)+(COUNTIF('Dvd Calendar'!$E$1365:$AR$1365,'Dvd Calendar'!$S$1358)=0))&gt;0)=0,"",'Dvd Calendar'!$S$1358*1000000000+ISNUMBER('Dvd Calendar'!$S$1361)*100000000+('Dvd Calendar'!$S$1363=SPECIAL_LBL)*10000000+(N('Dvd Calendar'!$S$1357)&gt;0)*(N('Dvd Calendar'!$S$1357)&lt;=VAL_SERIAL)*1000000+23*1000+15))</f>
        <v/>
      </c>
      <c r="ET138" s="39">
        <f>IF(N('Dvd Calendar'!$T$1358)=0,"",IF(('Dvd Calendar'!$T$1358&gt;=GRID_FROM)*('Dvd Calendar'!$T$1358&lt;=GRID_TO)*((('Dvd Calendar'!$T$1358&lt;=VAL_DATE)+(COUNTIF('Dvd Calendar'!$E$1365:$AR$1365,'Dvd Calendar'!$T$1358)=0))&gt;0)=0,"",'Dvd Calendar'!$T$1358*1000000000+ISNUMBER('Dvd Calendar'!$T$1361)*100000000+('Dvd Calendar'!$T$1363=SPECIAL_LBL)*10000000+(N('Dvd Calendar'!$T$1357)&gt;0)*(N('Dvd Calendar'!$T$1357)&lt;=VAL_SERIAL)*1000000+23*1000+16))</f>
        <v/>
      </c>
      <c r="EU138" s="39">
        <f>IF(N('Dvd Calendar'!$U$1358)=0,"",IF(('Dvd Calendar'!$U$1358&gt;=GRID_FROM)*('Dvd Calendar'!$U$1358&lt;=GRID_TO)*((('Dvd Calendar'!$U$1358&lt;=VAL_DATE)+(COUNTIF('Dvd Calendar'!$E$1365:$AR$1365,'Dvd Calendar'!$U$1358)=0))&gt;0)=0,"",'Dvd Calendar'!$U$1358*1000000000+ISNUMBER('Dvd Calendar'!$U$1361)*100000000+('Dvd Calendar'!$U$1363=SPECIAL_LBL)*10000000+(N('Dvd Calendar'!$U$1357)&gt;0)*(N('Dvd Calendar'!$U$1357)&lt;=VAL_SERIAL)*1000000+23*1000+17))</f>
        <v/>
      </c>
      <c r="EV138" s="39">
        <f>IF(N('Dvd Calendar'!$V$1358)=0,"",IF(('Dvd Calendar'!$V$1358&gt;=GRID_FROM)*('Dvd Calendar'!$V$1358&lt;=GRID_TO)*((('Dvd Calendar'!$V$1358&lt;=VAL_DATE)+(COUNTIF('Dvd Calendar'!$E$1365:$AR$1365,'Dvd Calendar'!$V$1358)=0))&gt;0)=0,"",'Dvd Calendar'!$V$1358*1000000000+ISNUMBER('Dvd Calendar'!$V$1361)*100000000+('Dvd Calendar'!$V$1363=SPECIAL_LBL)*10000000+(N('Dvd Calendar'!$V$1357)&gt;0)*(N('Dvd Calendar'!$V$1357)&lt;=VAL_SERIAL)*1000000+23*1000+18))</f>
        <v/>
      </c>
      <c r="EW138" s="39">
        <f>IF(N('Dvd Calendar'!$W$1358)=0,"",IF(('Dvd Calendar'!$W$1358&gt;=GRID_FROM)*('Dvd Calendar'!$W$1358&lt;=GRID_TO)*((('Dvd Calendar'!$W$1358&lt;=VAL_DATE)+(COUNTIF('Dvd Calendar'!$E$1365:$AR$1365,'Dvd Calendar'!$W$1358)=0))&gt;0)=0,"",'Dvd Calendar'!$W$1358*1000000000+ISNUMBER('Dvd Calendar'!$W$1361)*100000000+('Dvd Calendar'!$W$1363=SPECIAL_LBL)*10000000+(N('Dvd Calendar'!$W$1357)&gt;0)*(N('Dvd Calendar'!$W$1357)&lt;=VAL_SERIAL)*1000000+23*1000+19))</f>
        <v/>
      </c>
      <c r="EX138" s="39">
        <f>IF(N('Dvd Calendar'!$X$1358)=0,"",IF(('Dvd Calendar'!$X$1358&gt;=GRID_FROM)*('Dvd Calendar'!$X$1358&lt;=GRID_TO)*((('Dvd Calendar'!$X$1358&lt;=VAL_DATE)+(COUNTIF('Dvd Calendar'!$E$1365:$AR$1365,'Dvd Calendar'!$X$1358)=0))&gt;0)=0,"",'Dvd Calendar'!$X$1358*1000000000+ISNUMBER('Dvd Calendar'!$X$1361)*100000000+('Dvd Calendar'!$X$1363=SPECIAL_LBL)*10000000+(N('Dvd Calendar'!$X$1357)&gt;0)*(N('Dvd Calendar'!$X$1357)&lt;=VAL_SERIAL)*1000000+23*1000+20))</f>
        <v/>
      </c>
      <c r="EY138" s="39">
        <f>IF(N('Dvd Calendar'!$Y$1358)=0,"",IF(('Dvd Calendar'!$Y$1358&gt;=GRID_FROM)*('Dvd Calendar'!$Y$1358&lt;=GRID_TO)*((('Dvd Calendar'!$Y$1358&lt;=VAL_DATE)+(COUNTIF('Dvd Calendar'!$E$1365:$AR$1365,'Dvd Calendar'!$Y$1358)=0))&gt;0)=0,"",'Dvd Calendar'!$Y$1358*1000000000+ISNUMBER('Dvd Calendar'!$Y$1361)*100000000+('Dvd Calendar'!$Y$1363=SPECIAL_LBL)*10000000+(N('Dvd Calendar'!$Y$1357)&gt;0)*(N('Dvd Calendar'!$Y$1357)&lt;=VAL_SERIAL)*1000000+23*1000+21))</f>
        <v/>
      </c>
      <c r="EZ138" s="39">
        <f>IF(N('Dvd Calendar'!$Z$1358)=0,"",IF(('Dvd Calendar'!$Z$1358&gt;=GRID_FROM)*('Dvd Calendar'!$Z$1358&lt;=GRID_TO)*((('Dvd Calendar'!$Z$1358&lt;=VAL_DATE)+(COUNTIF('Dvd Calendar'!$E$1365:$AR$1365,'Dvd Calendar'!$Z$1358)=0))&gt;0)=0,"",'Dvd Calendar'!$Z$1358*1000000000+ISNUMBER('Dvd Calendar'!$Z$1361)*100000000+('Dvd Calendar'!$Z$1363=SPECIAL_LBL)*10000000+(N('Dvd Calendar'!$Z$1357)&gt;0)*(N('Dvd Calendar'!$Z$1357)&lt;=VAL_SERIAL)*1000000+23*1000+22))</f>
        <v/>
      </c>
      <c r="FA138" s="39">
        <f>IF(N('Dvd Calendar'!$AA$1358)=0,"",IF(('Dvd Calendar'!$AA$1358&gt;=GRID_FROM)*('Dvd Calendar'!$AA$1358&lt;=GRID_TO)*((('Dvd Calendar'!$AA$1358&lt;=VAL_DATE)+(COUNTIF('Dvd Calendar'!$E$1365:$AR$1365,'Dvd Calendar'!$AA$1358)=0))&gt;0)=0,"",'Dvd Calendar'!$AA$1358*1000000000+ISNUMBER('Dvd Calendar'!$AA$1361)*100000000+('Dvd Calendar'!$AA$1363=SPECIAL_LBL)*10000000+(N('Dvd Calendar'!$AA$1357)&gt;0)*(N('Dvd Calendar'!$AA$1357)&lt;=VAL_SERIAL)*1000000+23*1000+23))</f>
        <v/>
      </c>
      <c r="FB138" s="39">
        <f>IF(N('Dvd Calendar'!$AB$1358)=0,"",IF(('Dvd Calendar'!$AB$1358&gt;=GRID_FROM)*('Dvd Calendar'!$AB$1358&lt;=GRID_TO)*((('Dvd Calendar'!$AB$1358&lt;=VAL_DATE)+(COUNTIF('Dvd Calendar'!$E$1365:$AR$1365,'Dvd Calendar'!$AB$1358)=0))&gt;0)=0,"",'Dvd Calendar'!$AB$1358*1000000000+ISNUMBER('Dvd Calendar'!$AB$1361)*100000000+('Dvd Calendar'!$AB$1363=SPECIAL_LBL)*10000000+(N('Dvd Calendar'!$AB$1357)&gt;0)*(N('Dvd Calendar'!$AB$1357)&lt;=VAL_SERIAL)*1000000+23*1000+24))</f>
        <v/>
      </c>
      <c r="FC138" s="39">
        <f>IF(N('Dvd Calendar'!$AC$1358)=0,"",IF(('Dvd Calendar'!$AC$1358&gt;=GRID_FROM)*('Dvd Calendar'!$AC$1358&lt;=GRID_TO)*((('Dvd Calendar'!$AC$1358&lt;=VAL_DATE)+(COUNTIF('Dvd Calendar'!$E$1365:$AR$1365,'Dvd Calendar'!$AC$1358)=0))&gt;0)=0,"",'Dvd Calendar'!$AC$1358*1000000000+ISNUMBER('Dvd Calendar'!$AC$1361)*100000000+('Dvd Calendar'!$AC$1363=SPECIAL_LBL)*10000000+(N('Dvd Calendar'!$AC$1357)&gt;0)*(N('Dvd Calendar'!$AC$1357)&lt;=VAL_SERIAL)*1000000+23*1000+25))</f>
        <v/>
      </c>
      <c r="FD138" s="39">
        <f>IF(N('Dvd Calendar'!$AD$1358)=0,"",IF(('Dvd Calendar'!$AD$1358&gt;=GRID_FROM)*('Dvd Calendar'!$AD$1358&lt;=GRID_TO)*((('Dvd Calendar'!$AD$1358&lt;=VAL_DATE)+(COUNTIF('Dvd Calendar'!$E$1365:$AR$1365,'Dvd Calendar'!$AD$1358)=0))&gt;0)=0,"",'Dvd Calendar'!$AD$1358*1000000000+ISNUMBER('Dvd Calendar'!$AD$1361)*100000000+('Dvd Calendar'!$AD$1363=SPECIAL_LBL)*10000000+(N('Dvd Calendar'!$AD$1357)&gt;0)*(N('Dvd Calendar'!$AD$1357)&lt;=VAL_SERIAL)*1000000+23*1000+26))</f>
        <v/>
      </c>
      <c r="FE138" s="39">
        <f>IF(N('Dvd Calendar'!$AE$1358)=0,"",IF(('Dvd Calendar'!$AE$1358&gt;=GRID_FROM)*('Dvd Calendar'!$AE$1358&lt;=GRID_TO)*((('Dvd Calendar'!$AE$1358&lt;=VAL_DATE)+(COUNTIF('Dvd Calendar'!$E$1365:$AR$1365,'Dvd Calendar'!$AE$1358)=0))&gt;0)=0,"",'Dvd Calendar'!$AE$1358*1000000000+ISNUMBER('Dvd Calendar'!$AE$1361)*100000000+('Dvd Calendar'!$AE$1363=SPECIAL_LBL)*10000000+(N('Dvd Calendar'!$AE$1357)&gt;0)*(N('Dvd Calendar'!$AE$1357)&lt;=VAL_SERIAL)*1000000+23*1000+27))</f>
        <v/>
      </c>
      <c r="FF138" s="39">
        <f>IF(N('Dvd Calendar'!$AF$1358)=0,"",IF(('Dvd Calendar'!$AF$1358&gt;=GRID_FROM)*('Dvd Calendar'!$AF$1358&lt;=GRID_TO)*((('Dvd Calendar'!$AF$1358&lt;=VAL_DATE)+(COUNTIF('Dvd Calendar'!$E$1365:$AR$1365,'Dvd Calendar'!$AF$1358)=0))&gt;0)=0,"",'Dvd Calendar'!$AF$1358*1000000000+ISNUMBER('Dvd Calendar'!$AF$1361)*100000000+('Dvd Calendar'!$AF$1363=SPECIAL_LBL)*10000000+(N('Dvd Calendar'!$AF$1357)&gt;0)*(N('Dvd Calendar'!$AF$1357)&lt;=VAL_SERIAL)*1000000+23*1000+28))</f>
        <v/>
      </c>
      <c r="FG138" s="39">
        <f>IF(N('Dvd Calendar'!$AG$1358)=0,"",IF(('Dvd Calendar'!$AG$1358&gt;=GRID_FROM)*('Dvd Calendar'!$AG$1358&lt;=GRID_TO)*((('Dvd Calendar'!$AG$1358&lt;=VAL_DATE)+(COUNTIF('Dvd Calendar'!$E$1365:$AR$1365,'Dvd Calendar'!$AG$1358)=0))&gt;0)=0,"",'Dvd Calendar'!$AG$1358*1000000000+ISNUMBER('Dvd Calendar'!$AG$1361)*100000000+('Dvd Calendar'!$AG$1363=SPECIAL_LBL)*10000000+(N('Dvd Calendar'!$AG$1357)&gt;0)*(N('Dvd Calendar'!$AG$1357)&lt;=VAL_SERIAL)*1000000+23*1000+29))</f>
        <v/>
      </c>
      <c r="FH138" s="39">
        <f>IF(N('Dvd Calendar'!$AH$1358)=0,"",IF(('Dvd Calendar'!$AH$1358&gt;=GRID_FROM)*('Dvd Calendar'!$AH$1358&lt;=GRID_TO)*((('Dvd Calendar'!$AH$1358&lt;=VAL_DATE)+(COUNTIF('Dvd Calendar'!$E$1365:$AR$1365,'Dvd Calendar'!$AH$1358)=0))&gt;0)=0,"",'Dvd Calendar'!$AH$1358*1000000000+ISNUMBER('Dvd Calendar'!$AH$1361)*100000000+('Dvd Calendar'!$AH$1363=SPECIAL_LBL)*10000000+(N('Dvd Calendar'!$AH$1357)&gt;0)*(N('Dvd Calendar'!$AH$1357)&lt;=VAL_SERIAL)*1000000+23*1000+30))</f>
        <v/>
      </c>
      <c r="FI138" s="39">
        <f>IF(N('Dvd Calendar'!$AI$1358)=0,"",IF(('Dvd Calendar'!$AI$1358&gt;=GRID_FROM)*('Dvd Calendar'!$AI$1358&lt;=GRID_TO)*((('Dvd Calendar'!$AI$1358&lt;=VAL_DATE)+(COUNTIF('Dvd Calendar'!$E$1365:$AR$1365,'Dvd Calendar'!$AI$1358)=0))&gt;0)=0,"",'Dvd Calendar'!$AI$1358*1000000000+ISNUMBER('Dvd Calendar'!$AI$1361)*100000000+('Dvd Calendar'!$AI$1363=SPECIAL_LBL)*10000000+(N('Dvd Calendar'!$AI$1357)&gt;0)*(N('Dvd Calendar'!$AI$1357)&lt;=VAL_SERIAL)*1000000+23*1000+31))</f>
        <v/>
      </c>
      <c r="FJ138" s="39">
        <f>IF(N('Dvd Calendar'!$AJ$1358)=0,"",IF(('Dvd Calendar'!$AJ$1358&gt;=GRID_FROM)*('Dvd Calendar'!$AJ$1358&lt;=GRID_TO)*((('Dvd Calendar'!$AJ$1358&lt;=VAL_DATE)+(COUNTIF('Dvd Calendar'!$E$1365:$AR$1365,'Dvd Calendar'!$AJ$1358)=0))&gt;0)=0,"",'Dvd Calendar'!$AJ$1358*1000000000+ISNUMBER('Dvd Calendar'!$AJ$1361)*100000000+('Dvd Calendar'!$AJ$1363=SPECIAL_LBL)*10000000+(N('Dvd Calendar'!$AJ$1357)&gt;0)*(N('Dvd Calendar'!$AJ$1357)&lt;=VAL_SERIAL)*1000000+23*1000+32))</f>
        <v/>
      </c>
      <c r="FK138" s="39">
        <f>IF(N('Dvd Calendar'!$AK$1358)=0,"",IF(('Dvd Calendar'!$AK$1358&gt;=GRID_FROM)*('Dvd Calendar'!$AK$1358&lt;=GRID_TO)*((('Dvd Calendar'!$AK$1358&lt;=VAL_DATE)+(COUNTIF('Dvd Calendar'!$E$1365:$AR$1365,'Dvd Calendar'!$AK$1358)=0))&gt;0)=0,"",'Dvd Calendar'!$AK$1358*1000000000+ISNUMBER('Dvd Calendar'!$AK$1361)*100000000+('Dvd Calendar'!$AK$1363=SPECIAL_LBL)*10000000+(N('Dvd Calendar'!$AK$1357)&gt;0)*(N('Dvd Calendar'!$AK$1357)&lt;=VAL_SERIAL)*1000000+23*1000+33))</f>
        <v/>
      </c>
      <c r="FL138" s="39">
        <f>IF(N('Dvd Calendar'!$AL$1358)=0,"",IF(('Dvd Calendar'!$AL$1358&gt;=GRID_FROM)*('Dvd Calendar'!$AL$1358&lt;=GRID_TO)*((('Dvd Calendar'!$AL$1358&lt;=VAL_DATE)+(COUNTIF('Dvd Calendar'!$E$1365:$AR$1365,'Dvd Calendar'!$AL$1358)=0))&gt;0)=0,"",'Dvd Calendar'!$AL$1358*1000000000+ISNUMBER('Dvd Calendar'!$AL$1361)*100000000+('Dvd Calendar'!$AL$1363=SPECIAL_LBL)*10000000+(N('Dvd Calendar'!$AL$1357)&gt;0)*(N('Dvd Calendar'!$AL$1357)&lt;=VAL_SERIAL)*1000000+23*1000+34))</f>
        <v/>
      </c>
      <c r="FM138" s="39">
        <f>IF(N('Dvd Calendar'!$AM$1358)=0,"",IF(('Dvd Calendar'!$AM$1358&gt;=GRID_FROM)*('Dvd Calendar'!$AM$1358&lt;=GRID_TO)*((('Dvd Calendar'!$AM$1358&lt;=VAL_DATE)+(COUNTIF('Dvd Calendar'!$E$1365:$AR$1365,'Dvd Calendar'!$AM$1358)=0))&gt;0)=0,"",'Dvd Calendar'!$AM$1358*1000000000+ISNUMBER('Dvd Calendar'!$AM$1361)*100000000+('Dvd Calendar'!$AM$1363=SPECIAL_LBL)*10000000+(N('Dvd Calendar'!$AM$1357)&gt;0)*(N('Dvd Calendar'!$AM$1357)&lt;=VAL_SERIAL)*1000000+23*1000+35))</f>
        <v/>
      </c>
      <c r="FN138" s="39">
        <f>IF(N('Dvd Calendar'!$AN$1358)=0,"",IF(('Dvd Calendar'!$AN$1358&gt;=GRID_FROM)*('Dvd Calendar'!$AN$1358&lt;=GRID_TO)*((('Dvd Calendar'!$AN$1358&lt;=VAL_DATE)+(COUNTIF('Dvd Calendar'!$E$1365:$AR$1365,'Dvd Calendar'!$AN$1358)=0))&gt;0)=0,"",'Dvd Calendar'!$AN$1358*1000000000+ISNUMBER('Dvd Calendar'!$AN$1361)*100000000+('Dvd Calendar'!$AN$1363=SPECIAL_LBL)*10000000+(N('Dvd Calendar'!$AN$1357)&gt;0)*(N('Dvd Calendar'!$AN$1357)&lt;=VAL_SERIAL)*1000000+23*1000+36))</f>
        <v/>
      </c>
      <c r="FO138" s="39">
        <f>IF(N('Dvd Calendar'!$AO$1358)=0,"",IF(('Dvd Calendar'!$AO$1358&gt;=GRID_FROM)*('Dvd Calendar'!$AO$1358&lt;=GRID_TO)*((('Dvd Calendar'!$AO$1358&lt;=VAL_DATE)+(COUNTIF('Dvd Calendar'!$E$1365:$AR$1365,'Dvd Calendar'!$AO$1358)=0))&gt;0)=0,"",'Dvd Calendar'!$AO$1358*1000000000+ISNUMBER('Dvd Calendar'!$AO$1361)*100000000+('Dvd Calendar'!$AO$1363=SPECIAL_LBL)*10000000+(N('Dvd Calendar'!$AO$1357)&gt;0)*(N('Dvd Calendar'!$AO$1357)&lt;=VAL_SERIAL)*1000000+23*1000+37))</f>
        <v/>
      </c>
      <c r="FP138" s="39">
        <f>IF(N('Dvd Calendar'!$AP$1358)=0,"",IF(('Dvd Calendar'!$AP$1358&gt;=GRID_FROM)*('Dvd Calendar'!$AP$1358&lt;=GRID_TO)*((('Dvd Calendar'!$AP$1358&lt;=VAL_DATE)+(COUNTIF('Dvd Calendar'!$E$1365:$AR$1365,'Dvd Calendar'!$AP$1358)=0))&gt;0)=0,"",'Dvd Calendar'!$AP$1358*1000000000+ISNUMBER('Dvd Calendar'!$AP$1361)*100000000+('Dvd Calendar'!$AP$1363=SPECIAL_LBL)*10000000+(N('Dvd Calendar'!$AP$1357)&gt;0)*(N('Dvd Calendar'!$AP$1357)&lt;=VAL_SERIAL)*1000000+23*1000+38))</f>
        <v/>
      </c>
      <c r="FQ138" s="39">
        <f>IF(N('Dvd Calendar'!$AQ$1358)=0,"",IF(('Dvd Calendar'!$AQ$1358&gt;=GRID_FROM)*('Dvd Calendar'!$AQ$1358&lt;=GRID_TO)*((('Dvd Calendar'!$AQ$1358&lt;=VAL_DATE)+(COUNTIF('Dvd Calendar'!$E$1365:$AR$1365,'Dvd Calendar'!$AQ$1358)=0))&gt;0)=0,"",'Dvd Calendar'!$AQ$1358*1000000000+ISNUMBER('Dvd Calendar'!$AQ$1361)*100000000+('Dvd Calendar'!$AQ$1363=SPECIAL_LBL)*10000000+(N('Dvd Calendar'!$AQ$1357)&gt;0)*(N('Dvd Calendar'!$AQ$1357)&lt;=VAL_SERIAL)*1000000+23*1000+39))</f>
        <v/>
      </c>
      <c r="FR138" s="39">
        <f>IF(N('Dvd Calendar'!$AR$1358)=0,"",IF(('Dvd Calendar'!$AR$1358&gt;=GRID_FROM)*('Dvd Calendar'!$AR$1358&lt;=GRID_TO)*((('Dvd Calendar'!$AR$1358&lt;=VAL_DATE)+(COUNTIF('Dvd Calendar'!$E$1365:$AR$1365,'Dvd Calendar'!$AR$1358)=0))&gt;0)=0,"",'Dvd Calendar'!$AR$1358*1000000000+ISNUMBER('Dvd Calendar'!$AR$1361)*100000000+('Dvd Calendar'!$AR$1363=SPECIAL_LBL)*10000000+(N('Dvd Calendar'!$AR$1357)&gt;0)*(N('Dvd Calendar'!$AR$1357)&lt;=VAL_SERIAL)*1000000+23*1000+40))</f>
        <v/>
      </c>
      <c r="FS138" s="39">
        <f>IF(N('Dvd Calendar'!$E$1365)=0,"",IF(('Dvd Calendar'!$E$1365&gt;=GRID_FROM)*('Dvd Calendar'!$E$1365&lt;=GRID_TO)*('Dvd Calendar'!$E$1365&gt;VAL_DATE)=0,"",'Dvd Calendar'!$E$1365*1000000000+ISNUMBER('Dvd Calendar'!$E$1366)*100000000+0*10000000+(N('Dvd Calendar'!$E$1364)&gt;0)*(N('Dvd Calendar'!$E$1364)&lt;=VAL_SERIAL)*1000000+23*1000+41))</f>
        <v/>
      </c>
      <c r="FT138" s="39">
        <f>IF(N('Dvd Calendar'!$F$1365)=0,"",IF(('Dvd Calendar'!$F$1365&gt;=GRID_FROM)*('Dvd Calendar'!$F$1365&lt;=GRID_TO)*('Dvd Calendar'!$F$1365&gt;VAL_DATE)=0,"",'Dvd Calendar'!$F$1365*1000000000+ISNUMBER('Dvd Calendar'!$F$1366)*100000000+0*10000000+(N('Dvd Calendar'!$F$1364)&gt;0)*(N('Dvd Calendar'!$F$1364)&lt;=VAL_SERIAL)*1000000+23*1000+42))</f>
        <v/>
      </c>
      <c r="FU138" s="39">
        <f>IF(N('Dvd Calendar'!$G$1365)=0,"",IF(('Dvd Calendar'!$G$1365&gt;=GRID_FROM)*('Dvd Calendar'!$G$1365&lt;=GRID_TO)*('Dvd Calendar'!$G$1365&gt;VAL_DATE)=0,"",'Dvd Calendar'!$G$1365*1000000000+ISNUMBER('Dvd Calendar'!$G$1366)*100000000+0*10000000+(N('Dvd Calendar'!$G$1364)&gt;0)*(N('Dvd Calendar'!$G$1364)&lt;=VAL_SERIAL)*1000000+23*1000+43))</f>
        <v/>
      </c>
      <c r="FV138" s="39">
        <f>IF(N('Dvd Calendar'!$H$1365)=0,"",IF(('Dvd Calendar'!$H$1365&gt;=GRID_FROM)*('Dvd Calendar'!$H$1365&lt;=GRID_TO)*('Dvd Calendar'!$H$1365&gt;VAL_DATE)=0,"",'Dvd Calendar'!$H$1365*1000000000+ISNUMBER('Dvd Calendar'!$H$1366)*100000000+0*10000000+(N('Dvd Calendar'!$H$1364)&gt;0)*(N('Dvd Calendar'!$H$1364)&lt;=VAL_SERIAL)*1000000+23*1000+44))</f>
        <v/>
      </c>
      <c r="FW138" s="39">
        <f>IF(N('Dvd Calendar'!$I$1365)=0,"",IF(('Dvd Calendar'!$I$1365&gt;=GRID_FROM)*('Dvd Calendar'!$I$1365&lt;=GRID_TO)*('Dvd Calendar'!$I$1365&gt;VAL_DATE)=0,"",'Dvd Calendar'!$I$1365*1000000000+ISNUMBER('Dvd Calendar'!$I$1366)*100000000+0*10000000+(N('Dvd Calendar'!$I$1364)&gt;0)*(N('Dvd Calendar'!$I$1364)&lt;=VAL_SERIAL)*1000000+23*1000+45))</f>
        <v/>
      </c>
      <c r="FX138" s="39">
        <f>IF(N('Dvd Calendar'!$J$1365)=0,"",IF(('Dvd Calendar'!$J$1365&gt;=GRID_FROM)*('Dvd Calendar'!$J$1365&lt;=GRID_TO)*('Dvd Calendar'!$J$1365&gt;VAL_DATE)=0,"",'Dvd Calendar'!$J$1365*1000000000+ISNUMBER('Dvd Calendar'!$J$1366)*100000000+0*10000000+(N('Dvd Calendar'!$J$1364)&gt;0)*(N('Dvd Calendar'!$J$1364)&lt;=VAL_SERIAL)*1000000+23*1000+46))</f>
        <v/>
      </c>
      <c r="FY138" s="39">
        <f>IF(N('Dvd Calendar'!$K$1365)=0,"",IF(('Dvd Calendar'!$K$1365&gt;=GRID_FROM)*('Dvd Calendar'!$K$1365&lt;=GRID_TO)*('Dvd Calendar'!$K$1365&gt;VAL_DATE)=0,"",'Dvd Calendar'!$K$1365*1000000000+ISNUMBER('Dvd Calendar'!$K$1366)*100000000+0*10000000+(N('Dvd Calendar'!$K$1364)&gt;0)*(N('Dvd Calendar'!$K$1364)&lt;=VAL_SERIAL)*1000000+23*1000+47))</f>
        <v/>
      </c>
      <c r="FZ138" s="39">
        <f>IF(N('Dvd Calendar'!$L$1365)=0,"",IF(('Dvd Calendar'!$L$1365&gt;=GRID_FROM)*('Dvd Calendar'!$L$1365&lt;=GRID_TO)*('Dvd Calendar'!$L$1365&gt;VAL_DATE)=0,"",'Dvd Calendar'!$L$1365*1000000000+ISNUMBER('Dvd Calendar'!$L$1366)*100000000+0*10000000+(N('Dvd Calendar'!$L$1364)&gt;0)*(N('Dvd Calendar'!$L$1364)&lt;=VAL_SERIAL)*1000000+23*1000+48))</f>
        <v/>
      </c>
      <c r="GA138" s="39">
        <f>IF(N('Dvd Calendar'!$M$1365)=0,"",IF(('Dvd Calendar'!$M$1365&gt;=GRID_FROM)*('Dvd Calendar'!$M$1365&lt;=GRID_TO)*('Dvd Calendar'!$M$1365&gt;VAL_DATE)=0,"",'Dvd Calendar'!$M$1365*1000000000+ISNUMBER('Dvd Calendar'!$M$1366)*100000000+0*10000000+(N('Dvd Calendar'!$M$1364)&gt;0)*(N('Dvd Calendar'!$M$1364)&lt;=VAL_SERIAL)*1000000+23*1000+49))</f>
        <v/>
      </c>
      <c r="GB138" s="39">
        <f>IF(N('Dvd Calendar'!$N$1365)=0,"",IF(('Dvd Calendar'!$N$1365&gt;=GRID_FROM)*('Dvd Calendar'!$N$1365&lt;=GRID_TO)*('Dvd Calendar'!$N$1365&gt;VAL_DATE)=0,"",'Dvd Calendar'!$N$1365*1000000000+ISNUMBER('Dvd Calendar'!$N$1366)*100000000+0*10000000+(N('Dvd Calendar'!$N$1364)&gt;0)*(N('Dvd Calendar'!$N$1364)&lt;=VAL_SERIAL)*1000000+23*1000+50))</f>
        <v/>
      </c>
      <c r="GC138" s="39">
        <f>IF(N('Dvd Calendar'!$O$1365)=0,"",IF(('Dvd Calendar'!$O$1365&gt;=GRID_FROM)*('Dvd Calendar'!$O$1365&lt;=GRID_TO)*('Dvd Calendar'!$O$1365&gt;VAL_DATE)=0,"",'Dvd Calendar'!$O$1365*1000000000+ISNUMBER('Dvd Calendar'!$O$1366)*100000000+0*10000000+(N('Dvd Calendar'!$O$1364)&gt;0)*(N('Dvd Calendar'!$O$1364)&lt;=VAL_SERIAL)*1000000+23*1000+51))</f>
        <v/>
      </c>
      <c r="GD138" s="39">
        <f>IF(N('Dvd Calendar'!$P$1365)=0,"",IF(('Dvd Calendar'!$P$1365&gt;=GRID_FROM)*('Dvd Calendar'!$P$1365&lt;=GRID_TO)*('Dvd Calendar'!$P$1365&gt;VAL_DATE)=0,"",'Dvd Calendar'!$P$1365*1000000000+ISNUMBER('Dvd Calendar'!$P$1366)*100000000+0*10000000+(N('Dvd Calendar'!$P$1364)&gt;0)*(N('Dvd Calendar'!$P$1364)&lt;=VAL_SERIAL)*1000000+23*1000+52))</f>
        <v/>
      </c>
      <c r="GE138" s="39">
        <f>IF(N('Dvd Calendar'!$Q$1365)=0,"",IF(('Dvd Calendar'!$Q$1365&gt;=GRID_FROM)*('Dvd Calendar'!$Q$1365&lt;=GRID_TO)*('Dvd Calendar'!$Q$1365&gt;VAL_DATE)=0,"",'Dvd Calendar'!$Q$1365*1000000000+ISNUMBER('Dvd Calendar'!$Q$1366)*100000000+0*10000000+(N('Dvd Calendar'!$Q$1364)&gt;0)*(N('Dvd Calendar'!$Q$1364)&lt;=VAL_SERIAL)*1000000+23*1000+53))</f>
        <v/>
      </c>
      <c r="GF138" s="39">
        <f>IF(N('Dvd Calendar'!$R$1365)=0,"",IF(('Dvd Calendar'!$R$1365&gt;=GRID_FROM)*('Dvd Calendar'!$R$1365&lt;=GRID_TO)*('Dvd Calendar'!$R$1365&gt;VAL_DATE)=0,"",'Dvd Calendar'!$R$1365*1000000000+ISNUMBER('Dvd Calendar'!$R$1366)*100000000+0*10000000+(N('Dvd Calendar'!$R$1364)&gt;0)*(N('Dvd Calendar'!$R$1364)&lt;=VAL_SERIAL)*1000000+23*1000+54))</f>
        <v/>
      </c>
      <c r="GG138" s="39">
        <f>IF(N('Dvd Calendar'!$S$1365)=0,"",IF(('Dvd Calendar'!$S$1365&gt;=GRID_FROM)*('Dvd Calendar'!$S$1365&lt;=GRID_TO)*('Dvd Calendar'!$S$1365&gt;VAL_DATE)=0,"",'Dvd Calendar'!$S$1365*1000000000+ISNUMBER('Dvd Calendar'!$S$1366)*100000000+0*10000000+(N('Dvd Calendar'!$S$1364)&gt;0)*(N('Dvd Calendar'!$S$1364)&lt;=VAL_SERIAL)*1000000+23*1000+55))</f>
        <v/>
      </c>
      <c r="GH138" s="39">
        <f>IF(N('Dvd Calendar'!$T$1365)=0,"",IF(('Dvd Calendar'!$T$1365&gt;=GRID_FROM)*('Dvd Calendar'!$T$1365&lt;=GRID_TO)*('Dvd Calendar'!$T$1365&gt;VAL_DATE)=0,"",'Dvd Calendar'!$T$1365*1000000000+ISNUMBER('Dvd Calendar'!$T$1366)*100000000+0*10000000+(N('Dvd Calendar'!$T$1364)&gt;0)*(N('Dvd Calendar'!$T$1364)&lt;=VAL_SERIAL)*1000000+23*1000+56))</f>
        <v/>
      </c>
      <c r="GI138" s="39">
        <f>IF(N('Dvd Calendar'!$U$1365)=0,"",IF(('Dvd Calendar'!$U$1365&gt;=GRID_FROM)*('Dvd Calendar'!$U$1365&lt;=GRID_TO)*('Dvd Calendar'!$U$1365&gt;VAL_DATE)=0,"",'Dvd Calendar'!$U$1365*1000000000+ISNUMBER('Dvd Calendar'!$U$1366)*100000000+0*10000000+(N('Dvd Calendar'!$U$1364)&gt;0)*(N('Dvd Calendar'!$U$1364)&lt;=VAL_SERIAL)*1000000+23*1000+57))</f>
        <v/>
      </c>
      <c r="GJ138" s="39">
        <f>IF(N('Dvd Calendar'!$V$1365)=0,"",IF(('Dvd Calendar'!$V$1365&gt;=GRID_FROM)*('Dvd Calendar'!$V$1365&lt;=GRID_TO)*('Dvd Calendar'!$V$1365&gt;VAL_DATE)=0,"",'Dvd Calendar'!$V$1365*1000000000+ISNUMBER('Dvd Calendar'!$V$1366)*100000000+0*10000000+(N('Dvd Calendar'!$V$1364)&gt;0)*(N('Dvd Calendar'!$V$1364)&lt;=VAL_SERIAL)*1000000+23*1000+58))</f>
        <v/>
      </c>
      <c r="GK138" s="39">
        <f>IF(N('Dvd Calendar'!$W$1365)=0,"",IF(('Dvd Calendar'!$W$1365&gt;=GRID_FROM)*('Dvd Calendar'!$W$1365&lt;=GRID_TO)*('Dvd Calendar'!$W$1365&gt;VAL_DATE)=0,"",'Dvd Calendar'!$W$1365*1000000000+ISNUMBER('Dvd Calendar'!$W$1366)*100000000+0*10000000+(N('Dvd Calendar'!$W$1364)&gt;0)*(N('Dvd Calendar'!$W$1364)&lt;=VAL_SERIAL)*1000000+23*1000+59))</f>
        <v/>
      </c>
      <c r="GL138" s="39">
        <f>IF(N('Dvd Calendar'!$X$1365)=0,"",IF(('Dvd Calendar'!$X$1365&gt;=GRID_FROM)*('Dvd Calendar'!$X$1365&lt;=GRID_TO)*('Dvd Calendar'!$X$1365&gt;VAL_DATE)=0,"",'Dvd Calendar'!$X$1365*1000000000+ISNUMBER('Dvd Calendar'!$X$1366)*100000000+0*10000000+(N('Dvd Calendar'!$X$1364)&gt;0)*(N('Dvd Calendar'!$X$1364)&lt;=VAL_SERIAL)*1000000+23*1000+60))</f>
        <v/>
      </c>
      <c r="GM138" s="39">
        <f>IF(N('Dvd Calendar'!$Y$1365)=0,"",IF(('Dvd Calendar'!$Y$1365&gt;=GRID_FROM)*('Dvd Calendar'!$Y$1365&lt;=GRID_TO)*('Dvd Calendar'!$Y$1365&gt;VAL_DATE)=0,"",'Dvd Calendar'!$Y$1365*1000000000+ISNUMBER('Dvd Calendar'!$Y$1366)*100000000+0*10000000+(N('Dvd Calendar'!$Y$1364)&gt;0)*(N('Dvd Calendar'!$Y$1364)&lt;=VAL_SERIAL)*1000000+23*1000+61))</f>
        <v/>
      </c>
      <c r="GN138" s="39">
        <f>IF(N('Dvd Calendar'!$Z$1365)=0,"",IF(('Dvd Calendar'!$Z$1365&gt;=GRID_FROM)*('Dvd Calendar'!$Z$1365&lt;=GRID_TO)*('Dvd Calendar'!$Z$1365&gt;VAL_DATE)=0,"",'Dvd Calendar'!$Z$1365*1000000000+ISNUMBER('Dvd Calendar'!$Z$1366)*100000000+0*10000000+(N('Dvd Calendar'!$Z$1364)&gt;0)*(N('Dvd Calendar'!$Z$1364)&lt;=VAL_SERIAL)*1000000+23*1000+62))</f>
        <v/>
      </c>
      <c r="GO138" s="39">
        <f>IF(N('Dvd Calendar'!$AA$1365)=0,"",IF(('Dvd Calendar'!$AA$1365&gt;=GRID_FROM)*('Dvd Calendar'!$AA$1365&lt;=GRID_TO)*('Dvd Calendar'!$AA$1365&gt;VAL_DATE)=0,"",'Dvd Calendar'!$AA$1365*1000000000+ISNUMBER('Dvd Calendar'!$AA$1366)*100000000+0*10000000+(N('Dvd Calendar'!$AA$1364)&gt;0)*(N('Dvd Calendar'!$AA$1364)&lt;=VAL_SERIAL)*1000000+23*1000+63))</f>
        <v/>
      </c>
      <c r="GP138" s="39">
        <f>IF(N('Dvd Calendar'!$AB$1365)=0,"",IF(('Dvd Calendar'!$AB$1365&gt;=GRID_FROM)*('Dvd Calendar'!$AB$1365&lt;=GRID_TO)*('Dvd Calendar'!$AB$1365&gt;VAL_DATE)=0,"",'Dvd Calendar'!$AB$1365*1000000000+ISNUMBER('Dvd Calendar'!$AB$1366)*100000000+0*10000000+(N('Dvd Calendar'!$AB$1364)&gt;0)*(N('Dvd Calendar'!$AB$1364)&lt;=VAL_SERIAL)*1000000+23*1000+64))</f>
        <v/>
      </c>
      <c r="GQ138" s="39">
        <f>IF(N('Dvd Calendar'!$AC$1365)=0,"",IF(('Dvd Calendar'!$AC$1365&gt;=GRID_FROM)*('Dvd Calendar'!$AC$1365&lt;=GRID_TO)*('Dvd Calendar'!$AC$1365&gt;VAL_DATE)=0,"",'Dvd Calendar'!$AC$1365*1000000000+ISNUMBER('Dvd Calendar'!$AC$1366)*100000000+0*10000000+(N('Dvd Calendar'!$AC$1364)&gt;0)*(N('Dvd Calendar'!$AC$1364)&lt;=VAL_SERIAL)*1000000+23*1000+65))</f>
        <v/>
      </c>
    </row>
    <row r="139">
      <c r="B139" s="2">
        <f>IF(HSTECH!$C$30="","",HSTECH!$C$30)</f>
        <v/>
      </c>
      <c r="C139" s="110">
        <f>IF(EE139="","",IF(ISNUMBER('Dvd Calendar'!$E$1372)=FALSE,"",IF((('Dvd Calendar'!$E$1374=TYPE1)*(TYPE1&lt;&gt;"")+('Dvd Calendar'!$E$1374=TYPE2)*(TYPE2&lt;&gt;"")+('Dvd Calendar'!$E$1374=TYPE3)*(TYPE3&lt;&gt;"")+('Dvd Calendar'!$E$1374=TYPE4)*(TYPE4&lt;&gt;"")+('Dvd Calendar'!$E$1374=SPECIAL_LBL)*(INC_SPECIALS="Y"))=0,"",'Dvd Calendar'!$E$1372)))</f>
        <v/>
      </c>
      <c r="D139" s="110">
        <f>IF(EF139="","",IF(ISNUMBER('Dvd Calendar'!$F$1372)=FALSE,"",IF((('Dvd Calendar'!$F$1374=TYPE1)*(TYPE1&lt;&gt;"")+('Dvd Calendar'!$F$1374=TYPE2)*(TYPE2&lt;&gt;"")+('Dvd Calendar'!$F$1374=TYPE3)*(TYPE3&lt;&gt;"")+('Dvd Calendar'!$F$1374=TYPE4)*(TYPE4&lt;&gt;"")+('Dvd Calendar'!$F$1374=SPECIAL_LBL)*(INC_SPECIALS="Y"))=0,"",'Dvd Calendar'!$F$1372)))</f>
        <v/>
      </c>
      <c r="E139" s="110">
        <f>IF(EG139="","",IF(ISNUMBER('Dvd Calendar'!$G$1372)=FALSE,"",IF((('Dvd Calendar'!$G$1374=TYPE1)*(TYPE1&lt;&gt;"")+('Dvd Calendar'!$G$1374=TYPE2)*(TYPE2&lt;&gt;"")+('Dvd Calendar'!$G$1374=TYPE3)*(TYPE3&lt;&gt;"")+('Dvd Calendar'!$G$1374=TYPE4)*(TYPE4&lt;&gt;"")+('Dvd Calendar'!$G$1374=SPECIAL_LBL)*(INC_SPECIALS="Y"))=0,"",'Dvd Calendar'!$G$1372)))</f>
        <v/>
      </c>
      <c r="F139" s="110">
        <f>IF(EH139="","",IF(ISNUMBER('Dvd Calendar'!$H$1372)=FALSE,"",IF((('Dvd Calendar'!$H$1374=TYPE1)*(TYPE1&lt;&gt;"")+('Dvd Calendar'!$H$1374=TYPE2)*(TYPE2&lt;&gt;"")+('Dvd Calendar'!$H$1374=TYPE3)*(TYPE3&lt;&gt;"")+('Dvd Calendar'!$H$1374=TYPE4)*(TYPE4&lt;&gt;"")+('Dvd Calendar'!$H$1374=SPECIAL_LBL)*(INC_SPECIALS="Y"))=0,"",'Dvd Calendar'!$H$1372)))</f>
        <v/>
      </c>
      <c r="G139" s="110">
        <f>IF(EI139="","",IF(ISNUMBER('Dvd Calendar'!$I$1372)=FALSE,"",IF((('Dvd Calendar'!$I$1374=TYPE1)*(TYPE1&lt;&gt;"")+('Dvd Calendar'!$I$1374=TYPE2)*(TYPE2&lt;&gt;"")+('Dvd Calendar'!$I$1374=TYPE3)*(TYPE3&lt;&gt;"")+('Dvd Calendar'!$I$1374=TYPE4)*(TYPE4&lt;&gt;"")+('Dvd Calendar'!$I$1374=SPECIAL_LBL)*(INC_SPECIALS="Y"))=0,"",'Dvd Calendar'!$I$1372)))</f>
        <v/>
      </c>
      <c r="H139" s="110">
        <f>IF(EJ139="","",IF(ISNUMBER('Dvd Calendar'!$J$1372)=FALSE,"",IF((('Dvd Calendar'!$J$1374=TYPE1)*(TYPE1&lt;&gt;"")+('Dvd Calendar'!$J$1374=TYPE2)*(TYPE2&lt;&gt;"")+('Dvd Calendar'!$J$1374=TYPE3)*(TYPE3&lt;&gt;"")+('Dvd Calendar'!$J$1374=TYPE4)*(TYPE4&lt;&gt;"")+('Dvd Calendar'!$J$1374=SPECIAL_LBL)*(INC_SPECIALS="Y"))=0,"",'Dvd Calendar'!$J$1372)))</f>
        <v/>
      </c>
      <c r="I139" s="110">
        <f>IF(EK139="","",IF(ISNUMBER('Dvd Calendar'!$K$1372)=FALSE,"",IF((('Dvd Calendar'!$K$1374=TYPE1)*(TYPE1&lt;&gt;"")+('Dvd Calendar'!$K$1374=TYPE2)*(TYPE2&lt;&gt;"")+('Dvd Calendar'!$K$1374=TYPE3)*(TYPE3&lt;&gt;"")+('Dvd Calendar'!$K$1374=TYPE4)*(TYPE4&lt;&gt;"")+('Dvd Calendar'!$K$1374=SPECIAL_LBL)*(INC_SPECIALS="Y"))=0,"",'Dvd Calendar'!$K$1372)))</f>
        <v/>
      </c>
      <c r="J139" s="110">
        <f>IF(EL139="","",IF(ISNUMBER('Dvd Calendar'!$L$1372)=FALSE,"",IF((('Dvd Calendar'!$L$1374=TYPE1)*(TYPE1&lt;&gt;"")+('Dvd Calendar'!$L$1374=TYPE2)*(TYPE2&lt;&gt;"")+('Dvd Calendar'!$L$1374=TYPE3)*(TYPE3&lt;&gt;"")+('Dvd Calendar'!$L$1374=TYPE4)*(TYPE4&lt;&gt;"")+('Dvd Calendar'!$L$1374=SPECIAL_LBL)*(INC_SPECIALS="Y"))=0,"",'Dvd Calendar'!$L$1372)))</f>
        <v/>
      </c>
      <c r="K139" s="110">
        <f>IF(EM139="","",IF(ISNUMBER('Dvd Calendar'!$M$1372)=FALSE,"",IF((('Dvd Calendar'!$M$1374=TYPE1)*(TYPE1&lt;&gt;"")+('Dvd Calendar'!$M$1374=TYPE2)*(TYPE2&lt;&gt;"")+('Dvd Calendar'!$M$1374=TYPE3)*(TYPE3&lt;&gt;"")+('Dvd Calendar'!$M$1374=TYPE4)*(TYPE4&lt;&gt;"")+('Dvd Calendar'!$M$1374=SPECIAL_LBL)*(INC_SPECIALS="Y"))=0,"",'Dvd Calendar'!$M$1372)))</f>
        <v/>
      </c>
      <c r="L139" s="110">
        <f>IF(EN139="","",IF(ISNUMBER('Dvd Calendar'!$N$1372)=FALSE,"",IF((('Dvd Calendar'!$N$1374=TYPE1)*(TYPE1&lt;&gt;"")+('Dvd Calendar'!$N$1374=TYPE2)*(TYPE2&lt;&gt;"")+('Dvd Calendar'!$N$1374=TYPE3)*(TYPE3&lt;&gt;"")+('Dvd Calendar'!$N$1374=TYPE4)*(TYPE4&lt;&gt;"")+('Dvd Calendar'!$N$1374=SPECIAL_LBL)*(INC_SPECIALS="Y"))=0,"",'Dvd Calendar'!$N$1372)))</f>
        <v/>
      </c>
      <c r="M139" s="110">
        <f>IF(EO139="","",IF(ISNUMBER('Dvd Calendar'!$O$1372)=FALSE,"",IF((('Dvd Calendar'!$O$1374=TYPE1)*(TYPE1&lt;&gt;"")+('Dvd Calendar'!$O$1374=TYPE2)*(TYPE2&lt;&gt;"")+('Dvd Calendar'!$O$1374=TYPE3)*(TYPE3&lt;&gt;"")+('Dvd Calendar'!$O$1374=TYPE4)*(TYPE4&lt;&gt;"")+('Dvd Calendar'!$O$1374=SPECIAL_LBL)*(INC_SPECIALS="Y"))=0,"",'Dvd Calendar'!$O$1372)))</f>
        <v/>
      </c>
      <c r="N139" s="110">
        <f>IF(EP139="","",IF(ISNUMBER('Dvd Calendar'!$P$1372)=FALSE,"",IF((('Dvd Calendar'!$P$1374=TYPE1)*(TYPE1&lt;&gt;"")+('Dvd Calendar'!$P$1374=TYPE2)*(TYPE2&lt;&gt;"")+('Dvd Calendar'!$P$1374=TYPE3)*(TYPE3&lt;&gt;"")+('Dvd Calendar'!$P$1374=TYPE4)*(TYPE4&lt;&gt;"")+('Dvd Calendar'!$P$1374=SPECIAL_LBL)*(INC_SPECIALS="Y"))=0,"",'Dvd Calendar'!$P$1372)))</f>
        <v/>
      </c>
      <c r="O139" s="110">
        <f>IF(EQ139="","",IF(ISNUMBER('Dvd Calendar'!$Q$1372)=FALSE,"",IF((('Dvd Calendar'!$Q$1374=TYPE1)*(TYPE1&lt;&gt;"")+('Dvd Calendar'!$Q$1374=TYPE2)*(TYPE2&lt;&gt;"")+('Dvd Calendar'!$Q$1374=TYPE3)*(TYPE3&lt;&gt;"")+('Dvd Calendar'!$Q$1374=TYPE4)*(TYPE4&lt;&gt;"")+('Dvd Calendar'!$Q$1374=SPECIAL_LBL)*(INC_SPECIALS="Y"))=0,"",'Dvd Calendar'!$Q$1372)))</f>
        <v/>
      </c>
      <c r="P139" s="110">
        <f>IF(ER139="","",IF(ISNUMBER('Dvd Calendar'!$R$1372)=FALSE,"",IF((('Dvd Calendar'!$R$1374=TYPE1)*(TYPE1&lt;&gt;"")+('Dvd Calendar'!$R$1374=TYPE2)*(TYPE2&lt;&gt;"")+('Dvd Calendar'!$R$1374=TYPE3)*(TYPE3&lt;&gt;"")+('Dvd Calendar'!$R$1374=TYPE4)*(TYPE4&lt;&gt;"")+('Dvd Calendar'!$R$1374=SPECIAL_LBL)*(INC_SPECIALS="Y"))=0,"",'Dvd Calendar'!$R$1372)))</f>
        <v/>
      </c>
      <c r="Q139" s="110">
        <f>IF(ES139="","",IF(ISNUMBER('Dvd Calendar'!$S$1372)=FALSE,"",IF((('Dvd Calendar'!$S$1374=TYPE1)*(TYPE1&lt;&gt;"")+('Dvd Calendar'!$S$1374=TYPE2)*(TYPE2&lt;&gt;"")+('Dvd Calendar'!$S$1374=TYPE3)*(TYPE3&lt;&gt;"")+('Dvd Calendar'!$S$1374=TYPE4)*(TYPE4&lt;&gt;"")+('Dvd Calendar'!$S$1374=SPECIAL_LBL)*(INC_SPECIALS="Y"))=0,"",'Dvd Calendar'!$S$1372)))</f>
        <v/>
      </c>
      <c r="R139" s="110">
        <f>IF(ET139="","",IF(ISNUMBER('Dvd Calendar'!$T$1372)=FALSE,"",IF((('Dvd Calendar'!$T$1374=TYPE1)*(TYPE1&lt;&gt;"")+('Dvd Calendar'!$T$1374=TYPE2)*(TYPE2&lt;&gt;"")+('Dvd Calendar'!$T$1374=TYPE3)*(TYPE3&lt;&gt;"")+('Dvd Calendar'!$T$1374=TYPE4)*(TYPE4&lt;&gt;"")+('Dvd Calendar'!$T$1374=SPECIAL_LBL)*(INC_SPECIALS="Y"))=0,"",'Dvd Calendar'!$T$1372)))</f>
        <v/>
      </c>
      <c r="S139" s="110">
        <f>IF(EU139="","",IF(ISNUMBER('Dvd Calendar'!$U$1372)=FALSE,"",IF((('Dvd Calendar'!$U$1374=TYPE1)*(TYPE1&lt;&gt;"")+('Dvd Calendar'!$U$1374=TYPE2)*(TYPE2&lt;&gt;"")+('Dvd Calendar'!$U$1374=TYPE3)*(TYPE3&lt;&gt;"")+('Dvd Calendar'!$U$1374=TYPE4)*(TYPE4&lt;&gt;"")+('Dvd Calendar'!$U$1374=SPECIAL_LBL)*(INC_SPECIALS="Y"))=0,"",'Dvd Calendar'!$U$1372)))</f>
        <v/>
      </c>
      <c r="T139" s="110">
        <f>IF(EV139="","",IF(ISNUMBER('Dvd Calendar'!$V$1372)=FALSE,"",IF((('Dvd Calendar'!$V$1374=TYPE1)*(TYPE1&lt;&gt;"")+('Dvd Calendar'!$V$1374=TYPE2)*(TYPE2&lt;&gt;"")+('Dvd Calendar'!$V$1374=TYPE3)*(TYPE3&lt;&gt;"")+('Dvd Calendar'!$V$1374=TYPE4)*(TYPE4&lt;&gt;"")+('Dvd Calendar'!$V$1374=SPECIAL_LBL)*(INC_SPECIALS="Y"))=0,"",'Dvd Calendar'!$V$1372)))</f>
        <v/>
      </c>
      <c r="U139" s="110">
        <f>IF(EW139="","",IF(ISNUMBER('Dvd Calendar'!$W$1372)=FALSE,"",IF((('Dvd Calendar'!$W$1374=TYPE1)*(TYPE1&lt;&gt;"")+('Dvd Calendar'!$W$1374=TYPE2)*(TYPE2&lt;&gt;"")+('Dvd Calendar'!$W$1374=TYPE3)*(TYPE3&lt;&gt;"")+('Dvd Calendar'!$W$1374=TYPE4)*(TYPE4&lt;&gt;"")+('Dvd Calendar'!$W$1374=SPECIAL_LBL)*(INC_SPECIALS="Y"))=0,"",'Dvd Calendar'!$W$1372)))</f>
        <v/>
      </c>
      <c r="V139" s="110">
        <f>IF(EX139="","",IF(ISNUMBER('Dvd Calendar'!$X$1372)=FALSE,"",IF((('Dvd Calendar'!$X$1374=TYPE1)*(TYPE1&lt;&gt;"")+('Dvd Calendar'!$X$1374=TYPE2)*(TYPE2&lt;&gt;"")+('Dvd Calendar'!$X$1374=TYPE3)*(TYPE3&lt;&gt;"")+('Dvd Calendar'!$X$1374=TYPE4)*(TYPE4&lt;&gt;"")+('Dvd Calendar'!$X$1374=SPECIAL_LBL)*(INC_SPECIALS="Y"))=0,"",'Dvd Calendar'!$X$1372)))</f>
        <v/>
      </c>
      <c r="W139" s="110">
        <f>IF(EY139="","",IF(ISNUMBER('Dvd Calendar'!$Y$1372)=FALSE,"",IF((('Dvd Calendar'!$Y$1374=TYPE1)*(TYPE1&lt;&gt;"")+('Dvd Calendar'!$Y$1374=TYPE2)*(TYPE2&lt;&gt;"")+('Dvd Calendar'!$Y$1374=TYPE3)*(TYPE3&lt;&gt;"")+('Dvd Calendar'!$Y$1374=TYPE4)*(TYPE4&lt;&gt;"")+('Dvd Calendar'!$Y$1374=SPECIAL_LBL)*(INC_SPECIALS="Y"))=0,"",'Dvd Calendar'!$Y$1372)))</f>
        <v/>
      </c>
      <c r="X139" s="110">
        <f>IF(EZ139="","",IF(ISNUMBER('Dvd Calendar'!$Z$1372)=FALSE,"",IF((('Dvd Calendar'!$Z$1374=TYPE1)*(TYPE1&lt;&gt;"")+('Dvd Calendar'!$Z$1374=TYPE2)*(TYPE2&lt;&gt;"")+('Dvd Calendar'!$Z$1374=TYPE3)*(TYPE3&lt;&gt;"")+('Dvd Calendar'!$Z$1374=TYPE4)*(TYPE4&lt;&gt;"")+('Dvd Calendar'!$Z$1374=SPECIAL_LBL)*(INC_SPECIALS="Y"))=0,"",'Dvd Calendar'!$Z$1372)))</f>
        <v/>
      </c>
      <c r="Y139" s="110">
        <f>IF(FA139="","",IF(ISNUMBER('Dvd Calendar'!$AA$1372)=FALSE,"",IF((('Dvd Calendar'!$AA$1374=TYPE1)*(TYPE1&lt;&gt;"")+('Dvd Calendar'!$AA$1374=TYPE2)*(TYPE2&lt;&gt;"")+('Dvd Calendar'!$AA$1374=TYPE3)*(TYPE3&lt;&gt;"")+('Dvd Calendar'!$AA$1374=TYPE4)*(TYPE4&lt;&gt;"")+('Dvd Calendar'!$AA$1374=SPECIAL_LBL)*(INC_SPECIALS="Y"))=0,"",'Dvd Calendar'!$AA$1372)))</f>
        <v/>
      </c>
      <c r="Z139" s="110">
        <f>IF(FB139="","",IF(ISNUMBER('Dvd Calendar'!$AB$1372)=FALSE,"",IF((('Dvd Calendar'!$AB$1374=TYPE1)*(TYPE1&lt;&gt;"")+('Dvd Calendar'!$AB$1374=TYPE2)*(TYPE2&lt;&gt;"")+('Dvd Calendar'!$AB$1374=TYPE3)*(TYPE3&lt;&gt;"")+('Dvd Calendar'!$AB$1374=TYPE4)*(TYPE4&lt;&gt;"")+('Dvd Calendar'!$AB$1374=SPECIAL_LBL)*(INC_SPECIALS="Y"))=0,"",'Dvd Calendar'!$AB$1372)))</f>
        <v/>
      </c>
      <c r="AA139" s="110">
        <f>IF(FC139="","",IF(ISNUMBER('Dvd Calendar'!$AC$1372)=FALSE,"",IF((('Dvd Calendar'!$AC$1374=TYPE1)*(TYPE1&lt;&gt;"")+('Dvd Calendar'!$AC$1374=TYPE2)*(TYPE2&lt;&gt;"")+('Dvd Calendar'!$AC$1374=TYPE3)*(TYPE3&lt;&gt;"")+('Dvd Calendar'!$AC$1374=TYPE4)*(TYPE4&lt;&gt;"")+('Dvd Calendar'!$AC$1374=SPECIAL_LBL)*(INC_SPECIALS="Y"))=0,"",'Dvd Calendar'!$AC$1372)))</f>
        <v/>
      </c>
      <c r="AB139" s="110">
        <f>IF(FD139="","",IF(ISNUMBER('Dvd Calendar'!$AD$1372)=FALSE,"",IF((('Dvd Calendar'!$AD$1374=TYPE1)*(TYPE1&lt;&gt;"")+('Dvd Calendar'!$AD$1374=TYPE2)*(TYPE2&lt;&gt;"")+('Dvd Calendar'!$AD$1374=TYPE3)*(TYPE3&lt;&gt;"")+('Dvd Calendar'!$AD$1374=TYPE4)*(TYPE4&lt;&gt;"")+('Dvd Calendar'!$AD$1374=SPECIAL_LBL)*(INC_SPECIALS="Y"))=0,"",'Dvd Calendar'!$AD$1372)))</f>
        <v/>
      </c>
      <c r="AC139" s="110">
        <f>IF(FE139="","",IF(ISNUMBER('Dvd Calendar'!$AE$1372)=FALSE,"",IF((('Dvd Calendar'!$AE$1374=TYPE1)*(TYPE1&lt;&gt;"")+('Dvd Calendar'!$AE$1374=TYPE2)*(TYPE2&lt;&gt;"")+('Dvd Calendar'!$AE$1374=TYPE3)*(TYPE3&lt;&gt;"")+('Dvd Calendar'!$AE$1374=TYPE4)*(TYPE4&lt;&gt;"")+('Dvd Calendar'!$AE$1374=SPECIAL_LBL)*(INC_SPECIALS="Y"))=0,"",'Dvd Calendar'!$AE$1372)))</f>
        <v/>
      </c>
      <c r="AD139" s="110">
        <f>IF(FF139="","",IF(ISNUMBER('Dvd Calendar'!$AF$1372)=FALSE,"",IF((('Dvd Calendar'!$AF$1374=TYPE1)*(TYPE1&lt;&gt;"")+('Dvd Calendar'!$AF$1374=TYPE2)*(TYPE2&lt;&gt;"")+('Dvd Calendar'!$AF$1374=TYPE3)*(TYPE3&lt;&gt;"")+('Dvd Calendar'!$AF$1374=TYPE4)*(TYPE4&lt;&gt;"")+('Dvd Calendar'!$AF$1374=SPECIAL_LBL)*(INC_SPECIALS="Y"))=0,"",'Dvd Calendar'!$AF$1372)))</f>
        <v/>
      </c>
      <c r="AE139" s="110">
        <f>IF(FG139="","",IF(ISNUMBER('Dvd Calendar'!$AG$1372)=FALSE,"",IF((('Dvd Calendar'!$AG$1374=TYPE1)*(TYPE1&lt;&gt;"")+('Dvd Calendar'!$AG$1374=TYPE2)*(TYPE2&lt;&gt;"")+('Dvd Calendar'!$AG$1374=TYPE3)*(TYPE3&lt;&gt;"")+('Dvd Calendar'!$AG$1374=TYPE4)*(TYPE4&lt;&gt;"")+('Dvd Calendar'!$AG$1374=SPECIAL_LBL)*(INC_SPECIALS="Y"))=0,"",'Dvd Calendar'!$AG$1372)))</f>
        <v/>
      </c>
      <c r="AF139" s="110">
        <f>IF(FH139="","",IF(ISNUMBER('Dvd Calendar'!$AH$1372)=FALSE,"",IF((('Dvd Calendar'!$AH$1374=TYPE1)*(TYPE1&lt;&gt;"")+('Dvd Calendar'!$AH$1374=TYPE2)*(TYPE2&lt;&gt;"")+('Dvd Calendar'!$AH$1374=TYPE3)*(TYPE3&lt;&gt;"")+('Dvd Calendar'!$AH$1374=TYPE4)*(TYPE4&lt;&gt;"")+('Dvd Calendar'!$AH$1374=SPECIAL_LBL)*(INC_SPECIALS="Y"))=0,"",'Dvd Calendar'!$AH$1372)))</f>
        <v/>
      </c>
      <c r="AG139" s="110">
        <f>IF(FI139="","",IF(ISNUMBER('Dvd Calendar'!$AI$1372)=FALSE,"",IF((('Dvd Calendar'!$AI$1374=TYPE1)*(TYPE1&lt;&gt;"")+('Dvd Calendar'!$AI$1374=TYPE2)*(TYPE2&lt;&gt;"")+('Dvd Calendar'!$AI$1374=TYPE3)*(TYPE3&lt;&gt;"")+('Dvd Calendar'!$AI$1374=TYPE4)*(TYPE4&lt;&gt;"")+('Dvd Calendar'!$AI$1374=SPECIAL_LBL)*(INC_SPECIALS="Y"))=0,"",'Dvd Calendar'!$AI$1372)))</f>
        <v/>
      </c>
      <c r="AH139" s="110">
        <f>IF(FJ139="","",IF(ISNUMBER('Dvd Calendar'!$AJ$1372)=FALSE,"",IF((('Dvd Calendar'!$AJ$1374=TYPE1)*(TYPE1&lt;&gt;"")+('Dvd Calendar'!$AJ$1374=TYPE2)*(TYPE2&lt;&gt;"")+('Dvd Calendar'!$AJ$1374=TYPE3)*(TYPE3&lt;&gt;"")+('Dvd Calendar'!$AJ$1374=TYPE4)*(TYPE4&lt;&gt;"")+('Dvd Calendar'!$AJ$1374=SPECIAL_LBL)*(INC_SPECIALS="Y"))=0,"",'Dvd Calendar'!$AJ$1372)))</f>
        <v/>
      </c>
      <c r="AI139" s="110">
        <f>IF(FK139="","",IF(ISNUMBER('Dvd Calendar'!$AK$1372)=FALSE,"",IF((('Dvd Calendar'!$AK$1374=TYPE1)*(TYPE1&lt;&gt;"")+('Dvd Calendar'!$AK$1374=TYPE2)*(TYPE2&lt;&gt;"")+('Dvd Calendar'!$AK$1374=TYPE3)*(TYPE3&lt;&gt;"")+('Dvd Calendar'!$AK$1374=TYPE4)*(TYPE4&lt;&gt;"")+('Dvd Calendar'!$AK$1374=SPECIAL_LBL)*(INC_SPECIALS="Y"))=0,"",'Dvd Calendar'!$AK$1372)))</f>
        <v/>
      </c>
      <c r="AJ139" s="110">
        <f>IF(FL139="","",IF(ISNUMBER('Dvd Calendar'!$AL$1372)=FALSE,"",IF((('Dvd Calendar'!$AL$1374=TYPE1)*(TYPE1&lt;&gt;"")+('Dvd Calendar'!$AL$1374=TYPE2)*(TYPE2&lt;&gt;"")+('Dvd Calendar'!$AL$1374=TYPE3)*(TYPE3&lt;&gt;"")+('Dvd Calendar'!$AL$1374=TYPE4)*(TYPE4&lt;&gt;"")+('Dvd Calendar'!$AL$1374=SPECIAL_LBL)*(INC_SPECIALS="Y"))=0,"",'Dvd Calendar'!$AL$1372)))</f>
        <v/>
      </c>
      <c r="AK139" s="110">
        <f>IF(FM139="","",IF(ISNUMBER('Dvd Calendar'!$AM$1372)=FALSE,"",IF((('Dvd Calendar'!$AM$1374=TYPE1)*(TYPE1&lt;&gt;"")+('Dvd Calendar'!$AM$1374=TYPE2)*(TYPE2&lt;&gt;"")+('Dvd Calendar'!$AM$1374=TYPE3)*(TYPE3&lt;&gt;"")+('Dvd Calendar'!$AM$1374=TYPE4)*(TYPE4&lt;&gt;"")+('Dvd Calendar'!$AM$1374=SPECIAL_LBL)*(INC_SPECIALS="Y"))=0,"",'Dvd Calendar'!$AM$1372)))</f>
        <v/>
      </c>
      <c r="AL139" s="110">
        <f>IF(FN139="","",IF(ISNUMBER('Dvd Calendar'!$AN$1372)=FALSE,"",IF((('Dvd Calendar'!$AN$1374=TYPE1)*(TYPE1&lt;&gt;"")+('Dvd Calendar'!$AN$1374=TYPE2)*(TYPE2&lt;&gt;"")+('Dvd Calendar'!$AN$1374=TYPE3)*(TYPE3&lt;&gt;"")+('Dvd Calendar'!$AN$1374=TYPE4)*(TYPE4&lt;&gt;"")+('Dvd Calendar'!$AN$1374=SPECIAL_LBL)*(INC_SPECIALS="Y"))=0,"",'Dvd Calendar'!$AN$1372)))</f>
        <v/>
      </c>
      <c r="AM139" s="110">
        <f>IF(FO139="","",IF(ISNUMBER('Dvd Calendar'!$AO$1372)=FALSE,"",IF((('Dvd Calendar'!$AO$1374=TYPE1)*(TYPE1&lt;&gt;"")+('Dvd Calendar'!$AO$1374=TYPE2)*(TYPE2&lt;&gt;"")+('Dvd Calendar'!$AO$1374=TYPE3)*(TYPE3&lt;&gt;"")+('Dvd Calendar'!$AO$1374=TYPE4)*(TYPE4&lt;&gt;"")+('Dvd Calendar'!$AO$1374=SPECIAL_LBL)*(INC_SPECIALS="Y"))=0,"",'Dvd Calendar'!$AO$1372)))</f>
        <v/>
      </c>
      <c r="AN139" s="110">
        <f>IF(FP139="","",IF(ISNUMBER('Dvd Calendar'!$AP$1372)=FALSE,"",IF((('Dvd Calendar'!$AP$1374=TYPE1)*(TYPE1&lt;&gt;"")+('Dvd Calendar'!$AP$1374=TYPE2)*(TYPE2&lt;&gt;"")+('Dvd Calendar'!$AP$1374=TYPE3)*(TYPE3&lt;&gt;"")+('Dvd Calendar'!$AP$1374=TYPE4)*(TYPE4&lt;&gt;"")+('Dvd Calendar'!$AP$1374=SPECIAL_LBL)*(INC_SPECIALS="Y"))=0,"",'Dvd Calendar'!$AP$1372)))</f>
        <v/>
      </c>
      <c r="AO139" s="110">
        <f>IF(FQ139="","",IF(ISNUMBER('Dvd Calendar'!$AQ$1372)=FALSE,"",IF((('Dvd Calendar'!$AQ$1374=TYPE1)*(TYPE1&lt;&gt;"")+('Dvd Calendar'!$AQ$1374=TYPE2)*(TYPE2&lt;&gt;"")+('Dvd Calendar'!$AQ$1374=TYPE3)*(TYPE3&lt;&gt;"")+('Dvd Calendar'!$AQ$1374=TYPE4)*(TYPE4&lt;&gt;"")+('Dvd Calendar'!$AQ$1374=SPECIAL_LBL)*(INC_SPECIALS="Y"))=0,"",'Dvd Calendar'!$AQ$1372)))</f>
        <v/>
      </c>
      <c r="AP139" s="110">
        <f>IF(FR139="","",IF(ISNUMBER('Dvd Calendar'!$AR$1372)=FALSE,"",IF((('Dvd Calendar'!$AR$1374=TYPE1)*(TYPE1&lt;&gt;"")+('Dvd Calendar'!$AR$1374=TYPE2)*(TYPE2&lt;&gt;"")+('Dvd Calendar'!$AR$1374=TYPE3)*(TYPE3&lt;&gt;"")+('Dvd Calendar'!$AR$1374=TYPE4)*(TYPE4&lt;&gt;"")+('Dvd Calendar'!$AR$1374=SPECIAL_LBL)*(INC_SPECIALS="Y"))=0,"",'Dvd Calendar'!$AR$1372)))</f>
        <v/>
      </c>
      <c r="AQ139" s="110">
        <f>IF(FS139="","",IF(ISNUMBER('Dvd Calendar'!$E$1377)=FALSE,"",'Dvd Calendar'!$E$1377))</f>
        <v/>
      </c>
      <c r="AR139" s="110">
        <f>IF(FT139="","",IF(ISNUMBER('Dvd Calendar'!$F$1377)=FALSE,"",'Dvd Calendar'!$F$1377))</f>
        <v/>
      </c>
      <c r="AS139" s="110">
        <f>IF(FU139="","",IF(ISNUMBER('Dvd Calendar'!$G$1377)=FALSE,"",'Dvd Calendar'!$G$1377))</f>
        <v/>
      </c>
      <c r="AT139" s="110">
        <f>IF(FV139="","",IF(ISNUMBER('Dvd Calendar'!$H$1377)=FALSE,"",'Dvd Calendar'!$H$1377))</f>
        <v/>
      </c>
      <c r="AU139" s="110">
        <f>IF(FW139="","",IF(ISNUMBER('Dvd Calendar'!$I$1377)=FALSE,"",'Dvd Calendar'!$I$1377))</f>
        <v/>
      </c>
      <c r="AV139" s="110">
        <f>IF(FX139="","",IF(ISNUMBER('Dvd Calendar'!$J$1377)=FALSE,"",'Dvd Calendar'!$J$1377))</f>
        <v/>
      </c>
      <c r="AW139" s="110">
        <f>IF(FY139="","",IF(ISNUMBER('Dvd Calendar'!$K$1377)=FALSE,"",'Dvd Calendar'!$K$1377))</f>
        <v/>
      </c>
      <c r="AX139" s="110">
        <f>IF(FZ139="","",IF(ISNUMBER('Dvd Calendar'!$L$1377)=FALSE,"",'Dvd Calendar'!$L$1377))</f>
        <v/>
      </c>
      <c r="AY139" s="110">
        <f>IF(GA139="","",IF(ISNUMBER('Dvd Calendar'!$M$1377)=FALSE,"",'Dvd Calendar'!$M$1377))</f>
        <v/>
      </c>
      <c r="AZ139" s="110">
        <f>IF(GB139="","",IF(ISNUMBER('Dvd Calendar'!$N$1377)=FALSE,"",'Dvd Calendar'!$N$1377))</f>
        <v/>
      </c>
      <c r="BA139" s="110">
        <f>IF(GC139="","",IF(ISNUMBER('Dvd Calendar'!$O$1377)=FALSE,"",'Dvd Calendar'!$O$1377))</f>
        <v/>
      </c>
      <c r="BB139" s="110">
        <f>IF(GD139="","",IF(ISNUMBER('Dvd Calendar'!$P$1377)=FALSE,"",'Dvd Calendar'!$P$1377))</f>
        <v/>
      </c>
      <c r="BC139" s="110">
        <f>IF(GE139="","",IF(ISNUMBER('Dvd Calendar'!$Q$1377)=FALSE,"",'Dvd Calendar'!$Q$1377))</f>
        <v/>
      </c>
      <c r="BD139" s="110">
        <f>IF(GF139="","",IF(ISNUMBER('Dvd Calendar'!$R$1377)=FALSE,"",'Dvd Calendar'!$R$1377))</f>
        <v/>
      </c>
      <c r="BE139" s="110">
        <f>IF(GG139="","",IF(ISNUMBER('Dvd Calendar'!$S$1377)=FALSE,"",'Dvd Calendar'!$S$1377))</f>
        <v/>
      </c>
      <c r="BF139" s="110">
        <f>IF(GH139="","",IF(ISNUMBER('Dvd Calendar'!$T$1377)=FALSE,"",'Dvd Calendar'!$T$1377))</f>
        <v/>
      </c>
      <c r="BG139" s="110">
        <f>IF(GI139="","",IF(ISNUMBER('Dvd Calendar'!$U$1377)=FALSE,"",'Dvd Calendar'!$U$1377))</f>
        <v/>
      </c>
      <c r="BH139" s="110">
        <f>IF(GJ139="","",IF(ISNUMBER('Dvd Calendar'!$V$1377)=FALSE,"",'Dvd Calendar'!$V$1377))</f>
        <v/>
      </c>
      <c r="BI139" s="110">
        <f>IF(GK139="","",IF(ISNUMBER('Dvd Calendar'!$W$1377)=FALSE,"",'Dvd Calendar'!$W$1377))</f>
        <v/>
      </c>
      <c r="BJ139" s="110">
        <f>IF(GL139="","",IF(ISNUMBER('Dvd Calendar'!$X$1377)=FALSE,"",'Dvd Calendar'!$X$1377))</f>
        <v/>
      </c>
      <c r="BK139" s="110">
        <f>IF(GM139="","",IF(ISNUMBER('Dvd Calendar'!$Y$1377)=FALSE,"",'Dvd Calendar'!$Y$1377))</f>
        <v/>
      </c>
      <c r="BL139" s="110">
        <f>IF(GN139="","",IF(ISNUMBER('Dvd Calendar'!$Z$1377)=FALSE,"",'Dvd Calendar'!$Z$1377))</f>
        <v/>
      </c>
      <c r="BM139" s="110">
        <f>IF(GO139="","",IF(ISNUMBER('Dvd Calendar'!$AA$1377)=FALSE,"",'Dvd Calendar'!$AA$1377))</f>
        <v/>
      </c>
      <c r="BN139" s="110">
        <f>IF(GP139="","",IF(ISNUMBER('Dvd Calendar'!$AB$1377)=FALSE,"",'Dvd Calendar'!$AB$1377))</f>
        <v/>
      </c>
      <c r="BO139" s="110">
        <f>IF(GQ139="","",IF(ISNUMBER('Dvd Calendar'!$AC$1377)=FALSE,"",'Dvd Calendar'!$AC$1377))</f>
        <v/>
      </c>
      <c r="BQ139" s="110">
        <f>IF(C139="","",IFERROR(C139*HSTECH!$B$30*HSTECH!$G$30/HSTECH!$B$3,""))</f>
        <v/>
      </c>
      <c r="BR139" s="110">
        <f>IF(D139="","",IFERROR(D139*HSTECH!$B$30*HSTECH!$G$30/HSTECH!$B$3,""))</f>
        <v/>
      </c>
      <c r="BS139" s="110">
        <f>IF(E139="","",IFERROR(E139*HSTECH!$B$30*HSTECH!$G$30/HSTECH!$B$3,""))</f>
        <v/>
      </c>
      <c r="BT139" s="110">
        <f>IF(F139="","",IFERROR(F139*HSTECH!$B$30*HSTECH!$G$30/HSTECH!$B$3,""))</f>
        <v/>
      </c>
      <c r="BU139" s="110">
        <f>IF(G139="","",IFERROR(G139*HSTECH!$B$30*HSTECH!$G$30/HSTECH!$B$3,""))</f>
        <v/>
      </c>
      <c r="BV139" s="110">
        <f>IF(H139="","",IFERROR(H139*HSTECH!$B$30*HSTECH!$G$30/HSTECH!$B$3,""))</f>
        <v/>
      </c>
      <c r="BW139" s="110">
        <f>IF(I139="","",IFERROR(I139*HSTECH!$B$30*HSTECH!$G$30/HSTECH!$B$3,""))</f>
        <v/>
      </c>
      <c r="BX139" s="110">
        <f>IF(J139="","",IFERROR(J139*HSTECH!$B$30*HSTECH!$G$30/HSTECH!$B$3,""))</f>
        <v/>
      </c>
      <c r="BY139" s="110">
        <f>IF(K139="","",IFERROR(K139*HSTECH!$B$30*HSTECH!$G$30/HSTECH!$B$3,""))</f>
        <v/>
      </c>
      <c r="BZ139" s="110">
        <f>IF(L139="","",IFERROR(L139*HSTECH!$B$30*HSTECH!$G$30/HSTECH!$B$3,""))</f>
        <v/>
      </c>
      <c r="CA139" s="110">
        <f>IF(M139="","",IFERROR(M139*HSTECH!$B$30*HSTECH!$G$30/HSTECH!$B$3,""))</f>
        <v/>
      </c>
      <c r="CB139" s="110">
        <f>IF(N139="","",IFERROR(N139*HSTECH!$B$30*HSTECH!$G$30/HSTECH!$B$3,""))</f>
        <v/>
      </c>
      <c r="CC139" s="110">
        <f>IF(O139="","",IFERROR(O139*HSTECH!$B$30*HSTECH!$G$30/HSTECH!$B$3,""))</f>
        <v/>
      </c>
      <c r="CD139" s="110">
        <f>IF(P139="","",IFERROR(P139*HSTECH!$B$30*HSTECH!$G$30/HSTECH!$B$3,""))</f>
        <v/>
      </c>
      <c r="CE139" s="110">
        <f>IF(Q139="","",IFERROR(Q139*HSTECH!$B$30*HSTECH!$G$30/HSTECH!$B$3,""))</f>
        <v/>
      </c>
      <c r="CF139" s="110">
        <f>IF(R139="","",IFERROR(R139*HSTECH!$B$30*HSTECH!$G$30/HSTECH!$B$3,""))</f>
        <v/>
      </c>
      <c r="CG139" s="110">
        <f>IF(S139="","",IFERROR(S139*HSTECH!$B$30*HSTECH!$G$30/HSTECH!$B$3,""))</f>
        <v/>
      </c>
      <c r="CH139" s="110">
        <f>IF(T139="","",IFERROR(T139*HSTECH!$B$30*HSTECH!$G$30/HSTECH!$B$3,""))</f>
        <v/>
      </c>
      <c r="CI139" s="110">
        <f>IF(U139="","",IFERROR(U139*HSTECH!$B$30*HSTECH!$G$30/HSTECH!$B$3,""))</f>
        <v/>
      </c>
      <c r="CJ139" s="110">
        <f>IF(V139="","",IFERROR(V139*HSTECH!$B$30*HSTECH!$G$30/HSTECH!$B$3,""))</f>
        <v/>
      </c>
      <c r="CK139" s="110">
        <f>IF(W139="","",IFERROR(W139*HSTECH!$B$30*HSTECH!$G$30/HSTECH!$B$3,""))</f>
        <v/>
      </c>
      <c r="CL139" s="110">
        <f>IF(X139="","",IFERROR(X139*HSTECH!$B$30*HSTECH!$G$30/HSTECH!$B$3,""))</f>
        <v/>
      </c>
      <c r="CM139" s="110">
        <f>IF(Y139="","",IFERROR(Y139*HSTECH!$B$30*HSTECH!$G$30/HSTECH!$B$3,""))</f>
        <v/>
      </c>
      <c r="CN139" s="110">
        <f>IF(Z139="","",IFERROR(Z139*HSTECH!$B$30*HSTECH!$G$30/HSTECH!$B$3,""))</f>
        <v/>
      </c>
      <c r="CO139" s="110">
        <f>IF(AA139="","",IFERROR(AA139*HSTECH!$B$30*HSTECH!$G$30/HSTECH!$B$3,""))</f>
        <v/>
      </c>
      <c r="CP139" s="110">
        <f>IF(AB139="","",IFERROR(AB139*HSTECH!$B$30*HSTECH!$G$30/HSTECH!$B$3,""))</f>
        <v/>
      </c>
      <c r="CQ139" s="110">
        <f>IF(AC139="","",IFERROR(AC139*HSTECH!$B$30*HSTECH!$G$30/HSTECH!$B$3,""))</f>
        <v/>
      </c>
      <c r="CR139" s="110">
        <f>IF(AD139="","",IFERROR(AD139*HSTECH!$B$30*HSTECH!$G$30/HSTECH!$B$3,""))</f>
        <v/>
      </c>
      <c r="CS139" s="110">
        <f>IF(AE139="","",IFERROR(AE139*HSTECH!$B$30*HSTECH!$G$30/HSTECH!$B$3,""))</f>
        <v/>
      </c>
      <c r="CT139" s="110">
        <f>IF(AF139="","",IFERROR(AF139*HSTECH!$B$30*HSTECH!$G$30/HSTECH!$B$3,""))</f>
        <v/>
      </c>
      <c r="CU139" s="110">
        <f>IF(AG139="","",IFERROR(AG139*HSTECH!$B$30*HSTECH!$G$30/HSTECH!$B$3,""))</f>
        <v/>
      </c>
      <c r="CV139" s="110">
        <f>IF(AH139="","",IFERROR(AH139*HSTECH!$B$30*HSTECH!$G$30/HSTECH!$B$3,""))</f>
        <v/>
      </c>
      <c r="CW139" s="110">
        <f>IF(AI139="","",IFERROR(AI139*HSTECH!$B$30*HSTECH!$G$30/HSTECH!$B$3,""))</f>
        <v/>
      </c>
      <c r="CX139" s="110">
        <f>IF(AJ139="","",IFERROR(AJ139*HSTECH!$B$30*HSTECH!$G$30/HSTECH!$B$3,""))</f>
        <v/>
      </c>
      <c r="CY139" s="110">
        <f>IF(AK139="","",IFERROR(AK139*HSTECH!$B$30*HSTECH!$G$30/HSTECH!$B$3,""))</f>
        <v/>
      </c>
      <c r="CZ139" s="110">
        <f>IF(AL139="","",IFERROR(AL139*HSTECH!$B$30*HSTECH!$G$30/HSTECH!$B$3,""))</f>
        <v/>
      </c>
      <c r="DA139" s="110">
        <f>IF(AM139="","",IFERROR(AM139*HSTECH!$B$30*HSTECH!$G$30/HSTECH!$B$3,""))</f>
        <v/>
      </c>
      <c r="DB139" s="110">
        <f>IF(AN139="","",IFERROR(AN139*HSTECH!$B$30*HSTECH!$G$30/HSTECH!$B$3,""))</f>
        <v/>
      </c>
      <c r="DC139" s="110">
        <f>IF(AO139="","",IFERROR(AO139*HSTECH!$B$30*HSTECH!$G$30/HSTECH!$B$3,""))</f>
        <v/>
      </c>
      <c r="DD139" s="110">
        <f>IF(AP139="","",IFERROR(AP139*HSTECH!$B$30*HSTECH!$G$30/HSTECH!$B$3,""))</f>
        <v/>
      </c>
      <c r="DE139" s="110">
        <f>IF(AQ139="","",IFERROR(AQ139*HSTECH!$B$30*HSTECH!$G$30/HSTECH!$B$3,""))</f>
        <v/>
      </c>
      <c r="DF139" s="110">
        <f>IF(AR139="","",IFERROR(AR139*HSTECH!$B$30*HSTECH!$G$30/HSTECH!$B$3,""))</f>
        <v/>
      </c>
      <c r="DG139" s="110">
        <f>IF(AS139="","",IFERROR(AS139*HSTECH!$B$30*HSTECH!$G$30/HSTECH!$B$3,""))</f>
        <v/>
      </c>
      <c r="DH139" s="110">
        <f>IF(AT139="","",IFERROR(AT139*HSTECH!$B$30*HSTECH!$G$30/HSTECH!$B$3,""))</f>
        <v/>
      </c>
      <c r="DI139" s="110">
        <f>IF(AU139="","",IFERROR(AU139*HSTECH!$B$30*HSTECH!$G$30/HSTECH!$B$3,""))</f>
        <v/>
      </c>
      <c r="DJ139" s="110">
        <f>IF(AV139="","",IFERROR(AV139*HSTECH!$B$30*HSTECH!$G$30/HSTECH!$B$3,""))</f>
        <v/>
      </c>
      <c r="DK139" s="110">
        <f>IF(AW139="","",IFERROR(AW139*HSTECH!$B$30*HSTECH!$G$30/HSTECH!$B$3,""))</f>
        <v/>
      </c>
      <c r="DL139" s="110">
        <f>IF(AX139="","",IFERROR(AX139*HSTECH!$B$30*HSTECH!$G$30/HSTECH!$B$3,""))</f>
        <v/>
      </c>
      <c r="DM139" s="110">
        <f>IF(AY139="","",IFERROR(AY139*HSTECH!$B$30*HSTECH!$G$30/HSTECH!$B$3,""))</f>
        <v/>
      </c>
      <c r="DN139" s="110">
        <f>IF(AZ139="","",IFERROR(AZ139*HSTECH!$B$30*HSTECH!$G$30/HSTECH!$B$3,""))</f>
        <v/>
      </c>
      <c r="DO139" s="110">
        <f>IF(BA139="","",IFERROR(BA139*HSTECH!$B$30*HSTECH!$G$30/HSTECH!$B$3,""))</f>
        <v/>
      </c>
      <c r="DP139" s="110">
        <f>IF(BB139="","",IFERROR(BB139*HSTECH!$B$30*HSTECH!$G$30/HSTECH!$B$3,""))</f>
        <v/>
      </c>
      <c r="DQ139" s="110">
        <f>IF(BC139="","",IFERROR(BC139*HSTECH!$B$30*HSTECH!$G$30/HSTECH!$B$3,""))</f>
        <v/>
      </c>
      <c r="DR139" s="110">
        <f>IF(BD139="","",IFERROR(BD139*HSTECH!$B$30*HSTECH!$G$30/HSTECH!$B$3,""))</f>
        <v/>
      </c>
      <c r="DS139" s="110">
        <f>IF(BE139="","",IFERROR(BE139*HSTECH!$B$30*HSTECH!$G$30/HSTECH!$B$3,""))</f>
        <v/>
      </c>
      <c r="DT139" s="110">
        <f>IF(BF139="","",IFERROR(BF139*HSTECH!$B$30*HSTECH!$G$30/HSTECH!$B$3,""))</f>
        <v/>
      </c>
      <c r="DU139" s="110">
        <f>IF(BG139="","",IFERROR(BG139*HSTECH!$B$30*HSTECH!$G$30/HSTECH!$B$3,""))</f>
        <v/>
      </c>
      <c r="DV139" s="110">
        <f>IF(BH139="","",IFERROR(BH139*HSTECH!$B$30*HSTECH!$G$30/HSTECH!$B$3,""))</f>
        <v/>
      </c>
      <c r="DW139" s="110">
        <f>IF(BI139="","",IFERROR(BI139*HSTECH!$B$30*HSTECH!$G$30/HSTECH!$B$3,""))</f>
        <v/>
      </c>
      <c r="DX139" s="110">
        <f>IF(BJ139="","",IFERROR(BJ139*HSTECH!$B$30*HSTECH!$G$30/HSTECH!$B$3,""))</f>
        <v/>
      </c>
      <c r="DY139" s="110">
        <f>IF(BK139="","",IFERROR(BK139*HSTECH!$B$30*HSTECH!$G$30/HSTECH!$B$3,""))</f>
        <v/>
      </c>
      <c r="DZ139" s="110">
        <f>IF(BL139="","",IFERROR(BL139*HSTECH!$B$30*HSTECH!$G$30/HSTECH!$B$3,""))</f>
        <v/>
      </c>
      <c r="EA139" s="110">
        <f>IF(BM139="","",IFERROR(BM139*HSTECH!$B$30*HSTECH!$G$30/HSTECH!$B$3,""))</f>
        <v/>
      </c>
      <c r="EB139" s="110">
        <f>IF(BN139="","",IFERROR(BN139*HSTECH!$B$30*HSTECH!$G$30/HSTECH!$B$3,""))</f>
        <v/>
      </c>
      <c r="EC139" s="110">
        <f>IF(BO139="","",IFERROR(BO139*HSTECH!$B$30*HSTECH!$G$30/HSTECH!$B$3,""))</f>
        <v/>
      </c>
      <c r="EE139" s="39">
        <f>IF(N('Dvd Calendar'!$E$1369)=0,"",IF(('Dvd Calendar'!$E$1369&gt;=GRID_FROM)*('Dvd Calendar'!$E$1369&lt;=GRID_TO)*((('Dvd Calendar'!$E$1369&lt;=VAL_DATE)+(COUNTIF('Dvd Calendar'!$E$1376:$AR$1376,'Dvd Calendar'!$E$1369)=0))&gt;0)=0,"",'Dvd Calendar'!$E$1369*1000000000+ISNUMBER('Dvd Calendar'!$E$1372)*100000000+('Dvd Calendar'!$E$1374=SPECIAL_LBL)*10000000+(N('Dvd Calendar'!$E$1368)&gt;0)*(N('Dvd Calendar'!$E$1368)&lt;=VAL_SERIAL)*1000000+24*1000+1))</f>
        <v/>
      </c>
      <c r="EF139" s="39">
        <f>IF(N('Dvd Calendar'!$F$1369)=0,"",IF(('Dvd Calendar'!$F$1369&gt;=GRID_FROM)*('Dvd Calendar'!$F$1369&lt;=GRID_TO)*((('Dvd Calendar'!$F$1369&lt;=VAL_DATE)+(COUNTIF('Dvd Calendar'!$E$1376:$AR$1376,'Dvd Calendar'!$F$1369)=0))&gt;0)=0,"",'Dvd Calendar'!$F$1369*1000000000+ISNUMBER('Dvd Calendar'!$F$1372)*100000000+('Dvd Calendar'!$F$1374=SPECIAL_LBL)*10000000+(N('Dvd Calendar'!$F$1368)&gt;0)*(N('Dvd Calendar'!$F$1368)&lt;=VAL_SERIAL)*1000000+24*1000+2))</f>
        <v/>
      </c>
      <c r="EG139" s="39">
        <f>IF(N('Dvd Calendar'!$G$1369)=0,"",IF(('Dvd Calendar'!$G$1369&gt;=GRID_FROM)*('Dvd Calendar'!$G$1369&lt;=GRID_TO)*((('Dvd Calendar'!$G$1369&lt;=VAL_DATE)+(COUNTIF('Dvd Calendar'!$E$1376:$AR$1376,'Dvd Calendar'!$G$1369)=0))&gt;0)=0,"",'Dvd Calendar'!$G$1369*1000000000+ISNUMBER('Dvd Calendar'!$G$1372)*100000000+('Dvd Calendar'!$G$1374=SPECIAL_LBL)*10000000+(N('Dvd Calendar'!$G$1368)&gt;0)*(N('Dvd Calendar'!$G$1368)&lt;=VAL_SERIAL)*1000000+24*1000+3))</f>
        <v/>
      </c>
      <c r="EH139" s="39">
        <f>IF(N('Dvd Calendar'!$H$1369)=0,"",IF(('Dvd Calendar'!$H$1369&gt;=GRID_FROM)*('Dvd Calendar'!$H$1369&lt;=GRID_TO)*((('Dvd Calendar'!$H$1369&lt;=VAL_DATE)+(COUNTIF('Dvd Calendar'!$E$1376:$AR$1376,'Dvd Calendar'!$H$1369)=0))&gt;0)=0,"",'Dvd Calendar'!$H$1369*1000000000+ISNUMBER('Dvd Calendar'!$H$1372)*100000000+('Dvd Calendar'!$H$1374=SPECIAL_LBL)*10000000+(N('Dvd Calendar'!$H$1368)&gt;0)*(N('Dvd Calendar'!$H$1368)&lt;=VAL_SERIAL)*1000000+24*1000+4))</f>
        <v/>
      </c>
      <c r="EI139" s="39">
        <f>IF(N('Dvd Calendar'!$I$1369)=0,"",IF(('Dvd Calendar'!$I$1369&gt;=GRID_FROM)*('Dvd Calendar'!$I$1369&lt;=GRID_TO)*((('Dvd Calendar'!$I$1369&lt;=VAL_DATE)+(COUNTIF('Dvd Calendar'!$E$1376:$AR$1376,'Dvd Calendar'!$I$1369)=0))&gt;0)=0,"",'Dvd Calendar'!$I$1369*1000000000+ISNUMBER('Dvd Calendar'!$I$1372)*100000000+('Dvd Calendar'!$I$1374=SPECIAL_LBL)*10000000+(N('Dvd Calendar'!$I$1368)&gt;0)*(N('Dvd Calendar'!$I$1368)&lt;=VAL_SERIAL)*1000000+24*1000+5))</f>
        <v/>
      </c>
      <c r="EJ139" s="39">
        <f>IF(N('Dvd Calendar'!$J$1369)=0,"",IF(('Dvd Calendar'!$J$1369&gt;=GRID_FROM)*('Dvd Calendar'!$J$1369&lt;=GRID_TO)*((('Dvd Calendar'!$J$1369&lt;=VAL_DATE)+(COUNTIF('Dvd Calendar'!$E$1376:$AR$1376,'Dvd Calendar'!$J$1369)=0))&gt;0)=0,"",'Dvd Calendar'!$J$1369*1000000000+ISNUMBER('Dvd Calendar'!$J$1372)*100000000+('Dvd Calendar'!$J$1374=SPECIAL_LBL)*10000000+(N('Dvd Calendar'!$J$1368)&gt;0)*(N('Dvd Calendar'!$J$1368)&lt;=VAL_SERIAL)*1000000+24*1000+6))</f>
        <v/>
      </c>
      <c r="EK139" s="39">
        <f>IF(N('Dvd Calendar'!$K$1369)=0,"",IF(('Dvd Calendar'!$K$1369&gt;=GRID_FROM)*('Dvd Calendar'!$K$1369&lt;=GRID_TO)*((('Dvd Calendar'!$K$1369&lt;=VAL_DATE)+(COUNTIF('Dvd Calendar'!$E$1376:$AR$1376,'Dvd Calendar'!$K$1369)=0))&gt;0)=0,"",'Dvd Calendar'!$K$1369*1000000000+ISNUMBER('Dvd Calendar'!$K$1372)*100000000+('Dvd Calendar'!$K$1374=SPECIAL_LBL)*10000000+(N('Dvd Calendar'!$K$1368)&gt;0)*(N('Dvd Calendar'!$K$1368)&lt;=VAL_SERIAL)*1000000+24*1000+7))</f>
        <v/>
      </c>
      <c r="EL139" s="39">
        <f>IF(N('Dvd Calendar'!$L$1369)=0,"",IF(('Dvd Calendar'!$L$1369&gt;=GRID_FROM)*('Dvd Calendar'!$L$1369&lt;=GRID_TO)*((('Dvd Calendar'!$L$1369&lt;=VAL_DATE)+(COUNTIF('Dvd Calendar'!$E$1376:$AR$1376,'Dvd Calendar'!$L$1369)=0))&gt;0)=0,"",'Dvd Calendar'!$L$1369*1000000000+ISNUMBER('Dvd Calendar'!$L$1372)*100000000+('Dvd Calendar'!$L$1374=SPECIAL_LBL)*10000000+(N('Dvd Calendar'!$L$1368)&gt;0)*(N('Dvd Calendar'!$L$1368)&lt;=VAL_SERIAL)*1000000+24*1000+8))</f>
        <v/>
      </c>
      <c r="EM139" s="39">
        <f>IF(N('Dvd Calendar'!$M$1369)=0,"",IF(('Dvd Calendar'!$M$1369&gt;=GRID_FROM)*('Dvd Calendar'!$M$1369&lt;=GRID_TO)*((('Dvd Calendar'!$M$1369&lt;=VAL_DATE)+(COUNTIF('Dvd Calendar'!$E$1376:$AR$1376,'Dvd Calendar'!$M$1369)=0))&gt;0)=0,"",'Dvd Calendar'!$M$1369*1000000000+ISNUMBER('Dvd Calendar'!$M$1372)*100000000+('Dvd Calendar'!$M$1374=SPECIAL_LBL)*10000000+(N('Dvd Calendar'!$M$1368)&gt;0)*(N('Dvd Calendar'!$M$1368)&lt;=VAL_SERIAL)*1000000+24*1000+9))</f>
        <v/>
      </c>
      <c r="EN139" s="39">
        <f>IF(N('Dvd Calendar'!$N$1369)=0,"",IF(('Dvd Calendar'!$N$1369&gt;=GRID_FROM)*('Dvd Calendar'!$N$1369&lt;=GRID_TO)*((('Dvd Calendar'!$N$1369&lt;=VAL_DATE)+(COUNTIF('Dvd Calendar'!$E$1376:$AR$1376,'Dvd Calendar'!$N$1369)=0))&gt;0)=0,"",'Dvd Calendar'!$N$1369*1000000000+ISNUMBER('Dvd Calendar'!$N$1372)*100000000+('Dvd Calendar'!$N$1374=SPECIAL_LBL)*10000000+(N('Dvd Calendar'!$N$1368)&gt;0)*(N('Dvd Calendar'!$N$1368)&lt;=VAL_SERIAL)*1000000+24*1000+10))</f>
        <v/>
      </c>
      <c r="EO139" s="39">
        <f>IF(N('Dvd Calendar'!$O$1369)=0,"",IF(('Dvd Calendar'!$O$1369&gt;=GRID_FROM)*('Dvd Calendar'!$O$1369&lt;=GRID_TO)*((('Dvd Calendar'!$O$1369&lt;=VAL_DATE)+(COUNTIF('Dvd Calendar'!$E$1376:$AR$1376,'Dvd Calendar'!$O$1369)=0))&gt;0)=0,"",'Dvd Calendar'!$O$1369*1000000000+ISNUMBER('Dvd Calendar'!$O$1372)*100000000+('Dvd Calendar'!$O$1374=SPECIAL_LBL)*10000000+(N('Dvd Calendar'!$O$1368)&gt;0)*(N('Dvd Calendar'!$O$1368)&lt;=VAL_SERIAL)*1000000+24*1000+11))</f>
        <v/>
      </c>
      <c r="EP139" s="39">
        <f>IF(N('Dvd Calendar'!$P$1369)=0,"",IF(('Dvd Calendar'!$P$1369&gt;=GRID_FROM)*('Dvd Calendar'!$P$1369&lt;=GRID_TO)*((('Dvd Calendar'!$P$1369&lt;=VAL_DATE)+(COUNTIF('Dvd Calendar'!$E$1376:$AR$1376,'Dvd Calendar'!$P$1369)=0))&gt;0)=0,"",'Dvd Calendar'!$P$1369*1000000000+ISNUMBER('Dvd Calendar'!$P$1372)*100000000+('Dvd Calendar'!$P$1374=SPECIAL_LBL)*10000000+(N('Dvd Calendar'!$P$1368)&gt;0)*(N('Dvd Calendar'!$P$1368)&lt;=VAL_SERIAL)*1000000+24*1000+12))</f>
        <v/>
      </c>
      <c r="EQ139" s="39">
        <f>IF(N('Dvd Calendar'!$Q$1369)=0,"",IF(('Dvd Calendar'!$Q$1369&gt;=GRID_FROM)*('Dvd Calendar'!$Q$1369&lt;=GRID_TO)*((('Dvd Calendar'!$Q$1369&lt;=VAL_DATE)+(COUNTIF('Dvd Calendar'!$E$1376:$AR$1376,'Dvd Calendar'!$Q$1369)=0))&gt;0)=0,"",'Dvd Calendar'!$Q$1369*1000000000+ISNUMBER('Dvd Calendar'!$Q$1372)*100000000+('Dvd Calendar'!$Q$1374=SPECIAL_LBL)*10000000+(N('Dvd Calendar'!$Q$1368)&gt;0)*(N('Dvd Calendar'!$Q$1368)&lt;=VAL_SERIAL)*1000000+24*1000+13))</f>
        <v/>
      </c>
      <c r="ER139" s="39">
        <f>IF(N('Dvd Calendar'!$R$1369)=0,"",IF(('Dvd Calendar'!$R$1369&gt;=GRID_FROM)*('Dvd Calendar'!$R$1369&lt;=GRID_TO)*((('Dvd Calendar'!$R$1369&lt;=VAL_DATE)+(COUNTIF('Dvd Calendar'!$E$1376:$AR$1376,'Dvd Calendar'!$R$1369)=0))&gt;0)=0,"",'Dvd Calendar'!$R$1369*1000000000+ISNUMBER('Dvd Calendar'!$R$1372)*100000000+('Dvd Calendar'!$R$1374=SPECIAL_LBL)*10000000+(N('Dvd Calendar'!$R$1368)&gt;0)*(N('Dvd Calendar'!$R$1368)&lt;=VAL_SERIAL)*1000000+24*1000+14))</f>
        <v/>
      </c>
      <c r="ES139" s="39">
        <f>IF(N('Dvd Calendar'!$S$1369)=0,"",IF(('Dvd Calendar'!$S$1369&gt;=GRID_FROM)*('Dvd Calendar'!$S$1369&lt;=GRID_TO)*((('Dvd Calendar'!$S$1369&lt;=VAL_DATE)+(COUNTIF('Dvd Calendar'!$E$1376:$AR$1376,'Dvd Calendar'!$S$1369)=0))&gt;0)=0,"",'Dvd Calendar'!$S$1369*1000000000+ISNUMBER('Dvd Calendar'!$S$1372)*100000000+('Dvd Calendar'!$S$1374=SPECIAL_LBL)*10000000+(N('Dvd Calendar'!$S$1368)&gt;0)*(N('Dvd Calendar'!$S$1368)&lt;=VAL_SERIAL)*1000000+24*1000+15))</f>
        <v/>
      </c>
      <c r="ET139" s="39">
        <f>IF(N('Dvd Calendar'!$T$1369)=0,"",IF(('Dvd Calendar'!$T$1369&gt;=GRID_FROM)*('Dvd Calendar'!$T$1369&lt;=GRID_TO)*((('Dvd Calendar'!$T$1369&lt;=VAL_DATE)+(COUNTIF('Dvd Calendar'!$E$1376:$AR$1376,'Dvd Calendar'!$T$1369)=0))&gt;0)=0,"",'Dvd Calendar'!$T$1369*1000000000+ISNUMBER('Dvd Calendar'!$T$1372)*100000000+('Dvd Calendar'!$T$1374=SPECIAL_LBL)*10000000+(N('Dvd Calendar'!$T$1368)&gt;0)*(N('Dvd Calendar'!$T$1368)&lt;=VAL_SERIAL)*1000000+24*1000+16))</f>
        <v/>
      </c>
      <c r="EU139" s="39">
        <f>IF(N('Dvd Calendar'!$U$1369)=0,"",IF(('Dvd Calendar'!$U$1369&gt;=GRID_FROM)*('Dvd Calendar'!$U$1369&lt;=GRID_TO)*((('Dvd Calendar'!$U$1369&lt;=VAL_DATE)+(COUNTIF('Dvd Calendar'!$E$1376:$AR$1376,'Dvd Calendar'!$U$1369)=0))&gt;0)=0,"",'Dvd Calendar'!$U$1369*1000000000+ISNUMBER('Dvd Calendar'!$U$1372)*100000000+('Dvd Calendar'!$U$1374=SPECIAL_LBL)*10000000+(N('Dvd Calendar'!$U$1368)&gt;0)*(N('Dvd Calendar'!$U$1368)&lt;=VAL_SERIAL)*1000000+24*1000+17))</f>
        <v/>
      </c>
      <c r="EV139" s="39">
        <f>IF(N('Dvd Calendar'!$V$1369)=0,"",IF(('Dvd Calendar'!$V$1369&gt;=GRID_FROM)*('Dvd Calendar'!$V$1369&lt;=GRID_TO)*((('Dvd Calendar'!$V$1369&lt;=VAL_DATE)+(COUNTIF('Dvd Calendar'!$E$1376:$AR$1376,'Dvd Calendar'!$V$1369)=0))&gt;0)=0,"",'Dvd Calendar'!$V$1369*1000000000+ISNUMBER('Dvd Calendar'!$V$1372)*100000000+('Dvd Calendar'!$V$1374=SPECIAL_LBL)*10000000+(N('Dvd Calendar'!$V$1368)&gt;0)*(N('Dvd Calendar'!$V$1368)&lt;=VAL_SERIAL)*1000000+24*1000+18))</f>
        <v/>
      </c>
      <c r="EW139" s="39">
        <f>IF(N('Dvd Calendar'!$W$1369)=0,"",IF(('Dvd Calendar'!$W$1369&gt;=GRID_FROM)*('Dvd Calendar'!$W$1369&lt;=GRID_TO)*((('Dvd Calendar'!$W$1369&lt;=VAL_DATE)+(COUNTIF('Dvd Calendar'!$E$1376:$AR$1376,'Dvd Calendar'!$W$1369)=0))&gt;0)=0,"",'Dvd Calendar'!$W$1369*1000000000+ISNUMBER('Dvd Calendar'!$W$1372)*100000000+('Dvd Calendar'!$W$1374=SPECIAL_LBL)*10000000+(N('Dvd Calendar'!$W$1368)&gt;0)*(N('Dvd Calendar'!$W$1368)&lt;=VAL_SERIAL)*1000000+24*1000+19))</f>
        <v/>
      </c>
      <c r="EX139" s="39">
        <f>IF(N('Dvd Calendar'!$X$1369)=0,"",IF(('Dvd Calendar'!$X$1369&gt;=GRID_FROM)*('Dvd Calendar'!$X$1369&lt;=GRID_TO)*((('Dvd Calendar'!$X$1369&lt;=VAL_DATE)+(COUNTIF('Dvd Calendar'!$E$1376:$AR$1376,'Dvd Calendar'!$X$1369)=0))&gt;0)=0,"",'Dvd Calendar'!$X$1369*1000000000+ISNUMBER('Dvd Calendar'!$X$1372)*100000000+('Dvd Calendar'!$X$1374=SPECIAL_LBL)*10000000+(N('Dvd Calendar'!$X$1368)&gt;0)*(N('Dvd Calendar'!$X$1368)&lt;=VAL_SERIAL)*1000000+24*1000+20))</f>
        <v/>
      </c>
      <c r="EY139" s="39">
        <f>IF(N('Dvd Calendar'!$Y$1369)=0,"",IF(('Dvd Calendar'!$Y$1369&gt;=GRID_FROM)*('Dvd Calendar'!$Y$1369&lt;=GRID_TO)*((('Dvd Calendar'!$Y$1369&lt;=VAL_DATE)+(COUNTIF('Dvd Calendar'!$E$1376:$AR$1376,'Dvd Calendar'!$Y$1369)=0))&gt;0)=0,"",'Dvd Calendar'!$Y$1369*1000000000+ISNUMBER('Dvd Calendar'!$Y$1372)*100000000+('Dvd Calendar'!$Y$1374=SPECIAL_LBL)*10000000+(N('Dvd Calendar'!$Y$1368)&gt;0)*(N('Dvd Calendar'!$Y$1368)&lt;=VAL_SERIAL)*1000000+24*1000+21))</f>
        <v/>
      </c>
      <c r="EZ139" s="39">
        <f>IF(N('Dvd Calendar'!$Z$1369)=0,"",IF(('Dvd Calendar'!$Z$1369&gt;=GRID_FROM)*('Dvd Calendar'!$Z$1369&lt;=GRID_TO)*((('Dvd Calendar'!$Z$1369&lt;=VAL_DATE)+(COUNTIF('Dvd Calendar'!$E$1376:$AR$1376,'Dvd Calendar'!$Z$1369)=0))&gt;0)=0,"",'Dvd Calendar'!$Z$1369*1000000000+ISNUMBER('Dvd Calendar'!$Z$1372)*100000000+('Dvd Calendar'!$Z$1374=SPECIAL_LBL)*10000000+(N('Dvd Calendar'!$Z$1368)&gt;0)*(N('Dvd Calendar'!$Z$1368)&lt;=VAL_SERIAL)*1000000+24*1000+22))</f>
        <v/>
      </c>
      <c r="FA139" s="39">
        <f>IF(N('Dvd Calendar'!$AA$1369)=0,"",IF(('Dvd Calendar'!$AA$1369&gt;=GRID_FROM)*('Dvd Calendar'!$AA$1369&lt;=GRID_TO)*((('Dvd Calendar'!$AA$1369&lt;=VAL_DATE)+(COUNTIF('Dvd Calendar'!$E$1376:$AR$1376,'Dvd Calendar'!$AA$1369)=0))&gt;0)=0,"",'Dvd Calendar'!$AA$1369*1000000000+ISNUMBER('Dvd Calendar'!$AA$1372)*100000000+('Dvd Calendar'!$AA$1374=SPECIAL_LBL)*10000000+(N('Dvd Calendar'!$AA$1368)&gt;0)*(N('Dvd Calendar'!$AA$1368)&lt;=VAL_SERIAL)*1000000+24*1000+23))</f>
        <v/>
      </c>
      <c r="FB139" s="39">
        <f>IF(N('Dvd Calendar'!$AB$1369)=0,"",IF(('Dvd Calendar'!$AB$1369&gt;=GRID_FROM)*('Dvd Calendar'!$AB$1369&lt;=GRID_TO)*((('Dvd Calendar'!$AB$1369&lt;=VAL_DATE)+(COUNTIF('Dvd Calendar'!$E$1376:$AR$1376,'Dvd Calendar'!$AB$1369)=0))&gt;0)=0,"",'Dvd Calendar'!$AB$1369*1000000000+ISNUMBER('Dvd Calendar'!$AB$1372)*100000000+('Dvd Calendar'!$AB$1374=SPECIAL_LBL)*10000000+(N('Dvd Calendar'!$AB$1368)&gt;0)*(N('Dvd Calendar'!$AB$1368)&lt;=VAL_SERIAL)*1000000+24*1000+24))</f>
        <v/>
      </c>
      <c r="FC139" s="39">
        <f>IF(N('Dvd Calendar'!$AC$1369)=0,"",IF(('Dvd Calendar'!$AC$1369&gt;=GRID_FROM)*('Dvd Calendar'!$AC$1369&lt;=GRID_TO)*((('Dvd Calendar'!$AC$1369&lt;=VAL_DATE)+(COUNTIF('Dvd Calendar'!$E$1376:$AR$1376,'Dvd Calendar'!$AC$1369)=0))&gt;0)=0,"",'Dvd Calendar'!$AC$1369*1000000000+ISNUMBER('Dvd Calendar'!$AC$1372)*100000000+('Dvd Calendar'!$AC$1374=SPECIAL_LBL)*10000000+(N('Dvd Calendar'!$AC$1368)&gt;0)*(N('Dvd Calendar'!$AC$1368)&lt;=VAL_SERIAL)*1000000+24*1000+25))</f>
        <v/>
      </c>
      <c r="FD139" s="39">
        <f>IF(N('Dvd Calendar'!$AD$1369)=0,"",IF(('Dvd Calendar'!$AD$1369&gt;=GRID_FROM)*('Dvd Calendar'!$AD$1369&lt;=GRID_TO)*((('Dvd Calendar'!$AD$1369&lt;=VAL_DATE)+(COUNTIF('Dvd Calendar'!$E$1376:$AR$1376,'Dvd Calendar'!$AD$1369)=0))&gt;0)=0,"",'Dvd Calendar'!$AD$1369*1000000000+ISNUMBER('Dvd Calendar'!$AD$1372)*100000000+('Dvd Calendar'!$AD$1374=SPECIAL_LBL)*10000000+(N('Dvd Calendar'!$AD$1368)&gt;0)*(N('Dvd Calendar'!$AD$1368)&lt;=VAL_SERIAL)*1000000+24*1000+26))</f>
        <v/>
      </c>
      <c r="FE139" s="39">
        <f>IF(N('Dvd Calendar'!$AE$1369)=0,"",IF(('Dvd Calendar'!$AE$1369&gt;=GRID_FROM)*('Dvd Calendar'!$AE$1369&lt;=GRID_TO)*((('Dvd Calendar'!$AE$1369&lt;=VAL_DATE)+(COUNTIF('Dvd Calendar'!$E$1376:$AR$1376,'Dvd Calendar'!$AE$1369)=0))&gt;0)=0,"",'Dvd Calendar'!$AE$1369*1000000000+ISNUMBER('Dvd Calendar'!$AE$1372)*100000000+('Dvd Calendar'!$AE$1374=SPECIAL_LBL)*10000000+(N('Dvd Calendar'!$AE$1368)&gt;0)*(N('Dvd Calendar'!$AE$1368)&lt;=VAL_SERIAL)*1000000+24*1000+27))</f>
        <v/>
      </c>
      <c r="FF139" s="39">
        <f>IF(N('Dvd Calendar'!$AF$1369)=0,"",IF(('Dvd Calendar'!$AF$1369&gt;=GRID_FROM)*('Dvd Calendar'!$AF$1369&lt;=GRID_TO)*((('Dvd Calendar'!$AF$1369&lt;=VAL_DATE)+(COUNTIF('Dvd Calendar'!$E$1376:$AR$1376,'Dvd Calendar'!$AF$1369)=0))&gt;0)=0,"",'Dvd Calendar'!$AF$1369*1000000000+ISNUMBER('Dvd Calendar'!$AF$1372)*100000000+('Dvd Calendar'!$AF$1374=SPECIAL_LBL)*10000000+(N('Dvd Calendar'!$AF$1368)&gt;0)*(N('Dvd Calendar'!$AF$1368)&lt;=VAL_SERIAL)*1000000+24*1000+28))</f>
        <v/>
      </c>
      <c r="FG139" s="39">
        <f>IF(N('Dvd Calendar'!$AG$1369)=0,"",IF(('Dvd Calendar'!$AG$1369&gt;=GRID_FROM)*('Dvd Calendar'!$AG$1369&lt;=GRID_TO)*((('Dvd Calendar'!$AG$1369&lt;=VAL_DATE)+(COUNTIF('Dvd Calendar'!$E$1376:$AR$1376,'Dvd Calendar'!$AG$1369)=0))&gt;0)=0,"",'Dvd Calendar'!$AG$1369*1000000000+ISNUMBER('Dvd Calendar'!$AG$1372)*100000000+('Dvd Calendar'!$AG$1374=SPECIAL_LBL)*10000000+(N('Dvd Calendar'!$AG$1368)&gt;0)*(N('Dvd Calendar'!$AG$1368)&lt;=VAL_SERIAL)*1000000+24*1000+29))</f>
        <v/>
      </c>
      <c r="FH139" s="39">
        <f>IF(N('Dvd Calendar'!$AH$1369)=0,"",IF(('Dvd Calendar'!$AH$1369&gt;=GRID_FROM)*('Dvd Calendar'!$AH$1369&lt;=GRID_TO)*((('Dvd Calendar'!$AH$1369&lt;=VAL_DATE)+(COUNTIF('Dvd Calendar'!$E$1376:$AR$1376,'Dvd Calendar'!$AH$1369)=0))&gt;0)=0,"",'Dvd Calendar'!$AH$1369*1000000000+ISNUMBER('Dvd Calendar'!$AH$1372)*100000000+('Dvd Calendar'!$AH$1374=SPECIAL_LBL)*10000000+(N('Dvd Calendar'!$AH$1368)&gt;0)*(N('Dvd Calendar'!$AH$1368)&lt;=VAL_SERIAL)*1000000+24*1000+30))</f>
        <v/>
      </c>
      <c r="FI139" s="39">
        <f>IF(N('Dvd Calendar'!$AI$1369)=0,"",IF(('Dvd Calendar'!$AI$1369&gt;=GRID_FROM)*('Dvd Calendar'!$AI$1369&lt;=GRID_TO)*((('Dvd Calendar'!$AI$1369&lt;=VAL_DATE)+(COUNTIF('Dvd Calendar'!$E$1376:$AR$1376,'Dvd Calendar'!$AI$1369)=0))&gt;0)=0,"",'Dvd Calendar'!$AI$1369*1000000000+ISNUMBER('Dvd Calendar'!$AI$1372)*100000000+('Dvd Calendar'!$AI$1374=SPECIAL_LBL)*10000000+(N('Dvd Calendar'!$AI$1368)&gt;0)*(N('Dvd Calendar'!$AI$1368)&lt;=VAL_SERIAL)*1000000+24*1000+31))</f>
        <v/>
      </c>
      <c r="FJ139" s="39">
        <f>IF(N('Dvd Calendar'!$AJ$1369)=0,"",IF(('Dvd Calendar'!$AJ$1369&gt;=GRID_FROM)*('Dvd Calendar'!$AJ$1369&lt;=GRID_TO)*((('Dvd Calendar'!$AJ$1369&lt;=VAL_DATE)+(COUNTIF('Dvd Calendar'!$E$1376:$AR$1376,'Dvd Calendar'!$AJ$1369)=0))&gt;0)=0,"",'Dvd Calendar'!$AJ$1369*1000000000+ISNUMBER('Dvd Calendar'!$AJ$1372)*100000000+('Dvd Calendar'!$AJ$1374=SPECIAL_LBL)*10000000+(N('Dvd Calendar'!$AJ$1368)&gt;0)*(N('Dvd Calendar'!$AJ$1368)&lt;=VAL_SERIAL)*1000000+24*1000+32))</f>
        <v/>
      </c>
      <c r="FK139" s="39">
        <f>IF(N('Dvd Calendar'!$AK$1369)=0,"",IF(('Dvd Calendar'!$AK$1369&gt;=GRID_FROM)*('Dvd Calendar'!$AK$1369&lt;=GRID_TO)*((('Dvd Calendar'!$AK$1369&lt;=VAL_DATE)+(COUNTIF('Dvd Calendar'!$E$1376:$AR$1376,'Dvd Calendar'!$AK$1369)=0))&gt;0)=0,"",'Dvd Calendar'!$AK$1369*1000000000+ISNUMBER('Dvd Calendar'!$AK$1372)*100000000+('Dvd Calendar'!$AK$1374=SPECIAL_LBL)*10000000+(N('Dvd Calendar'!$AK$1368)&gt;0)*(N('Dvd Calendar'!$AK$1368)&lt;=VAL_SERIAL)*1000000+24*1000+33))</f>
        <v/>
      </c>
      <c r="FL139" s="39">
        <f>IF(N('Dvd Calendar'!$AL$1369)=0,"",IF(('Dvd Calendar'!$AL$1369&gt;=GRID_FROM)*('Dvd Calendar'!$AL$1369&lt;=GRID_TO)*((('Dvd Calendar'!$AL$1369&lt;=VAL_DATE)+(COUNTIF('Dvd Calendar'!$E$1376:$AR$1376,'Dvd Calendar'!$AL$1369)=0))&gt;0)=0,"",'Dvd Calendar'!$AL$1369*1000000000+ISNUMBER('Dvd Calendar'!$AL$1372)*100000000+('Dvd Calendar'!$AL$1374=SPECIAL_LBL)*10000000+(N('Dvd Calendar'!$AL$1368)&gt;0)*(N('Dvd Calendar'!$AL$1368)&lt;=VAL_SERIAL)*1000000+24*1000+34))</f>
        <v/>
      </c>
      <c r="FM139" s="39">
        <f>IF(N('Dvd Calendar'!$AM$1369)=0,"",IF(('Dvd Calendar'!$AM$1369&gt;=GRID_FROM)*('Dvd Calendar'!$AM$1369&lt;=GRID_TO)*((('Dvd Calendar'!$AM$1369&lt;=VAL_DATE)+(COUNTIF('Dvd Calendar'!$E$1376:$AR$1376,'Dvd Calendar'!$AM$1369)=0))&gt;0)=0,"",'Dvd Calendar'!$AM$1369*1000000000+ISNUMBER('Dvd Calendar'!$AM$1372)*100000000+('Dvd Calendar'!$AM$1374=SPECIAL_LBL)*10000000+(N('Dvd Calendar'!$AM$1368)&gt;0)*(N('Dvd Calendar'!$AM$1368)&lt;=VAL_SERIAL)*1000000+24*1000+35))</f>
        <v/>
      </c>
      <c r="FN139" s="39">
        <f>IF(N('Dvd Calendar'!$AN$1369)=0,"",IF(('Dvd Calendar'!$AN$1369&gt;=GRID_FROM)*('Dvd Calendar'!$AN$1369&lt;=GRID_TO)*((('Dvd Calendar'!$AN$1369&lt;=VAL_DATE)+(COUNTIF('Dvd Calendar'!$E$1376:$AR$1376,'Dvd Calendar'!$AN$1369)=0))&gt;0)=0,"",'Dvd Calendar'!$AN$1369*1000000000+ISNUMBER('Dvd Calendar'!$AN$1372)*100000000+('Dvd Calendar'!$AN$1374=SPECIAL_LBL)*10000000+(N('Dvd Calendar'!$AN$1368)&gt;0)*(N('Dvd Calendar'!$AN$1368)&lt;=VAL_SERIAL)*1000000+24*1000+36))</f>
        <v/>
      </c>
      <c r="FO139" s="39">
        <f>IF(N('Dvd Calendar'!$AO$1369)=0,"",IF(('Dvd Calendar'!$AO$1369&gt;=GRID_FROM)*('Dvd Calendar'!$AO$1369&lt;=GRID_TO)*((('Dvd Calendar'!$AO$1369&lt;=VAL_DATE)+(COUNTIF('Dvd Calendar'!$E$1376:$AR$1376,'Dvd Calendar'!$AO$1369)=0))&gt;0)=0,"",'Dvd Calendar'!$AO$1369*1000000000+ISNUMBER('Dvd Calendar'!$AO$1372)*100000000+('Dvd Calendar'!$AO$1374=SPECIAL_LBL)*10000000+(N('Dvd Calendar'!$AO$1368)&gt;0)*(N('Dvd Calendar'!$AO$1368)&lt;=VAL_SERIAL)*1000000+24*1000+37))</f>
        <v/>
      </c>
      <c r="FP139" s="39">
        <f>IF(N('Dvd Calendar'!$AP$1369)=0,"",IF(('Dvd Calendar'!$AP$1369&gt;=GRID_FROM)*('Dvd Calendar'!$AP$1369&lt;=GRID_TO)*((('Dvd Calendar'!$AP$1369&lt;=VAL_DATE)+(COUNTIF('Dvd Calendar'!$E$1376:$AR$1376,'Dvd Calendar'!$AP$1369)=0))&gt;0)=0,"",'Dvd Calendar'!$AP$1369*1000000000+ISNUMBER('Dvd Calendar'!$AP$1372)*100000000+('Dvd Calendar'!$AP$1374=SPECIAL_LBL)*10000000+(N('Dvd Calendar'!$AP$1368)&gt;0)*(N('Dvd Calendar'!$AP$1368)&lt;=VAL_SERIAL)*1000000+24*1000+38))</f>
        <v/>
      </c>
      <c r="FQ139" s="39">
        <f>IF(N('Dvd Calendar'!$AQ$1369)=0,"",IF(('Dvd Calendar'!$AQ$1369&gt;=GRID_FROM)*('Dvd Calendar'!$AQ$1369&lt;=GRID_TO)*((('Dvd Calendar'!$AQ$1369&lt;=VAL_DATE)+(COUNTIF('Dvd Calendar'!$E$1376:$AR$1376,'Dvd Calendar'!$AQ$1369)=0))&gt;0)=0,"",'Dvd Calendar'!$AQ$1369*1000000000+ISNUMBER('Dvd Calendar'!$AQ$1372)*100000000+('Dvd Calendar'!$AQ$1374=SPECIAL_LBL)*10000000+(N('Dvd Calendar'!$AQ$1368)&gt;0)*(N('Dvd Calendar'!$AQ$1368)&lt;=VAL_SERIAL)*1000000+24*1000+39))</f>
        <v/>
      </c>
      <c r="FR139" s="39">
        <f>IF(N('Dvd Calendar'!$AR$1369)=0,"",IF(('Dvd Calendar'!$AR$1369&gt;=GRID_FROM)*('Dvd Calendar'!$AR$1369&lt;=GRID_TO)*((('Dvd Calendar'!$AR$1369&lt;=VAL_DATE)+(COUNTIF('Dvd Calendar'!$E$1376:$AR$1376,'Dvd Calendar'!$AR$1369)=0))&gt;0)=0,"",'Dvd Calendar'!$AR$1369*1000000000+ISNUMBER('Dvd Calendar'!$AR$1372)*100000000+('Dvd Calendar'!$AR$1374=SPECIAL_LBL)*10000000+(N('Dvd Calendar'!$AR$1368)&gt;0)*(N('Dvd Calendar'!$AR$1368)&lt;=VAL_SERIAL)*1000000+24*1000+40))</f>
        <v/>
      </c>
      <c r="FS139" s="39">
        <f>IF(N('Dvd Calendar'!$E$1376)=0,"",IF(('Dvd Calendar'!$E$1376&gt;=GRID_FROM)*('Dvd Calendar'!$E$1376&lt;=GRID_TO)*('Dvd Calendar'!$E$1376&gt;VAL_DATE)=0,"",'Dvd Calendar'!$E$1376*1000000000+ISNUMBER('Dvd Calendar'!$E$1377)*100000000+0*10000000+(N('Dvd Calendar'!$E$1375)&gt;0)*(N('Dvd Calendar'!$E$1375)&lt;=VAL_SERIAL)*1000000+24*1000+41))</f>
        <v/>
      </c>
      <c r="FT139" s="39">
        <f>IF(N('Dvd Calendar'!$F$1376)=0,"",IF(('Dvd Calendar'!$F$1376&gt;=GRID_FROM)*('Dvd Calendar'!$F$1376&lt;=GRID_TO)*('Dvd Calendar'!$F$1376&gt;VAL_DATE)=0,"",'Dvd Calendar'!$F$1376*1000000000+ISNUMBER('Dvd Calendar'!$F$1377)*100000000+0*10000000+(N('Dvd Calendar'!$F$1375)&gt;0)*(N('Dvd Calendar'!$F$1375)&lt;=VAL_SERIAL)*1000000+24*1000+42))</f>
        <v/>
      </c>
      <c r="FU139" s="39">
        <f>IF(N('Dvd Calendar'!$G$1376)=0,"",IF(('Dvd Calendar'!$G$1376&gt;=GRID_FROM)*('Dvd Calendar'!$G$1376&lt;=GRID_TO)*('Dvd Calendar'!$G$1376&gt;VAL_DATE)=0,"",'Dvd Calendar'!$G$1376*1000000000+ISNUMBER('Dvd Calendar'!$G$1377)*100000000+0*10000000+(N('Dvd Calendar'!$G$1375)&gt;0)*(N('Dvd Calendar'!$G$1375)&lt;=VAL_SERIAL)*1000000+24*1000+43))</f>
        <v/>
      </c>
      <c r="FV139" s="39">
        <f>IF(N('Dvd Calendar'!$H$1376)=0,"",IF(('Dvd Calendar'!$H$1376&gt;=GRID_FROM)*('Dvd Calendar'!$H$1376&lt;=GRID_TO)*('Dvd Calendar'!$H$1376&gt;VAL_DATE)=0,"",'Dvd Calendar'!$H$1376*1000000000+ISNUMBER('Dvd Calendar'!$H$1377)*100000000+0*10000000+(N('Dvd Calendar'!$H$1375)&gt;0)*(N('Dvd Calendar'!$H$1375)&lt;=VAL_SERIAL)*1000000+24*1000+44))</f>
        <v/>
      </c>
      <c r="FW139" s="39">
        <f>IF(N('Dvd Calendar'!$I$1376)=0,"",IF(('Dvd Calendar'!$I$1376&gt;=GRID_FROM)*('Dvd Calendar'!$I$1376&lt;=GRID_TO)*('Dvd Calendar'!$I$1376&gt;VAL_DATE)=0,"",'Dvd Calendar'!$I$1376*1000000000+ISNUMBER('Dvd Calendar'!$I$1377)*100000000+0*10000000+(N('Dvd Calendar'!$I$1375)&gt;0)*(N('Dvd Calendar'!$I$1375)&lt;=VAL_SERIAL)*1000000+24*1000+45))</f>
        <v/>
      </c>
      <c r="FX139" s="39">
        <f>IF(N('Dvd Calendar'!$J$1376)=0,"",IF(('Dvd Calendar'!$J$1376&gt;=GRID_FROM)*('Dvd Calendar'!$J$1376&lt;=GRID_TO)*('Dvd Calendar'!$J$1376&gt;VAL_DATE)=0,"",'Dvd Calendar'!$J$1376*1000000000+ISNUMBER('Dvd Calendar'!$J$1377)*100000000+0*10000000+(N('Dvd Calendar'!$J$1375)&gt;0)*(N('Dvd Calendar'!$J$1375)&lt;=VAL_SERIAL)*1000000+24*1000+46))</f>
        <v/>
      </c>
      <c r="FY139" s="39">
        <f>IF(N('Dvd Calendar'!$K$1376)=0,"",IF(('Dvd Calendar'!$K$1376&gt;=GRID_FROM)*('Dvd Calendar'!$K$1376&lt;=GRID_TO)*('Dvd Calendar'!$K$1376&gt;VAL_DATE)=0,"",'Dvd Calendar'!$K$1376*1000000000+ISNUMBER('Dvd Calendar'!$K$1377)*100000000+0*10000000+(N('Dvd Calendar'!$K$1375)&gt;0)*(N('Dvd Calendar'!$K$1375)&lt;=VAL_SERIAL)*1000000+24*1000+47))</f>
        <v/>
      </c>
      <c r="FZ139" s="39">
        <f>IF(N('Dvd Calendar'!$L$1376)=0,"",IF(('Dvd Calendar'!$L$1376&gt;=GRID_FROM)*('Dvd Calendar'!$L$1376&lt;=GRID_TO)*('Dvd Calendar'!$L$1376&gt;VAL_DATE)=0,"",'Dvd Calendar'!$L$1376*1000000000+ISNUMBER('Dvd Calendar'!$L$1377)*100000000+0*10000000+(N('Dvd Calendar'!$L$1375)&gt;0)*(N('Dvd Calendar'!$L$1375)&lt;=VAL_SERIAL)*1000000+24*1000+48))</f>
        <v/>
      </c>
      <c r="GA139" s="39">
        <f>IF(N('Dvd Calendar'!$M$1376)=0,"",IF(('Dvd Calendar'!$M$1376&gt;=GRID_FROM)*('Dvd Calendar'!$M$1376&lt;=GRID_TO)*('Dvd Calendar'!$M$1376&gt;VAL_DATE)=0,"",'Dvd Calendar'!$M$1376*1000000000+ISNUMBER('Dvd Calendar'!$M$1377)*100000000+0*10000000+(N('Dvd Calendar'!$M$1375)&gt;0)*(N('Dvd Calendar'!$M$1375)&lt;=VAL_SERIAL)*1000000+24*1000+49))</f>
        <v/>
      </c>
      <c r="GB139" s="39">
        <f>IF(N('Dvd Calendar'!$N$1376)=0,"",IF(('Dvd Calendar'!$N$1376&gt;=GRID_FROM)*('Dvd Calendar'!$N$1376&lt;=GRID_TO)*('Dvd Calendar'!$N$1376&gt;VAL_DATE)=0,"",'Dvd Calendar'!$N$1376*1000000000+ISNUMBER('Dvd Calendar'!$N$1377)*100000000+0*10000000+(N('Dvd Calendar'!$N$1375)&gt;0)*(N('Dvd Calendar'!$N$1375)&lt;=VAL_SERIAL)*1000000+24*1000+50))</f>
        <v/>
      </c>
      <c r="GC139" s="39">
        <f>IF(N('Dvd Calendar'!$O$1376)=0,"",IF(('Dvd Calendar'!$O$1376&gt;=GRID_FROM)*('Dvd Calendar'!$O$1376&lt;=GRID_TO)*('Dvd Calendar'!$O$1376&gt;VAL_DATE)=0,"",'Dvd Calendar'!$O$1376*1000000000+ISNUMBER('Dvd Calendar'!$O$1377)*100000000+0*10000000+(N('Dvd Calendar'!$O$1375)&gt;0)*(N('Dvd Calendar'!$O$1375)&lt;=VAL_SERIAL)*1000000+24*1000+51))</f>
        <v/>
      </c>
      <c r="GD139" s="39">
        <f>IF(N('Dvd Calendar'!$P$1376)=0,"",IF(('Dvd Calendar'!$P$1376&gt;=GRID_FROM)*('Dvd Calendar'!$P$1376&lt;=GRID_TO)*('Dvd Calendar'!$P$1376&gt;VAL_DATE)=0,"",'Dvd Calendar'!$P$1376*1000000000+ISNUMBER('Dvd Calendar'!$P$1377)*100000000+0*10000000+(N('Dvd Calendar'!$P$1375)&gt;0)*(N('Dvd Calendar'!$P$1375)&lt;=VAL_SERIAL)*1000000+24*1000+52))</f>
        <v/>
      </c>
      <c r="GE139" s="39">
        <f>IF(N('Dvd Calendar'!$Q$1376)=0,"",IF(('Dvd Calendar'!$Q$1376&gt;=GRID_FROM)*('Dvd Calendar'!$Q$1376&lt;=GRID_TO)*('Dvd Calendar'!$Q$1376&gt;VAL_DATE)=0,"",'Dvd Calendar'!$Q$1376*1000000000+ISNUMBER('Dvd Calendar'!$Q$1377)*100000000+0*10000000+(N('Dvd Calendar'!$Q$1375)&gt;0)*(N('Dvd Calendar'!$Q$1375)&lt;=VAL_SERIAL)*1000000+24*1000+53))</f>
        <v/>
      </c>
      <c r="GF139" s="39">
        <f>IF(N('Dvd Calendar'!$R$1376)=0,"",IF(('Dvd Calendar'!$R$1376&gt;=GRID_FROM)*('Dvd Calendar'!$R$1376&lt;=GRID_TO)*('Dvd Calendar'!$R$1376&gt;VAL_DATE)=0,"",'Dvd Calendar'!$R$1376*1000000000+ISNUMBER('Dvd Calendar'!$R$1377)*100000000+0*10000000+(N('Dvd Calendar'!$R$1375)&gt;0)*(N('Dvd Calendar'!$R$1375)&lt;=VAL_SERIAL)*1000000+24*1000+54))</f>
        <v/>
      </c>
      <c r="GG139" s="39">
        <f>IF(N('Dvd Calendar'!$S$1376)=0,"",IF(('Dvd Calendar'!$S$1376&gt;=GRID_FROM)*('Dvd Calendar'!$S$1376&lt;=GRID_TO)*('Dvd Calendar'!$S$1376&gt;VAL_DATE)=0,"",'Dvd Calendar'!$S$1376*1000000000+ISNUMBER('Dvd Calendar'!$S$1377)*100000000+0*10000000+(N('Dvd Calendar'!$S$1375)&gt;0)*(N('Dvd Calendar'!$S$1375)&lt;=VAL_SERIAL)*1000000+24*1000+55))</f>
        <v/>
      </c>
      <c r="GH139" s="39">
        <f>IF(N('Dvd Calendar'!$T$1376)=0,"",IF(('Dvd Calendar'!$T$1376&gt;=GRID_FROM)*('Dvd Calendar'!$T$1376&lt;=GRID_TO)*('Dvd Calendar'!$T$1376&gt;VAL_DATE)=0,"",'Dvd Calendar'!$T$1376*1000000000+ISNUMBER('Dvd Calendar'!$T$1377)*100000000+0*10000000+(N('Dvd Calendar'!$T$1375)&gt;0)*(N('Dvd Calendar'!$T$1375)&lt;=VAL_SERIAL)*1000000+24*1000+56))</f>
        <v/>
      </c>
      <c r="GI139" s="39">
        <f>IF(N('Dvd Calendar'!$U$1376)=0,"",IF(('Dvd Calendar'!$U$1376&gt;=GRID_FROM)*('Dvd Calendar'!$U$1376&lt;=GRID_TO)*('Dvd Calendar'!$U$1376&gt;VAL_DATE)=0,"",'Dvd Calendar'!$U$1376*1000000000+ISNUMBER('Dvd Calendar'!$U$1377)*100000000+0*10000000+(N('Dvd Calendar'!$U$1375)&gt;0)*(N('Dvd Calendar'!$U$1375)&lt;=VAL_SERIAL)*1000000+24*1000+57))</f>
        <v/>
      </c>
      <c r="GJ139" s="39">
        <f>IF(N('Dvd Calendar'!$V$1376)=0,"",IF(('Dvd Calendar'!$V$1376&gt;=GRID_FROM)*('Dvd Calendar'!$V$1376&lt;=GRID_TO)*('Dvd Calendar'!$V$1376&gt;VAL_DATE)=0,"",'Dvd Calendar'!$V$1376*1000000000+ISNUMBER('Dvd Calendar'!$V$1377)*100000000+0*10000000+(N('Dvd Calendar'!$V$1375)&gt;0)*(N('Dvd Calendar'!$V$1375)&lt;=VAL_SERIAL)*1000000+24*1000+58))</f>
        <v/>
      </c>
      <c r="GK139" s="39">
        <f>IF(N('Dvd Calendar'!$W$1376)=0,"",IF(('Dvd Calendar'!$W$1376&gt;=GRID_FROM)*('Dvd Calendar'!$W$1376&lt;=GRID_TO)*('Dvd Calendar'!$W$1376&gt;VAL_DATE)=0,"",'Dvd Calendar'!$W$1376*1000000000+ISNUMBER('Dvd Calendar'!$W$1377)*100000000+0*10000000+(N('Dvd Calendar'!$W$1375)&gt;0)*(N('Dvd Calendar'!$W$1375)&lt;=VAL_SERIAL)*1000000+24*1000+59))</f>
        <v/>
      </c>
      <c r="GL139" s="39">
        <f>IF(N('Dvd Calendar'!$X$1376)=0,"",IF(('Dvd Calendar'!$X$1376&gt;=GRID_FROM)*('Dvd Calendar'!$X$1376&lt;=GRID_TO)*('Dvd Calendar'!$X$1376&gt;VAL_DATE)=0,"",'Dvd Calendar'!$X$1376*1000000000+ISNUMBER('Dvd Calendar'!$X$1377)*100000000+0*10000000+(N('Dvd Calendar'!$X$1375)&gt;0)*(N('Dvd Calendar'!$X$1375)&lt;=VAL_SERIAL)*1000000+24*1000+60))</f>
        <v/>
      </c>
      <c r="GM139" s="39">
        <f>IF(N('Dvd Calendar'!$Y$1376)=0,"",IF(('Dvd Calendar'!$Y$1376&gt;=GRID_FROM)*('Dvd Calendar'!$Y$1376&lt;=GRID_TO)*('Dvd Calendar'!$Y$1376&gt;VAL_DATE)=0,"",'Dvd Calendar'!$Y$1376*1000000000+ISNUMBER('Dvd Calendar'!$Y$1377)*100000000+0*10000000+(N('Dvd Calendar'!$Y$1375)&gt;0)*(N('Dvd Calendar'!$Y$1375)&lt;=VAL_SERIAL)*1000000+24*1000+61))</f>
        <v/>
      </c>
      <c r="GN139" s="39">
        <f>IF(N('Dvd Calendar'!$Z$1376)=0,"",IF(('Dvd Calendar'!$Z$1376&gt;=GRID_FROM)*('Dvd Calendar'!$Z$1376&lt;=GRID_TO)*('Dvd Calendar'!$Z$1376&gt;VAL_DATE)=0,"",'Dvd Calendar'!$Z$1376*1000000000+ISNUMBER('Dvd Calendar'!$Z$1377)*100000000+0*10000000+(N('Dvd Calendar'!$Z$1375)&gt;0)*(N('Dvd Calendar'!$Z$1375)&lt;=VAL_SERIAL)*1000000+24*1000+62))</f>
        <v/>
      </c>
      <c r="GO139" s="39">
        <f>IF(N('Dvd Calendar'!$AA$1376)=0,"",IF(('Dvd Calendar'!$AA$1376&gt;=GRID_FROM)*('Dvd Calendar'!$AA$1376&lt;=GRID_TO)*('Dvd Calendar'!$AA$1376&gt;VAL_DATE)=0,"",'Dvd Calendar'!$AA$1376*1000000000+ISNUMBER('Dvd Calendar'!$AA$1377)*100000000+0*10000000+(N('Dvd Calendar'!$AA$1375)&gt;0)*(N('Dvd Calendar'!$AA$1375)&lt;=VAL_SERIAL)*1000000+24*1000+63))</f>
        <v/>
      </c>
      <c r="GP139" s="39">
        <f>IF(N('Dvd Calendar'!$AB$1376)=0,"",IF(('Dvd Calendar'!$AB$1376&gt;=GRID_FROM)*('Dvd Calendar'!$AB$1376&lt;=GRID_TO)*('Dvd Calendar'!$AB$1376&gt;VAL_DATE)=0,"",'Dvd Calendar'!$AB$1376*1000000000+ISNUMBER('Dvd Calendar'!$AB$1377)*100000000+0*10000000+(N('Dvd Calendar'!$AB$1375)&gt;0)*(N('Dvd Calendar'!$AB$1375)&lt;=VAL_SERIAL)*1000000+24*1000+64))</f>
        <v/>
      </c>
      <c r="GQ139" s="39">
        <f>IF(N('Dvd Calendar'!$AC$1376)=0,"",IF(('Dvd Calendar'!$AC$1376&gt;=GRID_FROM)*('Dvd Calendar'!$AC$1376&lt;=GRID_TO)*('Dvd Calendar'!$AC$1376&gt;VAL_DATE)=0,"",'Dvd Calendar'!$AC$1376*1000000000+ISNUMBER('Dvd Calendar'!$AC$1377)*100000000+0*10000000+(N('Dvd Calendar'!$AC$1375)&gt;0)*(N('Dvd Calendar'!$AC$1375)&lt;=VAL_SERIAL)*1000000+24*1000+65))</f>
        <v/>
      </c>
    </row>
    <row r="140">
      <c r="B140" s="2">
        <f>IF(HSTECH!$C$31="","",HSTECH!$C$31)</f>
        <v/>
      </c>
      <c r="C140" s="110">
        <f>IF(EE140="","",IF(ISNUMBER('Dvd Calendar'!$E$1383)=FALSE,"",IF((('Dvd Calendar'!$E$1385=TYPE1)*(TYPE1&lt;&gt;"")+('Dvd Calendar'!$E$1385=TYPE2)*(TYPE2&lt;&gt;"")+('Dvd Calendar'!$E$1385=TYPE3)*(TYPE3&lt;&gt;"")+('Dvd Calendar'!$E$1385=TYPE4)*(TYPE4&lt;&gt;"")+('Dvd Calendar'!$E$1385=SPECIAL_LBL)*(INC_SPECIALS="Y"))=0,"",'Dvd Calendar'!$E$1383)))</f>
        <v/>
      </c>
      <c r="D140" s="110">
        <f>IF(EF140="","",IF(ISNUMBER('Dvd Calendar'!$F$1383)=FALSE,"",IF((('Dvd Calendar'!$F$1385=TYPE1)*(TYPE1&lt;&gt;"")+('Dvd Calendar'!$F$1385=TYPE2)*(TYPE2&lt;&gt;"")+('Dvd Calendar'!$F$1385=TYPE3)*(TYPE3&lt;&gt;"")+('Dvd Calendar'!$F$1385=TYPE4)*(TYPE4&lt;&gt;"")+('Dvd Calendar'!$F$1385=SPECIAL_LBL)*(INC_SPECIALS="Y"))=0,"",'Dvd Calendar'!$F$1383)))</f>
        <v/>
      </c>
      <c r="E140" s="110">
        <f>IF(EG140="","",IF(ISNUMBER('Dvd Calendar'!$G$1383)=FALSE,"",IF((('Dvd Calendar'!$G$1385=TYPE1)*(TYPE1&lt;&gt;"")+('Dvd Calendar'!$G$1385=TYPE2)*(TYPE2&lt;&gt;"")+('Dvd Calendar'!$G$1385=TYPE3)*(TYPE3&lt;&gt;"")+('Dvd Calendar'!$G$1385=TYPE4)*(TYPE4&lt;&gt;"")+('Dvd Calendar'!$G$1385=SPECIAL_LBL)*(INC_SPECIALS="Y"))=0,"",'Dvd Calendar'!$G$1383)))</f>
        <v/>
      </c>
      <c r="F140" s="110">
        <f>IF(EH140="","",IF(ISNUMBER('Dvd Calendar'!$H$1383)=FALSE,"",IF((('Dvd Calendar'!$H$1385=TYPE1)*(TYPE1&lt;&gt;"")+('Dvd Calendar'!$H$1385=TYPE2)*(TYPE2&lt;&gt;"")+('Dvd Calendar'!$H$1385=TYPE3)*(TYPE3&lt;&gt;"")+('Dvd Calendar'!$H$1385=TYPE4)*(TYPE4&lt;&gt;"")+('Dvd Calendar'!$H$1385=SPECIAL_LBL)*(INC_SPECIALS="Y"))=0,"",'Dvd Calendar'!$H$1383)))</f>
        <v/>
      </c>
      <c r="G140" s="110">
        <f>IF(EI140="","",IF(ISNUMBER('Dvd Calendar'!$I$1383)=FALSE,"",IF((('Dvd Calendar'!$I$1385=TYPE1)*(TYPE1&lt;&gt;"")+('Dvd Calendar'!$I$1385=TYPE2)*(TYPE2&lt;&gt;"")+('Dvd Calendar'!$I$1385=TYPE3)*(TYPE3&lt;&gt;"")+('Dvd Calendar'!$I$1385=TYPE4)*(TYPE4&lt;&gt;"")+('Dvd Calendar'!$I$1385=SPECIAL_LBL)*(INC_SPECIALS="Y"))=0,"",'Dvd Calendar'!$I$1383)))</f>
        <v/>
      </c>
      <c r="H140" s="110">
        <f>IF(EJ140="","",IF(ISNUMBER('Dvd Calendar'!$J$1383)=FALSE,"",IF((('Dvd Calendar'!$J$1385=TYPE1)*(TYPE1&lt;&gt;"")+('Dvd Calendar'!$J$1385=TYPE2)*(TYPE2&lt;&gt;"")+('Dvd Calendar'!$J$1385=TYPE3)*(TYPE3&lt;&gt;"")+('Dvd Calendar'!$J$1385=TYPE4)*(TYPE4&lt;&gt;"")+('Dvd Calendar'!$J$1385=SPECIAL_LBL)*(INC_SPECIALS="Y"))=0,"",'Dvd Calendar'!$J$1383)))</f>
        <v/>
      </c>
      <c r="I140" s="110">
        <f>IF(EK140="","",IF(ISNUMBER('Dvd Calendar'!$K$1383)=FALSE,"",IF((('Dvd Calendar'!$K$1385=TYPE1)*(TYPE1&lt;&gt;"")+('Dvd Calendar'!$K$1385=TYPE2)*(TYPE2&lt;&gt;"")+('Dvd Calendar'!$K$1385=TYPE3)*(TYPE3&lt;&gt;"")+('Dvd Calendar'!$K$1385=TYPE4)*(TYPE4&lt;&gt;"")+('Dvd Calendar'!$K$1385=SPECIAL_LBL)*(INC_SPECIALS="Y"))=0,"",'Dvd Calendar'!$K$1383)))</f>
        <v/>
      </c>
      <c r="J140" s="110">
        <f>IF(EL140="","",IF(ISNUMBER('Dvd Calendar'!$L$1383)=FALSE,"",IF((('Dvd Calendar'!$L$1385=TYPE1)*(TYPE1&lt;&gt;"")+('Dvd Calendar'!$L$1385=TYPE2)*(TYPE2&lt;&gt;"")+('Dvd Calendar'!$L$1385=TYPE3)*(TYPE3&lt;&gt;"")+('Dvd Calendar'!$L$1385=TYPE4)*(TYPE4&lt;&gt;"")+('Dvd Calendar'!$L$1385=SPECIAL_LBL)*(INC_SPECIALS="Y"))=0,"",'Dvd Calendar'!$L$1383)))</f>
        <v/>
      </c>
      <c r="K140" s="110">
        <f>IF(EM140="","",IF(ISNUMBER('Dvd Calendar'!$M$1383)=FALSE,"",IF((('Dvd Calendar'!$M$1385=TYPE1)*(TYPE1&lt;&gt;"")+('Dvd Calendar'!$M$1385=TYPE2)*(TYPE2&lt;&gt;"")+('Dvd Calendar'!$M$1385=TYPE3)*(TYPE3&lt;&gt;"")+('Dvd Calendar'!$M$1385=TYPE4)*(TYPE4&lt;&gt;"")+('Dvd Calendar'!$M$1385=SPECIAL_LBL)*(INC_SPECIALS="Y"))=0,"",'Dvd Calendar'!$M$1383)))</f>
        <v/>
      </c>
      <c r="L140" s="110">
        <f>IF(EN140="","",IF(ISNUMBER('Dvd Calendar'!$N$1383)=FALSE,"",IF((('Dvd Calendar'!$N$1385=TYPE1)*(TYPE1&lt;&gt;"")+('Dvd Calendar'!$N$1385=TYPE2)*(TYPE2&lt;&gt;"")+('Dvd Calendar'!$N$1385=TYPE3)*(TYPE3&lt;&gt;"")+('Dvd Calendar'!$N$1385=TYPE4)*(TYPE4&lt;&gt;"")+('Dvd Calendar'!$N$1385=SPECIAL_LBL)*(INC_SPECIALS="Y"))=0,"",'Dvd Calendar'!$N$1383)))</f>
        <v/>
      </c>
      <c r="M140" s="110">
        <f>IF(EO140="","",IF(ISNUMBER('Dvd Calendar'!$O$1383)=FALSE,"",IF((('Dvd Calendar'!$O$1385=TYPE1)*(TYPE1&lt;&gt;"")+('Dvd Calendar'!$O$1385=TYPE2)*(TYPE2&lt;&gt;"")+('Dvd Calendar'!$O$1385=TYPE3)*(TYPE3&lt;&gt;"")+('Dvd Calendar'!$O$1385=TYPE4)*(TYPE4&lt;&gt;"")+('Dvd Calendar'!$O$1385=SPECIAL_LBL)*(INC_SPECIALS="Y"))=0,"",'Dvd Calendar'!$O$1383)))</f>
        <v/>
      </c>
      <c r="N140" s="110">
        <f>IF(EP140="","",IF(ISNUMBER('Dvd Calendar'!$P$1383)=FALSE,"",IF((('Dvd Calendar'!$P$1385=TYPE1)*(TYPE1&lt;&gt;"")+('Dvd Calendar'!$P$1385=TYPE2)*(TYPE2&lt;&gt;"")+('Dvd Calendar'!$P$1385=TYPE3)*(TYPE3&lt;&gt;"")+('Dvd Calendar'!$P$1385=TYPE4)*(TYPE4&lt;&gt;"")+('Dvd Calendar'!$P$1385=SPECIAL_LBL)*(INC_SPECIALS="Y"))=0,"",'Dvd Calendar'!$P$1383)))</f>
        <v/>
      </c>
      <c r="O140" s="110">
        <f>IF(EQ140="","",IF(ISNUMBER('Dvd Calendar'!$Q$1383)=FALSE,"",IF((('Dvd Calendar'!$Q$1385=TYPE1)*(TYPE1&lt;&gt;"")+('Dvd Calendar'!$Q$1385=TYPE2)*(TYPE2&lt;&gt;"")+('Dvd Calendar'!$Q$1385=TYPE3)*(TYPE3&lt;&gt;"")+('Dvd Calendar'!$Q$1385=TYPE4)*(TYPE4&lt;&gt;"")+('Dvd Calendar'!$Q$1385=SPECIAL_LBL)*(INC_SPECIALS="Y"))=0,"",'Dvd Calendar'!$Q$1383)))</f>
        <v/>
      </c>
      <c r="P140" s="110">
        <f>IF(ER140="","",IF(ISNUMBER('Dvd Calendar'!$R$1383)=FALSE,"",IF((('Dvd Calendar'!$R$1385=TYPE1)*(TYPE1&lt;&gt;"")+('Dvd Calendar'!$R$1385=TYPE2)*(TYPE2&lt;&gt;"")+('Dvd Calendar'!$R$1385=TYPE3)*(TYPE3&lt;&gt;"")+('Dvd Calendar'!$R$1385=TYPE4)*(TYPE4&lt;&gt;"")+('Dvd Calendar'!$R$1385=SPECIAL_LBL)*(INC_SPECIALS="Y"))=0,"",'Dvd Calendar'!$R$1383)))</f>
        <v/>
      </c>
      <c r="Q140" s="110">
        <f>IF(ES140="","",IF(ISNUMBER('Dvd Calendar'!$S$1383)=FALSE,"",IF((('Dvd Calendar'!$S$1385=TYPE1)*(TYPE1&lt;&gt;"")+('Dvd Calendar'!$S$1385=TYPE2)*(TYPE2&lt;&gt;"")+('Dvd Calendar'!$S$1385=TYPE3)*(TYPE3&lt;&gt;"")+('Dvd Calendar'!$S$1385=TYPE4)*(TYPE4&lt;&gt;"")+('Dvd Calendar'!$S$1385=SPECIAL_LBL)*(INC_SPECIALS="Y"))=0,"",'Dvd Calendar'!$S$1383)))</f>
        <v/>
      </c>
      <c r="R140" s="110">
        <f>IF(ET140="","",IF(ISNUMBER('Dvd Calendar'!$T$1383)=FALSE,"",IF((('Dvd Calendar'!$T$1385=TYPE1)*(TYPE1&lt;&gt;"")+('Dvd Calendar'!$T$1385=TYPE2)*(TYPE2&lt;&gt;"")+('Dvd Calendar'!$T$1385=TYPE3)*(TYPE3&lt;&gt;"")+('Dvd Calendar'!$T$1385=TYPE4)*(TYPE4&lt;&gt;"")+('Dvd Calendar'!$T$1385=SPECIAL_LBL)*(INC_SPECIALS="Y"))=0,"",'Dvd Calendar'!$T$1383)))</f>
        <v/>
      </c>
      <c r="S140" s="110">
        <f>IF(EU140="","",IF(ISNUMBER('Dvd Calendar'!$U$1383)=FALSE,"",IF((('Dvd Calendar'!$U$1385=TYPE1)*(TYPE1&lt;&gt;"")+('Dvd Calendar'!$U$1385=TYPE2)*(TYPE2&lt;&gt;"")+('Dvd Calendar'!$U$1385=TYPE3)*(TYPE3&lt;&gt;"")+('Dvd Calendar'!$U$1385=TYPE4)*(TYPE4&lt;&gt;"")+('Dvd Calendar'!$U$1385=SPECIAL_LBL)*(INC_SPECIALS="Y"))=0,"",'Dvd Calendar'!$U$1383)))</f>
        <v/>
      </c>
      <c r="T140" s="110">
        <f>IF(EV140="","",IF(ISNUMBER('Dvd Calendar'!$V$1383)=FALSE,"",IF((('Dvd Calendar'!$V$1385=TYPE1)*(TYPE1&lt;&gt;"")+('Dvd Calendar'!$V$1385=TYPE2)*(TYPE2&lt;&gt;"")+('Dvd Calendar'!$V$1385=TYPE3)*(TYPE3&lt;&gt;"")+('Dvd Calendar'!$V$1385=TYPE4)*(TYPE4&lt;&gt;"")+('Dvd Calendar'!$V$1385=SPECIAL_LBL)*(INC_SPECIALS="Y"))=0,"",'Dvd Calendar'!$V$1383)))</f>
        <v/>
      </c>
      <c r="U140" s="110">
        <f>IF(EW140="","",IF(ISNUMBER('Dvd Calendar'!$W$1383)=FALSE,"",IF((('Dvd Calendar'!$W$1385=TYPE1)*(TYPE1&lt;&gt;"")+('Dvd Calendar'!$W$1385=TYPE2)*(TYPE2&lt;&gt;"")+('Dvd Calendar'!$W$1385=TYPE3)*(TYPE3&lt;&gt;"")+('Dvd Calendar'!$W$1385=TYPE4)*(TYPE4&lt;&gt;"")+('Dvd Calendar'!$W$1385=SPECIAL_LBL)*(INC_SPECIALS="Y"))=0,"",'Dvd Calendar'!$W$1383)))</f>
        <v/>
      </c>
      <c r="V140" s="110">
        <f>IF(EX140="","",IF(ISNUMBER('Dvd Calendar'!$X$1383)=FALSE,"",IF((('Dvd Calendar'!$X$1385=TYPE1)*(TYPE1&lt;&gt;"")+('Dvd Calendar'!$X$1385=TYPE2)*(TYPE2&lt;&gt;"")+('Dvd Calendar'!$X$1385=TYPE3)*(TYPE3&lt;&gt;"")+('Dvd Calendar'!$X$1385=TYPE4)*(TYPE4&lt;&gt;"")+('Dvd Calendar'!$X$1385=SPECIAL_LBL)*(INC_SPECIALS="Y"))=0,"",'Dvd Calendar'!$X$1383)))</f>
        <v/>
      </c>
      <c r="W140" s="110">
        <f>IF(EY140="","",IF(ISNUMBER('Dvd Calendar'!$Y$1383)=FALSE,"",IF((('Dvd Calendar'!$Y$1385=TYPE1)*(TYPE1&lt;&gt;"")+('Dvd Calendar'!$Y$1385=TYPE2)*(TYPE2&lt;&gt;"")+('Dvd Calendar'!$Y$1385=TYPE3)*(TYPE3&lt;&gt;"")+('Dvd Calendar'!$Y$1385=TYPE4)*(TYPE4&lt;&gt;"")+('Dvd Calendar'!$Y$1385=SPECIAL_LBL)*(INC_SPECIALS="Y"))=0,"",'Dvd Calendar'!$Y$1383)))</f>
        <v/>
      </c>
      <c r="X140" s="110">
        <f>IF(EZ140="","",IF(ISNUMBER('Dvd Calendar'!$Z$1383)=FALSE,"",IF((('Dvd Calendar'!$Z$1385=TYPE1)*(TYPE1&lt;&gt;"")+('Dvd Calendar'!$Z$1385=TYPE2)*(TYPE2&lt;&gt;"")+('Dvd Calendar'!$Z$1385=TYPE3)*(TYPE3&lt;&gt;"")+('Dvd Calendar'!$Z$1385=TYPE4)*(TYPE4&lt;&gt;"")+('Dvd Calendar'!$Z$1385=SPECIAL_LBL)*(INC_SPECIALS="Y"))=0,"",'Dvd Calendar'!$Z$1383)))</f>
        <v/>
      </c>
      <c r="Y140" s="110">
        <f>IF(FA140="","",IF(ISNUMBER('Dvd Calendar'!$AA$1383)=FALSE,"",IF((('Dvd Calendar'!$AA$1385=TYPE1)*(TYPE1&lt;&gt;"")+('Dvd Calendar'!$AA$1385=TYPE2)*(TYPE2&lt;&gt;"")+('Dvd Calendar'!$AA$1385=TYPE3)*(TYPE3&lt;&gt;"")+('Dvd Calendar'!$AA$1385=TYPE4)*(TYPE4&lt;&gt;"")+('Dvd Calendar'!$AA$1385=SPECIAL_LBL)*(INC_SPECIALS="Y"))=0,"",'Dvd Calendar'!$AA$1383)))</f>
        <v/>
      </c>
      <c r="Z140" s="110">
        <f>IF(FB140="","",IF(ISNUMBER('Dvd Calendar'!$AB$1383)=FALSE,"",IF((('Dvd Calendar'!$AB$1385=TYPE1)*(TYPE1&lt;&gt;"")+('Dvd Calendar'!$AB$1385=TYPE2)*(TYPE2&lt;&gt;"")+('Dvd Calendar'!$AB$1385=TYPE3)*(TYPE3&lt;&gt;"")+('Dvd Calendar'!$AB$1385=TYPE4)*(TYPE4&lt;&gt;"")+('Dvd Calendar'!$AB$1385=SPECIAL_LBL)*(INC_SPECIALS="Y"))=0,"",'Dvd Calendar'!$AB$1383)))</f>
        <v/>
      </c>
      <c r="AA140" s="110">
        <f>IF(FC140="","",IF(ISNUMBER('Dvd Calendar'!$AC$1383)=FALSE,"",IF((('Dvd Calendar'!$AC$1385=TYPE1)*(TYPE1&lt;&gt;"")+('Dvd Calendar'!$AC$1385=TYPE2)*(TYPE2&lt;&gt;"")+('Dvd Calendar'!$AC$1385=TYPE3)*(TYPE3&lt;&gt;"")+('Dvd Calendar'!$AC$1385=TYPE4)*(TYPE4&lt;&gt;"")+('Dvd Calendar'!$AC$1385=SPECIAL_LBL)*(INC_SPECIALS="Y"))=0,"",'Dvd Calendar'!$AC$1383)))</f>
        <v/>
      </c>
      <c r="AB140" s="110">
        <f>IF(FD140="","",IF(ISNUMBER('Dvd Calendar'!$AD$1383)=FALSE,"",IF((('Dvd Calendar'!$AD$1385=TYPE1)*(TYPE1&lt;&gt;"")+('Dvd Calendar'!$AD$1385=TYPE2)*(TYPE2&lt;&gt;"")+('Dvd Calendar'!$AD$1385=TYPE3)*(TYPE3&lt;&gt;"")+('Dvd Calendar'!$AD$1385=TYPE4)*(TYPE4&lt;&gt;"")+('Dvd Calendar'!$AD$1385=SPECIAL_LBL)*(INC_SPECIALS="Y"))=0,"",'Dvd Calendar'!$AD$1383)))</f>
        <v/>
      </c>
      <c r="AC140" s="110">
        <f>IF(FE140="","",IF(ISNUMBER('Dvd Calendar'!$AE$1383)=FALSE,"",IF((('Dvd Calendar'!$AE$1385=TYPE1)*(TYPE1&lt;&gt;"")+('Dvd Calendar'!$AE$1385=TYPE2)*(TYPE2&lt;&gt;"")+('Dvd Calendar'!$AE$1385=TYPE3)*(TYPE3&lt;&gt;"")+('Dvd Calendar'!$AE$1385=TYPE4)*(TYPE4&lt;&gt;"")+('Dvd Calendar'!$AE$1385=SPECIAL_LBL)*(INC_SPECIALS="Y"))=0,"",'Dvd Calendar'!$AE$1383)))</f>
        <v/>
      </c>
      <c r="AD140" s="110">
        <f>IF(FF140="","",IF(ISNUMBER('Dvd Calendar'!$AF$1383)=FALSE,"",IF((('Dvd Calendar'!$AF$1385=TYPE1)*(TYPE1&lt;&gt;"")+('Dvd Calendar'!$AF$1385=TYPE2)*(TYPE2&lt;&gt;"")+('Dvd Calendar'!$AF$1385=TYPE3)*(TYPE3&lt;&gt;"")+('Dvd Calendar'!$AF$1385=TYPE4)*(TYPE4&lt;&gt;"")+('Dvd Calendar'!$AF$1385=SPECIAL_LBL)*(INC_SPECIALS="Y"))=0,"",'Dvd Calendar'!$AF$1383)))</f>
        <v/>
      </c>
      <c r="AE140" s="110">
        <f>IF(FG140="","",IF(ISNUMBER('Dvd Calendar'!$AG$1383)=FALSE,"",IF((('Dvd Calendar'!$AG$1385=TYPE1)*(TYPE1&lt;&gt;"")+('Dvd Calendar'!$AG$1385=TYPE2)*(TYPE2&lt;&gt;"")+('Dvd Calendar'!$AG$1385=TYPE3)*(TYPE3&lt;&gt;"")+('Dvd Calendar'!$AG$1385=TYPE4)*(TYPE4&lt;&gt;"")+('Dvd Calendar'!$AG$1385=SPECIAL_LBL)*(INC_SPECIALS="Y"))=0,"",'Dvd Calendar'!$AG$1383)))</f>
        <v/>
      </c>
      <c r="AF140" s="110">
        <f>IF(FH140="","",IF(ISNUMBER('Dvd Calendar'!$AH$1383)=FALSE,"",IF((('Dvd Calendar'!$AH$1385=TYPE1)*(TYPE1&lt;&gt;"")+('Dvd Calendar'!$AH$1385=TYPE2)*(TYPE2&lt;&gt;"")+('Dvd Calendar'!$AH$1385=TYPE3)*(TYPE3&lt;&gt;"")+('Dvd Calendar'!$AH$1385=TYPE4)*(TYPE4&lt;&gt;"")+('Dvd Calendar'!$AH$1385=SPECIAL_LBL)*(INC_SPECIALS="Y"))=0,"",'Dvd Calendar'!$AH$1383)))</f>
        <v/>
      </c>
      <c r="AG140" s="110">
        <f>IF(FI140="","",IF(ISNUMBER('Dvd Calendar'!$AI$1383)=FALSE,"",IF((('Dvd Calendar'!$AI$1385=TYPE1)*(TYPE1&lt;&gt;"")+('Dvd Calendar'!$AI$1385=TYPE2)*(TYPE2&lt;&gt;"")+('Dvd Calendar'!$AI$1385=TYPE3)*(TYPE3&lt;&gt;"")+('Dvd Calendar'!$AI$1385=TYPE4)*(TYPE4&lt;&gt;"")+('Dvd Calendar'!$AI$1385=SPECIAL_LBL)*(INC_SPECIALS="Y"))=0,"",'Dvd Calendar'!$AI$1383)))</f>
        <v/>
      </c>
      <c r="AH140" s="110">
        <f>IF(FJ140="","",IF(ISNUMBER('Dvd Calendar'!$AJ$1383)=FALSE,"",IF((('Dvd Calendar'!$AJ$1385=TYPE1)*(TYPE1&lt;&gt;"")+('Dvd Calendar'!$AJ$1385=TYPE2)*(TYPE2&lt;&gt;"")+('Dvd Calendar'!$AJ$1385=TYPE3)*(TYPE3&lt;&gt;"")+('Dvd Calendar'!$AJ$1385=TYPE4)*(TYPE4&lt;&gt;"")+('Dvd Calendar'!$AJ$1385=SPECIAL_LBL)*(INC_SPECIALS="Y"))=0,"",'Dvd Calendar'!$AJ$1383)))</f>
        <v/>
      </c>
      <c r="AI140" s="110">
        <f>IF(FK140="","",IF(ISNUMBER('Dvd Calendar'!$AK$1383)=FALSE,"",IF((('Dvd Calendar'!$AK$1385=TYPE1)*(TYPE1&lt;&gt;"")+('Dvd Calendar'!$AK$1385=TYPE2)*(TYPE2&lt;&gt;"")+('Dvd Calendar'!$AK$1385=TYPE3)*(TYPE3&lt;&gt;"")+('Dvd Calendar'!$AK$1385=TYPE4)*(TYPE4&lt;&gt;"")+('Dvd Calendar'!$AK$1385=SPECIAL_LBL)*(INC_SPECIALS="Y"))=0,"",'Dvd Calendar'!$AK$1383)))</f>
        <v/>
      </c>
      <c r="AJ140" s="110">
        <f>IF(FL140="","",IF(ISNUMBER('Dvd Calendar'!$AL$1383)=FALSE,"",IF((('Dvd Calendar'!$AL$1385=TYPE1)*(TYPE1&lt;&gt;"")+('Dvd Calendar'!$AL$1385=TYPE2)*(TYPE2&lt;&gt;"")+('Dvd Calendar'!$AL$1385=TYPE3)*(TYPE3&lt;&gt;"")+('Dvd Calendar'!$AL$1385=TYPE4)*(TYPE4&lt;&gt;"")+('Dvd Calendar'!$AL$1385=SPECIAL_LBL)*(INC_SPECIALS="Y"))=0,"",'Dvd Calendar'!$AL$1383)))</f>
        <v/>
      </c>
      <c r="AK140" s="110">
        <f>IF(FM140="","",IF(ISNUMBER('Dvd Calendar'!$AM$1383)=FALSE,"",IF((('Dvd Calendar'!$AM$1385=TYPE1)*(TYPE1&lt;&gt;"")+('Dvd Calendar'!$AM$1385=TYPE2)*(TYPE2&lt;&gt;"")+('Dvd Calendar'!$AM$1385=TYPE3)*(TYPE3&lt;&gt;"")+('Dvd Calendar'!$AM$1385=TYPE4)*(TYPE4&lt;&gt;"")+('Dvd Calendar'!$AM$1385=SPECIAL_LBL)*(INC_SPECIALS="Y"))=0,"",'Dvd Calendar'!$AM$1383)))</f>
        <v/>
      </c>
      <c r="AL140" s="110">
        <f>IF(FN140="","",IF(ISNUMBER('Dvd Calendar'!$AN$1383)=FALSE,"",IF((('Dvd Calendar'!$AN$1385=TYPE1)*(TYPE1&lt;&gt;"")+('Dvd Calendar'!$AN$1385=TYPE2)*(TYPE2&lt;&gt;"")+('Dvd Calendar'!$AN$1385=TYPE3)*(TYPE3&lt;&gt;"")+('Dvd Calendar'!$AN$1385=TYPE4)*(TYPE4&lt;&gt;"")+('Dvd Calendar'!$AN$1385=SPECIAL_LBL)*(INC_SPECIALS="Y"))=0,"",'Dvd Calendar'!$AN$1383)))</f>
        <v/>
      </c>
      <c r="AM140" s="110">
        <f>IF(FO140="","",IF(ISNUMBER('Dvd Calendar'!$AO$1383)=FALSE,"",IF((('Dvd Calendar'!$AO$1385=TYPE1)*(TYPE1&lt;&gt;"")+('Dvd Calendar'!$AO$1385=TYPE2)*(TYPE2&lt;&gt;"")+('Dvd Calendar'!$AO$1385=TYPE3)*(TYPE3&lt;&gt;"")+('Dvd Calendar'!$AO$1385=TYPE4)*(TYPE4&lt;&gt;"")+('Dvd Calendar'!$AO$1385=SPECIAL_LBL)*(INC_SPECIALS="Y"))=0,"",'Dvd Calendar'!$AO$1383)))</f>
        <v/>
      </c>
      <c r="AN140" s="110">
        <f>IF(FP140="","",IF(ISNUMBER('Dvd Calendar'!$AP$1383)=FALSE,"",IF((('Dvd Calendar'!$AP$1385=TYPE1)*(TYPE1&lt;&gt;"")+('Dvd Calendar'!$AP$1385=TYPE2)*(TYPE2&lt;&gt;"")+('Dvd Calendar'!$AP$1385=TYPE3)*(TYPE3&lt;&gt;"")+('Dvd Calendar'!$AP$1385=TYPE4)*(TYPE4&lt;&gt;"")+('Dvd Calendar'!$AP$1385=SPECIAL_LBL)*(INC_SPECIALS="Y"))=0,"",'Dvd Calendar'!$AP$1383)))</f>
        <v/>
      </c>
      <c r="AO140" s="110">
        <f>IF(FQ140="","",IF(ISNUMBER('Dvd Calendar'!$AQ$1383)=FALSE,"",IF((('Dvd Calendar'!$AQ$1385=TYPE1)*(TYPE1&lt;&gt;"")+('Dvd Calendar'!$AQ$1385=TYPE2)*(TYPE2&lt;&gt;"")+('Dvd Calendar'!$AQ$1385=TYPE3)*(TYPE3&lt;&gt;"")+('Dvd Calendar'!$AQ$1385=TYPE4)*(TYPE4&lt;&gt;"")+('Dvd Calendar'!$AQ$1385=SPECIAL_LBL)*(INC_SPECIALS="Y"))=0,"",'Dvd Calendar'!$AQ$1383)))</f>
        <v/>
      </c>
      <c r="AP140" s="110">
        <f>IF(FR140="","",IF(ISNUMBER('Dvd Calendar'!$AR$1383)=FALSE,"",IF((('Dvd Calendar'!$AR$1385=TYPE1)*(TYPE1&lt;&gt;"")+('Dvd Calendar'!$AR$1385=TYPE2)*(TYPE2&lt;&gt;"")+('Dvd Calendar'!$AR$1385=TYPE3)*(TYPE3&lt;&gt;"")+('Dvd Calendar'!$AR$1385=TYPE4)*(TYPE4&lt;&gt;"")+('Dvd Calendar'!$AR$1385=SPECIAL_LBL)*(INC_SPECIALS="Y"))=0,"",'Dvd Calendar'!$AR$1383)))</f>
        <v/>
      </c>
      <c r="AQ140" s="110">
        <f>IF(FS140="","",IF(ISNUMBER('Dvd Calendar'!$E$1388)=FALSE,"",'Dvd Calendar'!$E$1388))</f>
        <v/>
      </c>
      <c r="AR140" s="110">
        <f>IF(FT140="","",IF(ISNUMBER('Dvd Calendar'!$F$1388)=FALSE,"",'Dvd Calendar'!$F$1388))</f>
        <v/>
      </c>
      <c r="AS140" s="110">
        <f>IF(FU140="","",IF(ISNUMBER('Dvd Calendar'!$G$1388)=FALSE,"",'Dvd Calendar'!$G$1388))</f>
        <v/>
      </c>
      <c r="AT140" s="110">
        <f>IF(FV140="","",IF(ISNUMBER('Dvd Calendar'!$H$1388)=FALSE,"",'Dvd Calendar'!$H$1388))</f>
        <v/>
      </c>
      <c r="AU140" s="110">
        <f>IF(FW140="","",IF(ISNUMBER('Dvd Calendar'!$I$1388)=FALSE,"",'Dvd Calendar'!$I$1388))</f>
        <v/>
      </c>
      <c r="AV140" s="110">
        <f>IF(FX140="","",IF(ISNUMBER('Dvd Calendar'!$J$1388)=FALSE,"",'Dvd Calendar'!$J$1388))</f>
        <v/>
      </c>
      <c r="AW140" s="110">
        <f>IF(FY140="","",IF(ISNUMBER('Dvd Calendar'!$K$1388)=FALSE,"",'Dvd Calendar'!$K$1388))</f>
        <v/>
      </c>
      <c r="AX140" s="110">
        <f>IF(FZ140="","",IF(ISNUMBER('Dvd Calendar'!$L$1388)=FALSE,"",'Dvd Calendar'!$L$1388))</f>
        <v/>
      </c>
      <c r="AY140" s="110">
        <f>IF(GA140="","",IF(ISNUMBER('Dvd Calendar'!$M$1388)=FALSE,"",'Dvd Calendar'!$M$1388))</f>
        <v/>
      </c>
      <c r="AZ140" s="110">
        <f>IF(GB140="","",IF(ISNUMBER('Dvd Calendar'!$N$1388)=FALSE,"",'Dvd Calendar'!$N$1388))</f>
        <v/>
      </c>
      <c r="BA140" s="110">
        <f>IF(GC140="","",IF(ISNUMBER('Dvd Calendar'!$O$1388)=FALSE,"",'Dvd Calendar'!$O$1388))</f>
        <v/>
      </c>
      <c r="BB140" s="110">
        <f>IF(GD140="","",IF(ISNUMBER('Dvd Calendar'!$P$1388)=FALSE,"",'Dvd Calendar'!$P$1388))</f>
        <v/>
      </c>
      <c r="BC140" s="110">
        <f>IF(GE140="","",IF(ISNUMBER('Dvd Calendar'!$Q$1388)=FALSE,"",'Dvd Calendar'!$Q$1388))</f>
        <v/>
      </c>
      <c r="BD140" s="110">
        <f>IF(GF140="","",IF(ISNUMBER('Dvd Calendar'!$R$1388)=FALSE,"",'Dvd Calendar'!$R$1388))</f>
        <v/>
      </c>
      <c r="BE140" s="110">
        <f>IF(GG140="","",IF(ISNUMBER('Dvd Calendar'!$S$1388)=FALSE,"",'Dvd Calendar'!$S$1388))</f>
        <v/>
      </c>
      <c r="BF140" s="110">
        <f>IF(GH140="","",IF(ISNUMBER('Dvd Calendar'!$T$1388)=FALSE,"",'Dvd Calendar'!$T$1388))</f>
        <v/>
      </c>
      <c r="BG140" s="110">
        <f>IF(GI140="","",IF(ISNUMBER('Dvd Calendar'!$U$1388)=FALSE,"",'Dvd Calendar'!$U$1388))</f>
        <v/>
      </c>
      <c r="BH140" s="110">
        <f>IF(GJ140="","",IF(ISNUMBER('Dvd Calendar'!$V$1388)=FALSE,"",'Dvd Calendar'!$V$1388))</f>
        <v/>
      </c>
      <c r="BI140" s="110">
        <f>IF(GK140="","",IF(ISNUMBER('Dvd Calendar'!$W$1388)=FALSE,"",'Dvd Calendar'!$W$1388))</f>
        <v/>
      </c>
      <c r="BJ140" s="110">
        <f>IF(GL140="","",IF(ISNUMBER('Dvd Calendar'!$X$1388)=FALSE,"",'Dvd Calendar'!$X$1388))</f>
        <v/>
      </c>
      <c r="BK140" s="110">
        <f>IF(GM140="","",IF(ISNUMBER('Dvd Calendar'!$Y$1388)=FALSE,"",'Dvd Calendar'!$Y$1388))</f>
        <v/>
      </c>
      <c r="BL140" s="110">
        <f>IF(GN140="","",IF(ISNUMBER('Dvd Calendar'!$Z$1388)=FALSE,"",'Dvd Calendar'!$Z$1388))</f>
        <v/>
      </c>
      <c r="BM140" s="110">
        <f>IF(GO140="","",IF(ISNUMBER('Dvd Calendar'!$AA$1388)=FALSE,"",'Dvd Calendar'!$AA$1388))</f>
        <v/>
      </c>
      <c r="BN140" s="110">
        <f>IF(GP140="","",IF(ISNUMBER('Dvd Calendar'!$AB$1388)=FALSE,"",'Dvd Calendar'!$AB$1388))</f>
        <v/>
      </c>
      <c r="BO140" s="110">
        <f>IF(GQ140="","",IF(ISNUMBER('Dvd Calendar'!$AC$1388)=FALSE,"",'Dvd Calendar'!$AC$1388))</f>
        <v/>
      </c>
      <c r="BQ140" s="110">
        <f>IF(C140="","",IFERROR(C140*HSTECH!$B$31*HSTECH!$G$31/HSTECH!$B$3,""))</f>
        <v/>
      </c>
      <c r="BR140" s="110">
        <f>IF(D140="","",IFERROR(D140*HSTECH!$B$31*HSTECH!$G$31/HSTECH!$B$3,""))</f>
        <v/>
      </c>
      <c r="BS140" s="110">
        <f>IF(E140="","",IFERROR(E140*HSTECH!$B$31*HSTECH!$G$31/HSTECH!$B$3,""))</f>
        <v/>
      </c>
      <c r="BT140" s="110">
        <f>IF(F140="","",IFERROR(F140*HSTECH!$B$31*HSTECH!$G$31/HSTECH!$B$3,""))</f>
        <v/>
      </c>
      <c r="BU140" s="110">
        <f>IF(G140="","",IFERROR(G140*HSTECH!$B$31*HSTECH!$G$31/HSTECH!$B$3,""))</f>
        <v/>
      </c>
      <c r="BV140" s="110">
        <f>IF(H140="","",IFERROR(H140*HSTECH!$B$31*HSTECH!$G$31/HSTECH!$B$3,""))</f>
        <v/>
      </c>
      <c r="BW140" s="110">
        <f>IF(I140="","",IFERROR(I140*HSTECH!$B$31*HSTECH!$G$31/HSTECH!$B$3,""))</f>
        <v/>
      </c>
      <c r="BX140" s="110">
        <f>IF(J140="","",IFERROR(J140*HSTECH!$B$31*HSTECH!$G$31/HSTECH!$B$3,""))</f>
        <v/>
      </c>
      <c r="BY140" s="110">
        <f>IF(K140="","",IFERROR(K140*HSTECH!$B$31*HSTECH!$G$31/HSTECH!$B$3,""))</f>
        <v/>
      </c>
      <c r="BZ140" s="110">
        <f>IF(L140="","",IFERROR(L140*HSTECH!$B$31*HSTECH!$G$31/HSTECH!$B$3,""))</f>
        <v/>
      </c>
      <c r="CA140" s="110">
        <f>IF(M140="","",IFERROR(M140*HSTECH!$B$31*HSTECH!$G$31/HSTECH!$B$3,""))</f>
        <v/>
      </c>
      <c r="CB140" s="110">
        <f>IF(N140="","",IFERROR(N140*HSTECH!$B$31*HSTECH!$G$31/HSTECH!$B$3,""))</f>
        <v/>
      </c>
      <c r="CC140" s="110">
        <f>IF(O140="","",IFERROR(O140*HSTECH!$B$31*HSTECH!$G$31/HSTECH!$B$3,""))</f>
        <v/>
      </c>
      <c r="CD140" s="110">
        <f>IF(P140="","",IFERROR(P140*HSTECH!$B$31*HSTECH!$G$31/HSTECH!$B$3,""))</f>
        <v/>
      </c>
      <c r="CE140" s="110">
        <f>IF(Q140="","",IFERROR(Q140*HSTECH!$B$31*HSTECH!$G$31/HSTECH!$B$3,""))</f>
        <v/>
      </c>
      <c r="CF140" s="110">
        <f>IF(R140="","",IFERROR(R140*HSTECH!$B$31*HSTECH!$G$31/HSTECH!$B$3,""))</f>
        <v/>
      </c>
      <c r="CG140" s="110">
        <f>IF(S140="","",IFERROR(S140*HSTECH!$B$31*HSTECH!$G$31/HSTECH!$B$3,""))</f>
        <v/>
      </c>
      <c r="CH140" s="110">
        <f>IF(T140="","",IFERROR(T140*HSTECH!$B$31*HSTECH!$G$31/HSTECH!$B$3,""))</f>
        <v/>
      </c>
      <c r="CI140" s="110">
        <f>IF(U140="","",IFERROR(U140*HSTECH!$B$31*HSTECH!$G$31/HSTECH!$B$3,""))</f>
        <v/>
      </c>
      <c r="CJ140" s="110">
        <f>IF(V140="","",IFERROR(V140*HSTECH!$B$31*HSTECH!$G$31/HSTECH!$B$3,""))</f>
        <v/>
      </c>
      <c r="CK140" s="110">
        <f>IF(W140="","",IFERROR(W140*HSTECH!$B$31*HSTECH!$G$31/HSTECH!$B$3,""))</f>
        <v/>
      </c>
      <c r="CL140" s="110">
        <f>IF(X140="","",IFERROR(X140*HSTECH!$B$31*HSTECH!$G$31/HSTECH!$B$3,""))</f>
        <v/>
      </c>
      <c r="CM140" s="110">
        <f>IF(Y140="","",IFERROR(Y140*HSTECH!$B$31*HSTECH!$G$31/HSTECH!$B$3,""))</f>
        <v/>
      </c>
      <c r="CN140" s="110">
        <f>IF(Z140="","",IFERROR(Z140*HSTECH!$B$31*HSTECH!$G$31/HSTECH!$B$3,""))</f>
        <v/>
      </c>
      <c r="CO140" s="110">
        <f>IF(AA140="","",IFERROR(AA140*HSTECH!$B$31*HSTECH!$G$31/HSTECH!$B$3,""))</f>
        <v/>
      </c>
      <c r="CP140" s="110">
        <f>IF(AB140="","",IFERROR(AB140*HSTECH!$B$31*HSTECH!$G$31/HSTECH!$B$3,""))</f>
        <v/>
      </c>
      <c r="CQ140" s="110">
        <f>IF(AC140="","",IFERROR(AC140*HSTECH!$B$31*HSTECH!$G$31/HSTECH!$B$3,""))</f>
        <v/>
      </c>
      <c r="CR140" s="110">
        <f>IF(AD140="","",IFERROR(AD140*HSTECH!$B$31*HSTECH!$G$31/HSTECH!$B$3,""))</f>
        <v/>
      </c>
      <c r="CS140" s="110">
        <f>IF(AE140="","",IFERROR(AE140*HSTECH!$B$31*HSTECH!$G$31/HSTECH!$B$3,""))</f>
        <v/>
      </c>
      <c r="CT140" s="110">
        <f>IF(AF140="","",IFERROR(AF140*HSTECH!$B$31*HSTECH!$G$31/HSTECH!$B$3,""))</f>
        <v/>
      </c>
      <c r="CU140" s="110">
        <f>IF(AG140="","",IFERROR(AG140*HSTECH!$B$31*HSTECH!$G$31/HSTECH!$B$3,""))</f>
        <v/>
      </c>
      <c r="CV140" s="110">
        <f>IF(AH140="","",IFERROR(AH140*HSTECH!$B$31*HSTECH!$G$31/HSTECH!$B$3,""))</f>
        <v/>
      </c>
      <c r="CW140" s="110">
        <f>IF(AI140="","",IFERROR(AI140*HSTECH!$B$31*HSTECH!$G$31/HSTECH!$B$3,""))</f>
        <v/>
      </c>
      <c r="CX140" s="110">
        <f>IF(AJ140="","",IFERROR(AJ140*HSTECH!$B$31*HSTECH!$G$31/HSTECH!$B$3,""))</f>
        <v/>
      </c>
      <c r="CY140" s="110">
        <f>IF(AK140="","",IFERROR(AK140*HSTECH!$B$31*HSTECH!$G$31/HSTECH!$B$3,""))</f>
        <v/>
      </c>
      <c r="CZ140" s="110">
        <f>IF(AL140="","",IFERROR(AL140*HSTECH!$B$31*HSTECH!$G$31/HSTECH!$B$3,""))</f>
        <v/>
      </c>
      <c r="DA140" s="110">
        <f>IF(AM140="","",IFERROR(AM140*HSTECH!$B$31*HSTECH!$G$31/HSTECH!$B$3,""))</f>
        <v/>
      </c>
      <c r="DB140" s="110">
        <f>IF(AN140="","",IFERROR(AN140*HSTECH!$B$31*HSTECH!$G$31/HSTECH!$B$3,""))</f>
        <v/>
      </c>
      <c r="DC140" s="110">
        <f>IF(AO140="","",IFERROR(AO140*HSTECH!$B$31*HSTECH!$G$31/HSTECH!$B$3,""))</f>
        <v/>
      </c>
      <c r="DD140" s="110">
        <f>IF(AP140="","",IFERROR(AP140*HSTECH!$B$31*HSTECH!$G$31/HSTECH!$B$3,""))</f>
        <v/>
      </c>
      <c r="DE140" s="110">
        <f>IF(AQ140="","",IFERROR(AQ140*HSTECH!$B$31*HSTECH!$G$31/HSTECH!$B$3,""))</f>
        <v/>
      </c>
      <c r="DF140" s="110">
        <f>IF(AR140="","",IFERROR(AR140*HSTECH!$B$31*HSTECH!$G$31/HSTECH!$B$3,""))</f>
        <v/>
      </c>
      <c r="DG140" s="110">
        <f>IF(AS140="","",IFERROR(AS140*HSTECH!$B$31*HSTECH!$G$31/HSTECH!$B$3,""))</f>
        <v/>
      </c>
      <c r="DH140" s="110">
        <f>IF(AT140="","",IFERROR(AT140*HSTECH!$B$31*HSTECH!$G$31/HSTECH!$B$3,""))</f>
        <v/>
      </c>
      <c r="DI140" s="110">
        <f>IF(AU140="","",IFERROR(AU140*HSTECH!$B$31*HSTECH!$G$31/HSTECH!$B$3,""))</f>
        <v/>
      </c>
      <c r="DJ140" s="110">
        <f>IF(AV140="","",IFERROR(AV140*HSTECH!$B$31*HSTECH!$G$31/HSTECH!$B$3,""))</f>
        <v/>
      </c>
      <c r="DK140" s="110">
        <f>IF(AW140="","",IFERROR(AW140*HSTECH!$B$31*HSTECH!$G$31/HSTECH!$B$3,""))</f>
        <v/>
      </c>
      <c r="DL140" s="110">
        <f>IF(AX140="","",IFERROR(AX140*HSTECH!$B$31*HSTECH!$G$31/HSTECH!$B$3,""))</f>
        <v/>
      </c>
      <c r="DM140" s="110">
        <f>IF(AY140="","",IFERROR(AY140*HSTECH!$B$31*HSTECH!$G$31/HSTECH!$B$3,""))</f>
        <v/>
      </c>
      <c r="DN140" s="110">
        <f>IF(AZ140="","",IFERROR(AZ140*HSTECH!$B$31*HSTECH!$G$31/HSTECH!$B$3,""))</f>
        <v/>
      </c>
      <c r="DO140" s="110">
        <f>IF(BA140="","",IFERROR(BA140*HSTECH!$B$31*HSTECH!$G$31/HSTECH!$B$3,""))</f>
        <v/>
      </c>
      <c r="DP140" s="110">
        <f>IF(BB140="","",IFERROR(BB140*HSTECH!$B$31*HSTECH!$G$31/HSTECH!$B$3,""))</f>
        <v/>
      </c>
      <c r="DQ140" s="110">
        <f>IF(BC140="","",IFERROR(BC140*HSTECH!$B$31*HSTECH!$G$31/HSTECH!$B$3,""))</f>
        <v/>
      </c>
      <c r="DR140" s="110">
        <f>IF(BD140="","",IFERROR(BD140*HSTECH!$B$31*HSTECH!$G$31/HSTECH!$B$3,""))</f>
        <v/>
      </c>
      <c r="DS140" s="110">
        <f>IF(BE140="","",IFERROR(BE140*HSTECH!$B$31*HSTECH!$G$31/HSTECH!$B$3,""))</f>
        <v/>
      </c>
      <c r="DT140" s="110">
        <f>IF(BF140="","",IFERROR(BF140*HSTECH!$B$31*HSTECH!$G$31/HSTECH!$B$3,""))</f>
        <v/>
      </c>
      <c r="DU140" s="110">
        <f>IF(BG140="","",IFERROR(BG140*HSTECH!$B$31*HSTECH!$G$31/HSTECH!$B$3,""))</f>
        <v/>
      </c>
      <c r="DV140" s="110">
        <f>IF(BH140="","",IFERROR(BH140*HSTECH!$B$31*HSTECH!$G$31/HSTECH!$B$3,""))</f>
        <v/>
      </c>
      <c r="DW140" s="110">
        <f>IF(BI140="","",IFERROR(BI140*HSTECH!$B$31*HSTECH!$G$31/HSTECH!$B$3,""))</f>
        <v/>
      </c>
      <c r="DX140" s="110">
        <f>IF(BJ140="","",IFERROR(BJ140*HSTECH!$B$31*HSTECH!$G$31/HSTECH!$B$3,""))</f>
        <v/>
      </c>
      <c r="DY140" s="110">
        <f>IF(BK140="","",IFERROR(BK140*HSTECH!$B$31*HSTECH!$G$31/HSTECH!$B$3,""))</f>
        <v/>
      </c>
      <c r="DZ140" s="110">
        <f>IF(BL140="","",IFERROR(BL140*HSTECH!$B$31*HSTECH!$G$31/HSTECH!$B$3,""))</f>
        <v/>
      </c>
      <c r="EA140" s="110">
        <f>IF(BM140="","",IFERROR(BM140*HSTECH!$B$31*HSTECH!$G$31/HSTECH!$B$3,""))</f>
        <v/>
      </c>
      <c r="EB140" s="110">
        <f>IF(BN140="","",IFERROR(BN140*HSTECH!$B$31*HSTECH!$G$31/HSTECH!$B$3,""))</f>
        <v/>
      </c>
      <c r="EC140" s="110">
        <f>IF(BO140="","",IFERROR(BO140*HSTECH!$B$31*HSTECH!$G$31/HSTECH!$B$3,""))</f>
        <v/>
      </c>
      <c r="EE140" s="39">
        <f>IF(N('Dvd Calendar'!$E$1380)=0,"",IF(('Dvd Calendar'!$E$1380&gt;=GRID_FROM)*('Dvd Calendar'!$E$1380&lt;=GRID_TO)*((('Dvd Calendar'!$E$1380&lt;=VAL_DATE)+(COUNTIF('Dvd Calendar'!$E$1387:$AR$1387,'Dvd Calendar'!$E$1380)=0))&gt;0)=0,"",'Dvd Calendar'!$E$1380*1000000000+ISNUMBER('Dvd Calendar'!$E$1383)*100000000+('Dvd Calendar'!$E$1385=SPECIAL_LBL)*10000000+(N('Dvd Calendar'!$E$1379)&gt;0)*(N('Dvd Calendar'!$E$1379)&lt;=VAL_SERIAL)*1000000+25*1000+1))</f>
        <v/>
      </c>
      <c r="EF140" s="39">
        <f>IF(N('Dvd Calendar'!$F$1380)=0,"",IF(('Dvd Calendar'!$F$1380&gt;=GRID_FROM)*('Dvd Calendar'!$F$1380&lt;=GRID_TO)*((('Dvd Calendar'!$F$1380&lt;=VAL_DATE)+(COUNTIF('Dvd Calendar'!$E$1387:$AR$1387,'Dvd Calendar'!$F$1380)=0))&gt;0)=0,"",'Dvd Calendar'!$F$1380*1000000000+ISNUMBER('Dvd Calendar'!$F$1383)*100000000+('Dvd Calendar'!$F$1385=SPECIAL_LBL)*10000000+(N('Dvd Calendar'!$F$1379)&gt;0)*(N('Dvd Calendar'!$F$1379)&lt;=VAL_SERIAL)*1000000+25*1000+2))</f>
        <v/>
      </c>
      <c r="EG140" s="39">
        <f>IF(N('Dvd Calendar'!$G$1380)=0,"",IF(('Dvd Calendar'!$G$1380&gt;=GRID_FROM)*('Dvd Calendar'!$G$1380&lt;=GRID_TO)*((('Dvd Calendar'!$G$1380&lt;=VAL_DATE)+(COUNTIF('Dvd Calendar'!$E$1387:$AR$1387,'Dvd Calendar'!$G$1380)=0))&gt;0)=0,"",'Dvd Calendar'!$G$1380*1000000000+ISNUMBER('Dvd Calendar'!$G$1383)*100000000+('Dvd Calendar'!$G$1385=SPECIAL_LBL)*10000000+(N('Dvd Calendar'!$G$1379)&gt;0)*(N('Dvd Calendar'!$G$1379)&lt;=VAL_SERIAL)*1000000+25*1000+3))</f>
        <v/>
      </c>
      <c r="EH140" s="39">
        <f>IF(N('Dvd Calendar'!$H$1380)=0,"",IF(('Dvd Calendar'!$H$1380&gt;=GRID_FROM)*('Dvd Calendar'!$H$1380&lt;=GRID_TO)*((('Dvd Calendar'!$H$1380&lt;=VAL_DATE)+(COUNTIF('Dvd Calendar'!$E$1387:$AR$1387,'Dvd Calendar'!$H$1380)=0))&gt;0)=0,"",'Dvd Calendar'!$H$1380*1000000000+ISNUMBER('Dvd Calendar'!$H$1383)*100000000+('Dvd Calendar'!$H$1385=SPECIAL_LBL)*10000000+(N('Dvd Calendar'!$H$1379)&gt;0)*(N('Dvd Calendar'!$H$1379)&lt;=VAL_SERIAL)*1000000+25*1000+4))</f>
        <v/>
      </c>
      <c r="EI140" s="39">
        <f>IF(N('Dvd Calendar'!$I$1380)=0,"",IF(('Dvd Calendar'!$I$1380&gt;=GRID_FROM)*('Dvd Calendar'!$I$1380&lt;=GRID_TO)*((('Dvd Calendar'!$I$1380&lt;=VAL_DATE)+(COUNTIF('Dvd Calendar'!$E$1387:$AR$1387,'Dvd Calendar'!$I$1380)=0))&gt;0)=0,"",'Dvd Calendar'!$I$1380*1000000000+ISNUMBER('Dvd Calendar'!$I$1383)*100000000+('Dvd Calendar'!$I$1385=SPECIAL_LBL)*10000000+(N('Dvd Calendar'!$I$1379)&gt;0)*(N('Dvd Calendar'!$I$1379)&lt;=VAL_SERIAL)*1000000+25*1000+5))</f>
        <v/>
      </c>
      <c r="EJ140" s="39">
        <f>IF(N('Dvd Calendar'!$J$1380)=0,"",IF(('Dvd Calendar'!$J$1380&gt;=GRID_FROM)*('Dvd Calendar'!$J$1380&lt;=GRID_TO)*((('Dvd Calendar'!$J$1380&lt;=VAL_DATE)+(COUNTIF('Dvd Calendar'!$E$1387:$AR$1387,'Dvd Calendar'!$J$1380)=0))&gt;0)=0,"",'Dvd Calendar'!$J$1380*1000000000+ISNUMBER('Dvd Calendar'!$J$1383)*100000000+('Dvd Calendar'!$J$1385=SPECIAL_LBL)*10000000+(N('Dvd Calendar'!$J$1379)&gt;0)*(N('Dvd Calendar'!$J$1379)&lt;=VAL_SERIAL)*1000000+25*1000+6))</f>
        <v/>
      </c>
      <c r="EK140" s="39">
        <f>IF(N('Dvd Calendar'!$K$1380)=0,"",IF(('Dvd Calendar'!$K$1380&gt;=GRID_FROM)*('Dvd Calendar'!$K$1380&lt;=GRID_TO)*((('Dvd Calendar'!$K$1380&lt;=VAL_DATE)+(COUNTIF('Dvd Calendar'!$E$1387:$AR$1387,'Dvd Calendar'!$K$1380)=0))&gt;0)=0,"",'Dvd Calendar'!$K$1380*1000000000+ISNUMBER('Dvd Calendar'!$K$1383)*100000000+('Dvd Calendar'!$K$1385=SPECIAL_LBL)*10000000+(N('Dvd Calendar'!$K$1379)&gt;0)*(N('Dvd Calendar'!$K$1379)&lt;=VAL_SERIAL)*1000000+25*1000+7))</f>
        <v/>
      </c>
      <c r="EL140" s="39">
        <f>IF(N('Dvd Calendar'!$L$1380)=0,"",IF(('Dvd Calendar'!$L$1380&gt;=GRID_FROM)*('Dvd Calendar'!$L$1380&lt;=GRID_TO)*((('Dvd Calendar'!$L$1380&lt;=VAL_DATE)+(COUNTIF('Dvd Calendar'!$E$1387:$AR$1387,'Dvd Calendar'!$L$1380)=0))&gt;0)=0,"",'Dvd Calendar'!$L$1380*1000000000+ISNUMBER('Dvd Calendar'!$L$1383)*100000000+('Dvd Calendar'!$L$1385=SPECIAL_LBL)*10000000+(N('Dvd Calendar'!$L$1379)&gt;0)*(N('Dvd Calendar'!$L$1379)&lt;=VAL_SERIAL)*1000000+25*1000+8))</f>
        <v/>
      </c>
      <c r="EM140" s="39">
        <f>IF(N('Dvd Calendar'!$M$1380)=0,"",IF(('Dvd Calendar'!$M$1380&gt;=GRID_FROM)*('Dvd Calendar'!$M$1380&lt;=GRID_TO)*((('Dvd Calendar'!$M$1380&lt;=VAL_DATE)+(COUNTIF('Dvd Calendar'!$E$1387:$AR$1387,'Dvd Calendar'!$M$1380)=0))&gt;0)=0,"",'Dvd Calendar'!$M$1380*1000000000+ISNUMBER('Dvd Calendar'!$M$1383)*100000000+('Dvd Calendar'!$M$1385=SPECIAL_LBL)*10000000+(N('Dvd Calendar'!$M$1379)&gt;0)*(N('Dvd Calendar'!$M$1379)&lt;=VAL_SERIAL)*1000000+25*1000+9))</f>
        <v/>
      </c>
      <c r="EN140" s="39">
        <f>IF(N('Dvd Calendar'!$N$1380)=0,"",IF(('Dvd Calendar'!$N$1380&gt;=GRID_FROM)*('Dvd Calendar'!$N$1380&lt;=GRID_TO)*((('Dvd Calendar'!$N$1380&lt;=VAL_DATE)+(COUNTIF('Dvd Calendar'!$E$1387:$AR$1387,'Dvd Calendar'!$N$1380)=0))&gt;0)=0,"",'Dvd Calendar'!$N$1380*1000000000+ISNUMBER('Dvd Calendar'!$N$1383)*100000000+('Dvd Calendar'!$N$1385=SPECIAL_LBL)*10000000+(N('Dvd Calendar'!$N$1379)&gt;0)*(N('Dvd Calendar'!$N$1379)&lt;=VAL_SERIAL)*1000000+25*1000+10))</f>
        <v/>
      </c>
      <c r="EO140" s="39">
        <f>IF(N('Dvd Calendar'!$O$1380)=0,"",IF(('Dvd Calendar'!$O$1380&gt;=GRID_FROM)*('Dvd Calendar'!$O$1380&lt;=GRID_TO)*((('Dvd Calendar'!$O$1380&lt;=VAL_DATE)+(COUNTIF('Dvd Calendar'!$E$1387:$AR$1387,'Dvd Calendar'!$O$1380)=0))&gt;0)=0,"",'Dvd Calendar'!$O$1380*1000000000+ISNUMBER('Dvd Calendar'!$O$1383)*100000000+('Dvd Calendar'!$O$1385=SPECIAL_LBL)*10000000+(N('Dvd Calendar'!$O$1379)&gt;0)*(N('Dvd Calendar'!$O$1379)&lt;=VAL_SERIAL)*1000000+25*1000+11))</f>
        <v/>
      </c>
      <c r="EP140" s="39">
        <f>IF(N('Dvd Calendar'!$P$1380)=0,"",IF(('Dvd Calendar'!$P$1380&gt;=GRID_FROM)*('Dvd Calendar'!$P$1380&lt;=GRID_TO)*((('Dvd Calendar'!$P$1380&lt;=VAL_DATE)+(COUNTIF('Dvd Calendar'!$E$1387:$AR$1387,'Dvd Calendar'!$P$1380)=0))&gt;0)=0,"",'Dvd Calendar'!$P$1380*1000000000+ISNUMBER('Dvd Calendar'!$P$1383)*100000000+('Dvd Calendar'!$P$1385=SPECIAL_LBL)*10000000+(N('Dvd Calendar'!$P$1379)&gt;0)*(N('Dvd Calendar'!$P$1379)&lt;=VAL_SERIAL)*1000000+25*1000+12))</f>
        <v/>
      </c>
      <c r="EQ140" s="39">
        <f>IF(N('Dvd Calendar'!$Q$1380)=0,"",IF(('Dvd Calendar'!$Q$1380&gt;=GRID_FROM)*('Dvd Calendar'!$Q$1380&lt;=GRID_TO)*((('Dvd Calendar'!$Q$1380&lt;=VAL_DATE)+(COUNTIF('Dvd Calendar'!$E$1387:$AR$1387,'Dvd Calendar'!$Q$1380)=0))&gt;0)=0,"",'Dvd Calendar'!$Q$1380*1000000000+ISNUMBER('Dvd Calendar'!$Q$1383)*100000000+('Dvd Calendar'!$Q$1385=SPECIAL_LBL)*10000000+(N('Dvd Calendar'!$Q$1379)&gt;0)*(N('Dvd Calendar'!$Q$1379)&lt;=VAL_SERIAL)*1000000+25*1000+13))</f>
        <v/>
      </c>
      <c r="ER140" s="39">
        <f>IF(N('Dvd Calendar'!$R$1380)=0,"",IF(('Dvd Calendar'!$R$1380&gt;=GRID_FROM)*('Dvd Calendar'!$R$1380&lt;=GRID_TO)*((('Dvd Calendar'!$R$1380&lt;=VAL_DATE)+(COUNTIF('Dvd Calendar'!$E$1387:$AR$1387,'Dvd Calendar'!$R$1380)=0))&gt;0)=0,"",'Dvd Calendar'!$R$1380*1000000000+ISNUMBER('Dvd Calendar'!$R$1383)*100000000+('Dvd Calendar'!$R$1385=SPECIAL_LBL)*10000000+(N('Dvd Calendar'!$R$1379)&gt;0)*(N('Dvd Calendar'!$R$1379)&lt;=VAL_SERIAL)*1000000+25*1000+14))</f>
        <v/>
      </c>
      <c r="ES140" s="39">
        <f>IF(N('Dvd Calendar'!$S$1380)=0,"",IF(('Dvd Calendar'!$S$1380&gt;=GRID_FROM)*('Dvd Calendar'!$S$1380&lt;=GRID_TO)*((('Dvd Calendar'!$S$1380&lt;=VAL_DATE)+(COUNTIF('Dvd Calendar'!$E$1387:$AR$1387,'Dvd Calendar'!$S$1380)=0))&gt;0)=0,"",'Dvd Calendar'!$S$1380*1000000000+ISNUMBER('Dvd Calendar'!$S$1383)*100000000+('Dvd Calendar'!$S$1385=SPECIAL_LBL)*10000000+(N('Dvd Calendar'!$S$1379)&gt;0)*(N('Dvd Calendar'!$S$1379)&lt;=VAL_SERIAL)*1000000+25*1000+15))</f>
        <v/>
      </c>
      <c r="ET140" s="39">
        <f>IF(N('Dvd Calendar'!$T$1380)=0,"",IF(('Dvd Calendar'!$T$1380&gt;=GRID_FROM)*('Dvd Calendar'!$T$1380&lt;=GRID_TO)*((('Dvd Calendar'!$T$1380&lt;=VAL_DATE)+(COUNTIF('Dvd Calendar'!$E$1387:$AR$1387,'Dvd Calendar'!$T$1380)=0))&gt;0)=0,"",'Dvd Calendar'!$T$1380*1000000000+ISNUMBER('Dvd Calendar'!$T$1383)*100000000+('Dvd Calendar'!$T$1385=SPECIAL_LBL)*10000000+(N('Dvd Calendar'!$T$1379)&gt;0)*(N('Dvd Calendar'!$T$1379)&lt;=VAL_SERIAL)*1000000+25*1000+16))</f>
        <v/>
      </c>
      <c r="EU140" s="39">
        <f>IF(N('Dvd Calendar'!$U$1380)=0,"",IF(('Dvd Calendar'!$U$1380&gt;=GRID_FROM)*('Dvd Calendar'!$U$1380&lt;=GRID_TO)*((('Dvd Calendar'!$U$1380&lt;=VAL_DATE)+(COUNTIF('Dvd Calendar'!$E$1387:$AR$1387,'Dvd Calendar'!$U$1380)=0))&gt;0)=0,"",'Dvd Calendar'!$U$1380*1000000000+ISNUMBER('Dvd Calendar'!$U$1383)*100000000+('Dvd Calendar'!$U$1385=SPECIAL_LBL)*10000000+(N('Dvd Calendar'!$U$1379)&gt;0)*(N('Dvd Calendar'!$U$1379)&lt;=VAL_SERIAL)*1000000+25*1000+17))</f>
        <v/>
      </c>
      <c r="EV140" s="39">
        <f>IF(N('Dvd Calendar'!$V$1380)=0,"",IF(('Dvd Calendar'!$V$1380&gt;=GRID_FROM)*('Dvd Calendar'!$V$1380&lt;=GRID_TO)*((('Dvd Calendar'!$V$1380&lt;=VAL_DATE)+(COUNTIF('Dvd Calendar'!$E$1387:$AR$1387,'Dvd Calendar'!$V$1380)=0))&gt;0)=0,"",'Dvd Calendar'!$V$1380*1000000000+ISNUMBER('Dvd Calendar'!$V$1383)*100000000+('Dvd Calendar'!$V$1385=SPECIAL_LBL)*10000000+(N('Dvd Calendar'!$V$1379)&gt;0)*(N('Dvd Calendar'!$V$1379)&lt;=VAL_SERIAL)*1000000+25*1000+18))</f>
        <v/>
      </c>
      <c r="EW140" s="39">
        <f>IF(N('Dvd Calendar'!$W$1380)=0,"",IF(('Dvd Calendar'!$W$1380&gt;=GRID_FROM)*('Dvd Calendar'!$W$1380&lt;=GRID_TO)*((('Dvd Calendar'!$W$1380&lt;=VAL_DATE)+(COUNTIF('Dvd Calendar'!$E$1387:$AR$1387,'Dvd Calendar'!$W$1380)=0))&gt;0)=0,"",'Dvd Calendar'!$W$1380*1000000000+ISNUMBER('Dvd Calendar'!$W$1383)*100000000+('Dvd Calendar'!$W$1385=SPECIAL_LBL)*10000000+(N('Dvd Calendar'!$W$1379)&gt;0)*(N('Dvd Calendar'!$W$1379)&lt;=VAL_SERIAL)*1000000+25*1000+19))</f>
        <v/>
      </c>
      <c r="EX140" s="39">
        <f>IF(N('Dvd Calendar'!$X$1380)=0,"",IF(('Dvd Calendar'!$X$1380&gt;=GRID_FROM)*('Dvd Calendar'!$X$1380&lt;=GRID_TO)*((('Dvd Calendar'!$X$1380&lt;=VAL_DATE)+(COUNTIF('Dvd Calendar'!$E$1387:$AR$1387,'Dvd Calendar'!$X$1380)=0))&gt;0)=0,"",'Dvd Calendar'!$X$1380*1000000000+ISNUMBER('Dvd Calendar'!$X$1383)*100000000+('Dvd Calendar'!$X$1385=SPECIAL_LBL)*10000000+(N('Dvd Calendar'!$X$1379)&gt;0)*(N('Dvd Calendar'!$X$1379)&lt;=VAL_SERIAL)*1000000+25*1000+20))</f>
        <v/>
      </c>
      <c r="EY140" s="39">
        <f>IF(N('Dvd Calendar'!$Y$1380)=0,"",IF(('Dvd Calendar'!$Y$1380&gt;=GRID_FROM)*('Dvd Calendar'!$Y$1380&lt;=GRID_TO)*((('Dvd Calendar'!$Y$1380&lt;=VAL_DATE)+(COUNTIF('Dvd Calendar'!$E$1387:$AR$1387,'Dvd Calendar'!$Y$1380)=0))&gt;0)=0,"",'Dvd Calendar'!$Y$1380*1000000000+ISNUMBER('Dvd Calendar'!$Y$1383)*100000000+('Dvd Calendar'!$Y$1385=SPECIAL_LBL)*10000000+(N('Dvd Calendar'!$Y$1379)&gt;0)*(N('Dvd Calendar'!$Y$1379)&lt;=VAL_SERIAL)*1000000+25*1000+21))</f>
        <v/>
      </c>
      <c r="EZ140" s="39">
        <f>IF(N('Dvd Calendar'!$Z$1380)=0,"",IF(('Dvd Calendar'!$Z$1380&gt;=GRID_FROM)*('Dvd Calendar'!$Z$1380&lt;=GRID_TO)*((('Dvd Calendar'!$Z$1380&lt;=VAL_DATE)+(COUNTIF('Dvd Calendar'!$E$1387:$AR$1387,'Dvd Calendar'!$Z$1380)=0))&gt;0)=0,"",'Dvd Calendar'!$Z$1380*1000000000+ISNUMBER('Dvd Calendar'!$Z$1383)*100000000+('Dvd Calendar'!$Z$1385=SPECIAL_LBL)*10000000+(N('Dvd Calendar'!$Z$1379)&gt;0)*(N('Dvd Calendar'!$Z$1379)&lt;=VAL_SERIAL)*1000000+25*1000+22))</f>
        <v/>
      </c>
      <c r="FA140" s="39">
        <f>IF(N('Dvd Calendar'!$AA$1380)=0,"",IF(('Dvd Calendar'!$AA$1380&gt;=GRID_FROM)*('Dvd Calendar'!$AA$1380&lt;=GRID_TO)*((('Dvd Calendar'!$AA$1380&lt;=VAL_DATE)+(COUNTIF('Dvd Calendar'!$E$1387:$AR$1387,'Dvd Calendar'!$AA$1380)=0))&gt;0)=0,"",'Dvd Calendar'!$AA$1380*1000000000+ISNUMBER('Dvd Calendar'!$AA$1383)*100000000+('Dvd Calendar'!$AA$1385=SPECIAL_LBL)*10000000+(N('Dvd Calendar'!$AA$1379)&gt;0)*(N('Dvd Calendar'!$AA$1379)&lt;=VAL_SERIAL)*1000000+25*1000+23))</f>
        <v/>
      </c>
      <c r="FB140" s="39">
        <f>IF(N('Dvd Calendar'!$AB$1380)=0,"",IF(('Dvd Calendar'!$AB$1380&gt;=GRID_FROM)*('Dvd Calendar'!$AB$1380&lt;=GRID_TO)*((('Dvd Calendar'!$AB$1380&lt;=VAL_DATE)+(COUNTIF('Dvd Calendar'!$E$1387:$AR$1387,'Dvd Calendar'!$AB$1380)=0))&gt;0)=0,"",'Dvd Calendar'!$AB$1380*1000000000+ISNUMBER('Dvd Calendar'!$AB$1383)*100000000+('Dvd Calendar'!$AB$1385=SPECIAL_LBL)*10000000+(N('Dvd Calendar'!$AB$1379)&gt;0)*(N('Dvd Calendar'!$AB$1379)&lt;=VAL_SERIAL)*1000000+25*1000+24))</f>
        <v/>
      </c>
      <c r="FC140" s="39">
        <f>IF(N('Dvd Calendar'!$AC$1380)=0,"",IF(('Dvd Calendar'!$AC$1380&gt;=GRID_FROM)*('Dvd Calendar'!$AC$1380&lt;=GRID_TO)*((('Dvd Calendar'!$AC$1380&lt;=VAL_DATE)+(COUNTIF('Dvd Calendar'!$E$1387:$AR$1387,'Dvd Calendar'!$AC$1380)=0))&gt;0)=0,"",'Dvd Calendar'!$AC$1380*1000000000+ISNUMBER('Dvd Calendar'!$AC$1383)*100000000+('Dvd Calendar'!$AC$1385=SPECIAL_LBL)*10000000+(N('Dvd Calendar'!$AC$1379)&gt;0)*(N('Dvd Calendar'!$AC$1379)&lt;=VAL_SERIAL)*1000000+25*1000+25))</f>
        <v/>
      </c>
      <c r="FD140" s="39">
        <f>IF(N('Dvd Calendar'!$AD$1380)=0,"",IF(('Dvd Calendar'!$AD$1380&gt;=GRID_FROM)*('Dvd Calendar'!$AD$1380&lt;=GRID_TO)*((('Dvd Calendar'!$AD$1380&lt;=VAL_DATE)+(COUNTIF('Dvd Calendar'!$E$1387:$AR$1387,'Dvd Calendar'!$AD$1380)=0))&gt;0)=0,"",'Dvd Calendar'!$AD$1380*1000000000+ISNUMBER('Dvd Calendar'!$AD$1383)*100000000+('Dvd Calendar'!$AD$1385=SPECIAL_LBL)*10000000+(N('Dvd Calendar'!$AD$1379)&gt;0)*(N('Dvd Calendar'!$AD$1379)&lt;=VAL_SERIAL)*1000000+25*1000+26))</f>
        <v/>
      </c>
      <c r="FE140" s="39">
        <f>IF(N('Dvd Calendar'!$AE$1380)=0,"",IF(('Dvd Calendar'!$AE$1380&gt;=GRID_FROM)*('Dvd Calendar'!$AE$1380&lt;=GRID_TO)*((('Dvd Calendar'!$AE$1380&lt;=VAL_DATE)+(COUNTIF('Dvd Calendar'!$E$1387:$AR$1387,'Dvd Calendar'!$AE$1380)=0))&gt;0)=0,"",'Dvd Calendar'!$AE$1380*1000000000+ISNUMBER('Dvd Calendar'!$AE$1383)*100000000+('Dvd Calendar'!$AE$1385=SPECIAL_LBL)*10000000+(N('Dvd Calendar'!$AE$1379)&gt;0)*(N('Dvd Calendar'!$AE$1379)&lt;=VAL_SERIAL)*1000000+25*1000+27))</f>
        <v/>
      </c>
      <c r="FF140" s="39">
        <f>IF(N('Dvd Calendar'!$AF$1380)=0,"",IF(('Dvd Calendar'!$AF$1380&gt;=GRID_FROM)*('Dvd Calendar'!$AF$1380&lt;=GRID_TO)*((('Dvd Calendar'!$AF$1380&lt;=VAL_DATE)+(COUNTIF('Dvd Calendar'!$E$1387:$AR$1387,'Dvd Calendar'!$AF$1380)=0))&gt;0)=0,"",'Dvd Calendar'!$AF$1380*1000000000+ISNUMBER('Dvd Calendar'!$AF$1383)*100000000+('Dvd Calendar'!$AF$1385=SPECIAL_LBL)*10000000+(N('Dvd Calendar'!$AF$1379)&gt;0)*(N('Dvd Calendar'!$AF$1379)&lt;=VAL_SERIAL)*1000000+25*1000+28))</f>
        <v/>
      </c>
      <c r="FG140" s="39">
        <f>IF(N('Dvd Calendar'!$AG$1380)=0,"",IF(('Dvd Calendar'!$AG$1380&gt;=GRID_FROM)*('Dvd Calendar'!$AG$1380&lt;=GRID_TO)*((('Dvd Calendar'!$AG$1380&lt;=VAL_DATE)+(COUNTIF('Dvd Calendar'!$E$1387:$AR$1387,'Dvd Calendar'!$AG$1380)=0))&gt;0)=0,"",'Dvd Calendar'!$AG$1380*1000000000+ISNUMBER('Dvd Calendar'!$AG$1383)*100000000+('Dvd Calendar'!$AG$1385=SPECIAL_LBL)*10000000+(N('Dvd Calendar'!$AG$1379)&gt;0)*(N('Dvd Calendar'!$AG$1379)&lt;=VAL_SERIAL)*1000000+25*1000+29))</f>
        <v/>
      </c>
      <c r="FH140" s="39">
        <f>IF(N('Dvd Calendar'!$AH$1380)=0,"",IF(('Dvd Calendar'!$AH$1380&gt;=GRID_FROM)*('Dvd Calendar'!$AH$1380&lt;=GRID_TO)*((('Dvd Calendar'!$AH$1380&lt;=VAL_DATE)+(COUNTIF('Dvd Calendar'!$E$1387:$AR$1387,'Dvd Calendar'!$AH$1380)=0))&gt;0)=0,"",'Dvd Calendar'!$AH$1380*1000000000+ISNUMBER('Dvd Calendar'!$AH$1383)*100000000+('Dvd Calendar'!$AH$1385=SPECIAL_LBL)*10000000+(N('Dvd Calendar'!$AH$1379)&gt;0)*(N('Dvd Calendar'!$AH$1379)&lt;=VAL_SERIAL)*1000000+25*1000+30))</f>
        <v/>
      </c>
      <c r="FI140" s="39">
        <f>IF(N('Dvd Calendar'!$AI$1380)=0,"",IF(('Dvd Calendar'!$AI$1380&gt;=GRID_FROM)*('Dvd Calendar'!$AI$1380&lt;=GRID_TO)*((('Dvd Calendar'!$AI$1380&lt;=VAL_DATE)+(COUNTIF('Dvd Calendar'!$E$1387:$AR$1387,'Dvd Calendar'!$AI$1380)=0))&gt;0)=0,"",'Dvd Calendar'!$AI$1380*1000000000+ISNUMBER('Dvd Calendar'!$AI$1383)*100000000+('Dvd Calendar'!$AI$1385=SPECIAL_LBL)*10000000+(N('Dvd Calendar'!$AI$1379)&gt;0)*(N('Dvd Calendar'!$AI$1379)&lt;=VAL_SERIAL)*1000000+25*1000+31))</f>
        <v/>
      </c>
      <c r="FJ140" s="39">
        <f>IF(N('Dvd Calendar'!$AJ$1380)=0,"",IF(('Dvd Calendar'!$AJ$1380&gt;=GRID_FROM)*('Dvd Calendar'!$AJ$1380&lt;=GRID_TO)*((('Dvd Calendar'!$AJ$1380&lt;=VAL_DATE)+(COUNTIF('Dvd Calendar'!$E$1387:$AR$1387,'Dvd Calendar'!$AJ$1380)=0))&gt;0)=0,"",'Dvd Calendar'!$AJ$1380*1000000000+ISNUMBER('Dvd Calendar'!$AJ$1383)*100000000+('Dvd Calendar'!$AJ$1385=SPECIAL_LBL)*10000000+(N('Dvd Calendar'!$AJ$1379)&gt;0)*(N('Dvd Calendar'!$AJ$1379)&lt;=VAL_SERIAL)*1000000+25*1000+32))</f>
        <v/>
      </c>
      <c r="FK140" s="39">
        <f>IF(N('Dvd Calendar'!$AK$1380)=0,"",IF(('Dvd Calendar'!$AK$1380&gt;=GRID_FROM)*('Dvd Calendar'!$AK$1380&lt;=GRID_TO)*((('Dvd Calendar'!$AK$1380&lt;=VAL_DATE)+(COUNTIF('Dvd Calendar'!$E$1387:$AR$1387,'Dvd Calendar'!$AK$1380)=0))&gt;0)=0,"",'Dvd Calendar'!$AK$1380*1000000000+ISNUMBER('Dvd Calendar'!$AK$1383)*100000000+('Dvd Calendar'!$AK$1385=SPECIAL_LBL)*10000000+(N('Dvd Calendar'!$AK$1379)&gt;0)*(N('Dvd Calendar'!$AK$1379)&lt;=VAL_SERIAL)*1000000+25*1000+33))</f>
        <v/>
      </c>
      <c r="FL140" s="39">
        <f>IF(N('Dvd Calendar'!$AL$1380)=0,"",IF(('Dvd Calendar'!$AL$1380&gt;=GRID_FROM)*('Dvd Calendar'!$AL$1380&lt;=GRID_TO)*((('Dvd Calendar'!$AL$1380&lt;=VAL_DATE)+(COUNTIF('Dvd Calendar'!$E$1387:$AR$1387,'Dvd Calendar'!$AL$1380)=0))&gt;0)=0,"",'Dvd Calendar'!$AL$1380*1000000000+ISNUMBER('Dvd Calendar'!$AL$1383)*100000000+('Dvd Calendar'!$AL$1385=SPECIAL_LBL)*10000000+(N('Dvd Calendar'!$AL$1379)&gt;0)*(N('Dvd Calendar'!$AL$1379)&lt;=VAL_SERIAL)*1000000+25*1000+34))</f>
        <v/>
      </c>
      <c r="FM140" s="39">
        <f>IF(N('Dvd Calendar'!$AM$1380)=0,"",IF(('Dvd Calendar'!$AM$1380&gt;=GRID_FROM)*('Dvd Calendar'!$AM$1380&lt;=GRID_TO)*((('Dvd Calendar'!$AM$1380&lt;=VAL_DATE)+(COUNTIF('Dvd Calendar'!$E$1387:$AR$1387,'Dvd Calendar'!$AM$1380)=0))&gt;0)=0,"",'Dvd Calendar'!$AM$1380*1000000000+ISNUMBER('Dvd Calendar'!$AM$1383)*100000000+('Dvd Calendar'!$AM$1385=SPECIAL_LBL)*10000000+(N('Dvd Calendar'!$AM$1379)&gt;0)*(N('Dvd Calendar'!$AM$1379)&lt;=VAL_SERIAL)*1000000+25*1000+35))</f>
        <v/>
      </c>
      <c r="FN140" s="39">
        <f>IF(N('Dvd Calendar'!$AN$1380)=0,"",IF(('Dvd Calendar'!$AN$1380&gt;=GRID_FROM)*('Dvd Calendar'!$AN$1380&lt;=GRID_TO)*((('Dvd Calendar'!$AN$1380&lt;=VAL_DATE)+(COUNTIF('Dvd Calendar'!$E$1387:$AR$1387,'Dvd Calendar'!$AN$1380)=0))&gt;0)=0,"",'Dvd Calendar'!$AN$1380*1000000000+ISNUMBER('Dvd Calendar'!$AN$1383)*100000000+('Dvd Calendar'!$AN$1385=SPECIAL_LBL)*10000000+(N('Dvd Calendar'!$AN$1379)&gt;0)*(N('Dvd Calendar'!$AN$1379)&lt;=VAL_SERIAL)*1000000+25*1000+36))</f>
        <v/>
      </c>
      <c r="FO140" s="39">
        <f>IF(N('Dvd Calendar'!$AO$1380)=0,"",IF(('Dvd Calendar'!$AO$1380&gt;=GRID_FROM)*('Dvd Calendar'!$AO$1380&lt;=GRID_TO)*((('Dvd Calendar'!$AO$1380&lt;=VAL_DATE)+(COUNTIF('Dvd Calendar'!$E$1387:$AR$1387,'Dvd Calendar'!$AO$1380)=0))&gt;0)=0,"",'Dvd Calendar'!$AO$1380*1000000000+ISNUMBER('Dvd Calendar'!$AO$1383)*100000000+('Dvd Calendar'!$AO$1385=SPECIAL_LBL)*10000000+(N('Dvd Calendar'!$AO$1379)&gt;0)*(N('Dvd Calendar'!$AO$1379)&lt;=VAL_SERIAL)*1000000+25*1000+37))</f>
        <v/>
      </c>
      <c r="FP140" s="39">
        <f>IF(N('Dvd Calendar'!$AP$1380)=0,"",IF(('Dvd Calendar'!$AP$1380&gt;=GRID_FROM)*('Dvd Calendar'!$AP$1380&lt;=GRID_TO)*((('Dvd Calendar'!$AP$1380&lt;=VAL_DATE)+(COUNTIF('Dvd Calendar'!$E$1387:$AR$1387,'Dvd Calendar'!$AP$1380)=0))&gt;0)=0,"",'Dvd Calendar'!$AP$1380*1000000000+ISNUMBER('Dvd Calendar'!$AP$1383)*100000000+('Dvd Calendar'!$AP$1385=SPECIAL_LBL)*10000000+(N('Dvd Calendar'!$AP$1379)&gt;0)*(N('Dvd Calendar'!$AP$1379)&lt;=VAL_SERIAL)*1000000+25*1000+38))</f>
        <v/>
      </c>
      <c r="FQ140" s="39">
        <f>IF(N('Dvd Calendar'!$AQ$1380)=0,"",IF(('Dvd Calendar'!$AQ$1380&gt;=GRID_FROM)*('Dvd Calendar'!$AQ$1380&lt;=GRID_TO)*((('Dvd Calendar'!$AQ$1380&lt;=VAL_DATE)+(COUNTIF('Dvd Calendar'!$E$1387:$AR$1387,'Dvd Calendar'!$AQ$1380)=0))&gt;0)=0,"",'Dvd Calendar'!$AQ$1380*1000000000+ISNUMBER('Dvd Calendar'!$AQ$1383)*100000000+('Dvd Calendar'!$AQ$1385=SPECIAL_LBL)*10000000+(N('Dvd Calendar'!$AQ$1379)&gt;0)*(N('Dvd Calendar'!$AQ$1379)&lt;=VAL_SERIAL)*1000000+25*1000+39))</f>
        <v/>
      </c>
      <c r="FR140" s="39">
        <f>IF(N('Dvd Calendar'!$AR$1380)=0,"",IF(('Dvd Calendar'!$AR$1380&gt;=GRID_FROM)*('Dvd Calendar'!$AR$1380&lt;=GRID_TO)*((('Dvd Calendar'!$AR$1380&lt;=VAL_DATE)+(COUNTIF('Dvd Calendar'!$E$1387:$AR$1387,'Dvd Calendar'!$AR$1380)=0))&gt;0)=0,"",'Dvd Calendar'!$AR$1380*1000000000+ISNUMBER('Dvd Calendar'!$AR$1383)*100000000+('Dvd Calendar'!$AR$1385=SPECIAL_LBL)*10000000+(N('Dvd Calendar'!$AR$1379)&gt;0)*(N('Dvd Calendar'!$AR$1379)&lt;=VAL_SERIAL)*1000000+25*1000+40))</f>
        <v/>
      </c>
      <c r="FS140" s="39">
        <f>IF(N('Dvd Calendar'!$E$1387)=0,"",IF(('Dvd Calendar'!$E$1387&gt;=GRID_FROM)*('Dvd Calendar'!$E$1387&lt;=GRID_TO)*('Dvd Calendar'!$E$1387&gt;VAL_DATE)=0,"",'Dvd Calendar'!$E$1387*1000000000+ISNUMBER('Dvd Calendar'!$E$1388)*100000000+0*10000000+(N('Dvd Calendar'!$E$1386)&gt;0)*(N('Dvd Calendar'!$E$1386)&lt;=VAL_SERIAL)*1000000+25*1000+41))</f>
        <v/>
      </c>
      <c r="FT140" s="39">
        <f>IF(N('Dvd Calendar'!$F$1387)=0,"",IF(('Dvd Calendar'!$F$1387&gt;=GRID_FROM)*('Dvd Calendar'!$F$1387&lt;=GRID_TO)*('Dvd Calendar'!$F$1387&gt;VAL_DATE)=0,"",'Dvd Calendar'!$F$1387*1000000000+ISNUMBER('Dvd Calendar'!$F$1388)*100000000+0*10000000+(N('Dvd Calendar'!$F$1386)&gt;0)*(N('Dvd Calendar'!$F$1386)&lt;=VAL_SERIAL)*1000000+25*1000+42))</f>
        <v/>
      </c>
      <c r="FU140" s="39">
        <f>IF(N('Dvd Calendar'!$G$1387)=0,"",IF(('Dvd Calendar'!$G$1387&gt;=GRID_FROM)*('Dvd Calendar'!$G$1387&lt;=GRID_TO)*('Dvd Calendar'!$G$1387&gt;VAL_DATE)=0,"",'Dvd Calendar'!$G$1387*1000000000+ISNUMBER('Dvd Calendar'!$G$1388)*100000000+0*10000000+(N('Dvd Calendar'!$G$1386)&gt;0)*(N('Dvd Calendar'!$G$1386)&lt;=VAL_SERIAL)*1000000+25*1000+43))</f>
        <v/>
      </c>
      <c r="FV140" s="39">
        <f>IF(N('Dvd Calendar'!$H$1387)=0,"",IF(('Dvd Calendar'!$H$1387&gt;=GRID_FROM)*('Dvd Calendar'!$H$1387&lt;=GRID_TO)*('Dvd Calendar'!$H$1387&gt;VAL_DATE)=0,"",'Dvd Calendar'!$H$1387*1000000000+ISNUMBER('Dvd Calendar'!$H$1388)*100000000+0*10000000+(N('Dvd Calendar'!$H$1386)&gt;0)*(N('Dvd Calendar'!$H$1386)&lt;=VAL_SERIAL)*1000000+25*1000+44))</f>
        <v/>
      </c>
      <c r="FW140" s="39">
        <f>IF(N('Dvd Calendar'!$I$1387)=0,"",IF(('Dvd Calendar'!$I$1387&gt;=GRID_FROM)*('Dvd Calendar'!$I$1387&lt;=GRID_TO)*('Dvd Calendar'!$I$1387&gt;VAL_DATE)=0,"",'Dvd Calendar'!$I$1387*1000000000+ISNUMBER('Dvd Calendar'!$I$1388)*100000000+0*10000000+(N('Dvd Calendar'!$I$1386)&gt;0)*(N('Dvd Calendar'!$I$1386)&lt;=VAL_SERIAL)*1000000+25*1000+45))</f>
        <v/>
      </c>
      <c r="FX140" s="39">
        <f>IF(N('Dvd Calendar'!$J$1387)=0,"",IF(('Dvd Calendar'!$J$1387&gt;=GRID_FROM)*('Dvd Calendar'!$J$1387&lt;=GRID_TO)*('Dvd Calendar'!$J$1387&gt;VAL_DATE)=0,"",'Dvd Calendar'!$J$1387*1000000000+ISNUMBER('Dvd Calendar'!$J$1388)*100000000+0*10000000+(N('Dvd Calendar'!$J$1386)&gt;0)*(N('Dvd Calendar'!$J$1386)&lt;=VAL_SERIAL)*1000000+25*1000+46))</f>
        <v/>
      </c>
      <c r="FY140" s="39">
        <f>IF(N('Dvd Calendar'!$K$1387)=0,"",IF(('Dvd Calendar'!$K$1387&gt;=GRID_FROM)*('Dvd Calendar'!$K$1387&lt;=GRID_TO)*('Dvd Calendar'!$K$1387&gt;VAL_DATE)=0,"",'Dvd Calendar'!$K$1387*1000000000+ISNUMBER('Dvd Calendar'!$K$1388)*100000000+0*10000000+(N('Dvd Calendar'!$K$1386)&gt;0)*(N('Dvd Calendar'!$K$1386)&lt;=VAL_SERIAL)*1000000+25*1000+47))</f>
        <v/>
      </c>
      <c r="FZ140" s="39">
        <f>IF(N('Dvd Calendar'!$L$1387)=0,"",IF(('Dvd Calendar'!$L$1387&gt;=GRID_FROM)*('Dvd Calendar'!$L$1387&lt;=GRID_TO)*('Dvd Calendar'!$L$1387&gt;VAL_DATE)=0,"",'Dvd Calendar'!$L$1387*1000000000+ISNUMBER('Dvd Calendar'!$L$1388)*100000000+0*10000000+(N('Dvd Calendar'!$L$1386)&gt;0)*(N('Dvd Calendar'!$L$1386)&lt;=VAL_SERIAL)*1000000+25*1000+48))</f>
        <v/>
      </c>
      <c r="GA140" s="39">
        <f>IF(N('Dvd Calendar'!$M$1387)=0,"",IF(('Dvd Calendar'!$M$1387&gt;=GRID_FROM)*('Dvd Calendar'!$M$1387&lt;=GRID_TO)*('Dvd Calendar'!$M$1387&gt;VAL_DATE)=0,"",'Dvd Calendar'!$M$1387*1000000000+ISNUMBER('Dvd Calendar'!$M$1388)*100000000+0*10000000+(N('Dvd Calendar'!$M$1386)&gt;0)*(N('Dvd Calendar'!$M$1386)&lt;=VAL_SERIAL)*1000000+25*1000+49))</f>
        <v/>
      </c>
      <c r="GB140" s="39">
        <f>IF(N('Dvd Calendar'!$N$1387)=0,"",IF(('Dvd Calendar'!$N$1387&gt;=GRID_FROM)*('Dvd Calendar'!$N$1387&lt;=GRID_TO)*('Dvd Calendar'!$N$1387&gt;VAL_DATE)=0,"",'Dvd Calendar'!$N$1387*1000000000+ISNUMBER('Dvd Calendar'!$N$1388)*100000000+0*10000000+(N('Dvd Calendar'!$N$1386)&gt;0)*(N('Dvd Calendar'!$N$1386)&lt;=VAL_SERIAL)*1000000+25*1000+50))</f>
        <v/>
      </c>
      <c r="GC140" s="39">
        <f>IF(N('Dvd Calendar'!$O$1387)=0,"",IF(('Dvd Calendar'!$O$1387&gt;=GRID_FROM)*('Dvd Calendar'!$O$1387&lt;=GRID_TO)*('Dvd Calendar'!$O$1387&gt;VAL_DATE)=0,"",'Dvd Calendar'!$O$1387*1000000000+ISNUMBER('Dvd Calendar'!$O$1388)*100000000+0*10000000+(N('Dvd Calendar'!$O$1386)&gt;0)*(N('Dvd Calendar'!$O$1386)&lt;=VAL_SERIAL)*1000000+25*1000+51))</f>
        <v/>
      </c>
      <c r="GD140" s="39">
        <f>IF(N('Dvd Calendar'!$P$1387)=0,"",IF(('Dvd Calendar'!$P$1387&gt;=GRID_FROM)*('Dvd Calendar'!$P$1387&lt;=GRID_TO)*('Dvd Calendar'!$P$1387&gt;VAL_DATE)=0,"",'Dvd Calendar'!$P$1387*1000000000+ISNUMBER('Dvd Calendar'!$P$1388)*100000000+0*10000000+(N('Dvd Calendar'!$P$1386)&gt;0)*(N('Dvd Calendar'!$P$1386)&lt;=VAL_SERIAL)*1000000+25*1000+52))</f>
        <v/>
      </c>
      <c r="GE140" s="39">
        <f>IF(N('Dvd Calendar'!$Q$1387)=0,"",IF(('Dvd Calendar'!$Q$1387&gt;=GRID_FROM)*('Dvd Calendar'!$Q$1387&lt;=GRID_TO)*('Dvd Calendar'!$Q$1387&gt;VAL_DATE)=0,"",'Dvd Calendar'!$Q$1387*1000000000+ISNUMBER('Dvd Calendar'!$Q$1388)*100000000+0*10000000+(N('Dvd Calendar'!$Q$1386)&gt;0)*(N('Dvd Calendar'!$Q$1386)&lt;=VAL_SERIAL)*1000000+25*1000+53))</f>
        <v/>
      </c>
      <c r="GF140" s="39">
        <f>IF(N('Dvd Calendar'!$R$1387)=0,"",IF(('Dvd Calendar'!$R$1387&gt;=GRID_FROM)*('Dvd Calendar'!$R$1387&lt;=GRID_TO)*('Dvd Calendar'!$R$1387&gt;VAL_DATE)=0,"",'Dvd Calendar'!$R$1387*1000000000+ISNUMBER('Dvd Calendar'!$R$1388)*100000000+0*10000000+(N('Dvd Calendar'!$R$1386)&gt;0)*(N('Dvd Calendar'!$R$1386)&lt;=VAL_SERIAL)*1000000+25*1000+54))</f>
        <v/>
      </c>
      <c r="GG140" s="39">
        <f>IF(N('Dvd Calendar'!$S$1387)=0,"",IF(('Dvd Calendar'!$S$1387&gt;=GRID_FROM)*('Dvd Calendar'!$S$1387&lt;=GRID_TO)*('Dvd Calendar'!$S$1387&gt;VAL_DATE)=0,"",'Dvd Calendar'!$S$1387*1000000000+ISNUMBER('Dvd Calendar'!$S$1388)*100000000+0*10000000+(N('Dvd Calendar'!$S$1386)&gt;0)*(N('Dvd Calendar'!$S$1386)&lt;=VAL_SERIAL)*1000000+25*1000+55))</f>
        <v/>
      </c>
      <c r="GH140" s="39">
        <f>IF(N('Dvd Calendar'!$T$1387)=0,"",IF(('Dvd Calendar'!$T$1387&gt;=GRID_FROM)*('Dvd Calendar'!$T$1387&lt;=GRID_TO)*('Dvd Calendar'!$T$1387&gt;VAL_DATE)=0,"",'Dvd Calendar'!$T$1387*1000000000+ISNUMBER('Dvd Calendar'!$T$1388)*100000000+0*10000000+(N('Dvd Calendar'!$T$1386)&gt;0)*(N('Dvd Calendar'!$T$1386)&lt;=VAL_SERIAL)*1000000+25*1000+56))</f>
        <v/>
      </c>
      <c r="GI140" s="39">
        <f>IF(N('Dvd Calendar'!$U$1387)=0,"",IF(('Dvd Calendar'!$U$1387&gt;=GRID_FROM)*('Dvd Calendar'!$U$1387&lt;=GRID_TO)*('Dvd Calendar'!$U$1387&gt;VAL_DATE)=0,"",'Dvd Calendar'!$U$1387*1000000000+ISNUMBER('Dvd Calendar'!$U$1388)*100000000+0*10000000+(N('Dvd Calendar'!$U$1386)&gt;0)*(N('Dvd Calendar'!$U$1386)&lt;=VAL_SERIAL)*1000000+25*1000+57))</f>
        <v/>
      </c>
      <c r="GJ140" s="39">
        <f>IF(N('Dvd Calendar'!$V$1387)=0,"",IF(('Dvd Calendar'!$V$1387&gt;=GRID_FROM)*('Dvd Calendar'!$V$1387&lt;=GRID_TO)*('Dvd Calendar'!$V$1387&gt;VAL_DATE)=0,"",'Dvd Calendar'!$V$1387*1000000000+ISNUMBER('Dvd Calendar'!$V$1388)*100000000+0*10000000+(N('Dvd Calendar'!$V$1386)&gt;0)*(N('Dvd Calendar'!$V$1386)&lt;=VAL_SERIAL)*1000000+25*1000+58))</f>
        <v/>
      </c>
      <c r="GK140" s="39">
        <f>IF(N('Dvd Calendar'!$W$1387)=0,"",IF(('Dvd Calendar'!$W$1387&gt;=GRID_FROM)*('Dvd Calendar'!$W$1387&lt;=GRID_TO)*('Dvd Calendar'!$W$1387&gt;VAL_DATE)=0,"",'Dvd Calendar'!$W$1387*1000000000+ISNUMBER('Dvd Calendar'!$W$1388)*100000000+0*10000000+(N('Dvd Calendar'!$W$1386)&gt;0)*(N('Dvd Calendar'!$W$1386)&lt;=VAL_SERIAL)*1000000+25*1000+59))</f>
        <v/>
      </c>
      <c r="GL140" s="39">
        <f>IF(N('Dvd Calendar'!$X$1387)=0,"",IF(('Dvd Calendar'!$X$1387&gt;=GRID_FROM)*('Dvd Calendar'!$X$1387&lt;=GRID_TO)*('Dvd Calendar'!$X$1387&gt;VAL_DATE)=0,"",'Dvd Calendar'!$X$1387*1000000000+ISNUMBER('Dvd Calendar'!$X$1388)*100000000+0*10000000+(N('Dvd Calendar'!$X$1386)&gt;0)*(N('Dvd Calendar'!$X$1386)&lt;=VAL_SERIAL)*1000000+25*1000+60))</f>
        <v/>
      </c>
      <c r="GM140" s="39">
        <f>IF(N('Dvd Calendar'!$Y$1387)=0,"",IF(('Dvd Calendar'!$Y$1387&gt;=GRID_FROM)*('Dvd Calendar'!$Y$1387&lt;=GRID_TO)*('Dvd Calendar'!$Y$1387&gt;VAL_DATE)=0,"",'Dvd Calendar'!$Y$1387*1000000000+ISNUMBER('Dvd Calendar'!$Y$1388)*100000000+0*10000000+(N('Dvd Calendar'!$Y$1386)&gt;0)*(N('Dvd Calendar'!$Y$1386)&lt;=VAL_SERIAL)*1000000+25*1000+61))</f>
        <v/>
      </c>
      <c r="GN140" s="39">
        <f>IF(N('Dvd Calendar'!$Z$1387)=0,"",IF(('Dvd Calendar'!$Z$1387&gt;=GRID_FROM)*('Dvd Calendar'!$Z$1387&lt;=GRID_TO)*('Dvd Calendar'!$Z$1387&gt;VAL_DATE)=0,"",'Dvd Calendar'!$Z$1387*1000000000+ISNUMBER('Dvd Calendar'!$Z$1388)*100000000+0*10000000+(N('Dvd Calendar'!$Z$1386)&gt;0)*(N('Dvd Calendar'!$Z$1386)&lt;=VAL_SERIAL)*1000000+25*1000+62))</f>
        <v/>
      </c>
      <c r="GO140" s="39">
        <f>IF(N('Dvd Calendar'!$AA$1387)=0,"",IF(('Dvd Calendar'!$AA$1387&gt;=GRID_FROM)*('Dvd Calendar'!$AA$1387&lt;=GRID_TO)*('Dvd Calendar'!$AA$1387&gt;VAL_DATE)=0,"",'Dvd Calendar'!$AA$1387*1000000000+ISNUMBER('Dvd Calendar'!$AA$1388)*100000000+0*10000000+(N('Dvd Calendar'!$AA$1386)&gt;0)*(N('Dvd Calendar'!$AA$1386)&lt;=VAL_SERIAL)*1000000+25*1000+63))</f>
        <v/>
      </c>
      <c r="GP140" s="39">
        <f>IF(N('Dvd Calendar'!$AB$1387)=0,"",IF(('Dvd Calendar'!$AB$1387&gt;=GRID_FROM)*('Dvd Calendar'!$AB$1387&lt;=GRID_TO)*('Dvd Calendar'!$AB$1387&gt;VAL_DATE)=0,"",'Dvd Calendar'!$AB$1387*1000000000+ISNUMBER('Dvd Calendar'!$AB$1388)*100000000+0*10000000+(N('Dvd Calendar'!$AB$1386)&gt;0)*(N('Dvd Calendar'!$AB$1386)&lt;=VAL_SERIAL)*1000000+25*1000+64))</f>
        <v/>
      </c>
      <c r="GQ140" s="39">
        <f>IF(N('Dvd Calendar'!$AC$1387)=0,"",IF(('Dvd Calendar'!$AC$1387&gt;=GRID_FROM)*('Dvd Calendar'!$AC$1387&lt;=GRID_TO)*('Dvd Calendar'!$AC$1387&gt;VAL_DATE)=0,"",'Dvd Calendar'!$AC$1387*1000000000+ISNUMBER('Dvd Calendar'!$AC$1388)*100000000+0*10000000+(N('Dvd Calendar'!$AC$1386)&gt;0)*(N('Dvd Calendar'!$AC$1386)&lt;=VAL_SERIAL)*1000000+25*1000+65))</f>
        <v/>
      </c>
    </row>
    <row r="141">
      <c r="B141" s="2">
        <f>IF(HSTECH!$C$32="","",HSTECH!$C$32)</f>
        <v/>
      </c>
      <c r="C141" s="110">
        <f>IF(EE141="","",IF(ISNUMBER('Dvd Calendar'!$E$1394)=FALSE,"",IF((('Dvd Calendar'!$E$1396=TYPE1)*(TYPE1&lt;&gt;"")+('Dvd Calendar'!$E$1396=TYPE2)*(TYPE2&lt;&gt;"")+('Dvd Calendar'!$E$1396=TYPE3)*(TYPE3&lt;&gt;"")+('Dvd Calendar'!$E$1396=TYPE4)*(TYPE4&lt;&gt;"")+('Dvd Calendar'!$E$1396=SPECIAL_LBL)*(INC_SPECIALS="Y"))=0,"",'Dvd Calendar'!$E$1394)))</f>
        <v/>
      </c>
      <c r="D141" s="110">
        <f>IF(EF141="","",IF(ISNUMBER('Dvd Calendar'!$F$1394)=FALSE,"",IF((('Dvd Calendar'!$F$1396=TYPE1)*(TYPE1&lt;&gt;"")+('Dvd Calendar'!$F$1396=TYPE2)*(TYPE2&lt;&gt;"")+('Dvd Calendar'!$F$1396=TYPE3)*(TYPE3&lt;&gt;"")+('Dvd Calendar'!$F$1396=TYPE4)*(TYPE4&lt;&gt;"")+('Dvd Calendar'!$F$1396=SPECIAL_LBL)*(INC_SPECIALS="Y"))=0,"",'Dvd Calendar'!$F$1394)))</f>
        <v/>
      </c>
      <c r="E141" s="110">
        <f>IF(EG141="","",IF(ISNUMBER('Dvd Calendar'!$G$1394)=FALSE,"",IF((('Dvd Calendar'!$G$1396=TYPE1)*(TYPE1&lt;&gt;"")+('Dvd Calendar'!$G$1396=TYPE2)*(TYPE2&lt;&gt;"")+('Dvd Calendar'!$G$1396=TYPE3)*(TYPE3&lt;&gt;"")+('Dvd Calendar'!$G$1396=TYPE4)*(TYPE4&lt;&gt;"")+('Dvd Calendar'!$G$1396=SPECIAL_LBL)*(INC_SPECIALS="Y"))=0,"",'Dvd Calendar'!$G$1394)))</f>
        <v/>
      </c>
      <c r="F141" s="110">
        <f>IF(EH141="","",IF(ISNUMBER('Dvd Calendar'!$H$1394)=FALSE,"",IF((('Dvd Calendar'!$H$1396=TYPE1)*(TYPE1&lt;&gt;"")+('Dvd Calendar'!$H$1396=TYPE2)*(TYPE2&lt;&gt;"")+('Dvd Calendar'!$H$1396=TYPE3)*(TYPE3&lt;&gt;"")+('Dvd Calendar'!$H$1396=TYPE4)*(TYPE4&lt;&gt;"")+('Dvd Calendar'!$H$1396=SPECIAL_LBL)*(INC_SPECIALS="Y"))=0,"",'Dvd Calendar'!$H$1394)))</f>
        <v/>
      </c>
      <c r="G141" s="110">
        <f>IF(EI141="","",IF(ISNUMBER('Dvd Calendar'!$I$1394)=FALSE,"",IF((('Dvd Calendar'!$I$1396=TYPE1)*(TYPE1&lt;&gt;"")+('Dvd Calendar'!$I$1396=TYPE2)*(TYPE2&lt;&gt;"")+('Dvd Calendar'!$I$1396=TYPE3)*(TYPE3&lt;&gt;"")+('Dvd Calendar'!$I$1396=TYPE4)*(TYPE4&lt;&gt;"")+('Dvd Calendar'!$I$1396=SPECIAL_LBL)*(INC_SPECIALS="Y"))=0,"",'Dvd Calendar'!$I$1394)))</f>
        <v/>
      </c>
      <c r="H141" s="110">
        <f>IF(EJ141="","",IF(ISNUMBER('Dvd Calendar'!$J$1394)=FALSE,"",IF((('Dvd Calendar'!$J$1396=TYPE1)*(TYPE1&lt;&gt;"")+('Dvd Calendar'!$J$1396=TYPE2)*(TYPE2&lt;&gt;"")+('Dvd Calendar'!$J$1396=TYPE3)*(TYPE3&lt;&gt;"")+('Dvd Calendar'!$J$1396=TYPE4)*(TYPE4&lt;&gt;"")+('Dvd Calendar'!$J$1396=SPECIAL_LBL)*(INC_SPECIALS="Y"))=0,"",'Dvd Calendar'!$J$1394)))</f>
        <v/>
      </c>
      <c r="I141" s="110">
        <f>IF(EK141="","",IF(ISNUMBER('Dvd Calendar'!$K$1394)=FALSE,"",IF((('Dvd Calendar'!$K$1396=TYPE1)*(TYPE1&lt;&gt;"")+('Dvd Calendar'!$K$1396=TYPE2)*(TYPE2&lt;&gt;"")+('Dvd Calendar'!$K$1396=TYPE3)*(TYPE3&lt;&gt;"")+('Dvd Calendar'!$K$1396=TYPE4)*(TYPE4&lt;&gt;"")+('Dvd Calendar'!$K$1396=SPECIAL_LBL)*(INC_SPECIALS="Y"))=0,"",'Dvd Calendar'!$K$1394)))</f>
        <v/>
      </c>
      <c r="J141" s="110">
        <f>IF(EL141="","",IF(ISNUMBER('Dvd Calendar'!$L$1394)=FALSE,"",IF((('Dvd Calendar'!$L$1396=TYPE1)*(TYPE1&lt;&gt;"")+('Dvd Calendar'!$L$1396=TYPE2)*(TYPE2&lt;&gt;"")+('Dvd Calendar'!$L$1396=TYPE3)*(TYPE3&lt;&gt;"")+('Dvd Calendar'!$L$1396=TYPE4)*(TYPE4&lt;&gt;"")+('Dvd Calendar'!$L$1396=SPECIAL_LBL)*(INC_SPECIALS="Y"))=0,"",'Dvd Calendar'!$L$1394)))</f>
        <v/>
      </c>
      <c r="K141" s="110">
        <f>IF(EM141="","",IF(ISNUMBER('Dvd Calendar'!$M$1394)=FALSE,"",IF((('Dvd Calendar'!$M$1396=TYPE1)*(TYPE1&lt;&gt;"")+('Dvd Calendar'!$M$1396=TYPE2)*(TYPE2&lt;&gt;"")+('Dvd Calendar'!$M$1396=TYPE3)*(TYPE3&lt;&gt;"")+('Dvd Calendar'!$M$1396=TYPE4)*(TYPE4&lt;&gt;"")+('Dvd Calendar'!$M$1396=SPECIAL_LBL)*(INC_SPECIALS="Y"))=0,"",'Dvd Calendar'!$M$1394)))</f>
        <v/>
      </c>
      <c r="L141" s="110">
        <f>IF(EN141="","",IF(ISNUMBER('Dvd Calendar'!$N$1394)=FALSE,"",IF((('Dvd Calendar'!$N$1396=TYPE1)*(TYPE1&lt;&gt;"")+('Dvd Calendar'!$N$1396=TYPE2)*(TYPE2&lt;&gt;"")+('Dvd Calendar'!$N$1396=TYPE3)*(TYPE3&lt;&gt;"")+('Dvd Calendar'!$N$1396=TYPE4)*(TYPE4&lt;&gt;"")+('Dvd Calendar'!$N$1396=SPECIAL_LBL)*(INC_SPECIALS="Y"))=0,"",'Dvd Calendar'!$N$1394)))</f>
        <v/>
      </c>
      <c r="M141" s="110">
        <f>IF(EO141="","",IF(ISNUMBER('Dvd Calendar'!$O$1394)=FALSE,"",IF((('Dvd Calendar'!$O$1396=TYPE1)*(TYPE1&lt;&gt;"")+('Dvd Calendar'!$O$1396=TYPE2)*(TYPE2&lt;&gt;"")+('Dvd Calendar'!$O$1396=TYPE3)*(TYPE3&lt;&gt;"")+('Dvd Calendar'!$O$1396=TYPE4)*(TYPE4&lt;&gt;"")+('Dvd Calendar'!$O$1396=SPECIAL_LBL)*(INC_SPECIALS="Y"))=0,"",'Dvd Calendar'!$O$1394)))</f>
        <v/>
      </c>
      <c r="N141" s="110">
        <f>IF(EP141="","",IF(ISNUMBER('Dvd Calendar'!$P$1394)=FALSE,"",IF((('Dvd Calendar'!$P$1396=TYPE1)*(TYPE1&lt;&gt;"")+('Dvd Calendar'!$P$1396=TYPE2)*(TYPE2&lt;&gt;"")+('Dvd Calendar'!$P$1396=TYPE3)*(TYPE3&lt;&gt;"")+('Dvd Calendar'!$P$1396=TYPE4)*(TYPE4&lt;&gt;"")+('Dvd Calendar'!$P$1396=SPECIAL_LBL)*(INC_SPECIALS="Y"))=0,"",'Dvd Calendar'!$P$1394)))</f>
        <v/>
      </c>
      <c r="O141" s="110">
        <f>IF(EQ141="","",IF(ISNUMBER('Dvd Calendar'!$Q$1394)=FALSE,"",IF((('Dvd Calendar'!$Q$1396=TYPE1)*(TYPE1&lt;&gt;"")+('Dvd Calendar'!$Q$1396=TYPE2)*(TYPE2&lt;&gt;"")+('Dvd Calendar'!$Q$1396=TYPE3)*(TYPE3&lt;&gt;"")+('Dvd Calendar'!$Q$1396=TYPE4)*(TYPE4&lt;&gt;"")+('Dvd Calendar'!$Q$1396=SPECIAL_LBL)*(INC_SPECIALS="Y"))=0,"",'Dvd Calendar'!$Q$1394)))</f>
        <v/>
      </c>
      <c r="P141" s="110">
        <f>IF(ER141="","",IF(ISNUMBER('Dvd Calendar'!$R$1394)=FALSE,"",IF((('Dvd Calendar'!$R$1396=TYPE1)*(TYPE1&lt;&gt;"")+('Dvd Calendar'!$R$1396=TYPE2)*(TYPE2&lt;&gt;"")+('Dvd Calendar'!$R$1396=TYPE3)*(TYPE3&lt;&gt;"")+('Dvd Calendar'!$R$1396=TYPE4)*(TYPE4&lt;&gt;"")+('Dvd Calendar'!$R$1396=SPECIAL_LBL)*(INC_SPECIALS="Y"))=0,"",'Dvd Calendar'!$R$1394)))</f>
        <v/>
      </c>
      <c r="Q141" s="110">
        <f>IF(ES141="","",IF(ISNUMBER('Dvd Calendar'!$S$1394)=FALSE,"",IF((('Dvd Calendar'!$S$1396=TYPE1)*(TYPE1&lt;&gt;"")+('Dvd Calendar'!$S$1396=TYPE2)*(TYPE2&lt;&gt;"")+('Dvd Calendar'!$S$1396=TYPE3)*(TYPE3&lt;&gt;"")+('Dvd Calendar'!$S$1396=TYPE4)*(TYPE4&lt;&gt;"")+('Dvd Calendar'!$S$1396=SPECIAL_LBL)*(INC_SPECIALS="Y"))=0,"",'Dvd Calendar'!$S$1394)))</f>
        <v/>
      </c>
      <c r="R141" s="110">
        <f>IF(ET141="","",IF(ISNUMBER('Dvd Calendar'!$T$1394)=FALSE,"",IF((('Dvd Calendar'!$T$1396=TYPE1)*(TYPE1&lt;&gt;"")+('Dvd Calendar'!$T$1396=TYPE2)*(TYPE2&lt;&gt;"")+('Dvd Calendar'!$T$1396=TYPE3)*(TYPE3&lt;&gt;"")+('Dvd Calendar'!$T$1396=TYPE4)*(TYPE4&lt;&gt;"")+('Dvd Calendar'!$T$1396=SPECIAL_LBL)*(INC_SPECIALS="Y"))=0,"",'Dvd Calendar'!$T$1394)))</f>
        <v/>
      </c>
      <c r="S141" s="110">
        <f>IF(EU141="","",IF(ISNUMBER('Dvd Calendar'!$U$1394)=FALSE,"",IF((('Dvd Calendar'!$U$1396=TYPE1)*(TYPE1&lt;&gt;"")+('Dvd Calendar'!$U$1396=TYPE2)*(TYPE2&lt;&gt;"")+('Dvd Calendar'!$U$1396=TYPE3)*(TYPE3&lt;&gt;"")+('Dvd Calendar'!$U$1396=TYPE4)*(TYPE4&lt;&gt;"")+('Dvd Calendar'!$U$1396=SPECIAL_LBL)*(INC_SPECIALS="Y"))=0,"",'Dvd Calendar'!$U$1394)))</f>
        <v/>
      </c>
      <c r="T141" s="110">
        <f>IF(EV141="","",IF(ISNUMBER('Dvd Calendar'!$V$1394)=FALSE,"",IF((('Dvd Calendar'!$V$1396=TYPE1)*(TYPE1&lt;&gt;"")+('Dvd Calendar'!$V$1396=TYPE2)*(TYPE2&lt;&gt;"")+('Dvd Calendar'!$V$1396=TYPE3)*(TYPE3&lt;&gt;"")+('Dvd Calendar'!$V$1396=TYPE4)*(TYPE4&lt;&gt;"")+('Dvd Calendar'!$V$1396=SPECIAL_LBL)*(INC_SPECIALS="Y"))=0,"",'Dvd Calendar'!$V$1394)))</f>
        <v/>
      </c>
      <c r="U141" s="110">
        <f>IF(EW141="","",IF(ISNUMBER('Dvd Calendar'!$W$1394)=FALSE,"",IF((('Dvd Calendar'!$W$1396=TYPE1)*(TYPE1&lt;&gt;"")+('Dvd Calendar'!$W$1396=TYPE2)*(TYPE2&lt;&gt;"")+('Dvd Calendar'!$W$1396=TYPE3)*(TYPE3&lt;&gt;"")+('Dvd Calendar'!$W$1396=TYPE4)*(TYPE4&lt;&gt;"")+('Dvd Calendar'!$W$1396=SPECIAL_LBL)*(INC_SPECIALS="Y"))=0,"",'Dvd Calendar'!$W$1394)))</f>
        <v/>
      </c>
      <c r="V141" s="110">
        <f>IF(EX141="","",IF(ISNUMBER('Dvd Calendar'!$X$1394)=FALSE,"",IF((('Dvd Calendar'!$X$1396=TYPE1)*(TYPE1&lt;&gt;"")+('Dvd Calendar'!$X$1396=TYPE2)*(TYPE2&lt;&gt;"")+('Dvd Calendar'!$X$1396=TYPE3)*(TYPE3&lt;&gt;"")+('Dvd Calendar'!$X$1396=TYPE4)*(TYPE4&lt;&gt;"")+('Dvd Calendar'!$X$1396=SPECIAL_LBL)*(INC_SPECIALS="Y"))=0,"",'Dvd Calendar'!$X$1394)))</f>
        <v/>
      </c>
      <c r="W141" s="110">
        <f>IF(EY141="","",IF(ISNUMBER('Dvd Calendar'!$Y$1394)=FALSE,"",IF((('Dvd Calendar'!$Y$1396=TYPE1)*(TYPE1&lt;&gt;"")+('Dvd Calendar'!$Y$1396=TYPE2)*(TYPE2&lt;&gt;"")+('Dvd Calendar'!$Y$1396=TYPE3)*(TYPE3&lt;&gt;"")+('Dvd Calendar'!$Y$1396=TYPE4)*(TYPE4&lt;&gt;"")+('Dvd Calendar'!$Y$1396=SPECIAL_LBL)*(INC_SPECIALS="Y"))=0,"",'Dvd Calendar'!$Y$1394)))</f>
        <v/>
      </c>
      <c r="X141" s="110">
        <f>IF(EZ141="","",IF(ISNUMBER('Dvd Calendar'!$Z$1394)=FALSE,"",IF((('Dvd Calendar'!$Z$1396=TYPE1)*(TYPE1&lt;&gt;"")+('Dvd Calendar'!$Z$1396=TYPE2)*(TYPE2&lt;&gt;"")+('Dvd Calendar'!$Z$1396=TYPE3)*(TYPE3&lt;&gt;"")+('Dvd Calendar'!$Z$1396=TYPE4)*(TYPE4&lt;&gt;"")+('Dvd Calendar'!$Z$1396=SPECIAL_LBL)*(INC_SPECIALS="Y"))=0,"",'Dvd Calendar'!$Z$1394)))</f>
        <v/>
      </c>
      <c r="Y141" s="110">
        <f>IF(FA141="","",IF(ISNUMBER('Dvd Calendar'!$AA$1394)=FALSE,"",IF((('Dvd Calendar'!$AA$1396=TYPE1)*(TYPE1&lt;&gt;"")+('Dvd Calendar'!$AA$1396=TYPE2)*(TYPE2&lt;&gt;"")+('Dvd Calendar'!$AA$1396=TYPE3)*(TYPE3&lt;&gt;"")+('Dvd Calendar'!$AA$1396=TYPE4)*(TYPE4&lt;&gt;"")+('Dvd Calendar'!$AA$1396=SPECIAL_LBL)*(INC_SPECIALS="Y"))=0,"",'Dvd Calendar'!$AA$1394)))</f>
        <v/>
      </c>
      <c r="Z141" s="110">
        <f>IF(FB141="","",IF(ISNUMBER('Dvd Calendar'!$AB$1394)=FALSE,"",IF((('Dvd Calendar'!$AB$1396=TYPE1)*(TYPE1&lt;&gt;"")+('Dvd Calendar'!$AB$1396=TYPE2)*(TYPE2&lt;&gt;"")+('Dvd Calendar'!$AB$1396=TYPE3)*(TYPE3&lt;&gt;"")+('Dvd Calendar'!$AB$1396=TYPE4)*(TYPE4&lt;&gt;"")+('Dvd Calendar'!$AB$1396=SPECIAL_LBL)*(INC_SPECIALS="Y"))=0,"",'Dvd Calendar'!$AB$1394)))</f>
        <v/>
      </c>
      <c r="AA141" s="110">
        <f>IF(FC141="","",IF(ISNUMBER('Dvd Calendar'!$AC$1394)=FALSE,"",IF((('Dvd Calendar'!$AC$1396=TYPE1)*(TYPE1&lt;&gt;"")+('Dvd Calendar'!$AC$1396=TYPE2)*(TYPE2&lt;&gt;"")+('Dvd Calendar'!$AC$1396=TYPE3)*(TYPE3&lt;&gt;"")+('Dvd Calendar'!$AC$1396=TYPE4)*(TYPE4&lt;&gt;"")+('Dvd Calendar'!$AC$1396=SPECIAL_LBL)*(INC_SPECIALS="Y"))=0,"",'Dvd Calendar'!$AC$1394)))</f>
        <v/>
      </c>
      <c r="AB141" s="110">
        <f>IF(FD141="","",IF(ISNUMBER('Dvd Calendar'!$AD$1394)=FALSE,"",IF((('Dvd Calendar'!$AD$1396=TYPE1)*(TYPE1&lt;&gt;"")+('Dvd Calendar'!$AD$1396=TYPE2)*(TYPE2&lt;&gt;"")+('Dvd Calendar'!$AD$1396=TYPE3)*(TYPE3&lt;&gt;"")+('Dvd Calendar'!$AD$1396=TYPE4)*(TYPE4&lt;&gt;"")+('Dvd Calendar'!$AD$1396=SPECIAL_LBL)*(INC_SPECIALS="Y"))=0,"",'Dvd Calendar'!$AD$1394)))</f>
        <v/>
      </c>
      <c r="AC141" s="110">
        <f>IF(FE141="","",IF(ISNUMBER('Dvd Calendar'!$AE$1394)=FALSE,"",IF((('Dvd Calendar'!$AE$1396=TYPE1)*(TYPE1&lt;&gt;"")+('Dvd Calendar'!$AE$1396=TYPE2)*(TYPE2&lt;&gt;"")+('Dvd Calendar'!$AE$1396=TYPE3)*(TYPE3&lt;&gt;"")+('Dvd Calendar'!$AE$1396=TYPE4)*(TYPE4&lt;&gt;"")+('Dvd Calendar'!$AE$1396=SPECIAL_LBL)*(INC_SPECIALS="Y"))=0,"",'Dvd Calendar'!$AE$1394)))</f>
        <v/>
      </c>
      <c r="AD141" s="110">
        <f>IF(FF141="","",IF(ISNUMBER('Dvd Calendar'!$AF$1394)=FALSE,"",IF((('Dvd Calendar'!$AF$1396=TYPE1)*(TYPE1&lt;&gt;"")+('Dvd Calendar'!$AF$1396=TYPE2)*(TYPE2&lt;&gt;"")+('Dvd Calendar'!$AF$1396=TYPE3)*(TYPE3&lt;&gt;"")+('Dvd Calendar'!$AF$1396=TYPE4)*(TYPE4&lt;&gt;"")+('Dvd Calendar'!$AF$1396=SPECIAL_LBL)*(INC_SPECIALS="Y"))=0,"",'Dvd Calendar'!$AF$1394)))</f>
        <v/>
      </c>
      <c r="AE141" s="110">
        <f>IF(FG141="","",IF(ISNUMBER('Dvd Calendar'!$AG$1394)=FALSE,"",IF((('Dvd Calendar'!$AG$1396=TYPE1)*(TYPE1&lt;&gt;"")+('Dvd Calendar'!$AG$1396=TYPE2)*(TYPE2&lt;&gt;"")+('Dvd Calendar'!$AG$1396=TYPE3)*(TYPE3&lt;&gt;"")+('Dvd Calendar'!$AG$1396=TYPE4)*(TYPE4&lt;&gt;"")+('Dvd Calendar'!$AG$1396=SPECIAL_LBL)*(INC_SPECIALS="Y"))=0,"",'Dvd Calendar'!$AG$1394)))</f>
        <v/>
      </c>
      <c r="AF141" s="110">
        <f>IF(FH141="","",IF(ISNUMBER('Dvd Calendar'!$AH$1394)=FALSE,"",IF((('Dvd Calendar'!$AH$1396=TYPE1)*(TYPE1&lt;&gt;"")+('Dvd Calendar'!$AH$1396=TYPE2)*(TYPE2&lt;&gt;"")+('Dvd Calendar'!$AH$1396=TYPE3)*(TYPE3&lt;&gt;"")+('Dvd Calendar'!$AH$1396=TYPE4)*(TYPE4&lt;&gt;"")+('Dvd Calendar'!$AH$1396=SPECIAL_LBL)*(INC_SPECIALS="Y"))=0,"",'Dvd Calendar'!$AH$1394)))</f>
        <v/>
      </c>
      <c r="AG141" s="110">
        <f>IF(FI141="","",IF(ISNUMBER('Dvd Calendar'!$AI$1394)=FALSE,"",IF((('Dvd Calendar'!$AI$1396=TYPE1)*(TYPE1&lt;&gt;"")+('Dvd Calendar'!$AI$1396=TYPE2)*(TYPE2&lt;&gt;"")+('Dvd Calendar'!$AI$1396=TYPE3)*(TYPE3&lt;&gt;"")+('Dvd Calendar'!$AI$1396=TYPE4)*(TYPE4&lt;&gt;"")+('Dvd Calendar'!$AI$1396=SPECIAL_LBL)*(INC_SPECIALS="Y"))=0,"",'Dvd Calendar'!$AI$1394)))</f>
        <v/>
      </c>
      <c r="AH141" s="110">
        <f>IF(FJ141="","",IF(ISNUMBER('Dvd Calendar'!$AJ$1394)=FALSE,"",IF((('Dvd Calendar'!$AJ$1396=TYPE1)*(TYPE1&lt;&gt;"")+('Dvd Calendar'!$AJ$1396=TYPE2)*(TYPE2&lt;&gt;"")+('Dvd Calendar'!$AJ$1396=TYPE3)*(TYPE3&lt;&gt;"")+('Dvd Calendar'!$AJ$1396=TYPE4)*(TYPE4&lt;&gt;"")+('Dvd Calendar'!$AJ$1396=SPECIAL_LBL)*(INC_SPECIALS="Y"))=0,"",'Dvd Calendar'!$AJ$1394)))</f>
        <v/>
      </c>
      <c r="AI141" s="110">
        <f>IF(FK141="","",IF(ISNUMBER('Dvd Calendar'!$AK$1394)=FALSE,"",IF((('Dvd Calendar'!$AK$1396=TYPE1)*(TYPE1&lt;&gt;"")+('Dvd Calendar'!$AK$1396=TYPE2)*(TYPE2&lt;&gt;"")+('Dvd Calendar'!$AK$1396=TYPE3)*(TYPE3&lt;&gt;"")+('Dvd Calendar'!$AK$1396=TYPE4)*(TYPE4&lt;&gt;"")+('Dvd Calendar'!$AK$1396=SPECIAL_LBL)*(INC_SPECIALS="Y"))=0,"",'Dvd Calendar'!$AK$1394)))</f>
        <v/>
      </c>
      <c r="AJ141" s="110">
        <f>IF(FL141="","",IF(ISNUMBER('Dvd Calendar'!$AL$1394)=FALSE,"",IF((('Dvd Calendar'!$AL$1396=TYPE1)*(TYPE1&lt;&gt;"")+('Dvd Calendar'!$AL$1396=TYPE2)*(TYPE2&lt;&gt;"")+('Dvd Calendar'!$AL$1396=TYPE3)*(TYPE3&lt;&gt;"")+('Dvd Calendar'!$AL$1396=TYPE4)*(TYPE4&lt;&gt;"")+('Dvd Calendar'!$AL$1396=SPECIAL_LBL)*(INC_SPECIALS="Y"))=0,"",'Dvd Calendar'!$AL$1394)))</f>
        <v/>
      </c>
      <c r="AK141" s="110">
        <f>IF(FM141="","",IF(ISNUMBER('Dvd Calendar'!$AM$1394)=FALSE,"",IF((('Dvd Calendar'!$AM$1396=TYPE1)*(TYPE1&lt;&gt;"")+('Dvd Calendar'!$AM$1396=TYPE2)*(TYPE2&lt;&gt;"")+('Dvd Calendar'!$AM$1396=TYPE3)*(TYPE3&lt;&gt;"")+('Dvd Calendar'!$AM$1396=TYPE4)*(TYPE4&lt;&gt;"")+('Dvd Calendar'!$AM$1396=SPECIAL_LBL)*(INC_SPECIALS="Y"))=0,"",'Dvd Calendar'!$AM$1394)))</f>
        <v/>
      </c>
      <c r="AL141" s="110">
        <f>IF(FN141="","",IF(ISNUMBER('Dvd Calendar'!$AN$1394)=FALSE,"",IF((('Dvd Calendar'!$AN$1396=TYPE1)*(TYPE1&lt;&gt;"")+('Dvd Calendar'!$AN$1396=TYPE2)*(TYPE2&lt;&gt;"")+('Dvd Calendar'!$AN$1396=TYPE3)*(TYPE3&lt;&gt;"")+('Dvd Calendar'!$AN$1396=TYPE4)*(TYPE4&lt;&gt;"")+('Dvd Calendar'!$AN$1396=SPECIAL_LBL)*(INC_SPECIALS="Y"))=0,"",'Dvd Calendar'!$AN$1394)))</f>
        <v/>
      </c>
      <c r="AM141" s="110">
        <f>IF(FO141="","",IF(ISNUMBER('Dvd Calendar'!$AO$1394)=FALSE,"",IF((('Dvd Calendar'!$AO$1396=TYPE1)*(TYPE1&lt;&gt;"")+('Dvd Calendar'!$AO$1396=TYPE2)*(TYPE2&lt;&gt;"")+('Dvd Calendar'!$AO$1396=TYPE3)*(TYPE3&lt;&gt;"")+('Dvd Calendar'!$AO$1396=TYPE4)*(TYPE4&lt;&gt;"")+('Dvd Calendar'!$AO$1396=SPECIAL_LBL)*(INC_SPECIALS="Y"))=0,"",'Dvd Calendar'!$AO$1394)))</f>
        <v/>
      </c>
      <c r="AN141" s="110">
        <f>IF(FP141="","",IF(ISNUMBER('Dvd Calendar'!$AP$1394)=FALSE,"",IF((('Dvd Calendar'!$AP$1396=TYPE1)*(TYPE1&lt;&gt;"")+('Dvd Calendar'!$AP$1396=TYPE2)*(TYPE2&lt;&gt;"")+('Dvd Calendar'!$AP$1396=TYPE3)*(TYPE3&lt;&gt;"")+('Dvd Calendar'!$AP$1396=TYPE4)*(TYPE4&lt;&gt;"")+('Dvd Calendar'!$AP$1396=SPECIAL_LBL)*(INC_SPECIALS="Y"))=0,"",'Dvd Calendar'!$AP$1394)))</f>
        <v/>
      </c>
      <c r="AO141" s="110">
        <f>IF(FQ141="","",IF(ISNUMBER('Dvd Calendar'!$AQ$1394)=FALSE,"",IF((('Dvd Calendar'!$AQ$1396=TYPE1)*(TYPE1&lt;&gt;"")+('Dvd Calendar'!$AQ$1396=TYPE2)*(TYPE2&lt;&gt;"")+('Dvd Calendar'!$AQ$1396=TYPE3)*(TYPE3&lt;&gt;"")+('Dvd Calendar'!$AQ$1396=TYPE4)*(TYPE4&lt;&gt;"")+('Dvd Calendar'!$AQ$1396=SPECIAL_LBL)*(INC_SPECIALS="Y"))=0,"",'Dvd Calendar'!$AQ$1394)))</f>
        <v/>
      </c>
      <c r="AP141" s="110">
        <f>IF(FR141="","",IF(ISNUMBER('Dvd Calendar'!$AR$1394)=FALSE,"",IF((('Dvd Calendar'!$AR$1396=TYPE1)*(TYPE1&lt;&gt;"")+('Dvd Calendar'!$AR$1396=TYPE2)*(TYPE2&lt;&gt;"")+('Dvd Calendar'!$AR$1396=TYPE3)*(TYPE3&lt;&gt;"")+('Dvd Calendar'!$AR$1396=TYPE4)*(TYPE4&lt;&gt;"")+('Dvd Calendar'!$AR$1396=SPECIAL_LBL)*(INC_SPECIALS="Y"))=0,"",'Dvd Calendar'!$AR$1394)))</f>
        <v/>
      </c>
      <c r="AQ141" s="110">
        <f>IF(FS141="","",IF(ISNUMBER('Dvd Calendar'!$E$1399)=FALSE,"",'Dvd Calendar'!$E$1399))</f>
        <v/>
      </c>
      <c r="AR141" s="110">
        <f>IF(FT141="","",IF(ISNUMBER('Dvd Calendar'!$F$1399)=FALSE,"",'Dvd Calendar'!$F$1399))</f>
        <v/>
      </c>
      <c r="AS141" s="110">
        <f>IF(FU141="","",IF(ISNUMBER('Dvd Calendar'!$G$1399)=FALSE,"",'Dvd Calendar'!$G$1399))</f>
        <v/>
      </c>
      <c r="AT141" s="110">
        <f>IF(FV141="","",IF(ISNUMBER('Dvd Calendar'!$H$1399)=FALSE,"",'Dvd Calendar'!$H$1399))</f>
        <v/>
      </c>
      <c r="AU141" s="110">
        <f>IF(FW141="","",IF(ISNUMBER('Dvd Calendar'!$I$1399)=FALSE,"",'Dvd Calendar'!$I$1399))</f>
        <v/>
      </c>
      <c r="AV141" s="110">
        <f>IF(FX141="","",IF(ISNUMBER('Dvd Calendar'!$J$1399)=FALSE,"",'Dvd Calendar'!$J$1399))</f>
        <v/>
      </c>
      <c r="AW141" s="110">
        <f>IF(FY141="","",IF(ISNUMBER('Dvd Calendar'!$K$1399)=FALSE,"",'Dvd Calendar'!$K$1399))</f>
        <v/>
      </c>
      <c r="AX141" s="110">
        <f>IF(FZ141="","",IF(ISNUMBER('Dvd Calendar'!$L$1399)=FALSE,"",'Dvd Calendar'!$L$1399))</f>
        <v/>
      </c>
      <c r="AY141" s="110">
        <f>IF(GA141="","",IF(ISNUMBER('Dvd Calendar'!$M$1399)=FALSE,"",'Dvd Calendar'!$M$1399))</f>
        <v/>
      </c>
      <c r="AZ141" s="110">
        <f>IF(GB141="","",IF(ISNUMBER('Dvd Calendar'!$N$1399)=FALSE,"",'Dvd Calendar'!$N$1399))</f>
        <v/>
      </c>
      <c r="BA141" s="110">
        <f>IF(GC141="","",IF(ISNUMBER('Dvd Calendar'!$O$1399)=FALSE,"",'Dvd Calendar'!$O$1399))</f>
        <v/>
      </c>
      <c r="BB141" s="110">
        <f>IF(GD141="","",IF(ISNUMBER('Dvd Calendar'!$P$1399)=FALSE,"",'Dvd Calendar'!$P$1399))</f>
        <v/>
      </c>
      <c r="BC141" s="110">
        <f>IF(GE141="","",IF(ISNUMBER('Dvd Calendar'!$Q$1399)=FALSE,"",'Dvd Calendar'!$Q$1399))</f>
        <v/>
      </c>
      <c r="BD141" s="110">
        <f>IF(GF141="","",IF(ISNUMBER('Dvd Calendar'!$R$1399)=FALSE,"",'Dvd Calendar'!$R$1399))</f>
        <v/>
      </c>
      <c r="BE141" s="110">
        <f>IF(GG141="","",IF(ISNUMBER('Dvd Calendar'!$S$1399)=FALSE,"",'Dvd Calendar'!$S$1399))</f>
        <v/>
      </c>
      <c r="BF141" s="110">
        <f>IF(GH141="","",IF(ISNUMBER('Dvd Calendar'!$T$1399)=FALSE,"",'Dvd Calendar'!$T$1399))</f>
        <v/>
      </c>
      <c r="BG141" s="110">
        <f>IF(GI141="","",IF(ISNUMBER('Dvd Calendar'!$U$1399)=FALSE,"",'Dvd Calendar'!$U$1399))</f>
        <v/>
      </c>
      <c r="BH141" s="110">
        <f>IF(GJ141="","",IF(ISNUMBER('Dvd Calendar'!$V$1399)=FALSE,"",'Dvd Calendar'!$V$1399))</f>
        <v/>
      </c>
      <c r="BI141" s="110">
        <f>IF(GK141="","",IF(ISNUMBER('Dvd Calendar'!$W$1399)=FALSE,"",'Dvd Calendar'!$W$1399))</f>
        <v/>
      </c>
      <c r="BJ141" s="110">
        <f>IF(GL141="","",IF(ISNUMBER('Dvd Calendar'!$X$1399)=FALSE,"",'Dvd Calendar'!$X$1399))</f>
        <v/>
      </c>
      <c r="BK141" s="110">
        <f>IF(GM141="","",IF(ISNUMBER('Dvd Calendar'!$Y$1399)=FALSE,"",'Dvd Calendar'!$Y$1399))</f>
        <v/>
      </c>
      <c r="BL141" s="110">
        <f>IF(GN141="","",IF(ISNUMBER('Dvd Calendar'!$Z$1399)=FALSE,"",'Dvd Calendar'!$Z$1399))</f>
        <v/>
      </c>
      <c r="BM141" s="110">
        <f>IF(GO141="","",IF(ISNUMBER('Dvd Calendar'!$AA$1399)=FALSE,"",'Dvd Calendar'!$AA$1399))</f>
        <v/>
      </c>
      <c r="BN141" s="110">
        <f>IF(GP141="","",IF(ISNUMBER('Dvd Calendar'!$AB$1399)=FALSE,"",'Dvd Calendar'!$AB$1399))</f>
        <v/>
      </c>
      <c r="BO141" s="110">
        <f>IF(GQ141="","",IF(ISNUMBER('Dvd Calendar'!$AC$1399)=FALSE,"",'Dvd Calendar'!$AC$1399))</f>
        <v/>
      </c>
      <c r="BQ141" s="110">
        <f>IF(C141="","",IFERROR(C141*HSTECH!$B$32*HSTECH!$G$32/HSTECH!$B$3,""))</f>
        <v/>
      </c>
      <c r="BR141" s="110">
        <f>IF(D141="","",IFERROR(D141*HSTECH!$B$32*HSTECH!$G$32/HSTECH!$B$3,""))</f>
        <v/>
      </c>
      <c r="BS141" s="110">
        <f>IF(E141="","",IFERROR(E141*HSTECH!$B$32*HSTECH!$G$32/HSTECH!$B$3,""))</f>
        <v/>
      </c>
      <c r="BT141" s="110">
        <f>IF(F141="","",IFERROR(F141*HSTECH!$B$32*HSTECH!$G$32/HSTECH!$B$3,""))</f>
        <v/>
      </c>
      <c r="BU141" s="110">
        <f>IF(G141="","",IFERROR(G141*HSTECH!$B$32*HSTECH!$G$32/HSTECH!$B$3,""))</f>
        <v/>
      </c>
      <c r="BV141" s="110">
        <f>IF(H141="","",IFERROR(H141*HSTECH!$B$32*HSTECH!$G$32/HSTECH!$B$3,""))</f>
        <v/>
      </c>
      <c r="BW141" s="110">
        <f>IF(I141="","",IFERROR(I141*HSTECH!$B$32*HSTECH!$G$32/HSTECH!$B$3,""))</f>
        <v/>
      </c>
      <c r="BX141" s="110">
        <f>IF(J141="","",IFERROR(J141*HSTECH!$B$32*HSTECH!$G$32/HSTECH!$B$3,""))</f>
        <v/>
      </c>
      <c r="BY141" s="110">
        <f>IF(K141="","",IFERROR(K141*HSTECH!$B$32*HSTECH!$G$32/HSTECH!$B$3,""))</f>
        <v/>
      </c>
      <c r="BZ141" s="110">
        <f>IF(L141="","",IFERROR(L141*HSTECH!$B$32*HSTECH!$G$32/HSTECH!$B$3,""))</f>
        <v/>
      </c>
      <c r="CA141" s="110">
        <f>IF(M141="","",IFERROR(M141*HSTECH!$B$32*HSTECH!$G$32/HSTECH!$B$3,""))</f>
        <v/>
      </c>
      <c r="CB141" s="110">
        <f>IF(N141="","",IFERROR(N141*HSTECH!$B$32*HSTECH!$G$32/HSTECH!$B$3,""))</f>
        <v/>
      </c>
      <c r="CC141" s="110">
        <f>IF(O141="","",IFERROR(O141*HSTECH!$B$32*HSTECH!$G$32/HSTECH!$B$3,""))</f>
        <v/>
      </c>
      <c r="CD141" s="110">
        <f>IF(P141="","",IFERROR(P141*HSTECH!$B$32*HSTECH!$G$32/HSTECH!$B$3,""))</f>
        <v/>
      </c>
      <c r="CE141" s="110">
        <f>IF(Q141="","",IFERROR(Q141*HSTECH!$B$32*HSTECH!$G$32/HSTECH!$B$3,""))</f>
        <v/>
      </c>
      <c r="CF141" s="110">
        <f>IF(R141="","",IFERROR(R141*HSTECH!$B$32*HSTECH!$G$32/HSTECH!$B$3,""))</f>
        <v/>
      </c>
      <c r="CG141" s="110">
        <f>IF(S141="","",IFERROR(S141*HSTECH!$B$32*HSTECH!$G$32/HSTECH!$B$3,""))</f>
        <v/>
      </c>
      <c r="CH141" s="110">
        <f>IF(T141="","",IFERROR(T141*HSTECH!$B$32*HSTECH!$G$32/HSTECH!$B$3,""))</f>
        <v/>
      </c>
      <c r="CI141" s="110">
        <f>IF(U141="","",IFERROR(U141*HSTECH!$B$32*HSTECH!$G$32/HSTECH!$B$3,""))</f>
        <v/>
      </c>
      <c r="CJ141" s="110">
        <f>IF(V141="","",IFERROR(V141*HSTECH!$B$32*HSTECH!$G$32/HSTECH!$B$3,""))</f>
        <v/>
      </c>
      <c r="CK141" s="110">
        <f>IF(W141="","",IFERROR(W141*HSTECH!$B$32*HSTECH!$G$32/HSTECH!$B$3,""))</f>
        <v/>
      </c>
      <c r="CL141" s="110">
        <f>IF(X141="","",IFERROR(X141*HSTECH!$B$32*HSTECH!$G$32/HSTECH!$B$3,""))</f>
        <v/>
      </c>
      <c r="CM141" s="110">
        <f>IF(Y141="","",IFERROR(Y141*HSTECH!$B$32*HSTECH!$G$32/HSTECH!$B$3,""))</f>
        <v/>
      </c>
      <c r="CN141" s="110">
        <f>IF(Z141="","",IFERROR(Z141*HSTECH!$B$32*HSTECH!$G$32/HSTECH!$B$3,""))</f>
        <v/>
      </c>
      <c r="CO141" s="110">
        <f>IF(AA141="","",IFERROR(AA141*HSTECH!$B$32*HSTECH!$G$32/HSTECH!$B$3,""))</f>
        <v/>
      </c>
      <c r="CP141" s="110">
        <f>IF(AB141="","",IFERROR(AB141*HSTECH!$B$32*HSTECH!$G$32/HSTECH!$B$3,""))</f>
        <v/>
      </c>
      <c r="CQ141" s="110">
        <f>IF(AC141="","",IFERROR(AC141*HSTECH!$B$32*HSTECH!$G$32/HSTECH!$B$3,""))</f>
        <v/>
      </c>
      <c r="CR141" s="110">
        <f>IF(AD141="","",IFERROR(AD141*HSTECH!$B$32*HSTECH!$G$32/HSTECH!$B$3,""))</f>
        <v/>
      </c>
      <c r="CS141" s="110">
        <f>IF(AE141="","",IFERROR(AE141*HSTECH!$B$32*HSTECH!$G$32/HSTECH!$B$3,""))</f>
        <v/>
      </c>
      <c r="CT141" s="110">
        <f>IF(AF141="","",IFERROR(AF141*HSTECH!$B$32*HSTECH!$G$32/HSTECH!$B$3,""))</f>
        <v/>
      </c>
      <c r="CU141" s="110">
        <f>IF(AG141="","",IFERROR(AG141*HSTECH!$B$32*HSTECH!$G$32/HSTECH!$B$3,""))</f>
        <v/>
      </c>
      <c r="CV141" s="110">
        <f>IF(AH141="","",IFERROR(AH141*HSTECH!$B$32*HSTECH!$G$32/HSTECH!$B$3,""))</f>
        <v/>
      </c>
      <c r="CW141" s="110">
        <f>IF(AI141="","",IFERROR(AI141*HSTECH!$B$32*HSTECH!$G$32/HSTECH!$B$3,""))</f>
        <v/>
      </c>
      <c r="CX141" s="110">
        <f>IF(AJ141="","",IFERROR(AJ141*HSTECH!$B$32*HSTECH!$G$32/HSTECH!$B$3,""))</f>
        <v/>
      </c>
      <c r="CY141" s="110">
        <f>IF(AK141="","",IFERROR(AK141*HSTECH!$B$32*HSTECH!$G$32/HSTECH!$B$3,""))</f>
        <v/>
      </c>
      <c r="CZ141" s="110">
        <f>IF(AL141="","",IFERROR(AL141*HSTECH!$B$32*HSTECH!$G$32/HSTECH!$B$3,""))</f>
        <v/>
      </c>
      <c r="DA141" s="110">
        <f>IF(AM141="","",IFERROR(AM141*HSTECH!$B$32*HSTECH!$G$32/HSTECH!$B$3,""))</f>
        <v/>
      </c>
      <c r="DB141" s="110">
        <f>IF(AN141="","",IFERROR(AN141*HSTECH!$B$32*HSTECH!$G$32/HSTECH!$B$3,""))</f>
        <v/>
      </c>
      <c r="DC141" s="110">
        <f>IF(AO141="","",IFERROR(AO141*HSTECH!$B$32*HSTECH!$G$32/HSTECH!$B$3,""))</f>
        <v/>
      </c>
      <c r="DD141" s="110">
        <f>IF(AP141="","",IFERROR(AP141*HSTECH!$B$32*HSTECH!$G$32/HSTECH!$B$3,""))</f>
        <v/>
      </c>
      <c r="DE141" s="110">
        <f>IF(AQ141="","",IFERROR(AQ141*HSTECH!$B$32*HSTECH!$G$32/HSTECH!$B$3,""))</f>
        <v/>
      </c>
      <c r="DF141" s="110">
        <f>IF(AR141="","",IFERROR(AR141*HSTECH!$B$32*HSTECH!$G$32/HSTECH!$B$3,""))</f>
        <v/>
      </c>
      <c r="DG141" s="110">
        <f>IF(AS141="","",IFERROR(AS141*HSTECH!$B$32*HSTECH!$G$32/HSTECH!$B$3,""))</f>
        <v/>
      </c>
      <c r="DH141" s="110">
        <f>IF(AT141="","",IFERROR(AT141*HSTECH!$B$32*HSTECH!$G$32/HSTECH!$B$3,""))</f>
        <v/>
      </c>
      <c r="DI141" s="110">
        <f>IF(AU141="","",IFERROR(AU141*HSTECH!$B$32*HSTECH!$G$32/HSTECH!$B$3,""))</f>
        <v/>
      </c>
      <c r="DJ141" s="110">
        <f>IF(AV141="","",IFERROR(AV141*HSTECH!$B$32*HSTECH!$G$32/HSTECH!$B$3,""))</f>
        <v/>
      </c>
      <c r="DK141" s="110">
        <f>IF(AW141="","",IFERROR(AW141*HSTECH!$B$32*HSTECH!$G$32/HSTECH!$B$3,""))</f>
        <v/>
      </c>
      <c r="DL141" s="110">
        <f>IF(AX141="","",IFERROR(AX141*HSTECH!$B$32*HSTECH!$G$32/HSTECH!$B$3,""))</f>
        <v/>
      </c>
      <c r="DM141" s="110">
        <f>IF(AY141="","",IFERROR(AY141*HSTECH!$B$32*HSTECH!$G$32/HSTECH!$B$3,""))</f>
        <v/>
      </c>
      <c r="DN141" s="110">
        <f>IF(AZ141="","",IFERROR(AZ141*HSTECH!$B$32*HSTECH!$G$32/HSTECH!$B$3,""))</f>
        <v/>
      </c>
      <c r="DO141" s="110">
        <f>IF(BA141="","",IFERROR(BA141*HSTECH!$B$32*HSTECH!$G$32/HSTECH!$B$3,""))</f>
        <v/>
      </c>
      <c r="DP141" s="110">
        <f>IF(BB141="","",IFERROR(BB141*HSTECH!$B$32*HSTECH!$G$32/HSTECH!$B$3,""))</f>
        <v/>
      </c>
      <c r="DQ141" s="110">
        <f>IF(BC141="","",IFERROR(BC141*HSTECH!$B$32*HSTECH!$G$32/HSTECH!$B$3,""))</f>
        <v/>
      </c>
      <c r="DR141" s="110">
        <f>IF(BD141="","",IFERROR(BD141*HSTECH!$B$32*HSTECH!$G$32/HSTECH!$B$3,""))</f>
        <v/>
      </c>
      <c r="DS141" s="110">
        <f>IF(BE141="","",IFERROR(BE141*HSTECH!$B$32*HSTECH!$G$32/HSTECH!$B$3,""))</f>
        <v/>
      </c>
      <c r="DT141" s="110">
        <f>IF(BF141="","",IFERROR(BF141*HSTECH!$B$32*HSTECH!$G$32/HSTECH!$B$3,""))</f>
        <v/>
      </c>
      <c r="DU141" s="110">
        <f>IF(BG141="","",IFERROR(BG141*HSTECH!$B$32*HSTECH!$G$32/HSTECH!$B$3,""))</f>
        <v/>
      </c>
      <c r="DV141" s="110">
        <f>IF(BH141="","",IFERROR(BH141*HSTECH!$B$32*HSTECH!$G$32/HSTECH!$B$3,""))</f>
        <v/>
      </c>
      <c r="DW141" s="110">
        <f>IF(BI141="","",IFERROR(BI141*HSTECH!$B$32*HSTECH!$G$32/HSTECH!$B$3,""))</f>
        <v/>
      </c>
      <c r="DX141" s="110">
        <f>IF(BJ141="","",IFERROR(BJ141*HSTECH!$B$32*HSTECH!$G$32/HSTECH!$B$3,""))</f>
        <v/>
      </c>
      <c r="DY141" s="110">
        <f>IF(BK141="","",IFERROR(BK141*HSTECH!$B$32*HSTECH!$G$32/HSTECH!$B$3,""))</f>
        <v/>
      </c>
      <c r="DZ141" s="110">
        <f>IF(BL141="","",IFERROR(BL141*HSTECH!$B$32*HSTECH!$G$32/HSTECH!$B$3,""))</f>
        <v/>
      </c>
      <c r="EA141" s="110">
        <f>IF(BM141="","",IFERROR(BM141*HSTECH!$B$32*HSTECH!$G$32/HSTECH!$B$3,""))</f>
        <v/>
      </c>
      <c r="EB141" s="110">
        <f>IF(BN141="","",IFERROR(BN141*HSTECH!$B$32*HSTECH!$G$32/HSTECH!$B$3,""))</f>
        <v/>
      </c>
      <c r="EC141" s="110">
        <f>IF(BO141="","",IFERROR(BO141*HSTECH!$B$32*HSTECH!$G$32/HSTECH!$B$3,""))</f>
        <v/>
      </c>
      <c r="EE141" s="39">
        <f>IF(N('Dvd Calendar'!$E$1391)=0,"",IF(('Dvd Calendar'!$E$1391&gt;=GRID_FROM)*('Dvd Calendar'!$E$1391&lt;=GRID_TO)*((('Dvd Calendar'!$E$1391&lt;=VAL_DATE)+(COUNTIF('Dvd Calendar'!$E$1398:$AR$1398,'Dvd Calendar'!$E$1391)=0))&gt;0)=0,"",'Dvd Calendar'!$E$1391*1000000000+ISNUMBER('Dvd Calendar'!$E$1394)*100000000+('Dvd Calendar'!$E$1396=SPECIAL_LBL)*10000000+(N('Dvd Calendar'!$E$1390)&gt;0)*(N('Dvd Calendar'!$E$1390)&lt;=VAL_SERIAL)*1000000+26*1000+1))</f>
        <v/>
      </c>
      <c r="EF141" s="39">
        <f>IF(N('Dvd Calendar'!$F$1391)=0,"",IF(('Dvd Calendar'!$F$1391&gt;=GRID_FROM)*('Dvd Calendar'!$F$1391&lt;=GRID_TO)*((('Dvd Calendar'!$F$1391&lt;=VAL_DATE)+(COUNTIF('Dvd Calendar'!$E$1398:$AR$1398,'Dvd Calendar'!$F$1391)=0))&gt;0)=0,"",'Dvd Calendar'!$F$1391*1000000000+ISNUMBER('Dvd Calendar'!$F$1394)*100000000+('Dvd Calendar'!$F$1396=SPECIAL_LBL)*10000000+(N('Dvd Calendar'!$F$1390)&gt;0)*(N('Dvd Calendar'!$F$1390)&lt;=VAL_SERIAL)*1000000+26*1000+2))</f>
        <v/>
      </c>
      <c r="EG141" s="39">
        <f>IF(N('Dvd Calendar'!$G$1391)=0,"",IF(('Dvd Calendar'!$G$1391&gt;=GRID_FROM)*('Dvd Calendar'!$G$1391&lt;=GRID_TO)*((('Dvd Calendar'!$G$1391&lt;=VAL_DATE)+(COUNTIF('Dvd Calendar'!$E$1398:$AR$1398,'Dvd Calendar'!$G$1391)=0))&gt;0)=0,"",'Dvd Calendar'!$G$1391*1000000000+ISNUMBER('Dvd Calendar'!$G$1394)*100000000+('Dvd Calendar'!$G$1396=SPECIAL_LBL)*10000000+(N('Dvd Calendar'!$G$1390)&gt;0)*(N('Dvd Calendar'!$G$1390)&lt;=VAL_SERIAL)*1000000+26*1000+3))</f>
        <v/>
      </c>
      <c r="EH141" s="39">
        <f>IF(N('Dvd Calendar'!$H$1391)=0,"",IF(('Dvd Calendar'!$H$1391&gt;=GRID_FROM)*('Dvd Calendar'!$H$1391&lt;=GRID_TO)*((('Dvd Calendar'!$H$1391&lt;=VAL_DATE)+(COUNTIF('Dvd Calendar'!$E$1398:$AR$1398,'Dvd Calendar'!$H$1391)=0))&gt;0)=0,"",'Dvd Calendar'!$H$1391*1000000000+ISNUMBER('Dvd Calendar'!$H$1394)*100000000+('Dvd Calendar'!$H$1396=SPECIAL_LBL)*10000000+(N('Dvd Calendar'!$H$1390)&gt;0)*(N('Dvd Calendar'!$H$1390)&lt;=VAL_SERIAL)*1000000+26*1000+4))</f>
        <v/>
      </c>
      <c r="EI141" s="39">
        <f>IF(N('Dvd Calendar'!$I$1391)=0,"",IF(('Dvd Calendar'!$I$1391&gt;=GRID_FROM)*('Dvd Calendar'!$I$1391&lt;=GRID_TO)*((('Dvd Calendar'!$I$1391&lt;=VAL_DATE)+(COUNTIF('Dvd Calendar'!$E$1398:$AR$1398,'Dvd Calendar'!$I$1391)=0))&gt;0)=0,"",'Dvd Calendar'!$I$1391*1000000000+ISNUMBER('Dvd Calendar'!$I$1394)*100000000+('Dvd Calendar'!$I$1396=SPECIAL_LBL)*10000000+(N('Dvd Calendar'!$I$1390)&gt;0)*(N('Dvd Calendar'!$I$1390)&lt;=VAL_SERIAL)*1000000+26*1000+5))</f>
        <v/>
      </c>
      <c r="EJ141" s="39">
        <f>IF(N('Dvd Calendar'!$J$1391)=0,"",IF(('Dvd Calendar'!$J$1391&gt;=GRID_FROM)*('Dvd Calendar'!$J$1391&lt;=GRID_TO)*((('Dvd Calendar'!$J$1391&lt;=VAL_DATE)+(COUNTIF('Dvd Calendar'!$E$1398:$AR$1398,'Dvd Calendar'!$J$1391)=0))&gt;0)=0,"",'Dvd Calendar'!$J$1391*1000000000+ISNUMBER('Dvd Calendar'!$J$1394)*100000000+('Dvd Calendar'!$J$1396=SPECIAL_LBL)*10000000+(N('Dvd Calendar'!$J$1390)&gt;0)*(N('Dvd Calendar'!$J$1390)&lt;=VAL_SERIAL)*1000000+26*1000+6))</f>
        <v/>
      </c>
      <c r="EK141" s="39">
        <f>IF(N('Dvd Calendar'!$K$1391)=0,"",IF(('Dvd Calendar'!$K$1391&gt;=GRID_FROM)*('Dvd Calendar'!$K$1391&lt;=GRID_TO)*((('Dvd Calendar'!$K$1391&lt;=VAL_DATE)+(COUNTIF('Dvd Calendar'!$E$1398:$AR$1398,'Dvd Calendar'!$K$1391)=0))&gt;0)=0,"",'Dvd Calendar'!$K$1391*1000000000+ISNUMBER('Dvd Calendar'!$K$1394)*100000000+('Dvd Calendar'!$K$1396=SPECIAL_LBL)*10000000+(N('Dvd Calendar'!$K$1390)&gt;0)*(N('Dvd Calendar'!$K$1390)&lt;=VAL_SERIAL)*1000000+26*1000+7))</f>
        <v/>
      </c>
      <c r="EL141" s="39">
        <f>IF(N('Dvd Calendar'!$L$1391)=0,"",IF(('Dvd Calendar'!$L$1391&gt;=GRID_FROM)*('Dvd Calendar'!$L$1391&lt;=GRID_TO)*((('Dvd Calendar'!$L$1391&lt;=VAL_DATE)+(COUNTIF('Dvd Calendar'!$E$1398:$AR$1398,'Dvd Calendar'!$L$1391)=0))&gt;0)=0,"",'Dvd Calendar'!$L$1391*1000000000+ISNUMBER('Dvd Calendar'!$L$1394)*100000000+('Dvd Calendar'!$L$1396=SPECIAL_LBL)*10000000+(N('Dvd Calendar'!$L$1390)&gt;0)*(N('Dvd Calendar'!$L$1390)&lt;=VAL_SERIAL)*1000000+26*1000+8))</f>
        <v/>
      </c>
      <c r="EM141" s="39">
        <f>IF(N('Dvd Calendar'!$M$1391)=0,"",IF(('Dvd Calendar'!$M$1391&gt;=GRID_FROM)*('Dvd Calendar'!$M$1391&lt;=GRID_TO)*((('Dvd Calendar'!$M$1391&lt;=VAL_DATE)+(COUNTIF('Dvd Calendar'!$E$1398:$AR$1398,'Dvd Calendar'!$M$1391)=0))&gt;0)=0,"",'Dvd Calendar'!$M$1391*1000000000+ISNUMBER('Dvd Calendar'!$M$1394)*100000000+('Dvd Calendar'!$M$1396=SPECIAL_LBL)*10000000+(N('Dvd Calendar'!$M$1390)&gt;0)*(N('Dvd Calendar'!$M$1390)&lt;=VAL_SERIAL)*1000000+26*1000+9))</f>
        <v/>
      </c>
      <c r="EN141" s="39">
        <f>IF(N('Dvd Calendar'!$N$1391)=0,"",IF(('Dvd Calendar'!$N$1391&gt;=GRID_FROM)*('Dvd Calendar'!$N$1391&lt;=GRID_TO)*((('Dvd Calendar'!$N$1391&lt;=VAL_DATE)+(COUNTIF('Dvd Calendar'!$E$1398:$AR$1398,'Dvd Calendar'!$N$1391)=0))&gt;0)=0,"",'Dvd Calendar'!$N$1391*1000000000+ISNUMBER('Dvd Calendar'!$N$1394)*100000000+('Dvd Calendar'!$N$1396=SPECIAL_LBL)*10000000+(N('Dvd Calendar'!$N$1390)&gt;0)*(N('Dvd Calendar'!$N$1390)&lt;=VAL_SERIAL)*1000000+26*1000+10))</f>
        <v/>
      </c>
      <c r="EO141" s="39">
        <f>IF(N('Dvd Calendar'!$O$1391)=0,"",IF(('Dvd Calendar'!$O$1391&gt;=GRID_FROM)*('Dvd Calendar'!$O$1391&lt;=GRID_TO)*((('Dvd Calendar'!$O$1391&lt;=VAL_DATE)+(COUNTIF('Dvd Calendar'!$E$1398:$AR$1398,'Dvd Calendar'!$O$1391)=0))&gt;0)=0,"",'Dvd Calendar'!$O$1391*1000000000+ISNUMBER('Dvd Calendar'!$O$1394)*100000000+('Dvd Calendar'!$O$1396=SPECIAL_LBL)*10000000+(N('Dvd Calendar'!$O$1390)&gt;0)*(N('Dvd Calendar'!$O$1390)&lt;=VAL_SERIAL)*1000000+26*1000+11))</f>
        <v/>
      </c>
      <c r="EP141" s="39">
        <f>IF(N('Dvd Calendar'!$P$1391)=0,"",IF(('Dvd Calendar'!$P$1391&gt;=GRID_FROM)*('Dvd Calendar'!$P$1391&lt;=GRID_TO)*((('Dvd Calendar'!$P$1391&lt;=VAL_DATE)+(COUNTIF('Dvd Calendar'!$E$1398:$AR$1398,'Dvd Calendar'!$P$1391)=0))&gt;0)=0,"",'Dvd Calendar'!$P$1391*1000000000+ISNUMBER('Dvd Calendar'!$P$1394)*100000000+('Dvd Calendar'!$P$1396=SPECIAL_LBL)*10000000+(N('Dvd Calendar'!$P$1390)&gt;0)*(N('Dvd Calendar'!$P$1390)&lt;=VAL_SERIAL)*1000000+26*1000+12))</f>
        <v/>
      </c>
      <c r="EQ141" s="39">
        <f>IF(N('Dvd Calendar'!$Q$1391)=0,"",IF(('Dvd Calendar'!$Q$1391&gt;=GRID_FROM)*('Dvd Calendar'!$Q$1391&lt;=GRID_TO)*((('Dvd Calendar'!$Q$1391&lt;=VAL_DATE)+(COUNTIF('Dvd Calendar'!$E$1398:$AR$1398,'Dvd Calendar'!$Q$1391)=0))&gt;0)=0,"",'Dvd Calendar'!$Q$1391*1000000000+ISNUMBER('Dvd Calendar'!$Q$1394)*100000000+('Dvd Calendar'!$Q$1396=SPECIAL_LBL)*10000000+(N('Dvd Calendar'!$Q$1390)&gt;0)*(N('Dvd Calendar'!$Q$1390)&lt;=VAL_SERIAL)*1000000+26*1000+13))</f>
        <v/>
      </c>
      <c r="ER141" s="39">
        <f>IF(N('Dvd Calendar'!$R$1391)=0,"",IF(('Dvd Calendar'!$R$1391&gt;=GRID_FROM)*('Dvd Calendar'!$R$1391&lt;=GRID_TO)*((('Dvd Calendar'!$R$1391&lt;=VAL_DATE)+(COUNTIF('Dvd Calendar'!$E$1398:$AR$1398,'Dvd Calendar'!$R$1391)=0))&gt;0)=0,"",'Dvd Calendar'!$R$1391*1000000000+ISNUMBER('Dvd Calendar'!$R$1394)*100000000+('Dvd Calendar'!$R$1396=SPECIAL_LBL)*10000000+(N('Dvd Calendar'!$R$1390)&gt;0)*(N('Dvd Calendar'!$R$1390)&lt;=VAL_SERIAL)*1000000+26*1000+14))</f>
        <v/>
      </c>
      <c r="ES141" s="39">
        <f>IF(N('Dvd Calendar'!$S$1391)=0,"",IF(('Dvd Calendar'!$S$1391&gt;=GRID_FROM)*('Dvd Calendar'!$S$1391&lt;=GRID_TO)*((('Dvd Calendar'!$S$1391&lt;=VAL_DATE)+(COUNTIF('Dvd Calendar'!$E$1398:$AR$1398,'Dvd Calendar'!$S$1391)=0))&gt;0)=0,"",'Dvd Calendar'!$S$1391*1000000000+ISNUMBER('Dvd Calendar'!$S$1394)*100000000+('Dvd Calendar'!$S$1396=SPECIAL_LBL)*10000000+(N('Dvd Calendar'!$S$1390)&gt;0)*(N('Dvd Calendar'!$S$1390)&lt;=VAL_SERIAL)*1000000+26*1000+15))</f>
        <v/>
      </c>
      <c r="ET141" s="39">
        <f>IF(N('Dvd Calendar'!$T$1391)=0,"",IF(('Dvd Calendar'!$T$1391&gt;=GRID_FROM)*('Dvd Calendar'!$T$1391&lt;=GRID_TO)*((('Dvd Calendar'!$T$1391&lt;=VAL_DATE)+(COUNTIF('Dvd Calendar'!$E$1398:$AR$1398,'Dvd Calendar'!$T$1391)=0))&gt;0)=0,"",'Dvd Calendar'!$T$1391*1000000000+ISNUMBER('Dvd Calendar'!$T$1394)*100000000+('Dvd Calendar'!$T$1396=SPECIAL_LBL)*10000000+(N('Dvd Calendar'!$T$1390)&gt;0)*(N('Dvd Calendar'!$T$1390)&lt;=VAL_SERIAL)*1000000+26*1000+16))</f>
        <v/>
      </c>
      <c r="EU141" s="39">
        <f>IF(N('Dvd Calendar'!$U$1391)=0,"",IF(('Dvd Calendar'!$U$1391&gt;=GRID_FROM)*('Dvd Calendar'!$U$1391&lt;=GRID_TO)*((('Dvd Calendar'!$U$1391&lt;=VAL_DATE)+(COUNTIF('Dvd Calendar'!$E$1398:$AR$1398,'Dvd Calendar'!$U$1391)=0))&gt;0)=0,"",'Dvd Calendar'!$U$1391*1000000000+ISNUMBER('Dvd Calendar'!$U$1394)*100000000+('Dvd Calendar'!$U$1396=SPECIAL_LBL)*10000000+(N('Dvd Calendar'!$U$1390)&gt;0)*(N('Dvd Calendar'!$U$1390)&lt;=VAL_SERIAL)*1000000+26*1000+17))</f>
        <v/>
      </c>
      <c r="EV141" s="39">
        <f>IF(N('Dvd Calendar'!$V$1391)=0,"",IF(('Dvd Calendar'!$V$1391&gt;=GRID_FROM)*('Dvd Calendar'!$V$1391&lt;=GRID_TO)*((('Dvd Calendar'!$V$1391&lt;=VAL_DATE)+(COUNTIF('Dvd Calendar'!$E$1398:$AR$1398,'Dvd Calendar'!$V$1391)=0))&gt;0)=0,"",'Dvd Calendar'!$V$1391*1000000000+ISNUMBER('Dvd Calendar'!$V$1394)*100000000+('Dvd Calendar'!$V$1396=SPECIAL_LBL)*10000000+(N('Dvd Calendar'!$V$1390)&gt;0)*(N('Dvd Calendar'!$V$1390)&lt;=VAL_SERIAL)*1000000+26*1000+18))</f>
        <v/>
      </c>
      <c r="EW141" s="39">
        <f>IF(N('Dvd Calendar'!$W$1391)=0,"",IF(('Dvd Calendar'!$W$1391&gt;=GRID_FROM)*('Dvd Calendar'!$W$1391&lt;=GRID_TO)*((('Dvd Calendar'!$W$1391&lt;=VAL_DATE)+(COUNTIF('Dvd Calendar'!$E$1398:$AR$1398,'Dvd Calendar'!$W$1391)=0))&gt;0)=0,"",'Dvd Calendar'!$W$1391*1000000000+ISNUMBER('Dvd Calendar'!$W$1394)*100000000+('Dvd Calendar'!$W$1396=SPECIAL_LBL)*10000000+(N('Dvd Calendar'!$W$1390)&gt;0)*(N('Dvd Calendar'!$W$1390)&lt;=VAL_SERIAL)*1000000+26*1000+19))</f>
        <v/>
      </c>
      <c r="EX141" s="39">
        <f>IF(N('Dvd Calendar'!$X$1391)=0,"",IF(('Dvd Calendar'!$X$1391&gt;=GRID_FROM)*('Dvd Calendar'!$X$1391&lt;=GRID_TO)*((('Dvd Calendar'!$X$1391&lt;=VAL_DATE)+(COUNTIF('Dvd Calendar'!$E$1398:$AR$1398,'Dvd Calendar'!$X$1391)=0))&gt;0)=0,"",'Dvd Calendar'!$X$1391*1000000000+ISNUMBER('Dvd Calendar'!$X$1394)*100000000+('Dvd Calendar'!$X$1396=SPECIAL_LBL)*10000000+(N('Dvd Calendar'!$X$1390)&gt;0)*(N('Dvd Calendar'!$X$1390)&lt;=VAL_SERIAL)*1000000+26*1000+20))</f>
        <v/>
      </c>
      <c r="EY141" s="39">
        <f>IF(N('Dvd Calendar'!$Y$1391)=0,"",IF(('Dvd Calendar'!$Y$1391&gt;=GRID_FROM)*('Dvd Calendar'!$Y$1391&lt;=GRID_TO)*((('Dvd Calendar'!$Y$1391&lt;=VAL_DATE)+(COUNTIF('Dvd Calendar'!$E$1398:$AR$1398,'Dvd Calendar'!$Y$1391)=0))&gt;0)=0,"",'Dvd Calendar'!$Y$1391*1000000000+ISNUMBER('Dvd Calendar'!$Y$1394)*100000000+('Dvd Calendar'!$Y$1396=SPECIAL_LBL)*10000000+(N('Dvd Calendar'!$Y$1390)&gt;0)*(N('Dvd Calendar'!$Y$1390)&lt;=VAL_SERIAL)*1000000+26*1000+21))</f>
        <v/>
      </c>
      <c r="EZ141" s="39">
        <f>IF(N('Dvd Calendar'!$Z$1391)=0,"",IF(('Dvd Calendar'!$Z$1391&gt;=GRID_FROM)*('Dvd Calendar'!$Z$1391&lt;=GRID_TO)*((('Dvd Calendar'!$Z$1391&lt;=VAL_DATE)+(COUNTIF('Dvd Calendar'!$E$1398:$AR$1398,'Dvd Calendar'!$Z$1391)=0))&gt;0)=0,"",'Dvd Calendar'!$Z$1391*1000000000+ISNUMBER('Dvd Calendar'!$Z$1394)*100000000+('Dvd Calendar'!$Z$1396=SPECIAL_LBL)*10000000+(N('Dvd Calendar'!$Z$1390)&gt;0)*(N('Dvd Calendar'!$Z$1390)&lt;=VAL_SERIAL)*1000000+26*1000+22))</f>
        <v/>
      </c>
      <c r="FA141" s="39">
        <f>IF(N('Dvd Calendar'!$AA$1391)=0,"",IF(('Dvd Calendar'!$AA$1391&gt;=GRID_FROM)*('Dvd Calendar'!$AA$1391&lt;=GRID_TO)*((('Dvd Calendar'!$AA$1391&lt;=VAL_DATE)+(COUNTIF('Dvd Calendar'!$E$1398:$AR$1398,'Dvd Calendar'!$AA$1391)=0))&gt;0)=0,"",'Dvd Calendar'!$AA$1391*1000000000+ISNUMBER('Dvd Calendar'!$AA$1394)*100000000+('Dvd Calendar'!$AA$1396=SPECIAL_LBL)*10000000+(N('Dvd Calendar'!$AA$1390)&gt;0)*(N('Dvd Calendar'!$AA$1390)&lt;=VAL_SERIAL)*1000000+26*1000+23))</f>
        <v/>
      </c>
      <c r="FB141" s="39">
        <f>IF(N('Dvd Calendar'!$AB$1391)=0,"",IF(('Dvd Calendar'!$AB$1391&gt;=GRID_FROM)*('Dvd Calendar'!$AB$1391&lt;=GRID_TO)*((('Dvd Calendar'!$AB$1391&lt;=VAL_DATE)+(COUNTIF('Dvd Calendar'!$E$1398:$AR$1398,'Dvd Calendar'!$AB$1391)=0))&gt;0)=0,"",'Dvd Calendar'!$AB$1391*1000000000+ISNUMBER('Dvd Calendar'!$AB$1394)*100000000+('Dvd Calendar'!$AB$1396=SPECIAL_LBL)*10000000+(N('Dvd Calendar'!$AB$1390)&gt;0)*(N('Dvd Calendar'!$AB$1390)&lt;=VAL_SERIAL)*1000000+26*1000+24))</f>
        <v/>
      </c>
      <c r="FC141" s="39">
        <f>IF(N('Dvd Calendar'!$AC$1391)=0,"",IF(('Dvd Calendar'!$AC$1391&gt;=GRID_FROM)*('Dvd Calendar'!$AC$1391&lt;=GRID_TO)*((('Dvd Calendar'!$AC$1391&lt;=VAL_DATE)+(COUNTIF('Dvd Calendar'!$E$1398:$AR$1398,'Dvd Calendar'!$AC$1391)=0))&gt;0)=0,"",'Dvd Calendar'!$AC$1391*1000000000+ISNUMBER('Dvd Calendar'!$AC$1394)*100000000+('Dvd Calendar'!$AC$1396=SPECIAL_LBL)*10000000+(N('Dvd Calendar'!$AC$1390)&gt;0)*(N('Dvd Calendar'!$AC$1390)&lt;=VAL_SERIAL)*1000000+26*1000+25))</f>
        <v/>
      </c>
      <c r="FD141" s="39">
        <f>IF(N('Dvd Calendar'!$AD$1391)=0,"",IF(('Dvd Calendar'!$AD$1391&gt;=GRID_FROM)*('Dvd Calendar'!$AD$1391&lt;=GRID_TO)*((('Dvd Calendar'!$AD$1391&lt;=VAL_DATE)+(COUNTIF('Dvd Calendar'!$E$1398:$AR$1398,'Dvd Calendar'!$AD$1391)=0))&gt;0)=0,"",'Dvd Calendar'!$AD$1391*1000000000+ISNUMBER('Dvd Calendar'!$AD$1394)*100000000+('Dvd Calendar'!$AD$1396=SPECIAL_LBL)*10000000+(N('Dvd Calendar'!$AD$1390)&gt;0)*(N('Dvd Calendar'!$AD$1390)&lt;=VAL_SERIAL)*1000000+26*1000+26))</f>
        <v/>
      </c>
      <c r="FE141" s="39">
        <f>IF(N('Dvd Calendar'!$AE$1391)=0,"",IF(('Dvd Calendar'!$AE$1391&gt;=GRID_FROM)*('Dvd Calendar'!$AE$1391&lt;=GRID_TO)*((('Dvd Calendar'!$AE$1391&lt;=VAL_DATE)+(COUNTIF('Dvd Calendar'!$E$1398:$AR$1398,'Dvd Calendar'!$AE$1391)=0))&gt;0)=0,"",'Dvd Calendar'!$AE$1391*1000000000+ISNUMBER('Dvd Calendar'!$AE$1394)*100000000+('Dvd Calendar'!$AE$1396=SPECIAL_LBL)*10000000+(N('Dvd Calendar'!$AE$1390)&gt;0)*(N('Dvd Calendar'!$AE$1390)&lt;=VAL_SERIAL)*1000000+26*1000+27))</f>
        <v/>
      </c>
      <c r="FF141" s="39">
        <f>IF(N('Dvd Calendar'!$AF$1391)=0,"",IF(('Dvd Calendar'!$AF$1391&gt;=GRID_FROM)*('Dvd Calendar'!$AF$1391&lt;=GRID_TO)*((('Dvd Calendar'!$AF$1391&lt;=VAL_DATE)+(COUNTIF('Dvd Calendar'!$E$1398:$AR$1398,'Dvd Calendar'!$AF$1391)=0))&gt;0)=0,"",'Dvd Calendar'!$AF$1391*1000000000+ISNUMBER('Dvd Calendar'!$AF$1394)*100000000+('Dvd Calendar'!$AF$1396=SPECIAL_LBL)*10000000+(N('Dvd Calendar'!$AF$1390)&gt;0)*(N('Dvd Calendar'!$AF$1390)&lt;=VAL_SERIAL)*1000000+26*1000+28))</f>
        <v/>
      </c>
      <c r="FG141" s="39">
        <f>IF(N('Dvd Calendar'!$AG$1391)=0,"",IF(('Dvd Calendar'!$AG$1391&gt;=GRID_FROM)*('Dvd Calendar'!$AG$1391&lt;=GRID_TO)*((('Dvd Calendar'!$AG$1391&lt;=VAL_DATE)+(COUNTIF('Dvd Calendar'!$E$1398:$AR$1398,'Dvd Calendar'!$AG$1391)=0))&gt;0)=0,"",'Dvd Calendar'!$AG$1391*1000000000+ISNUMBER('Dvd Calendar'!$AG$1394)*100000000+('Dvd Calendar'!$AG$1396=SPECIAL_LBL)*10000000+(N('Dvd Calendar'!$AG$1390)&gt;0)*(N('Dvd Calendar'!$AG$1390)&lt;=VAL_SERIAL)*1000000+26*1000+29))</f>
        <v/>
      </c>
      <c r="FH141" s="39">
        <f>IF(N('Dvd Calendar'!$AH$1391)=0,"",IF(('Dvd Calendar'!$AH$1391&gt;=GRID_FROM)*('Dvd Calendar'!$AH$1391&lt;=GRID_TO)*((('Dvd Calendar'!$AH$1391&lt;=VAL_DATE)+(COUNTIF('Dvd Calendar'!$E$1398:$AR$1398,'Dvd Calendar'!$AH$1391)=0))&gt;0)=0,"",'Dvd Calendar'!$AH$1391*1000000000+ISNUMBER('Dvd Calendar'!$AH$1394)*100000000+('Dvd Calendar'!$AH$1396=SPECIAL_LBL)*10000000+(N('Dvd Calendar'!$AH$1390)&gt;0)*(N('Dvd Calendar'!$AH$1390)&lt;=VAL_SERIAL)*1000000+26*1000+30))</f>
        <v/>
      </c>
      <c r="FI141" s="39">
        <f>IF(N('Dvd Calendar'!$AI$1391)=0,"",IF(('Dvd Calendar'!$AI$1391&gt;=GRID_FROM)*('Dvd Calendar'!$AI$1391&lt;=GRID_TO)*((('Dvd Calendar'!$AI$1391&lt;=VAL_DATE)+(COUNTIF('Dvd Calendar'!$E$1398:$AR$1398,'Dvd Calendar'!$AI$1391)=0))&gt;0)=0,"",'Dvd Calendar'!$AI$1391*1000000000+ISNUMBER('Dvd Calendar'!$AI$1394)*100000000+('Dvd Calendar'!$AI$1396=SPECIAL_LBL)*10000000+(N('Dvd Calendar'!$AI$1390)&gt;0)*(N('Dvd Calendar'!$AI$1390)&lt;=VAL_SERIAL)*1000000+26*1000+31))</f>
        <v/>
      </c>
      <c r="FJ141" s="39">
        <f>IF(N('Dvd Calendar'!$AJ$1391)=0,"",IF(('Dvd Calendar'!$AJ$1391&gt;=GRID_FROM)*('Dvd Calendar'!$AJ$1391&lt;=GRID_TO)*((('Dvd Calendar'!$AJ$1391&lt;=VAL_DATE)+(COUNTIF('Dvd Calendar'!$E$1398:$AR$1398,'Dvd Calendar'!$AJ$1391)=0))&gt;0)=0,"",'Dvd Calendar'!$AJ$1391*1000000000+ISNUMBER('Dvd Calendar'!$AJ$1394)*100000000+('Dvd Calendar'!$AJ$1396=SPECIAL_LBL)*10000000+(N('Dvd Calendar'!$AJ$1390)&gt;0)*(N('Dvd Calendar'!$AJ$1390)&lt;=VAL_SERIAL)*1000000+26*1000+32))</f>
        <v/>
      </c>
      <c r="FK141" s="39">
        <f>IF(N('Dvd Calendar'!$AK$1391)=0,"",IF(('Dvd Calendar'!$AK$1391&gt;=GRID_FROM)*('Dvd Calendar'!$AK$1391&lt;=GRID_TO)*((('Dvd Calendar'!$AK$1391&lt;=VAL_DATE)+(COUNTIF('Dvd Calendar'!$E$1398:$AR$1398,'Dvd Calendar'!$AK$1391)=0))&gt;0)=0,"",'Dvd Calendar'!$AK$1391*1000000000+ISNUMBER('Dvd Calendar'!$AK$1394)*100000000+('Dvd Calendar'!$AK$1396=SPECIAL_LBL)*10000000+(N('Dvd Calendar'!$AK$1390)&gt;0)*(N('Dvd Calendar'!$AK$1390)&lt;=VAL_SERIAL)*1000000+26*1000+33))</f>
        <v/>
      </c>
      <c r="FL141" s="39">
        <f>IF(N('Dvd Calendar'!$AL$1391)=0,"",IF(('Dvd Calendar'!$AL$1391&gt;=GRID_FROM)*('Dvd Calendar'!$AL$1391&lt;=GRID_TO)*((('Dvd Calendar'!$AL$1391&lt;=VAL_DATE)+(COUNTIF('Dvd Calendar'!$E$1398:$AR$1398,'Dvd Calendar'!$AL$1391)=0))&gt;0)=0,"",'Dvd Calendar'!$AL$1391*1000000000+ISNUMBER('Dvd Calendar'!$AL$1394)*100000000+('Dvd Calendar'!$AL$1396=SPECIAL_LBL)*10000000+(N('Dvd Calendar'!$AL$1390)&gt;0)*(N('Dvd Calendar'!$AL$1390)&lt;=VAL_SERIAL)*1000000+26*1000+34))</f>
        <v/>
      </c>
      <c r="FM141" s="39">
        <f>IF(N('Dvd Calendar'!$AM$1391)=0,"",IF(('Dvd Calendar'!$AM$1391&gt;=GRID_FROM)*('Dvd Calendar'!$AM$1391&lt;=GRID_TO)*((('Dvd Calendar'!$AM$1391&lt;=VAL_DATE)+(COUNTIF('Dvd Calendar'!$E$1398:$AR$1398,'Dvd Calendar'!$AM$1391)=0))&gt;0)=0,"",'Dvd Calendar'!$AM$1391*1000000000+ISNUMBER('Dvd Calendar'!$AM$1394)*100000000+('Dvd Calendar'!$AM$1396=SPECIAL_LBL)*10000000+(N('Dvd Calendar'!$AM$1390)&gt;0)*(N('Dvd Calendar'!$AM$1390)&lt;=VAL_SERIAL)*1000000+26*1000+35))</f>
        <v/>
      </c>
      <c r="FN141" s="39">
        <f>IF(N('Dvd Calendar'!$AN$1391)=0,"",IF(('Dvd Calendar'!$AN$1391&gt;=GRID_FROM)*('Dvd Calendar'!$AN$1391&lt;=GRID_TO)*((('Dvd Calendar'!$AN$1391&lt;=VAL_DATE)+(COUNTIF('Dvd Calendar'!$E$1398:$AR$1398,'Dvd Calendar'!$AN$1391)=0))&gt;0)=0,"",'Dvd Calendar'!$AN$1391*1000000000+ISNUMBER('Dvd Calendar'!$AN$1394)*100000000+('Dvd Calendar'!$AN$1396=SPECIAL_LBL)*10000000+(N('Dvd Calendar'!$AN$1390)&gt;0)*(N('Dvd Calendar'!$AN$1390)&lt;=VAL_SERIAL)*1000000+26*1000+36))</f>
        <v/>
      </c>
      <c r="FO141" s="39">
        <f>IF(N('Dvd Calendar'!$AO$1391)=0,"",IF(('Dvd Calendar'!$AO$1391&gt;=GRID_FROM)*('Dvd Calendar'!$AO$1391&lt;=GRID_TO)*((('Dvd Calendar'!$AO$1391&lt;=VAL_DATE)+(COUNTIF('Dvd Calendar'!$E$1398:$AR$1398,'Dvd Calendar'!$AO$1391)=0))&gt;0)=0,"",'Dvd Calendar'!$AO$1391*1000000000+ISNUMBER('Dvd Calendar'!$AO$1394)*100000000+('Dvd Calendar'!$AO$1396=SPECIAL_LBL)*10000000+(N('Dvd Calendar'!$AO$1390)&gt;0)*(N('Dvd Calendar'!$AO$1390)&lt;=VAL_SERIAL)*1000000+26*1000+37))</f>
        <v/>
      </c>
      <c r="FP141" s="39">
        <f>IF(N('Dvd Calendar'!$AP$1391)=0,"",IF(('Dvd Calendar'!$AP$1391&gt;=GRID_FROM)*('Dvd Calendar'!$AP$1391&lt;=GRID_TO)*((('Dvd Calendar'!$AP$1391&lt;=VAL_DATE)+(COUNTIF('Dvd Calendar'!$E$1398:$AR$1398,'Dvd Calendar'!$AP$1391)=0))&gt;0)=0,"",'Dvd Calendar'!$AP$1391*1000000000+ISNUMBER('Dvd Calendar'!$AP$1394)*100000000+('Dvd Calendar'!$AP$1396=SPECIAL_LBL)*10000000+(N('Dvd Calendar'!$AP$1390)&gt;0)*(N('Dvd Calendar'!$AP$1390)&lt;=VAL_SERIAL)*1000000+26*1000+38))</f>
        <v/>
      </c>
      <c r="FQ141" s="39">
        <f>IF(N('Dvd Calendar'!$AQ$1391)=0,"",IF(('Dvd Calendar'!$AQ$1391&gt;=GRID_FROM)*('Dvd Calendar'!$AQ$1391&lt;=GRID_TO)*((('Dvd Calendar'!$AQ$1391&lt;=VAL_DATE)+(COUNTIF('Dvd Calendar'!$E$1398:$AR$1398,'Dvd Calendar'!$AQ$1391)=0))&gt;0)=0,"",'Dvd Calendar'!$AQ$1391*1000000000+ISNUMBER('Dvd Calendar'!$AQ$1394)*100000000+('Dvd Calendar'!$AQ$1396=SPECIAL_LBL)*10000000+(N('Dvd Calendar'!$AQ$1390)&gt;0)*(N('Dvd Calendar'!$AQ$1390)&lt;=VAL_SERIAL)*1000000+26*1000+39))</f>
        <v/>
      </c>
      <c r="FR141" s="39">
        <f>IF(N('Dvd Calendar'!$AR$1391)=0,"",IF(('Dvd Calendar'!$AR$1391&gt;=GRID_FROM)*('Dvd Calendar'!$AR$1391&lt;=GRID_TO)*((('Dvd Calendar'!$AR$1391&lt;=VAL_DATE)+(COUNTIF('Dvd Calendar'!$E$1398:$AR$1398,'Dvd Calendar'!$AR$1391)=0))&gt;0)=0,"",'Dvd Calendar'!$AR$1391*1000000000+ISNUMBER('Dvd Calendar'!$AR$1394)*100000000+('Dvd Calendar'!$AR$1396=SPECIAL_LBL)*10000000+(N('Dvd Calendar'!$AR$1390)&gt;0)*(N('Dvd Calendar'!$AR$1390)&lt;=VAL_SERIAL)*1000000+26*1000+40))</f>
        <v/>
      </c>
      <c r="FS141" s="39">
        <f>IF(N('Dvd Calendar'!$E$1398)=0,"",IF(('Dvd Calendar'!$E$1398&gt;=GRID_FROM)*('Dvd Calendar'!$E$1398&lt;=GRID_TO)*('Dvd Calendar'!$E$1398&gt;VAL_DATE)=0,"",'Dvd Calendar'!$E$1398*1000000000+ISNUMBER('Dvd Calendar'!$E$1399)*100000000+0*10000000+(N('Dvd Calendar'!$E$1397)&gt;0)*(N('Dvd Calendar'!$E$1397)&lt;=VAL_SERIAL)*1000000+26*1000+41))</f>
        <v/>
      </c>
      <c r="FT141" s="39">
        <f>IF(N('Dvd Calendar'!$F$1398)=0,"",IF(('Dvd Calendar'!$F$1398&gt;=GRID_FROM)*('Dvd Calendar'!$F$1398&lt;=GRID_TO)*('Dvd Calendar'!$F$1398&gt;VAL_DATE)=0,"",'Dvd Calendar'!$F$1398*1000000000+ISNUMBER('Dvd Calendar'!$F$1399)*100000000+0*10000000+(N('Dvd Calendar'!$F$1397)&gt;0)*(N('Dvd Calendar'!$F$1397)&lt;=VAL_SERIAL)*1000000+26*1000+42))</f>
        <v/>
      </c>
      <c r="FU141" s="39">
        <f>IF(N('Dvd Calendar'!$G$1398)=0,"",IF(('Dvd Calendar'!$G$1398&gt;=GRID_FROM)*('Dvd Calendar'!$G$1398&lt;=GRID_TO)*('Dvd Calendar'!$G$1398&gt;VAL_DATE)=0,"",'Dvd Calendar'!$G$1398*1000000000+ISNUMBER('Dvd Calendar'!$G$1399)*100000000+0*10000000+(N('Dvd Calendar'!$G$1397)&gt;0)*(N('Dvd Calendar'!$G$1397)&lt;=VAL_SERIAL)*1000000+26*1000+43))</f>
        <v/>
      </c>
      <c r="FV141" s="39">
        <f>IF(N('Dvd Calendar'!$H$1398)=0,"",IF(('Dvd Calendar'!$H$1398&gt;=GRID_FROM)*('Dvd Calendar'!$H$1398&lt;=GRID_TO)*('Dvd Calendar'!$H$1398&gt;VAL_DATE)=0,"",'Dvd Calendar'!$H$1398*1000000000+ISNUMBER('Dvd Calendar'!$H$1399)*100000000+0*10000000+(N('Dvd Calendar'!$H$1397)&gt;0)*(N('Dvd Calendar'!$H$1397)&lt;=VAL_SERIAL)*1000000+26*1000+44))</f>
        <v/>
      </c>
      <c r="FW141" s="39">
        <f>IF(N('Dvd Calendar'!$I$1398)=0,"",IF(('Dvd Calendar'!$I$1398&gt;=GRID_FROM)*('Dvd Calendar'!$I$1398&lt;=GRID_TO)*('Dvd Calendar'!$I$1398&gt;VAL_DATE)=0,"",'Dvd Calendar'!$I$1398*1000000000+ISNUMBER('Dvd Calendar'!$I$1399)*100000000+0*10000000+(N('Dvd Calendar'!$I$1397)&gt;0)*(N('Dvd Calendar'!$I$1397)&lt;=VAL_SERIAL)*1000000+26*1000+45))</f>
        <v/>
      </c>
      <c r="FX141" s="39">
        <f>IF(N('Dvd Calendar'!$J$1398)=0,"",IF(('Dvd Calendar'!$J$1398&gt;=GRID_FROM)*('Dvd Calendar'!$J$1398&lt;=GRID_TO)*('Dvd Calendar'!$J$1398&gt;VAL_DATE)=0,"",'Dvd Calendar'!$J$1398*1000000000+ISNUMBER('Dvd Calendar'!$J$1399)*100000000+0*10000000+(N('Dvd Calendar'!$J$1397)&gt;0)*(N('Dvd Calendar'!$J$1397)&lt;=VAL_SERIAL)*1000000+26*1000+46))</f>
        <v/>
      </c>
      <c r="FY141" s="39">
        <f>IF(N('Dvd Calendar'!$K$1398)=0,"",IF(('Dvd Calendar'!$K$1398&gt;=GRID_FROM)*('Dvd Calendar'!$K$1398&lt;=GRID_TO)*('Dvd Calendar'!$K$1398&gt;VAL_DATE)=0,"",'Dvd Calendar'!$K$1398*1000000000+ISNUMBER('Dvd Calendar'!$K$1399)*100000000+0*10000000+(N('Dvd Calendar'!$K$1397)&gt;0)*(N('Dvd Calendar'!$K$1397)&lt;=VAL_SERIAL)*1000000+26*1000+47))</f>
        <v/>
      </c>
      <c r="FZ141" s="39">
        <f>IF(N('Dvd Calendar'!$L$1398)=0,"",IF(('Dvd Calendar'!$L$1398&gt;=GRID_FROM)*('Dvd Calendar'!$L$1398&lt;=GRID_TO)*('Dvd Calendar'!$L$1398&gt;VAL_DATE)=0,"",'Dvd Calendar'!$L$1398*1000000000+ISNUMBER('Dvd Calendar'!$L$1399)*100000000+0*10000000+(N('Dvd Calendar'!$L$1397)&gt;0)*(N('Dvd Calendar'!$L$1397)&lt;=VAL_SERIAL)*1000000+26*1000+48))</f>
        <v/>
      </c>
      <c r="GA141" s="39">
        <f>IF(N('Dvd Calendar'!$M$1398)=0,"",IF(('Dvd Calendar'!$M$1398&gt;=GRID_FROM)*('Dvd Calendar'!$M$1398&lt;=GRID_TO)*('Dvd Calendar'!$M$1398&gt;VAL_DATE)=0,"",'Dvd Calendar'!$M$1398*1000000000+ISNUMBER('Dvd Calendar'!$M$1399)*100000000+0*10000000+(N('Dvd Calendar'!$M$1397)&gt;0)*(N('Dvd Calendar'!$M$1397)&lt;=VAL_SERIAL)*1000000+26*1000+49))</f>
        <v/>
      </c>
      <c r="GB141" s="39">
        <f>IF(N('Dvd Calendar'!$N$1398)=0,"",IF(('Dvd Calendar'!$N$1398&gt;=GRID_FROM)*('Dvd Calendar'!$N$1398&lt;=GRID_TO)*('Dvd Calendar'!$N$1398&gt;VAL_DATE)=0,"",'Dvd Calendar'!$N$1398*1000000000+ISNUMBER('Dvd Calendar'!$N$1399)*100000000+0*10000000+(N('Dvd Calendar'!$N$1397)&gt;0)*(N('Dvd Calendar'!$N$1397)&lt;=VAL_SERIAL)*1000000+26*1000+50))</f>
        <v/>
      </c>
      <c r="GC141" s="39">
        <f>IF(N('Dvd Calendar'!$O$1398)=0,"",IF(('Dvd Calendar'!$O$1398&gt;=GRID_FROM)*('Dvd Calendar'!$O$1398&lt;=GRID_TO)*('Dvd Calendar'!$O$1398&gt;VAL_DATE)=0,"",'Dvd Calendar'!$O$1398*1000000000+ISNUMBER('Dvd Calendar'!$O$1399)*100000000+0*10000000+(N('Dvd Calendar'!$O$1397)&gt;0)*(N('Dvd Calendar'!$O$1397)&lt;=VAL_SERIAL)*1000000+26*1000+51))</f>
        <v/>
      </c>
      <c r="GD141" s="39">
        <f>IF(N('Dvd Calendar'!$P$1398)=0,"",IF(('Dvd Calendar'!$P$1398&gt;=GRID_FROM)*('Dvd Calendar'!$P$1398&lt;=GRID_TO)*('Dvd Calendar'!$P$1398&gt;VAL_DATE)=0,"",'Dvd Calendar'!$P$1398*1000000000+ISNUMBER('Dvd Calendar'!$P$1399)*100000000+0*10000000+(N('Dvd Calendar'!$P$1397)&gt;0)*(N('Dvd Calendar'!$P$1397)&lt;=VAL_SERIAL)*1000000+26*1000+52))</f>
        <v/>
      </c>
      <c r="GE141" s="39">
        <f>IF(N('Dvd Calendar'!$Q$1398)=0,"",IF(('Dvd Calendar'!$Q$1398&gt;=GRID_FROM)*('Dvd Calendar'!$Q$1398&lt;=GRID_TO)*('Dvd Calendar'!$Q$1398&gt;VAL_DATE)=0,"",'Dvd Calendar'!$Q$1398*1000000000+ISNUMBER('Dvd Calendar'!$Q$1399)*100000000+0*10000000+(N('Dvd Calendar'!$Q$1397)&gt;0)*(N('Dvd Calendar'!$Q$1397)&lt;=VAL_SERIAL)*1000000+26*1000+53))</f>
        <v/>
      </c>
      <c r="GF141" s="39">
        <f>IF(N('Dvd Calendar'!$R$1398)=0,"",IF(('Dvd Calendar'!$R$1398&gt;=GRID_FROM)*('Dvd Calendar'!$R$1398&lt;=GRID_TO)*('Dvd Calendar'!$R$1398&gt;VAL_DATE)=0,"",'Dvd Calendar'!$R$1398*1000000000+ISNUMBER('Dvd Calendar'!$R$1399)*100000000+0*10000000+(N('Dvd Calendar'!$R$1397)&gt;0)*(N('Dvd Calendar'!$R$1397)&lt;=VAL_SERIAL)*1000000+26*1000+54))</f>
        <v/>
      </c>
      <c r="GG141" s="39">
        <f>IF(N('Dvd Calendar'!$S$1398)=0,"",IF(('Dvd Calendar'!$S$1398&gt;=GRID_FROM)*('Dvd Calendar'!$S$1398&lt;=GRID_TO)*('Dvd Calendar'!$S$1398&gt;VAL_DATE)=0,"",'Dvd Calendar'!$S$1398*1000000000+ISNUMBER('Dvd Calendar'!$S$1399)*100000000+0*10000000+(N('Dvd Calendar'!$S$1397)&gt;0)*(N('Dvd Calendar'!$S$1397)&lt;=VAL_SERIAL)*1000000+26*1000+55))</f>
        <v/>
      </c>
      <c r="GH141" s="39">
        <f>IF(N('Dvd Calendar'!$T$1398)=0,"",IF(('Dvd Calendar'!$T$1398&gt;=GRID_FROM)*('Dvd Calendar'!$T$1398&lt;=GRID_TO)*('Dvd Calendar'!$T$1398&gt;VAL_DATE)=0,"",'Dvd Calendar'!$T$1398*1000000000+ISNUMBER('Dvd Calendar'!$T$1399)*100000000+0*10000000+(N('Dvd Calendar'!$T$1397)&gt;0)*(N('Dvd Calendar'!$T$1397)&lt;=VAL_SERIAL)*1000000+26*1000+56))</f>
        <v/>
      </c>
      <c r="GI141" s="39">
        <f>IF(N('Dvd Calendar'!$U$1398)=0,"",IF(('Dvd Calendar'!$U$1398&gt;=GRID_FROM)*('Dvd Calendar'!$U$1398&lt;=GRID_TO)*('Dvd Calendar'!$U$1398&gt;VAL_DATE)=0,"",'Dvd Calendar'!$U$1398*1000000000+ISNUMBER('Dvd Calendar'!$U$1399)*100000000+0*10000000+(N('Dvd Calendar'!$U$1397)&gt;0)*(N('Dvd Calendar'!$U$1397)&lt;=VAL_SERIAL)*1000000+26*1000+57))</f>
        <v/>
      </c>
      <c r="GJ141" s="39">
        <f>IF(N('Dvd Calendar'!$V$1398)=0,"",IF(('Dvd Calendar'!$V$1398&gt;=GRID_FROM)*('Dvd Calendar'!$V$1398&lt;=GRID_TO)*('Dvd Calendar'!$V$1398&gt;VAL_DATE)=0,"",'Dvd Calendar'!$V$1398*1000000000+ISNUMBER('Dvd Calendar'!$V$1399)*100000000+0*10000000+(N('Dvd Calendar'!$V$1397)&gt;0)*(N('Dvd Calendar'!$V$1397)&lt;=VAL_SERIAL)*1000000+26*1000+58))</f>
        <v/>
      </c>
      <c r="GK141" s="39">
        <f>IF(N('Dvd Calendar'!$W$1398)=0,"",IF(('Dvd Calendar'!$W$1398&gt;=GRID_FROM)*('Dvd Calendar'!$W$1398&lt;=GRID_TO)*('Dvd Calendar'!$W$1398&gt;VAL_DATE)=0,"",'Dvd Calendar'!$W$1398*1000000000+ISNUMBER('Dvd Calendar'!$W$1399)*100000000+0*10000000+(N('Dvd Calendar'!$W$1397)&gt;0)*(N('Dvd Calendar'!$W$1397)&lt;=VAL_SERIAL)*1000000+26*1000+59))</f>
        <v/>
      </c>
      <c r="GL141" s="39">
        <f>IF(N('Dvd Calendar'!$X$1398)=0,"",IF(('Dvd Calendar'!$X$1398&gt;=GRID_FROM)*('Dvd Calendar'!$X$1398&lt;=GRID_TO)*('Dvd Calendar'!$X$1398&gt;VAL_DATE)=0,"",'Dvd Calendar'!$X$1398*1000000000+ISNUMBER('Dvd Calendar'!$X$1399)*100000000+0*10000000+(N('Dvd Calendar'!$X$1397)&gt;0)*(N('Dvd Calendar'!$X$1397)&lt;=VAL_SERIAL)*1000000+26*1000+60))</f>
        <v/>
      </c>
      <c r="GM141" s="39">
        <f>IF(N('Dvd Calendar'!$Y$1398)=0,"",IF(('Dvd Calendar'!$Y$1398&gt;=GRID_FROM)*('Dvd Calendar'!$Y$1398&lt;=GRID_TO)*('Dvd Calendar'!$Y$1398&gt;VAL_DATE)=0,"",'Dvd Calendar'!$Y$1398*1000000000+ISNUMBER('Dvd Calendar'!$Y$1399)*100000000+0*10000000+(N('Dvd Calendar'!$Y$1397)&gt;0)*(N('Dvd Calendar'!$Y$1397)&lt;=VAL_SERIAL)*1000000+26*1000+61))</f>
        <v/>
      </c>
      <c r="GN141" s="39">
        <f>IF(N('Dvd Calendar'!$Z$1398)=0,"",IF(('Dvd Calendar'!$Z$1398&gt;=GRID_FROM)*('Dvd Calendar'!$Z$1398&lt;=GRID_TO)*('Dvd Calendar'!$Z$1398&gt;VAL_DATE)=0,"",'Dvd Calendar'!$Z$1398*1000000000+ISNUMBER('Dvd Calendar'!$Z$1399)*100000000+0*10000000+(N('Dvd Calendar'!$Z$1397)&gt;0)*(N('Dvd Calendar'!$Z$1397)&lt;=VAL_SERIAL)*1000000+26*1000+62))</f>
        <v/>
      </c>
      <c r="GO141" s="39">
        <f>IF(N('Dvd Calendar'!$AA$1398)=0,"",IF(('Dvd Calendar'!$AA$1398&gt;=GRID_FROM)*('Dvd Calendar'!$AA$1398&lt;=GRID_TO)*('Dvd Calendar'!$AA$1398&gt;VAL_DATE)=0,"",'Dvd Calendar'!$AA$1398*1000000000+ISNUMBER('Dvd Calendar'!$AA$1399)*100000000+0*10000000+(N('Dvd Calendar'!$AA$1397)&gt;0)*(N('Dvd Calendar'!$AA$1397)&lt;=VAL_SERIAL)*1000000+26*1000+63))</f>
        <v/>
      </c>
      <c r="GP141" s="39">
        <f>IF(N('Dvd Calendar'!$AB$1398)=0,"",IF(('Dvd Calendar'!$AB$1398&gt;=GRID_FROM)*('Dvd Calendar'!$AB$1398&lt;=GRID_TO)*('Dvd Calendar'!$AB$1398&gt;VAL_DATE)=0,"",'Dvd Calendar'!$AB$1398*1000000000+ISNUMBER('Dvd Calendar'!$AB$1399)*100000000+0*10000000+(N('Dvd Calendar'!$AB$1397)&gt;0)*(N('Dvd Calendar'!$AB$1397)&lt;=VAL_SERIAL)*1000000+26*1000+64))</f>
        <v/>
      </c>
      <c r="GQ141" s="39">
        <f>IF(N('Dvd Calendar'!$AC$1398)=0,"",IF(('Dvd Calendar'!$AC$1398&gt;=GRID_FROM)*('Dvd Calendar'!$AC$1398&lt;=GRID_TO)*('Dvd Calendar'!$AC$1398&gt;VAL_DATE)=0,"",'Dvd Calendar'!$AC$1398*1000000000+ISNUMBER('Dvd Calendar'!$AC$1399)*100000000+0*10000000+(N('Dvd Calendar'!$AC$1397)&gt;0)*(N('Dvd Calendar'!$AC$1397)&lt;=VAL_SERIAL)*1000000+26*1000+65))</f>
        <v/>
      </c>
    </row>
    <row r="142">
      <c r="B142" s="2">
        <f>IF(HSTECH!$C$33="","",HSTECH!$C$33)</f>
        <v/>
      </c>
      <c r="C142" s="110">
        <f>IF(EE142="","",IF(ISNUMBER('Dvd Calendar'!$E$1405)=FALSE,"",IF((('Dvd Calendar'!$E$1407=TYPE1)*(TYPE1&lt;&gt;"")+('Dvd Calendar'!$E$1407=TYPE2)*(TYPE2&lt;&gt;"")+('Dvd Calendar'!$E$1407=TYPE3)*(TYPE3&lt;&gt;"")+('Dvd Calendar'!$E$1407=TYPE4)*(TYPE4&lt;&gt;"")+('Dvd Calendar'!$E$1407=SPECIAL_LBL)*(INC_SPECIALS="Y"))=0,"",'Dvd Calendar'!$E$1405)))</f>
        <v/>
      </c>
      <c r="D142" s="110">
        <f>IF(EF142="","",IF(ISNUMBER('Dvd Calendar'!$F$1405)=FALSE,"",IF((('Dvd Calendar'!$F$1407=TYPE1)*(TYPE1&lt;&gt;"")+('Dvd Calendar'!$F$1407=TYPE2)*(TYPE2&lt;&gt;"")+('Dvd Calendar'!$F$1407=TYPE3)*(TYPE3&lt;&gt;"")+('Dvd Calendar'!$F$1407=TYPE4)*(TYPE4&lt;&gt;"")+('Dvd Calendar'!$F$1407=SPECIAL_LBL)*(INC_SPECIALS="Y"))=0,"",'Dvd Calendar'!$F$1405)))</f>
        <v/>
      </c>
      <c r="E142" s="110">
        <f>IF(EG142="","",IF(ISNUMBER('Dvd Calendar'!$G$1405)=FALSE,"",IF((('Dvd Calendar'!$G$1407=TYPE1)*(TYPE1&lt;&gt;"")+('Dvd Calendar'!$G$1407=TYPE2)*(TYPE2&lt;&gt;"")+('Dvd Calendar'!$G$1407=TYPE3)*(TYPE3&lt;&gt;"")+('Dvd Calendar'!$G$1407=TYPE4)*(TYPE4&lt;&gt;"")+('Dvd Calendar'!$G$1407=SPECIAL_LBL)*(INC_SPECIALS="Y"))=0,"",'Dvd Calendar'!$G$1405)))</f>
        <v/>
      </c>
      <c r="F142" s="110">
        <f>IF(EH142="","",IF(ISNUMBER('Dvd Calendar'!$H$1405)=FALSE,"",IF((('Dvd Calendar'!$H$1407=TYPE1)*(TYPE1&lt;&gt;"")+('Dvd Calendar'!$H$1407=TYPE2)*(TYPE2&lt;&gt;"")+('Dvd Calendar'!$H$1407=TYPE3)*(TYPE3&lt;&gt;"")+('Dvd Calendar'!$H$1407=TYPE4)*(TYPE4&lt;&gt;"")+('Dvd Calendar'!$H$1407=SPECIAL_LBL)*(INC_SPECIALS="Y"))=0,"",'Dvd Calendar'!$H$1405)))</f>
        <v/>
      </c>
      <c r="G142" s="110">
        <f>IF(EI142="","",IF(ISNUMBER('Dvd Calendar'!$I$1405)=FALSE,"",IF((('Dvd Calendar'!$I$1407=TYPE1)*(TYPE1&lt;&gt;"")+('Dvd Calendar'!$I$1407=TYPE2)*(TYPE2&lt;&gt;"")+('Dvd Calendar'!$I$1407=TYPE3)*(TYPE3&lt;&gt;"")+('Dvd Calendar'!$I$1407=TYPE4)*(TYPE4&lt;&gt;"")+('Dvd Calendar'!$I$1407=SPECIAL_LBL)*(INC_SPECIALS="Y"))=0,"",'Dvd Calendar'!$I$1405)))</f>
        <v/>
      </c>
      <c r="H142" s="110">
        <f>IF(EJ142="","",IF(ISNUMBER('Dvd Calendar'!$J$1405)=FALSE,"",IF((('Dvd Calendar'!$J$1407=TYPE1)*(TYPE1&lt;&gt;"")+('Dvd Calendar'!$J$1407=TYPE2)*(TYPE2&lt;&gt;"")+('Dvd Calendar'!$J$1407=TYPE3)*(TYPE3&lt;&gt;"")+('Dvd Calendar'!$J$1407=TYPE4)*(TYPE4&lt;&gt;"")+('Dvd Calendar'!$J$1407=SPECIAL_LBL)*(INC_SPECIALS="Y"))=0,"",'Dvd Calendar'!$J$1405)))</f>
        <v/>
      </c>
      <c r="I142" s="110">
        <f>IF(EK142="","",IF(ISNUMBER('Dvd Calendar'!$K$1405)=FALSE,"",IF((('Dvd Calendar'!$K$1407=TYPE1)*(TYPE1&lt;&gt;"")+('Dvd Calendar'!$K$1407=TYPE2)*(TYPE2&lt;&gt;"")+('Dvd Calendar'!$K$1407=TYPE3)*(TYPE3&lt;&gt;"")+('Dvd Calendar'!$K$1407=TYPE4)*(TYPE4&lt;&gt;"")+('Dvd Calendar'!$K$1407=SPECIAL_LBL)*(INC_SPECIALS="Y"))=0,"",'Dvd Calendar'!$K$1405)))</f>
        <v/>
      </c>
      <c r="J142" s="110">
        <f>IF(EL142="","",IF(ISNUMBER('Dvd Calendar'!$L$1405)=FALSE,"",IF((('Dvd Calendar'!$L$1407=TYPE1)*(TYPE1&lt;&gt;"")+('Dvd Calendar'!$L$1407=TYPE2)*(TYPE2&lt;&gt;"")+('Dvd Calendar'!$L$1407=TYPE3)*(TYPE3&lt;&gt;"")+('Dvd Calendar'!$L$1407=TYPE4)*(TYPE4&lt;&gt;"")+('Dvd Calendar'!$L$1407=SPECIAL_LBL)*(INC_SPECIALS="Y"))=0,"",'Dvd Calendar'!$L$1405)))</f>
        <v/>
      </c>
      <c r="K142" s="110">
        <f>IF(EM142="","",IF(ISNUMBER('Dvd Calendar'!$M$1405)=FALSE,"",IF((('Dvd Calendar'!$M$1407=TYPE1)*(TYPE1&lt;&gt;"")+('Dvd Calendar'!$M$1407=TYPE2)*(TYPE2&lt;&gt;"")+('Dvd Calendar'!$M$1407=TYPE3)*(TYPE3&lt;&gt;"")+('Dvd Calendar'!$M$1407=TYPE4)*(TYPE4&lt;&gt;"")+('Dvd Calendar'!$M$1407=SPECIAL_LBL)*(INC_SPECIALS="Y"))=0,"",'Dvd Calendar'!$M$1405)))</f>
        <v/>
      </c>
      <c r="L142" s="110">
        <f>IF(EN142="","",IF(ISNUMBER('Dvd Calendar'!$N$1405)=FALSE,"",IF((('Dvd Calendar'!$N$1407=TYPE1)*(TYPE1&lt;&gt;"")+('Dvd Calendar'!$N$1407=TYPE2)*(TYPE2&lt;&gt;"")+('Dvd Calendar'!$N$1407=TYPE3)*(TYPE3&lt;&gt;"")+('Dvd Calendar'!$N$1407=TYPE4)*(TYPE4&lt;&gt;"")+('Dvd Calendar'!$N$1407=SPECIAL_LBL)*(INC_SPECIALS="Y"))=0,"",'Dvd Calendar'!$N$1405)))</f>
        <v/>
      </c>
      <c r="M142" s="110">
        <f>IF(EO142="","",IF(ISNUMBER('Dvd Calendar'!$O$1405)=FALSE,"",IF((('Dvd Calendar'!$O$1407=TYPE1)*(TYPE1&lt;&gt;"")+('Dvd Calendar'!$O$1407=TYPE2)*(TYPE2&lt;&gt;"")+('Dvd Calendar'!$O$1407=TYPE3)*(TYPE3&lt;&gt;"")+('Dvd Calendar'!$O$1407=TYPE4)*(TYPE4&lt;&gt;"")+('Dvd Calendar'!$O$1407=SPECIAL_LBL)*(INC_SPECIALS="Y"))=0,"",'Dvd Calendar'!$O$1405)))</f>
        <v/>
      </c>
      <c r="N142" s="110">
        <f>IF(EP142="","",IF(ISNUMBER('Dvd Calendar'!$P$1405)=FALSE,"",IF((('Dvd Calendar'!$P$1407=TYPE1)*(TYPE1&lt;&gt;"")+('Dvd Calendar'!$P$1407=TYPE2)*(TYPE2&lt;&gt;"")+('Dvd Calendar'!$P$1407=TYPE3)*(TYPE3&lt;&gt;"")+('Dvd Calendar'!$P$1407=TYPE4)*(TYPE4&lt;&gt;"")+('Dvd Calendar'!$P$1407=SPECIAL_LBL)*(INC_SPECIALS="Y"))=0,"",'Dvd Calendar'!$P$1405)))</f>
        <v/>
      </c>
      <c r="O142" s="110">
        <f>IF(EQ142="","",IF(ISNUMBER('Dvd Calendar'!$Q$1405)=FALSE,"",IF((('Dvd Calendar'!$Q$1407=TYPE1)*(TYPE1&lt;&gt;"")+('Dvd Calendar'!$Q$1407=TYPE2)*(TYPE2&lt;&gt;"")+('Dvd Calendar'!$Q$1407=TYPE3)*(TYPE3&lt;&gt;"")+('Dvd Calendar'!$Q$1407=TYPE4)*(TYPE4&lt;&gt;"")+('Dvd Calendar'!$Q$1407=SPECIAL_LBL)*(INC_SPECIALS="Y"))=0,"",'Dvd Calendar'!$Q$1405)))</f>
        <v/>
      </c>
      <c r="P142" s="110">
        <f>IF(ER142="","",IF(ISNUMBER('Dvd Calendar'!$R$1405)=FALSE,"",IF((('Dvd Calendar'!$R$1407=TYPE1)*(TYPE1&lt;&gt;"")+('Dvd Calendar'!$R$1407=TYPE2)*(TYPE2&lt;&gt;"")+('Dvd Calendar'!$R$1407=TYPE3)*(TYPE3&lt;&gt;"")+('Dvd Calendar'!$R$1407=TYPE4)*(TYPE4&lt;&gt;"")+('Dvd Calendar'!$R$1407=SPECIAL_LBL)*(INC_SPECIALS="Y"))=0,"",'Dvd Calendar'!$R$1405)))</f>
        <v/>
      </c>
      <c r="Q142" s="110">
        <f>IF(ES142="","",IF(ISNUMBER('Dvd Calendar'!$S$1405)=FALSE,"",IF((('Dvd Calendar'!$S$1407=TYPE1)*(TYPE1&lt;&gt;"")+('Dvd Calendar'!$S$1407=TYPE2)*(TYPE2&lt;&gt;"")+('Dvd Calendar'!$S$1407=TYPE3)*(TYPE3&lt;&gt;"")+('Dvd Calendar'!$S$1407=TYPE4)*(TYPE4&lt;&gt;"")+('Dvd Calendar'!$S$1407=SPECIAL_LBL)*(INC_SPECIALS="Y"))=0,"",'Dvd Calendar'!$S$1405)))</f>
        <v/>
      </c>
      <c r="R142" s="110">
        <f>IF(ET142="","",IF(ISNUMBER('Dvd Calendar'!$T$1405)=FALSE,"",IF((('Dvd Calendar'!$T$1407=TYPE1)*(TYPE1&lt;&gt;"")+('Dvd Calendar'!$T$1407=TYPE2)*(TYPE2&lt;&gt;"")+('Dvd Calendar'!$T$1407=TYPE3)*(TYPE3&lt;&gt;"")+('Dvd Calendar'!$T$1407=TYPE4)*(TYPE4&lt;&gt;"")+('Dvd Calendar'!$T$1407=SPECIAL_LBL)*(INC_SPECIALS="Y"))=0,"",'Dvd Calendar'!$T$1405)))</f>
        <v/>
      </c>
      <c r="S142" s="110">
        <f>IF(EU142="","",IF(ISNUMBER('Dvd Calendar'!$U$1405)=FALSE,"",IF((('Dvd Calendar'!$U$1407=TYPE1)*(TYPE1&lt;&gt;"")+('Dvd Calendar'!$U$1407=TYPE2)*(TYPE2&lt;&gt;"")+('Dvd Calendar'!$U$1407=TYPE3)*(TYPE3&lt;&gt;"")+('Dvd Calendar'!$U$1407=TYPE4)*(TYPE4&lt;&gt;"")+('Dvd Calendar'!$U$1407=SPECIAL_LBL)*(INC_SPECIALS="Y"))=0,"",'Dvd Calendar'!$U$1405)))</f>
        <v/>
      </c>
      <c r="T142" s="110">
        <f>IF(EV142="","",IF(ISNUMBER('Dvd Calendar'!$V$1405)=FALSE,"",IF((('Dvd Calendar'!$V$1407=TYPE1)*(TYPE1&lt;&gt;"")+('Dvd Calendar'!$V$1407=TYPE2)*(TYPE2&lt;&gt;"")+('Dvd Calendar'!$V$1407=TYPE3)*(TYPE3&lt;&gt;"")+('Dvd Calendar'!$V$1407=TYPE4)*(TYPE4&lt;&gt;"")+('Dvd Calendar'!$V$1407=SPECIAL_LBL)*(INC_SPECIALS="Y"))=0,"",'Dvd Calendar'!$V$1405)))</f>
        <v/>
      </c>
      <c r="U142" s="110">
        <f>IF(EW142="","",IF(ISNUMBER('Dvd Calendar'!$W$1405)=FALSE,"",IF((('Dvd Calendar'!$W$1407=TYPE1)*(TYPE1&lt;&gt;"")+('Dvd Calendar'!$W$1407=TYPE2)*(TYPE2&lt;&gt;"")+('Dvd Calendar'!$W$1407=TYPE3)*(TYPE3&lt;&gt;"")+('Dvd Calendar'!$W$1407=TYPE4)*(TYPE4&lt;&gt;"")+('Dvd Calendar'!$W$1407=SPECIAL_LBL)*(INC_SPECIALS="Y"))=0,"",'Dvd Calendar'!$W$1405)))</f>
        <v/>
      </c>
      <c r="V142" s="110">
        <f>IF(EX142="","",IF(ISNUMBER('Dvd Calendar'!$X$1405)=FALSE,"",IF((('Dvd Calendar'!$X$1407=TYPE1)*(TYPE1&lt;&gt;"")+('Dvd Calendar'!$X$1407=TYPE2)*(TYPE2&lt;&gt;"")+('Dvd Calendar'!$X$1407=TYPE3)*(TYPE3&lt;&gt;"")+('Dvd Calendar'!$X$1407=TYPE4)*(TYPE4&lt;&gt;"")+('Dvd Calendar'!$X$1407=SPECIAL_LBL)*(INC_SPECIALS="Y"))=0,"",'Dvd Calendar'!$X$1405)))</f>
        <v/>
      </c>
      <c r="W142" s="110">
        <f>IF(EY142="","",IF(ISNUMBER('Dvd Calendar'!$Y$1405)=FALSE,"",IF((('Dvd Calendar'!$Y$1407=TYPE1)*(TYPE1&lt;&gt;"")+('Dvd Calendar'!$Y$1407=TYPE2)*(TYPE2&lt;&gt;"")+('Dvd Calendar'!$Y$1407=TYPE3)*(TYPE3&lt;&gt;"")+('Dvd Calendar'!$Y$1407=TYPE4)*(TYPE4&lt;&gt;"")+('Dvd Calendar'!$Y$1407=SPECIAL_LBL)*(INC_SPECIALS="Y"))=0,"",'Dvd Calendar'!$Y$1405)))</f>
        <v/>
      </c>
      <c r="X142" s="110">
        <f>IF(EZ142="","",IF(ISNUMBER('Dvd Calendar'!$Z$1405)=FALSE,"",IF((('Dvd Calendar'!$Z$1407=TYPE1)*(TYPE1&lt;&gt;"")+('Dvd Calendar'!$Z$1407=TYPE2)*(TYPE2&lt;&gt;"")+('Dvd Calendar'!$Z$1407=TYPE3)*(TYPE3&lt;&gt;"")+('Dvd Calendar'!$Z$1407=TYPE4)*(TYPE4&lt;&gt;"")+('Dvd Calendar'!$Z$1407=SPECIAL_LBL)*(INC_SPECIALS="Y"))=0,"",'Dvd Calendar'!$Z$1405)))</f>
        <v/>
      </c>
      <c r="Y142" s="110">
        <f>IF(FA142="","",IF(ISNUMBER('Dvd Calendar'!$AA$1405)=FALSE,"",IF((('Dvd Calendar'!$AA$1407=TYPE1)*(TYPE1&lt;&gt;"")+('Dvd Calendar'!$AA$1407=TYPE2)*(TYPE2&lt;&gt;"")+('Dvd Calendar'!$AA$1407=TYPE3)*(TYPE3&lt;&gt;"")+('Dvd Calendar'!$AA$1407=TYPE4)*(TYPE4&lt;&gt;"")+('Dvd Calendar'!$AA$1407=SPECIAL_LBL)*(INC_SPECIALS="Y"))=0,"",'Dvd Calendar'!$AA$1405)))</f>
        <v/>
      </c>
      <c r="Z142" s="110">
        <f>IF(FB142="","",IF(ISNUMBER('Dvd Calendar'!$AB$1405)=FALSE,"",IF((('Dvd Calendar'!$AB$1407=TYPE1)*(TYPE1&lt;&gt;"")+('Dvd Calendar'!$AB$1407=TYPE2)*(TYPE2&lt;&gt;"")+('Dvd Calendar'!$AB$1407=TYPE3)*(TYPE3&lt;&gt;"")+('Dvd Calendar'!$AB$1407=TYPE4)*(TYPE4&lt;&gt;"")+('Dvd Calendar'!$AB$1407=SPECIAL_LBL)*(INC_SPECIALS="Y"))=0,"",'Dvd Calendar'!$AB$1405)))</f>
        <v/>
      </c>
      <c r="AA142" s="110">
        <f>IF(FC142="","",IF(ISNUMBER('Dvd Calendar'!$AC$1405)=FALSE,"",IF((('Dvd Calendar'!$AC$1407=TYPE1)*(TYPE1&lt;&gt;"")+('Dvd Calendar'!$AC$1407=TYPE2)*(TYPE2&lt;&gt;"")+('Dvd Calendar'!$AC$1407=TYPE3)*(TYPE3&lt;&gt;"")+('Dvd Calendar'!$AC$1407=TYPE4)*(TYPE4&lt;&gt;"")+('Dvd Calendar'!$AC$1407=SPECIAL_LBL)*(INC_SPECIALS="Y"))=0,"",'Dvd Calendar'!$AC$1405)))</f>
        <v/>
      </c>
      <c r="AB142" s="110">
        <f>IF(FD142="","",IF(ISNUMBER('Dvd Calendar'!$AD$1405)=FALSE,"",IF((('Dvd Calendar'!$AD$1407=TYPE1)*(TYPE1&lt;&gt;"")+('Dvd Calendar'!$AD$1407=TYPE2)*(TYPE2&lt;&gt;"")+('Dvd Calendar'!$AD$1407=TYPE3)*(TYPE3&lt;&gt;"")+('Dvd Calendar'!$AD$1407=TYPE4)*(TYPE4&lt;&gt;"")+('Dvd Calendar'!$AD$1407=SPECIAL_LBL)*(INC_SPECIALS="Y"))=0,"",'Dvd Calendar'!$AD$1405)))</f>
        <v/>
      </c>
      <c r="AC142" s="110">
        <f>IF(FE142="","",IF(ISNUMBER('Dvd Calendar'!$AE$1405)=FALSE,"",IF((('Dvd Calendar'!$AE$1407=TYPE1)*(TYPE1&lt;&gt;"")+('Dvd Calendar'!$AE$1407=TYPE2)*(TYPE2&lt;&gt;"")+('Dvd Calendar'!$AE$1407=TYPE3)*(TYPE3&lt;&gt;"")+('Dvd Calendar'!$AE$1407=TYPE4)*(TYPE4&lt;&gt;"")+('Dvd Calendar'!$AE$1407=SPECIAL_LBL)*(INC_SPECIALS="Y"))=0,"",'Dvd Calendar'!$AE$1405)))</f>
        <v/>
      </c>
      <c r="AD142" s="110">
        <f>IF(FF142="","",IF(ISNUMBER('Dvd Calendar'!$AF$1405)=FALSE,"",IF((('Dvd Calendar'!$AF$1407=TYPE1)*(TYPE1&lt;&gt;"")+('Dvd Calendar'!$AF$1407=TYPE2)*(TYPE2&lt;&gt;"")+('Dvd Calendar'!$AF$1407=TYPE3)*(TYPE3&lt;&gt;"")+('Dvd Calendar'!$AF$1407=TYPE4)*(TYPE4&lt;&gt;"")+('Dvd Calendar'!$AF$1407=SPECIAL_LBL)*(INC_SPECIALS="Y"))=0,"",'Dvd Calendar'!$AF$1405)))</f>
        <v/>
      </c>
      <c r="AE142" s="110">
        <f>IF(FG142="","",IF(ISNUMBER('Dvd Calendar'!$AG$1405)=FALSE,"",IF((('Dvd Calendar'!$AG$1407=TYPE1)*(TYPE1&lt;&gt;"")+('Dvd Calendar'!$AG$1407=TYPE2)*(TYPE2&lt;&gt;"")+('Dvd Calendar'!$AG$1407=TYPE3)*(TYPE3&lt;&gt;"")+('Dvd Calendar'!$AG$1407=TYPE4)*(TYPE4&lt;&gt;"")+('Dvd Calendar'!$AG$1407=SPECIAL_LBL)*(INC_SPECIALS="Y"))=0,"",'Dvd Calendar'!$AG$1405)))</f>
        <v/>
      </c>
      <c r="AF142" s="110">
        <f>IF(FH142="","",IF(ISNUMBER('Dvd Calendar'!$AH$1405)=FALSE,"",IF((('Dvd Calendar'!$AH$1407=TYPE1)*(TYPE1&lt;&gt;"")+('Dvd Calendar'!$AH$1407=TYPE2)*(TYPE2&lt;&gt;"")+('Dvd Calendar'!$AH$1407=TYPE3)*(TYPE3&lt;&gt;"")+('Dvd Calendar'!$AH$1407=TYPE4)*(TYPE4&lt;&gt;"")+('Dvd Calendar'!$AH$1407=SPECIAL_LBL)*(INC_SPECIALS="Y"))=0,"",'Dvd Calendar'!$AH$1405)))</f>
        <v/>
      </c>
      <c r="AG142" s="110">
        <f>IF(FI142="","",IF(ISNUMBER('Dvd Calendar'!$AI$1405)=FALSE,"",IF((('Dvd Calendar'!$AI$1407=TYPE1)*(TYPE1&lt;&gt;"")+('Dvd Calendar'!$AI$1407=TYPE2)*(TYPE2&lt;&gt;"")+('Dvd Calendar'!$AI$1407=TYPE3)*(TYPE3&lt;&gt;"")+('Dvd Calendar'!$AI$1407=TYPE4)*(TYPE4&lt;&gt;"")+('Dvd Calendar'!$AI$1407=SPECIAL_LBL)*(INC_SPECIALS="Y"))=0,"",'Dvd Calendar'!$AI$1405)))</f>
        <v/>
      </c>
      <c r="AH142" s="110">
        <f>IF(FJ142="","",IF(ISNUMBER('Dvd Calendar'!$AJ$1405)=FALSE,"",IF((('Dvd Calendar'!$AJ$1407=TYPE1)*(TYPE1&lt;&gt;"")+('Dvd Calendar'!$AJ$1407=TYPE2)*(TYPE2&lt;&gt;"")+('Dvd Calendar'!$AJ$1407=TYPE3)*(TYPE3&lt;&gt;"")+('Dvd Calendar'!$AJ$1407=TYPE4)*(TYPE4&lt;&gt;"")+('Dvd Calendar'!$AJ$1407=SPECIAL_LBL)*(INC_SPECIALS="Y"))=0,"",'Dvd Calendar'!$AJ$1405)))</f>
        <v/>
      </c>
      <c r="AI142" s="110">
        <f>IF(FK142="","",IF(ISNUMBER('Dvd Calendar'!$AK$1405)=FALSE,"",IF((('Dvd Calendar'!$AK$1407=TYPE1)*(TYPE1&lt;&gt;"")+('Dvd Calendar'!$AK$1407=TYPE2)*(TYPE2&lt;&gt;"")+('Dvd Calendar'!$AK$1407=TYPE3)*(TYPE3&lt;&gt;"")+('Dvd Calendar'!$AK$1407=TYPE4)*(TYPE4&lt;&gt;"")+('Dvd Calendar'!$AK$1407=SPECIAL_LBL)*(INC_SPECIALS="Y"))=0,"",'Dvd Calendar'!$AK$1405)))</f>
        <v/>
      </c>
      <c r="AJ142" s="110">
        <f>IF(FL142="","",IF(ISNUMBER('Dvd Calendar'!$AL$1405)=FALSE,"",IF((('Dvd Calendar'!$AL$1407=TYPE1)*(TYPE1&lt;&gt;"")+('Dvd Calendar'!$AL$1407=TYPE2)*(TYPE2&lt;&gt;"")+('Dvd Calendar'!$AL$1407=TYPE3)*(TYPE3&lt;&gt;"")+('Dvd Calendar'!$AL$1407=TYPE4)*(TYPE4&lt;&gt;"")+('Dvd Calendar'!$AL$1407=SPECIAL_LBL)*(INC_SPECIALS="Y"))=0,"",'Dvd Calendar'!$AL$1405)))</f>
        <v/>
      </c>
      <c r="AK142" s="110">
        <f>IF(FM142="","",IF(ISNUMBER('Dvd Calendar'!$AM$1405)=FALSE,"",IF((('Dvd Calendar'!$AM$1407=TYPE1)*(TYPE1&lt;&gt;"")+('Dvd Calendar'!$AM$1407=TYPE2)*(TYPE2&lt;&gt;"")+('Dvd Calendar'!$AM$1407=TYPE3)*(TYPE3&lt;&gt;"")+('Dvd Calendar'!$AM$1407=TYPE4)*(TYPE4&lt;&gt;"")+('Dvd Calendar'!$AM$1407=SPECIAL_LBL)*(INC_SPECIALS="Y"))=0,"",'Dvd Calendar'!$AM$1405)))</f>
        <v/>
      </c>
      <c r="AL142" s="110">
        <f>IF(FN142="","",IF(ISNUMBER('Dvd Calendar'!$AN$1405)=FALSE,"",IF((('Dvd Calendar'!$AN$1407=TYPE1)*(TYPE1&lt;&gt;"")+('Dvd Calendar'!$AN$1407=TYPE2)*(TYPE2&lt;&gt;"")+('Dvd Calendar'!$AN$1407=TYPE3)*(TYPE3&lt;&gt;"")+('Dvd Calendar'!$AN$1407=TYPE4)*(TYPE4&lt;&gt;"")+('Dvd Calendar'!$AN$1407=SPECIAL_LBL)*(INC_SPECIALS="Y"))=0,"",'Dvd Calendar'!$AN$1405)))</f>
        <v/>
      </c>
      <c r="AM142" s="110">
        <f>IF(FO142="","",IF(ISNUMBER('Dvd Calendar'!$AO$1405)=FALSE,"",IF((('Dvd Calendar'!$AO$1407=TYPE1)*(TYPE1&lt;&gt;"")+('Dvd Calendar'!$AO$1407=TYPE2)*(TYPE2&lt;&gt;"")+('Dvd Calendar'!$AO$1407=TYPE3)*(TYPE3&lt;&gt;"")+('Dvd Calendar'!$AO$1407=TYPE4)*(TYPE4&lt;&gt;"")+('Dvd Calendar'!$AO$1407=SPECIAL_LBL)*(INC_SPECIALS="Y"))=0,"",'Dvd Calendar'!$AO$1405)))</f>
        <v/>
      </c>
      <c r="AN142" s="110">
        <f>IF(FP142="","",IF(ISNUMBER('Dvd Calendar'!$AP$1405)=FALSE,"",IF((('Dvd Calendar'!$AP$1407=TYPE1)*(TYPE1&lt;&gt;"")+('Dvd Calendar'!$AP$1407=TYPE2)*(TYPE2&lt;&gt;"")+('Dvd Calendar'!$AP$1407=TYPE3)*(TYPE3&lt;&gt;"")+('Dvd Calendar'!$AP$1407=TYPE4)*(TYPE4&lt;&gt;"")+('Dvd Calendar'!$AP$1407=SPECIAL_LBL)*(INC_SPECIALS="Y"))=0,"",'Dvd Calendar'!$AP$1405)))</f>
        <v/>
      </c>
      <c r="AO142" s="110">
        <f>IF(FQ142="","",IF(ISNUMBER('Dvd Calendar'!$AQ$1405)=FALSE,"",IF((('Dvd Calendar'!$AQ$1407=TYPE1)*(TYPE1&lt;&gt;"")+('Dvd Calendar'!$AQ$1407=TYPE2)*(TYPE2&lt;&gt;"")+('Dvd Calendar'!$AQ$1407=TYPE3)*(TYPE3&lt;&gt;"")+('Dvd Calendar'!$AQ$1407=TYPE4)*(TYPE4&lt;&gt;"")+('Dvd Calendar'!$AQ$1407=SPECIAL_LBL)*(INC_SPECIALS="Y"))=0,"",'Dvd Calendar'!$AQ$1405)))</f>
        <v/>
      </c>
      <c r="AP142" s="110">
        <f>IF(FR142="","",IF(ISNUMBER('Dvd Calendar'!$AR$1405)=FALSE,"",IF((('Dvd Calendar'!$AR$1407=TYPE1)*(TYPE1&lt;&gt;"")+('Dvd Calendar'!$AR$1407=TYPE2)*(TYPE2&lt;&gt;"")+('Dvd Calendar'!$AR$1407=TYPE3)*(TYPE3&lt;&gt;"")+('Dvd Calendar'!$AR$1407=TYPE4)*(TYPE4&lt;&gt;"")+('Dvd Calendar'!$AR$1407=SPECIAL_LBL)*(INC_SPECIALS="Y"))=0,"",'Dvd Calendar'!$AR$1405)))</f>
        <v/>
      </c>
      <c r="AQ142" s="110">
        <f>IF(FS142="","",IF(ISNUMBER('Dvd Calendar'!$E$1410)=FALSE,"",'Dvd Calendar'!$E$1410))</f>
        <v/>
      </c>
      <c r="AR142" s="110">
        <f>IF(FT142="","",IF(ISNUMBER('Dvd Calendar'!$F$1410)=FALSE,"",'Dvd Calendar'!$F$1410))</f>
        <v/>
      </c>
      <c r="AS142" s="110">
        <f>IF(FU142="","",IF(ISNUMBER('Dvd Calendar'!$G$1410)=FALSE,"",'Dvd Calendar'!$G$1410))</f>
        <v/>
      </c>
      <c r="AT142" s="110">
        <f>IF(FV142="","",IF(ISNUMBER('Dvd Calendar'!$H$1410)=FALSE,"",'Dvd Calendar'!$H$1410))</f>
        <v/>
      </c>
      <c r="AU142" s="110">
        <f>IF(FW142="","",IF(ISNUMBER('Dvd Calendar'!$I$1410)=FALSE,"",'Dvd Calendar'!$I$1410))</f>
        <v/>
      </c>
      <c r="AV142" s="110">
        <f>IF(FX142="","",IF(ISNUMBER('Dvd Calendar'!$J$1410)=FALSE,"",'Dvd Calendar'!$J$1410))</f>
        <v/>
      </c>
      <c r="AW142" s="110">
        <f>IF(FY142="","",IF(ISNUMBER('Dvd Calendar'!$K$1410)=FALSE,"",'Dvd Calendar'!$K$1410))</f>
        <v/>
      </c>
      <c r="AX142" s="110">
        <f>IF(FZ142="","",IF(ISNUMBER('Dvd Calendar'!$L$1410)=FALSE,"",'Dvd Calendar'!$L$1410))</f>
        <v/>
      </c>
      <c r="AY142" s="110">
        <f>IF(GA142="","",IF(ISNUMBER('Dvd Calendar'!$M$1410)=FALSE,"",'Dvd Calendar'!$M$1410))</f>
        <v/>
      </c>
      <c r="AZ142" s="110">
        <f>IF(GB142="","",IF(ISNUMBER('Dvd Calendar'!$N$1410)=FALSE,"",'Dvd Calendar'!$N$1410))</f>
        <v/>
      </c>
      <c r="BA142" s="110">
        <f>IF(GC142="","",IF(ISNUMBER('Dvd Calendar'!$O$1410)=FALSE,"",'Dvd Calendar'!$O$1410))</f>
        <v/>
      </c>
      <c r="BB142" s="110">
        <f>IF(GD142="","",IF(ISNUMBER('Dvd Calendar'!$P$1410)=FALSE,"",'Dvd Calendar'!$P$1410))</f>
        <v/>
      </c>
      <c r="BC142" s="110">
        <f>IF(GE142="","",IF(ISNUMBER('Dvd Calendar'!$Q$1410)=FALSE,"",'Dvd Calendar'!$Q$1410))</f>
        <v/>
      </c>
      <c r="BD142" s="110">
        <f>IF(GF142="","",IF(ISNUMBER('Dvd Calendar'!$R$1410)=FALSE,"",'Dvd Calendar'!$R$1410))</f>
        <v/>
      </c>
      <c r="BE142" s="110">
        <f>IF(GG142="","",IF(ISNUMBER('Dvd Calendar'!$S$1410)=FALSE,"",'Dvd Calendar'!$S$1410))</f>
        <v/>
      </c>
      <c r="BF142" s="110">
        <f>IF(GH142="","",IF(ISNUMBER('Dvd Calendar'!$T$1410)=FALSE,"",'Dvd Calendar'!$T$1410))</f>
        <v/>
      </c>
      <c r="BG142" s="110">
        <f>IF(GI142="","",IF(ISNUMBER('Dvd Calendar'!$U$1410)=FALSE,"",'Dvd Calendar'!$U$1410))</f>
        <v/>
      </c>
      <c r="BH142" s="110">
        <f>IF(GJ142="","",IF(ISNUMBER('Dvd Calendar'!$V$1410)=FALSE,"",'Dvd Calendar'!$V$1410))</f>
        <v/>
      </c>
      <c r="BI142" s="110">
        <f>IF(GK142="","",IF(ISNUMBER('Dvd Calendar'!$W$1410)=FALSE,"",'Dvd Calendar'!$W$1410))</f>
        <v/>
      </c>
      <c r="BJ142" s="110">
        <f>IF(GL142="","",IF(ISNUMBER('Dvd Calendar'!$X$1410)=FALSE,"",'Dvd Calendar'!$X$1410))</f>
        <v/>
      </c>
      <c r="BK142" s="110">
        <f>IF(GM142="","",IF(ISNUMBER('Dvd Calendar'!$Y$1410)=FALSE,"",'Dvd Calendar'!$Y$1410))</f>
        <v/>
      </c>
      <c r="BL142" s="110">
        <f>IF(GN142="","",IF(ISNUMBER('Dvd Calendar'!$Z$1410)=FALSE,"",'Dvd Calendar'!$Z$1410))</f>
        <v/>
      </c>
      <c r="BM142" s="110">
        <f>IF(GO142="","",IF(ISNUMBER('Dvd Calendar'!$AA$1410)=FALSE,"",'Dvd Calendar'!$AA$1410))</f>
        <v/>
      </c>
      <c r="BN142" s="110">
        <f>IF(GP142="","",IF(ISNUMBER('Dvd Calendar'!$AB$1410)=FALSE,"",'Dvd Calendar'!$AB$1410))</f>
        <v/>
      </c>
      <c r="BO142" s="110">
        <f>IF(GQ142="","",IF(ISNUMBER('Dvd Calendar'!$AC$1410)=FALSE,"",'Dvd Calendar'!$AC$1410))</f>
        <v/>
      </c>
      <c r="BQ142" s="110">
        <f>IF(C142="","",IFERROR(C142*HSTECH!$B$33*HSTECH!$G$33/HSTECH!$B$3,""))</f>
        <v/>
      </c>
      <c r="BR142" s="110">
        <f>IF(D142="","",IFERROR(D142*HSTECH!$B$33*HSTECH!$G$33/HSTECH!$B$3,""))</f>
        <v/>
      </c>
      <c r="BS142" s="110">
        <f>IF(E142="","",IFERROR(E142*HSTECH!$B$33*HSTECH!$G$33/HSTECH!$B$3,""))</f>
        <v/>
      </c>
      <c r="BT142" s="110">
        <f>IF(F142="","",IFERROR(F142*HSTECH!$B$33*HSTECH!$G$33/HSTECH!$B$3,""))</f>
        <v/>
      </c>
      <c r="BU142" s="110">
        <f>IF(G142="","",IFERROR(G142*HSTECH!$B$33*HSTECH!$G$33/HSTECH!$B$3,""))</f>
        <v/>
      </c>
      <c r="BV142" s="110">
        <f>IF(H142="","",IFERROR(H142*HSTECH!$B$33*HSTECH!$G$33/HSTECH!$B$3,""))</f>
        <v/>
      </c>
      <c r="BW142" s="110">
        <f>IF(I142="","",IFERROR(I142*HSTECH!$B$33*HSTECH!$G$33/HSTECH!$B$3,""))</f>
        <v/>
      </c>
      <c r="BX142" s="110">
        <f>IF(J142="","",IFERROR(J142*HSTECH!$B$33*HSTECH!$G$33/HSTECH!$B$3,""))</f>
        <v/>
      </c>
      <c r="BY142" s="110">
        <f>IF(K142="","",IFERROR(K142*HSTECH!$B$33*HSTECH!$G$33/HSTECH!$B$3,""))</f>
        <v/>
      </c>
      <c r="BZ142" s="110">
        <f>IF(L142="","",IFERROR(L142*HSTECH!$B$33*HSTECH!$G$33/HSTECH!$B$3,""))</f>
        <v/>
      </c>
      <c r="CA142" s="110">
        <f>IF(M142="","",IFERROR(M142*HSTECH!$B$33*HSTECH!$G$33/HSTECH!$B$3,""))</f>
        <v/>
      </c>
      <c r="CB142" s="110">
        <f>IF(N142="","",IFERROR(N142*HSTECH!$B$33*HSTECH!$G$33/HSTECH!$B$3,""))</f>
        <v/>
      </c>
      <c r="CC142" s="110">
        <f>IF(O142="","",IFERROR(O142*HSTECH!$B$33*HSTECH!$G$33/HSTECH!$B$3,""))</f>
        <v/>
      </c>
      <c r="CD142" s="110">
        <f>IF(P142="","",IFERROR(P142*HSTECH!$B$33*HSTECH!$G$33/HSTECH!$B$3,""))</f>
        <v/>
      </c>
      <c r="CE142" s="110">
        <f>IF(Q142="","",IFERROR(Q142*HSTECH!$B$33*HSTECH!$G$33/HSTECH!$B$3,""))</f>
        <v/>
      </c>
      <c r="CF142" s="110">
        <f>IF(R142="","",IFERROR(R142*HSTECH!$B$33*HSTECH!$G$33/HSTECH!$B$3,""))</f>
        <v/>
      </c>
      <c r="CG142" s="110">
        <f>IF(S142="","",IFERROR(S142*HSTECH!$B$33*HSTECH!$G$33/HSTECH!$B$3,""))</f>
        <v/>
      </c>
      <c r="CH142" s="110">
        <f>IF(T142="","",IFERROR(T142*HSTECH!$B$33*HSTECH!$G$33/HSTECH!$B$3,""))</f>
        <v/>
      </c>
      <c r="CI142" s="110">
        <f>IF(U142="","",IFERROR(U142*HSTECH!$B$33*HSTECH!$G$33/HSTECH!$B$3,""))</f>
        <v/>
      </c>
      <c r="CJ142" s="110">
        <f>IF(V142="","",IFERROR(V142*HSTECH!$B$33*HSTECH!$G$33/HSTECH!$B$3,""))</f>
        <v/>
      </c>
      <c r="CK142" s="110">
        <f>IF(W142="","",IFERROR(W142*HSTECH!$B$33*HSTECH!$G$33/HSTECH!$B$3,""))</f>
        <v/>
      </c>
      <c r="CL142" s="110">
        <f>IF(X142="","",IFERROR(X142*HSTECH!$B$33*HSTECH!$G$33/HSTECH!$B$3,""))</f>
        <v/>
      </c>
      <c r="CM142" s="110">
        <f>IF(Y142="","",IFERROR(Y142*HSTECH!$B$33*HSTECH!$G$33/HSTECH!$B$3,""))</f>
        <v/>
      </c>
      <c r="CN142" s="110">
        <f>IF(Z142="","",IFERROR(Z142*HSTECH!$B$33*HSTECH!$G$33/HSTECH!$B$3,""))</f>
        <v/>
      </c>
      <c r="CO142" s="110">
        <f>IF(AA142="","",IFERROR(AA142*HSTECH!$B$33*HSTECH!$G$33/HSTECH!$B$3,""))</f>
        <v/>
      </c>
      <c r="CP142" s="110">
        <f>IF(AB142="","",IFERROR(AB142*HSTECH!$B$33*HSTECH!$G$33/HSTECH!$B$3,""))</f>
        <v/>
      </c>
      <c r="CQ142" s="110">
        <f>IF(AC142="","",IFERROR(AC142*HSTECH!$B$33*HSTECH!$G$33/HSTECH!$B$3,""))</f>
        <v/>
      </c>
      <c r="CR142" s="110">
        <f>IF(AD142="","",IFERROR(AD142*HSTECH!$B$33*HSTECH!$G$33/HSTECH!$B$3,""))</f>
        <v/>
      </c>
      <c r="CS142" s="110">
        <f>IF(AE142="","",IFERROR(AE142*HSTECH!$B$33*HSTECH!$G$33/HSTECH!$B$3,""))</f>
        <v/>
      </c>
      <c r="CT142" s="110">
        <f>IF(AF142="","",IFERROR(AF142*HSTECH!$B$33*HSTECH!$G$33/HSTECH!$B$3,""))</f>
        <v/>
      </c>
      <c r="CU142" s="110">
        <f>IF(AG142="","",IFERROR(AG142*HSTECH!$B$33*HSTECH!$G$33/HSTECH!$B$3,""))</f>
        <v/>
      </c>
      <c r="CV142" s="110">
        <f>IF(AH142="","",IFERROR(AH142*HSTECH!$B$33*HSTECH!$G$33/HSTECH!$B$3,""))</f>
        <v/>
      </c>
      <c r="CW142" s="110">
        <f>IF(AI142="","",IFERROR(AI142*HSTECH!$B$33*HSTECH!$G$33/HSTECH!$B$3,""))</f>
        <v/>
      </c>
      <c r="CX142" s="110">
        <f>IF(AJ142="","",IFERROR(AJ142*HSTECH!$B$33*HSTECH!$G$33/HSTECH!$B$3,""))</f>
        <v/>
      </c>
      <c r="CY142" s="110">
        <f>IF(AK142="","",IFERROR(AK142*HSTECH!$B$33*HSTECH!$G$33/HSTECH!$B$3,""))</f>
        <v/>
      </c>
      <c r="CZ142" s="110">
        <f>IF(AL142="","",IFERROR(AL142*HSTECH!$B$33*HSTECH!$G$33/HSTECH!$B$3,""))</f>
        <v/>
      </c>
      <c r="DA142" s="110">
        <f>IF(AM142="","",IFERROR(AM142*HSTECH!$B$33*HSTECH!$G$33/HSTECH!$B$3,""))</f>
        <v/>
      </c>
      <c r="DB142" s="110">
        <f>IF(AN142="","",IFERROR(AN142*HSTECH!$B$33*HSTECH!$G$33/HSTECH!$B$3,""))</f>
        <v/>
      </c>
      <c r="DC142" s="110">
        <f>IF(AO142="","",IFERROR(AO142*HSTECH!$B$33*HSTECH!$G$33/HSTECH!$B$3,""))</f>
        <v/>
      </c>
      <c r="DD142" s="110">
        <f>IF(AP142="","",IFERROR(AP142*HSTECH!$B$33*HSTECH!$G$33/HSTECH!$B$3,""))</f>
        <v/>
      </c>
      <c r="DE142" s="110">
        <f>IF(AQ142="","",IFERROR(AQ142*HSTECH!$B$33*HSTECH!$G$33/HSTECH!$B$3,""))</f>
        <v/>
      </c>
      <c r="DF142" s="110">
        <f>IF(AR142="","",IFERROR(AR142*HSTECH!$B$33*HSTECH!$G$33/HSTECH!$B$3,""))</f>
        <v/>
      </c>
      <c r="DG142" s="110">
        <f>IF(AS142="","",IFERROR(AS142*HSTECH!$B$33*HSTECH!$G$33/HSTECH!$B$3,""))</f>
        <v/>
      </c>
      <c r="DH142" s="110">
        <f>IF(AT142="","",IFERROR(AT142*HSTECH!$B$33*HSTECH!$G$33/HSTECH!$B$3,""))</f>
        <v/>
      </c>
      <c r="DI142" s="110">
        <f>IF(AU142="","",IFERROR(AU142*HSTECH!$B$33*HSTECH!$G$33/HSTECH!$B$3,""))</f>
        <v/>
      </c>
      <c r="DJ142" s="110">
        <f>IF(AV142="","",IFERROR(AV142*HSTECH!$B$33*HSTECH!$G$33/HSTECH!$B$3,""))</f>
        <v/>
      </c>
      <c r="DK142" s="110">
        <f>IF(AW142="","",IFERROR(AW142*HSTECH!$B$33*HSTECH!$G$33/HSTECH!$B$3,""))</f>
        <v/>
      </c>
      <c r="DL142" s="110">
        <f>IF(AX142="","",IFERROR(AX142*HSTECH!$B$33*HSTECH!$G$33/HSTECH!$B$3,""))</f>
        <v/>
      </c>
      <c r="DM142" s="110">
        <f>IF(AY142="","",IFERROR(AY142*HSTECH!$B$33*HSTECH!$G$33/HSTECH!$B$3,""))</f>
        <v/>
      </c>
      <c r="DN142" s="110">
        <f>IF(AZ142="","",IFERROR(AZ142*HSTECH!$B$33*HSTECH!$G$33/HSTECH!$B$3,""))</f>
        <v/>
      </c>
      <c r="DO142" s="110">
        <f>IF(BA142="","",IFERROR(BA142*HSTECH!$B$33*HSTECH!$G$33/HSTECH!$B$3,""))</f>
        <v/>
      </c>
      <c r="DP142" s="110">
        <f>IF(BB142="","",IFERROR(BB142*HSTECH!$B$33*HSTECH!$G$33/HSTECH!$B$3,""))</f>
        <v/>
      </c>
      <c r="DQ142" s="110">
        <f>IF(BC142="","",IFERROR(BC142*HSTECH!$B$33*HSTECH!$G$33/HSTECH!$B$3,""))</f>
        <v/>
      </c>
      <c r="DR142" s="110">
        <f>IF(BD142="","",IFERROR(BD142*HSTECH!$B$33*HSTECH!$G$33/HSTECH!$B$3,""))</f>
        <v/>
      </c>
      <c r="DS142" s="110">
        <f>IF(BE142="","",IFERROR(BE142*HSTECH!$B$33*HSTECH!$G$33/HSTECH!$B$3,""))</f>
        <v/>
      </c>
      <c r="DT142" s="110">
        <f>IF(BF142="","",IFERROR(BF142*HSTECH!$B$33*HSTECH!$G$33/HSTECH!$B$3,""))</f>
        <v/>
      </c>
      <c r="DU142" s="110">
        <f>IF(BG142="","",IFERROR(BG142*HSTECH!$B$33*HSTECH!$G$33/HSTECH!$B$3,""))</f>
        <v/>
      </c>
      <c r="DV142" s="110">
        <f>IF(BH142="","",IFERROR(BH142*HSTECH!$B$33*HSTECH!$G$33/HSTECH!$B$3,""))</f>
        <v/>
      </c>
      <c r="DW142" s="110">
        <f>IF(BI142="","",IFERROR(BI142*HSTECH!$B$33*HSTECH!$G$33/HSTECH!$B$3,""))</f>
        <v/>
      </c>
      <c r="DX142" s="110">
        <f>IF(BJ142="","",IFERROR(BJ142*HSTECH!$B$33*HSTECH!$G$33/HSTECH!$B$3,""))</f>
        <v/>
      </c>
      <c r="DY142" s="110">
        <f>IF(BK142="","",IFERROR(BK142*HSTECH!$B$33*HSTECH!$G$33/HSTECH!$B$3,""))</f>
        <v/>
      </c>
      <c r="DZ142" s="110">
        <f>IF(BL142="","",IFERROR(BL142*HSTECH!$B$33*HSTECH!$G$33/HSTECH!$B$3,""))</f>
        <v/>
      </c>
      <c r="EA142" s="110">
        <f>IF(BM142="","",IFERROR(BM142*HSTECH!$B$33*HSTECH!$G$33/HSTECH!$B$3,""))</f>
        <v/>
      </c>
      <c r="EB142" s="110">
        <f>IF(BN142="","",IFERROR(BN142*HSTECH!$B$33*HSTECH!$G$33/HSTECH!$B$3,""))</f>
        <v/>
      </c>
      <c r="EC142" s="110">
        <f>IF(BO142="","",IFERROR(BO142*HSTECH!$B$33*HSTECH!$G$33/HSTECH!$B$3,""))</f>
        <v/>
      </c>
      <c r="EE142" s="39">
        <f>IF(N('Dvd Calendar'!$E$1402)=0,"",IF(('Dvd Calendar'!$E$1402&gt;=GRID_FROM)*('Dvd Calendar'!$E$1402&lt;=GRID_TO)*((('Dvd Calendar'!$E$1402&lt;=VAL_DATE)+(COUNTIF('Dvd Calendar'!$E$1409:$AR$1409,'Dvd Calendar'!$E$1402)=0))&gt;0)=0,"",'Dvd Calendar'!$E$1402*1000000000+ISNUMBER('Dvd Calendar'!$E$1405)*100000000+('Dvd Calendar'!$E$1407=SPECIAL_LBL)*10000000+(N('Dvd Calendar'!$E$1401)&gt;0)*(N('Dvd Calendar'!$E$1401)&lt;=VAL_SERIAL)*1000000+27*1000+1))</f>
        <v/>
      </c>
      <c r="EF142" s="39">
        <f>IF(N('Dvd Calendar'!$F$1402)=0,"",IF(('Dvd Calendar'!$F$1402&gt;=GRID_FROM)*('Dvd Calendar'!$F$1402&lt;=GRID_TO)*((('Dvd Calendar'!$F$1402&lt;=VAL_DATE)+(COUNTIF('Dvd Calendar'!$E$1409:$AR$1409,'Dvd Calendar'!$F$1402)=0))&gt;0)=0,"",'Dvd Calendar'!$F$1402*1000000000+ISNUMBER('Dvd Calendar'!$F$1405)*100000000+('Dvd Calendar'!$F$1407=SPECIAL_LBL)*10000000+(N('Dvd Calendar'!$F$1401)&gt;0)*(N('Dvd Calendar'!$F$1401)&lt;=VAL_SERIAL)*1000000+27*1000+2))</f>
        <v/>
      </c>
      <c r="EG142" s="39">
        <f>IF(N('Dvd Calendar'!$G$1402)=0,"",IF(('Dvd Calendar'!$G$1402&gt;=GRID_FROM)*('Dvd Calendar'!$G$1402&lt;=GRID_TO)*((('Dvd Calendar'!$G$1402&lt;=VAL_DATE)+(COUNTIF('Dvd Calendar'!$E$1409:$AR$1409,'Dvd Calendar'!$G$1402)=0))&gt;0)=0,"",'Dvd Calendar'!$G$1402*1000000000+ISNUMBER('Dvd Calendar'!$G$1405)*100000000+('Dvd Calendar'!$G$1407=SPECIAL_LBL)*10000000+(N('Dvd Calendar'!$G$1401)&gt;0)*(N('Dvd Calendar'!$G$1401)&lt;=VAL_SERIAL)*1000000+27*1000+3))</f>
        <v/>
      </c>
      <c r="EH142" s="39">
        <f>IF(N('Dvd Calendar'!$H$1402)=0,"",IF(('Dvd Calendar'!$H$1402&gt;=GRID_FROM)*('Dvd Calendar'!$H$1402&lt;=GRID_TO)*((('Dvd Calendar'!$H$1402&lt;=VAL_DATE)+(COUNTIF('Dvd Calendar'!$E$1409:$AR$1409,'Dvd Calendar'!$H$1402)=0))&gt;0)=0,"",'Dvd Calendar'!$H$1402*1000000000+ISNUMBER('Dvd Calendar'!$H$1405)*100000000+('Dvd Calendar'!$H$1407=SPECIAL_LBL)*10000000+(N('Dvd Calendar'!$H$1401)&gt;0)*(N('Dvd Calendar'!$H$1401)&lt;=VAL_SERIAL)*1000000+27*1000+4))</f>
        <v/>
      </c>
      <c r="EI142" s="39">
        <f>IF(N('Dvd Calendar'!$I$1402)=0,"",IF(('Dvd Calendar'!$I$1402&gt;=GRID_FROM)*('Dvd Calendar'!$I$1402&lt;=GRID_TO)*((('Dvd Calendar'!$I$1402&lt;=VAL_DATE)+(COUNTIF('Dvd Calendar'!$E$1409:$AR$1409,'Dvd Calendar'!$I$1402)=0))&gt;0)=0,"",'Dvd Calendar'!$I$1402*1000000000+ISNUMBER('Dvd Calendar'!$I$1405)*100000000+('Dvd Calendar'!$I$1407=SPECIAL_LBL)*10000000+(N('Dvd Calendar'!$I$1401)&gt;0)*(N('Dvd Calendar'!$I$1401)&lt;=VAL_SERIAL)*1000000+27*1000+5))</f>
        <v/>
      </c>
      <c r="EJ142" s="39">
        <f>IF(N('Dvd Calendar'!$J$1402)=0,"",IF(('Dvd Calendar'!$J$1402&gt;=GRID_FROM)*('Dvd Calendar'!$J$1402&lt;=GRID_TO)*((('Dvd Calendar'!$J$1402&lt;=VAL_DATE)+(COUNTIF('Dvd Calendar'!$E$1409:$AR$1409,'Dvd Calendar'!$J$1402)=0))&gt;0)=0,"",'Dvd Calendar'!$J$1402*1000000000+ISNUMBER('Dvd Calendar'!$J$1405)*100000000+('Dvd Calendar'!$J$1407=SPECIAL_LBL)*10000000+(N('Dvd Calendar'!$J$1401)&gt;0)*(N('Dvd Calendar'!$J$1401)&lt;=VAL_SERIAL)*1000000+27*1000+6))</f>
        <v/>
      </c>
      <c r="EK142" s="39">
        <f>IF(N('Dvd Calendar'!$K$1402)=0,"",IF(('Dvd Calendar'!$K$1402&gt;=GRID_FROM)*('Dvd Calendar'!$K$1402&lt;=GRID_TO)*((('Dvd Calendar'!$K$1402&lt;=VAL_DATE)+(COUNTIF('Dvd Calendar'!$E$1409:$AR$1409,'Dvd Calendar'!$K$1402)=0))&gt;0)=0,"",'Dvd Calendar'!$K$1402*1000000000+ISNUMBER('Dvd Calendar'!$K$1405)*100000000+('Dvd Calendar'!$K$1407=SPECIAL_LBL)*10000000+(N('Dvd Calendar'!$K$1401)&gt;0)*(N('Dvd Calendar'!$K$1401)&lt;=VAL_SERIAL)*1000000+27*1000+7))</f>
        <v/>
      </c>
      <c r="EL142" s="39">
        <f>IF(N('Dvd Calendar'!$L$1402)=0,"",IF(('Dvd Calendar'!$L$1402&gt;=GRID_FROM)*('Dvd Calendar'!$L$1402&lt;=GRID_TO)*((('Dvd Calendar'!$L$1402&lt;=VAL_DATE)+(COUNTIF('Dvd Calendar'!$E$1409:$AR$1409,'Dvd Calendar'!$L$1402)=0))&gt;0)=0,"",'Dvd Calendar'!$L$1402*1000000000+ISNUMBER('Dvd Calendar'!$L$1405)*100000000+('Dvd Calendar'!$L$1407=SPECIAL_LBL)*10000000+(N('Dvd Calendar'!$L$1401)&gt;0)*(N('Dvd Calendar'!$L$1401)&lt;=VAL_SERIAL)*1000000+27*1000+8))</f>
        <v/>
      </c>
      <c r="EM142" s="39">
        <f>IF(N('Dvd Calendar'!$M$1402)=0,"",IF(('Dvd Calendar'!$M$1402&gt;=GRID_FROM)*('Dvd Calendar'!$M$1402&lt;=GRID_TO)*((('Dvd Calendar'!$M$1402&lt;=VAL_DATE)+(COUNTIF('Dvd Calendar'!$E$1409:$AR$1409,'Dvd Calendar'!$M$1402)=0))&gt;0)=0,"",'Dvd Calendar'!$M$1402*1000000000+ISNUMBER('Dvd Calendar'!$M$1405)*100000000+('Dvd Calendar'!$M$1407=SPECIAL_LBL)*10000000+(N('Dvd Calendar'!$M$1401)&gt;0)*(N('Dvd Calendar'!$M$1401)&lt;=VAL_SERIAL)*1000000+27*1000+9))</f>
        <v/>
      </c>
      <c r="EN142" s="39">
        <f>IF(N('Dvd Calendar'!$N$1402)=0,"",IF(('Dvd Calendar'!$N$1402&gt;=GRID_FROM)*('Dvd Calendar'!$N$1402&lt;=GRID_TO)*((('Dvd Calendar'!$N$1402&lt;=VAL_DATE)+(COUNTIF('Dvd Calendar'!$E$1409:$AR$1409,'Dvd Calendar'!$N$1402)=0))&gt;0)=0,"",'Dvd Calendar'!$N$1402*1000000000+ISNUMBER('Dvd Calendar'!$N$1405)*100000000+('Dvd Calendar'!$N$1407=SPECIAL_LBL)*10000000+(N('Dvd Calendar'!$N$1401)&gt;0)*(N('Dvd Calendar'!$N$1401)&lt;=VAL_SERIAL)*1000000+27*1000+10))</f>
        <v/>
      </c>
      <c r="EO142" s="39">
        <f>IF(N('Dvd Calendar'!$O$1402)=0,"",IF(('Dvd Calendar'!$O$1402&gt;=GRID_FROM)*('Dvd Calendar'!$O$1402&lt;=GRID_TO)*((('Dvd Calendar'!$O$1402&lt;=VAL_DATE)+(COUNTIF('Dvd Calendar'!$E$1409:$AR$1409,'Dvd Calendar'!$O$1402)=0))&gt;0)=0,"",'Dvd Calendar'!$O$1402*1000000000+ISNUMBER('Dvd Calendar'!$O$1405)*100000000+('Dvd Calendar'!$O$1407=SPECIAL_LBL)*10000000+(N('Dvd Calendar'!$O$1401)&gt;0)*(N('Dvd Calendar'!$O$1401)&lt;=VAL_SERIAL)*1000000+27*1000+11))</f>
        <v/>
      </c>
      <c r="EP142" s="39">
        <f>IF(N('Dvd Calendar'!$P$1402)=0,"",IF(('Dvd Calendar'!$P$1402&gt;=GRID_FROM)*('Dvd Calendar'!$P$1402&lt;=GRID_TO)*((('Dvd Calendar'!$P$1402&lt;=VAL_DATE)+(COUNTIF('Dvd Calendar'!$E$1409:$AR$1409,'Dvd Calendar'!$P$1402)=0))&gt;0)=0,"",'Dvd Calendar'!$P$1402*1000000000+ISNUMBER('Dvd Calendar'!$P$1405)*100000000+('Dvd Calendar'!$P$1407=SPECIAL_LBL)*10000000+(N('Dvd Calendar'!$P$1401)&gt;0)*(N('Dvd Calendar'!$P$1401)&lt;=VAL_SERIAL)*1000000+27*1000+12))</f>
        <v/>
      </c>
      <c r="EQ142" s="39">
        <f>IF(N('Dvd Calendar'!$Q$1402)=0,"",IF(('Dvd Calendar'!$Q$1402&gt;=GRID_FROM)*('Dvd Calendar'!$Q$1402&lt;=GRID_TO)*((('Dvd Calendar'!$Q$1402&lt;=VAL_DATE)+(COUNTIF('Dvd Calendar'!$E$1409:$AR$1409,'Dvd Calendar'!$Q$1402)=0))&gt;0)=0,"",'Dvd Calendar'!$Q$1402*1000000000+ISNUMBER('Dvd Calendar'!$Q$1405)*100000000+('Dvd Calendar'!$Q$1407=SPECIAL_LBL)*10000000+(N('Dvd Calendar'!$Q$1401)&gt;0)*(N('Dvd Calendar'!$Q$1401)&lt;=VAL_SERIAL)*1000000+27*1000+13))</f>
        <v/>
      </c>
      <c r="ER142" s="39">
        <f>IF(N('Dvd Calendar'!$R$1402)=0,"",IF(('Dvd Calendar'!$R$1402&gt;=GRID_FROM)*('Dvd Calendar'!$R$1402&lt;=GRID_TO)*((('Dvd Calendar'!$R$1402&lt;=VAL_DATE)+(COUNTIF('Dvd Calendar'!$E$1409:$AR$1409,'Dvd Calendar'!$R$1402)=0))&gt;0)=0,"",'Dvd Calendar'!$R$1402*1000000000+ISNUMBER('Dvd Calendar'!$R$1405)*100000000+('Dvd Calendar'!$R$1407=SPECIAL_LBL)*10000000+(N('Dvd Calendar'!$R$1401)&gt;0)*(N('Dvd Calendar'!$R$1401)&lt;=VAL_SERIAL)*1000000+27*1000+14))</f>
        <v/>
      </c>
      <c r="ES142" s="39">
        <f>IF(N('Dvd Calendar'!$S$1402)=0,"",IF(('Dvd Calendar'!$S$1402&gt;=GRID_FROM)*('Dvd Calendar'!$S$1402&lt;=GRID_TO)*((('Dvd Calendar'!$S$1402&lt;=VAL_DATE)+(COUNTIF('Dvd Calendar'!$E$1409:$AR$1409,'Dvd Calendar'!$S$1402)=0))&gt;0)=0,"",'Dvd Calendar'!$S$1402*1000000000+ISNUMBER('Dvd Calendar'!$S$1405)*100000000+('Dvd Calendar'!$S$1407=SPECIAL_LBL)*10000000+(N('Dvd Calendar'!$S$1401)&gt;0)*(N('Dvd Calendar'!$S$1401)&lt;=VAL_SERIAL)*1000000+27*1000+15))</f>
        <v/>
      </c>
      <c r="ET142" s="39">
        <f>IF(N('Dvd Calendar'!$T$1402)=0,"",IF(('Dvd Calendar'!$T$1402&gt;=GRID_FROM)*('Dvd Calendar'!$T$1402&lt;=GRID_TO)*((('Dvd Calendar'!$T$1402&lt;=VAL_DATE)+(COUNTIF('Dvd Calendar'!$E$1409:$AR$1409,'Dvd Calendar'!$T$1402)=0))&gt;0)=0,"",'Dvd Calendar'!$T$1402*1000000000+ISNUMBER('Dvd Calendar'!$T$1405)*100000000+('Dvd Calendar'!$T$1407=SPECIAL_LBL)*10000000+(N('Dvd Calendar'!$T$1401)&gt;0)*(N('Dvd Calendar'!$T$1401)&lt;=VAL_SERIAL)*1000000+27*1000+16))</f>
        <v/>
      </c>
      <c r="EU142" s="39">
        <f>IF(N('Dvd Calendar'!$U$1402)=0,"",IF(('Dvd Calendar'!$U$1402&gt;=GRID_FROM)*('Dvd Calendar'!$U$1402&lt;=GRID_TO)*((('Dvd Calendar'!$U$1402&lt;=VAL_DATE)+(COUNTIF('Dvd Calendar'!$E$1409:$AR$1409,'Dvd Calendar'!$U$1402)=0))&gt;0)=0,"",'Dvd Calendar'!$U$1402*1000000000+ISNUMBER('Dvd Calendar'!$U$1405)*100000000+('Dvd Calendar'!$U$1407=SPECIAL_LBL)*10000000+(N('Dvd Calendar'!$U$1401)&gt;0)*(N('Dvd Calendar'!$U$1401)&lt;=VAL_SERIAL)*1000000+27*1000+17))</f>
        <v/>
      </c>
      <c r="EV142" s="39">
        <f>IF(N('Dvd Calendar'!$V$1402)=0,"",IF(('Dvd Calendar'!$V$1402&gt;=GRID_FROM)*('Dvd Calendar'!$V$1402&lt;=GRID_TO)*((('Dvd Calendar'!$V$1402&lt;=VAL_DATE)+(COUNTIF('Dvd Calendar'!$E$1409:$AR$1409,'Dvd Calendar'!$V$1402)=0))&gt;0)=0,"",'Dvd Calendar'!$V$1402*1000000000+ISNUMBER('Dvd Calendar'!$V$1405)*100000000+('Dvd Calendar'!$V$1407=SPECIAL_LBL)*10000000+(N('Dvd Calendar'!$V$1401)&gt;0)*(N('Dvd Calendar'!$V$1401)&lt;=VAL_SERIAL)*1000000+27*1000+18))</f>
        <v/>
      </c>
      <c r="EW142" s="39">
        <f>IF(N('Dvd Calendar'!$W$1402)=0,"",IF(('Dvd Calendar'!$W$1402&gt;=GRID_FROM)*('Dvd Calendar'!$W$1402&lt;=GRID_TO)*((('Dvd Calendar'!$W$1402&lt;=VAL_DATE)+(COUNTIF('Dvd Calendar'!$E$1409:$AR$1409,'Dvd Calendar'!$W$1402)=0))&gt;0)=0,"",'Dvd Calendar'!$W$1402*1000000000+ISNUMBER('Dvd Calendar'!$W$1405)*100000000+('Dvd Calendar'!$W$1407=SPECIAL_LBL)*10000000+(N('Dvd Calendar'!$W$1401)&gt;0)*(N('Dvd Calendar'!$W$1401)&lt;=VAL_SERIAL)*1000000+27*1000+19))</f>
        <v/>
      </c>
      <c r="EX142" s="39">
        <f>IF(N('Dvd Calendar'!$X$1402)=0,"",IF(('Dvd Calendar'!$X$1402&gt;=GRID_FROM)*('Dvd Calendar'!$X$1402&lt;=GRID_TO)*((('Dvd Calendar'!$X$1402&lt;=VAL_DATE)+(COUNTIF('Dvd Calendar'!$E$1409:$AR$1409,'Dvd Calendar'!$X$1402)=0))&gt;0)=0,"",'Dvd Calendar'!$X$1402*1000000000+ISNUMBER('Dvd Calendar'!$X$1405)*100000000+('Dvd Calendar'!$X$1407=SPECIAL_LBL)*10000000+(N('Dvd Calendar'!$X$1401)&gt;0)*(N('Dvd Calendar'!$X$1401)&lt;=VAL_SERIAL)*1000000+27*1000+20))</f>
        <v/>
      </c>
      <c r="EY142" s="39">
        <f>IF(N('Dvd Calendar'!$Y$1402)=0,"",IF(('Dvd Calendar'!$Y$1402&gt;=GRID_FROM)*('Dvd Calendar'!$Y$1402&lt;=GRID_TO)*((('Dvd Calendar'!$Y$1402&lt;=VAL_DATE)+(COUNTIF('Dvd Calendar'!$E$1409:$AR$1409,'Dvd Calendar'!$Y$1402)=0))&gt;0)=0,"",'Dvd Calendar'!$Y$1402*1000000000+ISNUMBER('Dvd Calendar'!$Y$1405)*100000000+('Dvd Calendar'!$Y$1407=SPECIAL_LBL)*10000000+(N('Dvd Calendar'!$Y$1401)&gt;0)*(N('Dvd Calendar'!$Y$1401)&lt;=VAL_SERIAL)*1000000+27*1000+21))</f>
        <v/>
      </c>
      <c r="EZ142" s="39">
        <f>IF(N('Dvd Calendar'!$Z$1402)=0,"",IF(('Dvd Calendar'!$Z$1402&gt;=GRID_FROM)*('Dvd Calendar'!$Z$1402&lt;=GRID_TO)*((('Dvd Calendar'!$Z$1402&lt;=VAL_DATE)+(COUNTIF('Dvd Calendar'!$E$1409:$AR$1409,'Dvd Calendar'!$Z$1402)=0))&gt;0)=0,"",'Dvd Calendar'!$Z$1402*1000000000+ISNUMBER('Dvd Calendar'!$Z$1405)*100000000+('Dvd Calendar'!$Z$1407=SPECIAL_LBL)*10000000+(N('Dvd Calendar'!$Z$1401)&gt;0)*(N('Dvd Calendar'!$Z$1401)&lt;=VAL_SERIAL)*1000000+27*1000+22))</f>
        <v/>
      </c>
      <c r="FA142" s="39">
        <f>IF(N('Dvd Calendar'!$AA$1402)=0,"",IF(('Dvd Calendar'!$AA$1402&gt;=GRID_FROM)*('Dvd Calendar'!$AA$1402&lt;=GRID_TO)*((('Dvd Calendar'!$AA$1402&lt;=VAL_DATE)+(COUNTIF('Dvd Calendar'!$E$1409:$AR$1409,'Dvd Calendar'!$AA$1402)=0))&gt;0)=0,"",'Dvd Calendar'!$AA$1402*1000000000+ISNUMBER('Dvd Calendar'!$AA$1405)*100000000+('Dvd Calendar'!$AA$1407=SPECIAL_LBL)*10000000+(N('Dvd Calendar'!$AA$1401)&gt;0)*(N('Dvd Calendar'!$AA$1401)&lt;=VAL_SERIAL)*1000000+27*1000+23))</f>
        <v/>
      </c>
      <c r="FB142" s="39">
        <f>IF(N('Dvd Calendar'!$AB$1402)=0,"",IF(('Dvd Calendar'!$AB$1402&gt;=GRID_FROM)*('Dvd Calendar'!$AB$1402&lt;=GRID_TO)*((('Dvd Calendar'!$AB$1402&lt;=VAL_DATE)+(COUNTIF('Dvd Calendar'!$E$1409:$AR$1409,'Dvd Calendar'!$AB$1402)=0))&gt;0)=0,"",'Dvd Calendar'!$AB$1402*1000000000+ISNUMBER('Dvd Calendar'!$AB$1405)*100000000+('Dvd Calendar'!$AB$1407=SPECIAL_LBL)*10000000+(N('Dvd Calendar'!$AB$1401)&gt;0)*(N('Dvd Calendar'!$AB$1401)&lt;=VAL_SERIAL)*1000000+27*1000+24))</f>
        <v/>
      </c>
      <c r="FC142" s="39">
        <f>IF(N('Dvd Calendar'!$AC$1402)=0,"",IF(('Dvd Calendar'!$AC$1402&gt;=GRID_FROM)*('Dvd Calendar'!$AC$1402&lt;=GRID_TO)*((('Dvd Calendar'!$AC$1402&lt;=VAL_DATE)+(COUNTIF('Dvd Calendar'!$E$1409:$AR$1409,'Dvd Calendar'!$AC$1402)=0))&gt;0)=0,"",'Dvd Calendar'!$AC$1402*1000000000+ISNUMBER('Dvd Calendar'!$AC$1405)*100000000+('Dvd Calendar'!$AC$1407=SPECIAL_LBL)*10000000+(N('Dvd Calendar'!$AC$1401)&gt;0)*(N('Dvd Calendar'!$AC$1401)&lt;=VAL_SERIAL)*1000000+27*1000+25))</f>
        <v/>
      </c>
      <c r="FD142" s="39">
        <f>IF(N('Dvd Calendar'!$AD$1402)=0,"",IF(('Dvd Calendar'!$AD$1402&gt;=GRID_FROM)*('Dvd Calendar'!$AD$1402&lt;=GRID_TO)*((('Dvd Calendar'!$AD$1402&lt;=VAL_DATE)+(COUNTIF('Dvd Calendar'!$E$1409:$AR$1409,'Dvd Calendar'!$AD$1402)=0))&gt;0)=0,"",'Dvd Calendar'!$AD$1402*1000000000+ISNUMBER('Dvd Calendar'!$AD$1405)*100000000+('Dvd Calendar'!$AD$1407=SPECIAL_LBL)*10000000+(N('Dvd Calendar'!$AD$1401)&gt;0)*(N('Dvd Calendar'!$AD$1401)&lt;=VAL_SERIAL)*1000000+27*1000+26))</f>
        <v/>
      </c>
      <c r="FE142" s="39">
        <f>IF(N('Dvd Calendar'!$AE$1402)=0,"",IF(('Dvd Calendar'!$AE$1402&gt;=GRID_FROM)*('Dvd Calendar'!$AE$1402&lt;=GRID_TO)*((('Dvd Calendar'!$AE$1402&lt;=VAL_DATE)+(COUNTIF('Dvd Calendar'!$E$1409:$AR$1409,'Dvd Calendar'!$AE$1402)=0))&gt;0)=0,"",'Dvd Calendar'!$AE$1402*1000000000+ISNUMBER('Dvd Calendar'!$AE$1405)*100000000+('Dvd Calendar'!$AE$1407=SPECIAL_LBL)*10000000+(N('Dvd Calendar'!$AE$1401)&gt;0)*(N('Dvd Calendar'!$AE$1401)&lt;=VAL_SERIAL)*1000000+27*1000+27))</f>
        <v/>
      </c>
      <c r="FF142" s="39">
        <f>IF(N('Dvd Calendar'!$AF$1402)=0,"",IF(('Dvd Calendar'!$AF$1402&gt;=GRID_FROM)*('Dvd Calendar'!$AF$1402&lt;=GRID_TO)*((('Dvd Calendar'!$AF$1402&lt;=VAL_DATE)+(COUNTIF('Dvd Calendar'!$E$1409:$AR$1409,'Dvd Calendar'!$AF$1402)=0))&gt;0)=0,"",'Dvd Calendar'!$AF$1402*1000000000+ISNUMBER('Dvd Calendar'!$AF$1405)*100000000+('Dvd Calendar'!$AF$1407=SPECIAL_LBL)*10000000+(N('Dvd Calendar'!$AF$1401)&gt;0)*(N('Dvd Calendar'!$AF$1401)&lt;=VAL_SERIAL)*1000000+27*1000+28))</f>
        <v/>
      </c>
      <c r="FG142" s="39">
        <f>IF(N('Dvd Calendar'!$AG$1402)=0,"",IF(('Dvd Calendar'!$AG$1402&gt;=GRID_FROM)*('Dvd Calendar'!$AG$1402&lt;=GRID_TO)*((('Dvd Calendar'!$AG$1402&lt;=VAL_DATE)+(COUNTIF('Dvd Calendar'!$E$1409:$AR$1409,'Dvd Calendar'!$AG$1402)=0))&gt;0)=0,"",'Dvd Calendar'!$AG$1402*1000000000+ISNUMBER('Dvd Calendar'!$AG$1405)*100000000+('Dvd Calendar'!$AG$1407=SPECIAL_LBL)*10000000+(N('Dvd Calendar'!$AG$1401)&gt;0)*(N('Dvd Calendar'!$AG$1401)&lt;=VAL_SERIAL)*1000000+27*1000+29))</f>
        <v/>
      </c>
      <c r="FH142" s="39">
        <f>IF(N('Dvd Calendar'!$AH$1402)=0,"",IF(('Dvd Calendar'!$AH$1402&gt;=GRID_FROM)*('Dvd Calendar'!$AH$1402&lt;=GRID_TO)*((('Dvd Calendar'!$AH$1402&lt;=VAL_DATE)+(COUNTIF('Dvd Calendar'!$E$1409:$AR$1409,'Dvd Calendar'!$AH$1402)=0))&gt;0)=0,"",'Dvd Calendar'!$AH$1402*1000000000+ISNUMBER('Dvd Calendar'!$AH$1405)*100000000+('Dvd Calendar'!$AH$1407=SPECIAL_LBL)*10000000+(N('Dvd Calendar'!$AH$1401)&gt;0)*(N('Dvd Calendar'!$AH$1401)&lt;=VAL_SERIAL)*1000000+27*1000+30))</f>
        <v/>
      </c>
      <c r="FI142" s="39">
        <f>IF(N('Dvd Calendar'!$AI$1402)=0,"",IF(('Dvd Calendar'!$AI$1402&gt;=GRID_FROM)*('Dvd Calendar'!$AI$1402&lt;=GRID_TO)*((('Dvd Calendar'!$AI$1402&lt;=VAL_DATE)+(COUNTIF('Dvd Calendar'!$E$1409:$AR$1409,'Dvd Calendar'!$AI$1402)=0))&gt;0)=0,"",'Dvd Calendar'!$AI$1402*1000000000+ISNUMBER('Dvd Calendar'!$AI$1405)*100000000+('Dvd Calendar'!$AI$1407=SPECIAL_LBL)*10000000+(N('Dvd Calendar'!$AI$1401)&gt;0)*(N('Dvd Calendar'!$AI$1401)&lt;=VAL_SERIAL)*1000000+27*1000+31))</f>
        <v/>
      </c>
      <c r="FJ142" s="39">
        <f>IF(N('Dvd Calendar'!$AJ$1402)=0,"",IF(('Dvd Calendar'!$AJ$1402&gt;=GRID_FROM)*('Dvd Calendar'!$AJ$1402&lt;=GRID_TO)*((('Dvd Calendar'!$AJ$1402&lt;=VAL_DATE)+(COUNTIF('Dvd Calendar'!$E$1409:$AR$1409,'Dvd Calendar'!$AJ$1402)=0))&gt;0)=0,"",'Dvd Calendar'!$AJ$1402*1000000000+ISNUMBER('Dvd Calendar'!$AJ$1405)*100000000+('Dvd Calendar'!$AJ$1407=SPECIAL_LBL)*10000000+(N('Dvd Calendar'!$AJ$1401)&gt;0)*(N('Dvd Calendar'!$AJ$1401)&lt;=VAL_SERIAL)*1000000+27*1000+32))</f>
        <v/>
      </c>
      <c r="FK142" s="39">
        <f>IF(N('Dvd Calendar'!$AK$1402)=0,"",IF(('Dvd Calendar'!$AK$1402&gt;=GRID_FROM)*('Dvd Calendar'!$AK$1402&lt;=GRID_TO)*((('Dvd Calendar'!$AK$1402&lt;=VAL_DATE)+(COUNTIF('Dvd Calendar'!$E$1409:$AR$1409,'Dvd Calendar'!$AK$1402)=0))&gt;0)=0,"",'Dvd Calendar'!$AK$1402*1000000000+ISNUMBER('Dvd Calendar'!$AK$1405)*100000000+('Dvd Calendar'!$AK$1407=SPECIAL_LBL)*10000000+(N('Dvd Calendar'!$AK$1401)&gt;0)*(N('Dvd Calendar'!$AK$1401)&lt;=VAL_SERIAL)*1000000+27*1000+33))</f>
        <v/>
      </c>
      <c r="FL142" s="39">
        <f>IF(N('Dvd Calendar'!$AL$1402)=0,"",IF(('Dvd Calendar'!$AL$1402&gt;=GRID_FROM)*('Dvd Calendar'!$AL$1402&lt;=GRID_TO)*((('Dvd Calendar'!$AL$1402&lt;=VAL_DATE)+(COUNTIF('Dvd Calendar'!$E$1409:$AR$1409,'Dvd Calendar'!$AL$1402)=0))&gt;0)=0,"",'Dvd Calendar'!$AL$1402*1000000000+ISNUMBER('Dvd Calendar'!$AL$1405)*100000000+('Dvd Calendar'!$AL$1407=SPECIAL_LBL)*10000000+(N('Dvd Calendar'!$AL$1401)&gt;0)*(N('Dvd Calendar'!$AL$1401)&lt;=VAL_SERIAL)*1000000+27*1000+34))</f>
        <v/>
      </c>
      <c r="FM142" s="39">
        <f>IF(N('Dvd Calendar'!$AM$1402)=0,"",IF(('Dvd Calendar'!$AM$1402&gt;=GRID_FROM)*('Dvd Calendar'!$AM$1402&lt;=GRID_TO)*((('Dvd Calendar'!$AM$1402&lt;=VAL_DATE)+(COUNTIF('Dvd Calendar'!$E$1409:$AR$1409,'Dvd Calendar'!$AM$1402)=0))&gt;0)=0,"",'Dvd Calendar'!$AM$1402*1000000000+ISNUMBER('Dvd Calendar'!$AM$1405)*100000000+('Dvd Calendar'!$AM$1407=SPECIAL_LBL)*10000000+(N('Dvd Calendar'!$AM$1401)&gt;0)*(N('Dvd Calendar'!$AM$1401)&lt;=VAL_SERIAL)*1000000+27*1000+35))</f>
        <v/>
      </c>
      <c r="FN142" s="39">
        <f>IF(N('Dvd Calendar'!$AN$1402)=0,"",IF(('Dvd Calendar'!$AN$1402&gt;=GRID_FROM)*('Dvd Calendar'!$AN$1402&lt;=GRID_TO)*((('Dvd Calendar'!$AN$1402&lt;=VAL_DATE)+(COUNTIF('Dvd Calendar'!$E$1409:$AR$1409,'Dvd Calendar'!$AN$1402)=0))&gt;0)=0,"",'Dvd Calendar'!$AN$1402*1000000000+ISNUMBER('Dvd Calendar'!$AN$1405)*100000000+('Dvd Calendar'!$AN$1407=SPECIAL_LBL)*10000000+(N('Dvd Calendar'!$AN$1401)&gt;0)*(N('Dvd Calendar'!$AN$1401)&lt;=VAL_SERIAL)*1000000+27*1000+36))</f>
        <v/>
      </c>
      <c r="FO142" s="39">
        <f>IF(N('Dvd Calendar'!$AO$1402)=0,"",IF(('Dvd Calendar'!$AO$1402&gt;=GRID_FROM)*('Dvd Calendar'!$AO$1402&lt;=GRID_TO)*((('Dvd Calendar'!$AO$1402&lt;=VAL_DATE)+(COUNTIF('Dvd Calendar'!$E$1409:$AR$1409,'Dvd Calendar'!$AO$1402)=0))&gt;0)=0,"",'Dvd Calendar'!$AO$1402*1000000000+ISNUMBER('Dvd Calendar'!$AO$1405)*100000000+('Dvd Calendar'!$AO$1407=SPECIAL_LBL)*10000000+(N('Dvd Calendar'!$AO$1401)&gt;0)*(N('Dvd Calendar'!$AO$1401)&lt;=VAL_SERIAL)*1000000+27*1000+37))</f>
        <v/>
      </c>
      <c r="FP142" s="39">
        <f>IF(N('Dvd Calendar'!$AP$1402)=0,"",IF(('Dvd Calendar'!$AP$1402&gt;=GRID_FROM)*('Dvd Calendar'!$AP$1402&lt;=GRID_TO)*((('Dvd Calendar'!$AP$1402&lt;=VAL_DATE)+(COUNTIF('Dvd Calendar'!$E$1409:$AR$1409,'Dvd Calendar'!$AP$1402)=0))&gt;0)=0,"",'Dvd Calendar'!$AP$1402*1000000000+ISNUMBER('Dvd Calendar'!$AP$1405)*100000000+('Dvd Calendar'!$AP$1407=SPECIAL_LBL)*10000000+(N('Dvd Calendar'!$AP$1401)&gt;0)*(N('Dvd Calendar'!$AP$1401)&lt;=VAL_SERIAL)*1000000+27*1000+38))</f>
        <v/>
      </c>
      <c r="FQ142" s="39">
        <f>IF(N('Dvd Calendar'!$AQ$1402)=0,"",IF(('Dvd Calendar'!$AQ$1402&gt;=GRID_FROM)*('Dvd Calendar'!$AQ$1402&lt;=GRID_TO)*((('Dvd Calendar'!$AQ$1402&lt;=VAL_DATE)+(COUNTIF('Dvd Calendar'!$E$1409:$AR$1409,'Dvd Calendar'!$AQ$1402)=0))&gt;0)=0,"",'Dvd Calendar'!$AQ$1402*1000000000+ISNUMBER('Dvd Calendar'!$AQ$1405)*100000000+('Dvd Calendar'!$AQ$1407=SPECIAL_LBL)*10000000+(N('Dvd Calendar'!$AQ$1401)&gt;0)*(N('Dvd Calendar'!$AQ$1401)&lt;=VAL_SERIAL)*1000000+27*1000+39))</f>
        <v/>
      </c>
      <c r="FR142" s="39">
        <f>IF(N('Dvd Calendar'!$AR$1402)=0,"",IF(('Dvd Calendar'!$AR$1402&gt;=GRID_FROM)*('Dvd Calendar'!$AR$1402&lt;=GRID_TO)*((('Dvd Calendar'!$AR$1402&lt;=VAL_DATE)+(COUNTIF('Dvd Calendar'!$E$1409:$AR$1409,'Dvd Calendar'!$AR$1402)=0))&gt;0)=0,"",'Dvd Calendar'!$AR$1402*1000000000+ISNUMBER('Dvd Calendar'!$AR$1405)*100000000+('Dvd Calendar'!$AR$1407=SPECIAL_LBL)*10000000+(N('Dvd Calendar'!$AR$1401)&gt;0)*(N('Dvd Calendar'!$AR$1401)&lt;=VAL_SERIAL)*1000000+27*1000+40))</f>
        <v/>
      </c>
      <c r="FS142" s="39">
        <f>IF(N('Dvd Calendar'!$E$1409)=0,"",IF(('Dvd Calendar'!$E$1409&gt;=GRID_FROM)*('Dvd Calendar'!$E$1409&lt;=GRID_TO)*('Dvd Calendar'!$E$1409&gt;VAL_DATE)=0,"",'Dvd Calendar'!$E$1409*1000000000+ISNUMBER('Dvd Calendar'!$E$1410)*100000000+0*10000000+(N('Dvd Calendar'!$E$1408)&gt;0)*(N('Dvd Calendar'!$E$1408)&lt;=VAL_SERIAL)*1000000+27*1000+41))</f>
        <v/>
      </c>
      <c r="FT142" s="39">
        <f>IF(N('Dvd Calendar'!$F$1409)=0,"",IF(('Dvd Calendar'!$F$1409&gt;=GRID_FROM)*('Dvd Calendar'!$F$1409&lt;=GRID_TO)*('Dvd Calendar'!$F$1409&gt;VAL_DATE)=0,"",'Dvd Calendar'!$F$1409*1000000000+ISNUMBER('Dvd Calendar'!$F$1410)*100000000+0*10000000+(N('Dvd Calendar'!$F$1408)&gt;0)*(N('Dvd Calendar'!$F$1408)&lt;=VAL_SERIAL)*1000000+27*1000+42))</f>
        <v/>
      </c>
      <c r="FU142" s="39">
        <f>IF(N('Dvd Calendar'!$G$1409)=0,"",IF(('Dvd Calendar'!$G$1409&gt;=GRID_FROM)*('Dvd Calendar'!$G$1409&lt;=GRID_TO)*('Dvd Calendar'!$G$1409&gt;VAL_DATE)=0,"",'Dvd Calendar'!$G$1409*1000000000+ISNUMBER('Dvd Calendar'!$G$1410)*100000000+0*10000000+(N('Dvd Calendar'!$G$1408)&gt;0)*(N('Dvd Calendar'!$G$1408)&lt;=VAL_SERIAL)*1000000+27*1000+43))</f>
        <v/>
      </c>
      <c r="FV142" s="39">
        <f>IF(N('Dvd Calendar'!$H$1409)=0,"",IF(('Dvd Calendar'!$H$1409&gt;=GRID_FROM)*('Dvd Calendar'!$H$1409&lt;=GRID_TO)*('Dvd Calendar'!$H$1409&gt;VAL_DATE)=0,"",'Dvd Calendar'!$H$1409*1000000000+ISNUMBER('Dvd Calendar'!$H$1410)*100000000+0*10000000+(N('Dvd Calendar'!$H$1408)&gt;0)*(N('Dvd Calendar'!$H$1408)&lt;=VAL_SERIAL)*1000000+27*1000+44))</f>
        <v/>
      </c>
      <c r="FW142" s="39">
        <f>IF(N('Dvd Calendar'!$I$1409)=0,"",IF(('Dvd Calendar'!$I$1409&gt;=GRID_FROM)*('Dvd Calendar'!$I$1409&lt;=GRID_TO)*('Dvd Calendar'!$I$1409&gt;VAL_DATE)=0,"",'Dvd Calendar'!$I$1409*1000000000+ISNUMBER('Dvd Calendar'!$I$1410)*100000000+0*10000000+(N('Dvd Calendar'!$I$1408)&gt;0)*(N('Dvd Calendar'!$I$1408)&lt;=VAL_SERIAL)*1000000+27*1000+45))</f>
        <v/>
      </c>
      <c r="FX142" s="39">
        <f>IF(N('Dvd Calendar'!$J$1409)=0,"",IF(('Dvd Calendar'!$J$1409&gt;=GRID_FROM)*('Dvd Calendar'!$J$1409&lt;=GRID_TO)*('Dvd Calendar'!$J$1409&gt;VAL_DATE)=0,"",'Dvd Calendar'!$J$1409*1000000000+ISNUMBER('Dvd Calendar'!$J$1410)*100000000+0*10000000+(N('Dvd Calendar'!$J$1408)&gt;0)*(N('Dvd Calendar'!$J$1408)&lt;=VAL_SERIAL)*1000000+27*1000+46))</f>
        <v/>
      </c>
      <c r="FY142" s="39">
        <f>IF(N('Dvd Calendar'!$K$1409)=0,"",IF(('Dvd Calendar'!$K$1409&gt;=GRID_FROM)*('Dvd Calendar'!$K$1409&lt;=GRID_TO)*('Dvd Calendar'!$K$1409&gt;VAL_DATE)=0,"",'Dvd Calendar'!$K$1409*1000000000+ISNUMBER('Dvd Calendar'!$K$1410)*100000000+0*10000000+(N('Dvd Calendar'!$K$1408)&gt;0)*(N('Dvd Calendar'!$K$1408)&lt;=VAL_SERIAL)*1000000+27*1000+47))</f>
        <v/>
      </c>
      <c r="FZ142" s="39">
        <f>IF(N('Dvd Calendar'!$L$1409)=0,"",IF(('Dvd Calendar'!$L$1409&gt;=GRID_FROM)*('Dvd Calendar'!$L$1409&lt;=GRID_TO)*('Dvd Calendar'!$L$1409&gt;VAL_DATE)=0,"",'Dvd Calendar'!$L$1409*1000000000+ISNUMBER('Dvd Calendar'!$L$1410)*100000000+0*10000000+(N('Dvd Calendar'!$L$1408)&gt;0)*(N('Dvd Calendar'!$L$1408)&lt;=VAL_SERIAL)*1000000+27*1000+48))</f>
        <v/>
      </c>
      <c r="GA142" s="39">
        <f>IF(N('Dvd Calendar'!$M$1409)=0,"",IF(('Dvd Calendar'!$M$1409&gt;=GRID_FROM)*('Dvd Calendar'!$M$1409&lt;=GRID_TO)*('Dvd Calendar'!$M$1409&gt;VAL_DATE)=0,"",'Dvd Calendar'!$M$1409*1000000000+ISNUMBER('Dvd Calendar'!$M$1410)*100000000+0*10000000+(N('Dvd Calendar'!$M$1408)&gt;0)*(N('Dvd Calendar'!$M$1408)&lt;=VAL_SERIAL)*1000000+27*1000+49))</f>
        <v/>
      </c>
      <c r="GB142" s="39">
        <f>IF(N('Dvd Calendar'!$N$1409)=0,"",IF(('Dvd Calendar'!$N$1409&gt;=GRID_FROM)*('Dvd Calendar'!$N$1409&lt;=GRID_TO)*('Dvd Calendar'!$N$1409&gt;VAL_DATE)=0,"",'Dvd Calendar'!$N$1409*1000000000+ISNUMBER('Dvd Calendar'!$N$1410)*100000000+0*10000000+(N('Dvd Calendar'!$N$1408)&gt;0)*(N('Dvd Calendar'!$N$1408)&lt;=VAL_SERIAL)*1000000+27*1000+50))</f>
        <v/>
      </c>
      <c r="GC142" s="39">
        <f>IF(N('Dvd Calendar'!$O$1409)=0,"",IF(('Dvd Calendar'!$O$1409&gt;=GRID_FROM)*('Dvd Calendar'!$O$1409&lt;=GRID_TO)*('Dvd Calendar'!$O$1409&gt;VAL_DATE)=0,"",'Dvd Calendar'!$O$1409*1000000000+ISNUMBER('Dvd Calendar'!$O$1410)*100000000+0*10000000+(N('Dvd Calendar'!$O$1408)&gt;0)*(N('Dvd Calendar'!$O$1408)&lt;=VAL_SERIAL)*1000000+27*1000+51))</f>
        <v/>
      </c>
      <c r="GD142" s="39">
        <f>IF(N('Dvd Calendar'!$P$1409)=0,"",IF(('Dvd Calendar'!$P$1409&gt;=GRID_FROM)*('Dvd Calendar'!$P$1409&lt;=GRID_TO)*('Dvd Calendar'!$P$1409&gt;VAL_DATE)=0,"",'Dvd Calendar'!$P$1409*1000000000+ISNUMBER('Dvd Calendar'!$P$1410)*100000000+0*10000000+(N('Dvd Calendar'!$P$1408)&gt;0)*(N('Dvd Calendar'!$P$1408)&lt;=VAL_SERIAL)*1000000+27*1000+52))</f>
        <v/>
      </c>
      <c r="GE142" s="39">
        <f>IF(N('Dvd Calendar'!$Q$1409)=0,"",IF(('Dvd Calendar'!$Q$1409&gt;=GRID_FROM)*('Dvd Calendar'!$Q$1409&lt;=GRID_TO)*('Dvd Calendar'!$Q$1409&gt;VAL_DATE)=0,"",'Dvd Calendar'!$Q$1409*1000000000+ISNUMBER('Dvd Calendar'!$Q$1410)*100000000+0*10000000+(N('Dvd Calendar'!$Q$1408)&gt;0)*(N('Dvd Calendar'!$Q$1408)&lt;=VAL_SERIAL)*1000000+27*1000+53))</f>
        <v/>
      </c>
      <c r="GF142" s="39">
        <f>IF(N('Dvd Calendar'!$R$1409)=0,"",IF(('Dvd Calendar'!$R$1409&gt;=GRID_FROM)*('Dvd Calendar'!$R$1409&lt;=GRID_TO)*('Dvd Calendar'!$R$1409&gt;VAL_DATE)=0,"",'Dvd Calendar'!$R$1409*1000000000+ISNUMBER('Dvd Calendar'!$R$1410)*100000000+0*10000000+(N('Dvd Calendar'!$R$1408)&gt;0)*(N('Dvd Calendar'!$R$1408)&lt;=VAL_SERIAL)*1000000+27*1000+54))</f>
        <v/>
      </c>
      <c r="GG142" s="39">
        <f>IF(N('Dvd Calendar'!$S$1409)=0,"",IF(('Dvd Calendar'!$S$1409&gt;=GRID_FROM)*('Dvd Calendar'!$S$1409&lt;=GRID_TO)*('Dvd Calendar'!$S$1409&gt;VAL_DATE)=0,"",'Dvd Calendar'!$S$1409*1000000000+ISNUMBER('Dvd Calendar'!$S$1410)*100000000+0*10000000+(N('Dvd Calendar'!$S$1408)&gt;0)*(N('Dvd Calendar'!$S$1408)&lt;=VAL_SERIAL)*1000000+27*1000+55))</f>
        <v/>
      </c>
      <c r="GH142" s="39">
        <f>IF(N('Dvd Calendar'!$T$1409)=0,"",IF(('Dvd Calendar'!$T$1409&gt;=GRID_FROM)*('Dvd Calendar'!$T$1409&lt;=GRID_TO)*('Dvd Calendar'!$T$1409&gt;VAL_DATE)=0,"",'Dvd Calendar'!$T$1409*1000000000+ISNUMBER('Dvd Calendar'!$T$1410)*100000000+0*10000000+(N('Dvd Calendar'!$T$1408)&gt;0)*(N('Dvd Calendar'!$T$1408)&lt;=VAL_SERIAL)*1000000+27*1000+56))</f>
        <v/>
      </c>
      <c r="GI142" s="39">
        <f>IF(N('Dvd Calendar'!$U$1409)=0,"",IF(('Dvd Calendar'!$U$1409&gt;=GRID_FROM)*('Dvd Calendar'!$U$1409&lt;=GRID_TO)*('Dvd Calendar'!$U$1409&gt;VAL_DATE)=0,"",'Dvd Calendar'!$U$1409*1000000000+ISNUMBER('Dvd Calendar'!$U$1410)*100000000+0*10000000+(N('Dvd Calendar'!$U$1408)&gt;0)*(N('Dvd Calendar'!$U$1408)&lt;=VAL_SERIAL)*1000000+27*1000+57))</f>
        <v/>
      </c>
      <c r="GJ142" s="39">
        <f>IF(N('Dvd Calendar'!$V$1409)=0,"",IF(('Dvd Calendar'!$V$1409&gt;=GRID_FROM)*('Dvd Calendar'!$V$1409&lt;=GRID_TO)*('Dvd Calendar'!$V$1409&gt;VAL_DATE)=0,"",'Dvd Calendar'!$V$1409*1000000000+ISNUMBER('Dvd Calendar'!$V$1410)*100000000+0*10000000+(N('Dvd Calendar'!$V$1408)&gt;0)*(N('Dvd Calendar'!$V$1408)&lt;=VAL_SERIAL)*1000000+27*1000+58))</f>
        <v/>
      </c>
      <c r="GK142" s="39">
        <f>IF(N('Dvd Calendar'!$W$1409)=0,"",IF(('Dvd Calendar'!$W$1409&gt;=GRID_FROM)*('Dvd Calendar'!$W$1409&lt;=GRID_TO)*('Dvd Calendar'!$W$1409&gt;VAL_DATE)=0,"",'Dvd Calendar'!$W$1409*1000000000+ISNUMBER('Dvd Calendar'!$W$1410)*100000000+0*10000000+(N('Dvd Calendar'!$W$1408)&gt;0)*(N('Dvd Calendar'!$W$1408)&lt;=VAL_SERIAL)*1000000+27*1000+59))</f>
        <v/>
      </c>
      <c r="GL142" s="39">
        <f>IF(N('Dvd Calendar'!$X$1409)=0,"",IF(('Dvd Calendar'!$X$1409&gt;=GRID_FROM)*('Dvd Calendar'!$X$1409&lt;=GRID_TO)*('Dvd Calendar'!$X$1409&gt;VAL_DATE)=0,"",'Dvd Calendar'!$X$1409*1000000000+ISNUMBER('Dvd Calendar'!$X$1410)*100000000+0*10000000+(N('Dvd Calendar'!$X$1408)&gt;0)*(N('Dvd Calendar'!$X$1408)&lt;=VAL_SERIAL)*1000000+27*1000+60))</f>
        <v/>
      </c>
      <c r="GM142" s="39">
        <f>IF(N('Dvd Calendar'!$Y$1409)=0,"",IF(('Dvd Calendar'!$Y$1409&gt;=GRID_FROM)*('Dvd Calendar'!$Y$1409&lt;=GRID_TO)*('Dvd Calendar'!$Y$1409&gt;VAL_DATE)=0,"",'Dvd Calendar'!$Y$1409*1000000000+ISNUMBER('Dvd Calendar'!$Y$1410)*100000000+0*10000000+(N('Dvd Calendar'!$Y$1408)&gt;0)*(N('Dvd Calendar'!$Y$1408)&lt;=VAL_SERIAL)*1000000+27*1000+61))</f>
        <v/>
      </c>
      <c r="GN142" s="39">
        <f>IF(N('Dvd Calendar'!$Z$1409)=0,"",IF(('Dvd Calendar'!$Z$1409&gt;=GRID_FROM)*('Dvd Calendar'!$Z$1409&lt;=GRID_TO)*('Dvd Calendar'!$Z$1409&gt;VAL_DATE)=0,"",'Dvd Calendar'!$Z$1409*1000000000+ISNUMBER('Dvd Calendar'!$Z$1410)*100000000+0*10000000+(N('Dvd Calendar'!$Z$1408)&gt;0)*(N('Dvd Calendar'!$Z$1408)&lt;=VAL_SERIAL)*1000000+27*1000+62))</f>
        <v/>
      </c>
      <c r="GO142" s="39">
        <f>IF(N('Dvd Calendar'!$AA$1409)=0,"",IF(('Dvd Calendar'!$AA$1409&gt;=GRID_FROM)*('Dvd Calendar'!$AA$1409&lt;=GRID_TO)*('Dvd Calendar'!$AA$1409&gt;VAL_DATE)=0,"",'Dvd Calendar'!$AA$1409*1000000000+ISNUMBER('Dvd Calendar'!$AA$1410)*100000000+0*10000000+(N('Dvd Calendar'!$AA$1408)&gt;0)*(N('Dvd Calendar'!$AA$1408)&lt;=VAL_SERIAL)*1000000+27*1000+63))</f>
        <v/>
      </c>
      <c r="GP142" s="39">
        <f>IF(N('Dvd Calendar'!$AB$1409)=0,"",IF(('Dvd Calendar'!$AB$1409&gt;=GRID_FROM)*('Dvd Calendar'!$AB$1409&lt;=GRID_TO)*('Dvd Calendar'!$AB$1409&gt;VAL_DATE)=0,"",'Dvd Calendar'!$AB$1409*1000000000+ISNUMBER('Dvd Calendar'!$AB$1410)*100000000+0*10000000+(N('Dvd Calendar'!$AB$1408)&gt;0)*(N('Dvd Calendar'!$AB$1408)&lt;=VAL_SERIAL)*1000000+27*1000+64))</f>
        <v/>
      </c>
      <c r="GQ142" s="39">
        <f>IF(N('Dvd Calendar'!$AC$1409)=0,"",IF(('Dvd Calendar'!$AC$1409&gt;=GRID_FROM)*('Dvd Calendar'!$AC$1409&lt;=GRID_TO)*('Dvd Calendar'!$AC$1409&gt;VAL_DATE)=0,"",'Dvd Calendar'!$AC$1409*1000000000+ISNUMBER('Dvd Calendar'!$AC$1410)*100000000+0*10000000+(N('Dvd Calendar'!$AC$1408)&gt;0)*(N('Dvd Calendar'!$AC$1408)&lt;=VAL_SERIAL)*1000000+27*1000+65))</f>
        <v/>
      </c>
    </row>
    <row r="143">
      <c r="B143" s="2">
        <f>IF(HSTECH!$C$34="","",HSTECH!$C$34)</f>
        <v/>
      </c>
      <c r="C143" s="110">
        <f>IF(EE143="","",IF(ISNUMBER('Dvd Calendar'!$E$1416)=FALSE,"",IF((('Dvd Calendar'!$E$1418=TYPE1)*(TYPE1&lt;&gt;"")+('Dvd Calendar'!$E$1418=TYPE2)*(TYPE2&lt;&gt;"")+('Dvd Calendar'!$E$1418=TYPE3)*(TYPE3&lt;&gt;"")+('Dvd Calendar'!$E$1418=TYPE4)*(TYPE4&lt;&gt;"")+('Dvd Calendar'!$E$1418=SPECIAL_LBL)*(INC_SPECIALS="Y"))=0,"",'Dvd Calendar'!$E$1416)))</f>
        <v/>
      </c>
      <c r="D143" s="110">
        <f>IF(EF143="","",IF(ISNUMBER('Dvd Calendar'!$F$1416)=FALSE,"",IF((('Dvd Calendar'!$F$1418=TYPE1)*(TYPE1&lt;&gt;"")+('Dvd Calendar'!$F$1418=TYPE2)*(TYPE2&lt;&gt;"")+('Dvd Calendar'!$F$1418=TYPE3)*(TYPE3&lt;&gt;"")+('Dvd Calendar'!$F$1418=TYPE4)*(TYPE4&lt;&gt;"")+('Dvd Calendar'!$F$1418=SPECIAL_LBL)*(INC_SPECIALS="Y"))=0,"",'Dvd Calendar'!$F$1416)))</f>
        <v/>
      </c>
      <c r="E143" s="110">
        <f>IF(EG143="","",IF(ISNUMBER('Dvd Calendar'!$G$1416)=FALSE,"",IF((('Dvd Calendar'!$G$1418=TYPE1)*(TYPE1&lt;&gt;"")+('Dvd Calendar'!$G$1418=TYPE2)*(TYPE2&lt;&gt;"")+('Dvd Calendar'!$G$1418=TYPE3)*(TYPE3&lt;&gt;"")+('Dvd Calendar'!$G$1418=TYPE4)*(TYPE4&lt;&gt;"")+('Dvd Calendar'!$G$1418=SPECIAL_LBL)*(INC_SPECIALS="Y"))=0,"",'Dvd Calendar'!$G$1416)))</f>
        <v/>
      </c>
      <c r="F143" s="110">
        <f>IF(EH143="","",IF(ISNUMBER('Dvd Calendar'!$H$1416)=FALSE,"",IF((('Dvd Calendar'!$H$1418=TYPE1)*(TYPE1&lt;&gt;"")+('Dvd Calendar'!$H$1418=TYPE2)*(TYPE2&lt;&gt;"")+('Dvd Calendar'!$H$1418=TYPE3)*(TYPE3&lt;&gt;"")+('Dvd Calendar'!$H$1418=TYPE4)*(TYPE4&lt;&gt;"")+('Dvd Calendar'!$H$1418=SPECIAL_LBL)*(INC_SPECIALS="Y"))=0,"",'Dvd Calendar'!$H$1416)))</f>
        <v/>
      </c>
      <c r="G143" s="110">
        <f>IF(EI143="","",IF(ISNUMBER('Dvd Calendar'!$I$1416)=FALSE,"",IF((('Dvd Calendar'!$I$1418=TYPE1)*(TYPE1&lt;&gt;"")+('Dvd Calendar'!$I$1418=TYPE2)*(TYPE2&lt;&gt;"")+('Dvd Calendar'!$I$1418=TYPE3)*(TYPE3&lt;&gt;"")+('Dvd Calendar'!$I$1418=TYPE4)*(TYPE4&lt;&gt;"")+('Dvd Calendar'!$I$1418=SPECIAL_LBL)*(INC_SPECIALS="Y"))=0,"",'Dvd Calendar'!$I$1416)))</f>
        <v/>
      </c>
      <c r="H143" s="110">
        <f>IF(EJ143="","",IF(ISNUMBER('Dvd Calendar'!$J$1416)=FALSE,"",IF((('Dvd Calendar'!$J$1418=TYPE1)*(TYPE1&lt;&gt;"")+('Dvd Calendar'!$J$1418=TYPE2)*(TYPE2&lt;&gt;"")+('Dvd Calendar'!$J$1418=TYPE3)*(TYPE3&lt;&gt;"")+('Dvd Calendar'!$J$1418=TYPE4)*(TYPE4&lt;&gt;"")+('Dvd Calendar'!$J$1418=SPECIAL_LBL)*(INC_SPECIALS="Y"))=0,"",'Dvd Calendar'!$J$1416)))</f>
        <v/>
      </c>
      <c r="I143" s="110">
        <f>IF(EK143="","",IF(ISNUMBER('Dvd Calendar'!$K$1416)=FALSE,"",IF((('Dvd Calendar'!$K$1418=TYPE1)*(TYPE1&lt;&gt;"")+('Dvd Calendar'!$K$1418=TYPE2)*(TYPE2&lt;&gt;"")+('Dvd Calendar'!$K$1418=TYPE3)*(TYPE3&lt;&gt;"")+('Dvd Calendar'!$K$1418=TYPE4)*(TYPE4&lt;&gt;"")+('Dvd Calendar'!$K$1418=SPECIAL_LBL)*(INC_SPECIALS="Y"))=0,"",'Dvd Calendar'!$K$1416)))</f>
        <v/>
      </c>
      <c r="J143" s="110">
        <f>IF(EL143="","",IF(ISNUMBER('Dvd Calendar'!$L$1416)=FALSE,"",IF((('Dvd Calendar'!$L$1418=TYPE1)*(TYPE1&lt;&gt;"")+('Dvd Calendar'!$L$1418=TYPE2)*(TYPE2&lt;&gt;"")+('Dvd Calendar'!$L$1418=TYPE3)*(TYPE3&lt;&gt;"")+('Dvd Calendar'!$L$1418=TYPE4)*(TYPE4&lt;&gt;"")+('Dvd Calendar'!$L$1418=SPECIAL_LBL)*(INC_SPECIALS="Y"))=0,"",'Dvd Calendar'!$L$1416)))</f>
        <v/>
      </c>
      <c r="K143" s="110">
        <f>IF(EM143="","",IF(ISNUMBER('Dvd Calendar'!$M$1416)=FALSE,"",IF((('Dvd Calendar'!$M$1418=TYPE1)*(TYPE1&lt;&gt;"")+('Dvd Calendar'!$M$1418=TYPE2)*(TYPE2&lt;&gt;"")+('Dvd Calendar'!$M$1418=TYPE3)*(TYPE3&lt;&gt;"")+('Dvd Calendar'!$M$1418=TYPE4)*(TYPE4&lt;&gt;"")+('Dvd Calendar'!$M$1418=SPECIAL_LBL)*(INC_SPECIALS="Y"))=0,"",'Dvd Calendar'!$M$1416)))</f>
        <v/>
      </c>
      <c r="L143" s="110">
        <f>IF(EN143="","",IF(ISNUMBER('Dvd Calendar'!$N$1416)=FALSE,"",IF((('Dvd Calendar'!$N$1418=TYPE1)*(TYPE1&lt;&gt;"")+('Dvd Calendar'!$N$1418=TYPE2)*(TYPE2&lt;&gt;"")+('Dvd Calendar'!$N$1418=TYPE3)*(TYPE3&lt;&gt;"")+('Dvd Calendar'!$N$1418=TYPE4)*(TYPE4&lt;&gt;"")+('Dvd Calendar'!$N$1418=SPECIAL_LBL)*(INC_SPECIALS="Y"))=0,"",'Dvd Calendar'!$N$1416)))</f>
        <v/>
      </c>
      <c r="M143" s="110">
        <f>IF(EO143="","",IF(ISNUMBER('Dvd Calendar'!$O$1416)=FALSE,"",IF((('Dvd Calendar'!$O$1418=TYPE1)*(TYPE1&lt;&gt;"")+('Dvd Calendar'!$O$1418=TYPE2)*(TYPE2&lt;&gt;"")+('Dvd Calendar'!$O$1418=TYPE3)*(TYPE3&lt;&gt;"")+('Dvd Calendar'!$O$1418=TYPE4)*(TYPE4&lt;&gt;"")+('Dvd Calendar'!$O$1418=SPECIAL_LBL)*(INC_SPECIALS="Y"))=0,"",'Dvd Calendar'!$O$1416)))</f>
        <v/>
      </c>
      <c r="N143" s="110">
        <f>IF(EP143="","",IF(ISNUMBER('Dvd Calendar'!$P$1416)=FALSE,"",IF((('Dvd Calendar'!$P$1418=TYPE1)*(TYPE1&lt;&gt;"")+('Dvd Calendar'!$P$1418=TYPE2)*(TYPE2&lt;&gt;"")+('Dvd Calendar'!$P$1418=TYPE3)*(TYPE3&lt;&gt;"")+('Dvd Calendar'!$P$1418=TYPE4)*(TYPE4&lt;&gt;"")+('Dvd Calendar'!$P$1418=SPECIAL_LBL)*(INC_SPECIALS="Y"))=0,"",'Dvd Calendar'!$P$1416)))</f>
        <v/>
      </c>
      <c r="O143" s="110">
        <f>IF(EQ143="","",IF(ISNUMBER('Dvd Calendar'!$Q$1416)=FALSE,"",IF((('Dvd Calendar'!$Q$1418=TYPE1)*(TYPE1&lt;&gt;"")+('Dvd Calendar'!$Q$1418=TYPE2)*(TYPE2&lt;&gt;"")+('Dvd Calendar'!$Q$1418=TYPE3)*(TYPE3&lt;&gt;"")+('Dvd Calendar'!$Q$1418=TYPE4)*(TYPE4&lt;&gt;"")+('Dvd Calendar'!$Q$1418=SPECIAL_LBL)*(INC_SPECIALS="Y"))=0,"",'Dvd Calendar'!$Q$1416)))</f>
        <v/>
      </c>
      <c r="P143" s="110">
        <f>IF(ER143="","",IF(ISNUMBER('Dvd Calendar'!$R$1416)=FALSE,"",IF((('Dvd Calendar'!$R$1418=TYPE1)*(TYPE1&lt;&gt;"")+('Dvd Calendar'!$R$1418=TYPE2)*(TYPE2&lt;&gt;"")+('Dvd Calendar'!$R$1418=TYPE3)*(TYPE3&lt;&gt;"")+('Dvd Calendar'!$R$1418=TYPE4)*(TYPE4&lt;&gt;"")+('Dvd Calendar'!$R$1418=SPECIAL_LBL)*(INC_SPECIALS="Y"))=0,"",'Dvd Calendar'!$R$1416)))</f>
        <v/>
      </c>
      <c r="Q143" s="110">
        <f>IF(ES143="","",IF(ISNUMBER('Dvd Calendar'!$S$1416)=FALSE,"",IF((('Dvd Calendar'!$S$1418=TYPE1)*(TYPE1&lt;&gt;"")+('Dvd Calendar'!$S$1418=TYPE2)*(TYPE2&lt;&gt;"")+('Dvd Calendar'!$S$1418=TYPE3)*(TYPE3&lt;&gt;"")+('Dvd Calendar'!$S$1418=TYPE4)*(TYPE4&lt;&gt;"")+('Dvd Calendar'!$S$1418=SPECIAL_LBL)*(INC_SPECIALS="Y"))=0,"",'Dvd Calendar'!$S$1416)))</f>
        <v/>
      </c>
      <c r="R143" s="110">
        <f>IF(ET143="","",IF(ISNUMBER('Dvd Calendar'!$T$1416)=FALSE,"",IF((('Dvd Calendar'!$T$1418=TYPE1)*(TYPE1&lt;&gt;"")+('Dvd Calendar'!$T$1418=TYPE2)*(TYPE2&lt;&gt;"")+('Dvd Calendar'!$T$1418=TYPE3)*(TYPE3&lt;&gt;"")+('Dvd Calendar'!$T$1418=TYPE4)*(TYPE4&lt;&gt;"")+('Dvd Calendar'!$T$1418=SPECIAL_LBL)*(INC_SPECIALS="Y"))=0,"",'Dvd Calendar'!$T$1416)))</f>
        <v/>
      </c>
      <c r="S143" s="110">
        <f>IF(EU143="","",IF(ISNUMBER('Dvd Calendar'!$U$1416)=FALSE,"",IF((('Dvd Calendar'!$U$1418=TYPE1)*(TYPE1&lt;&gt;"")+('Dvd Calendar'!$U$1418=TYPE2)*(TYPE2&lt;&gt;"")+('Dvd Calendar'!$U$1418=TYPE3)*(TYPE3&lt;&gt;"")+('Dvd Calendar'!$U$1418=TYPE4)*(TYPE4&lt;&gt;"")+('Dvd Calendar'!$U$1418=SPECIAL_LBL)*(INC_SPECIALS="Y"))=0,"",'Dvd Calendar'!$U$1416)))</f>
        <v/>
      </c>
      <c r="T143" s="110">
        <f>IF(EV143="","",IF(ISNUMBER('Dvd Calendar'!$V$1416)=FALSE,"",IF((('Dvd Calendar'!$V$1418=TYPE1)*(TYPE1&lt;&gt;"")+('Dvd Calendar'!$V$1418=TYPE2)*(TYPE2&lt;&gt;"")+('Dvd Calendar'!$V$1418=TYPE3)*(TYPE3&lt;&gt;"")+('Dvd Calendar'!$V$1418=TYPE4)*(TYPE4&lt;&gt;"")+('Dvd Calendar'!$V$1418=SPECIAL_LBL)*(INC_SPECIALS="Y"))=0,"",'Dvd Calendar'!$V$1416)))</f>
        <v/>
      </c>
      <c r="U143" s="110">
        <f>IF(EW143="","",IF(ISNUMBER('Dvd Calendar'!$W$1416)=FALSE,"",IF((('Dvd Calendar'!$W$1418=TYPE1)*(TYPE1&lt;&gt;"")+('Dvd Calendar'!$W$1418=TYPE2)*(TYPE2&lt;&gt;"")+('Dvd Calendar'!$W$1418=TYPE3)*(TYPE3&lt;&gt;"")+('Dvd Calendar'!$W$1418=TYPE4)*(TYPE4&lt;&gt;"")+('Dvd Calendar'!$W$1418=SPECIAL_LBL)*(INC_SPECIALS="Y"))=0,"",'Dvd Calendar'!$W$1416)))</f>
        <v/>
      </c>
      <c r="V143" s="110">
        <f>IF(EX143="","",IF(ISNUMBER('Dvd Calendar'!$X$1416)=FALSE,"",IF((('Dvd Calendar'!$X$1418=TYPE1)*(TYPE1&lt;&gt;"")+('Dvd Calendar'!$X$1418=TYPE2)*(TYPE2&lt;&gt;"")+('Dvd Calendar'!$X$1418=TYPE3)*(TYPE3&lt;&gt;"")+('Dvd Calendar'!$X$1418=TYPE4)*(TYPE4&lt;&gt;"")+('Dvd Calendar'!$X$1418=SPECIAL_LBL)*(INC_SPECIALS="Y"))=0,"",'Dvd Calendar'!$X$1416)))</f>
        <v/>
      </c>
      <c r="W143" s="110">
        <f>IF(EY143="","",IF(ISNUMBER('Dvd Calendar'!$Y$1416)=FALSE,"",IF((('Dvd Calendar'!$Y$1418=TYPE1)*(TYPE1&lt;&gt;"")+('Dvd Calendar'!$Y$1418=TYPE2)*(TYPE2&lt;&gt;"")+('Dvd Calendar'!$Y$1418=TYPE3)*(TYPE3&lt;&gt;"")+('Dvd Calendar'!$Y$1418=TYPE4)*(TYPE4&lt;&gt;"")+('Dvd Calendar'!$Y$1418=SPECIAL_LBL)*(INC_SPECIALS="Y"))=0,"",'Dvd Calendar'!$Y$1416)))</f>
        <v/>
      </c>
      <c r="X143" s="110">
        <f>IF(EZ143="","",IF(ISNUMBER('Dvd Calendar'!$Z$1416)=FALSE,"",IF((('Dvd Calendar'!$Z$1418=TYPE1)*(TYPE1&lt;&gt;"")+('Dvd Calendar'!$Z$1418=TYPE2)*(TYPE2&lt;&gt;"")+('Dvd Calendar'!$Z$1418=TYPE3)*(TYPE3&lt;&gt;"")+('Dvd Calendar'!$Z$1418=TYPE4)*(TYPE4&lt;&gt;"")+('Dvd Calendar'!$Z$1418=SPECIAL_LBL)*(INC_SPECIALS="Y"))=0,"",'Dvd Calendar'!$Z$1416)))</f>
        <v/>
      </c>
      <c r="Y143" s="110">
        <f>IF(FA143="","",IF(ISNUMBER('Dvd Calendar'!$AA$1416)=FALSE,"",IF((('Dvd Calendar'!$AA$1418=TYPE1)*(TYPE1&lt;&gt;"")+('Dvd Calendar'!$AA$1418=TYPE2)*(TYPE2&lt;&gt;"")+('Dvd Calendar'!$AA$1418=TYPE3)*(TYPE3&lt;&gt;"")+('Dvd Calendar'!$AA$1418=TYPE4)*(TYPE4&lt;&gt;"")+('Dvd Calendar'!$AA$1418=SPECIAL_LBL)*(INC_SPECIALS="Y"))=0,"",'Dvd Calendar'!$AA$1416)))</f>
        <v/>
      </c>
      <c r="Z143" s="110">
        <f>IF(FB143="","",IF(ISNUMBER('Dvd Calendar'!$AB$1416)=FALSE,"",IF((('Dvd Calendar'!$AB$1418=TYPE1)*(TYPE1&lt;&gt;"")+('Dvd Calendar'!$AB$1418=TYPE2)*(TYPE2&lt;&gt;"")+('Dvd Calendar'!$AB$1418=TYPE3)*(TYPE3&lt;&gt;"")+('Dvd Calendar'!$AB$1418=TYPE4)*(TYPE4&lt;&gt;"")+('Dvd Calendar'!$AB$1418=SPECIAL_LBL)*(INC_SPECIALS="Y"))=0,"",'Dvd Calendar'!$AB$1416)))</f>
        <v/>
      </c>
      <c r="AA143" s="110">
        <f>IF(FC143="","",IF(ISNUMBER('Dvd Calendar'!$AC$1416)=FALSE,"",IF((('Dvd Calendar'!$AC$1418=TYPE1)*(TYPE1&lt;&gt;"")+('Dvd Calendar'!$AC$1418=TYPE2)*(TYPE2&lt;&gt;"")+('Dvd Calendar'!$AC$1418=TYPE3)*(TYPE3&lt;&gt;"")+('Dvd Calendar'!$AC$1418=TYPE4)*(TYPE4&lt;&gt;"")+('Dvd Calendar'!$AC$1418=SPECIAL_LBL)*(INC_SPECIALS="Y"))=0,"",'Dvd Calendar'!$AC$1416)))</f>
        <v/>
      </c>
      <c r="AB143" s="110">
        <f>IF(FD143="","",IF(ISNUMBER('Dvd Calendar'!$AD$1416)=FALSE,"",IF((('Dvd Calendar'!$AD$1418=TYPE1)*(TYPE1&lt;&gt;"")+('Dvd Calendar'!$AD$1418=TYPE2)*(TYPE2&lt;&gt;"")+('Dvd Calendar'!$AD$1418=TYPE3)*(TYPE3&lt;&gt;"")+('Dvd Calendar'!$AD$1418=TYPE4)*(TYPE4&lt;&gt;"")+('Dvd Calendar'!$AD$1418=SPECIAL_LBL)*(INC_SPECIALS="Y"))=0,"",'Dvd Calendar'!$AD$1416)))</f>
        <v/>
      </c>
      <c r="AC143" s="110">
        <f>IF(FE143="","",IF(ISNUMBER('Dvd Calendar'!$AE$1416)=FALSE,"",IF((('Dvd Calendar'!$AE$1418=TYPE1)*(TYPE1&lt;&gt;"")+('Dvd Calendar'!$AE$1418=TYPE2)*(TYPE2&lt;&gt;"")+('Dvd Calendar'!$AE$1418=TYPE3)*(TYPE3&lt;&gt;"")+('Dvd Calendar'!$AE$1418=TYPE4)*(TYPE4&lt;&gt;"")+('Dvd Calendar'!$AE$1418=SPECIAL_LBL)*(INC_SPECIALS="Y"))=0,"",'Dvd Calendar'!$AE$1416)))</f>
        <v/>
      </c>
      <c r="AD143" s="110">
        <f>IF(FF143="","",IF(ISNUMBER('Dvd Calendar'!$AF$1416)=FALSE,"",IF((('Dvd Calendar'!$AF$1418=TYPE1)*(TYPE1&lt;&gt;"")+('Dvd Calendar'!$AF$1418=TYPE2)*(TYPE2&lt;&gt;"")+('Dvd Calendar'!$AF$1418=TYPE3)*(TYPE3&lt;&gt;"")+('Dvd Calendar'!$AF$1418=TYPE4)*(TYPE4&lt;&gt;"")+('Dvd Calendar'!$AF$1418=SPECIAL_LBL)*(INC_SPECIALS="Y"))=0,"",'Dvd Calendar'!$AF$1416)))</f>
        <v/>
      </c>
      <c r="AE143" s="110">
        <f>IF(FG143="","",IF(ISNUMBER('Dvd Calendar'!$AG$1416)=FALSE,"",IF((('Dvd Calendar'!$AG$1418=TYPE1)*(TYPE1&lt;&gt;"")+('Dvd Calendar'!$AG$1418=TYPE2)*(TYPE2&lt;&gt;"")+('Dvd Calendar'!$AG$1418=TYPE3)*(TYPE3&lt;&gt;"")+('Dvd Calendar'!$AG$1418=TYPE4)*(TYPE4&lt;&gt;"")+('Dvd Calendar'!$AG$1418=SPECIAL_LBL)*(INC_SPECIALS="Y"))=0,"",'Dvd Calendar'!$AG$1416)))</f>
        <v/>
      </c>
      <c r="AF143" s="110">
        <f>IF(FH143="","",IF(ISNUMBER('Dvd Calendar'!$AH$1416)=FALSE,"",IF((('Dvd Calendar'!$AH$1418=TYPE1)*(TYPE1&lt;&gt;"")+('Dvd Calendar'!$AH$1418=TYPE2)*(TYPE2&lt;&gt;"")+('Dvd Calendar'!$AH$1418=TYPE3)*(TYPE3&lt;&gt;"")+('Dvd Calendar'!$AH$1418=TYPE4)*(TYPE4&lt;&gt;"")+('Dvd Calendar'!$AH$1418=SPECIAL_LBL)*(INC_SPECIALS="Y"))=0,"",'Dvd Calendar'!$AH$1416)))</f>
        <v/>
      </c>
      <c r="AG143" s="110">
        <f>IF(FI143="","",IF(ISNUMBER('Dvd Calendar'!$AI$1416)=FALSE,"",IF((('Dvd Calendar'!$AI$1418=TYPE1)*(TYPE1&lt;&gt;"")+('Dvd Calendar'!$AI$1418=TYPE2)*(TYPE2&lt;&gt;"")+('Dvd Calendar'!$AI$1418=TYPE3)*(TYPE3&lt;&gt;"")+('Dvd Calendar'!$AI$1418=TYPE4)*(TYPE4&lt;&gt;"")+('Dvd Calendar'!$AI$1418=SPECIAL_LBL)*(INC_SPECIALS="Y"))=0,"",'Dvd Calendar'!$AI$1416)))</f>
        <v/>
      </c>
      <c r="AH143" s="110">
        <f>IF(FJ143="","",IF(ISNUMBER('Dvd Calendar'!$AJ$1416)=FALSE,"",IF((('Dvd Calendar'!$AJ$1418=TYPE1)*(TYPE1&lt;&gt;"")+('Dvd Calendar'!$AJ$1418=TYPE2)*(TYPE2&lt;&gt;"")+('Dvd Calendar'!$AJ$1418=TYPE3)*(TYPE3&lt;&gt;"")+('Dvd Calendar'!$AJ$1418=TYPE4)*(TYPE4&lt;&gt;"")+('Dvd Calendar'!$AJ$1418=SPECIAL_LBL)*(INC_SPECIALS="Y"))=0,"",'Dvd Calendar'!$AJ$1416)))</f>
        <v/>
      </c>
      <c r="AI143" s="110">
        <f>IF(FK143="","",IF(ISNUMBER('Dvd Calendar'!$AK$1416)=FALSE,"",IF((('Dvd Calendar'!$AK$1418=TYPE1)*(TYPE1&lt;&gt;"")+('Dvd Calendar'!$AK$1418=TYPE2)*(TYPE2&lt;&gt;"")+('Dvd Calendar'!$AK$1418=TYPE3)*(TYPE3&lt;&gt;"")+('Dvd Calendar'!$AK$1418=TYPE4)*(TYPE4&lt;&gt;"")+('Dvd Calendar'!$AK$1418=SPECIAL_LBL)*(INC_SPECIALS="Y"))=0,"",'Dvd Calendar'!$AK$1416)))</f>
        <v/>
      </c>
      <c r="AJ143" s="110">
        <f>IF(FL143="","",IF(ISNUMBER('Dvd Calendar'!$AL$1416)=FALSE,"",IF((('Dvd Calendar'!$AL$1418=TYPE1)*(TYPE1&lt;&gt;"")+('Dvd Calendar'!$AL$1418=TYPE2)*(TYPE2&lt;&gt;"")+('Dvd Calendar'!$AL$1418=TYPE3)*(TYPE3&lt;&gt;"")+('Dvd Calendar'!$AL$1418=TYPE4)*(TYPE4&lt;&gt;"")+('Dvd Calendar'!$AL$1418=SPECIAL_LBL)*(INC_SPECIALS="Y"))=0,"",'Dvd Calendar'!$AL$1416)))</f>
        <v/>
      </c>
      <c r="AK143" s="110">
        <f>IF(FM143="","",IF(ISNUMBER('Dvd Calendar'!$AM$1416)=FALSE,"",IF((('Dvd Calendar'!$AM$1418=TYPE1)*(TYPE1&lt;&gt;"")+('Dvd Calendar'!$AM$1418=TYPE2)*(TYPE2&lt;&gt;"")+('Dvd Calendar'!$AM$1418=TYPE3)*(TYPE3&lt;&gt;"")+('Dvd Calendar'!$AM$1418=TYPE4)*(TYPE4&lt;&gt;"")+('Dvd Calendar'!$AM$1418=SPECIAL_LBL)*(INC_SPECIALS="Y"))=0,"",'Dvd Calendar'!$AM$1416)))</f>
        <v/>
      </c>
      <c r="AL143" s="110">
        <f>IF(FN143="","",IF(ISNUMBER('Dvd Calendar'!$AN$1416)=FALSE,"",IF((('Dvd Calendar'!$AN$1418=TYPE1)*(TYPE1&lt;&gt;"")+('Dvd Calendar'!$AN$1418=TYPE2)*(TYPE2&lt;&gt;"")+('Dvd Calendar'!$AN$1418=TYPE3)*(TYPE3&lt;&gt;"")+('Dvd Calendar'!$AN$1418=TYPE4)*(TYPE4&lt;&gt;"")+('Dvd Calendar'!$AN$1418=SPECIAL_LBL)*(INC_SPECIALS="Y"))=0,"",'Dvd Calendar'!$AN$1416)))</f>
        <v/>
      </c>
      <c r="AM143" s="110">
        <f>IF(FO143="","",IF(ISNUMBER('Dvd Calendar'!$AO$1416)=FALSE,"",IF((('Dvd Calendar'!$AO$1418=TYPE1)*(TYPE1&lt;&gt;"")+('Dvd Calendar'!$AO$1418=TYPE2)*(TYPE2&lt;&gt;"")+('Dvd Calendar'!$AO$1418=TYPE3)*(TYPE3&lt;&gt;"")+('Dvd Calendar'!$AO$1418=TYPE4)*(TYPE4&lt;&gt;"")+('Dvd Calendar'!$AO$1418=SPECIAL_LBL)*(INC_SPECIALS="Y"))=0,"",'Dvd Calendar'!$AO$1416)))</f>
        <v/>
      </c>
      <c r="AN143" s="110">
        <f>IF(FP143="","",IF(ISNUMBER('Dvd Calendar'!$AP$1416)=FALSE,"",IF((('Dvd Calendar'!$AP$1418=TYPE1)*(TYPE1&lt;&gt;"")+('Dvd Calendar'!$AP$1418=TYPE2)*(TYPE2&lt;&gt;"")+('Dvd Calendar'!$AP$1418=TYPE3)*(TYPE3&lt;&gt;"")+('Dvd Calendar'!$AP$1418=TYPE4)*(TYPE4&lt;&gt;"")+('Dvd Calendar'!$AP$1418=SPECIAL_LBL)*(INC_SPECIALS="Y"))=0,"",'Dvd Calendar'!$AP$1416)))</f>
        <v/>
      </c>
      <c r="AO143" s="110">
        <f>IF(FQ143="","",IF(ISNUMBER('Dvd Calendar'!$AQ$1416)=FALSE,"",IF((('Dvd Calendar'!$AQ$1418=TYPE1)*(TYPE1&lt;&gt;"")+('Dvd Calendar'!$AQ$1418=TYPE2)*(TYPE2&lt;&gt;"")+('Dvd Calendar'!$AQ$1418=TYPE3)*(TYPE3&lt;&gt;"")+('Dvd Calendar'!$AQ$1418=TYPE4)*(TYPE4&lt;&gt;"")+('Dvd Calendar'!$AQ$1418=SPECIAL_LBL)*(INC_SPECIALS="Y"))=0,"",'Dvd Calendar'!$AQ$1416)))</f>
        <v/>
      </c>
      <c r="AP143" s="110">
        <f>IF(FR143="","",IF(ISNUMBER('Dvd Calendar'!$AR$1416)=FALSE,"",IF((('Dvd Calendar'!$AR$1418=TYPE1)*(TYPE1&lt;&gt;"")+('Dvd Calendar'!$AR$1418=TYPE2)*(TYPE2&lt;&gt;"")+('Dvd Calendar'!$AR$1418=TYPE3)*(TYPE3&lt;&gt;"")+('Dvd Calendar'!$AR$1418=TYPE4)*(TYPE4&lt;&gt;"")+('Dvd Calendar'!$AR$1418=SPECIAL_LBL)*(INC_SPECIALS="Y"))=0,"",'Dvd Calendar'!$AR$1416)))</f>
        <v/>
      </c>
      <c r="AQ143" s="110">
        <f>IF(FS143="","",IF(ISNUMBER('Dvd Calendar'!$E$1421)=FALSE,"",'Dvd Calendar'!$E$1421))</f>
        <v/>
      </c>
      <c r="AR143" s="110">
        <f>IF(FT143="","",IF(ISNUMBER('Dvd Calendar'!$F$1421)=FALSE,"",'Dvd Calendar'!$F$1421))</f>
        <v/>
      </c>
      <c r="AS143" s="110">
        <f>IF(FU143="","",IF(ISNUMBER('Dvd Calendar'!$G$1421)=FALSE,"",'Dvd Calendar'!$G$1421))</f>
        <v/>
      </c>
      <c r="AT143" s="110">
        <f>IF(FV143="","",IF(ISNUMBER('Dvd Calendar'!$H$1421)=FALSE,"",'Dvd Calendar'!$H$1421))</f>
        <v/>
      </c>
      <c r="AU143" s="110">
        <f>IF(FW143="","",IF(ISNUMBER('Dvd Calendar'!$I$1421)=FALSE,"",'Dvd Calendar'!$I$1421))</f>
        <v/>
      </c>
      <c r="AV143" s="110">
        <f>IF(FX143="","",IF(ISNUMBER('Dvd Calendar'!$J$1421)=FALSE,"",'Dvd Calendar'!$J$1421))</f>
        <v/>
      </c>
      <c r="AW143" s="110">
        <f>IF(FY143="","",IF(ISNUMBER('Dvd Calendar'!$K$1421)=FALSE,"",'Dvd Calendar'!$K$1421))</f>
        <v/>
      </c>
      <c r="AX143" s="110">
        <f>IF(FZ143="","",IF(ISNUMBER('Dvd Calendar'!$L$1421)=FALSE,"",'Dvd Calendar'!$L$1421))</f>
        <v/>
      </c>
      <c r="AY143" s="110">
        <f>IF(GA143="","",IF(ISNUMBER('Dvd Calendar'!$M$1421)=FALSE,"",'Dvd Calendar'!$M$1421))</f>
        <v/>
      </c>
      <c r="AZ143" s="110">
        <f>IF(GB143="","",IF(ISNUMBER('Dvd Calendar'!$N$1421)=FALSE,"",'Dvd Calendar'!$N$1421))</f>
        <v/>
      </c>
      <c r="BA143" s="110">
        <f>IF(GC143="","",IF(ISNUMBER('Dvd Calendar'!$O$1421)=FALSE,"",'Dvd Calendar'!$O$1421))</f>
        <v/>
      </c>
      <c r="BB143" s="110">
        <f>IF(GD143="","",IF(ISNUMBER('Dvd Calendar'!$P$1421)=FALSE,"",'Dvd Calendar'!$P$1421))</f>
        <v/>
      </c>
      <c r="BC143" s="110">
        <f>IF(GE143="","",IF(ISNUMBER('Dvd Calendar'!$Q$1421)=FALSE,"",'Dvd Calendar'!$Q$1421))</f>
        <v/>
      </c>
      <c r="BD143" s="110">
        <f>IF(GF143="","",IF(ISNUMBER('Dvd Calendar'!$R$1421)=FALSE,"",'Dvd Calendar'!$R$1421))</f>
        <v/>
      </c>
      <c r="BE143" s="110">
        <f>IF(GG143="","",IF(ISNUMBER('Dvd Calendar'!$S$1421)=FALSE,"",'Dvd Calendar'!$S$1421))</f>
        <v/>
      </c>
      <c r="BF143" s="110">
        <f>IF(GH143="","",IF(ISNUMBER('Dvd Calendar'!$T$1421)=FALSE,"",'Dvd Calendar'!$T$1421))</f>
        <v/>
      </c>
      <c r="BG143" s="110">
        <f>IF(GI143="","",IF(ISNUMBER('Dvd Calendar'!$U$1421)=FALSE,"",'Dvd Calendar'!$U$1421))</f>
        <v/>
      </c>
      <c r="BH143" s="110">
        <f>IF(GJ143="","",IF(ISNUMBER('Dvd Calendar'!$V$1421)=FALSE,"",'Dvd Calendar'!$V$1421))</f>
        <v/>
      </c>
      <c r="BI143" s="110">
        <f>IF(GK143="","",IF(ISNUMBER('Dvd Calendar'!$W$1421)=FALSE,"",'Dvd Calendar'!$W$1421))</f>
        <v/>
      </c>
      <c r="BJ143" s="110">
        <f>IF(GL143="","",IF(ISNUMBER('Dvd Calendar'!$X$1421)=FALSE,"",'Dvd Calendar'!$X$1421))</f>
        <v/>
      </c>
      <c r="BK143" s="110">
        <f>IF(GM143="","",IF(ISNUMBER('Dvd Calendar'!$Y$1421)=FALSE,"",'Dvd Calendar'!$Y$1421))</f>
        <v/>
      </c>
      <c r="BL143" s="110">
        <f>IF(GN143="","",IF(ISNUMBER('Dvd Calendar'!$Z$1421)=FALSE,"",'Dvd Calendar'!$Z$1421))</f>
        <v/>
      </c>
      <c r="BM143" s="110">
        <f>IF(GO143="","",IF(ISNUMBER('Dvd Calendar'!$AA$1421)=FALSE,"",'Dvd Calendar'!$AA$1421))</f>
        <v/>
      </c>
      <c r="BN143" s="110">
        <f>IF(GP143="","",IF(ISNUMBER('Dvd Calendar'!$AB$1421)=FALSE,"",'Dvd Calendar'!$AB$1421))</f>
        <v/>
      </c>
      <c r="BO143" s="110">
        <f>IF(GQ143="","",IF(ISNUMBER('Dvd Calendar'!$AC$1421)=FALSE,"",'Dvd Calendar'!$AC$1421))</f>
        <v/>
      </c>
      <c r="BQ143" s="110">
        <f>IF(C143="","",IFERROR(C143*HSTECH!$B$34*HSTECH!$G$34/HSTECH!$B$3,""))</f>
        <v/>
      </c>
      <c r="BR143" s="110">
        <f>IF(D143="","",IFERROR(D143*HSTECH!$B$34*HSTECH!$G$34/HSTECH!$B$3,""))</f>
        <v/>
      </c>
      <c r="BS143" s="110">
        <f>IF(E143="","",IFERROR(E143*HSTECH!$B$34*HSTECH!$G$34/HSTECH!$B$3,""))</f>
        <v/>
      </c>
      <c r="BT143" s="110">
        <f>IF(F143="","",IFERROR(F143*HSTECH!$B$34*HSTECH!$G$34/HSTECH!$B$3,""))</f>
        <v/>
      </c>
      <c r="BU143" s="110">
        <f>IF(G143="","",IFERROR(G143*HSTECH!$B$34*HSTECH!$G$34/HSTECH!$B$3,""))</f>
        <v/>
      </c>
      <c r="BV143" s="110">
        <f>IF(H143="","",IFERROR(H143*HSTECH!$B$34*HSTECH!$G$34/HSTECH!$B$3,""))</f>
        <v/>
      </c>
      <c r="BW143" s="110">
        <f>IF(I143="","",IFERROR(I143*HSTECH!$B$34*HSTECH!$G$34/HSTECH!$B$3,""))</f>
        <v/>
      </c>
      <c r="BX143" s="110">
        <f>IF(J143="","",IFERROR(J143*HSTECH!$B$34*HSTECH!$G$34/HSTECH!$B$3,""))</f>
        <v/>
      </c>
      <c r="BY143" s="110">
        <f>IF(K143="","",IFERROR(K143*HSTECH!$B$34*HSTECH!$G$34/HSTECH!$B$3,""))</f>
        <v/>
      </c>
      <c r="BZ143" s="110">
        <f>IF(L143="","",IFERROR(L143*HSTECH!$B$34*HSTECH!$G$34/HSTECH!$B$3,""))</f>
        <v/>
      </c>
      <c r="CA143" s="110">
        <f>IF(M143="","",IFERROR(M143*HSTECH!$B$34*HSTECH!$G$34/HSTECH!$B$3,""))</f>
        <v/>
      </c>
      <c r="CB143" s="110">
        <f>IF(N143="","",IFERROR(N143*HSTECH!$B$34*HSTECH!$G$34/HSTECH!$B$3,""))</f>
        <v/>
      </c>
      <c r="CC143" s="110">
        <f>IF(O143="","",IFERROR(O143*HSTECH!$B$34*HSTECH!$G$34/HSTECH!$B$3,""))</f>
        <v/>
      </c>
      <c r="CD143" s="110">
        <f>IF(P143="","",IFERROR(P143*HSTECH!$B$34*HSTECH!$G$34/HSTECH!$B$3,""))</f>
        <v/>
      </c>
      <c r="CE143" s="110">
        <f>IF(Q143="","",IFERROR(Q143*HSTECH!$B$34*HSTECH!$G$34/HSTECH!$B$3,""))</f>
        <v/>
      </c>
      <c r="CF143" s="110">
        <f>IF(R143="","",IFERROR(R143*HSTECH!$B$34*HSTECH!$G$34/HSTECH!$B$3,""))</f>
        <v/>
      </c>
      <c r="CG143" s="110">
        <f>IF(S143="","",IFERROR(S143*HSTECH!$B$34*HSTECH!$G$34/HSTECH!$B$3,""))</f>
        <v/>
      </c>
      <c r="CH143" s="110">
        <f>IF(T143="","",IFERROR(T143*HSTECH!$B$34*HSTECH!$G$34/HSTECH!$B$3,""))</f>
        <v/>
      </c>
      <c r="CI143" s="110">
        <f>IF(U143="","",IFERROR(U143*HSTECH!$B$34*HSTECH!$G$34/HSTECH!$B$3,""))</f>
        <v/>
      </c>
      <c r="CJ143" s="110">
        <f>IF(V143="","",IFERROR(V143*HSTECH!$B$34*HSTECH!$G$34/HSTECH!$B$3,""))</f>
        <v/>
      </c>
      <c r="CK143" s="110">
        <f>IF(W143="","",IFERROR(W143*HSTECH!$B$34*HSTECH!$G$34/HSTECH!$B$3,""))</f>
        <v/>
      </c>
      <c r="CL143" s="110">
        <f>IF(X143="","",IFERROR(X143*HSTECH!$B$34*HSTECH!$G$34/HSTECH!$B$3,""))</f>
        <v/>
      </c>
      <c r="CM143" s="110">
        <f>IF(Y143="","",IFERROR(Y143*HSTECH!$B$34*HSTECH!$G$34/HSTECH!$B$3,""))</f>
        <v/>
      </c>
      <c r="CN143" s="110">
        <f>IF(Z143="","",IFERROR(Z143*HSTECH!$B$34*HSTECH!$G$34/HSTECH!$B$3,""))</f>
        <v/>
      </c>
      <c r="CO143" s="110">
        <f>IF(AA143="","",IFERROR(AA143*HSTECH!$B$34*HSTECH!$G$34/HSTECH!$B$3,""))</f>
        <v/>
      </c>
      <c r="CP143" s="110">
        <f>IF(AB143="","",IFERROR(AB143*HSTECH!$B$34*HSTECH!$G$34/HSTECH!$B$3,""))</f>
        <v/>
      </c>
      <c r="CQ143" s="110">
        <f>IF(AC143="","",IFERROR(AC143*HSTECH!$B$34*HSTECH!$G$34/HSTECH!$B$3,""))</f>
        <v/>
      </c>
      <c r="CR143" s="110">
        <f>IF(AD143="","",IFERROR(AD143*HSTECH!$B$34*HSTECH!$G$34/HSTECH!$B$3,""))</f>
        <v/>
      </c>
      <c r="CS143" s="110">
        <f>IF(AE143="","",IFERROR(AE143*HSTECH!$B$34*HSTECH!$G$34/HSTECH!$B$3,""))</f>
        <v/>
      </c>
      <c r="CT143" s="110">
        <f>IF(AF143="","",IFERROR(AF143*HSTECH!$B$34*HSTECH!$G$34/HSTECH!$B$3,""))</f>
        <v/>
      </c>
      <c r="CU143" s="110">
        <f>IF(AG143="","",IFERROR(AG143*HSTECH!$B$34*HSTECH!$G$34/HSTECH!$B$3,""))</f>
        <v/>
      </c>
      <c r="CV143" s="110">
        <f>IF(AH143="","",IFERROR(AH143*HSTECH!$B$34*HSTECH!$G$34/HSTECH!$B$3,""))</f>
        <v/>
      </c>
      <c r="CW143" s="110">
        <f>IF(AI143="","",IFERROR(AI143*HSTECH!$B$34*HSTECH!$G$34/HSTECH!$B$3,""))</f>
        <v/>
      </c>
      <c r="CX143" s="110">
        <f>IF(AJ143="","",IFERROR(AJ143*HSTECH!$B$34*HSTECH!$G$34/HSTECH!$B$3,""))</f>
        <v/>
      </c>
      <c r="CY143" s="110">
        <f>IF(AK143="","",IFERROR(AK143*HSTECH!$B$34*HSTECH!$G$34/HSTECH!$B$3,""))</f>
        <v/>
      </c>
      <c r="CZ143" s="110">
        <f>IF(AL143="","",IFERROR(AL143*HSTECH!$B$34*HSTECH!$G$34/HSTECH!$B$3,""))</f>
        <v/>
      </c>
      <c r="DA143" s="110">
        <f>IF(AM143="","",IFERROR(AM143*HSTECH!$B$34*HSTECH!$G$34/HSTECH!$B$3,""))</f>
        <v/>
      </c>
      <c r="DB143" s="110">
        <f>IF(AN143="","",IFERROR(AN143*HSTECH!$B$34*HSTECH!$G$34/HSTECH!$B$3,""))</f>
        <v/>
      </c>
      <c r="DC143" s="110">
        <f>IF(AO143="","",IFERROR(AO143*HSTECH!$B$34*HSTECH!$G$34/HSTECH!$B$3,""))</f>
        <v/>
      </c>
      <c r="DD143" s="110">
        <f>IF(AP143="","",IFERROR(AP143*HSTECH!$B$34*HSTECH!$G$34/HSTECH!$B$3,""))</f>
        <v/>
      </c>
      <c r="DE143" s="110">
        <f>IF(AQ143="","",IFERROR(AQ143*HSTECH!$B$34*HSTECH!$G$34/HSTECH!$B$3,""))</f>
        <v/>
      </c>
      <c r="DF143" s="110">
        <f>IF(AR143="","",IFERROR(AR143*HSTECH!$B$34*HSTECH!$G$34/HSTECH!$B$3,""))</f>
        <v/>
      </c>
      <c r="DG143" s="110">
        <f>IF(AS143="","",IFERROR(AS143*HSTECH!$B$34*HSTECH!$G$34/HSTECH!$B$3,""))</f>
        <v/>
      </c>
      <c r="DH143" s="110">
        <f>IF(AT143="","",IFERROR(AT143*HSTECH!$B$34*HSTECH!$G$34/HSTECH!$B$3,""))</f>
        <v/>
      </c>
      <c r="DI143" s="110">
        <f>IF(AU143="","",IFERROR(AU143*HSTECH!$B$34*HSTECH!$G$34/HSTECH!$B$3,""))</f>
        <v/>
      </c>
      <c r="DJ143" s="110">
        <f>IF(AV143="","",IFERROR(AV143*HSTECH!$B$34*HSTECH!$G$34/HSTECH!$B$3,""))</f>
        <v/>
      </c>
      <c r="DK143" s="110">
        <f>IF(AW143="","",IFERROR(AW143*HSTECH!$B$34*HSTECH!$G$34/HSTECH!$B$3,""))</f>
        <v/>
      </c>
      <c r="DL143" s="110">
        <f>IF(AX143="","",IFERROR(AX143*HSTECH!$B$34*HSTECH!$G$34/HSTECH!$B$3,""))</f>
        <v/>
      </c>
      <c r="DM143" s="110">
        <f>IF(AY143="","",IFERROR(AY143*HSTECH!$B$34*HSTECH!$G$34/HSTECH!$B$3,""))</f>
        <v/>
      </c>
      <c r="DN143" s="110">
        <f>IF(AZ143="","",IFERROR(AZ143*HSTECH!$B$34*HSTECH!$G$34/HSTECH!$B$3,""))</f>
        <v/>
      </c>
      <c r="DO143" s="110">
        <f>IF(BA143="","",IFERROR(BA143*HSTECH!$B$34*HSTECH!$G$34/HSTECH!$B$3,""))</f>
        <v/>
      </c>
      <c r="DP143" s="110">
        <f>IF(BB143="","",IFERROR(BB143*HSTECH!$B$34*HSTECH!$G$34/HSTECH!$B$3,""))</f>
        <v/>
      </c>
      <c r="DQ143" s="110">
        <f>IF(BC143="","",IFERROR(BC143*HSTECH!$B$34*HSTECH!$G$34/HSTECH!$B$3,""))</f>
        <v/>
      </c>
      <c r="DR143" s="110">
        <f>IF(BD143="","",IFERROR(BD143*HSTECH!$B$34*HSTECH!$G$34/HSTECH!$B$3,""))</f>
        <v/>
      </c>
      <c r="DS143" s="110">
        <f>IF(BE143="","",IFERROR(BE143*HSTECH!$B$34*HSTECH!$G$34/HSTECH!$B$3,""))</f>
        <v/>
      </c>
      <c r="DT143" s="110">
        <f>IF(BF143="","",IFERROR(BF143*HSTECH!$B$34*HSTECH!$G$34/HSTECH!$B$3,""))</f>
        <v/>
      </c>
      <c r="DU143" s="110">
        <f>IF(BG143="","",IFERROR(BG143*HSTECH!$B$34*HSTECH!$G$34/HSTECH!$B$3,""))</f>
        <v/>
      </c>
      <c r="DV143" s="110">
        <f>IF(BH143="","",IFERROR(BH143*HSTECH!$B$34*HSTECH!$G$34/HSTECH!$B$3,""))</f>
        <v/>
      </c>
      <c r="DW143" s="110">
        <f>IF(BI143="","",IFERROR(BI143*HSTECH!$B$34*HSTECH!$G$34/HSTECH!$B$3,""))</f>
        <v/>
      </c>
      <c r="DX143" s="110">
        <f>IF(BJ143="","",IFERROR(BJ143*HSTECH!$B$34*HSTECH!$G$34/HSTECH!$B$3,""))</f>
        <v/>
      </c>
      <c r="DY143" s="110">
        <f>IF(BK143="","",IFERROR(BK143*HSTECH!$B$34*HSTECH!$G$34/HSTECH!$B$3,""))</f>
        <v/>
      </c>
      <c r="DZ143" s="110">
        <f>IF(BL143="","",IFERROR(BL143*HSTECH!$B$34*HSTECH!$G$34/HSTECH!$B$3,""))</f>
        <v/>
      </c>
      <c r="EA143" s="110">
        <f>IF(BM143="","",IFERROR(BM143*HSTECH!$B$34*HSTECH!$G$34/HSTECH!$B$3,""))</f>
        <v/>
      </c>
      <c r="EB143" s="110">
        <f>IF(BN143="","",IFERROR(BN143*HSTECH!$B$34*HSTECH!$G$34/HSTECH!$B$3,""))</f>
        <v/>
      </c>
      <c r="EC143" s="110">
        <f>IF(BO143="","",IFERROR(BO143*HSTECH!$B$34*HSTECH!$G$34/HSTECH!$B$3,""))</f>
        <v/>
      </c>
      <c r="EE143" s="39">
        <f>IF(N('Dvd Calendar'!$E$1413)=0,"",IF(('Dvd Calendar'!$E$1413&gt;=GRID_FROM)*('Dvd Calendar'!$E$1413&lt;=GRID_TO)*((('Dvd Calendar'!$E$1413&lt;=VAL_DATE)+(COUNTIF('Dvd Calendar'!$E$1420:$AR$1420,'Dvd Calendar'!$E$1413)=0))&gt;0)=0,"",'Dvd Calendar'!$E$1413*1000000000+ISNUMBER('Dvd Calendar'!$E$1416)*100000000+('Dvd Calendar'!$E$1418=SPECIAL_LBL)*10000000+(N('Dvd Calendar'!$E$1412)&gt;0)*(N('Dvd Calendar'!$E$1412)&lt;=VAL_SERIAL)*1000000+28*1000+1))</f>
        <v/>
      </c>
      <c r="EF143" s="39">
        <f>IF(N('Dvd Calendar'!$F$1413)=0,"",IF(('Dvd Calendar'!$F$1413&gt;=GRID_FROM)*('Dvd Calendar'!$F$1413&lt;=GRID_TO)*((('Dvd Calendar'!$F$1413&lt;=VAL_DATE)+(COUNTIF('Dvd Calendar'!$E$1420:$AR$1420,'Dvd Calendar'!$F$1413)=0))&gt;0)=0,"",'Dvd Calendar'!$F$1413*1000000000+ISNUMBER('Dvd Calendar'!$F$1416)*100000000+('Dvd Calendar'!$F$1418=SPECIAL_LBL)*10000000+(N('Dvd Calendar'!$F$1412)&gt;0)*(N('Dvd Calendar'!$F$1412)&lt;=VAL_SERIAL)*1000000+28*1000+2))</f>
        <v/>
      </c>
      <c r="EG143" s="39">
        <f>IF(N('Dvd Calendar'!$G$1413)=0,"",IF(('Dvd Calendar'!$G$1413&gt;=GRID_FROM)*('Dvd Calendar'!$G$1413&lt;=GRID_TO)*((('Dvd Calendar'!$G$1413&lt;=VAL_DATE)+(COUNTIF('Dvd Calendar'!$E$1420:$AR$1420,'Dvd Calendar'!$G$1413)=0))&gt;0)=0,"",'Dvd Calendar'!$G$1413*1000000000+ISNUMBER('Dvd Calendar'!$G$1416)*100000000+('Dvd Calendar'!$G$1418=SPECIAL_LBL)*10000000+(N('Dvd Calendar'!$G$1412)&gt;0)*(N('Dvd Calendar'!$G$1412)&lt;=VAL_SERIAL)*1000000+28*1000+3))</f>
        <v/>
      </c>
      <c r="EH143" s="39">
        <f>IF(N('Dvd Calendar'!$H$1413)=0,"",IF(('Dvd Calendar'!$H$1413&gt;=GRID_FROM)*('Dvd Calendar'!$H$1413&lt;=GRID_TO)*((('Dvd Calendar'!$H$1413&lt;=VAL_DATE)+(COUNTIF('Dvd Calendar'!$E$1420:$AR$1420,'Dvd Calendar'!$H$1413)=0))&gt;0)=0,"",'Dvd Calendar'!$H$1413*1000000000+ISNUMBER('Dvd Calendar'!$H$1416)*100000000+('Dvd Calendar'!$H$1418=SPECIAL_LBL)*10000000+(N('Dvd Calendar'!$H$1412)&gt;0)*(N('Dvd Calendar'!$H$1412)&lt;=VAL_SERIAL)*1000000+28*1000+4))</f>
        <v/>
      </c>
      <c r="EI143" s="39">
        <f>IF(N('Dvd Calendar'!$I$1413)=0,"",IF(('Dvd Calendar'!$I$1413&gt;=GRID_FROM)*('Dvd Calendar'!$I$1413&lt;=GRID_TO)*((('Dvd Calendar'!$I$1413&lt;=VAL_DATE)+(COUNTIF('Dvd Calendar'!$E$1420:$AR$1420,'Dvd Calendar'!$I$1413)=0))&gt;0)=0,"",'Dvd Calendar'!$I$1413*1000000000+ISNUMBER('Dvd Calendar'!$I$1416)*100000000+('Dvd Calendar'!$I$1418=SPECIAL_LBL)*10000000+(N('Dvd Calendar'!$I$1412)&gt;0)*(N('Dvd Calendar'!$I$1412)&lt;=VAL_SERIAL)*1000000+28*1000+5))</f>
        <v/>
      </c>
      <c r="EJ143" s="39">
        <f>IF(N('Dvd Calendar'!$J$1413)=0,"",IF(('Dvd Calendar'!$J$1413&gt;=GRID_FROM)*('Dvd Calendar'!$J$1413&lt;=GRID_TO)*((('Dvd Calendar'!$J$1413&lt;=VAL_DATE)+(COUNTIF('Dvd Calendar'!$E$1420:$AR$1420,'Dvd Calendar'!$J$1413)=0))&gt;0)=0,"",'Dvd Calendar'!$J$1413*1000000000+ISNUMBER('Dvd Calendar'!$J$1416)*100000000+('Dvd Calendar'!$J$1418=SPECIAL_LBL)*10000000+(N('Dvd Calendar'!$J$1412)&gt;0)*(N('Dvd Calendar'!$J$1412)&lt;=VAL_SERIAL)*1000000+28*1000+6))</f>
        <v/>
      </c>
      <c r="EK143" s="39">
        <f>IF(N('Dvd Calendar'!$K$1413)=0,"",IF(('Dvd Calendar'!$K$1413&gt;=GRID_FROM)*('Dvd Calendar'!$K$1413&lt;=GRID_TO)*((('Dvd Calendar'!$K$1413&lt;=VAL_DATE)+(COUNTIF('Dvd Calendar'!$E$1420:$AR$1420,'Dvd Calendar'!$K$1413)=0))&gt;0)=0,"",'Dvd Calendar'!$K$1413*1000000000+ISNUMBER('Dvd Calendar'!$K$1416)*100000000+('Dvd Calendar'!$K$1418=SPECIAL_LBL)*10000000+(N('Dvd Calendar'!$K$1412)&gt;0)*(N('Dvd Calendar'!$K$1412)&lt;=VAL_SERIAL)*1000000+28*1000+7))</f>
        <v/>
      </c>
      <c r="EL143" s="39">
        <f>IF(N('Dvd Calendar'!$L$1413)=0,"",IF(('Dvd Calendar'!$L$1413&gt;=GRID_FROM)*('Dvd Calendar'!$L$1413&lt;=GRID_TO)*((('Dvd Calendar'!$L$1413&lt;=VAL_DATE)+(COUNTIF('Dvd Calendar'!$E$1420:$AR$1420,'Dvd Calendar'!$L$1413)=0))&gt;0)=0,"",'Dvd Calendar'!$L$1413*1000000000+ISNUMBER('Dvd Calendar'!$L$1416)*100000000+('Dvd Calendar'!$L$1418=SPECIAL_LBL)*10000000+(N('Dvd Calendar'!$L$1412)&gt;0)*(N('Dvd Calendar'!$L$1412)&lt;=VAL_SERIAL)*1000000+28*1000+8))</f>
        <v/>
      </c>
      <c r="EM143" s="39">
        <f>IF(N('Dvd Calendar'!$M$1413)=0,"",IF(('Dvd Calendar'!$M$1413&gt;=GRID_FROM)*('Dvd Calendar'!$M$1413&lt;=GRID_TO)*((('Dvd Calendar'!$M$1413&lt;=VAL_DATE)+(COUNTIF('Dvd Calendar'!$E$1420:$AR$1420,'Dvd Calendar'!$M$1413)=0))&gt;0)=0,"",'Dvd Calendar'!$M$1413*1000000000+ISNUMBER('Dvd Calendar'!$M$1416)*100000000+('Dvd Calendar'!$M$1418=SPECIAL_LBL)*10000000+(N('Dvd Calendar'!$M$1412)&gt;0)*(N('Dvd Calendar'!$M$1412)&lt;=VAL_SERIAL)*1000000+28*1000+9))</f>
        <v/>
      </c>
      <c r="EN143" s="39">
        <f>IF(N('Dvd Calendar'!$N$1413)=0,"",IF(('Dvd Calendar'!$N$1413&gt;=GRID_FROM)*('Dvd Calendar'!$N$1413&lt;=GRID_TO)*((('Dvd Calendar'!$N$1413&lt;=VAL_DATE)+(COUNTIF('Dvd Calendar'!$E$1420:$AR$1420,'Dvd Calendar'!$N$1413)=0))&gt;0)=0,"",'Dvd Calendar'!$N$1413*1000000000+ISNUMBER('Dvd Calendar'!$N$1416)*100000000+('Dvd Calendar'!$N$1418=SPECIAL_LBL)*10000000+(N('Dvd Calendar'!$N$1412)&gt;0)*(N('Dvd Calendar'!$N$1412)&lt;=VAL_SERIAL)*1000000+28*1000+10))</f>
        <v/>
      </c>
      <c r="EO143" s="39">
        <f>IF(N('Dvd Calendar'!$O$1413)=0,"",IF(('Dvd Calendar'!$O$1413&gt;=GRID_FROM)*('Dvd Calendar'!$O$1413&lt;=GRID_TO)*((('Dvd Calendar'!$O$1413&lt;=VAL_DATE)+(COUNTIF('Dvd Calendar'!$E$1420:$AR$1420,'Dvd Calendar'!$O$1413)=0))&gt;0)=0,"",'Dvd Calendar'!$O$1413*1000000000+ISNUMBER('Dvd Calendar'!$O$1416)*100000000+('Dvd Calendar'!$O$1418=SPECIAL_LBL)*10000000+(N('Dvd Calendar'!$O$1412)&gt;0)*(N('Dvd Calendar'!$O$1412)&lt;=VAL_SERIAL)*1000000+28*1000+11))</f>
        <v/>
      </c>
      <c r="EP143" s="39">
        <f>IF(N('Dvd Calendar'!$P$1413)=0,"",IF(('Dvd Calendar'!$P$1413&gt;=GRID_FROM)*('Dvd Calendar'!$P$1413&lt;=GRID_TO)*((('Dvd Calendar'!$P$1413&lt;=VAL_DATE)+(COUNTIF('Dvd Calendar'!$E$1420:$AR$1420,'Dvd Calendar'!$P$1413)=0))&gt;0)=0,"",'Dvd Calendar'!$P$1413*1000000000+ISNUMBER('Dvd Calendar'!$P$1416)*100000000+('Dvd Calendar'!$P$1418=SPECIAL_LBL)*10000000+(N('Dvd Calendar'!$P$1412)&gt;0)*(N('Dvd Calendar'!$P$1412)&lt;=VAL_SERIAL)*1000000+28*1000+12))</f>
        <v/>
      </c>
      <c r="EQ143" s="39">
        <f>IF(N('Dvd Calendar'!$Q$1413)=0,"",IF(('Dvd Calendar'!$Q$1413&gt;=GRID_FROM)*('Dvd Calendar'!$Q$1413&lt;=GRID_TO)*((('Dvd Calendar'!$Q$1413&lt;=VAL_DATE)+(COUNTIF('Dvd Calendar'!$E$1420:$AR$1420,'Dvd Calendar'!$Q$1413)=0))&gt;0)=0,"",'Dvd Calendar'!$Q$1413*1000000000+ISNUMBER('Dvd Calendar'!$Q$1416)*100000000+('Dvd Calendar'!$Q$1418=SPECIAL_LBL)*10000000+(N('Dvd Calendar'!$Q$1412)&gt;0)*(N('Dvd Calendar'!$Q$1412)&lt;=VAL_SERIAL)*1000000+28*1000+13))</f>
        <v/>
      </c>
      <c r="ER143" s="39">
        <f>IF(N('Dvd Calendar'!$R$1413)=0,"",IF(('Dvd Calendar'!$R$1413&gt;=GRID_FROM)*('Dvd Calendar'!$R$1413&lt;=GRID_TO)*((('Dvd Calendar'!$R$1413&lt;=VAL_DATE)+(COUNTIF('Dvd Calendar'!$E$1420:$AR$1420,'Dvd Calendar'!$R$1413)=0))&gt;0)=0,"",'Dvd Calendar'!$R$1413*1000000000+ISNUMBER('Dvd Calendar'!$R$1416)*100000000+('Dvd Calendar'!$R$1418=SPECIAL_LBL)*10000000+(N('Dvd Calendar'!$R$1412)&gt;0)*(N('Dvd Calendar'!$R$1412)&lt;=VAL_SERIAL)*1000000+28*1000+14))</f>
        <v/>
      </c>
      <c r="ES143" s="39">
        <f>IF(N('Dvd Calendar'!$S$1413)=0,"",IF(('Dvd Calendar'!$S$1413&gt;=GRID_FROM)*('Dvd Calendar'!$S$1413&lt;=GRID_TO)*((('Dvd Calendar'!$S$1413&lt;=VAL_DATE)+(COUNTIF('Dvd Calendar'!$E$1420:$AR$1420,'Dvd Calendar'!$S$1413)=0))&gt;0)=0,"",'Dvd Calendar'!$S$1413*1000000000+ISNUMBER('Dvd Calendar'!$S$1416)*100000000+('Dvd Calendar'!$S$1418=SPECIAL_LBL)*10000000+(N('Dvd Calendar'!$S$1412)&gt;0)*(N('Dvd Calendar'!$S$1412)&lt;=VAL_SERIAL)*1000000+28*1000+15))</f>
        <v/>
      </c>
      <c r="ET143" s="39">
        <f>IF(N('Dvd Calendar'!$T$1413)=0,"",IF(('Dvd Calendar'!$T$1413&gt;=GRID_FROM)*('Dvd Calendar'!$T$1413&lt;=GRID_TO)*((('Dvd Calendar'!$T$1413&lt;=VAL_DATE)+(COUNTIF('Dvd Calendar'!$E$1420:$AR$1420,'Dvd Calendar'!$T$1413)=0))&gt;0)=0,"",'Dvd Calendar'!$T$1413*1000000000+ISNUMBER('Dvd Calendar'!$T$1416)*100000000+('Dvd Calendar'!$T$1418=SPECIAL_LBL)*10000000+(N('Dvd Calendar'!$T$1412)&gt;0)*(N('Dvd Calendar'!$T$1412)&lt;=VAL_SERIAL)*1000000+28*1000+16))</f>
        <v/>
      </c>
      <c r="EU143" s="39">
        <f>IF(N('Dvd Calendar'!$U$1413)=0,"",IF(('Dvd Calendar'!$U$1413&gt;=GRID_FROM)*('Dvd Calendar'!$U$1413&lt;=GRID_TO)*((('Dvd Calendar'!$U$1413&lt;=VAL_DATE)+(COUNTIF('Dvd Calendar'!$E$1420:$AR$1420,'Dvd Calendar'!$U$1413)=0))&gt;0)=0,"",'Dvd Calendar'!$U$1413*1000000000+ISNUMBER('Dvd Calendar'!$U$1416)*100000000+('Dvd Calendar'!$U$1418=SPECIAL_LBL)*10000000+(N('Dvd Calendar'!$U$1412)&gt;0)*(N('Dvd Calendar'!$U$1412)&lt;=VAL_SERIAL)*1000000+28*1000+17))</f>
        <v/>
      </c>
      <c r="EV143" s="39">
        <f>IF(N('Dvd Calendar'!$V$1413)=0,"",IF(('Dvd Calendar'!$V$1413&gt;=GRID_FROM)*('Dvd Calendar'!$V$1413&lt;=GRID_TO)*((('Dvd Calendar'!$V$1413&lt;=VAL_DATE)+(COUNTIF('Dvd Calendar'!$E$1420:$AR$1420,'Dvd Calendar'!$V$1413)=0))&gt;0)=0,"",'Dvd Calendar'!$V$1413*1000000000+ISNUMBER('Dvd Calendar'!$V$1416)*100000000+('Dvd Calendar'!$V$1418=SPECIAL_LBL)*10000000+(N('Dvd Calendar'!$V$1412)&gt;0)*(N('Dvd Calendar'!$V$1412)&lt;=VAL_SERIAL)*1000000+28*1000+18))</f>
        <v/>
      </c>
      <c r="EW143" s="39">
        <f>IF(N('Dvd Calendar'!$W$1413)=0,"",IF(('Dvd Calendar'!$W$1413&gt;=GRID_FROM)*('Dvd Calendar'!$W$1413&lt;=GRID_TO)*((('Dvd Calendar'!$W$1413&lt;=VAL_DATE)+(COUNTIF('Dvd Calendar'!$E$1420:$AR$1420,'Dvd Calendar'!$W$1413)=0))&gt;0)=0,"",'Dvd Calendar'!$W$1413*1000000000+ISNUMBER('Dvd Calendar'!$W$1416)*100000000+('Dvd Calendar'!$W$1418=SPECIAL_LBL)*10000000+(N('Dvd Calendar'!$W$1412)&gt;0)*(N('Dvd Calendar'!$W$1412)&lt;=VAL_SERIAL)*1000000+28*1000+19))</f>
        <v/>
      </c>
      <c r="EX143" s="39">
        <f>IF(N('Dvd Calendar'!$X$1413)=0,"",IF(('Dvd Calendar'!$X$1413&gt;=GRID_FROM)*('Dvd Calendar'!$X$1413&lt;=GRID_TO)*((('Dvd Calendar'!$X$1413&lt;=VAL_DATE)+(COUNTIF('Dvd Calendar'!$E$1420:$AR$1420,'Dvd Calendar'!$X$1413)=0))&gt;0)=0,"",'Dvd Calendar'!$X$1413*1000000000+ISNUMBER('Dvd Calendar'!$X$1416)*100000000+('Dvd Calendar'!$X$1418=SPECIAL_LBL)*10000000+(N('Dvd Calendar'!$X$1412)&gt;0)*(N('Dvd Calendar'!$X$1412)&lt;=VAL_SERIAL)*1000000+28*1000+20))</f>
        <v/>
      </c>
      <c r="EY143" s="39">
        <f>IF(N('Dvd Calendar'!$Y$1413)=0,"",IF(('Dvd Calendar'!$Y$1413&gt;=GRID_FROM)*('Dvd Calendar'!$Y$1413&lt;=GRID_TO)*((('Dvd Calendar'!$Y$1413&lt;=VAL_DATE)+(COUNTIF('Dvd Calendar'!$E$1420:$AR$1420,'Dvd Calendar'!$Y$1413)=0))&gt;0)=0,"",'Dvd Calendar'!$Y$1413*1000000000+ISNUMBER('Dvd Calendar'!$Y$1416)*100000000+('Dvd Calendar'!$Y$1418=SPECIAL_LBL)*10000000+(N('Dvd Calendar'!$Y$1412)&gt;0)*(N('Dvd Calendar'!$Y$1412)&lt;=VAL_SERIAL)*1000000+28*1000+21))</f>
        <v/>
      </c>
      <c r="EZ143" s="39">
        <f>IF(N('Dvd Calendar'!$Z$1413)=0,"",IF(('Dvd Calendar'!$Z$1413&gt;=GRID_FROM)*('Dvd Calendar'!$Z$1413&lt;=GRID_TO)*((('Dvd Calendar'!$Z$1413&lt;=VAL_DATE)+(COUNTIF('Dvd Calendar'!$E$1420:$AR$1420,'Dvd Calendar'!$Z$1413)=0))&gt;0)=0,"",'Dvd Calendar'!$Z$1413*1000000000+ISNUMBER('Dvd Calendar'!$Z$1416)*100000000+('Dvd Calendar'!$Z$1418=SPECIAL_LBL)*10000000+(N('Dvd Calendar'!$Z$1412)&gt;0)*(N('Dvd Calendar'!$Z$1412)&lt;=VAL_SERIAL)*1000000+28*1000+22))</f>
        <v/>
      </c>
      <c r="FA143" s="39">
        <f>IF(N('Dvd Calendar'!$AA$1413)=0,"",IF(('Dvd Calendar'!$AA$1413&gt;=GRID_FROM)*('Dvd Calendar'!$AA$1413&lt;=GRID_TO)*((('Dvd Calendar'!$AA$1413&lt;=VAL_DATE)+(COUNTIF('Dvd Calendar'!$E$1420:$AR$1420,'Dvd Calendar'!$AA$1413)=0))&gt;0)=0,"",'Dvd Calendar'!$AA$1413*1000000000+ISNUMBER('Dvd Calendar'!$AA$1416)*100000000+('Dvd Calendar'!$AA$1418=SPECIAL_LBL)*10000000+(N('Dvd Calendar'!$AA$1412)&gt;0)*(N('Dvd Calendar'!$AA$1412)&lt;=VAL_SERIAL)*1000000+28*1000+23))</f>
        <v/>
      </c>
      <c r="FB143" s="39">
        <f>IF(N('Dvd Calendar'!$AB$1413)=0,"",IF(('Dvd Calendar'!$AB$1413&gt;=GRID_FROM)*('Dvd Calendar'!$AB$1413&lt;=GRID_TO)*((('Dvd Calendar'!$AB$1413&lt;=VAL_DATE)+(COUNTIF('Dvd Calendar'!$E$1420:$AR$1420,'Dvd Calendar'!$AB$1413)=0))&gt;0)=0,"",'Dvd Calendar'!$AB$1413*1000000000+ISNUMBER('Dvd Calendar'!$AB$1416)*100000000+('Dvd Calendar'!$AB$1418=SPECIAL_LBL)*10000000+(N('Dvd Calendar'!$AB$1412)&gt;0)*(N('Dvd Calendar'!$AB$1412)&lt;=VAL_SERIAL)*1000000+28*1000+24))</f>
        <v/>
      </c>
      <c r="FC143" s="39">
        <f>IF(N('Dvd Calendar'!$AC$1413)=0,"",IF(('Dvd Calendar'!$AC$1413&gt;=GRID_FROM)*('Dvd Calendar'!$AC$1413&lt;=GRID_TO)*((('Dvd Calendar'!$AC$1413&lt;=VAL_DATE)+(COUNTIF('Dvd Calendar'!$E$1420:$AR$1420,'Dvd Calendar'!$AC$1413)=0))&gt;0)=0,"",'Dvd Calendar'!$AC$1413*1000000000+ISNUMBER('Dvd Calendar'!$AC$1416)*100000000+('Dvd Calendar'!$AC$1418=SPECIAL_LBL)*10000000+(N('Dvd Calendar'!$AC$1412)&gt;0)*(N('Dvd Calendar'!$AC$1412)&lt;=VAL_SERIAL)*1000000+28*1000+25))</f>
        <v/>
      </c>
      <c r="FD143" s="39">
        <f>IF(N('Dvd Calendar'!$AD$1413)=0,"",IF(('Dvd Calendar'!$AD$1413&gt;=GRID_FROM)*('Dvd Calendar'!$AD$1413&lt;=GRID_TO)*((('Dvd Calendar'!$AD$1413&lt;=VAL_DATE)+(COUNTIF('Dvd Calendar'!$E$1420:$AR$1420,'Dvd Calendar'!$AD$1413)=0))&gt;0)=0,"",'Dvd Calendar'!$AD$1413*1000000000+ISNUMBER('Dvd Calendar'!$AD$1416)*100000000+('Dvd Calendar'!$AD$1418=SPECIAL_LBL)*10000000+(N('Dvd Calendar'!$AD$1412)&gt;0)*(N('Dvd Calendar'!$AD$1412)&lt;=VAL_SERIAL)*1000000+28*1000+26))</f>
        <v/>
      </c>
      <c r="FE143" s="39">
        <f>IF(N('Dvd Calendar'!$AE$1413)=0,"",IF(('Dvd Calendar'!$AE$1413&gt;=GRID_FROM)*('Dvd Calendar'!$AE$1413&lt;=GRID_TO)*((('Dvd Calendar'!$AE$1413&lt;=VAL_DATE)+(COUNTIF('Dvd Calendar'!$E$1420:$AR$1420,'Dvd Calendar'!$AE$1413)=0))&gt;0)=0,"",'Dvd Calendar'!$AE$1413*1000000000+ISNUMBER('Dvd Calendar'!$AE$1416)*100000000+('Dvd Calendar'!$AE$1418=SPECIAL_LBL)*10000000+(N('Dvd Calendar'!$AE$1412)&gt;0)*(N('Dvd Calendar'!$AE$1412)&lt;=VAL_SERIAL)*1000000+28*1000+27))</f>
        <v/>
      </c>
      <c r="FF143" s="39">
        <f>IF(N('Dvd Calendar'!$AF$1413)=0,"",IF(('Dvd Calendar'!$AF$1413&gt;=GRID_FROM)*('Dvd Calendar'!$AF$1413&lt;=GRID_TO)*((('Dvd Calendar'!$AF$1413&lt;=VAL_DATE)+(COUNTIF('Dvd Calendar'!$E$1420:$AR$1420,'Dvd Calendar'!$AF$1413)=0))&gt;0)=0,"",'Dvd Calendar'!$AF$1413*1000000000+ISNUMBER('Dvd Calendar'!$AF$1416)*100000000+('Dvd Calendar'!$AF$1418=SPECIAL_LBL)*10000000+(N('Dvd Calendar'!$AF$1412)&gt;0)*(N('Dvd Calendar'!$AF$1412)&lt;=VAL_SERIAL)*1000000+28*1000+28))</f>
        <v/>
      </c>
      <c r="FG143" s="39">
        <f>IF(N('Dvd Calendar'!$AG$1413)=0,"",IF(('Dvd Calendar'!$AG$1413&gt;=GRID_FROM)*('Dvd Calendar'!$AG$1413&lt;=GRID_TO)*((('Dvd Calendar'!$AG$1413&lt;=VAL_DATE)+(COUNTIF('Dvd Calendar'!$E$1420:$AR$1420,'Dvd Calendar'!$AG$1413)=0))&gt;0)=0,"",'Dvd Calendar'!$AG$1413*1000000000+ISNUMBER('Dvd Calendar'!$AG$1416)*100000000+('Dvd Calendar'!$AG$1418=SPECIAL_LBL)*10000000+(N('Dvd Calendar'!$AG$1412)&gt;0)*(N('Dvd Calendar'!$AG$1412)&lt;=VAL_SERIAL)*1000000+28*1000+29))</f>
        <v/>
      </c>
      <c r="FH143" s="39">
        <f>IF(N('Dvd Calendar'!$AH$1413)=0,"",IF(('Dvd Calendar'!$AH$1413&gt;=GRID_FROM)*('Dvd Calendar'!$AH$1413&lt;=GRID_TO)*((('Dvd Calendar'!$AH$1413&lt;=VAL_DATE)+(COUNTIF('Dvd Calendar'!$E$1420:$AR$1420,'Dvd Calendar'!$AH$1413)=0))&gt;0)=0,"",'Dvd Calendar'!$AH$1413*1000000000+ISNUMBER('Dvd Calendar'!$AH$1416)*100000000+('Dvd Calendar'!$AH$1418=SPECIAL_LBL)*10000000+(N('Dvd Calendar'!$AH$1412)&gt;0)*(N('Dvd Calendar'!$AH$1412)&lt;=VAL_SERIAL)*1000000+28*1000+30))</f>
        <v/>
      </c>
      <c r="FI143" s="39">
        <f>IF(N('Dvd Calendar'!$AI$1413)=0,"",IF(('Dvd Calendar'!$AI$1413&gt;=GRID_FROM)*('Dvd Calendar'!$AI$1413&lt;=GRID_TO)*((('Dvd Calendar'!$AI$1413&lt;=VAL_DATE)+(COUNTIF('Dvd Calendar'!$E$1420:$AR$1420,'Dvd Calendar'!$AI$1413)=0))&gt;0)=0,"",'Dvd Calendar'!$AI$1413*1000000000+ISNUMBER('Dvd Calendar'!$AI$1416)*100000000+('Dvd Calendar'!$AI$1418=SPECIAL_LBL)*10000000+(N('Dvd Calendar'!$AI$1412)&gt;0)*(N('Dvd Calendar'!$AI$1412)&lt;=VAL_SERIAL)*1000000+28*1000+31))</f>
        <v/>
      </c>
      <c r="FJ143" s="39">
        <f>IF(N('Dvd Calendar'!$AJ$1413)=0,"",IF(('Dvd Calendar'!$AJ$1413&gt;=GRID_FROM)*('Dvd Calendar'!$AJ$1413&lt;=GRID_TO)*((('Dvd Calendar'!$AJ$1413&lt;=VAL_DATE)+(COUNTIF('Dvd Calendar'!$E$1420:$AR$1420,'Dvd Calendar'!$AJ$1413)=0))&gt;0)=0,"",'Dvd Calendar'!$AJ$1413*1000000000+ISNUMBER('Dvd Calendar'!$AJ$1416)*100000000+('Dvd Calendar'!$AJ$1418=SPECIAL_LBL)*10000000+(N('Dvd Calendar'!$AJ$1412)&gt;0)*(N('Dvd Calendar'!$AJ$1412)&lt;=VAL_SERIAL)*1000000+28*1000+32))</f>
        <v/>
      </c>
      <c r="FK143" s="39">
        <f>IF(N('Dvd Calendar'!$AK$1413)=0,"",IF(('Dvd Calendar'!$AK$1413&gt;=GRID_FROM)*('Dvd Calendar'!$AK$1413&lt;=GRID_TO)*((('Dvd Calendar'!$AK$1413&lt;=VAL_DATE)+(COUNTIF('Dvd Calendar'!$E$1420:$AR$1420,'Dvd Calendar'!$AK$1413)=0))&gt;0)=0,"",'Dvd Calendar'!$AK$1413*1000000000+ISNUMBER('Dvd Calendar'!$AK$1416)*100000000+('Dvd Calendar'!$AK$1418=SPECIAL_LBL)*10000000+(N('Dvd Calendar'!$AK$1412)&gt;0)*(N('Dvd Calendar'!$AK$1412)&lt;=VAL_SERIAL)*1000000+28*1000+33))</f>
        <v/>
      </c>
      <c r="FL143" s="39">
        <f>IF(N('Dvd Calendar'!$AL$1413)=0,"",IF(('Dvd Calendar'!$AL$1413&gt;=GRID_FROM)*('Dvd Calendar'!$AL$1413&lt;=GRID_TO)*((('Dvd Calendar'!$AL$1413&lt;=VAL_DATE)+(COUNTIF('Dvd Calendar'!$E$1420:$AR$1420,'Dvd Calendar'!$AL$1413)=0))&gt;0)=0,"",'Dvd Calendar'!$AL$1413*1000000000+ISNUMBER('Dvd Calendar'!$AL$1416)*100000000+('Dvd Calendar'!$AL$1418=SPECIAL_LBL)*10000000+(N('Dvd Calendar'!$AL$1412)&gt;0)*(N('Dvd Calendar'!$AL$1412)&lt;=VAL_SERIAL)*1000000+28*1000+34))</f>
        <v/>
      </c>
      <c r="FM143" s="39">
        <f>IF(N('Dvd Calendar'!$AM$1413)=0,"",IF(('Dvd Calendar'!$AM$1413&gt;=GRID_FROM)*('Dvd Calendar'!$AM$1413&lt;=GRID_TO)*((('Dvd Calendar'!$AM$1413&lt;=VAL_DATE)+(COUNTIF('Dvd Calendar'!$E$1420:$AR$1420,'Dvd Calendar'!$AM$1413)=0))&gt;0)=0,"",'Dvd Calendar'!$AM$1413*1000000000+ISNUMBER('Dvd Calendar'!$AM$1416)*100000000+('Dvd Calendar'!$AM$1418=SPECIAL_LBL)*10000000+(N('Dvd Calendar'!$AM$1412)&gt;0)*(N('Dvd Calendar'!$AM$1412)&lt;=VAL_SERIAL)*1000000+28*1000+35))</f>
        <v/>
      </c>
      <c r="FN143" s="39">
        <f>IF(N('Dvd Calendar'!$AN$1413)=0,"",IF(('Dvd Calendar'!$AN$1413&gt;=GRID_FROM)*('Dvd Calendar'!$AN$1413&lt;=GRID_TO)*((('Dvd Calendar'!$AN$1413&lt;=VAL_DATE)+(COUNTIF('Dvd Calendar'!$E$1420:$AR$1420,'Dvd Calendar'!$AN$1413)=0))&gt;0)=0,"",'Dvd Calendar'!$AN$1413*1000000000+ISNUMBER('Dvd Calendar'!$AN$1416)*100000000+('Dvd Calendar'!$AN$1418=SPECIAL_LBL)*10000000+(N('Dvd Calendar'!$AN$1412)&gt;0)*(N('Dvd Calendar'!$AN$1412)&lt;=VAL_SERIAL)*1000000+28*1000+36))</f>
        <v/>
      </c>
      <c r="FO143" s="39">
        <f>IF(N('Dvd Calendar'!$AO$1413)=0,"",IF(('Dvd Calendar'!$AO$1413&gt;=GRID_FROM)*('Dvd Calendar'!$AO$1413&lt;=GRID_TO)*((('Dvd Calendar'!$AO$1413&lt;=VAL_DATE)+(COUNTIF('Dvd Calendar'!$E$1420:$AR$1420,'Dvd Calendar'!$AO$1413)=0))&gt;0)=0,"",'Dvd Calendar'!$AO$1413*1000000000+ISNUMBER('Dvd Calendar'!$AO$1416)*100000000+('Dvd Calendar'!$AO$1418=SPECIAL_LBL)*10000000+(N('Dvd Calendar'!$AO$1412)&gt;0)*(N('Dvd Calendar'!$AO$1412)&lt;=VAL_SERIAL)*1000000+28*1000+37))</f>
        <v/>
      </c>
      <c r="FP143" s="39">
        <f>IF(N('Dvd Calendar'!$AP$1413)=0,"",IF(('Dvd Calendar'!$AP$1413&gt;=GRID_FROM)*('Dvd Calendar'!$AP$1413&lt;=GRID_TO)*((('Dvd Calendar'!$AP$1413&lt;=VAL_DATE)+(COUNTIF('Dvd Calendar'!$E$1420:$AR$1420,'Dvd Calendar'!$AP$1413)=0))&gt;0)=0,"",'Dvd Calendar'!$AP$1413*1000000000+ISNUMBER('Dvd Calendar'!$AP$1416)*100000000+('Dvd Calendar'!$AP$1418=SPECIAL_LBL)*10000000+(N('Dvd Calendar'!$AP$1412)&gt;0)*(N('Dvd Calendar'!$AP$1412)&lt;=VAL_SERIAL)*1000000+28*1000+38))</f>
        <v/>
      </c>
      <c r="FQ143" s="39">
        <f>IF(N('Dvd Calendar'!$AQ$1413)=0,"",IF(('Dvd Calendar'!$AQ$1413&gt;=GRID_FROM)*('Dvd Calendar'!$AQ$1413&lt;=GRID_TO)*((('Dvd Calendar'!$AQ$1413&lt;=VAL_DATE)+(COUNTIF('Dvd Calendar'!$E$1420:$AR$1420,'Dvd Calendar'!$AQ$1413)=0))&gt;0)=0,"",'Dvd Calendar'!$AQ$1413*1000000000+ISNUMBER('Dvd Calendar'!$AQ$1416)*100000000+('Dvd Calendar'!$AQ$1418=SPECIAL_LBL)*10000000+(N('Dvd Calendar'!$AQ$1412)&gt;0)*(N('Dvd Calendar'!$AQ$1412)&lt;=VAL_SERIAL)*1000000+28*1000+39))</f>
        <v/>
      </c>
      <c r="FR143" s="39">
        <f>IF(N('Dvd Calendar'!$AR$1413)=0,"",IF(('Dvd Calendar'!$AR$1413&gt;=GRID_FROM)*('Dvd Calendar'!$AR$1413&lt;=GRID_TO)*((('Dvd Calendar'!$AR$1413&lt;=VAL_DATE)+(COUNTIF('Dvd Calendar'!$E$1420:$AR$1420,'Dvd Calendar'!$AR$1413)=0))&gt;0)=0,"",'Dvd Calendar'!$AR$1413*1000000000+ISNUMBER('Dvd Calendar'!$AR$1416)*100000000+('Dvd Calendar'!$AR$1418=SPECIAL_LBL)*10000000+(N('Dvd Calendar'!$AR$1412)&gt;0)*(N('Dvd Calendar'!$AR$1412)&lt;=VAL_SERIAL)*1000000+28*1000+40))</f>
        <v/>
      </c>
      <c r="FS143" s="39">
        <f>IF(N('Dvd Calendar'!$E$1420)=0,"",IF(('Dvd Calendar'!$E$1420&gt;=GRID_FROM)*('Dvd Calendar'!$E$1420&lt;=GRID_TO)*('Dvd Calendar'!$E$1420&gt;VAL_DATE)=0,"",'Dvd Calendar'!$E$1420*1000000000+ISNUMBER('Dvd Calendar'!$E$1421)*100000000+0*10000000+(N('Dvd Calendar'!$E$1419)&gt;0)*(N('Dvd Calendar'!$E$1419)&lt;=VAL_SERIAL)*1000000+28*1000+41))</f>
        <v/>
      </c>
      <c r="FT143" s="39">
        <f>IF(N('Dvd Calendar'!$F$1420)=0,"",IF(('Dvd Calendar'!$F$1420&gt;=GRID_FROM)*('Dvd Calendar'!$F$1420&lt;=GRID_TO)*('Dvd Calendar'!$F$1420&gt;VAL_DATE)=0,"",'Dvd Calendar'!$F$1420*1000000000+ISNUMBER('Dvd Calendar'!$F$1421)*100000000+0*10000000+(N('Dvd Calendar'!$F$1419)&gt;0)*(N('Dvd Calendar'!$F$1419)&lt;=VAL_SERIAL)*1000000+28*1000+42))</f>
        <v/>
      </c>
      <c r="FU143" s="39">
        <f>IF(N('Dvd Calendar'!$G$1420)=0,"",IF(('Dvd Calendar'!$G$1420&gt;=GRID_FROM)*('Dvd Calendar'!$G$1420&lt;=GRID_TO)*('Dvd Calendar'!$G$1420&gt;VAL_DATE)=0,"",'Dvd Calendar'!$G$1420*1000000000+ISNUMBER('Dvd Calendar'!$G$1421)*100000000+0*10000000+(N('Dvd Calendar'!$G$1419)&gt;0)*(N('Dvd Calendar'!$G$1419)&lt;=VAL_SERIAL)*1000000+28*1000+43))</f>
        <v/>
      </c>
      <c r="FV143" s="39">
        <f>IF(N('Dvd Calendar'!$H$1420)=0,"",IF(('Dvd Calendar'!$H$1420&gt;=GRID_FROM)*('Dvd Calendar'!$H$1420&lt;=GRID_TO)*('Dvd Calendar'!$H$1420&gt;VAL_DATE)=0,"",'Dvd Calendar'!$H$1420*1000000000+ISNUMBER('Dvd Calendar'!$H$1421)*100000000+0*10000000+(N('Dvd Calendar'!$H$1419)&gt;0)*(N('Dvd Calendar'!$H$1419)&lt;=VAL_SERIAL)*1000000+28*1000+44))</f>
        <v/>
      </c>
      <c r="FW143" s="39">
        <f>IF(N('Dvd Calendar'!$I$1420)=0,"",IF(('Dvd Calendar'!$I$1420&gt;=GRID_FROM)*('Dvd Calendar'!$I$1420&lt;=GRID_TO)*('Dvd Calendar'!$I$1420&gt;VAL_DATE)=0,"",'Dvd Calendar'!$I$1420*1000000000+ISNUMBER('Dvd Calendar'!$I$1421)*100000000+0*10000000+(N('Dvd Calendar'!$I$1419)&gt;0)*(N('Dvd Calendar'!$I$1419)&lt;=VAL_SERIAL)*1000000+28*1000+45))</f>
        <v/>
      </c>
      <c r="FX143" s="39">
        <f>IF(N('Dvd Calendar'!$J$1420)=0,"",IF(('Dvd Calendar'!$J$1420&gt;=GRID_FROM)*('Dvd Calendar'!$J$1420&lt;=GRID_TO)*('Dvd Calendar'!$J$1420&gt;VAL_DATE)=0,"",'Dvd Calendar'!$J$1420*1000000000+ISNUMBER('Dvd Calendar'!$J$1421)*100000000+0*10000000+(N('Dvd Calendar'!$J$1419)&gt;0)*(N('Dvd Calendar'!$J$1419)&lt;=VAL_SERIAL)*1000000+28*1000+46))</f>
        <v/>
      </c>
      <c r="FY143" s="39">
        <f>IF(N('Dvd Calendar'!$K$1420)=0,"",IF(('Dvd Calendar'!$K$1420&gt;=GRID_FROM)*('Dvd Calendar'!$K$1420&lt;=GRID_TO)*('Dvd Calendar'!$K$1420&gt;VAL_DATE)=0,"",'Dvd Calendar'!$K$1420*1000000000+ISNUMBER('Dvd Calendar'!$K$1421)*100000000+0*10000000+(N('Dvd Calendar'!$K$1419)&gt;0)*(N('Dvd Calendar'!$K$1419)&lt;=VAL_SERIAL)*1000000+28*1000+47))</f>
        <v/>
      </c>
      <c r="FZ143" s="39">
        <f>IF(N('Dvd Calendar'!$L$1420)=0,"",IF(('Dvd Calendar'!$L$1420&gt;=GRID_FROM)*('Dvd Calendar'!$L$1420&lt;=GRID_TO)*('Dvd Calendar'!$L$1420&gt;VAL_DATE)=0,"",'Dvd Calendar'!$L$1420*1000000000+ISNUMBER('Dvd Calendar'!$L$1421)*100000000+0*10000000+(N('Dvd Calendar'!$L$1419)&gt;0)*(N('Dvd Calendar'!$L$1419)&lt;=VAL_SERIAL)*1000000+28*1000+48))</f>
        <v/>
      </c>
      <c r="GA143" s="39">
        <f>IF(N('Dvd Calendar'!$M$1420)=0,"",IF(('Dvd Calendar'!$M$1420&gt;=GRID_FROM)*('Dvd Calendar'!$M$1420&lt;=GRID_TO)*('Dvd Calendar'!$M$1420&gt;VAL_DATE)=0,"",'Dvd Calendar'!$M$1420*1000000000+ISNUMBER('Dvd Calendar'!$M$1421)*100000000+0*10000000+(N('Dvd Calendar'!$M$1419)&gt;0)*(N('Dvd Calendar'!$M$1419)&lt;=VAL_SERIAL)*1000000+28*1000+49))</f>
        <v/>
      </c>
      <c r="GB143" s="39">
        <f>IF(N('Dvd Calendar'!$N$1420)=0,"",IF(('Dvd Calendar'!$N$1420&gt;=GRID_FROM)*('Dvd Calendar'!$N$1420&lt;=GRID_TO)*('Dvd Calendar'!$N$1420&gt;VAL_DATE)=0,"",'Dvd Calendar'!$N$1420*1000000000+ISNUMBER('Dvd Calendar'!$N$1421)*100000000+0*10000000+(N('Dvd Calendar'!$N$1419)&gt;0)*(N('Dvd Calendar'!$N$1419)&lt;=VAL_SERIAL)*1000000+28*1000+50))</f>
        <v/>
      </c>
      <c r="GC143" s="39">
        <f>IF(N('Dvd Calendar'!$O$1420)=0,"",IF(('Dvd Calendar'!$O$1420&gt;=GRID_FROM)*('Dvd Calendar'!$O$1420&lt;=GRID_TO)*('Dvd Calendar'!$O$1420&gt;VAL_DATE)=0,"",'Dvd Calendar'!$O$1420*1000000000+ISNUMBER('Dvd Calendar'!$O$1421)*100000000+0*10000000+(N('Dvd Calendar'!$O$1419)&gt;0)*(N('Dvd Calendar'!$O$1419)&lt;=VAL_SERIAL)*1000000+28*1000+51))</f>
        <v/>
      </c>
      <c r="GD143" s="39">
        <f>IF(N('Dvd Calendar'!$P$1420)=0,"",IF(('Dvd Calendar'!$P$1420&gt;=GRID_FROM)*('Dvd Calendar'!$P$1420&lt;=GRID_TO)*('Dvd Calendar'!$P$1420&gt;VAL_DATE)=0,"",'Dvd Calendar'!$P$1420*1000000000+ISNUMBER('Dvd Calendar'!$P$1421)*100000000+0*10000000+(N('Dvd Calendar'!$P$1419)&gt;0)*(N('Dvd Calendar'!$P$1419)&lt;=VAL_SERIAL)*1000000+28*1000+52))</f>
        <v/>
      </c>
      <c r="GE143" s="39">
        <f>IF(N('Dvd Calendar'!$Q$1420)=0,"",IF(('Dvd Calendar'!$Q$1420&gt;=GRID_FROM)*('Dvd Calendar'!$Q$1420&lt;=GRID_TO)*('Dvd Calendar'!$Q$1420&gt;VAL_DATE)=0,"",'Dvd Calendar'!$Q$1420*1000000000+ISNUMBER('Dvd Calendar'!$Q$1421)*100000000+0*10000000+(N('Dvd Calendar'!$Q$1419)&gt;0)*(N('Dvd Calendar'!$Q$1419)&lt;=VAL_SERIAL)*1000000+28*1000+53))</f>
        <v/>
      </c>
      <c r="GF143" s="39">
        <f>IF(N('Dvd Calendar'!$R$1420)=0,"",IF(('Dvd Calendar'!$R$1420&gt;=GRID_FROM)*('Dvd Calendar'!$R$1420&lt;=GRID_TO)*('Dvd Calendar'!$R$1420&gt;VAL_DATE)=0,"",'Dvd Calendar'!$R$1420*1000000000+ISNUMBER('Dvd Calendar'!$R$1421)*100000000+0*10000000+(N('Dvd Calendar'!$R$1419)&gt;0)*(N('Dvd Calendar'!$R$1419)&lt;=VAL_SERIAL)*1000000+28*1000+54))</f>
        <v/>
      </c>
      <c r="GG143" s="39">
        <f>IF(N('Dvd Calendar'!$S$1420)=0,"",IF(('Dvd Calendar'!$S$1420&gt;=GRID_FROM)*('Dvd Calendar'!$S$1420&lt;=GRID_TO)*('Dvd Calendar'!$S$1420&gt;VAL_DATE)=0,"",'Dvd Calendar'!$S$1420*1000000000+ISNUMBER('Dvd Calendar'!$S$1421)*100000000+0*10000000+(N('Dvd Calendar'!$S$1419)&gt;0)*(N('Dvd Calendar'!$S$1419)&lt;=VAL_SERIAL)*1000000+28*1000+55))</f>
        <v/>
      </c>
      <c r="GH143" s="39">
        <f>IF(N('Dvd Calendar'!$T$1420)=0,"",IF(('Dvd Calendar'!$T$1420&gt;=GRID_FROM)*('Dvd Calendar'!$T$1420&lt;=GRID_TO)*('Dvd Calendar'!$T$1420&gt;VAL_DATE)=0,"",'Dvd Calendar'!$T$1420*1000000000+ISNUMBER('Dvd Calendar'!$T$1421)*100000000+0*10000000+(N('Dvd Calendar'!$T$1419)&gt;0)*(N('Dvd Calendar'!$T$1419)&lt;=VAL_SERIAL)*1000000+28*1000+56))</f>
        <v/>
      </c>
      <c r="GI143" s="39">
        <f>IF(N('Dvd Calendar'!$U$1420)=0,"",IF(('Dvd Calendar'!$U$1420&gt;=GRID_FROM)*('Dvd Calendar'!$U$1420&lt;=GRID_TO)*('Dvd Calendar'!$U$1420&gt;VAL_DATE)=0,"",'Dvd Calendar'!$U$1420*1000000000+ISNUMBER('Dvd Calendar'!$U$1421)*100000000+0*10000000+(N('Dvd Calendar'!$U$1419)&gt;0)*(N('Dvd Calendar'!$U$1419)&lt;=VAL_SERIAL)*1000000+28*1000+57))</f>
        <v/>
      </c>
      <c r="GJ143" s="39">
        <f>IF(N('Dvd Calendar'!$V$1420)=0,"",IF(('Dvd Calendar'!$V$1420&gt;=GRID_FROM)*('Dvd Calendar'!$V$1420&lt;=GRID_TO)*('Dvd Calendar'!$V$1420&gt;VAL_DATE)=0,"",'Dvd Calendar'!$V$1420*1000000000+ISNUMBER('Dvd Calendar'!$V$1421)*100000000+0*10000000+(N('Dvd Calendar'!$V$1419)&gt;0)*(N('Dvd Calendar'!$V$1419)&lt;=VAL_SERIAL)*1000000+28*1000+58))</f>
        <v/>
      </c>
      <c r="GK143" s="39">
        <f>IF(N('Dvd Calendar'!$W$1420)=0,"",IF(('Dvd Calendar'!$W$1420&gt;=GRID_FROM)*('Dvd Calendar'!$W$1420&lt;=GRID_TO)*('Dvd Calendar'!$W$1420&gt;VAL_DATE)=0,"",'Dvd Calendar'!$W$1420*1000000000+ISNUMBER('Dvd Calendar'!$W$1421)*100000000+0*10000000+(N('Dvd Calendar'!$W$1419)&gt;0)*(N('Dvd Calendar'!$W$1419)&lt;=VAL_SERIAL)*1000000+28*1000+59))</f>
        <v/>
      </c>
      <c r="GL143" s="39">
        <f>IF(N('Dvd Calendar'!$X$1420)=0,"",IF(('Dvd Calendar'!$X$1420&gt;=GRID_FROM)*('Dvd Calendar'!$X$1420&lt;=GRID_TO)*('Dvd Calendar'!$X$1420&gt;VAL_DATE)=0,"",'Dvd Calendar'!$X$1420*1000000000+ISNUMBER('Dvd Calendar'!$X$1421)*100000000+0*10000000+(N('Dvd Calendar'!$X$1419)&gt;0)*(N('Dvd Calendar'!$X$1419)&lt;=VAL_SERIAL)*1000000+28*1000+60))</f>
        <v/>
      </c>
      <c r="GM143" s="39">
        <f>IF(N('Dvd Calendar'!$Y$1420)=0,"",IF(('Dvd Calendar'!$Y$1420&gt;=GRID_FROM)*('Dvd Calendar'!$Y$1420&lt;=GRID_TO)*('Dvd Calendar'!$Y$1420&gt;VAL_DATE)=0,"",'Dvd Calendar'!$Y$1420*1000000000+ISNUMBER('Dvd Calendar'!$Y$1421)*100000000+0*10000000+(N('Dvd Calendar'!$Y$1419)&gt;0)*(N('Dvd Calendar'!$Y$1419)&lt;=VAL_SERIAL)*1000000+28*1000+61))</f>
        <v/>
      </c>
      <c r="GN143" s="39">
        <f>IF(N('Dvd Calendar'!$Z$1420)=0,"",IF(('Dvd Calendar'!$Z$1420&gt;=GRID_FROM)*('Dvd Calendar'!$Z$1420&lt;=GRID_TO)*('Dvd Calendar'!$Z$1420&gt;VAL_DATE)=0,"",'Dvd Calendar'!$Z$1420*1000000000+ISNUMBER('Dvd Calendar'!$Z$1421)*100000000+0*10000000+(N('Dvd Calendar'!$Z$1419)&gt;0)*(N('Dvd Calendar'!$Z$1419)&lt;=VAL_SERIAL)*1000000+28*1000+62))</f>
        <v/>
      </c>
      <c r="GO143" s="39">
        <f>IF(N('Dvd Calendar'!$AA$1420)=0,"",IF(('Dvd Calendar'!$AA$1420&gt;=GRID_FROM)*('Dvd Calendar'!$AA$1420&lt;=GRID_TO)*('Dvd Calendar'!$AA$1420&gt;VAL_DATE)=0,"",'Dvd Calendar'!$AA$1420*1000000000+ISNUMBER('Dvd Calendar'!$AA$1421)*100000000+0*10000000+(N('Dvd Calendar'!$AA$1419)&gt;0)*(N('Dvd Calendar'!$AA$1419)&lt;=VAL_SERIAL)*1000000+28*1000+63))</f>
        <v/>
      </c>
      <c r="GP143" s="39">
        <f>IF(N('Dvd Calendar'!$AB$1420)=0,"",IF(('Dvd Calendar'!$AB$1420&gt;=GRID_FROM)*('Dvd Calendar'!$AB$1420&lt;=GRID_TO)*('Dvd Calendar'!$AB$1420&gt;VAL_DATE)=0,"",'Dvd Calendar'!$AB$1420*1000000000+ISNUMBER('Dvd Calendar'!$AB$1421)*100000000+0*10000000+(N('Dvd Calendar'!$AB$1419)&gt;0)*(N('Dvd Calendar'!$AB$1419)&lt;=VAL_SERIAL)*1000000+28*1000+64))</f>
        <v/>
      </c>
      <c r="GQ143" s="39">
        <f>IF(N('Dvd Calendar'!$AC$1420)=0,"",IF(('Dvd Calendar'!$AC$1420&gt;=GRID_FROM)*('Dvd Calendar'!$AC$1420&lt;=GRID_TO)*('Dvd Calendar'!$AC$1420&gt;VAL_DATE)=0,"",'Dvd Calendar'!$AC$1420*1000000000+ISNUMBER('Dvd Calendar'!$AC$1421)*100000000+0*10000000+(N('Dvd Calendar'!$AC$1419)&gt;0)*(N('Dvd Calendar'!$AC$1419)&lt;=VAL_SERIAL)*1000000+28*1000+65))</f>
        <v/>
      </c>
    </row>
    <row r="144">
      <c r="B144" s="2">
        <f>IF(HSTECH!$C$35="","",HSTECH!$C$35)</f>
        <v/>
      </c>
      <c r="C144" s="110">
        <f>IF(EE144="","",IF(ISNUMBER('Dvd Calendar'!$E$1427)=FALSE,"",IF((('Dvd Calendar'!$E$1429=TYPE1)*(TYPE1&lt;&gt;"")+('Dvd Calendar'!$E$1429=TYPE2)*(TYPE2&lt;&gt;"")+('Dvd Calendar'!$E$1429=TYPE3)*(TYPE3&lt;&gt;"")+('Dvd Calendar'!$E$1429=TYPE4)*(TYPE4&lt;&gt;"")+('Dvd Calendar'!$E$1429=SPECIAL_LBL)*(INC_SPECIALS="Y"))=0,"",'Dvd Calendar'!$E$1427)))</f>
        <v/>
      </c>
      <c r="D144" s="110">
        <f>IF(EF144="","",IF(ISNUMBER('Dvd Calendar'!$F$1427)=FALSE,"",IF((('Dvd Calendar'!$F$1429=TYPE1)*(TYPE1&lt;&gt;"")+('Dvd Calendar'!$F$1429=TYPE2)*(TYPE2&lt;&gt;"")+('Dvd Calendar'!$F$1429=TYPE3)*(TYPE3&lt;&gt;"")+('Dvd Calendar'!$F$1429=TYPE4)*(TYPE4&lt;&gt;"")+('Dvd Calendar'!$F$1429=SPECIAL_LBL)*(INC_SPECIALS="Y"))=0,"",'Dvd Calendar'!$F$1427)))</f>
        <v/>
      </c>
      <c r="E144" s="110">
        <f>IF(EG144="","",IF(ISNUMBER('Dvd Calendar'!$G$1427)=FALSE,"",IF((('Dvd Calendar'!$G$1429=TYPE1)*(TYPE1&lt;&gt;"")+('Dvd Calendar'!$G$1429=TYPE2)*(TYPE2&lt;&gt;"")+('Dvd Calendar'!$G$1429=TYPE3)*(TYPE3&lt;&gt;"")+('Dvd Calendar'!$G$1429=TYPE4)*(TYPE4&lt;&gt;"")+('Dvd Calendar'!$G$1429=SPECIAL_LBL)*(INC_SPECIALS="Y"))=0,"",'Dvd Calendar'!$G$1427)))</f>
        <v/>
      </c>
      <c r="F144" s="110">
        <f>IF(EH144="","",IF(ISNUMBER('Dvd Calendar'!$H$1427)=FALSE,"",IF((('Dvd Calendar'!$H$1429=TYPE1)*(TYPE1&lt;&gt;"")+('Dvd Calendar'!$H$1429=TYPE2)*(TYPE2&lt;&gt;"")+('Dvd Calendar'!$H$1429=TYPE3)*(TYPE3&lt;&gt;"")+('Dvd Calendar'!$H$1429=TYPE4)*(TYPE4&lt;&gt;"")+('Dvd Calendar'!$H$1429=SPECIAL_LBL)*(INC_SPECIALS="Y"))=0,"",'Dvd Calendar'!$H$1427)))</f>
        <v/>
      </c>
      <c r="G144" s="110">
        <f>IF(EI144="","",IF(ISNUMBER('Dvd Calendar'!$I$1427)=FALSE,"",IF((('Dvd Calendar'!$I$1429=TYPE1)*(TYPE1&lt;&gt;"")+('Dvd Calendar'!$I$1429=TYPE2)*(TYPE2&lt;&gt;"")+('Dvd Calendar'!$I$1429=TYPE3)*(TYPE3&lt;&gt;"")+('Dvd Calendar'!$I$1429=TYPE4)*(TYPE4&lt;&gt;"")+('Dvd Calendar'!$I$1429=SPECIAL_LBL)*(INC_SPECIALS="Y"))=0,"",'Dvd Calendar'!$I$1427)))</f>
        <v/>
      </c>
      <c r="H144" s="110">
        <f>IF(EJ144="","",IF(ISNUMBER('Dvd Calendar'!$J$1427)=FALSE,"",IF((('Dvd Calendar'!$J$1429=TYPE1)*(TYPE1&lt;&gt;"")+('Dvd Calendar'!$J$1429=TYPE2)*(TYPE2&lt;&gt;"")+('Dvd Calendar'!$J$1429=TYPE3)*(TYPE3&lt;&gt;"")+('Dvd Calendar'!$J$1429=TYPE4)*(TYPE4&lt;&gt;"")+('Dvd Calendar'!$J$1429=SPECIAL_LBL)*(INC_SPECIALS="Y"))=0,"",'Dvd Calendar'!$J$1427)))</f>
        <v/>
      </c>
      <c r="I144" s="110">
        <f>IF(EK144="","",IF(ISNUMBER('Dvd Calendar'!$K$1427)=FALSE,"",IF((('Dvd Calendar'!$K$1429=TYPE1)*(TYPE1&lt;&gt;"")+('Dvd Calendar'!$K$1429=TYPE2)*(TYPE2&lt;&gt;"")+('Dvd Calendar'!$K$1429=TYPE3)*(TYPE3&lt;&gt;"")+('Dvd Calendar'!$K$1429=TYPE4)*(TYPE4&lt;&gt;"")+('Dvd Calendar'!$K$1429=SPECIAL_LBL)*(INC_SPECIALS="Y"))=0,"",'Dvd Calendar'!$K$1427)))</f>
        <v/>
      </c>
      <c r="J144" s="110">
        <f>IF(EL144="","",IF(ISNUMBER('Dvd Calendar'!$L$1427)=FALSE,"",IF((('Dvd Calendar'!$L$1429=TYPE1)*(TYPE1&lt;&gt;"")+('Dvd Calendar'!$L$1429=TYPE2)*(TYPE2&lt;&gt;"")+('Dvd Calendar'!$L$1429=TYPE3)*(TYPE3&lt;&gt;"")+('Dvd Calendar'!$L$1429=TYPE4)*(TYPE4&lt;&gt;"")+('Dvd Calendar'!$L$1429=SPECIAL_LBL)*(INC_SPECIALS="Y"))=0,"",'Dvd Calendar'!$L$1427)))</f>
        <v/>
      </c>
      <c r="K144" s="110">
        <f>IF(EM144="","",IF(ISNUMBER('Dvd Calendar'!$M$1427)=FALSE,"",IF((('Dvd Calendar'!$M$1429=TYPE1)*(TYPE1&lt;&gt;"")+('Dvd Calendar'!$M$1429=TYPE2)*(TYPE2&lt;&gt;"")+('Dvd Calendar'!$M$1429=TYPE3)*(TYPE3&lt;&gt;"")+('Dvd Calendar'!$M$1429=TYPE4)*(TYPE4&lt;&gt;"")+('Dvd Calendar'!$M$1429=SPECIAL_LBL)*(INC_SPECIALS="Y"))=0,"",'Dvd Calendar'!$M$1427)))</f>
        <v/>
      </c>
      <c r="L144" s="110">
        <f>IF(EN144="","",IF(ISNUMBER('Dvd Calendar'!$N$1427)=FALSE,"",IF((('Dvd Calendar'!$N$1429=TYPE1)*(TYPE1&lt;&gt;"")+('Dvd Calendar'!$N$1429=TYPE2)*(TYPE2&lt;&gt;"")+('Dvd Calendar'!$N$1429=TYPE3)*(TYPE3&lt;&gt;"")+('Dvd Calendar'!$N$1429=TYPE4)*(TYPE4&lt;&gt;"")+('Dvd Calendar'!$N$1429=SPECIAL_LBL)*(INC_SPECIALS="Y"))=0,"",'Dvd Calendar'!$N$1427)))</f>
        <v/>
      </c>
      <c r="M144" s="110">
        <f>IF(EO144="","",IF(ISNUMBER('Dvd Calendar'!$O$1427)=FALSE,"",IF((('Dvd Calendar'!$O$1429=TYPE1)*(TYPE1&lt;&gt;"")+('Dvd Calendar'!$O$1429=TYPE2)*(TYPE2&lt;&gt;"")+('Dvd Calendar'!$O$1429=TYPE3)*(TYPE3&lt;&gt;"")+('Dvd Calendar'!$O$1429=TYPE4)*(TYPE4&lt;&gt;"")+('Dvd Calendar'!$O$1429=SPECIAL_LBL)*(INC_SPECIALS="Y"))=0,"",'Dvd Calendar'!$O$1427)))</f>
        <v/>
      </c>
      <c r="N144" s="110">
        <f>IF(EP144="","",IF(ISNUMBER('Dvd Calendar'!$P$1427)=FALSE,"",IF((('Dvd Calendar'!$P$1429=TYPE1)*(TYPE1&lt;&gt;"")+('Dvd Calendar'!$P$1429=TYPE2)*(TYPE2&lt;&gt;"")+('Dvd Calendar'!$P$1429=TYPE3)*(TYPE3&lt;&gt;"")+('Dvd Calendar'!$P$1429=TYPE4)*(TYPE4&lt;&gt;"")+('Dvd Calendar'!$P$1429=SPECIAL_LBL)*(INC_SPECIALS="Y"))=0,"",'Dvd Calendar'!$P$1427)))</f>
        <v/>
      </c>
      <c r="O144" s="110">
        <f>IF(EQ144="","",IF(ISNUMBER('Dvd Calendar'!$Q$1427)=FALSE,"",IF((('Dvd Calendar'!$Q$1429=TYPE1)*(TYPE1&lt;&gt;"")+('Dvd Calendar'!$Q$1429=TYPE2)*(TYPE2&lt;&gt;"")+('Dvd Calendar'!$Q$1429=TYPE3)*(TYPE3&lt;&gt;"")+('Dvd Calendar'!$Q$1429=TYPE4)*(TYPE4&lt;&gt;"")+('Dvd Calendar'!$Q$1429=SPECIAL_LBL)*(INC_SPECIALS="Y"))=0,"",'Dvd Calendar'!$Q$1427)))</f>
        <v/>
      </c>
      <c r="P144" s="110">
        <f>IF(ER144="","",IF(ISNUMBER('Dvd Calendar'!$R$1427)=FALSE,"",IF((('Dvd Calendar'!$R$1429=TYPE1)*(TYPE1&lt;&gt;"")+('Dvd Calendar'!$R$1429=TYPE2)*(TYPE2&lt;&gt;"")+('Dvd Calendar'!$R$1429=TYPE3)*(TYPE3&lt;&gt;"")+('Dvd Calendar'!$R$1429=TYPE4)*(TYPE4&lt;&gt;"")+('Dvd Calendar'!$R$1429=SPECIAL_LBL)*(INC_SPECIALS="Y"))=0,"",'Dvd Calendar'!$R$1427)))</f>
        <v/>
      </c>
      <c r="Q144" s="110">
        <f>IF(ES144="","",IF(ISNUMBER('Dvd Calendar'!$S$1427)=FALSE,"",IF((('Dvd Calendar'!$S$1429=TYPE1)*(TYPE1&lt;&gt;"")+('Dvd Calendar'!$S$1429=TYPE2)*(TYPE2&lt;&gt;"")+('Dvd Calendar'!$S$1429=TYPE3)*(TYPE3&lt;&gt;"")+('Dvd Calendar'!$S$1429=TYPE4)*(TYPE4&lt;&gt;"")+('Dvd Calendar'!$S$1429=SPECIAL_LBL)*(INC_SPECIALS="Y"))=0,"",'Dvd Calendar'!$S$1427)))</f>
        <v/>
      </c>
      <c r="R144" s="110">
        <f>IF(ET144="","",IF(ISNUMBER('Dvd Calendar'!$T$1427)=FALSE,"",IF((('Dvd Calendar'!$T$1429=TYPE1)*(TYPE1&lt;&gt;"")+('Dvd Calendar'!$T$1429=TYPE2)*(TYPE2&lt;&gt;"")+('Dvd Calendar'!$T$1429=TYPE3)*(TYPE3&lt;&gt;"")+('Dvd Calendar'!$T$1429=TYPE4)*(TYPE4&lt;&gt;"")+('Dvd Calendar'!$T$1429=SPECIAL_LBL)*(INC_SPECIALS="Y"))=0,"",'Dvd Calendar'!$T$1427)))</f>
        <v/>
      </c>
      <c r="S144" s="110">
        <f>IF(EU144="","",IF(ISNUMBER('Dvd Calendar'!$U$1427)=FALSE,"",IF((('Dvd Calendar'!$U$1429=TYPE1)*(TYPE1&lt;&gt;"")+('Dvd Calendar'!$U$1429=TYPE2)*(TYPE2&lt;&gt;"")+('Dvd Calendar'!$U$1429=TYPE3)*(TYPE3&lt;&gt;"")+('Dvd Calendar'!$U$1429=TYPE4)*(TYPE4&lt;&gt;"")+('Dvd Calendar'!$U$1429=SPECIAL_LBL)*(INC_SPECIALS="Y"))=0,"",'Dvd Calendar'!$U$1427)))</f>
        <v/>
      </c>
      <c r="T144" s="110">
        <f>IF(EV144="","",IF(ISNUMBER('Dvd Calendar'!$V$1427)=FALSE,"",IF((('Dvd Calendar'!$V$1429=TYPE1)*(TYPE1&lt;&gt;"")+('Dvd Calendar'!$V$1429=TYPE2)*(TYPE2&lt;&gt;"")+('Dvd Calendar'!$V$1429=TYPE3)*(TYPE3&lt;&gt;"")+('Dvd Calendar'!$V$1429=TYPE4)*(TYPE4&lt;&gt;"")+('Dvd Calendar'!$V$1429=SPECIAL_LBL)*(INC_SPECIALS="Y"))=0,"",'Dvd Calendar'!$V$1427)))</f>
        <v/>
      </c>
      <c r="U144" s="110">
        <f>IF(EW144="","",IF(ISNUMBER('Dvd Calendar'!$W$1427)=FALSE,"",IF((('Dvd Calendar'!$W$1429=TYPE1)*(TYPE1&lt;&gt;"")+('Dvd Calendar'!$W$1429=TYPE2)*(TYPE2&lt;&gt;"")+('Dvd Calendar'!$W$1429=TYPE3)*(TYPE3&lt;&gt;"")+('Dvd Calendar'!$W$1429=TYPE4)*(TYPE4&lt;&gt;"")+('Dvd Calendar'!$W$1429=SPECIAL_LBL)*(INC_SPECIALS="Y"))=0,"",'Dvd Calendar'!$W$1427)))</f>
        <v/>
      </c>
      <c r="V144" s="110">
        <f>IF(EX144="","",IF(ISNUMBER('Dvd Calendar'!$X$1427)=FALSE,"",IF((('Dvd Calendar'!$X$1429=TYPE1)*(TYPE1&lt;&gt;"")+('Dvd Calendar'!$X$1429=TYPE2)*(TYPE2&lt;&gt;"")+('Dvd Calendar'!$X$1429=TYPE3)*(TYPE3&lt;&gt;"")+('Dvd Calendar'!$X$1429=TYPE4)*(TYPE4&lt;&gt;"")+('Dvd Calendar'!$X$1429=SPECIAL_LBL)*(INC_SPECIALS="Y"))=0,"",'Dvd Calendar'!$X$1427)))</f>
        <v/>
      </c>
      <c r="W144" s="110">
        <f>IF(EY144="","",IF(ISNUMBER('Dvd Calendar'!$Y$1427)=FALSE,"",IF((('Dvd Calendar'!$Y$1429=TYPE1)*(TYPE1&lt;&gt;"")+('Dvd Calendar'!$Y$1429=TYPE2)*(TYPE2&lt;&gt;"")+('Dvd Calendar'!$Y$1429=TYPE3)*(TYPE3&lt;&gt;"")+('Dvd Calendar'!$Y$1429=TYPE4)*(TYPE4&lt;&gt;"")+('Dvd Calendar'!$Y$1429=SPECIAL_LBL)*(INC_SPECIALS="Y"))=0,"",'Dvd Calendar'!$Y$1427)))</f>
        <v/>
      </c>
      <c r="X144" s="110">
        <f>IF(EZ144="","",IF(ISNUMBER('Dvd Calendar'!$Z$1427)=FALSE,"",IF((('Dvd Calendar'!$Z$1429=TYPE1)*(TYPE1&lt;&gt;"")+('Dvd Calendar'!$Z$1429=TYPE2)*(TYPE2&lt;&gt;"")+('Dvd Calendar'!$Z$1429=TYPE3)*(TYPE3&lt;&gt;"")+('Dvd Calendar'!$Z$1429=TYPE4)*(TYPE4&lt;&gt;"")+('Dvd Calendar'!$Z$1429=SPECIAL_LBL)*(INC_SPECIALS="Y"))=0,"",'Dvd Calendar'!$Z$1427)))</f>
        <v/>
      </c>
      <c r="Y144" s="110">
        <f>IF(FA144="","",IF(ISNUMBER('Dvd Calendar'!$AA$1427)=FALSE,"",IF((('Dvd Calendar'!$AA$1429=TYPE1)*(TYPE1&lt;&gt;"")+('Dvd Calendar'!$AA$1429=TYPE2)*(TYPE2&lt;&gt;"")+('Dvd Calendar'!$AA$1429=TYPE3)*(TYPE3&lt;&gt;"")+('Dvd Calendar'!$AA$1429=TYPE4)*(TYPE4&lt;&gt;"")+('Dvd Calendar'!$AA$1429=SPECIAL_LBL)*(INC_SPECIALS="Y"))=0,"",'Dvd Calendar'!$AA$1427)))</f>
        <v/>
      </c>
      <c r="Z144" s="110">
        <f>IF(FB144="","",IF(ISNUMBER('Dvd Calendar'!$AB$1427)=FALSE,"",IF((('Dvd Calendar'!$AB$1429=TYPE1)*(TYPE1&lt;&gt;"")+('Dvd Calendar'!$AB$1429=TYPE2)*(TYPE2&lt;&gt;"")+('Dvd Calendar'!$AB$1429=TYPE3)*(TYPE3&lt;&gt;"")+('Dvd Calendar'!$AB$1429=TYPE4)*(TYPE4&lt;&gt;"")+('Dvd Calendar'!$AB$1429=SPECIAL_LBL)*(INC_SPECIALS="Y"))=0,"",'Dvd Calendar'!$AB$1427)))</f>
        <v/>
      </c>
      <c r="AA144" s="110">
        <f>IF(FC144="","",IF(ISNUMBER('Dvd Calendar'!$AC$1427)=FALSE,"",IF((('Dvd Calendar'!$AC$1429=TYPE1)*(TYPE1&lt;&gt;"")+('Dvd Calendar'!$AC$1429=TYPE2)*(TYPE2&lt;&gt;"")+('Dvd Calendar'!$AC$1429=TYPE3)*(TYPE3&lt;&gt;"")+('Dvd Calendar'!$AC$1429=TYPE4)*(TYPE4&lt;&gt;"")+('Dvd Calendar'!$AC$1429=SPECIAL_LBL)*(INC_SPECIALS="Y"))=0,"",'Dvd Calendar'!$AC$1427)))</f>
        <v/>
      </c>
      <c r="AB144" s="110">
        <f>IF(FD144="","",IF(ISNUMBER('Dvd Calendar'!$AD$1427)=FALSE,"",IF((('Dvd Calendar'!$AD$1429=TYPE1)*(TYPE1&lt;&gt;"")+('Dvd Calendar'!$AD$1429=TYPE2)*(TYPE2&lt;&gt;"")+('Dvd Calendar'!$AD$1429=TYPE3)*(TYPE3&lt;&gt;"")+('Dvd Calendar'!$AD$1429=TYPE4)*(TYPE4&lt;&gt;"")+('Dvd Calendar'!$AD$1429=SPECIAL_LBL)*(INC_SPECIALS="Y"))=0,"",'Dvd Calendar'!$AD$1427)))</f>
        <v/>
      </c>
      <c r="AC144" s="110">
        <f>IF(FE144="","",IF(ISNUMBER('Dvd Calendar'!$AE$1427)=FALSE,"",IF((('Dvd Calendar'!$AE$1429=TYPE1)*(TYPE1&lt;&gt;"")+('Dvd Calendar'!$AE$1429=TYPE2)*(TYPE2&lt;&gt;"")+('Dvd Calendar'!$AE$1429=TYPE3)*(TYPE3&lt;&gt;"")+('Dvd Calendar'!$AE$1429=TYPE4)*(TYPE4&lt;&gt;"")+('Dvd Calendar'!$AE$1429=SPECIAL_LBL)*(INC_SPECIALS="Y"))=0,"",'Dvd Calendar'!$AE$1427)))</f>
        <v/>
      </c>
      <c r="AD144" s="110">
        <f>IF(FF144="","",IF(ISNUMBER('Dvd Calendar'!$AF$1427)=FALSE,"",IF((('Dvd Calendar'!$AF$1429=TYPE1)*(TYPE1&lt;&gt;"")+('Dvd Calendar'!$AF$1429=TYPE2)*(TYPE2&lt;&gt;"")+('Dvd Calendar'!$AF$1429=TYPE3)*(TYPE3&lt;&gt;"")+('Dvd Calendar'!$AF$1429=TYPE4)*(TYPE4&lt;&gt;"")+('Dvd Calendar'!$AF$1429=SPECIAL_LBL)*(INC_SPECIALS="Y"))=0,"",'Dvd Calendar'!$AF$1427)))</f>
        <v/>
      </c>
      <c r="AE144" s="110">
        <f>IF(FG144="","",IF(ISNUMBER('Dvd Calendar'!$AG$1427)=FALSE,"",IF((('Dvd Calendar'!$AG$1429=TYPE1)*(TYPE1&lt;&gt;"")+('Dvd Calendar'!$AG$1429=TYPE2)*(TYPE2&lt;&gt;"")+('Dvd Calendar'!$AG$1429=TYPE3)*(TYPE3&lt;&gt;"")+('Dvd Calendar'!$AG$1429=TYPE4)*(TYPE4&lt;&gt;"")+('Dvd Calendar'!$AG$1429=SPECIAL_LBL)*(INC_SPECIALS="Y"))=0,"",'Dvd Calendar'!$AG$1427)))</f>
        <v/>
      </c>
      <c r="AF144" s="110">
        <f>IF(FH144="","",IF(ISNUMBER('Dvd Calendar'!$AH$1427)=FALSE,"",IF((('Dvd Calendar'!$AH$1429=TYPE1)*(TYPE1&lt;&gt;"")+('Dvd Calendar'!$AH$1429=TYPE2)*(TYPE2&lt;&gt;"")+('Dvd Calendar'!$AH$1429=TYPE3)*(TYPE3&lt;&gt;"")+('Dvd Calendar'!$AH$1429=TYPE4)*(TYPE4&lt;&gt;"")+('Dvd Calendar'!$AH$1429=SPECIAL_LBL)*(INC_SPECIALS="Y"))=0,"",'Dvd Calendar'!$AH$1427)))</f>
        <v/>
      </c>
      <c r="AG144" s="110">
        <f>IF(FI144="","",IF(ISNUMBER('Dvd Calendar'!$AI$1427)=FALSE,"",IF((('Dvd Calendar'!$AI$1429=TYPE1)*(TYPE1&lt;&gt;"")+('Dvd Calendar'!$AI$1429=TYPE2)*(TYPE2&lt;&gt;"")+('Dvd Calendar'!$AI$1429=TYPE3)*(TYPE3&lt;&gt;"")+('Dvd Calendar'!$AI$1429=TYPE4)*(TYPE4&lt;&gt;"")+('Dvd Calendar'!$AI$1429=SPECIAL_LBL)*(INC_SPECIALS="Y"))=0,"",'Dvd Calendar'!$AI$1427)))</f>
        <v/>
      </c>
      <c r="AH144" s="110">
        <f>IF(FJ144="","",IF(ISNUMBER('Dvd Calendar'!$AJ$1427)=FALSE,"",IF((('Dvd Calendar'!$AJ$1429=TYPE1)*(TYPE1&lt;&gt;"")+('Dvd Calendar'!$AJ$1429=TYPE2)*(TYPE2&lt;&gt;"")+('Dvd Calendar'!$AJ$1429=TYPE3)*(TYPE3&lt;&gt;"")+('Dvd Calendar'!$AJ$1429=TYPE4)*(TYPE4&lt;&gt;"")+('Dvd Calendar'!$AJ$1429=SPECIAL_LBL)*(INC_SPECIALS="Y"))=0,"",'Dvd Calendar'!$AJ$1427)))</f>
        <v/>
      </c>
      <c r="AI144" s="110">
        <f>IF(FK144="","",IF(ISNUMBER('Dvd Calendar'!$AK$1427)=FALSE,"",IF((('Dvd Calendar'!$AK$1429=TYPE1)*(TYPE1&lt;&gt;"")+('Dvd Calendar'!$AK$1429=TYPE2)*(TYPE2&lt;&gt;"")+('Dvd Calendar'!$AK$1429=TYPE3)*(TYPE3&lt;&gt;"")+('Dvd Calendar'!$AK$1429=TYPE4)*(TYPE4&lt;&gt;"")+('Dvd Calendar'!$AK$1429=SPECIAL_LBL)*(INC_SPECIALS="Y"))=0,"",'Dvd Calendar'!$AK$1427)))</f>
        <v/>
      </c>
      <c r="AJ144" s="110">
        <f>IF(FL144="","",IF(ISNUMBER('Dvd Calendar'!$AL$1427)=FALSE,"",IF((('Dvd Calendar'!$AL$1429=TYPE1)*(TYPE1&lt;&gt;"")+('Dvd Calendar'!$AL$1429=TYPE2)*(TYPE2&lt;&gt;"")+('Dvd Calendar'!$AL$1429=TYPE3)*(TYPE3&lt;&gt;"")+('Dvd Calendar'!$AL$1429=TYPE4)*(TYPE4&lt;&gt;"")+('Dvd Calendar'!$AL$1429=SPECIAL_LBL)*(INC_SPECIALS="Y"))=0,"",'Dvd Calendar'!$AL$1427)))</f>
        <v/>
      </c>
      <c r="AK144" s="110">
        <f>IF(FM144="","",IF(ISNUMBER('Dvd Calendar'!$AM$1427)=FALSE,"",IF((('Dvd Calendar'!$AM$1429=TYPE1)*(TYPE1&lt;&gt;"")+('Dvd Calendar'!$AM$1429=TYPE2)*(TYPE2&lt;&gt;"")+('Dvd Calendar'!$AM$1429=TYPE3)*(TYPE3&lt;&gt;"")+('Dvd Calendar'!$AM$1429=TYPE4)*(TYPE4&lt;&gt;"")+('Dvd Calendar'!$AM$1429=SPECIAL_LBL)*(INC_SPECIALS="Y"))=0,"",'Dvd Calendar'!$AM$1427)))</f>
        <v/>
      </c>
      <c r="AL144" s="110">
        <f>IF(FN144="","",IF(ISNUMBER('Dvd Calendar'!$AN$1427)=FALSE,"",IF((('Dvd Calendar'!$AN$1429=TYPE1)*(TYPE1&lt;&gt;"")+('Dvd Calendar'!$AN$1429=TYPE2)*(TYPE2&lt;&gt;"")+('Dvd Calendar'!$AN$1429=TYPE3)*(TYPE3&lt;&gt;"")+('Dvd Calendar'!$AN$1429=TYPE4)*(TYPE4&lt;&gt;"")+('Dvd Calendar'!$AN$1429=SPECIAL_LBL)*(INC_SPECIALS="Y"))=0,"",'Dvd Calendar'!$AN$1427)))</f>
        <v/>
      </c>
      <c r="AM144" s="110">
        <f>IF(FO144="","",IF(ISNUMBER('Dvd Calendar'!$AO$1427)=FALSE,"",IF((('Dvd Calendar'!$AO$1429=TYPE1)*(TYPE1&lt;&gt;"")+('Dvd Calendar'!$AO$1429=TYPE2)*(TYPE2&lt;&gt;"")+('Dvd Calendar'!$AO$1429=TYPE3)*(TYPE3&lt;&gt;"")+('Dvd Calendar'!$AO$1429=TYPE4)*(TYPE4&lt;&gt;"")+('Dvd Calendar'!$AO$1429=SPECIAL_LBL)*(INC_SPECIALS="Y"))=0,"",'Dvd Calendar'!$AO$1427)))</f>
        <v/>
      </c>
      <c r="AN144" s="110">
        <f>IF(FP144="","",IF(ISNUMBER('Dvd Calendar'!$AP$1427)=FALSE,"",IF((('Dvd Calendar'!$AP$1429=TYPE1)*(TYPE1&lt;&gt;"")+('Dvd Calendar'!$AP$1429=TYPE2)*(TYPE2&lt;&gt;"")+('Dvd Calendar'!$AP$1429=TYPE3)*(TYPE3&lt;&gt;"")+('Dvd Calendar'!$AP$1429=TYPE4)*(TYPE4&lt;&gt;"")+('Dvd Calendar'!$AP$1429=SPECIAL_LBL)*(INC_SPECIALS="Y"))=0,"",'Dvd Calendar'!$AP$1427)))</f>
        <v/>
      </c>
      <c r="AO144" s="110">
        <f>IF(FQ144="","",IF(ISNUMBER('Dvd Calendar'!$AQ$1427)=FALSE,"",IF((('Dvd Calendar'!$AQ$1429=TYPE1)*(TYPE1&lt;&gt;"")+('Dvd Calendar'!$AQ$1429=TYPE2)*(TYPE2&lt;&gt;"")+('Dvd Calendar'!$AQ$1429=TYPE3)*(TYPE3&lt;&gt;"")+('Dvd Calendar'!$AQ$1429=TYPE4)*(TYPE4&lt;&gt;"")+('Dvd Calendar'!$AQ$1429=SPECIAL_LBL)*(INC_SPECIALS="Y"))=0,"",'Dvd Calendar'!$AQ$1427)))</f>
        <v/>
      </c>
      <c r="AP144" s="110">
        <f>IF(FR144="","",IF(ISNUMBER('Dvd Calendar'!$AR$1427)=FALSE,"",IF((('Dvd Calendar'!$AR$1429=TYPE1)*(TYPE1&lt;&gt;"")+('Dvd Calendar'!$AR$1429=TYPE2)*(TYPE2&lt;&gt;"")+('Dvd Calendar'!$AR$1429=TYPE3)*(TYPE3&lt;&gt;"")+('Dvd Calendar'!$AR$1429=TYPE4)*(TYPE4&lt;&gt;"")+('Dvd Calendar'!$AR$1429=SPECIAL_LBL)*(INC_SPECIALS="Y"))=0,"",'Dvd Calendar'!$AR$1427)))</f>
        <v/>
      </c>
      <c r="AQ144" s="110">
        <f>IF(FS144="","",IF(ISNUMBER('Dvd Calendar'!$E$1432)=FALSE,"",'Dvd Calendar'!$E$1432))</f>
        <v/>
      </c>
      <c r="AR144" s="110">
        <f>IF(FT144="","",IF(ISNUMBER('Dvd Calendar'!$F$1432)=FALSE,"",'Dvd Calendar'!$F$1432))</f>
        <v/>
      </c>
      <c r="AS144" s="110">
        <f>IF(FU144="","",IF(ISNUMBER('Dvd Calendar'!$G$1432)=FALSE,"",'Dvd Calendar'!$G$1432))</f>
        <v/>
      </c>
      <c r="AT144" s="110">
        <f>IF(FV144="","",IF(ISNUMBER('Dvd Calendar'!$H$1432)=FALSE,"",'Dvd Calendar'!$H$1432))</f>
        <v/>
      </c>
      <c r="AU144" s="110">
        <f>IF(FW144="","",IF(ISNUMBER('Dvd Calendar'!$I$1432)=FALSE,"",'Dvd Calendar'!$I$1432))</f>
        <v/>
      </c>
      <c r="AV144" s="110">
        <f>IF(FX144="","",IF(ISNUMBER('Dvd Calendar'!$J$1432)=FALSE,"",'Dvd Calendar'!$J$1432))</f>
        <v/>
      </c>
      <c r="AW144" s="110">
        <f>IF(FY144="","",IF(ISNUMBER('Dvd Calendar'!$K$1432)=FALSE,"",'Dvd Calendar'!$K$1432))</f>
        <v/>
      </c>
      <c r="AX144" s="110">
        <f>IF(FZ144="","",IF(ISNUMBER('Dvd Calendar'!$L$1432)=FALSE,"",'Dvd Calendar'!$L$1432))</f>
        <v/>
      </c>
      <c r="AY144" s="110">
        <f>IF(GA144="","",IF(ISNUMBER('Dvd Calendar'!$M$1432)=FALSE,"",'Dvd Calendar'!$M$1432))</f>
        <v/>
      </c>
      <c r="AZ144" s="110">
        <f>IF(GB144="","",IF(ISNUMBER('Dvd Calendar'!$N$1432)=FALSE,"",'Dvd Calendar'!$N$1432))</f>
        <v/>
      </c>
      <c r="BA144" s="110">
        <f>IF(GC144="","",IF(ISNUMBER('Dvd Calendar'!$O$1432)=FALSE,"",'Dvd Calendar'!$O$1432))</f>
        <v/>
      </c>
      <c r="BB144" s="110">
        <f>IF(GD144="","",IF(ISNUMBER('Dvd Calendar'!$P$1432)=FALSE,"",'Dvd Calendar'!$P$1432))</f>
        <v/>
      </c>
      <c r="BC144" s="110">
        <f>IF(GE144="","",IF(ISNUMBER('Dvd Calendar'!$Q$1432)=FALSE,"",'Dvd Calendar'!$Q$1432))</f>
        <v/>
      </c>
      <c r="BD144" s="110">
        <f>IF(GF144="","",IF(ISNUMBER('Dvd Calendar'!$R$1432)=FALSE,"",'Dvd Calendar'!$R$1432))</f>
        <v/>
      </c>
      <c r="BE144" s="110">
        <f>IF(GG144="","",IF(ISNUMBER('Dvd Calendar'!$S$1432)=FALSE,"",'Dvd Calendar'!$S$1432))</f>
        <v/>
      </c>
      <c r="BF144" s="110">
        <f>IF(GH144="","",IF(ISNUMBER('Dvd Calendar'!$T$1432)=FALSE,"",'Dvd Calendar'!$T$1432))</f>
        <v/>
      </c>
      <c r="BG144" s="110">
        <f>IF(GI144="","",IF(ISNUMBER('Dvd Calendar'!$U$1432)=FALSE,"",'Dvd Calendar'!$U$1432))</f>
        <v/>
      </c>
      <c r="BH144" s="110">
        <f>IF(GJ144="","",IF(ISNUMBER('Dvd Calendar'!$V$1432)=FALSE,"",'Dvd Calendar'!$V$1432))</f>
        <v/>
      </c>
      <c r="BI144" s="110">
        <f>IF(GK144="","",IF(ISNUMBER('Dvd Calendar'!$W$1432)=FALSE,"",'Dvd Calendar'!$W$1432))</f>
        <v/>
      </c>
      <c r="BJ144" s="110">
        <f>IF(GL144="","",IF(ISNUMBER('Dvd Calendar'!$X$1432)=FALSE,"",'Dvd Calendar'!$X$1432))</f>
        <v/>
      </c>
      <c r="BK144" s="110">
        <f>IF(GM144="","",IF(ISNUMBER('Dvd Calendar'!$Y$1432)=FALSE,"",'Dvd Calendar'!$Y$1432))</f>
        <v/>
      </c>
      <c r="BL144" s="110">
        <f>IF(GN144="","",IF(ISNUMBER('Dvd Calendar'!$Z$1432)=FALSE,"",'Dvd Calendar'!$Z$1432))</f>
        <v/>
      </c>
      <c r="BM144" s="110">
        <f>IF(GO144="","",IF(ISNUMBER('Dvd Calendar'!$AA$1432)=FALSE,"",'Dvd Calendar'!$AA$1432))</f>
        <v/>
      </c>
      <c r="BN144" s="110">
        <f>IF(GP144="","",IF(ISNUMBER('Dvd Calendar'!$AB$1432)=FALSE,"",'Dvd Calendar'!$AB$1432))</f>
        <v/>
      </c>
      <c r="BO144" s="110">
        <f>IF(GQ144="","",IF(ISNUMBER('Dvd Calendar'!$AC$1432)=FALSE,"",'Dvd Calendar'!$AC$1432))</f>
        <v/>
      </c>
      <c r="BQ144" s="110">
        <f>IF(C144="","",IFERROR(C144*HSTECH!$B$35*HSTECH!$G$35/HSTECH!$B$3,""))</f>
        <v/>
      </c>
      <c r="BR144" s="110">
        <f>IF(D144="","",IFERROR(D144*HSTECH!$B$35*HSTECH!$G$35/HSTECH!$B$3,""))</f>
        <v/>
      </c>
      <c r="BS144" s="110">
        <f>IF(E144="","",IFERROR(E144*HSTECH!$B$35*HSTECH!$G$35/HSTECH!$B$3,""))</f>
        <v/>
      </c>
      <c r="BT144" s="110">
        <f>IF(F144="","",IFERROR(F144*HSTECH!$B$35*HSTECH!$G$35/HSTECH!$B$3,""))</f>
        <v/>
      </c>
      <c r="BU144" s="110">
        <f>IF(G144="","",IFERROR(G144*HSTECH!$B$35*HSTECH!$G$35/HSTECH!$B$3,""))</f>
        <v/>
      </c>
      <c r="BV144" s="110">
        <f>IF(H144="","",IFERROR(H144*HSTECH!$B$35*HSTECH!$G$35/HSTECH!$B$3,""))</f>
        <v/>
      </c>
      <c r="BW144" s="110">
        <f>IF(I144="","",IFERROR(I144*HSTECH!$B$35*HSTECH!$G$35/HSTECH!$B$3,""))</f>
        <v/>
      </c>
      <c r="BX144" s="110">
        <f>IF(J144="","",IFERROR(J144*HSTECH!$B$35*HSTECH!$G$35/HSTECH!$B$3,""))</f>
        <v/>
      </c>
      <c r="BY144" s="110">
        <f>IF(K144="","",IFERROR(K144*HSTECH!$B$35*HSTECH!$G$35/HSTECH!$B$3,""))</f>
        <v/>
      </c>
      <c r="BZ144" s="110">
        <f>IF(L144="","",IFERROR(L144*HSTECH!$B$35*HSTECH!$G$35/HSTECH!$B$3,""))</f>
        <v/>
      </c>
      <c r="CA144" s="110">
        <f>IF(M144="","",IFERROR(M144*HSTECH!$B$35*HSTECH!$G$35/HSTECH!$B$3,""))</f>
        <v/>
      </c>
      <c r="CB144" s="110">
        <f>IF(N144="","",IFERROR(N144*HSTECH!$B$35*HSTECH!$G$35/HSTECH!$B$3,""))</f>
        <v/>
      </c>
      <c r="CC144" s="110">
        <f>IF(O144="","",IFERROR(O144*HSTECH!$B$35*HSTECH!$G$35/HSTECH!$B$3,""))</f>
        <v/>
      </c>
      <c r="CD144" s="110">
        <f>IF(P144="","",IFERROR(P144*HSTECH!$B$35*HSTECH!$G$35/HSTECH!$B$3,""))</f>
        <v/>
      </c>
      <c r="CE144" s="110">
        <f>IF(Q144="","",IFERROR(Q144*HSTECH!$B$35*HSTECH!$G$35/HSTECH!$B$3,""))</f>
        <v/>
      </c>
      <c r="CF144" s="110">
        <f>IF(R144="","",IFERROR(R144*HSTECH!$B$35*HSTECH!$G$35/HSTECH!$B$3,""))</f>
        <v/>
      </c>
      <c r="CG144" s="110">
        <f>IF(S144="","",IFERROR(S144*HSTECH!$B$35*HSTECH!$G$35/HSTECH!$B$3,""))</f>
        <v/>
      </c>
      <c r="CH144" s="110">
        <f>IF(T144="","",IFERROR(T144*HSTECH!$B$35*HSTECH!$G$35/HSTECH!$B$3,""))</f>
        <v/>
      </c>
      <c r="CI144" s="110">
        <f>IF(U144="","",IFERROR(U144*HSTECH!$B$35*HSTECH!$G$35/HSTECH!$B$3,""))</f>
        <v/>
      </c>
      <c r="CJ144" s="110">
        <f>IF(V144="","",IFERROR(V144*HSTECH!$B$35*HSTECH!$G$35/HSTECH!$B$3,""))</f>
        <v/>
      </c>
      <c r="CK144" s="110">
        <f>IF(W144="","",IFERROR(W144*HSTECH!$B$35*HSTECH!$G$35/HSTECH!$B$3,""))</f>
        <v/>
      </c>
      <c r="CL144" s="110">
        <f>IF(X144="","",IFERROR(X144*HSTECH!$B$35*HSTECH!$G$35/HSTECH!$B$3,""))</f>
        <v/>
      </c>
      <c r="CM144" s="110">
        <f>IF(Y144="","",IFERROR(Y144*HSTECH!$B$35*HSTECH!$G$35/HSTECH!$B$3,""))</f>
        <v/>
      </c>
      <c r="CN144" s="110">
        <f>IF(Z144="","",IFERROR(Z144*HSTECH!$B$35*HSTECH!$G$35/HSTECH!$B$3,""))</f>
        <v/>
      </c>
      <c r="CO144" s="110">
        <f>IF(AA144="","",IFERROR(AA144*HSTECH!$B$35*HSTECH!$G$35/HSTECH!$B$3,""))</f>
        <v/>
      </c>
      <c r="CP144" s="110">
        <f>IF(AB144="","",IFERROR(AB144*HSTECH!$B$35*HSTECH!$G$35/HSTECH!$B$3,""))</f>
        <v/>
      </c>
      <c r="CQ144" s="110">
        <f>IF(AC144="","",IFERROR(AC144*HSTECH!$B$35*HSTECH!$G$35/HSTECH!$B$3,""))</f>
        <v/>
      </c>
      <c r="CR144" s="110">
        <f>IF(AD144="","",IFERROR(AD144*HSTECH!$B$35*HSTECH!$G$35/HSTECH!$B$3,""))</f>
        <v/>
      </c>
      <c r="CS144" s="110">
        <f>IF(AE144="","",IFERROR(AE144*HSTECH!$B$35*HSTECH!$G$35/HSTECH!$B$3,""))</f>
        <v/>
      </c>
      <c r="CT144" s="110">
        <f>IF(AF144="","",IFERROR(AF144*HSTECH!$B$35*HSTECH!$G$35/HSTECH!$B$3,""))</f>
        <v/>
      </c>
      <c r="CU144" s="110">
        <f>IF(AG144="","",IFERROR(AG144*HSTECH!$B$35*HSTECH!$G$35/HSTECH!$B$3,""))</f>
        <v/>
      </c>
      <c r="CV144" s="110">
        <f>IF(AH144="","",IFERROR(AH144*HSTECH!$B$35*HSTECH!$G$35/HSTECH!$B$3,""))</f>
        <v/>
      </c>
      <c r="CW144" s="110">
        <f>IF(AI144="","",IFERROR(AI144*HSTECH!$B$35*HSTECH!$G$35/HSTECH!$B$3,""))</f>
        <v/>
      </c>
      <c r="CX144" s="110">
        <f>IF(AJ144="","",IFERROR(AJ144*HSTECH!$B$35*HSTECH!$G$35/HSTECH!$B$3,""))</f>
        <v/>
      </c>
      <c r="CY144" s="110">
        <f>IF(AK144="","",IFERROR(AK144*HSTECH!$B$35*HSTECH!$G$35/HSTECH!$B$3,""))</f>
        <v/>
      </c>
      <c r="CZ144" s="110">
        <f>IF(AL144="","",IFERROR(AL144*HSTECH!$B$35*HSTECH!$G$35/HSTECH!$B$3,""))</f>
        <v/>
      </c>
      <c r="DA144" s="110">
        <f>IF(AM144="","",IFERROR(AM144*HSTECH!$B$35*HSTECH!$G$35/HSTECH!$B$3,""))</f>
        <v/>
      </c>
      <c r="DB144" s="110">
        <f>IF(AN144="","",IFERROR(AN144*HSTECH!$B$35*HSTECH!$G$35/HSTECH!$B$3,""))</f>
        <v/>
      </c>
      <c r="DC144" s="110">
        <f>IF(AO144="","",IFERROR(AO144*HSTECH!$B$35*HSTECH!$G$35/HSTECH!$B$3,""))</f>
        <v/>
      </c>
      <c r="DD144" s="110">
        <f>IF(AP144="","",IFERROR(AP144*HSTECH!$B$35*HSTECH!$G$35/HSTECH!$B$3,""))</f>
        <v/>
      </c>
      <c r="DE144" s="110">
        <f>IF(AQ144="","",IFERROR(AQ144*HSTECH!$B$35*HSTECH!$G$35/HSTECH!$B$3,""))</f>
        <v/>
      </c>
      <c r="DF144" s="110">
        <f>IF(AR144="","",IFERROR(AR144*HSTECH!$B$35*HSTECH!$G$35/HSTECH!$B$3,""))</f>
        <v/>
      </c>
      <c r="DG144" s="110">
        <f>IF(AS144="","",IFERROR(AS144*HSTECH!$B$35*HSTECH!$G$35/HSTECH!$B$3,""))</f>
        <v/>
      </c>
      <c r="DH144" s="110">
        <f>IF(AT144="","",IFERROR(AT144*HSTECH!$B$35*HSTECH!$G$35/HSTECH!$B$3,""))</f>
        <v/>
      </c>
      <c r="DI144" s="110">
        <f>IF(AU144="","",IFERROR(AU144*HSTECH!$B$35*HSTECH!$G$35/HSTECH!$B$3,""))</f>
        <v/>
      </c>
      <c r="DJ144" s="110">
        <f>IF(AV144="","",IFERROR(AV144*HSTECH!$B$35*HSTECH!$G$35/HSTECH!$B$3,""))</f>
        <v/>
      </c>
      <c r="DK144" s="110">
        <f>IF(AW144="","",IFERROR(AW144*HSTECH!$B$35*HSTECH!$G$35/HSTECH!$B$3,""))</f>
        <v/>
      </c>
      <c r="DL144" s="110">
        <f>IF(AX144="","",IFERROR(AX144*HSTECH!$B$35*HSTECH!$G$35/HSTECH!$B$3,""))</f>
        <v/>
      </c>
      <c r="DM144" s="110">
        <f>IF(AY144="","",IFERROR(AY144*HSTECH!$B$35*HSTECH!$G$35/HSTECH!$B$3,""))</f>
        <v/>
      </c>
      <c r="DN144" s="110">
        <f>IF(AZ144="","",IFERROR(AZ144*HSTECH!$B$35*HSTECH!$G$35/HSTECH!$B$3,""))</f>
        <v/>
      </c>
      <c r="DO144" s="110">
        <f>IF(BA144="","",IFERROR(BA144*HSTECH!$B$35*HSTECH!$G$35/HSTECH!$B$3,""))</f>
        <v/>
      </c>
      <c r="DP144" s="110">
        <f>IF(BB144="","",IFERROR(BB144*HSTECH!$B$35*HSTECH!$G$35/HSTECH!$B$3,""))</f>
        <v/>
      </c>
      <c r="DQ144" s="110">
        <f>IF(BC144="","",IFERROR(BC144*HSTECH!$B$35*HSTECH!$G$35/HSTECH!$B$3,""))</f>
        <v/>
      </c>
      <c r="DR144" s="110">
        <f>IF(BD144="","",IFERROR(BD144*HSTECH!$B$35*HSTECH!$G$35/HSTECH!$B$3,""))</f>
        <v/>
      </c>
      <c r="DS144" s="110">
        <f>IF(BE144="","",IFERROR(BE144*HSTECH!$B$35*HSTECH!$G$35/HSTECH!$B$3,""))</f>
        <v/>
      </c>
      <c r="DT144" s="110">
        <f>IF(BF144="","",IFERROR(BF144*HSTECH!$B$35*HSTECH!$G$35/HSTECH!$B$3,""))</f>
        <v/>
      </c>
      <c r="DU144" s="110">
        <f>IF(BG144="","",IFERROR(BG144*HSTECH!$B$35*HSTECH!$G$35/HSTECH!$B$3,""))</f>
        <v/>
      </c>
      <c r="DV144" s="110">
        <f>IF(BH144="","",IFERROR(BH144*HSTECH!$B$35*HSTECH!$G$35/HSTECH!$B$3,""))</f>
        <v/>
      </c>
      <c r="DW144" s="110">
        <f>IF(BI144="","",IFERROR(BI144*HSTECH!$B$35*HSTECH!$G$35/HSTECH!$B$3,""))</f>
        <v/>
      </c>
      <c r="DX144" s="110">
        <f>IF(BJ144="","",IFERROR(BJ144*HSTECH!$B$35*HSTECH!$G$35/HSTECH!$B$3,""))</f>
        <v/>
      </c>
      <c r="DY144" s="110">
        <f>IF(BK144="","",IFERROR(BK144*HSTECH!$B$35*HSTECH!$G$35/HSTECH!$B$3,""))</f>
        <v/>
      </c>
      <c r="DZ144" s="110">
        <f>IF(BL144="","",IFERROR(BL144*HSTECH!$B$35*HSTECH!$G$35/HSTECH!$B$3,""))</f>
        <v/>
      </c>
      <c r="EA144" s="110">
        <f>IF(BM144="","",IFERROR(BM144*HSTECH!$B$35*HSTECH!$G$35/HSTECH!$B$3,""))</f>
        <v/>
      </c>
      <c r="EB144" s="110">
        <f>IF(BN144="","",IFERROR(BN144*HSTECH!$B$35*HSTECH!$G$35/HSTECH!$B$3,""))</f>
        <v/>
      </c>
      <c r="EC144" s="110">
        <f>IF(BO144="","",IFERROR(BO144*HSTECH!$B$35*HSTECH!$G$35/HSTECH!$B$3,""))</f>
        <v/>
      </c>
      <c r="EE144" s="39">
        <f>IF(N('Dvd Calendar'!$E$1424)=0,"",IF(('Dvd Calendar'!$E$1424&gt;=GRID_FROM)*('Dvd Calendar'!$E$1424&lt;=GRID_TO)*((('Dvd Calendar'!$E$1424&lt;=VAL_DATE)+(COUNTIF('Dvd Calendar'!$E$1431:$AR$1431,'Dvd Calendar'!$E$1424)=0))&gt;0)=0,"",'Dvd Calendar'!$E$1424*1000000000+ISNUMBER('Dvd Calendar'!$E$1427)*100000000+('Dvd Calendar'!$E$1429=SPECIAL_LBL)*10000000+(N('Dvd Calendar'!$E$1423)&gt;0)*(N('Dvd Calendar'!$E$1423)&lt;=VAL_SERIAL)*1000000+29*1000+1))</f>
        <v/>
      </c>
      <c r="EF144" s="39">
        <f>IF(N('Dvd Calendar'!$F$1424)=0,"",IF(('Dvd Calendar'!$F$1424&gt;=GRID_FROM)*('Dvd Calendar'!$F$1424&lt;=GRID_TO)*((('Dvd Calendar'!$F$1424&lt;=VAL_DATE)+(COUNTIF('Dvd Calendar'!$E$1431:$AR$1431,'Dvd Calendar'!$F$1424)=0))&gt;0)=0,"",'Dvd Calendar'!$F$1424*1000000000+ISNUMBER('Dvd Calendar'!$F$1427)*100000000+('Dvd Calendar'!$F$1429=SPECIAL_LBL)*10000000+(N('Dvd Calendar'!$F$1423)&gt;0)*(N('Dvd Calendar'!$F$1423)&lt;=VAL_SERIAL)*1000000+29*1000+2))</f>
        <v/>
      </c>
      <c r="EG144" s="39">
        <f>IF(N('Dvd Calendar'!$G$1424)=0,"",IF(('Dvd Calendar'!$G$1424&gt;=GRID_FROM)*('Dvd Calendar'!$G$1424&lt;=GRID_TO)*((('Dvd Calendar'!$G$1424&lt;=VAL_DATE)+(COUNTIF('Dvd Calendar'!$E$1431:$AR$1431,'Dvd Calendar'!$G$1424)=0))&gt;0)=0,"",'Dvd Calendar'!$G$1424*1000000000+ISNUMBER('Dvd Calendar'!$G$1427)*100000000+('Dvd Calendar'!$G$1429=SPECIAL_LBL)*10000000+(N('Dvd Calendar'!$G$1423)&gt;0)*(N('Dvd Calendar'!$G$1423)&lt;=VAL_SERIAL)*1000000+29*1000+3))</f>
        <v/>
      </c>
      <c r="EH144" s="39">
        <f>IF(N('Dvd Calendar'!$H$1424)=0,"",IF(('Dvd Calendar'!$H$1424&gt;=GRID_FROM)*('Dvd Calendar'!$H$1424&lt;=GRID_TO)*((('Dvd Calendar'!$H$1424&lt;=VAL_DATE)+(COUNTIF('Dvd Calendar'!$E$1431:$AR$1431,'Dvd Calendar'!$H$1424)=0))&gt;0)=0,"",'Dvd Calendar'!$H$1424*1000000000+ISNUMBER('Dvd Calendar'!$H$1427)*100000000+('Dvd Calendar'!$H$1429=SPECIAL_LBL)*10000000+(N('Dvd Calendar'!$H$1423)&gt;0)*(N('Dvd Calendar'!$H$1423)&lt;=VAL_SERIAL)*1000000+29*1000+4))</f>
        <v/>
      </c>
      <c r="EI144" s="39">
        <f>IF(N('Dvd Calendar'!$I$1424)=0,"",IF(('Dvd Calendar'!$I$1424&gt;=GRID_FROM)*('Dvd Calendar'!$I$1424&lt;=GRID_TO)*((('Dvd Calendar'!$I$1424&lt;=VAL_DATE)+(COUNTIF('Dvd Calendar'!$E$1431:$AR$1431,'Dvd Calendar'!$I$1424)=0))&gt;0)=0,"",'Dvd Calendar'!$I$1424*1000000000+ISNUMBER('Dvd Calendar'!$I$1427)*100000000+('Dvd Calendar'!$I$1429=SPECIAL_LBL)*10000000+(N('Dvd Calendar'!$I$1423)&gt;0)*(N('Dvd Calendar'!$I$1423)&lt;=VAL_SERIAL)*1000000+29*1000+5))</f>
        <v/>
      </c>
      <c r="EJ144" s="39">
        <f>IF(N('Dvd Calendar'!$J$1424)=0,"",IF(('Dvd Calendar'!$J$1424&gt;=GRID_FROM)*('Dvd Calendar'!$J$1424&lt;=GRID_TO)*((('Dvd Calendar'!$J$1424&lt;=VAL_DATE)+(COUNTIF('Dvd Calendar'!$E$1431:$AR$1431,'Dvd Calendar'!$J$1424)=0))&gt;0)=0,"",'Dvd Calendar'!$J$1424*1000000000+ISNUMBER('Dvd Calendar'!$J$1427)*100000000+('Dvd Calendar'!$J$1429=SPECIAL_LBL)*10000000+(N('Dvd Calendar'!$J$1423)&gt;0)*(N('Dvd Calendar'!$J$1423)&lt;=VAL_SERIAL)*1000000+29*1000+6))</f>
        <v/>
      </c>
      <c r="EK144" s="39">
        <f>IF(N('Dvd Calendar'!$K$1424)=0,"",IF(('Dvd Calendar'!$K$1424&gt;=GRID_FROM)*('Dvd Calendar'!$K$1424&lt;=GRID_TO)*((('Dvd Calendar'!$K$1424&lt;=VAL_DATE)+(COUNTIF('Dvd Calendar'!$E$1431:$AR$1431,'Dvd Calendar'!$K$1424)=0))&gt;0)=0,"",'Dvd Calendar'!$K$1424*1000000000+ISNUMBER('Dvd Calendar'!$K$1427)*100000000+('Dvd Calendar'!$K$1429=SPECIAL_LBL)*10000000+(N('Dvd Calendar'!$K$1423)&gt;0)*(N('Dvd Calendar'!$K$1423)&lt;=VAL_SERIAL)*1000000+29*1000+7))</f>
        <v/>
      </c>
      <c r="EL144" s="39">
        <f>IF(N('Dvd Calendar'!$L$1424)=0,"",IF(('Dvd Calendar'!$L$1424&gt;=GRID_FROM)*('Dvd Calendar'!$L$1424&lt;=GRID_TO)*((('Dvd Calendar'!$L$1424&lt;=VAL_DATE)+(COUNTIF('Dvd Calendar'!$E$1431:$AR$1431,'Dvd Calendar'!$L$1424)=0))&gt;0)=0,"",'Dvd Calendar'!$L$1424*1000000000+ISNUMBER('Dvd Calendar'!$L$1427)*100000000+('Dvd Calendar'!$L$1429=SPECIAL_LBL)*10000000+(N('Dvd Calendar'!$L$1423)&gt;0)*(N('Dvd Calendar'!$L$1423)&lt;=VAL_SERIAL)*1000000+29*1000+8))</f>
        <v/>
      </c>
      <c r="EM144" s="39">
        <f>IF(N('Dvd Calendar'!$M$1424)=0,"",IF(('Dvd Calendar'!$M$1424&gt;=GRID_FROM)*('Dvd Calendar'!$M$1424&lt;=GRID_TO)*((('Dvd Calendar'!$M$1424&lt;=VAL_DATE)+(COUNTIF('Dvd Calendar'!$E$1431:$AR$1431,'Dvd Calendar'!$M$1424)=0))&gt;0)=0,"",'Dvd Calendar'!$M$1424*1000000000+ISNUMBER('Dvd Calendar'!$M$1427)*100000000+('Dvd Calendar'!$M$1429=SPECIAL_LBL)*10000000+(N('Dvd Calendar'!$M$1423)&gt;0)*(N('Dvd Calendar'!$M$1423)&lt;=VAL_SERIAL)*1000000+29*1000+9))</f>
        <v/>
      </c>
      <c r="EN144" s="39">
        <f>IF(N('Dvd Calendar'!$N$1424)=0,"",IF(('Dvd Calendar'!$N$1424&gt;=GRID_FROM)*('Dvd Calendar'!$N$1424&lt;=GRID_TO)*((('Dvd Calendar'!$N$1424&lt;=VAL_DATE)+(COUNTIF('Dvd Calendar'!$E$1431:$AR$1431,'Dvd Calendar'!$N$1424)=0))&gt;0)=0,"",'Dvd Calendar'!$N$1424*1000000000+ISNUMBER('Dvd Calendar'!$N$1427)*100000000+('Dvd Calendar'!$N$1429=SPECIAL_LBL)*10000000+(N('Dvd Calendar'!$N$1423)&gt;0)*(N('Dvd Calendar'!$N$1423)&lt;=VAL_SERIAL)*1000000+29*1000+10))</f>
        <v/>
      </c>
      <c r="EO144" s="39">
        <f>IF(N('Dvd Calendar'!$O$1424)=0,"",IF(('Dvd Calendar'!$O$1424&gt;=GRID_FROM)*('Dvd Calendar'!$O$1424&lt;=GRID_TO)*((('Dvd Calendar'!$O$1424&lt;=VAL_DATE)+(COUNTIF('Dvd Calendar'!$E$1431:$AR$1431,'Dvd Calendar'!$O$1424)=0))&gt;0)=0,"",'Dvd Calendar'!$O$1424*1000000000+ISNUMBER('Dvd Calendar'!$O$1427)*100000000+('Dvd Calendar'!$O$1429=SPECIAL_LBL)*10000000+(N('Dvd Calendar'!$O$1423)&gt;0)*(N('Dvd Calendar'!$O$1423)&lt;=VAL_SERIAL)*1000000+29*1000+11))</f>
        <v/>
      </c>
      <c r="EP144" s="39">
        <f>IF(N('Dvd Calendar'!$P$1424)=0,"",IF(('Dvd Calendar'!$P$1424&gt;=GRID_FROM)*('Dvd Calendar'!$P$1424&lt;=GRID_TO)*((('Dvd Calendar'!$P$1424&lt;=VAL_DATE)+(COUNTIF('Dvd Calendar'!$E$1431:$AR$1431,'Dvd Calendar'!$P$1424)=0))&gt;0)=0,"",'Dvd Calendar'!$P$1424*1000000000+ISNUMBER('Dvd Calendar'!$P$1427)*100000000+('Dvd Calendar'!$P$1429=SPECIAL_LBL)*10000000+(N('Dvd Calendar'!$P$1423)&gt;0)*(N('Dvd Calendar'!$P$1423)&lt;=VAL_SERIAL)*1000000+29*1000+12))</f>
        <v/>
      </c>
      <c r="EQ144" s="39">
        <f>IF(N('Dvd Calendar'!$Q$1424)=0,"",IF(('Dvd Calendar'!$Q$1424&gt;=GRID_FROM)*('Dvd Calendar'!$Q$1424&lt;=GRID_TO)*((('Dvd Calendar'!$Q$1424&lt;=VAL_DATE)+(COUNTIF('Dvd Calendar'!$E$1431:$AR$1431,'Dvd Calendar'!$Q$1424)=0))&gt;0)=0,"",'Dvd Calendar'!$Q$1424*1000000000+ISNUMBER('Dvd Calendar'!$Q$1427)*100000000+('Dvd Calendar'!$Q$1429=SPECIAL_LBL)*10000000+(N('Dvd Calendar'!$Q$1423)&gt;0)*(N('Dvd Calendar'!$Q$1423)&lt;=VAL_SERIAL)*1000000+29*1000+13))</f>
        <v/>
      </c>
      <c r="ER144" s="39">
        <f>IF(N('Dvd Calendar'!$R$1424)=0,"",IF(('Dvd Calendar'!$R$1424&gt;=GRID_FROM)*('Dvd Calendar'!$R$1424&lt;=GRID_TO)*((('Dvd Calendar'!$R$1424&lt;=VAL_DATE)+(COUNTIF('Dvd Calendar'!$E$1431:$AR$1431,'Dvd Calendar'!$R$1424)=0))&gt;0)=0,"",'Dvd Calendar'!$R$1424*1000000000+ISNUMBER('Dvd Calendar'!$R$1427)*100000000+('Dvd Calendar'!$R$1429=SPECIAL_LBL)*10000000+(N('Dvd Calendar'!$R$1423)&gt;0)*(N('Dvd Calendar'!$R$1423)&lt;=VAL_SERIAL)*1000000+29*1000+14))</f>
        <v/>
      </c>
      <c r="ES144" s="39">
        <f>IF(N('Dvd Calendar'!$S$1424)=0,"",IF(('Dvd Calendar'!$S$1424&gt;=GRID_FROM)*('Dvd Calendar'!$S$1424&lt;=GRID_TO)*((('Dvd Calendar'!$S$1424&lt;=VAL_DATE)+(COUNTIF('Dvd Calendar'!$E$1431:$AR$1431,'Dvd Calendar'!$S$1424)=0))&gt;0)=0,"",'Dvd Calendar'!$S$1424*1000000000+ISNUMBER('Dvd Calendar'!$S$1427)*100000000+('Dvd Calendar'!$S$1429=SPECIAL_LBL)*10000000+(N('Dvd Calendar'!$S$1423)&gt;0)*(N('Dvd Calendar'!$S$1423)&lt;=VAL_SERIAL)*1000000+29*1000+15))</f>
        <v/>
      </c>
      <c r="ET144" s="39">
        <f>IF(N('Dvd Calendar'!$T$1424)=0,"",IF(('Dvd Calendar'!$T$1424&gt;=GRID_FROM)*('Dvd Calendar'!$T$1424&lt;=GRID_TO)*((('Dvd Calendar'!$T$1424&lt;=VAL_DATE)+(COUNTIF('Dvd Calendar'!$E$1431:$AR$1431,'Dvd Calendar'!$T$1424)=0))&gt;0)=0,"",'Dvd Calendar'!$T$1424*1000000000+ISNUMBER('Dvd Calendar'!$T$1427)*100000000+('Dvd Calendar'!$T$1429=SPECIAL_LBL)*10000000+(N('Dvd Calendar'!$T$1423)&gt;0)*(N('Dvd Calendar'!$T$1423)&lt;=VAL_SERIAL)*1000000+29*1000+16))</f>
        <v/>
      </c>
      <c r="EU144" s="39">
        <f>IF(N('Dvd Calendar'!$U$1424)=0,"",IF(('Dvd Calendar'!$U$1424&gt;=GRID_FROM)*('Dvd Calendar'!$U$1424&lt;=GRID_TO)*((('Dvd Calendar'!$U$1424&lt;=VAL_DATE)+(COUNTIF('Dvd Calendar'!$E$1431:$AR$1431,'Dvd Calendar'!$U$1424)=0))&gt;0)=0,"",'Dvd Calendar'!$U$1424*1000000000+ISNUMBER('Dvd Calendar'!$U$1427)*100000000+('Dvd Calendar'!$U$1429=SPECIAL_LBL)*10000000+(N('Dvd Calendar'!$U$1423)&gt;0)*(N('Dvd Calendar'!$U$1423)&lt;=VAL_SERIAL)*1000000+29*1000+17))</f>
        <v/>
      </c>
      <c r="EV144" s="39">
        <f>IF(N('Dvd Calendar'!$V$1424)=0,"",IF(('Dvd Calendar'!$V$1424&gt;=GRID_FROM)*('Dvd Calendar'!$V$1424&lt;=GRID_TO)*((('Dvd Calendar'!$V$1424&lt;=VAL_DATE)+(COUNTIF('Dvd Calendar'!$E$1431:$AR$1431,'Dvd Calendar'!$V$1424)=0))&gt;0)=0,"",'Dvd Calendar'!$V$1424*1000000000+ISNUMBER('Dvd Calendar'!$V$1427)*100000000+('Dvd Calendar'!$V$1429=SPECIAL_LBL)*10000000+(N('Dvd Calendar'!$V$1423)&gt;0)*(N('Dvd Calendar'!$V$1423)&lt;=VAL_SERIAL)*1000000+29*1000+18))</f>
        <v/>
      </c>
      <c r="EW144" s="39">
        <f>IF(N('Dvd Calendar'!$W$1424)=0,"",IF(('Dvd Calendar'!$W$1424&gt;=GRID_FROM)*('Dvd Calendar'!$W$1424&lt;=GRID_TO)*((('Dvd Calendar'!$W$1424&lt;=VAL_DATE)+(COUNTIF('Dvd Calendar'!$E$1431:$AR$1431,'Dvd Calendar'!$W$1424)=0))&gt;0)=0,"",'Dvd Calendar'!$W$1424*1000000000+ISNUMBER('Dvd Calendar'!$W$1427)*100000000+('Dvd Calendar'!$W$1429=SPECIAL_LBL)*10000000+(N('Dvd Calendar'!$W$1423)&gt;0)*(N('Dvd Calendar'!$W$1423)&lt;=VAL_SERIAL)*1000000+29*1000+19))</f>
        <v/>
      </c>
      <c r="EX144" s="39">
        <f>IF(N('Dvd Calendar'!$X$1424)=0,"",IF(('Dvd Calendar'!$X$1424&gt;=GRID_FROM)*('Dvd Calendar'!$X$1424&lt;=GRID_TO)*((('Dvd Calendar'!$X$1424&lt;=VAL_DATE)+(COUNTIF('Dvd Calendar'!$E$1431:$AR$1431,'Dvd Calendar'!$X$1424)=0))&gt;0)=0,"",'Dvd Calendar'!$X$1424*1000000000+ISNUMBER('Dvd Calendar'!$X$1427)*100000000+('Dvd Calendar'!$X$1429=SPECIAL_LBL)*10000000+(N('Dvd Calendar'!$X$1423)&gt;0)*(N('Dvd Calendar'!$X$1423)&lt;=VAL_SERIAL)*1000000+29*1000+20))</f>
        <v/>
      </c>
      <c r="EY144" s="39">
        <f>IF(N('Dvd Calendar'!$Y$1424)=0,"",IF(('Dvd Calendar'!$Y$1424&gt;=GRID_FROM)*('Dvd Calendar'!$Y$1424&lt;=GRID_TO)*((('Dvd Calendar'!$Y$1424&lt;=VAL_DATE)+(COUNTIF('Dvd Calendar'!$E$1431:$AR$1431,'Dvd Calendar'!$Y$1424)=0))&gt;0)=0,"",'Dvd Calendar'!$Y$1424*1000000000+ISNUMBER('Dvd Calendar'!$Y$1427)*100000000+('Dvd Calendar'!$Y$1429=SPECIAL_LBL)*10000000+(N('Dvd Calendar'!$Y$1423)&gt;0)*(N('Dvd Calendar'!$Y$1423)&lt;=VAL_SERIAL)*1000000+29*1000+21))</f>
        <v/>
      </c>
      <c r="EZ144" s="39">
        <f>IF(N('Dvd Calendar'!$Z$1424)=0,"",IF(('Dvd Calendar'!$Z$1424&gt;=GRID_FROM)*('Dvd Calendar'!$Z$1424&lt;=GRID_TO)*((('Dvd Calendar'!$Z$1424&lt;=VAL_DATE)+(COUNTIF('Dvd Calendar'!$E$1431:$AR$1431,'Dvd Calendar'!$Z$1424)=0))&gt;0)=0,"",'Dvd Calendar'!$Z$1424*1000000000+ISNUMBER('Dvd Calendar'!$Z$1427)*100000000+('Dvd Calendar'!$Z$1429=SPECIAL_LBL)*10000000+(N('Dvd Calendar'!$Z$1423)&gt;0)*(N('Dvd Calendar'!$Z$1423)&lt;=VAL_SERIAL)*1000000+29*1000+22))</f>
        <v/>
      </c>
      <c r="FA144" s="39">
        <f>IF(N('Dvd Calendar'!$AA$1424)=0,"",IF(('Dvd Calendar'!$AA$1424&gt;=GRID_FROM)*('Dvd Calendar'!$AA$1424&lt;=GRID_TO)*((('Dvd Calendar'!$AA$1424&lt;=VAL_DATE)+(COUNTIF('Dvd Calendar'!$E$1431:$AR$1431,'Dvd Calendar'!$AA$1424)=0))&gt;0)=0,"",'Dvd Calendar'!$AA$1424*1000000000+ISNUMBER('Dvd Calendar'!$AA$1427)*100000000+('Dvd Calendar'!$AA$1429=SPECIAL_LBL)*10000000+(N('Dvd Calendar'!$AA$1423)&gt;0)*(N('Dvd Calendar'!$AA$1423)&lt;=VAL_SERIAL)*1000000+29*1000+23))</f>
        <v/>
      </c>
      <c r="FB144" s="39">
        <f>IF(N('Dvd Calendar'!$AB$1424)=0,"",IF(('Dvd Calendar'!$AB$1424&gt;=GRID_FROM)*('Dvd Calendar'!$AB$1424&lt;=GRID_TO)*((('Dvd Calendar'!$AB$1424&lt;=VAL_DATE)+(COUNTIF('Dvd Calendar'!$E$1431:$AR$1431,'Dvd Calendar'!$AB$1424)=0))&gt;0)=0,"",'Dvd Calendar'!$AB$1424*1000000000+ISNUMBER('Dvd Calendar'!$AB$1427)*100000000+('Dvd Calendar'!$AB$1429=SPECIAL_LBL)*10000000+(N('Dvd Calendar'!$AB$1423)&gt;0)*(N('Dvd Calendar'!$AB$1423)&lt;=VAL_SERIAL)*1000000+29*1000+24))</f>
        <v/>
      </c>
      <c r="FC144" s="39">
        <f>IF(N('Dvd Calendar'!$AC$1424)=0,"",IF(('Dvd Calendar'!$AC$1424&gt;=GRID_FROM)*('Dvd Calendar'!$AC$1424&lt;=GRID_TO)*((('Dvd Calendar'!$AC$1424&lt;=VAL_DATE)+(COUNTIF('Dvd Calendar'!$E$1431:$AR$1431,'Dvd Calendar'!$AC$1424)=0))&gt;0)=0,"",'Dvd Calendar'!$AC$1424*1000000000+ISNUMBER('Dvd Calendar'!$AC$1427)*100000000+('Dvd Calendar'!$AC$1429=SPECIAL_LBL)*10000000+(N('Dvd Calendar'!$AC$1423)&gt;0)*(N('Dvd Calendar'!$AC$1423)&lt;=VAL_SERIAL)*1000000+29*1000+25))</f>
        <v/>
      </c>
      <c r="FD144" s="39">
        <f>IF(N('Dvd Calendar'!$AD$1424)=0,"",IF(('Dvd Calendar'!$AD$1424&gt;=GRID_FROM)*('Dvd Calendar'!$AD$1424&lt;=GRID_TO)*((('Dvd Calendar'!$AD$1424&lt;=VAL_DATE)+(COUNTIF('Dvd Calendar'!$E$1431:$AR$1431,'Dvd Calendar'!$AD$1424)=0))&gt;0)=0,"",'Dvd Calendar'!$AD$1424*1000000000+ISNUMBER('Dvd Calendar'!$AD$1427)*100000000+('Dvd Calendar'!$AD$1429=SPECIAL_LBL)*10000000+(N('Dvd Calendar'!$AD$1423)&gt;0)*(N('Dvd Calendar'!$AD$1423)&lt;=VAL_SERIAL)*1000000+29*1000+26))</f>
        <v/>
      </c>
      <c r="FE144" s="39">
        <f>IF(N('Dvd Calendar'!$AE$1424)=0,"",IF(('Dvd Calendar'!$AE$1424&gt;=GRID_FROM)*('Dvd Calendar'!$AE$1424&lt;=GRID_TO)*((('Dvd Calendar'!$AE$1424&lt;=VAL_DATE)+(COUNTIF('Dvd Calendar'!$E$1431:$AR$1431,'Dvd Calendar'!$AE$1424)=0))&gt;0)=0,"",'Dvd Calendar'!$AE$1424*1000000000+ISNUMBER('Dvd Calendar'!$AE$1427)*100000000+('Dvd Calendar'!$AE$1429=SPECIAL_LBL)*10000000+(N('Dvd Calendar'!$AE$1423)&gt;0)*(N('Dvd Calendar'!$AE$1423)&lt;=VAL_SERIAL)*1000000+29*1000+27))</f>
        <v/>
      </c>
      <c r="FF144" s="39">
        <f>IF(N('Dvd Calendar'!$AF$1424)=0,"",IF(('Dvd Calendar'!$AF$1424&gt;=GRID_FROM)*('Dvd Calendar'!$AF$1424&lt;=GRID_TO)*((('Dvd Calendar'!$AF$1424&lt;=VAL_DATE)+(COUNTIF('Dvd Calendar'!$E$1431:$AR$1431,'Dvd Calendar'!$AF$1424)=0))&gt;0)=0,"",'Dvd Calendar'!$AF$1424*1000000000+ISNUMBER('Dvd Calendar'!$AF$1427)*100000000+('Dvd Calendar'!$AF$1429=SPECIAL_LBL)*10000000+(N('Dvd Calendar'!$AF$1423)&gt;0)*(N('Dvd Calendar'!$AF$1423)&lt;=VAL_SERIAL)*1000000+29*1000+28))</f>
        <v/>
      </c>
      <c r="FG144" s="39">
        <f>IF(N('Dvd Calendar'!$AG$1424)=0,"",IF(('Dvd Calendar'!$AG$1424&gt;=GRID_FROM)*('Dvd Calendar'!$AG$1424&lt;=GRID_TO)*((('Dvd Calendar'!$AG$1424&lt;=VAL_DATE)+(COUNTIF('Dvd Calendar'!$E$1431:$AR$1431,'Dvd Calendar'!$AG$1424)=0))&gt;0)=0,"",'Dvd Calendar'!$AG$1424*1000000000+ISNUMBER('Dvd Calendar'!$AG$1427)*100000000+('Dvd Calendar'!$AG$1429=SPECIAL_LBL)*10000000+(N('Dvd Calendar'!$AG$1423)&gt;0)*(N('Dvd Calendar'!$AG$1423)&lt;=VAL_SERIAL)*1000000+29*1000+29))</f>
        <v/>
      </c>
      <c r="FH144" s="39">
        <f>IF(N('Dvd Calendar'!$AH$1424)=0,"",IF(('Dvd Calendar'!$AH$1424&gt;=GRID_FROM)*('Dvd Calendar'!$AH$1424&lt;=GRID_TO)*((('Dvd Calendar'!$AH$1424&lt;=VAL_DATE)+(COUNTIF('Dvd Calendar'!$E$1431:$AR$1431,'Dvd Calendar'!$AH$1424)=0))&gt;0)=0,"",'Dvd Calendar'!$AH$1424*1000000000+ISNUMBER('Dvd Calendar'!$AH$1427)*100000000+('Dvd Calendar'!$AH$1429=SPECIAL_LBL)*10000000+(N('Dvd Calendar'!$AH$1423)&gt;0)*(N('Dvd Calendar'!$AH$1423)&lt;=VAL_SERIAL)*1000000+29*1000+30))</f>
        <v/>
      </c>
      <c r="FI144" s="39">
        <f>IF(N('Dvd Calendar'!$AI$1424)=0,"",IF(('Dvd Calendar'!$AI$1424&gt;=GRID_FROM)*('Dvd Calendar'!$AI$1424&lt;=GRID_TO)*((('Dvd Calendar'!$AI$1424&lt;=VAL_DATE)+(COUNTIF('Dvd Calendar'!$E$1431:$AR$1431,'Dvd Calendar'!$AI$1424)=0))&gt;0)=0,"",'Dvd Calendar'!$AI$1424*1000000000+ISNUMBER('Dvd Calendar'!$AI$1427)*100000000+('Dvd Calendar'!$AI$1429=SPECIAL_LBL)*10000000+(N('Dvd Calendar'!$AI$1423)&gt;0)*(N('Dvd Calendar'!$AI$1423)&lt;=VAL_SERIAL)*1000000+29*1000+31))</f>
        <v/>
      </c>
      <c r="FJ144" s="39">
        <f>IF(N('Dvd Calendar'!$AJ$1424)=0,"",IF(('Dvd Calendar'!$AJ$1424&gt;=GRID_FROM)*('Dvd Calendar'!$AJ$1424&lt;=GRID_TO)*((('Dvd Calendar'!$AJ$1424&lt;=VAL_DATE)+(COUNTIF('Dvd Calendar'!$E$1431:$AR$1431,'Dvd Calendar'!$AJ$1424)=0))&gt;0)=0,"",'Dvd Calendar'!$AJ$1424*1000000000+ISNUMBER('Dvd Calendar'!$AJ$1427)*100000000+('Dvd Calendar'!$AJ$1429=SPECIAL_LBL)*10000000+(N('Dvd Calendar'!$AJ$1423)&gt;0)*(N('Dvd Calendar'!$AJ$1423)&lt;=VAL_SERIAL)*1000000+29*1000+32))</f>
        <v/>
      </c>
      <c r="FK144" s="39">
        <f>IF(N('Dvd Calendar'!$AK$1424)=0,"",IF(('Dvd Calendar'!$AK$1424&gt;=GRID_FROM)*('Dvd Calendar'!$AK$1424&lt;=GRID_TO)*((('Dvd Calendar'!$AK$1424&lt;=VAL_DATE)+(COUNTIF('Dvd Calendar'!$E$1431:$AR$1431,'Dvd Calendar'!$AK$1424)=0))&gt;0)=0,"",'Dvd Calendar'!$AK$1424*1000000000+ISNUMBER('Dvd Calendar'!$AK$1427)*100000000+('Dvd Calendar'!$AK$1429=SPECIAL_LBL)*10000000+(N('Dvd Calendar'!$AK$1423)&gt;0)*(N('Dvd Calendar'!$AK$1423)&lt;=VAL_SERIAL)*1000000+29*1000+33))</f>
        <v/>
      </c>
      <c r="FL144" s="39">
        <f>IF(N('Dvd Calendar'!$AL$1424)=0,"",IF(('Dvd Calendar'!$AL$1424&gt;=GRID_FROM)*('Dvd Calendar'!$AL$1424&lt;=GRID_TO)*((('Dvd Calendar'!$AL$1424&lt;=VAL_DATE)+(COUNTIF('Dvd Calendar'!$E$1431:$AR$1431,'Dvd Calendar'!$AL$1424)=0))&gt;0)=0,"",'Dvd Calendar'!$AL$1424*1000000000+ISNUMBER('Dvd Calendar'!$AL$1427)*100000000+('Dvd Calendar'!$AL$1429=SPECIAL_LBL)*10000000+(N('Dvd Calendar'!$AL$1423)&gt;0)*(N('Dvd Calendar'!$AL$1423)&lt;=VAL_SERIAL)*1000000+29*1000+34))</f>
        <v/>
      </c>
      <c r="FM144" s="39">
        <f>IF(N('Dvd Calendar'!$AM$1424)=0,"",IF(('Dvd Calendar'!$AM$1424&gt;=GRID_FROM)*('Dvd Calendar'!$AM$1424&lt;=GRID_TO)*((('Dvd Calendar'!$AM$1424&lt;=VAL_DATE)+(COUNTIF('Dvd Calendar'!$E$1431:$AR$1431,'Dvd Calendar'!$AM$1424)=0))&gt;0)=0,"",'Dvd Calendar'!$AM$1424*1000000000+ISNUMBER('Dvd Calendar'!$AM$1427)*100000000+('Dvd Calendar'!$AM$1429=SPECIAL_LBL)*10000000+(N('Dvd Calendar'!$AM$1423)&gt;0)*(N('Dvd Calendar'!$AM$1423)&lt;=VAL_SERIAL)*1000000+29*1000+35))</f>
        <v/>
      </c>
      <c r="FN144" s="39">
        <f>IF(N('Dvd Calendar'!$AN$1424)=0,"",IF(('Dvd Calendar'!$AN$1424&gt;=GRID_FROM)*('Dvd Calendar'!$AN$1424&lt;=GRID_TO)*((('Dvd Calendar'!$AN$1424&lt;=VAL_DATE)+(COUNTIF('Dvd Calendar'!$E$1431:$AR$1431,'Dvd Calendar'!$AN$1424)=0))&gt;0)=0,"",'Dvd Calendar'!$AN$1424*1000000000+ISNUMBER('Dvd Calendar'!$AN$1427)*100000000+('Dvd Calendar'!$AN$1429=SPECIAL_LBL)*10000000+(N('Dvd Calendar'!$AN$1423)&gt;0)*(N('Dvd Calendar'!$AN$1423)&lt;=VAL_SERIAL)*1000000+29*1000+36))</f>
        <v/>
      </c>
      <c r="FO144" s="39">
        <f>IF(N('Dvd Calendar'!$AO$1424)=0,"",IF(('Dvd Calendar'!$AO$1424&gt;=GRID_FROM)*('Dvd Calendar'!$AO$1424&lt;=GRID_TO)*((('Dvd Calendar'!$AO$1424&lt;=VAL_DATE)+(COUNTIF('Dvd Calendar'!$E$1431:$AR$1431,'Dvd Calendar'!$AO$1424)=0))&gt;0)=0,"",'Dvd Calendar'!$AO$1424*1000000000+ISNUMBER('Dvd Calendar'!$AO$1427)*100000000+('Dvd Calendar'!$AO$1429=SPECIAL_LBL)*10000000+(N('Dvd Calendar'!$AO$1423)&gt;0)*(N('Dvd Calendar'!$AO$1423)&lt;=VAL_SERIAL)*1000000+29*1000+37))</f>
        <v/>
      </c>
      <c r="FP144" s="39">
        <f>IF(N('Dvd Calendar'!$AP$1424)=0,"",IF(('Dvd Calendar'!$AP$1424&gt;=GRID_FROM)*('Dvd Calendar'!$AP$1424&lt;=GRID_TO)*((('Dvd Calendar'!$AP$1424&lt;=VAL_DATE)+(COUNTIF('Dvd Calendar'!$E$1431:$AR$1431,'Dvd Calendar'!$AP$1424)=0))&gt;0)=0,"",'Dvd Calendar'!$AP$1424*1000000000+ISNUMBER('Dvd Calendar'!$AP$1427)*100000000+('Dvd Calendar'!$AP$1429=SPECIAL_LBL)*10000000+(N('Dvd Calendar'!$AP$1423)&gt;0)*(N('Dvd Calendar'!$AP$1423)&lt;=VAL_SERIAL)*1000000+29*1000+38))</f>
        <v/>
      </c>
      <c r="FQ144" s="39">
        <f>IF(N('Dvd Calendar'!$AQ$1424)=0,"",IF(('Dvd Calendar'!$AQ$1424&gt;=GRID_FROM)*('Dvd Calendar'!$AQ$1424&lt;=GRID_TO)*((('Dvd Calendar'!$AQ$1424&lt;=VAL_DATE)+(COUNTIF('Dvd Calendar'!$E$1431:$AR$1431,'Dvd Calendar'!$AQ$1424)=0))&gt;0)=0,"",'Dvd Calendar'!$AQ$1424*1000000000+ISNUMBER('Dvd Calendar'!$AQ$1427)*100000000+('Dvd Calendar'!$AQ$1429=SPECIAL_LBL)*10000000+(N('Dvd Calendar'!$AQ$1423)&gt;0)*(N('Dvd Calendar'!$AQ$1423)&lt;=VAL_SERIAL)*1000000+29*1000+39))</f>
        <v/>
      </c>
      <c r="FR144" s="39">
        <f>IF(N('Dvd Calendar'!$AR$1424)=0,"",IF(('Dvd Calendar'!$AR$1424&gt;=GRID_FROM)*('Dvd Calendar'!$AR$1424&lt;=GRID_TO)*((('Dvd Calendar'!$AR$1424&lt;=VAL_DATE)+(COUNTIF('Dvd Calendar'!$E$1431:$AR$1431,'Dvd Calendar'!$AR$1424)=0))&gt;0)=0,"",'Dvd Calendar'!$AR$1424*1000000000+ISNUMBER('Dvd Calendar'!$AR$1427)*100000000+('Dvd Calendar'!$AR$1429=SPECIAL_LBL)*10000000+(N('Dvd Calendar'!$AR$1423)&gt;0)*(N('Dvd Calendar'!$AR$1423)&lt;=VAL_SERIAL)*1000000+29*1000+40))</f>
        <v/>
      </c>
      <c r="FS144" s="39">
        <f>IF(N('Dvd Calendar'!$E$1431)=0,"",IF(('Dvd Calendar'!$E$1431&gt;=GRID_FROM)*('Dvd Calendar'!$E$1431&lt;=GRID_TO)*('Dvd Calendar'!$E$1431&gt;VAL_DATE)=0,"",'Dvd Calendar'!$E$1431*1000000000+ISNUMBER('Dvd Calendar'!$E$1432)*100000000+0*10000000+(N('Dvd Calendar'!$E$1430)&gt;0)*(N('Dvd Calendar'!$E$1430)&lt;=VAL_SERIAL)*1000000+29*1000+41))</f>
        <v/>
      </c>
      <c r="FT144" s="39">
        <f>IF(N('Dvd Calendar'!$F$1431)=0,"",IF(('Dvd Calendar'!$F$1431&gt;=GRID_FROM)*('Dvd Calendar'!$F$1431&lt;=GRID_TO)*('Dvd Calendar'!$F$1431&gt;VAL_DATE)=0,"",'Dvd Calendar'!$F$1431*1000000000+ISNUMBER('Dvd Calendar'!$F$1432)*100000000+0*10000000+(N('Dvd Calendar'!$F$1430)&gt;0)*(N('Dvd Calendar'!$F$1430)&lt;=VAL_SERIAL)*1000000+29*1000+42))</f>
        <v/>
      </c>
      <c r="FU144" s="39">
        <f>IF(N('Dvd Calendar'!$G$1431)=0,"",IF(('Dvd Calendar'!$G$1431&gt;=GRID_FROM)*('Dvd Calendar'!$G$1431&lt;=GRID_TO)*('Dvd Calendar'!$G$1431&gt;VAL_DATE)=0,"",'Dvd Calendar'!$G$1431*1000000000+ISNUMBER('Dvd Calendar'!$G$1432)*100000000+0*10000000+(N('Dvd Calendar'!$G$1430)&gt;0)*(N('Dvd Calendar'!$G$1430)&lt;=VAL_SERIAL)*1000000+29*1000+43))</f>
        <v/>
      </c>
      <c r="FV144" s="39">
        <f>IF(N('Dvd Calendar'!$H$1431)=0,"",IF(('Dvd Calendar'!$H$1431&gt;=GRID_FROM)*('Dvd Calendar'!$H$1431&lt;=GRID_TO)*('Dvd Calendar'!$H$1431&gt;VAL_DATE)=0,"",'Dvd Calendar'!$H$1431*1000000000+ISNUMBER('Dvd Calendar'!$H$1432)*100000000+0*10000000+(N('Dvd Calendar'!$H$1430)&gt;0)*(N('Dvd Calendar'!$H$1430)&lt;=VAL_SERIAL)*1000000+29*1000+44))</f>
        <v/>
      </c>
      <c r="FW144" s="39">
        <f>IF(N('Dvd Calendar'!$I$1431)=0,"",IF(('Dvd Calendar'!$I$1431&gt;=GRID_FROM)*('Dvd Calendar'!$I$1431&lt;=GRID_TO)*('Dvd Calendar'!$I$1431&gt;VAL_DATE)=0,"",'Dvd Calendar'!$I$1431*1000000000+ISNUMBER('Dvd Calendar'!$I$1432)*100000000+0*10000000+(N('Dvd Calendar'!$I$1430)&gt;0)*(N('Dvd Calendar'!$I$1430)&lt;=VAL_SERIAL)*1000000+29*1000+45))</f>
        <v/>
      </c>
      <c r="FX144" s="39">
        <f>IF(N('Dvd Calendar'!$J$1431)=0,"",IF(('Dvd Calendar'!$J$1431&gt;=GRID_FROM)*('Dvd Calendar'!$J$1431&lt;=GRID_TO)*('Dvd Calendar'!$J$1431&gt;VAL_DATE)=0,"",'Dvd Calendar'!$J$1431*1000000000+ISNUMBER('Dvd Calendar'!$J$1432)*100000000+0*10000000+(N('Dvd Calendar'!$J$1430)&gt;0)*(N('Dvd Calendar'!$J$1430)&lt;=VAL_SERIAL)*1000000+29*1000+46))</f>
        <v/>
      </c>
      <c r="FY144" s="39">
        <f>IF(N('Dvd Calendar'!$K$1431)=0,"",IF(('Dvd Calendar'!$K$1431&gt;=GRID_FROM)*('Dvd Calendar'!$K$1431&lt;=GRID_TO)*('Dvd Calendar'!$K$1431&gt;VAL_DATE)=0,"",'Dvd Calendar'!$K$1431*1000000000+ISNUMBER('Dvd Calendar'!$K$1432)*100000000+0*10000000+(N('Dvd Calendar'!$K$1430)&gt;0)*(N('Dvd Calendar'!$K$1430)&lt;=VAL_SERIAL)*1000000+29*1000+47))</f>
        <v/>
      </c>
      <c r="FZ144" s="39">
        <f>IF(N('Dvd Calendar'!$L$1431)=0,"",IF(('Dvd Calendar'!$L$1431&gt;=GRID_FROM)*('Dvd Calendar'!$L$1431&lt;=GRID_TO)*('Dvd Calendar'!$L$1431&gt;VAL_DATE)=0,"",'Dvd Calendar'!$L$1431*1000000000+ISNUMBER('Dvd Calendar'!$L$1432)*100000000+0*10000000+(N('Dvd Calendar'!$L$1430)&gt;0)*(N('Dvd Calendar'!$L$1430)&lt;=VAL_SERIAL)*1000000+29*1000+48))</f>
        <v/>
      </c>
      <c r="GA144" s="39">
        <f>IF(N('Dvd Calendar'!$M$1431)=0,"",IF(('Dvd Calendar'!$M$1431&gt;=GRID_FROM)*('Dvd Calendar'!$M$1431&lt;=GRID_TO)*('Dvd Calendar'!$M$1431&gt;VAL_DATE)=0,"",'Dvd Calendar'!$M$1431*1000000000+ISNUMBER('Dvd Calendar'!$M$1432)*100000000+0*10000000+(N('Dvd Calendar'!$M$1430)&gt;0)*(N('Dvd Calendar'!$M$1430)&lt;=VAL_SERIAL)*1000000+29*1000+49))</f>
        <v/>
      </c>
      <c r="GB144" s="39">
        <f>IF(N('Dvd Calendar'!$N$1431)=0,"",IF(('Dvd Calendar'!$N$1431&gt;=GRID_FROM)*('Dvd Calendar'!$N$1431&lt;=GRID_TO)*('Dvd Calendar'!$N$1431&gt;VAL_DATE)=0,"",'Dvd Calendar'!$N$1431*1000000000+ISNUMBER('Dvd Calendar'!$N$1432)*100000000+0*10000000+(N('Dvd Calendar'!$N$1430)&gt;0)*(N('Dvd Calendar'!$N$1430)&lt;=VAL_SERIAL)*1000000+29*1000+50))</f>
        <v/>
      </c>
      <c r="GC144" s="39">
        <f>IF(N('Dvd Calendar'!$O$1431)=0,"",IF(('Dvd Calendar'!$O$1431&gt;=GRID_FROM)*('Dvd Calendar'!$O$1431&lt;=GRID_TO)*('Dvd Calendar'!$O$1431&gt;VAL_DATE)=0,"",'Dvd Calendar'!$O$1431*1000000000+ISNUMBER('Dvd Calendar'!$O$1432)*100000000+0*10000000+(N('Dvd Calendar'!$O$1430)&gt;0)*(N('Dvd Calendar'!$O$1430)&lt;=VAL_SERIAL)*1000000+29*1000+51))</f>
        <v/>
      </c>
      <c r="GD144" s="39">
        <f>IF(N('Dvd Calendar'!$P$1431)=0,"",IF(('Dvd Calendar'!$P$1431&gt;=GRID_FROM)*('Dvd Calendar'!$P$1431&lt;=GRID_TO)*('Dvd Calendar'!$P$1431&gt;VAL_DATE)=0,"",'Dvd Calendar'!$P$1431*1000000000+ISNUMBER('Dvd Calendar'!$P$1432)*100000000+0*10000000+(N('Dvd Calendar'!$P$1430)&gt;0)*(N('Dvd Calendar'!$P$1430)&lt;=VAL_SERIAL)*1000000+29*1000+52))</f>
        <v/>
      </c>
      <c r="GE144" s="39">
        <f>IF(N('Dvd Calendar'!$Q$1431)=0,"",IF(('Dvd Calendar'!$Q$1431&gt;=GRID_FROM)*('Dvd Calendar'!$Q$1431&lt;=GRID_TO)*('Dvd Calendar'!$Q$1431&gt;VAL_DATE)=0,"",'Dvd Calendar'!$Q$1431*1000000000+ISNUMBER('Dvd Calendar'!$Q$1432)*100000000+0*10000000+(N('Dvd Calendar'!$Q$1430)&gt;0)*(N('Dvd Calendar'!$Q$1430)&lt;=VAL_SERIAL)*1000000+29*1000+53))</f>
        <v/>
      </c>
      <c r="GF144" s="39">
        <f>IF(N('Dvd Calendar'!$R$1431)=0,"",IF(('Dvd Calendar'!$R$1431&gt;=GRID_FROM)*('Dvd Calendar'!$R$1431&lt;=GRID_TO)*('Dvd Calendar'!$R$1431&gt;VAL_DATE)=0,"",'Dvd Calendar'!$R$1431*1000000000+ISNUMBER('Dvd Calendar'!$R$1432)*100000000+0*10000000+(N('Dvd Calendar'!$R$1430)&gt;0)*(N('Dvd Calendar'!$R$1430)&lt;=VAL_SERIAL)*1000000+29*1000+54))</f>
        <v/>
      </c>
      <c r="GG144" s="39">
        <f>IF(N('Dvd Calendar'!$S$1431)=0,"",IF(('Dvd Calendar'!$S$1431&gt;=GRID_FROM)*('Dvd Calendar'!$S$1431&lt;=GRID_TO)*('Dvd Calendar'!$S$1431&gt;VAL_DATE)=0,"",'Dvd Calendar'!$S$1431*1000000000+ISNUMBER('Dvd Calendar'!$S$1432)*100000000+0*10000000+(N('Dvd Calendar'!$S$1430)&gt;0)*(N('Dvd Calendar'!$S$1430)&lt;=VAL_SERIAL)*1000000+29*1000+55))</f>
        <v/>
      </c>
      <c r="GH144" s="39">
        <f>IF(N('Dvd Calendar'!$T$1431)=0,"",IF(('Dvd Calendar'!$T$1431&gt;=GRID_FROM)*('Dvd Calendar'!$T$1431&lt;=GRID_TO)*('Dvd Calendar'!$T$1431&gt;VAL_DATE)=0,"",'Dvd Calendar'!$T$1431*1000000000+ISNUMBER('Dvd Calendar'!$T$1432)*100000000+0*10000000+(N('Dvd Calendar'!$T$1430)&gt;0)*(N('Dvd Calendar'!$T$1430)&lt;=VAL_SERIAL)*1000000+29*1000+56))</f>
        <v/>
      </c>
      <c r="GI144" s="39">
        <f>IF(N('Dvd Calendar'!$U$1431)=0,"",IF(('Dvd Calendar'!$U$1431&gt;=GRID_FROM)*('Dvd Calendar'!$U$1431&lt;=GRID_TO)*('Dvd Calendar'!$U$1431&gt;VAL_DATE)=0,"",'Dvd Calendar'!$U$1431*1000000000+ISNUMBER('Dvd Calendar'!$U$1432)*100000000+0*10000000+(N('Dvd Calendar'!$U$1430)&gt;0)*(N('Dvd Calendar'!$U$1430)&lt;=VAL_SERIAL)*1000000+29*1000+57))</f>
        <v/>
      </c>
      <c r="GJ144" s="39">
        <f>IF(N('Dvd Calendar'!$V$1431)=0,"",IF(('Dvd Calendar'!$V$1431&gt;=GRID_FROM)*('Dvd Calendar'!$V$1431&lt;=GRID_TO)*('Dvd Calendar'!$V$1431&gt;VAL_DATE)=0,"",'Dvd Calendar'!$V$1431*1000000000+ISNUMBER('Dvd Calendar'!$V$1432)*100000000+0*10000000+(N('Dvd Calendar'!$V$1430)&gt;0)*(N('Dvd Calendar'!$V$1430)&lt;=VAL_SERIAL)*1000000+29*1000+58))</f>
        <v/>
      </c>
      <c r="GK144" s="39">
        <f>IF(N('Dvd Calendar'!$W$1431)=0,"",IF(('Dvd Calendar'!$W$1431&gt;=GRID_FROM)*('Dvd Calendar'!$W$1431&lt;=GRID_TO)*('Dvd Calendar'!$W$1431&gt;VAL_DATE)=0,"",'Dvd Calendar'!$W$1431*1000000000+ISNUMBER('Dvd Calendar'!$W$1432)*100000000+0*10000000+(N('Dvd Calendar'!$W$1430)&gt;0)*(N('Dvd Calendar'!$W$1430)&lt;=VAL_SERIAL)*1000000+29*1000+59))</f>
        <v/>
      </c>
      <c r="GL144" s="39">
        <f>IF(N('Dvd Calendar'!$X$1431)=0,"",IF(('Dvd Calendar'!$X$1431&gt;=GRID_FROM)*('Dvd Calendar'!$X$1431&lt;=GRID_TO)*('Dvd Calendar'!$X$1431&gt;VAL_DATE)=0,"",'Dvd Calendar'!$X$1431*1000000000+ISNUMBER('Dvd Calendar'!$X$1432)*100000000+0*10000000+(N('Dvd Calendar'!$X$1430)&gt;0)*(N('Dvd Calendar'!$X$1430)&lt;=VAL_SERIAL)*1000000+29*1000+60))</f>
        <v/>
      </c>
      <c r="GM144" s="39">
        <f>IF(N('Dvd Calendar'!$Y$1431)=0,"",IF(('Dvd Calendar'!$Y$1431&gt;=GRID_FROM)*('Dvd Calendar'!$Y$1431&lt;=GRID_TO)*('Dvd Calendar'!$Y$1431&gt;VAL_DATE)=0,"",'Dvd Calendar'!$Y$1431*1000000000+ISNUMBER('Dvd Calendar'!$Y$1432)*100000000+0*10000000+(N('Dvd Calendar'!$Y$1430)&gt;0)*(N('Dvd Calendar'!$Y$1430)&lt;=VAL_SERIAL)*1000000+29*1000+61))</f>
        <v/>
      </c>
      <c r="GN144" s="39">
        <f>IF(N('Dvd Calendar'!$Z$1431)=0,"",IF(('Dvd Calendar'!$Z$1431&gt;=GRID_FROM)*('Dvd Calendar'!$Z$1431&lt;=GRID_TO)*('Dvd Calendar'!$Z$1431&gt;VAL_DATE)=0,"",'Dvd Calendar'!$Z$1431*1000000000+ISNUMBER('Dvd Calendar'!$Z$1432)*100000000+0*10000000+(N('Dvd Calendar'!$Z$1430)&gt;0)*(N('Dvd Calendar'!$Z$1430)&lt;=VAL_SERIAL)*1000000+29*1000+62))</f>
        <v/>
      </c>
      <c r="GO144" s="39">
        <f>IF(N('Dvd Calendar'!$AA$1431)=0,"",IF(('Dvd Calendar'!$AA$1431&gt;=GRID_FROM)*('Dvd Calendar'!$AA$1431&lt;=GRID_TO)*('Dvd Calendar'!$AA$1431&gt;VAL_DATE)=0,"",'Dvd Calendar'!$AA$1431*1000000000+ISNUMBER('Dvd Calendar'!$AA$1432)*100000000+0*10000000+(N('Dvd Calendar'!$AA$1430)&gt;0)*(N('Dvd Calendar'!$AA$1430)&lt;=VAL_SERIAL)*1000000+29*1000+63))</f>
        <v/>
      </c>
      <c r="GP144" s="39">
        <f>IF(N('Dvd Calendar'!$AB$1431)=0,"",IF(('Dvd Calendar'!$AB$1431&gt;=GRID_FROM)*('Dvd Calendar'!$AB$1431&lt;=GRID_TO)*('Dvd Calendar'!$AB$1431&gt;VAL_DATE)=0,"",'Dvd Calendar'!$AB$1431*1000000000+ISNUMBER('Dvd Calendar'!$AB$1432)*100000000+0*10000000+(N('Dvd Calendar'!$AB$1430)&gt;0)*(N('Dvd Calendar'!$AB$1430)&lt;=VAL_SERIAL)*1000000+29*1000+64))</f>
        <v/>
      </c>
      <c r="GQ144" s="39">
        <f>IF(N('Dvd Calendar'!$AC$1431)=0,"",IF(('Dvd Calendar'!$AC$1431&gt;=GRID_FROM)*('Dvd Calendar'!$AC$1431&lt;=GRID_TO)*('Dvd Calendar'!$AC$1431&gt;VAL_DATE)=0,"",'Dvd Calendar'!$AC$1431*1000000000+ISNUMBER('Dvd Calendar'!$AC$1432)*100000000+0*10000000+(N('Dvd Calendar'!$AC$1430)&gt;0)*(N('Dvd Calendar'!$AC$1430)&lt;=VAL_SERIAL)*1000000+29*1000+65))</f>
        <v/>
      </c>
    </row>
    <row r="145">
      <c r="B145" s="2">
        <f>IF(HSTECH!$C$36="","",HSTECH!$C$36)</f>
        <v/>
      </c>
      <c r="C145" s="110">
        <f>IF(EE145="","",IF(ISNUMBER('Dvd Calendar'!$E$1438)=FALSE,"",IF((('Dvd Calendar'!$E$1440=TYPE1)*(TYPE1&lt;&gt;"")+('Dvd Calendar'!$E$1440=TYPE2)*(TYPE2&lt;&gt;"")+('Dvd Calendar'!$E$1440=TYPE3)*(TYPE3&lt;&gt;"")+('Dvd Calendar'!$E$1440=TYPE4)*(TYPE4&lt;&gt;"")+('Dvd Calendar'!$E$1440=SPECIAL_LBL)*(INC_SPECIALS="Y"))=0,"",'Dvd Calendar'!$E$1438)))</f>
        <v/>
      </c>
      <c r="D145" s="110">
        <f>IF(EF145="","",IF(ISNUMBER('Dvd Calendar'!$F$1438)=FALSE,"",IF((('Dvd Calendar'!$F$1440=TYPE1)*(TYPE1&lt;&gt;"")+('Dvd Calendar'!$F$1440=TYPE2)*(TYPE2&lt;&gt;"")+('Dvd Calendar'!$F$1440=TYPE3)*(TYPE3&lt;&gt;"")+('Dvd Calendar'!$F$1440=TYPE4)*(TYPE4&lt;&gt;"")+('Dvd Calendar'!$F$1440=SPECIAL_LBL)*(INC_SPECIALS="Y"))=0,"",'Dvd Calendar'!$F$1438)))</f>
        <v/>
      </c>
      <c r="E145" s="110">
        <f>IF(EG145="","",IF(ISNUMBER('Dvd Calendar'!$G$1438)=FALSE,"",IF((('Dvd Calendar'!$G$1440=TYPE1)*(TYPE1&lt;&gt;"")+('Dvd Calendar'!$G$1440=TYPE2)*(TYPE2&lt;&gt;"")+('Dvd Calendar'!$G$1440=TYPE3)*(TYPE3&lt;&gt;"")+('Dvd Calendar'!$G$1440=TYPE4)*(TYPE4&lt;&gt;"")+('Dvd Calendar'!$G$1440=SPECIAL_LBL)*(INC_SPECIALS="Y"))=0,"",'Dvd Calendar'!$G$1438)))</f>
        <v/>
      </c>
      <c r="F145" s="110">
        <f>IF(EH145="","",IF(ISNUMBER('Dvd Calendar'!$H$1438)=FALSE,"",IF((('Dvd Calendar'!$H$1440=TYPE1)*(TYPE1&lt;&gt;"")+('Dvd Calendar'!$H$1440=TYPE2)*(TYPE2&lt;&gt;"")+('Dvd Calendar'!$H$1440=TYPE3)*(TYPE3&lt;&gt;"")+('Dvd Calendar'!$H$1440=TYPE4)*(TYPE4&lt;&gt;"")+('Dvd Calendar'!$H$1440=SPECIAL_LBL)*(INC_SPECIALS="Y"))=0,"",'Dvd Calendar'!$H$1438)))</f>
        <v/>
      </c>
      <c r="G145" s="110">
        <f>IF(EI145="","",IF(ISNUMBER('Dvd Calendar'!$I$1438)=FALSE,"",IF((('Dvd Calendar'!$I$1440=TYPE1)*(TYPE1&lt;&gt;"")+('Dvd Calendar'!$I$1440=TYPE2)*(TYPE2&lt;&gt;"")+('Dvd Calendar'!$I$1440=TYPE3)*(TYPE3&lt;&gt;"")+('Dvd Calendar'!$I$1440=TYPE4)*(TYPE4&lt;&gt;"")+('Dvd Calendar'!$I$1440=SPECIAL_LBL)*(INC_SPECIALS="Y"))=0,"",'Dvd Calendar'!$I$1438)))</f>
        <v/>
      </c>
      <c r="H145" s="110">
        <f>IF(EJ145="","",IF(ISNUMBER('Dvd Calendar'!$J$1438)=FALSE,"",IF((('Dvd Calendar'!$J$1440=TYPE1)*(TYPE1&lt;&gt;"")+('Dvd Calendar'!$J$1440=TYPE2)*(TYPE2&lt;&gt;"")+('Dvd Calendar'!$J$1440=TYPE3)*(TYPE3&lt;&gt;"")+('Dvd Calendar'!$J$1440=TYPE4)*(TYPE4&lt;&gt;"")+('Dvd Calendar'!$J$1440=SPECIAL_LBL)*(INC_SPECIALS="Y"))=0,"",'Dvd Calendar'!$J$1438)))</f>
        <v/>
      </c>
      <c r="I145" s="110">
        <f>IF(EK145="","",IF(ISNUMBER('Dvd Calendar'!$K$1438)=FALSE,"",IF((('Dvd Calendar'!$K$1440=TYPE1)*(TYPE1&lt;&gt;"")+('Dvd Calendar'!$K$1440=TYPE2)*(TYPE2&lt;&gt;"")+('Dvd Calendar'!$K$1440=TYPE3)*(TYPE3&lt;&gt;"")+('Dvd Calendar'!$K$1440=TYPE4)*(TYPE4&lt;&gt;"")+('Dvd Calendar'!$K$1440=SPECIAL_LBL)*(INC_SPECIALS="Y"))=0,"",'Dvd Calendar'!$K$1438)))</f>
        <v/>
      </c>
      <c r="J145" s="110">
        <f>IF(EL145="","",IF(ISNUMBER('Dvd Calendar'!$L$1438)=FALSE,"",IF((('Dvd Calendar'!$L$1440=TYPE1)*(TYPE1&lt;&gt;"")+('Dvd Calendar'!$L$1440=TYPE2)*(TYPE2&lt;&gt;"")+('Dvd Calendar'!$L$1440=TYPE3)*(TYPE3&lt;&gt;"")+('Dvd Calendar'!$L$1440=TYPE4)*(TYPE4&lt;&gt;"")+('Dvd Calendar'!$L$1440=SPECIAL_LBL)*(INC_SPECIALS="Y"))=0,"",'Dvd Calendar'!$L$1438)))</f>
        <v/>
      </c>
      <c r="K145" s="110">
        <f>IF(EM145="","",IF(ISNUMBER('Dvd Calendar'!$M$1438)=FALSE,"",IF((('Dvd Calendar'!$M$1440=TYPE1)*(TYPE1&lt;&gt;"")+('Dvd Calendar'!$M$1440=TYPE2)*(TYPE2&lt;&gt;"")+('Dvd Calendar'!$M$1440=TYPE3)*(TYPE3&lt;&gt;"")+('Dvd Calendar'!$M$1440=TYPE4)*(TYPE4&lt;&gt;"")+('Dvd Calendar'!$M$1440=SPECIAL_LBL)*(INC_SPECIALS="Y"))=0,"",'Dvd Calendar'!$M$1438)))</f>
        <v/>
      </c>
      <c r="L145" s="110">
        <f>IF(EN145="","",IF(ISNUMBER('Dvd Calendar'!$N$1438)=FALSE,"",IF((('Dvd Calendar'!$N$1440=TYPE1)*(TYPE1&lt;&gt;"")+('Dvd Calendar'!$N$1440=TYPE2)*(TYPE2&lt;&gt;"")+('Dvd Calendar'!$N$1440=TYPE3)*(TYPE3&lt;&gt;"")+('Dvd Calendar'!$N$1440=TYPE4)*(TYPE4&lt;&gt;"")+('Dvd Calendar'!$N$1440=SPECIAL_LBL)*(INC_SPECIALS="Y"))=0,"",'Dvd Calendar'!$N$1438)))</f>
        <v/>
      </c>
      <c r="M145" s="110">
        <f>IF(EO145="","",IF(ISNUMBER('Dvd Calendar'!$O$1438)=FALSE,"",IF((('Dvd Calendar'!$O$1440=TYPE1)*(TYPE1&lt;&gt;"")+('Dvd Calendar'!$O$1440=TYPE2)*(TYPE2&lt;&gt;"")+('Dvd Calendar'!$O$1440=TYPE3)*(TYPE3&lt;&gt;"")+('Dvd Calendar'!$O$1440=TYPE4)*(TYPE4&lt;&gt;"")+('Dvd Calendar'!$O$1440=SPECIAL_LBL)*(INC_SPECIALS="Y"))=0,"",'Dvd Calendar'!$O$1438)))</f>
        <v/>
      </c>
      <c r="N145" s="110">
        <f>IF(EP145="","",IF(ISNUMBER('Dvd Calendar'!$P$1438)=FALSE,"",IF((('Dvd Calendar'!$P$1440=TYPE1)*(TYPE1&lt;&gt;"")+('Dvd Calendar'!$P$1440=TYPE2)*(TYPE2&lt;&gt;"")+('Dvd Calendar'!$P$1440=TYPE3)*(TYPE3&lt;&gt;"")+('Dvd Calendar'!$P$1440=TYPE4)*(TYPE4&lt;&gt;"")+('Dvd Calendar'!$P$1440=SPECIAL_LBL)*(INC_SPECIALS="Y"))=0,"",'Dvd Calendar'!$P$1438)))</f>
        <v/>
      </c>
      <c r="O145" s="110">
        <f>IF(EQ145="","",IF(ISNUMBER('Dvd Calendar'!$Q$1438)=FALSE,"",IF((('Dvd Calendar'!$Q$1440=TYPE1)*(TYPE1&lt;&gt;"")+('Dvd Calendar'!$Q$1440=TYPE2)*(TYPE2&lt;&gt;"")+('Dvd Calendar'!$Q$1440=TYPE3)*(TYPE3&lt;&gt;"")+('Dvd Calendar'!$Q$1440=TYPE4)*(TYPE4&lt;&gt;"")+('Dvd Calendar'!$Q$1440=SPECIAL_LBL)*(INC_SPECIALS="Y"))=0,"",'Dvd Calendar'!$Q$1438)))</f>
        <v/>
      </c>
      <c r="P145" s="110">
        <f>IF(ER145="","",IF(ISNUMBER('Dvd Calendar'!$R$1438)=FALSE,"",IF((('Dvd Calendar'!$R$1440=TYPE1)*(TYPE1&lt;&gt;"")+('Dvd Calendar'!$R$1440=TYPE2)*(TYPE2&lt;&gt;"")+('Dvd Calendar'!$R$1440=TYPE3)*(TYPE3&lt;&gt;"")+('Dvd Calendar'!$R$1440=TYPE4)*(TYPE4&lt;&gt;"")+('Dvd Calendar'!$R$1440=SPECIAL_LBL)*(INC_SPECIALS="Y"))=0,"",'Dvd Calendar'!$R$1438)))</f>
        <v/>
      </c>
      <c r="Q145" s="110">
        <f>IF(ES145="","",IF(ISNUMBER('Dvd Calendar'!$S$1438)=FALSE,"",IF((('Dvd Calendar'!$S$1440=TYPE1)*(TYPE1&lt;&gt;"")+('Dvd Calendar'!$S$1440=TYPE2)*(TYPE2&lt;&gt;"")+('Dvd Calendar'!$S$1440=TYPE3)*(TYPE3&lt;&gt;"")+('Dvd Calendar'!$S$1440=TYPE4)*(TYPE4&lt;&gt;"")+('Dvd Calendar'!$S$1440=SPECIAL_LBL)*(INC_SPECIALS="Y"))=0,"",'Dvd Calendar'!$S$1438)))</f>
        <v/>
      </c>
      <c r="R145" s="110">
        <f>IF(ET145="","",IF(ISNUMBER('Dvd Calendar'!$T$1438)=FALSE,"",IF((('Dvd Calendar'!$T$1440=TYPE1)*(TYPE1&lt;&gt;"")+('Dvd Calendar'!$T$1440=TYPE2)*(TYPE2&lt;&gt;"")+('Dvd Calendar'!$T$1440=TYPE3)*(TYPE3&lt;&gt;"")+('Dvd Calendar'!$T$1440=TYPE4)*(TYPE4&lt;&gt;"")+('Dvd Calendar'!$T$1440=SPECIAL_LBL)*(INC_SPECIALS="Y"))=0,"",'Dvd Calendar'!$T$1438)))</f>
        <v/>
      </c>
      <c r="S145" s="110">
        <f>IF(EU145="","",IF(ISNUMBER('Dvd Calendar'!$U$1438)=FALSE,"",IF((('Dvd Calendar'!$U$1440=TYPE1)*(TYPE1&lt;&gt;"")+('Dvd Calendar'!$U$1440=TYPE2)*(TYPE2&lt;&gt;"")+('Dvd Calendar'!$U$1440=TYPE3)*(TYPE3&lt;&gt;"")+('Dvd Calendar'!$U$1440=TYPE4)*(TYPE4&lt;&gt;"")+('Dvd Calendar'!$U$1440=SPECIAL_LBL)*(INC_SPECIALS="Y"))=0,"",'Dvd Calendar'!$U$1438)))</f>
        <v/>
      </c>
      <c r="T145" s="110">
        <f>IF(EV145="","",IF(ISNUMBER('Dvd Calendar'!$V$1438)=FALSE,"",IF((('Dvd Calendar'!$V$1440=TYPE1)*(TYPE1&lt;&gt;"")+('Dvd Calendar'!$V$1440=TYPE2)*(TYPE2&lt;&gt;"")+('Dvd Calendar'!$V$1440=TYPE3)*(TYPE3&lt;&gt;"")+('Dvd Calendar'!$V$1440=TYPE4)*(TYPE4&lt;&gt;"")+('Dvd Calendar'!$V$1440=SPECIAL_LBL)*(INC_SPECIALS="Y"))=0,"",'Dvd Calendar'!$V$1438)))</f>
        <v/>
      </c>
      <c r="U145" s="110">
        <f>IF(EW145="","",IF(ISNUMBER('Dvd Calendar'!$W$1438)=FALSE,"",IF((('Dvd Calendar'!$W$1440=TYPE1)*(TYPE1&lt;&gt;"")+('Dvd Calendar'!$W$1440=TYPE2)*(TYPE2&lt;&gt;"")+('Dvd Calendar'!$W$1440=TYPE3)*(TYPE3&lt;&gt;"")+('Dvd Calendar'!$W$1440=TYPE4)*(TYPE4&lt;&gt;"")+('Dvd Calendar'!$W$1440=SPECIAL_LBL)*(INC_SPECIALS="Y"))=0,"",'Dvd Calendar'!$W$1438)))</f>
        <v/>
      </c>
      <c r="V145" s="110">
        <f>IF(EX145="","",IF(ISNUMBER('Dvd Calendar'!$X$1438)=FALSE,"",IF((('Dvd Calendar'!$X$1440=TYPE1)*(TYPE1&lt;&gt;"")+('Dvd Calendar'!$X$1440=TYPE2)*(TYPE2&lt;&gt;"")+('Dvd Calendar'!$X$1440=TYPE3)*(TYPE3&lt;&gt;"")+('Dvd Calendar'!$X$1440=TYPE4)*(TYPE4&lt;&gt;"")+('Dvd Calendar'!$X$1440=SPECIAL_LBL)*(INC_SPECIALS="Y"))=0,"",'Dvd Calendar'!$X$1438)))</f>
        <v/>
      </c>
      <c r="W145" s="110">
        <f>IF(EY145="","",IF(ISNUMBER('Dvd Calendar'!$Y$1438)=FALSE,"",IF((('Dvd Calendar'!$Y$1440=TYPE1)*(TYPE1&lt;&gt;"")+('Dvd Calendar'!$Y$1440=TYPE2)*(TYPE2&lt;&gt;"")+('Dvd Calendar'!$Y$1440=TYPE3)*(TYPE3&lt;&gt;"")+('Dvd Calendar'!$Y$1440=TYPE4)*(TYPE4&lt;&gt;"")+('Dvd Calendar'!$Y$1440=SPECIAL_LBL)*(INC_SPECIALS="Y"))=0,"",'Dvd Calendar'!$Y$1438)))</f>
        <v/>
      </c>
      <c r="X145" s="110">
        <f>IF(EZ145="","",IF(ISNUMBER('Dvd Calendar'!$Z$1438)=FALSE,"",IF((('Dvd Calendar'!$Z$1440=TYPE1)*(TYPE1&lt;&gt;"")+('Dvd Calendar'!$Z$1440=TYPE2)*(TYPE2&lt;&gt;"")+('Dvd Calendar'!$Z$1440=TYPE3)*(TYPE3&lt;&gt;"")+('Dvd Calendar'!$Z$1440=TYPE4)*(TYPE4&lt;&gt;"")+('Dvd Calendar'!$Z$1440=SPECIAL_LBL)*(INC_SPECIALS="Y"))=0,"",'Dvd Calendar'!$Z$1438)))</f>
        <v/>
      </c>
      <c r="Y145" s="110">
        <f>IF(FA145="","",IF(ISNUMBER('Dvd Calendar'!$AA$1438)=FALSE,"",IF((('Dvd Calendar'!$AA$1440=TYPE1)*(TYPE1&lt;&gt;"")+('Dvd Calendar'!$AA$1440=TYPE2)*(TYPE2&lt;&gt;"")+('Dvd Calendar'!$AA$1440=TYPE3)*(TYPE3&lt;&gt;"")+('Dvd Calendar'!$AA$1440=TYPE4)*(TYPE4&lt;&gt;"")+('Dvd Calendar'!$AA$1440=SPECIAL_LBL)*(INC_SPECIALS="Y"))=0,"",'Dvd Calendar'!$AA$1438)))</f>
        <v/>
      </c>
      <c r="Z145" s="110">
        <f>IF(FB145="","",IF(ISNUMBER('Dvd Calendar'!$AB$1438)=FALSE,"",IF((('Dvd Calendar'!$AB$1440=TYPE1)*(TYPE1&lt;&gt;"")+('Dvd Calendar'!$AB$1440=TYPE2)*(TYPE2&lt;&gt;"")+('Dvd Calendar'!$AB$1440=TYPE3)*(TYPE3&lt;&gt;"")+('Dvd Calendar'!$AB$1440=TYPE4)*(TYPE4&lt;&gt;"")+('Dvd Calendar'!$AB$1440=SPECIAL_LBL)*(INC_SPECIALS="Y"))=0,"",'Dvd Calendar'!$AB$1438)))</f>
        <v/>
      </c>
      <c r="AA145" s="110">
        <f>IF(FC145="","",IF(ISNUMBER('Dvd Calendar'!$AC$1438)=FALSE,"",IF((('Dvd Calendar'!$AC$1440=TYPE1)*(TYPE1&lt;&gt;"")+('Dvd Calendar'!$AC$1440=TYPE2)*(TYPE2&lt;&gt;"")+('Dvd Calendar'!$AC$1440=TYPE3)*(TYPE3&lt;&gt;"")+('Dvd Calendar'!$AC$1440=TYPE4)*(TYPE4&lt;&gt;"")+('Dvd Calendar'!$AC$1440=SPECIAL_LBL)*(INC_SPECIALS="Y"))=0,"",'Dvd Calendar'!$AC$1438)))</f>
        <v/>
      </c>
      <c r="AB145" s="110">
        <f>IF(FD145="","",IF(ISNUMBER('Dvd Calendar'!$AD$1438)=FALSE,"",IF((('Dvd Calendar'!$AD$1440=TYPE1)*(TYPE1&lt;&gt;"")+('Dvd Calendar'!$AD$1440=TYPE2)*(TYPE2&lt;&gt;"")+('Dvd Calendar'!$AD$1440=TYPE3)*(TYPE3&lt;&gt;"")+('Dvd Calendar'!$AD$1440=TYPE4)*(TYPE4&lt;&gt;"")+('Dvd Calendar'!$AD$1440=SPECIAL_LBL)*(INC_SPECIALS="Y"))=0,"",'Dvd Calendar'!$AD$1438)))</f>
        <v/>
      </c>
      <c r="AC145" s="110">
        <f>IF(FE145="","",IF(ISNUMBER('Dvd Calendar'!$AE$1438)=FALSE,"",IF((('Dvd Calendar'!$AE$1440=TYPE1)*(TYPE1&lt;&gt;"")+('Dvd Calendar'!$AE$1440=TYPE2)*(TYPE2&lt;&gt;"")+('Dvd Calendar'!$AE$1440=TYPE3)*(TYPE3&lt;&gt;"")+('Dvd Calendar'!$AE$1440=TYPE4)*(TYPE4&lt;&gt;"")+('Dvd Calendar'!$AE$1440=SPECIAL_LBL)*(INC_SPECIALS="Y"))=0,"",'Dvd Calendar'!$AE$1438)))</f>
        <v/>
      </c>
      <c r="AD145" s="110">
        <f>IF(FF145="","",IF(ISNUMBER('Dvd Calendar'!$AF$1438)=FALSE,"",IF((('Dvd Calendar'!$AF$1440=TYPE1)*(TYPE1&lt;&gt;"")+('Dvd Calendar'!$AF$1440=TYPE2)*(TYPE2&lt;&gt;"")+('Dvd Calendar'!$AF$1440=TYPE3)*(TYPE3&lt;&gt;"")+('Dvd Calendar'!$AF$1440=TYPE4)*(TYPE4&lt;&gt;"")+('Dvd Calendar'!$AF$1440=SPECIAL_LBL)*(INC_SPECIALS="Y"))=0,"",'Dvd Calendar'!$AF$1438)))</f>
        <v/>
      </c>
      <c r="AE145" s="110">
        <f>IF(FG145="","",IF(ISNUMBER('Dvd Calendar'!$AG$1438)=FALSE,"",IF((('Dvd Calendar'!$AG$1440=TYPE1)*(TYPE1&lt;&gt;"")+('Dvd Calendar'!$AG$1440=TYPE2)*(TYPE2&lt;&gt;"")+('Dvd Calendar'!$AG$1440=TYPE3)*(TYPE3&lt;&gt;"")+('Dvd Calendar'!$AG$1440=TYPE4)*(TYPE4&lt;&gt;"")+('Dvd Calendar'!$AG$1440=SPECIAL_LBL)*(INC_SPECIALS="Y"))=0,"",'Dvd Calendar'!$AG$1438)))</f>
        <v/>
      </c>
      <c r="AF145" s="110">
        <f>IF(FH145="","",IF(ISNUMBER('Dvd Calendar'!$AH$1438)=FALSE,"",IF((('Dvd Calendar'!$AH$1440=TYPE1)*(TYPE1&lt;&gt;"")+('Dvd Calendar'!$AH$1440=TYPE2)*(TYPE2&lt;&gt;"")+('Dvd Calendar'!$AH$1440=TYPE3)*(TYPE3&lt;&gt;"")+('Dvd Calendar'!$AH$1440=TYPE4)*(TYPE4&lt;&gt;"")+('Dvd Calendar'!$AH$1440=SPECIAL_LBL)*(INC_SPECIALS="Y"))=0,"",'Dvd Calendar'!$AH$1438)))</f>
        <v/>
      </c>
      <c r="AG145" s="110">
        <f>IF(FI145="","",IF(ISNUMBER('Dvd Calendar'!$AI$1438)=FALSE,"",IF((('Dvd Calendar'!$AI$1440=TYPE1)*(TYPE1&lt;&gt;"")+('Dvd Calendar'!$AI$1440=TYPE2)*(TYPE2&lt;&gt;"")+('Dvd Calendar'!$AI$1440=TYPE3)*(TYPE3&lt;&gt;"")+('Dvd Calendar'!$AI$1440=TYPE4)*(TYPE4&lt;&gt;"")+('Dvd Calendar'!$AI$1440=SPECIAL_LBL)*(INC_SPECIALS="Y"))=0,"",'Dvd Calendar'!$AI$1438)))</f>
        <v/>
      </c>
      <c r="AH145" s="110">
        <f>IF(FJ145="","",IF(ISNUMBER('Dvd Calendar'!$AJ$1438)=FALSE,"",IF((('Dvd Calendar'!$AJ$1440=TYPE1)*(TYPE1&lt;&gt;"")+('Dvd Calendar'!$AJ$1440=TYPE2)*(TYPE2&lt;&gt;"")+('Dvd Calendar'!$AJ$1440=TYPE3)*(TYPE3&lt;&gt;"")+('Dvd Calendar'!$AJ$1440=TYPE4)*(TYPE4&lt;&gt;"")+('Dvd Calendar'!$AJ$1440=SPECIAL_LBL)*(INC_SPECIALS="Y"))=0,"",'Dvd Calendar'!$AJ$1438)))</f>
        <v/>
      </c>
      <c r="AI145" s="110">
        <f>IF(FK145="","",IF(ISNUMBER('Dvd Calendar'!$AK$1438)=FALSE,"",IF((('Dvd Calendar'!$AK$1440=TYPE1)*(TYPE1&lt;&gt;"")+('Dvd Calendar'!$AK$1440=TYPE2)*(TYPE2&lt;&gt;"")+('Dvd Calendar'!$AK$1440=TYPE3)*(TYPE3&lt;&gt;"")+('Dvd Calendar'!$AK$1440=TYPE4)*(TYPE4&lt;&gt;"")+('Dvd Calendar'!$AK$1440=SPECIAL_LBL)*(INC_SPECIALS="Y"))=0,"",'Dvd Calendar'!$AK$1438)))</f>
        <v/>
      </c>
      <c r="AJ145" s="110">
        <f>IF(FL145="","",IF(ISNUMBER('Dvd Calendar'!$AL$1438)=FALSE,"",IF((('Dvd Calendar'!$AL$1440=TYPE1)*(TYPE1&lt;&gt;"")+('Dvd Calendar'!$AL$1440=TYPE2)*(TYPE2&lt;&gt;"")+('Dvd Calendar'!$AL$1440=TYPE3)*(TYPE3&lt;&gt;"")+('Dvd Calendar'!$AL$1440=TYPE4)*(TYPE4&lt;&gt;"")+('Dvd Calendar'!$AL$1440=SPECIAL_LBL)*(INC_SPECIALS="Y"))=0,"",'Dvd Calendar'!$AL$1438)))</f>
        <v/>
      </c>
      <c r="AK145" s="110">
        <f>IF(FM145="","",IF(ISNUMBER('Dvd Calendar'!$AM$1438)=FALSE,"",IF((('Dvd Calendar'!$AM$1440=TYPE1)*(TYPE1&lt;&gt;"")+('Dvd Calendar'!$AM$1440=TYPE2)*(TYPE2&lt;&gt;"")+('Dvd Calendar'!$AM$1440=TYPE3)*(TYPE3&lt;&gt;"")+('Dvd Calendar'!$AM$1440=TYPE4)*(TYPE4&lt;&gt;"")+('Dvd Calendar'!$AM$1440=SPECIAL_LBL)*(INC_SPECIALS="Y"))=0,"",'Dvd Calendar'!$AM$1438)))</f>
        <v/>
      </c>
      <c r="AL145" s="110">
        <f>IF(FN145="","",IF(ISNUMBER('Dvd Calendar'!$AN$1438)=FALSE,"",IF((('Dvd Calendar'!$AN$1440=TYPE1)*(TYPE1&lt;&gt;"")+('Dvd Calendar'!$AN$1440=TYPE2)*(TYPE2&lt;&gt;"")+('Dvd Calendar'!$AN$1440=TYPE3)*(TYPE3&lt;&gt;"")+('Dvd Calendar'!$AN$1440=TYPE4)*(TYPE4&lt;&gt;"")+('Dvd Calendar'!$AN$1440=SPECIAL_LBL)*(INC_SPECIALS="Y"))=0,"",'Dvd Calendar'!$AN$1438)))</f>
        <v/>
      </c>
      <c r="AM145" s="110">
        <f>IF(FO145="","",IF(ISNUMBER('Dvd Calendar'!$AO$1438)=FALSE,"",IF((('Dvd Calendar'!$AO$1440=TYPE1)*(TYPE1&lt;&gt;"")+('Dvd Calendar'!$AO$1440=TYPE2)*(TYPE2&lt;&gt;"")+('Dvd Calendar'!$AO$1440=TYPE3)*(TYPE3&lt;&gt;"")+('Dvd Calendar'!$AO$1440=TYPE4)*(TYPE4&lt;&gt;"")+('Dvd Calendar'!$AO$1440=SPECIAL_LBL)*(INC_SPECIALS="Y"))=0,"",'Dvd Calendar'!$AO$1438)))</f>
        <v/>
      </c>
      <c r="AN145" s="110">
        <f>IF(FP145="","",IF(ISNUMBER('Dvd Calendar'!$AP$1438)=FALSE,"",IF((('Dvd Calendar'!$AP$1440=TYPE1)*(TYPE1&lt;&gt;"")+('Dvd Calendar'!$AP$1440=TYPE2)*(TYPE2&lt;&gt;"")+('Dvd Calendar'!$AP$1440=TYPE3)*(TYPE3&lt;&gt;"")+('Dvd Calendar'!$AP$1440=TYPE4)*(TYPE4&lt;&gt;"")+('Dvd Calendar'!$AP$1440=SPECIAL_LBL)*(INC_SPECIALS="Y"))=0,"",'Dvd Calendar'!$AP$1438)))</f>
        <v/>
      </c>
      <c r="AO145" s="110">
        <f>IF(FQ145="","",IF(ISNUMBER('Dvd Calendar'!$AQ$1438)=FALSE,"",IF((('Dvd Calendar'!$AQ$1440=TYPE1)*(TYPE1&lt;&gt;"")+('Dvd Calendar'!$AQ$1440=TYPE2)*(TYPE2&lt;&gt;"")+('Dvd Calendar'!$AQ$1440=TYPE3)*(TYPE3&lt;&gt;"")+('Dvd Calendar'!$AQ$1440=TYPE4)*(TYPE4&lt;&gt;"")+('Dvd Calendar'!$AQ$1440=SPECIAL_LBL)*(INC_SPECIALS="Y"))=0,"",'Dvd Calendar'!$AQ$1438)))</f>
        <v/>
      </c>
      <c r="AP145" s="110">
        <f>IF(FR145="","",IF(ISNUMBER('Dvd Calendar'!$AR$1438)=FALSE,"",IF((('Dvd Calendar'!$AR$1440=TYPE1)*(TYPE1&lt;&gt;"")+('Dvd Calendar'!$AR$1440=TYPE2)*(TYPE2&lt;&gt;"")+('Dvd Calendar'!$AR$1440=TYPE3)*(TYPE3&lt;&gt;"")+('Dvd Calendar'!$AR$1440=TYPE4)*(TYPE4&lt;&gt;"")+('Dvd Calendar'!$AR$1440=SPECIAL_LBL)*(INC_SPECIALS="Y"))=0,"",'Dvd Calendar'!$AR$1438)))</f>
        <v/>
      </c>
      <c r="AQ145" s="110">
        <f>IF(FS145="","",IF(ISNUMBER('Dvd Calendar'!$E$1443)=FALSE,"",'Dvd Calendar'!$E$1443))</f>
        <v/>
      </c>
      <c r="AR145" s="110">
        <f>IF(FT145="","",IF(ISNUMBER('Dvd Calendar'!$F$1443)=FALSE,"",'Dvd Calendar'!$F$1443))</f>
        <v/>
      </c>
      <c r="AS145" s="110">
        <f>IF(FU145="","",IF(ISNUMBER('Dvd Calendar'!$G$1443)=FALSE,"",'Dvd Calendar'!$G$1443))</f>
        <v/>
      </c>
      <c r="AT145" s="110">
        <f>IF(FV145="","",IF(ISNUMBER('Dvd Calendar'!$H$1443)=FALSE,"",'Dvd Calendar'!$H$1443))</f>
        <v/>
      </c>
      <c r="AU145" s="110">
        <f>IF(FW145="","",IF(ISNUMBER('Dvd Calendar'!$I$1443)=FALSE,"",'Dvd Calendar'!$I$1443))</f>
        <v/>
      </c>
      <c r="AV145" s="110">
        <f>IF(FX145="","",IF(ISNUMBER('Dvd Calendar'!$J$1443)=FALSE,"",'Dvd Calendar'!$J$1443))</f>
        <v/>
      </c>
      <c r="AW145" s="110">
        <f>IF(FY145="","",IF(ISNUMBER('Dvd Calendar'!$K$1443)=FALSE,"",'Dvd Calendar'!$K$1443))</f>
        <v/>
      </c>
      <c r="AX145" s="110">
        <f>IF(FZ145="","",IF(ISNUMBER('Dvd Calendar'!$L$1443)=FALSE,"",'Dvd Calendar'!$L$1443))</f>
        <v/>
      </c>
      <c r="AY145" s="110">
        <f>IF(GA145="","",IF(ISNUMBER('Dvd Calendar'!$M$1443)=FALSE,"",'Dvd Calendar'!$M$1443))</f>
        <v/>
      </c>
      <c r="AZ145" s="110">
        <f>IF(GB145="","",IF(ISNUMBER('Dvd Calendar'!$N$1443)=FALSE,"",'Dvd Calendar'!$N$1443))</f>
        <v/>
      </c>
      <c r="BA145" s="110">
        <f>IF(GC145="","",IF(ISNUMBER('Dvd Calendar'!$O$1443)=FALSE,"",'Dvd Calendar'!$O$1443))</f>
        <v/>
      </c>
      <c r="BB145" s="110">
        <f>IF(GD145="","",IF(ISNUMBER('Dvd Calendar'!$P$1443)=FALSE,"",'Dvd Calendar'!$P$1443))</f>
        <v/>
      </c>
      <c r="BC145" s="110">
        <f>IF(GE145="","",IF(ISNUMBER('Dvd Calendar'!$Q$1443)=FALSE,"",'Dvd Calendar'!$Q$1443))</f>
        <v/>
      </c>
      <c r="BD145" s="110">
        <f>IF(GF145="","",IF(ISNUMBER('Dvd Calendar'!$R$1443)=FALSE,"",'Dvd Calendar'!$R$1443))</f>
        <v/>
      </c>
      <c r="BE145" s="110">
        <f>IF(GG145="","",IF(ISNUMBER('Dvd Calendar'!$S$1443)=FALSE,"",'Dvd Calendar'!$S$1443))</f>
        <v/>
      </c>
      <c r="BF145" s="110">
        <f>IF(GH145="","",IF(ISNUMBER('Dvd Calendar'!$T$1443)=FALSE,"",'Dvd Calendar'!$T$1443))</f>
        <v/>
      </c>
      <c r="BG145" s="110">
        <f>IF(GI145="","",IF(ISNUMBER('Dvd Calendar'!$U$1443)=FALSE,"",'Dvd Calendar'!$U$1443))</f>
        <v/>
      </c>
      <c r="BH145" s="110">
        <f>IF(GJ145="","",IF(ISNUMBER('Dvd Calendar'!$V$1443)=FALSE,"",'Dvd Calendar'!$V$1443))</f>
        <v/>
      </c>
      <c r="BI145" s="110">
        <f>IF(GK145="","",IF(ISNUMBER('Dvd Calendar'!$W$1443)=FALSE,"",'Dvd Calendar'!$W$1443))</f>
        <v/>
      </c>
      <c r="BJ145" s="110">
        <f>IF(GL145="","",IF(ISNUMBER('Dvd Calendar'!$X$1443)=FALSE,"",'Dvd Calendar'!$X$1443))</f>
        <v/>
      </c>
      <c r="BK145" s="110">
        <f>IF(GM145="","",IF(ISNUMBER('Dvd Calendar'!$Y$1443)=FALSE,"",'Dvd Calendar'!$Y$1443))</f>
        <v/>
      </c>
      <c r="BL145" s="110">
        <f>IF(GN145="","",IF(ISNUMBER('Dvd Calendar'!$Z$1443)=FALSE,"",'Dvd Calendar'!$Z$1443))</f>
        <v/>
      </c>
      <c r="BM145" s="110">
        <f>IF(GO145="","",IF(ISNUMBER('Dvd Calendar'!$AA$1443)=FALSE,"",'Dvd Calendar'!$AA$1443))</f>
        <v/>
      </c>
      <c r="BN145" s="110">
        <f>IF(GP145="","",IF(ISNUMBER('Dvd Calendar'!$AB$1443)=FALSE,"",'Dvd Calendar'!$AB$1443))</f>
        <v/>
      </c>
      <c r="BO145" s="110">
        <f>IF(GQ145="","",IF(ISNUMBER('Dvd Calendar'!$AC$1443)=FALSE,"",'Dvd Calendar'!$AC$1443))</f>
        <v/>
      </c>
      <c r="BQ145" s="110">
        <f>IF(C145="","",IFERROR(C145*HSTECH!$B$36*HSTECH!$G$36/HSTECH!$B$3,""))</f>
        <v/>
      </c>
      <c r="BR145" s="110">
        <f>IF(D145="","",IFERROR(D145*HSTECH!$B$36*HSTECH!$G$36/HSTECH!$B$3,""))</f>
        <v/>
      </c>
      <c r="BS145" s="110">
        <f>IF(E145="","",IFERROR(E145*HSTECH!$B$36*HSTECH!$G$36/HSTECH!$B$3,""))</f>
        <v/>
      </c>
      <c r="BT145" s="110">
        <f>IF(F145="","",IFERROR(F145*HSTECH!$B$36*HSTECH!$G$36/HSTECH!$B$3,""))</f>
        <v/>
      </c>
      <c r="BU145" s="110">
        <f>IF(G145="","",IFERROR(G145*HSTECH!$B$36*HSTECH!$G$36/HSTECH!$B$3,""))</f>
        <v/>
      </c>
      <c r="BV145" s="110">
        <f>IF(H145="","",IFERROR(H145*HSTECH!$B$36*HSTECH!$G$36/HSTECH!$B$3,""))</f>
        <v/>
      </c>
      <c r="BW145" s="110">
        <f>IF(I145="","",IFERROR(I145*HSTECH!$B$36*HSTECH!$G$36/HSTECH!$B$3,""))</f>
        <v/>
      </c>
      <c r="BX145" s="110">
        <f>IF(J145="","",IFERROR(J145*HSTECH!$B$36*HSTECH!$G$36/HSTECH!$B$3,""))</f>
        <v/>
      </c>
      <c r="BY145" s="110">
        <f>IF(K145="","",IFERROR(K145*HSTECH!$B$36*HSTECH!$G$36/HSTECH!$B$3,""))</f>
        <v/>
      </c>
      <c r="BZ145" s="110">
        <f>IF(L145="","",IFERROR(L145*HSTECH!$B$36*HSTECH!$G$36/HSTECH!$B$3,""))</f>
        <v/>
      </c>
      <c r="CA145" s="110">
        <f>IF(M145="","",IFERROR(M145*HSTECH!$B$36*HSTECH!$G$36/HSTECH!$B$3,""))</f>
        <v/>
      </c>
      <c r="CB145" s="110">
        <f>IF(N145="","",IFERROR(N145*HSTECH!$B$36*HSTECH!$G$36/HSTECH!$B$3,""))</f>
        <v/>
      </c>
      <c r="CC145" s="110">
        <f>IF(O145="","",IFERROR(O145*HSTECH!$B$36*HSTECH!$G$36/HSTECH!$B$3,""))</f>
        <v/>
      </c>
      <c r="CD145" s="110">
        <f>IF(P145="","",IFERROR(P145*HSTECH!$B$36*HSTECH!$G$36/HSTECH!$B$3,""))</f>
        <v/>
      </c>
      <c r="CE145" s="110">
        <f>IF(Q145="","",IFERROR(Q145*HSTECH!$B$36*HSTECH!$G$36/HSTECH!$B$3,""))</f>
        <v/>
      </c>
      <c r="CF145" s="110">
        <f>IF(R145="","",IFERROR(R145*HSTECH!$B$36*HSTECH!$G$36/HSTECH!$B$3,""))</f>
        <v/>
      </c>
      <c r="CG145" s="110">
        <f>IF(S145="","",IFERROR(S145*HSTECH!$B$36*HSTECH!$G$36/HSTECH!$B$3,""))</f>
        <v/>
      </c>
      <c r="CH145" s="110">
        <f>IF(T145="","",IFERROR(T145*HSTECH!$B$36*HSTECH!$G$36/HSTECH!$B$3,""))</f>
        <v/>
      </c>
      <c r="CI145" s="110">
        <f>IF(U145="","",IFERROR(U145*HSTECH!$B$36*HSTECH!$G$36/HSTECH!$B$3,""))</f>
        <v/>
      </c>
      <c r="CJ145" s="110">
        <f>IF(V145="","",IFERROR(V145*HSTECH!$B$36*HSTECH!$G$36/HSTECH!$B$3,""))</f>
        <v/>
      </c>
      <c r="CK145" s="110">
        <f>IF(W145="","",IFERROR(W145*HSTECH!$B$36*HSTECH!$G$36/HSTECH!$B$3,""))</f>
        <v/>
      </c>
      <c r="CL145" s="110">
        <f>IF(X145="","",IFERROR(X145*HSTECH!$B$36*HSTECH!$G$36/HSTECH!$B$3,""))</f>
        <v/>
      </c>
      <c r="CM145" s="110">
        <f>IF(Y145="","",IFERROR(Y145*HSTECH!$B$36*HSTECH!$G$36/HSTECH!$B$3,""))</f>
        <v/>
      </c>
      <c r="CN145" s="110">
        <f>IF(Z145="","",IFERROR(Z145*HSTECH!$B$36*HSTECH!$G$36/HSTECH!$B$3,""))</f>
        <v/>
      </c>
      <c r="CO145" s="110">
        <f>IF(AA145="","",IFERROR(AA145*HSTECH!$B$36*HSTECH!$G$36/HSTECH!$B$3,""))</f>
        <v/>
      </c>
      <c r="CP145" s="110">
        <f>IF(AB145="","",IFERROR(AB145*HSTECH!$B$36*HSTECH!$G$36/HSTECH!$B$3,""))</f>
        <v/>
      </c>
      <c r="CQ145" s="110">
        <f>IF(AC145="","",IFERROR(AC145*HSTECH!$B$36*HSTECH!$G$36/HSTECH!$B$3,""))</f>
        <v/>
      </c>
      <c r="CR145" s="110">
        <f>IF(AD145="","",IFERROR(AD145*HSTECH!$B$36*HSTECH!$G$36/HSTECH!$B$3,""))</f>
        <v/>
      </c>
      <c r="CS145" s="110">
        <f>IF(AE145="","",IFERROR(AE145*HSTECH!$B$36*HSTECH!$G$36/HSTECH!$B$3,""))</f>
        <v/>
      </c>
      <c r="CT145" s="110">
        <f>IF(AF145="","",IFERROR(AF145*HSTECH!$B$36*HSTECH!$G$36/HSTECH!$B$3,""))</f>
        <v/>
      </c>
      <c r="CU145" s="110">
        <f>IF(AG145="","",IFERROR(AG145*HSTECH!$B$36*HSTECH!$G$36/HSTECH!$B$3,""))</f>
        <v/>
      </c>
      <c r="CV145" s="110">
        <f>IF(AH145="","",IFERROR(AH145*HSTECH!$B$36*HSTECH!$G$36/HSTECH!$B$3,""))</f>
        <v/>
      </c>
      <c r="CW145" s="110">
        <f>IF(AI145="","",IFERROR(AI145*HSTECH!$B$36*HSTECH!$G$36/HSTECH!$B$3,""))</f>
        <v/>
      </c>
      <c r="CX145" s="110">
        <f>IF(AJ145="","",IFERROR(AJ145*HSTECH!$B$36*HSTECH!$G$36/HSTECH!$B$3,""))</f>
        <v/>
      </c>
      <c r="CY145" s="110">
        <f>IF(AK145="","",IFERROR(AK145*HSTECH!$B$36*HSTECH!$G$36/HSTECH!$B$3,""))</f>
        <v/>
      </c>
      <c r="CZ145" s="110">
        <f>IF(AL145="","",IFERROR(AL145*HSTECH!$B$36*HSTECH!$G$36/HSTECH!$B$3,""))</f>
        <v/>
      </c>
      <c r="DA145" s="110">
        <f>IF(AM145="","",IFERROR(AM145*HSTECH!$B$36*HSTECH!$G$36/HSTECH!$B$3,""))</f>
        <v/>
      </c>
      <c r="DB145" s="110">
        <f>IF(AN145="","",IFERROR(AN145*HSTECH!$B$36*HSTECH!$G$36/HSTECH!$B$3,""))</f>
        <v/>
      </c>
      <c r="DC145" s="110">
        <f>IF(AO145="","",IFERROR(AO145*HSTECH!$B$36*HSTECH!$G$36/HSTECH!$B$3,""))</f>
        <v/>
      </c>
      <c r="DD145" s="110">
        <f>IF(AP145="","",IFERROR(AP145*HSTECH!$B$36*HSTECH!$G$36/HSTECH!$B$3,""))</f>
        <v/>
      </c>
      <c r="DE145" s="110">
        <f>IF(AQ145="","",IFERROR(AQ145*HSTECH!$B$36*HSTECH!$G$36/HSTECH!$B$3,""))</f>
        <v/>
      </c>
      <c r="DF145" s="110">
        <f>IF(AR145="","",IFERROR(AR145*HSTECH!$B$36*HSTECH!$G$36/HSTECH!$B$3,""))</f>
        <v/>
      </c>
      <c r="DG145" s="110">
        <f>IF(AS145="","",IFERROR(AS145*HSTECH!$B$36*HSTECH!$G$36/HSTECH!$B$3,""))</f>
        <v/>
      </c>
      <c r="DH145" s="110">
        <f>IF(AT145="","",IFERROR(AT145*HSTECH!$B$36*HSTECH!$G$36/HSTECH!$B$3,""))</f>
        <v/>
      </c>
      <c r="DI145" s="110">
        <f>IF(AU145="","",IFERROR(AU145*HSTECH!$B$36*HSTECH!$G$36/HSTECH!$B$3,""))</f>
        <v/>
      </c>
      <c r="DJ145" s="110">
        <f>IF(AV145="","",IFERROR(AV145*HSTECH!$B$36*HSTECH!$G$36/HSTECH!$B$3,""))</f>
        <v/>
      </c>
      <c r="DK145" s="110">
        <f>IF(AW145="","",IFERROR(AW145*HSTECH!$B$36*HSTECH!$G$36/HSTECH!$B$3,""))</f>
        <v/>
      </c>
      <c r="DL145" s="110">
        <f>IF(AX145="","",IFERROR(AX145*HSTECH!$B$36*HSTECH!$G$36/HSTECH!$B$3,""))</f>
        <v/>
      </c>
      <c r="DM145" s="110">
        <f>IF(AY145="","",IFERROR(AY145*HSTECH!$B$36*HSTECH!$G$36/HSTECH!$B$3,""))</f>
        <v/>
      </c>
      <c r="DN145" s="110">
        <f>IF(AZ145="","",IFERROR(AZ145*HSTECH!$B$36*HSTECH!$G$36/HSTECH!$B$3,""))</f>
        <v/>
      </c>
      <c r="DO145" s="110">
        <f>IF(BA145="","",IFERROR(BA145*HSTECH!$B$36*HSTECH!$G$36/HSTECH!$B$3,""))</f>
        <v/>
      </c>
      <c r="DP145" s="110">
        <f>IF(BB145="","",IFERROR(BB145*HSTECH!$B$36*HSTECH!$G$36/HSTECH!$B$3,""))</f>
        <v/>
      </c>
      <c r="DQ145" s="110">
        <f>IF(BC145="","",IFERROR(BC145*HSTECH!$B$36*HSTECH!$G$36/HSTECH!$B$3,""))</f>
        <v/>
      </c>
      <c r="DR145" s="110">
        <f>IF(BD145="","",IFERROR(BD145*HSTECH!$B$36*HSTECH!$G$36/HSTECH!$B$3,""))</f>
        <v/>
      </c>
      <c r="DS145" s="110">
        <f>IF(BE145="","",IFERROR(BE145*HSTECH!$B$36*HSTECH!$G$36/HSTECH!$B$3,""))</f>
        <v/>
      </c>
      <c r="DT145" s="110">
        <f>IF(BF145="","",IFERROR(BF145*HSTECH!$B$36*HSTECH!$G$36/HSTECH!$B$3,""))</f>
        <v/>
      </c>
      <c r="DU145" s="110">
        <f>IF(BG145="","",IFERROR(BG145*HSTECH!$B$36*HSTECH!$G$36/HSTECH!$B$3,""))</f>
        <v/>
      </c>
      <c r="DV145" s="110">
        <f>IF(BH145="","",IFERROR(BH145*HSTECH!$B$36*HSTECH!$G$36/HSTECH!$B$3,""))</f>
        <v/>
      </c>
      <c r="DW145" s="110">
        <f>IF(BI145="","",IFERROR(BI145*HSTECH!$B$36*HSTECH!$G$36/HSTECH!$B$3,""))</f>
        <v/>
      </c>
      <c r="DX145" s="110">
        <f>IF(BJ145="","",IFERROR(BJ145*HSTECH!$B$36*HSTECH!$G$36/HSTECH!$B$3,""))</f>
        <v/>
      </c>
      <c r="DY145" s="110">
        <f>IF(BK145="","",IFERROR(BK145*HSTECH!$B$36*HSTECH!$G$36/HSTECH!$B$3,""))</f>
        <v/>
      </c>
      <c r="DZ145" s="110">
        <f>IF(BL145="","",IFERROR(BL145*HSTECH!$B$36*HSTECH!$G$36/HSTECH!$B$3,""))</f>
        <v/>
      </c>
      <c r="EA145" s="110">
        <f>IF(BM145="","",IFERROR(BM145*HSTECH!$B$36*HSTECH!$G$36/HSTECH!$B$3,""))</f>
        <v/>
      </c>
      <c r="EB145" s="110">
        <f>IF(BN145="","",IFERROR(BN145*HSTECH!$B$36*HSTECH!$G$36/HSTECH!$B$3,""))</f>
        <v/>
      </c>
      <c r="EC145" s="110">
        <f>IF(BO145="","",IFERROR(BO145*HSTECH!$B$36*HSTECH!$G$36/HSTECH!$B$3,""))</f>
        <v/>
      </c>
      <c r="EE145" s="39">
        <f>IF(N('Dvd Calendar'!$E$1435)=0,"",IF(('Dvd Calendar'!$E$1435&gt;=GRID_FROM)*('Dvd Calendar'!$E$1435&lt;=GRID_TO)*((('Dvd Calendar'!$E$1435&lt;=VAL_DATE)+(COUNTIF('Dvd Calendar'!$E$1442:$AR$1442,'Dvd Calendar'!$E$1435)=0))&gt;0)=0,"",'Dvd Calendar'!$E$1435*1000000000+ISNUMBER('Dvd Calendar'!$E$1438)*100000000+('Dvd Calendar'!$E$1440=SPECIAL_LBL)*10000000+(N('Dvd Calendar'!$E$1434)&gt;0)*(N('Dvd Calendar'!$E$1434)&lt;=VAL_SERIAL)*1000000+30*1000+1))</f>
        <v/>
      </c>
      <c r="EF145" s="39">
        <f>IF(N('Dvd Calendar'!$F$1435)=0,"",IF(('Dvd Calendar'!$F$1435&gt;=GRID_FROM)*('Dvd Calendar'!$F$1435&lt;=GRID_TO)*((('Dvd Calendar'!$F$1435&lt;=VAL_DATE)+(COUNTIF('Dvd Calendar'!$E$1442:$AR$1442,'Dvd Calendar'!$F$1435)=0))&gt;0)=0,"",'Dvd Calendar'!$F$1435*1000000000+ISNUMBER('Dvd Calendar'!$F$1438)*100000000+('Dvd Calendar'!$F$1440=SPECIAL_LBL)*10000000+(N('Dvd Calendar'!$F$1434)&gt;0)*(N('Dvd Calendar'!$F$1434)&lt;=VAL_SERIAL)*1000000+30*1000+2))</f>
        <v/>
      </c>
      <c r="EG145" s="39">
        <f>IF(N('Dvd Calendar'!$G$1435)=0,"",IF(('Dvd Calendar'!$G$1435&gt;=GRID_FROM)*('Dvd Calendar'!$G$1435&lt;=GRID_TO)*((('Dvd Calendar'!$G$1435&lt;=VAL_DATE)+(COUNTIF('Dvd Calendar'!$E$1442:$AR$1442,'Dvd Calendar'!$G$1435)=0))&gt;0)=0,"",'Dvd Calendar'!$G$1435*1000000000+ISNUMBER('Dvd Calendar'!$G$1438)*100000000+('Dvd Calendar'!$G$1440=SPECIAL_LBL)*10000000+(N('Dvd Calendar'!$G$1434)&gt;0)*(N('Dvd Calendar'!$G$1434)&lt;=VAL_SERIAL)*1000000+30*1000+3))</f>
        <v/>
      </c>
      <c r="EH145" s="39">
        <f>IF(N('Dvd Calendar'!$H$1435)=0,"",IF(('Dvd Calendar'!$H$1435&gt;=GRID_FROM)*('Dvd Calendar'!$H$1435&lt;=GRID_TO)*((('Dvd Calendar'!$H$1435&lt;=VAL_DATE)+(COUNTIF('Dvd Calendar'!$E$1442:$AR$1442,'Dvd Calendar'!$H$1435)=0))&gt;0)=0,"",'Dvd Calendar'!$H$1435*1000000000+ISNUMBER('Dvd Calendar'!$H$1438)*100000000+('Dvd Calendar'!$H$1440=SPECIAL_LBL)*10000000+(N('Dvd Calendar'!$H$1434)&gt;0)*(N('Dvd Calendar'!$H$1434)&lt;=VAL_SERIAL)*1000000+30*1000+4))</f>
        <v/>
      </c>
      <c r="EI145" s="39">
        <f>IF(N('Dvd Calendar'!$I$1435)=0,"",IF(('Dvd Calendar'!$I$1435&gt;=GRID_FROM)*('Dvd Calendar'!$I$1435&lt;=GRID_TO)*((('Dvd Calendar'!$I$1435&lt;=VAL_DATE)+(COUNTIF('Dvd Calendar'!$E$1442:$AR$1442,'Dvd Calendar'!$I$1435)=0))&gt;0)=0,"",'Dvd Calendar'!$I$1435*1000000000+ISNUMBER('Dvd Calendar'!$I$1438)*100000000+('Dvd Calendar'!$I$1440=SPECIAL_LBL)*10000000+(N('Dvd Calendar'!$I$1434)&gt;0)*(N('Dvd Calendar'!$I$1434)&lt;=VAL_SERIAL)*1000000+30*1000+5))</f>
        <v/>
      </c>
      <c r="EJ145" s="39">
        <f>IF(N('Dvd Calendar'!$J$1435)=0,"",IF(('Dvd Calendar'!$J$1435&gt;=GRID_FROM)*('Dvd Calendar'!$J$1435&lt;=GRID_TO)*((('Dvd Calendar'!$J$1435&lt;=VAL_DATE)+(COUNTIF('Dvd Calendar'!$E$1442:$AR$1442,'Dvd Calendar'!$J$1435)=0))&gt;0)=0,"",'Dvd Calendar'!$J$1435*1000000000+ISNUMBER('Dvd Calendar'!$J$1438)*100000000+('Dvd Calendar'!$J$1440=SPECIAL_LBL)*10000000+(N('Dvd Calendar'!$J$1434)&gt;0)*(N('Dvd Calendar'!$J$1434)&lt;=VAL_SERIAL)*1000000+30*1000+6))</f>
        <v/>
      </c>
      <c r="EK145" s="39">
        <f>IF(N('Dvd Calendar'!$K$1435)=0,"",IF(('Dvd Calendar'!$K$1435&gt;=GRID_FROM)*('Dvd Calendar'!$K$1435&lt;=GRID_TO)*((('Dvd Calendar'!$K$1435&lt;=VAL_DATE)+(COUNTIF('Dvd Calendar'!$E$1442:$AR$1442,'Dvd Calendar'!$K$1435)=0))&gt;0)=0,"",'Dvd Calendar'!$K$1435*1000000000+ISNUMBER('Dvd Calendar'!$K$1438)*100000000+('Dvd Calendar'!$K$1440=SPECIAL_LBL)*10000000+(N('Dvd Calendar'!$K$1434)&gt;0)*(N('Dvd Calendar'!$K$1434)&lt;=VAL_SERIAL)*1000000+30*1000+7))</f>
        <v/>
      </c>
      <c r="EL145" s="39">
        <f>IF(N('Dvd Calendar'!$L$1435)=0,"",IF(('Dvd Calendar'!$L$1435&gt;=GRID_FROM)*('Dvd Calendar'!$L$1435&lt;=GRID_TO)*((('Dvd Calendar'!$L$1435&lt;=VAL_DATE)+(COUNTIF('Dvd Calendar'!$E$1442:$AR$1442,'Dvd Calendar'!$L$1435)=0))&gt;0)=0,"",'Dvd Calendar'!$L$1435*1000000000+ISNUMBER('Dvd Calendar'!$L$1438)*100000000+('Dvd Calendar'!$L$1440=SPECIAL_LBL)*10000000+(N('Dvd Calendar'!$L$1434)&gt;0)*(N('Dvd Calendar'!$L$1434)&lt;=VAL_SERIAL)*1000000+30*1000+8))</f>
        <v/>
      </c>
      <c r="EM145" s="39">
        <f>IF(N('Dvd Calendar'!$M$1435)=0,"",IF(('Dvd Calendar'!$M$1435&gt;=GRID_FROM)*('Dvd Calendar'!$M$1435&lt;=GRID_TO)*((('Dvd Calendar'!$M$1435&lt;=VAL_DATE)+(COUNTIF('Dvd Calendar'!$E$1442:$AR$1442,'Dvd Calendar'!$M$1435)=0))&gt;0)=0,"",'Dvd Calendar'!$M$1435*1000000000+ISNUMBER('Dvd Calendar'!$M$1438)*100000000+('Dvd Calendar'!$M$1440=SPECIAL_LBL)*10000000+(N('Dvd Calendar'!$M$1434)&gt;0)*(N('Dvd Calendar'!$M$1434)&lt;=VAL_SERIAL)*1000000+30*1000+9))</f>
        <v/>
      </c>
      <c r="EN145" s="39">
        <f>IF(N('Dvd Calendar'!$N$1435)=0,"",IF(('Dvd Calendar'!$N$1435&gt;=GRID_FROM)*('Dvd Calendar'!$N$1435&lt;=GRID_TO)*((('Dvd Calendar'!$N$1435&lt;=VAL_DATE)+(COUNTIF('Dvd Calendar'!$E$1442:$AR$1442,'Dvd Calendar'!$N$1435)=0))&gt;0)=0,"",'Dvd Calendar'!$N$1435*1000000000+ISNUMBER('Dvd Calendar'!$N$1438)*100000000+('Dvd Calendar'!$N$1440=SPECIAL_LBL)*10000000+(N('Dvd Calendar'!$N$1434)&gt;0)*(N('Dvd Calendar'!$N$1434)&lt;=VAL_SERIAL)*1000000+30*1000+10))</f>
        <v/>
      </c>
      <c r="EO145" s="39">
        <f>IF(N('Dvd Calendar'!$O$1435)=0,"",IF(('Dvd Calendar'!$O$1435&gt;=GRID_FROM)*('Dvd Calendar'!$O$1435&lt;=GRID_TO)*((('Dvd Calendar'!$O$1435&lt;=VAL_DATE)+(COUNTIF('Dvd Calendar'!$E$1442:$AR$1442,'Dvd Calendar'!$O$1435)=0))&gt;0)=0,"",'Dvd Calendar'!$O$1435*1000000000+ISNUMBER('Dvd Calendar'!$O$1438)*100000000+('Dvd Calendar'!$O$1440=SPECIAL_LBL)*10000000+(N('Dvd Calendar'!$O$1434)&gt;0)*(N('Dvd Calendar'!$O$1434)&lt;=VAL_SERIAL)*1000000+30*1000+11))</f>
        <v/>
      </c>
      <c r="EP145" s="39">
        <f>IF(N('Dvd Calendar'!$P$1435)=0,"",IF(('Dvd Calendar'!$P$1435&gt;=GRID_FROM)*('Dvd Calendar'!$P$1435&lt;=GRID_TO)*((('Dvd Calendar'!$P$1435&lt;=VAL_DATE)+(COUNTIF('Dvd Calendar'!$E$1442:$AR$1442,'Dvd Calendar'!$P$1435)=0))&gt;0)=0,"",'Dvd Calendar'!$P$1435*1000000000+ISNUMBER('Dvd Calendar'!$P$1438)*100000000+('Dvd Calendar'!$P$1440=SPECIAL_LBL)*10000000+(N('Dvd Calendar'!$P$1434)&gt;0)*(N('Dvd Calendar'!$P$1434)&lt;=VAL_SERIAL)*1000000+30*1000+12))</f>
        <v/>
      </c>
      <c r="EQ145" s="39">
        <f>IF(N('Dvd Calendar'!$Q$1435)=0,"",IF(('Dvd Calendar'!$Q$1435&gt;=GRID_FROM)*('Dvd Calendar'!$Q$1435&lt;=GRID_TO)*((('Dvd Calendar'!$Q$1435&lt;=VAL_DATE)+(COUNTIF('Dvd Calendar'!$E$1442:$AR$1442,'Dvd Calendar'!$Q$1435)=0))&gt;0)=0,"",'Dvd Calendar'!$Q$1435*1000000000+ISNUMBER('Dvd Calendar'!$Q$1438)*100000000+('Dvd Calendar'!$Q$1440=SPECIAL_LBL)*10000000+(N('Dvd Calendar'!$Q$1434)&gt;0)*(N('Dvd Calendar'!$Q$1434)&lt;=VAL_SERIAL)*1000000+30*1000+13))</f>
        <v/>
      </c>
      <c r="ER145" s="39">
        <f>IF(N('Dvd Calendar'!$R$1435)=0,"",IF(('Dvd Calendar'!$R$1435&gt;=GRID_FROM)*('Dvd Calendar'!$R$1435&lt;=GRID_TO)*((('Dvd Calendar'!$R$1435&lt;=VAL_DATE)+(COUNTIF('Dvd Calendar'!$E$1442:$AR$1442,'Dvd Calendar'!$R$1435)=0))&gt;0)=0,"",'Dvd Calendar'!$R$1435*1000000000+ISNUMBER('Dvd Calendar'!$R$1438)*100000000+('Dvd Calendar'!$R$1440=SPECIAL_LBL)*10000000+(N('Dvd Calendar'!$R$1434)&gt;0)*(N('Dvd Calendar'!$R$1434)&lt;=VAL_SERIAL)*1000000+30*1000+14))</f>
        <v/>
      </c>
      <c r="ES145" s="39">
        <f>IF(N('Dvd Calendar'!$S$1435)=0,"",IF(('Dvd Calendar'!$S$1435&gt;=GRID_FROM)*('Dvd Calendar'!$S$1435&lt;=GRID_TO)*((('Dvd Calendar'!$S$1435&lt;=VAL_DATE)+(COUNTIF('Dvd Calendar'!$E$1442:$AR$1442,'Dvd Calendar'!$S$1435)=0))&gt;0)=0,"",'Dvd Calendar'!$S$1435*1000000000+ISNUMBER('Dvd Calendar'!$S$1438)*100000000+('Dvd Calendar'!$S$1440=SPECIAL_LBL)*10000000+(N('Dvd Calendar'!$S$1434)&gt;0)*(N('Dvd Calendar'!$S$1434)&lt;=VAL_SERIAL)*1000000+30*1000+15))</f>
        <v/>
      </c>
      <c r="ET145" s="39">
        <f>IF(N('Dvd Calendar'!$T$1435)=0,"",IF(('Dvd Calendar'!$T$1435&gt;=GRID_FROM)*('Dvd Calendar'!$T$1435&lt;=GRID_TO)*((('Dvd Calendar'!$T$1435&lt;=VAL_DATE)+(COUNTIF('Dvd Calendar'!$E$1442:$AR$1442,'Dvd Calendar'!$T$1435)=0))&gt;0)=0,"",'Dvd Calendar'!$T$1435*1000000000+ISNUMBER('Dvd Calendar'!$T$1438)*100000000+('Dvd Calendar'!$T$1440=SPECIAL_LBL)*10000000+(N('Dvd Calendar'!$T$1434)&gt;0)*(N('Dvd Calendar'!$T$1434)&lt;=VAL_SERIAL)*1000000+30*1000+16))</f>
        <v/>
      </c>
      <c r="EU145" s="39">
        <f>IF(N('Dvd Calendar'!$U$1435)=0,"",IF(('Dvd Calendar'!$U$1435&gt;=GRID_FROM)*('Dvd Calendar'!$U$1435&lt;=GRID_TO)*((('Dvd Calendar'!$U$1435&lt;=VAL_DATE)+(COUNTIF('Dvd Calendar'!$E$1442:$AR$1442,'Dvd Calendar'!$U$1435)=0))&gt;0)=0,"",'Dvd Calendar'!$U$1435*1000000000+ISNUMBER('Dvd Calendar'!$U$1438)*100000000+('Dvd Calendar'!$U$1440=SPECIAL_LBL)*10000000+(N('Dvd Calendar'!$U$1434)&gt;0)*(N('Dvd Calendar'!$U$1434)&lt;=VAL_SERIAL)*1000000+30*1000+17))</f>
        <v/>
      </c>
      <c r="EV145" s="39">
        <f>IF(N('Dvd Calendar'!$V$1435)=0,"",IF(('Dvd Calendar'!$V$1435&gt;=GRID_FROM)*('Dvd Calendar'!$V$1435&lt;=GRID_TO)*((('Dvd Calendar'!$V$1435&lt;=VAL_DATE)+(COUNTIF('Dvd Calendar'!$E$1442:$AR$1442,'Dvd Calendar'!$V$1435)=0))&gt;0)=0,"",'Dvd Calendar'!$V$1435*1000000000+ISNUMBER('Dvd Calendar'!$V$1438)*100000000+('Dvd Calendar'!$V$1440=SPECIAL_LBL)*10000000+(N('Dvd Calendar'!$V$1434)&gt;0)*(N('Dvd Calendar'!$V$1434)&lt;=VAL_SERIAL)*1000000+30*1000+18))</f>
        <v/>
      </c>
      <c r="EW145" s="39">
        <f>IF(N('Dvd Calendar'!$W$1435)=0,"",IF(('Dvd Calendar'!$W$1435&gt;=GRID_FROM)*('Dvd Calendar'!$W$1435&lt;=GRID_TO)*((('Dvd Calendar'!$W$1435&lt;=VAL_DATE)+(COUNTIF('Dvd Calendar'!$E$1442:$AR$1442,'Dvd Calendar'!$W$1435)=0))&gt;0)=0,"",'Dvd Calendar'!$W$1435*1000000000+ISNUMBER('Dvd Calendar'!$W$1438)*100000000+('Dvd Calendar'!$W$1440=SPECIAL_LBL)*10000000+(N('Dvd Calendar'!$W$1434)&gt;0)*(N('Dvd Calendar'!$W$1434)&lt;=VAL_SERIAL)*1000000+30*1000+19))</f>
        <v/>
      </c>
      <c r="EX145" s="39">
        <f>IF(N('Dvd Calendar'!$X$1435)=0,"",IF(('Dvd Calendar'!$X$1435&gt;=GRID_FROM)*('Dvd Calendar'!$X$1435&lt;=GRID_TO)*((('Dvd Calendar'!$X$1435&lt;=VAL_DATE)+(COUNTIF('Dvd Calendar'!$E$1442:$AR$1442,'Dvd Calendar'!$X$1435)=0))&gt;0)=0,"",'Dvd Calendar'!$X$1435*1000000000+ISNUMBER('Dvd Calendar'!$X$1438)*100000000+('Dvd Calendar'!$X$1440=SPECIAL_LBL)*10000000+(N('Dvd Calendar'!$X$1434)&gt;0)*(N('Dvd Calendar'!$X$1434)&lt;=VAL_SERIAL)*1000000+30*1000+20))</f>
        <v/>
      </c>
      <c r="EY145" s="39">
        <f>IF(N('Dvd Calendar'!$Y$1435)=0,"",IF(('Dvd Calendar'!$Y$1435&gt;=GRID_FROM)*('Dvd Calendar'!$Y$1435&lt;=GRID_TO)*((('Dvd Calendar'!$Y$1435&lt;=VAL_DATE)+(COUNTIF('Dvd Calendar'!$E$1442:$AR$1442,'Dvd Calendar'!$Y$1435)=0))&gt;0)=0,"",'Dvd Calendar'!$Y$1435*1000000000+ISNUMBER('Dvd Calendar'!$Y$1438)*100000000+('Dvd Calendar'!$Y$1440=SPECIAL_LBL)*10000000+(N('Dvd Calendar'!$Y$1434)&gt;0)*(N('Dvd Calendar'!$Y$1434)&lt;=VAL_SERIAL)*1000000+30*1000+21))</f>
        <v/>
      </c>
      <c r="EZ145" s="39">
        <f>IF(N('Dvd Calendar'!$Z$1435)=0,"",IF(('Dvd Calendar'!$Z$1435&gt;=GRID_FROM)*('Dvd Calendar'!$Z$1435&lt;=GRID_TO)*((('Dvd Calendar'!$Z$1435&lt;=VAL_DATE)+(COUNTIF('Dvd Calendar'!$E$1442:$AR$1442,'Dvd Calendar'!$Z$1435)=0))&gt;0)=0,"",'Dvd Calendar'!$Z$1435*1000000000+ISNUMBER('Dvd Calendar'!$Z$1438)*100000000+('Dvd Calendar'!$Z$1440=SPECIAL_LBL)*10000000+(N('Dvd Calendar'!$Z$1434)&gt;0)*(N('Dvd Calendar'!$Z$1434)&lt;=VAL_SERIAL)*1000000+30*1000+22))</f>
        <v/>
      </c>
      <c r="FA145" s="39">
        <f>IF(N('Dvd Calendar'!$AA$1435)=0,"",IF(('Dvd Calendar'!$AA$1435&gt;=GRID_FROM)*('Dvd Calendar'!$AA$1435&lt;=GRID_TO)*((('Dvd Calendar'!$AA$1435&lt;=VAL_DATE)+(COUNTIF('Dvd Calendar'!$E$1442:$AR$1442,'Dvd Calendar'!$AA$1435)=0))&gt;0)=0,"",'Dvd Calendar'!$AA$1435*1000000000+ISNUMBER('Dvd Calendar'!$AA$1438)*100000000+('Dvd Calendar'!$AA$1440=SPECIAL_LBL)*10000000+(N('Dvd Calendar'!$AA$1434)&gt;0)*(N('Dvd Calendar'!$AA$1434)&lt;=VAL_SERIAL)*1000000+30*1000+23))</f>
        <v/>
      </c>
      <c r="FB145" s="39">
        <f>IF(N('Dvd Calendar'!$AB$1435)=0,"",IF(('Dvd Calendar'!$AB$1435&gt;=GRID_FROM)*('Dvd Calendar'!$AB$1435&lt;=GRID_TO)*((('Dvd Calendar'!$AB$1435&lt;=VAL_DATE)+(COUNTIF('Dvd Calendar'!$E$1442:$AR$1442,'Dvd Calendar'!$AB$1435)=0))&gt;0)=0,"",'Dvd Calendar'!$AB$1435*1000000000+ISNUMBER('Dvd Calendar'!$AB$1438)*100000000+('Dvd Calendar'!$AB$1440=SPECIAL_LBL)*10000000+(N('Dvd Calendar'!$AB$1434)&gt;0)*(N('Dvd Calendar'!$AB$1434)&lt;=VAL_SERIAL)*1000000+30*1000+24))</f>
        <v/>
      </c>
      <c r="FC145" s="39">
        <f>IF(N('Dvd Calendar'!$AC$1435)=0,"",IF(('Dvd Calendar'!$AC$1435&gt;=GRID_FROM)*('Dvd Calendar'!$AC$1435&lt;=GRID_TO)*((('Dvd Calendar'!$AC$1435&lt;=VAL_DATE)+(COUNTIF('Dvd Calendar'!$E$1442:$AR$1442,'Dvd Calendar'!$AC$1435)=0))&gt;0)=0,"",'Dvd Calendar'!$AC$1435*1000000000+ISNUMBER('Dvd Calendar'!$AC$1438)*100000000+('Dvd Calendar'!$AC$1440=SPECIAL_LBL)*10000000+(N('Dvd Calendar'!$AC$1434)&gt;0)*(N('Dvd Calendar'!$AC$1434)&lt;=VAL_SERIAL)*1000000+30*1000+25))</f>
        <v/>
      </c>
      <c r="FD145" s="39">
        <f>IF(N('Dvd Calendar'!$AD$1435)=0,"",IF(('Dvd Calendar'!$AD$1435&gt;=GRID_FROM)*('Dvd Calendar'!$AD$1435&lt;=GRID_TO)*((('Dvd Calendar'!$AD$1435&lt;=VAL_DATE)+(COUNTIF('Dvd Calendar'!$E$1442:$AR$1442,'Dvd Calendar'!$AD$1435)=0))&gt;0)=0,"",'Dvd Calendar'!$AD$1435*1000000000+ISNUMBER('Dvd Calendar'!$AD$1438)*100000000+('Dvd Calendar'!$AD$1440=SPECIAL_LBL)*10000000+(N('Dvd Calendar'!$AD$1434)&gt;0)*(N('Dvd Calendar'!$AD$1434)&lt;=VAL_SERIAL)*1000000+30*1000+26))</f>
        <v/>
      </c>
      <c r="FE145" s="39">
        <f>IF(N('Dvd Calendar'!$AE$1435)=0,"",IF(('Dvd Calendar'!$AE$1435&gt;=GRID_FROM)*('Dvd Calendar'!$AE$1435&lt;=GRID_TO)*((('Dvd Calendar'!$AE$1435&lt;=VAL_DATE)+(COUNTIF('Dvd Calendar'!$E$1442:$AR$1442,'Dvd Calendar'!$AE$1435)=0))&gt;0)=0,"",'Dvd Calendar'!$AE$1435*1000000000+ISNUMBER('Dvd Calendar'!$AE$1438)*100000000+('Dvd Calendar'!$AE$1440=SPECIAL_LBL)*10000000+(N('Dvd Calendar'!$AE$1434)&gt;0)*(N('Dvd Calendar'!$AE$1434)&lt;=VAL_SERIAL)*1000000+30*1000+27))</f>
        <v/>
      </c>
      <c r="FF145" s="39">
        <f>IF(N('Dvd Calendar'!$AF$1435)=0,"",IF(('Dvd Calendar'!$AF$1435&gt;=GRID_FROM)*('Dvd Calendar'!$AF$1435&lt;=GRID_TO)*((('Dvd Calendar'!$AF$1435&lt;=VAL_DATE)+(COUNTIF('Dvd Calendar'!$E$1442:$AR$1442,'Dvd Calendar'!$AF$1435)=0))&gt;0)=0,"",'Dvd Calendar'!$AF$1435*1000000000+ISNUMBER('Dvd Calendar'!$AF$1438)*100000000+('Dvd Calendar'!$AF$1440=SPECIAL_LBL)*10000000+(N('Dvd Calendar'!$AF$1434)&gt;0)*(N('Dvd Calendar'!$AF$1434)&lt;=VAL_SERIAL)*1000000+30*1000+28))</f>
        <v/>
      </c>
      <c r="FG145" s="39">
        <f>IF(N('Dvd Calendar'!$AG$1435)=0,"",IF(('Dvd Calendar'!$AG$1435&gt;=GRID_FROM)*('Dvd Calendar'!$AG$1435&lt;=GRID_TO)*((('Dvd Calendar'!$AG$1435&lt;=VAL_DATE)+(COUNTIF('Dvd Calendar'!$E$1442:$AR$1442,'Dvd Calendar'!$AG$1435)=0))&gt;0)=0,"",'Dvd Calendar'!$AG$1435*1000000000+ISNUMBER('Dvd Calendar'!$AG$1438)*100000000+('Dvd Calendar'!$AG$1440=SPECIAL_LBL)*10000000+(N('Dvd Calendar'!$AG$1434)&gt;0)*(N('Dvd Calendar'!$AG$1434)&lt;=VAL_SERIAL)*1000000+30*1000+29))</f>
        <v/>
      </c>
      <c r="FH145" s="39">
        <f>IF(N('Dvd Calendar'!$AH$1435)=0,"",IF(('Dvd Calendar'!$AH$1435&gt;=GRID_FROM)*('Dvd Calendar'!$AH$1435&lt;=GRID_TO)*((('Dvd Calendar'!$AH$1435&lt;=VAL_DATE)+(COUNTIF('Dvd Calendar'!$E$1442:$AR$1442,'Dvd Calendar'!$AH$1435)=0))&gt;0)=0,"",'Dvd Calendar'!$AH$1435*1000000000+ISNUMBER('Dvd Calendar'!$AH$1438)*100000000+('Dvd Calendar'!$AH$1440=SPECIAL_LBL)*10000000+(N('Dvd Calendar'!$AH$1434)&gt;0)*(N('Dvd Calendar'!$AH$1434)&lt;=VAL_SERIAL)*1000000+30*1000+30))</f>
        <v/>
      </c>
      <c r="FI145" s="39">
        <f>IF(N('Dvd Calendar'!$AI$1435)=0,"",IF(('Dvd Calendar'!$AI$1435&gt;=GRID_FROM)*('Dvd Calendar'!$AI$1435&lt;=GRID_TO)*((('Dvd Calendar'!$AI$1435&lt;=VAL_DATE)+(COUNTIF('Dvd Calendar'!$E$1442:$AR$1442,'Dvd Calendar'!$AI$1435)=0))&gt;0)=0,"",'Dvd Calendar'!$AI$1435*1000000000+ISNUMBER('Dvd Calendar'!$AI$1438)*100000000+('Dvd Calendar'!$AI$1440=SPECIAL_LBL)*10000000+(N('Dvd Calendar'!$AI$1434)&gt;0)*(N('Dvd Calendar'!$AI$1434)&lt;=VAL_SERIAL)*1000000+30*1000+31))</f>
        <v/>
      </c>
      <c r="FJ145" s="39">
        <f>IF(N('Dvd Calendar'!$AJ$1435)=0,"",IF(('Dvd Calendar'!$AJ$1435&gt;=GRID_FROM)*('Dvd Calendar'!$AJ$1435&lt;=GRID_TO)*((('Dvd Calendar'!$AJ$1435&lt;=VAL_DATE)+(COUNTIF('Dvd Calendar'!$E$1442:$AR$1442,'Dvd Calendar'!$AJ$1435)=0))&gt;0)=0,"",'Dvd Calendar'!$AJ$1435*1000000000+ISNUMBER('Dvd Calendar'!$AJ$1438)*100000000+('Dvd Calendar'!$AJ$1440=SPECIAL_LBL)*10000000+(N('Dvd Calendar'!$AJ$1434)&gt;0)*(N('Dvd Calendar'!$AJ$1434)&lt;=VAL_SERIAL)*1000000+30*1000+32))</f>
        <v/>
      </c>
      <c r="FK145" s="39">
        <f>IF(N('Dvd Calendar'!$AK$1435)=0,"",IF(('Dvd Calendar'!$AK$1435&gt;=GRID_FROM)*('Dvd Calendar'!$AK$1435&lt;=GRID_TO)*((('Dvd Calendar'!$AK$1435&lt;=VAL_DATE)+(COUNTIF('Dvd Calendar'!$E$1442:$AR$1442,'Dvd Calendar'!$AK$1435)=0))&gt;0)=0,"",'Dvd Calendar'!$AK$1435*1000000000+ISNUMBER('Dvd Calendar'!$AK$1438)*100000000+('Dvd Calendar'!$AK$1440=SPECIAL_LBL)*10000000+(N('Dvd Calendar'!$AK$1434)&gt;0)*(N('Dvd Calendar'!$AK$1434)&lt;=VAL_SERIAL)*1000000+30*1000+33))</f>
        <v/>
      </c>
      <c r="FL145" s="39">
        <f>IF(N('Dvd Calendar'!$AL$1435)=0,"",IF(('Dvd Calendar'!$AL$1435&gt;=GRID_FROM)*('Dvd Calendar'!$AL$1435&lt;=GRID_TO)*((('Dvd Calendar'!$AL$1435&lt;=VAL_DATE)+(COUNTIF('Dvd Calendar'!$E$1442:$AR$1442,'Dvd Calendar'!$AL$1435)=0))&gt;0)=0,"",'Dvd Calendar'!$AL$1435*1000000000+ISNUMBER('Dvd Calendar'!$AL$1438)*100000000+('Dvd Calendar'!$AL$1440=SPECIAL_LBL)*10000000+(N('Dvd Calendar'!$AL$1434)&gt;0)*(N('Dvd Calendar'!$AL$1434)&lt;=VAL_SERIAL)*1000000+30*1000+34))</f>
        <v/>
      </c>
      <c r="FM145" s="39">
        <f>IF(N('Dvd Calendar'!$AM$1435)=0,"",IF(('Dvd Calendar'!$AM$1435&gt;=GRID_FROM)*('Dvd Calendar'!$AM$1435&lt;=GRID_TO)*((('Dvd Calendar'!$AM$1435&lt;=VAL_DATE)+(COUNTIF('Dvd Calendar'!$E$1442:$AR$1442,'Dvd Calendar'!$AM$1435)=0))&gt;0)=0,"",'Dvd Calendar'!$AM$1435*1000000000+ISNUMBER('Dvd Calendar'!$AM$1438)*100000000+('Dvd Calendar'!$AM$1440=SPECIAL_LBL)*10000000+(N('Dvd Calendar'!$AM$1434)&gt;0)*(N('Dvd Calendar'!$AM$1434)&lt;=VAL_SERIAL)*1000000+30*1000+35))</f>
        <v/>
      </c>
      <c r="FN145" s="39">
        <f>IF(N('Dvd Calendar'!$AN$1435)=0,"",IF(('Dvd Calendar'!$AN$1435&gt;=GRID_FROM)*('Dvd Calendar'!$AN$1435&lt;=GRID_TO)*((('Dvd Calendar'!$AN$1435&lt;=VAL_DATE)+(COUNTIF('Dvd Calendar'!$E$1442:$AR$1442,'Dvd Calendar'!$AN$1435)=0))&gt;0)=0,"",'Dvd Calendar'!$AN$1435*1000000000+ISNUMBER('Dvd Calendar'!$AN$1438)*100000000+('Dvd Calendar'!$AN$1440=SPECIAL_LBL)*10000000+(N('Dvd Calendar'!$AN$1434)&gt;0)*(N('Dvd Calendar'!$AN$1434)&lt;=VAL_SERIAL)*1000000+30*1000+36))</f>
        <v/>
      </c>
      <c r="FO145" s="39">
        <f>IF(N('Dvd Calendar'!$AO$1435)=0,"",IF(('Dvd Calendar'!$AO$1435&gt;=GRID_FROM)*('Dvd Calendar'!$AO$1435&lt;=GRID_TO)*((('Dvd Calendar'!$AO$1435&lt;=VAL_DATE)+(COUNTIF('Dvd Calendar'!$E$1442:$AR$1442,'Dvd Calendar'!$AO$1435)=0))&gt;0)=0,"",'Dvd Calendar'!$AO$1435*1000000000+ISNUMBER('Dvd Calendar'!$AO$1438)*100000000+('Dvd Calendar'!$AO$1440=SPECIAL_LBL)*10000000+(N('Dvd Calendar'!$AO$1434)&gt;0)*(N('Dvd Calendar'!$AO$1434)&lt;=VAL_SERIAL)*1000000+30*1000+37))</f>
        <v/>
      </c>
      <c r="FP145" s="39">
        <f>IF(N('Dvd Calendar'!$AP$1435)=0,"",IF(('Dvd Calendar'!$AP$1435&gt;=GRID_FROM)*('Dvd Calendar'!$AP$1435&lt;=GRID_TO)*((('Dvd Calendar'!$AP$1435&lt;=VAL_DATE)+(COUNTIF('Dvd Calendar'!$E$1442:$AR$1442,'Dvd Calendar'!$AP$1435)=0))&gt;0)=0,"",'Dvd Calendar'!$AP$1435*1000000000+ISNUMBER('Dvd Calendar'!$AP$1438)*100000000+('Dvd Calendar'!$AP$1440=SPECIAL_LBL)*10000000+(N('Dvd Calendar'!$AP$1434)&gt;0)*(N('Dvd Calendar'!$AP$1434)&lt;=VAL_SERIAL)*1000000+30*1000+38))</f>
        <v/>
      </c>
      <c r="FQ145" s="39">
        <f>IF(N('Dvd Calendar'!$AQ$1435)=0,"",IF(('Dvd Calendar'!$AQ$1435&gt;=GRID_FROM)*('Dvd Calendar'!$AQ$1435&lt;=GRID_TO)*((('Dvd Calendar'!$AQ$1435&lt;=VAL_DATE)+(COUNTIF('Dvd Calendar'!$E$1442:$AR$1442,'Dvd Calendar'!$AQ$1435)=0))&gt;0)=0,"",'Dvd Calendar'!$AQ$1435*1000000000+ISNUMBER('Dvd Calendar'!$AQ$1438)*100000000+('Dvd Calendar'!$AQ$1440=SPECIAL_LBL)*10000000+(N('Dvd Calendar'!$AQ$1434)&gt;0)*(N('Dvd Calendar'!$AQ$1434)&lt;=VAL_SERIAL)*1000000+30*1000+39))</f>
        <v/>
      </c>
      <c r="FR145" s="39">
        <f>IF(N('Dvd Calendar'!$AR$1435)=0,"",IF(('Dvd Calendar'!$AR$1435&gt;=GRID_FROM)*('Dvd Calendar'!$AR$1435&lt;=GRID_TO)*((('Dvd Calendar'!$AR$1435&lt;=VAL_DATE)+(COUNTIF('Dvd Calendar'!$E$1442:$AR$1442,'Dvd Calendar'!$AR$1435)=0))&gt;0)=0,"",'Dvd Calendar'!$AR$1435*1000000000+ISNUMBER('Dvd Calendar'!$AR$1438)*100000000+('Dvd Calendar'!$AR$1440=SPECIAL_LBL)*10000000+(N('Dvd Calendar'!$AR$1434)&gt;0)*(N('Dvd Calendar'!$AR$1434)&lt;=VAL_SERIAL)*1000000+30*1000+40))</f>
        <v/>
      </c>
      <c r="FS145" s="39">
        <f>IF(N('Dvd Calendar'!$E$1442)=0,"",IF(('Dvd Calendar'!$E$1442&gt;=GRID_FROM)*('Dvd Calendar'!$E$1442&lt;=GRID_TO)*('Dvd Calendar'!$E$1442&gt;VAL_DATE)=0,"",'Dvd Calendar'!$E$1442*1000000000+ISNUMBER('Dvd Calendar'!$E$1443)*100000000+0*10000000+(N('Dvd Calendar'!$E$1441)&gt;0)*(N('Dvd Calendar'!$E$1441)&lt;=VAL_SERIAL)*1000000+30*1000+41))</f>
        <v/>
      </c>
      <c r="FT145" s="39">
        <f>IF(N('Dvd Calendar'!$F$1442)=0,"",IF(('Dvd Calendar'!$F$1442&gt;=GRID_FROM)*('Dvd Calendar'!$F$1442&lt;=GRID_TO)*('Dvd Calendar'!$F$1442&gt;VAL_DATE)=0,"",'Dvd Calendar'!$F$1442*1000000000+ISNUMBER('Dvd Calendar'!$F$1443)*100000000+0*10000000+(N('Dvd Calendar'!$F$1441)&gt;0)*(N('Dvd Calendar'!$F$1441)&lt;=VAL_SERIAL)*1000000+30*1000+42))</f>
        <v/>
      </c>
      <c r="FU145" s="39">
        <f>IF(N('Dvd Calendar'!$G$1442)=0,"",IF(('Dvd Calendar'!$G$1442&gt;=GRID_FROM)*('Dvd Calendar'!$G$1442&lt;=GRID_TO)*('Dvd Calendar'!$G$1442&gt;VAL_DATE)=0,"",'Dvd Calendar'!$G$1442*1000000000+ISNUMBER('Dvd Calendar'!$G$1443)*100000000+0*10000000+(N('Dvd Calendar'!$G$1441)&gt;0)*(N('Dvd Calendar'!$G$1441)&lt;=VAL_SERIAL)*1000000+30*1000+43))</f>
        <v/>
      </c>
      <c r="FV145" s="39">
        <f>IF(N('Dvd Calendar'!$H$1442)=0,"",IF(('Dvd Calendar'!$H$1442&gt;=GRID_FROM)*('Dvd Calendar'!$H$1442&lt;=GRID_TO)*('Dvd Calendar'!$H$1442&gt;VAL_DATE)=0,"",'Dvd Calendar'!$H$1442*1000000000+ISNUMBER('Dvd Calendar'!$H$1443)*100000000+0*10000000+(N('Dvd Calendar'!$H$1441)&gt;0)*(N('Dvd Calendar'!$H$1441)&lt;=VAL_SERIAL)*1000000+30*1000+44))</f>
        <v/>
      </c>
      <c r="FW145" s="39">
        <f>IF(N('Dvd Calendar'!$I$1442)=0,"",IF(('Dvd Calendar'!$I$1442&gt;=GRID_FROM)*('Dvd Calendar'!$I$1442&lt;=GRID_TO)*('Dvd Calendar'!$I$1442&gt;VAL_DATE)=0,"",'Dvd Calendar'!$I$1442*1000000000+ISNUMBER('Dvd Calendar'!$I$1443)*100000000+0*10000000+(N('Dvd Calendar'!$I$1441)&gt;0)*(N('Dvd Calendar'!$I$1441)&lt;=VAL_SERIAL)*1000000+30*1000+45))</f>
        <v/>
      </c>
      <c r="FX145" s="39">
        <f>IF(N('Dvd Calendar'!$J$1442)=0,"",IF(('Dvd Calendar'!$J$1442&gt;=GRID_FROM)*('Dvd Calendar'!$J$1442&lt;=GRID_TO)*('Dvd Calendar'!$J$1442&gt;VAL_DATE)=0,"",'Dvd Calendar'!$J$1442*1000000000+ISNUMBER('Dvd Calendar'!$J$1443)*100000000+0*10000000+(N('Dvd Calendar'!$J$1441)&gt;0)*(N('Dvd Calendar'!$J$1441)&lt;=VAL_SERIAL)*1000000+30*1000+46))</f>
        <v/>
      </c>
      <c r="FY145" s="39">
        <f>IF(N('Dvd Calendar'!$K$1442)=0,"",IF(('Dvd Calendar'!$K$1442&gt;=GRID_FROM)*('Dvd Calendar'!$K$1442&lt;=GRID_TO)*('Dvd Calendar'!$K$1442&gt;VAL_DATE)=0,"",'Dvd Calendar'!$K$1442*1000000000+ISNUMBER('Dvd Calendar'!$K$1443)*100000000+0*10000000+(N('Dvd Calendar'!$K$1441)&gt;0)*(N('Dvd Calendar'!$K$1441)&lt;=VAL_SERIAL)*1000000+30*1000+47))</f>
        <v/>
      </c>
      <c r="FZ145" s="39">
        <f>IF(N('Dvd Calendar'!$L$1442)=0,"",IF(('Dvd Calendar'!$L$1442&gt;=GRID_FROM)*('Dvd Calendar'!$L$1442&lt;=GRID_TO)*('Dvd Calendar'!$L$1442&gt;VAL_DATE)=0,"",'Dvd Calendar'!$L$1442*1000000000+ISNUMBER('Dvd Calendar'!$L$1443)*100000000+0*10000000+(N('Dvd Calendar'!$L$1441)&gt;0)*(N('Dvd Calendar'!$L$1441)&lt;=VAL_SERIAL)*1000000+30*1000+48))</f>
        <v/>
      </c>
      <c r="GA145" s="39">
        <f>IF(N('Dvd Calendar'!$M$1442)=0,"",IF(('Dvd Calendar'!$M$1442&gt;=GRID_FROM)*('Dvd Calendar'!$M$1442&lt;=GRID_TO)*('Dvd Calendar'!$M$1442&gt;VAL_DATE)=0,"",'Dvd Calendar'!$M$1442*1000000000+ISNUMBER('Dvd Calendar'!$M$1443)*100000000+0*10000000+(N('Dvd Calendar'!$M$1441)&gt;0)*(N('Dvd Calendar'!$M$1441)&lt;=VAL_SERIAL)*1000000+30*1000+49))</f>
        <v/>
      </c>
      <c r="GB145" s="39">
        <f>IF(N('Dvd Calendar'!$N$1442)=0,"",IF(('Dvd Calendar'!$N$1442&gt;=GRID_FROM)*('Dvd Calendar'!$N$1442&lt;=GRID_TO)*('Dvd Calendar'!$N$1442&gt;VAL_DATE)=0,"",'Dvd Calendar'!$N$1442*1000000000+ISNUMBER('Dvd Calendar'!$N$1443)*100000000+0*10000000+(N('Dvd Calendar'!$N$1441)&gt;0)*(N('Dvd Calendar'!$N$1441)&lt;=VAL_SERIAL)*1000000+30*1000+50))</f>
        <v/>
      </c>
      <c r="GC145" s="39">
        <f>IF(N('Dvd Calendar'!$O$1442)=0,"",IF(('Dvd Calendar'!$O$1442&gt;=GRID_FROM)*('Dvd Calendar'!$O$1442&lt;=GRID_TO)*('Dvd Calendar'!$O$1442&gt;VAL_DATE)=0,"",'Dvd Calendar'!$O$1442*1000000000+ISNUMBER('Dvd Calendar'!$O$1443)*100000000+0*10000000+(N('Dvd Calendar'!$O$1441)&gt;0)*(N('Dvd Calendar'!$O$1441)&lt;=VAL_SERIAL)*1000000+30*1000+51))</f>
        <v/>
      </c>
      <c r="GD145" s="39">
        <f>IF(N('Dvd Calendar'!$P$1442)=0,"",IF(('Dvd Calendar'!$P$1442&gt;=GRID_FROM)*('Dvd Calendar'!$P$1442&lt;=GRID_TO)*('Dvd Calendar'!$P$1442&gt;VAL_DATE)=0,"",'Dvd Calendar'!$P$1442*1000000000+ISNUMBER('Dvd Calendar'!$P$1443)*100000000+0*10000000+(N('Dvd Calendar'!$P$1441)&gt;0)*(N('Dvd Calendar'!$P$1441)&lt;=VAL_SERIAL)*1000000+30*1000+52))</f>
        <v/>
      </c>
      <c r="GE145" s="39">
        <f>IF(N('Dvd Calendar'!$Q$1442)=0,"",IF(('Dvd Calendar'!$Q$1442&gt;=GRID_FROM)*('Dvd Calendar'!$Q$1442&lt;=GRID_TO)*('Dvd Calendar'!$Q$1442&gt;VAL_DATE)=0,"",'Dvd Calendar'!$Q$1442*1000000000+ISNUMBER('Dvd Calendar'!$Q$1443)*100000000+0*10000000+(N('Dvd Calendar'!$Q$1441)&gt;0)*(N('Dvd Calendar'!$Q$1441)&lt;=VAL_SERIAL)*1000000+30*1000+53))</f>
        <v/>
      </c>
      <c r="GF145" s="39">
        <f>IF(N('Dvd Calendar'!$R$1442)=0,"",IF(('Dvd Calendar'!$R$1442&gt;=GRID_FROM)*('Dvd Calendar'!$R$1442&lt;=GRID_TO)*('Dvd Calendar'!$R$1442&gt;VAL_DATE)=0,"",'Dvd Calendar'!$R$1442*1000000000+ISNUMBER('Dvd Calendar'!$R$1443)*100000000+0*10000000+(N('Dvd Calendar'!$R$1441)&gt;0)*(N('Dvd Calendar'!$R$1441)&lt;=VAL_SERIAL)*1000000+30*1000+54))</f>
        <v/>
      </c>
      <c r="GG145" s="39">
        <f>IF(N('Dvd Calendar'!$S$1442)=0,"",IF(('Dvd Calendar'!$S$1442&gt;=GRID_FROM)*('Dvd Calendar'!$S$1442&lt;=GRID_TO)*('Dvd Calendar'!$S$1442&gt;VAL_DATE)=0,"",'Dvd Calendar'!$S$1442*1000000000+ISNUMBER('Dvd Calendar'!$S$1443)*100000000+0*10000000+(N('Dvd Calendar'!$S$1441)&gt;0)*(N('Dvd Calendar'!$S$1441)&lt;=VAL_SERIAL)*1000000+30*1000+55))</f>
        <v/>
      </c>
      <c r="GH145" s="39">
        <f>IF(N('Dvd Calendar'!$T$1442)=0,"",IF(('Dvd Calendar'!$T$1442&gt;=GRID_FROM)*('Dvd Calendar'!$T$1442&lt;=GRID_TO)*('Dvd Calendar'!$T$1442&gt;VAL_DATE)=0,"",'Dvd Calendar'!$T$1442*1000000000+ISNUMBER('Dvd Calendar'!$T$1443)*100000000+0*10000000+(N('Dvd Calendar'!$T$1441)&gt;0)*(N('Dvd Calendar'!$T$1441)&lt;=VAL_SERIAL)*1000000+30*1000+56))</f>
        <v/>
      </c>
      <c r="GI145" s="39">
        <f>IF(N('Dvd Calendar'!$U$1442)=0,"",IF(('Dvd Calendar'!$U$1442&gt;=GRID_FROM)*('Dvd Calendar'!$U$1442&lt;=GRID_TO)*('Dvd Calendar'!$U$1442&gt;VAL_DATE)=0,"",'Dvd Calendar'!$U$1442*1000000000+ISNUMBER('Dvd Calendar'!$U$1443)*100000000+0*10000000+(N('Dvd Calendar'!$U$1441)&gt;0)*(N('Dvd Calendar'!$U$1441)&lt;=VAL_SERIAL)*1000000+30*1000+57))</f>
        <v/>
      </c>
      <c r="GJ145" s="39">
        <f>IF(N('Dvd Calendar'!$V$1442)=0,"",IF(('Dvd Calendar'!$V$1442&gt;=GRID_FROM)*('Dvd Calendar'!$V$1442&lt;=GRID_TO)*('Dvd Calendar'!$V$1442&gt;VAL_DATE)=0,"",'Dvd Calendar'!$V$1442*1000000000+ISNUMBER('Dvd Calendar'!$V$1443)*100000000+0*10000000+(N('Dvd Calendar'!$V$1441)&gt;0)*(N('Dvd Calendar'!$V$1441)&lt;=VAL_SERIAL)*1000000+30*1000+58))</f>
        <v/>
      </c>
      <c r="GK145" s="39">
        <f>IF(N('Dvd Calendar'!$W$1442)=0,"",IF(('Dvd Calendar'!$W$1442&gt;=GRID_FROM)*('Dvd Calendar'!$W$1442&lt;=GRID_TO)*('Dvd Calendar'!$W$1442&gt;VAL_DATE)=0,"",'Dvd Calendar'!$W$1442*1000000000+ISNUMBER('Dvd Calendar'!$W$1443)*100000000+0*10000000+(N('Dvd Calendar'!$W$1441)&gt;0)*(N('Dvd Calendar'!$W$1441)&lt;=VAL_SERIAL)*1000000+30*1000+59))</f>
        <v/>
      </c>
      <c r="GL145" s="39">
        <f>IF(N('Dvd Calendar'!$X$1442)=0,"",IF(('Dvd Calendar'!$X$1442&gt;=GRID_FROM)*('Dvd Calendar'!$X$1442&lt;=GRID_TO)*('Dvd Calendar'!$X$1442&gt;VAL_DATE)=0,"",'Dvd Calendar'!$X$1442*1000000000+ISNUMBER('Dvd Calendar'!$X$1443)*100000000+0*10000000+(N('Dvd Calendar'!$X$1441)&gt;0)*(N('Dvd Calendar'!$X$1441)&lt;=VAL_SERIAL)*1000000+30*1000+60))</f>
        <v/>
      </c>
      <c r="GM145" s="39">
        <f>IF(N('Dvd Calendar'!$Y$1442)=0,"",IF(('Dvd Calendar'!$Y$1442&gt;=GRID_FROM)*('Dvd Calendar'!$Y$1442&lt;=GRID_TO)*('Dvd Calendar'!$Y$1442&gt;VAL_DATE)=0,"",'Dvd Calendar'!$Y$1442*1000000000+ISNUMBER('Dvd Calendar'!$Y$1443)*100000000+0*10000000+(N('Dvd Calendar'!$Y$1441)&gt;0)*(N('Dvd Calendar'!$Y$1441)&lt;=VAL_SERIAL)*1000000+30*1000+61))</f>
        <v/>
      </c>
      <c r="GN145" s="39">
        <f>IF(N('Dvd Calendar'!$Z$1442)=0,"",IF(('Dvd Calendar'!$Z$1442&gt;=GRID_FROM)*('Dvd Calendar'!$Z$1442&lt;=GRID_TO)*('Dvd Calendar'!$Z$1442&gt;VAL_DATE)=0,"",'Dvd Calendar'!$Z$1442*1000000000+ISNUMBER('Dvd Calendar'!$Z$1443)*100000000+0*10000000+(N('Dvd Calendar'!$Z$1441)&gt;0)*(N('Dvd Calendar'!$Z$1441)&lt;=VAL_SERIAL)*1000000+30*1000+62))</f>
        <v/>
      </c>
      <c r="GO145" s="39">
        <f>IF(N('Dvd Calendar'!$AA$1442)=0,"",IF(('Dvd Calendar'!$AA$1442&gt;=GRID_FROM)*('Dvd Calendar'!$AA$1442&lt;=GRID_TO)*('Dvd Calendar'!$AA$1442&gt;VAL_DATE)=0,"",'Dvd Calendar'!$AA$1442*1000000000+ISNUMBER('Dvd Calendar'!$AA$1443)*100000000+0*10000000+(N('Dvd Calendar'!$AA$1441)&gt;0)*(N('Dvd Calendar'!$AA$1441)&lt;=VAL_SERIAL)*1000000+30*1000+63))</f>
        <v/>
      </c>
      <c r="GP145" s="39">
        <f>IF(N('Dvd Calendar'!$AB$1442)=0,"",IF(('Dvd Calendar'!$AB$1442&gt;=GRID_FROM)*('Dvd Calendar'!$AB$1442&lt;=GRID_TO)*('Dvd Calendar'!$AB$1442&gt;VAL_DATE)=0,"",'Dvd Calendar'!$AB$1442*1000000000+ISNUMBER('Dvd Calendar'!$AB$1443)*100000000+0*10000000+(N('Dvd Calendar'!$AB$1441)&gt;0)*(N('Dvd Calendar'!$AB$1441)&lt;=VAL_SERIAL)*1000000+30*1000+64))</f>
        <v/>
      </c>
      <c r="GQ145" s="39">
        <f>IF(N('Dvd Calendar'!$AC$1442)=0,"",IF(('Dvd Calendar'!$AC$1442&gt;=GRID_FROM)*('Dvd Calendar'!$AC$1442&lt;=GRID_TO)*('Dvd Calendar'!$AC$1442&gt;VAL_DATE)=0,"",'Dvd Calendar'!$AC$1442*1000000000+ISNUMBER('Dvd Calendar'!$AC$1443)*100000000+0*10000000+(N('Dvd Calendar'!$AC$1441)&gt;0)*(N('Dvd Calendar'!$AC$1441)&lt;=VAL_SERIAL)*1000000+30*1000+65))</f>
        <v/>
      </c>
    </row>
    <row r="146">
      <c r="B146" s="2">
        <f>IF(HSTECH!$C$37="","",HSTECH!$C$37)</f>
        <v/>
      </c>
      <c r="C146" s="110">
        <f>IF(EE146="","",IF(ISNUMBER('Dvd Calendar'!$E$1449)=FALSE,"",IF((('Dvd Calendar'!$E$1451=TYPE1)*(TYPE1&lt;&gt;"")+('Dvd Calendar'!$E$1451=TYPE2)*(TYPE2&lt;&gt;"")+('Dvd Calendar'!$E$1451=TYPE3)*(TYPE3&lt;&gt;"")+('Dvd Calendar'!$E$1451=TYPE4)*(TYPE4&lt;&gt;"")+('Dvd Calendar'!$E$1451=SPECIAL_LBL)*(INC_SPECIALS="Y"))=0,"",'Dvd Calendar'!$E$1449)))</f>
        <v/>
      </c>
      <c r="D146" s="110">
        <f>IF(EF146="","",IF(ISNUMBER('Dvd Calendar'!$F$1449)=FALSE,"",IF((('Dvd Calendar'!$F$1451=TYPE1)*(TYPE1&lt;&gt;"")+('Dvd Calendar'!$F$1451=TYPE2)*(TYPE2&lt;&gt;"")+('Dvd Calendar'!$F$1451=TYPE3)*(TYPE3&lt;&gt;"")+('Dvd Calendar'!$F$1451=TYPE4)*(TYPE4&lt;&gt;"")+('Dvd Calendar'!$F$1451=SPECIAL_LBL)*(INC_SPECIALS="Y"))=0,"",'Dvd Calendar'!$F$1449)))</f>
        <v/>
      </c>
      <c r="E146" s="110">
        <f>IF(EG146="","",IF(ISNUMBER('Dvd Calendar'!$G$1449)=FALSE,"",IF((('Dvd Calendar'!$G$1451=TYPE1)*(TYPE1&lt;&gt;"")+('Dvd Calendar'!$G$1451=TYPE2)*(TYPE2&lt;&gt;"")+('Dvd Calendar'!$G$1451=TYPE3)*(TYPE3&lt;&gt;"")+('Dvd Calendar'!$G$1451=TYPE4)*(TYPE4&lt;&gt;"")+('Dvd Calendar'!$G$1451=SPECIAL_LBL)*(INC_SPECIALS="Y"))=0,"",'Dvd Calendar'!$G$1449)))</f>
        <v/>
      </c>
      <c r="F146" s="110">
        <f>IF(EH146="","",IF(ISNUMBER('Dvd Calendar'!$H$1449)=FALSE,"",IF((('Dvd Calendar'!$H$1451=TYPE1)*(TYPE1&lt;&gt;"")+('Dvd Calendar'!$H$1451=TYPE2)*(TYPE2&lt;&gt;"")+('Dvd Calendar'!$H$1451=TYPE3)*(TYPE3&lt;&gt;"")+('Dvd Calendar'!$H$1451=TYPE4)*(TYPE4&lt;&gt;"")+('Dvd Calendar'!$H$1451=SPECIAL_LBL)*(INC_SPECIALS="Y"))=0,"",'Dvd Calendar'!$H$1449)))</f>
        <v/>
      </c>
      <c r="G146" s="110">
        <f>IF(EI146="","",IF(ISNUMBER('Dvd Calendar'!$I$1449)=FALSE,"",IF((('Dvd Calendar'!$I$1451=TYPE1)*(TYPE1&lt;&gt;"")+('Dvd Calendar'!$I$1451=TYPE2)*(TYPE2&lt;&gt;"")+('Dvd Calendar'!$I$1451=TYPE3)*(TYPE3&lt;&gt;"")+('Dvd Calendar'!$I$1451=TYPE4)*(TYPE4&lt;&gt;"")+('Dvd Calendar'!$I$1451=SPECIAL_LBL)*(INC_SPECIALS="Y"))=0,"",'Dvd Calendar'!$I$1449)))</f>
        <v/>
      </c>
      <c r="H146" s="110">
        <f>IF(EJ146="","",IF(ISNUMBER('Dvd Calendar'!$J$1449)=FALSE,"",IF((('Dvd Calendar'!$J$1451=TYPE1)*(TYPE1&lt;&gt;"")+('Dvd Calendar'!$J$1451=TYPE2)*(TYPE2&lt;&gt;"")+('Dvd Calendar'!$J$1451=TYPE3)*(TYPE3&lt;&gt;"")+('Dvd Calendar'!$J$1451=TYPE4)*(TYPE4&lt;&gt;"")+('Dvd Calendar'!$J$1451=SPECIAL_LBL)*(INC_SPECIALS="Y"))=0,"",'Dvd Calendar'!$J$1449)))</f>
        <v/>
      </c>
      <c r="I146" s="110">
        <f>IF(EK146="","",IF(ISNUMBER('Dvd Calendar'!$K$1449)=FALSE,"",IF((('Dvd Calendar'!$K$1451=TYPE1)*(TYPE1&lt;&gt;"")+('Dvd Calendar'!$K$1451=TYPE2)*(TYPE2&lt;&gt;"")+('Dvd Calendar'!$K$1451=TYPE3)*(TYPE3&lt;&gt;"")+('Dvd Calendar'!$K$1451=TYPE4)*(TYPE4&lt;&gt;"")+('Dvd Calendar'!$K$1451=SPECIAL_LBL)*(INC_SPECIALS="Y"))=0,"",'Dvd Calendar'!$K$1449)))</f>
        <v/>
      </c>
      <c r="J146" s="110">
        <f>IF(EL146="","",IF(ISNUMBER('Dvd Calendar'!$L$1449)=FALSE,"",IF((('Dvd Calendar'!$L$1451=TYPE1)*(TYPE1&lt;&gt;"")+('Dvd Calendar'!$L$1451=TYPE2)*(TYPE2&lt;&gt;"")+('Dvd Calendar'!$L$1451=TYPE3)*(TYPE3&lt;&gt;"")+('Dvd Calendar'!$L$1451=TYPE4)*(TYPE4&lt;&gt;"")+('Dvd Calendar'!$L$1451=SPECIAL_LBL)*(INC_SPECIALS="Y"))=0,"",'Dvd Calendar'!$L$1449)))</f>
        <v/>
      </c>
      <c r="K146" s="110">
        <f>IF(EM146="","",IF(ISNUMBER('Dvd Calendar'!$M$1449)=FALSE,"",IF((('Dvd Calendar'!$M$1451=TYPE1)*(TYPE1&lt;&gt;"")+('Dvd Calendar'!$M$1451=TYPE2)*(TYPE2&lt;&gt;"")+('Dvd Calendar'!$M$1451=TYPE3)*(TYPE3&lt;&gt;"")+('Dvd Calendar'!$M$1451=TYPE4)*(TYPE4&lt;&gt;"")+('Dvd Calendar'!$M$1451=SPECIAL_LBL)*(INC_SPECIALS="Y"))=0,"",'Dvd Calendar'!$M$1449)))</f>
        <v/>
      </c>
      <c r="L146" s="110">
        <f>IF(EN146="","",IF(ISNUMBER('Dvd Calendar'!$N$1449)=FALSE,"",IF((('Dvd Calendar'!$N$1451=TYPE1)*(TYPE1&lt;&gt;"")+('Dvd Calendar'!$N$1451=TYPE2)*(TYPE2&lt;&gt;"")+('Dvd Calendar'!$N$1451=TYPE3)*(TYPE3&lt;&gt;"")+('Dvd Calendar'!$N$1451=TYPE4)*(TYPE4&lt;&gt;"")+('Dvd Calendar'!$N$1451=SPECIAL_LBL)*(INC_SPECIALS="Y"))=0,"",'Dvd Calendar'!$N$1449)))</f>
        <v/>
      </c>
      <c r="M146" s="110">
        <f>IF(EO146="","",IF(ISNUMBER('Dvd Calendar'!$O$1449)=FALSE,"",IF((('Dvd Calendar'!$O$1451=TYPE1)*(TYPE1&lt;&gt;"")+('Dvd Calendar'!$O$1451=TYPE2)*(TYPE2&lt;&gt;"")+('Dvd Calendar'!$O$1451=TYPE3)*(TYPE3&lt;&gt;"")+('Dvd Calendar'!$O$1451=TYPE4)*(TYPE4&lt;&gt;"")+('Dvd Calendar'!$O$1451=SPECIAL_LBL)*(INC_SPECIALS="Y"))=0,"",'Dvd Calendar'!$O$1449)))</f>
        <v/>
      </c>
      <c r="N146" s="110">
        <f>IF(EP146="","",IF(ISNUMBER('Dvd Calendar'!$P$1449)=FALSE,"",IF((('Dvd Calendar'!$P$1451=TYPE1)*(TYPE1&lt;&gt;"")+('Dvd Calendar'!$P$1451=TYPE2)*(TYPE2&lt;&gt;"")+('Dvd Calendar'!$P$1451=TYPE3)*(TYPE3&lt;&gt;"")+('Dvd Calendar'!$P$1451=TYPE4)*(TYPE4&lt;&gt;"")+('Dvd Calendar'!$P$1451=SPECIAL_LBL)*(INC_SPECIALS="Y"))=0,"",'Dvd Calendar'!$P$1449)))</f>
        <v/>
      </c>
      <c r="O146" s="110">
        <f>IF(EQ146="","",IF(ISNUMBER('Dvd Calendar'!$Q$1449)=FALSE,"",IF((('Dvd Calendar'!$Q$1451=TYPE1)*(TYPE1&lt;&gt;"")+('Dvd Calendar'!$Q$1451=TYPE2)*(TYPE2&lt;&gt;"")+('Dvd Calendar'!$Q$1451=TYPE3)*(TYPE3&lt;&gt;"")+('Dvd Calendar'!$Q$1451=TYPE4)*(TYPE4&lt;&gt;"")+('Dvd Calendar'!$Q$1451=SPECIAL_LBL)*(INC_SPECIALS="Y"))=0,"",'Dvd Calendar'!$Q$1449)))</f>
        <v/>
      </c>
      <c r="P146" s="110">
        <f>IF(ER146="","",IF(ISNUMBER('Dvd Calendar'!$R$1449)=FALSE,"",IF((('Dvd Calendar'!$R$1451=TYPE1)*(TYPE1&lt;&gt;"")+('Dvd Calendar'!$R$1451=TYPE2)*(TYPE2&lt;&gt;"")+('Dvd Calendar'!$R$1451=TYPE3)*(TYPE3&lt;&gt;"")+('Dvd Calendar'!$R$1451=TYPE4)*(TYPE4&lt;&gt;"")+('Dvd Calendar'!$R$1451=SPECIAL_LBL)*(INC_SPECIALS="Y"))=0,"",'Dvd Calendar'!$R$1449)))</f>
        <v/>
      </c>
      <c r="Q146" s="110">
        <f>IF(ES146="","",IF(ISNUMBER('Dvd Calendar'!$S$1449)=FALSE,"",IF((('Dvd Calendar'!$S$1451=TYPE1)*(TYPE1&lt;&gt;"")+('Dvd Calendar'!$S$1451=TYPE2)*(TYPE2&lt;&gt;"")+('Dvd Calendar'!$S$1451=TYPE3)*(TYPE3&lt;&gt;"")+('Dvd Calendar'!$S$1451=TYPE4)*(TYPE4&lt;&gt;"")+('Dvd Calendar'!$S$1451=SPECIAL_LBL)*(INC_SPECIALS="Y"))=0,"",'Dvd Calendar'!$S$1449)))</f>
        <v/>
      </c>
      <c r="R146" s="110">
        <f>IF(ET146="","",IF(ISNUMBER('Dvd Calendar'!$T$1449)=FALSE,"",IF((('Dvd Calendar'!$T$1451=TYPE1)*(TYPE1&lt;&gt;"")+('Dvd Calendar'!$T$1451=TYPE2)*(TYPE2&lt;&gt;"")+('Dvd Calendar'!$T$1451=TYPE3)*(TYPE3&lt;&gt;"")+('Dvd Calendar'!$T$1451=TYPE4)*(TYPE4&lt;&gt;"")+('Dvd Calendar'!$T$1451=SPECIAL_LBL)*(INC_SPECIALS="Y"))=0,"",'Dvd Calendar'!$T$1449)))</f>
        <v/>
      </c>
      <c r="S146" s="110">
        <f>IF(EU146="","",IF(ISNUMBER('Dvd Calendar'!$U$1449)=FALSE,"",IF((('Dvd Calendar'!$U$1451=TYPE1)*(TYPE1&lt;&gt;"")+('Dvd Calendar'!$U$1451=TYPE2)*(TYPE2&lt;&gt;"")+('Dvd Calendar'!$U$1451=TYPE3)*(TYPE3&lt;&gt;"")+('Dvd Calendar'!$U$1451=TYPE4)*(TYPE4&lt;&gt;"")+('Dvd Calendar'!$U$1451=SPECIAL_LBL)*(INC_SPECIALS="Y"))=0,"",'Dvd Calendar'!$U$1449)))</f>
        <v/>
      </c>
      <c r="T146" s="110">
        <f>IF(EV146="","",IF(ISNUMBER('Dvd Calendar'!$V$1449)=FALSE,"",IF((('Dvd Calendar'!$V$1451=TYPE1)*(TYPE1&lt;&gt;"")+('Dvd Calendar'!$V$1451=TYPE2)*(TYPE2&lt;&gt;"")+('Dvd Calendar'!$V$1451=TYPE3)*(TYPE3&lt;&gt;"")+('Dvd Calendar'!$V$1451=TYPE4)*(TYPE4&lt;&gt;"")+('Dvd Calendar'!$V$1451=SPECIAL_LBL)*(INC_SPECIALS="Y"))=0,"",'Dvd Calendar'!$V$1449)))</f>
        <v/>
      </c>
      <c r="U146" s="110">
        <f>IF(EW146="","",IF(ISNUMBER('Dvd Calendar'!$W$1449)=FALSE,"",IF((('Dvd Calendar'!$W$1451=TYPE1)*(TYPE1&lt;&gt;"")+('Dvd Calendar'!$W$1451=TYPE2)*(TYPE2&lt;&gt;"")+('Dvd Calendar'!$W$1451=TYPE3)*(TYPE3&lt;&gt;"")+('Dvd Calendar'!$W$1451=TYPE4)*(TYPE4&lt;&gt;"")+('Dvd Calendar'!$W$1451=SPECIAL_LBL)*(INC_SPECIALS="Y"))=0,"",'Dvd Calendar'!$W$1449)))</f>
        <v/>
      </c>
      <c r="V146" s="110">
        <f>IF(EX146="","",IF(ISNUMBER('Dvd Calendar'!$X$1449)=FALSE,"",IF((('Dvd Calendar'!$X$1451=TYPE1)*(TYPE1&lt;&gt;"")+('Dvd Calendar'!$X$1451=TYPE2)*(TYPE2&lt;&gt;"")+('Dvd Calendar'!$X$1451=TYPE3)*(TYPE3&lt;&gt;"")+('Dvd Calendar'!$X$1451=TYPE4)*(TYPE4&lt;&gt;"")+('Dvd Calendar'!$X$1451=SPECIAL_LBL)*(INC_SPECIALS="Y"))=0,"",'Dvd Calendar'!$X$1449)))</f>
        <v/>
      </c>
      <c r="W146" s="110">
        <f>IF(EY146="","",IF(ISNUMBER('Dvd Calendar'!$Y$1449)=FALSE,"",IF((('Dvd Calendar'!$Y$1451=TYPE1)*(TYPE1&lt;&gt;"")+('Dvd Calendar'!$Y$1451=TYPE2)*(TYPE2&lt;&gt;"")+('Dvd Calendar'!$Y$1451=TYPE3)*(TYPE3&lt;&gt;"")+('Dvd Calendar'!$Y$1451=TYPE4)*(TYPE4&lt;&gt;"")+('Dvd Calendar'!$Y$1451=SPECIAL_LBL)*(INC_SPECIALS="Y"))=0,"",'Dvd Calendar'!$Y$1449)))</f>
        <v/>
      </c>
      <c r="X146" s="110">
        <f>IF(EZ146="","",IF(ISNUMBER('Dvd Calendar'!$Z$1449)=FALSE,"",IF((('Dvd Calendar'!$Z$1451=TYPE1)*(TYPE1&lt;&gt;"")+('Dvd Calendar'!$Z$1451=TYPE2)*(TYPE2&lt;&gt;"")+('Dvd Calendar'!$Z$1451=TYPE3)*(TYPE3&lt;&gt;"")+('Dvd Calendar'!$Z$1451=TYPE4)*(TYPE4&lt;&gt;"")+('Dvd Calendar'!$Z$1451=SPECIAL_LBL)*(INC_SPECIALS="Y"))=0,"",'Dvd Calendar'!$Z$1449)))</f>
        <v/>
      </c>
      <c r="Y146" s="110">
        <f>IF(FA146="","",IF(ISNUMBER('Dvd Calendar'!$AA$1449)=FALSE,"",IF((('Dvd Calendar'!$AA$1451=TYPE1)*(TYPE1&lt;&gt;"")+('Dvd Calendar'!$AA$1451=TYPE2)*(TYPE2&lt;&gt;"")+('Dvd Calendar'!$AA$1451=TYPE3)*(TYPE3&lt;&gt;"")+('Dvd Calendar'!$AA$1451=TYPE4)*(TYPE4&lt;&gt;"")+('Dvd Calendar'!$AA$1451=SPECIAL_LBL)*(INC_SPECIALS="Y"))=0,"",'Dvd Calendar'!$AA$1449)))</f>
        <v/>
      </c>
      <c r="Z146" s="110">
        <f>IF(FB146="","",IF(ISNUMBER('Dvd Calendar'!$AB$1449)=FALSE,"",IF((('Dvd Calendar'!$AB$1451=TYPE1)*(TYPE1&lt;&gt;"")+('Dvd Calendar'!$AB$1451=TYPE2)*(TYPE2&lt;&gt;"")+('Dvd Calendar'!$AB$1451=TYPE3)*(TYPE3&lt;&gt;"")+('Dvd Calendar'!$AB$1451=TYPE4)*(TYPE4&lt;&gt;"")+('Dvd Calendar'!$AB$1451=SPECIAL_LBL)*(INC_SPECIALS="Y"))=0,"",'Dvd Calendar'!$AB$1449)))</f>
        <v/>
      </c>
      <c r="AA146" s="110">
        <f>IF(FC146="","",IF(ISNUMBER('Dvd Calendar'!$AC$1449)=FALSE,"",IF((('Dvd Calendar'!$AC$1451=TYPE1)*(TYPE1&lt;&gt;"")+('Dvd Calendar'!$AC$1451=TYPE2)*(TYPE2&lt;&gt;"")+('Dvd Calendar'!$AC$1451=TYPE3)*(TYPE3&lt;&gt;"")+('Dvd Calendar'!$AC$1451=TYPE4)*(TYPE4&lt;&gt;"")+('Dvd Calendar'!$AC$1451=SPECIAL_LBL)*(INC_SPECIALS="Y"))=0,"",'Dvd Calendar'!$AC$1449)))</f>
        <v/>
      </c>
      <c r="AB146" s="110">
        <f>IF(FD146="","",IF(ISNUMBER('Dvd Calendar'!$AD$1449)=FALSE,"",IF((('Dvd Calendar'!$AD$1451=TYPE1)*(TYPE1&lt;&gt;"")+('Dvd Calendar'!$AD$1451=TYPE2)*(TYPE2&lt;&gt;"")+('Dvd Calendar'!$AD$1451=TYPE3)*(TYPE3&lt;&gt;"")+('Dvd Calendar'!$AD$1451=TYPE4)*(TYPE4&lt;&gt;"")+('Dvd Calendar'!$AD$1451=SPECIAL_LBL)*(INC_SPECIALS="Y"))=0,"",'Dvd Calendar'!$AD$1449)))</f>
        <v/>
      </c>
      <c r="AC146" s="110">
        <f>IF(FE146="","",IF(ISNUMBER('Dvd Calendar'!$AE$1449)=FALSE,"",IF((('Dvd Calendar'!$AE$1451=TYPE1)*(TYPE1&lt;&gt;"")+('Dvd Calendar'!$AE$1451=TYPE2)*(TYPE2&lt;&gt;"")+('Dvd Calendar'!$AE$1451=TYPE3)*(TYPE3&lt;&gt;"")+('Dvd Calendar'!$AE$1451=TYPE4)*(TYPE4&lt;&gt;"")+('Dvd Calendar'!$AE$1451=SPECIAL_LBL)*(INC_SPECIALS="Y"))=0,"",'Dvd Calendar'!$AE$1449)))</f>
        <v/>
      </c>
      <c r="AD146" s="110">
        <f>IF(FF146="","",IF(ISNUMBER('Dvd Calendar'!$AF$1449)=FALSE,"",IF((('Dvd Calendar'!$AF$1451=TYPE1)*(TYPE1&lt;&gt;"")+('Dvd Calendar'!$AF$1451=TYPE2)*(TYPE2&lt;&gt;"")+('Dvd Calendar'!$AF$1451=TYPE3)*(TYPE3&lt;&gt;"")+('Dvd Calendar'!$AF$1451=TYPE4)*(TYPE4&lt;&gt;"")+('Dvd Calendar'!$AF$1451=SPECIAL_LBL)*(INC_SPECIALS="Y"))=0,"",'Dvd Calendar'!$AF$1449)))</f>
        <v/>
      </c>
      <c r="AE146" s="110">
        <f>IF(FG146="","",IF(ISNUMBER('Dvd Calendar'!$AG$1449)=FALSE,"",IF((('Dvd Calendar'!$AG$1451=TYPE1)*(TYPE1&lt;&gt;"")+('Dvd Calendar'!$AG$1451=TYPE2)*(TYPE2&lt;&gt;"")+('Dvd Calendar'!$AG$1451=TYPE3)*(TYPE3&lt;&gt;"")+('Dvd Calendar'!$AG$1451=TYPE4)*(TYPE4&lt;&gt;"")+('Dvd Calendar'!$AG$1451=SPECIAL_LBL)*(INC_SPECIALS="Y"))=0,"",'Dvd Calendar'!$AG$1449)))</f>
        <v/>
      </c>
      <c r="AF146" s="110">
        <f>IF(FH146="","",IF(ISNUMBER('Dvd Calendar'!$AH$1449)=FALSE,"",IF((('Dvd Calendar'!$AH$1451=TYPE1)*(TYPE1&lt;&gt;"")+('Dvd Calendar'!$AH$1451=TYPE2)*(TYPE2&lt;&gt;"")+('Dvd Calendar'!$AH$1451=TYPE3)*(TYPE3&lt;&gt;"")+('Dvd Calendar'!$AH$1451=TYPE4)*(TYPE4&lt;&gt;"")+('Dvd Calendar'!$AH$1451=SPECIAL_LBL)*(INC_SPECIALS="Y"))=0,"",'Dvd Calendar'!$AH$1449)))</f>
        <v/>
      </c>
      <c r="AG146" s="110">
        <f>IF(FI146="","",IF(ISNUMBER('Dvd Calendar'!$AI$1449)=FALSE,"",IF((('Dvd Calendar'!$AI$1451=TYPE1)*(TYPE1&lt;&gt;"")+('Dvd Calendar'!$AI$1451=TYPE2)*(TYPE2&lt;&gt;"")+('Dvd Calendar'!$AI$1451=TYPE3)*(TYPE3&lt;&gt;"")+('Dvd Calendar'!$AI$1451=TYPE4)*(TYPE4&lt;&gt;"")+('Dvd Calendar'!$AI$1451=SPECIAL_LBL)*(INC_SPECIALS="Y"))=0,"",'Dvd Calendar'!$AI$1449)))</f>
        <v/>
      </c>
      <c r="AH146" s="110">
        <f>IF(FJ146="","",IF(ISNUMBER('Dvd Calendar'!$AJ$1449)=FALSE,"",IF((('Dvd Calendar'!$AJ$1451=TYPE1)*(TYPE1&lt;&gt;"")+('Dvd Calendar'!$AJ$1451=TYPE2)*(TYPE2&lt;&gt;"")+('Dvd Calendar'!$AJ$1451=TYPE3)*(TYPE3&lt;&gt;"")+('Dvd Calendar'!$AJ$1451=TYPE4)*(TYPE4&lt;&gt;"")+('Dvd Calendar'!$AJ$1451=SPECIAL_LBL)*(INC_SPECIALS="Y"))=0,"",'Dvd Calendar'!$AJ$1449)))</f>
        <v/>
      </c>
      <c r="AI146" s="110">
        <f>IF(FK146="","",IF(ISNUMBER('Dvd Calendar'!$AK$1449)=FALSE,"",IF((('Dvd Calendar'!$AK$1451=TYPE1)*(TYPE1&lt;&gt;"")+('Dvd Calendar'!$AK$1451=TYPE2)*(TYPE2&lt;&gt;"")+('Dvd Calendar'!$AK$1451=TYPE3)*(TYPE3&lt;&gt;"")+('Dvd Calendar'!$AK$1451=TYPE4)*(TYPE4&lt;&gt;"")+('Dvd Calendar'!$AK$1451=SPECIAL_LBL)*(INC_SPECIALS="Y"))=0,"",'Dvd Calendar'!$AK$1449)))</f>
        <v/>
      </c>
      <c r="AJ146" s="110">
        <f>IF(FL146="","",IF(ISNUMBER('Dvd Calendar'!$AL$1449)=FALSE,"",IF((('Dvd Calendar'!$AL$1451=TYPE1)*(TYPE1&lt;&gt;"")+('Dvd Calendar'!$AL$1451=TYPE2)*(TYPE2&lt;&gt;"")+('Dvd Calendar'!$AL$1451=TYPE3)*(TYPE3&lt;&gt;"")+('Dvd Calendar'!$AL$1451=TYPE4)*(TYPE4&lt;&gt;"")+('Dvd Calendar'!$AL$1451=SPECIAL_LBL)*(INC_SPECIALS="Y"))=0,"",'Dvd Calendar'!$AL$1449)))</f>
        <v/>
      </c>
      <c r="AK146" s="110">
        <f>IF(FM146="","",IF(ISNUMBER('Dvd Calendar'!$AM$1449)=FALSE,"",IF((('Dvd Calendar'!$AM$1451=TYPE1)*(TYPE1&lt;&gt;"")+('Dvd Calendar'!$AM$1451=TYPE2)*(TYPE2&lt;&gt;"")+('Dvd Calendar'!$AM$1451=TYPE3)*(TYPE3&lt;&gt;"")+('Dvd Calendar'!$AM$1451=TYPE4)*(TYPE4&lt;&gt;"")+('Dvd Calendar'!$AM$1451=SPECIAL_LBL)*(INC_SPECIALS="Y"))=0,"",'Dvd Calendar'!$AM$1449)))</f>
        <v/>
      </c>
      <c r="AL146" s="110">
        <f>IF(FN146="","",IF(ISNUMBER('Dvd Calendar'!$AN$1449)=FALSE,"",IF((('Dvd Calendar'!$AN$1451=TYPE1)*(TYPE1&lt;&gt;"")+('Dvd Calendar'!$AN$1451=TYPE2)*(TYPE2&lt;&gt;"")+('Dvd Calendar'!$AN$1451=TYPE3)*(TYPE3&lt;&gt;"")+('Dvd Calendar'!$AN$1451=TYPE4)*(TYPE4&lt;&gt;"")+('Dvd Calendar'!$AN$1451=SPECIAL_LBL)*(INC_SPECIALS="Y"))=0,"",'Dvd Calendar'!$AN$1449)))</f>
        <v/>
      </c>
      <c r="AM146" s="110">
        <f>IF(FO146="","",IF(ISNUMBER('Dvd Calendar'!$AO$1449)=FALSE,"",IF((('Dvd Calendar'!$AO$1451=TYPE1)*(TYPE1&lt;&gt;"")+('Dvd Calendar'!$AO$1451=TYPE2)*(TYPE2&lt;&gt;"")+('Dvd Calendar'!$AO$1451=TYPE3)*(TYPE3&lt;&gt;"")+('Dvd Calendar'!$AO$1451=TYPE4)*(TYPE4&lt;&gt;"")+('Dvd Calendar'!$AO$1451=SPECIAL_LBL)*(INC_SPECIALS="Y"))=0,"",'Dvd Calendar'!$AO$1449)))</f>
        <v/>
      </c>
      <c r="AN146" s="110">
        <f>IF(FP146="","",IF(ISNUMBER('Dvd Calendar'!$AP$1449)=FALSE,"",IF((('Dvd Calendar'!$AP$1451=TYPE1)*(TYPE1&lt;&gt;"")+('Dvd Calendar'!$AP$1451=TYPE2)*(TYPE2&lt;&gt;"")+('Dvd Calendar'!$AP$1451=TYPE3)*(TYPE3&lt;&gt;"")+('Dvd Calendar'!$AP$1451=TYPE4)*(TYPE4&lt;&gt;"")+('Dvd Calendar'!$AP$1451=SPECIAL_LBL)*(INC_SPECIALS="Y"))=0,"",'Dvd Calendar'!$AP$1449)))</f>
        <v/>
      </c>
      <c r="AO146" s="110">
        <f>IF(FQ146="","",IF(ISNUMBER('Dvd Calendar'!$AQ$1449)=FALSE,"",IF((('Dvd Calendar'!$AQ$1451=TYPE1)*(TYPE1&lt;&gt;"")+('Dvd Calendar'!$AQ$1451=TYPE2)*(TYPE2&lt;&gt;"")+('Dvd Calendar'!$AQ$1451=TYPE3)*(TYPE3&lt;&gt;"")+('Dvd Calendar'!$AQ$1451=TYPE4)*(TYPE4&lt;&gt;"")+('Dvd Calendar'!$AQ$1451=SPECIAL_LBL)*(INC_SPECIALS="Y"))=0,"",'Dvd Calendar'!$AQ$1449)))</f>
        <v/>
      </c>
      <c r="AP146" s="110">
        <f>IF(FR146="","",IF(ISNUMBER('Dvd Calendar'!$AR$1449)=FALSE,"",IF((('Dvd Calendar'!$AR$1451=TYPE1)*(TYPE1&lt;&gt;"")+('Dvd Calendar'!$AR$1451=TYPE2)*(TYPE2&lt;&gt;"")+('Dvd Calendar'!$AR$1451=TYPE3)*(TYPE3&lt;&gt;"")+('Dvd Calendar'!$AR$1451=TYPE4)*(TYPE4&lt;&gt;"")+('Dvd Calendar'!$AR$1451=SPECIAL_LBL)*(INC_SPECIALS="Y"))=0,"",'Dvd Calendar'!$AR$1449)))</f>
        <v/>
      </c>
      <c r="AQ146" s="110">
        <f>IF(FS146="","",IF(ISNUMBER('Dvd Calendar'!$E$1454)=FALSE,"",'Dvd Calendar'!$E$1454))</f>
        <v/>
      </c>
      <c r="AR146" s="110">
        <f>IF(FT146="","",IF(ISNUMBER('Dvd Calendar'!$F$1454)=FALSE,"",'Dvd Calendar'!$F$1454))</f>
        <v/>
      </c>
      <c r="AS146" s="110">
        <f>IF(FU146="","",IF(ISNUMBER('Dvd Calendar'!$G$1454)=FALSE,"",'Dvd Calendar'!$G$1454))</f>
        <v/>
      </c>
      <c r="AT146" s="110">
        <f>IF(FV146="","",IF(ISNUMBER('Dvd Calendar'!$H$1454)=FALSE,"",'Dvd Calendar'!$H$1454))</f>
        <v/>
      </c>
      <c r="AU146" s="110">
        <f>IF(FW146="","",IF(ISNUMBER('Dvd Calendar'!$I$1454)=FALSE,"",'Dvd Calendar'!$I$1454))</f>
        <v/>
      </c>
      <c r="AV146" s="110">
        <f>IF(FX146="","",IF(ISNUMBER('Dvd Calendar'!$J$1454)=FALSE,"",'Dvd Calendar'!$J$1454))</f>
        <v/>
      </c>
      <c r="AW146" s="110">
        <f>IF(FY146="","",IF(ISNUMBER('Dvd Calendar'!$K$1454)=FALSE,"",'Dvd Calendar'!$K$1454))</f>
        <v/>
      </c>
      <c r="AX146" s="110">
        <f>IF(FZ146="","",IF(ISNUMBER('Dvd Calendar'!$L$1454)=FALSE,"",'Dvd Calendar'!$L$1454))</f>
        <v/>
      </c>
      <c r="AY146" s="110">
        <f>IF(GA146="","",IF(ISNUMBER('Dvd Calendar'!$M$1454)=FALSE,"",'Dvd Calendar'!$M$1454))</f>
        <v/>
      </c>
      <c r="AZ146" s="110">
        <f>IF(GB146="","",IF(ISNUMBER('Dvd Calendar'!$N$1454)=FALSE,"",'Dvd Calendar'!$N$1454))</f>
        <v/>
      </c>
      <c r="BA146" s="110">
        <f>IF(GC146="","",IF(ISNUMBER('Dvd Calendar'!$O$1454)=FALSE,"",'Dvd Calendar'!$O$1454))</f>
        <v/>
      </c>
      <c r="BB146" s="110">
        <f>IF(GD146="","",IF(ISNUMBER('Dvd Calendar'!$P$1454)=FALSE,"",'Dvd Calendar'!$P$1454))</f>
        <v/>
      </c>
      <c r="BC146" s="110">
        <f>IF(GE146="","",IF(ISNUMBER('Dvd Calendar'!$Q$1454)=FALSE,"",'Dvd Calendar'!$Q$1454))</f>
        <v/>
      </c>
      <c r="BD146" s="110">
        <f>IF(GF146="","",IF(ISNUMBER('Dvd Calendar'!$R$1454)=FALSE,"",'Dvd Calendar'!$R$1454))</f>
        <v/>
      </c>
      <c r="BE146" s="110">
        <f>IF(GG146="","",IF(ISNUMBER('Dvd Calendar'!$S$1454)=FALSE,"",'Dvd Calendar'!$S$1454))</f>
        <v/>
      </c>
      <c r="BF146" s="110">
        <f>IF(GH146="","",IF(ISNUMBER('Dvd Calendar'!$T$1454)=FALSE,"",'Dvd Calendar'!$T$1454))</f>
        <v/>
      </c>
      <c r="BG146" s="110">
        <f>IF(GI146="","",IF(ISNUMBER('Dvd Calendar'!$U$1454)=FALSE,"",'Dvd Calendar'!$U$1454))</f>
        <v/>
      </c>
      <c r="BH146" s="110">
        <f>IF(GJ146="","",IF(ISNUMBER('Dvd Calendar'!$V$1454)=FALSE,"",'Dvd Calendar'!$V$1454))</f>
        <v/>
      </c>
      <c r="BI146" s="110">
        <f>IF(GK146="","",IF(ISNUMBER('Dvd Calendar'!$W$1454)=FALSE,"",'Dvd Calendar'!$W$1454))</f>
        <v/>
      </c>
      <c r="BJ146" s="110">
        <f>IF(GL146="","",IF(ISNUMBER('Dvd Calendar'!$X$1454)=FALSE,"",'Dvd Calendar'!$X$1454))</f>
        <v/>
      </c>
      <c r="BK146" s="110">
        <f>IF(GM146="","",IF(ISNUMBER('Dvd Calendar'!$Y$1454)=FALSE,"",'Dvd Calendar'!$Y$1454))</f>
        <v/>
      </c>
      <c r="BL146" s="110">
        <f>IF(GN146="","",IF(ISNUMBER('Dvd Calendar'!$Z$1454)=FALSE,"",'Dvd Calendar'!$Z$1454))</f>
        <v/>
      </c>
      <c r="BM146" s="110">
        <f>IF(GO146="","",IF(ISNUMBER('Dvd Calendar'!$AA$1454)=FALSE,"",'Dvd Calendar'!$AA$1454))</f>
        <v/>
      </c>
      <c r="BN146" s="110">
        <f>IF(GP146="","",IF(ISNUMBER('Dvd Calendar'!$AB$1454)=FALSE,"",'Dvd Calendar'!$AB$1454))</f>
        <v/>
      </c>
      <c r="BO146" s="110">
        <f>IF(GQ146="","",IF(ISNUMBER('Dvd Calendar'!$AC$1454)=FALSE,"",'Dvd Calendar'!$AC$1454))</f>
        <v/>
      </c>
      <c r="BQ146" s="110">
        <f>IF(C146="","",IFERROR(C146*HSTECH!$B$37*HSTECH!$G$37/HSTECH!$B$3,""))</f>
        <v/>
      </c>
      <c r="BR146" s="110">
        <f>IF(D146="","",IFERROR(D146*HSTECH!$B$37*HSTECH!$G$37/HSTECH!$B$3,""))</f>
        <v/>
      </c>
      <c r="BS146" s="110">
        <f>IF(E146="","",IFERROR(E146*HSTECH!$B$37*HSTECH!$G$37/HSTECH!$B$3,""))</f>
        <v/>
      </c>
      <c r="BT146" s="110">
        <f>IF(F146="","",IFERROR(F146*HSTECH!$B$37*HSTECH!$G$37/HSTECH!$B$3,""))</f>
        <v/>
      </c>
      <c r="BU146" s="110">
        <f>IF(G146="","",IFERROR(G146*HSTECH!$B$37*HSTECH!$G$37/HSTECH!$B$3,""))</f>
        <v/>
      </c>
      <c r="BV146" s="110">
        <f>IF(H146="","",IFERROR(H146*HSTECH!$B$37*HSTECH!$G$37/HSTECH!$B$3,""))</f>
        <v/>
      </c>
      <c r="BW146" s="110">
        <f>IF(I146="","",IFERROR(I146*HSTECH!$B$37*HSTECH!$G$37/HSTECH!$B$3,""))</f>
        <v/>
      </c>
      <c r="BX146" s="110">
        <f>IF(J146="","",IFERROR(J146*HSTECH!$B$37*HSTECH!$G$37/HSTECH!$B$3,""))</f>
        <v/>
      </c>
      <c r="BY146" s="110">
        <f>IF(K146="","",IFERROR(K146*HSTECH!$B$37*HSTECH!$G$37/HSTECH!$B$3,""))</f>
        <v/>
      </c>
      <c r="BZ146" s="110">
        <f>IF(L146="","",IFERROR(L146*HSTECH!$B$37*HSTECH!$G$37/HSTECH!$B$3,""))</f>
        <v/>
      </c>
      <c r="CA146" s="110">
        <f>IF(M146="","",IFERROR(M146*HSTECH!$B$37*HSTECH!$G$37/HSTECH!$B$3,""))</f>
        <v/>
      </c>
      <c r="CB146" s="110">
        <f>IF(N146="","",IFERROR(N146*HSTECH!$B$37*HSTECH!$G$37/HSTECH!$B$3,""))</f>
        <v/>
      </c>
      <c r="CC146" s="110">
        <f>IF(O146="","",IFERROR(O146*HSTECH!$B$37*HSTECH!$G$37/HSTECH!$B$3,""))</f>
        <v/>
      </c>
      <c r="CD146" s="110">
        <f>IF(P146="","",IFERROR(P146*HSTECH!$B$37*HSTECH!$G$37/HSTECH!$B$3,""))</f>
        <v/>
      </c>
      <c r="CE146" s="110">
        <f>IF(Q146="","",IFERROR(Q146*HSTECH!$B$37*HSTECH!$G$37/HSTECH!$B$3,""))</f>
        <v/>
      </c>
      <c r="CF146" s="110">
        <f>IF(R146="","",IFERROR(R146*HSTECH!$B$37*HSTECH!$G$37/HSTECH!$B$3,""))</f>
        <v/>
      </c>
      <c r="CG146" s="110">
        <f>IF(S146="","",IFERROR(S146*HSTECH!$B$37*HSTECH!$G$37/HSTECH!$B$3,""))</f>
        <v/>
      </c>
      <c r="CH146" s="110">
        <f>IF(T146="","",IFERROR(T146*HSTECH!$B$37*HSTECH!$G$37/HSTECH!$B$3,""))</f>
        <v/>
      </c>
      <c r="CI146" s="110">
        <f>IF(U146="","",IFERROR(U146*HSTECH!$B$37*HSTECH!$G$37/HSTECH!$B$3,""))</f>
        <v/>
      </c>
      <c r="CJ146" s="110">
        <f>IF(V146="","",IFERROR(V146*HSTECH!$B$37*HSTECH!$G$37/HSTECH!$B$3,""))</f>
        <v/>
      </c>
      <c r="CK146" s="110">
        <f>IF(W146="","",IFERROR(W146*HSTECH!$B$37*HSTECH!$G$37/HSTECH!$B$3,""))</f>
        <v/>
      </c>
      <c r="CL146" s="110">
        <f>IF(X146="","",IFERROR(X146*HSTECH!$B$37*HSTECH!$G$37/HSTECH!$B$3,""))</f>
        <v/>
      </c>
      <c r="CM146" s="110">
        <f>IF(Y146="","",IFERROR(Y146*HSTECH!$B$37*HSTECH!$G$37/HSTECH!$B$3,""))</f>
        <v/>
      </c>
      <c r="CN146" s="110">
        <f>IF(Z146="","",IFERROR(Z146*HSTECH!$B$37*HSTECH!$G$37/HSTECH!$B$3,""))</f>
        <v/>
      </c>
      <c r="CO146" s="110">
        <f>IF(AA146="","",IFERROR(AA146*HSTECH!$B$37*HSTECH!$G$37/HSTECH!$B$3,""))</f>
        <v/>
      </c>
      <c r="CP146" s="110">
        <f>IF(AB146="","",IFERROR(AB146*HSTECH!$B$37*HSTECH!$G$37/HSTECH!$B$3,""))</f>
        <v/>
      </c>
      <c r="CQ146" s="110">
        <f>IF(AC146="","",IFERROR(AC146*HSTECH!$B$37*HSTECH!$G$37/HSTECH!$B$3,""))</f>
        <v/>
      </c>
      <c r="CR146" s="110">
        <f>IF(AD146="","",IFERROR(AD146*HSTECH!$B$37*HSTECH!$G$37/HSTECH!$B$3,""))</f>
        <v/>
      </c>
      <c r="CS146" s="110">
        <f>IF(AE146="","",IFERROR(AE146*HSTECH!$B$37*HSTECH!$G$37/HSTECH!$B$3,""))</f>
        <v/>
      </c>
      <c r="CT146" s="110">
        <f>IF(AF146="","",IFERROR(AF146*HSTECH!$B$37*HSTECH!$G$37/HSTECH!$B$3,""))</f>
        <v/>
      </c>
      <c r="CU146" s="110">
        <f>IF(AG146="","",IFERROR(AG146*HSTECH!$B$37*HSTECH!$G$37/HSTECH!$B$3,""))</f>
        <v/>
      </c>
      <c r="CV146" s="110">
        <f>IF(AH146="","",IFERROR(AH146*HSTECH!$B$37*HSTECH!$G$37/HSTECH!$B$3,""))</f>
        <v/>
      </c>
      <c r="CW146" s="110">
        <f>IF(AI146="","",IFERROR(AI146*HSTECH!$B$37*HSTECH!$G$37/HSTECH!$B$3,""))</f>
        <v/>
      </c>
      <c r="CX146" s="110">
        <f>IF(AJ146="","",IFERROR(AJ146*HSTECH!$B$37*HSTECH!$G$37/HSTECH!$B$3,""))</f>
        <v/>
      </c>
      <c r="CY146" s="110">
        <f>IF(AK146="","",IFERROR(AK146*HSTECH!$B$37*HSTECH!$G$37/HSTECH!$B$3,""))</f>
        <v/>
      </c>
      <c r="CZ146" s="110">
        <f>IF(AL146="","",IFERROR(AL146*HSTECH!$B$37*HSTECH!$G$37/HSTECH!$B$3,""))</f>
        <v/>
      </c>
      <c r="DA146" s="110">
        <f>IF(AM146="","",IFERROR(AM146*HSTECH!$B$37*HSTECH!$G$37/HSTECH!$B$3,""))</f>
        <v/>
      </c>
      <c r="DB146" s="110">
        <f>IF(AN146="","",IFERROR(AN146*HSTECH!$B$37*HSTECH!$G$37/HSTECH!$B$3,""))</f>
        <v/>
      </c>
      <c r="DC146" s="110">
        <f>IF(AO146="","",IFERROR(AO146*HSTECH!$B$37*HSTECH!$G$37/HSTECH!$B$3,""))</f>
        <v/>
      </c>
      <c r="DD146" s="110">
        <f>IF(AP146="","",IFERROR(AP146*HSTECH!$B$37*HSTECH!$G$37/HSTECH!$B$3,""))</f>
        <v/>
      </c>
      <c r="DE146" s="110">
        <f>IF(AQ146="","",IFERROR(AQ146*HSTECH!$B$37*HSTECH!$G$37/HSTECH!$B$3,""))</f>
        <v/>
      </c>
      <c r="DF146" s="110">
        <f>IF(AR146="","",IFERROR(AR146*HSTECH!$B$37*HSTECH!$G$37/HSTECH!$B$3,""))</f>
        <v/>
      </c>
      <c r="DG146" s="110">
        <f>IF(AS146="","",IFERROR(AS146*HSTECH!$B$37*HSTECH!$G$37/HSTECH!$B$3,""))</f>
        <v/>
      </c>
      <c r="DH146" s="110">
        <f>IF(AT146="","",IFERROR(AT146*HSTECH!$B$37*HSTECH!$G$37/HSTECH!$B$3,""))</f>
        <v/>
      </c>
      <c r="DI146" s="110">
        <f>IF(AU146="","",IFERROR(AU146*HSTECH!$B$37*HSTECH!$G$37/HSTECH!$B$3,""))</f>
        <v/>
      </c>
      <c r="DJ146" s="110">
        <f>IF(AV146="","",IFERROR(AV146*HSTECH!$B$37*HSTECH!$G$37/HSTECH!$B$3,""))</f>
        <v/>
      </c>
      <c r="DK146" s="110">
        <f>IF(AW146="","",IFERROR(AW146*HSTECH!$B$37*HSTECH!$G$37/HSTECH!$B$3,""))</f>
        <v/>
      </c>
      <c r="DL146" s="110">
        <f>IF(AX146="","",IFERROR(AX146*HSTECH!$B$37*HSTECH!$G$37/HSTECH!$B$3,""))</f>
        <v/>
      </c>
      <c r="DM146" s="110">
        <f>IF(AY146="","",IFERROR(AY146*HSTECH!$B$37*HSTECH!$G$37/HSTECH!$B$3,""))</f>
        <v/>
      </c>
      <c r="DN146" s="110">
        <f>IF(AZ146="","",IFERROR(AZ146*HSTECH!$B$37*HSTECH!$G$37/HSTECH!$B$3,""))</f>
        <v/>
      </c>
      <c r="DO146" s="110">
        <f>IF(BA146="","",IFERROR(BA146*HSTECH!$B$37*HSTECH!$G$37/HSTECH!$B$3,""))</f>
        <v/>
      </c>
      <c r="DP146" s="110">
        <f>IF(BB146="","",IFERROR(BB146*HSTECH!$B$37*HSTECH!$G$37/HSTECH!$B$3,""))</f>
        <v/>
      </c>
      <c r="DQ146" s="110">
        <f>IF(BC146="","",IFERROR(BC146*HSTECH!$B$37*HSTECH!$G$37/HSTECH!$B$3,""))</f>
        <v/>
      </c>
      <c r="DR146" s="110">
        <f>IF(BD146="","",IFERROR(BD146*HSTECH!$B$37*HSTECH!$G$37/HSTECH!$B$3,""))</f>
        <v/>
      </c>
      <c r="DS146" s="110">
        <f>IF(BE146="","",IFERROR(BE146*HSTECH!$B$37*HSTECH!$G$37/HSTECH!$B$3,""))</f>
        <v/>
      </c>
      <c r="DT146" s="110">
        <f>IF(BF146="","",IFERROR(BF146*HSTECH!$B$37*HSTECH!$G$37/HSTECH!$B$3,""))</f>
        <v/>
      </c>
      <c r="DU146" s="110">
        <f>IF(BG146="","",IFERROR(BG146*HSTECH!$B$37*HSTECH!$G$37/HSTECH!$B$3,""))</f>
        <v/>
      </c>
      <c r="DV146" s="110">
        <f>IF(BH146="","",IFERROR(BH146*HSTECH!$B$37*HSTECH!$G$37/HSTECH!$B$3,""))</f>
        <v/>
      </c>
      <c r="DW146" s="110">
        <f>IF(BI146="","",IFERROR(BI146*HSTECH!$B$37*HSTECH!$G$37/HSTECH!$B$3,""))</f>
        <v/>
      </c>
      <c r="DX146" s="110">
        <f>IF(BJ146="","",IFERROR(BJ146*HSTECH!$B$37*HSTECH!$G$37/HSTECH!$B$3,""))</f>
        <v/>
      </c>
      <c r="DY146" s="110">
        <f>IF(BK146="","",IFERROR(BK146*HSTECH!$B$37*HSTECH!$G$37/HSTECH!$B$3,""))</f>
        <v/>
      </c>
      <c r="DZ146" s="110">
        <f>IF(BL146="","",IFERROR(BL146*HSTECH!$B$37*HSTECH!$G$37/HSTECH!$B$3,""))</f>
        <v/>
      </c>
      <c r="EA146" s="110">
        <f>IF(BM146="","",IFERROR(BM146*HSTECH!$B$37*HSTECH!$G$37/HSTECH!$B$3,""))</f>
        <v/>
      </c>
      <c r="EB146" s="110">
        <f>IF(BN146="","",IFERROR(BN146*HSTECH!$B$37*HSTECH!$G$37/HSTECH!$B$3,""))</f>
        <v/>
      </c>
      <c r="EC146" s="110">
        <f>IF(BO146="","",IFERROR(BO146*HSTECH!$B$37*HSTECH!$G$37/HSTECH!$B$3,""))</f>
        <v/>
      </c>
      <c r="EE146" s="39">
        <f>IF(N('Dvd Calendar'!$E$1446)=0,"",IF(('Dvd Calendar'!$E$1446&gt;=GRID_FROM)*('Dvd Calendar'!$E$1446&lt;=GRID_TO)*((('Dvd Calendar'!$E$1446&lt;=VAL_DATE)+(COUNTIF('Dvd Calendar'!$E$1453:$AR$1453,'Dvd Calendar'!$E$1446)=0))&gt;0)=0,"",'Dvd Calendar'!$E$1446*1000000000+ISNUMBER('Dvd Calendar'!$E$1449)*100000000+('Dvd Calendar'!$E$1451=SPECIAL_LBL)*10000000+(N('Dvd Calendar'!$E$1445)&gt;0)*(N('Dvd Calendar'!$E$1445)&lt;=VAL_SERIAL)*1000000+31*1000+1))</f>
        <v/>
      </c>
      <c r="EF146" s="39">
        <f>IF(N('Dvd Calendar'!$F$1446)=0,"",IF(('Dvd Calendar'!$F$1446&gt;=GRID_FROM)*('Dvd Calendar'!$F$1446&lt;=GRID_TO)*((('Dvd Calendar'!$F$1446&lt;=VAL_DATE)+(COUNTIF('Dvd Calendar'!$E$1453:$AR$1453,'Dvd Calendar'!$F$1446)=0))&gt;0)=0,"",'Dvd Calendar'!$F$1446*1000000000+ISNUMBER('Dvd Calendar'!$F$1449)*100000000+('Dvd Calendar'!$F$1451=SPECIAL_LBL)*10000000+(N('Dvd Calendar'!$F$1445)&gt;0)*(N('Dvd Calendar'!$F$1445)&lt;=VAL_SERIAL)*1000000+31*1000+2))</f>
        <v/>
      </c>
      <c r="EG146" s="39">
        <f>IF(N('Dvd Calendar'!$G$1446)=0,"",IF(('Dvd Calendar'!$G$1446&gt;=GRID_FROM)*('Dvd Calendar'!$G$1446&lt;=GRID_TO)*((('Dvd Calendar'!$G$1446&lt;=VAL_DATE)+(COUNTIF('Dvd Calendar'!$E$1453:$AR$1453,'Dvd Calendar'!$G$1446)=0))&gt;0)=0,"",'Dvd Calendar'!$G$1446*1000000000+ISNUMBER('Dvd Calendar'!$G$1449)*100000000+('Dvd Calendar'!$G$1451=SPECIAL_LBL)*10000000+(N('Dvd Calendar'!$G$1445)&gt;0)*(N('Dvd Calendar'!$G$1445)&lt;=VAL_SERIAL)*1000000+31*1000+3))</f>
        <v/>
      </c>
      <c r="EH146" s="39">
        <f>IF(N('Dvd Calendar'!$H$1446)=0,"",IF(('Dvd Calendar'!$H$1446&gt;=GRID_FROM)*('Dvd Calendar'!$H$1446&lt;=GRID_TO)*((('Dvd Calendar'!$H$1446&lt;=VAL_DATE)+(COUNTIF('Dvd Calendar'!$E$1453:$AR$1453,'Dvd Calendar'!$H$1446)=0))&gt;0)=0,"",'Dvd Calendar'!$H$1446*1000000000+ISNUMBER('Dvd Calendar'!$H$1449)*100000000+('Dvd Calendar'!$H$1451=SPECIAL_LBL)*10000000+(N('Dvd Calendar'!$H$1445)&gt;0)*(N('Dvd Calendar'!$H$1445)&lt;=VAL_SERIAL)*1000000+31*1000+4))</f>
        <v/>
      </c>
      <c r="EI146" s="39">
        <f>IF(N('Dvd Calendar'!$I$1446)=0,"",IF(('Dvd Calendar'!$I$1446&gt;=GRID_FROM)*('Dvd Calendar'!$I$1446&lt;=GRID_TO)*((('Dvd Calendar'!$I$1446&lt;=VAL_DATE)+(COUNTIF('Dvd Calendar'!$E$1453:$AR$1453,'Dvd Calendar'!$I$1446)=0))&gt;0)=0,"",'Dvd Calendar'!$I$1446*1000000000+ISNUMBER('Dvd Calendar'!$I$1449)*100000000+('Dvd Calendar'!$I$1451=SPECIAL_LBL)*10000000+(N('Dvd Calendar'!$I$1445)&gt;0)*(N('Dvd Calendar'!$I$1445)&lt;=VAL_SERIAL)*1000000+31*1000+5))</f>
        <v/>
      </c>
      <c r="EJ146" s="39">
        <f>IF(N('Dvd Calendar'!$J$1446)=0,"",IF(('Dvd Calendar'!$J$1446&gt;=GRID_FROM)*('Dvd Calendar'!$J$1446&lt;=GRID_TO)*((('Dvd Calendar'!$J$1446&lt;=VAL_DATE)+(COUNTIF('Dvd Calendar'!$E$1453:$AR$1453,'Dvd Calendar'!$J$1446)=0))&gt;0)=0,"",'Dvd Calendar'!$J$1446*1000000000+ISNUMBER('Dvd Calendar'!$J$1449)*100000000+('Dvd Calendar'!$J$1451=SPECIAL_LBL)*10000000+(N('Dvd Calendar'!$J$1445)&gt;0)*(N('Dvd Calendar'!$J$1445)&lt;=VAL_SERIAL)*1000000+31*1000+6))</f>
        <v/>
      </c>
      <c r="EK146" s="39">
        <f>IF(N('Dvd Calendar'!$K$1446)=0,"",IF(('Dvd Calendar'!$K$1446&gt;=GRID_FROM)*('Dvd Calendar'!$K$1446&lt;=GRID_TO)*((('Dvd Calendar'!$K$1446&lt;=VAL_DATE)+(COUNTIF('Dvd Calendar'!$E$1453:$AR$1453,'Dvd Calendar'!$K$1446)=0))&gt;0)=0,"",'Dvd Calendar'!$K$1446*1000000000+ISNUMBER('Dvd Calendar'!$K$1449)*100000000+('Dvd Calendar'!$K$1451=SPECIAL_LBL)*10000000+(N('Dvd Calendar'!$K$1445)&gt;0)*(N('Dvd Calendar'!$K$1445)&lt;=VAL_SERIAL)*1000000+31*1000+7))</f>
        <v/>
      </c>
      <c r="EL146" s="39">
        <f>IF(N('Dvd Calendar'!$L$1446)=0,"",IF(('Dvd Calendar'!$L$1446&gt;=GRID_FROM)*('Dvd Calendar'!$L$1446&lt;=GRID_TO)*((('Dvd Calendar'!$L$1446&lt;=VAL_DATE)+(COUNTIF('Dvd Calendar'!$E$1453:$AR$1453,'Dvd Calendar'!$L$1446)=0))&gt;0)=0,"",'Dvd Calendar'!$L$1446*1000000000+ISNUMBER('Dvd Calendar'!$L$1449)*100000000+('Dvd Calendar'!$L$1451=SPECIAL_LBL)*10000000+(N('Dvd Calendar'!$L$1445)&gt;0)*(N('Dvd Calendar'!$L$1445)&lt;=VAL_SERIAL)*1000000+31*1000+8))</f>
        <v/>
      </c>
      <c r="EM146" s="39">
        <f>IF(N('Dvd Calendar'!$M$1446)=0,"",IF(('Dvd Calendar'!$M$1446&gt;=GRID_FROM)*('Dvd Calendar'!$M$1446&lt;=GRID_TO)*((('Dvd Calendar'!$M$1446&lt;=VAL_DATE)+(COUNTIF('Dvd Calendar'!$E$1453:$AR$1453,'Dvd Calendar'!$M$1446)=0))&gt;0)=0,"",'Dvd Calendar'!$M$1446*1000000000+ISNUMBER('Dvd Calendar'!$M$1449)*100000000+('Dvd Calendar'!$M$1451=SPECIAL_LBL)*10000000+(N('Dvd Calendar'!$M$1445)&gt;0)*(N('Dvd Calendar'!$M$1445)&lt;=VAL_SERIAL)*1000000+31*1000+9))</f>
        <v/>
      </c>
      <c r="EN146" s="39">
        <f>IF(N('Dvd Calendar'!$N$1446)=0,"",IF(('Dvd Calendar'!$N$1446&gt;=GRID_FROM)*('Dvd Calendar'!$N$1446&lt;=GRID_TO)*((('Dvd Calendar'!$N$1446&lt;=VAL_DATE)+(COUNTIF('Dvd Calendar'!$E$1453:$AR$1453,'Dvd Calendar'!$N$1446)=0))&gt;0)=0,"",'Dvd Calendar'!$N$1446*1000000000+ISNUMBER('Dvd Calendar'!$N$1449)*100000000+('Dvd Calendar'!$N$1451=SPECIAL_LBL)*10000000+(N('Dvd Calendar'!$N$1445)&gt;0)*(N('Dvd Calendar'!$N$1445)&lt;=VAL_SERIAL)*1000000+31*1000+10))</f>
        <v/>
      </c>
      <c r="EO146" s="39">
        <f>IF(N('Dvd Calendar'!$O$1446)=0,"",IF(('Dvd Calendar'!$O$1446&gt;=GRID_FROM)*('Dvd Calendar'!$O$1446&lt;=GRID_TO)*((('Dvd Calendar'!$O$1446&lt;=VAL_DATE)+(COUNTIF('Dvd Calendar'!$E$1453:$AR$1453,'Dvd Calendar'!$O$1446)=0))&gt;0)=0,"",'Dvd Calendar'!$O$1446*1000000000+ISNUMBER('Dvd Calendar'!$O$1449)*100000000+('Dvd Calendar'!$O$1451=SPECIAL_LBL)*10000000+(N('Dvd Calendar'!$O$1445)&gt;0)*(N('Dvd Calendar'!$O$1445)&lt;=VAL_SERIAL)*1000000+31*1000+11))</f>
        <v/>
      </c>
      <c r="EP146" s="39">
        <f>IF(N('Dvd Calendar'!$P$1446)=0,"",IF(('Dvd Calendar'!$P$1446&gt;=GRID_FROM)*('Dvd Calendar'!$P$1446&lt;=GRID_TO)*((('Dvd Calendar'!$P$1446&lt;=VAL_DATE)+(COUNTIF('Dvd Calendar'!$E$1453:$AR$1453,'Dvd Calendar'!$P$1446)=0))&gt;0)=0,"",'Dvd Calendar'!$P$1446*1000000000+ISNUMBER('Dvd Calendar'!$P$1449)*100000000+('Dvd Calendar'!$P$1451=SPECIAL_LBL)*10000000+(N('Dvd Calendar'!$P$1445)&gt;0)*(N('Dvd Calendar'!$P$1445)&lt;=VAL_SERIAL)*1000000+31*1000+12))</f>
        <v/>
      </c>
      <c r="EQ146" s="39">
        <f>IF(N('Dvd Calendar'!$Q$1446)=0,"",IF(('Dvd Calendar'!$Q$1446&gt;=GRID_FROM)*('Dvd Calendar'!$Q$1446&lt;=GRID_TO)*((('Dvd Calendar'!$Q$1446&lt;=VAL_DATE)+(COUNTIF('Dvd Calendar'!$E$1453:$AR$1453,'Dvd Calendar'!$Q$1446)=0))&gt;0)=0,"",'Dvd Calendar'!$Q$1446*1000000000+ISNUMBER('Dvd Calendar'!$Q$1449)*100000000+('Dvd Calendar'!$Q$1451=SPECIAL_LBL)*10000000+(N('Dvd Calendar'!$Q$1445)&gt;0)*(N('Dvd Calendar'!$Q$1445)&lt;=VAL_SERIAL)*1000000+31*1000+13))</f>
        <v/>
      </c>
      <c r="ER146" s="39">
        <f>IF(N('Dvd Calendar'!$R$1446)=0,"",IF(('Dvd Calendar'!$R$1446&gt;=GRID_FROM)*('Dvd Calendar'!$R$1446&lt;=GRID_TO)*((('Dvd Calendar'!$R$1446&lt;=VAL_DATE)+(COUNTIF('Dvd Calendar'!$E$1453:$AR$1453,'Dvd Calendar'!$R$1446)=0))&gt;0)=0,"",'Dvd Calendar'!$R$1446*1000000000+ISNUMBER('Dvd Calendar'!$R$1449)*100000000+('Dvd Calendar'!$R$1451=SPECIAL_LBL)*10000000+(N('Dvd Calendar'!$R$1445)&gt;0)*(N('Dvd Calendar'!$R$1445)&lt;=VAL_SERIAL)*1000000+31*1000+14))</f>
        <v/>
      </c>
      <c r="ES146" s="39">
        <f>IF(N('Dvd Calendar'!$S$1446)=0,"",IF(('Dvd Calendar'!$S$1446&gt;=GRID_FROM)*('Dvd Calendar'!$S$1446&lt;=GRID_TO)*((('Dvd Calendar'!$S$1446&lt;=VAL_DATE)+(COUNTIF('Dvd Calendar'!$E$1453:$AR$1453,'Dvd Calendar'!$S$1446)=0))&gt;0)=0,"",'Dvd Calendar'!$S$1446*1000000000+ISNUMBER('Dvd Calendar'!$S$1449)*100000000+('Dvd Calendar'!$S$1451=SPECIAL_LBL)*10000000+(N('Dvd Calendar'!$S$1445)&gt;0)*(N('Dvd Calendar'!$S$1445)&lt;=VAL_SERIAL)*1000000+31*1000+15))</f>
        <v/>
      </c>
      <c r="ET146" s="39">
        <f>IF(N('Dvd Calendar'!$T$1446)=0,"",IF(('Dvd Calendar'!$T$1446&gt;=GRID_FROM)*('Dvd Calendar'!$T$1446&lt;=GRID_TO)*((('Dvd Calendar'!$T$1446&lt;=VAL_DATE)+(COUNTIF('Dvd Calendar'!$E$1453:$AR$1453,'Dvd Calendar'!$T$1446)=0))&gt;0)=0,"",'Dvd Calendar'!$T$1446*1000000000+ISNUMBER('Dvd Calendar'!$T$1449)*100000000+('Dvd Calendar'!$T$1451=SPECIAL_LBL)*10000000+(N('Dvd Calendar'!$T$1445)&gt;0)*(N('Dvd Calendar'!$T$1445)&lt;=VAL_SERIAL)*1000000+31*1000+16))</f>
        <v/>
      </c>
      <c r="EU146" s="39">
        <f>IF(N('Dvd Calendar'!$U$1446)=0,"",IF(('Dvd Calendar'!$U$1446&gt;=GRID_FROM)*('Dvd Calendar'!$U$1446&lt;=GRID_TO)*((('Dvd Calendar'!$U$1446&lt;=VAL_DATE)+(COUNTIF('Dvd Calendar'!$E$1453:$AR$1453,'Dvd Calendar'!$U$1446)=0))&gt;0)=0,"",'Dvd Calendar'!$U$1446*1000000000+ISNUMBER('Dvd Calendar'!$U$1449)*100000000+('Dvd Calendar'!$U$1451=SPECIAL_LBL)*10000000+(N('Dvd Calendar'!$U$1445)&gt;0)*(N('Dvd Calendar'!$U$1445)&lt;=VAL_SERIAL)*1000000+31*1000+17))</f>
        <v/>
      </c>
      <c r="EV146" s="39">
        <f>IF(N('Dvd Calendar'!$V$1446)=0,"",IF(('Dvd Calendar'!$V$1446&gt;=GRID_FROM)*('Dvd Calendar'!$V$1446&lt;=GRID_TO)*((('Dvd Calendar'!$V$1446&lt;=VAL_DATE)+(COUNTIF('Dvd Calendar'!$E$1453:$AR$1453,'Dvd Calendar'!$V$1446)=0))&gt;0)=0,"",'Dvd Calendar'!$V$1446*1000000000+ISNUMBER('Dvd Calendar'!$V$1449)*100000000+('Dvd Calendar'!$V$1451=SPECIAL_LBL)*10000000+(N('Dvd Calendar'!$V$1445)&gt;0)*(N('Dvd Calendar'!$V$1445)&lt;=VAL_SERIAL)*1000000+31*1000+18))</f>
        <v/>
      </c>
      <c r="EW146" s="39">
        <f>IF(N('Dvd Calendar'!$W$1446)=0,"",IF(('Dvd Calendar'!$W$1446&gt;=GRID_FROM)*('Dvd Calendar'!$W$1446&lt;=GRID_TO)*((('Dvd Calendar'!$W$1446&lt;=VAL_DATE)+(COUNTIF('Dvd Calendar'!$E$1453:$AR$1453,'Dvd Calendar'!$W$1446)=0))&gt;0)=0,"",'Dvd Calendar'!$W$1446*1000000000+ISNUMBER('Dvd Calendar'!$W$1449)*100000000+('Dvd Calendar'!$W$1451=SPECIAL_LBL)*10000000+(N('Dvd Calendar'!$W$1445)&gt;0)*(N('Dvd Calendar'!$W$1445)&lt;=VAL_SERIAL)*1000000+31*1000+19))</f>
        <v/>
      </c>
      <c r="EX146" s="39">
        <f>IF(N('Dvd Calendar'!$X$1446)=0,"",IF(('Dvd Calendar'!$X$1446&gt;=GRID_FROM)*('Dvd Calendar'!$X$1446&lt;=GRID_TO)*((('Dvd Calendar'!$X$1446&lt;=VAL_DATE)+(COUNTIF('Dvd Calendar'!$E$1453:$AR$1453,'Dvd Calendar'!$X$1446)=0))&gt;0)=0,"",'Dvd Calendar'!$X$1446*1000000000+ISNUMBER('Dvd Calendar'!$X$1449)*100000000+('Dvd Calendar'!$X$1451=SPECIAL_LBL)*10000000+(N('Dvd Calendar'!$X$1445)&gt;0)*(N('Dvd Calendar'!$X$1445)&lt;=VAL_SERIAL)*1000000+31*1000+20))</f>
        <v/>
      </c>
      <c r="EY146" s="39">
        <f>IF(N('Dvd Calendar'!$Y$1446)=0,"",IF(('Dvd Calendar'!$Y$1446&gt;=GRID_FROM)*('Dvd Calendar'!$Y$1446&lt;=GRID_TO)*((('Dvd Calendar'!$Y$1446&lt;=VAL_DATE)+(COUNTIF('Dvd Calendar'!$E$1453:$AR$1453,'Dvd Calendar'!$Y$1446)=0))&gt;0)=0,"",'Dvd Calendar'!$Y$1446*1000000000+ISNUMBER('Dvd Calendar'!$Y$1449)*100000000+('Dvd Calendar'!$Y$1451=SPECIAL_LBL)*10000000+(N('Dvd Calendar'!$Y$1445)&gt;0)*(N('Dvd Calendar'!$Y$1445)&lt;=VAL_SERIAL)*1000000+31*1000+21))</f>
        <v/>
      </c>
      <c r="EZ146" s="39">
        <f>IF(N('Dvd Calendar'!$Z$1446)=0,"",IF(('Dvd Calendar'!$Z$1446&gt;=GRID_FROM)*('Dvd Calendar'!$Z$1446&lt;=GRID_TO)*((('Dvd Calendar'!$Z$1446&lt;=VAL_DATE)+(COUNTIF('Dvd Calendar'!$E$1453:$AR$1453,'Dvd Calendar'!$Z$1446)=0))&gt;0)=0,"",'Dvd Calendar'!$Z$1446*1000000000+ISNUMBER('Dvd Calendar'!$Z$1449)*100000000+('Dvd Calendar'!$Z$1451=SPECIAL_LBL)*10000000+(N('Dvd Calendar'!$Z$1445)&gt;0)*(N('Dvd Calendar'!$Z$1445)&lt;=VAL_SERIAL)*1000000+31*1000+22))</f>
        <v/>
      </c>
      <c r="FA146" s="39">
        <f>IF(N('Dvd Calendar'!$AA$1446)=0,"",IF(('Dvd Calendar'!$AA$1446&gt;=GRID_FROM)*('Dvd Calendar'!$AA$1446&lt;=GRID_TO)*((('Dvd Calendar'!$AA$1446&lt;=VAL_DATE)+(COUNTIF('Dvd Calendar'!$E$1453:$AR$1453,'Dvd Calendar'!$AA$1446)=0))&gt;0)=0,"",'Dvd Calendar'!$AA$1446*1000000000+ISNUMBER('Dvd Calendar'!$AA$1449)*100000000+('Dvd Calendar'!$AA$1451=SPECIAL_LBL)*10000000+(N('Dvd Calendar'!$AA$1445)&gt;0)*(N('Dvd Calendar'!$AA$1445)&lt;=VAL_SERIAL)*1000000+31*1000+23))</f>
        <v/>
      </c>
      <c r="FB146" s="39">
        <f>IF(N('Dvd Calendar'!$AB$1446)=0,"",IF(('Dvd Calendar'!$AB$1446&gt;=GRID_FROM)*('Dvd Calendar'!$AB$1446&lt;=GRID_TO)*((('Dvd Calendar'!$AB$1446&lt;=VAL_DATE)+(COUNTIF('Dvd Calendar'!$E$1453:$AR$1453,'Dvd Calendar'!$AB$1446)=0))&gt;0)=0,"",'Dvd Calendar'!$AB$1446*1000000000+ISNUMBER('Dvd Calendar'!$AB$1449)*100000000+('Dvd Calendar'!$AB$1451=SPECIAL_LBL)*10000000+(N('Dvd Calendar'!$AB$1445)&gt;0)*(N('Dvd Calendar'!$AB$1445)&lt;=VAL_SERIAL)*1000000+31*1000+24))</f>
        <v/>
      </c>
      <c r="FC146" s="39">
        <f>IF(N('Dvd Calendar'!$AC$1446)=0,"",IF(('Dvd Calendar'!$AC$1446&gt;=GRID_FROM)*('Dvd Calendar'!$AC$1446&lt;=GRID_TO)*((('Dvd Calendar'!$AC$1446&lt;=VAL_DATE)+(COUNTIF('Dvd Calendar'!$E$1453:$AR$1453,'Dvd Calendar'!$AC$1446)=0))&gt;0)=0,"",'Dvd Calendar'!$AC$1446*1000000000+ISNUMBER('Dvd Calendar'!$AC$1449)*100000000+('Dvd Calendar'!$AC$1451=SPECIAL_LBL)*10000000+(N('Dvd Calendar'!$AC$1445)&gt;0)*(N('Dvd Calendar'!$AC$1445)&lt;=VAL_SERIAL)*1000000+31*1000+25))</f>
        <v/>
      </c>
      <c r="FD146" s="39">
        <f>IF(N('Dvd Calendar'!$AD$1446)=0,"",IF(('Dvd Calendar'!$AD$1446&gt;=GRID_FROM)*('Dvd Calendar'!$AD$1446&lt;=GRID_TO)*((('Dvd Calendar'!$AD$1446&lt;=VAL_DATE)+(COUNTIF('Dvd Calendar'!$E$1453:$AR$1453,'Dvd Calendar'!$AD$1446)=0))&gt;0)=0,"",'Dvd Calendar'!$AD$1446*1000000000+ISNUMBER('Dvd Calendar'!$AD$1449)*100000000+('Dvd Calendar'!$AD$1451=SPECIAL_LBL)*10000000+(N('Dvd Calendar'!$AD$1445)&gt;0)*(N('Dvd Calendar'!$AD$1445)&lt;=VAL_SERIAL)*1000000+31*1000+26))</f>
        <v/>
      </c>
      <c r="FE146" s="39">
        <f>IF(N('Dvd Calendar'!$AE$1446)=0,"",IF(('Dvd Calendar'!$AE$1446&gt;=GRID_FROM)*('Dvd Calendar'!$AE$1446&lt;=GRID_TO)*((('Dvd Calendar'!$AE$1446&lt;=VAL_DATE)+(COUNTIF('Dvd Calendar'!$E$1453:$AR$1453,'Dvd Calendar'!$AE$1446)=0))&gt;0)=0,"",'Dvd Calendar'!$AE$1446*1000000000+ISNUMBER('Dvd Calendar'!$AE$1449)*100000000+('Dvd Calendar'!$AE$1451=SPECIAL_LBL)*10000000+(N('Dvd Calendar'!$AE$1445)&gt;0)*(N('Dvd Calendar'!$AE$1445)&lt;=VAL_SERIAL)*1000000+31*1000+27))</f>
        <v/>
      </c>
      <c r="FF146" s="39">
        <f>IF(N('Dvd Calendar'!$AF$1446)=0,"",IF(('Dvd Calendar'!$AF$1446&gt;=GRID_FROM)*('Dvd Calendar'!$AF$1446&lt;=GRID_TO)*((('Dvd Calendar'!$AF$1446&lt;=VAL_DATE)+(COUNTIF('Dvd Calendar'!$E$1453:$AR$1453,'Dvd Calendar'!$AF$1446)=0))&gt;0)=0,"",'Dvd Calendar'!$AF$1446*1000000000+ISNUMBER('Dvd Calendar'!$AF$1449)*100000000+('Dvd Calendar'!$AF$1451=SPECIAL_LBL)*10000000+(N('Dvd Calendar'!$AF$1445)&gt;0)*(N('Dvd Calendar'!$AF$1445)&lt;=VAL_SERIAL)*1000000+31*1000+28))</f>
        <v/>
      </c>
      <c r="FG146" s="39">
        <f>IF(N('Dvd Calendar'!$AG$1446)=0,"",IF(('Dvd Calendar'!$AG$1446&gt;=GRID_FROM)*('Dvd Calendar'!$AG$1446&lt;=GRID_TO)*((('Dvd Calendar'!$AG$1446&lt;=VAL_DATE)+(COUNTIF('Dvd Calendar'!$E$1453:$AR$1453,'Dvd Calendar'!$AG$1446)=0))&gt;0)=0,"",'Dvd Calendar'!$AG$1446*1000000000+ISNUMBER('Dvd Calendar'!$AG$1449)*100000000+('Dvd Calendar'!$AG$1451=SPECIAL_LBL)*10000000+(N('Dvd Calendar'!$AG$1445)&gt;0)*(N('Dvd Calendar'!$AG$1445)&lt;=VAL_SERIAL)*1000000+31*1000+29))</f>
        <v/>
      </c>
      <c r="FH146" s="39">
        <f>IF(N('Dvd Calendar'!$AH$1446)=0,"",IF(('Dvd Calendar'!$AH$1446&gt;=GRID_FROM)*('Dvd Calendar'!$AH$1446&lt;=GRID_TO)*((('Dvd Calendar'!$AH$1446&lt;=VAL_DATE)+(COUNTIF('Dvd Calendar'!$E$1453:$AR$1453,'Dvd Calendar'!$AH$1446)=0))&gt;0)=0,"",'Dvd Calendar'!$AH$1446*1000000000+ISNUMBER('Dvd Calendar'!$AH$1449)*100000000+('Dvd Calendar'!$AH$1451=SPECIAL_LBL)*10000000+(N('Dvd Calendar'!$AH$1445)&gt;0)*(N('Dvd Calendar'!$AH$1445)&lt;=VAL_SERIAL)*1000000+31*1000+30))</f>
        <v/>
      </c>
      <c r="FI146" s="39">
        <f>IF(N('Dvd Calendar'!$AI$1446)=0,"",IF(('Dvd Calendar'!$AI$1446&gt;=GRID_FROM)*('Dvd Calendar'!$AI$1446&lt;=GRID_TO)*((('Dvd Calendar'!$AI$1446&lt;=VAL_DATE)+(COUNTIF('Dvd Calendar'!$E$1453:$AR$1453,'Dvd Calendar'!$AI$1446)=0))&gt;0)=0,"",'Dvd Calendar'!$AI$1446*1000000000+ISNUMBER('Dvd Calendar'!$AI$1449)*100000000+('Dvd Calendar'!$AI$1451=SPECIAL_LBL)*10000000+(N('Dvd Calendar'!$AI$1445)&gt;0)*(N('Dvd Calendar'!$AI$1445)&lt;=VAL_SERIAL)*1000000+31*1000+31))</f>
        <v/>
      </c>
      <c r="FJ146" s="39">
        <f>IF(N('Dvd Calendar'!$AJ$1446)=0,"",IF(('Dvd Calendar'!$AJ$1446&gt;=GRID_FROM)*('Dvd Calendar'!$AJ$1446&lt;=GRID_TO)*((('Dvd Calendar'!$AJ$1446&lt;=VAL_DATE)+(COUNTIF('Dvd Calendar'!$E$1453:$AR$1453,'Dvd Calendar'!$AJ$1446)=0))&gt;0)=0,"",'Dvd Calendar'!$AJ$1446*1000000000+ISNUMBER('Dvd Calendar'!$AJ$1449)*100000000+('Dvd Calendar'!$AJ$1451=SPECIAL_LBL)*10000000+(N('Dvd Calendar'!$AJ$1445)&gt;0)*(N('Dvd Calendar'!$AJ$1445)&lt;=VAL_SERIAL)*1000000+31*1000+32))</f>
        <v/>
      </c>
      <c r="FK146" s="39">
        <f>IF(N('Dvd Calendar'!$AK$1446)=0,"",IF(('Dvd Calendar'!$AK$1446&gt;=GRID_FROM)*('Dvd Calendar'!$AK$1446&lt;=GRID_TO)*((('Dvd Calendar'!$AK$1446&lt;=VAL_DATE)+(COUNTIF('Dvd Calendar'!$E$1453:$AR$1453,'Dvd Calendar'!$AK$1446)=0))&gt;0)=0,"",'Dvd Calendar'!$AK$1446*1000000000+ISNUMBER('Dvd Calendar'!$AK$1449)*100000000+('Dvd Calendar'!$AK$1451=SPECIAL_LBL)*10000000+(N('Dvd Calendar'!$AK$1445)&gt;0)*(N('Dvd Calendar'!$AK$1445)&lt;=VAL_SERIAL)*1000000+31*1000+33))</f>
        <v/>
      </c>
      <c r="FL146" s="39">
        <f>IF(N('Dvd Calendar'!$AL$1446)=0,"",IF(('Dvd Calendar'!$AL$1446&gt;=GRID_FROM)*('Dvd Calendar'!$AL$1446&lt;=GRID_TO)*((('Dvd Calendar'!$AL$1446&lt;=VAL_DATE)+(COUNTIF('Dvd Calendar'!$E$1453:$AR$1453,'Dvd Calendar'!$AL$1446)=0))&gt;0)=0,"",'Dvd Calendar'!$AL$1446*1000000000+ISNUMBER('Dvd Calendar'!$AL$1449)*100000000+('Dvd Calendar'!$AL$1451=SPECIAL_LBL)*10000000+(N('Dvd Calendar'!$AL$1445)&gt;0)*(N('Dvd Calendar'!$AL$1445)&lt;=VAL_SERIAL)*1000000+31*1000+34))</f>
        <v/>
      </c>
      <c r="FM146" s="39">
        <f>IF(N('Dvd Calendar'!$AM$1446)=0,"",IF(('Dvd Calendar'!$AM$1446&gt;=GRID_FROM)*('Dvd Calendar'!$AM$1446&lt;=GRID_TO)*((('Dvd Calendar'!$AM$1446&lt;=VAL_DATE)+(COUNTIF('Dvd Calendar'!$E$1453:$AR$1453,'Dvd Calendar'!$AM$1446)=0))&gt;0)=0,"",'Dvd Calendar'!$AM$1446*1000000000+ISNUMBER('Dvd Calendar'!$AM$1449)*100000000+('Dvd Calendar'!$AM$1451=SPECIAL_LBL)*10000000+(N('Dvd Calendar'!$AM$1445)&gt;0)*(N('Dvd Calendar'!$AM$1445)&lt;=VAL_SERIAL)*1000000+31*1000+35))</f>
        <v/>
      </c>
      <c r="FN146" s="39">
        <f>IF(N('Dvd Calendar'!$AN$1446)=0,"",IF(('Dvd Calendar'!$AN$1446&gt;=GRID_FROM)*('Dvd Calendar'!$AN$1446&lt;=GRID_TO)*((('Dvd Calendar'!$AN$1446&lt;=VAL_DATE)+(COUNTIF('Dvd Calendar'!$E$1453:$AR$1453,'Dvd Calendar'!$AN$1446)=0))&gt;0)=0,"",'Dvd Calendar'!$AN$1446*1000000000+ISNUMBER('Dvd Calendar'!$AN$1449)*100000000+('Dvd Calendar'!$AN$1451=SPECIAL_LBL)*10000000+(N('Dvd Calendar'!$AN$1445)&gt;0)*(N('Dvd Calendar'!$AN$1445)&lt;=VAL_SERIAL)*1000000+31*1000+36))</f>
        <v/>
      </c>
      <c r="FO146" s="39">
        <f>IF(N('Dvd Calendar'!$AO$1446)=0,"",IF(('Dvd Calendar'!$AO$1446&gt;=GRID_FROM)*('Dvd Calendar'!$AO$1446&lt;=GRID_TO)*((('Dvd Calendar'!$AO$1446&lt;=VAL_DATE)+(COUNTIF('Dvd Calendar'!$E$1453:$AR$1453,'Dvd Calendar'!$AO$1446)=0))&gt;0)=0,"",'Dvd Calendar'!$AO$1446*1000000000+ISNUMBER('Dvd Calendar'!$AO$1449)*100000000+('Dvd Calendar'!$AO$1451=SPECIAL_LBL)*10000000+(N('Dvd Calendar'!$AO$1445)&gt;0)*(N('Dvd Calendar'!$AO$1445)&lt;=VAL_SERIAL)*1000000+31*1000+37))</f>
        <v/>
      </c>
      <c r="FP146" s="39">
        <f>IF(N('Dvd Calendar'!$AP$1446)=0,"",IF(('Dvd Calendar'!$AP$1446&gt;=GRID_FROM)*('Dvd Calendar'!$AP$1446&lt;=GRID_TO)*((('Dvd Calendar'!$AP$1446&lt;=VAL_DATE)+(COUNTIF('Dvd Calendar'!$E$1453:$AR$1453,'Dvd Calendar'!$AP$1446)=0))&gt;0)=0,"",'Dvd Calendar'!$AP$1446*1000000000+ISNUMBER('Dvd Calendar'!$AP$1449)*100000000+('Dvd Calendar'!$AP$1451=SPECIAL_LBL)*10000000+(N('Dvd Calendar'!$AP$1445)&gt;0)*(N('Dvd Calendar'!$AP$1445)&lt;=VAL_SERIAL)*1000000+31*1000+38))</f>
        <v/>
      </c>
      <c r="FQ146" s="39">
        <f>IF(N('Dvd Calendar'!$AQ$1446)=0,"",IF(('Dvd Calendar'!$AQ$1446&gt;=GRID_FROM)*('Dvd Calendar'!$AQ$1446&lt;=GRID_TO)*((('Dvd Calendar'!$AQ$1446&lt;=VAL_DATE)+(COUNTIF('Dvd Calendar'!$E$1453:$AR$1453,'Dvd Calendar'!$AQ$1446)=0))&gt;0)=0,"",'Dvd Calendar'!$AQ$1446*1000000000+ISNUMBER('Dvd Calendar'!$AQ$1449)*100000000+('Dvd Calendar'!$AQ$1451=SPECIAL_LBL)*10000000+(N('Dvd Calendar'!$AQ$1445)&gt;0)*(N('Dvd Calendar'!$AQ$1445)&lt;=VAL_SERIAL)*1000000+31*1000+39))</f>
        <v/>
      </c>
      <c r="FR146" s="39">
        <f>IF(N('Dvd Calendar'!$AR$1446)=0,"",IF(('Dvd Calendar'!$AR$1446&gt;=GRID_FROM)*('Dvd Calendar'!$AR$1446&lt;=GRID_TO)*((('Dvd Calendar'!$AR$1446&lt;=VAL_DATE)+(COUNTIF('Dvd Calendar'!$E$1453:$AR$1453,'Dvd Calendar'!$AR$1446)=0))&gt;0)=0,"",'Dvd Calendar'!$AR$1446*1000000000+ISNUMBER('Dvd Calendar'!$AR$1449)*100000000+('Dvd Calendar'!$AR$1451=SPECIAL_LBL)*10000000+(N('Dvd Calendar'!$AR$1445)&gt;0)*(N('Dvd Calendar'!$AR$1445)&lt;=VAL_SERIAL)*1000000+31*1000+40))</f>
        <v/>
      </c>
      <c r="FS146" s="39">
        <f>IF(N('Dvd Calendar'!$E$1453)=0,"",IF(('Dvd Calendar'!$E$1453&gt;=GRID_FROM)*('Dvd Calendar'!$E$1453&lt;=GRID_TO)*('Dvd Calendar'!$E$1453&gt;VAL_DATE)=0,"",'Dvd Calendar'!$E$1453*1000000000+ISNUMBER('Dvd Calendar'!$E$1454)*100000000+0*10000000+(N('Dvd Calendar'!$E$1452)&gt;0)*(N('Dvd Calendar'!$E$1452)&lt;=VAL_SERIAL)*1000000+31*1000+41))</f>
        <v/>
      </c>
      <c r="FT146" s="39">
        <f>IF(N('Dvd Calendar'!$F$1453)=0,"",IF(('Dvd Calendar'!$F$1453&gt;=GRID_FROM)*('Dvd Calendar'!$F$1453&lt;=GRID_TO)*('Dvd Calendar'!$F$1453&gt;VAL_DATE)=0,"",'Dvd Calendar'!$F$1453*1000000000+ISNUMBER('Dvd Calendar'!$F$1454)*100000000+0*10000000+(N('Dvd Calendar'!$F$1452)&gt;0)*(N('Dvd Calendar'!$F$1452)&lt;=VAL_SERIAL)*1000000+31*1000+42))</f>
        <v/>
      </c>
      <c r="FU146" s="39">
        <f>IF(N('Dvd Calendar'!$G$1453)=0,"",IF(('Dvd Calendar'!$G$1453&gt;=GRID_FROM)*('Dvd Calendar'!$G$1453&lt;=GRID_TO)*('Dvd Calendar'!$G$1453&gt;VAL_DATE)=0,"",'Dvd Calendar'!$G$1453*1000000000+ISNUMBER('Dvd Calendar'!$G$1454)*100000000+0*10000000+(N('Dvd Calendar'!$G$1452)&gt;0)*(N('Dvd Calendar'!$G$1452)&lt;=VAL_SERIAL)*1000000+31*1000+43))</f>
        <v/>
      </c>
      <c r="FV146" s="39">
        <f>IF(N('Dvd Calendar'!$H$1453)=0,"",IF(('Dvd Calendar'!$H$1453&gt;=GRID_FROM)*('Dvd Calendar'!$H$1453&lt;=GRID_TO)*('Dvd Calendar'!$H$1453&gt;VAL_DATE)=0,"",'Dvd Calendar'!$H$1453*1000000000+ISNUMBER('Dvd Calendar'!$H$1454)*100000000+0*10000000+(N('Dvd Calendar'!$H$1452)&gt;0)*(N('Dvd Calendar'!$H$1452)&lt;=VAL_SERIAL)*1000000+31*1000+44))</f>
        <v/>
      </c>
      <c r="FW146" s="39">
        <f>IF(N('Dvd Calendar'!$I$1453)=0,"",IF(('Dvd Calendar'!$I$1453&gt;=GRID_FROM)*('Dvd Calendar'!$I$1453&lt;=GRID_TO)*('Dvd Calendar'!$I$1453&gt;VAL_DATE)=0,"",'Dvd Calendar'!$I$1453*1000000000+ISNUMBER('Dvd Calendar'!$I$1454)*100000000+0*10000000+(N('Dvd Calendar'!$I$1452)&gt;0)*(N('Dvd Calendar'!$I$1452)&lt;=VAL_SERIAL)*1000000+31*1000+45))</f>
        <v/>
      </c>
      <c r="FX146" s="39">
        <f>IF(N('Dvd Calendar'!$J$1453)=0,"",IF(('Dvd Calendar'!$J$1453&gt;=GRID_FROM)*('Dvd Calendar'!$J$1453&lt;=GRID_TO)*('Dvd Calendar'!$J$1453&gt;VAL_DATE)=0,"",'Dvd Calendar'!$J$1453*1000000000+ISNUMBER('Dvd Calendar'!$J$1454)*100000000+0*10000000+(N('Dvd Calendar'!$J$1452)&gt;0)*(N('Dvd Calendar'!$J$1452)&lt;=VAL_SERIAL)*1000000+31*1000+46))</f>
        <v/>
      </c>
      <c r="FY146" s="39">
        <f>IF(N('Dvd Calendar'!$K$1453)=0,"",IF(('Dvd Calendar'!$K$1453&gt;=GRID_FROM)*('Dvd Calendar'!$K$1453&lt;=GRID_TO)*('Dvd Calendar'!$K$1453&gt;VAL_DATE)=0,"",'Dvd Calendar'!$K$1453*1000000000+ISNUMBER('Dvd Calendar'!$K$1454)*100000000+0*10000000+(N('Dvd Calendar'!$K$1452)&gt;0)*(N('Dvd Calendar'!$K$1452)&lt;=VAL_SERIAL)*1000000+31*1000+47))</f>
        <v/>
      </c>
      <c r="FZ146" s="39">
        <f>IF(N('Dvd Calendar'!$L$1453)=0,"",IF(('Dvd Calendar'!$L$1453&gt;=GRID_FROM)*('Dvd Calendar'!$L$1453&lt;=GRID_TO)*('Dvd Calendar'!$L$1453&gt;VAL_DATE)=0,"",'Dvd Calendar'!$L$1453*1000000000+ISNUMBER('Dvd Calendar'!$L$1454)*100000000+0*10000000+(N('Dvd Calendar'!$L$1452)&gt;0)*(N('Dvd Calendar'!$L$1452)&lt;=VAL_SERIAL)*1000000+31*1000+48))</f>
        <v/>
      </c>
      <c r="GA146" s="39">
        <f>IF(N('Dvd Calendar'!$M$1453)=0,"",IF(('Dvd Calendar'!$M$1453&gt;=GRID_FROM)*('Dvd Calendar'!$M$1453&lt;=GRID_TO)*('Dvd Calendar'!$M$1453&gt;VAL_DATE)=0,"",'Dvd Calendar'!$M$1453*1000000000+ISNUMBER('Dvd Calendar'!$M$1454)*100000000+0*10000000+(N('Dvd Calendar'!$M$1452)&gt;0)*(N('Dvd Calendar'!$M$1452)&lt;=VAL_SERIAL)*1000000+31*1000+49))</f>
        <v/>
      </c>
      <c r="GB146" s="39">
        <f>IF(N('Dvd Calendar'!$N$1453)=0,"",IF(('Dvd Calendar'!$N$1453&gt;=GRID_FROM)*('Dvd Calendar'!$N$1453&lt;=GRID_TO)*('Dvd Calendar'!$N$1453&gt;VAL_DATE)=0,"",'Dvd Calendar'!$N$1453*1000000000+ISNUMBER('Dvd Calendar'!$N$1454)*100000000+0*10000000+(N('Dvd Calendar'!$N$1452)&gt;0)*(N('Dvd Calendar'!$N$1452)&lt;=VAL_SERIAL)*1000000+31*1000+50))</f>
        <v/>
      </c>
      <c r="GC146" s="39">
        <f>IF(N('Dvd Calendar'!$O$1453)=0,"",IF(('Dvd Calendar'!$O$1453&gt;=GRID_FROM)*('Dvd Calendar'!$O$1453&lt;=GRID_TO)*('Dvd Calendar'!$O$1453&gt;VAL_DATE)=0,"",'Dvd Calendar'!$O$1453*1000000000+ISNUMBER('Dvd Calendar'!$O$1454)*100000000+0*10000000+(N('Dvd Calendar'!$O$1452)&gt;0)*(N('Dvd Calendar'!$O$1452)&lt;=VAL_SERIAL)*1000000+31*1000+51))</f>
        <v/>
      </c>
      <c r="GD146" s="39">
        <f>IF(N('Dvd Calendar'!$P$1453)=0,"",IF(('Dvd Calendar'!$P$1453&gt;=GRID_FROM)*('Dvd Calendar'!$P$1453&lt;=GRID_TO)*('Dvd Calendar'!$P$1453&gt;VAL_DATE)=0,"",'Dvd Calendar'!$P$1453*1000000000+ISNUMBER('Dvd Calendar'!$P$1454)*100000000+0*10000000+(N('Dvd Calendar'!$P$1452)&gt;0)*(N('Dvd Calendar'!$P$1452)&lt;=VAL_SERIAL)*1000000+31*1000+52))</f>
        <v/>
      </c>
      <c r="GE146" s="39">
        <f>IF(N('Dvd Calendar'!$Q$1453)=0,"",IF(('Dvd Calendar'!$Q$1453&gt;=GRID_FROM)*('Dvd Calendar'!$Q$1453&lt;=GRID_TO)*('Dvd Calendar'!$Q$1453&gt;VAL_DATE)=0,"",'Dvd Calendar'!$Q$1453*1000000000+ISNUMBER('Dvd Calendar'!$Q$1454)*100000000+0*10000000+(N('Dvd Calendar'!$Q$1452)&gt;0)*(N('Dvd Calendar'!$Q$1452)&lt;=VAL_SERIAL)*1000000+31*1000+53))</f>
        <v/>
      </c>
      <c r="GF146" s="39">
        <f>IF(N('Dvd Calendar'!$R$1453)=0,"",IF(('Dvd Calendar'!$R$1453&gt;=GRID_FROM)*('Dvd Calendar'!$R$1453&lt;=GRID_TO)*('Dvd Calendar'!$R$1453&gt;VAL_DATE)=0,"",'Dvd Calendar'!$R$1453*1000000000+ISNUMBER('Dvd Calendar'!$R$1454)*100000000+0*10000000+(N('Dvd Calendar'!$R$1452)&gt;0)*(N('Dvd Calendar'!$R$1452)&lt;=VAL_SERIAL)*1000000+31*1000+54))</f>
        <v/>
      </c>
      <c r="GG146" s="39">
        <f>IF(N('Dvd Calendar'!$S$1453)=0,"",IF(('Dvd Calendar'!$S$1453&gt;=GRID_FROM)*('Dvd Calendar'!$S$1453&lt;=GRID_TO)*('Dvd Calendar'!$S$1453&gt;VAL_DATE)=0,"",'Dvd Calendar'!$S$1453*1000000000+ISNUMBER('Dvd Calendar'!$S$1454)*100000000+0*10000000+(N('Dvd Calendar'!$S$1452)&gt;0)*(N('Dvd Calendar'!$S$1452)&lt;=VAL_SERIAL)*1000000+31*1000+55))</f>
        <v/>
      </c>
      <c r="GH146" s="39">
        <f>IF(N('Dvd Calendar'!$T$1453)=0,"",IF(('Dvd Calendar'!$T$1453&gt;=GRID_FROM)*('Dvd Calendar'!$T$1453&lt;=GRID_TO)*('Dvd Calendar'!$T$1453&gt;VAL_DATE)=0,"",'Dvd Calendar'!$T$1453*1000000000+ISNUMBER('Dvd Calendar'!$T$1454)*100000000+0*10000000+(N('Dvd Calendar'!$T$1452)&gt;0)*(N('Dvd Calendar'!$T$1452)&lt;=VAL_SERIAL)*1000000+31*1000+56))</f>
        <v/>
      </c>
      <c r="GI146" s="39">
        <f>IF(N('Dvd Calendar'!$U$1453)=0,"",IF(('Dvd Calendar'!$U$1453&gt;=GRID_FROM)*('Dvd Calendar'!$U$1453&lt;=GRID_TO)*('Dvd Calendar'!$U$1453&gt;VAL_DATE)=0,"",'Dvd Calendar'!$U$1453*1000000000+ISNUMBER('Dvd Calendar'!$U$1454)*100000000+0*10000000+(N('Dvd Calendar'!$U$1452)&gt;0)*(N('Dvd Calendar'!$U$1452)&lt;=VAL_SERIAL)*1000000+31*1000+57))</f>
        <v/>
      </c>
      <c r="GJ146" s="39">
        <f>IF(N('Dvd Calendar'!$V$1453)=0,"",IF(('Dvd Calendar'!$V$1453&gt;=GRID_FROM)*('Dvd Calendar'!$V$1453&lt;=GRID_TO)*('Dvd Calendar'!$V$1453&gt;VAL_DATE)=0,"",'Dvd Calendar'!$V$1453*1000000000+ISNUMBER('Dvd Calendar'!$V$1454)*100000000+0*10000000+(N('Dvd Calendar'!$V$1452)&gt;0)*(N('Dvd Calendar'!$V$1452)&lt;=VAL_SERIAL)*1000000+31*1000+58))</f>
        <v/>
      </c>
      <c r="GK146" s="39">
        <f>IF(N('Dvd Calendar'!$W$1453)=0,"",IF(('Dvd Calendar'!$W$1453&gt;=GRID_FROM)*('Dvd Calendar'!$W$1453&lt;=GRID_TO)*('Dvd Calendar'!$W$1453&gt;VAL_DATE)=0,"",'Dvd Calendar'!$W$1453*1000000000+ISNUMBER('Dvd Calendar'!$W$1454)*100000000+0*10000000+(N('Dvd Calendar'!$W$1452)&gt;0)*(N('Dvd Calendar'!$W$1452)&lt;=VAL_SERIAL)*1000000+31*1000+59))</f>
        <v/>
      </c>
      <c r="GL146" s="39">
        <f>IF(N('Dvd Calendar'!$X$1453)=0,"",IF(('Dvd Calendar'!$X$1453&gt;=GRID_FROM)*('Dvd Calendar'!$X$1453&lt;=GRID_TO)*('Dvd Calendar'!$X$1453&gt;VAL_DATE)=0,"",'Dvd Calendar'!$X$1453*1000000000+ISNUMBER('Dvd Calendar'!$X$1454)*100000000+0*10000000+(N('Dvd Calendar'!$X$1452)&gt;0)*(N('Dvd Calendar'!$X$1452)&lt;=VAL_SERIAL)*1000000+31*1000+60))</f>
        <v/>
      </c>
      <c r="GM146" s="39">
        <f>IF(N('Dvd Calendar'!$Y$1453)=0,"",IF(('Dvd Calendar'!$Y$1453&gt;=GRID_FROM)*('Dvd Calendar'!$Y$1453&lt;=GRID_TO)*('Dvd Calendar'!$Y$1453&gt;VAL_DATE)=0,"",'Dvd Calendar'!$Y$1453*1000000000+ISNUMBER('Dvd Calendar'!$Y$1454)*100000000+0*10000000+(N('Dvd Calendar'!$Y$1452)&gt;0)*(N('Dvd Calendar'!$Y$1452)&lt;=VAL_SERIAL)*1000000+31*1000+61))</f>
        <v/>
      </c>
      <c r="GN146" s="39">
        <f>IF(N('Dvd Calendar'!$Z$1453)=0,"",IF(('Dvd Calendar'!$Z$1453&gt;=GRID_FROM)*('Dvd Calendar'!$Z$1453&lt;=GRID_TO)*('Dvd Calendar'!$Z$1453&gt;VAL_DATE)=0,"",'Dvd Calendar'!$Z$1453*1000000000+ISNUMBER('Dvd Calendar'!$Z$1454)*100000000+0*10000000+(N('Dvd Calendar'!$Z$1452)&gt;0)*(N('Dvd Calendar'!$Z$1452)&lt;=VAL_SERIAL)*1000000+31*1000+62))</f>
        <v/>
      </c>
      <c r="GO146" s="39">
        <f>IF(N('Dvd Calendar'!$AA$1453)=0,"",IF(('Dvd Calendar'!$AA$1453&gt;=GRID_FROM)*('Dvd Calendar'!$AA$1453&lt;=GRID_TO)*('Dvd Calendar'!$AA$1453&gt;VAL_DATE)=0,"",'Dvd Calendar'!$AA$1453*1000000000+ISNUMBER('Dvd Calendar'!$AA$1454)*100000000+0*10000000+(N('Dvd Calendar'!$AA$1452)&gt;0)*(N('Dvd Calendar'!$AA$1452)&lt;=VAL_SERIAL)*1000000+31*1000+63))</f>
        <v/>
      </c>
      <c r="GP146" s="39">
        <f>IF(N('Dvd Calendar'!$AB$1453)=0,"",IF(('Dvd Calendar'!$AB$1453&gt;=GRID_FROM)*('Dvd Calendar'!$AB$1453&lt;=GRID_TO)*('Dvd Calendar'!$AB$1453&gt;VAL_DATE)=0,"",'Dvd Calendar'!$AB$1453*1000000000+ISNUMBER('Dvd Calendar'!$AB$1454)*100000000+0*10000000+(N('Dvd Calendar'!$AB$1452)&gt;0)*(N('Dvd Calendar'!$AB$1452)&lt;=VAL_SERIAL)*1000000+31*1000+64))</f>
        <v/>
      </c>
      <c r="GQ146" s="39">
        <f>IF(N('Dvd Calendar'!$AC$1453)=0,"",IF(('Dvd Calendar'!$AC$1453&gt;=GRID_FROM)*('Dvd Calendar'!$AC$1453&lt;=GRID_TO)*('Dvd Calendar'!$AC$1453&gt;VAL_DATE)=0,"",'Dvd Calendar'!$AC$1453*1000000000+ISNUMBER('Dvd Calendar'!$AC$1454)*100000000+0*10000000+(N('Dvd Calendar'!$AC$1452)&gt;0)*(N('Dvd Calendar'!$AC$1452)&lt;=VAL_SERIAL)*1000000+31*1000+65))</f>
        <v/>
      </c>
    </row>
    <row r="147">
      <c r="B147" s="2">
        <f>IF(HSTECH!$C$38="","",HSTECH!$C$38)</f>
        <v/>
      </c>
      <c r="C147" s="110">
        <f>IF(EE147="","",IF(ISNUMBER('Dvd Calendar'!$E$1460)=FALSE,"",IF((('Dvd Calendar'!$E$1462=TYPE1)*(TYPE1&lt;&gt;"")+('Dvd Calendar'!$E$1462=TYPE2)*(TYPE2&lt;&gt;"")+('Dvd Calendar'!$E$1462=TYPE3)*(TYPE3&lt;&gt;"")+('Dvd Calendar'!$E$1462=TYPE4)*(TYPE4&lt;&gt;"")+('Dvd Calendar'!$E$1462=SPECIAL_LBL)*(INC_SPECIALS="Y"))=0,"",'Dvd Calendar'!$E$1460)))</f>
        <v/>
      </c>
      <c r="D147" s="110">
        <f>IF(EF147="","",IF(ISNUMBER('Dvd Calendar'!$F$1460)=FALSE,"",IF((('Dvd Calendar'!$F$1462=TYPE1)*(TYPE1&lt;&gt;"")+('Dvd Calendar'!$F$1462=TYPE2)*(TYPE2&lt;&gt;"")+('Dvd Calendar'!$F$1462=TYPE3)*(TYPE3&lt;&gt;"")+('Dvd Calendar'!$F$1462=TYPE4)*(TYPE4&lt;&gt;"")+('Dvd Calendar'!$F$1462=SPECIAL_LBL)*(INC_SPECIALS="Y"))=0,"",'Dvd Calendar'!$F$1460)))</f>
        <v/>
      </c>
      <c r="E147" s="110">
        <f>IF(EG147="","",IF(ISNUMBER('Dvd Calendar'!$G$1460)=FALSE,"",IF((('Dvd Calendar'!$G$1462=TYPE1)*(TYPE1&lt;&gt;"")+('Dvd Calendar'!$G$1462=TYPE2)*(TYPE2&lt;&gt;"")+('Dvd Calendar'!$G$1462=TYPE3)*(TYPE3&lt;&gt;"")+('Dvd Calendar'!$G$1462=TYPE4)*(TYPE4&lt;&gt;"")+('Dvd Calendar'!$G$1462=SPECIAL_LBL)*(INC_SPECIALS="Y"))=0,"",'Dvd Calendar'!$G$1460)))</f>
        <v/>
      </c>
      <c r="F147" s="110">
        <f>IF(EH147="","",IF(ISNUMBER('Dvd Calendar'!$H$1460)=FALSE,"",IF((('Dvd Calendar'!$H$1462=TYPE1)*(TYPE1&lt;&gt;"")+('Dvd Calendar'!$H$1462=TYPE2)*(TYPE2&lt;&gt;"")+('Dvd Calendar'!$H$1462=TYPE3)*(TYPE3&lt;&gt;"")+('Dvd Calendar'!$H$1462=TYPE4)*(TYPE4&lt;&gt;"")+('Dvd Calendar'!$H$1462=SPECIAL_LBL)*(INC_SPECIALS="Y"))=0,"",'Dvd Calendar'!$H$1460)))</f>
        <v/>
      </c>
      <c r="G147" s="110">
        <f>IF(EI147="","",IF(ISNUMBER('Dvd Calendar'!$I$1460)=FALSE,"",IF((('Dvd Calendar'!$I$1462=TYPE1)*(TYPE1&lt;&gt;"")+('Dvd Calendar'!$I$1462=TYPE2)*(TYPE2&lt;&gt;"")+('Dvd Calendar'!$I$1462=TYPE3)*(TYPE3&lt;&gt;"")+('Dvd Calendar'!$I$1462=TYPE4)*(TYPE4&lt;&gt;"")+('Dvd Calendar'!$I$1462=SPECIAL_LBL)*(INC_SPECIALS="Y"))=0,"",'Dvd Calendar'!$I$1460)))</f>
        <v/>
      </c>
      <c r="H147" s="110">
        <f>IF(EJ147="","",IF(ISNUMBER('Dvd Calendar'!$J$1460)=FALSE,"",IF((('Dvd Calendar'!$J$1462=TYPE1)*(TYPE1&lt;&gt;"")+('Dvd Calendar'!$J$1462=TYPE2)*(TYPE2&lt;&gt;"")+('Dvd Calendar'!$J$1462=TYPE3)*(TYPE3&lt;&gt;"")+('Dvd Calendar'!$J$1462=TYPE4)*(TYPE4&lt;&gt;"")+('Dvd Calendar'!$J$1462=SPECIAL_LBL)*(INC_SPECIALS="Y"))=0,"",'Dvd Calendar'!$J$1460)))</f>
        <v/>
      </c>
      <c r="I147" s="110">
        <f>IF(EK147="","",IF(ISNUMBER('Dvd Calendar'!$K$1460)=FALSE,"",IF((('Dvd Calendar'!$K$1462=TYPE1)*(TYPE1&lt;&gt;"")+('Dvd Calendar'!$K$1462=TYPE2)*(TYPE2&lt;&gt;"")+('Dvd Calendar'!$K$1462=TYPE3)*(TYPE3&lt;&gt;"")+('Dvd Calendar'!$K$1462=TYPE4)*(TYPE4&lt;&gt;"")+('Dvd Calendar'!$K$1462=SPECIAL_LBL)*(INC_SPECIALS="Y"))=0,"",'Dvd Calendar'!$K$1460)))</f>
        <v/>
      </c>
      <c r="J147" s="110">
        <f>IF(EL147="","",IF(ISNUMBER('Dvd Calendar'!$L$1460)=FALSE,"",IF((('Dvd Calendar'!$L$1462=TYPE1)*(TYPE1&lt;&gt;"")+('Dvd Calendar'!$L$1462=TYPE2)*(TYPE2&lt;&gt;"")+('Dvd Calendar'!$L$1462=TYPE3)*(TYPE3&lt;&gt;"")+('Dvd Calendar'!$L$1462=TYPE4)*(TYPE4&lt;&gt;"")+('Dvd Calendar'!$L$1462=SPECIAL_LBL)*(INC_SPECIALS="Y"))=0,"",'Dvd Calendar'!$L$1460)))</f>
        <v/>
      </c>
      <c r="K147" s="110">
        <f>IF(EM147="","",IF(ISNUMBER('Dvd Calendar'!$M$1460)=FALSE,"",IF((('Dvd Calendar'!$M$1462=TYPE1)*(TYPE1&lt;&gt;"")+('Dvd Calendar'!$M$1462=TYPE2)*(TYPE2&lt;&gt;"")+('Dvd Calendar'!$M$1462=TYPE3)*(TYPE3&lt;&gt;"")+('Dvd Calendar'!$M$1462=TYPE4)*(TYPE4&lt;&gt;"")+('Dvd Calendar'!$M$1462=SPECIAL_LBL)*(INC_SPECIALS="Y"))=0,"",'Dvd Calendar'!$M$1460)))</f>
        <v/>
      </c>
      <c r="L147" s="110">
        <f>IF(EN147="","",IF(ISNUMBER('Dvd Calendar'!$N$1460)=FALSE,"",IF((('Dvd Calendar'!$N$1462=TYPE1)*(TYPE1&lt;&gt;"")+('Dvd Calendar'!$N$1462=TYPE2)*(TYPE2&lt;&gt;"")+('Dvd Calendar'!$N$1462=TYPE3)*(TYPE3&lt;&gt;"")+('Dvd Calendar'!$N$1462=TYPE4)*(TYPE4&lt;&gt;"")+('Dvd Calendar'!$N$1462=SPECIAL_LBL)*(INC_SPECIALS="Y"))=0,"",'Dvd Calendar'!$N$1460)))</f>
        <v/>
      </c>
      <c r="M147" s="110">
        <f>IF(EO147="","",IF(ISNUMBER('Dvd Calendar'!$O$1460)=FALSE,"",IF((('Dvd Calendar'!$O$1462=TYPE1)*(TYPE1&lt;&gt;"")+('Dvd Calendar'!$O$1462=TYPE2)*(TYPE2&lt;&gt;"")+('Dvd Calendar'!$O$1462=TYPE3)*(TYPE3&lt;&gt;"")+('Dvd Calendar'!$O$1462=TYPE4)*(TYPE4&lt;&gt;"")+('Dvd Calendar'!$O$1462=SPECIAL_LBL)*(INC_SPECIALS="Y"))=0,"",'Dvd Calendar'!$O$1460)))</f>
        <v/>
      </c>
      <c r="N147" s="110">
        <f>IF(EP147="","",IF(ISNUMBER('Dvd Calendar'!$P$1460)=FALSE,"",IF((('Dvd Calendar'!$P$1462=TYPE1)*(TYPE1&lt;&gt;"")+('Dvd Calendar'!$P$1462=TYPE2)*(TYPE2&lt;&gt;"")+('Dvd Calendar'!$P$1462=TYPE3)*(TYPE3&lt;&gt;"")+('Dvd Calendar'!$P$1462=TYPE4)*(TYPE4&lt;&gt;"")+('Dvd Calendar'!$P$1462=SPECIAL_LBL)*(INC_SPECIALS="Y"))=0,"",'Dvd Calendar'!$P$1460)))</f>
        <v/>
      </c>
      <c r="O147" s="110">
        <f>IF(EQ147="","",IF(ISNUMBER('Dvd Calendar'!$Q$1460)=FALSE,"",IF((('Dvd Calendar'!$Q$1462=TYPE1)*(TYPE1&lt;&gt;"")+('Dvd Calendar'!$Q$1462=TYPE2)*(TYPE2&lt;&gt;"")+('Dvd Calendar'!$Q$1462=TYPE3)*(TYPE3&lt;&gt;"")+('Dvd Calendar'!$Q$1462=TYPE4)*(TYPE4&lt;&gt;"")+('Dvd Calendar'!$Q$1462=SPECIAL_LBL)*(INC_SPECIALS="Y"))=0,"",'Dvd Calendar'!$Q$1460)))</f>
        <v/>
      </c>
      <c r="P147" s="110">
        <f>IF(ER147="","",IF(ISNUMBER('Dvd Calendar'!$R$1460)=FALSE,"",IF((('Dvd Calendar'!$R$1462=TYPE1)*(TYPE1&lt;&gt;"")+('Dvd Calendar'!$R$1462=TYPE2)*(TYPE2&lt;&gt;"")+('Dvd Calendar'!$R$1462=TYPE3)*(TYPE3&lt;&gt;"")+('Dvd Calendar'!$R$1462=TYPE4)*(TYPE4&lt;&gt;"")+('Dvd Calendar'!$R$1462=SPECIAL_LBL)*(INC_SPECIALS="Y"))=0,"",'Dvd Calendar'!$R$1460)))</f>
        <v/>
      </c>
      <c r="Q147" s="110">
        <f>IF(ES147="","",IF(ISNUMBER('Dvd Calendar'!$S$1460)=FALSE,"",IF((('Dvd Calendar'!$S$1462=TYPE1)*(TYPE1&lt;&gt;"")+('Dvd Calendar'!$S$1462=TYPE2)*(TYPE2&lt;&gt;"")+('Dvd Calendar'!$S$1462=TYPE3)*(TYPE3&lt;&gt;"")+('Dvd Calendar'!$S$1462=TYPE4)*(TYPE4&lt;&gt;"")+('Dvd Calendar'!$S$1462=SPECIAL_LBL)*(INC_SPECIALS="Y"))=0,"",'Dvd Calendar'!$S$1460)))</f>
        <v/>
      </c>
      <c r="R147" s="110">
        <f>IF(ET147="","",IF(ISNUMBER('Dvd Calendar'!$T$1460)=FALSE,"",IF((('Dvd Calendar'!$T$1462=TYPE1)*(TYPE1&lt;&gt;"")+('Dvd Calendar'!$T$1462=TYPE2)*(TYPE2&lt;&gt;"")+('Dvd Calendar'!$T$1462=TYPE3)*(TYPE3&lt;&gt;"")+('Dvd Calendar'!$T$1462=TYPE4)*(TYPE4&lt;&gt;"")+('Dvd Calendar'!$T$1462=SPECIAL_LBL)*(INC_SPECIALS="Y"))=0,"",'Dvd Calendar'!$T$1460)))</f>
        <v/>
      </c>
      <c r="S147" s="110">
        <f>IF(EU147="","",IF(ISNUMBER('Dvd Calendar'!$U$1460)=FALSE,"",IF((('Dvd Calendar'!$U$1462=TYPE1)*(TYPE1&lt;&gt;"")+('Dvd Calendar'!$U$1462=TYPE2)*(TYPE2&lt;&gt;"")+('Dvd Calendar'!$U$1462=TYPE3)*(TYPE3&lt;&gt;"")+('Dvd Calendar'!$U$1462=TYPE4)*(TYPE4&lt;&gt;"")+('Dvd Calendar'!$U$1462=SPECIAL_LBL)*(INC_SPECIALS="Y"))=0,"",'Dvd Calendar'!$U$1460)))</f>
        <v/>
      </c>
      <c r="T147" s="110">
        <f>IF(EV147="","",IF(ISNUMBER('Dvd Calendar'!$V$1460)=FALSE,"",IF((('Dvd Calendar'!$V$1462=TYPE1)*(TYPE1&lt;&gt;"")+('Dvd Calendar'!$V$1462=TYPE2)*(TYPE2&lt;&gt;"")+('Dvd Calendar'!$V$1462=TYPE3)*(TYPE3&lt;&gt;"")+('Dvd Calendar'!$V$1462=TYPE4)*(TYPE4&lt;&gt;"")+('Dvd Calendar'!$V$1462=SPECIAL_LBL)*(INC_SPECIALS="Y"))=0,"",'Dvd Calendar'!$V$1460)))</f>
        <v/>
      </c>
      <c r="U147" s="110">
        <f>IF(EW147="","",IF(ISNUMBER('Dvd Calendar'!$W$1460)=FALSE,"",IF((('Dvd Calendar'!$W$1462=TYPE1)*(TYPE1&lt;&gt;"")+('Dvd Calendar'!$W$1462=TYPE2)*(TYPE2&lt;&gt;"")+('Dvd Calendar'!$W$1462=TYPE3)*(TYPE3&lt;&gt;"")+('Dvd Calendar'!$W$1462=TYPE4)*(TYPE4&lt;&gt;"")+('Dvd Calendar'!$W$1462=SPECIAL_LBL)*(INC_SPECIALS="Y"))=0,"",'Dvd Calendar'!$W$1460)))</f>
        <v/>
      </c>
      <c r="V147" s="110">
        <f>IF(EX147="","",IF(ISNUMBER('Dvd Calendar'!$X$1460)=FALSE,"",IF((('Dvd Calendar'!$X$1462=TYPE1)*(TYPE1&lt;&gt;"")+('Dvd Calendar'!$X$1462=TYPE2)*(TYPE2&lt;&gt;"")+('Dvd Calendar'!$X$1462=TYPE3)*(TYPE3&lt;&gt;"")+('Dvd Calendar'!$X$1462=TYPE4)*(TYPE4&lt;&gt;"")+('Dvd Calendar'!$X$1462=SPECIAL_LBL)*(INC_SPECIALS="Y"))=0,"",'Dvd Calendar'!$X$1460)))</f>
        <v/>
      </c>
      <c r="W147" s="110">
        <f>IF(EY147="","",IF(ISNUMBER('Dvd Calendar'!$Y$1460)=FALSE,"",IF((('Dvd Calendar'!$Y$1462=TYPE1)*(TYPE1&lt;&gt;"")+('Dvd Calendar'!$Y$1462=TYPE2)*(TYPE2&lt;&gt;"")+('Dvd Calendar'!$Y$1462=TYPE3)*(TYPE3&lt;&gt;"")+('Dvd Calendar'!$Y$1462=TYPE4)*(TYPE4&lt;&gt;"")+('Dvd Calendar'!$Y$1462=SPECIAL_LBL)*(INC_SPECIALS="Y"))=0,"",'Dvd Calendar'!$Y$1460)))</f>
        <v/>
      </c>
      <c r="X147" s="110">
        <f>IF(EZ147="","",IF(ISNUMBER('Dvd Calendar'!$Z$1460)=FALSE,"",IF((('Dvd Calendar'!$Z$1462=TYPE1)*(TYPE1&lt;&gt;"")+('Dvd Calendar'!$Z$1462=TYPE2)*(TYPE2&lt;&gt;"")+('Dvd Calendar'!$Z$1462=TYPE3)*(TYPE3&lt;&gt;"")+('Dvd Calendar'!$Z$1462=TYPE4)*(TYPE4&lt;&gt;"")+('Dvd Calendar'!$Z$1462=SPECIAL_LBL)*(INC_SPECIALS="Y"))=0,"",'Dvd Calendar'!$Z$1460)))</f>
        <v/>
      </c>
      <c r="Y147" s="110">
        <f>IF(FA147="","",IF(ISNUMBER('Dvd Calendar'!$AA$1460)=FALSE,"",IF((('Dvd Calendar'!$AA$1462=TYPE1)*(TYPE1&lt;&gt;"")+('Dvd Calendar'!$AA$1462=TYPE2)*(TYPE2&lt;&gt;"")+('Dvd Calendar'!$AA$1462=TYPE3)*(TYPE3&lt;&gt;"")+('Dvd Calendar'!$AA$1462=TYPE4)*(TYPE4&lt;&gt;"")+('Dvd Calendar'!$AA$1462=SPECIAL_LBL)*(INC_SPECIALS="Y"))=0,"",'Dvd Calendar'!$AA$1460)))</f>
        <v/>
      </c>
      <c r="Z147" s="110">
        <f>IF(FB147="","",IF(ISNUMBER('Dvd Calendar'!$AB$1460)=FALSE,"",IF((('Dvd Calendar'!$AB$1462=TYPE1)*(TYPE1&lt;&gt;"")+('Dvd Calendar'!$AB$1462=TYPE2)*(TYPE2&lt;&gt;"")+('Dvd Calendar'!$AB$1462=TYPE3)*(TYPE3&lt;&gt;"")+('Dvd Calendar'!$AB$1462=TYPE4)*(TYPE4&lt;&gt;"")+('Dvd Calendar'!$AB$1462=SPECIAL_LBL)*(INC_SPECIALS="Y"))=0,"",'Dvd Calendar'!$AB$1460)))</f>
        <v/>
      </c>
      <c r="AA147" s="110">
        <f>IF(FC147="","",IF(ISNUMBER('Dvd Calendar'!$AC$1460)=FALSE,"",IF((('Dvd Calendar'!$AC$1462=TYPE1)*(TYPE1&lt;&gt;"")+('Dvd Calendar'!$AC$1462=TYPE2)*(TYPE2&lt;&gt;"")+('Dvd Calendar'!$AC$1462=TYPE3)*(TYPE3&lt;&gt;"")+('Dvd Calendar'!$AC$1462=TYPE4)*(TYPE4&lt;&gt;"")+('Dvd Calendar'!$AC$1462=SPECIAL_LBL)*(INC_SPECIALS="Y"))=0,"",'Dvd Calendar'!$AC$1460)))</f>
        <v/>
      </c>
      <c r="AB147" s="110">
        <f>IF(FD147="","",IF(ISNUMBER('Dvd Calendar'!$AD$1460)=FALSE,"",IF((('Dvd Calendar'!$AD$1462=TYPE1)*(TYPE1&lt;&gt;"")+('Dvd Calendar'!$AD$1462=TYPE2)*(TYPE2&lt;&gt;"")+('Dvd Calendar'!$AD$1462=TYPE3)*(TYPE3&lt;&gt;"")+('Dvd Calendar'!$AD$1462=TYPE4)*(TYPE4&lt;&gt;"")+('Dvd Calendar'!$AD$1462=SPECIAL_LBL)*(INC_SPECIALS="Y"))=0,"",'Dvd Calendar'!$AD$1460)))</f>
        <v/>
      </c>
      <c r="AC147" s="110">
        <f>IF(FE147="","",IF(ISNUMBER('Dvd Calendar'!$AE$1460)=FALSE,"",IF((('Dvd Calendar'!$AE$1462=TYPE1)*(TYPE1&lt;&gt;"")+('Dvd Calendar'!$AE$1462=TYPE2)*(TYPE2&lt;&gt;"")+('Dvd Calendar'!$AE$1462=TYPE3)*(TYPE3&lt;&gt;"")+('Dvd Calendar'!$AE$1462=TYPE4)*(TYPE4&lt;&gt;"")+('Dvd Calendar'!$AE$1462=SPECIAL_LBL)*(INC_SPECIALS="Y"))=0,"",'Dvd Calendar'!$AE$1460)))</f>
        <v/>
      </c>
      <c r="AD147" s="110">
        <f>IF(FF147="","",IF(ISNUMBER('Dvd Calendar'!$AF$1460)=FALSE,"",IF((('Dvd Calendar'!$AF$1462=TYPE1)*(TYPE1&lt;&gt;"")+('Dvd Calendar'!$AF$1462=TYPE2)*(TYPE2&lt;&gt;"")+('Dvd Calendar'!$AF$1462=TYPE3)*(TYPE3&lt;&gt;"")+('Dvd Calendar'!$AF$1462=TYPE4)*(TYPE4&lt;&gt;"")+('Dvd Calendar'!$AF$1462=SPECIAL_LBL)*(INC_SPECIALS="Y"))=0,"",'Dvd Calendar'!$AF$1460)))</f>
        <v/>
      </c>
      <c r="AE147" s="110">
        <f>IF(FG147="","",IF(ISNUMBER('Dvd Calendar'!$AG$1460)=FALSE,"",IF((('Dvd Calendar'!$AG$1462=TYPE1)*(TYPE1&lt;&gt;"")+('Dvd Calendar'!$AG$1462=TYPE2)*(TYPE2&lt;&gt;"")+('Dvd Calendar'!$AG$1462=TYPE3)*(TYPE3&lt;&gt;"")+('Dvd Calendar'!$AG$1462=TYPE4)*(TYPE4&lt;&gt;"")+('Dvd Calendar'!$AG$1462=SPECIAL_LBL)*(INC_SPECIALS="Y"))=0,"",'Dvd Calendar'!$AG$1460)))</f>
        <v/>
      </c>
      <c r="AF147" s="110">
        <f>IF(FH147="","",IF(ISNUMBER('Dvd Calendar'!$AH$1460)=FALSE,"",IF((('Dvd Calendar'!$AH$1462=TYPE1)*(TYPE1&lt;&gt;"")+('Dvd Calendar'!$AH$1462=TYPE2)*(TYPE2&lt;&gt;"")+('Dvd Calendar'!$AH$1462=TYPE3)*(TYPE3&lt;&gt;"")+('Dvd Calendar'!$AH$1462=TYPE4)*(TYPE4&lt;&gt;"")+('Dvd Calendar'!$AH$1462=SPECIAL_LBL)*(INC_SPECIALS="Y"))=0,"",'Dvd Calendar'!$AH$1460)))</f>
        <v/>
      </c>
      <c r="AG147" s="110">
        <f>IF(FI147="","",IF(ISNUMBER('Dvd Calendar'!$AI$1460)=FALSE,"",IF((('Dvd Calendar'!$AI$1462=TYPE1)*(TYPE1&lt;&gt;"")+('Dvd Calendar'!$AI$1462=TYPE2)*(TYPE2&lt;&gt;"")+('Dvd Calendar'!$AI$1462=TYPE3)*(TYPE3&lt;&gt;"")+('Dvd Calendar'!$AI$1462=TYPE4)*(TYPE4&lt;&gt;"")+('Dvd Calendar'!$AI$1462=SPECIAL_LBL)*(INC_SPECIALS="Y"))=0,"",'Dvd Calendar'!$AI$1460)))</f>
        <v/>
      </c>
      <c r="AH147" s="110">
        <f>IF(FJ147="","",IF(ISNUMBER('Dvd Calendar'!$AJ$1460)=FALSE,"",IF((('Dvd Calendar'!$AJ$1462=TYPE1)*(TYPE1&lt;&gt;"")+('Dvd Calendar'!$AJ$1462=TYPE2)*(TYPE2&lt;&gt;"")+('Dvd Calendar'!$AJ$1462=TYPE3)*(TYPE3&lt;&gt;"")+('Dvd Calendar'!$AJ$1462=TYPE4)*(TYPE4&lt;&gt;"")+('Dvd Calendar'!$AJ$1462=SPECIAL_LBL)*(INC_SPECIALS="Y"))=0,"",'Dvd Calendar'!$AJ$1460)))</f>
        <v/>
      </c>
      <c r="AI147" s="110">
        <f>IF(FK147="","",IF(ISNUMBER('Dvd Calendar'!$AK$1460)=FALSE,"",IF((('Dvd Calendar'!$AK$1462=TYPE1)*(TYPE1&lt;&gt;"")+('Dvd Calendar'!$AK$1462=TYPE2)*(TYPE2&lt;&gt;"")+('Dvd Calendar'!$AK$1462=TYPE3)*(TYPE3&lt;&gt;"")+('Dvd Calendar'!$AK$1462=TYPE4)*(TYPE4&lt;&gt;"")+('Dvd Calendar'!$AK$1462=SPECIAL_LBL)*(INC_SPECIALS="Y"))=0,"",'Dvd Calendar'!$AK$1460)))</f>
        <v/>
      </c>
      <c r="AJ147" s="110">
        <f>IF(FL147="","",IF(ISNUMBER('Dvd Calendar'!$AL$1460)=FALSE,"",IF((('Dvd Calendar'!$AL$1462=TYPE1)*(TYPE1&lt;&gt;"")+('Dvd Calendar'!$AL$1462=TYPE2)*(TYPE2&lt;&gt;"")+('Dvd Calendar'!$AL$1462=TYPE3)*(TYPE3&lt;&gt;"")+('Dvd Calendar'!$AL$1462=TYPE4)*(TYPE4&lt;&gt;"")+('Dvd Calendar'!$AL$1462=SPECIAL_LBL)*(INC_SPECIALS="Y"))=0,"",'Dvd Calendar'!$AL$1460)))</f>
        <v/>
      </c>
      <c r="AK147" s="110">
        <f>IF(FM147="","",IF(ISNUMBER('Dvd Calendar'!$AM$1460)=FALSE,"",IF((('Dvd Calendar'!$AM$1462=TYPE1)*(TYPE1&lt;&gt;"")+('Dvd Calendar'!$AM$1462=TYPE2)*(TYPE2&lt;&gt;"")+('Dvd Calendar'!$AM$1462=TYPE3)*(TYPE3&lt;&gt;"")+('Dvd Calendar'!$AM$1462=TYPE4)*(TYPE4&lt;&gt;"")+('Dvd Calendar'!$AM$1462=SPECIAL_LBL)*(INC_SPECIALS="Y"))=0,"",'Dvd Calendar'!$AM$1460)))</f>
        <v/>
      </c>
      <c r="AL147" s="110">
        <f>IF(FN147="","",IF(ISNUMBER('Dvd Calendar'!$AN$1460)=FALSE,"",IF((('Dvd Calendar'!$AN$1462=TYPE1)*(TYPE1&lt;&gt;"")+('Dvd Calendar'!$AN$1462=TYPE2)*(TYPE2&lt;&gt;"")+('Dvd Calendar'!$AN$1462=TYPE3)*(TYPE3&lt;&gt;"")+('Dvd Calendar'!$AN$1462=TYPE4)*(TYPE4&lt;&gt;"")+('Dvd Calendar'!$AN$1462=SPECIAL_LBL)*(INC_SPECIALS="Y"))=0,"",'Dvd Calendar'!$AN$1460)))</f>
        <v/>
      </c>
      <c r="AM147" s="110">
        <f>IF(FO147="","",IF(ISNUMBER('Dvd Calendar'!$AO$1460)=FALSE,"",IF((('Dvd Calendar'!$AO$1462=TYPE1)*(TYPE1&lt;&gt;"")+('Dvd Calendar'!$AO$1462=TYPE2)*(TYPE2&lt;&gt;"")+('Dvd Calendar'!$AO$1462=TYPE3)*(TYPE3&lt;&gt;"")+('Dvd Calendar'!$AO$1462=TYPE4)*(TYPE4&lt;&gt;"")+('Dvd Calendar'!$AO$1462=SPECIAL_LBL)*(INC_SPECIALS="Y"))=0,"",'Dvd Calendar'!$AO$1460)))</f>
        <v/>
      </c>
      <c r="AN147" s="110">
        <f>IF(FP147="","",IF(ISNUMBER('Dvd Calendar'!$AP$1460)=FALSE,"",IF((('Dvd Calendar'!$AP$1462=TYPE1)*(TYPE1&lt;&gt;"")+('Dvd Calendar'!$AP$1462=TYPE2)*(TYPE2&lt;&gt;"")+('Dvd Calendar'!$AP$1462=TYPE3)*(TYPE3&lt;&gt;"")+('Dvd Calendar'!$AP$1462=TYPE4)*(TYPE4&lt;&gt;"")+('Dvd Calendar'!$AP$1462=SPECIAL_LBL)*(INC_SPECIALS="Y"))=0,"",'Dvd Calendar'!$AP$1460)))</f>
        <v/>
      </c>
      <c r="AO147" s="110">
        <f>IF(FQ147="","",IF(ISNUMBER('Dvd Calendar'!$AQ$1460)=FALSE,"",IF((('Dvd Calendar'!$AQ$1462=TYPE1)*(TYPE1&lt;&gt;"")+('Dvd Calendar'!$AQ$1462=TYPE2)*(TYPE2&lt;&gt;"")+('Dvd Calendar'!$AQ$1462=TYPE3)*(TYPE3&lt;&gt;"")+('Dvd Calendar'!$AQ$1462=TYPE4)*(TYPE4&lt;&gt;"")+('Dvd Calendar'!$AQ$1462=SPECIAL_LBL)*(INC_SPECIALS="Y"))=0,"",'Dvd Calendar'!$AQ$1460)))</f>
        <v/>
      </c>
      <c r="AP147" s="110">
        <f>IF(FR147="","",IF(ISNUMBER('Dvd Calendar'!$AR$1460)=FALSE,"",IF((('Dvd Calendar'!$AR$1462=TYPE1)*(TYPE1&lt;&gt;"")+('Dvd Calendar'!$AR$1462=TYPE2)*(TYPE2&lt;&gt;"")+('Dvd Calendar'!$AR$1462=TYPE3)*(TYPE3&lt;&gt;"")+('Dvd Calendar'!$AR$1462=TYPE4)*(TYPE4&lt;&gt;"")+('Dvd Calendar'!$AR$1462=SPECIAL_LBL)*(INC_SPECIALS="Y"))=0,"",'Dvd Calendar'!$AR$1460)))</f>
        <v/>
      </c>
      <c r="AQ147" s="110">
        <f>IF(FS147="","",IF(ISNUMBER('Dvd Calendar'!$E$1465)=FALSE,"",'Dvd Calendar'!$E$1465))</f>
        <v/>
      </c>
      <c r="AR147" s="110">
        <f>IF(FT147="","",IF(ISNUMBER('Dvd Calendar'!$F$1465)=FALSE,"",'Dvd Calendar'!$F$1465))</f>
        <v/>
      </c>
      <c r="AS147" s="110">
        <f>IF(FU147="","",IF(ISNUMBER('Dvd Calendar'!$G$1465)=FALSE,"",'Dvd Calendar'!$G$1465))</f>
        <v/>
      </c>
      <c r="AT147" s="110">
        <f>IF(FV147="","",IF(ISNUMBER('Dvd Calendar'!$H$1465)=FALSE,"",'Dvd Calendar'!$H$1465))</f>
        <v/>
      </c>
      <c r="AU147" s="110">
        <f>IF(FW147="","",IF(ISNUMBER('Dvd Calendar'!$I$1465)=FALSE,"",'Dvd Calendar'!$I$1465))</f>
        <v/>
      </c>
      <c r="AV147" s="110">
        <f>IF(FX147="","",IF(ISNUMBER('Dvd Calendar'!$J$1465)=FALSE,"",'Dvd Calendar'!$J$1465))</f>
        <v/>
      </c>
      <c r="AW147" s="110">
        <f>IF(FY147="","",IF(ISNUMBER('Dvd Calendar'!$K$1465)=FALSE,"",'Dvd Calendar'!$K$1465))</f>
        <v/>
      </c>
      <c r="AX147" s="110">
        <f>IF(FZ147="","",IF(ISNUMBER('Dvd Calendar'!$L$1465)=FALSE,"",'Dvd Calendar'!$L$1465))</f>
        <v/>
      </c>
      <c r="AY147" s="110">
        <f>IF(GA147="","",IF(ISNUMBER('Dvd Calendar'!$M$1465)=FALSE,"",'Dvd Calendar'!$M$1465))</f>
        <v/>
      </c>
      <c r="AZ147" s="110">
        <f>IF(GB147="","",IF(ISNUMBER('Dvd Calendar'!$N$1465)=FALSE,"",'Dvd Calendar'!$N$1465))</f>
        <v/>
      </c>
      <c r="BA147" s="110">
        <f>IF(GC147="","",IF(ISNUMBER('Dvd Calendar'!$O$1465)=FALSE,"",'Dvd Calendar'!$O$1465))</f>
        <v/>
      </c>
      <c r="BB147" s="110">
        <f>IF(GD147="","",IF(ISNUMBER('Dvd Calendar'!$P$1465)=FALSE,"",'Dvd Calendar'!$P$1465))</f>
        <v/>
      </c>
      <c r="BC147" s="110">
        <f>IF(GE147="","",IF(ISNUMBER('Dvd Calendar'!$Q$1465)=FALSE,"",'Dvd Calendar'!$Q$1465))</f>
        <v/>
      </c>
      <c r="BD147" s="110">
        <f>IF(GF147="","",IF(ISNUMBER('Dvd Calendar'!$R$1465)=FALSE,"",'Dvd Calendar'!$R$1465))</f>
        <v/>
      </c>
      <c r="BE147" s="110">
        <f>IF(GG147="","",IF(ISNUMBER('Dvd Calendar'!$S$1465)=FALSE,"",'Dvd Calendar'!$S$1465))</f>
        <v/>
      </c>
      <c r="BF147" s="110">
        <f>IF(GH147="","",IF(ISNUMBER('Dvd Calendar'!$T$1465)=FALSE,"",'Dvd Calendar'!$T$1465))</f>
        <v/>
      </c>
      <c r="BG147" s="110">
        <f>IF(GI147="","",IF(ISNUMBER('Dvd Calendar'!$U$1465)=FALSE,"",'Dvd Calendar'!$U$1465))</f>
        <v/>
      </c>
      <c r="BH147" s="110">
        <f>IF(GJ147="","",IF(ISNUMBER('Dvd Calendar'!$V$1465)=FALSE,"",'Dvd Calendar'!$V$1465))</f>
        <v/>
      </c>
      <c r="BI147" s="110">
        <f>IF(GK147="","",IF(ISNUMBER('Dvd Calendar'!$W$1465)=FALSE,"",'Dvd Calendar'!$W$1465))</f>
        <v/>
      </c>
      <c r="BJ147" s="110">
        <f>IF(GL147="","",IF(ISNUMBER('Dvd Calendar'!$X$1465)=FALSE,"",'Dvd Calendar'!$X$1465))</f>
        <v/>
      </c>
      <c r="BK147" s="110">
        <f>IF(GM147="","",IF(ISNUMBER('Dvd Calendar'!$Y$1465)=FALSE,"",'Dvd Calendar'!$Y$1465))</f>
        <v/>
      </c>
      <c r="BL147" s="110">
        <f>IF(GN147="","",IF(ISNUMBER('Dvd Calendar'!$Z$1465)=FALSE,"",'Dvd Calendar'!$Z$1465))</f>
        <v/>
      </c>
      <c r="BM147" s="110">
        <f>IF(GO147="","",IF(ISNUMBER('Dvd Calendar'!$AA$1465)=FALSE,"",'Dvd Calendar'!$AA$1465))</f>
        <v/>
      </c>
      <c r="BN147" s="110">
        <f>IF(GP147="","",IF(ISNUMBER('Dvd Calendar'!$AB$1465)=FALSE,"",'Dvd Calendar'!$AB$1465))</f>
        <v/>
      </c>
      <c r="BO147" s="110">
        <f>IF(GQ147="","",IF(ISNUMBER('Dvd Calendar'!$AC$1465)=FALSE,"",'Dvd Calendar'!$AC$1465))</f>
        <v/>
      </c>
      <c r="BQ147" s="110">
        <f>IF(C147="","",IFERROR(C147*HSTECH!$B$38*HSTECH!$G$38/HSTECH!$B$3,""))</f>
        <v/>
      </c>
      <c r="BR147" s="110">
        <f>IF(D147="","",IFERROR(D147*HSTECH!$B$38*HSTECH!$G$38/HSTECH!$B$3,""))</f>
        <v/>
      </c>
      <c r="BS147" s="110">
        <f>IF(E147="","",IFERROR(E147*HSTECH!$B$38*HSTECH!$G$38/HSTECH!$B$3,""))</f>
        <v/>
      </c>
      <c r="BT147" s="110">
        <f>IF(F147="","",IFERROR(F147*HSTECH!$B$38*HSTECH!$G$38/HSTECH!$B$3,""))</f>
        <v/>
      </c>
      <c r="BU147" s="110">
        <f>IF(G147="","",IFERROR(G147*HSTECH!$B$38*HSTECH!$G$38/HSTECH!$B$3,""))</f>
        <v/>
      </c>
      <c r="BV147" s="110">
        <f>IF(H147="","",IFERROR(H147*HSTECH!$B$38*HSTECH!$G$38/HSTECH!$B$3,""))</f>
        <v/>
      </c>
      <c r="BW147" s="110">
        <f>IF(I147="","",IFERROR(I147*HSTECH!$B$38*HSTECH!$G$38/HSTECH!$B$3,""))</f>
        <v/>
      </c>
      <c r="BX147" s="110">
        <f>IF(J147="","",IFERROR(J147*HSTECH!$B$38*HSTECH!$G$38/HSTECH!$B$3,""))</f>
        <v/>
      </c>
      <c r="BY147" s="110">
        <f>IF(K147="","",IFERROR(K147*HSTECH!$B$38*HSTECH!$G$38/HSTECH!$B$3,""))</f>
        <v/>
      </c>
      <c r="BZ147" s="110">
        <f>IF(L147="","",IFERROR(L147*HSTECH!$B$38*HSTECH!$G$38/HSTECH!$B$3,""))</f>
        <v/>
      </c>
      <c r="CA147" s="110">
        <f>IF(M147="","",IFERROR(M147*HSTECH!$B$38*HSTECH!$G$38/HSTECH!$B$3,""))</f>
        <v/>
      </c>
      <c r="CB147" s="110">
        <f>IF(N147="","",IFERROR(N147*HSTECH!$B$38*HSTECH!$G$38/HSTECH!$B$3,""))</f>
        <v/>
      </c>
      <c r="CC147" s="110">
        <f>IF(O147="","",IFERROR(O147*HSTECH!$B$38*HSTECH!$G$38/HSTECH!$B$3,""))</f>
        <v/>
      </c>
      <c r="CD147" s="110">
        <f>IF(P147="","",IFERROR(P147*HSTECH!$B$38*HSTECH!$G$38/HSTECH!$B$3,""))</f>
        <v/>
      </c>
      <c r="CE147" s="110">
        <f>IF(Q147="","",IFERROR(Q147*HSTECH!$B$38*HSTECH!$G$38/HSTECH!$B$3,""))</f>
        <v/>
      </c>
      <c r="CF147" s="110">
        <f>IF(R147="","",IFERROR(R147*HSTECH!$B$38*HSTECH!$G$38/HSTECH!$B$3,""))</f>
        <v/>
      </c>
      <c r="CG147" s="110">
        <f>IF(S147="","",IFERROR(S147*HSTECH!$B$38*HSTECH!$G$38/HSTECH!$B$3,""))</f>
        <v/>
      </c>
      <c r="CH147" s="110">
        <f>IF(T147="","",IFERROR(T147*HSTECH!$B$38*HSTECH!$G$38/HSTECH!$B$3,""))</f>
        <v/>
      </c>
      <c r="CI147" s="110">
        <f>IF(U147="","",IFERROR(U147*HSTECH!$B$38*HSTECH!$G$38/HSTECH!$B$3,""))</f>
        <v/>
      </c>
      <c r="CJ147" s="110">
        <f>IF(V147="","",IFERROR(V147*HSTECH!$B$38*HSTECH!$G$38/HSTECH!$B$3,""))</f>
        <v/>
      </c>
      <c r="CK147" s="110">
        <f>IF(W147="","",IFERROR(W147*HSTECH!$B$38*HSTECH!$G$38/HSTECH!$B$3,""))</f>
        <v/>
      </c>
      <c r="CL147" s="110">
        <f>IF(X147="","",IFERROR(X147*HSTECH!$B$38*HSTECH!$G$38/HSTECH!$B$3,""))</f>
        <v/>
      </c>
      <c r="CM147" s="110">
        <f>IF(Y147="","",IFERROR(Y147*HSTECH!$B$38*HSTECH!$G$38/HSTECH!$B$3,""))</f>
        <v/>
      </c>
      <c r="CN147" s="110">
        <f>IF(Z147="","",IFERROR(Z147*HSTECH!$B$38*HSTECH!$G$38/HSTECH!$B$3,""))</f>
        <v/>
      </c>
      <c r="CO147" s="110">
        <f>IF(AA147="","",IFERROR(AA147*HSTECH!$B$38*HSTECH!$G$38/HSTECH!$B$3,""))</f>
        <v/>
      </c>
      <c r="CP147" s="110">
        <f>IF(AB147="","",IFERROR(AB147*HSTECH!$B$38*HSTECH!$G$38/HSTECH!$B$3,""))</f>
        <v/>
      </c>
      <c r="CQ147" s="110">
        <f>IF(AC147="","",IFERROR(AC147*HSTECH!$B$38*HSTECH!$G$38/HSTECH!$B$3,""))</f>
        <v/>
      </c>
      <c r="CR147" s="110">
        <f>IF(AD147="","",IFERROR(AD147*HSTECH!$B$38*HSTECH!$G$38/HSTECH!$B$3,""))</f>
        <v/>
      </c>
      <c r="CS147" s="110">
        <f>IF(AE147="","",IFERROR(AE147*HSTECH!$B$38*HSTECH!$G$38/HSTECH!$B$3,""))</f>
        <v/>
      </c>
      <c r="CT147" s="110">
        <f>IF(AF147="","",IFERROR(AF147*HSTECH!$B$38*HSTECH!$G$38/HSTECH!$B$3,""))</f>
        <v/>
      </c>
      <c r="CU147" s="110">
        <f>IF(AG147="","",IFERROR(AG147*HSTECH!$B$38*HSTECH!$G$38/HSTECH!$B$3,""))</f>
        <v/>
      </c>
      <c r="CV147" s="110">
        <f>IF(AH147="","",IFERROR(AH147*HSTECH!$B$38*HSTECH!$G$38/HSTECH!$B$3,""))</f>
        <v/>
      </c>
      <c r="CW147" s="110">
        <f>IF(AI147="","",IFERROR(AI147*HSTECH!$B$38*HSTECH!$G$38/HSTECH!$B$3,""))</f>
        <v/>
      </c>
      <c r="CX147" s="110">
        <f>IF(AJ147="","",IFERROR(AJ147*HSTECH!$B$38*HSTECH!$G$38/HSTECH!$B$3,""))</f>
        <v/>
      </c>
      <c r="CY147" s="110">
        <f>IF(AK147="","",IFERROR(AK147*HSTECH!$B$38*HSTECH!$G$38/HSTECH!$B$3,""))</f>
        <v/>
      </c>
      <c r="CZ147" s="110">
        <f>IF(AL147="","",IFERROR(AL147*HSTECH!$B$38*HSTECH!$G$38/HSTECH!$B$3,""))</f>
        <v/>
      </c>
      <c r="DA147" s="110">
        <f>IF(AM147="","",IFERROR(AM147*HSTECH!$B$38*HSTECH!$G$38/HSTECH!$B$3,""))</f>
        <v/>
      </c>
      <c r="DB147" s="110">
        <f>IF(AN147="","",IFERROR(AN147*HSTECH!$B$38*HSTECH!$G$38/HSTECH!$B$3,""))</f>
        <v/>
      </c>
      <c r="DC147" s="110">
        <f>IF(AO147="","",IFERROR(AO147*HSTECH!$B$38*HSTECH!$G$38/HSTECH!$B$3,""))</f>
        <v/>
      </c>
      <c r="DD147" s="110">
        <f>IF(AP147="","",IFERROR(AP147*HSTECH!$B$38*HSTECH!$G$38/HSTECH!$B$3,""))</f>
        <v/>
      </c>
      <c r="DE147" s="110">
        <f>IF(AQ147="","",IFERROR(AQ147*HSTECH!$B$38*HSTECH!$G$38/HSTECH!$B$3,""))</f>
        <v/>
      </c>
      <c r="DF147" s="110">
        <f>IF(AR147="","",IFERROR(AR147*HSTECH!$B$38*HSTECH!$G$38/HSTECH!$B$3,""))</f>
        <v/>
      </c>
      <c r="DG147" s="110">
        <f>IF(AS147="","",IFERROR(AS147*HSTECH!$B$38*HSTECH!$G$38/HSTECH!$B$3,""))</f>
        <v/>
      </c>
      <c r="DH147" s="110">
        <f>IF(AT147="","",IFERROR(AT147*HSTECH!$B$38*HSTECH!$G$38/HSTECH!$B$3,""))</f>
        <v/>
      </c>
      <c r="DI147" s="110">
        <f>IF(AU147="","",IFERROR(AU147*HSTECH!$B$38*HSTECH!$G$38/HSTECH!$B$3,""))</f>
        <v/>
      </c>
      <c r="DJ147" s="110">
        <f>IF(AV147="","",IFERROR(AV147*HSTECH!$B$38*HSTECH!$G$38/HSTECH!$B$3,""))</f>
        <v/>
      </c>
      <c r="DK147" s="110">
        <f>IF(AW147="","",IFERROR(AW147*HSTECH!$B$38*HSTECH!$G$38/HSTECH!$B$3,""))</f>
        <v/>
      </c>
      <c r="DL147" s="110">
        <f>IF(AX147="","",IFERROR(AX147*HSTECH!$B$38*HSTECH!$G$38/HSTECH!$B$3,""))</f>
        <v/>
      </c>
      <c r="DM147" s="110">
        <f>IF(AY147="","",IFERROR(AY147*HSTECH!$B$38*HSTECH!$G$38/HSTECH!$B$3,""))</f>
        <v/>
      </c>
      <c r="DN147" s="110">
        <f>IF(AZ147="","",IFERROR(AZ147*HSTECH!$B$38*HSTECH!$G$38/HSTECH!$B$3,""))</f>
        <v/>
      </c>
      <c r="DO147" s="110">
        <f>IF(BA147="","",IFERROR(BA147*HSTECH!$B$38*HSTECH!$G$38/HSTECH!$B$3,""))</f>
        <v/>
      </c>
      <c r="DP147" s="110">
        <f>IF(BB147="","",IFERROR(BB147*HSTECH!$B$38*HSTECH!$G$38/HSTECH!$B$3,""))</f>
        <v/>
      </c>
      <c r="DQ147" s="110">
        <f>IF(BC147="","",IFERROR(BC147*HSTECH!$B$38*HSTECH!$G$38/HSTECH!$B$3,""))</f>
        <v/>
      </c>
      <c r="DR147" s="110">
        <f>IF(BD147="","",IFERROR(BD147*HSTECH!$B$38*HSTECH!$G$38/HSTECH!$B$3,""))</f>
        <v/>
      </c>
      <c r="DS147" s="110">
        <f>IF(BE147="","",IFERROR(BE147*HSTECH!$B$38*HSTECH!$G$38/HSTECH!$B$3,""))</f>
        <v/>
      </c>
      <c r="DT147" s="110">
        <f>IF(BF147="","",IFERROR(BF147*HSTECH!$B$38*HSTECH!$G$38/HSTECH!$B$3,""))</f>
        <v/>
      </c>
      <c r="DU147" s="110">
        <f>IF(BG147="","",IFERROR(BG147*HSTECH!$B$38*HSTECH!$G$38/HSTECH!$B$3,""))</f>
        <v/>
      </c>
      <c r="DV147" s="110">
        <f>IF(BH147="","",IFERROR(BH147*HSTECH!$B$38*HSTECH!$G$38/HSTECH!$B$3,""))</f>
        <v/>
      </c>
      <c r="DW147" s="110">
        <f>IF(BI147="","",IFERROR(BI147*HSTECH!$B$38*HSTECH!$G$38/HSTECH!$B$3,""))</f>
        <v/>
      </c>
      <c r="DX147" s="110">
        <f>IF(BJ147="","",IFERROR(BJ147*HSTECH!$B$38*HSTECH!$G$38/HSTECH!$B$3,""))</f>
        <v/>
      </c>
      <c r="DY147" s="110">
        <f>IF(BK147="","",IFERROR(BK147*HSTECH!$B$38*HSTECH!$G$38/HSTECH!$B$3,""))</f>
        <v/>
      </c>
      <c r="DZ147" s="110">
        <f>IF(BL147="","",IFERROR(BL147*HSTECH!$B$38*HSTECH!$G$38/HSTECH!$B$3,""))</f>
        <v/>
      </c>
      <c r="EA147" s="110">
        <f>IF(BM147="","",IFERROR(BM147*HSTECH!$B$38*HSTECH!$G$38/HSTECH!$B$3,""))</f>
        <v/>
      </c>
      <c r="EB147" s="110">
        <f>IF(BN147="","",IFERROR(BN147*HSTECH!$B$38*HSTECH!$G$38/HSTECH!$B$3,""))</f>
        <v/>
      </c>
      <c r="EC147" s="110">
        <f>IF(BO147="","",IFERROR(BO147*HSTECH!$B$38*HSTECH!$G$38/HSTECH!$B$3,""))</f>
        <v/>
      </c>
      <c r="EE147" s="39">
        <f>IF(N('Dvd Calendar'!$E$1457)=0,"",IF(('Dvd Calendar'!$E$1457&gt;=GRID_FROM)*('Dvd Calendar'!$E$1457&lt;=GRID_TO)*((('Dvd Calendar'!$E$1457&lt;=VAL_DATE)+(COUNTIF('Dvd Calendar'!$E$1464:$AR$1464,'Dvd Calendar'!$E$1457)=0))&gt;0)=0,"",'Dvd Calendar'!$E$1457*1000000000+ISNUMBER('Dvd Calendar'!$E$1460)*100000000+('Dvd Calendar'!$E$1462=SPECIAL_LBL)*10000000+(N('Dvd Calendar'!$E$1456)&gt;0)*(N('Dvd Calendar'!$E$1456)&lt;=VAL_SERIAL)*1000000+32*1000+1))</f>
        <v/>
      </c>
      <c r="EF147" s="39">
        <f>IF(N('Dvd Calendar'!$F$1457)=0,"",IF(('Dvd Calendar'!$F$1457&gt;=GRID_FROM)*('Dvd Calendar'!$F$1457&lt;=GRID_TO)*((('Dvd Calendar'!$F$1457&lt;=VAL_DATE)+(COUNTIF('Dvd Calendar'!$E$1464:$AR$1464,'Dvd Calendar'!$F$1457)=0))&gt;0)=0,"",'Dvd Calendar'!$F$1457*1000000000+ISNUMBER('Dvd Calendar'!$F$1460)*100000000+('Dvd Calendar'!$F$1462=SPECIAL_LBL)*10000000+(N('Dvd Calendar'!$F$1456)&gt;0)*(N('Dvd Calendar'!$F$1456)&lt;=VAL_SERIAL)*1000000+32*1000+2))</f>
        <v/>
      </c>
      <c r="EG147" s="39">
        <f>IF(N('Dvd Calendar'!$G$1457)=0,"",IF(('Dvd Calendar'!$G$1457&gt;=GRID_FROM)*('Dvd Calendar'!$G$1457&lt;=GRID_TO)*((('Dvd Calendar'!$G$1457&lt;=VAL_DATE)+(COUNTIF('Dvd Calendar'!$E$1464:$AR$1464,'Dvd Calendar'!$G$1457)=0))&gt;0)=0,"",'Dvd Calendar'!$G$1457*1000000000+ISNUMBER('Dvd Calendar'!$G$1460)*100000000+('Dvd Calendar'!$G$1462=SPECIAL_LBL)*10000000+(N('Dvd Calendar'!$G$1456)&gt;0)*(N('Dvd Calendar'!$G$1456)&lt;=VAL_SERIAL)*1000000+32*1000+3))</f>
        <v/>
      </c>
      <c r="EH147" s="39">
        <f>IF(N('Dvd Calendar'!$H$1457)=0,"",IF(('Dvd Calendar'!$H$1457&gt;=GRID_FROM)*('Dvd Calendar'!$H$1457&lt;=GRID_TO)*((('Dvd Calendar'!$H$1457&lt;=VAL_DATE)+(COUNTIF('Dvd Calendar'!$E$1464:$AR$1464,'Dvd Calendar'!$H$1457)=0))&gt;0)=0,"",'Dvd Calendar'!$H$1457*1000000000+ISNUMBER('Dvd Calendar'!$H$1460)*100000000+('Dvd Calendar'!$H$1462=SPECIAL_LBL)*10000000+(N('Dvd Calendar'!$H$1456)&gt;0)*(N('Dvd Calendar'!$H$1456)&lt;=VAL_SERIAL)*1000000+32*1000+4))</f>
        <v/>
      </c>
      <c r="EI147" s="39">
        <f>IF(N('Dvd Calendar'!$I$1457)=0,"",IF(('Dvd Calendar'!$I$1457&gt;=GRID_FROM)*('Dvd Calendar'!$I$1457&lt;=GRID_TO)*((('Dvd Calendar'!$I$1457&lt;=VAL_DATE)+(COUNTIF('Dvd Calendar'!$E$1464:$AR$1464,'Dvd Calendar'!$I$1457)=0))&gt;0)=0,"",'Dvd Calendar'!$I$1457*1000000000+ISNUMBER('Dvd Calendar'!$I$1460)*100000000+('Dvd Calendar'!$I$1462=SPECIAL_LBL)*10000000+(N('Dvd Calendar'!$I$1456)&gt;0)*(N('Dvd Calendar'!$I$1456)&lt;=VAL_SERIAL)*1000000+32*1000+5))</f>
        <v/>
      </c>
      <c r="EJ147" s="39">
        <f>IF(N('Dvd Calendar'!$J$1457)=0,"",IF(('Dvd Calendar'!$J$1457&gt;=GRID_FROM)*('Dvd Calendar'!$J$1457&lt;=GRID_TO)*((('Dvd Calendar'!$J$1457&lt;=VAL_DATE)+(COUNTIF('Dvd Calendar'!$E$1464:$AR$1464,'Dvd Calendar'!$J$1457)=0))&gt;0)=0,"",'Dvd Calendar'!$J$1457*1000000000+ISNUMBER('Dvd Calendar'!$J$1460)*100000000+('Dvd Calendar'!$J$1462=SPECIAL_LBL)*10000000+(N('Dvd Calendar'!$J$1456)&gt;0)*(N('Dvd Calendar'!$J$1456)&lt;=VAL_SERIAL)*1000000+32*1000+6))</f>
        <v/>
      </c>
      <c r="EK147" s="39">
        <f>IF(N('Dvd Calendar'!$K$1457)=0,"",IF(('Dvd Calendar'!$K$1457&gt;=GRID_FROM)*('Dvd Calendar'!$K$1457&lt;=GRID_TO)*((('Dvd Calendar'!$K$1457&lt;=VAL_DATE)+(COUNTIF('Dvd Calendar'!$E$1464:$AR$1464,'Dvd Calendar'!$K$1457)=0))&gt;0)=0,"",'Dvd Calendar'!$K$1457*1000000000+ISNUMBER('Dvd Calendar'!$K$1460)*100000000+('Dvd Calendar'!$K$1462=SPECIAL_LBL)*10000000+(N('Dvd Calendar'!$K$1456)&gt;0)*(N('Dvd Calendar'!$K$1456)&lt;=VAL_SERIAL)*1000000+32*1000+7))</f>
        <v/>
      </c>
      <c r="EL147" s="39">
        <f>IF(N('Dvd Calendar'!$L$1457)=0,"",IF(('Dvd Calendar'!$L$1457&gt;=GRID_FROM)*('Dvd Calendar'!$L$1457&lt;=GRID_TO)*((('Dvd Calendar'!$L$1457&lt;=VAL_DATE)+(COUNTIF('Dvd Calendar'!$E$1464:$AR$1464,'Dvd Calendar'!$L$1457)=0))&gt;0)=0,"",'Dvd Calendar'!$L$1457*1000000000+ISNUMBER('Dvd Calendar'!$L$1460)*100000000+('Dvd Calendar'!$L$1462=SPECIAL_LBL)*10000000+(N('Dvd Calendar'!$L$1456)&gt;0)*(N('Dvd Calendar'!$L$1456)&lt;=VAL_SERIAL)*1000000+32*1000+8))</f>
        <v/>
      </c>
      <c r="EM147" s="39">
        <f>IF(N('Dvd Calendar'!$M$1457)=0,"",IF(('Dvd Calendar'!$M$1457&gt;=GRID_FROM)*('Dvd Calendar'!$M$1457&lt;=GRID_TO)*((('Dvd Calendar'!$M$1457&lt;=VAL_DATE)+(COUNTIF('Dvd Calendar'!$E$1464:$AR$1464,'Dvd Calendar'!$M$1457)=0))&gt;0)=0,"",'Dvd Calendar'!$M$1457*1000000000+ISNUMBER('Dvd Calendar'!$M$1460)*100000000+('Dvd Calendar'!$M$1462=SPECIAL_LBL)*10000000+(N('Dvd Calendar'!$M$1456)&gt;0)*(N('Dvd Calendar'!$M$1456)&lt;=VAL_SERIAL)*1000000+32*1000+9))</f>
        <v/>
      </c>
      <c r="EN147" s="39">
        <f>IF(N('Dvd Calendar'!$N$1457)=0,"",IF(('Dvd Calendar'!$N$1457&gt;=GRID_FROM)*('Dvd Calendar'!$N$1457&lt;=GRID_TO)*((('Dvd Calendar'!$N$1457&lt;=VAL_DATE)+(COUNTIF('Dvd Calendar'!$E$1464:$AR$1464,'Dvd Calendar'!$N$1457)=0))&gt;0)=0,"",'Dvd Calendar'!$N$1457*1000000000+ISNUMBER('Dvd Calendar'!$N$1460)*100000000+('Dvd Calendar'!$N$1462=SPECIAL_LBL)*10000000+(N('Dvd Calendar'!$N$1456)&gt;0)*(N('Dvd Calendar'!$N$1456)&lt;=VAL_SERIAL)*1000000+32*1000+10))</f>
        <v/>
      </c>
      <c r="EO147" s="39">
        <f>IF(N('Dvd Calendar'!$O$1457)=0,"",IF(('Dvd Calendar'!$O$1457&gt;=GRID_FROM)*('Dvd Calendar'!$O$1457&lt;=GRID_TO)*((('Dvd Calendar'!$O$1457&lt;=VAL_DATE)+(COUNTIF('Dvd Calendar'!$E$1464:$AR$1464,'Dvd Calendar'!$O$1457)=0))&gt;0)=0,"",'Dvd Calendar'!$O$1457*1000000000+ISNUMBER('Dvd Calendar'!$O$1460)*100000000+('Dvd Calendar'!$O$1462=SPECIAL_LBL)*10000000+(N('Dvd Calendar'!$O$1456)&gt;0)*(N('Dvd Calendar'!$O$1456)&lt;=VAL_SERIAL)*1000000+32*1000+11))</f>
        <v/>
      </c>
      <c r="EP147" s="39">
        <f>IF(N('Dvd Calendar'!$P$1457)=0,"",IF(('Dvd Calendar'!$P$1457&gt;=GRID_FROM)*('Dvd Calendar'!$P$1457&lt;=GRID_TO)*((('Dvd Calendar'!$P$1457&lt;=VAL_DATE)+(COUNTIF('Dvd Calendar'!$E$1464:$AR$1464,'Dvd Calendar'!$P$1457)=0))&gt;0)=0,"",'Dvd Calendar'!$P$1457*1000000000+ISNUMBER('Dvd Calendar'!$P$1460)*100000000+('Dvd Calendar'!$P$1462=SPECIAL_LBL)*10000000+(N('Dvd Calendar'!$P$1456)&gt;0)*(N('Dvd Calendar'!$P$1456)&lt;=VAL_SERIAL)*1000000+32*1000+12))</f>
        <v/>
      </c>
      <c r="EQ147" s="39">
        <f>IF(N('Dvd Calendar'!$Q$1457)=0,"",IF(('Dvd Calendar'!$Q$1457&gt;=GRID_FROM)*('Dvd Calendar'!$Q$1457&lt;=GRID_TO)*((('Dvd Calendar'!$Q$1457&lt;=VAL_DATE)+(COUNTIF('Dvd Calendar'!$E$1464:$AR$1464,'Dvd Calendar'!$Q$1457)=0))&gt;0)=0,"",'Dvd Calendar'!$Q$1457*1000000000+ISNUMBER('Dvd Calendar'!$Q$1460)*100000000+('Dvd Calendar'!$Q$1462=SPECIAL_LBL)*10000000+(N('Dvd Calendar'!$Q$1456)&gt;0)*(N('Dvd Calendar'!$Q$1456)&lt;=VAL_SERIAL)*1000000+32*1000+13))</f>
        <v/>
      </c>
      <c r="ER147" s="39">
        <f>IF(N('Dvd Calendar'!$R$1457)=0,"",IF(('Dvd Calendar'!$R$1457&gt;=GRID_FROM)*('Dvd Calendar'!$R$1457&lt;=GRID_TO)*((('Dvd Calendar'!$R$1457&lt;=VAL_DATE)+(COUNTIF('Dvd Calendar'!$E$1464:$AR$1464,'Dvd Calendar'!$R$1457)=0))&gt;0)=0,"",'Dvd Calendar'!$R$1457*1000000000+ISNUMBER('Dvd Calendar'!$R$1460)*100000000+('Dvd Calendar'!$R$1462=SPECIAL_LBL)*10000000+(N('Dvd Calendar'!$R$1456)&gt;0)*(N('Dvd Calendar'!$R$1456)&lt;=VAL_SERIAL)*1000000+32*1000+14))</f>
        <v/>
      </c>
      <c r="ES147" s="39">
        <f>IF(N('Dvd Calendar'!$S$1457)=0,"",IF(('Dvd Calendar'!$S$1457&gt;=GRID_FROM)*('Dvd Calendar'!$S$1457&lt;=GRID_TO)*((('Dvd Calendar'!$S$1457&lt;=VAL_DATE)+(COUNTIF('Dvd Calendar'!$E$1464:$AR$1464,'Dvd Calendar'!$S$1457)=0))&gt;0)=0,"",'Dvd Calendar'!$S$1457*1000000000+ISNUMBER('Dvd Calendar'!$S$1460)*100000000+('Dvd Calendar'!$S$1462=SPECIAL_LBL)*10000000+(N('Dvd Calendar'!$S$1456)&gt;0)*(N('Dvd Calendar'!$S$1456)&lt;=VAL_SERIAL)*1000000+32*1000+15))</f>
        <v/>
      </c>
      <c r="ET147" s="39">
        <f>IF(N('Dvd Calendar'!$T$1457)=0,"",IF(('Dvd Calendar'!$T$1457&gt;=GRID_FROM)*('Dvd Calendar'!$T$1457&lt;=GRID_TO)*((('Dvd Calendar'!$T$1457&lt;=VAL_DATE)+(COUNTIF('Dvd Calendar'!$E$1464:$AR$1464,'Dvd Calendar'!$T$1457)=0))&gt;0)=0,"",'Dvd Calendar'!$T$1457*1000000000+ISNUMBER('Dvd Calendar'!$T$1460)*100000000+('Dvd Calendar'!$T$1462=SPECIAL_LBL)*10000000+(N('Dvd Calendar'!$T$1456)&gt;0)*(N('Dvd Calendar'!$T$1456)&lt;=VAL_SERIAL)*1000000+32*1000+16))</f>
        <v/>
      </c>
      <c r="EU147" s="39">
        <f>IF(N('Dvd Calendar'!$U$1457)=0,"",IF(('Dvd Calendar'!$U$1457&gt;=GRID_FROM)*('Dvd Calendar'!$U$1457&lt;=GRID_TO)*((('Dvd Calendar'!$U$1457&lt;=VAL_DATE)+(COUNTIF('Dvd Calendar'!$E$1464:$AR$1464,'Dvd Calendar'!$U$1457)=0))&gt;0)=0,"",'Dvd Calendar'!$U$1457*1000000000+ISNUMBER('Dvd Calendar'!$U$1460)*100000000+('Dvd Calendar'!$U$1462=SPECIAL_LBL)*10000000+(N('Dvd Calendar'!$U$1456)&gt;0)*(N('Dvd Calendar'!$U$1456)&lt;=VAL_SERIAL)*1000000+32*1000+17))</f>
        <v/>
      </c>
      <c r="EV147" s="39">
        <f>IF(N('Dvd Calendar'!$V$1457)=0,"",IF(('Dvd Calendar'!$V$1457&gt;=GRID_FROM)*('Dvd Calendar'!$V$1457&lt;=GRID_TO)*((('Dvd Calendar'!$V$1457&lt;=VAL_DATE)+(COUNTIF('Dvd Calendar'!$E$1464:$AR$1464,'Dvd Calendar'!$V$1457)=0))&gt;0)=0,"",'Dvd Calendar'!$V$1457*1000000000+ISNUMBER('Dvd Calendar'!$V$1460)*100000000+('Dvd Calendar'!$V$1462=SPECIAL_LBL)*10000000+(N('Dvd Calendar'!$V$1456)&gt;0)*(N('Dvd Calendar'!$V$1456)&lt;=VAL_SERIAL)*1000000+32*1000+18))</f>
        <v/>
      </c>
      <c r="EW147" s="39">
        <f>IF(N('Dvd Calendar'!$W$1457)=0,"",IF(('Dvd Calendar'!$W$1457&gt;=GRID_FROM)*('Dvd Calendar'!$W$1457&lt;=GRID_TO)*((('Dvd Calendar'!$W$1457&lt;=VAL_DATE)+(COUNTIF('Dvd Calendar'!$E$1464:$AR$1464,'Dvd Calendar'!$W$1457)=0))&gt;0)=0,"",'Dvd Calendar'!$W$1457*1000000000+ISNUMBER('Dvd Calendar'!$W$1460)*100000000+('Dvd Calendar'!$W$1462=SPECIAL_LBL)*10000000+(N('Dvd Calendar'!$W$1456)&gt;0)*(N('Dvd Calendar'!$W$1456)&lt;=VAL_SERIAL)*1000000+32*1000+19))</f>
        <v/>
      </c>
      <c r="EX147" s="39">
        <f>IF(N('Dvd Calendar'!$X$1457)=0,"",IF(('Dvd Calendar'!$X$1457&gt;=GRID_FROM)*('Dvd Calendar'!$X$1457&lt;=GRID_TO)*((('Dvd Calendar'!$X$1457&lt;=VAL_DATE)+(COUNTIF('Dvd Calendar'!$E$1464:$AR$1464,'Dvd Calendar'!$X$1457)=0))&gt;0)=0,"",'Dvd Calendar'!$X$1457*1000000000+ISNUMBER('Dvd Calendar'!$X$1460)*100000000+('Dvd Calendar'!$X$1462=SPECIAL_LBL)*10000000+(N('Dvd Calendar'!$X$1456)&gt;0)*(N('Dvd Calendar'!$X$1456)&lt;=VAL_SERIAL)*1000000+32*1000+20))</f>
        <v/>
      </c>
      <c r="EY147" s="39">
        <f>IF(N('Dvd Calendar'!$Y$1457)=0,"",IF(('Dvd Calendar'!$Y$1457&gt;=GRID_FROM)*('Dvd Calendar'!$Y$1457&lt;=GRID_TO)*((('Dvd Calendar'!$Y$1457&lt;=VAL_DATE)+(COUNTIF('Dvd Calendar'!$E$1464:$AR$1464,'Dvd Calendar'!$Y$1457)=0))&gt;0)=0,"",'Dvd Calendar'!$Y$1457*1000000000+ISNUMBER('Dvd Calendar'!$Y$1460)*100000000+('Dvd Calendar'!$Y$1462=SPECIAL_LBL)*10000000+(N('Dvd Calendar'!$Y$1456)&gt;0)*(N('Dvd Calendar'!$Y$1456)&lt;=VAL_SERIAL)*1000000+32*1000+21))</f>
        <v/>
      </c>
      <c r="EZ147" s="39">
        <f>IF(N('Dvd Calendar'!$Z$1457)=0,"",IF(('Dvd Calendar'!$Z$1457&gt;=GRID_FROM)*('Dvd Calendar'!$Z$1457&lt;=GRID_TO)*((('Dvd Calendar'!$Z$1457&lt;=VAL_DATE)+(COUNTIF('Dvd Calendar'!$E$1464:$AR$1464,'Dvd Calendar'!$Z$1457)=0))&gt;0)=0,"",'Dvd Calendar'!$Z$1457*1000000000+ISNUMBER('Dvd Calendar'!$Z$1460)*100000000+('Dvd Calendar'!$Z$1462=SPECIAL_LBL)*10000000+(N('Dvd Calendar'!$Z$1456)&gt;0)*(N('Dvd Calendar'!$Z$1456)&lt;=VAL_SERIAL)*1000000+32*1000+22))</f>
        <v/>
      </c>
      <c r="FA147" s="39">
        <f>IF(N('Dvd Calendar'!$AA$1457)=0,"",IF(('Dvd Calendar'!$AA$1457&gt;=GRID_FROM)*('Dvd Calendar'!$AA$1457&lt;=GRID_TO)*((('Dvd Calendar'!$AA$1457&lt;=VAL_DATE)+(COUNTIF('Dvd Calendar'!$E$1464:$AR$1464,'Dvd Calendar'!$AA$1457)=0))&gt;0)=0,"",'Dvd Calendar'!$AA$1457*1000000000+ISNUMBER('Dvd Calendar'!$AA$1460)*100000000+('Dvd Calendar'!$AA$1462=SPECIAL_LBL)*10000000+(N('Dvd Calendar'!$AA$1456)&gt;0)*(N('Dvd Calendar'!$AA$1456)&lt;=VAL_SERIAL)*1000000+32*1000+23))</f>
        <v/>
      </c>
      <c r="FB147" s="39">
        <f>IF(N('Dvd Calendar'!$AB$1457)=0,"",IF(('Dvd Calendar'!$AB$1457&gt;=GRID_FROM)*('Dvd Calendar'!$AB$1457&lt;=GRID_TO)*((('Dvd Calendar'!$AB$1457&lt;=VAL_DATE)+(COUNTIF('Dvd Calendar'!$E$1464:$AR$1464,'Dvd Calendar'!$AB$1457)=0))&gt;0)=0,"",'Dvd Calendar'!$AB$1457*1000000000+ISNUMBER('Dvd Calendar'!$AB$1460)*100000000+('Dvd Calendar'!$AB$1462=SPECIAL_LBL)*10000000+(N('Dvd Calendar'!$AB$1456)&gt;0)*(N('Dvd Calendar'!$AB$1456)&lt;=VAL_SERIAL)*1000000+32*1000+24))</f>
        <v/>
      </c>
      <c r="FC147" s="39">
        <f>IF(N('Dvd Calendar'!$AC$1457)=0,"",IF(('Dvd Calendar'!$AC$1457&gt;=GRID_FROM)*('Dvd Calendar'!$AC$1457&lt;=GRID_TO)*((('Dvd Calendar'!$AC$1457&lt;=VAL_DATE)+(COUNTIF('Dvd Calendar'!$E$1464:$AR$1464,'Dvd Calendar'!$AC$1457)=0))&gt;0)=0,"",'Dvd Calendar'!$AC$1457*1000000000+ISNUMBER('Dvd Calendar'!$AC$1460)*100000000+('Dvd Calendar'!$AC$1462=SPECIAL_LBL)*10000000+(N('Dvd Calendar'!$AC$1456)&gt;0)*(N('Dvd Calendar'!$AC$1456)&lt;=VAL_SERIAL)*1000000+32*1000+25))</f>
        <v/>
      </c>
      <c r="FD147" s="39">
        <f>IF(N('Dvd Calendar'!$AD$1457)=0,"",IF(('Dvd Calendar'!$AD$1457&gt;=GRID_FROM)*('Dvd Calendar'!$AD$1457&lt;=GRID_TO)*((('Dvd Calendar'!$AD$1457&lt;=VAL_DATE)+(COUNTIF('Dvd Calendar'!$E$1464:$AR$1464,'Dvd Calendar'!$AD$1457)=0))&gt;0)=0,"",'Dvd Calendar'!$AD$1457*1000000000+ISNUMBER('Dvd Calendar'!$AD$1460)*100000000+('Dvd Calendar'!$AD$1462=SPECIAL_LBL)*10000000+(N('Dvd Calendar'!$AD$1456)&gt;0)*(N('Dvd Calendar'!$AD$1456)&lt;=VAL_SERIAL)*1000000+32*1000+26))</f>
        <v/>
      </c>
      <c r="FE147" s="39">
        <f>IF(N('Dvd Calendar'!$AE$1457)=0,"",IF(('Dvd Calendar'!$AE$1457&gt;=GRID_FROM)*('Dvd Calendar'!$AE$1457&lt;=GRID_TO)*((('Dvd Calendar'!$AE$1457&lt;=VAL_DATE)+(COUNTIF('Dvd Calendar'!$E$1464:$AR$1464,'Dvd Calendar'!$AE$1457)=0))&gt;0)=0,"",'Dvd Calendar'!$AE$1457*1000000000+ISNUMBER('Dvd Calendar'!$AE$1460)*100000000+('Dvd Calendar'!$AE$1462=SPECIAL_LBL)*10000000+(N('Dvd Calendar'!$AE$1456)&gt;0)*(N('Dvd Calendar'!$AE$1456)&lt;=VAL_SERIAL)*1000000+32*1000+27))</f>
        <v/>
      </c>
      <c r="FF147" s="39">
        <f>IF(N('Dvd Calendar'!$AF$1457)=0,"",IF(('Dvd Calendar'!$AF$1457&gt;=GRID_FROM)*('Dvd Calendar'!$AF$1457&lt;=GRID_TO)*((('Dvd Calendar'!$AF$1457&lt;=VAL_DATE)+(COUNTIF('Dvd Calendar'!$E$1464:$AR$1464,'Dvd Calendar'!$AF$1457)=0))&gt;0)=0,"",'Dvd Calendar'!$AF$1457*1000000000+ISNUMBER('Dvd Calendar'!$AF$1460)*100000000+('Dvd Calendar'!$AF$1462=SPECIAL_LBL)*10000000+(N('Dvd Calendar'!$AF$1456)&gt;0)*(N('Dvd Calendar'!$AF$1456)&lt;=VAL_SERIAL)*1000000+32*1000+28))</f>
        <v/>
      </c>
      <c r="FG147" s="39">
        <f>IF(N('Dvd Calendar'!$AG$1457)=0,"",IF(('Dvd Calendar'!$AG$1457&gt;=GRID_FROM)*('Dvd Calendar'!$AG$1457&lt;=GRID_TO)*((('Dvd Calendar'!$AG$1457&lt;=VAL_DATE)+(COUNTIF('Dvd Calendar'!$E$1464:$AR$1464,'Dvd Calendar'!$AG$1457)=0))&gt;0)=0,"",'Dvd Calendar'!$AG$1457*1000000000+ISNUMBER('Dvd Calendar'!$AG$1460)*100000000+('Dvd Calendar'!$AG$1462=SPECIAL_LBL)*10000000+(N('Dvd Calendar'!$AG$1456)&gt;0)*(N('Dvd Calendar'!$AG$1456)&lt;=VAL_SERIAL)*1000000+32*1000+29))</f>
        <v/>
      </c>
      <c r="FH147" s="39">
        <f>IF(N('Dvd Calendar'!$AH$1457)=0,"",IF(('Dvd Calendar'!$AH$1457&gt;=GRID_FROM)*('Dvd Calendar'!$AH$1457&lt;=GRID_TO)*((('Dvd Calendar'!$AH$1457&lt;=VAL_DATE)+(COUNTIF('Dvd Calendar'!$E$1464:$AR$1464,'Dvd Calendar'!$AH$1457)=0))&gt;0)=0,"",'Dvd Calendar'!$AH$1457*1000000000+ISNUMBER('Dvd Calendar'!$AH$1460)*100000000+('Dvd Calendar'!$AH$1462=SPECIAL_LBL)*10000000+(N('Dvd Calendar'!$AH$1456)&gt;0)*(N('Dvd Calendar'!$AH$1456)&lt;=VAL_SERIAL)*1000000+32*1000+30))</f>
        <v/>
      </c>
      <c r="FI147" s="39">
        <f>IF(N('Dvd Calendar'!$AI$1457)=0,"",IF(('Dvd Calendar'!$AI$1457&gt;=GRID_FROM)*('Dvd Calendar'!$AI$1457&lt;=GRID_TO)*((('Dvd Calendar'!$AI$1457&lt;=VAL_DATE)+(COUNTIF('Dvd Calendar'!$E$1464:$AR$1464,'Dvd Calendar'!$AI$1457)=0))&gt;0)=0,"",'Dvd Calendar'!$AI$1457*1000000000+ISNUMBER('Dvd Calendar'!$AI$1460)*100000000+('Dvd Calendar'!$AI$1462=SPECIAL_LBL)*10000000+(N('Dvd Calendar'!$AI$1456)&gt;0)*(N('Dvd Calendar'!$AI$1456)&lt;=VAL_SERIAL)*1000000+32*1000+31))</f>
        <v/>
      </c>
      <c r="FJ147" s="39">
        <f>IF(N('Dvd Calendar'!$AJ$1457)=0,"",IF(('Dvd Calendar'!$AJ$1457&gt;=GRID_FROM)*('Dvd Calendar'!$AJ$1457&lt;=GRID_TO)*((('Dvd Calendar'!$AJ$1457&lt;=VAL_DATE)+(COUNTIF('Dvd Calendar'!$E$1464:$AR$1464,'Dvd Calendar'!$AJ$1457)=0))&gt;0)=0,"",'Dvd Calendar'!$AJ$1457*1000000000+ISNUMBER('Dvd Calendar'!$AJ$1460)*100000000+('Dvd Calendar'!$AJ$1462=SPECIAL_LBL)*10000000+(N('Dvd Calendar'!$AJ$1456)&gt;0)*(N('Dvd Calendar'!$AJ$1456)&lt;=VAL_SERIAL)*1000000+32*1000+32))</f>
        <v/>
      </c>
      <c r="FK147" s="39">
        <f>IF(N('Dvd Calendar'!$AK$1457)=0,"",IF(('Dvd Calendar'!$AK$1457&gt;=GRID_FROM)*('Dvd Calendar'!$AK$1457&lt;=GRID_TO)*((('Dvd Calendar'!$AK$1457&lt;=VAL_DATE)+(COUNTIF('Dvd Calendar'!$E$1464:$AR$1464,'Dvd Calendar'!$AK$1457)=0))&gt;0)=0,"",'Dvd Calendar'!$AK$1457*1000000000+ISNUMBER('Dvd Calendar'!$AK$1460)*100000000+('Dvd Calendar'!$AK$1462=SPECIAL_LBL)*10000000+(N('Dvd Calendar'!$AK$1456)&gt;0)*(N('Dvd Calendar'!$AK$1456)&lt;=VAL_SERIAL)*1000000+32*1000+33))</f>
        <v/>
      </c>
      <c r="FL147" s="39">
        <f>IF(N('Dvd Calendar'!$AL$1457)=0,"",IF(('Dvd Calendar'!$AL$1457&gt;=GRID_FROM)*('Dvd Calendar'!$AL$1457&lt;=GRID_TO)*((('Dvd Calendar'!$AL$1457&lt;=VAL_DATE)+(COUNTIF('Dvd Calendar'!$E$1464:$AR$1464,'Dvd Calendar'!$AL$1457)=0))&gt;0)=0,"",'Dvd Calendar'!$AL$1457*1000000000+ISNUMBER('Dvd Calendar'!$AL$1460)*100000000+('Dvd Calendar'!$AL$1462=SPECIAL_LBL)*10000000+(N('Dvd Calendar'!$AL$1456)&gt;0)*(N('Dvd Calendar'!$AL$1456)&lt;=VAL_SERIAL)*1000000+32*1000+34))</f>
        <v/>
      </c>
      <c r="FM147" s="39">
        <f>IF(N('Dvd Calendar'!$AM$1457)=0,"",IF(('Dvd Calendar'!$AM$1457&gt;=GRID_FROM)*('Dvd Calendar'!$AM$1457&lt;=GRID_TO)*((('Dvd Calendar'!$AM$1457&lt;=VAL_DATE)+(COUNTIF('Dvd Calendar'!$E$1464:$AR$1464,'Dvd Calendar'!$AM$1457)=0))&gt;0)=0,"",'Dvd Calendar'!$AM$1457*1000000000+ISNUMBER('Dvd Calendar'!$AM$1460)*100000000+('Dvd Calendar'!$AM$1462=SPECIAL_LBL)*10000000+(N('Dvd Calendar'!$AM$1456)&gt;0)*(N('Dvd Calendar'!$AM$1456)&lt;=VAL_SERIAL)*1000000+32*1000+35))</f>
        <v/>
      </c>
      <c r="FN147" s="39">
        <f>IF(N('Dvd Calendar'!$AN$1457)=0,"",IF(('Dvd Calendar'!$AN$1457&gt;=GRID_FROM)*('Dvd Calendar'!$AN$1457&lt;=GRID_TO)*((('Dvd Calendar'!$AN$1457&lt;=VAL_DATE)+(COUNTIF('Dvd Calendar'!$E$1464:$AR$1464,'Dvd Calendar'!$AN$1457)=0))&gt;0)=0,"",'Dvd Calendar'!$AN$1457*1000000000+ISNUMBER('Dvd Calendar'!$AN$1460)*100000000+('Dvd Calendar'!$AN$1462=SPECIAL_LBL)*10000000+(N('Dvd Calendar'!$AN$1456)&gt;0)*(N('Dvd Calendar'!$AN$1456)&lt;=VAL_SERIAL)*1000000+32*1000+36))</f>
        <v/>
      </c>
      <c r="FO147" s="39">
        <f>IF(N('Dvd Calendar'!$AO$1457)=0,"",IF(('Dvd Calendar'!$AO$1457&gt;=GRID_FROM)*('Dvd Calendar'!$AO$1457&lt;=GRID_TO)*((('Dvd Calendar'!$AO$1457&lt;=VAL_DATE)+(COUNTIF('Dvd Calendar'!$E$1464:$AR$1464,'Dvd Calendar'!$AO$1457)=0))&gt;0)=0,"",'Dvd Calendar'!$AO$1457*1000000000+ISNUMBER('Dvd Calendar'!$AO$1460)*100000000+('Dvd Calendar'!$AO$1462=SPECIAL_LBL)*10000000+(N('Dvd Calendar'!$AO$1456)&gt;0)*(N('Dvd Calendar'!$AO$1456)&lt;=VAL_SERIAL)*1000000+32*1000+37))</f>
        <v/>
      </c>
      <c r="FP147" s="39">
        <f>IF(N('Dvd Calendar'!$AP$1457)=0,"",IF(('Dvd Calendar'!$AP$1457&gt;=GRID_FROM)*('Dvd Calendar'!$AP$1457&lt;=GRID_TO)*((('Dvd Calendar'!$AP$1457&lt;=VAL_DATE)+(COUNTIF('Dvd Calendar'!$E$1464:$AR$1464,'Dvd Calendar'!$AP$1457)=0))&gt;0)=0,"",'Dvd Calendar'!$AP$1457*1000000000+ISNUMBER('Dvd Calendar'!$AP$1460)*100000000+('Dvd Calendar'!$AP$1462=SPECIAL_LBL)*10000000+(N('Dvd Calendar'!$AP$1456)&gt;0)*(N('Dvd Calendar'!$AP$1456)&lt;=VAL_SERIAL)*1000000+32*1000+38))</f>
        <v/>
      </c>
      <c r="FQ147" s="39">
        <f>IF(N('Dvd Calendar'!$AQ$1457)=0,"",IF(('Dvd Calendar'!$AQ$1457&gt;=GRID_FROM)*('Dvd Calendar'!$AQ$1457&lt;=GRID_TO)*((('Dvd Calendar'!$AQ$1457&lt;=VAL_DATE)+(COUNTIF('Dvd Calendar'!$E$1464:$AR$1464,'Dvd Calendar'!$AQ$1457)=0))&gt;0)=0,"",'Dvd Calendar'!$AQ$1457*1000000000+ISNUMBER('Dvd Calendar'!$AQ$1460)*100000000+('Dvd Calendar'!$AQ$1462=SPECIAL_LBL)*10000000+(N('Dvd Calendar'!$AQ$1456)&gt;0)*(N('Dvd Calendar'!$AQ$1456)&lt;=VAL_SERIAL)*1000000+32*1000+39))</f>
        <v/>
      </c>
      <c r="FR147" s="39">
        <f>IF(N('Dvd Calendar'!$AR$1457)=0,"",IF(('Dvd Calendar'!$AR$1457&gt;=GRID_FROM)*('Dvd Calendar'!$AR$1457&lt;=GRID_TO)*((('Dvd Calendar'!$AR$1457&lt;=VAL_DATE)+(COUNTIF('Dvd Calendar'!$E$1464:$AR$1464,'Dvd Calendar'!$AR$1457)=0))&gt;0)=0,"",'Dvd Calendar'!$AR$1457*1000000000+ISNUMBER('Dvd Calendar'!$AR$1460)*100000000+('Dvd Calendar'!$AR$1462=SPECIAL_LBL)*10000000+(N('Dvd Calendar'!$AR$1456)&gt;0)*(N('Dvd Calendar'!$AR$1456)&lt;=VAL_SERIAL)*1000000+32*1000+40))</f>
        <v/>
      </c>
      <c r="FS147" s="39">
        <f>IF(N('Dvd Calendar'!$E$1464)=0,"",IF(('Dvd Calendar'!$E$1464&gt;=GRID_FROM)*('Dvd Calendar'!$E$1464&lt;=GRID_TO)*('Dvd Calendar'!$E$1464&gt;VAL_DATE)=0,"",'Dvd Calendar'!$E$1464*1000000000+ISNUMBER('Dvd Calendar'!$E$1465)*100000000+0*10000000+(N('Dvd Calendar'!$E$1463)&gt;0)*(N('Dvd Calendar'!$E$1463)&lt;=VAL_SERIAL)*1000000+32*1000+41))</f>
        <v/>
      </c>
      <c r="FT147" s="39">
        <f>IF(N('Dvd Calendar'!$F$1464)=0,"",IF(('Dvd Calendar'!$F$1464&gt;=GRID_FROM)*('Dvd Calendar'!$F$1464&lt;=GRID_TO)*('Dvd Calendar'!$F$1464&gt;VAL_DATE)=0,"",'Dvd Calendar'!$F$1464*1000000000+ISNUMBER('Dvd Calendar'!$F$1465)*100000000+0*10000000+(N('Dvd Calendar'!$F$1463)&gt;0)*(N('Dvd Calendar'!$F$1463)&lt;=VAL_SERIAL)*1000000+32*1000+42))</f>
        <v/>
      </c>
      <c r="FU147" s="39">
        <f>IF(N('Dvd Calendar'!$G$1464)=0,"",IF(('Dvd Calendar'!$G$1464&gt;=GRID_FROM)*('Dvd Calendar'!$G$1464&lt;=GRID_TO)*('Dvd Calendar'!$G$1464&gt;VAL_DATE)=0,"",'Dvd Calendar'!$G$1464*1000000000+ISNUMBER('Dvd Calendar'!$G$1465)*100000000+0*10000000+(N('Dvd Calendar'!$G$1463)&gt;0)*(N('Dvd Calendar'!$G$1463)&lt;=VAL_SERIAL)*1000000+32*1000+43))</f>
        <v/>
      </c>
      <c r="FV147" s="39">
        <f>IF(N('Dvd Calendar'!$H$1464)=0,"",IF(('Dvd Calendar'!$H$1464&gt;=GRID_FROM)*('Dvd Calendar'!$H$1464&lt;=GRID_TO)*('Dvd Calendar'!$H$1464&gt;VAL_DATE)=0,"",'Dvd Calendar'!$H$1464*1000000000+ISNUMBER('Dvd Calendar'!$H$1465)*100000000+0*10000000+(N('Dvd Calendar'!$H$1463)&gt;0)*(N('Dvd Calendar'!$H$1463)&lt;=VAL_SERIAL)*1000000+32*1000+44))</f>
        <v/>
      </c>
      <c r="FW147" s="39">
        <f>IF(N('Dvd Calendar'!$I$1464)=0,"",IF(('Dvd Calendar'!$I$1464&gt;=GRID_FROM)*('Dvd Calendar'!$I$1464&lt;=GRID_TO)*('Dvd Calendar'!$I$1464&gt;VAL_DATE)=0,"",'Dvd Calendar'!$I$1464*1000000000+ISNUMBER('Dvd Calendar'!$I$1465)*100000000+0*10000000+(N('Dvd Calendar'!$I$1463)&gt;0)*(N('Dvd Calendar'!$I$1463)&lt;=VAL_SERIAL)*1000000+32*1000+45))</f>
        <v/>
      </c>
      <c r="FX147" s="39">
        <f>IF(N('Dvd Calendar'!$J$1464)=0,"",IF(('Dvd Calendar'!$J$1464&gt;=GRID_FROM)*('Dvd Calendar'!$J$1464&lt;=GRID_TO)*('Dvd Calendar'!$J$1464&gt;VAL_DATE)=0,"",'Dvd Calendar'!$J$1464*1000000000+ISNUMBER('Dvd Calendar'!$J$1465)*100000000+0*10000000+(N('Dvd Calendar'!$J$1463)&gt;0)*(N('Dvd Calendar'!$J$1463)&lt;=VAL_SERIAL)*1000000+32*1000+46))</f>
        <v/>
      </c>
      <c r="FY147" s="39">
        <f>IF(N('Dvd Calendar'!$K$1464)=0,"",IF(('Dvd Calendar'!$K$1464&gt;=GRID_FROM)*('Dvd Calendar'!$K$1464&lt;=GRID_TO)*('Dvd Calendar'!$K$1464&gt;VAL_DATE)=0,"",'Dvd Calendar'!$K$1464*1000000000+ISNUMBER('Dvd Calendar'!$K$1465)*100000000+0*10000000+(N('Dvd Calendar'!$K$1463)&gt;0)*(N('Dvd Calendar'!$K$1463)&lt;=VAL_SERIAL)*1000000+32*1000+47))</f>
        <v/>
      </c>
      <c r="FZ147" s="39">
        <f>IF(N('Dvd Calendar'!$L$1464)=0,"",IF(('Dvd Calendar'!$L$1464&gt;=GRID_FROM)*('Dvd Calendar'!$L$1464&lt;=GRID_TO)*('Dvd Calendar'!$L$1464&gt;VAL_DATE)=0,"",'Dvd Calendar'!$L$1464*1000000000+ISNUMBER('Dvd Calendar'!$L$1465)*100000000+0*10000000+(N('Dvd Calendar'!$L$1463)&gt;0)*(N('Dvd Calendar'!$L$1463)&lt;=VAL_SERIAL)*1000000+32*1000+48))</f>
        <v/>
      </c>
      <c r="GA147" s="39">
        <f>IF(N('Dvd Calendar'!$M$1464)=0,"",IF(('Dvd Calendar'!$M$1464&gt;=GRID_FROM)*('Dvd Calendar'!$M$1464&lt;=GRID_TO)*('Dvd Calendar'!$M$1464&gt;VAL_DATE)=0,"",'Dvd Calendar'!$M$1464*1000000000+ISNUMBER('Dvd Calendar'!$M$1465)*100000000+0*10000000+(N('Dvd Calendar'!$M$1463)&gt;0)*(N('Dvd Calendar'!$M$1463)&lt;=VAL_SERIAL)*1000000+32*1000+49))</f>
        <v/>
      </c>
      <c r="GB147" s="39">
        <f>IF(N('Dvd Calendar'!$N$1464)=0,"",IF(('Dvd Calendar'!$N$1464&gt;=GRID_FROM)*('Dvd Calendar'!$N$1464&lt;=GRID_TO)*('Dvd Calendar'!$N$1464&gt;VAL_DATE)=0,"",'Dvd Calendar'!$N$1464*1000000000+ISNUMBER('Dvd Calendar'!$N$1465)*100000000+0*10000000+(N('Dvd Calendar'!$N$1463)&gt;0)*(N('Dvd Calendar'!$N$1463)&lt;=VAL_SERIAL)*1000000+32*1000+50))</f>
        <v/>
      </c>
      <c r="GC147" s="39">
        <f>IF(N('Dvd Calendar'!$O$1464)=0,"",IF(('Dvd Calendar'!$O$1464&gt;=GRID_FROM)*('Dvd Calendar'!$O$1464&lt;=GRID_TO)*('Dvd Calendar'!$O$1464&gt;VAL_DATE)=0,"",'Dvd Calendar'!$O$1464*1000000000+ISNUMBER('Dvd Calendar'!$O$1465)*100000000+0*10000000+(N('Dvd Calendar'!$O$1463)&gt;0)*(N('Dvd Calendar'!$O$1463)&lt;=VAL_SERIAL)*1000000+32*1000+51))</f>
        <v/>
      </c>
      <c r="GD147" s="39">
        <f>IF(N('Dvd Calendar'!$P$1464)=0,"",IF(('Dvd Calendar'!$P$1464&gt;=GRID_FROM)*('Dvd Calendar'!$P$1464&lt;=GRID_TO)*('Dvd Calendar'!$P$1464&gt;VAL_DATE)=0,"",'Dvd Calendar'!$P$1464*1000000000+ISNUMBER('Dvd Calendar'!$P$1465)*100000000+0*10000000+(N('Dvd Calendar'!$P$1463)&gt;0)*(N('Dvd Calendar'!$P$1463)&lt;=VAL_SERIAL)*1000000+32*1000+52))</f>
        <v/>
      </c>
      <c r="GE147" s="39">
        <f>IF(N('Dvd Calendar'!$Q$1464)=0,"",IF(('Dvd Calendar'!$Q$1464&gt;=GRID_FROM)*('Dvd Calendar'!$Q$1464&lt;=GRID_TO)*('Dvd Calendar'!$Q$1464&gt;VAL_DATE)=0,"",'Dvd Calendar'!$Q$1464*1000000000+ISNUMBER('Dvd Calendar'!$Q$1465)*100000000+0*10000000+(N('Dvd Calendar'!$Q$1463)&gt;0)*(N('Dvd Calendar'!$Q$1463)&lt;=VAL_SERIAL)*1000000+32*1000+53))</f>
        <v/>
      </c>
      <c r="GF147" s="39">
        <f>IF(N('Dvd Calendar'!$R$1464)=0,"",IF(('Dvd Calendar'!$R$1464&gt;=GRID_FROM)*('Dvd Calendar'!$R$1464&lt;=GRID_TO)*('Dvd Calendar'!$R$1464&gt;VAL_DATE)=0,"",'Dvd Calendar'!$R$1464*1000000000+ISNUMBER('Dvd Calendar'!$R$1465)*100000000+0*10000000+(N('Dvd Calendar'!$R$1463)&gt;0)*(N('Dvd Calendar'!$R$1463)&lt;=VAL_SERIAL)*1000000+32*1000+54))</f>
        <v/>
      </c>
      <c r="GG147" s="39">
        <f>IF(N('Dvd Calendar'!$S$1464)=0,"",IF(('Dvd Calendar'!$S$1464&gt;=GRID_FROM)*('Dvd Calendar'!$S$1464&lt;=GRID_TO)*('Dvd Calendar'!$S$1464&gt;VAL_DATE)=0,"",'Dvd Calendar'!$S$1464*1000000000+ISNUMBER('Dvd Calendar'!$S$1465)*100000000+0*10000000+(N('Dvd Calendar'!$S$1463)&gt;0)*(N('Dvd Calendar'!$S$1463)&lt;=VAL_SERIAL)*1000000+32*1000+55))</f>
        <v/>
      </c>
      <c r="GH147" s="39">
        <f>IF(N('Dvd Calendar'!$T$1464)=0,"",IF(('Dvd Calendar'!$T$1464&gt;=GRID_FROM)*('Dvd Calendar'!$T$1464&lt;=GRID_TO)*('Dvd Calendar'!$T$1464&gt;VAL_DATE)=0,"",'Dvd Calendar'!$T$1464*1000000000+ISNUMBER('Dvd Calendar'!$T$1465)*100000000+0*10000000+(N('Dvd Calendar'!$T$1463)&gt;0)*(N('Dvd Calendar'!$T$1463)&lt;=VAL_SERIAL)*1000000+32*1000+56))</f>
        <v/>
      </c>
      <c r="GI147" s="39">
        <f>IF(N('Dvd Calendar'!$U$1464)=0,"",IF(('Dvd Calendar'!$U$1464&gt;=GRID_FROM)*('Dvd Calendar'!$U$1464&lt;=GRID_TO)*('Dvd Calendar'!$U$1464&gt;VAL_DATE)=0,"",'Dvd Calendar'!$U$1464*1000000000+ISNUMBER('Dvd Calendar'!$U$1465)*100000000+0*10000000+(N('Dvd Calendar'!$U$1463)&gt;0)*(N('Dvd Calendar'!$U$1463)&lt;=VAL_SERIAL)*1000000+32*1000+57))</f>
        <v/>
      </c>
      <c r="GJ147" s="39">
        <f>IF(N('Dvd Calendar'!$V$1464)=0,"",IF(('Dvd Calendar'!$V$1464&gt;=GRID_FROM)*('Dvd Calendar'!$V$1464&lt;=GRID_TO)*('Dvd Calendar'!$V$1464&gt;VAL_DATE)=0,"",'Dvd Calendar'!$V$1464*1000000000+ISNUMBER('Dvd Calendar'!$V$1465)*100000000+0*10000000+(N('Dvd Calendar'!$V$1463)&gt;0)*(N('Dvd Calendar'!$V$1463)&lt;=VAL_SERIAL)*1000000+32*1000+58))</f>
        <v/>
      </c>
      <c r="GK147" s="39">
        <f>IF(N('Dvd Calendar'!$W$1464)=0,"",IF(('Dvd Calendar'!$W$1464&gt;=GRID_FROM)*('Dvd Calendar'!$W$1464&lt;=GRID_TO)*('Dvd Calendar'!$W$1464&gt;VAL_DATE)=0,"",'Dvd Calendar'!$W$1464*1000000000+ISNUMBER('Dvd Calendar'!$W$1465)*100000000+0*10000000+(N('Dvd Calendar'!$W$1463)&gt;0)*(N('Dvd Calendar'!$W$1463)&lt;=VAL_SERIAL)*1000000+32*1000+59))</f>
        <v/>
      </c>
      <c r="GL147" s="39">
        <f>IF(N('Dvd Calendar'!$X$1464)=0,"",IF(('Dvd Calendar'!$X$1464&gt;=GRID_FROM)*('Dvd Calendar'!$X$1464&lt;=GRID_TO)*('Dvd Calendar'!$X$1464&gt;VAL_DATE)=0,"",'Dvd Calendar'!$X$1464*1000000000+ISNUMBER('Dvd Calendar'!$X$1465)*100000000+0*10000000+(N('Dvd Calendar'!$X$1463)&gt;0)*(N('Dvd Calendar'!$X$1463)&lt;=VAL_SERIAL)*1000000+32*1000+60))</f>
        <v/>
      </c>
      <c r="GM147" s="39">
        <f>IF(N('Dvd Calendar'!$Y$1464)=0,"",IF(('Dvd Calendar'!$Y$1464&gt;=GRID_FROM)*('Dvd Calendar'!$Y$1464&lt;=GRID_TO)*('Dvd Calendar'!$Y$1464&gt;VAL_DATE)=0,"",'Dvd Calendar'!$Y$1464*1000000000+ISNUMBER('Dvd Calendar'!$Y$1465)*100000000+0*10000000+(N('Dvd Calendar'!$Y$1463)&gt;0)*(N('Dvd Calendar'!$Y$1463)&lt;=VAL_SERIAL)*1000000+32*1000+61))</f>
        <v/>
      </c>
      <c r="GN147" s="39">
        <f>IF(N('Dvd Calendar'!$Z$1464)=0,"",IF(('Dvd Calendar'!$Z$1464&gt;=GRID_FROM)*('Dvd Calendar'!$Z$1464&lt;=GRID_TO)*('Dvd Calendar'!$Z$1464&gt;VAL_DATE)=0,"",'Dvd Calendar'!$Z$1464*1000000000+ISNUMBER('Dvd Calendar'!$Z$1465)*100000000+0*10000000+(N('Dvd Calendar'!$Z$1463)&gt;0)*(N('Dvd Calendar'!$Z$1463)&lt;=VAL_SERIAL)*1000000+32*1000+62))</f>
        <v/>
      </c>
      <c r="GO147" s="39">
        <f>IF(N('Dvd Calendar'!$AA$1464)=0,"",IF(('Dvd Calendar'!$AA$1464&gt;=GRID_FROM)*('Dvd Calendar'!$AA$1464&lt;=GRID_TO)*('Dvd Calendar'!$AA$1464&gt;VAL_DATE)=0,"",'Dvd Calendar'!$AA$1464*1000000000+ISNUMBER('Dvd Calendar'!$AA$1465)*100000000+0*10000000+(N('Dvd Calendar'!$AA$1463)&gt;0)*(N('Dvd Calendar'!$AA$1463)&lt;=VAL_SERIAL)*1000000+32*1000+63))</f>
        <v/>
      </c>
      <c r="GP147" s="39">
        <f>IF(N('Dvd Calendar'!$AB$1464)=0,"",IF(('Dvd Calendar'!$AB$1464&gt;=GRID_FROM)*('Dvd Calendar'!$AB$1464&lt;=GRID_TO)*('Dvd Calendar'!$AB$1464&gt;VAL_DATE)=0,"",'Dvd Calendar'!$AB$1464*1000000000+ISNUMBER('Dvd Calendar'!$AB$1465)*100000000+0*10000000+(N('Dvd Calendar'!$AB$1463)&gt;0)*(N('Dvd Calendar'!$AB$1463)&lt;=VAL_SERIAL)*1000000+32*1000+64))</f>
        <v/>
      </c>
      <c r="GQ147" s="39">
        <f>IF(N('Dvd Calendar'!$AC$1464)=0,"",IF(('Dvd Calendar'!$AC$1464&gt;=GRID_FROM)*('Dvd Calendar'!$AC$1464&lt;=GRID_TO)*('Dvd Calendar'!$AC$1464&gt;VAL_DATE)=0,"",'Dvd Calendar'!$AC$1464*1000000000+ISNUMBER('Dvd Calendar'!$AC$1465)*100000000+0*10000000+(N('Dvd Calendar'!$AC$1463)&gt;0)*(N('Dvd Calendar'!$AC$1463)&lt;=VAL_SERIAL)*1000000+32*1000+65))</f>
        <v/>
      </c>
    </row>
    <row r="148">
      <c r="B148" s="2">
        <f>IF(HSTECH!$C$39="","",HSTECH!$C$39)</f>
        <v/>
      </c>
      <c r="C148" s="110">
        <f>IF(EE148="","",IF(ISNUMBER('Dvd Calendar'!$E$1471)=FALSE,"",IF((('Dvd Calendar'!$E$1473=TYPE1)*(TYPE1&lt;&gt;"")+('Dvd Calendar'!$E$1473=TYPE2)*(TYPE2&lt;&gt;"")+('Dvd Calendar'!$E$1473=TYPE3)*(TYPE3&lt;&gt;"")+('Dvd Calendar'!$E$1473=TYPE4)*(TYPE4&lt;&gt;"")+('Dvd Calendar'!$E$1473=SPECIAL_LBL)*(INC_SPECIALS="Y"))=0,"",'Dvd Calendar'!$E$1471)))</f>
        <v/>
      </c>
      <c r="D148" s="110">
        <f>IF(EF148="","",IF(ISNUMBER('Dvd Calendar'!$F$1471)=FALSE,"",IF((('Dvd Calendar'!$F$1473=TYPE1)*(TYPE1&lt;&gt;"")+('Dvd Calendar'!$F$1473=TYPE2)*(TYPE2&lt;&gt;"")+('Dvd Calendar'!$F$1473=TYPE3)*(TYPE3&lt;&gt;"")+('Dvd Calendar'!$F$1473=TYPE4)*(TYPE4&lt;&gt;"")+('Dvd Calendar'!$F$1473=SPECIAL_LBL)*(INC_SPECIALS="Y"))=0,"",'Dvd Calendar'!$F$1471)))</f>
        <v/>
      </c>
      <c r="E148" s="110">
        <f>IF(EG148="","",IF(ISNUMBER('Dvd Calendar'!$G$1471)=FALSE,"",IF((('Dvd Calendar'!$G$1473=TYPE1)*(TYPE1&lt;&gt;"")+('Dvd Calendar'!$G$1473=TYPE2)*(TYPE2&lt;&gt;"")+('Dvd Calendar'!$G$1473=TYPE3)*(TYPE3&lt;&gt;"")+('Dvd Calendar'!$G$1473=TYPE4)*(TYPE4&lt;&gt;"")+('Dvd Calendar'!$G$1473=SPECIAL_LBL)*(INC_SPECIALS="Y"))=0,"",'Dvd Calendar'!$G$1471)))</f>
        <v/>
      </c>
      <c r="F148" s="110">
        <f>IF(EH148="","",IF(ISNUMBER('Dvd Calendar'!$H$1471)=FALSE,"",IF((('Dvd Calendar'!$H$1473=TYPE1)*(TYPE1&lt;&gt;"")+('Dvd Calendar'!$H$1473=TYPE2)*(TYPE2&lt;&gt;"")+('Dvd Calendar'!$H$1473=TYPE3)*(TYPE3&lt;&gt;"")+('Dvd Calendar'!$H$1473=TYPE4)*(TYPE4&lt;&gt;"")+('Dvd Calendar'!$H$1473=SPECIAL_LBL)*(INC_SPECIALS="Y"))=0,"",'Dvd Calendar'!$H$1471)))</f>
        <v/>
      </c>
      <c r="G148" s="110">
        <f>IF(EI148="","",IF(ISNUMBER('Dvd Calendar'!$I$1471)=FALSE,"",IF((('Dvd Calendar'!$I$1473=TYPE1)*(TYPE1&lt;&gt;"")+('Dvd Calendar'!$I$1473=TYPE2)*(TYPE2&lt;&gt;"")+('Dvd Calendar'!$I$1473=TYPE3)*(TYPE3&lt;&gt;"")+('Dvd Calendar'!$I$1473=TYPE4)*(TYPE4&lt;&gt;"")+('Dvd Calendar'!$I$1473=SPECIAL_LBL)*(INC_SPECIALS="Y"))=0,"",'Dvd Calendar'!$I$1471)))</f>
        <v/>
      </c>
      <c r="H148" s="110">
        <f>IF(EJ148="","",IF(ISNUMBER('Dvd Calendar'!$J$1471)=FALSE,"",IF((('Dvd Calendar'!$J$1473=TYPE1)*(TYPE1&lt;&gt;"")+('Dvd Calendar'!$J$1473=TYPE2)*(TYPE2&lt;&gt;"")+('Dvd Calendar'!$J$1473=TYPE3)*(TYPE3&lt;&gt;"")+('Dvd Calendar'!$J$1473=TYPE4)*(TYPE4&lt;&gt;"")+('Dvd Calendar'!$J$1473=SPECIAL_LBL)*(INC_SPECIALS="Y"))=0,"",'Dvd Calendar'!$J$1471)))</f>
        <v/>
      </c>
      <c r="I148" s="110">
        <f>IF(EK148="","",IF(ISNUMBER('Dvd Calendar'!$K$1471)=FALSE,"",IF((('Dvd Calendar'!$K$1473=TYPE1)*(TYPE1&lt;&gt;"")+('Dvd Calendar'!$K$1473=TYPE2)*(TYPE2&lt;&gt;"")+('Dvd Calendar'!$K$1473=TYPE3)*(TYPE3&lt;&gt;"")+('Dvd Calendar'!$K$1473=TYPE4)*(TYPE4&lt;&gt;"")+('Dvd Calendar'!$K$1473=SPECIAL_LBL)*(INC_SPECIALS="Y"))=0,"",'Dvd Calendar'!$K$1471)))</f>
        <v/>
      </c>
      <c r="J148" s="110">
        <f>IF(EL148="","",IF(ISNUMBER('Dvd Calendar'!$L$1471)=FALSE,"",IF((('Dvd Calendar'!$L$1473=TYPE1)*(TYPE1&lt;&gt;"")+('Dvd Calendar'!$L$1473=TYPE2)*(TYPE2&lt;&gt;"")+('Dvd Calendar'!$L$1473=TYPE3)*(TYPE3&lt;&gt;"")+('Dvd Calendar'!$L$1473=TYPE4)*(TYPE4&lt;&gt;"")+('Dvd Calendar'!$L$1473=SPECIAL_LBL)*(INC_SPECIALS="Y"))=0,"",'Dvd Calendar'!$L$1471)))</f>
        <v/>
      </c>
      <c r="K148" s="110">
        <f>IF(EM148="","",IF(ISNUMBER('Dvd Calendar'!$M$1471)=FALSE,"",IF((('Dvd Calendar'!$M$1473=TYPE1)*(TYPE1&lt;&gt;"")+('Dvd Calendar'!$M$1473=TYPE2)*(TYPE2&lt;&gt;"")+('Dvd Calendar'!$M$1473=TYPE3)*(TYPE3&lt;&gt;"")+('Dvd Calendar'!$M$1473=TYPE4)*(TYPE4&lt;&gt;"")+('Dvd Calendar'!$M$1473=SPECIAL_LBL)*(INC_SPECIALS="Y"))=0,"",'Dvd Calendar'!$M$1471)))</f>
        <v/>
      </c>
      <c r="L148" s="110">
        <f>IF(EN148="","",IF(ISNUMBER('Dvd Calendar'!$N$1471)=FALSE,"",IF((('Dvd Calendar'!$N$1473=TYPE1)*(TYPE1&lt;&gt;"")+('Dvd Calendar'!$N$1473=TYPE2)*(TYPE2&lt;&gt;"")+('Dvd Calendar'!$N$1473=TYPE3)*(TYPE3&lt;&gt;"")+('Dvd Calendar'!$N$1473=TYPE4)*(TYPE4&lt;&gt;"")+('Dvd Calendar'!$N$1473=SPECIAL_LBL)*(INC_SPECIALS="Y"))=0,"",'Dvd Calendar'!$N$1471)))</f>
        <v/>
      </c>
      <c r="M148" s="110">
        <f>IF(EO148="","",IF(ISNUMBER('Dvd Calendar'!$O$1471)=FALSE,"",IF((('Dvd Calendar'!$O$1473=TYPE1)*(TYPE1&lt;&gt;"")+('Dvd Calendar'!$O$1473=TYPE2)*(TYPE2&lt;&gt;"")+('Dvd Calendar'!$O$1473=TYPE3)*(TYPE3&lt;&gt;"")+('Dvd Calendar'!$O$1473=TYPE4)*(TYPE4&lt;&gt;"")+('Dvd Calendar'!$O$1473=SPECIAL_LBL)*(INC_SPECIALS="Y"))=0,"",'Dvd Calendar'!$O$1471)))</f>
        <v/>
      </c>
      <c r="N148" s="110">
        <f>IF(EP148="","",IF(ISNUMBER('Dvd Calendar'!$P$1471)=FALSE,"",IF((('Dvd Calendar'!$P$1473=TYPE1)*(TYPE1&lt;&gt;"")+('Dvd Calendar'!$P$1473=TYPE2)*(TYPE2&lt;&gt;"")+('Dvd Calendar'!$P$1473=TYPE3)*(TYPE3&lt;&gt;"")+('Dvd Calendar'!$P$1473=TYPE4)*(TYPE4&lt;&gt;"")+('Dvd Calendar'!$P$1473=SPECIAL_LBL)*(INC_SPECIALS="Y"))=0,"",'Dvd Calendar'!$P$1471)))</f>
        <v/>
      </c>
      <c r="O148" s="110">
        <f>IF(EQ148="","",IF(ISNUMBER('Dvd Calendar'!$Q$1471)=FALSE,"",IF((('Dvd Calendar'!$Q$1473=TYPE1)*(TYPE1&lt;&gt;"")+('Dvd Calendar'!$Q$1473=TYPE2)*(TYPE2&lt;&gt;"")+('Dvd Calendar'!$Q$1473=TYPE3)*(TYPE3&lt;&gt;"")+('Dvd Calendar'!$Q$1473=TYPE4)*(TYPE4&lt;&gt;"")+('Dvd Calendar'!$Q$1473=SPECIAL_LBL)*(INC_SPECIALS="Y"))=0,"",'Dvd Calendar'!$Q$1471)))</f>
        <v/>
      </c>
      <c r="P148" s="110">
        <f>IF(ER148="","",IF(ISNUMBER('Dvd Calendar'!$R$1471)=FALSE,"",IF((('Dvd Calendar'!$R$1473=TYPE1)*(TYPE1&lt;&gt;"")+('Dvd Calendar'!$R$1473=TYPE2)*(TYPE2&lt;&gt;"")+('Dvd Calendar'!$R$1473=TYPE3)*(TYPE3&lt;&gt;"")+('Dvd Calendar'!$R$1473=TYPE4)*(TYPE4&lt;&gt;"")+('Dvd Calendar'!$R$1473=SPECIAL_LBL)*(INC_SPECIALS="Y"))=0,"",'Dvd Calendar'!$R$1471)))</f>
        <v/>
      </c>
      <c r="Q148" s="110">
        <f>IF(ES148="","",IF(ISNUMBER('Dvd Calendar'!$S$1471)=FALSE,"",IF((('Dvd Calendar'!$S$1473=TYPE1)*(TYPE1&lt;&gt;"")+('Dvd Calendar'!$S$1473=TYPE2)*(TYPE2&lt;&gt;"")+('Dvd Calendar'!$S$1473=TYPE3)*(TYPE3&lt;&gt;"")+('Dvd Calendar'!$S$1473=TYPE4)*(TYPE4&lt;&gt;"")+('Dvd Calendar'!$S$1473=SPECIAL_LBL)*(INC_SPECIALS="Y"))=0,"",'Dvd Calendar'!$S$1471)))</f>
        <v/>
      </c>
      <c r="R148" s="110">
        <f>IF(ET148="","",IF(ISNUMBER('Dvd Calendar'!$T$1471)=FALSE,"",IF((('Dvd Calendar'!$T$1473=TYPE1)*(TYPE1&lt;&gt;"")+('Dvd Calendar'!$T$1473=TYPE2)*(TYPE2&lt;&gt;"")+('Dvd Calendar'!$T$1473=TYPE3)*(TYPE3&lt;&gt;"")+('Dvd Calendar'!$T$1473=TYPE4)*(TYPE4&lt;&gt;"")+('Dvd Calendar'!$T$1473=SPECIAL_LBL)*(INC_SPECIALS="Y"))=0,"",'Dvd Calendar'!$T$1471)))</f>
        <v/>
      </c>
      <c r="S148" s="110">
        <f>IF(EU148="","",IF(ISNUMBER('Dvd Calendar'!$U$1471)=FALSE,"",IF((('Dvd Calendar'!$U$1473=TYPE1)*(TYPE1&lt;&gt;"")+('Dvd Calendar'!$U$1473=TYPE2)*(TYPE2&lt;&gt;"")+('Dvd Calendar'!$U$1473=TYPE3)*(TYPE3&lt;&gt;"")+('Dvd Calendar'!$U$1473=TYPE4)*(TYPE4&lt;&gt;"")+('Dvd Calendar'!$U$1473=SPECIAL_LBL)*(INC_SPECIALS="Y"))=0,"",'Dvd Calendar'!$U$1471)))</f>
        <v/>
      </c>
      <c r="T148" s="110">
        <f>IF(EV148="","",IF(ISNUMBER('Dvd Calendar'!$V$1471)=FALSE,"",IF((('Dvd Calendar'!$V$1473=TYPE1)*(TYPE1&lt;&gt;"")+('Dvd Calendar'!$V$1473=TYPE2)*(TYPE2&lt;&gt;"")+('Dvd Calendar'!$V$1473=TYPE3)*(TYPE3&lt;&gt;"")+('Dvd Calendar'!$V$1473=TYPE4)*(TYPE4&lt;&gt;"")+('Dvd Calendar'!$V$1473=SPECIAL_LBL)*(INC_SPECIALS="Y"))=0,"",'Dvd Calendar'!$V$1471)))</f>
        <v/>
      </c>
      <c r="U148" s="110">
        <f>IF(EW148="","",IF(ISNUMBER('Dvd Calendar'!$W$1471)=FALSE,"",IF((('Dvd Calendar'!$W$1473=TYPE1)*(TYPE1&lt;&gt;"")+('Dvd Calendar'!$W$1473=TYPE2)*(TYPE2&lt;&gt;"")+('Dvd Calendar'!$W$1473=TYPE3)*(TYPE3&lt;&gt;"")+('Dvd Calendar'!$W$1473=TYPE4)*(TYPE4&lt;&gt;"")+('Dvd Calendar'!$W$1473=SPECIAL_LBL)*(INC_SPECIALS="Y"))=0,"",'Dvd Calendar'!$W$1471)))</f>
        <v/>
      </c>
      <c r="V148" s="110">
        <f>IF(EX148="","",IF(ISNUMBER('Dvd Calendar'!$X$1471)=FALSE,"",IF((('Dvd Calendar'!$X$1473=TYPE1)*(TYPE1&lt;&gt;"")+('Dvd Calendar'!$X$1473=TYPE2)*(TYPE2&lt;&gt;"")+('Dvd Calendar'!$X$1473=TYPE3)*(TYPE3&lt;&gt;"")+('Dvd Calendar'!$X$1473=TYPE4)*(TYPE4&lt;&gt;"")+('Dvd Calendar'!$X$1473=SPECIAL_LBL)*(INC_SPECIALS="Y"))=0,"",'Dvd Calendar'!$X$1471)))</f>
        <v/>
      </c>
      <c r="W148" s="110">
        <f>IF(EY148="","",IF(ISNUMBER('Dvd Calendar'!$Y$1471)=FALSE,"",IF((('Dvd Calendar'!$Y$1473=TYPE1)*(TYPE1&lt;&gt;"")+('Dvd Calendar'!$Y$1473=TYPE2)*(TYPE2&lt;&gt;"")+('Dvd Calendar'!$Y$1473=TYPE3)*(TYPE3&lt;&gt;"")+('Dvd Calendar'!$Y$1473=TYPE4)*(TYPE4&lt;&gt;"")+('Dvd Calendar'!$Y$1473=SPECIAL_LBL)*(INC_SPECIALS="Y"))=0,"",'Dvd Calendar'!$Y$1471)))</f>
        <v/>
      </c>
      <c r="X148" s="110">
        <f>IF(EZ148="","",IF(ISNUMBER('Dvd Calendar'!$Z$1471)=FALSE,"",IF((('Dvd Calendar'!$Z$1473=TYPE1)*(TYPE1&lt;&gt;"")+('Dvd Calendar'!$Z$1473=TYPE2)*(TYPE2&lt;&gt;"")+('Dvd Calendar'!$Z$1473=TYPE3)*(TYPE3&lt;&gt;"")+('Dvd Calendar'!$Z$1473=TYPE4)*(TYPE4&lt;&gt;"")+('Dvd Calendar'!$Z$1473=SPECIAL_LBL)*(INC_SPECIALS="Y"))=0,"",'Dvd Calendar'!$Z$1471)))</f>
        <v/>
      </c>
      <c r="Y148" s="110">
        <f>IF(FA148="","",IF(ISNUMBER('Dvd Calendar'!$AA$1471)=FALSE,"",IF((('Dvd Calendar'!$AA$1473=TYPE1)*(TYPE1&lt;&gt;"")+('Dvd Calendar'!$AA$1473=TYPE2)*(TYPE2&lt;&gt;"")+('Dvd Calendar'!$AA$1473=TYPE3)*(TYPE3&lt;&gt;"")+('Dvd Calendar'!$AA$1473=TYPE4)*(TYPE4&lt;&gt;"")+('Dvd Calendar'!$AA$1473=SPECIAL_LBL)*(INC_SPECIALS="Y"))=0,"",'Dvd Calendar'!$AA$1471)))</f>
        <v/>
      </c>
      <c r="Z148" s="110">
        <f>IF(FB148="","",IF(ISNUMBER('Dvd Calendar'!$AB$1471)=FALSE,"",IF((('Dvd Calendar'!$AB$1473=TYPE1)*(TYPE1&lt;&gt;"")+('Dvd Calendar'!$AB$1473=TYPE2)*(TYPE2&lt;&gt;"")+('Dvd Calendar'!$AB$1473=TYPE3)*(TYPE3&lt;&gt;"")+('Dvd Calendar'!$AB$1473=TYPE4)*(TYPE4&lt;&gt;"")+('Dvd Calendar'!$AB$1473=SPECIAL_LBL)*(INC_SPECIALS="Y"))=0,"",'Dvd Calendar'!$AB$1471)))</f>
        <v/>
      </c>
      <c r="AA148" s="110">
        <f>IF(FC148="","",IF(ISNUMBER('Dvd Calendar'!$AC$1471)=FALSE,"",IF((('Dvd Calendar'!$AC$1473=TYPE1)*(TYPE1&lt;&gt;"")+('Dvd Calendar'!$AC$1473=TYPE2)*(TYPE2&lt;&gt;"")+('Dvd Calendar'!$AC$1473=TYPE3)*(TYPE3&lt;&gt;"")+('Dvd Calendar'!$AC$1473=TYPE4)*(TYPE4&lt;&gt;"")+('Dvd Calendar'!$AC$1473=SPECIAL_LBL)*(INC_SPECIALS="Y"))=0,"",'Dvd Calendar'!$AC$1471)))</f>
        <v/>
      </c>
      <c r="AB148" s="110">
        <f>IF(FD148="","",IF(ISNUMBER('Dvd Calendar'!$AD$1471)=FALSE,"",IF((('Dvd Calendar'!$AD$1473=TYPE1)*(TYPE1&lt;&gt;"")+('Dvd Calendar'!$AD$1473=TYPE2)*(TYPE2&lt;&gt;"")+('Dvd Calendar'!$AD$1473=TYPE3)*(TYPE3&lt;&gt;"")+('Dvd Calendar'!$AD$1473=TYPE4)*(TYPE4&lt;&gt;"")+('Dvd Calendar'!$AD$1473=SPECIAL_LBL)*(INC_SPECIALS="Y"))=0,"",'Dvd Calendar'!$AD$1471)))</f>
        <v/>
      </c>
      <c r="AC148" s="110">
        <f>IF(FE148="","",IF(ISNUMBER('Dvd Calendar'!$AE$1471)=FALSE,"",IF((('Dvd Calendar'!$AE$1473=TYPE1)*(TYPE1&lt;&gt;"")+('Dvd Calendar'!$AE$1473=TYPE2)*(TYPE2&lt;&gt;"")+('Dvd Calendar'!$AE$1473=TYPE3)*(TYPE3&lt;&gt;"")+('Dvd Calendar'!$AE$1473=TYPE4)*(TYPE4&lt;&gt;"")+('Dvd Calendar'!$AE$1473=SPECIAL_LBL)*(INC_SPECIALS="Y"))=0,"",'Dvd Calendar'!$AE$1471)))</f>
        <v/>
      </c>
      <c r="AD148" s="110">
        <f>IF(FF148="","",IF(ISNUMBER('Dvd Calendar'!$AF$1471)=FALSE,"",IF((('Dvd Calendar'!$AF$1473=TYPE1)*(TYPE1&lt;&gt;"")+('Dvd Calendar'!$AF$1473=TYPE2)*(TYPE2&lt;&gt;"")+('Dvd Calendar'!$AF$1473=TYPE3)*(TYPE3&lt;&gt;"")+('Dvd Calendar'!$AF$1473=TYPE4)*(TYPE4&lt;&gt;"")+('Dvd Calendar'!$AF$1473=SPECIAL_LBL)*(INC_SPECIALS="Y"))=0,"",'Dvd Calendar'!$AF$1471)))</f>
        <v/>
      </c>
      <c r="AE148" s="110">
        <f>IF(FG148="","",IF(ISNUMBER('Dvd Calendar'!$AG$1471)=FALSE,"",IF((('Dvd Calendar'!$AG$1473=TYPE1)*(TYPE1&lt;&gt;"")+('Dvd Calendar'!$AG$1473=TYPE2)*(TYPE2&lt;&gt;"")+('Dvd Calendar'!$AG$1473=TYPE3)*(TYPE3&lt;&gt;"")+('Dvd Calendar'!$AG$1473=TYPE4)*(TYPE4&lt;&gt;"")+('Dvd Calendar'!$AG$1473=SPECIAL_LBL)*(INC_SPECIALS="Y"))=0,"",'Dvd Calendar'!$AG$1471)))</f>
        <v/>
      </c>
      <c r="AF148" s="110">
        <f>IF(FH148="","",IF(ISNUMBER('Dvd Calendar'!$AH$1471)=FALSE,"",IF((('Dvd Calendar'!$AH$1473=TYPE1)*(TYPE1&lt;&gt;"")+('Dvd Calendar'!$AH$1473=TYPE2)*(TYPE2&lt;&gt;"")+('Dvd Calendar'!$AH$1473=TYPE3)*(TYPE3&lt;&gt;"")+('Dvd Calendar'!$AH$1473=TYPE4)*(TYPE4&lt;&gt;"")+('Dvd Calendar'!$AH$1473=SPECIAL_LBL)*(INC_SPECIALS="Y"))=0,"",'Dvd Calendar'!$AH$1471)))</f>
        <v/>
      </c>
      <c r="AG148" s="110">
        <f>IF(FI148="","",IF(ISNUMBER('Dvd Calendar'!$AI$1471)=FALSE,"",IF((('Dvd Calendar'!$AI$1473=TYPE1)*(TYPE1&lt;&gt;"")+('Dvd Calendar'!$AI$1473=TYPE2)*(TYPE2&lt;&gt;"")+('Dvd Calendar'!$AI$1473=TYPE3)*(TYPE3&lt;&gt;"")+('Dvd Calendar'!$AI$1473=TYPE4)*(TYPE4&lt;&gt;"")+('Dvd Calendar'!$AI$1473=SPECIAL_LBL)*(INC_SPECIALS="Y"))=0,"",'Dvd Calendar'!$AI$1471)))</f>
        <v/>
      </c>
      <c r="AH148" s="110">
        <f>IF(FJ148="","",IF(ISNUMBER('Dvd Calendar'!$AJ$1471)=FALSE,"",IF((('Dvd Calendar'!$AJ$1473=TYPE1)*(TYPE1&lt;&gt;"")+('Dvd Calendar'!$AJ$1473=TYPE2)*(TYPE2&lt;&gt;"")+('Dvd Calendar'!$AJ$1473=TYPE3)*(TYPE3&lt;&gt;"")+('Dvd Calendar'!$AJ$1473=TYPE4)*(TYPE4&lt;&gt;"")+('Dvd Calendar'!$AJ$1473=SPECIAL_LBL)*(INC_SPECIALS="Y"))=0,"",'Dvd Calendar'!$AJ$1471)))</f>
        <v/>
      </c>
      <c r="AI148" s="110">
        <f>IF(FK148="","",IF(ISNUMBER('Dvd Calendar'!$AK$1471)=FALSE,"",IF((('Dvd Calendar'!$AK$1473=TYPE1)*(TYPE1&lt;&gt;"")+('Dvd Calendar'!$AK$1473=TYPE2)*(TYPE2&lt;&gt;"")+('Dvd Calendar'!$AK$1473=TYPE3)*(TYPE3&lt;&gt;"")+('Dvd Calendar'!$AK$1473=TYPE4)*(TYPE4&lt;&gt;"")+('Dvd Calendar'!$AK$1473=SPECIAL_LBL)*(INC_SPECIALS="Y"))=0,"",'Dvd Calendar'!$AK$1471)))</f>
        <v/>
      </c>
      <c r="AJ148" s="110">
        <f>IF(FL148="","",IF(ISNUMBER('Dvd Calendar'!$AL$1471)=FALSE,"",IF((('Dvd Calendar'!$AL$1473=TYPE1)*(TYPE1&lt;&gt;"")+('Dvd Calendar'!$AL$1473=TYPE2)*(TYPE2&lt;&gt;"")+('Dvd Calendar'!$AL$1473=TYPE3)*(TYPE3&lt;&gt;"")+('Dvd Calendar'!$AL$1473=TYPE4)*(TYPE4&lt;&gt;"")+('Dvd Calendar'!$AL$1473=SPECIAL_LBL)*(INC_SPECIALS="Y"))=0,"",'Dvd Calendar'!$AL$1471)))</f>
        <v/>
      </c>
      <c r="AK148" s="110">
        <f>IF(FM148="","",IF(ISNUMBER('Dvd Calendar'!$AM$1471)=FALSE,"",IF((('Dvd Calendar'!$AM$1473=TYPE1)*(TYPE1&lt;&gt;"")+('Dvd Calendar'!$AM$1473=TYPE2)*(TYPE2&lt;&gt;"")+('Dvd Calendar'!$AM$1473=TYPE3)*(TYPE3&lt;&gt;"")+('Dvd Calendar'!$AM$1473=TYPE4)*(TYPE4&lt;&gt;"")+('Dvd Calendar'!$AM$1473=SPECIAL_LBL)*(INC_SPECIALS="Y"))=0,"",'Dvd Calendar'!$AM$1471)))</f>
        <v/>
      </c>
      <c r="AL148" s="110">
        <f>IF(FN148="","",IF(ISNUMBER('Dvd Calendar'!$AN$1471)=FALSE,"",IF((('Dvd Calendar'!$AN$1473=TYPE1)*(TYPE1&lt;&gt;"")+('Dvd Calendar'!$AN$1473=TYPE2)*(TYPE2&lt;&gt;"")+('Dvd Calendar'!$AN$1473=TYPE3)*(TYPE3&lt;&gt;"")+('Dvd Calendar'!$AN$1473=TYPE4)*(TYPE4&lt;&gt;"")+('Dvd Calendar'!$AN$1473=SPECIAL_LBL)*(INC_SPECIALS="Y"))=0,"",'Dvd Calendar'!$AN$1471)))</f>
        <v/>
      </c>
      <c r="AM148" s="110">
        <f>IF(FO148="","",IF(ISNUMBER('Dvd Calendar'!$AO$1471)=FALSE,"",IF((('Dvd Calendar'!$AO$1473=TYPE1)*(TYPE1&lt;&gt;"")+('Dvd Calendar'!$AO$1473=TYPE2)*(TYPE2&lt;&gt;"")+('Dvd Calendar'!$AO$1473=TYPE3)*(TYPE3&lt;&gt;"")+('Dvd Calendar'!$AO$1473=TYPE4)*(TYPE4&lt;&gt;"")+('Dvd Calendar'!$AO$1473=SPECIAL_LBL)*(INC_SPECIALS="Y"))=0,"",'Dvd Calendar'!$AO$1471)))</f>
        <v/>
      </c>
      <c r="AN148" s="110">
        <f>IF(FP148="","",IF(ISNUMBER('Dvd Calendar'!$AP$1471)=FALSE,"",IF((('Dvd Calendar'!$AP$1473=TYPE1)*(TYPE1&lt;&gt;"")+('Dvd Calendar'!$AP$1473=TYPE2)*(TYPE2&lt;&gt;"")+('Dvd Calendar'!$AP$1473=TYPE3)*(TYPE3&lt;&gt;"")+('Dvd Calendar'!$AP$1473=TYPE4)*(TYPE4&lt;&gt;"")+('Dvd Calendar'!$AP$1473=SPECIAL_LBL)*(INC_SPECIALS="Y"))=0,"",'Dvd Calendar'!$AP$1471)))</f>
        <v/>
      </c>
      <c r="AO148" s="110">
        <f>IF(FQ148="","",IF(ISNUMBER('Dvd Calendar'!$AQ$1471)=FALSE,"",IF((('Dvd Calendar'!$AQ$1473=TYPE1)*(TYPE1&lt;&gt;"")+('Dvd Calendar'!$AQ$1473=TYPE2)*(TYPE2&lt;&gt;"")+('Dvd Calendar'!$AQ$1473=TYPE3)*(TYPE3&lt;&gt;"")+('Dvd Calendar'!$AQ$1473=TYPE4)*(TYPE4&lt;&gt;"")+('Dvd Calendar'!$AQ$1473=SPECIAL_LBL)*(INC_SPECIALS="Y"))=0,"",'Dvd Calendar'!$AQ$1471)))</f>
        <v/>
      </c>
      <c r="AP148" s="110">
        <f>IF(FR148="","",IF(ISNUMBER('Dvd Calendar'!$AR$1471)=FALSE,"",IF((('Dvd Calendar'!$AR$1473=TYPE1)*(TYPE1&lt;&gt;"")+('Dvd Calendar'!$AR$1473=TYPE2)*(TYPE2&lt;&gt;"")+('Dvd Calendar'!$AR$1473=TYPE3)*(TYPE3&lt;&gt;"")+('Dvd Calendar'!$AR$1473=TYPE4)*(TYPE4&lt;&gt;"")+('Dvd Calendar'!$AR$1473=SPECIAL_LBL)*(INC_SPECIALS="Y"))=0,"",'Dvd Calendar'!$AR$1471)))</f>
        <v/>
      </c>
      <c r="AQ148" s="110">
        <f>IF(FS148="","",IF(ISNUMBER('Dvd Calendar'!$E$1476)=FALSE,"",'Dvd Calendar'!$E$1476))</f>
        <v/>
      </c>
      <c r="AR148" s="110">
        <f>IF(FT148="","",IF(ISNUMBER('Dvd Calendar'!$F$1476)=FALSE,"",'Dvd Calendar'!$F$1476))</f>
        <v/>
      </c>
      <c r="AS148" s="110">
        <f>IF(FU148="","",IF(ISNUMBER('Dvd Calendar'!$G$1476)=FALSE,"",'Dvd Calendar'!$G$1476))</f>
        <v/>
      </c>
      <c r="AT148" s="110">
        <f>IF(FV148="","",IF(ISNUMBER('Dvd Calendar'!$H$1476)=FALSE,"",'Dvd Calendar'!$H$1476))</f>
        <v/>
      </c>
      <c r="AU148" s="110">
        <f>IF(FW148="","",IF(ISNUMBER('Dvd Calendar'!$I$1476)=FALSE,"",'Dvd Calendar'!$I$1476))</f>
        <v/>
      </c>
      <c r="AV148" s="110">
        <f>IF(FX148="","",IF(ISNUMBER('Dvd Calendar'!$J$1476)=FALSE,"",'Dvd Calendar'!$J$1476))</f>
        <v/>
      </c>
      <c r="AW148" s="110">
        <f>IF(FY148="","",IF(ISNUMBER('Dvd Calendar'!$K$1476)=FALSE,"",'Dvd Calendar'!$K$1476))</f>
        <v/>
      </c>
      <c r="AX148" s="110">
        <f>IF(FZ148="","",IF(ISNUMBER('Dvd Calendar'!$L$1476)=FALSE,"",'Dvd Calendar'!$L$1476))</f>
        <v/>
      </c>
      <c r="AY148" s="110">
        <f>IF(GA148="","",IF(ISNUMBER('Dvd Calendar'!$M$1476)=FALSE,"",'Dvd Calendar'!$M$1476))</f>
        <v/>
      </c>
      <c r="AZ148" s="110">
        <f>IF(GB148="","",IF(ISNUMBER('Dvd Calendar'!$N$1476)=FALSE,"",'Dvd Calendar'!$N$1476))</f>
        <v/>
      </c>
      <c r="BA148" s="110">
        <f>IF(GC148="","",IF(ISNUMBER('Dvd Calendar'!$O$1476)=FALSE,"",'Dvd Calendar'!$O$1476))</f>
        <v/>
      </c>
      <c r="BB148" s="110">
        <f>IF(GD148="","",IF(ISNUMBER('Dvd Calendar'!$P$1476)=FALSE,"",'Dvd Calendar'!$P$1476))</f>
        <v/>
      </c>
      <c r="BC148" s="110">
        <f>IF(GE148="","",IF(ISNUMBER('Dvd Calendar'!$Q$1476)=FALSE,"",'Dvd Calendar'!$Q$1476))</f>
        <v/>
      </c>
      <c r="BD148" s="110">
        <f>IF(GF148="","",IF(ISNUMBER('Dvd Calendar'!$R$1476)=FALSE,"",'Dvd Calendar'!$R$1476))</f>
        <v/>
      </c>
      <c r="BE148" s="110">
        <f>IF(GG148="","",IF(ISNUMBER('Dvd Calendar'!$S$1476)=FALSE,"",'Dvd Calendar'!$S$1476))</f>
        <v/>
      </c>
      <c r="BF148" s="110">
        <f>IF(GH148="","",IF(ISNUMBER('Dvd Calendar'!$T$1476)=FALSE,"",'Dvd Calendar'!$T$1476))</f>
        <v/>
      </c>
      <c r="BG148" s="110">
        <f>IF(GI148="","",IF(ISNUMBER('Dvd Calendar'!$U$1476)=FALSE,"",'Dvd Calendar'!$U$1476))</f>
        <v/>
      </c>
      <c r="BH148" s="110">
        <f>IF(GJ148="","",IF(ISNUMBER('Dvd Calendar'!$V$1476)=FALSE,"",'Dvd Calendar'!$V$1476))</f>
        <v/>
      </c>
      <c r="BI148" s="110">
        <f>IF(GK148="","",IF(ISNUMBER('Dvd Calendar'!$W$1476)=FALSE,"",'Dvd Calendar'!$W$1476))</f>
        <v/>
      </c>
      <c r="BJ148" s="110">
        <f>IF(GL148="","",IF(ISNUMBER('Dvd Calendar'!$X$1476)=FALSE,"",'Dvd Calendar'!$X$1476))</f>
        <v/>
      </c>
      <c r="BK148" s="110">
        <f>IF(GM148="","",IF(ISNUMBER('Dvd Calendar'!$Y$1476)=FALSE,"",'Dvd Calendar'!$Y$1476))</f>
        <v/>
      </c>
      <c r="BL148" s="110">
        <f>IF(GN148="","",IF(ISNUMBER('Dvd Calendar'!$Z$1476)=FALSE,"",'Dvd Calendar'!$Z$1476))</f>
        <v/>
      </c>
      <c r="BM148" s="110">
        <f>IF(GO148="","",IF(ISNUMBER('Dvd Calendar'!$AA$1476)=FALSE,"",'Dvd Calendar'!$AA$1476))</f>
        <v/>
      </c>
      <c r="BN148" s="110">
        <f>IF(GP148="","",IF(ISNUMBER('Dvd Calendar'!$AB$1476)=FALSE,"",'Dvd Calendar'!$AB$1476))</f>
        <v/>
      </c>
      <c r="BO148" s="110">
        <f>IF(GQ148="","",IF(ISNUMBER('Dvd Calendar'!$AC$1476)=FALSE,"",'Dvd Calendar'!$AC$1476))</f>
        <v/>
      </c>
      <c r="BQ148" s="110">
        <f>IF(C148="","",IFERROR(C148*HSTECH!$B$39*HSTECH!$G$39/HSTECH!$B$3,""))</f>
        <v/>
      </c>
      <c r="BR148" s="110">
        <f>IF(D148="","",IFERROR(D148*HSTECH!$B$39*HSTECH!$G$39/HSTECH!$B$3,""))</f>
        <v/>
      </c>
      <c r="BS148" s="110">
        <f>IF(E148="","",IFERROR(E148*HSTECH!$B$39*HSTECH!$G$39/HSTECH!$B$3,""))</f>
        <v/>
      </c>
      <c r="BT148" s="110">
        <f>IF(F148="","",IFERROR(F148*HSTECH!$B$39*HSTECH!$G$39/HSTECH!$B$3,""))</f>
        <v/>
      </c>
      <c r="BU148" s="110">
        <f>IF(G148="","",IFERROR(G148*HSTECH!$B$39*HSTECH!$G$39/HSTECH!$B$3,""))</f>
        <v/>
      </c>
      <c r="BV148" s="110">
        <f>IF(H148="","",IFERROR(H148*HSTECH!$B$39*HSTECH!$G$39/HSTECH!$B$3,""))</f>
        <v/>
      </c>
      <c r="BW148" s="110">
        <f>IF(I148="","",IFERROR(I148*HSTECH!$B$39*HSTECH!$G$39/HSTECH!$B$3,""))</f>
        <v/>
      </c>
      <c r="BX148" s="110">
        <f>IF(J148="","",IFERROR(J148*HSTECH!$B$39*HSTECH!$G$39/HSTECH!$B$3,""))</f>
        <v/>
      </c>
      <c r="BY148" s="110">
        <f>IF(K148="","",IFERROR(K148*HSTECH!$B$39*HSTECH!$G$39/HSTECH!$B$3,""))</f>
        <v/>
      </c>
      <c r="BZ148" s="110">
        <f>IF(L148="","",IFERROR(L148*HSTECH!$B$39*HSTECH!$G$39/HSTECH!$B$3,""))</f>
        <v/>
      </c>
      <c r="CA148" s="110">
        <f>IF(M148="","",IFERROR(M148*HSTECH!$B$39*HSTECH!$G$39/HSTECH!$B$3,""))</f>
        <v/>
      </c>
      <c r="CB148" s="110">
        <f>IF(N148="","",IFERROR(N148*HSTECH!$B$39*HSTECH!$G$39/HSTECH!$B$3,""))</f>
        <v/>
      </c>
      <c r="CC148" s="110">
        <f>IF(O148="","",IFERROR(O148*HSTECH!$B$39*HSTECH!$G$39/HSTECH!$B$3,""))</f>
        <v/>
      </c>
      <c r="CD148" s="110">
        <f>IF(P148="","",IFERROR(P148*HSTECH!$B$39*HSTECH!$G$39/HSTECH!$B$3,""))</f>
        <v/>
      </c>
      <c r="CE148" s="110">
        <f>IF(Q148="","",IFERROR(Q148*HSTECH!$B$39*HSTECH!$G$39/HSTECH!$B$3,""))</f>
        <v/>
      </c>
      <c r="CF148" s="110">
        <f>IF(R148="","",IFERROR(R148*HSTECH!$B$39*HSTECH!$G$39/HSTECH!$B$3,""))</f>
        <v/>
      </c>
      <c r="CG148" s="110">
        <f>IF(S148="","",IFERROR(S148*HSTECH!$B$39*HSTECH!$G$39/HSTECH!$B$3,""))</f>
        <v/>
      </c>
      <c r="CH148" s="110">
        <f>IF(T148="","",IFERROR(T148*HSTECH!$B$39*HSTECH!$G$39/HSTECH!$B$3,""))</f>
        <v/>
      </c>
      <c r="CI148" s="110">
        <f>IF(U148="","",IFERROR(U148*HSTECH!$B$39*HSTECH!$G$39/HSTECH!$B$3,""))</f>
        <v/>
      </c>
      <c r="CJ148" s="110">
        <f>IF(V148="","",IFERROR(V148*HSTECH!$B$39*HSTECH!$G$39/HSTECH!$B$3,""))</f>
        <v/>
      </c>
      <c r="CK148" s="110">
        <f>IF(W148="","",IFERROR(W148*HSTECH!$B$39*HSTECH!$G$39/HSTECH!$B$3,""))</f>
        <v/>
      </c>
      <c r="CL148" s="110">
        <f>IF(X148="","",IFERROR(X148*HSTECH!$B$39*HSTECH!$G$39/HSTECH!$B$3,""))</f>
        <v/>
      </c>
      <c r="CM148" s="110">
        <f>IF(Y148="","",IFERROR(Y148*HSTECH!$B$39*HSTECH!$G$39/HSTECH!$B$3,""))</f>
        <v/>
      </c>
      <c r="CN148" s="110">
        <f>IF(Z148="","",IFERROR(Z148*HSTECH!$B$39*HSTECH!$G$39/HSTECH!$B$3,""))</f>
        <v/>
      </c>
      <c r="CO148" s="110">
        <f>IF(AA148="","",IFERROR(AA148*HSTECH!$B$39*HSTECH!$G$39/HSTECH!$B$3,""))</f>
        <v/>
      </c>
      <c r="CP148" s="110">
        <f>IF(AB148="","",IFERROR(AB148*HSTECH!$B$39*HSTECH!$G$39/HSTECH!$B$3,""))</f>
        <v/>
      </c>
      <c r="CQ148" s="110">
        <f>IF(AC148="","",IFERROR(AC148*HSTECH!$B$39*HSTECH!$G$39/HSTECH!$B$3,""))</f>
        <v/>
      </c>
      <c r="CR148" s="110">
        <f>IF(AD148="","",IFERROR(AD148*HSTECH!$B$39*HSTECH!$G$39/HSTECH!$B$3,""))</f>
        <v/>
      </c>
      <c r="CS148" s="110">
        <f>IF(AE148="","",IFERROR(AE148*HSTECH!$B$39*HSTECH!$G$39/HSTECH!$B$3,""))</f>
        <v/>
      </c>
      <c r="CT148" s="110">
        <f>IF(AF148="","",IFERROR(AF148*HSTECH!$B$39*HSTECH!$G$39/HSTECH!$B$3,""))</f>
        <v/>
      </c>
      <c r="CU148" s="110">
        <f>IF(AG148="","",IFERROR(AG148*HSTECH!$B$39*HSTECH!$G$39/HSTECH!$B$3,""))</f>
        <v/>
      </c>
      <c r="CV148" s="110">
        <f>IF(AH148="","",IFERROR(AH148*HSTECH!$B$39*HSTECH!$G$39/HSTECH!$B$3,""))</f>
        <v/>
      </c>
      <c r="CW148" s="110">
        <f>IF(AI148="","",IFERROR(AI148*HSTECH!$B$39*HSTECH!$G$39/HSTECH!$B$3,""))</f>
        <v/>
      </c>
      <c r="CX148" s="110">
        <f>IF(AJ148="","",IFERROR(AJ148*HSTECH!$B$39*HSTECH!$G$39/HSTECH!$B$3,""))</f>
        <v/>
      </c>
      <c r="CY148" s="110">
        <f>IF(AK148="","",IFERROR(AK148*HSTECH!$B$39*HSTECH!$G$39/HSTECH!$B$3,""))</f>
        <v/>
      </c>
      <c r="CZ148" s="110">
        <f>IF(AL148="","",IFERROR(AL148*HSTECH!$B$39*HSTECH!$G$39/HSTECH!$B$3,""))</f>
        <v/>
      </c>
      <c r="DA148" s="110">
        <f>IF(AM148="","",IFERROR(AM148*HSTECH!$B$39*HSTECH!$G$39/HSTECH!$B$3,""))</f>
        <v/>
      </c>
      <c r="DB148" s="110">
        <f>IF(AN148="","",IFERROR(AN148*HSTECH!$B$39*HSTECH!$G$39/HSTECH!$B$3,""))</f>
        <v/>
      </c>
      <c r="DC148" s="110">
        <f>IF(AO148="","",IFERROR(AO148*HSTECH!$B$39*HSTECH!$G$39/HSTECH!$B$3,""))</f>
        <v/>
      </c>
      <c r="DD148" s="110">
        <f>IF(AP148="","",IFERROR(AP148*HSTECH!$B$39*HSTECH!$G$39/HSTECH!$B$3,""))</f>
        <v/>
      </c>
      <c r="DE148" s="110">
        <f>IF(AQ148="","",IFERROR(AQ148*HSTECH!$B$39*HSTECH!$G$39/HSTECH!$B$3,""))</f>
        <v/>
      </c>
      <c r="DF148" s="110">
        <f>IF(AR148="","",IFERROR(AR148*HSTECH!$B$39*HSTECH!$G$39/HSTECH!$B$3,""))</f>
        <v/>
      </c>
      <c r="DG148" s="110">
        <f>IF(AS148="","",IFERROR(AS148*HSTECH!$B$39*HSTECH!$G$39/HSTECH!$B$3,""))</f>
        <v/>
      </c>
      <c r="DH148" s="110">
        <f>IF(AT148="","",IFERROR(AT148*HSTECH!$B$39*HSTECH!$G$39/HSTECH!$B$3,""))</f>
        <v/>
      </c>
      <c r="DI148" s="110">
        <f>IF(AU148="","",IFERROR(AU148*HSTECH!$B$39*HSTECH!$G$39/HSTECH!$B$3,""))</f>
        <v/>
      </c>
      <c r="DJ148" s="110">
        <f>IF(AV148="","",IFERROR(AV148*HSTECH!$B$39*HSTECH!$G$39/HSTECH!$B$3,""))</f>
        <v/>
      </c>
      <c r="DK148" s="110">
        <f>IF(AW148="","",IFERROR(AW148*HSTECH!$B$39*HSTECH!$G$39/HSTECH!$B$3,""))</f>
        <v/>
      </c>
      <c r="DL148" s="110">
        <f>IF(AX148="","",IFERROR(AX148*HSTECH!$B$39*HSTECH!$G$39/HSTECH!$B$3,""))</f>
        <v/>
      </c>
      <c r="DM148" s="110">
        <f>IF(AY148="","",IFERROR(AY148*HSTECH!$B$39*HSTECH!$G$39/HSTECH!$B$3,""))</f>
        <v/>
      </c>
      <c r="DN148" s="110">
        <f>IF(AZ148="","",IFERROR(AZ148*HSTECH!$B$39*HSTECH!$G$39/HSTECH!$B$3,""))</f>
        <v/>
      </c>
      <c r="DO148" s="110">
        <f>IF(BA148="","",IFERROR(BA148*HSTECH!$B$39*HSTECH!$G$39/HSTECH!$B$3,""))</f>
        <v/>
      </c>
      <c r="DP148" s="110">
        <f>IF(BB148="","",IFERROR(BB148*HSTECH!$B$39*HSTECH!$G$39/HSTECH!$B$3,""))</f>
        <v/>
      </c>
      <c r="DQ148" s="110">
        <f>IF(BC148="","",IFERROR(BC148*HSTECH!$B$39*HSTECH!$G$39/HSTECH!$B$3,""))</f>
        <v/>
      </c>
      <c r="DR148" s="110">
        <f>IF(BD148="","",IFERROR(BD148*HSTECH!$B$39*HSTECH!$G$39/HSTECH!$B$3,""))</f>
        <v/>
      </c>
      <c r="DS148" s="110">
        <f>IF(BE148="","",IFERROR(BE148*HSTECH!$B$39*HSTECH!$G$39/HSTECH!$B$3,""))</f>
        <v/>
      </c>
      <c r="DT148" s="110">
        <f>IF(BF148="","",IFERROR(BF148*HSTECH!$B$39*HSTECH!$G$39/HSTECH!$B$3,""))</f>
        <v/>
      </c>
      <c r="DU148" s="110">
        <f>IF(BG148="","",IFERROR(BG148*HSTECH!$B$39*HSTECH!$G$39/HSTECH!$B$3,""))</f>
        <v/>
      </c>
      <c r="DV148" s="110">
        <f>IF(BH148="","",IFERROR(BH148*HSTECH!$B$39*HSTECH!$G$39/HSTECH!$B$3,""))</f>
        <v/>
      </c>
      <c r="DW148" s="110">
        <f>IF(BI148="","",IFERROR(BI148*HSTECH!$B$39*HSTECH!$G$39/HSTECH!$B$3,""))</f>
        <v/>
      </c>
      <c r="DX148" s="110">
        <f>IF(BJ148="","",IFERROR(BJ148*HSTECH!$B$39*HSTECH!$G$39/HSTECH!$B$3,""))</f>
        <v/>
      </c>
      <c r="DY148" s="110">
        <f>IF(BK148="","",IFERROR(BK148*HSTECH!$B$39*HSTECH!$G$39/HSTECH!$B$3,""))</f>
        <v/>
      </c>
      <c r="DZ148" s="110">
        <f>IF(BL148="","",IFERROR(BL148*HSTECH!$B$39*HSTECH!$G$39/HSTECH!$B$3,""))</f>
        <v/>
      </c>
      <c r="EA148" s="110">
        <f>IF(BM148="","",IFERROR(BM148*HSTECH!$B$39*HSTECH!$G$39/HSTECH!$B$3,""))</f>
        <v/>
      </c>
      <c r="EB148" s="110">
        <f>IF(BN148="","",IFERROR(BN148*HSTECH!$B$39*HSTECH!$G$39/HSTECH!$B$3,""))</f>
        <v/>
      </c>
      <c r="EC148" s="110">
        <f>IF(BO148="","",IFERROR(BO148*HSTECH!$B$39*HSTECH!$G$39/HSTECH!$B$3,""))</f>
        <v/>
      </c>
      <c r="EE148" s="39">
        <f>IF(N('Dvd Calendar'!$E$1468)=0,"",IF(('Dvd Calendar'!$E$1468&gt;=GRID_FROM)*('Dvd Calendar'!$E$1468&lt;=GRID_TO)*((('Dvd Calendar'!$E$1468&lt;=VAL_DATE)+(COUNTIF('Dvd Calendar'!$E$1475:$AR$1475,'Dvd Calendar'!$E$1468)=0))&gt;0)=0,"",'Dvd Calendar'!$E$1468*1000000000+ISNUMBER('Dvd Calendar'!$E$1471)*100000000+('Dvd Calendar'!$E$1473=SPECIAL_LBL)*10000000+(N('Dvd Calendar'!$E$1467)&gt;0)*(N('Dvd Calendar'!$E$1467)&lt;=VAL_SERIAL)*1000000+33*1000+1))</f>
        <v/>
      </c>
      <c r="EF148" s="39">
        <f>IF(N('Dvd Calendar'!$F$1468)=0,"",IF(('Dvd Calendar'!$F$1468&gt;=GRID_FROM)*('Dvd Calendar'!$F$1468&lt;=GRID_TO)*((('Dvd Calendar'!$F$1468&lt;=VAL_DATE)+(COUNTIF('Dvd Calendar'!$E$1475:$AR$1475,'Dvd Calendar'!$F$1468)=0))&gt;0)=0,"",'Dvd Calendar'!$F$1468*1000000000+ISNUMBER('Dvd Calendar'!$F$1471)*100000000+('Dvd Calendar'!$F$1473=SPECIAL_LBL)*10000000+(N('Dvd Calendar'!$F$1467)&gt;0)*(N('Dvd Calendar'!$F$1467)&lt;=VAL_SERIAL)*1000000+33*1000+2))</f>
        <v/>
      </c>
      <c r="EG148" s="39">
        <f>IF(N('Dvd Calendar'!$G$1468)=0,"",IF(('Dvd Calendar'!$G$1468&gt;=GRID_FROM)*('Dvd Calendar'!$G$1468&lt;=GRID_TO)*((('Dvd Calendar'!$G$1468&lt;=VAL_DATE)+(COUNTIF('Dvd Calendar'!$E$1475:$AR$1475,'Dvd Calendar'!$G$1468)=0))&gt;0)=0,"",'Dvd Calendar'!$G$1468*1000000000+ISNUMBER('Dvd Calendar'!$G$1471)*100000000+('Dvd Calendar'!$G$1473=SPECIAL_LBL)*10000000+(N('Dvd Calendar'!$G$1467)&gt;0)*(N('Dvd Calendar'!$G$1467)&lt;=VAL_SERIAL)*1000000+33*1000+3))</f>
        <v/>
      </c>
      <c r="EH148" s="39">
        <f>IF(N('Dvd Calendar'!$H$1468)=0,"",IF(('Dvd Calendar'!$H$1468&gt;=GRID_FROM)*('Dvd Calendar'!$H$1468&lt;=GRID_TO)*((('Dvd Calendar'!$H$1468&lt;=VAL_DATE)+(COUNTIF('Dvd Calendar'!$E$1475:$AR$1475,'Dvd Calendar'!$H$1468)=0))&gt;0)=0,"",'Dvd Calendar'!$H$1468*1000000000+ISNUMBER('Dvd Calendar'!$H$1471)*100000000+('Dvd Calendar'!$H$1473=SPECIAL_LBL)*10000000+(N('Dvd Calendar'!$H$1467)&gt;0)*(N('Dvd Calendar'!$H$1467)&lt;=VAL_SERIAL)*1000000+33*1000+4))</f>
        <v/>
      </c>
      <c r="EI148" s="39">
        <f>IF(N('Dvd Calendar'!$I$1468)=0,"",IF(('Dvd Calendar'!$I$1468&gt;=GRID_FROM)*('Dvd Calendar'!$I$1468&lt;=GRID_TO)*((('Dvd Calendar'!$I$1468&lt;=VAL_DATE)+(COUNTIF('Dvd Calendar'!$E$1475:$AR$1475,'Dvd Calendar'!$I$1468)=0))&gt;0)=0,"",'Dvd Calendar'!$I$1468*1000000000+ISNUMBER('Dvd Calendar'!$I$1471)*100000000+('Dvd Calendar'!$I$1473=SPECIAL_LBL)*10000000+(N('Dvd Calendar'!$I$1467)&gt;0)*(N('Dvd Calendar'!$I$1467)&lt;=VAL_SERIAL)*1000000+33*1000+5))</f>
        <v/>
      </c>
      <c r="EJ148" s="39">
        <f>IF(N('Dvd Calendar'!$J$1468)=0,"",IF(('Dvd Calendar'!$J$1468&gt;=GRID_FROM)*('Dvd Calendar'!$J$1468&lt;=GRID_TO)*((('Dvd Calendar'!$J$1468&lt;=VAL_DATE)+(COUNTIF('Dvd Calendar'!$E$1475:$AR$1475,'Dvd Calendar'!$J$1468)=0))&gt;0)=0,"",'Dvd Calendar'!$J$1468*1000000000+ISNUMBER('Dvd Calendar'!$J$1471)*100000000+('Dvd Calendar'!$J$1473=SPECIAL_LBL)*10000000+(N('Dvd Calendar'!$J$1467)&gt;0)*(N('Dvd Calendar'!$J$1467)&lt;=VAL_SERIAL)*1000000+33*1000+6))</f>
        <v/>
      </c>
      <c r="EK148" s="39">
        <f>IF(N('Dvd Calendar'!$K$1468)=0,"",IF(('Dvd Calendar'!$K$1468&gt;=GRID_FROM)*('Dvd Calendar'!$K$1468&lt;=GRID_TO)*((('Dvd Calendar'!$K$1468&lt;=VAL_DATE)+(COUNTIF('Dvd Calendar'!$E$1475:$AR$1475,'Dvd Calendar'!$K$1468)=0))&gt;0)=0,"",'Dvd Calendar'!$K$1468*1000000000+ISNUMBER('Dvd Calendar'!$K$1471)*100000000+('Dvd Calendar'!$K$1473=SPECIAL_LBL)*10000000+(N('Dvd Calendar'!$K$1467)&gt;0)*(N('Dvd Calendar'!$K$1467)&lt;=VAL_SERIAL)*1000000+33*1000+7))</f>
        <v/>
      </c>
      <c r="EL148" s="39">
        <f>IF(N('Dvd Calendar'!$L$1468)=0,"",IF(('Dvd Calendar'!$L$1468&gt;=GRID_FROM)*('Dvd Calendar'!$L$1468&lt;=GRID_TO)*((('Dvd Calendar'!$L$1468&lt;=VAL_DATE)+(COUNTIF('Dvd Calendar'!$E$1475:$AR$1475,'Dvd Calendar'!$L$1468)=0))&gt;0)=0,"",'Dvd Calendar'!$L$1468*1000000000+ISNUMBER('Dvd Calendar'!$L$1471)*100000000+('Dvd Calendar'!$L$1473=SPECIAL_LBL)*10000000+(N('Dvd Calendar'!$L$1467)&gt;0)*(N('Dvd Calendar'!$L$1467)&lt;=VAL_SERIAL)*1000000+33*1000+8))</f>
        <v/>
      </c>
      <c r="EM148" s="39">
        <f>IF(N('Dvd Calendar'!$M$1468)=0,"",IF(('Dvd Calendar'!$M$1468&gt;=GRID_FROM)*('Dvd Calendar'!$M$1468&lt;=GRID_TO)*((('Dvd Calendar'!$M$1468&lt;=VAL_DATE)+(COUNTIF('Dvd Calendar'!$E$1475:$AR$1475,'Dvd Calendar'!$M$1468)=0))&gt;0)=0,"",'Dvd Calendar'!$M$1468*1000000000+ISNUMBER('Dvd Calendar'!$M$1471)*100000000+('Dvd Calendar'!$M$1473=SPECIAL_LBL)*10000000+(N('Dvd Calendar'!$M$1467)&gt;0)*(N('Dvd Calendar'!$M$1467)&lt;=VAL_SERIAL)*1000000+33*1000+9))</f>
        <v/>
      </c>
      <c r="EN148" s="39">
        <f>IF(N('Dvd Calendar'!$N$1468)=0,"",IF(('Dvd Calendar'!$N$1468&gt;=GRID_FROM)*('Dvd Calendar'!$N$1468&lt;=GRID_TO)*((('Dvd Calendar'!$N$1468&lt;=VAL_DATE)+(COUNTIF('Dvd Calendar'!$E$1475:$AR$1475,'Dvd Calendar'!$N$1468)=0))&gt;0)=0,"",'Dvd Calendar'!$N$1468*1000000000+ISNUMBER('Dvd Calendar'!$N$1471)*100000000+('Dvd Calendar'!$N$1473=SPECIAL_LBL)*10000000+(N('Dvd Calendar'!$N$1467)&gt;0)*(N('Dvd Calendar'!$N$1467)&lt;=VAL_SERIAL)*1000000+33*1000+10))</f>
        <v/>
      </c>
      <c r="EO148" s="39">
        <f>IF(N('Dvd Calendar'!$O$1468)=0,"",IF(('Dvd Calendar'!$O$1468&gt;=GRID_FROM)*('Dvd Calendar'!$O$1468&lt;=GRID_TO)*((('Dvd Calendar'!$O$1468&lt;=VAL_DATE)+(COUNTIF('Dvd Calendar'!$E$1475:$AR$1475,'Dvd Calendar'!$O$1468)=0))&gt;0)=0,"",'Dvd Calendar'!$O$1468*1000000000+ISNUMBER('Dvd Calendar'!$O$1471)*100000000+('Dvd Calendar'!$O$1473=SPECIAL_LBL)*10000000+(N('Dvd Calendar'!$O$1467)&gt;0)*(N('Dvd Calendar'!$O$1467)&lt;=VAL_SERIAL)*1000000+33*1000+11))</f>
        <v/>
      </c>
      <c r="EP148" s="39">
        <f>IF(N('Dvd Calendar'!$P$1468)=0,"",IF(('Dvd Calendar'!$P$1468&gt;=GRID_FROM)*('Dvd Calendar'!$P$1468&lt;=GRID_TO)*((('Dvd Calendar'!$P$1468&lt;=VAL_DATE)+(COUNTIF('Dvd Calendar'!$E$1475:$AR$1475,'Dvd Calendar'!$P$1468)=0))&gt;0)=0,"",'Dvd Calendar'!$P$1468*1000000000+ISNUMBER('Dvd Calendar'!$P$1471)*100000000+('Dvd Calendar'!$P$1473=SPECIAL_LBL)*10000000+(N('Dvd Calendar'!$P$1467)&gt;0)*(N('Dvd Calendar'!$P$1467)&lt;=VAL_SERIAL)*1000000+33*1000+12))</f>
        <v/>
      </c>
      <c r="EQ148" s="39">
        <f>IF(N('Dvd Calendar'!$Q$1468)=0,"",IF(('Dvd Calendar'!$Q$1468&gt;=GRID_FROM)*('Dvd Calendar'!$Q$1468&lt;=GRID_TO)*((('Dvd Calendar'!$Q$1468&lt;=VAL_DATE)+(COUNTIF('Dvd Calendar'!$E$1475:$AR$1475,'Dvd Calendar'!$Q$1468)=0))&gt;0)=0,"",'Dvd Calendar'!$Q$1468*1000000000+ISNUMBER('Dvd Calendar'!$Q$1471)*100000000+('Dvd Calendar'!$Q$1473=SPECIAL_LBL)*10000000+(N('Dvd Calendar'!$Q$1467)&gt;0)*(N('Dvd Calendar'!$Q$1467)&lt;=VAL_SERIAL)*1000000+33*1000+13))</f>
        <v/>
      </c>
      <c r="ER148" s="39">
        <f>IF(N('Dvd Calendar'!$R$1468)=0,"",IF(('Dvd Calendar'!$R$1468&gt;=GRID_FROM)*('Dvd Calendar'!$R$1468&lt;=GRID_TO)*((('Dvd Calendar'!$R$1468&lt;=VAL_DATE)+(COUNTIF('Dvd Calendar'!$E$1475:$AR$1475,'Dvd Calendar'!$R$1468)=0))&gt;0)=0,"",'Dvd Calendar'!$R$1468*1000000000+ISNUMBER('Dvd Calendar'!$R$1471)*100000000+('Dvd Calendar'!$R$1473=SPECIAL_LBL)*10000000+(N('Dvd Calendar'!$R$1467)&gt;0)*(N('Dvd Calendar'!$R$1467)&lt;=VAL_SERIAL)*1000000+33*1000+14))</f>
        <v/>
      </c>
      <c r="ES148" s="39">
        <f>IF(N('Dvd Calendar'!$S$1468)=0,"",IF(('Dvd Calendar'!$S$1468&gt;=GRID_FROM)*('Dvd Calendar'!$S$1468&lt;=GRID_TO)*((('Dvd Calendar'!$S$1468&lt;=VAL_DATE)+(COUNTIF('Dvd Calendar'!$E$1475:$AR$1475,'Dvd Calendar'!$S$1468)=0))&gt;0)=0,"",'Dvd Calendar'!$S$1468*1000000000+ISNUMBER('Dvd Calendar'!$S$1471)*100000000+('Dvd Calendar'!$S$1473=SPECIAL_LBL)*10000000+(N('Dvd Calendar'!$S$1467)&gt;0)*(N('Dvd Calendar'!$S$1467)&lt;=VAL_SERIAL)*1000000+33*1000+15))</f>
        <v/>
      </c>
      <c r="ET148" s="39">
        <f>IF(N('Dvd Calendar'!$T$1468)=0,"",IF(('Dvd Calendar'!$T$1468&gt;=GRID_FROM)*('Dvd Calendar'!$T$1468&lt;=GRID_TO)*((('Dvd Calendar'!$T$1468&lt;=VAL_DATE)+(COUNTIF('Dvd Calendar'!$E$1475:$AR$1475,'Dvd Calendar'!$T$1468)=0))&gt;0)=0,"",'Dvd Calendar'!$T$1468*1000000000+ISNUMBER('Dvd Calendar'!$T$1471)*100000000+('Dvd Calendar'!$T$1473=SPECIAL_LBL)*10000000+(N('Dvd Calendar'!$T$1467)&gt;0)*(N('Dvd Calendar'!$T$1467)&lt;=VAL_SERIAL)*1000000+33*1000+16))</f>
        <v/>
      </c>
      <c r="EU148" s="39">
        <f>IF(N('Dvd Calendar'!$U$1468)=0,"",IF(('Dvd Calendar'!$U$1468&gt;=GRID_FROM)*('Dvd Calendar'!$U$1468&lt;=GRID_TO)*((('Dvd Calendar'!$U$1468&lt;=VAL_DATE)+(COUNTIF('Dvd Calendar'!$E$1475:$AR$1475,'Dvd Calendar'!$U$1468)=0))&gt;0)=0,"",'Dvd Calendar'!$U$1468*1000000000+ISNUMBER('Dvd Calendar'!$U$1471)*100000000+('Dvd Calendar'!$U$1473=SPECIAL_LBL)*10000000+(N('Dvd Calendar'!$U$1467)&gt;0)*(N('Dvd Calendar'!$U$1467)&lt;=VAL_SERIAL)*1000000+33*1000+17))</f>
        <v/>
      </c>
      <c r="EV148" s="39">
        <f>IF(N('Dvd Calendar'!$V$1468)=0,"",IF(('Dvd Calendar'!$V$1468&gt;=GRID_FROM)*('Dvd Calendar'!$V$1468&lt;=GRID_TO)*((('Dvd Calendar'!$V$1468&lt;=VAL_DATE)+(COUNTIF('Dvd Calendar'!$E$1475:$AR$1475,'Dvd Calendar'!$V$1468)=0))&gt;0)=0,"",'Dvd Calendar'!$V$1468*1000000000+ISNUMBER('Dvd Calendar'!$V$1471)*100000000+('Dvd Calendar'!$V$1473=SPECIAL_LBL)*10000000+(N('Dvd Calendar'!$V$1467)&gt;0)*(N('Dvd Calendar'!$V$1467)&lt;=VAL_SERIAL)*1000000+33*1000+18))</f>
        <v/>
      </c>
      <c r="EW148" s="39">
        <f>IF(N('Dvd Calendar'!$W$1468)=0,"",IF(('Dvd Calendar'!$W$1468&gt;=GRID_FROM)*('Dvd Calendar'!$W$1468&lt;=GRID_TO)*((('Dvd Calendar'!$W$1468&lt;=VAL_DATE)+(COUNTIF('Dvd Calendar'!$E$1475:$AR$1475,'Dvd Calendar'!$W$1468)=0))&gt;0)=0,"",'Dvd Calendar'!$W$1468*1000000000+ISNUMBER('Dvd Calendar'!$W$1471)*100000000+('Dvd Calendar'!$W$1473=SPECIAL_LBL)*10000000+(N('Dvd Calendar'!$W$1467)&gt;0)*(N('Dvd Calendar'!$W$1467)&lt;=VAL_SERIAL)*1000000+33*1000+19))</f>
        <v/>
      </c>
      <c r="EX148" s="39">
        <f>IF(N('Dvd Calendar'!$X$1468)=0,"",IF(('Dvd Calendar'!$X$1468&gt;=GRID_FROM)*('Dvd Calendar'!$X$1468&lt;=GRID_TO)*((('Dvd Calendar'!$X$1468&lt;=VAL_DATE)+(COUNTIF('Dvd Calendar'!$E$1475:$AR$1475,'Dvd Calendar'!$X$1468)=0))&gt;0)=0,"",'Dvd Calendar'!$X$1468*1000000000+ISNUMBER('Dvd Calendar'!$X$1471)*100000000+('Dvd Calendar'!$X$1473=SPECIAL_LBL)*10000000+(N('Dvd Calendar'!$X$1467)&gt;0)*(N('Dvd Calendar'!$X$1467)&lt;=VAL_SERIAL)*1000000+33*1000+20))</f>
        <v/>
      </c>
      <c r="EY148" s="39">
        <f>IF(N('Dvd Calendar'!$Y$1468)=0,"",IF(('Dvd Calendar'!$Y$1468&gt;=GRID_FROM)*('Dvd Calendar'!$Y$1468&lt;=GRID_TO)*((('Dvd Calendar'!$Y$1468&lt;=VAL_DATE)+(COUNTIF('Dvd Calendar'!$E$1475:$AR$1475,'Dvd Calendar'!$Y$1468)=0))&gt;0)=0,"",'Dvd Calendar'!$Y$1468*1000000000+ISNUMBER('Dvd Calendar'!$Y$1471)*100000000+('Dvd Calendar'!$Y$1473=SPECIAL_LBL)*10000000+(N('Dvd Calendar'!$Y$1467)&gt;0)*(N('Dvd Calendar'!$Y$1467)&lt;=VAL_SERIAL)*1000000+33*1000+21))</f>
        <v/>
      </c>
      <c r="EZ148" s="39">
        <f>IF(N('Dvd Calendar'!$Z$1468)=0,"",IF(('Dvd Calendar'!$Z$1468&gt;=GRID_FROM)*('Dvd Calendar'!$Z$1468&lt;=GRID_TO)*((('Dvd Calendar'!$Z$1468&lt;=VAL_DATE)+(COUNTIF('Dvd Calendar'!$E$1475:$AR$1475,'Dvd Calendar'!$Z$1468)=0))&gt;0)=0,"",'Dvd Calendar'!$Z$1468*1000000000+ISNUMBER('Dvd Calendar'!$Z$1471)*100000000+('Dvd Calendar'!$Z$1473=SPECIAL_LBL)*10000000+(N('Dvd Calendar'!$Z$1467)&gt;0)*(N('Dvd Calendar'!$Z$1467)&lt;=VAL_SERIAL)*1000000+33*1000+22))</f>
        <v/>
      </c>
      <c r="FA148" s="39">
        <f>IF(N('Dvd Calendar'!$AA$1468)=0,"",IF(('Dvd Calendar'!$AA$1468&gt;=GRID_FROM)*('Dvd Calendar'!$AA$1468&lt;=GRID_TO)*((('Dvd Calendar'!$AA$1468&lt;=VAL_DATE)+(COUNTIF('Dvd Calendar'!$E$1475:$AR$1475,'Dvd Calendar'!$AA$1468)=0))&gt;0)=0,"",'Dvd Calendar'!$AA$1468*1000000000+ISNUMBER('Dvd Calendar'!$AA$1471)*100000000+('Dvd Calendar'!$AA$1473=SPECIAL_LBL)*10000000+(N('Dvd Calendar'!$AA$1467)&gt;0)*(N('Dvd Calendar'!$AA$1467)&lt;=VAL_SERIAL)*1000000+33*1000+23))</f>
        <v/>
      </c>
      <c r="FB148" s="39">
        <f>IF(N('Dvd Calendar'!$AB$1468)=0,"",IF(('Dvd Calendar'!$AB$1468&gt;=GRID_FROM)*('Dvd Calendar'!$AB$1468&lt;=GRID_TO)*((('Dvd Calendar'!$AB$1468&lt;=VAL_DATE)+(COUNTIF('Dvd Calendar'!$E$1475:$AR$1475,'Dvd Calendar'!$AB$1468)=0))&gt;0)=0,"",'Dvd Calendar'!$AB$1468*1000000000+ISNUMBER('Dvd Calendar'!$AB$1471)*100000000+('Dvd Calendar'!$AB$1473=SPECIAL_LBL)*10000000+(N('Dvd Calendar'!$AB$1467)&gt;0)*(N('Dvd Calendar'!$AB$1467)&lt;=VAL_SERIAL)*1000000+33*1000+24))</f>
        <v/>
      </c>
      <c r="FC148" s="39">
        <f>IF(N('Dvd Calendar'!$AC$1468)=0,"",IF(('Dvd Calendar'!$AC$1468&gt;=GRID_FROM)*('Dvd Calendar'!$AC$1468&lt;=GRID_TO)*((('Dvd Calendar'!$AC$1468&lt;=VAL_DATE)+(COUNTIF('Dvd Calendar'!$E$1475:$AR$1475,'Dvd Calendar'!$AC$1468)=0))&gt;0)=0,"",'Dvd Calendar'!$AC$1468*1000000000+ISNUMBER('Dvd Calendar'!$AC$1471)*100000000+('Dvd Calendar'!$AC$1473=SPECIAL_LBL)*10000000+(N('Dvd Calendar'!$AC$1467)&gt;0)*(N('Dvd Calendar'!$AC$1467)&lt;=VAL_SERIAL)*1000000+33*1000+25))</f>
        <v/>
      </c>
      <c r="FD148" s="39">
        <f>IF(N('Dvd Calendar'!$AD$1468)=0,"",IF(('Dvd Calendar'!$AD$1468&gt;=GRID_FROM)*('Dvd Calendar'!$AD$1468&lt;=GRID_TO)*((('Dvd Calendar'!$AD$1468&lt;=VAL_DATE)+(COUNTIF('Dvd Calendar'!$E$1475:$AR$1475,'Dvd Calendar'!$AD$1468)=0))&gt;0)=0,"",'Dvd Calendar'!$AD$1468*1000000000+ISNUMBER('Dvd Calendar'!$AD$1471)*100000000+('Dvd Calendar'!$AD$1473=SPECIAL_LBL)*10000000+(N('Dvd Calendar'!$AD$1467)&gt;0)*(N('Dvd Calendar'!$AD$1467)&lt;=VAL_SERIAL)*1000000+33*1000+26))</f>
        <v/>
      </c>
      <c r="FE148" s="39">
        <f>IF(N('Dvd Calendar'!$AE$1468)=0,"",IF(('Dvd Calendar'!$AE$1468&gt;=GRID_FROM)*('Dvd Calendar'!$AE$1468&lt;=GRID_TO)*((('Dvd Calendar'!$AE$1468&lt;=VAL_DATE)+(COUNTIF('Dvd Calendar'!$E$1475:$AR$1475,'Dvd Calendar'!$AE$1468)=0))&gt;0)=0,"",'Dvd Calendar'!$AE$1468*1000000000+ISNUMBER('Dvd Calendar'!$AE$1471)*100000000+('Dvd Calendar'!$AE$1473=SPECIAL_LBL)*10000000+(N('Dvd Calendar'!$AE$1467)&gt;0)*(N('Dvd Calendar'!$AE$1467)&lt;=VAL_SERIAL)*1000000+33*1000+27))</f>
        <v/>
      </c>
      <c r="FF148" s="39">
        <f>IF(N('Dvd Calendar'!$AF$1468)=0,"",IF(('Dvd Calendar'!$AF$1468&gt;=GRID_FROM)*('Dvd Calendar'!$AF$1468&lt;=GRID_TO)*((('Dvd Calendar'!$AF$1468&lt;=VAL_DATE)+(COUNTIF('Dvd Calendar'!$E$1475:$AR$1475,'Dvd Calendar'!$AF$1468)=0))&gt;0)=0,"",'Dvd Calendar'!$AF$1468*1000000000+ISNUMBER('Dvd Calendar'!$AF$1471)*100000000+('Dvd Calendar'!$AF$1473=SPECIAL_LBL)*10000000+(N('Dvd Calendar'!$AF$1467)&gt;0)*(N('Dvd Calendar'!$AF$1467)&lt;=VAL_SERIAL)*1000000+33*1000+28))</f>
        <v/>
      </c>
      <c r="FG148" s="39">
        <f>IF(N('Dvd Calendar'!$AG$1468)=0,"",IF(('Dvd Calendar'!$AG$1468&gt;=GRID_FROM)*('Dvd Calendar'!$AG$1468&lt;=GRID_TO)*((('Dvd Calendar'!$AG$1468&lt;=VAL_DATE)+(COUNTIF('Dvd Calendar'!$E$1475:$AR$1475,'Dvd Calendar'!$AG$1468)=0))&gt;0)=0,"",'Dvd Calendar'!$AG$1468*1000000000+ISNUMBER('Dvd Calendar'!$AG$1471)*100000000+('Dvd Calendar'!$AG$1473=SPECIAL_LBL)*10000000+(N('Dvd Calendar'!$AG$1467)&gt;0)*(N('Dvd Calendar'!$AG$1467)&lt;=VAL_SERIAL)*1000000+33*1000+29))</f>
        <v/>
      </c>
      <c r="FH148" s="39">
        <f>IF(N('Dvd Calendar'!$AH$1468)=0,"",IF(('Dvd Calendar'!$AH$1468&gt;=GRID_FROM)*('Dvd Calendar'!$AH$1468&lt;=GRID_TO)*((('Dvd Calendar'!$AH$1468&lt;=VAL_DATE)+(COUNTIF('Dvd Calendar'!$E$1475:$AR$1475,'Dvd Calendar'!$AH$1468)=0))&gt;0)=0,"",'Dvd Calendar'!$AH$1468*1000000000+ISNUMBER('Dvd Calendar'!$AH$1471)*100000000+('Dvd Calendar'!$AH$1473=SPECIAL_LBL)*10000000+(N('Dvd Calendar'!$AH$1467)&gt;0)*(N('Dvd Calendar'!$AH$1467)&lt;=VAL_SERIAL)*1000000+33*1000+30))</f>
        <v/>
      </c>
      <c r="FI148" s="39">
        <f>IF(N('Dvd Calendar'!$AI$1468)=0,"",IF(('Dvd Calendar'!$AI$1468&gt;=GRID_FROM)*('Dvd Calendar'!$AI$1468&lt;=GRID_TO)*((('Dvd Calendar'!$AI$1468&lt;=VAL_DATE)+(COUNTIF('Dvd Calendar'!$E$1475:$AR$1475,'Dvd Calendar'!$AI$1468)=0))&gt;0)=0,"",'Dvd Calendar'!$AI$1468*1000000000+ISNUMBER('Dvd Calendar'!$AI$1471)*100000000+('Dvd Calendar'!$AI$1473=SPECIAL_LBL)*10000000+(N('Dvd Calendar'!$AI$1467)&gt;0)*(N('Dvd Calendar'!$AI$1467)&lt;=VAL_SERIAL)*1000000+33*1000+31))</f>
        <v/>
      </c>
      <c r="FJ148" s="39">
        <f>IF(N('Dvd Calendar'!$AJ$1468)=0,"",IF(('Dvd Calendar'!$AJ$1468&gt;=GRID_FROM)*('Dvd Calendar'!$AJ$1468&lt;=GRID_TO)*((('Dvd Calendar'!$AJ$1468&lt;=VAL_DATE)+(COUNTIF('Dvd Calendar'!$E$1475:$AR$1475,'Dvd Calendar'!$AJ$1468)=0))&gt;0)=0,"",'Dvd Calendar'!$AJ$1468*1000000000+ISNUMBER('Dvd Calendar'!$AJ$1471)*100000000+('Dvd Calendar'!$AJ$1473=SPECIAL_LBL)*10000000+(N('Dvd Calendar'!$AJ$1467)&gt;0)*(N('Dvd Calendar'!$AJ$1467)&lt;=VAL_SERIAL)*1000000+33*1000+32))</f>
        <v/>
      </c>
      <c r="FK148" s="39">
        <f>IF(N('Dvd Calendar'!$AK$1468)=0,"",IF(('Dvd Calendar'!$AK$1468&gt;=GRID_FROM)*('Dvd Calendar'!$AK$1468&lt;=GRID_TO)*((('Dvd Calendar'!$AK$1468&lt;=VAL_DATE)+(COUNTIF('Dvd Calendar'!$E$1475:$AR$1475,'Dvd Calendar'!$AK$1468)=0))&gt;0)=0,"",'Dvd Calendar'!$AK$1468*1000000000+ISNUMBER('Dvd Calendar'!$AK$1471)*100000000+('Dvd Calendar'!$AK$1473=SPECIAL_LBL)*10000000+(N('Dvd Calendar'!$AK$1467)&gt;0)*(N('Dvd Calendar'!$AK$1467)&lt;=VAL_SERIAL)*1000000+33*1000+33))</f>
        <v/>
      </c>
      <c r="FL148" s="39">
        <f>IF(N('Dvd Calendar'!$AL$1468)=0,"",IF(('Dvd Calendar'!$AL$1468&gt;=GRID_FROM)*('Dvd Calendar'!$AL$1468&lt;=GRID_TO)*((('Dvd Calendar'!$AL$1468&lt;=VAL_DATE)+(COUNTIF('Dvd Calendar'!$E$1475:$AR$1475,'Dvd Calendar'!$AL$1468)=0))&gt;0)=0,"",'Dvd Calendar'!$AL$1468*1000000000+ISNUMBER('Dvd Calendar'!$AL$1471)*100000000+('Dvd Calendar'!$AL$1473=SPECIAL_LBL)*10000000+(N('Dvd Calendar'!$AL$1467)&gt;0)*(N('Dvd Calendar'!$AL$1467)&lt;=VAL_SERIAL)*1000000+33*1000+34))</f>
        <v/>
      </c>
      <c r="FM148" s="39">
        <f>IF(N('Dvd Calendar'!$AM$1468)=0,"",IF(('Dvd Calendar'!$AM$1468&gt;=GRID_FROM)*('Dvd Calendar'!$AM$1468&lt;=GRID_TO)*((('Dvd Calendar'!$AM$1468&lt;=VAL_DATE)+(COUNTIF('Dvd Calendar'!$E$1475:$AR$1475,'Dvd Calendar'!$AM$1468)=0))&gt;0)=0,"",'Dvd Calendar'!$AM$1468*1000000000+ISNUMBER('Dvd Calendar'!$AM$1471)*100000000+('Dvd Calendar'!$AM$1473=SPECIAL_LBL)*10000000+(N('Dvd Calendar'!$AM$1467)&gt;0)*(N('Dvd Calendar'!$AM$1467)&lt;=VAL_SERIAL)*1000000+33*1000+35))</f>
        <v/>
      </c>
      <c r="FN148" s="39">
        <f>IF(N('Dvd Calendar'!$AN$1468)=0,"",IF(('Dvd Calendar'!$AN$1468&gt;=GRID_FROM)*('Dvd Calendar'!$AN$1468&lt;=GRID_TO)*((('Dvd Calendar'!$AN$1468&lt;=VAL_DATE)+(COUNTIF('Dvd Calendar'!$E$1475:$AR$1475,'Dvd Calendar'!$AN$1468)=0))&gt;0)=0,"",'Dvd Calendar'!$AN$1468*1000000000+ISNUMBER('Dvd Calendar'!$AN$1471)*100000000+('Dvd Calendar'!$AN$1473=SPECIAL_LBL)*10000000+(N('Dvd Calendar'!$AN$1467)&gt;0)*(N('Dvd Calendar'!$AN$1467)&lt;=VAL_SERIAL)*1000000+33*1000+36))</f>
        <v/>
      </c>
      <c r="FO148" s="39">
        <f>IF(N('Dvd Calendar'!$AO$1468)=0,"",IF(('Dvd Calendar'!$AO$1468&gt;=GRID_FROM)*('Dvd Calendar'!$AO$1468&lt;=GRID_TO)*((('Dvd Calendar'!$AO$1468&lt;=VAL_DATE)+(COUNTIF('Dvd Calendar'!$E$1475:$AR$1475,'Dvd Calendar'!$AO$1468)=0))&gt;0)=0,"",'Dvd Calendar'!$AO$1468*1000000000+ISNUMBER('Dvd Calendar'!$AO$1471)*100000000+('Dvd Calendar'!$AO$1473=SPECIAL_LBL)*10000000+(N('Dvd Calendar'!$AO$1467)&gt;0)*(N('Dvd Calendar'!$AO$1467)&lt;=VAL_SERIAL)*1000000+33*1000+37))</f>
        <v/>
      </c>
      <c r="FP148" s="39">
        <f>IF(N('Dvd Calendar'!$AP$1468)=0,"",IF(('Dvd Calendar'!$AP$1468&gt;=GRID_FROM)*('Dvd Calendar'!$AP$1468&lt;=GRID_TO)*((('Dvd Calendar'!$AP$1468&lt;=VAL_DATE)+(COUNTIF('Dvd Calendar'!$E$1475:$AR$1475,'Dvd Calendar'!$AP$1468)=0))&gt;0)=0,"",'Dvd Calendar'!$AP$1468*1000000000+ISNUMBER('Dvd Calendar'!$AP$1471)*100000000+('Dvd Calendar'!$AP$1473=SPECIAL_LBL)*10000000+(N('Dvd Calendar'!$AP$1467)&gt;0)*(N('Dvd Calendar'!$AP$1467)&lt;=VAL_SERIAL)*1000000+33*1000+38))</f>
        <v/>
      </c>
      <c r="FQ148" s="39">
        <f>IF(N('Dvd Calendar'!$AQ$1468)=0,"",IF(('Dvd Calendar'!$AQ$1468&gt;=GRID_FROM)*('Dvd Calendar'!$AQ$1468&lt;=GRID_TO)*((('Dvd Calendar'!$AQ$1468&lt;=VAL_DATE)+(COUNTIF('Dvd Calendar'!$E$1475:$AR$1475,'Dvd Calendar'!$AQ$1468)=0))&gt;0)=0,"",'Dvd Calendar'!$AQ$1468*1000000000+ISNUMBER('Dvd Calendar'!$AQ$1471)*100000000+('Dvd Calendar'!$AQ$1473=SPECIAL_LBL)*10000000+(N('Dvd Calendar'!$AQ$1467)&gt;0)*(N('Dvd Calendar'!$AQ$1467)&lt;=VAL_SERIAL)*1000000+33*1000+39))</f>
        <v/>
      </c>
      <c r="FR148" s="39">
        <f>IF(N('Dvd Calendar'!$AR$1468)=0,"",IF(('Dvd Calendar'!$AR$1468&gt;=GRID_FROM)*('Dvd Calendar'!$AR$1468&lt;=GRID_TO)*((('Dvd Calendar'!$AR$1468&lt;=VAL_DATE)+(COUNTIF('Dvd Calendar'!$E$1475:$AR$1475,'Dvd Calendar'!$AR$1468)=0))&gt;0)=0,"",'Dvd Calendar'!$AR$1468*1000000000+ISNUMBER('Dvd Calendar'!$AR$1471)*100000000+('Dvd Calendar'!$AR$1473=SPECIAL_LBL)*10000000+(N('Dvd Calendar'!$AR$1467)&gt;0)*(N('Dvd Calendar'!$AR$1467)&lt;=VAL_SERIAL)*1000000+33*1000+40))</f>
        <v/>
      </c>
      <c r="FS148" s="39">
        <f>IF(N('Dvd Calendar'!$E$1475)=0,"",IF(('Dvd Calendar'!$E$1475&gt;=GRID_FROM)*('Dvd Calendar'!$E$1475&lt;=GRID_TO)*('Dvd Calendar'!$E$1475&gt;VAL_DATE)=0,"",'Dvd Calendar'!$E$1475*1000000000+ISNUMBER('Dvd Calendar'!$E$1476)*100000000+0*10000000+(N('Dvd Calendar'!$E$1474)&gt;0)*(N('Dvd Calendar'!$E$1474)&lt;=VAL_SERIAL)*1000000+33*1000+41))</f>
        <v/>
      </c>
      <c r="FT148" s="39">
        <f>IF(N('Dvd Calendar'!$F$1475)=0,"",IF(('Dvd Calendar'!$F$1475&gt;=GRID_FROM)*('Dvd Calendar'!$F$1475&lt;=GRID_TO)*('Dvd Calendar'!$F$1475&gt;VAL_DATE)=0,"",'Dvd Calendar'!$F$1475*1000000000+ISNUMBER('Dvd Calendar'!$F$1476)*100000000+0*10000000+(N('Dvd Calendar'!$F$1474)&gt;0)*(N('Dvd Calendar'!$F$1474)&lt;=VAL_SERIAL)*1000000+33*1000+42))</f>
        <v/>
      </c>
      <c r="FU148" s="39">
        <f>IF(N('Dvd Calendar'!$G$1475)=0,"",IF(('Dvd Calendar'!$G$1475&gt;=GRID_FROM)*('Dvd Calendar'!$G$1475&lt;=GRID_TO)*('Dvd Calendar'!$G$1475&gt;VAL_DATE)=0,"",'Dvd Calendar'!$G$1475*1000000000+ISNUMBER('Dvd Calendar'!$G$1476)*100000000+0*10000000+(N('Dvd Calendar'!$G$1474)&gt;0)*(N('Dvd Calendar'!$G$1474)&lt;=VAL_SERIAL)*1000000+33*1000+43))</f>
        <v/>
      </c>
      <c r="FV148" s="39">
        <f>IF(N('Dvd Calendar'!$H$1475)=0,"",IF(('Dvd Calendar'!$H$1475&gt;=GRID_FROM)*('Dvd Calendar'!$H$1475&lt;=GRID_TO)*('Dvd Calendar'!$H$1475&gt;VAL_DATE)=0,"",'Dvd Calendar'!$H$1475*1000000000+ISNUMBER('Dvd Calendar'!$H$1476)*100000000+0*10000000+(N('Dvd Calendar'!$H$1474)&gt;0)*(N('Dvd Calendar'!$H$1474)&lt;=VAL_SERIAL)*1000000+33*1000+44))</f>
        <v/>
      </c>
      <c r="FW148" s="39">
        <f>IF(N('Dvd Calendar'!$I$1475)=0,"",IF(('Dvd Calendar'!$I$1475&gt;=GRID_FROM)*('Dvd Calendar'!$I$1475&lt;=GRID_TO)*('Dvd Calendar'!$I$1475&gt;VAL_DATE)=0,"",'Dvd Calendar'!$I$1475*1000000000+ISNUMBER('Dvd Calendar'!$I$1476)*100000000+0*10000000+(N('Dvd Calendar'!$I$1474)&gt;0)*(N('Dvd Calendar'!$I$1474)&lt;=VAL_SERIAL)*1000000+33*1000+45))</f>
        <v/>
      </c>
      <c r="FX148" s="39">
        <f>IF(N('Dvd Calendar'!$J$1475)=0,"",IF(('Dvd Calendar'!$J$1475&gt;=GRID_FROM)*('Dvd Calendar'!$J$1475&lt;=GRID_TO)*('Dvd Calendar'!$J$1475&gt;VAL_DATE)=0,"",'Dvd Calendar'!$J$1475*1000000000+ISNUMBER('Dvd Calendar'!$J$1476)*100000000+0*10000000+(N('Dvd Calendar'!$J$1474)&gt;0)*(N('Dvd Calendar'!$J$1474)&lt;=VAL_SERIAL)*1000000+33*1000+46))</f>
        <v/>
      </c>
      <c r="FY148" s="39">
        <f>IF(N('Dvd Calendar'!$K$1475)=0,"",IF(('Dvd Calendar'!$K$1475&gt;=GRID_FROM)*('Dvd Calendar'!$K$1475&lt;=GRID_TO)*('Dvd Calendar'!$K$1475&gt;VAL_DATE)=0,"",'Dvd Calendar'!$K$1475*1000000000+ISNUMBER('Dvd Calendar'!$K$1476)*100000000+0*10000000+(N('Dvd Calendar'!$K$1474)&gt;0)*(N('Dvd Calendar'!$K$1474)&lt;=VAL_SERIAL)*1000000+33*1000+47))</f>
        <v/>
      </c>
      <c r="FZ148" s="39">
        <f>IF(N('Dvd Calendar'!$L$1475)=0,"",IF(('Dvd Calendar'!$L$1475&gt;=GRID_FROM)*('Dvd Calendar'!$L$1475&lt;=GRID_TO)*('Dvd Calendar'!$L$1475&gt;VAL_DATE)=0,"",'Dvd Calendar'!$L$1475*1000000000+ISNUMBER('Dvd Calendar'!$L$1476)*100000000+0*10000000+(N('Dvd Calendar'!$L$1474)&gt;0)*(N('Dvd Calendar'!$L$1474)&lt;=VAL_SERIAL)*1000000+33*1000+48))</f>
        <v/>
      </c>
      <c r="GA148" s="39">
        <f>IF(N('Dvd Calendar'!$M$1475)=0,"",IF(('Dvd Calendar'!$M$1475&gt;=GRID_FROM)*('Dvd Calendar'!$M$1475&lt;=GRID_TO)*('Dvd Calendar'!$M$1475&gt;VAL_DATE)=0,"",'Dvd Calendar'!$M$1475*1000000000+ISNUMBER('Dvd Calendar'!$M$1476)*100000000+0*10000000+(N('Dvd Calendar'!$M$1474)&gt;0)*(N('Dvd Calendar'!$M$1474)&lt;=VAL_SERIAL)*1000000+33*1000+49))</f>
        <v/>
      </c>
      <c r="GB148" s="39">
        <f>IF(N('Dvd Calendar'!$N$1475)=0,"",IF(('Dvd Calendar'!$N$1475&gt;=GRID_FROM)*('Dvd Calendar'!$N$1475&lt;=GRID_TO)*('Dvd Calendar'!$N$1475&gt;VAL_DATE)=0,"",'Dvd Calendar'!$N$1475*1000000000+ISNUMBER('Dvd Calendar'!$N$1476)*100000000+0*10000000+(N('Dvd Calendar'!$N$1474)&gt;0)*(N('Dvd Calendar'!$N$1474)&lt;=VAL_SERIAL)*1000000+33*1000+50))</f>
        <v/>
      </c>
      <c r="GC148" s="39">
        <f>IF(N('Dvd Calendar'!$O$1475)=0,"",IF(('Dvd Calendar'!$O$1475&gt;=GRID_FROM)*('Dvd Calendar'!$O$1475&lt;=GRID_TO)*('Dvd Calendar'!$O$1475&gt;VAL_DATE)=0,"",'Dvd Calendar'!$O$1475*1000000000+ISNUMBER('Dvd Calendar'!$O$1476)*100000000+0*10000000+(N('Dvd Calendar'!$O$1474)&gt;0)*(N('Dvd Calendar'!$O$1474)&lt;=VAL_SERIAL)*1000000+33*1000+51))</f>
        <v/>
      </c>
      <c r="GD148" s="39">
        <f>IF(N('Dvd Calendar'!$P$1475)=0,"",IF(('Dvd Calendar'!$P$1475&gt;=GRID_FROM)*('Dvd Calendar'!$P$1475&lt;=GRID_TO)*('Dvd Calendar'!$P$1475&gt;VAL_DATE)=0,"",'Dvd Calendar'!$P$1475*1000000000+ISNUMBER('Dvd Calendar'!$P$1476)*100000000+0*10000000+(N('Dvd Calendar'!$P$1474)&gt;0)*(N('Dvd Calendar'!$P$1474)&lt;=VAL_SERIAL)*1000000+33*1000+52))</f>
        <v/>
      </c>
      <c r="GE148" s="39">
        <f>IF(N('Dvd Calendar'!$Q$1475)=0,"",IF(('Dvd Calendar'!$Q$1475&gt;=GRID_FROM)*('Dvd Calendar'!$Q$1475&lt;=GRID_TO)*('Dvd Calendar'!$Q$1475&gt;VAL_DATE)=0,"",'Dvd Calendar'!$Q$1475*1000000000+ISNUMBER('Dvd Calendar'!$Q$1476)*100000000+0*10000000+(N('Dvd Calendar'!$Q$1474)&gt;0)*(N('Dvd Calendar'!$Q$1474)&lt;=VAL_SERIAL)*1000000+33*1000+53))</f>
        <v/>
      </c>
      <c r="GF148" s="39">
        <f>IF(N('Dvd Calendar'!$R$1475)=0,"",IF(('Dvd Calendar'!$R$1475&gt;=GRID_FROM)*('Dvd Calendar'!$R$1475&lt;=GRID_TO)*('Dvd Calendar'!$R$1475&gt;VAL_DATE)=0,"",'Dvd Calendar'!$R$1475*1000000000+ISNUMBER('Dvd Calendar'!$R$1476)*100000000+0*10000000+(N('Dvd Calendar'!$R$1474)&gt;0)*(N('Dvd Calendar'!$R$1474)&lt;=VAL_SERIAL)*1000000+33*1000+54))</f>
        <v/>
      </c>
      <c r="GG148" s="39">
        <f>IF(N('Dvd Calendar'!$S$1475)=0,"",IF(('Dvd Calendar'!$S$1475&gt;=GRID_FROM)*('Dvd Calendar'!$S$1475&lt;=GRID_TO)*('Dvd Calendar'!$S$1475&gt;VAL_DATE)=0,"",'Dvd Calendar'!$S$1475*1000000000+ISNUMBER('Dvd Calendar'!$S$1476)*100000000+0*10000000+(N('Dvd Calendar'!$S$1474)&gt;0)*(N('Dvd Calendar'!$S$1474)&lt;=VAL_SERIAL)*1000000+33*1000+55))</f>
        <v/>
      </c>
      <c r="GH148" s="39">
        <f>IF(N('Dvd Calendar'!$T$1475)=0,"",IF(('Dvd Calendar'!$T$1475&gt;=GRID_FROM)*('Dvd Calendar'!$T$1475&lt;=GRID_TO)*('Dvd Calendar'!$T$1475&gt;VAL_DATE)=0,"",'Dvd Calendar'!$T$1475*1000000000+ISNUMBER('Dvd Calendar'!$T$1476)*100000000+0*10000000+(N('Dvd Calendar'!$T$1474)&gt;0)*(N('Dvd Calendar'!$T$1474)&lt;=VAL_SERIAL)*1000000+33*1000+56))</f>
        <v/>
      </c>
      <c r="GI148" s="39">
        <f>IF(N('Dvd Calendar'!$U$1475)=0,"",IF(('Dvd Calendar'!$U$1475&gt;=GRID_FROM)*('Dvd Calendar'!$U$1475&lt;=GRID_TO)*('Dvd Calendar'!$U$1475&gt;VAL_DATE)=0,"",'Dvd Calendar'!$U$1475*1000000000+ISNUMBER('Dvd Calendar'!$U$1476)*100000000+0*10000000+(N('Dvd Calendar'!$U$1474)&gt;0)*(N('Dvd Calendar'!$U$1474)&lt;=VAL_SERIAL)*1000000+33*1000+57))</f>
        <v/>
      </c>
      <c r="GJ148" s="39">
        <f>IF(N('Dvd Calendar'!$V$1475)=0,"",IF(('Dvd Calendar'!$V$1475&gt;=GRID_FROM)*('Dvd Calendar'!$V$1475&lt;=GRID_TO)*('Dvd Calendar'!$V$1475&gt;VAL_DATE)=0,"",'Dvd Calendar'!$V$1475*1000000000+ISNUMBER('Dvd Calendar'!$V$1476)*100000000+0*10000000+(N('Dvd Calendar'!$V$1474)&gt;0)*(N('Dvd Calendar'!$V$1474)&lt;=VAL_SERIAL)*1000000+33*1000+58))</f>
        <v/>
      </c>
      <c r="GK148" s="39">
        <f>IF(N('Dvd Calendar'!$W$1475)=0,"",IF(('Dvd Calendar'!$W$1475&gt;=GRID_FROM)*('Dvd Calendar'!$W$1475&lt;=GRID_TO)*('Dvd Calendar'!$W$1475&gt;VAL_DATE)=0,"",'Dvd Calendar'!$W$1475*1000000000+ISNUMBER('Dvd Calendar'!$W$1476)*100000000+0*10000000+(N('Dvd Calendar'!$W$1474)&gt;0)*(N('Dvd Calendar'!$W$1474)&lt;=VAL_SERIAL)*1000000+33*1000+59))</f>
        <v/>
      </c>
      <c r="GL148" s="39">
        <f>IF(N('Dvd Calendar'!$X$1475)=0,"",IF(('Dvd Calendar'!$X$1475&gt;=GRID_FROM)*('Dvd Calendar'!$X$1475&lt;=GRID_TO)*('Dvd Calendar'!$X$1475&gt;VAL_DATE)=0,"",'Dvd Calendar'!$X$1475*1000000000+ISNUMBER('Dvd Calendar'!$X$1476)*100000000+0*10000000+(N('Dvd Calendar'!$X$1474)&gt;0)*(N('Dvd Calendar'!$X$1474)&lt;=VAL_SERIAL)*1000000+33*1000+60))</f>
        <v/>
      </c>
      <c r="GM148" s="39">
        <f>IF(N('Dvd Calendar'!$Y$1475)=0,"",IF(('Dvd Calendar'!$Y$1475&gt;=GRID_FROM)*('Dvd Calendar'!$Y$1475&lt;=GRID_TO)*('Dvd Calendar'!$Y$1475&gt;VAL_DATE)=0,"",'Dvd Calendar'!$Y$1475*1000000000+ISNUMBER('Dvd Calendar'!$Y$1476)*100000000+0*10000000+(N('Dvd Calendar'!$Y$1474)&gt;0)*(N('Dvd Calendar'!$Y$1474)&lt;=VAL_SERIAL)*1000000+33*1000+61))</f>
        <v/>
      </c>
      <c r="GN148" s="39">
        <f>IF(N('Dvd Calendar'!$Z$1475)=0,"",IF(('Dvd Calendar'!$Z$1475&gt;=GRID_FROM)*('Dvd Calendar'!$Z$1475&lt;=GRID_TO)*('Dvd Calendar'!$Z$1475&gt;VAL_DATE)=0,"",'Dvd Calendar'!$Z$1475*1000000000+ISNUMBER('Dvd Calendar'!$Z$1476)*100000000+0*10000000+(N('Dvd Calendar'!$Z$1474)&gt;0)*(N('Dvd Calendar'!$Z$1474)&lt;=VAL_SERIAL)*1000000+33*1000+62))</f>
        <v/>
      </c>
      <c r="GO148" s="39">
        <f>IF(N('Dvd Calendar'!$AA$1475)=0,"",IF(('Dvd Calendar'!$AA$1475&gt;=GRID_FROM)*('Dvd Calendar'!$AA$1475&lt;=GRID_TO)*('Dvd Calendar'!$AA$1475&gt;VAL_DATE)=0,"",'Dvd Calendar'!$AA$1475*1000000000+ISNUMBER('Dvd Calendar'!$AA$1476)*100000000+0*10000000+(N('Dvd Calendar'!$AA$1474)&gt;0)*(N('Dvd Calendar'!$AA$1474)&lt;=VAL_SERIAL)*1000000+33*1000+63))</f>
        <v/>
      </c>
      <c r="GP148" s="39">
        <f>IF(N('Dvd Calendar'!$AB$1475)=0,"",IF(('Dvd Calendar'!$AB$1475&gt;=GRID_FROM)*('Dvd Calendar'!$AB$1475&lt;=GRID_TO)*('Dvd Calendar'!$AB$1475&gt;VAL_DATE)=0,"",'Dvd Calendar'!$AB$1475*1000000000+ISNUMBER('Dvd Calendar'!$AB$1476)*100000000+0*10000000+(N('Dvd Calendar'!$AB$1474)&gt;0)*(N('Dvd Calendar'!$AB$1474)&lt;=VAL_SERIAL)*1000000+33*1000+64))</f>
        <v/>
      </c>
      <c r="GQ148" s="39">
        <f>IF(N('Dvd Calendar'!$AC$1475)=0,"",IF(('Dvd Calendar'!$AC$1475&gt;=GRID_FROM)*('Dvd Calendar'!$AC$1475&lt;=GRID_TO)*('Dvd Calendar'!$AC$1475&gt;VAL_DATE)=0,"",'Dvd Calendar'!$AC$1475*1000000000+ISNUMBER('Dvd Calendar'!$AC$1476)*100000000+0*10000000+(N('Dvd Calendar'!$AC$1474)&gt;0)*(N('Dvd Calendar'!$AC$1474)&lt;=VAL_SERIAL)*1000000+33*1000+65))</f>
        <v/>
      </c>
    </row>
    <row r="149">
      <c r="B149" s="2">
        <f>IF(HSTECH!$C$40="","",HSTECH!$C$40)</f>
        <v/>
      </c>
      <c r="C149" s="110">
        <f>IF(EE149="","",IF(ISNUMBER('Dvd Calendar'!$E$1482)=FALSE,"",IF((('Dvd Calendar'!$E$1484=TYPE1)*(TYPE1&lt;&gt;"")+('Dvd Calendar'!$E$1484=TYPE2)*(TYPE2&lt;&gt;"")+('Dvd Calendar'!$E$1484=TYPE3)*(TYPE3&lt;&gt;"")+('Dvd Calendar'!$E$1484=TYPE4)*(TYPE4&lt;&gt;"")+('Dvd Calendar'!$E$1484=SPECIAL_LBL)*(INC_SPECIALS="Y"))=0,"",'Dvd Calendar'!$E$1482)))</f>
        <v/>
      </c>
      <c r="D149" s="110">
        <f>IF(EF149="","",IF(ISNUMBER('Dvd Calendar'!$F$1482)=FALSE,"",IF((('Dvd Calendar'!$F$1484=TYPE1)*(TYPE1&lt;&gt;"")+('Dvd Calendar'!$F$1484=TYPE2)*(TYPE2&lt;&gt;"")+('Dvd Calendar'!$F$1484=TYPE3)*(TYPE3&lt;&gt;"")+('Dvd Calendar'!$F$1484=TYPE4)*(TYPE4&lt;&gt;"")+('Dvd Calendar'!$F$1484=SPECIAL_LBL)*(INC_SPECIALS="Y"))=0,"",'Dvd Calendar'!$F$1482)))</f>
        <v/>
      </c>
      <c r="E149" s="110">
        <f>IF(EG149="","",IF(ISNUMBER('Dvd Calendar'!$G$1482)=FALSE,"",IF((('Dvd Calendar'!$G$1484=TYPE1)*(TYPE1&lt;&gt;"")+('Dvd Calendar'!$G$1484=TYPE2)*(TYPE2&lt;&gt;"")+('Dvd Calendar'!$G$1484=TYPE3)*(TYPE3&lt;&gt;"")+('Dvd Calendar'!$G$1484=TYPE4)*(TYPE4&lt;&gt;"")+('Dvd Calendar'!$G$1484=SPECIAL_LBL)*(INC_SPECIALS="Y"))=0,"",'Dvd Calendar'!$G$1482)))</f>
        <v/>
      </c>
      <c r="F149" s="110">
        <f>IF(EH149="","",IF(ISNUMBER('Dvd Calendar'!$H$1482)=FALSE,"",IF((('Dvd Calendar'!$H$1484=TYPE1)*(TYPE1&lt;&gt;"")+('Dvd Calendar'!$H$1484=TYPE2)*(TYPE2&lt;&gt;"")+('Dvd Calendar'!$H$1484=TYPE3)*(TYPE3&lt;&gt;"")+('Dvd Calendar'!$H$1484=TYPE4)*(TYPE4&lt;&gt;"")+('Dvd Calendar'!$H$1484=SPECIAL_LBL)*(INC_SPECIALS="Y"))=0,"",'Dvd Calendar'!$H$1482)))</f>
        <v/>
      </c>
      <c r="G149" s="110">
        <f>IF(EI149="","",IF(ISNUMBER('Dvd Calendar'!$I$1482)=FALSE,"",IF((('Dvd Calendar'!$I$1484=TYPE1)*(TYPE1&lt;&gt;"")+('Dvd Calendar'!$I$1484=TYPE2)*(TYPE2&lt;&gt;"")+('Dvd Calendar'!$I$1484=TYPE3)*(TYPE3&lt;&gt;"")+('Dvd Calendar'!$I$1484=TYPE4)*(TYPE4&lt;&gt;"")+('Dvd Calendar'!$I$1484=SPECIAL_LBL)*(INC_SPECIALS="Y"))=0,"",'Dvd Calendar'!$I$1482)))</f>
        <v/>
      </c>
      <c r="H149" s="110">
        <f>IF(EJ149="","",IF(ISNUMBER('Dvd Calendar'!$J$1482)=FALSE,"",IF((('Dvd Calendar'!$J$1484=TYPE1)*(TYPE1&lt;&gt;"")+('Dvd Calendar'!$J$1484=TYPE2)*(TYPE2&lt;&gt;"")+('Dvd Calendar'!$J$1484=TYPE3)*(TYPE3&lt;&gt;"")+('Dvd Calendar'!$J$1484=TYPE4)*(TYPE4&lt;&gt;"")+('Dvd Calendar'!$J$1484=SPECIAL_LBL)*(INC_SPECIALS="Y"))=0,"",'Dvd Calendar'!$J$1482)))</f>
        <v/>
      </c>
      <c r="I149" s="110">
        <f>IF(EK149="","",IF(ISNUMBER('Dvd Calendar'!$K$1482)=FALSE,"",IF((('Dvd Calendar'!$K$1484=TYPE1)*(TYPE1&lt;&gt;"")+('Dvd Calendar'!$K$1484=TYPE2)*(TYPE2&lt;&gt;"")+('Dvd Calendar'!$K$1484=TYPE3)*(TYPE3&lt;&gt;"")+('Dvd Calendar'!$K$1484=TYPE4)*(TYPE4&lt;&gt;"")+('Dvd Calendar'!$K$1484=SPECIAL_LBL)*(INC_SPECIALS="Y"))=0,"",'Dvd Calendar'!$K$1482)))</f>
        <v/>
      </c>
      <c r="J149" s="110">
        <f>IF(EL149="","",IF(ISNUMBER('Dvd Calendar'!$L$1482)=FALSE,"",IF((('Dvd Calendar'!$L$1484=TYPE1)*(TYPE1&lt;&gt;"")+('Dvd Calendar'!$L$1484=TYPE2)*(TYPE2&lt;&gt;"")+('Dvd Calendar'!$L$1484=TYPE3)*(TYPE3&lt;&gt;"")+('Dvd Calendar'!$L$1484=TYPE4)*(TYPE4&lt;&gt;"")+('Dvd Calendar'!$L$1484=SPECIAL_LBL)*(INC_SPECIALS="Y"))=0,"",'Dvd Calendar'!$L$1482)))</f>
        <v/>
      </c>
      <c r="K149" s="110">
        <f>IF(EM149="","",IF(ISNUMBER('Dvd Calendar'!$M$1482)=FALSE,"",IF((('Dvd Calendar'!$M$1484=TYPE1)*(TYPE1&lt;&gt;"")+('Dvd Calendar'!$M$1484=TYPE2)*(TYPE2&lt;&gt;"")+('Dvd Calendar'!$M$1484=TYPE3)*(TYPE3&lt;&gt;"")+('Dvd Calendar'!$M$1484=TYPE4)*(TYPE4&lt;&gt;"")+('Dvd Calendar'!$M$1484=SPECIAL_LBL)*(INC_SPECIALS="Y"))=0,"",'Dvd Calendar'!$M$1482)))</f>
        <v/>
      </c>
      <c r="L149" s="110">
        <f>IF(EN149="","",IF(ISNUMBER('Dvd Calendar'!$N$1482)=FALSE,"",IF((('Dvd Calendar'!$N$1484=TYPE1)*(TYPE1&lt;&gt;"")+('Dvd Calendar'!$N$1484=TYPE2)*(TYPE2&lt;&gt;"")+('Dvd Calendar'!$N$1484=TYPE3)*(TYPE3&lt;&gt;"")+('Dvd Calendar'!$N$1484=TYPE4)*(TYPE4&lt;&gt;"")+('Dvd Calendar'!$N$1484=SPECIAL_LBL)*(INC_SPECIALS="Y"))=0,"",'Dvd Calendar'!$N$1482)))</f>
        <v/>
      </c>
      <c r="M149" s="110">
        <f>IF(EO149="","",IF(ISNUMBER('Dvd Calendar'!$O$1482)=FALSE,"",IF((('Dvd Calendar'!$O$1484=TYPE1)*(TYPE1&lt;&gt;"")+('Dvd Calendar'!$O$1484=TYPE2)*(TYPE2&lt;&gt;"")+('Dvd Calendar'!$O$1484=TYPE3)*(TYPE3&lt;&gt;"")+('Dvd Calendar'!$O$1484=TYPE4)*(TYPE4&lt;&gt;"")+('Dvd Calendar'!$O$1484=SPECIAL_LBL)*(INC_SPECIALS="Y"))=0,"",'Dvd Calendar'!$O$1482)))</f>
        <v/>
      </c>
      <c r="N149" s="110">
        <f>IF(EP149="","",IF(ISNUMBER('Dvd Calendar'!$P$1482)=FALSE,"",IF((('Dvd Calendar'!$P$1484=TYPE1)*(TYPE1&lt;&gt;"")+('Dvd Calendar'!$P$1484=TYPE2)*(TYPE2&lt;&gt;"")+('Dvd Calendar'!$P$1484=TYPE3)*(TYPE3&lt;&gt;"")+('Dvd Calendar'!$P$1484=TYPE4)*(TYPE4&lt;&gt;"")+('Dvd Calendar'!$P$1484=SPECIAL_LBL)*(INC_SPECIALS="Y"))=0,"",'Dvd Calendar'!$P$1482)))</f>
        <v/>
      </c>
      <c r="O149" s="110">
        <f>IF(EQ149="","",IF(ISNUMBER('Dvd Calendar'!$Q$1482)=FALSE,"",IF((('Dvd Calendar'!$Q$1484=TYPE1)*(TYPE1&lt;&gt;"")+('Dvd Calendar'!$Q$1484=TYPE2)*(TYPE2&lt;&gt;"")+('Dvd Calendar'!$Q$1484=TYPE3)*(TYPE3&lt;&gt;"")+('Dvd Calendar'!$Q$1484=TYPE4)*(TYPE4&lt;&gt;"")+('Dvd Calendar'!$Q$1484=SPECIAL_LBL)*(INC_SPECIALS="Y"))=0,"",'Dvd Calendar'!$Q$1482)))</f>
        <v/>
      </c>
      <c r="P149" s="110">
        <f>IF(ER149="","",IF(ISNUMBER('Dvd Calendar'!$R$1482)=FALSE,"",IF((('Dvd Calendar'!$R$1484=TYPE1)*(TYPE1&lt;&gt;"")+('Dvd Calendar'!$R$1484=TYPE2)*(TYPE2&lt;&gt;"")+('Dvd Calendar'!$R$1484=TYPE3)*(TYPE3&lt;&gt;"")+('Dvd Calendar'!$R$1484=TYPE4)*(TYPE4&lt;&gt;"")+('Dvd Calendar'!$R$1484=SPECIAL_LBL)*(INC_SPECIALS="Y"))=0,"",'Dvd Calendar'!$R$1482)))</f>
        <v/>
      </c>
      <c r="Q149" s="110">
        <f>IF(ES149="","",IF(ISNUMBER('Dvd Calendar'!$S$1482)=FALSE,"",IF((('Dvd Calendar'!$S$1484=TYPE1)*(TYPE1&lt;&gt;"")+('Dvd Calendar'!$S$1484=TYPE2)*(TYPE2&lt;&gt;"")+('Dvd Calendar'!$S$1484=TYPE3)*(TYPE3&lt;&gt;"")+('Dvd Calendar'!$S$1484=TYPE4)*(TYPE4&lt;&gt;"")+('Dvd Calendar'!$S$1484=SPECIAL_LBL)*(INC_SPECIALS="Y"))=0,"",'Dvd Calendar'!$S$1482)))</f>
        <v/>
      </c>
      <c r="R149" s="110">
        <f>IF(ET149="","",IF(ISNUMBER('Dvd Calendar'!$T$1482)=FALSE,"",IF((('Dvd Calendar'!$T$1484=TYPE1)*(TYPE1&lt;&gt;"")+('Dvd Calendar'!$T$1484=TYPE2)*(TYPE2&lt;&gt;"")+('Dvd Calendar'!$T$1484=TYPE3)*(TYPE3&lt;&gt;"")+('Dvd Calendar'!$T$1484=TYPE4)*(TYPE4&lt;&gt;"")+('Dvd Calendar'!$T$1484=SPECIAL_LBL)*(INC_SPECIALS="Y"))=0,"",'Dvd Calendar'!$T$1482)))</f>
        <v/>
      </c>
      <c r="S149" s="110">
        <f>IF(EU149="","",IF(ISNUMBER('Dvd Calendar'!$U$1482)=FALSE,"",IF((('Dvd Calendar'!$U$1484=TYPE1)*(TYPE1&lt;&gt;"")+('Dvd Calendar'!$U$1484=TYPE2)*(TYPE2&lt;&gt;"")+('Dvd Calendar'!$U$1484=TYPE3)*(TYPE3&lt;&gt;"")+('Dvd Calendar'!$U$1484=TYPE4)*(TYPE4&lt;&gt;"")+('Dvd Calendar'!$U$1484=SPECIAL_LBL)*(INC_SPECIALS="Y"))=0,"",'Dvd Calendar'!$U$1482)))</f>
        <v/>
      </c>
      <c r="T149" s="110">
        <f>IF(EV149="","",IF(ISNUMBER('Dvd Calendar'!$V$1482)=FALSE,"",IF((('Dvd Calendar'!$V$1484=TYPE1)*(TYPE1&lt;&gt;"")+('Dvd Calendar'!$V$1484=TYPE2)*(TYPE2&lt;&gt;"")+('Dvd Calendar'!$V$1484=TYPE3)*(TYPE3&lt;&gt;"")+('Dvd Calendar'!$V$1484=TYPE4)*(TYPE4&lt;&gt;"")+('Dvd Calendar'!$V$1484=SPECIAL_LBL)*(INC_SPECIALS="Y"))=0,"",'Dvd Calendar'!$V$1482)))</f>
        <v/>
      </c>
      <c r="U149" s="110">
        <f>IF(EW149="","",IF(ISNUMBER('Dvd Calendar'!$W$1482)=FALSE,"",IF((('Dvd Calendar'!$W$1484=TYPE1)*(TYPE1&lt;&gt;"")+('Dvd Calendar'!$W$1484=TYPE2)*(TYPE2&lt;&gt;"")+('Dvd Calendar'!$W$1484=TYPE3)*(TYPE3&lt;&gt;"")+('Dvd Calendar'!$W$1484=TYPE4)*(TYPE4&lt;&gt;"")+('Dvd Calendar'!$W$1484=SPECIAL_LBL)*(INC_SPECIALS="Y"))=0,"",'Dvd Calendar'!$W$1482)))</f>
        <v/>
      </c>
      <c r="V149" s="110">
        <f>IF(EX149="","",IF(ISNUMBER('Dvd Calendar'!$X$1482)=FALSE,"",IF((('Dvd Calendar'!$X$1484=TYPE1)*(TYPE1&lt;&gt;"")+('Dvd Calendar'!$X$1484=TYPE2)*(TYPE2&lt;&gt;"")+('Dvd Calendar'!$X$1484=TYPE3)*(TYPE3&lt;&gt;"")+('Dvd Calendar'!$X$1484=TYPE4)*(TYPE4&lt;&gt;"")+('Dvd Calendar'!$X$1484=SPECIAL_LBL)*(INC_SPECIALS="Y"))=0,"",'Dvd Calendar'!$X$1482)))</f>
        <v/>
      </c>
      <c r="W149" s="110">
        <f>IF(EY149="","",IF(ISNUMBER('Dvd Calendar'!$Y$1482)=FALSE,"",IF((('Dvd Calendar'!$Y$1484=TYPE1)*(TYPE1&lt;&gt;"")+('Dvd Calendar'!$Y$1484=TYPE2)*(TYPE2&lt;&gt;"")+('Dvd Calendar'!$Y$1484=TYPE3)*(TYPE3&lt;&gt;"")+('Dvd Calendar'!$Y$1484=TYPE4)*(TYPE4&lt;&gt;"")+('Dvd Calendar'!$Y$1484=SPECIAL_LBL)*(INC_SPECIALS="Y"))=0,"",'Dvd Calendar'!$Y$1482)))</f>
        <v/>
      </c>
      <c r="X149" s="110">
        <f>IF(EZ149="","",IF(ISNUMBER('Dvd Calendar'!$Z$1482)=FALSE,"",IF((('Dvd Calendar'!$Z$1484=TYPE1)*(TYPE1&lt;&gt;"")+('Dvd Calendar'!$Z$1484=TYPE2)*(TYPE2&lt;&gt;"")+('Dvd Calendar'!$Z$1484=TYPE3)*(TYPE3&lt;&gt;"")+('Dvd Calendar'!$Z$1484=TYPE4)*(TYPE4&lt;&gt;"")+('Dvd Calendar'!$Z$1484=SPECIAL_LBL)*(INC_SPECIALS="Y"))=0,"",'Dvd Calendar'!$Z$1482)))</f>
        <v/>
      </c>
      <c r="Y149" s="110">
        <f>IF(FA149="","",IF(ISNUMBER('Dvd Calendar'!$AA$1482)=FALSE,"",IF((('Dvd Calendar'!$AA$1484=TYPE1)*(TYPE1&lt;&gt;"")+('Dvd Calendar'!$AA$1484=TYPE2)*(TYPE2&lt;&gt;"")+('Dvd Calendar'!$AA$1484=TYPE3)*(TYPE3&lt;&gt;"")+('Dvd Calendar'!$AA$1484=TYPE4)*(TYPE4&lt;&gt;"")+('Dvd Calendar'!$AA$1484=SPECIAL_LBL)*(INC_SPECIALS="Y"))=0,"",'Dvd Calendar'!$AA$1482)))</f>
        <v/>
      </c>
      <c r="Z149" s="110">
        <f>IF(FB149="","",IF(ISNUMBER('Dvd Calendar'!$AB$1482)=FALSE,"",IF((('Dvd Calendar'!$AB$1484=TYPE1)*(TYPE1&lt;&gt;"")+('Dvd Calendar'!$AB$1484=TYPE2)*(TYPE2&lt;&gt;"")+('Dvd Calendar'!$AB$1484=TYPE3)*(TYPE3&lt;&gt;"")+('Dvd Calendar'!$AB$1484=TYPE4)*(TYPE4&lt;&gt;"")+('Dvd Calendar'!$AB$1484=SPECIAL_LBL)*(INC_SPECIALS="Y"))=0,"",'Dvd Calendar'!$AB$1482)))</f>
        <v/>
      </c>
      <c r="AA149" s="110">
        <f>IF(FC149="","",IF(ISNUMBER('Dvd Calendar'!$AC$1482)=FALSE,"",IF((('Dvd Calendar'!$AC$1484=TYPE1)*(TYPE1&lt;&gt;"")+('Dvd Calendar'!$AC$1484=TYPE2)*(TYPE2&lt;&gt;"")+('Dvd Calendar'!$AC$1484=TYPE3)*(TYPE3&lt;&gt;"")+('Dvd Calendar'!$AC$1484=TYPE4)*(TYPE4&lt;&gt;"")+('Dvd Calendar'!$AC$1484=SPECIAL_LBL)*(INC_SPECIALS="Y"))=0,"",'Dvd Calendar'!$AC$1482)))</f>
        <v/>
      </c>
      <c r="AB149" s="110">
        <f>IF(FD149="","",IF(ISNUMBER('Dvd Calendar'!$AD$1482)=FALSE,"",IF((('Dvd Calendar'!$AD$1484=TYPE1)*(TYPE1&lt;&gt;"")+('Dvd Calendar'!$AD$1484=TYPE2)*(TYPE2&lt;&gt;"")+('Dvd Calendar'!$AD$1484=TYPE3)*(TYPE3&lt;&gt;"")+('Dvd Calendar'!$AD$1484=TYPE4)*(TYPE4&lt;&gt;"")+('Dvd Calendar'!$AD$1484=SPECIAL_LBL)*(INC_SPECIALS="Y"))=0,"",'Dvd Calendar'!$AD$1482)))</f>
        <v/>
      </c>
      <c r="AC149" s="110">
        <f>IF(FE149="","",IF(ISNUMBER('Dvd Calendar'!$AE$1482)=FALSE,"",IF((('Dvd Calendar'!$AE$1484=TYPE1)*(TYPE1&lt;&gt;"")+('Dvd Calendar'!$AE$1484=TYPE2)*(TYPE2&lt;&gt;"")+('Dvd Calendar'!$AE$1484=TYPE3)*(TYPE3&lt;&gt;"")+('Dvd Calendar'!$AE$1484=TYPE4)*(TYPE4&lt;&gt;"")+('Dvd Calendar'!$AE$1484=SPECIAL_LBL)*(INC_SPECIALS="Y"))=0,"",'Dvd Calendar'!$AE$1482)))</f>
        <v/>
      </c>
      <c r="AD149" s="110">
        <f>IF(FF149="","",IF(ISNUMBER('Dvd Calendar'!$AF$1482)=FALSE,"",IF((('Dvd Calendar'!$AF$1484=TYPE1)*(TYPE1&lt;&gt;"")+('Dvd Calendar'!$AF$1484=TYPE2)*(TYPE2&lt;&gt;"")+('Dvd Calendar'!$AF$1484=TYPE3)*(TYPE3&lt;&gt;"")+('Dvd Calendar'!$AF$1484=TYPE4)*(TYPE4&lt;&gt;"")+('Dvd Calendar'!$AF$1484=SPECIAL_LBL)*(INC_SPECIALS="Y"))=0,"",'Dvd Calendar'!$AF$1482)))</f>
        <v/>
      </c>
      <c r="AE149" s="110">
        <f>IF(FG149="","",IF(ISNUMBER('Dvd Calendar'!$AG$1482)=FALSE,"",IF((('Dvd Calendar'!$AG$1484=TYPE1)*(TYPE1&lt;&gt;"")+('Dvd Calendar'!$AG$1484=TYPE2)*(TYPE2&lt;&gt;"")+('Dvd Calendar'!$AG$1484=TYPE3)*(TYPE3&lt;&gt;"")+('Dvd Calendar'!$AG$1484=TYPE4)*(TYPE4&lt;&gt;"")+('Dvd Calendar'!$AG$1484=SPECIAL_LBL)*(INC_SPECIALS="Y"))=0,"",'Dvd Calendar'!$AG$1482)))</f>
        <v/>
      </c>
      <c r="AF149" s="110">
        <f>IF(FH149="","",IF(ISNUMBER('Dvd Calendar'!$AH$1482)=FALSE,"",IF((('Dvd Calendar'!$AH$1484=TYPE1)*(TYPE1&lt;&gt;"")+('Dvd Calendar'!$AH$1484=TYPE2)*(TYPE2&lt;&gt;"")+('Dvd Calendar'!$AH$1484=TYPE3)*(TYPE3&lt;&gt;"")+('Dvd Calendar'!$AH$1484=TYPE4)*(TYPE4&lt;&gt;"")+('Dvd Calendar'!$AH$1484=SPECIAL_LBL)*(INC_SPECIALS="Y"))=0,"",'Dvd Calendar'!$AH$1482)))</f>
        <v/>
      </c>
      <c r="AG149" s="110">
        <f>IF(FI149="","",IF(ISNUMBER('Dvd Calendar'!$AI$1482)=FALSE,"",IF((('Dvd Calendar'!$AI$1484=TYPE1)*(TYPE1&lt;&gt;"")+('Dvd Calendar'!$AI$1484=TYPE2)*(TYPE2&lt;&gt;"")+('Dvd Calendar'!$AI$1484=TYPE3)*(TYPE3&lt;&gt;"")+('Dvd Calendar'!$AI$1484=TYPE4)*(TYPE4&lt;&gt;"")+('Dvd Calendar'!$AI$1484=SPECIAL_LBL)*(INC_SPECIALS="Y"))=0,"",'Dvd Calendar'!$AI$1482)))</f>
        <v/>
      </c>
      <c r="AH149" s="110">
        <f>IF(FJ149="","",IF(ISNUMBER('Dvd Calendar'!$AJ$1482)=FALSE,"",IF((('Dvd Calendar'!$AJ$1484=TYPE1)*(TYPE1&lt;&gt;"")+('Dvd Calendar'!$AJ$1484=TYPE2)*(TYPE2&lt;&gt;"")+('Dvd Calendar'!$AJ$1484=TYPE3)*(TYPE3&lt;&gt;"")+('Dvd Calendar'!$AJ$1484=TYPE4)*(TYPE4&lt;&gt;"")+('Dvd Calendar'!$AJ$1484=SPECIAL_LBL)*(INC_SPECIALS="Y"))=0,"",'Dvd Calendar'!$AJ$1482)))</f>
        <v/>
      </c>
      <c r="AI149" s="110">
        <f>IF(FK149="","",IF(ISNUMBER('Dvd Calendar'!$AK$1482)=FALSE,"",IF((('Dvd Calendar'!$AK$1484=TYPE1)*(TYPE1&lt;&gt;"")+('Dvd Calendar'!$AK$1484=TYPE2)*(TYPE2&lt;&gt;"")+('Dvd Calendar'!$AK$1484=TYPE3)*(TYPE3&lt;&gt;"")+('Dvd Calendar'!$AK$1484=TYPE4)*(TYPE4&lt;&gt;"")+('Dvd Calendar'!$AK$1484=SPECIAL_LBL)*(INC_SPECIALS="Y"))=0,"",'Dvd Calendar'!$AK$1482)))</f>
        <v/>
      </c>
      <c r="AJ149" s="110">
        <f>IF(FL149="","",IF(ISNUMBER('Dvd Calendar'!$AL$1482)=FALSE,"",IF((('Dvd Calendar'!$AL$1484=TYPE1)*(TYPE1&lt;&gt;"")+('Dvd Calendar'!$AL$1484=TYPE2)*(TYPE2&lt;&gt;"")+('Dvd Calendar'!$AL$1484=TYPE3)*(TYPE3&lt;&gt;"")+('Dvd Calendar'!$AL$1484=TYPE4)*(TYPE4&lt;&gt;"")+('Dvd Calendar'!$AL$1484=SPECIAL_LBL)*(INC_SPECIALS="Y"))=0,"",'Dvd Calendar'!$AL$1482)))</f>
        <v/>
      </c>
      <c r="AK149" s="110">
        <f>IF(FM149="","",IF(ISNUMBER('Dvd Calendar'!$AM$1482)=FALSE,"",IF((('Dvd Calendar'!$AM$1484=TYPE1)*(TYPE1&lt;&gt;"")+('Dvd Calendar'!$AM$1484=TYPE2)*(TYPE2&lt;&gt;"")+('Dvd Calendar'!$AM$1484=TYPE3)*(TYPE3&lt;&gt;"")+('Dvd Calendar'!$AM$1484=TYPE4)*(TYPE4&lt;&gt;"")+('Dvd Calendar'!$AM$1484=SPECIAL_LBL)*(INC_SPECIALS="Y"))=0,"",'Dvd Calendar'!$AM$1482)))</f>
        <v/>
      </c>
      <c r="AL149" s="110">
        <f>IF(FN149="","",IF(ISNUMBER('Dvd Calendar'!$AN$1482)=FALSE,"",IF((('Dvd Calendar'!$AN$1484=TYPE1)*(TYPE1&lt;&gt;"")+('Dvd Calendar'!$AN$1484=TYPE2)*(TYPE2&lt;&gt;"")+('Dvd Calendar'!$AN$1484=TYPE3)*(TYPE3&lt;&gt;"")+('Dvd Calendar'!$AN$1484=TYPE4)*(TYPE4&lt;&gt;"")+('Dvd Calendar'!$AN$1484=SPECIAL_LBL)*(INC_SPECIALS="Y"))=0,"",'Dvd Calendar'!$AN$1482)))</f>
        <v/>
      </c>
      <c r="AM149" s="110">
        <f>IF(FO149="","",IF(ISNUMBER('Dvd Calendar'!$AO$1482)=FALSE,"",IF((('Dvd Calendar'!$AO$1484=TYPE1)*(TYPE1&lt;&gt;"")+('Dvd Calendar'!$AO$1484=TYPE2)*(TYPE2&lt;&gt;"")+('Dvd Calendar'!$AO$1484=TYPE3)*(TYPE3&lt;&gt;"")+('Dvd Calendar'!$AO$1484=TYPE4)*(TYPE4&lt;&gt;"")+('Dvd Calendar'!$AO$1484=SPECIAL_LBL)*(INC_SPECIALS="Y"))=0,"",'Dvd Calendar'!$AO$1482)))</f>
        <v/>
      </c>
      <c r="AN149" s="110">
        <f>IF(FP149="","",IF(ISNUMBER('Dvd Calendar'!$AP$1482)=FALSE,"",IF((('Dvd Calendar'!$AP$1484=TYPE1)*(TYPE1&lt;&gt;"")+('Dvd Calendar'!$AP$1484=TYPE2)*(TYPE2&lt;&gt;"")+('Dvd Calendar'!$AP$1484=TYPE3)*(TYPE3&lt;&gt;"")+('Dvd Calendar'!$AP$1484=TYPE4)*(TYPE4&lt;&gt;"")+('Dvd Calendar'!$AP$1484=SPECIAL_LBL)*(INC_SPECIALS="Y"))=0,"",'Dvd Calendar'!$AP$1482)))</f>
        <v/>
      </c>
      <c r="AO149" s="110">
        <f>IF(FQ149="","",IF(ISNUMBER('Dvd Calendar'!$AQ$1482)=FALSE,"",IF((('Dvd Calendar'!$AQ$1484=TYPE1)*(TYPE1&lt;&gt;"")+('Dvd Calendar'!$AQ$1484=TYPE2)*(TYPE2&lt;&gt;"")+('Dvd Calendar'!$AQ$1484=TYPE3)*(TYPE3&lt;&gt;"")+('Dvd Calendar'!$AQ$1484=TYPE4)*(TYPE4&lt;&gt;"")+('Dvd Calendar'!$AQ$1484=SPECIAL_LBL)*(INC_SPECIALS="Y"))=0,"",'Dvd Calendar'!$AQ$1482)))</f>
        <v/>
      </c>
      <c r="AP149" s="110">
        <f>IF(FR149="","",IF(ISNUMBER('Dvd Calendar'!$AR$1482)=FALSE,"",IF((('Dvd Calendar'!$AR$1484=TYPE1)*(TYPE1&lt;&gt;"")+('Dvd Calendar'!$AR$1484=TYPE2)*(TYPE2&lt;&gt;"")+('Dvd Calendar'!$AR$1484=TYPE3)*(TYPE3&lt;&gt;"")+('Dvd Calendar'!$AR$1484=TYPE4)*(TYPE4&lt;&gt;"")+('Dvd Calendar'!$AR$1484=SPECIAL_LBL)*(INC_SPECIALS="Y"))=0,"",'Dvd Calendar'!$AR$1482)))</f>
        <v/>
      </c>
      <c r="AQ149" s="110">
        <f>IF(FS149="","",IF(ISNUMBER('Dvd Calendar'!$E$1487)=FALSE,"",'Dvd Calendar'!$E$1487))</f>
        <v/>
      </c>
      <c r="AR149" s="110">
        <f>IF(FT149="","",IF(ISNUMBER('Dvd Calendar'!$F$1487)=FALSE,"",'Dvd Calendar'!$F$1487))</f>
        <v/>
      </c>
      <c r="AS149" s="110">
        <f>IF(FU149="","",IF(ISNUMBER('Dvd Calendar'!$G$1487)=FALSE,"",'Dvd Calendar'!$G$1487))</f>
        <v/>
      </c>
      <c r="AT149" s="110">
        <f>IF(FV149="","",IF(ISNUMBER('Dvd Calendar'!$H$1487)=FALSE,"",'Dvd Calendar'!$H$1487))</f>
        <v/>
      </c>
      <c r="AU149" s="110">
        <f>IF(FW149="","",IF(ISNUMBER('Dvd Calendar'!$I$1487)=FALSE,"",'Dvd Calendar'!$I$1487))</f>
        <v/>
      </c>
      <c r="AV149" s="110">
        <f>IF(FX149="","",IF(ISNUMBER('Dvd Calendar'!$J$1487)=FALSE,"",'Dvd Calendar'!$J$1487))</f>
        <v/>
      </c>
      <c r="AW149" s="110">
        <f>IF(FY149="","",IF(ISNUMBER('Dvd Calendar'!$K$1487)=FALSE,"",'Dvd Calendar'!$K$1487))</f>
        <v/>
      </c>
      <c r="AX149" s="110">
        <f>IF(FZ149="","",IF(ISNUMBER('Dvd Calendar'!$L$1487)=FALSE,"",'Dvd Calendar'!$L$1487))</f>
        <v/>
      </c>
      <c r="AY149" s="110">
        <f>IF(GA149="","",IF(ISNUMBER('Dvd Calendar'!$M$1487)=FALSE,"",'Dvd Calendar'!$M$1487))</f>
        <v/>
      </c>
      <c r="AZ149" s="110">
        <f>IF(GB149="","",IF(ISNUMBER('Dvd Calendar'!$N$1487)=FALSE,"",'Dvd Calendar'!$N$1487))</f>
        <v/>
      </c>
      <c r="BA149" s="110">
        <f>IF(GC149="","",IF(ISNUMBER('Dvd Calendar'!$O$1487)=FALSE,"",'Dvd Calendar'!$O$1487))</f>
        <v/>
      </c>
      <c r="BB149" s="110">
        <f>IF(GD149="","",IF(ISNUMBER('Dvd Calendar'!$P$1487)=FALSE,"",'Dvd Calendar'!$P$1487))</f>
        <v/>
      </c>
      <c r="BC149" s="110">
        <f>IF(GE149="","",IF(ISNUMBER('Dvd Calendar'!$Q$1487)=FALSE,"",'Dvd Calendar'!$Q$1487))</f>
        <v/>
      </c>
      <c r="BD149" s="110">
        <f>IF(GF149="","",IF(ISNUMBER('Dvd Calendar'!$R$1487)=FALSE,"",'Dvd Calendar'!$R$1487))</f>
        <v/>
      </c>
      <c r="BE149" s="110">
        <f>IF(GG149="","",IF(ISNUMBER('Dvd Calendar'!$S$1487)=FALSE,"",'Dvd Calendar'!$S$1487))</f>
        <v/>
      </c>
      <c r="BF149" s="110">
        <f>IF(GH149="","",IF(ISNUMBER('Dvd Calendar'!$T$1487)=FALSE,"",'Dvd Calendar'!$T$1487))</f>
        <v/>
      </c>
      <c r="BG149" s="110">
        <f>IF(GI149="","",IF(ISNUMBER('Dvd Calendar'!$U$1487)=FALSE,"",'Dvd Calendar'!$U$1487))</f>
        <v/>
      </c>
      <c r="BH149" s="110">
        <f>IF(GJ149="","",IF(ISNUMBER('Dvd Calendar'!$V$1487)=FALSE,"",'Dvd Calendar'!$V$1487))</f>
        <v/>
      </c>
      <c r="BI149" s="110">
        <f>IF(GK149="","",IF(ISNUMBER('Dvd Calendar'!$W$1487)=FALSE,"",'Dvd Calendar'!$W$1487))</f>
        <v/>
      </c>
      <c r="BJ149" s="110">
        <f>IF(GL149="","",IF(ISNUMBER('Dvd Calendar'!$X$1487)=FALSE,"",'Dvd Calendar'!$X$1487))</f>
        <v/>
      </c>
      <c r="BK149" s="110">
        <f>IF(GM149="","",IF(ISNUMBER('Dvd Calendar'!$Y$1487)=FALSE,"",'Dvd Calendar'!$Y$1487))</f>
        <v/>
      </c>
      <c r="BL149" s="110">
        <f>IF(GN149="","",IF(ISNUMBER('Dvd Calendar'!$Z$1487)=FALSE,"",'Dvd Calendar'!$Z$1487))</f>
        <v/>
      </c>
      <c r="BM149" s="110">
        <f>IF(GO149="","",IF(ISNUMBER('Dvd Calendar'!$AA$1487)=FALSE,"",'Dvd Calendar'!$AA$1487))</f>
        <v/>
      </c>
      <c r="BN149" s="110">
        <f>IF(GP149="","",IF(ISNUMBER('Dvd Calendar'!$AB$1487)=FALSE,"",'Dvd Calendar'!$AB$1487))</f>
        <v/>
      </c>
      <c r="BO149" s="110">
        <f>IF(GQ149="","",IF(ISNUMBER('Dvd Calendar'!$AC$1487)=FALSE,"",'Dvd Calendar'!$AC$1487))</f>
        <v/>
      </c>
      <c r="BQ149" s="110">
        <f>IF(C149="","",IFERROR(C149*HSTECH!$B$40*HSTECH!$G$40/HSTECH!$B$3,""))</f>
        <v/>
      </c>
      <c r="BR149" s="110">
        <f>IF(D149="","",IFERROR(D149*HSTECH!$B$40*HSTECH!$G$40/HSTECH!$B$3,""))</f>
        <v/>
      </c>
      <c r="BS149" s="110">
        <f>IF(E149="","",IFERROR(E149*HSTECH!$B$40*HSTECH!$G$40/HSTECH!$B$3,""))</f>
        <v/>
      </c>
      <c r="BT149" s="110">
        <f>IF(F149="","",IFERROR(F149*HSTECH!$B$40*HSTECH!$G$40/HSTECH!$B$3,""))</f>
        <v/>
      </c>
      <c r="BU149" s="110">
        <f>IF(G149="","",IFERROR(G149*HSTECH!$B$40*HSTECH!$G$40/HSTECH!$B$3,""))</f>
        <v/>
      </c>
      <c r="BV149" s="110">
        <f>IF(H149="","",IFERROR(H149*HSTECH!$B$40*HSTECH!$G$40/HSTECH!$B$3,""))</f>
        <v/>
      </c>
      <c r="BW149" s="110">
        <f>IF(I149="","",IFERROR(I149*HSTECH!$B$40*HSTECH!$G$40/HSTECH!$B$3,""))</f>
        <v/>
      </c>
      <c r="BX149" s="110">
        <f>IF(J149="","",IFERROR(J149*HSTECH!$B$40*HSTECH!$G$40/HSTECH!$B$3,""))</f>
        <v/>
      </c>
      <c r="BY149" s="110">
        <f>IF(K149="","",IFERROR(K149*HSTECH!$B$40*HSTECH!$G$40/HSTECH!$B$3,""))</f>
        <v/>
      </c>
      <c r="BZ149" s="110">
        <f>IF(L149="","",IFERROR(L149*HSTECH!$B$40*HSTECH!$G$40/HSTECH!$B$3,""))</f>
        <v/>
      </c>
      <c r="CA149" s="110">
        <f>IF(M149="","",IFERROR(M149*HSTECH!$B$40*HSTECH!$G$40/HSTECH!$B$3,""))</f>
        <v/>
      </c>
      <c r="CB149" s="110">
        <f>IF(N149="","",IFERROR(N149*HSTECH!$B$40*HSTECH!$G$40/HSTECH!$B$3,""))</f>
        <v/>
      </c>
      <c r="CC149" s="110">
        <f>IF(O149="","",IFERROR(O149*HSTECH!$B$40*HSTECH!$G$40/HSTECH!$B$3,""))</f>
        <v/>
      </c>
      <c r="CD149" s="110">
        <f>IF(P149="","",IFERROR(P149*HSTECH!$B$40*HSTECH!$G$40/HSTECH!$B$3,""))</f>
        <v/>
      </c>
      <c r="CE149" s="110">
        <f>IF(Q149="","",IFERROR(Q149*HSTECH!$B$40*HSTECH!$G$40/HSTECH!$B$3,""))</f>
        <v/>
      </c>
      <c r="CF149" s="110">
        <f>IF(R149="","",IFERROR(R149*HSTECH!$B$40*HSTECH!$G$40/HSTECH!$B$3,""))</f>
        <v/>
      </c>
      <c r="CG149" s="110">
        <f>IF(S149="","",IFERROR(S149*HSTECH!$B$40*HSTECH!$G$40/HSTECH!$B$3,""))</f>
        <v/>
      </c>
      <c r="CH149" s="110">
        <f>IF(T149="","",IFERROR(T149*HSTECH!$B$40*HSTECH!$G$40/HSTECH!$B$3,""))</f>
        <v/>
      </c>
      <c r="CI149" s="110">
        <f>IF(U149="","",IFERROR(U149*HSTECH!$B$40*HSTECH!$G$40/HSTECH!$B$3,""))</f>
        <v/>
      </c>
      <c r="CJ149" s="110">
        <f>IF(V149="","",IFERROR(V149*HSTECH!$B$40*HSTECH!$G$40/HSTECH!$B$3,""))</f>
        <v/>
      </c>
      <c r="CK149" s="110">
        <f>IF(W149="","",IFERROR(W149*HSTECH!$B$40*HSTECH!$G$40/HSTECH!$B$3,""))</f>
        <v/>
      </c>
      <c r="CL149" s="110">
        <f>IF(X149="","",IFERROR(X149*HSTECH!$B$40*HSTECH!$G$40/HSTECH!$B$3,""))</f>
        <v/>
      </c>
      <c r="CM149" s="110">
        <f>IF(Y149="","",IFERROR(Y149*HSTECH!$B$40*HSTECH!$G$40/HSTECH!$B$3,""))</f>
        <v/>
      </c>
      <c r="CN149" s="110">
        <f>IF(Z149="","",IFERROR(Z149*HSTECH!$B$40*HSTECH!$G$40/HSTECH!$B$3,""))</f>
        <v/>
      </c>
      <c r="CO149" s="110">
        <f>IF(AA149="","",IFERROR(AA149*HSTECH!$B$40*HSTECH!$G$40/HSTECH!$B$3,""))</f>
        <v/>
      </c>
      <c r="CP149" s="110">
        <f>IF(AB149="","",IFERROR(AB149*HSTECH!$B$40*HSTECH!$G$40/HSTECH!$B$3,""))</f>
        <v/>
      </c>
      <c r="CQ149" s="110">
        <f>IF(AC149="","",IFERROR(AC149*HSTECH!$B$40*HSTECH!$G$40/HSTECH!$B$3,""))</f>
        <v/>
      </c>
      <c r="CR149" s="110">
        <f>IF(AD149="","",IFERROR(AD149*HSTECH!$B$40*HSTECH!$G$40/HSTECH!$B$3,""))</f>
        <v/>
      </c>
      <c r="CS149" s="110">
        <f>IF(AE149="","",IFERROR(AE149*HSTECH!$B$40*HSTECH!$G$40/HSTECH!$B$3,""))</f>
        <v/>
      </c>
      <c r="CT149" s="110">
        <f>IF(AF149="","",IFERROR(AF149*HSTECH!$B$40*HSTECH!$G$40/HSTECH!$B$3,""))</f>
        <v/>
      </c>
      <c r="CU149" s="110">
        <f>IF(AG149="","",IFERROR(AG149*HSTECH!$B$40*HSTECH!$G$40/HSTECH!$B$3,""))</f>
        <v/>
      </c>
      <c r="CV149" s="110">
        <f>IF(AH149="","",IFERROR(AH149*HSTECH!$B$40*HSTECH!$G$40/HSTECH!$B$3,""))</f>
        <v/>
      </c>
      <c r="CW149" s="110">
        <f>IF(AI149="","",IFERROR(AI149*HSTECH!$B$40*HSTECH!$G$40/HSTECH!$B$3,""))</f>
        <v/>
      </c>
      <c r="CX149" s="110">
        <f>IF(AJ149="","",IFERROR(AJ149*HSTECH!$B$40*HSTECH!$G$40/HSTECH!$B$3,""))</f>
        <v/>
      </c>
      <c r="CY149" s="110">
        <f>IF(AK149="","",IFERROR(AK149*HSTECH!$B$40*HSTECH!$G$40/HSTECH!$B$3,""))</f>
        <v/>
      </c>
      <c r="CZ149" s="110">
        <f>IF(AL149="","",IFERROR(AL149*HSTECH!$B$40*HSTECH!$G$40/HSTECH!$B$3,""))</f>
        <v/>
      </c>
      <c r="DA149" s="110">
        <f>IF(AM149="","",IFERROR(AM149*HSTECH!$B$40*HSTECH!$G$40/HSTECH!$B$3,""))</f>
        <v/>
      </c>
      <c r="DB149" s="110">
        <f>IF(AN149="","",IFERROR(AN149*HSTECH!$B$40*HSTECH!$G$40/HSTECH!$B$3,""))</f>
        <v/>
      </c>
      <c r="DC149" s="110">
        <f>IF(AO149="","",IFERROR(AO149*HSTECH!$B$40*HSTECH!$G$40/HSTECH!$B$3,""))</f>
        <v/>
      </c>
      <c r="DD149" s="110">
        <f>IF(AP149="","",IFERROR(AP149*HSTECH!$B$40*HSTECH!$G$40/HSTECH!$B$3,""))</f>
        <v/>
      </c>
      <c r="DE149" s="110">
        <f>IF(AQ149="","",IFERROR(AQ149*HSTECH!$B$40*HSTECH!$G$40/HSTECH!$B$3,""))</f>
        <v/>
      </c>
      <c r="DF149" s="110">
        <f>IF(AR149="","",IFERROR(AR149*HSTECH!$B$40*HSTECH!$G$40/HSTECH!$B$3,""))</f>
        <v/>
      </c>
      <c r="DG149" s="110">
        <f>IF(AS149="","",IFERROR(AS149*HSTECH!$B$40*HSTECH!$G$40/HSTECH!$B$3,""))</f>
        <v/>
      </c>
      <c r="DH149" s="110">
        <f>IF(AT149="","",IFERROR(AT149*HSTECH!$B$40*HSTECH!$G$40/HSTECH!$B$3,""))</f>
        <v/>
      </c>
      <c r="DI149" s="110">
        <f>IF(AU149="","",IFERROR(AU149*HSTECH!$B$40*HSTECH!$G$40/HSTECH!$B$3,""))</f>
        <v/>
      </c>
      <c r="DJ149" s="110">
        <f>IF(AV149="","",IFERROR(AV149*HSTECH!$B$40*HSTECH!$G$40/HSTECH!$B$3,""))</f>
        <v/>
      </c>
      <c r="DK149" s="110">
        <f>IF(AW149="","",IFERROR(AW149*HSTECH!$B$40*HSTECH!$G$40/HSTECH!$B$3,""))</f>
        <v/>
      </c>
      <c r="DL149" s="110">
        <f>IF(AX149="","",IFERROR(AX149*HSTECH!$B$40*HSTECH!$G$40/HSTECH!$B$3,""))</f>
        <v/>
      </c>
      <c r="DM149" s="110">
        <f>IF(AY149="","",IFERROR(AY149*HSTECH!$B$40*HSTECH!$G$40/HSTECH!$B$3,""))</f>
        <v/>
      </c>
      <c r="DN149" s="110">
        <f>IF(AZ149="","",IFERROR(AZ149*HSTECH!$B$40*HSTECH!$G$40/HSTECH!$B$3,""))</f>
        <v/>
      </c>
      <c r="DO149" s="110">
        <f>IF(BA149="","",IFERROR(BA149*HSTECH!$B$40*HSTECH!$G$40/HSTECH!$B$3,""))</f>
        <v/>
      </c>
      <c r="DP149" s="110">
        <f>IF(BB149="","",IFERROR(BB149*HSTECH!$B$40*HSTECH!$G$40/HSTECH!$B$3,""))</f>
        <v/>
      </c>
      <c r="DQ149" s="110">
        <f>IF(BC149="","",IFERROR(BC149*HSTECH!$B$40*HSTECH!$G$40/HSTECH!$B$3,""))</f>
        <v/>
      </c>
      <c r="DR149" s="110">
        <f>IF(BD149="","",IFERROR(BD149*HSTECH!$B$40*HSTECH!$G$40/HSTECH!$B$3,""))</f>
        <v/>
      </c>
      <c r="DS149" s="110">
        <f>IF(BE149="","",IFERROR(BE149*HSTECH!$B$40*HSTECH!$G$40/HSTECH!$B$3,""))</f>
        <v/>
      </c>
      <c r="DT149" s="110">
        <f>IF(BF149="","",IFERROR(BF149*HSTECH!$B$40*HSTECH!$G$40/HSTECH!$B$3,""))</f>
        <v/>
      </c>
      <c r="DU149" s="110">
        <f>IF(BG149="","",IFERROR(BG149*HSTECH!$B$40*HSTECH!$G$40/HSTECH!$B$3,""))</f>
        <v/>
      </c>
      <c r="DV149" s="110">
        <f>IF(BH149="","",IFERROR(BH149*HSTECH!$B$40*HSTECH!$G$40/HSTECH!$B$3,""))</f>
        <v/>
      </c>
      <c r="DW149" s="110">
        <f>IF(BI149="","",IFERROR(BI149*HSTECH!$B$40*HSTECH!$G$40/HSTECH!$B$3,""))</f>
        <v/>
      </c>
      <c r="DX149" s="110">
        <f>IF(BJ149="","",IFERROR(BJ149*HSTECH!$B$40*HSTECH!$G$40/HSTECH!$B$3,""))</f>
        <v/>
      </c>
      <c r="DY149" s="110">
        <f>IF(BK149="","",IFERROR(BK149*HSTECH!$B$40*HSTECH!$G$40/HSTECH!$B$3,""))</f>
        <v/>
      </c>
      <c r="DZ149" s="110">
        <f>IF(BL149="","",IFERROR(BL149*HSTECH!$B$40*HSTECH!$G$40/HSTECH!$B$3,""))</f>
        <v/>
      </c>
      <c r="EA149" s="110">
        <f>IF(BM149="","",IFERROR(BM149*HSTECH!$B$40*HSTECH!$G$40/HSTECH!$B$3,""))</f>
        <v/>
      </c>
      <c r="EB149" s="110">
        <f>IF(BN149="","",IFERROR(BN149*HSTECH!$B$40*HSTECH!$G$40/HSTECH!$B$3,""))</f>
        <v/>
      </c>
      <c r="EC149" s="110">
        <f>IF(BO149="","",IFERROR(BO149*HSTECH!$B$40*HSTECH!$G$40/HSTECH!$B$3,""))</f>
        <v/>
      </c>
      <c r="EE149" s="39">
        <f>IF(N('Dvd Calendar'!$E$1479)=0,"",IF(('Dvd Calendar'!$E$1479&gt;=GRID_FROM)*('Dvd Calendar'!$E$1479&lt;=GRID_TO)*((('Dvd Calendar'!$E$1479&lt;=VAL_DATE)+(COUNTIF('Dvd Calendar'!$E$1486:$AR$1486,'Dvd Calendar'!$E$1479)=0))&gt;0)=0,"",'Dvd Calendar'!$E$1479*1000000000+ISNUMBER('Dvd Calendar'!$E$1482)*100000000+('Dvd Calendar'!$E$1484=SPECIAL_LBL)*10000000+(N('Dvd Calendar'!$E$1478)&gt;0)*(N('Dvd Calendar'!$E$1478)&lt;=VAL_SERIAL)*1000000+34*1000+1))</f>
        <v/>
      </c>
      <c r="EF149" s="39">
        <f>IF(N('Dvd Calendar'!$F$1479)=0,"",IF(('Dvd Calendar'!$F$1479&gt;=GRID_FROM)*('Dvd Calendar'!$F$1479&lt;=GRID_TO)*((('Dvd Calendar'!$F$1479&lt;=VAL_DATE)+(COUNTIF('Dvd Calendar'!$E$1486:$AR$1486,'Dvd Calendar'!$F$1479)=0))&gt;0)=0,"",'Dvd Calendar'!$F$1479*1000000000+ISNUMBER('Dvd Calendar'!$F$1482)*100000000+('Dvd Calendar'!$F$1484=SPECIAL_LBL)*10000000+(N('Dvd Calendar'!$F$1478)&gt;0)*(N('Dvd Calendar'!$F$1478)&lt;=VAL_SERIAL)*1000000+34*1000+2))</f>
        <v/>
      </c>
      <c r="EG149" s="39">
        <f>IF(N('Dvd Calendar'!$G$1479)=0,"",IF(('Dvd Calendar'!$G$1479&gt;=GRID_FROM)*('Dvd Calendar'!$G$1479&lt;=GRID_TO)*((('Dvd Calendar'!$G$1479&lt;=VAL_DATE)+(COUNTIF('Dvd Calendar'!$E$1486:$AR$1486,'Dvd Calendar'!$G$1479)=0))&gt;0)=0,"",'Dvd Calendar'!$G$1479*1000000000+ISNUMBER('Dvd Calendar'!$G$1482)*100000000+('Dvd Calendar'!$G$1484=SPECIAL_LBL)*10000000+(N('Dvd Calendar'!$G$1478)&gt;0)*(N('Dvd Calendar'!$G$1478)&lt;=VAL_SERIAL)*1000000+34*1000+3))</f>
        <v/>
      </c>
      <c r="EH149" s="39">
        <f>IF(N('Dvd Calendar'!$H$1479)=0,"",IF(('Dvd Calendar'!$H$1479&gt;=GRID_FROM)*('Dvd Calendar'!$H$1479&lt;=GRID_TO)*((('Dvd Calendar'!$H$1479&lt;=VAL_DATE)+(COUNTIF('Dvd Calendar'!$E$1486:$AR$1486,'Dvd Calendar'!$H$1479)=0))&gt;0)=0,"",'Dvd Calendar'!$H$1479*1000000000+ISNUMBER('Dvd Calendar'!$H$1482)*100000000+('Dvd Calendar'!$H$1484=SPECIAL_LBL)*10000000+(N('Dvd Calendar'!$H$1478)&gt;0)*(N('Dvd Calendar'!$H$1478)&lt;=VAL_SERIAL)*1000000+34*1000+4))</f>
        <v/>
      </c>
      <c r="EI149" s="39">
        <f>IF(N('Dvd Calendar'!$I$1479)=0,"",IF(('Dvd Calendar'!$I$1479&gt;=GRID_FROM)*('Dvd Calendar'!$I$1479&lt;=GRID_TO)*((('Dvd Calendar'!$I$1479&lt;=VAL_DATE)+(COUNTIF('Dvd Calendar'!$E$1486:$AR$1486,'Dvd Calendar'!$I$1479)=0))&gt;0)=0,"",'Dvd Calendar'!$I$1479*1000000000+ISNUMBER('Dvd Calendar'!$I$1482)*100000000+('Dvd Calendar'!$I$1484=SPECIAL_LBL)*10000000+(N('Dvd Calendar'!$I$1478)&gt;0)*(N('Dvd Calendar'!$I$1478)&lt;=VAL_SERIAL)*1000000+34*1000+5))</f>
        <v/>
      </c>
      <c r="EJ149" s="39">
        <f>IF(N('Dvd Calendar'!$J$1479)=0,"",IF(('Dvd Calendar'!$J$1479&gt;=GRID_FROM)*('Dvd Calendar'!$J$1479&lt;=GRID_TO)*((('Dvd Calendar'!$J$1479&lt;=VAL_DATE)+(COUNTIF('Dvd Calendar'!$E$1486:$AR$1486,'Dvd Calendar'!$J$1479)=0))&gt;0)=0,"",'Dvd Calendar'!$J$1479*1000000000+ISNUMBER('Dvd Calendar'!$J$1482)*100000000+('Dvd Calendar'!$J$1484=SPECIAL_LBL)*10000000+(N('Dvd Calendar'!$J$1478)&gt;0)*(N('Dvd Calendar'!$J$1478)&lt;=VAL_SERIAL)*1000000+34*1000+6))</f>
        <v/>
      </c>
      <c r="EK149" s="39">
        <f>IF(N('Dvd Calendar'!$K$1479)=0,"",IF(('Dvd Calendar'!$K$1479&gt;=GRID_FROM)*('Dvd Calendar'!$K$1479&lt;=GRID_TO)*((('Dvd Calendar'!$K$1479&lt;=VAL_DATE)+(COUNTIF('Dvd Calendar'!$E$1486:$AR$1486,'Dvd Calendar'!$K$1479)=0))&gt;0)=0,"",'Dvd Calendar'!$K$1479*1000000000+ISNUMBER('Dvd Calendar'!$K$1482)*100000000+('Dvd Calendar'!$K$1484=SPECIAL_LBL)*10000000+(N('Dvd Calendar'!$K$1478)&gt;0)*(N('Dvd Calendar'!$K$1478)&lt;=VAL_SERIAL)*1000000+34*1000+7))</f>
        <v/>
      </c>
      <c r="EL149" s="39">
        <f>IF(N('Dvd Calendar'!$L$1479)=0,"",IF(('Dvd Calendar'!$L$1479&gt;=GRID_FROM)*('Dvd Calendar'!$L$1479&lt;=GRID_TO)*((('Dvd Calendar'!$L$1479&lt;=VAL_DATE)+(COUNTIF('Dvd Calendar'!$E$1486:$AR$1486,'Dvd Calendar'!$L$1479)=0))&gt;0)=0,"",'Dvd Calendar'!$L$1479*1000000000+ISNUMBER('Dvd Calendar'!$L$1482)*100000000+('Dvd Calendar'!$L$1484=SPECIAL_LBL)*10000000+(N('Dvd Calendar'!$L$1478)&gt;0)*(N('Dvd Calendar'!$L$1478)&lt;=VAL_SERIAL)*1000000+34*1000+8))</f>
        <v/>
      </c>
      <c r="EM149" s="39">
        <f>IF(N('Dvd Calendar'!$M$1479)=0,"",IF(('Dvd Calendar'!$M$1479&gt;=GRID_FROM)*('Dvd Calendar'!$M$1479&lt;=GRID_TO)*((('Dvd Calendar'!$M$1479&lt;=VAL_DATE)+(COUNTIF('Dvd Calendar'!$E$1486:$AR$1486,'Dvd Calendar'!$M$1479)=0))&gt;0)=0,"",'Dvd Calendar'!$M$1479*1000000000+ISNUMBER('Dvd Calendar'!$M$1482)*100000000+('Dvd Calendar'!$M$1484=SPECIAL_LBL)*10000000+(N('Dvd Calendar'!$M$1478)&gt;0)*(N('Dvd Calendar'!$M$1478)&lt;=VAL_SERIAL)*1000000+34*1000+9))</f>
        <v/>
      </c>
      <c r="EN149" s="39">
        <f>IF(N('Dvd Calendar'!$N$1479)=0,"",IF(('Dvd Calendar'!$N$1479&gt;=GRID_FROM)*('Dvd Calendar'!$N$1479&lt;=GRID_TO)*((('Dvd Calendar'!$N$1479&lt;=VAL_DATE)+(COUNTIF('Dvd Calendar'!$E$1486:$AR$1486,'Dvd Calendar'!$N$1479)=0))&gt;0)=0,"",'Dvd Calendar'!$N$1479*1000000000+ISNUMBER('Dvd Calendar'!$N$1482)*100000000+('Dvd Calendar'!$N$1484=SPECIAL_LBL)*10000000+(N('Dvd Calendar'!$N$1478)&gt;0)*(N('Dvd Calendar'!$N$1478)&lt;=VAL_SERIAL)*1000000+34*1000+10))</f>
        <v/>
      </c>
      <c r="EO149" s="39">
        <f>IF(N('Dvd Calendar'!$O$1479)=0,"",IF(('Dvd Calendar'!$O$1479&gt;=GRID_FROM)*('Dvd Calendar'!$O$1479&lt;=GRID_TO)*((('Dvd Calendar'!$O$1479&lt;=VAL_DATE)+(COUNTIF('Dvd Calendar'!$E$1486:$AR$1486,'Dvd Calendar'!$O$1479)=0))&gt;0)=0,"",'Dvd Calendar'!$O$1479*1000000000+ISNUMBER('Dvd Calendar'!$O$1482)*100000000+('Dvd Calendar'!$O$1484=SPECIAL_LBL)*10000000+(N('Dvd Calendar'!$O$1478)&gt;0)*(N('Dvd Calendar'!$O$1478)&lt;=VAL_SERIAL)*1000000+34*1000+11))</f>
        <v/>
      </c>
      <c r="EP149" s="39">
        <f>IF(N('Dvd Calendar'!$P$1479)=0,"",IF(('Dvd Calendar'!$P$1479&gt;=GRID_FROM)*('Dvd Calendar'!$P$1479&lt;=GRID_TO)*((('Dvd Calendar'!$P$1479&lt;=VAL_DATE)+(COUNTIF('Dvd Calendar'!$E$1486:$AR$1486,'Dvd Calendar'!$P$1479)=0))&gt;0)=0,"",'Dvd Calendar'!$P$1479*1000000000+ISNUMBER('Dvd Calendar'!$P$1482)*100000000+('Dvd Calendar'!$P$1484=SPECIAL_LBL)*10000000+(N('Dvd Calendar'!$P$1478)&gt;0)*(N('Dvd Calendar'!$P$1478)&lt;=VAL_SERIAL)*1000000+34*1000+12))</f>
        <v/>
      </c>
      <c r="EQ149" s="39">
        <f>IF(N('Dvd Calendar'!$Q$1479)=0,"",IF(('Dvd Calendar'!$Q$1479&gt;=GRID_FROM)*('Dvd Calendar'!$Q$1479&lt;=GRID_TO)*((('Dvd Calendar'!$Q$1479&lt;=VAL_DATE)+(COUNTIF('Dvd Calendar'!$E$1486:$AR$1486,'Dvd Calendar'!$Q$1479)=0))&gt;0)=0,"",'Dvd Calendar'!$Q$1479*1000000000+ISNUMBER('Dvd Calendar'!$Q$1482)*100000000+('Dvd Calendar'!$Q$1484=SPECIAL_LBL)*10000000+(N('Dvd Calendar'!$Q$1478)&gt;0)*(N('Dvd Calendar'!$Q$1478)&lt;=VAL_SERIAL)*1000000+34*1000+13))</f>
        <v/>
      </c>
      <c r="ER149" s="39">
        <f>IF(N('Dvd Calendar'!$R$1479)=0,"",IF(('Dvd Calendar'!$R$1479&gt;=GRID_FROM)*('Dvd Calendar'!$R$1479&lt;=GRID_TO)*((('Dvd Calendar'!$R$1479&lt;=VAL_DATE)+(COUNTIF('Dvd Calendar'!$E$1486:$AR$1486,'Dvd Calendar'!$R$1479)=0))&gt;0)=0,"",'Dvd Calendar'!$R$1479*1000000000+ISNUMBER('Dvd Calendar'!$R$1482)*100000000+('Dvd Calendar'!$R$1484=SPECIAL_LBL)*10000000+(N('Dvd Calendar'!$R$1478)&gt;0)*(N('Dvd Calendar'!$R$1478)&lt;=VAL_SERIAL)*1000000+34*1000+14))</f>
        <v/>
      </c>
      <c r="ES149" s="39">
        <f>IF(N('Dvd Calendar'!$S$1479)=0,"",IF(('Dvd Calendar'!$S$1479&gt;=GRID_FROM)*('Dvd Calendar'!$S$1479&lt;=GRID_TO)*((('Dvd Calendar'!$S$1479&lt;=VAL_DATE)+(COUNTIF('Dvd Calendar'!$E$1486:$AR$1486,'Dvd Calendar'!$S$1479)=0))&gt;0)=0,"",'Dvd Calendar'!$S$1479*1000000000+ISNUMBER('Dvd Calendar'!$S$1482)*100000000+('Dvd Calendar'!$S$1484=SPECIAL_LBL)*10000000+(N('Dvd Calendar'!$S$1478)&gt;0)*(N('Dvd Calendar'!$S$1478)&lt;=VAL_SERIAL)*1000000+34*1000+15))</f>
        <v/>
      </c>
      <c r="ET149" s="39">
        <f>IF(N('Dvd Calendar'!$T$1479)=0,"",IF(('Dvd Calendar'!$T$1479&gt;=GRID_FROM)*('Dvd Calendar'!$T$1479&lt;=GRID_TO)*((('Dvd Calendar'!$T$1479&lt;=VAL_DATE)+(COUNTIF('Dvd Calendar'!$E$1486:$AR$1486,'Dvd Calendar'!$T$1479)=0))&gt;0)=0,"",'Dvd Calendar'!$T$1479*1000000000+ISNUMBER('Dvd Calendar'!$T$1482)*100000000+('Dvd Calendar'!$T$1484=SPECIAL_LBL)*10000000+(N('Dvd Calendar'!$T$1478)&gt;0)*(N('Dvd Calendar'!$T$1478)&lt;=VAL_SERIAL)*1000000+34*1000+16))</f>
        <v/>
      </c>
      <c r="EU149" s="39">
        <f>IF(N('Dvd Calendar'!$U$1479)=0,"",IF(('Dvd Calendar'!$U$1479&gt;=GRID_FROM)*('Dvd Calendar'!$U$1479&lt;=GRID_TO)*((('Dvd Calendar'!$U$1479&lt;=VAL_DATE)+(COUNTIF('Dvd Calendar'!$E$1486:$AR$1486,'Dvd Calendar'!$U$1479)=0))&gt;0)=0,"",'Dvd Calendar'!$U$1479*1000000000+ISNUMBER('Dvd Calendar'!$U$1482)*100000000+('Dvd Calendar'!$U$1484=SPECIAL_LBL)*10000000+(N('Dvd Calendar'!$U$1478)&gt;0)*(N('Dvd Calendar'!$U$1478)&lt;=VAL_SERIAL)*1000000+34*1000+17))</f>
        <v/>
      </c>
      <c r="EV149" s="39">
        <f>IF(N('Dvd Calendar'!$V$1479)=0,"",IF(('Dvd Calendar'!$V$1479&gt;=GRID_FROM)*('Dvd Calendar'!$V$1479&lt;=GRID_TO)*((('Dvd Calendar'!$V$1479&lt;=VAL_DATE)+(COUNTIF('Dvd Calendar'!$E$1486:$AR$1486,'Dvd Calendar'!$V$1479)=0))&gt;0)=0,"",'Dvd Calendar'!$V$1479*1000000000+ISNUMBER('Dvd Calendar'!$V$1482)*100000000+('Dvd Calendar'!$V$1484=SPECIAL_LBL)*10000000+(N('Dvd Calendar'!$V$1478)&gt;0)*(N('Dvd Calendar'!$V$1478)&lt;=VAL_SERIAL)*1000000+34*1000+18))</f>
        <v/>
      </c>
      <c r="EW149" s="39">
        <f>IF(N('Dvd Calendar'!$W$1479)=0,"",IF(('Dvd Calendar'!$W$1479&gt;=GRID_FROM)*('Dvd Calendar'!$W$1479&lt;=GRID_TO)*((('Dvd Calendar'!$W$1479&lt;=VAL_DATE)+(COUNTIF('Dvd Calendar'!$E$1486:$AR$1486,'Dvd Calendar'!$W$1479)=0))&gt;0)=0,"",'Dvd Calendar'!$W$1479*1000000000+ISNUMBER('Dvd Calendar'!$W$1482)*100000000+('Dvd Calendar'!$W$1484=SPECIAL_LBL)*10000000+(N('Dvd Calendar'!$W$1478)&gt;0)*(N('Dvd Calendar'!$W$1478)&lt;=VAL_SERIAL)*1000000+34*1000+19))</f>
        <v/>
      </c>
      <c r="EX149" s="39">
        <f>IF(N('Dvd Calendar'!$X$1479)=0,"",IF(('Dvd Calendar'!$X$1479&gt;=GRID_FROM)*('Dvd Calendar'!$X$1479&lt;=GRID_TO)*((('Dvd Calendar'!$X$1479&lt;=VAL_DATE)+(COUNTIF('Dvd Calendar'!$E$1486:$AR$1486,'Dvd Calendar'!$X$1479)=0))&gt;0)=0,"",'Dvd Calendar'!$X$1479*1000000000+ISNUMBER('Dvd Calendar'!$X$1482)*100000000+('Dvd Calendar'!$X$1484=SPECIAL_LBL)*10000000+(N('Dvd Calendar'!$X$1478)&gt;0)*(N('Dvd Calendar'!$X$1478)&lt;=VAL_SERIAL)*1000000+34*1000+20))</f>
        <v/>
      </c>
      <c r="EY149" s="39">
        <f>IF(N('Dvd Calendar'!$Y$1479)=0,"",IF(('Dvd Calendar'!$Y$1479&gt;=GRID_FROM)*('Dvd Calendar'!$Y$1479&lt;=GRID_TO)*((('Dvd Calendar'!$Y$1479&lt;=VAL_DATE)+(COUNTIF('Dvd Calendar'!$E$1486:$AR$1486,'Dvd Calendar'!$Y$1479)=0))&gt;0)=0,"",'Dvd Calendar'!$Y$1479*1000000000+ISNUMBER('Dvd Calendar'!$Y$1482)*100000000+('Dvd Calendar'!$Y$1484=SPECIAL_LBL)*10000000+(N('Dvd Calendar'!$Y$1478)&gt;0)*(N('Dvd Calendar'!$Y$1478)&lt;=VAL_SERIAL)*1000000+34*1000+21))</f>
        <v/>
      </c>
      <c r="EZ149" s="39">
        <f>IF(N('Dvd Calendar'!$Z$1479)=0,"",IF(('Dvd Calendar'!$Z$1479&gt;=GRID_FROM)*('Dvd Calendar'!$Z$1479&lt;=GRID_TO)*((('Dvd Calendar'!$Z$1479&lt;=VAL_DATE)+(COUNTIF('Dvd Calendar'!$E$1486:$AR$1486,'Dvd Calendar'!$Z$1479)=0))&gt;0)=0,"",'Dvd Calendar'!$Z$1479*1000000000+ISNUMBER('Dvd Calendar'!$Z$1482)*100000000+('Dvd Calendar'!$Z$1484=SPECIAL_LBL)*10000000+(N('Dvd Calendar'!$Z$1478)&gt;0)*(N('Dvd Calendar'!$Z$1478)&lt;=VAL_SERIAL)*1000000+34*1000+22))</f>
        <v/>
      </c>
      <c r="FA149" s="39">
        <f>IF(N('Dvd Calendar'!$AA$1479)=0,"",IF(('Dvd Calendar'!$AA$1479&gt;=GRID_FROM)*('Dvd Calendar'!$AA$1479&lt;=GRID_TO)*((('Dvd Calendar'!$AA$1479&lt;=VAL_DATE)+(COUNTIF('Dvd Calendar'!$E$1486:$AR$1486,'Dvd Calendar'!$AA$1479)=0))&gt;0)=0,"",'Dvd Calendar'!$AA$1479*1000000000+ISNUMBER('Dvd Calendar'!$AA$1482)*100000000+('Dvd Calendar'!$AA$1484=SPECIAL_LBL)*10000000+(N('Dvd Calendar'!$AA$1478)&gt;0)*(N('Dvd Calendar'!$AA$1478)&lt;=VAL_SERIAL)*1000000+34*1000+23))</f>
        <v/>
      </c>
      <c r="FB149" s="39">
        <f>IF(N('Dvd Calendar'!$AB$1479)=0,"",IF(('Dvd Calendar'!$AB$1479&gt;=GRID_FROM)*('Dvd Calendar'!$AB$1479&lt;=GRID_TO)*((('Dvd Calendar'!$AB$1479&lt;=VAL_DATE)+(COUNTIF('Dvd Calendar'!$E$1486:$AR$1486,'Dvd Calendar'!$AB$1479)=0))&gt;0)=0,"",'Dvd Calendar'!$AB$1479*1000000000+ISNUMBER('Dvd Calendar'!$AB$1482)*100000000+('Dvd Calendar'!$AB$1484=SPECIAL_LBL)*10000000+(N('Dvd Calendar'!$AB$1478)&gt;0)*(N('Dvd Calendar'!$AB$1478)&lt;=VAL_SERIAL)*1000000+34*1000+24))</f>
        <v/>
      </c>
      <c r="FC149" s="39">
        <f>IF(N('Dvd Calendar'!$AC$1479)=0,"",IF(('Dvd Calendar'!$AC$1479&gt;=GRID_FROM)*('Dvd Calendar'!$AC$1479&lt;=GRID_TO)*((('Dvd Calendar'!$AC$1479&lt;=VAL_DATE)+(COUNTIF('Dvd Calendar'!$E$1486:$AR$1486,'Dvd Calendar'!$AC$1479)=0))&gt;0)=0,"",'Dvd Calendar'!$AC$1479*1000000000+ISNUMBER('Dvd Calendar'!$AC$1482)*100000000+('Dvd Calendar'!$AC$1484=SPECIAL_LBL)*10000000+(N('Dvd Calendar'!$AC$1478)&gt;0)*(N('Dvd Calendar'!$AC$1478)&lt;=VAL_SERIAL)*1000000+34*1000+25))</f>
        <v/>
      </c>
      <c r="FD149" s="39">
        <f>IF(N('Dvd Calendar'!$AD$1479)=0,"",IF(('Dvd Calendar'!$AD$1479&gt;=GRID_FROM)*('Dvd Calendar'!$AD$1479&lt;=GRID_TO)*((('Dvd Calendar'!$AD$1479&lt;=VAL_DATE)+(COUNTIF('Dvd Calendar'!$E$1486:$AR$1486,'Dvd Calendar'!$AD$1479)=0))&gt;0)=0,"",'Dvd Calendar'!$AD$1479*1000000000+ISNUMBER('Dvd Calendar'!$AD$1482)*100000000+('Dvd Calendar'!$AD$1484=SPECIAL_LBL)*10000000+(N('Dvd Calendar'!$AD$1478)&gt;0)*(N('Dvd Calendar'!$AD$1478)&lt;=VAL_SERIAL)*1000000+34*1000+26))</f>
        <v/>
      </c>
      <c r="FE149" s="39">
        <f>IF(N('Dvd Calendar'!$AE$1479)=0,"",IF(('Dvd Calendar'!$AE$1479&gt;=GRID_FROM)*('Dvd Calendar'!$AE$1479&lt;=GRID_TO)*((('Dvd Calendar'!$AE$1479&lt;=VAL_DATE)+(COUNTIF('Dvd Calendar'!$E$1486:$AR$1486,'Dvd Calendar'!$AE$1479)=0))&gt;0)=0,"",'Dvd Calendar'!$AE$1479*1000000000+ISNUMBER('Dvd Calendar'!$AE$1482)*100000000+('Dvd Calendar'!$AE$1484=SPECIAL_LBL)*10000000+(N('Dvd Calendar'!$AE$1478)&gt;0)*(N('Dvd Calendar'!$AE$1478)&lt;=VAL_SERIAL)*1000000+34*1000+27))</f>
        <v/>
      </c>
      <c r="FF149" s="39">
        <f>IF(N('Dvd Calendar'!$AF$1479)=0,"",IF(('Dvd Calendar'!$AF$1479&gt;=GRID_FROM)*('Dvd Calendar'!$AF$1479&lt;=GRID_TO)*((('Dvd Calendar'!$AF$1479&lt;=VAL_DATE)+(COUNTIF('Dvd Calendar'!$E$1486:$AR$1486,'Dvd Calendar'!$AF$1479)=0))&gt;0)=0,"",'Dvd Calendar'!$AF$1479*1000000000+ISNUMBER('Dvd Calendar'!$AF$1482)*100000000+('Dvd Calendar'!$AF$1484=SPECIAL_LBL)*10000000+(N('Dvd Calendar'!$AF$1478)&gt;0)*(N('Dvd Calendar'!$AF$1478)&lt;=VAL_SERIAL)*1000000+34*1000+28))</f>
        <v/>
      </c>
      <c r="FG149" s="39">
        <f>IF(N('Dvd Calendar'!$AG$1479)=0,"",IF(('Dvd Calendar'!$AG$1479&gt;=GRID_FROM)*('Dvd Calendar'!$AG$1479&lt;=GRID_TO)*((('Dvd Calendar'!$AG$1479&lt;=VAL_DATE)+(COUNTIF('Dvd Calendar'!$E$1486:$AR$1486,'Dvd Calendar'!$AG$1479)=0))&gt;0)=0,"",'Dvd Calendar'!$AG$1479*1000000000+ISNUMBER('Dvd Calendar'!$AG$1482)*100000000+('Dvd Calendar'!$AG$1484=SPECIAL_LBL)*10000000+(N('Dvd Calendar'!$AG$1478)&gt;0)*(N('Dvd Calendar'!$AG$1478)&lt;=VAL_SERIAL)*1000000+34*1000+29))</f>
        <v/>
      </c>
      <c r="FH149" s="39">
        <f>IF(N('Dvd Calendar'!$AH$1479)=0,"",IF(('Dvd Calendar'!$AH$1479&gt;=GRID_FROM)*('Dvd Calendar'!$AH$1479&lt;=GRID_TO)*((('Dvd Calendar'!$AH$1479&lt;=VAL_DATE)+(COUNTIF('Dvd Calendar'!$E$1486:$AR$1486,'Dvd Calendar'!$AH$1479)=0))&gt;0)=0,"",'Dvd Calendar'!$AH$1479*1000000000+ISNUMBER('Dvd Calendar'!$AH$1482)*100000000+('Dvd Calendar'!$AH$1484=SPECIAL_LBL)*10000000+(N('Dvd Calendar'!$AH$1478)&gt;0)*(N('Dvd Calendar'!$AH$1478)&lt;=VAL_SERIAL)*1000000+34*1000+30))</f>
        <v/>
      </c>
      <c r="FI149" s="39">
        <f>IF(N('Dvd Calendar'!$AI$1479)=0,"",IF(('Dvd Calendar'!$AI$1479&gt;=GRID_FROM)*('Dvd Calendar'!$AI$1479&lt;=GRID_TO)*((('Dvd Calendar'!$AI$1479&lt;=VAL_DATE)+(COUNTIF('Dvd Calendar'!$E$1486:$AR$1486,'Dvd Calendar'!$AI$1479)=0))&gt;0)=0,"",'Dvd Calendar'!$AI$1479*1000000000+ISNUMBER('Dvd Calendar'!$AI$1482)*100000000+('Dvd Calendar'!$AI$1484=SPECIAL_LBL)*10000000+(N('Dvd Calendar'!$AI$1478)&gt;0)*(N('Dvd Calendar'!$AI$1478)&lt;=VAL_SERIAL)*1000000+34*1000+31))</f>
        <v/>
      </c>
      <c r="FJ149" s="39">
        <f>IF(N('Dvd Calendar'!$AJ$1479)=0,"",IF(('Dvd Calendar'!$AJ$1479&gt;=GRID_FROM)*('Dvd Calendar'!$AJ$1479&lt;=GRID_TO)*((('Dvd Calendar'!$AJ$1479&lt;=VAL_DATE)+(COUNTIF('Dvd Calendar'!$E$1486:$AR$1486,'Dvd Calendar'!$AJ$1479)=0))&gt;0)=0,"",'Dvd Calendar'!$AJ$1479*1000000000+ISNUMBER('Dvd Calendar'!$AJ$1482)*100000000+('Dvd Calendar'!$AJ$1484=SPECIAL_LBL)*10000000+(N('Dvd Calendar'!$AJ$1478)&gt;0)*(N('Dvd Calendar'!$AJ$1478)&lt;=VAL_SERIAL)*1000000+34*1000+32))</f>
        <v/>
      </c>
      <c r="FK149" s="39">
        <f>IF(N('Dvd Calendar'!$AK$1479)=0,"",IF(('Dvd Calendar'!$AK$1479&gt;=GRID_FROM)*('Dvd Calendar'!$AK$1479&lt;=GRID_TO)*((('Dvd Calendar'!$AK$1479&lt;=VAL_DATE)+(COUNTIF('Dvd Calendar'!$E$1486:$AR$1486,'Dvd Calendar'!$AK$1479)=0))&gt;0)=0,"",'Dvd Calendar'!$AK$1479*1000000000+ISNUMBER('Dvd Calendar'!$AK$1482)*100000000+('Dvd Calendar'!$AK$1484=SPECIAL_LBL)*10000000+(N('Dvd Calendar'!$AK$1478)&gt;0)*(N('Dvd Calendar'!$AK$1478)&lt;=VAL_SERIAL)*1000000+34*1000+33))</f>
        <v/>
      </c>
      <c r="FL149" s="39">
        <f>IF(N('Dvd Calendar'!$AL$1479)=0,"",IF(('Dvd Calendar'!$AL$1479&gt;=GRID_FROM)*('Dvd Calendar'!$AL$1479&lt;=GRID_TO)*((('Dvd Calendar'!$AL$1479&lt;=VAL_DATE)+(COUNTIF('Dvd Calendar'!$E$1486:$AR$1486,'Dvd Calendar'!$AL$1479)=0))&gt;0)=0,"",'Dvd Calendar'!$AL$1479*1000000000+ISNUMBER('Dvd Calendar'!$AL$1482)*100000000+('Dvd Calendar'!$AL$1484=SPECIAL_LBL)*10000000+(N('Dvd Calendar'!$AL$1478)&gt;0)*(N('Dvd Calendar'!$AL$1478)&lt;=VAL_SERIAL)*1000000+34*1000+34))</f>
        <v/>
      </c>
      <c r="FM149" s="39">
        <f>IF(N('Dvd Calendar'!$AM$1479)=0,"",IF(('Dvd Calendar'!$AM$1479&gt;=GRID_FROM)*('Dvd Calendar'!$AM$1479&lt;=GRID_TO)*((('Dvd Calendar'!$AM$1479&lt;=VAL_DATE)+(COUNTIF('Dvd Calendar'!$E$1486:$AR$1486,'Dvd Calendar'!$AM$1479)=0))&gt;0)=0,"",'Dvd Calendar'!$AM$1479*1000000000+ISNUMBER('Dvd Calendar'!$AM$1482)*100000000+('Dvd Calendar'!$AM$1484=SPECIAL_LBL)*10000000+(N('Dvd Calendar'!$AM$1478)&gt;0)*(N('Dvd Calendar'!$AM$1478)&lt;=VAL_SERIAL)*1000000+34*1000+35))</f>
        <v/>
      </c>
      <c r="FN149" s="39">
        <f>IF(N('Dvd Calendar'!$AN$1479)=0,"",IF(('Dvd Calendar'!$AN$1479&gt;=GRID_FROM)*('Dvd Calendar'!$AN$1479&lt;=GRID_TO)*((('Dvd Calendar'!$AN$1479&lt;=VAL_DATE)+(COUNTIF('Dvd Calendar'!$E$1486:$AR$1486,'Dvd Calendar'!$AN$1479)=0))&gt;0)=0,"",'Dvd Calendar'!$AN$1479*1000000000+ISNUMBER('Dvd Calendar'!$AN$1482)*100000000+('Dvd Calendar'!$AN$1484=SPECIAL_LBL)*10000000+(N('Dvd Calendar'!$AN$1478)&gt;0)*(N('Dvd Calendar'!$AN$1478)&lt;=VAL_SERIAL)*1000000+34*1000+36))</f>
        <v/>
      </c>
      <c r="FO149" s="39">
        <f>IF(N('Dvd Calendar'!$AO$1479)=0,"",IF(('Dvd Calendar'!$AO$1479&gt;=GRID_FROM)*('Dvd Calendar'!$AO$1479&lt;=GRID_TO)*((('Dvd Calendar'!$AO$1479&lt;=VAL_DATE)+(COUNTIF('Dvd Calendar'!$E$1486:$AR$1486,'Dvd Calendar'!$AO$1479)=0))&gt;0)=0,"",'Dvd Calendar'!$AO$1479*1000000000+ISNUMBER('Dvd Calendar'!$AO$1482)*100000000+('Dvd Calendar'!$AO$1484=SPECIAL_LBL)*10000000+(N('Dvd Calendar'!$AO$1478)&gt;0)*(N('Dvd Calendar'!$AO$1478)&lt;=VAL_SERIAL)*1000000+34*1000+37))</f>
        <v/>
      </c>
      <c r="FP149" s="39">
        <f>IF(N('Dvd Calendar'!$AP$1479)=0,"",IF(('Dvd Calendar'!$AP$1479&gt;=GRID_FROM)*('Dvd Calendar'!$AP$1479&lt;=GRID_TO)*((('Dvd Calendar'!$AP$1479&lt;=VAL_DATE)+(COUNTIF('Dvd Calendar'!$E$1486:$AR$1486,'Dvd Calendar'!$AP$1479)=0))&gt;0)=0,"",'Dvd Calendar'!$AP$1479*1000000000+ISNUMBER('Dvd Calendar'!$AP$1482)*100000000+('Dvd Calendar'!$AP$1484=SPECIAL_LBL)*10000000+(N('Dvd Calendar'!$AP$1478)&gt;0)*(N('Dvd Calendar'!$AP$1478)&lt;=VAL_SERIAL)*1000000+34*1000+38))</f>
        <v/>
      </c>
      <c r="FQ149" s="39">
        <f>IF(N('Dvd Calendar'!$AQ$1479)=0,"",IF(('Dvd Calendar'!$AQ$1479&gt;=GRID_FROM)*('Dvd Calendar'!$AQ$1479&lt;=GRID_TO)*((('Dvd Calendar'!$AQ$1479&lt;=VAL_DATE)+(COUNTIF('Dvd Calendar'!$E$1486:$AR$1486,'Dvd Calendar'!$AQ$1479)=0))&gt;0)=0,"",'Dvd Calendar'!$AQ$1479*1000000000+ISNUMBER('Dvd Calendar'!$AQ$1482)*100000000+('Dvd Calendar'!$AQ$1484=SPECIAL_LBL)*10000000+(N('Dvd Calendar'!$AQ$1478)&gt;0)*(N('Dvd Calendar'!$AQ$1478)&lt;=VAL_SERIAL)*1000000+34*1000+39))</f>
        <v/>
      </c>
      <c r="FR149" s="39">
        <f>IF(N('Dvd Calendar'!$AR$1479)=0,"",IF(('Dvd Calendar'!$AR$1479&gt;=GRID_FROM)*('Dvd Calendar'!$AR$1479&lt;=GRID_TO)*((('Dvd Calendar'!$AR$1479&lt;=VAL_DATE)+(COUNTIF('Dvd Calendar'!$E$1486:$AR$1486,'Dvd Calendar'!$AR$1479)=0))&gt;0)=0,"",'Dvd Calendar'!$AR$1479*1000000000+ISNUMBER('Dvd Calendar'!$AR$1482)*100000000+('Dvd Calendar'!$AR$1484=SPECIAL_LBL)*10000000+(N('Dvd Calendar'!$AR$1478)&gt;0)*(N('Dvd Calendar'!$AR$1478)&lt;=VAL_SERIAL)*1000000+34*1000+40))</f>
        <v/>
      </c>
      <c r="FS149" s="39">
        <f>IF(N('Dvd Calendar'!$E$1486)=0,"",IF(('Dvd Calendar'!$E$1486&gt;=GRID_FROM)*('Dvd Calendar'!$E$1486&lt;=GRID_TO)*('Dvd Calendar'!$E$1486&gt;VAL_DATE)=0,"",'Dvd Calendar'!$E$1486*1000000000+ISNUMBER('Dvd Calendar'!$E$1487)*100000000+0*10000000+(N('Dvd Calendar'!$E$1485)&gt;0)*(N('Dvd Calendar'!$E$1485)&lt;=VAL_SERIAL)*1000000+34*1000+41))</f>
        <v/>
      </c>
      <c r="FT149" s="39">
        <f>IF(N('Dvd Calendar'!$F$1486)=0,"",IF(('Dvd Calendar'!$F$1486&gt;=GRID_FROM)*('Dvd Calendar'!$F$1486&lt;=GRID_TO)*('Dvd Calendar'!$F$1486&gt;VAL_DATE)=0,"",'Dvd Calendar'!$F$1486*1000000000+ISNUMBER('Dvd Calendar'!$F$1487)*100000000+0*10000000+(N('Dvd Calendar'!$F$1485)&gt;0)*(N('Dvd Calendar'!$F$1485)&lt;=VAL_SERIAL)*1000000+34*1000+42))</f>
        <v/>
      </c>
      <c r="FU149" s="39">
        <f>IF(N('Dvd Calendar'!$G$1486)=0,"",IF(('Dvd Calendar'!$G$1486&gt;=GRID_FROM)*('Dvd Calendar'!$G$1486&lt;=GRID_TO)*('Dvd Calendar'!$G$1486&gt;VAL_DATE)=0,"",'Dvd Calendar'!$G$1486*1000000000+ISNUMBER('Dvd Calendar'!$G$1487)*100000000+0*10000000+(N('Dvd Calendar'!$G$1485)&gt;0)*(N('Dvd Calendar'!$G$1485)&lt;=VAL_SERIAL)*1000000+34*1000+43))</f>
        <v/>
      </c>
      <c r="FV149" s="39">
        <f>IF(N('Dvd Calendar'!$H$1486)=0,"",IF(('Dvd Calendar'!$H$1486&gt;=GRID_FROM)*('Dvd Calendar'!$H$1486&lt;=GRID_TO)*('Dvd Calendar'!$H$1486&gt;VAL_DATE)=0,"",'Dvd Calendar'!$H$1486*1000000000+ISNUMBER('Dvd Calendar'!$H$1487)*100000000+0*10000000+(N('Dvd Calendar'!$H$1485)&gt;0)*(N('Dvd Calendar'!$H$1485)&lt;=VAL_SERIAL)*1000000+34*1000+44))</f>
        <v/>
      </c>
      <c r="FW149" s="39">
        <f>IF(N('Dvd Calendar'!$I$1486)=0,"",IF(('Dvd Calendar'!$I$1486&gt;=GRID_FROM)*('Dvd Calendar'!$I$1486&lt;=GRID_TO)*('Dvd Calendar'!$I$1486&gt;VAL_DATE)=0,"",'Dvd Calendar'!$I$1486*1000000000+ISNUMBER('Dvd Calendar'!$I$1487)*100000000+0*10000000+(N('Dvd Calendar'!$I$1485)&gt;0)*(N('Dvd Calendar'!$I$1485)&lt;=VAL_SERIAL)*1000000+34*1000+45))</f>
        <v/>
      </c>
      <c r="FX149" s="39">
        <f>IF(N('Dvd Calendar'!$J$1486)=0,"",IF(('Dvd Calendar'!$J$1486&gt;=GRID_FROM)*('Dvd Calendar'!$J$1486&lt;=GRID_TO)*('Dvd Calendar'!$J$1486&gt;VAL_DATE)=0,"",'Dvd Calendar'!$J$1486*1000000000+ISNUMBER('Dvd Calendar'!$J$1487)*100000000+0*10000000+(N('Dvd Calendar'!$J$1485)&gt;0)*(N('Dvd Calendar'!$J$1485)&lt;=VAL_SERIAL)*1000000+34*1000+46))</f>
        <v/>
      </c>
      <c r="FY149" s="39">
        <f>IF(N('Dvd Calendar'!$K$1486)=0,"",IF(('Dvd Calendar'!$K$1486&gt;=GRID_FROM)*('Dvd Calendar'!$K$1486&lt;=GRID_TO)*('Dvd Calendar'!$K$1486&gt;VAL_DATE)=0,"",'Dvd Calendar'!$K$1486*1000000000+ISNUMBER('Dvd Calendar'!$K$1487)*100000000+0*10000000+(N('Dvd Calendar'!$K$1485)&gt;0)*(N('Dvd Calendar'!$K$1485)&lt;=VAL_SERIAL)*1000000+34*1000+47))</f>
        <v/>
      </c>
      <c r="FZ149" s="39">
        <f>IF(N('Dvd Calendar'!$L$1486)=0,"",IF(('Dvd Calendar'!$L$1486&gt;=GRID_FROM)*('Dvd Calendar'!$L$1486&lt;=GRID_TO)*('Dvd Calendar'!$L$1486&gt;VAL_DATE)=0,"",'Dvd Calendar'!$L$1486*1000000000+ISNUMBER('Dvd Calendar'!$L$1487)*100000000+0*10000000+(N('Dvd Calendar'!$L$1485)&gt;0)*(N('Dvd Calendar'!$L$1485)&lt;=VAL_SERIAL)*1000000+34*1000+48))</f>
        <v/>
      </c>
      <c r="GA149" s="39">
        <f>IF(N('Dvd Calendar'!$M$1486)=0,"",IF(('Dvd Calendar'!$M$1486&gt;=GRID_FROM)*('Dvd Calendar'!$M$1486&lt;=GRID_TO)*('Dvd Calendar'!$M$1486&gt;VAL_DATE)=0,"",'Dvd Calendar'!$M$1486*1000000000+ISNUMBER('Dvd Calendar'!$M$1487)*100000000+0*10000000+(N('Dvd Calendar'!$M$1485)&gt;0)*(N('Dvd Calendar'!$M$1485)&lt;=VAL_SERIAL)*1000000+34*1000+49))</f>
        <v/>
      </c>
      <c r="GB149" s="39">
        <f>IF(N('Dvd Calendar'!$N$1486)=0,"",IF(('Dvd Calendar'!$N$1486&gt;=GRID_FROM)*('Dvd Calendar'!$N$1486&lt;=GRID_TO)*('Dvd Calendar'!$N$1486&gt;VAL_DATE)=0,"",'Dvd Calendar'!$N$1486*1000000000+ISNUMBER('Dvd Calendar'!$N$1487)*100000000+0*10000000+(N('Dvd Calendar'!$N$1485)&gt;0)*(N('Dvd Calendar'!$N$1485)&lt;=VAL_SERIAL)*1000000+34*1000+50))</f>
        <v/>
      </c>
      <c r="GC149" s="39">
        <f>IF(N('Dvd Calendar'!$O$1486)=0,"",IF(('Dvd Calendar'!$O$1486&gt;=GRID_FROM)*('Dvd Calendar'!$O$1486&lt;=GRID_TO)*('Dvd Calendar'!$O$1486&gt;VAL_DATE)=0,"",'Dvd Calendar'!$O$1486*1000000000+ISNUMBER('Dvd Calendar'!$O$1487)*100000000+0*10000000+(N('Dvd Calendar'!$O$1485)&gt;0)*(N('Dvd Calendar'!$O$1485)&lt;=VAL_SERIAL)*1000000+34*1000+51))</f>
        <v/>
      </c>
      <c r="GD149" s="39">
        <f>IF(N('Dvd Calendar'!$P$1486)=0,"",IF(('Dvd Calendar'!$P$1486&gt;=GRID_FROM)*('Dvd Calendar'!$P$1486&lt;=GRID_TO)*('Dvd Calendar'!$P$1486&gt;VAL_DATE)=0,"",'Dvd Calendar'!$P$1486*1000000000+ISNUMBER('Dvd Calendar'!$P$1487)*100000000+0*10000000+(N('Dvd Calendar'!$P$1485)&gt;0)*(N('Dvd Calendar'!$P$1485)&lt;=VAL_SERIAL)*1000000+34*1000+52))</f>
        <v/>
      </c>
      <c r="GE149" s="39">
        <f>IF(N('Dvd Calendar'!$Q$1486)=0,"",IF(('Dvd Calendar'!$Q$1486&gt;=GRID_FROM)*('Dvd Calendar'!$Q$1486&lt;=GRID_TO)*('Dvd Calendar'!$Q$1486&gt;VAL_DATE)=0,"",'Dvd Calendar'!$Q$1486*1000000000+ISNUMBER('Dvd Calendar'!$Q$1487)*100000000+0*10000000+(N('Dvd Calendar'!$Q$1485)&gt;0)*(N('Dvd Calendar'!$Q$1485)&lt;=VAL_SERIAL)*1000000+34*1000+53))</f>
        <v/>
      </c>
      <c r="GF149" s="39">
        <f>IF(N('Dvd Calendar'!$R$1486)=0,"",IF(('Dvd Calendar'!$R$1486&gt;=GRID_FROM)*('Dvd Calendar'!$R$1486&lt;=GRID_TO)*('Dvd Calendar'!$R$1486&gt;VAL_DATE)=0,"",'Dvd Calendar'!$R$1486*1000000000+ISNUMBER('Dvd Calendar'!$R$1487)*100000000+0*10000000+(N('Dvd Calendar'!$R$1485)&gt;0)*(N('Dvd Calendar'!$R$1485)&lt;=VAL_SERIAL)*1000000+34*1000+54))</f>
        <v/>
      </c>
      <c r="GG149" s="39">
        <f>IF(N('Dvd Calendar'!$S$1486)=0,"",IF(('Dvd Calendar'!$S$1486&gt;=GRID_FROM)*('Dvd Calendar'!$S$1486&lt;=GRID_TO)*('Dvd Calendar'!$S$1486&gt;VAL_DATE)=0,"",'Dvd Calendar'!$S$1486*1000000000+ISNUMBER('Dvd Calendar'!$S$1487)*100000000+0*10000000+(N('Dvd Calendar'!$S$1485)&gt;0)*(N('Dvd Calendar'!$S$1485)&lt;=VAL_SERIAL)*1000000+34*1000+55))</f>
        <v/>
      </c>
      <c r="GH149" s="39">
        <f>IF(N('Dvd Calendar'!$T$1486)=0,"",IF(('Dvd Calendar'!$T$1486&gt;=GRID_FROM)*('Dvd Calendar'!$T$1486&lt;=GRID_TO)*('Dvd Calendar'!$T$1486&gt;VAL_DATE)=0,"",'Dvd Calendar'!$T$1486*1000000000+ISNUMBER('Dvd Calendar'!$T$1487)*100000000+0*10000000+(N('Dvd Calendar'!$T$1485)&gt;0)*(N('Dvd Calendar'!$T$1485)&lt;=VAL_SERIAL)*1000000+34*1000+56))</f>
        <v/>
      </c>
      <c r="GI149" s="39">
        <f>IF(N('Dvd Calendar'!$U$1486)=0,"",IF(('Dvd Calendar'!$U$1486&gt;=GRID_FROM)*('Dvd Calendar'!$U$1486&lt;=GRID_TO)*('Dvd Calendar'!$U$1486&gt;VAL_DATE)=0,"",'Dvd Calendar'!$U$1486*1000000000+ISNUMBER('Dvd Calendar'!$U$1487)*100000000+0*10000000+(N('Dvd Calendar'!$U$1485)&gt;0)*(N('Dvd Calendar'!$U$1485)&lt;=VAL_SERIAL)*1000000+34*1000+57))</f>
        <v/>
      </c>
      <c r="GJ149" s="39">
        <f>IF(N('Dvd Calendar'!$V$1486)=0,"",IF(('Dvd Calendar'!$V$1486&gt;=GRID_FROM)*('Dvd Calendar'!$V$1486&lt;=GRID_TO)*('Dvd Calendar'!$V$1486&gt;VAL_DATE)=0,"",'Dvd Calendar'!$V$1486*1000000000+ISNUMBER('Dvd Calendar'!$V$1487)*100000000+0*10000000+(N('Dvd Calendar'!$V$1485)&gt;0)*(N('Dvd Calendar'!$V$1485)&lt;=VAL_SERIAL)*1000000+34*1000+58))</f>
        <v/>
      </c>
      <c r="GK149" s="39">
        <f>IF(N('Dvd Calendar'!$W$1486)=0,"",IF(('Dvd Calendar'!$W$1486&gt;=GRID_FROM)*('Dvd Calendar'!$W$1486&lt;=GRID_TO)*('Dvd Calendar'!$W$1486&gt;VAL_DATE)=0,"",'Dvd Calendar'!$W$1486*1000000000+ISNUMBER('Dvd Calendar'!$W$1487)*100000000+0*10000000+(N('Dvd Calendar'!$W$1485)&gt;0)*(N('Dvd Calendar'!$W$1485)&lt;=VAL_SERIAL)*1000000+34*1000+59))</f>
        <v/>
      </c>
      <c r="GL149" s="39">
        <f>IF(N('Dvd Calendar'!$X$1486)=0,"",IF(('Dvd Calendar'!$X$1486&gt;=GRID_FROM)*('Dvd Calendar'!$X$1486&lt;=GRID_TO)*('Dvd Calendar'!$X$1486&gt;VAL_DATE)=0,"",'Dvd Calendar'!$X$1486*1000000000+ISNUMBER('Dvd Calendar'!$X$1487)*100000000+0*10000000+(N('Dvd Calendar'!$X$1485)&gt;0)*(N('Dvd Calendar'!$X$1485)&lt;=VAL_SERIAL)*1000000+34*1000+60))</f>
        <v/>
      </c>
      <c r="GM149" s="39">
        <f>IF(N('Dvd Calendar'!$Y$1486)=0,"",IF(('Dvd Calendar'!$Y$1486&gt;=GRID_FROM)*('Dvd Calendar'!$Y$1486&lt;=GRID_TO)*('Dvd Calendar'!$Y$1486&gt;VAL_DATE)=0,"",'Dvd Calendar'!$Y$1486*1000000000+ISNUMBER('Dvd Calendar'!$Y$1487)*100000000+0*10000000+(N('Dvd Calendar'!$Y$1485)&gt;0)*(N('Dvd Calendar'!$Y$1485)&lt;=VAL_SERIAL)*1000000+34*1000+61))</f>
        <v/>
      </c>
      <c r="GN149" s="39">
        <f>IF(N('Dvd Calendar'!$Z$1486)=0,"",IF(('Dvd Calendar'!$Z$1486&gt;=GRID_FROM)*('Dvd Calendar'!$Z$1486&lt;=GRID_TO)*('Dvd Calendar'!$Z$1486&gt;VAL_DATE)=0,"",'Dvd Calendar'!$Z$1486*1000000000+ISNUMBER('Dvd Calendar'!$Z$1487)*100000000+0*10000000+(N('Dvd Calendar'!$Z$1485)&gt;0)*(N('Dvd Calendar'!$Z$1485)&lt;=VAL_SERIAL)*1000000+34*1000+62))</f>
        <v/>
      </c>
      <c r="GO149" s="39">
        <f>IF(N('Dvd Calendar'!$AA$1486)=0,"",IF(('Dvd Calendar'!$AA$1486&gt;=GRID_FROM)*('Dvd Calendar'!$AA$1486&lt;=GRID_TO)*('Dvd Calendar'!$AA$1486&gt;VAL_DATE)=0,"",'Dvd Calendar'!$AA$1486*1000000000+ISNUMBER('Dvd Calendar'!$AA$1487)*100000000+0*10000000+(N('Dvd Calendar'!$AA$1485)&gt;0)*(N('Dvd Calendar'!$AA$1485)&lt;=VAL_SERIAL)*1000000+34*1000+63))</f>
        <v/>
      </c>
      <c r="GP149" s="39">
        <f>IF(N('Dvd Calendar'!$AB$1486)=0,"",IF(('Dvd Calendar'!$AB$1486&gt;=GRID_FROM)*('Dvd Calendar'!$AB$1486&lt;=GRID_TO)*('Dvd Calendar'!$AB$1486&gt;VAL_DATE)=0,"",'Dvd Calendar'!$AB$1486*1000000000+ISNUMBER('Dvd Calendar'!$AB$1487)*100000000+0*10000000+(N('Dvd Calendar'!$AB$1485)&gt;0)*(N('Dvd Calendar'!$AB$1485)&lt;=VAL_SERIAL)*1000000+34*1000+64))</f>
        <v/>
      </c>
      <c r="GQ149" s="39">
        <f>IF(N('Dvd Calendar'!$AC$1486)=0,"",IF(('Dvd Calendar'!$AC$1486&gt;=GRID_FROM)*('Dvd Calendar'!$AC$1486&lt;=GRID_TO)*('Dvd Calendar'!$AC$1486&gt;VAL_DATE)=0,"",'Dvd Calendar'!$AC$1486*1000000000+ISNUMBER('Dvd Calendar'!$AC$1487)*100000000+0*10000000+(N('Dvd Calendar'!$AC$1485)&gt;0)*(N('Dvd Calendar'!$AC$1485)&lt;=VAL_SERIAL)*1000000+34*1000+65))</f>
        <v/>
      </c>
    </row>
    <row r="150">
      <c r="B150" s="2">
        <f>IF(HSTECH!$C$41="","",HSTECH!$C$41)</f>
        <v/>
      </c>
      <c r="C150" s="110">
        <f>IF(EE150="","",IF(ISNUMBER('Dvd Calendar'!$E$1493)=FALSE,"",IF((('Dvd Calendar'!$E$1495=TYPE1)*(TYPE1&lt;&gt;"")+('Dvd Calendar'!$E$1495=TYPE2)*(TYPE2&lt;&gt;"")+('Dvd Calendar'!$E$1495=TYPE3)*(TYPE3&lt;&gt;"")+('Dvd Calendar'!$E$1495=TYPE4)*(TYPE4&lt;&gt;"")+('Dvd Calendar'!$E$1495=SPECIAL_LBL)*(INC_SPECIALS="Y"))=0,"",'Dvd Calendar'!$E$1493)))</f>
        <v/>
      </c>
      <c r="D150" s="110">
        <f>IF(EF150="","",IF(ISNUMBER('Dvd Calendar'!$F$1493)=FALSE,"",IF((('Dvd Calendar'!$F$1495=TYPE1)*(TYPE1&lt;&gt;"")+('Dvd Calendar'!$F$1495=TYPE2)*(TYPE2&lt;&gt;"")+('Dvd Calendar'!$F$1495=TYPE3)*(TYPE3&lt;&gt;"")+('Dvd Calendar'!$F$1495=TYPE4)*(TYPE4&lt;&gt;"")+('Dvd Calendar'!$F$1495=SPECIAL_LBL)*(INC_SPECIALS="Y"))=0,"",'Dvd Calendar'!$F$1493)))</f>
        <v/>
      </c>
      <c r="E150" s="110">
        <f>IF(EG150="","",IF(ISNUMBER('Dvd Calendar'!$G$1493)=FALSE,"",IF((('Dvd Calendar'!$G$1495=TYPE1)*(TYPE1&lt;&gt;"")+('Dvd Calendar'!$G$1495=TYPE2)*(TYPE2&lt;&gt;"")+('Dvd Calendar'!$G$1495=TYPE3)*(TYPE3&lt;&gt;"")+('Dvd Calendar'!$G$1495=TYPE4)*(TYPE4&lt;&gt;"")+('Dvd Calendar'!$G$1495=SPECIAL_LBL)*(INC_SPECIALS="Y"))=0,"",'Dvd Calendar'!$G$1493)))</f>
        <v/>
      </c>
      <c r="F150" s="110">
        <f>IF(EH150="","",IF(ISNUMBER('Dvd Calendar'!$H$1493)=FALSE,"",IF((('Dvd Calendar'!$H$1495=TYPE1)*(TYPE1&lt;&gt;"")+('Dvd Calendar'!$H$1495=TYPE2)*(TYPE2&lt;&gt;"")+('Dvd Calendar'!$H$1495=TYPE3)*(TYPE3&lt;&gt;"")+('Dvd Calendar'!$H$1495=TYPE4)*(TYPE4&lt;&gt;"")+('Dvd Calendar'!$H$1495=SPECIAL_LBL)*(INC_SPECIALS="Y"))=0,"",'Dvd Calendar'!$H$1493)))</f>
        <v/>
      </c>
      <c r="G150" s="110">
        <f>IF(EI150="","",IF(ISNUMBER('Dvd Calendar'!$I$1493)=FALSE,"",IF((('Dvd Calendar'!$I$1495=TYPE1)*(TYPE1&lt;&gt;"")+('Dvd Calendar'!$I$1495=TYPE2)*(TYPE2&lt;&gt;"")+('Dvd Calendar'!$I$1495=TYPE3)*(TYPE3&lt;&gt;"")+('Dvd Calendar'!$I$1495=TYPE4)*(TYPE4&lt;&gt;"")+('Dvd Calendar'!$I$1495=SPECIAL_LBL)*(INC_SPECIALS="Y"))=0,"",'Dvd Calendar'!$I$1493)))</f>
        <v/>
      </c>
      <c r="H150" s="110">
        <f>IF(EJ150="","",IF(ISNUMBER('Dvd Calendar'!$J$1493)=FALSE,"",IF((('Dvd Calendar'!$J$1495=TYPE1)*(TYPE1&lt;&gt;"")+('Dvd Calendar'!$J$1495=TYPE2)*(TYPE2&lt;&gt;"")+('Dvd Calendar'!$J$1495=TYPE3)*(TYPE3&lt;&gt;"")+('Dvd Calendar'!$J$1495=TYPE4)*(TYPE4&lt;&gt;"")+('Dvd Calendar'!$J$1495=SPECIAL_LBL)*(INC_SPECIALS="Y"))=0,"",'Dvd Calendar'!$J$1493)))</f>
        <v/>
      </c>
      <c r="I150" s="110">
        <f>IF(EK150="","",IF(ISNUMBER('Dvd Calendar'!$K$1493)=FALSE,"",IF((('Dvd Calendar'!$K$1495=TYPE1)*(TYPE1&lt;&gt;"")+('Dvd Calendar'!$K$1495=TYPE2)*(TYPE2&lt;&gt;"")+('Dvd Calendar'!$K$1495=TYPE3)*(TYPE3&lt;&gt;"")+('Dvd Calendar'!$K$1495=TYPE4)*(TYPE4&lt;&gt;"")+('Dvd Calendar'!$K$1495=SPECIAL_LBL)*(INC_SPECIALS="Y"))=0,"",'Dvd Calendar'!$K$1493)))</f>
        <v/>
      </c>
      <c r="J150" s="110">
        <f>IF(EL150="","",IF(ISNUMBER('Dvd Calendar'!$L$1493)=FALSE,"",IF((('Dvd Calendar'!$L$1495=TYPE1)*(TYPE1&lt;&gt;"")+('Dvd Calendar'!$L$1495=TYPE2)*(TYPE2&lt;&gt;"")+('Dvd Calendar'!$L$1495=TYPE3)*(TYPE3&lt;&gt;"")+('Dvd Calendar'!$L$1495=TYPE4)*(TYPE4&lt;&gt;"")+('Dvd Calendar'!$L$1495=SPECIAL_LBL)*(INC_SPECIALS="Y"))=0,"",'Dvd Calendar'!$L$1493)))</f>
        <v/>
      </c>
      <c r="K150" s="110">
        <f>IF(EM150="","",IF(ISNUMBER('Dvd Calendar'!$M$1493)=FALSE,"",IF((('Dvd Calendar'!$M$1495=TYPE1)*(TYPE1&lt;&gt;"")+('Dvd Calendar'!$M$1495=TYPE2)*(TYPE2&lt;&gt;"")+('Dvd Calendar'!$M$1495=TYPE3)*(TYPE3&lt;&gt;"")+('Dvd Calendar'!$M$1495=TYPE4)*(TYPE4&lt;&gt;"")+('Dvd Calendar'!$M$1495=SPECIAL_LBL)*(INC_SPECIALS="Y"))=0,"",'Dvd Calendar'!$M$1493)))</f>
        <v/>
      </c>
      <c r="L150" s="110">
        <f>IF(EN150="","",IF(ISNUMBER('Dvd Calendar'!$N$1493)=FALSE,"",IF((('Dvd Calendar'!$N$1495=TYPE1)*(TYPE1&lt;&gt;"")+('Dvd Calendar'!$N$1495=TYPE2)*(TYPE2&lt;&gt;"")+('Dvd Calendar'!$N$1495=TYPE3)*(TYPE3&lt;&gt;"")+('Dvd Calendar'!$N$1495=TYPE4)*(TYPE4&lt;&gt;"")+('Dvd Calendar'!$N$1495=SPECIAL_LBL)*(INC_SPECIALS="Y"))=0,"",'Dvd Calendar'!$N$1493)))</f>
        <v/>
      </c>
      <c r="M150" s="110">
        <f>IF(EO150="","",IF(ISNUMBER('Dvd Calendar'!$O$1493)=FALSE,"",IF((('Dvd Calendar'!$O$1495=TYPE1)*(TYPE1&lt;&gt;"")+('Dvd Calendar'!$O$1495=TYPE2)*(TYPE2&lt;&gt;"")+('Dvd Calendar'!$O$1495=TYPE3)*(TYPE3&lt;&gt;"")+('Dvd Calendar'!$O$1495=TYPE4)*(TYPE4&lt;&gt;"")+('Dvd Calendar'!$O$1495=SPECIAL_LBL)*(INC_SPECIALS="Y"))=0,"",'Dvd Calendar'!$O$1493)))</f>
        <v/>
      </c>
      <c r="N150" s="110">
        <f>IF(EP150="","",IF(ISNUMBER('Dvd Calendar'!$P$1493)=FALSE,"",IF((('Dvd Calendar'!$P$1495=TYPE1)*(TYPE1&lt;&gt;"")+('Dvd Calendar'!$P$1495=TYPE2)*(TYPE2&lt;&gt;"")+('Dvd Calendar'!$P$1495=TYPE3)*(TYPE3&lt;&gt;"")+('Dvd Calendar'!$P$1495=TYPE4)*(TYPE4&lt;&gt;"")+('Dvd Calendar'!$P$1495=SPECIAL_LBL)*(INC_SPECIALS="Y"))=0,"",'Dvd Calendar'!$P$1493)))</f>
        <v/>
      </c>
      <c r="O150" s="110">
        <f>IF(EQ150="","",IF(ISNUMBER('Dvd Calendar'!$Q$1493)=FALSE,"",IF((('Dvd Calendar'!$Q$1495=TYPE1)*(TYPE1&lt;&gt;"")+('Dvd Calendar'!$Q$1495=TYPE2)*(TYPE2&lt;&gt;"")+('Dvd Calendar'!$Q$1495=TYPE3)*(TYPE3&lt;&gt;"")+('Dvd Calendar'!$Q$1495=TYPE4)*(TYPE4&lt;&gt;"")+('Dvd Calendar'!$Q$1495=SPECIAL_LBL)*(INC_SPECIALS="Y"))=0,"",'Dvd Calendar'!$Q$1493)))</f>
        <v/>
      </c>
      <c r="P150" s="110">
        <f>IF(ER150="","",IF(ISNUMBER('Dvd Calendar'!$R$1493)=FALSE,"",IF((('Dvd Calendar'!$R$1495=TYPE1)*(TYPE1&lt;&gt;"")+('Dvd Calendar'!$R$1495=TYPE2)*(TYPE2&lt;&gt;"")+('Dvd Calendar'!$R$1495=TYPE3)*(TYPE3&lt;&gt;"")+('Dvd Calendar'!$R$1495=TYPE4)*(TYPE4&lt;&gt;"")+('Dvd Calendar'!$R$1495=SPECIAL_LBL)*(INC_SPECIALS="Y"))=0,"",'Dvd Calendar'!$R$1493)))</f>
        <v/>
      </c>
      <c r="Q150" s="110">
        <f>IF(ES150="","",IF(ISNUMBER('Dvd Calendar'!$S$1493)=FALSE,"",IF((('Dvd Calendar'!$S$1495=TYPE1)*(TYPE1&lt;&gt;"")+('Dvd Calendar'!$S$1495=TYPE2)*(TYPE2&lt;&gt;"")+('Dvd Calendar'!$S$1495=TYPE3)*(TYPE3&lt;&gt;"")+('Dvd Calendar'!$S$1495=TYPE4)*(TYPE4&lt;&gt;"")+('Dvd Calendar'!$S$1495=SPECIAL_LBL)*(INC_SPECIALS="Y"))=0,"",'Dvd Calendar'!$S$1493)))</f>
        <v/>
      </c>
      <c r="R150" s="110">
        <f>IF(ET150="","",IF(ISNUMBER('Dvd Calendar'!$T$1493)=FALSE,"",IF((('Dvd Calendar'!$T$1495=TYPE1)*(TYPE1&lt;&gt;"")+('Dvd Calendar'!$T$1495=TYPE2)*(TYPE2&lt;&gt;"")+('Dvd Calendar'!$T$1495=TYPE3)*(TYPE3&lt;&gt;"")+('Dvd Calendar'!$T$1495=TYPE4)*(TYPE4&lt;&gt;"")+('Dvd Calendar'!$T$1495=SPECIAL_LBL)*(INC_SPECIALS="Y"))=0,"",'Dvd Calendar'!$T$1493)))</f>
        <v/>
      </c>
      <c r="S150" s="110">
        <f>IF(EU150="","",IF(ISNUMBER('Dvd Calendar'!$U$1493)=FALSE,"",IF((('Dvd Calendar'!$U$1495=TYPE1)*(TYPE1&lt;&gt;"")+('Dvd Calendar'!$U$1495=TYPE2)*(TYPE2&lt;&gt;"")+('Dvd Calendar'!$U$1495=TYPE3)*(TYPE3&lt;&gt;"")+('Dvd Calendar'!$U$1495=TYPE4)*(TYPE4&lt;&gt;"")+('Dvd Calendar'!$U$1495=SPECIAL_LBL)*(INC_SPECIALS="Y"))=0,"",'Dvd Calendar'!$U$1493)))</f>
        <v/>
      </c>
      <c r="T150" s="110">
        <f>IF(EV150="","",IF(ISNUMBER('Dvd Calendar'!$V$1493)=FALSE,"",IF((('Dvd Calendar'!$V$1495=TYPE1)*(TYPE1&lt;&gt;"")+('Dvd Calendar'!$V$1495=TYPE2)*(TYPE2&lt;&gt;"")+('Dvd Calendar'!$V$1495=TYPE3)*(TYPE3&lt;&gt;"")+('Dvd Calendar'!$V$1495=TYPE4)*(TYPE4&lt;&gt;"")+('Dvd Calendar'!$V$1495=SPECIAL_LBL)*(INC_SPECIALS="Y"))=0,"",'Dvd Calendar'!$V$1493)))</f>
        <v/>
      </c>
      <c r="U150" s="110">
        <f>IF(EW150="","",IF(ISNUMBER('Dvd Calendar'!$W$1493)=FALSE,"",IF((('Dvd Calendar'!$W$1495=TYPE1)*(TYPE1&lt;&gt;"")+('Dvd Calendar'!$W$1495=TYPE2)*(TYPE2&lt;&gt;"")+('Dvd Calendar'!$W$1495=TYPE3)*(TYPE3&lt;&gt;"")+('Dvd Calendar'!$W$1495=TYPE4)*(TYPE4&lt;&gt;"")+('Dvd Calendar'!$W$1495=SPECIAL_LBL)*(INC_SPECIALS="Y"))=0,"",'Dvd Calendar'!$W$1493)))</f>
        <v/>
      </c>
      <c r="V150" s="110">
        <f>IF(EX150="","",IF(ISNUMBER('Dvd Calendar'!$X$1493)=FALSE,"",IF((('Dvd Calendar'!$X$1495=TYPE1)*(TYPE1&lt;&gt;"")+('Dvd Calendar'!$X$1495=TYPE2)*(TYPE2&lt;&gt;"")+('Dvd Calendar'!$X$1495=TYPE3)*(TYPE3&lt;&gt;"")+('Dvd Calendar'!$X$1495=TYPE4)*(TYPE4&lt;&gt;"")+('Dvd Calendar'!$X$1495=SPECIAL_LBL)*(INC_SPECIALS="Y"))=0,"",'Dvd Calendar'!$X$1493)))</f>
        <v/>
      </c>
      <c r="W150" s="110">
        <f>IF(EY150="","",IF(ISNUMBER('Dvd Calendar'!$Y$1493)=FALSE,"",IF((('Dvd Calendar'!$Y$1495=TYPE1)*(TYPE1&lt;&gt;"")+('Dvd Calendar'!$Y$1495=TYPE2)*(TYPE2&lt;&gt;"")+('Dvd Calendar'!$Y$1495=TYPE3)*(TYPE3&lt;&gt;"")+('Dvd Calendar'!$Y$1495=TYPE4)*(TYPE4&lt;&gt;"")+('Dvd Calendar'!$Y$1495=SPECIAL_LBL)*(INC_SPECIALS="Y"))=0,"",'Dvd Calendar'!$Y$1493)))</f>
        <v/>
      </c>
      <c r="X150" s="110">
        <f>IF(EZ150="","",IF(ISNUMBER('Dvd Calendar'!$Z$1493)=FALSE,"",IF((('Dvd Calendar'!$Z$1495=TYPE1)*(TYPE1&lt;&gt;"")+('Dvd Calendar'!$Z$1495=TYPE2)*(TYPE2&lt;&gt;"")+('Dvd Calendar'!$Z$1495=TYPE3)*(TYPE3&lt;&gt;"")+('Dvd Calendar'!$Z$1495=TYPE4)*(TYPE4&lt;&gt;"")+('Dvd Calendar'!$Z$1495=SPECIAL_LBL)*(INC_SPECIALS="Y"))=0,"",'Dvd Calendar'!$Z$1493)))</f>
        <v/>
      </c>
      <c r="Y150" s="110">
        <f>IF(FA150="","",IF(ISNUMBER('Dvd Calendar'!$AA$1493)=FALSE,"",IF((('Dvd Calendar'!$AA$1495=TYPE1)*(TYPE1&lt;&gt;"")+('Dvd Calendar'!$AA$1495=TYPE2)*(TYPE2&lt;&gt;"")+('Dvd Calendar'!$AA$1495=TYPE3)*(TYPE3&lt;&gt;"")+('Dvd Calendar'!$AA$1495=TYPE4)*(TYPE4&lt;&gt;"")+('Dvd Calendar'!$AA$1495=SPECIAL_LBL)*(INC_SPECIALS="Y"))=0,"",'Dvd Calendar'!$AA$1493)))</f>
        <v/>
      </c>
      <c r="Z150" s="110">
        <f>IF(FB150="","",IF(ISNUMBER('Dvd Calendar'!$AB$1493)=FALSE,"",IF((('Dvd Calendar'!$AB$1495=TYPE1)*(TYPE1&lt;&gt;"")+('Dvd Calendar'!$AB$1495=TYPE2)*(TYPE2&lt;&gt;"")+('Dvd Calendar'!$AB$1495=TYPE3)*(TYPE3&lt;&gt;"")+('Dvd Calendar'!$AB$1495=TYPE4)*(TYPE4&lt;&gt;"")+('Dvd Calendar'!$AB$1495=SPECIAL_LBL)*(INC_SPECIALS="Y"))=0,"",'Dvd Calendar'!$AB$1493)))</f>
        <v/>
      </c>
      <c r="AA150" s="110">
        <f>IF(FC150="","",IF(ISNUMBER('Dvd Calendar'!$AC$1493)=FALSE,"",IF((('Dvd Calendar'!$AC$1495=TYPE1)*(TYPE1&lt;&gt;"")+('Dvd Calendar'!$AC$1495=TYPE2)*(TYPE2&lt;&gt;"")+('Dvd Calendar'!$AC$1495=TYPE3)*(TYPE3&lt;&gt;"")+('Dvd Calendar'!$AC$1495=TYPE4)*(TYPE4&lt;&gt;"")+('Dvd Calendar'!$AC$1495=SPECIAL_LBL)*(INC_SPECIALS="Y"))=0,"",'Dvd Calendar'!$AC$1493)))</f>
        <v/>
      </c>
      <c r="AB150" s="110">
        <f>IF(FD150="","",IF(ISNUMBER('Dvd Calendar'!$AD$1493)=FALSE,"",IF((('Dvd Calendar'!$AD$1495=TYPE1)*(TYPE1&lt;&gt;"")+('Dvd Calendar'!$AD$1495=TYPE2)*(TYPE2&lt;&gt;"")+('Dvd Calendar'!$AD$1495=TYPE3)*(TYPE3&lt;&gt;"")+('Dvd Calendar'!$AD$1495=TYPE4)*(TYPE4&lt;&gt;"")+('Dvd Calendar'!$AD$1495=SPECIAL_LBL)*(INC_SPECIALS="Y"))=0,"",'Dvd Calendar'!$AD$1493)))</f>
        <v/>
      </c>
      <c r="AC150" s="110">
        <f>IF(FE150="","",IF(ISNUMBER('Dvd Calendar'!$AE$1493)=FALSE,"",IF((('Dvd Calendar'!$AE$1495=TYPE1)*(TYPE1&lt;&gt;"")+('Dvd Calendar'!$AE$1495=TYPE2)*(TYPE2&lt;&gt;"")+('Dvd Calendar'!$AE$1495=TYPE3)*(TYPE3&lt;&gt;"")+('Dvd Calendar'!$AE$1495=TYPE4)*(TYPE4&lt;&gt;"")+('Dvd Calendar'!$AE$1495=SPECIAL_LBL)*(INC_SPECIALS="Y"))=0,"",'Dvd Calendar'!$AE$1493)))</f>
        <v/>
      </c>
      <c r="AD150" s="110">
        <f>IF(FF150="","",IF(ISNUMBER('Dvd Calendar'!$AF$1493)=FALSE,"",IF((('Dvd Calendar'!$AF$1495=TYPE1)*(TYPE1&lt;&gt;"")+('Dvd Calendar'!$AF$1495=TYPE2)*(TYPE2&lt;&gt;"")+('Dvd Calendar'!$AF$1495=TYPE3)*(TYPE3&lt;&gt;"")+('Dvd Calendar'!$AF$1495=TYPE4)*(TYPE4&lt;&gt;"")+('Dvd Calendar'!$AF$1495=SPECIAL_LBL)*(INC_SPECIALS="Y"))=0,"",'Dvd Calendar'!$AF$1493)))</f>
        <v/>
      </c>
      <c r="AE150" s="110">
        <f>IF(FG150="","",IF(ISNUMBER('Dvd Calendar'!$AG$1493)=FALSE,"",IF((('Dvd Calendar'!$AG$1495=TYPE1)*(TYPE1&lt;&gt;"")+('Dvd Calendar'!$AG$1495=TYPE2)*(TYPE2&lt;&gt;"")+('Dvd Calendar'!$AG$1495=TYPE3)*(TYPE3&lt;&gt;"")+('Dvd Calendar'!$AG$1495=TYPE4)*(TYPE4&lt;&gt;"")+('Dvd Calendar'!$AG$1495=SPECIAL_LBL)*(INC_SPECIALS="Y"))=0,"",'Dvd Calendar'!$AG$1493)))</f>
        <v/>
      </c>
      <c r="AF150" s="110">
        <f>IF(FH150="","",IF(ISNUMBER('Dvd Calendar'!$AH$1493)=FALSE,"",IF((('Dvd Calendar'!$AH$1495=TYPE1)*(TYPE1&lt;&gt;"")+('Dvd Calendar'!$AH$1495=TYPE2)*(TYPE2&lt;&gt;"")+('Dvd Calendar'!$AH$1495=TYPE3)*(TYPE3&lt;&gt;"")+('Dvd Calendar'!$AH$1495=TYPE4)*(TYPE4&lt;&gt;"")+('Dvd Calendar'!$AH$1495=SPECIAL_LBL)*(INC_SPECIALS="Y"))=0,"",'Dvd Calendar'!$AH$1493)))</f>
        <v/>
      </c>
      <c r="AG150" s="110">
        <f>IF(FI150="","",IF(ISNUMBER('Dvd Calendar'!$AI$1493)=FALSE,"",IF((('Dvd Calendar'!$AI$1495=TYPE1)*(TYPE1&lt;&gt;"")+('Dvd Calendar'!$AI$1495=TYPE2)*(TYPE2&lt;&gt;"")+('Dvd Calendar'!$AI$1495=TYPE3)*(TYPE3&lt;&gt;"")+('Dvd Calendar'!$AI$1495=TYPE4)*(TYPE4&lt;&gt;"")+('Dvd Calendar'!$AI$1495=SPECIAL_LBL)*(INC_SPECIALS="Y"))=0,"",'Dvd Calendar'!$AI$1493)))</f>
        <v/>
      </c>
      <c r="AH150" s="110">
        <f>IF(FJ150="","",IF(ISNUMBER('Dvd Calendar'!$AJ$1493)=FALSE,"",IF((('Dvd Calendar'!$AJ$1495=TYPE1)*(TYPE1&lt;&gt;"")+('Dvd Calendar'!$AJ$1495=TYPE2)*(TYPE2&lt;&gt;"")+('Dvd Calendar'!$AJ$1495=TYPE3)*(TYPE3&lt;&gt;"")+('Dvd Calendar'!$AJ$1495=TYPE4)*(TYPE4&lt;&gt;"")+('Dvd Calendar'!$AJ$1495=SPECIAL_LBL)*(INC_SPECIALS="Y"))=0,"",'Dvd Calendar'!$AJ$1493)))</f>
        <v/>
      </c>
      <c r="AI150" s="110">
        <f>IF(FK150="","",IF(ISNUMBER('Dvd Calendar'!$AK$1493)=FALSE,"",IF((('Dvd Calendar'!$AK$1495=TYPE1)*(TYPE1&lt;&gt;"")+('Dvd Calendar'!$AK$1495=TYPE2)*(TYPE2&lt;&gt;"")+('Dvd Calendar'!$AK$1495=TYPE3)*(TYPE3&lt;&gt;"")+('Dvd Calendar'!$AK$1495=TYPE4)*(TYPE4&lt;&gt;"")+('Dvd Calendar'!$AK$1495=SPECIAL_LBL)*(INC_SPECIALS="Y"))=0,"",'Dvd Calendar'!$AK$1493)))</f>
        <v/>
      </c>
      <c r="AJ150" s="110">
        <f>IF(FL150="","",IF(ISNUMBER('Dvd Calendar'!$AL$1493)=FALSE,"",IF((('Dvd Calendar'!$AL$1495=TYPE1)*(TYPE1&lt;&gt;"")+('Dvd Calendar'!$AL$1495=TYPE2)*(TYPE2&lt;&gt;"")+('Dvd Calendar'!$AL$1495=TYPE3)*(TYPE3&lt;&gt;"")+('Dvd Calendar'!$AL$1495=TYPE4)*(TYPE4&lt;&gt;"")+('Dvd Calendar'!$AL$1495=SPECIAL_LBL)*(INC_SPECIALS="Y"))=0,"",'Dvd Calendar'!$AL$1493)))</f>
        <v/>
      </c>
      <c r="AK150" s="110">
        <f>IF(FM150="","",IF(ISNUMBER('Dvd Calendar'!$AM$1493)=FALSE,"",IF((('Dvd Calendar'!$AM$1495=TYPE1)*(TYPE1&lt;&gt;"")+('Dvd Calendar'!$AM$1495=TYPE2)*(TYPE2&lt;&gt;"")+('Dvd Calendar'!$AM$1495=TYPE3)*(TYPE3&lt;&gt;"")+('Dvd Calendar'!$AM$1495=TYPE4)*(TYPE4&lt;&gt;"")+('Dvd Calendar'!$AM$1495=SPECIAL_LBL)*(INC_SPECIALS="Y"))=0,"",'Dvd Calendar'!$AM$1493)))</f>
        <v/>
      </c>
      <c r="AL150" s="110">
        <f>IF(FN150="","",IF(ISNUMBER('Dvd Calendar'!$AN$1493)=FALSE,"",IF((('Dvd Calendar'!$AN$1495=TYPE1)*(TYPE1&lt;&gt;"")+('Dvd Calendar'!$AN$1495=TYPE2)*(TYPE2&lt;&gt;"")+('Dvd Calendar'!$AN$1495=TYPE3)*(TYPE3&lt;&gt;"")+('Dvd Calendar'!$AN$1495=TYPE4)*(TYPE4&lt;&gt;"")+('Dvd Calendar'!$AN$1495=SPECIAL_LBL)*(INC_SPECIALS="Y"))=0,"",'Dvd Calendar'!$AN$1493)))</f>
        <v/>
      </c>
      <c r="AM150" s="110">
        <f>IF(FO150="","",IF(ISNUMBER('Dvd Calendar'!$AO$1493)=FALSE,"",IF((('Dvd Calendar'!$AO$1495=TYPE1)*(TYPE1&lt;&gt;"")+('Dvd Calendar'!$AO$1495=TYPE2)*(TYPE2&lt;&gt;"")+('Dvd Calendar'!$AO$1495=TYPE3)*(TYPE3&lt;&gt;"")+('Dvd Calendar'!$AO$1495=TYPE4)*(TYPE4&lt;&gt;"")+('Dvd Calendar'!$AO$1495=SPECIAL_LBL)*(INC_SPECIALS="Y"))=0,"",'Dvd Calendar'!$AO$1493)))</f>
        <v/>
      </c>
      <c r="AN150" s="110">
        <f>IF(FP150="","",IF(ISNUMBER('Dvd Calendar'!$AP$1493)=FALSE,"",IF((('Dvd Calendar'!$AP$1495=TYPE1)*(TYPE1&lt;&gt;"")+('Dvd Calendar'!$AP$1495=TYPE2)*(TYPE2&lt;&gt;"")+('Dvd Calendar'!$AP$1495=TYPE3)*(TYPE3&lt;&gt;"")+('Dvd Calendar'!$AP$1495=TYPE4)*(TYPE4&lt;&gt;"")+('Dvd Calendar'!$AP$1495=SPECIAL_LBL)*(INC_SPECIALS="Y"))=0,"",'Dvd Calendar'!$AP$1493)))</f>
        <v/>
      </c>
      <c r="AO150" s="110">
        <f>IF(FQ150="","",IF(ISNUMBER('Dvd Calendar'!$AQ$1493)=FALSE,"",IF((('Dvd Calendar'!$AQ$1495=TYPE1)*(TYPE1&lt;&gt;"")+('Dvd Calendar'!$AQ$1495=TYPE2)*(TYPE2&lt;&gt;"")+('Dvd Calendar'!$AQ$1495=TYPE3)*(TYPE3&lt;&gt;"")+('Dvd Calendar'!$AQ$1495=TYPE4)*(TYPE4&lt;&gt;"")+('Dvd Calendar'!$AQ$1495=SPECIAL_LBL)*(INC_SPECIALS="Y"))=0,"",'Dvd Calendar'!$AQ$1493)))</f>
        <v/>
      </c>
      <c r="AP150" s="110">
        <f>IF(FR150="","",IF(ISNUMBER('Dvd Calendar'!$AR$1493)=FALSE,"",IF((('Dvd Calendar'!$AR$1495=TYPE1)*(TYPE1&lt;&gt;"")+('Dvd Calendar'!$AR$1495=TYPE2)*(TYPE2&lt;&gt;"")+('Dvd Calendar'!$AR$1495=TYPE3)*(TYPE3&lt;&gt;"")+('Dvd Calendar'!$AR$1495=TYPE4)*(TYPE4&lt;&gt;"")+('Dvd Calendar'!$AR$1495=SPECIAL_LBL)*(INC_SPECIALS="Y"))=0,"",'Dvd Calendar'!$AR$1493)))</f>
        <v/>
      </c>
      <c r="AQ150" s="110">
        <f>IF(FS150="","",IF(ISNUMBER('Dvd Calendar'!$E$1498)=FALSE,"",'Dvd Calendar'!$E$1498))</f>
        <v/>
      </c>
      <c r="AR150" s="110">
        <f>IF(FT150="","",IF(ISNUMBER('Dvd Calendar'!$F$1498)=FALSE,"",'Dvd Calendar'!$F$1498))</f>
        <v/>
      </c>
      <c r="AS150" s="110">
        <f>IF(FU150="","",IF(ISNUMBER('Dvd Calendar'!$G$1498)=FALSE,"",'Dvd Calendar'!$G$1498))</f>
        <v/>
      </c>
      <c r="AT150" s="110">
        <f>IF(FV150="","",IF(ISNUMBER('Dvd Calendar'!$H$1498)=FALSE,"",'Dvd Calendar'!$H$1498))</f>
        <v/>
      </c>
      <c r="AU150" s="110">
        <f>IF(FW150="","",IF(ISNUMBER('Dvd Calendar'!$I$1498)=FALSE,"",'Dvd Calendar'!$I$1498))</f>
        <v/>
      </c>
      <c r="AV150" s="110">
        <f>IF(FX150="","",IF(ISNUMBER('Dvd Calendar'!$J$1498)=FALSE,"",'Dvd Calendar'!$J$1498))</f>
        <v/>
      </c>
      <c r="AW150" s="110">
        <f>IF(FY150="","",IF(ISNUMBER('Dvd Calendar'!$K$1498)=FALSE,"",'Dvd Calendar'!$K$1498))</f>
        <v/>
      </c>
      <c r="AX150" s="110">
        <f>IF(FZ150="","",IF(ISNUMBER('Dvd Calendar'!$L$1498)=FALSE,"",'Dvd Calendar'!$L$1498))</f>
        <v/>
      </c>
      <c r="AY150" s="110">
        <f>IF(GA150="","",IF(ISNUMBER('Dvd Calendar'!$M$1498)=FALSE,"",'Dvd Calendar'!$M$1498))</f>
        <v/>
      </c>
      <c r="AZ150" s="110">
        <f>IF(GB150="","",IF(ISNUMBER('Dvd Calendar'!$N$1498)=FALSE,"",'Dvd Calendar'!$N$1498))</f>
        <v/>
      </c>
      <c r="BA150" s="110">
        <f>IF(GC150="","",IF(ISNUMBER('Dvd Calendar'!$O$1498)=FALSE,"",'Dvd Calendar'!$O$1498))</f>
        <v/>
      </c>
      <c r="BB150" s="110">
        <f>IF(GD150="","",IF(ISNUMBER('Dvd Calendar'!$P$1498)=FALSE,"",'Dvd Calendar'!$P$1498))</f>
        <v/>
      </c>
      <c r="BC150" s="110">
        <f>IF(GE150="","",IF(ISNUMBER('Dvd Calendar'!$Q$1498)=FALSE,"",'Dvd Calendar'!$Q$1498))</f>
        <v/>
      </c>
      <c r="BD150" s="110">
        <f>IF(GF150="","",IF(ISNUMBER('Dvd Calendar'!$R$1498)=FALSE,"",'Dvd Calendar'!$R$1498))</f>
        <v/>
      </c>
      <c r="BE150" s="110">
        <f>IF(GG150="","",IF(ISNUMBER('Dvd Calendar'!$S$1498)=FALSE,"",'Dvd Calendar'!$S$1498))</f>
        <v/>
      </c>
      <c r="BF150" s="110">
        <f>IF(GH150="","",IF(ISNUMBER('Dvd Calendar'!$T$1498)=FALSE,"",'Dvd Calendar'!$T$1498))</f>
        <v/>
      </c>
      <c r="BG150" s="110">
        <f>IF(GI150="","",IF(ISNUMBER('Dvd Calendar'!$U$1498)=FALSE,"",'Dvd Calendar'!$U$1498))</f>
        <v/>
      </c>
      <c r="BH150" s="110">
        <f>IF(GJ150="","",IF(ISNUMBER('Dvd Calendar'!$V$1498)=FALSE,"",'Dvd Calendar'!$V$1498))</f>
        <v/>
      </c>
      <c r="BI150" s="110">
        <f>IF(GK150="","",IF(ISNUMBER('Dvd Calendar'!$W$1498)=FALSE,"",'Dvd Calendar'!$W$1498))</f>
        <v/>
      </c>
      <c r="BJ150" s="110">
        <f>IF(GL150="","",IF(ISNUMBER('Dvd Calendar'!$X$1498)=FALSE,"",'Dvd Calendar'!$X$1498))</f>
        <v/>
      </c>
      <c r="BK150" s="110">
        <f>IF(GM150="","",IF(ISNUMBER('Dvd Calendar'!$Y$1498)=FALSE,"",'Dvd Calendar'!$Y$1498))</f>
        <v/>
      </c>
      <c r="BL150" s="110">
        <f>IF(GN150="","",IF(ISNUMBER('Dvd Calendar'!$Z$1498)=FALSE,"",'Dvd Calendar'!$Z$1498))</f>
        <v/>
      </c>
      <c r="BM150" s="110">
        <f>IF(GO150="","",IF(ISNUMBER('Dvd Calendar'!$AA$1498)=FALSE,"",'Dvd Calendar'!$AA$1498))</f>
        <v/>
      </c>
      <c r="BN150" s="110">
        <f>IF(GP150="","",IF(ISNUMBER('Dvd Calendar'!$AB$1498)=FALSE,"",'Dvd Calendar'!$AB$1498))</f>
        <v/>
      </c>
      <c r="BO150" s="110">
        <f>IF(GQ150="","",IF(ISNUMBER('Dvd Calendar'!$AC$1498)=FALSE,"",'Dvd Calendar'!$AC$1498))</f>
        <v/>
      </c>
      <c r="BQ150" s="110">
        <f>IF(C150="","",IFERROR(C150*HSTECH!$B$41*HSTECH!$G$41/HSTECH!$B$3,""))</f>
        <v/>
      </c>
      <c r="BR150" s="110">
        <f>IF(D150="","",IFERROR(D150*HSTECH!$B$41*HSTECH!$G$41/HSTECH!$B$3,""))</f>
        <v/>
      </c>
      <c r="BS150" s="110">
        <f>IF(E150="","",IFERROR(E150*HSTECH!$B$41*HSTECH!$G$41/HSTECH!$B$3,""))</f>
        <v/>
      </c>
      <c r="BT150" s="110">
        <f>IF(F150="","",IFERROR(F150*HSTECH!$B$41*HSTECH!$G$41/HSTECH!$B$3,""))</f>
        <v/>
      </c>
      <c r="BU150" s="110">
        <f>IF(G150="","",IFERROR(G150*HSTECH!$B$41*HSTECH!$G$41/HSTECH!$B$3,""))</f>
        <v/>
      </c>
      <c r="BV150" s="110">
        <f>IF(H150="","",IFERROR(H150*HSTECH!$B$41*HSTECH!$G$41/HSTECH!$B$3,""))</f>
        <v/>
      </c>
      <c r="BW150" s="110">
        <f>IF(I150="","",IFERROR(I150*HSTECH!$B$41*HSTECH!$G$41/HSTECH!$B$3,""))</f>
        <v/>
      </c>
      <c r="BX150" s="110">
        <f>IF(J150="","",IFERROR(J150*HSTECH!$B$41*HSTECH!$G$41/HSTECH!$B$3,""))</f>
        <v/>
      </c>
      <c r="BY150" s="110">
        <f>IF(K150="","",IFERROR(K150*HSTECH!$B$41*HSTECH!$G$41/HSTECH!$B$3,""))</f>
        <v/>
      </c>
      <c r="BZ150" s="110">
        <f>IF(L150="","",IFERROR(L150*HSTECH!$B$41*HSTECH!$G$41/HSTECH!$B$3,""))</f>
        <v/>
      </c>
      <c r="CA150" s="110">
        <f>IF(M150="","",IFERROR(M150*HSTECH!$B$41*HSTECH!$G$41/HSTECH!$B$3,""))</f>
        <v/>
      </c>
      <c r="CB150" s="110">
        <f>IF(N150="","",IFERROR(N150*HSTECH!$B$41*HSTECH!$G$41/HSTECH!$B$3,""))</f>
        <v/>
      </c>
      <c r="CC150" s="110">
        <f>IF(O150="","",IFERROR(O150*HSTECH!$B$41*HSTECH!$G$41/HSTECH!$B$3,""))</f>
        <v/>
      </c>
      <c r="CD150" s="110">
        <f>IF(P150="","",IFERROR(P150*HSTECH!$B$41*HSTECH!$G$41/HSTECH!$B$3,""))</f>
        <v/>
      </c>
      <c r="CE150" s="110">
        <f>IF(Q150="","",IFERROR(Q150*HSTECH!$B$41*HSTECH!$G$41/HSTECH!$B$3,""))</f>
        <v/>
      </c>
      <c r="CF150" s="110">
        <f>IF(R150="","",IFERROR(R150*HSTECH!$B$41*HSTECH!$G$41/HSTECH!$B$3,""))</f>
        <v/>
      </c>
      <c r="CG150" s="110">
        <f>IF(S150="","",IFERROR(S150*HSTECH!$B$41*HSTECH!$G$41/HSTECH!$B$3,""))</f>
        <v/>
      </c>
      <c r="CH150" s="110">
        <f>IF(T150="","",IFERROR(T150*HSTECH!$B$41*HSTECH!$G$41/HSTECH!$B$3,""))</f>
        <v/>
      </c>
      <c r="CI150" s="110">
        <f>IF(U150="","",IFERROR(U150*HSTECH!$B$41*HSTECH!$G$41/HSTECH!$B$3,""))</f>
        <v/>
      </c>
      <c r="CJ150" s="110">
        <f>IF(V150="","",IFERROR(V150*HSTECH!$B$41*HSTECH!$G$41/HSTECH!$B$3,""))</f>
        <v/>
      </c>
      <c r="CK150" s="110">
        <f>IF(W150="","",IFERROR(W150*HSTECH!$B$41*HSTECH!$G$41/HSTECH!$B$3,""))</f>
        <v/>
      </c>
      <c r="CL150" s="110">
        <f>IF(X150="","",IFERROR(X150*HSTECH!$B$41*HSTECH!$G$41/HSTECH!$B$3,""))</f>
        <v/>
      </c>
      <c r="CM150" s="110">
        <f>IF(Y150="","",IFERROR(Y150*HSTECH!$B$41*HSTECH!$G$41/HSTECH!$B$3,""))</f>
        <v/>
      </c>
      <c r="CN150" s="110">
        <f>IF(Z150="","",IFERROR(Z150*HSTECH!$B$41*HSTECH!$G$41/HSTECH!$B$3,""))</f>
        <v/>
      </c>
      <c r="CO150" s="110">
        <f>IF(AA150="","",IFERROR(AA150*HSTECH!$B$41*HSTECH!$G$41/HSTECH!$B$3,""))</f>
        <v/>
      </c>
      <c r="CP150" s="110">
        <f>IF(AB150="","",IFERROR(AB150*HSTECH!$B$41*HSTECH!$G$41/HSTECH!$B$3,""))</f>
        <v/>
      </c>
      <c r="CQ150" s="110">
        <f>IF(AC150="","",IFERROR(AC150*HSTECH!$B$41*HSTECH!$G$41/HSTECH!$B$3,""))</f>
        <v/>
      </c>
      <c r="CR150" s="110">
        <f>IF(AD150="","",IFERROR(AD150*HSTECH!$B$41*HSTECH!$G$41/HSTECH!$B$3,""))</f>
        <v/>
      </c>
      <c r="CS150" s="110">
        <f>IF(AE150="","",IFERROR(AE150*HSTECH!$B$41*HSTECH!$G$41/HSTECH!$B$3,""))</f>
        <v/>
      </c>
      <c r="CT150" s="110">
        <f>IF(AF150="","",IFERROR(AF150*HSTECH!$B$41*HSTECH!$G$41/HSTECH!$B$3,""))</f>
        <v/>
      </c>
      <c r="CU150" s="110">
        <f>IF(AG150="","",IFERROR(AG150*HSTECH!$B$41*HSTECH!$G$41/HSTECH!$B$3,""))</f>
        <v/>
      </c>
      <c r="CV150" s="110">
        <f>IF(AH150="","",IFERROR(AH150*HSTECH!$B$41*HSTECH!$G$41/HSTECH!$B$3,""))</f>
        <v/>
      </c>
      <c r="CW150" s="110">
        <f>IF(AI150="","",IFERROR(AI150*HSTECH!$B$41*HSTECH!$G$41/HSTECH!$B$3,""))</f>
        <v/>
      </c>
      <c r="CX150" s="110">
        <f>IF(AJ150="","",IFERROR(AJ150*HSTECH!$B$41*HSTECH!$G$41/HSTECH!$B$3,""))</f>
        <v/>
      </c>
      <c r="CY150" s="110">
        <f>IF(AK150="","",IFERROR(AK150*HSTECH!$B$41*HSTECH!$G$41/HSTECH!$B$3,""))</f>
        <v/>
      </c>
      <c r="CZ150" s="110">
        <f>IF(AL150="","",IFERROR(AL150*HSTECH!$B$41*HSTECH!$G$41/HSTECH!$B$3,""))</f>
        <v/>
      </c>
      <c r="DA150" s="110">
        <f>IF(AM150="","",IFERROR(AM150*HSTECH!$B$41*HSTECH!$G$41/HSTECH!$B$3,""))</f>
        <v/>
      </c>
      <c r="DB150" s="110">
        <f>IF(AN150="","",IFERROR(AN150*HSTECH!$B$41*HSTECH!$G$41/HSTECH!$B$3,""))</f>
        <v/>
      </c>
      <c r="DC150" s="110">
        <f>IF(AO150="","",IFERROR(AO150*HSTECH!$B$41*HSTECH!$G$41/HSTECH!$B$3,""))</f>
        <v/>
      </c>
      <c r="DD150" s="110">
        <f>IF(AP150="","",IFERROR(AP150*HSTECH!$B$41*HSTECH!$G$41/HSTECH!$B$3,""))</f>
        <v/>
      </c>
      <c r="DE150" s="110">
        <f>IF(AQ150="","",IFERROR(AQ150*HSTECH!$B$41*HSTECH!$G$41/HSTECH!$B$3,""))</f>
        <v/>
      </c>
      <c r="DF150" s="110">
        <f>IF(AR150="","",IFERROR(AR150*HSTECH!$B$41*HSTECH!$G$41/HSTECH!$B$3,""))</f>
        <v/>
      </c>
      <c r="DG150" s="110">
        <f>IF(AS150="","",IFERROR(AS150*HSTECH!$B$41*HSTECH!$G$41/HSTECH!$B$3,""))</f>
        <v/>
      </c>
      <c r="DH150" s="110">
        <f>IF(AT150="","",IFERROR(AT150*HSTECH!$B$41*HSTECH!$G$41/HSTECH!$B$3,""))</f>
        <v/>
      </c>
      <c r="DI150" s="110">
        <f>IF(AU150="","",IFERROR(AU150*HSTECH!$B$41*HSTECH!$G$41/HSTECH!$B$3,""))</f>
        <v/>
      </c>
      <c r="DJ150" s="110">
        <f>IF(AV150="","",IFERROR(AV150*HSTECH!$B$41*HSTECH!$G$41/HSTECH!$B$3,""))</f>
        <v/>
      </c>
      <c r="DK150" s="110">
        <f>IF(AW150="","",IFERROR(AW150*HSTECH!$B$41*HSTECH!$G$41/HSTECH!$B$3,""))</f>
        <v/>
      </c>
      <c r="DL150" s="110">
        <f>IF(AX150="","",IFERROR(AX150*HSTECH!$B$41*HSTECH!$G$41/HSTECH!$B$3,""))</f>
        <v/>
      </c>
      <c r="DM150" s="110">
        <f>IF(AY150="","",IFERROR(AY150*HSTECH!$B$41*HSTECH!$G$41/HSTECH!$B$3,""))</f>
        <v/>
      </c>
      <c r="DN150" s="110">
        <f>IF(AZ150="","",IFERROR(AZ150*HSTECH!$B$41*HSTECH!$G$41/HSTECH!$B$3,""))</f>
        <v/>
      </c>
      <c r="DO150" s="110">
        <f>IF(BA150="","",IFERROR(BA150*HSTECH!$B$41*HSTECH!$G$41/HSTECH!$B$3,""))</f>
        <v/>
      </c>
      <c r="DP150" s="110">
        <f>IF(BB150="","",IFERROR(BB150*HSTECH!$B$41*HSTECH!$G$41/HSTECH!$B$3,""))</f>
        <v/>
      </c>
      <c r="DQ150" s="110">
        <f>IF(BC150="","",IFERROR(BC150*HSTECH!$B$41*HSTECH!$G$41/HSTECH!$B$3,""))</f>
        <v/>
      </c>
      <c r="DR150" s="110">
        <f>IF(BD150="","",IFERROR(BD150*HSTECH!$B$41*HSTECH!$G$41/HSTECH!$B$3,""))</f>
        <v/>
      </c>
      <c r="DS150" s="110">
        <f>IF(BE150="","",IFERROR(BE150*HSTECH!$B$41*HSTECH!$G$41/HSTECH!$B$3,""))</f>
        <v/>
      </c>
      <c r="DT150" s="110">
        <f>IF(BF150="","",IFERROR(BF150*HSTECH!$B$41*HSTECH!$G$41/HSTECH!$B$3,""))</f>
        <v/>
      </c>
      <c r="DU150" s="110">
        <f>IF(BG150="","",IFERROR(BG150*HSTECH!$B$41*HSTECH!$G$41/HSTECH!$B$3,""))</f>
        <v/>
      </c>
      <c r="DV150" s="110">
        <f>IF(BH150="","",IFERROR(BH150*HSTECH!$B$41*HSTECH!$G$41/HSTECH!$B$3,""))</f>
        <v/>
      </c>
      <c r="DW150" s="110">
        <f>IF(BI150="","",IFERROR(BI150*HSTECH!$B$41*HSTECH!$G$41/HSTECH!$B$3,""))</f>
        <v/>
      </c>
      <c r="DX150" s="110">
        <f>IF(BJ150="","",IFERROR(BJ150*HSTECH!$B$41*HSTECH!$G$41/HSTECH!$B$3,""))</f>
        <v/>
      </c>
      <c r="DY150" s="110">
        <f>IF(BK150="","",IFERROR(BK150*HSTECH!$B$41*HSTECH!$G$41/HSTECH!$B$3,""))</f>
        <v/>
      </c>
      <c r="DZ150" s="110">
        <f>IF(BL150="","",IFERROR(BL150*HSTECH!$B$41*HSTECH!$G$41/HSTECH!$B$3,""))</f>
        <v/>
      </c>
      <c r="EA150" s="110">
        <f>IF(BM150="","",IFERROR(BM150*HSTECH!$B$41*HSTECH!$G$41/HSTECH!$B$3,""))</f>
        <v/>
      </c>
      <c r="EB150" s="110">
        <f>IF(BN150="","",IFERROR(BN150*HSTECH!$B$41*HSTECH!$G$41/HSTECH!$B$3,""))</f>
        <v/>
      </c>
      <c r="EC150" s="110">
        <f>IF(BO150="","",IFERROR(BO150*HSTECH!$B$41*HSTECH!$G$41/HSTECH!$B$3,""))</f>
        <v/>
      </c>
      <c r="EE150" s="39">
        <f>IF(N('Dvd Calendar'!$E$1490)=0,"",IF(('Dvd Calendar'!$E$1490&gt;=GRID_FROM)*('Dvd Calendar'!$E$1490&lt;=GRID_TO)*((('Dvd Calendar'!$E$1490&lt;=VAL_DATE)+(COUNTIF('Dvd Calendar'!$E$1497:$AR$1497,'Dvd Calendar'!$E$1490)=0))&gt;0)=0,"",'Dvd Calendar'!$E$1490*1000000000+ISNUMBER('Dvd Calendar'!$E$1493)*100000000+('Dvd Calendar'!$E$1495=SPECIAL_LBL)*10000000+(N('Dvd Calendar'!$E$1489)&gt;0)*(N('Dvd Calendar'!$E$1489)&lt;=VAL_SERIAL)*1000000+35*1000+1))</f>
        <v/>
      </c>
      <c r="EF150" s="39">
        <f>IF(N('Dvd Calendar'!$F$1490)=0,"",IF(('Dvd Calendar'!$F$1490&gt;=GRID_FROM)*('Dvd Calendar'!$F$1490&lt;=GRID_TO)*((('Dvd Calendar'!$F$1490&lt;=VAL_DATE)+(COUNTIF('Dvd Calendar'!$E$1497:$AR$1497,'Dvd Calendar'!$F$1490)=0))&gt;0)=0,"",'Dvd Calendar'!$F$1490*1000000000+ISNUMBER('Dvd Calendar'!$F$1493)*100000000+('Dvd Calendar'!$F$1495=SPECIAL_LBL)*10000000+(N('Dvd Calendar'!$F$1489)&gt;0)*(N('Dvd Calendar'!$F$1489)&lt;=VAL_SERIAL)*1000000+35*1000+2))</f>
        <v/>
      </c>
      <c r="EG150" s="39">
        <f>IF(N('Dvd Calendar'!$G$1490)=0,"",IF(('Dvd Calendar'!$G$1490&gt;=GRID_FROM)*('Dvd Calendar'!$G$1490&lt;=GRID_TO)*((('Dvd Calendar'!$G$1490&lt;=VAL_DATE)+(COUNTIF('Dvd Calendar'!$E$1497:$AR$1497,'Dvd Calendar'!$G$1490)=0))&gt;0)=0,"",'Dvd Calendar'!$G$1490*1000000000+ISNUMBER('Dvd Calendar'!$G$1493)*100000000+('Dvd Calendar'!$G$1495=SPECIAL_LBL)*10000000+(N('Dvd Calendar'!$G$1489)&gt;0)*(N('Dvd Calendar'!$G$1489)&lt;=VAL_SERIAL)*1000000+35*1000+3))</f>
        <v/>
      </c>
      <c r="EH150" s="39">
        <f>IF(N('Dvd Calendar'!$H$1490)=0,"",IF(('Dvd Calendar'!$H$1490&gt;=GRID_FROM)*('Dvd Calendar'!$H$1490&lt;=GRID_TO)*((('Dvd Calendar'!$H$1490&lt;=VAL_DATE)+(COUNTIF('Dvd Calendar'!$E$1497:$AR$1497,'Dvd Calendar'!$H$1490)=0))&gt;0)=0,"",'Dvd Calendar'!$H$1490*1000000000+ISNUMBER('Dvd Calendar'!$H$1493)*100000000+('Dvd Calendar'!$H$1495=SPECIAL_LBL)*10000000+(N('Dvd Calendar'!$H$1489)&gt;0)*(N('Dvd Calendar'!$H$1489)&lt;=VAL_SERIAL)*1000000+35*1000+4))</f>
        <v/>
      </c>
      <c r="EI150" s="39">
        <f>IF(N('Dvd Calendar'!$I$1490)=0,"",IF(('Dvd Calendar'!$I$1490&gt;=GRID_FROM)*('Dvd Calendar'!$I$1490&lt;=GRID_TO)*((('Dvd Calendar'!$I$1490&lt;=VAL_DATE)+(COUNTIF('Dvd Calendar'!$E$1497:$AR$1497,'Dvd Calendar'!$I$1490)=0))&gt;0)=0,"",'Dvd Calendar'!$I$1490*1000000000+ISNUMBER('Dvd Calendar'!$I$1493)*100000000+('Dvd Calendar'!$I$1495=SPECIAL_LBL)*10000000+(N('Dvd Calendar'!$I$1489)&gt;0)*(N('Dvd Calendar'!$I$1489)&lt;=VAL_SERIAL)*1000000+35*1000+5))</f>
        <v/>
      </c>
      <c r="EJ150" s="39">
        <f>IF(N('Dvd Calendar'!$J$1490)=0,"",IF(('Dvd Calendar'!$J$1490&gt;=GRID_FROM)*('Dvd Calendar'!$J$1490&lt;=GRID_TO)*((('Dvd Calendar'!$J$1490&lt;=VAL_DATE)+(COUNTIF('Dvd Calendar'!$E$1497:$AR$1497,'Dvd Calendar'!$J$1490)=0))&gt;0)=0,"",'Dvd Calendar'!$J$1490*1000000000+ISNUMBER('Dvd Calendar'!$J$1493)*100000000+('Dvd Calendar'!$J$1495=SPECIAL_LBL)*10000000+(N('Dvd Calendar'!$J$1489)&gt;0)*(N('Dvd Calendar'!$J$1489)&lt;=VAL_SERIAL)*1000000+35*1000+6))</f>
        <v/>
      </c>
      <c r="EK150" s="39">
        <f>IF(N('Dvd Calendar'!$K$1490)=0,"",IF(('Dvd Calendar'!$K$1490&gt;=GRID_FROM)*('Dvd Calendar'!$K$1490&lt;=GRID_TO)*((('Dvd Calendar'!$K$1490&lt;=VAL_DATE)+(COUNTIF('Dvd Calendar'!$E$1497:$AR$1497,'Dvd Calendar'!$K$1490)=0))&gt;0)=0,"",'Dvd Calendar'!$K$1490*1000000000+ISNUMBER('Dvd Calendar'!$K$1493)*100000000+('Dvd Calendar'!$K$1495=SPECIAL_LBL)*10000000+(N('Dvd Calendar'!$K$1489)&gt;0)*(N('Dvd Calendar'!$K$1489)&lt;=VAL_SERIAL)*1000000+35*1000+7))</f>
        <v/>
      </c>
      <c r="EL150" s="39">
        <f>IF(N('Dvd Calendar'!$L$1490)=0,"",IF(('Dvd Calendar'!$L$1490&gt;=GRID_FROM)*('Dvd Calendar'!$L$1490&lt;=GRID_TO)*((('Dvd Calendar'!$L$1490&lt;=VAL_DATE)+(COUNTIF('Dvd Calendar'!$E$1497:$AR$1497,'Dvd Calendar'!$L$1490)=0))&gt;0)=0,"",'Dvd Calendar'!$L$1490*1000000000+ISNUMBER('Dvd Calendar'!$L$1493)*100000000+('Dvd Calendar'!$L$1495=SPECIAL_LBL)*10000000+(N('Dvd Calendar'!$L$1489)&gt;0)*(N('Dvd Calendar'!$L$1489)&lt;=VAL_SERIAL)*1000000+35*1000+8))</f>
        <v/>
      </c>
      <c r="EM150" s="39">
        <f>IF(N('Dvd Calendar'!$M$1490)=0,"",IF(('Dvd Calendar'!$M$1490&gt;=GRID_FROM)*('Dvd Calendar'!$M$1490&lt;=GRID_TO)*((('Dvd Calendar'!$M$1490&lt;=VAL_DATE)+(COUNTIF('Dvd Calendar'!$E$1497:$AR$1497,'Dvd Calendar'!$M$1490)=0))&gt;0)=0,"",'Dvd Calendar'!$M$1490*1000000000+ISNUMBER('Dvd Calendar'!$M$1493)*100000000+('Dvd Calendar'!$M$1495=SPECIAL_LBL)*10000000+(N('Dvd Calendar'!$M$1489)&gt;0)*(N('Dvd Calendar'!$M$1489)&lt;=VAL_SERIAL)*1000000+35*1000+9))</f>
        <v/>
      </c>
      <c r="EN150" s="39">
        <f>IF(N('Dvd Calendar'!$N$1490)=0,"",IF(('Dvd Calendar'!$N$1490&gt;=GRID_FROM)*('Dvd Calendar'!$N$1490&lt;=GRID_TO)*((('Dvd Calendar'!$N$1490&lt;=VAL_DATE)+(COUNTIF('Dvd Calendar'!$E$1497:$AR$1497,'Dvd Calendar'!$N$1490)=0))&gt;0)=0,"",'Dvd Calendar'!$N$1490*1000000000+ISNUMBER('Dvd Calendar'!$N$1493)*100000000+('Dvd Calendar'!$N$1495=SPECIAL_LBL)*10000000+(N('Dvd Calendar'!$N$1489)&gt;0)*(N('Dvd Calendar'!$N$1489)&lt;=VAL_SERIAL)*1000000+35*1000+10))</f>
        <v/>
      </c>
      <c r="EO150" s="39">
        <f>IF(N('Dvd Calendar'!$O$1490)=0,"",IF(('Dvd Calendar'!$O$1490&gt;=GRID_FROM)*('Dvd Calendar'!$O$1490&lt;=GRID_TO)*((('Dvd Calendar'!$O$1490&lt;=VAL_DATE)+(COUNTIF('Dvd Calendar'!$E$1497:$AR$1497,'Dvd Calendar'!$O$1490)=0))&gt;0)=0,"",'Dvd Calendar'!$O$1490*1000000000+ISNUMBER('Dvd Calendar'!$O$1493)*100000000+('Dvd Calendar'!$O$1495=SPECIAL_LBL)*10000000+(N('Dvd Calendar'!$O$1489)&gt;0)*(N('Dvd Calendar'!$O$1489)&lt;=VAL_SERIAL)*1000000+35*1000+11))</f>
        <v/>
      </c>
      <c r="EP150" s="39">
        <f>IF(N('Dvd Calendar'!$P$1490)=0,"",IF(('Dvd Calendar'!$P$1490&gt;=GRID_FROM)*('Dvd Calendar'!$P$1490&lt;=GRID_TO)*((('Dvd Calendar'!$P$1490&lt;=VAL_DATE)+(COUNTIF('Dvd Calendar'!$E$1497:$AR$1497,'Dvd Calendar'!$P$1490)=0))&gt;0)=0,"",'Dvd Calendar'!$P$1490*1000000000+ISNUMBER('Dvd Calendar'!$P$1493)*100000000+('Dvd Calendar'!$P$1495=SPECIAL_LBL)*10000000+(N('Dvd Calendar'!$P$1489)&gt;0)*(N('Dvd Calendar'!$P$1489)&lt;=VAL_SERIAL)*1000000+35*1000+12))</f>
        <v/>
      </c>
      <c r="EQ150" s="39">
        <f>IF(N('Dvd Calendar'!$Q$1490)=0,"",IF(('Dvd Calendar'!$Q$1490&gt;=GRID_FROM)*('Dvd Calendar'!$Q$1490&lt;=GRID_TO)*((('Dvd Calendar'!$Q$1490&lt;=VAL_DATE)+(COUNTIF('Dvd Calendar'!$E$1497:$AR$1497,'Dvd Calendar'!$Q$1490)=0))&gt;0)=0,"",'Dvd Calendar'!$Q$1490*1000000000+ISNUMBER('Dvd Calendar'!$Q$1493)*100000000+('Dvd Calendar'!$Q$1495=SPECIAL_LBL)*10000000+(N('Dvd Calendar'!$Q$1489)&gt;0)*(N('Dvd Calendar'!$Q$1489)&lt;=VAL_SERIAL)*1000000+35*1000+13))</f>
        <v/>
      </c>
      <c r="ER150" s="39">
        <f>IF(N('Dvd Calendar'!$R$1490)=0,"",IF(('Dvd Calendar'!$R$1490&gt;=GRID_FROM)*('Dvd Calendar'!$R$1490&lt;=GRID_TO)*((('Dvd Calendar'!$R$1490&lt;=VAL_DATE)+(COUNTIF('Dvd Calendar'!$E$1497:$AR$1497,'Dvd Calendar'!$R$1490)=0))&gt;0)=0,"",'Dvd Calendar'!$R$1490*1000000000+ISNUMBER('Dvd Calendar'!$R$1493)*100000000+('Dvd Calendar'!$R$1495=SPECIAL_LBL)*10000000+(N('Dvd Calendar'!$R$1489)&gt;0)*(N('Dvd Calendar'!$R$1489)&lt;=VAL_SERIAL)*1000000+35*1000+14))</f>
        <v/>
      </c>
      <c r="ES150" s="39">
        <f>IF(N('Dvd Calendar'!$S$1490)=0,"",IF(('Dvd Calendar'!$S$1490&gt;=GRID_FROM)*('Dvd Calendar'!$S$1490&lt;=GRID_TO)*((('Dvd Calendar'!$S$1490&lt;=VAL_DATE)+(COUNTIF('Dvd Calendar'!$E$1497:$AR$1497,'Dvd Calendar'!$S$1490)=0))&gt;0)=0,"",'Dvd Calendar'!$S$1490*1000000000+ISNUMBER('Dvd Calendar'!$S$1493)*100000000+('Dvd Calendar'!$S$1495=SPECIAL_LBL)*10000000+(N('Dvd Calendar'!$S$1489)&gt;0)*(N('Dvd Calendar'!$S$1489)&lt;=VAL_SERIAL)*1000000+35*1000+15))</f>
        <v/>
      </c>
      <c r="ET150" s="39">
        <f>IF(N('Dvd Calendar'!$T$1490)=0,"",IF(('Dvd Calendar'!$T$1490&gt;=GRID_FROM)*('Dvd Calendar'!$T$1490&lt;=GRID_TO)*((('Dvd Calendar'!$T$1490&lt;=VAL_DATE)+(COUNTIF('Dvd Calendar'!$E$1497:$AR$1497,'Dvd Calendar'!$T$1490)=0))&gt;0)=0,"",'Dvd Calendar'!$T$1490*1000000000+ISNUMBER('Dvd Calendar'!$T$1493)*100000000+('Dvd Calendar'!$T$1495=SPECIAL_LBL)*10000000+(N('Dvd Calendar'!$T$1489)&gt;0)*(N('Dvd Calendar'!$T$1489)&lt;=VAL_SERIAL)*1000000+35*1000+16))</f>
        <v/>
      </c>
      <c r="EU150" s="39">
        <f>IF(N('Dvd Calendar'!$U$1490)=0,"",IF(('Dvd Calendar'!$U$1490&gt;=GRID_FROM)*('Dvd Calendar'!$U$1490&lt;=GRID_TO)*((('Dvd Calendar'!$U$1490&lt;=VAL_DATE)+(COUNTIF('Dvd Calendar'!$E$1497:$AR$1497,'Dvd Calendar'!$U$1490)=0))&gt;0)=0,"",'Dvd Calendar'!$U$1490*1000000000+ISNUMBER('Dvd Calendar'!$U$1493)*100000000+('Dvd Calendar'!$U$1495=SPECIAL_LBL)*10000000+(N('Dvd Calendar'!$U$1489)&gt;0)*(N('Dvd Calendar'!$U$1489)&lt;=VAL_SERIAL)*1000000+35*1000+17))</f>
        <v/>
      </c>
      <c r="EV150" s="39">
        <f>IF(N('Dvd Calendar'!$V$1490)=0,"",IF(('Dvd Calendar'!$V$1490&gt;=GRID_FROM)*('Dvd Calendar'!$V$1490&lt;=GRID_TO)*((('Dvd Calendar'!$V$1490&lt;=VAL_DATE)+(COUNTIF('Dvd Calendar'!$E$1497:$AR$1497,'Dvd Calendar'!$V$1490)=0))&gt;0)=0,"",'Dvd Calendar'!$V$1490*1000000000+ISNUMBER('Dvd Calendar'!$V$1493)*100000000+('Dvd Calendar'!$V$1495=SPECIAL_LBL)*10000000+(N('Dvd Calendar'!$V$1489)&gt;0)*(N('Dvd Calendar'!$V$1489)&lt;=VAL_SERIAL)*1000000+35*1000+18))</f>
        <v/>
      </c>
      <c r="EW150" s="39">
        <f>IF(N('Dvd Calendar'!$W$1490)=0,"",IF(('Dvd Calendar'!$W$1490&gt;=GRID_FROM)*('Dvd Calendar'!$W$1490&lt;=GRID_TO)*((('Dvd Calendar'!$W$1490&lt;=VAL_DATE)+(COUNTIF('Dvd Calendar'!$E$1497:$AR$1497,'Dvd Calendar'!$W$1490)=0))&gt;0)=0,"",'Dvd Calendar'!$W$1490*1000000000+ISNUMBER('Dvd Calendar'!$W$1493)*100000000+('Dvd Calendar'!$W$1495=SPECIAL_LBL)*10000000+(N('Dvd Calendar'!$W$1489)&gt;0)*(N('Dvd Calendar'!$W$1489)&lt;=VAL_SERIAL)*1000000+35*1000+19))</f>
        <v/>
      </c>
      <c r="EX150" s="39">
        <f>IF(N('Dvd Calendar'!$X$1490)=0,"",IF(('Dvd Calendar'!$X$1490&gt;=GRID_FROM)*('Dvd Calendar'!$X$1490&lt;=GRID_TO)*((('Dvd Calendar'!$X$1490&lt;=VAL_DATE)+(COUNTIF('Dvd Calendar'!$E$1497:$AR$1497,'Dvd Calendar'!$X$1490)=0))&gt;0)=0,"",'Dvd Calendar'!$X$1490*1000000000+ISNUMBER('Dvd Calendar'!$X$1493)*100000000+('Dvd Calendar'!$X$1495=SPECIAL_LBL)*10000000+(N('Dvd Calendar'!$X$1489)&gt;0)*(N('Dvd Calendar'!$X$1489)&lt;=VAL_SERIAL)*1000000+35*1000+20))</f>
        <v/>
      </c>
      <c r="EY150" s="39">
        <f>IF(N('Dvd Calendar'!$Y$1490)=0,"",IF(('Dvd Calendar'!$Y$1490&gt;=GRID_FROM)*('Dvd Calendar'!$Y$1490&lt;=GRID_TO)*((('Dvd Calendar'!$Y$1490&lt;=VAL_DATE)+(COUNTIF('Dvd Calendar'!$E$1497:$AR$1497,'Dvd Calendar'!$Y$1490)=0))&gt;0)=0,"",'Dvd Calendar'!$Y$1490*1000000000+ISNUMBER('Dvd Calendar'!$Y$1493)*100000000+('Dvd Calendar'!$Y$1495=SPECIAL_LBL)*10000000+(N('Dvd Calendar'!$Y$1489)&gt;0)*(N('Dvd Calendar'!$Y$1489)&lt;=VAL_SERIAL)*1000000+35*1000+21))</f>
        <v/>
      </c>
      <c r="EZ150" s="39">
        <f>IF(N('Dvd Calendar'!$Z$1490)=0,"",IF(('Dvd Calendar'!$Z$1490&gt;=GRID_FROM)*('Dvd Calendar'!$Z$1490&lt;=GRID_TO)*((('Dvd Calendar'!$Z$1490&lt;=VAL_DATE)+(COUNTIF('Dvd Calendar'!$E$1497:$AR$1497,'Dvd Calendar'!$Z$1490)=0))&gt;0)=0,"",'Dvd Calendar'!$Z$1490*1000000000+ISNUMBER('Dvd Calendar'!$Z$1493)*100000000+('Dvd Calendar'!$Z$1495=SPECIAL_LBL)*10000000+(N('Dvd Calendar'!$Z$1489)&gt;0)*(N('Dvd Calendar'!$Z$1489)&lt;=VAL_SERIAL)*1000000+35*1000+22))</f>
        <v/>
      </c>
      <c r="FA150" s="39">
        <f>IF(N('Dvd Calendar'!$AA$1490)=0,"",IF(('Dvd Calendar'!$AA$1490&gt;=GRID_FROM)*('Dvd Calendar'!$AA$1490&lt;=GRID_TO)*((('Dvd Calendar'!$AA$1490&lt;=VAL_DATE)+(COUNTIF('Dvd Calendar'!$E$1497:$AR$1497,'Dvd Calendar'!$AA$1490)=0))&gt;0)=0,"",'Dvd Calendar'!$AA$1490*1000000000+ISNUMBER('Dvd Calendar'!$AA$1493)*100000000+('Dvd Calendar'!$AA$1495=SPECIAL_LBL)*10000000+(N('Dvd Calendar'!$AA$1489)&gt;0)*(N('Dvd Calendar'!$AA$1489)&lt;=VAL_SERIAL)*1000000+35*1000+23))</f>
        <v/>
      </c>
      <c r="FB150" s="39">
        <f>IF(N('Dvd Calendar'!$AB$1490)=0,"",IF(('Dvd Calendar'!$AB$1490&gt;=GRID_FROM)*('Dvd Calendar'!$AB$1490&lt;=GRID_TO)*((('Dvd Calendar'!$AB$1490&lt;=VAL_DATE)+(COUNTIF('Dvd Calendar'!$E$1497:$AR$1497,'Dvd Calendar'!$AB$1490)=0))&gt;0)=0,"",'Dvd Calendar'!$AB$1490*1000000000+ISNUMBER('Dvd Calendar'!$AB$1493)*100000000+('Dvd Calendar'!$AB$1495=SPECIAL_LBL)*10000000+(N('Dvd Calendar'!$AB$1489)&gt;0)*(N('Dvd Calendar'!$AB$1489)&lt;=VAL_SERIAL)*1000000+35*1000+24))</f>
        <v/>
      </c>
      <c r="FC150" s="39">
        <f>IF(N('Dvd Calendar'!$AC$1490)=0,"",IF(('Dvd Calendar'!$AC$1490&gt;=GRID_FROM)*('Dvd Calendar'!$AC$1490&lt;=GRID_TO)*((('Dvd Calendar'!$AC$1490&lt;=VAL_DATE)+(COUNTIF('Dvd Calendar'!$E$1497:$AR$1497,'Dvd Calendar'!$AC$1490)=0))&gt;0)=0,"",'Dvd Calendar'!$AC$1490*1000000000+ISNUMBER('Dvd Calendar'!$AC$1493)*100000000+('Dvd Calendar'!$AC$1495=SPECIAL_LBL)*10000000+(N('Dvd Calendar'!$AC$1489)&gt;0)*(N('Dvd Calendar'!$AC$1489)&lt;=VAL_SERIAL)*1000000+35*1000+25))</f>
        <v/>
      </c>
      <c r="FD150" s="39">
        <f>IF(N('Dvd Calendar'!$AD$1490)=0,"",IF(('Dvd Calendar'!$AD$1490&gt;=GRID_FROM)*('Dvd Calendar'!$AD$1490&lt;=GRID_TO)*((('Dvd Calendar'!$AD$1490&lt;=VAL_DATE)+(COUNTIF('Dvd Calendar'!$E$1497:$AR$1497,'Dvd Calendar'!$AD$1490)=0))&gt;0)=0,"",'Dvd Calendar'!$AD$1490*1000000000+ISNUMBER('Dvd Calendar'!$AD$1493)*100000000+('Dvd Calendar'!$AD$1495=SPECIAL_LBL)*10000000+(N('Dvd Calendar'!$AD$1489)&gt;0)*(N('Dvd Calendar'!$AD$1489)&lt;=VAL_SERIAL)*1000000+35*1000+26))</f>
        <v/>
      </c>
      <c r="FE150" s="39">
        <f>IF(N('Dvd Calendar'!$AE$1490)=0,"",IF(('Dvd Calendar'!$AE$1490&gt;=GRID_FROM)*('Dvd Calendar'!$AE$1490&lt;=GRID_TO)*((('Dvd Calendar'!$AE$1490&lt;=VAL_DATE)+(COUNTIF('Dvd Calendar'!$E$1497:$AR$1497,'Dvd Calendar'!$AE$1490)=0))&gt;0)=0,"",'Dvd Calendar'!$AE$1490*1000000000+ISNUMBER('Dvd Calendar'!$AE$1493)*100000000+('Dvd Calendar'!$AE$1495=SPECIAL_LBL)*10000000+(N('Dvd Calendar'!$AE$1489)&gt;0)*(N('Dvd Calendar'!$AE$1489)&lt;=VAL_SERIAL)*1000000+35*1000+27))</f>
        <v/>
      </c>
      <c r="FF150" s="39">
        <f>IF(N('Dvd Calendar'!$AF$1490)=0,"",IF(('Dvd Calendar'!$AF$1490&gt;=GRID_FROM)*('Dvd Calendar'!$AF$1490&lt;=GRID_TO)*((('Dvd Calendar'!$AF$1490&lt;=VAL_DATE)+(COUNTIF('Dvd Calendar'!$E$1497:$AR$1497,'Dvd Calendar'!$AF$1490)=0))&gt;0)=0,"",'Dvd Calendar'!$AF$1490*1000000000+ISNUMBER('Dvd Calendar'!$AF$1493)*100000000+('Dvd Calendar'!$AF$1495=SPECIAL_LBL)*10000000+(N('Dvd Calendar'!$AF$1489)&gt;0)*(N('Dvd Calendar'!$AF$1489)&lt;=VAL_SERIAL)*1000000+35*1000+28))</f>
        <v/>
      </c>
      <c r="FG150" s="39">
        <f>IF(N('Dvd Calendar'!$AG$1490)=0,"",IF(('Dvd Calendar'!$AG$1490&gt;=GRID_FROM)*('Dvd Calendar'!$AG$1490&lt;=GRID_TO)*((('Dvd Calendar'!$AG$1490&lt;=VAL_DATE)+(COUNTIF('Dvd Calendar'!$E$1497:$AR$1497,'Dvd Calendar'!$AG$1490)=0))&gt;0)=0,"",'Dvd Calendar'!$AG$1490*1000000000+ISNUMBER('Dvd Calendar'!$AG$1493)*100000000+('Dvd Calendar'!$AG$1495=SPECIAL_LBL)*10000000+(N('Dvd Calendar'!$AG$1489)&gt;0)*(N('Dvd Calendar'!$AG$1489)&lt;=VAL_SERIAL)*1000000+35*1000+29))</f>
        <v/>
      </c>
      <c r="FH150" s="39">
        <f>IF(N('Dvd Calendar'!$AH$1490)=0,"",IF(('Dvd Calendar'!$AH$1490&gt;=GRID_FROM)*('Dvd Calendar'!$AH$1490&lt;=GRID_TO)*((('Dvd Calendar'!$AH$1490&lt;=VAL_DATE)+(COUNTIF('Dvd Calendar'!$E$1497:$AR$1497,'Dvd Calendar'!$AH$1490)=0))&gt;0)=0,"",'Dvd Calendar'!$AH$1490*1000000000+ISNUMBER('Dvd Calendar'!$AH$1493)*100000000+('Dvd Calendar'!$AH$1495=SPECIAL_LBL)*10000000+(N('Dvd Calendar'!$AH$1489)&gt;0)*(N('Dvd Calendar'!$AH$1489)&lt;=VAL_SERIAL)*1000000+35*1000+30))</f>
        <v/>
      </c>
      <c r="FI150" s="39">
        <f>IF(N('Dvd Calendar'!$AI$1490)=0,"",IF(('Dvd Calendar'!$AI$1490&gt;=GRID_FROM)*('Dvd Calendar'!$AI$1490&lt;=GRID_TO)*((('Dvd Calendar'!$AI$1490&lt;=VAL_DATE)+(COUNTIF('Dvd Calendar'!$E$1497:$AR$1497,'Dvd Calendar'!$AI$1490)=0))&gt;0)=0,"",'Dvd Calendar'!$AI$1490*1000000000+ISNUMBER('Dvd Calendar'!$AI$1493)*100000000+('Dvd Calendar'!$AI$1495=SPECIAL_LBL)*10000000+(N('Dvd Calendar'!$AI$1489)&gt;0)*(N('Dvd Calendar'!$AI$1489)&lt;=VAL_SERIAL)*1000000+35*1000+31))</f>
        <v/>
      </c>
      <c r="FJ150" s="39">
        <f>IF(N('Dvd Calendar'!$AJ$1490)=0,"",IF(('Dvd Calendar'!$AJ$1490&gt;=GRID_FROM)*('Dvd Calendar'!$AJ$1490&lt;=GRID_TO)*((('Dvd Calendar'!$AJ$1490&lt;=VAL_DATE)+(COUNTIF('Dvd Calendar'!$E$1497:$AR$1497,'Dvd Calendar'!$AJ$1490)=0))&gt;0)=0,"",'Dvd Calendar'!$AJ$1490*1000000000+ISNUMBER('Dvd Calendar'!$AJ$1493)*100000000+('Dvd Calendar'!$AJ$1495=SPECIAL_LBL)*10000000+(N('Dvd Calendar'!$AJ$1489)&gt;0)*(N('Dvd Calendar'!$AJ$1489)&lt;=VAL_SERIAL)*1000000+35*1000+32))</f>
        <v/>
      </c>
      <c r="FK150" s="39">
        <f>IF(N('Dvd Calendar'!$AK$1490)=0,"",IF(('Dvd Calendar'!$AK$1490&gt;=GRID_FROM)*('Dvd Calendar'!$AK$1490&lt;=GRID_TO)*((('Dvd Calendar'!$AK$1490&lt;=VAL_DATE)+(COUNTIF('Dvd Calendar'!$E$1497:$AR$1497,'Dvd Calendar'!$AK$1490)=0))&gt;0)=0,"",'Dvd Calendar'!$AK$1490*1000000000+ISNUMBER('Dvd Calendar'!$AK$1493)*100000000+('Dvd Calendar'!$AK$1495=SPECIAL_LBL)*10000000+(N('Dvd Calendar'!$AK$1489)&gt;0)*(N('Dvd Calendar'!$AK$1489)&lt;=VAL_SERIAL)*1000000+35*1000+33))</f>
        <v/>
      </c>
      <c r="FL150" s="39">
        <f>IF(N('Dvd Calendar'!$AL$1490)=0,"",IF(('Dvd Calendar'!$AL$1490&gt;=GRID_FROM)*('Dvd Calendar'!$AL$1490&lt;=GRID_TO)*((('Dvd Calendar'!$AL$1490&lt;=VAL_DATE)+(COUNTIF('Dvd Calendar'!$E$1497:$AR$1497,'Dvd Calendar'!$AL$1490)=0))&gt;0)=0,"",'Dvd Calendar'!$AL$1490*1000000000+ISNUMBER('Dvd Calendar'!$AL$1493)*100000000+('Dvd Calendar'!$AL$1495=SPECIAL_LBL)*10000000+(N('Dvd Calendar'!$AL$1489)&gt;0)*(N('Dvd Calendar'!$AL$1489)&lt;=VAL_SERIAL)*1000000+35*1000+34))</f>
        <v/>
      </c>
      <c r="FM150" s="39">
        <f>IF(N('Dvd Calendar'!$AM$1490)=0,"",IF(('Dvd Calendar'!$AM$1490&gt;=GRID_FROM)*('Dvd Calendar'!$AM$1490&lt;=GRID_TO)*((('Dvd Calendar'!$AM$1490&lt;=VAL_DATE)+(COUNTIF('Dvd Calendar'!$E$1497:$AR$1497,'Dvd Calendar'!$AM$1490)=0))&gt;0)=0,"",'Dvd Calendar'!$AM$1490*1000000000+ISNUMBER('Dvd Calendar'!$AM$1493)*100000000+('Dvd Calendar'!$AM$1495=SPECIAL_LBL)*10000000+(N('Dvd Calendar'!$AM$1489)&gt;0)*(N('Dvd Calendar'!$AM$1489)&lt;=VAL_SERIAL)*1000000+35*1000+35))</f>
        <v/>
      </c>
      <c r="FN150" s="39">
        <f>IF(N('Dvd Calendar'!$AN$1490)=0,"",IF(('Dvd Calendar'!$AN$1490&gt;=GRID_FROM)*('Dvd Calendar'!$AN$1490&lt;=GRID_TO)*((('Dvd Calendar'!$AN$1490&lt;=VAL_DATE)+(COUNTIF('Dvd Calendar'!$E$1497:$AR$1497,'Dvd Calendar'!$AN$1490)=0))&gt;0)=0,"",'Dvd Calendar'!$AN$1490*1000000000+ISNUMBER('Dvd Calendar'!$AN$1493)*100000000+('Dvd Calendar'!$AN$1495=SPECIAL_LBL)*10000000+(N('Dvd Calendar'!$AN$1489)&gt;0)*(N('Dvd Calendar'!$AN$1489)&lt;=VAL_SERIAL)*1000000+35*1000+36))</f>
        <v/>
      </c>
      <c r="FO150" s="39">
        <f>IF(N('Dvd Calendar'!$AO$1490)=0,"",IF(('Dvd Calendar'!$AO$1490&gt;=GRID_FROM)*('Dvd Calendar'!$AO$1490&lt;=GRID_TO)*((('Dvd Calendar'!$AO$1490&lt;=VAL_DATE)+(COUNTIF('Dvd Calendar'!$E$1497:$AR$1497,'Dvd Calendar'!$AO$1490)=0))&gt;0)=0,"",'Dvd Calendar'!$AO$1490*1000000000+ISNUMBER('Dvd Calendar'!$AO$1493)*100000000+('Dvd Calendar'!$AO$1495=SPECIAL_LBL)*10000000+(N('Dvd Calendar'!$AO$1489)&gt;0)*(N('Dvd Calendar'!$AO$1489)&lt;=VAL_SERIAL)*1000000+35*1000+37))</f>
        <v/>
      </c>
      <c r="FP150" s="39">
        <f>IF(N('Dvd Calendar'!$AP$1490)=0,"",IF(('Dvd Calendar'!$AP$1490&gt;=GRID_FROM)*('Dvd Calendar'!$AP$1490&lt;=GRID_TO)*((('Dvd Calendar'!$AP$1490&lt;=VAL_DATE)+(COUNTIF('Dvd Calendar'!$E$1497:$AR$1497,'Dvd Calendar'!$AP$1490)=0))&gt;0)=0,"",'Dvd Calendar'!$AP$1490*1000000000+ISNUMBER('Dvd Calendar'!$AP$1493)*100000000+('Dvd Calendar'!$AP$1495=SPECIAL_LBL)*10000000+(N('Dvd Calendar'!$AP$1489)&gt;0)*(N('Dvd Calendar'!$AP$1489)&lt;=VAL_SERIAL)*1000000+35*1000+38))</f>
        <v/>
      </c>
      <c r="FQ150" s="39">
        <f>IF(N('Dvd Calendar'!$AQ$1490)=0,"",IF(('Dvd Calendar'!$AQ$1490&gt;=GRID_FROM)*('Dvd Calendar'!$AQ$1490&lt;=GRID_TO)*((('Dvd Calendar'!$AQ$1490&lt;=VAL_DATE)+(COUNTIF('Dvd Calendar'!$E$1497:$AR$1497,'Dvd Calendar'!$AQ$1490)=0))&gt;0)=0,"",'Dvd Calendar'!$AQ$1490*1000000000+ISNUMBER('Dvd Calendar'!$AQ$1493)*100000000+('Dvd Calendar'!$AQ$1495=SPECIAL_LBL)*10000000+(N('Dvd Calendar'!$AQ$1489)&gt;0)*(N('Dvd Calendar'!$AQ$1489)&lt;=VAL_SERIAL)*1000000+35*1000+39))</f>
        <v/>
      </c>
      <c r="FR150" s="39">
        <f>IF(N('Dvd Calendar'!$AR$1490)=0,"",IF(('Dvd Calendar'!$AR$1490&gt;=GRID_FROM)*('Dvd Calendar'!$AR$1490&lt;=GRID_TO)*((('Dvd Calendar'!$AR$1490&lt;=VAL_DATE)+(COUNTIF('Dvd Calendar'!$E$1497:$AR$1497,'Dvd Calendar'!$AR$1490)=0))&gt;0)=0,"",'Dvd Calendar'!$AR$1490*1000000000+ISNUMBER('Dvd Calendar'!$AR$1493)*100000000+('Dvd Calendar'!$AR$1495=SPECIAL_LBL)*10000000+(N('Dvd Calendar'!$AR$1489)&gt;0)*(N('Dvd Calendar'!$AR$1489)&lt;=VAL_SERIAL)*1000000+35*1000+40))</f>
        <v/>
      </c>
      <c r="FS150" s="39">
        <f>IF(N('Dvd Calendar'!$E$1497)=0,"",IF(('Dvd Calendar'!$E$1497&gt;=GRID_FROM)*('Dvd Calendar'!$E$1497&lt;=GRID_TO)*('Dvd Calendar'!$E$1497&gt;VAL_DATE)=0,"",'Dvd Calendar'!$E$1497*1000000000+ISNUMBER('Dvd Calendar'!$E$1498)*100000000+0*10000000+(N('Dvd Calendar'!$E$1496)&gt;0)*(N('Dvd Calendar'!$E$1496)&lt;=VAL_SERIAL)*1000000+35*1000+41))</f>
        <v/>
      </c>
      <c r="FT150" s="39">
        <f>IF(N('Dvd Calendar'!$F$1497)=0,"",IF(('Dvd Calendar'!$F$1497&gt;=GRID_FROM)*('Dvd Calendar'!$F$1497&lt;=GRID_TO)*('Dvd Calendar'!$F$1497&gt;VAL_DATE)=0,"",'Dvd Calendar'!$F$1497*1000000000+ISNUMBER('Dvd Calendar'!$F$1498)*100000000+0*10000000+(N('Dvd Calendar'!$F$1496)&gt;0)*(N('Dvd Calendar'!$F$1496)&lt;=VAL_SERIAL)*1000000+35*1000+42))</f>
        <v/>
      </c>
      <c r="FU150" s="39">
        <f>IF(N('Dvd Calendar'!$G$1497)=0,"",IF(('Dvd Calendar'!$G$1497&gt;=GRID_FROM)*('Dvd Calendar'!$G$1497&lt;=GRID_TO)*('Dvd Calendar'!$G$1497&gt;VAL_DATE)=0,"",'Dvd Calendar'!$G$1497*1000000000+ISNUMBER('Dvd Calendar'!$G$1498)*100000000+0*10000000+(N('Dvd Calendar'!$G$1496)&gt;0)*(N('Dvd Calendar'!$G$1496)&lt;=VAL_SERIAL)*1000000+35*1000+43))</f>
        <v/>
      </c>
      <c r="FV150" s="39">
        <f>IF(N('Dvd Calendar'!$H$1497)=0,"",IF(('Dvd Calendar'!$H$1497&gt;=GRID_FROM)*('Dvd Calendar'!$H$1497&lt;=GRID_TO)*('Dvd Calendar'!$H$1497&gt;VAL_DATE)=0,"",'Dvd Calendar'!$H$1497*1000000000+ISNUMBER('Dvd Calendar'!$H$1498)*100000000+0*10000000+(N('Dvd Calendar'!$H$1496)&gt;0)*(N('Dvd Calendar'!$H$1496)&lt;=VAL_SERIAL)*1000000+35*1000+44))</f>
        <v/>
      </c>
      <c r="FW150" s="39">
        <f>IF(N('Dvd Calendar'!$I$1497)=0,"",IF(('Dvd Calendar'!$I$1497&gt;=GRID_FROM)*('Dvd Calendar'!$I$1497&lt;=GRID_TO)*('Dvd Calendar'!$I$1497&gt;VAL_DATE)=0,"",'Dvd Calendar'!$I$1497*1000000000+ISNUMBER('Dvd Calendar'!$I$1498)*100000000+0*10000000+(N('Dvd Calendar'!$I$1496)&gt;0)*(N('Dvd Calendar'!$I$1496)&lt;=VAL_SERIAL)*1000000+35*1000+45))</f>
        <v/>
      </c>
      <c r="FX150" s="39">
        <f>IF(N('Dvd Calendar'!$J$1497)=0,"",IF(('Dvd Calendar'!$J$1497&gt;=GRID_FROM)*('Dvd Calendar'!$J$1497&lt;=GRID_TO)*('Dvd Calendar'!$J$1497&gt;VAL_DATE)=0,"",'Dvd Calendar'!$J$1497*1000000000+ISNUMBER('Dvd Calendar'!$J$1498)*100000000+0*10000000+(N('Dvd Calendar'!$J$1496)&gt;0)*(N('Dvd Calendar'!$J$1496)&lt;=VAL_SERIAL)*1000000+35*1000+46))</f>
        <v/>
      </c>
      <c r="FY150" s="39">
        <f>IF(N('Dvd Calendar'!$K$1497)=0,"",IF(('Dvd Calendar'!$K$1497&gt;=GRID_FROM)*('Dvd Calendar'!$K$1497&lt;=GRID_TO)*('Dvd Calendar'!$K$1497&gt;VAL_DATE)=0,"",'Dvd Calendar'!$K$1497*1000000000+ISNUMBER('Dvd Calendar'!$K$1498)*100000000+0*10000000+(N('Dvd Calendar'!$K$1496)&gt;0)*(N('Dvd Calendar'!$K$1496)&lt;=VAL_SERIAL)*1000000+35*1000+47))</f>
        <v/>
      </c>
      <c r="FZ150" s="39">
        <f>IF(N('Dvd Calendar'!$L$1497)=0,"",IF(('Dvd Calendar'!$L$1497&gt;=GRID_FROM)*('Dvd Calendar'!$L$1497&lt;=GRID_TO)*('Dvd Calendar'!$L$1497&gt;VAL_DATE)=0,"",'Dvd Calendar'!$L$1497*1000000000+ISNUMBER('Dvd Calendar'!$L$1498)*100000000+0*10000000+(N('Dvd Calendar'!$L$1496)&gt;0)*(N('Dvd Calendar'!$L$1496)&lt;=VAL_SERIAL)*1000000+35*1000+48))</f>
        <v/>
      </c>
      <c r="GA150" s="39">
        <f>IF(N('Dvd Calendar'!$M$1497)=0,"",IF(('Dvd Calendar'!$M$1497&gt;=GRID_FROM)*('Dvd Calendar'!$M$1497&lt;=GRID_TO)*('Dvd Calendar'!$M$1497&gt;VAL_DATE)=0,"",'Dvd Calendar'!$M$1497*1000000000+ISNUMBER('Dvd Calendar'!$M$1498)*100000000+0*10000000+(N('Dvd Calendar'!$M$1496)&gt;0)*(N('Dvd Calendar'!$M$1496)&lt;=VAL_SERIAL)*1000000+35*1000+49))</f>
        <v/>
      </c>
      <c r="GB150" s="39">
        <f>IF(N('Dvd Calendar'!$N$1497)=0,"",IF(('Dvd Calendar'!$N$1497&gt;=GRID_FROM)*('Dvd Calendar'!$N$1497&lt;=GRID_TO)*('Dvd Calendar'!$N$1497&gt;VAL_DATE)=0,"",'Dvd Calendar'!$N$1497*1000000000+ISNUMBER('Dvd Calendar'!$N$1498)*100000000+0*10000000+(N('Dvd Calendar'!$N$1496)&gt;0)*(N('Dvd Calendar'!$N$1496)&lt;=VAL_SERIAL)*1000000+35*1000+50))</f>
        <v/>
      </c>
      <c r="GC150" s="39">
        <f>IF(N('Dvd Calendar'!$O$1497)=0,"",IF(('Dvd Calendar'!$O$1497&gt;=GRID_FROM)*('Dvd Calendar'!$O$1497&lt;=GRID_TO)*('Dvd Calendar'!$O$1497&gt;VAL_DATE)=0,"",'Dvd Calendar'!$O$1497*1000000000+ISNUMBER('Dvd Calendar'!$O$1498)*100000000+0*10000000+(N('Dvd Calendar'!$O$1496)&gt;0)*(N('Dvd Calendar'!$O$1496)&lt;=VAL_SERIAL)*1000000+35*1000+51))</f>
        <v/>
      </c>
      <c r="GD150" s="39">
        <f>IF(N('Dvd Calendar'!$P$1497)=0,"",IF(('Dvd Calendar'!$P$1497&gt;=GRID_FROM)*('Dvd Calendar'!$P$1497&lt;=GRID_TO)*('Dvd Calendar'!$P$1497&gt;VAL_DATE)=0,"",'Dvd Calendar'!$P$1497*1000000000+ISNUMBER('Dvd Calendar'!$P$1498)*100000000+0*10000000+(N('Dvd Calendar'!$P$1496)&gt;0)*(N('Dvd Calendar'!$P$1496)&lt;=VAL_SERIAL)*1000000+35*1000+52))</f>
        <v/>
      </c>
      <c r="GE150" s="39">
        <f>IF(N('Dvd Calendar'!$Q$1497)=0,"",IF(('Dvd Calendar'!$Q$1497&gt;=GRID_FROM)*('Dvd Calendar'!$Q$1497&lt;=GRID_TO)*('Dvd Calendar'!$Q$1497&gt;VAL_DATE)=0,"",'Dvd Calendar'!$Q$1497*1000000000+ISNUMBER('Dvd Calendar'!$Q$1498)*100000000+0*10000000+(N('Dvd Calendar'!$Q$1496)&gt;0)*(N('Dvd Calendar'!$Q$1496)&lt;=VAL_SERIAL)*1000000+35*1000+53))</f>
        <v/>
      </c>
      <c r="GF150" s="39">
        <f>IF(N('Dvd Calendar'!$R$1497)=0,"",IF(('Dvd Calendar'!$R$1497&gt;=GRID_FROM)*('Dvd Calendar'!$R$1497&lt;=GRID_TO)*('Dvd Calendar'!$R$1497&gt;VAL_DATE)=0,"",'Dvd Calendar'!$R$1497*1000000000+ISNUMBER('Dvd Calendar'!$R$1498)*100000000+0*10000000+(N('Dvd Calendar'!$R$1496)&gt;0)*(N('Dvd Calendar'!$R$1496)&lt;=VAL_SERIAL)*1000000+35*1000+54))</f>
        <v/>
      </c>
      <c r="GG150" s="39">
        <f>IF(N('Dvd Calendar'!$S$1497)=0,"",IF(('Dvd Calendar'!$S$1497&gt;=GRID_FROM)*('Dvd Calendar'!$S$1497&lt;=GRID_TO)*('Dvd Calendar'!$S$1497&gt;VAL_DATE)=0,"",'Dvd Calendar'!$S$1497*1000000000+ISNUMBER('Dvd Calendar'!$S$1498)*100000000+0*10000000+(N('Dvd Calendar'!$S$1496)&gt;0)*(N('Dvd Calendar'!$S$1496)&lt;=VAL_SERIAL)*1000000+35*1000+55))</f>
        <v/>
      </c>
      <c r="GH150" s="39">
        <f>IF(N('Dvd Calendar'!$T$1497)=0,"",IF(('Dvd Calendar'!$T$1497&gt;=GRID_FROM)*('Dvd Calendar'!$T$1497&lt;=GRID_TO)*('Dvd Calendar'!$T$1497&gt;VAL_DATE)=0,"",'Dvd Calendar'!$T$1497*1000000000+ISNUMBER('Dvd Calendar'!$T$1498)*100000000+0*10000000+(N('Dvd Calendar'!$T$1496)&gt;0)*(N('Dvd Calendar'!$T$1496)&lt;=VAL_SERIAL)*1000000+35*1000+56))</f>
        <v/>
      </c>
      <c r="GI150" s="39">
        <f>IF(N('Dvd Calendar'!$U$1497)=0,"",IF(('Dvd Calendar'!$U$1497&gt;=GRID_FROM)*('Dvd Calendar'!$U$1497&lt;=GRID_TO)*('Dvd Calendar'!$U$1497&gt;VAL_DATE)=0,"",'Dvd Calendar'!$U$1497*1000000000+ISNUMBER('Dvd Calendar'!$U$1498)*100000000+0*10000000+(N('Dvd Calendar'!$U$1496)&gt;0)*(N('Dvd Calendar'!$U$1496)&lt;=VAL_SERIAL)*1000000+35*1000+57))</f>
        <v/>
      </c>
      <c r="GJ150" s="39">
        <f>IF(N('Dvd Calendar'!$V$1497)=0,"",IF(('Dvd Calendar'!$V$1497&gt;=GRID_FROM)*('Dvd Calendar'!$V$1497&lt;=GRID_TO)*('Dvd Calendar'!$V$1497&gt;VAL_DATE)=0,"",'Dvd Calendar'!$V$1497*1000000000+ISNUMBER('Dvd Calendar'!$V$1498)*100000000+0*10000000+(N('Dvd Calendar'!$V$1496)&gt;0)*(N('Dvd Calendar'!$V$1496)&lt;=VAL_SERIAL)*1000000+35*1000+58))</f>
        <v/>
      </c>
      <c r="GK150" s="39">
        <f>IF(N('Dvd Calendar'!$W$1497)=0,"",IF(('Dvd Calendar'!$W$1497&gt;=GRID_FROM)*('Dvd Calendar'!$W$1497&lt;=GRID_TO)*('Dvd Calendar'!$W$1497&gt;VAL_DATE)=0,"",'Dvd Calendar'!$W$1497*1000000000+ISNUMBER('Dvd Calendar'!$W$1498)*100000000+0*10000000+(N('Dvd Calendar'!$W$1496)&gt;0)*(N('Dvd Calendar'!$W$1496)&lt;=VAL_SERIAL)*1000000+35*1000+59))</f>
        <v/>
      </c>
      <c r="GL150" s="39">
        <f>IF(N('Dvd Calendar'!$X$1497)=0,"",IF(('Dvd Calendar'!$X$1497&gt;=GRID_FROM)*('Dvd Calendar'!$X$1497&lt;=GRID_TO)*('Dvd Calendar'!$X$1497&gt;VAL_DATE)=0,"",'Dvd Calendar'!$X$1497*1000000000+ISNUMBER('Dvd Calendar'!$X$1498)*100000000+0*10000000+(N('Dvd Calendar'!$X$1496)&gt;0)*(N('Dvd Calendar'!$X$1496)&lt;=VAL_SERIAL)*1000000+35*1000+60))</f>
        <v/>
      </c>
      <c r="GM150" s="39">
        <f>IF(N('Dvd Calendar'!$Y$1497)=0,"",IF(('Dvd Calendar'!$Y$1497&gt;=GRID_FROM)*('Dvd Calendar'!$Y$1497&lt;=GRID_TO)*('Dvd Calendar'!$Y$1497&gt;VAL_DATE)=0,"",'Dvd Calendar'!$Y$1497*1000000000+ISNUMBER('Dvd Calendar'!$Y$1498)*100000000+0*10000000+(N('Dvd Calendar'!$Y$1496)&gt;0)*(N('Dvd Calendar'!$Y$1496)&lt;=VAL_SERIAL)*1000000+35*1000+61))</f>
        <v/>
      </c>
      <c r="GN150" s="39">
        <f>IF(N('Dvd Calendar'!$Z$1497)=0,"",IF(('Dvd Calendar'!$Z$1497&gt;=GRID_FROM)*('Dvd Calendar'!$Z$1497&lt;=GRID_TO)*('Dvd Calendar'!$Z$1497&gt;VAL_DATE)=0,"",'Dvd Calendar'!$Z$1497*1000000000+ISNUMBER('Dvd Calendar'!$Z$1498)*100000000+0*10000000+(N('Dvd Calendar'!$Z$1496)&gt;0)*(N('Dvd Calendar'!$Z$1496)&lt;=VAL_SERIAL)*1000000+35*1000+62))</f>
        <v/>
      </c>
      <c r="GO150" s="39">
        <f>IF(N('Dvd Calendar'!$AA$1497)=0,"",IF(('Dvd Calendar'!$AA$1497&gt;=GRID_FROM)*('Dvd Calendar'!$AA$1497&lt;=GRID_TO)*('Dvd Calendar'!$AA$1497&gt;VAL_DATE)=0,"",'Dvd Calendar'!$AA$1497*1000000000+ISNUMBER('Dvd Calendar'!$AA$1498)*100000000+0*10000000+(N('Dvd Calendar'!$AA$1496)&gt;0)*(N('Dvd Calendar'!$AA$1496)&lt;=VAL_SERIAL)*1000000+35*1000+63))</f>
        <v/>
      </c>
      <c r="GP150" s="39">
        <f>IF(N('Dvd Calendar'!$AB$1497)=0,"",IF(('Dvd Calendar'!$AB$1497&gt;=GRID_FROM)*('Dvd Calendar'!$AB$1497&lt;=GRID_TO)*('Dvd Calendar'!$AB$1497&gt;VAL_DATE)=0,"",'Dvd Calendar'!$AB$1497*1000000000+ISNUMBER('Dvd Calendar'!$AB$1498)*100000000+0*10000000+(N('Dvd Calendar'!$AB$1496)&gt;0)*(N('Dvd Calendar'!$AB$1496)&lt;=VAL_SERIAL)*1000000+35*1000+64))</f>
        <v/>
      </c>
      <c r="GQ150" s="39">
        <f>IF(N('Dvd Calendar'!$AC$1497)=0,"",IF(('Dvd Calendar'!$AC$1497&gt;=GRID_FROM)*('Dvd Calendar'!$AC$1497&lt;=GRID_TO)*('Dvd Calendar'!$AC$1497&gt;VAL_DATE)=0,"",'Dvd Calendar'!$AC$1497*1000000000+ISNUMBER('Dvd Calendar'!$AC$1498)*100000000+0*10000000+(N('Dvd Calendar'!$AC$1496)&gt;0)*(N('Dvd Calendar'!$AC$1496)&lt;=VAL_SERIAL)*1000000+35*1000+65))</f>
        <v/>
      </c>
    </row>
    <row r="151">
      <c r="B151" s="2">
        <f>IF(HSTECH!$C$42="","",HSTECH!$C$42)</f>
        <v/>
      </c>
      <c r="C151" s="110">
        <f>IF(EE151="","",IF(ISNUMBER('Dvd Calendar'!$E$1504)=FALSE,"",IF((('Dvd Calendar'!$E$1506=TYPE1)*(TYPE1&lt;&gt;"")+('Dvd Calendar'!$E$1506=TYPE2)*(TYPE2&lt;&gt;"")+('Dvd Calendar'!$E$1506=TYPE3)*(TYPE3&lt;&gt;"")+('Dvd Calendar'!$E$1506=TYPE4)*(TYPE4&lt;&gt;"")+('Dvd Calendar'!$E$1506=SPECIAL_LBL)*(INC_SPECIALS="Y"))=0,"",'Dvd Calendar'!$E$1504)))</f>
        <v/>
      </c>
      <c r="D151" s="110">
        <f>IF(EF151="","",IF(ISNUMBER('Dvd Calendar'!$F$1504)=FALSE,"",IF((('Dvd Calendar'!$F$1506=TYPE1)*(TYPE1&lt;&gt;"")+('Dvd Calendar'!$F$1506=TYPE2)*(TYPE2&lt;&gt;"")+('Dvd Calendar'!$F$1506=TYPE3)*(TYPE3&lt;&gt;"")+('Dvd Calendar'!$F$1506=TYPE4)*(TYPE4&lt;&gt;"")+('Dvd Calendar'!$F$1506=SPECIAL_LBL)*(INC_SPECIALS="Y"))=0,"",'Dvd Calendar'!$F$1504)))</f>
        <v/>
      </c>
      <c r="E151" s="110">
        <f>IF(EG151="","",IF(ISNUMBER('Dvd Calendar'!$G$1504)=FALSE,"",IF((('Dvd Calendar'!$G$1506=TYPE1)*(TYPE1&lt;&gt;"")+('Dvd Calendar'!$G$1506=TYPE2)*(TYPE2&lt;&gt;"")+('Dvd Calendar'!$G$1506=TYPE3)*(TYPE3&lt;&gt;"")+('Dvd Calendar'!$G$1506=TYPE4)*(TYPE4&lt;&gt;"")+('Dvd Calendar'!$G$1506=SPECIAL_LBL)*(INC_SPECIALS="Y"))=0,"",'Dvd Calendar'!$G$1504)))</f>
        <v/>
      </c>
      <c r="F151" s="110">
        <f>IF(EH151="","",IF(ISNUMBER('Dvd Calendar'!$H$1504)=FALSE,"",IF((('Dvd Calendar'!$H$1506=TYPE1)*(TYPE1&lt;&gt;"")+('Dvd Calendar'!$H$1506=TYPE2)*(TYPE2&lt;&gt;"")+('Dvd Calendar'!$H$1506=TYPE3)*(TYPE3&lt;&gt;"")+('Dvd Calendar'!$H$1506=TYPE4)*(TYPE4&lt;&gt;"")+('Dvd Calendar'!$H$1506=SPECIAL_LBL)*(INC_SPECIALS="Y"))=0,"",'Dvd Calendar'!$H$1504)))</f>
        <v/>
      </c>
      <c r="G151" s="110">
        <f>IF(EI151="","",IF(ISNUMBER('Dvd Calendar'!$I$1504)=FALSE,"",IF((('Dvd Calendar'!$I$1506=TYPE1)*(TYPE1&lt;&gt;"")+('Dvd Calendar'!$I$1506=TYPE2)*(TYPE2&lt;&gt;"")+('Dvd Calendar'!$I$1506=TYPE3)*(TYPE3&lt;&gt;"")+('Dvd Calendar'!$I$1506=TYPE4)*(TYPE4&lt;&gt;"")+('Dvd Calendar'!$I$1506=SPECIAL_LBL)*(INC_SPECIALS="Y"))=0,"",'Dvd Calendar'!$I$1504)))</f>
        <v/>
      </c>
      <c r="H151" s="110">
        <f>IF(EJ151="","",IF(ISNUMBER('Dvd Calendar'!$J$1504)=FALSE,"",IF((('Dvd Calendar'!$J$1506=TYPE1)*(TYPE1&lt;&gt;"")+('Dvd Calendar'!$J$1506=TYPE2)*(TYPE2&lt;&gt;"")+('Dvd Calendar'!$J$1506=TYPE3)*(TYPE3&lt;&gt;"")+('Dvd Calendar'!$J$1506=TYPE4)*(TYPE4&lt;&gt;"")+('Dvd Calendar'!$J$1506=SPECIAL_LBL)*(INC_SPECIALS="Y"))=0,"",'Dvd Calendar'!$J$1504)))</f>
        <v/>
      </c>
      <c r="I151" s="110">
        <f>IF(EK151="","",IF(ISNUMBER('Dvd Calendar'!$K$1504)=FALSE,"",IF((('Dvd Calendar'!$K$1506=TYPE1)*(TYPE1&lt;&gt;"")+('Dvd Calendar'!$K$1506=TYPE2)*(TYPE2&lt;&gt;"")+('Dvd Calendar'!$K$1506=TYPE3)*(TYPE3&lt;&gt;"")+('Dvd Calendar'!$K$1506=TYPE4)*(TYPE4&lt;&gt;"")+('Dvd Calendar'!$K$1506=SPECIAL_LBL)*(INC_SPECIALS="Y"))=0,"",'Dvd Calendar'!$K$1504)))</f>
        <v/>
      </c>
      <c r="J151" s="110">
        <f>IF(EL151="","",IF(ISNUMBER('Dvd Calendar'!$L$1504)=FALSE,"",IF((('Dvd Calendar'!$L$1506=TYPE1)*(TYPE1&lt;&gt;"")+('Dvd Calendar'!$L$1506=TYPE2)*(TYPE2&lt;&gt;"")+('Dvd Calendar'!$L$1506=TYPE3)*(TYPE3&lt;&gt;"")+('Dvd Calendar'!$L$1506=TYPE4)*(TYPE4&lt;&gt;"")+('Dvd Calendar'!$L$1506=SPECIAL_LBL)*(INC_SPECIALS="Y"))=0,"",'Dvd Calendar'!$L$1504)))</f>
        <v/>
      </c>
      <c r="K151" s="110">
        <f>IF(EM151="","",IF(ISNUMBER('Dvd Calendar'!$M$1504)=FALSE,"",IF((('Dvd Calendar'!$M$1506=TYPE1)*(TYPE1&lt;&gt;"")+('Dvd Calendar'!$M$1506=TYPE2)*(TYPE2&lt;&gt;"")+('Dvd Calendar'!$M$1506=TYPE3)*(TYPE3&lt;&gt;"")+('Dvd Calendar'!$M$1506=TYPE4)*(TYPE4&lt;&gt;"")+('Dvd Calendar'!$M$1506=SPECIAL_LBL)*(INC_SPECIALS="Y"))=0,"",'Dvd Calendar'!$M$1504)))</f>
        <v/>
      </c>
      <c r="L151" s="110">
        <f>IF(EN151="","",IF(ISNUMBER('Dvd Calendar'!$N$1504)=FALSE,"",IF((('Dvd Calendar'!$N$1506=TYPE1)*(TYPE1&lt;&gt;"")+('Dvd Calendar'!$N$1506=TYPE2)*(TYPE2&lt;&gt;"")+('Dvd Calendar'!$N$1506=TYPE3)*(TYPE3&lt;&gt;"")+('Dvd Calendar'!$N$1506=TYPE4)*(TYPE4&lt;&gt;"")+('Dvd Calendar'!$N$1506=SPECIAL_LBL)*(INC_SPECIALS="Y"))=0,"",'Dvd Calendar'!$N$1504)))</f>
        <v/>
      </c>
      <c r="M151" s="110">
        <f>IF(EO151="","",IF(ISNUMBER('Dvd Calendar'!$O$1504)=FALSE,"",IF((('Dvd Calendar'!$O$1506=TYPE1)*(TYPE1&lt;&gt;"")+('Dvd Calendar'!$O$1506=TYPE2)*(TYPE2&lt;&gt;"")+('Dvd Calendar'!$O$1506=TYPE3)*(TYPE3&lt;&gt;"")+('Dvd Calendar'!$O$1506=TYPE4)*(TYPE4&lt;&gt;"")+('Dvd Calendar'!$O$1506=SPECIAL_LBL)*(INC_SPECIALS="Y"))=0,"",'Dvd Calendar'!$O$1504)))</f>
        <v/>
      </c>
      <c r="N151" s="110">
        <f>IF(EP151="","",IF(ISNUMBER('Dvd Calendar'!$P$1504)=FALSE,"",IF((('Dvd Calendar'!$P$1506=TYPE1)*(TYPE1&lt;&gt;"")+('Dvd Calendar'!$P$1506=TYPE2)*(TYPE2&lt;&gt;"")+('Dvd Calendar'!$P$1506=TYPE3)*(TYPE3&lt;&gt;"")+('Dvd Calendar'!$P$1506=TYPE4)*(TYPE4&lt;&gt;"")+('Dvd Calendar'!$P$1506=SPECIAL_LBL)*(INC_SPECIALS="Y"))=0,"",'Dvd Calendar'!$P$1504)))</f>
        <v/>
      </c>
      <c r="O151" s="110">
        <f>IF(EQ151="","",IF(ISNUMBER('Dvd Calendar'!$Q$1504)=FALSE,"",IF((('Dvd Calendar'!$Q$1506=TYPE1)*(TYPE1&lt;&gt;"")+('Dvd Calendar'!$Q$1506=TYPE2)*(TYPE2&lt;&gt;"")+('Dvd Calendar'!$Q$1506=TYPE3)*(TYPE3&lt;&gt;"")+('Dvd Calendar'!$Q$1506=TYPE4)*(TYPE4&lt;&gt;"")+('Dvd Calendar'!$Q$1506=SPECIAL_LBL)*(INC_SPECIALS="Y"))=0,"",'Dvd Calendar'!$Q$1504)))</f>
        <v/>
      </c>
      <c r="P151" s="110">
        <f>IF(ER151="","",IF(ISNUMBER('Dvd Calendar'!$R$1504)=FALSE,"",IF((('Dvd Calendar'!$R$1506=TYPE1)*(TYPE1&lt;&gt;"")+('Dvd Calendar'!$R$1506=TYPE2)*(TYPE2&lt;&gt;"")+('Dvd Calendar'!$R$1506=TYPE3)*(TYPE3&lt;&gt;"")+('Dvd Calendar'!$R$1506=TYPE4)*(TYPE4&lt;&gt;"")+('Dvd Calendar'!$R$1506=SPECIAL_LBL)*(INC_SPECIALS="Y"))=0,"",'Dvd Calendar'!$R$1504)))</f>
        <v/>
      </c>
      <c r="Q151" s="110">
        <f>IF(ES151="","",IF(ISNUMBER('Dvd Calendar'!$S$1504)=FALSE,"",IF((('Dvd Calendar'!$S$1506=TYPE1)*(TYPE1&lt;&gt;"")+('Dvd Calendar'!$S$1506=TYPE2)*(TYPE2&lt;&gt;"")+('Dvd Calendar'!$S$1506=TYPE3)*(TYPE3&lt;&gt;"")+('Dvd Calendar'!$S$1506=TYPE4)*(TYPE4&lt;&gt;"")+('Dvd Calendar'!$S$1506=SPECIAL_LBL)*(INC_SPECIALS="Y"))=0,"",'Dvd Calendar'!$S$1504)))</f>
        <v/>
      </c>
      <c r="R151" s="110">
        <f>IF(ET151="","",IF(ISNUMBER('Dvd Calendar'!$T$1504)=FALSE,"",IF((('Dvd Calendar'!$T$1506=TYPE1)*(TYPE1&lt;&gt;"")+('Dvd Calendar'!$T$1506=TYPE2)*(TYPE2&lt;&gt;"")+('Dvd Calendar'!$T$1506=TYPE3)*(TYPE3&lt;&gt;"")+('Dvd Calendar'!$T$1506=TYPE4)*(TYPE4&lt;&gt;"")+('Dvd Calendar'!$T$1506=SPECIAL_LBL)*(INC_SPECIALS="Y"))=0,"",'Dvd Calendar'!$T$1504)))</f>
        <v/>
      </c>
      <c r="S151" s="110">
        <f>IF(EU151="","",IF(ISNUMBER('Dvd Calendar'!$U$1504)=FALSE,"",IF((('Dvd Calendar'!$U$1506=TYPE1)*(TYPE1&lt;&gt;"")+('Dvd Calendar'!$U$1506=TYPE2)*(TYPE2&lt;&gt;"")+('Dvd Calendar'!$U$1506=TYPE3)*(TYPE3&lt;&gt;"")+('Dvd Calendar'!$U$1506=TYPE4)*(TYPE4&lt;&gt;"")+('Dvd Calendar'!$U$1506=SPECIAL_LBL)*(INC_SPECIALS="Y"))=0,"",'Dvd Calendar'!$U$1504)))</f>
        <v/>
      </c>
      <c r="T151" s="110">
        <f>IF(EV151="","",IF(ISNUMBER('Dvd Calendar'!$V$1504)=FALSE,"",IF((('Dvd Calendar'!$V$1506=TYPE1)*(TYPE1&lt;&gt;"")+('Dvd Calendar'!$V$1506=TYPE2)*(TYPE2&lt;&gt;"")+('Dvd Calendar'!$V$1506=TYPE3)*(TYPE3&lt;&gt;"")+('Dvd Calendar'!$V$1506=TYPE4)*(TYPE4&lt;&gt;"")+('Dvd Calendar'!$V$1506=SPECIAL_LBL)*(INC_SPECIALS="Y"))=0,"",'Dvd Calendar'!$V$1504)))</f>
        <v/>
      </c>
      <c r="U151" s="110">
        <f>IF(EW151="","",IF(ISNUMBER('Dvd Calendar'!$W$1504)=FALSE,"",IF((('Dvd Calendar'!$W$1506=TYPE1)*(TYPE1&lt;&gt;"")+('Dvd Calendar'!$W$1506=TYPE2)*(TYPE2&lt;&gt;"")+('Dvd Calendar'!$W$1506=TYPE3)*(TYPE3&lt;&gt;"")+('Dvd Calendar'!$W$1506=TYPE4)*(TYPE4&lt;&gt;"")+('Dvd Calendar'!$W$1506=SPECIAL_LBL)*(INC_SPECIALS="Y"))=0,"",'Dvd Calendar'!$W$1504)))</f>
        <v/>
      </c>
      <c r="V151" s="110">
        <f>IF(EX151="","",IF(ISNUMBER('Dvd Calendar'!$X$1504)=FALSE,"",IF((('Dvd Calendar'!$X$1506=TYPE1)*(TYPE1&lt;&gt;"")+('Dvd Calendar'!$X$1506=TYPE2)*(TYPE2&lt;&gt;"")+('Dvd Calendar'!$X$1506=TYPE3)*(TYPE3&lt;&gt;"")+('Dvd Calendar'!$X$1506=TYPE4)*(TYPE4&lt;&gt;"")+('Dvd Calendar'!$X$1506=SPECIAL_LBL)*(INC_SPECIALS="Y"))=0,"",'Dvd Calendar'!$X$1504)))</f>
        <v/>
      </c>
      <c r="W151" s="110">
        <f>IF(EY151="","",IF(ISNUMBER('Dvd Calendar'!$Y$1504)=FALSE,"",IF((('Dvd Calendar'!$Y$1506=TYPE1)*(TYPE1&lt;&gt;"")+('Dvd Calendar'!$Y$1506=TYPE2)*(TYPE2&lt;&gt;"")+('Dvd Calendar'!$Y$1506=TYPE3)*(TYPE3&lt;&gt;"")+('Dvd Calendar'!$Y$1506=TYPE4)*(TYPE4&lt;&gt;"")+('Dvd Calendar'!$Y$1506=SPECIAL_LBL)*(INC_SPECIALS="Y"))=0,"",'Dvd Calendar'!$Y$1504)))</f>
        <v/>
      </c>
      <c r="X151" s="110">
        <f>IF(EZ151="","",IF(ISNUMBER('Dvd Calendar'!$Z$1504)=FALSE,"",IF((('Dvd Calendar'!$Z$1506=TYPE1)*(TYPE1&lt;&gt;"")+('Dvd Calendar'!$Z$1506=TYPE2)*(TYPE2&lt;&gt;"")+('Dvd Calendar'!$Z$1506=TYPE3)*(TYPE3&lt;&gt;"")+('Dvd Calendar'!$Z$1506=TYPE4)*(TYPE4&lt;&gt;"")+('Dvd Calendar'!$Z$1506=SPECIAL_LBL)*(INC_SPECIALS="Y"))=0,"",'Dvd Calendar'!$Z$1504)))</f>
        <v/>
      </c>
      <c r="Y151" s="110">
        <f>IF(FA151="","",IF(ISNUMBER('Dvd Calendar'!$AA$1504)=FALSE,"",IF((('Dvd Calendar'!$AA$1506=TYPE1)*(TYPE1&lt;&gt;"")+('Dvd Calendar'!$AA$1506=TYPE2)*(TYPE2&lt;&gt;"")+('Dvd Calendar'!$AA$1506=TYPE3)*(TYPE3&lt;&gt;"")+('Dvd Calendar'!$AA$1506=TYPE4)*(TYPE4&lt;&gt;"")+('Dvd Calendar'!$AA$1506=SPECIAL_LBL)*(INC_SPECIALS="Y"))=0,"",'Dvd Calendar'!$AA$1504)))</f>
        <v/>
      </c>
      <c r="Z151" s="110">
        <f>IF(FB151="","",IF(ISNUMBER('Dvd Calendar'!$AB$1504)=FALSE,"",IF((('Dvd Calendar'!$AB$1506=TYPE1)*(TYPE1&lt;&gt;"")+('Dvd Calendar'!$AB$1506=TYPE2)*(TYPE2&lt;&gt;"")+('Dvd Calendar'!$AB$1506=TYPE3)*(TYPE3&lt;&gt;"")+('Dvd Calendar'!$AB$1506=TYPE4)*(TYPE4&lt;&gt;"")+('Dvd Calendar'!$AB$1506=SPECIAL_LBL)*(INC_SPECIALS="Y"))=0,"",'Dvd Calendar'!$AB$1504)))</f>
        <v/>
      </c>
      <c r="AA151" s="110">
        <f>IF(FC151="","",IF(ISNUMBER('Dvd Calendar'!$AC$1504)=FALSE,"",IF((('Dvd Calendar'!$AC$1506=TYPE1)*(TYPE1&lt;&gt;"")+('Dvd Calendar'!$AC$1506=TYPE2)*(TYPE2&lt;&gt;"")+('Dvd Calendar'!$AC$1506=TYPE3)*(TYPE3&lt;&gt;"")+('Dvd Calendar'!$AC$1506=TYPE4)*(TYPE4&lt;&gt;"")+('Dvd Calendar'!$AC$1506=SPECIAL_LBL)*(INC_SPECIALS="Y"))=0,"",'Dvd Calendar'!$AC$1504)))</f>
        <v/>
      </c>
      <c r="AB151" s="110">
        <f>IF(FD151="","",IF(ISNUMBER('Dvd Calendar'!$AD$1504)=FALSE,"",IF((('Dvd Calendar'!$AD$1506=TYPE1)*(TYPE1&lt;&gt;"")+('Dvd Calendar'!$AD$1506=TYPE2)*(TYPE2&lt;&gt;"")+('Dvd Calendar'!$AD$1506=TYPE3)*(TYPE3&lt;&gt;"")+('Dvd Calendar'!$AD$1506=TYPE4)*(TYPE4&lt;&gt;"")+('Dvd Calendar'!$AD$1506=SPECIAL_LBL)*(INC_SPECIALS="Y"))=0,"",'Dvd Calendar'!$AD$1504)))</f>
        <v/>
      </c>
      <c r="AC151" s="110">
        <f>IF(FE151="","",IF(ISNUMBER('Dvd Calendar'!$AE$1504)=FALSE,"",IF((('Dvd Calendar'!$AE$1506=TYPE1)*(TYPE1&lt;&gt;"")+('Dvd Calendar'!$AE$1506=TYPE2)*(TYPE2&lt;&gt;"")+('Dvd Calendar'!$AE$1506=TYPE3)*(TYPE3&lt;&gt;"")+('Dvd Calendar'!$AE$1506=TYPE4)*(TYPE4&lt;&gt;"")+('Dvd Calendar'!$AE$1506=SPECIAL_LBL)*(INC_SPECIALS="Y"))=0,"",'Dvd Calendar'!$AE$1504)))</f>
        <v/>
      </c>
      <c r="AD151" s="110">
        <f>IF(FF151="","",IF(ISNUMBER('Dvd Calendar'!$AF$1504)=FALSE,"",IF((('Dvd Calendar'!$AF$1506=TYPE1)*(TYPE1&lt;&gt;"")+('Dvd Calendar'!$AF$1506=TYPE2)*(TYPE2&lt;&gt;"")+('Dvd Calendar'!$AF$1506=TYPE3)*(TYPE3&lt;&gt;"")+('Dvd Calendar'!$AF$1506=TYPE4)*(TYPE4&lt;&gt;"")+('Dvd Calendar'!$AF$1506=SPECIAL_LBL)*(INC_SPECIALS="Y"))=0,"",'Dvd Calendar'!$AF$1504)))</f>
        <v/>
      </c>
      <c r="AE151" s="110">
        <f>IF(FG151="","",IF(ISNUMBER('Dvd Calendar'!$AG$1504)=FALSE,"",IF((('Dvd Calendar'!$AG$1506=TYPE1)*(TYPE1&lt;&gt;"")+('Dvd Calendar'!$AG$1506=TYPE2)*(TYPE2&lt;&gt;"")+('Dvd Calendar'!$AG$1506=TYPE3)*(TYPE3&lt;&gt;"")+('Dvd Calendar'!$AG$1506=TYPE4)*(TYPE4&lt;&gt;"")+('Dvd Calendar'!$AG$1506=SPECIAL_LBL)*(INC_SPECIALS="Y"))=0,"",'Dvd Calendar'!$AG$1504)))</f>
        <v/>
      </c>
      <c r="AF151" s="110">
        <f>IF(FH151="","",IF(ISNUMBER('Dvd Calendar'!$AH$1504)=FALSE,"",IF((('Dvd Calendar'!$AH$1506=TYPE1)*(TYPE1&lt;&gt;"")+('Dvd Calendar'!$AH$1506=TYPE2)*(TYPE2&lt;&gt;"")+('Dvd Calendar'!$AH$1506=TYPE3)*(TYPE3&lt;&gt;"")+('Dvd Calendar'!$AH$1506=TYPE4)*(TYPE4&lt;&gt;"")+('Dvd Calendar'!$AH$1506=SPECIAL_LBL)*(INC_SPECIALS="Y"))=0,"",'Dvd Calendar'!$AH$1504)))</f>
        <v/>
      </c>
      <c r="AG151" s="110">
        <f>IF(FI151="","",IF(ISNUMBER('Dvd Calendar'!$AI$1504)=FALSE,"",IF((('Dvd Calendar'!$AI$1506=TYPE1)*(TYPE1&lt;&gt;"")+('Dvd Calendar'!$AI$1506=TYPE2)*(TYPE2&lt;&gt;"")+('Dvd Calendar'!$AI$1506=TYPE3)*(TYPE3&lt;&gt;"")+('Dvd Calendar'!$AI$1506=TYPE4)*(TYPE4&lt;&gt;"")+('Dvd Calendar'!$AI$1506=SPECIAL_LBL)*(INC_SPECIALS="Y"))=0,"",'Dvd Calendar'!$AI$1504)))</f>
        <v/>
      </c>
      <c r="AH151" s="110">
        <f>IF(FJ151="","",IF(ISNUMBER('Dvd Calendar'!$AJ$1504)=FALSE,"",IF((('Dvd Calendar'!$AJ$1506=TYPE1)*(TYPE1&lt;&gt;"")+('Dvd Calendar'!$AJ$1506=TYPE2)*(TYPE2&lt;&gt;"")+('Dvd Calendar'!$AJ$1506=TYPE3)*(TYPE3&lt;&gt;"")+('Dvd Calendar'!$AJ$1506=TYPE4)*(TYPE4&lt;&gt;"")+('Dvd Calendar'!$AJ$1506=SPECIAL_LBL)*(INC_SPECIALS="Y"))=0,"",'Dvd Calendar'!$AJ$1504)))</f>
        <v/>
      </c>
      <c r="AI151" s="110">
        <f>IF(FK151="","",IF(ISNUMBER('Dvd Calendar'!$AK$1504)=FALSE,"",IF((('Dvd Calendar'!$AK$1506=TYPE1)*(TYPE1&lt;&gt;"")+('Dvd Calendar'!$AK$1506=TYPE2)*(TYPE2&lt;&gt;"")+('Dvd Calendar'!$AK$1506=TYPE3)*(TYPE3&lt;&gt;"")+('Dvd Calendar'!$AK$1506=TYPE4)*(TYPE4&lt;&gt;"")+('Dvd Calendar'!$AK$1506=SPECIAL_LBL)*(INC_SPECIALS="Y"))=0,"",'Dvd Calendar'!$AK$1504)))</f>
        <v/>
      </c>
      <c r="AJ151" s="110">
        <f>IF(FL151="","",IF(ISNUMBER('Dvd Calendar'!$AL$1504)=FALSE,"",IF((('Dvd Calendar'!$AL$1506=TYPE1)*(TYPE1&lt;&gt;"")+('Dvd Calendar'!$AL$1506=TYPE2)*(TYPE2&lt;&gt;"")+('Dvd Calendar'!$AL$1506=TYPE3)*(TYPE3&lt;&gt;"")+('Dvd Calendar'!$AL$1506=TYPE4)*(TYPE4&lt;&gt;"")+('Dvd Calendar'!$AL$1506=SPECIAL_LBL)*(INC_SPECIALS="Y"))=0,"",'Dvd Calendar'!$AL$1504)))</f>
        <v/>
      </c>
      <c r="AK151" s="110">
        <f>IF(FM151="","",IF(ISNUMBER('Dvd Calendar'!$AM$1504)=FALSE,"",IF((('Dvd Calendar'!$AM$1506=TYPE1)*(TYPE1&lt;&gt;"")+('Dvd Calendar'!$AM$1506=TYPE2)*(TYPE2&lt;&gt;"")+('Dvd Calendar'!$AM$1506=TYPE3)*(TYPE3&lt;&gt;"")+('Dvd Calendar'!$AM$1506=TYPE4)*(TYPE4&lt;&gt;"")+('Dvd Calendar'!$AM$1506=SPECIAL_LBL)*(INC_SPECIALS="Y"))=0,"",'Dvd Calendar'!$AM$1504)))</f>
        <v/>
      </c>
      <c r="AL151" s="110">
        <f>IF(FN151="","",IF(ISNUMBER('Dvd Calendar'!$AN$1504)=FALSE,"",IF((('Dvd Calendar'!$AN$1506=TYPE1)*(TYPE1&lt;&gt;"")+('Dvd Calendar'!$AN$1506=TYPE2)*(TYPE2&lt;&gt;"")+('Dvd Calendar'!$AN$1506=TYPE3)*(TYPE3&lt;&gt;"")+('Dvd Calendar'!$AN$1506=TYPE4)*(TYPE4&lt;&gt;"")+('Dvd Calendar'!$AN$1506=SPECIAL_LBL)*(INC_SPECIALS="Y"))=0,"",'Dvd Calendar'!$AN$1504)))</f>
        <v/>
      </c>
      <c r="AM151" s="110">
        <f>IF(FO151="","",IF(ISNUMBER('Dvd Calendar'!$AO$1504)=FALSE,"",IF((('Dvd Calendar'!$AO$1506=TYPE1)*(TYPE1&lt;&gt;"")+('Dvd Calendar'!$AO$1506=TYPE2)*(TYPE2&lt;&gt;"")+('Dvd Calendar'!$AO$1506=TYPE3)*(TYPE3&lt;&gt;"")+('Dvd Calendar'!$AO$1506=TYPE4)*(TYPE4&lt;&gt;"")+('Dvd Calendar'!$AO$1506=SPECIAL_LBL)*(INC_SPECIALS="Y"))=0,"",'Dvd Calendar'!$AO$1504)))</f>
        <v/>
      </c>
      <c r="AN151" s="110">
        <f>IF(FP151="","",IF(ISNUMBER('Dvd Calendar'!$AP$1504)=FALSE,"",IF((('Dvd Calendar'!$AP$1506=TYPE1)*(TYPE1&lt;&gt;"")+('Dvd Calendar'!$AP$1506=TYPE2)*(TYPE2&lt;&gt;"")+('Dvd Calendar'!$AP$1506=TYPE3)*(TYPE3&lt;&gt;"")+('Dvd Calendar'!$AP$1506=TYPE4)*(TYPE4&lt;&gt;"")+('Dvd Calendar'!$AP$1506=SPECIAL_LBL)*(INC_SPECIALS="Y"))=0,"",'Dvd Calendar'!$AP$1504)))</f>
        <v/>
      </c>
      <c r="AO151" s="110">
        <f>IF(FQ151="","",IF(ISNUMBER('Dvd Calendar'!$AQ$1504)=FALSE,"",IF((('Dvd Calendar'!$AQ$1506=TYPE1)*(TYPE1&lt;&gt;"")+('Dvd Calendar'!$AQ$1506=TYPE2)*(TYPE2&lt;&gt;"")+('Dvd Calendar'!$AQ$1506=TYPE3)*(TYPE3&lt;&gt;"")+('Dvd Calendar'!$AQ$1506=TYPE4)*(TYPE4&lt;&gt;"")+('Dvd Calendar'!$AQ$1506=SPECIAL_LBL)*(INC_SPECIALS="Y"))=0,"",'Dvd Calendar'!$AQ$1504)))</f>
        <v/>
      </c>
      <c r="AP151" s="110">
        <f>IF(FR151="","",IF(ISNUMBER('Dvd Calendar'!$AR$1504)=FALSE,"",IF((('Dvd Calendar'!$AR$1506=TYPE1)*(TYPE1&lt;&gt;"")+('Dvd Calendar'!$AR$1506=TYPE2)*(TYPE2&lt;&gt;"")+('Dvd Calendar'!$AR$1506=TYPE3)*(TYPE3&lt;&gt;"")+('Dvd Calendar'!$AR$1506=TYPE4)*(TYPE4&lt;&gt;"")+('Dvd Calendar'!$AR$1506=SPECIAL_LBL)*(INC_SPECIALS="Y"))=0,"",'Dvd Calendar'!$AR$1504)))</f>
        <v/>
      </c>
      <c r="AQ151" s="110">
        <f>IF(FS151="","",IF(ISNUMBER('Dvd Calendar'!$E$1509)=FALSE,"",'Dvd Calendar'!$E$1509))</f>
        <v/>
      </c>
      <c r="AR151" s="110">
        <f>IF(FT151="","",IF(ISNUMBER('Dvd Calendar'!$F$1509)=FALSE,"",'Dvd Calendar'!$F$1509))</f>
        <v/>
      </c>
      <c r="AS151" s="110">
        <f>IF(FU151="","",IF(ISNUMBER('Dvd Calendar'!$G$1509)=FALSE,"",'Dvd Calendar'!$G$1509))</f>
        <v/>
      </c>
      <c r="AT151" s="110">
        <f>IF(FV151="","",IF(ISNUMBER('Dvd Calendar'!$H$1509)=FALSE,"",'Dvd Calendar'!$H$1509))</f>
        <v/>
      </c>
      <c r="AU151" s="110">
        <f>IF(FW151="","",IF(ISNUMBER('Dvd Calendar'!$I$1509)=FALSE,"",'Dvd Calendar'!$I$1509))</f>
        <v/>
      </c>
      <c r="AV151" s="110">
        <f>IF(FX151="","",IF(ISNUMBER('Dvd Calendar'!$J$1509)=FALSE,"",'Dvd Calendar'!$J$1509))</f>
        <v/>
      </c>
      <c r="AW151" s="110">
        <f>IF(FY151="","",IF(ISNUMBER('Dvd Calendar'!$K$1509)=FALSE,"",'Dvd Calendar'!$K$1509))</f>
        <v/>
      </c>
      <c r="AX151" s="110">
        <f>IF(FZ151="","",IF(ISNUMBER('Dvd Calendar'!$L$1509)=FALSE,"",'Dvd Calendar'!$L$1509))</f>
        <v/>
      </c>
      <c r="AY151" s="110">
        <f>IF(GA151="","",IF(ISNUMBER('Dvd Calendar'!$M$1509)=FALSE,"",'Dvd Calendar'!$M$1509))</f>
        <v/>
      </c>
      <c r="AZ151" s="110">
        <f>IF(GB151="","",IF(ISNUMBER('Dvd Calendar'!$N$1509)=FALSE,"",'Dvd Calendar'!$N$1509))</f>
        <v/>
      </c>
      <c r="BA151" s="110">
        <f>IF(GC151="","",IF(ISNUMBER('Dvd Calendar'!$O$1509)=FALSE,"",'Dvd Calendar'!$O$1509))</f>
        <v/>
      </c>
      <c r="BB151" s="110">
        <f>IF(GD151="","",IF(ISNUMBER('Dvd Calendar'!$P$1509)=FALSE,"",'Dvd Calendar'!$P$1509))</f>
        <v/>
      </c>
      <c r="BC151" s="110">
        <f>IF(GE151="","",IF(ISNUMBER('Dvd Calendar'!$Q$1509)=FALSE,"",'Dvd Calendar'!$Q$1509))</f>
        <v/>
      </c>
      <c r="BD151" s="110">
        <f>IF(GF151="","",IF(ISNUMBER('Dvd Calendar'!$R$1509)=FALSE,"",'Dvd Calendar'!$R$1509))</f>
        <v/>
      </c>
      <c r="BE151" s="110">
        <f>IF(GG151="","",IF(ISNUMBER('Dvd Calendar'!$S$1509)=FALSE,"",'Dvd Calendar'!$S$1509))</f>
        <v/>
      </c>
      <c r="BF151" s="110">
        <f>IF(GH151="","",IF(ISNUMBER('Dvd Calendar'!$T$1509)=FALSE,"",'Dvd Calendar'!$T$1509))</f>
        <v/>
      </c>
      <c r="BG151" s="110">
        <f>IF(GI151="","",IF(ISNUMBER('Dvd Calendar'!$U$1509)=FALSE,"",'Dvd Calendar'!$U$1509))</f>
        <v/>
      </c>
      <c r="BH151" s="110">
        <f>IF(GJ151="","",IF(ISNUMBER('Dvd Calendar'!$V$1509)=FALSE,"",'Dvd Calendar'!$V$1509))</f>
        <v/>
      </c>
      <c r="BI151" s="110">
        <f>IF(GK151="","",IF(ISNUMBER('Dvd Calendar'!$W$1509)=FALSE,"",'Dvd Calendar'!$W$1509))</f>
        <v/>
      </c>
      <c r="BJ151" s="110">
        <f>IF(GL151="","",IF(ISNUMBER('Dvd Calendar'!$X$1509)=FALSE,"",'Dvd Calendar'!$X$1509))</f>
        <v/>
      </c>
      <c r="BK151" s="110">
        <f>IF(GM151="","",IF(ISNUMBER('Dvd Calendar'!$Y$1509)=FALSE,"",'Dvd Calendar'!$Y$1509))</f>
        <v/>
      </c>
      <c r="BL151" s="110">
        <f>IF(GN151="","",IF(ISNUMBER('Dvd Calendar'!$Z$1509)=FALSE,"",'Dvd Calendar'!$Z$1509))</f>
        <v/>
      </c>
      <c r="BM151" s="110">
        <f>IF(GO151="","",IF(ISNUMBER('Dvd Calendar'!$AA$1509)=FALSE,"",'Dvd Calendar'!$AA$1509))</f>
        <v/>
      </c>
      <c r="BN151" s="110">
        <f>IF(GP151="","",IF(ISNUMBER('Dvd Calendar'!$AB$1509)=FALSE,"",'Dvd Calendar'!$AB$1509))</f>
        <v/>
      </c>
      <c r="BO151" s="110">
        <f>IF(GQ151="","",IF(ISNUMBER('Dvd Calendar'!$AC$1509)=FALSE,"",'Dvd Calendar'!$AC$1509))</f>
        <v/>
      </c>
      <c r="BQ151" s="110">
        <f>IF(C151="","",IFERROR(C151*HSTECH!$B$42*HSTECH!$G$42/HSTECH!$B$3,""))</f>
        <v/>
      </c>
      <c r="BR151" s="110">
        <f>IF(D151="","",IFERROR(D151*HSTECH!$B$42*HSTECH!$G$42/HSTECH!$B$3,""))</f>
        <v/>
      </c>
      <c r="BS151" s="110">
        <f>IF(E151="","",IFERROR(E151*HSTECH!$B$42*HSTECH!$G$42/HSTECH!$B$3,""))</f>
        <v/>
      </c>
      <c r="BT151" s="110">
        <f>IF(F151="","",IFERROR(F151*HSTECH!$B$42*HSTECH!$G$42/HSTECH!$B$3,""))</f>
        <v/>
      </c>
      <c r="BU151" s="110">
        <f>IF(G151="","",IFERROR(G151*HSTECH!$B$42*HSTECH!$G$42/HSTECH!$B$3,""))</f>
        <v/>
      </c>
      <c r="BV151" s="110">
        <f>IF(H151="","",IFERROR(H151*HSTECH!$B$42*HSTECH!$G$42/HSTECH!$B$3,""))</f>
        <v/>
      </c>
      <c r="BW151" s="110">
        <f>IF(I151="","",IFERROR(I151*HSTECH!$B$42*HSTECH!$G$42/HSTECH!$B$3,""))</f>
        <v/>
      </c>
      <c r="BX151" s="110">
        <f>IF(J151="","",IFERROR(J151*HSTECH!$B$42*HSTECH!$G$42/HSTECH!$B$3,""))</f>
        <v/>
      </c>
      <c r="BY151" s="110">
        <f>IF(K151="","",IFERROR(K151*HSTECH!$B$42*HSTECH!$G$42/HSTECH!$B$3,""))</f>
        <v/>
      </c>
      <c r="BZ151" s="110">
        <f>IF(L151="","",IFERROR(L151*HSTECH!$B$42*HSTECH!$G$42/HSTECH!$B$3,""))</f>
        <v/>
      </c>
      <c r="CA151" s="110">
        <f>IF(M151="","",IFERROR(M151*HSTECH!$B$42*HSTECH!$G$42/HSTECH!$B$3,""))</f>
        <v/>
      </c>
      <c r="CB151" s="110">
        <f>IF(N151="","",IFERROR(N151*HSTECH!$B$42*HSTECH!$G$42/HSTECH!$B$3,""))</f>
        <v/>
      </c>
      <c r="CC151" s="110">
        <f>IF(O151="","",IFERROR(O151*HSTECH!$B$42*HSTECH!$G$42/HSTECH!$B$3,""))</f>
        <v/>
      </c>
      <c r="CD151" s="110">
        <f>IF(P151="","",IFERROR(P151*HSTECH!$B$42*HSTECH!$G$42/HSTECH!$B$3,""))</f>
        <v/>
      </c>
      <c r="CE151" s="110">
        <f>IF(Q151="","",IFERROR(Q151*HSTECH!$B$42*HSTECH!$G$42/HSTECH!$B$3,""))</f>
        <v/>
      </c>
      <c r="CF151" s="110">
        <f>IF(R151="","",IFERROR(R151*HSTECH!$B$42*HSTECH!$G$42/HSTECH!$B$3,""))</f>
        <v/>
      </c>
      <c r="CG151" s="110">
        <f>IF(S151="","",IFERROR(S151*HSTECH!$B$42*HSTECH!$G$42/HSTECH!$B$3,""))</f>
        <v/>
      </c>
      <c r="CH151" s="110">
        <f>IF(T151="","",IFERROR(T151*HSTECH!$B$42*HSTECH!$G$42/HSTECH!$B$3,""))</f>
        <v/>
      </c>
      <c r="CI151" s="110">
        <f>IF(U151="","",IFERROR(U151*HSTECH!$B$42*HSTECH!$G$42/HSTECH!$B$3,""))</f>
        <v/>
      </c>
      <c r="CJ151" s="110">
        <f>IF(V151="","",IFERROR(V151*HSTECH!$B$42*HSTECH!$G$42/HSTECH!$B$3,""))</f>
        <v/>
      </c>
      <c r="CK151" s="110">
        <f>IF(W151="","",IFERROR(W151*HSTECH!$B$42*HSTECH!$G$42/HSTECH!$B$3,""))</f>
        <v/>
      </c>
      <c r="CL151" s="110">
        <f>IF(X151="","",IFERROR(X151*HSTECH!$B$42*HSTECH!$G$42/HSTECH!$B$3,""))</f>
        <v/>
      </c>
      <c r="CM151" s="110">
        <f>IF(Y151="","",IFERROR(Y151*HSTECH!$B$42*HSTECH!$G$42/HSTECH!$B$3,""))</f>
        <v/>
      </c>
      <c r="CN151" s="110">
        <f>IF(Z151="","",IFERROR(Z151*HSTECH!$B$42*HSTECH!$G$42/HSTECH!$B$3,""))</f>
        <v/>
      </c>
      <c r="CO151" s="110">
        <f>IF(AA151="","",IFERROR(AA151*HSTECH!$B$42*HSTECH!$G$42/HSTECH!$B$3,""))</f>
        <v/>
      </c>
      <c r="CP151" s="110">
        <f>IF(AB151="","",IFERROR(AB151*HSTECH!$B$42*HSTECH!$G$42/HSTECH!$B$3,""))</f>
        <v/>
      </c>
      <c r="CQ151" s="110">
        <f>IF(AC151="","",IFERROR(AC151*HSTECH!$B$42*HSTECH!$G$42/HSTECH!$B$3,""))</f>
        <v/>
      </c>
      <c r="CR151" s="110">
        <f>IF(AD151="","",IFERROR(AD151*HSTECH!$B$42*HSTECH!$G$42/HSTECH!$B$3,""))</f>
        <v/>
      </c>
      <c r="CS151" s="110">
        <f>IF(AE151="","",IFERROR(AE151*HSTECH!$B$42*HSTECH!$G$42/HSTECH!$B$3,""))</f>
        <v/>
      </c>
      <c r="CT151" s="110">
        <f>IF(AF151="","",IFERROR(AF151*HSTECH!$B$42*HSTECH!$G$42/HSTECH!$B$3,""))</f>
        <v/>
      </c>
      <c r="CU151" s="110">
        <f>IF(AG151="","",IFERROR(AG151*HSTECH!$B$42*HSTECH!$G$42/HSTECH!$B$3,""))</f>
        <v/>
      </c>
      <c r="CV151" s="110">
        <f>IF(AH151="","",IFERROR(AH151*HSTECH!$B$42*HSTECH!$G$42/HSTECH!$B$3,""))</f>
        <v/>
      </c>
      <c r="CW151" s="110">
        <f>IF(AI151="","",IFERROR(AI151*HSTECH!$B$42*HSTECH!$G$42/HSTECH!$B$3,""))</f>
        <v/>
      </c>
      <c r="CX151" s="110">
        <f>IF(AJ151="","",IFERROR(AJ151*HSTECH!$B$42*HSTECH!$G$42/HSTECH!$B$3,""))</f>
        <v/>
      </c>
      <c r="CY151" s="110">
        <f>IF(AK151="","",IFERROR(AK151*HSTECH!$B$42*HSTECH!$G$42/HSTECH!$B$3,""))</f>
        <v/>
      </c>
      <c r="CZ151" s="110">
        <f>IF(AL151="","",IFERROR(AL151*HSTECH!$B$42*HSTECH!$G$42/HSTECH!$B$3,""))</f>
        <v/>
      </c>
      <c r="DA151" s="110">
        <f>IF(AM151="","",IFERROR(AM151*HSTECH!$B$42*HSTECH!$G$42/HSTECH!$B$3,""))</f>
        <v/>
      </c>
      <c r="DB151" s="110">
        <f>IF(AN151="","",IFERROR(AN151*HSTECH!$B$42*HSTECH!$G$42/HSTECH!$B$3,""))</f>
        <v/>
      </c>
      <c r="DC151" s="110">
        <f>IF(AO151="","",IFERROR(AO151*HSTECH!$B$42*HSTECH!$G$42/HSTECH!$B$3,""))</f>
        <v/>
      </c>
      <c r="DD151" s="110">
        <f>IF(AP151="","",IFERROR(AP151*HSTECH!$B$42*HSTECH!$G$42/HSTECH!$B$3,""))</f>
        <v/>
      </c>
      <c r="DE151" s="110">
        <f>IF(AQ151="","",IFERROR(AQ151*HSTECH!$B$42*HSTECH!$G$42/HSTECH!$B$3,""))</f>
        <v/>
      </c>
      <c r="DF151" s="110">
        <f>IF(AR151="","",IFERROR(AR151*HSTECH!$B$42*HSTECH!$G$42/HSTECH!$B$3,""))</f>
        <v/>
      </c>
      <c r="DG151" s="110">
        <f>IF(AS151="","",IFERROR(AS151*HSTECH!$B$42*HSTECH!$G$42/HSTECH!$B$3,""))</f>
        <v/>
      </c>
      <c r="DH151" s="110">
        <f>IF(AT151="","",IFERROR(AT151*HSTECH!$B$42*HSTECH!$G$42/HSTECH!$B$3,""))</f>
        <v/>
      </c>
      <c r="DI151" s="110">
        <f>IF(AU151="","",IFERROR(AU151*HSTECH!$B$42*HSTECH!$G$42/HSTECH!$B$3,""))</f>
        <v/>
      </c>
      <c r="DJ151" s="110">
        <f>IF(AV151="","",IFERROR(AV151*HSTECH!$B$42*HSTECH!$G$42/HSTECH!$B$3,""))</f>
        <v/>
      </c>
      <c r="DK151" s="110">
        <f>IF(AW151="","",IFERROR(AW151*HSTECH!$B$42*HSTECH!$G$42/HSTECH!$B$3,""))</f>
        <v/>
      </c>
      <c r="DL151" s="110">
        <f>IF(AX151="","",IFERROR(AX151*HSTECH!$B$42*HSTECH!$G$42/HSTECH!$B$3,""))</f>
        <v/>
      </c>
      <c r="DM151" s="110">
        <f>IF(AY151="","",IFERROR(AY151*HSTECH!$B$42*HSTECH!$G$42/HSTECH!$B$3,""))</f>
        <v/>
      </c>
      <c r="DN151" s="110">
        <f>IF(AZ151="","",IFERROR(AZ151*HSTECH!$B$42*HSTECH!$G$42/HSTECH!$B$3,""))</f>
        <v/>
      </c>
      <c r="DO151" s="110">
        <f>IF(BA151="","",IFERROR(BA151*HSTECH!$B$42*HSTECH!$G$42/HSTECH!$B$3,""))</f>
        <v/>
      </c>
      <c r="DP151" s="110">
        <f>IF(BB151="","",IFERROR(BB151*HSTECH!$B$42*HSTECH!$G$42/HSTECH!$B$3,""))</f>
        <v/>
      </c>
      <c r="DQ151" s="110">
        <f>IF(BC151="","",IFERROR(BC151*HSTECH!$B$42*HSTECH!$G$42/HSTECH!$B$3,""))</f>
        <v/>
      </c>
      <c r="DR151" s="110">
        <f>IF(BD151="","",IFERROR(BD151*HSTECH!$B$42*HSTECH!$G$42/HSTECH!$B$3,""))</f>
        <v/>
      </c>
      <c r="DS151" s="110">
        <f>IF(BE151="","",IFERROR(BE151*HSTECH!$B$42*HSTECH!$G$42/HSTECH!$B$3,""))</f>
        <v/>
      </c>
      <c r="DT151" s="110">
        <f>IF(BF151="","",IFERROR(BF151*HSTECH!$B$42*HSTECH!$G$42/HSTECH!$B$3,""))</f>
        <v/>
      </c>
      <c r="DU151" s="110">
        <f>IF(BG151="","",IFERROR(BG151*HSTECH!$B$42*HSTECH!$G$42/HSTECH!$B$3,""))</f>
        <v/>
      </c>
      <c r="DV151" s="110">
        <f>IF(BH151="","",IFERROR(BH151*HSTECH!$B$42*HSTECH!$G$42/HSTECH!$B$3,""))</f>
        <v/>
      </c>
      <c r="DW151" s="110">
        <f>IF(BI151="","",IFERROR(BI151*HSTECH!$B$42*HSTECH!$G$42/HSTECH!$B$3,""))</f>
        <v/>
      </c>
      <c r="DX151" s="110">
        <f>IF(BJ151="","",IFERROR(BJ151*HSTECH!$B$42*HSTECH!$G$42/HSTECH!$B$3,""))</f>
        <v/>
      </c>
      <c r="DY151" s="110">
        <f>IF(BK151="","",IFERROR(BK151*HSTECH!$B$42*HSTECH!$G$42/HSTECH!$B$3,""))</f>
        <v/>
      </c>
      <c r="DZ151" s="110">
        <f>IF(BL151="","",IFERROR(BL151*HSTECH!$B$42*HSTECH!$G$42/HSTECH!$B$3,""))</f>
        <v/>
      </c>
      <c r="EA151" s="110">
        <f>IF(BM151="","",IFERROR(BM151*HSTECH!$B$42*HSTECH!$G$42/HSTECH!$B$3,""))</f>
        <v/>
      </c>
      <c r="EB151" s="110">
        <f>IF(BN151="","",IFERROR(BN151*HSTECH!$B$42*HSTECH!$G$42/HSTECH!$B$3,""))</f>
        <v/>
      </c>
      <c r="EC151" s="110">
        <f>IF(BO151="","",IFERROR(BO151*HSTECH!$B$42*HSTECH!$G$42/HSTECH!$B$3,""))</f>
        <v/>
      </c>
      <c r="EE151" s="39">
        <f>IF(N('Dvd Calendar'!$E$1501)=0,"",IF(('Dvd Calendar'!$E$1501&gt;=GRID_FROM)*('Dvd Calendar'!$E$1501&lt;=GRID_TO)*((('Dvd Calendar'!$E$1501&lt;=VAL_DATE)+(COUNTIF('Dvd Calendar'!$E$1508:$AR$1508,'Dvd Calendar'!$E$1501)=0))&gt;0)=0,"",'Dvd Calendar'!$E$1501*1000000000+ISNUMBER('Dvd Calendar'!$E$1504)*100000000+('Dvd Calendar'!$E$1506=SPECIAL_LBL)*10000000+(N('Dvd Calendar'!$E$1500)&gt;0)*(N('Dvd Calendar'!$E$1500)&lt;=VAL_SERIAL)*1000000+36*1000+1))</f>
        <v/>
      </c>
      <c r="EF151" s="39">
        <f>IF(N('Dvd Calendar'!$F$1501)=0,"",IF(('Dvd Calendar'!$F$1501&gt;=GRID_FROM)*('Dvd Calendar'!$F$1501&lt;=GRID_TO)*((('Dvd Calendar'!$F$1501&lt;=VAL_DATE)+(COUNTIF('Dvd Calendar'!$E$1508:$AR$1508,'Dvd Calendar'!$F$1501)=0))&gt;0)=0,"",'Dvd Calendar'!$F$1501*1000000000+ISNUMBER('Dvd Calendar'!$F$1504)*100000000+('Dvd Calendar'!$F$1506=SPECIAL_LBL)*10000000+(N('Dvd Calendar'!$F$1500)&gt;0)*(N('Dvd Calendar'!$F$1500)&lt;=VAL_SERIAL)*1000000+36*1000+2))</f>
        <v/>
      </c>
      <c r="EG151" s="39">
        <f>IF(N('Dvd Calendar'!$G$1501)=0,"",IF(('Dvd Calendar'!$G$1501&gt;=GRID_FROM)*('Dvd Calendar'!$G$1501&lt;=GRID_TO)*((('Dvd Calendar'!$G$1501&lt;=VAL_DATE)+(COUNTIF('Dvd Calendar'!$E$1508:$AR$1508,'Dvd Calendar'!$G$1501)=0))&gt;0)=0,"",'Dvd Calendar'!$G$1501*1000000000+ISNUMBER('Dvd Calendar'!$G$1504)*100000000+('Dvd Calendar'!$G$1506=SPECIAL_LBL)*10000000+(N('Dvd Calendar'!$G$1500)&gt;0)*(N('Dvd Calendar'!$G$1500)&lt;=VAL_SERIAL)*1000000+36*1000+3))</f>
        <v/>
      </c>
      <c r="EH151" s="39">
        <f>IF(N('Dvd Calendar'!$H$1501)=0,"",IF(('Dvd Calendar'!$H$1501&gt;=GRID_FROM)*('Dvd Calendar'!$H$1501&lt;=GRID_TO)*((('Dvd Calendar'!$H$1501&lt;=VAL_DATE)+(COUNTIF('Dvd Calendar'!$E$1508:$AR$1508,'Dvd Calendar'!$H$1501)=0))&gt;0)=0,"",'Dvd Calendar'!$H$1501*1000000000+ISNUMBER('Dvd Calendar'!$H$1504)*100000000+('Dvd Calendar'!$H$1506=SPECIAL_LBL)*10000000+(N('Dvd Calendar'!$H$1500)&gt;0)*(N('Dvd Calendar'!$H$1500)&lt;=VAL_SERIAL)*1000000+36*1000+4))</f>
        <v/>
      </c>
      <c r="EI151" s="39">
        <f>IF(N('Dvd Calendar'!$I$1501)=0,"",IF(('Dvd Calendar'!$I$1501&gt;=GRID_FROM)*('Dvd Calendar'!$I$1501&lt;=GRID_TO)*((('Dvd Calendar'!$I$1501&lt;=VAL_DATE)+(COUNTIF('Dvd Calendar'!$E$1508:$AR$1508,'Dvd Calendar'!$I$1501)=0))&gt;0)=0,"",'Dvd Calendar'!$I$1501*1000000000+ISNUMBER('Dvd Calendar'!$I$1504)*100000000+('Dvd Calendar'!$I$1506=SPECIAL_LBL)*10000000+(N('Dvd Calendar'!$I$1500)&gt;0)*(N('Dvd Calendar'!$I$1500)&lt;=VAL_SERIAL)*1000000+36*1000+5))</f>
        <v/>
      </c>
      <c r="EJ151" s="39">
        <f>IF(N('Dvd Calendar'!$J$1501)=0,"",IF(('Dvd Calendar'!$J$1501&gt;=GRID_FROM)*('Dvd Calendar'!$J$1501&lt;=GRID_TO)*((('Dvd Calendar'!$J$1501&lt;=VAL_DATE)+(COUNTIF('Dvd Calendar'!$E$1508:$AR$1508,'Dvd Calendar'!$J$1501)=0))&gt;0)=0,"",'Dvd Calendar'!$J$1501*1000000000+ISNUMBER('Dvd Calendar'!$J$1504)*100000000+('Dvd Calendar'!$J$1506=SPECIAL_LBL)*10000000+(N('Dvd Calendar'!$J$1500)&gt;0)*(N('Dvd Calendar'!$J$1500)&lt;=VAL_SERIAL)*1000000+36*1000+6))</f>
        <v/>
      </c>
      <c r="EK151" s="39">
        <f>IF(N('Dvd Calendar'!$K$1501)=0,"",IF(('Dvd Calendar'!$K$1501&gt;=GRID_FROM)*('Dvd Calendar'!$K$1501&lt;=GRID_TO)*((('Dvd Calendar'!$K$1501&lt;=VAL_DATE)+(COUNTIF('Dvd Calendar'!$E$1508:$AR$1508,'Dvd Calendar'!$K$1501)=0))&gt;0)=0,"",'Dvd Calendar'!$K$1501*1000000000+ISNUMBER('Dvd Calendar'!$K$1504)*100000000+('Dvd Calendar'!$K$1506=SPECIAL_LBL)*10000000+(N('Dvd Calendar'!$K$1500)&gt;0)*(N('Dvd Calendar'!$K$1500)&lt;=VAL_SERIAL)*1000000+36*1000+7))</f>
        <v/>
      </c>
      <c r="EL151" s="39">
        <f>IF(N('Dvd Calendar'!$L$1501)=0,"",IF(('Dvd Calendar'!$L$1501&gt;=GRID_FROM)*('Dvd Calendar'!$L$1501&lt;=GRID_TO)*((('Dvd Calendar'!$L$1501&lt;=VAL_DATE)+(COUNTIF('Dvd Calendar'!$E$1508:$AR$1508,'Dvd Calendar'!$L$1501)=0))&gt;0)=0,"",'Dvd Calendar'!$L$1501*1000000000+ISNUMBER('Dvd Calendar'!$L$1504)*100000000+('Dvd Calendar'!$L$1506=SPECIAL_LBL)*10000000+(N('Dvd Calendar'!$L$1500)&gt;0)*(N('Dvd Calendar'!$L$1500)&lt;=VAL_SERIAL)*1000000+36*1000+8))</f>
        <v/>
      </c>
      <c r="EM151" s="39">
        <f>IF(N('Dvd Calendar'!$M$1501)=0,"",IF(('Dvd Calendar'!$M$1501&gt;=GRID_FROM)*('Dvd Calendar'!$M$1501&lt;=GRID_TO)*((('Dvd Calendar'!$M$1501&lt;=VAL_DATE)+(COUNTIF('Dvd Calendar'!$E$1508:$AR$1508,'Dvd Calendar'!$M$1501)=0))&gt;0)=0,"",'Dvd Calendar'!$M$1501*1000000000+ISNUMBER('Dvd Calendar'!$M$1504)*100000000+('Dvd Calendar'!$M$1506=SPECIAL_LBL)*10000000+(N('Dvd Calendar'!$M$1500)&gt;0)*(N('Dvd Calendar'!$M$1500)&lt;=VAL_SERIAL)*1000000+36*1000+9))</f>
        <v/>
      </c>
      <c r="EN151" s="39">
        <f>IF(N('Dvd Calendar'!$N$1501)=0,"",IF(('Dvd Calendar'!$N$1501&gt;=GRID_FROM)*('Dvd Calendar'!$N$1501&lt;=GRID_TO)*((('Dvd Calendar'!$N$1501&lt;=VAL_DATE)+(COUNTIF('Dvd Calendar'!$E$1508:$AR$1508,'Dvd Calendar'!$N$1501)=0))&gt;0)=0,"",'Dvd Calendar'!$N$1501*1000000000+ISNUMBER('Dvd Calendar'!$N$1504)*100000000+('Dvd Calendar'!$N$1506=SPECIAL_LBL)*10000000+(N('Dvd Calendar'!$N$1500)&gt;0)*(N('Dvd Calendar'!$N$1500)&lt;=VAL_SERIAL)*1000000+36*1000+10))</f>
        <v/>
      </c>
      <c r="EO151" s="39">
        <f>IF(N('Dvd Calendar'!$O$1501)=0,"",IF(('Dvd Calendar'!$O$1501&gt;=GRID_FROM)*('Dvd Calendar'!$O$1501&lt;=GRID_TO)*((('Dvd Calendar'!$O$1501&lt;=VAL_DATE)+(COUNTIF('Dvd Calendar'!$E$1508:$AR$1508,'Dvd Calendar'!$O$1501)=0))&gt;0)=0,"",'Dvd Calendar'!$O$1501*1000000000+ISNUMBER('Dvd Calendar'!$O$1504)*100000000+('Dvd Calendar'!$O$1506=SPECIAL_LBL)*10000000+(N('Dvd Calendar'!$O$1500)&gt;0)*(N('Dvd Calendar'!$O$1500)&lt;=VAL_SERIAL)*1000000+36*1000+11))</f>
        <v/>
      </c>
      <c r="EP151" s="39">
        <f>IF(N('Dvd Calendar'!$P$1501)=0,"",IF(('Dvd Calendar'!$P$1501&gt;=GRID_FROM)*('Dvd Calendar'!$P$1501&lt;=GRID_TO)*((('Dvd Calendar'!$P$1501&lt;=VAL_DATE)+(COUNTIF('Dvd Calendar'!$E$1508:$AR$1508,'Dvd Calendar'!$P$1501)=0))&gt;0)=0,"",'Dvd Calendar'!$P$1501*1000000000+ISNUMBER('Dvd Calendar'!$P$1504)*100000000+('Dvd Calendar'!$P$1506=SPECIAL_LBL)*10000000+(N('Dvd Calendar'!$P$1500)&gt;0)*(N('Dvd Calendar'!$P$1500)&lt;=VAL_SERIAL)*1000000+36*1000+12))</f>
        <v/>
      </c>
      <c r="EQ151" s="39">
        <f>IF(N('Dvd Calendar'!$Q$1501)=0,"",IF(('Dvd Calendar'!$Q$1501&gt;=GRID_FROM)*('Dvd Calendar'!$Q$1501&lt;=GRID_TO)*((('Dvd Calendar'!$Q$1501&lt;=VAL_DATE)+(COUNTIF('Dvd Calendar'!$E$1508:$AR$1508,'Dvd Calendar'!$Q$1501)=0))&gt;0)=0,"",'Dvd Calendar'!$Q$1501*1000000000+ISNUMBER('Dvd Calendar'!$Q$1504)*100000000+('Dvd Calendar'!$Q$1506=SPECIAL_LBL)*10000000+(N('Dvd Calendar'!$Q$1500)&gt;0)*(N('Dvd Calendar'!$Q$1500)&lt;=VAL_SERIAL)*1000000+36*1000+13))</f>
        <v/>
      </c>
      <c r="ER151" s="39">
        <f>IF(N('Dvd Calendar'!$R$1501)=0,"",IF(('Dvd Calendar'!$R$1501&gt;=GRID_FROM)*('Dvd Calendar'!$R$1501&lt;=GRID_TO)*((('Dvd Calendar'!$R$1501&lt;=VAL_DATE)+(COUNTIF('Dvd Calendar'!$E$1508:$AR$1508,'Dvd Calendar'!$R$1501)=0))&gt;0)=0,"",'Dvd Calendar'!$R$1501*1000000000+ISNUMBER('Dvd Calendar'!$R$1504)*100000000+('Dvd Calendar'!$R$1506=SPECIAL_LBL)*10000000+(N('Dvd Calendar'!$R$1500)&gt;0)*(N('Dvd Calendar'!$R$1500)&lt;=VAL_SERIAL)*1000000+36*1000+14))</f>
        <v/>
      </c>
      <c r="ES151" s="39">
        <f>IF(N('Dvd Calendar'!$S$1501)=0,"",IF(('Dvd Calendar'!$S$1501&gt;=GRID_FROM)*('Dvd Calendar'!$S$1501&lt;=GRID_TO)*((('Dvd Calendar'!$S$1501&lt;=VAL_DATE)+(COUNTIF('Dvd Calendar'!$E$1508:$AR$1508,'Dvd Calendar'!$S$1501)=0))&gt;0)=0,"",'Dvd Calendar'!$S$1501*1000000000+ISNUMBER('Dvd Calendar'!$S$1504)*100000000+('Dvd Calendar'!$S$1506=SPECIAL_LBL)*10000000+(N('Dvd Calendar'!$S$1500)&gt;0)*(N('Dvd Calendar'!$S$1500)&lt;=VAL_SERIAL)*1000000+36*1000+15))</f>
        <v/>
      </c>
      <c r="ET151" s="39">
        <f>IF(N('Dvd Calendar'!$T$1501)=0,"",IF(('Dvd Calendar'!$T$1501&gt;=GRID_FROM)*('Dvd Calendar'!$T$1501&lt;=GRID_TO)*((('Dvd Calendar'!$T$1501&lt;=VAL_DATE)+(COUNTIF('Dvd Calendar'!$E$1508:$AR$1508,'Dvd Calendar'!$T$1501)=0))&gt;0)=0,"",'Dvd Calendar'!$T$1501*1000000000+ISNUMBER('Dvd Calendar'!$T$1504)*100000000+('Dvd Calendar'!$T$1506=SPECIAL_LBL)*10000000+(N('Dvd Calendar'!$T$1500)&gt;0)*(N('Dvd Calendar'!$T$1500)&lt;=VAL_SERIAL)*1000000+36*1000+16))</f>
        <v/>
      </c>
      <c r="EU151" s="39">
        <f>IF(N('Dvd Calendar'!$U$1501)=0,"",IF(('Dvd Calendar'!$U$1501&gt;=GRID_FROM)*('Dvd Calendar'!$U$1501&lt;=GRID_TO)*((('Dvd Calendar'!$U$1501&lt;=VAL_DATE)+(COUNTIF('Dvd Calendar'!$E$1508:$AR$1508,'Dvd Calendar'!$U$1501)=0))&gt;0)=0,"",'Dvd Calendar'!$U$1501*1000000000+ISNUMBER('Dvd Calendar'!$U$1504)*100000000+('Dvd Calendar'!$U$1506=SPECIAL_LBL)*10000000+(N('Dvd Calendar'!$U$1500)&gt;0)*(N('Dvd Calendar'!$U$1500)&lt;=VAL_SERIAL)*1000000+36*1000+17))</f>
        <v/>
      </c>
      <c r="EV151" s="39">
        <f>IF(N('Dvd Calendar'!$V$1501)=0,"",IF(('Dvd Calendar'!$V$1501&gt;=GRID_FROM)*('Dvd Calendar'!$V$1501&lt;=GRID_TO)*((('Dvd Calendar'!$V$1501&lt;=VAL_DATE)+(COUNTIF('Dvd Calendar'!$E$1508:$AR$1508,'Dvd Calendar'!$V$1501)=0))&gt;0)=0,"",'Dvd Calendar'!$V$1501*1000000000+ISNUMBER('Dvd Calendar'!$V$1504)*100000000+('Dvd Calendar'!$V$1506=SPECIAL_LBL)*10000000+(N('Dvd Calendar'!$V$1500)&gt;0)*(N('Dvd Calendar'!$V$1500)&lt;=VAL_SERIAL)*1000000+36*1000+18))</f>
        <v/>
      </c>
      <c r="EW151" s="39">
        <f>IF(N('Dvd Calendar'!$W$1501)=0,"",IF(('Dvd Calendar'!$W$1501&gt;=GRID_FROM)*('Dvd Calendar'!$W$1501&lt;=GRID_TO)*((('Dvd Calendar'!$W$1501&lt;=VAL_DATE)+(COUNTIF('Dvd Calendar'!$E$1508:$AR$1508,'Dvd Calendar'!$W$1501)=0))&gt;0)=0,"",'Dvd Calendar'!$W$1501*1000000000+ISNUMBER('Dvd Calendar'!$W$1504)*100000000+('Dvd Calendar'!$W$1506=SPECIAL_LBL)*10000000+(N('Dvd Calendar'!$W$1500)&gt;0)*(N('Dvd Calendar'!$W$1500)&lt;=VAL_SERIAL)*1000000+36*1000+19))</f>
        <v/>
      </c>
      <c r="EX151" s="39">
        <f>IF(N('Dvd Calendar'!$X$1501)=0,"",IF(('Dvd Calendar'!$X$1501&gt;=GRID_FROM)*('Dvd Calendar'!$X$1501&lt;=GRID_TO)*((('Dvd Calendar'!$X$1501&lt;=VAL_DATE)+(COUNTIF('Dvd Calendar'!$E$1508:$AR$1508,'Dvd Calendar'!$X$1501)=0))&gt;0)=0,"",'Dvd Calendar'!$X$1501*1000000000+ISNUMBER('Dvd Calendar'!$X$1504)*100000000+('Dvd Calendar'!$X$1506=SPECIAL_LBL)*10000000+(N('Dvd Calendar'!$X$1500)&gt;0)*(N('Dvd Calendar'!$X$1500)&lt;=VAL_SERIAL)*1000000+36*1000+20))</f>
        <v/>
      </c>
      <c r="EY151" s="39">
        <f>IF(N('Dvd Calendar'!$Y$1501)=0,"",IF(('Dvd Calendar'!$Y$1501&gt;=GRID_FROM)*('Dvd Calendar'!$Y$1501&lt;=GRID_TO)*((('Dvd Calendar'!$Y$1501&lt;=VAL_DATE)+(COUNTIF('Dvd Calendar'!$E$1508:$AR$1508,'Dvd Calendar'!$Y$1501)=0))&gt;0)=0,"",'Dvd Calendar'!$Y$1501*1000000000+ISNUMBER('Dvd Calendar'!$Y$1504)*100000000+('Dvd Calendar'!$Y$1506=SPECIAL_LBL)*10000000+(N('Dvd Calendar'!$Y$1500)&gt;0)*(N('Dvd Calendar'!$Y$1500)&lt;=VAL_SERIAL)*1000000+36*1000+21))</f>
        <v/>
      </c>
      <c r="EZ151" s="39">
        <f>IF(N('Dvd Calendar'!$Z$1501)=0,"",IF(('Dvd Calendar'!$Z$1501&gt;=GRID_FROM)*('Dvd Calendar'!$Z$1501&lt;=GRID_TO)*((('Dvd Calendar'!$Z$1501&lt;=VAL_DATE)+(COUNTIF('Dvd Calendar'!$E$1508:$AR$1508,'Dvd Calendar'!$Z$1501)=0))&gt;0)=0,"",'Dvd Calendar'!$Z$1501*1000000000+ISNUMBER('Dvd Calendar'!$Z$1504)*100000000+('Dvd Calendar'!$Z$1506=SPECIAL_LBL)*10000000+(N('Dvd Calendar'!$Z$1500)&gt;0)*(N('Dvd Calendar'!$Z$1500)&lt;=VAL_SERIAL)*1000000+36*1000+22))</f>
        <v/>
      </c>
      <c r="FA151" s="39">
        <f>IF(N('Dvd Calendar'!$AA$1501)=0,"",IF(('Dvd Calendar'!$AA$1501&gt;=GRID_FROM)*('Dvd Calendar'!$AA$1501&lt;=GRID_TO)*((('Dvd Calendar'!$AA$1501&lt;=VAL_DATE)+(COUNTIF('Dvd Calendar'!$E$1508:$AR$1508,'Dvd Calendar'!$AA$1501)=0))&gt;0)=0,"",'Dvd Calendar'!$AA$1501*1000000000+ISNUMBER('Dvd Calendar'!$AA$1504)*100000000+('Dvd Calendar'!$AA$1506=SPECIAL_LBL)*10000000+(N('Dvd Calendar'!$AA$1500)&gt;0)*(N('Dvd Calendar'!$AA$1500)&lt;=VAL_SERIAL)*1000000+36*1000+23))</f>
        <v/>
      </c>
      <c r="FB151" s="39">
        <f>IF(N('Dvd Calendar'!$AB$1501)=0,"",IF(('Dvd Calendar'!$AB$1501&gt;=GRID_FROM)*('Dvd Calendar'!$AB$1501&lt;=GRID_TO)*((('Dvd Calendar'!$AB$1501&lt;=VAL_DATE)+(COUNTIF('Dvd Calendar'!$E$1508:$AR$1508,'Dvd Calendar'!$AB$1501)=0))&gt;0)=0,"",'Dvd Calendar'!$AB$1501*1000000000+ISNUMBER('Dvd Calendar'!$AB$1504)*100000000+('Dvd Calendar'!$AB$1506=SPECIAL_LBL)*10000000+(N('Dvd Calendar'!$AB$1500)&gt;0)*(N('Dvd Calendar'!$AB$1500)&lt;=VAL_SERIAL)*1000000+36*1000+24))</f>
        <v/>
      </c>
      <c r="FC151" s="39">
        <f>IF(N('Dvd Calendar'!$AC$1501)=0,"",IF(('Dvd Calendar'!$AC$1501&gt;=GRID_FROM)*('Dvd Calendar'!$AC$1501&lt;=GRID_TO)*((('Dvd Calendar'!$AC$1501&lt;=VAL_DATE)+(COUNTIF('Dvd Calendar'!$E$1508:$AR$1508,'Dvd Calendar'!$AC$1501)=0))&gt;0)=0,"",'Dvd Calendar'!$AC$1501*1000000000+ISNUMBER('Dvd Calendar'!$AC$1504)*100000000+('Dvd Calendar'!$AC$1506=SPECIAL_LBL)*10000000+(N('Dvd Calendar'!$AC$1500)&gt;0)*(N('Dvd Calendar'!$AC$1500)&lt;=VAL_SERIAL)*1000000+36*1000+25))</f>
        <v/>
      </c>
      <c r="FD151" s="39">
        <f>IF(N('Dvd Calendar'!$AD$1501)=0,"",IF(('Dvd Calendar'!$AD$1501&gt;=GRID_FROM)*('Dvd Calendar'!$AD$1501&lt;=GRID_TO)*((('Dvd Calendar'!$AD$1501&lt;=VAL_DATE)+(COUNTIF('Dvd Calendar'!$E$1508:$AR$1508,'Dvd Calendar'!$AD$1501)=0))&gt;0)=0,"",'Dvd Calendar'!$AD$1501*1000000000+ISNUMBER('Dvd Calendar'!$AD$1504)*100000000+('Dvd Calendar'!$AD$1506=SPECIAL_LBL)*10000000+(N('Dvd Calendar'!$AD$1500)&gt;0)*(N('Dvd Calendar'!$AD$1500)&lt;=VAL_SERIAL)*1000000+36*1000+26))</f>
        <v/>
      </c>
      <c r="FE151" s="39">
        <f>IF(N('Dvd Calendar'!$AE$1501)=0,"",IF(('Dvd Calendar'!$AE$1501&gt;=GRID_FROM)*('Dvd Calendar'!$AE$1501&lt;=GRID_TO)*((('Dvd Calendar'!$AE$1501&lt;=VAL_DATE)+(COUNTIF('Dvd Calendar'!$E$1508:$AR$1508,'Dvd Calendar'!$AE$1501)=0))&gt;0)=0,"",'Dvd Calendar'!$AE$1501*1000000000+ISNUMBER('Dvd Calendar'!$AE$1504)*100000000+('Dvd Calendar'!$AE$1506=SPECIAL_LBL)*10000000+(N('Dvd Calendar'!$AE$1500)&gt;0)*(N('Dvd Calendar'!$AE$1500)&lt;=VAL_SERIAL)*1000000+36*1000+27))</f>
        <v/>
      </c>
      <c r="FF151" s="39">
        <f>IF(N('Dvd Calendar'!$AF$1501)=0,"",IF(('Dvd Calendar'!$AF$1501&gt;=GRID_FROM)*('Dvd Calendar'!$AF$1501&lt;=GRID_TO)*((('Dvd Calendar'!$AF$1501&lt;=VAL_DATE)+(COUNTIF('Dvd Calendar'!$E$1508:$AR$1508,'Dvd Calendar'!$AF$1501)=0))&gt;0)=0,"",'Dvd Calendar'!$AF$1501*1000000000+ISNUMBER('Dvd Calendar'!$AF$1504)*100000000+('Dvd Calendar'!$AF$1506=SPECIAL_LBL)*10000000+(N('Dvd Calendar'!$AF$1500)&gt;0)*(N('Dvd Calendar'!$AF$1500)&lt;=VAL_SERIAL)*1000000+36*1000+28))</f>
        <v/>
      </c>
      <c r="FG151" s="39">
        <f>IF(N('Dvd Calendar'!$AG$1501)=0,"",IF(('Dvd Calendar'!$AG$1501&gt;=GRID_FROM)*('Dvd Calendar'!$AG$1501&lt;=GRID_TO)*((('Dvd Calendar'!$AG$1501&lt;=VAL_DATE)+(COUNTIF('Dvd Calendar'!$E$1508:$AR$1508,'Dvd Calendar'!$AG$1501)=0))&gt;0)=0,"",'Dvd Calendar'!$AG$1501*1000000000+ISNUMBER('Dvd Calendar'!$AG$1504)*100000000+('Dvd Calendar'!$AG$1506=SPECIAL_LBL)*10000000+(N('Dvd Calendar'!$AG$1500)&gt;0)*(N('Dvd Calendar'!$AG$1500)&lt;=VAL_SERIAL)*1000000+36*1000+29))</f>
        <v/>
      </c>
      <c r="FH151" s="39">
        <f>IF(N('Dvd Calendar'!$AH$1501)=0,"",IF(('Dvd Calendar'!$AH$1501&gt;=GRID_FROM)*('Dvd Calendar'!$AH$1501&lt;=GRID_TO)*((('Dvd Calendar'!$AH$1501&lt;=VAL_DATE)+(COUNTIF('Dvd Calendar'!$E$1508:$AR$1508,'Dvd Calendar'!$AH$1501)=0))&gt;0)=0,"",'Dvd Calendar'!$AH$1501*1000000000+ISNUMBER('Dvd Calendar'!$AH$1504)*100000000+('Dvd Calendar'!$AH$1506=SPECIAL_LBL)*10000000+(N('Dvd Calendar'!$AH$1500)&gt;0)*(N('Dvd Calendar'!$AH$1500)&lt;=VAL_SERIAL)*1000000+36*1000+30))</f>
        <v/>
      </c>
      <c r="FI151" s="39">
        <f>IF(N('Dvd Calendar'!$AI$1501)=0,"",IF(('Dvd Calendar'!$AI$1501&gt;=GRID_FROM)*('Dvd Calendar'!$AI$1501&lt;=GRID_TO)*((('Dvd Calendar'!$AI$1501&lt;=VAL_DATE)+(COUNTIF('Dvd Calendar'!$E$1508:$AR$1508,'Dvd Calendar'!$AI$1501)=0))&gt;0)=0,"",'Dvd Calendar'!$AI$1501*1000000000+ISNUMBER('Dvd Calendar'!$AI$1504)*100000000+('Dvd Calendar'!$AI$1506=SPECIAL_LBL)*10000000+(N('Dvd Calendar'!$AI$1500)&gt;0)*(N('Dvd Calendar'!$AI$1500)&lt;=VAL_SERIAL)*1000000+36*1000+31))</f>
        <v/>
      </c>
      <c r="FJ151" s="39">
        <f>IF(N('Dvd Calendar'!$AJ$1501)=0,"",IF(('Dvd Calendar'!$AJ$1501&gt;=GRID_FROM)*('Dvd Calendar'!$AJ$1501&lt;=GRID_TO)*((('Dvd Calendar'!$AJ$1501&lt;=VAL_DATE)+(COUNTIF('Dvd Calendar'!$E$1508:$AR$1508,'Dvd Calendar'!$AJ$1501)=0))&gt;0)=0,"",'Dvd Calendar'!$AJ$1501*1000000000+ISNUMBER('Dvd Calendar'!$AJ$1504)*100000000+('Dvd Calendar'!$AJ$1506=SPECIAL_LBL)*10000000+(N('Dvd Calendar'!$AJ$1500)&gt;0)*(N('Dvd Calendar'!$AJ$1500)&lt;=VAL_SERIAL)*1000000+36*1000+32))</f>
        <v/>
      </c>
      <c r="FK151" s="39">
        <f>IF(N('Dvd Calendar'!$AK$1501)=0,"",IF(('Dvd Calendar'!$AK$1501&gt;=GRID_FROM)*('Dvd Calendar'!$AK$1501&lt;=GRID_TO)*((('Dvd Calendar'!$AK$1501&lt;=VAL_DATE)+(COUNTIF('Dvd Calendar'!$E$1508:$AR$1508,'Dvd Calendar'!$AK$1501)=0))&gt;0)=0,"",'Dvd Calendar'!$AK$1501*1000000000+ISNUMBER('Dvd Calendar'!$AK$1504)*100000000+('Dvd Calendar'!$AK$1506=SPECIAL_LBL)*10000000+(N('Dvd Calendar'!$AK$1500)&gt;0)*(N('Dvd Calendar'!$AK$1500)&lt;=VAL_SERIAL)*1000000+36*1000+33))</f>
        <v/>
      </c>
      <c r="FL151" s="39">
        <f>IF(N('Dvd Calendar'!$AL$1501)=0,"",IF(('Dvd Calendar'!$AL$1501&gt;=GRID_FROM)*('Dvd Calendar'!$AL$1501&lt;=GRID_TO)*((('Dvd Calendar'!$AL$1501&lt;=VAL_DATE)+(COUNTIF('Dvd Calendar'!$E$1508:$AR$1508,'Dvd Calendar'!$AL$1501)=0))&gt;0)=0,"",'Dvd Calendar'!$AL$1501*1000000000+ISNUMBER('Dvd Calendar'!$AL$1504)*100000000+('Dvd Calendar'!$AL$1506=SPECIAL_LBL)*10000000+(N('Dvd Calendar'!$AL$1500)&gt;0)*(N('Dvd Calendar'!$AL$1500)&lt;=VAL_SERIAL)*1000000+36*1000+34))</f>
        <v/>
      </c>
      <c r="FM151" s="39">
        <f>IF(N('Dvd Calendar'!$AM$1501)=0,"",IF(('Dvd Calendar'!$AM$1501&gt;=GRID_FROM)*('Dvd Calendar'!$AM$1501&lt;=GRID_TO)*((('Dvd Calendar'!$AM$1501&lt;=VAL_DATE)+(COUNTIF('Dvd Calendar'!$E$1508:$AR$1508,'Dvd Calendar'!$AM$1501)=0))&gt;0)=0,"",'Dvd Calendar'!$AM$1501*1000000000+ISNUMBER('Dvd Calendar'!$AM$1504)*100000000+('Dvd Calendar'!$AM$1506=SPECIAL_LBL)*10000000+(N('Dvd Calendar'!$AM$1500)&gt;0)*(N('Dvd Calendar'!$AM$1500)&lt;=VAL_SERIAL)*1000000+36*1000+35))</f>
        <v/>
      </c>
      <c r="FN151" s="39">
        <f>IF(N('Dvd Calendar'!$AN$1501)=0,"",IF(('Dvd Calendar'!$AN$1501&gt;=GRID_FROM)*('Dvd Calendar'!$AN$1501&lt;=GRID_TO)*((('Dvd Calendar'!$AN$1501&lt;=VAL_DATE)+(COUNTIF('Dvd Calendar'!$E$1508:$AR$1508,'Dvd Calendar'!$AN$1501)=0))&gt;0)=0,"",'Dvd Calendar'!$AN$1501*1000000000+ISNUMBER('Dvd Calendar'!$AN$1504)*100000000+('Dvd Calendar'!$AN$1506=SPECIAL_LBL)*10000000+(N('Dvd Calendar'!$AN$1500)&gt;0)*(N('Dvd Calendar'!$AN$1500)&lt;=VAL_SERIAL)*1000000+36*1000+36))</f>
        <v/>
      </c>
      <c r="FO151" s="39">
        <f>IF(N('Dvd Calendar'!$AO$1501)=0,"",IF(('Dvd Calendar'!$AO$1501&gt;=GRID_FROM)*('Dvd Calendar'!$AO$1501&lt;=GRID_TO)*((('Dvd Calendar'!$AO$1501&lt;=VAL_DATE)+(COUNTIF('Dvd Calendar'!$E$1508:$AR$1508,'Dvd Calendar'!$AO$1501)=0))&gt;0)=0,"",'Dvd Calendar'!$AO$1501*1000000000+ISNUMBER('Dvd Calendar'!$AO$1504)*100000000+('Dvd Calendar'!$AO$1506=SPECIAL_LBL)*10000000+(N('Dvd Calendar'!$AO$1500)&gt;0)*(N('Dvd Calendar'!$AO$1500)&lt;=VAL_SERIAL)*1000000+36*1000+37))</f>
        <v/>
      </c>
      <c r="FP151" s="39">
        <f>IF(N('Dvd Calendar'!$AP$1501)=0,"",IF(('Dvd Calendar'!$AP$1501&gt;=GRID_FROM)*('Dvd Calendar'!$AP$1501&lt;=GRID_TO)*((('Dvd Calendar'!$AP$1501&lt;=VAL_DATE)+(COUNTIF('Dvd Calendar'!$E$1508:$AR$1508,'Dvd Calendar'!$AP$1501)=0))&gt;0)=0,"",'Dvd Calendar'!$AP$1501*1000000000+ISNUMBER('Dvd Calendar'!$AP$1504)*100000000+('Dvd Calendar'!$AP$1506=SPECIAL_LBL)*10000000+(N('Dvd Calendar'!$AP$1500)&gt;0)*(N('Dvd Calendar'!$AP$1500)&lt;=VAL_SERIAL)*1000000+36*1000+38))</f>
        <v/>
      </c>
      <c r="FQ151" s="39">
        <f>IF(N('Dvd Calendar'!$AQ$1501)=0,"",IF(('Dvd Calendar'!$AQ$1501&gt;=GRID_FROM)*('Dvd Calendar'!$AQ$1501&lt;=GRID_TO)*((('Dvd Calendar'!$AQ$1501&lt;=VAL_DATE)+(COUNTIF('Dvd Calendar'!$E$1508:$AR$1508,'Dvd Calendar'!$AQ$1501)=0))&gt;0)=0,"",'Dvd Calendar'!$AQ$1501*1000000000+ISNUMBER('Dvd Calendar'!$AQ$1504)*100000000+('Dvd Calendar'!$AQ$1506=SPECIAL_LBL)*10000000+(N('Dvd Calendar'!$AQ$1500)&gt;0)*(N('Dvd Calendar'!$AQ$1500)&lt;=VAL_SERIAL)*1000000+36*1000+39))</f>
        <v/>
      </c>
      <c r="FR151" s="39">
        <f>IF(N('Dvd Calendar'!$AR$1501)=0,"",IF(('Dvd Calendar'!$AR$1501&gt;=GRID_FROM)*('Dvd Calendar'!$AR$1501&lt;=GRID_TO)*((('Dvd Calendar'!$AR$1501&lt;=VAL_DATE)+(COUNTIF('Dvd Calendar'!$E$1508:$AR$1508,'Dvd Calendar'!$AR$1501)=0))&gt;0)=0,"",'Dvd Calendar'!$AR$1501*1000000000+ISNUMBER('Dvd Calendar'!$AR$1504)*100000000+('Dvd Calendar'!$AR$1506=SPECIAL_LBL)*10000000+(N('Dvd Calendar'!$AR$1500)&gt;0)*(N('Dvd Calendar'!$AR$1500)&lt;=VAL_SERIAL)*1000000+36*1000+40))</f>
        <v/>
      </c>
      <c r="FS151" s="39">
        <f>IF(N('Dvd Calendar'!$E$1508)=0,"",IF(('Dvd Calendar'!$E$1508&gt;=GRID_FROM)*('Dvd Calendar'!$E$1508&lt;=GRID_TO)*('Dvd Calendar'!$E$1508&gt;VAL_DATE)=0,"",'Dvd Calendar'!$E$1508*1000000000+ISNUMBER('Dvd Calendar'!$E$1509)*100000000+0*10000000+(N('Dvd Calendar'!$E$1507)&gt;0)*(N('Dvd Calendar'!$E$1507)&lt;=VAL_SERIAL)*1000000+36*1000+41))</f>
        <v/>
      </c>
      <c r="FT151" s="39">
        <f>IF(N('Dvd Calendar'!$F$1508)=0,"",IF(('Dvd Calendar'!$F$1508&gt;=GRID_FROM)*('Dvd Calendar'!$F$1508&lt;=GRID_TO)*('Dvd Calendar'!$F$1508&gt;VAL_DATE)=0,"",'Dvd Calendar'!$F$1508*1000000000+ISNUMBER('Dvd Calendar'!$F$1509)*100000000+0*10000000+(N('Dvd Calendar'!$F$1507)&gt;0)*(N('Dvd Calendar'!$F$1507)&lt;=VAL_SERIAL)*1000000+36*1000+42))</f>
        <v/>
      </c>
      <c r="FU151" s="39">
        <f>IF(N('Dvd Calendar'!$G$1508)=0,"",IF(('Dvd Calendar'!$G$1508&gt;=GRID_FROM)*('Dvd Calendar'!$G$1508&lt;=GRID_TO)*('Dvd Calendar'!$G$1508&gt;VAL_DATE)=0,"",'Dvd Calendar'!$G$1508*1000000000+ISNUMBER('Dvd Calendar'!$G$1509)*100000000+0*10000000+(N('Dvd Calendar'!$G$1507)&gt;0)*(N('Dvd Calendar'!$G$1507)&lt;=VAL_SERIAL)*1000000+36*1000+43))</f>
        <v/>
      </c>
      <c r="FV151" s="39">
        <f>IF(N('Dvd Calendar'!$H$1508)=0,"",IF(('Dvd Calendar'!$H$1508&gt;=GRID_FROM)*('Dvd Calendar'!$H$1508&lt;=GRID_TO)*('Dvd Calendar'!$H$1508&gt;VAL_DATE)=0,"",'Dvd Calendar'!$H$1508*1000000000+ISNUMBER('Dvd Calendar'!$H$1509)*100000000+0*10000000+(N('Dvd Calendar'!$H$1507)&gt;0)*(N('Dvd Calendar'!$H$1507)&lt;=VAL_SERIAL)*1000000+36*1000+44))</f>
        <v/>
      </c>
      <c r="FW151" s="39">
        <f>IF(N('Dvd Calendar'!$I$1508)=0,"",IF(('Dvd Calendar'!$I$1508&gt;=GRID_FROM)*('Dvd Calendar'!$I$1508&lt;=GRID_TO)*('Dvd Calendar'!$I$1508&gt;VAL_DATE)=0,"",'Dvd Calendar'!$I$1508*1000000000+ISNUMBER('Dvd Calendar'!$I$1509)*100000000+0*10000000+(N('Dvd Calendar'!$I$1507)&gt;0)*(N('Dvd Calendar'!$I$1507)&lt;=VAL_SERIAL)*1000000+36*1000+45))</f>
        <v/>
      </c>
      <c r="FX151" s="39">
        <f>IF(N('Dvd Calendar'!$J$1508)=0,"",IF(('Dvd Calendar'!$J$1508&gt;=GRID_FROM)*('Dvd Calendar'!$J$1508&lt;=GRID_TO)*('Dvd Calendar'!$J$1508&gt;VAL_DATE)=0,"",'Dvd Calendar'!$J$1508*1000000000+ISNUMBER('Dvd Calendar'!$J$1509)*100000000+0*10000000+(N('Dvd Calendar'!$J$1507)&gt;0)*(N('Dvd Calendar'!$J$1507)&lt;=VAL_SERIAL)*1000000+36*1000+46))</f>
        <v/>
      </c>
      <c r="FY151" s="39">
        <f>IF(N('Dvd Calendar'!$K$1508)=0,"",IF(('Dvd Calendar'!$K$1508&gt;=GRID_FROM)*('Dvd Calendar'!$K$1508&lt;=GRID_TO)*('Dvd Calendar'!$K$1508&gt;VAL_DATE)=0,"",'Dvd Calendar'!$K$1508*1000000000+ISNUMBER('Dvd Calendar'!$K$1509)*100000000+0*10000000+(N('Dvd Calendar'!$K$1507)&gt;0)*(N('Dvd Calendar'!$K$1507)&lt;=VAL_SERIAL)*1000000+36*1000+47))</f>
        <v/>
      </c>
      <c r="FZ151" s="39">
        <f>IF(N('Dvd Calendar'!$L$1508)=0,"",IF(('Dvd Calendar'!$L$1508&gt;=GRID_FROM)*('Dvd Calendar'!$L$1508&lt;=GRID_TO)*('Dvd Calendar'!$L$1508&gt;VAL_DATE)=0,"",'Dvd Calendar'!$L$1508*1000000000+ISNUMBER('Dvd Calendar'!$L$1509)*100000000+0*10000000+(N('Dvd Calendar'!$L$1507)&gt;0)*(N('Dvd Calendar'!$L$1507)&lt;=VAL_SERIAL)*1000000+36*1000+48))</f>
        <v/>
      </c>
      <c r="GA151" s="39">
        <f>IF(N('Dvd Calendar'!$M$1508)=0,"",IF(('Dvd Calendar'!$M$1508&gt;=GRID_FROM)*('Dvd Calendar'!$M$1508&lt;=GRID_TO)*('Dvd Calendar'!$M$1508&gt;VAL_DATE)=0,"",'Dvd Calendar'!$M$1508*1000000000+ISNUMBER('Dvd Calendar'!$M$1509)*100000000+0*10000000+(N('Dvd Calendar'!$M$1507)&gt;0)*(N('Dvd Calendar'!$M$1507)&lt;=VAL_SERIAL)*1000000+36*1000+49))</f>
        <v/>
      </c>
      <c r="GB151" s="39">
        <f>IF(N('Dvd Calendar'!$N$1508)=0,"",IF(('Dvd Calendar'!$N$1508&gt;=GRID_FROM)*('Dvd Calendar'!$N$1508&lt;=GRID_TO)*('Dvd Calendar'!$N$1508&gt;VAL_DATE)=0,"",'Dvd Calendar'!$N$1508*1000000000+ISNUMBER('Dvd Calendar'!$N$1509)*100000000+0*10000000+(N('Dvd Calendar'!$N$1507)&gt;0)*(N('Dvd Calendar'!$N$1507)&lt;=VAL_SERIAL)*1000000+36*1000+50))</f>
        <v/>
      </c>
      <c r="GC151" s="39">
        <f>IF(N('Dvd Calendar'!$O$1508)=0,"",IF(('Dvd Calendar'!$O$1508&gt;=GRID_FROM)*('Dvd Calendar'!$O$1508&lt;=GRID_TO)*('Dvd Calendar'!$O$1508&gt;VAL_DATE)=0,"",'Dvd Calendar'!$O$1508*1000000000+ISNUMBER('Dvd Calendar'!$O$1509)*100000000+0*10000000+(N('Dvd Calendar'!$O$1507)&gt;0)*(N('Dvd Calendar'!$O$1507)&lt;=VAL_SERIAL)*1000000+36*1000+51))</f>
        <v/>
      </c>
      <c r="GD151" s="39">
        <f>IF(N('Dvd Calendar'!$P$1508)=0,"",IF(('Dvd Calendar'!$P$1508&gt;=GRID_FROM)*('Dvd Calendar'!$P$1508&lt;=GRID_TO)*('Dvd Calendar'!$P$1508&gt;VAL_DATE)=0,"",'Dvd Calendar'!$P$1508*1000000000+ISNUMBER('Dvd Calendar'!$P$1509)*100000000+0*10000000+(N('Dvd Calendar'!$P$1507)&gt;0)*(N('Dvd Calendar'!$P$1507)&lt;=VAL_SERIAL)*1000000+36*1000+52))</f>
        <v/>
      </c>
      <c r="GE151" s="39">
        <f>IF(N('Dvd Calendar'!$Q$1508)=0,"",IF(('Dvd Calendar'!$Q$1508&gt;=GRID_FROM)*('Dvd Calendar'!$Q$1508&lt;=GRID_TO)*('Dvd Calendar'!$Q$1508&gt;VAL_DATE)=0,"",'Dvd Calendar'!$Q$1508*1000000000+ISNUMBER('Dvd Calendar'!$Q$1509)*100000000+0*10000000+(N('Dvd Calendar'!$Q$1507)&gt;0)*(N('Dvd Calendar'!$Q$1507)&lt;=VAL_SERIAL)*1000000+36*1000+53))</f>
        <v/>
      </c>
      <c r="GF151" s="39">
        <f>IF(N('Dvd Calendar'!$R$1508)=0,"",IF(('Dvd Calendar'!$R$1508&gt;=GRID_FROM)*('Dvd Calendar'!$R$1508&lt;=GRID_TO)*('Dvd Calendar'!$R$1508&gt;VAL_DATE)=0,"",'Dvd Calendar'!$R$1508*1000000000+ISNUMBER('Dvd Calendar'!$R$1509)*100000000+0*10000000+(N('Dvd Calendar'!$R$1507)&gt;0)*(N('Dvd Calendar'!$R$1507)&lt;=VAL_SERIAL)*1000000+36*1000+54))</f>
        <v/>
      </c>
      <c r="GG151" s="39">
        <f>IF(N('Dvd Calendar'!$S$1508)=0,"",IF(('Dvd Calendar'!$S$1508&gt;=GRID_FROM)*('Dvd Calendar'!$S$1508&lt;=GRID_TO)*('Dvd Calendar'!$S$1508&gt;VAL_DATE)=0,"",'Dvd Calendar'!$S$1508*1000000000+ISNUMBER('Dvd Calendar'!$S$1509)*100000000+0*10000000+(N('Dvd Calendar'!$S$1507)&gt;0)*(N('Dvd Calendar'!$S$1507)&lt;=VAL_SERIAL)*1000000+36*1000+55))</f>
        <v/>
      </c>
      <c r="GH151" s="39">
        <f>IF(N('Dvd Calendar'!$T$1508)=0,"",IF(('Dvd Calendar'!$T$1508&gt;=GRID_FROM)*('Dvd Calendar'!$T$1508&lt;=GRID_TO)*('Dvd Calendar'!$T$1508&gt;VAL_DATE)=0,"",'Dvd Calendar'!$T$1508*1000000000+ISNUMBER('Dvd Calendar'!$T$1509)*100000000+0*10000000+(N('Dvd Calendar'!$T$1507)&gt;0)*(N('Dvd Calendar'!$T$1507)&lt;=VAL_SERIAL)*1000000+36*1000+56))</f>
        <v/>
      </c>
      <c r="GI151" s="39">
        <f>IF(N('Dvd Calendar'!$U$1508)=0,"",IF(('Dvd Calendar'!$U$1508&gt;=GRID_FROM)*('Dvd Calendar'!$U$1508&lt;=GRID_TO)*('Dvd Calendar'!$U$1508&gt;VAL_DATE)=0,"",'Dvd Calendar'!$U$1508*1000000000+ISNUMBER('Dvd Calendar'!$U$1509)*100000000+0*10000000+(N('Dvd Calendar'!$U$1507)&gt;0)*(N('Dvd Calendar'!$U$1507)&lt;=VAL_SERIAL)*1000000+36*1000+57))</f>
        <v/>
      </c>
      <c r="GJ151" s="39">
        <f>IF(N('Dvd Calendar'!$V$1508)=0,"",IF(('Dvd Calendar'!$V$1508&gt;=GRID_FROM)*('Dvd Calendar'!$V$1508&lt;=GRID_TO)*('Dvd Calendar'!$V$1508&gt;VAL_DATE)=0,"",'Dvd Calendar'!$V$1508*1000000000+ISNUMBER('Dvd Calendar'!$V$1509)*100000000+0*10000000+(N('Dvd Calendar'!$V$1507)&gt;0)*(N('Dvd Calendar'!$V$1507)&lt;=VAL_SERIAL)*1000000+36*1000+58))</f>
        <v/>
      </c>
      <c r="GK151" s="39">
        <f>IF(N('Dvd Calendar'!$W$1508)=0,"",IF(('Dvd Calendar'!$W$1508&gt;=GRID_FROM)*('Dvd Calendar'!$W$1508&lt;=GRID_TO)*('Dvd Calendar'!$W$1508&gt;VAL_DATE)=0,"",'Dvd Calendar'!$W$1508*1000000000+ISNUMBER('Dvd Calendar'!$W$1509)*100000000+0*10000000+(N('Dvd Calendar'!$W$1507)&gt;0)*(N('Dvd Calendar'!$W$1507)&lt;=VAL_SERIAL)*1000000+36*1000+59))</f>
        <v/>
      </c>
      <c r="GL151" s="39">
        <f>IF(N('Dvd Calendar'!$X$1508)=0,"",IF(('Dvd Calendar'!$X$1508&gt;=GRID_FROM)*('Dvd Calendar'!$X$1508&lt;=GRID_TO)*('Dvd Calendar'!$X$1508&gt;VAL_DATE)=0,"",'Dvd Calendar'!$X$1508*1000000000+ISNUMBER('Dvd Calendar'!$X$1509)*100000000+0*10000000+(N('Dvd Calendar'!$X$1507)&gt;0)*(N('Dvd Calendar'!$X$1507)&lt;=VAL_SERIAL)*1000000+36*1000+60))</f>
        <v/>
      </c>
      <c r="GM151" s="39">
        <f>IF(N('Dvd Calendar'!$Y$1508)=0,"",IF(('Dvd Calendar'!$Y$1508&gt;=GRID_FROM)*('Dvd Calendar'!$Y$1508&lt;=GRID_TO)*('Dvd Calendar'!$Y$1508&gt;VAL_DATE)=0,"",'Dvd Calendar'!$Y$1508*1000000000+ISNUMBER('Dvd Calendar'!$Y$1509)*100000000+0*10000000+(N('Dvd Calendar'!$Y$1507)&gt;0)*(N('Dvd Calendar'!$Y$1507)&lt;=VAL_SERIAL)*1000000+36*1000+61))</f>
        <v/>
      </c>
      <c r="GN151" s="39">
        <f>IF(N('Dvd Calendar'!$Z$1508)=0,"",IF(('Dvd Calendar'!$Z$1508&gt;=GRID_FROM)*('Dvd Calendar'!$Z$1508&lt;=GRID_TO)*('Dvd Calendar'!$Z$1508&gt;VAL_DATE)=0,"",'Dvd Calendar'!$Z$1508*1000000000+ISNUMBER('Dvd Calendar'!$Z$1509)*100000000+0*10000000+(N('Dvd Calendar'!$Z$1507)&gt;0)*(N('Dvd Calendar'!$Z$1507)&lt;=VAL_SERIAL)*1000000+36*1000+62))</f>
        <v/>
      </c>
      <c r="GO151" s="39">
        <f>IF(N('Dvd Calendar'!$AA$1508)=0,"",IF(('Dvd Calendar'!$AA$1508&gt;=GRID_FROM)*('Dvd Calendar'!$AA$1508&lt;=GRID_TO)*('Dvd Calendar'!$AA$1508&gt;VAL_DATE)=0,"",'Dvd Calendar'!$AA$1508*1000000000+ISNUMBER('Dvd Calendar'!$AA$1509)*100000000+0*10000000+(N('Dvd Calendar'!$AA$1507)&gt;0)*(N('Dvd Calendar'!$AA$1507)&lt;=VAL_SERIAL)*1000000+36*1000+63))</f>
        <v/>
      </c>
      <c r="GP151" s="39">
        <f>IF(N('Dvd Calendar'!$AB$1508)=0,"",IF(('Dvd Calendar'!$AB$1508&gt;=GRID_FROM)*('Dvd Calendar'!$AB$1508&lt;=GRID_TO)*('Dvd Calendar'!$AB$1508&gt;VAL_DATE)=0,"",'Dvd Calendar'!$AB$1508*1000000000+ISNUMBER('Dvd Calendar'!$AB$1509)*100000000+0*10000000+(N('Dvd Calendar'!$AB$1507)&gt;0)*(N('Dvd Calendar'!$AB$1507)&lt;=VAL_SERIAL)*1000000+36*1000+64))</f>
        <v/>
      </c>
      <c r="GQ151" s="39">
        <f>IF(N('Dvd Calendar'!$AC$1508)=0,"",IF(('Dvd Calendar'!$AC$1508&gt;=GRID_FROM)*('Dvd Calendar'!$AC$1508&lt;=GRID_TO)*('Dvd Calendar'!$AC$1508&gt;VAL_DATE)=0,"",'Dvd Calendar'!$AC$1508*1000000000+ISNUMBER('Dvd Calendar'!$AC$1509)*100000000+0*10000000+(N('Dvd Calendar'!$AC$1507)&gt;0)*(N('Dvd Calendar'!$AC$1507)&lt;=VAL_SERIAL)*1000000+36*1000+65))</f>
        <v/>
      </c>
    </row>
    <row r="152">
      <c r="B152" s="2">
        <f>IF(HSTECH!$C$43="","",HSTECH!$C$43)</f>
        <v/>
      </c>
      <c r="C152" s="110">
        <f>IF(EE152="","",IF(ISNUMBER('Dvd Calendar'!$E$1515)=FALSE,"",IF((('Dvd Calendar'!$E$1517=TYPE1)*(TYPE1&lt;&gt;"")+('Dvd Calendar'!$E$1517=TYPE2)*(TYPE2&lt;&gt;"")+('Dvd Calendar'!$E$1517=TYPE3)*(TYPE3&lt;&gt;"")+('Dvd Calendar'!$E$1517=TYPE4)*(TYPE4&lt;&gt;"")+('Dvd Calendar'!$E$1517=SPECIAL_LBL)*(INC_SPECIALS="Y"))=0,"",'Dvd Calendar'!$E$1515)))</f>
        <v/>
      </c>
      <c r="D152" s="110">
        <f>IF(EF152="","",IF(ISNUMBER('Dvd Calendar'!$F$1515)=FALSE,"",IF((('Dvd Calendar'!$F$1517=TYPE1)*(TYPE1&lt;&gt;"")+('Dvd Calendar'!$F$1517=TYPE2)*(TYPE2&lt;&gt;"")+('Dvd Calendar'!$F$1517=TYPE3)*(TYPE3&lt;&gt;"")+('Dvd Calendar'!$F$1517=TYPE4)*(TYPE4&lt;&gt;"")+('Dvd Calendar'!$F$1517=SPECIAL_LBL)*(INC_SPECIALS="Y"))=0,"",'Dvd Calendar'!$F$1515)))</f>
        <v/>
      </c>
      <c r="E152" s="110">
        <f>IF(EG152="","",IF(ISNUMBER('Dvd Calendar'!$G$1515)=FALSE,"",IF((('Dvd Calendar'!$G$1517=TYPE1)*(TYPE1&lt;&gt;"")+('Dvd Calendar'!$G$1517=TYPE2)*(TYPE2&lt;&gt;"")+('Dvd Calendar'!$G$1517=TYPE3)*(TYPE3&lt;&gt;"")+('Dvd Calendar'!$G$1517=TYPE4)*(TYPE4&lt;&gt;"")+('Dvd Calendar'!$G$1517=SPECIAL_LBL)*(INC_SPECIALS="Y"))=0,"",'Dvd Calendar'!$G$1515)))</f>
        <v/>
      </c>
      <c r="F152" s="110">
        <f>IF(EH152="","",IF(ISNUMBER('Dvd Calendar'!$H$1515)=FALSE,"",IF((('Dvd Calendar'!$H$1517=TYPE1)*(TYPE1&lt;&gt;"")+('Dvd Calendar'!$H$1517=TYPE2)*(TYPE2&lt;&gt;"")+('Dvd Calendar'!$H$1517=TYPE3)*(TYPE3&lt;&gt;"")+('Dvd Calendar'!$H$1517=TYPE4)*(TYPE4&lt;&gt;"")+('Dvd Calendar'!$H$1517=SPECIAL_LBL)*(INC_SPECIALS="Y"))=0,"",'Dvd Calendar'!$H$1515)))</f>
        <v/>
      </c>
      <c r="G152" s="110">
        <f>IF(EI152="","",IF(ISNUMBER('Dvd Calendar'!$I$1515)=FALSE,"",IF((('Dvd Calendar'!$I$1517=TYPE1)*(TYPE1&lt;&gt;"")+('Dvd Calendar'!$I$1517=TYPE2)*(TYPE2&lt;&gt;"")+('Dvd Calendar'!$I$1517=TYPE3)*(TYPE3&lt;&gt;"")+('Dvd Calendar'!$I$1517=TYPE4)*(TYPE4&lt;&gt;"")+('Dvd Calendar'!$I$1517=SPECIAL_LBL)*(INC_SPECIALS="Y"))=0,"",'Dvd Calendar'!$I$1515)))</f>
        <v/>
      </c>
      <c r="H152" s="110">
        <f>IF(EJ152="","",IF(ISNUMBER('Dvd Calendar'!$J$1515)=FALSE,"",IF((('Dvd Calendar'!$J$1517=TYPE1)*(TYPE1&lt;&gt;"")+('Dvd Calendar'!$J$1517=TYPE2)*(TYPE2&lt;&gt;"")+('Dvd Calendar'!$J$1517=TYPE3)*(TYPE3&lt;&gt;"")+('Dvd Calendar'!$J$1517=TYPE4)*(TYPE4&lt;&gt;"")+('Dvd Calendar'!$J$1517=SPECIAL_LBL)*(INC_SPECIALS="Y"))=0,"",'Dvd Calendar'!$J$1515)))</f>
        <v/>
      </c>
      <c r="I152" s="110">
        <f>IF(EK152="","",IF(ISNUMBER('Dvd Calendar'!$K$1515)=FALSE,"",IF((('Dvd Calendar'!$K$1517=TYPE1)*(TYPE1&lt;&gt;"")+('Dvd Calendar'!$K$1517=TYPE2)*(TYPE2&lt;&gt;"")+('Dvd Calendar'!$K$1517=TYPE3)*(TYPE3&lt;&gt;"")+('Dvd Calendar'!$K$1517=TYPE4)*(TYPE4&lt;&gt;"")+('Dvd Calendar'!$K$1517=SPECIAL_LBL)*(INC_SPECIALS="Y"))=0,"",'Dvd Calendar'!$K$1515)))</f>
        <v/>
      </c>
      <c r="J152" s="110">
        <f>IF(EL152="","",IF(ISNUMBER('Dvd Calendar'!$L$1515)=FALSE,"",IF((('Dvd Calendar'!$L$1517=TYPE1)*(TYPE1&lt;&gt;"")+('Dvd Calendar'!$L$1517=TYPE2)*(TYPE2&lt;&gt;"")+('Dvd Calendar'!$L$1517=TYPE3)*(TYPE3&lt;&gt;"")+('Dvd Calendar'!$L$1517=TYPE4)*(TYPE4&lt;&gt;"")+('Dvd Calendar'!$L$1517=SPECIAL_LBL)*(INC_SPECIALS="Y"))=0,"",'Dvd Calendar'!$L$1515)))</f>
        <v/>
      </c>
      <c r="K152" s="110">
        <f>IF(EM152="","",IF(ISNUMBER('Dvd Calendar'!$M$1515)=FALSE,"",IF((('Dvd Calendar'!$M$1517=TYPE1)*(TYPE1&lt;&gt;"")+('Dvd Calendar'!$M$1517=TYPE2)*(TYPE2&lt;&gt;"")+('Dvd Calendar'!$M$1517=TYPE3)*(TYPE3&lt;&gt;"")+('Dvd Calendar'!$M$1517=TYPE4)*(TYPE4&lt;&gt;"")+('Dvd Calendar'!$M$1517=SPECIAL_LBL)*(INC_SPECIALS="Y"))=0,"",'Dvd Calendar'!$M$1515)))</f>
        <v/>
      </c>
      <c r="L152" s="110">
        <f>IF(EN152="","",IF(ISNUMBER('Dvd Calendar'!$N$1515)=FALSE,"",IF((('Dvd Calendar'!$N$1517=TYPE1)*(TYPE1&lt;&gt;"")+('Dvd Calendar'!$N$1517=TYPE2)*(TYPE2&lt;&gt;"")+('Dvd Calendar'!$N$1517=TYPE3)*(TYPE3&lt;&gt;"")+('Dvd Calendar'!$N$1517=TYPE4)*(TYPE4&lt;&gt;"")+('Dvd Calendar'!$N$1517=SPECIAL_LBL)*(INC_SPECIALS="Y"))=0,"",'Dvd Calendar'!$N$1515)))</f>
        <v/>
      </c>
      <c r="M152" s="110">
        <f>IF(EO152="","",IF(ISNUMBER('Dvd Calendar'!$O$1515)=FALSE,"",IF((('Dvd Calendar'!$O$1517=TYPE1)*(TYPE1&lt;&gt;"")+('Dvd Calendar'!$O$1517=TYPE2)*(TYPE2&lt;&gt;"")+('Dvd Calendar'!$O$1517=TYPE3)*(TYPE3&lt;&gt;"")+('Dvd Calendar'!$O$1517=TYPE4)*(TYPE4&lt;&gt;"")+('Dvd Calendar'!$O$1517=SPECIAL_LBL)*(INC_SPECIALS="Y"))=0,"",'Dvd Calendar'!$O$1515)))</f>
        <v/>
      </c>
      <c r="N152" s="110">
        <f>IF(EP152="","",IF(ISNUMBER('Dvd Calendar'!$P$1515)=FALSE,"",IF((('Dvd Calendar'!$P$1517=TYPE1)*(TYPE1&lt;&gt;"")+('Dvd Calendar'!$P$1517=TYPE2)*(TYPE2&lt;&gt;"")+('Dvd Calendar'!$P$1517=TYPE3)*(TYPE3&lt;&gt;"")+('Dvd Calendar'!$P$1517=TYPE4)*(TYPE4&lt;&gt;"")+('Dvd Calendar'!$P$1517=SPECIAL_LBL)*(INC_SPECIALS="Y"))=0,"",'Dvd Calendar'!$P$1515)))</f>
        <v/>
      </c>
      <c r="O152" s="110">
        <f>IF(EQ152="","",IF(ISNUMBER('Dvd Calendar'!$Q$1515)=FALSE,"",IF((('Dvd Calendar'!$Q$1517=TYPE1)*(TYPE1&lt;&gt;"")+('Dvd Calendar'!$Q$1517=TYPE2)*(TYPE2&lt;&gt;"")+('Dvd Calendar'!$Q$1517=TYPE3)*(TYPE3&lt;&gt;"")+('Dvd Calendar'!$Q$1517=TYPE4)*(TYPE4&lt;&gt;"")+('Dvd Calendar'!$Q$1517=SPECIAL_LBL)*(INC_SPECIALS="Y"))=0,"",'Dvd Calendar'!$Q$1515)))</f>
        <v/>
      </c>
      <c r="P152" s="110">
        <f>IF(ER152="","",IF(ISNUMBER('Dvd Calendar'!$R$1515)=FALSE,"",IF((('Dvd Calendar'!$R$1517=TYPE1)*(TYPE1&lt;&gt;"")+('Dvd Calendar'!$R$1517=TYPE2)*(TYPE2&lt;&gt;"")+('Dvd Calendar'!$R$1517=TYPE3)*(TYPE3&lt;&gt;"")+('Dvd Calendar'!$R$1517=TYPE4)*(TYPE4&lt;&gt;"")+('Dvd Calendar'!$R$1517=SPECIAL_LBL)*(INC_SPECIALS="Y"))=0,"",'Dvd Calendar'!$R$1515)))</f>
        <v/>
      </c>
      <c r="Q152" s="110">
        <f>IF(ES152="","",IF(ISNUMBER('Dvd Calendar'!$S$1515)=FALSE,"",IF((('Dvd Calendar'!$S$1517=TYPE1)*(TYPE1&lt;&gt;"")+('Dvd Calendar'!$S$1517=TYPE2)*(TYPE2&lt;&gt;"")+('Dvd Calendar'!$S$1517=TYPE3)*(TYPE3&lt;&gt;"")+('Dvd Calendar'!$S$1517=TYPE4)*(TYPE4&lt;&gt;"")+('Dvd Calendar'!$S$1517=SPECIAL_LBL)*(INC_SPECIALS="Y"))=0,"",'Dvd Calendar'!$S$1515)))</f>
        <v/>
      </c>
      <c r="R152" s="110">
        <f>IF(ET152="","",IF(ISNUMBER('Dvd Calendar'!$T$1515)=FALSE,"",IF((('Dvd Calendar'!$T$1517=TYPE1)*(TYPE1&lt;&gt;"")+('Dvd Calendar'!$T$1517=TYPE2)*(TYPE2&lt;&gt;"")+('Dvd Calendar'!$T$1517=TYPE3)*(TYPE3&lt;&gt;"")+('Dvd Calendar'!$T$1517=TYPE4)*(TYPE4&lt;&gt;"")+('Dvd Calendar'!$T$1517=SPECIAL_LBL)*(INC_SPECIALS="Y"))=0,"",'Dvd Calendar'!$T$1515)))</f>
        <v/>
      </c>
      <c r="S152" s="110">
        <f>IF(EU152="","",IF(ISNUMBER('Dvd Calendar'!$U$1515)=FALSE,"",IF((('Dvd Calendar'!$U$1517=TYPE1)*(TYPE1&lt;&gt;"")+('Dvd Calendar'!$U$1517=TYPE2)*(TYPE2&lt;&gt;"")+('Dvd Calendar'!$U$1517=TYPE3)*(TYPE3&lt;&gt;"")+('Dvd Calendar'!$U$1517=TYPE4)*(TYPE4&lt;&gt;"")+('Dvd Calendar'!$U$1517=SPECIAL_LBL)*(INC_SPECIALS="Y"))=0,"",'Dvd Calendar'!$U$1515)))</f>
        <v/>
      </c>
      <c r="T152" s="110">
        <f>IF(EV152="","",IF(ISNUMBER('Dvd Calendar'!$V$1515)=FALSE,"",IF((('Dvd Calendar'!$V$1517=TYPE1)*(TYPE1&lt;&gt;"")+('Dvd Calendar'!$V$1517=TYPE2)*(TYPE2&lt;&gt;"")+('Dvd Calendar'!$V$1517=TYPE3)*(TYPE3&lt;&gt;"")+('Dvd Calendar'!$V$1517=TYPE4)*(TYPE4&lt;&gt;"")+('Dvd Calendar'!$V$1517=SPECIAL_LBL)*(INC_SPECIALS="Y"))=0,"",'Dvd Calendar'!$V$1515)))</f>
        <v/>
      </c>
      <c r="U152" s="110">
        <f>IF(EW152="","",IF(ISNUMBER('Dvd Calendar'!$W$1515)=FALSE,"",IF((('Dvd Calendar'!$W$1517=TYPE1)*(TYPE1&lt;&gt;"")+('Dvd Calendar'!$W$1517=TYPE2)*(TYPE2&lt;&gt;"")+('Dvd Calendar'!$W$1517=TYPE3)*(TYPE3&lt;&gt;"")+('Dvd Calendar'!$W$1517=TYPE4)*(TYPE4&lt;&gt;"")+('Dvd Calendar'!$W$1517=SPECIAL_LBL)*(INC_SPECIALS="Y"))=0,"",'Dvd Calendar'!$W$1515)))</f>
        <v/>
      </c>
      <c r="V152" s="110">
        <f>IF(EX152="","",IF(ISNUMBER('Dvd Calendar'!$X$1515)=FALSE,"",IF((('Dvd Calendar'!$X$1517=TYPE1)*(TYPE1&lt;&gt;"")+('Dvd Calendar'!$X$1517=TYPE2)*(TYPE2&lt;&gt;"")+('Dvd Calendar'!$X$1517=TYPE3)*(TYPE3&lt;&gt;"")+('Dvd Calendar'!$X$1517=TYPE4)*(TYPE4&lt;&gt;"")+('Dvd Calendar'!$X$1517=SPECIAL_LBL)*(INC_SPECIALS="Y"))=0,"",'Dvd Calendar'!$X$1515)))</f>
        <v/>
      </c>
      <c r="W152" s="110">
        <f>IF(EY152="","",IF(ISNUMBER('Dvd Calendar'!$Y$1515)=FALSE,"",IF((('Dvd Calendar'!$Y$1517=TYPE1)*(TYPE1&lt;&gt;"")+('Dvd Calendar'!$Y$1517=TYPE2)*(TYPE2&lt;&gt;"")+('Dvd Calendar'!$Y$1517=TYPE3)*(TYPE3&lt;&gt;"")+('Dvd Calendar'!$Y$1517=TYPE4)*(TYPE4&lt;&gt;"")+('Dvd Calendar'!$Y$1517=SPECIAL_LBL)*(INC_SPECIALS="Y"))=0,"",'Dvd Calendar'!$Y$1515)))</f>
        <v/>
      </c>
      <c r="X152" s="110">
        <f>IF(EZ152="","",IF(ISNUMBER('Dvd Calendar'!$Z$1515)=FALSE,"",IF((('Dvd Calendar'!$Z$1517=TYPE1)*(TYPE1&lt;&gt;"")+('Dvd Calendar'!$Z$1517=TYPE2)*(TYPE2&lt;&gt;"")+('Dvd Calendar'!$Z$1517=TYPE3)*(TYPE3&lt;&gt;"")+('Dvd Calendar'!$Z$1517=TYPE4)*(TYPE4&lt;&gt;"")+('Dvd Calendar'!$Z$1517=SPECIAL_LBL)*(INC_SPECIALS="Y"))=0,"",'Dvd Calendar'!$Z$1515)))</f>
        <v/>
      </c>
      <c r="Y152" s="110">
        <f>IF(FA152="","",IF(ISNUMBER('Dvd Calendar'!$AA$1515)=FALSE,"",IF((('Dvd Calendar'!$AA$1517=TYPE1)*(TYPE1&lt;&gt;"")+('Dvd Calendar'!$AA$1517=TYPE2)*(TYPE2&lt;&gt;"")+('Dvd Calendar'!$AA$1517=TYPE3)*(TYPE3&lt;&gt;"")+('Dvd Calendar'!$AA$1517=TYPE4)*(TYPE4&lt;&gt;"")+('Dvd Calendar'!$AA$1517=SPECIAL_LBL)*(INC_SPECIALS="Y"))=0,"",'Dvd Calendar'!$AA$1515)))</f>
        <v/>
      </c>
      <c r="Z152" s="110">
        <f>IF(FB152="","",IF(ISNUMBER('Dvd Calendar'!$AB$1515)=FALSE,"",IF((('Dvd Calendar'!$AB$1517=TYPE1)*(TYPE1&lt;&gt;"")+('Dvd Calendar'!$AB$1517=TYPE2)*(TYPE2&lt;&gt;"")+('Dvd Calendar'!$AB$1517=TYPE3)*(TYPE3&lt;&gt;"")+('Dvd Calendar'!$AB$1517=TYPE4)*(TYPE4&lt;&gt;"")+('Dvd Calendar'!$AB$1517=SPECIAL_LBL)*(INC_SPECIALS="Y"))=0,"",'Dvd Calendar'!$AB$1515)))</f>
        <v/>
      </c>
      <c r="AA152" s="110">
        <f>IF(FC152="","",IF(ISNUMBER('Dvd Calendar'!$AC$1515)=FALSE,"",IF((('Dvd Calendar'!$AC$1517=TYPE1)*(TYPE1&lt;&gt;"")+('Dvd Calendar'!$AC$1517=TYPE2)*(TYPE2&lt;&gt;"")+('Dvd Calendar'!$AC$1517=TYPE3)*(TYPE3&lt;&gt;"")+('Dvd Calendar'!$AC$1517=TYPE4)*(TYPE4&lt;&gt;"")+('Dvd Calendar'!$AC$1517=SPECIAL_LBL)*(INC_SPECIALS="Y"))=0,"",'Dvd Calendar'!$AC$1515)))</f>
        <v/>
      </c>
      <c r="AB152" s="110">
        <f>IF(FD152="","",IF(ISNUMBER('Dvd Calendar'!$AD$1515)=FALSE,"",IF((('Dvd Calendar'!$AD$1517=TYPE1)*(TYPE1&lt;&gt;"")+('Dvd Calendar'!$AD$1517=TYPE2)*(TYPE2&lt;&gt;"")+('Dvd Calendar'!$AD$1517=TYPE3)*(TYPE3&lt;&gt;"")+('Dvd Calendar'!$AD$1517=TYPE4)*(TYPE4&lt;&gt;"")+('Dvd Calendar'!$AD$1517=SPECIAL_LBL)*(INC_SPECIALS="Y"))=0,"",'Dvd Calendar'!$AD$1515)))</f>
        <v/>
      </c>
      <c r="AC152" s="110">
        <f>IF(FE152="","",IF(ISNUMBER('Dvd Calendar'!$AE$1515)=FALSE,"",IF((('Dvd Calendar'!$AE$1517=TYPE1)*(TYPE1&lt;&gt;"")+('Dvd Calendar'!$AE$1517=TYPE2)*(TYPE2&lt;&gt;"")+('Dvd Calendar'!$AE$1517=TYPE3)*(TYPE3&lt;&gt;"")+('Dvd Calendar'!$AE$1517=TYPE4)*(TYPE4&lt;&gt;"")+('Dvd Calendar'!$AE$1517=SPECIAL_LBL)*(INC_SPECIALS="Y"))=0,"",'Dvd Calendar'!$AE$1515)))</f>
        <v/>
      </c>
      <c r="AD152" s="110">
        <f>IF(FF152="","",IF(ISNUMBER('Dvd Calendar'!$AF$1515)=FALSE,"",IF((('Dvd Calendar'!$AF$1517=TYPE1)*(TYPE1&lt;&gt;"")+('Dvd Calendar'!$AF$1517=TYPE2)*(TYPE2&lt;&gt;"")+('Dvd Calendar'!$AF$1517=TYPE3)*(TYPE3&lt;&gt;"")+('Dvd Calendar'!$AF$1517=TYPE4)*(TYPE4&lt;&gt;"")+('Dvd Calendar'!$AF$1517=SPECIAL_LBL)*(INC_SPECIALS="Y"))=0,"",'Dvd Calendar'!$AF$1515)))</f>
        <v/>
      </c>
      <c r="AE152" s="110">
        <f>IF(FG152="","",IF(ISNUMBER('Dvd Calendar'!$AG$1515)=FALSE,"",IF((('Dvd Calendar'!$AG$1517=TYPE1)*(TYPE1&lt;&gt;"")+('Dvd Calendar'!$AG$1517=TYPE2)*(TYPE2&lt;&gt;"")+('Dvd Calendar'!$AG$1517=TYPE3)*(TYPE3&lt;&gt;"")+('Dvd Calendar'!$AG$1517=TYPE4)*(TYPE4&lt;&gt;"")+('Dvd Calendar'!$AG$1517=SPECIAL_LBL)*(INC_SPECIALS="Y"))=0,"",'Dvd Calendar'!$AG$1515)))</f>
        <v/>
      </c>
      <c r="AF152" s="110">
        <f>IF(FH152="","",IF(ISNUMBER('Dvd Calendar'!$AH$1515)=FALSE,"",IF((('Dvd Calendar'!$AH$1517=TYPE1)*(TYPE1&lt;&gt;"")+('Dvd Calendar'!$AH$1517=TYPE2)*(TYPE2&lt;&gt;"")+('Dvd Calendar'!$AH$1517=TYPE3)*(TYPE3&lt;&gt;"")+('Dvd Calendar'!$AH$1517=TYPE4)*(TYPE4&lt;&gt;"")+('Dvd Calendar'!$AH$1517=SPECIAL_LBL)*(INC_SPECIALS="Y"))=0,"",'Dvd Calendar'!$AH$1515)))</f>
        <v/>
      </c>
      <c r="AG152" s="110">
        <f>IF(FI152="","",IF(ISNUMBER('Dvd Calendar'!$AI$1515)=FALSE,"",IF((('Dvd Calendar'!$AI$1517=TYPE1)*(TYPE1&lt;&gt;"")+('Dvd Calendar'!$AI$1517=TYPE2)*(TYPE2&lt;&gt;"")+('Dvd Calendar'!$AI$1517=TYPE3)*(TYPE3&lt;&gt;"")+('Dvd Calendar'!$AI$1517=TYPE4)*(TYPE4&lt;&gt;"")+('Dvd Calendar'!$AI$1517=SPECIAL_LBL)*(INC_SPECIALS="Y"))=0,"",'Dvd Calendar'!$AI$1515)))</f>
        <v/>
      </c>
      <c r="AH152" s="110">
        <f>IF(FJ152="","",IF(ISNUMBER('Dvd Calendar'!$AJ$1515)=FALSE,"",IF((('Dvd Calendar'!$AJ$1517=TYPE1)*(TYPE1&lt;&gt;"")+('Dvd Calendar'!$AJ$1517=TYPE2)*(TYPE2&lt;&gt;"")+('Dvd Calendar'!$AJ$1517=TYPE3)*(TYPE3&lt;&gt;"")+('Dvd Calendar'!$AJ$1517=TYPE4)*(TYPE4&lt;&gt;"")+('Dvd Calendar'!$AJ$1517=SPECIAL_LBL)*(INC_SPECIALS="Y"))=0,"",'Dvd Calendar'!$AJ$1515)))</f>
        <v/>
      </c>
      <c r="AI152" s="110">
        <f>IF(FK152="","",IF(ISNUMBER('Dvd Calendar'!$AK$1515)=FALSE,"",IF((('Dvd Calendar'!$AK$1517=TYPE1)*(TYPE1&lt;&gt;"")+('Dvd Calendar'!$AK$1517=TYPE2)*(TYPE2&lt;&gt;"")+('Dvd Calendar'!$AK$1517=TYPE3)*(TYPE3&lt;&gt;"")+('Dvd Calendar'!$AK$1517=TYPE4)*(TYPE4&lt;&gt;"")+('Dvd Calendar'!$AK$1517=SPECIAL_LBL)*(INC_SPECIALS="Y"))=0,"",'Dvd Calendar'!$AK$1515)))</f>
        <v/>
      </c>
      <c r="AJ152" s="110">
        <f>IF(FL152="","",IF(ISNUMBER('Dvd Calendar'!$AL$1515)=FALSE,"",IF((('Dvd Calendar'!$AL$1517=TYPE1)*(TYPE1&lt;&gt;"")+('Dvd Calendar'!$AL$1517=TYPE2)*(TYPE2&lt;&gt;"")+('Dvd Calendar'!$AL$1517=TYPE3)*(TYPE3&lt;&gt;"")+('Dvd Calendar'!$AL$1517=TYPE4)*(TYPE4&lt;&gt;"")+('Dvd Calendar'!$AL$1517=SPECIAL_LBL)*(INC_SPECIALS="Y"))=0,"",'Dvd Calendar'!$AL$1515)))</f>
        <v/>
      </c>
      <c r="AK152" s="110">
        <f>IF(FM152="","",IF(ISNUMBER('Dvd Calendar'!$AM$1515)=FALSE,"",IF((('Dvd Calendar'!$AM$1517=TYPE1)*(TYPE1&lt;&gt;"")+('Dvd Calendar'!$AM$1517=TYPE2)*(TYPE2&lt;&gt;"")+('Dvd Calendar'!$AM$1517=TYPE3)*(TYPE3&lt;&gt;"")+('Dvd Calendar'!$AM$1517=TYPE4)*(TYPE4&lt;&gt;"")+('Dvd Calendar'!$AM$1517=SPECIAL_LBL)*(INC_SPECIALS="Y"))=0,"",'Dvd Calendar'!$AM$1515)))</f>
        <v/>
      </c>
      <c r="AL152" s="110">
        <f>IF(FN152="","",IF(ISNUMBER('Dvd Calendar'!$AN$1515)=FALSE,"",IF((('Dvd Calendar'!$AN$1517=TYPE1)*(TYPE1&lt;&gt;"")+('Dvd Calendar'!$AN$1517=TYPE2)*(TYPE2&lt;&gt;"")+('Dvd Calendar'!$AN$1517=TYPE3)*(TYPE3&lt;&gt;"")+('Dvd Calendar'!$AN$1517=TYPE4)*(TYPE4&lt;&gt;"")+('Dvd Calendar'!$AN$1517=SPECIAL_LBL)*(INC_SPECIALS="Y"))=0,"",'Dvd Calendar'!$AN$1515)))</f>
        <v/>
      </c>
      <c r="AM152" s="110">
        <f>IF(FO152="","",IF(ISNUMBER('Dvd Calendar'!$AO$1515)=FALSE,"",IF((('Dvd Calendar'!$AO$1517=TYPE1)*(TYPE1&lt;&gt;"")+('Dvd Calendar'!$AO$1517=TYPE2)*(TYPE2&lt;&gt;"")+('Dvd Calendar'!$AO$1517=TYPE3)*(TYPE3&lt;&gt;"")+('Dvd Calendar'!$AO$1517=TYPE4)*(TYPE4&lt;&gt;"")+('Dvd Calendar'!$AO$1517=SPECIAL_LBL)*(INC_SPECIALS="Y"))=0,"",'Dvd Calendar'!$AO$1515)))</f>
        <v/>
      </c>
      <c r="AN152" s="110">
        <f>IF(FP152="","",IF(ISNUMBER('Dvd Calendar'!$AP$1515)=FALSE,"",IF((('Dvd Calendar'!$AP$1517=TYPE1)*(TYPE1&lt;&gt;"")+('Dvd Calendar'!$AP$1517=TYPE2)*(TYPE2&lt;&gt;"")+('Dvd Calendar'!$AP$1517=TYPE3)*(TYPE3&lt;&gt;"")+('Dvd Calendar'!$AP$1517=TYPE4)*(TYPE4&lt;&gt;"")+('Dvd Calendar'!$AP$1517=SPECIAL_LBL)*(INC_SPECIALS="Y"))=0,"",'Dvd Calendar'!$AP$1515)))</f>
        <v/>
      </c>
      <c r="AO152" s="110">
        <f>IF(FQ152="","",IF(ISNUMBER('Dvd Calendar'!$AQ$1515)=FALSE,"",IF((('Dvd Calendar'!$AQ$1517=TYPE1)*(TYPE1&lt;&gt;"")+('Dvd Calendar'!$AQ$1517=TYPE2)*(TYPE2&lt;&gt;"")+('Dvd Calendar'!$AQ$1517=TYPE3)*(TYPE3&lt;&gt;"")+('Dvd Calendar'!$AQ$1517=TYPE4)*(TYPE4&lt;&gt;"")+('Dvd Calendar'!$AQ$1517=SPECIAL_LBL)*(INC_SPECIALS="Y"))=0,"",'Dvd Calendar'!$AQ$1515)))</f>
        <v/>
      </c>
      <c r="AP152" s="110">
        <f>IF(FR152="","",IF(ISNUMBER('Dvd Calendar'!$AR$1515)=FALSE,"",IF((('Dvd Calendar'!$AR$1517=TYPE1)*(TYPE1&lt;&gt;"")+('Dvd Calendar'!$AR$1517=TYPE2)*(TYPE2&lt;&gt;"")+('Dvd Calendar'!$AR$1517=TYPE3)*(TYPE3&lt;&gt;"")+('Dvd Calendar'!$AR$1517=TYPE4)*(TYPE4&lt;&gt;"")+('Dvd Calendar'!$AR$1517=SPECIAL_LBL)*(INC_SPECIALS="Y"))=0,"",'Dvd Calendar'!$AR$1515)))</f>
        <v/>
      </c>
      <c r="AQ152" s="110">
        <f>IF(FS152="","",IF(ISNUMBER('Dvd Calendar'!$E$1520)=FALSE,"",'Dvd Calendar'!$E$1520))</f>
        <v/>
      </c>
      <c r="AR152" s="110">
        <f>IF(FT152="","",IF(ISNUMBER('Dvd Calendar'!$F$1520)=FALSE,"",'Dvd Calendar'!$F$1520))</f>
        <v/>
      </c>
      <c r="AS152" s="110">
        <f>IF(FU152="","",IF(ISNUMBER('Dvd Calendar'!$G$1520)=FALSE,"",'Dvd Calendar'!$G$1520))</f>
        <v/>
      </c>
      <c r="AT152" s="110">
        <f>IF(FV152="","",IF(ISNUMBER('Dvd Calendar'!$H$1520)=FALSE,"",'Dvd Calendar'!$H$1520))</f>
        <v/>
      </c>
      <c r="AU152" s="110">
        <f>IF(FW152="","",IF(ISNUMBER('Dvd Calendar'!$I$1520)=FALSE,"",'Dvd Calendar'!$I$1520))</f>
        <v/>
      </c>
      <c r="AV152" s="110">
        <f>IF(FX152="","",IF(ISNUMBER('Dvd Calendar'!$J$1520)=FALSE,"",'Dvd Calendar'!$J$1520))</f>
        <v/>
      </c>
      <c r="AW152" s="110">
        <f>IF(FY152="","",IF(ISNUMBER('Dvd Calendar'!$K$1520)=FALSE,"",'Dvd Calendar'!$K$1520))</f>
        <v/>
      </c>
      <c r="AX152" s="110">
        <f>IF(FZ152="","",IF(ISNUMBER('Dvd Calendar'!$L$1520)=FALSE,"",'Dvd Calendar'!$L$1520))</f>
        <v/>
      </c>
      <c r="AY152" s="110">
        <f>IF(GA152="","",IF(ISNUMBER('Dvd Calendar'!$M$1520)=FALSE,"",'Dvd Calendar'!$M$1520))</f>
        <v/>
      </c>
      <c r="AZ152" s="110">
        <f>IF(GB152="","",IF(ISNUMBER('Dvd Calendar'!$N$1520)=FALSE,"",'Dvd Calendar'!$N$1520))</f>
        <v/>
      </c>
      <c r="BA152" s="110">
        <f>IF(GC152="","",IF(ISNUMBER('Dvd Calendar'!$O$1520)=FALSE,"",'Dvd Calendar'!$O$1520))</f>
        <v/>
      </c>
      <c r="BB152" s="110">
        <f>IF(GD152="","",IF(ISNUMBER('Dvd Calendar'!$P$1520)=FALSE,"",'Dvd Calendar'!$P$1520))</f>
        <v/>
      </c>
      <c r="BC152" s="110">
        <f>IF(GE152="","",IF(ISNUMBER('Dvd Calendar'!$Q$1520)=FALSE,"",'Dvd Calendar'!$Q$1520))</f>
        <v/>
      </c>
      <c r="BD152" s="110">
        <f>IF(GF152="","",IF(ISNUMBER('Dvd Calendar'!$R$1520)=FALSE,"",'Dvd Calendar'!$R$1520))</f>
        <v/>
      </c>
      <c r="BE152" s="110">
        <f>IF(GG152="","",IF(ISNUMBER('Dvd Calendar'!$S$1520)=FALSE,"",'Dvd Calendar'!$S$1520))</f>
        <v/>
      </c>
      <c r="BF152" s="110">
        <f>IF(GH152="","",IF(ISNUMBER('Dvd Calendar'!$T$1520)=FALSE,"",'Dvd Calendar'!$T$1520))</f>
        <v/>
      </c>
      <c r="BG152" s="110">
        <f>IF(GI152="","",IF(ISNUMBER('Dvd Calendar'!$U$1520)=FALSE,"",'Dvd Calendar'!$U$1520))</f>
        <v/>
      </c>
      <c r="BH152" s="110">
        <f>IF(GJ152="","",IF(ISNUMBER('Dvd Calendar'!$V$1520)=FALSE,"",'Dvd Calendar'!$V$1520))</f>
        <v/>
      </c>
      <c r="BI152" s="110">
        <f>IF(GK152="","",IF(ISNUMBER('Dvd Calendar'!$W$1520)=FALSE,"",'Dvd Calendar'!$W$1520))</f>
        <v/>
      </c>
      <c r="BJ152" s="110">
        <f>IF(GL152="","",IF(ISNUMBER('Dvd Calendar'!$X$1520)=FALSE,"",'Dvd Calendar'!$X$1520))</f>
        <v/>
      </c>
      <c r="BK152" s="110">
        <f>IF(GM152="","",IF(ISNUMBER('Dvd Calendar'!$Y$1520)=FALSE,"",'Dvd Calendar'!$Y$1520))</f>
        <v/>
      </c>
      <c r="BL152" s="110">
        <f>IF(GN152="","",IF(ISNUMBER('Dvd Calendar'!$Z$1520)=FALSE,"",'Dvd Calendar'!$Z$1520))</f>
        <v/>
      </c>
      <c r="BM152" s="110">
        <f>IF(GO152="","",IF(ISNUMBER('Dvd Calendar'!$AA$1520)=FALSE,"",'Dvd Calendar'!$AA$1520))</f>
        <v/>
      </c>
      <c r="BN152" s="110">
        <f>IF(GP152="","",IF(ISNUMBER('Dvd Calendar'!$AB$1520)=FALSE,"",'Dvd Calendar'!$AB$1520))</f>
        <v/>
      </c>
      <c r="BO152" s="110">
        <f>IF(GQ152="","",IF(ISNUMBER('Dvd Calendar'!$AC$1520)=FALSE,"",'Dvd Calendar'!$AC$1520))</f>
        <v/>
      </c>
      <c r="BQ152" s="110">
        <f>IF(C152="","",IFERROR(C152*HSTECH!$B$43*HSTECH!$G$43/HSTECH!$B$3,""))</f>
        <v/>
      </c>
      <c r="BR152" s="110">
        <f>IF(D152="","",IFERROR(D152*HSTECH!$B$43*HSTECH!$G$43/HSTECH!$B$3,""))</f>
        <v/>
      </c>
      <c r="BS152" s="110">
        <f>IF(E152="","",IFERROR(E152*HSTECH!$B$43*HSTECH!$G$43/HSTECH!$B$3,""))</f>
        <v/>
      </c>
      <c r="BT152" s="110">
        <f>IF(F152="","",IFERROR(F152*HSTECH!$B$43*HSTECH!$G$43/HSTECH!$B$3,""))</f>
        <v/>
      </c>
      <c r="BU152" s="110">
        <f>IF(G152="","",IFERROR(G152*HSTECH!$B$43*HSTECH!$G$43/HSTECH!$B$3,""))</f>
        <v/>
      </c>
      <c r="BV152" s="110">
        <f>IF(H152="","",IFERROR(H152*HSTECH!$B$43*HSTECH!$G$43/HSTECH!$B$3,""))</f>
        <v/>
      </c>
      <c r="BW152" s="110">
        <f>IF(I152="","",IFERROR(I152*HSTECH!$B$43*HSTECH!$G$43/HSTECH!$B$3,""))</f>
        <v/>
      </c>
      <c r="BX152" s="110">
        <f>IF(J152="","",IFERROR(J152*HSTECH!$B$43*HSTECH!$G$43/HSTECH!$B$3,""))</f>
        <v/>
      </c>
      <c r="BY152" s="110">
        <f>IF(K152="","",IFERROR(K152*HSTECH!$B$43*HSTECH!$G$43/HSTECH!$B$3,""))</f>
        <v/>
      </c>
      <c r="BZ152" s="110">
        <f>IF(L152="","",IFERROR(L152*HSTECH!$B$43*HSTECH!$G$43/HSTECH!$B$3,""))</f>
        <v/>
      </c>
      <c r="CA152" s="110">
        <f>IF(M152="","",IFERROR(M152*HSTECH!$B$43*HSTECH!$G$43/HSTECH!$B$3,""))</f>
        <v/>
      </c>
      <c r="CB152" s="110">
        <f>IF(N152="","",IFERROR(N152*HSTECH!$B$43*HSTECH!$G$43/HSTECH!$B$3,""))</f>
        <v/>
      </c>
      <c r="CC152" s="110">
        <f>IF(O152="","",IFERROR(O152*HSTECH!$B$43*HSTECH!$G$43/HSTECH!$B$3,""))</f>
        <v/>
      </c>
      <c r="CD152" s="110">
        <f>IF(P152="","",IFERROR(P152*HSTECH!$B$43*HSTECH!$G$43/HSTECH!$B$3,""))</f>
        <v/>
      </c>
      <c r="CE152" s="110">
        <f>IF(Q152="","",IFERROR(Q152*HSTECH!$B$43*HSTECH!$G$43/HSTECH!$B$3,""))</f>
        <v/>
      </c>
      <c r="CF152" s="110">
        <f>IF(R152="","",IFERROR(R152*HSTECH!$B$43*HSTECH!$G$43/HSTECH!$B$3,""))</f>
        <v/>
      </c>
      <c r="CG152" s="110">
        <f>IF(S152="","",IFERROR(S152*HSTECH!$B$43*HSTECH!$G$43/HSTECH!$B$3,""))</f>
        <v/>
      </c>
      <c r="CH152" s="110">
        <f>IF(T152="","",IFERROR(T152*HSTECH!$B$43*HSTECH!$G$43/HSTECH!$B$3,""))</f>
        <v/>
      </c>
      <c r="CI152" s="110">
        <f>IF(U152="","",IFERROR(U152*HSTECH!$B$43*HSTECH!$G$43/HSTECH!$B$3,""))</f>
        <v/>
      </c>
      <c r="CJ152" s="110">
        <f>IF(V152="","",IFERROR(V152*HSTECH!$B$43*HSTECH!$G$43/HSTECH!$B$3,""))</f>
        <v/>
      </c>
      <c r="CK152" s="110">
        <f>IF(W152="","",IFERROR(W152*HSTECH!$B$43*HSTECH!$G$43/HSTECH!$B$3,""))</f>
        <v/>
      </c>
      <c r="CL152" s="110">
        <f>IF(X152="","",IFERROR(X152*HSTECH!$B$43*HSTECH!$G$43/HSTECH!$B$3,""))</f>
        <v/>
      </c>
      <c r="CM152" s="110">
        <f>IF(Y152="","",IFERROR(Y152*HSTECH!$B$43*HSTECH!$G$43/HSTECH!$B$3,""))</f>
        <v/>
      </c>
      <c r="CN152" s="110">
        <f>IF(Z152="","",IFERROR(Z152*HSTECH!$B$43*HSTECH!$G$43/HSTECH!$B$3,""))</f>
        <v/>
      </c>
      <c r="CO152" s="110">
        <f>IF(AA152="","",IFERROR(AA152*HSTECH!$B$43*HSTECH!$G$43/HSTECH!$B$3,""))</f>
        <v/>
      </c>
      <c r="CP152" s="110">
        <f>IF(AB152="","",IFERROR(AB152*HSTECH!$B$43*HSTECH!$G$43/HSTECH!$B$3,""))</f>
        <v/>
      </c>
      <c r="CQ152" s="110">
        <f>IF(AC152="","",IFERROR(AC152*HSTECH!$B$43*HSTECH!$G$43/HSTECH!$B$3,""))</f>
        <v/>
      </c>
      <c r="CR152" s="110">
        <f>IF(AD152="","",IFERROR(AD152*HSTECH!$B$43*HSTECH!$G$43/HSTECH!$B$3,""))</f>
        <v/>
      </c>
      <c r="CS152" s="110">
        <f>IF(AE152="","",IFERROR(AE152*HSTECH!$B$43*HSTECH!$G$43/HSTECH!$B$3,""))</f>
        <v/>
      </c>
      <c r="CT152" s="110">
        <f>IF(AF152="","",IFERROR(AF152*HSTECH!$B$43*HSTECH!$G$43/HSTECH!$B$3,""))</f>
        <v/>
      </c>
      <c r="CU152" s="110">
        <f>IF(AG152="","",IFERROR(AG152*HSTECH!$B$43*HSTECH!$G$43/HSTECH!$B$3,""))</f>
        <v/>
      </c>
      <c r="CV152" s="110">
        <f>IF(AH152="","",IFERROR(AH152*HSTECH!$B$43*HSTECH!$G$43/HSTECH!$B$3,""))</f>
        <v/>
      </c>
      <c r="CW152" s="110">
        <f>IF(AI152="","",IFERROR(AI152*HSTECH!$B$43*HSTECH!$G$43/HSTECH!$B$3,""))</f>
        <v/>
      </c>
      <c r="CX152" s="110">
        <f>IF(AJ152="","",IFERROR(AJ152*HSTECH!$B$43*HSTECH!$G$43/HSTECH!$B$3,""))</f>
        <v/>
      </c>
      <c r="CY152" s="110">
        <f>IF(AK152="","",IFERROR(AK152*HSTECH!$B$43*HSTECH!$G$43/HSTECH!$B$3,""))</f>
        <v/>
      </c>
      <c r="CZ152" s="110">
        <f>IF(AL152="","",IFERROR(AL152*HSTECH!$B$43*HSTECH!$G$43/HSTECH!$B$3,""))</f>
        <v/>
      </c>
      <c r="DA152" s="110">
        <f>IF(AM152="","",IFERROR(AM152*HSTECH!$B$43*HSTECH!$G$43/HSTECH!$B$3,""))</f>
        <v/>
      </c>
      <c r="DB152" s="110">
        <f>IF(AN152="","",IFERROR(AN152*HSTECH!$B$43*HSTECH!$G$43/HSTECH!$B$3,""))</f>
        <v/>
      </c>
      <c r="DC152" s="110">
        <f>IF(AO152="","",IFERROR(AO152*HSTECH!$B$43*HSTECH!$G$43/HSTECH!$B$3,""))</f>
        <v/>
      </c>
      <c r="DD152" s="110">
        <f>IF(AP152="","",IFERROR(AP152*HSTECH!$B$43*HSTECH!$G$43/HSTECH!$B$3,""))</f>
        <v/>
      </c>
      <c r="DE152" s="110">
        <f>IF(AQ152="","",IFERROR(AQ152*HSTECH!$B$43*HSTECH!$G$43/HSTECH!$B$3,""))</f>
        <v/>
      </c>
      <c r="DF152" s="110">
        <f>IF(AR152="","",IFERROR(AR152*HSTECH!$B$43*HSTECH!$G$43/HSTECH!$B$3,""))</f>
        <v/>
      </c>
      <c r="DG152" s="110">
        <f>IF(AS152="","",IFERROR(AS152*HSTECH!$B$43*HSTECH!$G$43/HSTECH!$B$3,""))</f>
        <v/>
      </c>
      <c r="DH152" s="110">
        <f>IF(AT152="","",IFERROR(AT152*HSTECH!$B$43*HSTECH!$G$43/HSTECH!$B$3,""))</f>
        <v/>
      </c>
      <c r="DI152" s="110">
        <f>IF(AU152="","",IFERROR(AU152*HSTECH!$B$43*HSTECH!$G$43/HSTECH!$B$3,""))</f>
        <v/>
      </c>
      <c r="DJ152" s="110">
        <f>IF(AV152="","",IFERROR(AV152*HSTECH!$B$43*HSTECH!$G$43/HSTECH!$B$3,""))</f>
        <v/>
      </c>
      <c r="DK152" s="110">
        <f>IF(AW152="","",IFERROR(AW152*HSTECH!$B$43*HSTECH!$G$43/HSTECH!$B$3,""))</f>
        <v/>
      </c>
      <c r="DL152" s="110">
        <f>IF(AX152="","",IFERROR(AX152*HSTECH!$B$43*HSTECH!$G$43/HSTECH!$B$3,""))</f>
        <v/>
      </c>
      <c r="DM152" s="110">
        <f>IF(AY152="","",IFERROR(AY152*HSTECH!$B$43*HSTECH!$G$43/HSTECH!$B$3,""))</f>
        <v/>
      </c>
      <c r="DN152" s="110">
        <f>IF(AZ152="","",IFERROR(AZ152*HSTECH!$B$43*HSTECH!$G$43/HSTECH!$B$3,""))</f>
        <v/>
      </c>
      <c r="DO152" s="110">
        <f>IF(BA152="","",IFERROR(BA152*HSTECH!$B$43*HSTECH!$G$43/HSTECH!$B$3,""))</f>
        <v/>
      </c>
      <c r="DP152" s="110">
        <f>IF(BB152="","",IFERROR(BB152*HSTECH!$B$43*HSTECH!$G$43/HSTECH!$B$3,""))</f>
        <v/>
      </c>
      <c r="DQ152" s="110">
        <f>IF(BC152="","",IFERROR(BC152*HSTECH!$B$43*HSTECH!$G$43/HSTECH!$B$3,""))</f>
        <v/>
      </c>
      <c r="DR152" s="110">
        <f>IF(BD152="","",IFERROR(BD152*HSTECH!$B$43*HSTECH!$G$43/HSTECH!$B$3,""))</f>
        <v/>
      </c>
      <c r="DS152" s="110">
        <f>IF(BE152="","",IFERROR(BE152*HSTECH!$B$43*HSTECH!$G$43/HSTECH!$B$3,""))</f>
        <v/>
      </c>
      <c r="DT152" s="110">
        <f>IF(BF152="","",IFERROR(BF152*HSTECH!$B$43*HSTECH!$G$43/HSTECH!$B$3,""))</f>
        <v/>
      </c>
      <c r="DU152" s="110">
        <f>IF(BG152="","",IFERROR(BG152*HSTECH!$B$43*HSTECH!$G$43/HSTECH!$B$3,""))</f>
        <v/>
      </c>
      <c r="DV152" s="110">
        <f>IF(BH152="","",IFERROR(BH152*HSTECH!$B$43*HSTECH!$G$43/HSTECH!$B$3,""))</f>
        <v/>
      </c>
      <c r="DW152" s="110">
        <f>IF(BI152="","",IFERROR(BI152*HSTECH!$B$43*HSTECH!$G$43/HSTECH!$B$3,""))</f>
        <v/>
      </c>
      <c r="DX152" s="110">
        <f>IF(BJ152="","",IFERROR(BJ152*HSTECH!$B$43*HSTECH!$G$43/HSTECH!$B$3,""))</f>
        <v/>
      </c>
      <c r="DY152" s="110">
        <f>IF(BK152="","",IFERROR(BK152*HSTECH!$B$43*HSTECH!$G$43/HSTECH!$B$3,""))</f>
        <v/>
      </c>
      <c r="DZ152" s="110">
        <f>IF(BL152="","",IFERROR(BL152*HSTECH!$B$43*HSTECH!$G$43/HSTECH!$B$3,""))</f>
        <v/>
      </c>
      <c r="EA152" s="110">
        <f>IF(BM152="","",IFERROR(BM152*HSTECH!$B$43*HSTECH!$G$43/HSTECH!$B$3,""))</f>
        <v/>
      </c>
      <c r="EB152" s="110">
        <f>IF(BN152="","",IFERROR(BN152*HSTECH!$B$43*HSTECH!$G$43/HSTECH!$B$3,""))</f>
        <v/>
      </c>
      <c r="EC152" s="110">
        <f>IF(BO152="","",IFERROR(BO152*HSTECH!$B$43*HSTECH!$G$43/HSTECH!$B$3,""))</f>
        <v/>
      </c>
      <c r="EE152" s="39">
        <f>IF(N('Dvd Calendar'!$E$1512)=0,"",IF(('Dvd Calendar'!$E$1512&gt;=GRID_FROM)*('Dvd Calendar'!$E$1512&lt;=GRID_TO)*((('Dvd Calendar'!$E$1512&lt;=VAL_DATE)+(COUNTIF('Dvd Calendar'!$E$1519:$AR$1519,'Dvd Calendar'!$E$1512)=0))&gt;0)=0,"",'Dvd Calendar'!$E$1512*1000000000+ISNUMBER('Dvd Calendar'!$E$1515)*100000000+('Dvd Calendar'!$E$1517=SPECIAL_LBL)*10000000+(N('Dvd Calendar'!$E$1511)&gt;0)*(N('Dvd Calendar'!$E$1511)&lt;=VAL_SERIAL)*1000000+37*1000+1))</f>
        <v/>
      </c>
      <c r="EF152" s="39">
        <f>IF(N('Dvd Calendar'!$F$1512)=0,"",IF(('Dvd Calendar'!$F$1512&gt;=GRID_FROM)*('Dvd Calendar'!$F$1512&lt;=GRID_TO)*((('Dvd Calendar'!$F$1512&lt;=VAL_DATE)+(COUNTIF('Dvd Calendar'!$E$1519:$AR$1519,'Dvd Calendar'!$F$1512)=0))&gt;0)=0,"",'Dvd Calendar'!$F$1512*1000000000+ISNUMBER('Dvd Calendar'!$F$1515)*100000000+('Dvd Calendar'!$F$1517=SPECIAL_LBL)*10000000+(N('Dvd Calendar'!$F$1511)&gt;0)*(N('Dvd Calendar'!$F$1511)&lt;=VAL_SERIAL)*1000000+37*1000+2))</f>
        <v/>
      </c>
      <c r="EG152" s="39">
        <f>IF(N('Dvd Calendar'!$G$1512)=0,"",IF(('Dvd Calendar'!$G$1512&gt;=GRID_FROM)*('Dvd Calendar'!$G$1512&lt;=GRID_TO)*((('Dvd Calendar'!$G$1512&lt;=VAL_DATE)+(COUNTIF('Dvd Calendar'!$E$1519:$AR$1519,'Dvd Calendar'!$G$1512)=0))&gt;0)=0,"",'Dvd Calendar'!$G$1512*1000000000+ISNUMBER('Dvd Calendar'!$G$1515)*100000000+('Dvd Calendar'!$G$1517=SPECIAL_LBL)*10000000+(N('Dvd Calendar'!$G$1511)&gt;0)*(N('Dvd Calendar'!$G$1511)&lt;=VAL_SERIAL)*1000000+37*1000+3))</f>
        <v/>
      </c>
      <c r="EH152" s="39">
        <f>IF(N('Dvd Calendar'!$H$1512)=0,"",IF(('Dvd Calendar'!$H$1512&gt;=GRID_FROM)*('Dvd Calendar'!$H$1512&lt;=GRID_TO)*((('Dvd Calendar'!$H$1512&lt;=VAL_DATE)+(COUNTIF('Dvd Calendar'!$E$1519:$AR$1519,'Dvd Calendar'!$H$1512)=0))&gt;0)=0,"",'Dvd Calendar'!$H$1512*1000000000+ISNUMBER('Dvd Calendar'!$H$1515)*100000000+('Dvd Calendar'!$H$1517=SPECIAL_LBL)*10000000+(N('Dvd Calendar'!$H$1511)&gt;0)*(N('Dvd Calendar'!$H$1511)&lt;=VAL_SERIAL)*1000000+37*1000+4))</f>
        <v/>
      </c>
      <c r="EI152" s="39">
        <f>IF(N('Dvd Calendar'!$I$1512)=0,"",IF(('Dvd Calendar'!$I$1512&gt;=GRID_FROM)*('Dvd Calendar'!$I$1512&lt;=GRID_TO)*((('Dvd Calendar'!$I$1512&lt;=VAL_DATE)+(COUNTIF('Dvd Calendar'!$E$1519:$AR$1519,'Dvd Calendar'!$I$1512)=0))&gt;0)=0,"",'Dvd Calendar'!$I$1512*1000000000+ISNUMBER('Dvd Calendar'!$I$1515)*100000000+('Dvd Calendar'!$I$1517=SPECIAL_LBL)*10000000+(N('Dvd Calendar'!$I$1511)&gt;0)*(N('Dvd Calendar'!$I$1511)&lt;=VAL_SERIAL)*1000000+37*1000+5))</f>
        <v/>
      </c>
      <c r="EJ152" s="39">
        <f>IF(N('Dvd Calendar'!$J$1512)=0,"",IF(('Dvd Calendar'!$J$1512&gt;=GRID_FROM)*('Dvd Calendar'!$J$1512&lt;=GRID_TO)*((('Dvd Calendar'!$J$1512&lt;=VAL_DATE)+(COUNTIF('Dvd Calendar'!$E$1519:$AR$1519,'Dvd Calendar'!$J$1512)=0))&gt;0)=0,"",'Dvd Calendar'!$J$1512*1000000000+ISNUMBER('Dvd Calendar'!$J$1515)*100000000+('Dvd Calendar'!$J$1517=SPECIAL_LBL)*10000000+(N('Dvd Calendar'!$J$1511)&gt;0)*(N('Dvd Calendar'!$J$1511)&lt;=VAL_SERIAL)*1000000+37*1000+6))</f>
        <v/>
      </c>
      <c r="EK152" s="39">
        <f>IF(N('Dvd Calendar'!$K$1512)=0,"",IF(('Dvd Calendar'!$K$1512&gt;=GRID_FROM)*('Dvd Calendar'!$K$1512&lt;=GRID_TO)*((('Dvd Calendar'!$K$1512&lt;=VAL_DATE)+(COUNTIF('Dvd Calendar'!$E$1519:$AR$1519,'Dvd Calendar'!$K$1512)=0))&gt;0)=0,"",'Dvd Calendar'!$K$1512*1000000000+ISNUMBER('Dvd Calendar'!$K$1515)*100000000+('Dvd Calendar'!$K$1517=SPECIAL_LBL)*10000000+(N('Dvd Calendar'!$K$1511)&gt;0)*(N('Dvd Calendar'!$K$1511)&lt;=VAL_SERIAL)*1000000+37*1000+7))</f>
        <v/>
      </c>
      <c r="EL152" s="39">
        <f>IF(N('Dvd Calendar'!$L$1512)=0,"",IF(('Dvd Calendar'!$L$1512&gt;=GRID_FROM)*('Dvd Calendar'!$L$1512&lt;=GRID_TO)*((('Dvd Calendar'!$L$1512&lt;=VAL_DATE)+(COUNTIF('Dvd Calendar'!$E$1519:$AR$1519,'Dvd Calendar'!$L$1512)=0))&gt;0)=0,"",'Dvd Calendar'!$L$1512*1000000000+ISNUMBER('Dvd Calendar'!$L$1515)*100000000+('Dvd Calendar'!$L$1517=SPECIAL_LBL)*10000000+(N('Dvd Calendar'!$L$1511)&gt;0)*(N('Dvd Calendar'!$L$1511)&lt;=VAL_SERIAL)*1000000+37*1000+8))</f>
        <v/>
      </c>
      <c r="EM152" s="39">
        <f>IF(N('Dvd Calendar'!$M$1512)=0,"",IF(('Dvd Calendar'!$M$1512&gt;=GRID_FROM)*('Dvd Calendar'!$M$1512&lt;=GRID_TO)*((('Dvd Calendar'!$M$1512&lt;=VAL_DATE)+(COUNTIF('Dvd Calendar'!$E$1519:$AR$1519,'Dvd Calendar'!$M$1512)=0))&gt;0)=0,"",'Dvd Calendar'!$M$1512*1000000000+ISNUMBER('Dvd Calendar'!$M$1515)*100000000+('Dvd Calendar'!$M$1517=SPECIAL_LBL)*10000000+(N('Dvd Calendar'!$M$1511)&gt;0)*(N('Dvd Calendar'!$M$1511)&lt;=VAL_SERIAL)*1000000+37*1000+9))</f>
        <v/>
      </c>
      <c r="EN152" s="39">
        <f>IF(N('Dvd Calendar'!$N$1512)=0,"",IF(('Dvd Calendar'!$N$1512&gt;=GRID_FROM)*('Dvd Calendar'!$N$1512&lt;=GRID_TO)*((('Dvd Calendar'!$N$1512&lt;=VAL_DATE)+(COUNTIF('Dvd Calendar'!$E$1519:$AR$1519,'Dvd Calendar'!$N$1512)=0))&gt;0)=0,"",'Dvd Calendar'!$N$1512*1000000000+ISNUMBER('Dvd Calendar'!$N$1515)*100000000+('Dvd Calendar'!$N$1517=SPECIAL_LBL)*10000000+(N('Dvd Calendar'!$N$1511)&gt;0)*(N('Dvd Calendar'!$N$1511)&lt;=VAL_SERIAL)*1000000+37*1000+10))</f>
        <v/>
      </c>
      <c r="EO152" s="39">
        <f>IF(N('Dvd Calendar'!$O$1512)=0,"",IF(('Dvd Calendar'!$O$1512&gt;=GRID_FROM)*('Dvd Calendar'!$O$1512&lt;=GRID_TO)*((('Dvd Calendar'!$O$1512&lt;=VAL_DATE)+(COUNTIF('Dvd Calendar'!$E$1519:$AR$1519,'Dvd Calendar'!$O$1512)=0))&gt;0)=0,"",'Dvd Calendar'!$O$1512*1000000000+ISNUMBER('Dvd Calendar'!$O$1515)*100000000+('Dvd Calendar'!$O$1517=SPECIAL_LBL)*10000000+(N('Dvd Calendar'!$O$1511)&gt;0)*(N('Dvd Calendar'!$O$1511)&lt;=VAL_SERIAL)*1000000+37*1000+11))</f>
        <v/>
      </c>
      <c r="EP152" s="39">
        <f>IF(N('Dvd Calendar'!$P$1512)=0,"",IF(('Dvd Calendar'!$P$1512&gt;=GRID_FROM)*('Dvd Calendar'!$P$1512&lt;=GRID_TO)*((('Dvd Calendar'!$P$1512&lt;=VAL_DATE)+(COUNTIF('Dvd Calendar'!$E$1519:$AR$1519,'Dvd Calendar'!$P$1512)=0))&gt;0)=0,"",'Dvd Calendar'!$P$1512*1000000000+ISNUMBER('Dvd Calendar'!$P$1515)*100000000+('Dvd Calendar'!$P$1517=SPECIAL_LBL)*10000000+(N('Dvd Calendar'!$P$1511)&gt;0)*(N('Dvd Calendar'!$P$1511)&lt;=VAL_SERIAL)*1000000+37*1000+12))</f>
        <v/>
      </c>
      <c r="EQ152" s="39">
        <f>IF(N('Dvd Calendar'!$Q$1512)=0,"",IF(('Dvd Calendar'!$Q$1512&gt;=GRID_FROM)*('Dvd Calendar'!$Q$1512&lt;=GRID_TO)*((('Dvd Calendar'!$Q$1512&lt;=VAL_DATE)+(COUNTIF('Dvd Calendar'!$E$1519:$AR$1519,'Dvd Calendar'!$Q$1512)=0))&gt;0)=0,"",'Dvd Calendar'!$Q$1512*1000000000+ISNUMBER('Dvd Calendar'!$Q$1515)*100000000+('Dvd Calendar'!$Q$1517=SPECIAL_LBL)*10000000+(N('Dvd Calendar'!$Q$1511)&gt;0)*(N('Dvd Calendar'!$Q$1511)&lt;=VAL_SERIAL)*1000000+37*1000+13))</f>
        <v/>
      </c>
      <c r="ER152" s="39">
        <f>IF(N('Dvd Calendar'!$R$1512)=0,"",IF(('Dvd Calendar'!$R$1512&gt;=GRID_FROM)*('Dvd Calendar'!$R$1512&lt;=GRID_TO)*((('Dvd Calendar'!$R$1512&lt;=VAL_DATE)+(COUNTIF('Dvd Calendar'!$E$1519:$AR$1519,'Dvd Calendar'!$R$1512)=0))&gt;0)=0,"",'Dvd Calendar'!$R$1512*1000000000+ISNUMBER('Dvd Calendar'!$R$1515)*100000000+('Dvd Calendar'!$R$1517=SPECIAL_LBL)*10000000+(N('Dvd Calendar'!$R$1511)&gt;0)*(N('Dvd Calendar'!$R$1511)&lt;=VAL_SERIAL)*1000000+37*1000+14))</f>
        <v/>
      </c>
      <c r="ES152" s="39">
        <f>IF(N('Dvd Calendar'!$S$1512)=0,"",IF(('Dvd Calendar'!$S$1512&gt;=GRID_FROM)*('Dvd Calendar'!$S$1512&lt;=GRID_TO)*((('Dvd Calendar'!$S$1512&lt;=VAL_DATE)+(COUNTIF('Dvd Calendar'!$E$1519:$AR$1519,'Dvd Calendar'!$S$1512)=0))&gt;0)=0,"",'Dvd Calendar'!$S$1512*1000000000+ISNUMBER('Dvd Calendar'!$S$1515)*100000000+('Dvd Calendar'!$S$1517=SPECIAL_LBL)*10000000+(N('Dvd Calendar'!$S$1511)&gt;0)*(N('Dvd Calendar'!$S$1511)&lt;=VAL_SERIAL)*1000000+37*1000+15))</f>
        <v/>
      </c>
      <c r="ET152" s="39">
        <f>IF(N('Dvd Calendar'!$T$1512)=0,"",IF(('Dvd Calendar'!$T$1512&gt;=GRID_FROM)*('Dvd Calendar'!$T$1512&lt;=GRID_TO)*((('Dvd Calendar'!$T$1512&lt;=VAL_DATE)+(COUNTIF('Dvd Calendar'!$E$1519:$AR$1519,'Dvd Calendar'!$T$1512)=0))&gt;0)=0,"",'Dvd Calendar'!$T$1512*1000000000+ISNUMBER('Dvd Calendar'!$T$1515)*100000000+('Dvd Calendar'!$T$1517=SPECIAL_LBL)*10000000+(N('Dvd Calendar'!$T$1511)&gt;0)*(N('Dvd Calendar'!$T$1511)&lt;=VAL_SERIAL)*1000000+37*1000+16))</f>
        <v/>
      </c>
      <c r="EU152" s="39">
        <f>IF(N('Dvd Calendar'!$U$1512)=0,"",IF(('Dvd Calendar'!$U$1512&gt;=GRID_FROM)*('Dvd Calendar'!$U$1512&lt;=GRID_TO)*((('Dvd Calendar'!$U$1512&lt;=VAL_DATE)+(COUNTIF('Dvd Calendar'!$E$1519:$AR$1519,'Dvd Calendar'!$U$1512)=0))&gt;0)=0,"",'Dvd Calendar'!$U$1512*1000000000+ISNUMBER('Dvd Calendar'!$U$1515)*100000000+('Dvd Calendar'!$U$1517=SPECIAL_LBL)*10000000+(N('Dvd Calendar'!$U$1511)&gt;0)*(N('Dvd Calendar'!$U$1511)&lt;=VAL_SERIAL)*1000000+37*1000+17))</f>
        <v/>
      </c>
      <c r="EV152" s="39">
        <f>IF(N('Dvd Calendar'!$V$1512)=0,"",IF(('Dvd Calendar'!$V$1512&gt;=GRID_FROM)*('Dvd Calendar'!$V$1512&lt;=GRID_TO)*((('Dvd Calendar'!$V$1512&lt;=VAL_DATE)+(COUNTIF('Dvd Calendar'!$E$1519:$AR$1519,'Dvd Calendar'!$V$1512)=0))&gt;0)=0,"",'Dvd Calendar'!$V$1512*1000000000+ISNUMBER('Dvd Calendar'!$V$1515)*100000000+('Dvd Calendar'!$V$1517=SPECIAL_LBL)*10000000+(N('Dvd Calendar'!$V$1511)&gt;0)*(N('Dvd Calendar'!$V$1511)&lt;=VAL_SERIAL)*1000000+37*1000+18))</f>
        <v/>
      </c>
      <c r="EW152" s="39">
        <f>IF(N('Dvd Calendar'!$W$1512)=0,"",IF(('Dvd Calendar'!$W$1512&gt;=GRID_FROM)*('Dvd Calendar'!$W$1512&lt;=GRID_TO)*((('Dvd Calendar'!$W$1512&lt;=VAL_DATE)+(COUNTIF('Dvd Calendar'!$E$1519:$AR$1519,'Dvd Calendar'!$W$1512)=0))&gt;0)=0,"",'Dvd Calendar'!$W$1512*1000000000+ISNUMBER('Dvd Calendar'!$W$1515)*100000000+('Dvd Calendar'!$W$1517=SPECIAL_LBL)*10000000+(N('Dvd Calendar'!$W$1511)&gt;0)*(N('Dvd Calendar'!$W$1511)&lt;=VAL_SERIAL)*1000000+37*1000+19))</f>
        <v/>
      </c>
      <c r="EX152" s="39">
        <f>IF(N('Dvd Calendar'!$X$1512)=0,"",IF(('Dvd Calendar'!$X$1512&gt;=GRID_FROM)*('Dvd Calendar'!$X$1512&lt;=GRID_TO)*((('Dvd Calendar'!$X$1512&lt;=VAL_DATE)+(COUNTIF('Dvd Calendar'!$E$1519:$AR$1519,'Dvd Calendar'!$X$1512)=0))&gt;0)=0,"",'Dvd Calendar'!$X$1512*1000000000+ISNUMBER('Dvd Calendar'!$X$1515)*100000000+('Dvd Calendar'!$X$1517=SPECIAL_LBL)*10000000+(N('Dvd Calendar'!$X$1511)&gt;0)*(N('Dvd Calendar'!$X$1511)&lt;=VAL_SERIAL)*1000000+37*1000+20))</f>
        <v/>
      </c>
      <c r="EY152" s="39">
        <f>IF(N('Dvd Calendar'!$Y$1512)=0,"",IF(('Dvd Calendar'!$Y$1512&gt;=GRID_FROM)*('Dvd Calendar'!$Y$1512&lt;=GRID_TO)*((('Dvd Calendar'!$Y$1512&lt;=VAL_DATE)+(COUNTIF('Dvd Calendar'!$E$1519:$AR$1519,'Dvd Calendar'!$Y$1512)=0))&gt;0)=0,"",'Dvd Calendar'!$Y$1512*1000000000+ISNUMBER('Dvd Calendar'!$Y$1515)*100000000+('Dvd Calendar'!$Y$1517=SPECIAL_LBL)*10000000+(N('Dvd Calendar'!$Y$1511)&gt;0)*(N('Dvd Calendar'!$Y$1511)&lt;=VAL_SERIAL)*1000000+37*1000+21))</f>
        <v/>
      </c>
      <c r="EZ152" s="39">
        <f>IF(N('Dvd Calendar'!$Z$1512)=0,"",IF(('Dvd Calendar'!$Z$1512&gt;=GRID_FROM)*('Dvd Calendar'!$Z$1512&lt;=GRID_TO)*((('Dvd Calendar'!$Z$1512&lt;=VAL_DATE)+(COUNTIF('Dvd Calendar'!$E$1519:$AR$1519,'Dvd Calendar'!$Z$1512)=0))&gt;0)=0,"",'Dvd Calendar'!$Z$1512*1000000000+ISNUMBER('Dvd Calendar'!$Z$1515)*100000000+('Dvd Calendar'!$Z$1517=SPECIAL_LBL)*10000000+(N('Dvd Calendar'!$Z$1511)&gt;0)*(N('Dvd Calendar'!$Z$1511)&lt;=VAL_SERIAL)*1000000+37*1000+22))</f>
        <v/>
      </c>
      <c r="FA152" s="39">
        <f>IF(N('Dvd Calendar'!$AA$1512)=0,"",IF(('Dvd Calendar'!$AA$1512&gt;=GRID_FROM)*('Dvd Calendar'!$AA$1512&lt;=GRID_TO)*((('Dvd Calendar'!$AA$1512&lt;=VAL_DATE)+(COUNTIF('Dvd Calendar'!$E$1519:$AR$1519,'Dvd Calendar'!$AA$1512)=0))&gt;0)=0,"",'Dvd Calendar'!$AA$1512*1000000000+ISNUMBER('Dvd Calendar'!$AA$1515)*100000000+('Dvd Calendar'!$AA$1517=SPECIAL_LBL)*10000000+(N('Dvd Calendar'!$AA$1511)&gt;0)*(N('Dvd Calendar'!$AA$1511)&lt;=VAL_SERIAL)*1000000+37*1000+23))</f>
        <v/>
      </c>
      <c r="FB152" s="39">
        <f>IF(N('Dvd Calendar'!$AB$1512)=0,"",IF(('Dvd Calendar'!$AB$1512&gt;=GRID_FROM)*('Dvd Calendar'!$AB$1512&lt;=GRID_TO)*((('Dvd Calendar'!$AB$1512&lt;=VAL_DATE)+(COUNTIF('Dvd Calendar'!$E$1519:$AR$1519,'Dvd Calendar'!$AB$1512)=0))&gt;0)=0,"",'Dvd Calendar'!$AB$1512*1000000000+ISNUMBER('Dvd Calendar'!$AB$1515)*100000000+('Dvd Calendar'!$AB$1517=SPECIAL_LBL)*10000000+(N('Dvd Calendar'!$AB$1511)&gt;0)*(N('Dvd Calendar'!$AB$1511)&lt;=VAL_SERIAL)*1000000+37*1000+24))</f>
        <v/>
      </c>
      <c r="FC152" s="39">
        <f>IF(N('Dvd Calendar'!$AC$1512)=0,"",IF(('Dvd Calendar'!$AC$1512&gt;=GRID_FROM)*('Dvd Calendar'!$AC$1512&lt;=GRID_TO)*((('Dvd Calendar'!$AC$1512&lt;=VAL_DATE)+(COUNTIF('Dvd Calendar'!$E$1519:$AR$1519,'Dvd Calendar'!$AC$1512)=0))&gt;0)=0,"",'Dvd Calendar'!$AC$1512*1000000000+ISNUMBER('Dvd Calendar'!$AC$1515)*100000000+('Dvd Calendar'!$AC$1517=SPECIAL_LBL)*10000000+(N('Dvd Calendar'!$AC$1511)&gt;0)*(N('Dvd Calendar'!$AC$1511)&lt;=VAL_SERIAL)*1000000+37*1000+25))</f>
        <v/>
      </c>
      <c r="FD152" s="39">
        <f>IF(N('Dvd Calendar'!$AD$1512)=0,"",IF(('Dvd Calendar'!$AD$1512&gt;=GRID_FROM)*('Dvd Calendar'!$AD$1512&lt;=GRID_TO)*((('Dvd Calendar'!$AD$1512&lt;=VAL_DATE)+(COUNTIF('Dvd Calendar'!$E$1519:$AR$1519,'Dvd Calendar'!$AD$1512)=0))&gt;0)=0,"",'Dvd Calendar'!$AD$1512*1000000000+ISNUMBER('Dvd Calendar'!$AD$1515)*100000000+('Dvd Calendar'!$AD$1517=SPECIAL_LBL)*10000000+(N('Dvd Calendar'!$AD$1511)&gt;0)*(N('Dvd Calendar'!$AD$1511)&lt;=VAL_SERIAL)*1000000+37*1000+26))</f>
        <v/>
      </c>
      <c r="FE152" s="39">
        <f>IF(N('Dvd Calendar'!$AE$1512)=0,"",IF(('Dvd Calendar'!$AE$1512&gt;=GRID_FROM)*('Dvd Calendar'!$AE$1512&lt;=GRID_TO)*((('Dvd Calendar'!$AE$1512&lt;=VAL_DATE)+(COUNTIF('Dvd Calendar'!$E$1519:$AR$1519,'Dvd Calendar'!$AE$1512)=0))&gt;0)=0,"",'Dvd Calendar'!$AE$1512*1000000000+ISNUMBER('Dvd Calendar'!$AE$1515)*100000000+('Dvd Calendar'!$AE$1517=SPECIAL_LBL)*10000000+(N('Dvd Calendar'!$AE$1511)&gt;0)*(N('Dvd Calendar'!$AE$1511)&lt;=VAL_SERIAL)*1000000+37*1000+27))</f>
        <v/>
      </c>
      <c r="FF152" s="39">
        <f>IF(N('Dvd Calendar'!$AF$1512)=0,"",IF(('Dvd Calendar'!$AF$1512&gt;=GRID_FROM)*('Dvd Calendar'!$AF$1512&lt;=GRID_TO)*((('Dvd Calendar'!$AF$1512&lt;=VAL_DATE)+(COUNTIF('Dvd Calendar'!$E$1519:$AR$1519,'Dvd Calendar'!$AF$1512)=0))&gt;0)=0,"",'Dvd Calendar'!$AF$1512*1000000000+ISNUMBER('Dvd Calendar'!$AF$1515)*100000000+('Dvd Calendar'!$AF$1517=SPECIAL_LBL)*10000000+(N('Dvd Calendar'!$AF$1511)&gt;0)*(N('Dvd Calendar'!$AF$1511)&lt;=VAL_SERIAL)*1000000+37*1000+28))</f>
        <v/>
      </c>
      <c r="FG152" s="39">
        <f>IF(N('Dvd Calendar'!$AG$1512)=0,"",IF(('Dvd Calendar'!$AG$1512&gt;=GRID_FROM)*('Dvd Calendar'!$AG$1512&lt;=GRID_TO)*((('Dvd Calendar'!$AG$1512&lt;=VAL_DATE)+(COUNTIF('Dvd Calendar'!$E$1519:$AR$1519,'Dvd Calendar'!$AG$1512)=0))&gt;0)=0,"",'Dvd Calendar'!$AG$1512*1000000000+ISNUMBER('Dvd Calendar'!$AG$1515)*100000000+('Dvd Calendar'!$AG$1517=SPECIAL_LBL)*10000000+(N('Dvd Calendar'!$AG$1511)&gt;0)*(N('Dvd Calendar'!$AG$1511)&lt;=VAL_SERIAL)*1000000+37*1000+29))</f>
        <v/>
      </c>
      <c r="FH152" s="39">
        <f>IF(N('Dvd Calendar'!$AH$1512)=0,"",IF(('Dvd Calendar'!$AH$1512&gt;=GRID_FROM)*('Dvd Calendar'!$AH$1512&lt;=GRID_TO)*((('Dvd Calendar'!$AH$1512&lt;=VAL_DATE)+(COUNTIF('Dvd Calendar'!$E$1519:$AR$1519,'Dvd Calendar'!$AH$1512)=0))&gt;0)=0,"",'Dvd Calendar'!$AH$1512*1000000000+ISNUMBER('Dvd Calendar'!$AH$1515)*100000000+('Dvd Calendar'!$AH$1517=SPECIAL_LBL)*10000000+(N('Dvd Calendar'!$AH$1511)&gt;0)*(N('Dvd Calendar'!$AH$1511)&lt;=VAL_SERIAL)*1000000+37*1000+30))</f>
        <v/>
      </c>
      <c r="FI152" s="39">
        <f>IF(N('Dvd Calendar'!$AI$1512)=0,"",IF(('Dvd Calendar'!$AI$1512&gt;=GRID_FROM)*('Dvd Calendar'!$AI$1512&lt;=GRID_TO)*((('Dvd Calendar'!$AI$1512&lt;=VAL_DATE)+(COUNTIF('Dvd Calendar'!$E$1519:$AR$1519,'Dvd Calendar'!$AI$1512)=0))&gt;0)=0,"",'Dvd Calendar'!$AI$1512*1000000000+ISNUMBER('Dvd Calendar'!$AI$1515)*100000000+('Dvd Calendar'!$AI$1517=SPECIAL_LBL)*10000000+(N('Dvd Calendar'!$AI$1511)&gt;0)*(N('Dvd Calendar'!$AI$1511)&lt;=VAL_SERIAL)*1000000+37*1000+31))</f>
        <v/>
      </c>
      <c r="FJ152" s="39">
        <f>IF(N('Dvd Calendar'!$AJ$1512)=0,"",IF(('Dvd Calendar'!$AJ$1512&gt;=GRID_FROM)*('Dvd Calendar'!$AJ$1512&lt;=GRID_TO)*((('Dvd Calendar'!$AJ$1512&lt;=VAL_DATE)+(COUNTIF('Dvd Calendar'!$E$1519:$AR$1519,'Dvd Calendar'!$AJ$1512)=0))&gt;0)=0,"",'Dvd Calendar'!$AJ$1512*1000000000+ISNUMBER('Dvd Calendar'!$AJ$1515)*100000000+('Dvd Calendar'!$AJ$1517=SPECIAL_LBL)*10000000+(N('Dvd Calendar'!$AJ$1511)&gt;0)*(N('Dvd Calendar'!$AJ$1511)&lt;=VAL_SERIAL)*1000000+37*1000+32))</f>
        <v/>
      </c>
      <c r="FK152" s="39">
        <f>IF(N('Dvd Calendar'!$AK$1512)=0,"",IF(('Dvd Calendar'!$AK$1512&gt;=GRID_FROM)*('Dvd Calendar'!$AK$1512&lt;=GRID_TO)*((('Dvd Calendar'!$AK$1512&lt;=VAL_DATE)+(COUNTIF('Dvd Calendar'!$E$1519:$AR$1519,'Dvd Calendar'!$AK$1512)=0))&gt;0)=0,"",'Dvd Calendar'!$AK$1512*1000000000+ISNUMBER('Dvd Calendar'!$AK$1515)*100000000+('Dvd Calendar'!$AK$1517=SPECIAL_LBL)*10000000+(N('Dvd Calendar'!$AK$1511)&gt;0)*(N('Dvd Calendar'!$AK$1511)&lt;=VAL_SERIAL)*1000000+37*1000+33))</f>
        <v/>
      </c>
      <c r="FL152" s="39">
        <f>IF(N('Dvd Calendar'!$AL$1512)=0,"",IF(('Dvd Calendar'!$AL$1512&gt;=GRID_FROM)*('Dvd Calendar'!$AL$1512&lt;=GRID_TO)*((('Dvd Calendar'!$AL$1512&lt;=VAL_DATE)+(COUNTIF('Dvd Calendar'!$E$1519:$AR$1519,'Dvd Calendar'!$AL$1512)=0))&gt;0)=0,"",'Dvd Calendar'!$AL$1512*1000000000+ISNUMBER('Dvd Calendar'!$AL$1515)*100000000+('Dvd Calendar'!$AL$1517=SPECIAL_LBL)*10000000+(N('Dvd Calendar'!$AL$1511)&gt;0)*(N('Dvd Calendar'!$AL$1511)&lt;=VAL_SERIAL)*1000000+37*1000+34))</f>
        <v/>
      </c>
      <c r="FM152" s="39">
        <f>IF(N('Dvd Calendar'!$AM$1512)=0,"",IF(('Dvd Calendar'!$AM$1512&gt;=GRID_FROM)*('Dvd Calendar'!$AM$1512&lt;=GRID_TO)*((('Dvd Calendar'!$AM$1512&lt;=VAL_DATE)+(COUNTIF('Dvd Calendar'!$E$1519:$AR$1519,'Dvd Calendar'!$AM$1512)=0))&gt;0)=0,"",'Dvd Calendar'!$AM$1512*1000000000+ISNUMBER('Dvd Calendar'!$AM$1515)*100000000+('Dvd Calendar'!$AM$1517=SPECIAL_LBL)*10000000+(N('Dvd Calendar'!$AM$1511)&gt;0)*(N('Dvd Calendar'!$AM$1511)&lt;=VAL_SERIAL)*1000000+37*1000+35))</f>
        <v/>
      </c>
      <c r="FN152" s="39">
        <f>IF(N('Dvd Calendar'!$AN$1512)=0,"",IF(('Dvd Calendar'!$AN$1512&gt;=GRID_FROM)*('Dvd Calendar'!$AN$1512&lt;=GRID_TO)*((('Dvd Calendar'!$AN$1512&lt;=VAL_DATE)+(COUNTIF('Dvd Calendar'!$E$1519:$AR$1519,'Dvd Calendar'!$AN$1512)=0))&gt;0)=0,"",'Dvd Calendar'!$AN$1512*1000000000+ISNUMBER('Dvd Calendar'!$AN$1515)*100000000+('Dvd Calendar'!$AN$1517=SPECIAL_LBL)*10000000+(N('Dvd Calendar'!$AN$1511)&gt;0)*(N('Dvd Calendar'!$AN$1511)&lt;=VAL_SERIAL)*1000000+37*1000+36))</f>
        <v/>
      </c>
      <c r="FO152" s="39">
        <f>IF(N('Dvd Calendar'!$AO$1512)=0,"",IF(('Dvd Calendar'!$AO$1512&gt;=GRID_FROM)*('Dvd Calendar'!$AO$1512&lt;=GRID_TO)*((('Dvd Calendar'!$AO$1512&lt;=VAL_DATE)+(COUNTIF('Dvd Calendar'!$E$1519:$AR$1519,'Dvd Calendar'!$AO$1512)=0))&gt;0)=0,"",'Dvd Calendar'!$AO$1512*1000000000+ISNUMBER('Dvd Calendar'!$AO$1515)*100000000+('Dvd Calendar'!$AO$1517=SPECIAL_LBL)*10000000+(N('Dvd Calendar'!$AO$1511)&gt;0)*(N('Dvd Calendar'!$AO$1511)&lt;=VAL_SERIAL)*1000000+37*1000+37))</f>
        <v/>
      </c>
      <c r="FP152" s="39">
        <f>IF(N('Dvd Calendar'!$AP$1512)=0,"",IF(('Dvd Calendar'!$AP$1512&gt;=GRID_FROM)*('Dvd Calendar'!$AP$1512&lt;=GRID_TO)*((('Dvd Calendar'!$AP$1512&lt;=VAL_DATE)+(COUNTIF('Dvd Calendar'!$E$1519:$AR$1519,'Dvd Calendar'!$AP$1512)=0))&gt;0)=0,"",'Dvd Calendar'!$AP$1512*1000000000+ISNUMBER('Dvd Calendar'!$AP$1515)*100000000+('Dvd Calendar'!$AP$1517=SPECIAL_LBL)*10000000+(N('Dvd Calendar'!$AP$1511)&gt;0)*(N('Dvd Calendar'!$AP$1511)&lt;=VAL_SERIAL)*1000000+37*1000+38))</f>
        <v/>
      </c>
      <c r="FQ152" s="39">
        <f>IF(N('Dvd Calendar'!$AQ$1512)=0,"",IF(('Dvd Calendar'!$AQ$1512&gt;=GRID_FROM)*('Dvd Calendar'!$AQ$1512&lt;=GRID_TO)*((('Dvd Calendar'!$AQ$1512&lt;=VAL_DATE)+(COUNTIF('Dvd Calendar'!$E$1519:$AR$1519,'Dvd Calendar'!$AQ$1512)=0))&gt;0)=0,"",'Dvd Calendar'!$AQ$1512*1000000000+ISNUMBER('Dvd Calendar'!$AQ$1515)*100000000+('Dvd Calendar'!$AQ$1517=SPECIAL_LBL)*10000000+(N('Dvd Calendar'!$AQ$1511)&gt;0)*(N('Dvd Calendar'!$AQ$1511)&lt;=VAL_SERIAL)*1000000+37*1000+39))</f>
        <v/>
      </c>
      <c r="FR152" s="39">
        <f>IF(N('Dvd Calendar'!$AR$1512)=0,"",IF(('Dvd Calendar'!$AR$1512&gt;=GRID_FROM)*('Dvd Calendar'!$AR$1512&lt;=GRID_TO)*((('Dvd Calendar'!$AR$1512&lt;=VAL_DATE)+(COUNTIF('Dvd Calendar'!$E$1519:$AR$1519,'Dvd Calendar'!$AR$1512)=0))&gt;0)=0,"",'Dvd Calendar'!$AR$1512*1000000000+ISNUMBER('Dvd Calendar'!$AR$1515)*100000000+('Dvd Calendar'!$AR$1517=SPECIAL_LBL)*10000000+(N('Dvd Calendar'!$AR$1511)&gt;0)*(N('Dvd Calendar'!$AR$1511)&lt;=VAL_SERIAL)*1000000+37*1000+40))</f>
        <v/>
      </c>
      <c r="FS152" s="39">
        <f>IF(N('Dvd Calendar'!$E$1519)=0,"",IF(('Dvd Calendar'!$E$1519&gt;=GRID_FROM)*('Dvd Calendar'!$E$1519&lt;=GRID_TO)*('Dvd Calendar'!$E$1519&gt;VAL_DATE)=0,"",'Dvd Calendar'!$E$1519*1000000000+ISNUMBER('Dvd Calendar'!$E$1520)*100000000+0*10000000+(N('Dvd Calendar'!$E$1518)&gt;0)*(N('Dvd Calendar'!$E$1518)&lt;=VAL_SERIAL)*1000000+37*1000+41))</f>
        <v/>
      </c>
      <c r="FT152" s="39">
        <f>IF(N('Dvd Calendar'!$F$1519)=0,"",IF(('Dvd Calendar'!$F$1519&gt;=GRID_FROM)*('Dvd Calendar'!$F$1519&lt;=GRID_TO)*('Dvd Calendar'!$F$1519&gt;VAL_DATE)=0,"",'Dvd Calendar'!$F$1519*1000000000+ISNUMBER('Dvd Calendar'!$F$1520)*100000000+0*10000000+(N('Dvd Calendar'!$F$1518)&gt;0)*(N('Dvd Calendar'!$F$1518)&lt;=VAL_SERIAL)*1000000+37*1000+42))</f>
        <v/>
      </c>
      <c r="FU152" s="39">
        <f>IF(N('Dvd Calendar'!$G$1519)=0,"",IF(('Dvd Calendar'!$G$1519&gt;=GRID_FROM)*('Dvd Calendar'!$G$1519&lt;=GRID_TO)*('Dvd Calendar'!$G$1519&gt;VAL_DATE)=0,"",'Dvd Calendar'!$G$1519*1000000000+ISNUMBER('Dvd Calendar'!$G$1520)*100000000+0*10000000+(N('Dvd Calendar'!$G$1518)&gt;0)*(N('Dvd Calendar'!$G$1518)&lt;=VAL_SERIAL)*1000000+37*1000+43))</f>
        <v/>
      </c>
      <c r="FV152" s="39">
        <f>IF(N('Dvd Calendar'!$H$1519)=0,"",IF(('Dvd Calendar'!$H$1519&gt;=GRID_FROM)*('Dvd Calendar'!$H$1519&lt;=GRID_TO)*('Dvd Calendar'!$H$1519&gt;VAL_DATE)=0,"",'Dvd Calendar'!$H$1519*1000000000+ISNUMBER('Dvd Calendar'!$H$1520)*100000000+0*10000000+(N('Dvd Calendar'!$H$1518)&gt;0)*(N('Dvd Calendar'!$H$1518)&lt;=VAL_SERIAL)*1000000+37*1000+44))</f>
        <v/>
      </c>
      <c r="FW152" s="39">
        <f>IF(N('Dvd Calendar'!$I$1519)=0,"",IF(('Dvd Calendar'!$I$1519&gt;=GRID_FROM)*('Dvd Calendar'!$I$1519&lt;=GRID_TO)*('Dvd Calendar'!$I$1519&gt;VAL_DATE)=0,"",'Dvd Calendar'!$I$1519*1000000000+ISNUMBER('Dvd Calendar'!$I$1520)*100000000+0*10000000+(N('Dvd Calendar'!$I$1518)&gt;0)*(N('Dvd Calendar'!$I$1518)&lt;=VAL_SERIAL)*1000000+37*1000+45))</f>
        <v/>
      </c>
      <c r="FX152" s="39">
        <f>IF(N('Dvd Calendar'!$J$1519)=0,"",IF(('Dvd Calendar'!$J$1519&gt;=GRID_FROM)*('Dvd Calendar'!$J$1519&lt;=GRID_TO)*('Dvd Calendar'!$J$1519&gt;VAL_DATE)=0,"",'Dvd Calendar'!$J$1519*1000000000+ISNUMBER('Dvd Calendar'!$J$1520)*100000000+0*10000000+(N('Dvd Calendar'!$J$1518)&gt;0)*(N('Dvd Calendar'!$J$1518)&lt;=VAL_SERIAL)*1000000+37*1000+46))</f>
        <v/>
      </c>
      <c r="FY152" s="39">
        <f>IF(N('Dvd Calendar'!$K$1519)=0,"",IF(('Dvd Calendar'!$K$1519&gt;=GRID_FROM)*('Dvd Calendar'!$K$1519&lt;=GRID_TO)*('Dvd Calendar'!$K$1519&gt;VAL_DATE)=0,"",'Dvd Calendar'!$K$1519*1000000000+ISNUMBER('Dvd Calendar'!$K$1520)*100000000+0*10000000+(N('Dvd Calendar'!$K$1518)&gt;0)*(N('Dvd Calendar'!$K$1518)&lt;=VAL_SERIAL)*1000000+37*1000+47))</f>
        <v/>
      </c>
      <c r="FZ152" s="39">
        <f>IF(N('Dvd Calendar'!$L$1519)=0,"",IF(('Dvd Calendar'!$L$1519&gt;=GRID_FROM)*('Dvd Calendar'!$L$1519&lt;=GRID_TO)*('Dvd Calendar'!$L$1519&gt;VAL_DATE)=0,"",'Dvd Calendar'!$L$1519*1000000000+ISNUMBER('Dvd Calendar'!$L$1520)*100000000+0*10000000+(N('Dvd Calendar'!$L$1518)&gt;0)*(N('Dvd Calendar'!$L$1518)&lt;=VAL_SERIAL)*1000000+37*1000+48))</f>
        <v/>
      </c>
      <c r="GA152" s="39">
        <f>IF(N('Dvd Calendar'!$M$1519)=0,"",IF(('Dvd Calendar'!$M$1519&gt;=GRID_FROM)*('Dvd Calendar'!$M$1519&lt;=GRID_TO)*('Dvd Calendar'!$M$1519&gt;VAL_DATE)=0,"",'Dvd Calendar'!$M$1519*1000000000+ISNUMBER('Dvd Calendar'!$M$1520)*100000000+0*10000000+(N('Dvd Calendar'!$M$1518)&gt;0)*(N('Dvd Calendar'!$M$1518)&lt;=VAL_SERIAL)*1000000+37*1000+49))</f>
        <v/>
      </c>
      <c r="GB152" s="39">
        <f>IF(N('Dvd Calendar'!$N$1519)=0,"",IF(('Dvd Calendar'!$N$1519&gt;=GRID_FROM)*('Dvd Calendar'!$N$1519&lt;=GRID_TO)*('Dvd Calendar'!$N$1519&gt;VAL_DATE)=0,"",'Dvd Calendar'!$N$1519*1000000000+ISNUMBER('Dvd Calendar'!$N$1520)*100000000+0*10000000+(N('Dvd Calendar'!$N$1518)&gt;0)*(N('Dvd Calendar'!$N$1518)&lt;=VAL_SERIAL)*1000000+37*1000+50))</f>
        <v/>
      </c>
      <c r="GC152" s="39">
        <f>IF(N('Dvd Calendar'!$O$1519)=0,"",IF(('Dvd Calendar'!$O$1519&gt;=GRID_FROM)*('Dvd Calendar'!$O$1519&lt;=GRID_TO)*('Dvd Calendar'!$O$1519&gt;VAL_DATE)=0,"",'Dvd Calendar'!$O$1519*1000000000+ISNUMBER('Dvd Calendar'!$O$1520)*100000000+0*10000000+(N('Dvd Calendar'!$O$1518)&gt;0)*(N('Dvd Calendar'!$O$1518)&lt;=VAL_SERIAL)*1000000+37*1000+51))</f>
        <v/>
      </c>
      <c r="GD152" s="39">
        <f>IF(N('Dvd Calendar'!$P$1519)=0,"",IF(('Dvd Calendar'!$P$1519&gt;=GRID_FROM)*('Dvd Calendar'!$P$1519&lt;=GRID_TO)*('Dvd Calendar'!$P$1519&gt;VAL_DATE)=0,"",'Dvd Calendar'!$P$1519*1000000000+ISNUMBER('Dvd Calendar'!$P$1520)*100000000+0*10000000+(N('Dvd Calendar'!$P$1518)&gt;0)*(N('Dvd Calendar'!$P$1518)&lt;=VAL_SERIAL)*1000000+37*1000+52))</f>
        <v/>
      </c>
      <c r="GE152" s="39">
        <f>IF(N('Dvd Calendar'!$Q$1519)=0,"",IF(('Dvd Calendar'!$Q$1519&gt;=GRID_FROM)*('Dvd Calendar'!$Q$1519&lt;=GRID_TO)*('Dvd Calendar'!$Q$1519&gt;VAL_DATE)=0,"",'Dvd Calendar'!$Q$1519*1000000000+ISNUMBER('Dvd Calendar'!$Q$1520)*100000000+0*10000000+(N('Dvd Calendar'!$Q$1518)&gt;0)*(N('Dvd Calendar'!$Q$1518)&lt;=VAL_SERIAL)*1000000+37*1000+53))</f>
        <v/>
      </c>
      <c r="GF152" s="39">
        <f>IF(N('Dvd Calendar'!$R$1519)=0,"",IF(('Dvd Calendar'!$R$1519&gt;=GRID_FROM)*('Dvd Calendar'!$R$1519&lt;=GRID_TO)*('Dvd Calendar'!$R$1519&gt;VAL_DATE)=0,"",'Dvd Calendar'!$R$1519*1000000000+ISNUMBER('Dvd Calendar'!$R$1520)*100000000+0*10000000+(N('Dvd Calendar'!$R$1518)&gt;0)*(N('Dvd Calendar'!$R$1518)&lt;=VAL_SERIAL)*1000000+37*1000+54))</f>
        <v/>
      </c>
      <c r="GG152" s="39">
        <f>IF(N('Dvd Calendar'!$S$1519)=0,"",IF(('Dvd Calendar'!$S$1519&gt;=GRID_FROM)*('Dvd Calendar'!$S$1519&lt;=GRID_TO)*('Dvd Calendar'!$S$1519&gt;VAL_DATE)=0,"",'Dvd Calendar'!$S$1519*1000000000+ISNUMBER('Dvd Calendar'!$S$1520)*100000000+0*10000000+(N('Dvd Calendar'!$S$1518)&gt;0)*(N('Dvd Calendar'!$S$1518)&lt;=VAL_SERIAL)*1000000+37*1000+55))</f>
        <v/>
      </c>
      <c r="GH152" s="39">
        <f>IF(N('Dvd Calendar'!$T$1519)=0,"",IF(('Dvd Calendar'!$T$1519&gt;=GRID_FROM)*('Dvd Calendar'!$T$1519&lt;=GRID_TO)*('Dvd Calendar'!$T$1519&gt;VAL_DATE)=0,"",'Dvd Calendar'!$T$1519*1000000000+ISNUMBER('Dvd Calendar'!$T$1520)*100000000+0*10000000+(N('Dvd Calendar'!$T$1518)&gt;0)*(N('Dvd Calendar'!$T$1518)&lt;=VAL_SERIAL)*1000000+37*1000+56))</f>
        <v/>
      </c>
      <c r="GI152" s="39">
        <f>IF(N('Dvd Calendar'!$U$1519)=0,"",IF(('Dvd Calendar'!$U$1519&gt;=GRID_FROM)*('Dvd Calendar'!$U$1519&lt;=GRID_TO)*('Dvd Calendar'!$U$1519&gt;VAL_DATE)=0,"",'Dvd Calendar'!$U$1519*1000000000+ISNUMBER('Dvd Calendar'!$U$1520)*100000000+0*10000000+(N('Dvd Calendar'!$U$1518)&gt;0)*(N('Dvd Calendar'!$U$1518)&lt;=VAL_SERIAL)*1000000+37*1000+57))</f>
        <v/>
      </c>
      <c r="GJ152" s="39">
        <f>IF(N('Dvd Calendar'!$V$1519)=0,"",IF(('Dvd Calendar'!$V$1519&gt;=GRID_FROM)*('Dvd Calendar'!$V$1519&lt;=GRID_TO)*('Dvd Calendar'!$V$1519&gt;VAL_DATE)=0,"",'Dvd Calendar'!$V$1519*1000000000+ISNUMBER('Dvd Calendar'!$V$1520)*100000000+0*10000000+(N('Dvd Calendar'!$V$1518)&gt;0)*(N('Dvd Calendar'!$V$1518)&lt;=VAL_SERIAL)*1000000+37*1000+58))</f>
        <v/>
      </c>
      <c r="GK152" s="39">
        <f>IF(N('Dvd Calendar'!$W$1519)=0,"",IF(('Dvd Calendar'!$W$1519&gt;=GRID_FROM)*('Dvd Calendar'!$W$1519&lt;=GRID_TO)*('Dvd Calendar'!$W$1519&gt;VAL_DATE)=0,"",'Dvd Calendar'!$W$1519*1000000000+ISNUMBER('Dvd Calendar'!$W$1520)*100000000+0*10000000+(N('Dvd Calendar'!$W$1518)&gt;0)*(N('Dvd Calendar'!$W$1518)&lt;=VAL_SERIAL)*1000000+37*1000+59))</f>
        <v/>
      </c>
      <c r="GL152" s="39">
        <f>IF(N('Dvd Calendar'!$X$1519)=0,"",IF(('Dvd Calendar'!$X$1519&gt;=GRID_FROM)*('Dvd Calendar'!$X$1519&lt;=GRID_TO)*('Dvd Calendar'!$X$1519&gt;VAL_DATE)=0,"",'Dvd Calendar'!$X$1519*1000000000+ISNUMBER('Dvd Calendar'!$X$1520)*100000000+0*10000000+(N('Dvd Calendar'!$X$1518)&gt;0)*(N('Dvd Calendar'!$X$1518)&lt;=VAL_SERIAL)*1000000+37*1000+60))</f>
        <v/>
      </c>
      <c r="GM152" s="39">
        <f>IF(N('Dvd Calendar'!$Y$1519)=0,"",IF(('Dvd Calendar'!$Y$1519&gt;=GRID_FROM)*('Dvd Calendar'!$Y$1519&lt;=GRID_TO)*('Dvd Calendar'!$Y$1519&gt;VAL_DATE)=0,"",'Dvd Calendar'!$Y$1519*1000000000+ISNUMBER('Dvd Calendar'!$Y$1520)*100000000+0*10000000+(N('Dvd Calendar'!$Y$1518)&gt;0)*(N('Dvd Calendar'!$Y$1518)&lt;=VAL_SERIAL)*1000000+37*1000+61))</f>
        <v/>
      </c>
      <c r="GN152" s="39">
        <f>IF(N('Dvd Calendar'!$Z$1519)=0,"",IF(('Dvd Calendar'!$Z$1519&gt;=GRID_FROM)*('Dvd Calendar'!$Z$1519&lt;=GRID_TO)*('Dvd Calendar'!$Z$1519&gt;VAL_DATE)=0,"",'Dvd Calendar'!$Z$1519*1000000000+ISNUMBER('Dvd Calendar'!$Z$1520)*100000000+0*10000000+(N('Dvd Calendar'!$Z$1518)&gt;0)*(N('Dvd Calendar'!$Z$1518)&lt;=VAL_SERIAL)*1000000+37*1000+62))</f>
        <v/>
      </c>
      <c r="GO152" s="39">
        <f>IF(N('Dvd Calendar'!$AA$1519)=0,"",IF(('Dvd Calendar'!$AA$1519&gt;=GRID_FROM)*('Dvd Calendar'!$AA$1519&lt;=GRID_TO)*('Dvd Calendar'!$AA$1519&gt;VAL_DATE)=0,"",'Dvd Calendar'!$AA$1519*1000000000+ISNUMBER('Dvd Calendar'!$AA$1520)*100000000+0*10000000+(N('Dvd Calendar'!$AA$1518)&gt;0)*(N('Dvd Calendar'!$AA$1518)&lt;=VAL_SERIAL)*1000000+37*1000+63))</f>
        <v/>
      </c>
      <c r="GP152" s="39">
        <f>IF(N('Dvd Calendar'!$AB$1519)=0,"",IF(('Dvd Calendar'!$AB$1519&gt;=GRID_FROM)*('Dvd Calendar'!$AB$1519&lt;=GRID_TO)*('Dvd Calendar'!$AB$1519&gt;VAL_DATE)=0,"",'Dvd Calendar'!$AB$1519*1000000000+ISNUMBER('Dvd Calendar'!$AB$1520)*100000000+0*10000000+(N('Dvd Calendar'!$AB$1518)&gt;0)*(N('Dvd Calendar'!$AB$1518)&lt;=VAL_SERIAL)*1000000+37*1000+64))</f>
        <v/>
      </c>
      <c r="GQ152" s="39">
        <f>IF(N('Dvd Calendar'!$AC$1519)=0,"",IF(('Dvd Calendar'!$AC$1519&gt;=GRID_FROM)*('Dvd Calendar'!$AC$1519&lt;=GRID_TO)*('Dvd Calendar'!$AC$1519&gt;VAL_DATE)=0,"",'Dvd Calendar'!$AC$1519*1000000000+ISNUMBER('Dvd Calendar'!$AC$1520)*100000000+0*10000000+(N('Dvd Calendar'!$AC$1518)&gt;0)*(N('Dvd Calendar'!$AC$1518)&lt;=VAL_SERIAL)*1000000+37*1000+65))</f>
        <v/>
      </c>
    </row>
    <row r="153">
      <c r="B153" s="2">
        <f>IF(HSTECH!$C$44="","",HSTECH!$C$44)</f>
        <v/>
      </c>
      <c r="C153" s="110">
        <f>IF(EE153="","",IF(ISNUMBER('Dvd Calendar'!$E$1526)=FALSE,"",IF((('Dvd Calendar'!$E$1528=TYPE1)*(TYPE1&lt;&gt;"")+('Dvd Calendar'!$E$1528=TYPE2)*(TYPE2&lt;&gt;"")+('Dvd Calendar'!$E$1528=TYPE3)*(TYPE3&lt;&gt;"")+('Dvd Calendar'!$E$1528=TYPE4)*(TYPE4&lt;&gt;"")+('Dvd Calendar'!$E$1528=SPECIAL_LBL)*(INC_SPECIALS="Y"))=0,"",'Dvd Calendar'!$E$1526)))</f>
        <v/>
      </c>
      <c r="D153" s="110">
        <f>IF(EF153="","",IF(ISNUMBER('Dvd Calendar'!$F$1526)=FALSE,"",IF((('Dvd Calendar'!$F$1528=TYPE1)*(TYPE1&lt;&gt;"")+('Dvd Calendar'!$F$1528=TYPE2)*(TYPE2&lt;&gt;"")+('Dvd Calendar'!$F$1528=TYPE3)*(TYPE3&lt;&gt;"")+('Dvd Calendar'!$F$1528=TYPE4)*(TYPE4&lt;&gt;"")+('Dvd Calendar'!$F$1528=SPECIAL_LBL)*(INC_SPECIALS="Y"))=0,"",'Dvd Calendar'!$F$1526)))</f>
        <v/>
      </c>
      <c r="E153" s="110">
        <f>IF(EG153="","",IF(ISNUMBER('Dvd Calendar'!$G$1526)=FALSE,"",IF((('Dvd Calendar'!$G$1528=TYPE1)*(TYPE1&lt;&gt;"")+('Dvd Calendar'!$G$1528=TYPE2)*(TYPE2&lt;&gt;"")+('Dvd Calendar'!$G$1528=TYPE3)*(TYPE3&lt;&gt;"")+('Dvd Calendar'!$G$1528=TYPE4)*(TYPE4&lt;&gt;"")+('Dvd Calendar'!$G$1528=SPECIAL_LBL)*(INC_SPECIALS="Y"))=0,"",'Dvd Calendar'!$G$1526)))</f>
        <v/>
      </c>
      <c r="F153" s="110">
        <f>IF(EH153="","",IF(ISNUMBER('Dvd Calendar'!$H$1526)=FALSE,"",IF((('Dvd Calendar'!$H$1528=TYPE1)*(TYPE1&lt;&gt;"")+('Dvd Calendar'!$H$1528=TYPE2)*(TYPE2&lt;&gt;"")+('Dvd Calendar'!$H$1528=TYPE3)*(TYPE3&lt;&gt;"")+('Dvd Calendar'!$H$1528=TYPE4)*(TYPE4&lt;&gt;"")+('Dvd Calendar'!$H$1528=SPECIAL_LBL)*(INC_SPECIALS="Y"))=0,"",'Dvd Calendar'!$H$1526)))</f>
        <v/>
      </c>
      <c r="G153" s="110">
        <f>IF(EI153="","",IF(ISNUMBER('Dvd Calendar'!$I$1526)=FALSE,"",IF((('Dvd Calendar'!$I$1528=TYPE1)*(TYPE1&lt;&gt;"")+('Dvd Calendar'!$I$1528=TYPE2)*(TYPE2&lt;&gt;"")+('Dvd Calendar'!$I$1528=TYPE3)*(TYPE3&lt;&gt;"")+('Dvd Calendar'!$I$1528=TYPE4)*(TYPE4&lt;&gt;"")+('Dvd Calendar'!$I$1528=SPECIAL_LBL)*(INC_SPECIALS="Y"))=0,"",'Dvd Calendar'!$I$1526)))</f>
        <v/>
      </c>
      <c r="H153" s="110">
        <f>IF(EJ153="","",IF(ISNUMBER('Dvd Calendar'!$J$1526)=FALSE,"",IF((('Dvd Calendar'!$J$1528=TYPE1)*(TYPE1&lt;&gt;"")+('Dvd Calendar'!$J$1528=TYPE2)*(TYPE2&lt;&gt;"")+('Dvd Calendar'!$J$1528=TYPE3)*(TYPE3&lt;&gt;"")+('Dvd Calendar'!$J$1528=TYPE4)*(TYPE4&lt;&gt;"")+('Dvd Calendar'!$J$1528=SPECIAL_LBL)*(INC_SPECIALS="Y"))=0,"",'Dvd Calendar'!$J$1526)))</f>
        <v/>
      </c>
      <c r="I153" s="110">
        <f>IF(EK153="","",IF(ISNUMBER('Dvd Calendar'!$K$1526)=FALSE,"",IF((('Dvd Calendar'!$K$1528=TYPE1)*(TYPE1&lt;&gt;"")+('Dvd Calendar'!$K$1528=TYPE2)*(TYPE2&lt;&gt;"")+('Dvd Calendar'!$K$1528=TYPE3)*(TYPE3&lt;&gt;"")+('Dvd Calendar'!$K$1528=TYPE4)*(TYPE4&lt;&gt;"")+('Dvd Calendar'!$K$1528=SPECIAL_LBL)*(INC_SPECIALS="Y"))=0,"",'Dvd Calendar'!$K$1526)))</f>
        <v/>
      </c>
      <c r="J153" s="110">
        <f>IF(EL153="","",IF(ISNUMBER('Dvd Calendar'!$L$1526)=FALSE,"",IF((('Dvd Calendar'!$L$1528=TYPE1)*(TYPE1&lt;&gt;"")+('Dvd Calendar'!$L$1528=TYPE2)*(TYPE2&lt;&gt;"")+('Dvd Calendar'!$L$1528=TYPE3)*(TYPE3&lt;&gt;"")+('Dvd Calendar'!$L$1528=TYPE4)*(TYPE4&lt;&gt;"")+('Dvd Calendar'!$L$1528=SPECIAL_LBL)*(INC_SPECIALS="Y"))=0,"",'Dvd Calendar'!$L$1526)))</f>
        <v/>
      </c>
      <c r="K153" s="110">
        <f>IF(EM153="","",IF(ISNUMBER('Dvd Calendar'!$M$1526)=FALSE,"",IF((('Dvd Calendar'!$M$1528=TYPE1)*(TYPE1&lt;&gt;"")+('Dvd Calendar'!$M$1528=TYPE2)*(TYPE2&lt;&gt;"")+('Dvd Calendar'!$M$1528=TYPE3)*(TYPE3&lt;&gt;"")+('Dvd Calendar'!$M$1528=TYPE4)*(TYPE4&lt;&gt;"")+('Dvd Calendar'!$M$1528=SPECIAL_LBL)*(INC_SPECIALS="Y"))=0,"",'Dvd Calendar'!$M$1526)))</f>
        <v/>
      </c>
      <c r="L153" s="110">
        <f>IF(EN153="","",IF(ISNUMBER('Dvd Calendar'!$N$1526)=FALSE,"",IF((('Dvd Calendar'!$N$1528=TYPE1)*(TYPE1&lt;&gt;"")+('Dvd Calendar'!$N$1528=TYPE2)*(TYPE2&lt;&gt;"")+('Dvd Calendar'!$N$1528=TYPE3)*(TYPE3&lt;&gt;"")+('Dvd Calendar'!$N$1528=TYPE4)*(TYPE4&lt;&gt;"")+('Dvd Calendar'!$N$1528=SPECIAL_LBL)*(INC_SPECIALS="Y"))=0,"",'Dvd Calendar'!$N$1526)))</f>
        <v/>
      </c>
      <c r="M153" s="110">
        <f>IF(EO153="","",IF(ISNUMBER('Dvd Calendar'!$O$1526)=FALSE,"",IF((('Dvd Calendar'!$O$1528=TYPE1)*(TYPE1&lt;&gt;"")+('Dvd Calendar'!$O$1528=TYPE2)*(TYPE2&lt;&gt;"")+('Dvd Calendar'!$O$1528=TYPE3)*(TYPE3&lt;&gt;"")+('Dvd Calendar'!$O$1528=TYPE4)*(TYPE4&lt;&gt;"")+('Dvd Calendar'!$O$1528=SPECIAL_LBL)*(INC_SPECIALS="Y"))=0,"",'Dvd Calendar'!$O$1526)))</f>
        <v/>
      </c>
      <c r="N153" s="110">
        <f>IF(EP153="","",IF(ISNUMBER('Dvd Calendar'!$P$1526)=FALSE,"",IF((('Dvd Calendar'!$P$1528=TYPE1)*(TYPE1&lt;&gt;"")+('Dvd Calendar'!$P$1528=TYPE2)*(TYPE2&lt;&gt;"")+('Dvd Calendar'!$P$1528=TYPE3)*(TYPE3&lt;&gt;"")+('Dvd Calendar'!$P$1528=TYPE4)*(TYPE4&lt;&gt;"")+('Dvd Calendar'!$P$1528=SPECIAL_LBL)*(INC_SPECIALS="Y"))=0,"",'Dvd Calendar'!$P$1526)))</f>
        <v/>
      </c>
      <c r="O153" s="110">
        <f>IF(EQ153="","",IF(ISNUMBER('Dvd Calendar'!$Q$1526)=FALSE,"",IF((('Dvd Calendar'!$Q$1528=TYPE1)*(TYPE1&lt;&gt;"")+('Dvd Calendar'!$Q$1528=TYPE2)*(TYPE2&lt;&gt;"")+('Dvd Calendar'!$Q$1528=TYPE3)*(TYPE3&lt;&gt;"")+('Dvd Calendar'!$Q$1528=TYPE4)*(TYPE4&lt;&gt;"")+('Dvd Calendar'!$Q$1528=SPECIAL_LBL)*(INC_SPECIALS="Y"))=0,"",'Dvd Calendar'!$Q$1526)))</f>
        <v/>
      </c>
      <c r="P153" s="110">
        <f>IF(ER153="","",IF(ISNUMBER('Dvd Calendar'!$R$1526)=FALSE,"",IF((('Dvd Calendar'!$R$1528=TYPE1)*(TYPE1&lt;&gt;"")+('Dvd Calendar'!$R$1528=TYPE2)*(TYPE2&lt;&gt;"")+('Dvd Calendar'!$R$1528=TYPE3)*(TYPE3&lt;&gt;"")+('Dvd Calendar'!$R$1528=TYPE4)*(TYPE4&lt;&gt;"")+('Dvd Calendar'!$R$1528=SPECIAL_LBL)*(INC_SPECIALS="Y"))=0,"",'Dvd Calendar'!$R$1526)))</f>
        <v/>
      </c>
      <c r="Q153" s="110">
        <f>IF(ES153="","",IF(ISNUMBER('Dvd Calendar'!$S$1526)=FALSE,"",IF((('Dvd Calendar'!$S$1528=TYPE1)*(TYPE1&lt;&gt;"")+('Dvd Calendar'!$S$1528=TYPE2)*(TYPE2&lt;&gt;"")+('Dvd Calendar'!$S$1528=TYPE3)*(TYPE3&lt;&gt;"")+('Dvd Calendar'!$S$1528=TYPE4)*(TYPE4&lt;&gt;"")+('Dvd Calendar'!$S$1528=SPECIAL_LBL)*(INC_SPECIALS="Y"))=0,"",'Dvd Calendar'!$S$1526)))</f>
        <v/>
      </c>
      <c r="R153" s="110">
        <f>IF(ET153="","",IF(ISNUMBER('Dvd Calendar'!$T$1526)=FALSE,"",IF((('Dvd Calendar'!$T$1528=TYPE1)*(TYPE1&lt;&gt;"")+('Dvd Calendar'!$T$1528=TYPE2)*(TYPE2&lt;&gt;"")+('Dvd Calendar'!$T$1528=TYPE3)*(TYPE3&lt;&gt;"")+('Dvd Calendar'!$T$1528=TYPE4)*(TYPE4&lt;&gt;"")+('Dvd Calendar'!$T$1528=SPECIAL_LBL)*(INC_SPECIALS="Y"))=0,"",'Dvd Calendar'!$T$1526)))</f>
        <v/>
      </c>
      <c r="S153" s="110">
        <f>IF(EU153="","",IF(ISNUMBER('Dvd Calendar'!$U$1526)=FALSE,"",IF((('Dvd Calendar'!$U$1528=TYPE1)*(TYPE1&lt;&gt;"")+('Dvd Calendar'!$U$1528=TYPE2)*(TYPE2&lt;&gt;"")+('Dvd Calendar'!$U$1528=TYPE3)*(TYPE3&lt;&gt;"")+('Dvd Calendar'!$U$1528=TYPE4)*(TYPE4&lt;&gt;"")+('Dvd Calendar'!$U$1528=SPECIAL_LBL)*(INC_SPECIALS="Y"))=0,"",'Dvd Calendar'!$U$1526)))</f>
        <v/>
      </c>
      <c r="T153" s="110">
        <f>IF(EV153="","",IF(ISNUMBER('Dvd Calendar'!$V$1526)=FALSE,"",IF((('Dvd Calendar'!$V$1528=TYPE1)*(TYPE1&lt;&gt;"")+('Dvd Calendar'!$V$1528=TYPE2)*(TYPE2&lt;&gt;"")+('Dvd Calendar'!$V$1528=TYPE3)*(TYPE3&lt;&gt;"")+('Dvd Calendar'!$V$1528=TYPE4)*(TYPE4&lt;&gt;"")+('Dvd Calendar'!$V$1528=SPECIAL_LBL)*(INC_SPECIALS="Y"))=0,"",'Dvd Calendar'!$V$1526)))</f>
        <v/>
      </c>
      <c r="U153" s="110">
        <f>IF(EW153="","",IF(ISNUMBER('Dvd Calendar'!$W$1526)=FALSE,"",IF((('Dvd Calendar'!$W$1528=TYPE1)*(TYPE1&lt;&gt;"")+('Dvd Calendar'!$W$1528=TYPE2)*(TYPE2&lt;&gt;"")+('Dvd Calendar'!$W$1528=TYPE3)*(TYPE3&lt;&gt;"")+('Dvd Calendar'!$W$1528=TYPE4)*(TYPE4&lt;&gt;"")+('Dvd Calendar'!$W$1528=SPECIAL_LBL)*(INC_SPECIALS="Y"))=0,"",'Dvd Calendar'!$W$1526)))</f>
        <v/>
      </c>
      <c r="V153" s="110">
        <f>IF(EX153="","",IF(ISNUMBER('Dvd Calendar'!$X$1526)=FALSE,"",IF((('Dvd Calendar'!$X$1528=TYPE1)*(TYPE1&lt;&gt;"")+('Dvd Calendar'!$X$1528=TYPE2)*(TYPE2&lt;&gt;"")+('Dvd Calendar'!$X$1528=TYPE3)*(TYPE3&lt;&gt;"")+('Dvd Calendar'!$X$1528=TYPE4)*(TYPE4&lt;&gt;"")+('Dvd Calendar'!$X$1528=SPECIAL_LBL)*(INC_SPECIALS="Y"))=0,"",'Dvd Calendar'!$X$1526)))</f>
        <v/>
      </c>
      <c r="W153" s="110">
        <f>IF(EY153="","",IF(ISNUMBER('Dvd Calendar'!$Y$1526)=FALSE,"",IF((('Dvd Calendar'!$Y$1528=TYPE1)*(TYPE1&lt;&gt;"")+('Dvd Calendar'!$Y$1528=TYPE2)*(TYPE2&lt;&gt;"")+('Dvd Calendar'!$Y$1528=TYPE3)*(TYPE3&lt;&gt;"")+('Dvd Calendar'!$Y$1528=TYPE4)*(TYPE4&lt;&gt;"")+('Dvd Calendar'!$Y$1528=SPECIAL_LBL)*(INC_SPECIALS="Y"))=0,"",'Dvd Calendar'!$Y$1526)))</f>
        <v/>
      </c>
      <c r="X153" s="110">
        <f>IF(EZ153="","",IF(ISNUMBER('Dvd Calendar'!$Z$1526)=FALSE,"",IF((('Dvd Calendar'!$Z$1528=TYPE1)*(TYPE1&lt;&gt;"")+('Dvd Calendar'!$Z$1528=TYPE2)*(TYPE2&lt;&gt;"")+('Dvd Calendar'!$Z$1528=TYPE3)*(TYPE3&lt;&gt;"")+('Dvd Calendar'!$Z$1528=TYPE4)*(TYPE4&lt;&gt;"")+('Dvd Calendar'!$Z$1528=SPECIAL_LBL)*(INC_SPECIALS="Y"))=0,"",'Dvd Calendar'!$Z$1526)))</f>
        <v/>
      </c>
      <c r="Y153" s="110">
        <f>IF(FA153="","",IF(ISNUMBER('Dvd Calendar'!$AA$1526)=FALSE,"",IF((('Dvd Calendar'!$AA$1528=TYPE1)*(TYPE1&lt;&gt;"")+('Dvd Calendar'!$AA$1528=TYPE2)*(TYPE2&lt;&gt;"")+('Dvd Calendar'!$AA$1528=TYPE3)*(TYPE3&lt;&gt;"")+('Dvd Calendar'!$AA$1528=TYPE4)*(TYPE4&lt;&gt;"")+('Dvd Calendar'!$AA$1528=SPECIAL_LBL)*(INC_SPECIALS="Y"))=0,"",'Dvd Calendar'!$AA$1526)))</f>
        <v/>
      </c>
      <c r="Z153" s="110">
        <f>IF(FB153="","",IF(ISNUMBER('Dvd Calendar'!$AB$1526)=FALSE,"",IF((('Dvd Calendar'!$AB$1528=TYPE1)*(TYPE1&lt;&gt;"")+('Dvd Calendar'!$AB$1528=TYPE2)*(TYPE2&lt;&gt;"")+('Dvd Calendar'!$AB$1528=TYPE3)*(TYPE3&lt;&gt;"")+('Dvd Calendar'!$AB$1528=TYPE4)*(TYPE4&lt;&gt;"")+('Dvd Calendar'!$AB$1528=SPECIAL_LBL)*(INC_SPECIALS="Y"))=0,"",'Dvd Calendar'!$AB$1526)))</f>
        <v/>
      </c>
      <c r="AA153" s="110">
        <f>IF(FC153="","",IF(ISNUMBER('Dvd Calendar'!$AC$1526)=FALSE,"",IF((('Dvd Calendar'!$AC$1528=TYPE1)*(TYPE1&lt;&gt;"")+('Dvd Calendar'!$AC$1528=TYPE2)*(TYPE2&lt;&gt;"")+('Dvd Calendar'!$AC$1528=TYPE3)*(TYPE3&lt;&gt;"")+('Dvd Calendar'!$AC$1528=TYPE4)*(TYPE4&lt;&gt;"")+('Dvd Calendar'!$AC$1528=SPECIAL_LBL)*(INC_SPECIALS="Y"))=0,"",'Dvd Calendar'!$AC$1526)))</f>
        <v/>
      </c>
      <c r="AB153" s="110">
        <f>IF(FD153="","",IF(ISNUMBER('Dvd Calendar'!$AD$1526)=FALSE,"",IF((('Dvd Calendar'!$AD$1528=TYPE1)*(TYPE1&lt;&gt;"")+('Dvd Calendar'!$AD$1528=TYPE2)*(TYPE2&lt;&gt;"")+('Dvd Calendar'!$AD$1528=TYPE3)*(TYPE3&lt;&gt;"")+('Dvd Calendar'!$AD$1528=TYPE4)*(TYPE4&lt;&gt;"")+('Dvd Calendar'!$AD$1528=SPECIAL_LBL)*(INC_SPECIALS="Y"))=0,"",'Dvd Calendar'!$AD$1526)))</f>
        <v/>
      </c>
      <c r="AC153" s="110">
        <f>IF(FE153="","",IF(ISNUMBER('Dvd Calendar'!$AE$1526)=FALSE,"",IF((('Dvd Calendar'!$AE$1528=TYPE1)*(TYPE1&lt;&gt;"")+('Dvd Calendar'!$AE$1528=TYPE2)*(TYPE2&lt;&gt;"")+('Dvd Calendar'!$AE$1528=TYPE3)*(TYPE3&lt;&gt;"")+('Dvd Calendar'!$AE$1528=TYPE4)*(TYPE4&lt;&gt;"")+('Dvd Calendar'!$AE$1528=SPECIAL_LBL)*(INC_SPECIALS="Y"))=0,"",'Dvd Calendar'!$AE$1526)))</f>
        <v/>
      </c>
      <c r="AD153" s="110">
        <f>IF(FF153="","",IF(ISNUMBER('Dvd Calendar'!$AF$1526)=FALSE,"",IF((('Dvd Calendar'!$AF$1528=TYPE1)*(TYPE1&lt;&gt;"")+('Dvd Calendar'!$AF$1528=TYPE2)*(TYPE2&lt;&gt;"")+('Dvd Calendar'!$AF$1528=TYPE3)*(TYPE3&lt;&gt;"")+('Dvd Calendar'!$AF$1528=TYPE4)*(TYPE4&lt;&gt;"")+('Dvd Calendar'!$AF$1528=SPECIAL_LBL)*(INC_SPECIALS="Y"))=0,"",'Dvd Calendar'!$AF$1526)))</f>
        <v/>
      </c>
      <c r="AE153" s="110">
        <f>IF(FG153="","",IF(ISNUMBER('Dvd Calendar'!$AG$1526)=FALSE,"",IF((('Dvd Calendar'!$AG$1528=TYPE1)*(TYPE1&lt;&gt;"")+('Dvd Calendar'!$AG$1528=TYPE2)*(TYPE2&lt;&gt;"")+('Dvd Calendar'!$AG$1528=TYPE3)*(TYPE3&lt;&gt;"")+('Dvd Calendar'!$AG$1528=TYPE4)*(TYPE4&lt;&gt;"")+('Dvd Calendar'!$AG$1528=SPECIAL_LBL)*(INC_SPECIALS="Y"))=0,"",'Dvd Calendar'!$AG$1526)))</f>
        <v/>
      </c>
      <c r="AF153" s="110">
        <f>IF(FH153="","",IF(ISNUMBER('Dvd Calendar'!$AH$1526)=FALSE,"",IF((('Dvd Calendar'!$AH$1528=TYPE1)*(TYPE1&lt;&gt;"")+('Dvd Calendar'!$AH$1528=TYPE2)*(TYPE2&lt;&gt;"")+('Dvd Calendar'!$AH$1528=TYPE3)*(TYPE3&lt;&gt;"")+('Dvd Calendar'!$AH$1528=TYPE4)*(TYPE4&lt;&gt;"")+('Dvd Calendar'!$AH$1528=SPECIAL_LBL)*(INC_SPECIALS="Y"))=0,"",'Dvd Calendar'!$AH$1526)))</f>
        <v/>
      </c>
      <c r="AG153" s="110">
        <f>IF(FI153="","",IF(ISNUMBER('Dvd Calendar'!$AI$1526)=FALSE,"",IF((('Dvd Calendar'!$AI$1528=TYPE1)*(TYPE1&lt;&gt;"")+('Dvd Calendar'!$AI$1528=TYPE2)*(TYPE2&lt;&gt;"")+('Dvd Calendar'!$AI$1528=TYPE3)*(TYPE3&lt;&gt;"")+('Dvd Calendar'!$AI$1528=TYPE4)*(TYPE4&lt;&gt;"")+('Dvd Calendar'!$AI$1528=SPECIAL_LBL)*(INC_SPECIALS="Y"))=0,"",'Dvd Calendar'!$AI$1526)))</f>
        <v/>
      </c>
      <c r="AH153" s="110">
        <f>IF(FJ153="","",IF(ISNUMBER('Dvd Calendar'!$AJ$1526)=FALSE,"",IF((('Dvd Calendar'!$AJ$1528=TYPE1)*(TYPE1&lt;&gt;"")+('Dvd Calendar'!$AJ$1528=TYPE2)*(TYPE2&lt;&gt;"")+('Dvd Calendar'!$AJ$1528=TYPE3)*(TYPE3&lt;&gt;"")+('Dvd Calendar'!$AJ$1528=TYPE4)*(TYPE4&lt;&gt;"")+('Dvd Calendar'!$AJ$1528=SPECIAL_LBL)*(INC_SPECIALS="Y"))=0,"",'Dvd Calendar'!$AJ$1526)))</f>
        <v/>
      </c>
      <c r="AI153" s="110">
        <f>IF(FK153="","",IF(ISNUMBER('Dvd Calendar'!$AK$1526)=FALSE,"",IF((('Dvd Calendar'!$AK$1528=TYPE1)*(TYPE1&lt;&gt;"")+('Dvd Calendar'!$AK$1528=TYPE2)*(TYPE2&lt;&gt;"")+('Dvd Calendar'!$AK$1528=TYPE3)*(TYPE3&lt;&gt;"")+('Dvd Calendar'!$AK$1528=TYPE4)*(TYPE4&lt;&gt;"")+('Dvd Calendar'!$AK$1528=SPECIAL_LBL)*(INC_SPECIALS="Y"))=0,"",'Dvd Calendar'!$AK$1526)))</f>
        <v/>
      </c>
      <c r="AJ153" s="110">
        <f>IF(FL153="","",IF(ISNUMBER('Dvd Calendar'!$AL$1526)=FALSE,"",IF((('Dvd Calendar'!$AL$1528=TYPE1)*(TYPE1&lt;&gt;"")+('Dvd Calendar'!$AL$1528=TYPE2)*(TYPE2&lt;&gt;"")+('Dvd Calendar'!$AL$1528=TYPE3)*(TYPE3&lt;&gt;"")+('Dvd Calendar'!$AL$1528=TYPE4)*(TYPE4&lt;&gt;"")+('Dvd Calendar'!$AL$1528=SPECIAL_LBL)*(INC_SPECIALS="Y"))=0,"",'Dvd Calendar'!$AL$1526)))</f>
        <v/>
      </c>
      <c r="AK153" s="110">
        <f>IF(FM153="","",IF(ISNUMBER('Dvd Calendar'!$AM$1526)=FALSE,"",IF((('Dvd Calendar'!$AM$1528=TYPE1)*(TYPE1&lt;&gt;"")+('Dvd Calendar'!$AM$1528=TYPE2)*(TYPE2&lt;&gt;"")+('Dvd Calendar'!$AM$1528=TYPE3)*(TYPE3&lt;&gt;"")+('Dvd Calendar'!$AM$1528=TYPE4)*(TYPE4&lt;&gt;"")+('Dvd Calendar'!$AM$1528=SPECIAL_LBL)*(INC_SPECIALS="Y"))=0,"",'Dvd Calendar'!$AM$1526)))</f>
        <v/>
      </c>
      <c r="AL153" s="110">
        <f>IF(FN153="","",IF(ISNUMBER('Dvd Calendar'!$AN$1526)=FALSE,"",IF((('Dvd Calendar'!$AN$1528=TYPE1)*(TYPE1&lt;&gt;"")+('Dvd Calendar'!$AN$1528=TYPE2)*(TYPE2&lt;&gt;"")+('Dvd Calendar'!$AN$1528=TYPE3)*(TYPE3&lt;&gt;"")+('Dvd Calendar'!$AN$1528=TYPE4)*(TYPE4&lt;&gt;"")+('Dvd Calendar'!$AN$1528=SPECIAL_LBL)*(INC_SPECIALS="Y"))=0,"",'Dvd Calendar'!$AN$1526)))</f>
        <v/>
      </c>
      <c r="AM153" s="110">
        <f>IF(FO153="","",IF(ISNUMBER('Dvd Calendar'!$AO$1526)=FALSE,"",IF((('Dvd Calendar'!$AO$1528=TYPE1)*(TYPE1&lt;&gt;"")+('Dvd Calendar'!$AO$1528=TYPE2)*(TYPE2&lt;&gt;"")+('Dvd Calendar'!$AO$1528=TYPE3)*(TYPE3&lt;&gt;"")+('Dvd Calendar'!$AO$1528=TYPE4)*(TYPE4&lt;&gt;"")+('Dvd Calendar'!$AO$1528=SPECIAL_LBL)*(INC_SPECIALS="Y"))=0,"",'Dvd Calendar'!$AO$1526)))</f>
        <v/>
      </c>
      <c r="AN153" s="110">
        <f>IF(FP153="","",IF(ISNUMBER('Dvd Calendar'!$AP$1526)=FALSE,"",IF((('Dvd Calendar'!$AP$1528=TYPE1)*(TYPE1&lt;&gt;"")+('Dvd Calendar'!$AP$1528=TYPE2)*(TYPE2&lt;&gt;"")+('Dvd Calendar'!$AP$1528=TYPE3)*(TYPE3&lt;&gt;"")+('Dvd Calendar'!$AP$1528=TYPE4)*(TYPE4&lt;&gt;"")+('Dvd Calendar'!$AP$1528=SPECIAL_LBL)*(INC_SPECIALS="Y"))=0,"",'Dvd Calendar'!$AP$1526)))</f>
        <v/>
      </c>
      <c r="AO153" s="110">
        <f>IF(FQ153="","",IF(ISNUMBER('Dvd Calendar'!$AQ$1526)=FALSE,"",IF((('Dvd Calendar'!$AQ$1528=TYPE1)*(TYPE1&lt;&gt;"")+('Dvd Calendar'!$AQ$1528=TYPE2)*(TYPE2&lt;&gt;"")+('Dvd Calendar'!$AQ$1528=TYPE3)*(TYPE3&lt;&gt;"")+('Dvd Calendar'!$AQ$1528=TYPE4)*(TYPE4&lt;&gt;"")+('Dvd Calendar'!$AQ$1528=SPECIAL_LBL)*(INC_SPECIALS="Y"))=0,"",'Dvd Calendar'!$AQ$1526)))</f>
        <v/>
      </c>
      <c r="AP153" s="110">
        <f>IF(FR153="","",IF(ISNUMBER('Dvd Calendar'!$AR$1526)=FALSE,"",IF((('Dvd Calendar'!$AR$1528=TYPE1)*(TYPE1&lt;&gt;"")+('Dvd Calendar'!$AR$1528=TYPE2)*(TYPE2&lt;&gt;"")+('Dvd Calendar'!$AR$1528=TYPE3)*(TYPE3&lt;&gt;"")+('Dvd Calendar'!$AR$1528=TYPE4)*(TYPE4&lt;&gt;"")+('Dvd Calendar'!$AR$1528=SPECIAL_LBL)*(INC_SPECIALS="Y"))=0,"",'Dvd Calendar'!$AR$1526)))</f>
        <v/>
      </c>
      <c r="AQ153" s="110">
        <f>IF(FS153="","",IF(ISNUMBER('Dvd Calendar'!$E$1531)=FALSE,"",'Dvd Calendar'!$E$1531))</f>
        <v/>
      </c>
      <c r="AR153" s="110">
        <f>IF(FT153="","",IF(ISNUMBER('Dvd Calendar'!$F$1531)=FALSE,"",'Dvd Calendar'!$F$1531))</f>
        <v/>
      </c>
      <c r="AS153" s="110">
        <f>IF(FU153="","",IF(ISNUMBER('Dvd Calendar'!$G$1531)=FALSE,"",'Dvd Calendar'!$G$1531))</f>
        <v/>
      </c>
      <c r="AT153" s="110">
        <f>IF(FV153="","",IF(ISNUMBER('Dvd Calendar'!$H$1531)=FALSE,"",'Dvd Calendar'!$H$1531))</f>
        <v/>
      </c>
      <c r="AU153" s="110">
        <f>IF(FW153="","",IF(ISNUMBER('Dvd Calendar'!$I$1531)=FALSE,"",'Dvd Calendar'!$I$1531))</f>
        <v/>
      </c>
      <c r="AV153" s="110">
        <f>IF(FX153="","",IF(ISNUMBER('Dvd Calendar'!$J$1531)=FALSE,"",'Dvd Calendar'!$J$1531))</f>
        <v/>
      </c>
      <c r="AW153" s="110">
        <f>IF(FY153="","",IF(ISNUMBER('Dvd Calendar'!$K$1531)=FALSE,"",'Dvd Calendar'!$K$1531))</f>
        <v/>
      </c>
      <c r="AX153" s="110">
        <f>IF(FZ153="","",IF(ISNUMBER('Dvd Calendar'!$L$1531)=FALSE,"",'Dvd Calendar'!$L$1531))</f>
        <v/>
      </c>
      <c r="AY153" s="110">
        <f>IF(GA153="","",IF(ISNUMBER('Dvd Calendar'!$M$1531)=FALSE,"",'Dvd Calendar'!$M$1531))</f>
        <v/>
      </c>
      <c r="AZ153" s="110">
        <f>IF(GB153="","",IF(ISNUMBER('Dvd Calendar'!$N$1531)=FALSE,"",'Dvd Calendar'!$N$1531))</f>
        <v/>
      </c>
      <c r="BA153" s="110">
        <f>IF(GC153="","",IF(ISNUMBER('Dvd Calendar'!$O$1531)=FALSE,"",'Dvd Calendar'!$O$1531))</f>
        <v/>
      </c>
      <c r="BB153" s="110">
        <f>IF(GD153="","",IF(ISNUMBER('Dvd Calendar'!$P$1531)=FALSE,"",'Dvd Calendar'!$P$1531))</f>
        <v/>
      </c>
      <c r="BC153" s="110">
        <f>IF(GE153="","",IF(ISNUMBER('Dvd Calendar'!$Q$1531)=FALSE,"",'Dvd Calendar'!$Q$1531))</f>
        <v/>
      </c>
      <c r="BD153" s="110">
        <f>IF(GF153="","",IF(ISNUMBER('Dvd Calendar'!$R$1531)=FALSE,"",'Dvd Calendar'!$R$1531))</f>
        <v/>
      </c>
      <c r="BE153" s="110">
        <f>IF(GG153="","",IF(ISNUMBER('Dvd Calendar'!$S$1531)=FALSE,"",'Dvd Calendar'!$S$1531))</f>
        <v/>
      </c>
      <c r="BF153" s="110">
        <f>IF(GH153="","",IF(ISNUMBER('Dvd Calendar'!$T$1531)=FALSE,"",'Dvd Calendar'!$T$1531))</f>
        <v/>
      </c>
      <c r="BG153" s="110">
        <f>IF(GI153="","",IF(ISNUMBER('Dvd Calendar'!$U$1531)=FALSE,"",'Dvd Calendar'!$U$1531))</f>
        <v/>
      </c>
      <c r="BH153" s="110">
        <f>IF(GJ153="","",IF(ISNUMBER('Dvd Calendar'!$V$1531)=FALSE,"",'Dvd Calendar'!$V$1531))</f>
        <v/>
      </c>
      <c r="BI153" s="110">
        <f>IF(GK153="","",IF(ISNUMBER('Dvd Calendar'!$W$1531)=FALSE,"",'Dvd Calendar'!$W$1531))</f>
        <v/>
      </c>
      <c r="BJ153" s="110">
        <f>IF(GL153="","",IF(ISNUMBER('Dvd Calendar'!$X$1531)=FALSE,"",'Dvd Calendar'!$X$1531))</f>
        <v/>
      </c>
      <c r="BK153" s="110">
        <f>IF(GM153="","",IF(ISNUMBER('Dvd Calendar'!$Y$1531)=FALSE,"",'Dvd Calendar'!$Y$1531))</f>
        <v/>
      </c>
      <c r="BL153" s="110">
        <f>IF(GN153="","",IF(ISNUMBER('Dvd Calendar'!$Z$1531)=FALSE,"",'Dvd Calendar'!$Z$1531))</f>
        <v/>
      </c>
      <c r="BM153" s="110">
        <f>IF(GO153="","",IF(ISNUMBER('Dvd Calendar'!$AA$1531)=FALSE,"",'Dvd Calendar'!$AA$1531))</f>
        <v/>
      </c>
      <c r="BN153" s="110">
        <f>IF(GP153="","",IF(ISNUMBER('Dvd Calendar'!$AB$1531)=FALSE,"",'Dvd Calendar'!$AB$1531))</f>
        <v/>
      </c>
      <c r="BO153" s="110">
        <f>IF(GQ153="","",IF(ISNUMBER('Dvd Calendar'!$AC$1531)=FALSE,"",'Dvd Calendar'!$AC$1531))</f>
        <v/>
      </c>
      <c r="BQ153" s="110">
        <f>IF(C153="","",IFERROR(C153*HSTECH!$B$44*HSTECH!$G$44/HSTECH!$B$3,""))</f>
        <v/>
      </c>
      <c r="BR153" s="110">
        <f>IF(D153="","",IFERROR(D153*HSTECH!$B$44*HSTECH!$G$44/HSTECH!$B$3,""))</f>
        <v/>
      </c>
      <c r="BS153" s="110">
        <f>IF(E153="","",IFERROR(E153*HSTECH!$B$44*HSTECH!$G$44/HSTECH!$B$3,""))</f>
        <v/>
      </c>
      <c r="BT153" s="110">
        <f>IF(F153="","",IFERROR(F153*HSTECH!$B$44*HSTECH!$G$44/HSTECH!$B$3,""))</f>
        <v/>
      </c>
      <c r="BU153" s="110">
        <f>IF(G153="","",IFERROR(G153*HSTECH!$B$44*HSTECH!$G$44/HSTECH!$B$3,""))</f>
        <v/>
      </c>
      <c r="BV153" s="110">
        <f>IF(H153="","",IFERROR(H153*HSTECH!$B$44*HSTECH!$G$44/HSTECH!$B$3,""))</f>
        <v/>
      </c>
      <c r="BW153" s="110">
        <f>IF(I153="","",IFERROR(I153*HSTECH!$B$44*HSTECH!$G$44/HSTECH!$B$3,""))</f>
        <v/>
      </c>
      <c r="BX153" s="110">
        <f>IF(J153="","",IFERROR(J153*HSTECH!$B$44*HSTECH!$G$44/HSTECH!$B$3,""))</f>
        <v/>
      </c>
      <c r="BY153" s="110">
        <f>IF(K153="","",IFERROR(K153*HSTECH!$B$44*HSTECH!$G$44/HSTECH!$B$3,""))</f>
        <v/>
      </c>
      <c r="BZ153" s="110">
        <f>IF(L153="","",IFERROR(L153*HSTECH!$B$44*HSTECH!$G$44/HSTECH!$B$3,""))</f>
        <v/>
      </c>
      <c r="CA153" s="110">
        <f>IF(M153="","",IFERROR(M153*HSTECH!$B$44*HSTECH!$G$44/HSTECH!$B$3,""))</f>
        <v/>
      </c>
      <c r="CB153" s="110">
        <f>IF(N153="","",IFERROR(N153*HSTECH!$B$44*HSTECH!$G$44/HSTECH!$B$3,""))</f>
        <v/>
      </c>
      <c r="CC153" s="110">
        <f>IF(O153="","",IFERROR(O153*HSTECH!$B$44*HSTECH!$G$44/HSTECH!$B$3,""))</f>
        <v/>
      </c>
      <c r="CD153" s="110">
        <f>IF(P153="","",IFERROR(P153*HSTECH!$B$44*HSTECH!$G$44/HSTECH!$B$3,""))</f>
        <v/>
      </c>
      <c r="CE153" s="110">
        <f>IF(Q153="","",IFERROR(Q153*HSTECH!$B$44*HSTECH!$G$44/HSTECH!$B$3,""))</f>
        <v/>
      </c>
      <c r="CF153" s="110">
        <f>IF(R153="","",IFERROR(R153*HSTECH!$B$44*HSTECH!$G$44/HSTECH!$B$3,""))</f>
        <v/>
      </c>
      <c r="CG153" s="110">
        <f>IF(S153="","",IFERROR(S153*HSTECH!$B$44*HSTECH!$G$44/HSTECH!$B$3,""))</f>
        <v/>
      </c>
      <c r="CH153" s="110">
        <f>IF(T153="","",IFERROR(T153*HSTECH!$B$44*HSTECH!$G$44/HSTECH!$B$3,""))</f>
        <v/>
      </c>
      <c r="CI153" s="110">
        <f>IF(U153="","",IFERROR(U153*HSTECH!$B$44*HSTECH!$G$44/HSTECH!$B$3,""))</f>
        <v/>
      </c>
      <c r="CJ153" s="110">
        <f>IF(V153="","",IFERROR(V153*HSTECH!$B$44*HSTECH!$G$44/HSTECH!$B$3,""))</f>
        <v/>
      </c>
      <c r="CK153" s="110">
        <f>IF(W153="","",IFERROR(W153*HSTECH!$B$44*HSTECH!$G$44/HSTECH!$B$3,""))</f>
        <v/>
      </c>
      <c r="CL153" s="110">
        <f>IF(X153="","",IFERROR(X153*HSTECH!$B$44*HSTECH!$G$44/HSTECH!$B$3,""))</f>
        <v/>
      </c>
      <c r="CM153" s="110">
        <f>IF(Y153="","",IFERROR(Y153*HSTECH!$B$44*HSTECH!$G$44/HSTECH!$B$3,""))</f>
        <v/>
      </c>
      <c r="CN153" s="110">
        <f>IF(Z153="","",IFERROR(Z153*HSTECH!$B$44*HSTECH!$G$44/HSTECH!$B$3,""))</f>
        <v/>
      </c>
      <c r="CO153" s="110">
        <f>IF(AA153="","",IFERROR(AA153*HSTECH!$B$44*HSTECH!$G$44/HSTECH!$B$3,""))</f>
        <v/>
      </c>
      <c r="CP153" s="110">
        <f>IF(AB153="","",IFERROR(AB153*HSTECH!$B$44*HSTECH!$G$44/HSTECH!$B$3,""))</f>
        <v/>
      </c>
      <c r="CQ153" s="110">
        <f>IF(AC153="","",IFERROR(AC153*HSTECH!$B$44*HSTECH!$G$44/HSTECH!$B$3,""))</f>
        <v/>
      </c>
      <c r="CR153" s="110">
        <f>IF(AD153="","",IFERROR(AD153*HSTECH!$B$44*HSTECH!$G$44/HSTECH!$B$3,""))</f>
        <v/>
      </c>
      <c r="CS153" s="110">
        <f>IF(AE153="","",IFERROR(AE153*HSTECH!$B$44*HSTECH!$G$44/HSTECH!$B$3,""))</f>
        <v/>
      </c>
      <c r="CT153" s="110">
        <f>IF(AF153="","",IFERROR(AF153*HSTECH!$B$44*HSTECH!$G$44/HSTECH!$B$3,""))</f>
        <v/>
      </c>
      <c r="CU153" s="110">
        <f>IF(AG153="","",IFERROR(AG153*HSTECH!$B$44*HSTECH!$G$44/HSTECH!$B$3,""))</f>
        <v/>
      </c>
      <c r="CV153" s="110">
        <f>IF(AH153="","",IFERROR(AH153*HSTECH!$B$44*HSTECH!$G$44/HSTECH!$B$3,""))</f>
        <v/>
      </c>
      <c r="CW153" s="110">
        <f>IF(AI153="","",IFERROR(AI153*HSTECH!$B$44*HSTECH!$G$44/HSTECH!$B$3,""))</f>
        <v/>
      </c>
      <c r="CX153" s="110">
        <f>IF(AJ153="","",IFERROR(AJ153*HSTECH!$B$44*HSTECH!$G$44/HSTECH!$B$3,""))</f>
        <v/>
      </c>
      <c r="CY153" s="110">
        <f>IF(AK153="","",IFERROR(AK153*HSTECH!$B$44*HSTECH!$G$44/HSTECH!$B$3,""))</f>
        <v/>
      </c>
      <c r="CZ153" s="110">
        <f>IF(AL153="","",IFERROR(AL153*HSTECH!$B$44*HSTECH!$G$44/HSTECH!$B$3,""))</f>
        <v/>
      </c>
      <c r="DA153" s="110">
        <f>IF(AM153="","",IFERROR(AM153*HSTECH!$B$44*HSTECH!$G$44/HSTECH!$B$3,""))</f>
        <v/>
      </c>
      <c r="DB153" s="110">
        <f>IF(AN153="","",IFERROR(AN153*HSTECH!$B$44*HSTECH!$G$44/HSTECH!$B$3,""))</f>
        <v/>
      </c>
      <c r="DC153" s="110">
        <f>IF(AO153="","",IFERROR(AO153*HSTECH!$B$44*HSTECH!$G$44/HSTECH!$B$3,""))</f>
        <v/>
      </c>
      <c r="DD153" s="110">
        <f>IF(AP153="","",IFERROR(AP153*HSTECH!$B$44*HSTECH!$G$44/HSTECH!$B$3,""))</f>
        <v/>
      </c>
      <c r="DE153" s="110">
        <f>IF(AQ153="","",IFERROR(AQ153*HSTECH!$B$44*HSTECH!$G$44/HSTECH!$B$3,""))</f>
        <v/>
      </c>
      <c r="DF153" s="110">
        <f>IF(AR153="","",IFERROR(AR153*HSTECH!$B$44*HSTECH!$G$44/HSTECH!$B$3,""))</f>
        <v/>
      </c>
      <c r="DG153" s="110">
        <f>IF(AS153="","",IFERROR(AS153*HSTECH!$B$44*HSTECH!$G$44/HSTECH!$B$3,""))</f>
        <v/>
      </c>
      <c r="DH153" s="110">
        <f>IF(AT153="","",IFERROR(AT153*HSTECH!$B$44*HSTECH!$G$44/HSTECH!$B$3,""))</f>
        <v/>
      </c>
      <c r="DI153" s="110">
        <f>IF(AU153="","",IFERROR(AU153*HSTECH!$B$44*HSTECH!$G$44/HSTECH!$B$3,""))</f>
        <v/>
      </c>
      <c r="DJ153" s="110">
        <f>IF(AV153="","",IFERROR(AV153*HSTECH!$B$44*HSTECH!$G$44/HSTECH!$B$3,""))</f>
        <v/>
      </c>
      <c r="DK153" s="110">
        <f>IF(AW153="","",IFERROR(AW153*HSTECH!$B$44*HSTECH!$G$44/HSTECH!$B$3,""))</f>
        <v/>
      </c>
      <c r="DL153" s="110">
        <f>IF(AX153="","",IFERROR(AX153*HSTECH!$B$44*HSTECH!$G$44/HSTECH!$B$3,""))</f>
        <v/>
      </c>
      <c r="DM153" s="110">
        <f>IF(AY153="","",IFERROR(AY153*HSTECH!$B$44*HSTECH!$G$44/HSTECH!$B$3,""))</f>
        <v/>
      </c>
      <c r="DN153" s="110">
        <f>IF(AZ153="","",IFERROR(AZ153*HSTECH!$B$44*HSTECH!$G$44/HSTECH!$B$3,""))</f>
        <v/>
      </c>
      <c r="DO153" s="110">
        <f>IF(BA153="","",IFERROR(BA153*HSTECH!$B$44*HSTECH!$G$44/HSTECH!$B$3,""))</f>
        <v/>
      </c>
      <c r="DP153" s="110">
        <f>IF(BB153="","",IFERROR(BB153*HSTECH!$B$44*HSTECH!$G$44/HSTECH!$B$3,""))</f>
        <v/>
      </c>
      <c r="DQ153" s="110">
        <f>IF(BC153="","",IFERROR(BC153*HSTECH!$B$44*HSTECH!$G$44/HSTECH!$B$3,""))</f>
        <v/>
      </c>
      <c r="DR153" s="110">
        <f>IF(BD153="","",IFERROR(BD153*HSTECH!$B$44*HSTECH!$G$44/HSTECH!$B$3,""))</f>
        <v/>
      </c>
      <c r="DS153" s="110">
        <f>IF(BE153="","",IFERROR(BE153*HSTECH!$B$44*HSTECH!$G$44/HSTECH!$B$3,""))</f>
        <v/>
      </c>
      <c r="DT153" s="110">
        <f>IF(BF153="","",IFERROR(BF153*HSTECH!$B$44*HSTECH!$G$44/HSTECH!$B$3,""))</f>
        <v/>
      </c>
      <c r="DU153" s="110">
        <f>IF(BG153="","",IFERROR(BG153*HSTECH!$B$44*HSTECH!$G$44/HSTECH!$B$3,""))</f>
        <v/>
      </c>
      <c r="DV153" s="110">
        <f>IF(BH153="","",IFERROR(BH153*HSTECH!$B$44*HSTECH!$G$44/HSTECH!$B$3,""))</f>
        <v/>
      </c>
      <c r="DW153" s="110">
        <f>IF(BI153="","",IFERROR(BI153*HSTECH!$B$44*HSTECH!$G$44/HSTECH!$B$3,""))</f>
        <v/>
      </c>
      <c r="DX153" s="110">
        <f>IF(BJ153="","",IFERROR(BJ153*HSTECH!$B$44*HSTECH!$G$44/HSTECH!$B$3,""))</f>
        <v/>
      </c>
      <c r="DY153" s="110">
        <f>IF(BK153="","",IFERROR(BK153*HSTECH!$B$44*HSTECH!$G$44/HSTECH!$B$3,""))</f>
        <v/>
      </c>
      <c r="DZ153" s="110">
        <f>IF(BL153="","",IFERROR(BL153*HSTECH!$B$44*HSTECH!$G$44/HSTECH!$B$3,""))</f>
        <v/>
      </c>
      <c r="EA153" s="110">
        <f>IF(BM153="","",IFERROR(BM153*HSTECH!$B$44*HSTECH!$G$44/HSTECH!$B$3,""))</f>
        <v/>
      </c>
      <c r="EB153" s="110">
        <f>IF(BN153="","",IFERROR(BN153*HSTECH!$B$44*HSTECH!$G$44/HSTECH!$B$3,""))</f>
        <v/>
      </c>
      <c r="EC153" s="110">
        <f>IF(BO153="","",IFERROR(BO153*HSTECH!$B$44*HSTECH!$G$44/HSTECH!$B$3,""))</f>
        <v/>
      </c>
      <c r="EE153" s="39">
        <f>IF(N('Dvd Calendar'!$E$1523)=0,"",IF(('Dvd Calendar'!$E$1523&gt;=GRID_FROM)*('Dvd Calendar'!$E$1523&lt;=GRID_TO)*((('Dvd Calendar'!$E$1523&lt;=VAL_DATE)+(COUNTIF('Dvd Calendar'!$E$1530:$AR$1530,'Dvd Calendar'!$E$1523)=0))&gt;0)=0,"",'Dvd Calendar'!$E$1523*1000000000+ISNUMBER('Dvd Calendar'!$E$1526)*100000000+('Dvd Calendar'!$E$1528=SPECIAL_LBL)*10000000+(N('Dvd Calendar'!$E$1522)&gt;0)*(N('Dvd Calendar'!$E$1522)&lt;=VAL_SERIAL)*1000000+38*1000+1))</f>
        <v/>
      </c>
      <c r="EF153" s="39">
        <f>IF(N('Dvd Calendar'!$F$1523)=0,"",IF(('Dvd Calendar'!$F$1523&gt;=GRID_FROM)*('Dvd Calendar'!$F$1523&lt;=GRID_TO)*((('Dvd Calendar'!$F$1523&lt;=VAL_DATE)+(COUNTIF('Dvd Calendar'!$E$1530:$AR$1530,'Dvd Calendar'!$F$1523)=0))&gt;0)=0,"",'Dvd Calendar'!$F$1523*1000000000+ISNUMBER('Dvd Calendar'!$F$1526)*100000000+('Dvd Calendar'!$F$1528=SPECIAL_LBL)*10000000+(N('Dvd Calendar'!$F$1522)&gt;0)*(N('Dvd Calendar'!$F$1522)&lt;=VAL_SERIAL)*1000000+38*1000+2))</f>
        <v/>
      </c>
      <c r="EG153" s="39">
        <f>IF(N('Dvd Calendar'!$G$1523)=0,"",IF(('Dvd Calendar'!$G$1523&gt;=GRID_FROM)*('Dvd Calendar'!$G$1523&lt;=GRID_TO)*((('Dvd Calendar'!$G$1523&lt;=VAL_DATE)+(COUNTIF('Dvd Calendar'!$E$1530:$AR$1530,'Dvd Calendar'!$G$1523)=0))&gt;0)=0,"",'Dvd Calendar'!$G$1523*1000000000+ISNUMBER('Dvd Calendar'!$G$1526)*100000000+('Dvd Calendar'!$G$1528=SPECIAL_LBL)*10000000+(N('Dvd Calendar'!$G$1522)&gt;0)*(N('Dvd Calendar'!$G$1522)&lt;=VAL_SERIAL)*1000000+38*1000+3))</f>
        <v/>
      </c>
      <c r="EH153" s="39">
        <f>IF(N('Dvd Calendar'!$H$1523)=0,"",IF(('Dvd Calendar'!$H$1523&gt;=GRID_FROM)*('Dvd Calendar'!$H$1523&lt;=GRID_TO)*((('Dvd Calendar'!$H$1523&lt;=VAL_DATE)+(COUNTIF('Dvd Calendar'!$E$1530:$AR$1530,'Dvd Calendar'!$H$1523)=0))&gt;0)=0,"",'Dvd Calendar'!$H$1523*1000000000+ISNUMBER('Dvd Calendar'!$H$1526)*100000000+('Dvd Calendar'!$H$1528=SPECIAL_LBL)*10000000+(N('Dvd Calendar'!$H$1522)&gt;0)*(N('Dvd Calendar'!$H$1522)&lt;=VAL_SERIAL)*1000000+38*1000+4))</f>
        <v/>
      </c>
      <c r="EI153" s="39">
        <f>IF(N('Dvd Calendar'!$I$1523)=0,"",IF(('Dvd Calendar'!$I$1523&gt;=GRID_FROM)*('Dvd Calendar'!$I$1523&lt;=GRID_TO)*((('Dvd Calendar'!$I$1523&lt;=VAL_DATE)+(COUNTIF('Dvd Calendar'!$E$1530:$AR$1530,'Dvd Calendar'!$I$1523)=0))&gt;0)=0,"",'Dvd Calendar'!$I$1523*1000000000+ISNUMBER('Dvd Calendar'!$I$1526)*100000000+('Dvd Calendar'!$I$1528=SPECIAL_LBL)*10000000+(N('Dvd Calendar'!$I$1522)&gt;0)*(N('Dvd Calendar'!$I$1522)&lt;=VAL_SERIAL)*1000000+38*1000+5))</f>
        <v/>
      </c>
      <c r="EJ153" s="39">
        <f>IF(N('Dvd Calendar'!$J$1523)=0,"",IF(('Dvd Calendar'!$J$1523&gt;=GRID_FROM)*('Dvd Calendar'!$J$1523&lt;=GRID_TO)*((('Dvd Calendar'!$J$1523&lt;=VAL_DATE)+(COUNTIF('Dvd Calendar'!$E$1530:$AR$1530,'Dvd Calendar'!$J$1523)=0))&gt;0)=0,"",'Dvd Calendar'!$J$1523*1000000000+ISNUMBER('Dvd Calendar'!$J$1526)*100000000+('Dvd Calendar'!$J$1528=SPECIAL_LBL)*10000000+(N('Dvd Calendar'!$J$1522)&gt;0)*(N('Dvd Calendar'!$J$1522)&lt;=VAL_SERIAL)*1000000+38*1000+6))</f>
        <v/>
      </c>
      <c r="EK153" s="39">
        <f>IF(N('Dvd Calendar'!$K$1523)=0,"",IF(('Dvd Calendar'!$K$1523&gt;=GRID_FROM)*('Dvd Calendar'!$K$1523&lt;=GRID_TO)*((('Dvd Calendar'!$K$1523&lt;=VAL_DATE)+(COUNTIF('Dvd Calendar'!$E$1530:$AR$1530,'Dvd Calendar'!$K$1523)=0))&gt;0)=0,"",'Dvd Calendar'!$K$1523*1000000000+ISNUMBER('Dvd Calendar'!$K$1526)*100000000+('Dvd Calendar'!$K$1528=SPECIAL_LBL)*10000000+(N('Dvd Calendar'!$K$1522)&gt;0)*(N('Dvd Calendar'!$K$1522)&lt;=VAL_SERIAL)*1000000+38*1000+7))</f>
        <v/>
      </c>
      <c r="EL153" s="39">
        <f>IF(N('Dvd Calendar'!$L$1523)=0,"",IF(('Dvd Calendar'!$L$1523&gt;=GRID_FROM)*('Dvd Calendar'!$L$1523&lt;=GRID_TO)*((('Dvd Calendar'!$L$1523&lt;=VAL_DATE)+(COUNTIF('Dvd Calendar'!$E$1530:$AR$1530,'Dvd Calendar'!$L$1523)=0))&gt;0)=0,"",'Dvd Calendar'!$L$1523*1000000000+ISNUMBER('Dvd Calendar'!$L$1526)*100000000+('Dvd Calendar'!$L$1528=SPECIAL_LBL)*10000000+(N('Dvd Calendar'!$L$1522)&gt;0)*(N('Dvd Calendar'!$L$1522)&lt;=VAL_SERIAL)*1000000+38*1000+8))</f>
        <v/>
      </c>
      <c r="EM153" s="39">
        <f>IF(N('Dvd Calendar'!$M$1523)=0,"",IF(('Dvd Calendar'!$M$1523&gt;=GRID_FROM)*('Dvd Calendar'!$M$1523&lt;=GRID_TO)*((('Dvd Calendar'!$M$1523&lt;=VAL_DATE)+(COUNTIF('Dvd Calendar'!$E$1530:$AR$1530,'Dvd Calendar'!$M$1523)=0))&gt;0)=0,"",'Dvd Calendar'!$M$1523*1000000000+ISNUMBER('Dvd Calendar'!$M$1526)*100000000+('Dvd Calendar'!$M$1528=SPECIAL_LBL)*10000000+(N('Dvd Calendar'!$M$1522)&gt;0)*(N('Dvd Calendar'!$M$1522)&lt;=VAL_SERIAL)*1000000+38*1000+9))</f>
        <v/>
      </c>
      <c r="EN153" s="39">
        <f>IF(N('Dvd Calendar'!$N$1523)=0,"",IF(('Dvd Calendar'!$N$1523&gt;=GRID_FROM)*('Dvd Calendar'!$N$1523&lt;=GRID_TO)*((('Dvd Calendar'!$N$1523&lt;=VAL_DATE)+(COUNTIF('Dvd Calendar'!$E$1530:$AR$1530,'Dvd Calendar'!$N$1523)=0))&gt;0)=0,"",'Dvd Calendar'!$N$1523*1000000000+ISNUMBER('Dvd Calendar'!$N$1526)*100000000+('Dvd Calendar'!$N$1528=SPECIAL_LBL)*10000000+(N('Dvd Calendar'!$N$1522)&gt;0)*(N('Dvd Calendar'!$N$1522)&lt;=VAL_SERIAL)*1000000+38*1000+10))</f>
        <v/>
      </c>
      <c r="EO153" s="39">
        <f>IF(N('Dvd Calendar'!$O$1523)=0,"",IF(('Dvd Calendar'!$O$1523&gt;=GRID_FROM)*('Dvd Calendar'!$O$1523&lt;=GRID_TO)*((('Dvd Calendar'!$O$1523&lt;=VAL_DATE)+(COUNTIF('Dvd Calendar'!$E$1530:$AR$1530,'Dvd Calendar'!$O$1523)=0))&gt;0)=0,"",'Dvd Calendar'!$O$1523*1000000000+ISNUMBER('Dvd Calendar'!$O$1526)*100000000+('Dvd Calendar'!$O$1528=SPECIAL_LBL)*10000000+(N('Dvd Calendar'!$O$1522)&gt;0)*(N('Dvd Calendar'!$O$1522)&lt;=VAL_SERIAL)*1000000+38*1000+11))</f>
        <v/>
      </c>
      <c r="EP153" s="39">
        <f>IF(N('Dvd Calendar'!$P$1523)=0,"",IF(('Dvd Calendar'!$P$1523&gt;=GRID_FROM)*('Dvd Calendar'!$P$1523&lt;=GRID_TO)*((('Dvd Calendar'!$P$1523&lt;=VAL_DATE)+(COUNTIF('Dvd Calendar'!$E$1530:$AR$1530,'Dvd Calendar'!$P$1523)=0))&gt;0)=0,"",'Dvd Calendar'!$P$1523*1000000000+ISNUMBER('Dvd Calendar'!$P$1526)*100000000+('Dvd Calendar'!$P$1528=SPECIAL_LBL)*10000000+(N('Dvd Calendar'!$P$1522)&gt;0)*(N('Dvd Calendar'!$P$1522)&lt;=VAL_SERIAL)*1000000+38*1000+12))</f>
        <v/>
      </c>
      <c r="EQ153" s="39">
        <f>IF(N('Dvd Calendar'!$Q$1523)=0,"",IF(('Dvd Calendar'!$Q$1523&gt;=GRID_FROM)*('Dvd Calendar'!$Q$1523&lt;=GRID_TO)*((('Dvd Calendar'!$Q$1523&lt;=VAL_DATE)+(COUNTIF('Dvd Calendar'!$E$1530:$AR$1530,'Dvd Calendar'!$Q$1523)=0))&gt;0)=0,"",'Dvd Calendar'!$Q$1523*1000000000+ISNUMBER('Dvd Calendar'!$Q$1526)*100000000+('Dvd Calendar'!$Q$1528=SPECIAL_LBL)*10000000+(N('Dvd Calendar'!$Q$1522)&gt;0)*(N('Dvd Calendar'!$Q$1522)&lt;=VAL_SERIAL)*1000000+38*1000+13))</f>
        <v/>
      </c>
      <c r="ER153" s="39">
        <f>IF(N('Dvd Calendar'!$R$1523)=0,"",IF(('Dvd Calendar'!$R$1523&gt;=GRID_FROM)*('Dvd Calendar'!$R$1523&lt;=GRID_TO)*((('Dvd Calendar'!$R$1523&lt;=VAL_DATE)+(COUNTIF('Dvd Calendar'!$E$1530:$AR$1530,'Dvd Calendar'!$R$1523)=0))&gt;0)=0,"",'Dvd Calendar'!$R$1523*1000000000+ISNUMBER('Dvd Calendar'!$R$1526)*100000000+('Dvd Calendar'!$R$1528=SPECIAL_LBL)*10000000+(N('Dvd Calendar'!$R$1522)&gt;0)*(N('Dvd Calendar'!$R$1522)&lt;=VAL_SERIAL)*1000000+38*1000+14))</f>
        <v/>
      </c>
      <c r="ES153" s="39">
        <f>IF(N('Dvd Calendar'!$S$1523)=0,"",IF(('Dvd Calendar'!$S$1523&gt;=GRID_FROM)*('Dvd Calendar'!$S$1523&lt;=GRID_TO)*((('Dvd Calendar'!$S$1523&lt;=VAL_DATE)+(COUNTIF('Dvd Calendar'!$E$1530:$AR$1530,'Dvd Calendar'!$S$1523)=0))&gt;0)=0,"",'Dvd Calendar'!$S$1523*1000000000+ISNUMBER('Dvd Calendar'!$S$1526)*100000000+('Dvd Calendar'!$S$1528=SPECIAL_LBL)*10000000+(N('Dvd Calendar'!$S$1522)&gt;0)*(N('Dvd Calendar'!$S$1522)&lt;=VAL_SERIAL)*1000000+38*1000+15))</f>
        <v/>
      </c>
      <c r="ET153" s="39">
        <f>IF(N('Dvd Calendar'!$T$1523)=0,"",IF(('Dvd Calendar'!$T$1523&gt;=GRID_FROM)*('Dvd Calendar'!$T$1523&lt;=GRID_TO)*((('Dvd Calendar'!$T$1523&lt;=VAL_DATE)+(COUNTIF('Dvd Calendar'!$E$1530:$AR$1530,'Dvd Calendar'!$T$1523)=0))&gt;0)=0,"",'Dvd Calendar'!$T$1523*1000000000+ISNUMBER('Dvd Calendar'!$T$1526)*100000000+('Dvd Calendar'!$T$1528=SPECIAL_LBL)*10000000+(N('Dvd Calendar'!$T$1522)&gt;0)*(N('Dvd Calendar'!$T$1522)&lt;=VAL_SERIAL)*1000000+38*1000+16))</f>
        <v/>
      </c>
      <c r="EU153" s="39">
        <f>IF(N('Dvd Calendar'!$U$1523)=0,"",IF(('Dvd Calendar'!$U$1523&gt;=GRID_FROM)*('Dvd Calendar'!$U$1523&lt;=GRID_TO)*((('Dvd Calendar'!$U$1523&lt;=VAL_DATE)+(COUNTIF('Dvd Calendar'!$E$1530:$AR$1530,'Dvd Calendar'!$U$1523)=0))&gt;0)=0,"",'Dvd Calendar'!$U$1523*1000000000+ISNUMBER('Dvd Calendar'!$U$1526)*100000000+('Dvd Calendar'!$U$1528=SPECIAL_LBL)*10000000+(N('Dvd Calendar'!$U$1522)&gt;0)*(N('Dvd Calendar'!$U$1522)&lt;=VAL_SERIAL)*1000000+38*1000+17))</f>
        <v/>
      </c>
      <c r="EV153" s="39">
        <f>IF(N('Dvd Calendar'!$V$1523)=0,"",IF(('Dvd Calendar'!$V$1523&gt;=GRID_FROM)*('Dvd Calendar'!$V$1523&lt;=GRID_TO)*((('Dvd Calendar'!$V$1523&lt;=VAL_DATE)+(COUNTIF('Dvd Calendar'!$E$1530:$AR$1530,'Dvd Calendar'!$V$1523)=0))&gt;0)=0,"",'Dvd Calendar'!$V$1523*1000000000+ISNUMBER('Dvd Calendar'!$V$1526)*100000000+('Dvd Calendar'!$V$1528=SPECIAL_LBL)*10000000+(N('Dvd Calendar'!$V$1522)&gt;0)*(N('Dvd Calendar'!$V$1522)&lt;=VAL_SERIAL)*1000000+38*1000+18))</f>
        <v/>
      </c>
      <c r="EW153" s="39">
        <f>IF(N('Dvd Calendar'!$W$1523)=0,"",IF(('Dvd Calendar'!$W$1523&gt;=GRID_FROM)*('Dvd Calendar'!$W$1523&lt;=GRID_TO)*((('Dvd Calendar'!$W$1523&lt;=VAL_DATE)+(COUNTIF('Dvd Calendar'!$E$1530:$AR$1530,'Dvd Calendar'!$W$1523)=0))&gt;0)=0,"",'Dvd Calendar'!$W$1523*1000000000+ISNUMBER('Dvd Calendar'!$W$1526)*100000000+('Dvd Calendar'!$W$1528=SPECIAL_LBL)*10000000+(N('Dvd Calendar'!$W$1522)&gt;0)*(N('Dvd Calendar'!$W$1522)&lt;=VAL_SERIAL)*1000000+38*1000+19))</f>
        <v/>
      </c>
      <c r="EX153" s="39">
        <f>IF(N('Dvd Calendar'!$X$1523)=0,"",IF(('Dvd Calendar'!$X$1523&gt;=GRID_FROM)*('Dvd Calendar'!$X$1523&lt;=GRID_TO)*((('Dvd Calendar'!$X$1523&lt;=VAL_DATE)+(COUNTIF('Dvd Calendar'!$E$1530:$AR$1530,'Dvd Calendar'!$X$1523)=0))&gt;0)=0,"",'Dvd Calendar'!$X$1523*1000000000+ISNUMBER('Dvd Calendar'!$X$1526)*100000000+('Dvd Calendar'!$X$1528=SPECIAL_LBL)*10000000+(N('Dvd Calendar'!$X$1522)&gt;0)*(N('Dvd Calendar'!$X$1522)&lt;=VAL_SERIAL)*1000000+38*1000+20))</f>
        <v/>
      </c>
      <c r="EY153" s="39">
        <f>IF(N('Dvd Calendar'!$Y$1523)=0,"",IF(('Dvd Calendar'!$Y$1523&gt;=GRID_FROM)*('Dvd Calendar'!$Y$1523&lt;=GRID_TO)*((('Dvd Calendar'!$Y$1523&lt;=VAL_DATE)+(COUNTIF('Dvd Calendar'!$E$1530:$AR$1530,'Dvd Calendar'!$Y$1523)=0))&gt;0)=0,"",'Dvd Calendar'!$Y$1523*1000000000+ISNUMBER('Dvd Calendar'!$Y$1526)*100000000+('Dvd Calendar'!$Y$1528=SPECIAL_LBL)*10000000+(N('Dvd Calendar'!$Y$1522)&gt;0)*(N('Dvd Calendar'!$Y$1522)&lt;=VAL_SERIAL)*1000000+38*1000+21))</f>
        <v/>
      </c>
      <c r="EZ153" s="39">
        <f>IF(N('Dvd Calendar'!$Z$1523)=0,"",IF(('Dvd Calendar'!$Z$1523&gt;=GRID_FROM)*('Dvd Calendar'!$Z$1523&lt;=GRID_TO)*((('Dvd Calendar'!$Z$1523&lt;=VAL_DATE)+(COUNTIF('Dvd Calendar'!$E$1530:$AR$1530,'Dvd Calendar'!$Z$1523)=0))&gt;0)=0,"",'Dvd Calendar'!$Z$1523*1000000000+ISNUMBER('Dvd Calendar'!$Z$1526)*100000000+('Dvd Calendar'!$Z$1528=SPECIAL_LBL)*10000000+(N('Dvd Calendar'!$Z$1522)&gt;0)*(N('Dvd Calendar'!$Z$1522)&lt;=VAL_SERIAL)*1000000+38*1000+22))</f>
        <v/>
      </c>
      <c r="FA153" s="39">
        <f>IF(N('Dvd Calendar'!$AA$1523)=0,"",IF(('Dvd Calendar'!$AA$1523&gt;=GRID_FROM)*('Dvd Calendar'!$AA$1523&lt;=GRID_TO)*((('Dvd Calendar'!$AA$1523&lt;=VAL_DATE)+(COUNTIF('Dvd Calendar'!$E$1530:$AR$1530,'Dvd Calendar'!$AA$1523)=0))&gt;0)=0,"",'Dvd Calendar'!$AA$1523*1000000000+ISNUMBER('Dvd Calendar'!$AA$1526)*100000000+('Dvd Calendar'!$AA$1528=SPECIAL_LBL)*10000000+(N('Dvd Calendar'!$AA$1522)&gt;0)*(N('Dvd Calendar'!$AA$1522)&lt;=VAL_SERIAL)*1000000+38*1000+23))</f>
        <v/>
      </c>
      <c r="FB153" s="39">
        <f>IF(N('Dvd Calendar'!$AB$1523)=0,"",IF(('Dvd Calendar'!$AB$1523&gt;=GRID_FROM)*('Dvd Calendar'!$AB$1523&lt;=GRID_TO)*((('Dvd Calendar'!$AB$1523&lt;=VAL_DATE)+(COUNTIF('Dvd Calendar'!$E$1530:$AR$1530,'Dvd Calendar'!$AB$1523)=0))&gt;0)=0,"",'Dvd Calendar'!$AB$1523*1000000000+ISNUMBER('Dvd Calendar'!$AB$1526)*100000000+('Dvd Calendar'!$AB$1528=SPECIAL_LBL)*10000000+(N('Dvd Calendar'!$AB$1522)&gt;0)*(N('Dvd Calendar'!$AB$1522)&lt;=VAL_SERIAL)*1000000+38*1000+24))</f>
        <v/>
      </c>
      <c r="FC153" s="39">
        <f>IF(N('Dvd Calendar'!$AC$1523)=0,"",IF(('Dvd Calendar'!$AC$1523&gt;=GRID_FROM)*('Dvd Calendar'!$AC$1523&lt;=GRID_TO)*((('Dvd Calendar'!$AC$1523&lt;=VAL_DATE)+(COUNTIF('Dvd Calendar'!$E$1530:$AR$1530,'Dvd Calendar'!$AC$1523)=0))&gt;0)=0,"",'Dvd Calendar'!$AC$1523*1000000000+ISNUMBER('Dvd Calendar'!$AC$1526)*100000000+('Dvd Calendar'!$AC$1528=SPECIAL_LBL)*10000000+(N('Dvd Calendar'!$AC$1522)&gt;0)*(N('Dvd Calendar'!$AC$1522)&lt;=VAL_SERIAL)*1000000+38*1000+25))</f>
        <v/>
      </c>
      <c r="FD153" s="39">
        <f>IF(N('Dvd Calendar'!$AD$1523)=0,"",IF(('Dvd Calendar'!$AD$1523&gt;=GRID_FROM)*('Dvd Calendar'!$AD$1523&lt;=GRID_TO)*((('Dvd Calendar'!$AD$1523&lt;=VAL_DATE)+(COUNTIF('Dvd Calendar'!$E$1530:$AR$1530,'Dvd Calendar'!$AD$1523)=0))&gt;0)=0,"",'Dvd Calendar'!$AD$1523*1000000000+ISNUMBER('Dvd Calendar'!$AD$1526)*100000000+('Dvd Calendar'!$AD$1528=SPECIAL_LBL)*10000000+(N('Dvd Calendar'!$AD$1522)&gt;0)*(N('Dvd Calendar'!$AD$1522)&lt;=VAL_SERIAL)*1000000+38*1000+26))</f>
        <v/>
      </c>
      <c r="FE153" s="39">
        <f>IF(N('Dvd Calendar'!$AE$1523)=0,"",IF(('Dvd Calendar'!$AE$1523&gt;=GRID_FROM)*('Dvd Calendar'!$AE$1523&lt;=GRID_TO)*((('Dvd Calendar'!$AE$1523&lt;=VAL_DATE)+(COUNTIF('Dvd Calendar'!$E$1530:$AR$1530,'Dvd Calendar'!$AE$1523)=0))&gt;0)=0,"",'Dvd Calendar'!$AE$1523*1000000000+ISNUMBER('Dvd Calendar'!$AE$1526)*100000000+('Dvd Calendar'!$AE$1528=SPECIAL_LBL)*10000000+(N('Dvd Calendar'!$AE$1522)&gt;0)*(N('Dvd Calendar'!$AE$1522)&lt;=VAL_SERIAL)*1000000+38*1000+27))</f>
        <v/>
      </c>
      <c r="FF153" s="39">
        <f>IF(N('Dvd Calendar'!$AF$1523)=0,"",IF(('Dvd Calendar'!$AF$1523&gt;=GRID_FROM)*('Dvd Calendar'!$AF$1523&lt;=GRID_TO)*((('Dvd Calendar'!$AF$1523&lt;=VAL_DATE)+(COUNTIF('Dvd Calendar'!$E$1530:$AR$1530,'Dvd Calendar'!$AF$1523)=0))&gt;0)=0,"",'Dvd Calendar'!$AF$1523*1000000000+ISNUMBER('Dvd Calendar'!$AF$1526)*100000000+('Dvd Calendar'!$AF$1528=SPECIAL_LBL)*10000000+(N('Dvd Calendar'!$AF$1522)&gt;0)*(N('Dvd Calendar'!$AF$1522)&lt;=VAL_SERIAL)*1000000+38*1000+28))</f>
        <v/>
      </c>
      <c r="FG153" s="39">
        <f>IF(N('Dvd Calendar'!$AG$1523)=0,"",IF(('Dvd Calendar'!$AG$1523&gt;=GRID_FROM)*('Dvd Calendar'!$AG$1523&lt;=GRID_TO)*((('Dvd Calendar'!$AG$1523&lt;=VAL_DATE)+(COUNTIF('Dvd Calendar'!$E$1530:$AR$1530,'Dvd Calendar'!$AG$1523)=0))&gt;0)=0,"",'Dvd Calendar'!$AG$1523*1000000000+ISNUMBER('Dvd Calendar'!$AG$1526)*100000000+('Dvd Calendar'!$AG$1528=SPECIAL_LBL)*10000000+(N('Dvd Calendar'!$AG$1522)&gt;0)*(N('Dvd Calendar'!$AG$1522)&lt;=VAL_SERIAL)*1000000+38*1000+29))</f>
        <v/>
      </c>
      <c r="FH153" s="39">
        <f>IF(N('Dvd Calendar'!$AH$1523)=0,"",IF(('Dvd Calendar'!$AH$1523&gt;=GRID_FROM)*('Dvd Calendar'!$AH$1523&lt;=GRID_TO)*((('Dvd Calendar'!$AH$1523&lt;=VAL_DATE)+(COUNTIF('Dvd Calendar'!$E$1530:$AR$1530,'Dvd Calendar'!$AH$1523)=0))&gt;0)=0,"",'Dvd Calendar'!$AH$1523*1000000000+ISNUMBER('Dvd Calendar'!$AH$1526)*100000000+('Dvd Calendar'!$AH$1528=SPECIAL_LBL)*10000000+(N('Dvd Calendar'!$AH$1522)&gt;0)*(N('Dvd Calendar'!$AH$1522)&lt;=VAL_SERIAL)*1000000+38*1000+30))</f>
        <v/>
      </c>
      <c r="FI153" s="39">
        <f>IF(N('Dvd Calendar'!$AI$1523)=0,"",IF(('Dvd Calendar'!$AI$1523&gt;=GRID_FROM)*('Dvd Calendar'!$AI$1523&lt;=GRID_TO)*((('Dvd Calendar'!$AI$1523&lt;=VAL_DATE)+(COUNTIF('Dvd Calendar'!$E$1530:$AR$1530,'Dvd Calendar'!$AI$1523)=0))&gt;0)=0,"",'Dvd Calendar'!$AI$1523*1000000000+ISNUMBER('Dvd Calendar'!$AI$1526)*100000000+('Dvd Calendar'!$AI$1528=SPECIAL_LBL)*10000000+(N('Dvd Calendar'!$AI$1522)&gt;0)*(N('Dvd Calendar'!$AI$1522)&lt;=VAL_SERIAL)*1000000+38*1000+31))</f>
        <v/>
      </c>
      <c r="FJ153" s="39">
        <f>IF(N('Dvd Calendar'!$AJ$1523)=0,"",IF(('Dvd Calendar'!$AJ$1523&gt;=GRID_FROM)*('Dvd Calendar'!$AJ$1523&lt;=GRID_TO)*((('Dvd Calendar'!$AJ$1523&lt;=VAL_DATE)+(COUNTIF('Dvd Calendar'!$E$1530:$AR$1530,'Dvd Calendar'!$AJ$1523)=0))&gt;0)=0,"",'Dvd Calendar'!$AJ$1523*1000000000+ISNUMBER('Dvd Calendar'!$AJ$1526)*100000000+('Dvd Calendar'!$AJ$1528=SPECIAL_LBL)*10000000+(N('Dvd Calendar'!$AJ$1522)&gt;0)*(N('Dvd Calendar'!$AJ$1522)&lt;=VAL_SERIAL)*1000000+38*1000+32))</f>
        <v/>
      </c>
      <c r="FK153" s="39">
        <f>IF(N('Dvd Calendar'!$AK$1523)=0,"",IF(('Dvd Calendar'!$AK$1523&gt;=GRID_FROM)*('Dvd Calendar'!$AK$1523&lt;=GRID_TO)*((('Dvd Calendar'!$AK$1523&lt;=VAL_DATE)+(COUNTIF('Dvd Calendar'!$E$1530:$AR$1530,'Dvd Calendar'!$AK$1523)=0))&gt;0)=0,"",'Dvd Calendar'!$AK$1523*1000000000+ISNUMBER('Dvd Calendar'!$AK$1526)*100000000+('Dvd Calendar'!$AK$1528=SPECIAL_LBL)*10000000+(N('Dvd Calendar'!$AK$1522)&gt;0)*(N('Dvd Calendar'!$AK$1522)&lt;=VAL_SERIAL)*1000000+38*1000+33))</f>
        <v/>
      </c>
      <c r="FL153" s="39">
        <f>IF(N('Dvd Calendar'!$AL$1523)=0,"",IF(('Dvd Calendar'!$AL$1523&gt;=GRID_FROM)*('Dvd Calendar'!$AL$1523&lt;=GRID_TO)*((('Dvd Calendar'!$AL$1523&lt;=VAL_DATE)+(COUNTIF('Dvd Calendar'!$E$1530:$AR$1530,'Dvd Calendar'!$AL$1523)=0))&gt;0)=0,"",'Dvd Calendar'!$AL$1523*1000000000+ISNUMBER('Dvd Calendar'!$AL$1526)*100000000+('Dvd Calendar'!$AL$1528=SPECIAL_LBL)*10000000+(N('Dvd Calendar'!$AL$1522)&gt;0)*(N('Dvd Calendar'!$AL$1522)&lt;=VAL_SERIAL)*1000000+38*1000+34))</f>
        <v/>
      </c>
      <c r="FM153" s="39">
        <f>IF(N('Dvd Calendar'!$AM$1523)=0,"",IF(('Dvd Calendar'!$AM$1523&gt;=GRID_FROM)*('Dvd Calendar'!$AM$1523&lt;=GRID_TO)*((('Dvd Calendar'!$AM$1523&lt;=VAL_DATE)+(COUNTIF('Dvd Calendar'!$E$1530:$AR$1530,'Dvd Calendar'!$AM$1523)=0))&gt;0)=0,"",'Dvd Calendar'!$AM$1523*1000000000+ISNUMBER('Dvd Calendar'!$AM$1526)*100000000+('Dvd Calendar'!$AM$1528=SPECIAL_LBL)*10000000+(N('Dvd Calendar'!$AM$1522)&gt;0)*(N('Dvd Calendar'!$AM$1522)&lt;=VAL_SERIAL)*1000000+38*1000+35))</f>
        <v/>
      </c>
      <c r="FN153" s="39">
        <f>IF(N('Dvd Calendar'!$AN$1523)=0,"",IF(('Dvd Calendar'!$AN$1523&gt;=GRID_FROM)*('Dvd Calendar'!$AN$1523&lt;=GRID_TO)*((('Dvd Calendar'!$AN$1523&lt;=VAL_DATE)+(COUNTIF('Dvd Calendar'!$E$1530:$AR$1530,'Dvd Calendar'!$AN$1523)=0))&gt;0)=0,"",'Dvd Calendar'!$AN$1523*1000000000+ISNUMBER('Dvd Calendar'!$AN$1526)*100000000+('Dvd Calendar'!$AN$1528=SPECIAL_LBL)*10000000+(N('Dvd Calendar'!$AN$1522)&gt;0)*(N('Dvd Calendar'!$AN$1522)&lt;=VAL_SERIAL)*1000000+38*1000+36))</f>
        <v/>
      </c>
      <c r="FO153" s="39">
        <f>IF(N('Dvd Calendar'!$AO$1523)=0,"",IF(('Dvd Calendar'!$AO$1523&gt;=GRID_FROM)*('Dvd Calendar'!$AO$1523&lt;=GRID_TO)*((('Dvd Calendar'!$AO$1523&lt;=VAL_DATE)+(COUNTIF('Dvd Calendar'!$E$1530:$AR$1530,'Dvd Calendar'!$AO$1523)=0))&gt;0)=0,"",'Dvd Calendar'!$AO$1523*1000000000+ISNUMBER('Dvd Calendar'!$AO$1526)*100000000+('Dvd Calendar'!$AO$1528=SPECIAL_LBL)*10000000+(N('Dvd Calendar'!$AO$1522)&gt;0)*(N('Dvd Calendar'!$AO$1522)&lt;=VAL_SERIAL)*1000000+38*1000+37))</f>
        <v/>
      </c>
      <c r="FP153" s="39">
        <f>IF(N('Dvd Calendar'!$AP$1523)=0,"",IF(('Dvd Calendar'!$AP$1523&gt;=GRID_FROM)*('Dvd Calendar'!$AP$1523&lt;=GRID_TO)*((('Dvd Calendar'!$AP$1523&lt;=VAL_DATE)+(COUNTIF('Dvd Calendar'!$E$1530:$AR$1530,'Dvd Calendar'!$AP$1523)=0))&gt;0)=0,"",'Dvd Calendar'!$AP$1523*1000000000+ISNUMBER('Dvd Calendar'!$AP$1526)*100000000+('Dvd Calendar'!$AP$1528=SPECIAL_LBL)*10000000+(N('Dvd Calendar'!$AP$1522)&gt;0)*(N('Dvd Calendar'!$AP$1522)&lt;=VAL_SERIAL)*1000000+38*1000+38))</f>
        <v/>
      </c>
      <c r="FQ153" s="39">
        <f>IF(N('Dvd Calendar'!$AQ$1523)=0,"",IF(('Dvd Calendar'!$AQ$1523&gt;=GRID_FROM)*('Dvd Calendar'!$AQ$1523&lt;=GRID_TO)*((('Dvd Calendar'!$AQ$1523&lt;=VAL_DATE)+(COUNTIF('Dvd Calendar'!$E$1530:$AR$1530,'Dvd Calendar'!$AQ$1523)=0))&gt;0)=0,"",'Dvd Calendar'!$AQ$1523*1000000000+ISNUMBER('Dvd Calendar'!$AQ$1526)*100000000+('Dvd Calendar'!$AQ$1528=SPECIAL_LBL)*10000000+(N('Dvd Calendar'!$AQ$1522)&gt;0)*(N('Dvd Calendar'!$AQ$1522)&lt;=VAL_SERIAL)*1000000+38*1000+39))</f>
        <v/>
      </c>
      <c r="FR153" s="39">
        <f>IF(N('Dvd Calendar'!$AR$1523)=0,"",IF(('Dvd Calendar'!$AR$1523&gt;=GRID_FROM)*('Dvd Calendar'!$AR$1523&lt;=GRID_TO)*((('Dvd Calendar'!$AR$1523&lt;=VAL_DATE)+(COUNTIF('Dvd Calendar'!$E$1530:$AR$1530,'Dvd Calendar'!$AR$1523)=0))&gt;0)=0,"",'Dvd Calendar'!$AR$1523*1000000000+ISNUMBER('Dvd Calendar'!$AR$1526)*100000000+('Dvd Calendar'!$AR$1528=SPECIAL_LBL)*10000000+(N('Dvd Calendar'!$AR$1522)&gt;0)*(N('Dvd Calendar'!$AR$1522)&lt;=VAL_SERIAL)*1000000+38*1000+40))</f>
        <v/>
      </c>
      <c r="FS153" s="39">
        <f>IF(N('Dvd Calendar'!$E$1530)=0,"",IF(('Dvd Calendar'!$E$1530&gt;=GRID_FROM)*('Dvd Calendar'!$E$1530&lt;=GRID_TO)*('Dvd Calendar'!$E$1530&gt;VAL_DATE)=0,"",'Dvd Calendar'!$E$1530*1000000000+ISNUMBER('Dvd Calendar'!$E$1531)*100000000+0*10000000+(N('Dvd Calendar'!$E$1529)&gt;0)*(N('Dvd Calendar'!$E$1529)&lt;=VAL_SERIAL)*1000000+38*1000+41))</f>
        <v/>
      </c>
      <c r="FT153" s="39">
        <f>IF(N('Dvd Calendar'!$F$1530)=0,"",IF(('Dvd Calendar'!$F$1530&gt;=GRID_FROM)*('Dvd Calendar'!$F$1530&lt;=GRID_TO)*('Dvd Calendar'!$F$1530&gt;VAL_DATE)=0,"",'Dvd Calendar'!$F$1530*1000000000+ISNUMBER('Dvd Calendar'!$F$1531)*100000000+0*10000000+(N('Dvd Calendar'!$F$1529)&gt;0)*(N('Dvd Calendar'!$F$1529)&lt;=VAL_SERIAL)*1000000+38*1000+42))</f>
        <v/>
      </c>
      <c r="FU153" s="39">
        <f>IF(N('Dvd Calendar'!$G$1530)=0,"",IF(('Dvd Calendar'!$G$1530&gt;=GRID_FROM)*('Dvd Calendar'!$G$1530&lt;=GRID_TO)*('Dvd Calendar'!$G$1530&gt;VAL_DATE)=0,"",'Dvd Calendar'!$G$1530*1000000000+ISNUMBER('Dvd Calendar'!$G$1531)*100000000+0*10000000+(N('Dvd Calendar'!$G$1529)&gt;0)*(N('Dvd Calendar'!$G$1529)&lt;=VAL_SERIAL)*1000000+38*1000+43))</f>
        <v/>
      </c>
      <c r="FV153" s="39">
        <f>IF(N('Dvd Calendar'!$H$1530)=0,"",IF(('Dvd Calendar'!$H$1530&gt;=GRID_FROM)*('Dvd Calendar'!$H$1530&lt;=GRID_TO)*('Dvd Calendar'!$H$1530&gt;VAL_DATE)=0,"",'Dvd Calendar'!$H$1530*1000000000+ISNUMBER('Dvd Calendar'!$H$1531)*100000000+0*10000000+(N('Dvd Calendar'!$H$1529)&gt;0)*(N('Dvd Calendar'!$H$1529)&lt;=VAL_SERIAL)*1000000+38*1000+44))</f>
        <v/>
      </c>
      <c r="FW153" s="39">
        <f>IF(N('Dvd Calendar'!$I$1530)=0,"",IF(('Dvd Calendar'!$I$1530&gt;=GRID_FROM)*('Dvd Calendar'!$I$1530&lt;=GRID_TO)*('Dvd Calendar'!$I$1530&gt;VAL_DATE)=0,"",'Dvd Calendar'!$I$1530*1000000000+ISNUMBER('Dvd Calendar'!$I$1531)*100000000+0*10000000+(N('Dvd Calendar'!$I$1529)&gt;0)*(N('Dvd Calendar'!$I$1529)&lt;=VAL_SERIAL)*1000000+38*1000+45))</f>
        <v/>
      </c>
      <c r="FX153" s="39">
        <f>IF(N('Dvd Calendar'!$J$1530)=0,"",IF(('Dvd Calendar'!$J$1530&gt;=GRID_FROM)*('Dvd Calendar'!$J$1530&lt;=GRID_TO)*('Dvd Calendar'!$J$1530&gt;VAL_DATE)=0,"",'Dvd Calendar'!$J$1530*1000000000+ISNUMBER('Dvd Calendar'!$J$1531)*100000000+0*10000000+(N('Dvd Calendar'!$J$1529)&gt;0)*(N('Dvd Calendar'!$J$1529)&lt;=VAL_SERIAL)*1000000+38*1000+46))</f>
        <v/>
      </c>
      <c r="FY153" s="39">
        <f>IF(N('Dvd Calendar'!$K$1530)=0,"",IF(('Dvd Calendar'!$K$1530&gt;=GRID_FROM)*('Dvd Calendar'!$K$1530&lt;=GRID_TO)*('Dvd Calendar'!$K$1530&gt;VAL_DATE)=0,"",'Dvd Calendar'!$K$1530*1000000000+ISNUMBER('Dvd Calendar'!$K$1531)*100000000+0*10000000+(N('Dvd Calendar'!$K$1529)&gt;0)*(N('Dvd Calendar'!$K$1529)&lt;=VAL_SERIAL)*1000000+38*1000+47))</f>
        <v/>
      </c>
      <c r="FZ153" s="39">
        <f>IF(N('Dvd Calendar'!$L$1530)=0,"",IF(('Dvd Calendar'!$L$1530&gt;=GRID_FROM)*('Dvd Calendar'!$L$1530&lt;=GRID_TO)*('Dvd Calendar'!$L$1530&gt;VAL_DATE)=0,"",'Dvd Calendar'!$L$1530*1000000000+ISNUMBER('Dvd Calendar'!$L$1531)*100000000+0*10000000+(N('Dvd Calendar'!$L$1529)&gt;0)*(N('Dvd Calendar'!$L$1529)&lt;=VAL_SERIAL)*1000000+38*1000+48))</f>
        <v/>
      </c>
      <c r="GA153" s="39">
        <f>IF(N('Dvd Calendar'!$M$1530)=0,"",IF(('Dvd Calendar'!$M$1530&gt;=GRID_FROM)*('Dvd Calendar'!$M$1530&lt;=GRID_TO)*('Dvd Calendar'!$M$1530&gt;VAL_DATE)=0,"",'Dvd Calendar'!$M$1530*1000000000+ISNUMBER('Dvd Calendar'!$M$1531)*100000000+0*10000000+(N('Dvd Calendar'!$M$1529)&gt;0)*(N('Dvd Calendar'!$M$1529)&lt;=VAL_SERIAL)*1000000+38*1000+49))</f>
        <v/>
      </c>
      <c r="GB153" s="39">
        <f>IF(N('Dvd Calendar'!$N$1530)=0,"",IF(('Dvd Calendar'!$N$1530&gt;=GRID_FROM)*('Dvd Calendar'!$N$1530&lt;=GRID_TO)*('Dvd Calendar'!$N$1530&gt;VAL_DATE)=0,"",'Dvd Calendar'!$N$1530*1000000000+ISNUMBER('Dvd Calendar'!$N$1531)*100000000+0*10000000+(N('Dvd Calendar'!$N$1529)&gt;0)*(N('Dvd Calendar'!$N$1529)&lt;=VAL_SERIAL)*1000000+38*1000+50))</f>
        <v/>
      </c>
      <c r="GC153" s="39">
        <f>IF(N('Dvd Calendar'!$O$1530)=0,"",IF(('Dvd Calendar'!$O$1530&gt;=GRID_FROM)*('Dvd Calendar'!$O$1530&lt;=GRID_TO)*('Dvd Calendar'!$O$1530&gt;VAL_DATE)=0,"",'Dvd Calendar'!$O$1530*1000000000+ISNUMBER('Dvd Calendar'!$O$1531)*100000000+0*10000000+(N('Dvd Calendar'!$O$1529)&gt;0)*(N('Dvd Calendar'!$O$1529)&lt;=VAL_SERIAL)*1000000+38*1000+51))</f>
        <v/>
      </c>
      <c r="GD153" s="39">
        <f>IF(N('Dvd Calendar'!$P$1530)=0,"",IF(('Dvd Calendar'!$P$1530&gt;=GRID_FROM)*('Dvd Calendar'!$P$1530&lt;=GRID_TO)*('Dvd Calendar'!$P$1530&gt;VAL_DATE)=0,"",'Dvd Calendar'!$P$1530*1000000000+ISNUMBER('Dvd Calendar'!$P$1531)*100000000+0*10000000+(N('Dvd Calendar'!$P$1529)&gt;0)*(N('Dvd Calendar'!$P$1529)&lt;=VAL_SERIAL)*1000000+38*1000+52))</f>
        <v/>
      </c>
      <c r="GE153" s="39">
        <f>IF(N('Dvd Calendar'!$Q$1530)=0,"",IF(('Dvd Calendar'!$Q$1530&gt;=GRID_FROM)*('Dvd Calendar'!$Q$1530&lt;=GRID_TO)*('Dvd Calendar'!$Q$1530&gt;VAL_DATE)=0,"",'Dvd Calendar'!$Q$1530*1000000000+ISNUMBER('Dvd Calendar'!$Q$1531)*100000000+0*10000000+(N('Dvd Calendar'!$Q$1529)&gt;0)*(N('Dvd Calendar'!$Q$1529)&lt;=VAL_SERIAL)*1000000+38*1000+53))</f>
        <v/>
      </c>
      <c r="GF153" s="39">
        <f>IF(N('Dvd Calendar'!$R$1530)=0,"",IF(('Dvd Calendar'!$R$1530&gt;=GRID_FROM)*('Dvd Calendar'!$R$1530&lt;=GRID_TO)*('Dvd Calendar'!$R$1530&gt;VAL_DATE)=0,"",'Dvd Calendar'!$R$1530*1000000000+ISNUMBER('Dvd Calendar'!$R$1531)*100000000+0*10000000+(N('Dvd Calendar'!$R$1529)&gt;0)*(N('Dvd Calendar'!$R$1529)&lt;=VAL_SERIAL)*1000000+38*1000+54))</f>
        <v/>
      </c>
      <c r="GG153" s="39">
        <f>IF(N('Dvd Calendar'!$S$1530)=0,"",IF(('Dvd Calendar'!$S$1530&gt;=GRID_FROM)*('Dvd Calendar'!$S$1530&lt;=GRID_TO)*('Dvd Calendar'!$S$1530&gt;VAL_DATE)=0,"",'Dvd Calendar'!$S$1530*1000000000+ISNUMBER('Dvd Calendar'!$S$1531)*100000000+0*10000000+(N('Dvd Calendar'!$S$1529)&gt;0)*(N('Dvd Calendar'!$S$1529)&lt;=VAL_SERIAL)*1000000+38*1000+55))</f>
        <v/>
      </c>
      <c r="GH153" s="39">
        <f>IF(N('Dvd Calendar'!$T$1530)=0,"",IF(('Dvd Calendar'!$T$1530&gt;=GRID_FROM)*('Dvd Calendar'!$T$1530&lt;=GRID_TO)*('Dvd Calendar'!$T$1530&gt;VAL_DATE)=0,"",'Dvd Calendar'!$T$1530*1000000000+ISNUMBER('Dvd Calendar'!$T$1531)*100000000+0*10000000+(N('Dvd Calendar'!$T$1529)&gt;0)*(N('Dvd Calendar'!$T$1529)&lt;=VAL_SERIAL)*1000000+38*1000+56))</f>
        <v/>
      </c>
      <c r="GI153" s="39">
        <f>IF(N('Dvd Calendar'!$U$1530)=0,"",IF(('Dvd Calendar'!$U$1530&gt;=GRID_FROM)*('Dvd Calendar'!$U$1530&lt;=GRID_TO)*('Dvd Calendar'!$U$1530&gt;VAL_DATE)=0,"",'Dvd Calendar'!$U$1530*1000000000+ISNUMBER('Dvd Calendar'!$U$1531)*100000000+0*10000000+(N('Dvd Calendar'!$U$1529)&gt;0)*(N('Dvd Calendar'!$U$1529)&lt;=VAL_SERIAL)*1000000+38*1000+57))</f>
        <v/>
      </c>
      <c r="GJ153" s="39">
        <f>IF(N('Dvd Calendar'!$V$1530)=0,"",IF(('Dvd Calendar'!$V$1530&gt;=GRID_FROM)*('Dvd Calendar'!$V$1530&lt;=GRID_TO)*('Dvd Calendar'!$V$1530&gt;VAL_DATE)=0,"",'Dvd Calendar'!$V$1530*1000000000+ISNUMBER('Dvd Calendar'!$V$1531)*100000000+0*10000000+(N('Dvd Calendar'!$V$1529)&gt;0)*(N('Dvd Calendar'!$V$1529)&lt;=VAL_SERIAL)*1000000+38*1000+58))</f>
        <v/>
      </c>
      <c r="GK153" s="39">
        <f>IF(N('Dvd Calendar'!$W$1530)=0,"",IF(('Dvd Calendar'!$W$1530&gt;=GRID_FROM)*('Dvd Calendar'!$W$1530&lt;=GRID_TO)*('Dvd Calendar'!$W$1530&gt;VAL_DATE)=0,"",'Dvd Calendar'!$W$1530*1000000000+ISNUMBER('Dvd Calendar'!$W$1531)*100000000+0*10000000+(N('Dvd Calendar'!$W$1529)&gt;0)*(N('Dvd Calendar'!$W$1529)&lt;=VAL_SERIAL)*1000000+38*1000+59))</f>
        <v/>
      </c>
      <c r="GL153" s="39">
        <f>IF(N('Dvd Calendar'!$X$1530)=0,"",IF(('Dvd Calendar'!$X$1530&gt;=GRID_FROM)*('Dvd Calendar'!$X$1530&lt;=GRID_TO)*('Dvd Calendar'!$X$1530&gt;VAL_DATE)=0,"",'Dvd Calendar'!$X$1530*1000000000+ISNUMBER('Dvd Calendar'!$X$1531)*100000000+0*10000000+(N('Dvd Calendar'!$X$1529)&gt;0)*(N('Dvd Calendar'!$X$1529)&lt;=VAL_SERIAL)*1000000+38*1000+60))</f>
        <v/>
      </c>
      <c r="GM153" s="39">
        <f>IF(N('Dvd Calendar'!$Y$1530)=0,"",IF(('Dvd Calendar'!$Y$1530&gt;=GRID_FROM)*('Dvd Calendar'!$Y$1530&lt;=GRID_TO)*('Dvd Calendar'!$Y$1530&gt;VAL_DATE)=0,"",'Dvd Calendar'!$Y$1530*1000000000+ISNUMBER('Dvd Calendar'!$Y$1531)*100000000+0*10000000+(N('Dvd Calendar'!$Y$1529)&gt;0)*(N('Dvd Calendar'!$Y$1529)&lt;=VAL_SERIAL)*1000000+38*1000+61))</f>
        <v/>
      </c>
      <c r="GN153" s="39">
        <f>IF(N('Dvd Calendar'!$Z$1530)=0,"",IF(('Dvd Calendar'!$Z$1530&gt;=GRID_FROM)*('Dvd Calendar'!$Z$1530&lt;=GRID_TO)*('Dvd Calendar'!$Z$1530&gt;VAL_DATE)=0,"",'Dvd Calendar'!$Z$1530*1000000000+ISNUMBER('Dvd Calendar'!$Z$1531)*100000000+0*10000000+(N('Dvd Calendar'!$Z$1529)&gt;0)*(N('Dvd Calendar'!$Z$1529)&lt;=VAL_SERIAL)*1000000+38*1000+62))</f>
        <v/>
      </c>
      <c r="GO153" s="39">
        <f>IF(N('Dvd Calendar'!$AA$1530)=0,"",IF(('Dvd Calendar'!$AA$1530&gt;=GRID_FROM)*('Dvd Calendar'!$AA$1530&lt;=GRID_TO)*('Dvd Calendar'!$AA$1530&gt;VAL_DATE)=0,"",'Dvd Calendar'!$AA$1530*1000000000+ISNUMBER('Dvd Calendar'!$AA$1531)*100000000+0*10000000+(N('Dvd Calendar'!$AA$1529)&gt;0)*(N('Dvd Calendar'!$AA$1529)&lt;=VAL_SERIAL)*1000000+38*1000+63))</f>
        <v/>
      </c>
      <c r="GP153" s="39">
        <f>IF(N('Dvd Calendar'!$AB$1530)=0,"",IF(('Dvd Calendar'!$AB$1530&gt;=GRID_FROM)*('Dvd Calendar'!$AB$1530&lt;=GRID_TO)*('Dvd Calendar'!$AB$1530&gt;VAL_DATE)=0,"",'Dvd Calendar'!$AB$1530*1000000000+ISNUMBER('Dvd Calendar'!$AB$1531)*100000000+0*10000000+(N('Dvd Calendar'!$AB$1529)&gt;0)*(N('Dvd Calendar'!$AB$1529)&lt;=VAL_SERIAL)*1000000+38*1000+64))</f>
        <v/>
      </c>
      <c r="GQ153" s="39">
        <f>IF(N('Dvd Calendar'!$AC$1530)=0,"",IF(('Dvd Calendar'!$AC$1530&gt;=GRID_FROM)*('Dvd Calendar'!$AC$1530&lt;=GRID_TO)*('Dvd Calendar'!$AC$1530&gt;VAL_DATE)=0,"",'Dvd Calendar'!$AC$1530*1000000000+ISNUMBER('Dvd Calendar'!$AC$1531)*100000000+0*10000000+(N('Dvd Calendar'!$AC$1529)&gt;0)*(N('Dvd Calendar'!$AC$1529)&lt;=VAL_SERIAL)*1000000+38*1000+65))</f>
        <v/>
      </c>
    </row>
    <row r="154">
      <c r="B154" s="2">
        <f>IF(HSTECH!$C$45="","",HSTECH!$C$45)</f>
        <v/>
      </c>
      <c r="C154" s="110">
        <f>IF(EE154="","",IF(ISNUMBER('Dvd Calendar'!$E$1537)=FALSE,"",IF((('Dvd Calendar'!$E$1539=TYPE1)*(TYPE1&lt;&gt;"")+('Dvd Calendar'!$E$1539=TYPE2)*(TYPE2&lt;&gt;"")+('Dvd Calendar'!$E$1539=TYPE3)*(TYPE3&lt;&gt;"")+('Dvd Calendar'!$E$1539=TYPE4)*(TYPE4&lt;&gt;"")+('Dvd Calendar'!$E$1539=SPECIAL_LBL)*(INC_SPECIALS="Y"))=0,"",'Dvd Calendar'!$E$1537)))</f>
        <v/>
      </c>
      <c r="D154" s="110">
        <f>IF(EF154="","",IF(ISNUMBER('Dvd Calendar'!$F$1537)=FALSE,"",IF((('Dvd Calendar'!$F$1539=TYPE1)*(TYPE1&lt;&gt;"")+('Dvd Calendar'!$F$1539=TYPE2)*(TYPE2&lt;&gt;"")+('Dvd Calendar'!$F$1539=TYPE3)*(TYPE3&lt;&gt;"")+('Dvd Calendar'!$F$1539=TYPE4)*(TYPE4&lt;&gt;"")+('Dvd Calendar'!$F$1539=SPECIAL_LBL)*(INC_SPECIALS="Y"))=0,"",'Dvd Calendar'!$F$1537)))</f>
        <v/>
      </c>
      <c r="E154" s="110">
        <f>IF(EG154="","",IF(ISNUMBER('Dvd Calendar'!$G$1537)=FALSE,"",IF((('Dvd Calendar'!$G$1539=TYPE1)*(TYPE1&lt;&gt;"")+('Dvd Calendar'!$G$1539=TYPE2)*(TYPE2&lt;&gt;"")+('Dvd Calendar'!$G$1539=TYPE3)*(TYPE3&lt;&gt;"")+('Dvd Calendar'!$G$1539=TYPE4)*(TYPE4&lt;&gt;"")+('Dvd Calendar'!$G$1539=SPECIAL_LBL)*(INC_SPECIALS="Y"))=0,"",'Dvd Calendar'!$G$1537)))</f>
        <v/>
      </c>
      <c r="F154" s="110">
        <f>IF(EH154="","",IF(ISNUMBER('Dvd Calendar'!$H$1537)=FALSE,"",IF((('Dvd Calendar'!$H$1539=TYPE1)*(TYPE1&lt;&gt;"")+('Dvd Calendar'!$H$1539=TYPE2)*(TYPE2&lt;&gt;"")+('Dvd Calendar'!$H$1539=TYPE3)*(TYPE3&lt;&gt;"")+('Dvd Calendar'!$H$1539=TYPE4)*(TYPE4&lt;&gt;"")+('Dvd Calendar'!$H$1539=SPECIAL_LBL)*(INC_SPECIALS="Y"))=0,"",'Dvd Calendar'!$H$1537)))</f>
        <v/>
      </c>
      <c r="G154" s="110">
        <f>IF(EI154="","",IF(ISNUMBER('Dvd Calendar'!$I$1537)=FALSE,"",IF((('Dvd Calendar'!$I$1539=TYPE1)*(TYPE1&lt;&gt;"")+('Dvd Calendar'!$I$1539=TYPE2)*(TYPE2&lt;&gt;"")+('Dvd Calendar'!$I$1539=TYPE3)*(TYPE3&lt;&gt;"")+('Dvd Calendar'!$I$1539=TYPE4)*(TYPE4&lt;&gt;"")+('Dvd Calendar'!$I$1539=SPECIAL_LBL)*(INC_SPECIALS="Y"))=0,"",'Dvd Calendar'!$I$1537)))</f>
        <v/>
      </c>
      <c r="H154" s="110">
        <f>IF(EJ154="","",IF(ISNUMBER('Dvd Calendar'!$J$1537)=FALSE,"",IF((('Dvd Calendar'!$J$1539=TYPE1)*(TYPE1&lt;&gt;"")+('Dvd Calendar'!$J$1539=TYPE2)*(TYPE2&lt;&gt;"")+('Dvd Calendar'!$J$1539=TYPE3)*(TYPE3&lt;&gt;"")+('Dvd Calendar'!$J$1539=TYPE4)*(TYPE4&lt;&gt;"")+('Dvd Calendar'!$J$1539=SPECIAL_LBL)*(INC_SPECIALS="Y"))=0,"",'Dvd Calendar'!$J$1537)))</f>
        <v/>
      </c>
      <c r="I154" s="110">
        <f>IF(EK154="","",IF(ISNUMBER('Dvd Calendar'!$K$1537)=FALSE,"",IF((('Dvd Calendar'!$K$1539=TYPE1)*(TYPE1&lt;&gt;"")+('Dvd Calendar'!$K$1539=TYPE2)*(TYPE2&lt;&gt;"")+('Dvd Calendar'!$K$1539=TYPE3)*(TYPE3&lt;&gt;"")+('Dvd Calendar'!$K$1539=TYPE4)*(TYPE4&lt;&gt;"")+('Dvd Calendar'!$K$1539=SPECIAL_LBL)*(INC_SPECIALS="Y"))=0,"",'Dvd Calendar'!$K$1537)))</f>
        <v/>
      </c>
      <c r="J154" s="110">
        <f>IF(EL154="","",IF(ISNUMBER('Dvd Calendar'!$L$1537)=FALSE,"",IF((('Dvd Calendar'!$L$1539=TYPE1)*(TYPE1&lt;&gt;"")+('Dvd Calendar'!$L$1539=TYPE2)*(TYPE2&lt;&gt;"")+('Dvd Calendar'!$L$1539=TYPE3)*(TYPE3&lt;&gt;"")+('Dvd Calendar'!$L$1539=TYPE4)*(TYPE4&lt;&gt;"")+('Dvd Calendar'!$L$1539=SPECIAL_LBL)*(INC_SPECIALS="Y"))=0,"",'Dvd Calendar'!$L$1537)))</f>
        <v/>
      </c>
      <c r="K154" s="110">
        <f>IF(EM154="","",IF(ISNUMBER('Dvd Calendar'!$M$1537)=FALSE,"",IF((('Dvd Calendar'!$M$1539=TYPE1)*(TYPE1&lt;&gt;"")+('Dvd Calendar'!$M$1539=TYPE2)*(TYPE2&lt;&gt;"")+('Dvd Calendar'!$M$1539=TYPE3)*(TYPE3&lt;&gt;"")+('Dvd Calendar'!$M$1539=TYPE4)*(TYPE4&lt;&gt;"")+('Dvd Calendar'!$M$1539=SPECIAL_LBL)*(INC_SPECIALS="Y"))=0,"",'Dvd Calendar'!$M$1537)))</f>
        <v/>
      </c>
      <c r="L154" s="110">
        <f>IF(EN154="","",IF(ISNUMBER('Dvd Calendar'!$N$1537)=FALSE,"",IF((('Dvd Calendar'!$N$1539=TYPE1)*(TYPE1&lt;&gt;"")+('Dvd Calendar'!$N$1539=TYPE2)*(TYPE2&lt;&gt;"")+('Dvd Calendar'!$N$1539=TYPE3)*(TYPE3&lt;&gt;"")+('Dvd Calendar'!$N$1539=TYPE4)*(TYPE4&lt;&gt;"")+('Dvd Calendar'!$N$1539=SPECIAL_LBL)*(INC_SPECIALS="Y"))=0,"",'Dvd Calendar'!$N$1537)))</f>
        <v/>
      </c>
      <c r="M154" s="110">
        <f>IF(EO154="","",IF(ISNUMBER('Dvd Calendar'!$O$1537)=FALSE,"",IF((('Dvd Calendar'!$O$1539=TYPE1)*(TYPE1&lt;&gt;"")+('Dvd Calendar'!$O$1539=TYPE2)*(TYPE2&lt;&gt;"")+('Dvd Calendar'!$O$1539=TYPE3)*(TYPE3&lt;&gt;"")+('Dvd Calendar'!$O$1539=TYPE4)*(TYPE4&lt;&gt;"")+('Dvd Calendar'!$O$1539=SPECIAL_LBL)*(INC_SPECIALS="Y"))=0,"",'Dvd Calendar'!$O$1537)))</f>
        <v/>
      </c>
      <c r="N154" s="110">
        <f>IF(EP154="","",IF(ISNUMBER('Dvd Calendar'!$P$1537)=FALSE,"",IF((('Dvd Calendar'!$P$1539=TYPE1)*(TYPE1&lt;&gt;"")+('Dvd Calendar'!$P$1539=TYPE2)*(TYPE2&lt;&gt;"")+('Dvd Calendar'!$P$1539=TYPE3)*(TYPE3&lt;&gt;"")+('Dvd Calendar'!$P$1539=TYPE4)*(TYPE4&lt;&gt;"")+('Dvd Calendar'!$P$1539=SPECIAL_LBL)*(INC_SPECIALS="Y"))=0,"",'Dvd Calendar'!$P$1537)))</f>
        <v/>
      </c>
      <c r="O154" s="110">
        <f>IF(EQ154="","",IF(ISNUMBER('Dvd Calendar'!$Q$1537)=FALSE,"",IF((('Dvd Calendar'!$Q$1539=TYPE1)*(TYPE1&lt;&gt;"")+('Dvd Calendar'!$Q$1539=TYPE2)*(TYPE2&lt;&gt;"")+('Dvd Calendar'!$Q$1539=TYPE3)*(TYPE3&lt;&gt;"")+('Dvd Calendar'!$Q$1539=TYPE4)*(TYPE4&lt;&gt;"")+('Dvd Calendar'!$Q$1539=SPECIAL_LBL)*(INC_SPECIALS="Y"))=0,"",'Dvd Calendar'!$Q$1537)))</f>
        <v/>
      </c>
      <c r="P154" s="110">
        <f>IF(ER154="","",IF(ISNUMBER('Dvd Calendar'!$R$1537)=FALSE,"",IF((('Dvd Calendar'!$R$1539=TYPE1)*(TYPE1&lt;&gt;"")+('Dvd Calendar'!$R$1539=TYPE2)*(TYPE2&lt;&gt;"")+('Dvd Calendar'!$R$1539=TYPE3)*(TYPE3&lt;&gt;"")+('Dvd Calendar'!$R$1539=TYPE4)*(TYPE4&lt;&gt;"")+('Dvd Calendar'!$R$1539=SPECIAL_LBL)*(INC_SPECIALS="Y"))=0,"",'Dvd Calendar'!$R$1537)))</f>
        <v/>
      </c>
      <c r="Q154" s="110">
        <f>IF(ES154="","",IF(ISNUMBER('Dvd Calendar'!$S$1537)=FALSE,"",IF((('Dvd Calendar'!$S$1539=TYPE1)*(TYPE1&lt;&gt;"")+('Dvd Calendar'!$S$1539=TYPE2)*(TYPE2&lt;&gt;"")+('Dvd Calendar'!$S$1539=TYPE3)*(TYPE3&lt;&gt;"")+('Dvd Calendar'!$S$1539=TYPE4)*(TYPE4&lt;&gt;"")+('Dvd Calendar'!$S$1539=SPECIAL_LBL)*(INC_SPECIALS="Y"))=0,"",'Dvd Calendar'!$S$1537)))</f>
        <v/>
      </c>
      <c r="R154" s="110">
        <f>IF(ET154="","",IF(ISNUMBER('Dvd Calendar'!$T$1537)=FALSE,"",IF((('Dvd Calendar'!$T$1539=TYPE1)*(TYPE1&lt;&gt;"")+('Dvd Calendar'!$T$1539=TYPE2)*(TYPE2&lt;&gt;"")+('Dvd Calendar'!$T$1539=TYPE3)*(TYPE3&lt;&gt;"")+('Dvd Calendar'!$T$1539=TYPE4)*(TYPE4&lt;&gt;"")+('Dvd Calendar'!$T$1539=SPECIAL_LBL)*(INC_SPECIALS="Y"))=0,"",'Dvd Calendar'!$T$1537)))</f>
        <v/>
      </c>
      <c r="S154" s="110">
        <f>IF(EU154="","",IF(ISNUMBER('Dvd Calendar'!$U$1537)=FALSE,"",IF((('Dvd Calendar'!$U$1539=TYPE1)*(TYPE1&lt;&gt;"")+('Dvd Calendar'!$U$1539=TYPE2)*(TYPE2&lt;&gt;"")+('Dvd Calendar'!$U$1539=TYPE3)*(TYPE3&lt;&gt;"")+('Dvd Calendar'!$U$1539=TYPE4)*(TYPE4&lt;&gt;"")+('Dvd Calendar'!$U$1539=SPECIAL_LBL)*(INC_SPECIALS="Y"))=0,"",'Dvd Calendar'!$U$1537)))</f>
        <v/>
      </c>
      <c r="T154" s="110">
        <f>IF(EV154="","",IF(ISNUMBER('Dvd Calendar'!$V$1537)=FALSE,"",IF((('Dvd Calendar'!$V$1539=TYPE1)*(TYPE1&lt;&gt;"")+('Dvd Calendar'!$V$1539=TYPE2)*(TYPE2&lt;&gt;"")+('Dvd Calendar'!$V$1539=TYPE3)*(TYPE3&lt;&gt;"")+('Dvd Calendar'!$V$1539=TYPE4)*(TYPE4&lt;&gt;"")+('Dvd Calendar'!$V$1539=SPECIAL_LBL)*(INC_SPECIALS="Y"))=0,"",'Dvd Calendar'!$V$1537)))</f>
        <v/>
      </c>
      <c r="U154" s="110">
        <f>IF(EW154="","",IF(ISNUMBER('Dvd Calendar'!$W$1537)=FALSE,"",IF((('Dvd Calendar'!$W$1539=TYPE1)*(TYPE1&lt;&gt;"")+('Dvd Calendar'!$W$1539=TYPE2)*(TYPE2&lt;&gt;"")+('Dvd Calendar'!$W$1539=TYPE3)*(TYPE3&lt;&gt;"")+('Dvd Calendar'!$W$1539=TYPE4)*(TYPE4&lt;&gt;"")+('Dvd Calendar'!$W$1539=SPECIAL_LBL)*(INC_SPECIALS="Y"))=0,"",'Dvd Calendar'!$W$1537)))</f>
        <v/>
      </c>
      <c r="V154" s="110">
        <f>IF(EX154="","",IF(ISNUMBER('Dvd Calendar'!$X$1537)=FALSE,"",IF((('Dvd Calendar'!$X$1539=TYPE1)*(TYPE1&lt;&gt;"")+('Dvd Calendar'!$X$1539=TYPE2)*(TYPE2&lt;&gt;"")+('Dvd Calendar'!$X$1539=TYPE3)*(TYPE3&lt;&gt;"")+('Dvd Calendar'!$X$1539=TYPE4)*(TYPE4&lt;&gt;"")+('Dvd Calendar'!$X$1539=SPECIAL_LBL)*(INC_SPECIALS="Y"))=0,"",'Dvd Calendar'!$X$1537)))</f>
        <v/>
      </c>
      <c r="W154" s="110">
        <f>IF(EY154="","",IF(ISNUMBER('Dvd Calendar'!$Y$1537)=FALSE,"",IF((('Dvd Calendar'!$Y$1539=TYPE1)*(TYPE1&lt;&gt;"")+('Dvd Calendar'!$Y$1539=TYPE2)*(TYPE2&lt;&gt;"")+('Dvd Calendar'!$Y$1539=TYPE3)*(TYPE3&lt;&gt;"")+('Dvd Calendar'!$Y$1539=TYPE4)*(TYPE4&lt;&gt;"")+('Dvd Calendar'!$Y$1539=SPECIAL_LBL)*(INC_SPECIALS="Y"))=0,"",'Dvd Calendar'!$Y$1537)))</f>
        <v/>
      </c>
      <c r="X154" s="110">
        <f>IF(EZ154="","",IF(ISNUMBER('Dvd Calendar'!$Z$1537)=FALSE,"",IF((('Dvd Calendar'!$Z$1539=TYPE1)*(TYPE1&lt;&gt;"")+('Dvd Calendar'!$Z$1539=TYPE2)*(TYPE2&lt;&gt;"")+('Dvd Calendar'!$Z$1539=TYPE3)*(TYPE3&lt;&gt;"")+('Dvd Calendar'!$Z$1539=TYPE4)*(TYPE4&lt;&gt;"")+('Dvd Calendar'!$Z$1539=SPECIAL_LBL)*(INC_SPECIALS="Y"))=0,"",'Dvd Calendar'!$Z$1537)))</f>
        <v/>
      </c>
      <c r="Y154" s="110">
        <f>IF(FA154="","",IF(ISNUMBER('Dvd Calendar'!$AA$1537)=FALSE,"",IF((('Dvd Calendar'!$AA$1539=TYPE1)*(TYPE1&lt;&gt;"")+('Dvd Calendar'!$AA$1539=TYPE2)*(TYPE2&lt;&gt;"")+('Dvd Calendar'!$AA$1539=TYPE3)*(TYPE3&lt;&gt;"")+('Dvd Calendar'!$AA$1539=TYPE4)*(TYPE4&lt;&gt;"")+('Dvd Calendar'!$AA$1539=SPECIAL_LBL)*(INC_SPECIALS="Y"))=0,"",'Dvd Calendar'!$AA$1537)))</f>
        <v/>
      </c>
      <c r="Z154" s="110">
        <f>IF(FB154="","",IF(ISNUMBER('Dvd Calendar'!$AB$1537)=FALSE,"",IF((('Dvd Calendar'!$AB$1539=TYPE1)*(TYPE1&lt;&gt;"")+('Dvd Calendar'!$AB$1539=TYPE2)*(TYPE2&lt;&gt;"")+('Dvd Calendar'!$AB$1539=TYPE3)*(TYPE3&lt;&gt;"")+('Dvd Calendar'!$AB$1539=TYPE4)*(TYPE4&lt;&gt;"")+('Dvd Calendar'!$AB$1539=SPECIAL_LBL)*(INC_SPECIALS="Y"))=0,"",'Dvd Calendar'!$AB$1537)))</f>
        <v/>
      </c>
      <c r="AA154" s="110">
        <f>IF(FC154="","",IF(ISNUMBER('Dvd Calendar'!$AC$1537)=FALSE,"",IF((('Dvd Calendar'!$AC$1539=TYPE1)*(TYPE1&lt;&gt;"")+('Dvd Calendar'!$AC$1539=TYPE2)*(TYPE2&lt;&gt;"")+('Dvd Calendar'!$AC$1539=TYPE3)*(TYPE3&lt;&gt;"")+('Dvd Calendar'!$AC$1539=TYPE4)*(TYPE4&lt;&gt;"")+('Dvd Calendar'!$AC$1539=SPECIAL_LBL)*(INC_SPECIALS="Y"))=0,"",'Dvd Calendar'!$AC$1537)))</f>
        <v/>
      </c>
      <c r="AB154" s="110">
        <f>IF(FD154="","",IF(ISNUMBER('Dvd Calendar'!$AD$1537)=FALSE,"",IF((('Dvd Calendar'!$AD$1539=TYPE1)*(TYPE1&lt;&gt;"")+('Dvd Calendar'!$AD$1539=TYPE2)*(TYPE2&lt;&gt;"")+('Dvd Calendar'!$AD$1539=TYPE3)*(TYPE3&lt;&gt;"")+('Dvd Calendar'!$AD$1539=TYPE4)*(TYPE4&lt;&gt;"")+('Dvd Calendar'!$AD$1539=SPECIAL_LBL)*(INC_SPECIALS="Y"))=0,"",'Dvd Calendar'!$AD$1537)))</f>
        <v/>
      </c>
      <c r="AC154" s="110">
        <f>IF(FE154="","",IF(ISNUMBER('Dvd Calendar'!$AE$1537)=FALSE,"",IF((('Dvd Calendar'!$AE$1539=TYPE1)*(TYPE1&lt;&gt;"")+('Dvd Calendar'!$AE$1539=TYPE2)*(TYPE2&lt;&gt;"")+('Dvd Calendar'!$AE$1539=TYPE3)*(TYPE3&lt;&gt;"")+('Dvd Calendar'!$AE$1539=TYPE4)*(TYPE4&lt;&gt;"")+('Dvd Calendar'!$AE$1539=SPECIAL_LBL)*(INC_SPECIALS="Y"))=0,"",'Dvd Calendar'!$AE$1537)))</f>
        <v/>
      </c>
      <c r="AD154" s="110">
        <f>IF(FF154="","",IF(ISNUMBER('Dvd Calendar'!$AF$1537)=FALSE,"",IF((('Dvd Calendar'!$AF$1539=TYPE1)*(TYPE1&lt;&gt;"")+('Dvd Calendar'!$AF$1539=TYPE2)*(TYPE2&lt;&gt;"")+('Dvd Calendar'!$AF$1539=TYPE3)*(TYPE3&lt;&gt;"")+('Dvd Calendar'!$AF$1539=TYPE4)*(TYPE4&lt;&gt;"")+('Dvd Calendar'!$AF$1539=SPECIAL_LBL)*(INC_SPECIALS="Y"))=0,"",'Dvd Calendar'!$AF$1537)))</f>
        <v/>
      </c>
      <c r="AE154" s="110">
        <f>IF(FG154="","",IF(ISNUMBER('Dvd Calendar'!$AG$1537)=FALSE,"",IF((('Dvd Calendar'!$AG$1539=TYPE1)*(TYPE1&lt;&gt;"")+('Dvd Calendar'!$AG$1539=TYPE2)*(TYPE2&lt;&gt;"")+('Dvd Calendar'!$AG$1539=TYPE3)*(TYPE3&lt;&gt;"")+('Dvd Calendar'!$AG$1539=TYPE4)*(TYPE4&lt;&gt;"")+('Dvd Calendar'!$AG$1539=SPECIAL_LBL)*(INC_SPECIALS="Y"))=0,"",'Dvd Calendar'!$AG$1537)))</f>
        <v/>
      </c>
      <c r="AF154" s="110">
        <f>IF(FH154="","",IF(ISNUMBER('Dvd Calendar'!$AH$1537)=FALSE,"",IF((('Dvd Calendar'!$AH$1539=TYPE1)*(TYPE1&lt;&gt;"")+('Dvd Calendar'!$AH$1539=TYPE2)*(TYPE2&lt;&gt;"")+('Dvd Calendar'!$AH$1539=TYPE3)*(TYPE3&lt;&gt;"")+('Dvd Calendar'!$AH$1539=TYPE4)*(TYPE4&lt;&gt;"")+('Dvd Calendar'!$AH$1539=SPECIAL_LBL)*(INC_SPECIALS="Y"))=0,"",'Dvd Calendar'!$AH$1537)))</f>
        <v/>
      </c>
      <c r="AG154" s="110">
        <f>IF(FI154="","",IF(ISNUMBER('Dvd Calendar'!$AI$1537)=FALSE,"",IF((('Dvd Calendar'!$AI$1539=TYPE1)*(TYPE1&lt;&gt;"")+('Dvd Calendar'!$AI$1539=TYPE2)*(TYPE2&lt;&gt;"")+('Dvd Calendar'!$AI$1539=TYPE3)*(TYPE3&lt;&gt;"")+('Dvd Calendar'!$AI$1539=TYPE4)*(TYPE4&lt;&gt;"")+('Dvd Calendar'!$AI$1539=SPECIAL_LBL)*(INC_SPECIALS="Y"))=0,"",'Dvd Calendar'!$AI$1537)))</f>
        <v/>
      </c>
      <c r="AH154" s="110">
        <f>IF(FJ154="","",IF(ISNUMBER('Dvd Calendar'!$AJ$1537)=FALSE,"",IF((('Dvd Calendar'!$AJ$1539=TYPE1)*(TYPE1&lt;&gt;"")+('Dvd Calendar'!$AJ$1539=TYPE2)*(TYPE2&lt;&gt;"")+('Dvd Calendar'!$AJ$1539=TYPE3)*(TYPE3&lt;&gt;"")+('Dvd Calendar'!$AJ$1539=TYPE4)*(TYPE4&lt;&gt;"")+('Dvd Calendar'!$AJ$1539=SPECIAL_LBL)*(INC_SPECIALS="Y"))=0,"",'Dvd Calendar'!$AJ$1537)))</f>
        <v/>
      </c>
      <c r="AI154" s="110">
        <f>IF(FK154="","",IF(ISNUMBER('Dvd Calendar'!$AK$1537)=FALSE,"",IF((('Dvd Calendar'!$AK$1539=TYPE1)*(TYPE1&lt;&gt;"")+('Dvd Calendar'!$AK$1539=TYPE2)*(TYPE2&lt;&gt;"")+('Dvd Calendar'!$AK$1539=TYPE3)*(TYPE3&lt;&gt;"")+('Dvd Calendar'!$AK$1539=TYPE4)*(TYPE4&lt;&gt;"")+('Dvd Calendar'!$AK$1539=SPECIAL_LBL)*(INC_SPECIALS="Y"))=0,"",'Dvd Calendar'!$AK$1537)))</f>
        <v/>
      </c>
      <c r="AJ154" s="110">
        <f>IF(FL154="","",IF(ISNUMBER('Dvd Calendar'!$AL$1537)=FALSE,"",IF((('Dvd Calendar'!$AL$1539=TYPE1)*(TYPE1&lt;&gt;"")+('Dvd Calendar'!$AL$1539=TYPE2)*(TYPE2&lt;&gt;"")+('Dvd Calendar'!$AL$1539=TYPE3)*(TYPE3&lt;&gt;"")+('Dvd Calendar'!$AL$1539=TYPE4)*(TYPE4&lt;&gt;"")+('Dvd Calendar'!$AL$1539=SPECIAL_LBL)*(INC_SPECIALS="Y"))=0,"",'Dvd Calendar'!$AL$1537)))</f>
        <v/>
      </c>
      <c r="AK154" s="110">
        <f>IF(FM154="","",IF(ISNUMBER('Dvd Calendar'!$AM$1537)=FALSE,"",IF((('Dvd Calendar'!$AM$1539=TYPE1)*(TYPE1&lt;&gt;"")+('Dvd Calendar'!$AM$1539=TYPE2)*(TYPE2&lt;&gt;"")+('Dvd Calendar'!$AM$1539=TYPE3)*(TYPE3&lt;&gt;"")+('Dvd Calendar'!$AM$1539=TYPE4)*(TYPE4&lt;&gt;"")+('Dvd Calendar'!$AM$1539=SPECIAL_LBL)*(INC_SPECIALS="Y"))=0,"",'Dvd Calendar'!$AM$1537)))</f>
        <v/>
      </c>
      <c r="AL154" s="110">
        <f>IF(FN154="","",IF(ISNUMBER('Dvd Calendar'!$AN$1537)=FALSE,"",IF((('Dvd Calendar'!$AN$1539=TYPE1)*(TYPE1&lt;&gt;"")+('Dvd Calendar'!$AN$1539=TYPE2)*(TYPE2&lt;&gt;"")+('Dvd Calendar'!$AN$1539=TYPE3)*(TYPE3&lt;&gt;"")+('Dvd Calendar'!$AN$1539=TYPE4)*(TYPE4&lt;&gt;"")+('Dvd Calendar'!$AN$1539=SPECIAL_LBL)*(INC_SPECIALS="Y"))=0,"",'Dvd Calendar'!$AN$1537)))</f>
        <v/>
      </c>
      <c r="AM154" s="110">
        <f>IF(FO154="","",IF(ISNUMBER('Dvd Calendar'!$AO$1537)=FALSE,"",IF((('Dvd Calendar'!$AO$1539=TYPE1)*(TYPE1&lt;&gt;"")+('Dvd Calendar'!$AO$1539=TYPE2)*(TYPE2&lt;&gt;"")+('Dvd Calendar'!$AO$1539=TYPE3)*(TYPE3&lt;&gt;"")+('Dvd Calendar'!$AO$1539=TYPE4)*(TYPE4&lt;&gt;"")+('Dvd Calendar'!$AO$1539=SPECIAL_LBL)*(INC_SPECIALS="Y"))=0,"",'Dvd Calendar'!$AO$1537)))</f>
        <v/>
      </c>
      <c r="AN154" s="110">
        <f>IF(FP154="","",IF(ISNUMBER('Dvd Calendar'!$AP$1537)=FALSE,"",IF((('Dvd Calendar'!$AP$1539=TYPE1)*(TYPE1&lt;&gt;"")+('Dvd Calendar'!$AP$1539=TYPE2)*(TYPE2&lt;&gt;"")+('Dvd Calendar'!$AP$1539=TYPE3)*(TYPE3&lt;&gt;"")+('Dvd Calendar'!$AP$1539=TYPE4)*(TYPE4&lt;&gt;"")+('Dvd Calendar'!$AP$1539=SPECIAL_LBL)*(INC_SPECIALS="Y"))=0,"",'Dvd Calendar'!$AP$1537)))</f>
        <v/>
      </c>
      <c r="AO154" s="110">
        <f>IF(FQ154="","",IF(ISNUMBER('Dvd Calendar'!$AQ$1537)=FALSE,"",IF((('Dvd Calendar'!$AQ$1539=TYPE1)*(TYPE1&lt;&gt;"")+('Dvd Calendar'!$AQ$1539=TYPE2)*(TYPE2&lt;&gt;"")+('Dvd Calendar'!$AQ$1539=TYPE3)*(TYPE3&lt;&gt;"")+('Dvd Calendar'!$AQ$1539=TYPE4)*(TYPE4&lt;&gt;"")+('Dvd Calendar'!$AQ$1539=SPECIAL_LBL)*(INC_SPECIALS="Y"))=0,"",'Dvd Calendar'!$AQ$1537)))</f>
        <v/>
      </c>
      <c r="AP154" s="110">
        <f>IF(FR154="","",IF(ISNUMBER('Dvd Calendar'!$AR$1537)=FALSE,"",IF((('Dvd Calendar'!$AR$1539=TYPE1)*(TYPE1&lt;&gt;"")+('Dvd Calendar'!$AR$1539=TYPE2)*(TYPE2&lt;&gt;"")+('Dvd Calendar'!$AR$1539=TYPE3)*(TYPE3&lt;&gt;"")+('Dvd Calendar'!$AR$1539=TYPE4)*(TYPE4&lt;&gt;"")+('Dvd Calendar'!$AR$1539=SPECIAL_LBL)*(INC_SPECIALS="Y"))=0,"",'Dvd Calendar'!$AR$1537)))</f>
        <v/>
      </c>
      <c r="AQ154" s="110">
        <f>IF(FS154="","",IF(ISNUMBER('Dvd Calendar'!$E$1542)=FALSE,"",'Dvd Calendar'!$E$1542))</f>
        <v/>
      </c>
      <c r="AR154" s="110">
        <f>IF(FT154="","",IF(ISNUMBER('Dvd Calendar'!$F$1542)=FALSE,"",'Dvd Calendar'!$F$1542))</f>
        <v/>
      </c>
      <c r="AS154" s="110">
        <f>IF(FU154="","",IF(ISNUMBER('Dvd Calendar'!$G$1542)=FALSE,"",'Dvd Calendar'!$G$1542))</f>
        <v/>
      </c>
      <c r="AT154" s="110">
        <f>IF(FV154="","",IF(ISNUMBER('Dvd Calendar'!$H$1542)=FALSE,"",'Dvd Calendar'!$H$1542))</f>
        <v/>
      </c>
      <c r="AU154" s="110">
        <f>IF(FW154="","",IF(ISNUMBER('Dvd Calendar'!$I$1542)=FALSE,"",'Dvd Calendar'!$I$1542))</f>
        <v/>
      </c>
      <c r="AV154" s="110">
        <f>IF(FX154="","",IF(ISNUMBER('Dvd Calendar'!$J$1542)=FALSE,"",'Dvd Calendar'!$J$1542))</f>
        <v/>
      </c>
      <c r="AW154" s="110">
        <f>IF(FY154="","",IF(ISNUMBER('Dvd Calendar'!$K$1542)=FALSE,"",'Dvd Calendar'!$K$1542))</f>
        <v/>
      </c>
      <c r="AX154" s="110">
        <f>IF(FZ154="","",IF(ISNUMBER('Dvd Calendar'!$L$1542)=FALSE,"",'Dvd Calendar'!$L$1542))</f>
        <v/>
      </c>
      <c r="AY154" s="110">
        <f>IF(GA154="","",IF(ISNUMBER('Dvd Calendar'!$M$1542)=FALSE,"",'Dvd Calendar'!$M$1542))</f>
        <v/>
      </c>
      <c r="AZ154" s="110">
        <f>IF(GB154="","",IF(ISNUMBER('Dvd Calendar'!$N$1542)=FALSE,"",'Dvd Calendar'!$N$1542))</f>
        <v/>
      </c>
      <c r="BA154" s="110">
        <f>IF(GC154="","",IF(ISNUMBER('Dvd Calendar'!$O$1542)=FALSE,"",'Dvd Calendar'!$O$1542))</f>
        <v/>
      </c>
      <c r="BB154" s="110">
        <f>IF(GD154="","",IF(ISNUMBER('Dvd Calendar'!$P$1542)=FALSE,"",'Dvd Calendar'!$P$1542))</f>
        <v/>
      </c>
      <c r="BC154" s="110">
        <f>IF(GE154="","",IF(ISNUMBER('Dvd Calendar'!$Q$1542)=FALSE,"",'Dvd Calendar'!$Q$1542))</f>
        <v/>
      </c>
      <c r="BD154" s="110">
        <f>IF(GF154="","",IF(ISNUMBER('Dvd Calendar'!$R$1542)=FALSE,"",'Dvd Calendar'!$R$1542))</f>
        <v/>
      </c>
      <c r="BE154" s="110">
        <f>IF(GG154="","",IF(ISNUMBER('Dvd Calendar'!$S$1542)=FALSE,"",'Dvd Calendar'!$S$1542))</f>
        <v/>
      </c>
      <c r="BF154" s="110">
        <f>IF(GH154="","",IF(ISNUMBER('Dvd Calendar'!$T$1542)=FALSE,"",'Dvd Calendar'!$T$1542))</f>
        <v/>
      </c>
      <c r="BG154" s="110">
        <f>IF(GI154="","",IF(ISNUMBER('Dvd Calendar'!$U$1542)=FALSE,"",'Dvd Calendar'!$U$1542))</f>
        <v/>
      </c>
      <c r="BH154" s="110">
        <f>IF(GJ154="","",IF(ISNUMBER('Dvd Calendar'!$V$1542)=FALSE,"",'Dvd Calendar'!$V$1542))</f>
        <v/>
      </c>
      <c r="BI154" s="110">
        <f>IF(GK154="","",IF(ISNUMBER('Dvd Calendar'!$W$1542)=FALSE,"",'Dvd Calendar'!$W$1542))</f>
        <v/>
      </c>
      <c r="BJ154" s="110">
        <f>IF(GL154="","",IF(ISNUMBER('Dvd Calendar'!$X$1542)=FALSE,"",'Dvd Calendar'!$X$1542))</f>
        <v/>
      </c>
      <c r="BK154" s="110">
        <f>IF(GM154="","",IF(ISNUMBER('Dvd Calendar'!$Y$1542)=FALSE,"",'Dvd Calendar'!$Y$1542))</f>
        <v/>
      </c>
      <c r="BL154" s="110">
        <f>IF(GN154="","",IF(ISNUMBER('Dvd Calendar'!$Z$1542)=FALSE,"",'Dvd Calendar'!$Z$1542))</f>
        <v/>
      </c>
      <c r="BM154" s="110">
        <f>IF(GO154="","",IF(ISNUMBER('Dvd Calendar'!$AA$1542)=FALSE,"",'Dvd Calendar'!$AA$1542))</f>
        <v/>
      </c>
      <c r="BN154" s="110">
        <f>IF(GP154="","",IF(ISNUMBER('Dvd Calendar'!$AB$1542)=FALSE,"",'Dvd Calendar'!$AB$1542))</f>
        <v/>
      </c>
      <c r="BO154" s="110">
        <f>IF(GQ154="","",IF(ISNUMBER('Dvd Calendar'!$AC$1542)=FALSE,"",'Dvd Calendar'!$AC$1542))</f>
        <v/>
      </c>
      <c r="BQ154" s="110">
        <f>IF(C154="","",IFERROR(C154*HSTECH!$B$45*HSTECH!$G$45/HSTECH!$B$3,""))</f>
        <v/>
      </c>
      <c r="BR154" s="110">
        <f>IF(D154="","",IFERROR(D154*HSTECH!$B$45*HSTECH!$G$45/HSTECH!$B$3,""))</f>
        <v/>
      </c>
      <c r="BS154" s="110">
        <f>IF(E154="","",IFERROR(E154*HSTECH!$B$45*HSTECH!$G$45/HSTECH!$B$3,""))</f>
        <v/>
      </c>
      <c r="BT154" s="110">
        <f>IF(F154="","",IFERROR(F154*HSTECH!$B$45*HSTECH!$G$45/HSTECH!$B$3,""))</f>
        <v/>
      </c>
      <c r="BU154" s="110">
        <f>IF(G154="","",IFERROR(G154*HSTECH!$B$45*HSTECH!$G$45/HSTECH!$B$3,""))</f>
        <v/>
      </c>
      <c r="BV154" s="110">
        <f>IF(H154="","",IFERROR(H154*HSTECH!$B$45*HSTECH!$G$45/HSTECH!$B$3,""))</f>
        <v/>
      </c>
      <c r="BW154" s="110">
        <f>IF(I154="","",IFERROR(I154*HSTECH!$B$45*HSTECH!$G$45/HSTECH!$B$3,""))</f>
        <v/>
      </c>
      <c r="BX154" s="110">
        <f>IF(J154="","",IFERROR(J154*HSTECH!$B$45*HSTECH!$G$45/HSTECH!$B$3,""))</f>
        <v/>
      </c>
      <c r="BY154" s="110">
        <f>IF(K154="","",IFERROR(K154*HSTECH!$B$45*HSTECH!$G$45/HSTECH!$B$3,""))</f>
        <v/>
      </c>
      <c r="BZ154" s="110">
        <f>IF(L154="","",IFERROR(L154*HSTECH!$B$45*HSTECH!$G$45/HSTECH!$B$3,""))</f>
        <v/>
      </c>
      <c r="CA154" s="110">
        <f>IF(M154="","",IFERROR(M154*HSTECH!$B$45*HSTECH!$G$45/HSTECH!$B$3,""))</f>
        <v/>
      </c>
      <c r="CB154" s="110">
        <f>IF(N154="","",IFERROR(N154*HSTECH!$B$45*HSTECH!$G$45/HSTECH!$B$3,""))</f>
        <v/>
      </c>
      <c r="CC154" s="110">
        <f>IF(O154="","",IFERROR(O154*HSTECH!$B$45*HSTECH!$G$45/HSTECH!$B$3,""))</f>
        <v/>
      </c>
      <c r="CD154" s="110">
        <f>IF(P154="","",IFERROR(P154*HSTECH!$B$45*HSTECH!$G$45/HSTECH!$B$3,""))</f>
        <v/>
      </c>
      <c r="CE154" s="110">
        <f>IF(Q154="","",IFERROR(Q154*HSTECH!$B$45*HSTECH!$G$45/HSTECH!$B$3,""))</f>
        <v/>
      </c>
      <c r="CF154" s="110">
        <f>IF(R154="","",IFERROR(R154*HSTECH!$B$45*HSTECH!$G$45/HSTECH!$B$3,""))</f>
        <v/>
      </c>
      <c r="CG154" s="110">
        <f>IF(S154="","",IFERROR(S154*HSTECH!$B$45*HSTECH!$G$45/HSTECH!$B$3,""))</f>
        <v/>
      </c>
      <c r="CH154" s="110">
        <f>IF(T154="","",IFERROR(T154*HSTECH!$B$45*HSTECH!$G$45/HSTECH!$B$3,""))</f>
        <v/>
      </c>
      <c r="CI154" s="110">
        <f>IF(U154="","",IFERROR(U154*HSTECH!$B$45*HSTECH!$G$45/HSTECH!$B$3,""))</f>
        <v/>
      </c>
      <c r="CJ154" s="110">
        <f>IF(V154="","",IFERROR(V154*HSTECH!$B$45*HSTECH!$G$45/HSTECH!$B$3,""))</f>
        <v/>
      </c>
      <c r="CK154" s="110">
        <f>IF(W154="","",IFERROR(W154*HSTECH!$B$45*HSTECH!$G$45/HSTECH!$B$3,""))</f>
        <v/>
      </c>
      <c r="CL154" s="110">
        <f>IF(X154="","",IFERROR(X154*HSTECH!$B$45*HSTECH!$G$45/HSTECH!$B$3,""))</f>
        <v/>
      </c>
      <c r="CM154" s="110">
        <f>IF(Y154="","",IFERROR(Y154*HSTECH!$B$45*HSTECH!$G$45/HSTECH!$B$3,""))</f>
        <v/>
      </c>
      <c r="CN154" s="110">
        <f>IF(Z154="","",IFERROR(Z154*HSTECH!$B$45*HSTECH!$G$45/HSTECH!$B$3,""))</f>
        <v/>
      </c>
      <c r="CO154" s="110">
        <f>IF(AA154="","",IFERROR(AA154*HSTECH!$B$45*HSTECH!$G$45/HSTECH!$B$3,""))</f>
        <v/>
      </c>
      <c r="CP154" s="110">
        <f>IF(AB154="","",IFERROR(AB154*HSTECH!$B$45*HSTECH!$G$45/HSTECH!$B$3,""))</f>
        <v/>
      </c>
      <c r="CQ154" s="110">
        <f>IF(AC154="","",IFERROR(AC154*HSTECH!$B$45*HSTECH!$G$45/HSTECH!$B$3,""))</f>
        <v/>
      </c>
      <c r="CR154" s="110">
        <f>IF(AD154="","",IFERROR(AD154*HSTECH!$B$45*HSTECH!$G$45/HSTECH!$B$3,""))</f>
        <v/>
      </c>
      <c r="CS154" s="110">
        <f>IF(AE154="","",IFERROR(AE154*HSTECH!$B$45*HSTECH!$G$45/HSTECH!$B$3,""))</f>
        <v/>
      </c>
      <c r="CT154" s="110">
        <f>IF(AF154="","",IFERROR(AF154*HSTECH!$B$45*HSTECH!$G$45/HSTECH!$B$3,""))</f>
        <v/>
      </c>
      <c r="CU154" s="110">
        <f>IF(AG154="","",IFERROR(AG154*HSTECH!$B$45*HSTECH!$G$45/HSTECH!$B$3,""))</f>
        <v/>
      </c>
      <c r="CV154" s="110">
        <f>IF(AH154="","",IFERROR(AH154*HSTECH!$B$45*HSTECH!$G$45/HSTECH!$B$3,""))</f>
        <v/>
      </c>
      <c r="CW154" s="110">
        <f>IF(AI154="","",IFERROR(AI154*HSTECH!$B$45*HSTECH!$G$45/HSTECH!$B$3,""))</f>
        <v/>
      </c>
      <c r="CX154" s="110">
        <f>IF(AJ154="","",IFERROR(AJ154*HSTECH!$B$45*HSTECH!$G$45/HSTECH!$B$3,""))</f>
        <v/>
      </c>
      <c r="CY154" s="110">
        <f>IF(AK154="","",IFERROR(AK154*HSTECH!$B$45*HSTECH!$G$45/HSTECH!$B$3,""))</f>
        <v/>
      </c>
      <c r="CZ154" s="110">
        <f>IF(AL154="","",IFERROR(AL154*HSTECH!$B$45*HSTECH!$G$45/HSTECH!$B$3,""))</f>
        <v/>
      </c>
      <c r="DA154" s="110">
        <f>IF(AM154="","",IFERROR(AM154*HSTECH!$B$45*HSTECH!$G$45/HSTECH!$B$3,""))</f>
        <v/>
      </c>
      <c r="DB154" s="110">
        <f>IF(AN154="","",IFERROR(AN154*HSTECH!$B$45*HSTECH!$G$45/HSTECH!$B$3,""))</f>
        <v/>
      </c>
      <c r="DC154" s="110">
        <f>IF(AO154="","",IFERROR(AO154*HSTECH!$B$45*HSTECH!$G$45/HSTECH!$B$3,""))</f>
        <v/>
      </c>
      <c r="DD154" s="110">
        <f>IF(AP154="","",IFERROR(AP154*HSTECH!$B$45*HSTECH!$G$45/HSTECH!$B$3,""))</f>
        <v/>
      </c>
      <c r="DE154" s="110">
        <f>IF(AQ154="","",IFERROR(AQ154*HSTECH!$B$45*HSTECH!$G$45/HSTECH!$B$3,""))</f>
        <v/>
      </c>
      <c r="DF154" s="110">
        <f>IF(AR154="","",IFERROR(AR154*HSTECH!$B$45*HSTECH!$G$45/HSTECH!$B$3,""))</f>
        <v/>
      </c>
      <c r="DG154" s="110">
        <f>IF(AS154="","",IFERROR(AS154*HSTECH!$B$45*HSTECH!$G$45/HSTECH!$B$3,""))</f>
        <v/>
      </c>
      <c r="DH154" s="110">
        <f>IF(AT154="","",IFERROR(AT154*HSTECH!$B$45*HSTECH!$G$45/HSTECH!$B$3,""))</f>
        <v/>
      </c>
      <c r="DI154" s="110">
        <f>IF(AU154="","",IFERROR(AU154*HSTECH!$B$45*HSTECH!$G$45/HSTECH!$B$3,""))</f>
        <v/>
      </c>
      <c r="DJ154" s="110">
        <f>IF(AV154="","",IFERROR(AV154*HSTECH!$B$45*HSTECH!$G$45/HSTECH!$B$3,""))</f>
        <v/>
      </c>
      <c r="DK154" s="110">
        <f>IF(AW154="","",IFERROR(AW154*HSTECH!$B$45*HSTECH!$G$45/HSTECH!$B$3,""))</f>
        <v/>
      </c>
      <c r="DL154" s="110">
        <f>IF(AX154="","",IFERROR(AX154*HSTECH!$B$45*HSTECH!$G$45/HSTECH!$B$3,""))</f>
        <v/>
      </c>
      <c r="DM154" s="110">
        <f>IF(AY154="","",IFERROR(AY154*HSTECH!$B$45*HSTECH!$G$45/HSTECH!$B$3,""))</f>
        <v/>
      </c>
      <c r="DN154" s="110">
        <f>IF(AZ154="","",IFERROR(AZ154*HSTECH!$B$45*HSTECH!$G$45/HSTECH!$B$3,""))</f>
        <v/>
      </c>
      <c r="DO154" s="110">
        <f>IF(BA154="","",IFERROR(BA154*HSTECH!$B$45*HSTECH!$G$45/HSTECH!$B$3,""))</f>
        <v/>
      </c>
      <c r="DP154" s="110">
        <f>IF(BB154="","",IFERROR(BB154*HSTECH!$B$45*HSTECH!$G$45/HSTECH!$B$3,""))</f>
        <v/>
      </c>
      <c r="DQ154" s="110">
        <f>IF(BC154="","",IFERROR(BC154*HSTECH!$B$45*HSTECH!$G$45/HSTECH!$B$3,""))</f>
        <v/>
      </c>
      <c r="DR154" s="110">
        <f>IF(BD154="","",IFERROR(BD154*HSTECH!$B$45*HSTECH!$G$45/HSTECH!$B$3,""))</f>
        <v/>
      </c>
      <c r="DS154" s="110">
        <f>IF(BE154="","",IFERROR(BE154*HSTECH!$B$45*HSTECH!$G$45/HSTECH!$B$3,""))</f>
        <v/>
      </c>
      <c r="DT154" s="110">
        <f>IF(BF154="","",IFERROR(BF154*HSTECH!$B$45*HSTECH!$G$45/HSTECH!$B$3,""))</f>
        <v/>
      </c>
      <c r="DU154" s="110">
        <f>IF(BG154="","",IFERROR(BG154*HSTECH!$B$45*HSTECH!$G$45/HSTECH!$B$3,""))</f>
        <v/>
      </c>
      <c r="DV154" s="110">
        <f>IF(BH154="","",IFERROR(BH154*HSTECH!$B$45*HSTECH!$G$45/HSTECH!$B$3,""))</f>
        <v/>
      </c>
      <c r="DW154" s="110">
        <f>IF(BI154="","",IFERROR(BI154*HSTECH!$B$45*HSTECH!$G$45/HSTECH!$B$3,""))</f>
        <v/>
      </c>
      <c r="DX154" s="110">
        <f>IF(BJ154="","",IFERROR(BJ154*HSTECH!$B$45*HSTECH!$G$45/HSTECH!$B$3,""))</f>
        <v/>
      </c>
      <c r="DY154" s="110">
        <f>IF(BK154="","",IFERROR(BK154*HSTECH!$B$45*HSTECH!$G$45/HSTECH!$B$3,""))</f>
        <v/>
      </c>
      <c r="DZ154" s="110">
        <f>IF(BL154="","",IFERROR(BL154*HSTECH!$B$45*HSTECH!$G$45/HSTECH!$B$3,""))</f>
        <v/>
      </c>
      <c r="EA154" s="110">
        <f>IF(BM154="","",IFERROR(BM154*HSTECH!$B$45*HSTECH!$G$45/HSTECH!$B$3,""))</f>
        <v/>
      </c>
      <c r="EB154" s="110">
        <f>IF(BN154="","",IFERROR(BN154*HSTECH!$B$45*HSTECH!$G$45/HSTECH!$B$3,""))</f>
        <v/>
      </c>
      <c r="EC154" s="110">
        <f>IF(BO154="","",IFERROR(BO154*HSTECH!$B$45*HSTECH!$G$45/HSTECH!$B$3,""))</f>
        <v/>
      </c>
      <c r="EE154" s="39">
        <f>IF(N('Dvd Calendar'!$E$1534)=0,"",IF(('Dvd Calendar'!$E$1534&gt;=GRID_FROM)*('Dvd Calendar'!$E$1534&lt;=GRID_TO)*((('Dvd Calendar'!$E$1534&lt;=VAL_DATE)+(COUNTIF('Dvd Calendar'!$E$1541:$AR$1541,'Dvd Calendar'!$E$1534)=0))&gt;0)=0,"",'Dvd Calendar'!$E$1534*1000000000+ISNUMBER('Dvd Calendar'!$E$1537)*100000000+('Dvd Calendar'!$E$1539=SPECIAL_LBL)*10000000+(N('Dvd Calendar'!$E$1533)&gt;0)*(N('Dvd Calendar'!$E$1533)&lt;=VAL_SERIAL)*1000000+39*1000+1))</f>
        <v/>
      </c>
      <c r="EF154" s="39">
        <f>IF(N('Dvd Calendar'!$F$1534)=0,"",IF(('Dvd Calendar'!$F$1534&gt;=GRID_FROM)*('Dvd Calendar'!$F$1534&lt;=GRID_TO)*((('Dvd Calendar'!$F$1534&lt;=VAL_DATE)+(COUNTIF('Dvd Calendar'!$E$1541:$AR$1541,'Dvd Calendar'!$F$1534)=0))&gt;0)=0,"",'Dvd Calendar'!$F$1534*1000000000+ISNUMBER('Dvd Calendar'!$F$1537)*100000000+('Dvd Calendar'!$F$1539=SPECIAL_LBL)*10000000+(N('Dvd Calendar'!$F$1533)&gt;0)*(N('Dvd Calendar'!$F$1533)&lt;=VAL_SERIAL)*1000000+39*1000+2))</f>
        <v/>
      </c>
      <c r="EG154" s="39">
        <f>IF(N('Dvd Calendar'!$G$1534)=0,"",IF(('Dvd Calendar'!$G$1534&gt;=GRID_FROM)*('Dvd Calendar'!$G$1534&lt;=GRID_TO)*((('Dvd Calendar'!$G$1534&lt;=VAL_DATE)+(COUNTIF('Dvd Calendar'!$E$1541:$AR$1541,'Dvd Calendar'!$G$1534)=0))&gt;0)=0,"",'Dvd Calendar'!$G$1534*1000000000+ISNUMBER('Dvd Calendar'!$G$1537)*100000000+('Dvd Calendar'!$G$1539=SPECIAL_LBL)*10000000+(N('Dvd Calendar'!$G$1533)&gt;0)*(N('Dvd Calendar'!$G$1533)&lt;=VAL_SERIAL)*1000000+39*1000+3))</f>
        <v/>
      </c>
      <c r="EH154" s="39">
        <f>IF(N('Dvd Calendar'!$H$1534)=0,"",IF(('Dvd Calendar'!$H$1534&gt;=GRID_FROM)*('Dvd Calendar'!$H$1534&lt;=GRID_TO)*((('Dvd Calendar'!$H$1534&lt;=VAL_DATE)+(COUNTIF('Dvd Calendar'!$E$1541:$AR$1541,'Dvd Calendar'!$H$1534)=0))&gt;0)=0,"",'Dvd Calendar'!$H$1534*1000000000+ISNUMBER('Dvd Calendar'!$H$1537)*100000000+('Dvd Calendar'!$H$1539=SPECIAL_LBL)*10000000+(N('Dvd Calendar'!$H$1533)&gt;0)*(N('Dvd Calendar'!$H$1533)&lt;=VAL_SERIAL)*1000000+39*1000+4))</f>
        <v/>
      </c>
      <c r="EI154" s="39">
        <f>IF(N('Dvd Calendar'!$I$1534)=0,"",IF(('Dvd Calendar'!$I$1534&gt;=GRID_FROM)*('Dvd Calendar'!$I$1534&lt;=GRID_TO)*((('Dvd Calendar'!$I$1534&lt;=VAL_DATE)+(COUNTIF('Dvd Calendar'!$E$1541:$AR$1541,'Dvd Calendar'!$I$1534)=0))&gt;0)=0,"",'Dvd Calendar'!$I$1534*1000000000+ISNUMBER('Dvd Calendar'!$I$1537)*100000000+('Dvd Calendar'!$I$1539=SPECIAL_LBL)*10000000+(N('Dvd Calendar'!$I$1533)&gt;0)*(N('Dvd Calendar'!$I$1533)&lt;=VAL_SERIAL)*1000000+39*1000+5))</f>
        <v/>
      </c>
      <c r="EJ154" s="39">
        <f>IF(N('Dvd Calendar'!$J$1534)=0,"",IF(('Dvd Calendar'!$J$1534&gt;=GRID_FROM)*('Dvd Calendar'!$J$1534&lt;=GRID_TO)*((('Dvd Calendar'!$J$1534&lt;=VAL_DATE)+(COUNTIF('Dvd Calendar'!$E$1541:$AR$1541,'Dvd Calendar'!$J$1534)=0))&gt;0)=0,"",'Dvd Calendar'!$J$1534*1000000000+ISNUMBER('Dvd Calendar'!$J$1537)*100000000+('Dvd Calendar'!$J$1539=SPECIAL_LBL)*10000000+(N('Dvd Calendar'!$J$1533)&gt;0)*(N('Dvd Calendar'!$J$1533)&lt;=VAL_SERIAL)*1000000+39*1000+6))</f>
        <v/>
      </c>
      <c r="EK154" s="39">
        <f>IF(N('Dvd Calendar'!$K$1534)=0,"",IF(('Dvd Calendar'!$K$1534&gt;=GRID_FROM)*('Dvd Calendar'!$K$1534&lt;=GRID_TO)*((('Dvd Calendar'!$K$1534&lt;=VAL_DATE)+(COUNTIF('Dvd Calendar'!$E$1541:$AR$1541,'Dvd Calendar'!$K$1534)=0))&gt;0)=0,"",'Dvd Calendar'!$K$1534*1000000000+ISNUMBER('Dvd Calendar'!$K$1537)*100000000+('Dvd Calendar'!$K$1539=SPECIAL_LBL)*10000000+(N('Dvd Calendar'!$K$1533)&gt;0)*(N('Dvd Calendar'!$K$1533)&lt;=VAL_SERIAL)*1000000+39*1000+7))</f>
        <v/>
      </c>
      <c r="EL154" s="39">
        <f>IF(N('Dvd Calendar'!$L$1534)=0,"",IF(('Dvd Calendar'!$L$1534&gt;=GRID_FROM)*('Dvd Calendar'!$L$1534&lt;=GRID_TO)*((('Dvd Calendar'!$L$1534&lt;=VAL_DATE)+(COUNTIF('Dvd Calendar'!$E$1541:$AR$1541,'Dvd Calendar'!$L$1534)=0))&gt;0)=0,"",'Dvd Calendar'!$L$1534*1000000000+ISNUMBER('Dvd Calendar'!$L$1537)*100000000+('Dvd Calendar'!$L$1539=SPECIAL_LBL)*10000000+(N('Dvd Calendar'!$L$1533)&gt;0)*(N('Dvd Calendar'!$L$1533)&lt;=VAL_SERIAL)*1000000+39*1000+8))</f>
        <v/>
      </c>
      <c r="EM154" s="39">
        <f>IF(N('Dvd Calendar'!$M$1534)=0,"",IF(('Dvd Calendar'!$M$1534&gt;=GRID_FROM)*('Dvd Calendar'!$M$1534&lt;=GRID_TO)*((('Dvd Calendar'!$M$1534&lt;=VAL_DATE)+(COUNTIF('Dvd Calendar'!$E$1541:$AR$1541,'Dvd Calendar'!$M$1534)=0))&gt;0)=0,"",'Dvd Calendar'!$M$1534*1000000000+ISNUMBER('Dvd Calendar'!$M$1537)*100000000+('Dvd Calendar'!$M$1539=SPECIAL_LBL)*10000000+(N('Dvd Calendar'!$M$1533)&gt;0)*(N('Dvd Calendar'!$M$1533)&lt;=VAL_SERIAL)*1000000+39*1000+9))</f>
        <v/>
      </c>
      <c r="EN154" s="39">
        <f>IF(N('Dvd Calendar'!$N$1534)=0,"",IF(('Dvd Calendar'!$N$1534&gt;=GRID_FROM)*('Dvd Calendar'!$N$1534&lt;=GRID_TO)*((('Dvd Calendar'!$N$1534&lt;=VAL_DATE)+(COUNTIF('Dvd Calendar'!$E$1541:$AR$1541,'Dvd Calendar'!$N$1534)=0))&gt;0)=0,"",'Dvd Calendar'!$N$1534*1000000000+ISNUMBER('Dvd Calendar'!$N$1537)*100000000+('Dvd Calendar'!$N$1539=SPECIAL_LBL)*10000000+(N('Dvd Calendar'!$N$1533)&gt;0)*(N('Dvd Calendar'!$N$1533)&lt;=VAL_SERIAL)*1000000+39*1000+10))</f>
        <v/>
      </c>
      <c r="EO154" s="39">
        <f>IF(N('Dvd Calendar'!$O$1534)=0,"",IF(('Dvd Calendar'!$O$1534&gt;=GRID_FROM)*('Dvd Calendar'!$O$1534&lt;=GRID_TO)*((('Dvd Calendar'!$O$1534&lt;=VAL_DATE)+(COUNTIF('Dvd Calendar'!$E$1541:$AR$1541,'Dvd Calendar'!$O$1534)=0))&gt;0)=0,"",'Dvd Calendar'!$O$1534*1000000000+ISNUMBER('Dvd Calendar'!$O$1537)*100000000+('Dvd Calendar'!$O$1539=SPECIAL_LBL)*10000000+(N('Dvd Calendar'!$O$1533)&gt;0)*(N('Dvd Calendar'!$O$1533)&lt;=VAL_SERIAL)*1000000+39*1000+11))</f>
        <v/>
      </c>
      <c r="EP154" s="39">
        <f>IF(N('Dvd Calendar'!$P$1534)=0,"",IF(('Dvd Calendar'!$P$1534&gt;=GRID_FROM)*('Dvd Calendar'!$P$1534&lt;=GRID_TO)*((('Dvd Calendar'!$P$1534&lt;=VAL_DATE)+(COUNTIF('Dvd Calendar'!$E$1541:$AR$1541,'Dvd Calendar'!$P$1534)=0))&gt;0)=0,"",'Dvd Calendar'!$P$1534*1000000000+ISNUMBER('Dvd Calendar'!$P$1537)*100000000+('Dvd Calendar'!$P$1539=SPECIAL_LBL)*10000000+(N('Dvd Calendar'!$P$1533)&gt;0)*(N('Dvd Calendar'!$P$1533)&lt;=VAL_SERIAL)*1000000+39*1000+12))</f>
        <v/>
      </c>
      <c r="EQ154" s="39">
        <f>IF(N('Dvd Calendar'!$Q$1534)=0,"",IF(('Dvd Calendar'!$Q$1534&gt;=GRID_FROM)*('Dvd Calendar'!$Q$1534&lt;=GRID_TO)*((('Dvd Calendar'!$Q$1534&lt;=VAL_DATE)+(COUNTIF('Dvd Calendar'!$E$1541:$AR$1541,'Dvd Calendar'!$Q$1534)=0))&gt;0)=0,"",'Dvd Calendar'!$Q$1534*1000000000+ISNUMBER('Dvd Calendar'!$Q$1537)*100000000+('Dvd Calendar'!$Q$1539=SPECIAL_LBL)*10000000+(N('Dvd Calendar'!$Q$1533)&gt;0)*(N('Dvd Calendar'!$Q$1533)&lt;=VAL_SERIAL)*1000000+39*1000+13))</f>
        <v/>
      </c>
      <c r="ER154" s="39">
        <f>IF(N('Dvd Calendar'!$R$1534)=0,"",IF(('Dvd Calendar'!$R$1534&gt;=GRID_FROM)*('Dvd Calendar'!$R$1534&lt;=GRID_TO)*((('Dvd Calendar'!$R$1534&lt;=VAL_DATE)+(COUNTIF('Dvd Calendar'!$E$1541:$AR$1541,'Dvd Calendar'!$R$1534)=0))&gt;0)=0,"",'Dvd Calendar'!$R$1534*1000000000+ISNUMBER('Dvd Calendar'!$R$1537)*100000000+('Dvd Calendar'!$R$1539=SPECIAL_LBL)*10000000+(N('Dvd Calendar'!$R$1533)&gt;0)*(N('Dvd Calendar'!$R$1533)&lt;=VAL_SERIAL)*1000000+39*1000+14))</f>
        <v/>
      </c>
      <c r="ES154" s="39">
        <f>IF(N('Dvd Calendar'!$S$1534)=0,"",IF(('Dvd Calendar'!$S$1534&gt;=GRID_FROM)*('Dvd Calendar'!$S$1534&lt;=GRID_TO)*((('Dvd Calendar'!$S$1534&lt;=VAL_DATE)+(COUNTIF('Dvd Calendar'!$E$1541:$AR$1541,'Dvd Calendar'!$S$1534)=0))&gt;0)=0,"",'Dvd Calendar'!$S$1534*1000000000+ISNUMBER('Dvd Calendar'!$S$1537)*100000000+('Dvd Calendar'!$S$1539=SPECIAL_LBL)*10000000+(N('Dvd Calendar'!$S$1533)&gt;0)*(N('Dvd Calendar'!$S$1533)&lt;=VAL_SERIAL)*1000000+39*1000+15))</f>
        <v/>
      </c>
      <c r="ET154" s="39">
        <f>IF(N('Dvd Calendar'!$T$1534)=0,"",IF(('Dvd Calendar'!$T$1534&gt;=GRID_FROM)*('Dvd Calendar'!$T$1534&lt;=GRID_TO)*((('Dvd Calendar'!$T$1534&lt;=VAL_DATE)+(COUNTIF('Dvd Calendar'!$E$1541:$AR$1541,'Dvd Calendar'!$T$1534)=0))&gt;0)=0,"",'Dvd Calendar'!$T$1534*1000000000+ISNUMBER('Dvd Calendar'!$T$1537)*100000000+('Dvd Calendar'!$T$1539=SPECIAL_LBL)*10000000+(N('Dvd Calendar'!$T$1533)&gt;0)*(N('Dvd Calendar'!$T$1533)&lt;=VAL_SERIAL)*1000000+39*1000+16))</f>
        <v/>
      </c>
      <c r="EU154" s="39">
        <f>IF(N('Dvd Calendar'!$U$1534)=0,"",IF(('Dvd Calendar'!$U$1534&gt;=GRID_FROM)*('Dvd Calendar'!$U$1534&lt;=GRID_TO)*((('Dvd Calendar'!$U$1534&lt;=VAL_DATE)+(COUNTIF('Dvd Calendar'!$E$1541:$AR$1541,'Dvd Calendar'!$U$1534)=0))&gt;0)=0,"",'Dvd Calendar'!$U$1534*1000000000+ISNUMBER('Dvd Calendar'!$U$1537)*100000000+('Dvd Calendar'!$U$1539=SPECIAL_LBL)*10000000+(N('Dvd Calendar'!$U$1533)&gt;0)*(N('Dvd Calendar'!$U$1533)&lt;=VAL_SERIAL)*1000000+39*1000+17))</f>
        <v/>
      </c>
      <c r="EV154" s="39">
        <f>IF(N('Dvd Calendar'!$V$1534)=0,"",IF(('Dvd Calendar'!$V$1534&gt;=GRID_FROM)*('Dvd Calendar'!$V$1534&lt;=GRID_TO)*((('Dvd Calendar'!$V$1534&lt;=VAL_DATE)+(COUNTIF('Dvd Calendar'!$E$1541:$AR$1541,'Dvd Calendar'!$V$1534)=0))&gt;0)=0,"",'Dvd Calendar'!$V$1534*1000000000+ISNUMBER('Dvd Calendar'!$V$1537)*100000000+('Dvd Calendar'!$V$1539=SPECIAL_LBL)*10000000+(N('Dvd Calendar'!$V$1533)&gt;0)*(N('Dvd Calendar'!$V$1533)&lt;=VAL_SERIAL)*1000000+39*1000+18))</f>
        <v/>
      </c>
      <c r="EW154" s="39">
        <f>IF(N('Dvd Calendar'!$W$1534)=0,"",IF(('Dvd Calendar'!$W$1534&gt;=GRID_FROM)*('Dvd Calendar'!$W$1534&lt;=GRID_TO)*((('Dvd Calendar'!$W$1534&lt;=VAL_DATE)+(COUNTIF('Dvd Calendar'!$E$1541:$AR$1541,'Dvd Calendar'!$W$1534)=0))&gt;0)=0,"",'Dvd Calendar'!$W$1534*1000000000+ISNUMBER('Dvd Calendar'!$W$1537)*100000000+('Dvd Calendar'!$W$1539=SPECIAL_LBL)*10000000+(N('Dvd Calendar'!$W$1533)&gt;0)*(N('Dvd Calendar'!$W$1533)&lt;=VAL_SERIAL)*1000000+39*1000+19))</f>
        <v/>
      </c>
      <c r="EX154" s="39">
        <f>IF(N('Dvd Calendar'!$X$1534)=0,"",IF(('Dvd Calendar'!$X$1534&gt;=GRID_FROM)*('Dvd Calendar'!$X$1534&lt;=GRID_TO)*((('Dvd Calendar'!$X$1534&lt;=VAL_DATE)+(COUNTIF('Dvd Calendar'!$E$1541:$AR$1541,'Dvd Calendar'!$X$1534)=0))&gt;0)=0,"",'Dvd Calendar'!$X$1534*1000000000+ISNUMBER('Dvd Calendar'!$X$1537)*100000000+('Dvd Calendar'!$X$1539=SPECIAL_LBL)*10000000+(N('Dvd Calendar'!$X$1533)&gt;0)*(N('Dvd Calendar'!$X$1533)&lt;=VAL_SERIAL)*1000000+39*1000+20))</f>
        <v/>
      </c>
      <c r="EY154" s="39">
        <f>IF(N('Dvd Calendar'!$Y$1534)=0,"",IF(('Dvd Calendar'!$Y$1534&gt;=GRID_FROM)*('Dvd Calendar'!$Y$1534&lt;=GRID_TO)*((('Dvd Calendar'!$Y$1534&lt;=VAL_DATE)+(COUNTIF('Dvd Calendar'!$E$1541:$AR$1541,'Dvd Calendar'!$Y$1534)=0))&gt;0)=0,"",'Dvd Calendar'!$Y$1534*1000000000+ISNUMBER('Dvd Calendar'!$Y$1537)*100000000+('Dvd Calendar'!$Y$1539=SPECIAL_LBL)*10000000+(N('Dvd Calendar'!$Y$1533)&gt;0)*(N('Dvd Calendar'!$Y$1533)&lt;=VAL_SERIAL)*1000000+39*1000+21))</f>
        <v/>
      </c>
      <c r="EZ154" s="39">
        <f>IF(N('Dvd Calendar'!$Z$1534)=0,"",IF(('Dvd Calendar'!$Z$1534&gt;=GRID_FROM)*('Dvd Calendar'!$Z$1534&lt;=GRID_TO)*((('Dvd Calendar'!$Z$1534&lt;=VAL_DATE)+(COUNTIF('Dvd Calendar'!$E$1541:$AR$1541,'Dvd Calendar'!$Z$1534)=0))&gt;0)=0,"",'Dvd Calendar'!$Z$1534*1000000000+ISNUMBER('Dvd Calendar'!$Z$1537)*100000000+('Dvd Calendar'!$Z$1539=SPECIAL_LBL)*10000000+(N('Dvd Calendar'!$Z$1533)&gt;0)*(N('Dvd Calendar'!$Z$1533)&lt;=VAL_SERIAL)*1000000+39*1000+22))</f>
        <v/>
      </c>
      <c r="FA154" s="39">
        <f>IF(N('Dvd Calendar'!$AA$1534)=0,"",IF(('Dvd Calendar'!$AA$1534&gt;=GRID_FROM)*('Dvd Calendar'!$AA$1534&lt;=GRID_TO)*((('Dvd Calendar'!$AA$1534&lt;=VAL_DATE)+(COUNTIF('Dvd Calendar'!$E$1541:$AR$1541,'Dvd Calendar'!$AA$1534)=0))&gt;0)=0,"",'Dvd Calendar'!$AA$1534*1000000000+ISNUMBER('Dvd Calendar'!$AA$1537)*100000000+('Dvd Calendar'!$AA$1539=SPECIAL_LBL)*10000000+(N('Dvd Calendar'!$AA$1533)&gt;0)*(N('Dvd Calendar'!$AA$1533)&lt;=VAL_SERIAL)*1000000+39*1000+23))</f>
        <v/>
      </c>
      <c r="FB154" s="39">
        <f>IF(N('Dvd Calendar'!$AB$1534)=0,"",IF(('Dvd Calendar'!$AB$1534&gt;=GRID_FROM)*('Dvd Calendar'!$AB$1534&lt;=GRID_TO)*((('Dvd Calendar'!$AB$1534&lt;=VAL_DATE)+(COUNTIF('Dvd Calendar'!$E$1541:$AR$1541,'Dvd Calendar'!$AB$1534)=0))&gt;0)=0,"",'Dvd Calendar'!$AB$1534*1000000000+ISNUMBER('Dvd Calendar'!$AB$1537)*100000000+('Dvd Calendar'!$AB$1539=SPECIAL_LBL)*10000000+(N('Dvd Calendar'!$AB$1533)&gt;0)*(N('Dvd Calendar'!$AB$1533)&lt;=VAL_SERIAL)*1000000+39*1000+24))</f>
        <v/>
      </c>
      <c r="FC154" s="39">
        <f>IF(N('Dvd Calendar'!$AC$1534)=0,"",IF(('Dvd Calendar'!$AC$1534&gt;=GRID_FROM)*('Dvd Calendar'!$AC$1534&lt;=GRID_TO)*((('Dvd Calendar'!$AC$1534&lt;=VAL_DATE)+(COUNTIF('Dvd Calendar'!$E$1541:$AR$1541,'Dvd Calendar'!$AC$1534)=0))&gt;0)=0,"",'Dvd Calendar'!$AC$1534*1000000000+ISNUMBER('Dvd Calendar'!$AC$1537)*100000000+('Dvd Calendar'!$AC$1539=SPECIAL_LBL)*10000000+(N('Dvd Calendar'!$AC$1533)&gt;0)*(N('Dvd Calendar'!$AC$1533)&lt;=VAL_SERIAL)*1000000+39*1000+25))</f>
        <v/>
      </c>
      <c r="FD154" s="39">
        <f>IF(N('Dvd Calendar'!$AD$1534)=0,"",IF(('Dvd Calendar'!$AD$1534&gt;=GRID_FROM)*('Dvd Calendar'!$AD$1534&lt;=GRID_TO)*((('Dvd Calendar'!$AD$1534&lt;=VAL_DATE)+(COUNTIF('Dvd Calendar'!$E$1541:$AR$1541,'Dvd Calendar'!$AD$1534)=0))&gt;0)=0,"",'Dvd Calendar'!$AD$1534*1000000000+ISNUMBER('Dvd Calendar'!$AD$1537)*100000000+('Dvd Calendar'!$AD$1539=SPECIAL_LBL)*10000000+(N('Dvd Calendar'!$AD$1533)&gt;0)*(N('Dvd Calendar'!$AD$1533)&lt;=VAL_SERIAL)*1000000+39*1000+26))</f>
        <v/>
      </c>
      <c r="FE154" s="39">
        <f>IF(N('Dvd Calendar'!$AE$1534)=0,"",IF(('Dvd Calendar'!$AE$1534&gt;=GRID_FROM)*('Dvd Calendar'!$AE$1534&lt;=GRID_TO)*((('Dvd Calendar'!$AE$1534&lt;=VAL_DATE)+(COUNTIF('Dvd Calendar'!$E$1541:$AR$1541,'Dvd Calendar'!$AE$1534)=0))&gt;0)=0,"",'Dvd Calendar'!$AE$1534*1000000000+ISNUMBER('Dvd Calendar'!$AE$1537)*100000000+('Dvd Calendar'!$AE$1539=SPECIAL_LBL)*10000000+(N('Dvd Calendar'!$AE$1533)&gt;0)*(N('Dvd Calendar'!$AE$1533)&lt;=VAL_SERIAL)*1000000+39*1000+27))</f>
        <v/>
      </c>
      <c r="FF154" s="39">
        <f>IF(N('Dvd Calendar'!$AF$1534)=0,"",IF(('Dvd Calendar'!$AF$1534&gt;=GRID_FROM)*('Dvd Calendar'!$AF$1534&lt;=GRID_TO)*((('Dvd Calendar'!$AF$1534&lt;=VAL_DATE)+(COUNTIF('Dvd Calendar'!$E$1541:$AR$1541,'Dvd Calendar'!$AF$1534)=0))&gt;0)=0,"",'Dvd Calendar'!$AF$1534*1000000000+ISNUMBER('Dvd Calendar'!$AF$1537)*100000000+('Dvd Calendar'!$AF$1539=SPECIAL_LBL)*10000000+(N('Dvd Calendar'!$AF$1533)&gt;0)*(N('Dvd Calendar'!$AF$1533)&lt;=VAL_SERIAL)*1000000+39*1000+28))</f>
        <v/>
      </c>
      <c r="FG154" s="39">
        <f>IF(N('Dvd Calendar'!$AG$1534)=0,"",IF(('Dvd Calendar'!$AG$1534&gt;=GRID_FROM)*('Dvd Calendar'!$AG$1534&lt;=GRID_TO)*((('Dvd Calendar'!$AG$1534&lt;=VAL_DATE)+(COUNTIF('Dvd Calendar'!$E$1541:$AR$1541,'Dvd Calendar'!$AG$1534)=0))&gt;0)=0,"",'Dvd Calendar'!$AG$1534*1000000000+ISNUMBER('Dvd Calendar'!$AG$1537)*100000000+('Dvd Calendar'!$AG$1539=SPECIAL_LBL)*10000000+(N('Dvd Calendar'!$AG$1533)&gt;0)*(N('Dvd Calendar'!$AG$1533)&lt;=VAL_SERIAL)*1000000+39*1000+29))</f>
        <v/>
      </c>
      <c r="FH154" s="39">
        <f>IF(N('Dvd Calendar'!$AH$1534)=0,"",IF(('Dvd Calendar'!$AH$1534&gt;=GRID_FROM)*('Dvd Calendar'!$AH$1534&lt;=GRID_TO)*((('Dvd Calendar'!$AH$1534&lt;=VAL_DATE)+(COUNTIF('Dvd Calendar'!$E$1541:$AR$1541,'Dvd Calendar'!$AH$1534)=0))&gt;0)=0,"",'Dvd Calendar'!$AH$1534*1000000000+ISNUMBER('Dvd Calendar'!$AH$1537)*100000000+('Dvd Calendar'!$AH$1539=SPECIAL_LBL)*10000000+(N('Dvd Calendar'!$AH$1533)&gt;0)*(N('Dvd Calendar'!$AH$1533)&lt;=VAL_SERIAL)*1000000+39*1000+30))</f>
        <v/>
      </c>
      <c r="FI154" s="39">
        <f>IF(N('Dvd Calendar'!$AI$1534)=0,"",IF(('Dvd Calendar'!$AI$1534&gt;=GRID_FROM)*('Dvd Calendar'!$AI$1534&lt;=GRID_TO)*((('Dvd Calendar'!$AI$1534&lt;=VAL_DATE)+(COUNTIF('Dvd Calendar'!$E$1541:$AR$1541,'Dvd Calendar'!$AI$1534)=0))&gt;0)=0,"",'Dvd Calendar'!$AI$1534*1000000000+ISNUMBER('Dvd Calendar'!$AI$1537)*100000000+('Dvd Calendar'!$AI$1539=SPECIAL_LBL)*10000000+(N('Dvd Calendar'!$AI$1533)&gt;0)*(N('Dvd Calendar'!$AI$1533)&lt;=VAL_SERIAL)*1000000+39*1000+31))</f>
        <v/>
      </c>
      <c r="FJ154" s="39">
        <f>IF(N('Dvd Calendar'!$AJ$1534)=0,"",IF(('Dvd Calendar'!$AJ$1534&gt;=GRID_FROM)*('Dvd Calendar'!$AJ$1534&lt;=GRID_TO)*((('Dvd Calendar'!$AJ$1534&lt;=VAL_DATE)+(COUNTIF('Dvd Calendar'!$E$1541:$AR$1541,'Dvd Calendar'!$AJ$1534)=0))&gt;0)=0,"",'Dvd Calendar'!$AJ$1534*1000000000+ISNUMBER('Dvd Calendar'!$AJ$1537)*100000000+('Dvd Calendar'!$AJ$1539=SPECIAL_LBL)*10000000+(N('Dvd Calendar'!$AJ$1533)&gt;0)*(N('Dvd Calendar'!$AJ$1533)&lt;=VAL_SERIAL)*1000000+39*1000+32))</f>
        <v/>
      </c>
      <c r="FK154" s="39">
        <f>IF(N('Dvd Calendar'!$AK$1534)=0,"",IF(('Dvd Calendar'!$AK$1534&gt;=GRID_FROM)*('Dvd Calendar'!$AK$1534&lt;=GRID_TO)*((('Dvd Calendar'!$AK$1534&lt;=VAL_DATE)+(COUNTIF('Dvd Calendar'!$E$1541:$AR$1541,'Dvd Calendar'!$AK$1534)=0))&gt;0)=0,"",'Dvd Calendar'!$AK$1534*1000000000+ISNUMBER('Dvd Calendar'!$AK$1537)*100000000+('Dvd Calendar'!$AK$1539=SPECIAL_LBL)*10000000+(N('Dvd Calendar'!$AK$1533)&gt;0)*(N('Dvd Calendar'!$AK$1533)&lt;=VAL_SERIAL)*1000000+39*1000+33))</f>
        <v/>
      </c>
      <c r="FL154" s="39">
        <f>IF(N('Dvd Calendar'!$AL$1534)=0,"",IF(('Dvd Calendar'!$AL$1534&gt;=GRID_FROM)*('Dvd Calendar'!$AL$1534&lt;=GRID_TO)*((('Dvd Calendar'!$AL$1534&lt;=VAL_DATE)+(COUNTIF('Dvd Calendar'!$E$1541:$AR$1541,'Dvd Calendar'!$AL$1534)=0))&gt;0)=0,"",'Dvd Calendar'!$AL$1534*1000000000+ISNUMBER('Dvd Calendar'!$AL$1537)*100000000+('Dvd Calendar'!$AL$1539=SPECIAL_LBL)*10000000+(N('Dvd Calendar'!$AL$1533)&gt;0)*(N('Dvd Calendar'!$AL$1533)&lt;=VAL_SERIAL)*1000000+39*1000+34))</f>
        <v/>
      </c>
      <c r="FM154" s="39">
        <f>IF(N('Dvd Calendar'!$AM$1534)=0,"",IF(('Dvd Calendar'!$AM$1534&gt;=GRID_FROM)*('Dvd Calendar'!$AM$1534&lt;=GRID_TO)*((('Dvd Calendar'!$AM$1534&lt;=VAL_DATE)+(COUNTIF('Dvd Calendar'!$E$1541:$AR$1541,'Dvd Calendar'!$AM$1534)=0))&gt;0)=0,"",'Dvd Calendar'!$AM$1534*1000000000+ISNUMBER('Dvd Calendar'!$AM$1537)*100000000+('Dvd Calendar'!$AM$1539=SPECIAL_LBL)*10000000+(N('Dvd Calendar'!$AM$1533)&gt;0)*(N('Dvd Calendar'!$AM$1533)&lt;=VAL_SERIAL)*1000000+39*1000+35))</f>
        <v/>
      </c>
      <c r="FN154" s="39">
        <f>IF(N('Dvd Calendar'!$AN$1534)=0,"",IF(('Dvd Calendar'!$AN$1534&gt;=GRID_FROM)*('Dvd Calendar'!$AN$1534&lt;=GRID_TO)*((('Dvd Calendar'!$AN$1534&lt;=VAL_DATE)+(COUNTIF('Dvd Calendar'!$E$1541:$AR$1541,'Dvd Calendar'!$AN$1534)=0))&gt;0)=0,"",'Dvd Calendar'!$AN$1534*1000000000+ISNUMBER('Dvd Calendar'!$AN$1537)*100000000+('Dvd Calendar'!$AN$1539=SPECIAL_LBL)*10000000+(N('Dvd Calendar'!$AN$1533)&gt;0)*(N('Dvd Calendar'!$AN$1533)&lt;=VAL_SERIAL)*1000000+39*1000+36))</f>
        <v/>
      </c>
      <c r="FO154" s="39">
        <f>IF(N('Dvd Calendar'!$AO$1534)=0,"",IF(('Dvd Calendar'!$AO$1534&gt;=GRID_FROM)*('Dvd Calendar'!$AO$1534&lt;=GRID_TO)*((('Dvd Calendar'!$AO$1534&lt;=VAL_DATE)+(COUNTIF('Dvd Calendar'!$E$1541:$AR$1541,'Dvd Calendar'!$AO$1534)=0))&gt;0)=0,"",'Dvd Calendar'!$AO$1534*1000000000+ISNUMBER('Dvd Calendar'!$AO$1537)*100000000+('Dvd Calendar'!$AO$1539=SPECIAL_LBL)*10000000+(N('Dvd Calendar'!$AO$1533)&gt;0)*(N('Dvd Calendar'!$AO$1533)&lt;=VAL_SERIAL)*1000000+39*1000+37))</f>
        <v/>
      </c>
      <c r="FP154" s="39">
        <f>IF(N('Dvd Calendar'!$AP$1534)=0,"",IF(('Dvd Calendar'!$AP$1534&gt;=GRID_FROM)*('Dvd Calendar'!$AP$1534&lt;=GRID_TO)*((('Dvd Calendar'!$AP$1534&lt;=VAL_DATE)+(COUNTIF('Dvd Calendar'!$E$1541:$AR$1541,'Dvd Calendar'!$AP$1534)=0))&gt;0)=0,"",'Dvd Calendar'!$AP$1534*1000000000+ISNUMBER('Dvd Calendar'!$AP$1537)*100000000+('Dvd Calendar'!$AP$1539=SPECIAL_LBL)*10000000+(N('Dvd Calendar'!$AP$1533)&gt;0)*(N('Dvd Calendar'!$AP$1533)&lt;=VAL_SERIAL)*1000000+39*1000+38))</f>
        <v/>
      </c>
      <c r="FQ154" s="39">
        <f>IF(N('Dvd Calendar'!$AQ$1534)=0,"",IF(('Dvd Calendar'!$AQ$1534&gt;=GRID_FROM)*('Dvd Calendar'!$AQ$1534&lt;=GRID_TO)*((('Dvd Calendar'!$AQ$1534&lt;=VAL_DATE)+(COUNTIF('Dvd Calendar'!$E$1541:$AR$1541,'Dvd Calendar'!$AQ$1534)=0))&gt;0)=0,"",'Dvd Calendar'!$AQ$1534*1000000000+ISNUMBER('Dvd Calendar'!$AQ$1537)*100000000+('Dvd Calendar'!$AQ$1539=SPECIAL_LBL)*10000000+(N('Dvd Calendar'!$AQ$1533)&gt;0)*(N('Dvd Calendar'!$AQ$1533)&lt;=VAL_SERIAL)*1000000+39*1000+39))</f>
        <v/>
      </c>
      <c r="FR154" s="39">
        <f>IF(N('Dvd Calendar'!$AR$1534)=0,"",IF(('Dvd Calendar'!$AR$1534&gt;=GRID_FROM)*('Dvd Calendar'!$AR$1534&lt;=GRID_TO)*((('Dvd Calendar'!$AR$1534&lt;=VAL_DATE)+(COUNTIF('Dvd Calendar'!$E$1541:$AR$1541,'Dvd Calendar'!$AR$1534)=0))&gt;0)=0,"",'Dvd Calendar'!$AR$1534*1000000000+ISNUMBER('Dvd Calendar'!$AR$1537)*100000000+('Dvd Calendar'!$AR$1539=SPECIAL_LBL)*10000000+(N('Dvd Calendar'!$AR$1533)&gt;0)*(N('Dvd Calendar'!$AR$1533)&lt;=VAL_SERIAL)*1000000+39*1000+40))</f>
        <v/>
      </c>
      <c r="FS154" s="39">
        <f>IF(N('Dvd Calendar'!$E$1541)=0,"",IF(('Dvd Calendar'!$E$1541&gt;=GRID_FROM)*('Dvd Calendar'!$E$1541&lt;=GRID_TO)*('Dvd Calendar'!$E$1541&gt;VAL_DATE)=0,"",'Dvd Calendar'!$E$1541*1000000000+ISNUMBER('Dvd Calendar'!$E$1542)*100000000+0*10000000+(N('Dvd Calendar'!$E$1540)&gt;0)*(N('Dvd Calendar'!$E$1540)&lt;=VAL_SERIAL)*1000000+39*1000+41))</f>
        <v/>
      </c>
      <c r="FT154" s="39">
        <f>IF(N('Dvd Calendar'!$F$1541)=0,"",IF(('Dvd Calendar'!$F$1541&gt;=GRID_FROM)*('Dvd Calendar'!$F$1541&lt;=GRID_TO)*('Dvd Calendar'!$F$1541&gt;VAL_DATE)=0,"",'Dvd Calendar'!$F$1541*1000000000+ISNUMBER('Dvd Calendar'!$F$1542)*100000000+0*10000000+(N('Dvd Calendar'!$F$1540)&gt;0)*(N('Dvd Calendar'!$F$1540)&lt;=VAL_SERIAL)*1000000+39*1000+42))</f>
        <v/>
      </c>
      <c r="FU154" s="39">
        <f>IF(N('Dvd Calendar'!$G$1541)=0,"",IF(('Dvd Calendar'!$G$1541&gt;=GRID_FROM)*('Dvd Calendar'!$G$1541&lt;=GRID_TO)*('Dvd Calendar'!$G$1541&gt;VAL_DATE)=0,"",'Dvd Calendar'!$G$1541*1000000000+ISNUMBER('Dvd Calendar'!$G$1542)*100000000+0*10000000+(N('Dvd Calendar'!$G$1540)&gt;0)*(N('Dvd Calendar'!$G$1540)&lt;=VAL_SERIAL)*1000000+39*1000+43))</f>
        <v/>
      </c>
      <c r="FV154" s="39">
        <f>IF(N('Dvd Calendar'!$H$1541)=0,"",IF(('Dvd Calendar'!$H$1541&gt;=GRID_FROM)*('Dvd Calendar'!$H$1541&lt;=GRID_TO)*('Dvd Calendar'!$H$1541&gt;VAL_DATE)=0,"",'Dvd Calendar'!$H$1541*1000000000+ISNUMBER('Dvd Calendar'!$H$1542)*100000000+0*10000000+(N('Dvd Calendar'!$H$1540)&gt;0)*(N('Dvd Calendar'!$H$1540)&lt;=VAL_SERIAL)*1000000+39*1000+44))</f>
        <v/>
      </c>
      <c r="FW154" s="39">
        <f>IF(N('Dvd Calendar'!$I$1541)=0,"",IF(('Dvd Calendar'!$I$1541&gt;=GRID_FROM)*('Dvd Calendar'!$I$1541&lt;=GRID_TO)*('Dvd Calendar'!$I$1541&gt;VAL_DATE)=0,"",'Dvd Calendar'!$I$1541*1000000000+ISNUMBER('Dvd Calendar'!$I$1542)*100000000+0*10000000+(N('Dvd Calendar'!$I$1540)&gt;0)*(N('Dvd Calendar'!$I$1540)&lt;=VAL_SERIAL)*1000000+39*1000+45))</f>
        <v/>
      </c>
      <c r="FX154" s="39">
        <f>IF(N('Dvd Calendar'!$J$1541)=0,"",IF(('Dvd Calendar'!$J$1541&gt;=GRID_FROM)*('Dvd Calendar'!$J$1541&lt;=GRID_TO)*('Dvd Calendar'!$J$1541&gt;VAL_DATE)=0,"",'Dvd Calendar'!$J$1541*1000000000+ISNUMBER('Dvd Calendar'!$J$1542)*100000000+0*10000000+(N('Dvd Calendar'!$J$1540)&gt;0)*(N('Dvd Calendar'!$J$1540)&lt;=VAL_SERIAL)*1000000+39*1000+46))</f>
        <v/>
      </c>
      <c r="FY154" s="39">
        <f>IF(N('Dvd Calendar'!$K$1541)=0,"",IF(('Dvd Calendar'!$K$1541&gt;=GRID_FROM)*('Dvd Calendar'!$K$1541&lt;=GRID_TO)*('Dvd Calendar'!$K$1541&gt;VAL_DATE)=0,"",'Dvd Calendar'!$K$1541*1000000000+ISNUMBER('Dvd Calendar'!$K$1542)*100000000+0*10000000+(N('Dvd Calendar'!$K$1540)&gt;0)*(N('Dvd Calendar'!$K$1540)&lt;=VAL_SERIAL)*1000000+39*1000+47))</f>
        <v/>
      </c>
      <c r="FZ154" s="39">
        <f>IF(N('Dvd Calendar'!$L$1541)=0,"",IF(('Dvd Calendar'!$L$1541&gt;=GRID_FROM)*('Dvd Calendar'!$L$1541&lt;=GRID_TO)*('Dvd Calendar'!$L$1541&gt;VAL_DATE)=0,"",'Dvd Calendar'!$L$1541*1000000000+ISNUMBER('Dvd Calendar'!$L$1542)*100000000+0*10000000+(N('Dvd Calendar'!$L$1540)&gt;0)*(N('Dvd Calendar'!$L$1540)&lt;=VAL_SERIAL)*1000000+39*1000+48))</f>
        <v/>
      </c>
      <c r="GA154" s="39">
        <f>IF(N('Dvd Calendar'!$M$1541)=0,"",IF(('Dvd Calendar'!$M$1541&gt;=GRID_FROM)*('Dvd Calendar'!$M$1541&lt;=GRID_TO)*('Dvd Calendar'!$M$1541&gt;VAL_DATE)=0,"",'Dvd Calendar'!$M$1541*1000000000+ISNUMBER('Dvd Calendar'!$M$1542)*100000000+0*10000000+(N('Dvd Calendar'!$M$1540)&gt;0)*(N('Dvd Calendar'!$M$1540)&lt;=VAL_SERIAL)*1000000+39*1000+49))</f>
        <v/>
      </c>
      <c r="GB154" s="39">
        <f>IF(N('Dvd Calendar'!$N$1541)=0,"",IF(('Dvd Calendar'!$N$1541&gt;=GRID_FROM)*('Dvd Calendar'!$N$1541&lt;=GRID_TO)*('Dvd Calendar'!$N$1541&gt;VAL_DATE)=0,"",'Dvd Calendar'!$N$1541*1000000000+ISNUMBER('Dvd Calendar'!$N$1542)*100000000+0*10000000+(N('Dvd Calendar'!$N$1540)&gt;0)*(N('Dvd Calendar'!$N$1540)&lt;=VAL_SERIAL)*1000000+39*1000+50))</f>
        <v/>
      </c>
      <c r="GC154" s="39">
        <f>IF(N('Dvd Calendar'!$O$1541)=0,"",IF(('Dvd Calendar'!$O$1541&gt;=GRID_FROM)*('Dvd Calendar'!$O$1541&lt;=GRID_TO)*('Dvd Calendar'!$O$1541&gt;VAL_DATE)=0,"",'Dvd Calendar'!$O$1541*1000000000+ISNUMBER('Dvd Calendar'!$O$1542)*100000000+0*10000000+(N('Dvd Calendar'!$O$1540)&gt;0)*(N('Dvd Calendar'!$O$1540)&lt;=VAL_SERIAL)*1000000+39*1000+51))</f>
        <v/>
      </c>
      <c r="GD154" s="39">
        <f>IF(N('Dvd Calendar'!$P$1541)=0,"",IF(('Dvd Calendar'!$P$1541&gt;=GRID_FROM)*('Dvd Calendar'!$P$1541&lt;=GRID_TO)*('Dvd Calendar'!$P$1541&gt;VAL_DATE)=0,"",'Dvd Calendar'!$P$1541*1000000000+ISNUMBER('Dvd Calendar'!$P$1542)*100000000+0*10000000+(N('Dvd Calendar'!$P$1540)&gt;0)*(N('Dvd Calendar'!$P$1540)&lt;=VAL_SERIAL)*1000000+39*1000+52))</f>
        <v/>
      </c>
      <c r="GE154" s="39">
        <f>IF(N('Dvd Calendar'!$Q$1541)=0,"",IF(('Dvd Calendar'!$Q$1541&gt;=GRID_FROM)*('Dvd Calendar'!$Q$1541&lt;=GRID_TO)*('Dvd Calendar'!$Q$1541&gt;VAL_DATE)=0,"",'Dvd Calendar'!$Q$1541*1000000000+ISNUMBER('Dvd Calendar'!$Q$1542)*100000000+0*10000000+(N('Dvd Calendar'!$Q$1540)&gt;0)*(N('Dvd Calendar'!$Q$1540)&lt;=VAL_SERIAL)*1000000+39*1000+53))</f>
        <v/>
      </c>
      <c r="GF154" s="39">
        <f>IF(N('Dvd Calendar'!$R$1541)=0,"",IF(('Dvd Calendar'!$R$1541&gt;=GRID_FROM)*('Dvd Calendar'!$R$1541&lt;=GRID_TO)*('Dvd Calendar'!$R$1541&gt;VAL_DATE)=0,"",'Dvd Calendar'!$R$1541*1000000000+ISNUMBER('Dvd Calendar'!$R$1542)*100000000+0*10000000+(N('Dvd Calendar'!$R$1540)&gt;0)*(N('Dvd Calendar'!$R$1540)&lt;=VAL_SERIAL)*1000000+39*1000+54))</f>
        <v/>
      </c>
      <c r="GG154" s="39">
        <f>IF(N('Dvd Calendar'!$S$1541)=0,"",IF(('Dvd Calendar'!$S$1541&gt;=GRID_FROM)*('Dvd Calendar'!$S$1541&lt;=GRID_TO)*('Dvd Calendar'!$S$1541&gt;VAL_DATE)=0,"",'Dvd Calendar'!$S$1541*1000000000+ISNUMBER('Dvd Calendar'!$S$1542)*100000000+0*10000000+(N('Dvd Calendar'!$S$1540)&gt;0)*(N('Dvd Calendar'!$S$1540)&lt;=VAL_SERIAL)*1000000+39*1000+55))</f>
        <v/>
      </c>
      <c r="GH154" s="39">
        <f>IF(N('Dvd Calendar'!$T$1541)=0,"",IF(('Dvd Calendar'!$T$1541&gt;=GRID_FROM)*('Dvd Calendar'!$T$1541&lt;=GRID_TO)*('Dvd Calendar'!$T$1541&gt;VAL_DATE)=0,"",'Dvd Calendar'!$T$1541*1000000000+ISNUMBER('Dvd Calendar'!$T$1542)*100000000+0*10000000+(N('Dvd Calendar'!$T$1540)&gt;0)*(N('Dvd Calendar'!$T$1540)&lt;=VAL_SERIAL)*1000000+39*1000+56))</f>
        <v/>
      </c>
      <c r="GI154" s="39">
        <f>IF(N('Dvd Calendar'!$U$1541)=0,"",IF(('Dvd Calendar'!$U$1541&gt;=GRID_FROM)*('Dvd Calendar'!$U$1541&lt;=GRID_TO)*('Dvd Calendar'!$U$1541&gt;VAL_DATE)=0,"",'Dvd Calendar'!$U$1541*1000000000+ISNUMBER('Dvd Calendar'!$U$1542)*100000000+0*10000000+(N('Dvd Calendar'!$U$1540)&gt;0)*(N('Dvd Calendar'!$U$1540)&lt;=VAL_SERIAL)*1000000+39*1000+57))</f>
        <v/>
      </c>
      <c r="GJ154" s="39">
        <f>IF(N('Dvd Calendar'!$V$1541)=0,"",IF(('Dvd Calendar'!$V$1541&gt;=GRID_FROM)*('Dvd Calendar'!$V$1541&lt;=GRID_TO)*('Dvd Calendar'!$V$1541&gt;VAL_DATE)=0,"",'Dvd Calendar'!$V$1541*1000000000+ISNUMBER('Dvd Calendar'!$V$1542)*100000000+0*10000000+(N('Dvd Calendar'!$V$1540)&gt;0)*(N('Dvd Calendar'!$V$1540)&lt;=VAL_SERIAL)*1000000+39*1000+58))</f>
        <v/>
      </c>
      <c r="GK154" s="39">
        <f>IF(N('Dvd Calendar'!$W$1541)=0,"",IF(('Dvd Calendar'!$W$1541&gt;=GRID_FROM)*('Dvd Calendar'!$W$1541&lt;=GRID_TO)*('Dvd Calendar'!$W$1541&gt;VAL_DATE)=0,"",'Dvd Calendar'!$W$1541*1000000000+ISNUMBER('Dvd Calendar'!$W$1542)*100000000+0*10000000+(N('Dvd Calendar'!$W$1540)&gt;0)*(N('Dvd Calendar'!$W$1540)&lt;=VAL_SERIAL)*1000000+39*1000+59))</f>
        <v/>
      </c>
      <c r="GL154" s="39">
        <f>IF(N('Dvd Calendar'!$X$1541)=0,"",IF(('Dvd Calendar'!$X$1541&gt;=GRID_FROM)*('Dvd Calendar'!$X$1541&lt;=GRID_TO)*('Dvd Calendar'!$X$1541&gt;VAL_DATE)=0,"",'Dvd Calendar'!$X$1541*1000000000+ISNUMBER('Dvd Calendar'!$X$1542)*100000000+0*10000000+(N('Dvd Calendar'!$X$1540)&gt;0)*(N('Dvd Calendar'!$X$1540)&lt;=VAL_SERIAL)*1000000+39*1000+60))</f>
        <v/>
      </c>
      <c r="GM154" s="39">
        <f>IF(N('Dvd Calendar'!$Y$1541)=0,"",IF(('Dvd Calendar'!$Y$1541&gt;=GRID_FROM)*('Dvd Calendar'!$Y$1541&lt;=GRID_TO)*('Dvd Calendar'!$Y$1541&gt;VAL_DATE)=0,"",'Dvd Calendar'!$Y$1541*1000000000+ISNUMBER('Dvd Calendar'!$Y$1542)*100000000+0*10000000+(N('Dvd Calendar'!$Y$1540)&gt;0)*(N('Dvd Calendar'!$Y$1540)&lt;=VAL_SERIAL)*1000000+39*1000+61))</f>
        <v/>
      </c>
      <c r="GN154" s="39">
        <f>IF(N('Dvd Calendar'!$Z$1541)=0,"",IF(('Dvd Calendar'!$Z$1541&gt;=GRID_FROM)*('Dvd Calendar'!$Z$1541&lt;=GRID_TO)*('Dvd Calendar'!$Z$1541&gt;VAL_DATE)=0,"",'Dvd Calendar'!$Z$1541*1000000000+ISNUMBER('Dvd Calendar'!$Z$1542)*100000000+0*10000000+(N('Dvd Calendar'!$Z$1540)&gt;0)*(N('Dvd Calendar'!$Z$1540)&lt;=VAL_SERIAL)*1000000+39*1000+62))</f>
        <v/>
      </c>
      <c r="GO154" s="39">
        <f>IF(N('Dvd Calendar'!$AA$1541)=0,"",IF(('Dvd Calendar'!$AA$1541&gt;=GRID_FROM)*('Dvd Calendar'!$AA$1541&lt;=GRID_TO)*('Dvd Calendar'!$AA$1541&gt;VAL_DATE)=0,"",'Dvd Calendar'!$AA$1541*1000000000+ISNUMBER('Dvd Calendar'!$AA$1542)*100000000+0*10000000+(N('Dvd Calendar'!$AA$1540)&gt;0)*(N('Dvd Calendar'!$AA$1540)&lt;=VAL_SERIAL)*1000000+39*1000+63))</f>
        <v/>
      </c>
      <c r="GP154" s="39">
        <f>IF(N('Dvd Calendar'!$AB$1541)=0,"",IF(('Dvd Calendar'!$AB$1541&gt;=GRID_FROM)*('Dvd Calendar'!$AB$1541&lt;=GRID_TO)*('Dvd Calendar'!$AB$1541&gt;VAL_DATE)=0,"",'Dvd Calendar'!$AB$1541*1000000000+ISNUMBER('Dvd Calendar'!$AB$1542)*100000000+0*10000000+(N('Dvd Calendar'!$AB$1540)&gt;0)*(N('Dvd Calendar'!$AB$1540)&lt;=VAL_SERIAL)*1000000+39*1000+64))</f>
        <v/>
      </c>
      <c r="GQ154" s="39">
        <f>IF(N('Dvd Calendar'!$AC$1541)=0,"",IF(('Dvd Calendar'!$AC$1541&gt;=GRID_FROM)*('Dvd Calendar'!$AC$1541&lt;=GRID_TO)*('Dvd Calendar'!$AC$1541&gt;VAL_DATE)=0,"",'Dvd Calendar'!$AC$1541*1000000000+ISNUMBER('Dvd Calendar'!$AC$1542)*100000000+0*10000000+(N('Dvd Calendar'!$AC$1540)&gt;0)*(N('Dvd Calendar'!$AC$1540)&lt;=VAL_SERIAL)*1000000+39*1000+65))</f>
        <v/>
      </c>
    </row>
    <row r="155">
      <c r="B155" s="2">
        <f>IF(HSTECH!$C$46="","",HSTECH!$C$46)</f>
        <v/>
      </c>
      <c r="C155" s="110">
        <f>IF(EE155="","",IF(ISNUMBER('Dvd Calendar'!$E$1548)=FALSE,"",IF((('Dvd Calendar'!$E$1550=TYPE1)*(TYPE1&lt;&gt;"")+('Dvd Calendar'!$E$1550=TYPE2)*(TYPE2&lt;&gt;"")+('Dvd Calendar'!$E$1550=TYPE3)*(TYPE3&lt;&gt;"")+('Dvd Calendar'!$E$1550=TYPE4)*(TYPE4&lt;&gt;"")+('Dvd Calendar'!$E$1550=SPECIAL_LBL)*(INC_SPECIALS="Y"))=0,"",'Dvd Calendar'!$E$1548)))</f>
        <v/>
      </c>
      <c r="D155" s="110">
        <f>IF(EF155="","",IF(ISNUMBER('Dvd Calendar'!$F$1548)=FALSE,"",IF((('Dvd Calendar'!$F$1550=TYPE1)*(TYPE1&lt;&gt;"")+('Dvd Calendar'!$F$1550=TYPE2)*(TYPE2&lt;&gt;"")+('Dvd Calendar'!$F$1550=TYPE3)*(TYPE3&lt;&gt;"")+('Dvd Calendar'!$F$1550=TYPE4)*(TYPE4&lt;&gt;"")+('Dvd Calendar'!$F$1550=SPECIAL_LBL)*(INC_SPECIALS="Y"))=0,"",'Dvd Calendar'!$F$1548)))</f>
        <v/>
      </c>
      <c r="E155" s="110">
        <f>IF(EG155="","",IF(ISNUMBER('Dvd Calendar'!$G$1548)=FALSE,"",IF((('Dvd Calendar'!$G$1550=TYPE1)*(TYPE1&lt;&gt;"")+('Dvd Calendar'!$G$1550=TYPE2)*(TYPE2&lt;&gt;"")+('Dvd Calendar'!$G$1550=TYPE3)*(TYPE3&lt;&gt;"")+('Dvd Calendar'!$G$1550=TYPE4)*(TYPE4&lt;&gt;"")+('Dvd Calendar'!$G$1550=SPECIAL_LBL)*(INC_SPECIALS="Y"))=0,"",'Dvd Calendar'!$G$1548)))</f>
        <v/>
      </c>
      <c r="F155" s="110">
        <f>IF(EH155="","",IF(ISNUMBER('Dvd Calendar'!$H$1548)=FALSE,"",IF((('Dvd Calendar'!$H$1550=TYPE1)*(TYPE1&lt;&gt;"")+('Dvd Calendar'!$H$1550=TYPE2)*(TYPE2&lt;&gt;"")+('Dvd Calendar'!$H$1550=TYPE3)*(TYPE3&lt;&gt;"")+('Dvd Calendar'!$H$1550=TYPE4)*(TYPE4&lt;&gt;"")+('Dvd Calendar'!$H$1550=SPECIAL_LBL)*(INC_SPECIALS="Y"))=0,"",'Dvd Calendar'!$H$1548)))</f>
        <v/>
      </c>
      <c r="G155" s="110">
        <f>IF(EI155="","",IF(ISNUMBER('Dvd Calendar'!$I$1548)=FALSE,"",IF((('Dvd Calendar'!$I$1550=TYPE1)*(TYPE1&lt;&gt;"")+('Dvd Calendar'!$I$1550=TYPE2)*(TYPE2&lt;&gt;"")+('Dvd Calendar'!$I$1550=TYPE3)*(TYPE3&lt;&gt;"")+('Dvd Calendar'!$I$1550=TYPE4)*(TYPE4&lt;&gt;"")+('Dvd Calendar'!$I$1550=SPECIAL_LBL)*(INC_SPECIALS="Y"))=0,"",'Dvd Calendar'!$I$1548)))</f>
        <v/>
      </c>
      <c r="H155" s="110">
        <f>IF(EJ155="","",IF(ISNUMBER('Dvd Calendar'!$J$1548)=FALSE,"",IF((('Dvd Calendar'!$J$1550=TYPE1)*(TYPE1&lt;&gt;"")+('Dvd Calendar'!$J$1550=TYPE2)*(TYPE2&lt;&gt;"")+('Dvd Calendar'!$J$1550=TYPE3)*(TYPE3&lt;&gt;"")+('Dvd Calendar'!$J$1550=TYPE4)*(TYPE4&lt;&gt;"")+('Dvd Calendar'!$J$1550=SPECIAL_LBL)*(INC_SPECIALS="Y"))=0,"",'Dvd Calendar'!$J$1548)))</f>
        <v/>
      </c>
      <c r="I155" s="110">
        <f>IF(EK155="","",IF(ISNUMBER('Dvd Calendar'!$K$1548)=FALSE,"",IF((('Dvd Calendar'!$K$1550=TYPE1)*(TYPE1&lt;&gt;"")+('Dvd Calendar'!$K$1550=TYPE2)*(TYPE2&lt;&gt;"")+('Dvd Calendar'!$K$1550=TYPE3)*(TYPE3&lt;&gt;"")+('Dvd Calendar'!$K$1550=TYPE4)*(TYPE4&lt;&gt;"")+('Dvd Calendar'!$K$1550=SPECIAL_LBL)*(INC_SPECIALS="Y"))=0,"",'Dvd Calendar'!$K$1548)))</f>
        <v/>
      </c>
      <c r="J155" s="110">
        <f>IF(EL155="","",IF(ISNUMBER('Dvd Calendar'!$L$1548)=FALSE,"",IF((('Dvd Calendar'!$L$1550=TYPE1)*(TYPE1&lt;&gt;"")+('Dvd Calendar'!$L$1550=TYPE2)*(TYPE2&lt;&gt;"")+('Dvd Calendar'!$L$1550=TYPE3)*(TYPE3&lt;&gt;"")+('Dvd Calendar'!$L$1550=TYPE4)*(TYPE4&lt;&gt;"")+('Dvd Calendar'!$L$1550=SPECIAL_LBL)*(INC_SPECIALS="Y"))=0,"",'Dvd Calendar'!$L$1548)))</f>
        <v/>
      </c>
      <c r="K155" s="110">
        <f>IF(EM155="","",IF(ISNUMBER('Dvd Calendar'!$M$1548)=FALSE,"",IF((('Dvd Calendar'!$M$1550=TYPE1)*(TYPE1&lt;&gt;"")+('Dvd Calendar'!$M$1550=TYPE2)*(TYPE2&lt;&gt;"")+('Dvd Calendar'!$M$1550=TYPE3)*(TYPE3&lt;&gt;"")+('Dvd Calendar'!$M$1550=TYPE4)*(TYPE4&lt;&gt;"")+('Dvd Calendar'!$M$1550=SPECIAL_LBL)*(INC_SPECIALS="Y"))=0,"",'Dvd Calendar'!$M$1548)))</f>
        <v/>
      </c>
      <c r="L155" s="110">
        <f>IF(EN155="","",IF(ISNUMBER('Dvd Calendar'!$N$1548)=FALSE,"",IF((('Dvd Calendar'!$N$1550=TYPE1)*(TYPE1&lt;&gt;"")+('Dvd Calendar'!$N$1550=TYPE2)*(TYPE2&lt;&gt;"")+('Dvd Calendar'!$N$1550=TYPE3)*(TYPE3&lt;&gt;"")+('Dvd Calendar'!$N$1550=TYPE4)*(TYPE4&lt;&gt;"")+('Dvd Calendar'!$N$1550=SPECIAL_LBL)*(INC_SPECIALS="Y"))=0,"",'Dvd Calendar'!$N$1548)))</f>
        <v/>
      </c>
      <c r="M155" s="110">
        <f>IF(EO155="","",IF(ISNUMBER('Dvd Calendar'!$O$1548)=FALSE,"",IF((('Dvd Calendar'!$O$1550=TYPE1)*(TYPE1&lt;&gt;"")+('Dvd Calendar'!$O$1550=TYPE2)*(TYPE2&lt;&gt;"")+('Dvd Calendar'!$O$1550=TYPE3)*(TYPE3&lt;&gt;"")+('Dvd Calendar'!$O$1550=TYPE4)*(TYPE4&lt;&gt;"")+('Dvd Calendar'!$O$1550=SPECIAL_LBL)*(INC_SPECIALS="Y"))=0,"",'Dvd Calendar'!$O$1548)))</f>
        <v/>
      </c>
      <c r="N155" s="110">
        <f>IF(EP155="","",IF(ISNUMBER('Dvd Calendar'!$P$1548)=FALSE,"",IF((('Dvd Calendar'!$P$1550=TYPE1)*(TYPE1&lt;&gt;"")+('Dvd Calendar'!$P$1550=TYPE2)*(TYPE2&lt;&gt;"")+('Dvd Calendar'!$P$1550=TYPE3)*(TYPE3&lt;&gt;"")+('Dvd Calendar'!$P$1550=TYPE4)*(TYPE4&lt;&gt;"")+('Dvd Calendar'!$P$1550=SPECIAL_LBL)*(INC_SPECIALS="Y"))=0,"",'Dvd Calendar'!$P$1548)))</f>
        <v/>
      </c>
      <c r="O155" s="110">
        <f>IF(EQ155="","",IF(ISNUMBER('Dvd Calendar'!$Q$1548)=FALSE,"",IF((('Dvd Calendar'!$Q$1550=TYPE1)*(TYPE1&lt;&gt;"")+('Dvd Calendar'!$Q$1550=TYPE2)*(TYPE2&lt;&gt;"")+('Dvd Calendar'!$Q$1550=TYPE3)*(TYPE3&lt;&gt;"")+('Dvd Calendar'!$Q$1550=TYPE4)*(TYPE4&lt;&gt;"")+('Dvd Calendar'!$Q$1550=SPECIAL_LBL)*(INC_SPECIALS="Y"))=0,"",'Dvd Calendar'!$Q$1548)))</f>
        <v/>
      </c>
      <c r="P155" s="110">
        <f>IF(ER155="","",IF(ISNUMBER('Dvd Calendar'!$R$1548)=FALSE,"",IF((('Dvd Calendar'!$R$1550=TYPE1)*(TYPE1&lt;&gt;"")+('Dvd Calendar'!$R$1550=TYPE2)*(TYPE2&lt;&gt;"")+('Dvd Calendar'!$R$1550=TYPE3)*(TYPE3&lt;&gt;"")+('Dvd Calendar'!$R$1550=TYPE4)*(TYPE4&lt;&gt;"")+('Dvd Calendar'!$R$1550=SPECIAL_LBL)*(INC_SPECIALS="Y"))=0,"",'Dvd Calendar'!$R$1548)))</f>
        <v/>
      </c>
      <c r="Q155" s="110">
        <f>IF(ES155="","",IF(ISNUMBER('Dvd Calendar'!$S$1548)=FALSE,"",IF((('Dvd Calendar'!$S$1550=TYPE1)*(TYPE1&lt;&gt;"")+('Dvd Calendar'!$S$1550=TYPE2)*(TYPE2&lt;&gt;"")+('Dvd Calendar'!$S$1550=TYPE3)*(TYPE3&lt;&gt;"")+('Dvd Calendar'!$S$1550=TYPE4)*(TYPE4&lt;&gt;"")+('Dvd Calendar'!$S$1550=SPECIAL_LBL)*(INC_SPECIALS="Y"))=0,"",'Dvd Calendar'!$S$1548)))</f>
        <v/>
      </c>
      <c r="R155" s="110">
        <f>IF(ET155="","",IF(ISNUMBER('Dvd Calendar'!$T$1548)=FALSE,"",IF((('Dvd Calendar'!$T$1550=TYPE1)*(TYPE1&lt;&gt;"")+('Dvd Calendar'!$T$1550=TYPE2)*(TYPE2&lt;&gt;"")+('Dvd Calendar'!$T$1550=TYPE3)*(TYPE3&lt;&gt;"")+('Dvd Calendar'!$T$1550=TYPE4)*(TYPE4&lt;&gt;"")+('Dvd Calendar'!$T$1550=SPECIAL_LBL)*(INC_SPECIALS="Y"))=0,"",'Dvd Calendar'!$T$1548)))</f>
        <v/>
      </c>
      <c r="S155" s="110">
        <f>IF(EU155="","",IF(ISNUMBER('Dvd Calendar'!$U$1548)=FALSE,"",IF((('Dvd Calendar'!$U$1550=TYPE1)*(TYPE1&lt;&gt;"")+('Dvd Calendar'!$U$1550=TYPE2)*(TYPE2&lt;&gt;"")+('Dvd Calendar'!$U$1550=TYPE3)*(TYPE3&lt;&gt;"")+('Dvd Calendar'!$U$1550=TYPE4)*(TYPE4&lt;&gt;"")+('Dvd Calendar'!$U$1550=SPECIAL_LBL)*(INC_SPECIALS="Y"))=0,"",'Dvd Calendar'!$U$1548)))</f>
        <v/>
      </c>
      <c r="T155" s="110">
        <f>IF(EV155="","",IF(ISNUMBER('Dvd Calendar'!$V$1548)=FALSE,"",IF((('Dvd Calendar'!$V$1550=TYPE1)*(TYPE1&lt;&gt;"")+('Dvd Calendar'!$V$1550=TYPE2)*(TYPE2&lt;&gt;"")+('Dvd Calendar'!$V$1550=TYPE3)*(TYPE3&lt;&gt;"")+('Dvd Calendar'!$V$1550=TYPE4)*(TYPE4&lt;&gt;"")+('Dvd Calendar'!$V$1550=SPECIAL_LBL)*(INC_SPECIALS="Y"))=0,"",'Dvd Calendar'!$V$1548)))</f>
        <v/>
      </c>
      <c r="U155" s="110">
        <f>IF(EW155="","",IF(ISNUMBER('Dvd Calendar'!$W$1548)=FALSE,"",IF((('Dvd Calendar'!$W$1550=TYPE1)*(TYPE1&lt;&gt;"")+('Dvd Calendar'!$W$1550=TYPE2)*(TYPE2&lt;&gt;"")+('Dvd Calendar'!$W$1550=TYPE3)*(TYPE3&lt;&gt;"")+('Dvd Calendar'!$W$1550=TYPE4)*(TYPE4&lt;&gt;"")+('Dvd Calendar'!$W$1550=SPECIAL_LBL)*(INC_SPECIALS="Y"))=0,"",'Dvd Calendar'!$W$1548)))</f>
        <v/>
      </c>
      <c r="V155" s="110">
        <f>IF(EX155="","",IF(ISNUMBER('Dvd Calendar'!$X$1548)=FALSE,"",IF((('Dvd Calendar'!$X$1550=TYPE1)*(TYPE1&lt;&gt;"")+('Dvd Calendar'!$X$1550=TYPE2)*(TYPE2&lt;&gt;"")+('Dvd Calendar'!$X$1550=TYPE3)*(TYPE3&lt;&gt;"")+('Dvd Calendar'!$X$1550=TYPE4)*(TYPE4&lt;&gt;"")+('Dvd Calendar'!$X$1550=SPECIAL_LBL)*(INC_SPECIALS="Y"))=0,"",'Dvd Calendar'!$X$1548)))</f>
        <v/>
      </c>
      <c r="W155" s="110">
        <f>IF(EY155="","",IF(ISNUMBER('Dvd Calendar'!$Y$1548)=FALSE,"",IF((('Dvd Calendar'!$Y$1550=TYPE1)*(TYPE1&lt;&gt;"")+('Dvd Calendar'!$Y$1550=TYPE2)*(TYPE2&lt;&gt;"")+('Dvd Calendar'!$Y$1550=TYPE3)*(TYPE3&lt;&gt;"")+('Dvd Calendar'!$Y$1550=TYPE4)*(TYPE4&lt;&gt;"")+('Dvd Calendar'!$Y$1550=SPECIAL_LBL)*(INC_SPECIALS="Y"))=0,"",'Dvd Calendar'!$Y$1548)))</f>
        <v/>
      </c>
      <c r="X155" s="110">
        <f>IF(EZ155="","",IF(ISNUMBER('Dvd Calendar'!$Z$1548)=FALSE,"",IF((('Dvd Calendar'!$Z$1550=TYPE1)*(TYPE1&lt;&gt;"")+('Dvd Calendar'!$Z$1550=TYPE2)*(TYPE2&lt;&gt;"")+('Dvd Calendar'!$Z$1550=TYPE3)*(TYPE3&lt;&gt;"")+('Dvd Calendar'!$Z$1550=TYPE4)*(TYPE4&lt;&gt;"")+('Dvd Calendar'!$Z$1550=SPECIAL_LBL)*(INC_SPECIALS="Y"))=0,"",'Dvd Calendar'!$Z$1548)))</f>
        <v/>
      </c>
      <c r="Y155" s="110">
        <f>IF(FA155="","",IF(ISNUMBER('Dvd Calendar'!$AA$1548)=FALSE,"",IF((('Dvd Calendar'!$AA$1550=TYPE1)*(TYPE1&lt;&gt;"")+('Dvd Calendar'!$AA$1550=TYPE2)*(TYPE2&lt;&gt;"")+('Dvd Calendar'!$AA$1550=TYPE3)*(TYPE3&lt;&gt;"")+('Dvd Calendar'!$AA$1550=TYPE4)*(TYPE4&lt;&gt;"")+('Dvd Calendar'!$AA$1550=SPECIAL_LBL)*(INC_SPECIALS="Y"))=0,"",'Dvd Calendar'!$AA$1548)))</f>
        <v/>
      </c>
      <c r="Z155" s="110">
        <f>IF(FB155="","",IF(ISNUMBER('Dvd Calendar'!$AB$1548)=FALSE,"",IF((('Dvd Calendar'!$AB$1550=TYPE1)*(TYPE1&lt;&gt;"")+('Dvd Calendar'!$AB$1550=TYPE2)*(TYPE2&lt;&gt;"")+('Dvd Calendar'!$AB$1550=TYPE3)*(TYPE3&lt;&gt;"")+('Dvd Calendar'!$AB$1550=TYPE4)*(TYPE4&lt;&gt;"")+('Dvd Calendar'!$AB$1550=SPECIAL_LBL)*(INC_SPECIALS="Y"))=0,"",'Dvd Calendar'!$AB$1548)))</f>
        <v/>
      </c>
      <c r="AA155" s="110">
        <f>IF(FC155="","",IF(ISNUMBER('Dvd Calendar'!$AC$1548)=FALSE,"",IF((('Dvd Calendar'!$AC$1550=TYPE1)*(TYPE1&lt;&gt;"")+('Dvd Calendar'!$AC$1550=TYPE2)*(TYPE2&lt;&gt;"")+('Dvd Calendar'!$AC$1550=TYPE3)*(TYPE3&lt;&gt;"")+('Dvd Calendar'!$AC$1550=TYPE4)*(TYPE4&lt;&gt;"")+('Dvd Calendar'!$AC$1550=SPECIAL_LBL)*(INC_SPECIALS="Y"))=0,"",'Dvd Calendar'!$AC$1548)))</f>
        <v/>
      </c>
      <c r="AB155" s="110">
        <f>IF(FD155="","",IF(ISNUMBER('Dvd Calendar'!$AD$1548)=FALSE,"",IF((('Dvd Calendar'!$AD$1550=TYPE1)*(TYPE1&lt;&gt;"")+('Dvd Calendar'!$AD$1550=TYPE2)*(TYPE2&lt;&gt;"")+('Dvd Calendar'!$AD$1550=TYPE3)*(TYPE3&lt;&gt;"")+('Dvd Calendar'!$AD$1550=TYPE4)*(TYPE4&lt;&gt;"")+('Dvd Calendar'!$AD$1550=SPECIAL_LBL)*(INC_SPECIALS="Y"))=0,"",'Dvd Calendar'!$AD$1548)))</f>
        <v/>
      </c>
      <c r="AC155" s="110">
        <f>IF(FE155="","",IF(ISNUMBER('Dvd Calendar'!$AE$1548)=FALSE,"",IF((('Dvd Calendar'!$AE$1550=TYPE1)*(TYPE1&lt;&gt;"")+('Dvd Calendar'!$AE$1550=TYPE2)*(TYPE2&lt;&gt;"")+('Dvd Calendar'!$AE$1550=TYPE3)*(TYPE3&lt;&gt;"")+('Dvd Calendar'!$AE$1550=TYPE4)*(TYPE4&lt;&gt;"")+('Dvd Calendar'!$AE$1550=SPECIAL_LBL)*(INC_SPECIALS="Y"))=0,"",'Dvd Calendar'!$AE$1548)))</f>
        <v/>
      </c>
      <c r="AD155" s="110">
        <f>IF(FF155="","",IF(ISNUMBER('Dvd Calendar'!$AF$1548)=FALSE,"",IF((('Dvd Calendar'!$AF$1550=TYPE1)*(TYPE1&lt;&gt;"")+('Dvd Calendar'!$AF$1550=TYPE2)*(TYPE2&lt;&gt;"")+('Dvd Calendar'!$AF$1550=TYPE3)*(TYPE3&lt;&gt;"")+('Dvd Calendar'!$AF$1550=TYPE4)*(TYPE4&lt;&gt;"")+('Dvd Calendar'!$AF$1550=SPECIAL_LBL)*(INC_SPECIALS="Y"))=0,"",'Dvd Calendar'!$AF$1548)))</f>
        <v/>
      </c>
      <c r="AE155" s="110">
        <f>IF(FG155="","",IF(ISNUMBER('Dvd Calendar'!$AG$1548)=FALSE,"",IF((('Dvd Calendar'!$AG$1550=TYPE1)*(TYPE1&lt;&gt;"")+('Dvd Calendar'!$AG$1550=TYPE2)*(TYPE2&lt;&gt;"")+('Dvd Calendar'!$AG$1550=TYPE3)*(TYPE3&lt;&gt;"")+('Dvd Calendar'!$AG$1550=TYPE4)*(TYPE4&lt;&gt;"")+('Dvd Calendar'!$AG$1550=SPECIAL_LBL)*(INC_SPECIALS="Y"))=0,"",'Dvd Calendar'!$AG$1548)))</f>
        <v/>
      </c>
      <c r="AF155" s="110">
        <f>IF(FH155="","",IF(ISNUMBER('Dvd Calendar'!$AH$1548)=FALSE,"",IF((('Dvd Calendar'!$AH$1550=TYPE1)*(TYPE1&lt;&gt;"")+('Dvd Calendar'!$AH$1550=TYPE2)*(TYPE2&lt;&gt;"")+('Dvd Calendar'!$AH$1550=TYPE3)*(TYPE3&lt;&gt;"")+('Dvd Calendar'!$AH$1550=TYPE4)*(TYPE4&lt;&gt;"")+('Dvd Calendar'!$AH$1550=SPECIAL_LBL)*(INC_SPECIALS="Y"))=0,"",'Dvd Calendar'!$AH$1548)))</f>
        <v/>
      </c>
      <c r="AG155" s="110">
        <f>IF(FI155="","",IF(ISNUMBER('Dvd Calendar'!$AI$1548)=FALSE,"",IF((('Dvd Calendar'!$AI$1550=TYPE1)*(TYPE1&lt;&gt;"")+('Dvd Calendar'!$AI$1550=TYPE2)*(TYPE2&lt;&gt;"")+('Dvd Calendar'!$AI$1550=TYPE3)*(TYPE3&lt;&gt;"")+('Dvd Calendar'!$AI$1550=TYPE4)*(TYPE4&lt;&gt;"")+('Dvd Calendar'!$AI$1550=SPECIAL_LBL)*(INC_SPECIALS="Y"))=0,"",'Dvd Calendar'!$AI$1548)))</f>
        <v/>
      </c>
      <c r="AH155" s="110">
        <f>IF(FJ155="","",IF(ISNUMBER('Dvd Calendar'!$AJ$1548)=FALSE,"",IF((('Dvd Calendar'!$AJ$1550=TYPE1)*(TYPE1&lt;&gt;"")+('Dvd Calendar'!$AJ$1550=TYPE2)*(TYPE2&lt;&gt;"")+('Dvd Calendar'!$AJ$1550=TYPE3)*(TYPE3&lt;&gt;"")+('Dvd Calendar'!$AJ$1550=TYPE4)*(TYPE4&lt;&gt;"")+('Dvd Calendar'!$AJ$1550=SPECIAL_LBL)*(INC_SPECIALS="Y"))=0,"",'Dvd Calendar'!$AJ$1548)))</f>
        <v/>
      </c>
      <c r="AI155" s="110">
        <f>IF(FK155="","",IF(ISNUMBER('Dvd Calendar'!$AK$1548)=FALSE,"",IF((('Dvd Calendar'!$AK$1550=TYPE1)*(TYPE1&lt;&gt;"")+('Dvd Calendar'!$AK$1550=TYPE2)*(TYPE2&lt;&gt;"")+('Dvd Calendar'!$AK$1550=TYPE3)*(TYPE3&lt;&gt;"")+('Dvd Calendar'!$AK$1550=TYPE4)*(TYPE4&lt;&gt;"")+('Dvd Calendar'!$AK$1550=SPECIAL_LBL)*(INC_SPECIALS="Y"))=0,"",'Dvd Calendar'!$AK$1548)))</f>
        <v/>
      </c>
      <c r="AJ155" s="110">
        <f>IF(FL155="","",IF(ISNUMBER('Dvd Calendar'!$AL$1548)=FALSE,"",IF((('Dvd Calendar'!$AL$1550=TYPE1)*(TYPE1&lt;&gt;"")+('Dvd Calendar'!$AL$1550=TYPE2)*(TYPE2&lt;&gt;"")+('Dvd Calendar'!$AL$1550=TYPE3)*(TYPE3&lt;&gt;"")+('Dvd Calendar'!$AL$1550=TYPE4)*(TYPE4&lt;&gt;"")+('Dvd Calendar'!$AL$1550=SPECIAL_LBL)*(INC_SPECIALS="Y"))=0,"",'Dvd Calendar'!$AL$1548)))</f>
        <v/>
      </c>
      <c r="AK155" s="110">
        <f>IF(FM155="","",IF(ISNUMBER('Dvd Calendar'!$AM$1548)=FALSE,"",IF((('Dvd Calendar'!$AM$1550=TYPE1)*(TYPE1&lt;&gt;"")+('Dvd Calendar'!$AM$1550=TYPE2)*(TYPE2&lt;&gt;"")+('Dvd Calendar'!$AM$1550=TYPE3)*(TYPE3&lt;&gt;"")+('Dvd Calendar'!$AM$1550=TYPE4)*(TYPE4&lt;&gt;"")+('Dvd Calendar'!$AM$1550=SPECIAL_LBL)*(INC_SPECIALS="Y"))=0,"",'Dvd Calendar'!$AM$1548)))</f>
        <v/>
      </c>
      <c r="AL155" s="110">
        <f>IF(FN155="","",IF(ISNUMBER('Dvd Calendar'!$AN$1548)=FALSE,"",IF((('Dvd Calendar'!$AN$1550=TYPE1)*(TYPE1&lt;&gt;"")+('Dvd Calendar'!$AN$1550=TYPE2)*(TYPE2&lt;&gt;"")+('Dvd Calendar'!$AN$1550=TYPE3)*(TYPE3&lt;&gt;"")+('Dvd Calendar'!$AN$1550=TYPE4)*(TYPE4&lt;&gt;"")+('Dvd Calendar'!$AN$1550=SPECIAL_LBL)*(INC_SPECIALS="Y"))=0,"",'Dvd Calendar'!$AN$1548)))</f>
        <v/>
      </c>
      <c r="AM155" s="110">
        <f>IF(FO155="","",IF(ISNUMBER('Dvd Calendar'!$AO$1548)=FALSE,"",IF((('Dvd Calendar'!$AO$1550=TYPE1)*(TYPE1&lt;&gt;"")+('Dvd Calendar'!$AO$1550=TYPE2)*(TYPE2&lt;&gt;"")+('Dvd Calendar'!$AO$1550=TYPE3)*(TYPE3&lt;&gt;"")+('Dvd Calendar'!$AO$1550=TYPE4)*(TYPE4&lt;&gt;"")+('Dvd Calendar'!$AO$1550=SPECIAL_LBL)*(INC_SPECIALS="Y"))=0,"",'Dvd Calendar'!$AO$1548)))</f>
        <v/>
      </c>
      <c r="AN155" s="110">
        <f>IF(FP155="","",IF(ISNUMBER('Dvd Calendar'!$AP$1548)=FALSE,"",IF((('Dvd Calendar'!$AP$1550=TYPE1)*(TYPE1&lt;&gt;"")+('Dvd Calendar'!$AP$1550=TYPE2)*(TYPE2&lt;&gt;"")+('Dvd Calendar'!$AP$1550=TYPE3)*(TYPE3&lt;&gt;"")+('Dvd Calendar'!$AP$1550=TYPE4)*(TYPE4&lt;&gt;"")+('Dvd Calendar'!$AP$1550=SPECIAL_LBL)*(INC_SPECIALS="Y"))=0,"",'Dvd Calendar'!$AP$1548)))</f>
        <v/>
      </c>
      <c r="AO155" s="110">
        <f>IF(FQ155="","",IF(ISNUMBER('Dvd Calendar'!$AQ$1548)=FALSE,"",IF((('Dvd Calendar'!$AQ$1550=TYPE1)*(TYPE1&lt;&gt;"")+('Dvd Calendar'!$AQ$1550=TYPE2)*(TYPE2&lt;&gt;"")+('Dvd Calendar'!$AQ$1550=TYPE3)*(TYPE3&lt;&gt;"")+('Dvd Calendar'!$AQ$1550=TYPE4)*(TYPE4&lt;&gt;"")+('Dvd Calendar'!$AQ$1550=SPECIAL_LBL)*(INC_SPECIALS="Y"))=0,"",'Dvd Calendar'!$AQ$1548)))</f>
        <v/>
      </c>
      <c r="AP155" s="110">
        <f>IF(FR155="","",IF(ISNUMBER('Dvd Calendar'!$AR$1548)=FALSE,"",IF((('Dvd Calendar'!$AR$1550=TYPE1)*(TYPE1&lt;&gt;"")+('Dvd Calendar'!$AR$1550=TYPE2)*(TYPE2&lt;&gt;"")+('Dvd Calendar'!$AR$1550=TYPE3)*(TYPE3&lt;&gt;"")+('Dvd Calendar'!$AR$1550=TYPE4)*(TYPE4&lt;&gt;"")+('Dvd Calendar'!$AR$1550=SPECIAL_LBL)*(INC_SPECIALS="Y"))=0,"",'Dvd Calendar'!$AR$1548)))</f>
        <v/>
      </c>
      <c r="AQ155" s="110">
        <f>IF(FS155="","",IF(ISNUMBER('Dvd Calendar'!$E$1553)=FALSE,"",'Dvd Calendar'!$E$1553))</f>
        <v/>
      </c>
      <c r="AR155" s="110">
        <f>IF(FT155="","",IF(ISNUMBER('Dvd Calendar'!$F$1553)=FALSE,"",'Dvd Calendar'!$F$1553))</f>
        <v/>
      </c>
      <c r="AS155" s="110">
        <f>IF(FU155="","",IF(ISNUMBER('Dvd Calendar'!$G$1553)=FALSE,"",'Dvd Calendar'!$G$1553))</f>
        <v/>
      </c>
      <c r="AT155" s="110">
        <f>IF(FV155="","",IF(ISNUMBER('Dvd Calendar'!$H$1553)=FALSE,"",'Dvd Calendar'!$H$1553))</f>
        <v/>
      </c>
      <c r="AU155" s="110">
        <f>IF(FW155="","",IF(ISNUMBER('Dvd Calendar'!$I$1553)=FALSE,"",'Dvd Calendar'!$I$1553))</f>
        <v/>
      </c>
      <c r="AV155" s="110">
        <f>IF(FX155="","",IF(ISNUMBER('Dvd Calendar'!$J$1553)=FALSE,"",'Dvd Calendar'!$J$1553))</f>
        <v/>
      </c>
      <c r="AW155" s="110">
        <f>IF(FY155="","",IF(ISNUMBER('Dvd Calendar'!$K$1553)=FALSE,"",'Dvd Calendar'!$K$1553))</f>
        <v/>
      </c>
      <c r="AX155" s="110">
        <f>IF(FZ155="","",IF(ISNUMBER('Dvd Calendar'!$L$1553)=FALSE,"",'Dvd Calendar'!$L$1553))</f>
        <v/>
      </c>
      <c r="AY155" s="110">
        <f>IF(GA155="","",IF(ISNUMBER('Dvd Calendar'!$M$1553)=FALSE,"",'Dvd Calendar'!$M$1553))</f>
        <v/>
      </c>
      <c r="AZ155" s="110">
        <f>IF(GB155="","",IF(ISNUMBER('Dvd Calendar'!$N$1553)=FALSE,"",'Dvd Calendar'!$N$1553))</f>
        <v/>
      </c>
      <c r="BA155" s="110">
        <f>IF(GC155="","",IF(ISNUMBER('Dvd Calendar'!$O$1553)=FALSE,"",'Dvd Calendar'!$O$1553))</f>
        <v/>
      </c>
      <c r="BB155" s="110">
        <f>IF(GD155="","",IF(ISNUMBER('Dvd Calendar'!$P$1553)=FALSE,"",'Dvd Calendar'!$P$1553))</f>
        <v/>
      </c>
      <c r="BC155" s="110">
        <f>IF(GE155="","",IF(ISNUMBER('Dvd Calendar'!$Q$1553)=FALSE,"",'Dvd Calendar'!$Q$1553))</f>
        <v/>
      </c>
      <c r="BD155" s="110">
        <f>IF(GF155="","",IF(ISNUMBER('Dvd Calendar'!$R$1553)=FALSE,"",'Dvd Calendar'!$R$1553))</f>
        <v/>
      </c>
      <c r="BE155" s="110">
        <f>IF(GG155="","",IF(ISNUMBER('Dvd Calendar'!$S$1553)=FALSE,"",'Dvd Calendar'!$S$1553))</f>
        <v/>
      </c>
      <c r="BF155" s="110">
        <f>IF(GH155="","",IF(ISNUMBER('Dvd Calendar'!$T$1553)=FALSE,"",'Dvd Calendar'!$T$1553))</f>
        <v/>
      </c>
      <c r="BG155" s="110">
        <f>IF(GI155="","",IF(ISNUMBER('Dvd Calendar'!$U$1553)=FALSE,"",'Dvd Calendar'!$U$1553))</f>
        <v/>
      </c>
      <c r="BH155" s="110">
        <f>IF(GJ155="","",IF(ISNUMBER('Dvd Calendar'!$V$1553)=FALSE,"",'Dvd Calendar'!$V$1553))</f>
        <v/>
      </c>
      <c r="BI155" s="110">
        <f>IF(GK155="","",IF(ISNUMBER('Dvd Calendar'!$W$1553)=FALSE,"",'Dvd Calendar'!$W$1553))</f>
        <v/>
      </c>
      <c r="BJ155" s="110">
        <f>IF(GL155="","",IF(ISNUMBER('Dvd Calendar'!$X$1553)=FALSE,"",'Dvd Calendar'!$X$1553))</f>
        <v/>
      </c>
      <c r="BK155" s="110">
        <f>IF(GM155="","",IF(ISNUMBER('Dvd Calendar'!$Y$1553)=FALSE,"",'Dvd Calendar'!$Y$1553))</f>
        <v/>
      </c>
      <c r="BL155" s="110">
        <f>IF(GN155="","",IF(ISNUMBER('Dvd Calendar'!$Z$1553)=FALSE,"",'Dvd Calendar'!$Z$1553))</f>
        <v/>
      </c>
      <c r="BM155" s="110">
        <f>IF(GO155="","",IF(ISNUMBER('Dvd Calendar'!$AA$1553)=FALSE,"",'Dvd Calendar'!$AA$1553))</f>
        <v/>
      </c>
      <c r="BN155" s="110">
        <f>IF(GP155="","",IF(ISNUMBER('Dvd Calendar'!$AB$1553)=FALSE,"",'Dvd Calendar'!$AB$1553))</f>
        <v/>
      </c>
      <c r="BO155" s="110">
        <f>IF(GQ155="","",IF(ISNUMBER('Dvd Calendar'!$AC$1553)=FALSE,"",'Dvd Calendar'!$AC$1553))</f>
        <v/>
      </c>
      <c r="BQ155" s="110">
        <f>IF(C155="","",IFERROR(C155*HSTECH!$B$46*HSTECH!$G$46/HSTECH!$B$3,""))</f>
        <v/>
      </c>
      <c r="BR155" s="110">
        <f>IF(D155="","",IFERROR(D155*HSTECH!$B$46*HSTECH!$G$46/HSTECH!$B$3,""))</f>
        <v/>
      </c>
      <c r="BS155" s="110">
        <f>IF(E155="","",IFERROR(E155*HSTECH!$B$46*HSTECH!$G$46/HSTECH!$B$3,""))</f>
        <v/>
      </c>
      <c r="BT155" s="110">
        <f>IF(F155="","",IFERROR(F155*HSTECH!$B$46*HSTECH!$G$46/HSTECH!$B$3,""))</f>
        <v/>
      </c>
      <c r="BU155" s="110">
        <f>IF(G155="","",IFERROR(G155*HSTECH!$B$46*HSTECH!$G$46/HSTECH!$B$3,""))</f>
        <v/>
      </c>
      <c r="BV155" s="110">
        <f>IF(H155="","",IFERROR(H155*HSTECH!$B$46*HSTECH!$G$46/HSTECH!$B$3,""))</f>
        <v/>
      </c>
      <c r="BW155" s="110">
        <f>IF(I155="","",IFERROR(I155*HSTECH!$B$46*HSTECH!$G$46/HSTECH!$B$3,""))</f>
        <v/>
      </c>
      <c r="BX155" s="110">
        <f>IF(J155="","",IFERROR(J155*HSTECH!$B$46*HSTECH!$G$46/HSTECH!$B$3,""))</f>
        <v/>
      </c>
      <c r="BY155" s="110">
        <f>IF(K155="","",IFERROR(K155*HSTECH!$B$46*HSTECH!$G$46/HSTECH!$B$3,""))</f>
        <v/>
      </c>
      <c r="BZ155" s="110">
        <f>IF(L155="","",IFERROR(L155*HSTECH!$B$46*HSTECH!$G$46/HSTECH!$B$3,""))</f>
        <v/>
      </c>
      <c r="CA155" s="110">
        <f>IF(M155="","",IFERROR(M155*HSTECH!$B$46*HSTECH!$G$46/HSTECH!$B$3,""))</f>
        <v/>
      </c>
      <c r="CB155" s="110">
        <f>IF(N155="","",IFERROR(N155*HSTECH!$B$46*HSTECH!$G$46/HSTECH!$B$3,""))</f>
        <v/>
      </c>
      <c r="CC155" s="110">
        <f>IF(O155="","",IFERROR(O155*HSTECH!$B$46*HSTECH!$G$46/HSTECH!$B$3,""))</f>
        <v/>
      </c>
      <c r="CD155" s="110">
        <f>IF(P155="","",IFERROR(P155*HSTECH!$B$46*HSTECH!$G$46/HSTECH!$B$3,""))</f>
        <v/>
      </c>
      <c r="CE155" s="110">
        <f>IF(Q155="","",IFERROR(Q155*HSTECH!$B$46*HSTECH!$G$46/HSTECH!$B$3,""))</f>
        <v/>
      </c>
      <c r="CF155" s="110">
        <f>IF(R155="","",IFERROR(R155*HSTECH!$B$46*HSTECH!$G$46/HSTECH!$B$3,""))</f>
        <v/>
      </c>
      <c r="CG155" s="110">
        <f>IF(S155="","",IFERROR(S155*HSTECH!$B$46*HSTECH!$G$46/HSTECH!$B$3,""))</f>
        <v/>
      </c>
      <c r="CH155" s="110">
        <f>IF(T155="","",IFERROR(T155*HSTECH!$B$46*HSTECH!$G$46/HSTECH!$B$3,""))</f>
        <v/>
      </c>
      <c r="CI155" s="110">
        <f>IF(U155="","",IFERROR(U155*HSTECH!$B$46*HSTECH!$G$46/HSTECH!$B$3,""))</f>
        <v/>
      </c>
      <c r="CJ155" s="110">
        <f>IF(V155="","",IFERROR(V155*HSTECH!$B$46*HSTECH!$G$46/HSTECH!$B$3,""))</f>
        <v/>
      </c>
      <c r="CK155" s="110">
        <f>IF(W155="","",IFERROR(W155*HSTECH!$B$46*HSTECH!$G$46/HSTECH!$B$3,""))</f>
        <v/>
      </c>
      <c r="CL155" s="110">
        <f>IF(X155="","",IFERROR(X155*HSTECH!$B$46*HSTECH!$G$46/HSTECH!$B$3,""))</f>
        <v/>
      </c>
      <c r="CM155" s="110">
        <f>IF(Y155="","",IFERROR(Y155*HSTECH!$B$46*HSTECH!$G$46/HSTECH!$B$3,""))</f>
        <v/>
      </c>
      <c r="CN155" s="110">
        <f>IF(Z155="","",IFERROR(Z155*HSTECH!$B$46*HSTECH!$G$46/HSTECH!$B$3,""))</f>
        <v/>
      </c>
      <c r="CO155" s="110">
        <f>IF(AA155="","",IFERROR(AA155*HSTECH!$B$46*HSTECH!$G$46/HSTECH!$B$3,""))</f>
        <v/>
      </c>
      <c r="CP155" s="110">
        <f>IF(AB155="","",IFERROR(AB155*HSTECH!$B$46*HSTECH!$G$46/HSTECH!$B$3,""))</f>
        <v/>
      </c>
      <c r="CQ155" s="110">
        <f>IF(AC155="","",IFERROR(AC155*HSTECH!$B$46*HSTECH!$G$46/HSTECH!$B$3,""))</f>
        <v/>
      </c>
      <c r="CR155" s="110">
        <f>IF(AD155="","",IFERROR(AD155*HSTECH!$B$46*HSTECH!$G$46/HSTECH!$B$3,""))</f>
        <v/>
      </c>
      <c r="CS155" s="110">
        <f>IF(AE155="","",IFERROR(AE155*HSTECH!$B$46*HSTECH!$G$46/HSTECH!$B$3,""))</f>
        <v/>
      </c>
      <c r="CT155" s="110">
        <f>IF(AF155="","",IFERROR(AF155*HSTECH!$B$46*HSTECH!$G$46/HSTECH!$B$3,""))</f>
        <v/>
      </c>
      <c r="CU155" s="110">
        <f>IF(AG155="","",IFERROR(AG155*HSTECH!$B$46*HSTECH!$G$46/HSTECH!$B$3,""))</f>
        <v/>
      </c>
      <c r="CV155" s="110">
        <f>IF(AH155="","",IFERROR(AH155*HSTECH!$B$46*HSTECH!$G$46/HSTECH!$B$3,""))</f>
        <v/>
      </c>
      <c r="CW155" s="110">
        <f>IF(AI155="","",IFERROR(AI155*HSTECH!$B$46*HSTECH!$G$46/HSTECH!$B$3,""))</f>
        <v/>
      </c>
      <c r="CX155" s="110">
        <f>IF(AJ155="","",IFERROR(AJ155*HSTECH!$B$46*HSTECH!$G$46/HSTECH!$B$3,""))</f>
        <v/>
      </c>
      <c r="CY155" s="110">
        <f>IF(AK155="","",IFERROR(AK155*HSTECH!$B$46*HSTECH!$G$46/HSTECH!$B$3,""))</f>
        <v/>
      </c>
      <c r="CZ155" s="110">
        <f>IF(AL155="","",IFERROR(AL155*HSTECH!$B$46*HSTECH!$G$46/HSTECH!$B$3,""))</f>
        <v/>
      </c>
      <c r="DA155" s="110">
        <f>IF(AM155="","",IFERROR(AM155*HSTECH!$B$46*HSTECH!$G$46/HSTECH!$B$3,""))</f>
        <v/>
      </c>
      <c r="DB155" s="110">
        <f>IF(AN155="","",IFERROR(AN155*HSTECH!$B$46*HSTECH!$G$46/HSTECH!$B$3,""))</f>
        <v/>
      </c>
      <c r="DC155" s="110">
        <f>IF(AO155="","",IFERROR(AO155*HSTECH!$B$46*HSTECH!$G$46/HSTECH!$B$3,""))</f>
        <v/>
      </c>
      <c r="DD155" s="110">
        <f>IF(AP155="","",IFERROR(AP155*HSTECH!$B$46*HSTECH!$G$46/HSTECH!$B$3,""))</f>
        <v/>
      </c>
      <c r="DE155" s="110">
        <f>IF(AQ155="","",IFERROR(AQ155*HSTECH!$B$46*HSTECH!$G$46/HSTECH!$B$3,""))</f>
        <v/>
      </c>
      <c r="DF155" s="110">
        <f>IF(AR155="","",IFERROR(AR155*HSTECH!$B$46*HSTECH!$G$46/HSTECH!$B$3,""))</f>
        <v/>
      </c>
      <c r="DG155" s="110">
        <f>IF(AS155="","",IFERROR(AS155*HSTECH!$B$46*HSTECH!$G$46/HSTECH!$B$3,""))</f>
        <v/>
      </c>
      <c r="DH155" s="110">
        <f>IF(AT155="","",IFERROR(AT155*HSTECH!$B$46*HSTECH!$G$46/HSTECH!$B$3,""))</f>
        <v/>
      </c>
      <c r="DI155" s="110">
        <f>IF(AU155="","",IFERROR(AU155*HSTECH!$B$46*HSTECH!$G$46/HSTECH!$B$3,""))</f>
        <v/>
      </c>
      <c r="DJ155" s="110">
        <f>IF(AV155="","",IFERROR(AV155*HSTECH!$B$46*HSTECH!$G$46/HSTECH!$B$3,""))</f>
        <v/>
      </c>
      <c r="DK155" s="110">
        <f>IF(AW155="","",IFERROR(AW155*HSTECH!$B$46*HSTECH!$G$46/HSTECH!$B$3,""))</f>
        <v/>
      </c>
      <c r="DL155" s="110">
        <f>IF(AX155="","",IFERROR(AX155*HSTECH!$B$46*HSTECH!$G$46/HSTECH!$B$3,""))</f>
        <v/>
      </c>
      <c r="DM155" s="110">
        <f>IF(AY155="","",IFERROR(AY155*HSTECH!$B$46*HSTECH!$G$46/HSTECH!$B$3,""))</f>
        <v/>
      </c>
      <c r="DN155" s="110">
        <f>IF(AZ155="","",IFERROR(AZ155*HSTECH!$B$46*HSTECH!$G$46/HSTECH!$B$3,""))</f>
        <v/>
      </c>
      <c r="DO155" s="110">
        <f>IF(BA155="","",IFERROR(BA155*HSTECH!$B$46*HSTECH!$G$46/HSTECH!$B$3,""))</f>
        <v/>
      </c>
      <c r="DP155" s="110">
        <f>IF(BB155="","",IFERROR(BB155*HSTECH!$B$46*HSTECH!$G$46/HSTECH!$B$3,""))</f>
        <v/>
      </c>
      <c r="DQ155" s="110">
        <f>IF(BC155="","",IFERROR(BC155*HSTECH!$B$46*HSTECH!$G$46/HSTECH!$B$3,""))</f>
        <v/>
      </c>
      <c r="DR155" s="110">
        <f>IF(BD155="","",IFERROR(BD155*HSTECH!$B$46*HSTECH!$G$46/HSTECH!$B$3,""))</f>
        <v/>
      </c>
      <c r="DS155" s="110">
        <f>IF(BE155="","",IFERROR(BE155*HSTECH!$B$46*HSTECH!$G$46/HSTECH!$B$3,""))</f>
        <v/>
      </c>
      <c r="DT155" s="110">
        <f>IF(BF155="","",IFERROR(BF155*HSTECH!$B$46*HSTECH!$G$46/HSTECH!$B$3,""))</f>
        <v/>
      </c>
      <c r="DU155" s="110">
        <f>IF(BG155="","",IFERROR(BG155*HSTECH!$B$46*HSTECH!$G$46/HSTECH!$B$3,""))</f>
        <v/>
      </c>
      <c r="DV155" s="110">
        <f>IF(BH155="","",IFERROR(BH155*HSTECH!$B$46*HSTECH!$G$46/HSTECH!$B$3,""))</f>
        <v/>
      </c>
      <c r="DW155" s="110">
        <f>IF(BI155="","",IFERROR(BI155*HSTECH!$B$46*HSTECH!$G$46/HSTECH!$B$3,""))</f>
        <v/>
      </c>
      <c r="DX155" s="110">
        <f>IF(BJ155="","",IFERROR(BJ155*HSTECH!$B$46*HSTECH!$G$46/HSTECH!$B$3,""))</f>
        <v/>
      </c>
      <c r="DY155" s="110">
        <f>IF(BK155="","",IFERROR(BK155*HSTECH!$B$46*HSTECH!$G$46/HSTECH!$B$3,""))</f>
        <v/>
      </c>
      <c r="DZ155" s="110">
        <f>IF(BL155="","",IFERROR(BL155*HSTECH!$B$46*HSTECH!$G$46/HSTECH!$B$3,""))</f>
        <v/>
      </c>
      <c r="EA155" s="110">
        <f>IF(BM155="","",IFERROR(BM155*HSTECH!$B$46*HSTECH!$G$46/HSTECH!$B$3,""))</f>
        <v/>
      </c>
      <c r="EB155" s="110">
        <f>IF(BN155="","",IFERROR(BN155*HSTECH!$B$46*HSTECH!$G$46/HSTECH!$B$3,""))</f>
        <v/>
      </c>
      <c r="EC155" s="110">
        <f>IF(BO155="","",IFERROR(BO155*HSTECH!$B$46*HSTECH!$G$46/HSTECH!$B$3,""))</f>
        <v/>
      </c>
      <c r="EE155" s="39">
        <f>IF(N('Dvd Calendar'!$E$1545)=0,"",IF(('Dvd Calendar'!$E$1545&gt;=GRID_FROM)*('Dvd Calendar'!$E$1545&lt;=GRID_TO)*((('Dvd Calendar'!$E$1545&lt;=VAL_DATE)+(COUNTIF('Dvd Calendar'!$E$1552:$AR$1552,'Dvd Calendar'!$E$1545)=0))&gt;0)=0,"",'Dvd Calendar'!$E$1545*1000000000+ISNUMBER('Dvd Calendar'!$E$1548)*100000000+('Dvd Calendar'!$E$1550=SPECIAL_LBL)*10000000+(N('Dvd Calendar'!$E$1544)&gt;0)*(N('Dvd Calendar'!$E$1544)&lt;=VAL_SERIAL)*1000000+40*1000+1))</f>
        <v/>
      </c>
      <c r="EF155" s="39">
        <f>IF(N('Dvd Calendar'!$F$1545)=0,"",IF(('Dvd Calendar'!$F$1545&gt;=GRID_FROM)*('Dvd Calendar'!$F$1545&lt;=GRID_TO)*((('Dvd Calendar'!$F$1545&lt;=VAL_DATE)+(COUNTIF('Dvd Calendar'!$E$1552:$AR$1552,'Dvd Calendar'!$F$1545)=0))&gt;0)=0,"",'Dvd Calendar'!$F$1545*1000000000+ISNUMBER('Dvd Calendar'!$F$1548)*100000000+('Dvd Calendar'!$F$1550=SPECIAL_LBL)*10000000+(N('Dvd Calendar'!$F$1544)&gt;0)*(N('Dvd Calendar'!$F$1544)&lt;=VAL_SERIAL)*1000000+40*1000+2))</f>
        <v/>
      </c>
      <c r="EG155" s="39">
        <f>IF(N('Dvd Calendar'!$G$1545)=0,"",IF(('Dvd Calendar'!$G$1545&gt;=GRID_FROM)*('Dvd Calendar'!$G$1545&lt;=GRID_TO)*((('Dvd Calendar'!$G$1545&lt;=VAL_DATE)+(COUNTIF('Dvd Calendar'!$E$1552:$AR$1552,'Dvd Calendar'!$G$1545)=0))&gt;0)=0,"",'Dvd Calendar'!$G$1545*1000000000+ISNUMBER('Dvd Calendar'!$G$1548)*100000000+('Dvd Calendar'!$G$1550=SPECIAL_LBL)*10000000+(N('Dvd Calendar'!$G$1544)&gt;0)*(N('Dvd Calendar'!$G$1544)&lt;=VAL_SERIAL)*1000000+40*1000+3))</f>
        <v/>
      </c>
      <c r="EH155" s="39">
        <f>IF(N('Dvd Calendar'!$H$1545)=0,"",IF(('Dvd Calendar'!$H$1545&gt;=GRID_FROM)*('Dvd Calendar'!$H$1545&lt;=GRID_TO)*((('Dvd Calendar'!$H$1545&lt;=VAL_DATE)+(COUNTIF('Dvd Calendar'!$E$1552:$AR$1552,'Dvd Calendar'!$H$1545)=0))&gt;0)=0,"",'Dvd Calendar'!$H$1545*1000000000+ISNUMBER('Dvd Calendar'!$H$1548)*100000000+('Dvd Calendar'!$H$1550=SPECIAL_LBL)*10000000+(N('Dvd Calendar'!$H$1544)&gt;0)*(N('Dvd Calendar'!$H$1544)&lt;=VAL_SERIAL)*1000000+40*1000+4))</f>
        <v/>
      </c>
      <c r="EI155" s="39">
        <f>IF(N('Dvd Calendar'!$I$1545)=0,"",IF(('Dvd Calendar'!$I$1545&gt;=GRID_FROM)*('Dvd Calendar'!$I$1545&lt;=GRID_TO)*((('Dvd Calendar'!$I$1545&lt;=VAL_DATE)+(COUNTIF('Dvd Calendar'!$E$1552:$AR$1552,'Dvd Calendar'!$I$1545)=0))&gt;0)=0,"",'Dvd Calendar'!$I$1545*1000000000+ISNUMBER('Dvd Calendar'!$I$1548)*100000000+('Dvd Calendar'!$I$1550=SPECIAL_LBL)*10000000+(N('Dvd Calendar'!$I$1544)&gt;0)*(N('Dvd Calendar'!$I$1544)&lt;=VAL_SERIAL)*1000000+40*1000+5))</f>
        <v/>
      </c>
      <c r="EJ155" s="39">
        <f>IF(N('Dvd Calendar'!$J$1545)=0,"",IF(('Dvd Calendar'!$J$1545&gt;=GRID_FROM)*('Dvd Calendar'!$J$1545&lt;=GRID_TO)*((('Dvd Calendar'!$J$1545&lt;=VAL_DATE)+(COUNTIF('Dvd Calendar'!$E$1552:$AR$1552,'Dvd Calendar'!$J$1545)=0))&gt;0)=0,"",'Dvd Calendar'!$J$1545*1000000000+ISNUMBER('Dvd Calendar'!$J$1548)*100000000+('Dvd Calendar'!$J$1550=SPECIAL_LBL)*10000000+(N('Dvd Calendar'!$J$1544)&gt;0)*(N('Dvd Calendar'!$J$1544)&lt;=VAL_SERIAL)*1000000+40*1000+6))</f>
        <v/>
      </c>
      <c r="EK155" s="39">
        <f>IF(N('Dvd Calendar'!$K$1545)=0,"",IF(('Dvd Calendar'!$K$1545&gt;=GRID_FROM)*('Dvd Calendar'!$K$1545&lt;=GRID_TO)*((('Dvd Calendar'!$K$1545&lt;=VAL_DATE)+(COUNTIF('Dvd Calendar'!$E$1552:$AR$1552,'Dvd Calendar'!$K$1545)=0))&gt;0)=0,"",'Dvd Calendar'!$K$1545*1000000000+ISNUMBER('Dvd Calendar'!$K$1548)*100000000+('Dvd Calendar'!$K$1550=SPECIAL_LBL)*10000000+(N('Dvd Calendar'!$K$1544)&gt;0)*(N('Dvd Calendar'!$K$1544)&lt;=VAL_SERIAL)*1000000+40*1000+7))</f>
        <v/>
      </c>
      <c r="EL155" s="39">
        <f>IF(N('Dvd Calendar'!$L$1545)=0,"",IF(('Dvd Calendar'!$L$1545&gt;=GRID_FROM)*('Dvd Calendar'!$L$1545&lt;=GRID_TO)*((('Dvd Calendar'!$L$1545&lt;=VAL_DATE)+(COUNTIF('Dvd Calendar'!$E$1552:$AR$1552,'Dvd Calendar'!$L$1545)=0))&gt;0)=0,"",'Dvd Calendar'!$L$1545*1000000000+ISNUMBER('Dvd Calendar'!$L$1548)*100000000+('Dvd Calendar'!$L$1550=SPECIAL_LBL)*10000000+(N('Dvd Calendar'!$L$1544)&gt;0)*(N('Dvd Calendar'!$L$1544)&lt;=VAL_SERIAL)*1000000+40*1000+8))</f>
        <v/>
      </c>
      <c r="EM155" s="39">
        <f>IF(N('Dvd Calendar'!$M$1545)=0,"",IF(('Dvd Calendar'!$M$1545&gt;=GRID_FROM)*('Dvd Calendar'!$M$1545&lt;=GRID_TO)*((('Dvd Calendar'!$M$1545&lt;=VAL_DATE)+(COUNTIF('Dvd Calendar'!$E$1552:$AR$1552,'Dvd Calendar'!$M$1545)=0))&gt;0)=0,"",'Dvd Calendar'!$M$1545*1000000000+ISNUMBER('Dvd Calendar'!$M$1548)*100000000+('Dvd Calendar'!$M$1550=SPECIAL_LBL)*10000000+(N('Dvd Calendar'!$M$1544)&gt;0)*(N('Dvd Calendar'!$M$1544)&lt;=VAL_SERIAL)*1000000+40*1000+9))</f>
        <v/>
      </c>
      <c r="EN155" s="39">
        <f>IF(N('Dvd Calendar'!$N$1545)=0,"",IF(('Dvd Calendar'!$N$1545&gt;=GRID_FROM)*('Dvd Calendar'!$N$1545&lt;=GRID_TO)*((('Dvd Calendar'!$N$1545&lt;=VAL_DATE)+(COUNTIF('Dvd Calendar'!$E$1552:$AR$1552,'Dvd Calendar'!$N$1545)=0))&gt;0)=0,"",'Dvd Calendar'!$N$1545*1000000000+ISNUMBER('Dvd Calendar'!$N$1548)*100000000+('Dvd Calendar'!$N$1550=SPECIAL_LBL)*10000000+(N('Dvd Calendar'!$N$1544)&gt;0)*(N('Dvd Calendar'!$N$1544)&lt;=VAL_SERIAL)*1000000+40*1000+10))</f>
        <v/>
      </c>
      <c r="EO155" s="39">
        <f>IF(N('Dvd Calendar'!$O$1545)=0,"",IF(('Dvd Calendar'!$O$1545&gt;=GRID_FROM)*('Dvd Calendar'!$O$1545&lt;=GRID_TO)*((('Dvd Calendar'!$O$1545&lt;=VAL_DATE)+(COUNTIF('Dvd Calendar'!$E$1552:$AR$1552,'Dvd Calendar'!$O$1545)=0))&gt;0)=0,"",'Dvd Calendar'!$O$1545*1000000000+ISNUMBER('Dvd Calendar'!$O$1548)*100000000+('Dvd Calendar'!$O$1550=SPECIAL_LBL)*10000000+(N('Dvd Calendar'!$O$1544)&gt;0)*(N('Dvd Calendar'!$O$1544)&lt;=VAL_SERIAL)*1000000+40*1000+11))</f>
        <v/>
      </c>
      <c r="EP155" s="39">
        <f>IF(N('Dvd Calendar'!$P$1545)=0,"",IF(('Dvd Calendar'!$P$1545&gt;=GRID_FROM)*('Dvd Calendar'!$P$1545&lt;=GRID_TO)*((('Dvd Calendar'!$P$1545&lt;=VAL_DATE)+(COUNTIF('Dvd Calendar'!$E$1552:$AR$1552,'Dvd Calendar'!$P$1545)=0))&gt;0)=0,"",'Dvd Calendar'!$P$1545*1000000000+ISNUMBER('Dvd Calendar'!$P$1548)*100000000+('Dvd Calendar'!$P$1550=SPECIAL_LBL)*10000000+(N('Dvd Calendar'!$P$1544)&gt;0)*(N('Dvd Calendar'!$P$1544)&lt;=VAL_SERIAL)*1000000+40*1000+12))</f>
        <v/>
      </c>
      <c r="EQ155" s="39">
        <f>IF(N('Dvd Calendar'!$Q$1545)=0,"",IF(('Dvd Calendar'!$Q$1545&gt;=GRID_FROM)*('Dvd Calendar'!$Q$1545&lt;=GRID_TO)*((('Dvd Calendar'!$Q$1545&lt;=VAL_DATE)+(COUNTIF('Dvd Calendar'!$E$1552:$AR$1552,'Dvd Calendar'!$Q$1545)=0))&gt;0)=0,"",'Dvd Calendar'!$Q$1545*1000000000+ISNUMBER('Dvd Calendar'!$Q$1548)*100000000+('Dvd Calendar'!$Q$1550=SPECIAL_LBL)*10000000+(N('Dvd Calendar'!$Q$1544)&gt;0)*(N('Dvd Calendar'!$Q$1544)&lt;=VAL_SERIAL)*1000000+40*1000+13))</f>
        <v/>
      </c>
      <c r="ER155" s="39">
        <f>IF(N('Dvd Calendar'!$R$1545)=0,"",IF(('Dvd Calendar'!$R$1545&gt;=GRID_FROM)*('Dvd Calendar'!$R$1545&lt;=GRID_TO)*((('Dvd Calendar'!$R$1545&lt;=VAL_DATE)+(COUNTIF('Dvd Calendar'!$E$1552:$AR$1552,'Dvd Calendar'!$R$1545)=0))&gt;0)=0,"",'Dvd Calendar'!$R$1545*1000000000+ISNUMBER('Dvd Calendar'!$R$1548)*100000000+('Dvd Calendar'!$R$1550=SPECIAL_LBL)*10000000+(N('Dvd Calendar'!$R$1544)&gt;0)*(N('Dvd Calendar'!$R$1544)&lt;=VAL_SERIAL)*1000000+40*1000+14))</f>
        <v/>
      </c>
      <c r="ES155" s="39">
        <f>IF(N('Dvd Calendar'!$S$1545)=0,"",IF(('Dvd Calendar'!$S$1545&gt;=GRID_FROM)*('Dvd Calendar'!$S$1545&lt;=GRID_TO)*((('Dvd Calendar'!$S$1545&lt;=VAL_DATE)+(COUNTIF('Dvd Calendar'!$E$1552:$AR$1552,'Dvd Calendar'!$S$1545)=0))&gt;0)=0,"",'Dvd Calendar'!$S$1545*1000000000+ISNUMBER('Dvd Calendar'!$S$1548)*100000000+('Dvd Calendar'!$S$1550=SPECIAL_LBL)*10000000+(N('Dvd Calendar'!$S$1544)&gt;0)*(N('Dvd Calendar'!$S$1544)&lt;=VAL_SERIAL)*1000000+40*1000+15))</f>
        <v/>
      </c>
      <c r="ET155" s="39">
        <f>IF(N('Dvd Calendar'!$T$1545)=0,"",IF(('Dvd Calendar'!$T$1545&gt;=GRID_FROM)*('Dvd Calendar'!$T$1545&lt;=GRID_TO)*((('Dvd Calendar'!$T$1545&lt;=VAL_DATE)+(COUNTIF('Dvd Calendar'!$E$1552:$AR$1552,'Dvd Calendar'!$T$1545)=0))&gt;0)=0,"",'Dvd Calendar'!$T$1545*1000000000+ISNUMBER('Dvd Calendar'!$T$1548)*100000000+('Dvd Calendar'!$T$1550=SPECIAL_LBL)*10000000+(N('Dvd Calendar'!$T$1544)&gt;0)*(N('Dvd Calendar'!$T$1544)&lt;=VAL_SERIAL)*1000000+40*1000+16))</f>
        <v/>
      </c>
      <c r="EU155" s="39">
        <f>IF(N('Dvd Calendar'!$U$1545)=0,"",IF(('Dvd Calendar'!$U$1545&gt;=GRID_FROM)*('Dvd Calendar'!$U$1545&lt;=GRID_TO)*((('Dvd Calendar'!$U$1545&lt;=VAL_DATE)+(COUNTIF('Dvd Calendar'!$E$1552:$AR$1552,'Dvd Calendar'!$U$1545)=0))&gt;0)=0,"",'Dvd Calendar'!$U$1545*1000000000+ISNUMBER('Dvd Calendar'!$U$1548)*100000000+('Dvd Calendar'!$U$1550=SPECIAL_LBL)*10000000+(N('Dvd Calendar'!$U$1544)&gt;0)*(N('Dvd Calendar'!$U$1544)&lt;=VAL_SERIAL)*1000000+40*1000+17))</f>
        <v/>
      </c>
      <c r="EV155" s="39">
        <f>IF(N('Dvd Calendar'!$V$1545)=0,"",IF(('Dvd Calendar'!$V$1545&gt;=GRID_FROM)*('Dvd Calendar'!$V$1545&lt;=GRID_TO)*((('Dvd Calendar'!$V$1545&lt;=VAL_DATE)+(COUNTIF('Dvd Calendar'!$E$1552:$AR$1552,'Dvd Calendar'!$V$1545)=0))&gt;0)=0,"",'Dvd Calendar'!$V$1545*1000000000+ISNUMBER('Dvd Calendar'!$V$1548)*100000000+('Dvd Calendar'!$V$1550=SPECIAL_LBL)*10000000+(N('Dvd Calendar'!$V$1544)&gt;0)*(N('Dvd Calendar'!$V$1544)&lt;=VAL_SERIAL)*1000000+40*1000+18))</f>
        <v/>
      </c>
      <c r="EW155" s="39">
        <f>IF(N('Dvd Calendar'!$W$1545)=0,"",IF(('Dvd Calendar'!$W$1545&gt;=GRID_FROM)*('Dvd Calendar'!$W$1545&lt;=GRID_TO)*((('Dvd Calendar'!$W$1545&lt;=VAL_DATE)+(COUNTIF('Dvd Calendar'!$E$1552:$AR$1552,'Dvd Calendar'!$W$1545)=0))&gt;0)=0,"",'Dvd Calendar'!$W$1545*1000000000+ISNUMBER('Dvd Calendar'!$W$1548)*100000000+('Dvd Calendar'!$W$1550=SPECIAL_LBL)*10000000+(N('Dvd Calendar'!$W$1544)&gt;0)*(N('Dvd Calendar'!$W$1544)&lt;=VAL_SERIAL)*1000000+40*1000+19))</f>
        <v/>
      </c>
      <c r="EX155" s="39">
        <f>IF(N('Dvd Calendar'!$X$1545)=0,"",IF(('Dvd Calendar'!$X$1545&gt;=GRID_FROM)*('Dvd Calendar'!$X$1545&lt;=GRID_TO)*((('Dvd Calendar'!$X$1545&lt;=VAL_DATE)+(COUNTIF('Dvd Calendar'!$E$1552:$AR$1552,'Dvd Calendar'!$X$1545)=0))&gt;0)=0,"",'Dvd Calendar'!$X$1545*1000000000+ISNUMBER('Dvd Calendar'!$X$1548)*100000000+('Dvd Calendar'!$X$1550=SPECIAL_LBL)*10000000+(N('Dvd Calendar'!$X$1544)&gt;0)*(N('Dvd Calendar'!$X$1544)&lt;=VAL_SERIAL)*1000000+40*1000+20))</f>
        <v/>
      </c>
      <c r="EY155" s="39">
        <f>IF(N('Dvd Calendar'!$Y$1545)=0,"",IF(('Dvd Calendar'!$Y$1545&gt;=GRID_FROM)*('Dvd Calendar'!$Y$1545&lt;=GRID_TO)*((('Dvd Calendar'!$Y$1545&lt;=VAL_DATE)+(COUNTIF('Dvd Calendar'!$E$1552:$AR$1552,'Dvd Calendar'!$Y$1545)=0))&gt;0)=0,"",'Dvd Calendar'!$Y$1545*1000000000+ISNUMBER('Dvd Calendar'!$Y$1548)*100000000+('Dvd Calendar'!$Y$1550=SPECIAL_LBL)*10000000+(N('Dvd Calendar'!$Y$1544)&gt;0)*(N('Dvd Calendar'!$Y$1544)&lt;=VAL_SERIAL)*1000000+40*1000+21))</f>
        <v/>
      </c>
      <c r="EZ155" s="39">
        <f>IF(N('Dvd Calendar'!$Z$1545)=0,"",IF(('Dvd Calendar'!$Z$1545&gt;=GRID_FROM)*('Dvd Calendar'!$Z$1545&lt;=GRID_TO)*((('Dvd Calendar'!$Z$1545&lt;=VAL_DATE)+(COUNTIF('Dvd Calendar'!$E$1552:$AR$1552,'Dvd Calendar'!$Z$1545)=0))&gt;0)=0,"",'Dvd Calendar'!$Z$1545*1000000000+ISNUMBER('Dvd Calendar'!$Z$1548)*100000000+('Dvd Calendar'!$Z$1550=SPECIAL_LBL)*10000000+(N('Dvd Calendar'!$Z$1544)&gt;0)*(N('Dvd Calendar'!$Z$1544)&lt;=VAL_SERIAL)*1000000+40*1000+22))</f>
        <v/>
      </c>
      <c r="FA155" s="39">
        <f>IF(N('Dvd Calendar'!$AA$1545)=0,"",IF(('Dvd Calendar'!$AA$1545&gt;=GRID_FROM)*('Dvd Calendar'!$AA$1545&lt;=GRID_TO)*((('Dvd Calendar'!$AA$1545&lt;=VAL_DATE)+(COUNTIF('Dvd Calendar'!$E$1552:$AR$1552,'Dvd Calendar'!$AA$1545)=0))&gt;0)=0,"",'Dvd Calendar'!$AA$1545*1000000000+ISNUMBER('Dvd Calendar'!$AA$1548)*100000000+('Dvd Calendar'!$AA$1550=SPECIAL_LBL)*10000000+(N('Dvd Calendar'!$AA$1544)&gt;0)*(N('Dvd Calendar'!$AA$1544)&lt;=VAL_SERIAL)*1000000+40*1000+23))</f>
        <v/>
      </c>
      <c r="FB155" s="39">
        <f>IF(N('Dvd Calendar'!$AB$1545)=0,"",IF(('Dvd Calendar'!$AB$1545&gt;=GRID_FROM)*('Dvd Calendar'!$AB$1545&lt;=GRID_TO)*((('Dvd Calendar'!$AB$1545&lt;=VAL_DATE)+(COUNTIF('Dvd Calendar'!$E$1552:$AR$1552,'Dvd Calendar'!$AB$1545)=0))&gt;0)=0,"",'Dvd Calendar'!$AB$1545*1000000000+ISNUMBER('Dvd Calendar'!$AB$1548)*100000000+('Dvd Calendar'!$AB$1550=SPECIAL_LBL)*10000000+(N('Dvd Calendar'!$AB$1544)&gt;0)*(N('Dvd Calendar'!$AB$1544)&lt;=VAL_SERIAL)*1000000+40*1000+24))</f>
        <v/>
      </c>
      <c r="FC155" s="39">
        <f>IF(N('Dvd Calendar'!$AC$1545)=0,"",IF(('Dvd Calendar'!$AC$1545&gt;=GRID_FROM)*('Dvd Calendar'!$AC$1545&lt;=GRID_TO)*((('Dvd Calendar'!$AC$1545&lt;=VAL_DATE)+(COUNTIF('Dvd Calendar'!$E$1552:$AR$1552,'Dvd Calendar'!$AC$1545)=0))&gt;0)=0,"",'Dvd Calendar'!$AC$1545*1000000000+ISNUMBER('Dvd Calendar'!$AC$1548)*100000000+('Dvd Calendar'!$AC$1550=SPECIAL_LBL)*10000000+(N('Dvd Calendar'!$AC$1544)&gt;0)*(N('Dvd Calendar'!$AC$1544)&lt;=VAL_SERIAL)*1000000+40*1000+25))</f>
        <v/>
      </c>
      <c r="FD155" s="39">
        <f>IF(N('Dvd Calendar'!$AD$1545)=0,"",IF(('Dvd Calendar'!$AD$1545&gt;=GRID_FROM)*('Dvd Calendar'!$AD$1545&lt;=GRID_TO)*((('Dvd Calendar'!$AD$1545&lt;=VAL_DATE)+(COUNTIF('Dvd Calendar'!$E$1552:$AR$1552,'Dvd Calendar'!$AD$1545)=0))&gt;0)=0,"",'Dvd Calendar'!$AD$1545*1000000000+ISNUMBER('Dvd Calendar'!$AD$1548)*100000000+('Dvd Calendar'!$AD$1550=SPECIAL_LBL)*10000000+(N('Dvd Calendar'!$AD$1544)&gt;0)*(N('Dvd Calendar'!$AD$1544)&lt;=VAL_SERIAL)*1000000+40*1000+26))</f>
        <v/>
      </c>
      <c r="FE155" s="39">
        <f>IF(N('Dvd Calendar'!$AE$1545)=0,"",IF(('Dvd Calendar'!$AE$1545&gt;=GRID_FROM)*('Dvd Calendar'!$AE$1545&lt;=GRID_TO)*((('Dvd Calendar'!$AE$1545&lt;=VAL_DATE)+(COUNTIF('Dvd Calendar'!$E$1552:$AR$1552,'Dvd Calendar'!$AE$1545)=0))&gt;0)=0,"",'Dvd Calendar'!$AE$1545*1000000000+ISNUMBER('Dvd Calendar'!$AE$1548)*100000000+('Dvd Calendar'!$AE$1550=SPECIAL_LBL)*10000000+(N('Dvd Calendar'!$AE$1544)&gt;0)*(N('Dvd Calendar'!$AE$1544)&lt;=VAL_SERIAL)*1000000+40*1000+27))</f>
        <v/>
      </c>
      <c r="FF155" s="39">
        <f>IF(N('Dvd Calendar'!$AF$1545)=0,"",IF(('Dvd Calendar'!$AF$1545&gt;=GRID_FROM)*('Dvd Calendar'!$AF$1545&lt;=GRID_TO)*((('Dvd Calendar'!$AF$1545&lt;=VAL_DATE)+(COUNTIF('Dvd Calendar'!$E$1552:$AR$1552,'Dvd Calendar'!$AF$1545)=0))&gt;0)=0,"",'Dvd Calendar'!$AF$1545*1000000000+ISNUMBER('Dvd Calendar'!$AF$1548)*100000000+('Dvd Calendar'!$AF$1550=SPECIAL_LBL)*10000000+(N('Dvd Calendar'!$AF$1544)&gt;0)*(N('Dvd Calendar'!$AF$1544)&lt;=VAL_SERIAL)*1000000+40*1000+28))</f>
        <v/>
      </c>
      <c r="FG155" s="39">
        <f>IF(N('Dvd Calendar'!$AG$1545)=0,"",IF(('Dvd Calendar'!$AG$1545&gt;=GRID_FROM)*('Dvd Calendar'!$AG$1545&lt;=GRID_TO)*((('Dvd Calendar'!$AG$1545&lt;=VAL_DATE)+(COUNTIF('Dvd Calendar'!$E$1552:$AR$1552,'Dvd Calendar'!$AG$1545)=0))&gt;0)=0,"",'Dvd Calendar'!$AG$1545*1000000000+ISNUMBER('Dvd Calendar'!$AG$1548)*100000000+('Dvd Calendar'!$AG$1550=SPECIAL_LBL)*10000000+(N('Dvd Calendar'!$AG$1544)&gt;0)*(N('Dvd Calendar'!$AG$1544)&lt;=VAL_SERIAL)*1000000+40*1000+29))</f>
        <v/>
      </c>
      <c r="FH155" s="39">
        <f>IF(N('Dvd Calendar'!$AH$1545)=0,"",IF(('Dvd Calendar'!$AH$1545&gt;=GRID_FROM)*('Dvd Calendar'!$AH$1545&lt;=GRID_TO)*((('Dvd Calendar'!$AH$1545&lt;=VAL_DATE)+(COUNTIF('Dvd Calendar'!$E$1552:$AR$1552,'Dvd Calendar'!$AH$1545)=0))&gt;0)=0,"",'Dvd Calendar'!$AH$1545*1000000000+ISNUMBER('Dvd Calendar'!$AH$1548)*100000000+('Dvd Calendar'!$AH$1550=SPECIAL_LBL)*10000000+(N('Dvd Calendar'!$AH$1544)&gt;0)*(N('Dvd Calendar'!$AH$1544)&lt;=VAL_SERIAL)*1000000+40*1000+30))</f>
        <v/>
      </c>
      <c r="FI155" s="39">
        <f>IF(N('Dvd Calendar'!$AI$1545)=0,"",IF(('Dvd Calendar'!$AI$1545&gt;=GRID_FROM)*('Dvd Calendar'!$AI$1545&lt;=GRID_TO)*((('Dvd Calendar'!$AI$1545&lt;=VAL_DATE)+(COUNTIF('Dvd Calendar'!$E$1552:$AR$1552,'Dvd Calendar'!$AI$1545)=0))&gt;0)=0,"",'Dvd Calendar'!$AI$1545*1000000000+ISNUMBER('Dvd Calendar'!$AI$1548)*100000000+('Dvd Calendar'!$AI$1550=SPECIAL_LBL)*10000000+(N('Dvd Calendar'!$AI$1544)&gt;0)*(N('Dvd Calendar'!$AI$1544)&lt;=VAL_SERIAL)*1000000+40*1000+31))</f>
        <v/>
      </c>
      <c r="FJ155" s="39">
        <f>IF(N('Dvd Calendar'!$AJ$1545)=0,"",IF(('Dvd Calendar'!$AJ$1545&gt;=GRID_FROM)*('Dvd Calendar'!$AJ$1545&lt;=GRID_TO)*((('Dvd Calendar'!$AJ$1545&lt;=VAL_DATE)+(COUNTIF('Dvd Calendar'!$E$1552:$AR$1552,'Dvd Calendar'!$AJ$1545)=0))&gt;0)=0,"",'Dvd Calendar'!$AJ$1545*1000000000+ISNUMBER('Dvd Calendar'!$AJ$1548)*100000000+('Dvd Calendar'!$AJ$1550=SPECIAL_LBL)*10000000+(N('Dvd Calendar'!$AJ$1544)&gt;0)*(N('Dvd Calendar'!$AJ$1544)&lt;=VAL_SERIAL)*1000000+40*1000+32))</f>
        <v/>
      </c>
      <c r="FK155" s="39">
        <f>IF(N('Dvd Calendar'!$AK$1545)=0,"",IF(('Dvd Calendar'!$AK$1545&gt;=GRID_FROM)*('Dvd Calendar'!$AK$1545&lt;=GRID_TO)*((('Dvd Calendar'!$AK$1545&lt;=VAL_DATE)+(COUNTIF('Dvd Calendar'!$E$1552:$AR$1552,'Dvd Calendar'!$AK$1545)=0))&gt;0)=0,"",'Dvd Calendar'!$AK$1545*1000000000+ISNUMBER('Dvd Calendar'!$AK$1548)*100000000+('Dvd Calendar'!$AK$1550=SPECIAL_LBL)*10000000+(N('Dvd Calendar'!$AK$1544)&gt;0)*(N('Dvd Calendar'!$AK$1544)&lt;=VAL_SERIAL)*1000000+40*1000+33))</f>
        <v/>
      </c>
      <c r="FL155" s="39">
        <f>IF(N('Dvd Calendar'!$AL$1545)=0,"",IF(('Dvd Calendar'!$AL$1545&gt;=GRID_FROM)*('Dvd Calendar'!$AL$1545&lt;=GRID_TO)*((('Dvd Calendar'!$AL$1545&lt;=VAL_DATE)+(COUNTIF('Dvd Calendar'!$E$1552:$AR$1552,'Dvd Calendar'!$AL$1545)=0))&gt;0)=0,"",'Dvd Calendar'!$AL$1545*1000000000+ISNUMBER('Dvd Calendar'!$AL$1548)*100000000+('Dvd Calendar'!$AL$1550=SPECIAL_LBL)*10000000+(N('Dvd Calendar'!$AL$1544)&gt;0)*(N('Dvd Calendar'!$AL$1544)&lt;=VAL_SERIAL)*1000000+40*1000+34))</f>
        <v/>
      </c>
      <c r="FM155" s="39">
        <f>IF(N('Dvd Calendar'!$AM$1545)=0,"",IF(('Dvd Calendar'!$AM$1545&gt;=GRID_FROM)*('Dvd Calendar'!$AM$1545&lt;=GRID_TO)*((('Dvd Calendar'!$AM$1545&lt;=VAL_DATE)+(COUNTIF('Dvd Calendar'!$E$1552:$AR$1552,'Dvd Calendar'!$AM$1545)=0))&gt;0)=0,"",'Dvd Calendar'!$AM$1545*1000000000+ISNUMBER('Dvd Calendar'!$AM$1548)*100000000+('Dvd Calendar'!$AM$1550=SPECIAL_LBL)*10000000+(N('Dvd Calendar'!$AM$1544)&gt;0)*(N('Dvd Calendar'!$AM$1544)&lt;=VAL_SERIAL)*1000000+40*1000+35))</f>
        <v/>
      </c>
      <c r="FN155" s="39">
        <f>IF(N('Dvd Calendar'!$AN$1545)=0,"",IF(('Dvd Calendar'!$AN$1545&gt;=GRID_FROM)*('Dvd Calendar'!$AN$1545&lt;=GRID_TO)*((('Dvd Calendar'!$AN$1545&lt;=VAL_DATE)+(COUNTIF('Dvd Calendar'!$E$1552:$AR$1552,'Dvd Calendar'!$AN$1545)=0))&gt;0)=0,"",'Dvd Calendar'!$AN$1545*1000000000+ISNUMBER('Dvd Calendar'!$AN$1548)*100000000+('Dvd Calendar'!$AN$1550=SPECIAL_LBL)*10000000+(N('Dvd Calendar'!$AN$1544)&gt;0)*(N('Dvd Calendar'!$AN$1544)&lt;=VAL_SERIAL)*1000000+40*1000+36))</f>
        <v/>
      </c>
      <c r="FO155" s="39">
        <f>IF(N('Dvd Calendar'!$AO$1545)=0,"",IF(('Dvd Calendar'!$AO$1545&gt;=GRID_FROM)*('Dvd Calendar'!$AO$1545&lt;=GRID_TO)*((('Dvd Calendar'!$AO$1545&lt;=VAL_DATE)+(COUNTIF('Dvd Calendar'!$E$1552:$AR$1552,'Dvd Calendar'!$AO$1545)=0))&gt;0)=0,"",'Dvd Calendar'!$AO$1545*1000000000+ISNUMBER('Dvd Calendar'!$AO$1548)*100000000+('Dvd Calendar'!$AO$1550=SPECIAL_LBL)*10000000+(N('Dvd Calendar'!$AO$1544)&gt;0)*(N('Dvd Calendar'!$AO$1544)&lt;=VAL_SERIAL)*1000000+40*1000+37))</f>
        <v/>
      </c>
      <c r="FP155" s="39">
        <f>IF(N('Dvd Calendar'!$AP$1545)=0,"",IF(('Dvd Calendar'!$AP$1545&gt;=GRID_FROM)*('Dvd Calendar'!$AP$1545&lt;=GRID_TO)*((('Dvd Calendar'!$AP$1545&lt;=VAL_DATE)+(COUNTIF('Dvd Calendar'!$E$1552:$AR$1552,'Dvd Calendar'!$AP$1545)=0))&gt;0)=0,"",'Dvd Calendar'!$AP$1545*1000000000+ISNUMBER('Dvd Calendar'!$AP$1548)*100000000+('Dvd Calendar'!$AP$1550=SPECIAL_LBL)*10000000+(N('Dvd Calendar'!$AP$1544)&gt;0)*(N('Dvd Calendar'!$AP$1544)&lt;=VAL_SERIAL)*1000000+40*1000+38))</f>
        <v/>
      </c>
      <c r="FQ155" s="39">
        <f>IF(N('Dvd Calendar'!$AQ$1545)=0,"",IF(('Dvd Calendar'!$AQ$1545&gt;=GRID_FROM)*('Dvd Calendar'!$AQ$1545&lt;=GRID_TO)*((('Dvd Calendar'!$AQ$1545&lt;=VAL_DATE)+(COUNTIF('Dvd Calendar'!$E$1552:$AR$1552,'Dvd Calendar'!$AQ$1545)=0))&gt;0)=0,"",'Dvd Calendar'!$AQ$1545*1000000000+ISNUMBER('Dvd Calendar'!$AQ$1548)*100000000+('Dvd Calendar'!$AQ$1550=SPECIAL_LBL)*10000000+(N('Dvd Calendar'!$AQ$1544)&gt;0)*(N('Dvd Calendar'!$AQ$1544)&lt;=VAL_SERIAL)*1000000+40*1000+39))</f>
        <v/>
      </c>
      <c r="FR155" s="39">
        <f>IF(N('Dvd Calendar'!$AR$1545)=0,"",IF(('Dvd Calendar'!$AR$1545&gt;=GRID_FROM)*('Dvd Calendar'!$AR$1545&lt;=GRID_TO)*((('Dvd Calendar'!$AR$1545&lt;=VAL_DATE)+(COUNTIF('Dvd Calendar'!$E$1552:$AR$1552,'Dvd Calendar'!$AR$1545)=0))&gt;0)=0,"",'Dvd Calendar'!$AR$1545*1000000000+ISNUMBER('Dvd Calendar'!$AR$1548)*100000000+('Dvd Calendar'!$AR$1550=SPECIAL_LBL)*10000000+(N('Dvd Calendar'!$AR$1544)&gt;0)*(N('Dvd Calendar'!$AR$1544)&lt;=VAL_SERIAL)*1000000+40*1000+40))</f>
        <v/>
      </c>
      <c r="FS155" s="39">
        <f>IF(N('Dvd Calendar'!$E$1552)=0,"",IF(('Dvd Calendar'!$E$1552&gt;=GRID_FROM)*('Dvd Calendar'!$E$1552&lt;=GRID_TO)*('Dvd Calendar'!$E$1552&gt;VAL_DATE)=0,"",'Dvd Calendar'!$E$1552*1000000000+ISNUMBER('Dvd Calendar'!$E$1553)*100000000+0*10000000+(N('Dvd Calendar'!$E$1551)&gt;0)*(N('Dvd Calendar'!$E$1551)&lt;=VAL_SERIAL)*1000000+40*1000+41))</f>
        <v/>
      </c>
      <c r="FT155" s="39">
        <f>IF(N('Dvd Calendar'!$F$1552)=0,"",IF(('Dvd Calendar'!$F$1552&gt;=GRID_FROM)*('Dvd Calendar'!$F$1552&lt;=GRID_TO)*('Dvd Calendar'!$F$1552&gt;VAL_DATE)=0,"",'Dvd Calendar'!$F$1552*1000000000+ISNUMBER('Dvd Calendar'!$F$1553)*100000000+0*10000000+(N('Dvd Calendar'!$F$1551)&gt;0)*(N('Dvd Calendar'!$F$1551)&lt;=VAL_SERIAL)*1000000+40*1000+42))</f>
        <v/>
      </c>
      <c r="FU155" s="39">
        <f>IF(N('Dvd Calendar'!$G$1552)=0,"",IF(('Dvd Calendar'!$G$1552&gt;=GRID_FROM)*('Dvd Calendar'!$G$1552&lt;=GRID_TO)*('Dvd Calendar'!$G$1552&gt;VAL_DATE)=0,"",'Dvd Calendar'!$G$1552*1000000000+ISNUMBER('Dvd Calendar'!$G$1553)*100000000+0*10000000+(N('Dvd Calendar'!$G$1551)&gt;0)*(N('Dvd Calendar'!$G$1551)&lt;=VAL_SERIAL)*1000000+40*1000+43))</f>
        <v/>
      </c>
      <c r="FV155" s="39">
        <f>IF(N('Dvd Calendar'!$H$1552)=0,"",IF(('Dvd Calendar'!$H$1552&gt;=GRID_FROM)*('Dvd Calendar'!$H$1552&lt;=GRID_TO)*('Dvd Calendar'!$H$1552&gt;VAL_DATE)=0,"",'Dvd Calendar'!$H$1552*1000000000+ISNUMBER('Dvd Calendar'!$H$1553)*100000000+0*10000000+(N('Dvd Calendar'!$H$1551)&gt;0)*(N('Dvd Calendar'!$H$1551)&lt;=VAL_SERIAL)*1000000+40*1000+44))</f>
        <v/>
      </c>
      <c r="FW155" s="39">
        <f>IF(N('Dvd Calendar'!$I$1552)=0,"",IF(('Dvd Calendar'!$I$1552&gt;=GRID_FROM)*('Dvd Calendar'!$I$1552&lt;=GRID_TO)*('Dvd Calendar'!$I$1552&gt;VAL_DATE)=0,"",'Dvd Calendar'!$I$1552*1000000000+ISNUMBER('Dvd Calendar'!$I$1553)*100000000+0*10000000+(N('Dvd Calendar'!$I$1551)&gt;0)*(N('Dvd Calendar'!$I$1551)&lt;=VAL_SERIAL)*1000000+40*1000+45))</f>
        <v/>
      </c>
      <c r="FX155" s="39">
        <f>IF(N('Dvd Calendar'!$J$1552)=0,"",IF(('Dvd Calendar'!$J$1552&gt;=GRID_FROM)*('Dvd Calendar'!$J$1552&lt;=GRID_TO)*('Dvd Calendar'!$J$1552&gt;VAL_DATE)=0,"",'Dvd Calendar'!$J$1552*1000000000+ISNUMBER('Dvd Calendar'!$J$1553)*100000000+0*10000000+(N('Dvd Calendar'!$J$1551)&gt;0)*(N('Dvd Calendar'!$J$1551)&lt;=VAL_SERIAL)*1000000+40*1000+46))</f>
        <v/>
      </c>
      <c r="FY155" s="39">
        <f>IF(N('Dvd Calendar'!$K$1552)=0,"",IF(('Dvd Calendar'!$K$1552&gt;=GRID_FROM)*('Dvd Calendar'!$K$1552&lt;=GRID_TO)*('Dvd Calendar'!$K$1552&gt;VAL_DATE)=0,"",'Dvd Calendar'!$K$1552*1000000000+ISNUMBER('Dvd Calendar'!$K$1553)*100000000+0*10000000+(N('Dvd Calendar'!$K$1551)&gt;0)*(N('Dvd Calendar'!$K$1551)&lt;=VAL_SERIAL)*1000000+40*1000+47))</f>
        <v/>
      </c>
      <c r="FZ155" s="39">
        <f>IF(N('Dvd Calendar'!$L$1552)=0,"",IF(('Dvd Calendar'!$L$1552&gt;=GRID_FROM)*('Dvd Calendar'!$L$1552&lt;=GRID_TO)*('Dvd Calendar'!$L$1552&gt;VAL_DATE)=0,"",'Dvd Calendar'!$L$1552*1000000000+ISNUMBER('Dvd Calendar'!$L$1553)*100000000+0*10000000+(N('Dvd Calendar'!$L$1551)&gt;0)*(N('Dvd Calendar'!$L$1551)&lt;=VAL_SERIAL)*1000000+40*1000+48))</f>
        <v/>
      </c>
      <c r="GA155" s="39">
        <f>IF(N('Dvd Calendar'!$M$1552)=0,"",IF(('Dvd Calendar'!$M$1552&gt;=GRID_FROM)*('Dvd Calendar'!$M$1552&lt;=GRID_TO)*('Dvd Calendar'!$M$1552&gt;VAL_DATE)=0,"",'Dvd Calendar'!$M$1552*1000000000+ISNUMBER('Dvd Calendar'!$M$1553)*100000000+0*10000000+(N('Dvd Calendar'!$M$1551)&gt;0)*(N('Dvd Calendar'!$M$1551)&lt;=VAL_SERIAL)*1000000+40*1000+49))</f>
        <v/>
      </c>
      <c r="GB155" s="39">
        <f>IF(N('Dvd Calendar'!$N$1552)=0,"",IF(('Dvd Calendar'!$N$1552&gt;=GRID_FROM)*('Dvd Calendar'!$N$1552&lt;=GRID_TO)*('Dvd Calendar'!$N$1552&gt;VAL_DATE)=0,"",'Dvd Calendar'!$N$1552*1000000000+ISNUMBER('Dvd Calendar'!$N$1553)*100000000+0*10000000+(N('Dvd Calendar'!$N$1551)&gt;0)*(N('Dvd Calendar'!$N$1551)&lt;=VAL_SERIAL)*1000000+40*1000+50))</f>
        <v/>
      </c>
      <c r="GC155" s="39">
        <f>IF(N('Dvd Calendar'!$O$1552)=0,"",IF(('Dvd Calendar'!$O$1552&gt;=GRID_FROM)*('Dvd Calendar'!$O$1552&lt;=GRID_TO)*('Dvd Calendar'!$O$1552&gt;VAL_DATE)=0,"",'Dvd Calendar'!$O$1552*1000000000+ISNUMBER('Dvd Calendar'!$O$1553)*100000000+0*10000000+(N('Dvd Calendar'!$O$1551)&gt;0)*(N('Dvd Calendar'!$O$1551)&lt;=VAL_SERIAL)*1000000+40*1000+51))</f>
        <v/>
      </c>
      <c r="GD155" s="39">
        <f>IF(N('Dvd Calendar'!$P$1552)=0,"",IF(('Dvd Calendar'!$P$1552&gt;=GRID_FROM)*('Dvd Calendar'!$P$1552&lt;=GRID_TO)*('Dvd Calendar'!$P$1552&gt;VAL_DATE)=0,"",'Dvd Calendar'!$P$1552*1000000000+ISNUMBER('Dvd Calendar'!$P$1553)*100000000+0*10000000+(N('Dvd Calendar'!$P$1551)&gt;0)*(N('Dvd Calendar'!$P$1551)&lt;=VAL_SERIAL)*1000000+40*1000+52))</f>
        <v/>
      </c>
      <c r="GE155" s="39">
        <f>IF(N('Dvd Calendar'!$Q$1552)=0,"",IF(('Dvd Calendar'!$Q$1552&gt;=GRID_FROM)*('Dvd Calendar'!$Q$1552&lt;=GRID_TO)*('Dvd Calendar'!$Q$1552&gt;VAL_DATE)=0,"",'Dvd Calendar'!$Q$1552*1000000000+ISNUMBER('Dvd Calendar'!$Q$1553)*100000000+0*10000000+(N('Dvd Calendar'!$Q$1551)&gt;0)*(N('Dvd Calendar'!$Q$1551)&lt;=VAL_SERIAL)*1000000+40*1000+53))</f>
        <v/>
      </c>
      <c r="GF155" s="39">
        <f>IF(N('Dvd Calendar'!$R$1552)=0,"",IF(('Dvd Calendar'!$R$1552&gt;=GRID_FROM)*('Dvd Calendar'!$R$1552&lt;=GRID_TO)*('Dvd Calendar'!$R$1552&gt;VAL_DATE)=0,"",'Dvd Calendar'!$R$1552*1000000000+ISNUMBER('Dvd Calendar'!$R$1553)*100000000+0*10000000+(N('Dvd Calendar'!$R$1551)&gt;0)*(N('Dvd Calendar'!$R$1551)&lt;=VAL_SERIAL)*1000000+40*1000+54))</f>
        <v/>
      </c>
      <c r="GG155" s="39">
        <f>IF(N('Dvd Calendar'!$S$1552)=0,"",IF(('Dvd Calendar'!$S$1552&gt;=GRID_FROM)*('Dvd Calendar'!$S$1552&lt;=GRID_TO)*('Dvd Calendar'!$S$1552&gt;VAL_DATE)=0,"",'Dvd Calendar'!$S$1552*1000000000+ISNUMBER('Dvd Calendar'!$S$1553)*100000000+0*10000000+(N('Dvd Calendar'!$S$1551)&gt;0)*(N('Dvd Calendar'!$S$1551)&lt;=VAL_SERIAL)*1000000+40*1000+55))</f>
        <v/>
      </c>
      <c r="GH155" s="39">
        <f>IF(N('Dvd Calendar'!$T$1552)=0,"",IF(('Dvd Calendar'!$T$1552&gt;=GRID_FROM)*('Dvd Calendar'!$T$1552&lt;=GRID_TO)*('Dvd Calendar'!$T$1552&gt;VAL_DATE)=0,"",'Dvd Calendar'!$T$1552*1000000000+ISNUMBER('Dvd Calendar'!$T$1553)*100000000+0*10000000+(N('Dvd Calendar'!$T$1551)&gt;0)*(N('Dvd Calendar'!$T$1551)&lt;=VAL_SERIAL)*1000000+40*1000+56))</f>
        <v/>
      </c>
      <c r="GI155" s="39">
        <f>IF(N('Dvd Calendar'!$U$1552)=0,"",IF(('Dvd Calendar'!$U$1552&gt;=GRID_FROM)*('Dvd Calendar'!$U$1552&lt;=GRID_TO)*('Dvd Calendar'!$U$1552&gt;VAL_DATE)=0,"",'Dvd Calendar'!$U$1552*1000000000+ISNUMBER('Dvd Calendar'!$U$1553)*100000000+0*10000000+(N('Dvd Calendar'!$U$1551)&gt;0)*(N('Dvd Calendar'!$U$1551)&lt;=VAL_SERIAL)*1000000+40*1000+57))</f>
        <v/>
      </c>
      <c r="GJ155" s="39">
        <f>IF(N('Dvd Calendar'!$V$1552)=0,"",IF(('Dvd Calendar'!$V$1552&gt;=GRID_FROM)*('Dvd Calendar'!$V$1552&lt;=GRID_TO)*('Dvd Calendar'!$V$1552&gt;VAL_DATE)=0,"",'Dvd Calendar'!$V$1552*1000000000+ISNUMBER('Dvd Calendar'!$V$1553)*100000000+0*10000000+(N('Dvd Calendar'!$V$1551)&gt;0)*(N('Dvd Calendar'!$V$1551)&lt;=VAL_SERIAL)*1000000+40*1000+58))</f>
        <v/>
      </c>
      <c r="GK155" s="39">
        <f>IF(N('Dvd Calendar'!$W$1552)=0,"",IF(('Dvd Calendar'!$W$1552&gt;=GRID_FROM)*('Dvd Calendar'!$W$1552&lt;=GRID_TO)*('Dvd Calendar'!$W$1552&gt;VAL_DATE)=0,"",'Dvd Calendar'!$W$1552*1000000000+ISNUMBER('Dvd Calendar'!$W$1553)*100000000+0*10000000+(N('Dvd Calendar'!$W$1551)&gt;0)*(N('Dvd Calendar'!$W$1551)&lt;=VAL_SERIAL)*1000000+40*1000+59))</f>
        <v/>
      </c>
      <c r="GL155" s="39">
        <f>IF(N('Dvd Calendar'!$X$1552)=0,"",IF(('Dvd Calendar'!$X$1552&gt;=GRID_FROM)*('Dvd Calendar'!$X$1552&lt;=GRID_TO)*('Dvd Calendar'!$X$1552&gt;VAL_DATE)=0,"",'Dvd Calendar'!$X$1552*1000000000+ISNUMBER('Dvd Calendar'!$X$1553)*100000000+0*10000000+(N('Dvd Calendar'!$X$1551)&gt;0)*(N('Dvd Calendar'!$X$1551)&lt;=VAL_SERIAL)*1000000+40*1000+60))</f>
        <v/>
      </c>
      <c r="GM155" s="39">
        <f>IF(N('Dvd Calendar'!$Y$1552)=0,"",IF(('Dvd Calendar'!$Y$1552&gt;=GRID_FROM)*('Dvd Calendar'!$Y$1552&lt;=GRID_TO)*('Dvd Calendar'!$Y$1552&gt;VAL_DATE)=0,"",'Dvd Calendar'!$Y$1552*1000000000+ISNUMBER('Dvd Calendar'!$Y$1553)*100000000+0*10000000+(N('Dvd Calendar'!$Y$1551)&gt;0)*(N('Dvd Calendar'!$Y$1551)&lt;=VAL_SERIAL)*1000000+40*1000+61))</f>
        <v/>
      </c>
      <c r="GN155" s="39">
        <f>IF(N('Dvd Calendar'!$Z$1552)=0,"",IF(('Dvd Calendar'!$Z$1552&gt;=GRID_FROM)*('Dvd Calendar'!$Z$1552&lt;=GRID_TO)*('Dvd Calendar'!$Z$1552&gt;VAL_DATE)=0,"",'Dvd Calendar'!$Z$1552*1000000000+ISNUMBER('Dvd Calendar'!$Z$1553)*100000000+0*10000000+(N('Dvd Calendar'!$Z$1551)&gt;0)*(N('Dvd Calendar'!$Z$1551)&lt;=VAL_SERIAL)*1000000+40*1000+62))</f>
        <v/>
      </c>
      <c r="GO155" s="39">
        <f>IF(N('Dvd Calendar'!$AA$1552)=0,"",IF(('Dvd Calendar'!$AA$1552&gt;=GRID_FROM)*('Dvd Calendar'!$AA$1552&lt;=GRID_TO)*('Dvd Calendar'!$AA$1552&gt;VAL_DATE)=0,"",'Dvd Calendar'!$AA$1552*1000000000+ISNUMBER('Dvd Calendar'!$AA$1553)*100000000+0*10000000+(N('Dvd Calendar'!$AA$1551)&gt;0)*(N('Dvd Calendar'!$AA$1551)&lt;=VAL_SERIAL)*1000000+40*1000+63))</f>
        <v/>
      </c>
      <c r="GP155" s="39">
        <f>IF(N('Dvd Calendar'!$AB$1552)=0,"",IF(('Dvd Calendar'!$AB$1552&gt;=GRID_FROM)*('Dvd Calendar'!$AB$1552&lt;=GRID_TO)*('Dvd Calendar'!$AB$1552&gt;VAL_DATE)=0,"",'Dvd Calendar'!$AB$1552*1000000000+ISNUMBER('Dvd Calendar'!$AB$1553)*100000000+0*10000000+(N('Dvd Calendar'!$AB$1551)&gt;0)*(N('Dvd Calendar'!$AB$1551)&lt;=VAL_SERIAL)*1000000+40*1000+64))</f>
        <v/>
      </c>
      <c r="GQ155" s="39">
        <f>IF(N('Dvd Calendar'!$AC$1552)=0,"",IF(('Dvd Calendar'!$AC$1552&gt;=GRID_FROM)*('Dvd Calendar'!$AC$1552&lt;=GRID_TO)*('Dvd Calendar'!$AC$1552&gt;VAL_DATE)=0,"",'Dvd Calendar'!$AC$1552*1000000000+ISNUMBER('Dvd Calendar'!$AC$1553)*100000000+0*10000000+(N('Dvd Calendar'!$AC$1551)&gt;0)*(N('Dvd Calendar'!$AC$1551)&lt;=VAL_SERIAL)*1000000+40*1000+65))</f>
        <v/>
      </c>
    </row>
    <row r="158">
      <c r="B158" s="6" t="inlineStr">
        <is>
          <t>Hang Seng China Enterprises (HSCEI)  -  DPS per event  (slots 1-40 history, 41-65 projections)</t>
        </is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Q158" s="6" t="inlineStr">
        <is>
          <t>index points per event</t>
        </is>
      </c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  <c r="CD158" s="7" t="n"/>
      <c r="CE158" s="7" t="n"/>
      <c r="CF158" s="7" t="n"/>
      <c r="CG158" s="7" t="n"/>
      <c r="CH158" s="7" t="n"/>
      <c r="CI158" s="7" t="n"/>
      <c r="CJ158" s="7" t="n"/>
      <c r="CK158" s="7" t="n"/>
      <c r="CL158" s="7" t="n"/>
      <c r="CM158" s="7" t="n"/>
      <c r="CN158" s="7" t="n"/>
      <c r="CO158" s="7" t="n"/>
      <c r="CP158" s="7" t="n"/>
      <c r="CQ158" s="7" t="n"/>
      <c r="CR158" s="7" t="n"/>
      <c r="CS158" s="7" t="n"/>
      <c r="CT158" s="7" t="n"/>
      <c r="CU158" s="7" t="n"/>
      <c r="CV158" s="7" t="n"/>
      <c r="CW158" s="7" t="n"/>
      <c r="CX158" s="7" t="n"/>
      <c r="CY158" s="7" t="n"/>
      <c r="CZ158" s="7" t="n"/>
      <c r="DA158" s="7" t="n"/>
      <c r="DB158" s="7" t="n"/>
      <c r="DC158" s="7" t="n"/>
      <c r="DD158" s="7" t="n"/>
      <c r="DE158" s="7" t="n"/>
      <c r="DF158" s="7" t="n"/>
      <c r="DG158" s="7" t="n"/>
      <c r="DH158" s="7" t="n"/>
      <c r="DI158" s="7" t="n"/>
      <c r="DJ158" s="7" t="n"/>
      <c r="DK158" s="7" t="n"/>
      <c r="DL158" s="7" t="n"/>
      <c r="DM158" s="7" t="n"/>
      <c r="DN158" s="7" t="n"/>
      <c r="DO158" s="7" t="n"/>
      <c r="DP158" s="7" t="n"/>
      <c r="DQ158" s="7" t="n"/>
      <c r="DR158" s="7" t="n"/>
      <c r="DS158" s="7" t="n"/>
      <c r="DT158" s="7" t="n"/>
      <c r="DU158" s="7" t="n"/>
      <c r="DV158" s="7" t="n"/>
      <c r="DW158" s="7" t="n"/>
      <c r="DX158" s="7" t="n"/>
      <c r="DY158" s="7" t="n"/>
      <c r="DZ158" s="7" t="n"/>
      <c r="EA158" s="7" t="n"/>
      <c r="EB158" s="7" t="n"/>
      <c r="EC158" s="7" t="n"/>
      <c r="EE158" s="6" t="inlineStr">
        <is>
          <t>packed codes (blank on purpose - use the decoder)</t>
        </is>
      </c>
      <c r="EF158" s="7" t="n"/>
      <c r="EG158" s="7" t="n"/>
      <c r="EH158" s="7" t="n"/>
      <c r="EI158" s="7" t="n"/>
      <c r="EJ158" s="7" t="n"/>
      <c r="EK158" s="7" t="n"/>
      <c r="EL158" s="7" t="n"/>
      <c r="EM158" s="7" t="n"/>
      <c r="EN158" s="7" t="n"/>
      <c r="EO158" s="7" t="n"/>
      <c r="EP158" s="7" t="n"/>
      <c r="EQ158" s="7" t="n"/>
      <c r="ER158" s="7" t="n"/>
      <c r="ES158" s="7" t="n"/>
      <c r="ET158" s="7" t="n"/>
      <c r="EU158" s="7" t="n"/>
      <c r="EV158" s="7" t="n"/>
      <c r="EW158" s="7" t="n"/>
      <c r="EX158" s="7" t="n"/>
      <c r="EY158" s="7" t="n"/>
      <c r="EZ158" s="7" t="n"/>
      <c r="FA158" s="7" t="n"/>
      <c r="FB158" s="7" t="n"/>
      <c r="FC158" s="7" t="n"/>
      <c r="FD158" s="7" t="n"/>
      <c r="FE158" s="7" t="n"/>
      <c r="FF158" s="7" t="n"/>
      <c r="FG158" s="7" t="n"/>
      <c r="FH158" s="7" t="n"/>
      <c r="FI158" s="7" t="n"/>
      <c r="FJ158" s="7" t="n"/>
      <c r="FK158" s="7" t="n"/>
      <c r="FL158" s="7" t="n"/>
      <c r="FM158" s="7" t="n"/>
      <c r="FN158" s="7" t="n"/>
      <c r="FO158" s="7" t="n"/>
      <c r="FP158" s="7" t="n"/>
      <c r="FQ158" s="7" t="n"/>
      <c r="FR158" s="7" t="n"/>
      <c r="FS158" s="7" t="n"/>
      <c r="FT158" s="7" t="n"/>
      <c r="FU158" s="7" t="n"/>
      <c r="FV158" s="7" t="n"/>
      <c r="FW158" s="7" t="n"/>
      <c r="FX158" s="7" t="n"/>
      <c r="FY158" s="7" t="n"/>
      <c r="FZ158" s="7" t="n"/>
      <c r="GA158" s="7" t="n"/>
      <c r="GB158" s="7" t="n"/>
      <c r="GC158" s="7" t="n"/>
      <c r="GD158" s="7" t="n"/>
      <c r="GE158" s="7" t="n"/>
      <c r="GF158" s="7" t="n"/>
      <c r="GG158" s="7" t="n"/>
      <c r="GH158" s="7" t="n"/>
      <c r="GI158" s="7" t="n"/>
      <c r="GJ158" s="7" t="n"/>
      <c r="GK158" s="7" t="n"/>
      <c r="GL158" s="7" t="n"/>
      <c r="GM158" s="7" t="n"/>
      <c r="GN158" s="7" t="n"/>
      <c r="GO158" s="7" t="n"/>
      <c r="GP158" s="7" t="n"/>
      <c r="GQ158" s="7" t="n"/>
    </row>
    <row r="160">
      <c r="B160" s="2">
        <f>IF(HSCEI!$C$7="","",HSCEI!$C$7)</f>
        <v/>
      </c>
      <c r="C160" s="110">
        <f>IF(EE160="","",IF(ISNUMBER('Dvd Calendar'!$E$1564)=FALSE,"",IF((('Dvd Calendar'!$E$1566=TYPE1)*(TYPE1&lt;&gt;"")+('Dvd Calendar'!$E$1566=TYPE2)*(TYPE2&lt;&gt;"")+('Dvd Calendar'!$E$1566=TYPE3)*(TYPE3&lt;&gt;"")+('Dvd Calendar'!$E$1566=TYPE4)*(TYPE4&lt;&gt;"")+('Dvd Calendar'!$E$1566=SPECIAL_LBL)*(INC_SPECIALS="Y"))=0,"",'Dvd Calendar'!$E$1564)))</f>
        <v/>
      </c>
      <c r="D160" s="110">
        <f>IF(EF160="","",IF(ISNUMBER('Dvd Calendar'!$F$1564)=FALSE,"",IF((('Dvd Calendar'!$F$1566=TYPE1)*(TYPE1&lt;&gt;"")+('Dvd Calendar'!$F$1566=TYPE2)*(TYPE2&lt;&gt;"")+('Dvd Calendar'!$F$1566=TYPE3)*(TYPE3&lt;&gt;"")+('Dvd Calendar'!$F$1566=TYPE4)*(TYPE4&lt;&gt;"")+('Dvd Calendar'!$F$1566=SPECIAL_LBL)*(INC_SPECIALS="Y"))=0,"",'Dvd Calendar'!$F$1564)))</f>
        <v/>
      </c>
      <c r="E160" s="110">
        <f>IF(EG160="","",IF(ISNUMBER('Dvd Calendar'!$G$1564)=FALSE,"",IF((('Dvd Calendar'!$G$1566=TYPE1)*(TYPE1&lt;&gt;"")+('Dvd Calendar'!$G$1566=TYPE2)*(TYPE2&lt;&gt;"")+('Dvd Calendar'!$G$1566=TYPE3)*(TYPE3&lt;&gt;"")+('Dvd Calendar'!$G$1566=TYPE4)*(TYPE4&lt;&gt;"")+('Dvd Calendar'!$G$1566=SPECIAL_LBL)*(INC_SPECIALS="Y"))=0,"",'Dvd Calendar'!$G$1564)))</f>
        <v/>
      </c>
      <c r="F160" s="110">
        <f>IF(EH160="","",IF(ISNUMBER('Dvd Calendar'!$H$1564)=FALSE,"",IF((('Dvd Calendar'!$H$1566=TYPE1)*(TYPE1&lt;&gt;"")+('Dvd Calendar'!$H$1566=TYPE2)*(TYPE2&lt;&gt;"")+('Dvd Calendar'!$H$1566=TYPE3)*(TYPE3&lt;&gt;"")+('Dvd Calendar'!$H$1566=TYPE4)*(TYPE4&lt;&gt;"")+('Dvd Calendar'!$H$1566=SPECIAL_LBL)*(INC_SPECIALS="Y"))=0,"",'Dvd Calendar'!$H$1564)))</f>
        <v/>
      </c>
      <c r="G160" s="110">
        <f>IF(EI160="","",IF(ISNUMBER('Dvd Calendar'!$I$1564)=FALSE,"",IF((('Dvd Calendar'!$I$1566=TYPE1)*(TYPE1&lt;&gt;"")+('Dvd Calendar'!$I$1566=TYPE2)*(TYPE2&lt;&gt;"")+('Dvd Calendar'!$I$1566=TYPE3)*(TYPE3&lt;&gt;"")+('Dvd Calendar'!$I$1566=TYPE4)*(TYPE4&lt;&gt;"")+('Dvd Calendar'!$I$1566=SPECIAL_LBL)*(INC_SPECIALS="Y"))=0,"",'Dvd Calendar'!$I$1564)))</f>
        <v/>
      </c>
      <c r="H160" s="110">
        <f>IF(EJ160="","",IF(ISNUMBER('Dvd Calendar'!$J$1564)=FALSE,"",IF((('Dvd Calendar'!$J$1566=TYPE1)*(TYPE1&lt;&gt;"")+('Dvd Calendar'!$J$1566=TYPE2)*(TYPE2&lt;&gt;"")+('Dvd Calendar'!$J$1566=TYPE3)*(TYPE3&lt;&gt;"")+('Dvd Calendar'!$J$1566=TYPE4)*(TYPE4&lt;&gt;"")+('Dvd Calendar'!$J$1566=SPECIAL_LBL)*(INC_SPECIALS="Y"))=0,"",'Dvd Calendar'!$J$1564)))</f>
        <v/>
      </c>
      <c r="I160" s="110">
        <f>IF(EK160="","",IF(ISNUMBER('Dvd Calendar'!$K$1564)=FALSE,"",IF((('Dvd Calendar'!$K$1566=TYPE1)*(TYPE1&lt;&gt;"")+('Dvd Calendar'!$K$1566=TYPE2)*(TYPE2&lt;&gt;"")+('Dvd Calendar'!$K$1566=TYPE3)*(TYPE3&lt;&gt;"")+('Dvd Calendar'!$K$1566=TYPE4)*(TYPE4&lt;&gt;"")+('Dvd Calendar'!$K$1566=SPECIAL_LBL)*(INC_SPECIALS="Y"))=0,"",'Dvd Calendar'!$K$1564)))</f>
        <v/>
      </c>
      <c r="J160" s="110">
        <f>IF(EL160="","",IF(ISNUMBER('Dvd Calendar'!$L$1564)=FALSE,"",IF((('Dvd Calendar'!$L$1566=TYPE1)*(TYPE1&lt;&gt;"")+('Dvd Calendar'!$L$1566=TYPE2)*(TYPE2&lt;&gt;"")+('Dvd Calendar'!$L$1566=TYPE3)*(TYPE3&lt;&gt;"")+('Dvd Calendar'!$L$1566=TYPE4)*(TYPE4&lt;&gt;"")+('Dvd Calendar'!$L$1566=SPECIAL_LBL)*(INC_SPECIALS="Y"))=0,"",'Dvd Calendar'!$L$1564)))</f>
        <v/>
      </c>
      <c r="K160" s="110">
        <f>IF(EM160="","",IF(ISNUMBER('Dvd Calendar'!$M$1564)=FALSE,"",IF((('Dvd Calendar'!$M$1566=TYPE1)*(TYPE1&lt;&gt;"")+('Dvd Calendar'!$M$1566=TYPE2)*(TYPE2&lt;&gt;"")+('Dvd Calendar'!$M$1566=TYPE3)*(TYPE3&lt;&gt;"")+('Dvd Calendar'!$M$1566=TYPE4)*(TYPE4&lt;&gt;"")+('Dvd Calendar'!$M$1566=SPECIAL_LBL)*(INC_SPECIALS="Y"))=0,"",'Dvd Calendar'!$M$1564)))</f>
        <v/>
      </c>
      <c r="L160" s="110">
        <f>IF(EN160="","",IF(ISNUMBER('Dvd Calendar'!$N$1564)=FALSE,"",IF((('Dvd Calendar'!$N$1566=TYPE1)*(TYPE1&lt;&gt;"")+('Dvd Calendar'!$N$1566=TYPE2)*(TYPE2&lt;&gt;"")+('Dvd Calendar'!$N$1566=TYPE3)*(TYPE3&lt;&gt;"")+('Dvd Calendar'!$N$1566=TYPE4)*(TYPE4&lt;&gt;"")+('Dvd Calendar'!$N$1566=SPECIAL_LBL)*(INC_SPECIALS="Y"))=0,"",'Dvd Calendar'!$N$1564)))</f>
        <v/>
      </c>
      <c r="M160" s="110">
        <f>IF(EO160="","",IF(ISNUMBER('Dvd Calendar'!$O$1564)=FALSE,"",IF((('Dvd Calendar'!$O$1566=TYPE1)*(TYPE1&lt;&gt;"")+('Dvd Calendar'!$O$1566=TYPE2)*(TYPE2&lt;&gt;"")+('Dvd Calendar'!$O$1566=TYPE3)*(TYPE3&lt;&gt;"")+('Dvd Calendar'!$O$1566=TYPE4)*(TYPE4&lt;&gt;"")+('Dvd Calendar'!$O$1566=SPECIAL_LBL)*(INC_SPECIALS="Y"))=0,"",'Dvd Calendar'!$O$1564)))</f>
        <v/>
      </c>
      <c r="N160" s="110">
        <f>IF(EP160="","",IF(ISNUMBER('Dvd Calendar'!$P$1564)=FALSE,"",IF((('Dvd Calendar'!$P$1566=TYPE1)*(TYPE1&lt;&gt;"")+('Dvd Calendar'!$P$1566=TYPE2)*(TYPE2&lt;&gt;"")+('Dvd Calendar'!$P$1566=TYPE3)*(TYPE3&lt;&gt;"")+('Dvd Calendar'!$P$1566=TYPE4)*(TYPE4&lt;&gt;"")+('Dvd Calendar'!$P$1566=SPECIAL_LBL)*(INC_SPECIALS="Y"))=0,"",'Dvd Calendar'!$P$1564)))</f>
        <v/>
      </c>
      <c r="O160" s="110">
        <f>IF(EQ160="","",IF(ISNUMBER('Dvd Calendar'!$Q$1564)=FALSE,"",IF((('Dvd Calendar'!$Q$1566=TYPE1)*(TYPE1&lt;&gt;"")+('Dvd Calendar'!$Q$1566=TYPE2)*(TYPE2&lt;&gt;"")+('Dvd Calendar'!$Q$1566=TYPE3)*(TYPE3&lt;&gt;"")+('Dvd Calendar'!$Q$1566=TYPE4)*(TYPE4&lt;&gt;"")+('Dvd Calendar'!$Q$1566=SPECIAL_LBL)*(INC_SPECIALS="Y"))=0,"",'Dvd Calendar'!$Q$1564)))</f>
        <v/>
      </c>
      <c r="P160" s="110">
        <f>IF(ER160="","",IF(ISNUMBER('Dvd Calendar'!$R$1564)=FALSE,"",IF((('Dvd Calendar'!$R$1566=TYPE1)*(TYPE1&lt;&gt;"")+('Dvd Calendar'!$R$1566=TYPE2)*(TYPE2&lt;&gt;"")+('Dvd Calendar'!$R$1566=TYPE3)*(TYPE3&lt;&gt;"")+('Dvd Calendar'!$R$1566=TYPE4)*(TYPE4&lt;&gt;"")+('Dvd Calendar'!$R$1566=SPECIAL_LBL)*(INC_SPECIALS="Y"))=0,"",'Dvd Calendar'!$R$1564)))</f>
        <v/>
      </c>
      <c r="Q160" s="110">
        <f>IF(ES160="","",IF(ISNUMBER('Dvd Calendar'!$S$1564)=FALSE,"",IF((('Dvd Calendar'!$S$1566=TYPE1)*(TYPE1&lt;&gt;"")+('Dvd Calendar'!$S$1566=TYPE2)*(TYPE2&lt;&gt;"")+('Dvd Calendar'!$S$1566=TYPE3)*(TYPE3&lt;&gt;"")+('Dvd Calendar'!$S$1566=TYPE4)*(TYPE4&lt;&gt;"")+('Dvd Calendar'!$S$1566=SPECIAL_LBL)*(INC_SPECIALS="Y"))=0,"",'Dvd Calendar'!$S$1564)))</f>
        <v/>
      </c>
      <c r="R160" s="110">
        <f>IF(ET160="","",IF(ISNUMBER('Dvd Calendar'!$T$1564)=FALSE,"",IF((('Dvd Calendar'!$T$1566=TYPE1)*(TYPE1&lt;&gt;"")+('Dvd Calendar'!$T$1566=TYPE2)*(TYPE2&lt;&gt;"")+('Dvd Calendar'!$T$1566=TYPE3)*(TYPE3&lt;&gt;"")+('Dvd Calendar'!$T$1566=TYPE4)*(TYPE4&lt;&gt;"")+('Dvd Calendar'!$T$1566=SPECIAL_LBL)*(INC_SPECIALS="Y"))=0,"",'Dvd Calendar'!$T$1564)))</f>
        <v/>
      </c>
      <c r="S160" s="110">
        <f>IF(EU160="","",IF(ISNUMBER('Dvd Calendar'!$U$1564)=FALSE,"",IF((('Dvd Calendar'!$U$1566=TYPE1)*(TYPE1&lt;&gt;"")+('Dvd Calendar'!$U$1566=TYPE2)*(TYPE2&lt;&gt;"")+('Dvd Calendar'!$U$1566=TYPE3)*(TYPE3&lt;&gt;"")+('Dvd Calendar'!$U$1566=TYPE4)*(TYPE4&lt;&gt;"")+('Dvd Calendar'!$U$1566=SPECIAL_LBL)*(INC_SPECIALS="Y"))=0,"",'Dvd Calendar'!$U$1564)))</f>
        <v/>
      </c>
      <c r="T160" s="110">
        <f>IF(EV160="","",IF(ISNUMBER('Dvd Calendar'!$V$1564)=FALSE,"",IF((('Dvd Calendar'!$V$1566=TYPE1)*(TYPE1&lt;&gt;"")+('Dvd Calendar'!$V$1566=TYPE2)*(TYPE2&lt;&gt;"")+('Dvd Calendar'!$V$1566=TYPE3)*(TYPE3&lt;&gt;"")+('Dvd Calendar'!$V$1566=TYPE4)*(TYPE4&lt;&gt;"")+('Dvd Calendar'!$V$1566=SPECIAL_LBL)*(INC_SPECIALS="Y"))=0,"",'Dvd Calendar'!$V$1564)))</f>
        <v/>
      </c>
      <c r="U160" s="110">
        <f>IF(EW160="","",IF(ISNUMBER('Dvd Calendar'!$W$1564)=FALSE,"",IF((('Dvd Calendar'!$W$1566=TYPE1)*(TYPE1&lt;&gt;"")+('Dvd Calendar'!$W$1566=TYPE2)*(TYPE2&lt;&gt;"")+('Dvd Calendar'!$W$1566=TYPE3)*(TYPE3&lt;&gt;"")+('Dvd Calendar'!$W$1566=TYPE4)*(TYPE4&lt;&gt;"")+('Dvd Calendar'!$W$1566=SPECIAL_LBL)*(INC_SPECIALS="Y"))=0,"",'Dvd Calendar'!$W$1564)))</f>
        <v/>
      </c>
      <c r="V160" s="110">
        <f>IF(EX160="","",IF(ISNUMBER('Dvd Calendar'!$X$1564)=FALSE,"",IF((('Dvd Calendar'!$X$1566=TYPE1)*(TYPE1&lt;&gt;"")+('Dvd Calendar'!$X$1566=TYPE2)*(TYPE2&lt;&gt;"")+('Dvd Calendar'!$X$1566=TYPE3)*(TYPE3&lt;&gt;"")+('Dvd Calendar'!$X$1566=TYPE4)*(TYPE4&lt;&gt;"")+('Dvd Calendar'!$X$1566=SPECIAL_LBL)*(INC_SPECIALS="Y"))=0,"",'Dvd Calendar'!$X$1564)))</f>
        <v/>
      </c>
      <c r="W160" s="110">
        <f>IF(EY160="","",IF(ISNUMBER('Dvd Calendar'!$Y$1564)=FALSE,"",IF((('Dvd Calendar'!$Y$1566=TYPE1)*(TYPE1&lt;&gt;"")+('Dvd Calendar'!$Y$1566=TYPE2)*(TYPE2&lt;&gt;"")+('Dvd Calendar'!$Y$1566=TYPE3)*(TYPE3&lt;&gt;"")+('Dvd Calendar'!$Y$1566=TYPE4)*(TYPE4&lt;&gt;"")+('Dvd Calendar'!$Y$1566=SPECIAL_LBL)*(INC_SPECIALS="Y"))=0,"",'Dvd Calendar'!$Y$1564)))</f>
        <v/>
      </c>
      <c r="X160" s="110">
        <f>IF(EZ160="","",IF(ISNUMBER('Dvd Calendar'!$Z$1564)=FALSE,"",IF((('Dvd Calendar'!$Z$1566=TYPE1)*(TYPE1&lt;&gt;"")+('Dvd Calendar'!$Z$1566=TYPE2)*(TYPE2&lt;&gt;"")+('Dvd Calendar'!$Z$1566=TYPE3)*(TYPE3&lt;&gt;"")+('Dvd Calendar'!$Z$1566=TYPE4)*(TYPE4&lt;&gt;"")+('Dvd Calendar'!$Z$1566=SPECIAL_LBL)*(INC_SPECIALS="Y"))=0,"",'Dvd Calendar'!$Z$1564)))</f>
        <v/>
      </c>
      <c r="Y160" s="110">
        <f>IF(FA160="","",IF(ISNUMBER('Dvd Calendar'!$AA$1564)=FALSE,"",IF((('Dvd Calendar'!$AA$1566=TYPE1)*(TYPE1&lt;&gt;"")+('Dvd Calendar'!$AA$1566=TYPE2)*(TYPE2&lt;&gt;"")+('Dvd Calendar'!$AA$1566=TYPE3)*(TYPE3&lt;&gt;"")+('Dvd Calendar'!$AA$1566=TYPE4)*(TYPE4&lt;&gt;"")+('Dvd Calendar'!$AA$1566=SPECIAL_LBL)*(INC_SPECIALS="Y"))=0,"",'Dvd Calendar'!$AA$1564)))</f>
        <v/>
      </c>
      <c r="Z160" s="110">
        <f>IF(FB160="","",IF(ISNUMBER('Dvd Calendar'!$AB$1564)=FALSE,"",IF((('Dvd Calendar'!$AB$1566=TYPE1)*(TYPE1&lt;&gt;"")+('Dvd Calendar'!$AB$1566=TYPE2)*(TYPE2&lt;&gt;"")+('Dvd Calendar'!$AB$1566=TYPE3)*(TYPE3&lt;&gt;"")+('Dvd Calendar'!$AB$1566=TYPE4)*(TYPE4&lt;&gt;"")+('Dvd Calendar'!$AB$1566=SPECIAL_LBL)*(INC_SPECIALS="Y"))=0,"",'Dvd Calendar'!$AB$1564)))</f>
        <v/>
      </c>
      <c r="AA160" s="110">
        <f>IF(FC160="","",IF(ISNUMBER('Dvd Calendar'!$AC$1564)=FALSE,"",IF((('Dvd Calendar'!$AC$1566=TYPE1)*(TYPE1&lt;&gt;"")+('Dvd Calendar'!$AC$1566=TYPE2)*(TYPE2&lt;&gt;"")+('Dvd Calendar'!$AC$1566=TYPE3)*(TYPE3&lt;&gt;"")+('Dvd Calendar'!$AC$1566=TYPE4)*(TYPE4&lt;&gt;"")+('Dvd Calendar'!$AC$1566=SPECIAL_LBL)*(INC_SPECIALS="Y"))=0,"",'Dvd Calendar'!$AC$1564)))</f>
        <v/>
      </c>
      <c r="AB160" s="110">
        <f>IF(FD160="","",IF(ISNUMBER('Dvd Calendar'!$AD$1564)=FALSE,"",IF((('Dvd Calendar'!$AD$1566=TYPE1)*(TYPE1&lt;&gt;"")+('Dvd Calendar'!$AD$1566=TYPE2)*(TYPE2&lt;&gt;"")+('Dvd Calendar'!$AD$1566=TYPE3)*(TYPE3&lt;&gt;"")+('Dvd Calendar'!$AD$1566=TYPE4)*(TYPE4&lt;&gt;"")+('Dvd Calendar'!$AD$1566=SPECIAL_LBL)*(INC_SPECIALS="Y"))=0,"",'Dvd Calendar'!$AD$1564)))</f>
        <v/>
      </c>
      <c r="AC160" s="110">
        <f>IF(FE160="","",IF(ISNUMBER('Dvd Calendar'!$AE$1564)=FALSE,"",IF((('Dvd Calendar'!$AE$1566=TYPE1)*(TYPE1&lt;&gt;"")+('Dvd Calendar'!$AE$1566=TYPE2)*(TYPE2&lt;&gt;"")+('Dvd Calendar'!$AE$1566=TYPE3)*(TYPE3&lt;&gt;"")+('Dvd Calendar'!$AE$1566=TYPE4)*(TYPE4&lt;&gt;"")+('Dvd Calendar'!$AE$1566=SPECIAL_LBL)*(INC_SPECIALS="Y"))=0,"",'Dvd Calendar'!$AE$1564)))</f>
        <v/>
      </c>
      <c r="AD160" s="110">
        <f>IF(FF160="","",IF(ISNUMBER('Dvd Calendar'!$AF$1564)=FALSE,"",IF((('Dvd Calendar'!$AF$1566=TYPE1)*(TYPE1&lt;&gt;"")+('Dvd Calendar'!$AF$1566=TYPE2)*(TYPE2&lt;&gt;"")+('Dvd Calendar'!$AF$1566=TYPE3)*(TYPE3&lt;&gt;"")+('Dvd Calendar'!$AF$1566=TYPE4)*(TYPE4&lt;&gt;"")+('Dvd Calendar'!$AF$1566=SPECIAL_LBL)*(INC_SPECIALS="Y"))=0,"",'Dvd Calendar'!$AF$1564)))</f>
        <v/>
      </c>
      <c r="AE160" s="110">
        <f>IF(FG160="","",IF(ISNUMBER('Dvd Calendar'!$AG$1564)=FALSE,"",IF((('Dvd Calendar'!$AG$1566=TYPE1)*(TYPE1&lt;&gt;"")+('Dvd Calendar'!$AG$1566=TYPE2)*(TYPE2&lt;&gt;"")+('Dvd Calendar'!$AG$1566=TYPE3)*(TYPE3&lt;&gt;"")+('Dvd Calendar'!$AG$1566=TYPE4)*(TYPE4&lt;&gt;"")+('Dvd Calendar'!$AG$1566=SPECIAL_LBL)*(INC_SPECIALS="Y"))=0,"",'Dvd Calendar'!$AG$1564)))</f>
        <v/>
      </c>
      <c r="AF160" s="110">
        <f>IF(FH160="","",IF(ISNUMBER('Dvd Calendar'!$AH$1564)=FALSE,"",IF((('Dvd Calendar'!$AH$1566=TYPE1)*(TYPE1&lt;&gt;"")+('Dvd Calendar'!$AH$1566=TYPE2)*(TYPE2&lt;&gt;"")+('Dvd Calendar'!$AH$1566=TYPE3)*(TYPE3&lt;&gt;"")+('Dvd Calendar'!$AH$1566=TYPE4)*(TYPE4&lt;&gt;"")+('Dvd Calendar'!$AH$1566=SPECIAL_LBL)*(INC_SPECIALS="Y"))=0,"",'Dvd Calendar'!$AH$1564)))</f>
        <v/>
      </c>
      <c r="AG160" s="110">
        <f>IF(FI160="","",IF(ISNUMBER('Dvd Calendar'!$AI$1564)=FALSE,"",IF((('Dvd Calendar'!$AI$1566=TYPE1)*(TYPE1&lt;&gt;"")+('Dvd Calendar'!$AI$1566=TYPE2)*(TYPE2&lt;&gt;"")+('Dvd Calendar'!$AI$1566=TYPE3)*(TYPE3&lt;&gt;"")+('Dvd Calendar'!$AI$1566=TYPE4)*(TYPE4&lt;&gt;"")+('Dvd Calendar'!$AI$1566=SPECIAL_LBL)*(INC_SPECIALS="Y"))=0,"",'Dvd Calendar'!$AI$1564)))</f>
        <v/>
      </c>
      <c r="AH160" s="110">
        <f>IF(FJ160="","",IF(ISNUMBER('Dvd Calendar'!$AJ$1564)=FALSE,"",IF((('Dvd Calendar'!$AJ$1566=TYPE1)*(TYPE1&lt;&gt;"")+('Dvd Calendar'!$AJ$1566=TYPE2)*(TYPE2&lt;&gt;"")+('Dvd Calendar'!$AJ$1566=TYPE3)*(TYPE3&lt;&gt;"")+('Dvd Calendar'!$AJ$1566=TYPE4)*(TYPE4&lt;&gt;"")+('Dvd Calendar'!$AJ$1566=SPECIAL_LBL)*(INC_SPECIALS="Y"))=0,"",'Dvd Calendar'!$AJ$1564)))</f>
        <v/>
      </c>
      <c r="AI160" s="110">
        <f>IF(FK160="","",IF(ISNUMBER('Dvd Calendar'!$AK$1564)=FALSE,"",IF((('Dvd Calendar'!$AK$1566=TYPE1)*(TYPE1&lt;&gt;"")+('Dvd Calendar'!$AK$1566=TYPE2)*(TYPE2&lt;&gt;"")+('Dvd Calendar'!$AK$1566=TYPE3)*(TYPE3&lt;&gt;"")+('Dvd Calendar'!$AK$1566=TYPE4)*(TYPE4&lt;&gt;"")+('Dvd Calendar'!$AK$1566=SPECIAL_LBL)*(INC_SPECIALS="Y"))=0,"",'Dvd Calendar'!$AK$1564)))</f>
        <v/>
      </c>
      <c r="AJ160" s="110">
        <f>IF(FL160="","",IF(ISNUMBER('Dvd Calendar'!$AL$1564)=FALSE,"",IF((('Dvd Calendar'!$AL$1566=TYPE1)*(TYPE1&lt;&gt;"")+('Dvd Calendar'!$AL$1566=TYPE2)*(TYPE2&lt;&gt;"")+('Dvd Calendar'!$AL$1566=TYPE3)*(TYPE3&lt;&gt;"")+('Dvd Calendar'!$AL$1566=TYPE4)*(TYPE4&lt;&gt;"")+('Dvd Calendar'!$AL$1566=SPECIAL_LBL)*(INC_SPECIALS="Y"))=0,"",'Dvd Calendar'!$AL$1564)))</f>
        <v/>
      </c>
      <c r="AK160" s="110">
        <f>IF(FM160="","",IF(ISNUMBER('Dvd Calendar'!$AM$1564)=FALSE,"",IF((('Dvd Calendar'!$AM$1566=TYPE1)*(TYPE1&lt;&gt;"")+('Dvd Calendar'!$AM$1566=TYPE2)*(TYPE2&lt;&gt;"")+('Dvd Calendar'!$AM$1566=TYPE3)*(TYPE3&lt;&gt;"")+('Dvd Calendar'!$AM$1566=TYPE4)*(TYPE4&lt;&gt;"")+('Dvd Calendar'!$AM$1566=SPECIAL_LBL)*(INC_SPECIALS="Y"))=0,"",'Dvd Calendar'!$AM$1564)))</f>
        <v/>
      </c>
      <c r="AL160" s="110">
        <f>IF(FN160="","",IF(ISNUMBER('Dvd Calendar'!$AN$1564)=FALSE,"",IF((('Dvd Calendar'!$AN$1566=TYPE1)*(TYPE1&lt;&gt;"")+('Dvd Calendar'!$AN$1566=TYPE2)*(TYPE2&lt;&gt;"")+('Dvd Calendar'!$AN$1566=TYPE3)*(TYPE3&lt;&gt;"")+('Dvd Calendar'!$AN$1566=TYPE4)*(TYPE4&lt;&gt;"")+('Dvd Calendar'!$AN$1566=SPECIAL_LBL)*(INC_SPECIALS="Y"))=0,"",'Dvd Calendar'!$AN$1564)))</f>
        <v/>
      </c>
      <c r="AM160" s="110">
        <f>IF(FO160="","",IF(ISNUMBER('Dvd Calendar'!$AO$1564)=FALSE,"",IF((('Dvd Calendar'!$AO$1566=TYPE1)*(TYPE1&lt;&gt;"")+('Dvd Calendar'!$AO$1566=TYPE2)*(TYPE2&lt;&gt;"")+('Dvd Calendar'!$AO$1566=TYPE3)*(TYPE3&lt;&gt;"")+('Dvd Calendar'!$AO$1566=TYPE4)*(TYPE4&lt;&gt;"")+('Dvd Calendar'!$AO$1566=SPECIAL_LBL)*(INC_SPECIALS="Y"))=0,"",'Dvd Calendar'!$AO$1564)))</f>
        <v/>
      </c>
      <c r="AN160" s="110">
        <f>IF(FP160="","",IF(ISNUMBER('Dvd Calendar'!$AP$1564)=FALSE,"",IF((('Dvd Calendar'!$AP$1566=TYPE1)*(TYPE1&lt;&gt;"")+('Dvd Calendar'!$AP$1566=TYPE2)*(TYPE2&lt;&gt;"")+('Dvd Calendar'!$AP$1566=TYPE3)*(TYPE3&lt;&gt;"")+('Dvd Calendar'!$AP$1566=TYPE4)*(TYPE4&lt;&gt;"")+('Dvd Calendar'!$AP$1566=SPECIAL_LBL)*(INC_SPECIALS="Y"))=0,"",'Dvd Calendar'!$AP$1564)))</f>
        <v/>
      </c>
      <c r="AO160" s="110">
        <f>IF(FQ160="","",IF(ISNUMBER('Dvd Calendar'!$AQ$1564)=FALSE,"",IF((('Dvd Calendar'!$AQ$1566=TYPE1)*(TYPE1&lt;&gt;"")+('Dvd Calendar'!$AQ$1566=TYPE2)*(TYPE2&lt;&gt;"")+('Dvd Calendar'!$AQ$1566=TYPE3)*(TYPE3&lt;&gt;"")+('Dvd Calendar'!$AQ$1566=TYPE4)*(TYPE4&lt;&gt;"")+('Dvd Calendar'!$AQ$1566=SPECIAL_LBL)*(INC_SPECIALS="Y"))=0,"",'Dvd Calendar'!$AQ$1564)))</f>
        <v/>
      </c>
      <c r="AP160" s="110">
        <f>IF(FR160="","",IF(ISNUMBER('Dvd Calendar'!$AR$1564)=FALSE,"",IF((('Dvd Calendar'!$AR$1566=TYPE1)*(TYPE1&lt;&gt;"")+('Dvd Calendar'!$AR$1566=TYPE2)*(TYPE2&lt;&gt;"")+('Dvd Calendar'!$AR$1566=TYPE3)*(TYPE3&lt;&gt;"")+('Dvd Calendar'!$AR$1566=TYPE4)*(TYPE4&lt;&gt;"")+('Dvd Calendar'!$AR$1566=SPECIAL_LBL)*(INC_SPECIALS="Y"))=0,"",'Dvd Calendar'!$AR$1564)))</f>
        <v/>
      </c>
      <c r="AQ160" s="110">
        <f>IF(FS160="","",IF(ISNUMBER('Dvd Calendar'!$E$1569)=FALSE,"",'Dvd Calendar'!$E$1569))</f>
        <v/>
      </c>
      <c r="AR160" s="110">
        <f>IF(FT160="","",IF(ISNUMBER('Dvd Calendar'!$F$1569)=FALSE,"",'Dvd Calendar'!$F$1569))</f>
        <v/>
      </c>
      <c r="AS160" s="110">
        <f>IF(FU160="","",IF(ISNUMBER('Dvd Calendar'!$G$1569)=FALSE,"",'Dvd Calendar'!$G$1569))</f>
        <v/>
      </c>
      <c r="AT160" s="110">
        <f>IF(FV160="","",IF(ISNUMBER('Dvd Calendar'!$H$1569)=FALSE,"",'Dvd Calendar'!$H$1569))</f>
        <v/>
      </c>
      <c r="AU160" s="110">
        <f>IF(FW160="","",IF(ISNUMBER('Dvd Calendar'!$I$1569)=FALSE,"",'Dvd Calendar'!$I$1569))</f>
        <v/>
      </c>
      <c r="AV160" s="110">
        <f>IF(FX160="","",IF(ISNUMBER('Dvd Calendar'!$J$1569)=FALSE,"",'Dvd Calendar'!$J$1569))</f>
        <v/>
      </c>
      <c r="AW160" s="110">
        <f>IF(FY160="","",IF(ISNUMBER('Dvd Calendar'!$K$1569)=FALSE,"",'Dvd Calendar'!$K$1569))</f>
        <v/>
      </c>
      <c r="AX160" s="110">
        <f>IF(FZ160="","",IF(ISNUMBER('Dvd Calendar'!$L$1569)=FALSE,"",'Dvd Calendar'!$L$1569))</f>
        <v/>
      </c>
      <c r="AY160" s="110">
        <f>IF(GA160="","",IF(ISNUMBER('Dvd Calendar'!$M$1569)=FALSE,"",'Dvd Calendar'!$M$1569))</f>
        <v/>
      </c>
      <c r="AZ160" s="110">
        <f>IF(GB160="","",IF(ISNUMBER('Dvd Calendar'!$N$1569)=FALSE,"",'Dvd Calendar'!$N$1569))</f>
        <v/>
      </c>
      <c r="BA160" s="110">
        <f>IF(GC160="","",IF(ISNUMBER('Dvd Calendar'!$O$1569)=FALSE,"",'Dvd Calendar'!$O$1569))</f>
        <v/>
      </c>
      <c r="BB160" s="110">
        <f>IF(GD160="","",IF(ISNUMBER('Dvd Calendar'!$P$1569)=FALSE,"",'Dvd Calendar'!$P$1569))</f>
        <v/>
      </c>
      <c r="BC160" s="110">
        <f>IF(GE160="","",IF(ISNUMBER('Dvd Calendar'!$Q$1569)=FALSE,"",'Dvd Calendar'!$Q$1569))</f>
        <v/>
      </c>
      <c r="BD160" s="110">
        <f>IF(GF160="","",IF(ISNUMBER('Dvd Calendar'!$R$1569)=FALSE,"",'Dvd Calendar'!$R$1569))</f>
        <v/>
      </c>
      <c r="BE160" s="110">
        <f>IF(GG160="","",IF(ISNUMBER('Dvd Calendar'!$S$1569)=FALSE,"",'Dvd Calendar'!$S$1569))</f>
        <v/>
      </c>
      <c r="BF160" s="110">
        <f>IF(GH160="","",IF(ISNUMBER('Dvd Calendar'!$T$1569)=FALSE,"",'Dvd Calendar'!$T$1569))</f>
        <v/>
      </c>
      <c r="BG160" s="110">
        <f>IF(GI160="","",IF(ISNUMBER('Dvd Calendar'!$U$1569)=FALSE,"",'Dvd Calendar'!$U$1569))</f>
        <v/>
      </c>
      <c r="BH160" s="110">
        <f>IF(GJ160="","",IF(ISNUMBER('Dvd Calendar'!$V$1569)=FALSE,"",'Dvd Calendar'!$V$1569))</f>
        <v/>
      </c>
      <c r="BI160" s="110">
        <f>IF(GK160="","",IF(ISNUMBER('Dvd Calendar'!$W$1569)=FALSE,"",'Dvd Calendar'!$W$1569))</f>
        <v/>
      </c>
      <c r="BJ160" s="110">
        <f>IF(GL160="","",IF(ISNUMBER('Dvd Calendar'!$X$1569)=FALSE,"",'Dvd Calendar'!$X$1569))</f>
        <v/>
      </c>
      <c r="BK160" s="110">
        <f>IF(GM160="","",IF(ISNUMBER('Dvd Calendar'!$Y$1569)=FALSE,"",'Dvd Calendar'!$Y$1569))</f>
        <v/>
      </c>
      <c r="BL160" s="110">
        <f>IF(GN160="","",IF(ISNUMBER('Dvd Calendar'!$Z$1569)=FALSE,"",'Dvd Calendar'!$Z$1569))</f>
        <v/>
      </c>
      <c r="BM160" s="110">
        <f>IF(GO160="","",IF(ISNUMBER('Dvd Calendar'!$AA$1569)=FALSE,"",'Dvd Calendar'!$AA$1569))</f>
        <v/>
      </c>
      <c r="BN160" s="110">
        <f>IF(GP160="","",IF(ISNUMBER('Dvd Calendar'!$AB$1569)=FALSE,"",'Dvd Calendar'!$AB$1569))</f>
        <v/>
      </c>
      <c r="BO160" s="110">
        <f>IF(GQ160="","",IF(ISNUMBER('Dvd Calendar'!$AC$1569)=FALSE,"",'Dvd Calendar'!$AC$1569))</f>
        <v/>
      </c>
      <c r="BQ160" s="110">
        <f>IF(C160="","",IFERROR(C160*HSCEI!$B$7*HSCEI!$G$7/HSCEI!$B$3,""))</f>
        <v/>
      </c>
      <c r="BR160" s="110">
        <f>IF(D160="","",IFERROR(D160*HSCEI!$B$7*HSCEI!$G$7/HSCEI!$B$3,""))</f>
        <v/>
      </c>
      <c r="BS160" s="110">
        <f>IF(E160="","",IFERROR(E160*HSCEI!$B$7*HSCEI!$G$7/HSCEI!$B$3,""))</f>
        <v/>
      </c>
      <c r="BT160" s="110">
        <f>IF(F160="","",IFERROR(F160*HSCEI!$B$7*HSCEI!$G$7/HSCEI!$B$3,""))</f>
        <v/>
      </c>
      <c r="BU160" s="110">
        <f>IF(G160="","",IFERROR(G160*HSCEI!$B$7*HSCEI!$G$7/HSCEI!$B$3,""))</f>
        <v/>
      </c>
      <c r="BV160" s="110">
        <f>IF(H160="","",IFERROR(H160*HSCEI!$B$7*HSCEI!$G$7/HSCEI!$B$3,""))</f>
        <v/>
      </c>
      <c r="BW160" s="110">
        <f>IF(I160="","",IFERROR(I160*HSCEI!$B$7*HSCEI!$G$7/HSCEI!$B$3,""))</f>
        <v/>
      </c>
      <c r="BX160" s="110">
        <f>IF(J160="","",IFERROR(J160*HSCEI!$B$7*HSCEI!$G$7/HSCEI!$B$3,""))</f>
        <v/>
      </c>
      <c r="BY160" s="110">
        <f>IF(K160="","",IFERROR(K160*HSCEI!$B$7*HSCEI!$G$7/HSCEI!$B$3,""))</f>
        <v/>
      </c>
      <c r="BZ160" s="110">
        <f>IF(L160="","",IFERROR(L160*HSCEI!$B$7*HSCEI!$G$7/HSCEI!$B$3,""))</f>
        <v/>
      </c>
      <c r="CA160" s="110">
        <f>IF(M160="","",IFERROR(M160*HSCEI!$B$7*HSCEI!$G$7/HSCEI!$B$3,""))</f>
        <v/>
      </c>
      <c r="CB160" s="110">
        <f>IF(N160="","",IFERROR(N160*HSCEI!$B$7*HSCEI!$G$7/HSCEI!$B$3,""))</f>
        <v/>
      </c>
      <c r="CC160" s="110">
        <f>IF(O160="","",IFERROR(O160*HSCEI!$B$7*HSCEI!$G$7/HSCEI!$B$3,""))</f>
        <v/>
      </c>
      <c r="CD160" s="110">
        <f>IF(P160="","",IFERROR(P160*HSCEI!$B$7*HSCEI!$G$7/HSCEI!$B$3,""))</f>
        <v/>
      </c>
      <c r="CE160" s="110">
        <f>IF(Q160="","",IFERROR(Q160*HSCEI!$B$7*HSCEI!$G$7/HSCEI!$B$3,""))</f>
        <v/>
      </c>
      <c r="CF160" s="110">
        <f>IF(R160="","",IFERROR(R160*HSCEI!$B$7*HSCEI!$G$7/HSCEI!$B$3,""))</f>
        <v/>
      </c>
      <c r="CG160" s="110">
        <f>IF(S160="","",IFERROR(S160*HSCEI!$B$7*HSCEI!$G$7/HSCEI!$B$3,""))</f>
        <v/>
      </c>
      <c r="CH160" s="110">
        <f>IF(T160="","",IFERROR(T160*HSCEI!$B$7*HSCEI!$G$7/HSCEI!$B$3,""))</f>
        <v/>
      </c>
      <c r="CI160" s="110">
        <f>IF(U160="","",IFERROR(U160*HSCEI!$B$7*HSCEI!$G$7/HSCEI!$B$3,""))</f>
        <v/>
      </c>
      <c r="CJ160" s="110">
        <f>IF(V160="","",IFERROR(V160*HSCEI!$B$7*HSCEI!$G$7/HSCEI!$B$3,""))</f>
        <v/>
      </c>
      <c r="CK160" s="110">
        <f>IF(W160="","",IFERROR(W160*HSCEI!$B$7*HSCEI!$G$7/HSCEI!$B$3,""))</f>
        <v/>
      </c>
      <c r="CL160" s="110">
        <f>IF(X160="","",IFERROR(X160*HSCEI!$B$7*HSCEI!$G$7/HSCEI!$B$3,""))</f>
        <v/>
      </c>
      <c r="CM160" s="110">
        <f>IF(Y160="","",IFERROR(Y160*HSCEI!$B$7*HSCEI!$G$7/HSCEI!$B$3,""))</f>
        <v/>
      </c>
      <c r="CN160" s="110">
        <f>IF(Z160="","",IFERROR(Z160*HSCEI!$B$7*HSCEI!$G$7/HSCEI!$B$3,""))</f>
        <v/>
      </c>
      <c r="CO160" s="110">
        <f>IF(AA160="","",IFERROR(AA160*HSCEI!$B$7*HSCEI!$G$7/HSCEI!$B$3,""))</f>
        <v/>
      </c>
      <c r="CP160" s="110">
        <f>IF(AB160="","",IFERROR(AB160*HSCEI!$B$7*HSCEI!$G$7/HSCEI!$B$3,""))</f>
        <v/>
      </c>
      <c r="CQ160" s="110">
        <f>IF(AC160="","",IFERROR(AC160*HSCEI!$B$7*HSCEI!$G$7/HSCEI!$B$3,""))</f>
        <v/>
      </c>
      <c r="CR160" s="110">
        <f>IF(AD160="","",IFERROR(AD160*HSCEI!$B$7*HSCEI!$G$7/HSCEI!$B$3,""))</f>
        <v/>
      </c>
      <c r="CS160" s="110">
        <f>IF(AE160="","",IFERROR(AE160*HSCEI!$B$7*HSCEI!$G$7/HSCEI!$B$3,""))</f>
        <v/>
      </c>
      <c r="CT160" s="110">
        <f>IF(AF160="","",IFERROR(AF160*HSCEI!$B$7*HSCEI!$G$7/HSCEI!$B$3,""))</f>
        <v/>
      </c>
      <c r="CU160" s="110">
        <f>IF(AG160="","",IFERROR(AG160*HSCEI!$B$7*HSCEI!$G$7/HSCEI!$B$3,""))</f>
        <v/>
      </c>
      <c r="CV160" s="110">
        <f>IF(AH160="","",IFERROR(AH160*HSCEI!$B$7*HSCEI!$G$7/HSCEI!$B$3,""))</f>
        <v/>
      </c>
      <c r="CW160" s="110">
        <f>IF(AI160="","",IFERROR(AI160*HSCEI!$B$7*HSCEI!$G$7/HSCEI!$B$3,""))</f>
        <v/>
      </c>
      <c r="CX160" s="110">
        <f>IF(AJ160="","",IFERROR(AJ160*HSCEI!$B$7*HSCEI!$G$7/HSCEI!$B$3,""))</f>
        <v/>
      </c>
      <c r="CY160" s="110">
        <f>IF(AK160="","",IFERROR(AK160*HSCEI!$B$7*HSCEI!$G$7/HSCEI!$B$3,""))</f>
        <v/>
      </c>
      <c r="CZ160" s="110">
        <f>IF(AL160="","",IFERROR(AL160*HSCEI!$B$7*HSCEI!$G$7/HSCEI!$B$3,""))</f>
        <v/>
      </c>
      <c r="DA160" s="110">
        <f>IF(AM160="","",IFERROR(AM160*HSCEI!$B$7*HSCEI!$G$7/HSCEI!$B$3,""))</f>
        <v/>
      </c>
      <c r="DB160" s="110">
        <f>IF(AN160="","",IFERROR(AN160*HSCEI!$B$7*HSCEI!$G$7/HSCEI!$B$3,""))</f>
        <v/>
      </c>
      <c r="DC160" s="110">
        <f>IF(AO160="","",IFERROR(AO160*HSCEI!$B$7*HSCEI!$G$7/HSCEI!$B$3,""))</f>
        <v/>
      </c>
      <c r="DD160" s="110">
        <f>IF(AP160="","",IFERROR(AP160*HSCEI!$B$7*HSCEI!$G$7/HSCEI!$B$3,""))</f>
        <v/>
      </c>
      <c r="DE160" s="110">
        <f>IF(AQ160="","",IFERROR(AQ160*HSCEI!$B$7*HSCEI!$G$7/HSCEI!$B$3,""))</f>
        <v/>
      </c>
      <c r="DF160" s="110">
        <f>IF(AR160="","",IFERROR(AR160*HSCEI!$B$7*HSCEI!$G$7/HSCEI!$B$3,""))</f>
        <v/>
      </c>
      <c r="DG160" s="110">
        <f>IF(AS160="","",IFERROR(AS160*HSCEI!$B$7*HSCEI!$G$7/HSCEI!$B$3,""))</f>
        <v/>
      </c>
      <c r="DH160" s="110">
        <f>IF(AT160="","",IFERROR(AT160*HSCEI!$B$7*HSCEI!$G$7/HSCEI!$B$3,""))</f>
        <v/>
      </c>
      <c r="DI160" s="110">
        <f>IF(AU160="","",IFERROR(AU160*HSCEI!$B$7*HSCEI!$G$7/HSCEI!$B$3,""))</f>
        <v/>
      </c>
      <c r="DJ160" s="110">
        <f>IF(AV160="","",IFERROR(AV160*HSCEI!$B$7*HSCEI!$G$7/HSCEI!$B$3,""))</f>
        <v/>
      </c>
      <c r="DK160" s="110">
        <f>IF(AW160="","",IFERROR(AW160*HSCEI!$B$7*HSCEI!$G$7/HSCEI!$B$3,""))</f>
        <v/>
      </c>
      <c r="DL160" s="110">
        <f>IF(AX160="","",IFERROR(AX160*HSCEI!$B$7*HSCEI!$G$7/HSCEI!$B$3,""))</f>
        <v/>
      </c>
      <c r="DM160" s="110">
        <f>IF(AY160="","",IFERROR(AY160*HSCEI!$B$7*HSCEI!$G$7/HSCEI!$B$3,""))</f>
        <v/>
      </c>
      <c r="DN160" s="110">
        <f>IF(AZ160="","",IFERROR(AZ160*HSCEI!$B$7*HSCEI!$G$7/HSCEI!$B$3,""))</f>
        <v/>
      </c>
      <c r="DO160" s="110">
        <f>IF(BA160="","",IFERROR(BA160*HSCEI!$B$7*HSCEI!$G$7/HSCEI!$B$3,""))</f>
        <v/>
      </c>
      <c r="DP160" s="110">
        <f>IF(BB160="","",IFERROR(BB160*HSCEI!$B$7*HSCEI!$G$7/HSCEI!$B$3,""))</f>
        <v/>
      </c>
      <c r="DQ160" s="110">
        <f>IF(BC160="","",IFERROR(BC160*HSCEI!$B$7*HSCEI!$G$7/HSCEI!$B$3,""))</f>
        <v/>
      </c>
      <c r="DR160" s="110">
        <f>IF(BD160="","",IFERROR(BD160*HSCEI!$B$7*HSCEI!$G$7/HSCEI!$B$3,""))</f>
        <v/>
      </c>
      <c r="DS160" s="110">
        <f>IF(BE160="","",IFERROR(BE160*HSCEI!$B$7*HSCEI!$G$7/HSCEI!$B$3,""))</f>
        <v/>
      </c>
      <c r="DT160" s="110">
        <f>IF(BF160="","",IFERROR(BF160*HSCEI!$B$7*HSCEI!$G$7/HSCEI!$B$3,""))</f>
        <v/>
      </c>
      <c r="DU160" s="110">
        <f>IF(BG160="","",IFERROR(BG160*HSCEI!$B$7*HSCEI!$G$7/HSCEI!$B$3,""))</f>
        <v/>
      </c>
      <c r="DV160" s="110">
        <f>IF(BH160="","",IFERROR(BH160*HSCEI!$B$7*HSCEI!$G$7/HSCEI!$B$3,""))</f>
        <v/>
      </c>
      <c r="DW160" s="110">
        <f>IF(BI160="","",IFERROR(BI160*HSCEI!$B$7*HSCEI!$G$7/HSCEI!$B$3,""))</f>
        <v/>
      </c>
      <c r="DX160" s="110">
        <f>IF(BJ160="","",IFERROR(BJ160*HSCEI!$B$7*HSCEI!$G$7/HSCEI!$B$3,""))</f>
        <v/>
      </c>
      <c r="DY160" s="110">
        <f>IF(BK160="","",IFERROR(BK160*HSCEI!$B$7*HSCEI!$G$7/HSCEI!$B$3,""))</f>
        <v/>
      </c>
      <c r="DZ160" s="110">
        <f>IF(BL160="","",IFERROR(BL160*HSCEI!$B$7*HSCEI!$G$7/HSCEI!$B$3,""))</f>
        <v/>
      </c>
      <c r="EA160" s="110">
        <f>IF(BM160="","",IFERROR(BM160*HSCEI!$B$7*HSCEI!$G$7/HSCEI!$B$3,""))</f>
        <v/>
      </c>
      <c r="EB160" s="110">
        <f>IF(BN160="","",IFERROR(BN160*HSCEI!$B$7*HSCEI!$G$7/HSCEI!$B$3,""))</f>
        <v/>
      </c>
      <c r="EC160" s="110">
        <f>IF(BO160="","",IFERROR(BO160*HSCEI!$B$7*HSCEI!$G$7/HSCEI!$B$3,""))</f>
        <v/>
      </c>
      <c r="EE160" s="39">
        <f>IF(N('Dvd Calendar'!$E$1561)=0,"",IF(('Dvd Calendar'!$E$1561&gt;=GRID_FROM)*('Dvd Calendar'!$E$1561&lt;=GRID_TO)*((('Dvd Calendar'!$E$1561&lt;=VAL_DATE)+(COUNTIF('Dvd Calendar'!$E$1568:$AR$1568,'Dvd Calendar'!$E$1561)=0))&gt;0)=0,"",'Dvd Calendar'!$E$1561*1000000000+ISNUMBER('Dvd Calendar'!$E$1564)*100000000+('Dvd Calendar'!$E$1566=SPECIAL_LBL)*10000000+(N('Dvd Calendar'!$E$1560)&gt;0)*(N('Dvd Calendar'!$E$1560)&lt;=VAL_SERIAL)*1000000+1*1000+1))</f>
        <v/>
      </c>
      <c r="EF160" s="39">
        <f>IF(N('Dvd Calendar'!$F$1561)=0,"",IF(('Dvd Calendar'!$F$1561&gt;=GRID_FROM)*('Dvd Calendar'!$F$1561&lt;=GRID_TO)*((('Dvd Calendar'!$F$1561&lt;=VAL_DATE)+(COUNTIF('Dvd Calendar'!$E$1568:$AR$1568,'Dvd Calendar'!$F$1561)=0))&gt;0)=0,"",'Dvd Calendar'!$F$1561*1000000000+ISNUMBER('Dvd Calendar'!$F$1564)*100000000+('Dvd Calendar'!$F$1566=SPECIAL_LBL)*10000000+(N('Dvd Calendar'!$F$1560)&gt;0)*(N('Dvd Calendar'!$F$1560)&lt;=VAL_SERIAL)*1000000+1*1000+2))</f>
        <v/>
      </c>
      <c r="EG160" s="39">
        <f>IF(N('Dvd Calendar'!$G$1561)=0,"",IF(('Dvd Calendar'!$G$1561&gt;=GRID_FROM)*('Dvd Calendar'!$G$1561&lt;=GRID_TO)*((('Dvd Calendar'!$G$1561&lt;=VAL_DATE)+(COUNTIF('Dvd Calendar'!$E$1568:$AR$1568,'Dvd Calendar'!$G$1561)=0))&gt;0)=0,"",'Dvd Calendar'!$G$1561*1000000000+ISNUMBER('Dvd Calendar'!$G$1564)*100000000+('Dvd Calendar'!$G$1566=SPECIAL_LBL)*10000000+(N('Dvd Calendar'!$G$1560)&gt;0)*(N('Dvd Calendar'!$G$1560)&lt;=VAL_SERIAL)*1000000+1*1000+3))</f>
        <v/>
      </c>
      <c r="EH160" s="39">
        <f>IF(N('Dvd Calendar'!$H$1561)=0,"",IF(('Dvd Calendar'!$H$1561&gt;=GRID_FROM)*('Dvd Calendar'!$H$1561&lt;=GRID_TO)*((('Dvd Calendar'!$H$1561&lt;=VAL_DATE)+(COUNTIF('Dvd Calendar'!$E$1568:$AR$1568,'Dvd Calendar'!$H$1561)=0))&gt;0)=0,"",'Dvd Calendar'!$H$1561*1000000000+ISNUMBER('Dvd Calendar'!$H$1564)*100000000+('Dvd Calendar'!$H$1566=SPECIAL_LBL)*10000000+(N('Dvd Calendar'!$H$1560)&gt;0)*(N('Dvd Calendar'!$H$1560)&lt;=VAL_SERIAL)*1000000+1*1000+4))</f>
        <v/>
      </c>
      <c r="EI160" s="39">
        <f>IF(N('Dvd Calendar'!$I$1561)=0,"",IF(('Dvd Calendar'!$I$1561&gt;=GRID_FROM)*('Dvd Calendar'!$I$1561&lt;=GRID_TO)*((('Dvd Calendar'!$I$1561&lt;=VAL_DATE)+(COUNTIF('Dvd Calendar'!$E$1568:$AR$1568,'Dvd Calendar'!$I$1561)=0))&gt;0)=0,"",'Dvd Calendar'!$I$1561*1000000000+ISNUMBER('Dvd Calendar'!$I$1564)*100000000+('Dvd Calendar'!$I$1566=SPECIAL_LBL)*10000000+(N('Dvd Calendar'!$I$1560)&gt;0)*(N('Dvd Calendar'!$I$1560)&lt;=VAL_SERIAL)*1000000+1*1000+5))</f>
        <v/>
      </c>
      <c r="EJ160" s="39">
        <f>IF(N('Dvd Calendar'!$J$1561)=0,"",IF(('Dvd Calendar'!$J$1561&gt;=GRID_FROM)*('Dvd Calendar'!$J$1561&lt;=GRID_TO)*((('Dvd Calendar'!$J$1561&lt;=VAL_DATE)+(COUNTIF('Dvd Calendar'!$E$1568:$AR$1568,'Dvd Calendar'!$J$1561)=0))&gt;0)=0,"",'Dvd Calendar'!$J$1561*1000000000+ISNUMBER('Dvd Calendar'!$J$1564)*100000000+('Dvd Calendar'!$J$1566=SPECIAL_LBL)*10000000+(N('Dvd Calendar'!$J$1560)&gt;0)*(N('Dvd Calendar'!$J$1560)&lt;=VAL_SERIAL)*1000000+1*1000+6))</f>
        <v/>
      </c>
      <c r="EK160" s="39">
        <f>IF(N('Dvd Calendar'!$K$1561)=0,"",IF(('Dvd Calendar'!$K$1561&gt;=GRID_FROM)*('Dvd Calendar'!$K$1561&lt;=GRID_TO)*((('Dvd Calendar'!$K$1561&lt;=VAL_DATE)+(COUNTIF('Dvd Calendar'!$E$1568:$AR$1568,'Dvd Calendar'!$K$1561)=0))&gt;0)=0,"",'Dvd Calendar'!$K$1561*1000000000+ISNUMBER('Dvd Calendar'!$K$1564)*100000000+('Dvd Calendar'!$K$1566=SPECIAL_LBL)*10000000+(N('Dvd Calendar'!$K$1560)&gt;0)*(N('Dvd Calendar'!$K$1560)&lt;=VAL_SERIAL)*1000000+1*1000+7))</f>
        <v/>
      </c>
      <c r="EL160" s="39">
        <f>IF(N('Dvd Calendar'!$L$1561)=0,"",IF(('Dvd Calendar'!$L$1561&gt;=GRID_FROM)*('Dvd Calendar'!$L$1561&lt;=GRID_TO)*((('Dvd Calendar'!$L$1561&lt;=VAL_DATE)+(COUNTIF('Dvd Calendar'!$E$1568:$AR$1568,'Dvd Calendar'!$L$1561)=0))&gt;0)=0,"",'Dvd Calendar'!$L$1561*1000000000+ISNUMBER('Dvd Calendar'!$L$1564)*100000000+('Dvd Calendar'!$L$1566=SPECIAL_LBL)*10000000+(N('Dvd Calendar'!$L$1560)&gt;0)*(N('Dvd Calendar'!$L$1560)&lt;=VAL_SERIAL)*1000000+1*1000+8))</f>
        <v/>
      </c>
      <c r="EM160" s="39">
        <f>IF(N('Dvd Calendar'!$M$1561)=0,"",IF(('Dvd Calendar'!$M$1561&gt;=GRID_FROM)*('Dvd Calendar'!$M$1561&lt;=GRID_TO)*((('Dvd Calendar'!$M$1561&lt;=VAL_DATE)+(COUNTIF('Dvd Calendar'!$E$1568:$AR$1568,'Dvd Calendar'!$M$1561)=0))&gt;0)=0,"",'Dvd Calendar'!$M$1561*1000000000+ISNUMBER('Dvd Calendar'!$M$1564)*100000000+('Dvd Calendar'!$M$1566=SPECIAL_LBL)*10000000+(N('Dvd Calendar'!$M$1560)&gt;0)*(N('Dvd Calendar'!$M$1560)&lt;=VAL_SERIAL)*1000000+1*1000+9))</f>
        <v/>
      </c>
      <c r="EN160" s="39">
        <f>IF(N('Dvd Calendar'!$N$1561)=0,"",IF(('Dvd Calendar'!$N$1561&gt;=GRID_FROM)*('Dvd Calendar'!$N$1561&lt;=GRID_TO)*((('Dvd Calendar'!$N$1561&lt;=VAL_DATE)+(COUNTIF('Dvd Calendar'!$E$1568:$AR$1568,'Dvd Calendar'!$N$1561)=0))&gt;0)=0,"",'Dvd Calendar'!$N$1561*1000000000+ISNUMBER('Dvd Calendar'!$N$1564)*100000000+('Dvd Calendar'!$N$1566=SPECIAL_LBL)*10000000+(N('Dvd Calendar'!$N$1560)&gt;0)*(N('Dvd Calendar'!$N$1560)&lt;=VAL_SERIAL)*1000000+1*1000+10))</f>
        <v/>
      </c>
      <c r="EO160" s="39">
        <f>IF(N('Dvd Calendar'!$O$1561)=0,"",IF(('Dvd Calendar'!$O$1561&gt;=GRID_FROM)*('Dvd Calendar'!$O$1561&lt;=GRID_TO)*((('Dvd Calendar'!$O$1561&lt;=VAL_DATE)+(COUNTIF('Dvd Calendar'!$E$1568:$AR$1568,'Dvd Calendar'!$O$1561)=0))&gt;0)=0,"",'Dvd Calendar'!$O$1561*1000000000+ISNUMBER('Dvd Calendar'!$O$1564)*100000000+('Dvd Calendar'!$O$1566=SPECIAL_LBL)*10000000+(N('Dvd Calendar'!$O$1560)&gt;0)*(N('Dvd Calendar'!$O$1560)&lt;=VAL_SERIAL)*1000000+1*1000+11))</f>
        <v/>
      </c>
      <c r="EP160" s="39">
        <f>IF(N('Dvd Calendar'!$P$1561)=0,"",IF(('Dvd Calendar'!$P$1561&gt;=GRID_FROM)*('Dvd Calendar'!$P$1561&lt;=GRID_TO)*((('Dvd Calendar'!$P$1561&lt;=VAL_DATE)+(COUNTIF('Dvd Calendar'!$E$1568:$AR$1568,'Dvd Calendar'!$P$1561)=0))&gt;0)=0,"",'Dvd Calendar'!$P$1561*1000000000+ISNUMBER('Dvd Calendar'!$P$1564)*100000000+('Dvd Calendar'!$P$1566=SPECIAL_LBL)*10000000+(N('Dvd Calendar'!$P$1560)&gt;0)*(N('Dvd Calendar'!$P$1560)&lt;=VAL_SERIAL)*1000000+1*1000+12))</f>
        <v/>
      </c>
      <c r="EQ160" s="39">
        <f>IF(N('Dvd Calendar'!$Q$1561)=0,"",IF(('Dvd Calendar'!$Q$1561&gt;=GRID_FROM)*('Dvd Calendar'!$Q$1561&lt;=GRID_TO)*((('Dvd Calendar'!$Q$1561&lt;=VAL_DATE)+(COUNTIF('Dvd Calendar'!$E$1568:$AR$1568,'Dvd Calendar'!$Q$1561)=0))&gt;0)=0,"",'Dvd Calendar'!$Q$1561*1000000000+ISNUMBER('Dvd Calendar'!$Q$1564)*100000000+('Dvd Calendar'!$Q$1566=SPECIAL_LBL)*10000000+(N('Dvd Calendar'!$Q$1560)&gt;0)*(N('Dvd Calendar'!$Q$1560)&lt;=VAL_SERIAL)*1000000+1*1000+13))</f>
        <v/>
      </c>
      <c r="ER160" s="39">
        <f>IF(N('Dvd Calendar'!$R$1561)=0,"",IF(('Dvd Calendar'!$R$1561&gt;=GRID_FROM)*('Dvd Calendar'!$R$1561&lt;=GRID_TO)*((('Dvd Calendar'!$R$1561&lt;=VAL_DATE)+(COUNTIF('Dvd Calendar'!$E$1568:$AR$1568,'Dvd Calendar'!$R$1561)=0))&gt;0)=0,"",'Dvd Calendar'!$R$1561*1000000000+ISNUMBER('Dvd Calendar'!$R$1564)*100000000+('Dvd Calendar'!$R$1566=SPECIAL_LBL)*10000000+(N('Dvd Calendar'!$R$1560)&gt;0)*(N('Dvd Calendar'!$R$1560)&lt;=VAL_SERIAL)*1000000+1*1000+14))</f>
        <v/>
      </c>
      <c r="ES160" s="39">
        <f>IF(N('Dvd Calendar'!$S$1561)=0,"",IF(('Dvd Calendar'!$S$1561&gt;=GRID_FROM)*('Dvd Calendar'!$S$1561&lt;=GRID_TO)*((('Dvd Calendar'!$S$1561&lt;=VAL_DATE)+(COUNTIF('Dvd Calendar'!$E$1568:$AR$1568,'Dvd Calendar'!$S$1561)=0))&gt;0)=0,"",'Dvd Calendar'!$S$1561*1000000000+ISNUMBER('Dvd Calendar'!$S$1564)*100000000+('Dvd Calendar'!$S$1566=SPECIAL_LBL)*10000000+(N('Dvd Calendar'!$S$1560)&gt;0)*(N('Dvd Calendar'!$S$1560)&lt;=VAL_SERIAL)*1000000+1*1000+15))</f>
        <v/>
      </c>
      <c r="ET160" s="39">
        <f>IF(N('Dvd Calendar'!$T$1561)=0,"",IF(('Dvd Calendar'!$T$1561&gt;=GRID_FROM)*('Dvd Calendar'!$T$1561&lt;=GRID_TO)*((('Dvd Calendar'!$T$1561&lt;=VAL_DATE)+(COUNTIF('Dvd Calendar'!$E$1568:$AR$1568,'Dvd Calendar'!$T$1561)=0))&gt;0)=0,"",'Dvd Calendar'!$T$1561*1000000000+ISNUMBER('Dvd Calendar'!$T$1564)*100000000+('Dvd Calendar'!$T$1566=SPECIAL_LBL)*10000000+(N('Dvd Calendar'!$T$1560)&gt;0)*(N('Dvd Calendar'!$T$1560)&lt;=VAL_SERIAL)*1000000+1*1000+16))</f>
        <v/>
      </c>
      <c r="EU160" s="39">
        <f>IF(N('Dvd Calendar'!$U$1561)=0,"",IF(('Dvd Calendar'!$U$1561&gt;=GRID_FROM)*('Dvd Calendar'!$U$1561&lt;=GRID_TO)*((('Dvd Calendar'!$U$1561&lt;=VAL_DATE)+(COUNTIF('Dvd Calendar'!$E$1568:$AR$1568,'Dvd Calendar'!$U$1561)=0))&gt;0)=0,"",'Dvd Calendar'!$U$1561*1000000000+ISNUMBER('Dvd Calendar'!$U$1564)*100000000+('Dvd Calendar'!$U$1566=SPECIAL_LBL)*10000000+(N('Dvd Calendar'!$U$1560)&gt;0)*(N('Dvd Calendar'!$U$1560)&lt;=VAL_SERIAL)*1000000+1*1000+17))</f>
        <v/>
      </c>
      <c r="EV160" s="39">
        <f>IF(N('Dvd Calendar'!$V$1561)=0,"",IF(('Dvd Calendar'!$V$1561&gt;=GRID_FROM)*('Dvd Calendar'!$V$1561&lt;=GRID_TO)*((('Dvd Calendar'!$V$1561&lt;=VAL_DATE)+(COUNTIF('Dvd Calendar'!$E$1568:$AR$1568,'Dvd Calendar'!$V$1561)=0))&gt;0)=0,"",'Dvd Calendar'!$V$1561*1000000000+ISNUMBER('Dvd Calendar'!$V$1564)*100000000+('Dvd Calendar'!$V$1566=SPECIAL_LBL)*10000000+(N('Dvd Calendar'!$V$1560)&gt;0)*(N('Dvd Calendar'!$V$1560)&lt;=VAL_SERIAL)*1000000+1*1000+18))</f>
        <v/>
      </c>
      <c r="EW160" s="39">
        <f>IF(N('Dvd Calendar'!$W$1561)=0,"",IF(('Dvd Calendar'!$W$1561&gt;=GRID_FROM)*('Dvd Calendar'!$W$1561&lt;=GRID_TO)*((('Dvd Calendar'!$W$1561&lt;=VAL_DATE)+(COUNTIF('Dvd Calendar'!$E$1568:$AR$1568,'Dvd Calendar'!$W$1561)=0))&gt;0)=0,"",'Dvd Calendar'!$W$1561*1000000000+ISNUMBER('Dvd Calendar'!$W$1564)*100000000+('Dvd Calendar'!$W$1566=SPECIAL_LBL)*10000000+(N('Dvd Calendar'!$W$1560)&gt;0)*(N('Dvd Calendar'!$W$1560)&lt;=VAL_SERIAL)*1000000+1*1000+19))</f>
        <v/>
      </c>
      <c r="EX160" s="39">
        <f>IF(N('Dvd Calendar'!$X$1561)=0,"",IF(('Dvd Calendar'!$X$1561&gt;=GRID_FROM)*('Dvd Calendar'!$X$1561&lt;=GRID_TO)*((('Dvd Calendar'!$X$1561&lt;=VAL_DATE)+(COUNTIF('Dvd Calendar'!$E$1568:$AR$1568,'Dvd Calendar'!$X$1561)=0))&gt;0)=0,"",'Dvd Calendar'!$X$1561*1000000000+ISNUMBER('Dvd Calendar'!$X$1564)*100000000+('Dvd Calendar'!$X$1566=SPECIAL_LBL)*10000000+(N('Dvd Calendar'!$X$1560)&gt;0)*(N('Dvd Calendar'!$X$1560)&lt;=VAL_SERIAL)*1000000+1*1000+20))</f>
        <v/>
      </c>
      <c r="EY160" s="39">
        <f>IF(N('Dvd Calendar'!$Y$1561)=0,"",IF(('Dvd Calendar'!$Y$1561&gt;=GRID_FROM)*('Dvd Calendar'!$Y$1561&lt;=GRID_TO)*((('Dvd Calendar'!$Y$1561&lt;=VAL_DATE)+(COUNTIF('Dvd Calendar'!$E$1568:$AR$1568,'Dvd Calendar'!$Y$1561)=0))&gt;0)=0,"",'Dvd Calendar'!$Y$1561*1000000000+ISNUMBER('Dvd Calendar'!$Y$1564)*100000000+('Dvd Calendar'!$Y$1566=SPECIAL_LBL)*10000000+(N('Dvd Calendar'!$Y$1560)&gt;0)*(N('Dvd Calendar'!$Y$1560)&lt;=VAL_SERIAL)*1000000+1*1000+21))</f>
        <v/>
      </c>
      <c r="EZ160" s="39">
        <f>IF(N('Dvd Calendar'!$Z$1561)=0,"",IF(('Dvd Calendar'!$Z$1561&gt;=GRID_FROM)*('Dvd Calendar'!$Z$1561&lt;=GRID_TO)*((('Dvd Calendar'!$Z$1561&lt;=VAL_DATE)+(COUNTIF('Dvd Calendar'!$E$1568:$AR$1568,'Dvd Calendar'!$Z$1561)=0))&gt;0)=0,"",'Dvd Calendar'!$Z$1561*1000000000+ISNUMBER('Dvd Calendar'!$Z$1564)*100000000+('Dvd Calendar'!$Z$1566=SPECIAL_LBL)*10000000+(N('Dvd Calendar'!$Z$1560)&gt;0)*(N('Dvd Calendar'!$Z$1560)&lt;=VAL_SERIAL)*1000000+1*1000+22))</f>
        <v/>
      </c>
      <c r="FA160" s="39">
        <f>IF(N('Dvd Calendar'!$AA$1561)=0,"",IF(('Dvd Calendar'!$AA$1561&gt;=GRID_FROM)*('Dvd Calendar'!$AA$1561&lt;=GRID_TO)*((('Dvd Calendar'!$AA$1561&lt;=VAL_DATE)+(COUNTIF('Dvd Calendar'!$E$1568:$AR$1568,'Dvd Calendar'!$AA$1561)=0))&gt;0)=0,"",'Dvd Calendar'!$AA$1561*1000000000+ISNUMBER('Dvd Calendar'!$AA$1564)*100000000+('Dvd Calendar'!$AA$1566=SPECIAL_LBL)*10000000+(N('Dvd Calendar'!$AA$1560)&gt;0)*(N('Dvd Calendar'!$AA$1560)&lt;=VAL_SERIAL)*1000000+1*1000+23))</f>
        <v/>
      </c>
      <c r="FB160" s="39">
        <f>IF(N('Dvd Calendar'!$AB$1561)=0,"",IF(('Dvd Calendar'!$AB$1561&gt;=GRID_FROM)*('Dvd Calendar'!$AB$1561&lt;=GRID_TO)*((('Dvd Calendar'!$AB$1561&lt;=VAL_DATE)+(COUNTIF('Dvd Calendar'!$E$1568:$AR$1568,'Dvd Calendar'!$AB$1561)=0))&gt;0)=0,"",'Dvd Calendar'!$AB$1561*1000000000+ISNUMBER('Dvd Calendar'!$AB$1564)*100000000+('Dvd Calendar'!$AB$1566=SPECIAL_LBL)*10000000+(N('Dvd Calendar'!$AB$1560)&gt;0)*(N('Dvd Calendar'!$AB$1560)&lt;=VAL_SERIAL)*1000000+1*1000+24))</f>
        <v/>
      </c>
      <c r="FC160" s="39">
        <f>IF(N('Dvd Calendar'!$AC$1561)=0,"",IF(('Dvd Calendar'!$AC$1561&gt;=GRID_FROM)*('Dvd Calendar'!$AC$1561&lt;=GRID_TO)*((('Dvd Calendar'!$AC$1561&lt;=VAL_DATE)+(COUNTIF('Dvd Calendar'!$E$1568:$AR$1568,'Dvd Calendar'!$AC$1561)=0))&gt;0)=0,"",'Dvd Calendar'!$AC$1561*1000000000+ISNUMBER('Dvd Calendar'!$AC$1564)*100000000+('Dvd Calendar'!$AC$1566=SPECIAL_LBL)*10000000+(N('Dvd Calendar'!$AC$1560)&gt;0)*(N('Dvd Calendar'!$AC$1560)&lt;=VAL_SERIAL)*1000000+1*1000+25))</f>
        <v/>
      </c>
      <c r="FD160" s="39">
        <f>IF(N('Dvd Calendar'!$AD$1561)=0,"",IF(('Dvd Calendar'!$AD$1561&gt;=GRID_FROM)*('Dvd Calendar'!$AD$1561&lt;=GRID_TO)*((('Dvd Calendar'!$AD$1561&lt;=VAL_DATE)+(COUNTIF('Dvd Calendar'!$E$1568:$AR$1568,'Dvd Calendar'!$AD$1561)=0))&gt;0)=0,"",'Dvd Calendar'!$AD$1561*1000000000+ISNUMBER('Dvd Calendar'!$AD$1564)*100000000+('Dvd Calendar'!$AD$1566=SPECIAL_LBL)*10000000+(N('Dvd Calendar'!$AD$1560)&gt;0)*(N('Dvd Calendar'!$AD$1560)&lt;=VAL_SERIAL)*1000000+1*1000+26))</f>
        <v/>
      </c>
      <c r="FE160" s="39">
        <f>IF(N('Dvd Calendar'!$AE$1561)=0,"",IF(('Dvd Calendar'!$AE$1561&gt;=GRID_FROM)*('Dvd Calendar'!$AE$1561&lt;=GRID_TO)*((('Dvd Calendar'!$AE$1561&lt;=VAL_DATE)+(COUNTIF('Dvd Calendar'!$E$1568:$AR$1568,'Dvd Calendar'!$AE$1561)=0))&gt;0)=0,"",'Dvd Calendar'!$AE$1561*1000000000+ISNUMBER('Dvd Calendar'!$AE$1564)*100000000+('Dvd Calendar'!$AE$1566=SPECIAL_LBL)*10000000+(N('Dvd Calendar'!$AE$1560)&gt;0)*(N('Dvd Calendar'!$AE$1560)&lt;=VAL_SERIAL)*1000000+1*1000+27))</f>
        <v/>
      </c>
      <c r="FF160" s="39">
        <f>IF(N('Dvd Calendar'!$AF$1561)=0,"",IF(('Dvd Calendar'!$AF$1561&gt;=GRID_FROM)*('Dvd Calendar'!$AF$1561&lt;=GRID_TO)*((('Dvd Calendar'!$AF$1561&lt;=VAL_DATE)+(COUNTIF('Dvd Calendar'!$E$1568:$AR$1568,'Dvd Calendar'!$AF$1561)=0))&gt;0)=0,"",'Dvd Calendar'!$AF$1561*1000000000+ISNUMBER('Dvd Calendar'!$AF$1564)*100000000+('Dvd Calendar'!$AF$1566=SPECIAL_LBL)*10000000+(N('Dvd Calendar'!$AF$1560)&gt;0)*(N('Dvd Calendar'!$AF$1560)&lt;=VAL_SERIAL)*1000000+1*1000+28))</f>
        <v/>
      </c>
      <c r="FG160" s="39">
        <f>IF(N('Dvd Calendar'!$AG$1561)=0,"",IF(('Dvd Calendar'!$AG$1561&gt;=GRID_FROM)*('Dvd Calendar'!$AG$1561&lt;=GRID_TO)*((('Dvd Calendar'!$AG$1561&lt;=VAL_DATE)+(COUNTIF('Dvd Calendar'!$E$1568:$AR$1568,'Dvd Calendar'!$AG$1561)=0))&gt;0)=0,"",'Dvd Calendar'!$AG$1561*1000000000+ISNUMBER('Dvd Calendar'!$AG$1564)*100000000+('Dvd Calendar'!$AG$1566=SPECIAL_LBL)*10000000+(N('Dvd Calendar'!$AG$1560)&gt;0)*(N('Dvd Calendar'!$AG$1560)&lt;=VAL_SERIAL)*1000000+1*1000+29))</f>
        <v/>
      </c>
      <c r="FH160" s="39">
        <f>IF(N('Dvd Calendar'!$AH$1561)=0,"",IF(('Dvd Calendar'!$AH$1561&gt;=GRID_FROM)*('Dvd Calendar'!$AH$1561&lt;=GRID_TO)*((('Dvd Calendar'!$AH$1561&lt;=VAL_DATE)+(COUNTIF('Dvd Calendar'!$E$1568:$AR$1568,'Dvd Calendar'!$AH$1561)=0))&gt;0)=0,"",'Dvd Calendar'!$AH$1561*1000000000+ISNUMBER('Dvd Calendar'!$AH$1564)*100000000+('Dvd Calendar'!$AH$1566=SPECIAL_LBL)*10000000+(N('Dvd Calendar'!$AH$1560)&gt;0)*(N('Dvd Calendar'!$AH$1560)&lt;=VAL_SERIAL)*1000000+1*1000+30))</f>
        <v/>
      </c>
      <c r="FI160" s="39">
        <f>IF(N('Dvd Calendar'!$AI$1561)=0,"",IF(('Dvd Calendar'!$AI$1561&gt;=GRID_FROM)*('Dvd Calendar'!$AI$1561&lt;=GRID_TO)*((('Dvd Calendar'!$AI$1561&lt;=VAL_DATE)+(COUNTIF('Dvd Calendar'!$E$1568:$AR$1568,'Dvd Calendar'!$AI$1561)=0))&gt;0)=0,"",'Dvd Calendar'!$AI$1561*1000000000+ISNUMBER('Dvd Calendar'!$AI$1564)*100000000+('Dvd Calendar'!$AI$1566=SPECIAL_LBL)*10000000+(N('Dvd Calendar'!$AI$1560)&gt;0)*(N('Dvd Calendar'!$AI$1560)&lt;=VAL_SERIAL)*1000000+1*1000+31))</f>
        <v/>
      </c>
      <c r="FJ160" s="39">
        <f>IF(N('Dvd Calendar'!$AJ$1561)=0,"",IF(('Dvd Calendar'!$AJ$1561&gt;=GRID_FROM)*('Dvd Calendar'!$AJ$1561&lt;=GRID_TO)*((('Dvd Calendar'!$AJ$1561&lt;=VAL_DATE)+(COUNTIF('Dvd Calendar'!$E$1568:$AR$1568,'Dvd Calendar'!$AJ$1561)=0))&gt;0)=0,"",'Dvd Calendar'!$AJ$1561*1000000000+ISNUMBER('Dvd Calendar'!$AJ$1564)*100000000+('Dvd Calendar'!$AJ$1566=SPECIAL_LBL)*10000000+(N('Dvd Calendar'!$AJ$1560)&gt;0)*(N('Dvd Calendar'!$AJ$1560)&lt;=VAL_SERIAL)*1000000+1*1000+32))</f>
        <v/>
      </c>
      <c r="FK160" s="39">
        <f>IF(N('Dvd Calendar'!$AK$1561)=0,"",IF(('Dvd Calendar'!$AK$1561&gt;=GRID_FROM)*('Dvd Calendar'!$AK$1561&lt;=GRID_TO)*((('Dvd Calendar'!$AK$1561&lt;=VAL_DATE)+(COUNTIF('Dvd Calendar'!$E$1568:$AR$1568,'Dvd Calendar'!$AK$1561)=0))&gt;0)=0,"",'Dvd Calendar'!$AK$1561*1000000000+ISNUMBER('Dvd Calendar'!$AK$1564)*100000000+('Dvd Calendar'!$AK$1566=SPECIAL_LBL)*10000000+(N('Dvd Calendar'!$AK$1560)&gt;0)*(N('Dvd Calendar'!$AK$1560)&lt;=VAL_SERIAL)*1000000+1*1000+33))</f>
        <v/>
      </c>
      <c r="FL160" s="39">
        <f>IF(N('Dvd Calendar'!$AL$1561)=0,"",IF(('Dvd Calendar'!$AL$1561&gt;=GRID_FROM)*('Dvd Calendar'!$AL$1561&lt;=GRID_TO)*((('Dvd Calendar'!$AL$1561&lt;=VAL_DATE)+(COUNTIF('Dvd Calendar'!$E$1568:$AR$1568,'Dvd Calendar'!$AL$1561)=0))&gt;0)=0,"",'Dvd Calendar'!$AL$1561*1000000000+ISNUMBER('Dvd Calendar'!$AL$1564)*100000000+('Dvd Calendar'!$AL$1566=SPECIAL_LBL)*10000000+(N('Dvd Calendar'!$AL$1560)&gt;0)*(N('Dvd Calendar'!$AL$1560)&lt;=VAL_SERIAL)*1000000+1*1000+34))</f>
        <v/>
      </c>
      <c r="FM160" s="39">
        <f>IF(N('Dvd Calendar'!$AM$1561)=0,"",IF(('Dvd Calendar'!$AM$1561&gt;=GRID_FROM)*('Dvd Calendar'!$AM$1561&lt;=GRID_TO)*((('Dvd Calendar'!$AM$1561&lt;=VAL_DATE)+(COUNTIF('Dvd Calendar'!$E$1568:$AR$1568,'Dvd Calendar'!$AM$1561)=0))&gt;0)=0,"",'Dvd Calendar'!$AM$1561*1000000000+ISNUMBER('Dvd Calendar'!$AM$1564)*100000000+('Dvd Calendar'!$AM$1566=SPECIAL_LBL)*10000000+(N('Dvd Calendar'!$AM$1560)&gt;0)*(N('Dvd Calendar'!$AM$1560)&lt;=VAL_SERIAL)*1000000+1*1000+35))</f>
        <v/>
      </c>
      <c r="FN160" s="39">
        <f>IF(N('Dvd Calendar'!$AN$1561)=0,"",IF(('Dvd Calendar'!$AN$1561&gt;=GRID_FROM)*('Dvd Calendar'!$AN$1561&lt;=GRID_TO)*((('Dvd Calendar'!$AN$1561&lt;=VAL_DATE)+(COUNTIF('Dvd Calendar'!$E$1568:$AR$1568,'Dvd Calendar'!$AN$1561)=0))&gt;0)=0,"",'Dvd Calendar'!$AN$1561*1000000000+ISNUMBER('Dvd Calendar'!$AN$1564)*100000000+('Dvd Calendar'!$AN$1566=SPECIAL_LBL)*10000000+(N('Dvd Calendar'!$AN$1560)&gt;0)*(N('Dvd Calendar'!$AN$1560)&lt;=VAL_SERIAL)*1000000+1*1000+36))</f>
        <v/>
      </c>
      <c r="FO160" s="39">
        <f>IF(N('Dvd Calendar'!$AO$1561)=0,"",IF(('Dvd Calendar'!$AO$1561&gt;=GRID_FROM)*('Dvd Calendar'!$AO$1561&lt;=GRID_TO)*((('Dvd Calendar'!$AO$1561&lt;=VAL_DATE)+(COUNTIF('Dvd Calendar'!$E$1568:$AR$1568,'Dvd Calendar'!$AO$1561)=0))&gt;0)=0,"",'Dvd Calendar'!$AO$1561*1000000000+ISNUMBER('Dvd Calendar'!$AO$1564)*100000000+('Dvd Calendar'!$AO$1566=SPECIAL_LBL)*10000000+(N('Dvd Calendar'!$AO$1560)&gt;0)*(N('Dvd Calendar'!$AO$1560)&lt;=VAL_SERIAL)*1000000+1*1000+37))</f>
        <v/>
      </c>
      <c r="FP160" s="39">
        <f>IF(N('Dvd Calendar'!$AP$1561)=0,"",IF(('Dvd Calendar'!$AP$1561&gt;=GRID_FROM)*('Dvd Calendar'!$AP$1561&lt;=GRID_TO)*((('Dvd Calendar'!$AP$1561&lt;=VAL_DATE)+(COUNTIF('Dvd Calendar'!$E$1568:$AR$1568,'Dvd Calendar'!$AP$1561)=0))&gt;0)=0,"",'Dvd Calendar'!$AP$1561*1000000000+ISNUMBER('Dvd Calendar'!$AP$1564)*100000000+('Dvd Calendar'!$AP$1566=SPECIAL_LBL)*10000000+(N('Dvd Calendar'!$AP$1560)&gt;0)*(N('Dvd Calendar'!$AP$1560)&lt;=VAL_SERIAL)*1000000+1*1000+38))</f>
        <v/>
      </c>
      <c r="FQ160" s="39">
        <f>IF(N('Dvd Calendar'!$AQ$1561)=0,"",IF(('Dvd Calendar'!$AQ$1561&gt;=GRID_FROM)*('Dvd Calendar'!$AQ$1561&lt;=GRID_TO)*((('Dvd Calendar'!$AQ$1561&lt;=VAL_DATE)+(COUNTIF('Dvd Calendar'!$E$1568:$AR$1568,'Dvd Calendar'!$AQ$1561)=0))&gt;0)=0,"",'Dvd Calendar'!$AQ$1561*1000000000+ISNUMBER('Dvd Calendar'!$AQ$1564)*100000000+('Dvd Calendar'!$AQ$1566=SPECIAL_LBL)*10000000+(N('Dvd Calendar'!$AQ$1560)&gt;0)*(N('Dvd Calendar'!$AQ$1560)&lt;=VAL_SERIAL)*1000000+1*1000+39))</f>
        <v/>
      </c>
      <c r="FR160" s="39">
        <f>IF(N('Dvd Calendar'!$AR$1561)=0,"",IF(('Dvd Calendar'!$AR$1561&gt;=GRID_FROM)*('Dvd Calendar'!$AR$1561&lt;=GRID_TO)*((('Dvd Calendar'!$AR$1561&lt;=VAL_DATE)+(COUNTIF('Dvd Calendar'!$E$1568:$AR$1568,'Dvd Calendar'!$AR$1561)=0))&gt;0)=0,"",'Dvd Calendar'!$AR$1561*1000000000+ISNUMBER('Dvd Calendar'!$AR$1564)*100000000+('Dvd Calendar'!$AR$1566=SPECIAL_LBL)*10000000+(N('Dvd Calendar'!$AR$1560)&gt;0)*(N('Dvd Calendar'!$AR$1560)&lt;=VAL_SERIAL)*1000000+1*1000+40))</f>
        <v/>
      </c>
      <c r="FS160" s="39">
        <f>IF(N('Dvd Calendar'!$E$1568)=0,"",IF(('Dvd Calendar'!$E$1568&gt;=GRID_FROM)*('Dvd Calendar'!$E$1568&lt;=GRID_TO)*('Dvd Calendar'!$E$1568&gt;VAL_DATE)=0,"",'Dvd Calendar'!$E$1568*1000000000+ISNUMBER('Dvd Calendar'!$E$1569)*100000000+0*10000000+(N('Dvd Calendar'!$E$1567)&gt;0)*(N('Dvd Calendar'!$E$1567)&lt;=VAL_SERIAL)*1000000+1*1000+41))</f>
        <v/>
      </c>
      <c r="FT160" s="39">
        <f>IF(N('Dvd Calendar'!$F$1568)=0,"",IF(('Dvd Calendar'!$F$1568&gt;=GRID_FROM)*('Dvd Calendar'!$F$1568&lt;=GRID_TO)*('Dvd Calendar'!$F$1568&gt;VAL_DATE)=0,"",'Dvd Calendar'!$F$1568*1000000000+ISNUMBER('Dvd Calendar'!$F$1569)*100000000+0*10000000+(N('Dvd Calendar'!$F$1567)&gt;0)*(N('Dvd Calendar'!$F$1567)&lt;=VAL_SERIAL)*1000000+1*1000+42))</f>
        <v/>
      </c>
      <c r="FU160" s="39">
        <f>IF(N('Dvd Calendar'!$G$1568)=0,"",IF(('Dvd Calendar'!$G$1568&gt;=GRID_FROM)*('Dvd Calendar'!$G$1568&lt;=GRID_TO)*('Dvd Calendar'!$G$1568&gt;VAL_DATE)=0,"",'Dvd Calendar'!$G$1568*1000000000+ISNUMBER('Dvd Calendar'!$G$1569)*100000000+0*10000000+(N('Dvd Calendar'!$G$1567)&gt;0)*(N('Dvd Calendar'!$G$1567)&lt;=VAL_SERIAL)*1000000+1*1000+43))</f>
        <v/>
      </c>
      <c r="FV160" s="39">
        <f>IF(N('Dvd Calendar'!$H$1568)=0,"",IF(('Dvd Calendar'!$H$1568&gt;=GRID_FROM)*('Dvd Calendar'!$H$1568&lt;=GRID_TO)*('Dvd Calendar'!$H$1568&gt;VAL_DATE)=0,"",'Dvd Calendar'!$H$1568*1000000000+ISNUMBER('Dvd Calendar'!$H$1569)*100000000+0*10000000+(N('Dvd Calendar'!$H$1567)&gt;0)*(N('Dvd Calendar'!$H$1567)&lt;=VAL_SERIAL)*1000000+1*1000+44))</f>
        <v/>
      </c>
      <c r="FW160" s="39">
        <f>IF(N('Dvd Calendar'!$I$1568)=0,"",IF(('Dvd Calendar'!$I$1568&gt;=GRID_FROM)*('Dvd Calendar'!$I$1568&lt;=GRID_TO)*('Dvd Calendar'!$I$1568&gt;VAL_DATE)=0,"",'Dvd Calendar'!$I$1568*1000000000+ISNUMBER('Dvd Calendar'!$I$1569)*100000000+0*10000000+(N('Dvd Calendar'!$I$1567)&gt;0)*(N('Dvd Calendar'!$I$1567)&lt;=VAL_SERIAL)*1000000+1*1000+45))</f>
        <v/>
      </c>
      <c r="FX160" s="39">
        <f>IF(N('Dvd Calendar'!$J$1568)=0,"",IF(('Dvd Calendar'!$J$1568&gt;=GRID_FROM)*('Dvd Calendar'!$J$1568&lt;=GRID_TO)*('Dvd Calendar'!$J$1568&gt;VAL_DATE)=0,"",'Dvd Calendar'!$J$1568*1000000000+ISNUMBER('Dvd Calendar'!$J$1569)*100000000+0*10000000+(N('Dvd Calendar'!$J$1567)&gt;0)*(N('Dvd Calendar'!$J$1567)&lt;=VAL_SERIAL)*1000000+1*1000+46))</f>
        <v/>
      </c>
      <c r="FY160" s="39">
        <f>IF(N('Dvd Calendar'!$K$1568)=0,"",IF(('Dvd Calendar'!$K$1568&gt;=GRID_FROM)*('Dvd Calendar'!$K$1568&lt;=GRID_TO)*('Dvd Calendar'!$K$1568&gt;VAL_DATE)=0,"",'Dvd Calendar'!$K$1568*1000000000+ISNUMBER('Dvd Calendar'!$K$1569)*100000000+0*10000000+(N('Dvd Calendar'!$K$1567)&gt;0)*(N('Dvd Calendar'!$K$1567)&lt;=VAL_SERIAL)*1000000+1*1000+47))</f>
        <v/>
      </c>
      <c r="FZ160" s="39">
        <f>IF(N('Dvd Calendar'!$L$1568)=0,"",IF(('Dvd Calendar'!$L$1568&gt;=GRID_FROM)*('Dvd Calendar'!$L$1568&lt;=GRID_TO)*('Dvd Calendar'!$L$1568&gt;VAL_DATE)=0,"",'Dvd Calendar'!$L$1568*1000000000+ISNUMBER('Dvd Calendar'!$L$1569)*100000000+0*10000000+(N('Dvd Calendar'!$L$1567)&gt;0)*(N('Dvd Calendar'!$L$1567)&lt;=VAL_SERIAL)*1000000+1*1000+48))</f>
        <v/>
      </c>
      <c r="GA160" s="39">
        <f>IF(N('Dvd Calendar'!$M$1568)=0,"",IF(('Dvd Calendar'!$M$1568&gt;=GRID_FROM)*('Dvd Calendar'!$M$1568&lt;=GRID_TO)*('Dvd Calendar'!$M$1568&gt;VAL_DATE)=0,"",'Dvd Calendar'!$M$1568*1000000000+ISNUMBER('Dvd Calendar'!$M$1569)*100000000+0*10000000+(N('Dvd Calendar'!$M$1567)&gt;0)*(N('Dvd Calendar'!$M$1567)&lt;=VAL_SERIAL)*1000000+1*1000+49))</f>
        <v/>
      </c>
      <c r="GB160" s="39">
        <f>IF(N('Dvd Calendar'!$N$1568)=0,"",IF(('Dvd Calendar'!$N$1568&gt;=GRID_FROM)*('Dvd Calendar'!$N$1568&lt;=GRID_TO)*('Dvd Calendar'!$N$1568&gt;VAL_DATE)=0,"",'Dvd Calendar'!$N$1568*1000000000+ISNUMBER('Dvd Calendar'!$N$1569)*100000000+0*10000000+(N('Dvd Calendar'!$N$1567)&gt;0)*(N('Dvd Calendar'!$N$1567)&lt;=VAL_SERIAL)*1000000+1*1000+50))</f>
        <v/>
      </c>
      <c r="GC160" s="39">
        <f>IF(N('Dvd Calendar'!$O$1568)=0,"",IF(('Dvd Calendar'!$O$1568&gt;=GRID_FROM)*('Dvd Calendar'!$O$1568&lt;=GRID_TO)*('Dvd Calendar'!$O$1568&gt;VAL_DATE)=0,"",'Dvd Calendar'!$O$1568*1000000000+ISNUMBER('Dvd Calendar'!$O$1569)*100000000+0*10000000+(N('Dvd Calendar'!$O$1567)&gt;0)*(N('Dvd Calendar'!$O$1567)&lt;=VAL_SERIAL)*1000000+1*1000+51))</f>
        <v/>
      </c>
      <c r="GD160" s="39">
        <f>IF(N('Dvd Calendar'!$P$1568)=0,"",IF(('Dvd Calendar'!$P$1568&gt;=GRID_FROM)*('Dvd Calendar'!$P$1568&lt;=GRID_TO)*('Dvd Calendar'!$P$1568&gt;VAL_DATE)=0,"",'Dvd Calendar'!$P$1568*1000000000+ISNUMBER('Dvd Calendar'!$P$1569)*100000000+0*10000000+(N('Dvd Calendar'!$P$1567)&gt;0)*(N('Dvd Calendar'!$P$1567)&lt;=VAL_SERIAL)*1000000+1*1000+52))</f>
        <v/>
      </c>
      <c r="GE160" s="39">
        <f>IF(N('Dvd Calendar'!$Q$1568)=0,"",IF(('Dvd Calendar'!$Q$1568&gt;=GRID_FROM)*('Dvd Calendar'!$Q$1568&lt;=GRID_TO)*('Dvd Calendar'!$Q$1568&gt;VAL_DATE)=0,"",'Dvd Calendar'!$Q$1568*1000000000+ISNUMBER('Dvd Calendar'!$Q$1569)*100000000+0*10000000+(N('Dvd Calendar'!$Q$1567)&gt;0)*(N('Dvd Calendar'!$Q$1567)&lt;=VAL_SERIAL)*1000000+1*1000+53))</f>
        <v/>
      </c>
      <c r="GF160" s="39">
        <f>IF(N('Dvd Calendar'!$R$1568)=0,"",IF(('Dvd Calendar'!$R$1568&gt;=GRID_FROM)*('Dvd Calendar'!$R$1568&lt;=GRID_TO)*('Dvd Calendar'!$R$1568&gt;VAL_DATE)=0,"",'Dvd Calendar'!$R$1568*1000000000+ISNUMBER('Dvd Calendar'!$R$1569)*100000000+0*10000000+(N('Dvd Calendar'!$R$1567)&gt;0)*(N('Dvd Calendar'!$R$1567)&lt;=VAL_SERIAL)*1000000+1*1000+54))</f>
        <v/>
      </c>
      <c r="GG160" s="39">
        <f>IF(N('Dvd Calendar'!$S$1568)=0,"",IF(('Dvd Calendar'!$S$1568&gt;=GRID_FROM)*('Dvd Calendar'!$S$1568&lt;=GRID_TO)*('Dvd Calendar'!$S$1568&gt;VAL_DATE)=0,"",'Dvd Calendar'!$S$1568*1000000000+ISNUMBER('Dvd Calendar'!$S$1569)*100000000+0*10000000+(N('Dvd Calendar'!$S$1567)&gt;0)*(N('Dvd Calendar'!$S$1567)&lt;=VAL_SERIAL)*1000000+1*1000+55))</f>
        <v/>
      </c>
      <c r="GH160" s="39">
        <f>IF(N('Dvd Calendar'!$T$1568)=0,"",IF(('Dvd Calendar'!$T$1568&gt;=GRID_FROM)*('Dvd Calendar'!$T$1568&lt;=GRID_TO)*('Dvd Calendar'!$T$1568&gt;VAL_DATE)=0,"",'Dvd Calendar'!$T$1568*1000000000+ISNUMBER('Dvd Calendar'!$T$1569)*100000000+0*10000000+(N('Dvd Calendar'!$T$1567)&gt;0)*(N('Dvd Calendar'!$T$1567)&lt;=VAL_SERIAL)*1000000+1*1000+56))</f>
        <v/>
      </c>
      <c r="GI160" s="39">
        <f>IF(N('Dvd Calendar'!$U$1568)=0,"",IF(('Dvd Calendar'!$U$1568&gt;=GRID_FROM)*('Dvd Calendar'!$U$1568&lt;=GRID_TO)*('Dvd Calendar'!$U$1568&gt;VAL_DATE)=0,"",'Dvd Calendar'!$U$1568*1000000000+ISNUMBER('Dvd Calendar'!$U$1569)*100000000+0*10000000+(N('Dvd Calendar'!$U$1567)&gt;0)*(N('Dvd Calendar'!$U$1567)&lt;=VAL_SERIAL)*1000000+1*1000+57))</f>
        <v/>
      </c>
      <c r="GJ160" s="39">
        <f>IF(N('Dvd Calendar'!$V$1568)=0,"",IF(('Dvd Calendar'!$V$1568&gt;=GRID_FROM)*('Dvd Calendar'!$V$1568&lt;=GRID_TO)*('Dvd Calendar'!$V$1568&gt;VAL_DATE)=0,"",'Dvd Calendar'!$V$1568*1000000000+ISNUMBER('Dvd Calendar'!$V$1569)*100000000+0*10000000+(N('Dvd Calendar'!$V$1567)&gt;0)*(N('Dvd Calendar'!$V$1567)&lt;=VAL_SERIAL)*1000000+1*1000+58))</f>
        <v/>
      </c>
      <c r="GK160" s="39">
        <f>IF(N('Dvd Calendar'!$W$1568)=0,"",IF(('Dvd Calendar'!$W$1568&gt;=GRID_FROM)*('Dvd Calendar'!$W$1568&lt;=GRID_TO)*('Dvd Calendar'!$W$1568&gt;VAL_DATE)=0,"",'Dvd Calendar'!$W$1568*1000000000+ISNUMBER('Dvd Calendar'!$W$1569)*100000000+0*10000000+(N('Dvd Calendar'!$W$1567)&gt;0)*(N('Dvd Calendar'!$W$1567)&lt;=VAL_SERIAL)*1000000+1*1000+59))</f>
        <v/>
      </c>
      <c r="GL160" s="39">
        <f>IF(N('Dvd Calendar'!$X$1568)=0,"",IF(('Dvd Calendar'!$X$1568&gt;=GRID_FROM)*('Dvd Calendar'!$X$1568&lt;=GRID_TO)*('Dvd Calendar'!$X$1568&gt;VAL_DATE)=0,"",'Dvd Calendar'!$X$1568*1000000000+ISNUMBER('Dvd Calendar'!$X$1569)*100000000+0*10000000+(N('Dvd Calendar'!$X$1567)&gt;0)*(N('Dvd Calendar'!$X$1567)&lt;=VAL_SERIAL)*1000000+1*1000+60))</f>
        <v/>
      </c>
      <c r="GM160" s="39">
        <f>IF(N('Dvd Calendar'!$Y$1568)=0,"",IF(('Dvd Calendar'!$Y$1568&gt;=GRID_FROM)*('Dvd Calendar'!$Y$1568&lt;=GRID_TO)*('Dvd Calendar'!$Y$1568&gt;VAL_DATE)=0,"",'Dvd Calendar'!$Y$1568*1000000000+ISNUMBER('Dvd Calendar'!$Y$1569)*100000000+0*10000000+(N('Dvd Calendar'!$Y$1567)&gt;0)*(N('Dvd Calendar'!$Y$1567)&lt;=VAL_SERIAL)*1000000+1*1000+61))</f>
        <v/>
      </c>
      <c r="GN160" s="39">
        <f>IF(N('Dvd Calendar'!$Z$1568)=0,"",IF(('Dvd Calendar'!$Z$1568&gt;=GRID_FROM)*('Dvd Calendar'!$Z$1568&lt;=GRID_TO)*('Dvd Calendar'!$Z$1568&gt;VAL_DATE)=0,"",'Dvd Calendar'!$Z$1568*1000000000+ISNUMBER('Dvd Calendar'!$Z$1569)*100000000+0*10000000+(N('Dvd Calendar'!$Z$1567)&gt;0)*(N('Dvd Calendar'!$Z$1567)&lt;=VAL_SERIAL)*1000000+1*1000+62))</f>
        <v/>
      </c>
      <c r="GO160" s="39">
        <f>IF(N('Dvd Calendar'!$AA$1568)=0,"",IF(('Dvd Calendar'!$AA$1568&gt;=GRID_FROM)*('Dvd Calendar'!$AA$1568&lt;=GRID_TO)*('Dvd Calendar'!$AA$1568&gt;VAL_DATE)=0,"",'Dvd Calendar'!$AA$1568*1000000000+ISNUMBER('Dvd Calendar'!$AA$1569)*100000000+0*10000000+(N('Dvd Calendar'!$AA$1567)&gt;0)*(N('Dvd Calendar'!$AA$1567)&lt;=VAL_SERIAL)*1000000+1*1000+63))</f>
        <v/>
      </c>
      <c r="GP160" s="39">
        <f>IF(N('Dvd Calendar'!$AB$1568)=0,"",IF(('Dvd Calendar'!$AB$1568&gt;=GRID_FROM)*('Dvd Calendar'!$AB$1568&lt;=GRID_TO)*('Dvd Calendar'!$AB$1568&gt;VAL_DATE)=0,"",'Dvd Calendar'!$AB$1568*1000000000+ISNUMBER('Dvd Calendar'!$AB$1569)*100000000+0*10000000+(N('Dvd Calendar'!$AB$1567)&gt;0)*(N('Dvd Calendar'!$AB$1567)&lt;=VAL_SERIAL)*1000000+1*1000+64))</f>
        <v/>
      </c>
      <c r="GQ160" s="39">
        <f>IF(N('Dvd Calendar'!$AC$1568)=0,"",IF(('Dvd Calendar'!$AC$1568&gt;=GRID_FROM)*('Dvd Calendar'!$AC$1568&lt;=GRID_TO)*('Dvd Calendar'!$AC$1568&gt;VAL_DATE)=0,"",'Dvd Calendar'!$AC$1568*1000000000+ISNUMBER('Dvd Calendar'!$AC$1569)*100000000+0*10000000+(N('Dvd Calendar'!$AC$1567)&gt;0)*(N('Dvd Calendar'!$AC$1567)&lt;=VAL_SERIAL)*1000000+1*1000+65))</f>
        <v/>
      </c>
    </row>
    <row r="161">
      <c r="B161" s="2">
        <f>IF(HSCEI!$C$8="","",HSCEI!$C$8)</f>
        <v/>
      </c>
      <c r="C161" s="110">
        <f>IF(EE161="","",IF(ISNUMBER('Dvd Calendar'!$E$1575)=FALSE,"",IF((('Dvd Calendar'!$E$1577=TYPE1)*(TYPE1&lt;&gt;"")+('Dvd Calendar'!$E$1577=TYPE2)*(TYPE2&lt;&gt;"")+('Dvd Calendar'!$E$1577=TYPE3)*(TYPE3&lt;&gt;"")+('Dvd Calendar'!$E$1577=TYPE4)*(TYPE4&lt;&gt;"")+('Dvd Calendar'!$E$1577=SPECIAL_LBL)*(INC_SPECIALS="Y"))=0,"",'Dvd Calendar'!$E$1575)))</f>
        <v/>
      </c>
      <c r="D161" s="110">
        <f>IF(EF161="","",IF(ISNUMBER('Dvd Calendar'!$F$1575)=FALSE,"",IF((('Dvd Calendar'!$F$1577=TYPE1)*(TYPE1&lt;&gt;"")+('Dvd Calendar'!$F$1577=TYPE2)*(TYPE2&lt;&gt;"")+('Dvd Calendar'!$F$1577=TYPE3)*(TYPE3&lt;&gt;"")+('Dvd Calendar'!$F$1577=TYPE4)*(TYPE4&lt;&gt;"")+('Dvd Calendar'!$F$1577=SPECIAL_LBL)*(INC_SPECIALS="Y"))=0,"",'Dvd Calendar'!$F$1575)))</f>
        <v/>
      </c>
      <c r="E161" s="110">
        <f>IF(EG161="","",IF(ISNUMBER('Dvd Calendar'!$G$1575)=FALSE,"",IF((('Dvd Calendar'!$G$1577=TYPE1)*(TYPE1&lt;&gt;"")+('Dvd Calendar'!$G$1577=TYPE2)*(TYPE2&lt;&gt;"")+('Dvd Calendar'!$G$1577=TYPE3)*(TYPE3&lt;&gt;"")+('Dvd Calendar'!$G$1577=TYPE4)*(TYPE4&lt;&gt;"")+('Dvd Calendar'!$G$1577=SPECIAL_LBL)*(INC_SPECIALS="Y"))=0,"",'Dvd Calendar'!$G$1575)))</f>
        <v/>
      </c>
      <c r="F161" s="110">
        <f>IF(EH161="","",IF(ISNUMBER('Dvd Calendar'!$H$1575)=FALSE,"",IF((('Dvd Calendar'!$H$1577=TYPE1)*(TYPE1&lt;&gt;"")+('Dvd Calendar'!$H$1577=TYPE2)*(TYPE2&lt;&gt;"")+('Dvd Calendar'!$H$1577=TYPE3)*(TYPE3&lt;&gt;"")+('Dvd Calendar'!$H$1577=TYPE4)*(TYPE4&lt;&gt;"")+('Dvd Calendar'!$H$1577=SPECIAL_LBL)*(INC_SPECIALS="Y"))=0,"",'Dvd Calendar'!$H$1575)))</f>
        <v/>
      </c>
      <c r="G161" s="110">
        <f>IF(EI161="","",IF(ISNUMBER('Dvd Calendar'!$I$1575)=FALSE,"",IF((('Dvd Calendar'!$I$1577=TYPE1)*(TYPE1&lt;&gt;"")+('Dvd Calendar'!$I$1577=TYPE2)*(TYPE2&lt;&gt;"")+('Dvd Calendar'!$I$1577=TYPE3)*(TYPE3&lt;&gt;"")+('Dvd Calendar'!$I$1577=TYPE4)*(TYPE4&lt;&gt;"")+('Dvd Calendar'!$I$1577=SPECIAL_LBL)*(INC_SPECIALS="Y"))=0,"",'Dvd Calendar'!$I$1575)))</f>
        <v/>
      </c>
      <c r="H161" s="110">
        <f>IF(EJ161="","",IF(ISNUMBER('Dvd Calendar'!$J$1575)=FALSE,"",IF((('Dvd Calendar'!$J$1577=TYPE1)*(TYPE1&lt;&gt;"")+('Dvd Calendar'!$J$1577=TYPE2)*(TYPE2&lt;&gt;"")+('Dvd Calendar'!$J$1577=TYPE3)*(TYPE3&lt;&gt;"")+('Dvd Calendar'!$J$1577=TYPE4)*(TYPE4&lt;&gt;"")+('Dvd Calendar'!$J$1577=SPECIAL_LBL)*(INC_SPECIALS="Y"))=0,"",'Dvd Calendar'!$J$1575)))</f>
        <v/>
      </c>
      <c r="I161" s="110">
        <f>IF(EK161="","",IF(ISNUMBER('Dvd Calendar'!$K$1575)=FALSE,"",IF((('Dvd Calendar'!$K$1577=TYPE1)*(TYPE1&lt;&gt;"")+('Dvd Calendar'!$K$1577=TYPE2)*(TYPE2&lt;&gt;"")+('Dvd Calendar'!$K$1577=TYPE3)*(TYPE3&lt;&gt;"")+('Dvd Calendar'!$K$1577=TYPE4)*(TYPE4&lt;&gt;"")+('Dvd Calendar'!$K$1577=SPECIAL_LBL)*(INC_SPECIALS="Y"))=0,"",'Dvd Calendar'!$K$1575)))</f>
        <v/>
      </c>
      <c r="J161" s="110">
        <f>IF(EL161="","",IF(ISNUMBER('Dvd Calendar'!$L$1575)=FALSE,"",IF((('Dvd Calendar'!$L$1577=TYPE1)*(TYPE1&lt;&gt;"")+('Dvd Calendar'!$L$1577=TYPE2)*(TYPE2&lt;&gt;"")+('Dvd Calendar'!$L$1577=TYPE3)*(TYPE3&lt;&gt;"")+('Dvd Calendar'!$L$1577=TYPE4)*(TYPE4&lt;&gt;"")+('Dvd Calendar'!$L$1577=SPECIAL_LBL)*(INC_SPECIALS="Y"))=0,"",'Dvd Calendar'!$L$1575)))</f>
        <v/>
      </c>
      <c r="K161" s="110">
        <f>IF(EM161="","",IF(ISNUMBER('Dvd Calendar'!$M$1575)=FALSE,"",IF((('Dvd Calendar'!$M$1577=TYPE1)*(TYPE1&lt;&gt;"")+('Dvd Calendar'!$M$1577=TYPE2)*(TYPE2&lt;&gt;"")+('Dvd Calendar'!$M$1577=TYPE3)*(TYPE3&lt;&gt;"")+('Dvd Calendar'!$M$1577=TYPE4)*(TYPE4&lt;&gt;"")+('Dvd Calendar'!$M$1577=SPECIAL_LBL)*(INC_SPECIALS="Y"))=0,"",'Dvd Calendar'!$M$1575)))</f>
        <v/>
      </c>
      <c r="L161" s="110">
        <f>IF(EN161="","",IF(ISNUMBER('Dvd Calendar'!$N$1575)=FALSE,"",IF((('Dvd Calendar'!$N$1577=TYPE1)*(TYPE1&lt;&gt;"")+('Dvd Calendar'!$N$1577=TYPE2)*(TYPE2&lt;&gt;"")+('Dvd Calendar'!$N$1577=TYPE3)*(TYPE3&lt;&gt;"")+('Dvd Calendar'!$N$1577=TYPE4)*(TYPE4&lt;&gt;"")+('Dvd Calendar'!$N$1577=SPECIAL_LBL)*(INC_SPECIALS="Y"))=0,"",'Dvd Calendar'!$N$1575)))</f>
        <v/>
      </c>
      <c r="M161" s="110">
        <f>IF(EO161="","",IF(ISNUMBER('Dvd Calendar'!$O$1575)=FALSE,"",IF((('Dvd Calendar'!$O$1577=TYPE1)*(TYPE1&lt;&gt;"")+('Dvd Calendar'!$O$1577=TYPE2)*(TYPE2&lt;&gt;"")+('Dvd Calendar'!$O$1577=TYPE3)*(TYPE3&lt;&gt;"")+('Dvd Calendar'!$O$1577=TYPE4)*(TYPE4&lt;&gt;"")+('Dvd Calendar'!$O$1577=SPECIAL_LBL)*(INC_SPECIALS="Y"))=0,"",'Dvd Calendar'!$O$1575)))</f>
        <v/>
      </c>
      <c r="N161" s="110">
        <f>IF(EP161="","",IF(ISNUMBER('Dvd Calendar'!$P$1575)=FALSE,"",IF((('Dvd Calendar'!$P$1577=TYPE1)*(TYPE1&lt;&gt;"")+('Dvd Calendar'!$P$1577=TYPE2)*(TYPE2&lt;&gt;"")+('Dvd Calendar'!$P$1577=TYPE3)*(TYPE3&lt;&gt;"")+('Dvd Calendar'!$P$1577=TYPE4)*(TYPE4&lt;&gt;"")+('Dvd Calendar'!$P$1577=SPECIAL_LBL)*(INC_SPECIALS="Y"))=0,"",'Dvd Calendar'!$P$1575)))</f>
        <v/>
      </c>
      <c r="O161" s="110">
        <f>IF(EQ161="","",IF(ISNUMBER('Dvd Calendar'!$Q$1575)=FALSE,"",IF((('Dvd Calendar'!$Q$1577=TYPE1)*(TYPE1&lt;&gt;"")+('Dvd Calendar'!$Q$1577=TYPE2)*(TYPE2&lt;&gt;"")+('Dvd Calendar'!$Q$1577=TYPE3)*(TYPE3&lt;&gt;"")+('Dvd Calendar'!$Q$1577=TYPE4)*(TYPE4&lt;&gt;"")+('Dvd Calendar'!$Q$1577=SPECIAL_LBL)*(INC_SPECIALS="Y"))=0,"",'Dvd Calendar'!$Q$1575)))</f>
        <v/>
      </c>
      <c r="P161" s="110">
        <f>IF(ER161="","",IF(ISNUMBER('Dvd Calendar'!$R$1575)=FALSE,"",IF((('Dvd Calendar'!$R$1577=TYPE1)*(TYPE1&lt;&gt;"")+('Dvd Calendar'!$R$1577=TYPE2)*(TYPE2&lt;&gt;"")+('Dvd Calendar'!$R$1577=TYPE3)*(TYPE3&lt;&gt;"")+('Dvd Calendar'!$R$1577=TYPE4)*(TYPE4&lt;&gt;"")+('Dvd Calendar'!$R$1577=SPECIAL_LBL)*(INC_SPECIALS="Y"))=0,"",'Dvd Calendar'!$R$1575)))</f>
        <v/>
      </c>
      <c r="Q161" s="110">
        <f>IF(ES161="","",IF(ISNUMBER('Dvd Calendar'!$S$1575)=FALSE,"",IF((('Dvd Calendar'!$S$1577=TYPE1)*(TYPE1&lt;&gt;"")+('Dvd Calendar'!$S$1577=TYPE2)*(TYPE2&lt;&gt;"")+('Dvd Calendar'!$S$1577=TYPE3)*(TYPE3&lt;&gt;"")+('Dvd Calendar'!$S$1577=TYPE4)*(TYPE4&lt;&gt;"")+('Dvd Calendar'!$S$1577=SPECIAL_LBL)*(INC_SPECIALS="Y"))=0,"",'Dvd Calendar'!$S$1575)))</f>
        <v/>
      </c>
      <c r="R161" s="110">
        <f>IF(ET161="","",IF(ISNUMBER('Dvd Calendar'!$T$1575)=FALSE,"",IF((('Dvd Calendar'!$T$1577=TYPE1)*(TYPE1&lt;&gt;"")+('Dvd Calendar'!$T$1577=TYPE2)*(TYPE2&lt;&gt;"")+('Dvd Calendar'!$T$1577=TYPE3)*(TYPE3&lt;&gt;"")+('Dvd Calendar'!$T$1577=TYPE4)*(TYPE4&lt;&gt;"")+('Dvd Calendar'!$T$1577=SPECIAL_LBL)*(INC_SPECIALS="Y"))=0,"",'Dvd Calendar'!$T$1575)))</f>
        <v/>
      </c>
      <c r="S161" s="110">
        <f>IF(EU161="","",IF(ISNUMBER('Dvd Calendar'!$U$1575)=FALSE,"",IF((('Dvd Calendar'!$U$1577=TYPE1)*(TYPE1&lt;&gt;"")+('Dvd Calendar'!$U$1577=TYPE2)*(TYPE2&lt;&gt;"")+('Dvd Calendar'!$U$1577=TYPE3)*(TYPE3&lt;&gt;"")+('Dvd Calendar'!$U$1577=TYPE4)*(TYPE4&lt;&gt;"")+('Dvd Calendar'!$U$1577=SPECIAL_LBL)*(INC_SPECIALS="Y"))=0,"",'Dvd Calendar'!$U$1575)))</f>
        <v/>
      </c>
      <c r="T161" s="110">
        <f>IF(EV161="","",IF(ISNUMBER('Dvd Calendar'!$V$1575)=FALSE,"",IF((('Dvd Calendar'!$V$1577=TYPE1)*(TYPE1&lt;&gt;"")+('Dvd Calendar'!$V$1577=TYPE2)*(TYPE2&lt;&gt;"")+('Dvd Calendar'!$V$1577=TYPE3)*(TYPE3&lt;&gt;"")+('Dvd Calendar'!$V$1577=TYPE4)*(TYPE4&lt;&gt;"")+('Dvd Calendar'!$V$1577=SPECIAL_LBL)*(INC_SPECIALS="Y"))=0,"",'Dvd Calendar'!$V$1575)))</f>
        <v/>
      </c>
      <c r="U161" s="110">
        <f>IF(EW161="","",IF(ISNUMBER('Dvd Calendar'!$W$1575)=FALSE,"",IF((('Dvd Calendar'!$W$1577=TYPE1)*(TYPE1&lt;&gt;"")+('Dvd Calendar'!$W$1577=TYPE2)*(TYPE2&lt;&gt;"")+('Dvd Calendar'!$W$1577=TYPE3)*(TYPE3&lt;&gt;"")+('Dvd Calendar'!$W$1577=TYPE4)*(TYPE4&lt;&gt;"")+('Dvd Calendar'!$W$1577=SPECIAL_LBL)*(INC_SPECIALS="Y"))=0,"",'Dvd Calendar'!$W$1575)))</f>
        <v/>
      </c>
      <c r="V161" s="110">
        <f>IF(EX161="","",IF(ISNUMBER('Dvd Calendar'!$X$1575)=FALSE,"",IF((('Dvd Calendar'!$X$1577=TYPE1)*(TYPE1&lt;&gt;"")+('Dvd Calendar'!$X$1577=TYPE2)*(TYPE2&lt;&gt;"")+('Dvd Calendar'!$X$1577=TYPE3)*(TYPE3&lt;&gt;"")+('Dvd Calendar'!$X$1577=TYPE4)*(TYPE4&lt;&gt;"")+('Dvd Calendar'!$X$1577=SPECIAL_LBL)*(INC_SPECIALS="Y"))=0,"",'Dvd Calendar'!$X$1575)))</f>
        <v/>
      </c>
      <c r="W161" s="110">
        <f>IF(EY161="","",IF(ISNUMBER('Dvd Calendar'!$Y$1575)=FALSE,"",IF((('Dvd Calendar'!$Y$1577=TYPE1)*(TYPE1&lt;&gt;"")+('Dvd Calendar'!$Y$1577=TYPE2)*(TYPE2&lt;&gt;"")+('Dvd Calendar'!$Y$1577=TYPE3)*(TYPE3&lt;&gt;"")+('Dvd Calendar'!$Y$1577=TYPE4)*(TYPE4&lt;&gt;"")+('Dvd Calendar'!$Y$1577=SPECIAL_LBL)*(INC_SPECIALS="Y"))=0,"",'Dvd Calendar'!$Y$1575)))</f>
        <v/>
      </c>
      <c r="X161" s="110">
        <f>IF(EZ161="","",IF(ISNUMBER('Dvd Calendar'!$Z$1575)=FALSE,"",IF((('Dvd Calendar'!$Z$1577=TYPE1)*(TYPE1&lt;&gt;"")+('Dvd Calendar'!$Z$1577=TYPE2)*(TYPE2&lt;&gt;"")+('Dvd Calendar'!$Z$1577=TYPE3)*(TYPE3&lt;&gt;"")+('Dvd Calendar'!$Z$1577=TYPE4)*(TYPE4&lt;&gt;"")+('Dvd Calendar'!$Z$1577=SPECIAL_LBL)*(INC_SPECIALS="Y"))=0,"",'Dvd Calendar'!$Z$1575)))</f>
        <v/>
      </c>
      <c r="Y161" s="110">
        <f>IF(FA161="","",IF(ISNUMBER('Dvd Calendar'!$AA$1575)=FALSE,"",IF((('Dvd Calendar'!$AA$1577=TYPE1)*(TYPE1&lt;&gt;"")+('Dvd Calendar'!$AA$1577=TYPE2)*(TYPE2&lt;&gt;"")+('Dvd Calendar'!$AA$1577=TYPE3)*(TYPE3&lt;&gt;"")+('Dvd Calendar'!$AA$1577=TYPE4)*(TYPE4&lt;&gt;"")+('Dvd Calendar'!$AA$1577=SPECIAL_LBL)*(INC_SPECIALS="Y"))=0,"",'Dvd Calendar'!$AA$1575)))</f>
        <v/>
      </c>
      <c r="Z161" s="110">
        <f>IF(FB161="","",IF(ISNUMBER('Dvd Calendar'!$AB$1575)=FALSE,"",IF((('Dvd Calendar'!$AB$1577=TYPE1)*(TYPE1&lt;&gt;"")+('Dvd Calendar'!$AB$1577=TYPE2)*(TYPE2&lt;&gt;"")+('Dvd Calendar'!$AB$1577=TYPE3)*(TYPE3&lt;&gt;"")+('Dvd Calendar'!$AB$1577=TYPE4)*(TYPE4&lt;&gt;"")+('Dvd Calendar'!$AB$1577=SPECIAL_LBL)*(INC_SPECIALS="Y"))=0,"",'Dvd Calendar'!$AB$1575)))</f>
        <v/>
      </c>
      <c r="AA161" s="110">
        <f>IF(FC161="","",IF(ISNUMBER('Dvd Calendar'!$AC$1575)=FALSE,"",IF((('Dvd Calendar'!$AC$1577=TYPE1)*(TYPE1&lt;&gt;"")+('Dvd Calendar'!$AC$1577=TYPE2)*(TYPE2&lt;&gt;"")+('Dvd Calendar'!$AC$1577=TYPE3)*(TYPE3&lt;&gt;"")+('Dvd Calendar'!$AC$1577=TYPE4)*(TYPE4&lt;&gt;"")+('Dvd Calendar'!$AC$1577=SPECIAL_LBL)*(INC_SPECIALS="Y"))=0,"",'Dvd Calendar'!$AC$1575)))</f>
        <v/>
      </c>
      <c r="AB161" s="110">
        <f>IF(FD161="","",IF(ISNUMBER('Dvd Calendar'!$AD$1575)=FALSE,"",IF((('Dvd Calendar'!$AD$1577=TYPE1)*(TYPE1&lt;&gt;"")+('Dvd Calendar'!$AD$1577=TYPE2)*(TYPE2&lt;&gt;"")+('Dvd Calendar'!$AD$1577=TYPE3)*(TYPE3&lt;&gt;"")+('Dvd Calendar'!$AD$1577=TYPE4)*(TYPE4&lt;&gt;"")+('Dvd Calendar'!$AD$1577=SPECIAL_LBL)*(INC_SPECIALS="Y"))=0,"",'Dvd Calendar'!$AD$1575)))</f>
        <v/>
      </c>
      <c r="AC161" s="110">
        <f>IF(FE161="","",IF(ISNUMBER('Dvd Calendar'!$AE$1575)=FALSE,"",IF((('Dvd Calendar'!$AE$1577=TYPE1)*(TYPE1&lt;&gt;"")+('Dvd Calendar'!$AE$1577=TYPE2)*(TYPE2&lt;&gt;"")+('Dvd Calendar'!$AE$1577=TYPE3)*(TYPE3&lt;&gt;"")+('Dvd Calendar'!$AE$1577=TYPE4)*(TYPE4&lt;&gt;"")+('Dvd Calendar'!$AE$1577=SPECIAL_LBL)*(INC_SPECIALS="Y"))=0,"",'Dvd Calendar'!$AE$1575)))</f>
        <v/>
      </c>
      <c r="AD161" s="110">
        <f>IF(FF161="","",IF(ISNUMBER('Dvd Calendar'!$AF$1575)=FALSE,"",IF((('Dvd Calendar'!$AF$1577=TYPE1)*(TYPE1&lt;&gt;"")+('Dvd Calendar'!$AF$1577=TYPE2)*(TYPE2&lt;&gt;"")+('Dvd Calendar'!$AF$1577=TYPE3)*(TYPE3&lt;&gt;"")+('Dvd Calendar'!$AF$1577=TYPE4)*(TYPE4&lt;&gt;"")+('Dvd Calendar'!$AF$1577=SPECIAL_LBL)*(INC_SPECIALS="Y"))=0,"",'Dvd Calendar'!$AF$1575)))</f>
        <v/>
      </c>
      <c r="AE161" s="110">
        <f>IF(FG161="","",IF(ISNUMBER('Dvd Calendar'!$AG$1575)=FALSE,"",IF((('Dvd Calendar'!$AG$1577=TYPE1)*(TYPE1&lt;&gt;"")+('Dvd Calendar'!$AG$1577=TYPE2)*(TYPE2&lt;&gt;"")+('Dvd Calendar'!$AG$1577=TYPE3)*(TYPE3&lt;&gt;"")+('Dvd Calendar'!$AG$1577=TYPE4)*(TYPE4&lt;&gt;"")+('Dvd Calendar'!$AG$1577=SPECIAL_LBL)*(INC_SPECIALS="Y"))=0,"",'Dvd Calendar'!$AG$1575)))</f>
        <v/>
      </c>
      <c r="AF161" s="110">
        <f>IF(FH161="","",IF(ISNUMBER('Dvd Calendar'!$AH$1575)=FALSE,"",IF((('Dvd Calendar'!$AH$1577=TYPE1)*(TYPE1&lt;&gt;"")+('Dvd Calendar'!$AH$1577=TYPE2)*(TYPE2&lt;&gt;"")+('Dvd Calendar'!$AH$1577=TYPE3)*(TYPE3&lt;&gt;"")+('Dvd Calendar'!$AH$1577=TYPE4)*(TYPE4&lt;&gt;"")+('Dvd Calendar'!$AH$1577=SPECIAL_LBL)*(INC_SPECIALS="Y"))=0,"",'Dvd Calendar'!$AH$1575)))</f>
        <v/>
      </c>
      <c r="AG161" s="110">
        <f>IF(FI161="","",IF(ISNUMBER('Dvd Calendar'!$AI$1575)=FALSE,"",IF((('Dvd Calendar'!$AI$1577=TYPE1)*(TYPE1&lt;&gt;"")+('Dvd Calendar'!$AI$1577=TYPE2)*(TYPE2&lt;&gt;"")+('Dvd Calendar'!$AI$1577=TYPE3)*(TYPE3&lt;&gt;"")+('Dvd Calendar'!$AI$1577=TYPE4)*(TYPE4&lt;&gt;"")+('Dvd Calendar'!$AI$1577=SPECIAL_LBL)*(INC_SPECIALS="Y"))=0,"",'Dvd Calendar'!$AI$1575)))</f>
        <v/>
      </c>
      <c r="AH161" s="110">
        <f>IF(FJ161="","",IF(ISNUMBER('Dvd Calendar'!$AJ$1575)=FALSE,"",IF((('Dvd Calendar'!$AJ$1577=TYPE1)*(TYPE1&lt;&gt;"")+('Dvd Calendar'!$AJ$1577=TYPE2)*(TYPE2&lt;&gt;"")+('Dvd Calendar'!$AJ$1577=TYPE3)*(TYPE3&lt;&gt;"")+('Dvd Calendar'!$AJ$1577=TYPE4)*(TYPE4&lt;&gt;"")+('Dvd Calendar'!$AJ$1577=SPECIAL_LBL)*(INC_SPECIALS="Y"))=0,"",'Dvd Calendar'!$AJ$1575)))</f>
        <v/>
      </c>
      <c r="AI161" s="110">
        <f>IF(FK161="","",IF(ISNUMBER('Dvd Calendar'!$AK$1575)=FALSE,"",IF((('Dvd Calendar'!$AK$1577=TYPE1)*(TYPE1&lt;&gt;"")+('Dvd Calendar'!$AK$1577=TYPE2)*(TYPE2&lt;&gt;"")+('Dvd Calendar'!$AK$1577=TYPE3)*(TYPE3&lt;&gt;"")+('Dvd Calendar'!$AK$1577=TYPE4)*(TYPE4&lt;&gt;"")+('Dvd Calendar'!$AK$1577=SPECIAL_LBL)*(INC_SPECIALS="Y"))=0,"",'Dvd Calendar'!$AK$1575)))</f>
        <v/>
      </c>
      <c r="AJ161" s="110">
        <f>IF(FL161="","",IF(ISNUMBER('Dvd Calendar'!$AL$1575)=FALSE,"",IF((('Dvd Calendar'!$AL$1577=TYPE1)*(TYPE1&lt;&gt;"")+('Dvd Calendar'!$AL$1577=TYPE2)*(TYPE2&lt;&gt;"")+('Dvd Calendar'!$AL$1577=TYPE3)*(TYPE3&lt;&gt;"")+('Dvd Calendar'!$AL$1577=TYPE4)*(TYPE4&lt;&gt;"")+('Dvd Calendar'!$AL$1577=SPECIAL_LBL)*(INC_SPECIALS="Y"))=0,"",'Dvd Calendar'!$AL$1575)))</f>
        <v/>
      </c>
      <c r="AK161" s="110">
        <f>IF(FM161="","",IF(ISNUMBER('Dvd Calendar'!$AM$1575)=FALSE,"",IF((('Dvd Calendar'!$AM$1577=TYPE1)*(TYPE1&lt;&gt;"")+('Dvd Calendar'!$AM$1577=TYPE2)*(TYPE2&lt;&gt;"")+('Dvd Calendar'!$AM$1577=TYPE3)*(TYPE3&lt;&gt;"")+('Dvd Calendar'!$AM$1577=TYPE4)*(TYPE4&lt;&gt;"")+('Dvd Calendar'!$AM$1577=SPECIAL_LBL)*(INC_SPECIALS="Y"))=0,"",'Dvd Calendar'!$AM$1575)))</f>
        <v/>
      </c>
      <c r="AL161" s="110">
        <f>IF(FN161="","",IF(ISNUMBER('Dvd Calendar'!$AN$1575)=FALSE,"",IF((('Dvd Calendar'!$AN$1577=TYPE1)*(TYPE1&lt;&gt;"")+('Dvd Calendar'!$AN$1577=TYPE2)*(TYPE2&lt;&gt;"")+('Dvd Calendar'!$AN$1577=TYPE3)*(TYPE3&lt;&gt;"")+('Dvd Calendar'!$AN$1577=TYPE4)*(TYPE4&lt;&gt;"")+('Dvd Calendar'!$AN$1577=SPECIAL_LBL)*(INC_SPECIALS="Y"))=0,"",'Dvd Calendar'!$AN$1575)))</f>
        <v/>
      </c>
      <c r="AM161" s="110">
        <f>IF(FO161="","",IF(ISNUMBER('Dvd Calendar'!$AO$1575)=FALSE,"",IF((('Dvd Calendar'!$AO$1577=TYPE1)*(TYPE1&lt;&gt;"")+('Dvd Calendar'!$AO$1577=TYPE2)*(TYPE2&lt;&gt;"")+('Dvd Calendar'!$AO$1577=TYPE3)*(TYPE3&lt;&gt;"")+('Dvd Calendar'!$AO$1577=TYPE4)*(TYPE4&lt;&gt;"")+('Dvd Calendar'!$AO$1577=SPECIAL_LBL)*(INC_SPECIALS="Y"))=0,"",'Dvd Calendar'!$AO$1575)))</f>
        <v/>
      </c>
      <c r="AN161" s="110">
        <f>IF(FP161="","",IF(ISNUMBER('Dvd Calendar'!$AP$1575)=FALSE,"",IF((('Dvd Calendar'!$AP$1577=TYPE1)*(TYPE1&lt;&gt;"")+('Dvd Calendar'!$AP$1577=TYPE2)*(TYPE2&lt;&gt;"")+('Dvd Calendar'!$AP$1577=TYPE3)*(TYPE3&lt;&gt;"")+('Dvd Calendar'!$AP$1577=TYPE4)*(TYPE4&lt;&gt;"")+('Dvd Calendar'!$AP$1577=SPECIAL_LBL)*(INC_SPECIALS="Y"))=0,"",'Dvd Calendar'!$AP$1575)))</f>
        <v/>
      </c>
      <c r="AO161" s="110">
        <f>IF(FQ161="","",IF(ISNUMBER('Dvd Calendar'!$AQ$1575)=FALSE,"",IF((('Dvd Calendar'!$AQ$1577=TYPE1)*(TYPE1&lt;&gt;"")+('Dvd Calendar'!$AQ$1577=TYPE2)*(TYPE2&lt;&gt;"")+('Dvd Calendar'!$AQ$1577=TYPE3)*(TYPE3&lt;&gt;"")+('Dvd Calendar'!$AQ$1577=TYPE4)*(TYPE4&lt;&gt;"")+('Dvd Calendar'!$AQ$1577=SPECIAL_LBL)*(INC_SPECIALS="Y"))=0,"",'Dvd Calendar'!$AQ$1575)))</f>
        <v/>
      </c>
      <c r="AP161" s="110">
        <f>IF(FR161="","",IF(ISNUMBER('Dvd Calendar'!$AR$1575)=FALSE,"",IF((('Dvd Calendar'!$AR$1577=TYPE1)*(TYPE1&lt;&gt;"")+('Dvd Calendar'!$AR$1577=TYPE2)*(TYPE2&lt;&gt;"")+('Dvd Calendar'!$AR$1577=TYPE3)*(TYPE3&lt;&gt;"")+('Dvd Calendar'!$AR$1577=TYPE4)*(TYPE4&lt;&gt;"")+('Dvd Calendar'!$AR$1577=SPECIAL_LBL)*(INC_SPECIALS="Y"))=0,"",'Dvd Calendar'!$AR$1575)))</f>
        <v/>
      </c>
      <c r="AQ161" s="110">
        <f>IF(FS161="","",IF(ISNUMBER('Dvd Calendar'!$E$1580)=FALSE,"",'Dvd Calendar'!$E$1580))</f>
        <v/>
      </c>
      <c r="AR161" s="110">
        <f>IF(FT161="","",IF(ISNUMBER('Dvd Calendar'!$F$1580)=FALSE,"",'Dvd Calendar'!$F$1580))</f>
        <v/>
      </c>
      <c r="AS161" s="110">
        <f>IF(FU161="","",IF(ISNUMBER('Dvd Calendar'!$G$1580)=FALSE,"",'Dvd Calendar'!$G$1580))</f>
        <v/>
      </c>
      <c r="AT161" s="110">
        <f>IF(FV161="","",IF(ISNUMBER('Dvd Calendar'!$H$1580)=FALSE,"",'Dvd Calendar'!$H$1580))</f>
        <v/>
      </c>
      <c r="AU161" s="110">
        <f>IF(FW161="","",IF(ISNUMBER('Dvd Calendar'!$I$1580)=FALSE,"",'Dvd Calendar'!$I$1580))</f>
        <v/>
      </c>
      <c r="AV161" s="110">
        <f>IF(FX161="","",IF(ISNUMBER('Dvd Calendar'!$J$1580)=FALSE,"",'Dvd Calendar'!$J$1580))</f>
        <v/>
      </c>
      <c r="AW161" s="110">
        <f>IF(FY161="","",IF(ISNUMBER('Dvd Calendar'!$K$1580)=FALSE,"",'Dvd Calendar'!$K$1580))</f>
        <v/>
      </c>
      <c r="AX161" s="110">
        <f>IF(FZ161="","",IF(ISNUMBER('Dvd Calendar'!$L$1580)=FALSE,"",'Dvd Calendar'!$L$1580))</f>
        <v/>
      </c>
      <c r="AY161" s="110">
        <f>IF(GA161="","",IF(ISNUMBER('Dvd Calendar'!$M$1580)=FALSE,"",'Dvd Calendar'!$M$1580))</f>
        <v/>
      </c>
      <c r="AZ161" s="110">
        <f>IF(GB161="","",IF(ISNUMBER('Dvd Calendar'!$N$1580)=FALSE,"",'Dvd Calendar'!$N$1580))</f>
        <v/>
      </c>
      <c r="BA161" s="110">
        <f>IF(GC161="","",IF(ISNUMBER('Dvd Calendar'!$O$1580)=FALSE,"",'Dvd Calendar'!$O$1580))</f>
        <v/>
      </c>
      <c r="BB161" s="110">
        <f>IF(GD161="","",IF(ISNUMBER('Dvd Calendar'!$P$1580)=FALSE,"",'Dvd Calendar'!$P$1580))</f>
        <v/>
      </c>
      <c r="BC161" s="110">
        <f>IF(GE161="","",IF(ISNUMBER('Dvd Calendar'!$Q$1580)=FALSE,"",'Dvd Calendar'!$Q$1580))</f>
        <v/>
      </c>
      <c r="BD161" s="110">
        <f>IF(GF161="","",IF(ISNUMBER('Dvd Calendar'!$R$1580)=FALSE,"",'Dvd Calendar'!$R$1580))</f>
        <v/>
      </c>
      <c r="BE161" s="110">
        <f>IF(GG161="","",IF(ISNUMBER('Dvd Calendar'!$S$1580)=FALSE,"",'Dvd Calendar'!$S$1580))</f>
        <v/>
      </c>
      <c r="BF161" s="110">
        <f>IF(GH161="","",IF(ISNUMBER('Dvd Calendar'!$T$1580)=FALSE,"",'Dvd Calendar'!$T$1580))</f>
        <v/>
      </c>
      <c r="BG161" s="110">
        <f>IF(GI161="","",IF(ISNUMBER('Dvd Calendar'!$U$1580)=FALSE,"",'Dvd Calendar'!$U$1580))</f>
        <v/>
      </c>
      <c r="BH161" s="110">
        <f>IF(GJ161="","",IF(ISNUMBER('Dvd Calendar'!$V$1580)=FALSE,"",'Dvd Calendar'!$V$1580))</f>
        <v/>
      </c>
      <c r="BI161" s="110">
        <f>IF(GK161="","",IF(ISNUMBER('Dvd Calendar'!$W$1580)=FALSE,"",'Dvd Calendar'!$W$1580))</f>
        <v/>
      </c>
      <c r="BJ161" s="110">
        <f>IF(GL161="","",IF(ISNUMBER('Dvd Calendar'!$X$1580)=FALSE,"",'Dvd Calendar'!$X$1580))</f>
        <v/>
      </c>
      <c r="BK161" s="110">
        <f>IF(GM161="","",IF(ISNUMBER('Dvd Calendar'!$Y$1580)=FALSE,"",'Dvd Calendar'!$Y$1580))</f>
        <v/>
      </c>
      <c r="BL161" s="110">
        <f>IF(GN161="","",IF(ISNUMBER('Dvd Calendar'!$Z$1580)=FALSE,"",'Dvd Calendar'!$Z$1580))</f>
        <v/>
      </c>
      <c r="BM161" s="110">
        <f>IF(GO161="","",IF(ISNUMBER('Dvd Calendar'!$AA$1580)=FALSE,"",'Dvd Calendar'!$AA$1580))</f>
        <v/>
      </c>
      <c r="BN161" s="110">
        <f>IF(GP161="","",IF(ISNUMBER('Dvd Calendar'!$AB$1580)=FALSE,"",'Dvd Calendar'!$AB$1580))</f>
        <v/>
      </c>
      <c r="BO161" s="110">
        <f>IF(GQ161="","",IF(ISNUMBER('Dvd Calendar'!$AC$1580)=FALSE,"",'Dvd Calendar'!$AC$1580))</f>
        <v/>
      </c>
      <c r="BQ161" s="110">
        <f>IF(C161="","",IFERROR(C161*HSCEI!$B$8*HSCEI!$G$8/HSCEI!$B$3,""))</f>
        <v/>
      </c>
      <c r="BR161" s="110">
        <f>IF(D161="","",IFERROR(D161*HSCEI!$B$8*HSCEI!$G$8/HSCEI!$B$3,""))</f>
        <v/>
      </c>
      <c r="BS161" s="110">
        <f>IF(E161="","",IFERROR(E161*HSCEI!$B$8*HSCEI!$G$8/HSCEI!$B$3,""))</f>
        <v/>
      </c>
      <c r="BT161" s="110">
        <f>IF(F161="","",IFERROR(F161*HSCEI!$B$8*HSCEI!$G$8/HSCEI!$B$3,""))</f>
        <v/>
      </c>
      <c r="BU161" s="110">
        <f>IF(G161="","",IFERROR(G161*HSCEI!$B$8*HSCEI!$G$8/HSCEI!$B$3,""))</f>
        <v/>
      </c>
      <c r="BV161" s="110">
        <f>IF(H161="","",IFERROR(H161*HSCEI!$B$8*HSCEI!$G$8/HSCEI!$B$3,""))</f>
        <v/>
      </c>
      <c r="BW161" s="110">
        <f>IF(I161="","",IFERROR(I161*HSCEI!$B$8*HSCEI!$G$8/HSCEI!$B$3,""))</f>
        <v/>
      </c>
      <c r="BX161" s="110">
        <f>IF(J161="","",IFERROR(J161*HSCEI!$B$8*HSCEI!$G$8/HSCEI!$B$3,""))</f>
        <v/>
      </c>
      <c r="BY161" s="110">
        <f>IF(K161="","",IFERROR(K161*HSCEI!$B$8*HSCEI!$G$8/HSCEI!$B$3,""))</f>
        <v/>
      </c>
      <c r="BZ161" s="110">
        <f>IF(L161="","",IFERROR(L161*HSCEI!$B$8*HSCEI!$G$8/HSCEI!$B$3,""))</f>
        <v/>
      </c>
      <c r="CA161" s="110">
        <f>IF(M161="","",IFERROR(M161*HSCEI!$B$8*HSCEI!$G$8/HSCEI!$B$3,""))</f>
        <v/>
      </c>
      <c r="CB161" s="110">
        <f>IF(N161="","",IFERROR(N161*HSCEI!$B$8*HSCEI!$G$8/HSCEI!$B$3,""))</f>
        <v/>
      </c>
      <c r="CC161" s="110">
        <f>IF(O161="","",IFERROR(O161*HSCEI!$B$8*HSCEI!$G$8/HSCEI!$B$3,""))</f>
        <v/>
      </c>
      <c r="CD161" s="110">
        <f>IF(P161="","",IFERROR(P161*HSCEI!$B$8*HSCEI!$G$8/HSCEI!$B$3,""))</f>
        <v/>
      </c>
      <c r="CE161" s="110">
        <f>IF(Q161="","",IFERROR(Q161*HSCEI!$B$8*HSCEI!$G$8/HSCEI!$B$3,""))</f>
        <v/>
      </c>
      <c r="CF161" s="110">
        <f>IF(R161="","",IFERROR(R161*HSCEI!$B$8*HSCEI!$G$8/HSCEI!$B$3,""))</f>
        <v/>
      </c>
      <c r="CG161" s="110">
        <f>IF(S161="","",IFERROR(S161*HSCEI!$B$8*HSCEI!$G$8/HSCEI!$B$3,""))</f>
        <v/>
      </c>
      <c r="CH161" s="110">
        <f>IF(T161="","",IFERROR(T161*HSCEI!$B$8*HSCEI!$G$8/HSCEI!$B$3,""))</f>
        <v/>
      </c>
      <c r="CI161" s="110">
        <f>IF(U161="","",IFERROR(U161*HSCEI!$B$8*HSCEI!$G$8/HSCEI!$B$3,""))</f>
        <v/>
      </c>
      <c r="CJ161" s="110">
        <f>IF(V161="","",IFERROR(V161*HSCEI!$B$8*HSCEI!$G$8/HSCEI!$B$3,""))</f>
        <v/>
      </c>
      <c r="CK161" s="110">
        <f>IF(W161="","",IFERROR(W161*HSCEI!$B$8*HSCEI!$G$8/HSCEI!$B$3,""))</f>
        <v/>
      </c>
      <c r="CL161" s="110">
        <f>IF(X161="","",IFERROR(X161*HSCEI!$B$8*HSCEI!$G$8/HSCEI!$B$3,""))</f>
        <v/>
      </c>
      <c r="CM161" s="110">
        <f>IF(Y161="","",IFERROR(Y161*HSCEI!$B$8*HSCEI!$G$8/HSCEI!$B$3,""))</f>
        <v/>
      </c>
      <c r="CN161" s="110">
        <f>IF(Z161="","",IFERROR(Z161*HSCEI!$B$8*HSCEI!$G$8/HSCEI!$B$3,""))</f>
        <v/>
      </c>
      <c r="CO161" s="110">
        <f>IF(AA161="","",IFERROR(AA161*HSCEI!$B$8*HSCEI!$G$8/HSCEI!$B$3,""))</f>
        <v/>
      </c>
      <c r="CP161" s="110">
        <f>IF(AB161="","",IFERROR(AB161*HSCEI!$B$8*HSCEI!$G$8/HSCEI!$B$3,""))</f>
        <v/>
      </c>
      <c r="CQ161" s="110">
        <f>IF(AC161="","",IFERROR(AC161*HSCEI!$B$8*HSCEI!$G$8/HSCEI!$B$3,""))</f>
        <v/>
      </c>
      <c r="CR161" s="110">
        <f>IF(AD161="","",IFERROR(AD161*HSCEI!$B$8*HSCEI!$G$8/HSCEI!$B$3,""))</f>
        <v/>
      </c>
      <c r="CS161" s="110">
        <f>IF(AE161="","",IFERROR(AE161*HSCEI!$B$8*HSCEI!$G$8/HSCEI!$B$3,""))</f>
        <v/>
      </c>
      <c r="CT161" s="110">
        <f>IF(AF161="","",IFERROR(AF161*HSCEI!$B$8*HSCEI!$G$8/HSCEI!$B$3,""))</f>
        <v/>
      </c>
      <c r="CU161" s="110">
        <f>IF(AG161="","",IFERROR(AG161*HSCEI!$B$8*HSCEI!$G$8/HSCEI!$B$3,""))</f>
        <v/>
      </c>
      <c r="CV161" s="110">
        <f>IF(AH161="","",IFERROR(AH161*HSCEI!$B$8*HSCEI!$G$8/HSCEI!$B$3,""))</f>
        <v/>
      </c>
      <c r="CW161" s="110">
        <f>IF(AI161="","",IFERROR(AI161*HSCEI!$B$8*HSCEI!$G$8/HSCEI!$B$3,""))</f>
        <v/>
      </c>
      <c r="CX161" s="110">
        <f>IF(AJ161="","",IFERROR(AJ161*HSCEI!$B$8*HSCEI!$G$8/HSCEI!$B$3,""))</f>
        <v/>
      </c>
      <c r="CY161" s="110">
        <f>IF(AK161="","",IFERROR(AK161*HSCEI!$B$8*HSCEI!$G$8/HSCEI!$B$3,""))</f>
        <v/>
      </c>
      <c r="CZ161" s="110">
        <f>IF(AL161="","",IFERROR(AL161*HSCEI!$B$8*HSCEI!$G$8/HSCEI!$B$3,""))</f>
        <v/>
      </c>
      <c r="DA161" s="110">
        <f>IF(AM161="","",IFERROR(AM161*HSCEI!$B$8*HSCEI!$G$8/HSCEI!$B$3,""))</f>
        <v/>
      </c>
      <c r="DB161" s="110">
        <f>IF(AN161="","",IFERROR(AN161*HSCEI!$B$8*HSCEI!$G$8/HSCEI!$B$3,""))</f>
        <v/>
      </c>
      <c r="DC161" s="110">
        <f>IF(AO161="","",IFERROR(AO161*HSCEI!$B$8*HSCEI!$G$8/HSCEI!$B$3,""))</f>
        <v/>
      </c>
      <c r="DD161" s="110">
        <f>IF(AP161="","",IFERROR(AP161*HSCEI!$B$8*HSCEI!$G$8/HSCEI!$B$3,""))</f>
        <v/>
      </c>
      <c r="DE161" s="110">
        <f>IF(AQ161="","",IFERROR(AQ161*HSCEI!$B$8*HSCEI!$G$8/HSCEI!$B$3,""))</f>
        <v/>
      </c>
      <c r="DF161" s="110">
        <f>IF(AR161="","",IFERROR(AR161*HSCEI!$B$8*HSCEI!$G$8/HSCEI!$B$3,""))</f>
        <v/>
      </c>
      <c r="DG161" s="110">
        <f>IF(AS161="","",IFERROR(AS161*HSCEI!$B$8*HSCEI!$G$8/HSCEI!$B$3,""))</f>
        <v/>
      </c>
      <c r="DH161" s="110">
        <f>IF(AT161="","",IFERROR(AT161*HSCEI!$B$8*HSCEI!$G$8/HSCEI!$B$3,""))</f>
        <v/>
      </c>
      <c r="DI161" s="110">
        <f>IF(AU161="","",IFERROR(AU161*HSCEI!$B$8*HSCEI!$G$8/HSCEI!$B$3,""))</f>
        <v/>
      </c>
      <c r="DJ161" s="110">
        <f>IF(AV161="","",IFERROR(AV161*HSCEI!$B$8*HSCEI!$G$8/HSCEI!$B$3,""))</f>
        <v/>
      </c>
      <c r="DK161" s="110">
        <f>IF(AW161="","",IFERROR(AW161*HSCEI!$B$8*HSCEI!$G$8/HSCEI!$B$3,""))</f>
        <v/>
      </c>
      <c r="DL161" s="110">
        <f>IF(AX161="","",IFERROR(AX161*HSCEI!$B$8*HSCEI!$G$8/HSCEI!$B$3,""))</f>
        <v/>
      </c>
      <c r="DM161" s="110">
        <f>IF(AY161="","",IFERROR(AY161*HSCEI!$B$8*HSCEI!$G$8/HSCEI!$B$3,""))</f>
        <v/>
      </c>
      <c r="DN161" s="110">
        <f>IF(AZ161="","",IFERROR(AZ161*HSCEI!$B$8*HSCEI!$G$8/HSCEI!$B$3,""))</f>
        <v/>
      </c>
      <c r="DO161" s="110">
        <f>IF(BA161="","",IFERROR(BA161*HSCEI!$B$8*HSCEI!$G$8/HSCEI!$B$3,""))</f>
        <v/>
      </c>
      <c r="DP161" s="110">
        <f>IF(BB161="","",IFERROR(BB161*HSCEI!$B$8*HSCEI!$G$8/HSCEI!$B$3,""))</f>
        <v/>
      </c>
      <c r="DQ161" s="110">
        <f>IF(BC161="","",IFERROR(BC161*HSCEI!$B$8*HSCEI!$G$8/HSCEI!$B$3,""))</f>
        <v/>
      </c>
      <c r="DR161" s="110">
        <f>IF(BD161="","",IFERROR(BD161*HSCEI!$B$8*HSCEI!$G$8/HSCEI!$B$3,""))</f>
        <v/>
      </c>
      <c r="DS161" s="110">
        <f>IF(BE161="","",IFERROR(BE161*HSCEI!$B$8*HSCEI!$G$8/HSCEI!$B$3,""))</f>
        <v/>
      </c>
      <c r="DT161" s="110">
        <f>IF(BF161="","",IFERROR(BF161*HSCEI!$B$8*HSCEI!$G$8/HSCEI!$B$3,""))</f>
        <v/>
      </c>
      <c r="DU161" s="110">
        <f>IF(BG161="","",IFERROR(BG161*HSCEI!$B$8*HSCEI!$G$8/HSCEI!$B$3,""))</f>
        <v/>
      </c>
      <c r="DV161" s="110">
        <f>IF(BH161="","",IFERROR(BH161*HSCEI!$B$8*HSCEI!$G$8/HSCEI!$B$3,""))</f>
        <v/>
      </c>
      <c r="DW161" s="110">
        <f>IF(BI161="","",IFERROR(BI161*HSCEI!$B$8*HSCEI!$G$8/HSCEI!$B$3,""))</f>
        <v/>
      </c>
      <c r="DX161" s="110">
        <f>IF(BJ161="","",IFERROR(BJ161*HSCEI!$B$8*HSCEI!$G$8/HSCEI!$B$3,""))</f>
        <v/>
      </c>
      <c r="DY161" s="110">
        <f>IF(BK161="","",IFERROR(BK161*HSCEI!$B$8*HSCEI!$G$8/HSCEI!$B$3,""))</f>
        <v/>
      </c>
      <c r="DZ161" s="110">
        <f>IF(BL161="","",IFERROR(BL161*HSCEI!$B$8*HSCEI!$G$8/HSCEI!$B$3,""))</f>
        <v/>
      </c>
      <c r="EA161" s="110">
        <f>IF(BM161="","",IFERROR(BM161*HSCEI!$B$8*HSCEI!$G$8/HSCEI!$B$3,""))</f>
        <v/>
      </c>
      <c r="EB161" s="110">
        <f>IF(BN161="","",IFERROR(BN161*HSCEI!$B$8*HSCEI!$G$8/HSCEI!$B$3,""))</f>
        <v/>
      </c>
      <c r="EC161" s="110">
        <f>IF(BO161="","",IFERROR(BO161*HSCEI!$B$8*HSCEI!$G$8/HSCEI!$B$3,""))</f>
        <v/>
      </c>
      <c r="EE161" s="39">
        <f>IF(N('Dvd Calendar'!$E$1572)=0,"",IF(('Dvd Calendar'!$E$1572&gt;=GRID_FROM)*('Dvd Calendar'!$E$1572&lt;=GRID_TO)*((('Dvd Calendar'!$E$1572&lt;=VAL_DATE)+(COUNTIF('Dvd Calendar'!$E$1579:$AR$1579,'Dvd Calendar'!$E$1572)=0))&gt;0)=0,"",'Dvd Calendar'!$E$1572*1000000000+ISNUMBER('Dvd Calendar'!$E$1575)*100000000+('Dvd Calendar'!$E$1577=SPECIAL_LBL)*10000000+(N('Dvd Calendar'!$E$1571)&gt;0)*(N('Dvd Calendar'!$E$1571)&lt;=VAL_SERIAL)*1000000+2*1000+1))</f>
        <v/>
      </c>
      <c r="EF161" s="39">
        <f>IF(N('Dvd Calendar'!$F$1572)=0,"",IF(('Dvd Calendar'!$F$1572&gt;=GRID_FROM)*('Dvd Calendar'!$F$1572&lt;=GRID_TO)*((('Dvd Calendar'!$F$1572&lt;=VAL_DATE)+(COUNTIF('Dvd Calendar'!$E$1579:$AR$1579,'Dvd Calendar'!$F$1572)=0))&gt;0)=0,"",'Dvd Calendar'!$F$1572*1000000000+ISNUMBER('Dvd Calendar'!$F$1575)*100000000+('Dvd Calendar'!$F$1577=SPECIAL_LBL)*10000000+(N('Dvd Calendar'!$F$1571)&gt;0)*(N('Dvd Calendar'!$F$1571)&lt;=VAL_SERIAL)*1000000+2*1000+2))</f>
        <v/>
      </c>
      <c r="EG161" s="39">
        <f>IF(N('Dvd Calendar'!$G$1572)=0,"",IF(('Dvd Calendar'!$G$1572&gt;=GRID_FROM)*('Dvd Calendar'!$G$1572&lt;=GRID_TO)*((('Dvd Calendar'!$G$1572&lt;=VAL_DATE)+(COUNTIF('Dvd Calendar'!$E$1579:$AR$1579,'Dvd Calendar'!$G$1572)=0))&gt;0)=0,"",'Dvd Calendar'!$G$1572*1000000000+ISNUMBER('Dvd Calendar'!$G$1575)*100000000+('Dvd Calendar'!$G$1577=SPECIAL_LBL)*10000000+(N('Dvd Calendar'!$G$1571)&gt;0)*(N('Dvd Calendar'!$G$1571)&lt;=VAL_SERIAL)*1000000+2*1000+3))</f>
        <v/>
      </c>
      <c r="EH161" s="39">
        <f>IF(N('Dvd Calendar'!$H$1572)=0,"",IF(('Dvd Calendar'!$H$1572&gt;=GRID_FROM)*('Dvd Calendar'!$H$1572&lt;=GRID_TO)*((('Dvd Calendar'!$H$1572&lt;=VAL_DATE)+(COUNTIF('Dvd Calendar'!$E$1579:$AR$1579,'Dvd Calendar'!$H$1572)=0))&gt;0)=0,"",'Dvd Calendar'!$H$1572*1000000000+ISNUMBER('Dvd Calendar'!$H$1575)*100000000+('Dvd Calendar'!$H$1577=SPECIAL_LBL)*10000000+(N('Dvd Calendar'!$H$1571)&gt;0)*(N('Dvd Calendar'!$H$1571)&lt;=VAL_SERIAL)*1000000+2*1000+4))</f>
        <v/>
      </c>
      <c r="EI161" s="39">
        <f>IF(N('Dvd Calendar'!$I$1572)=0,"",IF(('Dvd Calendar'!$I$1572&gt;=GRID_FROM)*('Dvd Calendar'!$I$1572&lt;=GRID_TO)*((('Dvd Calendar'!$I$1572&lt;=VAL_DATE)+(COUNTIF('Dvd Calendar'!$E$1579:$AR$1579,'Dvd Calendar'!$I$1572)=0))&gt;0)=0,"",'Dvd Calendar'!$I$1572*1000000000+ISNUMBER('Dvd Calendar'!$I$1575)*100000000+('Dvd Calendar'!$I$1577=SPECIAL_LBL)*10000000+(N('Dvd Calendar'!$I$1571)&gt;0)*(N('Dvd Calendar'!$I$1571)&lt;=VAL_SERIAL)*1000000+2*1000+5))</f>
        <v/>
      </c>
      <c r="EJ161" s="39">
        <f>IF(N('Dvd Calendar'!$J$1572)=0,"",IF(('Dvd Calendar'!$J$1572&gt;=GRID_FROM)*('Dvd Calendar'!$J$1572&lt;=GRID_TO)*((('Dvd Calendar'!$J$1572&lt;=VAL_DATE)+(COUNTIF('Dvd Calendar'!$E$1579:$AR$1579,'Dvd Calendar'!$J$1572)=0))&gt;0)=0,"",'Dvd Calendar'!$J$1572*1000000000+ISNUMBER('Dvd Calendar'!$J$1575)*100000000+('Dvd Calendar'!$J$1577=SPECIAL_LBL)*10000000+(N('Dvd Calendar'!$J$1571)&gt;0)*(N('Dvd Calendar'!$J$1571)&lt;=VAL_SERIAL)*1000000+2*1000+6))</f>
        <v/>
      </c>
      <c r="EK161" s="39">
        <f>IF(N('Dvd Calendar'!$K$1572)=0,"",IF(('Dvd Calendar'!$K$1572&gt;=GRID_FROM)*('Dvd Calendar'!$K$1572&lt;=GRID_TO)*((('Dvd Calendar'!$K$1572&lt;=VAL_DATE)+(COUNTIF('Dvd Calendar'!$E$1579:$AR$1579,'Dvd Calendar'!$K$1572)=0))&gt;0)=0,"",'Dvd Calendar'!$K$1572*1000000000+ISNUMBER('Dvd Calendar'!$K$1575)*100000000+('Dvd Calendar'!$K$1577=SPECIAL_LBL)*10000000+(N('Dvd Calendar'!$K$1571)&gt;0)*(N('Dvd Calendar'!$K$1571)&lt;=VAL_SERIAL)*1000000+2*1000+7))</f>
        <v/>
      </c>
      <c r="EL161" s="39">
        <f>IF(N('Dvd Calendar'!$L$1572)=0,"",IF(('Dvd Calendar'!$L$1572&gt;=GRID_FROM)*('Dvd Calendar'!$L$1572&lt;=GRID_TO)*((('Dvd Calendar'!$L$1572&lt;=VAL_DATE)+(COUNTIF('Dvd Calendar'!$E$1579:$AR$1579,'Dvd Calendar'!$L$1572)=0))&gt;0)=0,"",'Dvd Calendar'!$L$1572*1000000000+ISNUMBER('Dvd Calendar'!$L$1575)*100000000+('Dvd Calendar'!$L$1577=SPECIAL_LBL)*10000000+(N('Dvd Calendar'!$L$1571)&gt;0)*(N('Dvd Calendar'!$L$1571)&lt;=VAL_SERIAL)*1000000+2*1000+8))</f>
        <v/>
      </c>
      <c r="EM161" s="39">
        <f>IF(N('Dvd Calendar'!$M$1572)=0,"",IF(('Dvd Calendar'!$M$1572&gt;=GRID_FROM)*('Dvd Calendar'!$M$1572&lt;=GRID_TO)*((('Dvd Calendar'!$M$1572&lt;=VAL_DATE)+(COUNTIF('Dvd Calendar'!$E$1579:$AR$1579,'Dvd Calendar'!$M$1572)=0))&gt;0)=0,"",'Dvd Calendar'!$M$1572*1000000000+ISNUMBER('Dvd Calendar'!$M$1575)*100000000+('Dvd Calendar'!$M$1577=SPECIAL_LBL)*10000000+(N('Dvd Calendar'!$M$1571)&gt;0)*(N('Dvd Calendar'!$M$1571)&lt;=VAL_SERIAL)*1000000+2*1000+9))</f>
        <v/>
      </c>
      <c r="EN161" s="39">
        <f>IF(N('Dvd Calendar'!$N$1572)=0,"",IF(('Dvd Calendar'!$N$1572&gt;=GRID_FROM)*('Dvd Calendar'!$N$1572&lt;=GRID_TO)*((('Dvd Calendar'!$N$1572&lt;=VAL_DATE)+(COUNTIF('Dvd Calendar'!$E$1579:$AR$1579,'Dvd Calendar'!$N$1572)=0))&gt;0)=0,"",'Dvd Calendar'!$N$1572*1000000000+ISNUMBER('Dvd Calendar'!$N$1575)*100000000+('Dvd Calendar'!$N$1577=SPECIAL_LBL)*10000000+(N('Dvd Calendar'!$N$1571)&gt;0)*(N('Dvd Calendar'!$N$1571)&lt;=VAL_SERIAL)*1000000+2*1000+10))</f>
        <v/>
      </c>
      <c r="EO161" s="39">
        <f>IF(N('Dvd Calendar'!$O$1572)=0,"",IF(('Dvd Calendar'!$O$1572&gt;=GRID_FROM)*('Dvd Calendar'!$O$1572&lt;=GRID_TO)*((('Dvd Calendar'!$O$1572&lt;=VAL_DATE)+(COUNTIF('Dvd Calendar'!$E$1579:$AR$1579,'Dvd Calendar'!$O$1572)=0))&gt;0)=0,"",'Dvd Calendar'!$O$1572*1000000000+ISNUMBER('Dvd Calendar'!$O$1575)*100000000+('Dvd Calendar'!$O$1577=SPECIAL_LBL)*10000000+(N('Dvd Calendar'!$O$1571)&gt;0)*(N('Dvd Calendar'!$O$1571)&lt;=VAL_SERIAL)*1000000+2*1000+11))</f>
        <v/>
      </c>
      <c r="EP161" s="39">
        <f>IF(N('Dvd Calendar'!$P$1572)=0,"",IF(('Dvd Calendar'!$P$1572&gt;=GRID_FROM)*('Dvd Calendar'!$P$1572&lt;=GRID_TO)*((('Dvd Calendar'!$P$1572&lt;=VAL_DATE)+(COUNTIF('Dvd Calendar'!$E$1579:$AR$1579,'Dvd Calendar'!$P$1572)=0))&gt;0)=0,"",'Dvd Calendar'!$P$1572*1000000000+ISNUMBER('Dvd Calendar'!$P$1575)*100000000+('Dvd Calendar'!$P$1577=SPECIAL_LBL)*10000000+(N('Dvd Calendar'!$P$1571)&gt;0)*(N('Dvd Calendar'!$P$1571)&lt;=VAL_SERIAL)*1000000+2*1000+12))</f>
        <v/>
      </c>
      <c r="EQ161" s="39">
        <f>IF(N('Dvd Calendar'!$Q$1572)=0,"",IF(('Dvd Calendar'!$Q$1572&gt;=GRID_FROM)*('Dvd Calendar'!$Q$1572&lt;=GRID_TO)*((('Dvd Calendar'!$Q$1572&lt;=VAL_DATE)+(COUNTIF('Dvd Calendar'!$E$1579:$AR$1579,'Dvd Calendar'!$Q$1572)=0))&gt;0)=0,"",'Dvd Calendar'!$Q$1572*1000000000+ISNUMBER('Dvd Calendar'!$Q$1575)*100000000+('Dvd Calendar'!$Q$1577=SPECIAL_LBL)*10000000+(N('Dvd Calendar'!$Q$1571)&gt;0)*(N('Dvd Calendar'!$Q$1571)&lt;=VAL_SERIAL)*1000000+2*1000+13))</f>
        <v/>
      </c>
      <c r="ER161" s="39">
        <f>IF(N('Dvd Calendar'!$R$1572)=0,"",IF(('Dvd Calendar'!$R$1572&gt;=GRID_FROM)*('Dvd Calendar'!$R$1572&lt;=GRID_TO)*((('Dvd Calendar'!$R$1572&lt;=VAL_DATE)+(COUNTIF('Dvd Calendar'!$E$1579:$AR$1579,'Dvd Calendar'!$R$1572)=0))&gt;0)=0,"",'Dvd Calendar'!$R$1572*1000000000+ISNUMBER('Dvd Calendar'!$R$1575)*100000000+('Dvd Calendar'!$R$1577=SPECIAL_LBL)*10000000+(N('Dvd Calendar'!$R$1571)&gt;0)*(N('Dvd Calendar'!$R$1571)&lt;=VAL_SERIAL)*1000000+2*1000+14))</f>
        <v/>
      </c>
      <c r="ES161" s="39">
        <f>IF(N('Dvd Calendar'!$S$1572)=0,"",IF(('Dvd Calendar'!$S$1572&gt;=GRID_FROM)*('Dvd Calendar'!$S$1572&lt;=GRID_TO)*((('Dvd Calendar'!$S$1572&lt;=VAL_DATE)+(COUNTIF('Dvd Calendar'!$E$1579:$AR$1579,'Dvd Calendar'!$S$1572)=0))&gt;0)=0,"",'Dvd Calendar'!$S$1572*1000000000+ISNUMBER('Dvd Calendar'!$S$1575)*100000000+('Dvd Calendar'!$S$1577=SPECIAL_LBL)*10000000+(N('Dvd Calendar'!$S$1571)&gt;0)*(N('Dvd Calendar'!$S$1571)&lt;=VAL_SERIAL)*1000000+2*1000+15))</f>
        <v/>
      </c>
      <c r="ET161" s="39">
        <f>IF(N('Dvd Calendar'!$T$1572)=0,"",IF(('Dvd Calendar'!$T$1572&gt;=GRID_FROM)*('Dvd Calendar'!$T$1572&lt;=GRID_TO)*((('Dvd Calendar'!$T$1572&lt;=VAL_DATE)+(COUNTIF('Dvd Calendar'!$E$1579:$AR$1579,'Dvd Calendar'!$T$1572)=0))&gt;0)=0,"",'Dvd Calendar'!$T$1572*1000000000+ISNUMBER('Dvd Calendar'!$T$1575)*100000000+('Dvd Calendar'!$T$1577=SPECIAL_LBL)*10000000+(N('Dvd Calendar'!$T$1571)&gt;0)*(N('Dvd Calendar'!$T$1571)&lt;=VAL_SERIAL)*1000000+2*1000+16))</f>
        <v/>
      </c>
      <c r="EU161" s="39">
        <f>IF(N('Dvd Calendar'!$U$1572)=0,"",IF(('Dvd Calendar'!$U$1572&gt;=GRID_FROM)*('Dvd Calendar'!$U$1572&lt;=GRID_TO)*((('Dvd Calendar'!$U$1572&lt;=VAL_DATE)+(COUNTIF('Dvd Calendar'!$E$1579:$AR$1579,'Dvd Calendar'!$U$1572)=0))&gt;0)=0,"",'Dvd Calendar'!$U$1572*1000000000+ISNUMBER('Dvd Calendar'!$U$1575)*100000000+('Dvd Calendar'!$U$1577=SPECIAL_LBL)*10000000+(N('Dvd Calendar'!$U$1571)&gt;0)*(N('Dvd Calendar'!$U$1571)&lt;=VAL_SERIAL)*1000000+2*1000+17))</f>
        <v/>
      </c>
      <c r="EV161" s="39">
        <f>IF(N('Dvd Calendar'!$V$1572)=0,"",IF(('Dvd Calendar'!$V$1572&gt;=GRID_FROM)*('Dvd Calendar'!$V$1572&lt;=GRID_TO)*((('Dvd Calendar'!$V$1572&lt;=VAL_DATE)+(COUNTIF('Dvd Calendar'!$E$1579:$AR$1579,'Dvd Calendar'!$V$1572)=0))&gt;0)=0,"",'Dvd Calendar'!$V$1572*1000000000+ISNUMBER('Dvd Calendar'!$V$1575)*100000000+('Dvd Calendar'!$V$1577=SPECIAL_LBL)*10000000+(N('Dvd Calendar'!$V$1571)&gt;0)*(N('Dvd Calendar'!$V$1571)&lt;=VAL_SERIAL)*1000000+2*1000+18))</f>
        <v/>
      </c>
      <c r="EW161" s="39">
        <f>IF(N('Dvd Calendar'!$W$1572)=0,"",IF(('Dvd Calendar'!$W$1572&gt;=GRID_FROM)*('Dvd Calendar'!$W$1572&lt;=GRID_TO)*((('Dvd Calendar'!$W$1572&lt;=VAL_DATE)+(COUNTIF('Dvd Calendar'!$E$1579:$AR$1579,'Dvd Calendar'!$W$1572)=0))&gt;0)=0,"",'Dvd Calendar'!$W$1572*1000000000+ISNUMBER('Dvd Calendar'!$W$1575)*100000000+('Dvd Calendar'!$W$1577=SPECIAL_LBL)*10000000+(N('Dvd Calendar'!$W$1571)&gt;0)*(N('Dvd Calendar'!$W$1571)&lt;=VAL_SERIAL)*1000000+2*1000+19))</f>
        <v/>
      </c>
      <c r="EX161" s="39">
        <f>IF(N('Dvd Calendar'!$X$1572)=0,"",IF(('Dvd Calendar'!$X$1572&gt;=GRID_FROM)*('Dvd Calendar'!$X$1572&lt;=GRID_TO)*((('Dvd Calendar'!$X$1572&lt;=VAL_DATE)+(COUNTIF('Dvd Calendar'!$E$1579:$AR$1579,'Dvd Calendar'!$X$1572)=0))&gt;0)=0,"",'Dvd Calendar'!$X$1572*1000000000+ISNUMBER('Dvd Calendar'!$X$1575)*100000000+('Dvd Calendar'!$X$1577=SPECIAL_LBL)*10000000+(N('Dvd Calendar'!$X$1571)&gt;0)*(N('Dvd Calendar'!$X$1571)&lt;=VAL_SERIAL)*1000000+2*1000+20))</f>
        <v/>
      </c>
      <c r="EY161" s="39">
        <f>IF(N('Dvd Calendar'!$Y$1572)=0,"",IF(('Dvd Calendar'!$Y$1572&gt;=GRID_FROM)*('Dvd Calendar'!$Y$1572&lt;=GRID_TO)*((('Dvd Calendar'!$Y$1572&lt;=VAL_DATE)+(COUNTIF('Dvd Calendar'!$E$1579:$AR$1579,'Dvd Calendar'!$Y$1572)=0))&gt;0)=0,"",'Dvd Calendar'!$Y$1572*1000000000+ISNUMBER('Dvd Calendar'!$Y$1575)*100000000+('Dvd Calendar'!$Y$1577=SPECIAL_LBL)*10000000+(N('Dvd Calendar'!$Y$1571)&gt;0)*(N('Dvd Calendar'!$Y$1571)&lt;=VAL_SERIAL)*1000000+2*1000+21))</f>
        <v/>
      </c>
      <c r="EZ161" s="39">
        <f>IF(N('Dvd Calendar'!$Z$1572)=0,"",IF(('Dvd Calendar'!$Z$1572&gt;=GRID_FROM)*('Dvd Calendar'!$Z$1572&lt;=GRID_TO)*((('Dvd Calendar'!$Z$1572&lt;=VAL_DATE)+(COUNTIF('Dvd Calendar'!$E$1579:$AR$1579,'Dvd Calendar'!$Z$1572)=0))&gt;0)=0,"",'Dvd Calendar'!$Z$1572*1000000000+ISNUMBER('Dvd Calendar'!$Z$1575)*100000000+('Dvd Calendar'!$Z$1577=SPECIAL_LBL)*10000000+(N('Dvd Calendar'!$Z$1571)&gt;0)*(N('Dvd Calendar'!$Z$1571)&lt;=VAL_SERIAL)*1000000+2*1000+22))</f>
        <v/>
      </c>
      <c r="FA161" s="39">
        <f>IF(N('Dvd Calendar'!$AA$1572)=0,"",IF(('Dvd Calendar'!$AA$1572&gt;=GRID_FROM)*('Dvd Calendar'!$AA$1572&lt;=GRID_TO)*((('Dvd Calendar'!$AA$1572&lt;=VAL_DATE)+(COUNTIF('Dvd Calendar'!$E$1579:$AR$1579,'Dvd Calendar'!$AA$1572)=0))&gt;0)=0,"",'Dvd Calendar'!$AA$1572*1000000000+ISNUMBER('Dvd Calendar'!$AA$1575)*100000000+('Dvd Calendar'!$AA$1577=SPECIAL_LBL)*10000000+(N('Dvd Calendar'!$AA$1571)&gt;0)*(N('Dvd Calendar'!$AA$1571)&lt;=VAL_SERIAL)*1000000+2*1000+23))</f>
        <v/>
      </c>
      <c r="FB161" s="39">
        <f>IF(N('Dvd Calendar'!$AB$1572)=0,"",IF(('Dvd Calendar'!$AB$1572&gt;=GRID_FROM)*('Dvd Calendar'!$AB$1572&lt;=GRID_TO)*((('Dvd Calendar'!$AB$1572&lt;=VAL_DATE)+(COUNTIF('Dvd Calendar'!$E$1579:$AR$1579,'Dvd Calendar'!$AB$1572)=0))&gt;0)=0,"",'Dvd Calendar'!$AB$1572*1000000000+ISNUMBER('Dvd Calendar'!$AB$1575)*100000000+('Dvd Calendar'!$AB$1577=SPECIAL_LBL)*10000000+(N('Dvd Calendar'!$AB$1571)&gt;0)*(N('Dvd Calendar'!$AB$1571)&lt;=VAL_SERIAL)*1000000+2*1000+24))</f>
        <v/>
      </c>
      <c r="FC161" s="39">
        <f>IF(N('Dvd Calendar'!$AC$1572)=0,"",IF(('Dvd Calendar'!$AC$1572&gt;=GRID_FROM)*('Dvd Calendar'!$AC$1572&lt;=GRID_TO)*((('Dvd Calendar'!$AC$1572&lt;=VAL_DATE)+(COUNTIF('Dvd Calendar'!$E$1579:$AR$1579,'Dvd Calendar'!$AC$1572)=0))&gt;0)=0,"",'Dvd Calendar'!$AC$1572*1000000000+ISNUMBER('Dvd Calendar'!$AC$1575)*100000000+('Dvd Calendar'!$AC$1577=SPECIAL_LBL)*10000000+(N('Dvd Calendar'!$AC$1571)&gt;0)*(N('Dvd Calendar'!$AC$1571)&lt;=VAL_SERIAL)*1000000+2*1000+25))</f>
        <v/>
      </c>
      <c r="FD161" s="39">
        <f>IF(N('Dvd Calendar'!$AD$1572)=0,"",IF(('Dvd Calendar'!$AD$1572&gt;=GRID_FROM)*('Dvd Calendar'!$AD$1572&lt;=GRID_TO)*((('Dvd Calendar'!$AD$1572&lt;=VAL_DATE)+(COUNTIF('Dvd Calendar'!$E$1579:$AR$1579,'Dvd Calendar'!$AD$1572)=0))&gt;0)=0,"",'Dvd Calendar'!$AD$1572*1000000000+ISNUMBER('Dvd Calendar'!$AD$1575)*100000000+('Dvd Calendar'!$AD$1577=SPECIAL_LBL)*10000000+(N('Dvd Calendar'!$AD$1571)&gt;0)*(N('Dvd Calendar'!$AD$1571)&lt;=VAL_SERIAL)*1000000+2*1000+26))</f>
        <v/>
      </c>
      <c r="FE161" s="39">
        <f>IF(N('Dvd Calendar'!$AE$1572)=0,"",IF(('Dvd Calendar'!$AE$1572&gt;=GRID_FROM)*('Dvd Calendar'!$AE$1572&lt;=GRID_TO)*((('Dvd Calendar'!$AE$1572&lt;=VAL_DATE)+(COUNTIF('Dvd Calendar'!$E$1579:$AR$1579,'Dvd Calendar'!$AE$1572)=0))&gt;0)=0,"",'Dvd Calendar'!$AE$1572*1000000000+ISNUMBER('Dvd Calendar'!$AE$1575)*100000000+('Dvd Calendar'!$AE$1577=SPECIAL_LBL)*10000000+(N('Dvd Calendar'!$AE$1571)&gt;0)*(N('Dvd Calendar'!$AE$1571)&lt;=VAL_SERIAL)*1000000+2*1000+27))</f>
        <v/>
      </c>
      <c r="FF161" s="39">
        <f>IF(N('Dvd Calendar'!$AF$1572)=0,"",IF(('Dvd Calendar'!$AF$1572&gt;=GRID_FROM)*('Dvd Calendar'!$AF$1572&lt;=GRID_TO)*((('Dvd Calendar'!$AF$1572&lt;=VAL_DATE)+(COUNTIF('Dvd Calendar'!$E$1579:$AR$1579,'Dvd Calendar'!$AF$1572)=0))&gt;0)=0,"",'Dvd Calendar'!$AF$1572*1000000000+ISNUMBER('Dvd Calendar'!$AF$1575)*100000000+('Dvd Calendar'!$AF$1577=SPECIAL_LBL)*10000000+(N('Dvd Calendar'!$AF$1571)&gt;0)*(N('Dvd Calendar'!$AF$1571)&lt;=VAL_SERIAL)*1000000+2*1000+28))</f>
        <v/>
      </c>
      <c r="FG161" s="39">
        <f>IF(N('Dvd Calendar'!$AG$1572)=0,"",IF(('Dvd Calendar'!$AG$1572&gt;=GRID_FROM)*('Dvd Calendar'!$AG$1572&lt;=GRID_TO)*((('Dvd Calendar'!$AG$1572&lt;=VAL_DATE)+(COUNTIF('Dvd Calendar'!$E$1579:$AR$1579,'Dvd Calendar'!$AG$1572)=0))&gt;0)=0,"",'Dvd Calendar'!$AG$1572*1000000000+ISNUMBER('Dvd Calendar'!$AG$1575)*100000000+('Dvd Calendar'!$AG$1577=SPECIAL_LBL)*10000000+(N('Dvd Calendar'!$AG$1571)&gt;0)*(N('Dvd Calendar'!$AG$1571)&lt;=VAL_SERIAL)*1000000+2*1000+29))</f>
        <v/>
      </c>
      <c r="FH161" s="39">
        <f>IF(N('Dvd Calendar'!$AH$1572)=0,"",IF(('Dvd Calendar'!$AH$1572&gt;=GRID_FROM)*('Dvd Calendar'!$AH$1572&lt;=GRID_TO)*((('Dvd Calendar'!$AH$1572&lt;=VAL_DATE)+(COUNTIF('Dvd Calendar'!$E$1579:$AR$1579,'Dvd Calendar'!$AH$1572)=0))&gt;0)=0,"",'Dvd Calendar'!$AH$1572*1000000000+ISNUMBER('Dvd Calendar'!$AH$1575)*100000000+('Dvd Calendar'!$AH$1577=SPECIAL_LBL)*10000000+(N('Dvd Calendar'!$AH$1571)&gt;0)*(N('Dvd Calendar'!$AH$1571)&lt;=VAL_SERIAL)*1000000+2*1000+30))</f>
        <v/>
      </c>
      <c r="FI161" s="39">
        <f>IF(N('Dvd Calendar'!$AI$1572)=0,"",IF(('Dvd Calendar'!$AI$1572&gt;=GRID_FROM)*('Dvd Calendar'!$AI$1572&lt;=GRID_TO)*((('Dvd Calendar'!$AI$1572&lt;=VAL_DATE)+(COUNTIF('Dvd Calendar'!$E$1579:$AR$1579,'Dvd Calendar'!$AI$1572)=0))&gt;0)=0,"",'Dvd Calendar'!$AI$1572*1000000000+ISNUMBER('Dvd Calendar'!$AI$1575)*100000000+('Dvd Calendar'!$AI$1577=SPECIAL_LBL)*10000000+(N('Dvd Calendar'!$AI$1571)&gt;0)*(N('Dvd Calendar'!$AI$1571)&lt;=VAL_SERIAL)*1000000+2*1000+31))</f>
        <v/>
      </c>
      <c r="FJ161" s="39">
        <f>IF(N('Dvd Calendar'!$AJ$1572)=0,"",IF(('Dvd Calendar'!$AJ$1572&gt;=GRID_FROM)*('Dvd Calendar'!$AJ$1572&lt;=GRID_TO)*((('Dvd Calendar'!$AJ$1572&lt;=VAL_DATE)+(COUNTIF('Dvd Calendar'!$E$1579:$AR$1579,'Dvd Calendar'!$AJ$1572)=0))&gt;0)=0,"",'Dvd Calendar'!$AJ$1572*1000000000+ISNUMBER('Dvd Calendar'!$AJ$1575)*100000000+('Dvd Calendar'!$AJ$1577=SPECIAL_LBL)*10000000+(N('Dvd Calendar'!$AJ$1571)&gt;0)*(N('Dvd Calendar'!$AJ$1571)&lt;=VAL_SERIAL)*1000000+2*1000+32))</f>
        <v/>
      </c>
      <c r="FK161" s="39">
        <f>IF(N('Dvd Calendar'!$AK$1572)=0,"",IF(('Dvd Calendar'!$AK$1572&gt;=GRID_FROM)*('Dvd Calendar'!$AK$1572&lt;=GRID_TO)*((('Dvd Calendar'!$AK$1572&lt;=VAL_DATE)+(COUNTIF('Dvd Calendar'!$E$1579:$AR$1579,'Dvd Calendar'!$AK$1572)=0))&gt;0)=0,"",'Dvd Calendar'!$AK$1572*1000000000+ISNUMBER('Dvd Calendar'!$AK$1575)*100000000+('Dvd Calendar'!$AK$1577=SPECIAL_LBL)*10000000+(N('Dvd Calendar'!$AK$1571)&gt;0)*(N('Dvd Calendar'!$AK$1571)&lt;=VAL_SERIAL)*1000000+2*1000+33))</f>
        <v/>
      </c>
      <c r="FL161" s="39">
        <f>IF(N('Dvd Calendar'!$AL$1572)=0,"",IF(('Dvd Calendar'!$AL$1572&gt;=GRID_FROM)*('Dvd Calendar'!$AL$1572&lt;=GRID_TO)*((('Dvd Calendar'!$AL$1572&lt;=VAL_DATE)+(COUNTIF('Dvd Calendar'!$E$1579:$AR$1579,'Dvd Calendar'!$AL$1572)=0))&gt;0)=0,"",'Dvd Calendar'!$AL$1572*1000000000+ISNUMBER('Dvd Calendar'!$AL$1575)*100000000+('Dvd Calendar'!$AL$1577=SPECIAL_LBL)*10000000+(N('Dvd Calendar'!$AL$1571)&gt;0)*(N('Dvd Calendar'!$AL$1571)&lt;=VAL_SERIAL)*1000000+2*1000+34))</f>
        <v/>
      </c>
      <c r="FM161" s="39">
        <f>IF(N('Dvd Calendar'!$AM$1572)=0,"",IF(('Dvd Calendar'!$AM$1572&gt;=GRID_FROM)*('Dvd Calendar'!$AM$1572&lt;=GRID_TO)*((('Dvd Calendar'!$AM$1572&lt;=VAL_DATE)+(COUNTIF('Dvd Calendar'!$E$1579:$AR$1579,'Dvd Calendar'!$AM$1572)=0))&gt;0)=0,"",'Dvd Calendar'!$AM$1572*1000000000+ISNUMBER('Dvd Calendar'!$AM$1575)*100000000+('Dvd Calendar'!$AM$1577=SPECIAL_LBL)*10000000+(N('Dvd Calendar'!$AM$1571)&gt;0)*(N('Dvd Calendar'!$AM$1571)&lt;=VAL_SERIAL)*1000000+2*1000+35))</f>
        <v/>
      </c>
      <c r="FN161" s="39">
        <f>IF(N('Dvd Calendar'!$AN$1572)=0,"",IF(('Dvd Calendar'!$AN$1572&gt;=GRID_FROM)*('Dvd Calendar'!$AN$1572&lt;=GRID_TO)*((('Dvd Calendar'!$AN$1572&lt;=VAL_DATE)+(COUNTIF('Dvd Calendar'!$E$1579:$AR$1579,'Dvd Calendar'!$AN$1572)=0))&gt;0)=0,"",'Dvd Calendar'!$AN$1572*1000000000+ISNUMBER('Dvd Calendar'!$AN$1575)*100000000+('Dvd Calendar'!$AN$1577=SPECIAL_LBL)*10000000+(N('Dvd Calendar'!$AN$1571)&gt;0)*(N('Dvd Calendar'!$AN$1571)&lt;=VAL_SERIAL)*1000000+2*1000+36))</f>
        <v/>
      </c>
      <c r="FO161" s="39">
        <f>IF(N('Dvd Calendar'!$AO$1572)=0,"",IF(('Dvd Calendar'!$AO$1572&gt;=GRID_FROM)*('Dvd Calendar'!$AO$1572&lt;=GRID_TO)*((('Dvd Calendar'!$AO$1572&lt;=VAL_DATE)+(COUNTIF('Dvd Calendar'!$E$1579:$AR$1579,'Dvd Calendar'!$AO$1572)=0))&gt;0)=0,"",'Dvd Calendar'!$AO$1572*1000000000+ISNUMBER('Dvd Calendar'!$AO$1575)*100000000+('Dvd Calendar'!$AO$1577=SPECIAL_LBL)*10000000+(N('Dvd Calendar'!$AO$1571)&gt;0)*(N('Dvd Calendar'!$AO$1571)&lt;=VAL_SERIAL)*1000000+2*1000+37))</f>
        <v/>
      </c>
      <c r="FP161" s="39">
        <f>IF(N('Dvd Calendar'!$AP$1572)=0,"",IF(('Dvd Calendar'!$AP$1572&gt;=GRID_FROM)*('Dvd Calendar'!$AP$1572&lt;=GRID_TO)*((('Dvd Calendar'!$AP$1572&lt;=VAL_DATE)+(COUNTIF('Dvd Calendar'!$E$1579:$AR$1579,'Dvd Calendar'!$AP$1572)=0))&gt;0)=0,"",'Dvd Calendar'!$AP$1572*1000000000+ISNUMBER('Dvd Calendar'!$AP$1575)*100000000+('Dvd Calendar'!$AP$1577=SPECIAL_LBL)*10000000+(N('Dvd Calendar'!$AP$1571)&gt;0)*(N('Dvd Calendar'!$AP$1571)&lt;=VAL_SERIAL)*1000000+2*1000+38))</f>
        <v/>
      </c>
      <c r="FQ161" s="39">
        <f>IF(N('Dvd Calendar'!$AQ$1572)=0,"",IF(('Dvd Calendar'!$AQ$1572&gt;=GRID_FROM)*('Dvd Calendar'!$AQ$1572&lt;=GRID_TO)*((('Dvd Calendar'!$AQ$1572&lt;=VAL_DATE)+(COUNTIF('Dvd Calendar'!$E$1579:$AR$1579,'Dvd Calendar'!$AQ$1572)=0))&gt;0)=0,"",'Dvd Calendar'!$AQ$1572*1000000000+ISNUMBER('Dvd Calendar'!$AQ$1575)*100000000+('Dvd Calendar'!$AQ$1577=SPECIAL_LBL)*10000000+(N('Dvd Calendar'!$AQ$1571)&gt;0)*(N('Dvd Calendar'!$AQ$1571)&lt;=VAL_SERIAL)*1000000+2*1000+39))</f>
        <v/>
      </c>
      <c r="FR161" s="39">
        <f>IF(N('Dvd Calendar'!$AR$1572)=0,"",IF(('Dvd Calendar'!$AR$1572&gt;=GRID_FROM)*('Dvd Calendar'!$AR$1572&lt;=GRID_TO)*((('Dvd Calendar'!$AR$1572&lt;=VAL_DATE)+(COUNTIF('Dvd Calendar'!$E$1579:$AR$1579,'Dvd Calendar'!$AR$1572)=0))&gt;0)=0,"",'Dvd Calendar'!$AR$1572*1000000000+ISNUMBER('Dvd Calendar'!$AR$1575)*100000000+('Dvd Calendar'!$AR$1577=SPECIAL_LBL)*10000000+(N('Dvd Calendar'!$AR$1571)&gt;0)*(N('Dvd Calendar'!$AR$1571)&lt;=VAL_SERIAL)*1000000+2*1000+40))</f>
        <v/>
      </c>
      <c r="FS161" s="39">
        <f>IF(N('Dvd Calendar'!$E$1579)=0,"",IF(('Dvd Calendar'!$E$1579&gt;=GRID_FROM)*('Dvd Calendar'!$E$1579&lt;=GRID_TO)*('Dvd Calendar'!$E$1579&gt;VAL_DATE)=0,"",'Dvd Calendar'!$E$1579*1000000000+ISNUMBER('Dvd Calendar'!$E$1580)*100000000+0*10000000+(N('Dvd Calendar'!$E$1578)&gt;0)*(N('Dvd Calendar'!$E$1578)&lt;=VAL_SERIAL)*1000000+2*1000+41))</f>
        <v/>
      </c>
      <c r="FT161" s="39">
        <f>IF(N('Dvd Calendar'!$F$1579)=0,"",IF(('Dvd Calendar'!$F$1579&gt;=GRID_FROM)*('Dvd Calendar'!$F$1579&lt;=GRID_TO)*('Dvd Calendar'!$F$1579&gt;VAL_DATE)=0,"",'Dvd Calendar'!$F$1579*1000000000+ISNUMBER('Dvd Calendar'!$F$1580)*100000000+0*10000000+(N('Dvd Calendar'!$F$1578)&gt;0)*(N('Dvd Calendar'!$F$1578)&lt;=VAL_SERIAL)*1000000+2*1000+42))</f>
        <v/>
      </c>
      <c r="FU161" s="39">
        <f>IF(N('Dvd Calendar'!$G$1579)=0,"",IF(('Dvd Calendar'!$G$1579&gt;=GRID_FROM)*('Dvd Calendar'!$G$1579&lt;=GRID_TO)*('Dvd Calendar'!$G$1579&gt;VAL_DATE)=0,"",'Dvd Calendar'!$G$1579*1000000000+ISNUMBER('Dvd Calendar'!$G$1580)*100000000+0*10000000+(N('Dvd Calendar'!$G$1578)&gt;0)*(N('Dvd Calendar'!$G$1578)&lt;=VAL_SERIAL)*1000000+2*1000+43))</f>
        <v/>
      </c>
      <c r="FV161" s="39">
        <f>IF(N('Dvd Calendar'!$H$1579)=0,"",IF(('Dvd Calendar'!$H$1579&gt;=GRID_FROM)*('Dvd Calendar'!$H$1579&lt;=GRID_TO)*('Dvd Calendar'!$H$1579&gt;VAL_DATE)=0,"",'Dvd Calendar'!$H$1579*1000000000+ISNUMBER('Dvd Calendar'!$H$1580)*100000000+0*10000000+(N('Dvd Calendar'!$H$1578)&gt;0)*(N('Dvd Calendar'!$H$1578)&lt;=VAL_SERIAL)*1000000+2*1000+44))</f>
        <v/>
      </c>
      <c r="FW161" s="39">
        <f>IF(N('Dvd Calendar'!$I$1579)=0,"",IF(('Dvd Calendar'!$I$1579&gt;=GRID_FROM)*('Dvd Calendar'!$I$1579&lt;=GRID_TO)*('Dvd Calendar'!$I$1579&gt;VAL_DATE)=0,"",'Dvd Calendar'!$I$1579*1000000000+ISNUMBER('Dvd Calendar'!$I$1580)*100000000+0*10000000+(N('Dvd Calendar'!$I$1578)&gt;0)*(N('Dvd Calendar'!$I$1578)&lt;=VAL_SERIAL)*1000000+2*1000+45))</f>
        <v/>
      </c>
      <c r="FX161" s="39">
        <f>IF(N('Dvd Calendar'!$J$1579)=0,"",IF(('Dvd Calendar'!$J$1579&gt;=GRID_FROM)*('Dvd Calendar'!$J$1579&lt;=GRID_TO)*('Dvd Calendar'!$J$1579&gt;VAL_DATE)=0,"",'Dvd Calendar'!$J$1579*1000000000+ISNUMBER('Dvd Calendar'!$J$1580)*100000000+0*10000000+(N('Dvd Calendar'!$J$1578)&gt;0)*(N('Dvd Calendar'!$J$1578)&lt;=VAL_SERIAL)*1000000+2*1000+46))</f>
        <v/>
      </c>
      <c r="FY161" s="39">
        <f>IF(N('Dvd Calendar'!$K$1579)=0,"",IF(('Dvd Calendar'!$K$1579&gt;=GRID_FROM)*('Dvd Calendar'!$K$1579&lt;=GRID_TO)*('Dvd Calendar'!$K$1579&gt;VAL_DATE)=0,"",'Dvd Calendar'!$K$1579*1000000000+ISNUMBER('Dvd Calendar'!$K$1580)*100000000+0*10000000+(N('Dvd Calendar'!$K$1578)&gt;0)*(N('Dvd Calendar'!$K$1578)&lt;=VAL_SERIAL)*1000000+2*1000+47))</f>
        <v/>
      </c>
      <c r="FZ161" s="39">
        <f>IF(N('Dvd Calendar'!$L$1579)=0,"",IF(('Dvd Calendar'!$L$1579&gt;=GRID_FROM)*('Dvd Calendar'!$L$1579&lt;=GRID_TO)*('Dvd Calendar'!$L$1579&gt;VAL_DATE)=0,"",'Dvd Calendar'!$L$1579*1000000000+ISNUMBER('Dvd Calendar'!$L$1580)*100000000+0*10000000+(N('Dvd Calendar'!$L$1578)&gt;0)*(N('Dvd Calendar'!$L$1578)&lt;=VAL_SERIAL)*1000000+2*1000+48))</f>
        <v/>
      </c>
      <c r="GA161" s="39">
        <f>IF(N('Dvd Calendar'!$M$1579)=0,"",IF(('Dvd Calendar'!$M$1579&gt;=GRID_FROM)*('Dvd Calendar'!$M$1579&lt;=GRID_TO)*('Dvd Calendar'!$M$1579&gt;VAL_DATE)=0,"",'Dvd Calendar'!$M$1579*1000000000+ISNUMBER('Dvd Calendar'!$M$1580)*100000000+0*10000000+(N('Dvd Calendar'!$M$1578)&gt;0)*(N('Dvd Calendar'!$M$1578)&lt;=VAL_SERIAL)*1000000+2*1000+49))</f>
        <v/>
      </c>
      <c r="GB161" s="39">
        <f>IF(N('Dvd Calendar'!$N$1579)=0,"",IF(('Dvd Calendar'!$N$1579&gt;=GRID_FROM)*('Dvd Calendar'!$N$1579&lt;=GRID_TO)*('Dvd Calendar'!$N$1579&gt;VAL_DATE)=0,"",'Dvd Calendar'!$N$1579*1000000000+ISNUMBER('Dvd Calendar'!$N$1580)*100000000+0*10000000+(N('Dvd Calendar'!$N$1578)&gt;0)*(N('Dvd Calendar'!$N$1578)&lt;=VAL_SERIAL)*1000000+2*1000+50))</f>
        <v/>
      </c>
      <c r="GC161" s="39">
        <f>IF(N('Dvd Calendar'!$O$1579)=0,"",IF(('Dvd Calendar'!$O$1579&gt;=GRID_FROM)*('Dvd Calendar'!$O$1579&lt;=GRID_TO)*('Dvd Calendar'!$O$1579&gt;VAL_DATE)=0,"",'Dvd Calendar'!$O$1579*1000000000+ISNUMBER('Dvd Calendar'!$O$1580)*100000000+0*10000000+(N('Dvd Calendar'!$O$1578)&gt;0)*(N('Dvd Calendar'!$O$1578)&lt;=VAL_SERIAL)*1000000+2*1000+51))</f>
        <v/>
      </c>
      <c r="GD161" s="39">
        <f>IF(N('Dvd Calendar'!$P$1579)=0,"",IF(('Dvd Calendar'!$P$1579&gt;=GRID_FROM)*('Dvd Calendar'!$P$1579&lt;=GRID_TO)*('Dvd Calendar'!$P$1579&gt;VAL_DATE)=0,"",'Dvd Calendar'!$P$1579*1000000000+ISNUMBER('Dvd Calendar'!$P$1580)*100000000+0*10000000+(N('Dvd Calendar'!$P$1578)&gt;0)*(N('Dvd Calendar'!$P$1578)&lt;=VAL_SERIAL)*1000000+2*1000+52))</f>
        <v/>
      </c>
      <c r="GE161" s="39">
        <f>IF(N('Dvd Calendar'!$Q$1579)=0,"",IF(('Dvd Calendar'!$Q$1579&gt;=GRID_FROM)*('Dvd Calendar'!$Q$1579&lt;=GRID_TO)*('Dvd Calendar'!$Q$1579&gt;VAL_DATE)=0,"",'Dvd Calendar'!$Q$1579*1000000000+ISNUMBER('Dvd Calendar'!$Q$1580)*100000000+0*10000000+(N('Dvd Calendar'!$Q$1578)&gt;0)*(N('Dvd Calendar'!$Q$1578)&lt;=VAL_SERIAL)*1000000+2*1000+53))</f>
        <v/>
      </c>
      <c r="GF161" s="39">
        <f>IF(N('Dvd Calendar'!$R$1579)=0,"",IF(('Dvd Calendar'!$R$1579&gt;=GRID_FROM)*('Dvd Calendar'!$R$1579&lt;=GRID_TO)*('Dvd Calendar'!$R$1579&gt;VAL_DATE)=0,"",'Dvd Calendar'!$R$1579*1000000000+ISNUMBER('Dvd Calendar'!$R$1580)*100000000+0*10000000+(N('Dvd Calendar'!$R$1578)&gt;0)*(N('Dvd Calendar'!$R$1578)&lt;=VAL_SERIAL)*1000000+2*1000+54))</f>
        <v/>
      </c>
      <c r="GG161" s="39">
        <f>IF(N('Dvd Calendar'!$S$1579)=0,"",IF(('Dvd Calendar'!$S$1579&gt;=GRID_FROM)*('Dvd Calendar'!$S$1579&lt;=GRID_TO)*('Dvd Calendar'!$S$1579&gt;VAL_DATE)=0,"",'Dvd Calendar'!$S$1579*1000000000+ISNUMBER('Dvd Calendar'!$S$1580)*100000000+0*10000000+(N('Dvd Calendar'!$S$1578)&gt;0)*(N('Dvd Calendar'!$S$1578)&lt;=VAL_SERIAL)*1000000+2*1000+55))</f>
        <v/>
      </c>
      <c r="GH161" s="39">
        <f>IF(N('Dvd Calendar'!$T$1579)=0,"",IF(('Dvd Calendar'!$T$1579&gt;=GRID_FROM)*('Dvd Calendar'!$T$1579&lt;=GRID_TO)*('Dvd Calendar'!$T$1579&gt;VAL_DATE)=0,"",'Dvd Calendar'!$T$1579*1000000000+ISNUMBER('Dvd Calendar'!$T$1580)*100000000+0*10000000+(N('Dvd Calendar'!$T$1578)&gt;0)*(N('Dvd Calendar'!$T$1578)&lt;=VAL_SERIAL)*1000000+2*1000+56))</f>
        <v/>
      </c>
      <c r="GI161" s="39">
        <f>IF(N('Dvd Calendar'!$U$1579)=0,"",IF(('Dvd Calendar'!$U$1579&gt;=GRID_FROM)*('Dvd Calendar'!$U$1579&lt;=GRID_TO)*('Dvd Calendar'!$U$1579&gt;VAL_DATE)=0,"",'Dvd Calendar'!$U$1579*1000000000+ISNUMBER('Dvd Calendar'!$U$1580)*100000000+0*10000000+(N('Dvd Calendar'!$U$1578)&gt;0)*(N('Dvd Calendar'!$U$1578)&lt;=VAL_SERIAL)*1000000+2*1000+57))</f>
        <v/>
      </c>
      <c r="GJ161" s="39">
        <f>IF(N('Dvd Calendar'!$V$1579)=0,"",IF(('Dvd Calendar'!$V$1579&gt;=GRID_FROM)*('Dvd Calendar'!$V$1579&lt;=GRID_TO)*('Dvd Calendar'!$V$1579&gt;VAL_DATE)=0,"",'Dvd Calendar'!$V$1579*1000000000+ISNUMBER('Dvd Calendar'!$V$1580)*100000000+0*10000000+(N('Dvd Calendar'!$V$1578)&gt;0)*(N('Dvd Calendar'!$V$1578)&lt;=VAL_SERIAL)*1000000+2*1000+58))</f>
        <v/>
      </c>
      <c r="GK161" s="39">
        <f>IF(N('Dvd Calendar'!$W$1579)=0,"",IF(('Dvd Calendar'!$W$1579&gt;=GRID_FROM)*('Dvd Calendar'!$W$1579&lt;=GRID_TO)*('Dvd Calendar'!$W$1579&gt;VAL_DATE)=0,"",'Dvd Calendar'!$W$1579*1000000000+ISNUMBER('Dvd Calendar'!$W$1580)*100000000+0*10000000+(N('Dvd Calendar'!$W$1578)&gt;0)*(N('Dvd Calendar'!$W$1578)&lt;=VAL_SERIAL)*1000000+2*1000+59))</f>
        <v/>
      </c>
      <c r="GL161" s="39">
        <f>IF(N('Dvd Calendar'!$X$1579)=0,"",IF(('Dvd Calendar'!$X$1579&gt;=GRID_FROM)*('Dvd Calendar'!$X$1579&lt;=GRID_TO)*('Dvd Calendar'!$X$1579&gt;VAL_DATE)=0,"",'Dvd Calendar'!$X$1579*1000000000+ISNUMBER('Dvd Calendar'!$X$1580)*100000000+0*10000000+(N('Dvd Calendar'!$X$1578)&gt;0)*(N('Dvd Calendar'!$X$1578)&lt;=VAL_SERIAL)*1000000+2*1000+60))</f>
        <v/>
      </c>
      <c r="GM161" s="39">
        <f>IF(N('Dvd Calendar'!$Y$1579)=0,"",IF(('Dvd Calendar'!$Y$1579&gt;=GRID_FROM)*('Dvd Calendar'!$Y$1579&lt;=GRID_TO)*('Dvd Calendar'!$Y$1579&gt;VAL_DATE)=0,"",'Dvd Calendar'!$Y$1579*1000000000+ISNUMBER('Dvd Calendar'!$Y$1580)*100000000+0*10000000+(N('Dvd Calendar'!$Y$1578)&gt;0)*(N('Dvd Calendar'!$Y$1578)&lt;=VAL_SERIAL)*1000000+2*1000+61))</f>
        <v/>
      </c>
      <c r="GN161" s="39">
        <f>IF(N('Dvd Calendar'!$Z$1579)=0,"",IF(('Dvd Calendar'!$Z$1579&gt;=GRID_FROM)*('Dvd Calendar'!$Z$1579&lt;=GRID_TO)*('Dvd Calendar'!$Z$1579&gt;VAL_DATE)=0,"",'Dvd Calendar'!$Z$1579*1000000000+ISNUMBER('Dvd Calendar'!$Z$1580)*100000000+0*10000000+(N('Dvd Calendar'!$Z$1578)&gt;0)*(N('Dvd Calendar'!$Z$1578)&lt;=VAL_SERIAL)*1000000+2*1000+62))</f>
        <v/>
      </c>
      <c r="GO161" s="39">
        <f>IF(N('Dvd Calendar'!$AA$1579)=0,"",IF(('Dvd Calendar'!$AA$1579&gt;=GRID_FROM)*('Dvd Calendar'!$AA$1579&lt;=GRID_TO)*('Dvd Calendar'!$AA$1579&gt;VAL_DATE)=0,"",'Dvd Calendar'!$AA$1579*1000000000+ISNUMBER('Dvd Calendar'!$AA$1580)*100000000+0*10000000+(N('Dvd Calendar'!$AA$1578)&gt;0)*(N('Dvd Calendar'!$AA$1578)&lt;=VAL_SERIAL)*1000000+2*1000+63))</f>
        <v/>
      </c>
      <c r="GP161" s="39">
        <f>IF(N('Dvd Calendar'!$AB$1579)=0,"",IF(('Dvd Calendar'!$AB$1579&gt;=GRID_FROM)*('Dvd Calendar'!$AB$1579&lt;=GRID_TO)*('Dvd Calendar'!$AB$1579&gt;VAL_DATE)=0,"",'Dvd Calendar'!$AB$1579*1000000000+ISNUMBER('Dvd Calendar'!$AB$1580)*100000000+0*10000000+(N('Dvd Calendar'!$AB$1578)&gt;0)*(N('Dvd Calendar'!$AB$1578)&lt;=VAL_SERIAL)*1000000+2*1000+64))</f>
        <v/>
      </c>
      <c r="GQ161" s="39">
        <f>IF(N('Dvd Calendar'!$AC$1579)=0,"",IF(('Dvd Calendar'!$AC$1579&gt;=GRID_FROM)*('Dvd Calendar'!$AC$1579&lt;=GRID_TO)*('Dvd Calendar'!$AC$1579&gt;VAL_DATE)=0,"",'Dvd Calendar'!$AC$1579*1000000000+ISNUMBER('Dvd Calendar'!$AC$1580)*100000000+0*10000000+(N('Dvd Calendar'!$AC$1578)&gt;0)*(N('Dvd Calendar'!$AC$1578)&lt;=VAL_SERIAL)*1000000+2*1000+65))</f>
        <v/>
      </c>
    </row>
    <row r="162">
      <c r="B162" s="2">
        <f>IF(HSCEI!$C$9="","",HSCEI!$C$9)</f>
        <v/>
      </c>
      <c r="C162" s="110">
        <f>IF(EE162="","",IF(ISNUMBER('Dvd Calendar'!$E$1586)=FALSE,"",IF((('Dvd Calendar'!$E$1588=TYPE1)*(TYPE1&lt;&gt;"")+('Dvd Calendar'!$E$1588=TYPE2)*(TYPE2&lt;&gt;"")+('Dvd Calendar'!$E$1588=TYPE3)*(TYPE3&lt;&gt;"")+('Dvd Calendar'!$E$1588=TYPE4)*(TYPE4&lt;&gt;"")+('Dvd Calendar'!$E$1588=SPECIAL_LBL)*(INC_SPECIALS="Y"))=0,"",'Dvd Calendar'!$E$1586)))</f>
        <v/>
      </c>
      <c r="D162" s="110">
        <f>IF(EF162="","",IF(ISNUMBER('Dvd Calendar'!$F$1586)=FALSE,"",IF((('Dvd Calendar'!$F$1588=TYPE1)*(TYPE1&lt;&gt;"")+('Dvd Calendar'!$F$1588=TYPE2)*(TYPE2&lt;&gt;"")+('Dvd Calendar'!$F$1588=TYPE3)*(TYPE3&lt;&gt;"")+('Dvd Calendar'!$F$1588=TYPE4)*(TYPE4&lt;&gt;"")+('Dvd Calendar'!$F$1588=SPECIAL_LBL)*(INC_SPECIALS="Y"))=0,"",'Dvd Calendar'!$F$1586)))</f>
        <v/>
      </c>
      <c r="E162" s="110">
        <f>IF(EG162="","",IF(ISNUMBER('Dvd Calendar'!$G$1586)=FALSE,"",IF((('Dvd Calendar'!$G$1588=TYPE1)*(TYPE1&lt;&gt;"")+('Dvd Calendar'!$G$1588=TYPE2)*(TYPE2&lt;&gt;"")+('Dvd Calendar'!$G$1588=TYPE3)*(TYPE3&lt;&gt;"")+('Dvd Calendar'!$G$1588=TYPE4)*(TYPE4&lt;&gt;"")+('Dvd Calendar'!$G$1588=SPECIAL_LBL)*(INC_SPECIALS="Y"))=0,"",'Dvd Calendar'!$G$1586)))</f>
        <v/>
      </c>
      <c r="F162" s="110">
        <f>IF(EH162="","",IF(ISNUMBER('Dvd Calendar'!$H$1586)=FALSE,"",IF((('Dvd Calendar'!$H$1588=TYPE1)*(TYPE1&lt;&gt;"")+('Dvd Calendar'!$H$1588=TYPE2)*(TYPE2&lt;&gt;"")+('Dvd Calendar'!$H$1588=TYPE3)*(TYPE3&lt;&gt;"")+('Dvd Calendar'!$H$1588=TYPE4)*(TYPE4&lt;&gt;"")+('Dvd Calendar'!$H$1588=SPECIAL_LBL)*(INC_SPECIALS="Y"))=0,"",'Dvd Calendar'!$H$1586)))</f>
        <v/>
      </c>
      <c r="G162" s="110">
        <f>IF(EI162="","",IF(ISNUMBER('Dvd Calendar'!$I$1586)=FALSE,"",IF((('Dvd Calendar'!$I$1588=TYPE1)*(TYPE1&lt;&gt;"")+('Dvd Calendar'!$I$1588=TYPE2)*(TYPE2&lt;&gt;"")+('Dvd Calendar'!$I$1588=TYPE3)*(TYPE3&lt;&gt;"")+('Dvd Calendar'!$I$1588=TYPE4)*(TYPE4&lt;&gt;"")+('Dvd Calendar'!$I$1588=SPECIAL_LBL)*(INC_SPECIALS="Y"))=0,"",'Dvd Calendar'!$I$1586)))</f>
        <v/>
      </c>
      <c r="H162" s="110">
        <f>IF(EJ162="","",IF(ISNUMBER('Dvd Calendar'!$J$1586)=FALSE,"",IF((('Dvd Calendar'!$J$1588=TYPE1)*(TYPE1&lt;&gt;"")+('Dvd Calendar'!$J$1588=TYPE2)*(TYPE2&lt;&gt;"")+('Dvd Calendar'!$J$1588=TYPE3)*(TYPE3&lt;&gt;"")+('Dvd Calendar'!$J$1588=TYPE4)*(TYPE4&lt;&gt;"")+('Dvd Calendar'!$J$1588=SPECIAL_LBL)*(INC_SPECIALS="Y"))=0,"",'Dvd Calendar'!$J$1586)))</f>
        <v/>
      </c>
      <c r="I162" s="110">
        <f>IF(EK162="","",IF(ISNUMBER('Dvd Calendar'!$K$1586)=FALSE,"",IF((('Dvd Calendar'!$K$1588=TYPE1)*(TYPE1&lt;&gt;"")+('Dvd Calendar'!$K$1588=TYPE2)*(TYPE2&lt;&gt;"")+('Dvd Calendar'!$K$1588=TYPE3)*(TYPE3&lt;&gt;"")+('Dvd Calendar'!$K$1588=TYPE4)*(TYPE4&lt;&gt;"")+('Dvd Calendar'!$K$1588=SPECIAL_LBL)*(INC_SPECIALS="Y"))=0,"",'Dvd Calendar'!$K$1586)))</f>
        <v/>
      </c>
      <c r="J162" s="110">
        <f>IF(EL162="","",IF(ISNUMBER('Dvd Calendar'!$L$1586)=FALSE,"",IF((('Dvd Calendar'!$L$1588=TYPE1)*(TYPE1&lt;&gt;"")+('Dvd Calendar'!$L$1588=TYPE2)*(TYPE2&lt;&gt;"")+('Dvd Calendar'!$L$1588=TYPE3)*(TYPE3&lt;&gt;"")+('Dvd Calendar'!$L$1588=TYPE4)*(TYPE4&lt;&gt;"")+('Dvd Calendar'!$L$1588=SPECIAL_LBL)*(INC_SPECIALS="Y"))=0,"",'Dvd Calendar'!$L$1586)))</f>
        <v/>
      </c>
      <c r="K162" s="110">
        <f>IF(EM162="","",IF(ISNUMBER('Dvd Calendar'!$M$1586)=FALSE,"",IF((('Dvd Calendar'!$M$1588=TYPE1)*(TYPE1&lt;&gt;"")+('Dvd Calendar'!$M$1588=TYPE2)*(TYPE2&lt;&gt;"")+('Dvd Calendar'!$M$1588=TYPE3)*(TYPE3&lt;&gt;"")+('Dvd Calendar'!$M$1588=TYPE4)*(TYPE4&lt;&gt;"")+('Dvd Calendar'!$M$1588=SPECIAL_LBL)*(INC_SPECIALS="Y"))=0,"",'Dvd Calendar'!$M$1586)))</f>
        <v/>
      </c>
      <c r="L162" s="110">
        <f>IF(EN162="","",IF(ISNUMBER('Dvd Calendar'!$N$1586)=FALSE,"",IF((('Dvd Calendar'!$N$1588=TYPE1)*(TYPE1&lt;&gt;"")+('Dvd Calendar'!$N$1588=TYPE2)*(TYPE2&lt;&gt;"")+('Dvd Calendar'!$N$1588=TYPE3)*(TYPE3&lt;&gt;"")+('Dvd Calendar'!$N$1588=TYPE4)*(TYPE4&lt;&gt;"")+('Dvd Calendar'!$N$1588=SPECIAL_LBL)*(INC_SPECIALS="Y"))=0,"",'Dvd Calendar'!$N$1586)))</f>
        <v/>
      </c>
      <c r="M162" s="110">
        <f>IF(EO162="","",IF(ISNUMBER('Dvd Calendar'!$O$1586)=FALSE,"",IF((('Dvd Calendar'!$O$1588=TYPE1)*(TYPE1&lt;&gt;"")+('Dvd Calendar'!$O$1588=TYPE2)*(TYPE2&lt;&gt;"")+('Dvd Calendar'!$O$1588=TYPE3)*(TYPE3&lt;&gt;"")+('Dvd Calendar'!$O$1588=TYPE4)*(TYPE4&lt;&gt;"")+('Dvd Calendar'!$O$1588=SPECIAL_LBL)*(INC_SPECIALS="Y"))=0,"",'Dvd Calendar'!$O$1586)))</f>
        <v/>
      </c>
      <c r="N162" s="110">
        <f>IF(EP162="","",IF(ISNUMBER('Dvd Calendar'!$P$1586)=FALSE,"",IF((('Dvd Calendar'!$P$1588=TYPE1)*(TYPE1&lt;&gt;"")+('Dvd Calendar'!$P$1588=TYPE2)*(TYPE2&lt;&gt;"")+('Dvd Calendar'!$P$1588=TYPE3)*(TYPE3&lt;&gt;"")+('Dvd Calendar'!$P$1588=TYPE4)*(TYPE4&lt;&gt;"")+('Dvd Calendar'!$P$1588=SPECIAL_LBL)*(INC_SPECIALS="Y"))=0,"",'Dvd Calendar'!$P$1586)))</f>
        <v/>
      </c>
      <c r="O162" s="110">
        <f>IF(EQ162="","",IF(ISNUMBER('Dvd Calendar'!$Q$1586)=FALSE,"",IF((('Dvd Calendar'!$Q$1588=TYPE1)*(TYPE1&lt;&gt;"")+('Dvd Calendar'!$Q$1588=TYPE2)*(TYPE2&lt;&gt;"")+('Dvd Calendar'!$Q$1588=TYPE3)*(TYPE3&lt;&gt;"")+('Dvd Calendar'!$Q$1588=TYPE4)*(TYPE4&lt;&gt;"")+('Dvd Calendar'!$Q$1588=SPECIAL_LBL)*(INC_SPECIALS="Y"))=0,"",'Dvd Calendar'!$Q$1586)))</f>
        <v/>
      </c>
      <c r="P162" s="110">
        <f>IF(ER162="","",IF(ISNUMBER('Dvd Calendar'!$R$1586)=FALSE,"",IF((('Dvd Calendar'!$R$1588=TYPE1)*(TYPE1&lt;&gt;"")+('Dvd Calendar'!$R$1588=TYPE2)*(TYPE2&lt;&gt;"")+('Dvd Calendar'!$R$1588=TYPE3)*(TYPE3&lt;&gt;"")+('Dvd Calendar'!$R$1588=TYPE4)*(TYPE4&lt;&gt;"")+('Dvd Calendar'!$R$1588=SPECIAL_LBL)*(INC_SPECIALS="Y"))=0,"",'Dvd Calendar'!$R$1586)))</f>
        <v/>
      </c>
      <c r="Q162" s="110">
        <f>IF(ES162="","",IF(ISNUMBER('Dvd Calendar'!$S$1586)=FALSE,"",IF((('Dvd Calendar'!$S$1588=TYPE1)*(TYPE1&lt;&gt;"")+('Dvd Calendar'!$S$1588=TYPE2)*(TYPE2&lt;&gt;"")+('Dvd Calendar'!$S$1588=TYPE3)*(TYPE3&lt;&gt;"")+('Dvd Calendar'!$S$1588=TYPE4)*(TYPE4&lt;&gt;"")+('Dvd Calendar'!$S$1588=SPECIAL_LBL)*(INC_SPECIALS="Y"))=0,"",'Dvd Calendar'!$S$1586)))</f>
        <v/>
      </c>
      <c r="R162" s="110">
        <f>IF(ET162="","",IF(ISNUMBER('Dvd Calendar'!$T$1586)=FALSE,"",IF((('Dvd Calendar'!$T$1588=TYPE1)*(TYPE1&lt;&gt;"")+('Dvd Calendar'!$T$1588=TYPE2)*(TYPE2&lt;&gt;"")+('Dvd Calendar'!$T$1588=TYPE3)*(TYPE3&lt;&gt;"")+('Dvd Calendar'!$T$1588=TYPE4)*(TYPE4&lt;&gt;"")+('Dvd Calendar'!$T$1588=SPECIAL_LBL)*(INC_SPECIALS="Y"))=0,"",'Dvd Calendar'!$T$1586)))</f>
        <v/>
      </c>
      <c r="S162" s="110">
        <f>IF(EU162="","",IF(ISNUMBER('Dvd Calendar'!$U$1586)=FALSE,"",IF((('Dvd Calendar'!$U$1588=TYPE1)*(TYPE1&lt;&gt;"")+('Dvd Calendar'!$U$1588=TYPE2)*(TYPE2&lt;&gt;"")+('Dvd Calendar'!$U$1588=TYPE3)*(TYPE3&lt;&gt;"")+('Dvd Calendar'!$U$1588=TYPE4)*(TYPE4&lt;&gt;"")+('Dvd Calendar'!$U$1588=SPECIAL_LBL)*(INC_SPECIALS="Y"))=0,"",'Dvd Calendar'!$U$1586)))</f>
        <v/>
      </c>
      <c r="T162" s="110">
        <f>IF(EV162="","",IF(ISNUMBER('Dvd Calendar'!$V$1586)=FALSE,"",IF((('Dvd Calendar'!$V$1588=TYPE1)*(TYPE1&lt;&gt;"")+('Dvd Calendar'!$V$1588=TYPE2)*(TYPE2&lt;&gt;"")+('Dvd Calendar'!$V$1588=TYPE3)*(TYPE3&lt;&gt;"")+('Dvd Calendar'!$V$1588=TYPE4)*(TYPE4&lt;&gt;"")+('Dvd Calendar'!$V$1588=SPECIAL_LBL)*(INC_SPECIALS="Y"))=0,"",'Dvd Calendar'!$V$1586)))</f>
        <v/>
      </c>
      <c r="U162" s="110">
        <f>IF(EW162="","",IF(ISNUMBER('Dvd Calendar'!$W$1586)=FALSE,"",IF((('Dvd Calendar'!$W$1588=TYPE1)*(TYPE1&lt;&gt;"")+('Dvd Calendar'!$W$1588=TYPE2)*(TYPE2&lt;&gt;"")+('Dvd Calendar'!$W$1588=TYPE3)*(TYPE3&lt;&gt;"")+('Dvd Calendar'!$W$1588=TYPE4)*(TYPE4&lt;&gt;"")+('Dvd Calendar'!$W$1588=SPECIAL_LBL)*(INC_SPECIALS="Y"))=0,"",'Dvd Calendar'!$W$1586)))</f>
        <v/>
      </c>
      <c r="V162" s="110">
        <f>IF(EX162="","",IF(ISNUMBER('Dvd Calendar'!$X$1586)=FALSE,"",IF((('Dvd Calendar'!$X$1588=TYPE1)*(TYPE1&lt;&gt;"")+('Dvd Calendar'!$X$1588=TYPE2)*(TYPE2&lt;&gt;"")+('Dvd Calendar'!$X$1588=TYPE3)*(TYPE3&lt;&gt;"")+('Dvd Calendar'!$X$1588=TYPE4)*(TYPE4&lt;&gt;"")+('Dvd Calendar'!$X$1588=SPECIAL_LBL)*(INC_SPECIALS="Y"))=0,"",'Dvd Calendar'!$X$1586)))</f>
        <v/>
      </c>
      <c r="W162" s="110">
        <f>IF(EY162="","",IF(ISNUMBER('Dvd Calendar'!$Y$1586)=FALSE,"",IF((('Dvd Calendar'!$Y$1588=TYPE1)*(TYPE1&lt;&gt;"")+('Dvd Calendar'!$Y$1588=TYPE2)*(TYPE2&lt;&gt;"")+('Dvd Calendar'!$Y$1588=TYPE3)*(TYPE3&lt;&gt;"")+('Dvd Calendar'!$Y$1588=TYPE4)*(TYPE4&lt;&gt;"")+('Dvd Calendar'!$Y$1588=SPECIAL_LBL)*(INC_SPECIALS="Y"))=0,"",'Dvd Calendar'!$Y$1586)))</f>
        <v/>
      </c>
      <c r="X162" s="110">
        <f>IF(EZ162="","",IF(ISNUMBER('Dvd Calendar'!$Z$1586)=FALSE,"",IF((('Dvd Calendar'!$Z$1588=TYPE1)*(TYPE1&lt;&gt;"")+('Dvd Calendar'!$Z$1588=TYPE2)*(TYPE2&lt;&gt;"")+('Dvd Calendar'!$Z$1588=TYPE3)*(TYPE3&lt;&gt;"")+('Dvd Calendar'!$Z$1588=TYPE4)*(TYPE4&lt;&gt;"")+('Dvd Calendar'!$Z$1588=SPECIAL_LBL)*(INC_SPECIALS="Y"))=0,"",'Dvd Calendar'!$Z$1586)))</f>
        <v/>
      </c>
      <c r="Y162" s="110">
        <f>IF(FA162="","",IF(ISNUMBER('Dvd Calendar'!$AA$1586)=FALSE,"",IF((('Dvd Calendar'!$AA$1588=TYPE1)*(TYPE1&lt;&gt;"")+('Dvd Calendar'!$AA$1588=TYPE2)*(TYPE2&lt;&gt;"")+('Dvd Calendar'!$AA$1588=TYPE3)*(TYPE3&lt;&gt;"")+('Dvd Calendar'!$AA$1588=TYPE4)*(TYPE4&lt;&gt;"")+('Dvd Calendar'!$AA$1588=SPECIAL_LBL)*(INC_SPECIALS="Y"))=0,"",'Dvd Calendar'!$AA$1586)))</f>
        <v/>
      </c>
      <c r="Z162" s="110">
        <f>IF(FB162="","",IF(ISNUMBER('Dvd Calendar'!$AB$1586)=FALSE,"",IF((('Dvd Calendar'!$AB$1588=TYPE1)*(TYPE1&lt;&gt;"")+('Dvd Calendar'!$AB$1588=TYPE2)*(TYPE2&lt;&gt;"")+('Dvd Calendar'!$AB$1588=TYPE3)*(TYPE3&lt;&gt;"")+('Dvd Calendar'!$AB$1588=TYPE4)*(TYPE4&lt;&gt;"")+('Dvd Calendar'!$AB$1588=SPECIAL_LBL)*(INC_SPECIALS="Y"))=0,"",'Dvd Calendar'!$AB$1586)))</f>
        <v/>
      </c>
      <c r="AA162" s="110">
        <f>IF(FC162="","",IF(ISNUMBER('Dvd Calendar'!$AC$1586)=FALSE,"",IF((('Dvd Calendar'!$AC$1588=TYPE1)*(TYPE1&lt;&gt;"")+('Dvd Calendar'!$AC$1588=TYPE2)*(TYPE2&lt;&gt;"")+('Dvd Calendar'!$AC$1588=TYPE3)*(TYPE3&lt;&gt;"")+('Dvd Calendar'!$AC$1588=TYPE4)*(TYPE4&lt;&gt;"")+('Dvd Calendar'!$AC$1588=SPECIAL_LBL)*(INC_SPECIALS="Y"))=0,"",'Dvd Calendar'!$AC$1586)))</f>
        <v/>
      </c>
      <c r="AB162" s="110">
        <f>IF(FD162="","",IF(ISNUMBER('Dvd Calendar'!$AD$1586)=FALSE,"",IF((('Dvd Calendar'!$AD$1588=TYPE1)*(TYPE1&lt;&gt;"")+('Dvd Calendar'!$AD$1588=TYPE2)*(TYPE2&lt;&gt;"")+('Dvd Calendar'!$AD$1588=TYPE3)*(TYPE3&lt;&gt;"")+('Dvd Calendar'!$AD$1588=TYPE4)*(TYPE4&lt;&gt;"")+('Dvd Calendar'!$AD$1588=SPECIAL_LBL)*(INC_SPECIALS="Y"))=0,"",'Dvd Calendar'!$AD$1586)))</f>
        <v/>
      </c>
      <c r="AC162" s="110">
        <f>IF(FE162="","",IF(ISNUMBER('Dvd Calendar'!$AE$1586)=FALSE,"",IF((('Dvd Calendar'!$AE$1588=TYPE1)*(TYPE1&lt;&gt;"")+('Dvd Calendar'!$AE$1588=TYPE2)*(TYPE2&lt;&gt;"")+('Dvd Calendar'!$AE$1588=TYPE3)*(TYPE3&lt;&gt;"")+('Dvd Calendar'!$AE$1588=TYPE4)*(TYPE4&lt;&gt;"")+('Dvd Calendar'!$AE$1588=SPECIAL_LBL)*(INC_SPECIALS="Y"))=0,"",'Dvd Calendar'!$AE$1586)))</f>
        <v/>
      </c>
      <c r="AD162" s="110">
        <f>IF(FF162="","",IF(ISNUMBER('Dvd Calendar'!$AF$1586)=FALSE,"",IF((('Dvd Calendar'!$AF$1588=TYPE1)*(TYPE1&lt;&gt;"")+('Dvd Calendar'!$AF$1588=TYPE2)*(TYPE2&lt;&gt;"")+('Dvd Calendar'!$AF$1588=TYPE3)*(TYPE3&lt;&gt;"")+('Dvd Calendar'!$AF$1588=TYPE4)*(TYPE4&lt;&gt;"")+('Dvd Calendar'!$AF$1588=SPECIAL_LBL)*(INC_SPECIALS="Y"))=0,"",'Dvd Calendar'!$AF$1586)))</f>
        <v/>
      </c>
      <c r="AE162" s="110">
        <f>IF(FG162="","",IF(ISNUMBER('Dvd Calendar'!$AG$1586)=FALSE,"",IF((('Dvd Calendar'!$AG$1588=TYPE1)*(TYPE1&lt;&gt;"")+('Dvd Calendar'!$AG$1588=TYPE2)*(TYPE2&lt;&gt;"")+('Dvd Calendar'!$AG$1588=TYPE3)*(TYPE3&lt;&gt;"")+('Dvd Calendar'!$AG$1588=TYPE4)*(TYPE4&lt;&gt;"")+('Dvd Calendar'!$AG$1588=SPECIAL_LBL)*(INC_SPECIALS="Y"))=0,"",'Dvd Calendar'!$AG$1586)))</f>
        <v/>
      </c>
      <c r="AF162" s="110">
        <f>IF(FH162="","",IF(ISNUMBER('Dvd Calendar'!$AH$1586)=FALSE,"",IF((('Dvd Calendar'!$AH$1588=TYPE1)*(TYPE1&lt;&gt;"")+('Dvd Calendar'!$AH$1588=TYPE2)*(TYPE2&lt;&gt;"")+('Dvd Calendar'!$AH$1588=TYPE3)*(TYPE3&lt;&gt;"")+('Dvd Calendar'!$AH$1588=TYPE4)*(TYPE4&lt;&gt;"")+('Dvd Calendar'!$AH$1588=SPECIAL_LBL)*(INC_SPECIALS="Y"))=0,"",'Dvd Calendar'!$AH$1586)))</f>
        <v/>
      </c>
      <c r="AG162" s="110">
        <f>IF(FI162="","",IF(ISNUMBER('Dvd Calendar'!$AI$1586)=FALSE,"",IF((('Dvd Calendar'!$AI$1588=TYPE1)*(TYPE1&lt;&gt;"")+('Dvd Calendar'!$AI$1588=TYPE2)*(TYPE2&lt;&gt;"")+('Dvd Calendar'!$AI$1588=TYPE3)*(TYPE3&lt;&gt;"")+('Dvd Calendar'!$AI$1588=TYPE4)*(TYPE4&lt;&gt;"")+('Dvd Calendar'!$AI$1588=SPECIAL_LBL)*(INC_SPECIALS="Y"))=0,"",'Dvd Calendar'!$AI$1586)))</f>
        <v/>
      </c>
      <c r="AH162" s="110">
        <f>IF(FJ162="","",IF(ISNUMBER('Dvd Calendar'!$AJ$1586)=FALSE,"",IF((('Dvd Calendar'!$AJ$1588=TYPE1)*(TYPE1&lt;&gt;"")+('Dvd Calendar'!$AJ$1588=TYPE2)*(TYPE2&lt;&gt;"")+('Dvd Calendar'!$AJ$1588=TYPE3)*(TYPE3&lt;&gt;"")+('Dvd Calendar'!$AJ$1588=TYPE4)*(TYPE4&lt;&gt;"")+('Dvd Calendar'!$AJ$1588=SPECIAL_LBL)*(INC_SPECIALS="Y"))=0,"",'Dvd Calendar'!$AJ$1586)))</f>
        <v/>
      </c>
      <c r="AI162" s="110">
        <f>IF(FK162="","",IF(ISNUMBER('Dvd Calendar'!$AK$1586)=FALSE,"",IF((('Dvd Calendar'!$AK$1588=TYPE1)*(TYPE1&lt;&gt;"")+('Dvd Calendar'!$AK$1588=TYPE2)*(TYPE2&lt;&gt;"")+('Dvd Calendar'!$AK$1588=TYPE3)*(TYPE3&lt;&gt;"")+('Dvd Calendar'!$AK$1588=TYPE4)*(TYPE4&lt;&gt;"")+('Dvd Calendar'!$AK$1588=SPECIAL_LBL)*(INC_SPECIALS="Y"))=0,"",'Dvd Calendar'!$AK$1586)))</f>
        <v/>
      </c>
      <c r="AJ162" s="110">
        <f>IF(FL162="","",IF(ISNUMBER('Dvd Calendar'!$AL$1586)=FALSE,"",IF((('Dvd Calendar'!$AL$1588=TYPE1)*(TYPE1&lt;&gt;"")+('Dvd Calendar'!$AL$1588=TYPE2)*(TYPE2&lt;&gt;"")+('Dvd Calendar'!$AL$1588=TYPE3)*(TYPE3&lt;&gt;"")+('Dvd Calendar'!$AL$1588=TYPE4)*(TYPE4&lt;&gt;"")+('Dvd Calendar'!$AL$1588=SPECIAL_LBL)*(INC_SPECIALS="Y"))=0,"",'Dvd Calendar'!$AL$1586)))</f>
        <v/>
      </c>
      <c r="AK162" s="110">
        <f>IF(FM162="","",IF(ISNUMBER('Dvd Calendar'!$AM$1586)=FALSE,"",IF((('Dvd Calendar'!$AM$1588=TYPE1)*(TYPE1&lt;&gt;"")+('Dvd Calendar'!$AM$1588=TYPE2)*(TYPE2&lt;&gt;"")+('Dvd Calendar'!$AM$1588=TYPE3)*(TYPE3&lt;&gt;"")+('Dvd Calendar'!$AM$1588=TYPE4)*(TYPE4&lt;&gt;"")+('Dvd Calendar'!$AM$1588=SPECIAL_LBL)*(INC_SPECIALS="Y"))=0,"",'Dvd Calendar'!$AM$1586)))</f>
        <v/>
      </c>
      <c r="AL162" s="110">
        <f>IF(FN162="","",IF(ISNUMBER('Dvd Calendar'!$AN$1586)=FALSE,"",IF((('Dvd Calendar'!$AN$1588=TYPE1)*(TYPE1&lt;&gt;"")+('Dvd Calendar'!$AN$1588=TYPE2)*(TYPE2&lt;&gt;"")+('Dvd Calendar'!$AN$1588=TYPE3)*(TYPE3&lt;&gt;"")+('Dvd Calendar'!$AN$1588=TYPE4)*(TYPE4&lt;&gt;"")+('Dvd Calendar'!$AN$1588=SPECIAL_LBL)*(INC_SPECIALS="Y"))=0,"",'Dvd Calendar'!$AN$1586)))</f>
        <v/>
      </c>
      <c r="AM162" s="110">
        <f>IF(FO162="","",IF(ISNUMBER('Dvd Calendar'!$AO$1586)=FALSE,"",IF((('Dvd Calendar'!$AO$1588=TYPE1)*(TYPE1&lt;&gt;"")+('Dvd Calendar'!$AO$1588=TYPE2)*(TYPE2&lt;&gt;"")+('Dvd Calendar'!$AO$1588=TYPE3)*(TYPE3&lt;&gt;"")+('Dvd Calendar'!$AO$1588=TYPE4)*(TYPE4&lt;&gt;"")+('Dvd Calendar'!$AO$1588=SPECIAL_LBL)*(INC_SPECIALS="Y"))=0,"",'Dvd Calendar'!$AO$1586)))</f>
        <v/>
      </c>
      <c r="AN162" s="110">
        <f>IF(FP162="","",IF(ISNUMBER('Dvd Calendar'!$AP$1586)=FALSE,"",IF((('Dvd Calendar'!$AP$1588=TYPE1)*(TYPE1&lt;&gt;"")+('Dvd Calendar'!$AP$1588=TYPE2)*(TYPE2&lt;&gt;"")+('Dvd Calendar'!$AP$1588=TYPE3)*(TYPE3&lt;&gt;"")+('Dvd Calendar'!$AP$1588=TYPE4)*(TYPE4&lt;&gt;"")+('Dvd Calendar'!$AP$1588=SPECIAL_LBL)*(INC_SPECIALS="Y"))=0,"",'Dvd Calendar'!$AP$1586)))</f>
        <v/>
      </c>
      <c r="AO162" s="110">
        <f>IF(FQ162="","",IF(ISNUMBER('Dvd Calendar'!$AQ$1586)=FALSE,"",IF((('Dvd Calendar'!$AQ$1588=TYPE1)*(TYPE1&lt;&gt;"")+('Dvd Calendar'!$AQ$1588=TYPE2)*(TYPE2&lt;&gt;"")+('Dvd Calendar'!$AQ$1588=TYPE3)*(TYPE3&lt;&gt;"")+('Dvd Calendar'!$AQ$1588=TYPE4)*(TYPE4&lt;&gt;"")+('Dvd Calendar'!$AQ$1588=SPECIAL_LBL)*(INC_SPECIALS="Y"))=0,"",'Dvd Calendar'!$AQ$1586)))</f>
        <v/>
      </c>
      <c r="AP162" s="110">
        <f>IF(FR162="","",IF(ISNUMBER('Dvd Calendar'!$AR$1586)=FALSE,"",IF((('Dvd Calendar'!$AR$1588=TYPE1)*(TYPE1&lt;&gt;"")+('Dvd Calendar'!$AR$1588=TYPE2)*(TYPE2&lt;&gt;"")+('Dvd Calendar'!$AR$1588=TYPE3)*(TYPE3&lt;&gt;"")+('Dvd Calendar'!$AR$1588=TYPE4)*(TYPE4&lt;&gt;"")+('Dvd Calendar'!$AR$1588=SPECIAL_LBL)*(INC_SPECIALS="Y"))=0,"",'Dvd Calendar'!$AR$1586)))</f>
        <v/>
      </c>
      <c r="AQ162" s="110">
        <f>IF(FS162="","",IF(ISNUMBER('Dvd Calendar'!$E$1591)=FALSE,"",'Dvd Calendar'!$E$1591))</f>
        <v/>
      </c>
      <c r="AR162" s="110">
        <f>IF(FT162="","",IF(ISNUMBER('Dvd Calendar'!$F$1591)=FALSE,"",'Dvd Calendar'!$F$1591))</f>
        <v/>
      </c>
      <c r="AS162" s="110">
        <f>IF(FU162="","",IF(ISNUMBER('Dvd Calendar'!$G$1591)=FALSE,"",'Dvd Calendar'!$G$1591))</f>
        <v/>
      </c>
      <c r="AT162" s="110">
        <f>IF(FV162="","",IF(ISNUMBER('Dvd Calendar'!$H$1591)=FALSE,"",'Dvd Calendar'!$H$1591))</f>
        <v/>
      </c>
      <c r="AU162" s="110">
        <f>IF(FW162="","",IF(ISNUMBER('Dvd Calendar'!$I$1591)=FALSE,"",'Dvd Calendar'!$I$1591))</f>
        <v/>
      </c>
      <c r="AV162" s="110">
        <f>IF(FX162="","",IF(ISNUMBER('Dvd Calendar'!$J$1591)=FALSE,"",'Dvd Calendar'!$J$1591))</f>
        <v/>
      </c>
      <c r="AW162" s="110">
        <f>IF(FY162="","",IF(ISNUMBER('Dvd Calendar'!$K$1591)=FALSE,"",'Dvd Calendar'!$K$1591))</f>
        <v/>
      </c>
      <c r="AX162" s="110">
        <f>IF(FZ162="","",IF(ISNUMBER('Dvd Calendar'!$L$1591)=FALSE,"",'Dvd Calendar'!$L$1591))</f>
        <v/>
      </c>
      <c r="AY162" s="110">
        <f>IF(GA162="","",IF(ISNUMBER('Dvd Calendar'!$M$1591)=FALSE,"",'Dvd Calendar'!$M$1591))</f>
        <v/>
      </c>
      <c r="AZ162" s="110">
        <f>IF(GB162="","",IF(ISNUMBER('Dvd Calendar'!$N$1591)=FALSE,"",'Dvd Calendar'!$N$1591))</f>
        <v/>
      </c>
      <c r="BA162" s="110">
        <f>IF(GC162="","",IF(ISNUMBER('Dvd Calendar'!$O$1591)=FALSE,"",'Dvd Calendar'!$O$1591))</f>
        <v/>
      </c>
      <c r="BB162" s="110">
        <f>IF(GD162="","",IF(ISNUMBER('Dvd Calendar'!$P$1591)=FALSE,"",'Dvd Calendar'!$P$1591))</f>
        <v/>
      </c>
      <c r="BC162" s="110">
        <f>IF(GE162="","",IF(ISNUMBER('Dvd Calendar'!$Q$1591)=FALSE,"",'Dvd Calendar'!$Q$1591))</f>
        <v/>
      </c>
      <c r="BD162" s="110">
        <f>IF(GF162="","",IF(ISNUMBER('Dvd Calendar'!$R$1591)=FALSE,"",'Dvd Calendar'!$R$1591))</f>
        <v/>
      </c>
      <c r="BE162" s="110">
        <f>IF(GG162="","",IF(ISNUMBER('Dvd Calendar'!$S$1591)=FALSE,"",'Dvd Calendar'!$S$1591))</f>
        <v/>
      </c>
      <c r="BF162" s="110">
        <f>IF(GH162="","",IF(ISNUMBER('Dvd Calendar'!$T$1591)=FALSE,"",'Dvd Calendar'!$T$1591))</f>
        <v/>
      </c>
      <c r="BG162" s="110">
        <f>IF(GI162="","",IF(ISNUMBER('Dvd Calendar'!$U$1591)=FALSE,"",'Dvd Calendar'!$U$1591))</f>
        <v/>
      </c>
      <c r="BH162" s="110">
        <f>IF(GJ162="","",IF(ISNUMBER('Dvd Calendar'!$V$1591)=FALSE,"",'Dvd Calendar'!$V$1591))</f>
        <v/>
      </c>
      <c r="BI162" s="110">
        <f>IF(GK162="","",IF(ISNUMBER('Dvd Calendar'!$W$1591)=FALSE,"",'Dvd Calendar'!$W$1591))</f>
        <v/>
      </c>
      <c r="BJ162" s="110">
        <f>IF(GL162="","",IF(ISNUMBER('Dvd Calendar'!$X$1591)=FALSE,"",'Dvd Calendar'!$X$1591))</f>
        <v/>
      </c>
      <c r="BK162" s="110">
        <f>IF(GM162="","",IF(ISNUMBER('Dvd Calendar'!$Y$1591)=FALSE,"",'Dvd Calendar'!$Y$1591))</f>
        <v/>
      </c>
      <c r="BL162" s="110">
        <f>IF(GN162="","",IF(ISNUMBER('Dvd Calendar'!$Z$1591)=FALSE,"",'Dvd Calendar'!$Z$1591))</f>
        <v/>
      </c>
      <c r="BM162" s="110">
        <f>IF(GO162="","",IF(ISNUMBER('Dvd Calendar'!$AA$1591)=FALSE,"",'Dvd Calendar'!$AA$1591))</f>
        <v/>
      </c>
      <c r="BN162" s="110">
        <f>IF(GP162="","",IF(ISNUMBER('Dvd Calendar'!$AB$1591)=FALSE,"",'Dvd Calendar'!$AB$1591))</f>
        <v/>
      </c>
      <c r="BO162" s="110">
        <f>IF(GQ162="","",IF(ISNUMBER('Dvd Calendar'!$AC$1591)=FALSE,"",'Dvd Calendar'!$AC$1591))</f>
        <v/>
      </c>
      <c r="BQ162" s="110">
        <f>IF(C162="","",IFERROR(C162*HSCEI!$B$9*HSCEI!$G$9/HSCEI!$B$3,""))</f>
        <v/>
      </c>
      <c r="BR162" s="110">
        <f>IF(D162="","",IFERROR(D162*HSCEI!$B$9*HSCEI!$G$9/HSCEI!$B$3,""))</f>
        <v/>
      </c>
      <c r="BS162" s="110">
        <f>IF(E162="","",IFERROR(E162*HSCEI!$B$9*HSCEI!$G$9/HSCEI!$B$3,""))</f>
        <v/>
      </c>
      <c r="BT162" s="110">
        <f>IF(F162="","",IFERROR(F162*HSCEI!$B$9*HSCEI!$G$9/HSCEI!$B$3,""))</f>
        <v/>
      </c>
      <c r="BU162" s="110">
        <f>IF(G162="","",IFERROR(G162*HSCEI!$B$9*HSCEI!$G$9/HSCEI!$B$3,""))</f>
        <v/>
      </c>
      <c r="BV162" s="110">
        <f>IF(H162="","",IFERROR(H162*HSCEI!$B$9*HSCEI!$G$9/HSCEI!$B$3,""))</f>
        <v/>
      </c>
      <c r="BW162" s="110">
        <f>IF(I162="","",IFERROR(I162*HSCEI!$B$9*HSCEI!$G$9/HSCEI!$B$3,""))</f>
        <v/>
      </c>
      <c r="BX162" s="110">
        <f>IF(J162="","",IFERROR(J162*HSCEI!$B$9*HSCEI!$G$9/HSCEI!$B$3,""))</f>
        <v/>
      </c>
      <c r="BY162" s="110">
        <f>IF(K162="","",IFERROR(K162*HSCEI!$B$9*HSCEI!$G$9/HSCEI!$B$3,""))</f>
        <v/>
      </c>
      <c r="BZ162" s="110">
        <f>IF(L162="","",IFERROR(L162*HSCEI!$B$9*HSCEI!$G$9/HSCEI!$B$3,""))</f>
        <v/>
      </c>
      <c r="CA162" s="110">
        <f>IF(M162="","",IFERROR(M162*HSCEI!$B$9*HSCEI!$G$9/HSCEI!$B$3,""))</f>
        <v/>
      </c>
      <c r="CB162" s="110">
        <f>IF(N162="","",IFERROR(N162*HSCEI!$B$9*HSCEI!$G$9/HSCEI!$B$3,""))</f>
        <v/>
      </c>
      <c r="CC162" s="110">
        <f>IF(O162="","",IFERROR(O162*HSCEI!$B$9*HSCEI!$G$9/HSCEI!$B$3,""))</f>
        <v/>
      </c>
      <c r="CD162" s="110">
        <f>IF(P162="","",IFERROR(P162*HSCEI!$B$9*HSCEI!$G$9/HSCEI!$B$3,""))</f>
        <v/>
      </c>
      <c r="CE162" s="110">
        <f>IF(Q162="","",IFERROR(Q162*HSCEI!$B$9*HSCEI!$G$9/HSCEI!$B$3,""))</f>
        <v/>
      </c>
      <c r="CF162" s="110">
        <f>IF(R162="","",IFERROR(R162*HSCEI!$B$9*HSCEI!$G$9/HSCEI!$B$3,""))</f>
        <v/>
      </c>
      <c r="CG162" s="110">
        <f>IF(S162="","",IFERROR(S162*HSCEI!$B$9*HSCEI!$G$9/HSCEI!$B$3,""))</f>
        <v/>
      </c>
      <c r="CH162" s="110">
        <f>IF(T162="","",IFERROR(T162*HSCEI!$B$9*HSCEI!$G$9/HSCEI!$B$3,""))</f>
        <v/>
      </c>
      <c r="CI162" s="110">
        <f>IF(U162="","",IFERROR(U162*HSCEI!$B$9*HSCEI!$G$9/HSCEI!$B$3,""))</f>
        <v/>
      </c>
      <c r="CJ162" s="110">
        <f>IF(V162="","",IFERROR(V162*HSCEI!$B$9*HSCEI!$G$9/HSCEI!$B$3,""))</f>
        <v/>
      </c>
      <c r="CK162" s="110">
        <f>IF(W162="","",IFERROR(W162*HSCEI!$B$9*HSCEI!$G$9/HSCEI!$B$3,""))</f>
        <v/>
      </c>
      <c r="CL162" s="110">
        <f>IF(X162="","",IFERROR(X162*HSCEI!$B$9*HSCEI!$G$9/HSCEI!$B$3,""))</f>
        <v/>
      </c>
      <c r="CM162" s="110">
        <f>IF(Y162="","",IFERROR(Y162*HSCEI!$B$9*HSCEI!$G$9/HSCEI!$B$3,""))</f>
        <v/>
      </c>
      <c r="CN162" s="110">
        <f>IF(Z162="","",IFERROR(Z162*HSCEI!$B$9*HSCEI!$G$9/HSCEI!$B$3,""))</f>
        <v/>
      </c>
      <c r="CO162" s="110">
        <f>IF(AA162="","",IFERROR(AA162*HSCEI!$B$9*HSCEI!$G$9/HSCEI!$B$3,""))</f>
        <v/>
      </c>
      <c r="CP162" s="110">
        <f>IF(AB162="","",IFERROR(AB162*HSCEI!$B$9*HSCEI!$G$9/HSCEI!$B$3,""))</f>
        <v/>
      </c>
      <c r="CQ162" s="110">
        <f>IF(AC162="","",IFERROR(AC162*HSCEI!$B$9*HSCEI!$G$9/HSCEI!$B$3,""))</f>
        <v/>
      </c>
      <c r="CR162" s="110">
        <f>IF(AD162="","",IFERROR(AD162*HSCEI!$B$9*HSCEI!$G$9/HSCEI!$B$3,""))</f>
        <v/>
      </c>
      <c r="CS162" s="110">
        <f>IF(AE162="","",IFERROR(AE162*HSCEI!$B$9*HSCEI!$G$9/HSCEI!$B$3,""))</f>
        <v/>
      </c>
      <c r="CT162" s="110">
        <f>IF(AF162="","",IFERROR(AF162*HSCEI!$B$9*HSCEI!$G$9/HSCEI!$B$3,""))</f>
        <v/>
      </c>
      <c r="CU162" s="110">
        <f>IF(AG162="","",IFERROR(AG162*HSCEI!$B$9*HSCEI!$G$9/HSCEI!$B$3,""))</f>
        <v/>
      </c>
      <c r="CV162" s="110">
        <f>IF(AH162="","",IFERROR(AH162*HSCEI!$B$9*HSCEI!$G$9/HSCEI!$B$3,""))</f>
        <v/>
      </c>
      <c r="CW162" s="110">
        <f>IF(AI162="","",IFERROR(AI162*HSCEI!$B$9*HSCEI!$G$9/HSCEI!$B$3,""))</f>
        <v/>
      </c>
      <c r="CX162" s="110">
        <f>IF(AJ162="","",IFERROR(AJ162*HSCEI!$B$9*HSCEI!$G$9/HSCEI!$B$3,""))</f>
        <v/>
      </c>
      <c r="CY162" s="110">
        <f>IF(AK162="","",IFERROR(AK162*HSCEI!$B$9*HSCEI!$G$9/HSCEI!$B$3,""))</f>
        <v/>
      </c>
      <c r="CZ162" s="110">
        <f>IF(AL162="","",IFERROR(AL162*HSCEI!$B$9*HSCEI!$G$9/HSCEI!$B$3,""))</f>
        <v/>
      </c>
      <c r="DA162" s="110">
        <f>IF(AM162="","",IFERROR(AM162*HSCEI!$B$9*HSCEI!$G$9/HSCEI!$B$3,""))</f>
        <v/>
      </c>
      <c r="DB162" s="110">
        <f>IF(AN162="","",IFERROR(AN162*HSCEI!$B$9*HSCEI!$G$9/HSCEI!$B$3,""))</f>
        <v/>
      </c>
      <c r="DC162" s="110">
        <f>IF(AO162="","",IFERROR(AO162*HSCEI!$B$9*HSCEI!$G$9/HSCEI!$B$3,""))</f>
        <v/>
      </c>
      <c r="DD162" s="110">
        <f>IF(AP162="","",IFERROR(AP162*HSCEI!$B$9*HSCEI!$G$9/HSCEI!$B$3,""))</f>
        <v/>
      </c>
      <c r="DE162" s="110">
        <f>IF(AQ162="","",IFERROR(AQ162*HSCEI!$B$9*HSCEI!$G$9/HSCEI!$B$3,""))</f>
        <v/>
      </c>
      <c r="DF162" s="110">
        <f>IF(AR162="","",IFERROR(AR162*HSCEI!$B$9*HSCEI!$G$9/HSCEI!$B$3,""))</f>
        <v/>
      </c>
      <c r="DG162" s="110">
        <f>IF(AS162="","",IFERROR(AS162*HSCEI!$B$9*HSCEI!$G$9/HSCEI!$B$3,""))</f>
        <v/>
      </c>
      <c r="DH162" s="110">
        <f>IF(AT162="","",IFERROR(AT162*HSCEI!$B$9*HSCEI!$G$9/HSCEI!$B$3,""))</f>
        <v/>
      </c>
      <c r="DI162" s="110">
        <f>IF(AU162="","",IFERROR(AU162*HSCEI!$B$9*HSCEI!$G$9/HSCEI!$B$3,""))</f>
        <v/>
      </c>
      <c r="DJ162" s="110">
        <f>IF(AV162="","",IFERROR(AV162*HSCEI!$B$9*HSCEI!$G$9/HSCEI!$B$3,""))</f>
        <v/>
      </c>
      <c r="DK162" s="110">
        <f>IF(AW162="","",IFERROR(AW162*HSCEI!$B$9*HSCEI!$G$9/HSCEI!$B$3,""))</f>
        <v/>
      </c>
      <c r="DL162" s="110">
        <f>IF(AX162="","",IFERROR(AX162*HSCEI!$B$9*HSCEI!$G$9/HSCEI!$B$3,""))</f>
        <v/>
      </c>
      <c r="DM162" s="110">
        <f>IF(AY162="","",IFERROR(AY162*HSCEI!$B$9*HSCEI!$G$9/HSCEI!$B$3,""))</f>
        <v/>
      </c>
      <c r="DN162" s="110">
        <f>IF(AZ162="","",IFERROR(AZ162*HSCEI!$B$9*HSCEI!$G$9/HSCEI!$B$3,""))</f>
        <v/>
      </c>
      <c r="DO162" s="110">
        <f>IF(BA162="","",IFERROR(BA162*HSCEI!$B$9*HSCEI!$G$9/HSCEI!$B$3,""))</f>
        <v/>
      </c>
      <c r="DP162" s="110">
        <f>IF(BB162="","",IFERROR(BB162*HSCEI!$B$9*HSCEI!$G$9/HSCEI!$B$3,""))</f>
        <v/>
      </c>
      <c r="DQ162" s="110">
        <f>IF(BC162="","",IFERROR(BC162*HSCEI!$B$9*HSCEI!$G$9/HSCEI!$B$3,""))</f>
        <v/>
      </c>
      <c r="DR162" s="110">
        <f>IF(BD162="","",IFERROR(BD162*HSCEI!$B$9*HSCEI!$G$9/HSCEI!$B$3,""))</f>
        <v/>
      </c>
      <c r="DS162" s="110">
        <f>IF(BE162="","",IFERROR(BE162*HSCEI!$B$9*HSCEI!$G$9/HSCEI!$B$3,""))</f>
        <v/>
      </c>
      <c r="DT162" s="110">
        <f>IF(BF162="","",IFERROR(BF162*HSCEI!$B$9*HSCEI!$G$9/HSCEI!$B$3,""))</f>
        <v/>
      </c>
      <c r="DU162" s="110">
        <f>IF(BG162="","",IFERROR(BG162*HSCEI!$B$9*HSCEI!$G$9/HSCEI!$B$3,""))</f>
        <v/>
      </c>
      <c r="DV162" s="110">
        <f>IF(BH162="","",IFERROR(BH162*HSCEI!$B$9*HSCEI!$G$9/HSCEI!$B$3,""))</f>
        <v/>
      </c>
      <c r="DW162" s="110">
        <f>IF(BI162="","",IFERROR(BI162*HSCEI!$B$9*HSCEI!$G$9/HSCEI!$B$3,""))</f>
        <v/>
      </c>
      <c r="DX162" s="110">
        <f>IF(BJ162="","",IFERROR(BJ162*HSCEI!$B$9*HSCEI!$G$9/HSCEI!$B$3,""))</f>
        <v/>
      </c>
      <c r="DY162" s="110">
        <f>IF(BK162="","",IFERROR(BK162*HSCEI!$B$9*HSCEI!$G$9/HSCEI!$B$3,""))</f>
        <v/>
      </c>
      <c r="DZ162" s="110">
        <f>IF(BL162="","",IFERROR(BL162*HSCEI!$B$9*HSCEI!$G$9/HSCEI!$B$3,""))</f>
        <v/>
      </c>
      <c r="EA162" s="110">
        <f>IF(BM162="","",IFERROR(BM162*HSCEI!$B$9*HSCEI!$G$9/HSCEI!$B$3,""))</f>
        <v/>
      </c>
      <c r="EB162" s="110">
        <f>IF(BN162="","",IFERROR(BN162*HSCEI!$B$9*HSCEI!$G$9/HSCEI!$B$3,""))</f>
        <v/>
      </c>
      <c r="EC162" s="110">
        <f>IF(BO162="","",IFERROR(BO162*HSCEI!$B$9*HSCEI!$G$9/HSCEI!$B$3,""))</f>
        <v/>
      </c>
      <c r="EE162" s="39">
        <f>IF(N('Dvd Calendar'!$E$1583)=0,"",IF(('Dvd Calendar'!$E$1583&gt;=GRID_FROM)*('Dvd Calendar'!$E$1583&lt;=GRID_TO)*((('Dvd Calendar'!$E$1583&lt;=VAL_DATE)+(COUNTIF('Dvd Calendar'!$E$1590:$AR$1590,'Dvd Calendar'!$E$1583)=0))&gt;0)=0,"",'Dvd Calendar'!$E$1583*1000000000+ISNUMBER('Dvd Calendar'!$E$1586)*100000000+('Dvd Calendar'!$E$1588=SPECIAL_LBL)*10000000+(N('Dvd Calendar'!$E$1582)&gt;0)*(N('Dvd Calendar'!$E$1582)&lt;=VAL_SERIAL)*1000000+3*1000+1))</f>
        <v/>
      </c>
      <c r="EF162" s="39">
        <f>IF(N('Dvd Calendar'!$F$1583)=0,"",IF(('Dvd Calendar'!$F$1583&gt;=GRID_FROM)*('Dvd Calendar'!$F$1583&lt;=GRID_TO)*((('Dvd Calendar'!$F$1583&lt;=VAL_DATE)+(COUNTIF('Dvd Calendar'!$E$1590:$AR$1590,'Dvd Calendar'!$F$1583)=0))&gt;0)=0,"",'Dvd Calendar'!$F$1583*1000000000+ISNUMBER('Dvd Calendar'!$F$1586)*100000000+('Dvd Calendar'!$F$1588=SPECIAL_LBL)*10000000+(N('Dvd Calendar'!$F$1582)&gt;0)*(N('Dvd Calendar'!$F$1582)&lt;=VAL_SERIAL)*1000000+3*1000+2))</f>
        <v/>
      </c>
      <c r="EG162" s="39">
        <f>IF(N('Dvd Calendar'!$G$1583)=0,"",IF(('Dvd Calendar'!$G$1583&gt;=GRID_FROM)*('Dvd Calendar'!$G$1583&lt;=GRID_TO)*((('Dvd Calendar'!$G$1583&lt;=VAL_DATE)+(COUNTIF('Dvd Calendar'!$E$1590:$AR$1590,'Dvd Calendar'!$G$1583)=0))&gt;0)=0,"",'Dvd Calendar'!$G$1583*1000000000+ISNUMBER('Dvd Calendar'!$G$1586)*100000000+('Dvd Calendar'!$G$1588=SPECIAL_LBL)*10000000+(N('Dvd Calendar'!$G$1582)&gt;0)*(N('Dvd Calendar'!$G$1582)&lt;=VAL_SERIAL)*1000000+3*1000+3))</f>
        <v/>
      </c>
      <c r="EH162" s="39">
        <f>IF(N('Dvd Calendar'!$H$1583)=0,"",IF(('Dvd Calendar'!$H$1583&gt;=GRID_FROM)*('Dvd Calendar'!$H$1583&lt;=GRID_TO)*((('Dvd Calendar'!$H$1583&lt;=VAL_DATE)+(COUNTIF('Dvd Calendar'!$E$1590:$AR$1590,'Dvd Calendar'!$H$1583)=0))&gt;0)=0,"",'Dvd Calendar'!$H$1583*1000000000+ISNUMBER('Dvd Calendar'!$H$1586)*100000000+('Dvd Calendar'!$H$1588=SPECIAL_LBL)*10000000+(N('Dvd Calendar'!$H$1582)&gt;0)*(N('Dvd Calendar'!$H$1582)&lt;=VAL_SERIAL)*1000000+3*1000+4))</f>
        <v/>
      </c>
      <c r="EI162" s="39">
        <f>IF(N('Dvd Calendar'!$I$1583)=0,"",IF(('Dvd Calendar'!$I$1583&gt;=GRID_FROM)*('Dvd Calendar'!$I$1583&lt;=GRID_TO)*((('Dvd Calendar'!$I$1583&lt;=VAL_DATE)+(COUNTIF('Dvd Calendar'!$E$1590:$AR$1590,'Dvd Calendar'!$I$1583)=0))&gt;0)=0,"",'Dvd Calendar'!$I$1583*1000000000+ISNUMBER('Dvd Calendar'!$I$1586)*100000000+('Dvd Calendar'!$I$1588=SPECIAL_LBL)*10000000+(N('Dvd Calendar'!$I$1582)&gt;0)*(N('Dvd Calendar'!$I$1582)&lt;=VAL_SERIAL)*1000000+3*1000+5))</f>
        <v/>
      </c>
      <c r="EJ162" s="39">
        <f>IF(N('Dvd Calendar'!$J$1583)=0,"",IF(('Dvd Calendar'!$J$1583&gt;=GRID_FROM)*('Dvd Calendar'!$J$1583&lt;=GRID_TO)*((('Dvd Calendar'!$J$1583&lt;=VAL_DATE)+(COUNTIF('Dvd Calendar'!$E$1590:$AR$1590,'Dvd Calendar'!$J$1583)=0))&gt;0)=0,"",'Dvd Calendar'!$J$1583*1000000000+ISNUMBER('Dvd Calendar'!$J$1586)*100000000+('Dvd Calendar'!$J$1588=SPECIAL_LBL)*10000000+(N('Dvd Calendar'!$J$1582)&gt;0)*(N('Dvd Calendar'!$J$1582)&lt;=VAL_SERIAL)*1000000+3*1000+6))</f>
        <v/>
      </c>
      <c r="EK162" s="39">
        <f>IF(N('Dvd Calendar'!$K$1583)=0,"",IF(('Dvd Calendar'!$K$1583&gt;=GRID_FROM)*('Dvd Calendar'!$K$1583&lt;=GRID_TO)*((('Dvd Calendar'!$K$1583&lt;=VAL_DATE)+(COUNTIF('Dvd Calendar'!$E$1590:$AR$1590,'Dvd Calendar'!$K$1583)=0))&gt;0)=0,"",'Dvd Calendar'!$K$1583*1000000000+ISNUMBER('Dvd Calendar'!$K$1586)*100000000+('Dvd Calendar'!$K$1588=SPECIAL_LBL)*10000000+(N('Dvd Calendar'!$K$1582)&gt;0)*(N('Dvd Calendar'!$K$1582)&lt;=VAL_SERIAL)*1000000+3*1000+7))</f>
        <v/>
      </c>
      <c r="EL162" s="39">
        <f>IF(N('Dvd Calendar'!$L$1583)=0,"",IF(('Dvd Calendar'!$L$1583&gt;=GRID_FROM)*('Dvd Calendar'!$L$1583&lt;=GRID_TO)*((('Dvd Calendar'!$L$1583&lt;=VAL_DATE)+(COUNTIF('Dvd Calendar'!$E$1590:$AR$1590,'Dvd Calendar'!$L$1583)=0))&gt;0)=0,"",'Dvd Calendar'!$L$1583*1000000000+ISNUMBER('Dvd Calendar'!$L$1586)*100000000+('Dvd Calendar'!$L$1588=SPECIAL_LBL)*10000000+(N('Dvd Calendar'!$L$1582)&gt;0)*(N('Dvd Calendar'!$L$1582)&lt;=VAL_SERIAL)*1000000+3*1000+8))</f>
        <v/>
      </c>
      <c r="EM162" s="39">
        <f>IF(N('Dvd Calendar'!$M$1583)=0,"",IF(('Dvd Calendar'!$M$1583&gt;=GRID_FROM)*('Dvd Calendar'!$M$1583&lt;=GRID_TO)*((('Dvd Calendar'!$M$1583&lt;=VAL_DATE)+(COUNTIF('Dvd Calendar'!$E$1590:$AR$1590,'Dvd Calendar'!$M$1583)=0))&gt;0)=0,"",'Dvd Calendar'!$M$1583*1000000000+ISNUMBER('Dvd Calendar'!$M$1586)*100000000+('Dvd Calendar'!$M$1588=SPECIAL_LBL)*10000000+(N('Dvd Calendar'!$M$1582)&gt;0)*(N('Dvd Calendar'!$M$1582)&lt;=VAL_SERIAL)*1000000+3*1000+9))</f>
        <v/>
      </c>
      <c r="EN162" s="39">
        <f>IF(N('Dvd Calendar'!$N$1583)=0,"",IF(('Dvd Calendar'!$N$1583&gt;=GRID_FROM)*('Dvd Calendar'!$N$1583&lt;=GRID_TO)*((('Dvd Calendar'!$N$1583&lt;=VAL_DATE)+(COUNTIF('Dvd Calendar'!$E$1590:$AR$1590,'Dvd Calendar'!$N$1583)=0))&gt;0)=0,"",'Dvd Calendar'!$N$1583*1000000000+ISNUMBER('Dvd Calendar'!$N$1586)*100000000+('Dvd Calendar'!$N$1588=SPECIAL_LBL)*10000000+(N('Dvd Calendar'!$N$1582)&gt;0)*(N('Dvd Calendar'!$N$1582)&lt;=VAL_SERIAL)*1000000+3*1000+10))</f>
        <v/>
      </c>
      <c r="EO162" s="39">
        <f>IF(N('Dvd Calendar'!$O$1583)=0,"",IF(('Dvd Calendar'!$O$1583&gt;=GRID_FROM)*('Dvd Calendar'!$O$1583&lt;=GRID_TO)*((('Dvd Calendar'!$O$1583&lt;=VAL_DATE)+(COUNTIF('Dvd Calendar'!$E$1590:$AR$1590,'Dvd Calendar'!$O$1583)=0))&gt;0)=0,"",'Dvd Calendar'!$O$1583*1000000000+ISNUMBER('Dvd Calendar'!$O$1586)*100000000+('Dvd Calendar'!$O$1588=SPECIAL_LBL)*10000000+(N('Dvd Calendar'!$O$1582)&gt;0)*(N('Dvd Calendar'!$O$1582)&lt;=VAL_SERIAL)*1000000+3*1000+11))</f>
        <v/>
      </c>
      <c r="EP162" s="39">
        <f>IF(N('Dvd Calendar'!$P$1583)=0,"",IF(('Dvd Calendar'!$P$1583&gt;=GRID_FROM)*('Dvd Calendar'!$P$1583&lt;=GRID_TO)*((('Dvd Calendar'!$P$1583&lt;=VAL_DATE)+(COUNTIF('Dvd Calendar'!$E$1590:$AR$1590,'Dvd Calendar'!$P$1583)=0))&gt;0)=0,"",'Dvd Calendar'!$P$1583*1000000000+ISNUMBER('Dvd Calendar'!$P$1586)*100000000+('Dvd Calendar'!$P$1588=SPECIAL_LBL)*10000000+(N('Dvd Calendar'!$P$1582)&gt;0)*(N('Dvd Calendar'!$P$1582)&lt;=VAL_SERIAL)*1000000+3*1000+12))</f>
        <v/>
      </c>
      <c r="EQ162" s="39">
        <f>IF(N('Dvd Calendar'!$Q$1583)=0,"",IF(('Dvd Calendar'!$Q$1583&gt;=GRID_FROM)*('Dvd Calendar'!$Q$1583&lt;=GRID_TO)*((('Dvd Calendar'!$Q$1583&lt;=VAL_DATE)+(COUNTIF('Dvd Calendar'!$E$1590:$AR$1590,'Dvd Calendar'!$Q$1583)=0))&gt;0)=0,"",'Dvd Calendar'!$Q$1583*1000000000+ISNUMBER('Dvd Calendar'!$Q$1586)*100000000+('Dvd Calendar'!$Q$1588=SPECIAL_LBL)*10000000+(N('Dvd Calendar'!$Q$1582)&gt;0)*(N('Dvd Calendar'!$Q$1582)&lt;=VAL_SERIAL)*1000000+3*1000+13))</f>
        <v/>
      </c>
      <c r="ER162" s="39">
        <f>IF(N('Dvd Calendar'!$R$1583)=0,"",IF(('Dvd Calendar'!$R$1583&gt;=GRID_FROM)*('Dvd Calendar'!$R$1583&lt;=GRID_TO)*((('Dvd Calendar'!$R$1583&lt;=VAL_DATE)+(COUNTIF('Dvd Calendar'!$E$1590:$AR$1590,'Dvd Calendar'!$R$1583)=0))&gt;0)=0,"",'Dvd Calendar'!$R$1583*1000000000+ISNUMBER('Dvd Calendar'!$R$1586)*100000000+('Dvd Calendar'!$R$1588=SPECIAL_LBL)*10000000+(N('Dvd Calendar'!$R$1582)&gt;0)*(N('Dvd Calendar'!$R$1582)&lt;=VAL_SERIAL)*1000000+3*1000+14))</f>
        <v/>
      </c>
      <c r="ES162" s="39">
        <f>IF(N('Dvd Calendar'!$S$1583)=0,"",IF(('Dvd Calendar'!$S$1583&gt;=GRID_FROM)*('Dvd Calendar'!$S$1583&lt;=GRID_TO)*((('Dvd Calendar'!$S$1583&lt;=VAL_DATE)+(COUNTIF('Dvd Calendar'!$E$1590:$AR$1590,'Dvd Calendar'!$S$1583)=0))&gt;0)=0,"",'Dvd Calendar'!$S$1583*1000000000+ISNUMBER('Dvd Calendar'!$S$1586)*100000000+('Dvd Calendar'!$S$1588=SPECIAL_LBL)*10000000+(N('Dvd Calendar'!$S$1582)&gt;0)*(N('Dvd Calendar'!$S$1582)&lt;=VAL_SERIAL)*1000000+3*1000+15))</f>
        <v/>
      </c>
      <c r="ET162" s="39">
        <f>IF(N('Dvd Calendar'!$T$1583)=0,"",IF(('Dvd Calendar'!$T$1583&gt;=GRID_FROM)*('Dvd Calendar'!$T$1583&lt;=GRID_TO)*((('Dvd Calendar'!$T$1583&lt;=VAL_DATE)+(COUNTIF('Dvd Calendar'!$E$1590:$AR$1590,'Dvd Calendar'!$T$1583)=0))&gt;0)=0,"",'Dvd Calendar'!$T$1583*1000000000+ISNUMBER('Dvd Calendar'!$T$1586)*100000000+('Dvd Calendar'!$T$1588=SPECIAL_LBL)*10000000+(N('Dvd Calendar'!$T$1582)&gt;0)*(N('Dvd Calendar'!$T$1582)&lt;=VAL_SERIAL)*1000000+3*1000+16))</f>
        <v/>
      </c>
      <c r="EU162" s="39">
        <f>IF(N('Dvd Calendar'!$U$1583)=0,"",IF(('Dvd Calendar'!$U$1583&gt;=GRID_FROM)*('Dvd Calendar'!$U$1583&lt;=GRID_TO)*((('Dvd Calendar'!$U$1583&lt;=VAL_DATE)+(COUNTIF('Dvd Calendar'!$E$1590:$AR$1590,'Dvd Calendar'!$U$1583)=0))&gt;0)=0,"",'Dvd Calendar'!$U$1583*1000000000+ISNUMBER('Dvd Calendar'!$U$1586)*100000000+('Dvd Calendar'!$U$1588=SPECIAL_LBL)*10000000+(N('Dvd Calendar'!$U$1582)&gt;0)*(N('Dvd Calendar'!$U$1582)&lt;=VAL_SERIAL)*1000000+3*1000+17))</f>
        <v/>
      </c>
      <c r="EV162" s="39">
        <f>IF(N('Dvd Calendar'!$V$1583)=0,"",IF(('Dvd Calendar'!$V$1583&gt;=GRID_FROM)*('Dvd Calendar'!$V$1583&lt;=GRID_TO)*((('Dvd Calendar'!$V$1583&lt;=VAL_DATE)+(COUNTIF('Dvd Calendar'!$E$1590:$AR$1590,'Dvd Calendar'!$V$1583)=0))&gt;0)=0,"",'Dvd Calendar'!$V$1583*1000000000+ISNUMBER('Dvd Calendar'!$V$1586)*100000000+('Dvd Calendar'!$V$1588=SPECIAL_LBL)*10000000+(N('Dvd Calendar'!$V$1582)&gt;0)*(N('Dvd Calendar'!$V$1582)&lt;=VAL_SERIAL)*1000000+3*1000+18))</f>
        <v/>
      </c>
      <c r="EW162" s="39">
        <f>IF(N('Dvd Calendar'!$W$1583)=0,"",IF(('Dvd Calendar'!$W$1583&gt;=GRID_FROM)*('Dvd Calendar'!$W$1583&lt;=GRID_TO)*((('Dvd Calendar'!$W$1583&lt;=VAL_DATE)+(COUNTIF('Dvd Calendar'!$E$1590:$AR$1590,'Dvd Calendar'!$W$1583)=0))&gt;0)=0,"",'Dvd Calendar'!$W$1583*1000000000+ISNUMBER('Dvd Calendar'!$W$1586)*100000000+('Dvd Calendar'!$W$1588=SPECIAL_LBL)*10000000+(N('Dvd Calendar'!$W$1582)&gt;0)*(N('Dvd Calendar'!$W$1582)&lt;=VAL_SERIAL)*1000000+3*1000+19))</f>
        <v/>
      </c>
      <c r="EX162" s="39">
        <f>IF(N('Dvd Calendar'!$X$1583)=0,"",IF(('Dvd Calendar'!$X$1583&gt;=GRID_FROM)*('Dvd Calendar'!$X$1583&lt;=GRID_TO)*((('Dvd Calendar'!$X$1583&lt;=VAL_DATE)+(COUNTIF('Dvd Calendar'!$E$1590:$AR$1590,'Dvd Calendar'!$X$1583)=0))&gt;0)=0,"",'Dvd Calendar'!$X$1583*1000000000+ISNUMBER('Dvd Calendar'!$X$1586)*100000000+('Dvd Calendar'!$X$1588=SPECIAL_LBL)*10000000+(N('Dvd Calendar'!$X$1582)&gt;0)*(N('Dvd Calendar'!$X$1582)&lt;=VAL_SERIAL)*1000000+3*1000+20))</f>
        <v/>
      </c>
      <c r="EY162" s="39">
        <f>IF(N('Dvd Calendar'!$Y$1583)=0,"",IF(('Dvd Calendar'!$Y$1583&gt;=GRID_FROM)*('Dvd Calendar'!$Y$1583&lt;=GRID_TO)*((('Dvd Calendar'!$Y$1583&lt;=VAL_DATE)+(COUNTIF('Dvd Calendar'!$E$1590:$AR$1590,'Dvd Calendar'!$Y$1583)=0))&gt;0)=0,"",'Dvd Calendar'!$Y$1583*1000000000+ISNUMBER('Dvd Calendar'!$Y$1586)*100000000+('Dvd Calendar'!$Y$1588=SPECIAL_LBL)*10000000+(N('Dvd Calendar'!$Y$1582)&gt;0)*(N('Dvd Calendar'!$Y$1582)&lt;=VAL_SERIAL)*1000000+3*1000+21))</f>
        <v/>
      </c>
      <c r="EZ162" s="39">
        <f>IF(N('Dvd Calendar'!$Z$1583)=0,"",IF(('Dvd Calendar'!$Z$1583&gt;=GRID_FROM)*('Dvd Calendar'!$Z$1583&lt;=GRID_TO)*((('Dvd Calendar'!$Z$1583&lt;=VAL_DATE)+(COUNTIF('Dvd Calendar'!$E$1590:$AR$1590,'Dvd Calendar'!$Z$1583)=0))&gt;0)=0,"",'Dvd Calendar'!$Z$1583*1000000000+ISNUMBER('Dvd Calendar'!$Z$1586)*100000000+('Dvd Calendar'!$Z$1588=SPECIAL_LBL)*10000000+(N('Dvd Calendar'!$Z$1582)&gt;0)*(N('Dvd Calendar'!$Z$1582)&lt;=VAL_SERIAL)*1000000+3*1000+22))</f>
        <v/>
      </c>
      <c r="FA162" s="39">
        <f>IF(N('Dvd Calendar'!$AA$1583)=0,"",IF(('Dvd Calendar'!$AA$1583&gt;=GRID_FROM)*('Dvd Calendar'!$AA$1583&lt;=GRID_TO)*((('Dvd Calendar'!$AA$1583&lt;=VAL_DATE)+(COUNTIF('Dvd Calendar'!$E$1590:$AR$1590,'Dvd Calendar'!$AA$1583)=0))&gt;0)=0,"",'Dvd Calendar'!$AA$1583*1000000000+ISNUMBER('Dvd Calendar'!$AA$1586)*100000000+('Dvd Calendar'!$AA$1588=SPECIAL_LBL)*10000000+(N('Dvd Calendar'!$AA$1582)&gt;0)*(N('Dvd Calendar'!$AA$1582)&lt;=VAL_SERIAL)*1000000+3*1000+23))</f>
        <v/>
      </c>
      <c r="FB162" s="39">
        <f>IF(N('Dvd Calendar'!$AB$1583)=0,"",IF(('Dvd Calendar'!$AB$1583&gt;=GRID_FROM)*('Dvd Calendar'!$AB$1583&lt;=GRID_TO)*((('Dvd Calendar'!$AB$1583&lt;=VAL_DATE)+(COUNTIF('Dvd Calendar'!$E$1590:$AR$1590,'Dvd Calendar'!$AB$1583)=0))&gt;0)=0,"",'Dvd Calendar'!$AB$1583*1000000000+ISNUMBER('Dvd Calendar'!$AB$1586)*100000000+('Dvd Calendar'!$AB$1588=SPECIAL_LBL)*10000000+(N('Dvd Calendar'!$AB$1582)&gt;0)*(N('Dvd Calendar'!$AB$1582)&lt;=VAL_SERIAL)*1000000+3*1000+24))</f>
        <v/>
      </c>
      <c r="FC162" s="39">
        <f>IF(N('Dvd Calendar'!$AC$1583)=0,"",IF(('Dvd Calendar'!$AC$1583&gt;=GRID_FROM)*('Dvd Calendar'!$AC$1583&lt;=GRID_TO)*((('Dvd Calendar'!$AC$1583&lt;=VAL_DATE)+(COUNTIF('Dvd Calendar'!$E$1590:$AR$1590,'Dvd Calendar'!$AC$1583)=0))&gt;0)=0,"",'Dvd Calendar'!$AC$1583*1000000000+ISNUMBER('Dvd Calendar'!$AC$1586)*100000000+('Dvd Calendar'!$AC$1588=SPECIAL_LBL)*10000000+(N('Dvd Calendar'!$AC$1582)&gt;0)*(N('Dvd Calendar'!$AC$1582)&lt;=VAL_SERIAL)*1000000+3*1000+25))</f>
        <v/>
      </c>
      <c r="FD162" s="39">
        <f>IF(N('Dvd Calendar'!$AD$1583)=0,"",IF(('Dvd Calendar'!$AD$1583&gt;=GRID_FROM)*('Dvd Calendar'!$AD$1583&lt;=GRID_TO)*((('Dvd Calendar'!$AD$1583&lt;=VAL_DATE)+(COUNTIF('Dvd Calendar'!$E$1590:$AR$1590,'Dvd Calendar'!$AD$1583)=0))&gt;0)=0,"",'Dvd Calendar'!$AD$1583*1000000000+ISNUMBER('Dvd Calendar'!$AD$1586)*100000000+('Dvd Calendar'!$AD$1588=SPECIAL_LBL)*10000000+(N('Dvd Calendar'!$AD$1582)&gt;0)*(N('Dvd Calendar'!$AD$1582)&lt;=VAL_SERIAL)*1000000+3*1000+26))</f>
        <v/>
      </c>
      <c r="FE162" s="39">
        <f>IF(N('Dvd Calendar'!$AE$1583)=0,"",IF(('Dvd Calendar'!$AE$1583&gt;=GRID_FROM)*('Dvd Calendar'!$AE$1583&lt;=GRID_TO)*((('Dvd Calendar'!$AE$1583&lt;=VAL_DATE)+(COUNTIF('Dvd Calendar'!$E$1590:$AR$1590,'Dvd Calendar'!$AE$1583)=0))&gt;0)=0,"",'Dvd Calendar'!$AE$1583*1000000000+ISNUMBER('Dvd Calendar'!$AE$1586)*100000000+('Dvd Calendar'!$AE$1588=SPECIAL_LBL)*10000000+(N('Dvd Calendar'!$AE$1582)&gt;0)*(N('Dvd Calendar'!$AE$1582)&lt;=VAL_SERIAL)*1000000+3*1000+27))</f>
        <v/>
      </c>
      <c r="FF162" s="39">
        <f>IF(N('Dvd Calendar'!$AF$1583)=0,"",IF(('Dvd Calendar'!$AF$1583&gt;=GRID_FROM)*('Dvd Calendar'!$AF$1583&lt;=GRID_TO)*((('Dvd Calendar'!$AF$1583&lt;=VAL_DATE)+(COUNTIF('Dvd Calendar'!$E$1590:$AR$1590,'Dvd Calendar'!$AF$1583)=0))&gt;0)=0,"",'Dvd Calendar'!$AF$1583*1000000000+ISNUMBER('Dvd Calendar'!$AF$1586)*100000000+('Dvd Calendar'!$AF$1588=SPECIAL_LBL)*10000000+(N('Dvd Calendar'!$AF$1582)&gt;0)*(N('Dvd Calendar'!$AF$1582)&lt;=VAL_SERIAL)*1000000+3*1000+28))</f>
        <v/>
      </c>
      <c r="FG162" s="39">
        <f>IF(N('Dvd Calendar'!$AG$1583)=0,"",IF(('Dvd Calendar'!$AG$1583&gt;=GRID_FROM)*('Dvd Calendar'!$AG$1583&lt;=GRID_TO)*((('Dvd Calendar'!$AG$1583&lt;=VAL_DATE)+(COUNTIF('Dvd Calendar'!$E$1590:$AR$1590,'Dvd Calendar'!$AG$1583)=0))&gt;0)=0,"",'Dvd Calendar'!$AG$1583*1000000000+ISNUMBER('Dvd Calendar'!$AG$1586)*100000000+('Dvd Calendar'!$AG$1588=SPECIAL_LBL)*10000000+(N('Dvd Calendar'!$AG$1582)&gt;0)*(N('Dvd Calendar'!$AG$1582)&lt;=VAL_SERIAL)*1000000+3*1000+29))</f>
        <v/>
      </c>
      <c r="FH162" s="39">
        <f>IF(N('Dvd Calendar'!$AH$1583)=0,"",IF(('Dvd Calendar'!$AH$1583&gt;=GRID_FROM)*('Dvd Calendar'!$AH$1583&lt;=GRID_TO)*((('Dvd Calendar'!$AH$1583&lt;=VAL_DATE)+(COUNTIF('Dvd Calendar'!$E$1590:$AR$1590,'Dvd Calendar'!$AH$1583)=0))&gt;0)=0,"",'Dvd Calendar'!$AH$1583*1000000000+ISNUMBER('Dvd Calendar'!$AH$1586)*100000000+('Dvd Calendar'!$AH$1588=SPECIAL_LBL)*10000000+(N('Dvd Calendar'!$AH$1582)&gt;0)*(N('Dvd Calendar'!$AH$1582)&lt;=VAL_SERIAL)*1000000+3*1000+30))</f>
        <v/>
      </c>
      <c r="FI162" s="39">
        <f>IF(N('Dvd Calendar'!$AI$1583)=0,"",IF(('Dvd Calendar'!$AI$1583&gt;=GRID_FROM)*('Dvd Calendar'!$AI$1583&lt;=GRID_TO)*((('Dvd Calendar'!$AI$1583&lt;=VAL_DATE)+(COUNTIF('Dvd Calendar'!$E$1590:$AR$1590,'Dvd Calendar'!$AI$1583)=0))&gt;0)=0,"",'Dvd Calendar'!$AI$1583*1000000000+ISNUMBER('Dvd Calendar'!$AI$1586)*100000000+('Dvd Calendar'!$AI$1588=SPECIAL_LBL)*10000000+(N('Dvd Calendar'!$AI$1582)&gt;0)*(N('Dvd Calendar'!$AI$1582)&lt;=VAL_SERIAL)*1000000+3*1000+31))</f>
        <v/>
      </c>
      <c r="FJ162" s="39">
        <f>IF(N('Dvd Calendar'!$AJ$1583)=0,"",IF(('Dvd Calendar'!$AJ$1583&gt;=GRID_FROM)*('Dvd Calendar'!$AJ$1583&lt;=GRID_TO)*((('Dvd Calendar'!$AJ$1583&lt;=VAL_DATE)+(COUNTIF('Dvd Calendar'!$E$1590:$AR$1590,'Dvd Calendar'!$AJ$1583)=0))&gt;0)=0,"",'Dvd Calendar'!$AJ$1583*1000000000+ISNUMBER('Dvd Calendar'!$AJ$1586)*100000000+('Dvd Calendar'!$AJ$1588=SPECIAL_LBL)*10000000+(N('Dvd Calendar'!$AJ$1582)&gt;0)*(N('Dvd Calendar'!$AJ$1582)&lt;=VAL_SERIAL)*1000000+3*1000+32))</f>
        <v/>
      </c>
      <c r="FK162" s="39">
        <f>IF(N('Dvd Calendar'!$AK$1583)=0,"",IF(('Dvd Calendar'!$AK$1583&gt;=GRID_FROM)*('Dvd Calendar'!$AK$1583&lt;=GRID_TO)*((('Dvd Calendar'!$AK$1583&lt;=VAL_DATE)+(COUNTIF('Dvd Calendar'!$E$1590:$AR$1590,'Dvd Calendar'!$AK$1583)=0))&gt;0)=0,"",'Dvd Calendar'!$AK$1583*1000000000+ISNUMBER('Dvd Calendar'!$AK$1586)*100000000+('Dvd Calendar'!$AK$1588=SPECIAL_LBL)*10000000+(N('Dvd Calendar'!$AK$1582)&gt;0)*(N('Dvd Calendar'!$AK$1582)&lt;=VAL_SERIAL)*1000000+3*1000+33))</f>
        <v/>
      </c>
      <c r="FL162" s="39">
        <f>IF(N('Dvd Calendar'!$AL$1583)=0,"",IF(('Dvd Calendar'!$AL$1583&gt;=GRID_FROM)*('Dvd Calendar'!$AL$1583&lt;=GRID_TO)*((('Dvd Calendar'!$AL$1583&lt;=VAL_DATE)+(COUNTIF('Dvd Calendar'!$E$1590:$AR$1590,'Dvd Calendar'!$AL$1583)=0))&gt;0)=0,"",'Dvd Calendar'!$AL$1583*1000000000+ISNUMBER('Dvd Calendar'!$AL$1586)*100000000+('Dvd Calendar'!$AL$1588=SPECIAL_LBL)*10000000+(N('Dvd Calendar'!$AL$1582)&gt;0)*(N('Dvd Calendar'!$AL$1582)&lt;=VAL_SERIAL)*1000000+3*1000+34))</f>
        <v/>
      </c>
      <c r="FM162" s="39">
        <f>IF(N('Dvd Calendar'!$AM$1583)=0,"",IF(('Dvd Calendar'!$AM$1583&gt;=GRID_FROM)*('Dvd Calendar'!$AM$1583&lt;=GRID_TO)*((('Dvd Calendar'!$AM$1583&lt;=VAL_DATE)+(COUNTIF('Dvd Calendar'!$E$1590:$AR$1590,'Dvd Calendar'!$AM$1583)=0))&gt;0)=0,"",'Dvd Calendar'!$AM$1583*1000000000+ISNUMBER('Dvd Calendar'!$AM$1586)*100000000+('Dvd Calendar'!$AM$1588=SPECIAL_LBL)*10000000+(N('Dvd Calendar'!$AM$1582)&gt;0)*(N('Dvd Calendar'!$AM$1582)&lt;=VAL_SERIAL)*1000000+3*1000+35))</f>
        <v/>
      </c>
      <c r="FN162" s="39">
        <f>IF(N('Dvd Calendar'!$AN$1583)=0,"",IF(('Dvd Calendar'!$AN$1583&gt;=GRID_FROM)*('Dvd Calendar'!$AN$1583&lt;=GRID_TO)*((('Dvd Calendar'!$AN$1583&lt;=VAL_DATE)+(COUNTIF('Dvd Calendar'!$E$1590:$AR$1590,'Dvd Calendar'!$AN$1583)=0))&gt;0)=0,"",'Dvd Calendar'!$AN$1583*1000000000+ISNUMBER('Dvd Calendar'!$AN$1586)*100000000+('Dvd Calendar'!$AN$1588=SPECIAL_LBL)*10000000+(N('Dvd Calendar'!$AN$1582)&gt;0)*(N('Dvd Calendar'!$AN$1582)&lt;=VAL_SERIAL)*1000000+3*1000+36))</f>
        <v/>
      </c>
      <c r="FO162" s="39">
        <f>IF(N('Dvd Calendar'!$AO$1583)=0,"",IF(('Dvd Calendar'!$AO$1583&gt;=GRID_FROM)*('Dvd Calendar'!$AO$1583&lt;=GRID_TO)*((('Dvd Calendar'!$AO$1583&lt;=VAL_DATE)+(COUNTIF('Dvd Calendar'!$E$1590:$AR$1590,'Dvd Calendar'!$AO$1583)=0))&gt;0)=0,"",'Dvd Calendar'!$AO$1583*1000000000+ISNUMBER('Dvd Calendar'!$AO$1586)*100000000+('Dvd Calendar'!$AO$1588=SPECIAL_LBL)*10000000+(N('Dvd Calendar'!$AO$1582)&gt;0)*(N('Dvd Calendar'!$AO$1582)&lt;=VAL_SERIAL)*1000000+3*1000+37))</f>
        <v/>
      </c>
      <c r="FP162" s="39">
        <f>IF(N('Dvd Calendar'!$AP$1583)=0,"",IF(('Dvd Calendar'!$AP$1583&gt;=GRID_FROM)*('Dvd Calendar'!$AP$1583&lt;=GRID_TO)*((('Dvd Calendar'!$AP$1583&lt;=VAL_DATE)+(COUNTIF('Dvd Calendar'!$E$1590:$AR$1590,'Dvd Calendar'!$AP$1583)=0))&gt;0)=0,"",'Dvd Calendar'!$AP$1583*1000000000+ISNUMBER('Dvd Calendar'!$AP$1586)*100000000+('Dvd Calendar'!$AP$1588=SPECIAL_LBL)*10000000+(N('Dvd Calendar'!$AP$1582)&gt;0)*(N('Dvd Calendar'!$AP$1582)&lt;=VAL_SERIAL)*1000000+3*1000+38))</f>
        <v/>
      </c>
      <c r="FQ162" s="39">
        <f>IF(N('Dvd Calendar'!$AQ$1583)=0,"",IF(('Dvd Calendar'!$AQ$1583&gt;=GRID_FROM)*('Dvd Calendar'!$AQ$1583&lt;=GRID_TO)*((('Dvd Calendar'!$AQ$1583&lt;=VAL_DATE)+(COUNTIF('Dvd Calendar'!$E$1590:$AR$1590,'Dvd Calendar'!$AQ$1583)=0))&gt;0)=0,"",'Dvd Calendar'!$AQ$1583*1000000000+ISNUMBER('Dvd Calendar'!$AQ$1586)*100000000+('Dvd Calendar'!$AQ$1588=SPECIAL_LBL)*10000000+(N('Dvd Calendar'!$AQ$1582)&gt;0)*(N('Dvd Calendar'!$AQ$1582)&lt;=VAL_SERIAL)*1000000+3*1000+39))</f>
        <v/>
      </c>
      <c r="FR162" s="39">
        <f>IF(N('Dvd Calendar'!$AR$1583)=0,"",IF(('Dvd Calendar'!$AR$1583&gt;=GRID_FROM)*('Dvd Calendar'!$AR$1583&lt;=GRID_TO)*((('Dvd Calendar'!$AR$1583&lt;=VAL_DATE)+(COUNTIF('Dvd Calendar'!$E$1590:$AR$1590,'Dvd Calendar'!$AR$1583)=0))&gt;0)=0,"",'Dvd Calendar'!$AR$1583*1000000000+ISNUMBER('Dvd Calendar'!$AR$1586)*100000000+('Dvd Calendar'!$AR$1588=SPECIAL_LBL)*10000000+(N('Dvd Calendar'!$AR$1582)&gt;0)*(N('Dvd Calendar'!$AR$1582)&lt;=VAL_SERIAL)*1000000+3*1000+40))</f>
        <v/>
      </c>
      <c r="FS162" s="39">
        <f>IF(N('Dvd Calendar'!$E$1590)=0,"",IF(('Dvd Calendar'!$E$1590&gt;=GRID_FROM)*('Dvd Calendar'!$E$1590&lt;=GRID_TO)*('Dvd Calendar'!$E$1590&gt;VAL_DATE)=0,"",'Dvd Calendar'!$E$1590*1000000000+ISNUMBER('Dvd Calendar'!$E$1591)*100000000+0*10000000+(N('Dvd Calendar'!$E$1589)&gt;0)*(N('Dvd Calendar'!$E$1589)&lt;=VAL_SERIAL)*1000000+3*1000+41))</f>
        <v/>
      </c>
      <c r="FT162" s="39">
        <f>IF(N('Dvd Calendar'!$F$1590)=0,"",IF(('Dvd Calendar'!$F$1590&gt;=GRID_FROM)*('Dvd Calendar'!$F$1590&lt;=GRID_TO)*('Dvd Calendar'!$F$1590&gt;VAL_DATE)=0,"",'Dvd Calendar'!$F$1590*1000000000+ISNUMBER('Dvd Calendar'!$F$1591)*100000000+0*10000000+(N('Dvd Calendar'!$F$1589)&gt;0)*(N('Dvd Calendar'!$F$1589)&lt;=VAL_SERIAL)*1000000+3*1000+42))</f>
        <v/>
      </c>
      <c r="FU162" s="39">
        <f>IF(N('Dvd Calendar'!$G$1590)=0,"",IF(('Dvd Calendar'!$G$1590&gt;=GRID_FROM)*('Dvd Calendar'!$G$1590&lt;=GRID_TO)*('Dvd Calendar'!$G$1590&gt;VAL_DATE)=0,"",'Dvd Calendar'!$G$1590*1000000000+ISNUMBER('Dvd Calendar'!$G$1591)*100000000+0*10000000+(N('Dvd Calendar'!$G$1589)&gt;0)*(N('Dvd Calendar'!$G$1589)&lt;=VAL_SERIAL)*1000000+3*1000+43))</f>
        <v/>
      </c>
      <c r="FV162" s="39">
        <f>IF(N('Dvd Calendar'!$H$1590)=0,"",IF(('Dvd Calendar'!$H$1590&gt;=GRID_FROM)*('Dvd Calendar'!$H$1590&lt;=GRID_TO)*('Dvd Calendar'!$H$1590&gt;VAL_DATE)=0,"",'Dvd Calendar'!$H$1590*1000000000+ISNUMBER('Dvd Calendar'!$H$1591)*100000000+0*10000000+(N('Dvd Calendar'!$H$1589)&gt;0)*(N('Dvd Calendar'!$H$1589)&lt;=VAL_SERIAL)*1000000+3*1000+44))</f>
        <v/>
      </c>
      <c r="FW162" s="39">
        <f>IF(N('Dvd Calendar'!$I$1590)=0,"",IF(('Dvd Calendar'!$I$1590&gt;=GRID_FROM)*('Dvd Calendar'!$I$1590&lt;=GRID_TO)*('Dvd Calendar'!$I$1590&gt;VAL_DATE)=0,"",'Dvd Calendar'!$I$1590*1000000000+ISNUMBER('Dvd Calendar'!$I$1591)*100000000+0*10000000+(N('Dvd Calendar'!$I$1589)&gt;0)*(N('Dvd Calendar'!$I$1589)&lt;=VAL_SERIAL)*1000000+3*1000+45))</f>
        <v/>
      </c>
      <c r="FX162" s="39">
        <f>IF(N('Dvd Calendar'!$J$1590)=0,"",IF(('Dvd Calendar'!$J$1590&gt;=GRID_FROM)*('Dvd Calendar'!$J$1590&lt;=GRID_TO)*('Dvd Calendar'!$J$1590&gt;VAL_DATE)=0,"",'Dvd Calendar'!$J$1590*1000000000+ISNUMBER('Dvd Calendar'!$J$1591)*100000000+0*10000000+(N('Dvd Calendar'!$J$1589)&gt;0)*(N('Dvd Calendar'!$J$1589)&lt;=VAL_SERIAL)*1000000+3*1000+46))</f>
        <v/>
      </c>
      <c r="FY162" s="39">
        <f>IF(N('Dvd Calendar'!$K$1590)=0,"",IF(('Dvd Calendar'!$K$1590&gt;=GRID_FROM)*('Dvd Calendar'!$K$1590&lt;=GRID_TO)*('Dvd Calendar'!$K$1590&gt;VAL_DATE)=0,"",'Dvd Calendar'!$K$1590*1000000000+ISNUMBER('Dvd Calendar'!$K$1591)*100000000+0*10000000+(N('Dvd Calendar'!$K$1589)&gt;0)*(N('Dvd Calendar'!$K$1589)&lt;=VAL_SERIAL)*1000000+3*1000+47))</f>
        <v/>
      </c>
      <c r="FZ162" s="39">
        <f>IF(N('Dvd Calendar'!$L$1590)=0,"",IF(('Dvd Calendar'!$L$1590&gt;=GRID_FROM)*('Dvd Calendar'!$L$1590&lt;=GRID_TO)*('Dvd Calendar'!$L$1590&gt;VAL_DATE)=0,"",'Dvd Calendar'!$L$1590*1000000000+ISNUMBER('Dvd Calendar'!$L$1591)*100000000+0*10000000+(N('Dvd Calendar'!$L$1589)&gt;0)*(N('Dvd Calendar'!$L$1589)&lt;=VAL_SERIAL)*1000000+3*1000+48))</f>
        <v/>
      </c>
      <c r="GA162" s="39">
        <f>IF(N('Dvd Calendar'!$M$1590)=0,"",IF(('Dvd Calendar'!$M$1590&gt;=GRID_FROM)*('Dvd Calendar'!$M$1590&lt;=GRID_TO)*('Dvd Calendar'!$M$1590&gt;VAL_DATE)=0,"",'Dvd Calendar'!$M$1590*1000000000+ISNUMBER('Dvd Calendar'!$M$1591)*100000000+0*10000000+(N('Dvd Calendar'!$M$1589)&gt;0)*(N('Dvd Calendar'!$M$1589)&lt;=VAL_SERIAL)*1000000+3*1000+49))</f>
        <v/>
      </c>
      <c r="GB162" s="39">
        <f>IF(N('Dvd Calendar'!$N$1590)=0,"",IF(('Dvd Calendar'!$N$1590&gt;=GRID_FROM)*('Dvd Calendar'!$N$1590&lt;=GRID_TO)*('Dvd Calendar'!$N$1590&gt;VAL_DATE)=0,"",'Dvd Calendar'!$N$1590*1000000000+ISNUMBER('Dvd Calendar'!$N$1591)*100000000+0*10000000+(N('Dvd Calendar'!$N$1589)&gt;0)*(N('Dvd Calendar'!$N$1589)&lt;=VAL_SERIAL)*1000000+3*1000+50))</f>
        <v/>
      </c>
      <c r="GC162" s="39">
        <f>IF(N('Dvd Calendar'!$O$1590)=0,"",IF(('Dvd Calendar'!$O$1590&gt;=GRID_FROM)*('Dvd Calendar'!$O$1590&lt;=GRID_TO)*('Dvd Calendar'!$O$1590&gt;VAL_DATE)=0,"",'Dvd Calendar'!$O$1590*1000000000+ISNUMBER('Dvd Calendar'!$O$1591)*100000000+0*10000000+(N('Dvd Calendar'!$O$1589)&gt;0)*(N('Dvd Calendar'!$O$1589)&lt;=VAL_SERIAL)*1000000+3*1000+51))</f>
        <v/>
      </c>
      <c r="GD162" s="39">
        <f>IF(N('Dvd Calendar'!$P$1590)=0,"",IF(('Dvd Calendar'!$P$1590&gt;=GRID_FROM)*('Dvd Calendar'!$P$1590&lt;=GRID_TO)*('Dvd Calendar'!$P$1590&gt;VAL_DATE)=0,"",'Dvd Calendar'!$P$1590*1000000000+ISNUMBER('Dvd Calendar'!$P$1591)*100000000+0*10000000+(N('Dvd Calendar'!$P$1589)&gt;0)*(N('Dvd Calendar'!$P$1589)&lt;=VAL_SERIAL)*1000000+3*1000+52))</f>
        <v/>
      </c>
      <c r="GE162" s="39">
        <f>IF(N('Dvd Calendar'!$Q$1590)=0,"",IF(('Dvd Calendar'!$Q$1590&gt;=GRID_FROM)*('Dvd Calendar'!$Q$1590&lt;=GRID_TO)*('Dvd Calendar'!$Q$1590&gt;VAL_DATE)=0,"",'Dvd Calendar'!$Q$1590*1000000000+ISNUMBER('Dvd Calendar'!$Q$1591)*100000000+0*10000000+(N('Dvd Calendar'!$Q$1589)&gt;0)*(N('Dvd Calendar'!$Q$1589)&lt;=VAL_SERIAL)*1000000+3*1000+53))</f>
        <v/>
      </c>
      <c r="GF162" s="39">
        <f>IF(N('Dvd Calendar'!$R$1590)=0,"",IF(('Dvd Calendar'!$R$1590&gt;=GRID_FROM)*('Dvd Calendar'!$R$1590&lt;=GRID_TO)*('Dvd Calendar'!$R$1590&gt;VAL_DATE)=0,"",'Dvd Calendar'!$R$1590*1000000000+ISNUMBER('Dvd Calendar'!$R$1591)*100000000+0*10000000+(N('Dvd Calendar'!$R$1589)&gt;0)*(N('Dvd Calendar'!$R$1589)&lt;=VAL_SERIAL)*1000000+3*1000+54))</f>
        <v/>
      </c>
      <c r="GG162" s="39">
        <f>IF(N('Dvd Calendar'!$S$1590)=0,"",IF(('Dvd Calendar'!$S$1590&gt;=GRID_FROM)*('Dvd Calendar'!$S$1590&lt;=GRID_TO)*('Dvd Calendar'!$S$1590&gt;VAL_DATE)=0,"",'Dvd Calendar'!$S$1590*1000000000+ISNUMBER('Dvd Calendar'!$S$1591)*100000000+0*10000000+(N('Dvd Calendar'!$S$1589)&gt;0)*(N('Dvd Calendar'!$S$1589)&lt;=VAL_SERIAL)*1000000+3*1000+55))</f>
        <v/>
      </c>
      <c r="GH162" s="39">
        <f>IF(N('Dvd Calendar'!$T$1590)=0,"",IF(('Dvd Calendar'!$T$1590&gt;=GRID_FROM)*('Dvd Calendar'!$T$1590&lt;=GRID_TO)*('Dvd Calendar'!$T$1590&gt;VAL_DATE)=0,"",'Dvd Calendar'!$T$1590*1000000000+ISNUMBER('Dvd Calendar'!$T$1591)*100000000+0*10000000+(N('Dvd Calendar'!$T$1589)&gt;0)*(N('Dvd Calendar'!$T$1589)&lt;=VAL_SERIAL)*1000000+3*1000+56))</f>
        <v/>
      </c>
      <c r="GI162" s="39">
        <f>IF(N('Dvd Calendar'!$U$1590)=0,"",IF(('Dvd Calendar'!$U$1590&gt;=GRID_FROM)*('Dvd Calendar'!$U$1590&lt;=GRID_TO)*('Dvd Calendar'!$U$1590&gt;VAL_DATE)=0,"",'Dvd Calendar'!$U$1590*1000000000+ISNUMBER('Dvd Calendar'!$U$1591)*100000000+0*10000000+(N('Dvd Calendar'!$U$1589)&gt;0)*(N('Dvd Calendar'!$U$1589)&lt;=VAL_SERIAL)*1000000+3*1000+57))</f>
        <v/>
      </c>
      <c r="GJ162" s="39">
        <f>IF(N('Dvd Calendar'!$V$1590)=0,"",IF(('Dvd Calendar'!$V$1590&gt;=GRID_FROM)*('Dvd Calendar'!$V$1590&lt;=GRID_TO)*('Dvd Calendar'!$V$1590&gt;VAL_DATE)=0,"",'Dvd Calendar'!$V$1590*1000000000+ISNUMBER('Dvd Calendar'!$V$1591)*100000000+0*10000000+(N('Dvd Calendar'!$V$1589)&gt;0)*(N('Dvd Calendar'!$V$1589)&lt;=VAL_SERIAL)*1000000+3*1000+58))</f>
        <v/>
      </c>
      <c r="GK162" s="39">
        <f>IF(N('Dvd Calendar'!$W$1590)=0,"",IF(('Dvd Calendar'!$W$1590&gt;=GRID_FROM)*('Dvd Calendar'!$W$1590&lt;=GRID_TO)*('Dvd Calendar'!$W$1590&gt;VAL_DATE)=0,"",'Dvd Calendar'!$W$1590*1000000000+ISNUMBER('Dvd Calendar'!$W$1591)*100000000+0*10000000+(N('Dvd Calendar'!$W$1589)&gt;0)*(N('Dvd Calendar'!$W$1589)&lt;=VAL_SERIAL)*1000000+3*1000+59))</f>
        <v/>
      </c>
      <c r="GL162" s="39">
        <f>IF(N('Dvd Calendar'!$X$1590)=0,"",IF(('Dvd Calendar'!$X$1590&gt;=GRID_FROM)*('Dvd Calendar'!$X$1590&lt;=GRID_TO)*('Dvd Calendar'!$X$1590&gt;VAL_DATE)=0,"",'Dvd Calendar'!$X$1590*1000000000+ISNUMBER('Dvd Calendar'!$X$1591)*100000000+0*10000000+(N('Dvd Calendar'!$X$1589)&gt;0)*(N('Dvd Calendar'!$X$1589)&lt;=VAL_SERIAL)*1000000+3*1000+60))</f>
        <v/>
      </c>
      <c r="GM162" s="39">
        <f>IF(N('Dvd Calendar'!$Y$1590)=0,"",IF(('Dvd Calendar'!$Y$1590&gt;=GRID_FROM)*('Dvd Calendar'!$Y$1590&lt;=GRID_TO)*('Dvd Calendar'!$Y$1590&gt;VAL_DATE)=0,"",'Dvd Calendar'!$Y$1590*1000000000+ISNUMBER('Dvd Calendar'!$Y$1591)*100000000+0*10000000+(N('Dvd Calendar'!$Y$1589)&gt;0)*(N('Dvd Calendar'!$Y$1589)&lt;=VAL_SERIAL)*1000000+3*1000+61))</f>
        <v/>
      </c>
      <c r="GN162" s="39">
        <f>IF(N('Dvd Calendar'!$Z$1590)=0,"",IF(('Dvd Calendar'!$Z$1590&gt;=GRID_FROM)*('Dvd Calendar'!$Z$1590&lt;=GRID_TO)*('Dvd Calendar'!$Z$1590&gt;VAL_DATE)=0,"",'Dvd Calendar'!$Z$1590*1000000000+ISNUMBER('Dvd Calendar'!$Z$1591)*100000000+0*10000000+(N('Dvd Calendar'!$Z$1589)&gt;0)*(N('Dvd Calendar'!$Z$1589)&lt;=VAL_SERIAL)*1000000+3*1000+62))</f>
        <v/>
      </c>
      <c r="GO162" s="39">
        <f>IF(N('Dvd Calendar'!$AA$1590)=0,"",IF(('Dvd Calendar'!$AA$1590&gt;=GRID_FROM)*('Dvd Calendar'!$AA$1590&lt;=GRID_TO)*('Dvd Calendar'!$AA$1590&gt;VAL_DATE)=0,"",'Dvd Calendar'!$AA$1590*1000000000+ISNUMBER('Dvd Calendar'!$AA$1591)*100000000+0*10000000+(N('Dvd Calendar'!$AA$1589)&gt;0)*(N('Dvd Calendar'!$AA$1589)&lt;=VAL_SERIAL)*1000000+3*1000+63))</f>
        <v/>
      </c>
      <c r="GP162" s="39">
        <f>IF(N('Dvd Calendar'!$AB$1590)=0,"",IF(('Dvd Calendar'!$AB$1590&gt;=GRID_FROM)*('Dvd Calendar'!$AB$1590&lt;=GRID_TO)*('Dvd Calendar'!$AB$1590&gt;VAL_DATE)=0,"",'Dvd Calendar'!$AB$1590*1000000000+ISNUMBER('Dvd Calendar'!$AB$1591)*100000000+0*10000000+(N('Dvd Calendar'!$AB$1589)&gt;0)*(N('Dvd Calendar'!$AB$1589)&lt;=VAL_SERIAL)*1000000+3*1000+64))</f>
        <v/>
      </c>
      <c r="GQ162" s="39">
        <f>IF(N('Dvd Calendar'!$AC$1590)=0,"",IF(('Dvd Calendar'!$AC$1590&gt;=GRID_FROM)*('Dvd Calendar'!$AC$1590&lt;=GRID_TO)*('Dvd Calendar'!$AC$1590&gt;VAL_DATE)=0,"",'Dvd Calendar'!$AC$1590*1000000000+ISNUMBER('Dvd Calendar'!$AC$1591)*100000000+0*10000000+(N('Dvd Calendar'!$AC$1589)&gt;0)*(N('Dvd Calendar'!$AC$1589)&lt;=VAL_SERIAL)*1000000+3*1000+65))</f>
        <v/>
      </c>
    </row>
    <row r="163">
      <c r="B163" s="2">
        <f>IF(HSCEI!$C$10="","",HSCEI!$C$10)</f>
        <v/>
      </c>
      <c r="C163" s="110">
        <f>IF(EE163="","",IF(ISNUMBER('Dvd Calendar'!$E$1597)=FALSE,"",IF((('Dvd Calendar'!$E$1599=TYPE1)*(TYPE1&lt;&gt;"")+('Dvd Calendar'!$E$1599=TYPE2)*(TYPE2&lt;&gt;"")+('Dvd Calendar'!$E$1599=TYPE3)*(TYPE3&lt;&gt;"")+('Dvd Calendar'!$E$1599=TYPE4)*(TYPE4&lt;&gt;"")+('Dvd Calendar'!$E$1599=SPECIAL_LBL)*(INC_SPECIALS="Y"))=0,"",'Dvd Calendar'!$E$1597)))</f>
        <v/>
      </c>
      <c r="D163" s="110">
        <f>IF(EF163="","",IF(ISNUMBER('Dvd Calendar'!$F$1597)=FALSE,"",IF((('Dvd Calendar'!$F$1599=TYPE1)*(TYPE1&lt;&gt;"")+('Dvd Calendar'!$F$1599=TYPE2)*(TYPE2&lt;&gt;"")+('Dvd Calendar'!$F$1599=TYPE3)*(TYPE3&lt;&gt;"")+('Dvd Calendar'!$F$1599=TYPE4)*(TYPE4&lt;&gt;"")+('Dvd Calendar'!$F$1599=SPECIAL_LBL)*(INC_SPECIALS="Y"))=0,"",'Dvd Calendar'!$F$1597)))</f>
        <v/>
      </c>
      <c r="E163" s="110">
        <f>IF(EG163="","",IF(ISNUMBER('Dvd Calendar'!$G$1597)=FALSE,"",IF((('Dvd Calendar'!$G$1599=TYPE1)*(TYPE1&lt;&gt;"")+('Dvd Calendar'!$G$1599=TYPE2)*(TYPE2&lt;&gt;"")+('Dvd Calendar'!$G$1599=TYPE3)*(TYPE3&lt;&gt;"")+('Dvd Calendar'!$G$1599=TYPE4)*(TYPE4&lt;&gt;"")+('Dvd Calendar'!$G$1599=SPECIAL_LBL)*(INC_SPECIALS="Y"))=0,"",'Dvd Calendar'!$G$1597)))</f>
        <v/>
      </c>
      <c r="F163" s="110">
        <f>IF(EH163="","",IF(ISNUMBER('Dvd Calendar'!$H$1597)=FALSE,"",IF((('Dvd Calendar'!$H$1599=TYPE1)*(TYPE1&lt;&gt;"")+('Dvd Calendar'!$H$1599=TYPE2)*(TYPE2&lt;&gt;"")+('Dvd Calendar'!$H$1599=TYPE3)*(TYPE3&lt;&gt;"")+('Dvd Calendar'!$H$1599=TYPE4)*(TYPE4&lt;&gt;"")+('Dvd Calendar'!$H$1599=SPECIAL_LBL)*(INC_SPECIALS="Y"))=0,"",'Dvd Calendar'!$H$1597)))</f>
        <v/>
      </c>
      <c r="G163" s="110">
        <f>IF(EI163="","",IF(ISNUMBER('Dvd Calendar'!$I$1597)=FALSE,"",IF((('Dvd Calendar'!$I$1599=TYPE1)*(TYPE1&lt;&gt;"")+('Dvd Calendar'!$I$1599=TYPE2)*(TYPE2&lt;&gt;"")+('Dvd Calendar'!$I$1599=TYPE3)*(TYPE3&lt;&gt;"")+('Dvd Calendar'!$I$1599=TYPE4)*(TYPE4&lt;&gt;"")+('Dvd Calendar'!$I$1599=SPECIAL_LBL)*(INC_SPECIALS="Y"))=0,"",'Dvd Calendar'!$I$1597)))</f>
        <v/>
      </c>
      <c r="H163" s="110">
        <f>IF(EJ163="","",IF(ISNUMBER('Dvd Calendar'!$J$1597)=FALSE,"",IF((('Dvd Calendar'!$J$1599=TYPE1)*(TYPE1&lt;&gt;"")+('Dvd Calendar'!$J$1599=TYPE2)*(TYPE2&lt;&gt;"")+('Dvd Calendar'!$J$1599=TYPE3)*(TYPE3&lt;&gt;"")+('Dvd Calendar'!$J$1599=TYPE4)*(TYPE4&lt;&gt;"")+('Dvd Calendar'!$J$1599=SPECIAL_LBL)*(INC_SPECIALS="Y"))=0,"",'Dvd Calendar'!$J$1597)))</f>
        <v/>
      </c>
      <c r="I163" s="110">
        <f>IF(EK163="","",IF(ISNUMBER('Dvd Calendar'!$K$1597)=FALSE,"",IF((('Dvd Calendar'!$K$1599=TYPE1)*(TYPE1&lt;&gt;"")+('Dvd Calendar'!$K$1599=TYPE2)*(TYPE2&lt;&gt;"")+('Dvd Calendar'!$K$1599=TYPE3)*(TYPE3&lt;&gt;"")+('Dvd Calendar'!$K$1599=TYPE4)*(TYPE4&lt;&gt;"")+('Dvd Calendar'!$K$1599=SPECIAL_LBL)*(INC_SPECIALS="Y"))=0,"",'Dvd Calendar'!$K$1597)))</f>
        <v/>
      </c>
      <c r="J163" s="110">
        <f>IF(EL163="","",IF(ISNUMBER('Dvd Calendar'!$L$1597)=FALSE,"",IF((('Dvd Calendar'!$L$1599=TYPE1)*(TYPE1&lt;&gt;"")+('Dvd Calendar'!$L$1599=TYPE2)*(TYPE2&lt;&gt;"")+('Dvd Calendar'!$L$1599=TYPE3)*(TYPE3&lt;&gt;"")+('Dvd Calendar'!$L$1599=TYPE4)*(TYPE4&lt;&gt;"")+('Dvd Calendar'!$L$1599=SPECIAL_LBL)*(INC_SPECIALS="Y"))=0,"",'Dvd Calendar'!$L$1597)))</f>
        <v/>
      </c>
      <c r="K163" s="110">
        <f>IF(EM163="","",IF(ISNUMBER('Dvd Calendar'!$M$1597)=FALSE,"",IF((('Dvd Calendar'!$M$1599=TYPE1)*(TYPE1&lt;&gt;"")+('Dvd Calendar'!$M$1599=TYPE2)*(TYPE2&lt;&gt;"")+('Dvd Calendar'!$M$1599=TYPE3)*(TYPE3&lt;&gt;"")+('Dvd Calendar'!$M$1599=TYPE4)*(TYPE4&lt;&gt;"")+('Dvd Calendar'!$M$1599=SPECIAL_LBL)*(INC_SPECIALS="Y"))=0,"",'Dvd Calendar'!$M$1597)))</f>
        <v/>
      </c>
      <c r="L163" s="110">
        <f>IF(EN163="","",IF(ISNUMBER('Dvd Calendar'!$N$1597)=FALSE,"",IF((('Dvd Calendar'!$N$1599=TYPE1)*(TYPE1&lt;&gt;"")+('Dvd Calendar'!$N$1599=TYPE2)*(TYPE2&lt;&gt;"")+('Dvd Calendar'!$N$1599=TYPE3)*(TYPE3&lt;&gt;"")+('Dvd Calendar'!$N$1599=TYPE4)*(TYPE4&lt;&gt;"")+('Dvd Calendar'!$N$1599=SPECIAL_LBL)*(INC_SPECIALS="Y"))=0,"",'Dvd Calendar'!$N$1597)))</f>
        <v/>
      </c>
      <c r="M163" s="110">
        <f>IF(EO163="","",IF(ISNUMBER('Dvd Calendar'!$O$1597)=FALSE,"",IF((('Dvd Calendar'!$O$1599=TYPE1)*(TYPE1&lt;&gt;"")+('Dvd Calendar'!$O$1599=TYPE2)*(TYPE2&lt;&gt;"")+('Dvd Calendar'!$O$1599=TYPE3)*(TYPE3&lt;&gt;"")+('Dvd Calendar'!$O$1599=TYPE4)*(TYPE4&lt;&gt;"")+('Dvd Calendar'!$O$1599=SPECIAL_LBL)*(INC_SPECIALS="Y"))=0,"",'Dvd Calendar'!$O$1597)))</f>
        <v/>
      </c>
      <c r="N163" s="110">
        <f>IF(EP163="","",IF(ISNUMBER('Dvd Calendar'!$P$1597)=FALSE,"",IF((('Dvd Calendar'!$P$1599=TYPE1)*(TYPE1&lt;&gt;"")+('Dvd Calendar'!$P$1599=TYPE2)*(TYPE2&lt;&gt;"")+('Dvd Calendar'!$P$1599=TYPE3)*(TYPE3&lt;&gt;"")+('Dvd Calendar'!$P$1599=TYPE4)*(TYPE4&lt;&gt;"")+('Dvd Calendar'!$P$1599=SPECIAL_LBL)*(INC_SPECIALS="Y"))=0,"",'Dvd Calendar'!$P$1597)))</f>
        <v/>
      </c>
      <c r="O163" s="110">
        <f>IF(EQ163="","",IF(ISNUMBER('Dvd Calendar'!$Q$1597)=FALSE,"",IF((('Dvd Calendar'!$Q$1599=TYPE1)*(TYPE1&lt;&gt;"")+('Dvd Calendar'!$Q$1599=TYPE2)*(TYPE2&lt;&gt;"")+('Dvd Calendar'!$Q$1599=TYPE3)*(TYPE3&lt;&gt;"")+('Dvd Calendar'!$Q$1599=TYPE4)*(TYPE4&lt;&gt;"")+('Dvd Calendar'!$Q$1599=SPECIAL_LBL)*(INC_SPECIALS="Y"))=0,"",'Dvd Calendar'!$Q$1597)))</f>
        <v/>
      </c>
      <c r="P163" s="110">
        <f>IF(ER163="","",IF(ISNUMBER('Dvd Calendar'!$R$1597)=FALSE,"",IF((('Dvd Calendar'!$R$1599=TYPE1)*(TYPE1&lt;&gt;"")+('Dvd Calendar'!$R$1599=TYPE2)*(TYPE2&lt;&gt;"")+('Dvd Calendar'!$R$1599=TYPE3)*(TYPE3&lt;&gt;"")+('Dvd Calendar'!$R$1599=TYPE4)*(TYPE4&lt;&gt;"")+('Dvd Calendar'!$R$1599=SPECIAL_LBL)*(INC_SPECIALS="Y"))=0,"",'Dvd Calendar'!$R$1597)))</f>
        <v/>
      </c>
      <c r="Q163" s="110">
        <f>IF(ES163="","",IF(ISNUMBER('Dvd Calendar'!$S$1597)=FALSE,"",IF((('Dvd Calendar'!$S$1599=TYPE1)*(TYPE1&lt;&gt;"")+('Dvd Calendar'!$S$1599=TYPE2)*(TYPE2&lt;&gt;"")+('Dvd Calendar'!$S$1599=TYPE3)*(TYPE3&lt;&gt;"")+('Dvd Calendar'!$S$1599=TYPE4)*(TYPE4&lt;&gt;"")+('Dvd Calendar'!$S$1599=SPECIAL_LBL)*(INC_SPECIALS="Y"))=0,"",'Dvd Calendar'!$S$1597)))</f>
        <v/>
      </c>
      <c r="R163" s="110">
        <f>IF(ET163="","",IF(ISNUMBER('Dvd Calendar'!$T$1597)=FALSE,"",IF((('Dvd Calendar'!$T$1599=TYPE1)*(TYPE1&lt;&gt;"")+('Dvd Calendar'!$T$1599=TYPE2)*(TYPE2&lt;&gt;"")+('Dvd Calendar'!$T$1599=TYPE3)*(TYPE3&lt;&gt;"")+('Dvd Calendar'!$T$1599=TYPE4)*(TYPE4&lt;&gt;"")+('Dvd Calendar'!$T$1599=SPECIAL_LBL)*(INC_SPECIALS="Y"))=0,"",'Dvd Calendar'!$T$1597)))</f>
        <v/>
      </c>
      <c r="S163" s="110">
        <f>IF(EU163="","",IF(ISNUMBER('Dvd Calendar'!$U$1597)=FALSE,"",IF((('Dvd Calendar'!$U$1599=TYPE1)*(TYPE1&lt;&gt;"")+('Dvd Calendar'!$U$1599=TYPE2)*(TYPE2&lt;&gt;"")+('Dvd Calendar'!$U$1599=TYPE3)*(TYPE3&lt;&gt;"")+('Dvd Calendar'!$U$1599=TYPE4)*(TYPE4&lt;&gt;"")+('Dvd Calendar'!$U$1599=SPECIAL_LBL)*(INC_SPECIALS="Y"))=0,"",'Dvd Calendar'!$U$1597)))</f>
        <v/>
      </c>
      <c r="T163" s="110">
        <f>IF(EV163="","",IF(ISNUMBER('Dvd Calendar'!$V$1597)=FALSE,"",IF((('Dvd Calendar'!$V$1599=TYPE1)*(TYPE1&lt;&gt;"")+('Dvd Calendar'!$V$1599=TYPE2)*(TYPE2&lt;&gt;"")+('Dvd Calendar'!$V$1599=TYPE3)*(TYPE3&lt;&gt;"")+('Dvd Calendar'!$V$1599=TYPE4)*(TYPE4&lt;&gt;"")+('Dvd Calendar'!$V$1599=SPECIAL_LBL)*(INC_SPECIALS="Y"))=0,"",'Dvd Calendar'!$V$1597)))</f>
        <v/>
      </c>
      <c r="U163" s="110">
        <f>IF(EW163="","",IF(ISNUMBER('Dvd Calendar'!$W$1597)=FALSE,"",IF((('Dvd Calendar'!$W$1599=TYPE1)*(TYPE1&lt;&gt;"")+('Dvd Calendar'!$W$1599=TYPE2)*(TYPE2&lt;&gt;"")+('Dvd Calendar'!$W$1599=TYPE3)*(TYPE3&lt;&gt;"")+('Dvd Calendar'!$W$1599=TYPE4)*(TYPE4&lt;&gt;"")+('Dvd Calendar'!$W$1599=SPECIAL_LBL)*(INC_SPECIALS="Y"))=0,"",'Dvd Calendar'!$W$1597)))</f>
        <v/>
      </c>
      <c r="V163" s="110">
        <f>IF(EX163="","",IF(ISNUMBER('Dvd Calendar'!$X$1597)=FALSE,"",IF((('Dvd Calendar'!$X$1599=TYPE1)*(TYPE1&lt;&gt;"")+('Dvd Calendar'!$X$1599=TYPE2)*(TYPE2&lt;&gt;"")+('Dvd Calendar'!$X$1599=TYPE3)*(TYPE3&lt;&gt;"")+('Dvd Calendar'!$X$1599=TYPE4)*(TYPE4&lt;&gt;"")+('Dvd Calendar'!$X$1599=SPECIAL_LBL)*(INC_SPECIALS="Y"))=0,"",'Dvd Calendar'!$X$1597)))</f>
        <v/>
      </c>
      <c r="W163" s="110">
        <f>IF(EY163="","",IF(ISNUMBER('Dvd Calendar'!$Y$1597)=FALSE,"",IF((('Dvd Calendar'!$Y$1599=TYPE1)*(TYPE1&lt;&gt;"")+('Dvd Calendar'!$Y$1599=TYPE2)*(TYPE2&lt;&gt;"")+('Dvd Calendar'!$Y$1599=TYPE3)*(TYPE3&lt;&gt;"")+('Dvd Calendar'!$Y$1599=TYPE4)*(TYPE4&lt;&gt;"")+('Dvd Calendar'!$Y$1599=SPECIAL_LBL)*(INC_SPECIALS="Y"))=0,"",'Dvd Calendar'!$Y$1597)))</f>
        <v/>
      </c>
      <c r="X163" s="110">
        <f>IF(EZ163="","",IF(ISNUMBER('Dvd Calendar'!$Z$1597)=FALSE,"",IF((('Dvd Calendar'!$Z$1599=TYPE1)*(TYPE1&lt;&gt;"")+('Dvd Calendar'!$Z$1599=TYPE2)*(TYPE2&lt;&gt;"")+('Dvd Calendar'!$Z$1599=TYPE3)*(TYPE3&lt;&gt;"")+('Dvd Calendar'!$Z$1599=TYPE4)*(TYPE4&lt;&gt;"")+('Dvd Calendar'!$Z$1599=SPECIAL_LBL)*(INC_SPECIALS="Y"))=0,"",'Dvd Calendar'!$Z$1597)))</f>
        <v/>
      </c>
      <c r="Y163" s="110">
        <f>IF(FA163="","",IF(ISNUMBER('Dvd Calendar'!$AA$1597)=FALSE,"",IF((('Dvd Calendar'!$AA$1599=TYPE1)*(TYPE1&lt;&gt;"")+('Dvd Calendar'!$AA$1599=TYPE2)*(TYPE2&lt;&gt;"")+('Dvd Calendar'!$AA$1599=TYPE3)*(TYPE3&lt;&gt;"")+('Dvd Calendar'!$AA$1599=TYPE4)*(TYPE4&lt;&gt;"")+('Dvd Calendar'!$AA$1599=SPECIAL_LBL)*(INC_SPECIALS="Y"))=0,"",'Dvd Calendar'!$AA$1597)))</f>
        <v/>
      </c>
      <c r="Z163" s="110">
        <f>IF(FB163="","",IF(ISNUMBER('Dvd Calendar'!$AB$1597)=FALSE,"",IF((('Dvd Calendar'!$AB$1599=TYPE1)*(TYPE1&lt;&gt;"")+('Dvd Calendar'!$AB$1599=TYPE2)*(TYPE2&lt;&gt;"")+('Dvd Calendar'!$AB$1599=TYPE3)*(TYPE3&lt;&gt;"")+('Dvd Calendar'!$AB$1599=TYPE4)*(TYPE4&lt;&gt;"")+('Dvd Calendar'!$AB$1599=SPECIAL_LBL)*(INC_SPECIALS="Y"))=0,"",'Dvd Calendar'!$AB$1597)))</f>
        <v/>
      </c>
      <c r="AA163" s="110">
        <f>IF(FC163="","",IF(ISNUMBER('Dvd Calendar'!$AC$1597)=FALSE,"",IF((('Dvd Calendar'!$AC$1599=TYPE1)*(TYPE1&lt;&gt;"")+('Dvd Calendar'!$AC$1599=TYPE2)*(TYPE2&lt;&gt;"")+('Dvd Calendar'!$AC$1599=TYPE3)*(TYPE3&lt;&gt;"")+('Dvd Calendar'!$AC$1599=TYPE4)*(TYPE4&lt;&gt;"")+('Dvd Calendar'!$AC$1599=SPECIAL_LBL)*(INC_SPECIALS="Y"))=0,"",'Dvd Calendar'!$AC$1597)))</f>
        <v/>
      </c>
      <c r="AB163" s="110">
        <f>IF(FD163="","",IF(ISNUMBER('Dvd Calendar'!$AD$1597)=FALSE,"",IF((('Dvd Calendar'!$AD$1599=TYPE1)*(TYPE1&lt;&gt;"")+('Dvd Calendar'!$AD$1599=TYPE2)*(TYPE2&lt;&gt;"")+('Dvd Calendar'!$AD$1599=TYPE3)*(TYPE3&lt;&gt;"")+('Dvd Calendar'!$AD$1599=TYPE4)*(TYPE4&lt;&gt;"")+('Dvd Calendar'!$AD$1599=SPECIAL_LBL)*(INC_SPECIALS="Y"))=0,"",'Dvd Calendar'!$AD$1597)))</f>
        <v/>
      </c>
      <c r="AC163" s="110">
        <f>IF(FE163="","",IF(ISNUMBER('Dvd Calendar'!$AE$1597)=FALSE,"",IF((('Dvd Calendar'!$AE$1599=TYPE1)*(TYPE1&lt;&gt;"")+('Dvd Calendar'!$AE$1599=TYPE2)*(TYPE2&lt;&gt;"")+('Dvd Calendar'!$AE$1599=TYPE3)*(TYPE3&lt;&gt;"")+('Dvd Calendar'!$AE$1599=TYPE4)*(TYPE4&lt;&gt;"")+('Dvd Calendar'!$AE$1599=SPECIAL_LBL)*(INC_SPECIALS="Y"))=0,"",'Dvd Calendar'!$AE$1597)))</f>
        <v/>
      </c>
      <c r="AD163" s="110">
        <f>IF(FF163="","",IF(ISNUMBER('Dvd Calendar'!$AF$1597)=FALSE,"",IF((('Dvd Calendar'!$AF$1599=TYPE1)*(TYPE1&lt;&gt;"")+('Dvd Calendar'!$AF$1599=TYPE2)*(TYPE2&lt;&gt;"")+('Dvd Calendar'!$AF$1599=TYPE3)*(TYPE3&lt;&gt;"")+('Dvd Calendar'!$AF$1599=TYPE4)*(TYPE4&lt;&gt;"")+('Dvd Calendar'!$AF$1599=SPECIAL_LBL)*(INC_SPECIALS="Y"))=0,"",'Dvd Calendar'!$AF$1597)))</f>
        <v/>
      </c>
      <c r="AE163" s="110">
        <f>IF(FG163="","",IF(ISNUMBER('Dvd Calendar'!$AG$1597)=FALSE,"",IF((('Dvd Calendar'!$AG$1599=TYPE1)*(TYPE1&lt;&gt;"")+('Dvd Calendar'!$AG$1599=TYPE2)*(TYPE2&lt;&gt;"")+('Dvd Calendar'!$AG$1599=TYPE3)*(TYPE3&lt;&gt;"")+('Dvd Calendar'!$AG$1599=TYPE4)*(TYPE4&lt;&gt;"")+('Dvd Calendar'!$AG$1599=SPECIAL_LBL)*(INC_SPECIALS="Y"))=0,"",'Dvd Calendar'!$AG$1597)))</f>
        <v/>
      </c>
      <c r="AF163" s="110">
        <f>IF(FH163="","",IF(ISNUMBER('Dvd Calendar'!$AH$1597)=FALSE,"",IF((('Dvd Calendar'!$AH$1599=TYPE1)*(TYPE1&lt;&gt;"")+('Dvd Calendar'!$AH$1599=TYPE2)*(TYPE2&lt;&gt;"")+('Dvd Calendar'!$AH$1599=TYPE3)*(TYPE3&lt;&gt;"")+('Dvd Calendar'!$AH$1599=TYPE4)*(TYPE4&lt;&gt;"")+('Dvd Calendar'!$AH$1599=SPECIAL_LBL)*(INC_SPECIALS="Y"))=0,"",'Dvd Calendar'!$AH$1597)))</f>
        <v/>
      </c>
      <c r="AG163" s="110">
        <f>IF(FI163="","",IF(ISNUMBER('Dvd Calendar'!$AI$1597)=FALSE,"",IF((('Dvd Calendar'!$AI$1599=TYPE1)*(TYPE1&lt;&gt;"")+('Dvd Calendar'!$AI$1599=TYPE2)*(TYPE2&lt;&gt;"")+('Dvd Calendar'!$AI$1599=TYPE3)*(TYPE3&lt;&gt;"")+('Dvd Calendar'!$AI$1599=TYPE4)*(TYPE4&lt;&gt;"")+('Dvd Calendar'!$AI$1599=SPECIAL_LBL)*(INC_SPECIALS="Y"))=0,"",'Dvd Calendar'!$AI$1597)))</f>
        <v/>
      </c>
      <c r="AH163" s="110">
        <f>IF(FJ163="","",IF(ISNUMBER('Dvd Calendar'!$AJ$1597)=FALSE,"",IF((('Dvd Calendar'!$AJ$1599=TYPE1)*(TYPE1&lt;&gt;"")+('Dvd Calendar'!$AJ$1599=TYPE2)*(TYPE2&lt;&gt;"")+('Dvd Calendar'!$AJ$1599=TYPE3)*(TYPE3&lt;&gt;"")+('Dvd Calendar'!$AJ$1599=TYPE4)*(TYPE4&lt;&gt;"")+('Dvd Calendar'!$AJ$1599=SPECIAL_LBL)*(INC_SPECIALS="Y"))=0,"",'Dvd Calendar'!$AJ$1597)))</f>
        <v/>
      </c>
      <c r="AI163" s="110">
        <f>IF(FK163="","",IF(ISNUMBER('Dvd Calendar'!$AK$1597)=FALSE,"",IF((('Dvd Calendar'!$AK$1599=TYPE1)*(TYPE1&lt;&gt;"")+('Dvd Calendar'!$AK$1599=TYPE2)*(TYPE2&lt;&gt;"")+('Dvd Calendar'!$AK$1599=TYPE3)*(TYPE3&lt;&gt;"")+('Dvd Calendar'!$AK$1599=TYPE4)*(TYPE4&lt;&gt;"")+('Dvd Calendar'!$AK$1599=SPECIAL_LBL)*(INC_SPECIALS="Y"))=0,"",'Dvd Calendar'!$AK$1597)))</f>
        <v/>
      </c>
      <c r="AJ163" s="110">
        <f>IF(FL163="","",IF(ISNUMBER('Dvd Calendar'!$AL$1597)=FALSE,"",IF((('Dvd Calendar'!$AL$1599=TYPE1)*(TYPE1&lt;&gt;"")+('Dvd Calendar'!$AL$1599=TYPE2)*(TYPE2&lt;&gt;"")+('Dvd Calendar'!$AL$1599=TYPE3)*(TYPE3&lt;&gt;"")+('Dvd Calendar'!$AL$1599=TYPE4)*(TYPE4&lt;&gt;"")+('Dvd Calendar'!$AL$1599=SPECIAL_LBL)*(INC_SPECIALS="Y"))=0,"",'Dvd Calendar'!$AL$1597)))</f>
        <v/>
      </c>
      <c r="AK163" s="110">
        <f>IF(FM163="","",IF(ISNUMBER('Dvd Calendar'!$AM$1597)=FALSE,"",IF((('Dvd Calendar'!$AM$1599=TYPE1)*(TYPE1&lt;&gt;"")+('Dvd Calendar'!$AM$1599=TYPE2)*(TYPE2&lt;&gt;"")+('Dvd Calendar'!$AM$1599=TYPE3)*(TYPE3&lt;&gt;"")+('Dvd Calendar'!$AM$1599=TYPE4)*(TYPE4&lt;&gt;"")+('Dvd Calendar'!$AM$1599=SPECIAL_LBL)*(INC_SPECIALS="Y"))=0,"",'Dvd Calendar'!$AM$1597)))</f>
        <v/>
      </c>
      <c r="AL163" s="110">
        <f>IF(FN163="","",IF(ISNUMBER('Dvd Calendar'!$AN$1597)=FALSE,"",IF((('Dvd Calendar'!$AN$1599=TYPE1)*(TYPE1&lt;&gt;"")+('Dvd Calendar'!$AN$1599=TYPE2)*(TYPE2&lt;&gt;"")+('Dvd Calendar'!$AN$1599=TYPE3)*(TYPE3&lt;&gt;"")+('Dvd Calendar'!$AN$1599=TYPE4)*(TYPE4&lt;&gt;"")+('Dvd Calendar'!$AN$1599=SPECIAL_LBL)*(INC_SPECIALS="Y"))=0,"",'Dvd Calendar'!$AN$1597)))</f>
        <v/>
      </c>
      <c r="AM163" s="110">
        <f>IF(FO163="","",IF(ISNUMBER('Dvd Calendar'!$AO$1597)=FALSE,"",IF((('Dvd Calendar'!$AO$1599=TYPE1)*(TYPE1&lt;&gt;"")+('Dvd Calendar'!$AO$1599=TYPE2)*(TYPE2&lt;&gt;"")+('Dvd Calendar'!$AO$1599=TYPE3)*(TYPE3&lt;&gt;"")+('Dvd Calendar'!$AO$1599=TYPE4)*(TYPE4&lt;&gt;"")+('Dvd Calendar'!$AO$1599=SPECIAL_LBL)*(INC_SPECIALS="Y"))=0,"",'Dvd Calendar'!$AO$1597)))</f>
        <v/>
      </c>
      <c r="AN163" s="110">
        <f>IF(FP163="","",IF(ISNUMBER('Dvd Calendar'!$AP$1597)=FALSE,"",IF((('Dvd Calendar'!$AP$1599=TYPE1)*(TYPE1&lt;&gt;"")+('Dvd Calendar'!$AP$1599=TYPE2)*(TYPE2&lt;&gt;"")+('Dvd Calendar'!$AP$1599=TYPE3)*(TYPE3&lt;&gt;"")+('Dvd Calendar'!$AP$1599=TYPE4)*(TYPE4&lt;&gt;"")+('Dvd Calendar'!$AP$1599=SPECIAL_LBL)*(INC_SPECIALS="Y"))=0,"",'Dvd Calendar'!$AP$1597)))</f>
        <v/>
      </c>
      <c r="AO163" s="110">
        <f>IF(FQ163="","",IF(ISNUMBER('Dvd Calendar'!$AQ$1597)=FALSE,"",IF((('Dvd Calendar'!$AQ$1599=TYPE1)*(TYPE1&lt;&gt;"")+('Dvd Calendar'!$AQ$1599=TYPE2)*(TYPE2&lt;&gt;"")+('Dvd Calendar'!$AQ$1599=TYPE3)*(TYPE3&lt;&gt;"")+('Dvd Calendar'!$AQ$1599=TYPE4)*(TYPE4&lt;&gt;"")+('Dvd Calendar'!$AQ$1599=SPECIAL_LBL)*(INC_SPECIALS="Y"))=0,"",'Dvd Calendar'!$AQ$1597)))</f>
        <v/>
      </c>
      <c r="AP163" s="110">
        <f>IF(FR163="","",IF(ISNUMBER('Dvd Calendar'!$AR$1597)=FALSE,"",IF((('Dvd Calendar'!$AR$1599=TYPE1)*(TYPE1&lt;&gt;"")+('Dvd Calendar'!$AR$1599=TYPE2)*(TYPE2&lt;&gt;"")+('Dvd Calendar'!$AR$1599=TYPE3)*(TYPE3&lt;&gt;"")+('Dvd Calendar'!$AR$1599=TYPE4)*(TYPE4&lt;&gt;"")+('Dvd Calendar'!$AR$1599=SPECIAL_LBL)*(INC_SPECIALS="Y"))=0,"",'Dvd Calendar'!$AR$1597)))</f>
        <v/>
      </c>
      <c r="AQ163" s="110">
        <f>IF(FS163="","",IF(ISNUMBER('Dvd Calendar'!$E$1602)=FALSE,"",'Dvd Calendar'!$E$1602))</f>
        <v/>
      </c>
      <c r="AR163" s="110">
        <f>IF(FT163="","",IF(ISNUMBER('Dvd Calendar'!$F$1602)=FALSE,"",'Dvd Calendar'!$F$1602))</f>
        <v/>
      </c>
      <c r="AS163" s="110">
        <f>IF(FU163="","",IF(ISNUMBER('Dvd Calendar'!$G$1602)=FALSE,"",'Dvd Calendar'!$G$1602))</f>
        <v/>
      </c>
      <c r="AT163" s="110">
        <f>IF(FV163="","",IF(ISNUMBER('Dvd Calendar'!$H$1602)=FALSE,"",'Dvd Calendar'!$H$1602))</f>
        <v/>
      </c>
      <c r="AU163" s="110">
        <f>IF(FW163="","",IF(ISNUMBER('Dvd Calendar'!$I$1602)=FALSE,"",'Dvd Calendar'!$I$1602))</f>
        <v/>
      </c>
      <c r="AV163" s="110">
        <f>IF(FX163="","",IF(ISNUMBER('Dvd Calendar'!$J$1602)=FALSE,"",'Dvd Calendar'!$J$1602))</f>
        <v/>
      </c>
      <c r="AW163" s="110">
        <f>IF(FY163="","",IF(ISNUMBER('Dvd Calendar'!$K$1602)=FALSE,"",'Dvd Calendar'!$K$1602))</f>
        <v/>
      </c>
      <c r="AX163" s="110">
        <f>IF(FZ163="","",IF(ISNUMBER('Dvd Calendar'!$L$1602)=FALSE,"",'Dvd Calendar'!$L$1602))</f>
        <v/>
      </c>
      <c r="AY163" s="110">
        <f>IF(GA163="","",IF(ISNUMBER('Dvd Calendar'!$M$1602)=FALSE,"",'Dvd Calendar'!$M$1602))</f>
        <v/>
      </c>
      <c r="AZ163" s="110">
        <f>IF(GB163="","",IF(ISNUMBER('Dvd Calendar'!$N$1602)=FALSE,"",'Dvd Calendar'!$N$1602))</f>
        <v/>
      </c>
      <c r="BA163" s="110">
        <f>IF(GC163="","",IF(ISNUMBER('Dvd Calendar'!$O$1602)=FALSE,"",'Dvd Calendar'!$O$1602))</f>
        <v/>
      </c>
      <c r="BB163" s="110">
        <f>IF(GD163="","",IF(ISNUMBER('Dvd Calendar'!$P$1602)=FALSE,"",'Dvd Calendar'!$P$1602))</f>
        <v/>
      </c>
      <c r="BC163" s="110">
        <f>IF(GE163="","",IF(ISNUMBER('Dvd Calendar'!$Q$1602)=FALSE,"",'Dvd Calendar'!$Q$1602))</f>
        <v/>
      </c>
      <c r="BD163" s="110">
        <f>IF(GF163="","",IF(ISNUMBER('Dvd Calendar'!$R$1602)=FALSE,"",'Dvd Calendar'!$R$1602))</f>
        <v/>
      </c>
      <c r="BE163" s="110">
        <f>IF(GG163="","",IF(ISNUMBER('Dvd Calendar'!$S$1602)=FALSE,"",'Dvd Calendar'!$S$1602))</f>
        <v/>
      </c>
      <c r="BF163" s="110">
        <f>IF(GH163="","",IF(ISNUMBER('Dvd Calendar'!$T$1602)=FALSE,"",'Dvd Calendar'!$T$1602))</f>
        <v/>
      </c>
      <c r="BG163" s="110">
        <f>IF(GI163="","",IF(ISNUMBER('Dvd Calendar'!$U$1602)=FALSE,"",'Dvd Calendar'!$U$1602))</f>
        <v/>
      </c>
      <c r="BH163" s="110">
        <f>IF(GJ163="","",IF(ISNUMBER('Dvd Calendar'!$V$1602)=FALSE,"",'Dvd Calendar'!$V$1602))</f>
        <v/>
      </c>
      <c r="BI163" s="110">
        <f>IF(GK163="","",IF(ISNUMBER('Dvd Calendar'!$W$1602)=FALSE,"",'Dvd Calendar'!$W$1602))</f>
        <v/>
      </c>
      <c r="BJ163" s="110">
        <f>IF(GL163="","",IF(ISNUMBER('Dvd Calendar'!$X$1602)=FALSE,"",'Dvd Calendar'!$X$1602))</f>
        <v/>
      </c>
      <c r="BK163" s="110">
        <f>IF(GM163="","",IF(ISNUMBER('Dvd Calendar'!$Y$1602)=FALSE,"",'Dvd Calendar'!$Y$1602))</f>
        <v/>
      </c>
      <c r="BL163" s="110">
        <f>IF(GN163="","",IF(ISNUMBER('Dvd Calendar'!$Z$1602)=FALSE,"",'Dvd Calendar'!$Z$1602))</f>
        <v/>
      </c>
      <c r="BM163" s="110">
        <f>IF(GO163="","",IF(ISNUMBER('Dvd Calendar'!$AA$1602)=FALSE,"",'Dvd Calendar'!$AA$1602))</f>
        <v/>
      </c>
      <c r="BN163" s="110">
        <f>IF(GP163="","",IF(ISNUMBER('Dvd Calendar'!$AB$1602)=FALSE,"",'Dvd Calendar'!$AB$1602))</f>
        <v/>
      </c>
      <c r="BO163" s="110">
        <f>IF(GQ163="","",IF(ISNUMBER('Dvd Calendar'!$AC$1602)=FALSE,"",'Dvd Calendar'!$AC$1602))</f>
        <v/>
      </c>
      <c r="BQ163" s="110">
        <f>IF(C163="","",IFERROR(C163*HSCEI!$B$10*HSCEI!$G$10/HSCEI!$B$3,""))</f>
        <v/>
      </c>
      <c r="BR163" s="110">
        <f>IF(D163="","",IFERROR(D163*HSCEI!$B$10*HSCEI!$G$10/HSCEI!$B$3,""))</f>
        <v/>
      </c>
      <c r="BS163" s="110">
        <f>IF(E163="","",IFERROR(E163*HSCEI!$B$10*HSCEI!$G$10/HSCEI!$B$3,""))</f>
        <v/>
      </c>
      <c r="BT163" s="110">
        <f>IF(F163="","",IFERROR(F163*HSCEI!$B$10*HSCEI!$G$10/HSCEI!$B$3,""))</f>
        <v/>
      </c>
      <c r="BU163" s="110">
        <f>IF(G163="","",IFERROR(G163*HSCEI!$B$10*HSCEI!$G$10/HSCEI!$B$3,""))</f>
        <v/>
      </c>
      <c r="BV163" s="110">
        <f>IF(H163="","",IFERROR(H163*HSCEI!$B$10*HSCEI!$G$10/HSCEI!$B$3,""))</f>
        <v/>
      </c>
      <c r="BW163" s="110">
        <f>IF(I163="","",IFERROR(I163*HSCEI!$B$10*HSCEI!$G$10/HSCEI!$B$3,""))</f>
        <v/>
      </c>
      <c r="BX163" s="110">
        <f>IF(J163="","",IFERROR(J163*HSCEI!$B$10*HSCEI!$G$10/HSCEI!$B$3,""))</f>
        <v/>
      </c>
      <c r="BY163" s="110">
        <f>IF(K163="","",IFERROR(K163*HSCEI!$B$10*HSCEI!$G$10/HSCEI!$B$3,""))</f>
        <v/>
      </c>
      <c r="BZ163" s="110">
        <f>IF(L163="","",IFERROR(L163*HSCEI!$B$10*HSCEI!$G$10/HSCEI!$B$3,""))</f>
        <v/>
      </c>
      <c r="CA163" s="110">
        <f>IF(M163="","",IFERROR(M163*HSCEI!$B$10*HSCEI!$G$10/HSCEI!$B$3,""))</f>
        <v/>
      </c>
      <c r="CB163" s="110">
        <f>IF(N163="","",IFERROR(N163*HSCEI!$B$10*HSCEI!$G$10/HSCEI!$B$3,""))</f>
        <v/>
      </c>
      <c r="CC163" s="110">
        <f>IF(O163="","",IFERROR(O163*HSCEI!$B$10*HSCEI!$G$10/HSCEI!$B$3,""))</f>
        <v/>
      </c>
      <c r="CD163" s="110">
        <f>IF(P163="","",IFERROR(P163*HSCEI!$B$10*HSCEI!$G$10/HSCEI!$B$3,""))</f>
        <v/>
      </c>
      <c r="CE163" s="110">
        <f>IF(Q163="","",IFERROR(Q163*HSCEI!$B$10*HSCEI!$G$10/HSCEI!$B$3,""))</f>
        <v/>
      </c>
      <c r="CF163" s="110">
        <f>IF(R163="","",IFERROR(R163*HSCEI!$B$10*HSCEI!$G$10/HSCEI!$B$3,""))</f>
        <v/>
      </c>
      <c r="CG163" s="110">
        <f>IF(S163="","",IFERROR(S163*HSCEI!$B$10*HSCEI!$G$10/HSCEI!$B$3,""))</f>
        <v/>
      </c>
      <c r="CH163" s="110">
        <f>IF(T163="","",IFERROR(T163*HSCEI!$B$10*HSCEI!$G$10/HSCEI!$B$3,""))</f>
        <v/>
      </c>
      <c r="CI163" s="110">
        <f>IF(U163="","",IFERROR(U163*HSCEI!$B$10*HSCEI!$G$10/HSCEI!$B$3,""))</f>
        <v/>
      </c>
      <c r="CJ163" s="110">
        <f>IF(V163="","",IFERROR(V163*HSCEI!$B$10*HSCEI!$G$10/HSCEI!$B$3,""))</f>
        <v/>
      </c>
      <c r="CK163" s="110">
        <f>IF(W163="","",IFERROR(W163*HSCEI!$B$10*HSCEI!$G$10/HSCEI!$B$3,""))</f>
        <v/>
      </c>
      <c r="CL163" s="110">
        <f>IF(X163="","",IFERROR(X163*HSCEI!$B$10*HSCEI!$G$10/HSCEI!$B$3,""))</f>
        <v/>
      </c>
      <c r="CM163" s="110">
        <f>IF(Y163="","",IFERROR(Y163*HSCEI!$B$10*HSCEI!$G$10/HSCEI!$B$3,""))</f>
        <v/>
      </c>
      <c r="CN163" s="110">
        <f>IF(Z163="","",IFERROR(Z163*HSCEI!$B$10*HSCEI!$G$10/HSCEI!$B$3,""))</f>
        <v/>
      </c>
      <c r="CO163" s="110">
        <f>IF(AA163="","",IFERROR(AA163*HSCEI!$B$10*HSCEI!$G$10/HSCEI!$B$3,""))</f>
        <v/>
      </c>
      <c r="CP163" s="110">
        <f>IF(AB163="","",IFERROR(AB163*HSCEI!$B$10*HSCEI!$G$10/HSCEI!$B$3,""))</f>
        <v/>
      </c>
      <c r="CQ163" s="110">
        <f>IF(AC163="","",IFERROR(AC163*HSCEI!$B$10*HSCEI!$G$10/HSCEI!$B$3,""))</f>
        <v/>
      </c>
      <c r="CR163" s="110">
        <f>IF(AD163="","",IFERROR(AD163*HSCEI!$B$10*HSCEI!$G$10/HSCEI!$B$3,""))</f>
        <v/>
      </c>
      <c r="CS163" s="110">
        <f>IF(AE163="","",IFERROR(AE163*HSCEI!$B$10*HSCEI!$G$10/HSCEI!$B$3,""))</f>
        <v/>
      </c>
      <c r="CT163" s="110">
        <f>IF(AF163="","",IFERROR(AF163*HSCEI!$B$10*HSCEI!$G$10/HSCEI!$B$3,""))</f>
        <v/>
      </c>
      <c r="CU163" s="110">
        <f>IF(AG163="","",IFERROR(AG163*HSCEI!$B$10*HSCEI!$G$10/HSCEI!$B$3,""))</f>
        <v/>
      </c>
      <c r="CV163" s="110">
        <f>IF(AH163="","",IFERROR(AH163*HSCEI!$B$10*HSCEI!$G$10/HSCEI!$B$3,""))</f>
        <v/>
      </c>
      <c r="CW163" s="110">
        <f>IF(AI163="","",IFERROR(AI163*HSCEI!$B$10*HSCEI!$G$10/HSCEI!$B$3,""))</f>
        <v/>
      </c>
      <c r="CX163" s="110">
        <f>IF(AJ163="","",IFERROR(AJ163*HSCEI!$B$10*HSCEI!$G$10/HSCEI!$B$3,""))</f>
        <v/>
      </c>
      <c r="CY163" s="110">
        <f>IF(AK163="","",IFERROR(AK163*HSCEI!$B$10*HSCEI!$G$10/HSCEI!$B$3,""))</f>
        <v/>
      </c>
      <c r="CZ163" s="110">
        <f>IF(AL163="","",IFERROR(AL163*HSCEI!$B$10*HSCEI!$G$10/HSCEI!$B$3,""))</f>
        <v/>
      </c>
      <c r="DA163" s="110">
        <f>IF(AM163="","",IFERROR(AM163*HSCEI!$B$10*HSCEI!$G$10/HSCEI!$B$3,""))</f>
        <v/>
      </c>
      <c r="DB163" s="110">
        <f>IF(AN163="","",IFERROR(AN163*HSCEI!$B$10*HSCEI!$G$10/HSCEI!$B$3,""))</f>
        <v/>
      </c>
      <c r="DC163" s="110">
        <f>IF(AO163="","",IFERROR(AO163*HSCEI!$B$10*HSCEI!$G$10/HSCEI!$B$3,""))</f>
        <v/>
      </c>
      <c r="DD163" s="110">
        <f>IF(AP163="","",IFERROR(AP163*HSCEI!$B$10*HSCEI!$G$10/HSCEI!$B$3,""))</f>
        <v/>
      </c>
      <c r="DE163" s="110">
        <f>IF(AQ163="","",IFERROR(AQ163*HSCEI!$B$10*HSCEI!$G$10/HSCEI!$B$3,""))</f>
        <v/>
      </c>
      <c r="DF163" s="110">
        <f>IF(AR163="","",IFERROR(AR163*HSCEI!$B$10*HSCEI!$G$10/HSCEI!$B$3,""))</f>
        <v/>
      </c>
      <c r="DG163" s="110">
        <f>IF(AS163="","",IFERROR(AS163*HSCEI!$B$10*HSCEI!$G$10/HSCEI!$B$3,""))</f>
        <v/>
      </c>
      <c r="DH163" s="110">
        <f>IF(AT163="","",IFERROR(AT163*HSCEI!$B$10*HSCEI!$G$10/HSCEI!$B$3,""))</f>
        <v/>
      </c>
      <c r="DI163" s="110">
        <f>IF(AU163="","",IFERROR(AU163*HSCEI!$B$10*HSCEI!$G$10/HSCEI!$B$3,""))</f>
        <v/>
      </c>
      <c r="DJ163" s="110">
        <f>IF(AV163="","",IFERROR(AV163*HSCEI!$B$10*HSCEI!$G$10/HSCEI!$B$3,""))</f>
        <v/>
      </c>
      <c r="DK163" s="110">
        <f>IF(AW163="","",IFERROR(AW163*HSCEI!$B$10*HSCEI!$G$10/HSCEI!$B$3,""))</f>
        <v/>
      </c>
      <c r="DL163" s="110">
        <f>IF(AX163="","",IFERROR(AX163*HSCEI!$B$10*HSCEI!$G$10/HSCEI!$B$3,""))</f>
        <v/>
      </c>
      <c r="DM163" s="110">
        <f>IF(AY163="","",IFERROR(AY163*HSCEI!$B$10*HSCEI!$G$10/HSCEI!$B$3,""))</f>
        <v/>
      </c>
      <c r="DN163" s="110">
        <f>IF(AZ163="","",IFERROR(AZ163*HSCEI!$B$10*HSCEI!$G$10/HSCEI!$B$3,""))</f>
        <v/>
      </c>
      <c r="DO163" s="110">
        <f>IF(BA163="","",IFERROR(BA163*HSCEI!$B$10*HSCEI!$G$10/HSCEI!$B$3,""))</f>
        <v/>
      </c>
      <c r="DP163" s="110">
        <f>IF(BB163="","",IFERROR(BB163*HSCEI!$B$10*HSCEI!$G$10/HSCEI!$B$3,""))</f>
        <v/>
      </c>
      <c r="DQ163" s="110">
        <f>IF(BC163="","",IFERROR(BC163*HSCEI!$B$10*HSCEI!$G$10/HSCEI!$B$3,""))</f>
        <v/>
      </c>
      <c r="DR163" s="110">
        <f>IF(BD163="","",IFERROR(BD163*HSCEI!$B$10*HSCEI!$G$10/HSCEI!$B$3,""))</f>
        <v/>
      </c>
      <c r="DS163" s="110">
        <f>IF(BE163="","",IFERROR(BE163*HSCEI!$B$10*HSCEI!$G$10/HSCEI!$B$3,""))</f>
        <v/>
      </c>
      <c r="DT163" s="110">
        <f>IF(BF163="","",IFERROR(BF163*HSCEI!$B$10*HSCEI!$G$10/HSCEI!$B$3,""))</f>
        <v/>
      </c>
      <c r="DU163" s="110">
        <f>IF(BG163="","",IFERROR(BG163*HSCEI!$B$10*HSCEI!$G$10/HSCEI!$B$3,""))</f>
        <v/>
      </c>
      <c r="DV163" s="110">
        <f>IF(BH163="","",IFERROR(BH163*HSCEI!$B$10*HSCEI!$G$10/HSCEI!$B$3,""))</f>
        <v/>
      </c>
      <c r="DW163" s="110">
        <f>IF(BI163="","",IFERROR(BI163*HSCEI!$B$10*HSCEI!$G$10/HSCEI!$B$3,""))</f>
        <v/>
      </c>
      <c r="DX163" s="110">
        <f>IF(BJ163="","",IFERROR(BJ163*HSCEI!$B$10*HSCEI!$G$10/HSCEI!$B$3,""))</f>
        <v/>
      </c>
      <c r="DY163" s="110">
        <f>IF(BK163="","",IFERROR(BK163*HSCEI!$B$10*HSCEI!$G$10/HSCEI!$B$3,""))</f>
        <v/>
      </c>
      <c r="DZ163" s="110">
        <f>IF(BL163="","",IFERROR(BL163*HSCEI!$B$10*HSCEI!$G$10/HSCEI!$B$3,""))</f>
        <v/>
      </c>
      <c r="EA163" s="110">
        <f>IF(BM163="","",IFERROR(BM163*HSCEI!$B$10*HSCEI!$G$10/HSCEI!$B$3,""))</f>
        <v/>
      </c>
      <c r="EB163" s="110">
        <f>IF(BN163="","",IFERROR(BN163*HSCEI!$B$10*HSCEI!$G$10/HSCEI!$B$3,""))</f>
        <v/>
      </c>
      <c r="EC163" s="110">
        <f>IF(BO163="","",IFERROR(BO163*HSCEI!$B$10*HSCEI!$G$10/HSCEI!$B$3,""))</f>
        <v/>
      </c>
      <c r="EE163" s="39">
        <f>IF(N('Dvd Calendar'!$E$1594)=0,"",IF(('Dvd Calendar'!$E$1594&gt;=GRID_FROM)*('Dvd Calendar'!$E$1594&lt;=GRID_TO)*((('Dvd Calendar'!$E$1594&lt;=VAL_DATE)+(COUNTIF('Dvd Calendar'!$E$1601:$AR$1601,'Dvd Calendar'!$E$1594)=0))&gt;0)=0,"",'Dvd Calendar'!$E$1594*1000000000+ISNUMBER('Dvd Calendar'!$E$1597)*100000000+('Dvd Calendar'!$E$1599=SPECIAL_LBL)*10000000+(N('Dvd Calendar'!$E$1593)&gt;0)*(N('Dvd Calendar'!$E$1593)&lt;=VAL_SERIAL)*1000000+4*1000+1))</f>
        <v/>
      </c>
      <c r="EF163" s="39">
        <f>IF(N('Dvd Calendar'!$F$1594)=0,"",IF(('Dvd Calendar'!$F$1594&gt;=GRID_FROM)*('Dvd Calendar'!$F$1594&lt;=GRID_TO)*((('Dvd Calendar'!$F$1594&lt;=VAL_DATE)+(COUNTIF('Dvd Calendar'!$E$1601:$AR$1601,'Dvd Calendar'!$F$1594)=0))&gt;0)=0,"",'Dvd Calendar'!$F$1594*1000000000+ISNUMBER('Dvd Calendar'!$F$1597)*100000000+('Dvd Calendar'!$F$1599=SPECIAL_LBL)*10000000+(N('Dvd Calendar'!$F$1593)&gt;0)*(N('Dvd Calendar'!$F$1593)&lt;=VAL_SERIAL)*1000000+4*1000+2))</f>
        <v/>
      </c>
      <c r="EG163" s="39">
        <f>IF(N('Dvd Calendar'!$G$1594)=0,"",IF(('Dvd Calendar'!$G$1594&gt;=GRID_FROM)*('Dvd Calendar'!$G$1594&lt;=GRID_TO)*((('Dvd Calendar'!$G$1594&lt;=VAL_DATE)+(COUNTIF('Dvd Calendar'!$E$1601:$AR$1601,'Dvd Calendar'!$G$1594)=0))&gt;0)=0,"",'Dvd Calendar'!$G$1594*1000000000+ISNUMBER('Dvd Calendar'!$G$1597)*100000000+('Dvd Calendar'!$G$1599=SPECIAL_LBL)*10000000+(N('Dvd Calendar'!$G$1593)&gt;0)*(N('Dvd Calendar'!$G$1593)&lt;=VAL_SERIAL)*1000000+4*1000+3))</f>
        <v/>
      </c>
      <c r="EH163" s="39">
        <f>IF(N('Dvd Calendar'!$H$1594)=0,"",IF(('Dvd Calendar'!$H$1594&gt;=GRID_FROM)*('Dvd Calendar'!$H$1594&lt;=GRID_TO)*((('Dvd Calendar'!$H$1594&lt;=VAL_DATE)+(COUNTIF('Dvd Calendar'!$E$1601:$AR$1601,'Dvd Calendar'!$H$1594)=0))&gt;0)=0,"",'Dvd Calendar'!$H$1594*1000000000+ISNUMBER('Dvd Calendar'!$H$1597)*100000000+('Dvd Calendar'!$H$1599=SPECIAL_LBL)*10000000+(N('Dvd Calendar'!$H$1593)&gt;0)*(N('Dvd Calendar'!$H$1593)&lt;=VAL_SERIAL)*1000000+4*1000+4))</f>
        <v/>
      </c>
      <c r="EI163" s="39">
        <f>IF(N('Dvd Calendar'!$I$1594)=0,"",IF(('Dvd Calendar'!$I$1594&gt;=GRID_FROM)*('Dvd Calendar'!$I$1594&lt;=GRID_TO)*((('Dvd Calendar'!$I$1594&lt;=VAL_DATE)+(COUNTIF('Dvd Calendar'!$E$1601:$AR$1601,'Dvd Calendar'!$I$1594)=0))&gt;0)=0,"",'Dvd Calendar'!$I$1594*1000000000+ISNUMBER('Dvd Calendar'!$I$1597)*100000000+('Dvd Calendar'!$I$1599=SPECIAL_LBL)*10000000+(N('Dvd Calendar'!$I$1593)&gt;0)*(N('Dvd Calendar'!$I$1593)&lt;=VAL_SERIAL)*1000000+4*1000+5))</f>
        <v/>
      </c>
      <c r="EJ163" s="39">
        <f>IF(N('Dvd Calendar'!$J$1594)=0,"",IF(('Dvd Calendar'!$J$1594&gt;=GRID_FROM)*('Dvd Calendar'!$J$1594&lt;=GRID_TO)*((('Dvd Calendar'!$J$1594&lt;=VAL_DATE)+(COUNTIF('Dvd Calendar'!$E$1601:$AR$1601,'Dvd Calendar'!$J$1594)=0))&gt;0)=0,"",'Dvd Calendar'!$J$1594*1000000000+ISNUMBER('Dvd Calendar'!$J$1597)*100000000+('Dvd Calendar'!$J$1599=SPECIAL_LBL)*10000000+(N('Dvd Calendar'!$J$1593)&gt;0)*(N('Dvd Calendar'!$J$1593)&lt;=VAL_SERIAL)*1000000+4*1000+6))</f>
        <v/>
      </c>
      <c r="EK163" s="39">
        <f>IF(N('Dvd Calendar'!$K$1594)=0,"",IF(('Dvd Calendar'!$K$1594&gt;=GRID_FROM)*('Dvd Calendar'!$K$1594&lt;=GRID_TO)*((('Dvd Calendar'!$K$1594&lt;=VAL_DATE)+(COUNTIF('Dvd Calendar'!$E$1601:$AR$1601,'Dvd Calendar'!$K$1594)=0))&gt;0)=0,"",'Dvd Calendar'!$K$1594*1000000000+ISNUMBER('Dvd Calendar'!$K$1597)*100000000+('Dvd Calendar'!$K$1599=SPECIAL_LBL)*10000000+(N('Dvd Calendar'!$K$1593)&gt;0)*(N('Dvd Calendar'!$K$1593)&lt;=VAL_SERIAL)*1000000+4*1000+7))</f>
        <v/>
      </c>
      <c r="EL163" s="39">
        <f>IF(N('Dvd Calendar'!$L$1594)=0,"",IF(('Dvd Calendar'!$L$1594&gt;=GRID_FROM)*('Dvd Calendar'!$L$1594&lt;=GRID_TO)*((('Dvd Calendar'!$L$1594&lt;=VAL_DATE)+(COUNTIF('Dvd Calendar'!$E$1601:$AR$1601,'Dvd Calendar'!$L$1594)=0))&gt;0)=0,"",'Dvd Calendar'!$L$1594*1000000000+ISNUMBER('Dvd Calendar'!$L$1597)*100000000+('Dvd Calendar'!$L$1599=SPECIAL_LBL)*10000000+(N('Dvd Calendar'!$L$1593)&gt;0)*(N('Dvd Calendar'!$L$1593)&lt;=VAL_SERIAL)*1000000+4*1000+8))</f>
        <v/>
      </c>
      <c r="EM163" s="39">
        <f>IF(N('Dvd Calendar'!$M$1594)=0,"",IF(('Dvd Calendar'!$M$1594&gt;=GRID_FROM)*('Dvd Calendar'!$M$1594&lt;=GRID_TO)*((('Dvd Calendar'!$M$1594&lt;=VAL_DATE)+(COUNTIF('Dvd Calendar'!$E$1601:$AR$1601,'Dvd Calendar'!$M$1594)=0))&gt;0)=0,"",'Dvd Calendar'!$M$1594*1000000000+ISNUMBER('Dvd Calendar'!$M$1597)*100000000+('Dvd Calendar'!$M$1599=SPECIAL_LBL)*10000000+(N('Dvd Calendar'!$M$1593)&gt;0)*(N('Dvd Calendar'!$M$1593)&lt;=VAL_SERIAL)*1000000+4*1000+9))</f>
        <v/>
      </c>
      <c r="EN163" s="39">
        <f>IF(N('Dvd Calendar'!$N$1594)=0,"",IF(('Dvd Calendar'!$N$1594&gt;=GRID_FROM)*('Dvd Calendar'!$N$1594&lt;=GRID_TO)*((('Dvd Calendar'!$N$1594&lt;=VAL_DATE)+(COUNTIF('Dvd Calendar'!$E$1601:$AR$1601,'Dvd Calendar'!$N$1594)=0))&gt;0)=0,"",'Dvd Calendar'!$N$1594*1000000000+ISNUMBER('Dvd Calendar'!$N$1597)*100000000+('Dvd Calendar'!$N$1599=SPECIAL_LBL)*10000000+(N('Dvd Calendar'!$N$1593)&gt;0)*(N('Dvd Calendar'!$N$1593)&lt;=VAL_SERIAL)*1000000+4*1000+10))</f>
        <v/>
      </c>
      <c r="EO163" s="39">
        <f>IF(N('Dvd Calendar'!$O$1594)=0,"",IF(('Dvd Calendar'!$O$1594&gt;=GRID_FROM)*('Dvd Calendar'!$O$1594&lt;=GRID_TO)*((('Dvd Calendar'!$O$1594&lt;=VAL_DATE)+(COUNTIF('Dvd Calendar'!$E$1601:$AR$1601,'Dvd Calendar'!$O$1594)=0))&gt;0)=0,"",'Dvd Calendar'!$O$1594*1000000000+ISNUMBER('Dvd Calendar'!$O$1597)*100000000+('Dvd Calendar'!$O$1599=SPECIAL_LBL)*10000000+(N('Dvd Calendar'!$O$1593)&gt;0)*(N('Dvd Calendar'!$O$1593)&lt;=VAL_SERIAL)*1000000+4*1000+11))</f>
        <v/>
      </c>
      <c r="EP163" s="39">
        <f>IF(N('Dvd Calendar'!$P$1594)=0,"",IF(('Dvd Calendar'!$P$1594&gt;=GRID_FROM)*('Dvd Calendar'!$P$1594&lt;=GRID_TO)*((('Dvd Calendar'!$P$1594&lt;=VAL_DATE)+(COUNTIF('Dvd Calendar'!$E$1601:$AR$1601,'Dvd Calendar'!$P$1594)=0))&gt;0)=0,"",'Dvd Calendar'!$P$1594*1000000000+ISNUMBER('Dvd Calendar'!$P$1597)*100000000+('Dvd Calendar'!$P$1599=SPECIAL_LBL)*10000000+(N('Dvd Calendar'!$P$1593)&gt;0)*(N('Dvd Calendar'!$P$1593)&lt;=VAL_SERIAL)*1000000+4*1000+12))</f>
        <v/>
      </c>
      <c r="EQ163" s="39">
        <f>IF(N('Dvd Calendar'!$Q$1594)=0,"",IF(('Dvd Calendar'!$Q$1594&gt;=GRID_FROM)*('Dvd Calendar'!$Q$1594&lt;=GRID_TO)*((('Dvd Calendar'!$Q$1594&lt;=VAL_DATE)+(COUNTIF('Dvd Calendar'!$E$1601:$AR$1601,'Dvd Calendar'!$Q$1594)=0))&gt;0)=0,"",'Dvd Calendar'!$Q$1594*1000000000+ISNUMBER('Dvd Calendar'!$Q$1597)*100000000+('Dvd Calendar'!$Q$1599=SPECIAL_LBL)*10000000+(N('Dvd Calendar'!$Q$1593)&gt;0)*(N('Dvd Calendar'!$Q$1593)&lt;=VAL_SERIAL)*1000000+4*1000+13))</f>
        <v/>
      </c>
      <c r="ER163" s="39">
        <f>IF(N('Dvd Calendar'!$R$1594)=0,"",IF(('Dvd Calendar'!$R$1594&gt;=GRID_FROM)*('Dvd Calendar'!$R$1594&lt;=GRID_TO)*((('Dvd Calendar'!$R$1594&lt;=VAL_DATE)+(COUNTIF('Dvd Calendar'!$E$1601:$AR$1601,'Dvd Calendar'!$R$1594)=0))&gt;0)=0,"",'Dvd Calendar'!$R$1594*1000000000+ISNUMBER('Dvd Calendar'!$R$1597)*100000000+('Dvd Calendar'!$R$1599=SPECIAL_LBL)*10000000+(N('Dvd Calendar'!$R$1593)&gt;0)*(N('Dvd Calendar'!$R$1593)&lt;=VAL_SERIAL)*1000000+4*1000+14))</f>
        <v/>
      </c>
      <c r="ES163" s="39">
        <f>IF(N('Dvd Calendar'!$S$1594)=0,"",IF(('Dvd Calendar'!$S$1594&gt;=GRID_FROM)*('Dvd Calendar'!$S$1594&lt;=GRID_TO)*((('Dvd Calendar'!$S$1594&lt;=VAL_DATE)+(COUNTIF('Dvd Calendar'!$E$1601:$AR$1601,'Dvd Calendar'!$S$1594)=0))&gt;0)=0,"",'Dvd Calendar'!$S$1594*1000000000+ISNUMBER('Dvd Calendar'!$S$1597)*100000000+('Dvd Calendar'!$S$1599=SPECIAL_LBL)*10000000+(N('Dvd Calendar'!$S$1593)&gt;0)*(N('Dvd Calendar'!$S$1593)&lt;=VAL_SERIAL)*1000000+4*1000+15))</f>
        <v/>
      </c>
      <c r="ET163" s="39">
        <f>IF(N('Dvd Calendar'!$T$1594)=0,"",IF(('Dvd Calendar'!$T$1594&gt;=GRID_FROM)*('Dvd Calendar'!$T$1594&lt;=GRID_TO)*((('Dvd Calendar'!$T$1594&lt;=VAL_DATE)+(COUNTIF('Dvd Calendar'!$E$1601:$AR$1601,'Dvd Calendar'!$T$1594)=0))&gt;0)=0,"",'Dvd Calendar'!$T$1594*1000000000+ISNUMBER('Dvd Calendar'!$T$1597)*100000000+('Dvd Calendar'!$T$1599=SPECIAL_LBL)*10000000+(N('Dvd Calendar'!$T$1593)&gt;0)*(N('Dvd Calendar'!$T$1593)&lt;=VAL_SERIAL)*1000000+4*1000+16))</f>
        <v/>
      </c>
      <c r="EU163" s="39">
        <f>IF(N('Dvd Calendar'!$U$1594)=0,"",IF(('Dvd Calendar'!$U$1594&gt;=GRID_FROM)*('Dvd Calendar'!$U$1594&lt;=GRID_TO)*((('Dvd Calendar'!$U$1594&lt;=VAL_DATE)+(COUNTIF('Dvd Calendar'!$E$1601:$AR$1601,'Dvd Calendar'!$U$1594)=0))&gt;0)=0,"",'Dvd Calendar'!$U$1594*1000000000+ISNUMBER('Dvd Calendar'!$U$1597)*100000000+('Dvd Calendar'!$U$1599=SPECIAL_LBL)*10000000+(N('Dvd Calendar'!$U$1593)&gt;0)*(N('Dvd Calendar'!$U$1593)&lt;=VAL_SERIAL)*1000000+4*1000+17))</f>
        <v/>
      </c>
      <c r="EV163" s="39">
        <f>IF(N('Dvd Calendar'!$V$1594)=0,"",IF(('Dvd Calendar'!$V$1594&gt;=GRID_FROM)*('Dvd Calendar'!$V$1594&lt;=GRID_TO)*((('Dvd Calendar'!$V$1594&lt;=VAL_DATE)+(COUNTIF('Dvd Calendar'!$E$1601:$AR$1601,'Dvd Calendar'!$V$1594)=0))&gt;0)=0,"",'Dvd Calendar'!$V$1594*1000000000+ISNUMBER('Dvd Calendar'!$V$1597)*100000000+('Dvd Calendar'!$V$1599=SPECIAL_LBL)*10000000+(N('Dvd Calendar'!$V$1593)&gt;0)*(N('Dvd Calendar'!$V$1593)&lt;=VAL_SERIAL)*1000000+4*1000+18))</f>
        <v/>
      </c>
      <c r="EW163" s="39">
        <f>IF(N('Dvd Calendar'!$W$1594)=0,"",IF(('Dvd Calendar'!$W$1594&gt;=GRID_FROM)*('Dvd Calendar'!$W$1594&lt;=GRID_TO)*((('Dvd Calendar'!$W$1594&lt;=VAL_DATE)+(COUNTIF('Dvd Calendar'!$E$1601:$AR$1601,'Dvd Calendar'!$W$1594)=0))&gt;0)=0,"",'Dvd Calendar'!$W$1594*1000000000+ISNUMBER('Dvd Calendar'!$W$1597)*100000000+('Dvd Calendar'!$W$1599=SPECIAL_LBL)*10000000+(N('Dvd Calendar'!$W$1593)&gt;0)*(N('Dvd Calendar'!$W$1593)&lt;=VAL_SERIAL)*1000000+4*1000+19))</f>
        <v/>
      </c>
      <c r="EX163" s="39">
        <f>IF(N('Dvd Calendar'!$X$1594)=0,"",IF(('Dvd Calendar'!$X$1594&gt;=GRID_FROM)*('Dvd Calendar'!$X$1594&lt;=GRID_TO)*((('Dvd Calendar'!$X$1594&lt;=VAL_DATE)+(COUNTIF('Dvd Calendar'!$E$1601:$AR$1601,'Dvd Calendar'!$X$1594)=0))&gt;0)=0,"",'Dvd Calendar'!$X$1594*1000000000+ISNUMBER('Dvd Calendar'!$X$1597)*100000000+('Dvd Calendar'!$X$1599=SPECIAL_LBL)*10000000+(N('Dvd Calendar'!$X$1593)&gt;0)*(N('Dvd Calendar'!$X$1593)&lt;=VAL_SERIAL)*1000000+4*1000+20))</f>
        <v/>
      </c>
      <c r="EY163" s="39">
        <f>IF(N('Dvd Calendar'!$Y$1594)=0,"",IF(('Dvd Calendar'!$Y$1594&gt;=GRID_FROM)*('Dvd Calendar'!$Y$1594&lt;=GRID_TO)*((('Dvd Calendar'!$Y$1594&lt;=VAL_DATE)+(COUNTIF('Dvd Calendar'!$E$1601:$AR$1601,'Dvd Calendar'!$Y$1594)=0))&gt;0)=0,"",'Dvd Calendar'!$Y$1594*1000000000+ISNUMBER('Dvd Calendar'!$Y$1597)*100000000+('Dvd Calendar'!$Y$1599=SPECIAL_LBL)*10000000+(N('Dvd Calendar'!$Y$1593)&gt;0)*(N('Dvd Calendar'!$Y$1593)&lt;=VAL_SERIAL)*1000000+4*1000+21))</f>
        <v/>
      </c>
      <c r="EZ163" s="39">
        <f>IF(N('Dvd Calendar'!$Z$1594)=0,"",IF(('Dvd Calendar'!$Z$1594&gt;=GRID_FROM)*('Dvd Calendar'!$Z$1594&lt;=GRID_TO)*((('Dvd Calendar'!$Z$1594&lt;=VAL_DATE)+(COUNTIF('Dvd Calendar'!$E$1601:$AR$1601,'Dvd Calendar'!$Z$1594)=0))&gt;0)=0,"",'Dvd Calendar'!$Z$1594*1000000000+ISNUMBER('Dvd Calendar'!$Z$1597)*100000000+('Dvd Calendar'!$Z$1599=SPECIAL_LBL)*10000000+(N('Dvd Calendar'!$Z$1593)&gt;0)*(N('Dvd Calendar'!$Z$1593)&lt;=VAL_SERIAL)*1000000+4*1000+22))</f>
        <v/>
      </c>
      <c r="FA163" s="39">
        <f>IF(N('Dvd Calendar'!$AA$1594)=0,"",IF(('Dvd Calendar'!$AA$1594&gt;=GRID_FROM)*('Dvd Calendar'!$AA$1594&lt;=GRID_TO)*((('Dvd Calendar'!$AA$1594&lt;=VAL_DATE)+(COUNTIF('Dvd Calendar'!$E$1601:$AR$1601,'Dvd Calendar'!$AA$1594)=0))&gt;0)=0,"",'Dvd Calendar'!$AA$1594*1000000000+ISNUMBER('Dvd Calendar'!$AA$1597)*100000000+('Dvd Calendar'!$AA$1599=SPECIAL_LBL)*10000000+(N('Dvd Calendar'!$AA$1593)&gt;0)*(N('Dvd Calendar'!$AA$1593)&lt;=VAL_SERIAL)*1000000+4*1000+23))</f>
        <v/>
      </c>
      <c r="FB163" s="39">
        <f>IF(N('Dvd Calendar'!$AB$1594)=0,"",IF(('Dvd Calendar'!$AB$1594&gt;=GRID_FROM)*('Dvd Calendar'!$AB$1594&lt;=GRID_TO)*((('Dvd Calendar'!$AB$1594&lt;=VAL_DATE)+(COUNTIF('Dvd Calendar'!$E$1601:$AR$1601,'Dvd Calendar'!$AB$1594)=0))&gt;0)=0,"",'Dvd Calendar'!$AB$1594*1000000000+ISNUMBER('Dvd Calendar'!$AB$1597)*100000000+('Dvd Calendar'!$AB$1599=SPECIAL_LBL)*10000000+(N('Dvd Calendar'!$AB$1593)&gt;0)*(N('Dvd Calendar'!$AB$1593)&lt;=VAL_SERIAL)*1000000+4*1000+24))</f>
        <v/>
      </c>
      <c r="FC163" s="39">
        <f>IF(N('Dvd Calendar'!$AC$1594)=0,"",IF(('Dvd Calendar'!$AC$1594&gt;=GRID_FROM)*('Dvd Calendar'!$AC$1594&lt;=GRID_TO)*((('Dvd Calendar'!$AC$1594&lt;=VAL_DATE)+(COUNTIF('Dvd Calendar'!$E$1601:$AR$1601,'Dvd Calendar'!$AC$1594)=0))&gt;0)=0,"",'Dvd Calendar'!$AC$1594*1000000000+ISNUMBER('Dvd Calendar'!$AC$1597)*100000000+('Dvd Calendar'!$AC$1599=SPECIAL_LBL)*10000000+(N('Dvd Calendar'!$AC$1593)&gt;0)*(N('Dvd Calendar'!$AC$1593)&lt;=VAL_SERIAL)*1000000+4*1000+25))</f>
        <v/>
      </c>
      <c r="FD163" s="39">
        <f>IF(N('Dvd Calendar'!$AD$1594)=0,"",IF(('Dvd Calendar'!$AD$1594&gt;=GRID_FROM)*('Dvd Calendar'!$AD$1594&lt;=GRID_TO)*((('Dvd Calendar'!$AD$1594&lt;=VAL_DATE)+(COUNTIF('Dvd Calendar'!$E$1601:$AR$1601,'Dvd Calendar'!$AD$1594)=0))&gt;0)=0,"",'Dvd Calendar'!$AD$1594*1000000000+ISNUMBER('Dvd Calendar'!$AD$1597)*100000000+('Dvd Calendar'!$AD$1599=SPECIAL_LBL)*10000000+(N('Dvd Calendar'!$AD$1593)&gt;0)*(N('Dvd Calendar'!$AD$1593)&lt;=VAL_SERIAL)*1000000+4*1000+26))</f>
        <v/>
      </c>
      <c r="FE163" s="39">
        <f>IF(N('Dvd Calendar'!$AE$1594)=0,"",IF(('Dvd Calendar'!$AE$1594&gt;=GRID_FROM)*('Dvd Calendar'!$AE$1594&lt;=GRID_TO)*((('Dvd Calendar'!$AE$1594&lt;=VAL_DATE)+(COUNTIF('Dvd Calendar'!$E$1601:$AR$1601,'Dvd Calendar'!$AE$1594)=0))&gt;0)=0,"",'Dvd Calendar'!$AE$1594*1000000000+ISNUMBER('Dvd Calendar'!$AE$1597)*100000000+('Dvd Calendar'!$AE$1599=SPECIAL_LBL)*10000000+(N('Dvd Calendar'!$AE$1593)&gt;0)*(N('Dvd Calendar'!$AE$1593)&lt;=VAL_SERIAL)*1000000+4*1000+27))</f>
        <v/>
      </c>
      <c r="FF163" s="39">
        <f>IF(N('Dvd Calendar'!$AF$1594)=0,"",IF(('Dvd Calendar'!$AF$1594&gt;=GRID_FROM)*('Dvd Calendar'!$AF$1594&lt;=GRID_TO)*((('Dvd Calendar'!$AF$1594&lt;=VAL_DATE)+(COUNTIF('Dvd Calendar'!$E$1601:$AR$1601,'Dvd Calendar'!$AF$1594)=0))&gt;0)=0,"",'Dvd Calendar'!$AF$1594*1000000000+ISNUMBER('Dvd Calendar'!$AF$1597)*100000000+('Dvd Calendar'!$AF$1599=SPECIAL_LBL)*10000000+(N('Dvd Calendar'!$AF$1593)&gt;0)*(N('Dvd Calendar'!$AF$1593)&lt;=VAL_SERIAL)*1000000+4*1000+28))</f>
        <v/>
      </c>
      <c r="FG163" s="39">
        <f>IF(N('Dvd Calendar'!$AG$1594)=0,"",IF(('Dvd Calendar'!$AG$1594&gt;=GRID_FROM)*('Dvd Calendar'!$AG$1594&lt;=GRID_TO)*((('Dvd Calendar'!$AG$1594&lt;=VAL_DATE)+(COUNTIF('Dvd Calendar'!$E$1601:$AR$1601,'Dvd Calendar'!$AG$1594)=0))&gt;0)=0,"",'Dvd Calendar'!$AG$1594*1000000000+ISNUMBER('Dvd Calendar'!$AG$1597)*100000000+('Dvd Calendar'!$AG$1599=SPECIAL_LBL)*10000000+(N('Dvd Calendar'!$AG$1593)&gt;0)*(N('Dvd Calendar'!$AG$1593)&lt;=VAL_SERIAL)*1000000+4*1000+29))</f>
        <v/>
      </c>
      <c r="FH163" s="39">
        <f>IF(N('Dvd Calendar'!$AH$1594)=0,"",IF(('Dvd Calendar'!$AH$1594&gt;=GRID_FROM)*('Dvd Calendar'!$AH$1594&lt;=GRID_TO)*((('Dvd Calendar'!$AH$1594&lt;=VAL_DATE)+(COUNTIF('Dvd Calendar'!$E$1601:$AR$1601,'Dvd Calendar'!$AH$1594)=0))&gt;0)=0,"",'Dvd Calendar'!$AH$1594*1000000000+ISNUMBER('Dvd Calendar'!$AH$1597)*100000000+('Dvd Calendar'!$AH$1599=SPECIAL_LBL)*10000000+(N('Dvd Calendar'!$AH$1593)&gt;0)*(N('Dvd Calendar'!$AH$1593)&lt;=VAL_SERIAL)*1000000+4*1000+30))</f>
        <v/>
      </c>
      <c r="FI163" s="39">
        <f>IF(N('Dvd Calendar'!$AI$1594)=0,"",IF(('Dvd Calendar'!$AI$1594&gt;=GRID_FROM)*('Dvd Calendar'!$AI$1594&lt;=GRID_TO)*((('Dvd Calendar'!$AI$1594&lt;=VAL_DATE)+(COUNTIF('Dvd Calendar'!$E$1601:$AR$1601,'Dvd Calendar'!$AI$1594)=0))&gt;0)=0,"",'Dvd Calendar'!$AI$1594*1000000000+ISNUMBER('Dvd Calendar'!$AI$1597)*100000000+('Dvd Calendar'!$AI$1599=SPECIAL_LBL)*10000000+(N('Dvd Calendar'!$AI$1593)&gt;0)*(N('Dvd Calendar'!$AI$1593)&lt;=VAL_SERIAL)*1000000+4*1000+31))</f>
        <v/>
      </c>
      <c r="FJ163" s="39">
        <f>IF(N('Dvd Calendar'!$AJ$1594)=0,"",IF(('Dvd Calendar'!$AJ$1594&gt;=GRID_FROM)*('Dvd Calendar'!$AJ$1594&lt;=GRID_TO)*((('Dvd Calendar'!$AJ$1594&lt;=VAL_DATE)+(COUNTIF('Dvd Calendar'!$E$1601:$AR$1601,'Dvd Calendar'!$AJ$1594)=0))&gt;0)=0,"",'Dvd Calendar'!$AJ$1594*1000000000+ISNUMBER('Dvd Calendar'!$AJ$1597)*100000000+('Dvd Calendar'!$AJ$1599=SPECIAL_LBL)*10000000+(N('Dvd Calendar'!$AJ$1593)&gt;0)*(N('Dvd Calendar'!$AJ$1593)&lt;=VAL_SERIAL)*1000000+4*1000+32))</f>
        <v/>
      </c>
      <c r="FK163" s="39">
        <f>IF(N('Dvd Calendar'!$AK$1594)=0,"",IF(('Dvd Calendar'!$AK$1594&gt;=GRID_FROM)*('Dvd Calendar'!$AK$1594&lt;=GRID_TO)*((('Dvd Calendar'!$AK$1594&lt;=VAL_DATE)+(COUNTIF('Dvd Calendar'!$E$1601:$AR$1601,'Dvd Calendar'!$AK$1594)=0))&gt;0)=0,"",'Dvd Calendar'!$AK$1594*1000000000+ISNUMBER('Dvd Calendar'!$AK$1597)*100000000+('Dvd Calendar'!$AK$1599=SPECIAL_LBL)*10000000+(N('Dvd Calendar'!$AK$1593)&gt;0)*(N('Dvd Calendar'!$AK$1593)&lt;=VAL_SERIAL)*1000000+4*1000+33))</f>
        <v/>
      </c>
      <c r="FL163" s="39">
        <f>IF(N('Dvd Calendar'!$AL$1594)=0,"",IF(('Dvd Calendar'!$AL$1594&gt;=GRID_FROM)*('Dvd Calendar'!$AL$1594&lt;=GRID_TO)*((('Dvd Calendar'!$AL$1594&lt;=VAL_DATE)+(COUNTIF('Dvd Calendar'!$E$1601:$AR$1601,'Dvd Calendar'!$AL$1594)=0))&gt;0)=0,"",'Dvd Calendar'!$AL$1594*1000000000+ISNUMBER('Dvd Calendar'!$AL$1597)*100000000+('Dvd Calendar'!$AL$1599=SPECIAL_LBL)*10000000+(N('Dvd Calendar'!$AL$1593)&gt;0)*(N('Dvd Calendar'!$AL$1593)&lt;=VAL_SERIAL)*1000000+4*1000+34))</f>
        <v/>
      </c>
      <c r="FM163" s="39">
        <f>IF(N('Dvd Calendar'!$AM$1594)=0,"",IF(('Dvd Calendar'!$AM$1594&gt;=GRID_FROM)*('Dvd Calendar'!$AM$1594&lt;=GRID_TO)*((('Dvd Calendar'!$AM$1594&lt;=VAL_DATE)+(COUNTIF('Dvd Calendar'!$E$1601:$AR$1601,'Dvd Calendar'!$AM$1594)=0))&gt;0)=0,"",'Dvd Calendar'!$AM$1594*1000000000+ISNUMBER('Dvd Calendar'!$AM$1597)*100000000+('Dvd Calendar'!$AM$1599=SPECIAL_LBL)*10000000+(N('Dvd Calendar'!$AM$1593)&gt;0)*(N('Dvd Calendar'!$AM$1593)&lt;=VAL_SERIAL)*1000000+4*1000+35))</f>
        <v/>
      </c>
      <c r="FN163" s="39">
        <f>IF(N('Dvd Calendar'!$AN$1594)=0,"",IF(('Dvd Calendar'!$AN$1594&gt;=GRID_FROM)*('Dvd Calendar'!$AN$1594&lt;=GRID_TO)*((('Dvd Calendar'!$AN$1594&lt;=VAL_DATE)+(COUNTIF('Dvd Calendar'!$E$1601:$AR$1601,'Dvd Calendar'!$AN$1594)=0))&gt;0)=0,"",'Dvd Calendar'!$AN$1594*1000000000+ISNUMBER('Dvd Calendar'!$AN$1597)*100000000+('Dvd Calendar'!$AN$1599=SPECIAL_LBL)*10000000+(N('Dvd Calendar'!$AN$1593)&gt;0)*(N('Dvd Calendar'!$AN$1593)&lt;=VAL_SERIAL)*1000000+4*1000+36))</f>
        <v/>
      </c>
      <c r="FO163" s="39">
        <f>IF(N('Dvd Calendar'!$AO$1594)=0,"",IF(('Dvd Calendar'!$AO$1594&gt;=GRID_FROM)*('Dvd Calendar'!$AO$1594&lt;=GRID_TO)*((('Dvd Calendar'!$AO$1594&lt;=VAL_DATE)+(COUNTIF('Dvd Calendar'!$E$1601:$AR$1601,'Dvd Calendar'!$AO$1594)=0))&gt;0)=0,"",'Dvd Calendar'!$AO$1594*1000000000+ISNUMBER('Dvd Calendar'!$AO$1597)*100000000+('Dvd Calendar'!$AO$1599=SPECIAL_LBL)*10000000+(N('Dvd Calendar'!$AO$1593)&gt;0)*(N('Dvd Calendar'!$AO$1593)&lt;=VAL_SERIAL)*1000000+4*1000+37))</f>
        <v/>
      </c>
      <c r="FP163" s="39">
        <f>IF(N('Dvd Calendar'!$AP$1594)=0,"",IF(('Dvd Calendar'!$AP$1594&gt;=GRID_FROM)*('Dvd Calendar'!$AP$1594&lt;=GRID_TO)*((('Dvd Calendar'!$AP$1594&lt;=VAL_DATE)+(COUNTIF('Dvd Calendar'!$E$1601:$AR$1601,'Dvd Calendar'!$AP$1594)=0))&gt;0)=0,"",'Dvd Calendar'!$AP$1594*1000000000+ISNUMBER('Dvd Calendar'!$AP$1597)*100000000+('Dvd Calendar'!$AP$1599=SPECIAL_LBL)*10000000+(N('Dvd Calendar'!$AP$1593)&gt;0)*(N('Dvd Calendar'!$AP$1593)&lt;=VAL_SERIAL)*1000000+4*1000+38))</f>
        <v/>
      </c>
      <c r="FQ163" s="39">
        <f>IF(N('Dvd Calendar'!$AQ$1594)=0,"",IF(('Dvd Calendar'!$AQ$1594&gt;=GRID_FROM)*('Dvd Calendar'!$AQ$1594&lt;=GRID_TO)*((('Dvd Calendar'!$AQ$1594&lt;=VAL_DATE)+(COUNTIF('Dvd Calendar'!$E$1601:$AR$1601,'Dvd Calendar'!$AQ$1594)=0))&gt;0)=0,"",'Dvd Calendar'!$AQ$1594*1000000000+ISNUMBER('Dvd Calendar'!$AQ$1597)*100000000+('Dvd Calendar'!$AQ$1599=SPECIAL_LBL)*10000000+(N('Dvd Calendar'!$AQ$1593)&gt;0)*(N('Dvd Calendar'!$AQ$1593)&lt;=VAL_SERIAL)*1000000+4*1000+39))</f>
        <v/>
      </c>
      <c r="FR163" s="39">
        <f>IF(N('Dvd Calendar'!$AR$1594)=0,"",IF(('Dvd Calendar'!$AR$1594&gt;=GRID_FROM)*('Dvd Calendar'!$AR$1594&lt;=GRID_TO)*((('Dvd Calendar'!$AR$1594&lt;=VAL_DATE)+(COUNTIF('Dvd Calendar'!$E$1601:$AR$1601,'Dvd Calendar'!$AR$1594)=0))&gt;0)=0,"",'Dvd Calendar'!$AR$1594*1000000000+ISNUMBER('Dvd Calendar'!$AR$1597)*100000000+('Dvd Calendar'!$AR$1599=SPECIAL_LBL)*10000000+(N('Dvd Calendar'!$AR$1593)&gt;0)*(N('Dvd Calendar'!$AR$1593)&lt;=VAL_SERIAL)*1000000+4*1000+40))</f>
        <v/>
      </c>
      <c r="FS163" s="39">
        <f>IF(N('Dvd Calendar'!$E$1601)=0,"",IF(('Dvd Calendar'!$E$1601&gt;=GRID_FROM)*('Dvd Calendar'!$E$1601&lt;=GRID_TO)*('Dvd Calendar'!$E$1601&gt;VAL_DATE)=0,"",'Dvd Calendar'!$E$1601*1000000000+ISNUMBER('Dvd Calendar'!$E$1602)*100000000+0*10000000+(N('Dvd Calendar'!$E$1600)&gt;0)*(N('Dvd Calendar'!$E$1600)&lt;=VAL_SERIAL)*1000000+4*1000+41))</f>
        <v/>
      </c>
      <c r="FT163" s="39">
        <f>IF(N('Dvd Calendar'!$F$1601)=0,"",IF(('Dvd Calendar'!$F$1601&gt;=GRID_FROM)*('Dvd Calendar'!$F$1601&lt;=GRID_TO)*('Dvd Calendar'!$F$1601&gt;VAL_DATE)=0,"",'Dvd Calendar'!$F$1601*1000000000+ISNUMBER('Dvd Calendar'!$F$1602)*100000000+0*10000000+(N('Dvd Calendar'!$F$1600)&gt;0)*(N('Dvd Calendar'!$F$1600)&lt;=VAL_SERIAL)*1000000+4*1000+42))</f>
        <v/>
      </c>
      <c r="FU163" s="39">
        <f>IF(N('Dvd Calendar'!$G$1601)=0,"",IF(('Dvd Calendar'!$G$1601&gt;=GRID_FROM)*('Dvd Calendar'!$G$1601&lt;=GRID_TO)*('Dvd Calendar'!$G$1601&gt;VAL_DATE)=0,"",'Dvd Calendar'!$G$1601*1000000000+ISNUMBER('Dvd Calendar'!$G$1602)*100000000+0*10000000+(N('Dvd Calendar'!$G$1600)&gt;0)*(N('Dvd Calendar'!$G$1600)&lt;=VAL_SERIAL)*1000000+4*1000+43))</f>
        <v/>
      </c>
      <c r="FV163" s="39">
        <f>IF(N('Dvd Calendar'!$H$1601)=0,"",IF(('Dvd Calendar'!$H$1601&gt;=GRID_FROM)*('Dvd Calendar'!$H$1601&lt;=GRID_TO)*('Dvd Calendar'!$H$1601&gt;VAL_DATE)=0,"",'Dvd Calendar'!$H$1601*1000000000+ISNUMBER('Dvd Calendar'!$H$1602)*100000000+0*10000000+(N('Dvd Calendar'!$H$1600)&gt;0)*(N('Dvd Calendar'!$H$1600)&lt;=VAL_SERIAL)*1000000+4*1000+44))</f>
        <v/>
      </c>
      <c r="FW163" s="39">
        <f>IF(N('Dvd Calendar'!$I$1601)=0,"",IF(('Dvd Calendar'!$I$1601&gt;=GRID_FROM)*('Dvd Calendar'!$I$1601&lt;=GRID_TO)*('Dvd Calendar'!$I$1601&gt;VAL_DATE)=0,"",'Dvd Calendar'!$I$1601*1000000000+ISNUMBER('Dvd Calendar'!$I$1602)*100000000+0*10000000+(N('Dvd Calendar'!$I$1600)&gt;0)*(N('Dvd Calendar'!$I$1600)&lt;=VAL_SERIAL)*1000000+4*1000+45))</f>
        <v/>
      </c>
      <c r="FX163" s="39">
        <f>IF(N('Dvd Calendar'!$J$1601)=0,"",IF(('Dvd Calendar'!$J$1601&gt;=GRID_FROM)*('Dvd Calendar'!$J$1601&lt;=GRID_TO)*('Dvd Calendar'!$J$1601&gt;VAL_DATE)=0,"",'Dvd Calendar'!$J$1601*1000000000+ISNUMBER('Dvd Calendar'!$J$1602)*100000000+0*10000000+(N('Dvd Calendar'!$J$1600)&gt;0)*(N('Dvd Calendar'!$J$1600)&lt;=VAL_SERIAL)*1000000+4*1000+46))</f>
        <v/>
      </c>
      <c r="FY163" s="39">
        <f>IF(N('Dvd Calendar'!$K$1601)=0,"",IF(('Dvd Calendar'!$K$1601&gt;=GRID_FROM)*('Dvd Calendar'!$K$1601&lt;=GRID_TO)*('Dvd Calendar'!$K$1601&gt;VAL_DATE)=0,"",'Dvd Calendar'!$K$1601*1000000000+ISNUMBER('Dvd Calendar'!$K$1602)*100000000+0*10000000+(N('Dvd Calendar'!$K$1600)&gt;0)*(N('Dvd Calendar'!$K$1600)&lt;=VAL_SERIAL)*1000000+4*1000+47))</f>
        <v/>
      </c>
      <c r="FZ163" s="39">
        <f>IF(N('Dvd Calendar'!$L$1601)=0,"",IF(('Dvd Calendar'!$L$1601&gt;=GRID_FROM)*('Dvd Calendar'!$L$1601&lt;=GRID_TO)*('Dvd Calendar'!$L$1601&gt;VAL_DATE)=0,"",'Dvd Calendar'!$L$1601*1000000000+ISNUMBER('Dvd Calendar'!$L$1602)*100000000+0*10000000+(N('Dvd Calendar'!$L$1600)&gt;0)*(N('Dvd Calendar'!$L$1600)&lt;=VAL_SERIAL)*1000000+4*1000+48))</f>
        <v/>
      </c>
      <c r="GA163" s="39">
        <f>IF(N('Dvd Calendar'!$M$1601)=0,"",IF(('Dvd Calendar'!$M$1601&gt;=GRID_FROM)*('Dvd Calendar'!$M$1601&lt;=GRID_TO)*('Dvd Calendar'!$M$1601&gt;VAL_DATE)=0,"",'Dvd Calendar'!$M$1601*1000000000+ISNUMBER('Dvd Calendar'!$M$1602)*100000000+0*10000000+(N('Dvd Calendar'!$M$1600)&gt;0)*(N('Dvd Calendar'!$M$1600)&lt;=VAL_SERIAL)*1000000+4*1000+49))</f>
        <v/>
      </c>
      <c r="GB163" s="39">
        <f>IF(N('Dvd Calendar'!$N$1601)=0,"",IF(('Dvd Calendar'!$N$1601&gt;=GRID_FROM)*('Dvd Calendar'!$N$1601&lt;=GRID_TO)*('Dvd Calendar'!$N$1601&gt;VAL_DATE)=0,"",'Dvd Calendar'!$N$1601*1000000000+ISNUMBER('Dvd Calendar'!$N$1602)*100000000+0*10000000+(N('Dvd Calendar'!$N$1600)&gt;0)*(N('Dvd Calendar'!$N$1600)&lt;=VAL_SERIAL)*1000000+4*1000+50))</f>
        <v/>
      </c>
      <c r="GC163" s="39">
        <f>IF(N('Dvd Calendar'!$O$1601)=0,"",IF(('Dvd Calendar'!$O$1601&gt;=GRID_FROM)*('Dvd Calendar'!$O$1601&lt;=GRID_TO)*('Dvd Calendar'!$O$1601&gt;VAL_DATE)=0,"",'Dvd Calendar'!$O$1601*1000000000+ISNUMBER('Dvd Calendar'!$O$1602)*100000000+0*10000000+(N('Dvd Calendar'!$O$1600)&gt;0)*(N('Dvd Calendar'!$O$1600)&lt;=VAL_SERIAL)*1000000+4*1000+51))</f>
        <v/>
      </c>
      <c r="GD163" s="39">
        <f>IF(N('Dvd Calendar'!$P$1601)=0,"",IF(('Dvd Calendar'!$P$1601&gt;=GRID_FROM)*('Dvd Calendar'!$P$1601&lt;=GRID_TO)*('Dvd Calendar'!$P$1601&gt;VAL_DATE)=0,"",'Dvd Calendar'!$P$1601*1000000000+ISNUMBER('Dvd Calendar'!$P$1602)*100000000+0*10000000+(N('Dvd Calendar'!$P$1600)&gt;0)*(N('Dvd Calendar'!$P$1600)&lt;=VAL_SERIAL)*1000000+4*1000+52))</f>
        <v/>
      </c>
      <c r="GE163" s="39">
        <f>IF(N('Dvd Calendar'!$Q$1601)=0,"",IF(('Dvd Calendar'!$Q$1601&gt;=GRID_FROM)*('Dvd Calendar'!$Q$1601&lt;=GRID_TO)*('Dvd Calendar'!$Q$1601&gt;VAL_DATE)=0,"",'Dvd Calendar'!$Q$1601*1000000000+ISNUMBER('Dvd Calendar'!$Q$1602)*100000000+0*10000000+(N('Dvd Calendar'!$Q$1600)&gt;0)*(N('Dvd Calendar'!$Q$1600)&lt;=VAL_SERIAL)*1000000+4*1000+53))</f>
        <v/>
      </c>
      <c r="GF163" s="39">
        <f>IF(N('Dvd Calendar'!$R$1601)=0,"",IF(('Dvd Calendar'!$R$1601&gt;=GRID_FROM)*('Dvd Calendar'!$R$1601&lt;=GRID_TO)*('Dvd Calendar'!$R$1601&gt;VAL_DATE)=0,"",'Dvd Calendar'!$R$1601*1000000000+ISNUMBER('Dvd Calendar'!$R$1602)*100000000+0*10000000+(N('Dvd Calendar'!$R$1600)&gt;0)*(N('Dvd Calendar'!$R$1600)&lt;=VAL_SERIAL)*1000000+4*1000+54))</f>
        <v/>
      </c>
      <c r="GG163" s="39">
        <f>IF(N('Dvd Calendar'!$S$1601)=0,"",IF(('Dvd Calendar'!$S$1601&gt;=GRID_FROM)*('Dvd Calendar'!$S$1601&lt;=GRID_TO)*('Dvd Calendar'!$S$1601&gt;VAL_DATE)=0,"",'Dvd Calendar'!$S$1601*1000000000+ISNUMBER('Dvd Calendar'!$S$1602)*100000000+0*10000000+(N('Dvd Calendar'!$S$1600)&gt;0)*(N('Dvd Calendar'!$S$1600)&lt;=VAL_SERIAL)*1000000+4*1000+55))</f>
        <v/>
      </c>
      <c r="GH163" s="39">
        <f>IF(N('Dvd Calendar'!$T$1601)=0,"",IF(('Dvd Calendar'!$T$1601&gt;=GRID_FROM)*('Dvd Calendar'!$T$1601&lt;=GRID_TO)*('Dvd Calendar'!$T$1601&gt;VAL_DATE)=0,"",'Dvd Calendar'!$T$1601*1000000000+ISNUMBER('Dvd Calendar'!$T$1602)*100000000+0*10000000+(N('Dvd Calendar'!$T$1600)&gt;0)*(N('Dvd Calendar'!$T$1600)&lt;=VAL_SERIAL)*1000000+4*1000+56))</f>
        <v/>
      </c>
      <c r="GI163" s="39">
        <f>IF(N('Dvd Calendar'!$U$1601)=0,"",IF(('Dvd Calendar'!$U$1601&gt;=GRID_FROM)*('Dvd Calendar'!$U$1601&lt;=GRID_TO)*('Dvd Calendar'!$U$1601&gt;VAL_DATE)=0,"",'Dvd Calendar'!$U$1601*1000000000+ISNUMBER('Dvd Calendar'!$U$1602)*100000000+0*10000000+(N('Dvd Calendar'!$U$1600)&gt;0)*(N('Dvd Calendar'!$U$1600)&lt;=VAL_SERIAL)*1000000+4*1000+57))</f>
        <v/>
      </c>
      <c r="GJ163" s="39">
        <f>IF(N('Dvd Calendar'!$V$1601)=0,"",IF(('Dvd Calendar'!$V$1601&gt;=GRID_FROM)*('Dvd Calendar'!$V$1601&lt;=GRID_TO)*('Dvd Calendar'!$V$1601&gt;VAL_DATE)=0,"",'Dvd Calendar'!$V$1601*1000000000+ISNUMBER('Dvd Calendar'!$V$1602)*100000000+0*10000000+(N('Dvd Calendar'!$V$1600)&gt;0)*(N('Dvd Calendar'!$V$1600)&lt;=VAL_SERIAL)*1000000+4*1000+58))</f>
        <v/>
      </c>
      <c r="GK163" s="39">
        <f>IF(N('Dvd Calendar'!$W$1601)=0,"",IF(('Dvd Calendar'!$W$1601&gt;=GRID_FROM)*('Dvd Calendar'!$W$1601&lt;=GRID_TO)*('Dvd Calendar'!$W$1601&gt;VAL_DATE)=0,"",'Dvd Calendar'!$W$1601*1000000000+ISNUMBER('Dvd Calendar'!$W$1602)*100000000+0*10000000+(N('Dvd Calendar'!$W$1600)&gt;0)*(N('Dvd Calendar'!$W$1600)&lt;=VAL_SERIAL)*1000000+4*1000+59))</f>
        <v/>
      </c>
      <c r="GL163" s="39">
        <f>IF(N('Dvd Calendar'!$X$1601)=0,"",IF(('Dvd Calendar'!$X$1601&gt;=GRID_FROM)*('Dvd Calendar'!$X$1601&lt;=GRID_TO)*('Dvd Calendar'!$X$1601&gt;VAL_DATE)=0,"",'Dvd Calendar'!$X$1601*1000000000+ISNUMBER('Dvd Calendar'!$X$1602)*100000000+0*10000000+(N('Dvd Calendar'!$X$1600)&gt;0)*(N('Dvd Calendar'!$X$1600)&lt;=VAL_SERIAL)*1000000+4*1000+60))</f>
        <v/>
      </c>
      <c r="GM163" s="39">
        <f>IF(N('Dvd Calendar'!$Y$1601)=0,"",IF(('Dvd Calendar'!$Y$1601&gt;=GRID_FROM)*('Dvd Calendar'!$Y$1601&lt;=GRID_TO)*('Dvd Calendar'!$Y$1601&gt;VAL_DATE)=0,"",'Dvd Calendar'!$Y$1601*1000000000+ISNUMBER('Dvd Calendar'!$Y$1602)*100000000+0*10000000+(N('Dvd Calendar'!$Y$1600)&gt;0)*(N('Dvd Calendar'!$Y$1600)&lt;=VAL_SERIAL)*1000000+4*1000+61))</f>
        <v/>
      </c>
      <c r="GN163" s="39">
        <f>IF(N('Dvd Calendar'!$Z$1601)=0,"",IF(('Dvd Calendar'!$Z$1601&gt;=GRID_FROM)*('Dvd Calendar'!$Z$1601&lt;=GRID_TO)*('Dvd Calendar'!$Z$1601&gt;VAL_DATE)=0,"",'Dvd Calendar'!$Z$1601*1000000000+ISNUMBER('Dvd Calendar'!$Z$1602)*100000000+0*10000000+(N('Dvd Calendar'!$Z$1600)&gt;0)*(N('Dvd Calendar'!$Z$1600)&lt;=VAL_SERIAL)*1000000+4*1000+62))</f>
        <v/>
      </c>
      <c r="GO163" s="39">
        <f>IF(N('Dvd Calendar'!$AA$1601)=0,"",IF(('Dvd Calendar'!$AA$1601&gt;=GRID_FROM)*('Dvd Calendar'!$AA$1601&lt;=GRID_TO)*('Dvd Calendar'!$AA$1601&gt;VAL_DATE)=0,"",'Dvd Calendar'!$AA$1601*1000000000+ISNUMBER('Dvd Calendar'!$AA$1602)*100000000+0*10000000+(N('Dvd Calendar'!$AA$1600)&gt;0)*(N('Dvd Calendar'!$AA$1600)&lt;=VAL_SERIAL)*1000000+4*1000+63))</f>
        <v/>
      </c>
      <c r="GP163" s="39">
        <f>IF(N('Dvd Calendar'!$AB$1601)=0,"",IF(('Dvd Calendar'!$AB$1601&gt;=GRID_FROM)*('Dvd Calendar'!$AB$1601&lt;=GRID_TO)*('Dvd Calendar'!$AB$1601&gt;VAL_DATE)=0,"",'Dvd Calendar'!$AB$1601*1000000000+ISNUMBER('Dvd Calendar'!$AB$1602)*100000000+0*10000000+(N('Dvd Calendar'!$AB$1600)&gt;0)*(N('Dvd Calendar'!$AB$1600)&lt;=VAL_SERIAL)*1000000+4*1000+64))</f>
        <v/>
      </c>
      <c r="GQ163" s="39">
        <f>IF(N('Dvd Calendar'!$AC$1601)=0,"",IF(('Dvd Calendar'!$AC$1601&gt;=GRID_FROM)*('Dvd Calendar'!$AC$1601&lt;=GRID_TO)*('Dvd Calendar'!$AC$1601&gt;VAL_DATE)=0,"",'Dvd Calendar'!$AC$1601*1000000000+ISNUMBER('Dvd Calendar'!$AC$1602)*100000000+0*10000000+(N('Dvd Calendar'!$AC$1600)&gt;0)*(N('Dvd Calendar'!$AC$1600)&lt;=VAL_SERIAL)*1000000+4*1000+65))</f>
        <v/>
      </c>
    </row>
    <row r="164">
      <c r="B164" s="2">
        <f>IF(HSCEI!$C$11="","",HSCEI!$C$11)</f>
        <v/>
      </c>
      <c r="C164" s="110">
        <f>IF(EE164="","",IF(ISNUMBER('Dvd Calendar'!$E$1608)=FALSE,"",IF((('Dvd Calendar'!$E$1610=TYPE1)*(TYPE1&lt;&gt;"")+('Dvd Calendar'!$E$1610=TYPE2)*(TYPE2&lt;&gt;"")+('Dvd Calendar'!$E$1610=TYPE3)*(TYPE3&lt;&gt;"")+('Dvd Calendar'!$E$1610=TYPE4)*(TYPE4&lt;&gt;"")+('Dvd Calendar'!$E$1610=SPECIAL_LBL)*(INC_SPECIALS="Y"))=0,"",'Dvd Calendar'!$E$1608)))</f>
        <v/>
      </c>
      <c r="D164" s="110">
        <f>IF(EF164="","",IF(ISNUMBER('Dvd Calendar'!$F$1608)=FALSE,"",IF((('Dvd Calendar'!$F$1610=TYPE1)*(TYPE1&lt;&gt;"")+('Dvd Calendar'!$F$1610=TYPE2)*(TYPE2&lt;&gt;"")+('Dvd Calendar'!$F$1610=TYPE3)*(TYPE3&lt;&gt;"")+('Dvd Calendar'!$F$1610=TYPE4)*(TYPE4&lt;&gt;"")+('Dvd Calendar'!$F$1610=SPECIAL_LBL)*(INC_SPECIALS="Y"))=0,"",'Dvd Calendar'!$F$1608)))</f>
        <v/>
      </c>
      <c r="E164" s="110">
        <f>IF(EG164="","",IF(ISNUMBER('Dvd Calendar'!$G$1608)=FALSE,"",IF((('Dvd Calendar'!$G$1610=TYPE1)*(TYPE1&lt;&gt;"")+('Dvd Calendar'!$G$1610=TYPE2)*(TYPE2&lt;&gt;"")+('Dvd Calendar'!$G$1610=TYPE3)*(TYPE3&lt;&gt;"")+('Dvd Calendar'!$G$1610=TYPE4)*(TYPE4&lt;&gt;"")+('Dvd Calendar'!$G$1610=SPECIAL_LBL)*(INC_SPECIALS="Y"))=0,"",'Dvd Calendar'!$G$1608)))</f>
        <v/>
      </c>
      <c r="F164" s="110">
        <f>IF(EH164="","",IF(ISNUMBER('Dvd Calendar'!$H$1608)=FALSE,"",IF((('Dvd Calendar'!$H$1610=TYPE1)*(TYPE1&lt;&gt;"")+('Dvd Calendar'!$H$1610=TYPE2)*(TYPE2&lt;&gt;"")+('Dvd Calendar'!$H$1610=TYPE3)*(TYPE3&lt;&gt;"")+('Dvd Calendar'!$H$1610=TYPE4)*(TYPE4&lt;&gt;"")+('Dvd Calendar'!$H$1610=SPECIAL_LBL)*(INC_SPECIALS="Y"))=0,"",'Dvd Calendar'!$H$1608)))</f>
        <v/>
      </c>
      <c r="G164" s="110">
        <f>IF(EI164="","",IF(ISNUMBER('Dvd Calendar'!$I$1608)=FALSE,"",IF((('Dvd Calendar'!$I$1610=TYPE1)*(TYPE1&lt;&gt;"")+('Dvd Calendar'!$I$1610=TYPE2)*(TYPE2&lt;&gt;"")+('Dvd Calendar'!$I$1610=TYPE3)*(TYPE3&lt;&gt;"")+('Dvd Calendar'!$I$1610=TYPE4)*(TYPE4&lt;&gt;"")+('Dvd Calendar'!$I$1610=SPECIAL_LBL)*(INC_SPECIALS="Y"))=0,"",'Dvd Calendar'!$I$1608)))</f>
        <v/>
      </c>
      <c r="H164" s="110">
        <f>IF(EJ164="","",IF(ISNUMBER('Dvd Calendar'!$J$1608)=FALSE,"",IF((('Dvd Calendar'!$J$1610=TYPE1)*(TYPE1&lt;&gt;"")+('Dvd Calendar'!$J$1610=TYPE2)*(TYPE2&lt;&gt;"")+('Dvd Calendar'!$J$1610=TYPE3)*(TYPE3&lt;&gt;"")+('Dvd Calendar'!$J$1610=TYPE4)*(TYPE4&lt;&gt;"")+('Dvd Calendar'!$J$1610=SPECIAL_LBL)*(INC_SPECIALS="Y"))=0,"",'Dvd Calendar'!$J$1608)))</f>
        <v/>
      </c>
      <c r="I164" s="110">
        <f>IF(EK164="","",IF(ISNUMBER('Dvd Calendar'!$K$1608)=FALSE,"",IF((('Dvd Calendar'!$K$1610=TYPE1)*(TYPE1&lt;&gt;"")+('Dvd Calendar'!$K$1610=TYPE2)*(TYPE2&lt;&gt;"")+('Dvd Calendar'!$K$1610=TYPE3)*(TYPE3&lt;&gt;"")+('Dvd Calendar'!$K$1610=TYPE4)*(TYPE4&lt;&gt;"")+('Dvd Calendar'!$K$1610=SPECIAL_LBL)*(INC_SPECIALS="Y"))=0,"",'Dvd Calendar'!$K$1608)))</f>
        <v/>
      </c>
      <c r="J164" s="110">
        <f>IF(EL164="","",IF(ISNUMBER('Dvd Calendar'!$L$1608)=FALSE,"",IF((('Dvd Calendar'!$L$1610=TYPE1)*(TYPE1&lt;&gt;"")+('Dvd Calendar'!$L$1610=TYPE2)*(TYPE2&lt;&gt;"")+('Dvd Calendar'!$L$1610=TYPE3)*(TYPE3&lt;&gt;"")+('Dvd Calendar'!$L$1610=TYPE4)*(TYPE4&lt;&gt;"")+('Dvd Calendar'!$L$1610=SPECIAL_LBL)*(INC_SPECIALS="Y"))=0,"",'Dvd Calendar'!$L$1608)))</f>
        <v/>
      </c>
      <c r="K164" s="110">
        <f>IF(EM164="","",IF(ISNUMBER('Dvd Calendar'!$M$1608)=FALSE,"",IF((('Dvd Calendar'!$M$1610=TYPE1)*(TYPE1&lt;&gt;"")+('Dvd Calendar'!$M$1610=TYPE2)*(TYPE2&lt;&gt;"")+('Dvd Calendar'!$M$1610=TYPE3)*(TYPE3&lt;&gt;"")+('Dvd Calendar'!$M$1610=TYPE4)*(TYPE4&lt;&gt;"")+('Dvd Calendar'!$M$1610=SPECIAL_LBL)*(INC_SPECIALS="Y"))=0,"",'Dvd Calendar'!$M$1608)))</f>
        <v/>
      </c>
      <c r="L164" s="110">
        <f>IF(EN164="","",IF(ISNUMBER('Dvd Calendar'!$N$1608)=FALSE,"",IF((('Dvd Calendar'!$N$1610=TYPE1)*(TYPE1&lt;&gt;"")+('Dvd Calendar'!$N$1610=TYPE2)*(TYPE2&lt;&gt;"")+('Dvd Calendar'!$N$1610=TYPE3)*(TYPE3&lt;&gt;"")+('Dvd Calendar'!$N$1610=TYPE4)*(TYPE4&lt;&gt;"")+('Dvd Calendar'!$N$1610=SPECIAL_LBL)*(INC_SPECIALS="Y"))=0,"",'Dvd Calendar'!$N$1608)))</f>
        <v/>
      </c>
      <c r="M164" s="110">
        <f>IF(EO164="","",IF(ISNUMBER('Dvd Calendar'!$O$1608)=FALSE,"",IF((('Dvd Calendar'!$O$1610=TYPE1)*(TYPE1&lt;&gt;"")+('Dvd Calendar'!$O$1610=TYPE2)*(TYPE2&lt;&gt;"")+('Dvd Calendar'!$O$1610=TYPE3)*(TYPE3&lt;&gt;"")+('Dvd Calendar'!$O$1610=TYPE4)*(TYPE4&lt;&gt;"")+('Dvd Calendar'!$O$1610=SPECIAL_LBL)*(INC_SPECIALS="Y"))=0,"",'Dvd Calendar'!$O$1608)))</f>
        <v/>
      </c>
      <c r="N164" s="110">
        <f>IF(EP164="","",IF(ISNUMBER('Dvd Calendar'!$P$1608)=FALSE,"",IF((('Dvd Calendar'!$P$1610=TYPE1)*(TYPE1&lt;&gt;"")+('Dvd Calendar'!$P$1610=TYPE2)*(TYPE2&lt;&gt;"")+('Dvd Calendar'!$P$1610=TYPE3)*(TYPE3&lt;&gt;"")+('Dvd Calendar'!$P$1610=TYPE4)*(TYPE4&lt;&gt;"")+('Dvd Calendar'!$P$1610=SPECIAL_LBL)*(INC_SPECIALS="Y"))=0,"",'Dvd Calendar'!$P$1608)))</f>
        <v/>
      </c>
      <c r="O164" s="110">
        <f>IF(EQ164="","",IF(ISNUMBER('Dvd Calendar'!$Q$1608)=FALSE,"",IF((('Dvd Calendar'!$Q$1610=TYPE1)*(TYPE1&lt;&gt;"")+('Dvd Calendar'!$Q$1610=TYPE2)*(TYPE2&lt;&gt;"")+('Dvd Calendar'!$Q$1610=TYPE3)*(TYPE3&lt;&gt;"")+('Dvd Calendar'!$Q$1610=TYPE4)*(TYPE4&lt;&gt;"")+('Dvd Calendar'!$Q$1610=SPECIAL_LBL)*(INC_SPECIALS="Y"))=0,"",'Dvd Calendar'!$Q$1608)))</f>
        <v/>
      </c>
      <c r="P164" s="110">
        <f>IF(ER164="","",IF(ISNUMBER('Dvd Calendar'!$R$1608)=FALSE,"",IF((('Dvd Calendar'!$R$1610=TYPE1)*(TYPE1&lt;&gt;"")+('Dvd Calendar'!$R$1610=TYPE2)*(TYPE2&lt;&gt;"")+('Dvd Calendar'!$R$1610=TYPE3)*(TYPE3&lt;&gt;"")+('Dvd Calendar'!$R$1610=TYPE4)*(TYPE4&lt;&gt;"")+('Dvd Calendar'!$R$1610=SPECIAL_LBL)*(INC_SPECIALS="Y"))=0,"",'Dvd Calendar'!$R$1608)))</f>
        <v/>
      </c>
      <c r="Q164" s="110">
        <f>IF(ES164="","",IF(ISNUMBER('Dvd Calendar'!$S$1608)=FALSE,"",IF((('Dvd Calendar'!$S$1610=TYPE1)*(TYPE1&lt;&gt;"")+('Dvd Calendar'!$S$1610=TYPE2)*(TYPE2&lt;&gt;"")+('Dvd Calendar'!$S$1610=TYPE3)*(TYPE3&lt;&gt;"")+('Dvd Calendar'!$S$1610=TYPE4)*(TYPE4&lt;&gt;"")+('Dvd Calendar'!$S$1610=SPECIAL_LBL)*(INC_SPECIALS="Y"))=0,"",'Dvd Calendar'!$S$1608)))</f>
        <v/>
      </c>
      <c r="R164" s="110">
        <f>IF(ET164="","",IF(ISNUMBER('Dvd Calendar'!$T$1608)=FALSE,"",IF((('Dvd Calendar'!$T$1610=TYPE1)*(TYPE1&lt;&gt;"")+('Dvd Calendar'!$T$1610=TYPE2)*(TYPE2&lt;&gt;"")+('Dvd Calendar'!$T$1610=TYPE3)*(TYPE3&lt;&gt;"")+('Dvd Calendar'!$T$1610=TYPE4)*(TYPE4&lt;&gt;"")+('Dvd Calendar'!$T$1610=SPECIAL_LBL)*(INC_SPECIALS="Y"))=0,"",'Dvd Calendar'!$T$1608)))</f>
        <v/>
      </c>
      <c r="S164" s="110">
        <f>IF(EU164="","",IF(ISNUMBER('Dvd Calendar'!$U$1608)=FALSE,"",IF((('Dvd Calendar'!$U$1610=TYPE1)*(TYPE1&lt;&gt;"")+('Dvd Calendar'!$U$1610=TYPE2)*(TYPE2&lt;&gt;"")+('Dvd Calendar'!$U$1610=TYPE3)*(TYPE3&lt;&gt;"")+('Dvd Calendar'!$U$1610=TYPE4)*(TYPE4&lt;&gt;"")+('Dvd Calendar'!$U$1610=SPECIAL_LBL)*(INC_SPECIALS="Y"))=0,"",'Dvd Calendar'!$U$1608)))</f>
        <v/>
      </c>
      <c r="T164" s="110">
        <f>IF(EV164="","",IF(ISNUMBER('Dvd Calendar'!$V$1608)=FALSE,"",IF((('Dvd Calendar'!$V$1610=TYPE1)*(TYPE1&lt;&gt;"")+('Dvd Calendar'!$V$1610=TYPE2)*(TYPE2&lt;&gt;"")+('Dvd Calendar'!$V$1610=TYPE3)*(TYPE3&lt;&gt;"")+('Dvd Calendar'!$V$1610=TYPE4)*(TYPE4&lt;&gt;"")+('Dvd Calendar'!$V$1610=SPECIAL_LBL)*(INC_SPECIALS="Y"))=0,"",'Dvd Calendar'!$V$1608)))</f>
        <v/>
      </c>
      <c r="U164" s="110">
        <f>IF(EW164="","",IF(ISNUMBER('Dvd Calendar'!$W$1608)=FALSE,"",IF((('Dvd Calendar'!$W$1610=TYPE1)*(TYPE1&lt;&gt;"")+('Dvd Calendar'!$W$1610=TYPE2)*(TYPE2&lt;&gt;"")+('Dvd Calendar'!$W$1610=TYPE3)*(TYPE3&lt;&gt;"")+('Dvd Calendar'!$W$1610=TYPE4)*(TYPE4&lt;&gt;"")+('Dvd Calendar'!$W$1610=SPECIAL_LBL)*(INC_SPECIALS="Y"))=0,"",'Dvd Calendar'!$W$1608)))</f>
        <v/>
      </c>
      <c r="V164" s="110">
        <f>IF(EX164="","",IF(ISNUMBER('Dvd Calendar'!$X$1608)=FALSE,"",IF((('Dvd Calendar'!$X$1610=TYPE1)*(TYPE1&lt;&gt;"")+('Dvd Calendar'!$X$1610=TYPE2)*(TYPE2&lt;&gt;"")+('Dvd Calendar'!$X$1610=TYPE3)*(TYPE3&lt;&gt;"")+('Dvd Calendar'!$X$1610=TYPE4)*(TYPE4&lt;&gt;"")+('Dvd Calendar'!$X$1610=SPECIAL_LBL)*(INC_SPECIALS="Y"))=0,"",'Dvd Calendar'!$X$1608)))</f>
        <v/>
      </c>
      <c r="W164" s="110">
        <f>IF(EY164="","",IF(ISNUMBER('Dvd Calendar'!$Y$1608)=FALSE,"",IF((('Dvd Calendar'!$Y$1610=TYPE1)*(TYPE1&lt;&gt;"")+('Dvd Calendar'!$Y$1610=TYPE2)*(TYPE2&lt;&gt;"")+('Dvd Calendar'!$Y$1610=TYPE3)*(TYPE3&lt;&gt;"")+('Dvd Calendar'!$Y$1610=TYPE4)*(TYPE4&lt;&gt;"")+('Dvd Calendar'!$Y$1610=SPECIAL_LBL)*(INC_SPECIALS="Y"))=0,"",'Dvd Calendar'!$Y$1608)))</f>
        <v/>
      </c>
      <c r="X164" s="110">
        <f>IF(EZ164="","",IF(ISNUMBER('Dvd Calendar'!$Z$1608)=FALSE,"",IF((('Dvd Calendar'!$Z$1610=TYPE1)*(TYPE1&lt;&gt;"")+('Dvd Calendar'!$Z$1610=TYPE2)*(TYPE2&lt;&gt;"")+('Dvd Calendar'!$Z$1610=TYPE3)*(TYPE3&lt;&gt;"")+('Dvd Calendar'!$Z$1610=TYPE4)*(TYPE4&lt;&gt;"")+('Dvd Calendar'!$Z$1610=SPECIAL_LBL)*(INC_SPECIALS="Y"))=0,"",'Dvd Calendar'!$Z$1608)))</f>
        <v/>
      </c>
      <c r="Y164" s="110">
        <f>IF(FA164="","",IF(ISNUMBER('Dvd Calendar'!$AA$1608)=FALSE,"",IF((('Dvd Calendar'!$AA$1610=TYPE1)*(TYPE1&lt;&gt;"")+('Dvd Calendar'!$AA$1610=TYPE2)*(TYPE2&lt;&gt;"")+('Dvd Calendar'!$AA$1610=TYPE3)*(TYPE3&lt;&gt;"")+('Dvd Calendar'!$AA$1610=TYPE4)*(TYPE4&lt;&gt;"")+('Dvd Calendar'!$AA$1610=SPECIAL_LBL)*(INC_SPECIALS="Y"))=0,"",'Dvd Calendar'!$AA$1608)))</f>
        <v/>
      </c>
      <c r="Z164" s="110">
        <f>IF(FB164="","",IF(ISNUMBER('Dvd Calendar'!$AB$1608)=FALSE,"",IF((('Dvd Calendar'!$AB$1610=TYPE1)*(TYPE1&lt;&gt;"")+('Dvd Calendar'!$AB$1610=TYPE2)*(TYPE2&lt;&gt;"")+('Dvd Calendar'!$AB$1610=TYPE3)*(TYPE3&lt;&gt;"")+('Dvd Calendar'!$AB$1610=TYPE4)*(TYPE4&lt;&gt;"")+('Dvd Calendar'!$AB$1610=SPECIAL_LBL)*(INC_SPECIALS="Y"))=0,"",'Dvd Calendar'!$AB$1608)))</f>
        <v/>
      </c>
      <c r="AA164" s="110">
        <f>IF(FC164="","",IF(ISNUMBER('Dvd Calendar'!$AC$1608)=FALSE,"",IF((('Dvd Calendar'!$AC$1610=TYPE1)*(TYPE1&lt;&gt;"")+('Dvd Calendar'!$AC$1610=TYPE2)*(TYPE2&lt;&gt;"")+('Dvd Calendar'!$AC$1610=TYPE3)*(TYPE3&lt;&gt;"")+('Dvd Calendar'!$AC$1610=TYPE4)*(TYPE4&lt;&gt;"")+('Dvd Calendar'!$AC$1610=SPECIAL_LBL)*(INC_SPECIALS="Y"))=0,"",'Dvd Calendar'!$AC$1608)))</f>
        <v/>
      </c>
      <c r="AB164" s="110">
        <f>IF(FD164="","",IF(ISNUMBER('Dvd Calendar'!$AD$1608)=FALSE,"",IF((('Dvd Calendar'!$AD$1610=TYPE1)*(TYPE1&lt;&gt;"")+('Dvd Calendar'!$AD$1610=TYPE2)*(TYPE2&lt;&gt;"")+('Dvd Calendar'!$AD$1610=TYPE3)*(TYPE3&lt;&gt;"")+('Dvd Calendar'!$AD$1610=TYPE4)*(TYPE4&lt;&gt;"")+('Dvd Calendar'!$AD$1610=SPECIAL_LBL)*(INC_SPECIALS="Y"))=0,"",'Dvd Calendar'!$AD$1608)))</f>
        <v/>
      </c>
      <c r="AC164" s="110">
        <f>IF(FE164="","",IF(ISNUMBER('Dvd Calendar'!$AE$1608)=FALSE,"",IF((('Dvd Calendar'!$AE$1610=TYPE1)*(TYPE1&lt;&gt;"")+('Dvd Calendar'!$AE$1610=TYPE2)*(TYPE2&lt;&gt;"")+('Dvd Calendar'!$AE$1610=TYPE3)*(TYPE3&lt;&gt;"")+('Dvd Calendar'!$AE$1610=TYPE4)*(TYPE4&lt;&gt;"")+('Dvd Calendar'!$AE$1610=SPECIAL_LBL)*(INC_SPECIALS="Y"))=0,"",'Dvd Calendar'!$AE$1608)))</f>
        <v/>
      </c>
      <c r="AD164" s="110">
        <f>IF(FF164="","",IF(ISNUMBER('Dvd Calendar'!$AF$1608)=FALSE,"",IF((('Dvd Calendar'!$AF$1610=TYPE1)*(TYPE1&lt;&gt;"")+('Dvd Calendar'!$AF$1610=TYPE2)*(TYPE2&lt;&gt;"")+('Dvd Calendar'!$AF$1610=TYPE3)*(TYPE3&lt;&gt;"")+('Dvd Calendar'!$AF$1610=TYPE4)*(TYPE4&lt;&gt;"")+('Dvd Calendar'!$AF$1610=SPECIAL_LBL)*(INC_SPECIALS="Y"))=0,"",'Dvd Calendar'!$AF$1608)))</f>
        <v/>
      </c>
      <c r="AE164" s="110">
        <f>IF(FG164="","",IF(ISNUMBER('Dvd Calendar'!$AG$1608)=FALSE,"",IF((('Dvd Calendar'!$AG$1610=TYPE1)*(TYPE1&lt;&gt;"")+('Dvd Calendar'!$AG$1610=TYPE2)*(TYPE2&lt;&gt;"")+('Dvd Calendar'!$AG$1610=TYPE3)*(TYPE3&lt;&gt;"")+('Dvd Calendar'!$AG$1610=TYPE4)*(TYPE4&lt;&gt;"")+('Dvd Calendar'!$AG$1610=SPECIAL_LBL)*(INC_SPECIALS="Y"))=0,"",'Dvd Calendar'!$AG$1608)))</f>
        <v/>
      </c>
      <c r="AF164" s="110">
        <f>IF(FH164="","",IF(ISNUMBER('Dvd Calendar'!$AH$1608)=FALSE,"",IF((('Dvd Calendar'!$AH$1610=TYPE1)*(TYPE1&lt;&gt;"")+('Dvd Calendar'!$AH$1610=TYPE2)*(TYPE2&lt;&gt;"")+('Dvd Calendar'!$AH$1610=TYPE3)*(TYPE3&lt;&gt;"")+('Dvd Calendar'!$AH$1610=TYPE4)*(TYPE4&lt;&gt;"")+('Dvd Calendar'!$AH$1610=SPECIAL_LBL)*(INC_SPECIALS="Y"))=0,"",'Dvd Calendar'!$AH$1608)))</f>
        <v/>
      </c>
      <c r="AG164" s="110">
        <f>IF(FI164="","",IF(ISNUMBER('Dvd Calendar'!$AI$1608)=FALSE,"",IF((('Dvd Calendar'!$AI$1610=TYPE1)*(TYPE1&lt;&gt;"")+('Dvd Calendar'!$AI$1610=TYPE2)*(TYPE2&lt;&gt;"")+('Dvd Calendar'!$AI$1610=TYPE3)*(TYPE3&lt;&gt;"")+('Dvd Calendar'!$AI$1610=TYPE4)*(TYPE4&lt;&gt;"")+('Dvd Calendar'!$AI$1610=SPECIAL_LBL)*(INC_SPECIALS="Y"))=0,"",'Dvd Calendar'!$AI$1608)))</f>
        <v/>
      </c>
      <c r="AH164" s="110">
        <f>IF(FJ164="","",IF(ISNUMBER('Dvd Calendar'!$AJ$1608)=FALSE,"",IF((('Dvd Calendar'!$AJ$1610=TYPE1)*(TYPE1&lt;&gt;"")+('Dvd Calendar'!$AJ$1610=TYPE2)*(TYPE2&lt;&gt;"")+('Dvd Calendar'!$AJ$1610=TYPE3)*(TYPE3&lt;&gt;"")+('Dvd Calendar'!$AJ$1610=TYPE4)*(TYPE4&lt;&gt;"")+('Dvd Calendar'!$AJ$1610=SPECIAL_LBL)*(INC_SPECIALS="Y"))=0,"",'Dvd Calendar'!$AJ$1608)))</f>
        <v/>
      </c>
      <c r="AI164" s="110">
        <f>IF(FK164="","",IF(ISNUMBER('Dvd Calendar'!$AK$1608)=FALSE,"",IF((('Dvd Calendar'!$AK$1610=TYPE1)*(TYPE1&lt;&gt;"")+('Dvd Calendar'!$AK$1610=TYPE2)*(TYPE2&lt;&gt;"")+('Dvd Calendar'!$AK$1610=TYPE3)*(TYPE3&lt;&gt;"")+('Dvd Calendar'!$AK$1610=TYPE4)*(TYPE4&lt;&gt;"")+('Dvd Calendar'!$AK$1610=SPECIAL_LBL)*(INC_SPECIALS="Y"))=0,"",'Dvd Calendar'!$AK$1608)))</f>
        <v/>
      </c>
      <c r="AJ164" s="110">
        <f>IF(FL164="","",IF(ISNUMBER('Dvd Calendar'!$AL$1608)=FALSE,"",IF((('Dvd Calendar'!$AL$1610=TYPE1)*(TYPE1&lt;&gt;"")+('Dvd Calendar'!$AL$1610=TYPE2)*(TYPE2&lt;&gt;"")+('Dvd Calendar'!$AL$1610=TYPE3)*(TYPE3&lt;&gt;"")+('Dvd Calendar'!$AL$1610=TYPE4)*(TYPE4&lt;&gt;"")+('Dvd Calendar'!$AL$1610=SPECIAL_LBL)*(INC_SPECIALS="Y"))=0,"",'Dvd Calendar'!$AL$1608)))</f>
        <v/>
      </c>
      <c r="AK164" s="110">
        <f>IF(FM164="","",IF(ISNUMBER('Dvd Calendar'!$AM$1608)=FALSE,"",IF((('Dvd Calendar'!$AM$1610=TYPE1)*(TYPE1&lt;&gt;"")+('Dvd Calendar'!$AM$1610=TYPE2)*(TYPE2&lt;&gt;"")+('Dvd Calendar'!$AM$1610=TYPE3)*(TYPE3&lt;&gt;"")+('Dvd Calendar'!$AM$1610=TYPE4)*(TYPE4&lt;&gt;"")+('Dvd Calendar'!$AM$1610=SPECIAL_LBL)*(INC_SPECIALS="Y"))=0,"",'Dvd Calendar'!$AM$1608)))</f>
        <v/>
      </c>
      <c r="AL164" s="110">
        <f>IF(FN164="","",IF(ISNUMBER('Dvd Calendar'!$AN$1608)=FALSE,"",IF((('Dvd Calendar'!$AN$1610=TYPE1)*(TYPE1&lt;&gt;"")+('Dvd Calendar'!$AN$1610=TYPE2)*(TYPE2&lt;&gt;"")+('Dvd Calendar'!$AN$1610=TYPE3)*(TYPE3&lt;&gt;"")+('Dvd Calendar'!$AN$1610=TYPE4)*(TYPE4&lt;&gt;"")+('Dvd Calendar'!$AN$1610=SPECIAL_LBL)*(INC_SPECIALS="Y"))=0,"",'Dvd Calendar'!$AN$1608)))</f>
        <v/>
      </c>
      <c r="AM164" s="110">
        <f>IF(FO164="","",IF(ISNUMBER('Dvd Calendar'!$AO$1608)=FALSE,"",IF((('Dvd Calendar'!$AO$1610=TYPE1)*(TYPE1&lt;&gt;"")+('Dvd Calendar'!$AO$1610=TYPE2)*(TYPE2&lt;&gt;"")+('Dvd Calendar'!$AO$1610=TYPE3)*(TYPE3&lt;&gt;"")+('Dvd Calendar'!$AO$1610=TYPE4)*(TYPE4&lt;&gt;"")+('Dvd Calendar'!$AO$1610=SPECIAL_LBL)*(INC_SPECIALS="Y"))=0,"",'Dvd Calendar'!$AO$1608)))</f>
        <v/>
      </c>
      <c r="AN164" s="110">
        <f>IF(FP164="","",IF(ISNUMBER('Dvd Calendar'!$AP$1608)=FALSE,"",IF((('Dvd Calendar'!$AP$1610=TYPE1)*(TYPE1&lt;&gt;"")+('Dvd Calendar'!$AP$1610=TYPE2)*(TYPE2&lt;&gt;"")+('Dvd Calendar'!$AP$1610=TYPE3)*(TYPE3&lt;&gt;"")+('Dvd Calendar'!$AP$1610=TYPE4)*(TYPE4&lt;&gt;"")+('Dvd Calendar'!$AP$1610=SPECIAL_LBL)*(INC_SPECIALS="Y"))=0,"",'Dvd Calendar'!$AP$1608)))</f>
        <v/>
      </c>
      <c r="AO164" s="110">
        <f>IF(FQ164="","",IF(ISNUMBER('Dvd Calendar'!$AQ$1608)=FALSE,"",IF((('Dvd Calendar'!$AQ$1610=TYPE1)*(TYPE1&lt;&gt;"")+('Dvd Calendar'!$AQ$1610=TYPE2)*(TYPE2&lt;&gt;"")+('Dvd Calendar'!$AQ$1610=TYPE3)*(TYPE3&lt;&gt;"")+('Dvd Calendar'!$AQ$1610=TYPE4)*(TYPE4&lt;&gt;"")+('Dvd Calendar'!$AQ$1610=SPECIAL_LBL)*(INC_SPECIALS="Y"))=0,"",'Dvd Calendar'!$AQ$1608)))</f>
        <v/>
      </c>
      <c r="AP164" s="110">
        <f>IF(FR164="","",IF(ISNUMBER('Dvd Calendar'!$AR$1608)=FALSE,"",IF((('Dvd Calendar'!$AR$1610=TYPE1)*(TYPE1&lt;&gt;"")+('Dvd Calendar'!$AR$1610=TYPE2)*(TYPE2&lt;&gt;"")+('Dvd Calendar'!$AR$1610=TYPE3)*(TYPE3&lt;&gt;"")+('Dvd Calendar'!$AR$1610=TYPE4)*(TYPE4&lt;&gt;"")+('Dvd Calendar'!$AR$1610=SPECIAL_LBL)*(INC_SPECIALS="Y"))=0,"",'Dvd Calendar'!$AR$1608)))</f>
        <v/>
      </c>
      <c r="AQ164" s="110">
        <f>IF(FS164="","",IF(ISNUMBER('Dvd Calendar'!$E$1613)=FALSE,"",'Dvd Calendar'!$E$1613))</f>
        <v/>
      </c>
      <c r="AR164" s="110">
        <f>IF(FT164="","",IF(ISNUMBER('Dvd Calendar'!$F$1613)=FALSE,"",'Dvd Calendar'!$F$1613))</f>
        <v/>
      </c>
      <c r="AS164" s="110">
        <f>IF(FU164="","",IF(ISNUMBER('Dvd Calendar'!$G$1613)=FALSE,"",'Dvd Calendar'!$G$1613))</f>
        <v/>
      </c>
      <c r="AT164" s="110">
        <f>IF(FV164="","",IF(ISNUMBER('Dvd Calendar'!$H$1613)=FALSE,"",'Dvd Calendar'!$H$1613))</f>
        <v/>
      </c>
      <c r="AU164" s="110">
        <f>IF(FW164="","",IF(ISNUMBER('Dvd Calendar'!$I$1613)=FALSE,"",'Dvd Calendar'!$I$1613))</f>
        <v/>
      </c>
      <c r="AV164" s="110">
        <f>IF(FX164="","",IF(ISNUMBER('Dvd Calendar'!$J$1613)=FALSE,"",'Dvd Calendar'!$J$1613))</f>
        <v/>
      </c>
      <c r="AW164" s="110">
        <f>IF(FY164="","",IF(ISNUMBER('Dvd Calendar'!$K$1613)=FALSE,"",'Dvd Calendar'!$K$1613))</f>
        <v/>
      </c>
      <c r="AX164" s="110">
        <f>IF(FZ164="","",IF(ISNUMBER('Dvd Calendar'!$L$1613)=FALSE,"",'Dvd Calendar'!$L$1613))</f>
        <v/>
      </c>
      <c r="AY164" s="110">
        <f>IF(GA164="","",IF(ISNUMBER('Dvd Calendar'!$M$1613)=FALSE,"",'Dvd Calendar'!$M$1613))</f>
        <v/>
      </c>
      <c r="AZ164" s="110">
        <f>IF(GB164="","",IF(ISNUMBER('Dvd Calendar'!$N$1613)=FALSE,"",'Dvd Calendar'!$N$1613))</f>
        <v/>
      </c>
      <c r="BA164" s="110">
        <f>IF(GC164="","",IF(ISNUMBER('Dvd Calendar'!$O$1613)=FALSE,"",'Dvd Calendar'!$O$1613))</f>
        <v/>
      </c>
      <c r="BB164" s="110">
        <f>IF(GD164="","",IF(ISNUMBER('Dvd Calendar'!$P$1613)=FALSE,"",'Dvd Calendar'!$P$1613))</f>
        <v/>
      </c>
      <c r="BC164" s="110">
        <f>IF(GE164="","",IF(ISNUMBER('Dvd Calendar'!$Q$1613)=FALSE,"",'Dvd Calendar'!$Q$1613))</f>
        <v/>
      </c>
      <c r="BD164" s="110">
        <f>IF(GF164="","",IF(ISNUMBER('Dvd Calendar'!$R$1613)=FALSE,"",'Dvd Calendar'!$R$1613))</f>
        <v/>
      </c>
      <c r="BE164" s="110">
        <f>IF(GG164="","",IF(ISNUMBER('Dvd Calendar'!$S$1613)=FALSE,"",'Dvd Calendar'!$S$1613))</f>
        <v/>
      </c>
      <c r="BF164" s="110">
        <f>IF(GH164="","",IF(ISNUMBER('Dvd Calendar'!$T$1613)=FALSE,"",'Dvd Calendar'!$T$1613))</f>
        <v/>
      </c>
      <c r="BG164" s="110">
        <f>IF(GI164="","",IF(ISNUMBER('Dvd Calendar'!$U$1613)=FALSE,"",'Dvd Calendar'!$U$1613))</f>
        <v/>
      </c>
      <c r="BH164" s="110">
        <f>IF(GJ164="","",IF(ISNUMBER('Dvd Calendar'!$V$1613)=FALSE,"",'Dvd Calendar'!$V$1613))</f>
        <v/>
      </c>
      <c r="BI164" s="110">
        <f>IF(GK164="","",IF(ISNUMBER('Dvd Calendar'!$W$1613)=FALSE,"",'Dvd Calendar'!$W$1613))</f>
        <v/>
      </c>
      <c r="BJ164" s="110">
        <f>IF(GL164="","",IF(ISNUMBER('Dvd Calendar'!$X$1613)=FALSE,"",'Dvd Calendar'!$X$1613))</f>
        <v/>
      </c>
      <c r="BK164" s="110">
        <f>IF(GM164="","",IF(ISNUMBER('Dvd Calendar'!$Y$1613)=FALSE,"",'Dvd Calendar'!$Y$1613))</f>
        <v/>
      </c>
      <c r="BL164" s="110">
        <f>IF(GN164="","",IF(ISNUMBER('Dvd Calendar'!$Z$1613)=FALSE,"",'Dvd Calendar'!$Z$1613))</f>
        <v/>
      </c>
      <c r="BM164" s="110">
        <f>IF(GO164="","",IF(ISNUMBER('Dvd Calendar'!$AA$1613)=FALSE,"",'Dvd Calendar'!$AA$1613))</f>
        <v/>
      </c>
      <c r="BN164" s="110">
        <f>IF(GP164="","",IF(ISNUMBER('Dvd Calendar'!$AB$1613)=FALSE,"",'Dvd Calendar'!$AB$1613))</f>
        <v/>
      </c>
      <c r="BO164" s="110">
        <f>IF(GQ164="","",IF(ISNUMBER('Dvd Calendar'!$AC$1613)=FALSE,"",'Dvd Calendar'!$AC$1613))</f>
        <v/>
      </c>
      <c r="BQ164" s="110">
        <f>IF(C164="","",IFERROR(C164*HSCEI!$B$11*HSCEI!$G$11/HSCEI!$B$3,""))</f>
        <v/>
      </c>
      <c r="BR164" s="110">
        <f>IF(D164="","",IFERROR(D164*HSCEI!$B$11*HSCEI!$G$11/HSCEI!$B$3,""))</f>
        <v/>
      </c>
      <c r="BS164" s="110">
        <f>IF(E164="","",IFERROR(E164*HSCEI!$B$11*HSCEI!$G$11/HSCEI!$B$3,""))</f>
        <v/>
      </c>
      <c r="BT164" s="110">
        <f>IF(F164="","",IFERROR(F164*HSCEI!$B$11*HSCEI!$G$11/HSCEI!$B$3,""))</f>
        <v/>
      </c>
      <c r="BU164" s="110">
        <f>IF(G164="","",IFERROR(G164*HSCEI!$B$11*HSCEI!$G$11/HSCEI!$B$3,""))</f>
        <v/>
      </c>
      <c r="BV164" s="110">
        <f>IF(H164="","",IFERROR(H164*HSCEI!$B$11*HSCEI!$G$11/HSCEI!$B$3,""))</f>
        <v/>
      </c>
      <c r="BW164" s="110">
        <f>IF(I164="","",IFERROR(I164*HSCEI!$B$11*HSCEI!$G$11/HSCEI!$B$3,""))</f>
        <v/>
      </c>
      <c r="BX164" s="110">
        <f>IF(J164="","",IFERROR(J164*HSCEI!$B$11*HSCEI!$G$11/HSCEI!$B$3,""))</f>
        <v/>
      </c>
      <c r="BY164" s="110">
        <f>IF(K164="","",IFERROR(K164*HSCEI!$B$11*HSCEI!$G$11/HSCEI!$B$3,""))</f>
        <v/>
      </c>
      <c r="BZ164" s="110">
        <f>IF(L164="","",IFERROR(L164*HSCEI!$B$11*HSCEI!$G$11/HSCEI!$B$3,""))</f>
        <v/>
      </c>
      <c r="CA164" s="110">
        <f>IF(M164="","",IFERROR(M164*HSCEI!$B$11*HSCEI!$G$11/HSCEI!$B$3,""))</f>
        <v/>
      </c>
      <c r="CB164" s="110">
        <f>IF(N164="","",IFERROR(N164*HSCEI!$B$11*HSCEI!$G$11/HSCEI!$B$3,""))</f>
        <v/>
      </c>
      <c r="CC164" s="110">
        <f>IF(O164="","",IFERROR(O164*HSCEI!$B$11*HSCEI!$G$11/HSCEI!$B$3,""))</f>
        <v/>
      </c>
      <c r="CD164" s="110">
        <f>IF(P164="","",IFERROR(P164*HSCEI!$B$11*HSCEI!$G$11/HSCEI!$B$3,""))</f>
        <v/>
      </c>
      <c r="CE164" s="110">
        <f>IF(Q164="","",IFERROR(Q164*HSCEI!$B$11*HSCEI!$G$11/HSCEI!$B$3,""))</f>
        <v/>
      </c>
      <c r="CF164" s="110">
        <f>IF(R164="","",IFERROR(R164*HSCEI!$B$11*HSCEI!$G$11/HSCEI!$B$3,""))</f>
        <v/>
      </c>
      <c r="CG164" s="110">
        <f>IF(S164="","",IFERROR(S164*HSCEI!$B$11*HSCEI!$G$11/HSCEI!$B$3,""))</f>
        <v/>
      </c>
      <c r="CH164" s="110">
        <f>IF(T164="","",IFERROR(T164*HSCEI!$B$11*HSCEI!$G$11/HSCEI!$B$3,""))</f>
        <v/>
      </c>
      <c r="CI164" s="110">
        <f>IF(U164="","",IFERROR(U164*HSCEI!$B$11*HSCEI!$G$11/HSCEI!$B$3,""))</f>
        <v/>
      </c>
      <c r="CJ164" s="110">
        <f>IF(V164="","",IFERROR(V164*HSCEI!$B$11*HSCEI!$G$11/HSCEI!$B$3,""))</f>
        <v/>
      </c>
      <c r="CK164" s="110">
        <f>IF(W164="","",IFERROR(W164*HSCEI!$B$11*HSCEI!$G$11/HSCEI!$B$3,""))</f>
        <v/>
      </c>
      <c r="CL164" s="110">
        <f>IF(X164="","",IFERROR(X164*HSCEI!$B$11*HSCEI!$G$11/HSCEI!$B$3,""))</f>
        <v/>
      </c>
      <c r="CM164" s="110">
        <f>IF(Y164="","",IFERROR(Y164*HSCEI!$B$11*HSCEI!$G$11/HSCEI!$B$3,""))</f>
        <v/>
      </c>
      <c r="CN164" s="110">
        <f>IF(Z164="","",IFERROR(Z164*HSCEI!$B$11*HSCEI!$G$11/HSCEI!$B$3,""))</f>
        <v/>
      </c>
      <c r="CO164" s="110">
        <f>IF(AA164="","",IFERROR(AA164*HSCEI!$B$11*HSCEI!$G$11/HSCEI!$B$3,""))</f>
        <v/>
      </c>
      <c r="CP164" s="110">
        <f>IF(AB164="","",IFERROR(AB164*HSCEI!$B$11*HSCEI!$G$11/HSCEI!$B$3,""))</f>
        <v/>
      </c>
      <c r="CQ164" s="110">
        <f>IF(AC164="","",IFERROR(AC164*HSCEI!$B$11*HSCEI!$G$11/HSCEI!$B$3,""))</f>
        <v/>
      </c>
      <c r="CR164" s="110">
        <f>IF(AD164="","",IFERROR(AD164*HSCEI!$B$11*HSCEI!$G$11/HSCEI!$B$3,""))</f>
        <v/>
      </c>
      <c r="CS164" s="110">
        <f>IF(AE164="","",IFERROR(AE164*HSCEI!$B$11*HSCEI!$G$11/HSCEI!$B$3,""))</f>
        <v/>
      </c>
      <c r="CT164" s="110">
        <f>IF(AF164="","",IFERROR(AF164*HSCEI!$B$11*HSCEI!$G$11/HSCEI!$B$3,""))</f>
        <v/>
      </c>
      <c r="CU164" s="110">
        <f>IF(AG164="","",IFERROR(AG164*HSCEI!$B$11*HSCEI!$G$11/HSCEI!$B$3,""))</f>
        <v/>
      </c>
      <c r="CV164" s="110">
        <f>IF(AH164="","",IFERROR(AH164*HSCEI!$B$11*HSCEI!$G$11/HSCEI!$B$3,""))</f>
        <v/>
      </c>
      <c r="CW164" s="110">
        <f>IF(AI164="","",IFERROR(AI164*HSCEI!$B$11*HSCEI!$G$11/HSCEI!$B$3,""))</f>
        <v/>
      </c>
      <c r="CX164" s="110">
        <f>IF(AJ164="","",IFERROR(AJ164*HSCEI!$B$11*HSCEI!$G$11/HSCEI!$B$3,""))</f>
        <v/>
      </c>
      <c r="CY164" s="110">
        <f>IF(AK164="","",IFERROR(AK164*HSCEI!$B$11*HSCEI!$G$11/HSCEI!$B$3,""))</f>
        <v/>
      </c>
      <c r="CZ164" s="110">
        <f>IF(AL164="","",IFERROR(AL164*HSCEI!$B$11*HSCEI!$G$11/HSCEI!$B$3,""))</f>
        <v/>
      </c>
      <c r="DA164" s="110">
        <f>IF(AM164="","",IFERROR(AM164*HSCEI!$B$11*HSCEI!$G$11/HSCEI!$B$3,""))</f>
        <v/>
      </c>
      <c r="DB164" s="110">
        <f>IF(AN164="","",IFERROR(AN164*HSCEI!$B$11*HSCEI!$G$11/HSCEI!$B$3,""))</f>
        <v/>
      </c>
      <c r="DC164" s="110">
        <f>IF(AO164="","",IFERROR(AO164*HSCEI!$B$11*HSCEI!$G$11/HSCEI!$B$3,""))</f>
        <v/>
      </c>
      <c r="DD164" s="110">
        <f>IF(AP164="","",IFERROR(AP164*HSCEI!$B$11*HSCEI!$G$11/HSCEI!$B$3,""))</f>
        <v/>
      </c>
      <c r="DE164" s="110">
        <f>IF(AQ164="","",IFERROR(AQ164*HSCEI!$B$11*HSCEI!$G$11/HSCEI!$B$3,""))</f>
        <v/>
      </c>
      <c r="DF164" s="110">
        <f>IF(AR164="","",IFERROR(AR164*HSCEI!$B$11*HSCEI!$G$11/HSCEI!$B$3,""))</f>
        <v/>
      </c>
      <c r="DG164" s="110">
        <f>IF(AS164="","",IFERROR(AS164*HSCEI!$B$11*HSCEI!$G$11/HSCEI!$B$3,""))</f>
        <v/>
      </c>
      <c r="DH164" s="110">
        <f>IF(AT164="","",IFERROR(AT164*HSCEI!$B$11*HSCEI!$G$11/HSCEI!$B$3,""))</f>
        <v/>
      </c>
      <c r="DI164" s="110">
        <f>IF(AU164="","",IFERROR(AU164*HSCEI!$B$11*HSCEI!$G$11/HSCEI!$B$3,""))</f>
        <v/>
      </c>
      <c r="DJ164" s="110">
        <f>IF(AV164="","",IFERROR(AV164*HSCEI!$B$11*HSCEI!$G$11/HSCEI!$B$3,""))</f>
        <v/>
      </c>
      <c r="DK164" s="110">
        <f>IF(AW164="","",IFERROR(AW164*HSCEI!$B$11*HSCEI!$G$11/HSCEI!$B$3,""))</f>
        <v/>
      </c>
      <c r="DL164" s="110">
        <f>IF(AX164="","",IFERROR(AX164*HSCEI!$B$11*HSCEI!$G$11/HSCEI!$B$3,""))</f>
        <v/>
      </c>
      <c r="DM164" s="110">
        <f>IF(AY164="","",IFERROR(AY164*HSCEI!$B$11*HSCEI!$G$11/HSCEI!$B$3,""))</f>
        <v/>
      </c>
      <c r="DN164" s="110">
        <f>IF(AZ164="","",IFERROR(AZ164*HSCEI!$B$11*HSCEI!$G$11/HSCEI!$B$3,""))</f>
        <v/>
      </c>
      <c r="DO164" s="110">
        <f>IF(BA164="","",IFERROR(BA164*HSCEI!$B$11*HSCEI!$G$11/HSCEI!$B$3,""))</f>
        <v/>
      </c>
      <c r="DP164" s="110">
        <f>IF(BB164="","",IFERROR(BB164*HSCEI!$B$11*HSCEI!$G$11/HSCEI!$B$3,""))</f>
        <v/>
      </c>
      <c r="DQ164" s="110">
        <f>IF(BC164="","",IFERROR(BC164*HSCEI!$B$11*HSCEI!$G$11/HSCEI!$B$3,""))</f>
        <v/>
      </c>
      <c r="DR164" s="110">
        <f>IF(BD164="","",IFERROR(BD164*HSCEI!$B$11*HSCEI!$G$11/HSCEI!$B$3,""))</f>
        <v/>
      </c>
      <c r="DS164" s="110">
        <f>IF(BE164="","",IFERROR(BE164*HSCEI!$B$11*HSCEI!$G$11/HSCEI!$B$3,""))</f>
        <v/>
      </c>
      <c r="DT164" s="110">
        <f>IF(BF164="","",IFERROR(BF164*HSCEI!$B$11*HSCEI!$G$11/HSCEI!$B$3,""))</f>
        <v/>
      </c>
      <c r="DU164" s="110">
        <f>IF(BG164="","",IFERROR(BG164*HSCEI!$B$11*HSCEI!$G$11/HSCEI!$B$3,""))</f>
        <v/>
      </c>
      <c r="DV164" s="110">
        <f>IF(BH164="","",IFERROR(BH164*HSCEI!$B$11*HSCEI!$G$11/HSCEI!$B$3,""))</f>
        <v/>
      </c>
      <c r="DW164" s="110">
        <f>IF(BI164="","",IFERROR(BI164*HSCEI!$B$11*HSCEI!$G$11/HSCEI!$B$3,""))</f>
        <v/>
      </c>
      <c r="DX164" s="110">
        <f>IF(BJ164="","",IFERROR(BJ164*HSCEI!$B$11*HSCEI!$G$11/HSCEI!$B$3,""))</f>
        <v/>
      </c>
      <c r="DY164" s="110">
        <f>IF(BK164="","",IFERROR(BK164*HSCEI!$B$11*HSCEI!$G$11/HSCEI!$B$3,""))</f>
        <v/>
      </c>
      <c r="DZ164" s="110">
        <f>IF(BL164="","",IFERROR(BL164*HSCEI!$B$11*HSCEI!$G$11/HSCEI!$B$3,""))</f>
        <v/>
      </c>
      <c r="EA164" s="110">
        <f>IF(BM164="","",IFERROR(BM164*HSCEI!$B$11*HSCEI!$G$11/HSCEI!$B$3,""))</f>
        <v/>
      </c>
      <c r="EB164" s="110">
        <f>IF(BN164="","",IFERROR(BN164*HSCEI!$B$11*HSCEI!$G$11/HSCEI!$B$3,""))</f>
        <v/>
      </c>
      <c r="EC164" s="110">
        <f>IF(BO164="","",IFERROR(BO164*HSCEI!$B$11*HSCEI!$G$11/HSCEI!$B$3,""))</f>
        <v/>
      </c>
      <c r="EE164" s="39">
        <f>IF(N('Dvd Calendar'!$E$1605)=0,"",IF(('Dvd Calendar'!$E$1605&gt;=GRID_FROM)*('Dvd Calendar'!$E$1605&lt;=GRID_TO)*((('Dvd Calendar'!$E$1605&lt;=VAL_DATE)+(COUNTIF('Dvd Calendar'!$E$1612:$AR$1612,'Dvd Calendar'!$E$1605)=0))&gt;0)=0,"",'Dvd Calendar'!$E$1605*1000000000+ISNUMBER('Dvd Calendar'!$E$1608)*100000000+('Dvd Calendar'!$E$1610=SPECIAL_LBL)*10000000+(N('Dvd Calendar'!$E$1604)&gt;0)*(N('Dvd Calendar'!$E$1604)&lt;=VAL_SERIAL)*1000000+5*1000+1))</f>
        <v/>
      </c>
      <c r="EF164" s="39">
        <f>IF(N('Dvd Calendar'!$F$1605)=0,"",IF(('Dvd Calendar'!$F$1605&gt;=GRID_FROM)*('Dvd Calendar'!$F$1605&lt;=GRID_TO)*((('Dvd Calendar'!$F$1605&lt;=VAL_DATE)+(COUNTIF('Dvd Calendar'!$E$1612:$AR$1612,'Dvd Calendar'!$F$1605)=0))&gt;0)=0,"",'Dvd Calendar'!$F$1605*1000000000+ISNUMBER('Dvd Calendar'!$F$1608)*100000000+('Dvd Calendar'!$F$1610=SPECIAL_LBL)*10000000+(N('Dvd Calendar'!$F$1604)&gt;0)*(N('Dvd Calendar'!$F$1604)&lt;=VAL_SERIAL)*1000000+5*1000+2))</f>
        <v/>
      </c>
      <c r="EG164" s="39">
        <f>IF(N('Dvd Calendar'!$G$1605)=0,"",IF(('Dvd Calendar'!$G$1605&gt;=GRID_FROM)*('Dvd Calendar'!$G$1605&lt;=GRID_TO)*((('Dvd Calendar'!$G$1605&lt;=VAL_DATE)+(COUNTIF('Dvd Calendar'!$E$1612:$AR$1612,'Dvd Calendar'!$G$1605)=0))&gt;0)=0,"",'Dvd Calendar'!$G$1605*1000000000+ISNUMBER('Dvd Calendar'!$G$1608)*100000000+('Dvd Calendar'!$G$1610=SPECIAL_LBL)*10000000+(N('Dvd Calendar'!$G$1604)&gt;0)*(N('Dvd Calendar'!$G$1604)&lt;=VAL_SERIAL)*1000000+5*1000+3))</f>
        <v/>
      </c>
      <c r="EH164" s="39">
        <f>IF(N('Dvd Calendar'!$H$1605)=0,"",IF(('Dvd Calendar'!$H$1605&gt;=GRID_FROM)*('Dvd Calendar'!$H$1605&lt;=GRID_TO)*((('Dvd Calendar'!$H$1605&lt;=VAL_DATE)+(COUNTIF('Dvd Calendar'!$E$1612:$AR$1612,'Dvd Calendar'!$H$1605)=0))&gt;0)=0,"",'Dvd Calendar'!$H$1605*1000000000+ISNUMBER('Dvd Calendar'!$H$1608)*100000000+('Dvd Calendar'!$H$1610=SPECIAL_LBL)*10000000+(N('Dvd Calendar'!$H$1604)&gt;0)*(N('Dvd Calendar'!$H$1604)&lt;=VAL_SERIAL)*1000000+5*1000+4))</f>
        <v/>
      </c>
      <c r="EI164" s="39">
        <f>IF(N('Dvd Calendar'!$I$1605)=0,"",IF(('Dvd Calendar'!$I$1605&gt;=GRID_FROM)*('Dvd Calendar'!$I$1605&lt;=GRID_TO)*((('Dvd Calendar'!$I$1605&lt;=VAL_DATE)+(COUNTIF('Dvd Calendar'!$E$1612:$AR$1612,'Dvd Calendar'!$I$1605)=0))&gt;0)=0,"",'Dvd Calendar'!$I$1605*1000000000+ISNUMBER('Dvd Calendar'!$I$1608)*100000000+('Dvd Calendar'!$I$1610=SPECIAL_LBL)*10000000+(N('Dvd Calendar'!$I$1604)&gt;0)*(N('Dvd Calendar'!$I$1604)&lt;=VAL_SERIAL)*1000000+5*1000+5))</f>
        <v/>
      </c>
      <c r="EJ164" s="39">
        <f>IF(N('Dvd Calendar'!$J$1605)=0,"",IF(('Dvd Calendar'!$J$1605&gt;=GRID_FROM)*('Dvd Calendar'!$J$1605&lt;=GRID_TO)*((('Dvd Calendar'!$J$1605&lt;=VAL_DATE)+(COUNTIF('Dvd Calendar'!$E$1612:$AR$1612,'Dvd Calendar'!$J$1605)=0))&gt;0)=0,"",'Dvd Calendar'!$J$1605*1000000000+ISNUMBER('Dvd Calendar'!$J$1608)*100000000+('Dvd Calendar'!$J$1610=SPECIAL_LBL)*10000000+(N('Dvd Calendar'!$J$1604)&gt;0)*(N('Dvd Calendar'!$J$1604)&lt;=VAL_SERIAL)*1000000+5*1000+6))</f>
        <v/>
      </c>
      <c r="EK164" s="39">
        <f>IF(N('Dvd Calendar'!$K$1605)=0,"",IF(('Dvd Calendar'!$K$1605&gt;=GRID_FROM)*('Dvd Calendar'!$K$1605&lt;=GRID_TO)*((('Dvd Calendar'!$K$1605&lt;=VAL_DATE)+(COUNTIF('Dvd Calendar'!$E$1612:$AR$1612,'Dvd Calendar'!$K$1605)=0))&gt;0)=0,"",'Dvd Calendar'!$K$1605*1000000000+ISNUMBER('Dvd Calendar'!$K$1608)*100000000+('Dvd Calendar'!$K$1610=SPECIAL_LBL)*10000000+(N('Dvd Calendar'!$K$1604)&gt;0)*(N('Dvd Calendar'!$K$1604)&lt;=VAL_SERIAL)*1000000+5*1000+7))</f>
        <v/>
      </c>
      <c r="EL164" s="39">
        <f>IF(N('Dvd Calendar'!$L$1605)=0,"",IF(('Dvd Calendar'!$L$1605&gt;=GRID_FROM)*('Dvd Calendar'!$L$1605&lt;=GRID_TO)*((('Dvd Calendar'!$L$1605&lt;=VAL_DATE)+(COUNTIF('Dvd Calendar'!$E$1612:$AR$1612,'Dvd Calendar'!$L$1605)=0))&gt;0)=0,"",'Dvd Calendar'!$L$1605*1000000000+ISNUMBER('Dvd Calendar'!$L$1608)*100000000+('Dvd Calendar'!$L$1610=SPECIAL_LBL)*10000000+(N('Dvd Calendar'!$L$1604)&gt;0)*(N('Dvd Calendar'!$L$1604)&lt;=VAL_SERIAL)*1000000+5*1000+8))</f>
        <v/>
      </c>
      <c r="EM164" s="39">
        <f>IF(N('Dvd Calendar'!$M$1605)=0,"",IF(('Dvd Calendar'!$M$1605&gt;=GRID_FROM)*('Dvd Calendar'!$M$1605&lt;=GRID_TO)*((('Dvd Calendar'!$M$1605&lt;=VAL_DATE)+(COUNTIF('Dvd Calendar'!$E$1612:$AR$1612,'Dvd Calendar'!$M$1605)=0))&gt;0)=0,"",'Dvd Calendar'!$M$1605*1000000000+ISNUMBER('Dvd Calendar'!$M$1608)*100000000+('Dvd Calendar'!$M$1610=SPECIAL_LBL)*10000000+(N('Dvd Calendar'!$M$1604)&gt;0)*(N('Dvd Calendar'!$M$1604)&lt;=VAL_SERIAL)*1000000+5*1000+9))</f>
        <v/>
      </c>
      <c r="EN164" s="39">
        <f>IF(N('Dvd Calendar'!$N$1605)=0,"",IF(('Dvd Calendar'!$N$1605&gt;=GRID_FROM)*('Dvd Calendar'!$N$1605&lt;=GRID_TO)*((('Dvd Calendar'!$N$1605&lt;=VAL_DATE)+(COUNTIF('Dvd Calendar'!$E$1612:$AR$1612,'Dvd Calendar'!$N$1605)=0))&gt;0)=0,"",'Dvd Calendar'!$N$1605*1000000000+ISNUMBER('Dvd Calendar'!$N$1608)*100000000+('Dvd Calendar'!$N$1610=SPECIAL_LBL)*10000000+(N('Dvd Calendar'!$N$1604)&gt;0)*(N('Dvd Calendar'!$N$1604)&lt;=VAL_SERIAL)*1000000+5*1000+10))</f>
        <v/>
      </c>
      <c r="EO164" s="39">
        <f>IF(N('Dvd Calendar'!$O$1605)=0,"",IF(('Dvd Calendar'!$O$1605&gt;=GRID_FROM)*('Dvd Calendar'!$O$1605&lt;=GRID_TO)*((('Dvd Calendar'!$O$1605&lt;=VAL_DATE)+(COUNTIF('Dvd Calendar'!$E$1612:$AR$1612,'Dvd Calendar'!$O$1605)=0))&gt;0)=0,"",'Dvd Calendar'!$O$1605*1000000000+ISNUMBER('Dvd Calendar'!$O$1608)*100000000+('Dvd Calendar'!$O$1610=SPECIAL_LBL)*10000000+(N('Dvd Calendar'!$O$1604)&gt;0)*(N('Dvd Calendar'!$O$1604)&lt;=VAL_SERIAL)*1000000+5*1000+11))</f>
        <v/>
      </c>
      <c r="EP164" s="39">
        <f>IF(N('Dvd Calendar'!$P$1605)=0,"",IF(('Dvd Calendar'!$P$1605&gt;=GRID_FROM)*('Dvd Calendar'!$P$1605&lt;=GRID_TO)*((('Dvd Calendar'!$P$1605&lt;=VAL_DATE)+(COUNTIF('Dvd Calendar'!$E$1612:$AR$1612,'Dvd Calendar'!$P$1605)=0))&gt;0)=0,"",'Dvd Calendar'!$P$1605*1000000000+ISNUMBER('Dvd Calendar'!$P$1608)*100000000+('Dvd Calendar'!$P$1610=SPECIAL_LBL)*10000000+(N('Dvd Calendar'!$P$1604)&gt;0)*(N('Dvd Calendar'!$P$1604)&lt;=VAL_SERIAL)*1000000+5*1000+12))</f>
        <v/>
      </c>
      <c r="EQ164" s="39">
        <f>IF(N('Dvd Calendar'!$Q$1605)=0,"",IF(('Dvd Calendar'!$Q$1605&gt;=GRID_FROM)*('Dvd Calendar'!$Q$1605&lt;=GRID_TO)*((('Dvd Calendar'!$Q$1605&lt;=VAL_DATE)+(COUNTIF('Dvd Calendar'!$E$1612:$AR$1612,'Dvd Calendar'!$Q$1605)=0))&gt;0)=0,"",'Dvd Calendar'!$Q$1605*1000000000+ISNUMBER('Dvd Calendar'!$Q$1608)*100000000+('Dvd Calendar'!$Q$1610=SPECIAL_LBL)*10000000+(N('Dvd Calendar'!$Q$1604)&gt;0)*(N('Dvd Calendar'!$Q$1604)&lt;=VAL_SERIAL)*1000000+5*1000+13))</f>
        <v/>
      </c>
      <c r="ER164" s="39">
        <f>IF(N('Dvd Calendar'!$R$1605)=0,"",IF(('Dvd Calendar'!$R$1605&gt;=GRID_FROM)*('Dvd Calendar'!$R$1605&lt;=GRID_TO)*((('Dvd Calendar'!$R$1605&lt;=VAL_DATE)+(COUNTIF('Dvd Calendar'!$E$1612:$AR$1612,'Dvd Calendar'!$R$1605)=0))&gt;0)=0,"",'Dvd Calendar'!$R$1605*1000000000+ISNUMBER('Dvd Calendar'!$R$1608)*100000000+('Dvd Calendar'!$R$1610=SPECIAL_LBL)*10000000+(N('Dvd Calendar'!$R$1604)&gt;0)*(N('Dvd Calendar'!$R$1604)&lt;=VAL_SERIAL)*1000000+5*1000+14))</f>
        <v/>
      </c>
      <c r="ES164" s="39">
        <f>IF(N('Dvd Calendar'!$S$1605)=0,"",IF(('Dvd Calendar'!$S$1605&gt;=GRID_FROM)*('Dvd Calendar'!$S$1605&lt;=GRID_TO)*((('Dvd Calendar'!$S$1605&lt;=VAL_DATE)+(COUNTIF('Dvd Calendar'!$E$1612:$AR$1612,'Dvd Calendar'!$S$1605)=0))&gt;0)=0,"",'Dvd Calendar'!$S$1605*1000000000+ISNUMBER('Dvd Calendar'!$S$1608)*100000000+('Dvd Calendar'!$S$1610=SPECIAL_LBL)*10000000+(N('Dvd Calendar'!$S$1604)&gt;0)*(N('Dvd Calendar'!$S$1604)&lt;=VAL_SERIAL)*1000000+5*1000+15))</f>
        <v/>
      </c>
      <c r="ET164" s="39">
        <f>IF(N('Dvd Calendar'!$T$1605)=0,"",IF(('Dvd Calendar'!$T$1605&gt;=GRID_FROM)*('Dvd Calendar'!$T$1605&lt;=GRID_TO)*((('Dvd Calendar'!$T$1605&lt;=VAL_DATE)+(COUNTIF('Dvd Calendar'!$E$1612:$AR$1612,'Dvd Calendar'!$T$1605)=0))&gt;0)=0,"",'Dvd Calendar'!$T$1605*1000000000+ISNUMBER('Dvd Calendar'!$T$1608)*100000000+('Dvd Calendar'!$T$1610=SPECIAL_LBL)*10000000+(N('Dvd Calendar'!$T$1604)&gt;0)*(N('Dvd Calendar'!$T$1604)&lt;=VAL_SERIAL)*1000000+5*1000+16))</f>
        <v/>
      </c>
      <c r="EU164" s="39">
        <f>IF(N('Dvd Calendar'!$U$1605)=0,"",IF(('Dvd Calendar'!$U$1605&gt;=GRID_FROM)*('Dvd Calendar'!$U$1605&lt;=GRID_TO)*((('Dvd Calendar'!$U$1605&lt;=VAL_DATE)+(COUNTIF('Dvd Calendar'!$E$1612:$AR$1612,'Dvd Calendar'!$U$1605)=0))&gt;0)=0,"",'Dvd Calendar'!$U$1605*1000000000+ISNUMBER('Dvd Calendar'!$U$1608)*100000000+('Dvd Calendar'!$U$1610=SPECIAL_LBL)*10000000+(N('Dvd Calendar'!$U$1604)&gt;0)*(N('Dvd Calendar'!$U$1604)&lt;=VAL_SERIAL)*1000000+5*1000+17))</f>
        <v/>
      </c>
      <c r="EV164" s="39">
        <f>IF(N('Dvd Calendar'!$V$1605)=0,"",IF(('Dvd Calendar'!$V$1605&gt;=GRID_FROM)*('Dvd Calendar'!$V$1605&lt;=GRID_TO)*((('Dvd Calendar'!$V$1605&lt;=VAL_DATE)+(COUNTIF('Dvd Calendar'!$E$1612:$AR$1612,'Dvd Calendar'!$V$1605)=0))&gt;0)=0,"",'Dvd Calendar'!$V$1605*1000000000+ISNUMBER('Dvd Calendar'!$V$1608)*100000000+('Dvd Calendar'!$V$1610=SPECIAL_LBL)*10000000+(N('Dvd Calendar'!$V$1604)&gt;0)*(N('Dvd Calendar'!$V$1604)&lt;=VAL_SERIAL)*1000000+5*1000+18))</f>
        <v/>
      </c>
      <c r="EW164" s="39">
        <f>IF(N('Dvd Calendar'!$W$1605)=0,"",IF(('Dvd Calendar'!$W$1605&gt;=GRID_FROM)*('Dvd Calendar'!$W$1605&lt;=GRID_TO)*((('Dvd Calendar'!$W$1605&lt;=VAL_DATE)+(COUNTIF('Dvd Calendar'!$E$1612:$AR$1612,'Dvd Calendar'!$W$1605)=0))&gt;0)=0,"",'Dvd Calendar'!$W$1605*1000000000+ISNUMBER('Dvd Calendar'!$W$1608)*100000000+('Dvd Calendar'!$W$1610=SPECIAL_LBL)*10000000+(N('Dvd Calendar'!$W$1604)&gt;0)*(N('Dvd Calendar'!$W$1604)&lt;=VAL_SERIAL)*1000000+5*1000+19))</f>
        <v/>
      </c>
      <c r="EX164" s="39">
        <f>IF(N('Dvd Calendar'!$X$1605)=0,"",IF(('Dvd Calendar'!$X$1605&gt;=GRID_FROM)*('Dvd Calendar'!$X$1605&lt;=GRID_TO)*((('Dvd Calendar'!$X$1605&lt;=VAL_DATE)+(COUNTIF('Dvd Calendar'!$E$1612:$AR$1612,'Dvd Calendar'!$X$1605)=0))&gt;0)=0,"",'Dvd Calendar'!$X$1605*1000000000+ISNUMBER('Dvd Calendar'!$X$1608)*100000000+('Dvd Calendar'!$X$1610=SPECIAL_LBL)*10000000+(N('Dvd Calendar'!$X$1604)&gt;0)*(N('Dvd Calendar'!$X$1604)&lt;=VAL_SERIAL)*1000000+5*1000+20))</f>
        <v/>
      </c>
      <c r="EY164" s="39">
        <f>IF(N('Dvd Calendar'!$Y$1605)=0,"",IF(('Dvd Calendar'!$Y$1605&gt;=GRID_FROM)*('Dvd Calendar'!$Y$1605&lt;=GRID_TO)*((('Dvd Calendar'!$Y$1605&lt;=VAL_DATE)+(COUNTIF('Dvd Calendar'!$E$1612:$AR$1612,'Dvd Calendar'!$Y$1605)=0))&gt;0)=0,"",'Dvd Calendar'!$Y$1605*1000000000+ISNUMBER('Dvd Calendar'!$Y$1608)*100000000+('Dvd Calendar'!$Y$1610=SPECIAL_LBL)*10000000+(N('Dvd Calendar'!$Y$1604)&gt;0)*(N('Dvd Calendar'!$Y$1604)&lt;=VAL_SERIAL)*1000000+5*1000+21))</f>
        <v/>
      </c>
      <c r="EZ164" s="39">
        <f>IF(N('Dvd Calendar'!$Z$1605)=0,"",IF(('Dvd Calendar'!$Z$1605&gt;=GRID_FROM)*('Dvd Calendar'!$Z$1605&lt;=GRID_TO)*((('Dvd Calendar'!$Z$1605&lt;=VAL_DATE)+(COUNTIF('Dvd Calendar'!$E$1612:$AR$1612,'Dvd Calendar'!$Z$1605)=0))&gt;0)=0,"",'Dvd Calendar'!$Z$1605*1000000000+ISNUMBER('Dvd Calendar'!$Z$1608)*100000000+('Dvd Calendar'!$Z$1610=SPECIAL_LBL)*10000000+(N('Dvd Calendar'!$Z$1604)&gt;0)*(N('Dvd Calendar'!$Z$1604)&lt;=VAL_SERIAL)*1000000+5*1000+22))</f>
        <v/>
      </c>
      <c r="FA164" s="39">
        <f>IF(N('Dvd Calendar'!$AA$1605)=0,"",IF(('Dvd Calendar'!$AA$1605&gt;=GRID_FROM)*('Dvd Calendar'!$AA$1605&lt;=GRID_TO)*((('Dvd Calendar'!$AA$1605&lt;=VAL_DATE)+(COUNTIF('Dvd Calendar'!$E$1612:$AR$1612,'Dvd Calendar'!$AA$1605)=0))&gt;0)=0,"",'Dvd Calendar'!$AA$1605*1000000000+ISNUMBER('Dvd Calendar'!$AA$1608)*100000000+('Dvd Calendar'!$AA$1610=SPECIAL_LBL)*10000000+(N('Dvd Calendar'!$AA$1604)&gt;0)*(N('Dvd Calendar'!$AA$1604)&lt;=VAL_SERIAL)*1000000+5*1000+23))</f>
        <v/>
      </c>
      <c r="FB164" s="39">
        <f>IF(N('Dvd Calendar'!$AB$1605)=0,"",IF(('Dvd Calendar'!$AB$1605&gt;=GRID_FROM)*('Dvd Calendar'!$AB$1605&lt;=GRID_TO)*((('Dvd Calendar'!$AB$1605&lt;=VAL_DATE)+(COUNTIF('Dvd Calendar'!$E$1612:$AR$1612,'Dvd Calendar'!$AB$1605)=0))&gt;0)=0,"",'Dvd Calendar'!$AB$1605*1000000000+ISNUMBER('Dvd Calendar'!$AB$1608)*100000000+('Dvd Calendar'!$AB$1610=SPECIAL_LBL)*10000000+(N('Dvd Calendar'!$AB$1604)&gt;0)*(N('Dvd Calendar'!$AB$1604)&lt;=VAL_SERIAL)*1000000+5*1000+24))</f>
        <v/>
      </c>
      <c r="FC164" s="39">
        <f>IF(N('Dvd Calendar'!$AC$1605)=0,"",IF(('Dvd Calendar'!$AC$1605&gt;=GRID_FROM)*('Dvd Calendar'!$AC$1605&lt;=GRID_TO)*((('Dvd Calendar'!$AC$1605&lt;=VAL_DATE)+(COUNTIF('Dvd Calendar'!$E$1612:$AR$1612,'Dvd Calendar'!$AC$1605)=0))&gt;0)=0,"",'Dvd Calendar'!$AC$1605*1000000000+ISNUMBER('Dvd Calendar'!$AC$1608)*100000000+('Dvd Calendar'!$AC$1610=SPECIAL_LBL)*10000000+(N('Dvd Calendar'!$AC$1604)&gt;0)*(N('Dvd Calendar'!$AC$1604)&lt;=VAL_SERIAL)*1000000+5*1000+25))</f>
        <v/>
      </c>
      <c r="FD164" s="39">
        <f>IF(N('Dvd Calendar'!$AD$1605)=0,"",IF(('Dvd Calendar'!$AD$1605&gt;=GRID_FROM)*('Dvd Calendar'!$AD$1605&lt;=GRID_TO)*((('Dvd Calendar'!$AD$1605&lt;=VAL_DATE)+(COUNTIF('Dvd Calendar'!$E$1612:$AR$1612,'Dvd Calendar'!$AD$1605)=0))&gt;0)=0,"",'Dvd Calendar'!$AD$1605*1000000000+ISNUMBER('Dvd Calendar'!$AD$1608)*100000000+('Dvd Calendar'!$AD$1610=SPECIAL_LBL)*10000000+(N('Dvd Calendar'!$AD$1604)&gt;0)*(N('Dvd Calendar'!$AD$1604)&lt;=VAL_SERIAL)*1000000+5*1000+26))</f>
        <v/>
      </c>
      <c r="FE164" s="39">
        <f>IF(N('Dvd Calendar'!$AE$1605)=0,"",IF(('Dvd Calendar'!$AE$1605&gt;=GRID_FROM)*('Dvd Calendar'!$AE$1605&lt;=GRID_TO)*((('Dvd Calendar'!$AE$1605&lt;=VAL_DATE)+(COUNTIF('Dvd Calendar'!$E$1612:$AR$1612,'Dvd Calendar'!$AE$1605)=0))&gt;0)=0,"",'Dvd Calendar'!$AE$1605*1000000000+ISNUMBER('Dvd Calendar'!$AE$1608)*100000000+('Dvd Calendar'!$AE$1610=SPECIAL_LBL)*10000000+(N('Dvd Calendar'!$AE$1604)&gt;0)*(N('Dvd Calendar'!$AE$1604)&lt;=VAL_SERIAL)*1000000+5*1000+27))</f>
        <v/>
      </c>
      <c r="FF164" s="39">
        <f>IF(N('Dvd Calendar'!$AF$1605)=0,"",IF(('Dvd Calendar'!$AF$1605&gt;=GRID_FROM)*('Dvd Calendar'!$AF$1605&lt;=GRID_TO)*((('Dvd Calendar'!$AF$1605&lt;=VAL_DATE)+(COUNTIF('Dvd Calendar'!$E$1612:$AR$1612,'Dvd Calendar'!$AF$1605)=0))&gt;0)=0,"",'Dvd Calendar'!$AF$1605*1000000000+ISNUMBER('Dvd Calendar'!$AF$1608)*100000000+('Dvd Calendar'!$AF$1610=SPECIAL_LBL)*10000000+(N('Dvd Calendar'!$AF$1604)&gt;0)*(N('Dvd Calendar'!$AF$1604)&lt;=VAL_SERIAL)*1000000+5*1000+28))</f>
        <v/>
      </c>
      <c r="FG164" s="39">
        <f>IF(N('Dvd Calendar'!$AG$1605)=0,"",IF(('Dvd Calendar'!$AG$1605&gt;=GRID_FROM)*('Dvd Calendar'!$AG$1605&lt;=GRID_TO)*((('Dvd Calendar'!$AG$1605&lt;=VAL_DATE)+(COUNTIF('Dvd Calendar'!$E$1612:$AR$1612,'Dvd Calendar'!$AG$1605)=0))&gt;0)=0,"",'Dvd Calendar'!$AG$1605*1000000000+ISNUMBER('Dvd Calendar'!$AG$1608)*100000000+('Dvd Calendar'!$AG$1610=SPECIAL_LBL)*10000000+(N('Dvd Calendar'!$AG$1604)&gt;0)*(N('Dvd Calendar'!$AG$1604)&lt;=VAL_SERIAL)*1000000+5*1000+29))</f>
        <v/>
      </c>
      <c r="FH164" s="39">
        <f>IF(N('Dvd Calendar'!$AH$1605)=0,"",IF(('Dvd Calendar'!$AH$1605&gt;=GRID_FROM)*('Dvd Calendar'!$AH$1605&lt;=GRID_TO)*((('Dvd Calendar'!$AH$1605&lt;=VAL_DATE)+(COUNTIF('Dvd Calendar'!$E$1612:$AR$1612,'Dvd Calendar'!$AH$1605)=0))&gt;0)=0,"",'Dvd Calendar'!$AH$1605*1000000000+ISNUMBER('Dvd Calendar'!$AH$1608)*100000000+('Dvd Calendar'!$AH$1610=SPECIAL_LBL)*10000000+(N('Dvd Calendar'!$AH$1604)&gt;0)*(N('Dvd Calendar'!$AH$1604)&lt;=VAL_SERIAL)*1000000+5*1000+30))</f>
        <v/>
      </c>
      <c r="FI164" s="39">
        <f>IF(N('Dvd Calendar'!$AI$1605)=0,"",IF(('Dvd Calendar'!$AI$1605&gt;=GRID_FROM)*('Dvd Calendar'!$AI$1605&lt;=GRID_TO)*((('Dvd Calendar'!$AI$1605&lt;=VAL_DATE)+(COUNTIF('Dvd Calendar'!$E$1612:$AR$1612,'Dvd Calendar'!$AI$1605)=0))&gt;0)=0,"",'Dvd Calendar'!$AI$1605*1000000000+ISNUMBER('Dvd Calendar'!$AI$1608)*100000000+('Dvd Calendar'!$AI$1610=SPECIAL_LBL)*10000000+(N('Dvd Calendar'!$AI$1604)&gt;0)*(N('Dvd Calendar'!$AI$1604)&lt;=VAL_SERIAL)*1000000+5*1000+31))</f>
        <v/>
      </c>
      <c r="FJ164" s="39">
        <f>IF(N('Dvd Calendar'!$AJ$1605)=0,"",IF(('Dvd Calendar'!$AJ$1605&gt;=GRID_FROM)*('Dvd Calendar'!$AJ$1605&lt;=GRID_TO)*((('Dvd Calendar'!$AJ$1605&lt;=VAL_DATE)+(COUNTIF('Dvd Calendar'!$E$1612:$AR$1612,'Dvd Calendar'!$AJ$1605)=0))&gt;0)=0,"",'Dvd Calendar'!$AJ$1605*1000000000+ISNUMBER('Dvd Calendar'!$AJ$1608)*100000000+('Dvd Calendar'!$AJ$1610=SPECIAL_LBL)*10000000+(N('Dvd Calendar'!$AJ$1604)&gt;0)*(N('Dvd Calendar'!$AJ$1604)&lt;=VAL_SERIAL)*1000000+5*1000+32))</f>
        <v/>
      </c>
      <c r="FK164" s="39">
        <f>IF(N('Dvd Calendar'!$AK$1605)=0,"",IF(('Dvd Calendar'!$AK$1605&gt;=GRID_FROM)*('Dvd Calendar'!$AK$1605&lt;=GRID_TO)*((('Dvd Calendar'!$AK$1605&lt;=VAL_DATE)+(COUNTIF('Dvd Calendar'!$E$1612:$AR$1612,'Dvd Calendar'!$AK$1605)=0))&gt;0)=0,"",'Dvd Calendar'!$AK$1605*1000000000+ISNUMBER('Dvd Calendar'!$AK$1608)*100000000+('Dvd Calendar'!$AK$1610=SPECIAL_LBL)*10000000+(N('Dvd Calendar'!$AK$1604)&gt;0)*(N('Dvd Calendar'!$AK$1604)&lt;=VAL_SERIAL)*1000000+5*1000+33))</f>
        <v/>
      </c>
      <c r="FL164" s="39">
        <f>IF(N('Dvd Calendar'!$AL$1605)=0,"",IF(('Dvd Calendar'!$AL$1605&gt;=GRID_FROM)*('Dvd Calendar'!$AL$1605&lt;=GRID_TO)*((('Dvd Calendar'!$AL$1605&lt;=VAL_DATE)+(COUNTIF('Dvd Calendar'!$E$1612:$AR$1612,'Dvd Calendar'!$AL$1605)=0))&gt;0)=0,"",'Dvd Calendar'!$AL$1605*1000000000+ISNUMBER('Dvd Calendar'!$AL$1608)*100000000+('Dvd Calendar'!$AL$1610=SPECIAL_LBL)*10000000+(N('Dvd Calendar'!$AL$1604)&gt;0)*(N('Dvd Calendar'!$AL$1604)&lt;=VAL_SERIAL)*1000000+5*1000+34))</f>
        <v/>
      </c>
      <c r="FM164" s="39">
        <f>IF(N('Dvd Calendar'!$AM$1605)=0,"",IF(('Dvd Calendar'!$AM$1605&gt;=GRID_FROM)*('Dvd Calendar'!$AM$1605&lt;=GRID_TO)*((('Dvd Calendar'!$AM$1605&lt;=VAL_DATE)+(COUNTIF('Dvd Calendar'!$E$1612:$AR$1612,'Dvd Calendar'!$AM$1605)=0))&gt;0)=0,"",'Dvd Calendar'!$AM$1605*1000000000+ISNUMBER('Dvd Calendar'!$AM$1608)*100000000+('Dvd Calendar'!$AM$1610=SPECIAL_LBL)*10000000+(N('Dvd Calendar'!$AM$1604)&gt;0)*(N('Dvd Calendar'!$AM$1604)&lt;=VAL_SERIAL)*1000000+5*1000+35))</f>
        <v/>
      </c>
      <c r="FN164" s="39">
        <f>IF(N('Dvd Calendar'!$AN$1605)=0,"",IF(('Dvd Calendar'!$AN$1605&gt;=GRID_FROM)*('Dvd Calendar'!$AN$1605&lt;=GRID_TO)*((('Dvd Calendar'!$AN$1605&lt;=VAL_DATE)+(COUNTIF('Dvd Calendar'!$E$1612:$AR$1612,'Dvd Calendar'!$AN$1605)=0))&gt;0)=0,"",'Dvd Calendar'!$AN$1605*1000000000+ISNUMBER('Dvd Calendar'!$AN$1608)*100000000+('Dvd Calendar'!$AN$1610=SPECIAL_LBL)*10000000+(N('Dvd Calendar'!$AN$1604)&gt;0)*(N('Dvd Calendar'!$AN$1604)&lt;=VAL_SERIAL)*1000000+5*1000+36))</f>
        <v/>
      </c>
      <c r="FO164" s="39">
        <f>IF(N('Dvd Calendar'!$AO$1605)=0,"",IF(('Dvd Calendar'!$AO$1605&gt;=GRID_FROM)*('Dvd Calendar'!$AO$1605&lt;=GRID_TO)*((('Dvd Calendar'!$AO$1605&lt;=VAL_DATE)+(COUNTIF('Dvd Calendar'!$E$1612:$AR$1612,'Dvd Calendar'!$AO$1605)=0))&gt;0)=0,"",'Dvd Calendar'!$AO$1605*1000000000+ISNUMBER('Dvd Calendar'!$AO$1608)*100000000+('Dvd Calendar'!$AO$1610=SPECIAL_LBL)*10000000+(N('Dvd Calendar'!$AO$1604)&gt;0)*(N('Dvd Calendar'!$AO$1604)&lt;=VAL_SERIAL)*1000000+5*1000+37))</f>
        <v/>
      </c>
      <c r="FP164" s="39">
        <f>IF(N('Dvd Calendar'!$AP$1605)=0,"",IF(('Dvd Calendar'!$AP$1605&gt;=GRID_FROM)*('Dvd Calendar'!$AP$1605&lt;=GRID_TO)*((('Dvd Calendar'!$AP$1605&lt;=VAL_DATE)+(COUNTIF('Dvd Calendar'!$E$1612:$AR$1612,'Dvd Calendar'!$AP$1605)=0))&gt;0)=0,"",'Dvd Calendar'!$AP$1605*1000000000+ISNUMBER('Dvd Calendar'!$AP$1608)*100000000+('Dvd Calendar'!$AP$1610=SPECIAL_LBL)*10000000+(N('Dvd Calendar'!$AP$1604)&gt;0)*(N('Dvd Calendar'!$AP$1604)&lt;=VAL_SERIAL)*1000000+5*1000+38))</f>
        <v/>
      </c>
      <c r="FQ164" s="39">
        <f>IF(N('Dvd Calendar'!$AQ$1605)=0,"",IF(('Dvd Calendar'!$AQ$1605&gt;=GRID_FROM)*('Dvd Calendar'!$AQ$1605&lt;=GRID_TO)*((('Dvd Calendar'!$AQ$1605&lt;=VAL_DATE)+(COUNTIF('Dvd Calendar'!$E$1612:$AR$1612,'Dvd Calendar'!$AQ$1605)=0))&gt;0)=0,"",'Dvd Calendar'!$AQ$1605*1000000000+ISNUMBER('Dvd Calendar'!$AQ$1608)*100000000+('Dvd Calendar'!$AQ$1610=SPECIAL_LBL)*10000000+(N('Dvd Calendar'!$AQ$1604)&gt;0)*(N('Dvd Calendar'!$AQ$1604)&lt;=VAL_SERIAL)*1000000+5*1000+39))</f>
        <v/>
      </c>
      <c r="FR164" s="39">
        <f>IF(N('Dvd Calendar'!$AR$1605)=0,"",IF(('Dvd Calendar'!$AR$1605&gt;=GRID_FROM)*('Dvd Calendar'!$AR$1605&lt;=GRID_TO)*((('Dvd Calendar'!$AR$1605&lt;=VAL_DATE)+(COUNTIF('Dvd Calendar'!$E$1612:$AR$1612,'Dvd Calendar'!$AR$1605)=0))&gt;0)=0,"",'Dvd Calendar'!$AR$1605*1000000000+ISNUMBER('Dvd Calendar'!$AR$1608)*100000000+('Dvd Calendar'!$AR$1610=SPECIAL_LBL)*10000000+(N('Dvd Calendar'!$AR$1604)&gt;0)*(N('Dvd Calendar'!$AR$1604)&lt;=VAL_SERIAL)*1000000+5*1000+40))</f>
        <v/>
      </c>
      <c r="FS164" s="39">
        <f>IF(N('Dvd Calendar'!$E$1612)=0,"",IF(('Dvd Calendar'!$E$1612&gt;=GRID_FROM)*('Dvd Calendar'!$E$1612&lt;=GRID_TO)*('Dvd Calendar'!$E$1612&gt;VAL_DATE)=0,"",'Dvd Calendar'!$E$1612*1000000000+ISNUMBER('Dvd Calendar'!$E$1613)*100000000+0*10000000+(N('Dvd Calendar'!$E$1611)&gt;0)*(N('Dvd Calendar'!$E$1611)&lt;=VAL_SERIAL)*1000000+5*1000+41))</f>
        <v/>
      </c>
      <c r="FT164" s="39">
        <f>IF(N('Dvd Calendar'!$F$1612)=0,"",IF(('Dvd Calendar'!$F$1612&gt;=GRID_FROM)*('Dvd Calendar'!$F$1612&lt;=GRID_TO)*('Dvd Calendar'!$F$1612&gt;VAL_DATE)=0,"",'Dvd Calendar'!$F$1612*1000000000+ISNUMBER('Dvd Calendar'!$F$1613)*100000000+0*10000000+(N('Dvd Calendar'!$F$1611)&gt;0)*(N('Dvd Calendar'!$F$1611)&lt;=VAL_SERIAL)*1000000+5*1000+42))</f>
        <v/>
      </c>
      <c r="FU164" s="39">
        <f>IF(N('Dvd Calendar'!$G$1612)=0,"",IF(('Dvd Calendar'!$G$1612&gt;=GRID_FROM)*('Dvd Calendar'!$G$1612&lt;=GRID_TO)*('Dvd Calendar'!$G$1612&gt;VAL_DATE)=0,"",'Dvd Calendar'!$G$1612*1000000000+ISNUMBER('Dvd Calendar'!$G$1613)*100000000+0*10000000+(N('Dvd Calendar'!$G$1611)&gt;0)*(N('Dvd Calendar'!$G$1611)&lt;=VAL_SERIAL)*1000000+5*1000+43))</f>
        <v/>
      </c>
      <c r="FV164" s="39">
        <f>IF(N('Dvd Calendar'!$H$1612)=0,"",IF(('Dvd Calendar'!$H$1612&gt;=GRID_FROM)*('Dvd Calendar'!$H$1612&lt;=GRID_TO)*('Dvd Calendar'!$H$1612&gt;VAL_DATE)=0,"",'Dvd Calendar'!$H$1612*1000000000+ISNUMBER('Dvd Calendar'!$H$1613)*100000000+0*10000000+(N('Dvd Calendar'!$H$1611)&gt;0)*(N('Dvd Calendar'!$H$1611)&lt;=VAL_SERIAL)*1000000+5*1000+44))</f>
        <v/>
      </c>
      <c r="FW164" s="39">
        <f>IF(N('Dvd Calendar'!$I$1612)=0,"",IF(('Dvd Calendar'!$I$1612&gt;=GRID_FROM)*('Dvd Calendar'!$I$1612&lt;=GRID_TO)*('Dvd Calendar'!$I$1612&gt;VAL_DATE)=0,"",'Dvd Calendar'!$I$1612*1000000000+ISNUMBER('Dvd Calendar'!$I$1613)*100000000+0*10000000+(N('Dvd Calendar'!$I$1611)&gt;0)*(N('Dvd Calendar'!$I$1611)&lt;=VAL_SERIAL)*1000000+5*1000+45))</f>
        <v/>
      </c>
      <c r="FX164" s="39">
        <f>IF(N('Dvd Calendar'!$J$1612)=0,"",IF(('Dvd Calendar'!$J$1612&gt;=GRID_FROM)*('Dvd Calendar'!$J$1612&lt;=GRID_TO)*('Dvd Calendar'!$J$1612&gt;VAL_DATE)=0,"",'Dvd Calendar'!$J$1612*1000000000+ISNUMBER('Dvd Calendar'!$J$1613)*100000000+0*10000000+(N('Dvd Calendar'!$J$1611)&gt;0)*(N('Dvd Calendar'!$J$1611)&lt;=VAL_SERIAL)*1000000+5*1000+46))</f>
        <v/>
      </c>
      <c r="FY164" s="39">
        <f>IF(N('Dvd Calendar'!$K$1612)=0,"",IF(('Dvd Calendar'!$K$1612&gt;=GRID_FROM)*('Dvd Calendar'!$K$1612&lt;=GRID_TO)*('Dvd Calendar'!$K$1612&gt;VAL_DATE)=0,"",'Dvd Calendar'!$K$1612*1000000000+ISNUMBER('Dvd Calendar'!$K$1613)*100000000+0*10000000+(N('Dvd Calendar'!$K$1611)&gt;0)*(N('Dvd Calendar'!$K$1611)&lt;=VAL_SERIAL)*1000000+5*1000+47))</f>
        <v/>
      </c>
      <c r="FZ164" s="39">
        <f>IF(N('Dvd Calendar'!$L$1612)=0,"",IF(('Dvd Calendar'!$L$1612&gt;=GRID_FROM)*('Dvd Calendar'!$L$1612&lt;=GRID_TO)*('Dvd Calendar'!$L$1612&gt;VAL_DATE)=0,"",'Dvd Calendar'!$L$1612*1000000000+ISNUMBER('Dvd Calendar'!$L$1613)*100000000+0*10000000+(N('Dvd Calendar'!$L$1611)&gt;0)*(N('Dvd Calendar'!$L$1611)&lt;=VAL_SERIAL)*1000000+5*1000+48))</f>
        <v/>
      </c>
      <c r="GA164" s="39">
        <f>IF(N('Dvd Calendar'!$M$1612)=0,"",IF(('Dvd Calendar'!$M$1612&gt;=GRID_FROM)*('Dvd Calendar'!$M$1612&lt;=GRID_TO)*('Dvd Calendar'!$M$1612&gt;VAL_DATE)=0,"",'Dvd Calendar'!$M$1612*1000000000+ISNUMBER('Dvd Calendar'!$M$1613)*100000000+0*10000000+(N('Dvd Calendar'!$M$1611)&gt;0)*(N('Dvd Calendar'!$M$1611)&lt;=VAL_SERIAL)*1000000+5*1000+49))</f>
        <v/>
      </c>
      <c r="GB164" s="39">
        <f>IF(N('Dvd Calendar'!$N$1612)=0,"",IF(('Dvd Calendar'!$N$1612&gt;=GRID_FROM)*('Dvd Calendar'!$N$1612&lt;=GRID_TO)*('Dvd Calendar'!$N$1612&gt;VAL_DATE)=0,"",'Dvd Calendar'!$N$1612*1000000000+ISNUMBER('Dvd Calendar'!$N$1613)*100000000+0*10000000+(N('Dvd Calendar'!$N$1611)&gt;0)*(N('Dvd Calendar'!$N$1611)&lt;=VAL_SERIAL)*1000000+5*1000+50))</f>
        <v/>
      </c>
      <c r="GC164" s="39">
        <f>IF(N('Dvd Calendar'!$O$1612)=0,"",IF(('Dvd Calendar'!$O$1612&gt;=GRID_FROM)*('Dvd Calendar'!$O$1612&lt;=GRID_TO)*('Dvd Calendar'!$O$1612&gt;VAL_DATE)=0,"",'Dvd Calendar'!$O$1612*1000000000+ISNUMBER('Dvd Calendar'!$O$1613)*100000000+0*10000000+(N('Dvd Calendar'!$O$1611)&gt;0)*(N('Dvd Calendar'!$O$1611)&lt;=VAL_SERIAL)*1000000+5*1000+51))</f>
        <v/>
      </c>
      <c r="GD164" s="39">
        <f>IF(N('Dvd Calendar'!$P$1612)=0,"",IF(('Dvd Calendar'!$P$1612&gt;=GRID_FROM)*('Dvd Calendar'!$P$1612&lt;=GRID_TO)*('Dvd Calendar'!$P$1612&gt;VAL_DATE)=0,"",'Dvd Calendar'!$P$1612*1000000000+ISNUMBER('Dvd Calendar'!$P$1613)*100000000+0*10000000+(N('Dvd Calendar'!$P$1611)&gt;0)*(N('Dvd Calendar'!$P$1611)&lt;=VAL_SERIAL)*1000000+5*1000+52))</f>
        <v/>
      </c>
      <c r="GE164" s="39">
        <f>IF(N('Dvd Calendar'!$Q$1612)=0,"",IF(('Dvd Calendar'!$Q$1612&gt;=GRID_FROM)*('Dvd Calendar'!$Q$1612&lt;=GRID_TO)*('Dvd Calendar'!$Q$1612&gt;VAL_DATE)=0,"",'Dvd Calendar'!$Q$1612*1000000000+ISNUMBER('Dvd Calendar'!$Q$1613)*100000000+0*10000000+(N('Dvd Calendar'!$Q$1611)&gt;0)*(N('Dvd Calendar'!$Q$1611)&lt;=VAL_SERIAL)*1000000+5*1000+53))</f>
        <v/>
      </c>
      <c r="GF164" s="39">
        <f>IF(N('Dvd Calendar'!$R$1612)=0,"",IF(('Dvd Calendar'!$R$1612&gt;=GRID_FROM)*('Dvd Calendar'!$R$1612&lt;=GRID_TO)*('Dvd Calendar'!$R$1612&gt;VAL_DATE)=0,"",'Dvd Calendar'!$R$1612*1000000000+ISNUMBER('Dvd Calendar'!$R$1613)*100000000+0*10000000+(N('Dvd Calendar'!$R$1611)&gt;0)*(N('Dvd Calendar'!$R$1611)&lt;=VAL_SERIAL)*1000000+5*1000+54))</f>
        <v/>
      </c>
      <c r="GG164" s="39">
        <f>IF(N('Dvd Calendar'!$S$1612)=0,"",IF(('Dvd Calendar'!$S$1612&gt;=GRID_FROM)*('Dvd Calendar'!$S$1612&lt;=GRID_TO)*('Dvd Calendar'!$S$1612&gt;VAL_DATE)=0,"",'Dvd Calendar'!$S$1612*1000000000+ISNUMBER('Dvd Calendar'!$S$1613)*100000000+0*10000000+(N('Dvd Calendar'!$S$1611)&gt;0)*(N('Dvd Calendar'!$S$1611)&lt;=VAL_SERIAL)*1000000+5*1000+55))</f>
        <v/>
      </c>
      <c r="GH164" s="39">
        <f>IF(N('Dvd Calendar'!$T$1612)=0,"",IF(('Dvd Calendar'!$T$1612&gt;=GRID_FROM)*('Dvd Calendar'!$T$1612&lt;=GRID_TO)*('Dvd Calendar'!$T$1612&gt;VAL_DATE)=0,"",'Dvd Calendar'!$T$1612*1000000000+ISNUMBER('Dvd Calendar'!$T$1613)*100000000+0*10000000+(N('Dvd Calendar'!$T$1611)&gt;0)*(N('Dvd Calendar'!$T$1611)&lt;=VAL_SERIAL)*1000000+5*1000+56))</f>
        <v/>
      </c>
      <c r="GI164" s="39">
        <f>IF(N('Dvd Calendar'!$U$1612)=0,"",IF(('Dvd Calendar'!$U$1612&gt;=GRID_FROM)*('Dvd Calendar'!$U$1612&lt;=GRID_TO)*('Dvd Calendar'!$U$1612&gt;VAL_DATE)=0,"",'Dvd Calendar'!$U$1612*1000000000+ISNUMBER('Dvd Calendar'!$U$1613)*100000000+0*10000000+(N('Dvd Calendar'!$U$1611)&gt;0)*(N('Dvd Calendar'!$U$1611)&lt;=VAL_SERIAL)*1000000+5*1000+57))</f>
        <v/>
      </c>
      <c r="GJ164" s="39">
        <f>IF(N('Dvd Calendar'!$V$1612)=0,"",IF(('Dvd Calendar'!$V$1612&gt;=GRID_FROM)*('Dvd Calendar'!$V$1612&lt;=GRID_TO)*('Dvd Calendar'!$V$1612&gt;VAL_DATE)=0,"",'Dvd Calendar'!$V$1612*1000000000+ISNUMBER('Dvd Calendar'!$V$1613)*100000000+0*10000000+(N('Dvd Calendar'!$V$1611)&gt;0)*(N('Dvd Calendar'!$V$1611)&lt;=VAL_SERIAL)*1000000+5*1000+58))</f>
        <v/>
      </c>
      <c r="GK164" s="39">
        <f>IF(N('Dvd Calendar'!$W$1612)=0,"",IF(('Dvd Calendar'!$W$1612&gt;=GRID_FROM)*('Dvd Calendar'!$W$1612&lt;=GRID_TO)*('Dvd Calendar'!$W$1612&gt;VAL_DATE)=0,"",'Dvd Calendar'!$W$1612*1000000000+ISNUMBER('Dvd Calendar'!$W$1613)*100000000+0*10000000+(N('Dvd Calendar'!$W$1611)&gt;0)*(N('Dvd Calendar'!$W$1611)&lt;=VAL_SERIAL)*1000000+5*1000+59))</f>
        <v/>
      </c>
      <c r="GL164" s="39">
        <f>IF(N('Dvd Calendar'!$X$1612)=0,"",IF(('Dvd Calendar'!$X$1612&gt;=GRID_FROM)*('Dvd Calendar'!$X$1612&lt;=GRID_TO)*('Dvd Calendar'!$X$1612&gt;VAL_DATE)=0,"",'Dvd Calendar'!$X$1612*1000000000+ISNUMBER('Dvd Calendar'!$X$1613)*100000000+0*10000000+(N('Dvd Calendar'!$X$1611)&gt;0)*(N('Dvd Calendar'!$X$1611)&lt;=VAL_SERIAL)*1000000+5*1000+60))</f>
        <v/>
      </c>
      <c r="GM164" s="39">
        <f>IF(N('Dvd Calendar'!$Y$1612)=0,"",IF(('Dvd Calendar'!$Y$1612&gt;=GRID_FROM)*('Dvd Calendar'!$Y$1612&lt;=GRID_TO)*('Dvd Calendar'!$Y$1612&gt;VAL_DATE)=0,"",'Dvd Calendar'!$Y$1612*1000000000+ISNUMBER('Dvd Calendar'!$Y$1613)*100000000+0*10000000+(N('Dvd Calendar'!$Y$1611)&gt;0)*(N('Dvd Calendar'!$Y$1611)&lt;=VAL_SERIAL)*1000000+5*1000+61))</f>
        <v/>
      </c>
      <c r="GN164" s="39">
        <f>IF(N('Dvd Calendar'!$Z$1612)=0,"",IF(('Dvd Calendar'!$Z$1612&gt;=GRID_FROM)*('Dvd Calendar'!$Z$1612&lt;=GRID_TO)*('Dvd Calendar'!$Z$1612&gt;VAL_DATE)=0,"",'Dvd Calendar'!$Z$1612*1000000000+ISNUMBER('Dvd Calendar'!$Z$1613)*100000000+0*10000000+(N('Dvd Calendar'!$Z$1611)&gt;0)*(N('Dvd Calendar'!$Z$1611)&lt;=VAL_SERIAL)*1000000+5*1000+62))</f>
        <v/>
      </c>
      <c r="GO164" s="39">
        <f>IF(N('Dvd Calendar'!$AA$1612)=0,"",IF(('Dvd Calendar'!$AA$1612&gt;=GRID_FROM)*('Dvd Calendar'!$AA$1612&lt;=GRID_TO)*('Dvd Calendar'!$AA$1612&gt;VAL_DATE)=0,"",'Dvd Calendar'!$AA$1612*1000000000+ISNUMBER('Dvd Calendar'!$AA$1613)*100000000+0*10000000+(N('Dvd Calendar'!$AA$1611)&gt;0)*(N('Dvd Calendar'!$AA$1611)&lt;=VAL_SERIAL)*1000000+5*1000+63))</f>
        <v/>
      </c>
      <c r="GP164" s="39">
        <f>IF(N('Dvd Calendar'!$AB$1612)=0,"",IF(('Dvd Calendar'!$AB$1612&gt;=GRID_FROM)*('Dvd Calendar'!$AB$1612&lt;=GRID_TO)*('Dvd Calendar'!$AB$1612&gt;VAL_DATE)=0,"",'Dvd Calendar'!$AB$1612*1000000000+ISNUMBER('Dvd Calendar'!$AB$1613)*100000000+0*10000000+(N('Dvd Calendar'!$AB$1611)&gt;0)*(N('Dvd Calendar'!$AB$1611)&lt;=VAL_SERIAL)*1000000+5*1000+64))</f>
        <v/>
      </c>
      <c r="GQ164" s="39">
        <f>IF(N('Dvd Calendar'!$AC$1612)=0,"",IF(('Dvd Calendar'!$AC$1612&gt;=GRID_FROM)*('Dvd Calendar'!$AC$1612&lt;=GRID_TO)*('Dvd Calendar'!$AC$1612&gt;VAL_DATE)=0,"",'Dvd Calendar'!$AC$1612*1000000000+ISNUMBER('Dvd Calendar'!$AC$1613)*100000000+0*10000000+(N('Dvd Calendar'!$AC$1611)&gt;0)*(N('Dvd Calendar'!$AC$1611)&lt;=VAL_SERIAL)*1000000+5*1000+65))</f>
        <v/>
      </c>
    </row>
    <row r="165">
      <c r="B165" s="2">
        <f>IF(HSCEI!$C$12="","",HSCEI!$C$12)</f>
        <v/>
      </c>
      <c r="C165" s="110">
        <f>IF(EE165="","",IF(ISNUMBER('Dvd Calendar'!$E$1619)=FALSE,"",IF((('Dvd Calendar'!$E$1621=TYPE1)*(TYPE1&lt;&gt;"")+('Dvd Calendar'!$E$1621=TYPE2)*(TYPE2&lt;&gt;"")+('Dvd Calendar'!$E$1621=TYPE3)*(TYPE3&lt;&gt;"")+('Dvd Calendar'!$E$1621=TYPE4)*(TYPE4&lt;&gt;"")+('Dvd Calendar'!$E$1621=SPECIAL_LBL)*(INC_SPECIALS="Y"))=0,"",'Dvd Calendar'!$E$1619)))</f>
        <v/>
      </c>
      <c r="D165" s="110">
        <f>IF(EF165="","",IF(ISNUMBER('Dvd Calendar'!$F$1619)=FALSE,"",IF((('Dvd Calendar'!$F$1621=TYPE1)*(TYPE1&lt;&gt;"")+('Dvd Calendar'!$F$1621=TYPE2)*(TYPE2&lt;&gt;"")+('Dvd Calendar'!$F$1621=TYPE3)*(TYPE3&lt;&gt;"")+('Dvd Calendar'!$F$1621=TYPE4)*(TYPE4&lt;&gt;"")+('Dvd Calendar'!$F$1621=SPECIAL_LBL)*(INC_SPECIALS="Y"))=0,"",'Dvd Calendar'!$F$1619)))</f>
        <v/>
      </c>
      <c r="E165" s="110">
        <f>IF(EG165="","",IF(ISNUMBER('Dvd Calendar'!$G$1619)=FALSE,"",IF((('Dvd Calendar'!$G$1621=TYPE1)*(TYPE1&lt;&gt;"")+('Dvd Calendar'!$G$1621=TYPE2)*(TYPE2&lt;&gt;"")+('Dvd Calendar'!$G$1621=TYPE3)*(TYPE3&lt;&gt;"")+('Dvd Calendar'!$G$1621=TYPE4)*(TYPE4&lt;&gt;"")+('Dvd Calendar'!$G$1621=SPECIAL_LBL)*(INC_SPECIALS="Y"))=0,"",'Dvd Calendar'!$G$1619)))</f>
        <v/>
      </c>
      <c r="F165" s="110">
        <f>IF(EH165="","",IF(ISNUMBER('Dvd Calendar'!$H$1619)=FALSE,"",IF((('Dvd Calendar'!$H$1621=TYPE1)*(TYPE1&lt;&gt;"")+('Dvd Calendar'!$H$1621=TYPE2)*(TYPE2&lt;&gt;"")+('Dvd Calendar'!$H$1621=TYPE3)*(TYPE3&lt;&gt;"")+('Dvd Calendar'!$H$1621=TYPE4)*(TYPE4&lt;&gt;"")+('Dvd Calendar'!$H$1621=SPECIAL_LBL)*(INC_SPECIALS="Y"))=0,"",'Dvd Calendar'!$H$1619)))</f>
        <v/>
      </c>
      <c r="G165" s="110">
        <f>IF(EI165="","",IF(ISNUMBER('Dvd Calendar'!$I$1619)=FALSE,"",IF((('Dvd Calendar'!$I$1621=TYPE1)*(TYPE1&lt;&gt;"")+('Dvd Calendar'!$I$1621=TYPE2)*(TYPE2&lt;&gt;"")+('Dvd Calendar'!$I$1621=TYPE3)*(TYPE3&lt;&gt;"")+('Dvd Calendar'!$I$1621=TYPE4)*(TYPE4&lt;&gt;"")+('Dvd Calendar'!$I$1621=SPECIAL_LBL)*(INC_SPECIALS="Y"))=0,"",'Dvd Calendar'!$I$1619)))</f>
        <v/>
      </c>
      <c r="H165" s="110">
        <f>IF(EJ165="","",IF(ISNUMBER('Dvd Calendar'!$J$1619)=FALSE,"",IF((('Dvd Calendar'!$J$1621=TYPE1)*(TYPE1&lt;&gt;"")+('Dvd Calendar'!$J$1621=TYPE2)*(TYPE2&lt;&gt;"")+('Dvd Calendar'!$J$1621=TYPE3)*(TYPE3&lt;&gt;"")+('Dvd Calendar'!$J$1621=TYPE4)*(TYPE4&lt;&gt;"")+('Dvd Calendar'!$J$1621=SPECIAL_LBL)*(INC_SPECIALS="Y"))=0,"",'Dvd Calendar'!$J$1619)))</f>
        <v/>
      </c>
      <c r="I165" s="110">
        <f>IF(EK165="","",IF(ISNUMBER('Dvd Calendar'!$K$1619)=FALSE,"",IF((('Dvd Calendar'!$K$1621=TYPE1)*(TYPE1&lt;&gt;"")+('Dvd Calendar'!$K$1621=TYPE2)*(TYPE2&lt;&gt;"")+('Dvd Calendar'!$K$1621=TYPE3)*(TYPE3&lt;&gt;"")+('Dvd Calendar'!$K$1621=TYPE4)*(TYPE4&lt;&gt;"")+('Dvd Calendar'!$K$1621=SPECIAL_LBL)*(INC_SPECIALS="Y"))=0,"",'Dvd Calendar'!$K$1619)))</f>
        <v/>
      </c>
      <c r="J165" s="110">
        <f>IF(EL165="","",IF(ISNUMBER('Dvd Calendar'!$L$1619)=FALSE,"",IF((('Dvd Calendar'!$L$1621=TYPE1)*(TYPE1&lt;&gt;"")+('Dvd Calendar'!$L$1621=TYPE2)*(TYPE2&lt;&gt;"")+('Dvd Calendar'!$L$1621=TYPE3)*(TYPE3&lt;&gt;"")+('Dvd Calendar'!$L$1621=TYPE4)*(TYPE4&lt;&gt;"")+('Dvd Calendar'!$L$1621=SPECIAL_LBL)*(INC_SPECIALS="Y"))=0,"",'Dvd Calendar'!$L$1619)))</f>
        <v/>
      </c>
      <c r="K165" s="110">
        <f>IF(EM165="","",IF(ISNUMBER('Dvd Calendar'!$M$1619)=FALSE,"",IF((('Dvd Calendar'!$M$1621=TYPE1)*(TYPE1&lt;&gt;"")+('Dvd Calendar'!$M$1621=TYPE2)*(TYPE2&lt;&gt;"")+('Dvd Calendar'!$M$1621=TYPE3)*(TYPE3&lt;&gt;"")+('Dvd Calendar'!$M$1621=TYPE4)*(TYPE4&lt;&gt;"")+('Dvd Calendar'!$M$1621=SPECIAL_LBL)*(INC_SPECIALS="Y"))=0,"",'Dvd Calendar'!$M$1619)))</f>
        <v/>
      </c>
      <c r="L165" s="110">
        <f>IF(EN165="","",IF(ISNUMBER('Dvd Calendar'!$N$1619)=FALSE,"",IF((('Dvd Calendar'!$N$1621=TYPE1)*(TYPE1&lt;&gt;"")+('Dvd Calendar'!$N$1621=TYPE2)*(TYPE2&lt;&gt;"")+('Dvd Calendar'!$N$1621=TYPE3)*(TYPE3&lt;&gt;"")+('Dvd Calendar'!$N$1621=TYPE4)*(TYPE4&lt;&gt;"")+('Dvd Calendar'!$N$1621=SPECIAL_LBL)*(INC_SPECIALS="Y"))=0,"",'Dvd Calendar'!$N$1619)))</f>
        <v/>
      </c>
      <c r="M165" s="110">
        <f>IF(EO165="","",IF(ISNUMBER('Dvd Calendar'!$O$1619)=FALSE,"",IF((('Dvd Calendar'!$O$1621=TYPE1)*(TYPE1&lt;&gt;"")+('Dvd Calendar'!$O$1621=TYPE2)*(TYPE2&lt;&gt;"")+('Dvd Calendar'!$O$1621=TYPE3)*(TYPE3&lt;&gt;"")+('Dvd Calendar'!$O$1621=TYPE4)*(TYPE4&lt;&gt;"")+('Dvd Calendar'!$O$1621=SPECIAL_LBL)*(INC_SPECIALS="Y"))=0,"",'Dvd Calendar'!$O$1619)))</f>
        <v/>
      </c>
      <c r="N165" s="110">
        <f>IF(EP165="","",IF(ISNUMBER('Dvd Calendar'!$P$1619)=FALSE,"",IF((('Dvd Calendar'!$P$1621=TYPE1)*(TYPE1&lt;&gt;"")+('Dvd Calendar'!$P$1621=TYPE2)*(TYPE2&lt;&gt;"")+('Dvd Calendar'!$P$1621=TYPE3)*(TYPE3&lt;&gt;"")+('Dvd Calendar'!$P$1621=TYPE4)*(TYPE4&lt;&gt;"")+('Dvd Calendar'!$P$1621=SPECIAL_LBL)*(INC_SPECIALS="Y"))=0,"",'Dvd Calendar'!$P$1619)))</f>
        <v/>
      </c>
      <c r="O165" s="110">
        <f>IF(EQ165="","",IF(ISNUMBER('Dvd Calendar'!$Q$1619)=FALSE,"",IF((('Dvd Calendar'!$Q$1621=TYPE1)*(TYPE1&lt;&gt;"")+('Dvd Calendar'!$Q$1621=TYPE2)*(TYPE2&lt;&gt;"")+('Dvd Calendar'!$Q$1621=TYPE3)*(TYPE3&lt;&gt;"")+('Dvd Calendar'!$Q$1621=TYPE4)*(TYPE4&lt;&gt;"")+('Dvd Calendar'!$Q$1621=SPECIAL_LBL)*(INC_SPECIALS="Y"))=0,"",'Dvd Calendar'!$Q$1619)))</f>
        <v/>
      </c>
      <c r="P165" s="110">
        <f>IF(ER165="","",IF(ISNUMBER('Dvd Calendar'!$R$1619)=FALSE,"",IF((('Dvd Calendar'!$R$1621=TYPE1)*(TYPE1&lt;&gt;"")+('Dvd Calendar'!$R$1621=TYPE2)*(TYPE2&lt;&gt;"")+('Dvd Calendar'!$R$1621=TYPE3)*(TYPE3&lt;&gt;"")+('Dvd Calendar'!$R$1621=TYPE4)*(TYPE4&lt;&gt;"")+('Dvd Calendar'!$R$1621=SPECIAL_LBL)*(INC_SPECIALS="Y"))=0,"",'Dvd Calendar'!$R$1619)))</f>
        <v/>
      </c>
      <c r="Q165" s="110">
        <f>IF(ES165="","",IF(ISNUMBER('Dvd Calendar'!$S$1619)=FALSE,"",IF((('Dvd Calendar'!$S$1621=TYPE1)*(TYPE1&lt;&gt;"")+('Dvd Calendar'!$S$1621=TYPE2)*(TYPE2&lt;&gt;"")+('Dvd Calendar'!$S$1621=TYPE3)*(TYPE3&lt;&gt;"")+('Dvd Calendar'!$S$1621=TYPE4)*(TYPE4&lt;&gt;"")+('Dvd Calendar'!$S$1621=SPECIAL_LBL)*(INC_SPECIALS="Y"))=0,"",'Dvd Calendar'!$S$1619)))</f>
        <v/>
      </c>
      <c r="R165" s="110">
        <f>IF(ET165="","",IF(ISNUMBER('Dvd Calendar'!$T$1619)=FALSE,"",IF((('Dvd Calendar'!$T$1621=TYPE1)*(TYPE1&lt;&gt;"")+('Dvd Calendar'!$T$1621=TYPE2)*(TYPE2&lt;&gt;"")+('Dvd Calendar'!$T$1621=TYPE3)*(TYPE3&lt;&gt;"")+('Dvd Calendar'!$T$1621=TYPE4)*(TYPE4&lt;&gt;"")+('Dvd Calendar'!$T$1621=SPECIAL_LBL)*(INC_SPECIALS="Y"))=0,"",'Dvd Calendar'!$T$1619)))</f>
        <v/>
      </c>
      <c r="S165" s="110">
        <f>IF(EU165="","",IF(ISNUMBER('Dvd Calendar'!$U$1619)=FALSE,"",IF((('Dvd Calendar'!$U$1621=TYPE1)*(TYPE1&lt;&gt;"")+('Dvd Calendar'!$U$1621=TYPE2)*(TYPE2&lt;&gt;"")+('Dvd Calendar'!$U$1621=TYPE3)*(TYPE3&lt;&gt;"")+('Dvd Calendar'!$U$1621=TYPE4)*(TYPE4&lt;&gt;"")+('Dvd Calendar'!$U$1621=SPECIAL_LBL)*(INC_SPECIALS="Y"))=0,"",'Dvd Calendar'!$U$1619)))</f>
        <v/>
      </c>
      <c r="T165" s="110">
        <f>IF(EV165="","",IF(ISNUMBER('Dvd Calendar'!$V$1619)=FALSE,"",IF((('Dvd Calendar'!$V$1621=TYPE1)*(TYPE1&lt;&gt;"")+('Dvd Calendar'!$V$1621=TYPE2)*(TYPE2&lt;&gt;"")+('Dvd Calendar'!$V$1621=TYPE3)*(TYPE3&lt;&gt;"")+('Dvd Calendar'!$V$1621=TYPE4)*(TYPE4&lt;&gt;"")+('Dvd Calendar'!$V$1621=SPECIAL_LBL)*(INC_SPECIALS="Y"))=0,"",'Dvd Calendar'!$V$1619)))</f>
        <v/>
      </c>
      <c r="U165" s="110">
        <f>IF(EW165="","",IF(ISNUMBER('Dvd Calendar'!$W$1619)=FALSE,"",IF((('Dvd Calendar'!$W$1621=TYPE1)*(TYPE1&lt;&gt;"")+('Dvd Calendar'!$W$1621=TYPE2)*(TYPE2&lt;&gt;"")+('Dvd Calendar'!$W$1621=TYPE3)*(TYPE3&lt;&gt;"")+('Dvd Calendar'!$W$1621=TYPE4)*(TYPE4&lt;&gt;"")+('Dvd Calendar'!$W$1621=SPECIAL_LBL)*(INC_SPECIALS="Y"))=0,"",'Dvd Calendar'!$W$1619)))</f>
        <v/>
      </c>
      <c r="V165" s="110">
        <f>IF(EX165="","",IF(ISNUMBER('Dvd Calendar'!$X$1619)=FALSE,"",IF((('Dvd Calendar'!$X$1621=TYPE1)*(TYPE1&lt;&gt;"")+('Dvd Calendar'!$X$1621=TYPE2)*(TYPE2&lt;&gt;"")+('Dvd Calendar'!$X$1621=TYPE3)*(TYPE3&lt;&gt;"")+('Dvd Calendar'!$X$1621=TYPE4)*(TYPE4&lt;&gt;"")+('Dvd Calendar'!$X$1621=SPECIAL_LBL)*(INC_SPECIALS="Y"))=0,"",'Dvd Calendar'!$X$1619)))</f>
        <v/>
      </c>
      <c r="W165" s="110">
        <f>IF(EY165="","",IF(ISNUMBER('Dvd Calendar'!$Y$1619)=FALSE,"",IF((('Dvd Calendar'!$Y$1621=TYPE1)*(TYPE1&lt;&gt;"")+('Dvd Calendar'!$Y$1621=TYPE2)*(TYPE2&lt;&gt;"")+('Dvd Calendar'!$Y$1621=TYPE3)*(TYPE3&lt;&gt;"")+('Dvd Calendar'!$Y$1621=TYPE4)*(TYPE4&lt;&gt;"")+('Dvd Calendar'!$Y$1621=SPECIAL_LBL)*(INC_SPECIALS="Y"))=0,"",'Dvd Calendar'!$Y$1619)))</f>
        <v/>
      </c>
      <c r="X165" s="110">
        <f>IF(EZ165="","",IF(ISNUMBER('Dvd Calendar'!$Z$1619)=FALSE,"",IF((('Dvd Calendar'!$Z$1621=TYPE1)*(TYPE1&lt;&gt;"")+('Dvd Calendar'!$Z$1621=TYPE2)*(TYPE2&lt;&gt;"")+('Dvd Calendar'!$Z$1621=TYPE3)*(TYPE3&lt;&gt;"")+('Dvd Calendar'!$Z$1621=TYPE4)*(TYPE4&lt;&gt;"")+('Dvd Calendar'!$Z$1621=SPECIAL_LBL)*(INC_SPECIALS="Y"))=0,"",'Dvd Calendar'!$Z$1619)))</f>
        <v/>
      </c>
      <c r="Y165" s="110">
        <f>IF(FA165="","",IF(ISNUMBER('Dvd Calendar'!$AA$1619)=FALSE,"",IF((('Dvd Calendar'!$AA$1621=TYPE1)*(TYPE1&lt;&gt;"")+('Dvd Calendar'!$AA$1621=TYPE2)*(TYPE2&lt;&gt;"")+('Dvd Calendar'!$AA$1621=TYPE3)*(TYPE3&lt;&gt;"")+('Dvd Calendar'!$AA$1621=TYPE4)*(TYPE4&lt;&gt;"")+('Dvd Calendar'!$AA$1621=SPECIAL_LBL)*(INC_SPECIALS="Y"))=0,"",'Dvd Calendar'!$AA$1619)))</f>
        <v/>
      </c>
      <c r="Z165" s="110">
        <f>IF(FB165="","",IF(ISNUMBER('Dvd Calendar'!$AB$1619)=FALSE,"",IF((('Dvd Calendar'!$AB$1621=TYPE1)*(TYPE1&lt;&gt;"")+('Dvd Calendar'!$AB$1621=TYPE2)*(TYPE2&lt;&gt;"")+('Dvd Calendar'!$AB$1621=TYPE3)*(TYPE3&lt;&gt;"")+('Dvd Calendar'!$AB$1621=TYPE4)*(TYPE4&lt;&gt;"")+('Dvd Calendar'!$AB$1621=SPECIAL_LBL)*(INC_SPECIALS="Y"))=0,"",'Dvd Calendar'!$AB$1619)))</f>
        <v/>
      </c>
      <c r="AA165" s="110">
        <f>IF(FC165="","",IF(ISNUMBER('Dvd Calendar'!$AC$1619)=FALSE,"",IF((('Dvd Calendar'!$AC$1621=TYPE1)*(TYPE1&lt;&gt;"")+('Dvd Calendar'!$AC$1621=TYPE2)*(TYPE2&lt;&gt;"")+('Dvd Calendar'!$AC$1621=TYPE3)*(TYPE3&lt;&gt;"")+('Dvd Calendar'!$AC$1621=TYPE4)*(TYPE4&lt;&gt;"")+('Dvd Calendar'!$AC$1621=SPECIAL_LBL)*(INC_SPECIALS="Y"))=0,"",'Dvd Calendar'!$AC$1619)))</f>
        <v/>
      </c>
      <c r="AB165" s="110">
        <f>IF(FD165="","",IF(ISNUMBER('Dvd Calendar'!$AD$1619)=FALSE,"",IF((('Dvd Calendar'!$AD$1621=TYPE1)*(TYPE1&lt;&gt;"")+('Dvd Calendar'!$AD$1621=TYPE2)*(TYPE2&lt;&gt;"")+('Dvd Calendar'!$AD$1621=TYPE3)*(TYPE3&lt;&gt;"")+('Dvd Calendar'!$AD$1621=TYPE4)*(TYPE4&lt;&gt;"")+('Dvd Calendar'!$AD$1621=SPECIAL_LBL)*(INC_SPECIALS="Y"))=0,"",'Dvd Calendar'!$AD$1619)))</f>
        <v/>
      </c>
      <c r="AC165" s="110">
        <f>IF(FE165="","",IF(ISNUMBER('Dvd Calendar'!$AE$1619)=FALSE,"",IF((('Dvd Calendar'!$AE$1621=TYPE1)*(TYPE1&lt;&gt;"")+('Dvd Calendar'!$AE$1621=TYPE2)*(TYPE2&lt;&gt;"")+('Dvd Calendar'!$AE$1621=TYPE3)*(TYPE3&lt;&gt;"")+('Dvd Calendar'!$AE$1621=TYPE4)*(TYPE4&lt;&gt;"")+('Dvd Calendar'!$AE$1621=SPECIAL_LBL)*(INC_SPECIALS="Y"))=0,"",'Dvd Calendar'!$AE$1619)))</f>
        <v/>
      </c>
      <c r="AD165" s="110">
        <f>IF(FF165="","",IF(ISNUMBER('Dvd Calendar'!$AF$1619)=FALSE,"",IF((('Dvd Calendar'!$AF$1621=TYPE1)*(TYPE1&lt;&gt;"")+('Dvd Calendar'!$AF$1621=TYPE2)*(TYPE2&lt;&gt;"")+('Dvd Calendar'!$AF$1621=TYPE3)*(TYPE3&lt;&gt;"")+('Dvd Calendar'!$AF$1621=TYPE4)*(TYPE4&lt;&gt;"")+('Dvd Calendar'!$AF$1621=SPECIAL_LBL)*(INC_SPECIALS="Y"))=0,"",'Dvd Calendar'!$AF$1619)))</f>
        <v/>
      </c>
      <c r="AE165" s="110">
        <f>IF(FG165="","",IF(ISNUMBER('Dvd Calendar'!$AG$1619)=FALSE,"",IF((('Dvd Calendar'!$AG$1621=TYPE1)*(TYPE1&lt;&gt;"")+('Dvd Calendar'!$AG$1621=TYPE2)*(TYPE2&lt;&gt;"")+('Dvd Calendar'!$AG$1621=TYPE3)*(TYPE3&lt;&gt;"")+('Dvd Calendar'!$AG$1621=TYPE4)*(TYPE4&lt;&gt;"")+('Dvd Calendar'!$AG$1621=SPECIAL_LBL)*(INC_SPECIALS="Y"))=0,"",'Dvd Calendar'!$AG$1619)))</f>
        <v/>
      </c>
      <c r="AF165" s="110">
        <f>IF(FH165="","",IF(ISNUMBER('Dvd Calendar'!$AH$1619)=FALSE,"",IF((('Dvd Calendar'!$AH$1621=TYPE1)*(TYPE1&lt;&gt;"")+('Dvd Calendar'!$AH$1621=TYPE2)*(TYPE2&lt;&gt;"")+('Dvd Calendar'!$AH$1621=TYPE3)*(TYPE3&lt;&gt;"")+('Dvd Calendar'!$AH$1621=TYPE4)*(TYPE4&lt;&gt;"")+('Dvd Calendar'!$AH$1621=SPECIAL_LBL)*(INC_SPECIALS="Y"))=0,"",'Dvd Calendar'!$AH$1619)))</f>
        <v/>
      </c>
      <c r="AG165" s="110">
        <f>IF(FI165="","",IF(ISNUMBER('Dvd Calendar'!$AI$1619)=FALSE,"",IF((('Dvd Calendar'!$AI$1621=TYPE1)*(TYPE1&lt;&gt;"")+('Dvd Calendar'!$AI$1621=TYPE2)*(TYPE2&lt;&gt;"")+('Dvd Calendar'!$AI$1621=TYPE3)*(TYPE3&lt;&gt;"")+('Dvd Calendar'!$AI$1621=TYPE4)*(TYPE4&lt;&gt;"")+('Dvd Calendar'!$AI$1621=SPECIAL_LBL)*(INC_SPECIALS="Y"))=0,"",'Dvd Calendar'!$AI$1619)))</f>
        <v/>
      </c>
      <c r="AH165" s="110">
        <f>IF(FJ165="","",IF(ISNUMBER('Dvd Calendar'!$AJ$1619)=FALSE,"",IF((('Dvd Calendar'!$AJ$1621=TYPE1)*(TYPE1&lt;&gt;"")+('Dvd Calendar'!$AJ$1621=TYPE2)*(TYPE2&lt;&gt;"")+('Dvd Calendar'!$AJ$1621=TYPE3)*(TYPE3&lt;&gt;"")+('Dvd Calendar'!$AJ$1621=TYPE4)*(TYPE4&lt;&gt;"")+('Dvd Calendar'!$AJ$1621=SPECIAL_LBL)*(INC_SPECIALS="Y"))=0,"",'Dvd Calendar'!$AJ$1619)))</f>
        <v/>
      </c>
      <c r="AI165" s="110">
        <f>IF(FK165="","",IF(ISNUMBER('Dvd Calendar'!$AK$1619)=FALSE,"",IF((('Dvd Calendar'!$AK$1621=TYPE1)*(TYPE1&lt;&gt;"")+('Dvd Calendar'!$AK$1621=TYPE2)*(TYPE2&lt;&gt;"")+('Dvd Calendar'!$AK$1621=TYPE3)*(TYPE3&lt;&gt;"")+('Dvd Calendar'!$AK$1621=TYPE4)*(TYPE4&lt;&gt;"")+('Dvd Calendar'!$AK$1621=SPECIAL_LBL)*(INC_SPECIALS="Y"))=0,"",'Dvd Calendar'!$AK$1619)))</f>
        <v/>
      </c>
      <c r="AJ165" s="110">
        <f>IF(FL165="","",IF(ISNUMBER('Dvd Calendar'!$AL$1619)=FALSE,"",IF((('Dvd Calendar'!$AL$1621=TYPE1)*(TYPE1&lt;&gt;"")+('Dvd Calendar'!$AL$1621=TYPE2)*(TYPE2&lt;&gt;"")+('Dvd Calendar'!$AL$1621=TYPE3)*(TYPE3&lt;&gt;"")+('Dvd Calendar'!$AL$1621=TYPE4)*(TYPE4&lt;&gt;"")+('Dvd Calendar'!$AL$1621=SPECIAL_LBL)*(INC_SPECIALS="Y"))=0,"",'Dvd Calendar'!$AL$1619)))</f>
        <v/>
      </c>
      <c r="AK165" s="110">
        <f>IF(FM165="","",IF(ISNUMBER('Dvd Calendar'!$AM$1619)=FALSE,"",IF((('Dvd Calendar'!$AM$1621=TYPE1)*(TYPE1&lt;&gt;"")+('Dvd Calendar'!$AM$1621=TYPE2)*(TYPE2&lt;&gt;"")+('Dvd Calendar'!$AM$1621=TYPE3)*(TYPE3&lt;&gt;"")+('Dvd Calendar'!$AM$1621=TYPE4)*(TYPE4&lt;&gt;"")+('Dvd Calendar'!$AM$1621=SPECIAL_LBL)*(INC_SPECIALS="Y"))=0,"",'Dvd Calendar'!$AM$1619)))</f>
        <v/>
      </c>
      <c r="AL165" s="110">
        <f>IF(FN165="","",IF(ISNUMBER('Dvd Calendar'!$AN$1619)=FALSE,"",IF((('Dvd Calendar'!$AN$1621=TYPE1)*(TYPE1&lt;&gt;"")+('Dvd Calendar'!$AN$1621=TYPE2)*(TYPE2&lt;&gt;"")+('Dvd Calendar'!$AN$1621=TYPE3)*(TYPE3&lt;&gt;"")+('Dvd Calendar'!$AN$1621=TYPE4)*(TYPE4&lt;&gt;"")+('Dvd Calendar'!$AN$1621=SPECIAL_LBL)*(INC_SPECIALS="Y"))=0,"",'Dvd Calendar'!$AN$1619)))</f>
        <v/>
      </c>
      <c r="AM165" s="110">
        <f>IF(FO165="","",IF(ISNUMBER('Dvd Calendar'!$AO$1619)=FALSE,"",IF((('Dvd Calendar'!$AO$1621=TYPE1)*(TYPE1&lt;&gt;"")+('Dvd Calendar'!$AO$1621=TYPE2)*(TYPE2&lt;&gt;"")+('Dvd Calendar'!$AO$1621=TYPE3)*(TYPE3&lt;&gt;"")+('Dvd Calendar'!$AO$1621=TYPE4)*(TYPE4&lt;&gt;"")+('Dvd Calendar'!$AO$1621=SPECIAL_LBL)*(INC_SPECIALS="Y"))=0,"",'Dvd Calendar'!$AO$1619)))</f>
        <v/>
      </c>
      <c r="AN165" s="110">
        <f>IF(FP165="","",IF(ISNUMBER('Dvd Calendar'!$AP$1619)=FALSE,"",IF((('Dvd Calendar'!$AP$1621=TYPE1)*(TYPE1&lt;&gt;"")+('Dvd Calendar'!$AP$1621=TYPE2)*(TYPE2&lt;&gt;"")+('Dvd Calendar'!$AP$1621=TYPE3)*(TYPE3&lt;&gt;"")+('Dvd Calendar'!$AP$1621=TYPE4)*(TYPE4&lt;&gt;"")+('Dvd Calendar'!$AP$1621=SPECIAL_LBL)*(INC_SPECIALS="Y"))=0,"",'Dvd Calendar'!$AP$1619)))</f>
        <v/>
      </c>
      <c r="AO165" s="110">
        <f>IF(FQ165="","",IF(ISNUMBER('Dvd Calendar'!$AQ$1619)=FALSE,"",IF((('Dvd Calendar'!$AQ$1621=TYPE1)*(TYPE1&lt;&gt;"")+('Dvd Calendar'!$AQ$1621=TYPE2)*(TYPE2&lt;&gt;"")+('Dvd Calendar'!$AQ$1621=TYPE3)*(TYPE3&lt;&gt;"")+('Dvd Calendar'!$AQ$1621=TYPE4)*(TYPE4&lt;&gt;"")+('Dvd Calendar'!$AQ$1621=SPECIAL_LBL)*(INC_SPECIALS="Y"))=0,"",'Dvd Calendar'!$AQ$1619)))</f>
        <v/>
      </c>
      <c r="AP165" s="110">
        <f>IF(FR165="","",IF(ISNUMBER('Dvd Calendar'!$AR$1619)=FALSE,"",IF((('Dvd Calendar'!$AR$1621=TYPE1)*(TYPE1&lt;&gt;"")+('Dvd Calendar'!$AR$1621=TYPE2)*(TYPE2&lt;&gt;"")+('Dvd Calendar'!$AR$1621=TYPE3)*(TYPE3&lt;&gt;"")+('Dvd Calendar'!$AR$1621=TYPE4)*(TYPE4&lt;&gt;"")+('Dvd Calendar'!$AR$1621=SPECIAL_LBL)*(INC_SPECIALS="Y"))=0,"",'Dvd Calendar'!$AR$1619)))</f>
        <v/>
      </c>
      <c r="AQ165" s="110">
        <f>IF(FS165="","",IF(ISNUMBER('Dvd Calendar'!$E$1624)=FALSE,"",'Dvd Calendar'!$E$1624))</f>
        <v/>
      </c>
      <c r="AR165" s="110">
        <f>IF(FT165="","",IF(ISNUMBER('Dvd Calendar'!$F$1624)=FALSE,"",'Dvd Calendar'!$F$1624))</f>
        <v/>
      </c>
      <c r="AS165" s="110">
        <f>IF(FU165="","",IF(ISNUMBER('Dvd Calendar'!$G$1624)=FALSE,"",'Dvd Calendar'!$G$1624))</f>
        <v/>
      </c>
      <c r="AT165" s="110">
        <f>IF(FV165="","",IF(ISNUMBER('Dvd Calendar'!$H$1624)=FALSE,"",'Dvd Calendar'!$H$1624))</f>
        <v/>
      </c>
      <c r="AU165" s="110">
        <f>IF(FW165="","",IF(ISNUMBER('Dvd Calendar'!$I$1624)=FALSE,"",'Dvd Calendar'!$I$1624))</f>
        <v/>
      </c>
      <c r="AV165" s="110">
        <f>IF(FX165="","",IF(ISNUMBER('Dvd Calendar'!$J$1624)=FALSE,"",'Dvd Calendar'!$J$1624))</f>
        <v/>
      </c>
      <c r="AW165" s="110">
        <f>IF(FY165="","",IF(ISNUMBER('Dvd Calendar'!$K$1624)=FALSE,"",'Dvd Calendar'!$K$1624))</f>
        <v/>
      </c>
      <c r="AX165" s="110">
        <f>IF(FZ165="","",IF(ISNUMBER('Dvd Calendar'!$L$1624)=FALSE,"",'Dvd Calendar'!$L$1624))</f>
        <v/>
      </c>
      <c r="AY165" s="110">
        <f>IF(GA165="","",IF(ISNUMBER('Dvd Calendar'!$M$1624)=FALSE,"",'Dvd Calendar'!$M$1624))</f>
        <v/>
      </c>
      <c r="AZ165" s="110">
        <f>IF(GB165="","",IF(ISNUMBER('Dvd Calendar'!$N$1624)=FALSE,"",'Dvd Calendar'!$N$1624))</f>
        <v/>
      </c>
      <c r="BA165" s="110">
        <f>IF(GC165="","",IF(ISNUMBER('Dvd Calendar'!$O$1624)=FALSE,"",'Dvd Calendar'!$O$1624))</f>
        <v/>
      </c>
      <c r="BB165" s="110">
        <f>IF(GD165="","",IF(ISNUMBER('Dvd Calendar'!$P$1624)=FALSE,"",'Dvd Calendar'!$P$1624))</f>
        <v/>
      </c>
      <c r="BC165" s="110">
        <f>IF(GE165="","",IF(ISNUMBER('Dvd Calendar'!$Q$1624)=FALSE,"",'Dvd Calendar'!$Q$1624))</f>
        <v/>
      </c>
      <c r="BD165" s="110">
        <f>IF(GF165="","",IF(ISNUMBER('Dvd Calendar'!$R$1624)=FALSE,"",'Dvd Calendar'!$R$1624))</f>
        <v/>
      </c>
      <c r="BE165" s="110">
        <f>IF(GG165="","",IF(ISNUMBER('Dvd Calendar'!$S$1624)=FALSE,"",'Dvd Calendar'!$S$1624))</f>
        <v/>
      </c>
      <c r="BF165" s="110">
        <f>IF(GH165="","",IF(ISNUMBER('Dvd Calendar'!$T$1624)=FALSE,"",'Dvd Calendar'!$T$1624))</f>
        <v/>
      </c>
      <c r="BG165" s="110">
        <f>IF(GI165="","",IF(ISNUMBER('Dvd Calendar'!$U$1624)=FALSE,"",'Dvd Calendar'!$U$1624))</f>
        <v/>
      </c>
      <c r="BH165" s="110">
        <f>IF(GJ165="","",IF(ISNUMBER('Dvd Calendar'!$V$1624)=FALSE,"",'Dvd Calendar'!$V$1624))</f>
        <v/>
      </c>
      <c r="BI165" s="110">
        <f>IF(GK165="","",IF(ISNUMBER('Dvd Calendar'!$W$1624)=FALSE,"",'Dvd Calendar'!$W$1624))</f>
        <v/>
      </c>
      <c r="BJ165" s="110">
        <f>IF(GL165="","",IF(ISNUMBER('Dvd Calendar'!$X$1624)=FALSE,"",'Dvd Calendar'!$X$1624))</f>
        <v/>
      </c>
      <c r="BK165" s="110">
        <f>IF(GM165="","",IF(ISNUMBER('Dvd Calendar'!$Y$1624)=FALSE,"",'Dvd Calendar'!$Y$1624))</f>
        <v/>
      </c>
      <c r="BL165" s="110">
        <f>IF(GN165="","",IF(ISNUMBER('Dvd Calendar'!$Z$1624)=FALSE,"",'Dvd Calendar'!$Z$1624))</f>
        <v/>
      </c>
      <c r="BM165" s="110">
        <f>IF(GO165="","",IF(ISNUMBER('Dvd Calendar'!$AA$1624)=FALSE,"",'Dvd Calendar'!$AA$1624))</f>
        <v/>
      </c>
      <c r="BN165" s="110">
        <f>IF(GP165="","",IF(ISNUMBER('Dvd Calendar'!$AB$1624)=FALSE,"",'Dvd Calendar'!$AB$1624))</f>
        <v/>
      </c>
      <c r="BO165" s="110">
        <f>IF(GQ165="","",IF(ISNUMBER('Dvd Calendar'!$AC$1624)=FALSE,"",'Dvd Calendar'!$AC$1624))</f>
        <v/>
      </c>
      <c r="BQ165" s="110">
        <f>IF(C165="","",IFERROR(C165*HSCEI!$B$12*HSCEI!$G$12/HSCEI!$B$3,""))</f>
        <v/>
      </c>
      <c r="BR165" s="110">
        <f>IF(D165="","",IFERROR(D165*HSCEI!$B$12*HSCEI!$G$12/HSCEI!$B$3,""))</f>
        <v/>
      </c>
      <c r="BS165" s="110">
        <f>IF(E165="","",IFERROR(E165*HSCEI!$B$12*HSCEI!$G$12/HSCEI!$B$3,""))</f>
        <v/>
      </c>
      <c r="BT165" s="110">
        <f>IF(F165="","",IFERROR(F165*HSCEI!$B$12*HSCEI!$G$12/HSCEI!$B$3,""))</f>
        <v/>
      </c>
      <c r="BU165" s="110">
        <f>IF(G165="","",IFERROR(G165*HSCEI!$B$12*HSCEI!$G$12/HSCEI!$B$3,""))</f>
        <v/>
      </c>
      <c r="BV165" s="110">
        <f>IF(H165="","",IFERROR(H165*HSCEI!$B$12*HSCEI!$G$12/HSCEI!$B$3,""))</f>
        <v/>
      </c>
      <c r="BW165" s="110">
        <f>IF(I165="","",IFERROR(I165*HSCEI!$B$12*HSCEI!$G$12/HSCEI!$B$3,""))</f>
        <v/>
      </c>
      <c r="BX165" s="110">
        <f>IF(J165="","",IFERROR(J165*HSCEI!$B$12*HSCEI!$G$12/HSCEI!$B$3,""))</f>
        <v/>
      </c>
      <c r="BY165" s="110">
        <f>IF(K165="","",IFERROR(K165*HSCEI!$B$12*HSCEI!$G$12/HSCEI!$B$3,""))</f>
        <v/>
      </c>
      <c r="BZ165" s="110">
        <f>IF(L165="","",IFERROR(L165*HSCEI!$B$12*HSCEI!$G$12/HSCEI!$B$3,""))</f>
        <v/>
      </c>
      <c r="CA165" s="110">
        <f>IF(M165="","",IFERROR(M165*HSCEI!$B$12*HSCEI!$G$12/HSCEI!$B$3,""))</f>
        <v/>
      </c>
      <c r="CB165" s="110">
        <f>IF(N165="","",IFERROR(N165*HSCEI!$B$12*HSCEI!$G$12/HSCEI!$B$3,""))</f>
        <v/>
      </c>
      <c r="CC165" s="110">
        <f>IF(O165="","",IFERROR(O165*HSCEI!$B$12*HSCEI!$G$12/HSCEI!$B$3,""))</f>
        <v/>
      </c>
      <c r="CD165" s="110">
        <f>IF(P165="","",IFERROR(P165*HSCEI!$B$12*HSCEI!$G$12/HSCEI!$B$3,""))</f>
        <v/>
      </c>
      <c r="CE165" s="110">
        <f>IF(Q165="","",IFERROR(Q165*HSCEI!$B$12*HSCEI!$G$12/HSCEI!$B$3,""))</f>
        <v/>
      </c>
      <c r="CF165" s="110">
        <f>IF(R165="","",IFERROR(R165*HSCEI!$B$12*HSCEI!$G$12/HSCEI!$B$3,""))</f>
        <v/>
      </c>
      <c r="CG165" s="110">
        <f>IF(S165="","",IFERROR(S165*HSCEI!$B$12*HSCEI!$G$12/HSCEI!$B$3,""))</f>
        <v/>
      </c>
      <c r="CH165" s="110">
        <f>IF(T165="","",IFERROR(T165*HSCEI!$B$12*HSCEI!$G$12/HSCEI!$B$3,""))</f>
        <v/>
      </c>
      <c r="CI165" s="110">
        <f>IF(U165="","",IFERROR(U165*HSCEI!$B$12*HSCEI!$G$12/HSCEI!$B$3,""))</f>
        <v/>
      </c>
      <c r="CJ165" s="110">
        <f>IF(V165="","",IFERROR(V165*HSCEI!$B$12*HSCEI!$G$12/HSCEI!$B$3,""))</f>
        <v/>
      </c>
      <c r="CK165" s="110">
        <f>IF(W165="","",IFERROR(W165*HSCEI!$B$12*HSCEI!$G$12/HSCEI!$B$3,""))</f>
        <v/>
      </c>
      <c r="CL165" s="110">
        <f>IF(X165="","",IFERROR(X165*HSCEI!$B$12*HSCEI!$G$12/HSCEI!$B$3,""))</f>
        <v/>
      </c>
      <c r="CM165" s="110">
        <f>IF(Y165="","",IFERROR(Y165*HSCEI!$B$12*HSCEI!$G$12/HSCEI!$B$3,""))</f>
        <v/>
      </c>
      <c r="CN165" s="110">
        <f>IF(Z165="","",IFERROR(Z165*HSCEI!$B$12*HSCEI!$G$12/HSCEI!$B$3,""))</f>
        <v/>
      </c>
      <c r="CO165" s="110">
        <f>IF(AA165="","",IFERROR(AA165*HSCEI!$B$12*HSCEI!$G$12/HSCEI!$B$3,""))</f>
        <v/>
      </c>
      <c r="CP165" s="110">
        <f>IF(AB165="","",IFERROR(AB165*HSCEI!$B$12*HSCEI!$G$12/HSCEI!$B$3,""))</f>
        <v/>
      </c>
      <c r="CQ165" s="110">
        <f>IF(AC165="","",IFERROR(AC165*HSCEI!$B$12*HSCEI!$G$12/HSCEI!$B$3,""))</f>
        <v/>
      </c>
      <c r="CR165" s="110">
        <f>IF(AD165="","",IFERROR(AD165*HSCEI!$B$12*HSCEI!$G$12/HSCEI!$B$3,""))</f>
        <v/>
      </c>
      <c r="CS165" s="110">
        <f>IF(AE165="","",IFERROR(AE165*HSCEI!$B$12*HSCEI!$G$12/HSCEI!$B$3,""))</f>
        <v/>
      </c>
      <c r="CT165" s="110">
        <f>IF(AF165="","",IFERROR(AF165*HSCEI!$B$12*HSCEI!$G$12/HSCEI!$B$3,""))</f>
        <v/>
      </c>
      <c r="CU165" s="110">
        <f>IF(AG165="","",IFERROR(AG165*HSCEI!$B$12*HSCEI!$G$12/HSCEI!$B$3,""))</f>
        <v/>
      </c>
      <c r="CV165" s="110">
        <f>IF(AH165="","",IFERROR(AH165*HSCEI!$B$12*HSCEI!$G$12/HSCEI!$B$3,""))</f>
        <v/>
      </c>
      <c r="CW165" s="110">
        <f>IF(AI165="","",IFERROR(AI165*HSCEI!$B$12*HSCEI!$G$12/HSCEI!$B$3,""))</f>
        <v/>
      </c>
      <c r="CX165" s="110">
        <f>IF(AJ165="","",IFERROR(AJ165*HSCEI!$B$12*HSCEI!$G$12/HSCEI!$B$3,""))</f>
        <v/>
      </c>
      <c r="CY165" s="110">
        <f>IF(AK165="","",IFERROR(AK165*HSCEI!$B$12*HSCEI!$G$12/HSCEI!$B$3,""))</f>
        <v/>
      </c>
      <c r="CZ165" s="110">
        <f>IF(AL165="","",IFERROR(AL165*HSCEI!$B$12*HSCEI!$G$12/HSCEI!$B$3,""))</f>
        <v/>
      </c>
      <c r="DA165" s="110">
        <f>IF(AM165="","",IFERROR(AM165*HSCEI!$B$12*HSCEI!$G$12/HSCEI!$B$3,""))</f>
        <v/>
      </c>
      <c r="DB165" s="110">
        <f>IF(AN165="","",IFERROR(AN165*HSCEI!$B$12*HSCEI!$G$12/HSCEI!$B$3,""))</f>
        <v/>
      </c>
      <c r="DC165" s="110">
        <f>IF(AO165="","",IFERROR(AO165*HSCEI!$B$12*HSCEI!$G$12/HSCEI!$B$3,""))</f>
        <v/>
      </c>
      <c r="DD165" s="110">
        <f>IF(AP165="","",IFERROR(AP165*HSCEI!$B$12*HSCEI!$G$12/HSCEI!$B$3,""))</f>
        <v/>
      </c>
      <c r="DE165" s="110">
        <f>IF(AQ165="","",IFERROR(AQ165*HSCEI!$B$12*HSCEI!$G$12/HSCEI!$B$3,""))</f>
        <v/>
      </c>
      <c r="DF165" s="110">
        <f>IF(AR165="","",IFERROR(AR165*HSCEI!$B$12*HSCEI!$G$12/HSCEI!$B$3,""))</f>
        <v/>
      </c>
      <c r="DG165" s="110">
        <f>IF(AS165="","",IFERROR(AS165*HSCEI!$B$12*HSCEI!$G$12/HSCEI!$B$3,""))</f>
        <v/>
      </c>
      <c r="DH165" s="110">
        <f>IF(AT165="","",IFERROR(AT165*HSCEI!$B$12*HSCEI!$G$12/HSCEI!$B$3,""))</f>
        <v/>
      </c>
      <c r="DI165" s="110">
        <f>IF(AU165="","",IFERROR(AU165*HSCEI!$B$12*HSCEI!$G$12/HSCEI!$B$3,""))</f>
        <v/>
      </c>
      <c r="DJ165" s="110">
        <f>IF(AV165="","",IFERROR(AV165*HSCEI!$B$12*HSCEI!$G$12/HSCEI!$B$3,""))</f>
        <v/>
      </c>
      <c r="DK165" s="110">
        <f>IF(AW165="","",IFERROR(AW165*HSCEI!$B$12*HSCEI!$G$12/HSCEI!$B$3,""))</f>
        <v/>
      </c>
      <c r="DL165" s="110">
        <f>IF(AX165="","",IFERROR(AX165*HSCEI!$B$12*HSCEI!$G$12/HSCEI!$B$3,""))</f>
        <v/>
      </c>
      <c r="DM165" s="110">
        <f>IF(AY165="","",IFERROR(AY165*HSCEI!$B$12*HSCEI!$G$12/HSCEI!$B$3,""))</f>
        <v/>
      </c>
      <c r="DN165" s="110">
        <f>IF(AZ165="","",IFERROR(AZ165*HSCEI!$B$12*HSCEI!$G$12/HSCEI!$B$3,""))</f>
        <v/>
      </c>
      <c r="DO165" s="110">
        <f>IF(BA165="","",IFERROR(BA165*HSCEI!$B$12*HSCEI!$G$12/HSCEI!$B$3,""))</f>
        <v/>
      </c>
      <c r="DP165" s="110">
        <f>IF(BB165="","",IFERROR(BB165*HSCEI!$B$12*HSCEI!$G$12/HSCEI!$B$3,""))</f>
        <v/>
      </c>
      <c r="DQ165" s="110">
        <f>IF(BC165="","",IFERROR(BC165*HSCEI!$B$12*HSCEI!$G$12/HSCEI!$B$3,""))</f>
        <v/>
      </c>
      <c r="DR165" s="110">
        <f>IF(BD165="","",IFERROR(BD165*HSCEI!$B$12*HSCEI!$G$12/HSCEI!$B$3,""))</f>
        <v/>
      </c>
      <c r="DS165" s="110">
        <f>IF(BE165="","",IFERROR(BE165*HSCEI!$B$12*HSCEI!$G$12/HSCEI!$B$3,""))</f>
        <v/>
      </c>
      <c r="DT165" s="110">
        <f>IF(BF165="","",IFERROR(BF165*HSCEI!$B$12*HSCEI!$G$12/HSCEI!$B$3,""))</f>
        <v/>
      </c>
      <c r="DU165" s="110">
        <f>IF(BG165="","",IFERROR(BG165*HSCEI!$B$12*HSCEI!$G$12/HSCEI!$B$3,""))</f>
        <v/>
      </c>
      <c r="DV165" s="110">
        <f>IF(BH165="","",IFERROR(BH165*HSCEI!$B$12*HSCEI!$G$12/HSCEI!$B$3,""))</f>
        <v/>
      </c>
      <c r="DW165" s="110">
        <f>IF(BI165="","",IFERROR(BI165*HSCEI!$B$12*HSCEI!$G$12/HSCEI!$B$3,""))</f>
        <v/>
      </c>
      <c r="DX165" s="110">
        <f>IF(BJ165="","",IFERROR(BJ165*HSCEI!$B$12*HSCEI!$G$12/HSCEI!$B$3,""))</f>
        <v/>
      </c>
      <c r="DY165" s="110">
        <f>IF(BK165="","",IFERROR(BK165*HSCEI!$B$12*HSCEI!$G$12/HSCEI!$B$3,""))</f>
        <v/>
      </c>
      <c r="DZ165" s="110">
        <f>IF(BL165="","",IFERROR(BL165*HSCEI!$B$12*HSCEI!$G$12/HSCEI!$B$3,""))</f>
        <v/>
      </c>
      <c r="EA165" s="110">
        <f>IF(BM165="","",IFERROR(BM165*HSCEI!$B$12*HSCEI!$G$12/HSCEI!$B$3,""))</f>
        <v/>
      </c>
      <c r="EB165" s="110">
        <f>IF(BN165="","",IFERROR(BN165*HSCEI!$B$12*HSCEI!$G$12/HSCEI!$B$3,""))</f>
        <v/>
      </c>
      <c r="EC165" s="110">
        <f>IF(BO165="","",IFERROR(BO165*HSCEI!$B$12*HSCEI!$G$12/HSCEI!$B$3,""))</f>
        <v/>
      </c>
      <c r="EE165" s="39">
        <f>IF(N('Dvd Calendar'!$E$1616)=0,"",IF(('Dvd Calendar'!$E$1616&gt;=GRID_FROM)*('Dvd Calendar'!$E$1616&lt;=GRID_TO)*((('Dvd Calendar'!$E$1616&lt;=VAL_DATE)+(COUNTIF('Dvd Calendar'!$E$1623:$AR$1623,'Dvd Calendar'!$E$1616)=0))&gt;0)=0,"",'Dvd Calendar'!$E$1616*1000000000+ISNUMBER('Dvd Calendar'!$E$1619)*100000000+('Dvd Calendar'!$E$1621=SPECIAL_LBL)*10000000+(N('Dvd Calendar'!$E$1615)&gt;0)*(N('Dvd Calendar'!$E$1615)&lt;=VAL_SERIAL)*1000000+6*1000+1))</f>
        <v/>
      </c>
      <c r="EF165" s="39">
        <f>IF(N('Dvd Calendar'!$F$1616)=0,"",IF(('Dvd Calendar'!$F$1616&gt;=GRID_FROM)*('Dvd Calendar'!$F$1616&lt;=GRID_TO)*((('Dvd Calendar'!$F$1616&lt;=VAL_DATE)+(COUNTIF('Dvd Calendar'!$E$1623:$AR$1623,'Dvd Calendar'!$F$1616)=0))&gt;0)=0,"",'Dvd Calendar'!$F$1616*1000000000+ISNUMBER('Dvd Calendar'!$F$1619)*100000000+('Dvd Calendar'!$F$1621=SPECIAL_LBL)*10000000+(N('Dvd Calendar'!$F$1615)&gt;0)*(N('Dvd Calendar'!$F$1615)&lt;=VAL_SERIAL)*1000000+6*1000+2))</f>
        <v/>
      </c>
      <c r="EG165" s="39">
        <f>IF(N('Dvd Calendar'!$G$1616)=0,"",IF(('Dvd Calendar'!$G$1616&gt;=GRID_FROM)*('Dvd Calendar'!$G$1616&lt;=GRID_TO)*((('Dvd Calendar'!$G$1616&lt;=VAL_DATE)+(COUNTIF('Dvd Calendar'!$E$1623:$AR$1623,'Dvd Calendar'!$G$1616)=0))&gt;0)=0,"",'Dvd Calendar'!$G$1616*1000000000+ISNUMBER('Dvd Calendar'!$G$1619)*100000000+('Dvd Calendar'!$G$1621=SPECIAL_LBL)*10000000+(N('Dvd Calendar'!$G$1615)&gt;0)*(N('Dvd Calendar'!$G$1615)&lt;=VAL_SERIAL)*1000000+6*1000+3))</f>
        <v/>
      </c>
      <c r="EH165" s="39">
        <f>IF(N('Dvd Calendar'!$H$1616)=0,"",IF(('Dvd Calendar'!$H$1616&gt;=GRID_FROM)*('Dvd Calendar'!$H$1616&lt;=GRID_TO)*((('Dvd Calendar'!$H$1616&lt;=VAL_DATE)+(COUNTIF('Dvd Calendar'!$E$1623:$AR$1623,'Dvd Calendar'!$H$1616)=0))&gt;0)=0,"",'Dvd Calendar'!$H$1616*1000000000+ISNUMBER('Dvd Calendar'!$H$1619)*100000000+('Dvd Calendar'!$H$1621=SPECIAL_LBL)*10000000+(N('Dvd Calendar'!$H$1615)&gt;0)*(N('Dvd Calendar'!$H$1615)&lt;=VAL_SERIAL)*1000000+6*1000+4))</f>
        <v/>
      </c>
      <c r="EI165" s="39">
        <f>IF(N('Dvd Calendar'!$I$1616)=0,"",IF(('Dvd Calendar'!$I$1616&gt;=GRID_FROM)*('Dvd Calendar'!$I$1616&lt;=GRID_TO)*((('Dvd Calendar'!$I$1616&lt;=VAL_DATE)+(COUNTIF('Dvd Calendar'!$E$1623:$AR$1623,'Dvd Calendar'!$I$1616)=0))&gt;0)=0,"",'Dvd Calendar'!$I$1616*1000000000+ISNUMBER('Dvd Calendar'!$I$1619)*100000000+('Dvd Calendar'!$I$1621=SPECIAL_LBL)*10000000+(N('Dvd Calendar'!$I$1615)&gt;0)*(N('Dvd Calendar'!$I$1615)&lt;=VAL_SERIAL)*1000000+6*1000+5))</f>
        <v/>
      </c>
      <c r="EJ165" s="39">
        <f>IF(N('Dvd Calendar'!$J$1616)=0,"",IF(('Dvd Calendar'!$J$1616&gt;=GRID_FROM)*('Dvd Calendar'!$J$1616&lt;=GRID_TO)*((('Dvd Calendar'!$J$1616&lt;=VAL_DATE)+(COUNTIF('Dvd Calendar'!$E$1623:$AR$1623,'Dvd Calendar'!$J$1616)=0))&gt;0)=0,"",'Dvd Calendar'!$J$1616*1000000000+ISNUMBER('Dvd Calendar'!$J$1619)*100000000+('Dvd Calendar'!$J$1621=SPECIAL_LBL)*10000000+(N('Dvd Calendar'!$J$1615)&gt;0)*(N('Dvd Calendar'!$J$1615)&lt;=VAL_SERIAL)*1000000+6*1000+6))</f>
        <v/>
      </c>
      <c r="EK165" s="39">
        <f>IF(N('Dvd Calendar'!$K$1616)=0,"",IF(('Dvd Calendar'!$K$1616&gt;=GRID_FROM)*('Dvd Calendar'!$K$1616&lt;=GRID_TO)*((('Dvd Calendar'!$K$1616&lt;=VAL_DATE)+(COUNTIF('Dvd Calendar'!$E$1623:$AR$1623,'Dvd Calendar'!$K$1616)=0))&gt;0)=0,"",'Dvd Calendar'!$K$1616*1000000000+ISNUMBER('Dvd Calendar'!$K$1619)*100000000+('Dvd Calendar'!$K$1621=SPECIAL_LBL)*10000000+(N('Dvd Calendar'!$K$1615)&gt;0)*(N('Dvd Calendar'!$K$1615)&lt;=VAL_SERIAL)*1000000+6*1000+7))</f>
        <v/>
      </c>
      <c r="EL165" s="39">
        <f>IF(N('Dvd Calendar'!$L$1616)=0,"",IF(('Dvd Calendar'!$L$1616&gt;=GRID_FROM)*('Dvd Calendar'!$L$1616&lt;=GRID_TO)*((('Dvd Calendar'!$L$1616&lt;=VAL_DATE)+(COUNTIF('Dvd Calendar'!$E$1623:$AR$1623,'Dvd Calendar'!$L$1616)=0))&gt;0)=0,"",'Dvd Calendar'!$L$1616*1000000000+ISNUMBER('Dvd Calendar'!$L$1619)*100000000+('Dvd Calendar'!$L$1621=SPECIAL_LBL)*10000000+(N('Dvd Calendar'!$L$1615)&gt;0)*(N('Dvd Calendar'!$L$1615)&lt;=VAL_SERIAL)*1000000+6*1000+8))</f>
        <v/>
      </c>
      <c r="EM165" s="39">
        <f>IF(N('Dvd Calendar'!$M$1616)=0,"",IF(('Dvd Calendar'!$M$1616&gt;=GRID_FROM)*('Dvd Calendar'!$M$1616&lt;=GRID_TO)*((('Dvd Calendar'!$M$1616&lt;=VAL_DATE)+(COUNTIF('Dvd Calendar'!$E$1623:$AR$1623,'Dvd Calendar'!$M$1616)=0))&gt;0)=0,"",'Dvd Calendar'!$M$1616*1000000000+ISNUMBER('Dvd Calendar'!$M$1619)*100000000+('Dvd Calendar'!$M$1621=SPECIAL_LBL)*10000000+(N('Dvd Calendar'!$M$1615)&gt;0)*(N('Dvd Calendar'!$M$1615)&lt;=VAL_SERIAL)*1000000+6*1000+9))</f>
        <v/>
      </c>
      <c r="EN165" s="39">
        <f>IF(N('Dvd Calendar'!$N$1616)=0,"",IF(('Dvd Calendar'!$N$1616&gt;=GRID_FROM)*('Dvd Calendar'!$N$1616&lt;=GRID_TO)*((('Dvd Calendar'!$N$1616&lt;=VAL_DATE)+(COUNTIF('Dvd Calendar'!$E$1623:$AR$1623,'Dvd Calendar'!$N$1616)=0))&gt;0)=0,"",'Dvd Calendar'!$N$1616*1000000000+ISNUMBER('Dvd Calendar'!$N$1619)*100000000+('Dvd Calendar'!$N$1621=SPECIAL_LBL)*10000000+(N('Dvd Calendar'!$N$1615)&gt;0)*(N('Dvd Calendar'!$N$1615)&lt;=VAL_SERIAL)*1000000+6*1000+10))</f>
        <v/>
      </c>
      <c r="EO165" s="39">
        <f>IF(N('Dvd Calendar'!$O$1616)=0,"",IF(('Dvd Calendar'!$O$1616&gt;=GRID_FROM)*('Dvd Calendar'!$O$1616&lt;=GRID_TO)*((('Dvd Calendar'!$O$1616&lt;=VAL_DATE)+(COUNTIF('Dvd Calendar'!$E$1623:$AR$1623,'Dvd Calendar'!$O$1616)=0))&gt;0)=0,"",'Dvd Calendar'!$O$1616*1000000000+ISNUMBER('Dvd Calendar'!$O$1619)*100000000+('Dvd Calendar'!$O$1621=SPECIAL_LBL)*10000000+(N('Dvd Calendar'!$O$1615)&gt;0)*(N('Dvd Calendar'!$O$1615)&lt;=VAL_SERIAL)*1000000+6*1000+11))</f>
        <v/>
      </c>
      <c r="EP165" s="39">
        <f>IF(N('Dvd Calendar'!$P$1616)=0,"",IF(('Dvd Calendar'!$P$1616&gt;=GRID_FROM)*('Dvd Calendar'!$P$1616&lt;=GRID_TO)*((('Dvd Calendar'!$P$1616&lt;=VAL_DATE)+(COUNTIF('Dvd Calendar'!$E$1623:$AR$1623,'Dvd Calendar'!$P$1616)=0))&gt;0)=0,"",'Dvd Calendar'!$P$1616*1000000000+ISNUMBER('Dvd Calendar'!$P$1619)*100000000+('Dvd Calendar'!$P$1621=SPECIAL_LBL)*10000000+(N('Dvd Calendar'!$P$1615)&gt;0)*(N('Dvd Calendar'!$P$1615)&lt;=VAL_SERIAL)*1000000+6*1000+12))</f>
        <v/>
      </c>
      <c r="EQ165" s="39">
        <f>IF(N('Dvd Calendar'!$Q$1616)=0,"",IF(('Dvd Calendar'!$Q$1616&gt;=GRID_FROM)*('Dvd Calendar'!$Q$1616&lt;=GRID_TO)*((('Dvd Calendar'!$Q$1616&lt;=VAL_DATE)+(COUNTIF('Dvd Calendar'!$E$1623:$AR$1623,'Dvd Calendar'!$Q$1616)=0))&gt;0)=0,"",'Dvd Calendar'!$Q$1616*1000000000+ISNUMBER('Dvd Calendar'!$Q$1619)*100000000+('Dvd Calendar'!$Q$1621=SPECIAL_LBL)*10000000+(N('Dvd Calendar'!$Q$1615)&gt;0)*(N('Dvd Calendar'!$Q$1615)&lt;=VAL_SERIAL)*1000000+6*1000+13))</f>
        <v/>
      </c>
      <c r="ER165" s="39">
        <f>IF(N('Dvd Calendar'!$R$1616)=0,"",IF(('Dvd Calendar'!$R$1616&gt;=GRID_FROM)*('Dvd Calendar'!$R$1616&lt;=GRID_TO)*((('Dvd Calendar'!$R$1616&lt;=VAL_DATE)+(COUNTIF('Dvd Calendar'!$E$1623:$AR$1623,'Dvd Calendar'!$R$1616)=0))&gt;0)=0,"",'Dvd Calendar'!$R$1616*1000000000+ISNUMBER('Dvd Calendar'!$R$1619)*100000000+('Dvd Calendar'!$R$1621=SPECIAL_LBL)*10000000+(N('Dvd Calendar'!$R$1615)&gt;0)*(N('Dvd Calendar'!$R$1615)&lt;=VAL_SERIAL)*1000000+6*1000+14))</f>
        <v/>
      </c>
      <c r="ES165" s="39">
        <f>IF(N('Dvd Calendar'!$S$1616)=0,"",IF(('Dvd Calendar'!$S$1616&gt;=GRID_FROM)*('Dvd Calendar'!$S$1616&lt;=GRID_TO)*((('Dvd Calendar'!$S$1616&lt;=VAL_DATE)+(COUNTIF('Dvd Calendar'!$E$1623:$AR$1623,'Dvd Calendar'!$S$1616)=0))&gt;0)=0,"",'Dvd Calendar'!$S$1616*1000000000+ISNUMBER('Dvd Calendar'!$S$1619)*100000000+('Dvd Calendar'!$S$1621=SPECIAL_LBL)*10000000+(N('Dvd Calendar'!$S$1615)&gt;0)*(N('Dvd Calendar'!$S$1615)&lt;=VAL_SERIAL)*1000000+6*1000+15))</f>
        <v/>
      </c>
      <c r="ET165" s="39">
        <f>IF(N('Dvd Calendar'!$T$1616)=0,"",IF(('Dvd Calendar'!$T$1616&gt;=GRID_FROM)*('Dvd Calendar'!$T$1616&lt;=GRID_TO)*((('Dvd Calendar'!$T$1616&lt;=VAL_DATE)+(COUNTIF('Dvd Calendar'!$E$1623:$AR$1623,'Dvd Calendar'!$T$1616)=0))&gt;0)=0,"",'Dvd Calendar'!$T$1616*1000000000+ISNUMBER('Dvd Calendar'!$T$1619)*100000000+('Dvd Calendar'!$T$1621=SPECIAL_LBL)*10000000+(N('Dvd Calendar'!$T$1615)&gt;0)*(N('Dvd Calendar'!$T$1615)&lt;=VAL_SERIAL)*1000000+6*1000+16))</f>
        <v/>
      </c>
      <c r="EU165" s="39">
        <f>IF(N('Dvd Calendar'!$U$1616)=0,"",IF(('Dvd Calendar'!$U$1616&gt;=GRID_FROM)*('Dvd Calendar'!$U$1616&lt;=GRID_TO)*((('Dvd Calendar'!$U$1616&lt;=VAL_DATE)+(COUNTIF('Dvd Calendar'!$E$1623:$AR$1623,'Dvd Calendar'!$U$1616)=0))&gt;0)=0,"",'Dvd Calendar'!$U$1616*1000000000+ISNUMBER('Dvd Calendar'!$U$1619)*100000000+('Dvd Calendar'!$U$1621=SPECIAL_LBL)*10000000+(N('Dvd Calendar'!$U$1615)&gt;0)*(N('Dvd Calendar'!$U$1615)&lt;=VAL_SERIAL)*1000000+6*1000+17))</f>
        <v/>
      </c>
      <c r="EV165" s="39">
        <f>IF(N('Dvd Calendar'!$V$1616)=0,"",IF(('Dvd Calendar'!$V$1616&gt;=GRID_FROM)*('Dvd Calendar'!$V$1616&lt;=GRID_TO)*((('Dvd Calendar'!$V$1616&lt;=VAL_DATE)+(COUNTIF('Dvd Calendar'!$E$1623:$AR$1623,'Dvd Calendar'!$V$1616)=0))&gt;0)=0,"",'Dvd Calendar'!$V$1616*1000000000+ISNUMBER('Dvd Calendar'!$V$1619)*100000000+('Dvd Calendar'!$V$1621=SPECIAL_LBL)*10000000+(N('Dvd Calendar'!$V$1615)&gt;0)*(N('Dvd Calendar'!$V$1615)&lt;=VAL_SERIAL)*1000000+6*1000+18))</f>
        <v/>
      </c>
      <c r="EW165" s="39">
        <f>IF(N('Dvd Calendar'!$W$1616)=0,"",IF(('Dvd Calendar'!$W$1616&gt;=GRID_FROM)*('Dvd Calendar'!$W$1616&lt;=GRID_TO)*((('Dvd Calendar'!$W$1616&lt;=VAL_DATE)+(COUNTIF('Dvd Calendar'!$E$1623:$AR$1623,'Dvd Calendar'!$W$1616)=0))&gt;0)=0,"",'Dvd Calendar'!$W$1616*1000000000+ISNUMBER('Dvd Calendar'!$W$1619)*100000000+('Dvd Calendar'!$W$1621=SPECIAL_LBL)*10000000+(N('Dvd Calendar'!$W$1615)&gt;0)*(N('Dvd Calendar'!$W$1615)&lt;=VAL_SERIAL)*1000000+6*1000+19))</f>
        <v/>
      </c>
      <c r="EX165" s="39">
        <f>IF(N('Dvd Calendar'!$X$1616)=0,"",IF(('Dvd Calendar'!$X$1616&gt;=GRID_FROM)*('Dvd Calendar'!$X$1616&lt;=GRID_TO)*((('Dvd Calendar'!$X$1616&lt;=VAL_DATE)+(COUNTIF('Dvd Calendar'!$E$1623:$AR$1623,'Dvd Calendar'!$X$1616)=0))&gt;0)=0,"",'Dvd Calendar'!$X$1616*1000000000+ISNUMBER('Dvd Calendar'!$X$1619)*100000000+('Dvd Calendar'!$X$1621=SPECIAL_LBL)*10000000+(N('Dvd Calendar'!$X$1615)&gt;0)*(N('Dvd Calendar'!$X$1615)&lt;=VAL_SERIAL)*1000000+6*1000+20))</f>
        <v/>
      </c>
      <c r="EY165" s="39">
        <f>IF(N('Dvd Calendar'!$Y$1616)=0,"",IF(('Dvd Calendar'!$Y$1616&gt;=GRID_FROM)*('Dvd Calendar'!$Y$1616&lt;=GRID_TO)*((('Dvd Calendar'!$Y$1616&lt;=VAL_DATE)+(COUNTIF('Dvd Calendar'!$E$1623:$AR$1623,'Dvd Calendar'!$Y$1616)=0))&gt;0)=0,"",'Dvd Calendar'!$Y$1616*1000000000+ISNUMBER('Dvd Calendar'!$Y$1619)*100000000+('Dvd Calendar'!$Y$1621=SPECIAL_LBL)*10000000+(N('Dvd Calendar'!$Y$1615)&gt;0)*(N('Dvd Calendar'!$Y$1615)&lt;=VAL_SERIAL)*1000000+6*1000+21))</f>
        <v/>
      </c>
      <c r="EZ165" s="39">
        <f>IF(N('Dvd Calendar'!$Z$1616)=0,"",IF(('Dvd Calendar'!$Z$1616&gt;=GRID_FROM)*('Dvd Calendar'!$Z$1616&lt;=GRID_TO)*((('Dvd Calendar'!$Z$1616&lt;=VAL_DATE)+(COUNTIF('Dvd Calendar'!$E$1623:$AR$1623,'Dvd Calendar'!$Z$1616)=0))&gt;0)=0,"",'Dvd Calendar'!$Z$1616*1000000000+ISNUMBER('Dvd Calendar'!$Z$1619)*100000000+('Dvd Calendar'!$Z$1621=SPECIAL_LBL)*10000000+(N('Dvd Calendar'!$Z$1615)&gt;0)*(N('Dvd Calendar'!$Z$1615)&lt;=VAL_SERIAL)*1000000+6*1000+22))</f>
        <v/>
      </c>
      <c r="FA165" s="39">
        <f>IF(N('Dvd Calendar'!$AA$1616)=0,"",IF(('Dvd Calendar'!$AA$1616&gt;=GRID_FROM)*('Dvd Calendar'!$AA$1616&lt;=GRID_TO)*((('Dvd Calendar'!$AA$1616&lt;=VAL_DATE)+(COUNTIF('Dvd Calendar'!$E$1623:$AR$1623,'Dvd Calendar'!$AA$1616)=0))&gt;0)=0,"",'Dvd Calendar'!$AA$1616*1000000000+ISNUMBER('Dvd Calendar'!$AA$1619)*100000000+('Dvd Calendar'!$AA$1621=SPECIAL_LBL)*10000000+(N('Dvd Calendar'!$AA$1615)&gt;0)*(N('Dvd Calendar'!$AA$1615)&lt;=VAL_SERIAL)*1000000+6*1000+23))</f>
        <v/>
      </c>
      <c r="FB165" s="39">
        <f>IF(N('Dvd Calendar'!$AB$1616)=0,"",IF(('Dvd Calendar'!$AB$1616&gt;=GRID_FROM)*('Dvd Calendar'!$AB$1616&lt;=GRID_TO)*((('Dvd Calendar'!$AB$1616&lt;=VAL_DATE)+(COUNTIF('Dvd Calendar'!$E$1623:$AR$1623,'Dvd Calendar'!$AB$1616)=0))&gt;0)=0,"",'Dvd Calendar'!$AB$1616*1000000000+ISNUMBER('Dvd Calendar'!$AB$1619)*100000000+('Dvd Calendar'!$AB$1621=SPECIAL_LBL)*10000000+(N('Dvd Calendar'!$AB$1615)&gt;0)*(N('Dvd Calendar'!$AB$1615)&lt;=VAL_SERIAL)*1000000+6*1000+24))</f>
        <v/>
      </c>
      <c r="FC165" s="39">
        <f>IF(N('Dvd Calendar'!$AC$1616)=0,"",IF(('Dvd Calendar'!$AC$1616&gt;=GRID_FROM)*('Dvd Calendar'!$AC$1616&lt;=GRID_TO)*((('Dvd Calendar'!$AC$1616&lt;=VAL_DATE)+(COUNTIF('Dvd Calendar'!$E$1623:$AR$1623,'Dvd Calendar'!$AC$1616)=0))&gt;0)=0,"",'Dvd Calendar'!$AC$1616*1000000000+ISNUMBER('Dvd Calendar'!$AC$1619)*100000000+('Dvd Calendar'!$AC$1621=SPECIAL_LBL)*10000000+(N('Dvd Calendar'!$AC$1615)&gt;0)*(N('Dvd Calendar'!$AC$1615)&lt;=VAL_SERIAL)*1000000+6*1000+25))</f>
        <v/>
      </c>
      <c r="FD165" s="39">
        <f>IF(N('Dvd Calendar'!$AD$1616)=0,"",IF(('Dvd Calendar'!$AD$1616&gt;=GRID_FROM)*('Dvd Calendar'!$AD$1616&lt;=GRID_TO)*((('Dvd Calendar'!$AD$1616&lt;=VAL_DATE)+(COUNTIF('Dvd Calendar'!$E$1623:$AR$1623,'Dvd Calendar'!$AD$1616)=0))&gt;0)=0,"",'Dvd Calendar'!$AD$1616*1000000000+ISNUMBER('Dvd Calendar'!$AD$1619)*100000000+('Dvd Calendar'!$AD$1621=SPECIAL_LBL)*10000000+(N('Dvd Calendar'!$AD$1615)&gt;0)*(N('Dvd Calendar'!$AD$1615)&lt;=VAL_SERIAL)*1000000+6*1000+26))</f>
        <v/>
      </c>
      <c r="FE165" s="39">
        <f>IF(N('Dvd Calendar'!$AE$1616)=0,"",IF(('Dvd Calendar'!$AE$1616&gt;=GRID_FROM)*('Dvd Calendar'!$AE$1616&lt;=GRID_TO)*((('Dvd Calendar'!$AE$1616&lt;=VAL_DATE)+(COUNTIF('Dvd Calendar'!$E$1623:$AR$1623,'Dvd Calendar'!$AE$1616)=0))&gt;0)=0,"",'Dvd Calendar'!$AE$1616*1000000000+ISNUMBER('Dvd Calendar'!$AE$1619)*100000000+('Dvd Calendar'!$AE$1621=SPECIAL_LBL)*10000000+(N('Dvd Calendar'!$AE$1615)&gt;0)*(N('Dvd Calendar'!$AE$1615)&lt;=VAL_SERIAL)*1000000+6*1000+27))</f>
        <v/>
      </c>
      <c r="FF165" s="39">
        <f>IF(N('Dvd Calendar'!$AF$1616)=0,"",IF(('Dvd Calendar'!$AF$1616&gt;=GRID_FROM)*('Dvd Calendar'!$AF$1616&lt;=GRID_TO)*((('Dvd Calendar'!$AF$1616&lt;=VAL_DATE)+(COUNTIF('Dvd Calendar'!$E$1623:$AR$1623,'Dvd Calendar'!$AF$1616)=0))&gt;0)=0,"",'Dvd Calendar'!$AF$1616*1000000000+ISNUMBER('Dvd Calendar'!$AF$1619)*100000000+('Dvd Calendar'!$AF$1621=SPECIAL_LBL)*10000000+(N('Dvd Calendar'!$AF$1615)&gt;0)*(N('Dvd Calendar'!$AF$1615)&lt;=VAL_SERIAL)*1000000+6*1000+28))</f>
        <v/>
      </c>
      <c r="FG165" s="39">
        <f>IF(N('Dvd Calendar'!$AG$1616)=0,"",IF(('Dvd Calendar'!$AG$1616&gt;=GRID_FROM)*('Dvd Calendar'!$AG$1616&lt;=GRID_TO)*((('Dvd Calendar'!$AG$1616&lt;=VAL_DATE)+(COUNTIF('Dvd Calendar'!$E$1623:$AR$1623,'Dvd Calendar'!$AG$1616)=0))&gt;0)=0,"",'Dvd Calendar'!$AG$1616*1000000000+ISNUMBER('Dvd Calendar'!$AG$1619)*100000000+('Dvd Calendar'!$AG$1621=SPECIAL_LBL)*10000000+(N('Dvd Calendar'!$AG$1615)&gt;0)*(N('Dvd Calendar'!$AG$1615)&lt;=VAL_SERIAL)*1000000+6*1000+29))</f>
        <v/>
      </c>
      <c r="FH165" s="39">
        <f>IF(N('Dvd Calendar'!$AH$1616)=0,"",IF(('Dvd Calendar'!$AH$1616&gt;=GRID_FROM)*('Dvd Calendar'!$AH$1616&lt;=GRID_TO)*((('Dvd Calendar'!$AH$1616&lt;=VAL_DATE)+(COUNTIF('Dvd Calendar'!$E$1623:$AR$1623,'Dvd Calendar'!$AH$1616)=0))&gt;0)=0,"",'Dvd Calendar'!$AH$1616*1000000000+ISNUMBER('Dvd Calendar'!$AH$1619)*100000000+('Dvd Calendar'!$AH$1621=SPECIAL_LBL)*10000000+(N('Dvd Calendar'!$AH$1615)&gt;0)*(N('Dvd Calendar'!$AH$1615)&lt;=VAL_SERIAL)*1000000+6*1000+30))</f>
        <v/>
      </c>
      <c r="FI165" s="39">
        <f>IF(N('Dvd Calendar'!$AI$1616)=0,"",IF(('Dvd Calendar'!$AI$1616&gt;=GRID_FROM)*('Dvd Calendar'!$AI$1616&lt;=GRID_TO)*((('Dvd Calendar'!$AI$1616&lt;=VAL_DATE)+(COUNTIF('Dvd Calendar'!$E$1623:$AR$1623,'Dvd Calendar'!$AI$1616)=0))&gt;0)=0,"",'Dvd Calendar'!$AI$1616*1000000000+ISNUMBER('Dvd Calendar'!$AI$1619)*100000000+('Dvd Calendar'!$AI$1621=SPECIAL_LBL)*10000000+(N('Dvd Calendar'!$AI$1615)&gt;0)*(N('Dvd Calendar'!$AI$1615)&lt;=VAL_SERIAL)*1000000+6*1000+31))</f>
        <v/>
      </c>
      <c r="FJ165" s="39">
        <f>IF(N('Dvd Calendar'!$AJ$1616)=0,"",IF(('Dvd Calendar'!$AJ$1616&gt;=GRID_FROM)*('Dvd Calendar'!$AJ$1616&lt;=GRID_TO)*((('Dvd Calendar'!$AJ$1616&lt;=VAL_DATE)+(COUNTIF('Dvd Calendar'!$E$1623:$AR$1623,'Dvd Calendar'!$AJ$1616)=0))&gt;0)=0,"",'Dvd Calendar'!$AJ$1616*1000000000+ISNUMBER('Dvd Calendar'!$AJ$1619)*100000000+('Dvd Calendar'!$AJ$1621=SPECIAL_LBL)*10000000+(N('Dvd Calendar'!$AJ$1615)&gt;0)*(N('Dvd Calendar'!$AJ$1615)&lt;=VAL_SERIAL)*1000000+6*1000+32))</f>
        <v/>
      </c>
      <c r="FK165" s="39">
        <f>IF(N('Dvd Calendar'!$AK$1616)=0,"",IF(('Dvd Calendar'!$AK$1616&gt;=GRID_FROM)*('Dvd Calendar'!$AK$1616&lt;=GRID_TO)*((('Dvd Calendar'!$AK$1616&lt;=VAL_DATE)+(COUNTIF('Dvd Calendar'!$E$1623:$AR$1623,'Dvd Calendar'!$AK$1616)=0))&gt;0)=0,"",'Dvd Calendar'!$AK$1616*1000000000+ISNUMBER('Dvd Calendar'!$AK$1619)*100000000+('Dvd Calendar'!$AK$1621=SPECIAL_LBL)*10000000+(N('Dvd Calendar'!$AK$1615)&gt;0)*(N('Dvd Calendar'!$AK$1615)&lt;=VAL_SERIAL)*1000000+6*1000+33))</f>
        <v/>
      </c>
      <c r="FL165" s="39">
        <f>IF(N('Dvd Calendar'!$AL$1616)=0,"",IF(('Dvd Calendar'!$AL$1616&gt;=GRID_FROM)*('Dvd Calendar'!$AL$1616&lt;=GRID_TO)*((('Dvd Calendar'!$AL$1616&lt;=VAL_DATE)+(COUNTIF('Dvd Calendar'!$E$1623:$AR$1623,'Dvd Calendar'!$AL$1616)=0))&gt;0)=0,"",'Dvd Calendar'!$AL$1616*1000000000+ISNUMBER('Dvd Calendar'!$AL$1619)*100000000+('Dvd Calendar'!$AL$1621=SPECIAL_LBL)*10000000+(N('Dvd Calendar'!$AL$1615)&gt;0)*(N('Dvd Calendar'!$AL$1615)&lt;=VAL_SERIAL)*1000000+6*1000+34))</f>
        <v/>
      </c>
      <c r="FM165" s="39">
        <f>IF(N('Dvd Calendar'!$AM$1616)=0,"",IF(('Dvd Calendar'!$AM$1616&gt;=GRID_FROM)*('Dvd Calendar'!$AM$1616&lt;=GRID_TO)*((('Dvd Calendar'!$AM$1616&lt;=VAL_DATE)+(COUNTIF('Dvd Calendar'!$E$1623:$AR$1623,'Dvd Calendar'!$AM$1616)=0))&gt;0)=0,"",'Dvd Calendar'!$AM$1616*1000000000+ISNUMBER('Dvd Calendar'!$AM$1619)*100000000+('Dvd Calendar'!$AM$1621=SPECIAL_LBL)*10000000+(N('Dvd Calendar'!$AM$1615)&gt;0)*(N('Dvd Calendar'!$AM$1615)&lt;=VAL_SERIAL)*1000000+6*1000+35))</f>
        <v/>
      </c>
      <c r="FN165" s="39">
        <f>IF(N('Dvd Calendar'!$AN$1616)=0,"",IF(('Dvd Calendar'!$AN$1616&gt;=GRID_FROM)*('Dvd Calendar'!$AN$1616&lt;=GRID_TO)*((('Dvd Calendar'!$AN$1616&lt;=VAL_DATE)+(COUNTIF('Dvd Calendar'!$E$1623:$AR$1623,'Dvd Calendar'!$AN$1616)=0))&gt;0)=0,"",'Dvd Calendar'!$AN$1616*1000000000+ISNUMBER('Dvd Calendar'!$AN$1619)*100000000+('Dvd Calendar'!$AN$1621=SPECIAL_LBL)*10000000+(N('Dvd Calendar'!$AN$1615)&gt;0)*(N('Dvd Calendar'!$AN$1615)&lt;=VAL_SERIAL)*1000000+6*1000+36))</f>
        <v/>
      </c>
      <c r="FO165" s="39">
        <f>IF(N('Dvd Calendar'!$AO$1616)=0,"",IF(('Dvd Calendar'!$AO$1616&gt;=GRID_FROM)*('Dvd Calendar'!$AO$1616&lt;=GRID_TO)*((('Dvd Calendar'!$AO$1616&lt;=VAL_DATE)+(COUNTIF('Dvd Calendar'!$E$1623:$AR$1623,'Dvd Calendar'!$AO$1616)=0))&gt;0)=0,"",'Dvd Calendar'!$AO$1616*1000000000+ISNUMBER('Dvd Calendar'!$AO$1619)*100000000+('Dvd Calendar'!$AO$1621=SPECIAL_LBL)*10000000+(N('Dvd Calendar'!$AO$1615)&gt;0)*(N('Dvd Calendar'!$AO$1615)&lt;=VAL_SERIAL)*1000000+6*1000+37))</f>
        <v/>
      </c>
      <c r="FP165" s="39">
        <f>IF(N('Dvd Calendar'!$AP$1616)=0,"",IF(('Dvd Calendar'!$AP$1616&gt;=GRID_FROM)*('Dvd Calendar'!$AP$1616&lt;=GRID_TO)*((('Dvd Calendar'!$AP$1616&lt;=VAL_DATE)+(COUNTIF('Dvd Calendar'!$E$1623:$AR$1623,'Dvd Calendar'!$AP$1616)=0))&gt;0)=0,"",'Dvd Calendar'!$AP$1616*1000000000+ISNUMBER('Dvd Calendar'!$AP$1619)*100000000+('Dvd Calendar'!$AP$1621=SPECIAL_LBL)*10000000+(N('Dvd Calendar'!$AP$1615)&gt;0)*(N('Dvd Calendar'!$AP$1615)&lt;=VAL_SERIAL)*1000000+6*1000+38))</f>
        <v/>
      </c>
      <c r="FQ165" s="39">
        <f>IF(N('Dvd Calendar'!$AQ$1616)=0,"",IF(('Dvd Calendar'!$AQ$1616&gt;=GRID_FROM)*('Dvd Calendar'!$AQ$1616&lt;=GRID_TO)*((('Dvd Calendar'!$AQ$1616&lt;=VAL_DATE)+(COUNTIF('Dvd Calendar'!$E$1623:$AR$1623,'Dvd Calendar'!$AQ$1616)=0))&gt;0)=0,"",'Dvd Calendar'!$AQ$1616*1000000000+ISNUMBER('Dvd Calendar'!$AQ$1619)*100000000+('Dvd Calendar'!$AQ$1621=SPECIAL_LBL)*10000000+(N('Dvd Calendar'!$AQ$1615)&gt;0)*(N('Dvd Calendar'!$AQ$1615)&lt;=VAL_SERIAL)*1000000+6*1000+39))</f>
        <v/>
      </c>
      <c r="FR165" s="39">
        <f>IF(N('Dvd Calendar'!$AR$1616)=0,"",IF(('Dvd Calendar'!$AR$1616&gt;=GRID_FROM)*('Dvd Calendar'!$AR$1616&lt;=GRID_TO)*((('Dvd Calendar'!$AR$1616&lt;=VAL_DATE)+(COUNTIF('Dvd Calendar'!$E$1623:$AR$1623,'Dvd Calendar'!$AR$1616)=0))&gt;0)=0,"",'Dvd Calendar'!$AR$1616*1000000000+ISNUMBER('Dvd Calendar'!$AR$1619)*100000000+('Dvd Calendar'!$AR$1621=SPECIAL_LBL)*10000000+(N('Dvd Calendar'!$AR$1615)&gt;0)*(N('Dvd Calendar'!$AR$1615)&lt;=VAL_SERIAL)*1000000+6*1000+40))</f>
        <v/>
      </c>
      <c r="FS165" s="39">
        <f>IF(N('Dvd Calendar'!$E$1623)=0,"",IF(('Dvd Calendar'!$E$1623&gt;=GRID_FROM)*('Dvd Calendar'!$E$1623&lt;=GRID_TO)*('Dvd Calendar'!$E$1623&gt;VAL_DATE)=0,"",'Dvd Calendar'!$E$1623*1000000000+ISNUMBER('Dvd Calendar'!$E$1624)*100000000+0*10000000+(N('Dvd Calendar'!$E$1622)&gt;0)*(N('Dvd Calendar'!$E$1622)&lt;=VAL_SERIAL)*1000000+6*1000+41))</f>
        <v/>
      </c>
      <c r="FT165" s="39">
        <f>IF(N('Dvd Calendar'!$F$1623)=0,"",IF(('Dvd Calendar'!$F$1623&gt;=GRID_FROM)*('Dvd Calendar'!$F$1623&lt;=GRID_TO)*('Dvd Calendar'!$F$1623&gt;VAL_DATE)=0,"",'Dvd Calendar'!$F$1623*1000000000+ISNUMBER('Dvd Calendar'!$F$1624)*100000000+0*10000000+(N('Dvd Calendar'!$F$1622)&gt;0)*(N('Dvd Calendar'!$F$1622)&lt;=VAL_SERIAL)*1000000+6*1000+42))</f>
        <v/>
      </c>
      <c r="FU165" s="39">
        <f>IF(N('Dvd Calendar'!$G$1623)=0,"",IF(('Dvd Calendar'!$G$1623&gt;=GRID_FROM)*('Dvd Calendar'!$G$1623&lt;=GRID_TO)*('Dvd Calendar'!$G$1623&gt;VAL_DATE)=0,"",'Dvd Calendar'!$G$1623*1000000000+ISNUMBER('Dvd Calendar'!$G$1624)*100000000+0*10000000+(N('Dvd Calendar'!$G$1622)&gt;0)*(N('Dvd Calendar'!$G$1622)&lt;=VAL_SERIAL)*1000000+6*1000+43))</f>
        <v/>
      </c>
      <c r="FV165" s="39">
        <f>IF(N('Dvd Calendar'!$H$1623)=0,"",IF(('Dvd Calendar'!$H$1623&gt;=GRID_FROM)*('Dvd Calendar'!$H$1623&lt;=GRID_TO)*('Dvd Calendar'!$H$1623&gt;VAL_DATE)=0,"",'Dvd Calendar'!$H$1623*1000000000+ISNUMBER('Dvd Calendar'!$H$1624)*100000000+0*10000000+(N('Dvd Calendar'!$H$1622)&gt;0)*(N('Dvd Calendar'!$H$1622)&lt;=VAL_SERIAL)*1000000+6*1000+44))</f>
        <v/>
      </c>
      <c r="FW165" s="39">
        <f>IF(N('Dvd Calendar'!$I$1623)=0,"",IF(('Dvd Calendar'!$I$1623&gt;=GRID_FROM)*('Dvd Calendar'!$I$1623&lt;=GRID_TO)*('Dvd Calendar'!$I$1623&gt;VAL_DATE)=0,"",'Dvd Calendar'!$I$1623*1000000000+ISNUMBER('Dvd Calendar'!$I$1624)*100000000+0*10000000+(N('Dvd Calendar'!$I$1622)&gt;0)*(N('Dvd Calendar'!$I$1622)&lt;=VAL_SERIAL)*1000000+6*1000+45))</f>
        <v/>
      </c>
      <c r="FX165" s="39">
        <f>IF(N('Dvd Calendar'!$J$1623)=0,"",IF(('Dvd Calendar'!$J$1623&gt;=GRID_FROM)*('Dvd Calendar'!$J$1623&lt;=GRID_TO)*('Dvd Calendar'!$J$1623&gt;VAL_DATE)=0,"",'Dvd Calendar'!$J$1623*1000000000+ISNUMBER('Dvd Calendar'!$J$1624)*100000000+0*10000000+(N('Dvd Calendar'!$J$1622)&gt;0)*(N('Dvd Calendar'!$J$1622)&lt;=VAL_SERIAL)*1000000+6*1000+46))</f>
        <v/>
      </c>
      <c r="FY165" s="39">
        <f>IF(N('Dvd Calendar'!$K$1623)=0,"",IF(('Dvd Calendar'!$K$1623&gt;=GRID_FROM)*('Dvd Calendar'!$K$1623&lt;=GRID_TO)*('Dvd Calendar'!$K$1623&gt;VAL_DATE)=0,"",'Dvd Calendar'!$K$1623*1000000000+ISNUMBER('Dvd Calendar'!$K$1624)*100000000+0*10000000+(N('Dvd Calendar'!$K$1622)&gt;0)*(N('Dvd Calendar'!$K$1622)&lt;=VAL_SERIAL)*1000000+6*1000+47))</f>
        <v/>
      </c>
      <c r="FZ165" s="39">
        <f>IF(N('Dvd Calendar'!$L$1623)=0,"",IF(('Dvd Calendar'!$L$1623&gt;=GRID_FROM)*('Dvd Calendar'!$L$1623&lt;=GRID_TO)*('Dvd Calendar'!$L$1623&gt;VAL_DATE)=0,"",'Dvd Calendar'!$L$1623*1000000000+ISNUMBER('Dvd Calendar'!$L$1624)*100000000+0*10000000+(N('Dvd Calendar'!$L$1622)&gt;0)*(N('Dvd Calendar'!$L$1622)&lt;=VAL_SERIAL)*1000000+6*1000+48))</f>
        <v/>
      </c>
      <c r="GA165" s="39">
        <f>IF(N('Dvd Calendar'!$M$1623)=0,"",IF(('Dvd Calendar'!$M$1623&gt;=GRID_FROM)*('Dvd Calendar'!$M$1623&lt;=GRID_TO)*('Dvd Calendar'!$M$1623&gt;VAL_DATE)=0,"",'Dvd Calendar'!$M$1623*1000000000+ISNUMBER('Dvd Calendar'!$M$1624)*100000000+0*10000000+(N('Dvd Calendar'!$M$1622)&gt;0)*(N('Dvd Calendar'!$M$1622)&lt;=VAL_SERIAL)*1000000+6*1000+49))</f>
        <v/>
      </c>
      <c r="GB165" s="39">
        <f>IF(N('Dvd Calendar'!$N$1623)=0,"",IF(('Dvd Calendar'!$N$1623&gt;=GRID_FROM)*('Dvd Calendar'!$N$1623&lt;=GRID_TO)*('Dvd Calendar'!$N$1623&gt;VAL_DATE)=0,"",'Dvd Calendar'!$N$1623*1000000000+ISNUMBER('Dvd Calendar'!$N$1624)*100000000+0*10000000+(N('Dvd Calendar'!$N$1622)&gt;0)*(N('Dvd Calendar'!$N$1622)&lt;=VAL_SERIAL)*1000000+6*1000+50))</f>
        <v/>
      </c>
      <c r="GC165" s="39">
        <f>IF(N('Dvd Calendar'!$O$1623)=0,"",IF(('Dvd Calendar'!$O$1623&gt;=GRID_FROM)*('Dvd Calendar'!$O$1623&lt;=GRID_TO)*('Dvd Calendar'!$O$1623&gt;VAL_DATE)=0,"",'Dvd Calendar'!$O$1623*1000000000+ISNUMBER('Dvd Calendar'!$O$1624)*100000000+0*10000000+(N('Dvd Calendar'!$O$1622)&gt;0)*(N('Dvd Calendar'!$O$1622)&lt;=VAL_SERIAL)*1000000+6*1000+51))</f>
        <v/>
      </c>
      <c r="GD165" s="39">
        <f>IF(N('Dvd Calendar'!$P$1623)=0,"",IF(('Dvd Calendar'!$P$1623&gt;=GRID_FROM)*('Dvd Calendar'!$P$1623&lt;=GRID_TO)*('Dvd Calendar'!$P$1623&gt;VAL_DATE)=0,"",'Dvd Calendar'!$P$1623*1000000000+ISNUMBER('Dvd Calendar'!$P$1624)*100000000+0*10000000+(N('Dvd Calendar'!$P$1622)&gt;0)*(N('Dvd Calendar'!$P$1622)&lt;=VAL_SERIAL)*1000000+6*1000+52))</f>
        <v/>
      </c>
      <c r="GE165" s="39">
        <f>IF(N('Dvd Calendar'!$Q$1623)=0,"",IF(('Dvd Calendar'!$Q$1623&gt;=GRID_FROM)*('Dvd Calendar'!$Q$1623&lt;=GRID_TO)*('Dvd Calendar'!$Q$1623&gt;VAL_DATE)=0,"",'Dvd Calendar'!$Q$1623*1000000000+ISNUMBER('Dvd Calendar'!$Q$1624)*100000000+0*10000000+(N('Dvd Calendar'!$Q$1622)&gt;0)*(N('Dvd Calendar'!$Q$1622)&lt;=VAL_SERIAL)*1000000+6*1000+53))</f>
        <v/>
      </c>
      <c r="GF165" s="39">
        <f>IF(N('Dvd Calendar'!$R$1623)=0,"",IF(('Dvd Calendar'!$R$1623&gt;=GRID_FROM)*('Dvd Calendar'!$R$1623&lt;=GRID_TO)*('Dvd Calendar'!$R$1623&gt;VAL_DATE)=0,"",'Dvd Calendar'!$R$1623*1000000000+ISNUMBER('Dvd Calendar'!$R$1624)*100000000+0*10000000+(N('Dvd Calendar'!$R$1622)&gt;0)*(N('Dvd Calendar'!$R$1622)&lt;=VAL_SERIAL)*1000000+6*1000+54))</f>
        <v/>
      </c>
      <c r="GG165" s="39">
        <f>IF(N('Dvd Calendar'!$S$1623)=0,"",IF(('Dvd Calendar'!$S$1623&gt;=GRID_FROM)*('Dvd Calendar'!$S$1623&lt;=GRID_TO)*('Dvd Calendar'!$S$1623&gt;VAL_DATE)=0,"",'Dvd Calendar'!$S$1623*1000000000+ISNUMBER('Dvd Calendar'!$S$1624)*100000000+0*10000000+(N('Dvd Calendar'!$S$1622)&gt;0)*(N('Dvd Calendar'!$S$1622)&lt;=VAL_SERIAL)*1000000+6*1000+55))</f>
        <v/>
      </c>
      <c r="GH165" s="39">
        <f>IF(N('Dvd Calendar'!$T$1623)=0,"",IF(('Dvd Calendar'!$T$1623&gt;=GRID_FROM)*('Dvd Calendar'!$T$1623&lt;=GRID_TO)*('Dvd Calendar'!$T$1623&gt;VAL_DATE)=0,"",'Dvd Calendar'!$T$1623*1000000000+ISNUMBER('Dvd Calendar'!$T$1624)*100000000+0*10000000+(N('Dvd Calendar'!$T$1622)&gt;0)*(N('Dvd Calendar'!$T$1622)&lt;=VAL_SERIAL)*1000000+6*1000+56))</f>
        <v/>
      </c>
      <c r="GI165" s="39">
        <f>IF(N('Dvd Calendar'!$U$1623)=0,"",IF(('Dvd Calendar'!$U$1623&gt;=GRID_FROM)*('Dvd Calendar'!$U$1623&lt;=GRID_TO)*('Dvd Calendar'!$U$1623&gt;VAL_DATE)=0,"",'Dvd Calendar'!$U$1623*1000000000+ISNUMBER('Dvd Calendar'!$U$1624)*100000000+0*10000000+(N('Dvd Calendar'!$U$1622)&gt;0)*(N('Dvd Calendar'!$U$1622)&lt;=VAL_SERIAL)*1000000+6*1000+57))</f>
        <v/>
      </c>
      <c r="GJ165" s="39">
        <f>IF(N('Dvd Calendar'!$V$1623)=0,"",IF(('Dvd Calendar'!$V$1623&gt;=GRID_FROM)*('Dvd Calendar'!$V$1623&lt;=GRID_TO)*('Dvd Calendar'!$V$1623&gt;VAL_DATE)=0,"",'Dvd Calendar'!$V$1623*1000000000+ISNUMBER('Dvd Calendar'!$V$1624)*100000000+0*10000000+(N('Dvd Calendar'!$V$1622)&gt;0)*(N('Dvd Calendar'!$V$1622)&lt;=VAL_SERIAL)*1000000+6*1000+58))</f>
        <v/>
      </c>
      <c r="GK165" s="39">
        <f>IF(N('Dvd Calendar'!$W$1623)=0,"",IF(('Dvd Calendar'!$W$1623&gt;=GRID_FROM)*('Dvd Calendar'!$W$1623&lt;=GRID_TO)*('Dvd Calendar'!$W$1623&gt;VAL_DATE)=0,"",'Dvd Calendar'!$W$1623*1000000000+ISNUMBER('Dvd Calendar'!$W$1624)*100000000+0*10000000+(N('Dvd Calendar'!$W$1622)&gt;0)*(N('Dvd Calendar'!$W$1622)&lt;=VAL_SERIAL)*1000000+6*1000+59))</f>
        <v/>
      </c>
      <c r="GL165" s="39">
        <f>IF(N('Dvd Calendar'!$X$1623)=0,"",IF(('Dvd Calendar'!$X$1623&gt;=GRID_FROM)*('Dvd Calendar'!$X$1623&lt;=GRID_TO)*('Dvd Calendar'!$X$1623&gt;VAL_DATE)=0,"",'Dvd Calendar'!$X$1623*1000000000+ISNUMBER('Dvd Calendar'!$X$1624)*100000000+0*10000000+(N('Dvd Calendar'!$X$1622)&gt;0)*(N('Dvd Calendar'!$X$1622)&lt;=VAL_SERIAL)*1000000+6*1000+60))</f>
        <v/>
      </c>
      <c r="GM165" s="39">
        <f>IF(N('Dvd Calendar'!$Y$1623)=0,"",IF(('Dvd Calendar'!$Y$1623&gt;=GRID_FROM)*('Dvd Calendar'!$Y$1623&lt;=GRID_TO)*('Dvd Calendar'!$Y$1623&gt;VAL_DATE)=0,"",'Dvd Calendar'!$Y$1623*1000000000+ISNUMBER('Dvd Calendar'!$Y$1624)*100000000+0*10000000+(N('Dvd Calendar'!$Y$1622)&gt;0)*(N('Dvd Calendar'!$Y$1622)&lt;=VAL_SERIAL)*1000000+6*1000+61))</f>
        <v/>
      </c>
      <c r="GN165" s="39">
        <f>IF(N('Dvd Calendar'!$Z$1623)=0,"",IF(('Dvd Calendar'!$Z$1623&gt;=GRID_FROM)*('Dvd Calendar'!$Z$1623&lt;=GRID_TO)*('Dvd Calendar'!$Z$1623&gt;VAL_DATE)=0,"",'Dvd Calendar'!$Z$1623*1000000000+ISNUMBER('Dvd Calendar'!$Z$1624)*100000000+0*10000000+(N('Dvd Calendar'!$Z$1622)&gt;0)*(N('Dvd Calendar'!$Z$1622)&lt;=VAL_SERIAL)*1000000+6*1000+62))</f>
        <v/>
      </c>
      <c r="GO165" s="39">
        <f>IF(N('Dvd Calendar'!$AA$1623)=0,"",IF(('Dvd Calendar'!$AA$1623&gt;=GRID_FROM)*('Dvd Calendar'!$AA$1623&lt;=GRID_TO)*('Dvd Calendar'!$AA$1623&gt;VAL_DATE)=0,"",'Dvd Calendar'!$AA$1623*1000000000+ISNUMBER('Dvd Calendar'!$AA$1624)*100000000+0*10000000+(N('Dvd Calendar'!$AA$1622)&gt;0)*(N('Dvd Calendar'!$AA$1622)&lt;=VAL_SERIAL)*1000000+6*1000+63))</f>
        <v/>
      </c>
      <c r="GP165" s="39">
        <f>IF(N('Dvd Calendar'!$AB$1623)=0,"",IF(('Dvd Calendar'!$AB$1623&gt;=GRID_FROM)*('Dvd Calendar'!$AB$1623&lt;=GRID_TO)*('Dvd Calendar'!$AB$1623&gt;VAL_DATE)=0,"",'Dvd Calendar'!$AB$1623*1000000000+ISNUMBER('Dvd Calendar'!$AB$1624)*100000000+0*10000000+(N('Dvd Calendar'!$AB$1622)&gt;0)*(N('Dvd Calendar'!$AB$1622)&lt;=VAL_SERIAL)*1000000+6*1000+64))</f>
        <v/>
      </c>
      <c r="GQ165" s="39">
        <f>IF(N('Dvd Calendar'!$AC$1623)=0,"",IF(('Dvd Calendar'!$AC$1623&gt;=GRID_FROM)*('Dvd Calendar'!$AC$1623&lt;=GRID_TO)*('Dvd Calendar'!$AC$1623&gt;VAL_DATE)=0,"",'Dvd Calendar'!$AC$1623*1000000000+ISNUMBER('Dvd Calendar'!$AC$1624)*100000000+0*10000000+(N('Dvd Calendar'!$AC$1622)&gt;0)*(N('Dvd Calendar'!$AC$1622)&lt;=VAL_SERIAL)*1000000+6*1000+65))</f>
        <v/>
      </c>
    </row>
    <row r="166">
      <c r="B166" s="2">
        <f>IF(HSCEI!$C$13="","",HSCEI!$C$13)</f>
        <v/>
      </c>
      <c r="C166" s="110">
        <f>IF(EE166="","",IF(ISNUMBER('Dvd Calendar'!$E$1630)=FALSE,"",IF((('Dvd Calendar'!$E$1632=TYPE1)*(TYPE1&lt;&gt;"")+('Dvd Calendar'!$E$1632=TYPE2)*(TYPE2&lt;&gt;"")+('Dvd Calendar'!$E$1632=TYPE3)*(TYPE3&lt;&gt;"")+('Dvd Calendar'!$E$1632=TYPE4)*(TYPE4&lt;&gt;"")+('Dvd Calendar'!$E$1632=SPECIAL_LBL)*(INC_SPECIALS="Y"))=0,"",'Dvd Calendar'!$E$1630)))</f>
        <v/>
      </c>
      <c r="D166" s="110">
        <f>IF(EF166="","",IF(ISNUMBER('Dvd Calendar'!$F$1630)=FALSE,"",IF((('Dvd Calendar'!$F$1632=TYPE1)*(TYPE1&lt;&gt;"")+('Dvd Calendar'!$F$1632=TYPE2)*(TYPE2&lt;&gt;"")+('Dvd Calendar'!$F$1632=TYPE3)*(TYPE3&lt;&gt;"")+('Dvd Calendar'!$F$1632=TYPE4)*(TYPE4&lt;&gt;"")+('Dvd Calendar'!$F$1632=SPECIAL_LBL)*(INC_SPECIALS="Y"))=0,"",'Dvd Calendar'!$F$1630)))</f>
        <v/>
      </c>
      <c r="E166" s="110">
        <f>IF(EG166="","",IF(ISNUMBER('Dvd Calendar'!$G$1630)=FALSE,"",IF((('Dvd Calendar'!$G$1632=TYPE1)*(TYPE1&lt;&gt;"")+('Dvd Calendar'!$G$1632=TYPE2)*(TYPE2&lt;&gt;"")+('Dvd Calendar'!$G$1632=TYPE3)*(TYPE3&lt;&gt;"")+('Dvd Calendar'!$G$1632=TYPE4)*(TYPE4&lt;&gt;"")+('Dvd Calendar'!$G$1632=SPECIAL_LBL)*(INC_SPECIALS="Y"))=0,"",'Dvd Calendar'!$G$1630)))</f>
        <v/>
      </c>
      <c r="F166" s="110">
        <f>IF(EH166="","",IF(ISNUMBER('Dvd Calendar'!$H$1630)=FALSE,"",IF((('Dvd Calendar'!$H$1632=TYPE1)*(TYPE1&lt;&gt;"")+('Dvd Calendar'!$H$1632=TYPE2)*(TYPE2&lt;&gt;"")+('Dvd Calendar'!$H$1632=TYPE3)*(TYPE3&lt;&gt;"")+('Dvd Calendar'!$H$1632=TYPE4)*(TYPE4&lt;&gt;"")+('Dvd Calendar'!$H$1632=SPECIAL_LBL)*(INC_SPECIALS="Y"))=0,"",'Dvd Calendar'!$H$1630)))</f>
        <v/>
      </c>
      <c r="G166" s="110">
        <f>IF(EI166="","",IF(ISNUMBER('Dvd Calendar'!$I$1630)=FALSE,"",IF((('Dvd Calendar'!$I$1632=TYPE1)*(TYPE1&lt;&gt;"")+('Dvd Calendar'!$I$1632=TYPE2)*(TYPE2&lt;&gt;"")+('Dvd Calendar'!$I$1632=TYPE3)*(TYPE3&lt;&gt;"")+('Dvd Calendar'!$I$1632=TYPE4)*(TYPE4&lt;&gt;"")+('Dvd Calendar'!$I$1632=SPECIAL_LBL)*(INC_SPECIALS="Y"))=0,"",'Dvd Calendar'!$I$1630)))</f>
        <v/>
      </c>
      <c r="H166" s="110">
        <f>IF(EJ166="","",IF(ISNUMBER('Dvd Calendar'!$J$1630)=FALSE,"",IF((('Dvd Calendar'!$J$1632=TYPE1)*(TYPE1&lt;&gt;"")+('Dvd Calendar'!$J$1632=TYPE2)*(TYPE2&lt;&gt;"")+('Dvd Calendar'!$J$1632=TYPE3)*(TYPE3&lt;&gt;"")+('Dvd Calendar'!$J$1632=TYPE4)*(TYPE4&lt;&gt;"")+('Dvd Calendar'!$J$1632=SPECIAL_LBL)*(INC_SPECIALS="Y"))=0,"",'Dvd Calendar'!$J$1630)))</f>
        <v/>
      </c>
      <c r="I166" s="110">
        <f>IF(EK166="","",IF(ISNUMBER('Dvd Calendar'!$K$1630)=FALSE,"",IF((('Dvd Calendar'!$K$1632=TYPE1)*(TYPE1&lt;&gt;"")+('Dvd Calendar'!$K$1632=TYPE2)*(TYPE2&lt;&gt;"")+('Dvd Calendar'!$K$1632=TYPE3)*(TYPE3&lt;&gt;"")+('Dvd Calendar'!$K$1632=TYPE4)*(TYPE4&lt;&gt;"")+('Dvd Calendar'!$K$1632=SPECIAL_LBL)*(INC_SPECIALS="Y"))=0,"",'Dvd Calendar'!$K$1630)))</f>
        <v/>
      </c>
      <c r="J166" s="110">
        <f>IF(EL166="","",IF(ISNUMBER('Dvd Calendar'!$L$1630)=FALSE,"",IF((('Dvd Calendar'!$L$1632=TYPE1)*(TYPE1&lt;&gt;"")+('Dvd Calendar'!$L$1632=TYPE2)*(TYPE2&lt;&gt;"")+('Dvd Calendar'!$L$1632=TYPE3)*(TYPE3&lt;&gt;"")+('Dvd Calendar'!$L$1632=TYPE4)*(TYPE4&lt;&gt;"")+('Dvd Calendar'!$L$1632=SPECIAL_LBL)*(INC_SPECIALS="Y"))=0,"",'Dvd Calendar'!$L$1630)))</f>
        <v/>
      </c>
      <c r="K166" s="110">
        <f>IF(EM166="","",IF(ISNUMBER('Dvd Calendar'!$M$1630)=FALSE,"",IF((('Dvd Calendar'!$M$1632=TYPE1)*(TYPE1&lt;&gt;"")+('Dvd Calendar'!$M$1632=TYPE2)*(TYPE2&lt;&gt;"")+('Dvd Calendar'!$M$1632=TYPE3)*(TYPE3&lt;&gt;"")+('Dvd Calendar'!$M$1632=TYPE4)*(TYPE4&lt;&gt;"")+('Dvd Calendar'!$M$1632=SPECIAL_LBL)*(INC_SPECIALS="Y"))=0,"",'Dvd Calendar'!$M$1630)))</f>
        <v/>
      </c>
      <c r="L166" s="110">
        <f>IF(EN166="","",IF(ISNUMBER('Dvd Calendar'!$N$1630)=FALSE,"",IF((('Dvd Calendar'!$N$1632=TYPE1)*(TYPE1&lt;&gt;"")+('Dvd Calendar'!$N$1632=TYPE2)*(TYPE2&lt;&gt;"")+('Dvd Calendar'!$N$1632=TYPE3)*(TYPE3&lt;&gt;"")+('Dvd Calendar'!$N$1632=TYPE4)*(TYPE4&lt;&gt;"")+('Dvd Calendar'!$N$1632=SPECIAL_LBL)*(INC_SPECIALS="Y"))=0,"",'Dvd Calendar'!$N$1630)))</f>
        <v/>
      </c>
      <c r="M166" s="110">
        <f>IF(EO166="","",IF(ISNUMBER('Dvd Calendar'!$O$1630)=FALSE,"",IF((('Dvd Calendar'!$O$1632=TYPE1)*(TYPE1&lt;&gt;"")+('Dvd Calendar'!$O$1632=TYPE2)*(TYPE2&lt;&gt;"")+('Dvd Calendar'!$O$1632=TYPE3)*(TYPE3&lt;&gt;"")+('Dvd Calendar'!$O$1632=TYPE4)*(TYPE4&lt;&gt;"")+('Dvd Calendar'!$O$1632=SPECIAL_LBL)*(INC_SPECIALS="Y"))=0,"",'Dvd Calendar'!$O$1630)))</f>
        <v/>
      </c>
      <c r="N166" s="110">
        <f>IF(EP166="","",IF(ISNUMBER('Dvd Calendar'!$P$1630)=FALSE,"",IF((('Dvd Calendar'!$P$1632=TYPE1)*(TYPE1&lt;&gt;"")+('Dvd Calendar'!$P$1632=TYPE2)*(TYPE2&lt;&gt;"")+('Dvd Calendar'!$P$1632=TYPE3)*(TYPE3&lt;&gt;"")+('Dvd Calendar'!$P$1632=TYPE4)*(TYPE4&lt;&gt;"")+('Dvd Calendar'!$P$1632=SPECIAL_LBL)*(INC_SPECIALS="Y"))=0,"",'Dvd Calendar'!$P$1630)))</f>
        <v/>
      </c>
      <c r="O166" s="110">
        <f>IF(EQ166="","",IF(ISNUMBER('Dvd Calendar'!$Q$1630)=FALSE,"",IF((('Dvd Calendar'!$Q$1632=TYPE1)*(TYPE1&lt;&gt;"")+('Dvd Calendar'!$Q$1632=TYPE2)*(TYPE2&lt;&gt;"")+('Dvd Calendar'!$Q$1632=TYPE3)*(TYPE3&lt;&gt;"")+('Dvd Calendar'!$Q$1632=TYPE4)*(TYPE4&lt;&gt;"")+('Dvd Calendar'!$Q$1632=SPECIAL_LBL)*(INC_SPECIALS="Y"))=0,"",'Dvd Calendar'!$Q$1630)))</f>
        <v/>
      </c>
      <c r="P166" s="110">
        <f>IF(ER166="","",IF(ISNUMBER('Dvd Calendar'!$R$1630)=FALSE,"",IF((('Dvd Calendar'!$R$1632=TYPE1)*(TYPE1&lt;&gt;"")+('Dvd Calendar'!$R$1632=TYPE2)*(TYPE2&lt;&gt;"")+('Dvd Calendar'!$R$1632=TYPE3)*(TYPE3&lt;&gt;"")+('Dvd Calendar'!$R$1632=TYPE4)*(TYPE4&lt;&gt;"")+('Dvd Calendar'!$R$1632=SPECIAL_LBL)*(INC_SPECIALS="Y"))=0,"",'Dvd Calendar'!$R$1630)))</f>
        <v/>
      </c>
      <c r="Q166" s="110">
        <f>IF(ES166="","",IF(ISNUMBER('Dvd Calendar'!$S$1630)=FALSE,"",IF((('Dvd Calendar'!$S$1632=TYPE1)*(TYPE1&lt;&gt;"")+('Dvd Calendar'!$S$1632=TYPE2)*(TYPE2&lt;&gt;"")+('Dvd Calendar'!$S$1632=TYPE3)*(TYPE3&lt;&gt;"")+('Dvd Calendar'!$S$1632=TYPE4)*(TYPE4&lt;&gt;"")+('Dvd Calendar'!$S$1632=SPECIAL_LBL)*(INC_SPECIALS="Y"))=0,"",'Dvd Calendar'!$S$1630)))</f>
        <v/>
      </c>
      <c r="R166" s="110">
        <f>IF(ET166="","",IF(ISNUMBER('Dvd Calendar'!$T$1630)=FALSE,"",IF((('Dvd Calendar'!$T$1632=TYPE1)*(TYPE1&lt;&gt;"")+('Dvd Calendar'!$T$1632=TYPE2)*(TYPE2&lt;&gt;"")+('Dvd Calendar'!$T$1632=TYPE3)*(TYPE3&lt;&gt;"")+('Dvd Calendar'!$T$1632=TYPE4)*(TYPE4&lt;&gt;"")+('Dvd Calendar'!$T$1632=SPECIAL_LBL)*(INC_SPECIALS="Y"))=0,"",'Dvd Calendar'!$T$1630)))</f>
        <v/>
      </c>
      <c r="S166" s="110">
        <f>IF(EU166="","",IF(ISNUMBER('Dvd Calendar'!$U$1630)=FALSE,"",IF((('Dvd Calendar'!$U$1632=TYPE1)*(TYPE1&lt;&gt;"")+('Dvd Calendar'!$U$1632=TYPE2)*(TYPE2&lt;&gt;"")+('Dvd Calendar'!$U$1632=TYPE3)*(TYPE3&lt;&gt;"")+('Dvd Calendar'!$U$1632=TYPE4)*(TYPE4&lt;&gt;"")+('Dvd Calendar'!$U$1632=SPECIAL_LBL)*(INC_SPECIALS="Y"))=0,"",'Dvd Calendar'!$U$1630)))</f>
        <v/>
      </c>
      <c r="T166" s="110">
        <f>IF(EV166="","",IF(ISNUMBER('Dvd Calendar'!$V$1630)=FALSE,"",IF((('Dvd Calendar'!$V$1632=TYPE1)*(TYPE1&lt;&gt;"")+('Dvd Calendar'!$V$1632=TYPE2)*(TYPE2&lt;&gt;"")+('Dvd Calendar'!$V$1632=TYPE3)*(TYPE3&lt;&gt;"")+('Dvd Calendar'!$V$1632=TYPE4)*(TYPE4&lt;&gt;"")+('Dvd Calendar'!$V$1632=SPECIAL_LBL)*(INC_SPECIALS="Y"))=0,"",'Dvd Calendar'!$V$1630)))</f>
        <v/>
      </c>
      <c r="U166" s="110">
        <f>IF(EW166="","",IF(ISNUMBER('Dvd Calendar'!$W$1630)=FALSE,"",IF((('Dvd Calendar'!$W$1632=TYPE1)*(TYPE1&lt;&gt;"")+('Dvd Calendar'!$W$1632=TYPE2)*(TYPE2&lt;&gt;"")+('Dvd Calendar'!$W$1632=TYPE3)*(TYPE3&lt;&gt;"")+('Dvd Calendar'!$W$1632=TYPE4)*(TYPE4&lt;&gt;"")+('Dvd Calendar'!$W$1632=SPECIAL_LBL)*(INC_SPECIALS="Y"))=0,"",'Dvd Calendar'!$W$1630)))</f>
        <v/>
      </c>
      <c r="V166" s="110">
        <f>IF(EX166="","",IF(ISNUMBER('Dvd Calendar'!$X$1630)=FALSE,"",IF((('Dvd Calendar'!$X$1632=TYPE1)*(TYPE1&lt;&gt;"")+('Dvd Calendar'!$X$1632=TYPE2)*(TYPE2&lt;&gt;"")+('Dvd Calendar'!$X$1632=TYPE3)*(TYPE3&lt;&gt;"")+('Dvd Calendar'!$X$1632=TYPE4)*(TYPE4&lt;&gt;"")+('Dvd Calendar'!$X$1632=SPECIAL_LBL)*(INC_SPECIALS="Y"))=0,"",'Dvd Calendar'!$X$1630)))</f>
        <v/>
      </c>
      <c r="W166" s="110">
        <f>IF(EY166="","",IF(ISNUMBER('Dvd Calendar'!$Y$1630)=FALSE,"",IF((('Dvd Calendar'!$Y$1632=TYPE1)*(TYPE1&lt;&gt;"")+('Dvd Calendar'!$Y$1632=TYPE2)*(TYPE2&lt;&gt;"")+('Dvd Calendar'!$Y$1632=TYPE3)*(TYPE3&lt;&gt;"")+('Dvd Calendar'!$Y$1632=TYPE4)*(TYPE4&lt;&gt;"")+('Dvd Calendar'!$Y$1632=SPECIAL_LBL)*(INC_SPECIALS="Y"))=0,"",'Dvd Calendar'!$Y$1630)))</f>
        <v/>
      </c>
      <c r="X166" s="110">
        <f>IF(EZ166="","",IF(ISNUMBER('Dvd Calendar'!$Z$1630)=FALSE,"",IF((('Dvd Calendar'!$Z$1632=TYPE1)*(TYPE1&lt;&gt;"")+('Dvd Calendar'!$Z$1632=TYPE2)*(TYPE2&lt;&gt;"")+('Dvd Calendar'!$Z$1632=TYPE3)*(TYPE3&lt;&gt;"")+('Dvd Calendar'!$Z$1632=TYPE4)*(TYPE4&lt;&gt;"")+('Dvd Calendar'!$Z$1632=SPECIAL_LBL)*(INC_SPECIALS="Y"))=0,"",'Dvd Calendar'!$Z$1630)))</f>
        <v/>
      </c>
      <c r="Y166" s="110">
        <f>IF(FA166="","",IF(ISNUMBER('Dvd Calendar'!$AA$1630)=FALSE,"",IF((('Dvd Calendar'!$AA$1632=TYPE1)*(TYPE1&lt;&gt;"")+('Dvd Calendar'!$AA$1632=TYPE2)*(TYPE2&lt;&gt;"")+('Dvd Calendar'!$AA$1632=TYPE3)*(TYPE3&lt;&gt;"")+('Dvd Calendar'!$AA$1632=TYPE4)*(TYPE4&lt;&gt;"")+('Dvd Calendar'!$AA$1632=SPECIAL_LBL)*(INC_SPECIALS="Y"))=0,"",'Dvd Calendar'!$AA$1630)))</f>
        <v/>
      </c>
      <c r="Z166" s="110">
        <f>IF(FB166="","",IF(ISNUMBER('Dvd Calendar'!$AB$1630)=FALSE,"",IF((('Dvd Calendar'!$AB$1632=TYPE1)*(TYPE1&lt;&gt;"")+('Dvd Calendar'!$AB$1632=TYPE2)*(TYPE2&lt;&gt;"")+('Dvd Calendar'!$AB$1632=TYPE3)*(TYPE3&lt;&gt;"")+('Dvd Calendar'!$AB$1632=TYPE4)*(TYPE4&lt;&gt;"")+('Dvd Calendar'!$AB$1632=SPECIAL_LBL)*(INC_SPECIALS="Y"))=0,"",'Dvd Calendar'!$AB$1630)))</f>
        <v/>
      </c>
      <c r="AA166" s="110">
        <f>IF(FC166="","",IF(ISNUMBER('Dvd Calendar'!$AC$1630)=FALSE,"",IF((('Dvd Calendar'!$AC$1632=TYPE1)*(TYPE1&lt;&gt;"")+('Dvd Calendar'!$AC$1632=TYPE2)*(TYPE2&lt;&gt;"")+('Dvd Calendar'!$AC$1632=TYPE3)*(TYPE3&lt;&gt;"")+('Dvd Calendar'!$AC$1632=TYPE4)*(TYPE4&lt;&gt;"")+('Dvd Calendar'!$AC$1632=SPECIAL_LBL)*(INC_SPECIALS="Y"))=0,"",'Dvd Calendar'!$AC$1630)))</f>
        <v/>
      </c>
      <c r="AB166" s="110">
        <f>IF(FD166="","",IF(ISNUMBER('Dvd Calendar'!$AD$1630)=FALSE,"",IF((('Dvd Calendar'!$AD$1632=TYPE1)*(TYPE1&lt;&gt;"")+('Dvd Calendar'!$AD$1632=TYPE2)*(TYPE2&lt;&gt;"")+('Dvd Calendar'!$AD$1632=TYPE3)*(TYPE3&lt;&gt;"")+('Dvd Calendar'!$AD$1632=TYPE4)*(TYPE4&lt;&gt;"")+('Dvd Calendar'!$AD$1632=SPECIAL_LBL)*(INC_SPECIALS="Y"))=0,"",'Dvd Calendar'!$AD$1630)))</f>
        <v/>
      </c>
      <c r="AC166" s="110">
        <f>IF(FE166="","",IF(ISNUMBER('Dvd Calendar'!$AE$1630)=FALSE,"",IF((('Dvd Calendar'!$AE$1632=TYPE1)*(TYPE1&lt;&gt;"")+('Dvd Calendar'!$AE$1632=TYPE2)*(TYPE2&lt;&gt;"")+('Dvd Calendar'!$AE$1632=TYPE3)*(TYPE3&lt;&gt;"")+('Dvd Calendar'!$AE$1632=TYPE4)*(TYPE4&lt;&gt;"")+('Dvd Calendar'!$AE$1632=SPECIAL_LBL)*(INC_SPECIALS="Y"))=0,"",'Dvd Calendar'!$AE$1630)))</f>
        <v/>
      </c>
      <c r="AD166" s="110">
        <f>IF(FF166="","",IF(ISNUMBER('Dvd Calendar'!$AF$1630)=FALSE,"",IF((('Dvd Calendar'!$AF$1632=TYPE1)*(TYPE1&lt;&gt;"")+('Dvd Calendar'!$AF$1632=TYPE2)*(TYPE2&lt;&gt;"")+('Dvd Calendar'!$AF$1632=TYPE3)*(TYPE3&lt;&gt;"")+('Dvd Calendar'!$AF$1632=TYPE4)*(TYPE4&lt;&gt;"")+('Dvd Calendar'!$AF$1632=SPECIAL_LBL)*(INC_SPECIALS="Y"))=0,"",'Dvd Calendar'!$AF$1630)))</f>
        <v/>
      </c>
      <c r="AE166" s="110">
        <f>IF(FG166="","",IF(ISNUMBER('Dvd Calendar'!$AG$1630)=FALSE,"",IF((('Dvd Calendar'!$AG$1632=TYPE1)*(TYPE1&lt;&gt;"")+('Dvd Calendar'!$AG$1632=TYPE2)*(TYPE2&lt;&gt;"")+('Dvd Calendar'!$AG$1632=TYPE3)*(TYPE3&lt;&gt;"")+('Dvd Calendar'!$AG$1632=TYPE4)*(TYPE4&lt;&gt;"")+('Dvd Calendar'!$AG$1632=SPECIAL_LBL)*(INC_SPECIALS="Y"))=0,"",'Dvd Calendar'!$AG$1630)))</f>
        <v/>
      </c>
      <c r="AF166" s="110">
        <f>IF(FH166="","",IF(ISNUMBER('Dvd Calendar'!$AH$1630)=FALSE,"",IF((('Dvd Calendar'!$AH$1632=TYPE1)*(TYPE1&lt;&gt;"")+('Dvd Calendar'!$AH$1632=TYPE2)*(TYPE2&lt;&gt;"")+('Dvd Calendar'!$AH$1632=TYPE3)*(TYPE3&lt;&gt;"")+('Dvd Calendar'!$AH$1632=TYPE4)*(TYPE4&lt;&gt;"")+('Dvd Calendar'!$AH$1632=SPECIAL_LBL)*(INC_SPECIALS="Y"))=0,"",'Dvd Calendar'!$AH$1630)))</f>
        <v/>
      </c>
      <c r="AG166" s="110">
        <f>IF(FI166="","",IF(ISNUMBER('Dvd Calendar'!$AI$1630)=FALSE,"",IF((('Dvd Calendar'!$AI$1632=TYPE1)*(TYPE1&lt;&gt;"")+('Dvd Calendar'!$AI$1632=TYPE2)*(TYPE2&lt;&gt;"")+('Dvd Calendar'!$AI$1632=TYPE3)*(TYPE3&lt;&gt;"")+('Dvd Calendar'!$AI$1632=TYPE4)*(TYPE4&lt;&gt;"")+('Dvd Calendar'!$AI$1632=SPECIAL_LBL)*(INC_SPECIALS="Y"))=0,"",'Dvd Calendar'!$AI$1630)))</f>
        <v/>
      </c>
      <c r="AH166" s="110">
        <f>IF(FJ166="","",IF(ISNUMBER('Dvd Calendar'!$AJ$1630)=FALSE,"",IF((('Dvd Calendar'!$AJ$1632=TYPE1)*(TYPE1&lt;&gt;"")+('Dvd Calendar'!$AJ$1632=TYPE2)*(TYPE2&lt;&gt;"")+('Dvd Calendar'!$AJ$1632=TYPE3)*(TYPE3&lt;&gt;"")+('Dvd Calendar'!$AJ$1632=TYPE4)*(TYPE4&lt;&gt;"")+('Dvd Calendar'!$AJ$1632=SPECIAL_LBL)*(INC_SPECIALS="Y"))=0,"",'Dvd Calendar'!$AJ$1630)))</f>
        <v/>
      </c>
      <c r="AI166" s="110">
        <f>IF(FK166="","",IF(ISNUMBER('Dvd Calendar'!$AK$1630)=FALSE,"",IF((('Dvd Calendar'!$AK$1632=TYPE1)*(TYPE1&lt;&gt;"")+('Dvd Calendar'!$AK$1632=TYPE2)*(TYPE2&lt;&gt;"")+('Dvd Calendar'!$AK$1632=TYPE3)*(TYPE3&lt;&gt;"")+('Dvd Calendar'!$AK$1632=TYPE4)*(TYPE4&lt;&gt;"")+('Dvd Calendar'!$AK$1632=SPECIAL_LBL)*(INC_SPECIALS="Y"))=0,"",'Dvd Calendar'!$AK$1630)))</f>
        <v/>
      </c>
      <c r="AJ166" s="110">
        <f>IF(FL166="","",IF(ISNUMBER('Dvd Calendar'!$AL$1630)=FALSE,"",IF((('Dvd Calendar'!$AL$1632=TYPE1)*(TYPE1&lt;&gt;"")+('Dvd Calendar'!$AL$1632=TYPE2)*(TYPE2&lt;&gt;"")+('Dvd Calendar'!$AL$1632=TYPE3)*(TYPE3&lt;&gt;"")+('Dvd Calendar'!$AL$1632=TYPE4)*(TYPE4&lt;&gt;"")+('Dvd Calendar'!$AL$1632=SPECIAL_LBL)*(INC_SPECIALS="Y"))=0,"",'Dvd Calendar'!$AL$1630)))</f>
        <v/>
      </c>
      <c r="AK166" s="110">
        <f>IF(FM166="","",IF(ISNUMBER('Dvd Calendar'!$AM$1630)=FALSE,"",IF((('Dvd Calendar'!$AM$1632=TYPE1)*(TYPE1&lt;&gt;"")+('Dvd Calendar'!$AM$1632=TYPE2)*(TYPE2&lt;&gt;"")+('Dvd Calendar'!$AM$1632=TYPE3)*(TYPE3&lt;&gt;"")+('Dvd Calendar'!$AM$1632=TYPE4)*(TYPE4&lt;&gt;"")+('Dvd Calendar'!$AM$1632=SPECIAL_LBL)*(INC_SPECIALS="Y"))=0,"",'Dvd Calendar'!$AM$1630)))</f>
        <v/>
      </c>
      <c r="AL166" s="110">
        <f>IF(FN166="","",IF(ISNUMBER('Dvd Calendar'!$AN$1630)=FALSE,"",IF((('Dvd Calendar'!$AN$1632=TYPE1)*(TYPE1&lt;&gt;"")+('Dvd Calendar'!$AN$1632=TYPE2)*(TYPE2&lt;&gt;"")+('Dvd Calendar'!$AN$1632=TYPE3)*(TYPE3&lt;&gt;"")+('Dvd Calendar'!$AN$1632=TYPE4)*(TYPE4&lt;&gt;"")+('Dvd Calendar'!$AN$1632=SPECIAL_LBL)*(INC_SPECIALS="Y"))=0,"",'Dvd Calendar'!$AN$1630)))</f>
        <v/>
      </c>
      <c r="AM166" s="110">
        <f>IF(FO166="","",IF(ISNUMBER('Dvd Calendar'!$AO$1630)=FALSE,"",IF((('Dvd Calendar'!$AO$1632=TYPE1)*(TYPE1&lt;&gt;"")+('Dvd Calendar'!$AO$1632=TYPE2)*(TYPE2&lt;&gt;"")+('Dvd Calendar'!$AO$1632=TYPE3)*(TYPE3&lt;&gt;"")+('Dvd Calendar'!$AO$1632=TYPE4)*(TYPE4&lt;&gt;"")+('Dvd Calendar'!$AO$1632=SPECIAL_LBL)*(INC_SPECIALS="Y"))=0,"",'Dvd Calendar'!$AO$1630)))</f>
        <v/>
      </c>
      <c r="AN166" s="110">
        <f>IF(FP166="","",IF(ISNUMBER('Dvd Calendar'!$AP$1630)=FALSE,"",IF((('Dvd Calendar'!$AP$1632=TYPE1)*(TYPE1&lt;&gt;"")+('Dvd Calendar'!$AP$1632=TYPE2)*(TYPE2&lt;&gt;"")+('Dvd Calendar'!$AP$1632=TYPE3)*(TYPE3&lt;&gt;"")+('Dvd Calendar'!$AP$1632=TYPE4)*(TYPE4&lt;&gt;"")+('Dvd Calendar'!$AP$1632=SPECIAL_LBL)*(INC_SPECIALS="Y"))=0,"",'Dvd Calendar'!$AP$1630)))</f>
        <v/>
      </c>
      <c r="AO166" s="110">
        <f>IF(FQ166="","",IF(ISNUMBER('Dvd Calendar'!$AQ$1630)=FALSE,"",IF((('Dvd Calendar'!$AQ$1632=TYPE1)*(TYPE1&lt;&gt;"")+('Dvd Calendar'!$AQ$1632=TYPE2)*(TYPE2&lt;&gt;"")+('Dvd Calendar'!$AQ$1632=TYPE3)*(TYPE3&lt;&gt;"")+('Dvd Calendar'!$AQ$1632=TYPE4)*(TYPE4&lt;&gt;"")+('Dvd Calendar'!$AQ$1632=SPECIAL_LBL)*(INC_SPECIALS="Y"))=0,"",'Dvd Calendar'!$AQ$1630)))</f>
        <v/>
      </c>
      <c r="AP166" s="110">
        <f>IF(FR166="","",IF(ISNUMBER('Dvd Calendar'!$AR$1630)=FALSE,"",IF((('Dvd Calendar'!$AR$1632=TYPE1)*(TYPE1&lt;&gt;"")+('Dvd Calendar'!$AR$1632=TYPE2)*(TYPE2&lt;&gt;"")+('Dvd Calendar'!$AR$1632=TYPE3)*(TYPE3&lt;&gt;"")+('Dvd Calendar'!$AR$1632=TYPE4)*(TYPE4&lt;&gt;"")+('Dvd Calendar'!$AR$1632=SPECIAL_LBL)*(INC_SPECIALS="Y"))=0,"",'Dvd Calendar'!$AR$1630)))</f>
        <v/>
      </c>
      <c r="AQ166" s="110">
        <f>IF(FS166="","",IF(ISNUMBER('Dvd Calendar'!$E$1635)=FALSE,"",'Dvd Calendar'!$E$1635))</f>
        <v/>
      </c>
      <c r="AR166" s="110">
        <f>IF(FT166="","",IF(ISNUMBER('Dvd Calendar'!$F$1635)=FALSE,"",'Dvd Calendar'!$F$1635))</f>
        <v/>
      </c>
      <c r="AS166" s="110">
        <f>IF(FU166="","",IF(ISNUMBER('Dvd Calendar'!$G$1635)=FALSE,"",'Dvd Calendar'!$G$1635))</f>
        <v/>
      </c>
      <c r="AT166" s="110">
        <f>IF(FV166="","",IF(ISNUMBER('Dvd Calendar'!$H$1635)=FALSE,"",'Dvd Calendar'!$H$1635))</f>
        <v/>
      </c>
      <c r="AU166" s="110">
        <f>IF(FW166="","",IF(ISNUMBER('Dvd Calendar'!$I$1635)=FALSE,"",'Dvd Calendar'!$I$1635))</f>
        <v/>
      </c>
      <c r="AV166" s="110">
        <f>IF(FX166="","",IF(ISNUMBER('Dvd Calendar'!$J$1635)=FALSE,"",'Dvd Calendar'!$J$1635))</f>
        <v/>
      </c>
      <c r="AW166" s="110">
        <f>IF(FY166="","",IF(ISNUMBER('Dvd Calendar'!$K$1635)=FALSE,"",'Dvd Calendar'!$K$1635))</f>
        <v/>
      </c>
      <c r="AX166" s="110">
        <f>IF(FZ166="","",IF(ISNUMBER('Dvd Calendar'!$L$1635)=FALSE,"",'Dvd Calendar'!$L$1635))</f>
        <v/>
      </c>
      <c r="AY166" s="110">
        <f>IF(GA166="","",IF(ISNUMBER('Dvd Calendar'!$M$1635)=FALSE,"",'Dvd Calendar'!$M$1635))</f>
        <v/>
      </c>
      <c r="AZ166" s="110">
        <f>IF(GB166="","",IF(ISNUMBER('Dvd Calendar'!$N$1635)=FALSE,"",'Dvd Calendar'!$N$1635))</f>
        <v/>
      </c>
      <c r="BA166" s="110">
        <f>IF(GC166="","",IF(ISNUMBER('Dvd Calendar'!$O$1635)=FALSE,"",'Dvd Calendar'!$O$1635))</f>
        <v/>
      </c>
      <c r="BB166" s="110">
        <f>IF(GD166="","",IF(ISNUMBER('Dvd Calendar'!$P$1635)=FALSE,"",'Dvd Calendar'!$P$1635))</f>
        <v/>
      </c>
      <c r="BC166" s="110">
        <f>IF(GE166="","",IF(ISNUMBER('Dvd Calendar'!$Q$1635)=FALSE,"",'Dvd Calendar'!$Q$1635))</f>
        <v/>
      </c>
      <c r="BD166" s="110">
        <f>IF(GF166="","",IF(ISNUMBER('Dvd Calendar'!$R$1635)=FALSE,"",'Dvd Calendar'!$R$1635))</f>
        <v/>
      </c>
      <c r="BE166" s="110">
        <f>IF(GG166="","",IF(ISNUMBER('Dvd Calendar'!$S$1635)=FALSE,"",'Dvd Calendar'!$S$1635))</f>
        <v/>
      </c>
      <c r="BF166" s="110">
        <f>IF(GH166="","",IF(ISNUMBER('Dvd Calendar'!$T$1635)=FALSE,"",'Dvd Calendar'!$T$1635))</f>
        <v/>
      </c>
      <c r="BG166" s="110">
        <f>IF(GI166="","",IF(ISNUMBER('Dvd Calendar'!$U$1635)=FALSE,"",'Dvd Calendar'!$U$1635))</f>
        <v/>
      </c>
      <c r="BH166" s="110">
        <f>IF(GJ166="","",IF(ISNUMBER('Dvd Calendar'!$V$1635)=FALSE,"",'Dvd Calendar'!$V$1635))</f>
        <v/>
      </c>
      <c r="BI166" s="110">
        <f>IF(GK166="","",IF(ISNUMBER('Dvd Calendar'!$W$1635)=FALSE,"",'Dvd Calendar'!$W$1635))</f>
        <v/>
      </c>
      <c r="BJ166" s="110">
        <f>IF(GL166="","",IF(ISNUMBER('Dvd Calendar'!$X$1635)=FALSE,"",'Dvd Calendar'!$X$1635))</f>
        <v/>
      </c>
      <c r="BK166" s="110">
        <f>IF(GM166="","",IF(ISNUMBER('Dvd Calendar'!$Y$1635)=FALSE,"",'Dvd Calendar'!$Y$1635))</f>
        <v/>
      </c>
      <c r="BL166" s="110">
        <f>IF(GN166="","",IF(ISNUMBER('Dvd Calendar'!$Z$1635)=FALSE,"",'Dvd Calendar'!$Z$1635))</f>
        <v/>
      </c>
      <c r="BM166" s="110">
        <f>IF(GO166="","",IF(ISNUMBER('Dvd Calendar'!$AA$1635)=FALSE,"",'Dvd Calendar'!$AA$1635))</f>
        <v/>
      </c>
      <c r="BN166" s="110">
        <f>IF(GP166="","",IF(ISNUMBER('Dvd Calendar'!$AB$1635)=FALSE,"",'Dvd Calendar'!$AB$1635))</f>
        <v/>
      </c>
      <c r="BO166" s="110">
        <f>IF(GQ166="","",IF(ISNUMBER('Dvd Calendar'!$AC$1635)=FALSE,"",'Dvd Calendar'!$AC$1635))</f>
        <v/>
      </c>
      <c r="BQ166" s="110">
        <f>IF(C166="","",IFERROR(C166*HSCEI!$B$13*HSCEI!$G$13/HSCEI!$B$3,""))</f>
        <v/>
      </c>
      <c r="BR166" s="110">
        <f>IF(D166="","",IFERROR(D166*HSCEI!$B$13*HSCEI!$G$13/HSCEI!$B$3,""))</f>
        <v/>
      </c>
      <c r="BS166" s="110">
        <f>IF(E166="","",IFERROR(E166*HSCEI!$B$13*HSCEI!$G$13/HSCEI!$B$3,""))</f>
        <v/>
      </c>
      <c r="BT166" s="110">
        <f>IF(F166="","",IFERROR(F166*HSCEI!$B$13*HSCEI!$G$13/HSCEI!$B$3,""))</f>
        <v/>
      </c>
      <c r="BU166" s="110">
        <f>IF(G166="","",IFERROR(G166*HSCEI!$B$13*HSCEI!$G$13/HSCEI!$B$3,""))</f>
        <v/>
      </c>
      <c r="BV166" s="110">
        <f>IF(H166="","",IFERROR(H166*HSCEI!$B$13*HSCEI!$G$13/HSCEI!$B$3,""))</f>
        <v/>
      </c>
      <c r="BW166" s="110">
        <f>IF(I166="","",IFERROR(I166*HSCEI!$B$13*HSCEI!$G$13/HSCEI!$B$3,""))</f>
        <v/>
      </c>
      <c r="BX166" s="110">
        <f>IF(J166="","",IFERROR(J166*HSCEI!$B$13*HSCEI!$G$13/HSCEI!$B$3,""))</f>
        <v/>
      </c>
      <c r="BY166" s="110">
        <f>IF(K166="","",IFERROR(K166*HSCEI!$B$13*HSCEI!$G$13/HSCEI!$B$3,""))</f>
        <v/>
      </c>
      <c r="BZ166" s="110">
        <f>IF(L166="","",IFERROR(L166*HSCEI!$B$13*HSCEI!$G$13/HSCEI!$B$3,""))</f>
        <v/>
      </c>
      <c r="CA166" s="110">
        <f>IF(M166="","",IFERROR(M166*HSCEI!$B$13*HSCEI!$G$13/HSCEI!$B$3,""))</f>
        <v/>
      </c>
      <c r="CB166" s="110">
        <f>IF(N166="","",IFERROR(N166*HSCEI!$B$13*HSCEI!$G$13/HSCEI!$B$3,""))</f>
        <v/>
      </c>
      <c r="CC166" s="110">
        <f>IF(O166="","",IFERROR(O166*HSCEI!$B$13*HSCEI!$G$13/HSCEI!$B$3,""))</f>
        <v/>
      </c>
      <c r="CD166" s="110">
        <f>IF(P166="","",IFERROR(P166*HSCEI!$B$13*HSCEI!$G$13/HSCEI!$B$3,""))</f>
        <v/>
      </c>
      <c r="CE166" s="110">
        <f>IF(Q166="","",IFERROR(Q166*HSCEI!$B$13*HSCEI!$G$13/HSCEI!$B$3,""))</f>
        <v/>
      </c>
      <c r="CF166" s="110">
        <f>IF(R166="","",IFERROR(R166*HSCEI!$B$13*HSCEI!$G$13/HSCEI!$B$3,""))</f>
        <v/>
      </c>
      <c r="CG166" s="110">
        <f>IF(S166="","",IFERROR(S166*HSCEI!$B$13*HSCEI!$G$13/HSCEI!$B$3,""))</f>
        <v/>
      </c>
      <c r="CH166" s="110">
        <f>IF(T166="","",IFERROR(T166*HSCEI!$B$13*HSCEI!$G$13/HSCEI!$B$3,""))</f>
        <v/>
      </c>
      <c r="CI166" s="110">
        <f>IF(U166="","",IFERROR(U166*HSCEI!$B$13*HSCEI!$G$13/HSCEI!$B$3,""))</f>
        <v/>
      </c>
      <c r="CJ166" s="110">
        <f>IF(V166="","",IFERROR(V166*HSCEI!$B$13*HSCEI!$G$13/HSCEI!$B$3,""))</f>
        <v/>
      </c>
      <c r="CK166" s="110">
        <f>IF(W166="","",IFERROR(W166*HSCEI!$B$13*HSCEI!$G$13/HSCEI!$B$3,""))</f>
        <v/>
      </c>
      <c r="CL166" s="110">
        <f>IF(X166="","",IFERROR(X166*HSCEI!$B$13*HSCEI!$G$13/HSCEI!$B$3,""))</f>
        <v/>
      </c>
      <c r="CM166" s="110">
        <f>IF(Y166="","",IFERROR(Y166*HSCEI!$B$13*HSCEI!$G$13/HSCEI!$B$3,""))</f>
        <v/>
      </c>
      <c r="CN166" s="110">
        <f>IF(Z166="","",IFERROR(Z166*HSCEI!$B$13*HSCEI!$G$13/HSCEI!$B$3,""))</f>
        <v/>
      </c>
      <c r="CO166" s="110">
        <f>IF(AA166="","",IFERROR(AA166*HSCEI!$B$13*HSCEI!$G$13/HSCEI!$B$3,""))</f>
        <v/>
      </c>
      <c r="CP166" s="110">
        <f>IF(AB166="","",IFERROR(AB166*HSCEI!$B$13*HSCEI!$G$13/HSCEI!$B$3,""))</f>
        <v/>
      </c>
      <c r="CQ166" s="110">
        <f>IF(AC166="","",IFERROR(AC166*HSCEI!$B$13*HSCEI!$G$13/HSCEI!$B$3,""))</f>
        <v/>
      </c>
      <c r="CR166" s="110">
        <f>IF(AD166="","",IFERROR(AD166*HSCEI!$B$13*HSCEI!$G$13/HSCEI!$B$3,""))</f>
        <v/>
      </c>
      <c r="CS166" s="110">
        <f>IF(AE166="","",IFERROR(AE166*HSCEI!$B$13*HSCEI!$G$13/HSCEI!$B$3,""))</f>
        <v/>
      </c>
      <c r="CT166" s="110">
        <f>IF(AF166="","",IFERROR(AF166*HSCEI!$B$13*HSCEI!$G$13/HSCEI!$B$3,""))</f>
        <v/>
      </c>
      <c r="CU166" s="110">
        <f>IF(AG166="","",IFERROR(AG166*HSCEI!$B$13*HSCEI!$G$13/HSCEI!$B$3,""))</f>
        <v/>
      </c>
      <c r="CV166" s="110">
        <f>IF(AH166="","",IFERROR(AH166*HSCEI!$B$13*HSCEI!$G$13/HSCEI!$B$3,""))</f>
        <v/>
      </c>
      <c r="CW166" s="110">
        <f>IF(AI166="","",IFERROR(AI166*HSCEI!$B$13*HSCEI!$G$13/HSCEI!$B$3,""))</f>
        <v/>
      </c>
      <c r="CX166" s="110">
        <f>IF(AJ166="","",IFERROR(AJ166*HSCEI!$B$13*HSCEI!$G$13/HSCEI!$B$3,""))</f>
        <v/>
      </c>
      <c r="CY166" s="110">
        <f>IF(AK166="","",IFERROR(AK166*HSCEI!$B$13*HSCEI!$G$13/HSCEI!$B$3,""))</f>
        <v/>
      </c>
      <c r="CZ166" s="110">
        <f>IF(AL166="","",IFERROR(AL166*HSCEI!$B$13*HSCEI!$G$13/HSCEI!$B$3,""))</f>
        <v/>
      </c>
      <c r="DA166" s="110">
        <f>IF(AM166="","",IFERROR(AM166*HSCEI!$B$13*HSCEI!$G$13/HSCEI!$B$3,""))</f>
        <v/>
      </c>
      <c r="DB166" s="110">
        <f>IF(AN166="","",IFERROR(AN166*HSCEI!$B$13*HSCEI!$G$13/HSCEI!$B$3,""))</f>
        <v/>
      </c>
      <c r="DC166" s="110">
        <f>IF(AO166="","",IFERROR(AO166*HSCEI!$B$13*HSCEI!$G$13/HSCEI!$B$3,""))</f>
        <v/>
      </c>
      <c r="DD166" s="110">
        <f>IF(AP166="","",IFERROR(AP166*HSCEI!$B$13*HSCEI!$G$13/HSCEI!$B$3,""))</f>
        <v/>
      </c>
      <c r="DE166" s="110">
        <f>IF(AQ166="","",IFERROR(AQ166*HSCEI!$B$13*HSCEI!$G$13/HSCEI!$B$3,""))</f>
        <v/>
      </c>
      <c r="DF166" s="110">
        <f>IF(AR166="","",IFERROR(AR166*HSCEI!$B$13*HSCEI!$G$13/HSCEI!$B$3,""))</f>
        <v/>
      </c>
      <c r="DG166" s="110">
        <f>IF(AS166="","",IFERROR(AS166*HSCEI!$B$13*HSCEI!$G$13/HSCEI!$B$3,""))</f>
        <v/>
      </c>
      <c r="DH166" s="110">
        <f>IF(AT166="","",IFERROR(AT166*HSCEI!$B$13*HSCEI!$G$13/HSCEI!$B$3,""))</f>
        <v/>
      </c>
      <c r="DI166" s="110">
        <f>IF(AU166="","",IFERROR(AU166*HSCEI!$B$13*HSCEI!$G$13/HSCEI!$B$3,""))</f>
        <v/>
      </c>
      <c r="DJ166" s="110">
        <f>IF(AV166="","",IFERROR(AV166*HSCEI!$B$13*HSCEI!$G$13/HSCEI!$B$3,""))</f>
        <v/>
      </c>
      <c r="DK166" s="110">
        <f>IF(AW166="","",IFERROR(AW166*HSCEI!$B$13*HSCEI!$G$13/HSCEI!$B$3,""))</f>
        <v/>
      </c>
      <c r="DL166" s="110">
        <f>IF(AX166="","",IFERROR(AX166*HSCEI!$B$13*HSCEI!$G$13/HSCEI!$B$3,""))</f>
        <v/>
      </c>
      <c r="DM166" s="110">
        <f>IF(AY166="","",IFERROR(AY166*HSCEI!$B$13*HSCEI!$G$13/HSCEI!$B$3,""))</f>
        <v/>
      </c>
      <c r="DN166" s="110">
        <f>IF(AZ166="","",IFERROR(AZ166*HSCEI!$B$13*HSCEI!$G$13/HSCEI!$B$3,""))</f>
        <v/>
      </c>
      <c r="DO166" s="110">
        <f>IF(BA166="","",IFERROR(BA166*HSCEI!$B$13*HSCEI!$G$13/HSCEI!$B$3,""))</f>
        <v/>
      </c>
      <c r="DP166" s="110">
        <f>IF(BB166="","",IFERROR(BB166*HSCEI!$B$13*HSCEI!$G$13/HSCEI!$B$3,""))</f>
        <v/>
      </c>
      <c r="DQ166" s="110">
        <f>IF(BC166="","",IFERROR(BC166*HSCEI!$B$13*HSCEI!$G$13/HSCEI!$B$3,""))</f>
        <v/>
      </c>
      <c r="DR166" s="110">
        <f>IF(BD166="","",IFERROR(BD166*HSCEI!$B$13*HSCEI!$G$13/HSCEI!$B$3,""))</f>
        <v/>
      </c>
      <c r="DS166" s="110">
        <f>IF(BE166="","",IFERROR(BE166*HSCEI!$B$13*HSCEI!$G$13/HSCEI!$B$3,""))</f>
        <v/>
      </c>
      <c r="DT166" s="110">
        <f>IF(BF166="","",IFERROR(BF166*HSCEI!$B$13*HSCEI!$G$13/HSCEI!$B$3,""))</f>
        <v/>
      </c>
      <c r="DU166" s="110">
        <f>IF(BG166="","",IFERROR(BG166*HSCEI!$B$13*HSCEI!$G$13/HSCEI!$B$3,""))</f>
        <v/>
      </c>
      <c r="DV166" s="110">
        <f>IF(BH166="","",IFERROR(BH166*HSCEI!$B$13*HSCEI!$G$13/HSCEI!$B$3,""))</f>
        <v/>
      </c>
      <c r="DW166" s="110">
        <f>IF(BI166="","",IFERROR(BI166*HSCEI!$B$13*HSCEI!$G$13/HSCEI!$B$3,""))</f>
        <v/>
      </c>
      <c r="DX166" s="110">
        <f>IF(BJ166="","",IFERROR(BJ166*HSCEI!$B$13*HSCEI!$G$13/HSCEI!$B$3,""))</f>
        <v/>
      </c>
      <c r="DY166" s="110">
        <f>IF(BK166="","",IFERROR(BK166*HSCEI!$B$13*HSCEI!$G$13/HSCEI!$B$3,""))</f>
        <v/>
      </c>
      <c r="DZ166" s="110">
        <f>IF(BL166="","",IFERROR(BL166*HSCEI!$B$13*HSCEI!$G$13/HSCEI!$B$3,""))</f>
        <v/>
      </c>
      <c r="EA166" s="110">
        <f>IF(BM166="","",IFERROR(BM166*HSCEI!$B$13*HSCEI!$G$13/HSCEI!$B$3,""))</f>
        <v/>
      </c>
      <c r="EB166" s="110">
        <f>IF(BN166="","",IFERROR(BN166*HSCEI!$B$13*HSCEI!$G$13/HSCEI!$B$3,""))</f>
        <v/>
      </c>
      <c r="EC166" s="110">
        <f>IF(BO166="","",IFERROR(BO166*HSCEI!$B$13*HSCEI!$G$13/HSCEI!$B$3,""))</f>
        <v/>
      </c>
      <c r="EE166" s="39">
        <f>IF(N('Dvd Calendar'!$E$1627)=0,"",IF(('Dvd Calendar'!$E$1627&gt;=GRID_FROM)*('Dvd Calendar'!$E$1627&lt;=GRID_TO)*((('Dvd Calendar'!$E$1627&lt;=VAL_DATE)+(COUNTIF('Dvd Calendar'!$E$1634:$AR$1634,'Dvd Calendar'!$E$1627)=0))&gt;0)=0,"",'Dvd Calendar'!$E$1627*1000000000+ISNUMBER('Dvd Calendar'!$E$1630)*100000000+('Dvd Calendar'!$E$1632=SPECIAL_LBL)*10000000+(N('Dvd Calendar'!$E$1626)&gt;0)*(N('Dvd Calendar'!$E$1626)&lt;=VAL_SERIAL)*1000000+7*1000+1))</f>
        <v/>
      </c>
      <c r="EF166" s="39">
        <f>IF(N('Dvd Calendar'!$F$1627)=0,"",IF(('Dvd Calendar'!$F$1627&gt;=GRID_FROM)*('Dvd Calendar'!$F$1627&lt;=GRID_TO)*((('Dvd Calendar'!$F$1627&lt;=VAL_DATE)+(COUNTIF('Dvd Calendar'!$E$1634:$AR$1634,'Dvd Calendar'!$F$1627)=0))&gt;0)=0,"",'Dvd Calendar'!$F$1627*1000000000+ISNUMBER('Dvd Calendar'!$F$1630)*100000000+('Dvd Calendar'!$F$1632=SPECIAL_LBL)*10000000+(N('Dvd Calendar'!$F$1626)&gt;0)*(N('Dvd Calendar'!$F$1626)&lt;=VAL_SERIAL)*1000000+7*1000+2))</f>
        <v/>
      </c>
      <c r="EG166" s="39">
        <f>IF(N('Dvd Calendar'!$G$1627)=0,"",IF(('Dvd Calendar'!$G$1627&gt;=GRID_FROM)*('Dvd Calendar'!$G$1627&lt;=GRID_TO)*((('Dvd Calendar'!$G$1627&lt;=VAL_DATE)+(COUNTIF('Dvd Calendar'!$E$1634:$AR$1634,'Dvd Calendar'!$G$1627)=0))&gt;0)=0,"",'Dvd Calendar'!$G$1627*1000000000+ISNUMBER('Dvd Calendar'!$G$1630)*100000000+('Dvd Calendar'!$G$1632=SPECIAL_LBL)*10000000+(N('Dvd Calendar'!$G$1626)&gt;0)*(N('Dvd Calendar'!$G$1626)&lt;=VAL_SERIAL)*1000000+7*1000+3))</f>
        <v/>
      </c>
      <c r="EH166" s="39">
        <f>IF(N('Dvd Calendar'!$H$1627)=0,"",IF(('Dvd Calendar'!$H$1627&gt;=GRID_FROM)*('Dvd Calendar'!$H$1627&lt;=GRID_TO)*((('Dvd Calendar'!$H$1627&lt;=VAL_DATE)+(COUNTIF('Dvd Calendar'!$E$1634:$AR$1634,'Dvd Calendar'!$H$1627)=0))&gt;0)=0,"",'Dvd Calendar'!$H$1627*1000000000+ISNUMBER('Dvd Calendar'!$H$1630)*100000000+('Dvd Calendar'!$H$1632=SPECIAL_LBL)*10000000+(N('Dvd Calendar'!$H$1626)&gt;0)*(N('Dvd Calendar'!$H$1626)&lt;=VAL_SERIAL)*1000000+7*1000+4))</f>
        <v/>
      </c>
      <c r="EI166" s="39">
        <f>IF(N('Dvd Calendar'!$I$1627)=0,"",IF(('Dvd Calendar'!$I$1627&gt;=GRID_FROM)*('Dvd Calendar'!$I$1627&lt;=GRID_TO)*((('Dvd Calendar'!$I$1627&lt;=VAL_DATE)+(COUNTIF('Dvd Calendar'!$E$1634:$AR$1634,'Dvd Calendar'!$I$1627)=0))&gt;0)=0,"",'Dvd Calendar'!$I$1627*1000000000+ISNUMBER('Dvd Calendar'!$I$1630)*100000000+('Dvd Calendar'!$I$1632=SPECIAL_LBL)*10000000+(N('Dvd Calendar'!$I$1626)&gt;0)*(N('Dvd Calendar'!$I$1626)&lt;=VAL_SERIAL)*1000000+7*1000+5))</f>
        <v/>
      </c>
      <c r="EJ166" s="39">
        <f>IF(N('Dvd Calendar'!$J$1627)=0,"",IF(('Dvd Calendar'!$J$1627&gt;=GRID_FROM)*('Dvd Calendar'!$J$1627&lt;=GRID_TO)*((('Dvd Calendar'!$J$1627&lt;=VAL_DATE)+(COUNTIF('Dvd Calendar'!$E$1634:$AR$1634,'Dvd Calendar'!$J$1627)=0))&gt;0)=0,"",'Dvd Calendar'!$J$1627*1000000000+ISNUMBER('Dvd Calendar'!$J$1630)*100000000+('Dvd Calendar'!$J$1632=SPECIAL_LBL)*10000000+(N('Dvd Calendar'!$J$1626)&gt;0)*(N('Dvd Calendar'!$J$1626)&lt;=VAL_SERIAL)*1000000+7*1000+6))</f>
        <v/>
      </c>
      <c r="EK166" s="39">
        <f>IF(N('Dvd Calendar'!$K$1627)=0,"",IF(('Dvd Calendar'!$K$1627&gt;=GRID_FROM)*('Dvd Calendar'!$K$1627&lt;=GRID_TO)*((('Dvd Calendar'!$K$1627&lt;=VAL_DATE)+(COUNTIF('Dvd Calendar'!$E$1634:$AR$1634,'Dvd Calendar'!$K$1627)=0))&gt;0)=0,"",'Dvd Calendar'!$K$1627*1000000000+ISNUMBER('Dvd Calendar'!$K$1630)*100000000+('Dvd Calendar'!$K$1632=SPECIAL_LBL)*10000000+(N('Dvd Calendar'!$K$1626)&gt;0)*(N('Dvd Calendar'!$K$1626)&lt;=VAL_SERIAL)*1000000+7*1000+7))</f>
        <v/>
      </c>
      <c r="EL166" s="39">
        <f>IF(N('Dvd Calendar'!$L$1627)=0,"",IF(('Dvd Calendar'!$L$1627&gt;=GRID_FROM)*('Dvd Calendar'!$L$1627&lt;=GRID_TO)*((('Dvd Calendar'!$L$1627&lt;=VAL_DATE)+(COUNTIF('Dvd Calendar'!$E$1634:$AR$1634,'Dvd Calendar'!$L$1627)=0))&gt;0)=0,"",'Dvd Calendar'!$L$1627*1000000000+ISNUMBER('Dvd Calendar'!$L$1630)*100000000+('Dvd Calendar'!$L$1632=SPECIAL_LBL)*10000000+(N('Dvd Calendar'!$L$1626)&gt;0)*(N('Dvd Calendar'!$L$1626)&lt;=VAL_SERIAL)*1000000+7*1000+8))</f>
        <v/>
      </c>
      <c r="EM166" s="39">
        <f>IF(N('Dvd Calendar'!$M$1627)=0,"",IF(('Dvd Calendar'!$M$1627&gt;=GRID_FROM)*('Dvd Calendar'!$M$1627&lt;=GRID_TO)*((('Dvd Calendar'!$M$1627&lt;=VAL_DATE)+(COUNTIF('Dvd Calendar'!$E$1634:$AR$1634,'Dvd Calendar'!$M$1627)=0))&gt;0)=0,"",'Dvd Calendar'!$M$1627*1000000000+ISNUMBER('Dvd Calendar'!$M$1630)*100000000+('Dvd Calendar'!$M$1632=SPECIAL_LBL)*10000000+(N('Dvd Calendar'!$M$1626)&gt;0)*(N('Dvd Calendar'!$M$1626)&lt;=VAL_SERIAL)*1000000+7*1000+9))</f>
        <v/>
      </c>
      <c r="EN166" s="39">
        <f>IF(N('Dvd Calendar'!$N$1627)=0,"",IF(('Dvd Calendar'!$N$1627&gt;=GRID_FROM)*('Dvd Calendar'!$N$1627&lt;=GRID_TO)*((('Dvd Calendar'!$N$1627&lt;=VAL_DATE)+(COUNTIF('Dvd Calendar'!$E$1634:$AR$1634,'Dvd Calendar'!$N$1627)=0))&gt;0)=0,"",'Dvd Calendar'!$N$1627*1000000000+ISNUMBER('Dvd Calendar'!$N$1630)*100000000+('Dvd Calendar'!$N$1632=SPECIAL_LBL)*10000000+(N('Dvd Calendar'!$N$1626)&gt;0)*(N('Dvd Calendar'!$N$1626)&lt;=VAL_SERIAL)*1000000+7*1000+10))</f>
        <v/>
      </c>
      <c r="EO166" s="39">
        <f>IF(N('Dvd Calendar'!$O$1627)=0,"",IF(('Dvd Calendar'!$O$1627&gt;=GRID_FROM)*('Dvd Calendar'!$O$1627&lt;=GRID_TO)*((('Dvd Calendar'!$O$1627&lt;=VAL_DATE)+(COUNTIF('Dvd Calendar'!$E$1634:$AR$1634,'Dvd Calendar'!$O$1627)=0))&gt;0)=0,"",'Dvd Calendar'!$O$1627*1000000000+ISNUMBER('Dvd Calendar'!$O$1630)*100000000+('Dvd Calendar'!$O$1632=SPECIAL_LBL)*10000000+(N('Dvd Calendar'!$O$1626)&gt;0)*(N('Dvd Calendar'!$O$1626)&lt;=VAL_SERIAL)*1000000+7*1000+11))</f>
        <v/>
      </c>
      <c r="EP166" s="39">
        <f>IF(N('Dvd Calendar'!$P$1627)=0,"",IF(('Dvd Calendar'!$P$1627&gt;=GRID_FROM)*('Dvd Calendar'!$P$1627&lt;=GRID_TO)*((('Dvd Calendar'!$P$1627&lt;=VAL_DATE)+(COUNTIF('Dvd Calendar'!$E$1634:$AR$1634,'Dvd Calendar'!$P$1627)=0))&gt;0)=0,"",'Dvd Calendar'!$P$1627*1000000000+ISNUMBER('Dvd Calendar'!$P$1630)*100000000+('Dvd Calendar'!$P$1632=SPECIAL_LBL)*10000000+(N('Dvd Calendar'!$P$1626)&gt;0)*(N('Dvd Calendar'!$P$1626)&lt;=VAL_SERIAL)*1000000+7*1000+12))</f>
        <v/>
      </c>
      <c r="EQ166" s="39">
        <f>IF(N('Dvd Calendar'!$Q$1627)=0,"",IF(('Dvd Calendar'!$Q$1627&gt;=GRID_FROM)*('Dvd Calendar'!$Q$1627&lt;=GRID_TO)*((('Dvd Calendar'!$Q$1627&lt;=VAL_DATE)+(COUNTIF('Dvd Calendar'!$E$1634:$AR$1634,'Dvd Calendar'!$Q$1627)=0))&gt;0)=0,"",'Dvd Calendar'!$Q$1627*1000000000+ISNUMBER('Dvd Calendar'!$Q$1630)*100000000+('Dvd Calendar'!$Q$1632=SPECIAL_LBL)*10000000+(N('Dvd Calendar'!$Q$1626)&gt;0)*(N('Dvd Calendar'!$Q$1626)&lt;=VAL_SERIAL)*1000000+7*1000+13))</f>
        <v/>
      </c>
      <c r="ER166" s="39">
        <f>IF(N('Dvd Calendar'!$R$1627)=0,"",IF(('Dvd Calendar'!$R$1627&gt;=GRID_FROM)*('Dvd Calendar'!$R$1627&lt;=GRID_TO)*((('Dvd Calendar'!$R$1627&lt;=VAL_DATE)+(COUNTIF('Dvd Calendar'!$E$1634:$AR$1634,'Dvd Calendar'!$R$1627)=0))&gt;0)=0,"",'Dvd Calendar'!$R$1627*1000000000+ISNUMBER('Dvd Calendar'!$R$1630)*100000000+('Dvd Calendar'!$R$1632=SPECIAL_LBL)*10000000+(N('Dvd Calendar'!$R$1626)&gt;0)*(N('Dvd Calendar'!$R$1626)&lt;=VAL_SERIAL)*1000000+7*1000+14))</f>
        <v/>
      </c>
      <c r="ES166" s="39">
        <f>IF(N('Dvd Calendar'!$S$1627)=0,"",IF(('Dvd Calendar'!$S$1627&gt;=GRID_FROM)*('Dvd Calendar'!$S$1627&lt;=GRID_TO)*((('Dvd Calendar'!$S$1627&lt;=VAL_DATE)+(COUNTIF('Dvd Calendar'!$E$1634:$AR$1634,'Dvd Calendar'!$S$1627)=0))&gt;0)=0,"",'Dvd Calendar'!$S$1627*1000000000+ISNUMBER('Dvd Calendar'!$S$1630)*100000000+('Dvd Calendar'!$S$1632=SPECIAL_LBL)*10000000+(N('Dvd Calendar'!$S$1626)&gt;0)*(N('Dvd Calendar'!$S$1626)&lt;=VAL_SERIAL)*1000000+7*1000+15))</f>
        <v/>
      </c>
      <c r="ET166" s="39">
        <f>IF(N('Dvd Calendar'!$T$1627)=0,"",IF(('Dvd Calendar'!$T$1627&gt;=GRID_FROM)*('Dvd Calendar'!$T$1627&lt;=GRID_TO)*((('Dvd Calendar'!$T$1627&lt;=VAL_DATE)+(COUNTIF('Dvd Calendar'!$E$1634:$AR$1634,'Dvd Calendar'!$T$1627)=0))&gt;0)=0,"",'Dvd Calendar'!$T$1627*1000000000+ISNUMBER('Dvd Calendar'!$T$1630)*100000000+('Dvd Calendar'!$T$1632=SPECIAL_LBL)*10000000+(N('Dvd Calendar'!$T$1626)&gt;0)*(N('Dvd Calendar'!$T$1626)&lt;=VAL_SERIAL)*1000000+7*1000+16))</f>
        <v/>
      </c>
      <c r="EU166" s="39">
        <f>IF(N('Dvd Calendar'!$U$1627)=0,"",IF(('Dvd Calendar'!$U$1627&gt;=GRID_FROM)*('Dvd Calendar'!$U$1627&lt;=GRID_TO)*((('Dvd Calendar'!$U$1627&lt;=VAL_DATE)+(COUNTIF('Dvd Calendar'!$E$1634:$AR$1634,'Dvd Calendar'!$U$1627)=0))&gt;0)=0,"",'Dvd Calendar'!$U$1627*1000000000+ISNUMBER('Dvd Calendar'!$U$1630)*100000000+('Dvd Calendar'!$U$1632=SPECIAL_LBL)*10000000+(N('Dvd Calendar'!$U$1626)&gt;0)*(N('Dvd Calendar'!$U$1626)&lt;=VAL_SERIAL)*1000000+7*1000+17))</f>
        <v/>
      </c>
      <c r="EV166" s="39">
        <f>IF(N('Dvd Calendar'!$V$1627)=0,"",IF(('Dvd Calendar'!$V$1627&gt;=GRID_FROM)*('Dvd Calendar'!$V$1627&lt;=GRID_TO)*((('Dvd Calendar'!$V$1627&lt;=VAL_DATE)+(COUNTIF('Dvd Calendar'!$E$1634:$AR$1634,'Dvd Calendar'!$V$1627)=0))&gt;0)=0,"",'Dvd Calendar'!$V$1627*1000000000+ISNUMBER('Dvd Calendar'!$V$1630)*100000000+('Dvd Calendar'!$V$1632=SPECIAL_LBL)*10000000+(N('Dvd Calendar'!$V$1626)&gt;0)*(N('Dvd Calendar'!$V$1626)&lt;=VAL_SERIAL)*1000000+7*1000+18))</f>
        <v/>
      </c>
      <c r="EW166" s="39">
        <f>IF(N('Dvd Calendar'!$W$1627)=0,"",IF(('Dvd Calendar'!$W$1627&gt;=GRID_FROM)*('Dvd Calendar'!$W$1627&lt;=GRID_TO)*((('Dvd Calendar'!$W$1627&lt;=VAL_DATE)+(COUNTIF('Dvd Calendar'!$E$1634:$AR$1634,'Dvd Calendar'!$W$1627)=0))&gt;0)=0,"",'Dvd Calendar'!$W$1627*1000000000+ISNUMBER('Dvd Calendar'!$W$1630)*100000000+('Dvd Calendar'!$W$1632=SPECIAL_LBL)*10000000+(N('Dvd Calendar'!$W$1626)&gt;0)*(N('Dvd Calendar'!$W$1626)&lt;=VAL_SERIAL)*1000000+7*1000+19))</f>
        <v/>
      </c>
      <c r="EX166" s="39">
        <f>IF(N('Dvd Calendar'!$X$1627)=0,"",IF(('Dvd Calendar'!$X$1627&gt;=GRID_FROM)*('Dvd Calendar'!$X$1627&lt;=GRID_TO)*((('Dvd Calendar'!$X$1627&lt;=VAL_DATE)+(COUNTIF('Dvd Calendar'!$E$1634:$AR$1634,'Dvd Calendar'!$X$1627)=0))&gt;0)=0,"",'Dvd Calendar'!$X$1627*1000000000+ISNUMBER('Dvd Calendar'!$X$1630)*100000000+('Dvd Calendar'!$X$1632=SPECIAL_LBL)*10000000+(N('Dvd Calendar'!$X$1626)&gt;0)*(N('Dvd Calendar'!$X$1626)&lt;=VAL_SERIAL)*1000000+7*1000+20))</f>
        <v/>
      </c>
      <c r="EY166" s="39">
        <f>IF(N('Dvd Calendar'!$Y$1627)=0,"",IF(('Dvd Calendar'!$Y$1627&gt;=GRID_FROM)*('Dvd Calendar'!$Y$1627&lt;=GRID_TO)*((('Dvd Calendar'!$Y$1627&lt;=VAL_DATE)+(COUNTIF('Dvd Calendar'!$E$1634:$AR$1634,'Dvd Calendar'!$Y$1627)=0))&gt;0)=0,"",'Dvd Calendar'!$Y$1627*1000000000+ISNUMBER('Dvd Calendar'!$Y$1630)*100000000+('Dvd Calendar'!$Y$1632=SPECIAL_LBL)*10000000+(N('Dvd Calendar'!$Y$1626)&gt;0)*(N('Dvd Calendar'!$Y$1626)&lt;=VAL_SERIAL)*1000000+7*1000+21))</f>
        <v/>
      </c>
      <c r="EZ166" s="39">
        <f>IF(N('Dvd Calendar'!$Z$1627)=0,"",IF(('Dvd Calendar'!$Z$1627&gt;=GRID_FROM)*('Dvd Calendar'!$Z$1627&lt;=GRID_TO)*((('Dvd Calendar'!$Z$1627&lt;=VAL_DATE)+(COUNTIF('Dvd Calendar'!$E$1634:$AR$1634,'Dvd Calendar'!$Z$1627)=0))&gt;0)=0,"",'Dvd Calendar'!$Z$1627*1000000000+ISNUMBER('Dvd Calendar'!$Z$1630)*100000000+('Dvd Calendar'!$Z$1632=SPECIAL_LBL)*10000000+(N('Dvd Calendar'!$Z$1626)&gt;0)*(N('Dvd Calendar'!$Z$1626)&lt;=VAL_SERIAL)*1000000+7*1000+22))</f>
        <v/>
      </c>
      <c r="FA166" s="39">
        <f>IF(N('Dvd Calendar'!$AA$1627)=0,"",IF(('Dvd Calendar'!$AA$1627&gt;=GRID_FROM)*('Dvd Calendar'!$AA$1627&lt;=GRID_TO)*((('Dvd Calendar'!$AA$1627&lt;=VAL_DATE)+(COUNTIF('Dvd Calendar'!$E$1634:$AR$1634,'Dvd Calendar'!$AA$1627)=0))&gt;0)=0,"",'Dvd Calendar'!$AA$1627*1000000000+ISNUMBER('Dvd Calendar'!$AA$1630)*100000000+('Dvd Calendar'!$AA$1632=SPECIAL_LBL)*10000000+(N('Dvd Calendar'!$AA$1626)&gt;0)*(N('Dvd Calendar'!$AA$1626)&lt;=VAL_SERIAL)*1000000+7*1000+23))</f>
        <v/>
      </c>
      <c r="FB166" s="39">
        <f>IF(N('Dvd Calendar'!$AB$1627)=0,"",IF(('Dvd Calendar'!$AB$1627&gt;=GRID_FROM)*('Dvd Calendar'!$AB$1627&lt;=GRID_TO)*((('Dvd Calendar'!$AB$1627&lt;=VAL_DATE)+(COUNTIF('Dvd Calendar'!$E$1634:$AR$1634,'Dvd Calendar'!$AB$1627)=0))&gt;0)=0,"",'Dvd Calendar'!$AB$1627*1000000000+ISNUMBER('Dvd Calendar'!$AB$1630)*100000000+('Dvd Calendar'!$AB$1632=SPECIAL_LBL)*10000000+(N('Dvd Calendar'!$AB$1626)&gt;0)*(N('Dvd Calendar'!$AB$1626)&lt;=VAL_SERIAL)*1000000+7*1000+24))</f>
        <v/>
      </c>
      <c r="FC166" s="39">
        <f>IF(N('Dvd Calendar'!$AC$1627)=0,"",IF(('Dvd Calendar'!$AC$1627&gt;=GRID_FROM)*('Dvd Calendar'!$AC$1627&lt;=GRID_TO)*((('Dvd Calendar'!$AC$1627&lt;=VAL_DATE)+(COUNTIF('Dvd Calendar'!$E$1634:$AR$1634,'Dvd Calendar'!$AC$1627)=0))&gt;0)=0,"",'Dvd Calendar'!$AC$1627*1000000000+ISNUMBER('Dvd Calendar'!$AC$1630)*100000000+('Dvd Calendar'!$AC$1632=SPECIAL_LBL)*10000000+(N('Dvd Calendar'!$AC$1626)&gt;0)*(N('Dvd Calendar'!$AC$1626)&lt;=VAL_SERIAL)*1000000+7*1000+25))</f>
        <v/>
      </c>
      <c r="FD166" s="39">
        <f>IF(N('Dvd Calendar'!$AD$1627)=0,"",IF(('Dvd Calendar'!$AD$1627&gt;=GRID_FROM)*('Dvd Calendar'!$AD$1627&lt;=GRID_TO)*((('Dvd Calendar'!$AD$1627&lt;=VAL_DATE)+(COUNTIF('Dvd Calendar'!$E$1634:$AR$1634,'Dvd Calendar'!$AD$1627)=0))&gt;0)=0,"",'Dvd Calendar'!$AD$1627*1000000000+ISNUMBER('Dvd Calendar'!$AD$1630)*100000000+('Dvd Calendar'!$AD$1632=SPECIAL_LBL)*10000000+(N('Dvd Calendar'!$AD$1626)&gt;0)*(N('Dvd Calendar'!$AD$1626)&lt;=VAL_SERIAL)*1000000+7*1000+26))</f>
        <v/>
      </c>
      <c r="FE166" s="39">
        <f>IF(N('Dvd Calendar'!$AE$1627)=0,"",IF(('Dvd Calendar'!$AE$1627&gt;=GRID_FROM)*('Dvd Calendar'!$AE$1627&lt;=GRID_TO)*((('Dvd Calendar'!$AE$1627&lt;=VAL_DATE)+(COUNTIF('Dvd Calendar'!$E$1634:$AR$1634,'Dvd Calendar'!$AE$1627)=0))&gt;0)=0,"",'Dvd Calendar'!$AE$1627*1000000000+ISNUMBER('Dvd Calendar'!$AE$1630)*100000000+('Dvd Calendar'!$AE$1632=SPECIAL_LBL)*10000000+(N('Dvd Calendar'!$AE$1626)&gt;0)*(N('Dvd Calendar'!$AE$1626)&lt;=VAL_SERIAL)*1000000+7*1000+27))</f>
        <v/>
      </c>
      <c r="FF166" s="39">
        <f>IF(N('Dvd Calendar'!$AF$1627)=0,"",IF(('Dvd Calendar'!$AF$1627&gt;=GRID_FROM)*('Dvd Calendar'!$AF$1627&lt;=GRID_TO)*((('Dvd Calendar'!$AF$1627&lt;=VAL_DATE)+(COUNTIF('Dvd Calendar'!$E$1634:$AR$1634,'Dvd Calendar'!$AF$1627)=0))&gt;0)=0,"",'Dvd Calendar'!$AF$1627*1000000000+ISNUMBER('Dvd Calendar'!$AF$1630)*100000000+('Dvd Calendar'!$AF$1632=SPECIAL_LBL)*10000000+(N('Dvd Calendar'!$AF$1626)&gt;0)*(N('Dvd Calendar'!$AF$1626)&lt;=VAL_SERIAL)*1000000+7*1000+28))</f>
        <v/>
      </c>
      <c r="FG166" s="39">
        <f>IF(N('Dvd Calendar'!$AG$1627)=0,"",IF(('Dvd Calendar'!$AG$1627&gt;=GRID_FROM)*('Dvd Calendar'!$AG$1627&lt;=GRID_TO)*((('Dvd Calendar'!$AG$1627&lt;=VAL_DATE)+(COUNTIF('Dvd Calendar'!$E$1634:$AR$1634,'Dvd Calendar'!$AG$1627)=0))&gt;0)=0,"",'Dvd Calendar'!$AG$1627*1000000000+ISNUMBER('Dvd Calendar'!$AG$1630)*100000000+('Dvd Calendar'!$AG$1632=SPECIAL_LBL)*10000000+(N('Dvd Calendar'!$AG$1626)&gt;0)*(N('Dvd Calendar'!$AG$1626)&lt;=VAL_SERIAL)*1000000+7*1000+29))</f>
        <v/>
      </c>
      <c r="FH166" s="39">
        <f>IF(N('Dvd Calendar'!$AH$1627)=0,"",IF(('Dvd Calendar'!$AH$1627&gt;=GRID_FROM)*('Dvd Calendar'!$AH$1627&lt;=GRID_TO)*((('Dvd Calendar'!$AH$1627&lt;=VAL_DATE)+(COUNTIF('Dvd Calendar'!$E$1634:$AR$1634,'Dvd Calendar'!$AH$1627)=0))&gt;0)=0,"",'Dvd Calendar'!$AH$1627*1000000000+ISNUMBER('Dvd Calendar'!$AH$1630)*100000000+('Dvd Calendar'!$AH$1632=SPECIAL_LBL)*10000000+(N('Dvd Calendar'!$AH$1626)&gt;0)*(N('Dvd Calendar'!$AH$1626)&lt;=VAL_SERIAL)*1000000+7*1000+30))</f>
        <v/>
      </c>
      <c r="FI166" s="39">
        <f>IF(N('Dvd Calendar'!$AI$1627)=0,"",IF(('Dvd Calendar'!$AI$1627&gt;=GRID_FROM)*('Dvd Calendar'!$AI$1627&lt;=GRID_TO)*((('Dvd Calendar'!$AI$1627&lt;=VAL_DATE)+(COUNTIF('Dvd Calendar'!$E$1634:$AR$1634,'Dvd Calendar'!$AI$1627)=0))&gt;0)=0,"",'Dvd Calendar'!$AI$1627*1000000000+ISNUMBER('Dvd Calendar'!$AI$1630)*100000000+('Dvd Calendar'!$AI$1632=SPECIAL_LBL)*10000000+(N('Dvd Calendar'!$AI$1626)&gt;0)*(N('Dvd Calendar'!$AI$1626)&lt;=VAL_SERIAL)*1000000+7*1000+31))</f>
        <v/>
      </c>
      <c r="FJ166" s="39">
        <f>IF(N('Dvd Calendar'!$AJ$1627)=0,"",IF(('Dvd Calendar'!$AJ$1627&gt;=GRID_FROM)*('Dvd Calendar'!$AJ$1627&lt;=GRID_TO)*((('Dvd Calendar'!$AJ$1627&lt;=VAL_DATE)+(COUNTIF('Dvd Calendar'!$E$1634:$AR$1634,'Dvd Calendar'!$AJ$1627)=0))&gt;0)=0,"",'Dvd Calendar'!$AJ$1627*1000000000+ISNUMBER('Dvd Calendar'!$AJ$1630)*100000000+('Dvd Calendar'!$AJ$1632=SPECIAL_LBL)*10000000+(N('Dvd Calendar'!$AJ$1626)&gt;0)*(N('Dvd Calendar'!$AJ$1626)&lt;=VAL_SERIAL)*1000000+7*1000+32))</f>
        <v/>
      </c>
      <c r="FK166" s="39">
        <f>IF(N('Dvd Calendar'!$AK$1627)=0,"",IF(('Dvd Calendar'!$AK$1627&gt;=GRID_FROM)*('Dvd Calendar'!$AK$1627&lt;=GRID_TO)*((('Dvd Calendar'!$AK$1627&lt;=VAL_DATE)+(COUNTIF('Dvd Calendar'!$E$1634:$AR$1634,'Dvd Calendar'!$AK$1627)=0))&gt;0)=0,"",'Dvd Calendar'!$AK$1627*1000000000+ISNUMBER('Dvd Calendar'!$AK$1630)*100000000+('Dvd Calendar'!$AK$1632=SPECIAL_LBL)*10000000+(N('Dvd Calendar'!$AK$1626)&gt;0)*(N('Dvd Calendar'!$AK$1626)&lt;=VAL_SERIAL)*1000000+7*1000+33))</f>
        <v/>
      </c>
      <c r="FL166" s="39">
        <f>IF(N('Dvd Calendar'!$AL$1627)=0,"",IF(('Dvd Calendar'!$AL$1627&gt;=GRID_FROM)*('Dvd Calendar'!$AL$1627&lt;=GRID_TO)*((('Dvd Calendar'!$AL$1627&lt;=VAL_DATE)+(COUNTIF('Dvd Calendar'!$E$1634:$AR$1634,'Dvd Calendar'!$AL$1627)=0))&gt;0)=0,"",'Dvd Calendar'!$AL$1627*1000000000+ISNUMBER('Dvd Calendar'!$AL$1630)*100000000+('Dvd Calendar'!$AL$1632=SPECIAL_LBL)*10000000+(N('Dvd Calendar'!$AL$1626)&gt;0)*(N('Dvd Calendar'!$AL$1626)&lt;=VAL_SERIAL)*1000000+7*1000+34))</f>
        <v/>
      </c>
      <c r="FM166" s="39">
        <f>IF(N('Dvd Calendar'!$AM$1627)=0,"",IF(('Dvd Calendar'!$AM$1627&gt;=GRID_FROM)*('Dvd Calendar'!$AM$1627&lt;=GRID_TO)*((('Dvd Calendar'!$AM$1627&lt;=VAL_DATE)+(COUNTIF('Dvd Calendar'!$E$1634:$AR$1634,'Dvd Calendar'!$AM$1627)=0))&gt;0)=0,"",'Dvd Calendar'!$AM$1627*1000000000+ISNUMBER('Dvd Calendar'!$AM$1630)*100000000+('Dvd Calendar'!$AM$1632=SPECIAL_LBL)*10000000+(N('Dvd Calendar'!$AM$1626)&gt;0)*(N('Dvd Calendar'!$AM$1626)&lt;=VAL_SERIAL)*1000000+7*1000+35))</f>
        <v/>
      </c>
      <c r="FN166" s="39">
        <f>IF(N('Dvd Calendar'!$AN$1627)=0,"",IF(('Dvd Calendar'!$AN$1627&gt;=GRID_FROM)*('Dvd Calendar'!$AN$1627&lt;=GRID_TO)*((('Dvd Calendar'!$AN$1627&lt;=VAL_DATE)+(COUNTIF('Dvd Calendar'!$E$1634:$AR$1634,'Dvd Calendar'!$AN$1627)=0))&gt;0)=0,"",'Dvd Calendar'!$AN$1627*1000000000+ISNUMBER('Dvd Calendar'!$AN$1630)*100000000+('Dvd Calendar'!$AN$1632=SPECIAL_LBL)*10000000+(N('Dvd Calendar'!$AN$1626)&gt;0)*(N('Dvd Calendar'!$AN$1626)&lt;=VAL_SERIAL)*1000000+7*1000+36))</f>
        <v/>
      </c>
      <c r="FO166" s="39">
        <f>IF(N('Dvd Calendar'!$AO$1627)=0,"",IF(('Dvd Calendar'!$AO$1627&gt;=GRID_FROM)*('Dvd Calendar'!$AO$1627&lt;=GRID_TO)*((('Dvd Calendar'!$AO$1627&lt;=VAL_DATE)+(COUNTIF('Dvd Calendar'!$E$1634:$AR$1634,'Dvd Calendar'!$AO$1627)=0))&gt;0)=0,"",'Dvd Calendar'!$AO$1627*1000000000+ISNUMBER('Dvd Calendar'!$AO$1630)*100000000+('Dvd Calendar'!$AO$1632=SPECIAL_LBL)*10000000+(N('Dvd Calendar'!$AO$1626)&gt;0)*(N('Dvd Calendar'!$AO$1626)&lt;=VAL_SERIAL)*1000000+7*1000+37))</f>
        <v/>
      </c>
      <c r="FP166" s="39">
        <f>IF(N('Dvd Calendar'!$AP$1627)=0,"",IF(('Dvd Calendar'!$AP$1627&gt;=GRID_FROM)*('Dvd Calendar'!$AP$1627&lt;=GRID_TO)*((('Dvd Calendar'!$AP$1627&lt;=VAL_DATE)+(COUNTIF('Dvd Calendar'!$E$1634:$AR$1634,'Dvd Calendar'!$AP$1627)=0))&gt;0)=0,"",'Dvd Calendar'!$AP$1627*1000000000+ISNUMBER('Dvd Calendar'!$AP$1630)*100000000+('Dvd Calendar'!$AP$1632=SPECIAL_LBL)*10000000+(N('Dvd Calendar'!$AP$1626)&gt;0)*(N('Dvd Calendar'!$AP$1626)&lt;=VAL_SERIAL)*1000000+7*1000+38))</f>
        <v/>
      </c>
      <c r="FQ166" s="39">
        <f>IF(N('Dvd Calendar'!$AQ$1627)=0,"",IF(('Dvd Calendar'!$AQ$1627&gt;=GRID_FROM)*('Dvd Calendar'!$AQ$1627&lt;=GRID_TO)*((('Dvd Calendar'!$AQ$1627&lt;=VAL_DATE)+(COUNTIF('Dvd Calendar'!$E$1634:$AR$1634,'Dvd Calendar'!$AQ$1627)=0))&gt;0)=0,"",'Dvd Calendar'!$AQ$1627*1000000000+ISNUMBER('Dvd Calendar'!$AQ$1630)*100000000+('Dvd Calendar'!$AQ$1632=SPECIAL_LBL)*10000000+(N('Dvd Calendar'!$AQ$1626)&gt;0)*(N('Dvd Calendar'!$AQ$1626)&lt;=VAL_SERIAL)*1000000+7*1000+39))</f>
        <v/>
      </c>
      <c r="FR166" s="39">
        <f>IF(N('Dvd Calendar'!$AR$1627)=0,"",IF(('Dvd Calendar'!$AR$1627&gt;=GRID_FROM)*('Dvd Calendar'!$AR$1627&lt;=GRID_TO)*((('Dvd Calendar'!$AR$1627&lt;=VAL_DATE)+(COUNTIF('Dvd Calendar'!$E$1634:$AR$1634,'Dvd Calendar'!$AR$1627)=0))&gt;0)=0,"",'Dvd Calendar'!$AR$1627*1000000000+ISNUMBER('Dvd Calendar'!$AR$1630)*100000000+('Dvd Calendar'!$AR$1632=SPECIAL_LBL)*10000000+(N('Dvd Calendar'!$AR$1626)&gt;0)*(N('Dvd Calendar'!$AR$1626)&lt;=VAL_SERIAL)*1000000+7*1000+40))</f>
        <v/>
      </c>
      <c r="FS166" s="39">
        <f>IF(N('Dvd Calendar'!$E$1634)=0,"",IF(('Dvd Calendar'!$E$1634&gt;=GRID_FROM)*('Dvd Calendar'!$E$1634&lt;=GRID_TO)*('Dvd Calendar'!$E$1634&gt;VAL_DATE)=0,"",'Dvd Calendar'!$E$1634*1000000000+ISNUMBER('Dvd Calendar'!$E$1635)*100000000+0*10000000+(N('Dvd Calendar'!$E$1633)&gt;0)*(N('Dvd Calendar'!$E$1633)&lt;=VAL_SERIAL)*1000000+7*1000+41))</f>
        <v/>
      </c>
      <c r="FT166" s="39">
        <f>IF(N('Dvd Calendar'!$F$1634)=0,"",IF(('Dvd Calendar'!$F$1634&gt;=GRID_FROM)*('Dvd Calendar'!$F$1634&lt;=GRID_TO)*('Dvd Calendar'!$F$1634&gt;VAL_DATE)=0,"",'Dvd Calendar'!$F$1634*1000000000+ISNUMBER('Dvd Calendar'!$F$1635)*100000000+0*10000000+(N('Dvd Calendar'!$F$1633)&gt;0)*(N('Dvd Calendar'!$F$1633)&lt;=VAL_SERIAL)*1000000+7*1000+42))</f>
        <v/>
      </c>
      <c r="FU166" s="39">
        <f>IF(N('Dvd Calendar'!$G$1634)=0,"",IF(('Dvd Calendar'!$G$1634&gt;=GRID_FROM)*('Dvd Calendar'!$G$1634&lt;=GRID_TO)*('Dvd Calendar'!$G$1634&gt;VAL_DATE)=0,"",'Dvd Calendar'!$G$1634*1000000000+ISNUMBER('Dvd Calendar'!$G$1635)*100000000+0*10000000+(N('Dvd Calendar'!$G$1633)&gt;0)*(N('Dvd Calendar'!$G$1633)&lt;=VAL_SERIAL)*1000000+7*1000+43))</f>
        <v/>
      </c>
      <c r="FV166" s="39">
        <f>IF(N('Dvd Calendar'!$H$1634)=0,"",IF(('Dvd Calendar'!$H$1634&gt;=GRID_FROM)*('Dvd Calendar'!$H$1634&lt;=GRID_TO)*('Dvd Calendar'!$H$1634&gt;VAL_DATE)=0,"",'Dvd Calendar'!$H$1634*1000000000+ISNUMBER('Dvd Calendar'!$H$1635)*100000000+0*10000000+(N('Dvd Calendar'!$H$1633)&gt;0)*(N('Dvd Calendar'!$H$1633)&lt;=VAL_SERIAL)*1000000+7*1000+44))</f>
        <v/>
      </c>
      <c r="FW166" s="39">
        <f>IF(N('Dvd Calendar'!$I$1634)=0,"",IF(('Dvd Calendar'!$I$1634&gt;=GRID_FROM)*('Dvd Calendar'!$I$1634&lt;=GRID_TO)*('Dvd Calendar'!$I$1634&gt;VAL_DATE)=0,"",'Dvd Calendar'!$I$1634*1000000000+ISNUMBER('Dvd Calendar'!$I$1635)*100000000+0*10000000+(N('Dvd Calendar'!$I$1633)&gt;0)*(N('Dvd Calendar'!$I$1633)&lt;=VAL_SERIAL)*1000000+7*1000+45))</f>
        <v/>
      </c>
      <c r="FX166" s="39">
        <f>IF(N('Dvd Calendar'!$J$1634)=0,"",IF(('Dvd Calendar'!$J$1634&gt;=GRID_FROM)*('Dvd Calendar'!$J$1634&lt;=GRID_TO)*('Dvd Calendar'!$J$1634&gt;VAL_DATE)=0,"",'Dvd Calendar'!$J$1634*1000000000+ISNUMBER('Dvd Calendar'!$J$1635)*100000000+0*10000000+(N('Dvd Calendar'!$J$1633)&gt;0)*(N('Dvd Calendar'!$J$1633)&lt;=VAL_SERIAL)*1000000+7*1000+46))</f>
        <v/>
      </c>
      <c r="FY166" s="39">
        <f>IF(N('Dvd Calendar'!$K$1634)=0,"",IF(('Dvd Calendar'!$K$1634&gt;=GRID_FROM)*('Dvd Calendar'!$K$1634&lt;=GRID_TO)*('Dvd Calendar'!$K$1634&gt;VAL_DATE)=0,"",'Dvd Calendar'!$K$1634*1000000000+ISNUMBER('Dvd Calendar'!$K$1635)*100000000+0*10000000+(N('Dvd Calendar'!$K$1633)&gt;0)*(N('Dvd Calendar'!$K$1633)&lt;=VAL_SERIAL)*1000000+7*1000+47))</f>
        <v/>
      </c>
      <c r="FZ166" s="39">
        <f>IF(N('Dvd Calendar'!$L$1634)=0,"",IF(('Dvd Calendar'!$L$1634&gt;=GRID_FROM)*('Dvd Calendar'!$L$1634&lt;=GRID_TO)*('Dvd Calendar'!$L$1634&gt;VAL_DATE)=0,"",'Dvd Calendar'!$L$1634*1000000000+ISNUMBER('Dvd Calendar'!$L$1635)*100000000+0*10000000+(N('Dvd Calendar'!$L$1633)&gt;0)*(N('Dvd Calendar'!$L$1633)&lt;=VAL_SERIAL)*1000000+7*1000+48))</f>
        <v/>
      </c>
      <c r="GA166" s="39">
        <f>IF(N('Dvd Calendar'!$M$1634)=0,"",IF(('Dvd Calendar'!$M$1634&gt;=GRID_FROM)*('Dvd Calendar'!$M$1634&lt;=GRID_TO)*('Dvd Calendar'!$M$1634&gt;VAL_DATE)=0,"",'Dvd Calendar'!$M$1634*1000000000+ISNUMBER('Dvd Calendar'!$M$1635)*100000000+0*10000000+(N('Dvd Calendar'!$M$1633)&gt;0)*(N('Dvd Calendar'!$M$1633)&lt;=VAL_SERIAL)*1000000+7*1000+49))</f>
        <v/>
      </c>
      <c r="GB166" s="39">
        <f>IF(N('Dvd Calendar'!$N$1634)=0,"",IF(('Dvd Calendar'!$N$1634&gt;=GRID_FROM)*('Dvd Calendar'!$N$1634&lt;=GRID_TO)*('Dvd Calendar'!$N$1634&gt;VAL_DATE)=0,"",'Dvd Calendar'!$N$1634*1000000000+ISNUMBER('Dvd Calendar'!$N$1635)*100000000+0*10000000+(N('Dvd Calendar'!$N$1633)&gt;0)*(N('Dvd Calendar'!$N$1633)&lt;=VAL_SERIAL)*1000000+7*1000+50))</f>
        <v/>
      </c>
      <c r="GC166" s="39">
        <f>IF(N('Dvd Calendar'!$O$1634)=0,"",IF(('Dvd Calendar'!$O$1634&gt;=GRID_FROM)*('Dvd Calendar'!$O$1634&lt;=GRID_TO)*('Dvd Calendar'!$O$1634&gt;VAL_DATE)=0,"",'Dvd Calendar'!$O$1634*1000000000+ISNUMBER('Dvd Calendar'!$O$1635)*100000000+0*10000000+(N('Dvd Calendar'!$O$1633)&gt;0)*(N('Dvd Calendar'!$O$1633)&lt;=VAL_SERIAL)*1000000+7*1000+51))</f>
        <v/>
      </c>
      <c r="GD166" s="39">
        <f>IF(N('Dvd Calendar'!$P$1634)=0,"",IF(('Dvd Calendar'!$P$1634&gt;=GRID_FROM)*('Dvd Calendar'!$P$1634&lt;=GRID_TO)*('Dvd Calendar'!$P$1634&gt;VAL_DATE)=0,"",'Dvd Calendar'!$P$1634*1000000000+ISNUMBER('Dvd Calendar'!$P$1635)*100000000+0*10000000+(N('Dvd Calendar'!$P$1633)&gt;0)*(N('Dvd Calendar'!$P$1633)&lt;=VAL_SERIAL)*1000000+7*1000+52))</f>
        <v/>
      </c>
      <c r="GE166" s="39">
        <f>IF(N('Dvd Calendar'!$Q$1634)=0,"",IF(('Dvd Calendar'!$Q$1634&gt;=GRID_FROM)*('Dvd Calendar'!$Q$1634&lt;=GRID_TO)*('Dvd Calendar'!$Q$1634&gt;VAL_DATE)=0,"",'Dvd Calendar'!$Q$1634*1000000000+ISNUMBER('Dvd Calendar'!$Q$1635)*100000000+0*10000000+(N('Dvd Calendar'!$Q$1633)&gt;0)*(N('Dvd Calendar'!$Q$1633)&lt;=VAL_SERIAL)*1000000+7*1000+53))</f>
        <v/>
      </c>
      <c r="GF166" s="39">
        <f>IF(N('Dvd Calendar'!$R$1634)=0,"",IF(('Dvd Calendar'!$R$1634&gt;=GRID_FROM)*('Dvd Calendar'!$R$1634&lt;=GRID_TO)*('Dvd Calendar'!$R$1634&gt;VAL_DATE)=0,"",'Dvd Calendar'!$R$1634*1000000000+ISNUMBER('Dvd Calendar'!$R$1635)*100000000+0*10000000+(N('Dvd Calendar'!$R$1633)&gt;0)*(N('Dvd Calendar'!$R$1633)&lt;=VAL_SERIAL)*1000000+7*1000+54))</f>
        <v/>
      </c>
      <c r="GG166" s="39">
        <f>IF(N('Dvd Calendar'!$S$1634)=0,"",IF(('Dvd Calendar'!$S$1634&gt;=GRID_FROM)*('Dvd Calendar'!$S$1634&lt;=GRID_TO)*('Dvd Calendar'!$S$1634&gt;VAL_DATE)=0,"",'Dvd Calendar'!$S$1634*1000000000+ISNUMBER('Dvd Calendar'!$S$1635)*100000000+0*10000000+(N('Dvd Calendar'!$S$1633)&gt;0)*(N('Dvd Calendar'!$S$1633)&lt;=VAL_SERIAL)*1000000+7*1000+55))</f>
        <v/>
      </c>
      <c r="GH166" s="39">
        <f>IF(N('Dvd Calendar'!$T$1634)=0,"",IF(('Dvd Calendar'!$T$1634&gt;=GRID_FROM)*('Dvd Calendar'!$T$1634&lt;=GRID_TO)*('Dvd Calendar'!$T$1634&gt;VAL_DATE)=0,"",'Dvd Calendar'!$T$1634*1000000000+ISNUMBER('Dvd Calendar'!$T$1635)*100000000+0*10000000+(N('Dvd Calendar'!$T$1633)&gt;0)*(N('Dvd Calendar'!$T$1633)&lt;=VAL_SERIAL)*1000000+7*1000+56))</f>
        <v/>
      </c>
      <c r="GI166" s="39">
        <f>IF(N('Dvd Calendar'!$U$1634)=0,"",IF(('Dvd Calendar'!$U$1634&gt;=GRID_FROM)*('Dvd Calendar'!$U$1634&lt;=GRID_TO)*('Dvd Calendar'!$U$1634&gt;VAL_DATE)=0,"",'Dvd Calendar'!$U$1634*1000000000+ISNUMBER('Dvd Calendar'!$U$1635)*100000000+0*10000000+(N('Dvd Calendar'!$U$1633)&gt;0)*(N('Dvd Calendar'!$U$1633)&lt;=VAL_SERIAL)*1000000+7*1000+57))</f>
        <v/>
      </c>
      <c r="GJ166" s="39">
        <f>IF(N('Dvd Calendar'!$V$1634)=0,"",IF(('Dvd Calendar'!$V$1634&gt;=GRID_FROM)*('Dvd Calendar'!$V$1634&lt;=GRID_TO)*('Dvd Calendar'!$V$1634&gt;VAL_DATE)=0,"",'Dvd Calendar'!$V$1634*1000000000+ISNUMBER('Dvd Calendar'!$V$1635)*100000000+0*10000000+(N('Dvd Calendar'!$V$1633)&gt;0)*(N('Dvd Calendar'!$V$1633)&lt;=VAL_SERIAL)*1000000+7*1000+58))</f>
        <v/>
      </c>
      <c r="GK166" s="39">
        <f>IF(N('Dvd Calendar'!$W$1634)=0,"",IF(('Dvd Calendar'!$W$1634&gt;=GRID_FROM)*('Dvd Calendar'!$W$1634&lt;=GRID_TO)*('Dvd Calendar'!$W$1634&gt;VAL_DATE)=0,"",'Dvd Calendar'!$W$1634*1000000000+ISNUMBER('Dvd Calendar'!$W$1635)*100000000+0*10000000+(N('Dvd Calendar'!$W$1633)&gt;0)*(N('Dvd Calendar'!$W$1633)&lt;=VAL_SERIAL)*1000000+7*1000+59))</f>
        <v/>
      </c>
      <c r="GL166" s="39">
        <f>IF(N('Dvd Calendar'!$X$1634)=0,"",IF(('Dvd Calendar'!$X$1634&gt;=GRID_FROM)*('Dvd Calendar'!$X$1634&lt;=GRID_TO)*('Dvd Calendar'!$X$1634&gt;VAL_DATE)=0,"",'Dvd Calendar'!$X$1634*1000000000+ISNUMBER('Dvd Calendar'!$X$1635)*100000000+0*10000000+(N('Dvd Calendar'!$X$1633)&gt;0)*(N('Dvd Calendar'!$X$1633)&lt;=VAL_SERIAL)*1000000+7*1000+60))</f>
        <v/>
      </c>
      <c r="GM166" s="39">
        <f>IF(N('Dvd Calendar'!$Y$1634)=0,"",IF(('Dvd Calendar'!$Y$1634&gt;=GRID_FROM)*('Dvd Calendar'!$Y$1634&lt;=GRID_TO)*('Dvd Calendar'!$Y$1634&gt;VAL_DATE)=0,"",'Dvd Calendar'!$Y$1634*1000000000+ISNUMBER('Dvd Calendar'!$Y$1635)*100000000+0*10000000+(N('Dvd Calendar'!$Y$1633)&gt;0)*(N('Dvd Calendar'!$Y$1633)&lt;=VAL_SERIAL)*1000000+7*1000+61))</f>
        <v/>
      </c>
      <c r="GN166" s="39">
        <f>IF(N('Dvd Calendar'!$Z$1634)=0,"",IF(('Dvd Calendar'!$Z$1634&gt;=GRID_FROM)*('Dvd Calendar'!$Z$1634&lt;=GRID_TO)*('Dvd Calendar'!$Z$1634&gt;VAL_DATE)=0,"",'Dvd Calendar'!$Z$1634*1000000000+ISNUMBER('Dvd Calendar'!$Z$1635)*100000000+0*10000000+(N('Dvd Calendar'!$Z$1633)&gt;0)*(N('Dvd Calendar'!$Z$1633)&lt;=VAL_SERIAL)*1000000+7*1000+62))</f>
        <v/>
      </c>
      <c r="GO166" s="39">
        <f>IF(N('Dvd Calendar'!$AA$1634)=0,"",IF(('Dvd Calendar'!$AA$1634&gt;=GRID_FROM)*('Dvd Calendar'!$AA$1634&lt;=GRID_TO)*('Dvd Calendar'!$AA$1634&gt;VAL_DATE)=0,"",'Dvd Calendar'!$AA$1634*1000000000+ISNUMBER('Dvd Calendar'!$AA$1635)*100000000+0*10000000+(N('Dvd Calendar'!$AA$1633)&gt;0)*(N('Dvd Calendar'!$AA$1633)&lt;=VAL_SERIAL)*1000000+7*1000+63))</f>
        <v/>
      </c>
      <c r="GP166" s="39">
        <f>IF(N('Dvd Calendar'!$AB$1634)=0,"",IF(('Dvd Calendar'!$AB$1634&gt;=GRID_FROM)*('Dvd Calendar'!$AB$1634&lt;=GRID_TO)*('Dvd Calendar'!$AB$1634&gt;VAL_DATE)=0,"",'Dvd Calendar'!$AB$1634*1000000000+ISNUMBER('Dvd Calendar'!$AB$1635)*100000000+0*10000000+(N('Dvd Calendar'!$AB$1633)&gt;0)*(N('Dvd Calendar'!$AB$1633)&lt;=VAL_SERIAL)*1000000+7*1000+64))</f>
        <v/>
      </c>
      <c r="GQ166" s="39">
        <f>IF(N('Dvd Calendar'!$AC$1634)=0,"",IF(('Dvd Calendar'!$AC$1634&gt;=GRID_FROM)*('Dvd Calendar'!$AC$1634&lt;=GRID_TO)*('Dvd Calendar'!$AC$1634&gt;VAL_DATE)=0,"",'Dvd Calendar'!$AC$1634*1000000000+ISNUMBER('Dvd Calendar'!$AC$1635)*100000000+0*10000000+(N('Dvd Calendar'!$AC$1633)&gt;0)*(N('Dvd Calendar'!$AC$1633)&lt;=VAL_SERIAL)*1000000+7*1000+65))</f>
        <v/>
      </c>
    </row>
    <row r="167">
      <c r="B167" s="2">
        <f>IF(HSCEI!$C$14="","",HSCEI!$C$14)</f>
        <v/>
      </c>
      <c r="C167" s="110">
        <f>IF(EE167="","",IF(ISNUMBER('Dvd Calendar'!$E$1641)=FALSE,"",IF((('Dvd Calendar'!$E$1643=TYPE1)*(TYPE1&lt;&gt;"")+('Dvd Calendar'!$E$1643=TYPE2)*(TYPE2&lt;&gt;"")+('Dvd Calendar'!$E$1643=TYPE3)*(TYPE3&lt;&gt;"")+('Dvd Calendar'!$E$1643=TYPE4)*(TYPE4&lt;&gt;"")+('Dvd Calendar'!$E$1643=SPECIAL_LBL)*(INC_SPECIALS="Y"))=0,"",'Dvd Calendar'!$E$1641)))</f>
        <v/>
      </c>
      <c r="D167" s="110">
        <f>IF(EF167="","",IF(ISNUMBER('Dvd Calendar'!$F$1641)=FALSE,"",IF((('Dvd Calendar'!$F$1643=TYPE1)*(TYPE1&lt;&gt;"")+('Dvd Calendar'!$F$1643=TYPE2)*(TYPE2&lt;&gt;"")+('Dvd Calendar'!$F$1643=TYPE3)*(TYPE3&lt;&gt;"")+('Dvd Calendar'!$F$1643=TYPE4)*(TYPE4&lt;&gt;"")+('Dvd Calendar'!$F$1643=SPECIAL_LBL)*(INC_SPECIALS="Y"))=0,"",'Dvd Calendar'!$F$1641)))</f>
        <v/>
      </c>
      <c r="E167" s="110">
        <f>IF(EG167="","",IF(ISNUMBER('Dvd Calendar'!$G$1641)=FALSE,"",IF((('Dvd Calendar'!$G$1643=TYPE1)*(TYPE1&lt;&gt;"")+('Dvd Calendar'!$G$1643=TYPE2)*(TYPE2&lt;&gt;"")+('Dvd Calendar'!$G$1643=TYPE3)*(TYPE3&lt;&gt;"")+('Dvd Calendar'!$G$1643=TYPE4)*(TYPE4&lt;&gt;"")+('Dvd Calendar'!$G$1643=SPECIAL_LBL)*(INC_SPECIALS="Y"))=0,"",'Dvd Calendar'!$G$1641)))</f>
        <v/>
      </c>
      <c r="F167" s="110">
        <f>IF(EH167="","",IF(ISNUMBER('Dvd Calendar'!$H$1641)=FALSE,"",IF((('Dvd Calendar'!$H$1643=TYPE1)*(TYPE1&lt;&gt;"")+('Dvd Calendar'!$H$1643=TYPE2)*(TYPE2&lt;&gt;"")+('Dvd Calendar'!$H$1643=TYPE3)*(TYPE3&lt;&gt;"")+('Dvd Calendar'!$H$1643=TYPE4)*(TYPE4&lt;&gt;"")+('Dvd Calendar'!$H$1643=SPECIAL_LBL)*(INC_SPECIALS="Y"))=0,"",'Dvd Calendar'!$H$1641)))</f>
        <v/>
      </c>
      <c r="G167" s="110">
        <f>IF(EI167="","",IF(ISNUMBER('Dvd Calendar'!$I$1641)=FALSE,"",IF((('Dvd Calendar'!$I$1643=TYPE1)*(TYPE1&lt;&gt;"")+('Dvd Calendar'!$I$1643=TYPE2)*(TYPE2&lt;&gt;"")+('Dvd Calendar'!$I$1643=TYPE3)*(TYPE3&lt;&gt;"")+('Dvd Calendar'!$I$1643=TYPE4)*(TYPE4&lt;&gt;"")+('Dvd Calendar'!$I$1643=SPECIAL_LBL)*(INC_SPECIALS="Y"))=0,"",'Dvd Calendar'!$I$1641)))</f>
        <v/>
      </c>
      <c r="H167" s="110">
        <f>IF(EJ167="","",IF(ISNUMBER('Dvd Calendar'!$J$1641)=FALSE,"",IF((('Dvd Calendar'!$J$1643=TYPE1)*(TYPE1&lt;&gt;"")+('Dvd Calendar'!$J$1643=TYPE2)*(TYPE2&lt;&gt;"")+('Dvd Calendar'!$J$1643=TYPE3)*(TYPE3&lt;&gt;"")+('Dvd Calendar'!$J$1643=TYPE4)*(TYPE4&lt;&gt;"")+('Dvd Calendar'!$J$1643=SPECIAL_LBL)*(INC_SPECIALS="Y"))=0,"",'Dvd Calendar'!$J$1641)))</f>
        <v/>
      </c>
      <c r="I167" s="110">
        <f>IF(EK167="","",IF(ISNUMBER('Dvd Calendar'!$K$1641)=FALSE,"",IF((('Dvd Calendar'!$K$1643=TYPE1)*(TYPE1&lt;&gt;"")+('Dvd Calendar'!$K$1643=TYPE2)*(TYPE2&lt;&gt;"")+('Dvd Calendar'!$K$1643=TYPE3)*(TYPE3&lt;&gt;"")+('Dvd Calendar'!$K$1643=TYPE4)*(TYPE4&lt;&gt;"")+('Dvd Calendar'!$K$1643=SPECIAL_LBL)*(INC_SPECIALS="Y"))=0,"",'Dvd Calendar'!$K$1641)))</f>
        <v/>
      </c>
      <c r="J167" s="110">
        <f>IF(EL167="","",IF(ISNUMBER('Dvd Calendar'!$L$1641)=FALSE,"",IF((('Dvd Calendar'!$L$1643=TYPE1)*(TYPE1&lt;&gt;"")+('Dvd Calendar'!$L$1643=TYPE2)*(TYPE2&lt;&gt;"")+('Dvd Calendar'!$L$1643=TYPE3)*(TYPE3&lt;&gt;"")+('Dvd Calendar'!$L$1643=TYPE4)*(TYPE4&lt;&gt;"")+('Dvd Calendar'!$L$1643=SPECIAL_LBL)*(INC_SPECIALS="Y"))=0,"",'Dvd Calendar'!$L$1641)))</f>
        <v/>
      </c>
      <c r="K167" s="110">
        <f>IF(EM167="","",IF(ISNUMBER('Dvd Calendar'!$M$1641)=FALSE,"",IF((('Dvd Calendar'!$M$1643=TYPE1)*(TYPE1&lt;&gt;"")+('Dvd Calendar'!$M$1643=TYPE2)*(TYPE2&lt;&gt;"")+('Dvd Calendar'!$M$1643=TYPE3)*(TYPE3&lt;&gt;"")+('Dvd Calendar'!$M$1643=TYPE4)*(TYPE4&lt;&gt;"")+('Dvd Calendar'!$M$1643=SPECIAL_LBL)*(INC_SPECIALS="Y"))=0,"",'Dvd Calendar'!$M$1641)))</f>
        <v/>
      </c>
      <c r="L167" s="110">
        <f>IF(EN167="","",IF(ISNUMBER('Dvd Calendar'!$N$1641)=FALSE,"",IF((('Dvd Calendar'!$N$1643=TYPE1)*(TYPE1&lt;&gt;"")+('Dvd Calendar'!$N$1643=TYPE2)*(TYPE2&lt;&gt;"")+('Dvd Calendar'!$N$1643=TYPE3)*(TYPE3&lt;&gt;"")+('Dvd Calendar'!$N$1643=TYPE4)*(TYPE4&lt;&gt;"")+('Dvd Calendar'!$N$1643=SPECIAL_LBL)*(INC_SPECIALS="Y"))=0,"",'Dvd Calendar'!$N$1641)))</f>
        <v/>
      </c>
      <c r="M167" s="110">
        <f>IF(EO167="","",IF(ISNUMBER('Dvd Calendar'!$O$1641)=FALSE,"",IF((('Dvd Calendar'!$O$1643=TYPE1)*(TYPE1&lt;&gt;"")+('Dvd Calendar'!$O$1643=TYPE2)*(TYPE2&lt;&gt;"")+('Dvd Calendar'!$O$1643=TYPE3)*(TYPE3&lt;&gt;"")+('Dvd Calendar'!$O$1643=TYPE4)*(TYPE4&lt;&gt;"")+('Dvd Calendar'!$O$1643=SPECIAL_LBL)*(INC_SPECIALS="Y"))=0,"",'Dvd Calendar'!$O$1641)))</f>
        <v/>
      </c>
      <c r="N167" s="110">
        <f>IF(EP167="","",IF(ISNUMBER('Dvd Calendar'!$P$1641)=FALSE,"",IF((('Dvd Calendar'!$P$1643=TYPE1)*(TYPE1&lt;&gt;"")+('Dvd Calendar'!$P$1643=TYPE2)*(TYPE2&lt;&gt;"")+('Dvd Calendar'!$P$1643=TYPE3)*(TYPE3&lt;&gt;"")+('Dvd Calendar'!$P$1643=TYPE4)*(TYPE4&lt;&gt;"")+('Dvd Calendar'!$P$1643=SPECIAL_LBL)*(INC_SPECIALS="Y"))=0,"",'Dvd Calendar'!$P$1641)))</f>
        <v/>
      </c>
      <c r="O167" s="110">
        <f>IF(EQ167="","",IF(ISNUMBER('Dvd Calendar'!$Q$1641)=FALSE,"",IF((('Dvd Calendar'!$Q$1643=TYPE1)*(TYPE1&lt;&gt;"")+('Dvd Calendar'!$Q$1643=TYPE2)*(TYPE2&lt;&gt;"")+('Dvd Calendar'!$Q$1643=TYPE3)*(TYPE3&lt;&gt;"")+('Dvd Calendar'!$Q$1643=TYPE4)*(TYPE4&lt;&gt;"")+('Dvd Calendar'!$Q$1643=SPECIAL_LBL)*(INC_SPECIALS="Y"))=0,"",'Dvd Calendar'!$Q$1641)))</f>
        <v/>
      </c>
      <c r="P167" s="110">
        <f>IF(ER167="","",IF(ISNUMBER('Dvd Calendar'!$R$1641)=FALSE,"",IF((('Dvd Calendar'!$R$1643=TYPE1)*(TYPE1&lt;&gt;"")+('Dvd Calendar'!$R$1643=TYPE2)*(TYPE2&lt;&gt;"")+('Dvd Calendar'!$R$1643=TYPE3)*(TYPE3&lt;&gt;"")+('Dvd Calendar'!$R$1643=TYPE4)*(TYPE4&lt;&gt;"")+('Dvd Calendar'!$R$1643=SPECIAL_LBL)*(INC_SPECIALS="Y"))=0,"",'Dvd Calendar'!$R$1641)))</f>
        <v/>
      </c>
      <c r="Q167" s="110">
        <f>IF(ES167="","",IF(ISNUMBER('Dvd Calendar'!$S$1641)=FALSE,"",IF((('Dvd Calendar'!$S$1643=TYPE1)*(TYPE1&lt;&gt;"")+('Dvd Calendar'!$S$1643=TYPE2)*(TYPE2&lt;&gt;"")+('Dvd Calendar'!$S$1643=TYPE3)*(TYPE3&lt;&gt;"")+('Dvd Calendar'!$S$1643=TYPE4)*(TYPE4&lt;&gt;"")+('Dvd Calendar'!$S$1643=SPECIAL_LBL)*(INC_SPECIALS="Y"))=0,"",'Dvd Calendar'!$S$1641)))</f>
        <v/>
      </c>
      <c r="R167" s="110">
        <f>IF(ET167="","",IF(ISNUMBER('Dvd Calendar'!$T$1641)=FALSE,"",IF((('Dvd Calendar'!$T$1643=TYPE1)*(TYPE1&lt;&gt;"")+('Dvd Calendar'!$T$1643=TYPE2)*(TYPE2&lt;&gt;"")+('Dvd Calendar'!$T$1643=TYPE3)*(TYPE3&lt;&gt;"")+('Dvd Calendar'!$T$1643=TYPE4)*(TYPE4&lt;&gt;"")+('Dvd Calendar'!$T$1643=SPECIAL_LBL)*(INC_SPECIALS="Y"))=0,"",'Dvd Calendar'!$T$1641)))</f>
        <v/>
      </c>
      <c r="S167" s="110">
        <f>IF(EU167="","",IF(ISNUMBER('Dvd Calendar'!$U$1641)=FALSE,"",IF((('Dvd Calendar'!$U$1643=TYPE1)*(TYPE1&lt;&gt;"")+('Dvd Calendar'!$U$1643=TYPE2)*(TYPE2&lt;&gt;"")+('Dvd Calendar'!$U$1643=TYPE3)*(TYPE3&lt;&gt;"")+('Dvd Calendar'!$U$1643=TYPE4)*(TYPE4&lt;&gt;"")+('Dvd Calendar'!$U$1643=SPECIAL_LBL)*(INC_SPECIALS="Y"))=0,"",'Dvd Calendar'!$U$1641)))</f>
        <v/>
      </c>
      <c r="T167" s="110">
        <f>IF(EV167="","",IF(ISNUMBER('Dvd Calendar'!$V$1641)=FALSE,"",IF((('Dvd Calendar'!$V$1643=TYPE1)*(TYPE1&lt;&gt;"")+('Dvd Calendar'!$V$1643=TYPE2)*(TYPE2&lt;&gt;"")+('Dvd Calendar'!$V$1643=TYPE3)*(TYPE3&lt;&gt;"")+('Dvd Calendar'!$V$1643=TYPE4)*(TYPE4&lt;&gt;"")+('Dvd Calendar'!$V$1643=SPECIAL_LBL)*(INC_SPECIALS="Y"))=0,"",'Dvd Calendar'!$V$1641)))</f>
        <v/>
      </c>
      <c r="U167" s="110">
        <f>IF(EW167="","",IF(ISNUMBER('Dvd Calendar'!$W$1641)=FALSE,"",IF((('Dvd Calendar'!$W$1643=TYPE1)*(TYPE1&lt;&gt;"")+('Dvd Calendar'!$W$1643=TYPE2)*(TYPE2&lt;&gt;"")+('Dvd Calendar'!$W$1643=TYPE3)*(TYPE3&lt;&gt;"")+('Dvd Calendar'!$W$1643=TYPE4)*(TYPE4&lt;&gt;"")+('Dvd Calendar'!$W$1643=SPECIAL_LBL)*(INC_SPECIALS="Y"))=0,"",'Dvd Calendar'!$W$1641)))</f>
        <v/>
      </c>
      <c r="V167" s="110">
        <f>IF(EX167="","",IF(ISNUMBER('Dvd Calendar'!$X$1641)=FALSE,"",IF((('Dvd Calendar'!$X$1643=TYPE1)*(TYPE1&lt;&gt;"")+('Dvd Calendar'!$X$1643=TYPE2)*(TYPE2&lt;&gt;"")+('Dvd Calendar'!$X$1643=TYPE3)*(TYPE3&lt;&gt;"")+('Dvd Calendar'!$X$1643=TYPE4)*(TYPE4&lt;&gt;"")+('Dvd Calendar'!$X$1643=SPECIAL_LBL)*(INC_SPECIALS="Y"))=0,"",'Dvd Calendar'!$X$1641)))</f>
        <v/>
      </c>
      <c r="W167" s="110">
        <f>IF(EY167="","",IF(ISNUMBER('Dvd Calendar'!$Y$1641)=FALSE,"",IF((('Dvd Calendar'!$Y$1643=TYPE1)*(TYPE1&lt;&gt;"")+('Dvd Calendar'!$Y$1643=TYPE2)*(TYPE2&lt;&gt;"")+('Dvd Calendar'!$Y$1643=TYPE3)*(TYPE3&lt;&gt;"")+('Dvd Calendar'!$Y$1643=TYPE4)*(TYPE4&lt;&gt;"")+('Dvd Calendar'!$Y$1643=SPECIAL_LBL)*(INC_SPECIALS="Y"))=0,"",'Dvd Calendar'!$Y$1641)))</f>
        <v/>
      </c>
      <c r="X167" s="110">
        <f>IF(EZ167="","",IF(ISNUMBER('Dvd Calendar'!$Z$1641)=FALSE,"",IF((('Dvd Calendar'!$Z$1643=TYPE1)*(TYPE1&lt;&gt;"")+('Dvd Calendar'!$Z$1643=TYPE2)*(TYPE2&lt;&gt;"")+('Dvd Calendar'!$Z$1643=TYPE3)*(TYPE3&lt;&gt;"")+('Dvd Calendar'!$Z$1643=TYPE4)*(TYPE4&lt;&gt;"")+('Dvd Calendar'!$Z$1643=SPECIAL_LBL)*(INC_SPECIALS="Y"))=0,"",'Dvd Calendar'!$Z$1641)))</f>
        <v/>
      </c>
      <c r="Y167" s="110">
        <f>IF(FA167="","",IF(ISNUMBER('Dvd Calendar'!$AA$1641)=FALSE,"",IF((('Dvd Calendar'!$AA$1643=TYPE1)*(TYPE1&lt;&gt;"")+('Dvd Calendar'!$AA$1643=TYPE2)*(TYPE2&lt;&gt;"")+('Dvd Calendar'!$AA$1643=TYPE3)*(TYPE3&lt;&gt;"")+('Dvd Calendar'!$AA$1643=TYPE4)*(TYPE4&lt;&gt;"")+('Dvd Calendar'!$AA$1643=SPECIAL_LBL)*(INC_SPECIALS="Y"))=0,"",'Dvd Calendar'!$AA$1641)))</f>
        <v/>
      </c>
      <c r="Z167" s="110">
        <f>IF(FB167="","",IF(ISNUMBER('Dvd Calendar'!$AB$1641)=FALSE,"",IF((('Dvd Calendar'!$AB$1643=TYPE1)*(TYPE1&lt;&gt;"")+('Dvd Calendar'!$AB$1643=TYPE2)*(TYPE2&lt;&gt;"")+('Dvd Calendar'!$AB$1643=TYPE3)*(TYPE3&lt;&gt;"")+('Dvd Calendar'!$AB$1643=TYPE4)*(TYPE4&lt;&gt;"")+('Dvd Calendar'!$AB$1643=SPECIAL_LBL)*(INC_SPECIALS="Y"))=0,"",'Dvd Calendar'!$AB$1641)))</f>
        <v/>
      </c>
      <c r="AA167" s="110">
        <f>IF(FC167="","",IF(ISNUMBER('Dvd Calendar'!$AC$1641)=FALSE,"",IF((('Dvd Calendar'!$AC$1643=TYPE1)*(TYPE1&lt;&gt;"")+('Dvd Calendar'!$AC$1643=TYPE2)*(TYPE2&lt;&gt;"")+('Dvd Calendar'!$AC$1643=TYPE3)*(TYPE3&lt;&gt;"")+('Dvd Calendar'!$AC$1643=TYPE4)*(TYPE4&lt;&gt;"")+('Dvd Calendar'!$AC$1643=SPECIAL_LBL)*(INC_SPECIALS="Y"))=0,"",'Dvd Calendar'!$AC$1641)))</f>
        <v/>
      </c>
      <c r="AB167" s="110">
        <f>IF(FD167="","",IF(ISNUMBER('Dvd Calendar'!$AD$1641)=FALSE,"",IF((('Dvd Calendar'!$AD$1643=TYPE1)*(TYPE1&lt;&gt;"")+('Dvd Calendar'!$AD$1643=TYPE2)*(TYPE2&lt;&gt;"")+('Dvd Calendar'!$AD$1643=TYPE3)*(TYPE3&lt;&gt;"")+('Dvd Calendar'!$AD$1643=TYPE4)*(TYPE4&lt;&gt;"")+('Dvd Calendar'!$AD$1643=SPECIAL_LBL)*(INC_SPECIALS="Y"))=0,"",'Dvd Calendar'!$AD$1641)))</f>
        <v/>
      </c>
      <c r="AC167" s="110">
        <f>IF(FE167="","",IF(ISNUMBER('Dvd Calendar'!$AE$1641)=FALSE,"",IF((('Dvd Calendar'!$AE$1643=TYPE1)*(TYPE1&lt;&gt;"")+('Dvd Calendar'!$AE$1643=TYPE2)*(TYPE2&lt;&gt;"")+('Dvd Calendar'!$AE$1643=TYPE3)*(TYPE3&lt;&gt;"")+('Dvd Calendar'!$AE$1643=TYPE4)*(TYPE4&lt;&gt;"")+('Dvd Calendar'!$AE$1643=SPECIAL_LBL)*(INC_SPECIALS="Y"))=0,"",'Dvd Calendar'!$AE$1641)))</f>
        <v/>
      </c>
      <c r="AD167" s="110">
        <f>IF(FF167="","",IF(ISNUMBER('Dvd Calendar'!$AF$1641)=FALSE,"",IF((('Dvd Calendar'!$AF$1643=TYPE1)*(TYPE1&lt;&gt;"")+('Dvd Calendar'!$AF$1643=TYPE2)*(TYPE2&lt;&gt;"")+('Dvd Calendar'!$AF$1643=TYPE3)*(TYPE3&lt;&gt;"")+('Dvd Calendar'!$AF$1643=TYPE4)*(TYPE4&lt;&gt;"")+('Dvd Calendar'!$AF$1643=SPECIAL_LBL)*(INC_SPECIALS="Y"))=0,"",'Dvd Calendar'!$AF$1641)))</f>
        <v/>
      </c>
      <c r="AE167" s="110">
        <f>IF(FG167="","",IF(ISNUMBER('Dvd Calendar'!$AG$1641)=FALSE,"",IF((('Dvd Calendar'!$AG$1643=TYPE1)*(TYPE1&lt;&gt;"")+('Dvd Calendar'!$AG$1643=TYPE2)*(TYPE2&lt;&gt;"")+('Dvd Calendar'!$AG$1643=TYPE3)*(TYPE3&lt;&gt;"")+('Dvd Calendar'!$AG$1643=TYPE4)*(TYPE4&lt;&gt;"")+('Dvd Calendar'!$AG$1643=SPECIAL_LBL)*(INC_SPECIALS="Y"))=0,"",'Dvd Calendar'!$AG$1641)))</f>
        <v/>
      </c>
      <c r="AF167" s="110">
        <f>IF(FH167="","",IF(ISNUMBER('Dvd Calendar'!$AH$1641)=FALSE,"",IF((('Dvd Calendar'!$AH$1643=TYPE1)*(TYPE1&lt;&gt;"")+('Dvd Calendar'!$AH$1643=TYPE2)*(TYPE2&lt;&gt;"")+('Dvd Calendar'!$AH$1643=TYPE3)*(TYPE3&lt;&gt;"")+('Dvd Calendar'!$AH$1643=TYPE4)*(TYPE4&lt;&gt;"")+('Dvd Calendar'!$AH$1643=SPECIAL_LBL)*(INC_SPECIALS="Y"))=0,"",'Dvd Calendar'!$AH$1641)))</f>
        <v/>
      </c>
      <c r="AG167" s="110">
        <f>IF(FI167="","",IF(ISNUMBER('Dvd Calendar'!$AI$1641)=FALSE,"",IF((('Dvd Calendar'!$AI$1643=TYPE1)*(TYPE1&lt;&gt;"")+('Dvd Calendar'!$AI$1643=TYPE2)*(TYPE2&lt;&gt;"")+('Dvd Calendar'!$AI$1643=TYPE3)*(TYPE3&lt;&gt;"")+('Dvd Calendar'!$AI$1643=TYPE4)*(TYPE4&lt;&gt;"")+('Dvd Calendar'!$AI$1643=SPECIAL_LBL)*(INC_SPECIALS="Y"))=0,"",'Dvd Calendar'!$AI$1641)))</f>
        <v/>
      </c>
      <c r="AH167" s="110">
        <f>IF(FJ167="","",IF(ISNUMBER('Dvd Calendar'!$AJ$1641)=FALSE,"",IF((('Dvd Calendar'!$AJ$1643=TYPE1)*(TYPE1&lt;&gt;"")+('Dvd Calendar'!$AJ$1643=TYPE2)*(TYPE2&lt;&gt;"")+('Dvd Calendar'!$AJ$1643=TYPE3)*(TYPE3&lt;&gt;"")+('Dvd Calendar'!$AJ$1643=TYPE4)*(TYPE4&lt;&gt;"")+('Dvd Calendar'!$AJ$1643=SPECIAL_LBL)*(INC_SPECIALS="Y"))=0,"",'Dvd Calendar'!$AJ$1641)))</f>
        <v/>
      </c>
      <c r="AI167" s="110">
        <f>IF(FK167="","",IF(ISNUMBER('Dvd Calendar'!$AK$1641)=FALSE,"",IF((('Dvd Calendar'!$AK$1643=TYPE1)*(TYPE1&lt;&gt;"")+('Dvd Calendar'!$AK$1643=TYPE2)*(TYPE2&lt;&gt;"")+('Dvd Calendar'!$AK$1643=TYPE3)*(TYPE3&lt;&gt;"")+('Dvd Calendar'!$AK$1643=TYPE4)*(TYPE4&lt;&gt;"")+('Dvd Calendar'!$AK$1643=SPECIAL_LBL)*(INC_SPECIALS="Y"))=0,"",'Dvd Calendar'!$AK$1641)))</f>
        <v/>
      </c>
      <c r="AJ167" s="110">
        <f>IF(FL167="","",IF(ISNUMBER('Dvd Calendar'!$AL$1641)=FALSE,"",IF((('Dvd Calendar'!$AL$1643=TYPE1)*(TYPE1&lt;&gt;"")+('Dvd Calendar'!$AL$1643=TYPE2)*(TYPE2&lt;&gt;"")+('Dvd Calendar'!$AL$1643=TYPE3)*(TYPE3&lt;&gt;"")+('Dvd Calendar'!$AL$1643=TYPE4)*(TYPE4&lt;&gt;"")+('Dvd Calendar'!$AL$1643=SPECIAL_LBL)*(INC_SPECIALS="Y"))=0,"",'Dvd Calendar'!$AL$1641)))</f>
        <v/>
      </c>
      <c r="AK167" s="110">
        <f>IF(FM167="","",IF(ISNUMBER('Dvd Calendar'!$AM$1641)=FALSE,"",IF((('Dvd Calendar'!$AM$1643=TYPE1)*(TYPE1&lt;&gt;"")+('Dvd Calendar'!$AM$1643=TYPE2)*(TYPE2&lt;&gt;"")+('Dvd Calendar'!$AM$1643=TYPE3)*(TYPE3&lt;&gt;"")+('Dvd Calendar'!$AM$1643=TYPE4)*(TYPE4&lt;&gt;"")+('Dvd Calendar'!$AM$1643=SPECIAL_LBL)*(INC_SPECIALS="Y"))=0,"",'Dvd Calendar'!$AM$1641)))</f>
        <v/>
      </c>
      <c r="AL167" s="110">
        <f>IF(FN167="","",IF(ISNUMBER('Dvd Calendar'!$AN$1641)=FALSE,"",IF((('Dvd Calendar'!$AN$1643=TYPE1)*(TYPE1&lt;&gt;"")+('Dvd Calendar'!$AN$1643=TYPE2)*(TYPE2&lt;&gt;"")+('Dvd Calendar'!$AN$1643=TYPE3)*(TYPE3&lt;&gt;"")+('Dvd Calendar'!$AN$1643=TYPE4)*(TYPE4&lt;&gt;"")+('Dvd Calendar'!$AN$1643=SPECIAL_LBL)*(INC_SPECIALS="Y"))=0,"",'Dvd Calendar'!$AN$1641)))</f>
        <v/>
      </c>
      <c r="AM167" s="110">
        <f>IF(FO167="","",IF(ISNUMBER('Dvd Calendar'!$AO$1641)=FALSE,"",IF((('Dvd Calendar'!$AO$1643=TYPE1)*(TYPE1&lt;&gt;"")+('Dvd Calendar'!$AO$1643=TYPE2)*(TYPE2&lt;&gt;"")+('Dvd Calendar'!$AO$1643=TYPE3)*(TYPE3&lt;&gt;"")+('Dvd Calendar'!$AO$1643=TYPE4)*(TYPE4&lt;&gt;"")+('Dvd Calendar'!$AO$1643=SPECIAL_LBL)*(INC_SPECIALS="Y"))=0,"",'Dvd Calendar'!$AO$1641)))</f>
        <v/>
      </c>
      <c r="AN167" s="110">
        <f>IF(FP167="","",IF(ISNUMBER('Dvd Calendar'!$AP$1641)=FALSE,"",IF((('Dvd Calendar'!$AP$1643=TYPE1)*(TYPE1&lt;&gt;"")+('Dvd Calendar'!$AP$1643=TYPE2)*(TYPE2&lt;&gt;"")+('Dvd Calendar'!$AP$1643=TYPE3)*(TYPE3&lt;&gt;"")+('Dvd Calendar'!$AP$1643=TYPE4)*(TYPE4&lt;&gt;"")+('Dvd Calendar'!$AP$1643=SPECIAL_LBL)*(INC_SPECIALS="Y"))=0,"",'Dvd Calendar'!$AP$1641)))</f>
        <v/>
      </c>
      <c r="AO167" s="110">
        <f>IF(FQ167="","",IF(ISNUMBER('Dvd Calendar'!$AQ$1641)=FALSE,"",IF((('Dvd Calendar'!$AQ$1643=TYPE1)*(TYPE1&lt;&gt;"")+('Dvd Calendar'!$AQ$1643=TYPE2)*(TYPE2&lt;&gt;"")+('Dvd Calendar'!$AQ$1643=TYPE3)*(TYPE3&lt;&gt;"")+('Dvd Calendar'!$AQ$1643=TYPE4)*(TYPE4&lt;&gt;"")+('Dvd Calendar'!$AQ$1643=SPECIAL_LBL)*(INC_SPECIALS="Y"))=0,"",'Dvd Calendar'!$AQ$1641)))</f>
        <v/>
      </c>
      <c r="AP167" s="110">
        <f>IF(FR167="","",IF(ISNUMBER('Dvd Calendar'!$AR$1641)=FALSE,"",IF((('Dvd Calendar'!$AR$1643=TYPE1)*(TYPE1&lt;&gt;"")+('Dvd Calendar'!$AR$1643=TYPE2)*(TYPE2&lt;&gt;"")+('Dvd Calendar'!$AR$1643=TYPE3)*(TYPE3&lt;&gt;"")+('Dvd Calendar'!$AR$1643=TYPE4)*(TYPE4&lt;&gt;"")+('Dvd Calendar'!$AR$1643=SPECIAL_LBL)*(INC_SPECIALS="Y"))=0,"",'Dvd Calendar'!$AR$1641)))</f>
        <v/>
      </c>
      <c r="AQ167" s="110">
        <f>IF(FS167="","",IF(ISNUMBER('Dvd Calendar'!$E$1646)=FALSE,"",'Dvd Calendar'!$E$1646))</f>
        <v/>
      </c>
      <c r="AR167" s="110">
        <f>IF(FT167="","",IF(ISNUMBER('Dvd Calendar'!$F$1646)=FALSE,"",'Dvd Calendar'!$F$1646))</f>
        <v/>
      </c>
      <c r="AS167" s="110">
        <f>IF(FU167="","",IF(ISNUMBER('Dvd Calendar'!$G$1646)=FALSE,"",'Dvd Calendar'!$G$1646))</f>
        <v/>
      </c>
      <c r="AT167" s="110">
        <f>IF(FV167="","",IF(ISNUMBER('Dvd Calendar'!$H$1646)=FALSE,"",'Dvd Calendar'!$H$1646))</f>
        <v/>
      </c>
      <c r="AU167" s="110">
        <f>IF(FW167="","",IF(ISNUMBER('Dvd Calendar'!$I$1646)=FALSE,"",'Dvd Calendar'!$I$1646))</f>
        <v/>
      </c>
      <c r="AV167" s="110">
        <f>IF(FX167="","",IF(ISNUMBER('Dvd Calendar'!$J$1646)=FALSE,"",'Dvd Calendar'!$J$1646))</f>
        <v/>
      </c>
      <c r="AW167" s="110">
        <f>IF(FY167="","",IF(ISNUMBER('Dvd Calendar'!$K$1646)=FALSE,"",'Dvd Calendar'!$K$1646))</f>
        <v/>
      </c>
      <c r="AX167" s="110">
        <f>IF(FZ167="","",IF(ISNUMBER('Dvd Calendar'!$L$1646)=FALSE,"",'Dvd Calendar'!$L$1646))</f>
        <v/>
      </c>
      <c r="AY167" s="110">
        <f>IF(GA167="","",IF(ISNUMBER('Dvd Calendar'!$M$1646)=FALSE,"",'Dvd Calendar'!$M$1646))</f>
        <v/>
      </c>
      <c r="AZ167" s="110">
        <f>IF(GB167="","",IF(ISNUMBER('Dvd Calendar'!$N$1646)=FALSE,"",'Dvd Calendar'!$N$1646))</f>
        <v/>
      </c>
      <c r="BA167" s="110">
        <f>IF(GC167="","",IF(ISNUMBER('Dvd Calendar'!$O$1646)=FALSE,"",'Dvd Calendar'!$O$1646))</f>
        <v/>
      </c>
      <c r="BB167" s="110">
        <f>IF(GD167="","",IF(ISNUMBER('Dvd Calendar'!$P$1646)=FALSE,"",'Dvd Calendar'!$P$1646))</f>
        <v/>
      </c>
      <c r="BC167" s="110">
        <f>IF(GE167="","",IF(ISNUMBER('Dvd Calendar'!$Q$1646)=FALSE,"",'Dvd Calendar'!$Q$1646))</f>
        <v/>
      </c>
      <c r="BD167" s="110">
        <f>IF(GF167="","",IF(ISNUMBER('Dvd Calendar'!$R$1646)=FALSE,"",'Dvd Calendar'!$R$1646))</f>
        <v/>
      </c>
      <c r="BE167" s="110">
        <f>IF(GG167="","",IF(ISNUMBER('Dvd Calendar'!$S$1646)=FALSE,"",'Dvd Calendar'!$S$1646))</f>
        <v/>
      </c>
      <c r="BF167" s="110">
        <f>IF(GH167="","",IF(ISNUMBER('Dvd Calendar'!$T$1646)=FALSE,"",'Dvd Calendar'!$T$1646))</f>
        <v/>
      </c>
      <c r="BG167" s="110">
        <f>IF(GI167="","",IF(ISNUMBER('Dvd Calendar'!$U$1646)=FALSE,"",'Dvd Calendar'!$U$1646))</f>
        <v/>
      </c>
      <c r="BH167" s="110">
        <f>IF(GJ167="","",IF(ISNUMBER('Dvd Calendar'!$V$1646)=FALSE,"",'Dvd Calendar'!$V$1646))</f>
        <v/>
      </c>
      <c r="BI167" s="110">
        <f>IF(GK167="","",IF(ISNUMBER('Dvd Calendar'!$W$1646)=FALSE,"",'Dvd Calendar'!$W$1646))</f>
        <v/>
      </c>
      <c r="BJ167" s="110">
        <f>IF(GL167="","",IF(ISNUMBER('Dvd Calendar'!$X$1646)=FALSE,"",'Dvd Calendar'!$X$1646))</f>
        <v/>
      </c>
      <c r="BK167" s="110">
        <f>IF(GM167="","",IF(ISNUMBER('Dvd Calendar'!$Y$1646)=FALSE,"",'Dvd Calendar'!$Y$1646))</f>
        <v/>
      </c>
      <c r="BL167" s="110">
        <f>IF(GN167="","",IF(ISNUMBER('Dvd Calendar'!$Z$1646)=FALSE,"",'Dvd Calendar'!$Z$1646))</f>
        <v/>
      </c>
      <c r="BM167" s="110">
        <f>IF(GO167="","",IF(ISNUMBER('Dvd Calendar'!$AA$1646)=FALSE,"",'Dvd Calendar'!$AA$1646))</f>
        <v/>
      </c>
      <c r="BN167" s="110">
        <f>IF(GP167="","",IF(ISNUMBER('Dvd Calendar'!$AB$1646)=FALSE,"",'Dvd Calendar'!$AB$1646))</f>
        <v/>
      </c>
      <c r="BO167" s="110">
        <f>IF(GQ167="","",IF(ISNUMBER('Dvd Calendar'!$AC$1646)=FALSE,"",'Dvd Calendar'!$AC$1646))</f>
        <v/>
      </c>
      <c r="BQ167" s="110">
        <f>IF(C167="","",IFERROR(C167*HSCEI!$B$14*HSCEI!$G$14/HSCEI!$B$3,""))</f>
        <v/>
      </c>
      <c r="BR167" s="110">
        <f>IF(D167="","",IFERROR(D167*HSCEI!$B$14*HSCEI!$G$14/HSCEI!$B$3,""))</f>
        <v/>
      </c>
      <c r="BS167" s="110">
        <f>IF(E167="","",IFERROR(E167*HSCEI!$B$14*HSCEI!$G$14/HSCEI!$B$3,""))</f>
        <v/>
      </c>
      <c r="BT167" s="110">
        <f>IF(F167="","",IFERROR(F167*HSCEI!$B$14*HSCEI!$G$14/HSCEI!$B$3,""))</f>
        <v/>
      </c>
      <c r="BU167" s="110">
        <f>IF(G167="","",IFERROR(G167*HSCEI!$B$14*HSCEI!$G$14/HSCEI!$B$3,""))</f>
        <v/>
      </c>
      <c r="BV167" s="110">
        <f>IF(H167="","",IFERROR(H167*HSCEI!$B$14*HSCEI!$G$14/HSCEI!$B$3,""))</f>
        <v/>
      </c>
      <c r="BW167" s="110">
        <f>IF(I167="","",IFERROR(I167*HSCEI!$B$14*HSCEI!$G$14/HSCEI!$B$3,""))</f>
        <v/>
      </c>
      <c r="BX167" s="110">
        <f>IF(J167="","",IFERROR(J167*HSCEI!$B$14*HSCEI!$G$14/HSCEI!$B$3,""))</f>
        <v/>
      </c>
      <c r="BY167" s="110">
        <f>IF(K167="","",IFERROR(K167*HSCEI!$B$14*HSCEI!$G$14/HSCEI!$B$3,""))</f>
        <v/>
      </c>
      <c r="BZ167" s="110">
        <f>IF(L167="","",IFERROR(L167*HSCEI!$B$14*HSCEI!$G$14/HSCEI!$B$3,""))</f>
        <v/>
      </c>
      <c r="CA167" s="110">
        <f>IF(M167="","",IFERROR(M167*HSCEI!$B$14*HSCEI!$G$14/HSCEI!$B$3,""))</f>
        <v/>
      </c>
      <c r="CB167" s="110">
        <f>IF(N167="","",IFERROR(N167*HSCEI!$B$14*HSCEI!$G$14/HSCEI!$B$3,""))</f>
        <v/>
      </c>
      <c r="CC167" s="110">
        <f>IF(O167="","",IFERROR(O167*HSCEI!$B$14*HSCEI!$G$14/HSCEI!$B$3,""))</f>
        <v/>
      </c>
      <c r="CD167" s="110">
        <f>IF(P167="","",IFERROR(P167*HSCEI!$B$14*HSCEI!$G$14/HSCEI!$B$3,""))</f>
        <v/>
      </c>
      <c r="CE167" s="110">
        <f>IF(Q167="","",IFERROR(Q167*HSCEI!$B$14*HSCEI!$G$14/HSCEI!$B$3,""))</f>
        <v/>
      </c>
      <c r="CF167" s="110">
        <f>IF(R167="","",IFERROR(R167*HSCEI!$B$14*HSCEI!$G$14/HSCEI!$B$3,""))</f>
        <v/>
      </c>
      <c r="CG167" s="110">
        <f>IF(S167="","",IFERROR(S167*HSCEI!$B$14*HSCEI!$G$14/HSCEI!$B$3,""))</f>
        <v/>
      </c>
      <c r="CH167" s="110">
        <f>IF(T167="","",IFERROR(T167*HSCEI!$B$14*HSCEI!$G$14/HSCEI!$B$3,""))</f>
        <v/>
      </c>
      <c r="CI167" s="110">
        <f>IF(U167="","",IFERROR(U167*HSCEI!$B$14*HSCEI!$G$14/HSCEI!$B$3,""))</f>
        <v/>
      </c>
      <c r="CJ167" s="110">
        <f>IF(V167="","",IFERROR(V167*HSCEI!$B$14*HSCEI!$G$14/HSCEI!$B$3,""))</f>
        <v/>
      </c>
      <c r="CK167" s="110">
        <f>IF(W167="","",IFERROR(W167*HSCEI!$B$14*HSCEI!$G$14/HSCEI!$B$3,""))</f>
        <v/>
      </c>
      <c r="CL167" s="110">
        <f>IF(X167="","",IFERROR(X167*HSCEI!$B$14*HSCEI!$G$14/HSCEI!$B$3,""))</f>
        <v/>
      </c>
      <c r="CM167" s="110">
        <f>IF(Y167="","",IFERROR(Y167*HSCEI!$B$14*HSCEI!$G$14/HSCEI!$B$3,""))</f>
        <v/>
      </c>
      <c r="CN167" s="110">
        <f>IF(Z167="","",IFERROR(Z167*HSCEI!$B$14*HSCEI!$G$14/HSCEI!$B$3,""))</f>
        <v/>
      </c>
      <c r="CO167" s="110">
        <f>IF(AA167="","",IFERROR(AA167*HSCEI!$B$14*HSCEI!$G$14/HSCEI!$B$3,""))</f>
        <v/>
      </c>
      <c r="CP167" s="110">
        <f>IF(AB167="","",IFERROR(AB167*HSCEI!$B$14*HSCEI!$G$14/HSCEI!$B$3,""))</f>
        <v/>
      </c>
      <c r="CQ167" s="110">
        <f>IF(AC167="","",IFERROR(AC167*HSCEI!$B$14*HSCEI!$G$14/HSCEI!$B$3,""))</f>
        <v/>
      </c>
      <c r="CR167" s="110">
        <f>IF(AD167="","",IFERROR(AD167*HSCEI!$B$14*HSCEI!$G$14/HSCEI!$B$3,""))</f>
        <v/>
      </c>
      <c r="CS167" s="110">
        <f>IF(AE167="","",IFERROR(AE167*HSCEI!$B$14*HSCEI!$G$14/HSCEI!$B$3,""))</f>
        <v/>
      </c>
      <c r="CT167" s="110">
        <f>IF(AF167="","",IFERROR(AF167*HSCEI!$B$14*HSCEI!$G$14/HSCEI!$B$3,""))</f>
        <v/>
      </c>
      <c r="CU167" s="110">
        <f>IF(AG167="","",IFERROR(AG167*HSCEI!$B$14*HSCEI!$G$14/HSCEI!$B$3,""))</f>
        <v/>
      </c>
      <c r="CV167" s="110">
        <f>IF(AH167="","",IFERROR(AH167*HSCEI!$B$14*HSCEI!$G$14/HSCEI!$B$3,""))</f>
        <v/>
      </c>
      <c r="CW167" s="110">
        <f>IF(AI167="","",IFERROR(AI167*HSCEI!$B$14*HSCEI!$G$14/HSCEI!$B$3,""))</f>
        <v/>
      </c>
      <c r="CX167" s="110">
        <f>IF(AJ167="","",IFERROR(AJ167*HSCEI!$B$14*HSCEI!$G$14/HSCEI!$B$3,""))</f>
        <v/>
      </c>
      <c r="CY167" s="110">
        <f>IF(AK167="","",IFERROR(AK167*HSCEI!$B$14*HSCEI!$G$14/HSCEI!$B$3,""))</f>
        <v/>
      </c>
      <c r="CZ167" s="110">
        <f>IF(AL167="","",IFERROR(AL167*HSCEI!$B$14*HSCEI!$G$14/HSCEI!$B$3,""))</f>
        <v/>
      </c>
      <c r="DA167" s="110">
        <f>IF(AM167="","",IFERROR(AM167*HSCEI!$B$14*HSCEI!$G$14/HSCEI!$B$3,""))</f>
        <v/>
      </c>
      <c r="DB167" s="110">
        <f>IF(AN167="","",IFERROR(AN167*HSCEI!$B$14*HSCEI!$G$14/HSCEI!$B$3,""))</f>
        <v/>
      </c>
      <c r="DC167" s="110">
        <f>IF(AO167="","",IFERROR(AO167*HSCEI!$B$14*HSCEI!$G$14/HSCEI!$B$3,""))</f>
        <v/>
      </c>
      <c r="DD167" s="110">
        <f>IF(AP167="","",IFERROR(AP167*HSCEI!$B$14*HSCEI!$G$14/HSCEI!$B$3,""))</f>
        <v/>
      </c>
      <c r="DE167" s="110">
        <f>IF(AQ167="","",IFERROR(AQ167*HSCEI!$B$14*HSCEI!$G$14/HSCEI!$B$3,""))</f>
        <v/>
      </c>
      <c r="DF167" s="110">
        <f>IF(AR167="","",IFERROR(AR167*HSCEI!$B$14*HSCEI!$G$14/HSCEI!$B$3,""))</f>
        <v/>
      </c>
      <c r="DG167" s="110">
        <f>IF(AS167="","",IFERROR(AS167*HSCEI!$B$14*HSCEI!$G$14/HSCEI!$B$3,""))</f>
        <v/>
      </c>
      <c r="DH167" s="110">
        <f>IF(AT167="","",IFERROR(AT167*HSCEI!$B$14*HSCEI!$G$14/HSCEI!$B$3,""))</f>
        <v/>
      </c>
      <c r="DI167" s="110">
        <f>IF(AU167="","",IFERROR(AU167*HSCEI!$B$14*HSCEI!$G$14/HSCEI!$B$3,""))</f>
        <v/>
      </c>
      <c r="DJ167" s="110">
        <f>IF(AV167="","",IFERROR(AV167*HSCEI!$B$14*HSCEI!$G$14/HSCEI!$B$3,""))</f>
        <v/>
      </c>
      <c r="DK167" s="110">
        <f>IF(AW167="","",IFERROR(AW167*HSCEI!$B$14*HSCEI!$G$14/HSCEI!$B$3,""))</f>
        <v/>
      </c>
      <c r="DL167" s="110">
        <f>IF(AX167="","",IFERROR(AX167*HSCEI!$B$14*HSCEI!$G$14/HSCEI!$B$3,""))</f>
        <v/>
      </c>
      <c r="DM167" s="110">
        <f>IF(AY167="","",IFERROR(AY167*HSCEI!$B$14*HSCEI!$G$14/HSCEI!$B$3,""))</f>
        <v/>
      </c>
      <c r="DN167" s="110">
        <f>IF(AZ167="","",IFERROR(AZ167*HSCEI!$B$14*HSCEI!$G$14/HSCEI!$B$3,""))</f>
        <v/>
      </c>
      <c r="DO167" s="110">
        <f>IF(BA167="","",IFERROR(BA167*HSCEI!$B$14*HSCEI!$G$14/HSCEI!$B$3,""))</f>
        <v/>
      </c>
      <c r="DP167" s="110">
        <f>IF(BB167="","",IFERROR(BB167*HSCEI!$B$14*HSCEI!$G$14/HSCEI!$B$3,""))</f>
        <v/>
      </c>
      <c r="DQ167" s="110">
        <f>IF(BC167="","",IFERROR(BC167*HSCEI!$B$14*HSCEI!$G$14/HSCEI!$B$3,""))</f>
        <v/>
      </c>
      <c r="DR167" s="110">
        <f>IF(BD167="","",IFERROR(BD167*HSCEI!$B$14*HSCEI!$G$14/HSCEI!$B$3,""))</f>
        <v/>
      </c>
      <c r="DS167" s="110">
        <f>IF(BE167="","",IFERROR(BE167*HSCEI!$B$14*HSCEI!$G$14/HSCEI!$B$3,""))</f>
        <v/>
      </c>
      <c r="DT167" s="110">
        <f>IF(BF167="","",IFERROR(BF167*HSCEI!$B$14*HSCEI!$G$14/HSCEI!$B$3,""))</f>
        <v/>
      </c>
      <c r="DU167" s="110">
        <f>IF(BG167="","",IFERROR(BG167*HSCEI!$B$14*HSCEI!$G$14/HSCEI!$B$3,""))</f>
        <v/>
      </c>
      <c r="DV167" s="110">
        <f>IF(BH167="","",IFERROR(BH167*HSCEI!$B$14*HSCEI!$G$14/HSCEI!$B$3,""))</f>
        <v/>
      </c>
      <c r="DW167" s="110">
        <f>IF(BI167="","",IFERROR(BI167*HSCEI!$B$14*HSCEI!$G$14/HSCEI!$B$3,""))</f>
        <v/>
      </c>
      <c r="DX167" s="110">
        <f>IF(BJ167="","",IFERROR(BJ167*HSCEI!$B$14*HSCEI!$G$14/HSCEI!$B$3,""))</f>
        <v/>
      </c>
      <c r="DY167" s="110">
        <f>IF(BK167="","",IFERROR(BK167*HSCEI!$B$14*HSCEI!$G$14/HSCEI!$B$3,""))</f>
        <v/>
      </c>
      <c r="DZ167" s="110">
        <f>IF(BL167="","",IFERROR(BL167*HSCEI!$B$14*HSCEI!$G$14/HSCEI!$B$3,""))</f>
        <v/>
      </c>
      <c r="EA167" s="110">
        <f>IF(BM167="","",IFERROR(BM167*HSCEI!$B$14*HSCEI!$G$14/HSCEI!$B$3,""))</f>
        <v/>
      </c>
      <c r="EB167" s="110">
        <f>IF(BN167="","",IFERROR(BN167*HSCEI!$B$14*HSCEI!$G$14/HSCEI!$B$3,""))</f>
        <v/>
      </c>
      <c r="EC167" s="110">
        <f>IF(BO167="","",IFERROR(BO167*HSCEI!$B$14*HSCEI!$G$14/HSCEI!$B$3,""))</f>
        <v/>
      </c>
      <c r="EE167" s="39">
        <f>IF(N('Dvd Calendar'!$E$1638)=0,"",IF(('Dvd Calendar'!$E$1638&gt;=GRID_FROM)*('Dvd Calendar'!$E$1638&lt;=GRID_TO)*((('Dvd Calendar'!$E$1638&lt;=VAL_DATE)+(COUNTIF('Dvd Calendar'!$E$1645:$AR$1645,'Dvd Calendar'!$E$1638)=0))&gt;0)=0,"",'Dvd Calendar'!$E$1638*1000000000+ISNUMBER('Dvd Calendar'!$E$1641)*100000000+('Dvd Calendar'!$E$1643=SPECIAL_LBL)*10000000+(N('Dvd Calendar'!$E$1637)&gt;0)*(N('Dvd Calendar'!$E$1637)&lt;=VAL_SERIAL)*1000000+8*1000+1))</f>
        <v/>
      </c>
      <c r="EF167" s="39">
        <f>IF(N('Dvd Calendar'!$F$1638)=0,"",IF(('Dvd Calendar'!$F$1638&gt;=GRID_FROM)*('Dvd Calendar'!$F$1638&lt;=GRID_TO)*((('Dvd Calendar'!$F$1638&lt;=VAL_DATE)+(COUNTIF('Dvd Calendar'!$E$1645:$AR$1645,'Dvd Calendar'!$F$1638)=0))&gt;0)=0,"",'Dvd Calendar'!$F$1638*1000000000+ISNUMBER('Dvd Calendar'!$F$1641)*100000000+('Dvd Calendar'!$F$1643=SPECIAL_LBL)*10000000+(N('Dvd Calendar'!$F$1637)&gt;0)*(N('Dvd Calendar'!$F$1637)&lt;=VAL_SERIAL)*1000000+8*1000+2))</f>
        <v/>
      </c>
      <c r="EG167" s="39">
        <f>IF(N('Dvd Calendar'!$G$1638)=0,"",IF(('Dvd Calendar'!$G$1638&gt;=GRID_FROM)*('Dvd Calendar'!$G$1638&lt;=GRID_TO)*((('Dvd Calendar'!$G$1638&lt;=VAL_DATE)+(COUNTIF('Dvd Calendar'!$E$1645:$AR$1645,'Dvd Calendar'!$G$1638)=0))&gt;0)=0,"",'Dvd Calendar'!$G$1638*1000000000+ISNUMBER('Dvd Calendar'!$G$1641)*100000000+('Dvd Calendar'!$G$1643=SPECIAL_LBL)*10000000+(N('Dvd Calendar'!$G$1637)&gt;0)*(N('Dvd Calendar'!$G$1637)&lt;=VAL_SERIAL)*1000000+8*1000+3))</f>
        <v/>
      </c>
      <c r="EH167" s="39">
        <f>IF(N('Dvd Calendar'!$H$1638)=0,"",IF(('Dvd Calendar'!$H$1638&gt;=GRID_FROM)*('Dvd Calendar'!$H$1638&lt;=GRID_TO)*((('Dvd Calendar'!$H$1638&lt;=VAL_DATE)+(COUNTIF('Dvd Calendar'!$E$1645:$AR$1645,'Dvd Calendar'!$H$1638)=0))&gt;0)=0,"",'Dvd Calendar'!$H$1638*1000000000+ISNUMBER('Dvd Calendar'!$H$1641)*100000000+('Dvd Calendar'!$H$1643=SPECIAL_LBL)*10000000+(N('Dvd Calendar'!$H$1637)&gt;0)*(N('Dvd Calendar'!$H$1637)&lt;=VAL_SERIAL)*1000000+8*1000+4))</f>
        <v/>
      </c>
      <c r="EI167" s="39">
        <f>IF(N('Dvd Calendar'!$I$1638)=0,"",IF(('Dvd Calendar'!$I$1638&gt;=GRID_FROM)*('Dvd Calendar'!$I$1638&lt;=GRID_TO)*((('Dvd Calendar'!$I$1638&lt;=VAL_DATE)+(COUNTIF('Dvd Calendar'!$E$1645:$AR$1645,'Dvd Calendar'!$I$1638)=0))&gt;0)=0,"",'Dvd Calendar'!$I$1638*1000000000+ISNUMBER('Dvd Calendar'!$I$1641)*100000000+('Dvd Calendar'!$I$1643=SPECIAL_LBL)*10000000+(N('Dvd Calendar'!$I$1637)&gt;0)*(N('Dvd Calendar'!$I$1637)&lt;=VAL_SERIAL)*1000000+8*1000+5))</f>
        <v/>
      </c>
      <c r="EJ167" s="39">
        <f>IF(N('Dvd Calendar'!$J$1638)=0,"",IF(('Dvd Calendar'!$J$1638&gt;=GRID_FROM)*('Dvd Calendar'!$J$1638&lt;=GRID_TO)*((('Dvd Calendar'!$J$1638&lt;=VAL_DATE)+(COUNTIF('Dvd Calendar'!$E$1645:$AR$1645,'Dvd Calendar'!$J$1638)=0))&gt;0)=0,"",'Dvd Calendar'!$J$1638*1000000000+ISNUMBER('Dvd Calendar'!$J$1641)*100000000+('Dvd Calendar'!$J$1643=SPECIAL_LBL)*10000000+(N('Dvd Calendar'!$J$1637)&gt;0)*(N('Dvd Calendar'!$J$1637)&lt;=VAL_SERIAL)*1000000+8*1000+6))</f>
        <v/>
      </c>
      <c r="EK167" s="39">
        <f>IF(N('Dvd Calendar'!$K$1638)=0,"",IF(('Dvd Calendar'!$K$1638&gt;=GRID_FROM)*('Dvd Calendar'!$K$1638&lt;=GRID_TO)*((('Dvd Calendar'!$K$1638&lt;=VAL_DATE)+(COUNTIF('Dvd Calendar'!$E$1645:$AR$1645,'Dvd Calendar'!$K$1638)=0))&gt;0)=0,"",'Dvd Calendar'!$K$1638*1000000000+ISNUMBER('Dvd Calendar'!$K$1641)*100000000+('Dvd Calendar'!$K$1643=SPECIAL_LBL)*10000000+(N('Dvd Calendar'!$K$1637)&gt;0)*(N('Dvd Calendar'!$K$1637)&lt;=VAL_SERIAL)*1000000+8*1000+7))</f>
        <v/>
      </c>
      <c r="EL167" s="39">
        <f>IF(N('Dvd Calendar'!$L$1638)=0,"",IF(('Dvd Calendar'!$L$1638&gt;=GRID_FROM)*('Dvd Calendar'!$L$1638&lt;=GRID_TO)*((('Dvd Calendar'!$L$1638&lt;=VAL_DATE)+(COUNTIF('Dvd Calendar'!$E$1645:$AR$1645,'Dvd Calendar'!$L$1638)=0))&gt;0)=0,"",'Dvd Calendar'!$L$1638*1000000000+ISNUMBER('Dvd Calendar'!$L$1641)*100000000+('Dvd Calendar'!$L$1643=SPECIAL_LBL)*10000000+(N('Dvd Calendar'!$L$1637)&gt;0)*(N('Dvd Calendar'!$L$1637)&lt;=VAL_SERIAL)*1000000+8*1000+8))</f>
        <v/>
      </c>
      <c r="EM167" s="39">
        <f>IF(N('Dvd Calendar'!$M$1638)=0,"",IF(('Dvd Calendar'!$M$1638&gt;=GRID_FROM)*('Dvd Calendar'!$M$1638&lt;=GRID_TO)*((('Dvd Calendar'!$M$1638&lt;=VAL_DATE)+(COUNTIF('Dvd Calendar'!$E$1645:$AR$1645,'Dvd Calendar'!$M$1638)=0))&gt;0)=0,"",'Dvd Calendar'!$M$1638*1000000000+ISNUMBER('Dvd Calendar'!$M$1641)*100000000+('Dvd Calendar'!$M$1643=SPECIAL_LBL)*10000000+(N('Dvd Calendar'!$M$1637)&gt;0)*(N('Dvd Calendar'!$M$1637)&lt;=VAL_SERIAL)*1000000+8*1000+9))</f>
        <v/>
      </c>
      <c r="EN167" s="39">
        <f>IF(N('Dvd Calendar'!$N$1638)=0,"",IF(('Dvd Calendar'!$N$1638&gt;=GRID_FROM)*('Dvd Calendar'!$N$1638&lt;=GRID_TO)*((('Dvd Calendar'!$N$1638&lt;=VAL_DATE)+(COUNTIF('Dvd Calendar'!$E$1645:$AR$1645,'Dvd Calendar'!$N$1638)=0))&gt;0)=0,"",'Dvd Calendar'!$N$1638*1000000000+ISNUMBER('Dvd Calendar'!$N$1641)*100000000+('Dvd Calendar'!$N$1643=SPECIAL_LBL)*10000000+(N('Dvd Calendar'!$N$1637)&gt;0)*(N('Dvd Calendar'!$N$1637)&lt;=VAL_SERIAL)*1000000+8*1000+10))</f>
        <v/>
      </c>
      <c r="EO167" s="39">
        <f>IF(N('Dvd Calendar'!$O$1638)=0,"",IF(('Dvd Calendar'!$O$1638&gt;=GRID_FROM)*('Dvd Calendar'!$O$1638&lt;=GRID_TO)*((('Dvd Calendar'!$O$1638&lt;=VAL_DATE)+(COUNTIF('Dvd Calendar'!$E$1645:$AR$1645,'Dvd Calendar'!$O$1638)=0))&gt;0)=0,"",'Dvd Calendar'!$O$1638*1000000000+ISNUMBER('Dvd Calendar'!$O$1641)*100000000+('Dvd Calendar'!$O$1643=SPECIAL_LBL)*10000000+(N('Dvd Calendar'!$O$1637)&gt;0)*(N('Dvd Calendar'!$O$1637)&lt;=VAL_SERIAL)*1000000+8*1000+11))</f>
        <v/>
      </c>
      <c r="EP167" s="39">
        <f>IF(N('Dvd Calendar'!$P$1638)=0,"",IF(('Dvd Calendar'!$P$1638&gt;=GRID_FROM)*('Dvd Calendar'!$P$1638&lt;=GRID_TO)*((('Dvd Calendar'!$P$1638&lt;=VAL_DATE)+(COUNTIF('Dvd Calendar'!$E$1645:$AR$1645,'Dvd Calendar'!$P$1638)=0))&gt;0)=0,"",'Dvd Calendar'!$P$1638*1000000000+ISNUMBER('Dvd Calendar'!$P$1641)*100000000+('Dvd Calendar'!$P$1643=SPECIAL_LBL)*10000000+(N('Dvd Calendar'!$P$1637)&gt;0)*(N('Dvd Calendar'!$P$1637)&lt;=VAL_SERIAL)*1000000+8*1000+12))</f>
        <v/>
      </c>
      <c r="EQ167" s="39">
        <f>IF(N('Dvd Calendar'!$Q$1638)=0,"",IF(('Dvd Calendar'!$Q$1638&gt;=GRID_FROM)*('Dvd Calendar'!$Q$1638&lt;=GRID_TO)*((('Dvd Calendar'!$Q$1638&lt;=VAL_DATE)+(COUNTIF('Dvd Calendar'!$E$1645:$AR$1645,'Dvd Calendar'!$Q$1638)=0))&gt;0)=0,"",'Dvd Calendar'!$Q$1638*1000000000+ISNUMBER('Dvd Calendar'!$Q$1641)*100000000+('Dvd Calendar'!$Q$1643=SPECIAL_LBL)*10000000+(N('Dvd Calendar'!$Q$1637)&gt;0)*(N('Dvd Calendar'!$Q$1637)&lt;=VAL_SERIAL)*1000000+8*1000+13))</f>
        <v/>
      </c>
      <c r="ER167" s="39">
        <f>IF(N('Dvd Calendar'!$R$1638)=0,"",IF(('Dvd Calendar'!$R$1638&gt;=GRID_FROM)*('Dvd Calendar'!$R$1638&lt;=GRID_TO)*((('Dvd Calendar'!$R$1638&lt;=VAL_DATE)+(COUNTIF('Dvd Calendar'!$E$1645:$AR$1645,'Dvd Calendar'!$R$1638)=0))&gt;0)=0,"",'Dvd Calendar'!$R$1638*1000000000+ISNUMBER('Dvd Calendar'!$R$1641)*100000000+('Dvd Calendar'!$R$1643=SPECIAL_LBL)*10000000+(N('Dvd Calendar'!$R$1637)&gt;0)*(N('Dvd Calendar'!$R$1637)&lt;=VAL_SERIAL)*1000000+8*1000+14))</f>
        <v/>
      </c>
      <c r="ES167" s="39">
        <f>IF(N('Dvd Calendar'!$S$1638)=0,"",IF(('Dvd Calendar'!$S$1638&gt;=GRID_FROM)*('Dvd Calendar'!$S$1638&lt;=GRID_TO)*((('Dvd Calendar'!$S$1638&lt;=VAL_DATE)+(COUNTIF('Dvd Calendar'!$E$1645:$AR$1645,'Dvd Calendar'!$S$1638)=0))&gt;0)=0,"",'Dvd Calendar'!$S$1638*1000000000+ISNUMBER('Dvd Calendar'!$S$1641)*100000000+('Dvd Calendar'!$S$1643=SPECIAL_LBL)*10000000+(N('Dvd Calendar'!$S$1637)&gt;0)*(N('Dvd Calendar'!$S$1637)&lt;=VAL_SERIAL)*1000000+8*1000+15))</f>
        <v/>
      </c>
      <c r="ET167" s="39">
        <f>IF(N('Dvd Calendar'!$T$1638)=0,"",IF(('Dvd Calendar'!$T$1638&gt;=GRID_FROM)*('Dvd Calendar'!$T$1638&lt;=GRID_TO)*((('Dvd Calendar'!$T$1638&lt;=VAL_DATE)+(COUNTIF('Dvd Calendar'!$E$1645:$AR$1645,'Dvd Calendar'!$T$1638)=0))&gt;0)=0,"",'Dvd Calendar'!$T$1638*1000000000+ISNUMBER('Dvd Calendar'!$T$1641)*100000000+('Dvd Calendar'!$T$1643=SPECIAL_LBL)*10000000+(N('Dvd Calendar'!$T$1637)&gt;0)*(N('Dvd Calendar'!$T$1637)&lt;=VAL_SERIAL)*1000000+8*1000+16))</f>
        <v/>
      </c>
      <c r="EU167" s="39">
        <f>IF(N('Dvd Calendar'!$U$1638)=0,"",IF(('Dvd Calendar'!$U$1638&gt;=GRID_FROM)*('Dvd Calendar'!$U$1638&lt;=GRID_TO)*((('Dvd Calendar'!$U$1638&lt;=VAL_DATE)+(COUNTIF('Dvd Calendar'!$E$1645:$AR$1645,'Dvd Calendar'!$U$1638)=0))&gt;0)=0,"",'Dvd Calendar'!$U$1638*1000000000+ISNUMBER('Dvd Calendar'!$U$1641)*100000000+('Dvd Calendar'!$U$1643=SPECIAL_LBL)*10000000+(N('Dvd Calendar'!$U$1637)&gt;0)*(N('Dvd Calendar'!$U$1637)&lt;=VAL_SERIAL)*1000000+8*1000+17))</f>
        <v/>
      </c>
      <c r="EV167" s="39">
        <f>IF(N('Dvd Calendar'!$V$1638)=0,"",IF(('Dvd Calendar'!$V$1638&gt;=GRID_FROM)*('Dvd Calendar'!$V$1638&lt;=GRID_TO)*((('Dvd Calendar'!$V$1638&lt;=VAL_DATE)+(COUNTIF('Dvd Calendar'!$E$1645:$AR$1645,'Dvd Calendar'!$V$1638)=0))&gt;0)=0,"",'Dvd Calendar'!$V$1638*1000000000+ISNUMBER('Dvd Calendar'!$V$1641)*100000000+('Dvd Calendar'!$V$1643=SPECIAL_LBL)*10000000+(N('Dvd Calendar'!$V$1637)&gt;0)*(N('Dvd Calendar'!$V$1637)&lt;=VAL_SERIAL)*1000000+8*1000+18))</f>
        <v/>
      </c>
      <c r="EW167" s="39">
        <f>IF(N('Dvd Calendar'!$W$1638)=0,"",IF(('Dvd Calendar'!$W$1638&gt;=GRID_FROM)*('Dvd Calendar'!$W$1638&lt;=GRID_TO)*((('Dvd Calendar'!$W$1638&lt;=VAL_DATE)+(COUNTIF('Dvd Calendar'!$E$1645:$AR$1645,'Dvd Calendar'!$W$1638)=0))&gt;0)=0,"",'Dvd Calendar'!$W$1638*1000000000+ISNUMBER('Dvd Calendar'!$W$1641)*100000000+('Dvd Calendar'!$W$1643=SPECIAL_LBL)*10000000+(N('Dvd Calendar'!$W$1637)&gt;0)*(N('Dvd Calendar'!$W$1637)&lt;=VAL_SERIAL)*1000000+8*1000+19))</f>
        <v/>
      </c>
      <c r="EX167" s="39">
        <f>IF(N('Dvd Calendar'!$X$1638)=0,"",IF(('Dvd Calendar'!$X$1638&gt;=GRID_FROM)*('Dvd Calendar'!$X$1638&lt;=GRID_TO)*((('Dvd Calendar'!$X$1638&lt;=VAL_DATE)+(COUNTIF('Dvd Calendar'!$E$1645:$AR$1645,'Dvd Calendar'!$X$1638)=0))&gt;0)=0,"",'Dvd Calendar'!$X$1638*1000000000+ISNUMBER('Dvd Calendar'!$X$1641)*100000000+('Dvd Calendar'!$X$1643=SPECIAL_LBL)*10000000+(N('Dvd Calendar'!$X$1637)&gt;0)*(N('Dvd Calendar'!$X$1637)&lt;=VAL_SERIAL)*1000000+8*1000+20))</f>
        <v/>
      </c>
      <c r="EY167" s="39">
        <f>IF(N('Dvd Calendar'!$Y$1638)=0,"",IF(('Dvd Calendar'!$Y$1638&gt;=GRID_FROM)*('Dvd Calendar'!$Y$1638&lt;=GRID_TO)*((('Dvd Calendar'!$Y$1638&lt;=VAL_DATE)+(COUNTIF('Dvd Calendar'!$E$1645:$AR$1645,'Dvd Calendar'!$Y$1638)=0))&gt;0)=0,"",'Dvd Calendar'!$Y$1638*1000000000+ISNUMBER('Dvd Calendar'!$Y$1641)*100000000+('Dvd Calendar'!$Y$1643=SPECIAL_LBL)*10000000+(N('Dvd Calendar'!$Y$1637)&gt;0)*(N('Dvd Calendar'!$Y$1637)&lt;=VAL_SERIAL)*1000000+8*1000+21))</f>
        <v/>
      </c>
      <c r="EZ167" s="39">
        <f>IF(N('Dvd Calendar'!$Z$1638)=0,"",IF(('Dvd Calendar'!$Z$1638&gt;=GRID_FROM)*('Dvd Calendar'!$Z$1638&lt;=GRID_TO)*((('Dvd Calendar'!$Z$1638&lt;=VAL_DATE)+(COUNTIF('Dvd Calendar'!$E$1645:$AR$1645,'Dvd Calendar'!$Z$1638)=0))&gt;0)=0,"",'Dvd Calendar'!$Z$1638*1000000000+ISNUMBER('Dvd Calendar'!$Z$1641)*100000000+('Dvd Calendar'!$Z$1643=SPECIAL_LBL)*10000000+(N('Dvd Calendar'!$Z$1637)&gt;0)*(N('Dvd Calendar'!$Z$1637)&lt;=VAL_SERIAL)*1000000+8*1000+22))</f>
        <v/>
      </c>
      <c r="FA167" s="39">
        <f>IF(N('Dvd Calendar'!$AA$1638)=0,"",IF(('Dvd Calendar'!$AA$1638&gt;=GRID_FROM)*('Dvd Calendar'!$AA$1638&lt;=GRID_TO)*((('Dvd Calendar'!$AA$1638&lt;=VAL_DATE)+(COUNTIF('Dvd Calendar'!$E$1645:$AR$1645,'Dvd Calendar'!$AA$1638)=0))&gt;0)=0,"",'Dvd Calendar'!$AA$1638*1000000000+ISNUMBER('Dvd Calendar'!$AA$1641)*100000000+('Dvd Calendar'!$AA$1643=SPECIAL_LBL)*10000000+(N('Dvd Calendar'!$AA$1637)&gt;0)*(N('Dvd Calendar'!$AA$1637)&lt;=VAL_SERIAL)*1000000+8*1000+23))</f>
        <v/>
      </c>
      <c r="FB167" s="39">
        <f>IF(N('Dvd Calendar'!$AB$1638)=0,"",IF(('Dvd Calendar'!$AB$1638&gt;=GRID_FROM)*('Dvd Calendar'!$AB$1638&lt;=GRID_TO)*((('Dvd Calendar'!$AB$1638&lt;=VAL_DATE)+(COUNTIF('Dvd Calendar'!$E$1645:$AR$1645,'Dvd Calendar'!$AB$1638)=0))&gt;0)=0,"",'Dvd Calendar'!$AB$1638*1000000000+ISNUMBER('Dvd Calendar'!$AB$1641)*100000000+('Dvd Calendar'!$AB$1643=SPECIAL_LBL)*10000000+(N('Dvd Calendar'!$AB$1637)&gt;0)*(N('Dvd Calendar'!$AB$1637)&lt;=VAL_SERIAL)*1000000+8*1000+24))</f>
        <v/>
      </c>
      <c r="FC167" s="39">
        <f>IF(N('Dvd Calendar'!$AC$1638)=0,"",IF(('Dvd Calendar'!$AC$1638&gt;=GRID_FROM)*('Dvd Calendar'!$AC$1638&lt;=GRID_TO)*((('Dvd Calendar'!$AC$1638&lt;=VAL_DATE)+(COUNTIF('Dvd Calendar'!$E$1645:$AR$1645,'Dvd Calendar'!$AC$1638)=0))&gt;0)=0,"",'Dvd Calendar'!$AC$1638*1000000000+ISNUMBER('Dvd Calendar'!$AC$1641)*100000000+('Dvd Calendar'!$AC$1643=SPECIAL_LBL)*10000000+(N('Dvd Calendar'!$AC$1637)&gt;0)*(N('Dvd Calendar'!$AC$1637)&lt;=VAL_SERIAL)*1000000+8*1000+25))</f>
        <v/>
      </c>
      <c r="FD167" s="39">
        <f>IF(N('Dvd Calendar'!$AD$1638)=0,"",IF(('Dvd Calendar'!$AD$1638&gt;=GRID_FROM)*('Dvd Calendar'!$AD$1638&lt;=GRID_TO)*((('Dvd Calendar'!$AD$1638&lt;=VAL_DATE)+(COUNTIF('Dvd Calendar'!$E$1645:$AR$1645,'Dvd Calendar'!$AD$1638)=0))&gt;0)=0,"",'Dvd Calendar'!$AD$1638*1000000000+ISNUMBER('Dvd Calendar'!$AD$1641)*100000000+('Dvd Calendar'!$AD$1643=SPECIAL_LBL)*10000000+(N('Dvd Calendar'!$AD$1637)&gt;0)*(N('Dvd Calendar'!$AD$1637)&lt;=VAL_SERIAL)*1000000+8*1000+26))</f>
        <v/>
      </c>
      <c r="FE167" s="39">
        <f>IF(N('Dvd Calendar'!$AE$1638)=0,"",IF(('Dvd Calendar'!$AE$1638&gt;=GRID_FROM)*('Dvd Calendar'!$AE$1638&lt;=GRID_TO)*((('Dvd Calendar'!$AE$1638&lt;=VAL_DATE)+(COUNTIF('Dvd Calendar'!$E$1645:$AR$1645,'Dvd Calendar'!$AE$1638)=0))&gt;0)=0,"",'Dvd Calendar'!$AE$1638*1000000000+ISNUMBER('Dvd Calendar'!$AE$1641)*100000000+('Dvd Calendar'!$AE$1643=SPECIAL_LBL)*10000000+(N('Dvd Calendar'!$AE$1637)&gt;0)*(N('Dvd Calendar'!$AE$1637)&lt;=VAL_SERIAL)*1000000+8*1000+27))</f>
        <v/>
      </c>
      <c r="FF167" s="39">
        <f>IF(N('Dvd Calendar'!$AF$1638)=0,"",IF(('Dvd Calendar'!$AF$1638&gt;=GRID_FROM)*('Dvd Calendar'!$AF$1638&lt;=GRID_TO)*((('Dvd Calendar'!$AF$1638&lt;=VAL_DATE)+(COUNTIF('Dvd Calendar'!$E$1645:$AR$1645,'Dvd Calendar'!$AF$1638)=0))&gt;0)=0,"",'Dvd Calendar'!$AF$1638*1000000000+ISNUMBER('Dvd Calendar'!$AF$1641)*100000000+('Dvd Calendar'!$AF$1643=SPECIAL_LBL)*10000000+(N('Dvd Calendar'!$AF$1637)&gt;0)*(N('Dvd Calendar'!$AF$1637)&lt;=VAL_SERIAL)*1000000+8*1000+28))</f>
        <v/>
      </c>
      <c r="FG167" s="39">
        <f>IF(N('Dvd Calendar'!$AG$1638)=0,"",IF(('Dvd Calendar'!$AG$1638&gt;=GRID_FROM)*('Dvd Calendar'!$AG$1638&lt;=GRID_TO)*((('Dvd Calendar'!$AG$1638&lt;=VAL_DATE)+(COUNTIF('Dvd Calendar'!$E$1645:$AR$1645,'Dvd Calendar'!$AG$1638)=0))&gt;0)=0,"",'Dvd Calendar'!$AG$1638*1000000000+ISNUMBER('Dvd Calendar'!$AG$1641)*100000000+('Dvd Calendar'!$AG$1643=SPECIAL_LBL)*10000000+(N('Dvd Calendar'!$AG$1637)&gt;0)*(N('Dvd Calendar'!$AG$1637)&lt;=VAL_SERIAL)*1000000+8*1000+29))</f>
        <v/>
      </c>
      <c r="FH167" s="39">
        <f>IF(N('Dvd Calendar'!$AH$1638)=0,"",IF(('Dvd Calendar'!$AH$1638&gt;=GRID_FROM)*('Dvd Calendar'!$AH$1638&lt;=GRID_TO)*((('Dvd Calendar'!$AH$1638&lt;=VAL_DATE)+(COUNTIF('Dvd Calendar'!$E$1645:$AR$1645,'Dvd Calendar'!$AH$1638)=0))&gt;0)=0,"",'Dvd Calendar'!$AH$1638*1000000000+ISNUMBER('Dvd Calendar'!$AH$1641)*100000000+('Dvd Calendar'!$AH$1643=SPECIAL_LBL)*10000000+(N('Dvd Calendar'!$AH$1637)&gt;0)*(N('Dvd Calendar'!$AH$1637)&lt;=VAL_SERIAL)*1000000+8*1000+30))</f>
        <v/>
      </c>
      <c r="FI167" s="39">
        <f>IF(N('Dvd Calendar'!$AI$1638)=0,"",IF(('Dvd Calendar'!$AI$1638&gt;=GRID_FROM)*('Dvd Calendar'!$AI$1638&lt;=GRID_TO)*((('Dvd Calendar'!$AI$1638&lt;=VAL_DATE)+(COUNTIF('Dvd Calendar'!$E$1645:$AR$1645,'Dvd Calendar'!$AI$1638)=0))&gt;0)=0,"",'Dvd Calendar'!$AI$1638*1000000000+ISNUMBER('Dvd Calendar'!$AI$1641)*100000000+('Dvd Calendar'!$AI$1643=SPECIAL_LBL)*10000000+(N('Dvd Calendar'!$AI$1637)&gt;0)*(N('Dvd Calendar'!$AI$1637)&lt;=VAL_SERIAL)*1000000+8*1000+31))</f>
        <v/>
      </c>
      <c r="FJ167" s="39">
        <f>IF(N('Dvd Calendar'!$AJ$1638)=0,"",IF(('Dvd Calendar'!$AJ$1638&gt;=GRID_FROM)*('Dvd Calendar'!$AJ$1638&lt;=GRID_TO)*((('Dvd Calendar'!$AJ$1638&lt;=VAL_DATE)+(COUNTIF('Dvd Calendar'!$E$1645:$AR$1645,'Dvd Calendar'!$AJ$1638)=0))&gt;0)=0,"",'Dvd Calendar'!$AJ$1638*1000000000+ISNUMBER('Dvd Calendar'!$AJ$1641)*100000000+('Dvd Calendar'!$AJ$1643=SPECIAL_LBL)*10000000+(N('Dvd Calendar'!$AJ$1637)&gt;0)*(N('Dvd Calendar'!$AJ$1637)&lt;=VAL_SERIAL)*1000000+8*1000+32))</f>
        <v/>
      </c>
      <c r="FK167" s="39">
        <f>IF(N('Dvd Calendar'!$AK$1638)=0,"",IF(('Dvd Calendar'!$AK$1638&gt;=GRID_FROM)*('Dvd Calendar'!$AK$1638&lt;=GRID_TO)*((('Dvd Calendar'!$AK$1638&lt;=VAL_DATE)+(COUNTIF('Dvd Calendar'!$E$1645:$AR$1645,'Dvd Calendar'!$AK$1638)=0))&gt;0)=0,"",'Dvd Calendar'!$AK$1638*1000000000+ISNUMBER('Dvd Calendar'!$AK$1641)*100000000+('Dvd Calendar'!$AK$1643=SPECIAL_LBL)*10000000+(N('Dvd Calendar'!$AK$1637)&gt;0)*(N('Dvd Calendar'!$AK$1637)&lt;=VAL_SERIAL)*1000000+8*1000+33))</f>
        <v/>
      </c>
      <c r="FL167" s="39">
        <f>IF(N('Dvd Calendar'!$AL$1638)=0,"",IF(('Dvd Calendar'!$AL$1638&gt;=GRID_FROM)*('Dvd Calendar'!$AL$1638&lt;=GRID_TO)*((('Dvd Calendar'!$AL$1638&lt;=VAL_DATE)+(COUNTIF('Dvd Calendar'!$E$1645:$AR$1645,'Dvd Calendar'!$AL$1638)=0))&gt;0)=0,"",'Dvd Calendar'!$AL$1638*1000000000+ISNUMBER('Dvd Calendar'!$AL$1641)*100000000+('Dvd Calendar'!$AL$1643=SPECIAL_LBL)*10000000+(N('Dvd Calendar'!$AL$1637)&gt;0)*(N('Dvd Calendar'!$AL$1637)&lt;=VAL_SERIAL)*1000000+8*1000+34))</f>
        <v/>
      </c>
      <c r="FM167" s="39">
        <f>IF(N('Dvd Calendar'!$AM$1638)=0,"",IF(('Dvd Calendar'!$AM$1638&gt;=GRID_FROM)*('Dvd Calendar'!$AM$1638&lt;=GRID_TO)*((('Dvd Calendar'!$AM$1638&lt;=VAL_DATE)+(COUNTIF('Dvd Calendar'!$E$1645:$AR$1645,'Dvd Calendar'!$AM$1638)=0))&gt;0)=0,"",'Dvd Calendar'!$AM$1638*1000000000+ISNUMBER('Dvd Calendar'!$AM$1641)*100000000+('Dvd Calendar'!$AM$1643=SPECIAL_LBL)*10000000+(N('Dvd Calendar'!$AM$1637)&gt;0)*(N('Dvd Calendar'!$AM$1637)&lt;=VAL_SERIAL)*1000000+8*1000+35))</f>
        <v/>
      </c>
      <c r="FN167" s="39">
        <f>IF(N('Dvd Calendar'!$AN$1638)=0,"",IF(('Dvd Calendar'!$AN$1638&gt;=GRID_FROM)*('Dvd Calendar'!$AN$1638&lt;=GRID_TO)*((('Dvd Calendar'!$AN$1638&lt;=VAL_DATE)+(COUNTIF('Dvd Calendar'!$E$1645:$AR$1645,'Dvd Calendar'!$AN$1638)=0))&gt;0)=0,"",'Dvd Calendar'!$AN$1638*1000000000+ISNUMBER('Dvd Calendar'!$AN$1641)*100000000+('Dvd Calendar'!$AN$1643=SPECIAL_LBL)*10000000+(N('Dvd Calendar'!$AN$1637)&gt;0)*(N('Dvd Calendar'!$AN$1637)&lt;=VAL_SERIAL)*1000000+8*1000+36))</f>
        <v/>
      </c>
      <c r="FO167" s="39">
        <f>IF(N('Dvd Calendar'!$AO$1638)=0,"",IF(('Dvd Calendar'!$AO$1638&gt;=GRID_FROM)*('Dvd Calendar'!$AO$1638&lt;=GRID_TO)*((('Dvd Calendar'!$AO$1638&lt;=VAL_DATE)+(COUNTIF('Dvd Calendar'!$E$1645:$AR$1645,'Dvd Calendar'!$AO$1638)=0))&gt;0)=0,"",'Dvd Calendar'!$AO$1638*1000000000+ISNUMBER('Dvd Calendar'!$AO$1641)*100000000+('Dvd Calendar'!$AO$1643=SPECIAL_LBL)*10000000+(N('Dvd Calendar'!$AO$1637)&gt;0)*(N('Dvd Calendar'!$AO$1637)&lt;=VAL_SERIAL)*1000000+8*1000+37))</f>
        <v/>
      </c>
      <c r="FP167" s="39">
        <f>IF(N('Dvd Calendar'!$AP$1638)=0,"",IF(('Dvd Calendar'!$AP$1638&gt;=GRID_FROM)*('Dvd Calendar'!$AP$1638&lt;=GRID_TO)*((('Dvd Calendar'!$AP$1638&lt;=VAL_DATE)+(COUNTIF('Dvd Calendar'!$E$1645:$AR$1645,'Dvd Calendar'!$AP$1638)=0))&gt;0)=0,"",'Dvd Calendar'!$AP$1638*1000000000+ISNUMBER('Dvd Calendar'!$AP$1641)*100000000+('Dvd Calendar'!$AP$1643=SPECIAL_LBL)*10000000+(N('Dvd Calendar'!$AP$1637)&gt;0)*(N('Dvd Calendar'!$AP$1637)&lt;=VAL_SERIAL)*1000000+8*1000+38))</f>
        <v/>
      </c>
      <c r="FQ167" s="39">
        <f>IF(N('Dvd Calendar'!$AQ$1638)=0,"",IF(('Dvd Calendar'!$AQ$1638&gt;=GRID_FROM)*('Dvd Calendar'!$AQ$1638&lt;=GRID_TO)*((('Dvd Calendar'!$AQ$1638&lt;=VAL_DATE)+(COUNTIF('Dvd Calendar'!$E$1645:$AR$1645,'Dvd Calendar'!$AQ$1638)=0))&gt;0)=0,"",'Dvd Calendar'!$AQ$1638*1000000000+ISNUMBER('Dvd Calendar'!$AQ$1641)*100000000+('Dvd Calendar'!$AQ$1643=SPECIAL_LBL)*10000000+(N('Dvd Calendar'!$AQ$1637)&gt;0)*(N('Dvd Calendar'!$AQ$1637)&lt;=VAL_SERIAL)*1000000+8*1000+39))</f>
        <v/>
      </c>
      <c r="FR167" s="39">
        <f>IF(N('Dvd Calendar'!$AR$1638)=0,"",IF(('Dvd Calendar'!$AR$1638&gt;=GRID_FROM)*('Dvd Calendar'!$AR$1638&lt;=GRID_TO)*((('Dvd Calendar'!$AR$1638&lt;=VAL_DATE)+(COUNTIF('Dvd Calendar'!$E$1645:$AR$1645,'Dvd Calendar'!$AR$1638)=0))&gt;0)=0,"",'Dvd Calendar'!$AR$1638*1000000000+ISNUMBER('Dvd Calendar'!$AR$1641)*100000000+('Dvd Calendar'!$AR$1643=SPECIAL_LBL)*10000000+(N('Dvd Calendar'!$AR$1637)&gt;0)*(N('Dvd Calendar'!$AR$1637)&lt;=VAL_SERIAL)*1000000+8*1000+40))</f>
        <v/>
      </c>
      <c r="FS167" s="39">
        <f>IF(N('Dvd Calendar'!$E$1645)=0,"",IF(('Dvd Calendar'!$E$1645&gt;=GRID_FROM)*('Dvd Calendar'!$E$1645&lt;=GRID_TO)*('Dvd Calendar'!$E$1645&gt;VAL_DATE)=0,"",'Dvd Calendar'!$E$1645*1000000000+ISNUMBER('Dvd Calendar'!$E$1646)*100000000+0*10000000+(N('Dvd Calendar'!$E$1644)&gt;0)*(N('Dvd Calendar'!$E$1644)&lt;=VAL_SERIAL)*1000000+8*1000+41))</f>
        <v/>
      </c>
      <c r="FT167" s="39">
        <f>IF(N('Dvd Calendar'!$F$1645)=0,"",IF(('Dvd Calendar'!$F$1645&gt;=GRID_FROM)*('Dvd Calendar'!$F$1645&lt;=GRID_TO)*('Dvd Calendar'!$F$1645&gt;VAL_DATE)=0,"",'Dvd Calendar'!$F$1645*1000000000+ISNUMBER('Dvd Calendar'!$F$1646)*100000000+0*10000000+(N('Dvd Calendar'!$F$1644)&gt;0)*(N('Dvd Calendar'!$F$1644)&lt;=VAL_SERIAL)*1000000+8*1000+42))</f>
        <v/>
      </c>
      <c r="FU167" s="39">
        <f>IF(N('Dvd Calendar'!$G$1645)=0,"",IF(('Dvd Calendar'!$G$1645&gt;=GRID_FROM)*('Dvd Calendar'!$G$1645&lt;=GRID_TO)*('Dvd Calendar'!$G$1645&gt;VAL_DATE)=0,"",'Dvd Calendar'!$G$1645*1000000000+ISNUMBER('Dvd Calendar'!$G$1646)*100000000+0*10000000+(N('Dvd Calendar'!$G$1644)&gt;0)*(N('Dvd Calendar'!$G$1644)&lt;=VAL_SERIAL)*1000000+8*1000+43))</f>
        <v/>
      </c>
      <c r="FV167" s="39">
        <f>IF(N('Dvd Calendar'!$H$1645)=0,"",IF(('Dvd Calendar'!$H$1645&gt;=GRID_FROM)*('Dvd Calendar'!$H$1645&lt;=GRID_TO)*('Dvd Calendar'!$H$1645&gt;VAL_DATE)=0,"",'Dvd Calendar'!$H$1645*1000000000+ISNUMBER('Dvd Calendar'!$H$1646)*100000000+0*10000000+(N('Dvd Calendar'!$H$1644)&gt;0)*(N('Dvd Calendar'!$H$1644)&lt;=VAL_SERIAL)*1000000+8*1000+44))</f>
        <v/>
      </c>
      <c r="FW167" s="39">
        <f>IF(N('Dvd Calendar'!$I$1645)=0,"",IF(('Dvd Calendar'!$I$1645&gt;=GRID_FROM)*('Dvd Calendar'!$I$1645&lt;=GRID_TO)*('Dvd Calendar'!$I$1645&gt;VAL_DATE)=0,"",'Dvd Calendar'!$I$1645*1000000000+ISNUMBER('Dvd Calendar'!$I$1646)*100000000+0*10000000+(N('Dvd Calendar'!$I$1644)&gt;0)*(N('Dvd Calendar'!$I$1644)&lt;=VAL_SERIAL)*1000000+8*1000+45))</f>
        <v/>
      </c>
      <c r="FX167" s="39">
        <f>IF(N('Dvd Calendar'!$J$1645)=0,"",IF(('Dvd Calendar'!$J$1645&gt;=GRID_FROM)*('Dvd Calendar'!$J$1645&lt;=GRID_TO)*('Dvd Calendar'!$J$1645&gt;VAL_DATE)=0,"",'Dvd Calendar'!$J$1645*1000000000+ISNUMBER('Dvd Calendar'!$J$1646)*100000000+0*10000000+(N('Dvd Calendar'!$J$1644)&gt;0)*(N('Dvd Calendar'!$J$1644)&lt;=VAL_SERIAL)*1000000+8*1000+46))</f>
        <v/>
      </c>
      <c r="FY167" s="39">
        <f>IF(N('Dvd Calendar'!$K$1645)=0,"",IF(('Dvd Calendar'!$K$1645&gt;=GRID_FROM)*('Dvd Calendar'!$K$1645&lt;=GRID_TO)*('Dvd Calendar'!$K$1645&gt;VAL_DATE)=0,"",'Dvd Calendar'!$K$1645*1000000000+ISNUMBER('Dvd Calendar'!$K$1646)*100000000+0*10000000+(N('Dvd Calendar'!$K$1644)&gt;0)*(N('Dvd Calendar'!$K$1644)&lt;=VAL_SERIAL)*1000000+8*1000+47))</f>
        <v/>
      </c>
      <c r="FZ167" s="39">
        <f>IF(N('Dvd Calendar'!$L$1645)=0,"",IF(('Dvd Calendar'!$L$1645&gt;=GRID_FROM)*('Dvd Calendar'!$L$1645&lt;=GRID_TO)*('Dvd Calendar'!$L$1645&gt;VAL_DATE)=0,"",'Dvd Calendar'!$L$1645*1000000000+ISNUMBER('Dvd Calendar'!$L$1646)*100000000+0*10000000+(N('Dvd Calendar'!$L$1644)&gt;0)*(N('Dvd Calendar'!$L$1644)&lt;=VAL_SERIAL)*1000000+8*1000+48))</f>
        <v/>
      </c>
      <c r="GA167" s="39">
        <f>IF(N('Dvd Calendar'!$M$1645)=0,"",IF(('Dvd Calendar'!$M$1645&gt;=GRID_FROM)*('Dvd Calendar'!$M$1645&lt;=GRID_TO)*('Dvd Calendar'!$M$1645&gt;VAL_DATE)=0,"",'Dvd Calendar'!$M$1645*1000000000+ISNUMBER('Dvd Calendar'!$M$1646)*100000000+0*10000000+(N('Dvd Calendar'!$M$1644)&gt;0)*(N('Dvd Calendar'!$M$1644)&lt;=VAL_SERIAL)*1000000+8*1000+49))</f>
        <v/>
      </c>
      <c r="GB167" s="39">
        <f>IF(N('Dvd Calendar'!$N$1645)=0,"",IF(('Dvd Calendar'!$N$1645&gt;=GRID_FROM)*('Dvd Calendar'!$N$1645&lt;=GRID_TO)*('Dvd Calendar'!$N$1645&gt;VAL_DATE)=0,"",'Dvd Calendar'!$N$1645*1000000000+ISNUMBER('Dvd Calendar'!$N$1646)*100000000+0*10000000+(N('Dvd Calendar'!$N$1644)&gt;0)*(N('Dvd Calendar'!$N$1644)&lt;=VAL_SERIAL)*1000000+8*1000+50))</f>
        <v/>
      </c>
      <c r="GC167" s="39">
        <f>IF(N('Dvd Calendar'!$O$1645)=0,"",IF(('Dvd Calendar'!$O$1645&gt;=GRID_FROM)*('Dvd Calendar'!$O$1645&lt;=GRID_TO)*('Dvd Calendar'!$O$1645&gt;VAL_DATE)=0,"",'Dvd Calendar'!$O$1645*1000000000+ISNUMBER('Dvd Calendar'!$O$1646)*100000000+0*10000000+(N('Dvd Calendar'!$O$1644)&gt;0)*(N('Dvd Calendar'!$O$1644)&lt;=VAL_SERIAL)*1000000+8*1000+51))</f>
        <v/>
      </c>
      <c r="GD167" s="39">
        <f>IF(N('Dvd Calendar'!$P$1645)=0,"",IF(('Dvd Calendar'!$P$1645&gt;=GRID_FROM)*('Dvd Calendar'!$P$1645&lt;=GRID_TO)*('Dvd Calendar'!$P$1645&gt;VAL_DATE)=0,"",'Dvd Calendar'!$P$1645*1000000000+ISNUMBER('Dvd Calendar'!$P$1646)*100000000+0*10000000+(N('Dvd Calendar'!$P$1644)&gt;0)*(N('Dvd Calendar'!$P$1644)&lt;=VAL_SERIAL)*1000000+8*1000+52))</f>
        <v/>
      </c>
      <c r="GE167" s="39">
        <f>IF(N('Dvd Calendar'!$Q$1645)=0,"",IF(('Dvd Calendar'!$Q$1645&gt;=GRID_FROM)*('Dvd Calendar'!$Q$1645&lt;=GRID_TO)*('Dvd Calendar'!$Q$1645&gt;VAL_DATE)=0,"",'Dvd Calendar'!$Q$1645*1000000000+ISNUMBER('Dvd Calendar'!$Q$1646)*100000000+0*10000000+(N('Dvd Calendar'!$Q$1644)&gt;0)*(N('Dvd Calendar'!$Q$1644)&lt;=VAL_SERIAL)*1000000+8*1000+53))</f>
        <v/>
      </c>
      <c r="GF167" s="39">
        <f>IF(N('Dvd Calendar'!$R$1645)=0,"",IF(('Dvd Calendar'!$R$1645&gt;=GRID_FROM)*('Dvd Calendar'!$R$1645&lt;=GRID_TO)*('Dvd Calendar'!$R$1645&gt;VAL_DATE)=0,"",'Dvd Calendar'!$R$1645*1000000000+ISNUMBER('Dvd Calendar'!$R$1646)*100000000+0*10000000+(N('Dvd Calendar'!$R$1644)&gt;0)*(N('Dvd Calendar'!$R$1644)&lt;=VAL_SERIAL)*1000000+8*1000+54))</f>
        <v/>
      </c>
      <c r="GG167" s="39">
        <f>IF(N('Dvd Calendar'!$S$1645)=0,"",IF(('Dvd Calendar'!$S$1645&gt;=GRID_FROM)*('Dvd Calendar'!$S$1645&lt;=GRID_TO)*('Dvd Calendar'!$S$1645&gt;VAL_DATE)=0,"",'Dvd Calendar'!$S$1645*1000000000+ISNUMBER('Dvd Calendar'!$S$1646)*100000000+0*10000000+(N('Dvd Calendar'!$S$1644)&gt;0)*(N('Dvd Calendar'!$S$1644)&lt;=VAL_SERIAL)*1000000+8*1000+55))</f>
        <v/>
      </c>
      <c r="GH167" s="39">
        <f>IF(N('Dvd Calendar'!$T$1645)=0,"",IF(('Dvd Calendar'!$T$1645&gt;=GRID_FROM)*('Dvd Calendar'!$T$1645&lt;=GRID_TO)*('Dvd Calendar'!$T$1645&gt;VAL_DATE)=0,"",'Dvd Calendar'!$T$1645*1000000000+ISNUMBER('Dvd Calendar'!$T$1646)*100000000+0*10000000+(N('Dvd Calendar'!$T$1644)&gt;0)*(N('Dvd Calendar'!$T$1644)&lt;=VAL_SERIAL)*1000000+8*1000+56))</f>
        <v/>
      </c>
      <c r="GI167" s="39">
        <f>IF(N('Dvd Calendar'!$U$1645)=0,"",IF(('Dvd Calendar'!$U$1645&gt;=GRID_FROM)*('Dvd Calendar'!$U$1645&lt;=GRID_TO)*('Dvd Calendar'!$U$1645&gt;VAL_DATE)=0,"",'Dvd Calendar'!$U$1645*1000000000+ISNUMBER('Dvd Calendar'!$U$1646)*100000000+0*10000000+(N('Dvd Calendar'!$U$1644)&gt;0)*(N('Dvd Calendar'!$U$1644)&lt;=VAL_SERIAL)*1000000+8*1000+57))</f>
        <v/>
      </c>
      <c r="GJ167" s="39">
        <f>IF(N('Dvd Calendar'!$V$1645)=0,"",IF(('Dvd Calendar'!$V$1645&gt;=GRID_FROM)*('Dvd Calendar'!$V$1645&lt;=GRID_TO)*('Dvd Calendar'!$V$1645&gt;VAL_DATE)=0,"",'Dvd Calendar'!$V$1645*1000000000+ISNUMBER('Dvd Calendar'!$V$1646)*100000000+0*10000000+(N('Dvd Calendar'!$V$1644)&gt;0)*(N('Dvd Calendar'!$V$1644)&lt;=VAL_SERIAL)*1000000+8*1000+58))</f>
        <v/>
      </c>
      <c r="GK167" s="39">
        <f>IF(N('Dvd Calendar'!$W$1645)=0,"",IF(('Dvd Calendar'!$W$1645&gt;=GRID_FROM)*('Dvd Calendar'!$W$1645&lt;=GRID_TO)*('Dvd Calendar'!$W$1645&gt;VAL_DATE)=0,"",'Dvd Calendar'!$W$1645*1000000000+ISNUMBER('Dvd Calendar'!$W$1646)*100000000+0*10000000+(N('Dvd Calendar'!$W$1644)&gt;0)*(N('Dvd Calendar'!$W$1644)&lt;=VAL_SERIAL)*1000000+8*1000+59))</f>
        <v/>
      </c>
      <c r="GL167" s="39">
        <f>IF(N('Dvd Calendar'!$X$1645)=0,"",IF(('Dvd Calendar'!$X$1645&gt;=GRID_FROM)*('Dvd Calendar'!$X$1645&lt;=GRID_TO)*('Dvd Calendar'!$X$1645&gt;VAL_DATE)=0,"",'Dvd Calendar'!$X$1645*1000000000+ISNUMBER('Dvd Calendar'!$X$1646)*100000000+0*10000000+(N('Dvd Calendar'!$X$1644)&gt;0)*(N('Dvd Calendar'!$X$1644)&lt;=VAL_SERIAL)*1000000+8*1000+60))</f>
        <v/>
      </c>
      <c r="GM167" s="39">
        <f>IF(N('Dvd Calendar'!$Y$1645)=0,"",IF(('Dvd Calendar'!$Y$1645&gt;=GRID_FROM)*('Dvd Calendar'!$Y$1645&lt;=GRID_TO)*('Dvd Calendar'!$Y$1645&gt;VAL_DATE)=0,"",'Dvd Calendar'!$Y$1645*1000000000+ISNUMBER('Dvd Calendar'!$Y$1646)*100000000+0*10000000+(N('Dvd Calendar'!$Y$1644)&gt;0)*(N('Dvd Calendar'!$Y$1644)&lt;=VAL_SERIAL)*1000000+8*1000+61))</f>
        <v/>
      </c>
      <c r="GN167" s="39">
        <f>IF(N('Dvd Calendar'!$Z$1645)=0,"",IF(('Dvd Calendar'!$Z$1645&gt;=GRID_FROM)*('Dvd Calendar'!$Z$1645&lt;=GRID_TO)*('Dvd Calendar'!$Z$1645&gt;VAL_DATE)=0,"",'Dvd Calendar'!$Z$1645*1000000000+ISNUMBER('Dvd Calendar'!$Z$1646)*100000000+0*10000000+(N('Dvd Calendar'!$Z$1644)&gt;0)*(N('Dvd Calendar'!$Z$1644)&lt;=VAL_SERIAL)*1000000+8*1000+62))</f>
        <v/>
      </c>
      <c r="GO167" s="39">
        <f>IF(N('Dvd Calendar'!$AA$1645)=0,"",IF(('Dvd Calendar'!$AA$1645&gt;=GRID_FROM)*('Dvd Calendar'!$AA$1645&lt;=GRID_TO)*('Dvd Calendar'!$AA$1645&gt;VAL_DATE)=0,"",'Dvd Calendar'!$AA$1645*1000000000+ISNUMBER('Dvd Calendar'!$AA$1646)*100000000+0*10000000+(N('Dvd Calendar'!$AA$1644)&gt;0)*(N('Dvd Calendar'!$AA$1644)&lt;=VAL_SERIAL)*1000000+8*1000+63))</f>
        <v/>
      </c>
      <c r="GP167" s="39">
        <f>IF(N('Dvd Calendar'!$AB$1645)=0,"",IF(('Dvd Calendar'!$AB$1645&gt;=GRID_FROM)*('Dvd Calendar'!$AB$1645&lt;=GRID_TO)*('Dvd Calendar'!$AB$1645&gt;VAL_DATE)=0,"",'Dvd Calendar'!$AB$1645*1000000000+ISNUMBER('Dvd Calendar'!$AB$1646)*100000000+0*10000000+(N('Dvd Calendar'!$AB$1644)&gt;0)*(N('Dvd Calendar'!$AB$1644)&lt;=VAL_SERIAL)*1000000+8*1000+64))</f>
        <v/>
      </c>
      <c r="GQ167" s="39">
        <f>IF(N('Dvd Calendar'!$AC$1645)=0,"",IF(('Dvd Calendar'!$AC$1645&gt;=GRID_FROM)*('Dvd Calendar'!$AC$1645&lt;=GRID_TO)*('Dvd Calendar'!$AC$1645&gt;VAL_DATE)=0,"",'Dvd Calendar'!$AC$1645*1000000000+ISNUMBER('Dvd Calendar'!$AC$1646)*100000000+0*10000000+(N('Dvd Calendar'!$AC$1644)&gt;0)*(N('Dvd Calendar'!$AC$1644)&lt;=VAL_SERIAL)*1000000+8*1000+65))</f>
        <v/>
      </c>
    </row>
    <row r="168">
      <c r="B168" s="2">
        <f>IF(HSCEI!$C$15="","",HSCEI!$C$15)</f>
        <v/>
      </c>
      <c r="C168" s="110">
        <f>IF(EE168="","",IF(ISNUMBER('Dvd Calendar'!$E$1652)=FALSE,"",IF((('Dvd Calendar'!$E$1654=TYPE1)*(TYPE1&lt;&gt;"")+('Dvd Calendar'!$E$1654=TYPE2)*(TYPE2&lt;&gt;"")+('Dvd Calendar'!$E$1654=TYPE3)*(TYPE3&lt;&gt;"")+('Dvd Calendar'!$E$1654=TYPE4)*(TYPE4&lt;&gt;"")+('Dvd Calendar'!$E$1654=SPECIAL_LBL)*(INC_SPECIALS="Y"))=0,"",'Dvd Calendar'!$E$1652)))</f>
        <v/>
      </c>
      <c r="D168" s="110">
        <f>IF(EF168="","",IF(ISNUMBER('Dvd Calendar'!$F$1652)=FALSE,"",IF((('Dvd Calendar'!$F$1654=TYPE1)*(TYPE1&lt;&gt;"")+('Dvd Calendar'!$F$1654=TYPE2)*(TYPE2&lt;&gt;"")+('Dvd Calendar'!$F$1654=TYPE3)*(TYPE3&lt;&gt;"")+('Dvd Calendar'!$F$1654=TYPE4)*(TYPE4&lt;&gt;"")+('Dvd Calendar'!$F$1654=SPECIAL_LBL)*(INC_SPECIALS="Y"))=0,"",'Dvd Calendar'!$F$1652)))</f>
        <v/>
      </c>
      <c r="E168" s="110">
        <f>IF(EG168="","",IF(ISNUMBER('Dvd Calendar'!$G$1652)=FALSE,"",IF((('Dvd Calendar'!$G$1654=TYPE1)*(TYPE1&lt;&gt;"")+('Dvd Calendar'!$G$1654=TYPE2)*(TYPE2&lt;&gt;"")+('Dvd Calendar'!$G$1654=TYPE3)*(TYPE3&lt;&gt;"")+('Dvd Calendar'!$G$1654=TYPE4)*(TYPE4&lt;&gt;"")+('Dvd Calendar'!$G$1654=SPECIAL_LBL)*(INC_SPECIALS="Y"))=0,"",'Dvd Calendar'!$G$1652)))</f>
        <v/>
      </c>
      <c r="F168" s="110">
        <f>IF(EH168="","",IF(ISNUMBER('Dvd Calendar'!$H$1652)=FALSE,"",IF((('Dvd Calendar'!$H$1654=TYPE1)*(TYPE1&lt;&gt;"")+('Dvd Calendar'!$H$1654=TYPE2)*(TYPE2&lt;&gt;"")+('Dvd Calendar'!$H$1654=TYPE3)*(TYPE3&lt;&gt;"")+('Dvd Calendar'!$H$1654=TYPE4)*(TYPE4&lt;&gt;"")+('Dvd Calendar'!$H$1654=SPECIAL_LBL)*(INC_SPECIALS="Y"))=0,"",'Dvd Calendar'!$H$1652)))</f>
        <v/>
      </c>
      <c r="G168" s="110">
        <f>IF(EI168="","",IF(ISNUMBER('Dvd Calendar'!$I$1652)=FALSE,"",IF((('Dvd Calendar'!$I$1654=TYPE1)*(TYPE1&lt;&gt;"")+('Dvd Calendar'!$I$1654=TYPE2)*(TYPE2&lt;&gt;"")+('Dvd Calendar'!$I$1654=TYPE3)*(TYPE3&lt;&gt;"")+('Dvd Calendar'!$I$1654=TYPE4)*(TYPE4&lt;&gt;"")+('Dvd Calendar'!$I$1654=SPECIAL_LBL)*(INC_SPECIALS="Y"))=0,"",'Dvd Calendar'!$I$1652)))</f>
        <v/>
      </c>
      <c r="H168" s="110">
        <f>IF(EJ168="","",IF(ISNUMBER('Dvd Calendar'!$J$1652)=FALSE,"",IF((('Dvd Calendar'!$J$1654=TYPE1)*(TYPE1&lt;&gt;"")+('Dvd Calendar'!$J$1654=TYPE2)*(TYPE2&lt;&gt;"")+('Dvd Calendar'!$J$1654=TYPE3)*(TYPE3&lt;&gt;"")+('Dvd Calendar'!$J$1654=TYPE4)*(TYPE4&lt;&gt;"")+('Dvd Calendar'!$J$1654=SPECIAL_LBL)*(INC_SPECIALS="Y"))=0,"",'Dvd Calendar'!$J$1652)))</f>
        <v/>
      </c>
      <c r="I168" s="110">
        <f>IF(EK168="","",IF(ISNUMBER('Dvd Calendar'!$K$1652)=FALSE,"",IF((('Dvd Calendar'!$K$1654=TYPE1)*(TYPE1&lt;&gt;"")+('Dvd Calendar'!$K$1654=TYPE2)*(TYPE2&lt;&gt;"")+('Dvd Calendar'!$K$1654=TYPE3)*(TYPE3&lt;&gt;"")+('Dvd Calendar'!$K$1654=TYPE4)*(TYPE4&lt;&gt;"")+('Dvd Calendar'!$K$1654=SPECIAL_LBL)*(INC_SPECIALS="Y"))=0,"",'Dvd Calendar'!$K$1652)))</f>
        <v/>
      </c>
      <c r="J168" s="110">
        <f>IF(EL168="","",IF(ISNUMBER('Dvd Calendar'!$L$1652)=FALSE,"",IF((('Dvd Calendar'!$L$1654=TYPE1)*(TYPE1&lt;&gt;"")+('Dvd Calendar'!$L$1654=TYPE2)*(TYPE2&lt;&gt;"")+('Dvd Calendar'!$L$1654=TYPE3)*(TYPE3&lt;&gt;"")+('Dvd Calendar'!$L$1654=TYPE4)*(TYPE4&lt;&gt;"")+('Dvd Calendar'!$L$1654=SPECIAL_LBL)*(INC_SPECIALS="Y"))=0,"",'Dvd Calendar'!$L$1652)))</f>
        <v/>
      </c>
      <c r="K168" s="110">
        <f>IF(EM168="","",IF(ISNUMBER('Dvd Calendar'!$M$1652)=FALSE,"",IF((('Dvd Calendar'!$M$1654=TYPE1)*(TYPE1&lt;&gt;"")+('Dvd Calendar'!$M$1654=TYPE2)*(TYPE2&lt;&gt;"")+('Dvd Calendar'!$M$1654=TYPE3)*(TYPE3&lt;&gt;"")+('Dvd Calendar'!$M$1654=TYPE4)*(TYPE4&lt;&gt;"")+('Dvd Calendar'!$M$1654=SPECIAL_LBL)*(INC_SPECIALS="Y"))=0,"",'Dvd Calendar'!$M$1652)))</f>
        <v/>
      </c>
      <c r="L168" s="110">
        <f>IF(EN168="","",IF(ISNUMBER('Dvd Calendar'!$N$1652)=FALSE,"",IF((('Dvd Calendar'!$N$1654=TYPE1)*(TYPE1&lt;&gt;"")+('Dvd Calendar'!$N$1654=TYPE2)*(TYPE2&lt;&gt;"")+('Dvd Calendar'!$N$1654=TYPE3)*(TYPE3&lt;&gt;"")+('Dvd Calendar'!$N$1654=TYPE4)*(TYPE4&lt;&gt;"")+('Dvd Calendar'!$N$1654=SPECIAL_LBL)*(INC_SPECIALS="Y"))=0,"",'Dvd Calendar'!$N$1652)))</f>
        <v/>
      </c>
      <c r="M168" s="110">
        <f>IF(EO168="","",IF(ISNUMBER('Dvd Calendar'!$O$1652)=FALSE,"",IF((('Dvd Calendar'!$O$1654=TYPE1)*(TYPE1&lt;&gt;"")+('Dvd Calendar'!$O$1654=TYPE2)*(TYPE2&lt;&gt;"")+('Dvd Calendar'!$O$1654=TYPE3)*(TYPE3&lt;&gt;"")+('Dvd Calendar'!$O$1654=TYPE4)*(TYPE4&lt;&gt;"")+('Dvd Calendar'!$O$1654=SPECIAL_LBL)*(INC_SPECIALS="Y"))=0,"",'Dvd Calendar'!$O$1652)))</f>
        <v/>
      </c>
      <c r="N168" s="110">
        <f>IF(EP168="","",IF(ISNUMBER('Dvd Calendar'!$P$1652)=FALSE,"",IF((('Dvd Calendar'!$P$1654=TYPE1)*(TYPE1&lt;&gt;"")+('Dvd Calendar'!$P$1654=TYPE2)*(TYPE2&lt;&gt;"")+('Dvd Calendar'!$P$1654=TYPE3)*(TYPE3&lt;&gt;"")+('Dvd Calendar'!$P$1654=TYPE4)*(TYPE4&lt;&gt;"")+('Dvd Calendar'!$P$1654=SPECIAL_LBL)*(INC_SPECIALS="Y"))=0,"",'Dvd Calendar'!$P$1652)))</f>
        <v/>
      </c>
      <c r="O168" s="110">
        <f>IF(EQ168="","",IF(ISNUMBER('Dvd Calendar'!$Q$1652)=FALSE,"",IF((('Dvd Calendar'!$Q$1654=TYPE1)*(TYPE1&lt;&gt;"")+('Dvd Calendar'!$Q$1654=TYPE2)*(TYPE2&lt;&gt;"")+('Dvd Calendar'!$Q$1654=TYPE3)*(TYPE3&lt;&gt;"")+('Dvd Calendar'!$Q$1654=TYPE4)*(TYPE4&lt;&gt;"")+('Dvd Calendar'!$Q$1654=SPECIAL_LBL)*(INC_SPECIALS="Y"))=0,"",'Dvd Calendar'!$Q$1652)))</f>
        <v/>
      </c>
      <c r="P168" s="110">
        <f>IF(ER168="","",IF(ISNUMBER('Dvd Calendar'!$R$1652)=FALSE,"",IF((('Dvd Calendar'!$R$1654=TYPE1)*(TYPE1&lt;&gt;"")+('Dvd Calendar'!$R$1654=TYPE2)*(TYPE2&lt;&gt;"")+('Dvd Calendar'!$R$1654=TYPE3)*(TYPE3&lt;&gt;"")+('Dvd Calendar'!$R$1654=TYPE4)*(TYPE4&lt;&gt;"")+('Dvd Calendar'!$R$1654=SPECIAL_LBL)*(INC_SPECIALS="Y"))=0,"",'Dvd Calendar'!$R$1652)))</f>
        <v/>
      </c>
      <c r="Q168" s="110">
        <f>IF(ES168="","",IF(ISNUMBER('Dvd Calendar'!$S$1652)=FALSE,"",IF((('Dvd Calendar'!$S$1654=TYPE1)*(TYPE1&lt;&gt;"")+('Dvd Calendar'!$S$1654=TYPE2)*(TYPE2&lt;&gt;"")+('Dvd Calendar'!$S$1654=TYPE3)*(TYPE3&lt;&gt;"")+('Dvd Calendar'!$S$1654=TYPE4)*(TYPE4&lt;&gt;"")+('Dvd Calendar'!$S$1654=SPECIAL_LBL)*(INC_SPECIALS="Y"))=0,"",'Dvd Calendar'!$S$1652)))</f>
        <v/>
      </c>
      <c r="R168" s="110">
        <f>IF(ET168="","",IF(ISNUMBER('Dvd Calendar'!$T$1652)=FALSE,"",IF((('Dvd Calendar'!$T$1654=TYPE1)*(TYPE1&lt;&gt;"")+('Dvd Calendar'!$T$1654=TYPE2)*(TYPE2&lt;&gt;"")+('Dvd Calendar'!$T$1654=TYPE3)*(TYPE3&lt;&gt;"")+('Dvd Calendar'!$T$1654=TYPE4)*(TYPE4&lt;&gt;"")+('Dvd Calendar'!$T$1654=SPECIAL_LBL)*(INC_SPECIALS="Y"))=0,"",'Dvd Calendar'!$T$1652)))</f>
        <v/>
      </c>
      <c r="S168" s="110">
        <f>IF(EU168="","",IF(ISNUMBER('Dvd Calendar'!$U$1652)=FALSE,"",IF((('Dvd Calendar'!$U$1654=TYPE1)*(TYPE1&lt;&gt;"")+('Dvd Calendar'!$U$1654=TYPE2)*(TYPE2&lt;&gt;"")+('Dvd Calendar'!$U$1654=TYPE3)*(TYPE3&lt;&gt;"")+('Dvd Calendar'!$U$1654=TYPE4)*(TYPE4&lt;&gt;"")+('Dvd Calendar'!$U$1654=SPECIAL_LBL)*(INC_SPECIALS="Y"))=0,"",'Dvd Calendar'!$U$1652)))</f>
        <v/>
      </c>
      <c r="T168" s="110">
        <f>IF(EV168="","",IF(ISNUMBER('Dvd Calendar'!$V$1652)=FALSE,"",IF((('Dvd Calendar'!$V$1654=TYPE1)*(TYPE1&lt;&gt;"")+('Dvd Calendar'!$V$1654=TYPE2)*(TYPE2&lt;&gt;"")+('Dvd Calendar'!$V$1654=TYPE3)*(TYPE3&lt;&gt;"")+('Dvd Calendar'!$V$1654=TYPE4)*(TYPE4&lt;&gt;"")+('Dvd Calendar'!$V$1654=SPECIAL_LBL)*(INC_SPECIALS="Y"))=0,"",'Dvd Calendar'!$V$1652)))</f>
        <v/>
      </c>
      <c r="U168" s="110">
        <f>IF(EW168="","",IF(ISNUMBER('Dvd Calendar'!$W$1652)=FALSE,"",IF((('Dvd Calendar'!$W$1654=TYPE1)*(TYPE1&lt;&gt;"")+('Dvd Calendar'!$W$1654=TYPE2)*(TYPE2&lt;&gt;"")+('Dvd Calendar'!$W$1654=TYPE3)*(TYPE3&lt;&gt;"")+('Dvd Calendar'!$W$1654=TYPE4)*(TYPE4&lt;&gt;"")+('Dvd Calendar'!$W$1654=SPECIAL_LBL)*(INC_SPECIALS="Y"))=0,"",'Dvd Calendar'!$W$1652)))</f>
        <v/>
      </c>
      <c r="V168" s="110">
        <f>IF(EX168="","",IF(ISNUMBER('Dvd Calendar'!$X$1652)=FALSE,"",IF((('Dvd Calendar'!$X$1654=TYPE1)*(TYPE1&lt;&gt;"")+('Dvd Calendar'!$X$1654=TYPE2)*(TYPE2&lt;&gt;"")+('Dvd Calendar'!$X$1654=TYPE3)*(TYPE3&lt;&gt;"")+('Dvd Calendar'!$X$1654=TYPE4)*(TYPE4&lt;&gt;"")+('Dvd Calendar'!$X$1654=SPECIAL_LBL)*(INC_SPECIALS="Y"))=0,"",'Dvd Calendar'!$X$1652)))</f>
        <v/>
      </c>
      <c r="W168" s="110">
        <f>IF(EY168="","",IF(ISNUMBER('Dvd Calendar'!$Y$1652)=FALSE,"",IF((('Dvd Calendar'!$Y$1654=TYPE1)*(TYPE1&lt;&gt;"")+('Dvd Calendar'!$Y$1654=TYPE2)*(TYPE2&lt;&gt;"")+('Dvd Calendar'!$Y$1654=TYPE3)*(TYPE3&lt;&gt;"")+('Dvd Calendar'!$Y$1654=TYPE4)*(TYPE4&lt;&gt;"")+('Dvd Calendar'!$Y$1654=SPECIAL_LBL)*(INC_SPECIALS="Y"))=0,"",'Dvd Calendar'!$Y$1652)))</f>
        <v/>
      </c>
      <c r="X168" s="110">
        <f>IF(EZ168="","",IF(ISNUMBER('Dvd Calendar'!$Z$1652)=FALSE,"",IF((('Dvd Calendar'!$Z$1654=TYPE1)*(TYPE1&lt;&gt;"")+('Dvd Calendar'!$Z$1654=TYPE2)*(TYPE2&lt;&gt;"")+('Dvd Calendar'!$Z$1654=TYPE3)*(TYPE3&lt;&gt;"")+('Dvd Calendar'!$Z$1654=TYPE4)*(TYPE4&lt;&gt;"")+('Dvd Calendar'!$Z$1654=SPECIAL_LBL)*(INC_SPECIALS="Y"))=0,"",'Dvd Calendar'!$Z$1652)))</f>
        <v/>
      </c>
      <c r="Y168" s="110">
        <f>IF(FA168="","",IF(ISNUMBER('Dvd Calendar'!$AA$1652)=FALSE,"",IF((('Dvd Calendar'!$AA$1654=TYPE1)*(TYPE1&lt;&gt;"")+('Dvd Calendar'!$AA$1654=TYPE2)*(TYPE2&lt;&gt;"")+('Dvd Calendar'!$AA$1654=TYPE3)*(TYPE3&lt;&gt;"")+('Dvd Calendar'!$AA$1654=TYPE4)*(TYPE4&lt;&gt;"")+('Dvd Calendar'!$AA$1654=SPECIAL_LBL)*(INC_SPECIALS="Y"))=0,"",'Dvd Calendar'!$AA$1652)))</f>
        <v/>
      </c>
      <c r="Z168" s="110">
        <f>IF(FB168="","",IF(ISNUMBER('Dvd Calendar'!$AB$1652)=FALSE,"",IF((('Dvd Calendar'!$AB$1654=TYPE1)*(TYPE1&lt;&gt;"")+('Dvd Calendar'!$AB$1654=TYPE2)*(TYPE2&lt;&gt;"")+('Dvd Calendar'!$AB$1654=TYPE3)*(TYPE3&lt;&gt;"")+('Dvd Calendar'!$AB$1654=TYPE4)*(TYPE4&lt;&gt;"")+('Dvd Calendar'!$AB$1654=SPECIAL_LBL)*(INC_SPECIALS="Y"))=0,"",'Dvd Calendar'!$AB$1652)))</f>
        <v/>
      </c>
      <c r="AA168" s="110">
        <f>IF(FC168="","",IF(ISNUMBER('Dvd Calendar'!$AC$1652)=FALSE,"",IF((('Dvd Calendar'!$AC$1654=TYPE1)*(TYPE1&lt;&gt;"")+('Dvd Calendar'!$AC$1654=TYPE2)*(TYPE2&lt;&gt;"")+('Dvd Calendar'!$AC$1654=TYPE3)*(TYPE3&lt;&gt;"")+('Dvd Calendar'!$AC$1654=TYPE4)*(TYPE4&lt;&gt;"")+('Dvd Calendar'!$AC$1654=SPECIAL_LBL)*(INC_SPECIALS="Y"))=0,"",'Dvd Calendar'!$AC$1652)))</f>
        <v/>
      </c>
      <c r="AB168" s="110">
        <f>IF(FD168="","",IF(ISNUMBER('Dvd Calendar'!$AD$1652)=FALSE,"",IF((('Dvd Calendar'!$AD$1654=TYPE1)*(TYPE1&lt;&gt;"")+('Dvd Calendar'!$AD$1654=TYPE2)*(TYPE2&lt;&gt;"")+('Dvd Calendar'!$AD$1654=TYPE3)*(TYPE3&lt;&gt;"")+('Dvd Calendar'!$AD$1654=TYPE4)*(TYPE4&lt;&gt;"")+('Dvd Calendar'!$AD$1654=SPECIAL_LBL)*(INC_SPECIALS="Y"))=0,"",'Dvd Calendar'!$AD$1652)))</f>
        <v/>
      </c>
      <c r="AC168" s="110">
        <f>IF(FE168="","",IF(ISNUMBER('Dvd Calendar'!$AE$1652)=FALSE,"",IF((('Dvd Calendar'!$AE$1654=TYPE1)*(TYPE1&lt;&gt;"")+('Dvd Calendar'!$AE$1654=TYPE2)*(TYPE2&lt;&gt;"")+('Dvd Calendar'!$AE$1654=TYPE3)*(TYPE3&lt;&gt;"")+('Dvd Calendar'!$AE$1654=TYPE4)*(TYPE4&lt;&gt;"")+('Dvd Calendar'!$AE$1654=SPECIAL_LBL)*(INC_SPECIALS="Y"))=0,"",'Dvd Calendar'!$AE$1652)))</f>
        <v/>
      </c>
      <c r="AD168" s="110">
        <f>IF(FF168="","",IF(ISNUMBER('Dvd Calendar'!$AF$1652)=FALSE,"",IF((('Dvd Calendar'!$AF$1654=TYPE1)*(TYPE1&lt;&gt;"")+('Dvd Calendar'!$AF$1654=TYPE2)*(TYPE2&lt;&gt;"")+('Dvd Calendar'!$AF$1654=TYPE3)*(TYPE3&lt;&gt;"")+('Dvd Calendar'!$AF$1654=TYPE4)*(TYPE4&lt;&gt;"")+('Dvd Calendar'!$AF$1654=SPECIAL_LBL)*(INC_SPECIALS="Y"))=0,"",'Dvd Calendar'!$AF$1652)))</f>
        <v/>
      </c>
      <c r="AE168" s="110">
        <f>IF(FG168="","",IF(ISNUMBER('Dvd Calendar'!$AG$1652)=FALSE,"",IF((('Dvd Calendar'!$AG$1654=TYPE1)*(TYPE1&lt;&gt;"")+('Dvd Calendar'!$AG$1654=TYPE2)*(TYPE2&lt;&gt;"")+('Dvd Calendar'!$AG$1654=TYPE3)*(TYPE3&lt;&gt;"")+('Dvd Calendar'!$AG$1654=TYPE4)*(TYPE4&lt;&gt;"")+('Dvd Calendar'!$AG$1654=SPECIAL_LBL)*(INC_SPECIALS="Y"))=0,"",'Dvd Calendar'!$AG$1652)))</f>
        <v/>
      </c>
      <c r="AF168" s="110">
        <f>IF(FH168="","",IF(ISNUMBER('Dvd Calendar'!$AH$1652)=FALSE,"",IF((('Dvd Calendar'!$AH$1654=TYPE1)*(TYPE1&lt;&gt;"")+('Dvd Calendar'!$AH$1654=TYPE2)*(TYPE2&lt;&gt;"")+('Dvd Calendar'!$AH$1654=TYPE3)*(TYPE3&lt;&gt;"")+('Dvd Calendar'!$AH$1654=TYPE4)*(TYPE4&lt;&gt;"")+('Dvd Calendar'!$AH$1654=SPECIAL_LBL)*(INC_SPECIALS="Y"))=0,"",'Dvd Calendar'!$AH$1652)))</f>
        <v/>
      </c>
      <c r="AG168" s="110">
        <f>IF(FI168="","",IF(ISNUMBER('Dvd Calendar'!$AI$1652)=FALSE,"",IF((('Dvd Calendar'!$AI$1654=TYPE1)*(TYPE1&lt;&gt;"")+('Dvd Calendar'!$AI$1654=TYPE2)*(TYPE2&lt;&gt;"")+('Dvd Calendar'!$AI$1654=TYPE3)*(TYPE3&lt;&gt;"")+('Dvd Calendar'!$AI$1654=TYPE4)*(TYPE4&lt;&gt;"")+('Dvd Calendar'!$AI$1654=SPECIAL_LBL)*(INC_SPECIALS="Y"))=0,"",'Dvd Calendar'!$AI$1652)))</f>
        <v/>
      </c>
      <c r="AH168" s="110">
        <f>IF(FJ168="","",IF(ISNUMBER('Dvd Calendar'!$AJ$1652)=FALSE,"",IF((('Dvd Calendar'!$AJ$1654=TYPE1)*(TYPE1&lt;&gt;"")+('Dvd Calendar'!$AJ$1654=TYPE2)*(TYPE2&lt;&gt;"")+('Dvd Calendar'!$AJ$1654=TYPE3)*(TYPE3&lt;&gt;"")+('Dvd Calendar'!$AJ$1654=TYPE4)*(TYPE4&lt;&gt;"")+('Dvd Calendar'!$AJ$1654=SPECIAL_LBL)*(INC_SPECIALS="Y"))=0,"",'Dvd Calendar'!$AJ$1652)))</f>
        <v/>
      </c>
      <c r="AI168" s="110">
        <f>IF(FK168="","",IF(ISNUMBER('Dvd Calendar'!$AK$1652)=FALSE,"",IF((('Dvd Calendar'!$AK$1654=TYPE1)*(TYPE1&lt;&gt;"")+('Dvd Calendar'!$AK$1654=TYPE2)*(TYPE2&lt;&gt;"")+('Dvd Calendar'!$AK$1654=TYPE3)*(TYPE3&lt;&gt;"")+('Dvd Calendar'!$AK$1654=TYPE4)*(TYPE4&lt;&gt;"")+('Dvd Calendar'!$AK$1654=SPECIAL_LBL)*(INC_SPECIALS="Y"))=0,"",'Dvd Calendar'!$AK$1652)))</f>
        <v/>
      </c>
      <c r="AJ168" s="110">
        <f>IF(FL168="","",IF(ISNUMBER('Dvd Calendar'!$AL$1652)=FALSE,"",IF((('Dvd Calendar'!$AL$1654=TYPE1)*(TYPE1&lt;&gt;"")+('Dvd Calendar'!$AL$1654=TYPE2)*(TYPE2&lt;&gt;"")+('Dvd Calendar'!$AL$1654=TYPE3)*(TYPE3&lt;&gt;"")+('Dvd Calendar'!$AL$1654=TYPE4)*(TYPE4&lt;&gt;"")+('Dvd Calendar'!$AL$1654=SPECIAL_LBL)*(INC_SPECIALS="Y"))=0,"",'Dvd Calendar'!$AL$1652)))</f>
        <v/>
      </c>
      <c r="AK168" s="110">
        <f>IF(FM168="","",IF(ISNUMBER('Dvd Calendar'!$AM$1652)=FALSE,"",IF((('Dvd Calendar'!$AM$1654=TYPE1)*(TYPE1&lt;&gt;"")+('Dvd Calendar'!$AM$1654=TYPE2)*(TYPE2&lt;&gt;"")+('Dvd Calendar'!$AM$1654=TYPE3)*(TYPE3&lt;&gt;"")+('Dvd Calendar'!$AM$1654=TYPE4)*(TYPE4&lt;&gt;"")+('Dvd Calendar'!$AM$1654=SPECIAL_LBL)*(INC_SPECIALS="Y"))=0,"",'Dvd Calendar'!$AM$1652)))</f>
        <v/>
      </c>
      <c r="AL168" s="110">
        <f>IF(FN168="","",IF(ISNUMBER('Dvd Calendar'!$AN$1652)=FALSE,"",IF((('Dvd Calendar'!$AN$1654=TYPE1)*(TYPE1&lt;&gt;"")+('Dvd Calendar'!$AN$1654=TYPE2)*(TYPE2&lt;&gt;"")+('Dvd Calendar'!$AN$1654=TYPE3)*(TYPE3&lt;&gt;"")+('Dvd Calendar'!$AN$1654=TYPE4)*(TYPE4&lt;&gt;"")+('Dvd Calendar'!$AN$1654=SPECIAL_LBL)*(INC_SPECIALS="Y"))=0,"",'Dvd Calendar'!$AN$1652)))</f>
        <v/>
      </c>
      <c r="AM168" s="110">
        <f>IF(FO168="","",IF(ISNUMBER('Dvd Calendar'!$AO$1652)=FALSE,"",IF((('Dvd Calendar'!$AO$1654=TYPE1)*(TYPE1&lt;&gt;"")+('Dvd Calendar'!$AO$1654=TYPE2)*(TYPE2&lt;&gt;"")+('Dvd Calendar'!$AO$1654=TYPE3)*(TYPE3&lt;&gt;"")+('Dvd Calendar'!$AO$1654=TYPE4)*(TYPE4&lt;&gt;"")+('Dvd Calendar'!$AO$1654=SPECIAL_LBL)*(INC_SPECIALS="Y"))=0,"",'Dvd Calendar'!$AO$1652)))</f>
        <v/>
      </c>
      <c r="AN168" s="110">
        <f>IF(FP168="","",IF(ISNUMBER('Dvd Calendar'!$AP$1652)=FALSE,"",IF((('Dvd Calendar'!$AP$1654=TYPE1)*(TYPE1&lt;&gt;"")+('Dvd Calendar'!$AP$1654=TYPE2)*(TYPE2&lt;&gt;"")+('Dvd Calendar'!$AP$1654=TYPE3)*(TYPE3&lt;&gt;"")+('Dvd Calendar'!$AP$1654=TYPE4)*(TYPE4&lt;&gt;"")+('Dvd Calendar'!$AP$1654=SPECIAL_LBL)*(INC_SPECIALS="Y"))=0,"",'Dvd Calendar'!$AP$1652)))</f>
        <v/>
      </c>
      <c r="AO168" s="110">
        <f>IF(FQ168="","",IF(ISNUMBER('Dvd Calendar'!$AQ$1652)=FALSE,"",IF((('Dvd Calendar'!$AQ$1654=TYPE1)*(TYPE1&lt;&gt;"")+('Dvd Calendar'!$AQ$1654=TYPE2)*(TYPE2&lt;&gt;"")+('Dvd Calendar'!$AQ$1654=TYPE3)*(TYPE3&lt;&gt;"")+('Dvd Calendar'!$AQ$1654=TYPE4)*(TYPE4&lt;&gt;"")+('Dvd Calendar'!$AQ$1654=SPECIAL_LBL)*(INC_SPECIALS="Y"))=0,"",'Dvd Calendar'!$AQ$1652)))</f>
        <v/>
      </c>
      <c r="AP168" s="110">
        <f>IF(FR168="","",IF(ISNUMBER('Dvd Calendar'!$AR$1652)=FALSE,"",IF((('Dvd Calendar'!$AR$1654=TYPE1)*(TYPE1&lt;&gt;"")+('Dvd Calendar'!$AR$1654=TYPE2)*(TYPE2&lt;&gt;"")+('Dvd Calendar'!$AR$1654=TYPE3)*(TYPE3&lt;&gt;"")+('Dvd Calendar'!$AR$1654=TYPE4)*(TYPE4&lt;&gt;"")+('Dvd Calendar'!$AR$1654=SPECIAL_LBL)*(INC_SPECIALS="Y"))=0,"",'Dvd Calendar'!$AR$1652)))</f>
        <v/>
      </c>
      <c r="AQ168" s="110">
        <f>IF(FS168="","",IF(ISNUMBER('Dvd Calendar'!$E$1657)=FALSE,"",'Dvd Calendar'!$E$1657))</f>
        <v/>
      </c>
      <c r="AR168" s="110">
        <f>IF(FT168="","",IF(ISNUMBER('Dvd Calendar'!$F$1657)=FALSE,"",'Dvd Calendar'!$F$1657))</f>
        <v/>
      </c>
      <c r="AS168" s="110">
        <f>IF(FU168="","",IF(ISNUMBER('Dvd Calendar'!$G$1657)=FALSE,"",'Dvd Calendar'!$G$1657))</f>
        <v/>
      </c>
      <c r="AT168" s="110">
        <f>IF(FV168="","",IF(ISNUMBER('Dvd Calendar'!$H$1657)=FALSE,"",'Dvd Calendar'!$H$1657))</f>
        <v/>
      </c>
      <c r="AU168" s="110">
        <f>IF(FW168="","",IF(ISNUMBER('Dvd Calendar'!$I$1657)=FALSE,"",'Dvd Calendar'!$I$1657))</f>
        <v/>
      </c>
      <c r="AV168" s="110">
        <f>IF(FX168="","",IF(ISNUMBER('Dvd Calendar'!$J$1657)=FALSE,"",'Dvd Calendar'!$J$1657))</f>
        <v/>
      </c>
      <c r="AW168" s="110">
        <f>IF(FY168="","",IF(ISNUMBER('Dvd Calendar'!$K$1657)=FALSE,"",'Dvd Calendar'!$K$1657))</f>
        <v/>
      </c>
      <c r="AX168" s="110">
        <f>IF(FZ168="","",IF(ISNUMBER('Dvd Calendar'!$L$1657)=FALSE,"",'Dvd Calendar'!$L$1657))</f>
        <v/>
      </c>
      <c r="AY168" s="110">
        <f>IF(GA168="","",IF(ISNUMBER('Dvd Calendar'!$M$1657)=FALSE,"",'Dvd Calendar'!$M$1657))</f>
        <v/>
      </c>
      <c r="AZ168" s="110">
        <f>IF(GB168="","",IF(ISNUMBER('Dvd Calendar'!$N$1657)=FALSE,"",'Dvd Calendar'!$N$1657))</f>
        <v/>
      </c>
      <c r="BA168" s="110">
        <f>IF(GC168="","",IF(ISNUMBER('Dvd Calendar'!$O$1657)=FALSE,"",'Dvd Calendar'!$O$1657))</f>
        <v/>
      </c>
      <c r="BB168" s="110">
        <f>IF(GD168="","",IF(ISNUMBER('Dvd Calendar'!$P$1657)=FALSE,"",'Dvd Calendar'!$P$1657))</f>
        <v/>
      </c>
      <c r="BC168" s="110">
        <f>IF(GE168="","",IF(ISNUMBER('Dvd Calendar'!$Q$1657)=FALSE,"",'Dvd Calendar'!$Q$1657))</f>
        <v/>
      </c>
      <c r="BD168" s="110">
        <f>IF(GF168="","",IF(ISNUMBER('Dvd Calendar'!$R$1657)=FALSE,"",'Dvd Calendar'!$R$1657))</f>
        <v/>
      </c>
      <c r="BE168" s="110">
        <f>IF(GG168="","",IF(ISNUMBER('Dvd Calendar'!$S$1657)=FALSE,"",'Dvd Calendar'!$S$1657))</f>
        <v/>
      </c>
      <c r="BF168" s="110">
        <f>IF(GH168="","",IF(ISNUMBER('Dvd Calendar'!$T$1657)=FALSE,"",'Dvd Calendar'!$T$1657))</f>
        <v/>
      </c>
      <c r="BG168" s="110">
        <f>IF(GI168="","",IF(ISNUMBER('Dvd Calendar'!$U$1657)=FALSE,"",'Dvd Calendar'!$U$1657))</f>
        <v/>
      </c>
      <c r="BH168" s="110">
        <f>IF(GJ168="","",IF(ISNUMBER('Dvd Calendar'!$V$1657)=FALSE,"",'Dvd Calendar'!$V$1657))</f>
        <v/>
      </c>
      <c r="BI168" s="110">
        <f>IF(GK168="","",IF(ISNUMBER('Dvd Calendar'!$W$1657)=FALSE,"",'Dvd Calendar'!$W$1657))</f>
        <v/>
      </c>
      <c r="BJ168" s="110">
        <f>IF(GL168="","",IF(ISNUMBER('Dvd Calendar'!$X$1657)=FALSE,"",'Dvd Calendar'!$X$1657))</f>
        <v/>
      </c>
      <c r="BK168" s="110">
        <f>IF(GM168="","",IF(ISNUMBER('Dvd Calendar'!$Y$1657)=FALSE,"",'Dvd Calendar'!$Y$1657))</f>
        <v/>
      </c>
      <c r="BL168" s="110">
        <f>IF(GN168="","",IF(ISNUMBER('Dvd Calendar'!$Z$1657)=FALSE,"",'Dvd Calendar'!$Z$1657))</f>
        <v/>
      </c>
      <c r="BM168" s="110">
        <f>IF(GO168="","",IF(ISNUMBER('Dvd Calendar'!$AA$1657)=FALSE,"",'Dvd Calendar'!$AA$1657))</f>
        <v/>
      </c>
      <c r="BN168" s="110">
        <f>IF(GP168="","",IF(ISNUMBER('Dvd Calendar'!$AB$1657)=FALSE,"",'Dvd Calendar'!$AB$1657))</f>
        <v/>
      </c>
      <c r="BO168" s="110">
        <f>IF(GQ168="","",IF(ISNUMBER('Dvd Calendar'!$AC$1657)=FALSE,"",'Dvd Calendar'!$AC$1657))</f>
        <v/>
      </c>
      <c r="BQ168" s="110">
        <f>IF(C168="","",IFERROR(C168*HSCEI!$B$15*HSCEI!$G$15/HSCEI!$B$3,""))</f>
        <v/>
      </c>
      <c r="BR168" s="110">
        <f>IF(D168="","",IFERROR(D168*HSCEI!$B$15*HSCEI!$G$15/HSCEI!$B$3,""))</f>
        <v/>
      </c>
      <c r="BS168" s="110">
        <f>IF(E168="","",IFERROR(E168*HSCEI!$B$15*HSCEI!$G$15/HSCEI!$B$3,""))</f>
        <v/>
      </c>
      <c r="BT168" s="110">
        <f>IF(F168="","",IFERROR(F168*HSCEI!$B$15*HSCEI!$G$15/HSCEI!$B$3,""))</f>
        <v/>
      </c>
      <c r="BU168" s="110">
        <f>IF(G168="","",IFERROR(G168*HSCEI!$B$15*HSCEI!$G$15/HSCEI!$B$3,""))</f>
        <v/>
      </c>
      <c r="BV168" s="110">
        <f>IF(H168="","",IFERROR(H168*HSCEI!$B$15*HSCEI!$G$15/HSCEI!$B$3,""))</f>
        <v/>
      </c>
      <c r="BW168" s="110">
        <f>IF(I168="","",IFERROR(I168*HSCEI!$B$15*HSCEI!$G$15/HSCEI!$B$3,""))</f>
        <v/>
      </c>
      <c r="BX168" s="110">
        <f>IF(J168="","",IFERROR(J168*HSCEI!$B$15*HSCEI!$G$15/HSCEI!$B$3,""))</f>
        <v/>
      </c>
      <c r="BY168" s="110">
        <f>IF(K168="","",IFERROR(K168*HSCEI!$B$15*HSCEI!$G$15/HSCEI!$B$3,""))</f>
        <v/>
      </c>
      <c r="BZ168" s="110">
        <f>IF(L168="","",IFERROR(L168*HSCEI!$B$15*HSCEI!$G$15/HSCEI!$B$3,""))</f>
        <v/>
      </c>
      <c r="CA168" s="110">
        <f>IF(M168="","",IFERROR(M168*HSCEI!$B$15*HSCEI!$G$15/HSCEI!$B$3,""))</f>
        <v/>
      </c>
      <c r="CB168" s="110">
        <f>IF(N168="","",IFERROR(N168*HSCEI!$B$15*HSCEI!$G$15/HSCEI!$B$3,""))</f>
        <v/>
      </c>
      <c r="CC168" s="110">
        <f>IF(O168="","",IFERROR(O168*HSCEI!$B$15*HSCEI!$G$15/HSCEI!$B$3,""))</f>
        <v/>
      </c>
      <c r="CD168" s="110">
        <f>IF(P168="","",IFERROR(P168*HSCEI!$B$15*HSCEI!$G$15/HSCEI!$B$3,""))</f>
        <v/>
      </c>
      <c r="CE168" s="110">
        <f>IF(Q168="","",IFERROR(Q168*HSCEI!$B$15*HSCEI!$G$15/HSCEI!$B$3,""))</f>
        <v/>
      </c>
      <c r="CF168" s="110">
        <f>IF(R168="","",IFERROR(R168*HSCEI!$B$15*HSCEI!$G$15/HSCEI!$B$3,""))</f>
        <v/>
      </c>
      <c r="CG168" s="110">
        <f>IF(S168="","",IFERROR(S168*HSCEI!$B$15*HSCEI!$G$15/HSCEI!$B$3,""))</f>
        <v/>
      </c>
      <c r="CH168" s="110">
        <f>IF(T168="","",IFERROR(T168*HSCEI!$B$15*HSCEI!$G$15/HSCEI!$B$3,""))</f>
        <v/>
      </c>
      <c r="CI168" s="110">
        <f>IF(U168="","",IFERROR(U168*HSCEI!$B$15*HSCEI!$G$15/HSCEI!$B$3,""))</f>
        <v/>
      </c>
      <c r="CJ168" s="110">
        <f>IF(V168="","",IFERROR(V168*HSCEI!$B$15*HSCEI!$G$15/HSCEI!$B$3,""))</f>
        <v/>
      </c>
      <c r="CK168" s="110">
        <f>IF(W168="","",IFERROR(W168*HSCEI!$B$15*HSCEI!$G$15/HSCEI!$B$3,""))</f>
        <v/>
      </c>
      <c r="CL168" s="110">
        <f>IF(X168="","",IFERROR(X168*HSCEI!$B$15*HSCEI!$G$15/HSCEI!$B$3,""))</f>
        <v/>
      </c>
      <c r="CM168" s="110">
        <f>IF(Y168="","",IFERROR(Y168*HSCEI!$B$15*HSCEI!$G$15/HSCEI!$B$3,""))</f>
        <v/>
      </c>
      <c r="CN168" s="110">
        <f>IF(Z168="","",IFERROR(Z168*HSCEI!$B$15*HSCEI!$G$15/HSCEI!$B$3,""))</f>
        <v/>
      </c>
      <c r="CO168" s="110">
        <f>IF(AA168="","",IFERROR(AA168*HSCEI!$B$15*HSCEI!$G$15/HSCEI!$B$3,""))</f>
        <v/>
      </c>
      <c r="CP168" s="110">
        <f>IF(AB168="","",IFERROR(AB168*HSCEI!$B$15*HSCEI!$G$15/HSCEI!$B$3,""))</f>
        <v/>
      </c>
      <c r="CQ168" s="110">
        <f>IF(AC168="","",IFERROR(AC168*HSCEI!$B$15*HSCEI!$G$15/HSCEI!$B$3,""))</f>
        <v/>
      </c>
      <c r="CR168" s="110">
        <f>IF(AD168="","",IFERROR(AD168*HSCEI!$B$15*HSCEI!$G$15/HSCEI!$B$3,""))</f>
        <v/>
      </c>
      <c r="CS168" s="110">
        <f>IF(AE168="","",IFERROR(AE168*HSCEI!$B$15*HSCEI!$G$15/HSCEI!$B$3,""))</f>
        <v/>
      </c>
      <c r="CT168" s="110">
        <f>IF(AF168="","",IFERROR(AF168*HSCEI!$B$15*HSCEI!$G$15/HSCEI!$B$3,""))</f>
        <v/>
      </c>
      <c r="CU168" s="110">
        <f>IF(AG168="","",IFERROR(AG168*HSCEI!$B$15*HSCEI!$G$15/HSCEI!$B$3,""))</f>
        <v/>
      </c>
      <c r="CV168" s="110">
        <f>IF(AH168="","",IFERROR(AH168*HSCEI!$B$15*HSCEI!$G$15/HSCEI!$B$3,""))</f>
        <v/>
      </c>
      <c r="CW168" s="110">
        <f>IF(AI168="","",IFERROR(AI168*HSCEI!$B$15*HSCEI!$G$15/HSCEI!$B$3,""))</f>
        <v/>
      </c>
      <c r="CX168" s="110">
        <f>IF(AJ168="","",IFERROR(AJ168*HSCEI!$B$15*HSCEI!$G$15/HSCEI!$B$3,""))</f>
        <v/>
      </c>
      <c r="CY168" s="110">
        <f>IF(AK168="","",IFERROR(AK168*HSCEI!$B$15*HSCEI!$G$15/HSCEI!$B$3,""))</f>
        <v/>
      </c>
      <c r="CZ168" s="110">
        <f>IF(AL168="","",IFERROR(AL168*HSCEI!$B$15*HSCEI!$G$15/HSCEI!$B$3,""))</f>
        <v/>
      </c>
      <c r="DA168" s="110">
        <f>IF(AM168="","",IFERROR(AM168*HSCEI!$B$15*HSCEI!$G$15/HSCEI!$B$3,""))</f>
        <v/>
      </c>
      <c r="DB168" s="110">
        <f>IF(AN168="","",IFERROR(AN168*HSCEI!$B$15*HSCEI!$G$15/HSCEI!$B$3,""))</f>
        <v/>
      </c>
      <c r="DC168" s="110">
        <f>IF(AO168="","",IFERROR(AO168*HSCEI!$B$15*HSCEI!$G$15/HSCEI!$B$3,""))</f>
        <v/>
      </c>
      <c r="DD168" s="110">
        <f>IF(AP168="","",IFERROR(AP168*HSCEI!$B$15*HSCEI!$G$15/HSCEI!$B$3,""))</f>
        <v/>
      </c>
      <c r="DE168" s="110">
        <f>IF(AQ168="","",IFERROR(AQ168*HSCEI!$B$15*HSCEI!$G$15/HSCEI!$B$3,""))</f>
        <v/>
      </c>
      <c r="DF168" s="110">
        <f>IF(AR168="","",IFERROR(AR168*HSCEI!$B$15*HSCEI!$G$15/HSCEI!$B$3,""))</f>
        <v/>
      </c>
      <c r="DG168" s="110">
        <f>IF(AS168="","",IFERROR(AS168*HSCEI!$B$15*HSCEI!$G$15/HSCEI!$B$3,""))</f>
        <v/>
      </c>
      <c r="DH168" s="110">
        <f>IF(AT168="","",IFERROR(AT168*HSCEI!$B$15*HSCEI!$G$15/HSCEI!$B$3,""))</f>
        <v/>
      </c>
      <c r="DI168" s="110">
        <f>IF(AU168="","",IFERROR(AU168*HSCEI!$B$15*HSCEI!$G$15/HSCEI!$B$3,""))</f>
        <v/>
      </c>
      <c r="DJ168" s="110">
        <f>IF(AV168="","",IFERROR(AV168*HSCEI!$B$15*HSCEI!$G$15/HSCEI!$B$3,""))</f>
        <v/>
      </c>
      <c r="DK168" s="110">
        <f>IF(AW168="","",IFERROR(AW168*HSCEI!$B$15*HSCEI!$G$15/HSCEI!$B$3,""))</f>
        <v/>
      </c>
      <c r="DL168" s="110">
        <f>IF(AX168="","",IFERROR(AX168*HSCEI!$B$15*HSCEI!$G$15/HSCEI!$B$3,""))</f>
        <v/>
      </c>
      <c r="DM168" s="110">
        <f>IF(AY168="","",IFERROR(AY168*HSCEI!$B$15*HSCEI!$G$15/HSCEI!$B$3,""))</f>
        <v/>
      </c>
      <c r="DN168" s="110">
        <f>IF(AZ168="","",IFERROR(AZ168*HSCEI!$B$15*HSCEI!$G$15/HSCEI!$B$3,""))</f>
        <v/>
      </c>
      <c r="DO168" s="110">
        <f>IF(BA168="","",IFERROR(BA168*HSCEI!$B$15*HSCEI!$G$15/HSCEI!$B$3,""))</f>
        <v/>
      </c>
      <c r="DP168" s="110">
        <f>IF(BB168="","",IFERROR(BB168*HSCEI!$B$15*HSCEI!$G$15/HSCEI!$B$3,""))</f>
        <v/>
      </c>
      <c r="DQ168" s="110">
        <f>IF(BC168="","",IFERROR(BC168*HSCEI!$B$15*HSCEI!$G$15/HSCEI!$B$3,""))</f>
        <v/>
      </c>
      <c r="DR168" s="110">
        <f>IF(BD168="","",IFERROR(BD168*HSCEI!$B$15*HSCEI!$G$15/HSCEI!$B$3,""))</f>
        <v/>
      </c>
      <c r="DS168" s="110">
        <f>IF(BE168="","",IFERROR(BE168*HSCEI!$B$15*HSCEI!$G$15/HSCEI!$B$3,""))</f>
        <v/>
      </c>
      <c r="DT168" s="110">
        <f>IF(BF168="","",IFERROR(BF168*HSCEI!$B$15*HSCEI!$G$15/HSCEI!$B$3,""))</f>
        <v/>
      </c>
      <c r="DU168" s="110">
        <f>IF(BG168="","",IFERROR(BG168*HSCEI!$B$15*HSCEI!$G$15/HSCEI!$B$3,""))</f>
        <v/>
      </c>
      <c r="DV168" s="110">
        <f>IF(BH168="","",IFERROR(BH168*HSCEI!$B$15*HSCEI!$G$15/HSCEI!$B$3,""))</f>
        <v/>
      </c>
      <c r="DW168" s="110">
        <f>IF(BI168="","",IFERROR(BI168*HSCEI!$B$15*HSCEI!$G$15/HSCEI!$B$3,""))</f>
        <v/>
      </c>
      <c r="DX168" s="110">
        <f>IF(BJ168="","",IFERROR(BJ168*HSCEI!$B$15*HSCEI!$G$15/HSCEI!$B$3,""))</f>
        <v/>
      </c>
      <c r="DY168" s="110">
        <f>IF(BK168="","",IFERROR(BK168*HSCEI!$B$15*HSCEI!$G$15/HSCEI!$B$3,""))</f>
        <v/>
      </c>
      <c r="DZ168" s="110">
        <f>IF(BL168="","",IFERROR(BL168*HSCEI!$B$15*HSCEI!$G$15/HSCEI!$B$3,""))</f>
        <v/>
      </c>
      <c r="EA168" s="110">
        <f>IF(BM168="","",IFERROR(BM168*HSCEI!$B$15*HSCEI!$G$15/HSCEI!$B$3,""))</f>
        <v/>
      </c>
      <c r="EB168" s="110">
        <f>IF(BN168="","",IFERROR(BN168*HSCEI!$B$15*HSCEI!$G$15/HSCEI!$B$3,""))</f>
        <v/>
      </c>
      <c r="EC168" s="110">
        <f>IF(BO168="","",IFERROR(BO168*HSCEI!$B$15*HSCEI!$G$15/HSCEI!$B$3,""))</f>
        <v/>
      </c>
      <c r="EE168" s="39">
        <f>IF(N('Dvd Calendar'!$E$1649)=0,"",IF(('Dvd Calendar'!$E$1649&gt;=GRID_FROM)*('Dvd Calendar'!$E$1649&lt;=GRID_TO)*((('Dvd Calendar'!$E$1649&lt;=VAL_DATE)+(COUNTIF('Dvd Calendar'!$E$1656:$AR$1656,'Dvd Calendar'!$E$1649)=0))&gt;0)=0,"",'Dvd Calendar'!$E$1649*1000000000+ISNUMBER('Dvd Calendar'!$E$1652)*100000000+('Dvd Calendar'!$E$1654=SPECIAL_LBL)*10000000+(N('Dvd Calendar'!$E$1648)&gt;0)*(N('Dvd Calendar'!$E$1648)&lt;=VAL_SERIAL)*1000000+9*1000+1))</f>
        <v/>
      </c>
      <c r="EF168" s="39">
        <f>IF(N('Dvd Calendar'!$F$1649)=0,"",IF(('Dvd Calendar'!$F$1649&gt;=GRID_FROM)*('Dvd Calendar'!$F$1649&lt;=GRID_TO)*((('Dvd Calendar'!$F$1649&lt;=VAL_DATE)+(COUNTIF('Dvd Calendar'!$E$1656:$AR$1656,'Dvd Calendar'!$F$1649)=0))&gt;0)=0,"",'Dvd Calendar'!$F$1649*1000000000+ISNUMBER('Dvd Calendar'!$F$1652)*100000000+('Dvd Calendar'!$F$1654=SPECIAL_LBL)*10000000+(N('Dvd Calendar'!$F$1648)&gt;0)*(N('Dvd Calendar'!$F$1648)&lt;=VAL_SERIAL)*1000000+9*1000+2))</f>
        <v/>
      </c>
      <c r="EG168" s="39">
        <f>IF(N('Dvd Calendar'!$G$1649)=0,"",IF(('Dvd Calendar'!$G$1649&gt;=GRID_FROM)*('Dvd Calendar'!$G$1649&lt;=GRID_TO)*((('Dvd Calendar'!$G$1649&lt;=VAL_DATE)+(COUNTIF('Dvd Calendar'!$E$1656:$AR$1656,'Dvd Calendar'!$G$1649)=0))&gt;0)=0,"",'Dvd Calendar'!$G$1649*1000000000+ISNUMBER('Dvd Calendar'!$G$1652)*100000000+('Dvd Calendar'!$G$1654=SPECIAL_LBL)*10000000+(N('Dvd Calendar'!$G$1648)&gt;0)*(N('Dvd Calendar'!$G$1648)&lt;=VAL_SERIAL)*1000000+9*1000+3))</f>
        <v/>
      </c>
      <c r="EH168" s="39">
        <f>IF(N('Dvd Calendar'!$H$1649)=0,"",IF(('Dvd Calendar'!$H$1649&gt;=GRID_FROM)*('Dvd Calendar'!$H$1649&lt;=GRID_TO)*((('Dvd Calendar'!$H$1649&lt;=VAL_DATE)+(COUNTIF('Dvd Calendar'!$E$1656:$AR$1656,'Dvd Calendar'!$H$1649)=0))&gt;0)=0,"",'Dvd Calendar'!$H$1649*1000000000+ISNUMBER('Dvd Calendar'!$H$1652)*100000000+('Dvd Calendar'!$H$1654=SPECIAL_LBL)*10000000+(N('Dvd Calendar'!$H$1648)&gt;0)*(N('Dvd Calendar'!$H$1648)&lt;=VAL_SERIAL)*1000000+9*1000+4))</f>
        <v/>
      </c>
      <c r="EI168" s="39">
        <f>IF(N('Dvd Calendar'!$I$1649)=0,"",IF(('Dvd Calendar'!$I$1649&gt;=GRID_FROM)*('Dvd Calendar'!$I$1649&lt;=GRID_TO)*((('Dvd Calendar'!$I$1649&lt;=VAL_DATE)+(COUNTIF('Dvd Calendar'!$E$1656:$AR$1656,'Dvd Calendar'!$I$1649)=0))&gt;0)=0,"",'Dvd Calendar'!$I$1649*1000000000+ISNUMBER('Dvd Calendar'!$I$1652)*100000000+('Dvd Calendar'!$I$1654=SPECIAL_LBL)*10000000+(N('Dvd Calendar'!$I$1648)&gt;0)*(N('Dvd Calendar'!$I$1648)&lt;=VAL_SERIAL)*1000000+9*1000+5))</f>
        <v/>
      </c>
      <c r="EJ168" s="39">
        <f>IF(N('Dvd Calendar'!$J$1649)=0,"",IF(('Dvd Calendar'!$J$1649&gt;=GRID_FROM)*('Dvd Calendar'!$J$1649&lt;=GRID_TO)*((('Dvd Calendar'!$J$1649&lt;=VAL_DATE)+(COUNTIF('Dvd Calendar'!$E$1656:$AR$1656,'Dvd Calendar'!$J$1649)=0))&gt;0)=0,"",'Dvd Calendar'!$J$1649*1000000000+ISNUMBER('Dvd Calendar'!$J$1652)*100000000+('Dvd Calendar'!$J$1654=SPECIAL_LBL)*10000000+(N('Dvd Calendar'!$J$1648)&gt;0)*(N('Dvd Calendar'!$J$1648)&lt;=VAL_SERIAL)*1000000+9*1000+6))</f>
        <v/>
      </c>
      <c r="EK168" s="39">
        <f>IF(N('Dvd Calendar'!$K$1649)=0,"",IF(('Dvd Calendar'!$K$1649&gt;=GRID_FROM)*('Dvd Calendar'!$K$1649&lt;=GRID_TO)*((('Dvd Calendar'!$K$1649&lt;=VAL_DATE)+(COUNTIF('Dvd Calendar'!$E$1656:$AR$1656,'Dvd Calendar'!$K$1649)=0))&gt;0)=0,"",'Dvd Calendar'!$K$1649*1000000000+ISNUMBER('Dvd Calendar'!$K$1652)*100000000+('Dvd Calendar'!$K$1654=SPECIAL_LBL)*10000000+(N('Dvd Calendar'!$K$1648)&gt;0)*(N('Dvd Calendar'!$K$1648)&lt;=VAL_SERIAL)*1000000+9*1000+7))</f>
        <v/>
      </c>
      <c r="EL168" s="39">
        <f>IF(N('Dvd Calendar'!$L$1649)=0,"",IF(('Dvd Calendar'!$L$1649&gt;=GRID_FROM)*('Dvd Calendar'!$L$1649&lt;=GRID_TO)*((('Dvd Calendar'!$L$1649&lt;=VAL_DATE)+(COUNTIF('Dvd Calendar'!$E$1656:$AR$1656,'Dvd Calendar'!$L$1649)=0))&gt;0)=0,"",'Dvd Calendar'!$L$1649*1000000000+ISNUMBER('Dvd Calendar'!$L$1652)*100000000+('Dvd Calendar'!$L$1654=SPECIAL_LBL)*10000000+(N('Dvd Calendar'!$L$1648)&gt;0)*(N('Dvd Calendar'!$L$1648)&lt;=VAL_SERIAL)*1000000+9*1000+8))</f>
        <v/>
      </c>
      <c r="EM168" s="39">
        <f>IF(N('Dvd Calendar'!$M$1649)=0,"",IF(('Dvd Calendar'!$M$1649&gt;=GRID_FROM)*('Dvd Calendar'!$M$1649&lt;=GRID_TO)*((('Dvd Calendar'!$M$1649&lt;=VAL_DATE)+(COUNTIF('Dvd Calendar'!$E$1656:$AR$1656,'Dvd Calendar'!$M$1649)=0))&gt;0)=0,"",'Dvd Calendar'!$M$1649*1000000000+ISNUMBER('Dvd Calendar'!$M$1652)*100000000+('Dvd Calendar'!$M$1654=SPECIAL_LBL)*10000000+(N('Dvd Calendar'!$M$1648)&gt;0)*(N('Dvd Calendar'!$M$1648)&lt;=VAL_SERIAL)*1000000+9*1000+9))</f>
        <v/>
      </c>
      <c r="EN168" s="39">
        <f>IF(N('Dvd Calendar'!$N$1649)=0,"",IF(('Dvd Calendar'!$N$1649&gt;=GRID_FROM)*('Dvd Calendar'!$N$1649&lt;=GRID_TO)*((('Dvd Calendar'!$N$1649&lt;=VAL_DATE)+(COUNTIF('Dvd Calendar'!$E$1656:$AR$1656,'Dvd Calendar'!$N$1649)=0))&gt;0)=0,"",'Dvd Calendar'!$N$1649*1000000000+ISNUMBER('Dvd Calendar'!$N$1652)*100000000+('Dvd Calendar'!$N$1654=SPECIAL_LBL)*10000000+(N('Dvd Calendar'!$N$1648)&gt;0)*(N('Dvd Calendar'!$N$1648)&lt;=VAL_SERIAL)*1000000+9*1000+10))</f>
        <v/>
      </c>
      <c r="EO168" s="39">
        <f>IF(N('Dvd Calendar'!$O$1649)=0,"",IF(('Dvd Calendar'!$O$1649&gt;=GRID_FROM)*('Dvd Calendar'!$O$1649&lt;=GRID_TO)*((('Dvd Calendar'!$O$1649&lt;=VAL_DATE)+(COUNTIF('Dvd Calendar'!$E$1656:$AR$1656,'Dvd Calendar'!$O$1649)=0))&gt;0)=0,"",'Dvd Calendar'!$O$1649*1000000000+ISNUMBER('Dvd Calendar'!$O$1652)*100000000+('Dvd Calendar'!$O$1654=SPECIAL_LBL)*10000000+(N('Dvd Calendar'!$O$1648)&gt;0)*(N('Dvd Calendar'!$O$1648)&lt;=VAL_SERIAL)*1000000+9*1000+11))</f>
        <v/>
      </c>
      <c r="EP168" s="39">
        <f>IF(N('Dvd Calendar'!$P$1649)=0,"",IF(('Dvd Calendar'!$P$1649&gt;=GRID_FROM)*('Dvd Calendar'!$P$1649&lt;=GRID_TO)*((('Dvd Calendar'!$P$1649&lt;=VAL_DATE)+(COUNTIF('Dvd Calendar'!$E$1656:$AR$1656,'Dvd Calendar'!$P$1649)=0))&gt;0)=0,"",'Dvd Calendar'!$P$1649*1000000000+ISNUMBER('Dvd Calendar'!$P$1652)*100000000+('Dvd Calendar'!$P$1654=SPECIAL_LBL)*10000000+(N('Dvd Calendar'!$P$1648)&gt;0)*(N('Dvd Calendar'!$P$1648)&lt;=VAL_SERIAL)*1000000+9*1000+12))</f>
        <v/>
      </c>
      <c r="EQ168" s="39">
        <f>IF(N('Dvd Calendar'!$Q$1649)=0,"",IF(('Dvd Calendar'!$Q$1649&gt;=GRID_FROM)*('Dvd Calendar'!$Q$1649&lt;=GRID_TO)*((('Dvd Calendar'!$Q$1649&lt;=VAL_DATE)+(COUNTIF('Dvd Calendar'!$E$1656:$AR$1656,'Dvd Calendar'!$Q$1649)=0))&gt;0)=0,"",'Dvd Calendar'!$Q$1649*1000000000+ISNUMBER('Dvd Calendar'!$Q$1652)*100000000+('Dvd Calendar'!$Q$1654=SPECIAL_LBL)*10000000+(N('Dvd Calendar'!$Q$1648)&gt;0)*(N('Dvd Calendar'!$Q$1648)&lt;=VAL_SERIAL)*1000000+9*1000+13))</f>
        <v/>
      </c>
      <c r="ER168" s="39">
        <f>IF(N('Dvd Calendar'!$R$1649)=0,"",IF(('Dvd Calendar'!$R$1649&gt;=GRID_FROM)*('Dvd Calendar'!$R$1649&lt;=GRID_TO)*((('Dvd Calendar'!$R$1649&lt;=VAL_DATE)+(COUNTIF('Dvd Calendar'!$E$1656:$AR$1656,'Dvd Calendar'!$R$1649)=0))&gt;0)=0,"",'Dvd Calendar'!$R$1649*1000000000+ISNUMBER('Dvd Calendar'!$R$1652)*100000000+('Dvd Calendar'!$R$1654=SPECIAL_LBL)*10000000+(N('Dvd Calendar'!$R$1648)&gt;0)*(N('Dvd Calendar'!$R$1648)&lt;=VAL_SERIAL)*1000000+9*1000+14))</f>
        <v/>
      </c>
      <c r="ES168" s="39">
        <f>IF(N('Dvd Calendar'!$S$1649)=0,"",IF(('Dvd Calendar'!$S$1649&gt;=GRID_FROM)*('Dvd Calendar'!$S$1649&lt;=GRID_TO)*((('Dvd Calendar'!$S$1649&lt;=VAL_DATE)+(COUNTIF('Dvd Calendar'!$E$1656:$AR$1656,'Dvd Calendar'!$S$1649)=0))&gt;0)=0,"",'Dvd Calendar'!$S$1649*1000000000+ISNUMBER('Dvd Calendar'!$S$1652)*100000000+('Dvd Calendar'!$S$1654=SPECIAL_LBL)*10000000+(N('Dvd Calendar'!$S$1648)&gt;0)*(N('Dvd Calendar'!$S$1648)&lt;=VAL_SERIAL)*1000000+9*1000+15))</f>
        <v/>
      </c>
      <c r="ET168" s="39">
        <f>IF(N('Dvd Calendar'!$T$1649)=0,"",IF(('Dvd Calendar'!$T$1649&gt;=GRID_FROM)*('Dvd Calendar'!$T$1649&lt;=GRID_TO)*((('Dvd Calendar'!$T$1649&lt;=VAL_DATE)+(COUNTIF('Dvd Calendar'!$E$1656:$AR$1656,'Dvd Calendar'!$T$1649)=0))&gt;0)=0,"",'Dvd Calendar'!$T$1649*1000000000+ISNUMBER('Dvd Calendar'!$T$1652)*100000000+('Dvd Calendar'!$T$1654=SPECIAL_LBL)*10000000+(N('Dvd Calendar'!$T$1648)&gt;0)*(N('Dvd Calendar'!$T$1648)&lt;=VAL_SERIAL)*1000000+9*1000+16))</f>
        <v/>
      </c>
      <c r="EU168" s="39">
        <f>IF(N('Dvd Calendar'!$U$1649)=0,"",IF(('Dvd Calendar'!$U$1649&gt;=GRID_FROM)*('Dvd Calendar'!$U$1649&lt;=GRID_TO)*((('Dvd Calendar'!$U$1649&lt;=VAL_DATE)+(COUNTIF('Dvd Calendar'!$E$1656:$AR$1656,'Dvd Calendar'!$U$1649)=0))&gt;0)=0,"",'Dvd Calendar'!$U$1649*1000000000+ISNUMBER('Dvd Calendar'!$U$1652)*100000000+('Dvd Calendar'!$U$1654=SPECIAL_LBL)*10000000+(N('Dvd Calendar'!$U$1648)&gt;0)*(N('Dvd Calendar'!$U$1648)&lt;=VAL_SERIAL)*1000000+9*1000+17))</f>
        <v/>
      </c>
      <c r="EV168" s="39">
        <f>IF(N('Dvd Calendar'!$V$1649)=0,"",IF(('Dvd Calendar'!$V$1649&gt;=GRID_FROM)*('Dvd Calendar'!$V$1649&lt;=GRID_TO)*((('Dvd Calendar'!$V$1649&lt;=VAL_DATE)+(COUNTIF('Dvd Calendar'!$E$1656:$AR$1656,'Dvd Calendar'!$V$1649)=0))&gt;0)=0,"",'Dvd Calendar'!$V$1649*1000000000+ISNUMBER('Dvd Calendar'!$V$1652)*100000000+('Dvd Calendar'!$V$1654=SPECIAL_LBL)*10000000+(N('Dvd Calendar'!$V$1648)&gt;0)*(N('Dvd Calendar'!$V$1648)&lt;=VAL_SERIAL)*1000000+9*1000+18))</f>
        <v/>
      </c>
      <c r="EW168" s="39">
        <f>IF(N('Dvd Calendar'!$W$1649)=0,"",IF(('Dvd Calendar'!$W$1649&gt;=GRID_FROM)*('Dvd Calendar'!$W$1649&lt;=GRID_TO)*((('Dvd Calendar'!$W$1649&lt;=VAL_DATE)+(COUNTIF('Dvd Calendar'!$E$1656:$AR$1656,'Dvd Calendar'!$W$1649)=0))&gt;0)=0,"",'Dvd Calendar'!$W$1649*1000000000+ISNUMBER('Dvd Calendar'!$W$1652)*100000000+('Dvd Calendar'!$W$1654=SPECIAL_LBL)*10000000+(N('Dvd Calendar'!$W$1648)&gt;0)*(N('Dvd Calendar'!$W$1648)&lt;=VAL_SERIAL)*1000000+9*1000+19))</f>
        <v/>
      </c>
      <c r="EX168" s="39">
        <f>IF(N('Dvd Calendar'!$X$1649)=0,"",IF(('Dvd Calendar'!$X$1649&gt;=GRID_FROM)*('Dvd Calendar'!$X$1649&lt;=GRID_TO)*((('Dvd Calendar'!$X$1649&lt;=VAL_DATE)+(COUNTIF('Dvd Calendar'!$E$1656:$AR$1656,'Dvd Calendar'!$X$1649)=0))&gt;0)=0,"",'Dvd Calendar'!$X$1649*1000000000+ISNUMBER('Dvd Calendar'!$X$1652)*100000000+('Dvd Calendar'!$X$1654=SPECIAL_LBL)*10000000+(N('Dvd Calendar'!$X$1648)&gt;0)*(N('Dvd Calendar'!$X$1648)&lt;=VAL_SERIAL)*1000000+9*1000+20))</f>
        <v/>
      </c>
      <c r="EY168" s="39">
        <f>IF(N('Dvd Calendar'!$Y$1649)=0,"",IF(('Dvd Calendar'!$Y$1649&gt;=GRID_FROM)*('Dvd Calendar'!$Y$1649&lt;=GRID_TO)*((('Dvd Calendar'!$Y$1649&lt;=VAL_DATE)+(COUNTIF('Dvd Calendar'!$E$1656:$AR$1656,'Dvd Calendar'!$Y$1649)=0))&gt;0)=0,"",'Dvd Calendar'!$Y$1649*1000000000+ISNUMBER('Dvd Calendar'!$Y$1652)*100000000+('Dvd Calendar'!$Y$1654=SPECIAL_LBL)*10000000+(N('Dvd Calendar'!$Y$1648)&gt;0)*(N('Dvd Calendar'!$Y$1648)&lt;=VAL_SERIAL)*1000000+9*1000+21))</f>
        <v/>
      </c>
      <c r="EZ168" s="39">
        <f>IF(N('Dvd Calendar'!$Z$1649)=0,"",IF(('Dvd Calendar'!$Z$1649&gt;=GRID_FROM)*('Dvd Calendar'!$Z$1649&lt;=GRID_TO)*((('Dvd Calendar'!$Z$1649&lt;=VAL_DATE)+(COUNTIF('Dvd Calendar'!$E$1656:$AR$1656,'Dvd Calendar'!$Z$1649)=0))&gt;0)=0,"",'Dvd Calendar'!$Z$1649*1000000000+ISNUMBER('Dvd Calendar'!$Z$1652)*100000000+('Dvd Calendar'!$Z$1654=SPECIAL_LBL)*10000000+(N('Dvd Calendar'!$Z$1648)&gt;0)*(N('Dvd Calendar'!$Z$1648)&lt;=VAL_SERIAL)*1000000+9*1000+22))</f>
        <v/>
      </c>
      <c r="FA168" s="39">
        <f>IF(N('Dvd Calendar'!$AA$1649)=0,"",IF(('Dvd Calendar'!$AA$1649&gt;=GRID_FROM)*('Dvd Calendar'!$AA$1649&lt;=GRID_TO)*((('Dvd Calendar'!$AA$1649&lt;=VAL_DATE)+(COUNTIF('Dvd Calendar'!$E$1656:$AR$1656,'Dvd Calendar'!$AA$1649)=0))&gt;0)=0,"",'Dvd Calendar'!$AA$1649*1000000000+ISNUMBER('Dvd Calendar'!$AA$1652)*100000000+('Dvd Calendar'!$AA$1654=SPECIAL_LBL)*10000000+(N('Dvd Calendar'!$AA$1648)&gt;0)*(N('Dvd Calendar'!$AA$1648)&lt;=VAL_SERIAL)*1000000+9*1000+23))</f>
        <v/>
      </c>
      <c r="FB168" s="39">
        <f>IF(N('Dvd Calendar'!$AB$1649)=0,"",IF(('Dvd Calendar'!$AB$1649&gt;=GRID_FROM)*('Dvd Calendar'!$AB$1649&lt;=GRID_TO)*((('Dvd Calendar'!$AB$1649&lt;=VAL_DATE)+(COUNTIF('Dvd Calendar'!$E$1656:$AR$1656,'Dvd Calendar'!$AB$1649)=0))&gt;0)=0,"",'Dvd Calendar'!$AB$1649*1000000000+ISNUMBER('Dvd Calendar'!$AB$1652)*100000000+('Dvd Calendar'!$AB$1654=SPECIAL_LBL)*10000000+(N('Dvd Calendar'!$AB$1648)&gt;0)*(N('Dvd Calendar'!$AB$1648)&lt;=VAL_SERIAL)*1000000+9*1000+24))</f>
        <v/>
      </c>
      <c r="FC168" s="39">
        <f>IF(N('Dvd Calendar'!$AC$1649)=0,"",IF(('Dvd Calendar'!$AC$1649&gt;=GRID_FROM)*('Dvd Calendar'!$AC$1649&lt;=GRID_TO)*((('Dvd Calendar'!$AC$1649&lt;=VAL_DATE)+(COUNTIF('Dvd Calendar'!$E$1656:$AR$1656,'Dvd Calendar'!$AC$1649)=0))&gt;0)=0,"",'Dvd Calendar'!$AC$1649*1000000000+ISNUMBER('Dvd Calendar'!$AC$1652)*100000000+('Dvd Calendar'!$AC$1654=SPECIAL_LBL)*10000000+(N('Dvd Calendar'!$AC$1648)&gt;0)*(N('Dvd Calendar'!$AC$1648)&lt;=VAL_SERIAL)*1000000+9*1000+25))</f>
        <v/>
      </c>
      <c r="FD168" s="39">
        <f>IF(N('Dvd Calendar'!$AD$1649)=0,"",IF(('Dvd Calendar'!$AD$1649&gt;=GRID_FROM)*('Dvd Calendar'!$AD$1649&lt;=GRID_TO)*((('Dvd Calendar'!$AD$1649&lt;=VAL_DATE)+(COUNTIF('Dvd Calendar'!$E$1656:$AR$1656,'Dvd Calendar'!$AD$1649)=0))&gt;0)=0,"",'Dvd Calendar'!$AD$1649*1000000000+ISNUMBER('Dvd Calendar'!$AD$1652)*100000000+('Dvd Calendar'!$AD$1654=SPECIAL_LBL)*10000000+(N('Dvd Calendar'!$AD$1648)&gt;0)*(N('Dvd Calendar'!$AD$1648)&lt;=VAL_SERIAL)*1000000+9*1000+26))</f>
        <v/>
      </c>
      <c r="FE168" s="39">
        <f>IF(N('Dvd Calendar'!$AE$1649)=0,"",IF(('Dvd Calendar'!$AE$1649&gt;=GRID_FROM)*('Dvd Calendar'!$AE$1649&lt;=GRID_TO)*((('Dvd Calendar'!$AE$1649&lt;=VAL_DATE)+(COUNTIF('Dvd Calendar'!$E$1656:$AR$1656,'Dvd Calendar'!$AE$1649)=0))&gt;0)=0,"",'Dvd Calendar'!$AE$1649*1000000000+ISNUMBER('Dvd Calendar'!$AE$1652)*100000000+('Dvd Calendar'!$AE$1654=SPECIAL_LBL)*10000000+(N('Dvd Calendar'!$AE$1648)&gt;0)*(N('Dvd Calendar'!$AE$1648)&lt;=VAL_SERIAL)*1000000+9*1000+27))</f>
        <v/>
      </c>
      <c r="FF168" s="39">
        <f>IF(N('Dvd Calendar'!$AF$1649)=0,"",IF(('Dvd Calendar'!$AF$1649&gt;=GRID_FROM)*('Dvd Calendar'!$AF$1649&lt;=GRID_TO)*((('Dvd Calendar'!$AF$1649&lt;=VAL_DATE)+(COUNTIF('Dvd Calendar'!$E$1656:$AR$1656,'Dvd Calendar'!$AF$1649)=0))&gt;0)=0,"",'Dvd Calendar'!$AF$1649*1000000000+ISNUMBER('Dvd Calendar'!$AF$1652)*100000000+('Dvd Calendar'!$AF$1654=SPECIAL_LBL)*10000000+(N('Dvd Calendar'!$AF$1648)&gt;0)*(N('Dvd Calendar'!$AF$1648)&lt;=VAL_SERIAL)*1000000+9*1000+28))</f>
        <v/>
      </c>
      <c r="FG168" s="39">
        <f>IF(N('Dvd Calendar'!$AG$1649)=0,"",IF(('Dvd Calendar'!$AG$1649&gt;=GRID_FROM)*('Dvd Calendar'!$AG$1649&lt;=GRID_TO)*((('Dvd Calendar'!$AG$1649&lt;=VAL_DATE)+(COUNTIF('Dvd Calendar'!$E$1656:$AR$1656,'Dvd Calendar'!$AG$1649)=0))&gt;0)=0,"",'Dvd Calendar'!$AG$1649*1000000000+ISNUMBER('Dvd Calendar'!$AG$1652)*100000000+('Dvd Calendar'!$AG$1654=SPECIAL_LBL)*10000000+(N('Dvd Calendar'!$AG$1648)&gt;0)*(N('Dvd Calendar'!$AG$1648)&lt;=VAL_SERIAL)*1000000+9*1000+29))</f>
        <v/>
      </c>
      <c r="FH168" s="39">
        <f>IF(N('Dvd Calendar'!$AH$1649)=0,"",IF(('Dvd Calendar'!$AH$1649&gt;=GRID_FROM)*('Dvd Calendar'!$AH$1649&lt;=GRID_TO)*((('Dvd Calendar'!$AH$1649&lt;=VAL_DATE)+(COUNTIF('Dvd Calendar'!$E$1656:$AR$1656,'Dvd Calendar'!$AH$1649)=0))&gt;0)=0,"",'Dvd Calendar'!$AH$1649*1000000000+ISNUMBER('Dvd Calendar'!$AH$1652)*100000000+('Dvd Calendar'!$AH$1654=SPECIAL_LBL)*10000000+(N('Dvd Calendar'!$AH$1648)&gt;0)*(N('Dvd Calendar'!$AH$1648)&lt;=VAL_SERIAL)*1000000+9*1000+30))</f>
        <v/>
      </c>
      <c r="FI168" s="39">
        <f>IF(N('Dvd Calendar'!$AI$1649)=0,"",IF(('Dvd Calendar'!$AI$1649&gt;=GRID_FROM)*('Dvd Calendar'!$AI$1649&lt;=GRID_TO)*((('Dvd Calendar'!$AI$1649&lt;=VAL_DATE)+(COUNTIF('Dvd Calendar'!$E$1656:$AR$1656,'Dvd Calendar'!$AI$1649)=0))&gt;0)=0,"",'Dvd Calendar'!$AI$1649*1000000000+ISNUMBER('Dvd Calendar'!$AI$1652)*100000000+('Dvd Calendar'!$AI$1654=SPECIAL_LBL)*10000000+(N('Dvd Calendar'!$AI$1648)&gt;0)*(N('Dvd Calendar'!$AI$1648)&lt;=VAL_SERIAL)*1000000+9*1000+31))</f>
        <v/>
      </c>
      <c r="FJ168" s="39">
        <f>IF(N('Dvd Calendar'!$AJ$1649)=0,"",IF(('Dvd Calendar'!$AJ$1649&gt;=GRID_FROM)*('Dvd Calendar'!$AJ$1649&lt;=GRID_TO)*((('Dvd Calendar'!$AJ$1649&lt;=VAL_DATE)+(COUNTIF('Dvd Calendar'!$E$1656:$AR$1656,'Dvd Calendar'!$AJ$1649)=0))&gt;0)=0,"",'Dvd Calendar'!$AJ$1649*1000000000+ISNUMBER('Dvd Calendar'!$AJ$1652)*100000000+('Dvd Calendar'!$AJ$1654=SPECIAL_LBL)*10000000+(N('Dvd Calendar'!$AJ$1648)&gt;0)*(N('Dvd Calendar'!$AJ$1648)&lt;=VAL_SERIAL)*1000000+9*1000+32))</f>
        <v/>
      </c>
      <c r="FK168" s="39">
        <f>IF(N('Dvd Calendar'!$AK$1649)=0,"",IF(('Dvd Calendar'!$AK$1649&gt;=GRID_FROM)*('Dvd Calendar'!$AK$1649&lt;=GRID_TO)*((('Dvd Calendar'!$AK$1649&lt;=VAL_DATE)+(COUNTIF('Dvd Calendar'!$E$1656:$AR$1656,'Dvd Calendar'!$AK$1649)=0))&gt;0)=0,"",'Dvd Calendar'!$AK$1649*1000000000+ISNUMBER('Dvd Calendar'!$AK$1652)*100000000+('Dvd Calendar'!$AK$1654=SPECIAL_LBL)*10000000+(N('Dvd Calendar'!$AK$1648)&gt;0)*(N('Dvd Calendar'!$AK$1648)&lt;=VAL_SERIAL)*1000000+9*1000+33))</f>
        <v/>
      </c>
      <c r="FL168" s="39">
        <f>IF(N('Dvd Calendar'!$AL$1649)=0,"",IF(('Dvd Calendar'!$AL$1649&gt;=GRID_FROM)*('Dvd Calendar'!$AL$1649&lt;=GRID_TO)*((('Dvd Calendar'!$AL$1649&lt;=VAL_DATE)+(COUNTIF('Dvd Calendar'!$E$1656:$AR$1656,'Dvd Calendar'!$AL$1649)=0))&gt;0)=0,"",'Dvd Calendar'!$AL$1649*1000000000+ISNUMBER('Dvd Calendar'!$AL$1652)*100000000+('Dvd Calendar'!$AL$1654=SPECIAL_LBL)*10000000+(N('Dvd Calendar'!$AL$1648)&gt;0)*(N('Dvd Calendar'!$AL$1648)&lt;=VAL_SERIAL)*1000000+9*1000+34))</f>
        <v/>
      </c>
      <c r="FM168" s="39">
        <f>IF(N('Dvd Calendar'!$AM$1649)=0,"",IF(('Dvd Calendar'!$AM$1649&gt;=GRID_FROM)*('Dvd Calendar'!$AM$1649&lt;=GRID_TO)*((('Dvd Calendar'!$AM$1649&lt;=VAL_DATE)+(COUNTIF('Dvd Calendar'!$E$1656:$AR$1656,'Dvd Calendar'!$AM$1649)=0))&gt;0)=0,"",'Dvd Calendar'!$AM$1649*1000000000+ISNUMBER('Dvd Calendar'!$AM$1652)*100000000+('Dvd Calendar'!$AM$1654=SPECIAL_LBL)*10000000+(N('Dvd Calendar'!$AM$1648)&gt;0)*(N('Dvd Calendar'!$AM$1648)&lt;=VAL_SERIAL)*1000000+9*1000+35))</f>
        <v/>
      </c>
      <c r="FN168" s="39">
        <f>IF(N('Dvd Calendar'!$AN$1649)=0,"",IF(('Dvd Calendar'!$AN$1649&gt;=GRID_FROM)*('Dvd Calendar'!$AN$1649&lt;=GRID_TO)*((('Dvd Calendar'!$AN$1649&lt;=VAL_DATE)+(COUNTIF('Dvd Calendar'!$E$1656:$AR$1656,'Dvd Calendar'!$AN$1649)=0))&gt;0)=0,"",'Dvd Calendar'!$AN$1649*1000000000+ISNUMBER('Dvd Calendar'!$AN$1652)*100000000+('Dvd Calendar'!$AN$1654=SPECIAL_LBL)*10000000+(N('Dvd Calendar'!$AN$1648)&gt;0)*(N('Dvd Calendar'!$AN$1648)&lt;=VAL_SERIAL)*1000000+9*1000+36))</f>
        <v/>
      </c>
      <c r="FO168" s="39">
        <f>IF(N('Dvd Calendar'!$AO$1649)=0,"",IF(('Dvd Calendar'!$AO$1649&gt;=GRID_FROM)*('Dvd Calendar'!$AO$1649&lt;=GRID_TO)*((('Dvd Calendar'!$AO$1649&lt;=VAL_DATE)+(COUNTIF('Dvd Calendar'!$E$1656:$AR$1656,'Dvd Calendar'!$AO$1649)=0))&gt;0)=0,"",'Dvd Calendar'!$AO$1649*1000000000+ISNUMBER('Dvd Calendar'!$AO$1652)*100000000+('Dvd Calendar'!$AO$1654=SPECIAL_LBL)*10000000+(N('Dvd Calendar'!$AO$1648)&gt;0)*(N('Dvd Calendar'!$AO$1648)&lt;=VAL_SERIAL)*1000000+9*1000+37))</f>
        <v/>
      </c>
      <c r="FP168" s="39">
        <f>IF(N('Dvd Calendar'!$AP$1649)=0,"",IF(('Dvd Calendar'!$AP$1649&gt;=GRID_FROM)*('Dvd Calendar'!$AP$1649&lt;=GRID_TO)*((('Dvd Calendar'!$AP$1649&lt;=VAL_DATE)+(COUNTIF('Dvd Calendar'!$E$1656:$AR$1656,'Dvd Calendar'!$AP$1649)=0))&gt;0)=0,"",'Dvd Calendar'!$AP$1649*1000000000+ISNUMBER('Dvd Calendar'!$AP$1652)*100000000+('Dvd Calendar'!$AP$1654=SPECIAL_LBL)*10000000+(N('Dvd Calendar'!$AP$1648)&gt;0)*(N('Dvd Calendar'!$AP$1648)&lt;=VAL_SERIAL)*1000000+9*1000+38))</f>
        <v/>
      </c>
      <c r="FQ168" s="39">
        <f>IF(N('Dvd Calendar'!$AQ$1649)=0,"",IF(('Dvd Calendar'!$AQ$1649&gt;=GRID_FROM)*('Dvd Calendar'!$AQ$1649&lt;=GRID_TO)*((('Dvd Calendar'!$AQ$1649&lt;=VAL_DATE)+(COUNTIF('Dvd Calendar'!$E$1656:$AR$1656,'Dvd Calendar'!$AQ$1649)=0))&gt;0)=0,"",'Dvd Calendar'!$AQ$1649*1000000000+ISNUMBER('Dvd Calendar'!$AQ$1652)*100000000+('Dvd Calendar'!$AQ$1654=SPECIAL_LBL)*10000000+(N('Dvd Calendar'!$AQ$1648)&gt;0)*(N('Dvd Calendar'!$AQ$1648)&lt;=VAL_SERIAL)*1000000+9*1000+39))</f>
        <v/>
      </c>
      <c r="FR168" s="39">
        <f>IF(N('Dvd Calendar'!$AR$1649)=0,"",IF(('Dvd Calendar'!$AR$1649&gt;=GRID_FROM)*('Dvd Calendar'!$AR$1649&lt;=GRID_TO)*((('Dvd Calendar'!$AR$1649&lt;=VAL_DATE)+(COUNTIF('Dvd Calendar'!$E$1656:$AR$1656,'Dvd Calendar'!$AR$1649)=0))&gt;0)=0,"",'Dvd Calendar'!$AR$1649*1000000000+ISNUMBER('Dvd Calendar'!$AR$1652)*100000000+('Dvd Calendar'!$AR$1654=SPECIAL_LBL)*10000000+(N('Dvd Calendar'!$AR$1648)&gt;0)*(N('Dvd Calendar'!$AR$1648)&lt;=VAL_SERIAL)*1000000+9*1000+40))</f>
        <v/>
      </c>
      <c r="FS168" s="39">
        <f>IF(N('Dvd Calendar'!$E$1656)=0,"",IF(('Dvd Calendar'!$E$1656&gt;=GRID_FROM)*('Dvd Calendar'!$E$1656&lt;=GRID_TO)*('Dvd Calendar'!$E$1656&gt;VAL_DATE)=0,"",'Dvd Calendar'!$E$1656*1000000000+ISNUMBER('Dvd Calendar'!$E$1657)*100000000+0*10000000+(N('Dvd Calendar'!$E$1655)&gt;0)*(N('Dvd Calendar'!$E$1655)&lt;=VAL_SERIAL)*1000000+9*1000+41))</f>
        <v/>
      </c>
      <c r="FT168" s="39">
        <f>IF(N('Dvd Calendar'!$F$1656)=0,"",IF(('Dvd Calendar'!$F$1656&gt;=GRID_FROM)*('Dvd Calendar'!$F$1656&lt;=GRID_TO)*('Dvd Calendar'!$F$1656&gt;VAL_DATE)=0,"",'Dvd Calendar'!$F$1656*1000000000+ISNUMBER('Dvd Calendar'!$F$1657)*100000000+0*10000000+(N('Dvd Calendar'!$F$1655)&gt;0)*(N('Dvd Calendar'!$F$1655)&lt;=VAL_SERIAL)*1000000+9*1000+42))</f>
        <v/>
      </c>
      <c r="FU168" s="39">
        <f>IF(N('Dvd Calendar'!$G$1656)=0,"",IF(('Dvd Calendar'!$G$1656&gt;=GRID_FROM)*('Dvd Calendar'!$G$1656&lt;=GRID_TO)*('Dvd Calendar'!$G$1656&gt;VAL_DATE)=0,"",'Dvd Calendar'!$G$1656*1000000000+ISNUMBER('Dvd Calendar'!$G$1657)*100000000+0*10000000+(N('Dvd Calendar'!$G$1655)&gt;0)*(N('Dvd Calendar'!$G$1655)&lt;=VAL_SERIAL)*1000000+9*1000+43))</f>
        <v/>
      </c>
      <c r="FV168" s="39">
        <f>IF(N('Dvd Calendar'!$H$1656)=0,"",IF(('Dvd Calendar'!$H$1656&gt;=GRID_FROM)*('Dvd Calendar'!$H$1656&lt;=GRID_TO)*('Dvd Calendar'!$H$1656&gt;VAL_DATE)=0,"",'Dvd Calendar'!$H$1656*1000000000+ISNUMBER('Dvd Calendar'!$H$1657)*100000000+0*10000000+(N('Dvd Calendar'!$H$1655)&gt;0)*(N('Dvd Calendar'!$H$1655)&lt;=VAL_SERIAL)*1000000+9*1000+44))</f>
        <v/>
      </c>
      <c r="FW168" s="39">
        <f>IF(N('Dvd Calendar'!$I$1656)=0,"",IF(('Dvd Calendar'!$I$1656&gt;=GRID_FROM)*('Dvd Calendar'!$I$1656&lt;=GRID_TO)*('Dvd Calendar'!$I$1656&gt;VAL_DATE)=0,"",'Dvd Calendar'!$I$1656*1000000000+ISNUMBER('Dvd Calendar'!$I$1657)*100000000+0*10000000+(N('Dvd Calendar'!$I$1655)&gt;0)*(N('Dvd Calendar'!$I$1655)&lt;=VAL_SERIAL)*1000000+9*1000+45))</f>
        <v/>
      </c>
      <c r="FX168" s="39">
        <f>IF(N('Dvd Calendar'!$J$1656)=0,"",IF(('Dvd Calendar'!$J$1656&gt;=GRID_FROM)*('Dvd Calendar'!$J$1656&lt;=GRID_TO)*('Dvd Calendar'!$J$1656&gt;VAL_DATE)=0,"",'Dvd Calendar'!$J$1656*1000000000+ISNUMBER('Dvd Calendar'!$J$1657)*100000000+0*10000000+(N('Dvd Calendar'!$J$1655)&gt;0)*(N('Dvd Calendar'!$J$1655)&lt;=VAL_SERIAL)*1000000+9*1000+46))</f>
        <v/>
      </c>
      <c r="FY168" s="39">
        <f>IF(N('Dvd Calendar'!$K$1656)=0,"",IF(('Dvd Calendar'!$K$1656&gt;=GRID_FROM)*('Dvd Calendar'!$K$1656&lt;=GRID_TO)*('Dvd Calendar'!$K$1656&gt;VAL_DATE)=0,"",'Dvd Calendar'!$K$1656*1000000000+ISNUMBER('Dvd Calendar'!$K$1657)*100000000+0*10000000+(N('Dvd Calendar'!$K$1655)&gt;0)*(N('Dvd Calendar'!$K$1655)&lt;=VAL_SERIAL)*1000000+9*1000+47))</f>
        <v/>
      </c>
      <c r="FZ168" s="39">
        <f>IF(N('Dvd Calendar'!$L$1656)=0,"",IF(('Dvd Calendar'!$L$1656&gt;=GRID_FROM)*('Dvd Calendar'!$L$1656&lt;=GRID_TO)*('Dvd Calendar'!$L$1656&gt;VAL_DATE)=0,"",'Dvd Calendar'!$L$1656*1000000000+ISNUMBER('Dvd Calendar'!$L$1657)*100000000+0*10000000+(N('Dvd Calendar'!$L$1655)&gt;0)*(N('Dvd Calendar'!$L$1655)&lt;=VAL_SERIAL)*1000000+9*1000+48))</f>
        <v/>
      </c>
      <c r="GA168" s="39">
        <f>IF(N('Dvd Calendar'!$M$1656)=0,"",IF(('Dvd Calendar'!$M$1656&gt;=GRID_FROM)*('Dvd Calendar'!$M$1656&lt;=GRID_TO)*('Dvd Calendar'!$M$1656&gt;VAL_DATE)=0,"",'Dvd Calendar'!$M$1656*1000000000+ISNUMBER('Dvd Calendar'!$M$1657)*100000000+0*10000000+(N('Dvd Calendar'!$M$1655)&gt;0)*(N('Dvd Calendar'!$M$1655)&lt;=VAL_SERIAL)*1000000+9*1000+49))</f>
        <v/>
      </c>
      <c r="GB168" s="39">
        <f>IF(N('Dvd Calendar'!$N$1656)=0,"",IF(('Dvd Calendar'!$N$1656&gt;=GRID_FROM)*('Dvd Calendar'!$N$1656&lt;=GRID_TO)*('Dvd Calendar'!$N$1656&gt;VAL_DATE)=0,"",'Dvd Calendar'!$N$1656*1000000000+ISNUMBER('Dvd Calendar'!$N$1657)*100000000+0*10000000+(N('Dvd Calendar'!$N$1655)&gt;0)*(N('Dvd Calendar'!$N$1655)&lt;=VAL_SERIAL)*1000000+9*1000+50))</f>
        <v/>
      </c>
      <c r="GC168" s="39">
        <f>IF(N('Dvd Calendar'!$O$1656)=0,"",IF(('Dvd Calendar'!$O$1656&gt;=GRID_FROM)*('Dvd Calendar'!$O$1656&lt;=GRID_TO)*('Dvd Calendar'!$O$1656&gt;VAL_DATE)=0,"",'Dvd Calendar'!$O$1656*1000000000+ISNUMBER('Dvd Calendar'!$O$1657)*100000000+0*10000000+(N('Dvd Calendar'!$O$1655)&gt;0)*(N('Dvd Calendar'!$O$1655)&lt;=VAL_SERIAL)*1000000+9*1000+51))</f>
        <v/>
      </c>
      <c r="GD168" s="39">
        <f>IF(N('Dvd Calendar'!$P$1656)=0,"",IF(('Dvd Calendar'!$P$1656&gt;=GRID_FROM)*('Dvd Calendar'!$P$1656&lt;=GRID_TO)*('Dvd Calendar'!$P$1656&gt;VAL_DATE)=0,"",'Dvd Calendar'!$P$1656*1000000000+ISNUMBER('Dvd Calendar'!$P$1657)*100000000+0*10000000+(N('Dvd Calendar'!$P$1655)&gt;0)*(N('Dvd Calendar'!$P$1655)&lt;=VAL_SERIAL)*1000000+9*1000+52))</f>
        <v/>
      </c>
      <c r="GE168" s="39">
        <f>IF(N('Dvd Calendar'!$Q$1656)=0,"",IF(('Dvd Calendar'!$Q$1656&gt;=GRID_FROM)*('Dvd Calendar'!$Q$1656&lt;=GRID_TO)*('Dvd Calendar'!$Q$1656&gt;VAL_DATE)=0,"",'Dvd Calendar'!$Q$1656*1000000000+ISNUMBER('Dvd Calendar'!$Q$1657)*100000000+0*10000000+(N('Dvd Calendar'!$Q$1655)&gt;0)*(N('Dvd Calendar'!$Q$1655)&lt;=VAL_SERIAL)*1000000+9*1000+53))</f>
        <v/>
      </c>
      <c r="GF168" s="39">
        <f>IF(N('Dvd Calendar'!$R$1656)=0,"",IF(('Dvd Calendar'!$R$1656&gt;=GRID_FROM)*('Dvd Calendar'!$R$1656&lt;=GRID_TO)*('Dvd Calendar'!$R$1656&gt;VAL_DATE)=0,"",'Dvd Calendar'!$R$1656*1000000000+ISNUMBER('Dvd Calendar'!$R$1657)*100000000+0*10000000+(N('Dvd Calendar'!$R$1655)&gt;0)*(N('Dvd Calendar'!$R$1655)&lt;=VAL_SERIAL)*1000000+9*1000+54))</f>
        <v/>
      </c>
      <c r="GG168" s="39">
        <f>IF(N('Dvd Calendar'!$S$1656)=0,"",IF(('Dvd Calendar'!$S$1656&gt;=GRID_FROM)*('Dvd Calendar'!$S$1656&lt;=GRID_TO)*('Dvd Calendar'!$S$1656&gt;VAL_DATE)=0,"",'Dvd Calendar'!$S$1656*1000000000+ISNUMBER('Dvd Calendar'!$S$1657)*100000000+0*10000000+(N('Dvd Calendar'!$S$1655)&gt;0)*(N('Dvd Calendar'!$S$1655)&lt;=VAL_SERIAL)*1000000+9*1000+55))</f>
        <v/>
      </c>
      <c r="GH168" s="39">
        <f>IF(N('Dvd Calendar'!$T$1656)=0,"",IF(('Dvd Calendar'!$T$1656&gt;=GRID_FROM)*('Dvd Calendar'!$T$1656&lt;=GRID_TO)*('Dvd Calendar'!$T$1656&gt;VAL_DATE)=0,"",'Dvd Calendar'!$T$1656*1000000000+ISNUMBER('Dvd Calendar'!$T$1657)*100000000+0*10000000+(N('Dvd Calendar'!$T$1655)&gt;0)*(N('Dvd Calendar'!$T$1655)&lt;=VAL_SERIAL)*1000000+9*1000+56))</f>
        <v/>
      </c>
      <c r="GI168" s="39">
        <f>IF(N('Dvd Calendar'!$U$1656)=0,"",IF(('Dvd Calendar'!$U$1656&gt;=GRID_FROM)*('Dvd Calendar'!$U$1656&lt;=GRID_TO)*('Dvd Calendar'!$U$1656&gt;VAL_DATE)=0,"",'Dvd Calendar'!$U$1656*1000000000+ISNUMBER('Dvd Calendar'!$U$1657)*100000000+0*10000000+(N('Dvd Calendar'!$U$1655)&gt;0)*(N('Dvd Calendar'!$U$1655)&lt;=VAL_SERIAL)*1000000+9*1000+57))</f>
        <v/>
      </c>
      <c r="GJ168" s="39">
        <f>IF(N('Dvd Calendar'!$V$1656)=0,"",IF(('Dvd Calendar'!$V$1656&gt;=GRID_FROM)*('Dvd Calendar'!$V$1656&lt;=GRID_TO)*('Dvd Calendar'!$V$1656&gt;VAL_DATE)=0,"",'Dvd Calendar'!$V$1656*1000000000+ISNUMBER('Dvd Calendar'!$V$1657)*100000000+0*10000000+(N('Dvd Calendar'!$V$1655)&gt;0)*(N('Dvd Calendar'!$V$1655)&lt;=VAL_SERIAL)*1000000+9*1000+58))</f>
        <v/>
      </c>
      <c r="GK168" s="39">
        <f>IF(N('Dvd Calendar'!$W$1656)=0,"",IF(('Dvd Calendar'!$W$1656&gt;=GRID_FROM)*('Dvd Calendar'!$W$1656&lt;=GRID_TO)*('Dvd Calendar'!$W$1656&gt;VAL_DATE)=0,"",'Dvd Calendar'!$W$1656*1000000000+ISNUMBER('Dvd Calendar'!$W$1657)*100000000+0*10000000+(N('Dvd Calendar'!$W$1655)&gt;0)*(N('Dvd Calendar'!$W$1655)&lt;=VAL_SERIAL)*1000000+9*1000+59))</f>
        <v/>
      </c>
      <c r="GL168" s="39">
        <f>IF(N('Dvd Calendar'!$X$1656)=0,"",IF(('Dvd Calendar'!$X$1656&gt;=GRID_FROM)*('Dvd Calendar'!$X$1656&lt;=GRID_TO)*('Dvd Calendar'!$X$1656&gt;VAL_DATE)=0,"",'Dvd Calendar'!$X$1656*1000000000+ISNUMBER('Dvd Calendar'!$X$1657)*100000000+0*10000000+(N('Dvd Calendar'!$X$1655)&gt;0)*(N('Dvd Calendar'!$X$1655)&lt;=VAL_SERIAL)*1000000+9*1000+60))</f>
        <v/>
      </c>
      <c r="GM168" s="39">
        <f>IF(N('Dvd Calendar'!$Y$1656)=0,"",IF(('Dvd Calendar'!$Y$1656&gt;=GRID_FROM)*('Dvd Calendar'!$Y$1656&lt;=GRID_TO)*('Dvd Calendar'!$Y$1656&gt;VAL_DATE)=0,"",'Dvd Calendar'!$Y$1656*1000000000+ISNUMBER('Dvd Calendar'!$Y$1657)*100000000+0*10000000+(N('Dvd Calendar'!$Y$1655)&gt;0)*(N('Dvd Calendar'!$Y$1655)&lt;=VAL_SERIAL)*1000000+9*1000+61))</f>
        <v/>
      </c>
      <c r="GN168" s="39">
        <f>IF(N('Dvd Calendar'!$Z$1656)=0,"",IF(('Dvd Calendar'!$Z$1656&gt;=GRID_FROM)*('Dvd Calendar'!$Z$1656&lt;=GRID_TO)*('Dvd Calendar'!$Z$1656&gt;VAL_DATE)=0,"",'Dvd Calendar'!$Z$1656*1000000000+ISNUMBER('Dvd Calendar'!$Z$1657)*100000000+0*10000000+(N('Dvd Calendar'!$Z$1655)&gt;0)*(N('Dvd Calendar'!$Z$1655)&lt;=VAL_SERIAL)*1000000+9*1000+62))</f>
        <v/>
      </c>
      <c r="GO168" s="39">
        <f>IF(N('Dvd Calendar'!$AA$1656)=0,"",IF(('Dvd Calendar'!$AA$1656&gt;=GRID_FROM)*('Dvd Calendar'!$AA$1656&lt;=GRID_TO)*('Dvd Calendar'!$AA$1656&gt;VAL_DATE)=0,"",'Dvd Calendar'!$AA$1656*1000000000+ISNUMBER('Dvd Calendar'!$AA$1657)*100000000+0*10000000+(N('Dvd Calendar'!$AA$1655)&gt;0)*(N('Dvd Calendar'!$AA$1655)&lt;=VAL_SERIAL)*1000000+9*1000+63))</f>
        <v/>
      </c>
      <c r="GP168" s="39">
        <f>IF(N('Dvd Calendar'!$AB$1656)=0,"",IF(('Dvd Calendar'!$AB$1656&gt;=GRID_FROM)*('Dvd Calendar'!$AB$1656&lt;=GRID_TO)*('Dvd Calendar'!$AB$1656&gt;VAL_DATE)=0,"",'Dvd Calendar'!$AB$1656*1000000000+ISNUMBER('Dvd Calendar'!$AB$1657)*100000000+0*10000000+(N('Dvd Calendar'!$AB$1655)&gt;0)*(N('Dvd Calendar'!$AB$1655)&lt;=VAL_SERIAL)*1000000+9*1000+64))</f>
        <v/>
      </c>
      <c r="GQ168" s="39">
        <f>IF(N('Dvd Calendar'!$AC$1656)=0,"",IF(('Dvd Calendar'!$AC$1656&gt;=GRID_FROM)*('Dvd Calendar'!$AC$1656&lt;=GRID_TO)*('Dvd Calendar'!$AC$1656&gt;VAL_DATE)=0,"",'Dvd Calendar'!$AC$1656*1000000000+ISNUMBER('Dvd Calendar'!$AC$1657)*100000000+0*10000000+(N('Dvd Calendar'!$AC$1655)&gt;0)*(N('Dvd Calendar'!$AC$1655)&lt;=VAL_SERIAL)*1000000+9*1000+65))</f>
        <v/>
      </c>
    </row>
    <row r="169">
      <c r="B169" s="2">
        <f>IF(HSCEI!$C$16="","",HSCEI!$C$16)</f>
        <v/>
      </c>
      <c r="C169" s="110">
        <f>IF(EE169="","",IF(ISNUMBER('Dvd Calendar'!$E$1663)=FALSE,"",IF((('Dvd Calendar'!$E$1665=TYPE1)*(TYPE1&lt;&gt;"")+('Dvd Calendar'!$E$1665=TYPE2)*(TYPE2&lt;&gt;"")+('Dvd Calendar'!$E$1665=TYPE3)*(TYPE3&lt;&gt;"")+('Dvd Calendar'!$E$1665=TYPE4)*(TYPE4&lt;&gt;"")+('Dvd Calendar'!$E$1665=SPECIAL_LBL)*(INC_SPECIALS="Y"))=0,"",'Dvd Calendar'!$E$1663)))</f>
        <v/>
      </c>
      <c r="D169" s="110">
        <f>IF(EF169="","",IF(ISNUMBER('Dvd Calendar'!$F$1663)=FALSE,"",IF((('Dvd Calendar'!$F$1665=TYPE1)*(TYPE1&lt;&gt;"")+('Dvd Calendar'!$F$1665=TYPE2)*(TYPE2&lt;&gt;"")+('Dvd Calendar'!$F$1665=TYPE3)*(TYPE3&lt;&gt;"")+('Dvd Calendar'!$F$1665=TYPE4)*(TYPE4&lt;&gt;"")+('Dvd Calendar'!$F$1665=SPECIAL_LBL)*(INC_SPECIALS="Y"))=0,"",'Dvd Calendar'!$F$1663)))</f>
        <v/>
      </c>
      <c r="E169" s="110">
        <f>IF(EG169="","",IF(ISNUMBER('Dvd Calendar'!$G$1663)=FALSE,"",IF((('Dvd Calendar'!$G$1665=TYPE1)*(TYPE1&lt;&gt;"")+('Dvd Calendar'!$G$1665=TYPE2)*(TYPE2&lt;&gt;"")+('Dvd Calendar'!$G$1665=TYPE3)*(TYPE3&lt;&gt;"")+('Dvd Calendar'!$G$1665=TYPE4)*(TYPE4&lt;&gt;"")+('Dvd Calendar'!$G$1665=SPECIAL_LBL)*(INC_SPECIALS="Y"))=0,"",'Dvd Calendar'!$G$1663)))</f>
        <v/>
      </c>
      <c r="F169" s="110">
        <f>IF(EH169="","",IF(ISNUMBER('Dvd Calendar'!$H$1663)=FALSE,"",IF((('Dvd Calendar'!$H$1665=TYPE1)*(TYPE1&lt;&gt;"")+('Dvd Calendar'!$H$1665=TYPE2)*(TYPE2&lt;&gt;"")+('Dvd Calendar'!$H$1665=TYPE3)*(TYPE3&lt;&gt;"")+('Dvd Calendar'!$H$1665=TYPE4)*(TYPE4&lt;&gt;"")+('Dvd Calendar'!$H$1665=SPECIAL_LBL)*(INC_SPECIALS="Y"))=0,"",'Dvd Calendar'!$H$1663)))</f>
        <v/>
      </c>
      <c r="G169" s="110">
        <f>IF(EI169="","",IF(ISNUMBER('Dvd Calendar'!$I$1663)=FALSE,"",IF((('Dvd Calendar'!$I$1665=TYPE1)*(TYPE1&lt;&gt;"")+('Dvd Calendar'!$I$1665=TYPE2)*(TYPE2&lt;&gt;"")+('Dvd Calendar'!$I$1665=TYPE3)*(TYPE3&lt;&gt;"")+('Dvd Calendar'!$I$1665=TYPE4)*(TYPE4&lt;&gt;"")+('Dvd Calendar'!$I$1665=SPECIAL_LBL)*(INC_SPECIALS="Y"))=0,"",'Dvd Calendar'!$I$1663)))</f>
        <v/>
      </c>
      <c r="H169" s="110">
        <f>IF(EJ169="","",IF(ISNUMBER('Dvd Calendar'!$J$1663)=FALSE,"",IF((('Dvd Calendar'!$J$1665=TYPE1)*(TYPE1&lt;&gt;"")+('Dvd Calendar'!$J$1665=TYPE2)*(TYPE2&lt;&gt;"")+('Dvd Calendar'!$J$1665=TYPE3)*(TYPE3&lt;&gt;"")+('Dvd Calendar'!$J$1665=TYPE4)*(TYPE4&lt;&gt;"")+('Dvd Calendar'!$J$1665=SPECIAL_LBL)*(INC_SPECIALS="Y"))=0,"",'Dvd Calendar'!$J$1663)))</f>
        <v/>
      </c>
      <c r="I169" s="110">
        <f>IF(EK169="","",IF(ISNUMBER('Dvd Calendar'!$K$1663)=FALSE,"",IF((('Dvd Calendar'!$K$1665=TYPE1)*(TYPE1&lt;&gt;"")+('Dvd Calendar'!$K$1665=TYPE2)*(TYPE2&lt;&gt;"")+('Dvd Calendar'!$K$1665=TYPE3)*(TYPE3&lt;&gt;"")+('Dvd Calendar'!$K$1665=TYPE4)*(TYPE4&lt;&gt;"")+('Dvd Calendar'!$K$1665=SPECIAL_LBL)*(INC_SPECIALS="Y"))=0,"",'Dvd Calendar'!$K$1663)))</f>
        <v/>
      </c>
      <c r="J169" s="110">
        <f>IF(EL169="","",IF(ISNUMBER('Dvd Calendar'!$L$1663)=FALSE,"",IF((('Dvd Calendar'!$L$1665=TYPE1)*(TYPE1&lt;&gt;"")+('Dvd Calendar'!$L$1665=TYPE2)*(TYPE2&lt;&gt;"")+('Dvd Calendar'!$L$1665=TYPE3)*(TYPE3&lt;&gt;"")+('Dvd Calendar'!$L$1665=TYPE4)*(TYPE4&lt;&gt;"")+('Dvd Calendar'!$L$1665=SPECIAL_LBL)*(INC_SPECIALS="Y"))=0,"",'Dvd Calendar'!$L$1663)))</f>
        <v/>
      </c>
      <c r="K169" s="110">
        <f>IF(EM169="","",IF(ISNUMBER('Dvd Calendar'!$M$1663)=FALSE,"",IF((('Dvd Calendar'!$M$1665=TYPE1)*(TYPE1&lt;&gt;"")+('Dvd Calendar'!$M$1665=TYPE2)*(TYPE2&lt;&gt;"")+('Dvd Calendar'!$M$1665=TYPE3)*(TYPE3&lt;&gt;"")+('Dvd Calendar'!$M$1665=TYPE4)*(TYPE4&lt;&gt;"")+('Dvd Calendar'!$M$1665=SPECIAL_LBL)*(INC_SPECIALS="Y"))=0,"",'Dvd Calendar'!$M$1663)))</f>
        <v/>
      </c>
      <c r="L169" s="110">
        <f>IF(EN169="","",IF(ISNUMBER('Dvd Calendar'!$N$1663)=FALSE,"",IF((('Dvd Calendar'!$N$1665=TYPE1)*(TYPE1&lt;&gt;"")+('Dvd Calendar'!$N$1665=TYPE2)*(TYPE2&lt;&gt;"")+('Dvd Calendar'!$N$1665=TYPE3)*(TYPE3&lt;&gt;"")+('Dvd Calendar'!$N$1665=TYPE4)*(TYPE4&lt;&gt;"")+('Dvd Calendar'!$N$1665=SPECIAL_LBL)*(INC_SPECIALS="Y"))=0,"",'Dvd Calendar'!$N$1663)))</f>
        <v/>
      </c>
      <c r="M169" s="110">
        <f>IF(EO169="","",IF(ISNUMBER('Dvd Calendar'!$O$1663)=FALSE,"",IF((('Dvd Calendar'!$O$1665=TYPE1)*(TYPE1&lt;&gt;"")+('Dvd Calendar'!$O$1665=TYPE2)*(TYPE2&lt;&gt;"")+('Dvd Calendar'!$O$1665=TYPE3)*(TYPE3&lt;&gt;"")+('Dvd Calendar'!$O$1665=TYPE4)*(TYPE4&lt;&gt;"")+('Dvd Calendar'!$O$1665=SPECIAL_LBL)*(INC_SPECIALS="Y"))=0,"",'Dvd Calendar'!$O$1663)))</f>
        <v/>
      </c>
      <c r="N169" s="110">
        <f>IF(EP169="","",IF(ISNUMBER('Dvd Calendar'!$P$1663)=FALSE,"",IF((('Dvd Calendar'!$P$1665=TYPE1)*(TYPE1&lt;&gt;"")+('Dvd Calendar'!$P$1665=TYPE2)*(TYPE2&lt;&gt;"")+('Dvd Calendar'!$P$1665=TYPE3)*(TYPE3&lt;&gt;"")+('Dvd Calendar'!$P$1665=TYPE4)*(TYPE4&lt;&gt;"")+('Dvd Calendar'!$P$1665=SPECIAL_LBL)*(INC_SPECIALS="Y"))=0,"",'Dvd Calendar'!$P$1663)))</f>
        <v/>
      </c>
      <c r="O169" s="110">
        <f>IF(EQ169="","",IF(ISNUMBER('Dvd Calendar'!$Q$1663)=FALSE,"",IF((('Dvd Calendar'!$Q$1665=TYPE1)*(TYPE1&lt;&gt;"")+('Dvd Calendar'!$Q$1665=TYPE2)*(TYPE2&lt;&gt;"")+('Dvd Calendar'!$Q$1665=TYPE3)*(TYPE3&lt;&gt;"")+('Dvd Calendar'!$Q$1665=TYPE4)*(TYPE4&lt;&gt;"")+('Dvd Calendar'!$Q$1665=SPECIAL_LBL)*(INC_SPECIALS="Y"))=0,"",'Dvd Calendar'!$Q$1663)))</f>
        <v/>
      </c>
      <c r="P169" s="110">
        <f>IF(ER169="","",IF(ISNUMBER('Dvd Calendar'!$R$1663)=FALSE,"",IF((('Dvd Calendar'!$R$1665=TYPE1)*(TYPE1&lt;&gt;"")+('Dvd Calendar'!$R$1665=TYPE2)*(TYPE2&lt;&gt;"")+('Dvd Calendar'!$R$1665=TYPE3)*(TYPE3&lt;&gt;"")+('Dvd Calendar'!$R$1665=TYPE4)*(TYPE4&lt;&gt;"")+('Dvd Calendar'!$R$1665=SPECIAL_LBL)*(INC_SPECIALS="Y"))=0,"",'Dvd Calendar'!$R$1663)))</f>
        <v/>
      </c>
      <c r="Q169" s="110">
        <f>IF(ES169="","",IF(ISNUMBER('Dvd Calendar'!$S$1663)=FALSE,"",IF((('Dvd Calendar'!$S$1665=TYPE1)*(TYPE1&lt;&gt;"")+('Dvd Calendar'!$S$1665=TYPE2)*(TYPE2&lt;&gt;"")+('Dvd Calendar'!$S$1665=TYPE3)*(TYPE3&lt;&gt;"")+('Dvd Calendar'!$S$1665=TYPE4)*(TYPE4&lt;&gt;"")+('Dvd Calendar'!$S$1665=SPECIAL_LBL)*(INC_SPECIALS="Y"))=0,"",'Dvd Calendar'!$S$1663)))</f>
        <v/>
      </c>
      <c r="R169" s="110">
        <f>IF(ET169="","",IF(ISNUMBER('Dvd Calendar'!$T$1663)=FALSE,"",IF((('Dvd Calendar'!$T$1665=TYPE1)*(TYPE1&lt;&gt;"")+('Dvd Calendar'!$T$1665=TYPE2)*(TYPE2&lt;&gt;"")+('Dvd Calendar'!$T$1665=TYPE3)*(TYPE3&lt;&gt;"")+('Dvd Calendar'!$T$1665=TYPE4)*(TYPE4&lt;&gt;"")+('Dvd Calendar'!$T$1665=SPECIAL_LBL)*(INC_SPECIALS="Y"))=0,"",'Dvd Calendar'!$T$1663)))</f>
        <v/>
      </c>
      <c r="S169" s="110">
        <f>IF(EU169="","",IF(ISNUMBER('Dvd Calendar'!$U$1663)=FALSE,"",IF((('Dvd Calendar'!$U$1665=TYPE1)*(TYPE1&lt;&gt;"")+('Dvd Calendar'!$U$1665=TYPE2)*(TYPE2&lt;&gt;"")+('Dvd Calendar'!$U$1665=TYPE3)*(TYPE3&lt;&gt;"")+('Dvd Calendar'!$U$1665=TYPE4)*(TYPE4&lt;&gt;"")+('Dvd Calendar'!$U$1665=SPECIAL_LBL)*(INC_SPECIALS="Y"))=0,"",'Dvd Calendar'!$U$1663)))</f>
        <v/>
      </c>
      <c r="T169" s="110">
        <f>IF(EV169="","",IF(ISNUMBER('Dvd Calendar'!$V$1663)=FALSE,"",IF((('Dvd Calendar'!$V$1665=TYPE1)*(TYPE1&lt;&gt;"")+('Dvd Calendar'!$V$1665=TYPE2)*(TYPE2&lt;&gt;"")+('Dvd Calendar'!$V$1665=TYPE3)*(TYPE3&lt;&gt;"")+('Dvd Calendar'!$V$1665=TYPE4)*(TYPE4&lt;&gt;"")+('Dvd Calendar'!$V$1665=SPECIAL_LBL)*(INC_SPECIALS="Y"))=0,"",'Dvd Calendar'!$V$1663)))</f>
        <v/>
      </c>
      <c r="U169" s="110">
        <f>IF(EW169="","",IF(ISNUMBER('Dvd Calendar'!$W$1663)=FALSE,"",IF((('Dvd Calendar'!$W$1665=TYPE1)*(TYPE1&lt;&gt;"")+('Dvd Calendar'!$W$1665=TYPE2)*(TYPE2&lt;&gt;"")+('Dvd Calendar'!$W$1665=TYPE3)*(TYPE3&lt;&gt;"")+('Dvd Calendar'!$W$1665=TYPE4)*(TYPE4&lt;&gt;"")+('Dvd Calendar'!$W$1665=SPECIAL_LBL)*(INC_SPECIALS="Y"))=0,"",'Dvd Calendar'!$W$1663)))</f>
        <v/>
      </c>
      <c r="V169" s="110">
        <f>IF(EX169="","",IF(ISNUMBER('Dvd Calendar'!$X$1663)=FALSE,"",IF((('Dvd Calendar'!$X$1665=TYPE1)*(TYPE1&lt;&gt;"")+('Dvd Calendar'!$X$1665=TYPE2)*(TYPE2&lt;&gt;"")+('Dvd Calendar'!$X$1665=TYPE3)*(TYPE3&lt;&gt;"")+('Dvd Calendar'!$X$1665=TYPE4)*(TYPE4&lt;&gt;"")+('Dvd Calendar'!$X$1665=SPECIAL_LBL)*(INC_SPECIALS="Y"))=0,"",'Dvd Calendar'!$X$1663)))</f>
        <v/>
      </c>
      <c r="W169" s="110">
        <f>IF(EY169="","",IF(ISNUMBER('Dvd Calendar'!$Y$1663)=FALSE,"",IF((('Dvd Calendar'!$Y$1665=TYPE1)*(TYPE1&lt;&gt;"")+('Dvd Calendar'!$Y$1665=TYPE2)*(TYPE2&lt;&gt;"")+('Dvd Calendar'!$Y$1665=TYPE3)*(TYPE3&lt;&gt;"")+('Dvd Calendar'!$Y$1665=TYPE4)*(TYPE4&lt;&gt;"")+('Dvd Calendar'!$Y$1665=SPECIAL_LBL)*(INC_SPECIALS="Y"))=0,"",'Dvd Calendar'!$Y$1663)))</f>
        <v/>
      </c>
      <c r="X169" s="110">
        <f>IF(EZ169="","",IF(ISNUMBER('Dvd Calendar'!$Z$1663)=FALSE,"",IF((('Dvd Calendar'!$Z$1665=TYPE1)*(TYPE1&lt;&gt;"")+('Dvd Calendar'!$Z$1665=TYPE2)*(TYPE2&lt;&gt;"")+('Dvd Calendar'!$Z$1665=TYPE3)*(TYPE3&lt;&gt;"")+('Dvd Calendar'!$Z$1665=TYPE4)*(TYPE4&lt;&gt;"")+('Dvd Calendar'!$Z$1665=SPECIAL_LBL)*(INC_SPECIALS="Y"))=0,"",'Dvd Calendar'!$Z$1663)))</f>
        <v/>
      </c>
      <c r="Y169" s="110">
        <f>IF(FA169="","",IF(ISNUMBER('Dvd Calendar'!$AA$1663)=FALSE,"",IF((('Dvd Calendar'!$AA$1665=TYPE1)*(TYPE1&lt;&gt;"")+('Dvd Calendar'!$AA$1665=TYPE2)*(TYPE2&lt;&gt;"")+('Dvd Calendar'!$AA$1665=TYPE3)*(TYPE3&lt;&gt;"")+('Dvd Calendar'!$AA$1665=TYPE4)*(TYPE4&lt;&gt;"")+('Dvd Calendar'!$AA$1665=SPECIAL_LBL)*(INC_SPECIALS="Y"))=0,"",'Dvd Calendar'!$AA$1663)))</f>
        <v/>
      </c>
      <c r="Z169" s="110">
        <f>IF(FB169="","",IF(ISNUMBER('Dvd Calendar'!$AB$1663)=FALSE,"",IF((('Dvd Calendar'!$AB$1665=TYPE1)*(TYPE1&lt;&gt;"")+('Dvd Calendar'!$AB$1665=TYPE2)*(TYPE2&lt;&gt;"")+('Dvd Calendar'!$AB$1665=TYPE3)*(TYPE3&lt;&gt;"")+('Dvd Calendar'!$AB$1665=TYPE4)*(TYPE4&lt;&gt;"")+('Dvd Calendar'!$AB$1665=SPECIAL_LBL)*(INC_SPECIALS="Y"))=0,"",'Dvd Calendar'!$AB$1663)))</f>
        <v/>
      </c>
      <c r="AA169" s="110">
        <f>IF(FC169="","",IF(ISNUMBER('Dvd Calendar'!$AC$1663)=FALSE,"",IF((('Dvd Calendar'!$AC$1665=TYPE1)*(TYPE1&lt;&gt;"")+('Dvd Calendar'!$AC$1665=TYPE2)*(TYPE2&lt;&gt;"")+('Dvd Calendar'!$AC$1665=TYPE3)*(TYPE3&lt;&gt;"")+('Dvd Calendar'!$AC$1665=TYPE4)*(TYPE4&lt;&gt;"")+('Dvd Calendar'!$AC$1665=SPECIAL_LBL)*(INC_SPECIALS="Y"))=0,"",'Dvd Calendar'!$AC$1663)))</f>
        <v/>
      </c>
      <c r="AB169" s="110">
        <f>IF(FD169="","",IF(ISNUMBER('Dvd Calendar'!$AD$1663)=FALSE,"",IF((('Dvd Calendar'!$AD$1665=TYPE1)*(TYPE1&lt;&gt;"")+('Dvd Calendar'!$AD$1665=TYPE2)*(TYPE2&lt;&gt;"")+('Dvd Calendar'!$AD$1665=TYPE3)*(TYPE3&lt;&gt;"")+('Dvd Calendar'!$AD$1665=TYPE4)*(TYPE4&lt;&gt;"")+('Dvd Calendar'!$AD$1665=SPECIAL_LBL)*(INC_SPECIALS="Y"))=0,"",'Dvd Calendar'!$AD$1663)))</f>
        <v/>
      </c>
      <c r="AC169" s="110">
        <f>IF(FE169="","",IF(ISNUMBER('Dvd Calendar'!$AE$1663)=FALSE,"",IF((('Dvd Calendar'!$AE$1665=TYPE1)*(TYPE1&lt;&gt;"")+('Dvd Calendar'!$AE$1665=TYPE2)*(TYPE2&lt;&gt;"")+('Dvd Calendar'!$AE$1665=TYPE3)*(TYPE3&lt;&gt;"")+('Dvd Calendar'!$AE$1665=TYPE4)*(TYPE4&lt;&gt;"")+('Dvd Calendar'!$AE$1665=SPECIAL_LBL)*(INC_SPECIALS="Y"))=0,"",'Dvd Calendar'!$AE$1663)))</f>
        <v/>
      </c>
      <c r="AD169" s="110">
        <f>IF(FF169="","",IF(ISNUMBER('Dvd Calendar'!$AF$1663)=FALSE,"",IF((('Dvd Calendar'!$AF$1665=TYPE1)*(TYPE1&lt;&gt;"")+('Dvd Calendar'!$AF$1665=TYPE2)*(TYPE2&lt;&gt;"")+('Dvd Calendar'!$AF$1665=TYPE3)*(TYPE3&lt;&gt;"")+('Dvd Calendar'!$AF$1665=TYPE4)*(TYPE4&lt;&gt;"")+('Dvd Calendar'!$AF$1665=SPECIAL_LBL)*(INC_SPECIALS="Y"))=0,"",'Dvd Calendar'!$AF$1663)))</f>
        <v/>
      </c>
      <c r="AE169" s="110">
        <f>IF(FG169="","",IF(ISNUMBER('Dvd Calendar'!$AG$1663)=FALSE,"",IF((('Dvd Calendar'!$AG$1665=TYPE1)*(TYPE1&lt;&gt;"")+('Dvd Calendar'!$AG$1665=TYPE2)*(TYPE2&lt;&gt;"")+('Dvd Calendar'!$AG$1665=TYPE3)*(TYPE3&lt;&gt;"")+('Dvd Calendar'!$AG$1665=TYPE4)*(TYPE4&lt;&gt;"")+('Dvd Calendar'!$AG$1665=SPECIAL_LBL)*(INC_SPECIALS="Y"))=0,"",'Dvd Calendar'!$AG$1663)))</f>
        <v/>
      </c>
      <c r="AF169" s="110">
        <f>IF(FH169="","",IF(ISNUMBER('Dvd Calendar'!$AH$1663)=FALSE,"",IF((('Dvd Calendar'!$AH$1665=TYPE1)*(TYPE1&lt;&gt;"")+('Dvd Calendar'!$AH$1665=TYPE2)*(TYPE2&lt;&gt;"")+('Dvd Calendar'!$AH$1665=TYPE3)*(TYPE3&lt;&gt;"")+('Dvd Calendar'!$AH$1665=TYPE4)*(TYPE4&lt;&gt;"")+('Dvd Calendar'!$AH$1665=SPECIAL_LBL)*(INC_SPECIALS="Y"))=0,"",'Dvd Calendar'!$AH$1663)))</f>
        <v/>
      </c>
      <c r="AG169" s="110">
        <f>IF(FI169="","",IF(ISNUMBER('Dvd Calendar'!$AI$1663)=FALSE,"",IF((('Dvd Calendar'!$AI$1665=TYPE1)*(TYPE1&lt;&gt;"")+('Dvd Calendar'!$AI$1665=TYPE2)*(TYPE2&lt;&gt;"")+('Dvd Calendar'!$AI$1665=TYPE3)*(TYPE3&lt;&gt;"")+('Dvd Calendar'!$AI$1665=TYPE4)*(TYPE4&lt;&gt;"")+('Dvd Calendar'!$AI$1665=SPECIAL_LBL)*(INC_SPECIALS="Y"))=0,"",'Dvd Calendar'!$AI$1663)))</f>
        <v/>
      </c>
      <c r="AH169" s="110">
        <f>IF(FJ169="","",IF(ISNUMBER('Dvd Calendar'!$AJ$1663)=FALSE,"",IF((('Dvd Calendar'!$AJ$1665=TYPE1)*(TYPE1&lt;&gt;"")+('Dvd Calendar'!$AJ$1665=TYPE2)*(TYPE2&lt;&gt;"")+('Dvd Calendar'!$AJ$1665=TYPE3)*(TYPE3&lt;&gt;"")+('Dvd Calendar'!$AJ$1665=TYPE4)*(TYPE4&lt;&gt;"")+('Dvd Calendar'!$AJ$1665=SPECIAL_LBL)*(INC_SPECIALS="Y"))=0,"",'Dvd Calendar'!$AJ$1663)))</f>
        <v/>
      </c>
      <c r="AI169" s="110">
        <f>IF(FK169="","",IF(ISNUMBER('Dvd Calendar'!$AK$1663)=FALSE,"",IF((('Dvd Calendar'!$AK$1665=TYPE1)*(TYPE1&lt;&gt;"")+('Dvd Calendar'!$AK$1665=TYPE2)*(TYPE2&lt;&gt;"")+('Dvd Calendar'!$AK$1665=TYPE3)*(TYPE3&lt;&gt;"")+('Dvd Calendar'!$AK$1665=TYPE4)*(TYPE4&lt;&gt;"")+('Dvd Calendar'!$AK$1665=SPECIAL_LBL)*(INC_SPECIALS="Y"))=0,"",'Dvd Calendar'!$AK$1663)))</f>
        <v/>
      </c>
      <c r="AJ169" s="110">
        <f>IF(FL169="","",IF(ISNUMBER('Dvd Calendar'!$AL$1663)=FALSE,"",IF((('Dvd Calendar'!$AL$1665=TYPE1)*(TYPE1&lt;&gt;"")+('Dvd Calendar'!$AL$1665=TYPE2)*(TYPE2&lt;&gt;"")+('Dvd Calendar'!$AL$1665=TYPE3)*(TYPE3&lt;&gt;"")+('Dvd Calendar'!$AL$1665=TYPE4)*(TYPE4&lt;&gt;"")+('Dvd Calendar'!$AL$1665=SPECIAL_LBL)*(INC_SPECIALS="Y"))=0,"",'Dvd Calendar'!$AL$1663)))</f>
        <v/>
      </c>
      <c r="AK169" s="110">
        <f>IF(FM169="","",IF(ISNUMBER('Dvd Calendar'!$AM$1663)=FALSE,"",IF((('Dvd Calendar'!$AM$1665=TYPE1)*(TYPE1&lt;&gt;"")+('Dvd Calendar'!$AM$1665=TYPE2)*(TYPE2&lt;&gt;"")+('Dvd Calendar'!$AM$1665=TYPE3)*(TYPE3&lt;&gt;"")+('Dvd Calendar'!$AM$1665=TYPE4)*(TYPE4&lt;&gt;"")+('Dvd Calendar'!$AM$1665=SPECIAL_LBL)*(INC_SPECIALS="Y"))=0,"",'Dvd Calendar'!$AM$1663)))</f>
        <v/>
      </c>
      <c r="AL169" s="110">
        <f>IF(FN169="","",IF(ISNUMBER('Dvd Calendar'!$AN$1663)=FALSE,"",IF((('Dvd Calendar'!$AN$1665=TYPE1)*(TYPE1&lt;&gt;"")+('Dvd Calendar'!$AN$1665=TYPE2)*(TYPE2&lt;&gt;"")+('Dvd Calendar'!$AN$1665=TYPE3)*(TYPE3&lt;&gt;"")+('Dvd Calendar'!$AN$1665=TYPE4)*(TYPE4&lt;&gt;"")+('Dvd Calendar'!$AN$1665=SPECIAL_LBL)*(INC_SPECIALS="Y"))=0,"",'Dvd Calendar'!$AN$1663)))</f>
        <v/>
      </c>
      <c r="AM169" s="110">
        <f>IF(FO169="","",IF(ISNUMBER('Dvd Calendar'!$AO$1663)=FALSE,"",IF((('Dvd Calendar'!$AO$1665=TYPE1)*(TYPE1&lt;&gt;"")+('Dvd Calendar'!$AO$1665=TYPE2)*(TYPE2&lt;&gt;"")+('Dvd Calendar'!$AO$1665=TYPE3)*(TYPE3&lt;&gt;"")+('Dvd Calendar'!$AO$1665=TYPE4)*(TYPE4&lt;&gt;"")+('Dvd Calendar'!$AO$1665=SPECIAL_LBL)*(INC_SPECIALS="Y"))=0,"",'Dvd Calendar'!$AO$1663)))</f>
        <v/>
      </c>
      <c r="AN169" s="110">
        <f>IF(FP169="","",IF(ISNUMBER('Dvd Calendar'!$AP$1663)=FALSE,"",IF((('Dvd Calendar'!$AP$1665=TYPE1)*(TYPE1&lt;&gt;"")+('Dvd Calendar'!$AP$1665=TYPE2)*(TYPE2&lt;&gt;"")+('Dvd Calendar'!$AP$1665=TYPE3)*(TYPE3&lt;&gt;"")+('Dvd Calendar'!$AP$1665=TYPE4)*(TYPE4&lt;&gt;"")+('Dvd Calendar'!$AP$1665=SPECIAL_LBL)*(INC_SPECIALS="Y"))=0,"",'Dvd Calendar'!$AP$1663)))</f>
        <v/>
      </c>
      <c r="AO169" s="110">
        <f>IF(FQ169="","",IF(ISNUMBER('Dvd Calendar'!$AQ$1663)=FALSE,"",IF((('Dvd Calendar'!$AQ$1665=TYPE1)*(TYPE1&lt;&gt;"")+('Dvd Calendar'!$AQ$1665=TYPE2)*(TYPE2&lt;&gt;"")+('Dvd Calendar'!$AQ$1665=TYPE3)*(TYPE3&lt;&gt;"")+('Dvd Calendar'!$AQ$1665=TYPE4)*(TYPE4&lt;&gt;"")+('Dvd Calendar'!$AQ$1665=SPECIAL_LBL)*(INC_SPECIALS="Y"))=0,"",'Dvd Calendar'!$AQ$1663)))</f>
        <v/>
      </c>
      <c r="AP169" s="110">
        <f>IF(FR169="","",IF(ISNUMBER('Dvd Calendar'!$AR$1663)=FALSE,"",IF((('Dvd Calendar'!$AR$1665=TYPE1)*(TYPE1&lt;&gt;"")+('Dvd Calendar'!$AR$1665=TYPE2)*(TYPE2&lt;&gt;"")+('Dvd Calendar'!$AR$1665=TYPE3)*(TYPE3&lt;&gt;"")+('Dvd Calendar'!$AR$1665=TYPE4)*(TYPE4&lt;&gt;"")+('Dvd Calendar'!$AR$1665=SPECIAL_LBL)*(INC_SPECIALS="Y"))=0,"",'Dvd Calendar'!$AR$1663)))</f>
        <v/>
      </c>
      <c r="AQ169" s="110">
        <f>IF(FS169="","",IF(ISNUMBER('Dvd Calendar'!$E$1668)=FALSE,"",'Dvd Calendar'!$E$1668))</f>
        <v/>
      </c>
      <c r="AR169" s="110">
        <f>IF(FT169="","",IF(ISNUMBER('Dvd Calendar'!$F$1668)=FALSE,"",'Dvd Calendar'!$F$1668))</f>
        <v/>
      </c>
      <c r="AS169" s="110">
        <f>IF(FU169="","",IF(ISNUMBER('Dvd Calendar'!$G$1668)=FALSE,"",'Dvd Calendar'!$G$1668))</f>
        <v/>
      </c>
      <c r="AT169" s="110">
        <f>IF(FV169="","",IF(ISNUMBER('Dvd Calendar'!$H$1668)=FALSE,"",'Dvd Calendar'!$H$1668))</f>
        <v/>
      </c>
      <c r="AU169" s="110">
        <f>IF(FW169="","",IF(ISNUMBER('Dvd Calendar'!$I$1668)=FALSE,"",'Dvd Calendar'!$I$1668))</f>
        <v/>
      </c>
      <c r="AV169" s="110">
        <f>IF(FX169="","",IF(ISNUMBER('Dvd Calendar'!$J$1668)=FALSE,"",'Dvd Calendar'!$J$1668))</f>
        <v/>
      </c>
      <c r="AW169" s="110">
        <f>IF(FY169="","",IF(ISNUMBER('Dvd Calendar'!$K$1668)=FALSE,"",'Dvd Calendar'!$K$1668))</f>
        <v/>
      </c>
      <c r="AX169" s="110">
        <f>IF(FZ169="","",IF(ISNUMBER('Dvd Calendar'!$L$1668)=FALSE,"",'Dvd Calendar'!$L$1668))</f>
        <v/>
      </c>
      <c r="AY169" s="110">
        <f>IF(GA169="","",IF(ISNUMBER('Dvd Calendar'!$M$1668)=FALSE,"",'Dvd Calendar'!$M$1668))</f>
        <v/>
      </c>
      <c r="AZ169" s="110">
        <f>IF(GB169="","",IF(ISNUMBER('Dvd Calendar'!$N$1668)=FALSE,"",'Dvd Calendar'!$N$1668))</f>
        <v/>
      </c>
      <c r="BA169" s="110">
        <f>IF(GC169="","",IF(ISNUMBER('Dvd Calendar'!$O$1668)=FALSE,"",'Dvd Calendar'!$O$1668))</f>
        <v/>
      </c>
      <c r="BB169" s="110">
        <f>IF(GD169="","",IF(ISNUMBER('Dvd Calendar'!$P$1668)=FALSE,"",'Dvd Calendar'!$P$1668))</f>
        <v/>
      </c>
      <c r="BC169" s="110">
        <f>IF(GE169="","",IF(ISNUMBER('Dvd Calendar'!$Q$1668)=FALSE,"",'Dvd Calendar'!$Q$1668))</f>
        <v/>
      </c>
      <c r="BD169" s="110">
        <f>IF(GF169="","",IF(ISNUMBER('Dvd Calendar'!$R$1668)=FALSE,"",'Dvd Calendar'!$R$1668))</f>
        <v/>
      </c>
      <c r="BE169" s="110">
        <f>IF(GG169="","",IF(ISNUMBER('Dvd Calendar'!$S$1668)=FALSE,"",'Dvd Calendar'!$S$1668))</f>
        <v/>
      </c>
      <c r="BF169" s="110">
        <f>IF(GH169="","",IF(ISNUMBER('Dvd Calendar'!$T$1668)=FALSE,"",'Dvd Calendar'!$T$1668))</f>
        <v/>
      </c>
      <c r="BG169" s="110">
        <f>IF(GI169="","",IF(ISNUMBER('Dvd Calendar'!$U$1668)=FALSE,"",'Dvd Calendar'!$U$1668))</f>
        <v/>
      </c>
      <c r="BH169" s="110">
        <f>IF(GJ169="","",IF(ISNUMBER('Dvd Calendar'!$V$1668)=FALSE,"",'Dvd Calendar'!$V$1668))</f>
        <v/>
      </c>
      <c r="BI169" s="110">
        <f>IF(GK169="","",IF(ISNUMBER('Dvd Calendar'!$W$1668)=FALSE,"",'Dvd Calendar'!$W$1668))</f>
        <v/>
      </c>
      <c r="BJ169" s="110">
        <f>IF(GL169="","",IF(ISNUMBER('Dvd Calendar'!$X$1668)=FALSE,"",'Dvd Calendar'!$X$1668))</f>
        <v/>
      </c>
      <c r="BK169" s="110">
        <f>IF(GM169="","",IF(ISNUMBER('Dvd Calendar'!$Y$1668)=FALSE,"",'Dvd Calendar'!$Y$1668))</f>
        <v/>
      </c>
      <c r="BL169" s="110">
        <f>IF(GN169="","",IF(ISNUMBER('Dvd Calendar'!$Z$1668)=FALSE,"",'Dvd Calendar'!$Z$1668))</f>
        <v/>
      </c>
      <c r="BM169" s="110">
        <f>IF(GO169="","",IF(ISNUMBER('Dvd Calendar'!$AA$1668)=FALSE,"",'Dvd Calendar'!$AA$1668))</f>
        <v/>
      </c>
      <c r="BN169" s="110">
        <f>IF(GP169="","",IF(ISNUMBER('Dvd Calendar'!$AB$1668)=FALSE,"",'Dvd Calendar'!$AB$1668))</f>
        <v/>
      </c>
      <c r="BO169" s="110">
        <f>IF(GQ169="","",IF(ISNUMBER('Dvd Calendar'!$AC$1668)=FALSE,"",'Dvd Calendar'!$AC$1668))</f>
        <v/>
      </c>
      <c r="BQ169" s="110">
        <f>IF(C169="","",IFERROR(C169*HSCEI!$B$16*HSCEI!$G$16/HSCEI!$B$3,""))</f>
        <v/>
      </c>
      <c r="BR169" s="110">
        <f>IF(D169="","",IFERROR(D169*HSCEI!$B$16*HSCEI!$G$16/HSCEI!$B$3,""))</f>
        <v/>
      </c>
      <c r="BS169" s="110">
        <f>IF(E169="","",IFERROR(E169*HSCEI!$B$16*HSCEI!$G$16/HSCEI!$B$3,""))</f>
        <v/>
      </c>
      <c r="BT169" s="110">
        <f>IF(F169="","",IFERROR(F169*HSCEI!$B$16*HSCEI!$G$16/HSCEI!$B$3,""))</f>
        <v/>
      </c>
      <c r="BU169" s="110">
        <f>IF(G169="","",IFERROR(G169*HSCEI!$B$16*HSCEI!$G$16/HSCEI!$B$3,""))</f>
        <v/>
      </c>
      <c r="BV169" s="110">
        <f>IF(H169="","",IFERROR(H169*HSCEI!$B$16*HSCEI!$G$16/HSCEI!$B$3,""))</f>
        <v/>
      </c>
      <c r="BW169" s="110">
        <f>IF(I169="","",IFERROR(I169*HSCEI!$B$16*HSCEI!$G$16/HSCEI!$B$3,""))</f>
        <v/>
      </c>
      <c r="BX169" s="110">
        <f>IF(J169="","",IFERROR(J169*HSCEI!$B$16*HSCEI!$G$16/HSCEI!$B$3,""))</f>
        <v/>
      </c>
      <c r="BY169" s="110">
        <f>IF(K169="","",IFERROR(K169*HSCEI!$B$16*HSCEI!$G$16/HSCEI!$B$3,""))</f>
        <v/>
      </c>
      <c r="BZ169" s="110">
        <f>IF(L169="","",IFERROR(L169*HSCEI!$B$16*HSCEI!$G$16/HSCEI!$B$3,""))</f>
        <v/>
      </c>
      <c r="CA169" s="110">
        <f>IF(M169="","",IFERROR(M169*HSCEI!$B$16*HSCEI!$G$16/HSCEI!$B$3,""))</f>
        <v/>
      </c>
      <c r="CB169" s="110">
        <f>IF(N169="","",IFERROR(N169*HSCEI!$B$16*HSCEI!$G$16/HSCEI!$B$3,""))</f>
        <v/>
      </c>
      <c r="CC169" s="110">
        <f>IF(O169="","",IFERROR(O169*HSCEI!$B$16*HSCEI!$G$16/HSCEI!$B$3,""))</f>
        <v/>
      </c>
      <c r="CD169" s="110">
        <f>IF(P169="","",IFERROR(P169*HSCEI!$B$16*HSCEI!$G$16/HSCEI!$B$3,""))</f>
        <v/>
      </c>
      <c r="CE169" s="110">
        <f>IF(Q169="","",IFERROR(Q169*HSCEI!$B$16*HSCEI!$G$16/HSCEI!$B$3,""))</f>
        <v/>
      </c>
      <c r="CF169" s="110">
        <f>IF(R169="","",IFERROR(R169*HSCEI!$B$16*HSCEI!$G$16/HSCEI!$B$3,""))</f>
        <v/>
      </c>
      <c r="CG169" s="110">
        <f>IF(S169="","",IFERROR(S169*HSCEI!$B$16*HSCEI!$G$16/HSCEI!$B$3,""))</f>
        <v/>
      </c>
      <c r="CH169" s="110">
        <f>IF(T169="","",IFERROR(T169*HSCEI!$B$16*HSCEI!$G$16/HSCEI!$B$3,""))</f>
        <v/>
      </c>
      <c r="CI169" s="110">
        <f>IF(U169="","",IFERROR(U169*HSCEI!$B$16*HSCEI!$G$16/HSCEI!$B$3,""))</f>
        <v/>
      </c>
      <c r="CJ169" s="110">
        <f>IF(V169="","",IFERROR(V169*HSCEI!$B$16*HSCEI!$G$16/HSCEI!$B$3,""))</f>
        <v/>
      </c>
      <c r="CK169" s="110">
        <f>IF(W169="","",IFERROR(W169*HSCEI!$B$16*HSCEI!$G$16/HSCEI!$B$3,""))</f>
        <v/>
      </c>
      <c r="CL169" s="110">
        <f>IF(X169="","",IFERROR(X169*HSCEI!$B$16*HSCEI!$G$16/HSCEI!$B$3,""))</f>
        <v/>
      </c>
      <c r="CM169" s="110">
        <f>IF(Y169="","",IFERROR(Y169*HSCEI!$B$16*HSCEI!$G$16/HSCEI!$B$3,""))</f>
        <v/>
      </c>
      <c r="CN169" s="110">
        <f>IF(Z169="","",IFERROR(Z169*HSCEI!$B$16*HSCEI!$G$16/HSCEI!$B$3,""))</f>
        <v/>
      </c>
      <c r="CO169" s="110">
        <f>IF(AA169="","",IFERROR(AA169*HSCEI!$B$16*HSCEI!$G$16/HSCEI!$B$3,""))</f>
        <v/>
      </c>
      <c r="CP169" s="110">
        <f>IF(AB169="","",IFERROR(AB169*HSCEI!$B$16*HSCEI!$G$16/HSCEI!$B$3,""))</f>
        <v/>
      </c>
      <c r="CQ169" s="110">
        <f>IF(AC169="","",IFERROR(AC169*HSCEI!$B$16*HSCEI!$G$16/HSCEI!$B$3,""))</f>
        <v/>
      </c>
      <c r="CR169" s="110">
        <f>IF(AD169="","",IFERROR(AD169*HSCEI!$B$16*HSCEI!$G$16/HSCEI!$B$3,""))</f>
        <v/>
      </c>
      <c r="CS169" s="110">
        <f>IF(AE169="","",IFERROR(AE169*HSCEI!$B$16*HSCEI!$G$16/HSCEI!$B$3,""))</f>
        <v/>
      </c>
      <c r="CT169" s="110">
        <f>IF(AF169="","",IFERROR(AF169*HSCEI!$B$16*HSCEI!$G$16/HSCEI!$B$3,""))</f>
        <v/>
      </c>
      <c r="CU169" s="110">
        <f>IF(AG169="","",IFERROR(AG169*HSCEI!$B$16*HSCEI!$G$16/HSCEI!$B$3,""))</f>
        <v/>
      </c>
      <c r="CV169" s="110">
        <f>IF(AH169="","",IFERROR(AH169*HSCEI!$B$16*HSCEI!$G$16/HSCEI!$B$3,""))</f>
        <v/>
      </c>
      <c r="CW169" s="110">
        <f>IF(AI169="","",IFERROR(AI169*HSCEI!$B$16*HSCEI!$G$16/HSCEI!$B$3,""))</f>
        <v/>
      </c>
      <c r="CX169" s="110">
        <f>IF(AJ169="","",IFERROR(AJ169*HSCEI!$B$16*HSCEI!$G$16/HSCEI!$B$3,""))</f>
        <v/>
      </c>
      <c r="CY169" s="110">
        <f>IF(AK169="","",IFERROR(AK169*HSCEI!$B$16*HSCEI!$G$16/HSCEI!$B$3,""))</f>
        <v/>
      </c>
      <c r="CZ169" s="110">
        <f>IF(AL169="","",IFERROR(AL169*HSCEI!$B$16*HSCEI!$G$16/HSCEI!$B$3,""))</f>
        <v/>
      </c>
      <c r="DA169" s="110">
        <f>IF(AM169="","",IFERROR(AM169*HSCEI!$B$16*HSCEI!$G$16/HSCEI!$B$3,""))</f>
        <v/>
      </c>
      <c r="DB169" s="110">
        <f>IF(AN169="","",IFERROR(AN169*HSCEI!$B$16*HSCEI!$G$16/HSCEI!$B$3,""))</f>
        <v/>
      </c>
      <c r="DC169" s="110">
        <f>IF(AO169="","",IFERROR(AO169*HSCEI!$B$16*HSCEI!$G$16/HSCEI!$B$3,""))</f>
        <v/>
      </c>
      <c r="DD169" s="110">
        <f>IF(AP169="","",IFERROR(AP169*HSCEI!$B$16*HSCEI!$G$16/HSCEI!$B$3,""))</f>
        <v/>
      </c>
      <c r="DE169" s="110">
        <f>IF(AQ169="","",IFERROR(AQ169*HSCEI!$B$16*HSCEI!$G$16/HSCEI!$B$3,""))</f>
        <v/>
      </c>
      <c r="DF169" s="110">
        <f>IF(AR169="","",IFERROR(AR169*HSCEI!$B$16*HSCEI!$G$16/HSCEI!$B$3,""))</f>
        <v/>
      </c>
      <c r="DG169" s="110">
        <f>IF(AS169="","",IFERROR(AS169*HSCEI!$B$16*HSCEI!$G$16/HSCEI!$B$3,""))</f>
        <v/>
      </c>
      <c r="DH169" s="110">
        <f>IF(AT169="","",IFERROR(AT169*HSCEI!$B$16*HSCEI!$G$16/HSCEI!$B$3,""))</f>
        <v/>
      </c>
      <c r="DI169" s="110">
        <f>IF(AU169="","",IFERROR(AU169*HSCEI!$B$16*HSCEI!$G$16/HSCEI!$B$3,""))</f>
        <v/>
      </c>
      <c r="DJ169" s="110">
        <f>IF(AV169="","",IFERROR(AV169*HSCEI!$B$16*HSCEI!$G$16/HSCEI!$B$3,""))</f>
        <v/>
      </c>
      <c r="DK169" s="110">
        <f>IF(AW169="","",IFERROR(AW169*HSCEI!$B$16*HSCEI!$G$16/HSCEI!$B$3,""))</f>
        <v/>
      </c>
      <c r="DL169" s="110">
        <f>IF(AX169="","",IFERROR(AX169*HSCEI!$B$16*HSCEI!$G$16/HSCEI!$B$3,""))</f>
        <v/>
      </c>
      <c r="DM169" s="110">
        <f>IF(AY169="","",IFERROR(AY169*HSCEI!$B$16*HSCEI!$G$16/HSCEI!$B$3,""))</f>
        <v/>
      </c>
      <c r="DN169" s="110">
        <f>IF(AZ169="","",IFERROR(AZ169*HSCEI!$B$16*HSCEI!$G$16/HSCEI!$B$3,""))</f>
        <v/>
      </c>
      <c r="DO169" s="110">
        <f>IF(BA169="","",IFERROR(BA169*HSCEI!$B$16*HSCEI!$G$16/HSCEI!$B$3,""))</f>
        <v/>
      </c>
      <c r="DP169" s="110">
        <f>IF(BB169="","",IFERROR(BB169*HSCEI!$B$16*HSCEI!$G$16/HSCEI!$B$3,""))</f>
        <v/>
      </c>
      <c r="DQ169" s="110">
        <f>IF(BC169="","",IFERROR(BC169*HSCEI!$B$16*HSCEI!$G$16/HSCEI!$B$3,""))</f>
        <v/>
      </c>
      <c r="DR169" s="110">
        <f>IF(BD169="","",IFERROR(BD169*HSCEI!$B$16*HSCEI!$G$16/HSCEI!$B$3,""))</f>
        <v/>
      </c>
      <c r="DS169" s="110">
        <f>IF(BE169="","",IFERROR(BE169*HSCEI!$B$16*HSCEI!$G$16/HSCEI!$B$3,""))</f>
        <v/>
      </c>
      <c r="DT169" s="110">
        <f>IF(BF169="","",IFERROR(BF169*HSCEI!$B$16*HSCEI!$G$16/HSCEI!$B$3,""))</f>
        <v/>
      </c>
      <c r="DU169" s="110">
        <f>IF(BG169="","",IFERROR(BG169*HSCEI!$B$16*HSCEI!$G$16/HSCEI!$B$3,""))</f>
        <v/>
      </c>
      <c r="DV169" s="110">
        <f>IF(BH169="","",IFERROR(BH169*HSCEI!$B$16*HSCEI!$G$16/HSCEI!$B$3,""))</f>
        <v/>
      </c>
      <c r="DW169" s="110">
        <f>IF(BI169="","",IFERROR(BI169*HSCEI!$B$16*HSCEI!$G$16/HSCEI!$B$3,""))</f>
        <v/>
      </c>
      <c r="DX169" s="110">
        <f>IF(BJ169="","",IFERROR(BJ169*HSCEI!$B$16*HSCEI!$G$16/HSCEI!$B$3,""))</f>
        <v/>
      </c>
      <c r="DY169" s="110">
        <f>IF(BK169="","",IFERROR(BK169*HSCEI!$B$16*HSCEI!$G$16/HSCEI!$B$3,""))</f>
        <v/>
      </c>
      <c r="DZ169" s="110">
        <f>IF(BL169="","",IFERROR(BL169*HSCEI!$B$16*HSCEI!$G$16/HSCEI!$B$3,""))</f>
        <v/>
      </c>
      <c r="EA169" s="110">
        <f>IF(BM169="","",IFERROR(BM169*HSCEI!$B$16*HSCEI!$G$16/HSCEI!$B$3,""))</f>
        <v/>
      </c>
      <c r="EB169" s="110">
        <f>IF(BN169="","",IFERROR(BN169*HSCEI!$B$16*HSCEI!$G$16/HSCEI!$B$3,""))</f>
        <v/>
      </c>
      <c r="EC169" s="110">
        <f>IF(BO169="","",IFERROR(BO169*HSCEI!$B$16*HSCEI!$G$16/HSCEI!$B$3,""))</f>
        <v/>
      </c>
      <c r="EE169" s="39">
        <f>IF(N('Dvd Calendar'!$E$1660)=0,"",IF(('Dvd Calendar'!$E$1660&gt;=GRID_FROM)*('Dvd Calendar'!$E$1660&lt;=GRID_TO)*((('Dvd Calendar'!$E$1660&lt;=VAL_DATE)+(COUNTIF('Dvd Calendar'!$E$1667:$AR$1667,'Dvd Calendar'!$E$1660)=0))&gt;0)=0,"",'Dvd Calendar'!$E$1660*1000000000+ISNUMBER('Dvd Calendar'!$E$1663)*100000000+('Dvd Calendar'!$E$1665=SPECIAL_LBL)*10000000+(N('Dvd Calendar'!$E$1659)&gt;0)*(N('Dvd Calendar'!$E$1659)&lt;=VAL_SERIAL)*1000000+10*1000+1))</f>
        <v/>
      </c>
      <c r="EF169" s="39">
        <f>IF(N('Dvd Calendar'!$F$1660)=0,"",IF(('Dvd Calendar'!$F$1660&gt;=GRID_FROM)*('Dvd Calendar'!$F$1660&lt;=GRID_TO)*((('Dvd Calendar'!$F$1660&lt;=VAL_DATE)+(COUNTIF('Dvd Calendar'!$E$1667:$AR$1667,'Dvd Calendar'!$F$1660)=0))&gt;0)=0,"",'Dvd Calendar'!$F$1660*1000000000+ISNUMBER('Dvd Calendar'!$F$1663)*100000000+('Dvd Calendar'!$F$1665=SPECIAL_LBL)*10000000+(N('Dvd Calendar'!$F$1659)&gt;0)*(N('Dvd Calendar'!$F$1659)&lt;=VAL_SERIAL)*1000000+10*1000+2))</f>
        <v/>
      </c>
      <c r="EG169" s="39">
        <f>IF(N('Dvd Calendar'!$G$1660)=0,"",IF(('Dvd Calendar'!$G$1660&gt;=GRID_FROM)*('Dvd Calendar'!$G$1660&lt;=GRID_TO)*((('Dvd Calendar'!$G$1660&lt;=VAL_DATE)+(COUNTIF('Dvd Calendar'!$E$1667:$AR$1667,'Dvd Calendar'!$G$1660)=0))&gt;0)=0,"",'Dvd Calendar'!$G$1660*1000000000+ISNUMBER('Dvd Calendar'!$G$1663)*100000000+('Dvd Calendar'!$G$1665=SPECIAL_LBL)*10000000+(N('Dvd Calendar'!$G$1659)&gt;0)*(N('Dvd Calendar'!$G$1659)&lt;=VAL_SERIAL)*1000000+10*1000+3))</f>
        <v/>
      </c>
      <c r="EH169" s="39">
        <f>IF(N('Dvd Calendar'!$H$1660)=0,"",IF(('Dvd Calendar'!$H$1660&gt;=GRID_FROM)*('Dvd Calendar'!$H$1660&lt;=GRID_TO)*((('Dvd Calendar'!$H$1660&lt;=VAL_DATE)+(COUNTIF('Dvd Calendar'!$E$1667:$AR$1667,'Dvd Calendar'!$H$1660)=0))&gt;0)=0,"",'Dvd Calendar'!$H$1660*1000000000+ISNUMBER('Dvd Calendar'!$H$1663)*100000000+('Dvd Calendar'!$H$1665=SPECIAL_LBL)*10000000+(N('Dvd Calendar'!$H$1659)&gt;0)*(N('Dvd Calendar'!$H$1659)&lt;=VAL_SERIAL)*1000000+10*1000+4))</f>
        <v/>
      </c>
      <c r="EI169" s="39">
        <f>IF(N('Dvd Calendar'!$I$1660)=0,"",IF(('Dvd Calendar'!$I$1660&gt;=GRID_FROM)*('Dvd Calendar'!$I$1660&lt;=GRID_TO)*((('Dvd Calendar'!$I$1660&lt;=VAL_DATE)+(COUNTIF('Dvd Calendar'!$E$1667:$AR$1667,'Dvd Calendar'!$I$1660)=0))&gt;0)=0,"",'Dvd Calendar'!$I$1660*1000000000+ISNUMBER('Dvd Calendar'!$I$1663)*100000000+('Dvd Calendar'!$I$1665=SPECIAL_LBL)*10000000+(N('Dvd Calendar'!$I$1659)&gt;0)*(N('Dvd Calendar'!$I$1659)&lt;=VAL_SERIAL)*1000000+10*1000+5))</f>
        <v/>
      </c>
      <c r="EJ169" s="39">
        <f>IF(N('Dvd Calendar'!$J$1660)=0,"",IF(('Dvd Calendar'!$J$1660&gt;=GRID_FROM)*('Dvd Calendar'!$J$1660&lt;=GRID_TO)*((('Dvd Calendar'!$J$1660&lt;=VAL_DATE)+(COUNTIF('Dvd Calendar'!$E$1667:$AR$1667,'Dvd Calendar'!$J$1660)=0))&gt;0)=0,"",'Dvd Calendar'!$J$1660*1000000000+ISNUMBER('Dvd Calendar'!$J$1663)*100000000+('Dvd Calendar'!$J$1665=SPECIAL_LBL)*10000000+(N('Dvd Calendar'!$J$1659)&gt;0)*(N('Dvd Calendar'!$J$1659)&lt;=VAL_SERIAL)*1000000+10*1000+6))</f>
        <v/>
      </c>
      <c r="EK169" s="39">
        <f>IF(N('Dvd Calendar'!$K$1660)=0,"",IF(('Dvd Calendar'!$K$1660&gt;=GRID_FROM)*('Dvd Calendar'!$K$1660&lt;=GRID_TO)*((('Dvd Calendar'!$K$1660&lt;=VAL_DATE)+(COUNTIF('Dvd Calendar'!$E$1667:$AR$1667,'Dvd Calendar'!$K$1660)=0))&gt;0)=0,"",'Dvd Calendar'!$K$1660*1000000000+ISNUMBER('Dvd Calendar'!$K$1663)*100000000+('Dvd Calendar'!$K$1665=SPECIAL_LBL)*10000000+(N('Dvd Calendar'!$K$1659)&gt;0)*(N('Dvd Calendar'!$K$1659)&lt;=VAL_SERIAL)*1000000+10*1000+7))</f>
        <v/>
      </c>
      <c r="EL169" s="39">
        <f>IF(N('Dvd Calendar'!$L$1660)=0,"",IF(('Dvd Calendar'!$L$1660&gt;=GRID_FROM)*('Dvd Calendar'!$L$1660&lt;=GRID_TO)*((('Dvd Calendar'!$L$1660&lt;=VAL_DATE)+(COUNTIF('Dvd Calendar'!$E$1667:$AR$1667,'Dvd Calendar'!$L$1660)=0))&gt;0)=0,"",'Dvd Calendar'!$L$1660*1000000000+ISNUMBER('Dvd Calendar'!$L$1663)*100000000+('Dvd Calendar'!$L$1665=SPECIAL_LBL)*10000000+(N('Dvd Calendar'!$L$1659)&gt;0)*(N('Dvd Calendar'!$L$1659)&lt;=VAL_SERIAL)*1000000+10*1000+8))</f>
        <v/>
      </c>
      <c r="EM169" s="39">
        <f>IF(N('Dvd Calendar'!$M$1660)=0,"",IF(('Dvd Calendar'!$M$1660&gt;=GRID_FROM)*('Dvd Calendar'!$M$1660&lt;=GRID_TO)*((('Dvd Calendar'!$M$1660&lt;=VAL_DATE)+(COUNTIF('Dvd Calendar'!$E$1667:$AR$1667,'Dvd Calendar'!$M$1660)=0))&gt;0)=0,"",'Dvd Calendar'!$M$1660*1000000000+ISNUMBER('Dvd Calendar'!$M$1663)*100000000+('Dvd Calendar'!$M$1665=SPECIAL_LBL)*10000000+(N('Dvd Calendar'!$M$1659)&gt;0)*(N('Dvd Calendar'!$M$1659)&lt;=VAL_SERIAL)*1000000+10*1000+9))</f>
        <v/>
      </c>
      <c r="EN169" s="39">
        <f>IF(N('Dvd Calendar'!$N$1660)=0,"",IF(('Dvd Calendar'!$N$1660&gt;=GRID_FROM)*('Dvd Calendar'!$N$1660&lt;=GRID_TO)*((('Dvd Calendar'!$N$1660&lt;=VAL_DATE)+(COUNTIF('Dvd Calendar'!$E$1667:$AR$1667,'Dvd Calendar'!$N$1660)=0))&gt;0)=0,"",'Dvd Calendar'!$N$1660*1000000000+ISNUMBER('Dvd Calendar'!$N$1663)*100000000+('Dvd Calendar'!$N$1665=SPECIAL_LBL)*10000000+(N('Dvd Calendar'!$N$1659)&gt;0)*(N('Dvd Calendar'!$N$1659)&lt;=VAL_SERIAL)*1000000+10*1000+10))</f>
        <v/>
      </c>
      <c r="EO169" s="39">
        <f>IF(N('Dvd Calendar'!$O$1660)=0,"",IF(('Dvd Calendar'!$O$1660&gt;=GRID_FROM)*('Dvd Calendar'!$O$1660&lt;=GRID_TO)*((('Dvd Calendar'!$O$1660&lt;=VAL_DATE)+(COUNTIF('Dvd Calendar'!$E$1667:$AR$1667,'Dvd Calendar'!$O$1660)=0))&gt;0)=0,"",'Dvd Calendar'!$O$1660*1000000000+ISNUMBER('Dvd Calendar'!$O$1663)*100000000+('Dvd Calendar'!$O$1665=SPECIAL_LBL)*10000000+(N('Dvd Calendar'!$O$1659)&gt;0)*(N('Dvd Calendar'!$O$1659)&lt;=VAL_SERIAL)*1000000+10*1000+11))</f>
        <v/>
      </c>
      <c r="EP169" s="39">
        <f>IF(N('Dvd Calendar'!$P$1660)=0,"",IF(('Dvd Calendar'!$P$1660&gt;=GRID_FROM)*('Dvd Calendar'!$P$1660&lt;=GRID_TO)*((('Dvd Calendar'!$P$1660&lt;=VAL_DATE)+(COUNTIF('Dvd Calendar'!$E$1667:$AR$1667,'Dvd Calendar'!$P$1660)=0))&gt;0)=0,"",'Dvd Calendar'!$P$1660*1000000000+ISNUMBER('Dvd Calendar'!$P$1663)*100000000+('Dvd Calendar'!$P$1665=SPECIAL_LBL)*10000000+(N('Dvd Calendar'!$P$1659)&gt;0)*(N('Dvd Calendar'!$P$1659)&lt;=VAL_SERIAL)*1000000+10*1000+12))</f>
        <v/>
      </c>
      <c r="EQ169" s="39">
        <f>IF(N('Dvd Calendar'!$Q$1660)=0,"",IF(('Dvd Calendar'!$Q$1660&gt;=GRID_FROM)*('Dvd Calendar'!$Q$1660&lt;=GRID_TO)*((('Dvd Calendar'!$Q$1660&lt;=VAL_DATE)+(COUNTIF('Dvd Calendar'!$E$1667:$AR$1667,'Dvd Calendar'!$Q$1660)=0))&gt;0)=0,"",'Dvd Calendar'!$Q$1660*1000000000+ISNUMBER('Dvd Calendar'!$Q$1663)*100000000+('Dvd Calendar'!$Q$1665=SPECIAL_LBL)*10000000+(N('Dvd Calendar'!$Q$1659)&gt;0)*(N('Dvd Calendar'!$Q$1659)&lt;=VAL_SERIAL)*1000000+10*1000+13))</f>
        <v/>
      </c>
      <c r="ER169" s="39">
        <f>IF(N('Dvd Calendar'!$R$1660)=0,"",IF(('Dvd Calendar'!$R$1660&gt;=GRID_FROM)*('Dvd Calendar'!$R$1660&lt;=GRID_TO)*((('Dvd Calendar'!$R$1660&lt;=VAL_DATE)+(COUNTIF('Dvd Calendar'!$E$1667:$AR$1667,'Dvd Calendar'!$R$1660)=0))&gt;0)=0,"",'Dvd Calendar'!$R$1660*1000000000+ISNUMBER('Dvd Calendar'!$R$1663)*100000000+('Dvd Calendar'!$R$1665=SPECIAL_LBL)*10000000+(N('Dvd Calendar'!$R$1659)&gt;0)*(N('Dvd Calendar'!$R$1659)&lt;=VAL_SERIAL)*1000000+10*1000+14))</f>
        <v/>
      </c>
      <c r="ES169" s="39">
        <f>IF(N('Dvd Calendar'!$S$1660)=0,"",IF(('Dvd Calendar'!$S$1660&gt;=GRID_FROM)*('Dvd Calendar'!$S$1660&lt;=GRID_TO)*((('Dvd Calendar'!$S$1660&lt;=VAL_DATE)+(COUNTIF('Dvd Calendar'!$E$1667:$AR$1667,'Dvd Calendar'!$S$1660)=0))&gt;0)=0,"",'Dvd Calendar'!$S$1660*1000000000+ISNUMBER('Dvd Calendar'!$S$1663)*100000000+('Dvd Calendar'!$S$1665=SPECIAL_LBL)*10000000+(N('Dvd Calendar'!$S$1659)&gt;0)*(N('Dvd Calendar'!$S$1659)&lt;=VAL_SERIAL)*1000000+10*1000+15))</f>
        <v/>
      </c>
      <c r="ET169" s="39">
        <f>IF(N('Dvd Calendar'!$T$1660)=0,"",IF(('Dvd Calendar'!$T$1660&gt;=GRID_FROM)*('Dvd Calendar'!$T$1660&lt;=GRID_TO)*((('Dvd Calendar'!$T$1660&lt;=VAL_DATE)+(COUNTIF('Dvd Calendar'!$E$1667:$AR$1667,'Dvd Calendar'!$T$1660)=0))&gt;0)=0,"",'Dvd Calendar'!$T$1660*1000000000+ISNUMBER('Dvd Calendar'!$T$1663)*100000000+('Dvd Calendar'!$T$1665=SPECIAL_LBL)*10000000+(N('Dvd Calendar'!$T$1659)&gt;0)*(N('Dvd Calendar'!$T$1659)&lt;=VAL_SERIAL)*1000000+10*1000+16))</f>
        <v/>
      </c>
      <c r="EU169" s="39">
        <f>IF(N('Dvd Calendar'!$U$1660)=0,"",IF(('Dvd Calendar'!$U$1660&gt;=GRID_FROM)*('Dvd Calendar'!$U$1660&lt;=GRID_TO)*((('Dvd Calendar'!$U$1660&lt;=VAL_DATE)+(COUNTIF('Dvd Calendar'!$E$1667:$AR$1667,'Dvd Calendar'!$U$1660)=0))&gt;0)=0,"",'Dvd Calendar'!$U$1660*1000000000+ISNUMBER('Dvd Calendar'!$U$1663)*100000000+('Dvd Calendar'!$U$1665=SPECIAL_LBL)*10000000+(N('Dvd Calendar'!$U$1659)&gt;0)*(N('Dvd Calendar'!$U$1659)&lt;=VAL_SERIAL)*1000000+10*1000+17))</f>
        <v/>
      </c>
      <c r="EV169" s="39">
        <f>IF(N('Dvd Calendar'!$V$1660)=0,"",IF(('Dvd Calendar'!$V$1660&gt;=GRID_FROM)*('Dvd Calendar'!$V$1660&lt;=GRID_TO)*((('Dvd Calendar'!$V$1660&lt;=VAL_DATE)+(COUNTIF('Dvd Calendar'!$E$1667:$AR$1667,'Dvd Calendar'!$V$1660)=0))&gt;0)=0,"",'Dvd Calendar'!$V$1660*1000000000+ISNUMBER('Dvd Calendar'!$V$1663)*100000000+('Dvd Calendar'!$V$1665=SPECIAL_LBL)*10000000+(N('Dvd Calendar'!$V$1659)&gt;0)*(N('Dvd Calendar'!$V$1659)&lt;=VAL_SERIAL)*1000000+10*1000+18))</f>
        <v/>
      </c>
      <c r="EW169" s="39">
        <f>IF(N('Dvd Calendar'!$W$1660)=0,"",IF(('Dvd Calendar'!$W$1660&gt;=GRID_FROM)*('Dvd Calendar'!$W$1660&lt;=GRID_TO)*((('Dvd Calendar'!$W$1660&lt;=VAL_DATE)+(COUNTIF('Dvd Calendar'!$E$1667:$AR$1667,'Dvd Calendar'!$W$1660)=0))&gt;0)=0,"",'Dvd Calendar'!$W$1660*1000000000+ISNUMBER('Dvd Calendar'!$W$1663)*100000000+('Dvd Calendar'!$W$1665=SPECIAL_LBL)*10000000+(N('Dvd Calendar'!$W$1659)&gt;0)*(N('Dvd Calendar'!$W$1659)&lt;=VAL_SERIAL)*1000000+10*1000+19))</f>
        <v/>
      </c>
      <c r="EX169" s="39">
        <f>IF(N('Dvd Calendar'!$X$1660)=0,"",IF(('Dvd Calendar'!$X$1660&gt;=GRID_FROM)*('Dvd Calendar'!$X$1660&lt;=GRID_TO)*((('Dvd Calendar'!$X$1660&lt;=VAL_DATE)+(COUNTIF('Dvd Calendar'!$E$1667:$AR$1667,'Dvd Calendar'!$X$1660)=0))&gt;0)=0,"",'Dvd Calendar'!$X$1660*1000000000+ISNUMBER('Dvd Calendar'!$X$1663)*100000000+('Dvd Calendar'!$X$1665=SPECIAL_LBL)*10000000+(N('Dvd Calendar'!$X$1659)&gt;0)*(N('Dvd Calendar'!$X$1659)&lt;=VAL_SERIAL)*1000000+10*1000+20))</f>
        <v/>
      </c>
      <c r="EY169" s="39">
        <f>IF(N('Dvd Calendar'!$Y$1660)=0,"",IF(('Dvd Calendar'!$Y$1660&gt;=GRID_FROM)*('Dvd Calendar'!$Y$1660&lt;=GRID_TO)*((('Dvd Calendar'!$Y$1660&lt;=VAL_DATE)+(COUNTIF('Dvd Calendar'!$E$1667:$AR$1667,'Dvd Calendar'!$Y$1660)=0))&gt;0)=0,"",'Dvd Calendar'!$Y$1660*1000000000+ISNUMBER('Dvd Calendar'!$Y$1663)*100000000+('Dvd Calendar'!$Y$1665=SPECIAL_LBL)*10000000+(N('Dvd Calendar'!$Y$1659)&gt;0)*(N('Dvd Calendar'!$Y$1659)&lt;=VAL_SERIAL)*1000000+10*1000+21))</f>
        <v/>
      </c>
      <c r="EZ169" s="39">
        <f>IF(N('Dvd Calendar'!$Z$1660)=0,"",IF(('Dvd Calendar'!$Z$1660&gt;=GRID_FROM)*('Dvd Calendar'!$Z$1660&lt;=GRID_TO)*((('Dvd Calendar'!$Z$1660&lt;=VAL_DATE)+(COUNTIF('Dvd Calendar'!$E$1667:$AR$1667,'Dvd Calendar'!$Z$1660)=0))&gt;0)=0,"",'Dvd Calendar'!$Z$1660*1000000000+ISNUMBER('Dvd Calendar'!$Z$1663)*100000000+('Dvd Calendar'!$Z$1665=SPECIAL_LBL)*10000000+(N('Dvd Calendar'!$Z$1659)&gt;0)*(N('Dvd Calendar'!$Z$1659)&lt;=VAL_SERIAL)*1000000+10*1000+22))</f>
        <v/>
      </c>
      <c r="FA169" s="39">
        <f>IF(N('Dvd Calendar'!$AA$1660)=0,"",IF(('Dvd Calendar'!$AA$1660&gt;=GRID_FROM)*('Dvd Calendar'!$AA$1660&lt;=GRID_TO)*((('Dvd Calendar'!$AA$1660&lt;=VAL_DATE)+(COUNTIF('Dvd Calendar'!$E$1667:$AR$1667,'Dvd Calendar'!$AA$1660)=0))&gt;0)=0,"",'Dvd Calendar'!$AA$1660*1000000000+ISNUMBER('Dvd Calendar'!$AA$1663)*100000000+('Dvd Calendar'!$AA$1665=SPECIAL_LBL)*10000000+(N('Dvd Calendar'!$AA$1659)&gt;0)*(N('Dvd Calendar'!$AA$1659)&lt;=VAL_SERIAL)*1000000+10*1000+23))</f>
        <v/>
      </c>
      <c r="FB169" s="39">
        <f>IF(N('Dvd Calendar'!$AB$1660)=0,"",IF(('Dvd Calendar'!$AB$1660&gt;=GRID_FROM)*('Dvd Calendar'!$AB$1660&lt;=GRID_TO)*((('Dvd Calendar'!$AB$1660&lt;=VAL_DATE)+(COUNTIF('Dvd Calendar'!$E$1667:$AR$1667,'Dvd Calendar'!$AB$1660)=0))&gt;0)=0,"",'Dvd Calendar'!$AB$1660*1000000000+ISNUMBER('Dvd Calendar'!$AB$1663)*100000000+('Dvd Calendar'!$AB$1665=SPECIAL_LBL)*10000000+(N('Dvd Calendar'!$AB$1659)&gt;0)*(N('Dvd Calendar'!$AB$1659)&lt;=VAL_SERIAL)*1000000+10*1000+24))</f>
        <v/>
      </c>
      <c r="FC169" s="39">
        <f>IF(N('Dvd Calendar'!$AC$1660)=0,"",IF(('Dvd Calendar'!$AC$1660&gt;=GRID_FROM)*('Dvd Calendar'!$AC$1660&lt;=GRID_TO)*((('Dvd Calendar'!$AC$1660&lt;=VAL_DATE)+(COUNTIF('Dvd Calendar'!$E$1667:$AR$1667,'Dvd Calendar'!$AC$1660)=0))&gt;0)=0,"",'Dvd Calendar'!$AC$1660*1000000000+ISNUMBER('Dvd Calendar'!$AC$1663)*100000000+('Dvd Calendar'!$AC$1665=SPECIAL_LBL)*10000000+(N('Dvd Calendar'!$AC$1659)&gt;0)*(N('Dvd Calendar'!$AC$1659)&lt;=VAL_SERIAL)*1000000+10*1000+25))</f>
        <v/>
      </c>
      <c r="FD169" s="39">
        <f>IF(N('Dvd Calendar'!$AD$1660)=0,"",IF(('Dvd Calendar'!$AD$1660&gt;=GRID_FROM)*('Dvd Calendar'!$AD$1660&lt;=GRID_TO)*((('Dvd Calendar'!$AD$1660&lt;=VAL_DATE)+(COUNTIF('Dvd Calendar'!$E$1667:$AR$1667,'Dvd Calendar'!$AD$1660)=0))&gt;0)=0,"",'Dvd Calendar'!$AD$1660*1000000000+ISNUMBER('Dvd Calendar'!$AD$1663)*100000000+('Dvd Calendar'!$AD$1665=SPECIAL_LBL)*10000000+(N('Dvd Calendar'!$AD$1659)&gt;0)*(N('Dvd Calendar'!$AD$1659)&lt;=VAL_SERIAL)*1000000+10*1000+26))</f>
        <v/>
      </c>
      <c r="FE169" s="39">
        <f>IF(N('Dvd Calendar'!$AE$1660)=0,"",IF(('Dvd Calendar'!$AE$1660&gt;=GRID_FROM)*('Dvd Calendar'!$AE$1660&lt;=GRID_TO)*((('Dvd Calendar'!$AE$1660&lt;=VAL_DATE)+(COUNTIF('Dvd Calendar'!$E$1667:$AR$1667,'Dvd Calendar'!$AE$1660)=0))&gt;0)=0,"",'Dvd Calendar'!$AE$1660*1000000000+ISNUMBER('Dvd Calendar'!$AE$1663)*100000000+('Dvd Calendar'!$AE$1665=SPECIAL_LBL)*10000000+(N('Dvd Calendar'!$AE$1659)&gt;0)*(N('Dvd Calendar'!$AE$1659)&lt;=VAL_SERIAL)*1000000+10*1000+27))</f>
        <v/>
      </c>
      <c r="FF169" s="39">
        <f>IF(N('Dvd Calendar'!$AF$1660)=0,"",IF(('Dvd Calendar'!$AF$1660&gt;=GRID_FROM)*('Dvd Calendar'!$AF$1660&lt;=GRID_TO)*((('Dvd Calendar'!$AF$1660&lt;=VAL_DATE)+(COUNTIF('Dvd Calendar'!$E$1667:$AR$1667,'Dvd Calendar'!$AF$1660)=0))&gt;0)=0,"",'Dvd Calendar'!$AF$1660*1000000000+ISNUMBER('Dvd Calendar'!$AF$1663)*100000000+('Dvd Calendar'!$AF$1665=SPECIAL_LBL)*10000000+(N('Dvd Calendar'!$AF$1659)&gt;0)*(N('Dvd Calendar'!$AF$1659)&lt;=VAL_SERIAL)*1000000+10*1000+28))</f>
        <v/>
      </c>
      <c r="FG169" s="39">
        <f>IF(N('Dvd Calendar'!$AG$1660)=0,"",IF(('Dvd Calendar'!$AG$1660&gt;=GRID_FROM)*('Dvd Calendar'!$AG$1660&lt;=GRID_TO)*((('Dvd Calendar'!$AG$1660&lt;=VAL_DATE)+(COUNTIF('Dvd Calendar'!$E$1667:$AR$1667,'Dvd Calendar'!$AG$1660)=0))&gt;0)=0,"",'Dvd Calendar'!$AG$1660*1000000000+ISNUMBER('Dvd Calendar'!$AG$1663)*100000000+('Dvd Calendar'!$AG$1665=SPECIAL_LBL)*10000000+(N('Dvd Calendar'!$AG$1659)&gt;0)*(N('Dvd Calendar'!$AG$1659)&lt;=VAL_SERIAL)*1000000+10*1000+29))</f>
        <v/>
      </c>
      <c r="FH169" s="39">
        <f>IF(N('Dvd Calendar'!$AH$1660)=0,"",IF(('Dvd Calendar'!$AH$1660&gt;=GRID_FROM)*('Dvd Calendar'!$AH$1660&lt;=GRID_TO)*((('Dvd Calendar'!$AH$1660&lt;=VAL_DATE)+(COUNTIF('Dvd Calendar'!$E$1667:$AR$1667,'Dvd Calendar'!$AH$1660)=0))&gt;0)=0,"",'Dvd Calendar'!$AH$1660*1000000000+ISNUMBER('Dvd Calendar'!$AH$1663)*100000000+('Dvd Calendar'!$AH$1665=SPECIAL_LBL)*10000000+(N('Dvd Calendar'!$AH$1659)&gt;0)*(N('Dvd Calendar'!$AH$1659)&lt;=VAL_SERIAL)*1000000+10*1000+30))</f>
        <v/>
      </c>
      <c r="FI169" s="39">
        <f>IF(N('Dvd Calendar'!$AI$1660)=0,"",IF(('Dvd Calendar'!$AI$1660&gt;=GRID_FROM)*('Dvd Calendar'!$AI$1660&lt;=GRID_TO)*((('Dvd Calendar'!$AI$1660&lt;=VAL_DATE)+(COUNTIF('Dvd Calendar'!$E$1667:$AR$1667,'Dvd Calendar'!$AI$1660)=0))&gt;0)=0,"",'Dvd Calendar'!$AI$1660*1000000000+ISNUMBER('Dvd Calendar'!$AI$1663)*100000000+('Dvd Calendar'!$AI$1665=SPECIAL_LBL)*10000000+(N('Dvd Calendar'!$AI$1659)&gt;0)*(N('Dvd Calendar'!$AI$1659)&lt;=VAL_SERIAL)*1000000+10*1000+31))</f>
        <v/>
      </c>
      <c r="FJ169" s="39">
        <f>IF(N('Dvd Calendar'!$AJ$1660)=0,"",IF(('Dvd Calendar'!$AJ$1660&gt;=GRID_FROM)*('Dvd Calendar'!$AJ$1660&lt;=GRID_TO)*((('Dvd Calendar'!$AJ$1660&lt;=VAL_DATE)+(COUNTIF('Dvd Calendar'!$E$1667:$AR$1667,'Dvd Calendar'!$AJ$1660)=0))&gt;0)=0,"",'Dvd Calendar'!$AJ$1660*1000000000+ISNUMBER('Dvd Calendar'!$AJ$1663)*100000000+('Dvd Calendar'!$AJ$1665=SPECIAL_LBL)*10000000+(N('Dvd Calendar'!$AJ$1659)&gt;0)*(N('Dvd Calendar'!$AJ$1659)&lt;=VAL_SERIAL)*1000000+10*1000+32))</f>
        <v/>
      </c>
      <c r="FK169" s="39">
        <f>IF(N('Dvd Calendar'!$AK$1660)=0,"",IF(('Dvd Calendar'!$AK$1660&gt;=GRID_FROM)*('Dvd Calendar'!$AK$1660&lt;=GRID_TO)*((('Dvd Calendar'!$AK$1660&lt;=VAL_DATE)+(COUNTIF('Dvd Calendar'!$E$1667:$AR$1667,'Dvd Calendar'!$AK$1660)=0))&gt;0)=0,"",'Dvd Calendar'!$AK$1660*1000000000+ISNUMBER('Dvd Calendar'!$AK$1663)*100000000+('Dvd Calendar'!$AK$1665=SPECIAL_LBL)*10000000+(N('Dvd Calendar'!$AK$1659)&gt;0)*(N('Dvd Calendar'!$AK$1659)&lt;=VAL_SERIAL)*1000000+10*1000+33))</f>
        <v/>
      </c>
      <c r="FL169" s="39">
        <f>IF(N('Dvd Calendar'!$AL$1660)=0,"",IF(('Dvd Calendar'!$AL$1660&gt;=GRID_FROM)*('Dvd Calendar'!$AL$1660&lt;=GRID_TO)*((('Dvd Calendar'!$AL$1660&lt;=VAL_DATE)+(COUNTIF('Dvd Calendar'!$E$1667:$AR$1667,'Dvd Calendar'!$AL$1660)=0))&gt;0)=0,"",'Dvd Calendar'!$AL$1660*1000000000+ISNUMBER('Dvd Calendar'!$AL$1663)*100000000+('Dvd Calendar'!$AL$1665=SPECIAL_LBL)*10000000+(N('Dvd Calendar'!$AL$1659)&gt;0)*(N('Dvd Calendar'!$AL$1659)&lt;=VAL_SERIAL)*1000000+10*1000+34))</f>
        <v/>
      </c>
      <c r="FM169" s="39">
        <f>IF(N('Dvd Calendar'!$AM$1660)=0,"",IF(('Dvd Calendar'!$AM$1660&gt;=GRID_FROM)*('Dvd Calendar'!$AM$1660&lt;=GRID_TO)*((('Dvd Calendar'!$AM$1660&lt;=VAL_DATE)+(COUNTIF('Dvd Calendar'!$E$1667:$AR$1667,'Dvd Calendar'!$AM$1660)=0))&gt;0)=0,"",'Dvd Calendar'!$AM$1660*1000000000+ISNUMBER('Dvd Calendar'!$AM$1663)*100000000+('Dvd Calendar'!$AM$1665=SPECIAL_LBL)*10000000+(N('Dvd Calendar'!$AM$1659)&gt;0)*(N('Dvd Calendar'!$AM$1659)&lt;=VAL_SERIAL)*1000000+10*1000+35))</f>
        <v/>
      </c>
      <c r="FN169" s="39">
        <f>IF(N('Dvd Calendar'!$AN$1660)=0,"",IF(('Dvd Calendar'!$AN$1660&gt;=GRID_FROM)*('Dvd Calendar'!$AN$1660&lt;=GRID_TO)*((('Dvd Calendar'!$AN$1660&lt;=VAL_DATE)+(COUNTIF('Dvd Calendar'!$E$1667:$AR$1667,'Dvd Calendar'!$AN$1660)=0))&gt;0)=0,"",'Dvd Calendar'!$AN$1660*1000000000+ISNUMBER('Dvd Calendar'!$AN$1663)*100000000+('Dvd Calendar'!$AN$1665=SPECIAL_LBL)*10000000+(N('Dvd Calendar'!$AN$1659)&gt;0)*(N('Dvd Calendar'!$AN$1659)&lt;=VAL_SERIAL)*1000000+10*1000+36))</f>
        <v/>
      </c>
      <c r="FO169" s="39">
        <f>IF(N('Dvd Calendar'!$AO$1660)=0,"",IF(('Dvd Calendar'!$AO$1660&gt;=GRID_FROM)*('Dvd Calendar'!$AO$1660&lt;=GRID_TO)*((('Dvd Calendar'!$AO$1660&lt;=VAL_DATE)+(COUNTIF('Dvd Calendar'!$E$1667:$AR$1667,'Dvd Calendar'!$AO$1660)=0))&gt;0)=0,"",'Dvd Calendar'!$AO$1660*1000000000+ISNUMBER('Dvd Calendar'!$AO$1663)*100000000+('Dvd Calendar'!$AO$1665=SPECIAL_LBL)*10000000+(N('Dvd Calendar'!$AO$1659)&gt;0)*(N('Dvd Calendar'!$AO$1659)&lt;=VAL_SERIAL)*1000000+10*1000+37))</f>
        <v/>
      </c>
      <c r="FP169" s="39">
        <f>IF(N('Dvd Calendar'!$AP$1660)=0,"",IF(('Dvd Calendar'!$AP$1660&gt;=GRID_FROM)*('Dvd Calendar'!$AP$1660&lt;=GRID_TO)*((('Dvd Calendar'!$AP$1660&lt;=VAL_DATE)+(COUNTIF('Dvd Calendar'!$E$1667:$AR$1667,'Dvd Calendar'!$AP$1660)=0))&gt;0)=0,"",'Dvd Calendar'!$AP$1660*1000000000+ISNUMBER('Dvd Calendar'!$AP$1663)*100000000+('Dvd Calendar'!$AP$1665=SPECIAL_LBL)*10000000+(N('Dvd Calendar'!$AP$1659)&gt;0)*(N('Dvd Calendar'!$AP$1659)&lt;=VAL_SERIAL)*1000000+10*1000+38))</f>
        <v/>
      </c>
      <c r="FQ169" s="39">
        <f>IF(N('Dvd Calendar'!$AQ$1660)=0,"",IF(('Dvd Calendar'!$AQ$1660&gt;=GRID_FROM)*('Dvd Calendar'!$AQ$1660&lt;=GRID_TO)*((('Dvd Calendar'!$AQ$1660&lt;=VAL_DATE)+(COUNTIF('Dvd Calendar'!$E$1667:$AR$1667,'Dvd Calendar'!$AQ$1660)=0))&gt;0)=0,"",'Dvd Calendar'!$AQ$1660*1000000000+ISNUMBER('Dvd Calendar'!$AQ$1663)*100000000+('Dvd Calendar'!$AQ$1665=SPECIAL_LBL)*10000000+(N('Dvd Calendar'!$AQ$1659)&gt;0)*(N('Dvd Calendar'!$AQ$1659)&lt;=VAL_SERIAL)*1000000+10*1000+39))</f>
        <v/>
      </c>
      <c r="FR169" s="39">
        <f>IF(N('Dvd Calendar'!$AR$1660)=0,"",IF(('Dvd Calendar'!$AR$1660&gt;=GRID_FROM)*('Dvd Calendar'!$AR$1660&lt;=GRID_TO)*((('Dvd Calendar'!$AR$1660&lt;=VAL_DATE)+(COUNTIF('Dvd Calendar'!$E$1667:$AR$1667,'Dvd Calendar'!$AR$1660)=0))&gt;0)=0,"",'Dvd Calendar'!$AR$1660*1000000000+ISNUMBER('Dvd Calendar'!$AR$1663)*100000000+('Dvd Calendar'!$AR$1665=SPECIAL_LBL)*10000000+(N('Dvd Calendar'!$AR$1659)&gt;0)*(N('Dvd Calendar'!$AR$1659)&lt;=VAL_SERIAL)*1000000+10*1000+40))</f>
        <v/>
      </c>
      <c r="FS169" s="39">
        <f>IF(N('Dvd Calendar'!$E$1667)=0,"",IF(('Dvd Calendar'!$E$1667&gt;=GRID_FROM)*('Dvd Calendar'!$E$1667&lt;=GRID_TO)*('Dvd Calendar'!$E$1667&gt;VAL_DATE)=0,"",'Dvd Calendar'!$E$1667*1000000000+ISNUMBER('Dvd Calendar'!$E$1668)*100000000+0*10000000+(N('Dvd Calendar'!$E$1666)&gt;0)*(N('Dvd Calendar'!$E$1666)&lt;=VAL_SERIAL)*1000000+10*1000+41))</f>
        <v/>
      </c>
      <c r="FT169" s="39">
        <f>IF(N('Dvd Calendar'!$F$1667)=0,"",IF(('Dvd Calendar'!$F$1667&gt;=GRID_FROM)*('Dvd Calendar'!$F$1667&lt;=GRID_TO)*('Dvd Calendar'!$F$1667&gt;VAL_DATE)=0,"",'Dvd Calendar'!$F$1667*1000000000+ISNUMBER('Dvd Calendar'!$F$1668)*100000000+0*10000000+(N('Dvd Calendar'!$F$1666)&gt;0)*(N('Dvd Calendar'!$F$1666)&lt;=VAL_SERIAL)*1000000+10*1000+42))</f>
        <v/>
      </c>
      <c r="FU169" s="39">
        <f>IF(N('Dvd Calendar'!$G$1667)=0,"",IF(('Dvd Calendar'!$G$1667&gt;=GRID_FROM)*('Dvd Calendar'!$G$1667&lt;=GRID_TO)*('Dvd Calendar'!$G$1667&gt;VAL_DATE)=0,"",'Dvd Calendar'!$G$1667*1000000000+ISNUMBER('Dvd Calendar'!$G$1668)*100000000+0*10000000+(N('Dvd Calendar'!$G$1666)&gt;0)*(N('Dvd Calendar'!$G$1666)&lt;=VAL_SERIAL)*1000000+10*1000+43))</f>
        <v/>
      </c>
      <c r="FV169" s="39">
        <f>IF(N('Dvd Calendar'!$H$1667)=0,"",IF(('Dvd Calendar'!$H$1667&gt;=GRID_FROM)*('Dvd Calendar'!$H$1667&lt;=GRID_TO)*('Dvd Calendar'!$H$1667&gt;VAL_DATE)=0,"",'Dvd Calendar'!$H$1667*1000000000+ISNUMBER('Dvd Calendar'!$H$1668)*100000000+0*10000000+(N('Dvd Calendar'!$H$1666)&gt;0)*(N('Dvd Calendar'!$H$1666)&lt;=VAL_SERIAL)*1000000+10*1000+44))</f>
        <v/>
      </c>
      <c r="FW169" s="39">
        <f>IF(N('Dvd Calendar'!$I$1667)=0,"",IF(('Dvd Calendar'!$I$1667&gt;=GRID_FROM)*('Dvd Calendar'!$I$1667&lt;=GRID_TO)*('Dvd Calendar'!$I$1667&gt;VAL_DATE)=0,"",'Dvd Calendar'!$I$1667*1000000000+ISNUMBER('Dvd Calendar'!$I$1668)*100000000+0*10000000+(N('Dvd Calendar'!$I$1666)&gt;0)*(N('Dvd Calendar'!$I$1666)&lt;=VAL_SERIAL)*1000000+10*1000+45))</f>
        <v/>
      </c>
      <c r="FX169" s="39">
        <f>IF(N('Dvd Calendar'!$J$1667)=0,"",IF(('Dvd Calendar'!$J$1667&gt;=GRID_FROM)*('Dvd Calendar'!$J$1667&lt;=GRID_TO)*('Dvd Calendar'!$J$1667&gt;VAL_DATE)=0,"",'Dvd Calendar'!$J$1667*1000000000+ISNUMBER('Dvd Calendar'!$J$1668)*100000000+0*10000000+(N('Dvd Calendar'!$J$1666)&gt;0)*(N('Dvd Calendar'!$J$1666)&lt;=VAL_SERIAL)*1000000+10*1000+46))</f>
        <v/>
      </c>
      <c r="FY169" s="39">
        <f>IF(N('Dvd Calendar'!$K$1667)=0,"",IF(('Dvd Calendar'!$K$1667&gt;=GRID_FROM)*('Dvd Calendar'!$K$1667&lt;=GRID_TO)*('Dvd Calendar'!$K$1667&gt;VAL_DATE)=0,"",'Dvd Calendar'!$K$1667*1000000000+ISNUMBER('Dvd Calendar'!$K$1668)*100000000+0*10000000+(N('Dvd Calendar'!$K$1666)&gt;0)*(N('Dvd Calendar'!$K$1666)&lt;=VAL_SERIAL)*1000000+10*1000+47))</f>
        <v/>
      </c>
      <c r="FZ169" s="39">
        <f>IF(N('Dvd Calendar'!$L$1667)=0,"",IF(('Dvd Calendar'!$L$1667&gt;=GRID_FROM)*('Dvd Calendar'!$L$1667&lt;=GRID_TO)*('Dvd Calendar'!$L$1667&gt;VAL_DATE)=0,"",'Dvd Calendar'!$L$1667*1000000000+ISNUMBER('Dvd Calendar'!$L$1668)*100000000+0*10000000+(N('Dvd Calendar'!$L$1666)&gt;0)*(N('Dvd Calendar'!$L$1666)&lt;=VAL_SERIAL)*1000000+10*1000+48))</f>
        <v/>
      </c>
      <c r="GA169" s="39">
        <f>IF(N('Dvd Calendar'!$M$1667)=0,"",IF(('Dvd Calendar'!$M$1667&gt;=GRID_FROM)*('Dvd Calendar'!$M$1667&lt;=GRID_TO)*('Dvd Calendar'!$M$1667&gt;VAL_DATE)=0,"",'Dvd Calendar'!$M$1667*1000000000+ISNUMBER('Dvd Calendar'!$M$1668)*100000000+0*10000000+(N('Dvd Calendar'!$M$1666)&gt;0)*(N('Dvd Calendar'!$M$1666)&lt;=VAL_SERIAL)*1000000+10*1000+49))</f>
        <v/>
      </c>
      <c r="GB169" s="39">
        <f>IF(N('Dvd Calendar'!$N$1667)=0,"",IF(('Dvd Calendar'!$N$1667&gt;=GRID_FROM)*('Dvd Calendar'!$N$1667&lt;=GRID_TO)*('Dvd Calendar'!$N$1667&gt;VAL_DATE)=0,"",'Dvd Calendar'!$N$1667*1000000000+ISNUMBER('Dvd Calendar'!$N$1668)*100000000+0*10000000+(N('Dvd Calendar'!$N$1666)&gt;0)*(N('Dvd Calendar'!$N$1666)&lt;=VAL_SERIAL)*1000000+10*1000+50))</f>
        <v/>
      </c>
      <c r="GC169" s="39">
        <f>IF(N('Dvd Calendar'!$O$1667)=0,"",IF(('Dvd Calendar'!$O$1667&gt;=GRID_FROM)*('Dvd Calendar'!$O$1667&lt;=GRID_TO)*('Dvd Calendar'!$O$1667&gt;VAL_DATE)=0,"",'Dvd Calendar'!$O$1667*1000000000+ISNUMBER('Dvd Calendar'!$O$1668)*100000000+0*10000000+(N('Dvd Calendar'!$O$1666)&gt;0)*(N('Dvd Calendar'!$O$1666)&lt;=VAL_SERIAL)*1000000+10*1000+51))</f>
        <v/>
      </c>
      <c r="GD169" s="39">
        <f>IF(N('Dvd Calendar'!$P$1667)=0,"",IF(('Dvd Calendar'!$P$1667&gt;=GRID_FROM)*('Dvd Calendar'!$P$1667&lt;=GRID_TO)*('Dvd Calendar'!$P$1667&gt;VAL_DATE)=0,"",'Dvd Calendar'!$P$1667*1000000000+ISNUMBER('Dvd Calendar'!$P$1668)*100000000+0*10000000+(N('Dvd Calendar'!$P$1666)&gt;0)*(N('Dvd Calendar'!$P$1666)&lt;=VAL_SERIAL)*1000000+10*1000+52))</f>
        <v/>
      </c>
      <c r="GE169" s="39">
        <f>IF(N('Dvd Calendar'!$Q$1667)=0,"",IF(('Dvd Calendar'!$Q$1667&gt;=GRID_FROM)*('Dvd Calendar'!$Q$1667&lt;=GRID_TO)*('Dvd Calendar'!$Q$1667&gt;VAL_DATE)=0,"",'Dvd Calendar'!$Q$1667*1000000000+ISNUMBER('Dvd Calendar'!$Q$1668)*100000000+0*10000000+(N('Dvd Calendar'!$Q$1666)&gt;0)*(N('Dvd Calendar'!$Q$1666)&lt;=VAL_SERIAL)*1000000+10*1000+53))</f>
        <v/>
      </c>
      <c r="GF169" s="39">
        <f>IF(N('Dvd Calendar'!$R$1667)=0,"",IF(('Dvd Calendar'!$R$1667&gt;=GRID_FROM)*('Dvd Calendar'!$R$1667&lt;=GRID_TO)*('Dvd Calendar'!$R$1667&gt;VAL_DATE)=0,"",'Dvd Calendar'!$R$1667*1000000000+ISNUMBER('Dvd Calendar'!$R$1668)*100000000+0*10000000+(N('Dvd Calendar'!$R$1666)&gt;0)*(N('Dvd Calendar'!$R$1666)&lt;=VAL_SERIAL)*1000000+10*1000+54))</f>
        <v/>
      </c>
      <c r="GG169" s="39">
        <f>IF(N('Dvd Calendar'!$S$1667)=0,"",IF(('Dvd Calendar'!$S$1667&gt;=GRID_FROM)*('Dvd Calendar'!$S$1667&lt;=GRID_TO)*('Dvd Calendar'!$S$1667&gt;VAL_DATE)=0,"",'Dvd Calendar'!$S$1667*1000000000+ISNUMBER('Dvd Calendar'!$S$1668)*100000000+0*10000000+(N('Dvd Calendar'!$S$1666)&gt;0)*(N('Dvd Calendar'!$S$1666)&lt;=VAL_SERIAL)*1000000+10*1000+55))</f>
        <v/>
      </c>
      <c r="GH169" s="39">
        <f>IF(N('Dvd Calendar'!$T$1667)=0,"",IF(('Dvd Calendar'!$T$1667&gt;=GRID_FROM)*('Dvd Calendar'!$T$1667&lt;=GRID_TO)*('Dvd Calendar'!$T$1667&gt;VAL_DATE)=0,"",'Dvd Calendar'!$T$1667*1000000000+ISNUMBER('Dvd Calendar'!$T$1668)*100000000+0*10000000+(N('Dvd Calendar'!$T$1666)&gt;0)*(N('Dvd Calendar'!$T$1666)&lt;=VAL_SERIAL)*1000000+10*1000+56))</f>
        <v/>
      </c>
      <c r="GI169" s="39">
        <f>IF(N('Dvd Calendar'!$U$1667)=0,"",IF(('Dvd Calendar'!$U$1667&gt;=GRID_FROM)*('Dvd Calendar'!$U$1667&lt;=GRID_TO)*('Dvd Calendar'!$U$1667&gt;VAL_DATE)=0,"",'Dvd Calendar'!$U$1667*1000000000+ISNUMBER('Dvd Calendar'!$U$1668)*100000000+0*10000000+(N('Dvd Calendar'!$U$1666)&gt;0)*(N('Dvd Calendar'!$U$1666)&lt;=VAL_SERIAL)*1000000+10*1000+57))</f>
        <v/>
      </c>
      <c r="GJ169" s="39">
        <f>IF(N('Dvd Calendar'!$V$1667)=0,"",IF(('Dvd Calendar'!$V$1667&gt;=GRID_FROM)*('Dvd Calendar'!$V$1667&lt;=GRID_TO)*('Dvd Calendar'!$V$1667&gt;VAL_DATE)=0,"",'Dvd Calendar'!$V$1667*1000000000+ISNUMBER('Dvd Calendar'!$V$1668)*100000000+0*10000000+(N('Dvd Calendar'!$V$1666)&gt;0)*(N('Dvd Calendar'!$V$1666)&lt;=VAL_SERIAL)*1000000+10*1000+58))</f>
        <v/>
      </c>
      <c r="GK169" s="39">
        <f>IF(N('Dvd Calendar'!$W$1667)=0,"",IF(('Dvd Calendar'!$W$1667&gt;=GRID_FROM)*('Dvd Calendar'!$W$1667&lt;=GRID_TO)*('Dvd Calendar'!$W$1667&gt;VAL_DATE)=0,"",'Dvd Calendar'!$W$1667*1000000000+ISNUMBER('Dvd Calendar'!$W$1668)*100000000+0*10000000+(N('Dvd Calendar'!$W$1666)&gt;0)*(N('Dvd Calendar'!$W$1666)&lt;=VAL_SERIAL)*1000000+10*1000+59))</f>
        <v/>
      </c>
      <c r="GL169" s="39">
        <f>IF(N('Dvd Calendar'!$X$1667)=0,"",IF(('Dvd Calendar'!$X$1667&gt;=GRID_FROM)*('Dvd Calendar'!$X$1667&lt;=GRID_TO)*('Dvd Calendar'!$X$1667&gt;VAL_DATE)=0,"",'Dvd Calendar'!$X$1667*1000000000+ISNUMBER('Dvd Calendar'!$X$1668)*100000000+0*10000000+(N('Dvd Calendar'!$X$1666)&gt;0)*(N('Dvd Calendar'!$X$1666)&lt;=VAL_SERIAL)*1000000+10*1000+60))</f>
        <v/>
      </c>
      <c r="GM169" s="39">
        <f>IF(N('Dvd Calendar'!$Y$1667)=0,"",IF(('Dvd Calendar'!$Y$1667&gt;=GRID_FROM)*('Dvd Calendar'!$Y$1667&lt;=GRID_TO)*('Dvd Calendar'!$Y$1667&gt;VAL_DATE)=0,"",'Dvd Calendar'!$Y$1667*1000000000+ISNUMBER('Dvd Calendar'!$Y$1668)*100000000+0*10000000+(N('Dvd Calendar'!$Y$1666)&gt;0)*(N('Dvd Calendar'!$Y$1666)&lt;=VAL_SERIAL)*1000000+10*1000+61))</f>
        <v/>
      </c>
      <c r="GN169" s="39">
        <f>IF(N('Dvd Calendar'!$Z$1667)=0,"",IF(('Dvd Calendar'!$Z$1667&gt;=GRID_FROM)*('Dvd Calendar'!$Z$1667&lt;=GRID_TO)*('Dvd Calendar'!$Z$1667&gt;VAL_DATE)=0,"",'Dvd Calendar'!$Z$1667*1000000000+ISNUMBER('Dvd Calendar'!$Z$1668)*100000000+0*10000000+(N('Dvd Calendar'!$Z$1666)&gt;0)*(N('Dvd Calendar'!$Z$1666)&lt;=VAL_SERIAL)*1000000+10*1000+62))</f>
        <v/>
      </c>
      <c r="GO169" s="39">
        <f>IF(N('Dvd Calendar'!$AA$1667)=0,"",IF(('Dvd Calendar'!$AA$1667&gt;=GRID_FROM)*('Dvd Calendar'!$AA$1667&lt;=GRID_TO)*('Dvd Calendar'!$AA$1667&gt;VAL_DATE)=0,"",'Dvd Calendar'!$AA$1667*1000000000+ISNUMBER('Dvd Calendar'!$AA$1668)*100000000+0*10000000+(N('Dvd Calendar'!$AA$1666)&gt;0)*(N('Dvd Calendar'!$AA$1666)&lt;=VAL_SERIAL)*1000000+10*1000+63))</f>
        <v/>
      </c>
      <c r="GP169" s="39">
        <f>IF(N('Dvd Calendar'!$AB$1667)=0,"",IF(('Dvd Calendar'!$AB$1667&gt;=GRID_FROM)*('Dvd Calendar'!$AB$1667&lt;=GRID_TO)*('Dvd Calendar'!$AB$1667&gt;VAL_DATE)=0,"",'Dvd Calendar'!$AB$1667*1000000000+ISNUMBER('Dvd Calendar'!$AB$1668)*100000000+0*10000000+(N('Dvd Calendar'!$AB$1666)&gt;0)*(N('Dvd Calendar'!$AB$1666)&lt;=VAL_SERIAL)*1000000+10*1000+64))</f>
        <v/>
      </c>
      <c r="GQ169" s="39">
        <f>IF(N('Dvd Calendar'!$AC$1667)=0,"",IF(('Dvd Calendar'!$AC$1667&gt;=GRID_FROM)*('Dvd Calendar'!$AC$1667&lt;=GRID_TO)*('Dvd Calendar'!$AC$1667&gt;VAL_DATE)=0,"",'Dvd Calendar'!$AC$1667*1000000000+ISNUMBER('Dvd Calendar'!$AC$1668)*100000000+0*10000000+(N('Dvd Calendar'!$AC$1666)&gt;0)*(N('Dvd Calendar'!$AC$1666)&lt;=VAL_SERIAL)*1000000+10*1000+65))</f>
        <v/>
      </c>
    </row>
    <row r="170">
      <c r="B170" s="2">
        <f>IF(HSCEI!$C$17="","",HSCEI!$C$17)</f>
        <v/>
      </c>
      <c r="C170" s="110">
        <f>IF(EE170="","",IF(ISNUMBER('Dvd Calendar'!$E$1674)=FALSE,"",IF((('Dvd Calendar'!$E$1676=TYPE1)*(TYPE1&lt;&gt;"")+('Dvd Calendar'!$E$1676=TYPE2)*(TYPE2&lt;&gt;"")+('Dvd Calendar'!$E$1676=TYPE3)*(TYPE3&lt;&gt;"")+('Dvd Calendar'!$E$1676=TYPE4)*(TYPE4&lt;&gt;"")+('Dvd Calendar'!$E$1676=SPECIAL_LBL)*(INC_SPECIALS="Y"))=0,"",'Dvd Calendar'!$E$1674)))</f>
        <v/>
      </c>
      <c r="D170" s="110">
        <f>IF(EF170="","",IF(ISNUMBER('Dvd Calendar'!$F$1674)=FALSE,"",IF((('Dvd Calendar'!$F$1676=TYPE1)*(TYPE1&lt;&gt;"")+('Dvd Calendar'!$F$1676=TYPE2)*(TYPE2&lt;&gt;"")+('Dvd Calendar'!$F$1676=TYPE3)*(TYPE3&lt;&gt;"")+('Dvd Calendar'!$F$1676=TYPE4)*(TYPE4&lt;&gt;"")+('Dvd Calendar'!$F$1676=SPECIAL_LBL)*(INC_SPECIALS="Y"))=0,"",'Dvd Calendar'!$F$1674)))</f>
        <v/>
      </c>
      <c r="E170" s="110">
        <f>IF(EG170="","",IF(ISNUMBER('Dvd Calendar'!$G$1674)=FALSE,"",IF((('Dvd Calendar'!$G$1676=TYPE1)*(TYPE1&lt;&gt;"")+('Dvd Calendar'!$G$1676=TYPE2)*(TYPE2&lt;&gt;"")+('Dvd Calendar'!$G$1676=TYPE3)*(TYPE3&lt;&gt;"")+('Dvd Calendar'!$G$1676=TYPE4)*(TYPE4&lt;&gt;"")+('Dvd Calendar'!$G$1676=SPECIAL_LBL)*(INC_SPECIALS="Y"))=0,"",'Dvd Calendar'!$G$1674)))</f>
        <v/>
      </c>
      <c r="F170" s="110">
        <f>IF(EH170="","",IF(ISNUMBER('Dvd Calendar'!$H$1674)=FALSE,"",IF((('Dvd Calendar'!$H$1676=TYPE1)*(TYPE1&lt;&gt;"")+('Dvd Calendar'!$H$1676=TYPE2)*(TYPE2&lt;&gt;"")+('Dvd Calendar'!$H$1676=TYPE3)*(TYPE3&lt;&gt;"")+('Dvd Calendar'!$H$1676=TYPE4)*(TYPE4&lt;&gt;"")+('Dvd Calendar'!$H$1676=SPECIAL_LBL)*(INC_SPECIALS="Y"))=0,"",'Dvd Calendar'!$H$1674)))</f>
        <v/>
      </c>
      <c r="G170" s="110">
        <f>IF(EI170="","",IF(ISNUMBER('Dvd Calendar'!$I$1674)=FALSE,"",IF((('Dvd Calendar'!$I$1676=TYPE1)*(TYPE1&lt;&gt;"")+('Dvd Calendar'!$I$1676=TYPE2)*(TYPE2&lt;&gt;"")+('Dvd Calendar'!$I$1676=TYPE3)*(TYPE3&lt;&gt;"")+('Dvd Calendar'!$I$1676=TYPE4)*(TYPE4&lt;&gt;"")+('Dvd Calendar'!$I$1676=SPECIAL_LBL)*(INC_SPECIALS="Y"))=0,"",'Dvd Calendar'!$I$1674)))</f>
        <v/>
      </c>
      <c r="H170" s="110">
        <f>IF(EJ170="","",IF(ISNUMBER('Dvd Calendar'!$J$1674)=FALSE,"",IF((('Dvd Calendar'!$J$1676=TYPE1)*(TYPE1&lt;&gt;"")+('Dvd Calendar'!$J$1676=TYPE2)*(TYPE2&lt;&gt;"")+('Dvd Calendar'!$J$1676=TYPE3)*(TYPE3&lt;&gt;"")+('Dvd Calendar'!$J$1676=TYPE4)*(TYPE4&lt;&gt;"")+('Dvd Calendar'!$J$1676=SPECIAL_LBL)*(INC_SPECIALS="Y"))=0,"",'Dvd Calendar'!$J$1674)))</f>
        <v/>
      </c>
      <c r="I170" s="110">
        <f>IF(EK170="","",IF(ISNUMBER('Dvd Calendar'!$K$1674)=FALSE,"",IF((('Dvd Calendar'!$K$1676=TYPE1)*(TYPE1&lt;&gt;"")+('Dvd Calendar'!$K$1676=TYPE2)*(TYPE2&lt;&gt;"")+('Dvd Calendar'!$K$1676=TYPE3)*(TYPE3&lt;&gt;"")+('Dvd Calendar'!$K$1676=TYPE4)*(TYPE4&lt;&gt;"")+('Dvd Calendar'!$K$1676=SPECIAL_LBL)*(INC_SPECIALS="Y"))=0,"",'Dvd Calendar'!$K$1674)))</f>
        <v/>
      </c>
      <c r="J170" s="110">
        <f>IF(EL170="","",IF(ISNUMBER('Dvd Calendar'!$L$1674)=FALSE,"",IF((('Dvd Calendar'!$L$1676=TYPE1)*(TYPE1&lt;&gt;"")+('Dvd Calendar'!$L$1676=TYPE2)*(TYPE2&lt;&gt;"")+('Dvd Calendar'!$L$1676=TYPE3)*(TYPE3&lt;&gt;"")+('Dvd Calendar'!$L$1676=TYPE4)*(TYPE4&lt;&gt;"")+('Dvd Calendar'!$L$1676=SPECIAL_LBL)*(INC_SPECIALS="Y"))=0,"",'Dvd Calendar'!$L$1674)))</f>
        <v/>
      </c>
      <c r="K170" s="110">
        <f>IF(EM170="","",IF(ISNUMBER('Dvd Calendar'!$M$1674)=FALSE,"",IF((('Dvd Calendar'!$M$1676=TYPE1)*(TYPE1&lt;&gt;"")+('Dvd Calendar'!$M$1676=TYPE2)*(TYPE2&lt;&gt;"")+('Dvd Calendar'!$M$1676=TYPE3)*(TYPE3&lt;&gt;"")+('Dvd Calendar'!$M$1676=TYPE4)*(TYPE4&lt;&gt;"")+('Dvd Calendar'!$M$1676=SPECIAL_LBL)*(INC_SPECIALS="Y"))=0,"",'Dvd Calendar'!$M$1674)))</f>
        <v/>
      </c>
      <c r="L170" s="110">
        <f>IF(EN170="","",IF(ISNUMBER('Dvd Calendar'!$N$1674)=FALSE,"",IF((('Dvd Calendar'!$N$1676=TYPE1)*(TYPE1&lt;&gt;"")+('Dvd Calendar'!$N$1676=TYPE2)*(TYPE2&lt;&gt;"")+('Dvd Calendar'!$N$1676=TYPE3)*(TYPE3&lt;&gt;"")+('Dvd Calendar'!$N$1676=TYPE4)*(TYPE4&lt;&gt;"")+('Dvd Calendar'!$N$1676=SPECIAL_LBL)*(INC_SPECIALS="Y"))=0,"",'Dvd Calendar'!$N$1674)))</f>
        <v/>
      </c>
      <c r="M170" s="110">
        <f>IF(EO170="","",IF(ISNUMBER('Dvd Calendar'!$O$1674)=FALSE,"",IF((('Dvd Calendar'!$O$1676=TYPE1)*(TYPE1&lt;&gt;"")+('Dvd Calendar'!$O$1676=TYPE2)*(TYPE2&lt;&gt;"")+('Dvd Calendar'!$O$1676=TYPE3)*(TYPE3&lt;&gt;"")+('Dvd Calendar'!$O$1676=TYPE4)*(TYPE4&lt;&gt;"")+('Dvd Calendar'!$O$1676=SPECIAL_LBL)*(INC_SPECIALS="Y"))=0,"",'Dvd Calendar'!$O$1674)))</f>
        <v/>
      </c>
      <c r="N170" s="110">
        <f>IF(EP170="","",IF(ISNUMBER('Dvd Calendar'!$P$1674)=FALSE,"",IF((('Dvd Calendar'!$P$1676=TYPE1)*(TYPE1&lt;&gt;"")+('Dvd Calendar'!$P$1676=TYPE2)*(TYPE2&lt;&gt;"")+('Dvd Calendar'!$P$1676=TYPE3)*(TYPE3&lt;&gt;"")+('Dvd Calendar'!$P$1676=TYPE4)*(TYPE4&lt;&gt;"")+('Dvd Calendar'!$P$1676=SPECIAL_LBL)*(INC_SPECIALS="Y"))=0,"",'Dvd Calendar'!$P$1674)))</f>
        <v/>
      </c>
      <c r="O170" s="110">
        <f>IF(EQ170="","",IF(ISNUMBER('Dvd Calendar'!$Q$1674)=FALSE,"",IF((('Dvd Calendar'!$Q$1676=TYPE1)*(TYPE1&lt;&gt;"")+('Dvd Calendar'!$Q$1676=TYPE2)*(TYPE2&lt;&gt;"")+('Dvd Calendar'!$Q$1676=TYPE3)*(TYPE3&lt;&gt;"")+('Dvd Calendar'!$Q$1676=TYPE4)*(TYPE4&lt;&gt;"")+('Dvd Calendar'!$Q$1676=SPECIAL_LBL)*(INC_SPECIALS="Y"))=0,"",'Dvd Calendar'!$Q$1674)))</f>
        <v/>
      </c>
      <c r="P170" s="110">
        <f>IF(ER170="","",IF(ISNUMBER('Dvd Calendar'!$R$1674)=FALSE,"",IF((('Dvd Calendar'!$R$1676=TYPE1)*(TYPE1&lt;&gt;"")+('Dvd Calendar'!$R$1676=TYPE2)*(TYPE2&lt;&gt;"")+('Dvd Calendar'!$R$1676=TYPE3)*(TYPE3&lt;&gt;"")+('Dvd Calendar'!$R$1676=TYPE4)*(TYPE4&lt;&gt;"")+('Dvd Calendar'!$R$1676=SPECIAL_LBL)*(INC_SPECIALS="Y"))=0,"",'Dvd Calendar'!$R$1674)))</f>
        <v/>
      </c>
      <c r="Q170" s="110">
        <f>IF(ES170="","",IF(ISNUMBER('Dvd Calendar'!$S$1674)=FALSE,"",IF((('Dvd Calendar'!$S$1676=TYPE1)*(TYPE1&lt;&gt;"")+('Dvd Calendar'!$S$1676=TYPE2)*(TYPE2&lt;&gt;"")+('Dvd Calendar'!$S$1676=TYPE3)*(TYPE3&lt;&gt;"")+('Dvd Calendar'!$S$1676=TYPE4)*(TYPE4&lt;&gt;"")+('Dvd Calendar'!$S$1676=SPECIAL_LBL)*(INC_SPECIALS="Y"))=0,"",'Dvd Calendar'!$S$1674)))</f>
        <v/>
      </c>
      <c r="R170" s="110">
        <f>IF(ET170="","",IF(ISNUMBER('Dvd Calendar'!$T$1674)=FALSE,"",IF((('Dvd Calendar'!$T$1676=TYPE1)*(TYPE1&lt;&gt;"")+('Dvd Calendar'!$T$1676=TYPE2)*(TYPE2&lt;&gt;"")+('Dvd Calendar'!$T$1676=TYPE3)*(TYPE3&lt;&gt;"")+('Dvd Calendar'!$T$1676=TYPE4)*(TYPE4&lt;&gt;"")+('Dvd Calendar'!$T$1676=SPECIAL_LBL)*(INC_SPECIALS="Y"))=0,"",'Dvd Calendar'!$T$1674)))</f>
        <v/>
      </c>
      <c r="S170" s="110">
        <f>IF(EU170="","",IF(ISNUMBER('Dvd Calendar'!$U$1674)=FALSE,"",IF((('Dvd Calendar'!$U$1676=TYPE1)*(TYPE1&lt;&gt;"")+('Dvd Calendar'!$U$1676=TYPE2)*(TYPE2&lt;&gt;"")+('Dvd Calendar'!$U$1676=TYPE3)*(TYPE3&lt;&gt;"")+('Dvd Calendar'!$U$1676=TYPE4)*(TYPE4&lt;&gt;"")+('Dvd Calendar'!$U$1676=SPECIAL_LBL)*(INC_SPECIALS="Y"))=0,"",'Dvd Calendar'!$U$1674)))</f>
        <v/>
      </c>
      <c r="T170" s="110">
        <f>IF(EV170="","",IF(ISNUMBER('Dvd Calendar'!$V$1674)=FALSE,"",IF((('Dvd Calendar'!$V$1676=TYPE1)*(TYPE1&lt;&gt;"")+('Dvd Calendar'!$V$1676=TYPE2)*(TYPE2&lt;&gt;"")+('Dvd Calendar'!$V$1676=TYPE3)*(TYPE3&lt;&gt;"")+('Dvd Calendar'!$V$1676=TYPE4)*(TYPE4&lt;&gt;"")+('Dvd Calendar'!$V$1676=SPECIAL_LBL)*(INC_SPECIALS="Y"))=0,"",'Dvd Calendar'!$V$1674)))</f>
        <v/>
      </c>
      <c r="U170" s="110">
        <f>IF(EW170="","",IF(ISNUMBER('Dvd Calendar'!$W$1674)=FALSE,"",IF((('Dvd Calendar'!$W$1676=TYPE1)*(TYPE1&lt;&gt;"")+('Dvd Calendar'!$W$1676=TYPE2)*(TYPE2&lt;&gt;"")+('Dvd Calendar'!$W$1676=TYPE3)*(TYPE3&lt;&gt;"")+('Dvd Calendar'!$W$1676=TYPE4)*(TYPE4&lt;&gt;"")+('Dvd Calendar'!$W$1676=SPECIAL_LBL)*(INC_SPECIALS="Y"))=0,"",'Dvd Calendar'!$W$1674)))</f>
        <v/>
      </c>
      <c r="V170" s="110">
        <f>IF(EX170="","",IF(ISNUMBER('Dvd Calendar'!$X$1674)=FALSE,"",IF((('Dvd Calendar'!$X$1676=TYPE1)*(TYPE1&lt;&gt;"")+('Dvd Calendar'!$X$1676=TYPE2)*(TYPE2&lt;&gt;"")+('Dvd Calendar'!$X$1676=TYPE3)*(TYPE3&lt;&gt;"")+('Dvd Calendar'!$X$1676=TYPE4)*(TYPE4&lt;&gt;"")+('Dvd Calendar'!$X$1676=SPECIAL_LBL)*(INC_SPECIALS="Y"))=0,"",'Dvd Calendar'!$X$1674)))</f>
        <v/>
      </c>
      <c r="W170" s="110">
        <f>IF(EY170="","",IF(ISNUMBER('Dvd Calendar'!$Y$1674)=FALSE,"",IF((('Dvd Calendar'!$Y$1676=TYPE1)*(TYPE1&lt;&gt;"")+('Dvd Calendar'!$Y$1676=TYPE2)*(TYPE2&lt;&gt;"")+('Dvd Calendar'!$Y$1676=TYPE3)*(TYPE3&lt;&gt;"")+('Dvd Calendar'!$Y$1676=TYPE4)*(TYPE4&lt;&gt;"")+('Dvd Calendar'!$Y$1676=SPECIAL_LBL)*(INC_SPECIALS="Y"))=0,"",'Dvd Calendar'!$Y$1674)))</f>
        <v/>
      </c>
      <c r="X170" s="110">
        <f>IF(EZ170="","",IF(ISNUMBER('Dvd Calendar'!$Z$1674)=FALSE,"",IF((('Dvd Calendar'!$Z$1676=TYPE1)*(TYPE1&lt;&gt;"")+('Dvd Calendar'!$Z$1676=TYPE2)*(TYPE2&lt;&gt;"")+('Dvd Calendar'!$Z$1676=TYPE3)*(TYPE3&lt;&gt;"")+('Dvd Calendar'!$Z$1676=TYPE4)*(TYPE4&lt;&gt;"")+('Dvd Calendar'!$Z$1676=SPECIAL_LBL)*(INC_SPECIALS="Y"))=0,"",'Dvd Calendar'!$Z$1674)))</f>
        <v/>
      </c>
      <c r="Y170" s="110">
        <f>IF(FA170="","",IF(ISNUMBER('Dvd Calendar'!$AA$1674)=FALSE,"",IF((('Dvd Calendar'!$AA$1676=TYPE1)*(TYPE1&lt;&gt;"")+('Dvd Calendar'!$AA$1676=TYPE2)*(TYPE2&lt;&gt;"")+('Dvd Calendar'!$AA$1676=TYPE3)*(TYPE3&lt;&gt;"")+('Dvd Calendar'!$AA$1676=TYPE4)*(TYPE4&lt;&gt;"")+('Dvd Calendar'!$AA$1676=SPECIAL_LBL)*(INC_SPECIALS="Y"))=0,"",'Dvd Calendar'!$AA$1674)))</f>
        <v/>
      </c>
      <c r="Z170" s="110">
        <f>IF(FB170="","",IF(ISNUMBER('Dvd Calendar'!$AB$1674)=FALSE,"",IF((('Dvd Calendar'!$AB$1676=TYPE1)*(TYPE1&lt;&gt;"")+('Dvd Calendar'!$AB$1676=TYPE2)*(TYPE2&lt;&gt;"")+('Dvd Calendar'!$AB$1676=TYPE3)*(TYPE3&lt;&gt;"")+('Dvd Calendar'!$AB$1676=TYPE4)*(TYPE4&lt;&gt;"")+('Dvd Calendar'!$AB$1676=SPECIAL_LBL)*(INC_SPECIALS="Y"))=0,"",'Dvd Calendar'!$AB$1674)))</f>
        <v/>
      </c>
      <c r="AA170" s="110">
        <f>IF(FC170="","",IF(ISNUMBER('Dvd Calendar'!$AC$1674)=FALSE,"",IF((('Dvd Calendar'!$AC$1676=TYPE1)*(TYPE1&lt;&gt;"")+('Dvd Calendar'!$AC$1676=TYPE2)*(TYPE2&lt;&gt;"")+('Dvd Calendar'!$AC$1676=TYPE3)*(TYPE3&lt;&gt;"")+('Dvd Calendar'!$AC$1676=TYPE4)*(TYPE4&lt;&gt;"")+('Dvd Calendar'!$AC$1676=SPECIAL_LBL)*(INC_SPECIALS="Y"))=0,"",'Dvd Calendar'!$AC$1674)))</f>
        <v/>
      </c>
      <c r="AB170" s="110">
        <f>IF(FD170="","",IF(ISNUMBER('Dvd Calendar'!$AD$1674)=FALSE,"",IF((('Dvd Calendar'!$AD$1676=TYPE1)*(TYPE1&lt;&gt;"")+('Dvd Calendar'!$AD$1676=TYPE2)*(TYPE2&lt;&gt;"")+('Dvd Calendar'!$AD$1676=TYPE3)*(TYPE3&lt;&gt;"")+('Dvd Calendar'!$AD$1676=TYPE4)*(TYPE4&lt;&gt;"")+('Dvd Calendar'!$AD$1676=SPECIAL_LBL)*(INC_SPECIALS="Y"))=0,"",'Dvd Calendar'!$AD$1674)))</f>
        <v/>
      </c>
      <c r="AC170" s="110">
        <f>IF(FE170="","",IF(ISNUMBER('Dvd Calendar'!$AE$1674)=FALSE,"",IF((('Dvd Calendar'!$AE$1676=TYPE1)*(TYPE1&lt;&gt;"")+('Dvd Calendar'!$AE$1676=TYPE2)*(TYPE2&lt;&gt;"")+('Dvd Calendar'!$AE$1676=TYPE3)*(TYPE3&lt;&gt;"")+('Dvd Calendar'!$AE$1676=TYPE4)*(TYPE4&lt;&gt;"")+('Dvd Calendar'!$AE$1676=SPECIAL_LBL)*(INC_SPECIALS="Y"))=0,"",'Dvd Calendar'!$AE$1674)))</f>
        <v/>
      </c>
      <c r="AD170" s="110">
        <f>IF(FF170="","",IF(ISNUMBER('Dvd Calendar'!$AF$1674)=FALSE,"",IF((('Dvd Calendar'!$AF$1676=TYPE1)*(TYPE1&lt;&gt;"")+('Dvd Calendar'!$AF$1676=TYPE2)*(TYPE2&lt;&gt;"")+('Dvd Calendar'!$AF$1676=TYPE3)*(TYPE3&lt;&gt;"")+('Dvd Calendar'!$AF$1676=TYPE4)*(TYPE4&lt;&gt;"")+('Dvd Calendar'!$AF$1676=SPECIAL_LBL)*(INC_SPECIALS="Y"))=0,"",'Dvd Calendar'!$AF$1674)))</f>
        <v/>
      </c>
      <c r="AE170" s="110">
        <f>IF(FG170="","",IF(ISNUMBER('Dvd Calendar'!$AG$1674)=FALSE,"",IF((('Dvd Calendar'!$AG$1676=TYPE1)*(TYPE1&lt;&gt;"")+('Dvd Calendar'!$AG$1676=TYPE2)*(TYPE2&lt;&gt;"")+('Dvd Calendar'!$AG$1676=TYPE3)*(TYPE3&lt;&gt;"")+('Dvd Calendar'!$AG$1676=TYPE4)*(TYPE4&lt;&gt;"")+('Dvd Calendar'!$AG$1676=SPECIAL_LBL)*(INC_SPECIALS="Y"))=0,"",'Dvd Calendar'!$AG$1674)))</f>
        <v/>
      </c>
      <c r="AF170" s="110">
        <f>IF(FH170="","",IF(ISNUMBER('Dvd Calendar'!$AH$1674)=FALSE,"",IF((('Dvd Calendar'!$AH$1676=TYPE1)*(TYPE1&lt;&gt;"")+('Dvd Calendar'!$AH$1676=TYPE2)*(TYPE2&lt;&gt;"")+('Dvd Calendar'!$AH$1676=TYPE3)*(TYPE3&lt;&gt;"")+('Dvd Calendar'!$AH$1676=TYPE4)*(TYPE4&lt;&gt;"")+('Dvd Calendar'!$AH$1676=SPECIAL_LBL)*(INC_SPECIALS="Y"))=0,"",'Dvd Calendar'!$AH$1674)))</f>
        <v/>
      </c>
      <c r="AG170" s="110">
        <f>IF(FI170="","",IF(ISNUMBER('Dvd Calendar'!$AI$1674)=FALSE,"",IF((('Dvd Calendar'!$AI$1676=TYPE1)*(TYPE1&lt;&gt;"")+('Dvd Calendar'!$AI$1676=TYPE2)*(TYPE2&lt;&gt;"")+('Dvd Calendar'!$AI$1676=TYPE3)*(TYPE3&lt;&gt;"")+('Dvd Calendar'!$AI$1676=TYPE4)*(TYPE4&lt;&gt;"")+('Dvd Calendar'!$AI$1676=SPECIAL_LBL)*(INC_SPECIALS="Y"))=0,"",'Dvd Calendar'!$AI$1674)))</f>
        <v/>
      </c>
      <c r="AH170" s="110">
        <f>IF(FJ170="","",IF(ISNUMBER('Dvd Calendar'!$AJ$1674)=FALSE,"",IF((('Dvd Calendar'!$AJ$1676=TYPE1)*(TYPE1&lt;&gt;"")+('Dvd Calendar'!$AJ$1676=TYPE2)*(TYPE2&lt;&gt;"")+('Dvd Calendar'!$AJ$1676=TYPE3)*(TYPE3&lt;&gt;"")+('Dvd Calendar'!$AJ$1676=TYPE4)*(TYPE4&lt;&gt;"")+('Dvd Calendar'!$AJ$1676=SPECIAL_LBL)*(INC_SPECIALS="Y"))=0,"",'Dvd Calendar'!$AJ$1674)))</f>
        <v/>
      </c>
      <c r="AI170" s="110">
        <f>IF(FK170="","",IF(ISNUMBER('Dvd Calendar'!$AK$1674)=FALSE,"",IF((('Dvd Calendar'!$AK$1676=TYPE1)*(TYPE1&lt;&gt;"")+('Dvd Calendar'!$AK$1676=TYPE2)*(TYPE2&lt;&gt;"")+('Dvd Calendar'!$AK$1676=TYPE3)*(TYPE3&lt;&gt;"")+('Dvd Calendar'!$AK$1676=TYPE4)*(TYPE4&lt;&gt;"")+('Dvd Calendar'!$AK$1676=SPECIAL_LBL)*(INC_SPECIALS="Y"))=0,"",'Dvd Calendar'!$AK$1674)))</f>
        <v/>
      </c>
      <c r="AJ170" s="110">
        <f>IF(FL170="","",IF(ISNUMBER('Dvd Calendar'!$AL$1674)=FALSE,"",IF((('Dvd Calendar'!$AL$1676=TYPE1)*(TYPE1&lt;&gt;"")+('Dvd Calendar'!$AL$1676=TYPE2)*(TYPE2&lt;&gt;"")+('Dvd Calendar'!$AL$1676=TYPE3)*(TYPE3&lt;&gt;"")+('Dvd Calendar'!$AL$1676=TYPE4)*(TYPE4&lt;&gt;"")+('Dvd Calendar'!$AL$1676=SPECIAL_LBL)*(INC_SPECIALS="Y"))=0,"",'Dvd Calendar'!$AL$1674)))</f>
        <v/>
      </c>
      <c r="AK170" s="110">
        <f>IF(FM170="","",IF(ISNUMBER('Dvd Calendar'!$AM$1674)=FALSE,"",IF((('Dvd Calendar'!$AM$1676=TYPE1)*(TYPE1&lt;&gt;"")+('Dvd Calendar'!$AM$1676=TYPE2)*(TYPE2&lt;&gt;"")+('Dvd Calendar'!$AM$1676=TYPE3)*(TYPE3&lt;&gt;"")+('Dvd Calendar'!$AM$1676=TYPE4)*(TYPE4&lt;&gt;"")+('Dvd Calendar'!$AM$1676=SPECIAL_LBL)*(INC_SPECIALS="Y"))=0,"",'Dvd Calendar'!$AM$1674)))</f>
        <v/>
      </c>
      <c r="AL170" s="110">
        <f>IF(FN170="","",IF(ISNUMBER('Dvd Calendar'!$AN$1674)=FALSE,"",IF((('Dvd Calendar'!$AN$1676=TYPE1)*(TYPE1&lt;&gt;"")+('Dvd Calendar'!$AN$1676=TYPE2)*(TYPE2&lt;&gt;"")+('Dvd Calendar'!$AN$1676=TYPE3)*(TYPE3&lt;&gt;"")+('Dvd Calendar'!$AN$1676=TYPE4)*(TYPE4&lt;&gt;"")+('Dvd Calendar'!$AN$1676=SPECIAL_LBL)*(INC_SPECIALS="Y"))=0,"",'Dvd Calendar'!$AN$1674)))</f>
        <v/>
      </c>
      <c r="AM170" s="110">
        <f>IF(FO170="","",IF(ISNUMBER('Dvd Calendar'!$AO$1674)=FALSE,"",IF((('Dvd Calendar'!$AO$1676=TYPE1)*(TYPE1&lt;&gt;"")+('Dvd Calendar'!$AO$1676=TYPE2)*(TYPE2&lt;&gt;"")+('Dvd Calendar'!$AO$1676=TYPE3)*(TYPE3&lt;&gt;"")+('Dvd Calendar'!$AO$1676=TYPE4)*(TYPE4&lt;&gt;"")+('Dvd Calendar'!$AO$1676=SPECIAL_LBL)*(INC_SPECIALS="Y"))=0,"",'Dvd Calendar'!$AO$1674)))</f>
        <v/>
      </c>
      <c r="AN170" s="110">
        <f>IF(FP170="","",IF(ISNUMBER('Dvd Calendar'!$AP$1674)=FALSE,"",IF((('Dvd Calendar'!$AP$1676=TYPE1)*(TYPE1&lt;&gt;"")+('Dvd Calendar'!$AP$1676=TYPE2)*(TYPE2&lt;&gt;"")+('Dvd Calendar'!$AP$1676=TYPE3)*(TYPE3&lt;&gt;"")+('Dvd Calendar'!$AP$1676=TYPE4)*(TYPE4&lt;&gt;"")+('Dvd Calendar'!$AP$1676=SPECIAL_LBL)*(INC_SPECIALS="Y"))=0,"",'Dvd Calendar'!$AP$1674)))</f>
        <v/>
      </c>
      <c r="AO170" s="110">
        <f>IF(FQ170="","",IF(ISNUMBER('Dvd Calendar'!$AQ$1674)=FALSE,"",IF((('Dvd Calendar'!$AQ$1676=TYPE1)*(TYPE1&lt;&gt;"")+('Dvd Calendar'!$AQ$1676=TYPE2)*(TYPE2&lt;&gt;"")+('Dvd Calendar'!$AQ$1676=TYPE3)*(TYPE3&lt;&gt;"")+('Dvd Calendar'!$AQ$1676=TYPE4)*(TYPE4&lt;&gt;"")+('Dvd Calendar'!$AQ$1676=SPECIAL_LBL)*(INC_SPECIALS="Y"))=0,"",'Dvd Calendar'!$AQ$1674)))</f>
        <v/>
      </c>
      <c r="AP170" s="110">
        <f>IF(FR170="","",IF(ISNUMBER('Dvd Calendar'!$AR$1674)=FALSE,"",IF((('Dvd Calendar'!$AR$1676=TYPE1)*(TYPE1&lt;&gt;"")+('Dvd Calendar'!$AR$1676=TYPE2)*(TYPE2&lt;&gt;"")+('Dvd Calendar'!$AR$1676=TYPE3)*(TYPE3&lt;&gt;"")+('Dvd Calendar'!$AR$1676=TYPE4)*(TYPE4&lt;&gt;"")+('Dvd Calendar'!$AR$1676=SPECIAL_LBL)*(INC_SPECIALS="Y"))=0,"",'Dvd Calendar'!$AR$1674)))</f>
        <v/>
      </c>
      <c r="AQ170" s="110">
        <f>IF(FS170="","",IF(ISNUMBER('Dvd Calendar'!$E$1679)=FALSE,"",'Dvd Calendar'!$E$1679))</f>
        <v/>
      </c>
      <c r="AR170" s="110">
        <f>IF(FT170="","",IF(ISNUMBER('Dvd Calendar'!$F$1679)=FALSE,"",'Dvd Calendar'!$F$1679))</f>
        <v/>
      </c>
      <c r="AS170" s="110">
        <f>IF(FU170="","",IF(ISNUMBER('Dvd Calendar'!$G$1679)=FALSE,"",'Dvd Calendar'!$G$1679))</f>
        <v/>
      </c>
      <c r="AT170" s="110">
        <f>IF(FV170="","",IF(ISNUMBER('Dvd Calendar'!$H$1679)=FALSE,"",'Dvd Calendar'!$H$1679))</f>
        <v/>
      </c>
      <c r="AU170" s="110">
        <f>IF(FW170="","",IF(ISNUMBER('Dvd Calendar'!$I$1679)=FALSE,"",'Dvd Calendar'!$I$1679))</f>
        <v/>
      </c>
      <c r="AV170" s="110">
        <f>IF(FX170="","",IF(ISNUMBER('Dvd Calendar'!$J$1679)=FALSE,"",'Dvd Calendar'!$J$1679))</f>
        <v/>
      </c>
      <c r="AW170" s="110">
        <f>IF(FY170="","",IF(ISNUMBER('Dvd Calendar'!$K$1679)=FALSE,"",'Dvd Calendar'!$K$1679))</f>
        <v/>
      </c>
      <c r="AX170" s="110">
        <f>IF(FZ170="","",IF(ISNUMBER('Dvd Calendar'!$L$1679)=FALSE,"",'Dvd Calendar'!$L$1679))</f>
        <v/>
      </c>
      <c r="AY170" s="110">
        <f>IF(GA170="","",IF(ISNUMBER('Dvd Calendar'!$M$1679)=FALSE,"",'Dvd Calendar'!$M$1679))</f>
        <v/>
      </c>
      <c r="AZ170" s="110">
        <f>IF(GB170="","",IF(ISNUMBER('Dvd Calendar'!$N$1679)=FALSE,"",'Dvd Calendar'!$N$1679))</f>
        <v/>
      </c>
      <c r="BA170" s="110">
        <f>IF(GC170="","",IF(ISNUMBER('Dvd Calendar'!$O$1679)=FALSE,"",'Dvd Calendar'!$O$1679))</f>
        <v/>
      </c>
      <c r="BB170" s="110">
        <f>IF(GD170="","",IF(ISNUMBER('Dvd Calendar'!$P$1679)=FALSE,"",'Dvd Calendar'!$P$1679))</f>
        <v/>
      </c>
      <c r="BC170" s="110">
        <f>IF(GE170="","",IF(ISNUMBER('Dvd Calendar'!$Q$1679)=FALSE,"",'Dvd Calendar'!$Q$1679))</f>
        <v/>
      </c>
      <c r="BD170" s="110">
        <f>IF(GF170="","",IF(ISNUMBER('Dvd Calendar'!$R$1679)=FALSE,"",'Dvd Calendar'!$R$1679))</f>
        <v/>
      </c>
      <c r="BE170" s="110">
        <f>IF(GG170="","",IF(ISNUMBER('Dvd Calendar'!$S$1679)=FALSE,"",'Dvd Calendar'!$S$1679))</f>
        <v/>
      </c>
      <c r="BF170" s="110">
        <f>IF(GH170="","",IF(ISNUMBER('Dvd Calendar'!$T$1679)=FALSE,"",'Dvd Calendar'!$T$1679))</f>
        <v/>
      </c>
      <c r="BG170" s="110">
        <f>IF(GI170="","",IF(ISNUMBER('Dvd Calendar'!$U$1679)=FALSE,"",'Dvd Calendar'!$U$1679))</f>
        <v/>
      </c>
      <c r="BH170" s="110">
        <f>IF(GJ170="","",IF(ISNUMBER('Dvd Calendar'!$V$1679)=FALSE,"",'Dvd Calendar'!$V$1679))</f>
        <v/>
      </c>
      <c r="BI170" s="110">
        <f>IF(GK170="","",IF(ISNUMBER('Dvd Calendar'!$W$1679)=FALSE,"",'Dvd Calendar'!$W$1679))</f>
        <v/>
      </c>
      <c r="BJ170" s="110">
        <f>IF(GL170="","",IF(ISNUMBER('Dvd Calendar'!$X$1679)=FALSE,"",'Dvd Calendar'!$X$1679))</f>
        <v/>
      </c>
      <c r="BK170" s="110">
        <f>IF(GM170="","",IF(ISNUMBER('Dvd Calendar'!$Y$1679)=FALSE,"",'Dvd Calendar'!$Y$1679))</f>
        <v/>
      </c>
      <c r="BL170" s="110">
        <f>IF(GN170="","",IF(ISNUMBER('Dvd Calendar'!$Z$1679)=FALSE,"",'Dvd Calendar'!$Z$1679))</f>
        <v/>
      </c>
      <c r="BM170" s="110">
        <f>IF(GO170="","",IF(ISNUMBER('Dvd Calendar'!$AA$1679)=FALSE,"",'Dvd Calendar'!$AA$1679))</f>
        <v/>
      </c>
      <c r="BN170" s="110">
        <f>IF(GP170="","",IF(ISNUMBER('Dvd Calendar'!$AB$1679)=FALSE,"",'Dvd Calendar'!$AB$1679))</f>
        <v/>
      </c>
      <c r="BO170" s="110">
        <f>IF(GQ170="","",IF(ISNUMBER('Dvd Calendar'!$AC$1679)=FALSE,"",'Dvd Calendar'!$AC$1679))</f>
        <v/>
      </c>
      <c r="BQ170" s="110">
        <f>IF(C170="","",IFERROR(C170*HSCEI!$B$17*HSCEI!$G$17/HSCEI!$B$3,""))</f>
        <v/>
      </c>
      <c r="BR170" s="110">
        <f>IF(D170="","",IFERROR(D170*HSCEI!$B$17*HSCEI!$G$17/HSCEI!$B$3,""))</f>
        <v/>
      </c>
      <c r="BS170" s="110">
        <f>IF(E170="","",IFERROR(E170*HSCEI!$B$17*HSCEI!$G$17/HSCEI!$B$3,""))</f>
        <v/>
      </c>
      <c r="BT170" s="110">
        <f>IF(F170="","",IFERROR(F170*HSCEI!$B$17*HSCEI!$G$17/HSCEI!$B$3,""))</f>
        <v/>
      </c>
      <c r="BU170" s="110">
        <f>IF(G170="","",IFERROR(G170*HSCEI!$B$17*HSCEI!$G$17/HSCEI!$B$3,""))</f>
        <v/>
      </c>
      <c r="BV170" s="110">
        <f>IF(H170="","",IFERROR(H170*HSCEI!$B$17*HSCEI!$G$17/HSCEI!$B$3,""))</f>
        <v/>
      </c>
      <c r="BW170" s="110">
        <f>IF(I170="","",IFERROR(I170*HSCEI!$B$17*HSCEI!$G$17/HSCEI!$B$3,""))</f>
        <v/>
      </c>
      <c r="BX170" s="110">
        <f>IF(J170="","",IFERROR(J170*HSCEI!$B$17*HSCEI!$G$17/HSCEI!$B$3,""))</f>
        <v/>
      </c>
      <c r="BY170" s="110">
        <f>IF(K170="","",IFERROR(K170*HSCEI!$B$17*HSCEI!$G$17/HSCEI!$B$3,""))</f>
        <v/>
      </c>
      <c r="BZ170" s="110">
        <f>IF(L170="","",IFERROR(L170*HSCEI!$B$17*HSCEI!$G$17/HSCEI!$B$3,""))</f>
        <v/>
      </c>
      <c r="CA170" s="110">
        <f>IF(M170="","",IFERROR(M170*HSCEI!$B$17*HSCEI!$G$17/HSCEI!$B$3,""))</f>
        <v/>
      </c>
      <c r="CB170" s="110">
        <f>IF(N170="","",IFERROR(N170*HSCEI!$B$17*HSCEI!$G$17/HSCEI!$B$3,""))</f>
        <v/>
      </c>
      <c r="CC170" s="110">
        <f>IF(O170="","",IFERROR(O170*HSCEI!$B$17*HSCEI!$G$17/HSCEI!$B$3,""))</f>
        <v/>
      </c>
      <c r="CD170" s="110">
        <f>IF(P170="","",IFERROR(P170*HSCEI!$B$17*HSCEI!$G$17/HSCEI!$B$3,""))</f>
        <v/>
      </c>
      <c r="CE170" s="110">
        <f>IF(Q170="","",IFERROR(Q170*HSCEI!$B$17*HSCEI!$G$17/HSCEI!$B$3,""))</f>
        <v/>
      </c>
      <c r="CF170" s="110">
        <f>IF(R170="","",IFERROR(R170*HSCEI!$B$17*HSCEI!$G$17/HSCEI!$B$3,""))</f>
        <v/>
      </c>
      <c r="CG170" s="110">
        <f>IF(S170="","",IFERROR(S170*HSCEI!$B$17*HSCEI!$G$17/HSCEI!$B$3,""))</f>
        <v/>
      </c>
      <c r="CH170" s="110">
        <f>IF(T170="","",IFERROR(T170*HSCEI!$B$17*HSCEI!$G$17/HSCEI!$B$3,""))</f>
        <v/>
      </c>
      <c r="CI170" s="110">
        <f>IF(U170="","",IFERROR(U170*HSCEI!$B$17*HSCEI!$G$17/HSCEI!$B$3,""))</f>
        <v/>
      </c>
      <c r="CJ170" s="110">
        <f>IF(V170="","",IFERROR(V170*HSCEI!$B$17*HSCEI!$G$17/HSCEI!$B$3,""))</f>
        <v/>
      </c>
      <c r="CK170" s="110">
        <f>IF(W170="","",IFERROR(W170*HSCEI!$B$17*HSCEI!$G$17/HSCEI!$B$3,""))</f>
        <v/>
      </c>
      <c r="CL170" s="110">
        <f>IF(X170="","",IFERROR(X170*HSCEI!$B$17*HSCEI!$G$17/HSCEI!$B$3,""))</f>
        <v/>
      </c>
      <c r="CM170" s="110">
        <f>IF(Y170="","",IFERROR(Y170*HSCEI!$B$17*HSCEI!$G$17/HSCEI!$B$3,""))</f>
        <v/>
      </c>
      <c r="CN170" s="110">
        <f>IF(Z170="","",IFERROR(Z170*HSCEI!$B$17*HSCEI!$G$17/HSCEI!$B$3,""))</f>
        <v/>
      </c>
      <c r="CO170" s="110">
        <f>IF(AA170="","",IFERROR(AA170*HSCEI!$B$17*HSCEI!$G$17/HSCEI!$B$3,""))</f>
        <v/>
      </c>
      <c r="CP170" s="110">
        <f>IF(AB170="","",IFERROR(AB170*HSCEI!$B$17*HSCEI!$G$17/HSCEI!$B$3,""))</f>
        <v/>
      </c>
      <c r="CQ170" s="110">
        <f>IF(AC170="","",IFERROR(AC170*HSCEI!$B$17*HSCEI!$G$17/HSCEI!$B$3,""))</f>
        <v/>
      </c>
      <c r="CR170" s="110">
        <f>IF(AD170="","",IFERROR(AD170*HSCEI!$B$17*HSCEI!$G$17/HSCEI!$B$3,""))</f>
        <v/>
      </c>
      <c r="CS170" s="110">
        <f>IF(AE170="","",IFERROR(AE170*HSCEI!$B$17*HSCEI!$G$17/HSCEI!$B$3,""))</f>
        <v/>
      </c>
      <c r="CT170" s="110">
        <f>IF(AF170="","",IFERROR(AF170*HSCEI!$B$17*HSCEI!$G$17/HSCEI!$B$3,""))</f>
        <v/>
      </c>
      <c r="CU170" s="110">
        <f>IF(AG170="","",IFERROR(AG170*HSCEI!$B$17*HSCEI!$G$17/HSCEI!$B$3,""))</f>
        <v/>
      </c>
      <c r="CV170" s="110">
        <f>IF(AH170="","",IFERROR(AH170*HSCEI!$B$17*HSCEI!$G$17/HSCEI!$B$3,""))</f>
        <v/>
      </c>
      <c r="CW170" s="110">
        <f>IF(AI170="","",IFERROR(AI170*HSCEI!$B$17*HSCEI!$G$17/HSCEI!$B$3,""))</f>
        <v/>
      </c>
      <c r="CX170" s="110">
        <f>IF(AJ170="","",IFERROR(AJ170*HSCEI!$B$17*HSCEI!$G$17/HSCEI!$B$3,""))</f>
        <v/>
      </c>
      <c r="CY170" s="110">
        <f>IF(AK170="","",IFERROR(AK170*HSCEI!$B$17*HSCEI!$G$17/HSCEI!$B$3,""))</f>
        <v/>
      </c>
      <c r="CZ170" s="110">
        <f>IF(AL170="","",IFERROR(AL170*HSCEI!$B$17*HSCEI!$G$17/HSCEI!$B$3,""))</f>
        <v/>
      </c>
      <c r="DA170" s="110">
        <f>IF(AM170="","",IFERROR(AM170*HSCEI!$B$17*HSCEI!$G$17/HSCEI!$B$3,""))</f>
        <v/>
      </c>
      <c r="DB170" s="110">
        <f>IF(AN170="","",IFERROR(AN170*HSCEI!$B$17*HSCEI!$G$17/HSCEI!$B$3,""))</f>
        <v/>
      </c>
      <c r="DC170" s="110">
        <f>IF(AO170="","",IFERROR(AO170*HSCEI!$B$17*HSCEI!$G$17/HSCEI!$B$3,""))</f>
        <v/>
      </c>
      <c r="DD170" s="110">
        <f>IF(AP170="","",IFERROR(AP170*HSCEI!$B$17*HSCEI!$G$17/HSCEI!$B$3,""))</f>
        <v/>
      </c>
      <c r="DE170" s="110">
        <f>IF(AQ170="","",IFERROR(AQ170*HSCEI!$B$17*HSCEI!$G$17/HSCEI!$B$3,""))</f>
        <v/>
      </c>
      <c r="DF170" s="110">
        <f>IF(AR170="","",IFERROR(AR170*HSCEI!$B$17*HSCEI!$G$17/HSCEI!$B$3,""))</f>
        <v/>
      </c>
      <c r="DG170" s="110">
        <f>IF(AS170="","",IFERROR(AS170*HSCEI!$B$17*HSCEI!$G$17/HSCEI!$B$3,""))</f>
        <v/>
      </c>
      <c r="DH170" s="110">
        <f>IF(AT170="","",IFERROR(AT170*HSCEI!$B$17*HSCEI!$G$17/HSCEI!$B$3,""))</f>
        <v/>
      </c>
      <c r="DI170" s="110">
        <f>IF(AU170="","",IFERROR(AU170*HSCEI!$B$17*HSCEI!$G$17/HSCEI!$B$3,""))</f>
        <v/>
      </c>
      <c r="DJ170" s="110">
        <f>IF(AV170="","",IFERROR(AV170*HSCEI!$B$17*HSCEI!$G$17/HSCEI!$B$3,""))</f>
        <v/>
      </c>
      <c r="DK170" s="110">
        <f>IF(AW170="","",IFERROR(AW170*HSCEI!$B$17*HSCEI!$G$17/HSCEI!$B$3,""))</f>
        <v/>
      </c>
      <c r="DL170" s="110">
        <f>IF(AX170="","",IFERROR(AX170*HSCEI!$B$17*HSCEI!$G$17/HSCEI!$B$3,""))</f>
        <v/>
      </c>
      <c r="DM170" s="110">
        <f>IF(AY170="","",IFERROR(AY170*HSCEI!$B$17*HSCEI!$G$17/HSCEI!$B$3,""))</f>
        <v/>
      </c>
      <c r="DN170" s="110">
        <f>IF(AZ170="","",IFERROR(AZ170*HSCEI!$B$17*HSCEI!$G$17/HSCEI!$B$3,""))</f>
        <v/>
      </c>
      <c r="DO170" s="110">
        <f>IF(BA170="","",IFERROR(BA170*HSCEI!$B$17*HSCEI!$G$17/HSCEI!$B$3,""))</f>
        <v/>
      </c>
      <c r="DP170" s="110">
        <f>IF(BB170="","",IFERROR(BB170*HSCEI!$B$17*HSCEI!$G$17/HSCEI!$B$3,""))</f>
        <v/>
      </c>
      <c r="DQ170" s="110">
        <f>IF(BC170="","",IFERROR(BC170*HSCEI!$B$17*HSCEI!$G$17/HSCEI!$B$3,""))</f>
        <v/>
      </c>
      <c r="DR170" s="110">
        <f>IF(BD170="","",IFERROR(BD170*HSCEI!$B$17*HSCEI!$G$17/HSCEI!$B$3,""))</f>
        <v/>
      </c>
      <c r="DS170" s="110">
        <f>IF(BE170="","",IFERROR(BE170*HSCEI!$B$17*HSCEI!$G$17/HSCEI!$B$3,""))</f>
        <v/>
      </c>
      <c r="DT170" s="110">
        <f>IF(BF170="","",IFERROR(BF170*HSCEI!$B$17*HSCEI!$G$17/HSCEI!$B$3,""))</f>
        <v/>
      </c>
      <c r="DU170" s="110">
        <f>IF(BG170="","",IFERROR(BG170*HSCEI!$B$17*HSCEI!$G$17/HSCEI!$B$3,""))</f>
        <v/>
      </c>
      <c r="DV170" s="110">
        <f>IF(BH170="","",IFERROR(BH170*HSCEI!$B$17*HSCEI!$G$17/HSCEI!$B$3,""))</f>
        <v/>
      </c>
      <c r="DW170" s="110">
        <f>IF(BI170="","",IFERROR(BI170*HSCEI!$B$17*HSCEI!$G$17/HSCEI!$B$3,""))</f>
        <v/>
      </c>
      <c r="DX170" s="110">
        <f>IF(BJ170="","",IFERROR(BJ170*HSCEI!$B$17*HSCEI!$G$17/HSCEI!$B$3,""))</f>
        <v/>
      </c>
      <c r="DY170" s="110">
        <f>IF(BK170="","",IFERROR(BK170*HSCEI!$B$17*HSCEI!$G$17/HSCEI!$B$3,""))</f>
        <v/>
      </c>
      <c r="DZ170" s="110">
        <f>IF(BL170="","",IFERROR(BL170*HSCEI!$B$17*HSCEI!$G$17/HSCEI!$B$3,""))</f>
        <v/>
      </c>
      <c r="EA170" s="110">
        <f>IF(BM170="","",IFERROR(BM170*HSCEI!$B$17*HSCEI!$G$17/HSCEI!$B$3,""))</f>
        <v/>
      </c>
      <c r="EB170" s="110">
        <f>IF(BN170="","",IFERROR(BN170*HSCEI!$B$17*HSCEI!$G$17/HSCEI!$B$3,""))</f>
        <v/>
      </c>
      <c r="EC170" s="110">
        <f>IF(BO170="","",IFERROR(BO170*HSCEI!$B$17*HSCEI!$G$17/HSCEI!$B$3,""))</f>
        <v/>
      </c>
      <c r="EE170" s="39">
        <f>IF(N('Dvd Calendar'!$E$1671)=0,"",IF(('Dvd Calendar'!$E$1671&gt;=GRID_FROM)*('Dvd Calendar'!$E$1671&lt;=GRID_TO)*((('Dvd Calendar'!$E$1671&lt;=VAL_DATE)+(COUNTIF('Dvd Calendar'!$E$1678:$AR$1678,'Dvd Calendar'!$E$1671)=0))&gt;0)=0,"",'Dvd Calendar'!$E$1671*1000000000+ISNUMBER('Dvd Calendar'!$E$1674)*100000000+('Dvd Calendar'!$E$1676=SPECIAL_LBL)*10000000+(N('Dvd Calendar'!$E$1670)&gt;0)*(N('Dvd Calendar'!$E$1670)&lt;=VAL_SERIAL)*1000000+11*1000+1))</f>
        <v/>
      </c>
      <c r="EF170" s="39">
        <f>IF(N('Dvd Calendar'!$F$1671)=0,"",IF(('Dvd Calendar'!$F$1671&gt;=GRID_FROM)*('Dvd Calendar'!$F$1671&lt;=GRID_TO)*((('Dvd Calendar'!$F$1671&lt;=VAL_DATE)+(COUNTIF('Dvd Calendar'!$E$1678:$AR$1678,'Dvd Calendar'!$F$1671)=0))&gt;0)=0,"",'Dvd Calendar'!$F$1671*1000000000+ISNUMBER('Dvd Calendar'!$F$1674)*100000000+('Dvd Calendar'!$F$1676=SPECIAL_LBL)*10000000+(N('Dvd Calendar'!$F$1670)&gt;0)*(N('Dvd Calendar'!$F$1670)&lt;=VAL_SERIAL)*1000000+11*1000+2))</f>
        <v/>
      </c>
      <c r="EG170" s="39">
        <f>IF(N('Dvd Calendar'!$G$1671)=0,"",IF(('Dvd Calendar'!$G$1671&gt;=GRID_FROM)*('Dvd Calendar'!$G$1671&lt;=GRID_TO)*((('Dvd Calendar'!$G$1671&lt;=VAL_DATE)+(COUNTIF('Dvd Calendar'!$E$1678:$AR$1678,'Dvd Calendar'!$G$1671)=0))&gt;0)=0,"",'Dvd Calendar'!$G$1671*1000000000+ISNUMBER('Dvd Calendar'!$G$1674)*100000000+('Dvd Calendar'!$G$1676=SPECIAL_LBL)*10000000+(N('Dvd Calendar'!$G$1670)&gt;0)*(N('Dvd Calendar'!$G$1670)&lt;=VAL_SERIAL)*1000000+11*1000+3))</f>
        <v/>
      </c>
      <c r="EH170" s="39">
        <f>IF(N('Dvd Calendar'!$H$1671)=0,"",IF(('Dvd Calendar'!$H$1671&gt;=GRID_FROM)*('Dvd Calendar'!$H$1671&lt;=GRID_TO)*((('Dvd Calendar'!$H$1671&lt;=VAL_DATE)+(COUNTIF('Dvd Calendar'!$E$1678:$AR$1678,'Dvd Calendar'!$H$1671)=0))&gt;0)=0,"",'Dvd Calendar'!$H$1671*1000000000+ISNUMBER('Dvd Calendar'!$H$1674)*100000000+('Dvd Calendar'!$H$1676=SPECIAL_LBL)*10000000+(N('Dvd Calendar'!$H$1670)&gt;0)*(N('Dvd Calendar'!$H$1670)&lt;=VAL_SERIAL)*1000000+11*1000+4))</f>
        <v/>
      </c>
      <c r="EI170" s="39">
        <f>IF(N('Dvd Calendar'!$I$1671)=0,"",IF(('Dvd Calendar'!$I$1671&gt;=GRID_FROM)*('Dvd Calendar'!$I$1671&lt;=GRID_TO)*((('Dvd Calendar'!$I$1671&lt;=VAL_DATE)+(COUNTIF('Dvd Calendar'!$E$1678:$AR$1678,'Dvd Calendar'!$I$1671)=0))&gt;0)=0,"",'Dvd Calendar'!$I$1671*1000000000+ISNUMBER('Dvd Calendar'!$I$1674)*100000000+('Dvd Calendar'!$I$1676=SPECIAL_LBL)*10000000+(N('Dvd Calendar'!$I$1670)&gt;0)*(N('Dvd Calendar'!$I$1670)&lt;=VAL_SERIAL)*1000000+11*1000+5))</f>
        <v/>
      </c>
      <c r="EJ170" s="39">
        <f>IF(N('Dvd Calendar'!$J$1671)=0,"",IF(('Dvd Calendar'!$J$1671&gt;=GRID_FROM)*('Dvd Calendar'!$J$1671&lt;=GRID_TO)*((('Dvd Calendar'!$J$1671&lt;=VAL_DATE)+(COUNTIF('Dvd Calendar'!$E$1678:$AR$1678,'Dvd Calendar'!$J$1671)=0))&gt;0)=0,"",'Dvd Calendar'!$J$1671*1000000000+ISNUMBER('Dvd Calendar'!$J$1674)*100000000+('Dvd Calendar'!$J$1676=SPECIAL_LBL)*10000000+(N('Dvd Calendar'!$J$1670)&gt;0)*(N('Dvd Calendar'!$J$1670)&lt;=VAL_SERIAL)*1000000+11*1000+6))</f>
        <v/>
      </c>
      <c r="EK170" s="39">
        <f>IF(N('Dvd Calendar'!$K$1671)=0,"",IF(('Dvd Calendar'!$K$1671&gt;=GRID_FROM)*('Dvd Calendar'!$K$1671&lt;=GRID_TO)*((('Dvd Calendar'!$K$1671&lt;=VAL_DATE)+(COUNTIF('Dvd Calendar'!$E$1678:$AR$1678,'Dvd Calendar'!$K$1671)=0))&gt;0)=0,"",'Dvd Calendar'!$K$1671*1000000000+ISNUMBER('Dvd Calendar'!$K$1674)*100000000+('Dvd Calendar'!$K$1676=SPECIAL_LBL)*10000000+(N('Dvd Calendar'!$K$1670)&gt;0)*(N('Dvd Calendar'!$K$1670)&lt;=VAL_SERIAL)*1000000+11*1000+7))</f>
        <v/>
      </c>
      <c r="EL170" s="39">
        <f>IF(N('Dvd Calendar'!$L$1671)=0,"",IF(('Dvd Calendar'!$L$1671&gt;=GRID_FROM)*('Dvd Calendar'!$L$1671&lt;=GRID_TO)*((('Dvd Calendar'!$L$1671&lt;=VAL_DATE)+(COUNTIF('Dvd Calendar'!$E$1678:$AR$1678,'Dvd Calendar'!$L$1671)=0))&gt;0)=0,"",'Dvd Calendar'!$L$1671*1000000000+ISNUMBER('Dvd Calendar'!$L$1674)*100000000+('Dvd Calendar'!$L$1676=SPECIAL_LBL)*10000000+(N('Dvd Calendar'!$L$1670)&gt;0)*(N('Dvd Calendar'!$L$1670)&lt;=VAL_SERIAL)*1000000+11*1000+8))</f>
        <v/>
      </c>
      <c r="EM170" s="39">
        <f>IF(N('Dvd Calendar'!$M$1671)=0,"",IF(('Dvd Calendar'!$M$1671&gt;=GRID_FROM)*('Dvd Calendar'!$M$1671&lt;=GRID_TO)*((('Dvd Calendar'!$M$1671&lt;=VAL_DATE)+(COUNTIF('Dvd Calendar'!$E$1678:$AR$1678,'Dvd Calendar'!$M$1671)=0))&gt;0)=0,"",'Dvd Calendar'!$M$1671*1000000000+ISNUMBER('Dvd Calendar'!$M$1674)*100000000+('Dvd Calendar'!$M$1676=SPECIAL_LBL)*10000000+(N('Dvd Calendar'!$M$1670)&gt;0)*(N('Dvd Calendar'!$M$1670)&lt;=VAL_SERIAL)*1000000+11*1000+9))</f>
        <v/>
      </c>
      <c r="EN170" s="39">
        <f>IF(N('Dvd Calendar'!$N$1671)=0,"",IF(('Dvd Calendar'!$N$1671&gt;=GRID_FROM)*('Dvd Calendar'!$N$1671&lt;=GRID_TO)*((('Dvd Calendar'!$N$1671&lt;=VAL_DATE)+(COUNTIF('Dvd Calendar'!$E$1678:$AR$1678,'Dvd Calendar'!$N$1671)=0))&gt;0)=0,"",'Dvd Calendar'!$N$1671*1000000000+ISNUMBER('Dvd Calendar'!$N$1674)*100000000+('Dvd Calendar'!$N$1676=SPECIAL_LBL)*10000000+(N('Dvd Calendar'!$N$1670)&gt;0)*(N('Dvd Calendar'!$N$1670)&lt;=VAL_SERIAL)*1000000+11*1000+10))</f>
        <v/>
      </c>
      <c r="EO170" s="39">
        <f>IF(N('Dvd Calendar'!$O$1671)=0,"",IF(('Dvd Calendar'!$O$1671&gt;=GRID_FROM)*('Dvd Calendar'!$O$1671&lt;=GRID_TO)*((('Dvd Calendar'!$O$1671&lt;=VAL_DATE)+(COUNTIF('Dvd Calendar'!$E$1678:$AR$1678,'Dvd Calendar'!$O$1671)=0))&gt;0)=0,"",'Dvd Calendar'!$O$1671*1000000000+ISNUMBER('Dvd Calendar'!$O$1674)*100000000+('Dvd Calendar'!$O$1676=SPECIAL_LBL)*10000000+(N('Dvd Calendar'!$O$1670)&gt;0)*(N('Dvd Calendar'!$O$1670)&lt;=VAL_SERIAL)*1000000+11*1000+11))</f>
        <v/>
      </c>
      <c r="EP170" s="39">
        <f>IF(N('Dvd Calendar'!$P$1671)=0,"",IF(('Dvd Calendar'!$P$1671&gt;=GRID_FROM)*('Dvd Calendar'!$P$1671&lt;=GRID_TO)*((('Dvd Calendar'!$P$1671&lt;=VAL_DATE)+(COUNTIF('Dvd Calendar'!$E$1678:$AR$1678,'Dvd Calendar'!$P$1671)=0))&gt;0)=0,"",'Dvd Calendar'!$P$1671*1000000000+ISNUMBER('Dvd Calendar'!$P$1674)*100000000+('Dvd Calendar'!$P$1676=SPECIAL_LBL)*10000000+(N('Dvd Calendar'!$P$1670)&gt;0)*(N('Dvd Calendar'!$P$1670)&lt;=VAL_SERIAL)*1000000+11*1000+12))</f>
        <v/>
      </c>
      <c r="EQ170" s="39">
        <f>IF(N('Dvd Calendar'!$Q$1671)=0,"",IF(('Dvd Calendar'!$Q$1671&gt;=GRID_FROM)*('Dvd Calendar'!$Q$1671&lt;=GRID_TO)*((('Dvd Calendar'!$Q$1671&lt;=VAL_DATE)+(COUNTIF('Dvd Calendar'!$E$1678:$AR$1678,'Dvd Calendar'!$Q$1671)=0))&gt;0)=0,"",'Dvd Calendar'!$Q$1671*1000000000+ISNUMBER('Dvd Calendar'!$Q$1674)*100000000+('Dvd Calendar'!$Q$1676=SPECIAL_LBL)*10000000+(N('Dvd Calendar'!$Q$1670)&gt;0)*(N('Dvd Calendar'!$Q$1670)&lt;=VAL_SERIAL)*1000000+11*1000+13))</f>
        <v/>
      </c>
      <c r="ER170" s="39">
        <f>IF(N('Dvd Calendar'!$R$1671)=0,"",IF(('Dvd Calendar'!$R$1671&gt;=GRID_FROM)*('Dvd Calendar'!$R$1671&lt;=GRID_TO)*((('Dvd Calendar'!$R$1671&lt;=VAL_DATE)+(COUNTIF('Dvd Calendar'!$E$1678:$AR$1678,'Dvd Calendar'!$R$1671)=0))&gt;0)=0,"",'Dvd Calendar'!$R$1671*1000000000+ISNUMBER('Dvd Calendar'!$R$1674)*100000000+('Dvd Calendar'!$R$1676=SPECIAL_LBL)*10000000+(N('Dvd Calendar'!$R$1670)&gt;0)*(N('Dvd Calendar'!$R$1670)&lt;=VAL_SERIAL)*1000000+11*1000+14))</f>
        <v/>
      </c>
      <c r="ES170" s="39">
        <f>IF(N('Dvd Calendar'!$S$1671)=0,"",IF(('Dvd Calendar'!$S$1671&gt;=GRID_FROM)*('Dvd Calendar'!$S$1671&lt;=GRID_TO)*((('Dvd Calendar'!$S$1671&lt;=VAL_DATE)+(COUNTIF('Dvd Calendar'!$E$1678:$AR$1678,'Dvd Calendar'!$S$1671)=0))&gt;0)=0,"",'Dvd Calendar'!$S$1671*1000000000+ISNUMBER('Dvd Calendar'!$S$1674)*100000000+('Dvd Calendar'!$S$1676=SPECIAL_LBL)*10000000+(N('Dvd Calendar'!$S$1670)&gt;0)*(N('Dvd Calendar'!$S$1670)&lt;=VAL_SERIAL)*1000000+11*1000+15))</f>
        <v/>
      </c>
      <c r="ET170" s="39">
        <f>IF(N('Dvd Calendar'!$T$1671)=0,"",IF(('Dvd Calendar'!$T$1671&gt;=GRID_FROM)*('Dvd Calendar'!$T$1671&lt;=GRID_TO)*((('Dvd Calendar'!$T$1671&lt;=VAL_DATE)+(COUNTIF('Dvd Calendar'!$E$1678:$AR$1678,'Dvd Calendar'!$T$1671)=0))&gt;0)=0,"",'Dvd Calendar'!$T$1671*1000000000+ISNUMBER('Dvd Calendar'!$T$1674)*100000000+('Dvd Calendar'!$T$1676=SPECIAL_LBL)*10000000+(N('Dvd Calendar'!$T$1670)&gt;0)*(N('Dvd Calendar'!$T$1670)&lt;=VAL_SERIAL)*1000000+11*1000+16))</f>
        <v/>
      </c>
      <c r="EU170" s="39">
        <f>IF(N('Dvd Calendar'!$U$1671)=0,"",IF(('Dvd Calendar'!$U$1671&gt;=GRID_FROM)*('Dvd Calendar'!$U$1671&lt;=GRID_TO)*((('Dvd Calendar'!$U$1671&lt;=VAL_DATE)+(COUNTIF('Dvd Calendar'!$E$1678:$AR$1678,'Dvd Calendar'!$U$1671)=0))&gt;0)=0,"",'Dvd Calendar'!$U$1671*1000000000+ISNUMBER('Dvd Calendar'!$U$1674)*100000000+('Dvd Calendar'!$U$1676=SPECIAL_LBL)*10000000+(N('Dvd Calendar'!$U$1670)&gt;0)*(N('Dvd Calendar'!$U$1670)&lt;=VAL_SERIAL)*1000000+11*1000+17))</f>
        <v/>
      </c>
      <c r="EV170" s="39">
        <f>IF(N('Dvd Calendar'!$V$1671)=0,"",IF(('Dvd Calendar'!$V$1671&gt;=GRID_FROM)*('Dvd Calendar'!$V$1671&lt;=GRID_TO)*((('Dvd Calendar'!$V$1671&lt;=VAL_DATE)+(COUNTIF('Dvd Calendar'!$E$1678:$AR$1678,'Dvd Calendar'!$V$1671)=0))&gt;0)=0,"",'Dvd Calendar'!$V$1671*1000000000+ISNUMBER('Dvd Calendar'!$V$1674)*100000000+('Dvd Calendar'!$V$1676=SPECIAL_LBL)*10000000+(N('Dvd Calendar'!$V$1670)&gt;0)*(N('Dvd Calendar'!$V$1670)&lt;=VAL_SERIAL)*1000000+11*1000+18))</f>
        <v/>
      </c>
      <c r="EW170" s="39">
        <f>IF(N('Dvd Calendar'!$W$1671)=0,"",IF(('Dvd Calendar'!$W$1671&gt;=GRID_FROM)*('Dvd Calendar'!$W$1671&lt;=GRID_TO)*((('Dvd Calendar'!$W$1671&lt;=VAL_DATE)+(COUNTIF('Dvd Calendar'!$E$1678:$AR$1678,'Dvd Calendar'!$W$1671)=0))&gt;0)=0,"",'Dvd Calendar'!$W$1671*1000000000+ISNUMBER('Dvd Calendar'!$W$1674)*100000000+('Dvd Calendar'!$W$1676=SPECIAL_LBL)*10000000+(N('Dvd Calendar'!$W$1670)&gt;0)*(N('Dvd Calendar'!$W$1670)&lt;=VAL_SERIAL)*1000000+11*1000+19))</f>
        <v/>
      </c>
      <c r="EX170" s="39">
        <f>IF(N('Dvd Calendar'!$X$1671)=0,"",IF(('Dvd Calendar'!$X$1671&gt;=GRID_FROM)*('Dvd Calendar'!$X$1671&lt;=GRID_TO)*((('Dvd Calendar'!$X$1671&lt;=VAL_DATE)+(COUNTIF('Dvd Calendar'!$E$1678:$AR$1678,'Dvd Calendar'!$X$1671)=0))&gt;0)=0,"",'Dvd Calendar'!$X$1671*1000000000+ISNUMBER('Dvd Calendar'!$X$1674)*100000000+('Dvd Calendar'!$X$1676=SPECIAL_LBL)*10000000+(N('Dvd Calendar'!$X$1670)&gt;0)*(N('Dvd Calendar'!$X$1670)&lt;=VAL_SERIAL)*1000000+11*1000+20))</f>
        <v/>
      </c>
      <c r="EY170" s="39">
        <f>IF(N('Dvd Calendar'!$Y$1671)=0,"",IF(('Dvd Calendar'!$Y$1671&gt;=GRID_FROM)*('Dvd Calendar'!$Y$1671&lt;=GRID_TO)*((('Dvd Calendar'!$Y$1671&lt;=VAL_DATE)+(COUNTIF('Dvd Calendar'!$E$1678:$AR$1678,'Dvd Calendar'!$Y$1671)=0))&gt;0)=0,"",'Dvd Calendar'!$Y$1671*1000000000+ISNUMBER('Dvd Calendar'!$Y$1674)*100000000+('Dvd Calendar'!$Y$1676=SPECIAL_LBL)*10000000+(N('Dvd Calendar'!$Y$1670)&gt;0)*(N('Dvd Calendar'!$Y$1670)&lt;=VAL_SERIAL)*1000000+11*1000+21))</f>
        <v/>
      </c>
      <c r="EZ170" s="39">
        <f>IF(N('Dvd Calendar'!$Z$1671)=0,"",IF(('Dvd Calendar'!$Z$1671&gt;=GRID_FROM)*('Dvd Calendar'!$Z$1671&lt;=GRID_TO)*((('Dvd Calendar'!$Z$1671&lt;=VAL_DATE)+(COUNTIF('Dvd Calendar'!$E$1678:$AR$1678,'Dvd Calendar'!$Z$1671)=0))&gt;0)=0,"",'Dvd Calendar'!$Z$1671*1000000000+ISNUMBER('Dvd Calendar'!$Z$1674)*100000000+('Dvd Calendar'!$Z$1676=SPECIAL_LBL)*10000000+(N('Dvd Calendar'!$Z$1670)&gt;0)*(N('Dvd Calendar'!$Z$1670)&lt;=VAL_SERIAL)*1000000+11*1000+22))</f>
        <v/>
      </c>
      <c r="FA170" s="39">
        <f>IF(N('Dvd Calendar'!$AA$1671)=0,"",IF(('Dvd Calendar'!$AA$1671&gt;=GRID_FROM)*('Dvd Calendar'!$AA$1671&lt;=GRID_TO)*((('Dvd Calendar'!$AA$1671&lt;=VAL_DATE)+(COUNTIF('Dvd Calendar'!$E$1678:$AR$1678,'Dvd Calendar'!$AA$1671)=0))&gt;0)=0,"",'Dvd Calendar'!$AA$1671*1000000000+ISNUMBER('Dvd Calendar'!$AA$1674)*100000000+('Dvd Calendar'!$AA$1676=SPECIAL_LBL)*10000000+(N('Dvd Calendar'!$AA$1670)&gt;0)*(N('Dvd Calendar'!$AA$1670)&lt;=VAL_SERIAL)*1000000+11*1000+23))</f>
        <v/>
      </c>
      <c r="FB170" s="39">
        <f>IF(N('Dvd Calendar'!$AB$1671)=0,"",IF(('Dvd Calendar'!$AB$1671&gt;=GRID_FROM)*('Dvd Calendar'!$AB$1671&lt;=GRID_TO)*((('Dvd Calendar'!$AB$1671&lt;=VAL_DATE)+(COUNTIF('Dvd Calendar'!$E$1678:$AR$1678,'Dvd Calendar'!$AB$1671)=0))&gt;0)=0,"",'Dvd Calendar'!$AB$1671*1000000000+ISNUMBER('Dvd Calendar'!$AB$1674)*100000000+('Dvd Calendar'!$AB$1676=SPECIAL_LBL)*10000000+(N('Dvd Calendar'!$AB$1670)&gt;0)*(N('Dvd Calendar'!$AB$1670)&lt;=VAL_SERIAL)*1000000+11*1000+24))</f>
        <v/>
      </c>
      <c r="FC170" s="39">
        <f>IF(N('Dvd Calendar'!$AC$1671)=0,"",IF(('Dvd Calendar'!$AC$1671&gt;=GRID_FROM)*('Dvd Calendar'!$AC$1671&lt;=GRID_TO)*((('Dvd Calendar'!$AC$1671&lt;=VAL_DATE)+(COUNTIF('Dvd Calendar'!$E$1678:$AR$1678,'Dvd Calendar'!$AC$1671)=0))&gt;0)=0,"",'Dvd Calendar'!$AC$1671*1000000000+ISNUMBER('Dvd Calendar'!$AC$1674)*100000000+('Dvd Calendar'!$AC$1676=SPECIAL_LBL)*10000000+(N('Dvd Calendar'!$AC$1670)&gt;0)*(N('Dvd Calendar'!$AC$1670)&lt;=VAL_SERIAL)*1000000+11*1000+25))</f>
        <v/>
      </c>
      <c r="FD170" s="39">
        <f>IF(N('Dvd Calendar'!$AD$1671)=0,"",IF(('Dvd Calendar'!$AD$1671&gt;=GRID_FROM)*('Dvd Calendar'!$AD$1671&lt;=GRID_TO)*((('Dvd Calendar'!$AD$1671&lt;=VAL_DATE)+(COUNTIF('Dvd Calendar'!$E$1678:$AR$1678,'Dvd Calendar'!$AD$1671)=0))&gt;0)=0,"",'Dvd Calendar'!$AD$1671*1000000000+ISNUMBER('Dvd Calendar'!$AD$1674)*100000000+('Dvd Calendar'!$AD$1676=SPECIAL_LBL)*10000000+(N('Dvd Calendar'!$AD$1670)&gt;0)*(N('Dvd Calendar'!$AD$1670)&lt;=VAL_SERIAL)*1000000+11*1000+26))</f>
        <v/>
      </c>
      <c r="FE170" s="39">
        <f>IF(N('Dvd Calendar'!$AE$1671)=0,"",IF(('Dvd Calendar'!$AE$1671&gt;=GRID_FROM)*('Dvd Calendar'!$AE$1671&lt;=GRID_TO)*((('Dvd Calendar'!$AE$1671&lt;=VAL_DATE)+(COUNTIF('Dvd Calendar'!$E$1678:$AR$1678,'Dvd Calendar'!$AE$1671)=0))&gt;0)=0,"",'Dvd Calendar'!$AE$1671*1000000000+ISNUMBER('Dvd Calendar'!$AE$1674)*100000000+('Dvd Calendar'!$AE$1676=SPECIAL_LBL)*10000000+(N('Dvd Calendar'!$AE$1670)&gt;0)*(N('Dvd Calendar'!$AE$1670)&lt;=VAL_SERIAL)*1000000+11*1000+27))</f>
        <v/>
      </c>
      <c r="FF170" s="39">
        <f>IF(N('Dvd Calendar'!$AF$1671)=0,"",IF(('Dvd Calendar'!$AF$1671&gt;=GRID_FROM)*('Dvd Calendar'!$AF$1671&lt;=GRID_TO)*((('Dvd Calendar'!$AF$1671&lt;=VAL_DATE)+(COUNTIF('Dvd Calendar'!$E$1678:$AR$1678,'Dvd Calendar'!$AF$1671)=0))&gt;0)=0,"",'Dvd Calendar'!$AF$1671*1000000000+ISNUMBER('Dvd Calendar'!$AF$1674)*100000000+('Dvd Calendar'!$AF$1676=SPECIAL_LBL)*10000000+(N('Dvd Calendar'!$AF$1670)&gt;0)*(N('Dvd Calendar'!$AF$1670)&lt;=VAL_SERIAL)*1000000+11*1000+28))</f>
        <v/>
      </c>
      <c r="FG170" s="39">
        <f>IF(N('Dvd Calendar'!$AG$1671)=0,"",IF(('Dvd Calendar'!$AG$1671&gt;=GRID_FROM)*('Dvd Calendar'!$AG$1671&lt;=GRID_TO)*((('Dvd Calendar'!$AG$1671&lt;=VAL_DATE)+(COUNTIF('Dvd Calendar'!$E$1678:$AR$1678,'Dvd Calendar'!$AG$1671)=0))&gt;0)=0,"",'Dvd Calendar'!$AG$1671*1000000000+ISNUMBER('Dvd Calendar'!$AG$1674)*100000000+('Dvd Calendar'!$AG$1676=SPECIAL_LBL)*10000000+(N('Dvd Calendar'!$AG$1670)&gt;0)*(N('Dvd Calendar'!$AG$1670)&lt;=VAL_SERIAL)*1000000+11*1000+29))</f>
        <v/>
      </c>
      <c r="FH170" s="39">
        <f>IF(N('Dvd Calendar'!$AH$1671)=0,"",IF(('Dvd Calendar'!$AH$1671&gt;=GRID_FROM)*('Dvd Calendar'!$AH$1671&lt;=GRID_TO)*((('Dvd Calendar'!$AH$1671&lt;=VAL_DATE)+(COUNTIF('Dvd Calendar'!$E$1678:$AR$1678,'Dvd Calendar'!$AH$1671)=0))&gt;0)=0,"",'Dvd Calendar'!$AH$1671*1000000000+ISNUMBER('Dvd Calendar'!$AH$1674)*100000000+('Dvd Calendar'!$AH$1676=SPECIAL_LBL)*10000000+(N('Dvd Calendar'!$AH$1670)&gt;0)*(N('Dvd Calendar'!$AH$1670)&lt;=VAL_SERIAL)*1000000+11*1000+30))</f>
        <v/>
      </c>
      <c r="FI170" s="39">
        <f>IF(N('Dvd Calendar'!$AI$1671)=0,"",IF(('Dvd Calendar'!$AI$1671&gt;=GRID_FROM)*('Dvd Calendar'!$AI$1671&lt;=GRID_TO)*((('Dvd Calendar'!$AI$1671&lt;=VAL_DATE)+(COUNTIF('Dvd Calendar'!$E$1678:$AR$1678,'Dvd Calendar'!$AI$1671)=0))&gt;0)=0,"",'Dvd Calendar'!$AI$1671*1000000000+ISNUMBER('Dvd Calendar'!$AI$1674)*100000000+('Dvd Calendar'!$AI$1676=SPECIAL_LBL)*10000000+(N('Dvd Calendar'!$AI$1670)&gt;0)*(N('Dvd Calendar'!$AI$1670)&lt;=VAL_SERIAL)*1000000+11*1000+31))</f>
        <v/>
      </c>
      <c r="FJ170" s="39">
        <f>IF(N('Dvd Calendar'!$AJ$1671)=0,"",IF(('Dvd Calendar'!$AJ$1671&gt;=GRID_FROM)*('Dvd Calendar'!$AJ$1671&lt;=GRID_TO)*((('Dvd Calendar'!$AJ$1671&lt;=VAL_DATE)+(COUNTIF('Dvd Calendar'!$E$1678:$AR$1678,'Dvd Calendar'!$AJ$1671)=0))&gt;0)=0,"",'Dvd Calendar'!$AJ$1671*1000000000+ISNUMBER('Dvd Calendar'!$AJ$1674)*100000000+('Dvd Calendar'!$AJ$1676=SPECIAL_LBL)*10000000+(N('Dvd Calendar'!$AJ$1670)&gt;0)*(N('Dvd Calendar'!$AJ$1670)&lt;=VAL_SERIAL)*1000000+11*1000+32))</f>
        <v/>
      </c>
      <c r="FK170" s="39">
        <f>IF(N('Dvd Calendar'!$AK$1671)=0,"",IF(('Dvd Calendar'!$AK$1671&gt;=GRID_FROM)*('Dvd Calendar'!$AK$1671&lt;=GRID_TO)*((('Dvd Calendar'!$AK$1671&lt;=VAL_DATE)+(COUNTIF('Dvd Calendar'!$E$1678:$AR$1678,'Dvd Calendar'!$AK$1671)=0))&gt;0)=0,"",'Dvd Calendar'!$AK$1671*1000000000+ISNUMBER('Dvd Calendar'!$AK$1674)*100000000+('Dvd Calendar'!$AK$1676=SPECIAL_LBL)*10000000+(N('Dvd Calendar'!$AK$1670)&gt;0)*(N('Dvd Calendar'!$AK$1670)&lt;=VAL_SERIAL)*1000000+11*1000+33))</f>
        <v/>
      </c>
      <c r="FL170" s="39">
        <f>IF(N('Dvd Calendar'!$AL$1671)=0,"",IF(('Dvd Calendar'!$AL$1671&gt;=GRID_FROM)*('Dvd Calendar'!$AL$1671&lt;=GRID_TO)*((('Dvd Calendar'!$AL$1671&lt;=VAL_DATE)+(COUNTIF('Dvd Calendar'!$E$1678:$AR$1678,'Dvd Calendar'!$AL$1671)=0))&gt;0)=0,"",'Dvd Calendar'!$AL$1671*1000000000+ISNUMBER('Dvd Calendar'!$AL$1674)*100000000+('Dvd Calendar'!$AL$1676=SPECIAL_LBL)*10000000+(N('Dvd Calendar'!$AL$1670)&gt;0)*(N('Dvd Calendar'!$AL$1670)&lt;=VAL_SERIAL)*1000000+11*1000+34))</f>
        <v/>
      </c>
      <c r="FM170" s="39">
        <f>IF(N('Dvd Calendar'!$AM$1671)=0,"",IF(('Dvd Calendar'!$AM$1671&gt;=GRID_FROM)*('Dvd Calendar'!$AM$1671&lt;=GRID_TO)*((('Dvd Calendar'!$AM$1671&lt;=VAL_DATE)+(COUNTIF('Dvd Calendar'!$E$1678:$AR$1678,'Dvd Calendar'!$AM$1671)=0))&gt;0)=0,"",'Dvd Calendar'!$AM$1671*1000000000+ISNUMBER('Dvd Calendar'!$AM$1674)*100000000+('Dvd Calendar'!$AM$1676=SPECIAL_LBL)*10000000+(N('Dvd Calendar'!$AM$1670)&gt;0)*(N('Dvd Calendar'!$AM$1670)&lt;=VAL_SERIAL)*1000000+11*1000+35))</f>
        <v/>
      </c>
      <c r="FN170" s="39">
        <f>IF(N('Dvd Calendar'!$AN$1671)=0,"",IF(('Dvd Calendar'!$AN$1671&gt;=GRID_FROM)*('Dvd Calendar'!$AN$1671&lt;=GRID_TO)*((('Dvd Calendar'!$AN$1671&lt;=VAL_DATE)+(COUNTIF('Dvd Calendar'!$E$1678:$AR$1678,'Dvd Calendar'!$AN$1671)=0))&gt;0)=0,"",'Dvd Calendar'!$AN$1671*1000000000+ISNUMBER('Dvd Calendar'!$AN$1674)*100000000+('Dvd Calendar'!$AN$1676=SPECIAL_LBL)*10000000+(N('Dvd Calendar'!$AN$1670)&gt;0)*(N('Dvd Calendar'!$AN$1670)&lt;=VAL_SERIAL)*1000000+11*1000+36))</f>
        <v/>
      </c>
      <c r="FO170" s="39">
        <f>IF(N('Dvd Calendar'!$AO$1671)=0,"",IF(('Dvd Calendar'!$AO$1671&gt;=GRID_FROM)*('Dvd Calendar'!$AO$1671&lt;=GRID_TO)*((('Dvd Calendar'!$AO$1671&lt;=VAL_DATE)+(COUNTIF('Dvd Calendar'!$E$1678:$AR$1678,'Dvd Calendar'!$AO$1671)=0))&gt;0)=0,"",'Dvd Calendar'!$AO$1671*1000000000+ISNUMBER('Dvd Calendar'!$AO$1674)*100000000+('Dvd Calendar'!$AO$1676=SPECIAL_LBL)*10000000+(N('Dvd Calendar'!$AO$1670)&gt;0)*(N('Dvd Calendar'!$AO$1670)&lt;=VAL_SERIAL)*1000000+11*1000+37))</f>
        <v/>
      </c>
      <c r="FP170" s="39">
        <f>IF(N('Dvd Calendar'!$AP$1671)=0,"",IF(('Dvd Calendar'!$AP$1671&gt;=GRID_FROM)*('Dvd Calendar'!$AP$1671&lt;=GRID_TO)*((('Dvd Calendar'!$AP$1671&lt;=VAL_DATE)+(COUNTIF('Dvd Calendar'!$E$1678:$AR$1678,'Dvd Calendar'!$AP$1671)=0))&gt;0)=0,"",'Dvd Calendar'!$AP$1671*1000000000+ISNUMBER('Dvd Calendar'!$AP$1674)*100000000+('Dvd Calendar'!$AP$1676=SPECIAL_LBL)*10000000+(N('Dvd Calendar'!$AP$1670)&gt;0)*(N('Dvd Calendar'!$AP$1670)&lt;=VAL_SERIAL)*1000000+11*1000+38))</f>
        <v/>
      </c>
      <c r="FQ170" s="39">
        <f>IF(N('Dvd Calendar'!$AQ$1671)=0,"",IF(('Dvd Calendar'!$AQ$1671&gt;=GRID_FROM)*('Dvd Calendar'!$AQ$1671&lt;=GRID_TO)*((('Dvd Calendar'!$AQ$1671&lt;=VAL_DATE)+(COUNTIF('Dvd Calendar'!$E$1678:$AR$1678,'Dvd Calendar'!$AQ$1671)=0))&gt;0)=0,"",'Dvd Calendar'!$AQ$1671*1000000000+ISNUMBER('Dvd Calendar'!$AQ$1674)*100000000+('Dvd Calendar'!$AQ$1676=SPECIAL_LBL)*10000000+(N('Dvd Calendar'!$AQ$1670)&gt;0)*(N('Dvd Calendar'!$AQ$1670)&lt;=VAL_SERIAL)*1000000+11*1000+39))</f>
        <v/>
      </c>
      <c r="FR170" s="39">
        <f>IF(N('Dvd Calendar'!$AR$1671)=0,"",IF(('Dvd Calendar'!$AR$1671&gt;=GRID_FROM)*('Dvd Calendar'!$AR$1671&lt;=GRID_TO)*((('Dvd Calendar'!$AR$1671&lt;=VAL_DATE)+(COUNTIF('Dvd Calendar'!$E$1678:$AR$1678,'Dvd Calendar'!$AR$1671)=0))&gt;0)=0,"",'Dvd Calendar'!$AR$1671*1000000000+ISNUMBER('Dvd Calendar'!$AR$1674)*100000000+('Dvd Calendar'!$AR$1676=SPECIAL_LBL)*10000000+(N('Dvd Calendar'!$AR$1670)&gt;0)*(N('Dvd Calendar'!$AR$1670)&lt;=VAL_SERIAL)*1000000+11*1000+40))</f>
        <v/>
      </c>
      <c r="FS170" s="39">
        <f>IF(N('Dvd Calendar'!$E$1678)=0,"",IF(('Dvd Calendar'!$E$1678&gt;=GRID_FROM)*('Dvd Calendar'!$E$1678&lt;=GRID_TO)*('Dvd Calendar'!$E$1678&gt;VAL_DATE)=0,"",'Dvd Calendar'!$E$1678*1000000000+ISNUMBER('Dvd Calendar'!$E$1679)*100000000+0*10000000+(N('Dvd Calendar'!$E$1677)&gt;0)*(N('Dvd Calendar'!$E$1677)&lt;=VAL_SERIAL)*1000000+11*1000+41))</f>
        <v/>
      </c>
      <c r="FT170" s="39">
        <f>IF(N('Dvd Calendar'!$F$1678)=0,"",IF(('Dvd Calendar'!$F$1678&gt;=GRID_FROM)*('Dvd Calendar'!$F$1678&lt;=GRID_TO)*('Dvd Calendar'!$F$1678&gt;VAL_DATE)=0,"",'Dvd Calendar'!$F$1678*1000000000+ISNUMBER('Dvd Calendar'!$F$1679)*100000000+0*10000000+(N('Dvd Calendar'!$F$1677)&gt;0)*(N('Dvd Calendar'!$F$1677)&lt;=VAL_SERIAL)*1000000+11*1000+42))</f>
        <v/>
      </c>
      <c r="FU170" s="39">
        <f>IF(N('Dvd Calendar'!$G$1678)=0,"",IF(('Dvd Calendar'!$G$1678&gt;=GRID_FROM)*('Dvd Calendar'!$G$1678&lt;=GRID_TO)*('Dvd Calendar'!$G$1678&gt;VAL_DATE)=0,"",'Dvd Calendar'!$G$1678*1000000000+ISNUMBER('Dvd Calendar'!$G$1679)*100000000+0*10000000+(N('Dvd Calendar'!$G$1677)&gt;0)*(N('Dvd Calendar'!$G$1677)&lt;=VAL_SERIAL)*1000000+11*1000+43))</f>
        <v/>
      </c>
      <c r="FV170" s="39">
        <f>IF(N('Dvd Calendar'!$H$1678)=0,"",IF(('Dvd Calendar'!$H$1678&gt;=GRID_FROM)*('Dvd Calendar'!$H$1678&lt;=GRID_TO)*('Dvd Calendar'!$H$1678&gt;VAL_DATE)=0,"",'Dvd Calendar'!$H$1678*1000000000+ISNUMBER('Dvd Calendar'!$H$1679)*100000000+0*10000000+(N('Dvd Calendar'!$H$1677)&gt;0)*(N('Dvd Calendar'!$H$1677)&lt;=VAL_SERIAL)*1000000+11*1000+44))</f>
        <v/>
      </c>
      <c r="FW170" s="39">
        <f>IF(N('Dvd Calendar'!$I$1678)=0,"",IF(('Dvd Calendar'!$I$1678&gt;=GRID_FROM)*('Dvd Calendar'!$I$1678&lt;=GRID_TO)*('Dvd Calendar'!$I$1678&gt;VAL_DATE)=0,"",'Dvd Calendar'!$I$1678*1000000000+ISNUMBER('Dvd Calendar'!$I$1679)*100000000+0*10000000+(N('Dvd Calendar'!$I$1677)&gt;0)*(N('Dvd Calendar'!$I$1677)&lt;=VAL_SERIAL)*1000000+11*1000+45))</f>
        <v/>
      </c>
      <c r="FX170" s="39">
        <f>IF(N('Dvd Calendar'!$J$1678)=0,"",IF(('Dvd Calendar'!$J$1678&gt;=GRID_FROM)*('Dvd Calendar'!$J$1678&lt;=GRID_TO)*('Dvd Calendar'!$J$1678&gt;VAL_DATE)=0,"",'Dvd Calendar'!$J$1678*1000000000+ISNUMBER('Dvd Calendar'!$J$1679)*100000000+0*10000000+(N('Dvd Calendar'!$J$1677)&gt;0)*(N('Dvd Calendar'!$J$1677)&lt;=VAL_SERIAL)*1000000+11*1000+46))</f>
        <v/>
      </c>
      <c r="FY170" s="39">
        <f>IF(N('Dvd Calendar'!$K$1678)=0,"",IF(('Dvd Calendar'!$K$1678&gt;=GRID_FROM)*('Dvd Calendar'!$K$1678&lt;=GRID_TO)*('Dvd Calendar'!$K$1678&gt;VAL_DATE)=0,"",'Dvd Calendar'!$K$1678*1000000000+ISNUMBER('Dvd Calendar'!$K$1679)*100000000+0*10000000+(N('Dvd Calendar'!$K$1677)&gt;0)*(N('Dvd Calendar'!$K$1677)&lt;=VAL_SERIAL)*1000000+11*1000+47))</f>
        <v/>
      </c>
      <c r="FZ170" s="39">
        <f>IF(N('Dvd Calendar'!$L$1678)=0,"",IF(('Dvd Calendar'!$L$1678&gt;=GRID_FROM)*('Dvd Calendar'!$L$1678&lt;=GRID_TO)*('Dvd Calendar'!$L$1678&gt;VAL_DATE)=0,"",'Dvd Calendar'!$L$1678*1000000000+ISNUMBER('Dvd Calendar'!$L$1679)*100000000+0*10000000+(N('Dvd Calendar'!$L$1677)&gt;0)*(N('Dvd Calendar'!$L$1677)&lt;=VAL_SERIAL)*1000000+11*1000+48))</f>
        <v/>
      </c>
      <c r="GA170" s="39">
        <f>IF(N('Dvd Calendar'!$M$1678)=0,"",IF(('Dvd Calendar'!$M$1678&gt;=GRID_FROM)*('Dvd Calendar'!$M$1678&lt;=GRID_TO)*('Dvd Calendar'!$M$1678&gt;VAL_DATE)=0,"",'Dvd Calendar'!$M$1678*1000000000+ISNUMBER('Dvd Calendar'!$M$1679)*100000000+0*10000000+(N('Dvd Calendar'!$M$1677)&gt;0)*(N('Dvd Calendar'!$M$1677)&lt;=VAL_SERIAL)*1000000+11*1000+49))</f>
        <v/>
      </c>
      <c r="GB170" s="39">
        <f>IF(N('Dvd Calendar'!$N$1678)=0,"",IF(('Dvd Calendar'!$N$1678&gt;=GRID_FROM)*('Dvd Calendar'!$N$1678&lt;=GRID_TO)*('Dvd Calendar'!$N$1678&gt;VAL_DATE)=0,"",'Dvd Calendar'!$N$1678*1000000000+ISNUMBER('Dvd Calendar'!$N$1679)*100000000+0*10000000+(N('Dvd Calendar'!$N$1677)&gt;0)*(N('Dvd Calendar'!$N$1677)&lt;=VAL_SERIAL)*1000000+11*1000+50))</f>
        <v/>
      </c>
      <c r="GC170" s="39">
        <f>IF(N('Dvd Calendar'!$O$1678)=0,"",IF(('Dvd Calendar'!$O$1678&gt;=GRID_FROM)*('Dvd Calendar'!$O$1678&lt;=GRID_TO)*('Dvd Calendar'!$O$1678&gt;VAL_DATE)=0,"",'Dvd Calendar'!$O$1678*1000000000+ISNUMBER('Dvd Calendar'!$O$1679)*100000000+0*10000000+(N('Dvd Calendar'!$O$1677)&gt;0)*(N('Dvd Calendar'!$O$1677)&lt;=VAL_SERIAL)*1000000+11*1000+51))</f>
        <v/>
      </c>
      <c r="GD170" s="39">
        <f>IF(N('Dvd Calendar'!$P$1678)=0,"",IF(('Dvd Calendar'!$P$1678&gt;=GRID_FROM)*('Dvd Calendar'!$P$1678&lt;=GRID_TO)*('Dvd Calendar'!$P$1678&gt;VAL_DATE)=0,"",'Dvd Calendar'!$P$1678*1000000000+ISNUMBER('Dvd Calendar'!$P$1679)*100000000+0*10000000+(N('Dvd Calendar'!$P$1677)&gt;0)*(N('Dvd Calendar'!$P$1677)&lt;=VAL_SERIAL)*1000000+11*1000+52))</f>
        <v/>
      </c>
      <c r="GE170" s="39">
        <f>IF(N('Dvd Calendar'!$Q$1678)=0,"",IF(('Dvd Calendar'!$Q$1678&gt;=GRID_FROM)*('Dvd Calendar'!$Q$1678&lt;=GRID_TO)*('Dvd Calendar'!$Q$1678&gt;VAL_DATE)=0,"",'Dvd Calendar'!$Q$1678*1000000000+ISNUMBER('Dvd Calendar'!$Q$1679)*100000000+0*10000000+(N('Dvd Calendar'!$Q$1677)&gt;0)*(N('Dvd Calendar'!$Q$1677)&lt;=VAL_SERIAL)*1000000+11*1000+53))</f>
        <v/>
      </c>
      <c r="GF170" s="39">
        <f>IF(N('Dvd Calendar'!$R$1678)=0,"",IF(('Dvd Calendar'!$R$1678&gt;=GRID_FROM)*('Dvd Calendar'!$R$1678&lt;=GRID_TO)*('Dvd Calendar'!$R$1678&gt;VAL_DATE)=0,"",'Dvd Calendar'!$R$1678*1000000000+ISNUMBER('Dvd Calendar'!$R$1679)*100000000+0*10000000+(N('Dvd Calendar'!$R$1677)&gt;0)*(N('Dvd Calendar'!$R$1677)&lt;=VAL_SERIAL)*1000000+11*1000+54))</f>
        <v/>
      </c>
      <c r="GG170" s="39">
        <f>IF(N('Dvd Calendar'!$S$1678)=0,"",IF(('Dvd Calendar'!$S$1678&gt;=GRID_FROM)*('Dvd Calendar'!$S$1678&lt;=GRID_TO)*('Dvd Calendar'!$S$1678&gt;VAL_DATE)=0,"",'Dvd Calendar'!$S$1678*1000000000+ISNUMBER('Dvd Calendar'!$S$1679)*100000000+0*10000000+(N('Dvd Calendar'!$S$1677)&gt;0)*(N('Dvd Calendar'!$S$1677)&lt;=VAL_SERIAL)*1000000+11*1000+55))</f>
        <v/>
      </c>
      <c r="GH170" s="39">
        <f>IF(N('Dvd Calendar'!$T$1678)=0,"",IF(('Dvd Calendar'!$T$1678&gt;=GRID_FROM)*('Dvd Calendar'!$T$1678&lt;=GRID_TO)*('Dvd Calendar'!$T$1678&gt;VAL_DATE)=0,"",'Dvd Calendar'!$T$1678*1000000000+ISNUMBER('Dvd Calendar'!$T$1679)*100000000+0*10000000+(N('Dvd Calendar'!$T$1677)&gt;0)*(N('Dvd Calendar'!$T$1677)&lt;=VAL_SERIAL)*1000000+11*1000+56))</f>
        <v/>
      </c>
      <c r="GI170" s="39">
        <f>IF(N('Dvd Calendar'!$U$1678)=0,"",IF(('Dvd Calendar'!$U$1678&gt;=GRID_FROM)*('Dvd Calendar'!$U$1678&lt;=GRID_TO)*('Dvd Calendar'!$U$1678&gt;VAL_DATE)=0,"",'Dvd Calendar'!$U$1678*1000000000+ISNUMBER('Dvd Calendar'!$U$1679)*100000000+0*10000000+(N('Dvd Calendar'!$U$1677)&gt;0)*(N('Dvd Calendar'!$U$1677)&lt;=VAL_SERIAL)*1000000+11*1000+57))</f>
        <v/>
      </c>
      <c r="GJ170" s="39">
        <f>IF(N('Dvd Calendar'!$V$1678)=0,"",IF(('Dvd Calendar'!$V$1678&gt;=GRID_FROM)*('Dvd Calendar'!$V$1678&lt;=GRID_TO)*('Dvd Calendar'!$V$1678&gt;VAL_DATE)=0,"",'Dvd Calendar'!$V$1678*1000000000+ISNUMBER('Dvd Calendar'!$V$1679)*100000000+0*10000000+(N('Dvd Calendar'!$V$1677)&gt;0)*(N('Dvd Calendar'!$V$1677)&lt;=VAL_SERIAL)*1000000+11*1000+58))</f>
        <v/>
      </c>
      <c r="GK170" s="39">
        <f>IF(N('Dvd Calendar'!$W$1678)=0,"",IF(('Dvd Calendar'!$W$1678&gt;=GRID_FROM)*('Dvd Calendar'!$W$1678&lt;=GRID_TO)*('Dvd Calendar'!$W$1678&gt;VAL_DATE)=0,"",'Dvd Calendar'!$W$1678*1000000000+ISNUMBER('Dvd Calendar'!$W$1679)*100000000+0*10000000+(N('Dvd Calendar'!$W$1677)&gt;0)*(N('Dvd Calendar'!$W$1677)&lt;=VAL_SERIAL)*1000000+11*1000+59))</f>
        <v/>
      </c>
      <c r="GL170" s="39">
        <f>IF(N('Dvd Calendar'!$X$1678)=0,"",IF(('Dvd Calendar'!$X$1678&gt;=GRID_FROM)*('Dvd Calendar'!$X$1678&lt;=GRID_TO)*('Dvd Calendar'!$X$1678&gt;VAL_DATE)=0,"",'Dvd Calendar'!$X$1678*1000000000+ISNUMBER('Dvd Calendar'!$X$1679)*100000000+0*10000000+(N('Dvd Calendar'!$X$1677)&gt;0)*(N('Dvd Calendar'!$X$1677)&lt;=VAL_SERIAL)*1000000+11*1000+60))</f>
        <v/>
      </c>
      <c r="GM170" s="39">
        <f>IF(N('Dvd Calendar'!$Y$1678)=0,"",IF(('Dvd Calendar'!$Y$1678&gt;=GRID_FROM)*('Dvd Calendar'!$Y$1678&lt;=GRID_TO)*('Dvd Calendar'!$Y$1678&gt;VAL_DATE)=0,"",'Dvd Calendar'!$Y$1678*1000000000+ISNUMBER('Dvd Calendar'!$Y$1679)*100000000+0*10000000+(N('Dvd Calendar'!$Y$1677)&gt;0)*(N('Dvd Calendar'!$Y$1677)&lt;=VAL_SERIAL)*1000000+11*1000+61))</f>
        <v/>
      </c>
      <c r="GN170" s="39">
        <f>IF(N('Dvd Calendar'!$Z$1678)=0,"",IF(('Dvd Calendar'!$Z$1678&gt;=GRID_FROM)*('Dvd Calendar'!$Z$1678&lt;=GRID_TO)*('Dvd Calendar'!$Z$1678&gt;VAL_DATE)=0,"",'Dvd Calendar'!$Z$1678*1000000000+ISNUMBER('Dvd Calendar'!$Z$1679)*100000000+0*10000000+(N('Dvd Calendar'!$Z$1677)&gt;0)*(N('Dvd Calendar'!$Z$1677)&lt;=VAL_SERIAL)*1000000+11*1000+62))</f>
        <v/>
      </c>
      <c r="GO170" s="39">
        <f>IF(N('Dvd Calendar'!$AA$1678)=0,"",IF(('Dvd Calendar'!$AA$1678&gt;=GRID_FROM)*('Dvd Calendar'!$AA$1678&lt;=GRID_TO)*('Dvd Calendar'!$AA$1678&gt;VAL_DATE)=0,"",'Dvd Calendar'!$AA$1678*1000000000+ISNUMBER('Dvd Calendar'!$AA$1679)*100000000+0*10000000+(N('Dvd Calendar'!$AA$1677)&gt;0)*(N('Dvd Calendar'!$AA$1677)&lt;=VAL_SERIAL)*1000000+11*1000+63))</f>
        <v/>
      </c>
      <c r="GP170" s="39">
        <f>IF(N('Dvd Calendar'!$AB$1678)=0,"",IF(('Dvd Calendar'!$AB$1678&gt;=GRID_FROM)*('Dvd Calendar'!$AB$1678&lt;=GRID_TO)*('Dvd Calendar'!$AB$1678&gt;VAL_DATE)=0,"",'Dvd Calendar'!$AB$1678*1000000000+ISNUMBER('Dvd Calendar'!$AB$1679)*100000000+0*10000000+(N('Dvd Calendar'!$AB$1677)&gt;0)*(N('Dvd Calendar'!$AB$1677)&lt;=VAL_SERIAL)*1000000+11*1000+64))</f>
        <v/>
      </c>
      <c r="GQ170" s="39">
        <f>IF(N('Dvd Calendar'!$AC$1678)=0,"",IF(('Dvd Calendar'!$AC$1678&gt;=GRID_FROM)*('Dvd Calendar'!$AC$1678&lt;=GRID_TO)*('Dvd Calendar'!$AC$1678&gt;VAL_DATE)=0,"",'Dvd Calendar'!$AC$1678*1000000000+ISNUMBER('Dvd Calendar'!$AC$1679)*100000000+0*10000000+(N('Dvd Calendar'!$AC$1677)&gt;0)*(N('Dvd Calendar'!$AC$1677)&lt;=VAL_SERIAL)*1000000+11*1000+65))</f>
        <v/>
      </c>
    </row>
    <row r="171">
      <c r="B171" s="2">
        <f>IF(HSCEI!$C$18="","",HSCEI!$C$18)</f>
        <v/>
      </c>
      <c r="C171" s="110">
        <f>IF(EE171="","",IF(ISNUMBER('Dvd Calendar'!$E$1685)=FALSE,"",IF((('Dvd Calendar'!$E$1687=TYPE1)*(TYPE1&lt;&gt;"")+('Dvd Calendar'!$E$1687=TYPE2)*(TYPE2&lt;&gt;"")+('Dvd Calendar'!$E$1687=TYPE3)*(TYPE3&lt;&gt;"")+('Dvd Calendar'!$E$1687=TYPE4)*(TYPE4&lt;&gt;"")+('Dvd Calendar'!$E$1687=SPECIAL_LBL)*(INC_SPECIALS="Y"))=0,"",'Dvd Calendar'!$E$1685)))</f>
        <v/>
      </c>
      <c r="D171" s="110">
        <f>IF(EF171="","",IF(ISNUMBER('Dvd Calendar'!$F$1685)=FALSE,"",IF((('Dvd Calendar'!$F$1687=TYPE1)*(TYPE1&lt;&gt;"")+('Dvd Calendar'!$F$1687=TYPE2)*(TYPE2&lt;&gt;"")+('Dvd Calendar'!$F$1687=TYPE3)*(TYPE3&lt;&gt;"")+('Dvd Calendar'!$F$1687=TYPE4)*(TYPE4&lt;&gt;"")+('Dvd Calendar'!$F$1687=SPECIAL_LBL)*(INC_SPECIALS="Y"))=0,"",'Dvd Calendar'!$F$1685)))</f>
        <v/>
      </c>
      <c r="E171" s="110">
        <f>IF(EG171="","",IF(ISNUMBER('Dvd Calendar'!$G$1685)=FALSE,"",IF((('Dvd Calendar'!$G$1687=TYPE1)*(TYPE1&lt;&gt;"")+('Dvd Calendar'!$G$1687=TYPE2)*(TYPE2&lt;&gt;"")+('Dvd Calendar'!$G$1687=TYPE3)*(TYPE3&lt;&gt;"")+('Dvd Calendar'!$G$1687=TYPE4)*(TYPE4&lt;&gt;"")+('Dvd Calendar'!$G$1687=SPECIAL_LBL)*(INC_SPECIALS="Y"))=0,"",'Dvd Calendar'!$G$1685)))</f>
        <v/>
      </c>
      <c r="F171" s="110">
        <f>IF(EH171="","",IF(ISNUMBER('Dvd Calendar'!$H$1685)=FALSE,"",IF((('Dvd Calendar'!$H$1687=TYPE1)*(TYPE1&lt;&gt;"")+('Dvd Calendar'!$H$1687=TYPE2)*(TYPE2&lt;&gt;"")+('Dvd Calendar'!$H$1687=TYPE3)*(TYPE3&lt;&gt;"")+('Dvd Calendar'!$H$1687=TYPE4)*(TYPE4&lt;&gt;"")+('Dvd Calendar'!$H$1687=SPECIAL_LBL)*(INC_SPECIALS="Y"))=0,"",'Dvd Calendar'!$H$1685)))</f>
        <v/>
      </c>
      <c r="G171" s="110">
        <f>IF(EI171="","",IF(ISNUMBER('Dvd Calendar'!$I$1685)=FALSE,"",IF((('Dvd Calendar'!$I$1687=TYPE1)*(TYPE1&lt;&gt;"")+('Dvd Calendar'!$I$1687=TYPE2)*(TYPE2&lt;&gt;"")+('Dvd Calendar'!$I$1687=TYPE3)*(TYPE3&lt;&gt;"")+('Dvd Calendar'!$I$1687=TYPE4)*(TYPE4&lt;&gt;"")+('Dvd Calendar'!$I$1687=SPECIAL_LBL)*(INC_SPECIALS="Y"))=0,"",'Dvd Calendar'!$I$1685)))</f>
        <v/>
      </c>
      <c r="H171" s="110">
        <f>IF(EJ171="","",IF(ISNUMBER('Dvd Calendar'!$J$1685)=FALSE,"",IF((('Dvd Calendar'!$J$1687=TYPE1)*(TYPE1&lt;&gt;"")+('Dvd Calendar'!$J$1687=TYPE2)*(TYPE2&lt;&gt;"")+('Dvd Calendar'!$J$1687=TYPE3)*(TYPE3&lt;&gt;"")+('Dvd Calendar'!$J$1687=TYPE4)*(TYPE4&lt;&gt;"")+('Dvd Calendar'!$J$1687=SPECIAL_LBL)*(INC_SPECIALS="Y"))=0,"",'Dvd Calendar'!$J$1685)))</f>
        <v/>
      </c>
      <c r="I171" s="110">
        <f>IF(EK171="","",IF(ISNUMBER('Dvd Calendar'!$K$1685)=FALSE,"",IF((('Dvd Calendar'!$K$1687=TYPE1)*(TYPE1&lt;&gt;"")+('Dvd Calendar'!$K$1687=TYPE2)*(TYPE2&lt;&gt;"")+('Dvd Calendar'!$K$1687=TYPE3)*(TYPE3&lt;&gt;"")+('Dvd Calendar'!$K$1687=TYPE4)*(TYPE4&lt;&gt;"")+('Dvd Calendar'!$K$1687=SPECIAL_LBL)*(INC_SPECIALS="Y"))=0,"",'Dvd Calendar'!$K$1685)))</f>
        <v/>
      </c>
      <c r="J171" s="110">
        <f>IF(EL171="","",IF(ISNUMBER('Dvd Calendar'!$L$1685)=FALSE,"",IF((('Dvd Calendar'!$L$1687=TYPE1)*(TYPE1&lt;&gt;"")+('Dvd Calendar'!$L$1687=TYPE2)*(TYPE2&lt;&gt;"")+('Dvd Calendar'!$L$1687=TYPE3)*(TYPE3&lt;&gt;"")+('Dvd Calendar'!$L$1687=TYPE4)*(TYPE4&lt;&gt;"")+('Dvd Calendar'!$L$1687=SPECIAL_LBL)*(INC_SPECIALS="Y"))=0,"",'Dvd Calendar'!$L$1685)))</f>
        <v/>
      </c>
      <c r="K171" s="110">
        <f>IF(EM171="","",IF(ISNUMBER('Dvd Calendar'!$M$1685)=FALSE,"",IF((('Dvd Calendar'!$M$1687=TYPE1)*(TYPE1&lt;&gt;"")+('Dvd Calendar'!$M$1687=TYPE2)*(TYPE2&lt;&gt;"")+('Dvd Calendar'!$M$1687=TYPE3)*(TYPE3&lt;&gt;"")+('Dvd Calendar'!$M$1687=TYPE4)*(TYPE4&lt;&gt;"")+('Dvd Calendar'!$M$1687=SPECIAL_LBL)*(INC_SPECIALS="Y"))=0,"",'Dvd Calendar'!$M$1685)))</f>
        <v/>
      </c>
      <c r="L171" s="110">
        <f>IF(EN171="","",IF(ISNUMBER('Dvd Calendar'!$N$1685)=FALSE,"",IF((('Dvd Calendar'!$N$1687=TYPE1)*(TYPE1&lt;&gt;"")+('Dvd Calendar'!$N$1687=TYPE2)*(TYPE2&lt;&gt;"")+('Dvd Calendar'!$N$1687=TYPE3)*(TYPE3&lt;&gt;"")+('Dvd Calendar'!$N$1687=TYPE4)*(TYPE4&lt;&gt;"")+('Dvd Calendar'!$N$1687=SPECIAL_LBL)*(INC_SPECIALS="Y"))=0,"",'Dvd Calendar'!$N$1685)))</f>
        <v/>
      </c>
      <c r="M171" s="110">
        <f>IF(EO171="","",IF(ISNUMBER('Dvd Calendar'!$O$1685)=FALSE,"",IF((('Dvd Calendar'!$O$1687=TYPE1)*(TYPE1&lt;&gt;"")+('Dvd Calendar'!$O$1687=TYPE2)*(TYPE2&lt;&gt;"")+('Dvd Calendar'!$O$1687=TYPE3)*(TYPE3&lt;&gt;"")+('Dvd Calendar'!$O$1687=TYPE4)*(TYPE4&lt;&gt;"")+('Dvd Calendar'!$O$1687=SPECIAL_LBL)*(INC_SPECIALS="Y"))=0,"",'Dvd Calendar'!$O$1685)))</f>
        <v/>
      </c>
      <c r="N171" s="110">
        <f>IF(EP171="","",IF(ISNUMBER('Dvd Calendar'!$P$1685)=FALSE,"",IF((('Dvd Calendar'!$P$1687=TYPE1)*(TYPE1&lt;&gt;"")+('Dvd Calendar'!$P$1687=TYPE2)*(TYPE2&lt;&gt;"")+('Dvd Calendar'!$P$1687=TYPE3)*(TYPE3&lt;&gt;"")+('Dvd Calendar'!$P$1687=TYPE4)*(TYPE4&lt;&gt;"")+('Dvd Calendar'!$P$1687=SPECIAL_LBL)*(INC_SPECIALS="Y"))=0,"",'Dvd Calendar'!$P$1685)))</f>
        <v/>
      </c>
      <c r="O171" s="110">
        <f>IF(EQ171="","",IF(ISNUMBER('Dvd Calendar'!$Q$1685)=FALSE,"",IF((('Dvd Calendar'!$Q$1687=TYPE1)*(TYPE1&lt;&gt;"")+('Dvd Calendar'!$Q$1687=TYPE2)*(TYPE2&lt;&gt;"")+('Dvd Calendar'!$Q$1687=TYPE3)*(TYPE3&lt;&gt;"")+('Dvd Calendar'!$Q$1687=TYPE4)*(TYPE4&lt;&gt;"")+('Dvd Calendar'!$Q$1687=SPECIAL_LBL)*(INC_SPECIALS="Y"))=0,"",'Dvd Calendar'!$Q$1685)))</f>
        <v/>
      </c>
      <c r="P171" s="110">
        <f>IF(ER171="","",IF(ISNUMBER('Dvd Calendar'!$R$1685)=FALSE,"",IF((('Dvd Calendar'!$R$1687=TYPE1)*(TYPE1&lt;&gt;"")+('Dvd Calendar'!$R$1687=TYPE2)*(TYPE2&lt;&gt;"")+('Dvd Calendar'!$R$1687=TYPE3)*(TYPE3&lt;&gt;"")+('Dvd Calendar'!$R$1687=TYPE4)*(TYPE4&lt;&gt;"")+('Dvd Calendar'!$R$1687=SPECIAL_LBL)*(INC_SPECIALS="Y"))=0,"",'Dvd Calendar'!$R$1685)))</f>
        <v/>
      </c>
      <c r="Q171" s="110">
        <f>IF(ES171="","",IF(ISNUMBER('Dvd Calendar'!$S$1685)=FALSE,"",IF((('Dvd Calendar'!$S$1687=TYPE1)*(TYPE1&lt;&gt;"")+('Dvd Calendar'!$S$1687=TYPE2)*(TYPE2&lt;&gt;"")+('Dvd Calendar'!$S$1687=TYPE3)*(TYPE3&lt;&gt;"")+('Dvd Calendar'!$S$1687=TYPE4)*(TYPE4&lt;&gt;"")+('Dvd Calendar'!$S$1687=SPECIAL_LBL)*(INC_SPECIALS="Y"))=0,"",'Dvd Calendar'!$S$1685)))</f>
        <v/>
      </c>
      <c r="R171" s="110">
        <f>IF(ET171="","",IF(ISNUMBER('Dvd Calendar'!$T$1685)=FALSE,"",IF((('Dvd Calendar'!$T$1687=TYPE1)*(TYPE1&lt;&gt;"")+('Dvd Calendar'!$T$1687=TYPE2)*(TYPE2&lt;&gt;"")+('Dvd Calendar'!$T$1687=TYPE3)*(TYPE3&lt;&gt;"")+('Dvd Calendar'!$T$1687=TYPE4)*(TYPE4&lt;&gt;"")+('Dvd Calendar'!$T$1687=SPECIAL_LBL)*(INC_SPECIALS="Y"))=0,"",'Dvd Calendar'!$T$1685)))</f>
        <v/>
      </c>
      <c r="S171" s="110">
        <f>IF(EU171="","",IF(ISNUMBER('Dvd Calendar'!$U$1685)=FALSE,"",IF((('Dvd Calendar'!$U$1687=TYPE1)*(TYPE1&lt;&gt;"")+('Dvd Calendar'!$U$1687=TYPE2)*(TYPE2&lt;&gt;"")+('Dvd Calendar'!$U$1687=TYPE3)*(TYPE3&lt;&gt;"")+('Dvd Calendar'!$U$1687=TYPE4)*(TYPE4&lt;&gt;"")+('Dvd Calendar'!$U$1687=SPECIAL_LBL)*(INC_SPECIALS="Y"))=0,"",'Dvd Calendar'!$U$1685)))</f>
        <v/>
      </c>
      <c r="T171" s="110">
        <f>IF(EV171="","",IF(ISNUMBER('Dvd Calendar'!$V$1685)=FALSE,"",IF((('Dvd Calendar'!$V$1687=TYPE1)*(TYPE1&lt;&gt;"")+('Dvd Calendar'!$V$1687=TYPE2)*(TYPE2&lt;&gt;"")+('Dvd Calendar'!$V$1687=TYPE3)*(TYPE3&lt;&gt;"")+('Dvd Calendar'!$V$1687=TYPE4)*(TYPE4&lt;&gt;"")+('Dvd Calendar'!$V$1687=SPECIAL_LBL)*(INC_SPECIALS="Y"))=0,"",'Dvd Calendar'!$V$1685)))</f>
        <v/>
      </c>
      <c r="U171" s="110">
        <f>IF(EW171="","",IF(ISNUMBER('Dvd Calendar'!$W$1685)=FALSE,"",IF((('Dvd Calendar'!$W$1687=TYPE1)*(TYPE1&lt;&gt;"")+('Dvd Calendar'!$W$1687=TYPE2)*(TYPE2&lt;&gt;"")+('Dvd Calendar'!$W$1687=TYPE3)*(TYPE3&lt;&gt;"")+('Dvd Calendar'!$W$1687=TYPE4)*(TYPE4&lt;&gt;"")+('Dvd Calendar'!$W$1687=SPECIAL_LBL)*(INC_SPECIALS="Y"))=0,"",'Dvd Calendar'!$W$1685)))</f>
        <v/>
      </c>
      <c r="V171" s="110">
        <f>IF(EX171="","",IF(ISNUMBER('Dvd Calendar'!$X$1685)=FALSE,"",IF((('Dvd Calendar'!$X$1687=TYPE1)*(TYPE1&lt;&gt;"")+('Dvd Calendar'!$X$1687=TYPE2)*(TYPE2&lt;&gt;"")+('Dvd Calendar'!$X$1687=TYPE3)*(TYPE3&lt;&gt;"")+('Dvd Calendar'!$X$1687=TYPE4)*(TYPE4&lt;&gt;"")+('Dvd Calendar'!$X$1687=SPECIAL_LBL)*(INC_SPECIALS="Y"))=0,"",'Dvd Calendar'!$X$1685)))</f>
        <v/>
      </c>
      <c r="W171" s="110">
        <f>IF(EY171="","",IF(ISNUMBER('Dvd Calendar'!$Y$1685)=FALSE,"",IF((('Dvd Calendar'!$Y$1687=TYPE1)*(TYPE1&lt;&gt;"")+('Dvd Calendar'!$Y$1687=TYPE2)*(TYPE2&lt;&gt;"")+('Dvd Calendar'!$Y$1687=TYPE3)*(TYPE3&lt;&gt;"")+('Dvd Calendar'!$Y$1687=TYPE4)*(TYPE4&lt;&gt;"")+('Dvd Calendar'!$Y$1687=SPECIAL_LBL)*(INC_SPECIALS="Y"))=0,"",'Dvd Calendar'!$Y$1685)))</f>
        <v/>
      </c>
      <c r="X171" s="110">
        <f>IF(EZ171="","",IF(ISNUMBER('Dvd Calendar'!$Z$1685)=FALSE,"",IF((('Dvd Calendar'!$Z$1687=TYPE1)*(TYPE1&lt;&gt;"")+('Dvd Calendar'!$Z$1687=TYPE2)*(TYPE2&lt;&gt;"")+('Dvd Calendar'!$Z$1687=TYPE3)*(TYPE3&lt;&gt;"")+('Dvd Calendar'!$Z$1687=TYPE4)*(TYPE4&lt;&gt;"")+('Dvd Calendar'!$Z$1687=SPECIAL_LBL)*(INC_SPECIALS="Y"))=0,"",'Dvd Calendar'!$Z$1685)))</f>
        <v/>
      </c>
      <c r="Y171" s="110">
        <f>IF(FA171="","",IF(ISNUMBER('Dvd Calendar'!$AA$1685)=FALSE,"",IF((('Dvd Calendar'!$AA$1687=TYPE1)*(TYPE1&lt;&gt;"")+('Dvd Calendar'!$AA$1687=TYPE2)*(TYPE2&lt;&gt;"")+('Dvd Calendar'!$AA$1687=TYPE3)*(TYPE3&lt;&gt;"")+('Dvd Calendar'!$AA$1687=TYPE4)*(TYPE4&lt;&gt;"")+('Dvd Calendar'!$AA$1687=SPECIAL_LBL)*(INC_SPECIALS="Y"))=0,"",'Dvd Calendar'!$AA$1685)))</f>
        <v/>
      </c>
      <c r="Z171" s="110">
        <f>IF(FB171="","",IF(ISNUMBER('Dvd Calendar'!$AB$1685)=FALSE,"",IF((('Dvd Calendar'!$AB$1687=TYPE1)*(TYPE1&lt;&gt;"")+('Dvd Calendar'!$AB$1687=TYPE2)*(TYPE2&lt;&gt;"")+('Dvd Calendar'!$AB$1687=TYPE3)*(TYPE3&lt;&gt;"")+('Dvd Calendar'!$AB$1687=TYPE4)*(TYPE4&lt;&gt;"")+('Dvd Calendar'!$AB$1687=SPECIAL_LBL)*(INC_SPECIALS="Y"))=0,"",'Dvd Calendar'!$AB$1685)))</f>
        <v/>
      </c>
      <c r="AA171" s="110">
        <f>IF(FC171="","",IF(ISNUMBER('Dvd Calendar'!$AC$1685)=FALSE,"",IF((('Dvd Calendar'!$AC$1687=TYPE1)*(TYPE1&lt;&gt;"")+('Dvd Calendar'!$AC$1687=TYPE2)*(TYPE2&lt;&gt;"")+('Dvd Calendar'!$AC$1687=TYPE3)*(TYPE3&lt;&gt;"")+('Dvd Calendar'!$AC$1687=TYPE4)*(TYPE4&lt;&gt;"")+('Dvd Calendar'!$AC$1687=SPECIAL_LBL)*(INC_SPECIALS="Y"))=0,"",'Dvd Calendar'!$AC$1685)))</f>
        <v/>
      </c>
      <c r="AB171" s="110">
        <f>IF(FD171="","",IF(ISNUMBER('Dvd Calendar'!$AD$1685)=FALSE,"",IF((('Dvd Calendar'!$AD$1687=TYPE1)*(TYPE1&lt;&gt;"")+('Dvd Calendar'!$AD$1687=TYPE2)*(TYPE2&lt;&gt;"")+('Dvd Calendar'!$AD$1687=TYPE3)*(TYPE3&lt;&gt;"")+('Dvd Calendar'!$AD$1687=TYPE4)*(TYPE4&lt;&gt;"")+('Dvd Calendar'!$AD$1687=SPECIAL_LBL)*(INC_SPECIALS="Y"))=0,"",'Dvd Calendar'!$AD$1685)))</f>
        <v/>
      </c>
      <c r="AC171" s="110">
        <f>IF(FE171="","",IF(ISNUMBER('Dvd Calendar'!$AE$1685)=FALSE,"",IF((('Dvd Calendar'!$AE$1687=TYPE1)*(TYPE1&lt;&gt;"")+('Dvd Calendar'!$AE$1687=TYPE2)*(TYPE2&lt;&gt;"")+('Dvd Calendar'!$AE$1687=TYPE3)*(TYPE3&lt;&gt;"")+('Dvd Calendar'!$AE$1687=TYPE4)*(TYPE4&lt;&gt;"")+('Dvd Calendar'!$AE$1687=SPECIAL_LBL)*(INC_SPECIALS="Y"))=0,"",'Dvd Calendar'!$AE$1685)))</f>
        <v/>
      </c>
      <c r="AD171" s="110">
        <f>IF(FF171="","",IF(ISNUMBER('Dvd Calendar'!$AF$1685)=FALSE,"",IF((('Dvd Calendar'!$AF$1687=TYPE1)*(TYPE1&lt;&gt;"")+('Dvd Calendar'!$AF$1687=TYPE2)*(TYPE2&lt;&gt;"")+('Dvd Calendar'!$AF$1687=TYPE3)*(TYPE3&lt;&gt;"")+('Dvd Calendar'!$AF$1687=TYPE4)*(TYPE4&lt;&gt;"")+('Dvd Calendar'!$AF$1687=SPECIAL_LBL)*(INC_SPECIALS="Y"))=0,"",'Dvd Calendar'!$AF$1685)))</f>
        <v/>
      </c>
      <c r="AE171" s="110">
        <f>IF(FG171="","",IF(ISNUMBER('Dvd Calendar'!$AG$1685)=FALSE,"",IF((('Dvd Calendar'!$AG$1687=TYPE1)*(TYPE1&lt;&gt;"")+('Dvd Calendar'!$AG$1687=TYPE2)*(TYPE2&lt;&gt;"")+('Dvd Calendar'!$AG$1687=TYPE3)*(TYPE3&lt;&gt;"")+('Dvd Calendar'!$AG$1687=TYPE4)*(TYPE4&lt;&gt;"")+('Dvd Calendar'!$AG$1687=SPECIAL_LBL)*(INC_SPECIALS="Y"))=0,"",'Dvd Calendar'!$AG$1685)))</f>
        <v/>
      </c>
      <c r="AF171" s="110">
        <f>IF(FH171="","",IF(ISNUMBER('Dvd Calendar'!$AH$1685)=FALSE,"",IF((('Dvd Calendar'!$AH$1687=TYPE1)*(TYPE1&lt;&gt;"")+('Dvd Calendar'!$AH$1687=TYPE2)*(TYPE2&lt;&gt;"")+('Dvd Calendar'!$AH$1687=TYPE3)*(TYPE3&lt;&gt;"")+('Dvd Calendar'!$AH$1687=TYPE4)*(TYPE4&lt;&gt;"")+('Dvd Calendar'!$AH$1687=SPECIAL_LBL)*(INC_SPECIALS="Y"))=0,"",'Dvd Calendar'!$AH$1685)))</f>
        <v/>
      </c>
      <c r="AG171" s="110">
        <f>IF(FI171="","",IF(ISNUMBER('Dvd Calendar'!$AI$1685)=FALSE,"",IF((('Dvd Calendar'!$AI$1687=TYPE1)*(TYPE1&lt;&gt;"")+('Dvd Calendar'!$AI$1687=TYPE2)*(TYPE2&lt;&gt;"")+('Dvd Calendar'!$AI$1687=TYPE3)*(TYPE3&lt;&gt;"")+('Dvd Calendar'!$AI$1687=TYPE4)*(TYPE4&lt;&gt;"")+('Dvd Calendar'!$AI$1687=SPECIAL_LBL)*(INC_SPECIALS="Y"))=0,"",'Dvd Calendar'!$AI$1685)))</f>
        <v/>
      </c>
      <c r="AH171" s="110">
        <f>IF(FJ171="","",IF(ISNUMBER('Dvd Calendar'!$AJ$1685)=FALSE,"",IF((('Dvd Calendar'!$AJ$1687=TYPE1)*(TYPE1&lt;&gt;"")+('Dvd Calendar'!$AJ$1687=TYPE2)*(TYPE2&lt;&gt;"")+('Dvd Calendar'!$AJ$1687=TYPE3)*(TYPE3&lt;&gt;"")+('Dvd Calendar'!$AJ$1687=TYPE4)*(TYPE4&lt;&gt;"")+('Dvd Calendar'!$AJ$1687=SPECIAL_LBL)*(INC_SPECIALS="Y"))=0,"",'Dvd Calendar'!$AJ$1685)))</f>
        <v/>
      </c>
      <c r="AI171" s="110">
        <f>IF(FK171="","",IF(ISNUMBER('Dvd Calendar'!$AK$1685)=FALSE,"",IF((('Dvd Calendar'!$AK$1687=TYPE1)*(TYPE1&lt;&gt;"")+('Dvd Calendar'!$AK$1687=TYPE2)*(TYPE2&lt;&gt;"")+('Dvd Calendar'!$AK$1687=TYPE3)*(TYPE3&lt;&gt;"")+('Dvd Calendar'!$AK$1687=TYPE4)*(TYPE4&lt;&gt;"")+('Dvd Calendar'!$AK$1687=SPECIAL_LBL)*(INC_SPECIALS="Y"))=0,"",'Dvd Calendar'!$AK$1685)))</f>
        <v/>
      </c>
      <c r="AJ171" s="110">
        <f>IF(FL171="","",IF(ISNUMBER('Dvd Calendar'!$AL$1685)=FALSE,"",IF((('Dvd Calendar'!$AL$1687=TYPE1)*(TYPE1&lt;&gt;"")+('Dvd Calendar'!$AL$1687=TYPE2)*(TYPE2&lt;&gt;"")+('Dvd Calendar'!$AL$1687=TYPE3)*(TYPE3&lt;&gt;"")+('Dvd Calendar'!$AL$1687=TYPE4)*(TYPE4&lt;&gt;"")+('Dvd Calendar'!$AL$1687=SPECIAL_LBL)*(INC_SPECIALS="Y"))=0,"",'Dvd Calendar'!$AL$1685)))</f>
        <v/>
      </c>
      <c r="AK171" s="110">
        <f>IF(FM171="","",IF(ISNUMBER('Dvd Calendar'!$AM$1685)=FALSE,"",IF((('Dvd Calendar'!$AM$1687=TYPE1)*(TYPE1&lt;&gt;"")+('Dvd Calendar'!$AM$1687=TYPE2)*(TYPE2&lt;&gt;"")+('Dvd Calendar'!$AM$1687=TYPE3)*(TYPE3&lt;&gt;"")+('Dvd Calendar'!$AM$1687=TYPE4)*(TYPE4&lt;&gt;"")+('Dvd Calendar'!$AM$1687=SPECIAL_LBL)*(INC_SPECIALS="Y"))=0,"",'Dvd Calendar'!$AM$1685)))</f>
        <v/>
      </c>
      <c r="AL171" s="110">
        <f>IF(FN171="","",IF(ISNUMBER('Dvd Calendar'!$AN$1685)=FALSE,"",IF((('Dvd Calendar'!$AN$1687=TYPE1)*(TYPE1&lt;&gt;"")+('Dvd Calendar'!$AN$1687=TYPE2)*(TYPE2&lt;&gt;"")+('Dvd Calendar'!$AN$1687=TYPE3)*(TYPE3&lt;&gt;"")+('Dvd Calendar'!$AN$1687=TYPE4)*(TYPE4&lt;&gt;"")+('Dvd Calendar'!$AN$1687=SPECIAL_LBL)*(INC_SPECIALS="Y"))=0,"",'Dvd Calendar'!$AN$1685)))</f>
        <v/>
      </c>
      <c r="AM171" s="110">
        <f>IF(FO171="","",IF(ISNUMBER('Dvd Calendar'!$AO$1685)=FALSE,"",IF((('Dvd Calendar'!$AO$1687=TYPE1)*(TYPE1&lt;&gt;"")+('Dvd Calendar'!$AO$1687=TYPE2)*(TYPE2&lt;&gt;"")+('Dvd Calendar'!$AO$1687=TYPE3)*(TYPE3&lt;&gt;"")+('Dvd Calendar'!$AO$1687=TYPE4)*(TYPE4&lt;&gt;"")+('Dvd Calendar'!$AO$1687=SPECIAL_LBL)*(INC_SPECIALS="Y"))=0,"",'Dvd Calendar'!$AO$1685)))</f>
        <v/>
      </c>
      <c r="AN171" s="110">
        <f>IF(FP171="","",IF(ISNUMBER('Dvd Calendar'!$AP$1685)=FALSE,"",IF((('Dvd Calendar'!$AP$1687=TYPE1)*(TYPE1&lt;&gt;"")+('Dvd Calendar'!$AP$1687=TYPE2)*(TYPE2&lt;&gt;"")+('Dvd Calendar'!$AP$1687=TYPE3)*(TYPE3&lt;&gt;"")+('Dvd Calendar'!$AP$1687=TYPE4)*(TYPE4&lt;&gt;"")+('Dvd Calendar'!$AP$1687=SPECIAL_LBL)*(INC_SPECIALS="Y"))=0,"",'Dvd Calendar'!$AP$1685)))</f>
        <v/>
      </c>
      <c r="AO171" s="110">
        <f>IF(FQ171="","",IF(ISNUMBER('Dvd Calendar'!$AQ$1685)=FALSE,"",IF((('Dvd Calendar'!$AQ$1687=TYPE1)*(TYPE1&lt;&gt;"")+('Dvd Calendar'!$AQ$1687=TYPE2)*(TYPE2&lt;&gt;"")+('Dvd Calendar'!$AQ$1687=TYPE3)*(TYPE3&lt;&gt;"")+('Dvd Calendar'!$AQ$1687=TYPE4)*(TYPE4&lt;&gt;"")+('Dvd Calendar'!$AQ$1687=SPECIAL_LBL)*(INC_SPECIALS="Y"))=0,"",'Dvd Calendar'!$AQ$1685)))</f>
        <v/>
      </c>
      <c r="AP171" s="110">
        <f>IF(FR171="","",IF(ISNUMBER('Dvd Calendar'!$AR$1685)=FALSE,"",IF((('Dvd Calendar'!$AR$1687=TYPE1)*(TYPE1&lt;&gt;"")+('Dvd Calendar'!$AR$1687=TYPE2)*(TYPE2&lt;&gt;"")+('Dvd Calendar'!$AR$1687=TYPE3)*(TYPE3&lt;&gt;"")+('Dvd Calendar'!$AR$1687=TYPE4)*(TYPE4&lt;&gt;"")+('Dvd Calendar'!$AR$1687=SPECIAL_LBL)*(INC_SPECIALS="Y"))=0,"",'Dvd Calendar'!$AR$1685)))</f>
        <v/>
      </c>
      <c r="AQ171" s="110">
        <f>IF(FS171="","",IF(ISNUMBER('Dvd Calendar'!$E$1690)=FALSE,"",'Dvd Calendar'!$E$1690))</f>
        <v/>
      </c>
      <c r="AR171" s="110">
        <f>IF(FT171="","",IF(ISNUMBER('Dvd Calendar'!$F$1690)=FALSE,"",'Dvd Calendar'!$F$1690))</f>
        <v/>
      </c>
      <c r="AS171" s="110">
        <f>IF(FU171="","",IF(ISNUMBER('Dvd Calendar'!$G$1690)=FALSE,"",'Dvd Calendar'!$G$1690))</f>
        <v/>
      </c>
      <c r="AT171" s="110">
        <f>IF(FV171="","",IF(ISNUMBER('Dvd Calendar'!$H$1690)=FALSE,"",'Dvd Calendar'!$H$1690))</f>
        <v/>
      </c>
      <c r="AU171" s="110">
        <f>IF(FW171="","",IF(ISNUMBER('Dvd Calendar'!$I$1690)=FALSE,"",'Dvd Calendar'!$I$1690))</f>
        <v/>
      </c>
      <c r="AV171" s="110">
        <f>IF(FX171="","",IF(ISNUMBER('Dvd Calendar'!$J$1690)=FALSE,"",'Dvd Calendar'!$J$1690))</f>
        <v/>
      </c>
      <c r="AW171" s="110">
        <f>IF(FY171="","",IF(ISNUMBER('Dvd Calendar'!$K$1690)=FALSE,"",'Dvd Calendar'!$K$1690))</f>
        <v/>
      </c>
      <c r="AX171" s="110">
        <f>IF(FZ171="","",IF(ISNUMBER('Dvd Calendar'!$L$1690)=FALSE,"",'Dvd Calendar'!$L$1690))</f>
        <v/>
      </c>
      <c r="AY171" s="110">
        <f>IF(GA171="","",IF(ISNUMBER('Dvd Calendar'!$M$1690)=FALSE,"",'Dvd Calendar'!$M$1690))</f>
        <v/>
      </c>
      <c r="AZ171" s="110">
        <f>IF(GB171="","",IF(ISNUMBER('Dvd Calendar'!$N$1690)=FALSE,"",'Dvd Calendar'!$N$1690))</f>
        <v/>
      </c>
      <c r="BA171" s="110">
        <f>IF(GC171="","",IF(ISNUMBER('Dvd Calendar'!$O$1690)=FALSE,"",'Dvd Calendar'!$O$1690))</f>
        <v/>
      </c>
      <c r="BB171" s="110">
        <f>IF(GD171="","",IF(ISNUMBER('Dvd Calendar'!$P$1690)=FALSE,"",'Dvd Calendar'!$P$1690))</f>
        <v/>
      </c>
      <c r="BC171" s="110">
        <f>IF(GE171="","",IF(ISNUMBER('Dvd Calendar'!$Q$1690)=FALSE,"",'Dvd Calendar'!$Q$1690))</f>
        <v/>
      </c>
      <c r="BD171" s="110">
        <f>IF(GF171="","",IF(ISNUMBER('Dvd Calendar'!$R$1690)=FALSE,"",'Dvd Calendar'!$R$1690))</f>
        <v/>
      </c>
      <c r="BE171" s="110">
        <f>IF(GG171="","",IF(ISNUMBER('Dvd Calendar'!$S$1690)=FALSE,"",'Dvd Calendar'!$S$1690))</f>
        <v/>
      </c>
      <c r="BF171" s="110">
        <f>IF(GH171="","",IF(ISNUMBER('Dvd Calendar'!$T$1690)=FALSE,"",'Dvd Calendar'!$T$1690))</f>
        <v/>
      </c>
      <c r="BG171" s="110">
        <f>IF(GI171="","",IF(ISNUMBER('Dvd Calendar'!$U$1690)=FALSE,"",'Dvd Calendar'!$U$1690))</f>
        <v/>
      </c>
      <c r="BH171" s="110">
        <f>IF(GJ171="","",IF(ISNUMBER('Dvd Calendar'!$V$1690)=FALSE,"",'Dvd Calendar'!$V$1690))</f>
        <v/>
      </c>
      <c r="BI171" s="110">
        <f>IF(GK171="","",IF(ISNUMBER('Dvd Calendar'!$W$1690)=FALSE,"",'Dvd Calendar'!$W$1690))</f>
        <v/>
      </c>
      <c r="BJ171" s="110">
        <f>IF(GL171="","",IF(ISNUMBER('Dvd Calendar'!$X$1690)=FALSE,"",'Dvd Calendar'!$X$1690))</f>
        <v/>
      </c>
      <c r="BK171" s="110">
        <f>IF(GM171="","",IF(ISNUMBER('Dvd Calendar'!$Y$1690)=FALSE,"",'Dvd Calendar'!$Y$1690))</f>
        <v/>
      </c>
      <c r="BL171" s="110">
        <f>IF(GN171="","",IF(ISNUMBER('Dvd Calendar'!$Z$1690)=FALSE,"",'Dvd Calendar'!$Z$1690))</f>
        <v/>
      </c>
      <c r="BM171" s="110">
        <f>IF(GO171="","",IF(ISNUMBER('Dvd Calendar'!$AA$1690)=FALSE,"",'Dvd Calendar'!$AA$1690))</f>
        <v/>
      </c>
      <c r="BN171" s="110">
        <f>IF(GP171="","",IF(ISNUMBER('Dvd Calendar'!$AB$1690)=FALSE,"",'Dvd Calendar'!$AB$1690))</f>
        <v/>
      </c>
      <c r="BO171" s="110">
        <f>IF(GQ171="","",IF(ISNUMBER('Dvd Calendar'!$AC$1690)=FALSE,"",'Dvd Calendar'!$AC$1690))</f>
        <v/>
      </c>
      <c r="BQ171" s="110">
        <f>IF(C171="","",IFERROR(C171*HSCEI!$B$18*HSCEI!$G$18/HSCEI!$B$3,""))</f>
        <v/>
      </c>
      <c r="BR171" s="110">
        <f>IF(D171="","",IFERROR(D171*HSCEI!$B$18*HSCEI!$G$18/HSCEI!$B$3,""))</f>
        <v/>
      </c>
      <c r="BS171" s="110">
        <f>IF(E171="","",IFERROR(E171*HSCEI!$B$18*HSCEI!$G$18/HSCEI!$B$3,""))</f>
        <v/>
      </c>
      <c r="BT171" s="110">
        <f>IF(F171="","",IFERROR(F171*HSCEI!$B$18*HSCEI!$G$18/HSCEI!$B$3,""))</f>
        <v/>
      </c>
      <c r="BU171" s="110">
        <f>IF(G171="","",IFERROR(G171*HSCEI!$B$18*HSCEI!$G$18/HSCEI!$B$3,""))</f>
        <v/>
      </c>
      <c r="BV171" s="110">
        <f>IF(H171="","",IFERROR(H171*HSCEI!$B$18*HSCEI!$G$18/HSCEI!$B$3,""))</f>
        <v/>
      </c>
      <c r="BW171" s="110">
        <f>IF(I171="","",IFERROR(I171*HSCEI!$B$18*HSCEI!$G$18/HSCEI!$B$3,""))</f>
        <v/>
      </c>
      <c r="BX171" s="110">
        <f>IF(J171="","",IFERROR(J171*HSCEI!$B$18*HSCEI!$G$18/HSCEI!$B$3,""))</f>
        <v/>
      </c>
      <c r="BY171" s="110">
        <f>IF(K171="","",IFERROR(K171*HSCEI!$B$18*HSCEI!$G$18/HSCEI!$B$3,""))</f>
        <v/>
      </c>
      <c r="BZ171" s="110">
        <f>IF(L171="","",IFERROR(L171*HSCEI!$B$18*HSCEI!$G$18/HSCEI!$B$3,""))</f>
        <v/>
      </c>
      <c r="CA171" s="110">
        <f>IF(M171="","",IFERROR(M171*HSCEI!$B$18*HSCEI!$G$18/HSCEI!$B$3,""))</f>
        <v/>
      </c>
      <c r="CB171" s="110">
        <f>IF(N171="","",IFERROR(N171*HSCEI!$B$18*HSCEI!$G$18/HSCEI!$B$3,""))</f>
        <v/>
      </c>
      <c r="CC171" s="110">
        <f>IF(O171="","",IFERROR(O171*HSCEI!$B$18*HSCEI!$G$18/HSCEI!$B$3,""))</f>
        <v/>
      </c>
      <c r="CD171" s="110">
        <f>IF(P171="","",IFERROR(P171*HSCEI!$B$18*HSCEI!$G$18/HSCEI!$B$3,""))</f>
        <v/>
      </c>
      <c r="CE171" s="110">
        <f>IF(Q171="","",IFERROR(Q171*HSCEI!$B$18*HSCEI!$G$18/HSCEI!$B$3,""))</f>
        <v/>
      </c>
      <c r="CF171" s="110">
        <f>IF(R171="","",IFERROR(R171*HSCEI!$B$18*HSCEI!$G$18/HSCEI!$B$3,""))</f>
        <v/>
      </c>
      <c r="CG171" s="110">
        <f>IF(S171="","",IFERROR(S171*HSCEI!$B$18*HSCEI!$G$18/HSCEI!$B$3,""))</f>
        <v/>
      </c>
      <c r="CH171" s="110">
        <f>IF(T171="","",IFERROR(T171*HSCEI!$B$18*HSCEI!$G$18/HSCEI!$B$3,""))</f>
        <v/>
      </c>
      <c r="CI171" s="110">
        <f>IF(U171="","",IFERROR(U171*HSCEI!$B$18*HSCEI!$G$18/HSCEI!$B$3,""))</f>
        <v/>
      </c>
      <c r="CJ171" s="110">
        <f>IF(V171="","",IFERROR(V171*HSCEI!$B$18*HSCEI!$G$18/HSCEI!$B$3,""))</f>
        <v/>
      </c>
      <c r="CK171" s="110">
        <f>IF(W171="","",IFERROR(W171*HSCEI!$B$18*HSCEI!$G$18/HSCEI!$B$3,""))</f>
        <v/>
      </c>
      <c r="CL171" s="110">
        <f>IF(X171="","",IFERROR(X171*HSCEI!$B$18*HSCEI!$G$18/HSCEI!$B$3,""))</f>
        <v/>
      </c>
      <c r="CM171" s="110">
        <f>IF(Y171="","",IFERROR(Y171*HSCEI!$B$18*HSCEI!$G$18/HSCEI!$B$3,""))</f>
        <v/>
      </c>
      <c r="CN171" s="110">
        <f>IF(Z171="","",IFERROR(Z171*HSCEI!$B$18*HSCEI!$G$18/HSCEI!$B$3,""))</f>
        <v/>
      </c>
      <c r="CO171" s="110">
        <f>IF(AA171="","",IFERROR(AA171*HSCEI!$B$18*HSCEI!$G$18/HSCEI!$B$3,""))</f>
        <v/>
      </c>
      <c r="CP171" s="110">
        <f>IF(AB171="","",IFERROR(AB171*HSCEI!$B$18*HSCEI!$G$18/HSCEI!$B$3,""))</f>
        <v/>
      </c>
      <c r="CQ171" s="110">
        <f>IF(AC171="","",IFERROR(AC171*HSCEI!$B$18*HSCEI!$G$18/HSCEI!$B$3,""))</f>
        <v/>
      </c>
      <c r="CR171" s="110">
        <f>IF(AD171="","",IFERROR(AD171*HSCEI!$B$18*HSCEI!$G$18/HSCEI!$B$3,""))</f>
        <v/>
      </c>
      <c r="CS171" s="110">
        <f>IF(AE171="","",IFERROR(AE171*HSCEI!$B$18*HSCEI!$G$18/HSCEI!$B$3,""))</f>
        <v/>
      </c>
      <c r="CT171" s="110">
        <f>IF(AF171="","",IFERROR(AF171*HSCEI!$B$18*HSCEI!$G$18/HSCEI!$B$3,""))</f>
        <v/>
      </c>
      <c r="CU171" s="110">
        <f>IF(AG171="","",IFERROR(AG171*HSCEI!$B$18*HSCEI!$G$18/HSCEI!$B$3,""))</f>
        <v/>
      </c>
      <c r="CV171" s="110">
        <f>IF(AH171="","",IFERROR(AH171*HSCEI!$B$18*HSCEI!$G$18/HSCEI!$B$3,""))</f>
        <v/>
      </c>
      <c r="CW171" s="110">
        <f>IF(AI171="","",IFERROR(AI171*HSCEI!$B$18*HSCEI!$G$18/HSCEI!$B$3,""))</f>
        <v/>
      </c>
      <c r="CX171" s="110">
        <f>IF(AJ171="","",IFERROR(AJ171*HSCEI!$B$18*HSCEI!$G$18/HSCEI!$B$3,""))</f>
        <v/>
      </c>
      <c r="CY171" s="110">
        <f>IF(AK171="","",IFERROR(AK171*HSCEI!$B$18*HSCEI!$G$18/HSCEI!$B$3,""))</f>
        <v/>
      </c>
      <c r="CZ171" s="110">
        <f>IF(AL171="","",IFERROR(AL171*HSCEI!$B$18*HSCEI!$G$18/HSCEI!$B$3,""))</f>
        <v/>
      </c>
      <c r="DA171" s="110">
        <f>IF(AM171="","",IFERROR(AM171*HSCEI!$B$18*HSCEI!$G$18/HSCEI!$B$3,""))</f>
        <v/>
      </c>
      <c r="DB171" s="110">
        <f>IF(AN171="","",IFERROR(AN171*HSCEI!$B$18*HSCEI!$G$18/HSCEI!$B$3,""))</f>
        <v/>
      </c>
      <c r="DC171" s="110">
        <f>IF(AO171="","",IFERROR(AO171*HSCEI!$B$18*HSCEI!$G$18/HSCEI!$B$3,""))</f>
        <v/>
      </c>
      <c r="DD171" s="110">
        <f>IF(AP171="","",IFERROR(AP171*HSCEI!$B$18*HSCEI!$G$18/HSCEI!$B$3,""))</f>
        <v/>
      </c>
      <c r="DE171" s="110">
        <f>IF(AQ171="","",IFERROR(AQ171*HSCEI!$B$18*HSCEI!$G$18/HSCEI!$B$3,""))</f>
        <v/>
      </c>
      <c r="DF171" s="110">
        <f>IF(AR171="","",IFERROR(AR171*HSCEI!$B$18*HSCEI!$G$18/HSCEI!$B$3,""))</f>
        <v/>
      </c>
      <c r="DG171" s="110">
        <f>IF(AS171="","",IFERROR(AS171*HSCEI!$B$18*HSCEI!$G$18/HSCEI!$B$3,""))</f>
        <v/>
      </c>
      <c r="DH171" s="110">
        <f>IF(AT171="","",IFERROR(AT171*HSCEI!$B$18*HSCEI!$G$18/HSCEI!$B$3,""))</f>
        <v/>
      </c>
      <c r="DI171" s="110">
        <f>IF(AU171="","",IFERROR(AU171*HSCEI!$B$18*HSCEI!$G$18/HSCEI!$B$3,""))</f>
        <v/>
      </c>
      <c r="DJ171" s="110">
        <f>IF(AV171="","",IFERROR(AV171*HSCEI!$B$18*HSCEI!$G$18/HSCEI!$B$3,""))</f>
        <v/>
      </c>
      <c r="DK171" s="110">
        <f>IF(AW171="","",IFERROR(AW171*HSCEI!$B$18*HSCEI!$G$18/HSCEI!$B$3,""))</f>
        <v/>
      </c>
      <c r="DL171" s="110">
        <f>IF(AX171="","",IFERROR(AX171*HSCEI!$B$18*HSCEI!$G$18/HSCEI!$B$3,""))</f>
        <v/>
      </c>
      <c r="DM171" s="110">
        <f>IF(AY171="","",IFERROR(AY171*HSCEI!$B$18*HSCEI!$G$18/HSCEI!$B$3,""))</f>
        <v/>
      </c>
      <c r="DN171" s="110">
        <f>IF(AZ171="","",IFERROR(AZ171*HSCEI!$B$18*HSCEI!$G$18/HSCEI!$B$3,""))</f>
        <v/>
      </c>
      <c r="DO171" s="110">
        <f>IF(BA171="","",IFERROR(BA171*HSCEI!$B$18*HSCEI!$G$18/HSCEI!$B$3,""))</f>
        <v/>
      </c>
      <c r="DP171" s="110">
        <f>IF(BB171="","",IFERROR(BB171*HSCEI!$B$18*HSCEI!$G$18/HSCEI!$B$3,""))</f>
        <v/>
      </c>
      <c r="DQ171" s="110">
        <f>IF(BC171="","",IFERROR(BC171*HSCEI!$B$18*HSCEI!$G$18/HSCEI!$B$3,""))</f>
        <v/>
      </c>
      <c r="DR171" s="110">
        <f>IF(BD171="","",IFERROR(BD171*HSCEI!$B$18*HSCEI!$G$18/HSCEI!$B$3,""))</f>
        <v/>
      </c>
      <c r="DS171" s="110">
        <f>IF(BE171="","",IFERROR(BE171*HSCEI!$B$18*HSCEI!$G$18/HSCEI!$B$3,""))</f>
        <v/>
      </c>
      <c r="DT171" s="110">
        <f>IF(BF171="","",IFERROR(BF171*HSCEI!$B$18*HSCEI!$G$18/HSCEI!$B$3,""))</f>
        <v/>
      </c>
      <c r="DU171" s="110">
        <f>IF(BG171="","",IFERROR(BG171*HSCEI!$B$18*HSCEI!$G$18/HSCEI!$B$3,""))</f>
        <v/>
      </c>
      <c r="DV171" s="110">
        <f>IF(BH171="","",IFERROR(BH171*HSCEI!$B$18*HSCEI!$G$18/HSCEI!$B$3,""))</f>
        <v/>
      </c>
      <c r="DW171" s="110">
        <f>IF(BI171="","",IFERROR(BI171*HSCEI!$B$18*HSCEI!$G$18/HSCEI!$B$3,""))</f>
        <v/>
      </c>
      <c r="DX171" s="110">
        <f>IF(BJ171="","",IFERROR(BJ171*HSCEI!$B$18*HSCEI!$G$18/HSCEI!$B$3,""))</f>
        <v/>
      </c>
      <c r="DY171" s="110">
        <f>IF(BK171="","",IFERROR(BK171*HSCEI!$B$18*HSCEI!$G$18/HSCEI!$B$3,""))</f>
        <v/>
      </c>
      <c r="DZ171" s="110">
        <f>IF(BL171="","",IFERROR(BL171*HSCEI!$B$18*HSCEI!$G$18/HSCEI!$B$3,""))</f>
        <v/>
      </c>
      <c r="EA171" s="110">
        <f>IF(BM171="","",IFERROR(BM171*HSCEI!$B$18*HSCEI!$G$18/HSCEI!$B$3,""))</f>
        <v/>
      </c>
      <c r="EB171" s="110">
        <f>IF(BN171="","",IFERROR(BN171*HSCEI!$B$18*HSCEI!$G$18/HSCEI!$B$3,""))</f>
        <v/>
      </c>
      <c r="EC171" s="110">
        <f>IF(BO171="","",IFERROR(BO171*HSCEI!$B$18*HSCEI!$G$18/HSCEI!$B$3,""))</f>
        <v/>
      </c>
      <c r="EE171" s="39">
        <f>IF(N('Dvd Calendar'!$E$1682)=0,"",IF(('Dvd Calendar'!$E$1682&gt;=GRID_FROM)*('Dvd Calendar'!$E$1682&lt;=GRID_TO)*((('Dvd Calendar'!$E$1682&lt;=VAL_DATE)+(COUNTIF('Dvd Calendar'!$E$1689:$AR$1689,'Dvd Calendar'!$E$1682)=0))&gt;0)=0,"",'Dvd Calendar'!$E$1682*1000000000+ISNUMBER('Dvd Calendar'!$E$1685)*100000000+('Dvd Calendar'!$E$1687=SPECIAL_LBL)*10000000+(N('Dvd Calendar'!$E$1681)&gt;0)*(N('Dvd Calendar'!$E$1681)&lt;=VAL_SERIAL)*1000000+12*1000+1))</f>
        <v/>
      </c>
      <c r="EF171" s="39">
        <f>IF(N('Dvd Calendar'!$F$1682)=0,"",IF(('Dvd Calendar'!$F$1682&gt;=GRID_FROM)*('Dvd Calendar'!$F$1682&lt;=GRID_TO)*((('Dvd Calendar'!$F$1682&lt;=VAL_DATE)+(COUNTIF('Dvd Calendar'!$E$1689:$AR$1689,'Dvd Calendar'!$F$1682)=0))&gt;0)=0,"",'Dvd Calendar'!$F$1682*1000000000+ISNUMBER('Dvd Calendar'!$F$1685)*100000000+('Dvd Calendar'!$F$1687=SPECIAL_LBL)*10000000+(N('Dvd Calendar'!$F$1681)&gt;0)*(N('Dvd Calendar'!$F$1681)&lt;=VAL_SERIAL)*1000000+12*1000+2))</f>
        <v/>
      </c>
      <c r="EG171" s="39">
        <f>IF(N('Dvd Calendar'!$G$1682)=0,"",IF(('Dvd Calendar'!$G$1682&gt;=GRID_FROM)*('Dvd Calendar'!$G$1682&lt;=GRID_TO)*((('Dvd Calendar'!$G$1682&lt;=VAL_DATE)+(COUNTIF('Dvd Calendar'!$E$1689:$AR$1689,'Dvd Calendar'!$G$1682)=0))&gt;0)=0,"",'Dvd Calendar'!$G$1682*1000000000+ISNUMBER('Dvd Calendar'!$G$1685)*100000000+('Dvd Calendar'!$G$1687=SPECIAL_LBL)*10000000+(N('Dvd Calendar'!$G$1681)&gt;0)*(N('Dvd Calendar'!$G$1681)&lt;=VAL_SERIAL)*1000000+12*1000+3))</f>
        <v/>
      </c>
      <c r="EH171" s="39">
        <f>IF(N('Dvd Calendar'!$H$1682)=0,"",IF(('Dvd Calendar'!$H$1682&gt;=GRID_FROM)*('Dvd Calendar'!$H$1682&lt;=GRID_TO)*((('Dvd Calendar'!$H$1682&lt;=VAL_DATE)+(COUNTIF('Dvd Calendar'!$E$1689:$AR$1689,'Dvd Calendar'!$H$1682)=0))&gt;0)=0,"",'Dvd Calendar'!$H$1682*1000000000+ISNUMBER('Dvd Calendar'!$H$1685)*100000000+('Dvd Calendar'!$H$1687=SPECIAL_LBL)*10000000+(N('Dvd Calendar'!$H$1681)&gt;0)*(N('Dvd Calendar'!$H$1681)&lt;=VAL_SERIAL)*1000000+12*1000+4))</f>
        <v/>
      </c>
      <c r="EI171" s="39">
        <f>IF(N('Dvd Calendar'!$I$1682)=0,"",IF(('Dvd Calendar'!$I$1682&gt;=GRID_FROM)*('Dvd Calendar'!$I$1682&lt;=GRID_TO)*((('Dvd Calendar'!$I$1682&lt;=VAL_DATE)+(COUNTIF('Dvd Calendar'!$E$1689:$AR$1689,'Dvd Calendar'!$I$1682)=0))&gt;0)=0,"",'Dvd Calendar'!$I$1682*1000000000+ISNUMBER('Dvd Calendar'!$I$1685)*100000000+('Dvd Calendar'!$I$1687=SPECIAL_LBL)*10000000+(N('Dvd Calendar'!$I$1681)&gt;0)*(N('Dvd Calendar'!$I$1681)&lt;=VAL_SERIAL)*1000000+12*1000+5))</f>
        <v/>
      </c>
      <c r="EJ171" s="39">
        <f>IF(N('Dvd Calendar'!$J$1682)=0,"",IF(('Dvd Calendar'!$J$1682&gt;=GRID_FROM)*('Dvd Calendar'!$J$1682&lt;=GRID_TO)*((('Dvd Calendar'!$J$1682&lt;=VAL_DATE)+(COUNTIF('Dvd Calendar'!$E$1689:$AR$1689,'Dvd Calendar'!$J$1682)=0))&gt;0)=0,"",'Dvd Calendar'!$J$1682*1000000000+ISNUMBER('Dvd Calendar'!$J$1685)*100000000+('Dvd Calendar'!$J$1687=SPECIAL_LBL)*10000000+(N('Dvd Calendar'!$J$1681)&gt;0)*(N('Dvd Calendar'!$J$1681)&lt;=VAL_SERIAL)*1000000+12*1000+6))</f>
        <v/>
      </c>
      <c r="EK171" s="39">
        <f>IF(N('Dvd Calendar'!$K$1682)=0,"",IF(('Dvd Calendar'!$K$1682&gt;=GRID_FROM)*('Dvd Calendar'!$K$1682&lt;=GRID_TO)*((('Dvd Calendar'!$K$1682&lt;=VAL_DATE)+(COUNTIF('Dvd Calendar'!$E$1689:$AR$1689,'Dvd Calendar'!$K$1682)=0))&gt;0)=0,"",'Dvd Calendar'!$K$1682*1000000000+ISNUMBER('Dvd Calendar'!$K$1685)*100000000+('Dvd Calendar'!$K$1687=SPECIAL_LBL)*10000000+(N('Dvd Calendar'!$K$1681)&gt;0)*(N('Dvd Calendar'!$K$1681)&lt;=VAL_SERIAL)*1000000+12*1000+7))</f>
        <v/>
      </c>
      <c r="EL171" s="39">
        <f>IF(N('Dvd Calendar'!$L$1682)=0,"",IF(('Dvd Calendar'!$L$1682&gt;=GRID_FROM)*('Dvd Calendar'!$L$1682&lt;=GRID_TO)*((('Dvd Calendar'!$L$1682&lt;=VAL_DATE)+(COUNTIF('Dvd Calendar'!$E$1689:$AR$1689,'Dvd Calendar'!$L$1682)=0))&gt;0)=0,"",'Dvd Calendar'!$L$1682*1000000000+ISNUMBER('Dvd Calendar'!$L$1685)*100000000+('Dvd Calendar'!$L$1687=SPECIAL_LBL)*10000000+(N('Dvd Calendar'!$L$1681)&gt;0)*(N('Dvd Calendar'!$L$1681)&lt;=VAL_SERIAL)*1000000+12*1000+8))</f>
        <v/>
      </c>
      <c r="EM171" s="39">
        <f>IF(N('Dvd Calendar'!$M$1682)=0,"",IF(('Dvd Calendar'!$M$1682&gt;=GRID_FROM)*('Dvd Calendar'!$M$1682&lt;=GRID_TO)*((('Dvd Calendar'!$M$1682&lt;=VAL_DATE)+(COUNTIF('Dvd Calendar'!$E$1689:$AR$1689,'Dvd Calendar'!$M$1682)=0))&gt;0)=0,"",'Dvd Calendar'!$M$1682*1000000000+ISNUMBER('Dvd Calendar'!$M$1685)*100000000+('Dvd Calendar'!$M$1687=SPECIAL_LBL)*10000000+(N('Dvd Calendar'!$M$1681)&gt;0)*(N('Dvd Calendar'!$M$1681)&lt;=VAL_SERIAL)*1000000+12*1000+9))</f>
        <v/>
      </c>
      <c r="EN171" s="39">
        <f>IF(N('Dvd Calendar'!$N$1682)=0,"",IF(('Dvd Calendar'!$N$1682&gt;=GRID_FROM)*('Dvd Calendar'!$N$1682&lt;=GRID_TO)*((('Dvd Calendar'!$N$1682&lt;=VAL_DATE)+(COUNTIF('Dvd Calendar'!$E$1689:$AR$1689,'Dvd Calendar'!$N$1682)=0))&gt;0)=0,"",'Dvd Calendar'!$N$1682*1000000000+ISNUMBER('Dvd Calendar'!$N$1685)*100000000+('Dvd Calendar'!$N$1687=SPECIAL_LBL)*10000000+(N('Dvd Calendar'!$N$1681)&gt;0)*(N('Dvd Calendar'!$N$1681)&lt;=VAL_SERIAL)*1000000+12*1000+10))</f>
        <v/>
      </c>
      <c r="EO171" s="39">
        <f>IF(N('Dvd Calendar'!$O$1682)=0,"",IF(('Dvd Calendar'!$O$1682&gt;=GRID_FROM)*('Dvd Calendar'!$O$1682&lt;=GRID_TO)*((('Dvd Calendar'!$O$1682&lt;=VAL_DATE)+(COUNTIF('Dvd Calendar'!$E$1689:$AR$1689,'Dvd Calendar'!$O$1682)=0))&gt;0)=0,"",'Dvd Calendar'!$O$1682*1000000000+ISNUMBER('Dvd Calendar'!$O$1685)*100000000+('Dvd Calendar'!$O$1687=SPECIAL_LBL)*10000000+(N('Dvd Calendar'!$O$1681)&gt;0)*(N('Dvd Calendar'!$O$1681)&lt;=VAL_SERIAL)*1000000+12*1000+11))</f>
        <v/>
      </c>
      <c r="EP171" s="39">
        <f>IF(N('Dvd Calendar'!$P$1682)=0,"",IF(('Dvd Calendar'!$P$1682&gt;=GRID_FROM)*('Dvd Calendar'!$P$1682&lt;=GRID_TO)*((('Dvd Calendar'!$P$1682&lt;=VAL_DATE)+(COUNTIF('Dvd Calendar'!$E$1689:$AR$1689,'Dvd Calendar'!$P$1682)=0))&gt;0)=0,"",'Dvd Calendar'!$P$1682*1000000000+ISNUMBER('Dvd Calendar'!$P$1685)*100000000+('Dvd Calendar'!$P$1687=SPECIAL_LBL)*10000000+(N('Dvd Calendar'!$P$1681)&gt;0)*(N('Dvd Calendar'!$P$1681)&lt;=VAL_SERIAL)*1000000+12*1000+12))</f>
        <v/>
      </c>
      <c r="EQ171" s="39">
        <f>IF(N('Dvd Calendar'!$Q$1682)=0,"",IF(('Dvd Calendar'!$Q$1682&gt;=GRID_FROM)*('Dvd Calendar'!$Q$1682&lt;=GRID_TO)*((('Dvd Calendar'!$Q$1682&lt;=VAL_DATE)+(COUNTIF('Dvd Calendar'!$E$1689:$AR$1689,'Dvd Calendar'!$Q$1682)=0))&gt;0)=0,"",'Dvd Calendar'!$Q$1682*1000000000+ISNUMBER('Dvd Calendar'!$Q$1685)*100000000+('Dvd Calendar'!$Q$1687=SPECIAL_LBL)*10000000+(N('Dvd Calendar'!$Q$1681)&gt;0)*(N('Dvd Calendar'!$Q$1681)&lt;=VAL_SERIAL)*1000000+12*1000+13))</f>
        <v/>
      </c>
      <c r="ER171" s="39">
        <f>IF(N('Dvd Calendar'!$R$1682)=0,"",IF(('Dvd Calendar'!$R$1682&gt;=GRID_FROM)*('Dvd Calendar'!$R$1682&lt;=GRID_TO)*((('Dvd Calendar'!$R$1682&lt;=VAL_DATE)+(COUNTIF('Dvd Calendar'!$E$1689:$AR$1689,'Dvd Calendar'!$R$1682)=0))&gt;0)=0,"",'Dvd Calendar'!$R$1682*1000000000+ISNUMBER('Dvd Calendar'!$R$1685)*100000000+('Dvd Calendar'!$R$1687=SPECIAL_LBL)*10000000+(N('Dvd Calendar'!$R$1681)&gt;0)*(N('Dvd Calendar'!$R$1681)&lt;=VAL_SERIAL)*1000000+12*1000+14))</f>
        <v/>
      </c>
      <c r="ES171" s="39">
        <f>IF(N('Dvd Calendar'!$S$1682)=0,"",IF(('Dvd Calendar'!$S$1682&gt;=GRID_FROM)*('Dvd Calendar'!$S$1682&lt;=GRID_TO)*((('Dvd Calendar'!$S$1682&lt;=VAL_DATE)+(COUNTIF('Dvd Calendar'!$E$1689:$AR$1689,'Dvd Calendar'!$S$1682)=0))&gt;0)=0,"",'Dvd Calendar'!$S$1682*1000000000+ISNUMBER('Dvd Calendar'!$S$1685)*100000000+('Dvd Calendar'!$S$1687=SPECIAL_LBL)*10000000+(N('Dvd Calendar'!$S$1681)&gt;0)*(N('Dvd Calendar'!$S$1681)&lt;=VAL_SERIAL)*1000000+12*1000+15))</f>
        <v/>
      </c>
      <c r="ET171" s="39">
        <f>IF(N('Dvd Calendar'!$T$1682)=0,"",IF(('Dvd Calendar'!$T$1682&gt;=GRID_FROM)*('Dvd Calendar'!$T$1682&lt;=GRID_TO)*((('Dvd Calendar'!$T$1682&lt;=VAL_DATE)+(COUNTIF('Dvd Calendar'!$E$1689:$AR$1689,'Dvd Calendar'!$T$1682)=0))&gt;0)=0,"",'Dvd Calendar'!$T$1682*1000000000+ISNUMBER('Dvd Calendar'!$T$1685)*100000000+('Dvd Calendar'!$T$1687=SPECIAL_LBL)*10000000+(N('Dvd Calendar'!$T$1681)&gt;0)*(N('Dvd Calendar'!$T$1681)&lt;=VAL_SERIAL)*1000000+12*1000+16))</f>
        <v/>
      </c>
      <c r="EU171" s="39">
        <f>IF(N('Dvd Calendar'!$U$1682)=0,"",IF(('Dvd Calendar'!$U$1682&gt;=GRID_FROM)*('Dvd Calendar'!$U$1682&lt;=GRID_TO)*((('Dvd Calendar'!$U$1682&lt;=VAL_DATE)+(COUNTIF('Dvd Calendar'!$E$1689:$AR$1689,'Dvd Calendar'!$U$1682)=0))&gt;0)=0,"",'Dvd Calendar'!$U$1682*1000000000+ISNUMBER('Dvd Calendar'!$U$1685)*100000000+('Dvd Calendar'!$U$1687=SPECIAL_LBL)*10000000+(N('Dvd Calendar'!$U$1681)&gt;0)*(N('Dvd Calendar'!$U$1681)&lt;=VAL_SERIAL)*1000000+12*1000+17))</f>
        <v/>
      </c>
      <c r="EV171" s="39">
        <f>IF(N('Dvd Calendar'!$V$1682)=0,"",IF(('Dvd Calendar'!$V$1682&gt;=GRID_FROM)*('Dvd Calendar'!$V$1682&lt;=GRID_TO)*((('Dvd Calendar'!$V$1682&lt;=VAL_DATE)+(COUNTIF('Dvd Calendar'!$E$1689:$AR$1689,'Dvd Calendar'!$V$1682)=0))&gt;0)=0,"",'Dvd Calendar'!$V$1682*1000000000+ISNUMBER('Dvd Calendar'!$V$1685)*100000000+('Dvd Calendar'!$V$1687=SPECIAL_LBL)*10000000+(N('Dvd Calendar'!$V$1681)&gt;0)*(N('Dvd Calendar'!$V$1681)&lt;=VAL_SERIAL)*1000000+12*1000+18))</f>
        <v/>
      </c>
      <c r="EW171" s="39">
        <f>IF(N('Dvd Calendar'!$W$1682)=0,"",IF(('Dvd Calendar'!$W$1682&gt;=GRID_FROM)*('Dvd Calendar'!$W$1682&lt;=GRID_TO)*((('Dvd Calendar'!$W$1682&lt;=VAL_DATE)+(COUNTIF('Dvd Calendar'!$E$1689:$AR$1689,'Dvd Calendar'!$W$1682)=0))&gt;0)=0,"",'Dvd Calendar'!$W$1682*1000000000+ISNUMBER('Dvd Calendar'!$W$1685)*100000000+('Dvd Calendar'!$W$1687=SPECIAL_LBL)*10000000+(N('Dvd Calendar'!$W$1681)&gt;0)*(N('Dvd Calendar'!$W$1681)&lt;=VAL_SERIAL)*1000000+12*1000+19))</f>
        <v/>
      </c>
      <c r="EX171" s="39">
        <f>IF(N('Dvd Calendar'!$X$1682)=0,"",IF(('Dvd Calendar'!$X$1682&gt;=GRID_FROM)*('Dvd Calendar'!$X$1682&lt;=GRID_TO)*((('Dvd Calendar'!$X$1682&lt;=VAL_DATE)+(COUNTIF('Dvd Calendar'!$E$1689:$AR$1689,'Dvd Calendar'!$X$1682)=0))&gt;0)=0,"",'Dvd Calendar'!$X$1682*1000000000+ISNUMBER('Dvd Calendar'!$X$1685)*100000000+('Dvd Calendar'!$X$1687=SPECIAL_LBL)*10000000+(N('Dvd Calendar'!$X$1681)&gt;0)*(N('Dvd Calendar'!$X$1681)&lt;=VAL_SERIAL)*1000000+12*1000+20))</f>
        <v/>
      </c>
      <c r="EY171" s="39">
        <f>IF(N('Dvd Calendar'!$Y$1682)=0,"",IF(('Dvd Calendar'!$Y$1682&gt;=GRID_FROM)*('Dvd Calendar'!$Y$1682&lt;=GRID_TO)*((('Dvd Calendar'!$Y$1682&lt;=VAL_DATE)+(COUNTIF('Dvd Calendar'!$E$1689:$AR$1689,'Dvd Calendar'!$Y$1682)=0))&gt;0)=0,"",'Dvd Calendar'!$Y$1682*1000000000+ISNUMBER('Dvd Calendar'!$Y$1685)*100000000+('Dvd Calendar'!$Y$1687=SPECIAL_LBL)*10000000+(N('Dvd Calendar'!$Y$1681)&gt;0)*(N('Dvd Calendar'!$Y$1681)&lt;=VAL_SERIAL)*1000000+12*1000+21))</f>
        <v/>
      </c>
      <c r="EZ171" s="39">
        <f>IF(N('Dvd Calendar'!$Z$1682)=0,"",IF(('Dvd Calendar'!$Z$1682&gt;=GRID_FROM)*('Dvd Calendar'!$Z$1682&lt;=GRID_TO)*((('Dvd Calendar'!$Z$1682&lt;=VAL_DATE)+(COUNTIF('Dvd Calendar'!$E$1689:$AR$1689,'Dvd Calendar'!$Z$1682)=0))&gt;0)=0,"",'Dvd Calendar'!$Z$1682*1000000000+ISNUMBER('Dvd Calendar'!$Z$1685)*100000000+('Dvd Calendar'!$Z$1687=SPECIAL_LBL)*10000000+(N('Dvd Calendar'!$Z$1681)&gt;0)*(N('Dvd Calendar'!$Z$1681)&lt;=VAL_SERIAL)*1000000+12*1000+22))</f>
        <v/>
      </c>
      <c r="FA171" s="39">
        <f>IF(N('Dvd Calendar'!$AA$1682)=0,"",IF(('Dvd Calendar'!$AA$1682&gt;=GRID_FROM)*('Dvd Calendar'!$AA$1682&lt;=GRID_TO)*((('Dvd Calendar'!$AA$1682&lt;=VAL_DATE)+(COUNTIF('Dvd Calendar'!$E$1689:$AR$1689,'Dvd Calendar'!$AA$1682)=0))&gt;0)=0,"",'Dvd Calendar'!$AA$1682*1000000000+ISNUMBER('Dvd Calendar'!$AA$1685)*100000000+('Dvd Calendar'!$AA$1687=SPECIAL_LBL)*10000000+(N('Dvd Calendar'!$AA$1681)&gt;0)*(N('Dvd Calendar'!$AA$1681)&lt;=VAL_SERIAL)*1000000+12*1000+23))</f>
        <v/>
      </c>
      <c r="FB171" s="39">
        <f>IF(N('Dvd Calendar'!$AB$1682)=0,"",IF(('Dvd Calendar'!$AB$1682&gt;=GRID_FROM)*('Dvd Calendar'!$AB$1682&lt;=GRID_TO)*((('Dvd Calendar'!$AB$1682&lt;=VAL_DATE)+(COUNTIF('Dvd Calendar'!$E$1689:$AR$1689,'Dvd Calendar'!$AB$1682)=0))&gt;0)=0,"",'Dvd Calendar'!$AB$1682*1000000000+ISNUMBER('Dvd Calendar'!$AB$1685)*100000000+('Dvd Calendar'!$AB$1687=SPECIAL_LBL)*10000000+(N('Dvd Calendar'!$AB$1681)&gt;0)*(N('Dvd Calendar'!$AB$1681)&lt;=VAL_SERIAL)*1000000+12*1000+24))</f>
        <v/>
      </c>
      <c r="FC171" s="39">
        <f>IF(N('Dvd Calendar'!$AC$1682)=0,"",IF(('Dvd Calendar'!$AC$1682&gt;=GRID_FROM)*('Dvd Calendar'!$AC$1682&lt;=GRID_TO)*((('Dvd Calendar'!$AC$1682&lt;=VAL_DATE)+(COUNTIF('Dvd Calendar'!$E$1689:$AR$1689,'Dvd Calendar'!$AC$1682)=0))&gt;0)=0,"",'Dvd Calendar'!$AC$1682*1000000000+ISNUMBER('Dvd Calendar'!$AC$1685)*100000000+('Dvd Calendar'!$AC$1687=SPECIAL_LBL)*10000000+(N('Dvd Calendar'!$AC$1681)&gt;0)*(N('Dvd Calendar'!$AC$1681)&lt;=VAL_SERIAL)*1000000+12*1000+25))</f>
        <v/>
      </c>
      <c r="FD171" s="39">
        <f>IF(N('Dvd Calendar'!$AD$1682)=0,"",IF(('Dvd Calendar'!$AD$1682&gt;=GRID_FROM)*('Dvd Calendar'!$AD$1682&lt;=GRID_TO)*((('Dvd Calendar'!$AD$1682&lt;=VAL_DATE)+(COUNTIF('Dvd Calendar'!$E$1689:$AR$1689,'Dvd Calendar'!$AD$1682)=0))&gt;0)=0,"",'Dvd Calendar'!$AD$1682*1000000000+ISNUMBER('Dvd Calendar'!$AD$1685)*100000000+('Dvd Calendar'!$AD$1687=SPECIAL_LBL)*10000000+(N('Dvd Calendar'!$AD$1681)&gt;0)*(N('Dvd Calendar'!$AD$1681)&lt;=VAL_SERIAL)*1000000+12*1000+26))</f>
        <v/>
      </c>
      <c r="FE171" s="39">
        <f>IF(N('Dvd Calendar'!$AE$1682)=0,"",IF(('Dvd Calendar'!$AE$1682&gt;=GRID_FROM)*('Dvd Calendar'!$AE$1682&lt;=GRID_TO)*((('Dvd Calendar'!$AE$1682&lt;=VAL_DATE)+(COUNTIF('Dvd Calendar'!$E$1689:$AR$1689,'Dvd Calendar'!$AE$1682)=0))&gt;0)=0,"",'Dvd Calendar'!$AE$1682*1000000000+ISNUMBER('Dvd Calendar'!$AE$1685)*100000000+('Dvd Calendar'!$AE$1687=SPECIAL_LBL)*10000000+(N('Dvd Calendar'!$AE$1681)&gt;0)*(N('Dvd Calendar'!$AE$1681)&lt;=VAL_SERIAL)*1000000+12*1000+27))</f>
        <v/>
      </c>
      <c r="FF171" s="39">
        <f>IF(N('Dvd Calendar'!$AF$1682)=0,"",IF(('Dvd Calendar'!$AF$1682&gt;=GRID_FROM)*('Dvd Calendar'!$AF$1682&lt;=GRID_TO)*((('Dvd Calendar'!$AF$1682&lt;=VAL_DATE)+(COUNTIF('Dvd Calendar'!$E$1689:$AR$1689,'Dvd Calendar'!$AF$1682)=0))&gt;0)=0,"",'Dvd Calendar'!$AF$1682*1000000000+ISNUMBER('Dvd Calendar'!$AF$1685)*100000000+('Dvd Calendar'!$AF$1687=SPECIAL_LBL)*10000000+(N('Dvd Calendar'!$AF$1681)&gt;0)*(N('Dvd Calendar'!$AF$1681)&lt;=VAL_SERIAL)*1000000+12*1000+28))</f>
        <v/>
      </c>
      <c r="FG171" s="39">
        <f>IF(N('Dvd Calendar'!$AG$1682)=0,"",IF(('Dvd Calendar'!$AG$1682&gt;=GRID_FROM)*('Dvd Calendar'!$AG$1682&lt;=GRID_TO)*((('Dvd Calendar'!$AG$1682&lt;=VAL_DATE)+(COUNTIF('Dvd Calendar'!$E$1689:$AR$1689,'Dvd Calendar'!$AG$1682)=0))&gt;0)=0,"",'Dvd Calendar'!$AG$1682*1000000000+ISNUMBER('Dvd Calendar'!$AG$1685)*100000000+('Dvd Calendar'!$AG$1687=SPECIAL_LBL)*10000000+(N('Dvd Calendar'!$AG$1681)&gt;0)*(N('Dvd Calendar'!$AG$1681)&lt;=VAL_SERIAL)*1000000+12*1000+29))</f>
        <v/>
      </c>
      <c r="FH171" s="39">
        <f>IF(N('Dvd Calendar'!$AH$1682)=0,"",IF(('Dvd Calendar'!$AH$1682&gt;=GRID_FROM)*('Dvd Calendar'!$AH$1682&lt;=GRID_TO)*((('Dvd Calendar'!$AH$1682&lt;=VAL_DATE)+(COUNTIF('Dvd Calendar'!$E$1689:$AR$1689,'Dvd Calendar'!$AH$1682)=0))&gt;0)=0,"",'Dvd Calendar'!$AH$1682*1000000000+ISNUMBER('Dvd Calendar'!$AH$1685)*100000000+('Dvd Calendar'!$AH$1687=SPECIAL_LBL)*10000000+(N('Dvd Calendar'!$AH$1681)&gt;0)*(N('Dvd Calendar'!$AH$1681)&lt;=VAL_SERIAL)*1000000+12*1000+30))</f>
        <v/>
      </c>
      <c r="FI171" s="39">
        <f>IF(N('Dvd Calendar'!$AI$1682)=0,"",IF(('Dvd Calendar'!$AI$1682&gt;=GRID_FROM)*('Dvd Calendar'!$AI$1682&lt;=GRID_TO)*((('Dvd Calendar'!$AI$1682&lt;=VAL_DATE)+(COUNTIF('Dvd Calendar'!$E$1689:$AR$1689,'Dvd Calendar'!$AI$1682)=0))&gt;0)=0,"",'Dvd Calendar'!$AI$1682*1000000000+ISNUMBER('Dvd Calendar'!$AI$1685)*100000000+('Dvd Calendar'!$AI$1687=SPECIAL_LBL)*10000000+(N('Dvd Calendar'!$AI$1681)&gt;0)*(N('Dvd Calendar'!$AI$1681)&lt;=VAL_SERIAL)*1000000+12*1000+31))</f>
        <v/>
      </c>
      <c r="FJ171" s="39">
        <f>IF(N('Dvd Calendar'!$AJ$1682)=0,"",IF(('Dvd Calendar'!$AJ$1682&gt;=GRID_FROM)*('Dvd Calendar'!$AJ$1682&lt;=GRID_TO)*((('Dvd Calendar'!$AJ$1682&lt;=VAL_DATE)+(COUNTIF('Dvd Calendar'!$E$1689:$AR$1689,'Dvd Calendar'!$AJ$1682)=0))&gt;0)=0,"",'Dvd Calendar'!$AJ$1682*1000000000+ISNUMBER('Dvd Calendar'!$AJ$1685)*100000000+('Dvd Calendar'!$AJ$1687=SPECIAL_LBL)*10000000+(N('Dvd Calendar'!$AJ$1681)&gt;0)*(N('Dvd Calendar'!$AJ$1681)&lt;=VAL_SERIAL)*1000000+12*1000+32))</f>
        <v/>
      </c>
      <c r="FK171" s="39">
        <f>IF(N('Dvd Calendar'!$AK$1682)=0,"",IF(('Dvd Calendar'!$AK$1682&gt;=GRID_FROM)*('Dvd Calendar'!$AK$1682&lt;=GRID_TO)*((('Dvd Calendar'!$AK$1682&lt;=VAL_DATE)+(COUNTIF('Dvd Calendar'!$E$1689:$AR$1689,'Dvd Calendar'!$AK$1682)=0))&gt;0)=0,"",'Dvd Calendar'!$AK$1682*1000000000+ISNUMBER('Dvd Calendar'!$AK$1685)*100000000+('Dvd Calendar'!$AK$1687=SPECIAL_LBL)*10000000+(N('Dvd Calendar'!$AK$1681)&gt;0)*(N('Dvd Calendar'!$AK$1681)&lt;=VAL_SERIAL)*1000000+12*1000+33))</f>
        <v/>
      </c>
      <c r="FL171" s="39">
        <f>IF(N('Dvd Calendar'!$AL$1682)=0,"",IF(('Dvd Calendar'!$AL$1682&gt;=GRID_FROM)*('Dvd Calendar'!$AL$1682&lt;=GRID_TO)*((('Dvd Calendar'!$AL$1682&lt;=VAL_DATE)+(COUNTIF('Dvd Calendar'!$E$1689:$AR$1689,'Dvd Calendar'!$AL$1682)=0))&gt;0)=0,"",'Dvd Calendar'!$AL$1682*1000000000+ISNUMBER('Dvd Calendar'!$AL$1685)*100000000+('Dvd Calendar'!$AL$1687=SPECIAL_LBL)*10000000+(N('Dvd Calendar'!$AL$1681)&gt;0)*(N('Dvd Calendar'!$AL$1681)&lt;=VAL_SERIAL)*1000000+12*1000+34))</f>
        <v/>
      </c>
      <c r="FM171" s="39">
        <f>IF(N('Dvd Calendar'!$AM$1682)=0,"",IF(('Dvd Calendar'!$AM$1682&gt;=GRID_FROM)*('Dvd Calendar'!$AM$1682&lt;=GRID_TO)*((('Dvd Calendar'!$AM$1682&lt;=VAL_DATE)+(COUNTIF('Dvd Calendar'!$E$1689:$AR$1689,'Dvd Calendar'!$AM$1682)=0))&gt;0)=0,"",'Dvd Calendar'!$AM$1682*1000000000+ISNUMBER('Dvd Calendar'!$AM$1685)*100000000+('Dvd Calendar'!$AM$1687=SPECIAL_LBL)*10000000+(N('Dvd Calendar'!$AM$1681)&gt;0)*(N('Dvd Calendar'!$AM$1681)&lt;=VAL_SERIAL)*1000000+12*1000+35))</f>
        <v/>
      </c>
      <c r="FN171" s="39">
        <f>IF(N('Dvd Calendar'!$AN$1682)=0,"",IF(('Dvd Calendar'!$AN$1682&gt;=GRID_FROM)*('Dvd Calendar'!$AN$1682&lt;=GRID_TO)*((('Dvd Calendar'!$AN$1682&lt;=VAL_DATE)+(COUNTIF('Dvd Calendar'!$E$1689:$AR$1689,'Dvd Calendar'!$AN$1682)=0))&gt;0)=0,"",'Dvd Calendar'!$AN$1682*1000000000+ISNUMBER('Dvd Calendar'!$AN$1685)*100000000+('Dvd Calendar'!$AN$1687=SPECIAL_LBL)*10000000+(N('Dvd Calendar'!$AN$1681)&gt;0)*(N('Dvd Calendar'!$AN$1681)&lt;=VAL_SERIAL)*1000000+12*1000+36))</f>
        <v/>
      </c>
      <c r="FO171" s="39">
        <f>IF(N('Dvd Calendar'!$AO$1682)=0,"",IF(('Dvd Calendar'!$AO$1682&gt;=GRID_FROM)*('Dvd Calendar'!$AO$1682&lt;=GRID_TO)*((('Dvd Calendar'!$AO$1682&lt;=VAL_DATE)+(COUNTIF('Dvd Calendar'!$E$1689:$AR$1689,'Dvd Calendar'!$AO$1682)=0))&gt;0)=0,"",'Dvd Calendar'!$AO$1682*1000000000+ISNUMBER('Dvd Calendar'!$AO$1685)*100000000+('Dvd Calendar'!$AO$1687=SPECIAL_LBL)*10000000+(N('Dvd Calendar'!$AO$1681)&gt;0)*(N('Dvd Calendar'!$AO$1681)&lt;=VAL_SERIAL)*1000000+12*1000+37))</f>
        <v/>
      </c>
      <c r="FP171" s="39">
        <f>IF(N('Dvd Calendar'!$AP$1682)=0,"",IF(('Dvd Calendar'!$AP$1682&gt;=GRID_FROM)*('Dvd Calendar'!$AP$1682&lt;=GRID_TO)*((('Dvd Calendar'!$AP$1682&lt;=VAL_DATE)+(COUNTIF('Dvd Calendar'!$E$1689:$AR$1689,'Dvd Calendar'!$AP$1682)=0))&gt;0)=0,"",'Dvd Calendar'!$AP$1682*1000000000+ISNUMBER('Dvd Calendar'!$AP$1685)*100000000+('Dvd Calendar'!$AP$1687=SPECIAL_LBL)*10000000+(N('Dvd Calendar'!$AP$1681)&gt;0)*(N('Dvd Calendar'!$AP$1681)&lt;=VAL_SERIAL)*1000000+12*1000+38))</f>
        <v/>
      </c>
      <c r="FQ171" s="39">
        <f>IF(N('Dvd Calendar'!$AQ$1682)=0,"",IF(('Dvd Calendar'!$AQ$1682&gt;=GRID_FROM)*('Dvd Calendar'!$AQ$1682&lt;=GRID_TO)*((('Dvd Calendar'!$AQ$1682&lt;=VAL_DATE)+(COUNTIF('Dvd Calendar'!$E$1689:$AR$1689,'Dvd Calendar'!$AQ$1682)=0))&gt;0)=0,"",'Dvd Calendar'!$AQ$1682*1000000000+ISNUMBER('Dvd Calendar'!$AQ$1685)*100000000+('Dvd Calendar'!$AQ$1687=SPECIAL_LBL)*10000000+(N('Dvd Calendar'!$AQ$1681)&gt;0)*(N('Dvd Calendar'!$AQ$1681)&lt;=VAL_SERIAL)*1000000+12*1000+39))</f>
        <v/>
      </c>
      <c r="FR171" s="39">
        <f>IF(N('Dvd Calendar'!$AR$1682)=0,"",IF(('Dvd Calendar'!$AR$1682&gt;=GRID_FROM)*('Dvd Calendar'!$AR$1682&lt;=GRID_TO)*((('Dvd Calendar'!$AR$1682&lt;=VAL_DATE)+(COUNTIF('Dvd Calendar'!$E$1689:$AR$1689,'Dvd Calendar'!$AR$1682)=0))&gt;0)=0,"",'Dvd Calendar'!$AR$1682*1000000000+ISNUMBER('Dvd Calendar'!$AR$1685)*100000000+('Dvd Calendar'!$AR$1687=SPECIAL_LBL)*10000000+(N('Dvd Calendar'!$AR$1681)&gt;0)*(N('Dvd Calendar'!$AR$1681)&lt;=VAL_SERIAL)*1000000+12*1000+40))</f>
        <v/>
      </c>
      <c r="FS171" s="39">
        <f>IF(N('Dvd Calendar'!$E$1689)=0,"",IF(('Dvd Calendar'!$E$1689&gt;=GRID_FROM)*('Dvd Calendar'!$E$1689&lt;=GRID_TO)*('Dvd Calendar'!$E$1689&gt;VAL_DATE)=0,"",'Dvd Calendar'!$E$1689*1000000000+ISNUMBER('Dvd Calendar'!$E$1690)*100000000+0*10000000+(N('Dvd Calendar'!$E$1688)&gt;0)*(N('Dvd Calendar'!$E$1688)&lt;=VAL_SERIAL)*1000000+12*1000+41))</f>
        <v/>
      </c>
      <c r="FT171" s="39">
        <f>IF(N('Dvd Calendar'!$F$1689)=0,"",IF(('Dvd Calendar'!$F$1689&gt;=GRID_FROM)*('Dvd Calendar'!$F$1689&lt;=GRID_TO)*('Dvd Calendar'!$F$1689&gt;VAL_DATE)=0,"",'Dvd Calendar'!$F$1689*1000000000+ISNUMBER('Dvd Calendar'!$F$1690)*100000000+0*10000000+(N('Dvd Calendar'!$F$1688)&gt;0)*(N('Dvd Calendar'!$F$1688)&lt;=VAL_SERIAL)*1000000+12*1000+42))</f>
        <v/>
      </c>
      <c r="FU171" s="39">
        <f>IF(N('Dvd Calendar'!$G$1689)=0,"",IF(('Dvd Calendar'!$G$1689&gt;=GRID_FROM)*('Dvd Calendar'!$G$1689&lt;=GRID_TO)*('Dvd Calendar'!$G$1689&gt;VAL_DATE)=0,"",'Dvd Calendar'!$G$1689*1000000000+ISNUMBER('Dvd Calendar'!$G$1690)*100000000+0*10000000+(N('Dvd Calendar'!$G$1688)&gt;0)*(N('Dvd Calendar'!$G$1688)&lt;=VAL_SERIAL)*1000000+12*1000+43))</f>
        <v/>
      </c>
      <c r="FV171" s="39">
        <f>IF(N('Dvd Calendar'!$H$1689)=0,"",IF(('Dvd Calendar'!$H$1689&gt;=GRID_FROM)*('Dvd Calendar'!$H$1689&lt;=GRID_TO)*('Dvd Calendar'!$H$1689&gt;VAL_DATE)=0,"",'Dvd Calendar'!$H$1689*1000000000+ISNUMBER('Dvd Calendar'!$H$1690)*100000000+0*10000000+(N('Dvd Calendar'!$H$1688)&gt;0)*(N('Dvd Calendar'!$H$1688)&lt;=VAL_SERIAL)*1000000+12*1000+44))</f>
        <v/>
      </c>
      <c r="FW171" s="39">
        <f>IF(N('Dvd Calendar'!$I$1689)=0,"",IF(('Dvd Calendar'!$I$1689&gt;=GRID_FROM)*('Dvd Calendar'!$I$1689&lt;=GRID_TO)*('Dvd Calendar'!$I$1689&gt;VAL_DATE)=0,"",'Dvd Calendar'!$I$1689*1000000000+ISNUMBER('Dvd Calendar'!$I$1690)*100000000+0*10000000+(N('Dvd Calendar'!$I$1688)&gt;0)*(N('Dvd Calendar'!$I$1688)&lt;=VAL_SERIAL)*1000000+12*1000+45))</f>
        <v/>
      </c>
      <c r="FX171" s="39">
        <f>IF(N('Dvd Calendar'!$J$1689)=0,"",IF(('Dvd Calendar'!$J$1689&gt;=GRID_FROM)*('Dvd Calendar'!$J$1689&lt;=GRID_TO)*('Dvd Calendar'!$J$1689&gt;VAL_DATE)=0,"",'Dvd Calendar'!$J$1689*1000000000+ISNUMBER('Dvd Calendar'!$J$1690)*100000000+0*10000000+(N('Dvd Calendar'!$J$1688)&gt;0)*(N('Dvd Calendar'!$J$1688)&lt;=VAL_SERIAL)*1000000+12*1000+46))</f>
        <v/>
      </c>
      <c r="FY171" s="39">
        <f>IF(N('Dvd Calendar'!$K$1689)=0,"",IF(('Dvd Calendar'!$K$1689&gt;=GRID_FROM)*('Dvd Calendar'!$K$1689&lt;=GRID_TO)*('Dvd Calendar'!$K$1689&gt;VAL_DATE)=0,"",'Dvd Calendar'!$K$1689*1000000000+ISNUMBER('Dvd Calendar'!$K$1690)*100000000+0*10000000+(N('Dvd Calendar'!$K$1688)&gt;0)*(N('Dvd Calendar'!$K$1688)&lt;=VAL_SERIAL)*1000000+12*1000+47))</f>
        <v/>
      </c>
      <c r="FZ171" s="39">
        <f>IF(N('Dvd Calendar'!$L$1689)=0,"",IF(('Dvd Calendar'!$L$1689&gt;=GRID_FROM)*('Dvd Calendar'!$L$1689&lt;=GRID_TO)*('Dvd Calendar'!$L$1689&gt;VAL_DATE)=0,"",'Dvd Calendar'!$L$1689*1000000000+ISNUMBER('Dvd Calendar'!$L$1690)*100000000+0*10000000+(N('Dvd Calendar'!$L$1688)&gt;0)*(N('Dvd Calendar'!$L$1688)&lt;=VAL_SERIAL)*1000000+12*1000+48))</f>
        <v/>
      </c>
      <c r="GA171" s="39">
        <f>IF(N('Dvd Calendar'!$M$1689)=0,"",IF(('Dvd Calendar'!$M$1689&gt;=GRID_FROM)*('Dvd Calendar'!$M$1689&lt;=GRID_TO)*('Dvd Calendar'!$M$1689&gt;VAL_DATE)=0,"",'Dvd Calendar'!$M$1689*1000000000+ISNUMBER('Dvd Calendar'!$M$1690)*100000000+0*10000000+(N('Dvd Calendar'!$M$1688)&gt;0)*(N('Dvd Calendar'!$M$1688)&lt;=VAL_SERIAL)*1000000+12*1000+49))</f>
        <v/>
      </c>
      <c r="GB171" s="39">
        <f>IF(N('Dvd Calendar'!$N$1689)=0,"",IF(('Dvd Calendar'!$N$1689&gt;=GRID_FROM)*('Dvd Calendar'!$N$1689&lt;=GRID_TO)*('Dvd Calendar'!$N$1689&gt;VAL_DATE)=0,"",'Dvd Calendar'!$N$1689*1000000000+ISNUMBER('Dvd Calendar'!$N$1690)*100000000+0*10000000+(N('Dvd Calendar'!$N$1688)&gt;0)*(N('Dvd Calendar'!$N$1688)&lt;=VAL_SERIAL)*1000000+12*1000+50))</f>
        <v/>
      </c>
      <c r="GC171" s="39">
        <f>IF(N('Dvd Calendar'!$O$1689)=0,"",IF(('Dvd Calendar'!$O$1689&gt;=GRID_FROM)*('Dvd Calendar'!$O$1689&lt;=GRID_TO)*('Dvd Calendar'!$O$1689&gt;VAL_DATE)=0,"",'Dvd Calendar'!$O$1689*1000000000+ISNUMBER('Dvd Calendar'!$O$1690)*100000000+0*10000000+(N('Dvd Calendar'!$O$1688)&gt;0)*(N('Dvd Calendar'!$O$1688)&lt;=VAL_SERIAL)*1000000+12*1000+51))</f>
        <v/>
      </c>
      <c r="GD171" s="39">
        <f>IF(N('Dvd Calendar'!$P$1689)=0,"",IF(('Dvd Calendar'!$P$1689&gt;=GRID_FROM)*('Dvd Calendar'!$P$1689&lt;=GRID_TO)*('Dvd Calendar'!$P$1689&gt;VAL_DATE)=0,"",'Dvd Calendar'!$P$1689*1000000000+ISNUMBER('Dvd Calendar'!$P$1690)*100000000+0*10000000+(N('Dvd Calendar'!$P$1688)&gt;0)*(N('Dvd Calendar'!$P$1688)&lt;=VAL_SERIAL)*1000000+12*1000+52))</f>
        <v/>
      </c>
      <c r="GE171" s="39">
        <f>IF(N('Dvd Calendar'!$Q$1689)=0,"",IF(('Dvd Calendar'!$Q$1689&gt;=GRID_FROM)*('Dvd Calendar'!$Q$1689&lt;=GRID_TO)*('Dvd Calendar'!$Q$1689&gt;VAL_DATE)=0,"",'Dvd Calendar'!$Q$1689*1000000000+ISNUMBER('Dvd Calendar'!$Q$1690)*100000000+0*10000000+(N('Dvd Calendar'!$Q$1688)&gt;0)*(N('Dvd Calendar'!$Q$1688)&lt;=VAL_SERIAL)*1000000+12*1000+53))</f>
        <v/>
      </c>
      <c r="GF171" s="39">
        <f>IF(N('Dvd Calendar'!$R$1689)=0,"",IF(('Dvd Calendar'!$R$1689&gt;=GRID_FROM)*('Dvd Calendar'!$R$1689&lt;=GRID_TO)*('Dvd Calendar'!$R$1689&gt;VAL_DATE)=0,"",'Dvd Calendar'!$R$1689*1000000000+ISNUMBER('Dvd Calendar'!$R$1690)*100000000+0*10000000+(N('Dvd Calendar'!$R$1688)&gt;0)*(N('Dvd Calendar'!$R$1688)&lt;=VAL_SERIAL)*1000000+12*1000+54))</f>
        <v/>
      </c>
      <c r="GG171" s="39">
        <f>IF(N('Dvd Calendar'!$S$1689)=0,"",IF(('Dvd Calendar'!$S$1689&gt;=GRID_FROM)*('Dvd Calendar'!$S$1689&lt;=GRID_TO)*('Dvd Calendar'!$S$1689&gt;VAL_DATE)=0,"",'Dvd Calendar'!$S$1689*1000000000+ISNUMBER('Dvd Calendar'!$S$1690)*100000000+0*10000000+(N('Dvd Calendar'!$S$1688)&gt;0)*(N('Dvd Calendar'!$S$1688)&lt;=VAL_SERIAL)*1000000+12*1000+55))</f>
        <v/>
      </c>
      <c r="GH171" s="39">
        <f>IF(N('Dvd Calendar'!$T$1689)=0,"",IF(('Dvd Calendar'!$T$1689&gt;=GRID_FROM)*('Dvd Calendar'!$T$1689&lt;=GRID_TO)*('Dvd Calendar'!$T$1689&gt;VAL_DATE)=0,"",'Dvd Calendar'!$T$1689*1000000000+ISNUMBER('Dvd Calendar'!$T$1690)*100000000+0*10000000+(N('Dvd Calendar'!$T$1688)&gt;0)*(N('Dvd Calendar'!$T$1688)&lt;=VAL_SERIAL)*1000000+12*1000+56))</f>
        <v/>
      </c>
      <c r="GI171" s="39">
        <f>IF(N('Dvd Calendar'!$U$1689)=0,"",IF(('Dvd Calendar'!$U$1689&gt;=GRID_FROM)*('Dvd Calendar'!$U$1689&lt;=GRID_TO)*('Dvd Calendar'!$U$1689&gt;VAL_DATE)=0,"",'Dvd Calendar'!$U$1689*1000000000+ISNUMBER('Dvd Calendar'!$U$1690)*100000000+0*10000000+(N('Dvd Calendar'!$U$1688)&gt;0)*(N('Dvd Calendar'!$U$1688)&lt;=VAL_SERIAL)*1000000+12*1000+57))</f>
        <v/>
      </c>
      <c r="GJ171" s="39">
        <f>IF(N('Dvd Calendar'!$V$1689)=0,"",IF(('Dvd Calendar'!$V$1689&gt;=GRID_FROM)*('Dvd Calendar'!$V$1689&lt;=GRID_TO)*('Dvd Calendar'!$V$1689&gt;VAL_DATE)=0,"",'Dvd Calendar'!$V$1689*1000000000+ISNUMBER('Dvd Calendar'!$V$1690)*100000000+0*10000000+(N('Dvd Calendar'!$V$1688)&gt;0)*(N('Dvd Calendar'!$V$1688)&lt;=VAL_SERIAL)*1000000+12*1000+58))</f>
        <v/>
      </c>
      <c r="GK171" s="39">
        <f>IF(N('Dvd Calendar'!$W$1689)=0,"",IF(('Dvd Calendar'!$W$1689&gt;=GRID_FROM)*('Dvd Calendar'!$W$1689&lt;=GRID_TO)*('Dvd Calendar'!$W$1689&gt;VAL_DATE)=0,"",'Dvd Calendar'!$W$1689*1000000000+ISNUMBER('Dvd Calendar'!$W$1690)*100000000+0*10000000+(N('Dvd Calendar'!$W$1688)&gt;0)*(N('Dvd Calendar'!$W$1688)&lt;=VAL_SERIAL)*1000000+12*1000+59))</f>
        <v/>
      </c>
      <c r="GL171" s="39">
        <f>IF(N('Dvd Calendar'!$X$1689)=0,"",IF(('Dvd Calendar'!$X$1689&gt;=GRID_FROM)*('Dvd Calendar'!$X$1689&lt;=GRID_TO)*('Dvd Calendar'!$X$1689&gt;VAL_DATE)=0,"",'Dvd Calendar'!$X$1689*1000000000+ISNUMBER('Dvd Calendar'!$X$1690)*100000000+0*10000000+(N('Dvd Calendar'!$X$1688)&gt;0)*(N('Dvd Calendar'!$X$1688)&lt;=VAL_SERIAL)*1000000+12*1000+60))</f>
        <v/>
      </c>
      <c r="GM171" s="39">
        <f>IF(N('Dvd Calendar'!$Y$1689)=0,"",IF(('Dvd Calendar'!$Y$1689&gt;=GRID_FROM)*('Dvd Calendar'!$Y$1689&lt;=GRID_TO)*('Dvd Calendar'!$Y$1689&gt;VAL_DATE)=0,"",'Dvd Calendar'!$Y$1689*1000000000+ISNUMBER('Dvd Calendar'!$Y$1690)*100000000+0*10000000+(N('Dvd Calendar'!$Y$1688)&gt;0)*(N('Dvd Calendar'!$Y$1688)&lt;=VAL_SERIAL)*1000000+12*1000+61))</f>
        <v/>
      </c>
      <c r="GN171" s="39">
        <f>IF(N('Dvd Calendar'!$Z$1689)=0,"",IF(('Dvd Calendar'!$Z$1689&gt;=GRID_FROM)*('Dvd Calendar'!$Z$1689&lt;=GRID_TO)*('Dvd Calendar'!$Z$1689&gt;VAL_DATE)=0,"",'Dvd Calendar'!$Z$1689*1000000000+ISNUMBER('Dvd Calendar'!$Z$1690)*100000000+0*10000000+(N('Dvd Calendar'!$Z$1688)&gt;0)*(N('Dvd Calendar'!$Z$1688)&lt;=VAL_SERIAL)*1000000+12*1000+62))</f>
        <v/>
      </c>
      <c r="GO171" s="39">
        <f>IF(N('Dvd Calendar'!$AA$1689)=0,"",IF(('Dvd Calendar'!$AA$1689&gt;=GRID_FROM)*('Dvd Calendar'!$AA$1689&lt;=GRID_TO)*('Dvd Calendar'!$AA$1689&gt;VAL_DATE)=0,"",'Dvd Calendar'!$AA$1689*1000000000+ISNUMBER('Dvd Calendar'!$AA$1690)*100000000+0*10000000+(N('Dvd Calendar'!$AA$1688)&gt;0)*(N('Dvd Calendar'!$AA$1688)&lt;=VAL_SERIAL)*1000000+12*1000+63))</f>
        <v/>
      </c>
      <c r="GP171" s="39">
        <f>IF(N('Dvd Calendar'!$AB$1689)=0,"",IF(('Dvd Calendar'!$AB$1689&gt;=GRID_FROM)*('Dvd Calendar'!$AB$1689&lt;=GRID_TO)*('Dvd Calendar'!$AB$1689&gt;VAL_DATE)=0,"",'Dvd Calendar'!$AB$1689*1000000000+ISNUMBER('Dvd Calendar'!$AB$1690)*100000000+0*10000000+(N('Dvd Calendar'!$AB$1688)&gt;0)*(N('Dvd Calendar'!$AB$1688)&lt;=VAL_SERIAL)*1000000+12*1000+64))</f>
        <v/>
      </c>
      <c r="GQ171" s="39">
        <f>IF(N('Dvd Calendar'!$AC$1689)=0,"",IF(('Dvd Calendar'!$AC$1689&gt;=GRID_FROM)*('Dvd Calendar'!$AC$1689&lt;=GRID_TO)*('Dvd Calendar'!$AC$1689&gt;VAL_DATE)=0,"",'Dvd Calendar'!$AC$1689*1000000000+ISNUMBER('Dvd Calendar'!$AC$1690)*100000000+0*10000000+(N('Dvd Calendar'!$AC$1688)&gt;0)*(N('Dvd Calendar'!$AC$1688)&lt;=VAL_SERIAL)*1000000+12*1000+65))</f>
        <v/>
      </c>
    </row>
    <row r="172">
      <c r="B172" s="2">
        <f>IF(HSCEI!$C$19="","",HSCEI!$C$19)</f>
        <v/>
      </c>
      <c r="C172" s="110">
        <f>IF(EE172="","",IF(ISNUMBER('Dvd Calendar'!$E$1696)=FALSE,"",IF((('Dvd Calendar'!$E$1698=TYPE1)*(TYPE1&lt;&gt;"")+('Dvd Calendar'!$E$1698=TYPE2)*(TYPE2&lt;&gt;"")+('Dvd Calendar'!$E$1698=TYPE3)*(TYPE3&lt;&gt;"")+('Dvd Calendar'!$E$1698=TYPE4)*(TYPE4&lt;&gt;"")+('Dvd Calendar'!$E$1698=SPECIAL_LBL)*(INC_SPECIALS="Y"))=0,"",'Dvd Calendar'!$E$1696)))</f>
        <v/>
      </c>
      <c r="D172" s="110">
        <f>IF(EF172="","",IF(ISNUMBER('Dvd Calendar'!$F$1696)=FALSE,"",IF((('Dvd Calendar'!$F$1698=TYPE1)*(TYPE1&lt;&gt;"")+('Dvd Calendar'!$F$1698=TYPE2)*(TYPE2&lt;&gt;"")+('Dvd Calendar'!$F$1698=TYPE3)*(TYPE3&lt;&gt;"")+('Dvd Calendar'!$F$1698=TYPE4)*(TYPE4&lt;&gt;"")+('Dvd Calendar'!$F$1698=SPECIAL_LBL)*(INC_SPECIALS="Y"))=0,"",'Dvd Calendar'!$F$1696)))</f>
        <v/>
      </c>
      <c r="E172" s="110">
        <f>IF(EG172="","",IF(ISNUMBER('Dvd Calendar'!$G$1696)=FALSE,"",IF((('Dvd Calendar'!$G$1698=TYPE1)*(TYPE1&lt;&gt;"")+('Dvd Calendar'!$G$1698=TYPE2)*(TYPE2&lt;&gt;"")+('Dvd Calendar'!$G$1698=TYPE3)*(TYPE3&lt;&gt;"")+('Dvd Calendar'!$G$1698=TYPE4)*(TYPE4&lt;&gt;"")+('Dvd Calendar'!$G$1698=SPECIAL_LBL)*(INC_SPECIALS="Y"))=0,"",'Dvd Calendar'!$G$1696)))</f>
        <v/>
      </c>
      <c r="F172" s="110">
        <f>IF(EH172="","",IF(ISNUMBER('Dvd Calendar'!$H$1696)=FALSE,"",IF((('Dvd Calendar'!$H$1698=TYPE1)*(TYPE1&lt;&gt;"")+('Dvd Calendar'!$H$1698=TYPE2)*(TYPE2&lt;&gt;"")+('Dvd Calendar'!$H$1698=TYPE3)*(TYPE3&lt;&gt;"")+('Dvd Calendar'!$H$1698=TYPE4)*(TYPE4&lt;&gt;"")+('Dvd Calendar'!$H$1698=SPECIAL_LBL)*(INC_SPECIALS="Y"))=0,"",'Dvd Calendar'!$H$1696)))</f>
        <v/>
      </c>
      <c r="G172" s="110">
        <f>IF(EI172="","",IF(ISNUMBER('Dvd Calendar'!$I$1696)=FALSE,"",IF((('Dvd Calendar'!$I$1698=TYPE1)*(TYPE1&lt;&gt;"")+('Dvd Calendar'!$I$1698=TYPE2)*(TYPE2&lt;&gt;"")+('Dvd Calendar'!$I$1698=TYPE3)*(TYPE3&lt;&gt;"")+('Dvd Calendar'!$I$1698=TYPE4)*(TYPE4&lt;&gt;"")+('Dvd Calendar'!$I$1698=SPECIAL_LBL)*(INC_SPECIALS="Y"))=0,"",'Dvd Calendar'!$I$1696)))</f>
        <v/>
      </c>
      <c r="H172" s="110">
        <f>IF(EJ172="","",IF(ISNUMBER('Dvd Calendar'!$J$1696)=FALSE,"",IF((('Dvd Calendar'!$J$1698=TYPE1)*(TYPE1&lt;&gt;"")+('Dvd Calendar'!$J$1698=TYPE2)*(TYPE2&lt;&gt;"")+('Dvd Calendar'!$J$1698=TYPE3)*(TYPE3&lt;&gt;"")+('Dvd Calendar'!$J$1698=TYPE4)*(TYPE4&lt;&gt;"")+('Dvd Calendar'!$J$1698=SPECIAL_LBL)*(INC_SPECIALS="Y"))=0,"",'Dvd Calendar'!$J$1696)))</f>
        <v/>
      </c>
      <c r="I172" s="110">
        <f>IF(EK172="","",IF(ISNUMBER('Dvd Calendar'!$K$1696)=FALSE,"",IF((('Dvd Calendar'!$K$1698=TYPE1)*(TYPE1&lt;&gt;"")+('Dvd Calendar'!$K$1698=TYPE2)*(TYPE2&lt;&gt;"")+('Dvd Calendar'!$K$1698=TYPE3)*(TYPE3&lt;&gt;"")+('Dvd Calendar'!$K$1698=TYPE4)*(TYPE4&lt;&gt;"")+('Dvd Calendar'!$K$1698=SPECIAL_LBL)*(INC_SPECIALS="Y"))=0,"",'Dvd Calendar'!$K$1696)))</f>
        <v/>
      </c>
      <c r="J172" s="110">
        <f>IF(EL172="","",IF(ISNUMBER('Dvd Calendar'!$L$1696)=FALSE,"",IF((('Dvd Calendar'!$L$1698=TYPE1)*(TYPE1&lt;&gt;"")+('Dvd Calendar'!$L$1698=TYPE2)*(TYPE2&lt;&gt;"")+('Dvd Calendar'!$L$1698=TYPE3)*(TYPE3&lt;&gt;"")+('Dvd Calendar'!$L$1698=TYPE4)*(TYPE4&lt;&gt;"")+('Dvd Calendar'!$L$1698=SPECIAL_LBL)*(INC_SPECIALS="Y"))=0,"",'Dvd Calendar'!$L$1696)))</f>
        <v/>
      </c>
      <c r="K172" s="110">
        <f>IF(EM172="","",IF(ISNUMBER('Dvd Calendar'!$M$1696)=FALSE,"",IF((('Dvd Calendar'!$M$1698=TYPE1)*(TYPE1&lt;&gt;"")+('Dvd Calendar'!$M$1698=TYPE2)*(TYPE2&lt;&gt;"")+('Dvd Calendar'!$M$1698=TYPE3)*(TYPE3&lt;&gt;"")+('Dvd Calendar'!$M$1698=TYPE4)*(TYPE4&lt;&gt;"")+('Dvd Calendar'!$M$1698=SPECIAL_LBL)*(INC_SPECIALS="Y"))=0,"",'Dvd Calendar'!$M$1696)))</f>
        <v/>
      </c>
      <c r="L172" s="110">
        <f>IF(EN172="","",IF(ISNUMBER('Dvd Calendar'!$N$1696)=FALSE,"",IF((('Dvd Calendar'!$N$1698=TYPE1)*(TYPE1&lt;&gt;"")+('Dvd Calendar'!$N$1698=TYPE2)*(TYPE2&lt;&gt;"")+('Dvd Calendar'!$N$1698=TYPE3)*(TYPE3&lt;&gt;"")+('Dvd Calendar'!$N$1698=TYPE4)*(TYPE4&lt;&gt;"")+('Dvd Calendar'!$N$1698=SPECIAL_LBL)*(INC_SPECIALS="Y"))=0,"",'Dvd Calendar'!$N$1696)))</f>
        <v/>
      </c>
      <c r="M172" s="110">
        <f>IF(EO172="","",IF(ISNUMBER('Dvd Calendar'!$O$1696)=FALSE,"",IF((('Dvd Calendar'!$O$1698=TYPE1)*(TYPE1&lt;&gt;"")+('Dvd Calendar'!$O$1698=TYPE2)*(TYPE2&lt;&gt;"")+('Dvd Calendar'!$O$1698=TYPE3)*(TYPE3&lt;&gt;"")+('Dvd Calendar'!$O$1698=TYPE4)*(TYPE4&lt;&gt;"")+('Dvd Calendar'!$O$1698=SPECIAL_LBL)*(INC_SPECIALS="Y"))=0,"",'Dvd Calendar'!$O$1696)))</f>
        <v/>
      </c>
      <c r="N172" s="110">
        <f>IF(EP172="","",IF(ISNUMBER('Dvd Calendar'!$P$1696)=FALSE,"",IF((('Dvd Calendar'!$P$1698=TYPE1)*(TYPE1&lt;&gt;"")+('Dvd Calendar'!$P$1698=TYPE2)*(TYPE2&lt;&gt;"")+('Dvd Calendar'!$P$1698=TYPE3)*(TYPE3&lt;&gt;"")+('Dvd Calendar'!$P$1698=TYPE4)*(TYPE4&lt;&gt;"")+('Dvd Calendar'!$P$1698=SPECIAL_LBL)*(INC_SPECIALS="Y"))=0,"",'Dvd Calendar'!$P$1696)))</f>
        <v/>
      </c>
      <c r="O172" s="110">
        <f>IF(EQ172="","",IF(ISNUMBER('Dvd Calendar'!$Q$1696)=FALSE,"",IF((('Dvd Calendar'!$Q$1698=TYPE1)*(TYPE1&lt;&gt;"")+('Dvd Calendar'!$Q$1698=TYPE2)*(TYPE2&lt;&gt;"")+('Dvd Calendar'!$Q$1698=TYPE3)*(TYPE3&lt;&gt;"")+('Dvd Calendar'!$Q$1698=TYPE4)*(TYPE4&lt;&gt;"")+('Dvd Calendar'!$Q$1698=SPECIAL_LBL)*(INC_SPECIALS="Y"))=0,"",'Dvd Calendar'!$Q$1696)))</f>
        <v/>
      </c>
      <c r="P172" s="110">
        <f>IF(ER172="","",IF(ISNUMBER('Dvd Calendar'!$R$1696)=FALSE,"",IF((('Dvd Calendar'!$R$1698=TYPE1)*(TYPE1&lt;&gt;"")+('Dvd Calendar'!$R$1698=TYPE2)*(TYPE2&lt;&gt;"")+('Dvd Calendar'!$R$1698=TYPE3)*(TYPE3&lt;&gt;"")+('Dvd Calendar'!$R$1698=TYPE4)*(TYPE4&lt;&gt;"")+('Dvd Calendar'!$R$1698=SPECIAL_LBL)*(INC_SPECIALS="Y"))=0,"",'Dvd Calendar'!$R$1696)))</f>
        <v/>
      </c>
      <c r="Q172" s="110">
        <f>IF(ES172="","",IF(ISNUMBER('Dvd Calendar'!$S$1696)=FALSE,"",IF((('Dvd Calendar'!$S$1698=TYPE1)*(TYPE1&lt;&gt;"")+('Dvd Calendar'!$S$1698=TYPE2)*(TYPE2&lt;&gt;"")+('Dvd Calendar'!$S$1698=TYPE3)*(TYPE3&lt;&gt;"")+('Dvd Calendar'!$S$1698=TYPE4)*(TYPE4&lt;&gt;"")+('Dvd Calendar'!$S$1698=SPECIAL_LBL)*(INC_SPECIALS="Y"))=0,"",'Dvd Calendar'!$S$1696)))</f>
        <v/>
      </c>
      <c r="R172" s="110">
        <f>IF(ET172="","",IF(ISNUMBER('Dvd Calendar'!$T$1696)=FALSE,"",IF((('Dvd Calendar'!$T$1698=TYPE1)*(TYPE1&lt;&gt;"")+('Dvd Calendar'!$T$1698=TYPE2)*(TYPE2&lt;&gt;"")+('Dvd Calendar'!$T$1698=TYPE3)*(TYPE3&lt;&gt;"")+('Dvd Calendar'!$T$1698=TYPE4)*(TYPE4&lt;&gt;"")+('Dvd Calendar'!$T$1698=SPECIAL_LBL)*(INC_SPECIALS="Y"))=0,"",'Dvd Calendar'!$T$1696)))</f>
        <v/>
      </c>
      <c r="S172" s="110">
        <f>IF(EU172="","",IF(ISNUMBER('Dvd Calendar'!$U$1696)=FALSE,"",IF((('Dvd Calendar'!$U$1698=TYPE1)*(TYPE1&lt;&gt;"")+('Dvd Calendar'!$U$1698=TYPE2)*(TYPE2&lt;&gt;"")+('Dvd Calendar'!$U$1698=TYPE3)*(TYPE3&lt;&gt;"")+('Dvd Calendar'!$U$1698=TYPE4)*(TYPE4&lt;&gt;"")+('Dvd Calendar'!$U$1698=SPECIAL_LBL)*(INC_SPECIALS="Y"))=0,"",'Dvd Calendar'!$U$1696)))</f>
        <v/>
      </c>
      <c r="T172" s="110">
        <f>IF(EV172="","",IF(ISNUMBER('Dvd Calendar'!$V$1696)=FALSE,"",IF((('Dvd Calendar'!$V$1698=TYPE1)*(TYPE1&lt;&gt;"")+('Dvd Calendar'!$V$1698=TYPE2)*(TYPE2&lt;&gt;"")+('Dvd Calendar'!$V$1698=TYPE3)*(TYPE3&lt;&gt;"")+('Dvd Calendar'!$V$1698=TYPE4)*(TYPE4&lt;&gt;"")+('Dvd Calendar'!$V$1698=SPECIAL_LBL)*(INC_SPECIALS="Y"))=0,"",'Dvd Calendar'!$V$1696)))</f>
        <v/>
      </c>
      <c r="U172" s="110">
        <f>IF(EW172="","",IF(ISNUMBER('Dvd Calendar'!$W$1696)=FALSE,"",IF((('Dvd Calendar'!$W$1698=TYPE1)*(TYPE1&lt;&gt;"")+('Dvd Calendar'!$W$1698=TYPE2)*(TYPE2&lt;&gt;"")+('Dvd Calendar'!$W$1698=TYPE3)*(TYPE3&lt;&gt;"")+('Dvd Calendar'!$W$1698=TYPE4)*(TYPE4&lt;&gt;"")+('Dvd Calendar'!$W$1698=SPECIAL_LBL)*(INC_SPECIALS="Y"))=0,"",'Dvd Calendar'!$W$1696)))</f>
        <v/>
      </c>
      <c r="V172" s="110">
        <f>IF(EX172="","",IF(ISNUMBER('Dvd Calendar'!$X$1696)=FALSE,"",IF((('Dvd Calendar'!$X$1698=TYPE1)*(TYPE1&lt;&gt;"")+('Dvd Calendar'!$X$1698=TYPE2)*(TYPE2&lt;&gt;"")+('Dvd Calendar'!$X$1698=TYPE3)*(TYPE3&lt;&gt;"")+('Dvd Calendar'!$X$1698=TYPE4)*(TYPE4&lt;&gt;"")+('Dvd Calendar'!$X$1698=SPECIAL_LBL)*(INC_SPECIALS="Y"))=0,"",'Dvd Calendar'!$X$1696)))</f>
        <v/>
      </c>
      <c r="W172" s="110">
        <f>IF(EY172="","",IF(ISNUMBER('Dvd Calendar'!$Y$1696)=FALSE,"",IF((('Dvd Calendar'!$Y$1698=TYPE1)*(TYPE1&lt;&gt;"")+('Dvd Calendar'!$Y$1698=TYPE2)*(TYPE2&lt;&gt;"")+('Dvd Calendar'!$Y$1698=TYPE3)*(TYPE3&lt;&gt;"")+('Dvd Calendar'!$Y$1698=TYPE4)*(TYPE4&lt;&gt;"")+('Dvd Calendar'!$Y$1698=SPECIAL_LBL)*(INC_SPECIALS="Y"))=0,"",'Dvd Calendar'!$Y$1696)))</f>
        <v/>
      </c>
      <c r="X172" s="110">
        <f>IF(EZ172="","",IF(ISNUMBER('Dvd Calendar'!$Z$1696)=FALSE,"",IF((('Dvd Calendar'!$Z$1698=TYPE1)*(TYPE1&lt;&gt;"")+('Dvd Calendar'!$Z$1698=TYPE2)*(TYPE2&lt;&gt;"")+('Dvd Calendar'!$Z$1698=TYPE3)*(TYPE3&lt;&gt;"")+('Dvd Calendar'!$Z$1698=TYPE4)*(TYPE4&lt;&gt;"")+('Dvd Calendar'!$Z$1698=SPECIAL_LBL)*(INC_SPECIALS="Y"))=0,"",'Dvd Calendar'!$Z$1696)))</f>
        <v/>
      </c>
      <c r="Y172" s="110">
        <f>IF(FA172="","",IF(ISNUMBER('Dvd Calendar'!$AA$1696)=FALSE,"",IF((('Dvd Calendar'!$AA$1698=TYPE1)*(TYPE1&lt;&gt;"")+('Dvd Calendar'!$AA$1698=TYPE2)*(TYPE2&lt;&gt;"")+('Dvd Calendar'!$AA$1698=TYPE3)*(TYPE3&lt;&gt;"")+('Dvd Calendar'!$AA$1698=TYPE4)*(TYPE4&lt;&gt;"")+('Dvd Calendar'!$AA$1698=SPECIAL_LBL)*(INC_SPECIALS="Y"))=0,"",'Dvd Calendar'!$AA$1696)))</f>
        <v/>
      </c>
      <c r="Z172" s="110">
        <f>IF(FB172="","",IF(ISNUMBER('Dvd Calendar'!$AB$1696)=FALSE,"",IF((('Dvd Calendar'!$AB$1698=TYPE1)*(TYPE1&lt;&gt;"")+('Dvd Calendar'!$AB$1698=TYPE2)*(TYPE2&lt;&gt;"")+('Dvd Calendar'!$AB$1698=TYPE3)*(TYPE3&lt;&gt;"")+('Dvd Calendar'!$AB$1698=TYPE4)*(TYPE4&lt;&gt;"")+('Dvd Calendar'!$AB$1698=SPECIAL_LBL)*(INC_SPECIALS="Y"))=0,"",'Dvd Calendar'!$AB$1696)))</f>
        <v/>
      </c>
      <c r="AA172" s="110">
        <f>IF(FC172="","",IF(ISNUMBER('Dvd Calendar'!$AC$1696)=FALSE,"",IF((('Dvd Calendar'!$AC$1698=TYPE1)*(TYPE1&lt;&gt;"")+('Dvd Calendar'!$AC$1698=TYPE2)*(TYPE2&lt;&gt;"")+('Dvd Calendar'!$AC$1698=TYPE3)*(TYPE3&lt;&gt;"")+('Dvd Calendar'!$AC$1698=TYPE4)*(TYPE4&lt;&gt;"")+('Dvd Calendar'!$AC$1698=SPECIAL_LBL)*(INC_SPECIALS="Y"))=0,"",'Dvd Calendar'!$AC$1696)))</f>
        <v/>
      </c>
      <c r="AB172" s="110">
        <f>IF(FD172="","",IF(ISNUMBER('Dvd Calendar'!$AD$1696)=FALSE,"",IF((('Dvd Calendar'!$AD$1698=TYPE1)*(TYPE1&lt;&gt;"")+('Dvd Calendar'!$AD$1698=TYPE2)*(TYPE2&lt;&gt;"")+('Dvd Calendar'!$AD$1698=TYPE3)*(TYPE3&lt;&gt;"")+('Dvd Calendar'!$AD$1698=TYPE4)*(TYPE4&lt;&gt;"")+('Dvd Calendar'!$AD$1698=SPECIAL_LBL)*(INC_SPECIALS="Y"))=0,"",'Dvd Calendar'!$AD$1696)))</f>
        <v/>
      </c>
      <c r="AC172" s="110">
        <f>IF(FE172="","",IF(ISNUMBER('Dvd Calendar'!$AE$1696)=FALSE,"",IF((('Dvd Calendar'!$AE$1698=TYPE1)*(TYPE1&lt;&gt;"")+('Dvd Calendar'!$AE$1698=TYPE2)*(TYPE2&lt;&gt;"")+('Dvd Calendar'!$AE$1698=TYPE3)*(TYPE3&lt;&gt;"")+('Dvd Calendar'!$AE$1698=TYPE4)*(TYPE4&lt;&gt;"")+('Dvd Calendar'!$AE$1698=SPECIAL_LBL)*(INC_SPECIALS="Y"))=0,"",'Dvd Calendar'!$AE$1696)))</f>
        <v/>
      </c>
      <c r="AD172" s="110">
        <f>IF(FF172="","",IF(ISNUMBER('Dvd Calendar'!$AF$1696)=FALSE,"",IF((('Dvd Calendar'!$AF$1698=TYPE1)*(TYPE1&lt;&gt;"")+('Dvd Calendar'!$AF$1698=TYPE2)*(TYPE2&lt;&gt;"")+('Dvd Calendar'!$AF$1698=TYPE3)*(TYPE3&lt;&gt;"")+('Dvd Calendar'!$AF$1698=TYPE4)*(TYPE4&lt;&gt;"")+('Dvd Calendar'!$AF$1698=SPECIAL_LBL)*(INC_SPECIALS="Y"))=0,"",'Dvd Calendar'!$AF$1696)))</f>
        <v/>
      </c>
      <c r="AE172" s="110">
        <f>IF(FG172="","",IF(ISNUMBER('Dvd Calendar'!$AG$1696)=FALSE,"",IF((('Dvd Calendar'!$AG$1698=TYPE1)*(TYPE1&lt;&gt;"")+('Dvd Calendar'!$AG$1698=TYPE2)*(TYPE2&lt;&gt;"")+('Dvd Calendar'!$AG$1698=TYPE3)*(TYPE3&lt;&gt;"")+('Dvd Calendar'!$AG$1698=TYPE4)*(TYPE4&lt;&gt;"")+('Dvd Calendar'!$AG$1698=SPECIAL_LBL)*(INC_SPECIALS="Y"))=0,"",'Dvd Calendar'!$AG$1696)))</f>
        <v/>
      </c>
      <c r="AF172" s="110">
        <f>IF(FH172="","",IF(ISNUMBER('Dvd Calendar'!$AH$1696)=FALSE,"",IF((('Dvd Calendar'!$AH$1698=TYPE1)*(TYPE1&lt;&gt;"")+('Dvd Calendar'!$AH$1698=TYPE2)*(TYPE2&lt;&gt;"")+('Dvd Calendar'!$AH$1698=TYPE3)*(TYPE3&lt;&gt;"")+('Dvd Calendar'!$AH$1698=TYPE4)*(TYPE4&lt;&gt;"")+('Dvd Calendar'!$AH$1698=SPECIAL_LBL)*(INC_SPECIALS="Y"))=0,"",'Dvd Calendar'!$AH$1696)))</f>
        <v/>
      </c>
      <c r="AG172" s="110">
        <f>IF(FI172="","",IF(ISNUMBER('Dvd Calendar'!$AI$1696)=FALSE,"",IF((('Dvd Calendar'!$AI$1698=TYPE1)*(TYPE1&lt;&gt;"")+('Dvd Calendar'!$AI$1698=TYPE2)*(TYPE2&lt;&gt;"")+('Dvd Calendar'!$AI$1698=TYPE3)*(TYPE3&lt;&gt;"")+('Dvd Calendar'!$AI$1698=TYPE4)*(TYPE4&lt;&gt;"")+('Dvd Calendar'!$AI$1698=SPECIAL_LBL)*(INC_SPECIALS="Y"))=0,"",'Dvd Calendar'!$AI$1696)))</f>
        <v/>
      </c>
      <c r="AH172" s="110">
        <f>IF(FJ172="","",IF(ISNUMBER('Dvd Calendar'!$AJ$1696)=FALSE,"",IF((('Dvd Calendar'!$AJ$1698=TYPE1)*(TYPE1&lt;&gt;"")+('Dvd Calendar'!$AJ$1698=TYPE2)*(TYPE2&lt;&gt;"")+('Dvd Calendar'!$AJ$1698=TYPE3)*(TYPE3&lt;&gt;"")+('Dvd Calendar'!$AJ$1698=TYPE4)*(TYPE4&lt;&gt;"")+('Dvd Calendar'!$AJ$1698=SPECIAL_LBL)*(INC_SPECIALS="Y"))=0,"",'Dvd Calendar'!$AJ$1696)))</f>
        <v/>
      </c>
      <c r="AI172" s="110">
        <f>IF(FK172="","",IF(ISNUMBER('Dvd Calendar'!$AK$1696)=FALSE,"",IF((('Dvd Calendar'!$AK$1698=TYPE1)*(TYPE1&lt;&gt;"")+('Dvd Calendar'!$AK$1698=TYPE2)*(TYPE2&lt;&gt;"")+('Dvd Calendar'!$AK$1698=TYPE3)*(TYPE3&lt;&gt;"")+('Dvd Calendar'!$AK$1698=TYPE4)*(TYPE4&lt;&gt;"")+('Dvd Calendar'!$AK$1698=SPECIAL_LBL)*(INC_SPECIALS="Y"))=0,"",'Dvd Calendar'!$AK$1696)))</f>
        <v/>
      </c>
      <c r="AJ172" s="110">
        <f>IF(FL172="","",IF(ISNUMBER('Dvd Calendar'!$AL$1696)=FALSE,"",IF((('Dvd Calendar'!$AL$1698=TYPE1)*(TYPE1&lt;&gt;"")+('Dvd Calendar'!$AL$1698=TYPE2)*(TYPE2&lt;&gt;"")+('Dvd Calendar'!$AL$1698=TYPE3)*(TYPE3&lt;&gt;"")+('Dvd Calendar'!$AL$1698=TYPE4)*(TYPE4&lt;&gt;"")+('Dvd Calendar'!$AL$1698=SPECIAL_LBL)*(INC_SPECIALS="Y"))=0,"",'Dvd Calendar'!$AL$1696)))</f>
        <v/>
      </c>
      <c r="AK172" s="110">
        <f>IF(FM172="","",IF(ISNUMBER('Dvd Calendar'!$AM$1696)=FALSE,"",IF((('Dvd Calendar'!$AM$1698=TYPE1)*(TYPE1&lt;&gt;"")+('Dvd Calendar'!$AM$1698=TYPE2)*(TYPE2&lt;&gt;"")+('Dvd Calendar'!$AM$1698=TYPE3)*(TYPE3&lt;&gt;"")+('Dvd Calendar'!$AM$1698=TYPE4)*(TYPE4&lt;&gt;"")+('Dvd Calendar'!$AM$1698=SPECIAL_LBL)*(INC_SPECIALS="Y"))=0,"",'Dvd Calendar'!$AM$1696)))</f>
        <v/>
      </c>
      <c r="AL172" s="110">
        <f>IF(FN172="","",IF(ISNUMBER('Dvd Calendar'!$AN$1696)=FALSE,"",IF((('Dvd Calendar'!$AN$1698=TYPE1)*(TYPE1&lt;&gt;"")+('Dvd Calendar'!$AN$1698=TYPE2)*(TYPE2&lt;&gt;"")+('Dvd Calendar'!$AN$1698=TYPE3)*(TYPE3&lt;&gt;"")+('Dvd Calendar'!$AN$1698=TYPE4)*(TYPE4&lt;&gt;"")+('Dvd Calendar'!$AN$1698=SPECIAL_LBL)*(INC_SPECIALS="Y"))=0,"",'Dvd Calendar'!$AN$1696)))</f>
        <v/>
      </c>
      <c r="AM172" s="110">
        <f>IF(FO172="","",IF(ISNUMBER('Dvd Calendar'!$AO$1696)=FALSE,"",IF((('Dvd Calendar'!$AO$1698=TYPE1)*(TYPE1&lt;&gt;"")+('Dvd Calendar'!$AO$1698=TYPE2)*(TYPE2&lt;&gt;"")+('Dvd Calendar'!$AO$1698=TYPE3)*(TYPE3&lt;&gt;"")+('Dvd Calendar'!$AO$1698=TYPE4)*(TYPE4&lt;&gt;"")+('Dvd Calendar'!$AO$1698=SPECIAL_LBL)*(INC_SPECIALS="Y"))=0,"",'Dvd Calendar'!$AO$1696)))</f>
        <v/>
      </c>
      <c r="AN172" s="110">
        <f>IF(FP172="","",IF(ISNUMBER('Dvd Calendar'!$AP$1696)=FALSE,"",IF((('Dvd Calendar'!$AP$1698=TYPE1)*(TYPE1&lt;&gt;"")+('Dvd Calendar'!$AP$1698=TYPE2)*(TYPE2&lt;&gt;"")+('Dvd Calendar'!$AP$1698=TYPE3)*(TYPE3&lt;&gt;"")+('Dvd Calendar'!$AP$1698=TYPE4)*(TYPE4&lt;&gt;"")+('Dvd Calendar'!$AP$1698=SPECIAL_LBL)*(INC_SPECIALS="Y"))=0,"",'Dvd Calendar'!$AP$1696)))</f>
        <v/>
      </c>
      <c r="AO172" s="110">
        <f>IF(FQ172="","",IF(ISNUMBER('Dvd Calendar'!$AQ$1696)=FALSE,"",IF((('Dvd Calendar'!$AQ$1698=TYPE1)*(TYPE1&lt;&gt;"")+('Dvd Calendar'!$AQ$1698=TYPE2)*(TYPE2&lt;&gt;"")+('Dvd Calendar'!$AQ$1698=TYPE3)*(TYPE3&lt;&gt;"")+('Dvd Calendar'!$AQ$1698=TYPE4)*(TYPE4&lt;&gt;"")+('Dvd Calendar'!$AQ$1698=SPECIAL_LBL)*(INC_SPECIALS="Y"))=0,"",'Dvd Calendar'!$AQ$1696)))</f>
        <v/>
      </c>
      <c r="AP172" s="110">
        <f>IF(FR172="","",IF(ISNUMBER('Dvd Calendar'!$AR$1696)=FALSE,"",IF((('Dvd Calendar'!$AR$1698=TYPE1)*(TYPE1&lt;&gt;"")+('Dvd Calendar'!$AR$1698=TYPE2)*(TYPE2&lt;&gt;"")+('Dvd Calendar'!$AR$1698=TYPE3)*(TYPE3&lt;&gt;"")+('Dvd Calendar'!$AR$1698=TYPE4)*(TYPE4&lt;&gt;"")+('Dvd Calendar'!$AR$1698=SPECIAL_LBL)*(INC_SPECIALS="Y"))=0,"",'Dvd Calendar'!$AR$1696)))</f>
        <v/>
      </c>
      <c r="AQ172" s="110">
        <f>IF(FS172="","",IF(ISNUMBER('Dvd Calendar'!$E$1701)=FALSE,"",'Dvd Calendar'!$E$1701))</f>
        <v/>
      </c>
      <c r="AR172" s="110">
        <f>IF(FT172="","",IF(ISNUMBER('Dvd Calendar'!$F$1701)=FALSE,"",'Dvd Calendar'!$F$1701))</f>
        <v/>
      </c>
      <c r="AS172" s="110">
        <f>IF(FU172="","",IF(ISNUMBER('Dvd Calendar'!$G$1701)=FALSE,"",'Dvd Calendar'!$G$1701))</f>
        <v/>
      </c>
      <c r="AT172" s="110">
        <f>IF(FV172="","",IF(ISNUMBER('Dvd Calendar'!$H$1701)=FALSE,"",'Dvd Calendar'!$H$1701))</f>
        <v/>
      </c>
      <c r="AU172" s="110">
        <f>IF(FW172="","",IF(ISNUMBER('Dvd Calendar'!$I$1701)=FALSE,"",'Dvd Calendar'!$I$1701))</f>
        <v/>
      </c>
      <c r="AV172" s="110">
        <f>IF(FX172="","",IF(ISNUMBER('Dvd Calendar'!$J$1701)=FALSE,"",'Dvd Calendar'!$J$1701))</f>
        <v/>
      </c>
      <c r="AW172" s="110">
        <f>IF(FY172="","",IF(ISNUMBER('Dvd Calendar'!$K$1701)=FALSE,"",'Dvd Calendar'!$K$1701))</f>
        <v/>
      </c>
      <c r="AX172" s="110">
        <f>IF(FZ172="","",IF(ISNUMBER('Dvd Calendar'!$L$1701)=FALSE,"",'Dvd Calendar'!$L$1701))</f>
        <v/>
      </c>
      <c r="AY172" s="110">
        <f>IF(GA172="","",IF(ISNUMBER('Dvd Calendar'!$M$1701)=FALSE,"",'Dvd Calendar'!$M$1701))</f>
        <v/>
      </c>
      <c r="AZ172" s="110">
        <f>IF(GB172="","",IF(ISNUMBER('Dvd Calendar'!$N$1701)=FALSE,"",'Dvd Calendar'!$N$1701))</f>
        <v/>
      </c>
      <c r="BA172" s="110">
        <f>IF(GC172="","",IF(ISNUMBER('Dvd Calendar'!$O$1701)=FALSE,"",'Dvd Calendar'!$O$1701))</f>
        <v/>
      </c>
      <c r="BB172" s="110">
        <f>IF(GD172="","",IF(ISNUMBER('Dvd Calendar'!$P$1701)=FALSE,"",'Dvd Calendar'!$P$1701))</f>
        <v/>
      </c>
      <c r="BC172" s="110">
        <f>IF(GE172="","",IF(ISNUMBER('Dvd Calendar'!$Q$1701)=FALSE,"",'Dvd Calendar'!$Q$1701))</f>
        <v/>
      </c>
      <c r="BD172" s="110">
        <f>IF(GF172="","",IF(ISNUMBER('Dvd Calendar'!$R$1701)=FALSE,"",'Dvd Calendar'!$R$1701))</f>
        <v/>
      </c>
      <c r="BE172" s="110">
        <f>IF(GG172="","",IF(ISNUMBER('Dvd Calendar'!$S$1701)=FALSE,"",'Dvd Calendar'!$S$1701))</f>
        <v/>
      </c>
      <c r="BF172" s="110">
        <f>IF(GH172="","",IF(ISNUMBER('Dvd Calendar'!$T$1701)=FALSE,"",'Dvd Calendar'!$T$1701))</f>
        <v/>
      </c>
      <c r="BG172" s="110">
        <f>IF(GI172="","",IF(ISNUMBER('Dvd Calendar'!$U$1701)=FALSE,"",'Dvd Calendar'!$U$1701))</f>
        <v/>
      </c>
      <c r="BH172" s="110">
        <f>IF(GJ172="","",IF(ISNUMBER('Dvd Calendar'!$V$1701)=FALSE,"",'Dvd Calendar'!$V$1701))</f>
        <v/>
      </c>
      <c r="BI172" s="110">
        <f>IF(GK172="","",IF(ISNUMBER('Dvd Calendar'!$W$1701)=FALSE,"",'Dvd Calendar'!$W$1701))</f>
        <v/>
      </c>
      <c r="BJ172" s="110">
        <f>IF(GL172="","",IF(ISNUMBER('Dvd Calendar'!$X$1701)=FALSE,"",'Dvd Calendar'!$X$1701))</f>
        <v/>
      </c>
      <c r="BK172" s="110">
        <f>IF(GM172="","",IF(ISNUMBER('Dvd Calendar'!$Y$1701)=FALSE,"",'Dvd Calendar'!$Y$1701))</f>
        <v/>
      </c>
      <c r="BL172" s="110">
        <f>IF(GN172="","",IF(ISNUMBER('Dvd Calendar'!$Z$1701)=FALSE,"",'Dvd Calendar'!$Z$1701))</f>
        <v/>
      </c>
      <c r="BM172" s="110">
        <f>IF(GO172="","",IF(ISNUMBER('Dvd Calendar'!$AA$1701)=FALSE,"",'Dvd Calendar'!$AA$1701))</f>
        <v/>
      </c>
      <c r="BN172" s="110">
        <f>IF(GP172="","",IF(ISNUMBER('Dvd Calendar'!$AB$1701)=FALSE,"",'Dvd Calendar'!$AB$1701))</f>
        <v/>
      </c>
      <c r="BO172" s="110">
        <f>IF(GQ172="","",IF(ISNUMBER('Dvd Calendar'!$AC$1701)=FALSE,"",'Dvd Calendar'!$AC$1701))</f>
        <v/>
      </c>
      <c r="BQ172" s="110">
        <f>IF(C172="","",IFERROR(C172*HSCEI!$B$19*HSCEI!$G$19/HSCEI!$B$3,""))</f>
        <v/>
      </c>
      <c r="BR172" s="110">
        <f>IF(D172="","",IFERROR(D172*HSCEI!$B$19*HSCEI!$G$19/HSCEI!$B$3,""))</f>
        <v/>
      </c>
      <c r="BS172" s="110">
        <f>IF(E172="","",IFERROR(E172*HSCEI!$B$19*HSCEI!$G$19/HSCEI!$B$3,""))</f>
        <v/>
      </c>
      <c r="BT172" s="110">
        <f>IF(F172="","",IFERROR(F172*HSCEI!$B$19*HSCEI!$G$19/HSCEI!$B$3,""))</f>
        <v/>
      </c>
      <c r="BU172" s="110">
        <f>IF(G172="","",IFERROR(G172*HSCEI!$B$19*HSCEI!$G$19/HSCEI!$B$3,""))</f>
        <v/>
      </c>
      <c r="BV172" s="110">
        <f>IF(H172="","",IFERROR(H172*HSCEI!$B$19*HSCEI!$G$19/HSCEI!$B$3,""))</f>
        <v/>
      </c>
      <c r="BW172" s="110">
        <f>IF(I172="","",IFERROR(I172*HSCEI!$B$19*HSCEI!$G$19/HSCEI!$B$3,""))</f>
        <v/>
      </c>
      <c r="BX172" s="110">
        <f>IF(J172="","",IFERROR(J172*HSCEI!$B$19*HSCEI!$G$19/HSCEI!$B$3,""))</f>
        <v/>
      </c>
      <c r="BY172" s="110">
        <f>IF(K172="","",IFERROR(K172*HSCEI!$B$19*HSCEI!$G$19/HSCEI!$B$3,""))</f>
        <v/>
      </c>
      <c r="BZ172" s="110">
        <f>IF(L172="","",IFERROR(L172*HSCEI!$B$19*HSCEI!$G$19/HSCEI!$B$3,""))</f>
        <v/>
      </c>
      <c r="CA172" s="110">
        <f>IF(M172="","",IFERROR(M172*HSCEI!$B$19*HSCEI!$G$19/HSCEI!$B$3,""))</f>
        <v/>
      </c>
      <c r="CB172" s="110">
        <f>IF(N172="","",IFERROR(N172*HSCEI!$B$19*HSCEI!$G$19/HSCEI!$B$3,""))</f>
        <v/>
      </c>
      <c r="CC172" s="110">
        <f>IF(O172="","",IFERROR(O172*HSCEI!$B$19*HSCEI!$G$19/HSCEI!$B$3,""))</f>
        <v/>
      </c>
      <c r="CD172" s="110">
        <f>IF(P172="","",IFERROR(P172*HSCEI!$B$19*HSCEI!$G$19/HSCEI!$B$3,""))</f>
        <v/>
      </c>
      <c r="CE172" s="110">
        <f>IF(Q172="","",IFERROR(Q172*HSCEI!$B$19*HSCEI!$G$19/HSCEI!$B$3,""))</f>
        <v/>
      </c>
      <c r="CF172" s="110">
        <f>IF(R172="","",IFERROR(R172*HSCEI!$B$19*HSCEI!$G$19/HSCEI!$B$3,""))</f>
        <v/>
      </c>
      <c r="CG172" s="110">
        <f>IF(S172="","",IFERROR(S172*HSCEI!$B$19*HSCEI!$G$19/HSCEI!$B$3,""))</f>
        <v/>
      </c>
      <c r="CH172" s="110">
        <f>IF(T172="","",IFERROR(T172*HSCEI!$B$19*HSCEI!$G$19/HSCEI!$B$3,""))</f>
        <v/>
      </c>
      <c r="CI172" s="110">
        <f>IF(U172="","",IFERROR(U172*HSCEI!$B$19*HSCEI!$G$19/HSCEI!$B$3,""))</f>
        <v/>
      </c>
      <c r="CJ172" s="110">
        <f>IF(V172="","",IFERROR(V172*HSCEI!$B$19*HSCEI!$G$19/HSCEI!$B$3,""))</f>
        <v/>
      </c>
      <c r="CK172" s="110">
        <f>IF(W172="","",IFERROR(W172*HSCEI!$B$19*HSCEI!$G$19/HSCEI!$B$3,""))</f>
        <v/>
      </c>
      <c r="CL172" s="110">
        <f>IF(X172="","",IFERROR(X172*HSCEI!$B$19*HSCEI!$G$19/HSCEI!$B$3,""))</f>
        <v/>
      </c>
      <c r="CM172" s="110">
        <f>IF(Y172="","",IFERROR(Y172*HSCEI!$B$19*HSCEI!$G$19/HSCEI!$B$3,""))</f>
        <v/>
      </c>
      <c r="CN172" s="110">
        <f>IF(Z172="","",IFERROR(Z172*HSCEI!$B$19*HSCEI!$G$19/HSCEI!$B$3,""))</f>
        <v/>
      </c>
      <c r="CO172" s="110">
        <f>IF(AA172="","",IFERROR(AA172*HSCEI!$B$19*HSCEI!$G$19/HSCEI!$B$3,""))</f>
        <v/>
      </c>
      <c r="CP172" s="110">
        <f>IF(AB172="","",IFERROR(AB172*HSCEI!$B$19*HSCEI!$G$19/HSCEI!$B$3,""))</f>
        <v/>
      </c>
      <c r="CQ172" s="110">
        <f>IF(AC172="","",IFERROR(AC172*HSCEI!$B$19*HSCEI!$G$19/HSCEI!$B$3,""))</f>
        <v/>
      </c>
      <c r="CR172" s="110">
        <f>IF(AD172="","",IFERROR(AD172*HSCEI!$B$19*HSCEI!$G$19/HSCEI!$B$3,""))</f>
        <v/>
      </c>
      <c r="CS172" s="110">
        <f>IF(AE172="","",IFERROR(AE172*HSCEI!$B$19*HSCEI!$G$19/HSCEI!$B$3,""))</f>
        <v/>
      </c>
      <c r="CT172" s="110">
        <f>IF(AF172="","",IFERROR(AF172*HSCEI!$B$19*HSCEI!$G$19/HSCEI!$B$3,""))</f>
        <v/>
      </c>
      <c r="CU172" s="110">
        <f>IF(AG172="","",IFERROR(AG172*HSCEI!$B$19*HSCEI!$G$19/HSCEI!$B$3,""))</f>
        <v/>
      </c>
      <c r="CV172" s="110">
        <f>IF(AH172="","",IFERROR(AH172*HSCEI!$B$19*HSCEI!$G$19/HSCEI!$B$3,""))</f>
        <v/>
      </c>
      <c r="CW172" s="110">
        <f>IF(AI172="","",IFERROR(AI172*HSCEI!$B$19*HSCEI!$G$19/HSCEI!$B$3,""))</f>
        <v/>
      </c>
      <c r="CX172" s="110">
        <f>IF(AJ172="","",IFERROR(AJ172*HSCEI!$B$19*HSCEI!$G$19/HSCEI!$B$3,""))</f>
        <v/>
      </c>
      <c r="CY172" s="110">
        <f>IF(AK172="","",IFERROR(AK172*HSCEI!$B$19*HSCEI!$G$19/HSCEI!$B$3,""))</f>
        <v/>
      </c>
      <c r="CZ172" s="110">
        <f>IF(AL172="","",IFERROR(AL172*HSCEI!$B$19*HSCEI!$G$19/HSCEI!$B$3,""))</f>
        <v/>
      </c>
      <c r="DA172" s="110">
        <f>IF(AM172="","",IFERROR(AM172*HSCEI!$B$19*HSCEI!$G$19/HSCEI!$B$3,""))</f>
        <v/>
      </c>
      <c r="DB172" s="110">
        <f>IF(AN172="","",IFERROR(AN172*HSCEI!$B$19*HSCEI!$G$19/HSCEI!$B$3,""))</f>
        <v/>
      </c>
      <c r="DC172" s="110">
        <f>IF(AO172="","",IFERROR(AO172*HSCEI!$B$19*HSCEI!$G$19/HSCEI!$B$3,""))</f>
        <v/>
      </c>
      <c r="DD172" s="110">
        <f>IF(AP172="","",IFERROR(AP172*HSCEI!$B$19*HSCEI!$G$19/HSCEI!$B$3,""))</f>
        <v/>
      </c>
      <c r="DE172" s="110">
        <f>IF(AQ172="","",IFERROR(AQ172*HSCEI!$B$19*HSCEI!$G$19/HSCEI!$B$3,""))</f>
        <v/>
      </c>
      <c r="DF172" s="110">
        <f>IF(AR172="","",IFERROR(AR172*HSCEI!$B$19*HSCEI!$G$19/HSCEI!$B$3,""))</f>
        <v/>
      </c>
      <c r="DG172" s="110">
        <f>IF(AS172="","",IFERROR(AS172*HSCEI!$B$19*HSCEI!$G$19/HSCEI!$B$3,""))</f>
        <v/>
      </c>
      <c r="DH172" s="110">
        <f>IF(AT172="","",IFERROR(AT172*HSCEI!$B$19*HSCEI!$G$19/HSCEI!$B$3,""))</f>
        <v/>
      </c>
      <c r="DI172" s="110">
        <f>IF(AU172="","",IFERROR(AU172*HSCEI!$B$19*HSCEI!$G$19/HSCEI!$B$3,""))</f>
        <v/>
      </c>
      <c r="DJ172" s="110">
        <f>IF(AV172="","",IFERROR(AV172*HSCEI!$B$19*HSCEI!$G$19/HSCEI!$B$3,""))</f>
        <v/>
      </c>
      <c r="DK172" s="110">
        <f>IF(AW172="","",IFERROR(AW172*HSCEI!$B$19*HSCEI!$G$19/HSCEI!$B$3,""))</f>
        <v/>
      </c>
      <c r="DL172" s="110">
        <f>IF(AX172="","",IFERROR(AX172*HSCEI!$B$19*HSCEI!$G$19/HSCEI!$B$3,""))</f>
        <v/>
      </c>
      <c r="DM172" s="110">
        <f>IF(AY172="","",IFERROR(AY172*HSCEI!$B$19*HSCEI!$G$19/HSCEI!$B$3,""))</f>
        <v/>
      </c>
      <c r="DN172" s="110">
        <f>IF(AZ172="","",IFERROR(AZ172*HSCEI!$B$19*HSCEI!$G$19/HSCEI!$B$3,""))</f>
        <v/>
      </c>
      <c r="DO172" s="110">
        <f>IF(BA172="","",IFERROR(BA172*HSCEI!$B$19*HSCEI!$G$19/HSCEI!$B$3,""))</f>
        <v/>
      </c>
      <c r="DP172" s="110">
        <f>IF(BB172="","",IFERROR(BB172*HSCEI!$B$19*HSCEI!$G$19/HSCEI!$B$3,""))</f>
        <v/>
      </c>
      <c r="DQ172" s="110">
        <f>IF(BC172="","",IFERROR(BC172*HSCEI!$B$19*HSCEI!$G$19/HSCEI!$B$3,""))</f>
        <v/>
      </c>
      <c r="DR172" s="110">
        <f>IF(BD172="","",IFERROR(BD172*HSCEI!$B$19*HSCEI!$G$19/HSCEI!$B$3,""))</f>
        <v/>
      </c>
      <c r="DS172" s="110">
        <f>IF(BE172="","",IFERROR(BE172*HSCEI!$B$19*HSCEI!$G$19/HSCEI!$B$3,""))</f>
        <v/>
      </c>
      <c r="DT172" s="110">
        <f>IF(BF172="","",IFERROR(BF172*HSCEI!$B$19*HSCEI!$G$19/HSCEI!$B$3,""))</f>
        <v/>
      </c>
      <c r="DU172" s="110">
        <f>IF(BG172="","",IFERROR(BG172*HSCEI!$B$19*HSCEI!$G$19/HSCEI!$B$3,""))</f>
        <v/>
      </c>
      <c r="DV172" s="110">
        <f>IF(BH172="","",IFERROR(BH172*HSCEI!$B$19*HSCEI!$G$19/HSCEI!$B$3,""))</f>
        <v/>
      </c>
      <c r="DW172" s="110">
        <f>IF(BI172="","",IFERROR(BI172*HSCEI!$B$19*HSCEI!$G$19/HSCEI!$B$3,""))</f>
        <v/>
      </c>
      <c r="DX172" s="110">
        <f>IF(BJ172="","",IFERROR(BJ172*HSCEI!$B$19*HSCEI!$G$19/HSCEI!$B$3,""))</f>
        <v/>
      </c>
      <c r="DY172" s="110">
        <f>IF(BK172="","",IFERROR(BK172*HSCEI!$B$19*HSCEI!$G$19/HSCEI!$B$3,""))</f>
        <v/>
      </c>
      <c r="DZ172" s="110">
        <f>IF(BL172="","",IFERROR(BL172*HSCEI!$B$19*HSCEI!$G$19/HSCEI!$B$3,""))</f>
        <v/>
      </c>
      <c r="EA172" s="110">
        <f>IF(BM172="","",IFERROR(BM172*HSCEI!$B$19*HSCEI!$G$19/HSCEI!$B$3,""))</f>
        <v/>
      </c>
      <c r="EB172" s="110">
        <f>IF(BN172="","",IFERROR(BN172*HSCEI!$B$19*HSCEI!$G$19/HSCEI!$B$3,""))</f>
        <v/>
      </c>
      <c r="EC172" s="110">
        <f>IF(BO172="","",IFERROR(BO172*HSCEI!$B$19*HSCEI!$G$19/HSCEI!$B$3,""))</f>
        <v/>
      </c>
      <c r="EE172" s="39">
        <f>IF(N('Dvd Calendar'!$E$1693)=0,"",IF(('Dvd Calendar'!$E$1693&gt;=GRID_FROM)*('Dvd Calendar'!$E$1693&lt;=GRID_TO)*((('Dvd Calendar'!$E$1693&lt;=VAL_DATE)+(COUNTIF('Dvd Calendar'!$E$1700:$AR$1700,'Dvd Calendar'!$E$1693)=0))&gt;0)=0,"",'Dvd Calendar'!$E$1693*1000000000+ISNUMBER('Dvd Calendar'!$E$1696)*100000000+('Dvd Calendar'!$E$1698=SPECIAL_LBL)*10000000+(N('Dvd Calendar'!$E$1692)&gt;0)*(N('Dvd Calendar'!$E$1692)&lt;=VAL_SERIAL)*1000000+13*1000+1))</f>
        <v/>
      </c>
      <c r="EF172" s="39">
        <f>IF(N('Dvd Calendar'!$F$1693)=0,"",IF(('Dvd Calendar'!$F$1693&gt;=GRID_FROM)*('Dvd Calendar'!$F$1693&lt;=GRID_TO)*((('Dvd Calendar'!$F$1693&lt;=VAL_DATE)+(COUNTIF('Dvd Calendar'!$E$1700:$AR$1700,'Dvd Calendar'!$F$1693)=0))&gt;0)=0,"",'Dvd Calendar'!$F$1693*1000000000+ISNUMBER('Dvd Calendar'!$F$1696)*100000000+('Dvd Calendar'!$F$1698=SPECIAL_LBL)*10000000+(N('Dvd Calendar'!$F$1692)&gt;0)*(N('Dvd Calendar'!$F$1692)&lt;=VAL_SERIAL)*1000000+13*1000+2))</f>
        <v/>
      </c>
      <c r="EG172" s="39">
        <f>IF(N('Dvd Calendar'!$G$1693)=0,"",IF(('Dvd Calendar'!$G$1693&gt;=GRID_FROM)*('Dvd Calendar'!$G$1693&lt;=GRID_TO)*((('Dvd Calendar'!$G$1693&lt;=VAL_DATE)+(COUNTIF('Dvd Calendar'!$E$1700:$AR$1700,'Dvd Calendar'!$G$1693)=0))&gt;0)=0,"",'Dvd Calendar'!$G$1693*1000000000+ISNUMBER('Dvd Calendar'!$G$1696)*100000000+('Dvd Calendar'!$G$1698=SPECIAL_LBL)*10000000+(N('Dvd Calendar'!$G$1692)&gt;0)*(N('Dvd Calendar'!$G$1692)&lt;=VAL_SERIAL)*1000000+13*1000+3))</f>
        <v/>
      </c>
      <c r="EH172" s="39">
        <f>IF(N('Dvd Calendar'!$H$1693)=0,"",IF(('Dvd Calendar'!$H$1693&gt;=GRID_FROM)*('Dvd Calendar'!$H$1693&lt;=GRID_TO)*((('Dvd Calendar'!$H$1693&lt;=VAL_DATE)+(COUNTIF('Dvd Calendar'!$E$1700:$AR$1700,'Dvd Calendar'!$H$1693)=0))&gt;0)=0,"",'Dvd Calendar'!$H$1693*1000000000+ISNUMBER('Dvd Calendar'!$H$1696)*100000000+('Dvd Calendar'!$H$1698=SPECIAL_LBL)*10000000+(N('Dvd Calendar'!$H$1692)&gt;0)*(N('Dvd Calendar'!$H$1692)&lt;=VAL_SERIAL)*1000000+13*1000+4))</f>
        <v/>
      </c>
      <c r="EI172" s="39">
        <f>IF(N('Dvd Calendar'!$I$1693)=0,"",IF(('Dvd Calendar'!$I$1693&gt;=GRID_FROM)*('Dvd Calendar'!$I$1693&lt;=GRID_TO)*((('Dvd Calendar'!$I$1693&lt;=VAL_DATE)+(COUNTIF('Dvd Calendar'!$E$1700:$AR$1700,'Dvd Calendar'!$I$1693)=0))&gt;0)=0,"",'Dvd Calendar'!$I$1693*1000000000+ISNUMBER('Dvd Calendar'!$I$1696)*100000000+('Dvd Calendar'!$I$1698=SPECIAL_LBL)*10000000+(N('Dvd Calendar'!$I$1692)&gt;0)*(N('Dvd Calendar'!$I$1692)&lt;=VAL_SERIAL)*1000000+13*1000+5))</f>
        <v/>
      </c>
      <c r="EJ172" s="39">
        <f>IF(N('Dvd Calendar'!$J$1693)=0,"",IF(('Dvd Calendar'!$J$1693&gt;=GRID_FROM)*('Dvd Calendar'!$J$1693&lt;=GRID_TO)*((('Dvd Calendar'!$J$1693&lt;=VAL_DATE)+(COUNTIF('Dvd Calendar'!$E$1700:$AR$1700,'Dvd Calendar'!$J$1693)=0))&gt;0)=0,"",'Dvd Calendar'!$J$1693*1000000000+ISNUMBER('Dvd Calendar'!$J$1696)*100000000+('Dvd Calendar'!$J$1698=SPECIAL_LBL)*10000000+(N('Dvd Calendar'!$J$1692)&gt;0)*(N('Dvd Calendar'!$J$1692)&lt;=VAL_SERIAL)*1000000+13*1000+6))</f>
        <v/>
      </c>
      <c r="EK172" s="39">
        <f>IF(N('Dvd Calendar'!$K$1693)=0,"",IF(('Dvd Calendar'!$K$1693&gt;=GRID_FROM)*('Dvd Calendar'!$K$1693&lt;=GRID_TO)*((('Dvd Calendar'!$K$1693&lt;=VAL_DATE)+(COUNTIF('Dvd Calendar'!$E$1700:$AR$1700,'Dvd Calendar'!$K$1693)=0))&gt;0)=0,"",'Dvd Calendar'!$K$1693*1000000000+ISNUMBER('Dvd Calendar'!$K$1696)*100000000+('Dvd Calendar'!$K$1698=SPECIAL_LBL)*10000000+(N('Dvd Calendar'!$K$1692)&gt;0)*(N('Dvd Calendar'!$K$1692)&lt;=VAL_SERIAL)*1000000+13*1000+7))</f>
        <v/>
      </c>
      <c r="EL172" s="39">
        <f>IF(N('Dvd Calendar'!$L$1693)=0,"",IF(('Dvd Calendar'!$L$1693&gt;=GRID_FROM)*('Dvd Calendar'!$L$1693&lt;=GRID_TO)*((('Dvd Calendar'!$L$1693&lt;=VAL_DATE)+(COUNTIF('Dvd Calendar'!$E$1700:$AR$1700,'Dvd Calendar'!$L$1693)=0))&gt;0)=0,"",'Dvd Calendar'!$L$1693*1000000000+ISNUMBER('Dvd Calendar'!$L$1696)*100000000+('Dvd Calendar'!$L$1698=SPECIAL_LBL)*10000000+(N('Dvd Calendar'!$L$1692)&gt;0)*(N('Dvd Calendar'!$L$1692)&lt;=VAL_SERIAL)*1000000+13*1000+8))</f>
        <v/>
      </c>
      <c r="EM172" s="39">
        <f>IF(N('Dvd Calendar'!$M$1693)=0,"",IF(('Dvd Calendar'!$M$1693&gt;=GRID_FROM)*('Dvd Calendar'!$M$1693&lt;=GRID_TO)*((('Dvd Calendar'!$M$1693&lt;=VAL_DATE)+(COUNTIF('Dvd Calendar'!$E$1700:$AR$1700,'Dvd Calendar'!$M$1693)=0))&gt;0)=0,"",'Dvd Calendar'!$M$1693*1000000000+ISNUMBER('Dvd Calendar'!$M$1696)*100000000+('Dvd Calendar'!$M$1698=SPECIAL_LBL)*10000000+(N('Dvd Calendar'!$M$1692)&gt;0)*(N('Dvd Calendar'!$M$1692)&lt;=VAL_SERIAL)*1000000+13*1000+9))</f>
        <v/>
      </c>
      <c r="EN172" s="39">
        <f>IF(N('Dvd Calendar'!$N$1693)=0,"",IF(('Dvd Calendar'!$N$1693&gt;=GRID_FROM)*('Dvd Calendar'!$N$1693&lt;=GRID_TO)*((('Dvd Calendar'!$N$1693&lt;=VAL_DATE)+(COUNTIF('Dvd Calendar'!$E$1700:$AR$1700,'Dvd Calendar'!$N$1693)=0))&gt;0)=0,"",'Dvd Calendar'!$N$1693*1000000000+ISNUMBER('Dvd Calendar'!$N$1696)*100000000+('Dvd Calendar'!$N$1698=SPECIAL_LBL)*10000000+(N('Dvd Calendar'!$N$1692)&gt;0)*(N('Dvd Calendar'!$N$1692)&lt;=VAL_SERIAL)*1000000+13*1000+10))</f>
        <v/>
      </c>
      <c r="EO172" s="39">
        <f>IF(N('Dvd Calendar'!$O$1693)=0,"",IF(('Dvd Calendar'!$O$1693&gt;=GRID_FROM)*('Dvd Calendar'!$O$1693&lt;=GRID_TO)*((('Dvd Calendar'!$O$1693&lt;=VAL_DATE)+(COUNTIF('Dvd Calendar'!$E$1700:$AR$1700,'Dvd Calendar'!$O$1693)=0))&gt;0)=0,"",'Dvd Calendar'!$O$1693*1000000000+ISNUMBER('Dvd Calendar'!$O$1696)*100000000+('Dvd Calendar'!$O$1698=SPECIAL_LBL)*10000000+(N('Dvd Calendar'!$O$1692)&gt;0)*(N('Dvd Calendar'!$O$1692)&lt;=VAL_SERIAL)*1000000+13*1000+11))</f>
        <v/>
      </c>
      <c r="EP172" s="39">
        <f>IF(N('Dvd Calendar'!$P$1693)=0,"",IF(('Dvd Calendar'!$P$1693&gt;=GRID_FROM)*('Dvd Calendar'!$P$1693&lt;=GRID_TO)*((('Dvd Calendar'!$P$1693&lt;=VAL_DATE)+(COUNTIF('Dvd Calendar'!$E$1700:$AR$1700,'Dvd Calendar'!$P$1693)=0))&gt;0)=0,"",'Dvd Calendar'!$P$1693*1000000000+ISNUMBER('Dvd Calendar'!$P$1696)*100000000+('Dvd Calendar'!$P$1698=SPECIAL_LBL)*10000000+(N('Dvd Calendar'!$P$1692)&gt;0)*(N('Dvd Calendar'!$P$1692)&lt;=VAL_SERIAL)*1000000+13*1000+12))</f>
        <v/>
      </c>
      <c r="EQ172" s="39">
        <f>IF(N('Dvd Calendar'!$Q$1693)=0,"",IF(('Dvd Calendar'!$Q$1693&gt;=GRID_FROM)*('Dvd Calendar'!$Q$1693&lt;=GRID_TO)*((('Dvd Calendar'!$Q$1693&lt;=VAL_DATE)+(COUNTIF('Dvd Calendar'!$E$1700:$AR$1700,'Dvd Calendar'!$Q$1693)=0))&gt;0)=0,"",'Dvd Calendar'!$Q$1693*1000000000+ISNUMBER('Dvd Calendar'!$Q$1696)*100000000+('Dvd Calendar'!$Q$1698=SPECIAL_LBL)*10000000+(N('Dvd Calendar'!$Q$1692)&gt;0)*(N('Dvd Calendar'!$Q$1692)&lt;=VAL_SERIAL)*1000000+13*1000+13))</f>
        <v/>
      </c>
      <c r="ER172" s="39">
        <f>IF(N('Dvd Calendar'!$R$1693)=0,"",IF(('Dvd Calendar'!$R$1693&gt;=GRID_FROM)*('Dvd Calendar'!$R$1693&lt;=GRID_TO)*((('Dvd Calendar'!$R$1693&lt;=VAL_DATE)+(COUNTIF('Dvd Calendar'!$E$1700:$AR$1700,'Dvd Calendar'!$R$1693)=0))&gt;0)=0,"",'Dvd Calendar'!$R$1693*1000000000+ISNUMBER('Dvd Calendar'!$R$1696)*100000000+('Dvd Calendar'!$R$1698=SPECIAL_LBL)*10000000+(N('Dvd Calendar'!$R$1692)&gt;0)*(N('Dvd Calendar'!$R$1692)&lt;=VAL_SERIAL)*1000000+13*1000+14))</f>
        <v/>
      </c>
      <c r="ES172" s="39">
        <f>IF(N('Dvd Calendar'!$S$1693)=0,"",IF(('Dvd Calendar'!$S$1693&gt;=GRID_FROM)*('Dvd Calendar'!$S$1693&lt;=GRID_TO)*((('Dvd Calendar'!$S$1693&lt;=VAL_DATE)+(COUNTIF('Dvd Calendar'!$E$1700:$AR$1700,'Dvd Calendar'!$S$1693)=0))&gt;0)=0,"",'Dvd Calendar'!$S$1693*1000000000+ISNUMBER('Dvd Calendar'!$S$1696)*100000000+('Dvd Calendar'!$S$1698=SPECIAL_LBL)*10000000+(N('Dvd Calendar'!$S$1692)&gt;0)*(N('Dvd Calendar'!$S$1692)&lt;=VAL_SERIAL)*1000000+13*1000+15))</f>
        <v/>
      </c>
      <c r="ET172" s="39">
        <f>IF(N('Dvd Calendar'!$T$1693)=0,"",IF(('Dvd Calendar'!$T$1693&gt;=GRID_FROM)*('Dvd Calendar'!$T$1693&lt;=GRID_TO)*((('Dvd Calendar'!$T$1693&lt;=VAL_DATE)+(COUNTIF('Dvd Calendar'!$E$1700:$AR$1700,'Dvd Calendar'!$T$1693)=0))&gt;0)=0,"",'Dvd Calendar'!$T$1693*1000000000+ISNUMBER('Dvd Calendar'!$T$1696)*100000000+('Dvd Calendar'!$T$1698=SPECIAL_LBL)*10000000+(N('Dvd Calendar'!$T$1692)&gt;0)*(N('Dvd Calendar'!$T$1692)&lt;=VAL_SERIAL)*1000000+13*1000+16))</f>
        <v/>
      </c>
      <c r="EU172" s="39">
        <f>IF(N('Dvd Calendar'!$U$1693)=0,"",IF(('Dvd Calendar'!$U$1693&gt;=GRID_FROM)*('Dvd Calendar'!$U$1693&lt;=GRID_TO)*((('Dvd Calendar'!$U$1693&lt;=VAL_DATE)+(COUNTIF('Dvd Calendar'!$E$1700:$AR$1700,'Dvd Calendar'!$U$1693)=0))&gt;0)=0,"",'Dvd Calendar'!$U$1693*1000000000+ISNUMBER('Dvd Calendar'!$U$1696)*100000000+('Dvd Calendar'!$U$1698=SPECIAL_LBL)*10000000+(N('Dvd Calendar'!$U$1692)&gt;0)*(N('Dvd Calendar'!$U$1692)&lt;=VAL_SERIAL)*1000000+13*1000+17))</f>
        <v/>
      </c>
      <c r="EV172" s="39">
        <f>IF(N('Dvd Calendar'!$V$1693)=0,"",IF(('Dvd Calendar'!$V$1693&gt;=GRID_FROM)*('Dvd Calendar'!$V$1693&lt;=GRID_TO)*((('Dvd Calendar'!$V$1693&lt;=VAL_DATE)+(COUNTIF('Dvd Calendar'!$E$1700:$AR$1700,'Dvd Calendar'!$V$1693)=0))&gt;0)=0,"",'Dvd Calendar'!$V$1693*1000000000+ISNUMBER('Dvd Calendar'!$V$1696)*100000000+('Dvd Calendar'!$V$1698=SPECIAL_LBL)*10000000+(N('Dvd Calendar'!$V$1692)&gt;0)*(N('Dvd Calendar'!$V$1692)&lt;=VAL_SERIAL)*1000000+13*1000+18))</f>
        <v/>
      </c>
      <c r="EW172" s="39">
        <f>IF(N('Dvd Calendar'!$W$1693)=0,"",IF(('Dvd Calendar'!$W$1693&gt;=GRID_FROM)*('Dvd Calendar'!$W$1693&lt;=GRID_TO)*((('Dvd Calendar'!$W$1693&lt;=VAL_DATE)+(COUNTIF('Dvd Calendar'!$E$1700:$AR$1700,'Dvd Calendar'!$W$1693)=0))&gt;0)=0,"",'Dvd Calendar'!$W$1693*1000000000+ISNUMBER('Dvd Calendar'!$W$1696)*100000000+('Dvd Calendar'!$W$1698=SPECIAL_LBL)*10000000+(N('Dvd Calendar'!$W$1692)&gt;0)*(N('Dvd Calendar'!$W$1692)&lt;=VAL_SERIAL)*1000000+13*1000+19))</f>
        <v/>
      </c>
      <c r="EX172" s="39">
        <f>IF(N('Dvd Calendar'!$X$1693)=0,"",IF(('Dvd Calendar'!$X$1693&gt;=GRID_FROM)*('Dvd Calendar'!$X$1693&lt;=GRID_TO)*((('Dvd Calendar'!$X$1693&lt;=VAL_DATE)+(COUNTIF('Dvd Calendar'!$E$1700:$AR$1700,'Dvd Calendar'!$X$1693)=0))&gt;0)=0,"",'Dvd Calendar'!$X$1693*1000000000+ISNUMBER('Dvd Calendar'!$X$1696)*100000000+('Dvd Calendar'!$X$1698=SPECIAL_LBL)*10000000+(N('Dvd Calendar'!$X$1692)&gt;0)*(N('Dvd Calendar'!$X$1692)&lt;=VAL_SERIAL)*1000000+13*1000+20))</f>
        <v/>
      </c>
      <c r="EY172" s="39">
        <f>IF(N('Dvd Calendar'!$Y$1693)=0,"",IF(('Dvd Calendar'!$Y$1693&gt;=GRID_FROM)*('Dvd Calendar'!$Y$1693&lt;=GRID_TO)*((('Dvd Calendar'!$Y$1693&lt;=VAL_DATE)+(COUNTIF('Dvd Calendar'!$E$1700:$AR$1700,'Dvd Calendar'!$Y$1693)=0))&gt;0)=0,"",'Dvd Calendar'!$Y$1693*1000000000+ISNUMBER('Dvd Calendar'!$Y$1696)*100000000+('Dvd Calendar'!$Y$1698=SPECIAL_LBL)*10000000+(N('Dvd Calendar'!$Y$1692)&gt;0)*(N('Dvd Calendar'!$Y$1692)&lt;=VAL_SERIAL)*1000000+13*1000+21))</f>
        <v/>
      </c>
      <c r="EZ172" s="39">
        <f>IF(N('Dvd Calendar'!$Z$1693)=0,"",IF(('Dvd Calendar'!$Z$1693&gt;=GRID_FROM)*('Dvd Calendar'!$Z$1693&lt;=GRID_TO)*((('Dvd Calendar'!$Z$1693&lt;=VAL_DATE)+(COUNTIF('Dvd Calendar'!$E$1700:$AR$1700,'Dvd Calendar'!$Z$1693)=0))&gt;0)=0,"",'Dvd Calendar'!$Z$1693*1000000000+ISNUMBER('Dvd Calendar'!$Z$1696)*100000000+('Dvd Calendar'!$Z$1698=SPECIAL_LBL)*10000000+(N('Dvd Calendar'!$Z$1692)&gt;0)*(N('Dvd Calendar'!$Z$1692)&lt;=VAL_SERIAL)*1000000+13*1000+22))</f>
        <v/>
      </c>
      <c r="FA172" s="39">
        <f>IF(N('Dvd Calendar'!$AA$1693)=0,"",IF(('Dvd Calendar'!$AA$1693&gt;=GRID_FROM)*('Dvd Calendar'!$AA$1693&lt;=GRID_TO)*((('Dvd Calendar'!$AA$1693&lt;=VAL_DATE)+(COUNTIF('Dvd Calendar'!$E$1700:$AR$1700,'Dvd Calendar'!$AA$1693)=0))&gt;0)=0,"",'Dvd Calendar'!$AA$1693*1000000000+ISNUMBER('Dvd Calendar'!$AA$1696)*100000000+('Dvd Calendar'!$AA$1698=SPECIAL_LBL)*10000000+(N('Dvd Calendar'!$AA$1692)&gt;0)*(N('Dvd Calendar'!$AA$1692)&lt;=VAL_SERIAL)*1000000+13*1000+23))</f>
        <v/>
      </c>
      <c r="FB172" s="39">
        <f>IF(N('Dvd Calendar'!$AB$1693)=0,"",IF(('Dvd Calendar'!$AB$1693&gt;=GRID_FROM)*('Dvd Calendar'!$AB$1693&lt;=GRID_TO)*((('Dvd Calendar'!$AB$1693&lt;=VAL_DATE)+(COUNTIF('Dvd Calendar'!$E$1700:$AR$1700,'Dvd Calendar'!$AB$1693)=0))&gt;0)=0,"",'Dvd Calendar'!$AB$1693*1000000000+ISNUMBER('Dvd Calendar'!$AB$1696)*100000000+('Dvd Calendar'!$AB$1698=SPECIAL_LBL)*10000000+(N('Dvd Calendar'!$AB$1692)&gt;0)*(N('Dvd Calendar'!$AB$1692)&lt;=VAL_SERIAL)*1000000+13*1000+24))</f>
        <v/>
      </c>
      <c r="FC172" s="39">
        <f>IF(N('Dvd Calendar'!$AC$1693)=0,"",IF(('Dvd Calendar'!$AC$1693&gt;=GRID_FROM)*('Dvd Calendar'!$AC$1693&lt;=GRID_TO)*((('Dvd Calendar'!$AC$1693&lt;=VAL_DATE)+(COUNTIF('Dvd Calendar'!$E$1700:$AR$1700,'Dvd Calendar'!$AC$1693)=0))&gt;0)=0,"",'Dvd Calendar'!$AC$1693*1000000000+ISNUMBER('Dvd Calendar'!$AC$1696)*100000000+('Dvd Calendar'!$AC$1698=SPECIAL_LBL)*10000000+(N('Dvd Calendar'!$AC$1692)&gt;0)*(N('Dvd Calendar'!$AC$1692)&lt;=VAL_SERIAL)*1000000+13*1000+25))</f>
        <v/>
      </c>
      <c r="FD172" s="39">
        <f>IF(N('Dvd Calendar'!$AD$1693)=0,"",IF(('Dvd Calendar'!$AD$1693&gt;=GRID_FROM)*('Dvd Calendar'!$AD$1693&lt;=GRID_TO)*((('Dvd Calendar'!$AD$1693&lt;=VAL_DATE)+(COUNTIF('Dvd Calendar'!$E$1700:$AR$1700,'Dvd Calendar'!$AD$1693)=0))&gt;0)=0,"",'Dvd Calendar'!$AD$1693*1000000000+ISNUMBER('Dvd Calendar'!$AD$1696)*100000000+('Dvd Calendar'!$AD$1698=SPECIAL_LBL)*10000000+(N('Dvd Calendar'!$AD$1692)&gt;0)*(N('Dvd Calendar'!$AD$1692)&lt;=VAL_SERIAL)*1000000+13*1000+26))</f>
        <v/>
      </c>
      <c r="FE172" s="39">
        <f>IF(N('Dvd Calendar'!$AE$1693)=0,"",IF(('Dvd Calendar'!$AE$1693&gt;=GRID_FROM)*('Dvd Calendar'!$AE$1693&lt;=GRID_TO)*((('Dvd Calendar'!$AE$1693&lt;=VAL_DATE)+(COUNTIF('Dvd Calendar'!$E$1700:$AR$1700,'Dvd Calendar'!$AE$1693)=0))&gt;0)=0,"",'Dvd Calendar'!$AE$1693*1000000000+ISNUMBER('Dvd Calendar'!$AE$1696)*100000000+('Dvd Calendar'!$AE$1698=SPECIAL_LBL)*10000000+(N('Dvd Calendar'!$AE$1692)&gt;0)*(N('Dvd Calendar'!$AE$1692)&lt;=VAL_SERIAL)*1000000+13*1000+27))</f>
        <v/>
      </c>
      <c r="FF172" s="39">
        <f>IF(N('Dvd Calendar'!$AF$1693)=0,"",IF(('Dvd Calendar'!$AF$1693&gt;=GRID_FROM)*('Dvd Calendar'!$AF$1693&lt;=GRID_TO)*((('Dvd Calendar'!$AF$1693&lt;=VAL_DATE)+(COUNTIF('Dvd Calendar'!$E$1700:$AR$1700,'Dvd Calendar'!$AF$1693)=0))&gt;0)=0,"",'Dvd Calendar'!$AF$1693*1000000000+ISNUMBER('Dvd Calendar'!$AF$1696)*100000000+('Dvd Calendar'!$AF$1698=SPECIAL_LBL)*10000000+(N('Dvd Calendar'!$AF$1692)&gt;0)*(N('Dvd Calendar'!$AF$1692)&lt;=VAL_SERIAL)*1000000+13*1000+28))</f>
        <v/>
      </c>
      <c r="FG172" s="39">
        <f>IF(N('Dvd Calendar'!$AG$1693)=0,"",IF(('Dvd Calendar'!$AG$1693&gt;=GRID_FROM)*('Dvd Calendar'!$AG$1693&lt;=GRID_TO)*((('Dvd Calendar'!$AG$1693&lt;=VAL_DATE)+(COUNTIF('Dvd Calendar'!$E$1700:$AR$1700,'Dvd Calendar'!$AG$1693)=0))&gt;0)=0,"",'Dvd Calendar'!$AG$1693*1000000000+ISNUMBER('Dvd Calendar'!$AG$1696)*100000000+('Dvd Calendar'!$AG$1698=SPECIAL_LBL)*10000000+(N('Dvd Calendar'!$AG$1692)&gt;0)*(N('Dvd Calendar'!$AG$1692)&lt;=VAL_SERIAL)*1000000+13*1000+29))</f>
        <v/>
      </c>
      <c r="FH172" s="39">
        <f>IF(N('Dvd Calendar'!$AH$1693)=0,"",IF(('Dvd Calendar'!$AH$1693&gt;=GRID_FROM)*('Dvd Calendar'!$AH$1693&lt;=GRID_TO)*((('Dvd Calendar'!$AH$1693&lt;=VAL_DATE)+(COUNTIF('Dvd Calendar'!$E$1700:$AR$1700,'Dvd Calendar'!$AH$1693)=0))&gt;0)=0,"",'Dvd Calendar'!$AH$1693*1000000000+ISNUMBER('Dvd Calendar'!$AH$1696)*100000000+('Dvd Calendar'!$AH$1698=SPECIAL_LBL)*10000000+(N('Dvd Calendar'!$AH$1692)&gt;0)*(N('Dvd Calendar'!$AH$1692)&lt;=VAL_SERIAL)*1000000+13*1000+30))</f>
        <v/>
      </c>
      <c r="FI172" s="39">
        <f>IF(N('Dvd Calendar'!$AI$1693)=0,"",IF(('Dvd Calendar'!$AI$1693&gt;=GRID_FROM)*('Dvd Calendar'!$AI$1693&lt;=GRID_TO)*((('Dvd Calendar'!$AI$1693&lt;=VAL_DATE)+(COUNTIF('Dvd Calendar'!$E$1700:$AR$1700,'Dvd Calendar'!$AI$1693)=0))&gt;0)=0,"",'Dvd Calendar'!$AI$1693*1000000000+ISNUMBER('Dvd Calendar'!$AI$1696)*100000000+('Dvd Calendar'!$AI$1698=SPECIAL_LBL)*10000000+(N('Dvd Calendar'!$AI$1692)&gt;0)*(N('Dvd Calendar'!$AI$1692)&lt;=VAL_SERIAL)*1000000+13*1000+31))</f>
        <v/>
      </c>
      <c r="FJ172" s="39">
        <f>IF(N('Dvd Calendar'!$AJ$1693)=0,"",IF(('Dvd Calendar'!$AJ$1693&gt;=GRID_FROM)*('Dvd Calendar'!$AJ$1693&lt;=GRID_TO)*((('Dvd Calendar'!$AJ$1693&lt;=VAL_DATE)+(COUNTIF('Dvd Calendar'!$E$1700:$AR$1700,'Dvd Calendar'!$AJ$1693)=0))&gt;0)=0,"",'Dvd Calendar'!$AJ$1693*1000000000+ISNUMBER('Dvd Calendar'!$AJ$1696)*100000000+('Dvd Calendar'!$AJ$1698=SPECIAL_LBL)*10000000+(N('Dvd Calendar'!$AJ$1692)&gt;0)*(N('Dvd Calendar'!$AJ$1692)&lt;=VAL_SERIAL)*1000000+13*1000+32))</f>
        <v/>
      </c>
      <c r="FK172" s="39">
        <f>IF(N('Dvd Calendar'!$AK$1693)=0,"",IF(('Dvd Calendar'!$AK$1693&gt;=GRID_FROM)*('Dvd Calendar'!$AK$1693&lt;=GRID_TO)*((('Dvd Calendar'!$AK$1693&lt;=VAL_DATE)+(COUNTIF('Dvd Calendar'!$E$1700:$AR$1700,'Dvd Calendar'!$AK$1693)=0))&gt;0)=0,"",'Dvd Calendar'!$AK$1693*1000000000+ISNUMBER('Dvd Calendar'!$AK$1696)*100000000+('Dvd Calendar'!$AK$1698=SPECIAL_LBL)*10000000+(N('Dvd Calendar'!$AK$1692)&gt;0)*(N('Dvd Calendar'!$AK$1692)&lt;=VAL_SERIAL)*1000000+13*1000+33))</f>
        <v/>
      </c>
      <c r="FL172" s="39">
        <f>IF(N('Dvd Calendar'!$AL$1693)=0,"",IF(('Dvd Calendar'!$AL$1693&gt;=GRID_FROM)*('Dvd Calendar'!$AL$1693&lt;=GRID_TO)*((('Dvd Calendar'!$AL$1693&lt;=VAL_DATE)+(COUNTIF('Dvd Calendar'!$E$1700:$AR$1700,'Dvd Calendar'!$AL$1693)=0))&gt;0)=0,"",'Dvd Calendar'!$AL$1693*1000000000+ISNUMBER('Dvd Calendar'!$AL$1696)*100000000+('Dvd Calendar'!$AL$1698=SPECIAL_LBL)*10000000+(N('Dvd Calendar'!$AL$1692)&gt;0)*(N('Dvd Calendar'!$AL$1692)&lt;=VAL_SERIAL)*1000000+13*1000+34))</f>
        <v/>
      </c>
      <c r="FM172" s="39">
        <f>IF(N('Dvd Calendar'!$AM$1693)=0,"",IF(('Dvd Calendar'!$AM$1693&gt;=GRID_FROM)*('Dvd Calendar'!$AM$1693&lt;=GRID_TO)*((('Dvd Calendar'!$AM$1693&lt;=VAL_DATE)+(COUNTIF('Dvd Calendar'!$E$1700:$AR$1700,'Dvd Calendar'!$AM$1693)=0))&gt;0)=0,"",'Dvd Calendar'!$AM$1693*1000000000+ISNUMBER('Dvd Calendar'!$AM$1696)*100000000+('Dvd Calendar'!$AM$1698=SPECIAL_LBL)*10000000+(N('Dvd Calendar'!$AM$1692)&gt;0)*(N('Dvd Calendar'!$AM$1692)&lt;=VAL_SERIAL)*1000000+13*1000+35))</f>
        <v/>
      </c>
      <c r="FN172" s="39">
        <f>IF(N('Dvd Calendar'!$AN$1693)=0,"",IF(('Dvd Calendar'!$AN$1693&gt;=GRID_FROM)*('Dvd Calendar'!$AN$1693&lt;=GRID_TO)*((('Dvd Calendar'!$AN$1693&lt;=VAL_DATE)+(COUNTIF('Dvd Calendar'!$E$1700:$AR$1700,'Dvd Calendar'!$AN$1693)=0))&gt;0)=0,"",'Dvd Calendar'!$AN$1693*1000000000+ISNUMBER('Dvd Calendar'!$AN$1696)*100000000+('Dvd Calendar'!$AN$1698=SPECIAL_LBL)*10000000+(N('Dvd Calendar'!$AN$1692)&gt;0)*(N('Dvd Calendar'!$AN$1692)&lt;=VAL_SERIAL)*1000000+13*1000+36))</f>
        <v/>
      </c>
      <c r="FO172" s="39">
        <f>IF(N('Dvd Calendar'!$AO$1693)=0,"",IF(('Dvd Calendar'!$AO$1693&gt;=GRID_FROM)*('Dvd Calendar'!$AO$1693&lt;=GRID_TO)*((('Dvd Calendar'!$AO$1693&lt;=VAL_DATE)+(COUNTIF('Dvd Calendar'!$E$1700:$AR$1700,'Dvd Calendar'!$AO$1693)=0))&gt;0)=0,"",'Dvd Calendar'!$AO$1693*1000000000+ISNUMBER('Dvd Calendar'!$AO$1696)*100000000+('Dvd Calendar'!$AO$1698=SPECIAL_LBL)*10000000+(N('Dvd Calendar'!$AO$1692)&gt;0)*(N('Dvd Calendar'!$AO$1692)&lt;=VAL_SERIAL)*1000000+13*1000+37))</f>
        <v/>
      </c>
      <c r="FP172" s="39">
        <f>IF(N('Dvd Calendar'!$AP$1693)=0,"",IF(('Dvd Calendar'!$AP$1693&gt;=GRID_FROM)*('Dvd Calendar'!$AP$1693&lt;=GRID_TO)*((('Dvd Calendar'!$AP$1693&lt;=VAL_DATE)+(COUNTIF('Dvd Calendar'!$E$1700:$AR$1700,'Dvd Calendar'!$AP$1693)=0))&gt;0)=0,"",'Dvd Calendar'!$AP$1693*1000000000+ISNUMBER('Dvd Calendar'!$AP$1696)*100000000+('Dvd Calendar'!$AP$1698=SPECIAL_LBL)*10000000+(N('Dvd Calendar'!$AP$1692)&gt;0)*(N('Dvd Calendar'!$AP$1692)&lt;=VAL_SERIAL)*1000000+13*1000+38))</f>
        <v/>
      </c>
      <c r="FQ172" s="39">
        <f>IF(N('Dvd Calendar'!$AQ$1693)=0,"",IF(('Dvd Calendar'!$AQ$1693&gt;=GRID_FROM)*('Dvd Calendar'!$AQ$1693&lt;=GRID_TO)*((('Dvd Calendar'!$AQ$1693&lt;=VAL_DATE)+(COUNTIF('Dvd Calendar'!$E$1700:$AR$1700,'Dvd Calendar'!$AQ$1693)=0))&gt;0)=0,"",'Dvd Calendar'!$AQ$1693*1000000000+ISNUMBER('Dvd Calendar'!$AQ$1696)*100000000+('Dvd Calendar'!$AQ$1698=SPECIAL_LBL)*10000000+(N('Dvd Calendar'!$AQ$1692)&gt;0)*(N('Dvd Calendar'!$AQ$1692)&lt;=VAL_SERIAL)*1000000+13*1000+39))</f>
        <v/>
      </c>
      <c r="FR172" s="39">
        <f>IF(N('Dvd Calendar'!$AR$1693)=0,"",IF(('Dvd Calendar'!$AR$1693&gt;=GRID_FROM)*('Dvd Calendar'!$AR$1693&lt;=GRID_TO)*((('Dvd Calendar'!$AR$1693&lt;=VAL_DATE)+(COUNTIF('Dvd Calendar'!$E$1700:$AR$1700,'Dvd Calendar'!$AR$1693)=0))&gt;0)=0,"",'Dvd Calendar'!$AR$1693*1000000000+ISNUMBER('Dvd Calendar'!$AR$1696)*100000000+('Dvd Calendar'!$AR$1698=SPECIAL_LBL)*10000000+(N('Dvd Calendar'!$AR$1692)&gt;0)*(N('Dvd Calendar'!$AR$1692)&lt;=VAL_SERIAL)*1000000+13*1000+40))</f>
        <v/>
      </c>
      <c r="FS172" s="39">
        <f>IF(N('Dvd Calendar'!$E$1700)=0,"",IF(('Dvd Calendar'!$E$1700&gt;=GRID_FROM)*('Dvd Calendar'!$E$1700&lt;=GRID_TO)*('Dvd Calendar'!$E$1700&gt;VAL_DATE)=0,"",'Dvd Calendar'!$E$1700*1000000000+ISNUMBER('Dvd Calendar'!$E$1701)*100000000+0*10000000+(N('Dvd Calendar'!$E$1699)&gt;0)*(N('Dvd Calendar'!$E$1699)&lt;=VAL_SERIAL)*1000000+13*1000+41))</f>
        <v/>
      </c>
      <c r="FT172" s="39">
        <f>IF(N('Dvd Calendar'!$F$1700)=0,"",IF(('Dvd Calendar'!$F$1700&gt;=GRID_FROM)*('Dvd Calendar'!$F$1700&lt;=GRID_TO)*('Dvd Calendar'!$F$1700&gt;VAL_DATE)=0,"",'Dvd Calendar'!$F$1700*1000000000+ISNUMBER('Dvd Calendar'!$F$1701)*100000000+0*10000000+(N('Dvd Calendar'!$F$1699)&gt;0)*(N('Dvd Calendar'!$F$1699)&lt;=VAL_SERIAL)*1000000+13*1000+42))</f>
        <v/>
      </c>
      <c r="FU172" s="39">
        <f>IF(N('Dvd Calendar'!$G$1700)=0,"",IF(('Dvd Calendar'!$G$1700&gt;=GRID_FROM)*('Dvd Calendar'!$G$1700&lt;=GRID_TO)*('Dvd Calendar'!$G$1700&gt;VAL_DATE)=0,"",'Dvd Calendar'!$G$1700*1000000000+ISNUMBER('Dvd Calendar'!$G$1701)*100000000+0*10000000+(N('Dvd Calendar'!$G$1699)&gt;0)*(N('Dvd Calendar'!$G$1699)&lt;=VAL_SERIAL)*1000000+13*1000+43))</f>
        <v/>
      </c>
      <c r="FV172" s="39">
        <f>IF(N('Dvd Calendar'!$H$1700)=0,"",IF(('Dvd Calendar'!$H$1700&gt;=GRID_FROM)*('Dvd Calendar'!$H$1700&lt;=GRID_TO)*('Dvd Calendar'!$H$1700&gt;VAL_DATE)=0,"",'Dvd Calendar'!$H$1700*1000000000+ISNUMBER('Dvd Calendar'!$H$1701)*100000000+0*10000000+(N('Dvd Calendar'!$H$1699)&gt;0)*(N('Dvd Calendar'!$H$1699)&lt;=VAL_SERIAL)*1000000+13*1000+44))</f>
        <v/>
      </c>
      <c r="FW172" s="39">
        <f>IF(N('Dvd Calendar'!$I$1700)=0,"",IF(('Dvd Calendar'!$I$1700&gt;=GRID_FROM)*('Dvd Calendar'!$I$1700&lt;=GRID_TO)*('Dvd Calendar'!$I$1700&gt;VAL_DATE)=0,"",'Dvd Calendar'!$I$1700*1000000000+ISNUMBER('Dvd Calendar'!$I$1701)*100000000+0*10000000+(N('Dvd Calendar'!$I$1699)&gt;0)*(N('Dvd Calendar'!$I$1699)&lt;=VAL_SERIAL)*1000000+13*1000+45))</f>
        <v/>
      </c>
      <c r="FX172" s="39">
        <f>IF(N('Dvd Calendar'!$J$1700)=0,"",IF(('Dvd Calendar'!$J$1700&gt;=GRID_FROM)*('Dvd Calendar'!$J$1700&lt;=GRID_TO)*('Dvd Calendar'!$J$1700&gt;VAL_DATE)=0,"",'Dvd Calendar'!$J$1700*1000000000+ISNUMBER('Dvd Calendar'!$J$1701)*100000000+0*10000000+(N('Dvd Calendar'!$J$1699)&gt;0)*(N('Dvd Calendar'!$J$1699)&lt;=VAL_SERIAL)*1000000+13*1000+46))</f>
        <v/>
      </c>
      <c r="FY172" s="39">
        <f>IF(N('Dvd Calendar'!$K$1700)=0,"",IF(('Dvd Calendar'!$K$1700&gt;=GRID_FROM)*('Dvd Calendar'!$K$1700&lt;=GRID_TO)*('Dvd Calendar'!$K$1700&gt;VAL_DATE)=0,"",'Dvd Calendar'!$K$1700*1000000000+ISNUMBER('Dvd Calendar'!$K$1701)*100000000+0*10000000+(N('Dvd Calendar'!$K$1699)&gt;0)*(N('Dvd Calendar'!$K$1699)&lt;=VAL_SERIAL)*1000000+13*1000+47))</f>
        <v/>
      </c>
      <c r="FZ172" s="39">
        <f>IF(N('Dvd Calendar'!$L$1700)=0,"",IF(('Dvd Calendar'!$L$1700&gt;=GRID_FROM)*('Dvd Calendar'!$L$1700&lt;=GRID_TO)*('Dvd Calendar'!$L$1700&gt;VAL_DATE)=0,"",'Dvd Calendar'!$L$1700*1000000000+ISNUMBER('Dvd Calendar'!$L$1701)*100000000+0*10000000+(N('Dvd Calendar'!$L$1699)&gt;0)*(N('Dvd Calendar'!$L$1699)&lt;=VAL_SERIAL)*1000000+13*1000+48))</f>
        <v/>
      </c>
      <c r="GA172" s="39">
        <f>IF(N('Dvd Calendar'!$M$1700)=0,"",IF(('Dvd Calendar'!$M$1700&gt;=GRID_FROM)*('Dvd Calendar'!$M$1700&lt;=GRID_TO)*('Dvd Calendar'!$M$1700&gt;VAL_DATE)=0,"",'Dvd Calendar'!$M$1700*1000000000+ISNUMBER('Dvd Calendar'!$M$1701)*100000000+0*10000000+(N('Dvd Calendar'!$M$1699)&gt;0)*(N('Dvd Calendar'!$M$1699)&lt;=VAL_SERIAL)*1000000+13*1000+49))</f>
        <v/>
      </c>
      <c r="GB172" s="39">
        <f>IF(N('Dvd Calendar'!$N$1700)=0,"",IF(('Dvd Calendar'!$N$1700&gt;=GRID_FROM)*('Dvd Calendar'!$N$1700&lt;=GRID_TO)*('Dvd Calendar'!$N$1700&gt;VAL_DATE)=0,"",'Dvd Calendar'!$N$1700*1000000000+ISNUMBER('Dvd Calendar'!$N$1701)*100000000+0*10000000+(N('Dvd Calendar'!$N$1699)&gt;0)*(N('Dvd Calendar'!$N$1699)&lt;=VAL_SERIAL)*1000000+13*1000+50))</f>
        <v/>
      </c>
      <c r="GC172" s="39">
        <f>IF(N('Dvd Calendar'!$O$1700)=0,"",IF(('Dvd Calendar'!$O$1700&gt;=GRID_FROM)*('Dvd Calendar'!$O$1700&lt;=GRID_TO)*('Dvd Calendar'!$O$1700&gt;VAL_DATE)=0,"",'Dvd Calendar'!$O$1700*1000000000+ISNUMBER('Dvd Calendar'!$O$1701)*100000000+0*10000000+(N('Dvd Calendar'!$O$1699)&gt;0)*(N('Dvd Calendar'!$O$1699)&lt;=VAL_SERIAL)*1000000+13*1000+51))</f>
        <v/>
      </c>
      <c r="GD172" s="39">
        <f>IF(N('Dvd Calendar'!$P$1700)=0,"",IF(('Dvd Calendar'!$P$1700&gt;=GRID_FROM)*('Dvd Calendar'!$P$1700&lt;=GRID_TO)*('Dvd Calendar'!$P$1700&gt;VAL_DATE)=0,"",'Dvd Calendar'!$P$1700*1000000000+ISNUMBER('Dvd Calendar'!$P$1701)*100000000+0*10000000+(N('Dvd Calendar'!$P$1699)&gt;0)*(N('Dvd Calendar'!$P$1699)&lt;=VAL_SERIAL)*1000000+13*1000+52))</f>
        <v/>
      </c>
      <c r="GE172" s="39">
        <f>IF(N('Dvd Calendar'!$Q$1700)=0,"",IF(('Dvd Calendar'!$Q$1700&gt;=GRID_FROM)*('Dvd Calendar'!$Q$1700&lt;=GRID_TO)*('Dvd Calendar'!$Q$1700&gt;VAL_DATE)=0,"",'Dvd Calendar'!$Q$1700*1000000000+ISNUMBER('Dvd Calendar'!$Q$1701)*100000000+0*10000000+(N('Dvd Calendar'!$Q$1699)&gt;0)*(N('Dvd Calendar'!$Q$1699)&lt;=VAL_SERIAL)*1000000+13*1000+53))</f>
        <v/>
      </c>
      <c r="GF172" s="39">
        <f>IF(N('Dvd Calendar'!$R$1700)=0,"",IF(('Dvd Calendar'!$R$1700&gt;=GRID_FROM)*('Dvd Calendar'!$R$1700&lt;=GRID_TO)*('Dvd Calendar'!$R$1700&gt;VAL_DATE)=0,"",'Dvd Calendar'!$R$1700*1000000000+ISNUMBER('Dvd Calendar'!$R$1701)*100000000+0*10000000+(N('Dvd Calendar'!$R$1699)&gt;0)*(N('Dvd Calendar'!$R$1699)&lt;=VAL_SERIAL)*1000000+13*1000+54))</f>
        <v/>
      </c>
      <c r="GG172" s="39">
        <f>IF(N('Dvd Calendar'!$S$1700)=0,"",IF(('Dvd Calendar'!$S$1700&gt;=GRID_FROM)*('Dvd Calendar'!$S$1700&lt;=GRID_TO)*('Dvd Calendar'!$S$1700&gt;VAL_DATE)=0,"",'Dvd Calendar'!$S$1700*1000000000+ISNUMBER('Dvd Calendar'!$S$1701)*100000000+0*10000000+(N('Dvd Calendar'!$S$1699)&gt;0)*(N('Dvd Calendar'!$S$1699)&lt;=VAL_SERIAL)*1000000+13*1000+55))</f>
        <v/>
      </c>
      <c r="GH172" s="39">
        <f>IF(N('Dvd Calendar'!$T$1700)=0,"",IF(('Dvd Calendar'!$T$1700&gt;=GRID_FROM)*('Dvd Calendar'!$T$1700&lt;=GRID_TO)*('Dvd Calendar'!$T$1700&gt;VAL_DATE)=0,"",'Dvd Calendar'!$T$1700*1000000000+ISNUMBER('Dvd Calendar'!$T$1701)*100000000+0*10000000+(N('Dvd Calendar'!$T$1699)&gt;0)*(N('Dvd Calendar'!$T$1699)&lt;=VAL_SERIAL)*1000000+13*1000+56))</f>
        <v/>
      </c>
      <c r="GI172" s="39">
        <f>IF(N('Dvd Calendar'!$U$1700)=0,"",IF(('Dvd Calendar'!$U$1700&gt;=GRID_FROM)*('Dvd Calendar'!$U$1700&lt;=GRID_TO)*('Dvd Calendar'!$U$1700&gt;VAL_DATE)=0,"",'Dvd Calendar'!$U$1700*1000000000+ISNUMBER('Dvd Calendar'!$U$1701)*100000000+0*10000000+(N('Dvd Calendar'!$U$1699)&gt;0)*(N('Dvd Calendar'!$U$1699)&lt;=VAL_SERIAL)*1000000+13*1000+57))</f>
        <v/>
      </c>
      <c r="GJ172" s="39">
        <f>IF(N('Dvd Calendar'!$V$1700)=0,"",IF(('Dvd Calendar'!$V$1700&gt;=GRID_FROM)*('Dvd Calendar'!$V$1700&lt;=GRID_TO)*('Dvd Calendar'!$V$1700&gt;VAL_DATE)=0,"",'Dvd Calendar'!$V$1700*1000000000+ISNUMBER('Dvd Calendar'!$V$1701)*100000000+0*10000000+(N('Dvd Calendar'!$V$1699)&gt;0)*(N('Dvd Calendar'!$V$1699)&lt;=VAL_SERIAL)*1000000+13*1000+58))</f>
        <v/>
      </c>
      <c r="GK172" s="39">
        <f>IF(N('Dvd Calendar'!$W$1700)=0,"",IF(('Dvd Calendar'!$W$1700&gt;=GRID_FROM)*('Dvd Calendar'!$W$1700&lt;=GRID_TO)*('Dvd Calendar'!$W$1700&gt;VAL_DATE)=0,"",'Dvd Calendar'!$W$1700*1000000000+ISNUMBER('Dvd Calendar'!$W$1701)*100000000+0*10000000+(N('Dvd Calendar'!$W$1699)&gt;0)*(N('Dvd Calendar'!$W$1699)&lt;=VAL_SERIAL)*1000000+13*1000+59))</f>
        <v/>
      </c>
      <c r="GL172" s="39">
        <f>IF(N('Dvd Calendar'!$X$1700)=0,"",IF(('Dvd Calendar'!$X$1700&gt;=GRID_FROM)*('Dvd Calendar'!$X$1700&lt;=GRID_TO)*('Dvd Calendar'!$X$1700&gt;VAL_DATE)=0,"",'Dvd Calendar'!$X$1700*1000000000+ISNUMBER('Dvd Calendar'!$X$1701)*100000000+0*10000000+(N('Dvd Calendar'!$X$1699)&gt;0)*(N('Dvd Calendar'!$X$1699)&lt;=VAL_SERIAL)*1000000+13*1000+60))</f>
        <v/>
      </c>
      <c r="GM172" s="39">
        <f>IF(N('Dvd Calendar'!$Y$1700)=0,"",IF(('Dvd Calendar'!$Y$1700&gt;=GRID_FROM)*('Dvd Calendar'!$Y$1700&lt;=GRID_TO)*('Dvd Calendar'!$Y$1700&gt;VAL_DATE)=0,"",'Dvd Calendar'!$Y$1700*1000000000+ISNUMBER('Dvd Calendar'!$Y$1701)*100000000+0*10000000+(N('Dvd Calendar'!$Y$1699)&gt;0)*(N('Dvd Calendar'!$Y$1699)&lt;=VAL_SERIAL)*1000000+13*1000+61))</f>
        <v/>
      </c>
      <c r="GN172" s="39">
        <f>IF(N('Dvd Calendar'!$Z$1700)=0,"",IF(('Dvd Calendar'!$Z$1700&gt;=GRID_FROM)*('Dvd Calendar'!$Z$1700&lt;=GRID_TO)*('Dvd Calendar'!$Z$1700&gt;VAL_DATE)=0,"",'Dvd Calendar'!$Z$1700*1000000000+ISNUMBER('Dvd Calendar'!$Z$1701)*100000000+0*10000000+(N('Dvd Calendar'!$Z$1699)&gt;0)*(N('Dvd Calendar'!$Z$1699)&lt;=VAL_SERIAL)*1000000+13*1000+62))</f>
        <v/>
      </c>
      <c r="GO172" s="39">
        <f>IF(N('Dvd Calendar'!$AA$1700)=0,"",IF(('Dvd Calendar'!$AA$1700&gt;=GRID_FROM)*('Dvd Calendar'!$AA$1700&lt;=GRID_TO)*('Dvd Calendar'!$AA$1700&gt;VAL_DATE)=0,"",'Dvd Calendar'!$AA$1700*1000000000+ISNUMBER('Dvd Calendar'!$AA$1701)*100000000+0*10000000+(N('Dvd Calendar'!$AA$1699)&gt;0)*(N('Dvd Calendar'!$AA$1699)&lt;=VAL_SERIAL)*1000000+13*1000+63))</f>
        <v/>
      </c>
      <c r="GP172" s="39">
        <f>IF(N('Dvd Calendar'!$AB$1700)=0,"",IF(('Dvd Calendar'!$AB$1700&gt;=GRID_FROM)*('Dvd Calendar'!$AB$1700&lt;=GRID_TO)*('Dvd Calendar'!$AB$1700&gt;VAL_DATE)=0,"",'Dvd Calendar'!$AB$1700*1000000000+ISNUMBER('Dvd Calendar'!$AB$1701)*100000000+0*10000000+(N('Dvd Calendar'!$AB$1699)&gt;0)*(N('Dvd Calendar'!$AB$1699)&lt;=VAL_SERIAL)*1000000+13*1000+64))</f>
        <v/>
      </c>
      <c r="GQ172" s="39">
        <f>IF(N('Dvd Calendar'!$AC$1700)=0,"",IF(('Dvd Calendar'!$AC$1700&gt;=GRID_FROM)*('Dvd Calendar'!$AC$1700&lt;=GRID_TO)*('Dvd Calendar'!$AC$1700&gt;VAL_DATE)=0,"",'Dvd Calendar'!$AC$1700*1000000000+ISNUMBER('Dvd Calendar'!$AC$1701)*100000000+0*10000000+(N('Dvd Calendar'!$AC$1699)&gt;0)*(N('Dvd Calendar'!$AC$1699)&lt;=VAL_SERIAL)*1000000+13*1000+65))</f>
        <v/>
      </c>
    </row>
    <row r="173">
      <c r="B173" s="2">
        <f>IF(HSCEI!$C$20="","",HSCEI!$C$20)</f>
        <v/>
      </c>
      <c r="C173" s="110">
        <f>IF(EE173="","",IF(ISNUMBER('Dvd Calendar'!$E$1707)=FALSE,"",IF((('Dvd Calendar'!$E$1709=TYPE1)*(TYPE1&lt;&gt;"")+('Dvd Calendar'!$E$1709=TYPE2)*(TYPE2&lt;&gt;"")+('Dvd Calendar'!$E$1709=TYPE3)*(TYPE3&lt;&gt;"")+('Dvd Calendar'!$E$1709=TYPE4)*(TYPE4&lt;&gt;"")+('Dvd Calendar'!$E$1709=SPECIAL_LBL)*(INC_SPECIALS="Y"))=0,"",'Dvd Calendar'!$E$1707)))</f>
        <v/>
      </c>
      <c r="D173" s="110">
        <f>IF(EF173="","",IF(ISNUMBER('Dvd Calendar'!$F$1707)=FALSE,"",IF((('Dvd Calendar'!$F$1709=TYPE1)*(TYPE1&lt;&gt;"")+('Dvd Calendar'!$F$1709=TYPE2)*(TYPE2&lt;&gt;"")+('Dvd Calendar'!$F$1709=TYPE3)*(TYPE3&lt;&gt;"")+('Dvd Calendar'!$F$1709=TYPE4)*(TYPE4&lt;&gt;"")+('Dvd Calendar'!$F$1709=SPECIAL_LBL)*(INC_SPECIALS="Y"))=0,"",'Dvd Calendar'!$F$1707)))</f>
        <v/>
      </c>
      <c r="E173" s="110">
        <f>IF(EG173="","",IF(ISNUMBER('Dvd Calendar'!$G$1707)=FALSE,"",IF((('Dvd Calendar'!$G$1709=TYPE1)*(TYPE1&lt;&gt;"")+('Dvd Calendar'!$G$1709=TYPE2)*(TYPE2&lt;&gt;"")+('Dvd Calendar'!$G$1709=TYPE3)*(TYPE3&lt;&gt;"")+('Dvd Calendar'!$G$1709=TYPE4)*(TYPE4&lt;&gt;"")+('Dvd Calendar'!$G$1709=SPECIAL_LBL)*(INC_SPECIALS="Y"))=0,"",'Dvd Calendar'!$G$1707)))</f>
        <v/>
      </c>
      <c r="F173" s="110">
        <f>IF(EH173="","",IF(ISNUMBER('Dvd Calendar'!$H$1707)=FALSE,"",IF((('Dvd Calendar'!$H$1709=TYPE1)*(TYPE1&lt;&gt;"")+('Dvd Calendar'!$H$1709=TYPE2)*(TYPE2&lt;&gt;"")+('Dvd Calendar'!$H$1709=TYPE3)*(TYPE3&lt;&gt;"")+('Dvd Calendar'!$H$1709=TYPE4)*(TYPE4&lt;&gt;"")+('Dvd Calendar'!$H$1709=SPECIAL_LBL)*(INC_SPECIALS="Y"))=0,"",'Dvd Calendar'!$H$1707)))</f>
        <v/>
      </c>
      <c r="G173" s="110">
        <f>IF(EI173="","",IF(ISNUMBER('Dvd Calendar'!$I$1707)=FALSE,"",IF((('Dvd Calendar'!$I$1709=TYPE1)*(TYPE1&lt;&gt;"")+('Dvd Calendar'!$I$1709=TYPE2)*(TYPE2&lt;&gt;"")+('Dvd Calendar'!$I$1709=TYPE3)*(TYPE3&lt;&gt;"")+('Dvd Calendar'!$I$1709=TYPE4)*(TYPE4&lt;&gt;"")+('Dvd Calendar'!$I$1709=SPECIAL_LBL)*(INC_SPECIALS="Y"))=0,"",'Dvd Calendar'!$I$1707)))</f>
        <v/>
      </c>
      <c r="H173" s="110">
        <f>IF(EJ173="","",IF(ISNUMBER('Dvd Calendar'!$J$1707)=FALSE,"",IF((('Dvd Calendar'!$J$1709=TYPE1)*(TYPE1&lt;&gt;"")+('Dvd Calendar'!$J$1709=TYPE2)*(TYPE2&lt;&gt;"")+('Dvd Calendar'!$J$1709=TYPE3)*(TYPE3&lt;&gt;"")+('Dvd Calendar'!$J$1709=TYPE4)*(TYPE4&lt;&gt;"")+('Dvd Calendar'!$J$1709=SPECIAL_LBL)*(INC_SPECIALS="Y"))=0,"",'Dvd Calendar'!$J$1707)))</f>
        <v/>
      </c>
      <c r="I173" s="110">
        <f>IF(EK173="","",IF(ISNUMBER('Dvd Calendar'!$K$1707)=FALSE,"",IF((('Dvd Calendar'!$K$1709=TYPE1)*(TYPE1&lt;&gt;"")+('Dvd Calendar'!$K$1709=TYPE2)*(TYPE2&lt;&gt;"")+('Dvd Calendar'!$K$1709=TYPE3)*(TYPE3&lt;&gt;"")+('Dvd Calendar'!$K$1709=TYPE4)*(TYPE4&lt;&gt;"")+('Dvd Calendar'!$K$1709=SPECIAL_LBL)*(INC_SPECIALS="Y"))=0,"",'Dvd Calendar'!$K$1707)))</f>
        <v/>
      </c>
      <c r="J173" s="110">
        <f>IF(EL173="","",IF(ISNUMBER('Dvd Calendar'!$L$1707)=FALSE,"",IF((('Dvd Calendar'!$L$1709=TYPE1)*(TYPE1&lt;&gt;"")+('Dvd Calendar'!$L$1709=TYPE2)*(TYPE2&lt;&gt;"")+('Dvd Calendar'!$L$1709=TYPE3)*(TYPE3&lt;&gt;"")+('Dvd Calendar'!$L$1709=TYPE4)*(TYPE4&lt;&gt;"")+('Dvd Calendar'!$L$1709=SPECIAL_LBL)*(INC_SPECIALS="Y"))=0,"",'Dvd Calendar'!$L$1707)))</f>
        <v/>
      </c>
      <c r="K173" s="110">
        <f>IF(EM173="","",IF(ISNUMBER('Dvd Calendar'!$M$1707)=FALSE,"",IF((('Dvd Calendar'!$M$1709=TYPE1)*(TYPE1&lt;&gt;"")+('Dvd Calendar'!$M$1709=TYPE2)*(TYPE2&lt;&gt;"")+('Dvd Calendar'!$M$1709=TYPE3)*(TYPE3&lt;&gt;"")+('Dvd Calendar'!$M$1709=TYPE4)*(TYPE4&lt;&gt;"")+('Dvd Calendar'!$M$1709=SPECIAL_LBL)*(INC_SPECIALS="Y"))=0,"",'Dvd Calendar'!$M$1707)))</f>
        <v/>
      </c>
      <c r="L173" s="110">
        <f>IF(EN173="","",IF(ISNUMBER('Dvd Calendar'!$N$1707)=FALSE,"",IF((('Dvd Calendar'!$N$1709=TYPE1)*(TYPE1&lt;&gt;"")+('Dvd Calendar'!$N$1709=TYPE2)*(TYPE2&lt;&gt;"")+('Dvd Calendar'!$N$1709=TYPE3)*(TYPE3&lt;&gt;"")+('Dvd Calendar'!$N$1709=TYPE4)*(TYPE4&lt;&gt;"")+('Dvd Calendar'!$N$1709=SPECIAL_LBL)*(INC_SPECIALS="Y"))=0,"",'Dvd Calendar'!$N$1707)))</f>
        <v/>
      </c>
      <c r="M173" s="110">
        <f>IF(EO173="","",IF(ISNUMBER('Dvd Calendar'!$O$1707)=FALSE,"",IF((('Dvd Calendar'!$O$1709=TYPE1)*(TYPE1&lt;&gt;"")+('Dvd Calendar'!$O$1709=TYPE2)*(TYPE2&lt;&gt;"")+('Dvd Calendar'!$O$1709=TYPE3)*(TYPE3&lt;&gt;"")+('Dvd Calendar'!$O$1709=TYPE4)*(TYPE4&lt;&gt;"")+('Dvd Calendar'!$O$1709=SPECIAL_LBL)*(INC_SPECIALS="Y"))=0,"",'Dvd Calendar'!$O$1707)))</f>
        <v/>
      </c>
      <c r="N173" s="110">
        <f>IF(EP173="","",IF(ISNUMBER('Dvd Calendar'!$P$1707)=FALSE,"",IF((('Dvd Calendar'!$P$1709=TYPE1)*(TYPE1&lt;&gt;"")+('Dvd Calendar'!$P$1709=TYPE2)*(TYPE2&lt;&gt;"")+('Dvd Calendar'!$P$1709=TYPE3)*(TYPE3&lt;&gt;"")+('Dvd Calendar'!$P$1709=TYPE4)*(TYPE4&lt;&gt;"")+('Dvd Calendar'!$P$1709=SPECIAL_LBL)*(INC_SPECIALS="Y"))=0,"",'Dvd Calendar'!$P$1707)))</f>
        <v/>
      </c>
      <c r="O173" s="110">
        <f>IF(EQ173="","",IF(ISNUMBER('Dvd Calendar'!$Q$1707)=FALSE,"",IF((('Dvd Calendar'!$Q$1709=TYPE1)*(TYPE1&lt;&gt;"")+('Dvd Calendar'!$Q$1709=TYPE2)*(TYPE2&lt;&gt;"")+('Dvd Calendar'!$Q$1709=TYPE3)*(TYPE3&lt;&gt;"")+('Dvd Calendar'!$Q$1709=TYPE4)*(TYPE4&lt;&gt;"")+('Dvd Calendar'!$Q$1709=SPECIAL_LBL)*(INC_SPECIALS="Y"))=0,"",'Dvd Calendar'!$Q$1707)))</f>
        <v/>
      </c>
      <c r="P173" s="110">
        <f>IF(ER173="","",IF(ISNUMBER('Dvd Calendar'!$R$1707)=FALSE,"",IF((('Dvd Calendar'!$R$1709=TYPE1)*(TYPE1&lt;&gt;"")+('Dvd Calendar'!$R$1709=TYPE2)*(TYPE2&lt;&gt;"")+('Dvd Calendar'!$R$1709=TYPE3)*(TYPE3&lt;&gt;"")+('Dvd Calendar'!$R$1709=TYPE4)*(TYPE4&lt;&gt;"")+('Dvd Calendar'!$R$1709=SPECIAL_LBL)*(INC_SPECIALS="Y"))=0,"",'Dvd Calendar'!$R$1707)))</f>
        <v/>
      </c>
      <c r="Q173" s="110">
        <f>IF(ES173="","",IF(ISNUMBER('Dvd Calendar'!$S$1707)=FALSE,"",IF((('Dvd Calendar'!$S$1709=TYPE1)*(TYPE1&lt;&gt;"")+('Dvd Calendar'!$S$1709=TYPE2)*(TYPE2&lt;&gt;"")+('Dvd Calendar'!$S$1709=TYPE3)*(TYPE3&lt;&gt;"")+('Dvd Calendar'!$S$1709=TYPE4)*(TYPE4&lt;&gt;"")+('Dvd Calendar'!$S$1709=SPECIAL_LBL)*(INC_SPECIALS="Y"))=0,"",'Dvd Calendar'!$S$1707)))</f>
        <v/>
      </c>
      <c r="R173" s="110">
        <f>IF(ET173="","",IF(ISNUMBER('Dvd Calendar'!$T$1707)=FALSE,"",IF((('Dvd Calendar'!$T$1709=TYPE1)*(TYPE1&lt;&gt;"")+('Dvd Calendar'!$T$1709=TYPE2)*(TYPE2&lt;&gt;"")+('Dvd Calendar'!$T$1709=TYPE3)*(TYPE3&lt;&gt;"")+('Dvd Calendar'!$T$1709=TYPE4)*(TYPE4&lt;&gt;"")+('Dvd Calendar'!$T$1709=SPECIAL_LBL)*(INC_SPECIALS="Y"))=0,"",'Dvd Calendar'!$T$1707)))</f>
        <v/>
      </c>
      <c r="S173" s="110">
        <f>IF(EU173="","",IF(ISNUMBER('Dvd Calendar'!$U$1707)=FALSE,"",IF((('Dvd Calendar'!$U$1709=TYPE1)*(TYPE1&lt;&gt;"")+('Dvd Calendar'!$U$1709=TYPE2)*(TYPE2&lt;&gt;"")+('Dvd Calendar'!$U$1709=TYPE3)*(TYPE3&lt;&gt;"")+('Dvd Calendar'!$U$1709=TYPE4)*(TYPE4&lt;&gt;"")+('Dvd Calendar'!$U$1709=SPECIAL_LBL)*(INC_SPECIALS="Y"))=0,"",'Dvd Calendar'!$U$1707)))</f>
        <v/>
      </c>
      <c r="T173" s="110">
        <f>IF(EV173="","",IF(ISNUMBER('Dvd Calendar'!$V$1707)=FALSE,"",IF((('Dvd Calendar'!$V$1709=TYPE1)*(TYPE1&lt;&gt;"")+('Dvd Calendar'!$V$1709=TYPE2)*(TYPE2&lt;&gt;"")+('Dvd Calendar'!$V$1709=TYPE3)*(TYPE3&lt;&gt;"")+('Dvd Calendar'!$V$1709=TYPE4)*(TYPE4&lt;&gt;"")+('Dvd Calendar'!$V$1709=SPECIAL_LBL)*(INC_SPECIALS="Y"))=0,"",'Dvd Calendar'!$V$1707)))</f>
        <v/>
      </c>
      <c r="U173" s="110">
        <f>IF(EW173="","",IF(ISNUMBER('Dvd Calendar'!$W$1707)=FALSE,"",IF((('Dvd Calendar'!$W$1709=TYPE1)*(TYPE1&lt;&gt;"")+('Dvd Calendar'!$W$1709=TYPE2)*(TYPE2&lt;&gt;"")+('Dvd Calendar'!$W$1709=TYPE3)*(TYPE3&lt;&gt;"")+('Dvd Calendar'!$W$1709=TYPE4)*(TYPE4&lt;&gt;"")+('Dvd Calendar'!$W$1709=SPECIAL_LBL)*(INC_SPECIALS="Y"))=0,"",'Dvd Calendar'!$W$1707)))</f>
        <v/>
      </c>
      <c r="V173" s="110">
        <f>IF(EX173="","",IF(ISNUMBER('Dvd Calendar'!$X$1707)=FALSE,"",IF((('Dvd Calendar'!$X$1709=TYPE1)*(TYPE1&lt;&gt;"")+('Dvd Calendar'!$X$1709=TYPE2)*(TYPE2&lt;&gt;"")+('Dvd Calendar'!$X$1709=TYPE3)*(TYPE3&lt;&gt;"")+('Dvd Calendar'!$X$1709=TYPE4)*(TYPE4&lt;&gt;"")+('Dvd Calendar'!$X$1709=SPECIAL_LBL)*(INC_SPECIALS="Y"))=0,"",'Dvd Calendar'!$X$1707)))</f>
        <v/>
      </c>
      <c r="W173" s="110">
        <f>IF(EY173="","",IF(ISNUMBER('Dvd Calendar'!$Y$1707)=FALSE,"",IF((('Dvd Calendar'!$Y$1709=TYPE1)*(TYPE1&lt;&gt;"")+('Dvd Calendar'!$Y$1709=TYPE2)*(TYPE2&lt;&gt;"")+('Dvd Calendar'!$Y$1709=TYPE3)*(TYPE3&lt;&gt;"")+('Dvd Calendar'!$Y$1709=TYPE4)*(TYPE4&lt;&gt;"")+('Dvd Calendar'!$Y$1709=SPECIAL_LBL)*(INC_SPECIALS="Y"))=0,"",'Dvd Calendar'!$Y$1707)))</f>
        <v/>
      </c>
      <c r="X173" s="110">
        <f>IF(EZ173="","",IF(ISNUMBER('Dvd Calendar'!$Z$1707)=FALSE,"",IF((('Dvd Calendar'!$Z$1709=TYPE1)*(TYPE1&lt;&gt;"")+('Dvd Calendar'!$Z$1709=TYPE2)*(TYPE2&lt;&gt;"")+('Dvd Calendar'!$Z$1709=TYPE3)*(TYPE3&lt;&gt;"")+('Dvd Calendar'!$Z$1709=TYPE4)*(TYPE4&lt;&gt;"")+('Dvd Calendar'!$Z$1709=SPECIAL_LBL)*(INC_SPECIALS="Y"))=0,"",'Dvd Calendar'!$Z$1707)))</f>
        <v/>
      </c>
      <c r="Y173" s="110">
        <f>IF(FA173="","",IF(ISNUMBER('Dvd Calendar'!$AA$1707)=FALSE,"",IF((('Dvd Calendar'!$AA$1709=TYPE1)*(TYPE1&lt;&gt;"")+('Dvd Calendar'!$AA$1709=TYPE2)*(TYPE2&lt;&gt;"")+('Dvd Calendar'!$AA$1709=TYPE3)*(TYPE3&lt;&gt;"")+('Dvd Calendar'!$AA$1709=TYPE4)*(TYPE4&lt;&gt;"")+('Dvd Calendar'!$AA$1709=SPECIAL_LBL)*(INC_SPECIALS="Y"))=0,"",'Dvd Calendar'!$AA$1707)))</f>
        <v/>
      </c>
      <c r="Z173" s="110">
        <f>IF(FB173="","",IF(ISNUMBER('Dvd Calendar'!$AB$1707)=FALSE,"",IF((('Dvd Calendar'!$AB$1709=TYPE1)*(TYPE1&lt;&gt;"")+('Dvd Calendar'!$AB$1709=TYPE2)*(TYPE2&lt;&gt;"")+('Dvd Calendar'!$AB$1709=TYPE3)*(TYPE3&lt;&gt;"")+('Dvd Calendar'!$AB$1709=TYPE4)*(TYPE4&lt;&gt;"")+('Dvd Calendar'!$AB$1709=SPECIAL_LBL)*(INC_SPECIALS="Y"))=0,"",'Dvd Calendar'!$AB$1707)))</f>
        <v/>
      </c>
      <c r="AA173" s="110">
        <f>IF(FC173="","",IF(ISNUMBER('Dvd Calendar'!$AC$1707)=FALSE,"",IF((('Dvd Calendar'!$AC$1709=TYPE1)*(TYPE1&lt;&gt;"")+('Dvd Calendar'!$AC$1709=TYPE2)*(TYPE2&lt;&gt;"")+('Dvd Calendar'!$AC$1709=TYPE3)*(TYPE3&lt;&gt;"")+('Dvd Calendar'!$AC$1709=TYPE4)*(TYPE4&lt;&gt;"")+('Dvd Calendar'!$AC$1709=SPECIAL_LBL)*(INC_SPECIALS="Y"))=0,"",'Dvd Calendar'!$AC$1707)))</f>
        <v/>
      </c>
      <c r="AB173" s="110">
        <f>IF(FD173="","",IF(ISNUMBER('Dvd Calendar'!$AD$1707)=FALSE,"",IF((('Dvd Calendar'!$AD$1709=TYPE1)*(TYPE1&lt;&gt;"")+('Dvd Calendar'!$AD$1709=TYPE2)*(TYPE2&lt;&gt;"")+('Dvd Calendar'!$AD$1709=TYPE3)*(TYPE3&lt;&gt;"")+('Dvd Calendar'!$AD$1709=TYPE4)*(TYPE4&lt;&gt;"")+('Dvd Calendar'!$AD$1709=SPECIAL_LBL)*(INC_SPECIALS="Y"))=0,"",'Dvd Calendar'!$AD$1707)))</f>
        <v/>
      </c>
      <c r="AC173" s="110">
        <f>IF(FE173="","",IF(ISNUMBER('Dvd Calendar'!$AE$1707)=FALSE,"",IF((('Dvd Calendar'!$AE$1709=TYPE1)*(TYPE1&lt;&gt;"")+('Dvd Calendar'!$AE$1709=TYPE2)*(TYPE2&lt;&gt;"")+('Dvd Calendar'!$AE$1709=TYPE3)*(TYPE3&lt;&gt;"")+('Dvd Calendar'!$AE$1709=TYPE4)*(TYPE4&lt;&gt;"")+('Dvd Calendar'!$AE$1709=SPECIAL_LBL)*(INC_SPECIALS="Y"))=0,"",'Dvd Calendar'!$AE$1707)))</f>
        <v/>
      </c>
      <c r="AD173" s="110">
        <f>IF(FF173="","",IF(ISNUMBER('Dvd Calendar'!$AF$1707)=FALSE,"",IF((('Dvd Calendar'!$AF$1709=TYPE1)*(TYPE1&lt;&gt;"")+('Dvd Calendar'!$AF$1709=TYPE2)*(TYPE2&lt;&gt;"")+('Dvd Calendar'!$AF$1709=TYPE3)*(TYPE3&lt;&gt;"")+('Dvd Calendar'!$AF$1709=TYPE4)*(TYPE4&lt;&gt;"")+('Dvd Calendar'!$AF$1709=SPECIAL_LBL)*(INC_SPECIALS="Y"))=0,"",'Dvd Calendar'!$AF$1707)))</f>
        <v/>
      </c>
      <c r="AE173" s="110">
        <f>IF(FG173="","",IF(ISNUMBER('Dvd Calendar'!$AG$1707)=FALSE,"",IF((('Dvd Calendar'!$AG$1709=TYPE1)*(TYPE1&lt;&gt;"")+('Dvd Calendar'!$AG$1709=TYPE2)*(TYPE2&lt;&gt;"")+('Dvd Calendar'!$AG$1709=TYPE3)*(TYPE3&lt;&gt;"")+('Dvd Calendar'!$AG$1709=TYPE4)*(TYPE4&lt;&gt;"")+('Dvd Calendar'!$AG$1709=SPECIAL_LBL)*(INC_SPECIALS="Y"))=0,"",'Dvd Calendar'!$AG$1707)))</f>
        <v/>
      </c>
      <c r="AF173" s="110">
        <f>IF(FH173="","",IF(ISNUMBER('Dvd Calendar'!$AH$1707)=FALSE,"",IF((('Dvd Calendar'!$AH$1709=TYPE1)*(TYPE1&lt;&gt;"")+('Dvd Calendar'!$AH$1709=TYPE2)*(TYPE2&lt;&gt;"")+('Dvd Calendar'!$AH$1709=TYPE3)*(TYPE3&lt;&gt;"")+('Dvd Calendar'!$AH$1709=TYPE4)*(TYPE4&lt;&gt;"")+('Dvd Calendar'!$AH$1709=SPECIAL_LBL)*(INC_SPECIALS="Y"))=0,"",'Dvd Calendar'!$AH$1707)))</f>
        <v/>
      </c>
      <c r="AG173" s="110">
        <f>IF(FI173="","",IF(ISNUMBER('Dvd Calendar'!$AI$1707)=FALSE,"",IF((('Dvd Calendar'!$AI$1709=TYPE1)*(TYPE1&lt;&gt;"")+('Dvd Calendar'!$AI$1709=TYPE2)*(TYPE2&lt;&gt;"")+('Dvd Calendar'!$AI$1709=TYPE3)*(TYPE3&lt;&gt;"")+('Dvd Calendar'!$AI$1709=TYPE4)*(TYPE4&lt;&gt;"")+('Dvd Calendar'!$AI$1709=SPECIAL_LBL)*(INC_SPECIALS="Y"))=0,"",'Dvd Calendar'!$AI$1707)))</f>
        <v/>
      </c>
      <c r="AH173" s="110">
        <f>IF(FJ173="","",IF(ISNUMBER('Dvd Calendar'!$AJ$1707)=FALSE,"",IF((('Dvd Calendar'!$AJ$1709=TYPE1)*(TYPE1&lt;&gt;"")+('Dvd Calendar'!$AJ$1709=TYPE2)*(TYPE2&lt;&gt;"")+('Dvd Calendar'!$AJ$1709=TYPE3)*(TYPE3&lt;&gt;"")+('Dvd Calendar'!$AJ$1709=TYPE4)*(TYPE4&lt;&gt;"")+('Dvd Calendar'!$AJ$1709=SPECIAL_LBL)*(INC_SPECIALS="Y"))=0,"",'Dvd Calendar'!$AJ$1707)))</f>
        <v/>
      </c>
      <c r="AI173" s="110">
        <f>IF(FK173="","",IF(ISNUMBER('Dvd Calendar'!$AK$1707)=FALSE,"",IF((('Dvd Calendar'!$AK$1709=TYPE1)*(TYPE1&lt;&gt;"")+('Dvd Calendar'!$AK$1709=TYPE2)*(TYPE2&lt;&gt;"")+('Dvd Calendar'!$AK$1709=TYPE3)*(TYPE3&lt;&gt;"")+('Dvd Calendar'!$AK$1709=TYPE4)*(TYPE4&lt;&gt;"")+('Dvd Calendar'!$AK$1709=SPECIAL_LBL)*(INC_SPECIALS="Y"))=0,"",'Dvd Calendar'!$AK$1707)))</f>
        <v/>
      </c>
      <c r="AJ173" s="110">
        <f>IF(FL173="","",IF(ISNUMBER('Dvd Calendar'!$AL$1707)=FALSE,"",IF((('Dvd Calendar'!$AL$1709=TYPE1)*(TYPE1&lt;&gt;"")+('Dvd Calendar'!$AL$1709=TYPE2)*(TYPE2&lt;&gt;"")+('Dvd Calendar'!$AL$1709=TYPE3)*(TYPE3&lt;&gt;"")+('Dvd Calendar'!$AL$1709=TYPE4)*(TYPE4&lt;&gt;"")+('Dvd Calendar'!$AL$1709=SPECIAL_LBL)*(INC_SPECIALS="Y"))=0,"",'Dvd Calendar'!$AL$1707)))</f>
        <v/>
      </c>
      <c r="AK173" s="110">
        <f>IF(FM173="","",IF(ISNUMBER('Dvd Calendar'!$AM$1707)=FALSE,"",IF((('Dvd Calendar'!$AM$1709=TYPE1)*(TYPE1&lt;&gt;"")+('Dvd Calendar'!$AM$1709=TYPE2)*(TYPE2&lt;&gt;"")+('Dvd Calendar'!$AM$1709=TYPE3)*(TYPE3&lt;&gt;"")+('Dvd Calendar'!$AM$1709=TYPE4)*(TYPE4&lt;&gt;"")+('Dvd Calendar'!$AM$1709=SPECIAL_LBL)*(INC_SPECIALS="Y"))=0,"",'Dvd Calendar'!$AM$1707)))</f>
        <v/>
      </c>
      <c r="AL173" s="110">
        <f>IF(FN173="","",IF(ISNUMBER('Dvd Calendar'!$AN$1707)=FALSE,"",IF((('Dvd Calendar'!$AN$1709=TYPE1)*(TYPE1&lt;&gt;"")+('Dvd Calendar'!$AN$1709=TYPE2)*(TYPE2&lt;&gt;"")+('Dvd Calendar'!$AN$1709=TYPE3)*(TYPE3&lt;&gt;"")+('Dvd Calendar'!$AN$1709=TYPE4)*(TYPE4&lt;&gt;"")+('Dvd Calendar'!$AN$1709=SPECIAL_LBL)*(INC_SPECIALS="Y"))=0,"",'Dvd Calendar'!$AN$1707)))</f>
        <v/>
      </c>
      <c r="AM173" s="110">
        <f>IF(FO173="","",IF(ISNUMBER('Dvd Calendar'!$AO$1707)=FALSE,"",IF((('Dvd Calendar'!$AO$1709=TYPE1)*(TYPE1&lt;&gt;"")+('Dvd Calendar'!$AO$1709=TYPE2)*(TYPE2&lt;&gt;"")+('Dvd Calendar'!$AO$1709=TYPE3)*(TYPE3&lt;&gt;"")+('Dvd Calendar'!$AO$1709=TYPE4)*(TYPE4&lt;&gt;"")+('Dvd Calendar'!$AO$1709=SPECIAL_LBL)*(INC_SPECIALS="Y"))=0,"",'Dvd Calendar'!$AO$1707)))</f>
        <v/>
      </c>
      <c r="AN173" s="110">
        <f>IF(FP173="","",IF(ISNUMBER('Dvd Calendar'!$AP$1707)=FALSE,"",IF((('Dvd Calendar'!$AP$1709=TYPE1)*(TYPE1&lt;&gt;"")+('Dvd Calendar'!$AP$1709=TYPE2)*(TYPE2&lt;&gt;"")+('Dvd Calendar'!$AP$1709=TYPE3)*(TYPE3&lt;&gt;"")+('Dvd Calendar'!$AP$1709=TYPE4)*(TYPE4&lt;&gt;"")+('Dvd Calendar'!$AP$1709=SPECIAL_LBL)*(INC_SPECIALS="Y"))=0,"",'Dvd Calendar'!$AP$1707)))</f>
        <v/>
      </c>
      <c r="AO173" s="110">
        <f>IF(FQ173="","",IF(ISNUMBER('Dvd Calendar'!$AQ$1707)=FALSE,"",IF((('Dvd Calendar'!$AQ$1709=TYPE1)*(TYPE1&lt;&gt;"")+('Dvd Calendar'!$AQ$1709=TYPE2)*(TYPE2&lt;&gt;"")+('Dvd Calendar'!$AQ$1709=TYPE3)*(TYPE3&lt;&gt;"")+('Dvd Calendar'!$AQ$1709=TYPE4)*(TYPE4&lt;&gt;"")+('Dvd Calendar'!$AQ$1709=SPECIAL_LBL)*(INC_SPECIALS="Y"))=0,"",'Dvd Calendar'!$AQ$1707)))</f>
        <v/>
      </c>
      <c r="AP173" s="110">
        <f>IF(FR173="","",IF(ISNUMBER('Dvd Calendar'!$AR$1707)=FALSE,"",IF((('Dvd Calendar'!$AR$1709=TYPE1)*(TYPE1&lt;&gt;"")+('Dvd Calendar'!$AR$1709=TYPE2)*(TYPE2&lt;&gt;"")+('Dvd Calendar'!$AR$1709=TYPE3)*(TYPE3&lt;&gt;"")+('Dvd Calendar'!$AR$1709=TYPE4)*(TYPE4&lt;&gt;"")+('Dvd Calendar'!$AR$1709=SPECIAL_LBL)*(INC_SPECIALS="Y"))=0,"",'Dvd Calendar'!$AR$1707)))</f>
        <v/>
      </c>
      <c r="AQ173" s="110">
        <f>IF(FS173="","",IF(ISNUMBER('Dvd Calendar'!$E$1712)=FALSE,"",'Dvd Calendar'!$E$1712))</f>
        <v/>
      </c>
      <c r="AR173" s="110">
        <f>IF(FT173="","",IF(ISNUMBER('Dvd Calendar'!$F$1712)=FALSE,"",'Dvd Calendar'!$F$1712))</f>
        <v/>
      </c>
      <c r="AS173" s="110">
        <f>IF(FU173="","",IF(ISNUMBER('Dvd Calendar'!$G$1712)=FALSE,"",'Dvd Calendar'!$G$1712))</f>
        <v/>
      </c>
      <c r="AT173" s="110">
        <f>IF(FV173="","",IF(ISNUMBER('Dvd Calendar'!$H$1712)=FALSE,"",'Dvd Calendar'!$H$1712))</f>
        <v/>
      </c>
      <c r="AU173" s="110">
        <f>IF(FW173="","",IF(ISNUMBER('Dvd Calendar'!$I$1712)=FALSE,"",'Dvd Calendar'!$I$1712))</f>
        <v/>
      </c>
      <c r="AV173" s="110">
        <f>IF(FX173="","",IF(ISNUMBER('Dvd Calendar'!$J$1712)=FALSE,"",'Dvd Calendar'!$J$1712))</f>
        <v/>
      </c>
      <c r="AW173" s="110">
        <f>IF(FY173="","",IF(ISNUMBER('Dvd Calendar'!$K$1712)=FALSE,"",'Dvd Calendar'!$K$1712))</f>
        <v/>
      </c>
      <c r="AX173" s="110">
        <f>IF(FZ173="","",IF(ISNUMBER('Dvd Calendar'!$L$1712)=FALSE,"",'Dvd Calendar'!$L$1712))</f>
        <v/>
      </c>
      <c r="AY173" s="110">
        <f>IF(GA173="","",IF(ISNUMBER('Dvd Calendar'!$M$1712)=FALSE,"",'Dvd Calendar'!$M$1712))</f>
        <v/>
      </c>
      <c r="AZ173" s="110">
        <f>IF(GB173="","",IF(ISNUMBER('Dvd Calendar'!$N$1712)=FALSE,"",'Dvd Calendar'!$N$1712))</f>
        <v/>
      </c>
      <c r="BA173" s="110">
        <f>IF(GC173="","",IF(ISNUMBER('Dvd Calendar'!$O$1712)=FALSE,"",'Dvd Calendar'!$O$1712))</f>
        <v/>
      </c>
      <c r="BB173" s="110">
        <f>IF(GD173="","",IF(ISNUMBER('Dvd Calendar'!$P$1712)=FALSE,"",'Dvd Calendar'!$P$1712))</f>
        <v/>
      </c>
      <c r="BC173" s="110">
        <f>IF(GE173="","",IF(ISNUMBER('Dvd Calendar'!$Q$1712)=FALSE,"",'Dvd Calendar'!$Q$1712))</f>
        <v/>
      </c>
      <c r="BD173" s="110">
        <f>IF(GF173="","",IF(ISNUMBER('Dvd Calendar'!$R$1712)=FALSE,"",'Dvd Calendar'!$R$1712))</f>
        <v/>
      </c>
      <c r="BE173" s="110">
        <f>IF(GG173="","",IF(ISNUMBER('Dvd Calendar'!$S$1712)=FALSE,"",'Dvd Calendar'!$S$1712))</f>
        <v/>
      </c>
      <c r="BF173" s="110">
        <f>IF(GH173="","",IF(ISNUMBER('Dvd Calendar'!$T$1712)=FALSE,"",'Dvd Calendar'!$T$1712))</f>
        <v/>
      </c>
      <c r="BG173" s="110">
        <f>IF(GI173="","",IF(ISNUMBER('Dvd Calendar'!$U$1712)=FALSE,"",'Dvd Calendar'!$U$1712))</f>
        <v/>
      </c>
      <c r="BH173" s="110">
        <f>IF(GJ173="","",IF(ISNUMBER('Dvd Calendar'!$V$1712)=FALSE,"",'Dvd Calendar'!$V$1712))</f>
        <v/>
      </c>
      <c r="BI173" s="110">
        <f>IF(GK173="","",IF(ISNUMBER('Dvd Calendar'!$W$1712)=FALSE,"",'Dvd Calendar'!$W$1712))</f>
        <v/>
      </c>
      <c r="BJ173" s="110">
        <f>IF(GL173="","",IF(ISNUMBER('Dvd Calendar'!$X$1712)=FALSE,"",'Dvd Calendar'!$X$1712))</f>
        <v/>
      </c>
      <c r="BK173" s="110">
        <f>IF(GM173="","",IF(ISNUMBER('Dvd Calendar'!$Y$1712)=FALSE,"",'Dvd Calendar'!$Y$1712))</f>
        <v/>
      </c>
      <c r="BL173" s="110">
        <f>IF(GN173="","",IF(ISNUMBER('Dvd Calendar'!$Z$1712)=FALSE,"",'Dvd Calendar'!$Z$1712))</f>
        <v/>
      </c>
      <c r="BM173" s="110">
        <f>IF(GO173="","",IF(ISNUMBER('Dvd Calendar'!$AA$1712)=FALSE,"",'Dvd Calendar'!$AA$1712))</f>
        <v/>
      </c>
      <c r="BN173" s="110">
        <f>IF(GP173="","",IF(ISNUMBER('Dvd Calendar'!$AB$1712)=FALSE,"",'Dvd Calendar'!$AB$1712))</f>
        <v/>
      </c>
      <c r="BO173" s="110">
        <f>IF(GQ173="","",IF(ISNUMBER('Dvd Calendar'!$AC$1712)=FALSE,"",'Dvd Calendar'!$AC$1712))</f>
        <v/>
      </c>
      <c r="BQ173" s="110">
        <f>IF(C173="","",IFERROR(C173*HSCEI!$B$20*HSCEI!$G$20/HSCEI!$B$3,""))</f>
        <v/>
      </c>
      <c r="BR173" s="110">
        <f>IF(D173="","",IFERROR(D173*HSCEI!$B$20*HSCEI!$G$20/HSCEI!$B$3,""))</f>
        <v/>
      </c>
      <c r="BS173" s="110">
        <f>IF(E173="","",IFERROR(E173*HSCEI!$B$20*HSCEI!$G$20/HSCEI!$B$3,""))</f>
        <v/>
      </c>
      <c r="BT173" s="110">
        <f>IF(F173="","",IFERROR(F173*HSCEI!$B$20*HSCEI!$G$20/HSCEI!$B$3,""))</f>
        <v/>
      </c>
      <c r="BU173" s="110">
        <f>IF(G173="","",IFERROR(G173*HSCEI!$B$20*HSCEI!$G$20/HSCEI!$B$3,""))</f>
        <v/>
      </c>
      <c r="BV173" s="110">
        <f>IF(H173="","",IFERROR(H173*HSCEI!$B$20*HSCEI!$G$20/HSCEI!$B$3,""))</f>
        <v/>
      </c>
      <c r="BW173" s="110">
        <f>IF(I173="","",IFERROR(I173*HSCEI!$B$20*HSCEI!$G$20/HSCEI!$B$3,""))</f>
        <v/>
      </c>
      <c r="BX173" s="110">
        <f>IF(J173="","",IFERROR(J173*HSCEI!$B$20*HSCEI!$G$20/HSCEI!$B$3,""))</f>
        <v/>
      </c>
      <c r="BY173" s="110">
        <f>IF(K173="","",IFERROR(K173*HSCEI!$B$20*HSCEI!$G$20/HSCEI!$B$3,""))</f>
        <v/>
      </c>
      <c r="BZ173" s="110">
        <f>IF(L173="","",IFERROR(L173*HSCEI!$B$20*HSCEI!$G$20/HSCEI!$B$3,""))</f>
        <v/>
      </c>
      <c r="CA173" s="110">
        <f>IF(M173="","",IFERROR(M173*HSCEI!$B$20*HSCEI!$G$20/HSCEI!$B$3,""))</f>
        <v/>
      </c>
      <c r="CB173" s="110">
        <f>IF(N173="","",IFERROR(N173*HSCEI!$B$20*HSCEI!$G$20/HSCEI!$B$3,""))</f>
        <v/>
      </c>
      <c r="CC173" s="110">
        <f>IF(O173="","",IFERROR(O173*HSCEI!$B$20*HSCEI!$G$20/HSCEI!$B$3,""))</f>
        <v/>
      </c>
      <c r="CD173" s="110">
        <f>IF(P173="","",IFERROR(P173*HSCEI!$B$20*HSCEI!$G$20/HSCEI!$B$3,""))</f>
        <v/>
      </c>
      <c r="CE173" s="110">
        <f>IF(Q173="","",IFERROR(Q173*HSCEI!$B$20*HSCEI!$G$20/HSCEI!$B$3,""))</f>
        <v/>
      </c>
      <c r="CF173" s="110">
        <f>IF(R173="","",IFERROR(R173*HSCEI!$B$20*HSCEI!$G$20/HSCEI!$B$3,""))</f>
        <v/>
      </c>
      <c r="CG173" s="110">
        <f>IF(S173="","",IFERROR(S173*HSCEI!$B$20*HSCEI!$G$20/HSCEI!$B$3,""))</f>
        <v/>
      </c>
      <c r="CH173" s="110">
        <f>IF(T173="","",IFERROR(T173*HSCEI!$B$20*HSCEI!$G$20/HSCEI!$B$3,""))</f>
        <v/>
      </c>
      <c r="CI173" s="110">
        <f>IF(U173="","",IFERROR(U173*HSCEI!$B$20*HSCEI!$G$20/HSCEI!$B$3,""))</f>
        <v/>
      </c>
      <c r="CJ173" s="110">
        <f>IF(V173="","",IFERROR(V173*HSCEI!$B$20*HSCEI!$G$20/HSCEI!$B$3,""))</f>
        <v/>
      </c>
      <c r="CK173" s="110">
        <f>IF(W173="","",IFERROR(W173*HSCEI!$B$20*HSCEI!$G$20/HSCEI!$B$3,""))</f>
        <v/>
      </c>
      <c r="CL173" s="110">
        <f>IF(X173="","",IFERROR(X173*HSCEI!$B$20*HSCEI!$G$20/HSCEI!$B$3,""))</f>
        <v/>
      </c>
      <c r="CM173" s="110">
        <f>IF(Y173="","",IFERROR(Y173*HSCEI!$B$20*HSCEI!$G$20/HSCEI!$B$3,""))</f>
        <v/>
      </c>
      <c r="CN173" s="110">
        <f>IF(Z173="","",IFERROR(Z173*HSCEI!$B$20*HSCEI!$G$20/HSCEI!$B$3,""))</f>
        <v/>
      </c>
      <c r="CO173" s="110">
        <f>IF(AA173="","",IFERROR(AA173*HSCEI!$B$20*HSCEI!$G$20/HSCEI!$B$3,""))</f>
        <v/>
      </c>
      <c r="CP173" s="110">
        <f>IF(AB173="","",IFERROR(AB173*HSCEI!$B$20*HSCEI!$G$20/HSCEI!$B$3,""))</f>
        <v/>
      </c>
      <c r="CQ173" s="110">
        <f>IF(AC173="","",IFERROR(AC173*HSCEI!$B$20*HSCEI!$G$20/HSCEI!$B$3,""))</f>
        <v/>
      </c>
      <c r="CR173" s="110">
        <f>IF(AD173="","",IFERROR(AD173*HSCEI!$B$20*HSCEI!$G$20/HSCEI!$B$3,""))</f>
        <v/>
      </c>
      <c r="CS173" s="110">
        <f>IF(AE173="","",IFERROR(AE173*HSCEI!$B$20*HSCEI!$G$20/HSCEI!$B$3,""))</f>
        <v/>
      </c>
      <c r="CT173" s="110">
        <f>IF(AF173="","",IFERROR(AF173*HSCEI!$B$20*HSCEI!$G$20/HSCEI!$B$3,""))</f>
        <v/>
      </c>
      <c r="CU173" s="110">
        <f>IF(AG173="","",IFERROR(AG173*HSCEI!$B$20*HSCEI!$G$20/HSCEI!$B$3,""))</f>
        <v/>
      </c>
      <c r="CV173" s="110">
        <f>IF(AH173="","",IFERROR(AH173*HSCEI!$B$20*HSCEI!$G$20/HSCEI!$B$3,""))</f>
        <v/>
      </c>
      <c r="CW173" s="110">
        <f>IF(AI173="","",IFERROR(AI173*HSCEI!$B$20*HSCEI!$G$20/HSCEI!$B$3,""))</f>
        <v/>
      </c>
      <c r="CX173" s="110">
        <f>IF(AJ173="","",IFERROR(AJ173*HSCEI!$B$20*HSCEI!$G$20/HSCEI!$B$3,""))</f>
        <v/>
      </c>
      <c r="CY173" s="110">
        <f>IF(AK173="","",IFERROR(AK173*HSCEI!$B$20*HSCEI!$G$20/HSCEI!$B$3,""))</f>
        <v/>
      </c>
      <c r="CZ173" s="110">
        <f>IF(AL173="","",IFERROR(AL173*HSCEI!$B$20*HSCEI!$G$20/HSCEI!$B$3,""))</f>
        <v/>
      </c>
      <c r="DA173" s="110">
        <f>IF(AM173="","",IFERROR(AM173*HSCEI!$B$20*HSCEI!$G$20/HSCEI!$B$3,""))</f>
        <v/>
      </c>
      <c r="DB173" s="110">
        <f>IF(AN173="","",IFERROR(AN173*HSCEI!$B$20*HSCEI!$G$20/HSCEI!$B$3,""))</f>
        <v/>
      </c>
      <c r="DC173" s="110">
        <f>IF(AO173="","",IFERROR(AO173*HSCEI!$B$20*HSCEI!$G$20/HSCEI!$B$3,""))</f>
        <v/>
      </c>
      <c r="DD173" s="110">
        <f>IF(AP173="","",IFERROR(AP173*HSCEI!$B$20*HSCEI!$G$20/HSCEI!$B$3,""))</f>
        <v/>
      </c>
      <c r="DE173" s="110">
        <f>IF(AQ173="","",IFERROR(AQ173*HSCEI!$B$20*HSCEI!$G$20/HSCEI!$B$3,""))</f>
        <v/>
      </c>
      <c r="DF173" s="110">
        <f>IF(AR173="","",IFERROR(AR173*HSCEI!$B$20*HSCEI!$G$20/HSCEI!$B$3,""))</f>
        <v/>
      </c>
      <c r="DG173" s="110">
        <f>IF(AS173="","",IFERROR(AS173*HSCEI!$B$20*HSCEI!$G$20/HSCEI!$B$3,""))</f>
        <v/>
      </c>
      <c r="DH173" s="110">
        <f>IF(AT173="","",IFERROR(AT173*HSCEI!$B$20*HSCEI!$G$20/HSCEI!$B$3,""))</f>
        <v/>
      </c>
      <c r="DI173" s="110">
        <f>IF(AU173="","",IFERROR(AU173*HSCEI!$B$20*HSCEI!$G$20/HSCEI!$B$3,""))</f>
        <v/>
      </c>
      <c r="DJ173" s="110">
        <f>IF(AV173="","",IFERROR(AV173*HSCEI!$B$20*HSCEI!$G$20/HSCEI!$B$3,""))</f>
        <v/>
      </c>
      <c r="DK173" s="110">
        <f>IF(AW173="","",IFERROR(AW173*HSCEI!$B$20*HSCEI!$G$20/HSCEI!$B$3,""))</f>
        <v/>
      </c>
      <c r="DL173" s="110">
        <f>IF(AX173="","",IFERROR(AX173*HSCEI!$B$20*HSCEI!$G$20/HSCEI!$B$3,""))</f>
        <v/>
      </c>
      <c r="DM173" s="110">
        <f>IF(AY173="","",IFERROR(AY173*HSCEI!$B$20*HSCEI!$G$20/HSCEI!$B$3,""))</f>
        <v/>
      </c>
      <c r="DN173" s="110">
        <f>IF(AZ173="","",IFERROR(AZ173*HSCEI!$B$20*HSCEI!$G$20/HSCEI!$B$3,""))</f>
        <v/>
      </c>
      <c r="DO173" s="110">
        <f>IF(BA173="","",IFERROR(BA173*HSCEI!$B$20*HSCEI!$G$20/HSCEI!$B$3,""))</f>
        <v/>
      </c>
      <c r="DP173" s="110">
        <f>IF(BB173="","",IFERROR(BB173*HSCEI!$B$20*HSCEI!$G$20/HSCEI!$B$3,""))</f>
        <v/>
      </c>
      <c r="DQ173" s="110">
        <f>IF(BC173="","",IFERROR(BC173*HSCEI!$B$20*HSCEI!$G$20/HSCEI!$B$3,""))</f>
        <v/>
      </c>
      <c r="DR173" s="110">
        <f>IF(BD173="","",IFERROR(BD173*HSCEI!$B$20*HSCEI!$G$20/HSCEI!$B$3,""))</f>
        <v/>
      </c>
      <c r="DS173" s="110">
        <f>IF(BE173="","",IFERROR(BE173*HSCEI!$B$20*HSCEI!$G$20/HSCEI!$B$3,""))</f>
        <v/>
      </c>
      <c r="DT173" s="110">
        <f>IF(BF173="","",IFERROR(BF173*HSCEI!$B$20*HSCEI!$G$20/HSCEI!$B$3,""))</f>
        <v/>
      </c>
      <c r="DU173" s="110">
        <f>IF(BG173="","",IFERROR(BG173*HSCEI!$B$20*HSCEI!$G$20/HSCEI!$B$3,""))</f>
        <v/>
      </c>
      <c r="DV173" s="110">
        <f>IF(BH173="","",IFERROR(BH173*HSCEI!$B$20*HSCEI!$G$20/HSCEI!$B$3,""))</f>
        <v/>
      </c>
      <c r="DW173" s="110">
        <f>IF(BI173="","",IFERROR(BI173*HSCEI!$B$20*HSCEI!$G$20/HSCEI!$B$3,""))</f>
        <v/>
      </c>
      <c r="DX173" s="110">
        <f>IF(BJ173="","",IFERROR(BJ173*HSCEI!$B$20*HSCEI!$G$20/HSCEI!$B$3,""))</f>
        <v/>
      </c>
      <c r="DY173" s="110">
        <f>IF(BK173="","",IFERROR(BK173*HSCEI!$B$20*HSCEI!$G$20/HSCEI!$B$3,""))</f>
        <v/>
      </c>
      <c r="DZ173" s="110">
        <f>IF(BL173="","",IFERROR(BL173*HSCEI!$B$20*HSCEI!$G$20/HSCEI!$B$3,""))</f>
        <v/>
      </c>
      <c r="EA173" s="110">
        <f>IF(BM173="","",IFERROR(BM173*HSCEI!$B$20*HSCEI!$G$20/HSCEI!$B$3,""))</f>
        <v/>
      </c>
      <c r="EB173" s="110">
        <f>IF(BN173="","",IFERROR(BN173*HSCEI!$B$20*HSCEI!$G$20/HSCEI!$B$3,""))</f>
        <v/>
      </c>
      <c r="EC173" s="110">
        <f>IF(BO173="","",IFERROR(BO173*HSCEI!$B$20*HSCEI!$G$20/HSCEI!$B$3,""))</f>
        <v/>
      </c>
      <c r="EE173" s="39">
        <f>IF(N('Dvd Calendar'!$E$1704)=0,"",IF(('Dvd Calendar'!$E$1704&gt;=GRID_FROM)*('Dvd Calendar'!$E$1704&lt;=GRID_TO)*((('Dvd Calendar'!$E$1704&lt;=VAL_DATE)+(COUNTIF('Dvd Calendar'!$E$1711:$AR$1711,'Dvd Calendar'!$E$1704)=0))&gt;0)=0,"",'Dvd Calendar'!$E$1704*1000000000+ISNUMBER('Dvd Calendar'!$E$1707)*100000000+('Dvd Calendar'!$E$1709=SPECIAL_LBL)*10000000+(N('Dvd Calendar'!$E$1703)&gt;0)*(N('Dvd Calendar'!$E$1703)&lt;=VAL_SERIAL)*1000000+14*1000+1))</f>
        <v/>
      </c>
      <c r="EF173" s="39">
        <f>IF(N('Dvd Calendar'!$F$1704)=0,"",IF(('Dvd Calendar'!$F$1704&gt;=GRID_FROM)*('Dvd Calendar'!$F$1704&lt;=GRID_TO)*((('Dvd Calendar'!$F$1704&lt;=VAL_DATE)+(COUNTIF('Dvd Calendar'!$E$1711:$AR$1711,'Dvd Calendar'!$F$1704)=0))&gt;0)=0,"",'Dvd Calendar'!$F$1704*1000000000+ISNUMBER('Dvd Calendar'!$F$1707)*100000000+('Dvd Calendar'!$F$1709=SPECIAL_LBL)*10000000+(N('Dvd Calendar'!$F$1703)&gt;0)*(N('Dvd Calendar'!$F$1703)&lt;=VAL_SERIAL)*1000000+14*1000+2))</f>
        <v/>
      </c>
      <c r="EG173" s="39">
        <f>IF(N('Dvd Calendar'!$G$1704)=0,"",IF(('Dvd Calendar'!$G$1704&gt;=GRID_FROM)*('Dvd Calendar'!$G$1704&lt;=GRID_TO)*((('Dvd Calendar'!$G$1704&lt;=VAL_DATE)+(COUNTIF('Dvd Calendar'!$E$1711:$AR$1711,'Dvd Calendar'!$G$1704)=0))&gt;0)=0,"",'Dvd Calendar'!$G$1704*1000000000+ISNUMBER('Dvd Calendar'!$G$1707)*100000000+('Dvd Calendar'!$G$1709=SPECIAL_LBL)*10000000+(N('Dvd Calendar'!$G$1703)&gt;0)*(N('Dvd Calendar'!$G$1703)&lt;=VAL_SERIAL)*1000000+14*1000+3))</f>
        <v/>
      </c>
      <c r="EH173" s="39">
        <f>IF(N('Dvd Calendar'!$H$1704)=0,"",IF(('Dvd Calendar'!$H$1704&gt;=GRID_FROM)*('Dvd Calendar'!$H$1704&lt;=GRID_TO)*((('Dvd Calendar'!$H$1704&lt;=VAL_DATE)+(COUNTIF('Dvd Calendar'!$E$1711:$AR$1711,'Dvd Calendar'!$H$1704)=0))&gt;0)=0,"",'Dvd Calendar'!$H$1704*1000000000+ISNUMBER('Dvd Calendar'!$H$1707)*100000000+('Dvd Calendar'!$H$1709=SPECIAL_LBL)*10000000+(N('Dvd Calendar'!$H$1703)&gt;0)*(N('Dvd Calendar'!$H$1703)&lt;=VAL_SERIAL)*1000000+14*1000+4))</f>
        <v/>
      </c>
      <c r="EI173" s="39">
        <f>IF(N('Dvd Calendar'!$I$1704)=0,"",IF(('Dvd Calendar'!$I$1704&gt;=GRID_FROM)*('Dvd Calendar'!$I$1704&lt;=GRID_TO)*((('Dvd Calendar'!$I$1704&lt;=VAL_DATE)+(COUNTIF('Dvd Calendar'!$E$1711:$AR$1711,'Dvd Calendar'!$I$1704)=0))&gt;0)=0,"",'Dvd Calendar'!$I$1704*1000000000+ISNUMBER('Dvd Calendar'!$I$1707)*100000000+('Dvd Calendar'!$I$1709=SPECIAL_LBL)*10000000+(N('Dvd Calendar'!$I$1703)&gt;0)*(N('Dvd Calendar'!$I$1703)&lt;=VAL_SERIAL)*1000000+14*1000+5))</f>
        <v/>
      </c>
      <c r="EJ173" s="39">
        <f>IF(N('Dvd Calendar'!$J$1704)=0,"",IF(('Dvd Calendar'!$J$1704&gt;=GRID_FROM)*('Dvd Calendar'!$J$1704&lt;=GRID_TO)*((('Dvd Calendar'!$J$1704&lt;=VAL_DATE)+(COUNTIF('Dvd Calendar'!$E$1711:$AR$1711,'Dvd Calendar'!$J$1704)=0))&gt;0)=0,"",'Dvd Calendar'!$J$1704*1000000000+ISNUMBER('Dvd Calendar'!$J$1707)*100000000+('Dvd Calendar'!$J$1709=SPECIAL_LBL)*10000000+(N('Dvd Calendar'!$J$1703)&gt;0)*(N('Dvd Calendar'!$J$1703)&lt;=VAL_SERIAL)*1000000+14*1000+6))</f>
        <v/>
      </c>
      <c r="EK173" s="39">
        <f>IF(N('Dvd Calendar'!$K$1704)=0,"",IF(('Dvd Calendar'!$K$1704&gt;=GRID_FROM)*('Dvd Calendar'!$K$1704&lt;=GRID_TO)*((('Dvd Calendar'!$K$1704&lt;=VAL_DATE)+(COUNTIF('Dvd Calendar'!$E$1711:$AR$1711,'Dvd Calendar'!$K$1704)=0))&gt;0)=0,"",'Dvd Calendar'!$K$1704*1000000000+ISNUMBER('Dvd Calendar'!$K$1707)*100000000+('Dvd Calendar'!$K$1709=SPECIAL_LBL)*10000000+(N('Dvd Calendar'!$K$1703)&gt;0)*(N('Dvd Calendar'!$K$1703)&lt;=VAL_SERIAL)*1000000+14*1000+7))</f>
        <v/>
      </c>
      <c r="EL173" s="39">
        <f>IF(N('Dvd Calendar'!$L$1704)=0,"",IF(('Dvd Calendar'!$L$1704&gt;=GRID_FROM)*('Dvd Calendar'!$L$1704&lt;=GRID_TO)*((('Dvd Calendar'!$L$1704&lt;=VAL_DATE)+(COUNTIF('Dvd Calendar'!$E$1711:$AR$1711,'Dvd Calendar'!$L$1704)=0))&gt;0)=0,"",'Dvd Calendar'!$L$1704*1000000000+ISNUMBER('Dvd Calendar'!$L$1707)*100000000+('Dvd Calendar'!$L$1709=SPECIAL_LBL)*10000000+(N('Dvd Calendar'!$L$1703)&gt;0)*(N('Dvd Calendar'!$L$1703)&lt;=VAL_SERIAL)*1000000+14*1000+8))</f>
        <v/>
      </c>
      <c r="EM173" s="39">
        <f>IF(N('Dvd Calendar'!$M$1704)=0,"",IF(('Dvd Calendar'!$M$1704&gt;=GRID_FROM)*('Dvd Calendar'!$M$1704&lt;=GRID_TO)*((('Dvd Calendar'!$M$1704&lt;=VAL_DATE)+(COUNTIF('Dvd Calendar'!$E$1711:$AR$1711,'Dvd Calendar'!$M$1704)=0))&gt;0)=0,"",'Dvd Calendar'!$M$1704*1000000000+ISNUMBER('Dvd Calendar'!$M$1707)*100000000+('Dvd Calendar'!$M$1709=SPECIAL_LBL)*10000000+(N('Dvd Calendar'!$M$1703)&gt;0)*(N('Dvd Calendar'!$M$1703)&lt;=VAL_SERIAL)*1000000+14*1000+9))</f>
        <v/>
      </c>
      <c r="EN173" s="39">
        <f>IF(N('Dvd Calendar'!$N$1704)=0,"",IF(('Dvd Calendar'!$N$1704&gt;=GRID_FROM)*('Dvd Calendar'!$N$1704&lt;=GRID_TO)*((('Dvd Calendar'!$N$1704&lt;=VAL_DATE)+(COUNTIF('Dvd Calendar'!$E$1711:$AR$1711,'Dvd Calendar'!$N$1704)=0))&gt;0)=0,"",'Dvd Calendar'!$N$1704*1000000000+ISNUMBER('Dvd Calendar'!$N$1707)*100000000+('Dvd Calendar'!$N$1709=SPECIAL_LBL)*10000000+(N('Dvd Calendar'!$N$1703)&gt;0)*(N('Dvd Calendar'!$N$1703)&lt;=VAL_SERIAL)*1000000+14*1000+10))</f>
        <v/>
      </c>
      <c r="EO173" s="39">
        <f>IF(N('Dvd Calendar'!$O$1704)=0,"",IF(('Dvd Calendar'!$O$1704&gt;=GRID_FROM)*('Dvd Calendar'!$O$1704&lt;=GRID_TO)*((('Dvd Calendar'!$O$1704&lt;=VAL_DATE)+(COUNTIF('Dvd Calendar'!$E$1711:$AR$1711,'Dvd Calendar'!$O$1704)=0))&gt;0)=0,"",'Dvd Calendar'!$O$1704*1000000000+ISNUMBER('Dvd Calendar'!$O$1707)*100000000+('Dvd Calendar'!$O$1709=SPECIAL_LBL)*10000000+(N('Dvd Calendar'!$O$1703)&gt;0)*(N('Dvd Calendar'!$O$1703)&lt;=VAL_SERIAL)*1000000+14*1000+11))</f>
        <v/>
      </c>
      <c r="EP173" s="39">
        <f>IF(N('Dvd Calendar'!$P$1704)=0,"",IF(('Dvd Calendar'!$P$1704&gt;=GRID_FROM)*('Dvd Calendar'!$P$1704&lt;=GRID_TO)*((('Dvd Calendar'!$P$1704&lt;=VAL_DATE)+(COUNTIF('Dvd Calendar'!$E$1711:$AR$1711,'Dvd Calendar'!$P$1704)=0))&gt;0)=0,"",'Dvd Calendar'!$P$1704*1000000000+ISNUMBER('Dvd Calendar'!$P$1707)*100000000+('Dvd Calendar'!$P$1709=SPECIAL_LBL)*10000000+(N('Dvd Calendar'!$P$1703)&gt;0)*(N('Dvd Calendar'!$P$1703)&lt;=VAL_SERIAL)*1000000+14*1000+12))</f>
        <v/>
      </c>
      <c r="EQ173" s="39">
        <f>IF(N('Dvd Calendar'!$Q$1704)=0,"",IF(('Dvd Calendar'!$Q$1704&gt;=GRID_FROM)*('Dvd Calendar'!$Q$1704&lt;=GRID_TO)*((('Dvd Calendar'!$Q$1704&lt;=VAL_DATE)+(COUNTIF('Dvd Calendar'!$E$1711:$AR$1711,'Dvd Calendar'!$Q$1704)=0))&gt;0)=0,"",'Dvd Calendar'!$Q$1704*1000000000+ISNUMBER('Dvd Calendar'!$Q$1707)*100000000+('Dvd Calendar'!$Q$1709=SPECIAL_LBL)*10000000+(N('Dvd Calendar'!$Q$1703)&gt;0)*(N('Dvd Calendar'!$Q$1703)&lt;=VAL_SERIAL)*1000000+14*1000+13))</f>
        <v/>
      </c>
      <c r="ER173" s="39">
        <f>IF(N('Dvd Calendar'!$R$1704)=0,"",IF(('Dvd Calendar'!$R$1704&gt;=GRID_FROM)*('Dvd Calendar'!$R$1704&lt;=GRID_TO)*((('Dvd Calendar'!$R$1704&lt;=VAL_DATE)+(COUNTIF('Dvd Calendar'!$E$1711:$AR$1711,'Dvd Calendar'!$R$1704)=0))&gt;0)=0,"",'Dvd Calendar'!$R$1704*1000000000+ISNUMBER('Dvd Calendar'!$R$1707)*100000000+('Dvd Calendar'!$R$1709=SPECIAL_LBL)*10000000+(N('Dvd Calendar'!$R$1703)&gt;0)*(N('Dvd Calendar'!$R$1703)&lt;=VAL_SERIAL)*1000000+14*1000+14))</f>
        <v/>
      </c>
      <c r="ES173" s="39">
        <f>IF(N('Dvd Calendar'!$S$1704)=0,"",IF(('Dvd Calendar'!$S$1704&gt;=GRID_FROM)*('Dvd Calendar'!$S$1704&lt;=GRID_TO)*((('Dvd Calendar'!$S$1704&lt;=VAL_DATE)+(COUNTIF('Dvd Calendar'!$E$1711:$AR$1711,'Dvd Calendar'!$S$1704)=0))&gt;0)=0,"",'Dvd Calendar'!$S$1704*1000000000+ISNUMBER('Dvd Calendar'!$S$1707)*100000000+('Dvd Calendar'!$S$1709=SPECIAL_LBL)*10000000+(N('Dvd Calendar'!$S$1703)&gt;0)*(N('Dvd Calendar'!$S$1703)&lt;=VAL_SERIAL)*1000000+14*1000+15))</f>
        <v/>
      </c>
      <c r="ET173" s="39">
        <f>IF(N('Dvd Calendar'!$T$1704)=0,"",IF(('Dvd Calendar'!$T$1704&gt;=GRID_FROM)*('Dvd Calendar'!$T$1704&lt;=GRID_TO)*((('Dvd Calendar'!$T$1704&lt;=VAL_DATE)+(COUNTIF('Dvd Calendar'!$E$1711:$AR$1711,'Dvd Calendar'!$T$1704)=0))&gt;0)=0,"",'Dvd Calendar'!$T$1704*1000000000+ISNUMBER('Dvd Calendar'!$T$1707)*100000000+('Dvd Calendar'!$T$1709=SPECIAL_LBL)*10000000+(N('Dvd Calendar'!$T$1703)&gt;0)*(N('Dvd Calendar'!$T$1703)&lt;=VAL_SERIAL)*1000000+14*1000+16))</f>
        <v/>
      </c>
      <c r="EU173" s="39">
        <f>IF(N('Dvd Calendar'!$U$1704)=0,"",IF(('Dvd Calendar'!$U$1704&gt;=GRID_FROM)*('Dvd Calendar'!$U$1704&lt;=GRID_TO)*((('Dvd Calendar'!$U$1704&lt;=VAL_DATE)+(COUNTIF('Dvd Calendar'!$E$1711:$AR$1711,'Dvd Calendar'!$U$1704)=0))&gt;0)=0,"",'Dvd Calendar'!$U$1704*1000000000+ISNUMBER('Dvd Calendar'!$U$1707)*100000000+('Dvd Calendar'!$U$1709=SPECIAL_LBL)*10000000+(N('Dvd Calendar'!$U$1703)&gt;0)*(N('Dvd Calendar'!$U$1703)&lt;=VAL_SERIAL)*1000000+14*1000+17))</f>
        <v/>
      </c>
      <c r="EV173" s="39">
        <f>IF(N('Dvd Calendar'!$V$1704)=0,"",IF(('Dvd Calendar'!$V$1704&gt;=GRID_FROM)*('Dvd Calendar'!$V$1704&lt;=GRID_TO)*((('Dvd Calendar'!$V$1704&lt;=VAL_DATE)+(COUNTIF('Dvd Calendar'!$E$1711:$AR$1711,'Dvd Calendar'!$V$1704)=0))&gt;0)=0,"",'Dvd Calendar'!$V$1704*1000000000+ISNUMBER('Dvd Calendar'!$V$1707)*100000000+('Dvd Calendar'!$V$1709=SPECIAL_LBL)*10000000+(N('Dvd Calendar'!$V$1703)&gt;0)*(N('Dvd Calendar'!$V$1703)&lt;=VAL_SERIAL)*1000000+14*1000+18))</f>
        <v/>
      </c>
      <c r="EW173" s="39">
        <f>IF(N('Dvd Calendar'!$W$1704)=0,"",IF(('Dvd Calendar'!$W$1704&gt;=GRID_FROM)*('Dvd Calendar'!$W$1704&lt;=GRID_TO)*((('Dvd Calendar'!$W$1704&lt;=VAL_DATE)+(COUNTIF('Dvd Calendar'!$E$1711:$AR$1711,'Dvd Calendar'!$W$1704)=0))&gt;0)=0,"",'Dvd Calendar'!$W$1704*1000000000+ISNUMBER('Dvd Calendar'!$W$1707)*100000000+('Dvd Calendar'!$W$1709=SPECIAL_LBL)*10000000+(N('Dvd Calendar'!$W$1703)&gt;0)*(N('Dvd Calendar'!$W$1703)&lt;=VAL_SERIAL)*1000000+14*1000+19))</f>
        <v/>
      </c>
      <c r="EX173" s="39">
        <f>IF(N('Dvd Calendar'!$X$1704)=0,"",IF(('Dvd Calendar'!$X$1704&gt;=GRID_FROM)*('Dvd Calendar'!$X$1704&lt;=GRID_TO)*((('Dvd Calendar'!$X$1704&lt;=VAL_DATE)+(COUNTIF('Dvd Calendar'!$E$1711:$AR$1711,'Dvd Calendar'!$X$1704)=0))&gt;0)=0,"",'Dvd Calendar'!$X$1704*1000000000+ISNUMBER('Dvd Calendar'!$X$1707)*100000000+('Dvd Calendar'!$X$1709=SPECIAL_LBL)*10000000+(N('Dvd Calendar'!$X$1703)&gt;0)*(N('Dvd Calendar'!$X$1703)&lt;=VAL_SERIAL)*1000000+14*1000+20))</f>
        <v/>
      </c>
      <c r="EY173" s="39">
        <f>IF(N('Dvd Calendar'!$Y$1704)=0,"",IF(('Dvd Calendar'!$Y$1704&gt;=GRID_FROM)*('Dvd Calendar'!$Y$1704&lt;=GRID_TO)*((('Dvd Calendar'!$Y$1704&lt;=VAL_DATE)+(COUNTIF('Dvd Calendar'!$E$1711:$AR$1711,'Dvd Calendar'!$Y$1704)=0))&gt;0)=0,"",'Dvd Calendar'!$Y$1704*1000000000+ISNUMBER('Dvd Calendar'!$Y$1707)*100000000+('Dvd Calendar'!$Y$1709=SPECIAL_LBL)*10000000+(N('Dvd Calendar'!$Y$1703)&gt;0)*(N('Dvd Calendar'!$Y$1703)&lt;=VAL_SERIAL)*1000000+14*1000+21))</f>
        <v/>
      </c>
      <c r="EZ173" s="39">
        <f>IF(N('Dvd Calendar'!$Z$1704)=0,"",IF(('Dvd Calendar'!$Z$1704&gt;=GRID_FROM)*('Dvd Calendar'!$Z$1704&lt;=GRID_TO)*((('Dvd Calendar'!$Z$1704&lt;=VAL_DATE)+(COUNTIF('Dvd Calendar'!$E$1711:$AR$1711,'Dvd Calendar'!$Z$1704)=0))&gt;0)=0,"",'Dvd Calendar'!$Z$1704*1000000000+ISNUMBER('Dvd Calendar'!$Z$1707)*100000000+('Dvd Calendar'!$Z$1709=SPECIAL_LBL)*10000000+(N('Dvd Calendar'!$Z$1703)&gt;0)*(N('Dvd Calendar'!$Z$1703)&lt;=VAL_SERIAL)*1000000+14*1000+22))</f>
        <v/>
      </c>
      <c r="FA173" s="39">
        <f>IF(N('Dvd Calendar'!$AA$1704)=0,"",IF(('Dvd Calendar'!$AA$1704&gt;=GRID_FROM)*('Dvd Calendar'!$AA$1704&lt;=GRID_TO)*((('Dvd Calendar'!$AA$1704&lt;=VAL_DATE)+(COUNTIF('Dvd Calendar'!$E$1711:$AR$1711,'Dvd Calendar'!$AA$1704)=0))&gt;0)=0,"",'Dvd Calendar'!$AA$1704*1000000000+ISNUMBER('Dvd Calendar'!$AA$1707)*100000000+('Dvd Calendar'!$AA$1709=SPECIAL_LBL)*10000000+(N('Dvd Calendar'!$AA$1703)&gt;0)*(N('Dvd Calendar'!$AA$1703)&lt;=VAL_SERIAL)*1000000+14*1000+23))</f>
        <v/>
      </c>
      <c r="FB173" s="39">
        <f>IF(N('Dvd Calendar'!$AB$1704)=0,"",IF(('Dvd Calendar'!$AB$1704&gt;=GRID_FROM)*('Dvd Calendar'!$AB$1704&lt;=GRID_TO)*((('Dvd Calendar'!$AB$1704&lt;=VAL_DATE)+(COUNTIF('Dvd Calendar'!$E$1711:$AR$1711,'Dvd Calendar'!$AB$1704)=0))&gt;0)=0,"",'Dvd Calendar'!$AB$1704*1000000000+ISNUMBER('Dvd Calendar'!$AB$1707)*100000000+('Dvd Calendar'!$AB$1709=SPECIAL_LBL)*10000000+(N('Dvd Calendar'!$AB$1703)&gt;0)*(N('Dvd Calendar'!$AB$1703)&lt;=VAL_SERIAL)*1000000+14*1000+24))</f>
        <v/>
      </c>
      <c r="FC173" s="39">
        <f>IF(N('Dvd Calendar'!$AC$1704)=0,"",IF(('Dvd Calendar'!$AC$1704&gt;=GRID_FROM)*('Dvd Calendar'!$AC$1704&lt;=GRID_TO)*((('Dvd Calendar'!$AC$1704&lt;=VAL_DATE)+(COUNTIF('Dvd Calendar'!$E$1711:$AR$1711,'Dvd Calendar'!$AC$1704)=0))&gt;0)=0,"",'Dvd Calendar'!$AC$1704*1000000000+ISNUMBER('Dvd Calendar'!$AC$1707)*100000000+('Dvd Calendar'!$AC$1709=SPECIAL_LBL)*10000000+(N('Dvd Calendar'!$AC$1703)&gt;0)*(N('Dvd Calendar'!$AC$1703)&lt;=VAL_SERIAL)*1000000+14*1000+25))</f>
        <v/>
      </c>
      <c r="FD173" s="39">
        <f>IF(N('Dvd Calendar'!$AD$1704)=0,"",IF(('Dvd Calendar'!$AD$1704&gt;=GRID_FROM)*('Dvd Calendar'!$AD$1704&lt;=GRID_TO)*((('Dvd Calendar'!$AD$1704&lt;=VAL_DATE)+(COUNTIF('Dvd Calendar'!$E$1711:$AR$1711,'Dvd Calendar'!$AD$1704)=0))&gt;0)=0,"",'Dvd Calendar'!$AD$1704*1000000000+ISNUMBER('Dvd Calendar'!$AD$1707)*100000000+('Dvd Calendar'!$AD$1709=SPECIAL_LBL)*10000000+(N('Dvd Calendar'!$AD$1703)&gt;0)*(N('Dvd Calendar'!$AD$1703)&lt;=VAL_SERIAL)*1000000+14*1000+26))</f>
        <v/>
      </c>
      <c r="FE173" s="39">
        <f>IF(N('Dvd Calendar'!$AE$1704)=0,"",IF(('Dvd Calendar'!$AE$1704&gt;=GRID_FROM)*('Dvd Calendar'!$AE$1704&lt;=GRID_TO)*((('Dvd Calendar'!$AE$1704&lt;=VAL_DATE)+(COUNTIF('Dvd Calendar'!$E$1711:$AR$1711,'Dvd Calendar'!$AE$1704)=0))&gt;0)=0,"",'Dvd Calendar'!$AE$1704*1000000000+ISNUMBER('Dvd Calendar'!$AE$1707)*100000000+('Dvd Calendar'!$AE$1709=SPECIAL_LBL)*10000000+(N('Dvd Calendar'!$AE$1703)&gt;0)*(N('Dvd Calendar'!$AE$1703)&lt;=VAL_SERIAL)*1000000+14*1000+27))</f>
        <v/>
      </c>
      <c r="FF173" s="39">
        <f>IF(N('Dvd Calendar'!$AF$1704)=0,"",IF(('Dvd Calendar'!$AF$1704&gt;=GRID_FROM)*('Dvd Calendar'!$AF$1704&lt;=GRID_TO)*((('Dvd Calendar'!$AF$1704&lt;=VAL_DATE)+(COUNTIF('Dvd Calendar'!$E$1711:$AR$1711,'Dvd Calendar'!$AF$1704)=0))&gt;0)=0,"",'Dvd Calendar'!$AF$1704*1000000000+ISNUMBER('Dvd Calendar'!$AF$1707)*100000000+('Dvd Calendar'!$AF$1709=SPECIAL_LBL)*10000000+(N('Dvd Calendar'!$AF$1703)&gt;0)*(N('Dvd Calendar'!$AF$1703)&lt;=VAL_SERIAL)*1000000+14*1000+28))</f>
        <v/>
      </c>
      <c r="FG173" s="39">
        <f>IF(N('Dvd Calendar'!$AG$1704)=0,"",IF(('Dvd Calendar'!$AG$1704&gt;=GRID_FROM)*('Dvd Calendar'!$AG$1704&lt;=GRID_TO)*((('Dvd Calendar'!$AG$1704&lt;=VAL_DATE)+(COUNTIF('Dvd Calendar'!$E$1711:$AR$1711,'Dvd Calendar'!$AG$1704)=0))&gt;0)=0,"",'Dvd Calendar'!$AG$1704*1000000000+ISNUMBER('Dvd Calendar'!$AG$1707)*100000000+('Dvd Calendar'!$AG$1709=SPECIAL_LBL)*10000000+(N('Dvd Calendar'!$AG$1703)&gt;0)*(N('Dvd Calendar'!$AG$1703)&lt;=VAL_SERIAL)*1000000+14*1000+29))</f>
        <v/>
      </c>
      <c r="FH173" s="39">
        <f>IF(N('Dvd Calendar'!$AH$1704)=0,"",IF(('Dvd Calendar'!$AH$1704&gt;=GRID_FROM)*('Dvd Calendar'!$AH$1704&lt;=GRID_TO)*((('Dvd Calendar'!$AH$1704&lt;=VAL_DATE)+(COUNTIF('Dvd Calendar'!$E$1711:$AR$1711,'Dvd Calendar'!$AH$1704)=0))&gt;0)=0,"",'Dvd Calendar'!$AH$1704*1000000000+ISNUMBER('Dvd Calendar'!$AH$1707)*100000000+('Dvd Calendar'!$AH$1709=SPECIAL_LBL)*10000000+(N('Dvd Calendar'!$AH$1703)&gt;0)*(N('Dvd Calendar'!$AH$1703)&lt;=VAL_SERIAL)*1000000+14*1000+30))</f>
        <v/>
      </c>
      <c r="FI173" s="39">
        <f>IF(N('Dvd Calendar'!$AI$1704)=0,"",IF(('Dvd Calendar'!$AI$1704&gt;=GRID_FROM)*('Dvd Calendar'!$AI$1704&lt;=GRID_TO)*((('Dvd Calendar'!$AI$1704&lt;=VAL_DATE)+(COUNTIF('Dvd Calendar'!$E$1711:$AR$1711,'Dvd Calendar'!$AI$1704)=0))&gt;0)=0,"",'Dvd Calendar'!$AI$1704*1000000000+ISNUMBER('Dvd Calendar'!$AI$1707)*100000000+('Dvd Calendar'!$AI$1709=SPECIAL_LBL)*10000000+(N('Dvd Calendar'!$AI$1703)&gt;0)*(N('Dvd Calendar'!$AI$1703)&lt;=VAL_SERIAL)*1000000+14*1000+31))</f>
        <v/>
      </c>
      <c r="FJ173" s="39">
        <f>IF(N('Dvd Calendar'!$AJ$1704)=0,"",IF(('Dvd Calendar'!$AJ$1704&gt;=GRID_FROM)*('Dvd Calendar'!$AJ$1704&lt;=GRID_TO)*((('Dvd Calendar'!$AJ$1704&lt;=VAL_DATE)+(COUNTIF('Dvd Calendar'!$E$1711:$AR$1711,'Dvd Calendar'!$AJ$1704)=0))&gt;0)=0,"",'Dvd Calendar'!$AJ$1704*1000000000+ISNUMBER('Dvd Calendar'!$AJ$1707)*100000000+('Dvd Calendar'!$AJ$1709=SPECIAL_LBL)*10000000+(N('Dvd Calendar'!$AJ$1703)&gt;0)*(N('Dvd Calendar'!$AJ$1703)&lt;=VAL_SERIAL)*1000000+14*1000+32))</f>
        <v/>
      </c>
      <c r="FK173" s="39">
        <f>IF(N('Dvd Calendar'!$AK$1704)=0,"",IF(('Dvd Calendar'!$AK$1704&gt;=GRID_FROM)*('Dvd Calendar'!$AK$1704&lt;=GRID_TO)*((('Dvd Calendar'!$AK$1704&lt;=VAL_DATE)+(COUNTIF('Dvd Calendar'!$E$1711:$AR$1711,'Dvd Calendar'!$AK$1704)=0))&gt;0)=0,"",'Dvd Calendar'!$AK$1704*1000000000+ISNUMBER('Dvd Calendar'!$AK$1707)*100000000+('Dvd Calendar'!$AK$1709=SPECIAL_LBL)*10000000+(N('Dvd Calendar'!$AK$1703)&gt;0)*(N('Dvd Calendar'!$AK$1703)&lt;=VAL_SERIAL)*1000000+14*1000+33))</f>
        <v/>
      </c>
      <c r="FL173" s="39">
        <f>IF(N('Dvd Calendar'!$AL$1704)=0,"",IF(('Dvd Calendar'!$AL$1704&gt;=GRID_FROM)*('Dvd Calendar'!$AL$1704&lt;=GRID_TO)*((('Dvd Calendar'!$AL$1704&lt;=VAL_DATE)+(COUNTIF('Dvd Calendar'!$E$1711:$AR$1711,'Dvd Calendar'!$AL$1704)=0))&gt;0)=0,"",'Dvd Calendar'!$AL$1704*1000000000+ISNUMBER('Dvd Calendar'!$AL$1707)*100000000+('Dvd Calendar'!$AL$1709=SPECIAL_LBL)*10000000+(N('Dvd Calendar'!$AL$1703)&gt;0)*(N('Dvd Calendar'!$AL$1703)&lt;=VAL_SERIAL)*1000000+14*1000+34))</f>
        <v/>
      </c>
      <c r="FM173" s="39">
        <f>IF(N('Dvd Calendar'!$AM$1704)=0,"",IF(('Dvd Calendar'!$AM$1704&gt;=GRID_FROM)*('Dvd Calendar'!$AM$1704&lt;=GRID_TO)*((('Dvd Calendar'!$AM$1704&lt;=VAL_DATE)+(COUNTIF('Dvd Calendar'!$E$1711:$AR$1711,'Dvd Calendar'!$AM$1704)=0))&gt;0)=0,"",'Dvd Calendar'!$AM$1704*1000000000+ISNUMBER('Dvd Calendar'!$AM$1707)*100000000+('Dvd Calendar'!$AM$1709=SPECIAL_LBL)*10000000+(N('Dvd Calendar'!$AM$1703)&gt;0)*(N('Dvd Calendar'!$AM$1703)&lt;=VAL_SERIAL)*1000000+14*1000+35))</f>
        <v/>
      </c>
      <c r="FN173" s="39">
        <f>IF(N('Dvd Calendar'!$AN$1704)=0,"",IF(('Dvd Calendar'!$AN$1704&gt;=GRID_FROM)*('Dvd Calendar'!$AN$1704&lt;=GRID_TO)*((('Dvd Calendar'!$AN$1704&lt;=VAL_DATE)+(COUNTIF('Dvd Calendar'!$E$1711:$AR$1711,'Dvd Calendar'!$AN$1704)=0))&gt;0)=0,"",'Dvd Calendar'!$AN$1704*1000000000+ISNUMBER('Dvd Calendar'!$AN$1707)*100000000+('Dvd Calendar'!$AN$1709=SPECIAL_LBL)*10000000+(N('Dvd Calendar'!$AN$1703)&gt;0)*(N('Dvd Calendar'!$AN$1703)&lt;=VAL_SERIAL)*1000000+14*1000+36))</f>
        <v/>
      </c>
      <c r="FO173" s="39">
        <f>IF(N('Dvd Calendar'!$AO$1704)=0,"",IF(('Dvd Calendar'!$AO$1704&gt;=GRID_FROM)*('Dvd Calendar'!$AO$1704&lt;=GRID_TO)*((('Dvd Calendar'!$AO$1704&lt;=VAL_DATE)+(COUNTIF('Dvd Calendar'!$E$1711:$AR$1711,'Dvd Calendar'!$AO$1704)=0))&gt;0)=0,"",'Dvd Calendar'!$AO$1704*1000000000+ISNUMBER('Dvd Calendar'!$AO$1707)*100000000+('Dvd Calendar'!$AO$1709=SPECIAL_LBL)*10000000+(N('Dvd Calendar'!$AO$1703)&gt;0)*(N('Dvd Calendar'!$AO$1703)&lt;=VAL_SERIAL)*1000000+14*1000+37))</f>
        <v/>
      </c>
      <c r="FP173" s="39">
        <f>IF(N('Dvd Calendar'!$AP$1704)=0,"",IF(('Dvd Calendar'!$AP$1704&gt;=GRID_FROM)*('Dvd Calendar'!$AP$1704&lt;=GRID_TO)*((('Dvd Calendar'!$AP$1704&lt;=VAL_DATE)+(COUNTIF('Dvd Calendar'!$E$1711:$AR$1711,'Dvd Calendar'!$AP$1704)=0))&gt;0)=0,"",'Dvd Calendar'!$AP$1704*1000000000+ISNUMBER('Dvd Calendar'!$AP$1707)*100000000+('Dvd Calendar'!$AP$1709=SPECIAL_LBL)*10000000+(N('Dvd Calendar'!$AP$1703)&gt;0)*(N('Dvd Calendar'!$AP$1703)&lt;=VAL_SERIAL)*1000000+14*1000+38))</f>
        <v/>
      </c>
      <c r="FQ173" s="39">
        <f>IF(N('Dvd Calendar'!$AQ$1704)=0,"",IF(('Dvd Calendar'!$AQ$1704&gt;=GRID_FROM)*('Dvd Calendar'!$AQ$1704&lt;=GRID_TO)*((('Dvd Calendar'!$AQ$1704&lt;=VAL_DATE)+(COUNTIF('Dvd Calendar'!$E$1711:$AR$1711,'Dvd Calendar'!$AQ$1704)=0))&gt;0)=0,"",'Dvd Calendar'!$AQ$1704*1000000000+ISNUMBER('Dvd Calendar'!$AQ$1707)*100000000+('Dvd Calendar'!$AQ$1709=SPECIAL_LBL)*10000000+(N('Dvd Calendar'!$AQ$1703)&gt;0)*(N('Dvd Calendar'!$AQ$1703)&lt;=VAL_SERIAL)*1000000+14*1000+39))</f>
        <v/>
      </c>
      <c r="FR173" s="39">
        <f>IF(N('Dvd Calendar'!$AR$1704)=0,"",IF(('Dvd Calendar'!$AR$1704&gt;=GRID_FROM)*('Dvd Calendar'!$AR$1704&lt;=GRID_TO)*((('Dvd Calendar'!$AR$1704&lt;=VAL_DATE)+(COUNTIF('Dvd Calendar'!$E$1711:$AR$1711,'Dvd Calendar'!$AR$1704)=0))&gt;0)=0,"",'Dvd Calendar'!$AR$1704*1000000000+ISNUMBER('Dvd Calendar'!$AR$1707)*100000000+('Dvd Calendar'!$AR$1709=SPECIAL_LBL)*10000000+(N('Dvd Calendar'!$AR$1703)&gt;0)*(N('Dvd Calendar'!$AR$1703)&lt;=VAL_SERIAL)*1000000+14*1000+40))</f>
        <v/>
      </c>
      <c r="FS173" s="39">
        <f>IF(N('Dvd Calendar'!$E$1711)=0,"",IF(('Dvd Calendar'!$E$1711&gt;=GRID_FROM)*('Dvd Calendar'!$E$1711&lt;=GRID_TO)*('Dvd Calendar'!$E$1711&gt;VAL_DATE)=0,"",'Dvd Calendar'!$E$1711*1000000000+ISNUMBER('Dvd Calendar'!$E$1712)*100000000+0*10000000+(N('Dvd Calendar'!$E$1710)&gt;0)*(N('Dvd Calendar'!$E$1710)&lt;=VAL_SERIAL)*1000000+14*1000+41))</f>
        <v/>
      </c>
      <c r="FT173" s="39">
        <f>IF(N('Dvd Calendar'!$F$1711)=0,"",IF(('Dvd Calendar'!$F$1711&gt;=GRID_FROM)*('Dvd Calendar'!$F$1711&lt;=GRID_TO)*('Dvd Calendar'!$F$1711&gt;VAL_DATE)=0,"",'Dvd Calendar'!$F$1711*1000000000+ISNUMBER('Dvd Calendar'!$F$1712)*100000000+0*10000000+(N('Dvd Calendar'!$F$1710)&gt;0)*(N('Dvd Calendar'!$F$1710)&lt;=VAL_SERIAL)*1000000+14*1000+42))</f>
        <v/>
      </c>
      <c r="FU173" s="39">
        <f>IF(N('Dvd Calendar'!$G$1711)=0,"",IF(('Dvd Calendar'!$G$1711&gt;=GRID_FROM)*('Dvd Calendar'!$G$1711&lt;=GRID_TO)*('Dvd Calendar'!$G$1711&gt;VAL_DATE)=0,"",'Dvd Calendar'!$G$1711*1000000000+ISNUMBER('Dvd Calendar'!$G$1712)*100000000+0*10000000+(N('Dvd Calendar'!$G$1710)&gt;0)*(N('Dvd Calendar'!$G$1710)&lt;=VAL_SERIAL)*1000000+14*1000+43))</f>
        <v/>
      </c>
      <c r="FV173" s="39">
        <f>IF(N('Dvd Calendar'!$H$1711)=0,"",IF(('Dvd Calendar'!$H$1711&gt;=GRID_FROM)*('Dvd Calendar'!$H$1711&lt;=GRID_TO)*('Dvd Calendar'!$H$1711&gt;VAL_DATE)=0,"",'Dvd Calendar'!$H$1711*1000000000+ISNUMBER('Dvd Calendar'!$H$1712)*100000000+0*10000000+(N('Dvd Calendar'!$H$1710)&gt;0)*(N('Dvd Calendar'!$H$1710)&lt;=VAL_SERIAL)*1000000+14*1000+44))</f>
        <v/>
      </c>
      <c r="FW173" s="39">
        <f>IF(N('Dvd Calendar'!$I$1711)=0,"",IF(('Dvd Calendar'!$I$1711&gt;=GRID_FROM)*('Dvd Calendar'!$I$1711&lt;=GRID_TO)*('Dvd Calendar'!$I$1711&gt;VAL_DATE)=0,"",'Dvd Calendar'!$I$1711*1000000000+ISNUMBER('Dvd Calendar'!$I$1712)*100000000+0*10000000+(N('Dvd Calendar'!$I$1710)&gt;0)*(N('Dvd Calendar'!$I$1710)&lt;=VAL_SERIAL)*1000000+14*1000+45))</f>
        <v/>
      </c>
      <c r="FX173" s="39">
        <f>IF(N('Dvd Calendar'!$J$1711)=0,"",IF(('Dvd Calendar'!$J$1711&gt;=GRID_FROM)*('Dvd Calendar'!$J$1711&lt;=GRID_TO)*('Dvd Calendar'!$J$1711&gt;VAL_DATE)=0,"",'Dvd Calendar'!$J$1711*1000000000+ISNUMBER('Dvd Calendar'!$J$1712)*100000000+0*10000000+(N('Dvd Calendar'!$J$1710)&gt;0)*(N('Dvd Calendar'!$J$1710)&lt;=VAL_SERIAL)*1000000+14*1000+46))</f>
        <v/>
      </c>
      <c r="FY173" s="39">
        <f>IF(N('Dvd Calendar'!$K$1711)=0,"",IF(('Dvd Calendar'!$K$1711&gt;=GRID_FROM)*('Dvd Calendar'!$K$1711&lt;=GRID_TO)*('Dvd Calendar'!$K$1711&gt;VAL_DATE)=0,"",'Dvd Calendar'!$K$1711*1000000000+ISNUMBER('Dvd Calendar'!$K$1712)*100000000+0*10000000+(N('Dvd Calendar'!$K$1710)&gt;0)*(N('Dvd Calendar'!$K$1710)&lt;=VAL_SERIAL)*1000000+14*1000+47))</f>
        <v/>
      </c>
      <c r="FZ173" s="39">
        <f>IF(N('Dvd Calendar'!$L$1711)=0,"",IF(('Dvd Calendar'!$L$1711&gt;=GRID_FROM)*('Dvd Calendar'!$L$1711&lt;=GRID_TO)*('Dvd Calendar'!$L$1711&gt;VAL_DATE)=0,"",'Dvd Calendar'!$L$1711*1000000000+ISNUMBER('Dvd Calendar'!$L$1712)*100000000+0*10000000+(N('Dvd Calendar'!$L$1710)&gt;0)*(N('Dvd Calendar'!$L$1710)&lt;=VAL_SERIAL)*1000000+14*1000+48))</f>
        <v/>
      </c>
      <c r="GA173" s="39">
        <f>IF(N('Dvd Calendar'!$M$1711)=0,"",IF(('Dvd Calendar'!$M$1711&gt;=GRID_FROM)*('Dvd Calendar'!$M$1711&lt;=GRID_TO)*('Dvd Calendar'!$M$1711&gt;VAL_DATE)=0,"",'Dvd Calendar'!$M$1711*1000000000+ISNUMBER('Dvd Calendar'!$M$1712)*100000000+0*10000000+(N('Dvd Calendar'!$M$1710)&gt;0)*(N('Dvd Calendar'!$M$1710)&lt;=VAL_SERIAL)*1000000+14*1000+49))</f>
        <v/>
      </c>
      <c r="GB173" s="39">
        <f>IF(N('Dvd Calendar'!$N$1711)=0,"",IF(('Dvd Calendar'!$N$1711&gt;=GRID_FROM)*('Dvd Calendar'!$N$1711&lt;=GRID_TO)*('Dvd Calendar'!$N$1711&gt;VAL_DATE)=0,"",'Dvd Calendar'!$N$1711*1000000000+ISNUMBER('Dvd Calendar'!$N$1712)*100000000+0*10000000+(N('Dvd Calendar'!$N$1710)&gt;0)*(N('Dvd Calendar'!$N$1710)&lt;=VAL_SERIAL)*1000000+14*1000+50))</f>
        <v/>
      </c>
      <c r="GC173" s="39">
        <f>IF(N('Dvd Calendar'!$O$1711)=0,"",IF(('Dvd Calendar'!$O$1711&gt;=GRID_FROM)*('Dvd Calendar'!$O$1711&lt;=GRID_TO)*('Dvd Calendar'!$O$1711&gt;VAL_DATE)=0,"",'Dvd Calendar'!$O$1711*1000000000+ISNUMBER('Dvd Calendar'!$O$1712)*100000000+0*10000000+(N('Dvd Calendar'!$O$1710)&gt;0)*(N('Dvd Calendar'!$O$1710)&lt;=VAL_SERIAL)*1000000+14*1000+51))</f>
        <v/>
      </c>
      <c r="GD173" s="39">
        <f>IF(N('Dvd Calendar'!$P$1711)=0,"",IF(('Dvd Calendar'!$P$1711&gt;=GRID_FROM)*('Dvd Calendar'!$P$1711&lt;=GRID_TO)*('Dvd Calendar'!$P$1711&gt;VAL_DATE)=0,"",'Dvd Calendar'!$P$1711*1000000000+ISNUMBER('Dvd Calendar'!$P$1712)*100000000+0*10000000+(N('Dvd Calendar'!$P$1710)&gt;0)*(N('Dvd Calendar'!$P$1710)&lt;=VAL_SERIAL)*1000000+14*1000+52))</f>
        <v/>
      </c>
      <c r="GE173" s="39">
        <f>IF(N('Dvd Calendar'!$Q$1711)=0,"",IF(('Dvd Calendar'!$Q$1711&gt;=GRID_FROM)*('Dvd Calendar'!$Q$1711&lt;=GRID_TO)*('Dvd Calendar'!$Q$1711&gt;VAL_DATE)=0,"",'Dvd Calendar'!$Q$1711*1000000000+ISNUMBER('Dvd Calendar'!$Q$1712)*100000000+0*10000000+(N('Dvd Calendar'!$Q$1710)&gt;0)*(N('Dvd Calendar'!$Q$1710)&lt;=VAL_SERIAL)*1000000+14*1000+53))</f>
        <v/>
      </c>
      <c r="GF173" s="39">
        <f>IF(N('Dvd Calendar'!$R$1711)=0,"",IF(('Dvd Calendar'!$R$1711&gt;=GRID_FROM)*('Dvd Calendar'!$R$1711&lt;=GRID_TO)*('Dvd Calendar'!$R$1711&gt;VAL_DATE)=0,"",'Dvd Calendar'!$R$1711*1000000000+ISNUMBER('Dvd Calendar'!$R$1712)*100000000+0*10000000+(N('Dvd Calendar'!$R$1710)&gt;0)*(N('Dvd Calendar'!$R$1710)&lt;=VAL_SERIAL)*1000000+14*1000+54))</f>
        <v/>
      </c>
      <c r="GG173" s="39">
        <f>IF(N('Dvd Calendar'!$S$1711)=0,"",IF(('Dvd Calendar'!$S$1711&gt;=GRID_FROM)*('Dvd Calendar'!$S$1711&lt;=GRID_TO)*('Dvd Calendar'!$S$1711&gt;VAL_DATE)=0,"",'Dvd Calendar'!$S$1711*1000000000+ISNUMBER('Dvd Calendar'!$S$1712)*100000000+0*10000000+(N('Dvd Calendar'!$S$1710)&gt;0)*(N('Dvd Calendar'!$S$1710)&lt;=VAL_SERIAL)*1000000+14*1000+55))</f>
        <v/>
      </c>
      <c r="GH173" s="39">
        <f>IF(N('Dvd Calendar'!$T$1711)=0,"",IF(('Dvd Calendar'!$T$1711&gt;=GRID_FROM)*('Dvd Calendar'!$T$1711&lt;=GRID_TO)*('Dvd Calendar'!$T$1711&gt;VAL_DATE)=0,"",'Dvd Calendar'!$T$1711*1000000000+ISNUMBER('Dvd Calendar'!$T$1712)*100000000+0*10000000+(N('Dvd Calendar'!$T$1710)&gt;0)*(N('Dvd Calendar'!$T$1710)&lt;=VAL_SERIAL)*1000000+14*1000+56))</f>
        <v/>
      </c>
      <c r="GI173" s="39">
        <f>IF(N('Dvd Calendar'!$U$1711)=0,"",IF(('Dvd Calendar'!$U$1711&gt;=GRID_FROM)*('Dvd Calendar'!$U$1711&lt;=GRID_TO)*('Dvd Calendar'!$U$1711&gt;VAL_DATE)=0,"",'Dvd Calendar'!$U$1711*1000000000+ISNUMBER('Dvd Calendar'!$U$1712)*100000000+0*10000000+(N('Dvd Calendar'!$U$1710)&gt;0)*(N('Dvd Calendar'!$U$1710)&lt;=VAL_SERIAL)*1000000+14*1000+57))</f>
        <v/>
      </c>
      <c r="GJ173" s="39">
        <f>IF(N('Dvd Calendar'!$V$1711)=0,"",IF(('Dvd Calendar'!$V$1711&gt;=GRID_FROM)*('Dvd Calendar'!$V$1711&lt;=GRID_TO)*('Dvd Calendar'!$V$1711&gt;VAL_DATE)=0,"",'Dvd Calendar'!$V$1711*1000000000+ISNUMBER('Dvd Calendar'!$V$1712)*100000000+0*10000000+(N('Dvd Calendar'!$V$1710)&gt;0)*(N('Dvd Calendar'!$V$1710)&lt;=VAL_SERIAL)*1000000+14*1000+58))</f>
        <v/>
      </c>
      <c r="GK173" s="39">
        <f>IF(N('Dvd Calendar'!$W$1711)=0,"",IF(('Dvd Calendar'!$W$1711&gt;=GRID_FROM)*('Dvd Calendar'!$W$1711&lt;=GRID_TO)*('Dvd Calendar'!$W$1711&gt;VAL_DATE)=0,"",'Dvd Calendar'!$W$1711*1000000000+ISNUMBER('Dvd Calendar'!$W$1712)*100000000+0*10000000+(N('Dvd Calendar'!$W$1710)&gt;0)*(N('Dvd Calendar'!$W$1710)&lt;=VAL_SERIAL)*1000000+14*1000+59))</f>
        <v/>
      </c>
      <c r="GL173" s="39">
        <f>IF(N('Dvd Calendar'!$X$1711)=0,"",IF(('Dvd Calendar'!$X$1711&gt;=GRID_FROM)*('Dvd Calendar'!$X$1711&lt;=GRID_TO)*('Dvd Calendar'!$X$1711&gt;VAL_DATE)=0,"",'Dvd Calendar'!$X$1711*1000000000+ISNUMBER('Dvd Calendar'!$X$1712)*100000000+0*10000000+(N('Dvd Calendar'!$X$1710)&gt;0)*(N('Dvd Calendar'!$X$1710)&lt;=VAL_SERIAL)*1000000+14*1000+60))</f>
        <v/>
      </c>
      <c r="GM173" s="39">
        <f>IF(N('Dvd Calendar'!$Y$1711)=0,"",IF(('Dvd Calendar'!$Y$1711&gt;=GRID_FROM)*('Dvd Calendar'!$Y$1711&lt;=GRID_TO)*('Dvd Calendar'!$Y$1711&gt;VAL_DATE)=0,"",'Dvd Calendar'!$Y$1711*1000000000+ISNUMBER('Dvd Calendar'!$Y$1712)*100000000+0*10000000+(N('Dvd Calendar'!$Y$1710)&gt;0)*(N('Dvd Calendar'!$Y$1710)&lt;=VAL_SERIAL)*1000000+14*1000+61))</f>
        <v/>
      </c>
      <c r="GN173" s="39">
        <f>IF(N('Dvd Calendar'!$Z$1711)=0,"",IF(('Dvd Calendar'!$Z$1711&gt;=GRID_FROM)*('Dvd Calendar'!$Z$1711&lt;=GRID_TO)*('Dvd Calendar'!$Z$1711&gt;VAL_DATE)=0,"",'Dvd Calendar'!$Z$1711*1000000000+ISNUMBER('Dvd Calendar'!$Z$1712)*100000000+0*10000000+(N('Dvd Calendar'!$Z$1710)&gt;0)*(N('Dvd Calendar'!$Z$1710)&lt;=VAL_SERIAL)*1000000+14*1000+62))</f>
        <v/>
      </c>
      <c r="GO173" s="39">
        <f>IF(N('Dvd Calendar'!$AA$1711)=0,"",IF(('Dvd Calendar'!$AA$1711&gt;=GRID_FROM)*('Dvd Calendar'!$AA$1711&lt;=GRID_TO)*('Dvd Calendar'!$AA$1711&gt;VAL_DATE)=0,"",'Dvd Calendar'!$AA$1711*1000000000+ISNUMBER('Dvd Calendar'!$AA$1712)*100000000+0*10000000+(N('Dvd Calendar'!$AA$1710)&gt;0)*(N('Dvd Calendar'!$AA$1710)&lt;=VAL_SERIAL)*1000000+14*1000+63))</f>
        <v/>
      </c>
      <c r="GP173" s="39">
        <f>IF(N('Dvd Calendar'!$AB$1711)=0,"",IF(('Dvd Calendar'!$AB$1711&gt;=GRID_FROM)*('Dvd Calendar'!$AB$1711&lt;=GRID_TO)*('Dvd Calendar'!$AB$1711&gt;VAL_DATE)=0,"",'Dvd Calendar'!$AB$1711*1000000000+ISNUMBER('Dvd Calendar'!$AB$1712)*100000000+0*10000000+(N('Dvd Calendar'!$AB$1710)&gt;0)*(N('Dvd Calendar'!$AB$1710)&lt;=VAL_SERIAL)*1000000+14*1000+64))</f>
        <v/>
      </c>
      <c r="GQ173" s="39">
        <f>IF(N('Dvd Calendar'!$AC$1711)=0,"",IF(('Dvd Calendar'!$AC$1711&gt;=GRID_FROM)*('Dvd Calendar'!$AC$1711&lt;=GRID_TO)*('Dvd Calendar'!$AC$1711&gt;VAL_DATE)=0,"",'Dvd Calendar'!$AC$1711*1000000000+ISNUMBER('Dvd Calendar'!$AC$1712)*100000000+0*10000000+(N('Dvd Calendar'!$AC$1710)&gt;0)*(N('Dvd Calendar'!$AC$1710)&lt;=VAL_SERIAL)*1000000+14*1000+65))</f>
        <v/>
      </c>
    </row>
    <row r="174">
      <c r="B174" s="2">
        <f>IF(HSCEI!$C$21="","",HSCEI!$C$21)</f>
        <v/>
      </c>
      <c r="C174" s="110">
        <f>IF(EE174="","",IF(ISNUMBER('Dvd Calendar'!$E$1718)=FALSE,"",IF((('Dvd Calendar'!$E$1720=TYPE1)*(TYPE1&lt;&gt;"")+('Dvd Calendar'!$E$1720=TYPE2)*(TYPE2&lt;&gt;"")+('Dvd Calendar'!$E$1720=TYPE3)*(TYPE3&lt;&gt;"")+('Dvd Calendar'!$E$1720=TYPE4)*(TYPE4&lt;&gt;"")+('Dvd Calendar'!$E$1720=SPECIAL_LBL)*(INC_SPECIALS="Y"))=0,"",'Dvd Calendar'!$E$1718)))</f>
        <v/>
      </c>
      <c r="D174" s="110">
        <f>IF(EF174="","",IF(ISNUMBER('Dvd Calendar'!$F$1718)=FALSE,"",IF((('Dvd Calendar'!$F$1720=TYPE1)*(TYPE1&lt;&gt;"")+('Dvd Calendar'!$F$1720=TYPE2)*(TYPE2&lt;&gt;"")+('Dvd Calendar'!$F$1720=TYPE3)*(TYPE3&lt;&gt;"")+('Dvd Calendar'!$F$1720=TYPE4)*(TYPE4&lt;&gt;"")+('Dvd Calendar'!$F$1720=SPECIAL_LBL)*(INC_SPECIALS="Y"))=0,"",'Dvd Calendar'!$F$1718)))</f>
        <v/>
      </c>
      <c r="E174" s="110">
        <f>IF(EG174="","",IF(ISNUMBER('Dvd Calendar'!$G$1718)=FALSE,"",IF((('Dvd Calendar'!$G$1720=TYPE1)*(TYPE1&lt;&gt;"")+('Dvd Calendar'!$G$1720=TYPE2)*(TYPE2&lt;&gt;"")+('Dvd Calendar'!$G$1720=TYPE3)*(TYPE3&lt;&gt;"")+('Dvd Calendar'!$G$1720=TYPE4)*(TYPE4&lt;&gt;"")+('Dvd Calendar'!$G$1720=SPECIAL_LBL)*(INC_SPECIALS="Y"))=0,"",'Dvd Calendar'!$G$1718)))</f>
        <v/>
      </c>
      <c r="F174" s="110">
        <f>IF(EH174="","",IF(ISNUMBER('Dvd Calendar'!$H$1718)=FALSE,"",IF((('Dvd Calendar'!$H$1720=TYPE1)*(TYPE1&lt;&gt;"")+('Dvd Calendar'!$H$1720=TYPE2)*(TYPE2&lt;&gt;"")+('Dvd Calendar'!$H$1720=TYPE3)*(TYPE3&lt;&gt;"")+('Dvd Calendar'!$H$1720=TYPE4)*(TYPE4&lt;&gt;"")+('Dvd Calendar'!$H$1720=SPECIAL_LBL)*(INC_SPECIALS="Y"))=0,"",'Dvd Calendar'!$H$1718)))</f>
        <v/>
      </c>
      <c r="G174" s="110">
        <f>IF(EI174="","",IF(ISNUMBER('Dvd Calendar'!$I$1718)=FALSE,"",IF((('Dvd Calendar'!$I$1720=TYPE1)*(TYPE1&lt;&gt;"")+('Dvd Calendar'!$I$1720=TYPE2)*(TYPE2&lt;&gt;"")+('Dvd Calendar'!$I$1720=TYPE3)*(TYPE3&lt;&gt;"")+('Dvd Calendar'!$I$1720=TYPE4)*(TYPE4&lt;&gt;"")+('Dvd Calendar'!$I$1720=SPECIAL_LBL)*(INC_SPECIALS="Y"))=0,"",'Dvd Calendar'!$I$1718)))</f>
        <v/>
      </c>
      <c r="H174" s="110">
        <f>IF(EJ174="","",IF(ISNUMBER('Dvd Calendar'!$J$1718)=FALSE,"",IF((('Dvd Calendar'!$J$1720=TYPE1)*(TYPE1&lt;&gt;"")+('Dvd Calendar'!$J$1720=TYPE2)*(TYPE2&lt;&gt;"")+('Dvd Calendar'!$J$1720=TYPE3)*(TYPE3&lt;&gt;"")+('Dvd Calendar'!$J$1720=TYPE4)*(TYPE4&lt;&gt;"")+('Dvd Calendar'!$J$1720=SPECIAL_LBL)*(INC_SPECIALS="Y"))=0,"",'Dvd Calendar'!$J$1718)))</f>
        <v/>
      </c>
      <c r="I174" s="110">
        <f>IF(EK174="","",IF(ISNUMBER('Dvd Calendar'!$K$1718)=FALSE,"",IF((('Dvd Calendar'!$K$1720=TYPE1)*(TYPE1&lt;&gt;"")+('Dvd Calendar'!$K$1720=TYPE2)*(TYPE2&lt;&gt;"")+('Dvd Calendar'!$K$1720=TYPE3)*(TYPE3&lt;&gt;"")+('Dvd Calendar'!$K$1720=TYPE4)*(TYPE4&lt;&gt;"")+('Dvd Calendar'!$K$1720=SPECIAL_LBL)*(INC_SPECIALS="Y"))=0,"",'Dvd Calendar'!$K$1718)))</f>
        <v/>
      </c>
      <c r="J174" s="110">
        <f>IF(EL174="","",IF(ISNUMBER('Dvd Calendar'!$L$1718)=FALSE,"",IF((('Dvd Calendar'!$L$1720=TYPE1)*(TYPE1&lt;&gt;"")+('Dvd Calendar'!$L$1720=TYPE2)*(TYPE2&lt;&gt;"")+('Dvd Calendar'!$L$1720=TYPE3)*(TYPE3&lt;&gt;"")+('Dvd Calendar'!$L$1720=TYPE4)*(TYPE4&lt;&gt;"")+('Dvd Calendar'!$L$1720=SPECIAL_LBL)*(INC_SPECIALS="Y"))=0,"",'Dvd Calendar'!$L$1718)))</f>
        <v/>
      </c>
      <c r="K174" s="110">
        <f>IF(EM174="","",IF(ISNUMBER('Dvd Calendar'!$M$1718)=FALSE,"",IF((('Dvd Calendar'!$M$1720=TYPE1)*(TYPE1&lt;&gt;"")+('Dvd Calendar'!$M$1720=TYPE2)*(TYPE2&lt;&gt;"")+('Dvd Calendar'!$M$1720=TYPE3)*(TYPE3&lt;&gt;"")+('Dvd Calendar'!$M$1720=TYPE4)*(TYPE4&lt;&gt;"")+('Dvd Calendar'!$M$1720=SPECIAL_LBL)*(INC_SPECIALS="Y"))=0,"",'Dvd Calendar'!$M$1718)))</f>
        <v/>
      </c>
      <c r="L174" s="110">
        <f>IF(EN174="","",IF(ISNUMBER('Dvd Calendar'!$N$1718)=FALSE,"",IF((('Dvd Calendar'!$N$1720=TYPE1)*(TYPE1&lt;&gt;"")+('Dvd Calendar'!$N$1720=TYPE2)*(TYPE2&lt;&gt;"")+('Dvd Calendar'!$N$1720=TYPE3)*(TYPE3&lt;&gt;"")+('Dvd Calendar'!$N$1720=TYPE4)*(TYPE4&lt;&gt;"")+('Dvd Calendar'!$N$1720=SPECIAL_LBL)*(INC_SPECIALS="Y"))=0,"",'Dvd Calendar'!$N$1718)))</f>
        <v/>
      </c>
      <c r="M174" s="110">
        <f>IF(EO174="","",IF(ISNUMBER('Dvd Calendar'!$O$1718)=FALSE,"",IF((('Dvd Calendar'!$O$1720=TYPE1)*(TYPE1&lt;&gt;"")+('Dvd Calendar'!$O$1720=TYPE2)*(TYPE2&lt;&gt;"")+('Dvd Calendar'!$O$1720=TYPE3)*(TYPE3&lt;&gt;"")+('Dvd Calendar'!$O$1720=TYPE4)*(TYPE4&lt;&gt;"")+('Dvd Calendar'!$O$1720=SPECIAL_LBL)*(INC_SPECIALS="Y"))=0,"",'Dvd Calendar'!$O$1718)))</f>
        <v/>
      </c>
      <c r="N174" s="110">
        <f>IF(EP174="","",IF(ISNUMBER('Dvd Calendar'!$P$1718)=FALSE,"",IF((('Dvd Calendar'!$P$1720=TYPE1)*(TYPE1&lt;&gt;"")+('Dvd Calendar'!$P$1720=TYPE2)*(TYPE2&lt;&gt;"")+('Dvd Calendar'!$P$1720=TYPE3)*(TYPE3&lt;&gt;"")+('Dvd Calendar'!$P$1720=TYPE4)*(TYPE4&lt;&gt;"")+('Dvd Calendar'!$P$1720=SPECIAL_LBL)*(INC_SPECIALS="Y"))=0,"",'Dvd Calendar'!$P$1718)))</f>
        <v/>
      </c>
      <c r="O174" s="110">
        <f>IF(EQ174="","",IF(ISNUMBER('Dvd Calendar'!$Q$1718)=FALSE,"",IF((('Dvd Calendar'!$Q$1720=TYPE1)*(TYPE1&lt;&gt;"")+('Dvd Calendar'!$Q$1720=TYPE2)*(TYPE2&lt;&gt;"")+('Dvd Calendar'!$Q$1720=TYPE3)*(TYPE3&lt;&gt;"")+('Dvd Calendar'!$Q$1720=TYPE4)*(TYPE4&lt;&gt;"")+('Dvd Calendar'!$Q$1720=SPECIAL_LBL)*(INC_SPECIALS="Y"))=0,"",'Dvd Calendar'!$Q$1718)))</f>
        <v/>
      </c>
      <c r="P174" s="110">
        <f>IF(ER174="","",IF(ISNUMBER('Dvd Calendar'!$R$1718)=FALSE,"",IF((('Dvd Calendar'!$R$1720=TYPE1)*(TYPE1&lt;&gt;"")+('Dvd Calendar'!$R$1720=TYPE2)*(TYPE2&lt;&gt;"")+('Dvd Calendar'!$R$1720=TYPE3)*(TYPE3&lt;&gt;"")+('Dvd Calendar'!$R$1720=TYPE4)*(TYPE4&lt;&gt;"")+('Dvd Calendar'!$R$1720=SPECIAL_LBL)*(INC_SPECIALS="Y"))=0,"",'Dvd Calendar'!$R$1718)))</f>
        <v/>
      </c>
      <c r="Q174" s="110">
        <f>IF(ES174="","",IF(ISNUMBER('Dvd Calendar'!$S$1718)=FALSE,"",IF((('Dvd Calendar'!$S$1720=TYPE1)*(TYPE1&lt;&gt;"")+('Dvd Calendar'!$S$1720=TYPE2)*(TYPE2&lt;&gt;"")+('Dvd Calendar'!$S$1720=TYPE3)*(TYPE3&lt;&gt;"")+('Dvd Calendar'!$S$1720=TYPE4)*(TYPE4&lt;&gt;"")+('Dvd Calendar'!$S$1720=SPECIAL_LBL)*(INC_SPECIALS="Y"))=0,"",'Dvd Calendar'!$S$1718)))</f>
        <v/>
      </c>
      <c r="R174" s="110">
        <f>IF(ET174="","",IF(ISNUMBER('Dvd Calendar'!$T$1718)=FALSE,"",IF((('Dvd Calendar'!$T$1720=TYPE1)*(TYPE1&lt;&gt;"")+('Dvd Calendar'!$T$1720=TYPE2)*(TYPE2&lt;&gt;"")+('Dvd Calendar'!$T$1720=TYPE3)*(TYPE3&lt;&gt;"")+('Dvd Calendar'!$T$1720=TYPE4)*(TYPE4&lt;&gt;"")+('Dvd Calendar'!$T$1720=SPECIAL_LBL)*(INC_SPECIALS="Y"))=0,"",'Dvd Calendar'!$T$1718)))</f>
        <v/>
      </c>
      <c r="S174" s="110">
        <f>IF(EU174="","",IF(ISNUMBER('Dvd Calendar'!$U$1718)=FALSE,"",IF((('Dvd Calendar'!$U$1720=TYPE1)*(TYPE1&lt;&gt;"")+('Dvd Calendar'!$U$1720=TYPE2)*(TYPE2&lt;&gt;"")+('Dvd Calendar'!$U$1720=TYPE3)*(TYPE3&lt;&gt;"")+('Dvd Calendar'!$U$1720=TYPE4)*(TYPE4&lt;&gt;"")+('Dvd Calendar'!$U$1720=SPECIAL_LBL)*(INC_SPECIALS="Y"))=0,"",'Dvd Calendar'!$U$1718)))</f>
        <v/>
      </c>
      <c r="T174" s="110">
        <f>IF(EV174="","",IF(ISNUMBER('Dvd Calendar'!$V$1718)=FALSE,"",IF((('Dvd Calendar'!$V$1720=TYPE1)*(TYPE1&lt;&gt;"")+('Dvd Calendar'!$V$1720=TYPE2)*(TYPE2&lt;&gt;"")+('Dvd Calendar'!$V$1720=TYPE3)*(TYPE3&lt;&gt;"")+('Dvd Calendar'!$V$1720=TYPE4)*(TYPE4&lt;&gt;"")+('Dvd Calendar'!$V$1720=SPECIAL_LBL)*(INC_SPECIALS="Y"))=0,"",'Dvd Calendar'!$V$1718)))</f>
        <v/>
      </c>
      <c r="U174" s="110">
        <f>IF(EW174="","",IF(ISNUMBER('Dvd Calendar'!$W$1718)=FALSE,"",IF((('Dvd Calendar'!$W$1720=TYPE1)*(TYPE1&lt;&gt;"")+('Dvd Calendar'!$W$1720=TYPE2)*(TYPE2&lt;&gt;"")+('Dvd Calendar'!$W$1720=TYPE3)*(TYPE3&lt;&gt;"")+('Dvd Calendar'!$W$1720=TYPE4)*(TYPE4&lt;&gt;"")+('Dvd Calendar'!$W$1720=SPECIAL_LBL)*(INC_SPECIALS="Y"))=0,"",'Dvd Calendar'!$W$1718)))</f>
        <v/>
      </c>
      <c r="V174" s="110">
        <f>IF(EX174="","",IF(ISNUMBER('Dvd Calendar'!$X$1718)=FALSE,"",IF((('Dvd Calendar'!$X$1720=TYPE1)*(TYPE1&lt;&gt;"")+('Dvd Calendar'!$X$1720=TYPE2)*(TYPE2&lt;&gt;"")+('Dvd Calendar'!$X$1720=TYPE3)*(TYPE3&lt;&gt;"")+('Dvd Calendar'!$X$1720=TYPE4)*(TYPE4&lt;&gt;"")+('Dvd Calendar'!$X$1720=SPECIAL_LBL)*(INC_SPECIALS="Y"))=0,"",'Dvd Calendar'!$X$1718)))</f>
        <v/>
      </c>
      <c r="W174" s="110">
        <f>IF(EY174="","",IF(ISNUMBER('Dvd Calendar'!$Y$1718)=FALSE,"",IF((('Dvd Calendar'!$Y$1720=TYPE1)*(TYPE1&lt;&gt;"")+('Dvd Calendar'!$Y$1720=TYPE2)*(TYPE2&lt;&gt;"")+('Dvd Calendar'!$Y$1720=TYPE3)*(TYPE3&lt;&gt;"")+('Dvd Calendar'!$Y$1720=TYPE4)*(TYPE4&lt;&gt;"")+('Dvd Calendar'!$Y$1720=SPECIAL_LBL)*(INC_SPECIALS="Y"))=0,"",'Dvd Calendar'!$Y$1718)))</f>
        <v/>
      </c>
      <c r="X174" s="110">
        <f>IF(EZ174="","",IF(ISNUMBER('Dvd Calendar'!$Z$1718)=FALSE,"",IF((('Dvd Calendar'!$Z$1720=TYPE1)*(TYPE1&lt;&gt;"")+('Dvd Calendar'!$Z$1720=TYPE2)*(TYPE2&lt;&gt;"")+('Dvd Calendar'!$Z$1720=TYPE3)*(TYPE3&lt;&gt;"")+('Dvd Calendar'!$Z$1720=TYPE4)*(TYPE4&lt;&gt;"")+('Dvd Calendar'!$Z$1720=SPECIAL_LBL)*(INC_SPECIALS="Y"))=0,"",'Dvd Calendar'!$Z$1718)))</f>
        <v/>
      </c>
      <c r="Y174" s="110">
        <f>IF(FA174="","",IF(ISNUMBER('Dvd Calendar'!$AA$1718)=FALSE,"",IF((('Dvd Calendar'!$AA$1720=TYPE1)*(TYPE1&lt;&gt;"")+('Dvd Calendar'!$AA$1720=TYPE2)*(TYPE2&lt;&gt;"")+('Dvd Calendar'!$AA$1720=TYPE3)*(TYPE3&lt;&gt;"")+('Dvd Calendar'!$AA$1720=TYPE4)*(TYPE4&lt;&gt;"")+('Dvd Calendar'!$AA$1720=SPECIAL_LBL)*(INC_SPECIALS="Y"))=0,"",'Dvd Calendar'!$AA$1718)))</f>
        <v/>
      </c>
      <c r="Z174" s="110">
        <f>IF(FB174="","",IF(ISNUMBER('Dvd Calendar'!$AB$1718)=FALSE,"",IF((('Dvd Calendar'!$AB$1720=TYPE1)*(TYPE1&lt;&gt;"")+('Dvd Calendar'!$AB$1720=TYPE2)*(TYPE2&lt;&gt;"")+('Dvd Calendar'!$AB$1720=TYPE3)*(TYPE3&lt;&gt;"")+('Dvd Calendar'!$AB$1720=TYPE4)*(TYPE4&lt;&gt;"")+('Dvd Calendar'!$AB$1720=SPECIAL_LBL)*(INC_SPECIALS="Y"))=0,"",'Dvd Calendar'!$AB$1718)))</f>
        <v/>
      </c>
      <c r="AA174" s="110">
        <f>IF(FC174="","",IF(ISNUMBER('Dvd Calendar'!$AC$1718)=FALSE,"",IF((('Dvd Calendar'!$AC$1720=TYPE1)*(TYPE1&lt;&gt;"")+('Dvd Calendar'!$AC$1720=TYPE2)*(TYPE2&lt;&gt;"")+('Dvd Calendar'!$AC$1720=TYPE3)*(TYPE3&lt;&gt;"")+('Dvd Calendar'!$AC$1720=TYPE4)*(TYPE4&lt;&gt;"")+('Dvd Calendar'!$AC$1720=SPECIAL_LBL)*(INC_SPECIALS="Y"))=0,"",'Dvd Calendar'!$AC$1718)))</f>
        <v/>
      </c>
      <c r="AB174" s="110">
        <f>IF(FD174="","",IF(ISNUMBER('Dvd Calendar'!$AD$1718)=FALSE,"",IF((('Dvd Calendar'!$AD$1720=TYPE1)*(TYPE1&lt;&gt;"")+('Dvd Calendar'!$AD$1720=TYPE2)*(TYPE2&lt;&gt;"")+('Dvd Calendar'!$AD$1720=TYPE3)*(TYPE3&lt;&gt;"")+('Dvd Calendar'!$AD$1720=TYPE4)*(TYPE4&lt;&gt;"")+('Dvd Calendar'!$AD$1720=SPECIAL_LBL)*(INC_SPECIALS="Y"))=0,"",'Dvd Calendar'!$AD$1718)))</f>
        <v/>
      </c>
      <c r="AC174" s="110">
        <f>IF(FE174="","",IF(ISNUMBER('Dvd Calendar'!$AE$1718)=FALSE,"",IF((('Dvd Calendar'!$AE$1720=TYPE1)*(TYPE1&lt;&gt;"")+('Dvd Calendar'!$AE$1720=TYPE2)*(TYPE2&lt;&gt;"")+('Dvd Calendar'!$AE$1720=TYPE3)*(TYPE3&lt;&gt;"")+('Dvd Calendar'!$AE$1720=TYPE4)*(TYPE4&lt;&gt;"")+('Dvd Calendar'!$AE$1720=SPECIAL_LBL)*(INC_SPECIALS="Y"))=0,"",'Dvd Calendar'!$AE$1718)))</f>
        <v/>
      </c>
      <c r="AD174" s="110">
        <f>IF(FF174="","",IF(ISNUMBER('Dvd Calendar'!$AF$1718)=FALSE,"",IF((('Dvd Calendar'!$AF$1720=TYPE1)*(TYPE1&lt;&gt;"")+('Dvd Calendar'!$AF$1720=TYPE2)*(TYPE2&lt;&gt;"")+('Dvd Calendar'!$AF$1720=TYPE3)*(TYPE3&lt;&gt;"")+('Dvd Calendar'!$AF$1720=TYPE4)*(TYPE4&lt;&gt;"")+('Dvd Calendar'!$AF$1720=SPECIAL_LBL)*(INC_SPECIALS="Y"))=0,"",'Dvd Calendar'!$AF$1718)))</f>
        <v/>
      </c>
      <c r="AE174" s="110">
        <f>IF(FG174="","",IF(ISNUMBER('Dvd Calendar'!$AG$1718)=FALSE,"",IF((('Dvd Calendar'!$AG$1720=TYPE1)*(TYPE1&lt;&gt;"")+('Dvd Calendar'!$AG$1720=TYPE2)*(TYPE2&lt;&gt;"")+('Dvd Calendar'!$AG$1720=TYPE3)*(TYPE3&lt;&gt;"")+('Dvd Calendar'!$AG$1720=TYPE4)*(TYPE4&lt;&gt;"")+('Dvd Calendar'!$AG$1720=SPECIAL_LBL)*(INC_SPECIALS="Y"))=0,"",'Dvd Calendar'!$AG$1718)))</f>
        <v/>
      </c>
      <c r="AF174" s="110">
        <f>IF(FH174="","",IF(ISNUMBER('Dvd Calendar'!$AH$1718)=FALSE,"",IF((('Dvd Calendar'!$AH$1720=TYPE1)*(TYPE1&lt;&gt;"")+('Dvd Calendar'!$AH$1720=TYPE2)*(TYPE2&lt;&gt;"")+('Dvd Calendar'!$AH$1720=TYPE3)*(TYPE3&lt;&gt;"")+('Dvd Calendar'!$AH$1720=TYPE4)*(TYPE4&lt;&gt;"")+('Dvd Calendar'!$AH$1720=SPECIAL_LBL)*(INC_SPECIALS="Y"))=0,"",'Dvd Calendar'!$AH$1718)))</f>
        <v/>
      </c>
      <c r="AG174" s="110">
        <f>IF(FI174="","",IF(ISNUMBER('Dvd Calendar'!$AI$1718)=FALSE,"",IF((('Dvd Calendar'!$AI$1720=TYPE1)*(TYPE1&lt;&gt;"")+('Dvd Calendar'!$AI$1720=TYPE2)*(TYPE2&lt;&gt;"")+('Dvd Calendar'!$AI$1720=TYPE3)*(TYPE3&lt;&gt;"")+('Dvd Calendar'!$AI$1720=TYPE4)*(TYPE4&lt;&gt;"")+('Dvd Calendar'!$AI$1720=SPECIAL_LBL)*(INC_SPECIALS="Y"))=0,"",'Dvd Calendar'!$AI$1718)))</f>
        <v/>
      </c>
      <c r="AH174" s="110">
        <f>IF(FJ174="","",IF(ISNUMBER('Dvd Calendar'!$AJ$1718)=FALSE,"",IF((('Dvd Calendar'!$AJ$1720=TYPE1)*(TYPE1&lt;&gt;"")+('Dvd Calendar'!$AJ$1720=TYPE2)*(TYPE2&lt;&gt;"")+('Dvd Calendar'!$AJ$1720=TYPE3)*(TYPE3&lt;&gt;"")+('Dvd Calendar'!$AJ$1720=TYPE4)*(TYPE4&lt;&gt;"")+('Dvd Calendar'!$AJ$1720=SPECIAL_LBL)*(INC_SPECIALS="Y"))=0,"",'Dvd Calendar'!$AJ$1718)))</f>
        <v/>
      </c>
      <c r="AI174" s="110">
        <f>IF(FK174="","",IF(ISNUMBER('Dvd Calendar'!$AK$1718)=FALSE,"",IF((('Dvd Calendar'!$AK$1720=TYPE1)*(TYPE1&lt;&gt;"")+('Dvd Calendar'!$AK$1720=TYPE2)*(TYPE2&lt;&gt;"")+('Dvd Calendar'!$AK$1720=TYPE3)*(TYPE3&lt;&gt;"")+('Dvd Calendar'!$AK$1720=TYPE4)*(TYPE4&lt;&gt;"")+('Dvd Calendar'!$AK$1720=SPECIAL_LBL)*(INC_SPECIALS="Y"))=0,"",'Dvd Calendar'!$AK$1718)))</f>
        <v/>
      </c>
      <c r="AJ174" s="110">
        <f>IF(FL174="","",IF(ISNUMBER('Dvd Calendar'!$AL$1718)=FALSE,"",IF((('Dvd Calendar'!$AL$1720=TYPE1)*(TYPE1&lt;&gt;"")+('Dvd Calendar'!$AL$1720=TYPE2)*(TYPE2&lt;&gt;"")+('Dvd Calendar'!$AL$1720=TYPE3)*(TYPE3&lt;&gt;"")+('Dvd Calendar'!$AL$1720=TYPE4)*(TYPE4&lt;&gt;"")+('Dvd Calendar'!$AL$1720=SPECIAL_LBL)*(INC_SPECIALS="Y"))=0,"",'Dvd Calendar'!$AL$1718)))</f>
        <v/>
      </c>
      <c r="AK174" s="110">
        <f>IF(FM174="","",IF(ISNUMBER('Dvd Calendar'!$AM$1718)=FALSE,"",IF((('Dvd Calendar'!$AM$1720=TYPE1)*(TYPE1&lt;&gt;"")+('Dvd Calendar'!$AM$1720=TYPE2)*(TYPE2&lt;&gt;"")+('Dvd Calendar'!$AM$1720=TYPE3)*(TYPE3&lt;&gt;"")+('Dvd Calendar'!$AM$1720=TYPE4)*(TYPE4&lt;&gt;"")+('Dvd Calendar'!$AM$1720=SPECIAL_LBL)*(INC_SPECIALS="Y"))=0,"",'Dvd Calendar'!$AM$1718)))</f>
        <v/>
      </c>
      <c r="AL174" s="110">
        <f>IF(FN174="","",IF(ISNUMBER('Dvd Calendar'!$AN$1718)=FALSE,"",IF((('Dvd Calendar'!$AN$1720=TYPE1)*(TYPE1&lt;&gt;"")+('Dvd Calendar'!$AN$1720=TYPE2)*(TYPE2&lt;&gt;"")+('Dvd Calendar'!$AN$1720=TYPE3)*(TYPE3&lt;&gt;"")+('Dvd Calendar'!$AN$1720=TYPE4)*(TYPE4&lt;&gt;"")+('Dvd Calendar'!$AN$1720=SPECIAL_LBL)*(INC_SPECIALS="Y"))=0,"",'Dvd Calendar'!$AN$1718)))</f>
        <v/>
      </c>
      <c r="AM174" s="110">
        <f>IF(FO174="","",IF(ISNUMBER('Dvd Calendar'!$AO$1718)=FALSE,"",IF((('Dvd Calendar'!$AO$1720=TYPE1)*(TYPE1&lt;&gt;"")+('Dvd Calendar'!$AO$1720=TYPE2)*(TYPE2&lt;&gt;"")+('Dvd Calendar'!$AO$1720=TYPE3)*(TYPE3&lt;&gt;"")+('Dvd Calendar'!$AO$1720=TYPE4)*(TYPE4&lt;&gt;"")+('Dvd Calendar'!$AO$1720=SPECIAL_LBL)*(INC_SPECIALS="Y"))=0,"",'Dvd Calendar'!$AO$1718)))</f>
        <v/>
      </c>
      <c r="AN174" s="110">
        <f>IF(FP174="","",IF(ISNUMBER('Dvd Calendar'!$AP$1718)=FALSE,"",IF((('Dvd Calendar'!$AP$1720=TYPE1)*(TYPE1&lt;&gt;"")+('Dvd Calendar'!$AP$1720=TYPE2)*(TYPE2&lt;&gt;"")+('Dvd Calendar'!$AP$1720=TYPE3)*(TYPE3&lt;&gt;"")+('Dvd Calendar'!$AP$1720=TYPE4)*(TYPE4&lt;&gt;"")+('Dvd Calendar'!$AP$1720=SPECIAL_LBL)*(INC_SPECIALS="Y"))=0,"",'Dvd Calendar'!$AP$1718)))</f>
        <v/>
      </c>
      <c r="AO174" s="110">
        <f>IF(FQ174="","",IF(ISNUMBER('Dvd Calendar'!$AQ$1718)=FALSE,"",IF((('Dvd Calendar'!$AQ$1720=TYPE1)*(TYPE1&lt;&gt;"")+('Dvd Calendar'!$AQ$1720=TYPE2)*(TYPE2&lt;&gt;"")+('Dvd Calendar'!$AQ$1720=TYPE3)*(TYPE3&lt;&gt;"")+('Dvd Calendar'!$AQ$1720=TYPE4)*(TYPE4&lt;&gt;"")+('Dvd Calendar'!$AQ$1720=SPECIAL_LBL)*(INC_SPECIALS="Y"))=0,"",'Dvd Calendar'!$AQ$1718)))</f>
        <v/>
      </c>
      <c r="AP174" s="110">
        <f>IF(FR174="","",IF(ISNUMBER('Dvd Calendar'!$AR$1718)=FALSE,"",IF((('Dvd Calendar'!$AR$1720=TYPE1)*(TYPE1&lt;&gt;"")+('Dvd Calendar'!$AR$1720=TYPE2)*(TYPE2&lt;&gt;"")+('Dvd Calendar'!$AR$1720=TYPE3)*(TYPE3&lt;&gt;"")+('Dvd Calendar'!$AR$1720=TYPE4)*(TYPE4&lt;&gt;"")+('Dvd Calendar'!$AR$1720=SPECIAL_LBL)*(INC_SPECIALS="Y"))=0,"",'Dvd Calendar'!$AR$1718)))</f>
        <v/>
      </c>
      <c r="AQ174" s="110">
        <f>IF(FS174="","",IF(ISNUMBER('Dvd Calendar'!$E$1723)=FALSE,"",'Dvd Calendar'!$E$1723))</f>
        <v/>
      </c>
      <c r="AR174" s="110">
        <f>IF(FT174="","",IF(ISNUMBER('Dvd Calendar'!$F$1723)=FALSE,"",'Dvd Calendar'!$F$1723))</f>
        <v/>
      </c>
      <c r="AS174" s="110">
        <f>IF(FU174="","",IF(ISNUMBER('Dvd Calendar'!$G$1723)=FALSE,"",'Dvd Calendar'!$G$1723))</f>
        <v/>
      </c>
      <c r="AT174" s="110">
        <f>IF(FV174="","",IF(ISNUMBER('Dvd Calendar'!$H$1723)=FALSE,"",'Dvd Calendar'!$H$1723))</f>
        <v/>
      </c>
      <c r="AU174" s="110">
        <f>IF(FW174="","",IF(ISNUMBER('Dvd Calendar'!$I$1723)=FALSE,"",'Dvd Calendar'!$I$1723))</f>
        <v/>
      </c>
      <c r="AV174" s="110">
        <f>IF(FX174="","",IF(ISNUMBER('Dvd Calendar'!$J$1723)=FALSE,"",'Dvd Calendar'!$J$1723))</f>
        <v/>
      </c>
      <c r="AW174" s="110">
        <f>IF(FY174="","",IF(ISNUMBER('Dvd Calendar'!$K$1723)=FALSE,"",'Dvd Calendar'!$K$1723))</f>
        <v/>
      </c>
      <c r="AX174" s="110">
        <f>IF(FZ174="","",IF(ISNUMBER('Dvd Calendar'!$L$1723)=FALSE,"",'Dvd Calendar'!$L$1723))</f>
        <v/>
      </c>
      <c r="AY174" s="110">
        <f>IF(GA174="","",IF(ISNUMBER('Dvd Calendar'!$M$1723)=FALSE,"",'Dvd Calendar'!$M$1723))</f>
        <v/>
      </c>
      <c r="AZ174" s="110">
        <f>IF(GB174="","",IF(ISNUMBER('Dvd Calendar'!$N$1723)=FALSE,"",'Dvd Calendar'!$N$1723))</f>
        <v/>
      </c>
      <c r="BA174" s="110">
        <f>IF(GC174="","",IF(ISNUMBER('Dvd Calendar'!$O$1723)=FALSE,"",'Dvd Calendar'!$O$1723))</f>
        <v/>
      </c>
      <c r="BB174" s="110">
        <f>IF(GD174="","",IF(ISNUMBER('Dvd Calendar'!$P$1723)=FALSE,"",'Dvd Calendar'!$P$1723))</f>
        <v/>
      </c>
      <c r="BC174" s="110">
        <f>IF(GE174="","",IF(ISNUMBER('Dvd Calendar'!$Q$1723)=FALSE,"",'Dvd Calendar'!$Q$1723))</f>
        <v/>
      </c>
      <c r="BD174" s="110">
        <f>IF(GF174="","",IF(ISNUMBER('Dvd Calendar'!$R$1723)=FALSE,"",'Dvd Calendar'!$R$1723))</f>
        <v/>
      </c>
      <c r="BE174" s="110">
        <f>IF(GG174="","",IF(ISNUMBER('Dvd Calendar'!$S$1723)=FALSE,"",'Dvd Calendar'!$S$1723))</f>
        <v/>
      </c>
      <c r="BF174" s="110">
        <f>IF(GH174="","",IF(ISNUMBER('Dvd Calendar'!$T$1723)=FALSE,"",'Dvd Calendar'!$T$1723))</f>
        <v/>
      </c>
      <c r="BG174" s="110">
        <f>IF(GI174="","",IF(ISNUMBER('Dvd Calendar'!$U$1723)=FALSE,"",'Dvd Calendar'!$U$1723))</f>
        <v/>
      </c>
      <c r="BH174" s="110">
        <f>IF(GJ174="","",IF(ISNUMBER('Dvd Calendar'!$V$1723)=FALSE,"",'Dvd Calendar'!$V$1723))</f>
        <v/>
      </c>
      <c r="BI174" s="110">
        <f>IF(GK174="","",IF(ISNUMBER('Dvd Calendar'!$W$1723)=FALSE,"",'Dvd Calendar'!$W$1723))</f>
        <v/>
      </c>
      <c r="BJ174" s="110">
        <f>IF(GL174="","",IF(ISNUMBER('Dvd Calendar'!$X$1723)=FALSE,"",'Dvd Calendar'!$X$1723))</f>
        <v/>
      </c>
      <c r="BK174" s="110">
        <f>IF(GM174="","",IF(ISNUMBER('Dvd Calendar'!$Y$1723)=FALSE,"",'Dvd Calendar'!$Y$1723))</f>
        <v/>
      </c>
      <c r="BL174" s="110">
        <f>IF(GN174="","",IF(ISNUMBER('Dvd Calendar'!$Z$1723)=FALSE,"",'Dvd Calendar'!$Z$1723))</f>
        <v/>
      </c>
      <c r="BM174" s="110">
        <f>IF(GO174="","",IF(ISNUMBER('Dvd Calendar'!$AA$1723)=FALSE,"",'Dvd Calendar'!$AA$1723))</f>
        <v/>
      </c>
      <c r="BN174" s="110">
        <f>IF(GP174="","",IF(ISNUMBER('Dvd Calendar'!$AB$1723)=FALSE,"",'Dvd Calendar'!$AB$1723))</f>
        <v/>
      </c>
      <c r="BO174" s="110">
        <f>IF(GQ174="","",IF(ISNUMBER('Dvd Calendar'!$AC$1723)=FALSE,"",'Dvd Calendar'!$AC$1723))</f>
        <v/>
      </c>
      <c r="BQ174" s="110">
        <f>IF(C174="","",IFERROR(C174*HSCEI!$B$21*HSCEI!$G$21/HSCEI!$B$3,""))</f>
        <v/>
      </c>
      <c r="BR174" s="110">
        <f>IF(D174="","",IFERROR(D174*HSCEI!$B$21*HSCEI!$G$21/HSCEI!$B$3,""))</f>
        <v/>
      </c>
      <c r="BS174" s="110">
        <f>IF(E174="","",IFERROR(E174*HSCEI!$B$21*HSCEI!$G$21/HSCEI!$B$3,""))</f>
        <v/>
      </c>
      <c r="BT174" s="110">
        <f>IF(F174="","",IFERROR(F174*HSCEI!$B$21*HSCEI!$G$21/HSCEI!$B$3,""))</f>
        <v/>
      </c>
      <c r="BU174" s="110">
        <f>IF(G174="","",IFERROR(G174*HSCEI!$B$21*HSCEI!$G$21/HSCEI!$B$3,""))</f>
        <v/>
      </c>
      <c r="BV174" s="110">
        <f>IF(H174="","",IFERROR(H174*HSCEI!$B$21*HSCEI!$G$21/HSCEI!$B$3,""))</f>
        <v/>
      </c>
      <c r="BW174" s="110">
        <f>IF(I174="","",IFERROR(I174*HSCEI!$B$21*HSCEI!$G$21/HSCEI!$B$3,""))</f>
        <v/>
      </c>
      <c r="BX174" s="110">
        <f>IF(J174="","",IFERROR(J174*HSCEI!$B$21*HSCEI!$G$21/HSCEI!$B$3,""))</f>
        <v/>
      </c>
      <c r="BY174" s="110">
        <f>IF(K174="","",IFERROR(K174*HSCEI!$B$21*HSCEI!$G$21/HSCEI!$B$3,""))</f>
        <v/>
      </c>
      <c r="BZ174" s="110">
        <f>IF(L174="","",IFERROR(L174*HSCEI!$B$21*HSCEI!$G$21/HSCEI!$B$3,""))</f>
        <v/>
      </c>
      <c r="CA174" s="110">
        <f>IF(M174="","",IFERROR(M174*HSCEI!$B$21*HSCEI!$G$21/HSCEI!$B$3,""))</f>
        <v/>
      </c>
      <c r="CB174" s="110">
        <f>IF(N174="","",IFERROR(N174*HSCEI!$B$21*HSCEI!$G$21/HSCEI!$B$3,""))</f>
        <v/>
      </c>
      <c r="CC174" s="110">
        <f>IF(O174="","",IFERROR(O174*HSCEI!$B$21*HSCEI!$G$21/HSCEI!$B$3,""))</f>
        <v/>
      </c>
      <c r="CD174" s="110">
        <f>IF(P174="","",IFERROR(P174*HSCEI!$B$21*HSCEI!$G$21/HSCEI!$B$3,""))</f>
        <v/>
      </c>
      <c r="CE174" s="110">
        <f>IF(Q174="","",IFERROR(Q174*HSCEI!$B$21*HSCEI!$G$21/HSCEI!$B$3,""))</f>
        <v/>
      </c>
      <c r="CF174" s="110">
        <f>IF(R174="","",IFERROR(R174*HSCEI!$B$21*HSCEI!$G$21/HSCEI!$B$3,""))</f>
        <v/>
      </c>
      <c r="CG174" s="110">
        <f>IF(S174="","",IFERROR(S174*HSCEI!$B$21*HSCEI!$G$21/HSCEI!$B$3,""))</f>
        <v/>
      </c>
      <c r="CH174" s="110">
        <f>IF(T174="","",IFERROR(T174*HSCEI!$B$21*HSCEI!$G$21/HSCEI!$B$3,""))</f>
        <v/>
      </c>
      <c r="CI174" s="110">
        <f>IF(U174="","",IFERROR(U174*HSCEI!$B$21*HSCEI!$G$21/HSCEI!$B$3,""))</f>
        <v/>
      </c>
      <c r="CJ174" s="110">
        <f>IF(V174="","",IFERROR(V174*HSCEI!$B$21*HSCEI!$G$21/HSCEI!$B$3,""))</f>
        <v/>
      </c>
      <c r="CK174" s="110">
        <f>IF(W174="","",IFERROR(W174*HSCEI!$B$21*HSCEI!$G$21/HSCEI!$B$3,""))</f>
        <v/>
      </c>
      <c r="CL174" s="110">
        <f>IF(X174="","",IFERROR(X174*HSCEI!$B$21*HSCEI!$G$21/HSCEI!$B$3,""))</f>
        <v/>
      </c>
      <c r="CM174" s="110">
        <f>IF(Y174="","",IFERROR(Y174*HSCEI!$B$21*HSCEI!$G$21/HSCEI!$B$3,""))</f>
        <v/>
      </c>
      <c r="CN174" s="110">
        <f>IF(Z174="","",IFERROR(Z174*HSCEI!$B$21*HSCEI!$G$21/HSCEI!$B$3,""))</f>
        <v/>
      </c>
      <c r="CO174" s="110">
        <f>IF(AA174="","",IFERROR(AA174*HSCEI!$B$21*HSCEI!$G$21/HSCEI!$B$3,""))</f>
        <v/>
      </c>
      <c r="CP174" s="110">
        <f>IF(AB174="","",IFERROR(AB174*HSCEI!$B$21*HSCEI!$G$21/HSCEI!$B$3,""))</f>
        <v/>
      </c>
      <c r="CQ174" s="110">
        <f>IF(AC174="","",IFERROR(AC174*HSCEI!$B$21*HSCEI!$G$21/HSCEI!$B$3,""))</f>
        <v/>
      </c>
      <c r="CR174" s="110">
        <f>IF(AD174="","",IFERROR(AD174*HSCEI!$B$21*HSCEI!$G$21/HSCEI!$B$3,""))</f>
        <v/>
      </c>
      <c r="CS174" s="110">
        <f>IF(AE174="","",IFERROR(AE174*HSCEI!$B$21*HSCEI!$G$21/HSCEI!$B$3,""))</f>
        <v/>
      </c>
      <c r="CT174" s="110">
        <f>IF(AF174="","",IFERROR(AF174*HSCEI!$B$21*HSCEI!$G$21/HSCEI!$B$3,""))</f>
        <v/>
      </c>
      <c r="CU174" s="110">
        <f>IF(AG174="","",IFERROR(AG174*HSCEI!$B$21*HSCEI!$G$21/HSCEI!$B$3,""))</f>
        <v/>
      </c>
      <c r="CV174" s="110">
        <f>IF(AH174="","",IFERROR(AH174*HSCEI!$B$21*HSCEI!$G$21/HSCEI!$B$3,""))</f>
        <v/>
      </c>
      <c r="CW174" s="110">
        <f>IF(AI174="","",IFERROR(AI174*HSCEI!$B$21*HSCEI!$G$21/HSCEI!$B$3,""))</f>
        <v/>
      </c>
      <c r="CX174" s="110">
        <f>IF(AJ174="","",IFERROR(AJ174*HSCEI!$B$21*HSCEI!$G$21/HSCEI!$B$3,""))</f>
        <v/>
      </c>
      <c r="CY174" s="110">
        <f>IF(AK174="","",IFERROR(AK174*HSCEI!$B$21*HSCEI!$G$21/HSCEI!$B$3,""))</f>
        <v/>
      </c>
      <c r="CZ174" s="110">
        <f>IF(AL174="","",IFERROR(AL174*HSCEI!$B$21*HSCEI!$G$21/HSCEI!$B$3,""))</f>
        <v/>
      </c>
      <c r="DA174" s="110">
        <f>IF(AM174="","",IFERROR(AM174*HSCEI!$B$21*HSCEI!$G$21/HSCEI!$B$3,""))</f>
        <v/>
      </c>
      <c r="DB174" s="110">
        <f>IF(AN174="","",IFERROR(AN174*HSCEI!$B$21*HSCEI!$G$21/HSCEI!$B$3,""))</f>
        <v/>
      </c>
      <c r="DC174" s="110">
        <f>IF(AO174="","",IFERROR(AO174*HSCEI!$B$21*HSCEI!$G$21/HSCEI!$B$3,""))</f>
        <v/>
      </c>
      <c r="DD174" s="110">
        <f>IF(AP174="","",IFERROR(AP174*HSCEI!$B$21*HSCEI!$G$21/HSCEI!$B$3,""))</f>
        <v/>
      </c>
      <c r="DE174" s="110">
        <f>IF(AQ174="","",IFERROR(AQ174*HSCEI!$B$21*HSCEI!$G$21/HSCEI!$B$3,""))</f>
        <v/>
      </c>
      <c r="DF174" s="110">
        <f>IF(AR174="","",IFERROR(AR174*HSCEI!$B$21*HSCEI!$G$21/HSCEI!$B$3,""))</f>
        <v/>
      </c>
      <c r="DG174" s="110">
        <f>IF(AS174="","",IFERROR(AS174*HSCEI!$B$21*HSCEI!$G$21/HSCEI!$B$3,""))</f>
        <v/>
      </c>
      <c r="DH174" s="110">
        <f>IF(AT174="","",IFERROR(AT174*HSCEI!$B$21*HSCEI!$G$21/HSCEI!$B$3,""))</f>
        <v/>
      </c>
      <c r="DI174" s="110">
        <f>IF(AU174="","",IFERROR(AU174*HSCEI!$B$21*HSCEI!$G$21/HSCEI!$B$3,""))</f>
        <v/>
      </c>
      <c r="DJ174" s="110">
        <f>IF(AV174="","",IFERROR(AV174*HSCEI!$B$21*HSCEI!$G$21/HSCEI!$B$3,""))</f>
        <v/>
      </c>
      <c r="DK174" s="110">
        <f>IF(AW174="","",IFERROR(AW174*HSCEI!$B$21*HSCEI!$G$21/HSCEI!$B$3,""))</f>
        <v/>
      </c>
      <c r="DL174" s="110">
        <f>IF(AX174="","",IFERROR(AX174*HSCEI!$B$21*HSCEI!$G$21/HSCEI!$B$3,""))</f>
        <v/>
      </c>
      <c r="DM174" s="110">
        <f>IF(AY174="","",IFERROR(AY174*HSCEI!$B$21*HSCEI!$G$21/HSCEI!$B$3,""))</f>
        <v/>
      </c>
      <c r="DN174" s="110">
        <f>IF(AZ174="","",IFERROR(AZ174*HSCEI!$B$21*HSCEI!$G$21/HSCEI!$B$3,""))</f>
        <v/>
      </c>
      <c r="DO174" s="110">
        <f>IF(BA174="","",IFERROR(BA174*HSCEI!$B$21*HSCEI!$G$21/HSCEI!$B$3,""))</f>
        <v/>
      </c>
      <c r="DP174" s="110">
        <f>IF(BB174="","",IFERROR(BB174*HSCEI!$B$21*HSCEI!$G$21/HSCEI!$B$3,""))</f>
        <v/>
      </c>
      <c r="DQ174" s="110">
        <f>IF(BC174="","",IFERROR(BC174*HSCEI!$B$21*HSCEI!$G$21/HSCEI!$B$3,""))</f>
        <v/>
      </c>
      <c r="DR174" s="110">
        <f>IF(BD174="","",IFERROR(BD174*HSCEI!$B$21*HSCEI!$G$21/HSCEI!$B$3,""))</f>
        <v/>
      </c>
      <c r="DS174" s="110">
        <f>IF(BE174="","",IFERROR(BE174*HSCEI!$B$21*HSCEI!$G$21/HSCEI!$B$3,""))</f>
        <v/>
      </c>
      <c r="DT174" s="110">
        <f>IF(BF174="","",IFERROR(BF174*HSCEI!$B$21*HSCEI!$G$21/HSCEI!$B$3,""))</f>
        <v/>
      </c>
      <c r="DU174" s="110">
        <f>IF(BG174="","",IFERROR(BG174*HSCEI!$B$21*HSCEI!$G$21/HSCEI!$B$3,""))</f>
        <v/>
      </c>
      <c r="DV174" s="110">
        <f>IF(BH174="","",IFERROR(BH174*HSCEI!$B$21*HSCEI!$G$21/HSCEI!$B$3,""))</f>
        <v/>
      </c>
      <c r="DW174" s="110">
        <f>IF(BI174="","",IFERROR(BI174*HSCEI!$B$21*HSCEI!$G$21/HSCEI!$B$3,""))</f>
        <v/>
      </c>
      <c r="DX174" s="110">
        <f>IF(BJ174="","",IFERROR(BJ174*HSCEI!$B$21*HSCEI!$G$21/HSCEI!$B$3,""))</f>
        <v/>
      </c>
      <c r="DY174" s="110">
        <f>IF(BK174="","",IFERROR(BK174*HSCEI!$B$21*HSCEI!$G$21/HSCEI!$B$3,""))</f>
        <v/>
      </c>
      <c r="DZ174" s="110">
        <f>IF(BL174="","",IFERROR(BL174*HSCEI!$B$21*HSCEI!$G$21/HSCEI!$B$3,""))</f>
        <v/>
      </c>
      <c r="EA174" s="110">
        <f>IF(BM174="","",IFERROR(BM174*HSCEI!$B$21*HSCEI!$G$21/HSCEI!$B$3,""))</f>
        <v/>
      </c>
      <c r="EB174" s="110">
        <f>IF(BN174="","",IFERROR(BN174*HSCEI!$B$21*HSCEI!$G$21/HSCEI!$B$3,""))</f>
        <v/>
      </c>
      <c r="EC174" s="110">
        <f>IF(BO174="","",IFERROR(BO174*HSCEI!$B$21*HSCEI!$G$21/HSCEI!$B$3,""))</f>
        <v/>
      </c>
      <c r="EE174" s="39">
        <f>IF(N('Dvd Calendar'!$E$1715)=0,"",IF(('Dvd Calendar'!$E$1715&gt;=GRID_FROM)*('Dvd Calendar'!$E$1715&lt;=GRID_TO)*((('Dvd Calendar'!$E$1715&lt;=VAL_DATE)+(COUNTIF('Dvd Calendar'!$E$1722:$AR$1722,'Dvd Calendar'!$E$1715)=0))&gt;0)=0,"",'Dvd Calendar'!$E$1715*1000000000+ISNUMBER('Dvd Calendar'!$E$1718)*100000000+('Dvd Calendar'!$E$1720=SPECIAL_LBL)*10000000+(N('Dvd Calendar'!$E$1714)&gt;0)*(N('Dvd Calendar'!$E$1714)&lt;=VAL_SERIAL)*1000000+15*1000+1))</f>
        <v/>
      </c>
      <c r="EF174" s="39">
        <f>IF(N('Dvd Calendar'!$F$1715)=0,"",IF(('Dvd Calendar'!$F$1715&gt;=GRID_FROM)*('Dvd Calendar'!$F$1715&lt;=GRID_TO)*((('Dvd Calendar'!$F$1715&lt;=VAL_DATE)+(COUNTIF('Dvd Calendar'!$E$1722:$AR$1722,'Dvd Calendar'!$F$1715)=0))&gt;0)=0,"",'Dvd Calendar'!$F$1715*1000000000+ISNUMBER('Dvd Calendar'!$F$1718)*100000000+('Dvd Calendar'!$F$1720=SPECIAL_LBL)*10000000+(N('Dvd Calendar'!$F$1714)&gt;0)*(N('Dvd Calendar'!$F$1714)&lt;=VAL_SERIAL)*1000000+15*1000+2))</f>
        <v/>
      </c>
      <c r="EG174" s="39">
        <f>IF(N('Dvd Calendar'!$G$1715)=0,"",IF(('Dvd Calendar'!$G$1715&gt;=GRID_FROM)*('Dvd Calendar'!$G$1715&lt;=GRID_TO)*((('Dvd Calendar'!$G$1715&lt;=VAL_DATE)+(COUNTIF('Dvd Calendar'!$E$1722:$AR$1722,'Dvd Calendar'!$G$1715)=0))&gt;0)=0,"",'Dvd Calendar'!$G$1715*1000000000+ISNUMBER('Dvd Calendar'!$G$1718)*100000000+('Dvd Calendar'!$G$1720=SPECIAL_LBL)*10000000+(N('Dvd Calendar'!$G$1714)&gt;0)*(N('Dvd Calendar'!$G$1714)&lt;=VAL_SERIAL)*1000000+15*1000+3))</f>
        <v/>
      </c>
      <c r="EH174" s="39">
        <f>IF(N('Dvd Calendar'!$H$1715)=0,"",IF(('Dvd Calendar'!$H$1715&gt;=GRID_FROM)*('Dvd Calendar'!$H$1715&lt;=GRID_TO)*((('Dvd Calendar'!$H$1715&lt;=VAL_DATE)+(COUNTIF('Dvd Calendar'!$E$1722:$AR$1722,'Dvd Calendar'!$H$1715)=0))&gt;0)=0,"",'Dvd Calendar'!$H$1715*1000000000+ISNUMBER('Dvd Calendar'!$H$1718)*100000000+('Dvd Calendar'!$H$1720=SPECIAL_LBL)*10000000+(N('Dvd Calendar'!$H$1714)&gt;0)*(N('Dvd Calendar'!$H$1714)&lt;=VAL_SERIAL)*1000000+15*1000+4))</f>
        <v/>
      </c>
      <c r="EI174" s="39">
        <f>IF(N('Dvd Calendar'!$I$1715)=0,"",IF(('Dvd Calendar'!$I$1715&gt;=GRID_FROM)*('Dvd Calendar'!$I$1715&lt;=GRID_TO)*((('Dvd Calendar'!$I$1715&lt;=VAL_DATE)+(COUNTIF('Dvd Calendar'!$E$1722:$AR$1722,'Dvd Calendar'!$I$1715)=0))&gt;0)=0,"",'Dvd Calendar'!$I$1715*1000000000+ISNUMBER('Dvd Calendar'!$I$1718)*100000000+('Dvd Calendar'!$I$1720=SPECIAL_LBL)*10000000+(N('Dvd Calendar'!$I$1714)&gt;0)*(N('Dvd Calendar'!$I$1714)&lt;=VAL_SERIAL)*1000000+15*1000+5))</f>
        <v/>
      </c>
      <c r="EJ174" s="39">
        <f>IF(N('Dvd Calendar'!$J$1715)=0,"",IF(('Dvd Calendar'!$J$1715&gt;=GRID_FROM)*('Dvd Calendar'!$J$1715&lt;=GRID_TO)*((('Dvd Calendar'!$J$1715&lt;=VAL_DATE)+(COUNTIF('Dvd Calendar'!$E$1722:$AR$1722,'Dvd Calendar'!$J$1715)=0))&gt;0)=0,"",'Dvd Calendar'!$J$1715*1000000000+ISNUMBER('Dvd Calendar'!$J$1718)*100000000+('Dvd Calendar'!$J$1720=SPECIAL_LBL)*10000000+(N('Dvd Calendar'!$J$1714)&gt;0)*(N('Dvd Calendar'!$J$1714)&lt;=VAL_SERIAL)*1000000+15*1000+6))</f>
        <v/>
      </c>
      <c r="EK174" s="39">
        <f>IF(N('Dvd Calendar'!$K$1715)=0,"",IF(('Dvd Calendar'!$K$1715&gt;=GRID_FROM)*('Dvd Calendar'!$K$1715&lt;=GRID_TO)*((('Dvd Calendar'!$K$1715&lt;=VAL_DATE)+(COUNTIF('Dvd Calendar'!$E$1722:$AR$1722,'Dvd Calendar'!$K$1715)=0))&gt;0)=0,"",'Dvd Calendar'!$K$1715*1000000000+ISNUMBER('Dvd Calendar'!$K$1718)*100000000+('Dvd Calendar'!$K$1720=SPECIAL_LBL)*10000000+(N('Dvd Calendar'!$K$1714)&gt;0)*(N('Dvd Calendar'!$K$1714)&lt;=VAL_SERIAL)*1000000+15*1000+7))</f>
        <v/>
      </c>
      <c r="EL174" s="39">
        <f>IF(N('Dvd Calendar'!$L$1715)=0,"",IF(('Dvd Calendar'!$L$1715&gt;=GRID_FROM)*('Dvd Calendar'!$L$1715&lt;=GRID_TO)*((('Dvd Calendar'!$L$1715&lt;=VAL_DATE)+(COUNTIF('Dvd Calendar'!$E$1722:$AR$1722,'Dvd Calendar'!$L$1715)=0))&gt;0)=0,"",'Dvd Calendar'!$L$1715*1000000000+ISNUMBER('Dvd Calendar'!$L$1718)*100000000+('Dvd Calendar'!$L$1720=SPECIAL_LBL)*10000000+(N('Dvd Calendar'!$L$1714)&gt;0)*(N('Dvd Calendar'!$L$1714)&lt;=VAL_SERIAL)*1000000+15*1000+8))</f>
        <v/>
      </c>
      <c r="EM174" s="39">
        <f>IF(N('Dvd Calendar'!$M$1715)=0,"",IF(('Dvd Calendar'!$M$1715&gt;=GRID_FROM)*('Dvd Calendar'!$M$1715&lt;=GRID_TO)*((('Dvd Calendar'!$M$1715&lt;=VAL_DATE)+(COUNTIF('Dvd Calendar'!$E$1722:$AR$1722,'Dvd Calendar'!$M$1715)=0))&gt;0)=0,"",'Dvd Calendar'!$M$1715*1000000000+ISNUMBER('Dvd Calendar'!$M$1718)*100000000+('Dvd Calendar'!$M$1720=SPECIAL_LBL)*10000000+(N('Dvd Calendar'!$M$1714)&gt;0)*(N('Dvd Calendar'!$M$1714)&lt;=VAL_SERIAL)*1000000+15*1000+9))</f>
        <v/>
      </c>
      <c r="EN174" s="39">
        <f>IF(N('Dvd Calendar'!$N$1715)=0,"",IF(('Dvd Calendar'!$N$1715&gt;=GRID_FROM)*('Dvd Calendar'!$N$1715&lt;=GRID_TO)*((('Dvd Calendar'!$N$1715&lt;=VAL_DATE)+(COUNTIF('Dvd Calendar'!$E$1722:$AR$1722,'Dvd Calendar'!$N$1715)=0))&gt;0)=0,"",'Dvd Calendar'!$N$1715*1000000000+ISNUMBER('Dvd Calendar'!$N$1718)*100000000+('Dvd Calendar'!$N$1720=SPECIAL_LBL)*10000000+(N('Dvd Calendar'!$N$1714)&gt;0)*(N('Dvd Calendar'!$N$1714)&lt;=VAL_SERIAL)*1000000+15*1000+10))</f>
        <v/>
      </c>
      <c r="EO174" s="39">
        <f>IF(N('Dvd Calendar'!$O$1715)=0,"",IF(('Dvd Calendar'!$O$1715&gt;=GRID_FROM)*('Dvd Calendar'!$O$1715&lt;=GRID_TO)*((('Dvd Calendar'!$O$1715&lt;=VAL_DATE)+(COUNTIF('Dvd Calendar'!$E$1722:$AR$1722,'Dvd Calendar'!$O$1715)=0))&gt;0)=0,"",'Dvd Calendar'!$O$1715*1000000000+ISNUMBER('Dvd Calendar'!$O$1718)*100000000+('Dvd Calendar'!$O$1720=SPECIAL_LBL)*10000000+(N('Dvd Calendar'!$O$1714)&gt;0)*(N('Dvd Calendar'!$O$1714)&lt;=VAL_SERIAL)*1000000+15*1000+11))</f>
        <v/>
      </c>
      <c r="EP174" s="39">
        <f>IF(N('Dvd Calendar'!$P$1715)=0,"",IF(('Dvd Calendar'!$P$1715&gt;=GRID_FROM)*('Dvd Calendar'!$P$1715&lt;=GRID_TO)*((('Dvd Calendar'!$P$1715&lt;=VAL_DATE)+(COUNTIF('Dvd Calendar'!$E$1722:$AR$1722,'Dvd Calendar'!$P$1715)=0))&gt;0)=0,"",'Dvd Calendar'!$P$1715*1000000000+ISNUMBER('Dvd Calendar'!$P$1718)*100000000+('Dvd Calendar'!$P$1720=SPECIAL_LBL)*10000000+(N('Dvd Calendar'!$P$1714)&gt;0)*(N('Dvd Calendar'!$P$1714)&lt;=VAL_SERIAL)*1000000+15*1000+12))</f>
        <v/>
      </c>
      <c r="EQ174" s="39">
        <f>IF(N('Dvd Calendar'!$Q$1715)=0,"",IF(('Dvd Calendar'!$Q$1715&gt;=GRID_FROM)*('Dvd Calendar'!$Q$1715&lt;=GRID_TO)*((('Dvd Calendar'!$Q$1715&lt;=VAL_DATE)+(COUNTIF('Dvd Calendar'!$E$1722:$AR$1722,'Dvd Calendar'!$Q$1715)=0))&gt;0)=0,"",'Dvd Calendar'!$Q$1715*1000000000+ISNUMBER('Dvd Calendar'!$Q$1718)*100000000+('Dvd Calendar'!$Q$1720=SPECIAL_LBL)*10000000+(N('Dvd Calendar'!$Q$1714)&gt;0)*(N('Dvd Calendar'!$Q$1714)&lt;=VAL_SERIAL)*1000000+15*1000+13))</f>
        <v/>
      </c>
      <c r="ER174" s="39">
        <f>IF(N('Dvd Calendar'!$R$1715)=0,"",IF(('Dvd Calendar'!$R$1715&gt;=GRID_FROM)*('Dvd Calendar'!$R$1715&lt;=GRID_TO)*((('Dvd Calendar'!$R$1715&lt;=VAL_DATE)+(COUNTIF('Dvd Calendar'!$E$1722:$AR$1722,'Dvd Calendar'!$R$1715)=0))&gt;0)=0,"",'Dvd Calendar'!$R$1715*1000000000+ISNUMBER('Dvd Calendar'!$R$1718)*100000000+('Dvd Calendar'!$R$1720=SPECIAL_LBL)*10000000+(N('Dvd Calendar'!$R$1714)&gt;0)*(N('Dvd Calendar'!$R$1714)&lt;=VAL_SERIAL)*1000000+15*1000+14))</f>
        <v/>
      </c>
      <c r="ES174" s="39">
        <f>IF(N('Dvd Calendar'!$S$1715)=0,"",IF(('Dvd Calendar'!$S$1715&gt;=GRID_FROM)*('Dvd Calendar'!$S$1715&lt;=GRID_TO)*((('Dvd Calendar'!$S$1715&lt;=VAL_DATE)+(COUNTIF('Dvd Calendar'!$E$1722:$AR$1722,'Dvd Calendar'!$S$1715)=0))&gt;0)=0,"",'Dvd Calendar'!$S$1715*1000000000+ISNUMBER('Dvd Calendar'!$S$1718)*100000000+('Dvd Calendar'!$S$1720=SPECIAL_LBL)*10000000+(N('Dvd Calendar'!$S$1714)&gt;0)*(N('Dvd Calendar'!$S$1714)&lt;=VAL_SERIAL)*1000000+15*1000+15))</f>
        <v/>
      </c>
      <c r="ET174" s="39">
        <f>IF(N('Dvd Calendar'!$T$1715)=0,"",IF(('Dvd Calendar'!$T$1715&gt;=GRID_FROM)*('Dvd Calendar'!$T$1715&lt;=GRID_TO)*((('Dvd Calendar'!$T$1715&lt;=VAL_DATE)+(COUNTIF('Dvd Calendar'!$E$1722:$AR$1722,'Dvd Calendar'!$T$1715)=0))&gt;0)=0,"",'Dvd Calendar'!$T$1715*1000000000+ISNUMBER('Dvd Calendar'!$T$1718)*100000000+('Dvd Calendar'!$T$1720=SPECIAL_LBL)*10000000+(N('Dvd Calendar'!$T$1714)&gt;0)*(N('Dvd Calendar'!$T$1714)&lt;=VAL_SERIAL)*1000000+15*1000+16))</f>
        <v/>
      </c>
      <c r="EU174" s="39">
        <f>IF(N('Dvd Calendar'!$U$1715)=0,"",IF(('Dvd Calendar'!$U$1715&gt;=GRID_FROM)*('Dvd Calendar'!$U$1715&lt;=GRID_TO)*((('Dvd Calendar'!$U$1715&lt;=VAL_DATE)+(COUNTIF('Dvd Calendar'!$E$1722:$AR$1722,'Dvd Calendar'!$U$1715)=0))&gt;0)=0,"",'Dvd Calendar'!$U$1715*1000000000+ISNUMBER('Dvd Calendar'!$U$1718)*100000000+('Dvd Calendar'!$U$1720=SPECIAL_LBL)*10000000+(N('Dvd Calendar'!$U$1714)&gt;0)*(N('Dvd Calendar'!$U$1714)&lt;=VAL_SERIAL)*1000000+15*1000+17))</f>
        <v/>
      </c>
      <c r="EV174" s="39">
        <f>IF(N('Dvd Calendar'!$V$1715)=0,"",IF(('Dvd Calendar'!$V$1715&gt;=GRID_FROM)*('Dvd Calendar'!$V$1715&lt;=GRID_TO)*((('Dvd Calendar'!$V$1715&lt;=VAL_DATE)+(COUNTIF('Dvd Calendar'!$E$1722:$AR$1722,'Dvd Calendar'!$V$1715)=0))&gt;0)=0,"",'Dvd Calendar'!$V$1715*1000000000+ISNUMBER('Dvd Calendar'!$V$1718)*100000000+('Dvd Calendar'!$V$1720=SPECIAL_LBL)*10000000+(N('Dvd Calendar'!$V$1714)&gt;0)*(N('Dvd Calendar'!$V$1714)&lt;=VAL_SERIAL)*1000000+15*1000+18))</f>
        <v/>
      </c>
      <c r="EW174" s="39">
        <f>IF(N('Dvd Calendar'!$W$1715)=0,"",IF(('Dvd Calendar'!$W$1715&gt;=GRID_FROM)*('Dvd Calendar'!$W$1715&lt;=GRID_TO)*((('Dvd Calendar'!$W$1715&lt;=VAL_DATE)+(COUNTIF('Dvd Calendar'!$E$1722:$AR$1722,'Dvd Calendar'!$W$1715)=0))&gt;0)=0,"",'Dvd Calendar'!$W$1715*1000000000+ISNUMBER('Dvd Calendar'!$W$1718)*100000000+('Dvd Calendar'!$W$1720=SPECIAL_LBL)*10000000+(N('Dvd Calendar'!$W$1714)&gt;0)*(N('Dvd Calendar'!$W$1714)&lt;=VAL_SERIAL)*1000000+15*1000+19))</f>
        <v/>
      </c>
      <c r="EX174" s="39">
        <f>IF(N('Dvd Calendar'!$X$1715)=0,"",IF(('Dvd Calendar'!$X$1715&gt;=GRID_FROM)*('Dvd Calendar'!$X$1715&lt;=GRID_TO)*((('Dvd Calendar'!$X$1715&lt;=VAL_DATE)+(COUNTIF('Dvd Calendar'!$E$1722:$AR$1722,'Dvd Calendar'!$X$1715)=0))&gt;0)=0,"",'Dvd Calendar'!$X$1715*1000000000+ISNUMBER('Dvd Calendar'!$X$1718)*100000000+('Dvd Calendar'!$X$1720=SPECIAL_LBL)*10000000+(N('Dvd Calendar'!$X$1714)&gt;0)*(N('Dvd Calendar'!$X$1714)&lt;=VAL_SERIAL)*1000000+15*1000+20))</f>
        <v/>
      </c>
      <c r="EY174" s="39">
        <f>IF(N('Dvd Calendar'!$Y$1715)=0,"",IF(('Dvd Calendar'!$Y$1715&gt;=GRID_FROM)*('Dvd Calendar'!$Y$1715&lt;=GRID_TO)*((('Dvd Calendar'!$Y$1715&lt;=VAL_DATE)+(COUNTIF('Dvd Calendar'!$E$1722:$AR$1722,'Dvd Calendar'!$Y$1715)=0))&gt;0)=0,"",'Dvd Calendar'!$Y$1715*1000000000+ISNUMBER('Dvd Calendar'!$Y$1718)*100000000+('Dvd Calendar'!$Y$1720=SPECIAL_LBL)*10000000+(N('Dvd Calendar'!$Y$1714)&gt;0)*(N('Dvd Calendar'!$Y$1714)&lt;=VAL_SERIAL)*1000000+15*1000+21))</f>
        <v/>
      </c>
      <c r="EZ174" s="39">
        <f>IF(N('Dvd Calendar'!$Z$1715)=0,"",IF(('Dvd Calendar'!$Z$1715&gt;=GRID_FROM)*('Dvd Calendar'!$Z$1715&lt;=GRID_TO)*((('Dvd Calendar'!$Z$1715&lt;=VAL_DATE)+(COUNTIF('Dvd Calendar'!$E$1722:$AR$1722,'Dvd Calendar'!$Z$1715)=0))&gt;0)=0,"",'Dvd Calendar'!$Z$1715*1000000000+ISNUMBER('Dvd Calendar'!$Z$1718)*100000000+('Dvd Calendar'!$Z$1720=SPECIAL_LBL)*10000000+(N('Dvd Calendar'!$Z$1714)&gt;0)*(N('Dvd Calendar'!$Z$1714)&lt;=VAL_SERIAL)*1000000+15*1000+22))</f>
        <v/>
      </c>
      <c r="FA174" s="39">
        <f>IF(N('Dvd Calendar'!$AA$1715)=0,"",IF(('Dvd Calendar'!$AA$1715&gt;=GRID_FROM)*('Dvd Calendar'!$AA$1715&lt;=GRID_TO)*((('Dvd Calendar'!$AA$1715&lt;=VAL_DATE)+(COUNTIF('Dvd Calendar'!$E$1722:$AR$1722,'Dvd Calendar'!$AA$1715)=0))&gt;0)=0,"",'Dvd Calendar'!$AA$1715*1000000000+ISNUMBER('Dvd Calendar'!$AA$1718)*100000000+('Dvd Calendar'!$AA$1720=SPECIAL_LBL)*10000000+(N('Dvd Calendar'!$AA$1714)&gt;0)*(N('Dvd Calendar'!$AA$1714)&lt;=VAL_SERIAL)*1000000+15*1000+23))</f>
        <v/>
      </c>
      <c r="FB174" s="39">
        <f>IF(N('Dvd Calendar'!$AB$1715)=0,"",IF(('Dvd Calendar'!$AB$1715&gt;=GRID_FROM)*('Dvd Calendar'!$AB$1715&lt;=GRID_TO)*((('Dvd Calendar'!$AB$1715&lt;=VAL_DATE)+(COUNTIF('Dvd Calendar'!$E$1722:$AR$1722,'Dvd Calendar'!$AB$1715)=0))&gt;0)=0,"",'Dvd Calendar'!$AB$1715*1000000000+ISNUMBER('Dvd Calendar'!$AB$1718)*100000000+('Dvd Calendar'!$AB$1720=SPECIAL_LBL)*10000000+(N('Dvd Calendar'!$AB$1714)&gt;0)*(N('Dvd Calendar'!$AB$1714)&lt;=VAL_SERIAL)*1000000+15*1000+24))</f>
        <v/>
      </c>
      <c r="FC174" s="39">
        <f>IF(N('Dvd Calendar'!$AC$1715)=0,"",IF(('Dvd Calendar'!$AC$1715&gt;=GRID_FROM)*('Dvd Calendar'!$AC$1715&lt;=GRID_TO)*((('Dvd Calendar'!$AC$1715&lt;=VAL_DATE)+(COUNTIF('Dvd Calendar'!$E$1722:$AR$1722,'Dvd Calendar'!$AC$1715)=0))&gt;0)=0,"",'Dvd Calendar'!$AC$1715*1000000000+ISNUMBER('Dvd Calendar'!$AC$1718)*100000000+('Dvd Calendar'!$AC$1720=SPECIAL_LBL)*10000000+(N('Dvd Calendar'!$AC$1714)&gt;0)*(N('Dvd Calendar'!$AC$1714)&lt;=VAL_SERIAL)*1000000+15*1000+25))</f>
        <v/>
      </c>
      <c r="FD174" s="39">
        <f>IF(N('Dvd Calendar'!$AD$1715)=0,"",IF(('Dvd Calendar'!$AD$1715&gt;=GRID_FROM)*('Dvd Calendar'!$AD$1715&lt;=GRID_TO)*((('Dvd Calendar'!$AD$1715&lt;=VAL_DATE)+(COUNTIF('Dvd Calendar'!$E$1722:$AR$1722,'Dvd Calendar'!$AD$1715)=0))&gt;0)=0,"",'Dvd Calendar'!$AD$1715*1000000000+ISNUMBER('Dvd Calendar'!$AD$1718)*100000000+('Dvd Calendar'!$AD$1720=SPECIAL_LBL)*10000000+(N('Dvd Calendar'!$AD$1714)&gt;0)*(N('Dvd Calendar'!$AD$1714)&lt;=VAL_SERIAL)*1000000+15*1000+26))</f>
        <v/>
      </c>
      <c r="FE174" s="39">
        <f>IF(N('Dvd Calendar'!$AE$1715)=0,"",IF(('Dvd Calendar'!$AE$1715&gt;=GRID_FROM)*('Dvd Calendar'!$AE$1715&lt;=GRID_TO)*((('Dvd Calendar'!$AE$1715&lt;=VAL_DATE)+(COUNTIF('Dvd Calendar'!$E$1722:$AR$1722,'Dvd Calendar'!$AE$1715)=0))&gt;0)=0,"",'Dvd Calendar'!$AE$1715*1000000000+ISNUMBER('Dvd Calendar'!$AE$1718)*100000000+('Dvd Calendar'!$AE$1720=SPECIAL_LBL)*10000000+(N('Dvd Calendar'!$AE$1714)&gt;0)*(N('Dvd Calendar'!$AE$1714)&lt;=VAL_SERIAL)*1000000+15*1000+27))</f>
        <v/>
      </c>
      <c r="FF174" s="39">
        <f>IF(N('Dvd Calendar'!$AF$1715)=0,"",IF(('Dvd Calendar'!$AF$1715&gt;=GRID_FROM)*('Dvd Calendar'!$AF$1715&lt;=GRID_TO)*((('Dvd Calendar'!$AF$1715&lt;=VAL_DATE)+(COUNTIF('Dvd Calendar'!$E$1722:$AR$1722,'Dvd Calendar'!$AF$1715)=0))&gt;0)=0,"",'Dvd Calendar'!$AF$1715*1000000000+ISNUMBER('Dvd Calendar'!$AF$1718)*100000000+('Dvd Calendar'!$AF$1720=SPECIAL_LBL)*10000000+(N('Dvd Calendar'!$AF$1714)&gt;0)*(N('Dvd Calendar'!$AF$1714)&lt;=VAL_SERIAL)*1000000+15*1000+28))</f>
        <v/>
      </c>
      <c r="FG174" s="39">
        <f>IF(N('Dvd Calendar'!$AG$1715)=0,"",IF(('Dvd Calendar'!$AG$1715&gt;=GRID_FROM)*('Dvd Calendar'!$AG$1715&lt;=GRID_TO)*((('Dvd Calendar'!$AG$1715&lt;=VAL_DATE)+(COUNTIF('Dvd Calendar'!$E$1722:$AR$1722,'Dvd Calendar'!$AG$1715)=0))&gt;0)=0,"",'Dvd Calendar'!$AG$1715*1000000000+ISNUMBER('Dvd Calendar'!$AG$1718)*100000000+('Dvd Calendar'!$AG$1720=SPECIAL_LBL)*10000000+(N('Dvd Calendar'!$AG$1714)&gt;0)*(N('Dvd Calendar'!$AG$1714)&lt;=VAL_SERIAL)*1000000+15*1000+29))</f>
        <v/>
      </c>
      <c r="FH174" s="39">
        <f>IF(N('Dvd Calendar'!$AH$1715)=0,"",IF(('Dvd Calendar'!$AH$1715&gt;=GRID_FROM)*('Dvd Calendar'!$AH$1715&lt;=GRID_TO)*((('Dvd Calendar'!$AH$1715&lt;=VAL_DATE)+(COUNTIF('Dvd Calendar'!$E$1722:$AR$1722,'Dvd Calendar'!$AH$1715)=0))&gt;0)=0,"",'Dvd Calendar'!$AH$1715*1000000000+ISNUMBER('Dvd Calendar'!$AH$1718)*100000000+('Dvd Calendar'!$AH$1720=SPECIAL_LBL)*10000000+(N('Dvd Calendar'!$AH$1714)&gt;0)*(N('Dvd Calendar'!$AH$1714)&lt;=VAL_SERIAL)*1000000+15*1000+30))</f>
        <v/>
      </c>
      <c r="FI174" s="39">
        <f>IF(N('Dvd Calendar'!$AI$1715)=0,"",IF(('Dvd Calendar'!$AI$1715&gt;=GRID_FROM)*('Dvd Calendar'!$AI$1715&lt;=GRID_TO)*((('Dvd Calendar'!$AI$1715&lt;=VAL_DATE)+(COUNTIF('Dvd Calendar'!$E$1722:$AR$1722,'Dvd Calendar'!$AI$1715)=0))&gt;0)=0,"",'Dvd Calendar'!$AI$1715*1000000000+ISNUMBER('Dvd Calendar'!$AI$1718)*100000000+('Dvd Calendar'!$AI$1720=SPECIAL_LBL)*10000000+(N('Dvd Calendar'!$AI$1714)&gt;0)*(N('Dvd Calendar'!$AI$1714)&lt;=VAL_SERIAL)*1000000+15*1000+31))</f>
        <v/>
      </c>
      <c r="FJ174" s="39">
        <f>IF(N('Dvd Calendar'!$AJ$1715)=0,"",IF(('Dvd Calendar'!$AJ$1715&gt;=GRID_FROM)*('Dvd Calendar'!$AJ$1715&lt;=GRID_TO)*((('Dvd Calendar'!$AJ$1715&lt;=VAL_DATE)+(COUNTIF('Dvd Calendar'!$E$1722:$AR$1722,'Dvd Calendar'!$AJ$1715)=0))&gt;0)=0,"",'Dvd Calendar'!$AJ$1715*1000000000+ISNUMBER('Dvd Calendar'!$AJ$1718)*100000000+('Dvd Calendar'!$AJ$1720=SPECIAL_LBL)*10000000+(N('Dvd Calendar'!$AJ$1714)&gt;0)*(N('Dvd Calendar'!$AJ$1714)&lt;=VAL_SERIAL)*1000000+15*1000+32))</f>
        <v/>
      </c>
      <c r="FK174" s="39">
        <f>IF(N('Dvd Calendar'!$AK$1715)=0,"",IF(('Dvd Calendar'!$AK$1715&gt;=GRID_FROM)*('Dvd Calendar'!$AK$1715&lt;=GRID_TO)*((('Dvd Calendar'!$AK$1715&lt;=VAL_DATE)+(COUNTIF('Dvd Calendar'!$E$1722:$AR$1722,'Dvd Calendar'!$AK$1715)=0))&gt;0)=0,"",'Dvd Calendar'!$AK$1715*1000000000+ISNUMBER('Dvd Calendar'!$AK$1718)*100000000+('Dvd Calendar'!$AK$1720=SPECIAL_LBL)*10000000+(N('Dvd Calendar'!$AK$1714)&gt;0)*(N('Dvd Calendar'!$AK$1714)&lt;=VAL_SERIAL)*1000000+15*1000+33))</f>
        <v/>
      </c>
      <c r="FL174" s="39">
        <f>IF(N('Dvd Calendar'!$AL$1715)=0,"",IF(('Dvd Calendar'!$AL$1715&gt;=GRID_FROM)*('Dvd Calendar'!$AL$1715&lt;=GRID_TO)*((('Dvd Calendar'!$AL$1715&lt;=VAL_DATE)+(COUNTIF('Dvd Calendar'!$E$1722:$AR$1722,'Dvd Calendar'!$AL$1715)=0))&gt;0)=0,"",'Dvd Calendar'!$AL$1715*1000000000+ISNUMBER('Dvd Calendar'!$AL$1718)*100000000+('Dvd Calendar'!$AL$1720=SPECIAL_LBL)*10000000+(N('Dvd Calendar'!$AL$1714)&gt;0)*(N('Dvd Calendar'!$AL$1714)&lt;=VAL_SERIAL)*1000000+15*1000+34))</f>
        <v/>
      </c>
      <c r="FM174" s="39">
        <f>IF(N('Dvd Calendar'!$AM$1715)=0,"",IF(('Dvd Calendar'!$AM$1715&gt;=GRID_FROM)*('Dvd Calendar'!$AM$1715&lt;=GRID_TO)*((('Dvd Calendar'!$AM$1715&lt;=VAL_DATE)+(COUNTIF('Dvd Calendar'!$E$1722:$AR$1722,'Dvd Calendar'!$AM$1715)=0))&gt;0)=0,"",'Dvd Calendar'!$AM$1715*1000000000+ISNUMBER('Dvd Calendar'!$AM$1718)*100000000+('Dvd Calendar'!$AM$1720=SPECIAL_LBL)*10000000+(N('Dvd Calendar'!$AM$1714)&gt;0)*(N('Dvd Calendar'!$AM$1714)&lt;=VAL_SERIAL)*1000000+15*1000+35))</f>
        <v/>
      </c>
      <c r="FN174" s="39">
        <f>IF(N('Dvd Calendar'!$AN$1715)=0,"",IF(('Dvd Calendar'!$AN$1715&gt;=GRID_FROM)*('Dvd Calendar'!$AN$1715&lt;=GRID_TO)*((('Dvd Calendar'!$AN$1715&lt;=VAL_DATE)+(COUNTIF('Dvd Calendar'!$E$1722:$AR$1722,'Dvd Calendar'!$AN$1715)=0))&gt;0)=0,"",'Dvd Calendar'!$AN$1715*1000000000+ISNUMBER('Dvd Calendar'!$AN$1718)*100000000+('Dvd Calendar'!$AN$1720=SPECIAL_LBL)*10000000+(N('Dvd Calendar'!$AN$1714)&gt;0)*(N('Dvd Calendar'!$AN$1714)&lt;=VAL_SERIAL)*1000000+15*1000+36))</f>
        <v/>
      </c>
      <c r="FO174" s="39">
        <f>IF(N('Dvd Calendar'!$AO$1715)=0,"",IF(('Dvd Calendar'!$AO$1715&gt;=GRID_FROM)*('Dvd Calendar'!$AO$1715&lt;=GRID_TO)*((('Dvd Calendar'!$AO$1715&lt;=VAL_DATE)+(COUNTIF('Dvd Calendar'!$E$1722:$AR$1722,'Dvd Calendar'!$AO$1715)=0))&gt;0)=0,"",'Dvd Calendar'!$AO$1715*1000000000+ISNUMBER('Dvd Calendar'!$AO$1718)*100000000+('Dvd Calendar'!$AO$1720=SPECIAL_LBL)*10000000+(N('Dvd Calendar'!$AO$1714)&gt;0)*(N('Dvd Calendar'!$AO$1714)&lt;=VAL_SERIAL)*1000000+15*1000+37))</f>
        <v/>
      </c>
      <c r="FP174" s="39">
        <f>IF(N('Dvd Calendar'!$AP$1715)=0,"",IF(('Dvd Calendar'!$AP$1715&gt;=GRID_FROM)*('Dvd Calendar'!$AP$1715&lt;=GRID_TO)*((('Dvd Calendar'!$AP$1715&lt;=VAL_DATE)+(COUNTIF('Dvd Calendar'!$E$1722:$AR$1722,'Dvd Calendar'!$AP$1715)=0))&gt;0)=0,"",'Dvd Calendar'!$AP$1715*1000000000+ISNUMBER('Dvd Calendar'!$AP$1718)*100000000+('Dvd Calendar'!$AP$1720=SPECIAL_LBL)*10000000+(N('Dvd Calendar'!$AP$1714)&gt;0)*(N('Dvd Calendar'!$AP$1714)&lt;=VAL_SERIAL)*1000000+15*1000+38))</f>
        <v/>
      </c>
      <c r="FQ174" s="39">
        <f>IF(N('Dvd Calendar'!$AQ$1715)=0,"",IF(('Dvd Calendar'!$AQ$1715&gt;=GRID_FROM)*('Dvd Calendar'!$AQ$1715&lt;=GRID_TO)*((('Dvd Calendar'!$AQ$1715&lt;=VAL_DATE)+(COUNTIF('Dvd Calendar'!$E$1722:$AR$1722,'Dvd Calendar'!$AQ$1715)=0))&gt;0)=0,"",'Dvd Calendar'!$AQ$1715*1000000000+ISNUMBER('Dvd Calendar'!$AQ$1718)*100000000+('Dvd Calendar'!$AQ$1720=SPECIAL_LBL)*10000000+(N('Dvd Calendar'!$AQ$1714)&gt;0)*(N('Dvd Calendar'!$AQ$1714)&lt;=VAL_SERIAL)*1000000+15*1000+39))</f>
        <v/>
      </c>
      <c r="FR174" s="39">
        <f>IF(N('Dvd Calendar'!$AR$1715)=0,"",IF(('Dvd Calendar'!$AR$1715&gt;=GRID_FROM)*('Dvd Calendar'!$AR$1715&lt;=GRID_TO)*((('Dvd Calendar'!$AR$1715&lt;=VAL_DATE)+(COUNTIF('Dvd Calendar'!$E$1722:$AR$1722,'Dvd Calendar'!$AR$1715)=0))&gt;0)=0,"",'Dvd Calendar'!$AR$1715*1000000000+ISNUMBER('Dvd Calendar'!$AR$1718)*100000000+('Dvd Calendar'!$AR$1720=SPECIAL_LBL)*10000000+(N('Dvd Calendar'!$AR$1714)&gt;0)*(N('Dvd Calendar'!$AR$1714)&lt;=VAL_SERIAL)*1000000+15*1000+40))</f>
        <v/>
      </c>
      <c r="FS174" s="39">
        <f>IF(N('Dvd Calendar'!$E$1722)=0,"",IF(('Dvd Calendar'!$E$1722&gt;=GRID_FROM)*('Dvd Calendar'!$E$1722&lt;=GRID_TO)*('Dvd Calendar'!$E$1722&gt;VAL_DATE)=0,"",'Dvd Calendar'!$E$1722*1000000000+ISNUMBER('Dvd Calendar'!$E$1723)*100000000+0*10000000+(N('Dvd Calendar'!$E$1721)&gt;0)*(N('Dvd Calendar'!$E$1721)&lt;=VAL_SERIAL)*1000000+15*1000+41))</f>
        <v/>
      </c>
      <c r="FT174" s="39">
        <f>IF(N('Dvd Calendar'!$F$1722)=0,"",IF(('Dvd Calendar'!$F$1722&gt;=GRID_FROM)*('Dvd Calendar'!$F$1722&lt;=GRID_TO)*('Dvd Calendar'!$F$1722&gt;VAL_DATE)=0,"",'Dvd Calendar'!$F$1722*1000000000+ISNUMBER('Dvd Calendar'!$F$1723)*100000000+0*10000000+(N('Dvd Calendar'!$F$1721)&gt;0)*(N('Dvd Calendar'!$F$1721)&lt;=VAL_SERIAL)*1000000+15*1000+42))</f>
        <v/>
      </c>
      <c r="FU174" s="39">
        <f>IF(N('Dvd Calendar'!$G$1722)=0,"",IF(('Dvd Calendar'!$G$1722&gt;=GRID_FROM)*('Dvd Calendar'!$G$1722&lt;=GRID_TO)*('Dvd Calendar'!$G$1722&gt;VAL_DATE)=0,"",'Dvd Calendar'!$G$1722*1000000000+ISNUMBER('Dvd Calendar'!$G$1723)*100000000+0*10000000+(N('Dvd Calendar'!$G$1721)&gt;0)*(N('Dvd Calendar'!$G$1721)&lt;=VAL_SERIAL)*1000000+15*1000+43))</f>
        <v/>
      </c>
      <c r="FV174" s="39">
        <f>IF(N('Dvd Calendar'!$H$1722)=0,"",IF(('Dvd Calendar'!$H$1722&gt;=GRID_FROM)*('Dvd Calendar'!$H$1722&lt;=GRID_TO)*('Dvd Calendar'!$H$1722&gt;VAL_DATE)=0,"",'Dvd Calendar'!$H$1722*1000000000+ISNUMBER('Dvd Calendar'!$H$1723)*100000000+0*10000000+(N('Dvd Calendar'!$H$1721)&gt;0)*(N('Dvd Calendar'!$H$1721)&lt;=VAL_SERIAL)*1000000+15*1000+44))</f>
        <v/>
      </c>
      <c r="FW174" s="39">
        <f>IF(N('Dvd Calendar'!$I$1722)=0,"",IF(('Dvd Calendar'!$I$1722&gt;=GRID_FROM)*('Dvd Calendar'!$I$1722&lt;=GRID_TO)*('Dvd Calendar'!$I$1722&gt;VAL_DATE)=0,"",'Dvd Calendar'!$I$1722*1000000000+ISNUMBER('Dvd Calendar'!$I$1723)*100000000+0*10000000+(N('Dvd Calendar'!$I$1721)&gt;0)*(N('Dvd Calendar'!$I$1721)&lt;=VAL_SERIAL)*1000000+15*1000+45))</f>
        <v/>
      </c>
      <c r="FX174" s="39">
        <f>IF(N('Dvd Calendar'!$J$1722)=0,"",IF(('Dvd Calendar'!$J$1722&gt;=GRID_FROM)*('Dvd Calendar'!$J$1722&lt;=GRID_TO)*('Dvd Calendar'!$J$1722&gt;VAL_DATE)=0,"",'Dvd Calendar'!$J$1722*1000000000+ISNUMBER('Dvd Calendar'!$J$1723)*100000000+0*10000000+(N('Dvd Calendar'!$J$1721)&gt;0)*(N('Dvd Calendar'!$J$1721)&lt;=VAL_SERIAL)*1000000+15*1000+46))</f>
        <v/>
      </c>
      <c r="FY174" s="39">
        <f>IF(N('Dvd Calendar'!$K$1722)=0,"",IF(('Dvd Calendar'!$K$1722&gt;=GRID_FROM)*('Dvd Calendar'!$K$1722&lt;=GRID_TO)*('Dvd Calendar'!$K$1722&gt;VAL_DATE)=0,"",'Dvd Calendar'!$K$1722*1000000000+ISNUMBER('Dvd Calendar'!$K$1723)*100000000+0*10000000+(N('Dvd Calendar'!$K$1721)&gt;0)*(N('Dvd Calendar'!$K$1721)&lt;=VAL_SERIAL)*1000000+15*1000+47))</f>
        <v/>
      </c>
      <c r="FZ174" s="39">
        <f>IF(N('Dvd Calendar'!$L$1722)=0,"",IF(('Dvd Calendar'!$L$1722&gt;=GRID_FROM)*('Dvd Calendar'!$L$1722&lt;=GRID_TO)*('Dvd Calendar'!$L$1722&gt;VAL_DATE)=0,"",'Dvd Calendar'!$L$1722*1000000000+ISNUMBER('Dvd Calendar'!$L$1723)*100000000+0*10000000+(N('Dvd Calendar'!$L$1721)&gt;0)*(N('Dvd Calendar'!$L$1721)&lt;=VAL_SERIAL)*1000000+15*1000+48))</f>
        <v/>
      </c>
      <c r="GA174" s="39">
        <f>IF(N('Dvd Calendar'!$M$1722)=0,"",IF(('Dvd Calendar'!$M$1722&gt;=GRID_FROM)*('Dvd Calendar'!$M$1722&lt;=GRID_TO)*('Dvd Calendar'!$M$1722&gt;VAL_DATE)=0,"",'Dvd Calendar'!$M$1722*1000000000+ISNUMBER('Dvd Calendar'!$M$1723)*100000000+0*10000000+(N('Dvd Calendar'!$M$1721)&gt;0)*(N('Dvd Calendar'!$M$1721)&lt;=VAL_SERIAL)*1000000+15*1000+49))</f>
        <v/>
      </c>
      <c r="GB174" s="39">
        <f>IF(N('Dvd Calendar'!$N$1722)=0,"",IF(('Dvd Calendar'!$N$1722&gt;=GRID_FROM)*('Dvd Calendar'!$N$1722&lt;=GRID_TO)*('Dvd Calendar'!$N$1722&gt;VAL_DATE)=0,"",'Dvd Calendar'!$N$1722*1000000000+ISNUMBER('Dvd Calendar'!$N$1723)*100000000+0*10000000+(N('Dvd Calendar'!$N$1721)&gt;0)*(N('Dvd Calendar'!$N$1721)&lt;=VAL_SERIAL)*1000000+15*1000+50))</f>
        <v/>
      </c>
      <c r="GC174" s="39">
        <f>IF(N('Dvd Calendar'!$O$1722)=0,"",IF(('Dvd Calendar'!$O$1722&gt;=GRID_FROM)*('Dvd Calendar'!$O$1722&lt;=GRID_TO)*('Dvd Calendar'!$O$1722&gt;VAL_DATE)=0,"",'Dvd Calendar'!$O$1722*1000000000+ISNUMBER('Dvd Calendar'!$O$1723)*100000000+0*10000000+(N('Dvd Calendar'!$O$1721)&gt;0)*(N('Dvd Calendar'!$O$1721)&lt;=VAL_SERIAL)*1000000+15*1000+51))</f>
        <v/>
      </c>
      <c r="GD174" s="39">
        <f>IF(N('Dvd Calendar'!$P$1722)=0,"",IF(('Dvd Calendar'!$P$1722&gt;=GRID_FROM)*('Dvd Calendar'!$P$1722&lt;=GRID_TO)*('Dvd Calendar'!$P$1722&gt;VAL_DATE)=0,"",'Dvd Calendar'!$P$1722*1000000000+ISNUMBER('Dvd Calendar'!$P$1723)*100000000+0*10000000+(N('Dvd Calendar'!$P$1721)&gt;0)*(N('Dvd Calendar'!$P$1721)&lt;=VAL_SERIAL)*1000000+15*1000+52))</f>
        <v/>
      </c>
      <c r="GE174" s="39">
        <f>IF(N('Dvd Calendar'!$Q$1722)=0,"",IF(('Dvd Calendar'!$Q$1722&gt;=GRID_FROM)*('Dvd Calendar'!$Q$1722&lt;=GRID_TO)*('Dvd Calendar'!$Q$1722&gt;VAL_DATE)=0,"",'Dvd Calendar'!$Q$1722*1000000000+ISNUMBER('Dvd Calendar'!$Q$1723)*100000000+0*10000000+(N('Dvd Calendar'!$Q$1721)&gt;0)*(N('Dvd Calendar'!$Q$1721)&lt;=VAL_SERIAL)*1000000+15*1000+53))</f>
        <v/>
      </c>
      <c r="GF174" s="39">
        <f>IF(N('Dvd Calendar'!$R$1722)=0,"",IF(('Dvd Calendar'!$R$1722&gt;=GRID_FROM)*('Dvd Calendar'!$R$1722&lt;=GRID_TO)*('Dvd Calendar'!$R$1722&gt;VAL_DATE)=0,"",'Dvd Calendar'!$R$1722*1000000000+ISNUMBER('Dvd Calendar'!$R$1723)*100000000+0*10000000+(N('Dvd Calendar'!$R$1721)&gt;0)*(N('Dvd Calendar'!$R$1721)&lt;=VAL_SERIAL)*1000000+15*1000+54))</f>
        <v/>
      </c>
      <c r="GG174" s="39">
        <f>IF(N('Dvd Calendar'!$S$1722)=0,"",IF(('Dvd Calendar'!$S$1722&gt;=GRID_FROM)*('Dvd Calendar'!$S$1722&lt;=GRID_TO)*('Dvd Calendar'!$S$1722&gt;VAL_DATE)=0,"",'Dvd Calendar'!$S$1722*1000000000+ISNUMBER('Dvd Calendar'!$S$1723)*100000000+0*10000000+(N('Dvd Calendar'!$S$1721)&gt;0)*(N('Dvd Calendar'!$S$1721)&lt;=VAL_SERIAL)*1000000+15*1000+55))</f>
        <v/>
      </c>
      <c r="GH174" s="39">
        <f>IF(N('Dvd Calendar'!$T$1722)=0,"",IF(('Dvd Calendar'!$T$1722&gt;=GRID_FROM)*('Dvd Calendar'!$T$1722&lt;=GRID_TO)*('Dvd Calendar'!$T$1722&gt;VAL_DATE)=0,"",'Dvd Calendar'!$T$1722*1000000000+ISNUMBER('Dvd Calendar'!$T$1723)*100000000+0*10000000+(N('Dvd Calendar'!$T$1721)&gt;0)*(N('Dvd Calendar'!$T$1721)&lt;=VAL_SERIAL)*1000000+15*1000+56))</f>
        <v/>
      </c>
      <c r="GI174" s="39">
        <f>IF(N('Dvd Calendar'!$U$1722)=0,"",IF(('Dvd Calendar'!$U$1722&gt;=GRID_FROM)*('Dvd Calendar'!$U$1722&lt;=GRID_TO)*('Dvd Calendar'!$U$1722&gt;VAL_DATE)=0,"",'Dvd Calendar'!$U$1722*1000000000+ISNUMBER('Dvd Calendar'!$U$1723)*100000000+0*10000000+(N('Dvd Calendar'!$U$1721)&gt;0)*(N('Dvd Calendar'!$U$1721)&lt;=VAL_SERIAL)*1000000+15*1000+57))</f>
        <v/>
      </c>
      <c r="GJ174" s="39">
        <f>IF(N('Dvd Calendar'!$V$1722)=0,"",IF(('Dvd Calendar'!$V$1722&gt;=GRID_FROM)*('Dvd Calendar'!$V$1722&lt;=GRID_TO)*('Dvd Calendar'!$V$1722&gt;VAL_DATE)=0,"",'Dvd Calendar'!$V$1722*1000000000+ISNUMBER('Dvd Calendar'!$V$1723)*100000000+0*10000000+(N('Dvd Calendar'!$V$1721)&gt;0)*(N('Dvd Calendar'!$V$1721)&lt;=VAL_SERIAL)*1000000+15*1000+58))</f>
        <v/>
      </c>
      <c r="GK174" s="39">
        <f>IF(N('Dvd Calendar'!$W$1722)=0,"",IF(('Dvd Calendar'!$W$1722&gt;=GRID_FROM)*('Dvd Calendar'!$W$1722&lt;=GRID_TO)*('Dvd Calendar'!$W$1722&gt;VAL_DATE)=0,"",'Dvd Calendar'!$W$1722*1000000000+ISNUMBER('Dvd Calendar'!$W$1723)*100000000+0*10000000+(N('Dvd Calendar'!$W$1721)&gt;0)*(N('Dvd Calendar'!$W$1721)&lt;=VAL_SERIAL)*1000000+15*1000+59))</f>
        <v/>
      </c>
      <c r="GL174" s="39">
        <f>IF(N('Dvd Calendar'!$X$1722)=0,"",IF(('Dvd Calendar'!$X$1722&gt;=GRID_FROM)*('Dvd Calendar'!$X$1722&lt;=GRID_TO)*('Dvd Calendar'!$X$1722&gt;VAL_DATE)=0,"",'Dvd Calendar'!$X$1722*1000000000+ISNUMBER('Dvd Calendar'!$X$1723)*100000000+0*10000000+(N('Dvd Calendar'!$X$1721)&gt;0)*(N('Dvd Calendar'!$X$1721)&lt;=VAL_SERIAL)*1000000+15*1000+60))</f>
        <v/>
      </c>
      <c r="GM174" s="39">
        <f>IF(N('Dvd Calendar'!$Y$1722)=0,"",IF(('Dvd Calendar'!$Y$1722&gt;=GRID_FROM)*('Dvd Calendar'!$Y$1722&lt;=GRID_TO)*('Dvd Calendar'!$Y$1722&gt;VAL_DATE)=0,"",'Dvd Calendar'!$Y$1722*1000000000+ISNUMBER('Dvd Calendar'!$Y$1723)*100000000+0*10000000+(N('Dvd Calendar'!$Y$1721)&gt;0)*(N('Dvd Calendar'!$Y$1721)&lt;=VAL_SERIAL)*1000000+15*1000+61))</f>
        <v/>
      </c>
      <c r="GN174" s="39">
        <f>IF(N('Dvd Calendar'!$Z$1722)=0,"",IF(('Dvd Calendar'!$Z$1722&gt;=GRID_FROM)*('Dvd Calendar'!$Z$1722&lt;=GRID_TO)*('Dvd Calendar'!$Z$1722&gt;VAL_DATE)=0,"",'Dvd Calendar'!$Z$1722*1000000000+ISNUMBER('Dvd Calendar'!$Z$1723)*100000000+0*10000000+(N('Dvd Calendar'!$Z$1721)&gt;0)*(N('Dvd Calendar'!$Z$1721)&lt;=VAL_SERIAL)*1000000+15*1000+62))</f>
        <v/>
      </c>
      <c r="GO174" s="39">
        <f>IF(N('Dvd Calendar'!$AA$1722)=0,"",IF(('Dvd Calendar'!$AA$1722&gt;=GRID_FROM)*('Dvd Calendar'!$AA$1722&lt;=GRID_TO)*('Dvd Calendar'!$AA$1722&gt;VAL_DATE)=0,"",'Dvd Calendar'!$AA$1722*1000000000+ISNUMBER('Dvd Calendar'!$AA$1723)*100000000+0*10000000+(N('Dvd Calendar'!$AA$1721)&gt;0)*(N('Dvd Calendar'!$AA$1721)&lt;=VAL_SERIAL)*1000000+15*1000+63))</f>
        <v/>
      </c>
      <c r="GP174" s="39">
        <f>IF(N('Dvd Calendar'!$AB$1722)=0,"",IF(('Dvd Calendar'!$AB$1722&gt;=GRID_FROM)*('Dvd Calendar'!$AB$1722&lt;=GRID_TO)*('Dvd Calendar'!$AB$1722&gt;VAL_DATE)=0,"",'Dvd Calendar'!$AB$1722*1000000000+ISNUMBER('Dvd Calendar'!$AB$1723)*100000000+0*10000000+(N('Dvd Calendar'!$AB$1721)&gt;0)*(N('Dvd Calendar'!$AB$1721)&lt;=VAL_SERIAL)*1000000+15*1000+64))</f>
        <v/>
      </c>
      <c r="GQ174" s="39">
        <f>IF(N('Dvd Calendar'!$AC$1722)=0,"",IF(('Dvd Calendar'!$AC$1722&gt;=GRID_FROM)*('Dvd Calendar'!$AC$1722&lt;=GRID_TO)*('Dvd Calendar'!$AC$1722&gt;VAL_DATE)=0,"",'Dvd Calendar'!$AC$1722*1000000000+ISNUMBER('Dvd Calendar'!$AC$1723)*100000000+0*10000000+(N('Dvd Calendar'!$AC$1721)&gt;0)*(N('Dvd Calendar'!$AC$1721)&lt;=VAL_SERIAL)*1000000+15*1000+65))</f>
        <v/>
      </c>
    </row>
    <row r="175">
      <c r="B175" s="2">
        <f>IF(HSCEI!$C$22="","",HSCEI!$C$22)</f>
        <v/>
      </c>
      <c r="C175" s="110">
        <f>IF(EE175="","",IF(ISNUMBER('Dvd Calendar'!$E$1729)=FALSE,"",IF((('Dvd Calendar'!$E$1731=TYPE1)*(TYPE1&lt;&gt;"")+('Dvd Calendar'!$E$1731=TYPE2)*(TYPE2&lt;&gt;"")+('Dvd Calendar'!$E$1731=TYPE3)*(TYPE3&lt;&gt;"")+('Dvd Calendar'!$E$1731=TYPE4)*(TYPE4&lt;&gt;"")+('Dvd Calendar'!$E$1731=SPECIAL_LBL)*(INC_SPECIALS="Y"))=0,"",'Dvd Calendar'!$E$1729)))</f>
        <v/>
      </c>
      <c r="D175" s="110">
        <f>IF(EF175="","",IF(ISNUMBER('Dvd Calendar'!$F$1729)=FALSE,"",IF((('Dvd Calendar'!$F$1731=TYPE1)*(TYPE1&lt;&gt;"")+('Dvd Calendar'!$F$1731=TYPE2)*(TYPE2&lt;&gt;"")+('Dvd Calendar'!$F$1731=TYPE3)*(TYPE3&lt;&gt;"")+('Dvd Calendar'!$F$1731=TYPE4)*(TYPE4&lt;&gt;"")+('Dvd Calendar'!$F$1731=SPECIAL_LBL)*(INC_SPECIALS="Y"))=0,"",'Dvd Calendar'!$F$1729)))</f>
        <v/>
      </c>
      <c r="E175" s="110">
        <f>IF(EG175="","",IF(ISNUMBER('Dvd Calendar'!$G$1729)=FALSE,"",IF((('Dvd Calendar'!$G$1731=TYPE1)*(TYPE1&lt;&gt;"")+('Dvd Calendar'!$G$1731=TYPE2)*(TYPE2&lt;&gt;"")+('Dvd Calendar'!$G$1731=TYPE3)*(TYPE3&lt;&gt;"")+('Dvd Calendar'!$G$1731=TYPE4)*(TYPE4&lt;&gt;"")+('Dvd Calendar'!$G$1731=SPECIAL_LBL)*(INC_SPECIALS="Y"))=0,"",'Dvd Calendar'!$G$1729)))</f>
        <v/>
      </c>
      <c r="F175" s="110">
        <f>IF(EH175="","",IF(ISNUMBER('Dvd Calendar'!$H$1729)=FALSE,"",IF((('Dvd Calendar'!$H$1731=TYPE1)*(TYPE1&lt;&gt;"")+('Dvd Calendar'!$H$1731=TYPE2)*(TYPE2&lt;&gt;"")+('Dvd Calendar'!$H$1731=TYPE3)*(TYPE3&lt;&gt;"")+('Dvd Calendar'!$H$1731=TYPE4)*(TYPE4&lt;&gt;"")+('Dvd Calendar'!$H$1731=SPECIAL_LBL)*(INC_SPECIALS="Y"))=0,"",'Dvd Calendar'!$H$1729)))</f>
        <v/>
      </c>
      <c r="G175" s="110">
        <f>IF(EI175="","",IF(ISNUMBER('Dvd Calendar'!$I$1729)=FALSE,"",IF((('Dvd Calendar'!$I$1731=TYPE1)*(TYPE1&lt;&gt;"")+('Dvd Calendar'!$I$1731=TYPE2)*(TYPE2&lt;&gt;"")+('Dvd Calendar'!$I$1731=TYPE3)*(TYPE3&lt;&gt;"")+('Dvd Calendar'!$I$1731=TYPE4)*(TYPE4&lt;&gt;"")+('Dvd Calendar'!$I$1731=SPECIAL_LBL)*(INC_SPECIALS="Y"))=0,"",'Dvd Calendar'!$I$1729)))</f>
        <v/>
      </c>
      <c r="H175" s="110">
        <f>IF(EJ175="","",IF(ISNUMBER('Dvd Calendar'!$J$1729)=FALSE,"",IF((('Dvd Calendar'!$J$1731=TYPE1)*(TYPE1&lt;&gt;"")+('Dvd Calendar'!$J$1731=TYPE2)*(TYPE2&lt;&gt;"")+('Dvd Calendar'!$J$1731=TYPE3)*(TYPE3&lt;&gt;"")+('Dvd Calendar'!$J$1731=TYPE4)*(TYPE4&lt;&gt;"")+('Dvd Calendar'!$J$1731=SPECIAL_LBL)*(INC_SPECIALS="Y"))=0,"",'Dvd Calendar'!$J$1729)))</f>
        <v/>
      </c>
      <c r="I175" s="110">
        <f>IF(EK175="","",IF(ISNUMBER('Dvd Calendar'!$K$1729)=FALSE,"",IF((('Dvd Calendar'!$K$1731=TYPE1)*(TYPE1&lt;&gt;"")+('Dvd Calendar'!$K$1731=TYPE2)*(TYPE2&lt;&gt;"")+('Dvd Calendar'!$K$1731=TYPE3)*(TYPE3&lt;&gt;"")+('Dvd Calendar'!$K$1731=TYPE4)*(TYPE4&lt;&gt;"")+('Dvd Calendar'!$K$1731=SPECIAL_LBL)*(INC_SPECIALS="Y"))=0,"",'Dvd Calendar'!$K$1729)))</f>
        <v/>
      </c>
      <c r="J175" s="110">
        <f>IF(EL175="","",IF(ISNUMBER('Dvd Calendar'!$L$1729)=FALSE,"",IF((('Dvd Calendar'!$L$1731=TYPE1)*(TYPE1&lt;&gt;"")+('Dvd Calendar'!$L$1731=TYPE2)*(TYPE2&lt;&gt;"")+('Dvd Calendar'!$L$1731=TYPE3)*(TYPE3&lt;&gt;"")+('Dvd Calendar'!$L$1731=TYPE4)*(TYPE4&lt;&gt;"")+('Dvd Calendar'!$L$1731=SPECIAL_LBL)*(INC_SPECIALS="Y"))=0,"",'Dvd Calendar'!$L$1729)))</f>
        <v/>
      </c>
      <c r="K175" s="110">
        <f>IF(EM175="","",IF(ISNUMBER('Dvd Calendar'!$M$1729)=FALSE,"",IF((('Dvd Calendar'!$M$1731=TYPE1)*(TYPE1&lt;&gt;"")+('Dvd Calendar'!$M$1731=TYPE2)*(TYPE2&lt;&gt;"")+('Dvd Calendar'!$M$1731=TYPE3)*(TYPE3&lt;&gt;"")+('Dvd Calendar'!$M$1731=TYPE4)*(TYPE4&lt;&gt;"")+('Dvd Calendar'!$M$1731=SPECIAL_LBL)*(INC_SPECIALS="Y"))=0,"",'Dvd Calendar'!$M$1729)))</f>
        <v/>
      </c>
      <c r="L175" s="110">
        <f>IF(EN175="","",IF(ISNUMBER('Dvd Calendar'!$N$1729)=FALSE,"",IF((('Dvd Calendar'!$N$1731=TYPE1)*(TYPE1&lt;&gt;"")+('Dvd Calendar'!$N$1731=TYPE2)*(TYPE2&lt;&gt;"")+('Dvd Calendar'!$N$1731=TYPE3)*(TYPE3&lt;&gt;"")+('Dvd Calendar'!$N$1731=TYPE4)*(TYPE4&lt;&gt;"")+('Dvd Calendar'!$N$1731=SPECIAL_LBL)*(INC_SPECIALS="Y"))=0,"",'Dvd Calendar'!$N$1729)))</f>
        <v/>
      </c>
      <c r="M175" s="110">
        <f>IF(EO175="","",IF(ISNUMBER('Dvd Calendar'!$O$1729)=FALSE,"",IF((('Dvd Calendar'!$O$1731=TYPE1)*(TYPE1&lt;&gt;"")+('Dvd Calendar'!$O$1731=TYPE2)*(TYPE2&lt;&gt;"")+('Dvd Calendar'!$O$1731=TYPE3)*(TYPE3&lt;&gt;"")+('Dvd Calendar'!$O$1731=TYPE4)*(TYPE4&lt;&gt;"")+('Dvd Calendar'!$O$1731=SPECIAL_LBL)*(INC_SPECIALS="Y"))=0,"",'Dvd Calendar'!$O$1729)))</f>
        <v/>
      </c>
      <c r="N175" s="110">
        <f>IF(EP175="","",IF(ISNUMBER('Dvd Calendar'!$P$1729)=FALSE,"",IF((('Dvd Calendar'!$P$1731=TYPE1)*(TYPE1&lt;&gt;"")+('Dvd Calendar'!$P$1731=TYPE2)*(TYPE2&lt;&gt;"")+('Dvd Calendar'!$P$1731=TYPE3)*(TYPE3&lt;&gt;"")+('Dvd Calendar'!$P$1731=TYPE4)*(TYPE4&lt;&gt;"")+('Dvd Calendar'!$P$1731=SPECIAL_LBL)*(INC_SPECIALS="Y"))=0,"",'Dvd Calendar'!$P$1729)))</f>
        <v/>
      </c>
      <c r="O175" s="110">
        <f>IF(EQ175="","",IF(ISNUMBER('Dvd Calendar'!$Q$1729)=FALSE,"",IF((('Dvd Calendar'!$Q$1731=TYPE1)*(TYPE1&lt;&gt;"")+('Dvd Calendar'!$Q$1731=TYPE2)*(TYPE2&lt;&gt;"")+('Dvd Calendar'!$Q$1731=TYPE3)*(TYPE3&lt;&gt;"")+('Dvd Calendar'!$Q$1731=TYPE4)*(TYPE4&lt;&gt;"")+('Dvd Calendar'!$Q$1731=SPECIAL_LBL)*(INC_SPECIALS="Y"))=0,"",'Dvd Calendar'!$Q$1729)))</f>
        <v/>
      </c>
      <c r="P175" s="110">
        <f>IF(ER175="","",IF(ISNUMBER('Dvd Calendar'!$R$1729)=FALSE,"",IF((('Dvd Calendar'!$R$1731=TYPE1)*(TYPE1&lt;&gt;"")+('Dvd Calendar'!$R$1731=TYPE2)*(TYPE2&lt;&gt;"")+('Dvd Calendar'!$R$1731=TYPE3)*(TYPE3&lt;&gt;"")+('Dvd Calendar'!$R$1731=TYPE4)*(TYPE4&lt;&gt;"")+('Dvd Calendar'!$R$1731=SPECIAL_LBL)*(INC_SPECIALS="Y"))=0,"",'Dvd Calendar'!$R$1729)))</f>
        <v/>
      </c>
      <c r="Q175" s="110">
        <f>IF(ES175="","",IF(ISNUMBER('Dvd Calendar'!$S$1729)=FALSE,"",IF((('Dvd Calendar'!$S$1731=TYPE1)*(TYPE1&lt;&gt;"")+('Dvd Calendar'!$S$1731=TYPE2)*(TYPE2&lt;&gt;"")+('Dvd Calendar'!$S$1731=TYPE3)*(TYPE3&lt;&gt;"")+('Dvd Calendar'!$S$1731=TYPE4)*(TYPE4&lt;&gt;"")+('Dvd Calendar'!$S$1731=SPECIAL_LBL)*(INC_SPECIALS="Y"))=0,"",'Dvd Calendar'!$S$1729)))</f>
        <v/>
      </c>
      <c r="R175" s="110">
        <f>IF(ET175="","",IF(ISNUMBER('Dvd Calendar'!$T$1729)=FALSE,"",IF((('Dvd Calendar'!$T$1731=TYPE1)*(TYPE1&lt;&gt;"")+('Dvd Calendar'!$T$1731=TYPE2)*(TYPE2&lt;&gt;"")+('Dvd Calendar'!$T$1731=TYPE3)*(TYPE3&lt;&gt;"")+('Dvd Calendar'!$T$1731=TYPE4)*(TYPE4&lt;&gt;"")+('Dvd Calendar'!$T$1731=SPECIAL_LBL)*(INC_SPECIALS="Y"))=0,"",'Dvd Calendar'!$T$1729)))</f>
        <v/>
      </c>
      <c r="S175" s="110">
        <f>IF(EU175="","",IF(ISNUMBER('Dvd Calendar'!$U$1729)=FALSE,"",IF((('Dvd Calendar'!$U$1731=TYPE1)*(TYPE1&lt;&gt;"")+('Dvd Calendar'!$U$1731=TYPE2)*(TYPE2&lt;&gt;"")+('Dvd Calendar'!$U$1731=TYPE3)*(TYPE3&lt;&gt;"")+('Dvd Calendar'!$U$1731=TYPE4)*(TYPE4&lt;&gt;"")+('Dvd Calendar'!$U$1731=SPECIAL_LBL)*(INC_SPECIALS="Y"))=0,"",'Dvd Calendar'!$U$1729)))</f>
        <v/>
      </c>
      <c r="T175" s="110">
        <f>IF(EV175="","",IF(ISNUMBER('Dvd Calendar'!$V$1729)=FALSE,"",IF((('Dvd Calendar'!$V$1731=TYPE1)*(TYPE1&lt;&gt;"")+('Dvd Calendar'!$V$1731=TYPE2)*(TYPE2&lt;&gt;"")+('Dvd Calendar'!$V$1731=TYPE3)*(TYPE3&lt;&gt;"")+('Dvd Calendar'!$V$1731=TYPE4)*(TYPE4&lt;&gt;"")+('Dvd Calendar'!$V$1731=SPECIAL_LBL)*(INC_SPECIALS="Y"))=0,"",'Dvd Calendar'!$V$1729)))</f>
        <v/>
      </c>
      <c r="U175" s="110">
        <f>IF(EW175="","",IF(ISNUMBER('Dvd Calendar'!$W$1729)=FALSE,"",IF((('Dvd Calendar'!$W$1731=TYPE1)*(TYPE1&lt;&gt;"")+('Dvd Calendar'!$W$1731=TYPE2)*(TYPE2&lt;&gt;"")+('Dvd Calendar'!$W$1731=TYPE3)*(TYPE3&lt;&gt;"")+('Dvd Calendar'!$W$1731=TYPE4)*(TYPE4&lt;&gt;"")+('Dvd Calendar'!$W$1731=SPECIAL_LBL)*(INC_SPECIALS="Y"))=0,"",'Dvd Calendar'!$W$1729)))</f>
        <v/>
      </c>
      <c r="V175" s="110">
        <f>IF(EX175="","",IF(ISNUMBER('Dvd Calendar'!$X$1729)=FALSE,"",IF((('Dvd Calendar'!$X$1731=TYPE1)*(TYPE1&lt;&gt;"")+('Dvd Calendar'!$X$1731=TYPE2)*(TYPE2&lt;&gt;"")+('Dvd Calendar'!$X$1731=TYPE3)*(TYPE3&lt;&gt;"")+('Dvd Calendar'!$X$1731=TYPE4)*(TYPE4&lt;&gt;"")+('Dvd Calendar'!$X$1731=SPECIAL_LBL)*(INC_SPECIALS="Y"))=0,"",'Dvd Calendar'!$X$1729)))</f>
        <v/>
      </c>
      <c r="W175" s="110">
        <f>IF(EY175="","",IF(ISNUMBER('Dvd Calendar'!$Y$1729)=FALSE,"",IF((('Dvd Calendar'!$Y$1731=TYPE1)*(TYPE1&lt;&gt;"")+('Dvd Calendar'!$Y$1731=TYPE2)*(TYPE2&lt;&gt;"")+('Dvd Calendar'!$Y$1731=TYPE3)*(TYPE3&lt;&gt;"")+('Dvd Calendar'!$Y$1731=TYPE4)*(TYPE4&lt;&gt;"")+('Dvd Calendar'!$Y$1731=SPECIAL_LBL)*(INC_SPECIALS="Y"))=0,"",'Dvd Calendar'!$Y$1729)))</f>
        <v/>
      </c>
      <c r="X175" s="110">
        <f>IF(EZ175="","",IF(ISNUMBER('Dvd Calendar'!$Z$1729)=FALSE,"",IF((('Dvd Calendar'!$Z$1731=TYPE1)*(TYPE1&lt;&gt;"")+('Dvd Calendar'!$Z$1731=TYPE2)*(TYPE2&lt;&gt;"")+('Dvd Calendar'!$Z$1731=TYPE3)*(TYPE3&lt;&gt;"")+('Dvd Calendar'!$Z$1731=TYPE4)*(TYPE4&lt;&gt;"")+('Dvd Calendar'!$Z$1731=SPECIAL_LBL)*(INC_SPECIALS="Y"))=0,"",'Dvd Calendar'!$Z$1729)))</f>
        <v/>
      </c>
      <c r="Y175" s="110">
        <f>IF(FA175="","",IF(ISNUMBER('Dvd Calendar'!$AA$1729)=FALSE,"",IF((('Dvd Calendar'!$AA$1731=TYPE1)*(TYPE1&lt;&gt;"")+('Dvd Calendar'!$AA$1731=TYPE2)*(TYPE2&lt;&gt;"")+('Dvd Calendar'!$AA$1731=TYPE3)*(TYPE3&lt;&gt;"")+('Dvd Calendar'!$AA$1731=TYPE4)*(TYPE4&lt;&gt;"")+('Dvd Calendar'!$AA$1731=SPECIAL_LBL)*(INC_SPECIALS="Y"))=0,"",'Dvd Calendar'!$AA$1729)))</f>
        <v/>
      </c>
      <c r="Z175" s="110">
        <f>IF(FB175="","",IF(ISNUMBER('Dvd Calendar'!$AB$1729)=FALSE,"",IF((('Dvd Calendar'!$AB$1731=TYPE1)*(TYPE1&lt;&gt;"")+('Dvd Calendar'!$AB$1731=TYPE2)*(TYPE2&lt;&gt;"")+('Dvd Calendar'!$AB$1731=TYPE3)*(TYPE3&lt;&gt;"")+('Dvd Calendar'!$AB$1731=TYPE4)*(TYPE4&lt;&gt;"")+('Dvd Calendar'!$AB$1731=SPECIAL_LBL)*(INC_SPECIALS="Y"))=0,"",'Dvd Calendar'!$AB$1729)))</f>
        <v/>
      </c>
      <c r="AA175" s="110">
        <f>IF(FC175="","",IF(ISNUMBER('Dvd Calendar'!$AC$1729)=FALSE,"",IF((('Dvd Calendar'!$AC$1731=TYPE1)*(TYPE1&lt;&gt;"")+('Dvd Calendar'!$AC$1731=TYPE2)*(TYPE2&lt;&gt;"")+('Dvd Calendar'!$AC$1731=TYPE3)*(TYPE3&lt;&gt;"")+('Dvd Calendar'!$AC$1731=TYPE4)*(TYPE4&lt;&gt;"")+('Dvd Calendar'!$AC$1731=SPECIAL_LBL)*(INC_SPECIALS="Y"))=0,"",'Dvd Calendar'!$AC$1729)))</f>
        <v/>
      </c>
      <c r="AB175" s="110">
        <f>IF(FD175="","",IF(ISNUMBER('Dvd Calendar'!$AD$1729)=FALSE,"",IF((('Dvd Calendar'!$AD$1731=TYPE1)*(TYPE1&lt;&gt;"")+('Dvd Calendar'!$AD$1731=TYPE2)*(TYPE2&lt;&gt;"")+('Dvd Calendar'!$AD$1731=TYPE3)*(TYPE3&lt;&gt;"")+('Dvd Calendar'!$AD$1731=TYPE4)*(TYPE4&lt;&gt;"")+('Dvd Calendar'!$AD$1731=SPECIAL_LBL)*(INC_SPECIALS="Y"))=0,"",'Dvd Calendar'!$AD$1729)))</f>
        <v/>
      </c>
      <c r="AC175" s="110">
        <f>IF(FE175="","",IF(ISNUMBER('Dvd Calendar'!$AE$1729)=FALSE,"",IF((('Dvd Calendar'!$AE$1731=TYPE1)*(TYPE1&lt;&gt;"")+('Dvd Calendar'!$AE$1731=TYPE2)*(TYPE2&lt;&gt;"")+('Dvd Calendar'!$AE$1731=TYPE3)*(TYPE3&lt;&gt;"")+('Dvd Calendar'!$AE$1731=TYPE4)*(TYPE4&lt;&gt;"")+('Dvd Calendar'!$AE$1731=SPECIAL_LBL)*(INC_SPECIALS="Y"))=0,"",'Dvd Calendar'!$AE$1729)))</f>
        <v/>
      </c>
      <c r="AD175" s="110">
        <f>IF(FF175="","",IF(ISNUMBER('Dvd Calendar'!$AF$1729)=FALSE,"",IF((('Dvd Calendar'!$AF$1731=TYPE1)*(TYPE1&lt;&gt;"")+('Dvd Calendar'!$AF$1731=TYPE2)*(TYPE2&lt;&gt;"")+('Dvd Calendar'!$AF$1731=TYPE3)*(TYPE3&lt;&gt;"")+('Dvd Calendar'!$AF$1731=TYPE4)*(TYPE4&lt;&gt;"")+('Dvd Calendar'!$AF$1731=SPECIAL_LBL)*(INC_SPECIALS="Y"))=0,"",'Dvd Calendar'!$AF$1729)))</f>
        <v/>
      </c>
      <c r="AE175" s="110">
        <f>IF(FG175="","",IF(ISNUMBER('Dvd Calendar'!$AG$1729)=FALSE,"",IF((('Dvd Calendar'!$AG$1731=TYPE1)*(TYPE1&lt;&gt;"")+('Dvd Calendar'!$AG$1731=TYPE2)*(TYPE2&lt;&gt;"")+('Dvd Calendar'!$AG$1731=TYPE3)*(TYPE3&lt;&gt;"")+('Dvd Calendar'!$AG$1731=TYPE4)*(TYPE4&lt;&gt;"")+('Dvd Calendar'!$AG$1731=SPECIAL_LBL)*(INC_SPECIALS="Y"))=0,"",'Dvd Calendar'!$AG$1729)))</f>
        <v/>
      </c>
      <c r="AF175" s="110">
        <f>IF(FH175="","",IF(ISNUMBER('Dvd Calendar'!$AH$1729)=FALSE,"",IF((('Dvd Calendar'!$AH$1731=TYPE1)*(TYPE1&lt;&gt;"")+('Dvd Calendar'!$AH$1731=TYPE2)*(TYPE2&lt;&gt;"")+('Dvd Calendar'!$AH$1731=TYPE3)*(TYPE3&lt;&gt;"")+('Dvd Calendar'!$AH$1731=TYPE4)*(TYPE4&lt;&gt;"")+('Dvd Calendar'!$AH$1731=SPECIAL_LBL)*(INC_SPECIALS="Y"))=0,"",'Dvd Calendar'!$AH$1729)))</f>
        <v/>
      </c>
      <c r="AG175" s="110">
        <f>IF(FI175="","",IF(ISNUMBER('Dvd Calendar'!$AI$1729)=FALSE,"",IF((('Dvd Calendar'!$AI$1731=TYPE1)*(TYPE1&lt;&gt;"")+('Dvd Calendar'!$AI$1731=TYPE2)*(TYPE2&lt;&gt;"")+('Dvd Calendar'!$AI$1731=TYPE3)*(TYPE3&lt;&gt;"")+('Dvd Calendar'!$AI$1731=TYPE4)*(TYPE4&lt;&gt;"")+('Dvd Calendar'!$AI$1731=SPECIAL_LBL)*(INC_SPECIALS="Y"))=0,"",'Dvd Calendar'!$AI$1729)))</f>
        <v/>
      </c>
      <c r="AH175" s="110">
        <f>IF(FJ175="","",IF(ISNUMBER('Dvd Calendar'!$AJ$1729)=FALSE,"",IF((('Dvd Calendar'!$AJ$1731=TYPE1)*(TYPE1&lt;&gt;"")+('Dvd Calendar'!$AJ$1731=TYPE2)*(TYPE2&lt;&gt;"")+('Dvd Calendar'!$AJ$1731=TYPE3)*(TYPE3&lt;&gt;"")+('Dvd Calendar'!$AJ$1731=TYPE4)*(TYPE4&lt;&gt;"")+('Dvd Calendar'!$AJ$1731=SPECIAL_LBL)*(INC_SPECIALS="Y"))=0,"",'Dvd Calendar'!$AJ$1729)))</f>
        <v/>
      </c>
      <c r="AI175" s="110">
        <f>IF(FK175="","",IF(ISNUMBER('Dvd Calendar'!$AK$1729)=FALSE,"",IF((('Dvd Calendar'!$AK$1731=TYPE1)*(TYPE1&lt;&gt;"")+('Dvd Calendar'!$AK$1731=TYPE2)*(TYPE2&lt;&gt;"")+('Dvd Calendar'!$AK$1731=TYPE3)*(TYPE3&lt;&gt;"")+('Dvd Calendar'!$AK$1731=TYPE4)*(TYPE4&lt;&gt;"")+('Dvd Calendar'!$AK$1731=SPECIAL_LBL)*(INC_SPECIALS="Y"))=0,"",'Dvd Calendar'!$AK$1729)))</f>
        <v/>
      </c>
      <c r="AJ175" s="110">
        <f>IF(FL175="","",IF(ISNUMBER('Dvd Calendar'!$AL$1729)=FALSE,"",IF((('Dvd Calendar'!$AL$1731=TYPE1)*(TYPE1&lt;&gt;"")+('Dvd Calendar'!$AL$1731=TYPE2)*(TYPE2&lt;&gt;"")+('Dvd Calendar'!$AL$1731=TYPE3)*(TYPE3&lt;&gt;"")+('Dvd Calendar'!$AL$1731=TYPE4)*(TYPE4&lt;&gt;"")+('Dvd Calendar'!$AL$1731=SPECIAL_LBL)*(INC_SPECIALS="Y"))=0,"",'Dvd Calendar'!$AL$1729)))</f>
        <v/>
      </c>
      <c r="AK175" s="110">
        <f>IF(FM175="","",IF(ISNUMBER('Dvd Calendar'!$AM$1729)=FALSE,"",IF((('Dvd Calendar'!$AM$1731=TYPE1)*(TYPE1&lt;&gt;"")+('Dvd Calendar'!$AM$1731=TYPE2)*(TYPE2&lt;&gt;"")+('Dvd Calendar'!$AM$1731=TYPE3)*(TYPE3&lt;&gt;"")+('Dvd Calendar'!$AM$1731=TYPE4)*(TYPE4&lt;&gt;"")+('Dvd Calendar'!$AM$1731=SPECIAL_LBL)*(INC_SPECIALS="Y"))=0,"",'Dvd Calendar'!$AM$1729)))</f>
        <v/>
      </c>
      <c r="AL175" s="110">
        <f>IF(FN175="","",IF(ISNUMBER('Dvd Calendar'!$AN$1729)=FALSE,"",IF((('Dvd Calendar'!$AN$1731=TYPE1)*(TYPE1&lt;&gt;"")+('Dvd Calendar'!$AN$1731=TYPE2)*(TYPE2&lt;&gt;"")+('Dvd Calendar'!$AN$1731=TYPE3)*(TYPE3&lt;&gt;"")+('Dvd Calendar'!$AN$1731=TYPE4)*(TYPE4&lt;&gt;"")+('Dvd Calendar'!$AN$1731=SPECIAL_LBL)*(INC_SPECIALS="Y"))=0,"",'Dvd Calendar'!$AN$1729)))</f>
        <v/>
      </c>
      <c r="AM175" s="110">
        <f>IF(FO175="","",IF(ISNUMBER('Dvd Calendar'!$AO$1729)=FALSE,"",IF((('Dvd Calendar'!$AO$1731=TYPE1)*(TYPE1&lt;&gt;"")+('Dvd Calendar'!$AO$1731=TYPE2)*(TYPE2&lt;&gt;"")+('Dvd Calendar'!$AO$1731=TYPE3)*(TYPE3&lt;&gt;"")+('Dvd Calendar'!$AO$1731=TYPE4)*(TYPE4&lt;&gt;"")+('Dvd Calendar'!$AO$1731=SPECIAL_LBL)*(INC_SPECIALS="Y"))=0,"",'Dvd Calendar'!$AO$1729)))</f>
        <v/>
      </c>
      <c r="AN175" s="110">
        <f>IF(FP175="","",IF(ISNUMBER('Dvd Calendar'!$AP$1729)=FALSE,"",IF((('Dvd Calendar'!$AP$1731=TYPE1)*(TYPE1&lt;&gt;"")+('Dvd Calendar'!$AP$1731=TYPE2)*(TYPE2&lt;&gt;"")+('Dvd Calendar'!$AP$1731=TYPE3)*(TYPE3&lt;&gt;"")+('Dvd Calendar'!$AP$1731=TYPE4)*(TYPE4&lt;&gt;"")+('Dvd Calendar'!$AP$1731=SPECIAL_LBL)*(INC_SPECIALS="Y"))=0,"",'Dvd Calendar'!$AP$1729)))</f>
        <v/>
      </c>
      <c r="AO175" s="110">
        <f>IF(FQ175="","",IF(ISNUMBER('Dvd Calendar'!$AQ$1729)=FALSE,"",IF((('Dvd Calendar'!$AQ$1731=TYPE1)*(TYPE1&lt;&gt;"")+('Dvd Calendar'!$AQ$1731=TYPE2)*(TYPE2&lt;&gt;"")+('Dvd Calendar'!$AQ$1731=TYPE3)*(TYPE3&lt;&gt;"")+('Dvd Calendar'!$AQ$1731=TYPE4)*(TYPE4&lt;&gt;"")+('Dvd Calendar'!$AQ$1731=SPECIAL_LBL)*(INC_SPECIALS="Y"))=0,"",'Dvd Calendar'!$AQ$1729)))</f>
        <v/>
      </c>
      <c r="AP175" s="110">
        <f>IF(FR175="","",IF(ISNUMBER('Dvd Calendar'!$AR$1729)=FALSE,"",IF((('Dvd Calendar'!$AR$1731=TYPE1)*(TYPE1&lt;&gt;"")+('Dvd Calendar'!$AR$1731=TYPE2)*(TYPE2&lt;&gt;"")+('Dvd Calendar'!$AR$1731=TYPE3)*(TYPE3&lt;&gt;"")+('Dvd Calendar'!$AR$1731=TYPE4)*(TYPE4&lt;&gt;"")+('Dvd Calendar'!$AR$1731=SPECIAL_LBL)*(INC_SPECIALS="Y"))=0,"",'Dvd Calendar'!$AR$1729)))</f>
        <v/>
      </c>
      <c r="AQ175" s="110">
        <f>IF(FS175="","",IF(ISNUMBER('Dvd Calendar'!$E$1734)=FALSE,"",'Dvd Calendar'!$E$1734))</f>
        <v/>
      </c>
      <c r="AR175" s="110">
        <f>IF(FT175="","",IF(ISNUMBER('Dvd Calendar'!$F$1734)=FALSE,"",'Dvd Calendar'!$F$1734))</f>
        <v/>
      </c>
      <c r="AS175" s="110">
        <f>IF(FU175="","",IF(ISNUMBER('Dvd Calendar'!$G$1734)=FALSE,"",'Dvd Calendar'!$G$1734))</f>
        <v/>
      </c>
      <c r="AT175" s="110">
        <f>IF(FV175="","",IF(ISNUMBER('Dvd Calendar'!$H$1734)=FALSE,"",'Dvd Calendar'!$H$1734))</f>
        <v/>
      </c>
      <c r="AU175" s="110">
        <f>IF(FW175="","",IF(ISNUMBER('Dvd Calendar'!$I$1734)=FALSE,"",'Dvd Calendar'!$I$1734))</f>
        <v/>
      </c>
      <c r="AV175" s="110">
        <f>IF(FX175="","",IF(ISNUMBER('Dvd Calendar'!$J$1734)=FALSE,"",'Dvd Calendar'!$J$1734))</f>
        <v/>
      </c>
      <c r="AW175" s="110">
        <f>IF(FY175="","",IF(ISNUMBER('Dvd Calendar'!$K$1734)=FALSE,"",'Dvd Calendar'!$K$1734))</f>
        <v/>
      </c>
      <c r="AX175" s="110">
        <f>IF(FZ175="","",IF(ISNUMBER('Dvd Calendar'!$L$1734)=FALSE,"",'Dvd Calendar'!$L$1734))</f>
        <v/>
      </c>
      <c r="AY175" s="110">
        <f>IF(GA175="","",IF(ISNUMBER('Dvd Calendar'!$M$1734)=FALSE,"",'Dvd Calendar'!$M$1734))</f>
        <v/>
      </c>
      <c r="AZ175" s="110">
        <f>IF(GB175="","",IF(ISNUMBER('Dvd Calendar'!$N$1734)=FALSE,"",'Dvd Calendar'!$N$1734))</f>
        <v/>
      </c>
      <c r="BA175" s="110">
        <f>IF(GC175="","",IF(ISNUMBER('Dvd Calendar'!$O$1734)=FALSE,"",'Dvd Calendar'!$O$1734))</f>
        <v/>
      </c>
      <c r="BB175" s="110">
        <f>IF(GD175="","",IF(ISNUMBER('Dvd Calendar'!$P$1734)=FALSE,"",'Dvd Calendar'!$P$1734))</f>
        <v/>
      </c>
      <c r="BC175" s="110">
        <f>IF(GE175="","",IF(ISNUMBER('Dvd Calendar'!$Q$1734)=FALSE,"",'Dvd Calendar'!$Q$1734))</f>
        <v/>
      </c>
      <c r="BD175" s="110">
        <f>IF(GF175="","",IF(ISNUMBER('Dvd Calendar'!$R$1734)=FALSE,"",'Dvd Calendar'!$R$1734))</f>
        <v/>
      </c>
      <c r="BE175" s="110">
        <f>IF(GG175="","",IF(ISNUMBER('Dvd Calendar'!$S$1734)=FALSE,"",'Dvd Calendar'!$S$1734))</f>
        <v/>
      </c>
      <c r="BF175" s="110">
        <f>IF(GH175="","",IF(ISNUMBER('Dvd Calendar'!$T$1734)=FALSE,"",'Dvd Calendar'!$T$1734))</f>
        <v/>
      </c>
      <c r="BG175" s="110">
        <f>IF(GI175="","",IF(ISNUMBER('Dvd Calendar'!$U$1734)=FALSE,"",'Dvd Calendar'!$U$1734))</f>
        <v/>
      </c>
      <c r="BH175" s="110">
        <f>IF(GJ175="","",IF(ISNUMBER('Dvd Calendar'!$V$1734)=FALSE,"",'Dvd Calendar'!$V$1734))</f>
        <v/>
      </c>
      <c r="BI175" s="110">
        <f>IF(GK175="","",IF(ISNUMBER('Dvd Calendar'!$W$1734)=FALSE,"",'Dvd Calendar'!$W$1734))</f>
        <v/>
      </c>
      <c r="BJ175" s="110">
        <f>IF(GL175="","",IF(ISNUMBER('Dvd Calendar'!$X$1734)=FALSE,"",'Dvd Calendar'!$X$1734))</f>
        <v/>
      </c>
      <c r="BK175" s="110">
        <f>IF(GM175="","",IF(ISNUMBER('Dvd Calendar'!$Y$1734)=FALSE,"",'Dvd Calendar'!$Y$1734))</f>
        <v/>
      </c>
      <c r="BL175" s="110">
        <f>IF(GN175="","",IF(ISNUMBER('Dvd Calendar'!$Z$1734)=FALSE,"",'Dvd Calendar'!$Z$1734))</f>
        <v/>
      </c>
      <c r="BM175" s="110">
        <f>IF(GO175="","",IF(ISNUMBER('Dvd Calendar'!$AA$1734)=FALSE,"",'Dvd Calendar'!$AA$1734))</f>
        <v/>
      </c>
      <c r="BN175" s="110">
        <f>IF(GP175="","",IF(ISNUMBER('Dvd Calendar'!$AB$1734)=FALSE,"",'Dvd Calendar'!$AB$1734))</f>
        <v/>
      </c>
      <c r="BO175" s="110">
        <f>IF(GQ175="","",IF(ISNUMBER('Dvd Calendar'!$AC$1734)=FALSE,"",'Dvd Calendar'!$AC$1734))</f>
        <v/>
      </c>
      <c r="BQ175" s="110">
        <f>IF(C175="","",IFERROR(C175*HSCEI!$B$22*HSCEI!$G$22/HSCEI!$B$3,""))</f>
        <v/>
      </c>
      <c r="BR175" s="110">
        <f>IF(D175="","",IFERROR(D175*HSCEI!$B$22*HSCEI!$G$22/HSCEI!$B$3,""))</f>
        <v/>
      </c>
      <c r="BS175" s="110">
        <f>IF(E175="","",IFERROR(E175*HSCEI!$B$22*HSCEI!$G$22/HSCEI!$B$3,""))</f>
        <v/>
      </c>
      <c r="BT175" s="110">
        <f>IF(F175="","",IFERROR(F175*HSCEI!$B$22*HSCEI!$G$22/HSCEI!$B$3,""))</f>
        <v/>
      </c>
      <c r="BU175" s="110">
        <f>IF(G175="","",IFERROR(G175*HSCEI!$B$22*HSCEI!$G$22/HSCEI!$B$3,""))</f>
        <v/>
      </c>
      <c r="BV175" s="110">
        <f>IF(H175="","",IFERROR(H175*HSCEI!$B$22*HSCEI!$G$22/HSCEI!$B$3,""))</f>
        <v/>
      </c>
      <c r="BW175" s="110">
        <f>IF(I175="","",IFERROR(I175*HSCEI!$B$22*HSCEI!$G$22/HSCEI!$B$3,""))</f>
        <v/>
      </c>
      <c r="BX175" s="110">
        <f>IF(J175="","",IFERROR(J175*HSCEI!$B$22*HSCEI!$G$22/HSCEI!$B$3,""))</f>
        <v/>
      </c>
      <c r="BY175" s="110">
        <f>IF(K175="","",IFERROR(K175*HSCEI!$B$22*HSCEI!$G$22/HSCEI!$B$3,""))</f>
        <v/>
      </c>
      <c r="BZ175" s="110">
        <f>IF(L175="","",IFERROR(L175*HSCEI!$B$22*HSCEI!$G$22/HSCEI!$B$3,""))</f>
        <v/>
      </c>
      <c r="CA175" s="110">
        <f>IF(M175="","",IFERROR(M175*HSCEI!$B$22*HSCEI!$G$22/HSCEI!$B$3,""))</f>
        <v/>
      </c>
      <c r="CB175" s="110">
        <f>IF(N175="","",IFERROR(N175*HSCEI!$B$22*HSCEI!$G$22/HSCEI!$B$3,""))</f>
        <v/>
      </c>
      <c r="CC175" s="110">
        <f>IF(O175="","",IFERROR(O175*HSCEI!$B$22*HSCEI!$G$22/HSCEI!$B$3,""))</f>
        <v/>
      </c>
      <c r="CD175" s="110">
        <f>IF(P175="","",IFERROR(P175*HSCEI!$B$22*HSCEI!$G$22/HSCEI!$B$3,""))</f>
        <v/>
      </c>
      <c r="CE175" s="110">
        <f>IF(Q175="","",IFERROR(Q175*HSCEI!$B$22*HSCEI!$G$22/HSCEI!$B$3,""))</f>
        <v/>
      </c>
      <c r="CF175" s="110">
        <f>IF(R175="","",IFERROR(R175*HSCEI!$B$22*HSCEI!$G$22/HSCEI!$B$3,""))</f>
        <v/>
      </c>
      <c r="CG175" s="110">
        <f>IF(S175="","",IFERROR(S175*HSCEI!$B$22*HSCEI!$G$22/HSCEI!$B$3,""))</f>
        <v/>
      </c>
      <c r="CH175" s="110">
        <f>IF(T175="","",IFERROR(T175*HSCEI!$B$22*HSCEI!$G$22/HSCEI!$B$3,""))</f>
        <v/>
      </c>
      <c r="CI175" s="110">
        <f>IF(U175="","",IFERROR(U175*HSCEI!$B$22*HSCEI!$G$22/HSCEI!$B$3,""))</f>
        <v/>
      </c>
      <c r="CJ175" s="110">
        <f>IF(V175="","",IFERROR(V175*HSCEI!$B$22*HSCEI!$G$22/HSCEI!$B$3,""))</f>
        <v/>
      </c>
      <c r="CK175" s="110">
        <f>IF(W175="","",IFERROR(W175*HSCEI!$B$22*HSCEI!$G$22/HSCEI!$B$3,""))</f>
        <v/>
      </c>
      <c r="CL175" s="110">
        <f>IF(X175="","",IFERROR(X175*HSCEI!$B$22*HSCEI!$G$22/HSCEI!$B$3,""))</f>
        <v/>
      </c>
      <c r="CM175" s="110">
        <f>IF(Y175="","",IFERROR(Y175*HSCEI!$B$22*HSCEI!$G$22/HSCEI!$B$3,""))</f>
        <v/>
      </c>
      <c r="CN175" s="110">
        <f>IF(Z175="","",IFERROR(Z175*HSCEI!$B$22*HSCEI!$G$22/HSCEI!$B$3,""))</f>
        <v/>
      </c>
      <c r="CO175" s="110">
        <f>IF(AA175="","",IFERROR(AA175*HSCEI!$B$22*HSCEI!$G$22/HSCEI!$B$3,""))</f>
        <v/>
      </c>
      <c r="CP175" s="110">
        <f>IF(AB175="","",IFERROR(AB175*HSCEI!$B$22*HSCEI!$G$22/HSCEI!$B$3,""))</f>
        <v/>
      </c>
      <c r="CQ175" s="110">
        <f>IF(AC175="","",IFERROR(AC175*HSCEI!$B$22*HSCEI!$G$22/HSCEI!$B$3,""))</f>
        <v/>
      </c>
      <c r="CR175" s="110">
        <f>IF(AD175="","",IFERROR(AD175*HSCEI!$B$22*HSCEI!$G$22/HSCEI!$B$3,""))</f>
        <v/>
      </c>
      <c r="CS175" s="110">
        <f>IF(AE175="","",IFERROR(AE175*HSCEI!$B$22*HSCEI!$G$22/HSCEI!$B$3,""))</f>
        <v/>
      </c>
      <c r="CT175" s="110">
        <f>IF(AF175="","",IFERROR(AF175*HSCEI!$B$22*HSCEI!$G$22/HSCEI!$B$3,""))</f>
        <v/>
      </c>
      <c r="CU175" s="110">
        <f>IF(AG175="","",IFERROR(AG175*HSCEI!$B$22*HSCEI!$G$22/HSCEI!$B$3,""))</f>
        <v/>
      </c>
      <c r="CV175" s="110">
        <f>IF(AH175="","",IFERROR(AH175*HSCEI!$B$22*HSCEI!$G$22/HSCEI!$B$3,""))</f>
        <v/>
      </c>
      <c r="CW175" s="110">
        <f>IF(AI175="","",IFERROR(AI175*HSCEI!$B$22*HSCEI!$G$22/HSCEI!$B$3,""))</f>
        <v/>
      </c>
      <c r="CX175" s="110">
        <f>IF(AJ175="","",IFERROR(AJ175*HSCEI!$B$22*HSCEI!$G$22/HSCEI!$B$3,""))</f>
        <v/>
      </c>
      <c r="CY175" s="110">
        <f>IF(AK175="","",IFERROR(AK175*HSCEI!$B$22*HSCEI!$G$22/HSCEI!$B$3,""))</f>
        <v/>
      </c>
      <c r="CZ175" s="110">
        <f>IF(AL175="","",IFERROR(AL175*HSCEI!$B$22*HSCEI!$G$22/HSCEI!$B$3,""))</f>
        <v/>
      </c>
      <c r="DA175" s="110">
        <f>IF(AM175="","",IFERROR(AM175*HSCEI!$B$22*HSCEI!$G$22/HSCEI!$B$3,""))</f>
        <v/>
      </c>
      <c r="DB175" s="110">
        <f>IF(AN175="","",IFERROR(AN175*HSCEI!$B$22*HSCEI!$G$22/HSCEI!$B$3,""))</f>
        <v/>
      </c>
      <c r="DC175" s="110">
        <f>IF(AO175="","",IFERROR(AO175*HSCEI!$B$22*HSCEI!$G$22/HSCEI!$B$3,""))</f>
        <v/>
      </c>
      <c r="DD175" s="110">
        <f>IF(AP175="","",IFERROR(AP175*HSCEI!$B$22*HSCEI!$G$22/HSCEI!$B$3,""))</f>
        <v/>
      </c>
      <c r="DE175" s="110">
        <f>IF(AQ175="","",IFERROR(AQ175*HSCEI!$B$22*HSCEI!$G$22/HSCEI!$B$3,""))</f>
        <v/>
      </c>
      <c r="DF175" s="110">
        <f>IF(AR175="","",IFERROR(AR175*HSCEI!$B$22*HSCEI!$G$22/HSCEI!$B$3,""))</f>
        <v/>
      </c>
      <c r="DG175" s="110">
        <f>IF(AS175="","",IFERROR(AS175*HSCEI!$B$22*HSCEI!$G$22/HSCEI!$B$3,""))</f>
        <v/>
      </c>
      <c r="DH175" s="110">
        <f>IF(AT175="","",IFERROR(AT175*HSCEI!$B$22*HSCEI!$G$22/HSCEI!$B$3,""))</f>
        <v/>
      </c>
      <c r="DI175" s="110">
        <f>IF(AU175="","",IFERROR(AU175*HSCEI!$B$22*HSCEI!$G$22/HSCEI!$B$3,""))</f>
        <v/>
      </c>
      <c r="DJ175" s="110">
        <f>IF(AV175="","",IFERROR(AV175*HSCEI!$B$22*HSCEI!$G$22/HSCEI!$B$3,""))</f>
        <v/>
      </c>
      <c r="DK175" s="110">
        <f>IF(AW175="","",IFERROR(AW175*HSCEI!$B$22*HSCEI!$G$22/HSCEI!$B$3,""))</f>
        <v/>
      </c>
      <c r="DL175" s="110">
        <f>IF(AX175="","",IFERROR(AX175*HSCEI!$B$22*HSCEI!$G$22/HSCEI!$B$3,""))</f>
        <v/>
      </c>
      <c r="DM175" s="110">
        <f>IF(AY175="","",IFERROR(AY175*HSCEI!$B$22*HSCEI!$G$22/HSCEI!$B$3,""))</f>
        <v/>
      </c>
      <c r="DN175" s="110">
        <f>IF(AZ175="","",IFERROR(AZ175*HSCEI!$B$22*HSCEI!$G$22/HSCEI!$B$3,""))</f>
        <v/>
      </c>
      <c r="DO175" s="110">
        <f>IF(BA175="","",IFERROR(BA175*HSCEI!$B$22*HSCEI!$G$22/HSCEI!$B$3,""))</f>
        <v/>
      </c>
      <c r="DP175" s="110">
        <f>IF(BB175="","",IFERROR(BB175*HSCEI!$B$22*HSCEI!$G$22/HSCEI!$B$3,""))</f>
        <v/>
      </c>
      <c r="DQ175" s="110">
        <f>IF(BC175="","",IFERROR(BC175*HSCEI!$B$22*HSCEI!$G$22/HSCEI!$B$3,""))</f>
        <v/>
      </c>
      <c r="DR175" s="110">
        <f>IF(BD175="","",IFERROR(BD175*HSCEI!$B$22*HSCEI!$G$22/HSCEI!$B$3,""))</f>
        <v/>
      </c>
      <c r="DS175" s="110">
        <f>IF(BE175="","",IFERROR(BE175*HSCEI!$B$22*HSCEI!$G$22/HSCEI!$B$3,""))</f>
        <v/>
      </c>
      <c r="DT175" s="110">
        <f>IF(BF175="","",IFERROR(BF175*HSCEI!$B$22*HSCEI!$G$22/HSCEI!$B$3,""))</f>
        <v/>
      </c>
      <c r="DU175" s="110">
        <f>IF(BG175="","",IFERROR(BG175*HSCEI!$B$22*HSCEI!$G$22/HSCEI!$B$3,""))</f>
        <v/>
      </c>
      <c r="DV175" s="110">
        <f>IF(BH175="","",IFERROR(BH175*HSCEI!$B$22*HSCEI!$G$22/HSCEI!$B$3,""))</f>
        <v/>
      </c>
      <c r="DW175" s="110">
        <f>IF(BI175="","",IFERROR(BI175*HSCEI!$B$22*HSCEI!$G$22/HSCEI!$B$3,""))</f>
        <v/>
      </c>
      <c r="DX175" s="110">
        <f>IF(BJ175="","",IFERROR(BJ175*HSCEI!$B$22*HSCEI!$G$22/HSCEI!$B$3,""))</f>
        <v/>
      </c>
      <c r="DY175" s="110">
        <f>IF(BK175="","",IFERROR(BK175*HSCEI!$B$22*HSCEI!$G$22/HSCEI!$B$3,""))</f>
        <v/>
      </c>
      <c r="DZ175" s="110">
        <f>IF(BL175="","",IFERROR(BL175*HSCEI!$B$22*HSCEI!$G$22/HSCEI!$B$3,""))</f>
        <v/>
      </c>
      <c r="EA175" s="110">
        <f>IF(BM175="","",IFERROR(BM175*HSCEI!$B$22*HSCEI!$G$22/HSCEI!$B$3,""))</f>
        <v/>
      </c>
      <c r="EB175" s="110">
        <f>IF(BN175="","",IFERROR(BN175*HSCEI!$B$22*HSCEI!$G$22/HSCEI!$B$3,""))</f>
        <v/>
      </c>
      <c r="EC175" s="110">
        <f>IF(BO175="","",IFERROR(BO175*HSCEI!$B$22*HSCEI!$G$22/HSCEI!$B$3,""))</f>
        <v/>
      </c>
      <c r="EE175" s="39">
        <f>IF(N('Dvd Calendar'!$E$1726)=0,"",IF(('Dvd Calendar'!$E$1726&gt;=GRID_FROM)*('Dvd Calendar'!$E$1726&lt;=GRID_TO)*((('Dvd Calendar'!$E$1726&lt;=VAL_DATE)+(COUNTIF('Dvd Calendar'!$E$1733:$AR$1733,'Dvd Calendar'!$E$1726)=0))&gt;0)=0,"",'Dvd Calendar'!$E$1726*1000000000+ISNUMBER('Dvd Calendar'!$E$1729)*100000000+('Dvd Calendar'!$E$1731=SPECIAL_LBL)*10000000+(N('Dvd Calendar'!$E$1725)&gt;0)*(N('Dvd Calendar'!$E$1725)&lt;=VAL_SERIAL)*1000000+16*1000+1))</f>
        <v/>
      </c>
      <c r="EF175" s="39">
        <f>IF(N('Dvd Calendar'!$F$1726)=0,"",IF(('Dvd Calendar'!$F$1726&gt;=GRID_FROM)*('Dvd Calendar'!$F$1726&lt;=GRID_TO)*((('Dvd Calendar'!$F$1726&lt;=VAL_DATE)+(COUNTIF('Dvd Calendar'!$E$1733:$AR$1733,'Dvd Calendar'!$F$1726)=0))&gt;0)=0,"",'Dvd Calendar'!$F$1726*1000000000+ISNUMBER('Dvd Calendar'!$F$1729)*100000000+('Dvd Calendar'!$F$1731=SPECIAL_LBL)*10000000+(N('Dvd Calendar'!$F$1725)&gt;0)*(N('Dvd Calendar'!$F$1725)&lt;=VAL_SERIAL)*1000000+16*1000+2))</f>
        <v/>
      </c>
      <c r="EG175" s="39">
        <f>IF(N('Dvd Calendar'!$G$1726)=0,"",IF(('Dvd Calendar'!$G$1726&gt;=GRID_FROM)*('Dvd Calendar'!$G$1726&lt;=GRID_TO)*((('Dvd Calendar'!$G$1726&lt;=VAL_DATE)+(COUNTIF('Dvd Calendar'!$E$1733:$AR$1733,'Dvd Calendar'!$G$1726)=0))&gt;0)=0,"",'Dvd Calendar'!$G$1726*1000000000+ISNUMBER('Dvd Calendar'!$G$1729)*100000000+('Dvd Calendar'!$G$1731=SPECIAL_LBL)*10000000+(N('Dvd Calendar'!$G$1725)&gt;0)*(N('Dvd Calendar'!$G$1725)&lt;=VAL_SERIAL)*1000000+16*1000+3))</f>
        <v/>
      </c>
      <c r="EH175" s="39">
        <f>IF(N('Dvd Calendar'!$H$1726)=0,"",IF(('Dvd Calendar'!$H$1726&gt;=GRID_FROM)*('Dvd Calendar'!$H$1726&lt;=GRID_TO)*((('Dvd Calendar'!$H$1726&lt;=VAL_DATE)+(COUNTIF('Dvd Calendar'!$E$1733:$AR$1733,'Dvd Calendar'!$H$1726)=0))&gt;0)=0,"",'Dvd Calendar'!$H$1726*1000000000+ISNUMBER('Dvd Calendar'!$H$1729)*100000000+('Dvd Calendar'!$H$1731=SPECIAL_LBL)*10000000+(N('Dvd Calendar'!$H$1725)&gt;0)*(N('Dvd Calendar'!$H$1725)&lt;=VAL_SERIAL)*1000000+16*1000+4))</f>
        <v/>
      </c>
      <c r="EI175" s="39">
        <f>IF(N('Dvd Calendar'!$I$1726)=0,"",IF(('Dvd Calendar'!$I$1726&gt;=GRID_FROM)*('Dvd Calendar'!$I$1726&lt;=GRID_TO)*((('Dvd Calendar'!$I$1726&lt;=VAL_DATE)+(COUNTIF('Dvd Calendar'!$E$1733:$AR$1733,'Dvd Calendar'!$I$1726)=0))&gt;0)=0,"",'Dvd Calendar'!$I$1726*1000000000+ISNUMBER('Dvd Calendar'!$I$1729)*100000000+('Dvd Calendar'!$I$1731=SPECIAL_LBL)*10000000+(N('Dvd Calendar'!$I$1725)&gt;0)*(N('Dvd Calendar'!$I$1725)&lt;=VAL_SERIAL)*1000000+16*1000+5))</f>
        <v/>
      </c>
      <c r="EJ175" s="39">
        <f>IF(N('Dvd Calendar'!$J$1726)=0,"",IF(('Dvd Calendar'!$J$1726&gt;=GRID_FROM)*('Dvd Calendar'!$J$1726&lt;=GRID_TO)*((('Dvd Calendar'!$J$1726&lt;=VAL_DATE)+(COUNTIF('Dvd Calendar'!$E$1733:$AR$1733,'Dvd Calendar'!$J$1726)=0))&gt;0)=0,"",'Dvd Calendar'!$J$1726*1000000000+ISNUMBER('Dvd Calendar'!$J$1729)*100000000+('Dvd Calendar'!$J$1731=SPECIAL_LBL)*10000000+(N('Dvd Calendar'!$J$1725)&gt;0)*(N('Dvd Calendar'!$J$1725)&lt;=VAL_SERIAL)*1000000+16*1000+6))</f>
        <v/>
      </c>
      <c r="EK175" s="39">
        <f>IF(N('Dvd Calendar'!$K$1726)=0,"",IF(('Dvd Calendar'!$K$1726&gt;=GRID_FROM)*('Dvd Calendar'!$K$1726&lt;=GRID_TO)*((('Dvd Calendar'!$K$1726&lt;=VAL_DATE)+(COUNTIF('Dvd Calendar'!$E$1733:$AR$1733,'Dvd Calendar'!$K$1726)=0))&gt;0)=0,"",'Dvd Calendar'!$K$1726*1000000000+ISNUMBER('Dvd Calendar'!$K$1729)*100000000+('Dvd Calendar'!$K$1731=SPECIAL_LBL)*10000000+(N('Dvd Calendar'!$K$1725)&gt;0)*(N('Dvd Calendar'!$K$1725)&lt;=VAL_SERIAL)*1000000+16*1000+7))</f>
        <v/>
      </c>
      <c r="EL175" s="39">
        <f>IF(N('Dvd Calendar'!$L$1726)=0,"",IF(('Dvd Calendar'!$L$1726&gt;=GRID_FROM)*('Dvd Calendar'!$L$1726&lt;=GRID_TO)*((('Dvd Calendar'!$L$1726&lt;=VAL_DATE)+(COUNTIF('Dvd Calendar'!$E$1733:$AR$1733,'Dvd Calendar'!$L$1726)=0))&gt;0)=0,"",'Dvd Calendar'!$L$1726*1000000000+ISNUMBER('Dvd Calendar'!$L$1729)*100000000+('Dvd Calendar'!$L$1731=SPECIAL_LBL)*10000000+(N('Dvd Calendar'!$L$1725)&gt;0)*(N('Dvd Calendar'!$L$1725)&lt;=VAL_SERIAL)*1000000+16*1000+8))</f>
        <v/>
      </c>
      <c r="EM175" s="39">
        <f>IF(N('Dvd Calendar'!$M$1726)=0,"",IF(('Dvd Calendar'!$M$1726&gt;=GRID_FROM)*('Dvd Calendar'!$M$1726&lt;=GRID_TO)*((('Dvd Calendar'!$M$1726&lt;=VAL_DATE)+(COUNTIF('Dvd Calendar'!$E$1733:$AR$1733,'Dvd Calendar'!$M$1726)=0))&gt;0)=0,"",'Dvd Calendar'!$M$1726*1000000000+ISNUMBER('Dvd Calendar'!$M$1729)*100000000+('Dvd Calendar'!$M$1731=SPECIAL_LBL)*10000000+(N('Dvd Calendar'!$M$1725)&gt;0)*(N('Dvd Calendar'!$M$1725)&lt;=VAL_SERIAL)*1000000+16*1000+9))</f>
        <v/>
      </c>
      <c r="EN175" s="39">
        <f>IF(N('Dvd Calendar'!$N$1726)=0,"",IF(('Dvd Calendar'!$N$1726&gt;=GRID_FROM)*('Dvd Calendar'!$N$1726&lt;=GRID_TO)*((('Dvd Calendar'!$N$1726&lt;=VAL_DATE)+(COUNTIF('Dvd Calendar'!$E$1733:$AR$1733,'Dvd Calendar'!$N$1726)=0))&gt;0)=0,"",'Dvd Calendar'!$N$1726*1000000000+ISNUMBER('Dvd Calendar'!$N$1729)*100000000+('Dvd Calendar'!$N$1731=SPECIAL_LBL)*10000000+(N('Dvd Calendar'!$N$1725)&gt;0)*(N('Dvd Calendar'!$N$1725)&lt;=VAL_SERIAL)*1000000+16*1000+10))</f>
        <v/>
      </c>
      <c r="EO175" s="39">
        <f>IF(N('Dvd Calendar'!$O$1726)=0,"",IF(('Dvd Calendar'!$O$1726&gt;=GRID_FROM)*('Dvd Calendar'!$O$1726&lt;=GRID_TO)*((('Dvd Calendar'!$O$1726&lt;=VAL_DATE)+(COUNTIF('Dvd Calendar'!$E$1733:$AR$1733,'Dvd Calendar'!$O$1726)=0))&gt;0)=0,"",'Dvd Calendar'!$O$1726*1000000000+ISNUMBER('Dvd Calendar'!$O$1729)*100000000+('Dvd Calendar'!$O$1731=SPECIAL_LBL)*10000000+(N('Dvd Calendar'!$O$1725)&gt;0)*(N('Dvd Calendar'!$O$1725)&lt;=VAL_SERIAL)*1000000+16*1000+11))</f>
        <v/>
      </c>
      <c r="EP175" s="39">
        <f>IF(N('Dvd Calendar'!$P$1726)=0,"",IF(('Dvd Calendar'!$P$1726&gt;=GRID_FROM)*('Dvd Calendar'!$P$1726&lt;=GRID_TO)*((('Dvd Calendar'!$P$1726&lt;=VAL_DATE)+(COUNTIF('Dvd Calendar'!$E$1733:$AR$1733,'Dvd Calendar'!$P$1726)=0))&gt;0)=0,"",'Dvd Calendar'!$P$1726*1000000000+ISNUMBER('Dvd Calendar'!$P$1729)*100000000+('Dvd Calendar'!$P$1731=SPECIAL_LBL)*10000000+(N('Dvd Calendar'!$P$1725)&gt;0)*(N('Dvd Calendar'!$P$1725)&lt;=VAL_SERIAL)*1000000+16*1000+12))</f>
        <v/>
      </c>
      <c r="EQ175" s="39">
        <f>IF(N('Dvd Calendar'!$Q$1726)=0,"",IF(('Dvd Calendar'!$Q$1726&gt;=GRID_FROM)*('Dvd Calendar'!$Q$1726&lt;=GRID_TO)*((('Dvd Calendar'!$Q$1726&lt;=VAL_DATE)+(COUNTIF('Dvd Calendar'!$E$1733:$AR$1733,'Dvd Calendar'!$Q$1726)=0))&gt;0)=0,"",'Dvd Calendar'!$Q$1726*1000000000+ISNUMBER('Dvd Calendar'!$Q$1729)*100000000+('Dvd Calendar'!$Q$1731=SPECIAL_LBL)*10000000+(N('Dvd Calendar'!$Q$1725)&gt;0)*(N('Dvd Calendar'!$Q$1725)&lt;=VAL_SERIAL)*1000000+16*1000+13))</f>
        <v/>
      </c>
      <c r="ER175" s="39">
        <f>IF(N('Dvd Calendar'!$R$1726)=0,"",IF(('Dvd Calendar'!$R$1726&gt;=GRID_FROM)*('Dvd Calendar'!$R$1726&lt;=GRID_TO)*((('Dvd Calendar'!$R$1726&lt;=VAL_DATE)+(COUNTIF('Dvd Calendar'!$E$1733:$AR$1733,'Dvd Calendar'!$R$1726)=0))&gt;0)=0,"",'Dvd Calendar'!$R$1726*1000000000+ISNUMBER('Dvd Calendar'!$R$1729)*100000000+('Dvd Calendar'!$R$1731=SPECIAL_LBL)*10000000+(N('Dvd Calendar'!$R$1725)&gt;0)*(N('Dvd Calendar'!$R$1725)&lt;=VAL_SERIAL)*1000000+16*1000+14))</f>
        <v/>
      </c>
      <c r="ES175" s="39">
        <f>IF(N('Dvd Calendar'!$S$1726)=0,"",IF(('Dvd Calendar'!$S$1726&gt;=GRID_FROM)*('Dvd Calendar'!$S$1726&lt;=GRID_TO)*((('Dvd Calendar'!$S$1726&lt;=VAL_DATE)+(COUNTIF('Dvd Calendar'!$E$1733:$AR$1733,'Dvd Calendar'!$S$1726)=0))&gt;0)=0,"",'Dvd Calendar'!$S$1726*1000000000+ISNUMBER('Dvd Calendar'!$S$1729)*100000000+('Dvd Calendar'!$S$1731=SPECIAL_LBL)*10000000+(N('Dvd Calendar'!$S$1725)&gt;0)*(N('Dvd Calendar'!$S$1725)&lt;=VAL_SERIAL)*1000000+16*1000+15))</f>
        <v/>
      </c>
      <c r="ET175" s="39">
        <f>IF(N('Dvd Calendar'!$T$1726)=0,"",IF(('Dvd Calendar'!$T$1726&gt;=GRID_FROM)*('Dvd Calendar'!$T$1726&lt;=GRID_TO)*((('Dvd Calendar'!$T$1726&lt;=VAL_DATE)+(COUNTIF('Dvd Calendar'!$E$1733:$AR$1733,'Dvd Calendar'!$T$1726)=0))&gt;0)=0,"",'Dvd Calendar'!$T$1726*1000000000+ISNUMBER('Dvd Calendar'!$T$1729)*100000000+('Dvd Calendar'!$T$1731=SPECIAL_LBL)*10000000+(N('Dvd Calendar'!$T$1725)&gt;0)*(N('Dvd Calendar'!$T$1725)&lt;=VAL_SERIAL)*1000000+16*1000+16))</f>
        <v/>
      </c>
      <c r="EU175" s="39">
        <f>IF(N('Dvd Calendar'!$U$1726)=0,"",IF(('Dvd Calendar'!$U$1726&gt;=GRID_FROM)*('Dvd Calendar'!$U$1726&lt;=GRID_TO)*((('Dvd Calendar'!$U$1726&lt;=VAL_DATE)+(COUNTIF('Dvd Calendar'!$E$1733:$AR$1733,'Dvd Calendar'!$U$1726)=0))&gt;0)=0,"",'Dvd Calendar'!$U$1726*1000000000+ISNUMBER('Dvd Calendar'!$U$1729)*100000000+('Dvd Calendar'!$U$1731=SPECIAL_LBL)*10000000+(N('Dvd Calendar'!$U$1725)&gt;0)*(N('Dvd Calendar'!$U$1725)&lt;=VAL_SERIAL)*1000000+16*1000+17))</f>
        <v/>
      </c>
      <c r="EV175" s="39">
        <f>IF(N('Dvd Calendar'!$V$1726)=0,"",IF(('Dvd Calendar'!$V$1726&gt;=GRID_FROM)*('Dvd Calendar'!$V$1726&lt;=GRID_TO)*((('Dvd Calendar'!$V$1726&lt;=VAL_DATE)+(COUNTIF('Dvd Calendar'!$E$1733:$AR$1733,'Dvd Calendar'!$V$1726)=0))&gt;0)=0,"",'Dvd Calendar'!$V$1726*1000000000+ISNUMBER('Dvd Calendar'!$V$1729)*100000000+('Dvd Calendar'!$V$1731=SPECIAL_LBL)*10000000+(N('Dvd Calendar'!$V$1725)&gt;0)*(N('Dvd Calendar'!$V$1725)&lt;=VAL_SERIAL)*1000000+16*1000+18))</f>
        <v/>
      </c>
      <c r="EW175" s="39">
        <f>IF(N('Dvd Calendar'!$W$1726)=0,"",IF(('Dvd Calendar'!$W$1726&gt;=GRID_FROM)*('Dvd Calendar'!$W$1726&lt;=GRID_TO)*((('Dvd Calendar'!$W$1726&lt;=VAL_DATE)+(COUNTIF('Dvd Calendar'!$E$1733:$AR$1733,'Dvd Calendar'!$W$1726)=0))&gt;0)=0,"",'Dvd Calendar'!$W$1726*1000000000+ISNUMBER('Dvd Calendar'!$W$1729)*100000000+('Dvd Calendar'!$W$1731=SPECIAL_LBL)*10000000+(N('Dvd Calendar'!$W$1725)&gt;0)*(N('Dvd Calendar'!$W$1725)&lt;=VAL_SERIAL)*1000000+16*1000+19))</f>
        <v/>
      </c>
      <c r="EX175" s="39">
        <f>IF(N('Dvd Calendar'!$X$1726)=0,"",IF(('Dvd Calendar'!$X$1726&gt;=GRID_FROM)*('Dvd Calendar'!$X$1726&lt;=GRID_TO)*((('Dvd Calendar'!$X$1726&lt;=VAL_DATE)+(COUNTIF('Dvd Calendar'!$E$1733:$AR$1733,'Dvd Calendar'!$X$1726)=0))&gt;0)=0,"",'Dvd Calendar'!$X$1726*1000000000+ISNUMBER('Dvd Calendar'!$X$1729)*100000000+('Dvd Calendar'!$X$1731=SPECIAL_LBL)*10000000+(N('Dvd Calendar'!$X$1725)&gt;0)*(N('Dvd Calendar'!$X$1725)&lt;=VAL_SERIAL)*1000000+16*1000+20))</f>
        <v/>
      </c>
      <c r="EY175" s="39">
        <f>IF(N('Dvd Calendar'!$Y$1726)=0,"",IF(('Dvd Calendar'!$Y$1726&gt;=GRID_FROM)*('Dvd Calendar'!$Y$1726&lt;=GRID_TO)*((('Dvd Calendar'!$Y$1726&lt;=VAL_DATE)+(COUNTIF('Dvd Calendar'!$E$1733:$AR$1733,'Dvd Calendar'!$Y$1726)=0))&gt;0)=0,"",'Dvd Calendar'!$Y$1726*1000000000+ISNUMBER('Dvd Calendar'!$Y$1729)*100000000+('Dvd Calendar'!$Y$1731=SPECIAL_LBL)*10000000+(N('Dvd Calendar'!$Y$1725)&gt;0)*(N('Dvd Calendar'!$Y$1725)&lt;=VAL_SERIAL)*1000000+16*1000+21))</f>
        <v/>
      </c>
      <c r="EZ175" s="39">
        <f>IF(N('Dvd Calendar'!$Z$1726)=0,"",IF(('Dvd Calendar'!$Z$1726&gt;=GRID_FROM)*('Dvd Calendar'!$Z$1726&lt;=GRID_TO)*((('Dvd Calendar'!$Z$1726&lt;=VAL_DATE)+(COUNTIF('Dvd Calendar'!$E$1733:$AR$1733,'Dvd Calendar'!$Z$1726)=0))&gt;0)=0,"",'Dvd Calendar'!$Z$1726*1000000000+ISNUMBER('Dvd Calendar'!$Z$1729)*100000000+('Dvd Calendar'!$Z$1731=SPECIAL_LBL)*10000000+(N('Dvd Calendar'!$Z$1725)&gt;0)*(N('Dvd Calendar'!$Z$1725)&lt;=VAL_SERIAL)*1000000+16*1000+22))</f>
        <v/>
      </c>
      <c r="FA175" s="39">
        <f>IF(N('Dvd Calendar'!$AA$1726)=0,"",IF(('Dvd Calendar'!$AA$1726&gt;=GRID_FROM)*('Dvd Calendar'!$AA$1726&lt;=GRID_TO)*((('Dvd Calendar'!$AA$1726&lt;=VAL_DATE)+(COUNTIF('Dvd Calendar'!$E$1733:$AR$1733,'Dvd Calendar'!$AA$1726)=0))&gt;0)=0,"",'Dvd Calendar'!$AA$1726*1000000000+ISNUMBER('Dvd Calendar'!$AA$1729)*100000000+('Dvd Calendar'!$AA$1731=SPECIAL_LBL)*10000000+(N('Dvd Calendar'!$AA$1725)&gt;0)*(N('Dvd Calendar'!$AA$1725)&lt;=VAL_SERIAL)*1000000+16*1000+23))</f>
        <v/>
      </c>
      <c r="FB175" s="39">
        <f>IF(N('Dvd Calendar'!$AB$1726)=0,"",IF(('Dvd Calendar'!$AB$1726&gt;=GRID_FROM)*('Dvd Calendar'!$AB$1726&lt;=GRID_TO)*((('Dvd Calendar'!$AB$1726&lt;=VAL_DATE)+(COUNTIF('Dvd Calendar'!$E$1733:$AR$1733,'Dvd Calendar'!$AB$1726)=0))&gt;0)=0,"",'Dvd Calendar'!$AB$1726*1000000000+ISNUMBER('Dvd Calendar'!$AB$1729)*100000000+('Dvd Calendar'!$AB$1731=SPECIAL_LBL)*10000000+(N('Dvd Calendar'!$AB$1725)&gt;0)*(N('Dvd Calendar'!$AB$1725)&lt;=VAL_SERIAL)*1000000+16*1000+24))</f>
        <v/>
      </c>
      <c r="FC175" s="39">
        <f>IF(N('Dvd Calendar'!$AC$1726)=0,"",IF(('Dvd Calendar'!$AC$1726&gt;=GRID_FROM)*('Dvd Calendar'!$AC$1726&lt;=GRID_TO)*((('Dvd Calendar'!$AC$1726&lt;=VAL_DATE)+(COUNTIF('Dvd Calendar'!$E$1733:$AR$1733,'Dvd Calendar'!$AC$1726)=0))&gt;0)=0,"",'Dvd Calendar'!$AC$1726*1000000000+ISNUMBER('Dvd Calendar'!$AC$1729)*100000000+('Dvd Calendar'!$AC$1731=SPECIAL_LBL)*10000000+(N('Dvd Calendar'!$AC$1725)&gt;0)*(N('Dvd Calendar'!$AC$1725)&lt;=VAL_SERIAL)*1000000+16*1000+25))</f>
        <v/>
      </c>
      <c r="FD175" s="39">
        <f>IF(N('Dvd Calendar'!$AD$1726)=0,"",IF(('Dvd Calendar'!$AD$1726&gt;=GRID_FROM)*('Dvd Calendar'!$AD$1726&lt;=GRID_TO)*((('Dvd Calendar'!$AD$1726&lt;=VAL_DATE)+(COUNTIF('Dvd Calendar'!$E$1733:$AR$1733,'Dvd Calendar'!$AD$1726)=0))&gt;0)=0,"",'Dvd Calendar'!$AD$1726*1000000000+ISNUMBER('Dvd Calendar'!$AD$1729)*100000000+('Dvd Calendar'!$AD$1731=SPECIAL_LBL)*10000000+(N('Dvd Calendar'!$AD$1725)&gt;0)*(N('Dvd Calendar'!$AD$1725)&lt;=VAL_SERIAL)*1000000+16*1000+26))</f>
        <v/>
      </c>
      <c r="FE175" s="39">
        <f>IF(N('Dvd Calendar'!$AE$1726)=0,"",IF(('Dvd Calendar'!$AE$1726&gt;=GRID_FROM)*('Dvd Calendar'!$AE$1726&lt;=GRID_TO)*((('Dvd Calendar'!$AE$1726&lt;=VAL_DATE)+(COUNTIF('Dvd Calendar'!$E$1733:$AR$1733,'Dvd Calendar'!$AE$1726)=0))&gt;0)=0,"",'Dvd Calendar'!$AE$1726*1000000000+ISNUMBER('Dvd Calendar'!$AE$1729)*100000000+('Dvd Calendar'!$AE$1731=SPECIAL_LBL)*10000000+(N('Dvd Calendar'!$AE$1725)&gt;0)*(N('Dvd Calendar'!$AE$1725)&lt;=VAL_SERIAL)*1000000+16*1000+27))</f>
        <v/>
      </c>
      <c r="FF175" s="39">
        <f>IF(N('Dvd Calendar'!$AF$1726)=0,"",IF(('Dvd Calendar'!$AF$1726&gt;=GRID_FROM)*('Dvd Calendar'!$AF$1726&lt;=GRID_TO)*((('Dvd Calendar'!$AF$1726&lt;=VAL_DATE)+(COUNTIF('Dvd Calendar'!$E$1733:$AR$1733,'Dvd Calendar'!$AF$1726)=0))&gt;0)=0,"",'Dvd Calendar'!$AF$1726*1000000000+ISNUMBER('Dvd Calendar'!$AF$1729)*100000000+('Dvd Calendar'!$AF$1731=SPECIAL_LBL)*10000000+(N('Dvd Calendar'!$AF$1725)&gt;0)*(N('Dvd Calendar'!$AF$1725)&lt;=VAL_SERIAL)*1000000+16*1000+28))</f>
        <v/>
      </c>
      <c r="FG175" s="39">
        <f>IF(N('Dvd Calendar'!$AG$1726)=0,"",IF(('Dvd Calendar'!$AG$1726&gt;=GRID_FROM)*('Dvd Calendar'!$AG$1726&lt;=GRID_TO)*((('Dvd Calendar'!$AG$1726&lt;=VAL_DATE)+(COUNTIF('Dvd Calendar'!$E$1733:$AR$1733,'Dvd Calendar'!$AG$1726)=0))&gt;0)=0,"",'Dvd Calendar'!$AG$1726*1000000000+ISNUMBER('Dvd Calendar'!$AG$1729)*100000000+('Dvd Calendar'!$AG$1731=SPECIAL_LBL)*10000000+(N('Dvd Calendar'!$AG$1725)&gt;0)*(N('Dvd Calendar'!$AG$1725)&lt;=VAL_SERIAL)*1000000+16*1000+29))</f>
        <v/>
      </c>
      <c r="FH175" s="39">
        <f>IF(N('Dvd Calendar'!$AH$1726)=0,"",IF(('Dvd Calendar'!$AH$1726&gt;=GRID_FROM)*('Dvd Calendar'!$AH$1726&lt;=GRID_TO)*((('Dvd Calendar'!$AH$1726&lt;=VAL_DATE)+(COUNTIF('Dvd Calendar'!$E$1733:$AR$1733,'Dvd Calendar'!$AH$1726)=0))&gt;0)=0,"",'Dvd Calendar'!$AH$1726*1000000000+ISNUMBER('Dvd Calendar'!$AH$1729)*100000000+('Dvd Calendar'!$AH$1731=SPECIAL_LBL)*10000000+(N('Dvd Calendar'!$AH$1725)&gt;0)*(N('Dvd Calendar'!$AH$1725)&lt;=VAL_SERIAL)*1000000+16*1000+30))</f>
        <v/>
      </c>
      <c r="FI175" s="39">
        <f>IF(N('Dvd Calendar'!$AI$1726)=0,"",IF(('Dvd Calendar'!$AI$1726&gt;=GRID_FROM)*('Dvd Calendar'!$AI$1726&lt;=GRID_TO)*((('Dvd Calendar'!$AI$1726&lt;=VAL_DATE)+(COUNTIF('Dvd Calendar'!$E$1733:$AR$1733,'Dvd Calendar'!$AI$1726)=0))&gt;0)=0,"",'Dvd Calendar'!$AI$1726*1000000000+ISNUMBER('Dvd Calendar'!$AI$1729)*100000000+('Dvd Calendar'!$AI$1731=SPECIAL_LBL)*10000000+(N('Dvd Calendar'!$AI$1725)&gt;0)*(N('Dvd Calendar'!$AI$1725)&lt;=VAL_SERIAL)*1000000+16*1000+31))</f>
        <v/>
      </c>
      <c r="FJ175" s="39">
        <f>IF(N('Dvd Calendar'!$AJ$1726)=0,"",IF(('Dvd Calendar'!$AJ$1726&gt;=GRID_FROM)*('Dvd Calendar'!$AJ$1726&lt;=GRID_TO)*((('Dvd Calendar'!$AJ$1726&lt;=VAL_DATE)+(COUNTIF('Dvd Calendar'!$E$1733:$AR$1733,'Dvd Calendar'!$AJ$1726)=0))&gt;0)=0,"",'Dvd Calendar'!$AJ$1726*1000000000+ISNUMBER('Dvd Calendar'!$AJ$1729)*100000000+('Dvd Calendar'!$AJ$1731=SPECIAL_LBL)*10000000+(N('Dvd Calendar'!$AJ$1725)&gt;0)*(N('Dvd Calendar'!$AJ$1725)&lt;=VAL_SERIAL)*1000000+16*1000+32))</f>
        <v/>
      </c>
      <c r="FK175" s="39">
        <f>IF(N('Dvd Calendar'!$AK$1726)=0,"",IF(('Dvd Calendar'!$AK$1726&gt;=GRID_FROM)*('Dvd Calendar'!$AK$1726&lt;=GRID_TO)*((('Dvd Calendar'!$AK$1726&lt;=VAL_DATE)+(COUNTIF('Dvd Calendar'!$E$1733:$AR$1733,'Dvd Calendar'!$AK$1726)=0))&gt;0)=0,"",'Dvd Calendar'!$AK$1726*1000000000+ISNUMBER('Dvd Calendar'!$AK$1729)*100000000+('Dvd Calendar'!$AK$1731=SPECIAL_LBL)*10000000+(N('Dvd Calendar'!$AK$1725)&gt;0)*(N('Dvd Calendar'!$AK$1725)&lt;=VAL_SERIAL)*1000000+16*1000+33))</f>
        <v/>
      </c>
      <c r="FL175" s="39">
        <f>IF(N('Dvd Calendar'!$AL$1726)=0,"",IF(('Dvd Calendar'!$AL$1726&gt;=GRID_FROM)*('Dvd Calendar'!$AL$1726&lt;=GRID_TO)*((('Dvd Calendar'!$AL$1726&lt;=VAL_DATE)+(COUNTIF('Dvd Calendar'!$E$1733:$AR$1733,'Dvd Calendar'!$AL$1726)=0))&gt;0)=0,"",'Dvd Calendar'!$AL$1726*1000000000+ISNUMBER('Dvd Calendar'!$AL$1729)*100000000+('Dvd Calendar'!$AL$1731=SPECIAL_LBL)*10000000+(N('Dvd Calendar'!$AL$1725)&gt;0)*(N('Dvd Calendar'!$AL$1725)&lt;=VAL_SERIAL)*1000000+16*1000+34))</f>
        <v/>
      </c>
      <c r="FM175" s="39">
        <f>IF(N('Dvd Calendar'!$AM$1726)=0,"",IF(('Dvd Calendar'!$AM$1726&gt;=GRID_FROM)*('Dvd Calendar'!$AM$1726&lt;=GRID_TO)*((('Dvd Calendar'!$AM$1726&lt;=VAL_DATE)+(COUNTIF('Dvd Calendar'!$E$1733:$AR$1733,'Dvd Calendar'!$AM$1726)=0))&gt;0)=0,"",'Dvd Calendar'!$AM$1726*1000000000+ISNUMBER('Dvd Calendar'!$AM$1729)*100000000+('Dvd Calendar'!$AM$1731=SPECIAL_LBL)*10000000+(N('Dvd Calendar'!$AM$1725)&gt;0)*(N('Dvd Calendar'!$AM$1725)&lt;=VAL_SERIAL)*1000000+16*1000+35))</f>
        <v/>
      </c>
      <c r="FN175" s="39">
        <f>IF(N('Dvd Calendar'!$AN$1726)=0,"",IF(('Dvd Calendar'!$AN$1726&gt;=GRID_FROM)*('Dvd Calendar'!$AN$1726&lt;=GRID_TO)*((('Dvd Calendar'!$AN$1726&lt;=VAL_DATE)+(COUNTIF('Dvd Calendar'!$E$1733:$AR$1733,'Dvd Calendar'!$AN$1726)=0))&gt;0)=0,"",'Dvd Calendar'!$AN$1726*1000000000+ISNUMBER('Dvd Calendar'!$AN$1729)*100000000+('Dvd Calendar'!$AN$1731=SPECIAL_LBL)*10000000+(N('Dvd Calendar'!$AN$1725)&gt;0)*(N('Dvd Calendar'!$AN$1725)&lt;=VAL_SERIAL)*1000000+16*1000+36))</f>
        <v/>
      </c>
      <c r="FO175" s="39">
        <f>IF(N('Dvd Calendar'!$AO$1726)=0,"",IF(('Dvd Calendar'!$AO$1726&gt;=GRID_FROM)*('Dvd Calendar'!$AO$1726&lt;=GRID_TO)*((('Dvd Calendar'!$AO$1726&lt;=VAL_DATE)+(COUNTIF('Dvd Calendar'!$E$1733:$AR$1733,'Dvd Calendar'!$AO$1726)=0))&gt;0)=0,"",'Dvd Calendar'!$AO$1726*1000000000+ISNUMBER('Dvd Calendar'!$AO$1729)*100000000+('Dvd Calendar'!$AO$1731=SPECIAL_LBL)*10000000+(N('Dvd Calendar'!$AO$1725)&gt;0)*(N('Dvd Calendar'!$AO$1725)&lt;=VAL_SERIAL)*1000000+16*1000+37))</f>
        <v/>
      </c>
      <c r="FP175" s="39">
        <f>IF(N('Dvd Calendar'!$AP$1726)=0,"",IF(('Dvd Calendar'!$AP$1726&gt;=GRID_FROM)*('Dvd Calendar'!$AP$1726&lt;=GRID_TO)*((('Dvd Calendar'!$AP$1726&lt;=VAL_DATE)+(COUNTIF('Dvd Calendar'!$E$1733:$AR$1733,'Dvd Calendar'!$AP$1726)=0))&gt;0)=0,"",'Dvd Calendar'!$AP$1726*1000000000+ISNUMBER('Dvd Calendar'!$AP$1729)*100000000+('Dvd Calendar'!$AP$1731=SPECIAL_LBL)*10000000+(N('Dvd Calendar'!$AP$1725)&gt;0)*(N('Dvd Calendar'!$AP$1725)&lt;=VAL_SERIAL)*1000000+16*1000+38))</f>
        <v/>
      </c>
      <c r="FQ175" s="39">
        <f>IF(N('Dvd Calendar'!$AQ$1726)=0,"",IF(('Dvd Calendar'!$AQ$1726&gt;=GRID_FROM)*('Dvd Calendar'!$AQ$1726&lt;=GRID_TO)*((('Dvd Calendar'!$AQ$1726&lt;=VAL_DATE)+(COUNTIF('Dvd Calendar'!$E$1733:$AR$1733,'Dvd Calendar'!$AQ$1726)=0))&gt;0)=0,"",'Dvd Calendar'!$AQ$1726*1000000000+ISNUMBER('Dvd Calendar'!$AQ$1729)*100000000+('Dvd Calendar'!$AQ$1731=SPECIAL_LBL)*10000000+(N('Dvd Calendar'!$AQ$1725)&gt;0)*(N('Dvd Calendar'!$AQ$1725)&lt;=VAL_SERIAL)*1000000+16*1000+39))</f>
        <v/>
      </c>
      <c r="FR175" s="39">
        <f>IF(N('Dvd Calendar'!$AR$1726)=0,"",IF(('Dvd Calendar'!$AR$1726&gt;=GRID_FROM)*('Dvd Calendar'!$AR$1726&lt;=GRID_TO)*((('Dvd Calendar'!$AR$1726&lt;=VAL_DATE)+(COUNTIF('Dvd Calendar'!$E$1733:$AR$1733,'Dvd Calendar'!$AR$1726)=0))&gt;0)=0,"",'Dvd Calendar'!$AR$1726*1000000000+ISNUMBER('Dvd Calendar'!$AR$1729)*100000000+('Dvd Calendar'!$AR$1731=SPECIAL_LBL)*10000000+(N('Dvd Calendar'!$AR$1725)&gt;0)*(N('Dvd Calendar'!$AR$1725)&lt;=VAL_SERIAL)*1000000+16*1000+40))</f>
        <v/>
      </c>
      <c r="FS175" s="39">
        <f>IF(N('Dvd Calendar'!$E$1733)=0,"",IF(('Dvd Calendar'!$E$1733&gt;=GRID_FROM)*('Dvd Calendar'!$E$1733&lt;=GRID_TO)*('Dvd Calendar'!$E$1733&gt;VAL_DATE)=0,"",'Dvd Calendar'!$E$1733*1000000000+ISNUMBER('Dvd Calendar'!$E$1734)*100000000+0*10000000+(N('Dvd Calendar'!$E$1732)&gt;0)*(N('Dvd Calendar'!$E$1732)&lt;=VAL_SERIAL)*1000000+16*1000+41))</f>
        <v/>
      </c>
      <c r="FT175" s="39">
        <f>IF(N('Dvd Calendar'!$F$1733)=0,"",IF(('Dvd Calendar'!$F$1733&gt;=GRID_FROM)*('Dvd Calendar'!$F$1733&lt;=GRID_TO)*('Dvd Calendar'!$F$1733&gt;VAL_DATE)=0,"",'Dvd Calendar'!$F$1733*1000000000+ISNUMBER('Dvd Calendar'!$F$1734)*100000000+0*10000000+(N('Dvd Calendar'!$F$1732)&gt;0)*(N('Dvd Calendar'!$F$1732)&lt;=VAL_SERIAL)*1000000+16*1000+42))</f>
        <v/>
      </c>
      <c r="FU175" s="39">
        <f>IF(N('Dvd Calendar'!$G$1733)=0,"",IF(('Dvd Calendar'!$G$1733&gt;=GRID_FROM)*('Dvd Calendar'!$G$1733&lt;=GRID_TO)*('Dvd Calendar'!$G$1733&gt;VAL_DATE)=0,"",'Dvd Calendar'!$G$1733*1000000000+ISNUMBER('Dvd Calendar'!$G$1734)*100000000+0*10000000+(N('Dvd Calendar'!$G$1732)&gt;0)*(N('Dvd Calendar'!$G$1732)&lt;=VAL_SERIAL)*1000000+16*1000+43))</f>
        <v/>
      </c>
      <c r="FV175" s="39">
        <f>IF(N('Dvd Calendar'!$H$1733)=0,"",IF(('Dvd Calendar'!$H$1733&gt;=GRID_FROM)*('Dvd Calendar'!$H$1733&lt;=GRID_TO)*('Dvd Calendar'!$H$1733&gt;VAL_DATE)=0,"",'Dvd Calendar'!$H$1733*1000000000+ISNUMBER('Dvd Calendar'!$H$1734)*100000000+0*10000000+(N('Dvd Calendar'!$H$1732)&gt;0)*(N('Dvd Calendar'!$H$1732)&lt;=VAL_SERIAL)*1000000+16*1000+44))</f>
        <v/>
      </c>
      <c r="FW175" s="39">
        <f>IF(N('Dvd Calendar'!$I$1733)=0,"",IF(('Dvd Calendar'!$I$1733&gt;=GRID_FROM)*('Dvd Calendar'!$I$1733&lt;=GRID_TO)*('Dvd Calendar'!$I$1733&gt;VAL_DATE)=0,"",'Dvd Calendar'!$I$1733*1000000000+ISNUMBER('Dvd Calendar'!$I$1734)*100000000+0*10000000+(N('Dvd Calendar'!$I$1732)&gt;0)*(N('Dvd Calendar'!$I$1732)&lt;=VAL_SERIAL)*1000000+16*1000+45))</f>
        <v/>
      </c>
      <c r="FX175" s="39">
        <f>IF(N('Dvd Calendar'!$J$1733)=0,"",IF(('Dvd Calendar'!$J$1733&gt;=GRID_FROM)*('Dvd Calendar'!$J$1733&lt;=GRID_TO)*('Dvd Calendar'!$J$1733&gt;VAL_DATE)=0,"",'Dvd Calendar'!$J$1733*1000000000+ISNUMBER('Dvd Calendar'!$J$1734)*100000000+0*10000000+(N('Dvd Calendar'!$J$1732)&gt;0)*(N('Dvd Calendar'!$J$1732)&lt;=VAL_SERIAL)*1000000+16*1000+46))</f>
        <v/>
      </c>
      <c r="FY175" s="39">
        <f>IF(N('Dvd Calendar'!$K$1733)=0,"",IF(('Dvd Calendar'!$K$1733&gt;=GRID_FROM)*('Dvd Calendar'!$K$1733&lt;=GRID_TO)*('Dvd Calendar'!$K$1733&gt;VAL_DATE)=0,"",'Dvd Calendar'!$K$1733*1000000000+ISNUMBER('Dvd Calendar'!$K$1734)*100000000+0*10000000+(N('Dvd Calendar'!$K$1732)&gt;0)*(N('Dvd Calendar'!$K$1732)&lt;=VAL_SERIAL)*1000000+16*1000+47))</f>
        <v/>
      </c>
      <c r="FZ175" s="39">
        <f>IF(N('Dvd Calendar'!$L$1733)=0,"",IF(('Dvd Calendar'!$L$1733&gt;=GRID_FROM)*('Dvd Calendar'!$L$1733&lt;=GRID_TO)*('Dvd Calendar'!$L$1733&gt;VAL_DATE)=0,"",'Dvd Calendar'!$L$1733*1000000000+ISNUMBER('Dvd Calendar'!$L$1734)*100000000+0*10000000+(N('Dvd Calendar'!$L$1732)&gt;0)*(N('Dvd Calendar'!$L$1732)&lt;=VAL_SERIAL)*1000000+16*1000+48))</f>
        <v/>
      </c>
      <c r="GA175" s="39">
        <f>IF(N('Dvd Calendar'!$M$1733)=0,"",IF(('Dvd Calendar'!$M$1733&gt;=GRID_FROM)*('Dvd Calendar'!$M$1733&lt;=GRID_TO)*('Dvd Calendar'!$M$1733&gt;VAL_DATE)=0,"",'Dvd Calendar'!$M$1733*1000000000+ISNUMBER('Dvd Calendar'!$M$1734)*100000000+0*10000000+(N('Dvd Calendar'!$M$1732)&gt;0)*(N('Dvd Calendar'!$M$1732)&lt;=VAL_SERIAL)*1000000+16*1000+49))</f>
        <v/>
      </c>
      <c r="GB175" s="39">
        <f>IF(N('Dvd Calendar'!$N$1733)=0,"",IF(('Dvd Calendar'!$N$1733&gt;=GRID_FROM)*('Dvd Calendar'!$N$1733&lt;=GRID_TO)*('Dvd Calendar'!$N$1733&gt;VAL_DATE)=0,"",'Dvd Calendar'!$N$1733*1000000000+ISNUMBER('Dvd Calendar'!$N$1734)*100000000+0*10000000+(N('Dvd Calendar'!$N$1732)&gt;0)*(N('Dvd Calendar'!$N$1732)&lt;=VAL_SERIAL)*1000000+16*1000+50))</f>
        <v/>
      </c>
      <c r="GC175" s="39">
        <f>IF(N('Dvd Calendar'!$O$1733)=0,"",IF(('Dvd Calendar'!$O$1733&gt;=GRID_FROM)*('Dvd Calendar'!$O$1733&lt;=GRID_TO)*('Dvd Calendar'!$O$1733&gt;VAL_DATE)=0,"",'Dvd Calendar'!$O$1733*1000000000+ISNUMBER('Dvd Calendar'!$O$1734)*100000000+0*10000000+(N('Dvd Calendar'!$O$1732)&gt;0)*(N('Dvd Calendar'!$O$1732)&lt;=VAL_SERIAL)*1000000+16*1000+51))</f>
        <v/>
      </c>
      <c r="GD175" s="39">
        <f>IF(N('Dvd Calendar'!$P$1733)=0,"",IF(('Dvd Calendar'!$P$1733&gt;=GRID_FROM)*('Dvd Calendar'!$P$1733&lt;=GRID_TO)*('Dvd Calendar'!$P$1733&gt;VAL_DATE)=0,"",'Dvd Calendar'!$P$1733*1000000000+ISNUMBER('Dvd Calendar'!$P$1734)*100000000+0*10000000+(N('Dvd Calendar'!$P$1732)&gt;0)*(N('Dvd Calendar'!$P$1732)&lt;=VAL_SERIAL)*1000000+16*1000+52))</f>
        <v/>
      </c>
      <c r="GE175" s="39">
        <f>IF(N('Dvd Calendar'!$Q$1733)=0,"",IF(('Dvd Calendar'!$Q$1733&gt;=GRID_FROM)*('Dvd Calendar'!$Q$1733&lt;=GRID_TO)*('Dvd Calendar'!$Q$1733&gt;VAL_DATE)=0,"",'Dvd Calendar'!$Q$1733*1000000000+ISNUMBER('Dvd Calendar'!$Q$1734)*100000000+0*10000000+(N('Dvd Calendar'!$Q$1732)&gt;0)*(N('Dvd Calendar'!$Q$1732)&lt;=VAL_SERIAL)*1000000+16*1000+53))</f>
        <v/>
      </c>
      <c r="GF175" s="39">
        <f>IF(N('Dvd Calendar'!$R$1733)=0,"",IF(('Dvd Calendar'!$R$1733&gt;=GRID_FROM)*('Dvd Calendar'!$R$1733&lt;=GRID_TO)*('Dvd Calendar'!$R$1733&gt;VAL_DATE)=0,"",'Dvd Calendar'!$R$1733*1000000000+ISNUMBER('Dvd Calendar'!$R$1734)*100000000+0*10000000+(N('Dvd Calendar'!$R$1732)&gt;0)*(N('Dvd Calendar'!$R$1732)&lt;=VAL_SERIAL)*1000000+16*1000+54))</f>
        <v/>
      </c>
      <c r="GG175" s="39">
        <f>IF(N('Dvd Calendar'!$S$1733)=0,"",IF(('Dvd Calendar'!$S$1733&gt;=GRID_FROM)*('Dvd Calendar'!$S$1733&lt;=GRID_TO)*('Dvd Calendar'!$S$1733&gt;VAL_DATE)=0,"",'Dvd Calendar'!$S$1733*1000000000+ISNUMBER('Dvd Calendar'!$S$1734)*100000000+0*10000000+(N('Dvd Calendar'!$S$1732)&gt;0)*(N('Dvd Calendar'!$S$1732)&lt;=VAL_SERIAL)*1000000+16*1000+55))</f>
        <v/>
      </c>
      <c r="GH175" s="39">
        <f>IF(N('Dvd Calendar'!$T$1733)=0,"",IF(('Dvd Calendar'!$T$1733&gt;=GRID_FROM)*('Dvd Calendar'!$T$1733&lt;=GRID_TO)*('Dvd Calendar'!$T$1733&gt;VAL_DATE)=0,"",'Dvd Calendar'!$T$1733*1000000000+ISNUMBER('Dvd Calendar'!$T$1734)*100000000+0*10000000+(N('Dvd Calendar'!$T$1732)&gt;0)*(N('Dvd Calendar'!$T$1732)&lt;=VAL_SERIAL)*1000000+16*1000+56))</f>
        <v/>
      </c>
      <c r="GI175" s="39">
        <f>IF(N('Dvd Calendar'!$U$1733)=0,"",IF(('Dvd Calendar'!$U$1733&gt;=GRID_FROM)*('Dvd Calendar'!$U$1733&lt;=GRID_TO)*('Dvd Calendar'!$U$1733&gt;VAL_DATE)=0,"",'Dvd Calendar'!$U$1733*1000000000+ISNUMBER('Dvd Calendar'!$U$1734)*100000000+0*10000000+(N('Dvd Calendar'!$U$1732)&gt;0)*(N('Dvd Calendar'!$U$1732)&lt;=VAL_SERIAL)*1000000+16*1000+57))</f>
        <v/>
      </c>
      <c r="GJ175" s="39">
        <f>IF(N('Dvd Calendar'!$V$1733)=0,"",IF(('Dvd Calendar'!$V$1733&gt;=GRID_FROM)*('Dvd Calendar'!$V$1733&lt;=GRID_TO)*('Dvd Calendar'!$V$1733&gt;VAL_DATE)=0,"",'Dvd Calendar'!$V$1733*1000000000+ISNUMBER('Dvd Calendar'!$V$1734)*100000000+0*10000000+(N('Dvd Calendar'!$V$1732)&gt;0)*(N('Dvd Calendar'!$V$1732)&lt;=VAL_SERIAL)*1000000+16*1000+58))</f>
        <v/>
      </c>
      <c r="GK175" s="39">
        <f>IF(N('Dvd Calendar'!$W$1733)=0,"",IF(('Dvd Calendar'!$W$1733&gt;=GRID_FROM)*('Dvd Calendar'!$W$1733&lt;=GRID_TO)*('Dvd Calendar'!$W$1733&gt;VAL_DATE)=0,"",'Dvd Calendar'!$W$1733*1000000000+ISNUMBER('Dvd Calendar'!$W$1734)*100000000+0*10000000+(N('Dvd Calendar'!$W$1732)&gt;0)*(N('Dvd Calendar'!$W$1732)&lt;=VAL_SERIAL)*1000000+16*1000+59))</f>
        <v/>
      </c>
      <c r="GL175" s="39">
        <f>IF(N('Dvd Calendar'!$X$1733)=0,"",IF(('Dvd Calendar'!$X$1733&gt;=GRID_FROM)*('Dvd Calendar'!$X$1733&lt;=GRID_TO)*('Dvd Calendar'!$X$1733&gt;VAL_DATE)=0,"",'Dvd Calendar'!$X$1733*1000000000+ISNUMBER('Dvd Calendar'!$X$1734)*100000000+0*10000000+(N('Dvd Calendar'!$X$1732)&gt;0)*(N('Dvd Calendar'!$X$1732)&lt;=VAL_SERIAL)*1000000+16*1000+60))</f>
        <v/>
      </c>
      <c r="GM175" s="39">
        <f>IF(N('Dvd Calendar'!$Y$1733)=0,"",IF(('Dvd Calendar'!$Y$1733&gt;=GRID_FROM)*('Dvd Calendar'!$Y$1733&lt;=GRID_TO)*('Dvd Calendar'!$Y$1733&gt;VAL_DATE)=0,"",'Dvd Calendar'!$Y$1733*1000000000+ISNUMBER('Dvd Calendar'!$Y$1734)*100000000+0*10000000+(N('Dvd Calendar'!$Y$1732)&gt;0)*(N('Dvd Calendar'!$Y$1732)&lt;=VAL_SERIAL)*1000000+16*1000+61))</f>
        <v/>
      </c>
      <c r="GN175" s="39">
        <f>IF(N('Dvd Calendar'!$Z$1733)=0,"",IF(('Dvd Calendar'!$Z$1733&gt;=GRID_FROM)*('Dvd Calendar'!$Z$1733&lt;=GRID_TO)*('Dvd Calendar'!$Z$1733&gt;VAL_DATE)=0,"",'Dvd Calendar'!$Z$1733*1000000000+ISNUMBER('Dvd Calendar'!$Z$1734)*100000000+0*10000000+(N('Dvd Calendar'!$Z$1732)&gt;0)*(N('Dvd Calendar'!$Z$1732)&lt;=VAL_SERIAL)*1000000+16*1000+62))</f>
        <v/>
      </c>
      <c r="GO175" s="39">
        <f>IF(N('Dvd Calendar'!$AA$1733)=0,"",IF(('Dvd Calendar'!$AA$1733&gt;=GRID_FROM)*('Dvd Calendar'!$AA$1733&lt;=GRID_TO)*('Dvd Calendar'!$AA$1733&gt;VAL_DATE)=0,"",'Dvd Calendar'!$AA$1733*1000000000+ISNUMBER('Dvd Calendar'!$AA$1734)*100000000+0*10000000+(N('Dvd Calendar'!$AA$1732)&gt;0)*(N('Dvd Calendar'!$AA$1732)&lt;=VAL_SERIAL)*1000000+16*1000+63))</f>
        <v/>
      </c>
      <c r="GP175" s="39">
        <f>IF(N('Dvd Calendar'!$AB$1733)=0,"",IF(('Dvd Calendar'!$AB$1733&gt;=GRID_FROM)*('Dvd Calendar'!$AB$1733&lt;=GRID_TO)*('Dvd Calendar'!$AB$1733&gt;VAL_DATE)=0,"",'Dvd Calendar'!$AB$1733*1000000000+ISNUMBER('Dvd Calendar'!$AB$1734)*100000000+0*10000000+(N('Dvd Calendar'!$AB$1732)&gt;0)*(N('Dvd Calendar'!$AB$1732)&lt;=VAL_SERIAL)*1000000+16*1000+64))</f>
        <v/>
      </c>
      <c r="GQ175" s="39">
        <f>IF(N('Dvd Calendar'!$AC$1733)=0,"",IF(('Dvd Calendar'!$AC$1733&gt;=GRID_FROM)*('Dvd Calendar'!$AC$1733&lt;=GRID_TO)*('Dvd Calendar'!$AC$1733&gt;VAL_DATE)=0,"",'Dvd Calendar'!$AC$1733*1000000000+ISNUMBER('Dvd Calendar'!$AC$1734)*100000000+0*10000000+(N('Dvd Calendar'!$AC$1732)&gt;0)*(N('Dvd Calendar'!$AC$1732)&lt;=VAL_SERIAL)*1000000+16*1000+65))</f>
        <v/>
      </c>
    </row>
    <row r="176">
      <c r="B176" s="2">
        <f>IF(HSCEI!$C$23="","",HSCEI!$C$23)</f>
        <v/>
      </c>
      <c r="C176" s="110">
        <f>IF(EE176="","",IF(ISNUMBER('Dvd Calendar'!$E$1740)=FALSE,"",IF((('Dvd Calendar'!$E$1742=TYPE1)*(TYPE1&lt;&gt;"")+('Dvd Calendar'!$E$1742=TYPE2)*(TYPE2&lt;&gt;"")+('Dvd Calendar'!$E$1742=TYPE3)*(TYPE3&lt;&gt;"")+('Dvd Calendar'!$E$1742=TYPE4)*(TYPE4&lt;&gt;"")+('Dvd Calendar'!$E$1742=SPECIAL_LBL)*(INC_SPECIALS="Y"))=0,"",'Dvd Calendar'!$E$1740)))</f>
        <v/>
      </c>
      <c r="D176" s="110">
        <f>IF(EF176="","",IF(ISNUMBER('Dvd Calendar'!$F$1740)=FALSE,"",IF((('Dvd Calendar'!$F$1742=TYPE1)*(TYPE1&lt;&gt;"")+('Dvd Calendar'!$F$1742=TYPE2)*(TYPE2&lt;&gt;"")+('Dvd Calendar'!$F$1742=TYPE3)*(TYPE3&lt;&gt;"")+('Dvd Calendar'!$F$1742=TYPE4)*(TYPE4&lt;&gt;"")+('Dvd Calendar'!$F$1742=SPECIAL_LBL)*(INC_SPECIALS="Y"))=0,"",'Dvd Calendar'!$F$1740)))</f>
        <v/>
      </c>
      <c r="E176" s="110">
        <f>IF(EG176="","",IF(ISNUMBER('Dvd Calendar'!$G$1740)=FALSE,"",IF((('Dvd Calendar'!$G$1742=TYPE1)*(TYPE1&lt;&gt;"")+('Dvd Calendar'!$G$1742=TYPE2)*(TYPE2&lt;&gt;"")+('Dvd Calendar'!$G$1742=TYPE3)*(TYPE3&lt;&gt;"")+('Dvd Calendar'!$G$1742=TYPE4)*(TYPE4&lt;&gt;"")+('Dvd Calendar'!$G$1742=SPECIAL_LBL)*(INC_SPECIALS="Y"))=0,"",'Dvd Calendar'!$G$1740)))</f>
        <v/>
      </c>
      <c r="F176" s="110">
        <f>IF(EH176="","",IF(ISNUMBER('Dvd Calendar'!$H$1740)=FALSE,"",IF((('Dvd Calendar'!$H$1742=TYPE1)*(TYPE1&lt;&gt;"")+('Dvd Calendar'!$H$1742=TYPE2)*(TYPE2&lt;&gt;"")+('Dvd Calendar'!$H$1742=TYPE3)*(TYPE3&lt;&gt;"")+('Dvd Calendar'!$H$1742=TYPE4)*(TYPE4&lt;&gt;"")+('Dvd Calendar'!$H$1742=SPECIAL_LBL)*(INC_SPECIALS="Y"))=0,"",'Dvd Calendar'!$H$1740)))</f>
        <v/>
      </c>
      <c r="G176" s="110">
        <f>IF(EI176="","",IF(ISNUMBER('Dvd Calendar'!$I$1740)=FALSE,"",IF((('Dvd Calendar'!$I$1742=TYPE1)*(TYPE1&lt;&gt;"")+('Dvd Calendar'!$I$1742=TYPE2)*(TYPE2&lt;&gt;"")+('Dvd Calendar'!$I$1742=TYPE3)*(TYPE3&lt;&gt;"")+('Dvd Calendar'!$I$1742=TYPE4)*(TYPE4&lt;&gt;"")+('Dvd Calendar'!$I$1742=SPECIAL_LBL)*(INC_SPECIALS="Y"))=0,"",'Dvd Calendar'!$I$1740)))</f>
        <v/>
      </c>
      <c r="H176" s="110">
        <f>IF(EJ176="","",IF(ISNUMBER('Dvd Calendar'!$J$1740)=FALSE,"",IF((('Dvd Calendar'!$J$1742=TYPE1)*(TYPE1&lt;&gt;"")+('Dvd Calendar'!$J$1742=TYPE2)*(TYPE2&lt;&gt;"")+('Dvd Calendar'!$J$1742=TYPE3)*(TYPE3&lt;&gt;"")+('Dvd Calendar'!$J$1742=TYPE4)*(TYPE4&lt;&gt;"")+('Dvd Calendar'!$J$1742=SPECIAL_LBL)*(INC_SPECIALS="Y"))=0,"",'Dvd Calendar'!$J$1740)))</f>
        <v/>
      </c>
      <c r="I176" s="110">
        <f>IF(EK176="","",IF(ISNUMBER('Dvd Calendar'!$K$1740)=FALSE,"",IF((('Dvd Calendar'!$K$1742=TYPE1)*(TYPE1&lt;&gt;"")+('Dvd Calendar'!$K$1742=TYPE2)*(TYPE2&lt;&gt;"")+('Dvd Calendar'!$K$1742=TYPE3)*(TYPE3&lt;&gt;"")+('Dvd Calendar'!$K$1742=TYPE4)*(TYPE4&lt;&gt;"")+('Dvd Calendar'!$K$1742=SPECIAL_LBL)*(INC_SPECIALS="Y"))=0,"",'Dvd Calendar'!$K$1740)))</f>
        <v/>
      </c>
      <c r="J176" s="110">
        <f>IF(EL176="","",IF(ISNUMBER('Dvd Calendar'!$L$1740)=FALSE,"",IF((('Dvd Calendar'!$L$1742=TYPE1)*(TYPE1&lt;&gt;"")+('Dvd Calendar'!$L$1742=TYPE2)*(TYPE2&lt;&gt;"")+('Dvd Calendar'!$L$1742=TYPE3)*(TYPE3&lt;&gt;"")+('Dvd Calendar'!$L$1742=TYPE4)*(TYPE4&lt;&gt;"")+('Dvd Calendar'!$L$1742=SPECIAL_LBL)*(INC_SPECIALS="Y"))=0,"",'Dvd Calendar'!$L$1740)))</f>
        <v/>
      </c>
      <c r="K176" s="110">
        <f>IF(EM176="","",IF(ISNUMBER('Dvd Calendar'!$M$1740)=FALSE,"",IF((('Dvd Calendar'!$M$1742=TYPE1)*(TYPE1&lt;&gt;"")+('Dvd Calendar'!$M$1742=TYPE2)*(TYPE2&lt;&gt;"")+('Dvd Calendar'!$M$1742=TYPE3)*(TYPE3&lt;&gt;"")+('Dvd Calendar'!$M$1742=TYPE4)*(TYPE4&lt;&gt;"")+('Dvd Calendar'!$M$1742=SPECIAL_LBL)*(INC_SPECIALS="Y"))=0,"",'Dvd Calendar'!$M$1740)))</f>
        <v/>
      </c>
      <c r="L176" s="110">
        <f>IF(EN176="","",IF(ISNUMBER('Dvd Calendar'!$N$1740)=FALSE,"",IF((('Dvd Calendar'!$N$1742=TYPE1)*(TYPE1&lt;&gt;"")+('Dvd Calendar'!$N$1742=TYPE2)*(TYPE2&lt;&gt;"")+('Dvd Calendar'!$N$1742=TYPE3)*(TYPE3&lt;&gt;"")+('Dvd Calendar'!$N$1742=TYPE4)*(TYPE4&lt;&gt;"")+('Dvd Calendar'!$N$1742=SPECIAL_LBL)*(INC_SPECIALS="Y"))=0,"",'Dvd Calendar'!$N$1740)))</f>
        <v/>
      </c>
      <c r="M176" s="110">
        <f>IF(EO176="","",IF(ISNUMBER('Dvd Calendar'!$O$1740)=FALSE,"",IF((('Dvd Calendar'!$O$1742=TYPE1)*(TYPE1&lt;&gt;"")+('Dvd Calendar'!$O$1742=TYPE2)*(TYPE2&lt;&gt;"")+('Dvd Calendar'!$O$1742=TYPE3)*(TYPE3&lt;&gt;"")+('Dvd Calendar'!$O$1742=TYPE4)*(TYPE4&lt;&gt;"")+('Dvd Calendar'!$O$1742=SPECIAL_LBL)*(INC_SPECIALS="Y"))=0,"",'Dvd Calendar'!$O$1740)))</f>
        <v/>
      </c>
      <c r="N176" s="110">
        <f>IF(EP176="","",IF(ISNUMBER('Dvd Calendar'!$P$1740)=FALSE,"",IF((('Dvd Calendar'!$P$1742=TYPE1)*(TYPE1&lt;&gt;"")+('Dvd Calendar'!$P$1742=TYPE2)*(TYPE2&lt;&gt;"")+('Dvd Calendar'!$P$1742=TYPE3)*(TYPE3&lt;&gt;"")+('Dvd Calendar'!$P$1742=TYPE4)*(TYPE4&lt;&gt;"")+('Dvd Calendar'!$P$1742=SPECIAL_LBL)*(INC_SPECIALS="Y"))=0,"",'Dvd Calendar'!$P$1740)))</f>
        <v/>
      </c>
      <c r="O176" s="110">
        <f>IF(EQ176="","",IF(ISNUMBER('Dvd Calendar'!$Q$1740)=FALSE,"",IF((('Dvd Calendar'!$Q$1742=TYPE1)*(TYPE1&lt;&gt;"")+('Dvd Calendar'!$Q$1742=TYPE2)*(TYPE2&lt;&gt;"")+('Dvd Calendar'!$Q$1742=TYPE3)*(TYPE3&lt;&gt;"")+('Dvd Calendar'!$Q$1742=TYPE4)*(TYPE4&lt;&gt;"")+('Dvd Calendar'!$Q$1742=SPECIAL_LBL)*(INC_SPECIALS="Y"))=0,"",'Dvd Calendar'!$Q$1740)))</f>
        <v/>
      </c>
      <c r="P176" s="110">
        <f>IF(ER176="","",IF(ISNUMBER('Dvd Calendar'!$R$1740)=FALSE,"",IF((('Dvd Calendar'!$R$1742=TYPE1)*(TYPE1&lt;&gt;"")+('Dvd Calendar'!$R$1742=TYPE2)*(TYPE2&lt;&gt;"")+('Dvd Calendar'!$R$1742=TYPE3)*(TYPE3&lt;&gt;"")+('Dvd Calendar'!$R$1742=TYPE4)*(TYPE4&lt;&gt;"")+('Dvd Calendar'!$R$1742=SPECIAL_LBL)*(INC_SPECIALS="Y"))=0,"",'Dvd Calendar'!$R$1740)))</f>
        <v/>
      </c>
      <c r="Q176" s="110">
        <f>IF(ES176="","",IF(ISNUMBER('Dvd Calendar'!$S$1740)=FALSE,"",IF((('Dvd Calendar'!$S$1742=TYPE1)*(TYPE1&lt;&gt;"")+('Dvd Calendar'!$S$1742=TYPE2)*(TYPE2&lt;&gt;"")+('Dvd Calendar'!$S$1742=TYPE3)*(TYPE3&lt;&gt;"")+('Dvd Calendar'!$S$1742=TYPE4)*(TYPE4&lt;&gt;"")+('Dvd Calendar'!$S$1742=SPECIAL_LBL)*(INC_SPECIALS="Y"))=0,"",'Dvd Calendar'!$S$1740)))</f>
        <v/>
      </c>
      <c r="R176" s="110">
        <f>IF(ET176="","",IF(ISNUMBER('Dvd Calendar'!$T$1740)=FALSE,"",IF((('Dvd Calendar'!$T$1742=TYPE1)*(TYPE1&lt;&gt;"")+('Dvd Calendar'!$T$1742=TYPE2)*(TYPE2&lt;&gt;"")+('Dvd Calendar'!$T$1742=TYPE3)*(TYPE3&lt;&gt;"")+('Dvd Calendar'!$T$1742=TYPE4)*(TYPE4&lt;&gt;"")+('Dvd Calendar'!$T$1742=SPECIAL_LBL)*(INC_SPECIALS="Y"))=0,"",'Dvd Calendar'!$T$1740)))</f>
        <v/>
      </c>
      <c r="S176" s="110">
        <f>IF(EU176="","",IF(ISNUMBER('Dvd Calendar'!$U$1740)=FALSE,"",IF((('Dvd Calendar'!$U$1742=TYPE1)*(TYPE1&lt;&gt;"")+('Dvd Calendar'!$U$1742=TYPE2)*(TYPE2&lt;&gt;"")+('Dvd Calendar'!$U$1742=TYPE3)*(TYPE3&lt;&gt;"")+('Dvd Calendar'!$U$1742=TYPE4)*(TYPE4&lt;&gt;"")+('Dvd Calendar'!$U$1742=SPECIAL_LBL)*(INC_SPECIALS="Y"))=0,"",'Dvd Calendar'!$U$1740)))</f>
        <v/>
      </c>
      <c r="T176" s="110">
        <f>IF(EV176="","",IF(ISNUMBER('Dvd Calendar'!$V$1740)=FALSE,"",IF((('Dvd Calendar'!$V$1742=TYPE1)*(TYPE1&lt;&gt;"")+('Dvd Calendar'!$V$1742=TYPE2)*(TYPE2&lt;&gt;"")+('Dvd Calendar'!$V$1742=TYPE3)*(TYPE3&lt;&gt;"")+('Dvd Calendar'!$V$1742=TYPE4)*(TYPE4&lt;&gt;"")+('Dvd Calendar'!$V$1742=SPECIAL_LBL)*(INC_SPECIALS="Y"))=0,"",'Dvd Calendar'!$V$1740)))</f>
        <v/>
      </c>
      <c r="U176" s="110">
        <f>IF(EW176="","",IF(ISNUMBER('Dvd Calendar'!$W$1740)=FALSE,"",IF((('Dvd Calendar'!$W$1742=TYPE1)*(TYPE1&lt;&gt;"")+('Dvd Calendar'!$W$1742=TYPE2)*(TYPE2&lt;&gt;"")+('Dvd Calendar'!$W$1742=TYPE3)*(TYPE3&lt;&gt;"")+('Dvd Calendar'!$W$1742=TYPE4)*(TYPE4&lt;&gt;"")+('Dvd Calendar'!$W$1742=SPECIAL_LBL)*(INC_SPECIALS="Y"))=0,"",'Dvd Calendar'!$W$1740)))</f>
        <v/>
      </c>
      <c r="V176" s="110">
        <f>IF(EX176="","",IF(ISNUMBER('Dvd Calendar'!$X$1740)=FALSE,"",IF((('Dvd Calendar'!$X$1742=TYPE1)*(TYPE1&lt;&gt;"")+('Dvd Calendar'!$X$1742=TYPE2)*(TYPE2&lt;&gt;"")+('Dvd Calendar'!$X$1742=TYPE3)*(TYPE3&lt;&gt;"")+('Dvd Calendar'!$X$1742=TYPE4)*(TYPE4&lt;&gt;"")+('Dvd Calendar'!$X$1742=SPECIAL_LBL)*(INC_SPECIALS="Y"))=0,"",'Dvd Calendar'!$X$1740)))</f>
        <v/>
      </c>
      <c r="W176" s="110">
        <f>IF(EY176="","",IF(ISNUMBER('Dvd Calendar'!$Y$1740)=FALSE,"",IF((('Dvd Calendar'!$Y$1742=TYPE1)*(TYPE1&lt;&gt;"")+('Dvd Calendar'!$Y$1742=TYPE2)*(TYPE2&lt;&gt;"")+('Dvd Calendar'!$Y$1742=TYPE3)*(TYPE3&lt;&gt;"")+('Dvd Calendar'!$Y$1742=TYPE4)*(TYPE4&lt;&gt;"")+('Dvd Calendar'!$Y$1742=SPECIAL_LBL)*(INC_SPECIALS="Y"))=0,"",'Dvd Calendar'!$Y$1740)))</f>
        <v/>
      </c>
      <c r="X176" s="110">
        <f>IF(EZ176="","",IF(ISNUMBER('Dvd Calendar'!$Z$1740)=FALSE,"",IF((('Dvd Calendar'!$Z$1742=TYPE1)*(TYPE1&lt;&gt;"")+('Dvd Calendar'!$Z$1742=TYPE2)*(TYPE2&lt;&gt;"")+('Dvd Calendar'!$Z$1742=TYPE3)*(TYPE3&lt;&gt;"")+('Dvd Calendar'!$Z$1742=TYPE4)*(TYPE4&lt;&gt;"")+('Dvd Calendar'!$Z$1742=SPECIAL_LBL)*(INC_SPECIALS="Y"))=0,"",'Dvd Calendar'!$Z$1740)))</f>
        <v/>
      </c>
      <c r="Y176" s="110">
        <f>IF(FA176="","",IF(ISNUMBER('Dvd Calendar'!$AA$1740)=FALSE,"",IF((('Dvd Calendar'!$AA$1742=TYPE1)*(TYPE1&lt;&gt;"")+('Dvd Calendar'!$AA$1742=TYPE2)*(TYPE2&lt;&gt;"")+('Dvd Calendar'!$AA$1742=TYPE3)*(TYPE3&lt;&gt;"")+('Dvd Calendar'!$AA$1742=TYPE4)*(TYPE4&lt;&gt;"")+('Dvd Calendar'!$AA$1742=SPECIAL_LBL)*(INC_SPECIALS="Y"))=0,"",'Dvd Calendar'!$AA$1740)))</f>
        <v/>
      </c>
      <c r="Z176" s="110">
        <f>IF(FB176="","",IF(ISNUMBER('Dvd Calendar'!$AB$1740)=FALSE,"",IF((('Dvd Calendar'!$AB$1742=TYPE1)*(TYPE1&lt;&gt;"")+('Dvd Calendar'!$AB$1742=TYPE2)*(TYPE2&lt;&gt;"")+('Dvd Calendar'!$AB$1742=TYPE3)*(TYPE3&lt;&gt;"")+('Dvd Calendar'!$AB$1742=TYPE4)*(TYPE4&lt;&gt;"")+('Dvd Calendar'!$AB$1742=SPECIAL_LBL)*(INC_SPECIALS="Y"))=0,"",'Dvd Calendar'!$AB$1740)))</f>
        <v/>
      </c>
      <c r="AA176" s="110">
        <f>IF(FC176="","",IF(ISNUMBER('Dvd Calendar'!$AC$1740)=FALSE,"",IF((('Dvd Calendar'!$AC$1742=TYPE1)*(TYPE1&lt;&gt;"")+('Dvd Calendar'!$AC$1742=TYPE2)*(TYPE2&lt;&gt;"")+('Dvd Calendar'!$AC$1742=TYPE3)*(TYPE3&lt;&gt;"")+('Dvd Calendar'!$AC$1742=TYPE4)*(TYPE4&lt;&gt;"")+('Dvd Calendar'!$AC$1742=SPECIAL_LBL)*(INC_SPECIALS="Y"))=0,"",'Dvd Calendar'!$AC$1740)))</f>
        <v/>
      </c>
      <c r="AB176" s="110">
        <f>IF(FD176="","",IF(ISNUMBER('Dvd Calendar'!$AD$1740)=FALSE,"",IF((('Dvd Calendar'!$AD$1742=TYPE1)*(TYPE1&lt;&gt;"")+('Dvd Calendar'!$AD$1742=TYPE2)*(TYPE2&lt;&gt;"")+('Dvd Calendar'!$AD$1742=TYPE3)*(TYPE3&lt;&gt;"")+('Dvd Calendar'!$AD$1742=TYPE4)*(TYPE4&lt;&gt;"")+('Dvd Calendar'!$AD$1742=SPECIAL_LBL)*(INC_SPECIALS="Y"))=0,"",'Dvd Calendar'!$AD$1740)))</f>
        <v/>
      </c>
      <c r="AC176" s="110">
        <f>IF(FE176="","",IF(ISNUMBER('Dvd Calendar'!$AE$1740)=FALSE,"",IF((('Dvd Calendar'!$AE$1742=TYPE1)*(TYPE1&lt;&gt;"")+('Dvd Calendar'!$AE$1742=TYPE2)*(TYPE2&lt;&gt;"")+('Dvd Calendar'!$AE$1742=TYPE3)*(TYPE3&lt;&gt;"")+('Dvd Calendar'!$AE$1742=TYPE4)*(TYPE4&lt;&gt;"")+('Dvd Calendar'!$AE$1742=SPECIAL_LBL)*(INC_SPECIALS="Y"))=0,"",'Dvd Calendar'!$AE$1740)))</f>
        <v/>
      </c>
      <c r="AD176" s="110">
        <f>IF(FF176="","",IF(ISNUMBER('Dvd Calendar'!$AF$1740)=FALSE,"",IF((('Dvd Calendar'!$AF$1742=TYPE1)*(TYPE1&lt;&gt;"")+('Dvd Calendar'!$AF$1742=TYPE2)*(TYPE2&lt;&gt;"")+('Dvd Calendar'!$AF$1742=TYPE3)*(TYPE3&lt;&gt;"")+('Dvd Calendar'!$AF$1742=TYPE4)*(TYPE4&lt;&gt;"")+('Dvd Calendar'!$AF$1742=SPECIAL_LBL)*(INC_SPECIALS="Y"))=0,"",'Dvd Calendar'!$AF$1740)))</f>
        <v/>
      </c>
      <c r="AE176" s="110">
        <f>IF(FG176="","",IF(ISNUMBER('Dvd Calendar'!$AG$1740)=FALSE,"",IF((('Dvd Calendar'!$AG$1742=TYPE1)*(TYPE1&lt;&gt;"")+('Dvd Calendar'!$AG$1742=TYPE2)*(TYPE2&lt;&gt;"")+('Dvd Calendar'!$AG$1742=TYPE3)*(TYPE3&lt;&gt;"")+('Dvd Calendar'!$AG$1742=TYPE4)*(TYPE4&lt;&gt;"")+('Dvd Calendar'!$AG$1742=SPECIAL_LBL)*(INC_SPECIALS="Y"))=0,"",'Dvd Calendar'!$AG$1740)))</f>
        <v/>
      </c>
      <c r="AF176" s="110">
        <f>IF(FH176="","",IF(ISNUMBER('Dvd Calendar'!$AH$1740)=FALSE,"",IF((('Dvd Calendar'!$AH$1742=TYPE1)*(TYPE1&lt;&gt;"")+('Dvd Calendar'!$AH$1742=TYPE2)*(TYPE2&lt;&gt;"")+('Dvd Calendar'!$AH$1742=TYPE3)*(TYPE3&lt;&gt;"")+('Dvd Calendar'!$AH$1742=TYPE4)*(TYPE4&lt;&gt;"")+('Dvd Calendar'!$AH$1742=SPECIAL_LBL)*(INC_SPECIALS="Y"))=0,"",'Dvd Calendar'!$AH$1740)))</f>
        <v/>
      </c>
      <c r="AG176" s="110">
        <f>IF(FI176="","",IF(ISNUMBER('Dvd Calendar'!$AI$1740)=FALSE,"",IF((('Dvd Calendar'!$AI$1742=TYPE1)*(TYPE1&lt;&gt;"")+('Dvd Calendar'!$AI$1742=TYPE2)*(TYPE2&lt;&gt;"")+('Dvd Calendar'!$AI$1742=TYPE3)*(TYPE3&lt;&gt;"")+('Dvd Calendar'!$AI$1742=TYPE4)*(TYPE4&lt;&gt;"")+('Dvd Calendar'!$AI$1742=SPECIAL_LBL)*(INC_SPECIALS="Y"))=0,"",'Dvd Calendar'!$AI$1740)))</f>
        <v/>
      </c>
      <c r="AH176" s="110">
        <f>IF(FJ176="","",IF(ISNUMBER('Dvd Calendar'!$AJ$1740)=FALSE,"",IF((('Dvd Calendar'!$AJ$1742=TYPE1)*(TYPE1&lt;&gt;"")+('Dvd Calendar'!$AJ$1742=TYPE2)*(TYPE2&lt;&gt;"")+('Dvd Calendar'!$AJ$1742=TYPE3)*(TYPE3&lt;&gt;"")+('Dvd Calendar'!$AJ$1742=TYPE4)*(TYPE4&lt;&gt;"")+('Dvd Calendar'!$AJ$1742=SPECIAL_LBL)*(INC_SPECIALS="Y"))=0,"",'Dvd Calendar'!$AJ$1740)))</f>
        <v/>
      </c>
      <c r="AI176" s="110">
        <f>IF(FK176="","",IF(ISNUMBER('Dvd Calendar'!$AK$1740)=FALSE,"",IF((('Dvd Calendar'!$AK$1742=TYPE1)*(TYPE1&lt;&gt;"")+('Dvd Calendar'!$AK$1742=TYPE2)*(TYPE2&lt;&gt;"")+('Dvd Calendar'!$AK$1742=TYPE3)*(TYPE3&lt;&gt;"")+('Dvd Calendar'!$AK$1742=TYPE4)*(TYPE4&lt;&gt;"")+('Dvd Calendar'!$AK$1742=SPECIAL_LBL)*(INC_SPECIALS="Y"))=0,"",'Dvd Calendar'!$AK$1740)))</f>
        <v/>
      </c>
      <c r="AJ176" s="110">
        <f>IF(FL176="","",IF(ISNUMBER('Dvd Calendar'!$AL$1740)=FALSE,"",IF((('Dvd Calendar'!$AL$1742=TYPE1)*(TYPE1&lt;&gt;"")+('Dvd Calendar'!$AL$1742=TYPE2)*(TYPE2&lt;&gt;"")+('Dvd Calendar'!$AL$1742=TYPE3)*(TYPE3&lt;&gt;"")+('Dvd Calendar'!$AL$1742=TYPE4)*(TYPE4&lt;&gt;"")+('Dvd Calendar'!$AL$1742=SPECIAL_LBL)*(INC_SPECIALS="Y"))=0,"",'Dvd Calendar'!$AL$1740)))</f>
        <v/>
      </c>
      <c r="AK176" s="110">
        <f>IF(FM176="","",IF(ISNUMBER('Dvd Calendar'!$AM$1740)=FALSE,"",IF((('Dvd Calendar'!$AM$1742=TYPE1)*(TYPE1&lt;&gt;"")+('Dvd Calendar'!$AM$1742=TYPE2)*(TYPE2&lt;&gt;"")+('Dvd Calendar'!$AM$1742=TYPE3)*(TYPE3&lt;&gt;"")+('Dvd Calendar'!$AM$1742=TYPE4)*(TYPE4&lt;&gt;"")+('Dvd Calendar'!$AM$1742=SPECIAL_LBL)*(INC_SPECIALS="Y"))=0,"",'Dvd Calendar'!$AM$1740)))</f>
        <v/>
      </c>
      <c r="AL176" s="110">
        <f>IF(FN176="","",IF(ISNUMBER('Dvd Calendar'!$AN$1740)=FALSE,"",IF((('Dvd Calendar'!$AN$1742=TYPE1)*(TYPE1&lt;&gt;"")+('Dvd Calendar'!$AN$1742=TYPE2)*(TYPE2&lt;&gt;"")+('Dvd Calendar'!$AN$1742=TYPE3)*(TYPE3&lt;&gt;"")+('Dvd Calendar'!$AN$1742=TYPE4)*(TYPE4&lt;&gt;"")+('Dvd Calendar'!$AN$1742=SPECIAL_LBL)*(INC_SPECIALS="Y"))=0,"",'Dvd Calendar'!$AN$1740)))</f>
        <v/>
      </c>
      <c r="AM176" s="110">
        <f>IF(FO176="","",IF(ISNUMBER('Dvd Calendar'!$AO$1740)=FALSE,"",IF((('Dvd Calendar'!$AO$1742=TYPE1)*(TYPE1&lt;&gt;"")+('Dvd Calendar'!$AO$1742=TYPE2)*(TYPE2&lt;&gt;"")+('Dvd Calendar'!$AO$1742=TYPE3)*(TYPE3&lt;&gt;"")+('Dvd Calendar'!$AO$1742=TYPE4)*(TYPE4&lt;&gt;"")+('Dvd Calendar'!$AO$1742=SPECIAL_LBL)*(INC_SPECIALS="Y"))=0,"",'Dvd Calendar'!$AO$1740)))</f>
        <v/>
      </c>
      <c r="AN176" s="110">
        <f>IF(FP176="","",IF(ISNUMBER('Dvd Calendar'!$AP$1740)=FALSE,"",IF((('Dvd Calendar'!$AP$1742=TYPE1)*(TYPE1&lt;&gt;"")+('Dvd Calendar'!$AP$1742=TYPE2)*(TYPE2&lt;&gt;"")+('Dvd Calendar'!$AP$1742=TYPE3)*(TYPE3&lt;&gt;"")+('Dvd Calendar'!$AP$1742=TYPE4)*(TYPE4&lt;&gt;"")+('Dvd Calendar'!$AP$1742=SPECIAL_LBL)*(INC_SPECIALS="Y"))=0,"",'Dvd Calendar'!$AP$1740)))</f>
        <v/>
      </c>
      <c r="AO176" s="110">
        <f>IF(FQ176="","",IF(ISNUMBER('Dvd Calendar'!$AQ$1740)=FALSE,"",IF((('Dvd Calendar'!$AQ$1742=TYPE1)*(TYPE1&lt;&gt;"")+('Dvd Calendar'!$AQ$1742=TYPE2)*(TYPE2&lt;&gt;"")+('Dvd Calendar'!$AQ$1742=TYPE3)*(TYPE3&lt;&gt;"")+('Dvd Calendar'!$AQ$1742=TYPE4)*(TYPE4&lt;&gt;"")+('Dvd Calendar'!$AQ$1742=SPECIAL_LBL)*(INC_SPECIALS="Y"))=0,"",'Dvd Calendar'!$AQ$1740)))</f>
        <v/>
      </c>
      <c r="AP176" s="110">
        <f>IF(FR176="","",IF(ISNUMBER('Dvd Calendar'!$AR$1740)=FALSE,"",IF((('Dvd Calendar'!$AR$1742=TYPE1)*(TYPE1&lt;&gt;"")+('Dvd Calendar'!$AR$1742=TYPE2)*(TYPE2&lt;&gt;"")+('Dvd Calendar'!$AR$1742=TYPE3)*(TYPE3&lt;&gt;"")+('Dvd Calendar'!$AR$1742=TYPE4)*(TYPE4&lt;&gt;"")+('Dvd Calendar'!$AR$1742=SPECIAL_LBL)*(INC_SPECIALS="Y"))=0,"",'Dvd Calendar'!$AR$1740)))</f>
        <v/>
      </c>
      <c r="AQ176" s="110">
        <f>IF(FS176="","",IF(ISNUMBER('Dvd Calendar'!$E$1745)=FALSE,"",'Dvd Calendar'!$E$1745))</f>
        <v/>
      </c>
      <c r="AR176" s="110">
        <f>IF(FT176="","",IF(ISNUMBER('Dvd Calendar'!$F$1745)=FALSE,"",'Dvd Calendar'!$F$1745))</f>
        <v/>
      </c>
      <c r="AS176" s="110">
        <f>IF(FU176="","",IF(ISNUMBER('Dvd Calendar'!$G$1745)=FALSE,"",'Dvd Calendar'!$G$1745))</f>
        <v/>
      </c>
      <c r="AT176" s="110">
        <f>IF(FV176="","",IF(ISNUMBER('Dvd Calendar'!$H$1745)=FALSE,"",'Dvd Calendar'!$H$1745))</f>
        <v/>
      </c>
      <c r="AU176" s="110">
        <f>IF(FW176="","",IF(ISNUMBER('Dvd Calendar'!$I$1745)=FALSE,"",'Dvd Calendar'!$I$1745))</f>
        <v/>
      </c>
      <c r="AV176" s="110">
        <f>IF(FX176="","",IF(ISNUMBER('Dvd Calendar'!$J$1745)=FALSE,"",'Dvd Calendar'!$J$1745))</f>
        <v/>
      </c>
      <c r="AW176" s="110">
        <f>IF(FY176="","",IF(ISNUMBER('Dvd Calendar'!$K$1745)=FALSE,"",'Dvd Calendar'!$K$1745))</f>
        <v/>
      </c>
      <c r="AX176" s="110">
        <f>IF(FZ176="","",IF(ISNUMBER('Dvd Calendar'!$L$1745)=FALSE,"",'Dvd Calendar'!$L$1745))</f>
        <v/>
      </c>
      <c r="AY176" s="110">
        <f>IF(GA176="","",IF(ISNUMBER('Dvd Calendar'!$M$1745)=FALSE,"",'Dvd Calendar'!$M$1745))</f>
        <v/>
      </c>
      <c r="AZ176" s="110">
        <f>IF(GB176="","",IF(ISNUMBER('Dvd Calendar'!$N$1745)=FALSE,"",'Dvd Calendar'!$N$1745))</f>
        <v/>
      </c>
      <c r="BA176" s="110">
        <f>IF(GC176="","",IF(ISNUMBER('Dvd Calendar'!$O$1745)=FALSE,"",'Dvd Calendar'!$O$1745))</f>
        <v/>
      </c>
      <c r="BB176" s="110">
        <f>IF(GD176="","",IF(ISNUMBER('Dvd Calendar'!$P$1745)=FALSE,"",'Dvd Calendar'!$P$1745))</f>
        <v/>
      </c>
      <c r="BC176" s="110">
        <f>IF(GE176="","",IF(ISNUMBER('Dvd Calendar'!$Q$1745)=FALSE,"",'Dvd Calendar'!$Q$1745))</f>
        <v/>
      </c>
      <c r="BD176" s="110">
        <f>IF(GF176="","",IF(ISNUMBER('Dvd Calendar'!$R$1745)=FALSE,"",'Dvd Calendar'!$R$1745))</f>
        <v/>
      </c>
      <c r="BE176" s="110">
        <f>IF(GG176="","",IF(ISNUMBER('Dvd Calendar'!$S$1745)=FALSE,"",'Dvd Calendar'!$S$1745))</f>
        <v/>
      </c>
      <c r="BF176" s="110">
        <f>IF(GH176="","",IF(ISNUMBER('Dvd Calendar'!$T$1745)=FALSE,"",'Dvd Calendar'!$T$1745))</f>
        <v/>
      </c>
      <c r="BG176" s="110">
        <f>IF(GI176="","",IF(ISNUMBER('Dvd Calendar'!$U$1745)=FALSE,"",'Dvd Calendar'!$U$1745))</f>
        <v/>
      </c>
      <c r="BH176" s="110">
        <f>IF(GJ176="","",IF(ISNUMBER('Dvd Calendar'!$V$1745)=FALSE,"",'Dvd Calendar'!$V$1745))</f>
        <v/>
      </c>
      <c r="BI176" s="110">
        <f>IF(GK176="","",IF(ISNUMBER('Dvd Calendar'!$W$1745)=FALSE,"",'Dvd Calendar'!$W$1745))</f>
        <v/>
      </c>
      <c r="BJ176" s="110">
        <f>IF(GL176="","",IF(ISNUMBER('Dvd Calendar'!$X$1745)=FALSE,"",'Dvd Calendar'!$X$1745))</f>
        <v/>
      </c>
      <c r="BK176" s="110">
        <f>IF(GM176="","",IF(ISNUMBER('Dvd Calendar'!$Y$1745)=FALSE,"",'Dvd Calendar'!$Y$1745))</f>
        <v/>
      </c>
      <c r="BL176" s="110">
        <f>IF(GN176="","",IF(ISNUMBER('Dvd Calendar'!$Z$1745)=FALSE,"",'Dvd Calendar'!$Z$1745))</f>
        <v/>
      </c>
      <c r="BM176" s="110">
        <f>IF(GO176="","",IF(ISNUMBER('Dvd Calendar'!$AA$1745)=FALSE,"",'Dvd Calendar'!$AA$1745))</f>
        <v/>
      </c>
      <c r="BN176" s="110">
        <f>IF(GP176="","",IF(ISNUMBER('Dvd Calendar'!$AB$1745)=FALSE,"",'Dvd Calendar'!$AB$1745))</f>
        <v/>
      </c>
      <c r="BO176" s="110">
        <f>IF(GQ176="","",IF(ISNUMBER('Dvd Calendar'!$AC$1745)=FALSE,"",'Dvd Calendar'!$AC$1745))</f>
        <v/>
      </c>
      <c r="BQ176" s="110">
        <f>IF(C176="","",IFERROR(C176*HSCEI!$B$23*HSCEI!$G$23/HSCEI!$B$3,""))</f>
        <v/>
      </c>
      <c r="BR176" s="110">
        <f>IF(D176="","",IFERROR(D176*HSCEI!$B$23*HSCEI!$G$23/HSCEI!$B$3,""))</f>
        <v/>
      </c>
      <c r="BS176" s="110">
        <f>IF(E176="","",IFERROR(E176*HSCEI!$B$23*HSCEI!$G$23/HSCEI!$B$3,""))</f>
        <v/>
      </c>
      <c r="BT176" s="110">
        <f>IF(F176="","",IFERROR(F176*HSCEI!$B$23*HSCEI!$G$23/HSCEI!$B$3,""))</f>
        <v/>
      </c>
      <c r="BU176" s="110">
        <f>IF(G176="","",IFERROR(G176*HSCEI!$B$23*HSCEI!$G$23/HSCEI!$B$3,""))</f>
        <v/>
      </c>
      <c r="BV176" s="110">
        <f>IF(H176="","",IFERROR(H176*HSCEI!$B$23*HSCEI!$G$23/HSCEI!$B$3,""))</f>
        <v/>
      </c>
      <c r="BW176" s="110">
        <f>IF(I176="","",IFERROR(I176*HSCEI!$B$23*HSCEI!$G$23/HSCEI!$B$3,""))</f>
        <v/>
      </c>
      <c r="BX176" s="110">
        <f>IF(J176="","",IFERROR(J176*HSCEI!$B$23*HSCEI!$G$23/HSCEI!$B$3,""))</f>
        <v/>
      </c>
      <c r="BY176" s="110">
        <f>IF(K176="","",IFERROR(K176*HSCEI!$B$23*HSCEI!$G$23/HSCEI!$B$3,""))</f>
        <v/>
      </c>
      <c r="BZ176" s="110">
        <f>IF(L176="","",IFERROR(L176*HSCEI!$B$23*HSCEI!$G$23/HSCEI!$B$3,""))</f>
        <v/>
      </c>
      <c r="CA176" s="110">
        <f>IF(M176="","",IFERROR(M176*HSCEI!$B$23*HSCEI!$G$23/HSCEI!$B$3,""))</f>
        <v/>
      </c>
      <c r="CB176" s="110">
        <f>IF(N176="","",IFERROR(N176*HSCEI!$B$23*HSCEI!$G$23/HSCEI!$B$3,""))</f>
        <v/>
      </c>
      <c r="CC176" s="110">
        <f>IF(O176="","",IFERROR(O176*HSCEI!$B$23*HSCEI!$G$23/HSCEI!$B$3,""))</f>
        <v/>
      </c>
      <c r="CD176" s="110">
        <f>IF(P176="","",IFERROR(P176*HSCEI!$B$23*HSCEI!$G$23/HSCEI!$B$3,""))</f>
        <v/>
      </c>
      <c r="CE176" s="110">
        <f>IF(Q176="","",IFERROR(Q176*HSCEI!$B$23*HSCEI!$G$23/HSCEI!$B$3,""))</f>
        <v/>
      </c>
      <c r="CF176" s="110">
        <f>IF(R176="","",IFERROR(R176*HSCEI!$B$23*HSCEI!$G$23/HSCEI!$B$3,""))</f>
        <v/>
      </c>
      <c r="CG176" s="110">
        <f>IF(S176="","",IFERROR(S176*HSCEI!$B$23*HSCEI!$G$23/HSCEI!$B$3,""))</f>
        <v/>
      </c>
      <c r="CH176" s="110">
        <f>IF(T176="","",IFERROR(T176*HSCEI!$B$23*HSCEI!$G$23/HSCEI!$B$3,""))</f>
        <v/>
      </c>
      <c r="CI176" s="110">
        <f>IF(U176="","",IFERROR(U176*HSCEI!$B$23*HSCEI!$G$23/HSCEI!$B$3,""))</f>
        <v/>
      </c>
      <c r="CJ176" s="110">
        <f>IF(V176="","",IFERROR(V176*HSCEI!$B$23*HSCEI!$G$23/HSCEI!$B$3,""))</f>
        <v/>
      </c>
      <c r="CK176" s="110">
        <f>IF(W176="","",IFERROR(W176*HSCEI!$B$23*HSCEI!$G$23/HSCEI!$B$3,""))</f>
        <v/>
      </c>
      <c r="CL176" s="110">
        <f>IF(X176="","",IFERROR(X176*HSCEI!$B$23*HSCEI!$G$23/HSCEI!$B$3,""))</f>
        <v/>
      </c>
      <c r="CM176" s="110">
        <f>IF(Y176="","",IFERROR(Y176*HSCEI!$B$23*HSCEI!$G$23/HSCEI!$B$3,""))</f>
        <v/>
      </c>
      <c r="CN176" s="110">
        <f>IF(Z176="","",IFERROR(Z176*HSCEI!$B$23*HSCEI!$G$23/HSCEI!$B$3,""))</f>
        <v/>
      </c>
      <c r="CO176" s="110">
        <f>IF(AA176="","",IFERROR(AA176*HSCEI!$B$23*HSCEI!$G$23/HSCEI!$B$3,""))</f>
        <v/>
      </c>
      <c r="CP176" s="110">
        <f>IF(AB176="","",IFERROR(AB176*HSCEI!$B$23*HSCEI!$G$23/HSCEI!$B$3,""))</f>
        <v/>
      </c>
      <c r="CQ176" s="110">
        <f>IF(AC176="","",IFERROR(AC176*HSCEI!$B$23*HSCEI!$G$23/HSCEI!$B$3,""))</f>
        <v/>
      </c>
      <c r="CR176" s="110">
        <f>IF(AD176="","",IFERROR(AD176*HSCEI!$B$23*HSCEI!$G$23/HSCEI!$B$3,""))</f>
        <v/>
      </c>
      <c r="CS176" s="110">
        <f>IF(AE176="","",IFERROR(AE176*HSCEI!$B$23*HSCEI!$G$23/HSCEI!$B$3,""))</f>
        <v/>
      </c>
      <c r="CT176" s="110">
        <f>IF(AF176="","",IFERROR(AF176*HSCEI!$B$23*HSCEI!$G$23/HSCEI!$B$3,""))</f>
        <v/>
      </c>
      <c r="CU176" s="110">
        <f>IF(AG176="","",IFERROR(AG176*HSCEI!$B$23*HSCEI!$G$23/HSCEI!$B$3,""))</f>
        <v/>
      </c>
      <c r="CV176" s="110">
        <f>IF(AH176="","",IFERROR(AH176*HSCEI!$B$23*HSCEI!$G$23/HSCEI!$B$3,""))</f>
        <v/>
      </c>
      <c r="CW176" s="110">
        <f>IF(AI176="","",IFERROR(AI176*HSCEI!$B$23*HSCEI!$G$23/HSCEI!$B$3,""))</f>
        <v/>
      </c>
      <c r="CX176" s="110">
        <f>IF(AJ176="","",IFERROR(AJ176*HSCEI!$B$23*HSCEI!$G$23/HSCEI!$B$3,""))</f>
        <v/>
      </c>
      <c r="CY176" s="110">
        <f>IF(AK176="","",IFERROR(AK176*HSCEI!$B$23*HSCEI!$G$23/HSCEI!$B$3,""))</f>
        <v/>
      </c>
      <c r="CZ176" s="110">
        <f>IF(AL176="","",IFERROR(AL176*HSCEI!$B$23*HSCEI!$G$23/HSCEI!$B$3,""))</f>
        <v/>
      </c>
      <c r="DA176" s="110">
        <f>IF(AM176="","",IFERROR(AM176*HSCEI!$B$23*HSCEI!$G$23/HSCEI!$B$3,""))</f>
        <v/>
      </c>
      <c r="DB176" s="110">
        <f>IF(AN176="","",IFERROR(AN176*HSCEI!$B$23*HSCEI!$G$23/HSCEI!$B$3,""))</f>
        <v/>
      </c>
      <c r="DC176" s="110">
        <f>IF(AO176="","",IFERROR(AO176*HSCEI!$B$23*HSCEI!$G$23/HSCEI!$B$3,""))</f>
        <v/>
      </c>
      <c r="DD176" s="110">
        <f>IF(AP176="","",IFERROR(AP176*HSCEI!$B$23*HSCEI!$G$23/HSCEI!$B$3,""))</f>
        <v/>
      </c>
      <c r="DE176" s="110">
        <f>IF(AQ176="","",IFERROR(AQ176*HSCEI!$B$23*HSCEI!$G$23/HSCEI!$B$3,""))</f>
        <v/>
      </c>
      <c r="DF176" s="110">
        <f>IF(AR176="","",IFERROR(AR176*HSCEI!$B$23*HSCEI!$G$23/HSCEI!$B$3,""))</f>
        <v/>
      </c>
      <c r="DG176" s="110">
        <f>IF(AS176="","",IFERROR(AS176*HSCEI!$B$23*HSCEI!$G$23/HSCEI!$B$3,""))</f>
        <v/>
      </c>
      <c r="DH176" s="110">
        <f>IF(AT176="","",IFERROR(AT176*HSCEI!$B$23*HSCEI!$G$23/HSCEI!$B$3,""))</f>
        <v/>
      </c>
      <c r="DI176" s="110">
        <f>IF(AU176="","",IFERROR(AU176*HSCEI!$B$23*HSCEI!$G$23/HSCEI!$B$3,""))</f>
        <v/>
      </c>
      <c r="DJ176" s="110">
        <f>IF(AV176="","",IFERROR(AV176*HSCEI!$B$23*HSCEI!$G$23/HSCEI!$B$3,""))</f>
        <v/>
      </c>
      <c r="DK176" s="110">
        <f>IF(AW176="","",IFERROR(AW176*HSCEI!$B$23*HSCEI!$G$23/HSCEI!$B$3,""))</f>
        <v/>
      </c>
      <c r="DL176" s="110">
        <f>IF(AX176="","",IFERROR(AX176*HSCEI!$B$23*HSCEI!$G$23/HSCEI!$B$3,""))</f>
        <v/>
      </c>
      <c r="DM176" s="110">
        <f>IF(AY176="","",IFERROR(AY176*HSCEI!$B$23*HSCEI!$G$23/HSCEI!$B$3,""))</f>
        <v/>
      </c>
      <c r="DN176" s="110">
        <f>IF(AZ176="","",IFERROR(AZ176*HSCEI!$B$23*HSCEI!$G$23/HSCEI!$B$3,""))</f>
        <v/>
      </c>
      <c r="DO176" s="110">
        <f>IF(BA176="","",IFERROR(BA176*HSCEI!$B$23*HSCEI!$G$23/HSCEI!$B$3,""))</f>
        <v/>
      </c>
      <c r="DP176" s="110">
        <f>IF(BB176="","",IFERROR(BB176*HSCEI!$B$23*HSCEI!$G$23/HSCEI!$B$3,""))</f>
        <v/>
      </c>
      <c r="DQ176" s="110">
        <f>IF(BC176="","",IFERROR(BC176*HSCEI!$B$23*HSCEI!$G$23/HSCEI!$B$3,""))</f>
        <v/>
      </c>
      <c r="DR176" s="110">
        <f>IF(BD176="","",IFERROR(BD176*HSCEI!$B$23*HSCEI!$G$23/HSCEI!$B$3,""))</f>
        <v/>
      </c>
      <c r="DS176" s="110">
        <f>IF(BE176="","",IFERROR(BE176*HSCEI!$B$23*HSCEI!$G$23/HSCEI!$B$3,""))</f>
        <v/>
      </c>
      <c r="DT176" s="110">
        <f>IF(BF176="","",IFERROR(BF176*HSCEI!$B$23*HSCEI!$G$23/HSCEI!$B$3,""))</f>
        <v/>
      </c>
      <c r="DU176" s="110">
        <f>IF(BG176="","",IFERROR(BG176*HSCEI!$B$23*HSCEI!$G$23/HSCEI!$B$3,""))</f>
        <v/>
      </c>
      <c r="DV176" s="110">
        <f>IF(BH176="","",IFERROR(BH176*HSCEI!$B$23*HSCEI!$G$23/HSCEI!$B$3,""))</f>
        <v/>
      </c>
      <c r="DW176" s="110">
        <f>IF(BI176="","",IFERROR(BI176*HSCEI!$B$23*HSCEI!$G$23/HSCEI!$B$3,""))</f>
        <v/>
      </c>
      <c r="DX176" s="110">
        <f>IF(BJ176="","",IFERROR(BJ176*HSCEI!$B$23*HSCEI!$G$23/HSCEI!$B$3,""))</f>
        <v/>
      </c>
      <c r="DY176" s="110">
        <f>IF(BK176="","",IFERROR(BK176*HSCEI!$B$23*HSCEI!$G$23/HSCEI!$B$3,""))</f>
        <v/>
      </c>
      <c r="DZ176" s="110">
        <f>IF(BL176="","",IFERROR(BL176*HSCEI!$B$23*HSCEI!$G$23/HSCEI!$B$3,""))</f>
        <v/>
      </c>
      <c r="EA176" s="110">
        <f>IF(BM176="","",IFERROR(BM176*HSCEI!$B$23*HSCEI!$G$23/HSCEI!$B$3,""))</f>
        <v/>
      </c>
      <c r="EB176" s="110">
        <f>IF(BN176="","",IFERROR(BN176*HSCEI!$B$23*HSCEI!$G$23/HSCEI!$B$3,""))</f>
        <v/>
      </c>
      <c r="EC176" s="110">
        <f>IF(BO176="","",IFERROR(BO176*HSCEI!$B$23*HSCEI!$G$23/HSCEI!$B$3,""))</f>
        <v/>
      </c>
      <c r="EE176" s="39">
        <f>IF(N('Dvd Calendar'!$E$1737)=0,"",IF(('Dvd Calendar'!$E$1737&gt;=GRID_FROM)*('Dvd Calendar'!$E$1737&lt;=GRID_TO)*((('Dvd Calendar'!$E$1737&lt;=VAL_DATE)+(COUNTIF('Dvd Calendar'!$E$1744:$AR$1744,'Dvd Calendar'!$E$1737)=0))&gt;0)=0,"",'Dvd Calendar'!$E$1737*1000000000+ISNUMBER('Dvd Calendar'!$E$1740)*100000000+('Dvd Calendar'!$E$1742=SPECIAL_LBL)*10000000+(N('Dvd Calendar'!$E$1736)&gt;0)*(N('Dvd Calendar'!$E$1736)&lt;=VAL_SERIAL)*1000000+17*1000+1))</f>
        <v/>
      </c>
      <c r="EF176" s="39">
        <f>IF(N('Dvd Calendar'!$F$1737)=0,"",IF(('Dvd Calendar'!$F$1737&gt;=GRID_FROM)*('Dvd Calendar'!$F$1737&lt;=GRID_TO)*((('Dvd Calendar'!$F$1737&lt;=VAL_DATE)+(COUNTIF('Dvd Calendar'!$E$1744:$AR$1744,'Dvd Calendar'!$F$1737)=0))&gt;0)=0,"",'Dvd Calendar'!$F$1737*1000000000+ISNUMBER('Dvd Calendar'!$F$1740)*100000000+('Dvd Calendar'!$F$1742=SPECIAL_LBL)*10000000+(N('Dvd Calendar'!$F$1736)&gt;0)*(N('Dvd Calendar'!$F$1736)&lt;=VAL_SERIAL)*1000000+17*1000+2))</f>
        <v/>
      </c>
      <c r="EG176" s="39">
        <f>IF(N('Dvd Calendar'!$G$1737)=0,"",IF(('Dvd Calendar'!$G$1737&gt;=GRID_FROM)*('Dvd Calendar'!$G$1737&lt;=GRID_TO)*((('Dvd Calendar'!$G$1737&lt;=VAL_DATE)+(COUNTIF('Dvd Calendar'!$E$1744:$AR$1744,'Dvd Calendar'!$G$1737)=0))&gt;0)=0,"",'Dvd Calendar'!$G$1737*1000000000+ISNUMBER('Dvd Calendar'!$G$1740)*100000000+('Dvd Calendar'!$G$1742=SPECIAL_LBL)*10000000+(N('Dvd Calendar'!$G$1736)&gt;0)*(N('Dvd Calendar'!$G$1736)&lt;=VAL_SERIAL)*1000000+17*1000+3))</f>
        <v/>
      </c>
      <c r="EH176" s="39">
        <f>IF(N('Dvd Calendar'!$H$1737)=0,"",IF(('Dvd Calendar'!$H$1737&gt;=GRID_FROM)*('Dvd Calendar'!$H$1737&lt;=GRID_TO)*((('Dvd Calendar'!$H$1737&lt;=VAL_DATE)+(COUNTIF('Dvd Calendar'!$E$1744:$AR$1744,'Dvd Calendar'!$H$1737)=0))&gt;0)=0,"",'Dvd Calendar'!$H$1737*1000000000+ISNUMBER('Dvd Calendar'!$H$1740)*100000000+('Dvd Calendar'!$H$1742=SPECIAL_LBL)*10000000+(N('Dvd Calendar'!$H$1736)&gt;0)*(N('Dvd Calendar'!$H$1736)&lt;=VAL_SERIAL)*1000000+17*1000+4))</f>
        <v/>
      </c>
      <c r="EI176" s="39">
        <f>IF(N('Dvd Calendar'!$I$1737)=0,"",IF(('Dvd Calendar'!$I$1737&gt;=GRID_FROM)*('Dvd Calendar'!$I$1737&lt;=GRID_TO)*((('Dvd Calendar'!$I$1737&lt;=VAL_DATE)+(COUNTIF('Dvd Calendar'!$E$1744:$AR$1744,'Dvd Calendar'!$I$1737)=0))&gt;0)=0,"",'Dvd Calendar'!$I$1737*1000000000+ISNUMBER('Dvd Calendar'!$I$1740)*100000000+('Dvd Calendar'!$I$1742=SPECIAL_LBL)*10000000+(N('Dvd Calendar'!$I$1736)&gt;0)*(N('Dvd Calendar'!$I$1736)&lt;=VAL_SERIAL)*1000000+17*1000+5))</f>
        <v/>
      </c>
      <c r="EJ176" s="39">
        <f>IF(N('Dvd Calendar'!$J$1737)=0,"",IF(('Dvd Calendar'!$J$1737&gt;=GRID_FROM)*('Dvd Calendar'!$J$1737&lt;=GRID_TO)*((('Dvd Calendar'!$J$1737&lt;=VAL_DATE)+(COUNTIF('Dvd Calendar'!$E$1744:$AR$1744,'Dvd Calendar'!$J$1737)=0))&gt;0)=0,"",'Dvd Calendar'!$J$1737*1000000000+ISNUMBER('Dvd Calendar'!$J$1740)*100000000+('Dvd Calendar'!$J$1742=SPECIAL_LBL)*10000000+(N('Dvd Calendar'!$J$1736)&gt;0)*(N('Dvd Calendar'!$J$1736)&lt;=VAL_SERIAL)*1000000+17*1000+6))</f>
        <v/>
      </c>
      <c r="EK176" s="39">
        <f>IF(N('Dvd Calendar'!$K$1737)=0,"",IF(('Dvd Calendar'!$K$1737&gt;=GRID_FROM)*('Dvd Calendar'!$K$1737&lt;=GRID_TO)*((('Dvd Calendar'!$K$1737&lt;=VAL_DATE)+(COUNTIF('Dvd Calendar'!$E$1744:$AR$1744,'Dvd Calendar'!$K$1737)=0))&gt;0)=0,"",'Dvd Calendar'!$K$1737*1000000000+ISNUMBER('Dvd Calendar'!$K$1740)*100000000+('Dvd Calendar'!$K$1742=SPECIAL_LBL)*10000000+(N('Dvd Calendar'!$K$1736)&gt;0)*(N('Dvd Calendar'!$K$1736)&lt;=VAL_SERIAL)*1000000+17*1000+7))</f>
        <v/>
      </c>
      <c r="EL176" s="39">
        <f>IF(N('Dvd Calendar'!$L$1737)=0,"",IF(('Dvd Calendar'!$L$1737&gt;=GRID_FROM)*('Dvd Calendar'!$L$1737&lt;=GRID_TO)*((('Dvd Calendar'!$L$1737&lt;=VAL_DATE)+(COUNTIF('Dvd Calendar'!$E$1744:$AR$1744,'Dvd Calendar'!$L$1737)=0))&gt;0)=0,"",'Dvd Calendar'!$L$1737*1000000000+ISNUMBER('Dvd Calendar'!$L$1740)*100000000+('Dvd Calendar'!$L$1742=SPECIAL_LBL)*10000000+(N('Dvd Calendar'!$L$1736)&gt;0)*(N('Dvd Calendar'!$L$1736)&lt;=VAL_SERIAL)*1000000+17*1000+8))</f>
        <v/>
      </c>
      <c r="EM176" s="39">
        <f>IF(N('Dvd Calendar'!$M$1737)=0,"",IF(('Dvd Calendar'!$M$1737&gt;=GRID_FROM)*('Dvd Calendar'!$M$1737&lt;=GRID_TO)*((('Dvd Calendar'!$M$1737&lt;=VAL_DATE)+(COUNTIF('Dvd Calendar'!$E$1744:$AR$1744,'Dvd Calendar'!$M$1737)=0))&gt;0)=0,"",'Dvd Calendar'!$M$1737*1000000000+ISNUMBER('Dvd Calendar'!$M$1740)*100000000+('Dvd Calendar'!$M$1742=SPECIAL_LBL)*10000000+(N('Dvd Calendar'!$M$1736)&gt;0)*(N('Dvd Calendar'!$M$1736)&lt;=VAL_SERIAL)*1000000+17*1000+9))</f>
        <v/>
      </c>
      <c r="EN176" s="39">
        <f>IF(N('Dvd Calendar'!$N$1737)=0,"",IF(('Dvd Calendar'!$N$1737&gt;=GRID_FROM)*('Dvd Calendar'!$N$1737&lt;=GRID_TO)*((('Dvd Calendar'!$N$1737&lt;=VAL_DATE)+(COUNTIF('Dvd Calendar'!$E$1744:$AR$1744,'Dvd Calendar'!$N$1737)=0))&gt;0)=0,"",'Dvd Calendar'!$N$1737*1000000000+ISNUMBER('Dvd Calendar'!$N$1740)*100000000+('Dvd Calendar'!$N$1742=SPECIAL_LBL)*10000000+(N('Dvd Calendar'!$N$1736)&gt;0)*(N('Dvd Calendar'!$N$1736)&lt;=VAL_SERIAL)*1000000+17*1000+10))</f>
        <v/>
      </c>
      <c r="EO176" s="39">
        <f>IF(N('Dvd Calendar'!$O$1737)=0,"",IF(('Dvd Calendar'!$O$1737&gt;=GRID_FROM)*('Dvd Calendar'!$O$1737&lt;=GRID_TO)*((('Dvd Calendar'!$O$1737&lt;=VAL_DATE)+(COUNTIF('Dvd Calendar'!$E$1744:$AR$1744,'Dvd Calendar'!$O$1737)=0))&gt;0)=0,"",'Dvd Calendar'!$O$1737*1000000000+ISNUMBER('Dvd Calendar'!$O$1740)*100000000+('Dvd Calendar'!$O$1742=SPECIAL_LBL)*10000000+(N('Dvd Calendar'!$O$1736)&gt;0)*(N('Dvd Calendar'!$O$1736)&lt;=VAL_SERIAL)*1000000+17*1000+11))</f>
        <v/>
      </c>
      <c r="EP176" s="39">
        <f>IF(N('Dvd Calendar'!$P$1737)=0,"",IF(('Dvd Calendar'!$P$1737&gt;=GRID_FROM)*('Dvd Calendar'!$P$1737&lt;=GRID_TO)*((('Dvd Calendar'!$P$1737&lt;=VAL_DATE)+(COUNTIF('Dvd Calendar'!$E$1744:$AR$1744,'Dvd Calendar'!$P$1737)=0))&gt;0)=0,"",'Dvd Calendar'!$P$1737*1000000000+ISNUMBER('Dvd Calendar'!$P$1740)*100000000+('Dvd Calendar'!$P$1742=SPECIAL_LBL)*10000000+(N('Dvd Calendar'!$P$1736)&gt;0)*(N('Dvd Calendar'!$P$1736)&lt;=VAL_SERIAL)*1000000+17*1000+12))</f>
        <v/>
      </c>
      <c r="EQ176" s="39">
        <f>IF(N('Dvd Calendar'!$Q$1737)=0,"",IF(('Dvd Calendar'!$Q$1737&gt;=GRID_FROM)*('Dvd Calendar'!$Q$1737&lt;=GRID_TO)*((('Dvd Calendar'!$Q$1737&lt;=VAL_DATE)+(COUNTIF('Dvd Calendar'!$E$1744:$AR$1744,'Dvd Calendar'!$Q$1737)=0))&gt;0)=0,"",'Dvd Calendar'!$Q$1737*1000000000+ISNUMBER('Dvd Calendar'!$Q$1740)*100000000+('Dvd Calendar'!$Q$1742=SPECIAL_LBL)*10000000+(N('Dvd Calendar'!$Q$1736)&gt;0)*(N('Dvd Calendar'!$Q$1736)&lt;=VAL_SERIAL)*1000000+17*1000+13))</f>
        <v/>
      </c>
      <c r="ER176" s="39">
        <f>IF(N('Dvd Calendar'!$R$1737)=0,"",IF(('Dvd Calendar'!$R$1737&gt;=GRID_FROM)*('Dvd Calendar'!$R$1737&lt;=GRID_TO)*((('Dvd Calendar'!$R$1737&lt;=VAL_DATE)+(COUNTIF('Dvd Calendar'!$E$1744:$AR$1744,'Dvd Calendar'!$R$1737)=0))&gt;0)=0,"",'Dvd Calendar'!$R$1737*1000000000+ISNUMBER('Dvd Calendar'!$R$1740)*100000000+('Dvd Calendar'!$R$1742=SPECIAL_LBL)*10000000+(N('Dvd Calendar'!$R$1736)&gt;0)*(N('Dvd Calendar'!$R$1736)&lt;=VAL_SERIAL)*1000000+17*1000+14))</f>
        <v/>
      </c>
      <c r="ES176" s="39">
        <f>IF(N('Dvd Calendar'!$S$1737)=0,"",IF(('Dvd Calendar'!$S$1737&gt;=GRID_FROM)*('Dvd Calendar'!$S$1737&lt;=GRID_TO)*((('Dvd Calendar'!$S$1737&lt;=VAL_DATE)+(COUNTIF('Dvd Calendar'!$E$1744:$AR$1744,'Dvd Calendar'!$S$1737)=0))&gt;0)=0,"",'Dvd Calendar'!$S$1737*1000000000+ISNUMBER('Dvd Calendar'!$S$1740)*100000000+('Dvd Calendar'!$S$1742=SPECIAL_LBL)*10000000+(N('Dvd Calendar'!$S$1736)&gt;0)*(N('Dvd Calendar'!$S$1736)&lt;=VAL_SERIAL)*1000000+17*1000+15))</f>
        <v/>
      </c>
      <c r="ET176" s="39">
        <f>IF(N('Dvd Calendar'!$T$1737)=0,"",IF(('Dvd Calendar'!$T$1737&gt;=GRID_FROM)*('Dvd Calendar'!$T$1737&lt;=GRID_TO)*((('Dvd Calendar'!$T$1737&lt;=VAL_DATE)+(COUNTIF('Dvd Calendar'!$E$1744:$AR$1744,'Dvd Calendar'!$T$1737)=0))&gt;0)=0,"",'Dvd Calendar'!$T$1737*1000000000+ISNUMBER('Dvd Calendar'!$T$1740)*100000000+('Dvd Calendar'!$T$1742=SPECIAL_LBL)*10000000+(N('Dvd Calendar'!$T$1736)&gt;0)*(N('Dvd Calendar'!$T$1736)&lt;=VAL_SERIAL)*1000000+17*1000+16))</f>
        <v/>
      </c>
      <c r="EU176" s="39">
        <f>IF(N('Dvd Calendar'!$U$1737)=0,"",IF(('Dvd Calendar'!$U$1737&gt;=GRID_FROM)*('Dvd Calendar'!$U$1737&lt;=GRID_TO)*((('Dvd Calendar'!$U$1737&lt;=VAL_DATE)+(COUNTIF('Dvd Calendar'!$E$1744:$AR$1744,'Dvd Calendar'!$U$1737)=0))&gt;0)=0,"",'Dvd Calendar'!$U$1737*1000000000+ISNUMBER('Dvd Calendar'!$U$1740)*100000000+('Dvd Calendar'!$U$1742=SPECIAL_LBL)*10000000+(N('Dvd Calendar'!$U$1736)&gt;0)*(N('Dvd Calendar'!$U$1736)&lt;=VAL_SERIAL)*1000000+17*1000+17))</f>
        <v/>
      </c>
      <c r="EV176" s="39">
        <f>IF(N('Dvd Calendar'!$V$1737)=0,"",IF(('Dvd Calendar'!$V$1737&gt;=GRID_FROM)*('Dvd Calendar'!$V$1737&lt;=GRID_TO)*((('Dvd Calendar'!$V$1737&lt;=VAL_DATE)+(COUNTIF('Dvd Calendar'!$E$1744:$AR$1744,'Dvd Calendar'!$V$1737)=0))&gt;0)=0,"",'Dvd Calendar'!$V$1737*1000000000+ISNUMBER('Dvd Calendar'!$V$1740)*100000000+('Dvd Calendar'!$V$1742=SPECIAL_LBL)*10000000+(N('Dvd Calendar'!$V$1736)&gt;0)*(N('Dvd Calendar'!$V$1736)&lt;=VAL_SERIAL)*1000000+17*1000+18))</f>
        <v/>
      </c>
      <c r="EW176" s="39">
        <f>IF(N('Dvd Calendar'!$W$1737)=0,"",IF(('Dvd Calendar'!$W$1737&gt;=GRID_FROM)*('Dvd Calendar'!$W$1737&lt;=GRID_TO)*((('Dvd Calendar'!$W$1737&lt;=VAL_DATE)+(COUNTIF('Dvd Calendar'!$E$1744:$AR$1744,'Dvd Calendar'!$W$1737)=0))&gt;0)=0,"",'Dvd Calendar'!$W$1737*1000000000+ISNUMBER('Dvd Calendar'!$W$1740)*100000000+('Dvd Calendar'!$W$1742=SPECIAL_LBL)*10000000+(N('Dvd Calendar'!$W$1736)&gt;0)*(N('Dvd Calendar'!$W$1736)&lt;=VAL_SERIAL)*1000000+17*1000+19))</f>
        <v/>
      </c>
      <c r="EX176" s="39">
        <f>IF(N('Dvd Calendar'!$X$1737)=0,"",IF(('Dvd Calendar'!$X$1737&gt;=GRID_FROM)*('Dvd Calendar'!$X$1737&lt;=GRID_TO)*((('Dvd Calendar'!$X$1737&lt;=VAL_DATE)+(COUNTIF('Dvd Calendar'!$E$1744:$AR$1744,'Dvd Calendar'!$X$1737)=0))&gt;0)=0,"",'Dvd Calendar'!$X$1737*1000000000+ISNUMBER('Dvd Calendar'!$X$1740)*100000000+('Dvd Calendar'!$X$1742=SPECIAL_LBL)*10000000+(N('Dvd Calendar'!$X$1736)&gt;0)*(N('Dvd Calendar'!$X$1736)&lt;=VAL_SERIAL)*1000000+17*1000+20))</f>
        <v/>
      </c>
      <c r="EY176" s="39">
        <f>IF(N('Dvd Calendar'!$Y$1737)=0,"",IF(('Dvd Calendar'!$Y$1737&gt;=GRID_FROM)*('Dvd Calendar'!$Y$1737&lt;=GRID_TO)*((('Dvd Calendar'!$Y$1737&lt;=VAL_DATE)+(COUNTIF('Dvd Calendar'!$E$1744:$AR$1744,'Dvd Calendar'!$Y$1737)=0))&gt;0)=0,"",'Dvd Calendar'!$Y$1737*1000000000+ISNUMBER('Dvd Calendar'!$Y$1740)*100000000+('Dvd Calendar'!$Y$1742=SPECIAL_LBL)*10000000+(N('Dvd Calendar'!$Y$1736)&gt;0)*(N('Dvd Calendar'!$Y$1736)&lt;=VAL_SERIAL)*1000000+17*1000+21))</f>
        <v/>
      </c>
      <c r="EZ176" s="39">
        <f>IF(N('Dvd Calendar'!$Z$1737)=0,"",IF(('Dvd Calendar'!$Z$1737&gt;=GRID_FROM)*('Dvd Calendar'!$Z$1737&lt;=GRID_TO)*((('Dvd Calendar'!$Z$1737&lt;=VAL_DATE)+(COUNTIF('Dvd Calendar'!$E$1744:$AR$1744,'Dvd Calendar'!$Z$1737)=0))&gt;0)=0,"",'Dvd Calendar'!$Z$1737*1000000000+ISNUMBER('Dvd Calendar'!$Z$1740)*100000000+('Dvd Calendar'!$Z$1742=SPECIAL_LBL)*10000000+(N('Dvd Calendar'!$Z$1736)&gt;0)*(N('Dvd Calendar'!$Z$1736)&lt;=VAL_SERIAL)*1000000+17*1000+22))</f>
        <v/>
      </c>
      <c r="FA176" s="39">
        <f>IF(N('Dvd Calendar'!$AA$1737)=0,"",IF(('Dvd Calendar'!$AA$1737&gt;=GRID_FROM)*('Dvd Calendar'!$AA$1737&lt;=GRID_TO)*((('Dvd Calendar'!$AA$1737&lt;=VAL_DATE)+(COUNTIF('Dvd Calendar'!$E$1744:$AR$1744,'Dvd Calendar'!$AA$1737)=0))&gt;0)=0,"",'Dvd Calendar'!$AA$1737*1000000000+ISNUMBER('Dvd Calendar'!$AA$1740)*100000000+('Dvd Calendar'!$AA$1742=SPECIAL_LBL)*10000000+(N('Dvd Calendar'!$AA$1736)&gt;0)*(N('Dvd Calendar'!$AA$1736)&lt;=VAL_SERIAL)*1000000+17*1000+23))</f>
        <v/>
      </c>
      <c r="FB176" s="39">
        <f>IF(N('Dvd Calendar'!$AB$1737)=0,"",IF(('Dvd Calendar'!$AB$1737&gt;=GRID_FROM)*('Dvd Calendar'!$AB$1737&lt;=GRID_TO)*((('Dvd Calendar'!$AB$1737&lt;=VAL_DATE)+(COUNTIF('Dvd Calendar'!$E$1744:$AR$1744,'Dvd Calendar'!$AB$1737)=0))&gt;0)=0,"",'Dvd Calendar'!$AB$1737*1000000000+ISNUMBER('Dvd Calendar'!$AB$1740)*100000000+('Dvd Calendar'!$AB$1742=SPECIAL_LBL)*10000000+(N('Dvd Calendar'!$AB$1736)&gt;0)*(N('Dvd Calendar'!$AB$1736)&lt;=VAL_SERIAL)*1000000+17*1000+24))</f>
        <v/>
      </c>
      <c r="FC176" s="39">
        <f>IF(N('Dvd Calendar'!$AC$1737)=0,"",IF(('Dvd Calendar'!$AC$1737&gt;=GRID_FROM)*('Dvd Calendar'!$AC$1737&lt;=GRID_TO)*((('Dvd Calendar'!$AC$1737&lt;=VAL_DATE)+(COUNTIF('Dvd Calendar'!$E$1744:$AR$1744,'Dvd Calendar'!$AC$1737)=0))&gt;0)=0,"",'Dvd Calendar'!$AC$1737*1000000000+ISNUMBER('Dvd Calendar'!$AC$1740)*100000000+('Dvd Calendar'!$AC$1742=SPECIAL_LBL)*10000000+(N('Dvd Calendar'!$AC$1736)&gt;0)*(N('Dvd Calendar'!$AC$1736)&lt;=VAL_SERIAL)*1000000+17*1000+25))</f>
        <v/>
      </c>
      <c r="FD176" s="39">
        <f>IF(N('Dvd Calendar'!$AD$1737)=0,"",IF(('Dvd Calendar'!$AD$1737&gt;=GRID_FROM)*('Dvd Calendar'!$AD$1737&lt;=GRID_TO)*((('Dvd Calendar'!$AD$1737&lt;=VAL_DATE)+(COUNTIF('Dvd Calendar'!$E$1744:$AR$1744,'Dvd Calendar'!$AD$1737)=0))&gt;0)=0,"",'Dvd Calendar'!$AD$1737*1000000000+ISNUMBER('Dvd Calendar'!$AD$1740)*100000000+('Dvd Calendar'!$AD$1742=SPECIAL_LBL)*10000000+(N('Dvd Calendar'!$AD$1736)&gt;0)*(N('Dvd Calendar'!$AD$1736)&lt;=VAL_SERIAL)*1000000+17*1000+26))</f>
        <v/>
      </c>
      <c r="FE176" s="39">
        <f>IF(N('Dvd Calendar'!$AE$1737)=0,"",IF(('Dvd Calendar'!$AE$1737&gt;=GRID_FROM)*('Dvd Calendar'!$AE$1737&lt;=GRID_TO)*((('Dvd Calendar'!$AE$1737&lt;=VAL_DATE)+(COUNTIF('Dvd Calendar'!$E$1744:$AR$1744,'Dvd Calendar'!$AE$1737)=0))&gt;0)=0,"",'Dvd Calendar'!$AE$1737*1000000000+ISNUMBER('Dvd Calendar'!$AE$1740)*100000000+('Dvd Calendar'!$AE$1742=SPECIAL_LBL)*10000000+(N('Dvd Calendar'!$AE$1736)&gt;0)*(N('Dvd Calendar'!$AE$1736)&lt;=VAL_SERIAL)*1000000+17*1000+27))</f>
        <v/>
      </c>
      <c r="FF176" s="39">
        <f>IF(N('Dvd Calendar'!$AF$1737)=0,"",IF(('Dvd Calendar'!$AF$1737&gt;=GRID_FROM)*('Dvd Calendar'!$AF$1737&lt;=GRID_TO)*((('Dvd Calendar'!$AF$1737&lt;=VAL_DATE)+(COUNTIF('Dvd Calendar'!$E$1744:$AR$1744,'Dvd Calendar'!$AF$1737)=0))&gt;0)=0,"",'Dvd Calendar'!$AF$1737*1000000000+ISNUMBER('Dvd Calendar'!$AF$1740)*100000000+('Dvd Calendar'!$AF$1742=SPECIAL_LBL)*10000000+(N('Dvd Calendar'!$AF$1736)&gt;0)*(N('Dvd Calendar'!$AF$1736)&lt;=VAL_SERIAL)*1000000+17*1000+28))</f>
        <v/>
      </c>
      <c r="FG176" s="39">
        <f>IF(N('Dvd Calendar'!$AG$1737)=0,"",IF(('Dvd Calendar'!$AG$1737&gt;=GRID_FROM)*('Dvd Calendar'!$AG$1737&lt;=GRID_TO)*((('Dvd Calendar'!$AG$1737&lt;=VAL_DATE)+(COUNTIF('Dvd Calendar'!$E$1744:$AR$1744,'Dvd Calendar'!$AG$1737)=0))&gt;0)=0,"",'Dvd Calendar'!$AG$1737*1000000000+ISNUMBER('Dvd Calendar'!$AG$1740)*100000000+('Dvd Calendar'!$AG$1742=SPECIAL_LBL)*10000000+(N('Dvd Calendar'!$AG$1736)&gt;0)*(N('Dvd Calendar'!$AG$1736)&lt;=VAL_SERIAL)*1000000+17*1000+29))</f>
        <v/>
      </c>
      <c r="FH176" s="39">
        <f>IF(N('Dvd Calendar'!$AH$1737)=0,"",IF(('Dvd Calendar'!$AH$1737&gt;=GRID_FROM)*('Dvd Calendar'!$AH$1737&lt;=GRID_TO)*((('Dvd Calendar'!$AH$1737&lt;=VAL_DATE)+(COUNTIF('Dvd Calendar'!$E$1744:$AR$1744,'Dvd Calendar'!$AH$1737)=0))&gt;0)=0,"",'Dvd Calendar'!$AH$1737*1000000000+ISNUMBER('Dvd Calendar'!$AH$1740)*100000000+('Dvd Calendar'!$AH$1742=SPECIAL_LBL)*10000000+(N('Dvd Calendar'!$AH$1736)&gt;0)*(N('Dvd Calendar'!$AH$1736)&lt;=VAL_SERIAL)*1000000+17*1000+30))</f>
        <v/>
      </c>
      <c r="FI176" s="39">
        <f>IF(N('Dvd Calendar'!$AI$1737)=0,"",IF(('Dvd Calendar'!$AI$1737&gt;=GRID_FROM)*('Dvd Calendar'!$AI$1737&lt;=GRID_TO)*((('Dvd Calendar'!$AI$1737&lt;=VAL_DATE)+(COUNTIF('Dvd Calendar'!$E$1744:$AR$1744,'Dvd Calendar'!$AI$1737)=0))&gt;0)=0,"",'Dvd Calendar'!$AI$1737*1000000000+ISNUMBER('Dvd Calendar'!$AI$1740)*100000000+('Dvd Calendar'!$AI$1742=SPECIAL_LBL)*10000000+(N('Dvd Calendar'!$AI$1736)&gt;0)*(N('Dvd Calendar'!$AI$1736)&lt;=VAL_SERIAL)*1000000+17*1000+31))</f>
        <v/>
      </c>
      <c r="FJ176" s="39">
        <f>IF(N('Dvd Calendar'!$AJ$1737)=0,"",IF(('Dvd Calendar'!$AJ$1737&gt;=GRID_FROM)*('Dvd Calendar'!$AJ$1737&lt;=GRID_TO)*((('Dvd Calendar'!$AJ$1737&lt;=VAL_DATE)+(COUNTIF('Dvd Calendar'!$E$1744:$AR$1744,'Dvd Calendar'!$AJ$1737)=0))&gt;0)=0,"",'Dvd Calendar'!$AJ$1737*1000000000+ISNUMBER('Dvd Calendar'!$AJ$1740)*100000000+('Dvd Calendar'!$AJ$1742=SPECIAL_LBL)*10000000+(N('Dvd Calendar'!$AJ$1736)&gt;0)*(N('Dvd Calendar'!$AJ$1736)&lt;=VAL_SERIAL)*1000000+17*1000+32))</f>
        <v/>
      </c>
      <c r="FK176" s="39">
        <f>IF(N('Dvd Calendar'!$AK$1737)=0,"",IF(('Dvd Calendar'!$AK$1737&gt;=GRID_FROM)*('Dvd Calendar'!$AK$1737&lt;=GRID_TO)*((('Dvd Calendar'!$AK$1737&lt;=VAL_DATE)+(COUNTIF('Dvd Calendar'!$E$1744:$AR$1744,'Dvd Calendar'!$AK$1737)=0))&gt;0)=0,"",'Dvd Calendar'!$AK$1737*1000000000+ISNUMBER('Dvd Calendar'!$AK$1740)*100000000+('Dvd Calendar'!$AK$1742=SPECIAL_LBL)*10000000+(N('Dvd Calendar'!$AK$1736)&gt;0)*(N('Dvd Calendar'!$AK$1736)&lt;=VAL_SERIAL)*1000000+17*1000+33))</f>
        <v/>
      </c>
      <c r="FL176" s="39">
        <f>IF(N('Dvd Calendar'!$AL$1737)=0,"",IF(('Dvd Calendar'!$AL$1737&gt;=GRID_FROM)*('Dvd Calendar'!$AL$1737&lt;=GRID_TO)*((('Dvd Calendar'!$AL$1737&lt;=VAL_DATE)+(COUNTIF('Dvd Calendar'!$E$1744:$AR$1744,'Dvd Calendar'!$AL$1737)=0))&gt;0)=0,"",'Dvd Calendar'!$AL$1737*1000000000+ISNUMBER('Dvd Calendar'!$AL$1740)*100000000+('Dvd Calendar'!$AL$1742=SPECIAL_LBL)*10000000+(N('Dvd Calendar'!$AL$1736)&gt;0)*(N('Dvd Calendar'!$AL$1736)&lt;=VAL_SERIAL)*1000000+17*1000+34))</f>
        <v/>
      </c>
      <c r="FM176" s="39">
        <f>IF(N('Dvd Calendar'!$AM$1737)=0,"",IF(('Dvd Calendar'!$AM$1737&gt;=GRID_FROM)*('Dvd Calendar'!$AM$1737&lt;=GRID_TO)*((('Dvd Calendar'!$AM$1737&lt;=VAL_DATE)+(COUNTIF('Dvd Calendar'!$E$1744:$AR$1744,'Dvd Calendar'!$AM$1737)=0))&gt;0)=0,"",'Dvd Calendar'!$AM$1737*1000000000+ISNUMBER('Dvd Calendar'!$AM$1740)*100000000+('Dvd Calendar'!$AM$1742=SPECIAL_LBL)*10000000+(N('Dvd Calendar'!$AM$1736)&gt;0)*(N('Dvd Calendar'!$AM$1736)&lt;=VAL_SERIAL)*1000000+17*1000+35))</f>
        <v/>
      </c>
      <c r="FN176" s="39">
        <f>IF(N('Dvd Calendar'!$AN$1737)=0,"",IF(('Dvd Calendar'!$AN$1737&gt;=GRID_FROM)*('Dvd Calendar'!$AN$1737&lt;=GRID_TO)*((('Dvd Calendar'!$AN$1737&lt;=VAL_DATE)+(COUNTIF('Dvd Calendar'!$E$1744:$AR$1744,'Dvd Calendar'!$AN$1737)=0))&gt;0)=0,"",'Dvd Calendar'!$AN$1737*1000000000+ISNUMBER('Dvd Calendar'!$AN$1740)*100000000+('Dvd Calendar'!$AN$1742=SPECIAL_LBL)*10000000+(N('Dvd Calendar'!$AN$1736)&gt;0)*(N('Dvd Calendar'!$AN$1736)&lt;=VAL_SERIAL)*1000000+17*1000+36))</f>
        <v/>
      </c>
      <c r="FO176" s="39">
        <f>IF(N('Dvd Calendar'!$AO$1737)=0,"",IF(('Dvd Calendar'!$AO$1737&gt;=GRID_FROM)*('Dvd Calendar'!$AO$1737&lt;=GRID_TO)*((('Dvd Calendar'!$AO$1737&lt;=VAL_DATE)+(COUNTIF('Dvd Calendar'!$E$1744:$AR$1744,'Dvd Calendar'!$AO$1737)=0))&gt;0)=0,"",'Dvd Calendar'!$AO$1737*1000000000+ISNUMBER('Dvd Calendar'!$AO$1740)*100000000+('Dvd Calendar'!$AO$1742=SPECIAL_LBL)*10000000+(N('Dvd Calendar'!$AO$1736)&gt;0)*(N('Dvd Calendar'!$AO$1736)&lt;=VAL_SERIAL)*1000000+17*1000+37))</f>
        <v/>
      </c>
      <c r="FP176" s="39">
        <f>IF(N('Dvd Calendar'!$AP$1737)=0,"",IF(('Dvd Calendar'!$AP$1737&gt;=GRID_FROM)*('Dvd Calendar'!$AP$1737&lt;=GRID_TO)*((('Dvd Calendar'!$AP$1737&lt;=VAL_DATE)+(COUNTIF('Dvd Calendar'!$E$1744:$AR$1744,'Dvd Calendar'!$AP$1737)=0))&gt;0)=0,"",'Dvd Calendar'!$AP$1737*1000000000+ISNUMBER('Dvd Calendar'!$AP$1740)*100000000+('Dvd Calendar'!$AP$1742=SPECIAL_LBL)*10000000+(N('Dvd Calendar'!$AP$1736)&gt;0)*(N('Dvd Calendar'!$AP$1736)&lt;=VAL_SERIAL)*1000000+17*1000+38))</f>
        <v/>
      </c>
      <c r="FQ176" s="39">
        <f>IF(N('Dvd Calendar'!$AQ$1737)=0,"",IF(('Dvd Calendar'!$AQ$1737&gt;=GRID_FROM)*('Dvd Calendar'!$AQ$1737&lt;=GRID_TO)*((('Dvd Calendar'!$AQ$1737&lt;=VAL_DATE)+(COUNTIF('Dvd Calendar'!$E$1744:$AR$1744,'Dvd Calendar'!$AQ$1737)=0))&gt;0)=0,"",'Dvd Calendar'!$AQ$1737*1000000000+ISNUMBER('Dvd Calendar'!$AQ$1740)*100000000+('Dvd Calendar'!$AQ$1742=SPECIAL_LBL)*10000000+(N('Dvd Calendar'!$AQ$1736)&gt;0)*(N('Dvd Calendar'!$AQ$1736)&lt;=VAL_SERIAL)*1000000+17*1000+39))</f>
        <v/>
      </c>
      <c r="FR176" s="39">
        <f>IF(N('Dvd Calendar'!$AR$1737)=0,"",IF(('Dvd Calendar'!$AR$1737&gt;=GRID_FROM)*('Dvd Calendar'!$AR$1737&lt;=GRID_TO)*((('Dvd Calendar'!$AR$1737&lt;=VAL_DATE)+(COUNTIF('Dvd Calendar'!$E$1744:$AR$1744,'Dvd Calendar'!$AR$1737)=0))&gt;0)=0,"",'Dvd Calendar'!$AR$1737*1000000000+ISNUMBER('Dvd Calendar'!$AR$1740)*100000000+('Dvd Calendar'!$AR$1742=SPECIAL_LBL)*10000000+(N('Dvd Calendar'!$AR$1736)&gt;0)*(N('Dvd Calendar'!$AR$1736)&lt;=VAL_SERIAL)*1000000+17*1000+40))</f>
        <v/>
      </c>
      <c r="FS176" s="39">
        <f>IF(N('Dvd Calendar'!$E$1744)=0,"",IF(('Dvd Calendar'!$E$1744&gt;=GRID_FROM)*('Dvd Calendar'!$E$1744&lt;=GRID_TO)*('Dvd Calendar'!$E$1744&gt;VAL_DATE)=0,"",'Dvd Calendar'!$E$1744*1000000000+ISNUMBER('Dvd Calendar'!$E$1745)*100000000+0*10000000+(N('Dvd Calendar'!$E$1743)&gt;0)*(N('Dvd Calendar'!$E$1743)&lt;=VAL_SERIAL)*1000000+17*1000+41))</f>
        <v/>
      </c>
      <c r="FT176" s="39">
        <f>IF(N('Dvd Calendar'!$F$1744)=0,"",IF(('Dvd Calendar'!$F$1744&gt;=GRID_FROM)*('Dvd Calendar'!$F$1744&lt;=GRID_TO)*('Dvd Calendar'!$F$1744&gt;VAL_DATE)=0,"",'Dvd Calendar'!$F$1744*1000000000+ISNUMBER('Dvd Calendar'!$F$1745)*100000000+0*10000000+(N('Dvd Calendar'!$F$1743)&gt;0)*(N('Dvd Calendar'!$F$1743)&lt;=VAL_SERIAL)*1000000+17*1000+42))</f>
        <v/>
      </c>
      <c r="FU176" s="39">
        <f>IF(N('Dvd Calendar'!$G$1744)=0,"",IF(('Dvd Calendar'!$G$1744&gt;=GRID_FROM)*('Dvd Calendar'!$G$1744&lt;=GRID_TO)*('Dvd Calendar'!$G$1744&gt;VAL_DATE)=0,"",'Dvd Calendar'!$G$1744*1000000000+ISNUMBER('Dvd Calendar'!$G$1745)*100000000+0*10000000+(N('Dvd Calendar'!$G$1743)&gt;0)*(N('Dvd Calendar'!$G$1743)&lt;=VAL_SERIAL)*1000000+17*1000+43))</f>
        <v/>
      </c>
      <c r="FV176" s="39">
        <f>IF(N('Dvd Calendar'!$H$1744)=0,"",IF(('Dvd Calendar'!$H$1744&gt;=GRID_FROM)*('Dvd Calendar'!$H$1744&lt;=GRID_TO)*('Dvd Calendar'!$H$1744&gt;VAL_DATE)=0,"",'Dvd Calendar'!$H$1744*1000000000+ISNUMBER('Dvd Calendar'!$H$1745)*100000000+0*10000000+(N('Dvd Calendar'!$H$1743)&gt;0)*(N('Dvd Calendar'!$H$1743)&lt;=VAL_SERIAL)*1000000+17*1000+44))</f>
        <v/>
      </c>
      <c r="FW176" s="39">
        <f>IF(N('Dvd Calendar'!$I$1744)=0,"",IF(('Dvd Calendar'!$I$1744&gt;=GRID_FROM)*('Dvd Calendar'!$I$1744&lt;=GRID_TO)*('Dvd Calendar'!$I$1744&gt;VAL_DATE)=0,"",'Dvd Calendar'!$I$1744*1000000000+ISNUMBER('Dvd Calendar'!$I$1745)*100000000+0*10000000+(N('Dvd Calendar'!$I$1743)&gt;0)*(N('Dvd Calendar'!$I$1743)&lt;=VAL_SERIAL)*1000000+17*1000+45))</f>
        <v/>
      </c>
      <c r="FX176" s="39">
        <f>IF(N('Dvd Calendar'!$J$1744)=0,"",IF(('Dvd Calendar'!$J$1744&gt;=GRID_FROM)*('Dvd Calendar'!$J$1744&lt;=GRID_TO)*('Dvd Calendar'!$J$1744&gt;VAL_DATE)=0,"",'Dvd Calendar'!$J$1744*1000000000+ISNUMBER('Dvd Calendar'!$J$1745)*100000000+0*10000000+(N('Dvd Calendar'!$J$1743)&gt;0)*(N('Dvd Calendar'!$J$1743)&lt;=VAL_SERIAL)*1000000+17*1000+46))</f>
        <v/>
      </c>
      <c r="FY176" s="39">
        <f>IF(N('Dvd Calendar'!$K$1744)=0,"",IF(('Dvd Calendar'!$K$1744&gt;=GRID_FROM)*('Dvd Calendar'!$K$1744&lt;=GRID_TO)*('Dvd Calendar'!$K$1744&gt;VAL_DATE)=0,"",'Dvd Calendar'!$K$1744*1000000000+ISNUMBER('Dvd Calendar'!$K$1745)*100000000+0*10000000+(N('Dvd Calendar'!$K$1743)&gt;0)*(N('Dvd Calendar'!$K$1743)&lt;=VAL_SERIAL)*1000000+17*1000+47))</f>
        <v/>
      </c>
      <c r="FZ176" s="39">
        <f>IF(N('Dvd Calendar'!$L$1744)=0,"",IF(('Dvd Calendar'!$L$1744&gt;=GRID_FROM)*('Dvd Calendar'!$L$1744&lt;=GRID_TO)*('Dvd Calendar'!$L$1744&gt;VAL_DATE)=0,"",'Dvd Calendar'!$L$1744*1000000000+ISNUMBER('Dvd Calendar'!$L$1745)*100000000+0*10000000+(N('Dvd Calendar'!$L$1743)&gt;0)*(N('Dvd Calendar'!$L$1743)&lt;=VAL_SERIAL)*1000000+17*1000+48))</f>
        <v/>
      </c>
      <c r="GA176" s="39">
        <f>IF(N('Dvd Calendar'!$M$1744)=0,"",IF(('Dvd Calendar'!$M$1744&gt;=GRID_FROM)*('Dvd Calendar'!$M$1744&lt;=GRID_TO)*('Dvd Calendar'!$M$1744&gt;VAL_DATE)=0,"",'Dvd Calendar'!$M$1744*1000000000+ISNUMBER('Dvd Calendar'!$M$1745)*100000000+0*10000000+(N('Dvd Calendar'!$M$1743)&gt;0)*(N('Dvd Calendar'!$M$1743)&lt;=VAL_SERIAL)*1000000+17*1000+49))</f>
        <v/>
      </c>
      <c r="GB176" s="39">
        <f>IF(N('Dvd Calendar'!$N$1744)=0,"",IF(('Dvd Calendar'!$N$1744&gt;=GRID_FROM)*('Dvd Calendar'!$N$1744&lt;=GRID_TO)*('Dvd Calendar'!$N$1744&gt;VAL_DATE)=0,"",'Dvd Calendar'!$N$1744*1000000000+ISNUMBER('Dvd Calendar'!$N$1745)*100000000+0*10000000+(N('Dvd Calendar'!$N$1743)&gt;0)*(N('Dvd Calendar'!$N$1743)&lt;=VAL_SERIAL)*1000000+17*1000+50))</f>
        <v/>
      </c>
      <c r="GC176" s="39">
        <f>IF(N('Dvd Calendar'!$O$1744)=0,"",IF(('Dvd Calendar'!$O$1744&gt;=GRID_FROM)*('Dvd Calendar'!$O$1744&lt;=GRID_TO)*('Dvd Calendar'!$O$1744&gt;VAL_DATE)=0,"",'Dvd Calendar'!$O$1744*1000000000+ISNUMBER('Dvd Calendar'!$O$1745)*100000000+0*10000000+(N('Dvd Calendar'!$O$1743)&gt;0)*(N('Dvd Calendar'!$O$1743)&lt;=VAL_SERIAL)*1000000+17*1000+51))</f>
        <v/>
      </c>
      <c r="GD176" s="39">
        <f>IF(N('Dvd Calendar'!$P$1744)=0,"",IF(('Dvd Calendar'!$P$1744&gt;=GRID_FROM)*('Dvd Calendar'!$P$1744&lt;=GRID_TO)*('Dvd Calendar'!$P$1744&gt;VAL_DATE)=0,"",'Dvd Calendar'!$P$1744*1000000000+ISNUMBER('Dvd Calendar'!$P$1745)*100000000+0*10000000+(N('Dvd Calendar'!$P$1743)&gt;0)*(N('Dvd Calendar'!$P$1743)&lt;=VAL_SERIAL)*1000000+17*1000+52))</f>
        <v/>
      </c>
      <c r="GE176" s="39">
        <f>IF(N('Dvd Calendar'!$Q$1744)=0,"",IF(('Dvd Calendar'!$Q$1744&gt;=GRID_FROM)*('Dvd Calendar'!$Q$1744&lt;=GRID_TO)*('Dvd Calendar'!$Q$1744&gt;VAL_DATE)=0,"",'Dvd Calendar'!$Q$1744*1000000000+ISNUMBER('Dvd Calendar'!$Q$1745)*100000000+0*10000000+(N('Dvd Calendar'!$Q$1743)&gt;0)*(N('Dvd Calendar'!$Q$1743)&lt;=VAL_SERIAL)*1000000+17*1000+53))</f>
        <v/>
      </c>
      <c r="GF176" s="39">
        <f>IF(N('Dvd Calendar'!$R$1744)=0,"",IF(('Dvd Calendar'!$R$1744&gt;=GRID_FROM)*('Dvd Calendar'!$R$1744&lt;=GRID_TO)*('Dvd Calendar'!$R$1744&gt;VAL_DATE)=0,"",'Dvd Calendar'!$R$1744*1000000000+ISNUMBER('Dvd Calendar'!$R$1745)*100000000+0*10000000+(N('Dvd Calendar'!$R$1743)&gt;0)*(N('Dvd Calendar'!$R$1743)&lt;=VAL_SERIAL)*1000000+17*1000+54))</f>
        <v/>
      </c>
      <c r="GG176" s="39">
        <f>IF(N('Dvd Calendar'!$S$1744)=0,"",IF(('Dvd Calendar'!$S$1744&gt;=GRID_FROM)*('Dvd Calendar'!$S$1744&lt;=GRID_TO)*('Dvd Calendar'!$S$1744&gt;VAL_DATE)=0,"",'Dvd Calendar'!$S$1744*1000000000+ISNUMBER('Dvd Calendar'!$S$1745)*100000000+0*10000000+(N('Dvd Calendar'!$S$1743)&gt;0)*(N('Dvd Calendar'!$S$1743)&lt;=VAL_SERIAL)*1000000+17*1000+55))</f>
        <v/>
      </c>
      <c r="GH176" s="39">
        <f>IF(N('Dvd Calendar'!$T$1744)=0,"",IF(('Dvd Calendar'!$T$1744&gt;=GRID_FROM)*('Dvd Calendar'!$T$1744&lt;=GRID_TO)*('Dvd Calendar'!$T$1744&gt;VAL_DATE)=0,"",'Dvd Calendar'!$T$1744*1000000000+ISNUMBER('Dvd Calendar'!$T$1745)*100000000+0*10000000+(N('Dvd Calendar'!$T$1743)&gt;0)*(N('Dvd Calendar'!$T$1743)&lt;=VAL_SERIAL)*1000000+17*1000+56))</f>
        <v/>
      </c>
      <c r="GI176" s="39">
        <f>IF(N('Dvd Calendar'!$U$1744)=0,"",IF(('Dvd Calendar'!$U$1744&gt;=GRID_FROM)*('Dvd Calendar'!$U$1744&lt;=GRID_TO)*('Dvd Calendar'!$U$1744&gt;VAL_DATE)=0,"",'Dvd Calendar'!$U$1744*1000000000+ISNUMBER('Dvd Calendar'!$U$1745)*100000000+0*10000000+(N('Dvd Calendar'!$U$1743)&gt;0)*(N('Dvd Calendar'!$U$1743)&lt;=VAL_SERIAL)*1000000+17*1000+57))</f>
        <v/>
      </c>
      <c r="GJ176" s="39">
        <f>IF(N('Dvd Calendar'!$V$1744)=0,"",IF(('Dvd Calendar'!$V$1744&gt;=GRID_FROM)*('Dvd Calendar'!$V$1744&lt;=GRID_TO)*('Dvd Calendar'!$V$1744&gt;VAL_DATE)=0,"",'Dvd Calendar'!$V$1744*1000000000+ISNUMBER('Dvd Calendar'!$V$1745)*100000000+0*10000000+(N('Dvd Calendar'!$V$1743)&gt;0)*(N('Dvd Calendar'!$V$1743)&lt;=VAL_SERIAL)*1000000+17*1000+58))</f>
        <v/>
      </c>
      <c r="GK176" s="39">
        <f>IF(N('Dvd Calendar'!$W$1744)=0,"",IF(('Dvd Calendar'!$W$1744&gt;=GRID_FROM)*('Dvd Calendar'!$W$1744&lt;=GRID_TO)*('Dvd Calendar'!$W$1744&gt;VAL_DATE)=0,"",'Dvd Calendar'!$W$1744*1000000000+ISNUMBER('Dvd Calendar'!$W$1745)*100000000+0*10000000+(N('Dvd Calendar'!$W$1743)&gt;0)*(N('Dvd Calendar'!$W$1743)&lt;=VAL_SERIAL)*1000000+17*1000+59))</f>
        <v/>
      </c>
      <c r="GL176" s="39">
        <f>IF(N('Dvd Calendar'!$X$1744)=0,"",IF(('Dvd Calendar'!$X$1744&gt;=GRID_FROM)*('Dvd Calendar'!$X$1744&lt;=GRID_TO)*('Dvd Calendar'!$X$1744&gt;VAL_DATE)=0,"",'Dvd Calendar'!$X$1744*1000000000+ISNUMBER('Dvd Calendar'!$X$1745)*100000000+0*10000000+(N('Dvd Calendar'!$X$1743)&gt;0)*(N('Dvd Calendar'!$X$1743)&lt;=VAL_SERIAL)*1000000+17*1000+60))</f>
        <v/>
      </c>
      <c r="GM176" s="39">
        <f>IF(N('Dvd Calendar'!$Y$1744)=0,"",IF(('Dvd Calendar'!$Y$1744&gt;=GRID_FROM)*('Dvd Calendar'!$Y$1744&lt;=GRID_TO)*('Dvd Calendar'!$Y$1744&gt;VAL_DATE)=0,"",'Dvd Calendar'!$Y$1744*1000000000+ISNUMBER('Dvd Calendar'!$Y$1745)*100000000+0*10000000+(N('Dvd Calendar'!$Y$1743)&gt;0)*(N('Dvd Calendar'!$Y$1743)&lt;=VAL_SERIAL)*1000000+17*1000+61))</f>
        <v/>
      </c>
      <c r="GN176" s="39">
        <f>IF(N('Dvd Calendar'!$Z$1744)=0,"",IF(('Dvd Calendar'!$Z$1744&gt;=GRID_FROM)*('Dvd Calendar'!$Z$1744&lt;=GRID_TO)*('Dvd Calendar'!$Z$1744&gt;VAL_DATE)=0,"",'Dvd Calendar'!$Z$1744*1000000000+ISNUMBER('Dvd Calendar'!$Z$1745)*100000000+0*10000000+(N('Dvd Calendar'!$Z$1743)&gt;0)*(N('Dvd Calendar'!$Z$1743)&lt;=VAL_SERIAL)*1000000+17*1000+62))</f>
        <v/>
      </c>
      <c r="GO176" s="39">
        <f>IF(N('Dvd Calendar'!$AA$1744)=0,"",IF(('Dvd Calendar'!$AA$1744&gt;=GRID_FROM)*('Dvd Calendar'!$AA$1744&lt;=GRID_TO)*('Dvd Calendar'!$AA$1744&gt;VAL_DATE)=0,"",'Dvd Calendar'!$AA$1744*1000000000+ISNUMBER('Dvd Calendar'!$AA$1745)*100000000+0*10000000+(N('Dvd Calendar'!$AA$1743)&gt;0)*(N('Dvd Calendar'!$AA$1743)&lt;=VAL_SERIAL)*1000000+17*1000+63))</f>
        <v/>
      </c>
      <c r="GP176" s="39">
        <f>IF(N('Dvd Calendar'!$AB$1744)=0,"",IF(('Dvd Calendar'!$AB$1744&gt;=GRID_FROM)*('Dvd Calendar'!$AB$1744&lt;=GRID_TO)*('Dvd Calendar'!$AB$1744&gt;VAL_DATE)=0,"",'Dvd Calendar'!$AB$1744*1000000000+ISNUMBER('Dvd Calendar'!$AB$1745)*100000000+0*10000000+(N('Dvd Calendar'!$AB$1743)&gt;0)*(N('Dvd Calendar'!$AB$1743)&lt;=VAL_SERIAL)*1000000+17*1000+64))</f>
        <v/>
      </c>
      <c r="GQ176" s="39">
        <f>IF(N('Dvd Calendar'!$AC$1744)=0,"",IF(('Dvd Calendar'!$AC$1744&gt;=GRID_FROM)*('Dvd Calendar'!$AC$1744&lt;=GRID_TO)*('Dvd Calendar'!$AC$1744&gt;VAL_DATE)=0,"",'Dvd Calendar'!$AC$1744*1000000000+ISNUMBER('Dvd Calendar'!$AC$1745)*100000000+0*10000000+(N('Dvd Calendar'!$AC$1743)&gt;0)*(N('Dvd Calendar'!$AC$1743)&lt;=VAL_SERIAL)*1000000+17*1000+65))</f>
        <v/>
      </c>
    </row>
    <row r="177">
      <c r="B177" s="2">
        <f>IF(HSCEI!$C$24="","",HSCEI!$C$24)</f>
        <v/>
      </c>
      <c r="C177" s="110">
        <f>IF(EE177="","",IF(ISNUMBER('Dvd Calendar'!$E$1751)=FALSE,"",IF((('Dvd Calendar'!$E$1753=TYPE1)*(TYPE1&lt;&gt;"")+('Dvd Calendar'!$E$1753=TYPE2)*(TYPE2&lt;&gt;"")+('Dvd Calendar'!$E$1753=TYPE3)*(TYPE3&lt;&gt;"")+('Dvd Calendar'!$E$1753=TYPE4)*(TYPE4&lt;&gt;"")+('Dvd Calendar'!$E$1753=SPECIAL_LBL)*(INC_SPECIALS="Y"))=0,"",'Dvd Calendar'!$E$1751)))</f>
        <v/>
      </c>
      <c r="D177" s="110">
        <f>IF(EF177="","",IF(ISNUMBER('Dvd Calendar'!$F$1751)=FALSE,"",IF((('Dvd Calendar'!$F$1753=TYPE1)*(TYPE1&lt;&gt;"")+('Dvd Calendar'!$F$1753=TYPE2)*(TYPE2&lt;&gt;"")+('Dvd Calendar'!$F$1753=TYPE3)*(TYPE3&lt;&gt;"")+('Dvd Calendar'!$F$1753=TYPE4)*(TYPE4&lt;&gt;"")+('Dvd Calendar'!$F$1753=SPECIAL_LBL)*(INC_SPECIALS="Y"))=0,"",'Dvd Calendar'!$F$1751)))</f>
        <v/>
      </c>
      <c r="E177" s="110">
        <f>IF(EG177="","",IF(ISNUMBER('Dvd Calendar'!$G$1751)=FALSE,"",IF((('Dvd Calendar'!$G$1753=TYPE1)*(TYPE1&lt;&gt;"")+('Dvd Calendar'!$G$1753=TYPE2)*(TYPE2&lt;&gt;"")+('Dvd Calendar'!$G$1753=TYPE3)*(TYPE3&lt;&gt;"")+('Dvd Calendar'!$G$1753=TYPE4)*(TYPE4&lt;&gt;"")+('Dvd Calendar'!$G$1753=SPECIAL_LBL)*(INC_SPECIALS="Y"))=0,"",'Dvd Calendar'!$G$1751)))</f>
        <v/>
      </c>
      <c r="F177" s="110">
        <f>IF(EH177="","",IF(ISNUMBER('Dvd Calendar'!$H$1751)=FALSE,"",IF((('Dvd Calendar'!$H$1753=TYPE1)*(TYPE1&lt;&gt;"")+('Dvd Calendar'!$H$1753=TYPE2)*(TYPE2&lt;&gt;"")+('Dvd Calendar'!$H$1753=TYPE3)*(TYPE3&lt;&gt;"")+('Dvd Calendar'!$H$1753=TYPE4)*(TYPE4&lt;&gt;"")+('Dvd Calendar'!$H$1753=SPECIAL_LBL)*(INC_SPECIALS="Y"))=0,"",'Dvd Calendar'!$H$1751)))</f>
        <v/>
      </c>
      <c r="G177" s="110">
        <f>IF(EI177="","",IF(ISNUMBER('Dvd Calendar'!$I$1751)=FALSE,"",IF((('Dvd Calendar'!$I$1753=TYPE1)*(TYPE1&lt;&gt;"")+('Dvd Calendar'!$I$1753=TYPE2)*(TYPE2&lt;&gt;"")+('Dvd Calendar'!$I$1753=TYPE3)*(TYPE3&lt;&gt;"")+('Dvd Calendar'!$I$1753=TYPE4)*(TYPE4&lt;&gt;"")+('Dvd Calendar'!$I$1753=SPECIAL_LBL)*(INC_SPECIALS="Y"))=0,"",'Dvd Calendar'!$I$1751)))</f>
        <v/>
      </c>
      <c r="H177" s="110">
        <f>IF(EJ177="","",IF(ISNUMBER('Dvd Calendar'!$J$1751)=FALSE,"",IF((('Dvd Calendar'!$J$1753=TYPE1)*(TYPE1&lt;&gt;"")+('Dvd Calendar'!$J$1753=TYPE2)*(TYPE2&lt;&gt;"")+('Dvd Calendar'!$J$1753=TYPE3)*(TYPE3&lt;&gt;"")+('Dvd Calendar'!$J$1753=TYPE4)*(TYPE4&lt;&gt;"")+('Dvd Calendar'!$J$1753=SPECIAL_LBL)*(INC_SPECIALS="Y"))=0,"",'Dvd Calendar'!$J$1751)))</f>
        <v/>
      </c>
      <c r="I177" s="110">
        <f>IF(EK177="","",IF(ISNUMBER('Dvd Calendar'!$K$1751)=FALSE,"",IF((('Dvd Calendar'!$K$1753=TYPE1)*(TYPE1&lt;&gt;"")+('Dvd Calendar'!$K$1753=TYPE2)*(TYPE2&lt;&gt;"")+('Dvd Calendar'!$K$1753=TYPE3)*(TYPE3&lt;&gt;"")+('Dvd Calendar'!$K$1753=TYPE4)*(TYPE4&lt;&gt;"")+('Dvd Calendar'!$K$1753=SPECIAL_LBL)*(INC_SPECIALS="Y"))=0,"",'Dvd Calendar'!$K$1751)))</f>
        <v/>
      </c>
      <c r="J177" s="110">
        <f>IF(EL177="","",IF(ISNUMBER('Dvd Calendar'!$L$1751)=FALSE,"",IF((('Dvd Calendar'!$L$1753=TYPE1)*(TYPE1&lt;&gt;"")+('Dvd Calendar'!$L$1753=TYPE2)*(TYPE2&lt;&gt;"")+('Dvd Calendar'!$L$1753=TYPE3)*(TYPE3&lt;&gt;"")+('Dvd Calendar'!$L$1753=TYPE4)*(TYPE4&lt;&gt;"")+('Dvd Calendar'!$L$1753=SPECIAL_LBL)*(INC_SPECIALS="Y"))=0,"",'Dvd Calendar'!$L$1751)))</f>
        <v/>
      </c>
      <c r="K177" s="110">
        <f>IF(EM177="","",IF(ISNUMBER('Dvd Calendar'!$M$1751)=FALSE,"",IF((('Dvd Calendar'!$M$1753=TYPE1)*(TYPE1&lt;&gt;"")+('Dvd Calendar'!$M$1753=TYPE2)*(TYPE2&lt;&gt;"")+('Dvd Calendar'!$M$1753=TYPE3)*(TYPE3&lt;&gt;"")+('Dvd Calendar'!$M$1753=TYPE4)*(TYPE4&lt;&gt;"")+('Dvd Calendar'!$M$1753=SPECIAL_LBL)*(INC_SPECIALS="Y"))=0,"",'Dvd Calendar'!$M$1751)))</f>
        <v/>
      </c>
      <c r="L177" s="110">
        <f>IF(EN177="","",IF(ISNUMBER('Dvd Calendar'!$N$1751)=FALSE,"",IF((('Dvd Calendar'!$N$1753=TYPE1)*(TYPE1&lt;&gt;"")+('Dvd Calendar'!$N$1753=TYPE2)*(TYPE2&lt;&gt;"")+('Dvd Calendar'!$N$1753=TYPE3)*(TYPE3&lt;&gt;"")+('Dvd Calendar'!$N$1753=TYPE4)*(TYPE4&lt;&gt;"")+('Dvd Calendar'!$N$1753=SPECIAL_LBL)*(INC_SPECIALS="Y"))=0,"",'Dvd Calendar'!$N$1751)))</f>
        <v/>
      </c>
      <c r="M177" s="110">
        <f>IF(EO177="","",IF(ISNUMBER('Dvd Calendar'!$O$1751)=FALSE,"",IF((('Dvd Calendar'!$O$1753=TYPE1)*(TYPE1&lt;&gt;"")+('Dvd Calendar'!$O$1753=TYPE2)*(TYPE2&lt;&gt;"")+('Dvd Calendar'!$O$1753=TYPE3)*(TYPE3&lt;&gt;"")+('Dvd Calendar'!$O$1753=TYPE4)*(TYPE4&lt;&gt;"")+('Dvd Calendar'!$O$1753=SPECIAL_LBL)*(INC_SPECIALS="Y"))=0,"",'Dvd Calendar'!$O$1751)))</f>
        <v/>
      </c>
      <c r="N177" s="110">
        <f>IF(EP177="","",IF(ISNUMBER('Dvd Calendar'!$P$1751)=FALSE,"",IF((('Dvd Calendar'!$P$1753=TYPE1)*(TYPE1&lt;&gt;"")+('Dvd Calendar'!$P$1753=TYPE2)*(TYPE2&lt;&gt;"")+('Dvd Calendar'!$P$1753=TYPE3)*(TYPE3&lt;&gt;"")+('Dvd Calendar'!$P$1753=TYPE4)*(TYPE4&lt;&gt;"")+('Dvd Calendar'!$P$1753=SPECIAL_LBL)*(INC_SPECIALS="Y"))=0,"",'Dvd Calendar'!$P$1751)))</f>
        <v/>
      </c>
      <c r="O177" s="110">
        <f>IF(EQ177="","",IF(ISNUMBER('Dvd Calendar'!$Q$1751)=FALSE,"",IF((('Dvd Calendar'!$Q$1753=TYPE1)*(TYPE1&lt;&gt;"")+('Dvd Calendar'!$Q$1753=TYPE2)*(TYPE2&lt;&gt;"")+('Dvd Calendar'!$Q$1753=TYPE3)*(TYPE3&lt;&gt;"")+('Dvd Calendar'!$Q$1753=TYPE4)*(TYPE4&lt;&gt;"")+('Dvd Calendar'!$Q$1753=SPECIAL_LBL)*(INC_SPECIALS="Y"))=0,"",'Dvd Calendar'!$Q$1751)))</f>
        <v/>
      </c>
      <c r="P177" s="110">
        <f>IF(ER177="","",IF(ISNUMBER('Dvd Calendar'!$R$1751)=FALSE,"",IF((('Dvd Calendar'!$R$1753=TYPE1)*(TYPE1&lt;&gt;"")+('Dvd Calendar'!$R$1753=TYPE2)*(TYPE2&lt;&gt;"")+('Dvd Calendar'!$R$1753=TYPE3)*(TYPE3&lt;&gt;"")+('Dvd Calendar'!$R$1753=TYPE4)*(TYPE4&lt;&gt;"")+('Dvd Calendar'!$R$1753=SPECIAL_LBL)*(INC_SPECIALS="Y"))=0,"",'Dvd Calendar'!$R$1751)))</f>
        <v/>
      </c>
      <c r="Q177" s="110">
        <f>IF(ES177="","",IF(ISNUMBER('Dvd Calendar'!$S$1751)=FALSE,"",IF((('Dvd Calendar'!$S$1753=TYPE1)*(TYPE1&lt;&gt;"")+('Dvd Calendar'!$S$1753=TYPE2)*(TYPE2&lt;&gt;"")+('Dvd Calendar'!$S$1753=TYPE3)*(TYPE3&lt;&gt;"")+('Dvd Calendar'!$S$1753=TYPE4)*(TYPE4&lt;&gt;"")+('Dvd Calendar'!$S$1753=SPECIAL_LBL)*(INC_SPECIALS="Y"))=0,"",'Dvd Calendar'!$S$1751)))</f>
        <v/>
      </c>
      <c r="R177" s="110">
        <f>IF(ET177="","",IF(ISNUMBER('Dvd Calendar'!$T$1751)=FALSE,"",IF((('Dvd Calendar'!$T$1753=TYPE1)*(TYPE1&lt;&gt;"")+('Dvd Calendar'!$T$1753=TYPE2)*(TYPE2&lt;&gt;"")+('Dvd Calendar'!$T$1753=TYPE3)*(TYPE3&lt;&gt;"")+('Dvd Calendar'!$T$1753=TYPE4)*(TYPE4&lt;&gt;"")+('Dvd Calendar'!$T$1753=SPECIAL_LBL)*(INC_SPECIALS="Y"))=0,"",'Dvd Calendar'!$T$1751)))</f>
        <v/>
      </c>
      <c r="S177" s="110">
        <f>IF(EU177="","",IF(ISNUMBER('Dvd Calendar'!$U$1751)=FALSE,"",IF((('Dvd Calendar'!$U$1753=TYPE1)*(TYPE1&lt;&gt;"")+('Dvd Calendar'!$U$1753=TYPE2)*(TYPE2&lt;&gt;"")+('Dvd Calendar'!$U$1753=TYPE3)*(TYPE3&lt;&gt;"")+('Dvd Calendar'!$U$1753=TYPE4)*(TYPE4&lt;&gt;"")+('Dvd Calendar'!$U$1753=SPECIAL_LBL)*(INC_SPECIALS="Y"))=0,"",'Dvd Calendar'!$U$1751)))</f>
        <v/>
      </c>
      <c r="T177" s="110">
        <f>IF(EV177="","",IF(ISNUMBER('Dvd Calendar'!$V$1751)=FALSE,"",IF((('Dvd Calendar'!$V$1753=TYPE1)*(TYPE1&lt;&gt;"")+('Dvd Calendar'!$V$1753=TYPE2)*(TYPE2&lt;&gt;"")+('Dvd Calendar'!$V$1753=TYPE3)*(TYPE3&lt;&gt;"")+('Dvd Calendar'!$V$1753=TYPE4)*(TYPE4&lt;&gt;"")+('Dvd Calendar'!$V$1753=SPECIAL_LBL)*(INC_SPECIALS="Y"))=0,"",'Dvd Calendar'!$V$1751)))</f>
        <v/>
      </c>
      <c r="U177" s="110">
        <f>IF(EW177="","",IF(ISNUMBER('Dvd Calendar'!$W$1751)=FALSE,"",IF((('Dvd Calendar'!$W$1753=TYPE1)*(TYPE1&lt;&gt;"")+('Dvd Calendar'!$W$1753=TYPE2)*(TYPE2&lt;&gt;"")+('Dvd Calendar'!$W$1753=TYPE3)*(TYPE3&lt;&gt;"")+('Dvd Calendar'!$W$1753=TYPE4)*(TYPE4&lt;&gt;"")+('Dvd Calendar'!$W$1753=SPECIAL_LBL)*(INC_SPECIALS="Y"))=0,"",'Dvd Calendar'!$W$1751)))</f>
        <v/>
      </c>
      <c r="V177" s="110">
        <f>IF(EX177="","",IF(ISNUMBER('Dvd Calendar'!$X$1751)=FALSE,"",IF((('Dvd Calendar'!$X$1753=TYPE1)*(TYPE1&lt;&gt;"")+('Dvd Calendar'!$X$1753=TYPE2)*(TYPE2&lt;&gt;"")+('Dvd Calendar'!$X$1753=TYPE3)*(TYPE3&lt;&gt;"")+('Dvd Calendar'!$X$1753=TYPE4)*(TYPE4&lt;&gt;"")+('Dvd Calendar'!$X$1753=SPECIAL_LBL)*(INC_SPECIALS="Y"))=0,"",'Dvd Calendar'!$X$1751)))</f>
        <v/>
      </c>
      <c r="W177" s="110">
        <f>IF(EY177="","",IF(ISNUMBER('Dvd Calendar'!$Y$1751)=FALSE,"",IF((('Dvd Calendar'!$Y$1753=TYPE1)*(TYPE1&lt;&gt;"")+('Dvd Calendar'!$Y$1753=TYPE2)*(TYPE2&lt;&gt;"")+('Dvd Calendar'!$Y$1753=TYPE3)*(TYPE3&lt;&gt;"")+('Dvd Calendar'!$Y$1753=TYPE4)*(TYPE4&lt;&gt;"")+('Dvd Calendar'!$Y$1753=SPECIAL_LBL)*(INC_SPECIALS="Y"))=0,"",'Dvd Calendar'!$Y$1751)))</f>
        <v/>
      </c>
      <c r="X177" s="110">
        <f>IF(EZ177="","",IF(ISNUMBER('Dvd Calendar'!$Z$1751)=FALSE,"",IF((('Dvd Calendar'!$Z$1753=TYPE1)*(TYPE1&lt;&gt;"")+('Dvd Calendar'!$Z$1753=TYPE2)*(TYPE2&lt;&gt;"")+('Dvd Calendar'!$Z$1753=TYPE3)*(TYPE3&lt;&gt;"")+('Dvd Calendar'!$Z$1753=TYPE4)*(TYPE4&lt;&gt;"")+('Dvd Calendar'!$Z$1753=SPECIAL_LBL)*(INC_SPECIALS="Y"))=0,"",'Dvd Calendar'!$Z$1751)))</f>
        <v/>
      </c>
      <c r="Y177" s="110">
        <f>IF(FA177="","",IF(ISNUMBER('Dvd Calendar'!$AA$1751)=FALSE,"",IF((('Dvd Calendar'!$AA$1753=TYPE1)*(TYPE1&lt;&gt;"")+('Dvd Calendar'!$AA$1753=TYPE2)*(TYPE2&lt;&gt;"")+('Dvd Calendar'!$AA$1753=TYPE3)*(TYPE3&lt;&gt;"")+('Dvd Calendar'!$AA$1753=TYPE4)*(TYPE4&lt;&gt;"")+('Dvd Calendar'!$AA$1753=SPECIAL_LBL)*(INC_SPECIALS="Y"))=0,"",'Dvd Calendar'!$AA$1751)))</f>
        <v/>
      </c>
      <c r="Z177" s="110">
        <f>IF(FB177="","",IF(ISNUMBER('Dvd Calendar'!$AB$1751)=FALSE,"",IF((('Dvd Calendar'!$AB$1753=TYPE1)*(TYPE1&lt;&gt;"")+('Dvd Calendar'!$AB$1753=TYPE2)*(TYPE2&lt;&gt;"")+('Dvd Calendar'!$AB$1753=TYPE3)*(TYPE3&lt;&gt;"")+('Dvd Calendar'!$AB$1753=TYPE4)*(TYPE4&lt;&gt;"")+('Dvd Calendar'!$AB$1753=SPECIAL_LBL)*(INC_SPECIALS="Y"))=0,"",'Dvd Calendar'!$AB$1751)))</f>
        <v/>
      </c>
      <c r="AA177" s="110">
        <f>IF(FC177="","",IF(ISNUMBER('Dvd Calendar'!$AC$1751)=FALSE,"",IF((('Dvd Calendar'!$AC$1753=TYPE1)*(TYPE1&lt;&gt;"")+('Dvd Calendar'!$AC$1753=TYPE2)*(TYPE2&lt;&gt;"")+('Dvd Calendar'!$AC$1753=TYPE3)*(TYPE3&lt;&gt;"")+('Dvd Calendar'!$AC$1753=TYPE4)*(TYPE4&lt;&gt;"")+('Dvd Calendar'!$AC$1753=SPECIAL_LBL)*(INC_SPECIALS="Y"))=0,"",'Dvd Calendar'!$AC$1751)))</f>
        <v/>
      </c>
      <c r="AB177" s="110">
        <f>IF(FD177="","",IF(ISNUMBER('Dvd Calendar'!$AD$1751)=FALSE,"",IF((('Dvd Calendar'!$AD$1753=TYPE1)*(TYPE1&lt;&gt;"")+('Dvd Calendar'!$AD$1753=TYPE2)*(TYPE2&lt;&gt;"")+('Dvd Calendar'!$AD$1753=TYPE3)*(TYPE3&lt;&gt;"")+('Dvd Calendar'!$AD$1753=TYPE4)*(TYPE4&lt;&gt;"")+('Dvd Calendar'!$AD$1753=SPECIAL_LBL)*(INC_SPECIALS="Y"))=0,"",'Dvd Calendar'!$AD$1751)))</f>
        <v/>
      </c>
      <c r="AC177" s="110">
        <f>IF(FE177="","",IF(ISNUMBER('Dvd Calendar'!$AE$1751)=FALSE,"",IF((('Dvd Calendar'!$AE$1753=TYPE1)*(TYPE1&lt;&gt;"")+('Dvd Calendar'!$AE$1753=TYPE2)*(TYPE2&lt;&gt;"")+('Dvd Calendar'!$AE$1753=TYPE3)*(TYPE3&lt;&gt;"")+('Dvd Calendar'!$AE$1753=TYPE4)*(TYPE4&lt;&gt;"")+('Dvd Calendar'!$AE$1753=SPECIAL_LBL)*(INC_SPECIALS="Y"))=0,"",'Dvd Calendar'!$AE$1751)))</f>
        <v/>
      </c>
      <c r="AD177" s="110">
        <f>IF(FF177="","",IF(ISNUMBER('Dvd Calendar'!$AF$1751)=FALSE,"",IF((('Dvd Calendar'!$AF$1753=TYPE1)*(TYPE1&lt;&gt;"")+('Dvd Calendar'!$AF$1753=TYPE2)*(TYPE2&lt;&gt;"")+('Dvd Calendar'!$AF$1753=TYPE3)*(TYPE3&lt;&gt;"")+('Dvd Calendar'!$AF$1753=TYPE4)*(TYPE4&lt;&gt;"")+('Dvd Calendar'!$AF$1753=SPECIAL_LBL)*(INC_SPECIALS="Y"))=0,"",'Dvd Calendar'!$AF$1751)))</f>
        <v/>
      </c>
      <c r="AE177" s="110">
        <f>IF(FG177="","",IF(ISNUMBER('Dvd Calendar'!$AG$1751)=FALSE,"",IF((('Dvd Calendar'!$AG$1753=TYPE1)*(TYPE1&lt;&gt;"")+('Dvd Calendar'!$AG$1753=TYPE2)*(TYPE2&lt;&gt;"")+('Dvd Calendar'!$AG$1753=TYPE3)*(TYPE3&lt;&gt;"")+('Dvd Calendar'!$AG$1753=TYPE4)*(TYPE4&lt;&gt;"")+('Dvd Calendar'!$AG$1753=SPECIAL_LBL)*(INC_SPECIALS="Y"))=0,"",'Dvd Calendar'!$AG$1751)))</f>
        <v/>
      </c>
      <c r="AF177" s="110">
        <f>IF(FH177="","",IF(ISNUMBER('Dvd Calendar'!$AH$1751)=FALSE,"",IF((('Dvd Calendar'!$AH$1753=TYPE1)*(TYPE1&lt;&gt;"")+('Dvd Calendar'!$AH$1753=TYPE2)*(TYPE2&lt;&gt;"")+('Dvd Calendar'!$AH$1753=TYPE3)*(TYPE3&lt;&gt;"")+('Dvd Calendar'!$AH$1753=TYPE4)*(TYPE4&lt;&gt;"")+('Dvd Calendar'!$AH$1753=SPECIAL_LBL)*(INC_SPECIALS="Y"))=0,"",'Dvd Calendar'!$AH$1751)))</f>
        <v/>
      </c>
      <c r="AG177" s="110">
        <f>IF(FI177="","",IF(ISNUMBER('Dvd Calendar'!$AI$1751)=FALSE,"",IF((('Dvd Calendar'!$AI$1753=TYPE1)*(TYPE1&lt;&gt;"")+('Dvd Calendar'!$AI$1753=TYPE2)*(TYPE2&lt;&gt;"")+('Dvd Calendar'!$AI$1753=TYPE3)*(TYPE3&lt;&gt;"")+('Dvd Calendar'!$AI$1753=TYPE4)*(TYPE4&lt;&gt;"")+('Dvd Calendar'!$AI$1753=SPECIAL_LBL)*(INC_SPECIALS="Y"))=0,"",'Dvd Calendar'!$AI$1751)))</f>
        <v/>
      </c>
      <c r="AH177" s="110">
        <f>IF(FJ177="","",IF(ISNUMBER('Dvd Calendar'!$AJ$1751)=FALSE,"",IF((('Dvd Calendar'!$AJ$1753=TYPE1)*(TYPE1&lt;&gt;"")+('Dvd Calendar'!$AJ$1753=TYPE2)*(TYPE2&lt;&gt;"")+('Dvd Calendar'!$AJ$1753=TYPE3)*(TYPE3&lt;&gt;"")+('Dvd Calendar'!$AJ$1753=TYPE4)*(TYPE4&lt;&gt;"")+('Dvd Calendar'!$AJ$1753=SPECIAL_LBL)*(INC_SPECIALS="Y"))=0,"",'Dvd Calendar'!$AJ$1751)))</f>
        <v/>
      </c>
      <c r="AI177" s="110">
        <f>IF(FK177="","",IF(ISNUMBER('Dvd Calendar'!$AK$1751)=FALSE,"",IF((('Dvd Calendar'!$AK$1753=TYPE1)*(TYPE1&lt;&gt;"")+('Dvd Calendar'!$AK$1753=TYPE2)*(TYPE2&lt;&gt;"")+('Dvd Calendar'!$AK$1753=TYPE3)*(TYPE3&lt;&gt;"")+('Dvd Calendar'!$AK$1753=TYPE4)*(TYPE4&lt;&gt;"")+('Dvd Calendar'!$AK$1753=SPECIAL_LBL)*(INC_SPECIALS="Y"))=0,"",'Dvd Calendar'!$AK$1751)))</f>
        <v/>
      </c>
      <c r="AJ177" s="110">
        <f>IF(FL177="","",IF(ISNUMBER('Dvd Calendar'!$AL$1751)=FALSE,"",IF((('Dvd Calendar'!$AL$1753=TYPE1)*(TYPE1&lt;&gt;"")+('Dvd Calendar'!$AL$1753=TYPE2)*(TYPE2&lt;&gt;"")+('Dvd Calendar'!$AL$1753=TYPE3)*(TYPE3&lt;&gt;"")+('Dvd Calendar'!$AL$1753=TYPE4)*(TYPE4&lt;&gt;"")+('Dvd Calendar'!$AL$1753=SPECIAL_LBL)*(INC_SPECIALS="Y"))=0,"",'Dvd Calendar'!$AL$1751)))</f>
        <v/>
      </c>
      <c r="AK177" s="110">
        <f>IF(FM177="","",IF(ISNUMBER('Dvd Calendar'!$AM$1751)=FALSE,"",IF((('Dvd Calendar'!$AM$1753=TYPE1)*(TYPE1&lt;&gt;"")+('Dvd Calendar'!$AM$1753=TYPE2)*(TYPE2&lt;&gt;"")+('Dvd Calendar'!$AM$1753=TYPE3)*(TYPE3&lt;&gt;"")+('Dvd Calendar'!$AM$1753=TYPE4)*(TYPE4&lt;&gt;"")+('Dvd Calendar'!$AM$1753=SPECIAL_LBL)*(INC_SPECIALS="Y"))=0,"",'Dvd Calendar'!$AM$1751)))</f>
        <v/>
      </c>
      <c r="AL177" s="110">
        <f>IF(FN177="","",IF(ISNUMBER('Dvd Calendar'!$AN$1751)=FALSE,"",IF((('Dvd Calendar'!$AN$1753=TYPE1)*(TYPE1&lt;&gt;"")+('Dvd Calendar'!$AN$1753=TYPE2)*(TYPE2&lt;&gt;"")+('Dvd Calendar'!$AN$1753=TYPE3)*(TYPE3&lt;&gt;"")+('Dvd Calendar'!$AN$1753=TYPE4)*(TYPE4&lt;&gt;"")+('Dvd Calendar'!$AN$1753=SPECIAL_LBL)*(INC_SPECIALS="Y"))=0,"",'Dvd Calendar'!$AN$1751)))</f>
        <v/>
      </c>
      <c r="AM177" s="110">
        <f>IF(FO177="","",IF(ISNUMBER('Dvd Calendar'!$AO$1751)=FALSE,"",IF((('Dvd Calendar'!$AO$1753=TYPE1)*(TYPE1&lt;&gt;"")+('Dvd Calendar'!$AO$1753=TYPE2)*(TYPE2&lt;&gt;"")+('Dvd Calendar'!$AO$1753=TYPE3)*(TYPE3&lt;&gt;"")+('Dvd Calendar'!$AO$1753=TYPE4)*(TYPE4&lt;&gt;"")+('Dvd Calendar'!$AO$1753=SPECIAL_LBL)*(INC_SPECIALS="Y"))=0,"",'Dvd Calendar'!$AO$1751)))</f>
        <v/>
      </c>
      <c r="AN177" s="110">
        <f>IF(FP177="","",IF(ISNUMBER('Dvd Calendar'!$AP$1751)=FALSE,"",IF((('Dvd Calendar'!$AP$1753=TYPE1)*(TYPE1&lt;&gt;"")+('Dvd Calendar'!$AP$1753=TYPE2)*(TYPE2&lt;&gt;"")+('Dvd Calendar'!$AP$1753=TYPE3)*(TYPE3&lt;&gt;"")+('Dvd Calendar'!$AP$1753=TYPE4)*(TYPE4&lt;&gt;"")+('Dvd Calendar'!$AP$1753=SPECIAL_LBL)*(INC_SPECIALS="Y"))=0,"",'Dvd Calendar'!$AP$1751)))</f>
        <v/>
      </c>
      <c r="AO177" s="110">
        <f>IF(FQ177="","",IF(ISNUMBER('Dvd Calendar'!$AQ$1751)=FALSE,"",IF((('Dvd Calendar'!$AQ$1753=TYPE1)*(TYPE1&lt;&gt;"")+('Dvd Calendar'!$AQ$1753=TYPE2)*(TYPE2&lt;&gt;"")+('Dvd Calendar'!$AQ$1753=TYPE3)*(TYPE3&lt;&gt;"")+('Dvd Calendar'!$AQ$1753=TYPE4)*(TYPE4&lt;&gt;"")+('Dvd Calendar'!$AQ$1753=SPECIAL_LBL)*(INC_SPECIALS="Y"))=0,"",'Dvd Calendar'!$AQ$1751)))</f>
        <v/>
      </c>
      <c r="AP177" s="110">
        <f>IF(FR177="","",IF(ISNUMBER('Dvd Calendar'!$AR$1751)=FALSE,"",IF((('Dvd Calendar'!$AR$1753=TYPE1)*(TYPE1&lt;&gt;"")+('Dvd Calendar'!$AR$1753=TYPE2)*(TYPE2&lt;&gt;"")+('Dvd Calendar'!$AR$1753=TYPE3)*(TYPE3&lt;&gt;"")+('Dvd Calendar'!$AR$1753=TYPE4)*(TYPE4&lt;&gt;"")+('Dvd Calendar'!$AR$1753=SPECIAL_LBL)*(INC_SPECIALS="Y"))=0,"",'Dvd Calendar'!$AR$1751)))</f>
        <v/>
      </c>
      <c r="AQ177" s="110">
        <f>IF(FS177="","",IF(ISNUMBER('Dvd Calendar'!$E$1756)=FALSE,"",'Dvd Calendar'!$E$1756))</f>
        <v/>
      </c>
      <c r="AR177" s="110">
        <f>IF(FT177="","",IF(ISNUMBER('Dvd Calendar'!$F$1756)=FALSE,"",'Dvd Calendar'!$F$1756))</f>
        <v/>
      </c>
      <c r="AS177" s="110">
        <f>IF(FU177="","",IF(ISNUMBER('Dvd Calendar'!$G$1756)=FALSE,"",'Dvd Calendar'!$G$1756))</f>
        <v/>
      </c>
      <c r="AT177" s="110">
        <f>IF(FV177="","",IF(ISNUMBER('Dvd Calendar'!$H$1756)=FALSE,"",'Dvd Calendar'!$H$1756))</f>
        <v/>
      </c>
      <c r="AU177" s="110">
        <f>IF(FW177="","",IF(ISNUMBER('Dvd Calendar'!$I$1756)=FALSE,"",'Dvd Calendar'!$I$1756))</f>
        <v/>
      </c>
      <c r="AV177" s="110">
        <f>IF(FX177="","",IF(ISNUMBER('Dvd Calendar'!$J$1756)=FALSE,"",'Dvd Calendar'!$J$1756))</f>
        <v/>
      </c>
      <c r="AW177" s="110">
        <f>IF(FY177="","",IF(ISNUMBER('Dvd Calendar'!$K$1756)=FALSE,"",'Dvd Calendar'!$K$1756))</f>
        <v/>
      </c>
      <c r="AX177" s="110">
        <f>IF(FZ177="","",IF(ISNUMBER('Dvd Calendar'!$L$1756)=FALSE,"",'Dvd Calendar'!$L$1756))</f>
        <v/>
      </c>
      <c r="AY177" s="110">
        <f>IF(GA177="","",IF(ISNUMBER('Dvd Calendar'!$M$1756)=FALSE,"",'Dvd Calendar'!$M$1756))</f>
        <v/>
      </c>
      <c r="AZ177" s="110">
        <f>IF(GB177="","",IF(ISNUMBER('Dvd Calendar'!$N$1756)=FALSE,"",'Dvd Calendar'!$N$1756))</f>
        <v/>
      </c>
      <c r="BA177" s="110">
        <f>IF(GC177="","",IF(ISNUMBER('Dvd Calendar'!$O$1756)=FALSE,"",'Dvd Calendar'!$O$1756))</f>
        <v/>
      </c>
      <c r="BB177" s="110">
        <f>IF(GD177="","",IF(ISNUMBER('Dvd Calendar'!$P$1756)=FALSE,"",'Dvd Calendar'!$P$1756))</f>
        <v/>
      </c>
      <c r="BC177" s="110">
        <f>IF(GE177="","",IF(ISNUMBER('Dvd Calendar'!$Q$1756)=FALSE,"",'Dvd Calendar'!$Q$1756))</f>
        <v/>
      </c>
      <c r="BD177" s="110">
        <f>IF(GF177="","",IF(ISNUMBER('Dvd Calendar'!$R$1756)=FALSE,"",'Dvd Calendar'!$R$1756))</f>
        <v/>
      </c>
      <c r="BE177" s="110">
        <f>IF(GG177="","",IF(ISNUMBER('Dvd Calendar'!$S$1756)=FALSE,"",'Dvd Calendar'!$S$1756))</f>
        <v/>
      </c>
      <c r="BF177" s="110">
        <f>IF(GH177="","",IF(ISNUMBER('Dvd Calendar'!$T$1756)=FALSE,"",'Dvd Calendar'!$T$1756))</f>
        <v/>
      </c>
      <c r="BG177" s="110">
        <f>IF(GI177="","",IF(ISNUMBER('Dvd Calendar'!$U$1756)=FALSE,"",'Dvd Calendar'!$U$1756))</f>
        <v/>
      </c>
      <c r="BH177" s="110">
        <f>IF(GJ177="","",IF(ISNUMBER('Dvd Calendar'!$V$1756)=FALSE,"",'Dvd Calendar'!$V$1756))</f>
        <v/>
      </c>
      <c r="BI177" s="110">
        <f>IF(GK177="","",IF(ISNUMBER('Dvd Calendar'!$W$1756)=FALSE,"",'Dvd Calendar'!$W$1756))</f>
        <v/>
      </c>
      <c r="BJ177" s="110">
        <f>IF(GL177="","",IF(ISNUMBER('Dvd Calendar'!$X$1756)=FALSE,"",'Dvd Calendar'!$X$1756))</f>
        <v/>
      </c>
      <c r="BK177" s="110">
        <f>IF(GM177="","",IF(ISNUMBER('Dvd Calendar'!$Y$1756)=FALSE,"",'Dvd Calendar'!$Y$1756))</f>
        <v/>
      </c>
      <c r="BL177" s="110">
        <f>IF(GN177="","",IF(ISNUMBER('Dvd Calendar'!$Z$1756)=FALSE,"",'Dvd Calendar'!$Z$1756))</f>
        <v/>
      </c>
      <c r="BM177" s="110">
        <f>IF(GO177="","",IF(ISNUMBER('Dvd Calendar'!$AA$1756)=FALSE,"",'Dvd Calendar'!$AA$1756))</f>
        <v/>
      </c>
      <c r="BN177" s="110">
        <f>IF(GP177="","",IF(ISNUMBER('Dvd Calendar'!$AB$1756)=FALSE,"",'Dvd Calendar'!$AB$1756))</f>
        <v/>
      </c>
      <c r="BO177" s="110">
        <f>IF(GQ177="","",IF(ISNUMBER('Dvd Calendar'!$AC$1756)=FALSE,"",'Dvd Calendar'!$AC$1756))</f>
        <v/>
      </c>
      <c r="BQ177" s="110">
        <f>IF(C177="","",IFERROR(C177*HSCEI!$B$24*HSCEI!$G$24/HSCEI!$B$3,""))</f>
        <v/>
      </c>
      <c r="BR177" s="110">
        <f>IF(D177="","",IFERROR(D177*HSCEI!$B$24*HSCEI!$G$24/HSCEI!$B$3,""))</f>
        <v/>
      </c>
      <c r="BS177" s="110">
        <f>IF(E177="","",IFERROR(E177*HSCEI!$B$24*HSCEI!$G$24/HSCEI!$B$3,""))</f>
        <v/>
      </c>
      <c r="BT177" s="110">
        <f>IF(F177="","",IFERROR(F177*HSCEI!$B$24*HSCEI!$G$24/HSCEI!$B$3,""))</f>
        <v/>
      </c>
      <c r="BU177" s="110">
        <f>IF(G177="","",IFERROR(G177*HSCEI!$B$24*HSCEI!$G$24/HSCEI!$B$3,""))</f>
        <v/>
      </c>
      <c r="BV177" s="110">
        <f>IF(H177="","",IFERROR(H177*HSCEI!$B$24*HSCEI!$G$24/HSCEI!$B$3,""))</f>
        <v/>
      </c>
      <c r="BW177" s="110">
        <f>IF(I177="","",IFERROR(I177*HSCEI!$B$24*HSCEI!$G$24/HSCEI!$B$3,""))</f>
        <v/>
      </c>
      <c r="BX177" s="110">
        <f>IF(J177="","",IFERROR(J177*HSCEI!$B$24*HSCEI!$G$24/HSCEI!$B$3,""))</f>
        <v/>
      </c>
      <c r="BY177" s="110">
        <f>IF(K177="","",IFERROR(K177*HSCEI!$B$24*HSCEI!$G$24/HSCEI!$B$3,""))</f>
        <v/>
      </c>
      <c r="BZ177" s="110">
        <f>IF(L177="","",IFERROR(L177*HSCEI!$B$24*HSCEI!$G$24/HSCEI!$B$3,""))</f>
        <v/>
      </c>
      <c r="CA177" s="110">
        <f>IF(M177="","",IFERROR(M177*HSCEI!$B$24*HSCEI!$G$24/HSCEI!$B$3,""))</f>
        <v/>
      </c>
      <c r="CB177" s="110">
        <f>IF(N177="","",IFERROR(N177*HSCEI!$B$24*HSCEI!$G$24/HSCEI!$B$3,""))</f>
        <v/>
      </c>
      <c r="CC177" s="110">
        <f>IF(O177="","",IFERROR(O177*HSCEI!$B$24*HSCEI!$G$24/HSCEI!$B$3,""))</f>
        <v/>
      </c>
      <c r="CD177" s="110">
        <f>IF(P177="","",IFERROR(P177*HSCEI!$B$24*HSCEI!$G$24/HSCEI!$B$3,""))</f>
        <v/>
      </c>
      <c r="CE177" s="110">
        <f>IF(Q177="","",IFERROR(Q177*HSCEI!$B$24*HSCEI!$G$24/HSCEI!$B$3,""))</f>
        <v/>
      </c>
      <c r="CF177" s="110">
        <f>IF(R177="","",IFERROR(R177*HSCEI!$B$24*HSCEI!$G$24/HSCEI!$B$3,""))</f>
        <v/>
      </c>
      <c r="CG177" s="110">
        <f>IF(S177="","",IFERROR(S177*HSCEI!$B$24*HSCEI!$G$24/HSCEI!$B$3,""))</f>
        <v/>
      </c>
      <c r="CH177" s="110">
        <f>IF(T177="","",IFERROR(T177*HSCEI!$B$24*HSCEI!$G$24/HSCEI!$B$3,""))</f>
        <v/>
      </c>
      <c r="CI177" s="110">
        <f>IF(U177="","",IFERROR(U177*HSCEI!$B$24*HSCEI!$G$24/HSCEI!$B$3,""))</f>
        <v/>
      </c>
      <c r="CJ177" s="110">
        <f>IF(V177="","",IFERROR(V177*HSCEI!$B$24*HSCEI!$G$24/HSCEI!$B$3,""))</f>
        <v/>
      </c>
      <c r="CK177" s="110">
        <f>IF(W177="","",IFERROR(W177*HSCEI!$B$24*HSCEI!$G$24/HSCEI!$B$3,""))</f>
        <v/>
      </c>
      <c r="CL177" s="110">
        <f>IF(X177="","",IFERROR(X177*HSCEI!$B$24*HSCEI!$G$24/HSCEI!$B$3,""))</f>
        <v/>
      </c>
      <c r="CM177" s="110">
        <f>IF(Y177="","",IFERROR(Y177*HSCEI!$B$24*HSCEI!$G$24/HSCEI!$B$3,""))</f>
        <v/>
      </c>
      <c r="CN177" s="110">
        <f>IF(Z177="","",IFERROR(Z177*HSCEI!$B$24*HSCEI!$G$24/HSCEI!$B$3,""))</f>
        <v/>
      </c>
      <c r="CO177" s="110">
        <f>IF(AA177="","",IFERROR(AA177*HSCEI!$B$24*HSCEI!$G$24/HSCEI!$B$3,""))</f>
        <v/>
      </c>
      <c r="CP177" s="110">
        <f>IF(AB177="","",IFERROR(AB177*HSCEI!$B$24*HSCEI!$G$24/HSCEI!$B$3,""))</f>
        <v/>
      </c>
      <c r="CQ177" s="110">
        <f>IF(AC177="","",IFERROR(AC177*HSCEI!$B$24*HSCEI!$G$24/HSCEI!$B$3,""))</f>
        <v/>
      </c>
      <c r="CR177" s="110">
        <f>IF(AD177="","",IFERROR(AD177*HSCEI!$B$24*HSCEI!$G$24/HSCEI!$B$3,""))</f>
        <v/>
      </c>
      <c r="CS177" s="110">
        <f>IF(AE177="","",IFERROR(AE177*HSCEI!$B$24*HSCEI!$G$24/HSCEI!$B$3,""))</f>
        <v/>
      </c>
      <c r="CT177" s="110">
        <f>IF(AF177="","",IFERROR(AF177*HSCEI!$B$24*HSCEI!$G$24/HSCEI!$B$3,""))</f>
        <v/>
      </c>
      <c r="CU177" s="110">
        <f>IF(AG177="","",IFERROR(AG177*HSCEI!$B$24*HSCEI!$G$24/HSCEI!$B$3,""))</f>
        <v/>
      </c>
      <c r="CV177" s="110">
        <f>IF(AH177="","",IFERROR(AH177*HSCEI!$B$24*HSCEI!$G$24/HSCEI!$B$3,""))</f>
        <v/>
      </c>
      <c r="CW177" s="110">
        <f>IF(AI177="","",IFERROR(AI177*HSCEI!$B$24*HSCEI!$G$24/HSCEI!$B$3,""))</f>
        <v/>
      </c>
      <c r="CX177" s="110">
        <f>IF(AJ177="","",IFERROR(AJ177*HSCEI!$B$24*HSCEI!$G$24/HSCEI!$B$3,""))</f>
        <v/>
      </c>
      <c r="CY177" s="110">
        <f>IF(AK177="","",IFERROR(AK177*HSCEI!$B$24*HSCEI!$G$24/HSCEI!$B$3,""))</f>
        <v/>
      </c>
      <c r="CZ177" s="110">
        <f>IF(AL177="","",IFERROR(AL177*HSCEI!$B$24*HSCEI!$G$24/HSCEI!$B$3,""))</f>
        <v/>
      </c>
      <c r="DA177" s="110">
        <f>IF(AM177="","",IFERROR(AM177*HSCEI!$B$24*HSCEI!$G$24/HSCEI!$B$3,""))</f>
        <v/>
      </c>
      <c r="DB177" s="110">
        <f>IF(AN177="","",IFERROR(AN177*HSCEI!$B$24*HSCEI!$G$24/HSCEI!$B$3,""))</f>
        <v/>
      </c>
      <c r="DC177" s="110">
        <f>IF(AO177="","",IFERROR(AO177*HSCEI!$B$24*HSCEI!$G$24/HSCEI!$B$3,""))</f>
        <v/>
      </c>
      <c r="DD177" s="110">
        <f>IF(AP177="","",IFERROR(AP177*HSCEI!$B$24*HSCEI!$G$24/HSCEI!$B$3,""))</f>
        <v/>
      </c>
      <c r="DE177" s="110">
        <f>IF(AQ177="","",IFERROR(AQ177*HSCEI!$B$24*HSCEI!$G$24/HSCEI!$B$3,""))</f>
        <v/>
      </c>
      <c r="DF177" s="110">
        <f>IF(AR177="","",IFERROR(AR177*HSCEI!$B$24*HSCEI!$G$24/HSCEI!$B$3,""))</f>
        <v/>
      </c>
      <c r="DG177" s="110">
        <f>IF(AS177="","",IFERROR(AS177*HSCEI!$B$24*HSCEI!$G$24/HSCEI!$B$3,""))</f>
        <v/>
      </c>
      <c r="DH177" s="110">
        <f>IF(AT177="","",IFERROR(AT177*HSCEI!$B$24*HSCEI!$G$24/HSCEI!$B$3,""))</f>
        <v/>
      </c>
      <c r="DI177" s="110">
        <f>IF(AU177="","",IFERROR(AU177*HSCEI!$B$24*HSCEI!$G$24/HSCEI!$B$3,""))</f>
        <v/>
      </c>
      <c r="DJ177" s="110">
        <f>IF(AV177="","",IFERROR(AV177*HSCEI!$B$24*HSCEI!$G$24/HSCEI!$B$3,""))</f>
        <v/>
      </c>
      <c r="DK177" s="110">
        <f>IF(AW177="","",IFERROR(AW177*HSCEI!$B$24*HSCEI!$G$24/HSCEI!$B$3,""))</f>
        <v/>
      </c>
      <c r="DL177" s="110">
        <f>IF(AX177="","",IFERROR(AX177*HSCEI!$B$24*HSCEI!$G$24/HSCEI!$B$3,""))</f>
        <v/>
      </c>
      <c r="DM177" s="110">
        <f>IF(AY177="","",IFERROR(AY177*HSCEI!$B$24*HSCEI!$G$24/HSCEI!$B$3,""))</f>
        <v/>
      </c>
      <c r="DN177" s="110">
        <f>IF(AZ177="","",IFERROR(AZ177*HSCEI!$B$24*HSCEI!$G$24/HSCEI!$B$3,""))</f>
        <v/>
      </c>
      <c r="DO177" s="110">
        <f>IF(BA177="","",IFERROR(BA177*HSCEI!$B$24*HSCEI!$G$24/HSCEI!$B$3,""))</f>
        <v/>
      </c>
      <c r="DP177" s="110">
        <f>IF(BB177="","",IFERROR(BB177*HSCEI!$B$24*HSCEI!$G$24/HSCEI!$B$3,""))</f>
        <v/>
      </c>
      <c r="DQ177" s="110">
        <f>IF(BC177="","",IFERROR(BC177*HSCEI!$B$24*HSCEI!$G$24/HSCEI!$B$3,""))</f>
        <v/>
      </c>
      <c r="DR177" s="110">
        <f>IF(BD177="","",IFERROR(BD177*HSCEI!$B$24*HSCEI!$G$24/HSCEI!$B$3,""))</f>
        <v/>
      </c>
      <c r="DS177" s="110">
        <f>IF(BE177="","",IFERROR(BE177*HSCEI!$B$24*HSCEI!$G$24/HSCEI!$B$3,""))</f>
        <v/>
      </c>
      <c r="DT177" s="110">
        <f>IF(BF177="","",IFERROR(BF177*HSCEI!$B$24*HSCEI!$G$24/HSCEI!$B$3,""))</f>
        <v/>
      </c>
      <c r="DU177" s="110">
        <f>IF(BG177="","",IFERROR(BG177*HSCEI!$B$24*HSCEI!$G$24/HSCEI!$B$3,""))</f>
        <v/>
      </c>
      <c r="DV177" s="110">
        <f>IF(BH177="","",IFERROR(BH177*HSCEI!$B$24*HSCEI!$G$24/HSCEI!$B$3,""))</f>
        <v/>
      </c>
      <c r="DW177" s="110">
        <f>IF(BI177="","",IFERROR(BI177*HSCEI!$B$24*HSCEI!$G$24/HSCEI!$B$3,""))</f>
        <v/>
      </c>
      <c r="DX177" s="110">
        <f>IF(BJ177="","",IFERROR(BJ177*HSCEI!$B$24*HSCEI!$G$24/HSCEI!$B$3,""))</f>
        <v/>
      </c>
      <c r="DY177" s="110">
        <f>IF(BK177="","",IFERROR(BK177*HSCEI!$B$24*HSCEI!$G$24/HSCEI!$B$3,""))</f>
        <v/>
      </c>
      <c r="DZ177" s="110">
        <f>IF(BL177="","",IFERROR(BL177*HSCEI!$B$24*HSCEI!$G$24/HSCEI!$B$3,""))</f>
        <v/>
      </c>
      <c r="EA177" s="110">
        <f>IF(BM177="","",IFERROR(BM177*HSCEI!$B$24*HSCEI!$G$24/HSCEI!$B$3,""))</f>
        <v/>
      </c>
      <c r="EB177" s="110">
        <f>IF(BN177="","",IFERROR(BN177*HSCEI!$B$24*HSCEI!$G$24/HSCEI!$B$3,""))</f>
        <v/>
      </c>
      <c r="EC177" s="110">
        <f>IF(BO177="","",IFERROR(BO177*HSCEI!$B$24*HSCEI!$G$24/HSCEI!$B$3,""))</f>
        <v/>
      </c>
      <c r="EE177" s="39">
        <f>IF(N('Dvd Calendar'!$E$1748)=0,"",IF(('Dvd Calendar'!$E$1748&gt;=GRID_FROM)*('Dvd Calendar'!$E$1748&lt;=GRID_TO)*((('Dvd Calendar'!$E$1748&lt;=VAL_DATE)+(COUNTIF('Dvd Calendar'!$E$1755:$AR$1755,'Dvd Calendar'!$E$1748)=0))&gt;0)=0,"",'Dvd Calendar'!$E$1748*1000000000+ISNUMBER('Dvd Calendar'!$E$1751)*100000000+('Dvd Calendar'!$E$1753=SPECIAL_LBL)*10000000+(N('Dvd Calendar'!$E$1747)&gt;0)*(N('Dvd Calendar'!$E$1747)&lt;=VAL_SERIAL)*1000000+18*1000+1))</f>
        <v/>
      </c>
      <c r="EF177" s="39">
        <f>IF(N('Dvd Calendar'!$F$1748)=0,"",IF(('Dvd Calendar'!$F$1748&gt;=GRID_FROM)*('Dvd Calendar'!$F$1748&lt;=GRID_TO)*((('Dvd Calendar'!$F$1748&lt;=VAL_DATE)+(COUNTIF('Dvd Calendar'!$E$1755:$AR$1755,'Dvd Calendar'!$F$1748)=0))&gt;0)=0,"",'Dvd Calendar'!$F$1748*1000000000+ISNUMBER('Dvd Calendar'!$F$1751)*100000000+('Dvd Calendar'!$F$1753=SPECIAL_LBL)*10000000+(N('Dvd Calendar'!$F$1747)&gt;0)*(N('Dvd Calendar'!$F$1747)&lt;=VAL_SERIAL)*1000000+18*1000+2))</f>
        <v/>
      </c>
      <c r="EG177" s="39">
        <f>IF(N('Dvd Calendar'!$G$1748)=0,"",IF(('Dvd Calendar'!$G$1748&gt;=GRID_FROM)*('Dvd Calendar'!$G$1748&lt;=GRID_TO)*((('Dvd Calendar'!$G$1748&lt;=VAL_DATE)+(COUNTIF('Dvd Calendar'!$E$1755:$AR$1755,'Dvd Calendar'!$G$1748)=0))&gt;0)=0,"",'Dvd Calendar'!$G$1748*1000000000+ISNUMBER('Dvd Calendar'!$G$1751)*100000000+('Dvd Calendar'!$G$1753=SPECIAL_LBL)*10000000+(N('Dvd Calendar'!$G$1747)&gt;0)*(N('Dvd Calendar'!$G$1747)&lt;=VAL_SERIAL)*1000000+18*1000+3))</f>
        <v/>
      </c>
      <c r="EH177" s="39">
        <f>IF(N('Dvd Calendar'!$H$1748)=0,"",IF(('Dvd Calendar'!$H$1748&gt;=GRID_FROM)*('Dvd Calendar'!$H$1748&lt;=GRID_TO)*((('Dvd Calendar'!$H$1748&lt;=VAL_DATE)+(COUNTIF('Dvd Calendar'!$E$1755:$AR$1755,'Dvd Calendar'!$H$1748)=0))&gt;0)=0,"",'Dvd Calendar'!$H$1748*1000000000+ISNUMBER('Dvd Calendar'!$H$1751)*100000000+('Dvd Calendar'!$H$1753=SPECIAL_LBL)*10000000+(N('Dvd Calendar'!$H$1747)&gt;0)*(N('Dvd Calendar'!$H$1747)&lt;=VAL_SERIAL)*1000000+18*1000+4))</f>
        <v/>
      </c>
      <c r="EI177" s="39">
        <f>IF(N('Dvd Calendar'!$I$1748)=0,"",IF(('Dvd Calendar'!$I$1748&gt;=GRID_FROM)*('Dvd Calendar'!$I$1748&lt;=GRID_TO)*((('Dvd Calendar'!$I$1748&lt;=VAL_DATE)+(COUNTIF('Dvd Calendar'!$E$1755:$AR$1755,'Dvd Calendar'!$I$1748)=0))&gt;0)=0,"",'Dvd Calendar'!$I$1748*1000000000+ISNUMBER('Dvd Calendar'!$I$1751)*100000000+('Dvd Calendar'!$I$1753=SPECIAL_LBL)*10000000+(N('Dvd Calendar'!$I$1747)&gt;0)*(N('Dvd Calendar'!$I$1747)&lt;=VAL_SERIAL)*1000000+18*1000+5))</f>
        <v/>
      </c>
      <c r="EJ177" s="39">
        <f>IF(N('Dvd Calendar'!$J$1748)=0,"",IF(('Dvd Calendar'!$J$1748&gt;=GRID_FROM)*('Dvd Calendar'!$J$1748&lt;=GRID_TO)*((('Dvd Calendar'!$J$1748&lt;=VAL_DATE)+(COUNTIF('Dvd Calendar'!$E$1755:$AR$1755,'Dvd Calendar'!$J$1748)=0))&gt;0)=0,"",'Dvd Calendar'!$J$1748*1000000000+ISNUMBER('Dvd Calendar'!$J$1751)*100000000+('Dvd Calendar'!$J$1753=SPECIAL_LBL)*10000000+(N('Dvd Calendar'!$J$1747)&gt;0)*(N('Dvd Calendar'!$J$1747)&lt;=VAL_SERIAL)*1000000+18*1000+6))</f>
        <v/>
      </c>
      <c r="EK177" s="39">
        <f>IF(N('Dvd Calendar'!$K$1748)=0,"",IF(('Dvd Calendar'!$K$1748&gt;=GRID_FROM)*('Dvd Calendar'!$K$1748&lt;=GRID_TO)*((('Dvd Calendar'!$K$1748&lt;=VAL_DATE)+(COUNTIF('Dvd Calendar'!$E$1755:$AR$1755,'Dvd Calendar'!$K$1748)=0))&gt;0)=0,"",'Dvd Calendar'!$K$1748*1000000000+ISNUMBER('Dvd Calendar'!$K$1751)*100000000+('Dvd Calendar'!$K$1753=SPECIAL_LBL)*10000000+(N('Dvd Calendar'!$K$1747)&gt;0)*(N('Dvd Calendar'!$K$1747)&lt;=VAL_SERIAL)*1000000+18*1000+7))</f>
        <v/>
      </c>
      <c r="EL177" s="39">
        <f>IF(N('Dvd Calendar'!$L$1748)=0,"",IF(('Dvd Calendar'!$L$1748&gt;=GRID_FROM)*('Dvd Calendar'!$L$1748&lt;=GRID_TO)*((('Dvd Calendar'!$L$1748&lt;=VAL_DATE)+(COUNTIF('Dvd Calendar'!$E$1755:$AR$1755,'Dvd Calendar'!$L$1748)=0))&gt;0)=0,"",'Dvd Calendar'!$L$1748*1000000000+ISNUMBER('Dvd Calendar'!$L$1751)*100000000+('Dvd Calendar'!$L$1753=SPECIAL_LBL)*10000000+(N('Dvd Calendar'!$L$1747)&gt;0)*(N('Dvd Calendar'!$L$1747)&lt;=VAL_SERIAL)*1000000+18*1000+8))</f>
        <v/>
      </c>
      <c r="EM177" s="39">
        <f>IF(N('Dvd Calendar'!$M$1748)=0,"",IF(('Dvd Calendar'!$M$1748&gt;=GRID_FROM)*('Dvd Calendar'!$M$1748&lt;=GRID_TO)*((('Dvd Calendar'!$M$1748&lt;=VAL_DATE)+(COUNTIF('Dvd Calendar'!$E$1755:$AR$1755,'Dvd Calendar'!$M$1748)=0))&gt;0)=0,"",'Dvd Calendar'!$M$1748*1000000000+ISNUMBER('Dvd Calendar'!$M$1751)*100000000+('Dvd Calendar'!$M$1753=SPECIAL_LBL)*10000000+(N('Dvd Calendar'!$M$1747)&gt;0)*(N('Dvd Calendar'!$M$1747)&lt;=VAL_SERIAL)*1000000+18*1000+9))</f>
        <v/>
      </c>
      <c r="EN177" s="39">
        <f>IF(N('Dvd Calendar'!$N$1748)=0,"",IF(('Dvd Calendar'!$N$1748&gt;=GRID_FROM)*('Dvd Calendar'!$N$1748&lt;=GRID_TO)*((('Dvd Calendar'!$N$1748&lt;=VAL_DATE)+(COUNTIF('Dvd Calendar'!$E$1755:$AR$1755,'Dvd Calendar'!$N$1748)=0))&gt;0)=0,"",'Dvd Calendar'!$N$1748*1000000000+ISNUMBER('Dvd Calendar'!$N$1751)*100000000+('Dvd Calendar'!$N$1753=SPECIAL_LBL)*10000000+(N('Dvd Calendar'!$N$1747)&gt;0)*(N('Dvd Calendar'!$N$1747)&lt;=VAL_SERIAL)*1000000+18*1000+10))</f>
        <v/>
      </c>
      <c r="EO177" s="39">
        <f>IF(N('Dvd Calendar'!$O$1748)=0,"",IF(('Dvd Calendar'!$O$1748&gt;=GRID_FROM)*('Dvd Calendar'!$O$1748&lt;=GRID_TO)*((('Dvd Calendar'!$O$1748&lt;=VAL_DATE)+(COUNTIF('Dvd Calendar'!$E$1755:$AR$1755,'Dvd Calendar'!$O$1748)=0))&gt;0)=0,"",'Dvd Calendar'!$O$1748*1000000000+ISNUMBER('Dvd Calendar'!$O$1751)*100000000+('Dvd Calendar'!$O$1753=SPECIAL_LBL)*10000000+(N('Dvd Calendar'!$O$1747)&gt;0)*(N('Dvd Calendar'!$O$1747)&lt;=VAL_SERIAL)*1000000+18*1000+11))</f>
        <v/>
      </c>
      <c r="EP177" s="39">
        <f>IF(N('Dvd Calendar'!$P$1748)=0,"",IF(('Dvd Calendar'!$P$1748&gt;=GRID_FROM)*('Dvd Calendar'!$P$1748&lt;=GRID_TO)*((('Dvd Calendar'!$P$1748&lt;=VAL_DATE)+(COUNTIF('Dvd Calendar'!$E$1755:$AR$1755,'Dvd Calendar'!$P$1748)=0))&gt;0)=0,"",'Dvd Calendar'!$P$1748*1000000000+ISNUMBER('Dvd Calendar'!$P$1751)*100000000+('Dvd Calendar'!$P$1753=SPECIAL_LBL)*10000000+(N('Dvd Calendar'!$P$1747)&gt;0)*(N('Dvd Calendar'!$P$1747)&lt;=VAL_SERIAL)*1000000+18*1000+12))</f>
        <v/>
      </c>
      <c r="EQ177" s="39">
        <f>IF(N('Dvd Calendar'!$Q$1748)=0,"",IF(('Dvd Calendar'!$Q$1748&gt;=GRID_FROM)*('Dvd Calendar'!$Q$1748&lt;=GRID_TO)*((('Dvd Calendar'!$Q$1748&lt;=VAL_DATE)+(COUNTIF('Dvd Calendar'!$E$1755:$AR$1755,'Dvd Calendar'!$Q$1748)=0))&gt;0)=0,"",'Dvd Calendar'!$Q$1748*1000000000+ISNUMBER('Dvd Calendar'!$Q$1751)*100000000+('Dvd Calendar'!$Q$1753=SPECIAL_LBL)*10000000+(N('Dvd Calendar'!$Q$1747)&gt;0)*(N('Dvd Calendar'!$Q$1747)&lt;=VAL_SERIAL)*1000000+18*1000+13))</f>
        <v/>
      </c>
      <c r="ER177" s="39">
        <f>IF(N('Dvd Calendar'!$R$1748)=0,"",IF(('Dvd Calendar'!$R$1748&gt;=GRID_FROM)*('Dvd Calendar'!$R$1748&lt;=GRID_TO)*((('Dvd Calendar'!$R$1748&lt;=VAL_DATE)+(COUNTIF('Dvd Calendar'!$E$1755:$AR$1755,'Dvd Calendar'!$R$1748)=0))&gt;0)=0,"",'Dvd Calendar'!$R$1748*1000000000+ISNUMBER('Dvd Calendar'!$R$1751)*100000000+('Dvd Calendar'!$R$1753=SPECIAL_LBL)*10000000+(N('Dvd Calendar'!$R$1747)&gt;0)*(N('Dvd Calendar'!$R$1747)&lt;=VAL_SERIAL)*1000000+18*1000+14))</f>
        <v/>
      </c>
      <c r="ES177" s="39">
        <f>IF(N('Dvd Calendar'!$S$1748)=0,"",IF(('Dvd Calendar'!$S$1748&gt;=GRID_FROM)*('Dvd Calendar'!$S$1748&lt;=GRID_TO)*((('Dvd Calendar'!$S$1748&lt;=VAL_DATE)+(COUNTIF('Dvd Calendar'!$E$1755:$AR$1755,'Dvd Calendar'!$S$1748)=0))&gt;0)=0,"",'Dvd Calendar'!$S$1748*1000000000+ISNUMBER('Dvd Calendar'!$S$1751)*100000000+('Dvd Calendar'!$S$1753=SPECIAL_LBL)*10000000+(N('Dvd Calendar'!$S$1747)&gt;0)*(N('Dvd Calendar'!$S$1747)&lt;=VAL_SERIAL)*1000000+18*1000+15))</f>
        <v/>
      </c>
      <c r="ET177" s="39">
        <f>IF(N('Dvd Calendar'!$T$1748)=0,"",IF(('Dvd Calendar'!$T$1748&gt;=GRID_FROM)*('Dvd Calendar'!$T$1748&lt;=GRID_TO)*((('Dvd Calendar'!$T$1748&lt;=VAL_DATE)+(COUNTIF('Dvd Calendar'!$E$1755:$AR$1755,'Dvd Calendar'!$T$1748)=0))&gt;0)=0,"",'Dvd Calendar'!$T$1748*1000000000+ISNUMBER('Dvd Calendar'!$T$1751)*100000000+('Dvd Calendar'!$T$1753=SPECIAL_LBL)*10000000+(N('Dvd Calendar'!$T$1747)&gt;0)*(N('Dvd Calendar'!$T$1747)&lt;=VAL_SERIAL)*1000000+18*1000+16))</f>
        <v/>
      </c>
      <c r="EU177" s="39">
        <f>IF(N('Dvd Calendar'!$U$1748)=0,"",IF(('Dvd Calendar'!$U$1748&gt;=GRID_FROM)*('Dvd Calendar'!$U$1748&lt;=GRID_TO)*((('Dvd Calendar'!$U$1748&lt;=VAL_DATE)+(COUNTIF('Dvd Calendar'!$E$1755:$AR$1755,'Dvd Calendar'!$U$1748)=0))&gt;0)=0,"",'Dvd Calendar'!$U$1748*1000000000+ISNUMBER('Dvd Calendar'!$U$1751)*100000000+('Dvd Calendar'!$U$1753=SPECIAL_LBL)*10000000+(N('Dvd Calendar'!$U$1747)&gt;0)*(N('Dvd Calendar'!$U$1747)&lt;=VAL_SERIAL)*1000000+18*1000+17))</f>
        <v/>
      </c>
      <c r="EV177" s="39">
        <f>IF(N('Dvd Calendar'!$V$1748)=0,"",IF(('Dvd Calendar'!$V$1748&gt;=GRID_FROM)*('Dvd Calendar'!$V$1748&lt;=GRID_TO)*((('Dvd Calendar'!$V$1748&lt;=VAL_DATE)+(COUNTIF('Dvd Calendar'!$E$1755:$AR$1755,'Dvd Calendar'!$V$1748)=0))&gt;0)=0,"",'Dvd Calendar'!$V$1748*1000000000+ISNUMBER('Dvd Calendar'!$V$1751)*100000000+('Dvd Calendar'!$V$1753=SPECIAL_LBL)*10000000+(N('Dvd Calendar'!$V$1747)&gt;0)*(N('Dvd Calendar'!$V$1747)&lt;=VAL_SERIAL)*1000000+18*1000+18))</f>
        <v/>
      </c>
      <c r="EW177" s="39">
        <f>IF(N('Dvd Calendar'!$W$1748)=0,"",IF(('Dvd Calendar'!$W$1748&gt;=GRID_FROM)*('Dvd Calendar'!$W$1748&lt;=GRID_TO)*((('Dvd Calendar'!$W$1748&lt;=VAL_DATE)+(COUNTIF('Dvd Calendar'!$E$1755:$AR$1755,'Dvd Calendar'!$W$1748)=0))&gt;0)=0,"",'Dvd Calendar'!$W$1748*1000000000+ISNUMBER('Dvd Calendar'!$W$1751)*100000000+('Dvd Calendar'!$W$1753=SPECIAL_LBL)*10000000+(N('Dvd Calendar'!$W$1747)&gt;0)*(N('Dvd Calendar'!$W$1747)&lt;=VAL_SERIAL)*1000000+18*1000+19))</f>
        <v/>
      </c>
      <c r="EX177" s="39">
        <f>IF(N('Dvd Calendar'!$X$1748)=0,"",IF(('Dvd Calendar'!$X$1748&gt;=GRID_FROM)*('Dvd Calendar'!$X$1748&lt;=GRID_TO)*((('Dvd Calendar'!$X$1748&lt;=VAL_DATE)+(COUNTIF('Dvd Calendar'!$E$1755:$AR$1755,'Dvd Calendar'!$X$1748)=0))&gt;0)=0,"",'Dvd Calendar'!$X$1748*1000000000+ISNUMBER('Dvd Calendar'!$X$1751)*100000000+('Dvd Calendar'!$X$1753=SPECIAL_LBL)*10000000+(N('Dvd Calendar'!$X$1747)&gt;0)*(N('Dvd Calendar'!$X$1747)&lt;=VAL_SERIAL)*1000000+18*1000+20))</f>
        <v/>
      </c>
      <c r="EY177" s="39">
        <f>IF(N('Dvd Calendar'!$Y$1748)=0,"",IF(('Dvd Calendar'!$Y$1748&gt;=GRID_FROM)*('Dvd Calendar'!$Y$1748&lt;=GRID_TO)*((('Dvd Calendar'!$Y$1748&lt;=VAL_DATE)+(COUNTIF('Dvd Calendar'!$E$1755:$AR$1755,'Dvd Calendar'!$Y$1748)=0))&gt;0)=0,"",'Dvd Calendar'!$Y$1748*1000000000+ISNUMBER('Dvd Calendar'!$Y$1751)*100000000+('Dvd Calendar'!$Y$1753=SPECIAL_LBL)*10000000+(N('Dvd Calendar'!$Y$1747)&gt;0)*(N('Dvd Calendar'!$Y$1747)&lt;=VAL_SERIAL)*1000000+18*1000+21))</f>
        <v/>
      </c>
      <c r="EZ177" s="39">
        <f>IF(N('Dvd Calendar'!$Z$1748)=0,"",IF(('Dvd Calendar'!$Z$1748&gt;=GRID_FROM)*('Dvd Calendar'!$Z$1748&lt;=GRID_TO)*((('Dvd Calendar'!$Z$1748&lt;=VAL_DATE)+(COUNTIF('Dvd Calendar'!$E$1755:$AR$1755,'Dvd Calendar'!$Z$1748)=0))&gt;0)=0,"",'Dvd Calendar'!$Z$1748*1000000000+ISNUMBER('Dvd Calendar'!$Z$1751)*100000000+('Dvd Calendar'!$Z$1753=SPECIAL_LBL)*10000000+(N('Dvd Calendar'!$Z$1747)&gt;0)*(N('Dvd Calendar'!$Z$1747)&lt;=VAL_SERIAL)*1000000+18*1000+22))</f>
        <v/>
      </c>
      <c r="FA177" s="39">
        <f>IF(N('Dvd Calendar'!$AA$1748)=0,"",IF(('Dvd Calendar'!$AA$1748&gt;=GRID_FROM)*('Dvd Calendar'!$AA$1748&lt;=GRID_TO)*((('Dvd Calendar'!$AA$1748&lt;=VAL_DATE)+(COUNTIF('Dvd Calendar'!$E$1755:$AR$1755,'Dvd Calendar'!$AA$1748)=0))&gt;0)=0,"",'Dvd Calendar'!$AA$1748*1000000000+ISNUMBER('Dvd Calendar'!$AA$1751)*100000000+('Dvd Calendar'!$AA$1753=SPECIAL_LBL)*10000000+(N('Dvd Calendar'!$AA$1747)&gt;0)*(N('Dvd Calendar'!$AA$1747)&lt;=VAL_SERIAL)*1000000+18*1000+23))</f>
        <v/>
      </c>
      <c r="FB177" s="39">
        <f>IF(N('Dvd Calendar'!$AB$1748)=0,"",IF(('Dvd Calendar'!$AB$1748&gt;=GRID_FROM)*('Dvd Calendar'!$AB$1748&lt;=GRID_TO)*((('Dvd Calendar'!$AB$1748&lt;=VAL_DATE)+(COUNTIF('Dvd Calendar'!$E$1755:$AR$1755,'Dvd Calendar'!$AB$1748)=0))&gt;0)=0,"",'Dvd Calendar'!$AB$1748*1000000000+ISNUMBER('Dvd Calendar'!$AB$1751)*100000000+('Dvd Calendar'!$AB$1753=SPECIAL_LBL)*10000000+(N('Dvd Calendar'!$AB$1747)&gt;0)*(N('Dvd Calendar'!$AB$1747)&lt;=VAL_SERIAL)*1000000+18*1000+24))</f>
        <v/>
      </c>
      <c r="FC177" s="39">
        <f>IF(N('Dvd Calendar'!$AC$1748)=0,"",IF(('Dvd Calendar'!$AC$1748&gt;=GRID_FROM)*('Dvd Calendar'!$AC$1748&lt;=GRID_TO)*((('Dvd Calendar'!$AC$1748&lt;=VAL_DATE)+(COUNTIF('Dvd Calendar'!$E$1755:$AR$1755,'Dvd Calendar'!$AC$1748)=0))&gt;0)=0,"",'Dvd Calendar'!$AC$1748*1000000000+ISNUMBER('Dvd Calendar'!$AC$1751)*100000000+('Dvd Calendar'!$AC$1753=SPECIAL_LBL)*10000000+(N('Dvd Calendar'!$AC$1747)&gt;0)*(N('Dvd Calendar'!$AC$1747)&lt;=VAL_SERIAL)*1000000+18*1000+25))</f>
        <v/>
      </c>
      <c r="FD177" s="39">
        <f>IF(N('Dvd Calendar'!$AD$1748)=0,"",IF(('Dvd Calendar'!$AD$1748&gt;=GRID_FROM)*('Dvd Calendar'!$AD$1748&lt;=GRID_TO)*((('Dvd Calendar'!$AD$1748&lt;=VAL_DATE)+(COUNTIF('Dvd Calendar'!$E$1755:$AR$1755,'Dvd Calendar'!$AD$1748)=0))&gt;0)=0,"",'Dvd Calendar'!$AD$1748*1000000000+ISNUMBER('Dvd Calendar'!$AD$1751)*100000000+('Dvd Calendar'!$AD$1753=SPECIAL_LBL)*10000000+(N('Dvd Calendar'!$AD$1747)&gt;0)*(N('Dvd Calendar'!$AD$1747)&lt;=VAL_SERIAL)*1000000+18*1000+26))</f>
        <v/>
      </c>
      <c r="FE177" s="39">
        <f>IF(N('Dvd Calendar'!$AE$1748)=0,"",IF(('Dvd Calendar'!$AE$1748&gt;=GRID_FROM)*('Dvd Calendar'!$AE$1748&lt;=GRID_TO)*((('Dvd Calendar'!$AE$1748&lt;=VAL_DATE)+(COUNTIF('Dvd Calendar'!$E$1755:$AR$1755,'Dvd Calendar'!$AE$1748)=0))&gt;0)=0,"",'Dvd Calendar'!$AE$1748*1000000000+ISNUMBER('Dvd Calendar'!$AE$1751)*100000000+('Dvd Calendar'!$AE$1753=SPECIAL_LBL)*10000000+(N('Dvd Calendar'!$AE$1747)&gt;0)*(N('Dvd Calendar'!$AE$1747)&lt;=VAL_SERIAL)*1000000+18*1000+27))</f>
        <v/>
      </c>
      <c r="FF177" s="39">
        <f>IF(N('Dvd Calendar'!$AF$1748)=0,"",IF(('Dvd Calendar'!$AF$1748&gt;=GRID_FROM)*('Dvd Calendar'!$AF$1748&lt;=GRID_TO)*((('Dvd Calendar'!$AF$1748&lt;=VAL_DATE)+(COUNTIF('Dvd Calendar'!$E$1755:$AR$1755,'Dvd Calendar'!$AF$1748)=0))&gt;0)=0,"",'Dvd Calendar'!$AF$1748*1000000000+ISNUMBER('Dvd Calendar'!$AF$1751)*100000000+('Dvd Calendar'!$AF$1753=SPECIAL_LBL)*10000000+(N('Dvd Calendar'!$AF$1747)&gt;0)*(N('Dvd Calendar'!$AF$1747)&lt;=VAL_SERIAL)*1000000+18*1000+28))</f>
        <v/>
      </c>
      <c r="FG177" s="39">
        <f>IF(N('Dvd Calendar'!$AG$1748)=0,"",IF(('Dvd Calendar'!$AG$1748&gt;=GRID_FROM)*('Dvd Calendar'!$AG$1748&lt;=GRID_TO)*((('Dvd Calendar'!$AG$1748&lt;=VAL_DATE)+(COUNTIF('Dvd Calendar'!$E$1755:$AR$1755,'Dvd Calendar'!$AG$1748)=0))&gt;0)=0,"",'Dvd Calendar'!$AG$1748*1000000000+ISNUMBER('Dvd Calendar'!$AG$1751)*100000000+('Dvd Calendar'!$AG$1753=SPECIAL_LBL)*10000000+(N('Dvd Calendar'!$AG$1747)&gt;0)*(N('Dvd Calendar'!$AG$1747)&lt;=VAL_SERIAL)*1000000+18*1000+29))</f>
        <v/>
      </c>
      <c r="FH177" s="39">
        <f>IF(N('Dvd Calendar'!$AH$1748)=0,"",IF(('Dvd Calendar'!$AH$1748&gt;=GRID_FROM)*('Dvd Calendar'!$AH$1748&lt;=GRID_TO)*((('Dvd Calendar'!$AH$1748&lt;=VAL_DATE)+(COUNTIF('Dvd Calendar'!$E$1755:$AR$1755,'Dvd Calendar'!$AH$1748)=0))&gt;0)=0,"",'Dvd Calendar'!$AH$1748*1000000000+ISNUMBER('Dvd Calendar'!$AH$1751)*100000000+('Dvd Calendar'!$AH$1753=SPECIAL_LBL)*10000000+(N('Dvd Calendar'!$AH$1747)&gt;0)*(N('Dvd Calendar'!$AH$1747)&lt;=VAL_SERIAL)*1000000+18*1000+30))</f>
        <v/>
      </c>
      <c r="FI177" s="39">
        <f>IF(N('Dvd Calendar'!$AI$1748)=0,"",IF(('Dvd Calendar'!$AI$1748&gt;=GRID_FROM)*('Dvd Calendar'!$AI$1748&lt;=GRID_TO)*((('Dvd Calendar'!$AI$1748&lt;=VAL_DATE)+(COUNTIF('Dvd Calendar'!$E$1755:$AR$1755,'Dvd Calendar'!$AI$1748)=0))&gt;0)=0,"",'Dvd Calendar'!$AI$1748*1000000000+ISNUMBER('Dvd Calendar'!$AI$1751)*100000000+('Dvd Calendar'!$AI$1753=SPECIAL_LBL)*10000000+(N('Dvd Calendar'!$AI$1747)&gt;0)*(N('Dvd Calendar'!$AI$1747)&lt;=VAL_SERIAL)*1000000+18*1000+31))</f>
        <v/>
      </c>
      <c r="FJ177" s="39">
        <f>IF(N('Dvd Calendar'!$AJ$1748)=0,"",IF(('Dvd Calendar'!$AJ$1748&gt;=GRID_FROM)*('Dvd Calendar'!$AJ$1748&lt;=GRID_TO)*((('Dvd Calendar'!$AJ$1748&lt;=VAL_DATE)+(COUNTIF('Dvd Calendar'!$E$1755:$AR$1755,'Dvd Calendar'!$AJ$1748)=0))&gt;0)=0,"",'Dvd Calendar'!$AJ$1748*1000000000+ISNUMBER('Dvd Calendar'!$AJ$1751)*100000000+('Dvd Calendar'!$AJ$1753=SPECIAL_LBL)*10000000+(N('Dvd Calendar'!$AJ$1747)&gt;0)*(N('Dvd Calendar'!$AJ$1747)&lt;=VAL_SERIAL)*1000000+18*1000+32))</f>
        <v/>
      </c>
      <c r="FK177" s="39">
        <f>IF(N('Dvd Calendar'!$AK$1748)=0,"",IF(('Dvd Calendar'!$AK$1748&gt;=GRID_FROM)*('Dvd Calendar'!$AK$1748&lt;=GRID_TO)*((('Dvd Calendar'!$AK$1748&lt;=VAL_DATE)+(COUNTIF('Dvd Calendar'!$E$1755:$AR$1755,'Dvd Calendar'!$AK$1748)=0))&gt;0)=0,"",'Dvd Calendar'!$AK$1748*1000000000+ISNUMBER('Dvd Calendar'!$AK$1751)*100000000+('Dvd Calendar'!$AK$1753=SPECIAL_LBL)*10000000+(N('Dvd Calendar'!$AK$1747)&gt;0)*(N('Dvd Calendar'!$AK$1747)&lt;=VAL_SERIAL)*1000000+18*1000+33))</f>
        <v/>
      </c>
      <c r="FL177" s="39">
        <f>IF(N('Dvd Calendar'!$AL$1748)=0,"",IF(('Dvd Calendar'!$AL$1748&gt;=GRID_FROM)*('Dvd Calendar'!$AL$1748&lt;=GRID_TO)*((('Dvd Calendar'!$AL$1748&lt;=VAL_DATE)+(COUNTIF('Dvd Calendar'!$E$1755:$AR$1755,'Dvd Calendar'!$AL$1748)=0))&gt;0)=0,"",'Dvd Calendar'!$AL$1748*1000000000+ISNUMBER('Dvd Calendar'!$AL$1751)*100000000+('Dvd Calendar'!$AL$1753=SPECIAL_LBL)*10000000+(N('Dvd Calendar'!$AL$1747)&gt;0)*(N('Dvd Calendar'!$AL$1747)&lt;=VAL_SERIAL)*1000000+18*1000+34))</f>
        <v/>
      </c>
      <c r="FM177" s="39">
        <f>IF(N('Dvd Calendar'!$AM$1748)=0,"",IF(('Dvd Calendar'!$AM$1748&gt;=GRID_FROM)*('Dvd Calendar'!$AM$1748&lt;=GRID_TO)*((('Dvd Calendar'!$AM$1748&lt;=VAL_DATE)+(COUNTIF('Dvd Calendar'!$E$1755:$AR$1755,'Dvd Calendar'!$AM$1748)=0))&gt;0)=0,"",'Dvd Calendar'!$AM$1748*1000000000+ISNUMBER('Dvd Calendar'!$AM$1751)*100000000+('Dvd Calendar'!$AM$1753=SPECIAL_LBL)*10000000+(N('Dvd Calendar'!$AM$1747)&gt;0)*(N('Dvd Calendar'!$AM$1747)&lt;=VAL_SERIAL)*1000000+18*1000+35))</f>
        <v/>
      </c>
      <c r="FN177" s="39">
        <f>IF(N('Dvd Calendar'!$AN$1748)=0,"",IF(('Dvd Calendar'!$AN$1748&gt;=GRID_FROM)*('Dvd Calendar'!$AN$1748&lt;=GRID_TO)*((('Dvd Calendar'!$AN$1748&lt;=VAL_DATE)+(COUNTIF('Dvd Calendar'!$E$1755:$AR$1755,'Dvd Calendar'!$AN$1748)=0))&gt;0)=0,"",'Dvd Calendar'!$AN$1748*1000000000+ISNUMBER('Dvd Calendar'!$AN$1751)*100000000+('Dvd Calendar'!$AN$1753=SPECIAL_LBL)*10000000+(N('Dvd Calendar'!$AN$1747)&gt;0)*(N('Dvd Calendar'!$AN$1747)&lt;=VAL_SERIAL)*1000000+18*1000+36))</f>
        <v/>
      </c>
      <c r="FO177" s="39">
        <f>IF(N('Dvd Calendar'!$AO$1748)=0,"",IF(('Dvd Calendar'!$AO$1748&gt;=GRID_FROM)*('Dvd Calendar'!$AO$1748&lt;=GRID_TO)*((('Dvd Calendar'!$AO$1748&lt;=VAL_DATE)+(COUNTIF('Dvd Calendar'!$E$1755:$AR$1755,'Dvd Calendar'!$AO$1748)=0))&gt;0)=0,"",'Dvd Calendar'!$AO$1748*1000000000+ISNUMBER('Dvd Calendar'!$AO$1751)*100000000+('Dvd Calendar'!$AO$1753=SPECIAL_LBL)*10000000+(N('Dvd Calendar'!$AO$1747)&gt;0)*(N('Dvd Calendar'!$AO$1747)&lt;=VAL_SERIAL)*1000000+18*1000+37))</f>
        <v/>
      </c>
      <c r="FP177" s="39">
        <f>IF(N('Dvd Calendar'!$AP$1748)=0,"",IF(('Dvd Calendar'!$AP$1748&gt;=GRID_FROM)*('Dvd Calendar'!$AP$1748&lt;=GRID_TO)*((('Dvd Calendar'!$AP$1748&lt;=VAL_DATE)+(COUNTIF('Dvd Calendar'!$E$1755:$AR$1755,'Dvd Calendar'!$AP$1748)=0))&gt;0)=0,"",'Dvd Calendar'!$AP$1748*1000000000+ISNUMBER('Dvd Calendar'!$AP$1751)*100000000+('Dvd Calendar'!$AP$1753=SPECIAL_LBL)*10000000+(N('Dvd Calendar'!$AP$1747)&gt;0)*(N('Dvd Calendar'!$AP$1747)&lt;=VAL_SERIAL)*1000000+18*1000+38))</f>
        <v/>
      </c>
      <c r="FQ177" s="39">
        <f>IF(N('Dvd Calendar'!$AQ$1748)=0,"",IF(('Dvd Calendar'!$AQ$1748&gt;=GRID_FROM)*('Dvd Calendar'!$AQ$1748&lt;=GRID_TO)*((('Dvd Calendar'!$AQ$1748&lt;=VAL_DATE)+(COUNTIF('Dvd Calendar'!$E$1755:$AR$1755,'Dvd Calendar'!$AQ$1748)=0))&gt;0)=0,"",'Dvd Calendar'!$AQ$1748*1000000000+ISNUMBER('Dvd Calendar'!$AQ$1751)*100000000+('Dvd Calendar'!$AQ$1753=SPECIAL_LBL)*10000000+(N('Dvd Calendar'!$AQ$1747)&gt;0)*(N('Dvd Calendar'!$AQ$1747)&lt;=VAL_SERIAL)*1000000+18*1000+39))</f>
        <v/>
      </c>
      <c r="FR177" s="39">
        <f>IF(N('Dvd Calendar'!$AR$1748)=0,"",IF(('Dvd Calendar'!$AR$1748&gt;=GRID_FROM)*('Dvd Calendar'!$AR$1748&lt;=GRID_TO)*((('Dvd Calendar'!$AR$1748&lt;=VAL_DATE)+(COUNTIF('Dvd Calendar'!$E$1755:$AR$1755,'Dvd Calendar'!$AR$1748)=0))&gt;0)=0,"",'Dvd Calendar'!$AR$1748*1000000000+ISNUMBER('Dvd Calendar'!$AR$1751)*100000000+('Dvd Calendar'!$AR$1753=SPECIAL_LBL)*10000000+(N('Dvd Calendar'!$AR$1747)&gt;0)*(N('Dvd Calendar'!$AR$1747)&lt;=VAL_SERIAL)*1000000+18*1000+40))</f>
        <v/>
      </c>
      <c r="FS177" s="39">
        <f>IF(N('Dvd Calendar'!$E$1755)=0,"",IF(('Dvd Calendar'!$E$1755&gt;=GRID_FROM)*('Dvd Calendar'!$E$1755&lt;=GRID_TO)*('Dvd Calendar'!$E$1755&gt;VAL_DATE)=0,"",'Dvd Calendar'!$E$1755*1000000000+ISNUMBER('Dvd Calendar'!$E$1756)*100000000+0*10000000+(N('Dvd Calendar'!$E$1754)&gt;0)*(N('Dvd Calendar'!$E$1754)&lt;=VAL_SERIAL)*1000000+18*1000+41))</f>
        <v/>
      </c>
      <c r="FT177" s="39">
        <f>IF(N('Dvd Calendar'!$F$1755)=0,"",IF(('Dvd Calendar'!$F$1755&gt;=GRID_FROM)*('Dvd Calendar'!$F$1755&lt;=GRID_TO)*('Dvd Calendar'!$F$1755&gt;VAL_DATE)=0,"",'Dvd Calendar'!$F$1755*1000000000+ISNUMBER('Dvd Calendar'!$F$1756)*100000000+0*10000000+(N('Dvd Calendar'!$F$1754)&gt;0)*(N('Dvd Calendar'!$F$1754)&lt;=VAL_SERIAL)*1000000+18*1000+42))</f>
        <v/>
      </c>
      <c r="FU177" s="39">
        <f>IF(N('Dvd Calendar'!$G$1755)=0,"",IF(('Dvd Calendar'!$G$1755&gt;=GRID_FROM)*('Dvd Calendar'!$G$1755&lt;=GRID_TO)*('Dvd Calendar'!$G$1755&gt;VAL_DATE)=0,"",'Dvd Calendar'!$G$1755*1000000000+ISNUMBER('Dvd Calendar'!$G$1756)*100000000+0*10000000+(N('Dvd Calendar'!$G$1754)&gt;0)*(N('Dvd Calendar'!$G$1754)&lt;=VAL_SERIAL)*1000000+18*1000+43))</f>
        <v/>
      </c>
      <c r="FV177" s="39">
        <f>IF(N('Dvd Calendar'!$H$1755)=0,"",IF(('Dvd Calendar'!$H$1755&gt;=GRID_FROM)*('Dvd Calendar'!$H$1755&lt;=GRID_TO)*('Dvd Calendar'!$H$1755&gt;VAL_DATE)=0,"",'Dvd Calendar'!$H$1755*1000000000+ISNUMBER('Dvd Calendar'!$H$1756)*100000000+0*10000000+(N('Dvd Calendar'!$H$1754)&gt;0)*(N('Dvd Calendar'!$H$1754)&lt;=VAL_SERIAL)*1000000+18*1000+44))</f>
        <v/>
      </c>
      <c r="FW177" s="39">
        <f>IF(N('Dvd Calendar'!$I$1755)=0,"",IF(('Dvd Calendar'!$I$1755&gt;=GRID_FROM)*('Dvd Calendar'!$I$1755&lt;=GRID_TO)*('Dvd Calendar'!$I$1755&gt;VAL_DATE)=0,"",'Dvd Calendar'!$I$1755*1000000000+ISNUMBER('Dvd Calendar'!$I$1756)*100000000+0*10000000+(N('Dvd Calendar'!$I$1754)&gt;0)*(N('Dvd Calendar'!$I$1754)&lt;=VAL_SERIAL)*1000000+18*1000+45))</f>
        <v/>
      </c>
      <c r="FX177" s="39">
        <f>IF(N('Dvd Calendar'!$J$1755)=0,"",IF(('Dvd Calendar'!$J$1755&gt;=GRID_FROM)*('Dvd Calendar'!$J$1755&lt;=GRID_TO)*('Dvd Calendar'!$J$1755&gt;VAL_DATE)=0,"",'Dvd Calendar'!$J$1755*1000000000+ISNUMBER('Dvd Calendar'!$J$1756)*100000000+0*10000000+(N('Dvd Calendar'!$J$1754)&gt;0)*(N('Dvd Calendar'!$J$1754)&lt;=VAL_SERIAL)*1000000+18*1000+46))</f>
        <v/>
      </c>
      <c r="FY177" s="39">
        <f>IF(N('Dvd Calendar'!$K$1755)=0,"",IF(('Dvd Calendar'!$K$1755&gt;=GRID_FROM)*('Dvd Calendar'!$K$1755&lt;=GRID_TO)*('Dvd Calendar'!$K$1755&gt;VAL_DATE)=0,"",'Dvd Calendar'!$K$1755*1000000000+ISNUMBER('Dvd Calendar'!$K$1756)*100000000+0*10000000+(N('Dvd Calendar'!$K$1754)&gt;0)*(N('Dvd Calendar'!$K$1754)&lt;=VAL_SERIAL)*1000000+18*1000+47))</f>
        <v/>
      </c>
      <c r="FZ177" s="39">
        <f>IF(N('Dvd Calendar'!$L$1755)=0,"",IF(('Dvd Calendar'!$L$1755&gt;=GRID_FROM)*('Dvd Calendar'!$L$1755&lt;=GRID_TO)*('Dvd Calendar'!$L$1755&gt;VAL_DATE)=0,"",'Dvd Calendar'!$L$1755*1000000000+ISNUMBER('Dvd Calendar'!$L$1756)*100000000+0*10000000+(N('Dvd Calendar'!$L$1754)&gt;0)*(N('Dvd Calendar'!$L$1754)&lt;=VAL_SERIAL)*1000000+18*1000+48))</f>
        <v/>
      </c>
      <c r="GA177" s="39">
        <f>IF(N('Dvd Calendar'!$M$1755)=0,"",IF(('Dvd Calendar'!$M$1755&gt;=GRID_FROM)*('Dvd Calendar'!$M$1755&lt;=GRID_TO)*('Dvd Calendar'!$M$1755&gt;VAL_DATE)=0,"",'Dvd Calendar'!$M$1755*1000000000+ISNUMBER('Dvd Calendar'!$M$1756)*100000000+0*10000000+(N('Dvd Calendar'!$M$1754)&gt;0)*(N('Dvd Calendar'!$M$1754)&lt;=VAL_SERIAL)*1000000+18*1000+49))</f>
        <v/>
      </c>
      <c r="GB177" s="39">
        <f>IF(N('Dvd Calendar'!$N$1755)=0,"",IF(('Dvd Calendar'!$N$1755&gt;=GRID_FROM)*('Dvd Calendar'!$N$1755&lt;=GRID_TO)*('Dvd Calendar'!$N$1755&gt;VAL_DATE)=0,"",'Dvd Calendar'!$N$1755*1000000000+ISNUMBER('Dvd Calendar'!$N$1756)*100000000+0*10000000+(N('Dvd Calendar'!$N$1754)&gt;0)*(N('Dvd Calendar'!$N$1754)&lt;=VAL_SERIAL)*1000000+18*1000+50))</f>
        <v/>
      </c>
      <c r="GC177" s="39">
        <f>IF(N('Dvd Calendar'!$O$1755)=0,"",IF(('Dvd Calendar'!$O$1755&gt;=GRID_FROM)*('Dvd Calendar'!$O$1755&lt;=GRID_TO)*('Dvd Calendar'!$O$1755&gt;VAL_DATE)=0,"",'Dvd Calendar'!$O$1755*1000000000+ISNUMBER('Dvd Calendar'!$O$1756)*100000000+0*10000000+(N('Dvd Calendar'!$O$1754)&gt;0)*(N('Dvd Calendar'!$O$1754)&lt;=VAL_SERIAL)*1000000+18*1000+51))</f>
        <v/>
      </c>
      <c r="GD177" s="39">
        <f>IF(N('Dvd Calendar'!$P$1755)=0,"",IF(('Dvd Calendar'!$P$1755&gt;=GRID_FROM)*('Dvd Calendar'!$P$1755&lt;=GRID_TO)*('Dvd Calendar'!$P$1755&gt;VAL_DATE)=0,"",'Dvd Calendar'!$P$1755*1000000000+ISNUMBER('Dvd Calendar'!$P$1756)*100000000+0*10000000+(N('Dvd Calendar'!$P$1754)&gt;0)*(N('Dvd Calendar'!$P$1754)&lt;=VAL_SERIAL)*1000000+18*1000+52))</f>
        <v/>
      </c>
      <c r="GE177" s="39">
        <f>IF(N('Dvd Calendar'!$Q$1755)=0,"",IF(('Dvd Calendar'!$Q$1755&gt;=GRID_FROM)*('Dvd Calendar'!$Q$1755&lt;=GRID_TO)*('Dvd Calendar'!$Q$1755&gt;VAL_DATE)=0,"",'Dvd Calendar'!$Q$1755*1000000000+ISNUMBER('Dvd Calendar'!$Q$1756)*100000000+0*10000000+(N('Dvd Calendar'!$Q$1754)&gt;0)*(N('Dvd Calendar'!$Q$1754)&lt;=VAL_SERIAL)*1000000+18*1000+53))</f>
        <v/>
      </c>
      <c r="GF177" s="39">
        <f>IF(N('Dvd Calendar'!$R$1755)=0,"",IF(('Dvd Calendar'!$R$1755&gt;=GRID_FROM)*('Dvd Calendar'!$R$1755&lt;=GRID_TO)*('Dvd Calendar'!$R$1755&gt;VAL_DATE)=0,"",'Dvd Calendar'!$R$1755*1000000000+ISNUMBER('Dvd Calendar'!$R$1756)*100000000+0*10000000+(N('Dvd Calendar'!$R$1754)&gt;0)*(N('Dvd Calendar'!$R$1754)&lt;=VAL_SERIAL)*1000000+18*1000+54))</f>
        <v/>
      </c>
      <c r="GG177" s="39">
        <f>IF(N('Dvd Calendar'!$S$1755)=0,"",IF(('Dvd Calendar'!$S$1755&gt;=GRID_FROM)*('Dvd Calendar'!$S$1755&lt;=GRID_TO)*('Dvd Calendar'!$S$1755&gt;VAL_DATE)=0,"",'Dvd Calendar'!$S$1755*1000000000+ISNUMBER('Dvd Calendar'!$S$1756)*100000000+0*10000000+(N('Dvd Calendar'!$S$1754)&gt;0)*(N('Dvd Calendar'!$S$1754)&lt;=VAL_SERIAL)*1000000+18*1000+55))</f>
        <v/>
      </c>
      <c r="GH177" s="39">
        <f>IF(N('Dvd Calendar'!$T$1755)=0,"",IF(('Dvd Calendar'!$T$1755&gt;=GRID_FROM)*('Dvd Calendar'!$T$1755&lt;=GRID_TO)*('Dvd Calendar'!$T$1755&gt;VAL_DATE)=0,"",'Dvd Calendar'!$T$1755*1000000000+ISNUMBER('Dvd Calendar'!$T$1756)*100000000+0*10000000+(N('Dvd Calendar'!$T$1754)&gt;0)*(N('Dvd Calendar'!$T$1754)&lt;=VAL_SERIAL)*1000000+18*1000+56))</f>
        <v/>
      </c>
      <c r="GI177" s="39">
        <f>IF(N('Dvd Calendar'!$U$1755)=0,"",IF(('Dvd Calendar'!$U$1755&gt;=GRID_FROM)*('Dvd Calendar'!$U$1755&lt;=GRID_TO)*('Dvd Calendar'!$U$1755&gt;VAL_DATE)=0,"",'Dvd Calendar'!$U$1755*1000000000+ISNUMBER('Dvd Calendar'!$U$1756)*100000000+0*10000000+(N('Dvd Calendar'!$U$1754)&gt;0)*(N('Dvd Calendar'!$U$1754)&lt;=VAL_SERIAL)*1000000+18*1000+57))</f>
        <v/>
      </c>
      <c r="GJ177" s="39">
        <f>IF(N('Dvd Calendar'!$V$1755)=0,"",IF(('Dvd Calendar'!$V$1755&gt;=GRID_FROM)*('Dvd Calendar'!$V$1755&lt;=GRID_TO)*('Dvd Calendar'!$V$1755&gt;VAL_DATE)=0,"",'Dvd Calendar'!$V$1755*1000000000+ISNUMBER('Dvd Calendar'!$V$1756)*100000000+0*10000000+(N('Dvd Calendar'!$V$1754)&gt;0)*(N('Dvd Calendar'!$V$1754)&lt;=VAL_SERIAL)*1000000+18*1000+58))</f>
        <v/>
      </c>
      <c r="GK177" s="39">
        <f>IF(N('Dvd Calendar'!$W$1755)=0,"",IF(('Dvd Calendar'!$W$1755&gt;=GRID_FROM)*('Dvd Calendar'!$W$1755&lt;=GRID_TO)*('Dvd Calendar'!$W$1755&gt;VAL_DATE)=0,"",'Dvd Calendar'!$W$1755*1000000000+ISNUMBER('Dvd Calendar'!$W$1756)*100000000+0*10000000+(N('Dvd Calendar'!$W$1754)&gt;0)*(N('Dvd Calendar'!$W$1754)&lt;=VAL_SERIAL)*1000000+18*1000+59))</f>
        <v/>
      </c>
      <c r="GL177" s="39">
        <f>IF(N('Dvd Calendar'!$X$1755)=0,"",IF(('Dvd Calendar'!$X$1755&gt;=GRID_FROM)*('Dvd Calendar'!$X$1755&lt;=GRID_TO)*('Dvd Calendar'!$X$1755&gt;VAL_DATE)=0,"",'Dvd Calendar'!$X$1755*1000000000+ISNUMBER('Dvd Calendar'!$X$1756)*100000000+0*10000000+(N('Dvd Calendar'!$X$1754)&gt;0)*(N('Dvd Calendar'!$X$1754)&lt;=VAL_SERIAL)*1000000+18*1000+60))</f>
        <v/>
      </c>
      <c r="GM177" s="39">
        <f>IF(N('Dvd Calendar'!$Y$1755)=0,"",IF(('Dvd Calendar'!$Y$1755&gt;=GRID_FROM)*('Dvd Calendar'!$Y$1755&lt;=GRID_TO)*('Dvd Calendar'!$Y$1755&gt;VAL_DATE)=0,"",'Dvd Calendar'!$Y$1755*1000000000+ISNUMBER('Dvd Calendar'!$Y$1756)*100000000+0*10000000+(N('Dvd Calendar'!$Y$1754)&gt;0)*(N('Dvd Calendar'!$Y$1754)&lt;=VAL_SERIAL)*1000000+18*1000+61))</f>
        <v/>
      </c>
      <c r="GN177" s="39">
        <f>IF(N('Dvd Calendar'!$Z$1755)=0,"",IF(('Dvd Calendar'!$Z$1755&gt;=GRID_FROM)*('Dvd Calendar'!$Z$1755&lt;=GRID_TO)*('Dvd Calendar'!$Z$1755&gt;VAL_DATE)=0,"",'Dvd Calendar'!$Z$1755*1000000000+ISNUMBER('Dvd Calendar'!$Z$1756)*100000000+0*10000000+(N('Dvd Calendar'!$Z$1754)&gt;0)*(N('Dvd Calendar'!$Z$1754)&lt;=VAL_SERIAL)*1000000+18*1000+62))</f>
        <v/>
      </c>
      <c r="GO177" s="39">
        <f>IF(N('Dvd Calendar'!$AA$1755)=0,"",IF(('Dvd Calendar'!$AA$1755&gt;=GRID_FROM)*('Dvd Calendar'!$AA$1755&lt;=GRID_TO)*('Dvd Calendar'!$AA$1755&gt;VAL_DATE)=0,"",'Dvd Calendar'!$AA$1755*1000000000+ISNUMBER('Dvd Calendar'!$AA$1756)*100000000+0*10000000+(N('Dvd Calendar'!$AA$1754)&gt;0)*(N('Dvd Calendar'!$AA$1754)&lt;=VAL_SERIAL)*1000000+18*1000+63))</f>
        <v/>
      </c>
      <c r="GP177" s="39">
        <f>IF(N('Dvd Calendar'!$AB$1755)=0,"",IF(('Dvd Calendar'!$AB$1755&gt;=GRID_FROM)*('Dvd Calendar'!$AB$1755&lt;=GRID_TO)*('Dvd Calendar'!$AB$1755&gt;VAL_DATE)=0,"",'Dvd Calendar'!$AB$1755*1000000000+ISNUMBER('Dvd Calendar'!$AB$1756)*100000000+0*10000000+(N('Dvd Calendar'!$AB$1754)&gt;0)*(N('Dvd Calendar'!$AB$1754)&lt;=VAL_SERIAL)*1000000+18*1000+64))</f>
        <v/>
      </c>
      <c r="GQ177" s="39">
        <f>IF(N('Dvd Calendar'!$AC$1755)=0,"",IF(('Dvd Calendar'!$AC$1755&gt;=GRID_FROM)*('Dvd Calendar'!$AC$1755&lt;=GRID_TO)*('Dvd Calendar'!$AC$1755&gt;VAL_DATE)=0,"",'Dvd Calendar'!$AC$1755*1000000000+ISNUMBER('Dvd Calendar'!$AC$1756)*100000000+0*10000000+(N('Dvd Calendar'!$AC$1754)&gt;0)*(N('Dvd Calendar'!$AC$1754)&lt;=VAL_SERIAL)*1000000+18*1000+65))</f>
        <v/>
      </c>
    </row>
    <row r="178">
      <c r="B178" s="2">
        <f>IF(HSCEI!$C$25="","",HSCEI!$C$25)</f>
        <v/>
      </c>
      <c r="C178" s="110">
        <f>IF(EE178="","",IF(ISNUMBER('Dvd Calendar'!$E$1762)=FALSE,"",IF((('Dvd Calendar'!$E$1764=TYPE1)*(TYPE1&lt;&gt;"")+('Dvd Calendar'!$E$1764=TYPE2)*(TYPE2&lt;&gt;"")+('Dvd Calendar'!$E$1764=TYPE3)*(TYPE3&lt;&gt;"")+('Dvd Calendar'!$E$1764=TYPE4)*(TYPE4&lt;&gt;"")+('Dvd Calendar'!$E$1764=SPECIAL_LBL)*(INC_SPECIALS="Y"))=0,"",'Dvd Calendar'!$E$1762)))</f>
        <v/>
      </c>
      <c r="D178" s="110">
        <f>IF(EF178="","",IF(ISNUMBER('Dvd Calendar'!$F$1762)=FALSE,"",IF((('Dvd Calendar'!$F$1764=TYPE1)*(TYPE1&lt;&gt;"")+('Dvd Calendar'!$F$1764=TYPE2)*(TYPE2&lt;&gt;"")+('Dvd Calendar'!$F$1764=TYPE3)*(TYPE3&lt;&gt;"")+('Dvd Calendar'!$F$1764=TYPE4)*(TYPE4&lt;&gt;"")+('Dvd Calendar'!$F$1764=SPECIAL_LBL)*(INC_SPECIALS="Y"))=0,"",'Dvd Calendar'!$F$1762)))</f>
        <v/>
      </c>
      <c r="E178" s="110">
        <f>IF(EG178="","",IF(ISNUMBER('Dvd Calendar'!$G$1762)=FALSE,"",IF((('Dvd Calendar'!$G$1764=TYPE1)*(TYPE1&lt;&gt;"")+('Dvd Calendar'!$G$1764=TYPE2)*(TYPE2&lt;&gt;"")+('Dvd Calendar'!$G$1764=TYPE3)*(TYPE3&lt;&gt;"")+('Dvd Calendar'!$G$1764=TYPE4)*(TYPE4&lt;&gt;"")+('Dvd Calendar'!$G$1764=SPECIAL_LBL)*(INC_SPECIALS="Y"))=0,"",'Dvd Calendar'!$G$1762)))</f>
        <v/>
      </c>
      <c r="F178" s="110">
        <f>IF(EH178="","",IF(ISNUMBER('Dvd Calendar'!$H$1762)=FALSE,"",IF((('Dvd Calendar'!$H$1764=TYPE1)*(TYPE1&lt;&gt;"")+('Dvd Calendar'!$H$1764=TYPE2)*(TYPE2&lt;&gt;"")+('Dvd Calendar'!$H$1764=TYPE3)*(TYPE3&lt;&gt;"")+('Dvd Calendar'!$H$1764=TYPE4)*(TYPE4&lt;&gt;"")+('Dvd Calendar'!$H$1764=SPECIAL_LBL)*(INC_SPECIALS="Y"))=0,"",'Dvd Calendar'!$H$1762)))</f>
        <v/>
      </c>
      <c r="G178" s="110">
        <f>IF(EI178="","",IF(ISNUMBER('Dvd Calendar'!$I$1762)=FALSE,"",IF((('Dvd Calendar'!$I$1764=TYPE1)*(TYPE1&lt;&gt;"")+('Dvd Calendar'!$I$1764=TYPE2)*(TYPE2&lt;&gt;"")+('Dvd Calendar'!$I$1764=TYPE3)*(TYPE3&lt;&gt;"")+('Dvd Calendar'!$I$1764=TYPE4)*(TYPE4&lt;&gt;"")+('Dvd Calendar'!$I$1764=SPECIAL_LBL)*(INC_SPECIALS="Y"))=0,"",'Dvd Calendar'!$I$1762)))</f>
        <v/>
      </c>
      <c r="H178" s="110">
        <f>IF(EJ178="","",IF(ISNUMBER('Dvd Calendar'!$J$1762)=FALSE,"",IF((('Dvd Calendar'!$J$1764=TYPE1)*(TYPE1&lt;&gt;"")+('Dvd Calendar'!$J$1764=TYPE2)*(TYPE2&lt;&gt;"")+('Dvd Calendar'!$J$1764=TYPE3)*(TYPE3&lt;&gt;"")+('Dvd Calendar'!$J$1764=TYPE4)*(TYPE4&lt;&gt;"")+('Dvd Calendar'!$J$1764=SPECIAL_LBL)*(INC_SPECIALS="Y"))=0,"",'Dvd Calendar'!$J$1762)))</f>
        <v/>
      </c>
      <c r="I178" s="110">
        <f>IF(EK178="","",IF(ISNUMBER('Dvd Calendar'!$K$1762)=FALSE,"",IF((('Dvd Calendar'!$K$1764=TYPE1)*(TYPE1&lt;&gt;"")+('Dvd Calendar'!$K$1764=TYPE2)*(TYPE2&lt;&gt;"")+('Dvd Calendar'!$K$1764=TYPE3)*(TYPE3&lt;&gt;"")+('Dvd Calendar'!$K$1764=TYPE4)*(TYPE4&lt;&gt;"")+('Dvd Calendar'!$K$1764=SPECIAL_LBL)*(INC_SPECIALS="Y"))=0,"",'Dvd Calendar'!$K$1762)))</f>
        <v/>
      </c>
      <c r="J178" s="110">
        <f>IF(EL178="","",IF(ISNUMBER('Dvd Calendar'!$L$1762)=FALSE,"",IF((('Dvd Calendar'!$L$1764=TYPE1)*(TYPE1&lt;&gt;"")+('Dvd Calendar'!$L$1764=TYPE2)*(TYPE2&lt;&gt;"")+('Dvd Calendar'!$L$1764=TYPE3)*(TYPE3&lt;&gt;"")+('Dvd Calendar'!$L$1764=TYPE4)*(TYPE4&lt;&gt;"")+('Dvd Calendar'!$L$1764=SPECIAL_LBL)*(INC_SPECIALS="Y"))=0,"",'Dvd Calendar'!$L$1762)))</f>
        <v/>
      </c>
      <c r="K178" s="110">
        <f>IF(EM178="","",IF(ISNUMBER('Dvd Calendar'!$M$1762)=FALSE,"",IF((('Dvd Calendar'!$M$1764=TYPE1)*(TYPE1&lt;&gt;"")+('Dvd Calendar'!$M$1764=TYPE2)*(TYPE2&lt;&gt;"")+('Dvd Calendar'!$M$1764=TYPE3)*(TYPE3&lt;&gt;"")+('Dvd Calendar'!$M$1764=TYPE4)*(TYPE4&lt;&gt;"")+('Dvd Calendar'!$M$1764=SPECIAL_LBL)*(INC_SPECIALS="Y"))=0,"",'Dvd Calendar'!$M$1762)))</f>
        <v/>
      </c>
      <c r="L178" s="110">
        <f>IF(EN178="","",IF(ISNUMBER('Dvd Calendar'!$N$1762)=FALSE,"",IF((('Dvd Calendar'!$N$1764=TYPE1)*(TYPE1&lt;&gt;"")+('Dvd Calendar'!$N$1764=TYPE2)*(TYPE2&lt;&gt;"")+('Dvd Calendar'!$N$1764=TYPE3)*(TYPE3&lt;&gt;"")+('Dvd Calendar'!$N$1764=TYPE4)*(TYPE4&lt;&gt;"")+('Dvd Calendar'!$N$1764=SPECIAL_LBL)*(INC_SPECIALS="Y"))=0,"",'Dvd Calendar'!$N$1762)))</f>
        <v/>
      </c>
      <c r="M178" s="110">
        <f>IF(EO178="","",IF(ISNUMBER('Dvd Calendar'!$O$1762)=FALSE,"",IF((('Dvd Calendar'!$O$1764=TYPE1)*(TYPE1&lt;&gt;"")+('Dvd Calendar'!$O$1764=TYPE2)*(TYPE2&lt;&gt;"")+('Dvd Calendar'!$O$1764=TYPE3)*(TYPE3&lt;&gt;"")+('Dvd Calendar'!$O$1764=TYPE4)*(TYPE4&lt;&gt;"")+('Dvd Calendar'!$O$1764=SPECIAL_LBL)*(INC_SPECIALS="Y"))=0,"",'Dvd Calendar'!$O$1762)))</f>
        <v/>
      </c>
      <c r="N178" s="110">
        <f>IF(EP178="","",IF(ISNUMBER('Dvd Calendar'!$P$1762)=FALSE,"",IF((('Dvd Calendar'!$P$1764=TYPE1)*(TYPE1&lt;&gt;"")+('Dvd Calendar'!$P$1764=TYPE2)*(TYPE2&lt;&gt;"")+('Dvd Calendar'!$P$1764=TYPE3)*(TYPE3&lt;&gt;"")+('Dvd Calendar'!$P$1764=TYPE4)*(TYPE4&lt;&gt;"")+('Dvd Calendar'!$P$1764=SPECIAL_LBL)*(INC_SPECIALS="Y"))=0,"",'Dvd Calendar'!$P$1762)))</f>
        <v/>
      </c>
      <c r="O178" s="110">
        <f>IF(EQ178="","",IF(ISNUMBER('Dvd Calendar'!$Q$1762)=FALSE,"",IF((('Dvd Calendar'!$Q$1764=TYPE1)*(TYPE1&lt;&gt;"")+('Dvd Calendar'!$Q$1764=TYPE2)*(TYPE2&lt;&gt;"")+('Dvd Calendar'!$Q$1764=TYPE3)*(TYPE3&lt;&gt;"")+('Dvd Calendar'!$Q$1764=TYPE4)*(TYPE4&lt;&gt;"")+('Dvd Calendar'!$Q$1764=SPECIAL_LBL)*(INC_SPECIALS="Y"))=0,"",'Dvd Calendar'!$Q$1762)))</f>
        <v/>
      </c>
      <c r="P178" s="110">
        <f>IF(ER178="","",IF(ISNUMBER('Dvd Calendar'!$R$1762)=FALSE,"",IF((('Dvd Calendar'!$R$1764=TYPE1)*(TYPE1&lt;&gt;"")+('Dvd Calendar'!$R$1764=TYPE2)*(TYPE2&lt;&gt;"")+('Dvd Calendar'!$R$1764=TYPE3)*(TYPE3&lt;&gt;"")+('Dvd Calendar'!$R$1764=TYPE4)*(TYPE4&lt;&gt;"")+('Dvd Calendar'!$R$1764=SPECIAL_LBL)*(INC_SPECIALS="Y"))=0,"",'Dvd Calendar'!$R$1762)))</f>
        <v/>
      </c>
      <c r="Q178" s="110">
        <f>IF(ES178="","",IF(ISNUMBER('Dvd Calendar'!$S$1762)=FALSE,"",IF((('Dvd Calendar'!$S$1764=TYPE1)*(TYPE1&lt;&gt;"")+('Dvd Calendar'!$S$1764=TYPE2)*(TYPE2&lt;&gt;"")+('Dvd Calendar'!$S$1764=TYPE3)*(TYPE3&lt;&gt;"")+('Dvd Calendar'!$S$1764=TYPE4)*(TYPE4&lt;&gt;"")+('Dvd Calendar'!$S$1764=SPECIAL_LBL)*(INC_SPECIALS="Y"))=0,"",'Dvd Calendar'!$S$1762)))</f>
        <v/>
      </c>
      <c r="R178" s="110">
        <f>IF(ET178="","",IF(ISNUMBER('Dvd Calendar'!$T$1762)=FALSE,"",IF((('Dvd Calendar'!$T$1764=TYPE1)*(TYPE1&lt;&gt;"")+('Dvd Calendar'!$T$1764=TYPE2)*(TYPE2&lt;&gt;"")+('Dvd Calendar'!$T$1764=TYPE3)*(TYPE3&lt;&gt;"")+('Dvd Calendar'!$T$1764=TYPE4)*(TYPE4&lt;&gt;"")+('Dvd Calendar'!$T$1764=SPECIAL_LBL)*(INC_SPECIALS="Y"))=0,"",'Dvd Calendar'!$T$1762)))</f>
        <v/>
      </c>
      <c r="S178" s="110">
        <f>IF(EU178="","",IF(ISNUMBER('Dvd Calendar'!$U$1762)=FALSE,"",IF((('Dvd Calendar'!$U$1764=TYPE1)*(TYPE1&lt;&gt;"")+('Dvd Calendar'!$U$1764=TYPE2)*(TYPE2&lt;&gt;"")+('Dvd Calendar'!$U$1764=TYPE3)*(TYPE3&lt;&gt;"")+('Dvd Calendar'!$U$1764=TYPE4)*(TYPE4&lt;&gt;"")+('Dvd Calendar'!$U$1764=SPECIAL_LBL)*(INC_SPECIALS="Y"))=0,"",'Dvd Calendar'!$U$1762)))</f>
        <v/>
      </c>
      <c r="T178" s="110">
        <f>IF(EV178="","",IF(ISNUMBER('Dvd Calendar'!$V$1762)=FALSE,"",IF((('Dvd Calendar'!$V$1764=TYPE1)*(TYPE1&lt;&gt;"")+('Dvd Calendar'!$V$1764=TYPE2)*(TYPE2&lt;&gt;"")+('Dvd Calendar'!$V$1764=TYPE3)*(TYPE3&lt;&gt;"")+('Dvd Calendar'!$V$1764=TYPE4)*(TYPE4&lt;&gt;"")+('Dvd Calendar'!$V$1764=SPECIAL_LBL)*(INC_SPECIALS="Y"))=0,"",'Dvd Calendar'!$V$1762)))</f>
        <v/>
      </c>
      <c r="U178" s="110">
        <f>IF(EW178="","",IF(ISNUMBER('Dvd Calendar'!$W$1762)=FALSE,"",IF((('Dvd Calendar'!$W$1764=TYPE1)*(TYPE1&lt;&gt;"")+('Dvd Calendar'!$W$1764=TYPE2)*(TYPE2&lt;&gt;"")+('Dvd Calendar'!$W$1764=TYPE3)*(TYPE3&lt;&gt;"")+('Dvd Calendar'!$W$1764=TYPE4)*(TYPE4&lt;&gt;"")+('Dvd Calendar'!$W$1764=SPECIAL_LBL)*(INC_SPECIALS="Y"))=0,"",'Dvd Calendar'!$W$1762)))</f>
        <v/>
      </c>
      <c r="V178" s="110">
        <f>IF(EX178="","",IF(ISNUMBER('Dvd Calendar'!$X$1762)=FALSE,"",IF((('Dvd Calendar'!$X$1764=TYPE1)*(TYPE1&lt;&gt;"")+('Dvd Calendar'!$X$1764=TYPE2)*(TYPE2&lt;&gt;"")+('Dvd Calendar'!$X$1764=TYPE3)*(TYPE3&lt;&gt;"")+('Dvd Calendar'!$X$1764=TYPE4)*(TYPE4&lt;&gt;"")+('Dvd Calendar'!$X$1764=SPECIAL_LBL)*(INC_SPECIALS="Y"))=0,"",'Dvd Calendar'!$X$1762)))</f>
        <v/>
      </c>
      <c r="W178" s="110">
        <f>IF(EY178="","",IF(ISNUMBER('Dvd Calendar'!$Y$1762)=FALSE,"",IF((('Dvd Calendar'!$Y$1764=TYPE1)*(TYPE1&lt;&gt;"")+('Dvd Calendar'!$Y$1764=TYPE2)*(TYPE2&lt;&gt;"")+('Dvd Calendar'!$Y$1764=TYPE3)*(TYPE3&lt;&gt;"")+('Dvd Calendar'!$Y$1764=TYPE4)*(TYPE4&lt;&gt;"")+('Dvd Calendar'!$Y$1764=SPECIAL_LBL)*(INC_SPECIALS="Y"))=0,"",'Dvd Calendar'!$Y$1762)))</f>
        <v/>
      </c>
      <c r="X178" s="110">
        <f>IF(EZ178="","",IF(ISNUMBER('Dvd Calendar'!$Z$1762)=FALSE,"",IF((('Dvd Calendar'!$Z$1764=TYPE1)*(TYPE1&lt;&gt;"")+('Dvd Calendar'!$Z$1764=TYPE2)*(TYPE2&lt;&gt;"")+('Dvd Calendar'!$Z$1764=TYPE3)*(TYPE3&lt;&gt;"")+('Dvd Calendar'!$Z$1764=TYPE4)*(TYPE4&lt;&gt;"")+('Dvd Calendar'!$Z$1764=SPECIAL_LBL)*(INC_SPECIALS="Y"))=0,"",'Dvd Calendar'!$Z$1762)))</f>
        <v/>
      </c>
      <c r="Y178" s="110">
        <f>IF(FA178="","",IF(ISNUMBER('Dvd Calendar'!$AA$1762)=FALSE,"",IF((('Dvd Calendar'!$AA$1764=TYPE1)*(TYPE1&lt;&gt;"")+('Dvd Calendar'!$AA$1764=TYPE2)*(TYPE2&lt;&gt;"")+('Dvd Calendar'!$AA$1764=TYPE3)*(TYPE3&lt;&gt;"")+('Dvd Calendar'!$AA$1764=TYPE4)*(TYPE4&lt;&gt;"")+('Dvd Calendar'!$AA$1764=SPECIAL_LBL)*(INC_SPECIALS="Y"))=0,"",'Dvd Calendar'!$AA$1762)))</f>
        <v/>
      </c>
      <c r="Z178" s="110">
        <f>IF(FB178="","",IF(ISNUMBER('Dvd Calendar'!$AB$1762)=FALSE,"",IF((('Dvd Calendar'!$AB$1764=TYPE1)*(TYPE1&lt;&gt;"")+('Dvd Calendar'!$AB$1764=TYPE2)*(TYPE2&lt;&gt;"")+('Dvd Calendar'!$AB$1764=TYPE3)*(TYPE3&lt;&gt;"")+('Dvd Calendar'!$AB$1764=TYPE4)*(TYPE4&lt;&gt;"")+('Dvd Calendar'!$AB$1764=SPECIAL_LBL)*(INC_SPECIALS="Y"))=0,"",'Dvd Calendar'!$AB$1762)))</f>
        <v/>
      </c>
      <c r="AA178" s="110">
        <f>IF(FC178="","",IF(ISNUMBER('Dvd Calendar'!$AC$1762)=FALSE,"",IF((('Dvd Calendar'!$AC$1764=TYPE1)*(TYPE1&lt;&gt;"")+('Dvd Calendar'!$AC$1764=TYPE2)*(TYPE2&lt;&gt;"")+('Dvd Calendar'!$AC$1764=TYPE3)*(TYPE3&lt;&gt;"")+('Dvd Calendar'!$AC$1764=TYPE4)*(TYPE4&lt;&gt;"")+('Dvd Calendar'!$AC$1764=SPECIAL_LBL)*(INC_SPECIALS="Y"))=0,"",'Dvd Calendar'!$AC$1762)))</f>
        <v/>
      </c>
      <c r="AB178" s="110">
        <f>IF(FD178="","",IF(ISNUMBER('Dvd Calendar'!$AD$1762)=FALSE,"",IF((('Dvd Calendar'!$AD$1764=TYPE1)*(TYPE1&lt;&gt;"")+('Dvd Calendar'!$AD$1764=TYPE2)*(TYPE2&lt;&gt;"")+('Dvd Calendar'!$AD$1764=TYPE3)*(TYPE3&lt;&gt;"")+('Dvd Calendar'!$AD$1764=TYPE4)*(TYPE4&lt;&gt;"")+('Dvd Calendar'!$AD$1764=SPECIAL_LBL)*(INC_SPECIALS="Y"))=0,"",'Dvd Calendar'!$AD$1762)))</f>
        <v/>
      </c>
      <c r="AC178" s="110">
        <f>IF(FE178="","",IF(ISNUMBER('Dvd Calendar'!$AE$1762)=FALSE,"",IF((('Dvd Calendar'!$AE$1764=TYPE1)*(TYPE1&lt;&gt;"")+('Dvd Calendar'!$AE$1764=TYPE2)*(TYPE2&lt;&gt;"")+('Dvd Calendar'!$AE$1764=TYPE3)*(TYPE3&lt;&gt;"")+('Dvd Calendar'!$AE$1764=TYPE4)*(TYPE4&lt;&gt;"")+('Dvd Calendar'!$AE$1764=SPECIAL_LBL)*(INC_SPECIALS="Y"))=0,"",'Dvd Calendar'!$AE$1762)))</f>
        <v/>
      </c>
      <c r="AD178" s="110">
        <f>IF(FF178="","",IF(ISNUMBER('Dvd Calendar'!$AF$1762)=FALSE,"",IF((('Dvd Calendar'!$AF$1764=TYPE1)*(TYPE1&lt;&gt;"")+('Dvd Calendar'!$AF$1764=TYPE2)*(TYPE2&lt;&gt;"")+('Dvd Calendar'!$AF$1764=TYPE3)*(TYPE3&lt;&gt;"")+('Dvd Calendar'!$AF$1764=TYPE4)*(TYPE4&lt;&gt;"")+('Dvd Calendar'!$AF$1764=SPECIAL_LBL)*(INC_SPECIALS="Y"))=0,"",'Dvd Calendar'!$AF$1762)))</f>
        <v/>
      </c>
      <c r="AE178" s="110">
        <f>IF(FG178="","",IF(ISNUMBER('Dvd Calendar'!$AG$1762)=FALSE,"",IF((('Dvd Calendar'!$AG$1764=TYPE1)*(TYPE1&lt;&gt;"")+('Dvd Calendar'!$AG$1764=TYPE2)*(TYPE2&lt;&gt;"")+('Dvd Calendar'!$AG$1764=TYPE3)*(TYPE3&lt;&gt;"")+('Dvd Calendar'!$AG$1764=TYPE4)*(TYPE4&lt;&gt;"")+('Dvd Calendar'!$AG$1764=SPECIAL_LBL)*(INC_SPECIALS="Y"))=0,"",'Dvd Calendar'!$AG$1762)))</f>
        <v/>
      </c>
      <c r="AF178" s="110">
        <f>IF(FH178="","",IF(ISNUMBER('Dvd Calendar'!$AH$1762)=FALSE,"",IF((('Dvd Calendar'!$AH$1764=TYPE1)*(TYPE1&lt;&gt;"")+('Dvd Calendar'!$AH$1764=TYPE2)*(TYPE2&lt;&gt;"")+('Dvd Calendar'!$AH$1764=TYPE3)*(TYPE3&lt;&gt;"")+('Dvd Calendar'!$AH$1764=TYPE4)*(TYPE4&lt;&gt;"")+('Dvd Calendar'!$AH$1764=SPECIAL_LBL)*(INC_SPECIALS="Y"))=0,"",'Dvd Calendar'!$AH$1762)))</f>
        <v/>
      </c>
      <c r="AG178" s="110">
        <f>IF(FI178="","",IF(ISNUMBER('Dvd Calendar'!$AI$1762)=FALSE,"",IF((('Dvd Calendar'!$AI$1764=TYPE1)*(TYPE1&lt;&gt;"")+('Dvd Calendar'!$AI$1764=TYPE2)*(TYPE2&lt;&gt;"")+('Dvd Calendar'!$AI$1764=TYPE3)*(TYPE3&lt;&gt;"")+('Dvd Calendar'!$AI$1764=TYPE4)*(TYPE4&lt;&gt;"")+('Dvd Calendar'!$AI$1764=SPECIAL_LBL)*(INC_SPECIALS="Y"))=0,"",'Dvd Calendar'!$AI$1762)))</f>
        <v/>
      </c>
      <c r="AH178" s="110">
        <f>IF(FJ178="","",IF(ISNUMBER('Dvd Calendar'!$AJ$1762)=FALSE,"",IF((('Dvd Calendar'!$AJ$1764=TYPE1)*(TYPE1&lt;&gt;"")+('Dvd Calendar'!$AJ$1764=TYPE2)*(TYPE2&lt;&gt;"")+('Dvd Calendar'!$AJ$1764=TYPE3)*(TYPE3&lt;&gt;"")+('Dvd Calendar'!$AJ$1764=TYPE4)*(TYPE4&lt;&gt;"")+('Dvd Calendar'!$AJ$1764=SPECIAL_LBL)*(INC_SPECIALS="Y"))=0,"",'Dvd Calendar'!$AJ$1762)))</f>
        <v/>
      </c>
      <c r="AI178" s="110">
        <f>IF(FK178="","",IF(ISNUMBER('Dvd Calendar'!$AK$1762)=FALSE,"",IF((('Dvd Calendar'!$AK$1764=TYPE1)*(TYPE1&lt;&gt;"")+('Dvd Calendar'!$AK$1764=TYPE2)*(TYPE2&lt;&gt;"")+('Dvd Calendar'!$AK$1764=TYPE3)*(TYPE3&lt;&gt;"")+('Dvd Calendar'!$AK$1764=TYPE4)*(TYPE4&lt;&gt;"")+('Dvd Calendar'!$AK$1764=SPECIAL_LBL)*(INC_SPECIALS="Y"))=0,"",'Dvd Calendar'!$AK$1762)))</f>
        <v/>
      </c>
      <c r="AJ178" s="110">
        <f>IF(FL178="","",IF(ISNUMBER('Dvd Calendar'!$AL$1762)=FALSE,"",IF((('Dvd Calendar'!$AL$1764=TYPE1)*(TYPE1&lt;&gt;"")+('Dvd Calendar'!$AL$1764=TYPE2)*(TYPE2&lt;&gt;"")+('Dvd Calendar'!$AL$1764=TYPE3)*(TYPE3&lt;&gt;"")+('Dvd Calendar'!$AL$1764=TYPE4)*(TYPE4&lt;&gt;"")+('Dvd Calendar'!$AL$1764=SPECIAL_LBL)*(INC_SPECIALS="Y"))=0,"",'Dvd Calendar'!$AL$1762)))</f>
        <v/>
      </c>
      <c r="AK178" s="110">
        <f>IF(FM178="","",IF(ISNUMBER('Dvd Calendar'!$AM$1762)=FALSE,"",IF((('Dvd Calendar'!$AM$1764=TYPE1)*(TYPE1&lt;&gt;"")+('Dvd Calendar'!$AM$1764=TYPE2)*(TYPE2&lt;&gt;"")+('Dvd Calendar'!$AM$1764=TYPE3)*(TYPE3&lt;&gt;"")+('Dvd Calendar'!$AM$1764=TYPE4)*(TYPE4&lt;&gt;"")+('Dvd Calendar'!$AM$1764=SPECIAL_LBL)*(INC_SPECIALS="Y"))=0,"",'Dvd Calendar'!$AM$1762)))</f>
        <v/>
      </c>
      <c r="AL178" s="110">
        <f>IF(FN178="","",IF(ISNUMBER('Dvd Calendar'!$AN$1762)=FALSE,"",IF((('Dvd Calendar'!$AN$1764=TYPE1)*(TYPE1&lt;&gt;"")+('Dvd Calendar'!$AN$1764=TYPE2)*(TYPE2&lt;&gt;"")+('Dvd Calendar'!$AN$1764=TYPE3)*(TYPE3&lt;&gt;"")+('Dvd Calendar'!$AN$1764=TYPE4)*(TYPE4&lt;&gt;"")+('Dvd Calendar'!$AN$1764=SPECIAL_LBL)*(INC_SPECIALS="Y"))=0,"",'Dvd Calendar'!$AN$1762)))</f>
        <v/>
      </c>
      <c r="AM178" s="110">
        <f>IF(FO178="","",IF(ISNUMBER('Dvd Calendar'!$AO$1762)=FALSE,"",IF((('Dvd Calendar'!$AO$1764=TYPE1)*(TYPE1&lt;&gt;"")+('Dvd Calendar'!$AO$1764=TYPE2)*(TYPE2&lt;&gt;"")+('Dvd Calendar'!$AO$1764=TYPE3)*(TYPE3&lt;&gt;"")+('Dvd Calendar'!$AO$1764=TYPE4)*(TYPE4&lt;&gt;"")+('Dvd Calendar'!$AO$1764=SPECIAL_LBL)*(INC_SPECIALS="Y"))=0,"",'Dvd Calendar'!$AO$1762)))</f>
        <v/>
      </c>
      <c r="AN178" s="110">
        <f>IF(FP178="","",IF(ISNUMBER('Dvd Calendar'!$AP$1762)=FALSE,"",IF((('Dvd Calendar'!$AP$1764=TYPE1)*(TYPE1&lt;&gt;"")+('Dvd Calendar'!$AP$1764=TYPE2)*(TYPE2&lt;&gt;"")+('Dvd Calendar'!$AP$1764=TYPE3)*(TYPE3&lt;&gt;"")+('Dvd Calendar'!$AP$1764=TYPE4)*(TYPE4&lt;&gt;"")+('Dvd Calendar'!$AP$1764=SPECIAL_LBL)*(INC_SPECIALS="Y"))=0,"",'Dvd Calendar'!$AP$1762)))</f>
        <v/>
      </c>
      <c r="AO178" s="110">
        <f>IF(FQ178="","",IF(ISNUMBER('Dvd Calendar'!$AQ$1762)=FALSE,"",IF((('Dvd Calendar'!$AQ$1764=TYPE1)*(TYPE1&lt;&gt;"")+('Dvd Calendar'!$AQ$1764=TYPE2)*(TYPE2&lt;&gt;"")+('Dvd Calendar'!$AQ$1764=TYPE3)*(TYPE3&lt;&gt;"")+('Dvd Calendar'!$AQ$1764=TYPE4)*(TYPE4&lt;&gt;"")+('Dvd Calendar'!$AQ$1764=SPECIAL_LBL)*(INC_SPECIALS="Y"))=0,"",'Dvd Calendar'!$AQ$1762)))</f>
        <v/>
      </c>
      <c r="AP178" s="110">
        <f>IF(FR178="","",IF(ISNUMBER('Dvd Calendar'!$AR$1762)=FALSE,"",IF((('Dvd Calendar'!$AR$1764=TYPE1)*(TYPE1&lt;&gt;"")+('Dvd Calendar'!$AR$1764=TYPE2)*(TYPE2&lt;&gt;"")+('Dvd Calendar'!$AR$1764=TYPE3)*(TYPE3&lt;&gt;"")+('Dvd Calendar'!$AR$1764=TYPE4)*(TYPE4&lt;&gt;"")+('Dvd Calendar'!$AR$1764=SPECIAL_LBL)*(INC_SPECIALS="Y"))=0,"",'Dvd Calendar'!$AR$1762)))</f>
        <v/>
      </c>
      <c r="AQ178" s="110">
        <f>IF(FS178="","",IF(ISNUMBER('Dvd Calendar'!$E$1767)=FALSE,"",'Dvd Calendar'!$E$1767))</f>
        <v/>
      </c>
      <c r="AR178" s="110">
        <f>IF(FT178="","",IF(ISNUMBER('Dvd Calendar'!$F$1767)=FALSE,"",'Dvd Calendar'!$F$1767))</f>
        <v/>
      </c>
      <c r="AS178" s="110">
        <f>IF(FU178="","",IF(ISNUMBER('Dvd Calendar'!$G$1767)=FALSE,"",'Dvd Calendar'!$G$1767))</f>
        <v/>
      </c>
      <c r="AT178" s="110">
        <f>IF(FV178="","",IF(ISNUMBER('Dvd Calendar'!$H$1767)=FALSE,"",'Dvd Calendar'!$H$1767))</f>
        <v/>
      </c>
      <c r="AU178" s="110">
        <f>IF(FW178="","",IF(ISNUMBER('Dvd Calendar'!$I$1767)=FALSE,"",'Dvd Calendar'!$I$1767))</f>
        <v/>
      </c>
      <c r="AV178" s="110">
        <f>IF(FX178="","",IF(ISNUMBER('Dvd Calendar'!$J$1767)=FALSE,"",'Dvd Calendar'!$J$1767))</f>
        <v/>
      </c>
      <c r="AW178" s="110">
        <f>IF(FY178="","",IF(ISNUMBER('Dvd Calendar'!$K$1767)=FALSE,"",'Dvd Calendar'!$K$1767))</f>
        <v/>
      </c>
      <c r="AX178" s="110">
        <f>IF(FZ178="","",IF(ISNUMBER('Dvd Calendar'!$L$1767)=FALSE,"",'Dvd Calendar'!$L$1767))</f>
        <v/>
      </c>
      <c r="AY178" s="110">
        <f>IF(GA178="","",IF(ISNUMBER('Dvd Calendar'!$M$1767)=FALSE,"",'Dvd Calendar'!$M$1767))</f>
        <v/>
      </c>
      <c r="AZ178" s="110">
        <f>IF(GB178="","",IF(ISNUMBER('Dvd Calendar'!$N$1767)=FALSE,"",'Dvd Calendar'!$N$1767))</f>
        <v/>
      </c>
      <c r="BA178" s="110">
        <f>IF(GC178="","",IF(ISNUMBER('Dvd Calendar'!$O$1767)=FALSE,"",'Dvd Calendar'!$O$1767))</f>
        <v/>
      </c>
      <c r="BB178" s="110">
        <f>IF(GD178="","",IF(ISNUMBER('Dvd Calendar'!$P$1767)=FALSE,"",'Dvd Calendar'!$P$1767))</f>
        <v/>
      </c>
      <c r="BC178" s="110">
        <f>IF(GE178="","",IF(ISNUMBER('Dvd Calendar'!$Q$1767)=FALSE,"",'Dvd Calendar'!$Q$1767))</f>
        <v/>
      </c>
      <c r="BD178" s="110">
        <f>IF(GF178="","",IF(ISNUMBER('Dvd Calendar'!$R$1767)=FALSE,"",'Dvd Calendar'!$R$1767))</f>
        <v/>
      </c>
      <c r="BE178" s="110">
        <f>IF(GG178="","",IF(ISNUMBER('Dvd Calendar'!$S$1767)=FALSE,"",'Dvd Calendar'!$S$1767))</f>
        <v/>
      </c>
      <c r="BF178" s="110">
        <f>IF(GH178="","",IF(ISNUMBER('Dvd Calendar'!$T$1767)=FALSE,"",'Dvd Calendar'!$T$1767))</f>
        <v/>
      </c>
      <c r="BG178" s="110">
        <f>IF(GI178="","",IF(ISNUMBER('Dvd Calendar'!$U$1767)=FALSE,"",'Dvd Calendar'!$U$1767))</f>
        <v/>
      </c>
      <c r="BH178" s="110">
        <f>IF(GJ178="","",IF(ISNUMBER('Dvd Calendar'!$V$1767)=FALSE,"",'Dvd Calendar'!$V$1767))</f>
        <v/>
      </c>
      <c r="BI178" s="110">
        <f>IF(GK178="","",IF(ISNUMBER('Dvd Calendar'!$W$1767)=FALSE,"",'Dvd Calendar'!$W$1767))</f>
        <v/>
      </c>
      <c r="BJ178" s="110">
        <f>IF(GL178="","",IF(ISNUMBER('Dvd Calendar'!$X$1767)=FALSE,"",'Dvd Calendar'!$X$1767))</f>
        <v/>
      </c>
      <c r="BK178" s="110">
        <f>IF(GM178="","",IF(ISNUMBER('Dvd Calendar'!$Y$1767)=FALSE,"",'Dvd Calendar'!$Y$1767))</f>
        <v/>
      </c>
      <c r="BL178" s="110">
        <f>IF(GN178="","",IF(ISNUMBER('Dvd Calendar'!$Z$1767)=FALSE,"",'Dvd Calendar'!$Z$1767))</f>
        <v/>
      </c>
      <c r="BM178" s="110">
        <f>IF(GO178="","",IF(ISNUMBER('Dvd Calendar'!$AA$1767)=FALSE,"",'Dvd Calendar'!$AA$1767))</f>
        <v/>
      </c>
      <c r="BN178" s="110">
        <f>IF(GP178="","",IF(ISNUMBER('Dvd Calendar'!$AB$1767)=FALSE,"",'Dvd Calendar'!$AB$1767))</f>
        <v/>
      </c>
      <c r="BO178" s="110">
        <f>IF(GQ178="","",IF(ISNUMBER('Dvd Calendar'!$AC$1767)=FALSE,"",'Dvd Calendar'!$AC$1767))</f>
        <v/>
      </c>
      <c r="BQ178" s="110">
        <f>IF(C178="","",IFERROR(C178*HSCEI!$B$25*HSCEI!$G$25/HSCEI!$B$3,""))</f>
        <v/>
      </c>
      <c r="BR178" s="110">
        <f>IF(D178="","",IFERROR(D178*HSCEI!$B$25*HSCEI!$G$25/HSCEI!$B$3,""))</f>
        <v/>
      </c>
      <c r="BS178" s="110">
        <f>IF(E178="","",IFERROR(E178*HSCEI!$B$25*HSCEI!$G$25/HSCEI!$B$3,""))</f>
        <v/>
      </c>
      <c r="BT178" s="110">
        <f>IF(F178="","",IFERROR(F178*HSCEI!$B$25*HSCEI!$G$25/HSCEI!$B$3,""))</f>
        <v/>
      </c>
      <c r="BU178" s="110">
        <f>IF(G178="","",IFERROR(G178*HSCEI!$B$25*HSCEI!$G$25/HSCEI!$B$3,""))</f>
        <v/>
      </c>
      <c r="BV178" s="110">
        <f>IF(H178="","",IFERROR(H178*HSCEI!$B$25*HSCEI!$G$25/HSCEI!$B$3,""))</f>
        <v/>
      </c>
      <c r="BW178" s="110">
        <f>IF(I178="","",IFERROR(I178*HSCEI!$B$25*HSCEI!$G$25/HSCEI!$B$3,""))</f>
        <v/>
      </c>
      <c r="BX178" s="110">
        <f>IF(J178="","",IFERROR(J178*HSCEI!$B$25*HSCEI!$G$25/HSCEI!$B$3,""))</f>
        <v/>
      </c>
      <c r="BY178" s="110">
        <f>IF(K178="","",IFERROR(K178*HSCEI!$B$25*HSCEI!$G$25/HSCEI!$B$3,""))</f>
        <v/>
      </c>
      <c r="BZ178" s="110">
        <f>IF(L178="","",IFERROR(L178*HSCEI!$B$25*HSCEI!$G$25/HSCEI!$B$3,""))</f>
        <v/>
      </c>
      <c r="CA178" s="110">
        <f>IF(M178="","",IFERROR(M178*HSCEI!$B$25*HSCEI!$G$25/HSCEI!$B$3,""))</f>
        <v/>
      </c>
      <c r="CB178" s="110">
        <f>IF(N178="","",IFERROR(N178*HSCEI!$B$25*HSCEI!$G$25/HSCEI!$B$3,""))</f>
        <v/>
      </c>
      <c r="CC178" s="110">
        <f>IF(O178="","",IFERROR(O178*HSCEI!$B$25*HSCEI!$G$25/HSCEI!$B$3,""))</f>
        <v/>
      </c>
      <c r="CD178" s="110">
        <f>IF(P178="","",IFERROR(P178*HSCEI!$B$25*HSCEI!$G$25/HSCEI!$B$3,""))</f>
        <v/>
      </c>
      <c r="CE178" s="110">
        <f>IF(Q178="","",IFERROR(Q178*HSCEI!$B$25*HSCEI!$G$25/HSCEI!$B$3,""))</f>
        <v/>
      </c>
      <c r="CF178" s="110">
        <f>IF(R178="","",IFERROR(R178*HSCEI!$B$25*HSCEI!$G$25/HSCEI!$B$3,""))</f>
        <v/>
      </c>
      <c r="CG178" s="110">
        <f>IF(S178="","",IFERROR(S178*HSCEI!$B$25*HSCEI!$G$25/HSCEI!$B$3,""))</f>
        <v/>
      </c>
      <c r="CH178" s="110">
        <f>IF(T178="","",IFERROR(T178*HSCEI!$B$25*HSCEI!$G$25/HSCEI!$B$3,""))</f>
        <v/>
      </c>
      <c r="CI178" s="110">
        <f>IF(U178="","",IFERROR(U178*HSCEI!$B$25*HSCEI!$G$25/HSCEI!$B$3,""))</f>
        <v/>
      </c>
      <c r="CJ178" s="110">
        <f>IF(V178="","",IFERROR(V178*HSCEI!$B$25*HSCEI!$G$25/HSCEI!$B$3,""))</f>
        <v/>
      </c>
      <c r="CK178" s="110">
        <f>IF(W178="","",IFERROR(W178*HSCEI!$B$25*HSCEI!$G$25/HSCEI!$B$3,""))</f>
        <v/>
      </c>
      <c r="CL178" s="110">
        <f>IF(X178="","",IFERROR(X178*HSCEI!$B$25*HSCEI!$G$25/HSCEI!$B$3,""))</f>
        <v/>
      </c>
      <c r="CM178" s="110">
        <f>IF(Y178="","",IFERROR(Y178*HSCEI!$B$25*HSCEI!$G$25/HSCEI!$B$3,""))</f>
        <v/>
      </c>
      <c r="CN178" s="110">
        <f>IF(Z178="","",IFERROR(Z178*HSCEI!$B$25*HSCEI!$G$25/HSCEI!$B$3,""))</f>
        <v/>
      </c>
      <c r="CO178" s="110">
        <f>IF(AA178="","",IFERROR(AA178*HSCEI!$B$25*HSCEI!$G$25/HSCEI!$B$3,""))</f>
        <v/>
      </c>
      <c r="CP178" s="110">
        <f>IF(AB178="","",IFERROR(AB178*HSCEI!$B$25*HSCEI!$G$25/HSCEI!$B$3,""))</f>
        <v/>
      </c>
      <c r="CQ178" s="110">
        <f>IF(AC178="","",IFERROR(AC178*HSCEI!$B$25*HSCEI!$G$25/HSCEI!$B$3,""))</f>
        <v/>
      </c>
      <c r="CR178" s="110">
        <f>IF(AD178="","",IFERROR(AD178*HSCEI!$B$25*HSCEI!$G$25/HSCEI!$B$3,""))</f>
        <v/>
      </c>
      <c r="CS178" s="110">
        <f>IF(AE178="","",IFERROR(AE178*HSCEI!$B$25*HSCEI!$G$25/HSCEI!$B$3,""))</f>
        <v/>
      </c>
      <c r="CT178" s="110">
        <f>IF(AF178="","",IFERROR(AF178*HSCEI!$B$25*HSCEI!$G$25/HSCEI!$B$3,""))</f>
        <v/>
      </c>
      <c r="CU178" s="110">
        <f>IF(AG178="","",IFERROR(AG178*HSCEI!$B$25*HSCEI!$G$25/HSCEI!$B$3,""))</f>
        <v/>
      </c>
      <c r="CV178" s="110">
        <f>IF(AH178="","",IFERROR(AH178*HSCEI!$B$25*HSCEI!$G$25/HSCEI!$B$3,""))</f>
        <v/>
      </c>
      <c r="CW178" s="110">
        <f>IF(AI178="","",IFERROR(AI178*HSCEI!$B$25*HSCEI!$G$25/HSCEI!$B$3,""))</f>
        <v/>
      </c>
      <c r="CX178" s="110">
        <f>IF(AJ178="","",IFERROR(AJ178*HSCEI!$B$25*HSCEI!$G$25/HSCEI!$B$3,""))</f>
        <v/>
      </c>
      <c r="CY178" s="110">
        <f>IF(AK178="","",IFERROR(AK178*HSCEI!$B$25*HSCEI!$G$25/HSCEI!$B$3,""))</f>
        <v/>
      </c>
      <c r="CZ178" s="110">
        <f>IF(AL178="","",IFERROR(AL178*HSCEI!$B$25*HSCEI!$G$25/HSCEI!$B$3,""))</f>
        <v/>
      </c>
      <c r="DA178" s="110">
        <f>IF(AM178="","",IFERROR(AM178*HSCEI!$B$25*HSCEI!$G$25/HSCEI!$B$3,""))</f>
        <v/>
      </c>
      <c r="DB178" s="110">
        <f>IF(AN178="","",IFERROR(AN178*HSCEI!$B$25*HSCEI!$G$25/HSCEI!$B$3,""))</f>
        <v/>
      </c>
      <c r="DC178" s="110">
        <f>IF(AO178="","",IFERROR(AO178*HSCEI!$B$25*HSCEI!$G$25/HSCEI!$B$3,""))</f>
        <v/>
      </c>
      <c r="DD178" s="110">
        <f>IF(AP178="","",IFERROR(AP178*HSCEI!$B$25*HSCEI!$G$25/HSCEI!$B$3,""))</f>
        <v/>
      </c>
      <c r="DE178" s="110">
        <f>IF(AQ178="","",IFERROR(AQ178*HSCEI!$B$25*HSCEI!$G$25/HSCEI!$B$3,""))</f>
        <v/>
      </c>
      <c r="DF178" s="110">
        <f>IF(AR178="","",IFERROR(AR178*HSCEI!$B$25*HSCEI!$G$25/HSCEI!$B$3,""))</f>
        <v/>
      </c>
      <c r="DG178" s="110">
        <f>IF(AS178="","",IFERROR(AS178*HSCEI!$B$25*HSCEI!$G$25/HSCEI!$B$3,""))</f>
        <v/>
      </c>
      <c r="DH178" s="110">
        <f>IF(AT178="","",IFERROR(AT178*HSCEI!$B$25*HSCEI!$G$25/HSCEI!$B$3,""))</f>
        <v/>
      </c>
      <c r="DI178" s="110">
        <f>IF(AU178="","",IFERROR(AU178*HSCEI!$B$25*HSCEI!$G$25/HSCEI!$B$3,""))</f>
        <v/>
      </c>
      <c r="DJ178" s="110">
        <f>IF(AV178="","",IFERROR(AV178*HSCEI!$B$25*HSCEI!$G$25/HSCEI!$B$3,""))</f>
        <v/>
      </c>
      <c r="DK178" s="110">
        <f>IF(AW178="","",IFERROR(AW178*HSCEI!$B$25*HSCEI!$G$25/HSCEI!$B$3,""))</f>
        <v/>
      </c>
      <c r="DL178" s="110">
        <f>IF(AX178="","",IFERROR(AX178*HSCEI!$B$25*HSCEI!$G$25/HSCEI!$B$3,""))</f>
        <v/>
      </c>
      <c r="DM178" s="110">
        <f>IF(AY178="","",IFERROR(AY178*HSCEI!$B$25*HSCEI!$G$25/HSCEI!$B$3,""))</f>
        <v/>
      </c>
      <c r="DN178" s="110">
        <f>IF(AZ178="","",IFERROR(AZ178*HSCEI!$B$25*HSCEI!$G$25/HSCEI!$B$3,""))</f>
        <v/>
      </c>
      <c r="DO178" s="110">
        <f>IF(BA178="","",IFERROR(BA178*HSCEI!$B$25*HSCEI!$G$25/HSCEI!$B$3,""))</f>
        <v/>
      </c>
      <c r="DP178" s="110">
        <f>IF(BB178="","",IFERROR(BB178*HSCEI!$B$25*HSCEI!$G$25/HSCEI!$B$3,""))</f>
        <v/>
      </c>
      <c r="DQ178" s="110">
        <f>IF(BC178="","",IFERROR(BC178*HSCEI!$B$25*HSCEI!$G$25/HSCEI!$B$3,""))</f>
        <v/>
      </c>
      <c r="DR178" s="110">
        <f>IF(BD178="","",IFERROR(BD178*HSCEI!$B$25*HSCEI!$G$25/HSCEI!$B$3,""))</f>
        <v/>
      </c>
      <c r="DS178" s="110">
        <f>IF(BE178="","",IFERROR(BE178*HSCEI!$B$25*HSCEI!$G$25/HSCEI!$B$3,""))</f>
        <v/>
      </c>
      <c r="DT178" s="110">
        <f>IF(BF178="","",IFERROR(BF178*HSCEI!$B$25*HSCEI!$G$25/HSCEI!$B$3,""))</f>
        <v/>
      </c>
      <c r="DU178" s="110">
        <f>IF(BG178="","",IFERROR(BG178*HSCEI!$B$25*HSCEI!$G$25/HSCEI!$B$3,""))</f>
        <v/>
      </c>
      <c r="DV178" s="110">
        <f>IF(BH178="","",IFERROR(BH178*HSCEI!$B$25*HSCEI!$G$25/HSCEI!$B$3,""))</f>
        <v/>
      </c>
      <c r="DW178" s="110">
        <f>IF(BI178="","",IFERROR(BI178*HSCEI!$B$25*HSCEI!$G$25/HSCEI!$B$3,""))</f>
        <v/>
      </c>
      <c r="DX178" s="110">
        <f>IF(BJ178="","",IFERROR(BJ178*HSCEI!$B$25*HSCEI!$G$25/HSCEI!$B$3,""))</f>
        <v/>
      </c>
      <c r="DY178" s="110">
        <f>IF(BK178="","",IFERROR(BK178*HSCEI!$B$25*HSCEI!$G$25/HSCEI!$B$3,""))</f>
        <v/>
      </c>
      <c r="DZ178" s="110">
        <f>IF(BL178="","",IFERROR(BL178*HSCEI!$B$25*HSCEI!$G$25/HSCEI!$B$3,""))</f>
        <v/>
      </c>
      <c r="EA178" s="110">
        <f>IF(BM178="","",IFERROR(BM178*HSCEI!$B$25*HSCEI!$G$25/HSCEI!$B$3,""))</f>
        <v/>
      </c>
      <c r="EB178" s="110">
        <f>IF(BN178="","",IFERROR(BN178*HSCEI!$B$25*HSCEI!$G$25/HSCEI!$B$3,""))</f>
        <v/>
      </c>
      <c r="EC178" s="110">
        <f>IF(BO178="","",IFERROR(BO178*HSCEI!$B$25*HSCEI!$G$25/HSCEI!$B$3,""))</f>
        <v/>
      </c>
      <c r="EE178" s="39">
        <f>IF(N('Dvd Calendar'!$E$1759)=0,"",IF(('Dvd Calendar'!$E$1759&gt;=GRID_FROM)*('Dvd Calendar'!$E$1759&lt;=GRID_TO)*((('Dvd Calendar'!$E$1759&lt;=VAL_DATE)+(COUNTIF('Dvd Calendar'!$E$1766:$AR$1766,'Dvd Calendar'!$E$1759)=0))&gt;0)=0,"",'Dvd Calendar'!$E$1759*1000000000+ISNUMBER('Dvd Calendar'!$E$1762)*100000000+('Dvd Calendar'!$E$1764=SPECIAL_LBL)*10000000+(N('Dvd Calendar'!$E$1758)&gt;0)*(N('Dvd Calendar'!$E$1758)&lt;=VAL_SERIAL)*1000000+19*1000+1))</f>
        <v/>
      </c>
      <c r="EF178" s="39">
        <f>IF(N('Dvd Calendar'!$F$1759)=0,"",IF(('Dvd Calendar'!$F$1759&gt;=GRID_FROM)*('Dvd Calendar'!$F$1759&lt;=GRID_TO)*((('Dvd Calendar'!$F$1759&lt;=VAL_DATE)+(COUNTIF('Dvd Calendar'!$E$1766:$AR$1766,'Dvd Calendar'!$F$1759)=0))&gt;0)=0,"",'Dvd Calendar'!$F$1759*1000000000+ISNUMBER('Dvd Calendar'!$F$1762)*100000000+('Dvd Calendar'!$F$1764=SPECIAL_LBL)*10000000+(N('Dvd Calendar'!$F$1758)&gt;0)*(N('Dvd Calendar'!$F$1758)&lt;=VAL_SERIAL)*1000000+19*1000+2))</f>
        <v/>
      </c>
      <c r="EG178" s="39">
        <f>IF(N('Dvd Calendar'!$G$1759)=0,"",IF(('Dvd Calendar'!$G$1759&gt;=GRID_FROM)*('Dvd Calendar'!$G$1759&lt;=GRID_TO)*((('Dvd Calendar'!$G$1759&lt;=VAL_DATE)+(COUNTIF('Dvd Calendar'!$E$1766:$AR$1766,'Dvd Calendar'!$G$1759)=0))&gt;0)=0,"",'Dvd Calendar'!$G$1759*1000000000+ISNUMBER('Dvd Calendar'!$G$1762)*100000000+('Dvd Calendar'!$G$1764=SPECIAL_LBL)*10000000+(N('Dvd Calendar'!$G$1758)&gt;0)*(N('Dvd Calendar'!$G$1758)&lt;=VAL_SERIAL)*1000000+19*1000+3))</f>
        <v/>
      </c>
      <c r="EH178" s="39">
        <f>IF(N('Dvd Calendar'!$H$1759)=0,"",IF(('Dvd Calendar'!$H$1759&gt;=GRID_FROM)*('Dvd Calendar'!$H$1759&lt;=GRID_TO)*((('Dvd Calendar'!$H$1759&lt;=VAL_DATE)+(COUNTIF('Dvd Calendar'!$E$1766:$AR$1766,'Dvd Calendar'!$H$1759)=0))&gt;0)=0,"",'Dvd Calendar'!$H$1759*1000000000+ISNUMBER('Dvd Calendar'!$H$1762)*100000000+('Dvd Calendar'!$H$1764=SPECIAL_LBL)*10000000+(N('Dvd Calendar'!$H$1758)&gt;0)*(N('Dvd Calendar'!$H$1758)&lt;=VAL_SERIAL)*1000000+19*1000+4))</f>
        <v/>
      </c>
      <c r="EI178" s="39">
        <f>IF(N('Dvd Calendar'!$I$1759)=0,"",IF(('Dvd Calendar'!$I$1759&gt;=GRID_FROM)*('Dvd Calendar'!$I$1759&lt;=GRID_TO)*((('Dvd Calendar'!$I$1759&lt;=VAL_DATE)+(COUNTIF('Dvd Calendar'!$E$1766:$AR$1766,'Dvd Calendar'!$I$1759)=0))&gt;0)=0,"",'Dvd Calendar'!$I$1759*1000000000+ISNUMBER('Dvd Calendar'!$I$1762)*100000000+('Dvd Calendar'!$I$1764=SPECIAL_LBL)*10000000+(N('Dvd Calendar'!$I$1758)&gt;0)*(N('Dvd Calendar'!$I$1758)&lt;=VAL_SERIAL)*1000000+19*1000+5))</f>
        <v/>
      </c>
      <c r="EJ178" s="39">
        <f>IF(N('Dvd Calendar'!$J$1759)=0,"",IF(('Dvd Calendar'!$J$1759&gt;=GRID_FROM)*('Dvd Calendar'!$J$1759&lt;=GRID_TO)*((('Dvd Calendar'!$J$1759&lt;=VAL_DATE)+(COUNTIF('Dvd Calendar'!$E$1766:$AR$1766,'Dvd Calendar'!$J$1759)=0))&gt;0)=0,"",'Dvd Calendar'!$J$1759*1000000000+ISNUMBER('Dvd Calendar'!$J$1762)*100000000+('Dvd Calendar'!$J$1764=SPECIAL_LBL)*10000000+(N('Dvd Calendar'!$J$1758)&gt;0)*(N('Dvd Calendar'!$J$1758)&lt;=VAL_SERIAL)*1000000+19*1000+6))</f>
        <v/>
      </c>
      <c r="EK178" s="39">
        <f>IF(N('Dvd Calendar'!$K$1759)=0,"",IF(('Dvd Calendar'!$K$1759&gt;=GRID_FROM)*('Dvd Calendar'!$K$1759&lt;=GRID_TO)*((('Dvd Calendar'!$K$1759&lt;=VAL_DATE)+(COUNTIF('Dvd Calendar'!$E$1766:$AR$1766,'Dvd Calendar'!$K$1759)=0))&gt;0)=0,"",'Dvd Calendar'!$K$1759*1000000000+ISNUMBER('Dvd Calendar'!$K$1762)*100000000+('Dvd Calendar'!$K$1764=SPECIAL_LBL)*10000000+(N('Dvd Calendar'!$K$1758)&gt;0)*(N('Dvd Calendar'!$K$1758)&lt;=VAL_SERIAL)*1000000+19*1000+7))</f>
        <v/>
      </c>
      <c r="EL178" s="39">
        <f>IF(N('Dvd Calendar'!$L$1759)=0,"",IF(('Dvd Calendar'!$L$1759&gt;=GRID_FROM)*('Dvd Calendar'!$L$1759&lt;=GRID_TO)*((('Dvd Calendar'!$L$1759&lt;=VAL_DATE)+(COUNTIF('Dvd Calendar'!$E$1766:$AR$1766,'Dvd Calendar'!$L$1759)=0))&gt;0)=0,"",'Dvd Calendar'!$L$1759*1000000000+ISNUMBER('Dvd Calendar'!$L$1762)*100000000+('Dvd Calendar'!$L$1764=SPECIAL_LBL)*10000000+(N('Dvd Calendar'!$L$1758)&gt;0)*(N('Dvd Calendar'!$L$1758)&lt;=VAL_SERIAL)*1000000+19*1000+8))</f>
        <v/>
      </c>
      <c r="EM178" s="39">
        <f>IF(N('Dvd Calendar'!$M$1759)=0,"",IF(('Dvd Calendar'!$M$1759&gt;=GRID_FROM)*('Dvd Calendar'!$M$1759&lt;=GRID_TO)*((('Dvd Calendar'!$M$1759&lt;=VAL_DATE)+(COUNTIF('Dvd Calendar'!$E$1766:$AR$1766,'Dvd Calendar'!$M$1759)=0))&gt;0)=0,"",'Dvd Calendar'!$M$1759*1000000000+ISNUMBER('Dvd Calendar'!$M$1762)*100000000+('Dvd Calendar'!$M$1764=SPECIAL_LBL)*10000000+(N('Dvd Calendar'!$M$1758)&gt;0)*(N('Dvd Calendar'!$M$1758)&lt;=VAL_SERIAL)*1000000+19*1000+9))</f>
        <v/>
      </c>
      <c r="EN178" s="39">
        <f>IF(N('Dvd Calendar'!$N$1759)=0,"",IF(('Dvd Calendar'!$N$1759&gt;=GRID_FROM)*('Dvd Calendar'!$N$1759&lt;=GRID_TO)*((('Dvd Calendar'!$N$1759&lt;=VAL_DATE)+(COUNTIF('Dvd Calendar'!$E$1766:$AR$1766,'Dvd Calendar'!$N$1759)=0))&gt;0)=0,"",'Dvd Calendar'!$N$1759*1000000000+ISNUMBER('Dvd Calendar'!$N$1762)*100000000+('Dvd Calendar'!$N$1764=SPECIAL_LBL)*10000000+(N('Dvd Calendar'!$N$1758)&gt;0)*(N('Dvd Calendar'!$N$1758)&lt;=VAL_SERIAL)*1000000+19*1000+10))</f>
        <v/>
      </c>
      <c r="EO178" s="39">
        <f>IF(N('Dvd Calendar'!$O$1759)=0,"",IF(('Dvd Calendar'!$O$1759&gt;=GRID_FROM)*('Dvd Calendar'!$O$1759&lt;=GRID_TO)*((('Dvd Calendar'!$O$1759&lt;=VAL_DATE)+(COUNTIF('Dvd Calendar'!$E$1766:$AR$1766,'Dvd Calendar'!$O$1759)=0))&gt;0)=0,"",'Dvd Calendar'!$O$1759*1000000000+ISNUMBER('Dvd Calendar'!$O$1762)*100000000+('Dvd Calendar'!$O$1764=SPECIAL_LBL)*10000000+(N('Dvd Calendar'!$O$1758)&gt;0)*(N('Dvd Calendar'!$O$1758)&lt;=VAL_SERIAL)*1000000+19*1000+11))</f>
        <v/>
      </c>
      <c r="EP178" s="39">
        <f>IF(N('Dvd Calendar'!$P$1759)=0,"",IF(('Dvd Calendar'!$P$1759&gt;=GRID_FROM)*('Dvd Calendar'!$P$1759&lt;=GRID_TO)*((('Dvd Calendar'!$P$1759&lt;=VAL_DATE)+(COUNTIF('Dvd Calendar'!$E$1766:$AR$1766,'Dvd Calendar'!$P$1759)=0))&gt;0)=0,"",'Dvd Calendar'!$P$1759*1000000000+ISNUMBER('Dvd Calendar'!$P$1762)*100000000+('Dvd Calendar'!$P$1764=SPECIAL_LBL)*10000000+(N('Dvd Calendar'!$P$1758)&gt;0)*(N('Dvd Calendar'!$P$1758)&lt;=VAL_SERIAL)*1000000+19*1000+12))</f>
        <v/>
      </c>
      <c r="EQ178" s="39">
        <f>IF(N('Dvd Calendar'!$Q$1759)=0,"",IF(('Dvd Calendar'!$Q$1759&gt;=GRID_FROM)*('Dvd Calendar'!$Q$1759&lt;=GRID_TO)*((('Dvd Calendar'!$Q$1759&lt;=VAL_DATE)+(COUNTIF('Dvd Calendar'!$E$1766:$AR$1766,'Dvd Calendar'!$Q$1759)=0))&gt;0)=0,"",'Dvd Calendar'!$Q$1759*1000000000+ISNUMBER('Dvd Calendar'!$Q$1762)*100000000+('Dvd Calendar'!$Q$1764=SPECIAL_LBL)*10000000+(N('Dvd Calendar'!$Q$1758)&gt;0)*(N('Dvd Calendar'!$Q$1758)&lt;=VAL_SERIAL)*1000000+19*1000+13))</f>
        <v/>
      </c>
      <c r="ER178" s="39">
        <f>IF(N('Dvd Calendar'!$R$1759)=0,"",IF(('Dvd Calendar'!$R$1759&gt;=GRID_FROM)*('Dvd Calendar'!$R$1759&lt;=GRID_TO)*((('Dvd Calendar'!$R$1759&lt;=VAL_DATE)+(COUNTIF('Dvd Calendar'!$E$1766:$AR$1766,'Dvd Calendar'!$R$1759)=0))&gt;0)=0,"",'Dvd Calendar'!$R$1759*1000000000+ISNUMBER('Dvd Calendar'!$R$1762)*100000000+('Dvd Calendar'!$R$1764=SPECIAL_LBL)*10000000+(N('Dvd Calendar'!$R$1758)&gt;0)*(N('Dvd Calendar'!$R$1758)&lt;=VAL_SERIAL)*1000000+19*1000+14))</f>
        <v/>
      </c>
      <c r="ES178" s="39">
        <f>IF(N('Dvd Calendar'!$S$1759)=0,"",IF(('Dvd Calendar'!$S$1759&gt;=GRID_FROM)*('Dvd Calendar'!$S$1759&lt;=GRID_TO)*((('Dvd Calendar'!$S$1759&lt;=VAL_DATE)+(COUNTIF('Dvd Calendar'!$E$1766:$AR$1766,'Dvd Calendar'!$S$1759)=0))&gt;0)=0,"",'Dvd Calendar'!$S$1759*1000000000+ISNUMBER('Dvd Calendar'!$S$1762)*100000000+('Dvd Calendar'!$S$1764=SPECIAL_LBL)*10000000+(N('Dvd Calendar'!$S$1758)&gt;0)*(N('Dvd Calendar'!$S$1758)&lt;=VAL_SERIAL)*1000000+19*1000+15))</f>
        <v/>
      </c>
      <c r="ET178" s="39">
        <f>IF(N('Dvd Calendar'!$T$1759)=0,"",IF(('Dvd Calendar'!$T$1759&gt;=GRID_FROM)*('Dvd Calendar'!$T$1759&lt;=GRID_TO)*((('Dvd Calendar'!$T$1759&lt;=VAL_DATE)+(COUNTIF('Dvd Calendar'!$E$1766:$AR$1766,'Dvd Calendar'!$T$1759)=0))&gt;0)=0,"",'Dvd Calendar'!$T$1759*1000000000+ISNUMBER('Dvd Calendar'!$T$1762)*100000000+('Dvd Calendar'!$T$1764=SPECIAL_LBL)*10000000+(N('Dvd Calendar'!$T$1758)&gt;0)*(N('Dvd Calendar'!$T$1758)&lt;=VAL_SERIAL)*1000000+19*1000+16))</f>
        <v/>
      </c>
      <c r="EU178" s="39">
        <f>IF(N('Dvd Calendar'!$U$1759)=0,"",IF(('Dvd Calendar'!$U$1759&gt;=GRID_FROM)*('Dvd Calendar'!$U$1759&lt;=GRID_TO)*((('Dvd Calendar'!$U$1759&lt;=VAL_DATE)+(COUNTIF('Dvd Calendar'!$E$1766:$AR$1766,'Dvd Calendar'!$U$1759)=0))&gt;0)=0,"",'Dvd Calendar'!$U$1759*1000000000+ISNUMBER('Dvd Calendar'!$U$1762)*100000000+('Dvd Calendar'!$U$1764=SPECIAL_LBL)*10000000+(N('Dvd Calendar'!$U$1758)&gt;0)*(N('Dvd Calendar'!$U$1758)&lt;=VAL_SERIAL)*1000000+19*1000+17))</f>
        <v/>
      </c>
      <c r="EV178" s="39">
        <f>IF(N('Dvd Calendar'!$V$1759)=0,"",IF(('Dvd Calendar'!$V$1759&gt;=GRID_FROM)*('Dvd Calendar'!$V$1759&lt;=GRID_TO)*((('Dvd Calendar'!$V$1759&lt;=VAL_DATE)+(COUNTIF('Dvd Calendar'!$E$1766:$AR$1766,'Dvd Calendar'!$V$1759)=0))&gt;0)=0,"",'Dvd Calendar'!$V$1759*1000000000+ISNUMBER('Dvd Calendar'!$V$1762)*100000000+('Dvd Calendar'!$V$1764=SPECIAL_LBL)*10000000+(N('Dvd Calendar'!$V$1758)&gt;0)*(N('Dvd Calendar'!$V$1758)&lt;=VAL_SERIAL)*1000000+19*1000+18))</f>
        <v/>
      </c>
      <c r="EW178" s="39">
        <f>IF(N('Dvd Calendar'!$W$1759)=0,"",IF(('Dvd Calendar'!$W$1759&gt;=GRID_FROM)*('Dvd Calendar'!$W$1759&lt;=GRID_TO)*((('Dvd Calendar'!$W$1759&lt;=VAL_DATE)+(COUNTIF('Dvd Calendar'!$E$1766:$AR$1766,'Dvd Calendar'!$W$1759)=0))&gt;0)=0,"",'Dvd Calendar'!$W$1759*1000000000+ISNUMBER('Dvd Calendar'!$W$1762)*100000000+('Dvd Calendar'!$W$1764=SPECIAL_LBL)*10000000+(N('Dvd Calendar'!$W$1758)&gt;0)*(N('Dvd Calendar'!$W$1758)&lt;=VAL_SERIAL)*1000000+19*1000+19))</f>
        <v/>
      </c>
      <c r="EX178" s="39">
        <f>IF(N('Dvd Calendar'!$X$1759)=0,"",IF(('Dvd Calendar'!$X$1759&gt;=GRID_FROM)*('Dvd Calendar'!$X$1759&lt;=GRID_TO)*((('Dvd Calendar'!$X$1759&lt;=VAL_DATE)+(COUNTIF('Dvd Calendar'!$E$1766:$AR$1766,'Dvd Calendar'!$X$1759)=0))&gt;0)=0,"",'Dvd Calendar'!$X$1759*1000000000+ISNUMBER('Dvd Calendar'!$X$1762)*100000000+('Dvd Calendar'!$X$1764=SPECIAL_LBL)*10000000+(N('Dvd Calendar'!$X$1758)&gt;0)*(N('Dvd Calendar'!$X$1758)&lt;=VAL_SERIAL)*1000000+19*1000+20))</f>
        <v/>
      </c>
      <c r="EY178" s="39">
        <f>IF(N('Dvd Calendar'!$Y$1759)=0,"",IF(('Dvd Calendar'!$Y$1759&gt;=GRID_FROM)*('Dvd Calendar'!$Y$1759&lt;=GRID_TO)*((('Dvd Calendar'!$Y$1759&lt;=VAL_DATE)+(COUNTIF('Dvd Calendar'!$E$1766:$AR$1766,'Dvd Calendar'!$Y$1759)=0))&gt;0)=0,"",'Dvd Calendar'!$Y$1759*1000000000+ISNUMBER('Dvd Calendar'!$Y$1762)*100000000+('Dvd Calendar'!$Y$1764=SPECIAL_LBL)*10000000+(N('Dvd Calendar'!$Y$1758)&gt;0)*(N('Dvd Calendar'!$Y$1758)&lt;=VAL_SERIAL)*1000000+19*1000+21))</f>
        <v/>
      </c>
      <c r="EZ178" s="39">
        <f>IF(N('Dvd Calendar'!$Z$1759)=0,"",IF(('Dvd Calendar'!$Z$1759&gt;=GRID_FROM)*('Dvd Calendar'!$Z$1759&lt;=GRID_TO)*((('Dvd Calendar'!$Z$1759&lt;=VAL_DATE)+(COUNTIF('Dvd Calendar'!$E$1766:$AR$1766,'Dvd Calendar'!$Z$1759)=0))&gt;0)=0,"",'Dvd Calendar'!$Z$1759*1000000000+ISNUMBER('Dvd Calendar'!$Z$1762)*100000000+('Dvd Calendar'!$Z$1764=SPECIAL_LBL)*10000000+(N('Dvd Calendar'!$Z$1758)&gt;0)*(N('Dvd Calendar'!$Z$1758)&lt;=VAL_SERIAL)*1000000+19*1000+22))</f>
        <v/>
      </c>
      <c r="FA178" s="39">
        <f>IF(N('Dvd Calendar'!$AA$1759)=0,"",IF(('Dvd Calendar'!$AA$1759&gt;=GRID_FROM)*('Dvd Calendar'!$AA$1759&lt;=GRID_TO)*((('Dvd Calendar'!$AA$1759&lt;=VAL_DATE)+(COUNTIF('Dvd Calendar'!$E$1766:$AR$1766,'Dvd Calendar'!$AA$1759)=0))&gt;0)=0,"",'Dvd Calendar'!$AA$1759*1000000000+ISNUMBER('Dvd Calendar'!$AA$1762)*100000000+('Dvd Calendar'!$AA$1764=SPECIAL_LBL)*10000000+(N('Dvd Calendar'!$AA$1758)&gt;0)*(N('Dvd Calendar'!$AA$1758)&lt;=VAL_SERIAL)*1000000+19*1000+23))</f>
        <v/>
      </c>
      <c r="FB178" s="39">
        <f>IF(N('Dvd Calendar'!$AB$1759)=0,"",IF(('Dvd Calendar'!$AB$1759&gt;=GRID_FROM)*('Dvd Calendar'!$AB$1759&lt;=GRID_TO)*((('Dvd Calendar'!$AB$1759&lt;=VAL_DATE)+(COUNTIF('Dvd Calendar'!$E$1766:$AR$1766,'Dvd Calendar'!$AB$1759)=0))&gt;0)=0,"",'Dvd Calendar'!$AB$1759*1000000000+ISNUMBER('Dvd Calendar'!$AB$1762)*100000000+('Dvd Calendar'!$AB$1764=SPECIAL_LBL)*10000000+(N('Dvd Calendar'!$AB$1758)&gt;0)*(N('Dvd Calendar'!$AB$1758)&lt;=VAL_SERIAL)*1000000+19*1000+24))</f>
        <v/>
      </c>
      <c r="FC178" s="39">
        <f>IF(N('Dvd Calendar'!$AC$1759)=0,"",IF(('Dvd Calendar'!$AC$1759&gt;=GRID_FROM)*('Dvd Calendar'!$AC$1759&lt;=GRID_TO)*((('Dvd Calendar'!$AC$1759&lt;=VAL_DATE)+(COUNTIF('Dvd Calendar'!$E$1766:$AR$1766,'Dvd Calendar'!$AC$1759)=0))&gt;0)=0,"",'Dvd Calendar'!$AC$1759*1000000000+ISNUMBER('Dvd Calendar'!$AC$1762)*100000000+('Dvd Calendar'!$AC$1764=SPECIAL_LBL)*10000000+(N('Dvd Calendar'!$AC$1758)&gt;0)*(N('Dvd Calendar'!$AC$1758)&lt;=VAL_SERIAL)*1000000+19*1000+25))</f>
        <v/>
      </c>
      <c r="FD178" s="39">
        <f>IF(N('Dvd Calendar'!$AD$1759)=0,"",IF(('Dvd Calendar'!$AD$1759&gt;=GRID_FROM)*('Dvd Calendar'!$AD$1759&lt;=GRID_TO)*((('Dvd Calendar'!$AD$1759&lt;=VAL_DATE)+(COUNTIF('Dvd Calendar'!$E$1766:$AR$1766,'Dvd Calendar'!$AD$1759)=0))&gt;0)=0,"",'Dvd Calendar'!$AD$1759*1000000000+ISNUMBER('Dvd Calendar'!$AD$1762)*100000000+('Dvd Calendar'!$AD$1764=SPECIAL_LBL)*10000000+(N('Dvd Calendar'!$AD$1758)&gt;0)*(N('Dvd Calendar'!$AD$1758)&lt;=VAL_SERIAL)*1000000+19*1000+26))</f>
        <v/>
      </c>
      <c r="FE178" s="39">
        <f>IF(N('Dvd Calendar'!$AE$1759)=0,"",IF(('Dvd Calendar'!$AE$1759&gt;=GRID_FROM)*('Dvd Calendar'!$AE$1759&lt;=GRID_TO)*((('Dvd Calendar'!$AE$1759&lt;=VAL_DATE)+(COUNTIF('Dvd Calendar'!$E$1766:$AR$1766,'Dvd Calendar'!$AE$1759)=0))&gt;0)=0,"",'Dvd Calendar'!$AE$1759*1000000000+ISNUMBER('Dvd Calendar'!$AE$1762)*100000000+('Dvd Calendar'!$AE$1764=SPECIAL_LBL)*10000000+(N('Dvd Calendar'!$AE$1758)&gt;0)*(N('Dvd Calendar'!$AE$1758)&lt;=VAL_SERIAL)*1000000+19*1000+27))</f>
        <v/>
      </c>
      <c r="FF178" s="39">
        <f>IF(N('Dvd Calendar'!$AF$1759)=0,"",IF(('Dvd Calendar'!$AF$1759&gt;=GRID_FROM)*('Dvd Calendar'!$AF$1759&lt;=GRID_TO)*((('Dvd Calendar'!$AF$1759&lt;=VAL_DATE)+(COUNTIF('Dvd Calendar'!$E$1766:$AR$1766,'Dvd Calendar'!$AF$1759)=0))&gt;0)=0,"",'Dvd Calendar'!$AF$1759*1000000000+ISNUMBER('Dvd Calendar'!$AF$1762)*100000000+('Dvd Calendar'!$AF$1764=SPECIAL_LBL)*10000000+(N('Dvd Calendar'!$AF$1758)&gt;0)*(N('Dvd Calendar'!$AF$1758)&lt;=VAL_SERIAL)*1000000+19*1000+28))</f>
        <v/>
      </c>
      <c r="FG178" s="39">
        <f>IF(N('Dvd Calendar'!$AG$1759)=0,"",IF(('Dvd Calendar'!$AG$1759&gt;=GRID_FROM)*('Dvd Calendar'!$AG$1759&lt;=GRID_TO)*((('Dvd Calendar'!$AG$1759&lt;=VAL_DATE)+(COUNTIF('Dvd Calendar'!$E$1766:$AR$1766,'Dvd Calendar'!$AG$1759)=0))&gt;0)=0,"",'Dvd Calendar'!$AG$1759*1000000000+ISNUMBER('Dvd Calendar'!$AG$1762)*100000000+('Dvd Calendar'!$AG$1764=SPECIAL_LBL)*10000000+(N('Dvd Calendar'!$AG$1758)&gt;0)*(N('Dvd Calendar'!$AG$1758)&lt;=VAL_SERIAL)*1000000+19*1000+29))</f>
        <v/>
      </c>
      <c r="FH178" s="39">
        <f>IF(N('Dvd Calendar'!$AH$1759)=0,"",IF(('Dvd Calendar'!$AH$1759&gt;=GRID_FROM)*('Dvd Calendar'!$AH$1759&lt;=GRID_TO)*((('Dvd Calendar'!$AH$1759&lt;=VAL_DATE)+(COUNTIF('Dvd Calendar'!$E$1766:$AR$1766,'Dvd Calendar'!$AH$1759)=0))&gt;0)=0,"",'Dvd Calendar'!$AH$1759*1000000000+ISNUMBER('Dvd Calendar'!$AH$1762)*100000000+('Dvd Calendar'!$AH$1764=SPECIAL_LBL)*10000000+(N('Dvd Calendar'!$AH$1758)&gt;0)*(N('Dvd Calendar'!$AH$1758)&lt;=VAL_SERIAL)*1000000+19*1000+30))</f>
        <v/>
      </c>
      <c r="FI178" s="39">
        <f>IF(N('Dvd Calendar'!$AI$1759)=0,"",IF(('Dvd Calendar'!$AI$1759&gt;=GRID_FROM)*('Dvd Calendar'!$AI$1759&lt;=GRID_TO)*((('Dvd Calendar'!$AI$1759&lt;=VAL_DATE)+(COUNTIF('Dvd Calendar'!$E$1766:$AR$1766,'Dvd Calendar'!$AI$1759)=0))&gt;0)=0,"",'Dvd Calendar'!$AI$1759*1000000000+ISNUMBER('Dvd Calendar'!$AI$1762)*100000000+('Dvd Calendar'!$AI$1764=SPECIAL_LBL)*10000000+(N('Dvd Calendar'!$AI$1758)&gt;0)*(N('Dvd Calendar'!$AI$1758)&lt;=VAL_SERIAL)*1000000+19*1000+31))</f>
        <v/>
      </c>
      <c r="FJ178" s="39">
        <f>IF(N('Dvd Calendar'!$AJ$1759)=0,"",IF(('Dvd Calendar'!$AJ$1759&gt;=GRID_FROM)*('Dvd Calendar'!$AJ$1759&lt;=GRID_TO)*((('Dvd Calendar'!$AJ$1759&lt;=VAL_DATE)+(COUNTIF('Dvd Calendar'!$E$1766:$AR$1766,'Dvd Calendar'!$AJ$1759)=0))&gt;0)=0,"",'Dvd Calendar'!$AJ$1759*1000000000+ISNUMBER('Dvd Calendar'!$AJ$1762)*100000000+('Dvd Calendar'!$AJ$1764=SPECIAL_LBL)*10000000+(N('Dvd Calendar'!$AJ$1758)&gt;0)*(N('Dvd Calendar'!$AJ$1758)&lt;=VAL_SERIAL)*1000000+19*1000+32))</f>
        <v/>
      </c>
      <c r="FK178" s="39">
        <f>IF(N('Dvd Calendar'!$AK$1759)=0,"",IF(('Dvd Calendar'!$AK$1759&gt;=GRID_FROM)*('Dvd Calendar'!$AK$1759&lt;=GRID_TO)*((('Dvd Calendar'!$AK$1759&lt;=VAL_DATE)+(COUNTIF('Dvd Calendar'!$E$1766:$AR$1766,'Dvd Calendar'!$AK$1759)=0))&gt;0)=0,"",'Dvd Calendar'!$AK$1759*1000000000+ISNUMBER('Dvd Calendar'!$AK$1762)*100000000+('Dvd Calendar'!$AK$1764=SPECIAL_LBL)*10000000+(N('Dvd Calendar'!$AK$1758)&gt;0)*(N('Dvd Calendar'!$AK$1758)&lt;=VAL_SERIAL)*1000000+19*1000+33))</f>
        <v/>
      </c>
      <c r="FL178" s="39">
        <f>IF(N('Dvd Calendar'!$AL$1759)=0,"",IF(('Dvd Calendar'!$AL$1759&gt;=GRID_FROM)*('Dvd Calendar'!$AL$1759&lt;=GRID_TO)*((('Dvd Calendar'!$AL$1759&lt;=VAL_DATE)+(COUNTIF('Dvd Calendar'!$E$1766:$AR$1766,'Dvd Calendar'!$AL$1759)=0))&gt;0)=0,"",'Dvd Calendar'!$AL$1759*1000000000+ISNUMBER('Dvd Calendar'!$AL$1762)*100000000+('Dvd Calendar'!$AL$1764=SPECIAL_LBL)*10000000+(N('Dvd Calendar'!$AL$1758)&gt;0)*(N('Dvd Calendar'!$AL$1758)&lt;=VAL_SERIAL)*1000000+19*1000+34))</f>
        <v/>
      </c>
      <c r="FM178" s="39">
        <f>IF(N('Dvd Calendar'!$AM$1759)=0,"",IF(('Dvd Calendar'!$AM$1759&gt;=GRID_FROM)*('Dvd Calendar'!$AM$1759&lt;=GRID_TO)*((('Dvd Calendar'!$AM$1759&lt;=VAL_DATE)+(COUNTIF('Dvd Calendar'!$E$1766:$AR$1766,'Dvd Calendar'!$AM$1759)=0))&gt;0)=0,"",'Dvd Calendar'!$AM$1759*1000000000+ISNUMBER('Dvd Calendar'!$AM$1762)*100000000+('Dvd Calendar'!$AM$1764=SPECIAL_LBL)*10000000+(N('Dvd Calendar'!$AM$1758)&gt;0)*(N('Dvd Calendar'!$AM$1758)&lt;=VAL_SERIAL)*1000000+19*1000+35))</f>
        <v/>
      </c>
      <c r="FN178" s="39">
        <f>IF(N('Dvd Calendar'!$AN$1759)=0,"",IF(('Dvd Calendar'!$AN$1759&gt;=GRID_FROM)*('Dvd Calendar'!$AN$1759&lt;=GRID_TO)*((('Dvd Calendar'!$AN$1759&lt;=VAL_DATE)+(COUNTIF('Dvd Calendar'!$E$1766:$AR$1766,'Dvd Calendar'!$AN$1759)=0))&gt;0)=0,"",'Dvd Calendar'!$AN$1759*1000000000+ISNUMBER('Dvd Calendar'!$AN$1762)*100000000+('Dvd Calendar'!$AN$1764=SPECIAL_LBL)*10000000+(N('Dvd Calendar'!$AN$1758)&gt;0)*(N('Dvd Calendar'!$AN$1758)&lt;=VAL_SERIAL)*1000000+19*1000+36))</f>
        <v/>
      </c>
      <c r="FO178" s="39">
        <f>IF(N('Dvd Calendar'!$AO$1759)=0,"",IF(('Dvd Calendar'!$AO$1759&gt;=GRID_FROM)*('Dvd Calendar'!$AO$1759&lt;=GRID_TO)*((('Dvd Calendar'!$AO$1759&lt;=VAL_DATE)+(COUNTIF('Dvd Calendar'!$E$1766:$AR$1766,'Dvd Calendar'!$AO$1759)=0))&gt;0)=0,"",'Dvd Calendar'!$AO$1759*1000000000+ISNUMBER('Dvd Calendar'!$AO$1762)*100000000+('Dvd Calendar'!$AO$1764=SPECIAL_LBL)*10000000+(N('Dvd Calendar'!$AO$1758)&gt;0)*(N('Dvd Calendar'!$AO$1758)&lt;=VAL_SERIAL)*1000000+19*1000+37))</f>
        <v/>
      </c>
      <c r="FP178" s="39">
        <f>IF(N('Dvd Calendar'!$AP$1759)=0,"",IF(('Dvd Calendar'!$AP$1759&gt;=GRID_FROM)*('Dvd Calendar'!$AP$1759&lt;=GRID_TO)*((('Dvd Calendar'!$AP$1759&lt;=VAL_DATE)+(COUNTIF('Dvd Calendar'!$E$1766:$AR$1766,'Dvd Calendar'!$AP$1759)=0))&gt;0)=0,"",'Dvd Calendar'!$AP$1759*1000000000+ISNUMBER('Dvd Calendar'!$AP$1762)*100000000+('Dvd Calendar'!$AP$1764=SPECIAL_LBL)*10000000+(N('Dvd Calendar'!$AP$1758)&gt;0)*(N('Dvd Calendar'!$AP$1758)&lt;=VAL_SERIAL)*1000000+19*1000+38))</f>
        <v/>
      </c>
      <c r="FQ178" s="39">
        <f>IF(N('Dvd Calendar'!$AQ$1759)=0,"",IF(('Dvd Calendar'!$AQ$1759&gt;=GRID_FROM)*('Dvd Calendar'!$AQ$1759&lt;=GRID_TO)*((('Dvd Calendar'!$AQ$1759&lt;=VAL_DATE)+(COUNTIF('Dvd Calendar'!$E$1766:$AR$1766,'Dvd Calendar'!$AQ$1759)=0))&gt;0)=0,"",'Dvd Calendar'!$AQ$1759*1000000000+ISNUMBER('Dvd Calendar'!$AQ$1762)*100000000+('Dvd Calendar'!$AQ$1764=SPECIAL_LBL)*10000000+(N('Dvd Calendar'!$AQ$1758)&gt;0)*(N('Dvd Calendar'!$AQ$1758)&lt;=VAL_SERIAL)*1000000+19*1000+39))</f>
        <v/>
      </c>
      <c r="FR178" s="39">
        <f>IF(N('Dvd Calendar'!$AR$1759)=0,"",IF(('Dvd Calendar'!$AR$1759&gt;=GRID_FROM)*('Dvd Calendar'!$AR$1759&lt;=GRID_TO)*((('Dvd Calendar'!$AR$1759&lt;=VAL_DATE)+(COUNTIF('Dvd Calendar'!$E$1766:$AR$1766,'Dvd Calendar'!$AR$1759)=0))&gt;0)=0,"",'Dvd Calendar'!$AR$1759*1000000000+ISNUMBER('Dvd Calendar'!$AR$1762)*100000000+('Dvd Calendar'!$AR$1764=SPECIAL_LBL)*10000000+(N('Dvd Calendar'!$AR$1758)&gt;0)*(N('Dvd Calendar'!$AR$1758)&lt;=VAL_SERIAL)*1000000+19*1000+40))</f>
        <v/>
      </c>
      <c r="FS178" s="39">
        <f>IF(N('Dvd Calendar'!$E$1766)=0,"",IF(('Dvd Calendar'!$E$1766&gt;=GRID_FROM)*('Dvd Calendar'!$E$1766&lt;=GRID_TO)*('Dvd Calendar'!$E$1766&gt;VAL_DATE)=0,"",'Dvd Calendar'!$E$1766*1000000000+ISNUMBER('Dvd Calendar'!$E$1767)*100000000+0*10000000+(N('Dvd Calendar'!$E$1765)&gt;0)*(N('Dvd Calendar'!$E$1765)&lt;=VAL_SERIAL)*1000000+19*1000+41))</f>
        <v/>
      </c>
      <c r="FT178" s="39">
        <f>IF(N('Dvd Calendar'!$F$1766)=0,"",IF(('Dvd Calendar'!$F$1766&gt;=GRID_FROM)*('Dvd Calendar'!$F$1766&lt;=GRID_TO)*('Dvd Calendar'!$F$1766&gt;VAL_DATE)=0,"",'Dvd Calendar'!$F$1766*1000000000+ISNUMBER('Dvd Calendar'!$F$1767)*100000000+0*10000000+(N('Dvd Calendar'!$F$1765)&gt;0)*(N('Dvd Calendar'!$F$1765)&lt;=VAL_SERIAL)*1000000+19*1000+42))</f>
        <v/>
      </c>
      <c r="FU178" s="39">
        <f>IF(N('Dvd Calendar'!$G$1766)=0,"",IF(('Dvd Calendar'!$G$1766&gt;=GRID_FROM)*('Dvd Calendar'!$G$1766&lt;=GRID_TO)*('Dvd Calendar'!$G$1766&gt;VAL_DATE)=0,"",'Dvd Calendar'!$G$1766*1000000000+ISNUMBER('Dvd Calendar'!$G$1767)*100000000+0*10000000+(N('Dvd Calendar'!$G$1765)&gt;0)*(N('Dvd Calendar'!$G$1765)&lt;=VAL_SERIAL)*1000000+19*1000+43))</f>
        <v/>
      </c>
      <c r="FV178" s="39">
        <f>IF(N('Dvd Calendar'!$H$1766)=0,"",IF(('Dvd Calendar'!$H$1766&gt;=GRID_FROM)*('Dvd Calendar'!$H$1766&lt;=GRID_TO)*('Dvd Calendar'!$H$1766&gt;VAL_DATE)=0,"",'Dvd Calendar'!$H$1766*1000000000+ISNUMBER('Dvd Calendar'!$H$1767)*100000000+0*10000000+(N('Dvd Calendar'!$H$1765)&gt;0)*(N('Dvd Calendar'!$H$1765)&lt;=VAL_SERIAL)*1000000+19*1000+44))</f>
        <v/>
      </c>
      <c r="FW178" s="39">
        <f>IF(N('Dvd Calendar'!$I$1766)=0,"",IF(('Dvd Calendar'!$I$1766&gt;=GRID_FROM)*('Dvd Calendar'!$I$1766&lt;=GRID_TO)*('Dvd Calendar'!$I$1766&gt;VAL_DATE)=0,"",'Dvd Calendar'!$I$1766*1000000000+ISNUMBER('Dvd Calendar'!$I$1767)*100000000+0*10000000+(N('Dvd Calendar'!$I$1765)&gt;0)*(N('Dvd Calendar'!$I$1765)&lt;=VAL_SERIAL)*1000000+19*1000+45))</f>
        <v/>
      </c>
      <c r="FX178" s="39">
        <f>IF(N('Dvd Calendar'!$J$1766)=0,"",IF(('Dvd Calendar'!$J$1766&gt;=GRID_FROM)*('Dvd Calendar'!$J$1766&lt;=GRID_TO)*('Dvd Calendar'!$J$1766&gt;VAL_DATE)=0,"",'Dvd Calendar'!$J$1766*1000000000+ISNUMBER('Dvd Calendar'!$J$1767)*100000000+0*10000000+(N('Dvd Calendar'!$J$1765)&gt;0)*(N('Dvd Calendar'!$J$1765)&lt;=VAL_SERIAL)*1000000+19*1000+46))</f>
        <v/>
      </c>
      <c r="FY178" s="39">
        <f>IF(N('Dvd Calendar'!$K$1766)=0,"",IF(('Dvd Calendar'!$K$1766&gt;=GRID_FROM)*('Dvd Calendar'!$K$1766&lt;=GRID_TO)*('Dvd Calendar'!$K$1766&gt;VAL_DATE)=0,"",'Dvd Calendar'!$K$1766*1000000000+ISNUMBER('Dvd Calendar'!$K$1767)*100000000+0*10000000+(N('Dvd Calendar'!$K$1765)&gt;0)*(N('Dvd Calendar'!$K$1765)&lt;=VAL_SERIAL)*1000000+19*1000+47))</f>
        <v/>
      </c>
      <c r="FZ178" s="39">
        <f>IF(N('Dvd Calendar'!$L$1766)=0,"",IF(('Dvd Calendar'!$L$1766&gt;=GRID_FROM)*('Dvd Calendar'!$L$1766&lt;=GRID_TO)*('Dvd Calendar'!$L$1766&gt;VAL_DATE)=0,"",'Dvd Calendar'!$L$1766*1000000000+ISNUMBER('Dvd Calendar'!$L$1767)*100000000+0*10000000+(N('Dvd Calendar'!$L$1765)&gt;0)*(N('Dvd Calendar'!$L$1765)&lt;=VAL_SERIAL)*1000000+19*1000+48))</f>
        <v/>
      </c>
      <c r="GA178" s="39">
        <f>IF(N('Dvd Calendar'!$M$1766)=0,"",IF(('Dvd Calendar'!$M$1766&gt;=GRID_FROM)*('Dvd Calendar'!$M$1766&lt;=GRID_TO)*('Dvd Calendar'!$M$1766&gt;VAL_DATE)=0,"",'Dvd Calendar'!$M$1766*1000000000+ISNUMBER('Dvd Calendar'!$M$1767)*100000000+0*10000000+(N('Dvd Calendar'!$M$1765)&gt;0)*(N('Dvd Calendar'!$M$1765)&lt;=VAL_SERIAL)*1000000+19*1000+49))</f>
        <v/>
      </c>
      <c r="GB178" s="39">
        <f>IF(N('Dvd Calendar'!$N$1766)=0,"",IF(('Dvd Calendar'!$N$1766&gt;=GRID_FROM)*('Dvd Calendar'!$N$1766&lt;=GRID_TO)*('Dvd Calendar'!$N$1766&gt;VAL_DATE)=0,"",'Dvd Calendar'!$N$1766*1000000000+ISNUMBER('Dvd Calendar'!$N$1767)*100000000+0*10000000+(N('Dvd Calendar'!$N$1765)&gt;0)*(N('Dvd Calendar'!$N$1765)&lt;=VAL_SERIAL)*1000000+19*1000+50))</f>
        <v/>
      </c>
      <c r="GC178" s="39">
        <f>IF(N('Dvd Calendar'!$O$1766)=0,"",IF(('Dvd Calendar'!$O$1766&gt;=GRID_FROM)*('Dvd Calendar'!$O$1766&lt;=GRID_TO)*('Dvd Calendar'!$O$1766&gt;VAL_DATE)=0,"",'Dvd Calendar'!$O$1766*1000000000+ISNUMBER('Dvd Calendar'!$O$1767)*100000000+0*10000000+(N('Dvd Calendar'!$O$1765)&gt;0)*(N('Dvd Calendar'!$O$1765)&lt;=VAL_SERIAL)*1000000+19*1000+51))</f>
        <v/>
      </c>
      <c r="GD178" s="39">
        <f>IF(N('Dvd Calendar'!$P$1766)=0,"",IF(('Dvd Calendar'!$P$1766&gt;=GRID_FROM)*('Dvd Calendar'!$P$1766&lt;=GRID_TO)*('Dvd Calendar'!$P$1766&gt;VAL_DATE)=0,"",'Dvd Calendar'!$P$1766*1000000000+ISNUMBER('Dvd Calendar'!$P$1767)*100000000+0*10000000+(N('Dvd Calendar'!$P$1765)&gt;0)*(N('Dvd Calendar'!$P$1765)&lt;=VAL_SERIAL)*1000000+19*1000+52))</f>
        <v/>
      </c>
      <c r="GE178" s="39">
        <f>IF(N('Dvd Calendar'!$Q$1766)=0,"",IF(('Dvd Calendar'!$Q$1766&gt;=GRID_FROM)*('Dvd Calendar'!$Q$1766&lt;=GRID_TO)*('Dvd Calendar'!$Q$1766&gt;VAL_DATE)=0,"",'Dvd Calendar'!$Q$1766*1000000000+ISNUMBER('Dvd Calendar'!$Q$1767)*100000000+0*10000000+(N('Dvd Calendar'!$Q$1765)&gt;0)*(N('Dvd Calendar'!$Q$1765)&lt;=VAL_SERIAL)*1000000+19*1000+53))</f>
        <v/>
      </c>
      <c r="GF178" s="39">
        <f>IF(N('Dvd Calendar'!$R$1766)=0,"",IF(('Dvd Calendar'!$R$1766&gt;=GRID_FROM)*('Dvd Calendar'!$R$1766&lt;=GRID_TO)*('Dvd Calendar'!$R$1766&gt;VAL_DATE)=0,"",'Dvd Calendar'!$R$1766*1000000000+ISNUMBER('Dvd Calendar'!$R$1767)*100000000+0*10000000+(N('Dvd Calendar'!$R$1765)&gt;0)*(N('Dvd Calendar'!$R$1765)&lt;=VAL_SERIAL)*1000000+19*1000+54))</f>
        <v/>
      </c>
      <c r="GG178" s="39">
        <f>IF(N('Dvd Calendar'!$S$1766)=0,"",IF(('Dvd Calendar'!$S$1766&gt;=GRID_FROM)*('Dvd Calendar'!$S$1766&lt;=GRID_TO)*('Dvd Calendar'!$S$1766&gt;VAL_DATE)=0,"",'Dvd Calendar'!$S$1766*1000000000+ISNUMBER('Dvd Calendar'!$S$1767)*100000000+0*10000000+(N('Dvd Calendar'!$S$1765)&gt;0)*(N('Dvd Calendar'!$S$1765)&lt;=VAL_SERIAL)*1000000+19*1000+55))</f>
        <v/>
      </c>
      <c r="GH178" s="39">
        <f>IF(N('Dvd Calendar'!$T$1766)=0,"",IF(('Dvd Calendar'!$T$1766&gt;=GRID_FROM)*('Dvd Calendar'!$T$1766&lt;=GRID_TO)*('Dvd Calendar'!$T$1766&gt;VAL_DATE)=0,"",'Dvd Calendar'!$T$1766*1000000000+ISNUMBER('Dvd Calendar'!$T$1767)*100000000+0*10000000+(N('Dvd Calendar'!$T$1765)&gt;0)*(N('Dvd Calendar'!$T$1765)&lt;=VAL_SERIAL)*1000000+19*1000+56))</f>
        <v/>
      </c>
      <c r="GI178" s="39">
        <f>IF(N('Dvd Calendar'!$U$1766)=0,"",IF(('Dvd Calendar'!$U$1766&gt;=GRID_FROM)*('Dvd Calendar'!$U$1766&lt;=GRID_TO)*('Dvd Calendar'!$U$1766&gt;VAL_DATE)=0,"",'Dvd Calendar'!$U$1766*1000000000+ISNUMBER('Dvd Calendar'!$U$1767)*100000000+0*10000000+(N('Dvd Calendar'!$U$1765)&gt;0)*(N('Dvd Calendar'!$U$1765)&lt;=VAL_SERIAL)*1000000+19*1000+57))</f>
        <v/>
      </c>
      <c r="GJ178" s="39">
        <f>IF(N('Dvd Calendar'!$V$1766)=0,"",IF(('Dvd Calendar'!$V$1766&gt;=GRID_FROM)*('Dvd Calendar'!$V$1766&lt;=GRID_TO)*('Dvd Calendar'!$V$1766&gt;VAL_DATE)=0,"",'Dvd Calendar'!$V$1766*1000000000+ISNUMBER('Dvd Calendar'!$V$1767)*100000000+0*10000000+(N('Dvd Calendar'!$V$1765)&gt;0)*(N('Dvd Calendar'!$V$1765)&lt;=VAL_SERIAL)*1000000+19*1000+58))</f>
        <v/>
      </c>
      <c r="GK178" s="39">
        <f>IF(N('Dvd Calendar'!$W$1766)=0,"",IF(('Dvd Calendar'!$W$1766&gt;=GRID_FROM)*('Dvd Calendar'!$W$1766&lt;=GRID_TO)*('Dvd Calendar'!$W$1766&gt;VAL_DATE)=0,"",'Dvd Calendar'!$W$1766*1000000000+ISNUMBER('Dvd Calendar'!$W$1767)*100000000+0*10000000+(N('Dvd Calendar'!$W$1765)&gt;0)*(N('Dvd Calendar'!$W$1765)&lt;=VAL_SERIAL)*1000000+19*1000+59))</f>
        <v/>
      </c>
      <c r="GL178" s="39">
        <f>IF(N('Dvd Calendar'!$X$1766)=0,"",IF(('Dvd Calendar'!$X$1766&gt;=GRID_FROM)*('Dvd Calendar'!$X$1766&lt;=GRID_TO)*('Dvd Calendar'!$X$1766&gt;VAL_DATE)=0,"",'Dvd Calendar'!$X$1766*1000000000+ISNUMBER('Dvd Calendar'!$X$1767)*100000000+0*10000000+(N('Dvd Calendar'!$X$1765)&gt;0)*(N('Dvd Calendar'!$X$1765)&lt;=VAL_SERIAL)*1000000+19*1000+60))</f>
        <v/>
      </c>
      <c r="GM178" s="39">
        <f>IF(N('Dvd Calendar'!$Y$1766)=0,"",IF(('Dvd Calendar'!$Y$1766&gt;=GRID_FROM)*('Dvd Calendar'!$Y$1766&lt;=GRID_TO)*('Dvd Calendar'!$Y$1766&gt;VAL_DATE)=0,"",'Dvd Calendar'!$Y$1766*1000000000+ISNUMBER('Dvd Calendar'!$Y$1767)*100000000+0*10000000+(N('Dvd Calendar'!$Y$1765)&gt;0)*(N('Dvd Calendar'!$Y$1765)&lt;=VAL_SERIAL)*1000000+19*1000+61))</f>
        <v/>
      </c>
      <c r="GN178" s="39">
        <f>IF(N('Dvd Calendar'!$Z$1766)=0,"",IF(('Dvd Calendar'!$Z$1766&gt;=GRID_FROM)*('Dvd Calendar'!$Z$1766&lt;=GRID_TO)*('Dvd Calendar'!$Z$1766&gt;VAL_DATE)=0,"",'Dvd Calendar'!$Z$1766*1000000000+ISNUMBER('Dvd Calendar'!$Z$1767)*100000000+0*10000000+(N('Dvd Calendar'!$Z$1765)&gt;0)*(N('Dvd Calendar'!$Z$1765)&lt;=VAL_SERIAL)*1000000+19*1000+62))</f>
        <v/>
      </c>
      <c r="GO178" s="39">
        <f>IF(N('Dvd Calendar'!$AA$1766)=0,"",IF(('Dvd Calendar'!$AA$1766&gt;=GRID_FROM)*('Dvd Calendar'!$AA$1766&lt;=GRID_TO)*('Dvd Calendar'!$AA$1766&gt;VAL_DATE)=0,"",'Dvd Calendar'!$AA$1766*1000000000+ISNUMBER('Dvd Calendar'!$AA$1767)*100000000+0*10000000+(N('Dvd Calendar'!$AA$1765)&gt;0)*(N('Dvd Calendar'!$AA$1765)&lt;=VAL_SERIAL)*1000000+19*1000+63))</f>
        <v/>
      </c>
      <c r="GP178" s="39">
        <f>IF(N('Dvd Calendar'!$AB$1766)=0,"",IF(('Dvd Calendar'!$AB$1766&gt;=GRID_FROM)*('Dvd Calendar'!$AB$1766&lt;=GRID_TO)*('Dvd Calendar'!$AB$1766&gt;VAL_DATE)=0,"",'Dvd Calendar'!$AB$1766*1000000000+ISNUMBER('Dvd Calendar'!$AB$1767)*100000000+0*10000000+(N('Dvd Calendar'!$AB$1765)&gt;0)*(N('Dvd Calendar'!$AB$1765)&lt;=VAL_SERIAL)*1000000+19*1000+64))</f>
        <v/>
      </c>
      <c r="GQ178" s="39">
        <f>IF(N('Dvd Calendar'!$AC$1766)=0,"",IF(('Dvd Calendar'!$AC$1766&gt;=GRID_FROM)*('Dvd Calendar'!$AC$1766&lt;=GRID_TO)*('Dvd Calendar'!$AC$1766&gt;VAL_DATE)=0,"",'Dvd Calendar'!$AC$1766*1000000000+ISNUMBER('Dvd Calendar'!$AC$1767)*100000000+0*10000000+(N('Dvd Calendar'!$AC$1765)&gt;0)*(N('Dvd Calendar'!$AC$1765)&lt;=VAL_SERIAL)*1000000+19*1000+65))</f>
        <v/>
      </c>
    </row>
    <row r="179">
      <c r="B179" s="2">
        <f>IF(HSCEI!$C$26="","",HSCEI!$C$26)</f>
        <v/>
      </c>
      <c r="C179" s="110">
        <f>IF(EE179="","",IF(ISNUMBER('Dvd Calendar'!$E$1773)=FALSE,"",IF((('Dvd Calendar'!$E$1775=TYPE1)*(TYPE1&lt;&gt;"")+('Dvd Calendar'!$E$1775=TYPE2)*(TYPE2&lt;&gt;"")+('Dvd Calendar'!$E$1775=TYPE3)*(TYPE3&lt;&gt;"")+('Dvd Calendar'!$E$1775=TYPE4)*(TYPE4&lt;&gt;"")+('Dvd Calendar'!$E$1775=SPECIAL_LBL)*(INC_SPECIALS="Y"))=0,"",'Dvd Calendar'!$E$1773)))</f>
        <v/>
      </c>
      <c r="D179" s="110">
        <f>IF(EF179="","",IF(ISNUMBER('Dvd Calendar'!$F$1773)=FALSE,"",IF((('Dvd Calendar'!$F$1775=TYPE1)*(TYPE1&lt;&gt;"")+('Dvd Calendar'!$F$1775=TYPE2)*(TYPE2&lt;&gt;"")+('Dvd Calendar'!$F$1775=TYPE3)*(TYPE3&lt;&gt;"")+('Dvd Calendar'!$F$1775=TYPE4)*(TYPE4&lt;&gt;"")+('Dvd Calendar'!$F$1775=SPECIAL_LBL)*(INC_SPECIALS="Y"))=0,"",'Dvd Calendar'!$F$1773)))</f>
        <v/>
      </c>
      <c r="E179" s="110">
        <f>IF(EG179="","",IF(ISNUMBER('Dvd Calendar'!$G$1773)=FALSE,"",IF((('Dvd Calendar'!$G$1775=TYPE1)*(TYPE1&lt;&gt;"")+('Dvd Calendar'!$G$1775=TYPE2)*(TYPE2&lt;&gt;"")+('Dvd Calendar'!$G$1775=TYPE3)*(TYPE3&lt;&gt;"")+('Dvd Calendar'!$G$1775=TYPE4)*(TYPE4&lt;&gt;"")+('Dvd Calendar'!$G$1775=SPECIAL_LBL)*(INC_SPECIALS="Y"))=0,"",'Dvd Calendar'!$G$1773)))</f>
        <v/>
      </c>
      <c r="F179" s="110">
        <f>IF(EH179="","",IF(ISNUMBER('Dvd Calendar'!$H$1773)=FALSE,"",IF((('Dvd Calendar'!$H$1775=TYPE1)*(TYPE1&lt;&gt;"")+('Dvd Calendar'!$H$1775=TYPE2)*(TYPE2&lt;&gt;"")+('Dvd Calendar'!$H$1775=TYPE3)*(TYPE3&lt;&gt;"")+('Dvd Calendar'!$H$1775=TYPE4)*(TYPE4&lt;&gt;"")+('Dvd Calendar'!$H$1775=SPECIAL_LBL)*(INC_SPECIALS="Y"))=0,"",'Dvd Calendar'!$H$1773)))</f>
        <v/>
      </c>
      <c r="G179" s="110">
        <f>IF(EI179="","",IF(ISNUMBER('Dvd Calendar'!$I$1773)=FALSE,"",IF((('Dvd Calendar'!$I$1775=TYPE1)*(TYPE1&lt;&gt;"")+('Dvd Calendar'!$I$1775=TYPE2)*(TYPE2&lt;&gt;"")+('Dvd Calendar'!$I$1775=TYPE3)*(TYPE3&lt;&gt;"")+('Dvd Calendar'!$I$1775=TYPE4)*(TYPE4&lt;&gt;"")+('Dvd Calendar'!$I$1775=SPECIAL_LBL)*(INC_SPECIALS="Y"))=0,"",'Dvd Calendar'!$I$1773)))</f>
        <v/>
      </c>
      <c r="H179" s="110">
        <f>IF(EJ179="","",IF(ISNUMBER('Dvd Calendar'!$J$1773)=FALSE,"",IF((('Dvd Calendar'!$J$1775=TYPE1)*(TYPE1&lt;&gt;"")+('Dvd Calendar'!$J$1775=TYPE2)*(TYPE2&lt;&gt;"")+('Dvd Calendar'!$J$1775=TYPE3)*(TYPE3&lt;&gt;"")+('Dvd Calendar'!$J$1775=TYPE4)*(TYPE4&lt;&gt;"")+('Dvd Calendar'!$J$1775=SPECIAL_LBL)*(INC_SPECIALS="Y"))=0,"",'Dvd Calendar'!$J$1773)))</f>
        <v/>
      </c>
      <c r="I179" s="110">
        <f>IF(EK179="","",IF(ISNUMBER('Dvd Calendar'!$K$1773)=FALSE,"",IF((('Dvd Calendar'!$K$1775=TYPE1)*(TYPE1&lt;&gt;"")+('Dvd Calendar'!$K$1775=TYPE2)*(TYPE2&lt;&gt;"")+('Dvd Calendar'!$K$1775=TYPE3)*(TYPE3&lt;&gt;"")+('Dvd Calendar'!$K$1775=TYPE4)*(TYPE4&lt;&gt;"")+('Dvd Calendar'!$K$1775=SPECIAL_LBL)*(INC_SPECIALS="Y"))=0,"",'Dvd Calendar'!$K$1773)))</f>
        <v/>
      </c>
      <c r="J179" s="110">
        <f>IF(EL179="","",IF(ISNUMBER('Dvd Calendar'!$L$1773)=FALSE,"",IF((('Dvd Calendar'!$L$1775=TYPE1)*(TYPE1&lt;&gt;"")+('Dvd Calendar'!$L$1775=TYPE2)*(TYPE2&lt;&gt;"")+('Dvd Calendar'!$L$1775=TYPE3)*(TYPE3&lt;&gt;"")+('Dvd Calendar'!$L$1775=TYPE4)*(TYPE4&lt;&gt;"")+('Dvd Calendar'!$L$1775=SPECIAL_LBL)*(INC_SPECIALS="Y"))=0,"",'Dvd Calendar'!$L$1773)))</f>
        <v/>
      </c>
      <c r="K179" s="110">
        <f>IF(EM179="","",IF(ISNUMBER('Dvd Calendar'!$M$1773)=FALSE,"",IF((('Dvd Calendar'!$M$1775=TYPE1)*(TYPE1&lt;&gt;"")+('Dvd Calendar'!$M$1775=TYPE2)*(TYPE2&lt;&gt;"")+('Dvd Calendar'!$M$1775=TYPE3)*(TYPE3&lt;&gt;"")+('Dvd Calendar'!$M$1775=TYPE4)*(TYPE4&lt;&gt;"")+('Dvd Calendar'!$M$1775=SPECIAL_LBL)*(INC_SPECIALS="Y"))=0,"",'Dvd Calendar'!$M$1773)))</f>
        <v/>
      </c>
      <c r="L179" s="110">
        <f>IF(EN179="","",IF(ISNUMBER('Dvd Calendar'!$N$1773)=FALSE,"",IF((('Dvd Calendar'!$N$1775=TYPE1)*(TYPE1&lt;&gt;"")+('Dvd Calendar'!$N$1775=TYPE2)*(TYPE2&lt;&gt;"")+('Dvd Calendar'!$N$1775=TYPE3)*(TYPE3&lt;&gt;"")+('Dvd Calendar'!$N$1775=TYPE4)*(TYPE4&lt;&gt;"")+('Dvd Calendar'!$N$1775=SPECIAL_LBL)*(INC_SPECIALS="Y"))=0,"",'Dvd Calendar'!$N$1773)))</f>
        <v/>
      </c>
      <c r="M179" s="110">
        <f>IF(EO179="","",IF(ISNUMBER('Dvd Calendar'!$O$1773)=FALSE,"",IF((('Dvd Calendar'!$O$1775=TYPE1)*(TYPE1&lt;&gt;"")+('Dvd Calendar'!$O$1775=TYPE2)*(TYPE2&lt;&gt;"")+('Dvd Calendar'!$O$1775=TYPE3)*(TYPE3&lt;&gt;"")+('Dvd Calendar'!$O$1775=TYPE4)*(TYPE4&lt;&gt;"")+('Dvd Calendar'!$O$1775=SPECIAL_LBL)*(INC_SPECIALS="Y"))=0,"",'Dvd Calendar'!$O$1773)))</f>
        <v/>
      </c>
      <c r="N179" s="110">
        <f>IF(EP179="","",IF(ISNUMBER('Dvd Calendar'!$P$1773)=FALSE,"",IF((('Dvd Calendar'!$P$1775=TYPE1)*(TYPE1&lt;&gt;"")+('Dvd Calendar'!$P$1775=TYPE2)*(TYPE2&lt;&gt;"")+('Dvd Calendar'!$P$1775=TYPE3)*(TYPE3&lt;&gt;"")+('Dvd Calendar'!$P$1775=TYPE4)*(TYPE4&lt;&gt;"")+('Dvd Calendar'!$P$1775=SPECIAL_LBL)*(INC_SPECIALS="Y"))=0,"",'Dvd Calendar'!$P$1773)))</f>
        <v/>
      </c>
      <c r="O179" s="110">
        <f>IF(EQ179="","",IF(ISNUMBER('Dvd Calendar'!$Q$1773)=FALSE,"",IF((('Dvd Calendar'!$Q$1775=TYPE1)*(TYPE1&lt;&gt;"")+('Dvd Calendar'!$Q$1775=TYPE2)*(TYPE2&lt;&gt;"")+('Dvd Calendar'!$Q$1775=TYPE3)*(TYPE3&lt;&gt;"")+('Dvd Calendar'!$Q$1775=TYPE4)*(TYPE4&lt;&gt;"")+('Dvd Calendar'!$Q$1775=SPECIAL_LBL)*(INC_SPECIALS="Y"))=0,"",'Dvd Calendar'!$Q$1773)))</f>
        <v/>
      </c>
      <c r="P179" s="110">
        <f>IF(ER179="","",IF(ISNUMBER('Dvd Calendar'!$R$1773)=FALSE,"",IF((('Dvd Calendar'!$R$1775=TYPE1)*(TYPE1&lt;&gt;"")+('Dvd Calendar'!$R$1775=TYPE2)*(TYPE2&lt;&gt;"")+('Dvd Calendar'!$R$1775=TYPE3)*(TYPE3&lt;&gt;"")+('Dvd Calendar'!$R$1775=TYPE4)*(TYPE4&lt;&gt;"")+('Dvd Calendar'!$R$1775=SPECIAL_LBL)*(INC_SPECIALS="Y"))=0,"",'Dvd Calendar'!$R$1773)))</f>
        <v/>
      </c>
      <c r="Q179" s="110">
        <f>IF(ES179="","",IF(ISNUMBER('Dvd Calendar'!$S$1773)=FALSE,"",IF((('Dvd Calendar'!$S$1775=TYPE1)*(TYPE1&lt;&gt;"")+('Dvd Calendar'!$S$1775=TYPE2)*(TYPE2&lt;&gt;"")+('Dvd Calendar'!$S$1775=TYPE3)*(TYPE3&lt;&gt;"")+('Dvd Calendar'!$S$1775=TYPE4)*(TYPE4&lt;&gt;"")+('Dvd Calendar'!$S$1775=SPECIAL_LBL)*(INC_SPECIALS="Y"))=0,"",'Dvd Calendar'!$S$1773)))</f>
        <v/>
      </c>
      <c r="R179" s="110">
        <f>IF(ET179="","",IF(ISNUMBER('Dvd Calendar'!$T$1773)=FALSE,"",IF((('Dvd Calendar'!$T$1775=TYPE1)*(TYPE1&lt;&gt;"")+('Dvd Calendar'!$T$1775=TYPE2)*(TYPE2&lt;&gt;"")+('Dvd Calendar'!$T$1775=TYPE3)*(TYPE3&lt;&gt;"")+('Dvd Calendar'!$T$1775=TYPE4)*(TYPE4&lt;&gt;"")+('Dvd Calendar'!$T$1775=SPECIAL_LBL)*(INC_SPECIALS="Y"))=0,"",'Dvd Calendar'!$T$1773)))</f>
        <v/>
      </c>
      <c r="S179" s="110">
        <f>IF(EU179="","",IF(ISNUMBER('Dvd Calendar'!$U$1773)=FALSE,"",IF((('Dvd Calendar'!$U$1775=TYPE1)*(TYPE1&lt;&gt;"")+('Dvd Calendar'!$U$1775=TYPE2)*(TYPE2&lt;&gt;"")+('Dvd Calendar'!$U$1775=TYPE3)*(TYPE3&lt;&gt;"")+('Dvd Calendar'!$U$1775=TYPE4)*(TYPE4&lt;&gt;"")+('Dvd Calendar'!$U$1775=SPECIAL_LBL)*(INC_SPECIALS="Y"))=0,"",'Dvd Calendar'!$U$1773)))</f>
        <v/>
      </c>
      <c r="T179" s="110">
        <f>IF(EV179="","",IF(ISNUMBER('Dvd Calendar'!$V$1773)=FALSE,"",IF((('Dvd Calendar'!$V$1775=TYPE1)*(TYPE1&lt;&gt;"")+('Dvd Calendar'!$V$1775=TYPE2)*(TYPE2&lt;&gt;"")+('Dvd Calendar'!$V$1775=TYPE3)*(TYPE3&lt;&gt;"")+('Dvd Calendar'!$V$1775=TYPE4)*(TYPE4&lt;&gt;"")+('Dvd Calendar'!$V$1775=SPECIAL_LBL)*(INC_SPECIALS="Y"))=0,"",'Dvd Calendar'!$V$1773)))</f>
        <v/>
      </c>
      <c r="U179" s="110">
        <f>IF(EW179="","",IF(ISNUMBER('Dvd Calendar'!$W$1773)=FALSE,"",IF((('Dvd Calendar'!$W$1775=TYPE1)*(TYPE1&lt;&gt;"")+('Dvd Calendar'!$W$1775=TYPE2)*(TYPE2&lt;&gt;"")+('Dvd Calendar'!$W$1775=TYPE3)*(TYPE3&lt;&gt;"")+('Dvd Calendar'!$W$1775=TYPE4)*(TYPE4&lt;&gt;"")+('Dvd Calendar'!$W$1775=SPECIAL_LBL)*(INC_SPECIALS="Y"))=0,"",'Dvd Calendar'!$W$1773)))</f>
        <v/>
      </c>
      <c r="V179" s="110">
        <f>IF(EX179="","",IF(ISNUMBER('Dvd Calendar'!$X$1773)=FALSE,"",IF((('Dvd Calendar'!$X$1775=TYPE1)*(TYPE1&lt;&gt;"")+('Dvd Calendar'!$X$1775=TYPE2)*(TYPE2&lt;&gt;"")+('Dvd Calendar'!$X$1775=TYPE3)*(TYPE3&lt;&gt;"")+('Dvd Calendar'!$X$1775=TYPE4)*(TYPE4&lt;&gt;"")+('Dvd Calendar'!$X$1775=SPECIAL_LBL)*(INC_SPECIALS="Y"))=0,"",'Dvd Calendar'!$X$1773)))</f>
        <v/>
      </c>
      <c r="W179" s="110">
        <f>IF(EY179="","",IF(ISNUMBER('Dvd Calendar'!$Y$1773)=FALSE,"",IF((('Dvd Calendar'!$Y$1775=TYPE1)*(TYPE1&lt;&gt;"")+('Dvd Calendar'!$Y$1775=TYPE2)*(TYPE2&lt;&gt;"")+('Dvd Calendar'!$Y$1775=TYPE3)*(TYPE3&lt;&gt;"")+('Dvd Calendar'!$Y$1775=TYPE4)*(TYPE4&lt;&gt;"")+('Dvd Calendar'!$Y$1775=SPECIAL_LBL)*(INC_SPECIALS="Y"))=0,"",'Dvd Calendar'!$Y$1773)))</f>
        <v/>
      </c>
      <c r="X179" s="110">
        <f>IF(EZ179="","",IF(ISNUMBER('Dvd Calendar'!$Z$1773)=FALSE,"",IF((('Dvd Calendar'!$Z$1775=TYPE1)*(TYPE1&lt;&gt;"")+('Dvd Calendar'!$Z$1775=TYPE2)*(TYPE2&lt;&gt;"")+('Dvd Calendar'!$Z$1775=TYPE3)*(TYPE3&lt;&gt;"")+('Dvd Calendar'!$Z$1775=TYPE4)*(TYPE4&lt;&gt;"")+('Dvd Calendar'!$Z$1775=SPECIAL_LBL)*(INC_SPECIALS="Y"))=0,"",'Dvd Calendar'!$Z$1773)))</f>
        <v/>
      </c>
      <c r="Y179" s="110">
        <f>IF(FA179="","",IF(ISNUMBER('Dvd Calendar'!$AA$1773)=FALSE,"",IF((('Dvd Calendar'!$AA$1775=TYPE1)*(TYPE1&lt;&gt;"")+('Dvd Calendar'!$AA$1775=TYPE2)*(TYPE2&lt;&gt;"")+('Dvd Calendar'!$AA$1775=TYPE3)*(TYPE3&lt;&gt;"")+('Dvd Calendar'!$AA$1775=TYPE4)*(TYPE4&lt;&gt;"")+('Dvd Calendar'!$AA$1775=SPECIAL_LBL)*(INC_SPECIALS="Y"))=0,"",'Dvd Calendar'!$AA$1773)))</f>
        <v/>
      </c>
      <c r="Z179" s="110">
        <f>IF(FB179="","",IF(ISNUMBER('Dvd Calendar'!$AB$1773)=FALSE,"",IF((('Dvd Calendar'!$AB$1775=TYPE1)*(TYPE1&lt;&gt;"")+('Dvd Calendar'!$AB$1775=TYPE2)*(TYPE2&lt;&gt;"")+('Dvd Calendar'!$AB$1775=TYPE3)*(TYPE3&lt;&gt;"")+('Dvd Calendar'!$AB$1775=TYPE4)*(TYPE4&lt;&gt;"")+('Dvd Calendar'!$AB$1775=SPECIAL_LBL)*(INC_SPECIALS="Y"))=0,"",'Dvd Calendar'!$AB$1773)))</f>
        <v/>
      </c>
      <c r="AA179" s="110">
        <f>IF(FC179="","",IF(ISNUMBER('Dvd Calendar'!$AC$1773)=FALSE,"",IF((('Dvd Calendar'!$AC$1775=TYPE1)*(TYPE1&lt;&gt;"")+('Dvd Calendar'!$AC$1775=TYPE2)*(TYPE2&lt;&gt;"")+('Dvd Calendar'!$AC$1775=TYPE3)*(TYPE3&lt;&gt;"")+('Dvd Calendar'!$AC$1775=TYPE4)*(TYPE4&lt;&gt;"")+('Dvd Calendar'!$AC$1775=SPECIAL_LBL)*(INC_SPECIALS="Y"))=0,"",'Dvd Calendar'!$AC$1773)))</f>
        <v/>
      </c>
      <c r="AB179" s="110">
        <f>IF(FD179="","",IF(ISNUMBER('Dvd Calendar'!$AD$1773)=FALSE,"",IF((('Dvd Calendar'!$AD$1775=TYPE1)*(TYPE1&lt;&gt;"")+('Dvd Calendar'!$AD$1775=TYPE2)*(TYPE2&lt;&gt;"")+('Dvd Calendar'!$AD$1775=TYPE3)*(TYPE3&lt;&gt;"")+('Dvd Calendar'!$AD$1775=TYPE4)*(TYPE4&lt;&gt;"")+('Dvd Calendar'!$AD$1775=SPECIAL_LBL)*(INC_SPECIALS="Y"))=0,"",'Dvd Calendar'!$AD$1773)))</f>
        <v/>
      </c>
      <c r="AC179" s="110">
        <f>IF(FE179="","",IF(ISNUMBER('Dvd Calendar'!$AE$1773)=FALSE,"",IF((('Dvd Calendar'!$AE$1775=TYPE1)*(TYPE1&lt;&gt;"")+('Dvd Calendar'!$AE$1775=TYPE2)*(TYPE2&lt;&gt;"")+('Dvd Calendar'!$AE$1775=TYPE3)*(TYPE3&lt;&gt;"")+('Dvd Calendar'!$AE$1775=TYPE4)*(TYPE4&lt;&gt;"")+('Dvd Calendar'!$AE$1775=SPECIAL_LBL)*(INC_SPECIALS="Y"))=0,"",'Dvd Calendar'!$AE$1773)))</f>
        <v/>
      </c>
      <c r="AD179" s="110">
        <f>IF(FF179="","",IF(ISNUMBER('Dvd Calendar'!$AF$1773)=FALSE,"",IF((('Dvd Calendar'!$AF$1775=TYPE1)*(TYPE1&lt;&gt;"")+('Dvd Calendar'!$AF$1775=TYPE2)*(TYPE2&lt;&gt;"")+('Dvd Calendar'!$AF$1775=TYPE3)*(TYPE3&lt;&gt;"")+('Dvd Calendar'!$AF$1775=TYPE4)*(TYPE4&lt;&gt;"")+('Dvd Calendar'!$AF$1775=SPECIAL_LBL)*(INC_SPECIALS="Y"))=0,"",'Dvd Calendar'!$AF$1773)))</f>
        <v/>
      </c>
      <c r="AE179" s="110">
        <f>IF(FG179="","",IF(ISNUMBER('Dvd Calendar'!$AG$1773)=FALSE,"",IF((('Dvd Calendar'!$AG$1775=TYPE1)*(TYPE1&lt;&gt;"")+('Dvd Calendar'!$AG$1775=TYPE2)*(TYPE2&lt;&gt;"")+('Dvd Calendar'!$AG$1775=TYPE3)*(TYPE3&lt;&gt;"")+('Dvd Calendar'!$AG$1775=TYPE4)*(TYPE4&lt;&gt;"")+('Dvd Calendar'!$AG$1775=SPECIAL_LBL)*(INC_SPECIALS="Y"))=0,"",'Dvd Calendar'!$AG$1773)))</f>
        <v/>
      </c>
      <c r="AF179" s="110">
        <f>IF(FH179="","",IF(ISNUMBER('Dvd Calendar'!$AH$1773)=FALSE,"",IF((('Dvd Calendar'!$AH$1775=TYPE1)*(TYPE1&lt;&gt;"")+('Dvd Calendar'!$AH$1775=TYPE2)*(TYPE2&lt;&gt;"")+('Dvd Calendar'!$AH$1775=TYPE3)*(TYPE3&lt;&gt;"")+('Dvd Calendar'!$AH$1775=TYPE4)*(TYPE4&lt;&gt;"")+('Dvd Calendar'!$AH$1775=SPECIAL_LBL)*(INC_SPECIALS="Y"))=0,"",'Dvd Calendar'!$AH$1773)))</f>
        <v/>
      </c>
      <c r="AG179" s="110">
        <f>IF(FI179="","",IF(ISNUMBER('Dvd Calendar'!$AI$1773)=FALSE,"",IF((('Dvd Calendar'!$AI$1775=TYPE1)*(TYPE1&lt;&gt;"")+('Dvd Calendar'!$AI$1775=TYPE2)*(TYPE2&lt;&gt;"")+('Dvd Calendar'!$AI$1775=TYPE3)*(TYPE3&lt;&gt;"")+('Dvd Calendar'!$AI$1775=TYPE4)*(TYPE4&lt;&gt;"")+('Dvd Calendar'!$AI$1775=SPECIAL_LBL)*(INC_SPECIALS="Y"))=0,"",'Dvd Calendar'!$AI$1773)))</f>
        <v/>
      </c>
      <c r="AH179" s="110">
        <f>IF(FJ179="","",IF(ISNUMBER('Dvd Calendar'!$AJ$1773)=FALSE,"",IF((('Dvd Calendar'!$AJ$1775=TYPE1)*(TYPE1&lt;&gt;"")+('Dvd Calendar'!$AJ$1775=TYPE2)*(TYPE2&lt;&gt;"")+('Dvd Calendar'!$AJ$1775=TYPE3)*(TYPE3&lt;&gt;"")+('Dvd Calendar'!$AJ$1775=TYPE4)*(TYPE4&lt;&gt;"")+('Dvd Calendar'!$AJ$1775=SPECIAL_LBL)*(INC_SPECIALS="Y"))=0,"",'Dvd Calendar'!$AJ$1773)))</f>
        <v/>
      </c>
      <c r="AI179" s="110">
        <f>IF(FK179="","",IF(ISNUMBER('Dvd Calendar'!$AK$1773)=FALSE,"",IF((('Dvd Calendar'!$AK$1775=TYPE1)*(TYPE1&lt;&gt;"")+('Dvd Calendar'!$AK$1775=TYPE2)*(TYPE2&lt;&gt;"")+('Dvd Calendar'!$AK$1775=TYPE3)*(TYPE3&lt;&gt;"")+('Dvd Calendar'!$AK$1775=TYPE4)*(TYPE4&lt;&gt;"")+('Dvd Calendar'!$AK$1775=SPECIAL_LBL)*(INC_SPECIALS="Y"))=0,"",'Dvd Calendar'!$AK$1773)))</f>
        <v/>
      </c>
      <c r="AJ179" s="110">
        <f>IF(FL179="","",IF(ISNUMBER('Dvd Calendar'!$AL$1773)=FALSE,"",IF((('Dvd Calendar'!$AL$1775=TYPE1)*(TYPE1&lt;&gt;"")+('Dvd Calendar'!$AL$1775=TYPE2)*(TYPE2&lt;&gt;"")+('Dvd Calendar'!$AL$1775=TYPE3)*(TYPE3&lt;&gt;"")+('Dvd Calendar'!$AL$1775=TYPE4)*(TYPE4&lt;&gt;"")+('Dvd Calendar'!$AL$1775=SPECIAL_LBL)*(INC_SPECIALS="Y"))=0,"",'Dvd Calendar'!$AL$1773)))</f>
        <v/>
      </c>
      <c r="AK179" s="110">
        <f>IF(FM179="","",IF(ISNUMBER('Dvd Calendar'!$AM$1773)=FALSE,"",IF((('Dvd Calendar'!$AM$1775=TYPE1)*(TYPE1&lt;&gt;"")+('Dvd Calendar'!$AM$1775=TYPE2)*(TYPE2&lt;&gt;"")+('Dvd Calendar'!$AM$1775=TYPE3)*(TYPE3&lt;&gt;"")+('Dvd Calendar'!$AM$1775=TYPE4)*(TYPE4&lt;&gt;"")+('Dvd Calendar'!$AM$1775=SPECIAL_LBL)*(INC_SPECIALS="Y"))=0,"",'Dvd Calendar'!$AM$1773)))</f>
        <v/>
      </c>
      <c r="AL179" s="110">
        <f>IF(FN179="","",IF(ISNUMBER('Dvd Calendar'!$AN$1773)=FALSE,"",IF((('Dvd Calendar'!$AN$1775=TYPE1)*(TYPE1&lt;&gt;"")+('Dvd Calendar'!$AN$1775=TYPE2)*(TYPE2&lt;&gt;"")+('Dvd Calendar'!$AN$1775=TYPE3)*(TYPE3&lt;&gt;"")+('Dvd Calendar'!$AN$1775=TYPE4)*(TYPE4&lt;&gt;"")+('Dvd Calendar'!$AN$1775=SPECIAL_LBL)*(INC_SPECIALS="Y"))=0,"",'Dvd Calendar'!$AN$1773)))</f>
        <v/>
      </c>
      <c r="AM179" s="110">
        <f>IF(FO179="","",IF(ISNUMBER('Dvd Calendar'!$AO$1773)=FALSE,"",IF((('Dvd Calendar'!$AO$1775=TYPE1)*(TYPE1&lt;&gt;"")+('Dvd Calendar'!$AO$1775=TYPE2)*(TYPE2&lt;&gt;"")+('Dvd Calendar'!$AO$1775=TYPE3)*(TYPE3&lt;&gt;"")+('Dvd Calendar'!$AO$1775=TYPE4)*(TYPE4&lt;&gt;"")+('Dvd Calendar'!$AO$1775=SPECIAL_LBL)*(INC_SPECIALS="Y"))=0,"",'Dvd Calendar'!$AO$1773)))</f>
        <v/>
      </c>
      <c r="AN179" s="110">
        <f>IF(FP179="","",IF(ISNUMBER('Dvd Calendar'!$AP$1773)=FALSE,"",IF((('Dvd Calendar'!$AP$1775=TYPE1)*(TYPE1&lt;&gt;"")+('Dvd Calendar'!$AP$1775=TYPE2)*(TYPE2&lt;&gt;"")+('Dvd Calendar'!$AP$1775=TYPE3)*(TYPE3&lt;&gt;"")+('Dvd Calendar'!$AP$1775=TYPE4)*(TYPE4&lt;&gt;"")+('Dvd Calendar'!$AP$1775=SPECIAL_LBL)*(INC_SPECIALS="Y"))=0,"",'Dvd Calendar'!$AP$1773)))</f>
        <v/>
      </c>
      <c r="AO179" s="110">
        <f>IF(FQ179="","",IF(ISNUMBER('Dvd Calendar'!$AQ$1773)=FALSE,"",IF((('Dvd Calendar'!$AQ$1775=TYPE1)*(TYPE1&lt;&gt;"")+('Dvd Calendar'!$AQ$1775=TYPE2)*(TYPE2&lt;&gt;"")+('Dvd Calendar'!$AQ$1775=TYPE3)*(TYPE3&lt;&gt;"")+('Dvd Calendar'!$AQ$1775=TYPE4)*(TYPE4&lt;&gt;"")+('Dvd Calendar'!$AQ$1775=SPECIAL_LBL)*(INC_SPECIALS="Y"))=0,"",'Dvd Calendar'!$AQ$1773)))</f>
        <v/>
      </c>
      <c r="AP179" s="110">
        <f>IF(FR179="","",IF(ISNUMBER('Dvd Calendar'!$AR$1773)=FALSE,"",IF((('Dvd Calendar'!$AR$1775=TYPE1)*(TYPE1&lt;&gt;"")+('Dvd Calendar'!$AR$1775=TYPE2)*(TYPE2&lt;&gt;"")+('Dvd Calendar'!$AR$1775=TYPE3)*(TYPE3&lt;&gt;"")+('Dvd Calendar'!$AR$1775=TYPE4)*(TYPE4&lt;&gt;"")+('Dvd Calendar'!$AR$1775=SPECIAL_LBL)*(INC_SPECIALS="Y"))=0,"",'Dvd Calendar'!$AR$1773)))</f>
        <v/>
      </c>
      <c r="AQ179" s="110">
        <f>IF(FS179="","",IF(ISNUMBER('Dvd Calendar'!$E$1778)=FALSE,"",'Dvd Calendar'!$E$1778))</f>
        <v/>
      </c>
      <c r="AR179" s="110">
        <f>IF(FT179="","",IF(ISNUMBER('Dvd Calendar'!$F$1778)=FALSE,"",'Dvd Calendar'!$F$1778))</f>
        <v/>
      </c>
      <c r="AS179" s="110">
        <f>IF(FU179="","",IF(ISNUMBER('Dvd Calendar'!$G$1778)=FALSE,"",'Dvd Calendar'!$G$1778))</f>
        <v/>
      </c>
      <c r="AT179" s="110">
        <f>IF(FV179="","",IF(ISNUMBER('Dvd Calendar'!$H$1778)=FALSE,"",'Dvd Calendar'!$H$1778))</f>
        <v/>
      </c>
      <c r="AU179" s="110">
        <f>IF(FW179="","",IF(ISNUMBER('Dvd Calendar'!$I$1778)=FALSE,"",'Dvd Calendar'!$I$1778))</f>
        <v/>
      </c>
      <c r="AV179" s="110">
        <f>IF(FX179="","",IF(ISNUMBER('Dvd Calendar'!$J$1778)=FALSE,"",'Dvd Calendar'!$J$1778))</f>
        <v/>
      </c>
      <c r="AW179" s="110">
        <f>IF(FY179="","",IF(ISNUMBER('Dvd Calendar'!$K$1778)=FALSE,"",'Dvd Calendar'!$K$1778))</f>
        <v/>
      </c>
      <c r="AX179" s="110">
        <f>IF(FZ179="","",IF(ISNUMBER('Dvd Calendar'!$L$1778)=FALSE,"",'Dvd Calendar'!$L$1778))</f>
        <v/>
      </c>
      <c r="AY179" s="110">
        <f>IF(GA179="","",IF(ISNUMBER('Dvd Calendar'!$M$1778)=FALSE,"",'Dvd Calendar'!$M$1778))</f>
        <v/>
      </c>
      <c r="AZ179" s="110">
        <f>IF(GB179="","",IF(ISNUMBER('Dvd Calendar'!$N$1778)=FALSE,"",'Dvd Calendar'!$N$1778))</f>
        <v/>
      </c>
      <c r="BA179" s="110">
        <f>IF(GC179="","",IF(ISNUMBER('Dvd Calendar'!$O$1778)=FALSE,"",'Dvd Calendar'!$O$1778))</f>
        <v/>
      </c>
      <c r="BB179" s="110">
        <f>IF(GD179="","",IF(ISNUMBER('Dvd Calendar'!$P$1778)=FALSE,"",'Dvd Calendar'!$P$1778))</f>
        <v/>
      </c>
      <c r="BC179" s="110">
        <f>IF(GE179="","",IF(ISNUMBER('Dvd Calendar'!$Q$1778)=FALSE,"",'Dvd Calendar'!$Q$1778))</f>
        <v/>
      </c>
      <c r="BD179" s="110">
        <f>IF(GF179="","",IF(ISNUMBER('Dvd Calendar'!$R$1778)=FALSE,"",'Dvd Calendar'!$R$1778))</f>
        <v/>
      </c>
      <c r="BE179" s="110">
        <f>IF(GG179="","",IF(ISNUMBER('Dvd Calendar'!$S$1778)=FALSE,"",'Dvd Calendar'!$S$1778))</f>
        <v/>
      </c>
      <c r="BF179" s="110">
        <f>IF(GH179="","",IF(ISNUMBER('Dvd Calendar'!$T$1778)=FALSE,"",'Dvd Calendar'!$T$1778))</f>
        <v/>
      </c>
      <c r="BG179" s="110">
        <f>IF(GI179="","",IF(ISNUMBER('Dvd Calendar'!$U$1778)=FALSE,"",'Dvd Calendar'!$U$1778))</f>
        <v/>
      </c>
      <c r="BH179" s="110">
        <f>IF(GJ179="","",IF(ISNUMBER('Dvd Calendar'!$V$1778)=FALSE,"",'Dvd Calendar'!$V$1778))</f>
        <v/>
      </c>
      <c r="BI179" s="110">
        <f>IF(GK179="","",IF(ISNUMBER('Dvd Calendar'!$W$1778)=FALSE,"",'Dvd Calendar'!$W$1778))</f>
        <v/>
      </c>
      <c r="BJ179" s="110">
        <f>IF(GL179="","",IF(ISNUMBER('Dvd Calendar'!$X$1778)=FALSE,"",'Dvd Calendar'!$X$1778))</f>
        <v/>
      </c>
      <c r="BK179" s="110">
        <f>IF(GM179="","",IF(ISNUMBER('Dvd Calendar'!$Y$1778)=FALSE,"",'Dvd Calendar'!$Y$1778))</f>
        <v/>
      </c>
      <c r="BL179" s="110">
        <f>IF(GN179="","",IF(ISNUMBER('Dvd Calendar'!$Z$1778)=FALSE,"",'Dvd Calendar'!$Z$1778))</f>
        <v/>
      </c>
      <c r="BM179" s="110">
        <f>IF(GO179="","",IF(ISNUMBER('Dvd Calendar'!$AA$1778)=FALSE,"",'Dvd Calendar'!$AA$1778))</f>
        <v/>
      </c>
      <c r="BN179" s="110">
        <f>IF(GP179="","",IF(ISNUMBER('Dvd Calendar'!$AB$1778)=FALSE,"",'Dvd Calendar'!$AB$1778))</f>
        <v/>
      </c>
      <c r="BO179" s="110">
        <f>IF(GQ179="","",IF(ISNUMBER('Dvd Calendar'!$AC$1778)=FALSE,"",'Dvd Calendar'!$AC$1778))</f>
        <v/>
      </c>
      <c r="BQ179" s="110">
        <f>IF(C179="","",IFERROR(C179*HSCEI!$B$26*HSCEI!$G$26/HSCEI!$B$3,""))</f>
        <v/>
      </c>
      <c r="BR179" s="110">
        <f>IF(D179="","",IFERROR(D179*HSCEI!$B$26*HSCEI!$G$26/HSCEI!$B$3,""))</f>
        <v/>
      </c>
      <c r="BS179" s="110">
        <f>IF(E179="","",IFERROR(E179*HSCEI!$B$26*HSCEI!$G$26/HSCEI!$B$3,""))</f>
        <v/>
      </c>
      <c r="BT179" s="110">
        <f>IF(F179="","",IFERROR(F179*HSCEI!$B$26*HSCEI!$G$26/HSCEI!$B$3,""))</f>
        <v/>
      </c>
      <c r="BU179" s="110">
        <f>IF(G179="","",IFERROR(G179*HSCEI!$B$26*HSCEI!$G$26/HSCEI!$B$3,""))</f>
        <v/>
      </c>
      <c r="BV179" s="110">
        <f>IF(H179="","",IFERROR(H179*HSCEI!$B$26*HSCEI!$G$26/HSCEI!$B$3,""))</f>
        <v/>
      </c>
      <c r="BW179" s="110">
        <f>IF(I179="","",IFERROR(I179*HSCEI!$B$26*HSCEI!$G$26/HSCEI!$B$3,""))</f>
        <v/>
      </c>
      <c r="BX179" s="110">
        <f>IF(J179="","",IFERROR(J179*HSCEI!$B$26*HSCEI!$G$26/HSCEI!$B$3,""))</f>
        <v/>
      </c>
      <c r="BY179" s="110">
        <f>IF(K179="","",IFERROR(K179*HSCEI!$B$26*HSCEI!$G$26/HSCEI!$B$3,""))</f>
        <v/>
      </c>
      <c r="BZ179" s="110">
        <f>IF(L179="","",IFERROR(L179*HSCEI!$B$26*HSCEI!$G$26/HSCEI!$B$3,""))</f>
        <v/>
      </c>
      <c r="CA179" s="110">
        <f>IF(M179="","",IFERROR(M179*HSCEI!$B$26*HSCEI!$G$26/HSCEI!$B$3,""))</f>
        <v/>
      </c>
      <c r="CB179" s="110">
        <f>IF(N179="","",IFERROR(N179*HSCEI!$B$26*HSCEI!$G$26/HSCEI!$B$3,""))</f>
        <v/>
      </c>
      <c r="CC179" s="110">
        <f>IF(O179="","",IFERROR(O179*HSCEI!$B$26*HSCEI!$G$26/HSCEI!$B$3,""))</f>
        <v/>
      </c>
      <c r="CD179" s="110">
        <f>IF(P179="","",IFERROR(P179*HSCEI!$B$26*HSCEI!$G$26/HSCEI!$B$3,""))</f>
        <v/>
      </c>
      <c r="CE179" s="110">
        <f>IF(Q179="","",IFERROR(Q179*HSCEI!$B$26*HSCEI!$G$26/HSCEI!$B$3,""))</f>
        <v/>
      </c>
      <c r="CF179" s="110">
        <f>IF(R179="","",IFERROR(R179*HSCEI!$B$26*HSCEI!$G$26/HSCEI!$B$3,""))</f>
        <v/>
      </c>
      <c r="CG179" s="110">
        <f>IF(S179="","",IFERROR(S179*HSCEI!$B$26*HSCEI!$G$26/HSCEI!$B$3,""))</f>
        <v/>
      </c>
      <c r="CH179" s="110">
        <f>IF(T179="","",IFERROR(T179*HSCEI!$B$26*HSCEI!$G$26/HSCEI!$B$3,""))</f>
        <v/>
      </c>
      <c r="CI179" s="110">
        <f>IF(U179="","",IFERROR(U179*HSCEI!$B$26*HSCEI!$G$26/HSCEI!$B$3,""))</f>
        <v/>
      </c>
      <c r="CJ179" s="110">
        <f>IF(V179="","",IFERROR(V179*HSCEI!$B$26*HSCEI!$G$26/HSCEI!$B$3,""))</f>
        <v/>
      </c>
      <c r="CK179" s="110">
        <f>IF(W179="","",IFERROR(W179*HSCEI!$B$26*HSCEI!$G$26/HSCEI!$B$3,""))</f>
        <v/>
      </c>
      <c r="CL179" s="110">
        <f>IF(X179="","",IFERROR(X179*HSCEI!$B$26*HSCEI!$G$26/HSCEI!$B$3,""))</f>
        <v/>
      </c>
      <c r="CM179" s="110">
        <f>IF(Y179="","",IFERROR(Y179*HSCEI!$B$26*HSCEI!$G$26/HSCEI!$B$3,""))</f>
        <v/>
      </c>
      <c r="CN179" s="110">
        <f>IF(Z179="","",IFERROR(Z179*HSCEI!$B$26*HSCEI!$G$26/HSCEI!$B$3,""))</f>
        <v/>
      </c>
      <c r="CO179" s="110">
        <f>IF(AA179="","",IFERROR(AA179*HSCEI!$B$26*HSCEI!$G$26/HSCEI!$B$3,""))</f>
        <v/>
      </c>
      <c r="CP179" s="110">
        <f>IF(AB179="","",IFERROR(AB179*HSCEI!$B$26*HSCEI!$G$26/HSCEI!$B$3,""))</f>
        <v/>
      </c>
      <c r="CQ179" s="110">
        <f>IF(AC179="","",IFERROR(AC179*HSCEI!$B$26*HSCEI!$G$26/HSCEI!$B$3,""))</f>
        <v/>
      </c>
      <c r="CR179" s="110">
        <f>IF(AD179="","",IFERROR(AD179*HSCEI!$B$26*HSCEI!$G$26/HSCEI!$B$3,""))</f>
        <v/>
      </c>
      <c r="CS179" s="110">
        <f>IF(AE179="","",IFERROR(AE179*HSCEI!$B$26*HSCEI!$G$26/HSCEI!$B$3,""))</f>
        <v/>
      </c>
      <c r="CT179" s="110">
        <f>IF(AF179="","",IFERROR(AF179*HSCEI!$B$26*HSCEI!$G$26/HSCEI!$B$3,""))</f>
        <v/>
      </c>
      <c r="CU179" s="110">
        <f>IF(AG179="","",IFERROR(AG179*HSCEI!$B$26*HSCEI!$G$26/HSCEI!$B$3,""))</f>
        <v/>
      </c>
      <c r="CV179" s="110">
        <f>IF(AH179="","",IFERROR(AH179*HSCEI!$B$26*HSCEI!$G$26/HSCEI!$B$3,""))</f>
        <v/>
      </c>
      <c r="CW179" s="110">
        <f>IF(AI179="","",IFERROR(AI179*HSCEI!$B$26*HSCEI!$G$26/HSCEI!$B$3,""))</f>
        <v/>
      </c>
      <c r="CX179" s="110">
        <f>IF(AJ179="","",IFERROR(AJ179*HSCEI!$B$26*HSCEI!$G$26/HSCEI!$B$3,""))</f>
        <v/>
      </c>
      <c r="CY179" s="110">
        <f>IF(AK179="","",IFERROR(AK179*HSCEI!$B$26*HSCEI!$G$26/HSCEI!$B$3,""))</f>
        <v/>
      </c>
      <c r="CZ179" s="110">
        <f>IF(AL179="","",IFERROR(AL179*HSCEI!$B$26*HSCEI!$G$26/HSCEI!$B$3,""))</f>
        <v/>
      </c>
      <c r="DA179" s="110">
        <f>IF(AM179="","",IFERROR(AM179*HSCEI!$B$26*HSCEI!$G$26/HSCEI!$B$3,""))</f>
        <v/>
      </c>
      <c r="DB179" s="110">
        <f>IF(AN179="","",IFERROR(AN179*HSCEI!$B$26*HSCEI!$G$26/HSCEI!$B$3,""))</f>
        <v/>
      </c>
      <c r="DC179" s="110">
        <f>IF(AO179="","",IFERROR(AO179*HSCEI!$B$26*HSCEI!$G$26/HSCEI!$B$3,""))</f>
        <v/>
      </c>
      <c r="DD179" s="110">
        <f>IF(AP179="","",IFERROR(AP179*HSCEI!$B$26*HSCEI!$G$26/HSCEI!$B$3,""))</f>
        <v/>
      </c>
      <c r="DE179" s="110">
        <f>IF(AQ179="","",IFERROR(AQ179*HSCEI!$B$26*HSCEI!$G$26/HSCEI!$B$3,""))</f>
        <v/>
      </c>
      <c r="DF179" s="110">
        <f>IF(AR179="","",IFERROR(AR179*HSCEI!$B$26*HSCEI!$G$26/HSCEI!$B$3,""))</f>
        <v/>
      </c>
      <c r="DG179" s="110">
        <f>IF(AS179="","",IFERROR(AS179*HSCEI!$B$26*HSCEI!$G$26/HSCEI!$B$3,""))</f>
        <v/>
      </c>
      <c r="DH179" s="110">
        <f>IF(AT179="","",IFERROR(AT179*HSCEI!$B$26*HSCEI!$G$26/HSCEI!$B$3,""))</f>
        <v/>
      </c>
      <c r="DI179" s="110">
        <f>IF(AU179="","",IFERROR(AU179*HSCEI!$B$26*HSCEI!$G$26/HSCEI!$B$3,""))</f>
        <v/>
      </c>
      <c r="DJ179" s="110">
        <f>IF(AV179="","",IFERROR(AV179*HSCEI!$B$26*HSCEI!$G$26/HSCEI!$B$3,""))</f>
        <v/>
      </c>
      <c r="DK179" s="110">
        <f>IF(AW179="","",IFERROR(AW179*HSCEI!$B$26*HSCEI!$G$26/HSCEI!$B$3,""))</f>
        <v/>
      </c>
      <c r="DL179" s="110">
        <f>IF(AX179="","",IFERROR(AX179*HSCEI!$B$26*HSCEI!$G$26/HSCEI!$B$3,""))</f>
        <v/>
      </c>
      <c r="DM179" s="110">
        <f>IF(AY179="","",IFERROR(AY179*HSCEI!$B$26*HSCEI!$G$26/HSCEI!$B$3,""))</f>
        <v/>
      </c>
      <c r="DN179" s="110">
        <f>IF(AZ179="","",IFERROR(AZ179*HSCEI!$B$26*HSCEI!$G$26/HSCEI!$B$3,""))</f>
        <v/>
      </c>
      <c r="DO179" s="110">
        <f>IF(BA179="","",IFERROR(BA179*HSCEI!$B$26*HSCEI!$G$26/HSCEI!$B$3,""))</f>
        <v/>
      </c>
      <c r="DP179" s="110">
        <f>IF(BB179="","",IFERROR(BB179*HSCEI!$B$26*HSCEI!$G$26/HSCEI!$B$3,""))</f>
        <v/>
      </c>
      <c r="DQ179" s="110">
        <f>IF(BC179="","",IFERROR(BC179*HSCEI!$B$26*HSCEI!$G$26/HSCEI!$B$3,""))</f>
        <v/>
      </c>
      <c r="DR179" s="110">
        <f>IF(BD179="","",IFERROR(BD179*HSCEI!$B$26*HSCEI!$G$26/HSCEI!$B$3,""))</f>
        <v/>
      </c>
      <c r="DS179" s="110">
        <f>IF(BE179="","",IFERROR(BE179*HSCEI!$B$26*HSCEI!$G$26/HSCEI!$B$3,""))</f>
        <v/>
      </c>
      <c r="DT179" s="110">
        <f>IF(BF179="","",IFERROR(BF179*HSCEI!$B$26*HSCEI!$G$26/HSCEI!$B$3,""))</f>
        <v/>
      </c>
      <c r="DU179" s="110">
        <f>IF(BG179="","",IFERROR(BG179*HSCEI!$B$26*HSCEI!$G$26/HSCEI!$B$3,""))</f>
        <v/>
      </c>
      <c r="DV179" s="110">
        <f>IF(BH179="","",IFERROR(BH179*HSCEI!$B$26*HSCEI!$G$26/HSCEI!$B$3,""))</f>
        <v/>
      </c>
      <c r="DW179" s="110">
        <f>IF(BI179="","",IFERROR(BI179*HSCEI!$B$26*HSCEI!$G$26/HSCEI!$B$3,""))</f>
        <v/>
      </c>
      <c r="DX179" s="110">
        <f>IF(BJ179="","",IFERROR(BJ179*HSCEI!$B$26*HSCEI!$G$26/HSCEI!$B$3,""))</f>
        <v/>
      </c>
      <c r="DY179" s="110">
        <f>IF(BK179="","",IFERROR(BK179*HSCEI!$B$26*HSCEI!$G$26/HSCEI!$B$3,""))</f>
        <v/>
      </c>
      <c r="DZ179" s="110">
        <f>IF(BL179="","",IFERROR(BL179*HSCEI!$B$26*HSCEI!$G$26/HSCEI!$B$3,""))</f>
        <v/>
      </c>
      <c r="EA179" s="110">
        <f>IF(BM179="","",IFERROR(BM179*HSCEI!$B$26*HSCEI!$G$26/HSCEI!$B$3,""))</f>
        <v/>
      </c>
      <c r="EB179" s="110">
        <f>IF(BN179="","",IFERROR(BN179*HSCEI!$B$26*HSCEI!$G$26/HSCEI!$B$3,""))</f>
        <v/>
      </c>
      <c r="EC179" s="110">
        <f>IF(BO179="","",IFERROR(BO179*HSCEI!$B$26*HSCEI!$G$26/HSCEI!$B$3,""))</f>
        <v/>
      </c>
      <c r="EE179" s="39">
        <f>IF(N('Dvd Calendar'!$E$1770)=0,"",IF(('Dvd Calendar'!$E$1770&gt;=GRID_FROM)*('Dvd Calendar'!$E$1770&lt;=GRID_TO)*((('Dvd Calendar'!$E$1770&lt;=VAL_DATE)+(COUNTIF('Dvd Calendar'!$E$1777:$AR$1777,'Dvd Calendar'!$E$1770)=0))&gt;0)=0,"",'Dvd Calendar'!$E$1770*1000000000+ISNUMBER('Dvd Calendar'!$E$1773)*100000000+('Dvd Calendar'!$E$1775=SPECIAL_LBL)*10000000+(N('Dvd Calendar'!$E$1769)&gt;0)*(N('Dvd Calendar'!$E$1769)&lt;=VAL_SERIAL)*1000000+20*1000+1))</f>
        <v/>
      </c>
      <c r="EF179" s="39">
        <f>IF(N('Dvd Calendar'!$F$1770)=0,"",IF(('Dvd Calendar'!$F$1770&gt;=GRID_FROM)*('Dvd Calendar'!$F$1770&lt;=GRID_TO)*((('Dvd Calendar'!$F$1770&lt;=VAL_DATE)+(COUNTIF('Dvd Calendar'!$E$1777:$AR$1777,'Dvd Calendar'!$F$1770)=0))&gt;0)=0,"",'Dvd Calendar'!$F$1770*1000000000+ISNUMBER('Dvd Calendar'!$F$1773)*100000000+('Dvd Calendar'!$F$1775=SPECIAL_LBL)*10000000+(N('Dvd Calendar'!$F$1769)&gt;0)*(N('Dvd Calendar'!$F$1769)&lt;=VAL_SERIAL)*1000000+20*1000+2))</f>
        <v/>
      </c>
      <c r="EG179" s="39">
        <f>IF(N('Dvd Calendar'!$G$1770)=0,"",IF(('Dvd Calendar'!$G$1770&gt;=GRID_FROM)*('Dvd Calendar'!$G$1770&lt;=GRID_TO)*((('Dvd Calendar'!$G$1770&lt;=VAL_DATE)+(COUNTIF('Dvd Calendar'!$E$1777:$AR$1777,'Dvd Calendar'!$G$1770)=0))&gt;0)=0,"",'Dvd Calendar'!$G$1770*1000000000+ISNUMBER('Dvd Calendar'!$G$1773)*100000000+('Dvd Calendar'!$G$1775=SPECIAL_LBL)*10000000+(N('Dvd Calendar'!$G$1769)&gt;0)*(N('Dvd Calendar'!$G$1769)&lt;=VAL_SERIAL)*1000000+20*1000+3))</f>
        <v/>
      </c>
      <c r="EH179" s="39">
        <f>IF(N('Dvd Calendar'!$H$1770)=0,"",IF(('Dvd Calendar'!$H$1770&gt;=GRID_FROM)*('Dvd Calendar'!$H$1770&lt;=GRID_TO)*((('Dvd Calendar'!$H$1770&lt;=VAL_DATE)+(COUNTIF('Dvd Calendar'!$E$1777:$AR$1777,'Dvd Calendar'!$H$1770)=0))&gt;0)=0,"",'Dvd Calendar'!$H$1770*1000000000+ISNUMBER('Dvd Calendar'!$H$1773)*100000000+('Dvd Calendar'!$H$1775=SPECIAL_LBL)*10000000+(N('Dvd Calendar'!$H$1769)&gt;0)*(N('Dvd Calendar'!$H$1769)&lt;=VAL_SERIAL)*1000000+20*1000+4))</f>
        <v/>
      </c>
      <c r="EI179" s="39">
        <f>IF(N('Dvd Calendar'!$I$1770)=0,"",IF(('Dvd Calendar'!$I$1770&gt;=GRID_FROM)*('Dvd Calendar'!$I$1770&lt;=GRID_TO)*((('Dvd Calendar'!$I$1770&lt;=VAL_DATE)+(COUNTIF('Dvd Calendar'!$E$1777:$AR$1777,'Dvd Calendar'!$I$1770)=0))&gt;0)=0,"",'Dvd Calendar'!$I$1770*1000000000+ISNUMBER('Dvd Calendar'!$I$1773)*100000000+('Dvd Calendar'!$I$1775=SPECIAL_LBL)*10000000+(N('Dvd Calendar'!$I$1769)&gt;0)*(N('Dvd Calendar'!$I$1769)&lt;=VAL_SERIAL)*1000000+20*1000+5))</f>
        <v/>
      </c>
      <c r="EJ179" s="39">
        <f>IF(N('Dvd Calendar'!$J$1770)=0,"",IF(('Dvd Calendar'!$J$1770&gt;=GRID_FROM)*('Dvd Calendar'!$J$1770&lt;=GRID_TO)*((('Dvd Calendar'!$J$1770&lt;=VAL_DATE)+(COUNTIF('Dvd Calendar'!$E$1777:$AR$1777,'Dvd Calendar'!$J$1770)=0))&gt;0)=0,"",'Dvd Calendar'!$J$1770*1000000000+ISNUMBER('Dvd Calendar'!$J$1773)*100000000+('Dvd Calendar'!$J$1775=SPECIAL_LBL)*10000000+(N('Dvd Calendar'!$J$1769)&gt;0)*(N('Dvd Calendar'!$J$1769)&lt;=VAL_SERIAL)*1000000+20*1000+6))</f>
        <v/>
      </c>
      <c r="EK179" s="39">
        <f>IF(N('Dvd Calendar'!$K$1770)=0,"",IF(('Dvd Calendar'!$K$1770&gt;=GRID_FROM)*('Dvd Calendar'!$K$1770&lt;=GRID_TO)*((('Dvd Calendar'!$K$1770&lt;=VAL_DATE)+(COUNTIF('Dvd Calendar'!$E$1777:$AR$1777,'Dvd Calendar'!$K$1770)=0))&gt;0)=0,"",'Dvd Calendar'!$K$1770*1000000000+ISNUMBER('Dvd Calendar'!$K$1773)*100000000+('Dvd Calendar'!$K$1775=SPECIAL_LBL)*10000000+(N('Dvd Calendar'!$K$1769)&gt;0)*(N('Dvd Calendar'!$K$1769)&lt;=VAL_SERIAL)*1000000+20*1000+7))</f>
        <v/>
      </c>
      <c r="EL179" s="39">
        <f>IF(N('Dvd Calendar'!$L$1770)=0,"",IF(('Dvd Calendar'!$L$1770&gt;=GRID_FROM)*('Dvd Calendar'!$L$1770&lt;=GRID_TO)*((('Dvd Calendar'!$L$1770&lt;=VAL_DATE)+(COUNTIF('Dvd Calendar'!$E$1777:$AR$1777,'Dvd Calendar'!$L$1770)=0))&gt;0)=0,"",'Dvd Calendar'!$L$1770*1000000000+ISNUMBER('Dvd Calendar'!$L$1773)*100000000+('Dvd Calendar'!$L$1775=SPECIAL_LBL)*10000000+(N('Dvd Calendar'!$L$1769)&gt;0)*(N('Dvd Calendar'!$L$1769)&lt;=VAL_SERIAL)*1000000+20*1000+8))</f>
        <v/>
      </c>
      <c r="EM179" s="39">
        <f>IF(N('Dvd Calendar'!$M$1770)=0,"",IF(('Dvd Calendar'!$M$1770&gt;=GRID_FROM)*('Dvd Calendar'!$M$1770&lt;=GRID_TO)*((('Dvd Calendar'!$M$1770&lt;=VAL_DATE)+(COUNTIF('Dvd Calendar'!$E$1777:$AR$1777,'Dvd Calendar'!$M$1770)=0))&gt;0)=0,"",'Dvd Calendar'!$M$1770*1000000000+ISNUMBER('Dvd Calendar'!$M$1773)*100000000+('Dvd Calendar'!$M$1775=SPECIAL_LBL)*10000000+(N('Dvd Calendar'!$M$1769)&gt;0)*(N('Dvd Calendar'!$M$1769)&lt;=VAL_SERIAL)*1000000+20*1000+9))</f>
        <v/>
      </c>
      <c r="EN179" s="39">
        <f>IF(N('Dvd Calendar'!$N$1770)=0,"",IF(('Dvd Calendar'!$N$1770&gt;=GRID_FROM)*('Dvd Calendar'!$N$1770&lt;=GRID_TO)*((('Dvd Calendar'!$N$1770&lt;=VAL_DATE)+(COUNTIF('Dvd Calendar'!$E$1777:$AR$1777,'Dvd Calendar'!$N$1770)=0))&gt;0)=0,"",'Dvd Calendar'!$N$1770*1000000000+ISNUMBER('Dvd Calendar'!$N$1773)*100000000+('Dvd Calendar'!$N$1775=SPECIAL_LBL)*10000000+(N('Dvd Calendar'!$N$1769)&gt;0)*(N('Dvd Calendar'!$N$1769)&lt;=VAL_SERIAL)*1000000+20*1000+10))</f>
        <v/>
      </c>
      <c r="EO179" s="39">
        <f>IF(N('Dvd Calendar'!$O$1770)=0,"",IF(('Dvd Calendar'!$O$1770&gt;=GRID_FROM)*('Dvd Calendar'!$O$1770&lt;=GRID_TO)*((('Dvd Calendar'!$O$1770&lt;=VAL_DATE)+(COUNTIF('Dvd Calendar'!$E$1777:$AR$1777,'Dvd Calendar'!$O$1770)=0))&gt;0)=0,"",'Dvd Calendar'!$O$1770*1000000000+ISNUMBER('Dvd Calendar'!$O$1773)*100000000+('Dvd Calendar'!$O$1775=SPECIAL_LBL)*10000000+(N('Dvd Calendar'!$O$1769)&gt;0)*(N('Dvd Calendar'!$O$1769)&lt;=VAL_SERIAL)*1000000+20*1000+11))</f>
        <v/>
      </c>
      <c r="EP179" s="39">
        <f>IF(N('Dvd Calendar'!$P$1770)=0,"",IF(('Dvd Calendar'!$P$1770&gt;=GRID_FROM)*('Dvd Calendar'!$P$1770&lt;=GRID_TO)*((('Dvd Calendar'!$P$1770&lt;=VAL_DATE)+(COUNTIF('Dvd Calendar'!$E$1777:$AR$1777,'Dvd Calendar'!$P$1770)=0))&gt;0)=0,"",'Dvd Calendar'!$P$1770*1000000000+ISNUMBER('Dvd Calendar'!$P$1773)*100000000+('Dvd Calendar'!$P$1775=SPECIAL_LBL)*10000000+(N('Dvd Calendar'!$P$1769)&gt;0)*(N('Dvd Calendar'!$P$1769)&lt;=VAL_SERIAL)*1000000+20*1000+12))</f>
        <v/>
      </c>
      <c r="EQ179" s="39">
        <f>IF(N('Dvd Calendar'!$Q$1770)=0,"",IF(('Dvd Calendar'!$Q$1770&gt;=GRID_FROM)*('Dvd Calendar'!$Q$1770&lt;=GRID_TO)*((('Dvd Calendar'!$Q$1770&lt;=VAL_DATE)+(COUNTIF('Dvd Calendar'!$E$1777:$AR$1777,'Dvd Calendar'!$Q$1770)=0))&gt;0)=0,"",'Dvd Calendar'!$Q$1770*1000000000+ISNUMBER('Dvd Calendar'!$Q$1773)*100000000+('Dvd Calendar'!$Q$1775=SPECIAL_LBL)*10000000+(N('Dvd Calendar'!$Q$1769)&gt;0)*(N('Dvd Calendar'!$Q$1769)&lt;=VAL_SERIAL)*1000000+20*1000+13))</f>
        <v/>
      </c>
      <c r="ER179" s="39">
        <f>IF(N('Dvd Calendar'!$R$1770)=0,"",IF(('Dvd Calendar'!$R$1770&gt;=GRID_FROM)*('Dvd Calendar'!$R$1770&lt;=GRID_TO)*((('Dvd Calendar'!$R$1770&lt;=VAL_DATE)+(COUNTIF('Dvd Calendar'!$E$1777:$AR$1777,'Dvd Calendar'!$R$1770)=0))&gt;0)=0,"",'Dvd Calendar'!$R$1770*1000000000+ISNUMBER('Dvd Calendar'!$R$1773)*100000000+('Dvd Calendar'!$R$1775=SPECIAL_LBL)*10000000+(N('Dvd Calendar'!$R$1769)&gt;0)*(N('Dvd Calendar'!$R$1769)&lt;=VAL_SERIAL)*1000000+20*1000+14))</f>
        <v/>
      </c>
      <c r="ES179" s="39">
        <f>IF(N('Dvd Calendar'!$S$1770)=0,"",IF(('Dvd Calendar'!$S$1770&gt;=GRID_FROM)*('Dvd Calendar'!$S$1770&lt;=GRID_TO)*((('Dvd Calendar'!$S$1770&lt;=VAL_DATE)+(COUNTIF('Dvd Calendar'!$E$1777:$AR$1777,'Dvd Calendar'!$S$1770)=0))&gt;0)=0,"",'Dvd Calendar'!$S$1770*1000000000+ISNUMBER('Dvd Calendar'!$S$1773)*100000000+('Dvd Calendar'!$S$1775=SPECIAL_LBL)*10000000+(N('Dvd Calendar'!$S$1769)&gt;0)*(N('Dvd Calendar'!$S$1769)&lt;=VAL_SERIAL)*1000000+20*1000+15))</f>
        <v/>
      </c>
      <c r="ET179" s="39">
        <f>IF(N('Dvd Calendar'!$T$1770)=0,"",IF(('Dvd Calendar'!$T$1770&gt;=GRID_FROM)*('Dvd Calendar'!$T$1770&lt;=GRID_TO)*((('Dvd Calendar'!$T$1770&lt;=VAL_DATE)+(COUNTIF('Dvd Calendar'!$E$1777:$AR$1777,'Dvd Calendar'!$T$1770)=0))&gt;0)=0,"",'Dvd Calendar'!$T$1770*1000000000+ISNUMBER('Dvd Calendar'!$T$1773)*100000000+('Dvd Calendar'!$T$1775=SPECIAL_LBL)*10000000+(N('Dvd Calendar'!$T$1769)&gt;0)*(N('Dvd Calendar'!$T$1769)&lt;=VAL_SERIAL)*1000000+20*1000+16))</f>
        <v/>
      </c>
      <c r="EU179" s="39">
        <f>IF(N('Dvd Calendar'!$U$1770)=0,"",IF(('Dvd Calendar'!$U$1770&gt;=GRID_FROM)*('Dvd Calendar'!$U$1770&lt;=GRID_TO)*((('Dvd Calendar'!$U$1770&lt;=VAL_DATE)+(COUNTIF('Dvd Calendar'!$E$1777:$AR$1777,'Dvd Calendar'!$U$1770)=0))&gt;0)=0,"",'Dvd Calendar'!$U$1770*1000000000+ISNUMBER('Dvd Calendar'!$U$1773)*100000000+('Dvd Calendar'!$U$1775=SPECIAL_LBL)*10000000+(N('Dvd Calendar'!$U$1769)&gt;0)*(N('Dvd Calendar'!$U$1769)&lt;=VAL_SERIAL)*1000000+20*1000+17))</f>
        <v/>
      </c>
      <c r="EV179" s="39">
        <f>IF(N('Dvd Calendar'!$V$1770)=0,"",IF(('Dvd Calendar'!$V$1770&gt;=GRID_FROM)*('Dvd Calendar'!$V$1770&lt;=GRID_TO)*((('Dvd Calendar'!$V$1770&lt;=VAL_DATE)+(COUNTIF('Dvd Calendar'!$E$1777:$AR$1777,'Dvd Calendar'!$V$1770)=0))&gt;0)=0,"",'Dvd Calendar'!$V$1770*1000000000+ISNUMBER('Dvd Calendar'!$V$1773)*100000000+('Dvd Calendar'!$V$1775=SPECIAL_LBL)*10000000+(N('Dvd Calendar'!$V$1769)&gt;0)*(N('Dvd Calendar'!$V$1769)&lt;=VAL_SERIAL)*1000000+20*1000+18))</f>
        <v/>
      </c>
      <c r="EW179" s="39">
        <f>IF(N('Dvd Calendar'!$W$1770)=0,"",IF(('Dvd Calendar'!$W$1770&gt;=GRID_FROM)*('Dvd Calendar'!$W$1770&lt;=GRID_TO)*((('Dvd Calendar'!$W$1770&lt;=VAL_DATE)+(COUNTIF('Dvd Calendar'!$E$1777:$AR$1777,'Dvd Calendar'!$W$1770)=0))&gt;0)=0,"",'Dvd Calendar'!$W$1770*1000000000+ISNUMBER('Dvd Calendar'!$W$1773)*100000000+('Dvd Calendar'!$W$1775=SPECIAL_LBL)*10000000+(N('Dvd Calendar'!$W$1769)&gt;0)*(N('Dvd Calendar'!$W$1769)&lt;=VAL_SERIAL)*1000000+20*1000+19))</f>
        <v/>
      </c>
      <c r="EX179" s="39">
        <f>IF(N('Dvd Calendar'!$X$1770)=0,"",IF(('Dvd Calendar'!$X$1770&gt;=GRID_FROM)*('Dvd Calendar'!$X$1770&lt;=GRID_TO)*((('Dvd Calendar'!$X$1770&lt;=VAL_DATE)+(COUNTIF('Dvd Calendar'!$E$1777:$AR$1777,'Dvd Calendar'!$X$1770)=0))&gt;0)=0,"",'Dvd Calendar'!$X$1770*1000000000+ISNUMBER('Dvd Calendar'!$X$1773)*100000000+('Dvd Calendar'!$X$1775=SPECIAL_LBL)*10000000+(N('Dvd Calendar'!$X$1769)&gt;0)*(N('Dvd Calendar'!$X$1769)&lt;=VAL_SERIAL)*1000000+20*1000+20))</f>
        <v/>
      </c>
      <c r="EY179" s="39">
        <f>IF(N('Dvd Calendar'!$Y$1770)=0,"",IF(('Dvd Calendar'!$Y$1770&gt;=GRID_FROM)*('Dvd Calendar'!$Y$1770&lt;=GRID_TO)*((('Dvd Calendar'!$Y$1770&lt;=VAL_DATE)+(COUNTIF('Dvd Calendar'!$E$1777:$AR$1777,'Dvd Calendar'!$Y$1770)=0))&gt;0)=0,"",'Dvd Calendar'!$Y$1770*1000000000+ISNUMBER('Dvd Calendar'!$Y$1773)*100000000+('Dvd Calendar'!$Y$1775=SPECIAL_LBL)*10000000+(N('Dvd Calendar'!$Y$1769)&gt;0)*(N('Dvd Calendar'!$Y$1769)&lt;=VAL_SERIAL)*1000000+20*1000+21))</f>
        <v/>
      </c>
      <c r="EZ179" s="39">
        <f>IF(N('Dvd Calendar'!$Z$1770)=0,"",IF(('Dvd Calendar'!$Z$1770&gt;=GRID_FROM)*('Dvd Calendar'!$Z$1770&lt;=GRID_TO)*((('Dvd Calendar'!$Z$1770&lt;=VAL_DATE)+(COUNTIF('Dvd Calendar'!$E$1777:$AR$1777,'Dvd Calendar'!$Z$1770)=0))&gt;0)=0,"",'Dvd Calendar'!$Z$1770*1000000000+ISNUMBER('Dvd Calendar'!$Z$1773)*100000000+('Dvd Calendar'!$Z$1775=SPECIAL_LBL)*10000000+(N('Dvd Calendar'!$Z$1769)&gt;0)*(N('Dvd Calendar'!$Z$1769)&lt;=VAL_SERIAL)*1000000+20*1000+22))</f>
        <v/>
      </c>
      <c r="FA179" s="39">
        <f>IF(N('Dvd Calendar'!$AA$1770)=0,"",IF(('Dvd Calendar'!$AA$1770&gt;=GRID_FROM)*('Dvd Calendar'!$AA$1770&lt;=GRID_TO)*((('Dvd Calendar'!$AA$1770&lt;=VAL_DATE)+(COUNTIF('Dvd Calendar'!$E$1777:$AR$1777,'Dvd Calendar'!$AA$1770)=0))&gt;0)=0,"",'Dvd Calendar'!$AA$1770*1000000000+ISNUMBER('Dvd Calendar'!$AA$1773)*100000000+('Dvd Calendar'!$AA$1775=SPECIAL_LBL)*10000000+(N('Dvd Calendar'!$AA$1769)&gt;0)*(N('Dvd Calendar'!$AA$1769)&lt;=VAL_SERIAL)*1000000+20*1000+23))</f>
        <v/>
      </c>
      <c r="FB179" s="39">
        <f>IF(N('Dvd Calendar'!$AB$1770)=0,"",IF(('Dvd Calendar'!$AB$1770&gt;=GRID_FROM)*('Dvd Calendar'!$AB$1770&lt;=GRID_TO)*((('Dvd Calendar'!$AB$1770&lt;=VAL_DATE)+(COUNTIF('Dvd Calendar'!$E$1777:$AR$1777,'Dvd Calendar'!$AB$1770)=0))&gt;0)=0,"",'Dvd Calendar'!$AB$1770*1000000000+ISNUMBER('Dvd Calendar'!$AB$1773)*100000000+('Dvd Calendar'!$AB$1775=SPECIAL_LBL)*10000000+(N('Dvd Calendar'!$AB$1769)&gt;0)*(N('Dvd Calendar'!$AB$1769)&lt;=VAL_SERIAL)*1000000+20*1000+24))</f>
        <v/>
      </c>
      <c r="FC179" s="39">
        <f>IF(N('Dvd Calendar'!$AC$1770)=0,"",IF(('Dvd Calendar'!$AC$1770&gt;=GRID_FROM)*('Dvd Calendar'!$AC$1770&lt;=GRID_TO)*((('Dvd Calendar'!$AC$1770&lt;=VAL_DATE)+(COUNTIF('Dvd Calendar'!$E$1777:$AR$1777,'Dvd Calendar'!$AC$1770)=0))&gt;0)=0,"",'Dvd Calendar'!$AC$1770*1000000000+ISNUMBER('Dvd Calendar'!$AC$1773)*100000000+('Dvd Calendar'!$AC$1775=SPECIAL_LBL)*10000000+(N('Dvd Calendar'!$AC$1769)&gt;0)*(N('Dvd Calendar'!$AC$1769)&lt;=VAL_SERIAL)*1000000+20*1000+25))</f>
        <v/>
      </c>
      <c r="FD179" s="39">
        <f>IF(N('Dvd Calendar'!$AD$1770)=0,"",IF(('Dvd Calendar'!$AD$1770&gt;=GRID_FROM)*('Dvd Calendar'!$AD$1770&lt;=GRID_TO)*((('Dvd Calendar'!$AD$1770&lt;=VAL_DATE)+(COUNTIF('Dvd Calendar'!$E$1777:$AR$1777,'Dvd Calendar'!$AD$1770)=0))&gt;0)=0,"",'Dvd Calendar'!$AD$1770*1000000000+ISNUMBER('Dvd Calendar'!$AD$1773)*100000000+('Dvd Calendar'!$AD$1775=SPECIAL_LBL)*10000000+(N('Dvd Calendar'!$AD$1769)&gt;0)*(N('Dvd Calendar'!$AD$1769)&lt;=VAL_SERIAL)*1000000+20*1000+26))</f>
        <v/>
      </c>
      <c r="FE179" s="39">
        <f>IF(N('Dvd Calendar'!$AE$1770)=0,"",IF(('Dvd Calendar'!$AE$1770&gt;=GRID_FROM)*('Dvd Calendar'!$AE$1770&lt;=GRID_TO)*((('Dvd Calendar'!$AE$1770&lt;=VAL_DATE)+(COUNTIF('Dvd Calendar'!$E$1777:$AR$1777,'Dvd Calendar'!$AE$1770)=0))&gt;0)=0,"",'Dvd Calendar'!$AE$1770*1000000000+ISNUMBER('Dvd Calendar'!$AE$1773)*100000000+('Dvd Calendar'!$AE$1775=SPECIAL_LBL)*10000000+(N('Dvd Calendar'!$AE$1769)&gt;0)*(N('Dvd Calendar'!$AE$1769)&lt;=VAL_SERIAL)*1000000+20*1000+27))</f>
        <v/>
      </c>
      <c r="FF179" s="39">
        <f>IF(N('Dvd Calendar'!$AF$1770)=0,"",IF(('Dvd Calendar'!$AF$1770&gt;=GRID_FROM)*('Dvd Calendar'!$AF$1770&lt;=GRID_TO)*((('Dvd Calendar'!$AF$1770&lt;=VAL_DATE)+(COUNTIF('Dvd Calendar'!$E$1777:$AR$1777,'Dvd Calendar'!$AF$1770)=0))&gt;0)=0,"",'Dvd Calendar'!$AF$1770*1000000000+ISNUMBER('Dvd Calendar'!$AF$1773)*100000000+('Dvd Calendar'!$AF$1775=SPECIAL_LBL)*10000000+(N('Dvd Calendar'!$AF$1769)&gt;0)*(N('Dvd Calendar'!$AF$1769)&lt;=VAL_SERIAL)*1000000+20*1000+28))</f>
        <v/>
      </c>
      <c r="FG179" s="39">
        <f>IF(N('Dvd Calendar'!$AG$1770)=0,"",IF(('Dvd Calendar'!$AG$1770&gt;=GRID_FROM)*('Dvd Calendar'!$AG$1770&lt;=GRID_TO)*((('Dvd Calendar'!$AG$1770&lt;=VAL_DATE)+(COUNTIF('Dvd Calendar'!$E$1777:$AR$1777,'Dvd Calendar'!$AG$1770)=0))&gt;0)=0,"",'Dvd Calendar'!$AG$1770*1000000000+ISNUMBER('Dvd Calendar'!$AG$1773)*100000000+('Dvd Calendar'!$AG$1775=SPECIAL_LBL)*10000000+(N('Dvd Calendar'!$AG$1769)&gt;0)*(N('Dvd Calendar'!$AG$1769)&lt;=VAL_SERIAL)*1000000+20*1000+29))</f>
        <v/>
      </c>
      <c r="FH179" s="39">
        <f>IF(N('Dvd Calendar'!$AH$1770)=0,"",IF(('Dvd Calendar'!$AH$1770&gt;=GRID_FROM)*('Dvd Calendar'!$AH$1770&lt;=GRID_TO)*((('Dvd Calendar'!$AH$1770&lt;=VAL_DATE)+(COUNTIF('Dvd Calendar'!$E$1777:$AR$1777,'Dvd Calendar'!$AH$1770)=0))&gt;0)=0,"",'Dvd Calendar'!$AH$1770*1000000000+ISNUMBER('Dvd Calendar'!$AH$1773)*100000000+('Dvd Calendar'!$AH$1775=SPECIAL_LBL)*10000000+(N('Dvd Calendar'!$AH$1769)&gt;0)*(N('Dvd Calendar'!$AH$1769)&lt;=VAL_SERIAL)*1000000+20*1000+30))</f>
        <v/>
      </c>
      <c r="FI179" s="39">
        <f>IF(N('Dvd Calendar'!$AI$1770)=0,"",IF(('Dvd Calendar'!$AI$1770&gt;=GRID_FROM)*('Dvd Calendar'!$AI$1770&lt;=GRID_TO)*((('Dvd Calendar'!$AI$1770&lt;=VAL_DATE)+(COUNTIF('Dvd Calendar'!$E$1777:$AR$1777,'Dvd Calendar'!$AI$1770)=0))&gt;0)=0,"",'Dvd Calendar'!$AI$1770*1000000000+ISNUMBER('Dvd Calendar'!$AI$1773)*100000000+('Dvd Calendar'!$AI$1775=SPECIAL_LBL)*10000000+(N('Dvd Calendar'!$AI$1769)&gt;0)*(N('Dvd Calendar'!$AI$1769)&lt;=VAL_SERIAL)*1000000+20*1000+31))</f>
        <v/>
      </c>
      <c r="FJ179" s="39">
        <f>IF(N('Dvd Calendar'!$AJ$1770)=0,"",IF(('Dvd Calendar'!$AJ$1770&gt;=GRID_FROM)*('Dvd Calendar'!$AJ$1770&lt;=GRID_TO)*((('Dvd Calendar'!$AJ$1770&lt;=VAL_DATE)+(COUNTIF('Dvd Calendar'!$E$1777:$AR$1777,'Dvd Calendar'!$AJ$1770)=0))&gt;0)=0,"",'Dvd Calendar'!$AJ$1770*1000000000+ISNUMBER('Dvd Calendar'!$AJ$1773)*100000000+('Dvd Calendar'!$AJ$1775=SPECIAL_LBL)*10000000+(N('Dvd Calendar'!$AJ$1769)&gt;0)*(N('Dvd Calendar'!$AJ$1769)&lt;=VAL_SERIAL)*1000000+20*1000+32))</f>
        <v/>
      </c>
      <c r="FK179" s="39">
        <f>IF(N('Dvd Calendar'!$AK$1770)=0,"",IF(('Dvd Calendar'!$AK$1770&gt;=GRID_FROM)*('Dvd Calendar'!$AK$1770&lt;=GRID_TO)*((('Dvd Calendar'!$AK$1770&lt;=VAL_DATE)+(COUNTIF('Dvd Calendar'!$E$1777:$AR$1777,'Dvd Calendar'!$AK$1770)=0))&gt;0)=0,"",'Dvd Calendar'!$AK$1770*1000000000+ISNUMBER('Dvd Calendar'!$AK$1773)*100000000+('Dvd Calendar'!$AK$1775=SPECIAL_LBL)*10000000+(N('Dvd Calendar'!$AK$1769)&gt;0)*(N('Dvd Calendar'!$AK$1769)&lt;=VAL_SERIAL)*1000000+20*1000+33))</f>
        <v/>
      </c>
      <c r="FL179" s="39">
        <f>IF(N('Dvd Calendar'!$AL$1770)=0,"",IF(('Dvd Calendar'!$AL$1770&gt;=GRID_FROM)*('Dvd Calendar'!$AL$1770&lt;=GRID_TO)*((('Dvd Calendar'!$AL$1770&lt;=VAL_DATE)+(COUNTIF('Dvd Calendar'!$E$1777:$AR$1777,'Dvd Calendar'!$AL$1770)=0))&gt;0)=0,"",'Dvd Calendar'!$AL$1770*1000000000+ISNUMBER('Dvd Calendar'!$AL$1773)*100000000+('Dvd Calendar'!$AL$1775=SPECIAL_LBL)*10000000+(N('Dvd Calendar'!$AL$1769)&gt;0)*(N('Dvd Calendar'!$AL$1769)&lt;=VAL_SERIAL)*1000000+20*1000+34))</f>
        <v/>
      </c>
      <c r="FM179" s="39">
        <f>IF(N('Dvd Calendar'!$AM$1770)=0,"",IF(('Dvd Calendar'!$AM$1770&gt;=GRID_FROM)*('Dvd Calendar'!$AM$1770&lt;=GRID_TO)*((('Dvd Calendar'!$AM$1770&lt;=VAL_DATE)+(COUNTIF('Dvd Calendar'!$E$1777:$AR$1777,'Dvd Calendar'!$AM$1770)=0))&gt;0)=0,"",'Dvd Calendar'!$AM$1770*1000000000+ISNUMBER('Dvd Calendar'!$AM$1773)*100000000+('Dvd Calendar'!$AM$1775=SPECIAL_LBL)*10000000+(N('Dvd Calendar'!$AM$1769)&gt;0)*(N('Dvd Calendar'!$AM$1769)&lt;=VAL_SERIAL)*1000000+20*1000+35))</f>
        <v/>
      </c>
      <c r="FN179" s="39">
        <f>IF(N('Dvd Calendar'!$AN$1770)=0,"",IF(('Dvd Calendar'!$AN$1770&gt;=GRID_FROM)*('Dvd Calendar'!$AN$1770&lt;=GRID_TO)*((('Dvd Calendar'!$AN$1770&lt;=VAL_DATE)+(COUNTIF('Dvd Calendar'!$E$1777:$AR$1777,'Dvd Calendar'!$AN$1770)=0))&gt;0)=0,"",'Dvd Calendar'!$AN$1770*1000000000+ISNUMBER('Dvd Calendar'!$AN$1773)*100000000+('Dvd Calendar'!$AN$1775=SPECIAL_LBL)*10000000+(N('Dvd Calendar'!$AN$1769)&gt;0)*(N('Dvd Calendar'!$AN$1769)&lt;=VAL_SERIAL)*1000000+20*1000+36))</f>
        <v/>
      </c>
      <c r="FO179" s="39">
        <f>IF(N('Dvd Calendar'!$AO$1770)=0,"",IF(('Dvd Calendar'!$AO$1770&gt;=GRID_FROM)*('Dvd Calendar'!$AO$1770&lt;=GRID_TO)*((('Dvd Calendar'!$AO$1770&lt;=VAL_DATE)+(COUNTIF('Dvd Calendar'!$E$1777:$AR$1777,'Dvd Calendar'!$AO$1770)=0))&gt;0)=0,"",'Dvd Calendar'!$AO$1770*1000000000+ISNUMBER('Dvd Calendar'!$AO$1773)*100000000+('Dvd Calendar'!$AO$1775=SPECIAL_LBL)*10000000+(N('Dvd Calendar'!$AO$1769)&gt;0)*(N('Dvd Calendar'!$AO$1769)&lt;=VAL_SERIAL)*1000000+20*1000+37))</f>
        <v/>
      </c>
      <c r="FP179" s="39">
        <f>IF(N('Dvd Calendar'!$AP$1770)=0,"",IF(('Dvd Calendar'!$AP$1770&gt;=GRID_FROM)*('Dvd Calendar'!$AP$1770&lt;=GRID_TO)*((('Dvd Calendar'!$AP$1770&lt;=VAL_DATE)+(COUNTIF('Dvd Calendar'!$E$1777:$AR$1777,'Dvd Calendar'!$AP$1770)=0))&gt;0)=0,"",'Dvd Calendar'!$AP$1770*1000000000+ISNUMBER('Dvd Calendar'!$AP$1773)*100000000+('Dvd Calendar'!$AP$1775=SPECIAL_LBL)*10000000+(N('Dvd Calendar'!$AP$1769)&gt;0)*(N('Dvd Calendar'!$AP$1769)&lt;=VAL_SERIAL)*1000000+20*1000+38))</f>
        <v/>
      </c>
      <c r="FQ179" s="39">
        <f>IF(N('Dvd Calendar'!$AQ$1770)=0,"",IF(('Dvd Calendar'!$AQ$1770&gt;=GRID_FROM)*('Dvd Calendar'!$AQ$1770&lt;=GRID_TO)*((('Dvd Calendar'!$AQ$1770&lt;=VAL_DATE)+(COUNTIF('Dvd Calendar'!$E$1777:$AR$1777,'Dvd Calendar'!$AQ$1770)=0))&gt;0)=0,"",'Dvd Calendar'!$AQ$1770*1000000000+ISNUMBER('Dvd Calendar'!$AQ$1773)*100000000+('Dvd Calendar'!$AQ$1775=SPECIAL_LBL)*10000000+(N('Dvd Calendar'!$AQ$1769)&gt;0)*(N('Dvd Calendar'!$AQ$1769)&lt;=VAL_SERIAL)*1000000+20*1000+39))</f>
        <v/>
      </c>
      <c r="FR179" s="39">
        <f>IF(N('Dvd Calendar'!$AR$1770)=0,"",IF(('Dvd Calendar'!$AR$1770&gt;=GRID_FROM)*('Dvd Calendar'!$AR$1770&lt;=GRID_TO)*((('Dvd Calendar'!$AR$1770&lt;=VAL_DATE)+(COUNTIF('Dvd Calendar'!$E$1777:$AR$1777,'Dvd Calendar'!$AR$1770)=0))&gt;0)=0,"",'Dvd Calendar'!$AR$1770*1000000000+ISNUMBER('Dvd Calendar'!$AR$1773)*100000000+('Dvd Calendar'!$AR$1775=SPECIAL_LBL)*10000000+(N('Dvd Calendar'!$AR$1769)&gt;0)*(N('Dvd Calendar'!$AR$1769)&lt;=VAL_SERIAL)*1000000+20*1000+40))</f>
        <v/>
      </c>
      <c r="FS179" s="39">
        <f>IF(N('Dvd Calendar'!$E$1777)=0,"",IF(('Dvd Calendar'!$E$1777&gt;=GRID_FROM)*('Dvd Calendar'!$E$1777&lt;=GRID_TO)*('Dvd Calendar'!$E$1777&gt;VAL_DATE)=0,"",'Dvd Calendar'!$E$1777*1000000000+ISNUMBER('Dvd Calendar'!$E$1778)*100000000+0*10000000+(N('Dvd Calendar'!$E$1776)&gt;0)*(N('Dvd Calendar'!$E$1776)&lt;=VAL_SERIAL)*1000000+20*1000+41))</f>
        <v/>
      </c>
      <c r="FT179" s="39">
        <f>IF(N('Dvd Calendar'!$F$1777)=0,"",IF(('Dvd Calendar'!$F$1777&gt;=GRID_FROM)*('Dvd Calendar'!$F$1777&lt;=GRID_TO)*('Dvd Calendar'!$F$1777&gt;VAL_DATE)=0,"",'Dvd Calendar'!$F$1777*1000000000+ISNUMBER('Dvd Calendar'!$F$1778)*100000000+0*10000000+(N('Dvd Calendar'!$F$1776)&gt;0)*(N('Dvd Calendar'!$F$1776)&lt;=VAL_SERIAL)*1000000+20*1000+42))</f>
        <v/>
      </c>
      <c r="FU179" s="39">
        <f>IF(N('Dvd Calendar'!$G$1777)=0,"",IF(('Dvd Calendar'!$G$1777&gt;=GRID_FROM)*('Dvd Calendar'!$G$1777&lt;=GRID_TO)*('Dvd Calendar'!$G$1777&gt;VAL_DATE)=0,"",'Dvd Calendar'!$G$1777*1000000000+ISNUMBER('Dvd Calendar'!$G$1778)*100000000+0*10000000+(N('Dvd Calendar'!$G$1776)&gt;0)*(N('Dvd Calendar'!$G$1776)&lt;=VAL_SERIAL)*1000000+20*1000+43))</f>
        <v/>
      </c>
      <c r="FV179" s="39">
        <f>IF(N('Dvd Calendar'!$H$1777)=0,"",IF(('Dvd Calendar'!$H$1777&gt;=GRID_FROM)*('Dvd Calendar'!$H$1777&lt;=GRID_TO)*('Dvd Calendar'!$H$1777&gt;VAL_DATE)=0,"",'Dvd Calendar'!$H$1777*1000000000+ISNUMBER('Dvd Calendar'!$H$1778)*100000000+0*10000000+(N('Dvd Calendar'!$H$1776)&gt;0)*(N('Dvd Calendar'!$H$1776)&lt;=VAL_SERIAL)*1000000+20*1000+44))</f>
        <v/>
      </c>
      <c r="FW179" s="39">
        <f>IF(N('Dvd Calendar'!$I$1777)=0,"",IF(('Dvd Calendar'!$I$1777&gt;=GRID_FROM)*('Dvd Calendar'!$I$1777&lt;=GRID_TO)*('Dvd Calendar'!$I$1777&gt;VAL_DATE)=0,"",'Dvd Calendar'!$I$1777*1000000000+ISNUMBER('Dvd Calendar'!$I$1778)*100000000+0*10000000+(N('Dvd Calendar'!$I$1776)&gt;0)*(N('Dvd Calendar'!$I$1776)&lt;=VAL_SERIAL)*1000000+20*1000+45))</f>
        <v/>
      </c>
      <c r="FX179" s="39">
        <f>IF(N('Dvd Calendar'!$J$1777)=0,"",IF(('Dvd Calendar'!$J$1777&gt;=GRID_FROM)*('Dvd Calendar'!$J$1777&lt;=GRID_TO)*('Dvd Calendar'!$J$1777&gt;VAL_DATE)=0,"",'Dvd Calendar'!$J$1777*1000000000+ISNUMBER('Dvd Calendar'!$J$1778)*100000000+0*10000000+(N('Dvd Calendar'!$J$1776)&gt;0)*(N('Dvd Calendar'!$J$1776)&lt;=VAL_SERIAL)*1000000+20*1000+46))</f>
        <v/>
      </c>
      <c r="FY179" s="39">
        <f>IF(N('Dvd Calendar'!$K$1777)=0,"",IF(('Dvd Calendar'!$K$1777&gt;=GRID_FROM)*('Dvd Calendar'!$K$1777&lt;=GRID_TO)*('Dvd Calendar'!$K$1777&gt;VAL_DATE)=0,"",'Dvd Calendar'!$K$1777*1000000000+ISNUMBER('Dvd Calendar'!$K$1778)*100000000+0*10000000+(N('Dvd Calendar'!$K$1776)&gt;0)*(N('Dvd Calendar'!$K$1776)&lt;=VAL_SERIAL)*1000000+20*1000+47))</f>
        <v/>
      </c>
      <c r="FZ179" s="39">
        <f>IF(N('Dvd Calendar'!$L$1777)=0,"",IF(('Dvd Calendar'!$L$1777&gt;=GRID_FROM)*('Dvd Calendar'!$L$1777&lt;=GRID_TO)*('Dvd Calendar'!$L$1777&gt;VAL_DATE)=0,"",'Dvd Calendar'!$L$1777*1000000000+ISNUMBER('Dvd Calendar'!$L$1778)*100000000+0*10000000+(N('Dvd Calendar'!$L$1776)&gt;0)*(N('Dvd Calendar'!$L$1776)&lt;=VAL_SERIAL)*1000000+20*1000+48))</f>
        <v/>
      </c>
      <c r="GA179" s="39">
        <f>IF(N('Dvd Calendar'!$M$1777)=0,"",IF(('Dvd Calendar'!$M$1777&gt;=GRID_FROM)*('Dvd Calendar'!$M$1777&lt;=GRID_TO)*('Dvd Calendar'!$M$1777&gt;VAL_DATE)=0,"",'Dvd Calendar'!$M$1777*1000000000+ISNUMBER('Dvd Calendar'!$M$1778)*100000000+0*10000000+(N('Dvd Calendar'!$M$1776)&gt;0)*(N('Dvd Calendar'!$M$1776)&lt;=VAL_SERIAL)*1000000+20*1000+49))</f>
        <v/>
      </c>
      <c r="GB179" s="39">
        <f>IF(N('Dvd Calendar'!$N$1777)=0,"",IF(('Dvd Calendar'!$N$1777&gt;=GRID_FROM)*('Dvd Calendar'!$N$1777&lt;=GRID_TO)*('Dvd Calendar'!$N$1777&gt;VAL_DATE)=0,"",'Dvd Calendar'!$N$1777*1000000000+ISNUMBER('Dvd Calendar'!$N$1778)*100000000+0*10000000+(N('Dvd Calendar'!$N$1776)&gt;0)*(N('Dvd Calendar'!$N$1776)&lt;=VAL_SERIAL)*1000000+20*1000+50))</f>
        <v/>
      </c>
      <c r="GC179" s="39">
        <f>IF(N('Dvd Calendar'!$O$1777)=0,"",IF(('Dvd Calendar'!$O$1777&gt;=GRID_FROM)*('Dvd Calendar'!$O$1777&lt;=GRID_TO)*('Dvd Calendar'!$O$1777&gt;VAL_DATE)=0,"",'Dvd Calendar'!$O$1777*1000000000+ISNUMBER('Dvd Calendar'!$O$1778)*100000000+0*10000000+(N('Dvd Calendar'!$O$1776)&gt;0)*(N('Dvd Calendar'!$O$1776)&lt;=VAL_SERIAL)*1000000+20*1000+51))</f>
        <v/>
      </c>
      <c r="GD179" s="39">
        <f>IF(N('Dvd Calendar'!$P$1777)=0,"",IF(('Dvd Calendar'!$P$1777&gt;=GRID_FROM)*('Dvd Calendar'!$P$1777&lt;=GRID_TO)*('Dvd Calendar'!$P$1777&gt;VAL_DATE)=0,"",'Dvd Calendar'!$P$1777*1000000000+ISNUMBER('Dvd Calendar'!$P$1778)*100000000+0*10000000+(N('Dvd Calendar'!$P$1776)&gt;0)*(N('Dvd Calendar'!$P$1776)&lt;=VAL_SERIAL)*1000000+20*1000+52))</f>
        <v/>
      </c>
      <c r="GE179" s="39">
        <f>IF(N('Dvd Calendar'!$Q$1777)=0,"",IF(('Dvd Calendar'!$Q$1777&gt;=GRID_FROM)*('Dvd Calendar'!$Q$1777&lt;=GRID_TO)*('Dvd Calendar'!$Q$1777&gt;VAL_DATE)=0,"",'Dvd Calendar'!$Q$1777*1000000000+ISNUMBER('Dvd Calendar'!$Q$1778)*100000000+0*10000000+(N('Dvd Calendar'!$Q$1776)&gt;0)*(N('Dvd Calendar'!$Q$1776)&lt;=VAL_SERIAL)*1000000+20*1000+53))</f>
        <v/>
      </c>
      <c r="GF179" s="39">
        <f>IF(N('Dvd Calendar'!$R$1777)=0,"",IF(('Dvd Calendar'!$R$1777&gt;=GRID_FROM)*('Dvd Calendar'!$R$1777&lt;=GRID_TO)*('Dvd Calendar'!$R$1777&gt;VAL_DATE)=0,"",'Dvd Calendar'!$R$1777*1000000000+ISNUMBER('Dvd Calendar'!$R$1778)*100000000+0*10000000+(N('Dvd Calendar'!$R$1776)&gt;0)*(N('Dvd Calendar'!$R$1776)&lt;=VAL_SERIAL)*1000000+20*1000+54))</f>
        <v/>
      </c>
      <c r="GG179" s="39">
        <f>IF(N('Dvd Calendar'!$S$1777)=0,"",IF(('Dvd Calendar'!$S$1777&gt;=GRID_FROM)*('Dvd Calendar'!$S$1777&lt;=GRID_TO)*('Dvd Calendar'!$S$1777&gt;VAL_DATE)=0,"",'Dvd Calendar'!$S$1777*1000000000+ISNUMBER('Dvd Calendar'!$S$1778)*100000000+0*10000000+(N('Dvd Calendar'!$S$1776)&gt;0)*(N('Dvd Calendar'!$S$1776)&lt;=VAL_SERIAL)*1000000+20*1000+55))</f>
        <v/>
      </c>
      <c r="GH179" s="39">
        <f>IF(N('Dvd Calendar'!$T$1777)=0,"",IF(('Dvd Calendar'!$T$1777&gt;=GRID_FROM)*('Dvd Calendar'!$T$1777&lt;=GRID_TO)*('Dvd Calendar'!$T$1777&gt;VAL_DATE)=0,"",'Dvd Calendar'!$T$1777*1000000000+ISNUMBER('Dvd Calendar'!$T$1778)*100000000+0*10000000+(N('Dvd Calendar'!$T$1776)&gt;0)*(N('Dvd Calendar'!$T$1776)&lt;=VAL_SERIAL)*1000000+20*1000+56))</f>
        <v/>
      </c>
      <c r="GI179" s="39">
        <f>IF(N('Dvd Calendar'!$U$1777)=0,"",IF(('Dvd Calendar'!$U$1777&gt;=GRID_FROM)*('Dvd Calendar'!$U$1777&lt;=GRID_TO)*('Dvd Calendar'!$U$1777&gt;VAL_DATE)=0,"",'Dvd Calendar'!$U$1777*1000000000+ISNUMBER('Dvd Calendar'!$U$1778)*100000000+0*10000000+(N('Dvd Calendar'!$U$1776)&gt;0)*(N('Dvd Calendar'!$U$1776)&lt;=VAL_SERIAL)*1000000+20*1000+57))</f>
        <v/>
      </c>
      <c r="GJ179" s="39">
        <f>IF(N('Dvd Calendar'!$V$1777)=0,"",IF(('Dvd Calendar'!$V$1777&gt;=GRID_FROM)*('Dvd Calendar'!$V$1777&lt;=GRID_TO)*('Dvd Calendar'!$V$1777&gt;VAL_DATE)=0,"",'Dvd Calendar'!$V$1777*1000000000+ISNUMBER('Dvd Calendar'!$V$1778)*100000000+0*10000000+(N('Dvd Calendar'!$V$1776)&gt;0)*(N('Dvd Calendar'!$V$1776)&lt;=VAL_SERIAL)*1000000+20*1000+58))</f>
        <v/>
      </c>
      <c r="GK179" s="39">
        <f>IF(N('Dvd Calendar'!$W$1777)=0,"",IF(('Dvd Calendar'!$W$1777&gt;=GRID_FROM)*('Dvd Calendar'!$W$1777&lt;=GRID_TO)*('Dvd Calendar'!$W$1777&gt;VAL_DATE)=0,"",'Dvd Calendar'!$W$1777*1000000000+ISNUMBER('Dvd Calendar'!$W$1778)*100000000+0*10000000+(N('Dvd Calendar'!$W$1776)&gt;0)*(N('Dvd Calendar'!$W$1776)&lt;=VAL_SERIAL)*1000000+20*1000+59))</f>
        <v/>
      </c>
      <c r="GL179" s="39">
        <f>IF(N('Dvd Calendar'!$X$1777)=0,"",IF(('Dvd Calendar'!$X$1777&gt;=GRID_FROM)*('Dvd Calendar'!$X$1777&lt;=GRID_TO)*('Dvd Calendar'!$X$1777&gt;VAL_DATE)=0,"",'Dvd Calendar'!$X$1777*1000000000+ISNUMBER('Dvd Calendar'!$X$1778)*100000000+0*10000000+(N('Dvd Calendar'!$X$1776)&gt;0)*(N('Dvd Calendar'!$X$1776)&lt;=VAL_SERIAL)*1000000+20*1000+60))</f>
        <v/>
      </c>
      <c r="GM179" s="39">
        <f>IF(N('Dvd Calendar'!$Y$1777)=0,"",IF(('Dvd Calendar'!$Y$1777&gt;=GRID_FROM)*('Dvd Calendar'!$Y$1777&lt;=GRID_TO)*('Dvd Calendar'!$Y$1777&gt;VAL_DATE)=0,"",'Dvd Calendar'!$Y$1777*1000000000+ISNUMBER('Dvd Calendar'!$Y$1778)*100000000+0*10000000+(N('Dvd Calendar'!$Y$1776)&gt;0)*(N('Dvd Calendar'!$Y$1776)&lt;=VAL_SERIAL)*1000000+20*1000+61))</f>
        <v/>
      </c>
      <c r="GN179" s="39">
        <f>IF(N('Dvd Calendar'!$Z$1777)=0,"",IF(('Dvd Calendar'!$Z$1777&gt;=GRID_FROM)*('Dvd Calendar'!$Z$1777&lt;=GRID_TO)*('Dvd Calendar'!$Z$1777&gt;VAL_DATE)=0,"",'Dvd Calendar'!$Z$1777*1000000000+ISNUMBER('Dvd Calendar'!$Z$1778)*100000000+0*10000000+(N('Dvd Calendar'!$Z$1776)&gt;0)*(N('Dvd Calendar'!$Z$1776)&lt;=VAL_SERIAL)*1000000+20*1000+62))</f>
        <v/>
      </c>
      <c r="GO179" s="39">
        <f>IF(N('Dvd Calendar'!$AA$1777)=0,"",IF(('Dvd Calendar'!$AA$1777&gt;=GRID_FROM)*('Dvd Calendar'!$AA$1777&lt;=GRID_TO)*('Dvd Calendar'!$AA$1777&gt;VAL_DATE)=0,"",'Dvd Calendar'!$AA$1777*1000000000+ISNUMBER('Dvd Calendar'!$AA$1778)*100000000+0*10000000+(N('Dvd Calendar'!$AA$1776)&gt;0)*(N('Dvd Calendar'!$AA$1776)&lt;=VAL_SERIAL)*1000000+20*1000+63))</f>
        <v/>
      </c>
      <c r="GP179" s="39">
        <f>IF(N('Dvd Calendar'!$AB$1777)=0,"",IF(('Dvd Calendar'!$AB$1777&gt;=GRID_FROM)*('Dvd Calendar'!$AB$1777&lt;=GRID_TO)*('Dvd Calendar'!$AB$1777&gt;VAL_DATE)=0,"",'Dvd Calendar'!$AB$1777*1000000000+ISNUMBER('Dvd Calendar'!$AB$1778)*100000000+0*10000000+(N('Dvd Calendar'!$AB$1776)&gt;0)*(N('Dvd Calendar'!$AB$1776)&lt;=VAL_SERIAL)*1000000+20*1000+64))</f>
        <v/>
      </c>
      <c r="GQ179" s="39">
        <f>IF(N('Dvd Calendar'!$AC$1777)=0,"",IF(('Dvd Calendar'!$AC$1777&gt;=GRID_FROM)*('Dvd Calendar'!$AC$1777&lt;=GRID_TO)*('Dvd Calendar'!$AC$1777&gt;VAL_DATE)=0,"",'Dvd Calendar'!$AC$1777*1000000000+ISNUMBER('Dvd Calendar'!$AC$1778)*100000000+0*10000000+(N('Dvd Calendar'!$AC$1776)&gt;0)*(N('Dvd Calendar'!$AC$1776)&lt;=VAL_SERIAL)*1000000+20*1000+65))</f>
        <v/>
      </c>
    </row>
    <row r="180">
      <c r="B180" s="2">
        <f>IF(HSCEI!$C$27="","",HSCEI!$C$27)</f>
        <v/>
      </c>
      <c r="C180" s="110">
        <f>IF(EE180="","",IF(ISNUMBER('Dvd Calendar'!$E$1784)=FALSE,"",IF((('Dvd Calendar'!$E$1786=TYPE1)*(TYPE1&lt;&gt;"")+('Dvd Calendar'!$E$1786=TYPE2)*(TYPE2&lt;&gt;"")+('Dvd Calendar'!$E$1786=TYPE3)*(TYPE3&lt;&gt;"")+('Dvd Calendar'!$E$1786=TYPE4)*(TYPE4&lt;&gt;"")+('Dvd Calendar'!$E$1786=SPECIAL_LBL)*(INC_SPECIALS="Y"))=0,"",'Dvd Calendar'!$E$1784)))</f>
        <v/>
      </c>
      <c r="D180" s="110">
        <f>IF(EF180="","",IF(ISNUMBER('Dvd Calendar'!$F$1784)=FALSE,"",IF((('Dvd Calendar'!$F$1786=TYPE1)*(TYPE1&lt;&gt;"")+('Dvd Calendar'!$F$1786=TYPE2)*(TYPE2&lt;&gt;"")+('Dvd Calendar'!$F$1786=TYPE3)*(TYPE3&lt;&gt;"")+('Dvd Calendar'!$F$1786=TYPE4)*(TYPE4&lt;&gt;"")+('Dvd Calendar'!$F$1786=SPECIAL_LBL)*(INC_SPECIALS="Y"))=0,"",'Dvd Calendar'!$F$1784)))</f>
        <v/>
      </c>
      <c r="E180" s="110">
        <f>IF(EG180="","",IF(ISNUMBER('Dvd Calendar'!$G$1784)=FALSE,"",IF((('Dvd Calendar'!$G$1786=TYPE1)*(TYPE1&lt;&gt;"")+('Dvd Calendar'!$G$1786=TYPE2)*(TYPE2&lt;&gt;"")+('Dvd Calendar'!$G$1786=TYPE3)*(TYPE3&lt;&gt;"")+('Dvd Calendar'!$G$1786=TYPE4)*(TYPE4&lt;&gt;"")+('Dvd Calendar'!$G$1786=SPECIAL_LBL)*(INC_SPECIALS="Y"))=0,"",'Dvd Calendar'!$G$1784)))</f>
        <v/>
      </c>
      <c r="F180" s="110">
        <f>IF(EH180="","",IF(ISNUMBER('Dvd Calendar'!$H$1784)=FALSE,"",IF((('Dvd Calendar'!$H$1786=TYPE1)*(TYPE1&lt;&gt;"")+('Dvd Calendar'!$H$1786=TYPE2)*(TYPE2&lt;&gt;"")+('Dvd Calendar'!$H$1786=TYPE3)*(TYPE3&lt;&gt;"")+('Dvd Calendar'!$H$1786=TYPE4)*(TYPE4&lt;&gt;"")+('Dvd Calendar'!$H$1786=SPECIAL_LBL)*(INC_SPECIALS="Y"))=0,"",'Dvd Calendar'!$H$1784)))</f>
        <v/>
      </c>
      <c r="G180" s="110">
        <f>IF(EI180="","",IF(ISNUMBER('Dvd Calendar'!$I$1784)=FALSE,"",IF((('Dvd Calendar'!$I$1786=TYPE1)*(TYPE1&lt;&gt;"")+('Dvd Calendar'!$I$1786=TYPE2)*(TYPE2&lt;&gt;"")+('Dvd Calendar'!$I$1786=TYPE3)*(TYPE3&lt;&gt;"")+('Dvd Calendar'!$I$1786=TYPE4)*(TYPE4&lt;&gt;"")+('Dvd Calendar'!$I$1786=SPECIAL_LBL)*(INC_SPECIALS="Y"))=0,"",'Dvd Calendar'!$I$1784)))</f>
        <v/>
      </c>
      <c r="H180" s="110">
        <f>IF(EJ180="","",IF(ISNUMBER('Dvd Calendar'!$J$1784)=FALSE,"",IF((('Dvd Calendar'!$J$1786=TYPE1)*(TYPE1&lt;&gt;"")+('Dvd Calendar'!$J$1786=TYPE2)*(TYPE2&lt;&gt;"")+('Dvd Calendar'!$J$1786=TYPE3)*(TYPE3&lt;&gt;"")+('Dvd Calendar'!$J$1786=TYPE4)*(TYPE4&lt;&gt;"")+('Dvd Calendar'!$J$1786=SPECIAL_LBL)*(INC_SPECIALS="Y"))=0,"",'Dvd Calendar'!$J$1784)))</f>
        <v/>
      </c>
      <c r="I180" s="110">
        <f>IF(EK180="","",IF(ISNUMBER('Dvd Calendar'!$K$1784)=FALSE,"",IF((('Dvd Calendar'!$K$1786=TYPE1)*(TYPE1&lt;&gt;"")+('Dvd Calendar'!$K$1786=TYPE2)*(TYPE2&lt;&gt;"")+('Dvd Calendar'!$K$1786=TYPE3)*(TYPE3&lt;&gt;"")+('Dvd Calendar'!$K$1786=TYPE4)*(TYPE4&lt;&gt;"")+('Dvd Calendar'!$K$1786=SPECIAL_LBL)*(INC_SPECIALS="Y"))=0,"",'Dvd Calendar'!$K$1784)))</f>
        <v/>
      </c>
      <c r="J180" s="110">
        <f>IF(EL180="","",IF(ISNUMBER('Dvd Calendar'!$L$1784)=FALSE,"",IF((('Dvd Calendar'!$L$1786=TYPE1)*(TYPE1&lt;&gt;"")+('Dvd Calendar'!$L$1786=TYPE2)*(TYPE2&lt;&gt;"")+('Dvd Calendar'!$L$1786=TYPE3)*(TYPE3&lt;&gt;"")+('Dvd Calendar'!$L$1786=TYPE4)*(TYPE4&lt;&gt;"")+('Dvd Calendar'!$L$1786=SPECIAL_LBL)*(INC_SPECIALS="Y"))=0,"",'Dvd Calendar'!$L$1784)))</f>
        <v/>
      </c>
      <c r="K180" s="110">
        <f>IF(EM180="","",IF(ISNUMBER('Dvd Calendar'!$M$1784)=FALSE,"",IF((('Dvd Calendar'!$M$1786=TYPE1)*(TYPE1&lt;&gt;"")+('Dvd Calendar'!$M$1786=TYPE2)*(TYPE2&lt;&gt;"")+('Dvd Calendar'!$M$1786=TYPE3)*(TYPE3&lt;&gt;"")+('Dvd Calendar'!$M$1786=TYPE4)*(TYPE4&lt;&gt;"")+('Dvd Calendar'!$M$1786=SPECIAL_LBL)*(INC_SPECIALS="Y"))=0,"",'Dvd Calendar'!$M$1784)))</f>
        <v/>
      </c>
      <c r="L180" s="110">
        <f>IF(EN180="","",IF(ISNUMBER('Dvd Calendar'!$N$1784)=FALSE,"",IF((('Dvd Calendar'!$N$1786=TYPE1)*(TYPE1&lt;&gt;"")+('Dvd Calendar'!$N$1786=TYPE2)*(TYPE2&lt;&gt;"")+('Dvd Calendar'!$N$1786=TYPE3)*(TYPE3&lt;&gt;"")+('Dvd Calendar'!$N$1786=TYPE4)*(TYPE4&lt;&gt;"")+('Dvd Calendar'!$N$1786=SPECIAL_LBL)*(INC_SPECIALS="Y"))=0,"",'Dvd Calendar'!$N$1784)))</f>
        <v/>
      </c>
      <c r="M180" s="110">
        <f>IF(EO180="","",IF(ISNUMBER('Dvd Calendar'!$O$1784)=FALSE,"",IF((('Dvd Calendar'!$O$1786=TYPE1)*(TYPE1&lt;&gt;"")+('Dvd Calendar'!$O$1786=TYPE2)*(TYPE2&lt;&gt;"")+('Dvd Calendar'!$O$1786=TYPE3)*(TYPE3&lt;&gt;"")+('Dvd Calendar'!$O$1786=TYPE4)*(TYPE4&lt;&gt;"")+('Dvd Calendar'!$O$1786=SPECIAL_LBL)*(INC_SPECIALS="Y"))=0,"",'Dvd Calendar'!$O$1784)))</f>
        <v/>
      </c>
      <c r="N180" s="110">
        <f>IF(EP180="","",IF(ISNUMBER('Dvd Calendar'!$P$1784)=FALSE,"",IF((('Dvd Calendar'!$P$1786=TYPE1)*(TYPE1&lt;&gt;"")+('Dvd Calendar'!$P$1786=TYPE2)*(TYPE2&lt;&gt;"")+('Dvd Calendar'!$P$1786=TYPE3)*(TYPE3&lt;&gt;"")+('Dvd Calendar'!$P$1786=TYPE4)*(TYPE4&lt;&gt;"")+('Dvd Calendar'!$P$1786=SPECIAL_LBL)*(INC_SPECIALS="Y"))=0,"",'Dvd Calendar'!$P$1784)))</f>
        <v/>
      </c>
      <c r="O180" s="110">
        <f>IF(EQ180="","",IF(ISNUMBER('Dvd Calendar'!$Q$1784)=FALSE,"",IF((('Dvd Calendar'!$Q$1786=TYPE1)*(TYPE1&lt;&gt;"")+('Dvd Calendar'!$Q$1786=TYPE2)*(TYPE2&lt;&gt;"")+('Dvd Calendar'!$Q$1786=TYPE3)*(TYPE3&lt;&gt;"")+('Dvd Calendar'!$Q$1786=TYPE4)*(TYPE4&lt;&gt;"")+('Dvd Calendar'!$Q$1786=SPECIAL_LBL)*(INC_SPECIALS="Y"))=0,"",'Dvd Calendar'!$Q$1784)))</f>
        <v/>
      </c>
      <c r="P180" s="110">
        <f>IF(ER180="","",IF(ISNUMBER('Dvd Calendar'!$R$1784)=FALSE,"",IF((('Dvd Calendar'!$R$1786=TYPE1)*(TYPE1&lt;&gt;"")+('Dvd Calendar'!$R$1786=TYPE2)*(TYPE2&lt;&gt;"")+('Dvd Calendar'!$R$1786=TYPE3)*(TYPE3&lt;&gt;"")+('Dvd Calendar'!$R$1786=TYPE4)*(TYPE4&lt;&gt;"")+('Dvd Calendar'!$R$1786=SPECIAL_LBL)*(INC_SPECIALS="Y"))=0,"",'Dvd Calendar'!$R$1784)))</f>
        <v/>
      </c>
      <c r="Q180" s="110">
        <f>IF(ES180="","",IF(ISNUMBER('Dvd Calendar'!$S$1784)=FALSE,"",IF((('Dvd Calendar'!$S$1786=TYPE1)*(TYPE1&lt;&gt;"")+('Dvd Calendar'!$S$1786=TYPE2)*(TYPE2&lt;&gt;"")+('Dvd Calendar'!$S$1786=TYPE3)*(TYPE3&lt;&gt;"")+('Dvd Calendar'!$S$1786=TYPE4)*(TYPE4&lt;&gt;"")+('Dvd Calendar'!$S$1786=SPECIAL_LBL)*(INC_SPECIALS="Y"))=0,"",'Dvd Calendar'!$S$1784)))</f>
        <v/>
      </c>
      <c r="R180" s="110">
        <f>IF(ET180="","",IF(ISNUMBER('Dvd Calendar'!$T$1784)=FALSE,"",IF((('Dvd Calendar'!$T$1786=TYPE1)*(TYPE1&lt;&gt;"")+('Dvd Calendar'!$T$1786=TYPE2)*(TYPE2&lt;&gt;"")+('Dvd Calendar'!$T$1786=TYPE3)*(TYPE3&lt;&gt;"")+('Dvd Calendar'!$T$1786=TYPE4)*(TYPE4&lt;&gt;"")+('Dvd Calendar'!$T$1786=SPECIAL_LBL)*(INC_SPECIALS="Y"))=0,"",'Dvd Calendar'!$T$1784)))</f>
        <v/>
      </c>
      <c r="S180" s="110">
        <f>IF(EU180="","",IF(ISNUMBER('Dvd Calendar'!$U$1784)=FALSE,"",IF((('Dvd Calendar'!$U$1786=TYPE1)*(TYPE1&lt;&gt;"")+('Dvd Calendar'!$U$1786=TYPE2)*(TYPE2&lt;&gt;"")+('Dvd Calendar'!$U$1786=TYPE3)*(TYPE3&lt;&gt;"")+('Dvd Calendar'!$U$1786=TYPE4)*(TYPE4&lt;&gt;"")+('Dvd Calendar'!$U$1786=SPECIAL_LBL)*(INC_SPECIALS="Y"))=0,"",'Dvd Calendar'!$U$1784)))</f>
        <v/>
      </c>
      <c r="T180" s="110">
        <f>IF(EV180="","",IF(ISNUMBER('Dvd Calendar'!$V$1784)=FALSE,"",IF((('Dvd Calendar'!$V$1786=TYPE1)*(TYPE1&lt;&gt;"")+('Dvd Calendar'!$V$1786=TYPE2)*(TYPE2&lt;&gt;"")+('Dvd Calendar'!$V$1786=TYPE3)*(TYPE3&lt;&gt;"")+('Dvd Calendar'!$V$1786=TYPE4)*(TYPE4&lt;&gt;"")+('Dvd Calendar'!$V$1786=SPECIAL_LBL)*(INC_SPECIALS="Y"))=0,"",'Dvd Calendar'!$V$1784)))</f>
        <v/>
      </c>
      <c r="U180" s="110">
        <f>IF(EW180="","",IF(ISNUMBER('Dvd Calendar'!$W$1784)=FALSE,"",IF((('Dvd Calendar'!$W$1786=TYPE1)*(TYPE1&lt;&gt;"")+('Dvd Calendar'!$W$1786=TYPE2)*(TYPE2&lt;&gt;"")+('Dvd Calendar'!$W$1786=TYPE3)*(TYPE3&lt;&gt;"")+('Dvd Calendar'!$W$1786=TYPE4)*(TYPE4&lt;&gt;"")+('Dvd Calendar'!$W$1786=SPECIAL_LBL)*(INC_SPECIALS="Y"))=0,"",'Dvd Calendar'!$W$1784)))</f>
        <v/>
      </c>
      <c r="V180" s="110">
        <f>IF(EX180="","",IF(ISNUMBER('Dvd Calendar'!$X$1784)=FALSE,"",IF((('Dvd Calendar'!$X$1786=TYPE1)*(TYPE1&lt;&gt;"")+('Dvd Calendar'!$X$1786=TYPE2)*(TYPE2&lt;&gt;"")+('Dvd Calendar'!$X$1786=TYPE3)*(TYPE3&lt;&gt;"")+('Dvd Calendar'!$X$1786=TYPE4)*(TYPE4&lt;&gt;"")+('Dvd Calendar'!$X$1786=SPECIAL_LBL)*(INC_SPECIALS="Y"))=0,"",'Dvd Calendar'!$X$1784)))</f>
        <v/>
      </c>
      <c r="W180" s="110">
        <f>IF(EY180="","",IF(ISNUMBER('Dvd Calendar'!$Y$1784)=FALSE,"",IF((('Dvd Calendar'!$Y$1786=TYPE1)*(TYPE1&lt;&gt;"")+('Dvd Calendar'!$Y$1786=TYPE2)*(TYPE2&lt;&gt;"")+('Dvd Calendar'!$Y$1786=TYPE3)*(TYPE3&lt;&gt;"")+('Dvd Calendar'!$Y$1786=TYPE4)*(TYPE4&lt;&gt;"")+('Dvd Calendar'!$Y$1786=SPECIAL_LBL)*(INC_SPECIALS="Y"))=0,"",'Dvd Calendar'!$Y$1784)))</f>
        <v/>
      </c>
      <c r="X180" s="110">
        <f>IF(EZ180="","",IF(ISNUMBER('Dvd Calendar'!$Z$1784)=FALSE,"",IF((('Dvd Calendar'!$Z$1786=TYPE1)*(TYPE1&lt;&gt;"")+('Dvd Calendar'!$Z$1786=TYPE2)*(TYPE2&lt;&gt;"")+('Dvd Calendar'!$Z$1786=TYPE3)*(TYPE3&lt;&gt;"")+('Dvd Calendar'!$Z$1786=TYPE4)*(TYPE4&lt;&gt;"")+('Dvd Calendar'!$Z$1786=SPECIAL_LBL)*(INC_SPECIALS="Y"))=0,"",'Dvd Calendar'!$Z$1784)))</f>
        <v/>
      </c>
      <c r="Y180" s="110">
        <f>IF(FA180="","",IF(ISNUMBER('Dvd Calendar'!$AA$1784)=FALSE,"",IF((('Dvd Calendar'!$AA$1786=TYPE1)*(TYPE1&lt;&gt;"")+('Dvd Calendar'!$AA$1786=TYPE2)*(TYPE2&lt;&gt;"")+('Dvd Calendar'!$AA$1786=TYPE3)*(TYPE3&lt;&gt;"")+('Dvd Calendar'!$AA$1786=TYPE4)*(TYPE4&lt;&gt;"")+('Dvd Calendar'!$AA$1786=SPECIAL_LBL)*(INC_SPECIALS="Y"))=0,"",'Dvd Calendar'!$AA$1784)))</f>
        <v/>
      </c>
      <c r="Z180" s="110">
        <f>IF(FB180="","",IF(ISNUMBER('Dvd Calendar'!$AB$1784)=FALSE,"",IF((('Dvd Calendar'!$AB$1786=TYPE1)*(TYPE1&lt;&gt;"")+('Dvd Calendar'!$AB$1786=TYPE2)*(TYPE2&lt;&gt;"")+('Dvd Calendar'!$AB$1786=TYPE3)*(TYPE3&lt;&gt;"")+('Dvd Calendar'!$AB$1786=TYPE4)*(TYPE4&lt;&gt;"")+('Dvd Calendar'!$AB$1786=SPECIAL_LBL)*(INC_SPECIALS="Y"))=0,"",'Dvd Calendar'!$AB$1784)))</f>
        <v/>
      </c>
      <c r="AA180" s="110">
        <f>IF(FC180="","",IF(ISNUMBER('Dvd Calendar'!$AC$1784)=FALSE,"",IF((('Dvd Calendar'!$AC$1786=TYPE1)*(TYPE1&lt;&gt;"")+('Dvd Calendar'!$AC$1786=TYPE2)*(TYPE2&lt;&gt;"")+('Dvd Calendar'!$AC$1786=TYPE3)*(TYPE3&lt;&gt;"")+('Dvd Calendar'!$AC$1786=TYPE4)*(TYPE4&lt;&gt;"")+('Dvd Calendar'!$AC$1786=SPECIAL_LBL)*(INC_SPECIALS="Y"))=0,"",'Dvd Calendar'!$AC$1784)))</f>
        <v/>
      </c>
      <c r="AB180" s="110">
        <f>IF(FD180="","",IF(ISNUMBER('Dvd Calendar'!$AD$1784)=FALSE,"",IF((('Dvd Calendar'!$AD$1786=TYPE1)*(TYPE1&lt;&gt;"")+('Dvd Calendar'!$AD$1786=TYPE2)*(TYPE2&lt;&gt;"")+('Dvd Calendar'!$AD$1786=TYPE3)*(TYPE3&lt;&gt;"")+('Dvd Calendar'!$AD$1786=TYPE4)*(TYPE4&lt;&gt;"")+('Dvd Calendar'!$AD$1786=SPECIAL_LBL)*(INC_SPECIALS="Y"))=0,"",'Dvd Calendar'!$AD$1784)))</f>
        <v/>
      </c>
      <c r="AC180" s="110">
        <f>IF(FE180="","",IF(ISNUMBER('Dvd Calendar'!$AE$1784)=FALSE,"",IF((('Dvd Calendar'!$AE$1786=TYPE1)*(TYPE1&lt;&gt;"")+('Dvd Calendar'!$AE$1786=TYPE2)*(TYPE2&lt;&gt;"")+('Dvd Calendar'!$AE$1786=TYPE3)*(TYPE3&lt;&gt;"")+('Dvd Calendar'!$AE$1786=TYPE4)*(TYPE4&lt;&gt;"")+('Dvd Calendar'!$AE$1786=SPECIAL_LBL)*(INC_SPECIALS="Y"))=0,"",'Dvd Calendar'!$AE$1784)))</f>
        <v/>
      </c>
      <c r="AD180" s="110">
        <f>IF(FF180="","",IF(ISNUMBER('Dvd Calendar'!$AF$1784)=FALSE,"",IF((('Dvd Calendar'!$AF$1786=TYPE1)*(TYPE1&lt;&gt;"")+('Dvd Calendar'!$AF$1786=TYPE2)*(TYPE2&lt;&gt;"")+('Dvd Calendar'!$AF$1786=TYPE3)*(TYPE3&lt;&gt;"")+('Dvd Calendar'!$AF$1786=TYPE4)*(TYPE4&lt;&gt;"")+('Dvd Calendar'!$AF$1786=SPECIAL_LBL)*(INC_SPECIALS="Y"))=0,"",'Dvd Calendar'!$AF$1784)))</f>
        <v/>
      </c>
      <c r="AE180" s="110">
        <f>IF(FG180="","",IF(ISNUMBER('Dvd Calendar'!$AG$1784)=FALSE,"",IF((('Dvd Calendar'!$AG$1786=TYPE1)*(TYPE1&lt;&gt;"")+('Dvd Calendar'!$AG$1786=TYPE2)*(TYPE2&lt;&gt;"")+('Dvd Calendar'!$AG$1786=TYPE3)*(TYPE3&lt;&gt;"")+('Dvd Calendar'!$AG$1786=TYPE4)*(TYPE4&lt;&gt;"")+('Dvd Calendar'!$AG$1786=SPECIAL_LBL)*(INC_SPECIALS="Y"))=0,"",'Dvd Calendar'!$AG$1784)))</f>
        <v/>
      </c>
      <c r="AF180" s="110">
        <f>IF(FH180="","",IF(ISNUMBER('Dvd Calendar'!$AH$1784)=FALSE,"",IF((('Dvd Calendar'!$AH$1786=TYPE1)*(TYPE1&lt;&gt;"")+('Dvd Calendar'!$AH$1786=TYPE2)*(TYPE2&lt;&gt;"")+('Dvd Calendar'!$AH$1786=TYPE3)*(TYPE3&lt;&gt;"")+('Dvd Calendar'!$AH$1786=TYPE4)*(TYPE4&lt;&gt;"")+('Dvd Calendar'!$AH$1786=SPECIAL_LBL)*(INC_SPECIALS="Y"))=0,"",'Dvd Calendar'!$AH$1784)))</f>
        <v/>
      </c>
      <c r="AG180" s="110">
        <f>IF(FI180="","",IF(ISNUMBER('Dvd Calendar'!$AI$1784)=FALSE,"",IF((('Dvd Calendar'!$AI$1786=TYPE1)*(TYPE1&lt;&gt;"")+('Dvd Calendar'!$AI$1786=TYPE2)*(TYPE2&lt;&gt;"")+('Dvd Calendar'!$AI$1786=TYPE3)*(TYPE3&lt;&gt;"")+('Dvd Calendar'!$AI$1786=TYPE4)*(TYPE4&lt;&gt;"")+('Dvd Calendar'!$AI$1786=SPECIAL_LBL)*(INC_SPECIALS="Y"))=0,"",'Dvd Calendar'!$AI$1784)))</f>
        <v/>
      </c>
      <c r="AH180" s="110">
        <f>IF(FJ180="","",IF(ISNUMBER('Dvd Calendar'!$AJ$1784)=FALSE,"",IF((('Dvd Calendar'!$AJ$1786=TYPE1)*(TYPE1&lt;&gt;"")+('Dvd Calendar'!$AJ$1786=TYPE2)*(TYPE2&lt;&gt;"")+('Dvd Calendar'!$AJ$1786=TYPE3)*(TYPE3&lt;&gt;"")+('Dvd Calendar'!$AJ$1786=TYPE4)*(TYPE4&lt;&gt;"")+('Dvd Calendar'!$AJ$1786=SPECIAL_LBL)*(INC_SPECIALS="Y"))=0,"",'Dvd Calendar'!$AJ$1784)))</f>
        <v/>
      </c>
      <c r="AI180" s="110">
        <f>IF(FK180="","",IF(ISNUMBER('Dvd Calendar'!$AK$1784)=FALSE,"",IF((('Dvd Calendar'!$AK$1786=TYPE1)*(TYPE1&lt;&gt;"")+('Dvd Calendar'!$AK$1786=TYPE2)*(TYPE2&lt;&gt;"")+('Dvd Calendar'!$AK$1786=TYPE3)*(TYPE3&lt;&gt;"")+('Dvd Calendar'!$AK$1786=TYPE4)*(TYPE4&lt;&gt;"")+('Dvd Calendar'!$AK$1786=SPECIAL_LBL)*(INC_SPECIALS="Y"))=0,"",'Dvd Calendar'!$AK$1784)))</f>
        <v/>
      </c>
      <c r="AJ180" s="110">
        <f>IF(FL180="","",IF(ISNUMBER('Dvd Calendar'!$AL$1784)=FALSE,"",IF((('Dvd Calendar'!$AL$1786=TYPE1)*(TYPE1&lt;&gt;"")+('Dvd Calendar'!$AL$1786=TYPE2)*(TYPE2&lt;&gt;"")+('Dvd Calendar'!$AL$1786=TYPE3)*(TYPE3&lt;&gt;"")+('Dvd Calendar'!$AL$1786=TYPE4)*(TYPE4&lt;&gt;"")+('Dvd Calendar'!$AL$1786=SPECIAL_LBL)*(INC_SPECIALS="Y"))=0,"",'Dvd Calendar'!$AL$1784)))</f>
        <v/>
      </c>
      <c r="AK180" s="110">
        <f>IF(FM180="","",IF(ISNUMBER('Dvd Calendar'!$AM$1784)=FALSE,"",IF((('Dvd Calendar'!$AM$1786=TYPE1)*(TYPE1&lt;&gt;"")+('Dvd Calendar'!$AM$1786=TYPE2)*(TYPE2&lt;&gt;"")+('Dvd Calendar'!$AM$1786=TYPE3)*(TYPE3&lt;&gt;"")+('Dvd Calendar'!$AM$1786=TYPE4)*(TYPE4&lt;&gt;"")+('Dvd Calendar'!$AM$1786=SPECIAL_LBL)*(INC_SPECIALS="Y"))=0,"",'Dvd Calendar'!$AM$1784)))</f>
        <v/>
      </c>
      <c r="AL180" s="110">
        <f>IF(FN180="","",IF(ISNUMBER('Dvd Calendar'!$AN$1784)=FALSE,"",IF((('Dvd Calendar'!$AN$1786=TYPE1)*(TYPE1&lt;&gt;"")+('Dvd Calendar'!$AN$1786=TYPE2)*(TYPE2&lt;&gt;"")+('Dvd Calendar'!$AN$1786=TYPE3)*(TYPE3&lt;&gt;"")+('Dvd Calendar'!$AN$1786=TYPE4)*(TYPE4&lt;&gt;"")+('Dvd Calendar'!$AN$1786=SPECIAL_LBL)*(INC_SPECIALS="Y"))=0,"",'Dvd Calendar'!$AN$1784)))</f>
        <v/>
      </c>
      <c r="AM180" s="110">
        <f>IF(FO180="","",IF(ISNUMBER('Dvd Calendar'!$AO$1784)=FALSE,"",IF((('Dvd Calendar'!$AO$1786=TYPE1)*(TYPE1&lt;&gt;"")+('Dvd Calendar'!$AO$1786=TYPE2)*(TYPE2&lt;&gt;"")+('Dvd Calendar'!$AO$1786=TYPE3)*(TYPE3&lt;&gt;"")+('Dvd Calendar'!$AO$1786=TYPE4)*(TYPE4&lt;&gt;"")+('Dvd Calendar'!$AO$1786=SPECIAL_LBL)*(INC_SPECIALS="Y"))=0,"",'Dvd Calendar'!$AO$1784)))</f>
        <v/>
      </c>
      <c r="AN180" s="110">
        <f>IF(FP180="","",IF(ISNUMBER('Dvd Calendar'!$AP$1784)=FALSE,"",IF((('Dvd Calendar'!$AP$1786=TYPE1)*(TYPE1&lt;&gt;"")+('Dvd Calendar'!$AP$1786=TYPE2)*(TYPE2&lt;&gt;"")+('Dvd Calendar'!$AP$1786=TYPE3)*(TYPE3&lt;&gt;"")+('Dvd Calendar'!$AP$1786=TYPE4)*(TYPE4&lt;&gt;"")+('Dvd Calendar'!$AP$1786=SPECIAL_LBL)*(INC_SPECIALS="Y"))=0,"",'Dvd Calendar'!$AP$1784)))</f>
        <v/>
      </c>
      <c r="AO180" s="110">
        <f>IF(FQ180="","",IF(ISNUMBER('Dvd Calendar'!$AQ$1784)=FALSE,"",IF((('Dvd Calendar'!$AQ$1786=TYPE1)*(TYPE1&lt;&gt;"")+('Dvd Calendar'!$AQ$1786=TYPE2)*(TYPE2&lt;&gt;"")+('Dvd Calendar'!$AQ$1786=TYPE3)*(TYPE3&lt;&gt;"")+('Dvd Calendar'!$AQ$1786=TYPE4)*(TYPE4&lt;&gt;"")+('Dvd Calendar'!$AQ$1786=SPECIAL_LBL)*(INC_SPECIALS="Y"))=0,"",'Dvd Calendar'!$AQ$1784)))</f>
        <v/>
      </c>
      <c r="AP180" s="110">
        <f>IF(FR180="","",IF(ISNUMBER('Dvd Calendar'!$AR$1784)=FALSE,"",IF((('Dvd Calendar'!$AR$1786=TYPE1)*(TYPE1&lt;&gt;"")+('Dvd Calendar'!$AR$1786=TYPE2)*(TYPE2&lt;&gt;"")+('Dvd Calendar'!$AR$1786=TYPE3)*(TYPE3&lt;&gt;"")+('Dvd Calendar'!$AR$1786=TYPE4)*(TYPE4&lt;&gt;"")+('Dvd Calendar'!$AR$1786=SPECIAL_LBL)*(INC_SPECIALS="Y"))=0,"",'Dvd Calendar'!$AR$1784)))</f>
        <v/>
      </c>
      <c r="AQ180" s="110">
        <f>IF(FS180="","",IF(ISNUMBER('Dvd Calendar'!$E$1789)=FALSE,"",'Dvd Calendar'!$E$1789))</f>
        <v/>
      </c>
      <c r="AR180" s="110">
        <f>IF(FT180="","",IF(ISNUMBER('Dvd Calendar'!$F$1789)=FALSE,"",'Dvd Calendar'!$F$1789))</f>
        <v/>
      </c>
      <c r="AS180" s="110">
        <f>IF(FU180="","",IF(ISNUMBER('Dvd Calendar'!$G$1789)=FALSE,"",'Dvd Calendar'!$G$1789))</f>
        <v/>
      </c>
      <c r="AT180" s="110">
        <f>IF(FV180="","",IF(ISNUMBER('Dvd Calendar'!$H$1789)=FALSE,"",'Dvd Calendar'!$H$1789))</f>
        <v/>
      </c>
      <c r="AU180" s="110">
        <f>IF(FW180="","",IF(ISNUMBER('Dvd Calendar'!$I$1789)=FALSE,"",'Dvd Calendar'!$I$1789))</f>
        <v/>
      </c>
      <c r="AV180" s="110">
        <f>IF(FX180="","",IF(ISNUMBER('Dvd Calendar'!$J$1789)=FALSE,"",'Dvd Calendar'!$J$1789))</f>
        <v/>
      </c>
      <c r="AW180" s="110">
        <f>IF(FY180="","",IF(ISNUMBER('Dvd Calendar'!$K$1789)=FALSE,"",'Dvd Calendar'!$K$1789))</f>
        <v/>
      </c>
      <c r="AX180" s="110">
        <f>IF(FZ180="","",IF(ISNUMBER('Dvd Calendar'!$L$1789)=FALSE,"",'Dvd Calendar'!$L$1789))</f>
        <v/>
      </c>
      <c r="AY180" s="110">
        <f>IF(GA180="","",IF(ISNUMBER('Dvd Calendar'!$M$1789)=FALSE,"",'Dvd Calendar'!$M$1789))</f>
        <v/>
      </c>
      <c r="AZ180" s="110">
        <f>IF(GB180="","",IF(ISNUMBER('Dvd Calendar'!$N$1789)=FALSE,"",'Dvd Calendar'!$N$1789))</f>
        <v/>
      </c>
      <c r="BA180" s="110">
        <f>IF(GC180="","",IF(ISNUMBER('Dvd Calendar'!$O$1789)=FALSE,"",'Dvd Calendar'!$O$1789))</f>
        <v/>
      </c>
      <c r="BB180" s="110">
        <f>IF(GD180="","",IF(ISNUMBER('Dvd Calendar'!$P$1789)=FALSE,"",'Dvd Calendar'!$P$1789))</f>
        <v/>
      </c>
      <c r="BC180" s="110">
        <f>IF(GE180="","",IF(ISNUMBER('Dvd Calendar'!$Q$1789)=FALSE,"",'Dvd Calendar'!$Q$1789))</f>
        <v/>
      </c>
      <c r="BD180" s="110">
        <f>IF(GF180="","",IF(ISNUMBER('Dvd Calendar'!$R$1789)=FALSE,"",'Dvd Calendar'!$R$1789))</f>
        <v/>
      </c>
      <c r="BE180" s="110">
        <f>IF(GG180="","",IF(ISNUMBER('Dvd Calendar'!$S$1789)=FALSE,"",'Dvd Calendar'!$S$1789))</f>
        <v/>
      </c>
      <c r="BF180" s="110">
        <f>IF(GH180="","",IF(ISNUMBER('Dvd Calendar'!$T$1789)=FALSE,"",'Dvd Calendar'!$T$1789))</f>
        <v/>
      </c>
      <c r="BG180" s="110">
        <f>IF(GI180="","",IF(ISNUMBER('Dvd Calendar'!$U$1789)=FALSE,"",'Dvd Calendar'!$U$1789))</f>
        <v/>
      </c>
      <c r="BH180" s="110">
        <f>IF(GJ180="","",IF(ISNUMBER('Dvd Calendar'!$V$1789)=FALSE,"",'Dvd Calendar'!$V$1789))</f>
        <v/>
      </c>
      <c r="BI180" s="110">
        <f>IF(GK180="","",IF(ISNUMBER('Dvd Calendar'!$W$1789)=FALSE,"",'Dvd Calendar'!$W$1789))</f>
        <v/>
      </c>
      <c r="BJ180" s="110">
        <f>IF(GL180="","",IF(ISNUMBER('Dvd Calendar'!$X$1789)=FALSE,"",'Dvd Calendar'!$X$1789))</f>
        <v/>
      </c>
      <c r="BK180" s="110">
        <f>IF(GM180="","",IF(ISNUMBER('Dvd Calendar'!$Y$1789)=FALSE,"",'Dvd Calendar'!$Y$1789))</f>
        <v/>
      </c>
      <c r="BL180" s="110">
        <f>IF(GN180="","",IF(ISNUMBER('Dvd Calendar'!$Z$1789)=FALSE,"",'Dvd Calendar'!$Z$1789))</f>
        <v/>
      </c>
      <c r="BM180" s="110">
        <f>IF(GO180="","",IF(ISNUMBER('Dvd Calendar'!$AA$1789)=FALSE,"",'Dvd Calendar'!$AA$1789))</f>
        <v/>
      </c>
      <c r="BN180" s="110">
        <f>IF(GP180="","",IF(ISNUMBER('Dvd Calendar'!$AB$1789)=FALSE,"",'Dvd Calendar'!$AB$1789))</f>
        <v/>
      </c>
      <c r="BO180" s="110">
        <f>IF(GQ180="","",IF(ISNUMBER('Dvd Calendar'!$AC$1789)=FALSE,"",'Dvd Calendar'!$AC$1789))</f>
        <v/>
      </c>
      <c r="BQ180" s="110">
        <f>IF(C180="","",IFERROR(C180*HSCEI!$B$27*HSCEI!$G$27/HSCEI!$B$3,""))</f>
        <v/>
      </c>
      <c r="BR180" s="110">
        <f>IF(D180="","",IFERROR(D180*HSCEI!$B$27*HSCEI!$G$27/HSCEI!$B$3,""))</f>
        <v/>
      </c>
      <c r="BS180" s="110">
        <f>IF(E180="","",IFERROR(E180*HSCEI!$B$27*HSCEI!$G$27/HSCEI!$B$3,""))</f>
        <v/>
      </c>
      <c r="BT180" s="110">
        <f>IF(F180="","",IFERROR(F180*HSCEI!$B$27*HSCEI!$G$27/HSCEI!$B$3,""))</f>
        <v/>
      </c>
      <c r="BU180" s="110">
        <f>IF(G180="","",IFERROR(G180*HSCEI!$B$27*HSCEI!$G$27/HSCEI!$B$3,""))</f>
        <v/>
      </c>
      <c r="BV180" s="110">
        <f>IF(H180="","",IFERROR(H180*HSCEI!$B$27*HSCEI!$G$27/HSCEI!$B$3,""))</f>
        <v/>
      </c>
      <c r="BW180" s="110">
        <f>IF(I180="","",IFERROR(I180*HSCEI!$B$27*HSCEI!$G$27/HSCEI!$B$3,""))</f>
        <v/>
      </c>
      <c r="BX180" s="110">
        <f>IF(J180="","",IFERROR(J180*HSCEI!$B$27*HSCEI!$G$27/HSCEI!$B$3,""))</f>
        <v/>
      </c>
      <c r="BY180" s="110">
        <f>IF(K180="","",IFERROR(K180*HSCEI!$B$27*HSCEI!$G$27/HSCEI!$B$3,""))</f>
        <v/>
      </c>
      <c r="BZ180" s="110">
        <f>IF(L180="","",IFERROR(L180*HSCEI!$B$27*HSCEI!$G$27/HSCEI!$B$3,""))</f>
        <v/>
      </c>
      <c r="CA180" s="110">
        <f>IF(M180="","",IFERROR(M180*HSCEI!$B$27*HSCEI!$G$27/HSCEI!$B$3,""))</f>
        <v/>
      </c>
      <c r="CB180" s="110">
        <f>IF(N180="","",IFERROR(N180*HSCEI!$B$27*HSCEI!$G$27/HSCEI!$B$3,""))</f>
        <v/>
      </c>
      <c r="CC180" s="110">
        <f>IF(O180="","",IFERROR(O180*HSCEI!$B$27*HSCEI!$G$27/HSCEI!$B$3,""))</f>
        <v/>
      </c>
      <c r="CD180" s="110">
        <f>IF(P180="","",IFERROR(P180*HSCEI!$B$27*HSCEI!$G$27/HSCEI!$B$3,""))</f>
        <v/>
      </c>
      <c r="CE180" s="110">
        <f>IF(Q180="","",IFERROR(Q180*HSCEI!$B$27*HSCEI!$G$27/HSCEI!$B$3,""))</f>
        <v/>
      </c>
      <c r="CF180" s="110">
        <f>IF(R180="","",IFERROR(R180*HSCEI!$B$27*HSCEI!$G$27/HSCEI!$B$3,""))</f>
        <v/>
      </c>
      <c r="CG180" s="110">
        <f>IF(S180="","",IFERROR(S180*HSCEI!$B$27*HSCEI!$G$27/HSCEI!$B$3,""))</f>
        <v/>
      </c>
      <c r="CH180" s="110">
        <f>IF(T180="","",IFERROR(T180*HSCEI!$B$27*HSCEI!$G$27/HSCEI!$B$3,""))</f>
        <v/>
      </c>
      <c r="CI180" s="110">
        <f>IF(U180="","",IFERROR(U180*HSCEI!$B$27*HSCEI!$G$27/HSCEI!$B$3,""))</f>
        <v/>
      </c>
      <c r="CJ180" s="110">
        <f>IF(V180="","",IFERROR(V180*HSCEI!$B$27*HSCEI!$G$27/HSCEI!$B$3,""))</f>
        <v/>
      </c>
      <c r="CK180" s="110">
        <f>IF(W180="","",IFERROR(W180*HSCEI!$B$27*HSCEI!$G$27/HSCEI!$B$3,""))</f>
        <v/>
      </c>
      <c r="CL180" s="110">
        <f>IF(X180="","",IFERROR(X180*HSCEI!$B$27*HSCEI!$G$27/HSCEI!$B$3,""))</f>
        <v/>
      </c>
      <c r="CM180" s="110">
        <f>IF(Y180="","",IFERROR(Y180*HSCEI!$B$27*HSCEI!$G$27/HSCEI!$B$3,""))</f>
        <v/>
      </c>
      <c r="CN180" s="110">
        <f>IF(Z180="","",IFERROR(Z180*HSCEI!$B$27*HSCEI!$G$27/HSCEI!$B$3,""))</f>
        <v/>
      </c>
      <c r="CO180" s="110">
        <f>IF(AA180="","",IFERROR(AA180*HSCEI!$B$27*HSCEI!$G$27/HSCEI!$B$3,""))</f>
        <v/>
      </c>
      <c r="CP180" s="110">
        <f>IF(AB180="","",IFERROR(AB180*HSCEI!$B$27*HSCEI!$G$27/HSCEI!$B$3,""))</f>
        <v/>
      </c>
      <c r="CQ180" s="110">
        <f>IF(AC180="","",IFERROR(AC180*HSCEI!$B$27*HSCEI!$G$27/HSCEI!$B$3,""))</f>
        <v/>
      </c>
      <c r="CR180" s="110">
        <f>IF(AD180="","",IFERROR(AD180*HSCEI!$B$27*HSCEI!$G$27/HSCEI!$B$3,""))</f>
        <v/>
      </c>
      <c r="CS180" s="110">
        <f>IF(AE180="","",IFERROR(AE180*HSCEI!$B$27*HSCEI!$G$27/HSCEI!$B$3,""))</f>
        <v/>
      </c>
      <c r="CT180" s="110">
        <f>IF(AF180="","",IFERROR(AF180*HSCEI!$B$27*HSCEI!$G$27/HSCEI!$B$3,""))</f>
        <v/>
      </c>
      <c r="CU180" s="110">
        <f>IF(AG180="","",IFERROR(AG180*HSCEI!$B$27*HSCEI!$G$27/HSCEI!$B$3,""))</f>
        <v/>
      </c>
      <c r="CV180" s="110">
        <f>IF(AH180="","",IFERROR(AH180*HSCEI!$B$27*HSCEI!$G$27/HSCEI!$B$3,""))</f>
        <v/>
      </c>
      <c r="CW180" s="110">
        <f>IF(AI180="","",IFERROR(AI180*HSCEI!$B$27*HSCEI!$G$27/HSCEI!$B$3,""))</f>
        <v/>
      </c>
      <c r="CX180" s="110">
        <f>IF(AJ180="","",IFERROR(AJ180*HSCEI!$B$27*HSCEI!$G$27/HSCEI!$B$3,""))</f>
        <v/>
      </c>
      <c r="CY180" s="110">
        <f>IF(AK180="","",IFERROR(AK180*HSCEI!$B$27*HSCEI!$G$27/HSCEI!$B$3,""))</f>
        <v/>
      </c>
      <c r="CZ180" s="110">
        <f>IF(AL180="","",IFERROR(AL180*HSCEI!$B$27*HSCEI!$G$27/HSCEI!$B$3,""))</f>
        <v/>
      </c>
      <c r="DA180" s="110">
        <f>IF(AM180="","",IFERROR(AM180*HSCEI!$B$27*HSCEI!$G$27/HSCEI!$B$3,""))</f>
        <v/>
      </c>
      <c r="DB180" s="110">
        <f>IF(AN180="","",IFERROR(AN180*HSCEI!$B$27*HSCEI!$G$27/HSCEI!$B$3,""))</f>
        <v/>
      </c>
      <c r="DC180" s="110">
        <f>IF(AO180="","",IFERROR(AO180*HSCEI!$B$27*HSCEI!$G$27/HSCEI!$B$3,""))</f>
        <v/>
      </c>
      <c r="DD180" s="110">
        <f>IF(AP180="","",IFERROR(AP180*HSCEI!$B$27*HSCEI!$G$27/HSCEI!$B$3,""))</f>
        <v/>
      </c>
      <c r="DE180" s="110">
        <f>IF(AQ180="","",IFERROR(AQ180*HSCEI!$B$27*HSCEI!$G$27/HSCEI!$B$3,""))</f>
        <v/>
      </c>
      <c r="DF180" s="110">
        <f>IF(AR180="","",IFERROR(AR180*HSCEI!$B$27*HSCEI!$G$27/HSCEI!$B$3,""))</f>
        <v/>
      </c>
      <c r="DG180" s="110">
        <f>IF(AS180="","",IFERROR(AS180*HSCEI!$B$27*HSCEI!$G$27/HSCEI!$B$3,""))</f>
        <v/>
      </c>
      <c r="DH180" s="110">
        <f>IF(AT180="","",IFERROR(AT180*HSCEI!$B$27*HSCEI!$G$27/HSCEI!$B$3,""))</f>
        <v/>
      </c>
      <c r="DI180" s="110">
        <f>IF(AU180="","",IFERROR(AU180*HSCEI!$B$27*HSCEI!$G$27/HSCEI!$B$3,""))</f>
        <v/>
      </c>
      <c r="DJ180" s="110">
        <f>IF(AV180="","",IFERROR(AV180*HSCEI!$B$27*HSCEI!$G$27/HSCEI!$B$3,""))</f>
        <v/>
      </c>
      <c r="DK180" s="110">
        <f>IF(AW180="","",IFERROR(AW180*HSCEI!$B$27*HSCEI!$G$27/HSCEI!$B$3,""))</f>
        <v/>
      </c>
      <c r="DL180" s="110">
        <f>IF(AX180="","",IFERROR(AX180*HSCEI!$B$27*HSCEI!$G$27/HSCEI!$B$3,""))</f>
        <v/>
      </c>
      <c r="DM180" s="110">
        <f>IF(AY180="","",IFERROR(AY180*HSCEI!$B$27*HSCEI!$G$27/HSCEI!$B$3,""))</f>
        <v/>
      </c>
      <c r="DN180" s="110">
        <f>IF(AZ180="","",IFERROR(AZ180*HSCEI!$B$27*HSCEI!$G$27/HSCEI!$B$3,""))</f>
        <v/>
      </c>
      <c r="DO180" s="110">
        <f>IF(BA180="","",IFERROR(BA180*HSCEI!$B$27*HSCEI!$G$27/HSCEI!$B$3,""))</f>
        <v/>
      </c>
      <c r="DP180" s="110">
        <f>IF(BB180="","",IFERROR(BB180*HSCEI!$B$27*HSCEI!$G$27/HSCEI!$B$3,""))</f>
        <v/>
      </c>
      <c r="DQ180" s="110">
        <f>IF(BC180="","",IFERROR(BC180*HSCEI!$B$27*HSCEI!$G$27/HSCEI!$B$3,""))</f>
        <v/>
      </c>
      <c r="DR180" s="110">
        <f>IF(BD180="","",IFERROR(BD180*HSCEI!$B$27*HSCEI!$G$27/HSCEI!$B$3,""))</f>
        <v/>
      </c>
      <c r="DS180" s="110">
        <f>IF(BE180="","",IFERROR(BE180*HSCEI!$B$27*HSCEI!$G$27/HSCEI!$B$3,""))</f>
        <v/>
      </c>
      <c r="DT180" s="110">
        <f>IF(BF180="","",IFERROR(BF180*HSCEI!$B$27*HSCEI!$G$27/HSCEI!$B$3,""))</f>
        <v/>
      </c>
      <c r="DU180" s="110">
        <f>IF(BG180="","",IFERROR(BG180*HSCEI!$B$27*HSCEI!$G$27/HSCEI!$B$3,""))</f>
        <v/>
      </c>
      <c r="DV180" s="110">
        <f>IF(BH180="","",IFERROR(BH180*HSCEI!$B$27*HSCEI!$G$27/HSCEI!$B$3,""))</f>
        <v/>
      </c>
      <c r="DW180" s="110">
        <f>IF(BI180="","",IFERROR(BI180*HSCEI!$B$27*HSCEI!$G$27/HSCEI!$B$3,""))</f>
        <v/>
      </c>
      <c r="DX180" s="110">
        <f>IF(BJ180="","",IFERROR(BJ180*HSCEI!$B$27*HSCEI!$G$27/HSCEI!$B$3,""))</f>
        <v/>
      </c>
      <c r="DY180" s="110">
        <f>IF(BK180="","",IFERROR(BK180*HSCEI!$B$27*HSCEI!$G$27/HSCEI!$B$3,""))</f>
        <v/>
      </c>
      <c r="DZ180" s="110">
        <f>IF(BL180="","",IFERROR(BL180*HSCEI!$B$27*HSCEI!$G$27/HSCEI!$B$3,""))</f>
        <v/>
      </c>
      <c r="EA180" s="110">
        <f>IF(BM180="","",IFERROR(BM180*HSCEI!$B$27*HSCEI!$G$27/HSCEI!$B$3,""))</f>
        <v/>
      </c>
      <c r="EB180" s="110">
        <f>IF(BN180="","",IFERROR(BN180*HSCEI!$B$27*HSCEI!$G$27/HSCEI!$B$3,""))</f>
        <v/>
      </c>
      <c r="EC180" s="110">
        <f>IF(BO180="","",IFERROR(BO180*HSCEI!$B$27*HSCEI!$G$27/HSCEI!$B$3,""))</f>
        <v/>
      </c>
      <c r="EE180" s="39">
        <f>IF(N('Dvd Calendar'!$E$1781)=0,"",IF(('Dvd Calendar'!$E$1781&gt;=GRID_FROM)*('Dvd Calendar'!$E$1781&lt;=GRID_TO)*((('Dvd Calendar'!$E$1781&lt;=VAL_DATE)+(COUNTIF('Dvd Calendar'!$E$1788:$AR$1788,'Dvd Calendar'!$E$1781)=0))&gt;0)=0,"",'Dvd Calendar'!$E$1781*1000000000+ISNUMBER('Dvd Calendar'!$E$1784)*100000000+('Dvd Calendar'!$E$1786=SPECIAL_LBL)*10000000+(N('Dvd Calendar'!$E$1780)&gt;0)*(N('Dvd Calendar'!$E$1780)&lt;=VAL_SERIAL)*1000000+21*1000+1))</f>
        <v/>
      </c>
      <c r="EF180" s="39">
        <f>IF(N('Dvd Calendar'!$F$1781)=0,"",IF(('Dvd Calendar'!$F$1781&gt;=GRID_FROM)*('Dvd Calendar'!$F$1781&lt;=GRID_TO)*((('Dvd Calendar'!$F$1781&lt;=VAL_DATE)+(COUNTIF('Dvd Calendar'!$E$1788:$AR$1788,'Dvd Calendar'!$F$1781)=0))&gt;0)=0,"",'Dvd Calendar'!$F$1781*1000000000+ISNUMBER('Dvd Calendar'!$F$1784)*100000000+('Dvd Calendar'!$F$1786=SPECIAL_LBL)*10000000+(N('Dvd Calendar'!$F$1780)&gt;0)*(N('Dvd Calendar'!$F$1780)&lt;=VAL_SERIAL)*1000000+21*1000+2))</f>
        <v/>
      </c>
      <c r="EG180" s="39">
        <f>IF(N('Dvd Calendar'!$G$1781)=0,"",IF(('Dvd Calendar'!$G$1781&gt;=GRID_FROM)*('Dvd Calendar'!$G$1781&lt;=GRID_TO)*((('Dvd Calendar'!$G$1781&lt;=VAL_DATE)+(COUNTIF('Dvd Calendar'!$E$1788:$AR$1788,'Dvd Calendar'!$G$1781)=0))&gt;0)=0,"",'Dvd Calendar'!$G$1781*1000000000+ISNUMBER('Dvd Calendar'!$G$1784)*100000000+('Dvd Calendar'!$G$1786=SPECIAL_LBL)*10000000+(N('Dvd Calendar'!$G$1780)&gt;0)*(N('Dvd Calendar'!$G$1780)&lt;=VAL_SERIAL)*1000000+21*1000+3))</f>
        <v/>
      </c>
      <c r="EH180" s="39">
        <f>IF(N('Dvd Calendar'!$H$1781)=0,"",IF(('Dvd Calendar'!$H$1781&gt;=GRID_FROM)*('Dvd Calendar'!$H$1781&lt;=GRID_TO)*((('Dvd Calendar'!$H$1781&lt;=VAL_DATE)+(COUNTIF('Dvd Calendar'!$E$1788:$AR$1788,'Dvd Calendar'!$H$1781)=0))&gt;0)=0,"",'Dvd Calendar'!$H$1781*1000000000+ISNUMBER('Dvd Calendar'!$H$1784)*100000000+('Dvd Calendar'!$H$1786=SPECIAL_LBL)*10000000+(N('Dvd Calendar'!$H$1780)&gt;0)*(N('Dvd Calendar'!$H$1780)&lt;=VAL_SERIAL)*1000000+21*1000+4))</f>
        <v/>
      </c>
      <c r="EI180" s="39">
        <f>IF(N('Dvd Calendar'!$I$1781)=0,"",IF(('Dvd Calendar'!$I$1781&gt;=GRID_FROM)*('Dvd Calendar'!$I$1781&lt;=GRID_TO)*((('Dvd Calendar'!$I$1781&lt;=VAL_DATE)+(COUNTIF('Dvd Calendar'!$E$1788:$AR$1788,'Dvd Calendar'!$I$1781)=0))&gt;0)=0,"",'Dvd Calendar'!$I$1781*1000000000+ISNUMBER('Dvd Calendar'!$I$1784)*100000000+('Dvd Calendar'!$I$1786=SPECIAL_LBL)*10000000+(N('Dvd Calendar'!$I$1780)&gt;0)*(N('Dvd Calendar'!$I$1780)&lt;=VAL_SERIAL)*1000000+21*1000+5))</f>
        <v/>
      </c>
      <c r="EJ180" s="39">
        <f>IF(N('Dvd Calendar'!$J$1781)=0,"",IF(('Dvd Calendar'!$J$1781&gt;=GRID_FROM)*('Dvd Calendar'!$J$1781&lt;=GRID_TO)*((('Dvd Calendar'!$J$1781&lt;=VAL_DATE)+(COUNTIF('Dvd Calendar'!$E$1788:$AR$1788,'Dvd Calendar'!$J$1781)=0))&gt;0)=0,"",'Dvd Calendar'!$J$1781*1000000000+ISNUMBER('Dvd Calendar'!$J$1784)*100000000+('Dvd Calendar'!$J$1786=SPECIAL_LBL)*10000000+(N('Dvd Calendar'!$J$1780)&gt;0)*(N('Dvd Calendar'!$J$1780)&lt;=VAL_SERIAL)*1000000+21*1000+6))</f>
        <v/>
      </c>
      <c r="EK180" s="39">
        <f>IF(N('Dvd Calendar'!$K$1781)=0,"",IF(('Dvd Calendar'!$K$1781&gt;=GRID_FROM)*('Dvd Calendar'!$K$1781&lt;=GRID_TO)*((('Dvd Calendar'!$K$1781&lt;=VAL_DATE)+(COUNTIF('Dvd Calendar'!$E$1788:$AR$1788,'Dvd Calendar'!$K$1781)=0))&gt;0)=0,"",'Dvd Calendar'!$K$1781*1000000000+ISNUMBER('Dvd Calendar'!$K$1784)*100000000+('Dvd Calendar'!$K$1786=SPECIAL_LBL)*10000000+(N('Dvd Calendar'!$K$1780)&gt;0)*(N('Dvd Calendar'!$K$1780)&lt;=VAL_SERIAL)*1000000+21*1000+7))</f>
        <v/>
      </c>
      <c r="EL180" s="39">
        <f>IF(N('Dvd Calendar'!$L$1781)=0,"",IF(('Dvd Calendar'!$L$1781&gt;=GRID_FROM)*('Dvd Calendar'!$L$1781&lt;=GRID_TO)*((('Dvd Calendar'!$L$1781&lt;=VAL_DATE)+(COUNTIF('Dvd Calendar'!$E$1788:$AR$1788,'Dvd Calendar'!$L$1781)=0))&gt;0)=0,"",'Dvd Calendar'!$L$1781*1000000000+ISNUMBER('Dvd Calendar'!$L$1784)*100000000+('Dvd Calendar'!$L$1786=SPECIAL_LBL)*10000000+(N('Dvd Calendar'!$L$1780)&gt;0)*(N('Dvd Calendar'!$L$1780)&lt;=VAL_SERIAL)*1000000+21*1000+8))</f>
        <v/>
      </c>
      <c r="EM180" s="39">
        <f>IF(N('Dvd Calendar'!$M$1781)=0,"",IF(('Dvd Calendar'!$M$1781&gt;=GRID_FROM)*('Dvd Calendar'!$M$1781&lt;=GRID_TO)*((('Dvd Calendar'!$M$1781&lt;=VAL_DATE)+(COUNTIF('Dvd Calendar'!$E$1788:$AR$1788,'Dvd Calendar'!$M$1781)=0))&gt;0)=0,"",'Dvd Calendar'!$M$1781*1000000000+ISNUMBER('Dvd Calendar'!$M$1784)*100000000+('Dvd Calendar'!$M$1786=SPECIAL_LBL)*10000000+(N('Dvd Calendar'!$M$1780)&gt;0)*(N('Dvd Calendar'!$M$1780)&lt;=VAL_SERIAL)*1000000+21*1000+9))</f>
        <v/>
      </c>
      <c r="EN180" s="39">
        <f>IF(N('Dvd Calendar'!$N$1781)=0,"",IF(('Dvd Calendar'!$N$1781&gt;=GRID_FROM)*('Dvd Calendar'!$N$1781&lt;=GRID_TO)*((('Dvd Calendar'!$N$1781&lt;=VAL_DATE)+(COUNTIF('Dvd Calendar'!$E$1788:$AR$1788,'Dvd Calendar'!$N$1781)=0))&gt;0)=0,"",'Dvd Calendar'!$N$1781*1000000000+ISNUMBER('Dvd Calendar'!$N$1784)*100000000+('Dvd Calendar'!$N$1786=SPECIAL_LBL)*10000000+(N('Dvd Calendar'!$N$1780)&gt;0)*(N('Dvd Calendar'!$N$1780)&lt;=VAL_SERIAL)*1000000+21*1000+10))</f>
        <v/>
      </c>
      <c r="EO180" s="39">
        <f>IF(N('Dvd Calendar'!$O$1781)=0,"",IF(('Dvd Calendar'!$O$1781&gt;=GRID_FROM)*('Dvd Calendar'!$O$1781&lt;=GRID_TO)*((('Dvd Calendar'!$O$1781&lt;=VAL_DATE)+(COUNTIF('Dvd Calendar'!$E$1788:$AR$1788,'Dvd Calendar'!$O$1781)=0))&gt;0)=0,"",'Dvd Calendar'!$O$1781*1000000000+ISNUMBER('Dvd Calendar'!$O$1784)*100000000+('Dvd Calendar'!$O$1786=SPECIAL_LBL)*10000000+(N('Dvd Calendar'!$O$1780)&gt;0)*(N('Dvd Calendar'!$O$1780)&lt;=VAL_SERIAL)*1000000+21*1000+11))</f>
        <v/>
      </c>
      <c r="EP180" s="39">
        <f>IF(N('Dvd Calendar'!$P$1781)=0,"",IF(('Dvd Calendar'!$P$1781&gt;=GRID_FROM)*('Dvd Calendar'!$P$1781&lt;=GRID_TO)*((('Dvd Calendar'!$P$1781&lt;=VAL_DATE)+(COUNTIF('Dvd Calendar'!$E$1788:$AR$1788,'Dvd Calendar'!$P$1781)=0))&gt;0)=0,"",'Dvd Calendar'!$P$1781*1000000000+ISNUMBER('Dvd Calendar'!$P$1784)*100000000+('Dvd Calendar'!$P$1786=SPECIAL_LBL)*10000000+(N('Dvd Calendar'!$P$1780)&gt;0)*(N('Dvd Calendar'!$P$1780)&lt;=VAL_SERIAL)*1000000+21*1000+12))</f>
        <v/>
      </c>
      <c r="EQ180" s="39">
        <f>IF(N('Dvd Calendar'!$Q$1781)=0,"",IF(('Dvd Calendar'!$Q$1781&gt;=GRID_FROM)*('Dvd Calendar'!$Q$1781&lt;=GRID_TO)*((('Dvd Calendar'!$Q$1781&lt;=VAL_DATE)+(COUNTIF('Dvd Calendar'!$E$1788:$AR$1788,'Dvd Calendar'!$Q$1781)=0))&gt;0)=0,"",'Dvd Calendar'!$Q$1781*1000000000+ISNUMBER('Dvd Calendar'!$Q$1784)*100000000+('Dvd Calendar'!$Q$1786=SPECIAL_LBL)*10000000+(N('Dvd Calendar'!$Q$1780)&gt;0)*(N('Dvd Calendar'!$Q$1780)&lt;=VAL_SERIAL)*1000000+21*1000+13))</f>
        <v/>
      </c>
      <c r="ER180" s="39">
        <f>IF(N('Dvd Calendar'!$R$1781)=0,"",IF(('Dvd Calendar'!$R$1781&gt;=GRID_FROM)*('Dvd Calendar'!$R$1781&lt;=GRID_TO)*((('Dvd Calendar'!$R$1781&lt;=VAL_DATE)+(COUNTIF('Dvd Calendar'!$E$1788:$AR$1788,'Dvd Calendar'!$R$1781)=0))&gt;0)=0,"",'Dvd Calendar'!$R$1781*1000000000+ISNUMBER('Dvd Calendar'!$R$1784)*100000000+('Dvd Calendar'!$R$1786=SPECIAL_LBL)*10000000+(N('Dvd Calendar'!$R$1780)&gt;0)*(N('Dvd Calendar'!$R$1780)&lt;=VAL_SERIAL)*1000000+21*1000+14))</f>
        <v/>
      </c>
      <c r="ES180" s="39">
        <f>IF(N('Dvd Calendar'!$S$1781)=0,"",IF(('Dvd Calendar'!$S$1781&gt;=GRID_FROM)*('Dvd Calendar'!$S$1781&lt;=GRID_TO)*((('Dvd Calendar'!$S$1781&lt;=VAL_DATE)+(COUNTIF('Dvd Calendar'!$E$1788:$AR$1788,'Dvd Calendar'!$S$1781)=0))&gt;0)=0,"",'Dvd Calendar'!$S$1781*1000000000+ISNUMBER('Dvd Calendar'!$S$1784)*100000000+('Dvd Calendar'!$S$1786=SPECIAL_LBL)*10000000+(N('Dvd Calendar'!$S$1780)&gt;0)*(N('Dvd Calendar'!$S$1780)&lt;=VAL_SERIAL)*1000000+21*1000+15))</f>
        <v/>
      </c>
      <c r="ET180" s="39">
        <f>IF(N('Dvd Calendar'!$T$1781)=0,"",IF(('Dvd Calendar'!$T$1781&gt;=GRID_FROM)*('Dvd Calendar'!$T$1781&lt;=GRID_TO)*((('Dvd Calendar'!$T$1781&lt;=VAL_DATE)+(COUNTIF('Dvd Calendar'!$E$1788:$AR$1788,'Dvd Calendar'!$T$1781)=0))&gt;0)=0,"",'Dvd Calendar'!$T$1781*1000000000+ISNUMBER('Dvd Calendar'!$T$1784)*100000000+('Dvd Calendar'!$T$1786=SPECIAL_LBL)*10000000+(N('Dvd Calendar'!$T$1780)&gt;0)*(N('Dvd Calendar'!$T$1780)&lt;=VAL_SERIAL)*1000000+21*1000+16))</f>
        <v/>
      </c>
      <c r="EU180" s="39">
        <f>IF(N('Dvd Calendar'!$U$1781)=0,"",IF(('Dvd Calendar'!$U$1781&gt;=GRID_FROM)*('Dvd Calendar'!$U$1781&lt;=GRID_TO)*((('Dvd Calendar'!$U$1781&lt;=VAL_DATE)+(COUNTIF('Dvd Calendar'!$E$1788:$AR$1788,'Dvd Calendar'!$U$1781)=0))&gt;0)=0,"",'Dvd Calendar'!$U$1781*1000000000+ISNUMBER('Dvd Calendar'!$U$1784)*100000000+('Dvd Calendar'!$U$1786=SPECIAL_LBL)*10000000+(N('Dvd Calendar'!$U$1780)&gt;0)*(N('Dvd Calendar'!$U$1780)&lt;=VAL_SERIAL)*1000000+21*1000+17))</f>
        <v/>
      </c>
      <c r="EV180" s="39">
        <f>IF(N('Dvd Calendar'!$V$1781)=0,"",IF(('Dvd Calendar'!$V$1781&gt;=GRID_FROM)*('Dvd Calendar'!$V$1781&lt;=GRID_TO)*((('Dvd Calendar'!$V$1781&lt;=VAL_DATE)+(COUNTIF('Dvd Calendar'!$E$1788:$AR$1788,'Dvd Calendar'!$V$1781)=0))&gt;0)=0,"",'Dvd Calendar'!$V$1781*1000000000+ISNUMBER('Dvd Calendar'!$V$1784)*100000000+('Dvd Calendar'!$V$1786=SPECIAL_LBL)*10000000+(N('Dvd Calendar'!$V$1780)&gt;0)*(N('Dvd Calendar'!$V$1780)&lt;=VAL_SERIAL)*1000000+21*1000+18))</f>
        <v/>
      </c>
      <c r="EW180" s="39">
        <f>IF(N('Dvd Calendar'!$W$1781)=0,"",IF(('Dvd Calendar'!$W$1781&gt;=GRID_FROM)*('Dvd Calendar'!$W$1781&lt;=GRID_TO)*((('Dvd Calendar'!$W$1781&lt;=VAL_DATE)+(COUNTIF('Dvd Calendar'!$E$1788:$AR$1788,'Dvd Calendar'!$W$1781)=0))&gt;0)=0,"",'Dvd Calendar'!$W$1781*1000000000+ISNUMBER('Dvd Calendar'!$W$1784)*100000000+('Dvd Calendar'!$W$1786=SPECIAL_LBL)*10000000+(N('Dvd Calendar'!$W$1780)&gt;0)*(N('Dvd Calendar'!$W$1780)&lt;=VAL_SERIAL)*1000000+21*1000+19))</f>
        <v/>
      </c>
      <c r="EX180" s="39">
        <f>IF(N('Dvd Calendar'!$X$1781)=0,"",IF(('Dvd Calendar'!$X$1781&gt;=GRID_FROM)*('Dvd Calendar'!$X$1781&lt;=GRID_TO)*((('Dvd Calendar'!$X$1781&lt;=VAL_DATE)+(COUNTIF('Dvd Calendar'!$E$1788:$AR$1788,'Dvd Calendar'!$X$1781)=0))&gt;0)=0,"",'Dvd Calendar'!$X$1781*1000000000+ISNUMBER('Dvd Calendar'!$X$1784)*100000000+('Dvd Calendar'!$X$1786=SPECIAL_LBL)*10000000+(N('Dvd Calendar'!$X$1780)&gt;0)*(N('Dvd Calendar'!$X$1780)&lt;=VAL_SERIAL)*1000000+21*1000+20))</f>
        <v/>
      </c>
      <c r="EY180" s="39">
        <f>IF(N('Dvd Calendar'!$Y$1781)=0,"",IF(('Dvd Calendar'!$Y$1781&gt;=GRID_FROM)*('Dvd Calendar'!$Y$1781&lt;=GRID_TO)*((('Dvd Calendar'!$Y$1781&lt;=VAL_DATE)+(COUNTIF('Dvd Calendar'!$E$1788:$AR$1788,'Dvd Calendar'!$Y$1781)=0))&gt;0)=0,"",'Dvd Calendar'!$Y$1781*1000000000+ISNUMBER('Dvd Calendar'!$Y$1784)*100000000+('Dvd Calendar'!$Y$1786=SPECIAL_LBL)*10000000+(N('Dvd Calendar'!$Y$1780)&gt;0)*(N('Dvd Calendar'!$Y$1780)&lt;=VAL_SERIAL)*1000000+21*1000+21))</f>
        <v/>
      </c>
      <c r="EZ180" s="39">
        <f>IF(N('Dvd Calendar'!$Z$1781)=0,"",IF(('Dvd Calendar'!$Z$1781&gt;=GRID_FROM)*('Dvd Calendar'!$Z$1781&lt;=GRID_TO)*((('Dvd Calendar'!$Z$1781&lt;=VAL_DATE)+(COUNTIF('Dvd Calendar'!$E$1788:$AR$1788,'Dvd Calendar'!$Z$1781)=0))&gt;0)=0,"",'Dvd Calendar'!$Z$1781*1000000000+ISNUMBER('Dvd Calendar'!$Z$1784)*100000000+('Dvd Calendar'!$Z$1786=SPECIAL_LBL)*10000000+(N('Dvd Calendar'!$Z$1780)&gt;0)*(N('Dvd Calendar'!$Z$1780)&lt;=VAL_SERIAL)*1000000+21*1000+22))</f>
        <v/>
      </c>
      <c r="FA180" s="39">
        <f>IF(N('Dvd Calendar'!$AA$1781)=0,"",IF(('Dvd Calendar'!$AA$1781&gt;=GRID_FROM)*('Dvd Calendar'!$AA$1781&lt;=GRID_TO)*((('Dvd Calendar'!$AA$1781&lt;=VAL_DATE)+(COUNTIF('Dvd Calendar'!$E$1788:$AR$1788,'Dvd Calendar'!$AA$1781)=0))&gt;0)=0,"",'Dvd Calendar'!$AA$1781*1000000000+ISNUMBER('Dvd Calendar'!$AA$1784)*100000000+('Dvd Calendar'!$AA$1786=SPECIAL_LBL)*10000000+(N('Dvd Calendar'!$AA$1780)&gt;0)*(N('Dvd Calendar'!$AA$1780)&lt;=VAL_SERIAL)*1000000+21*1000+23))</f>
        <v/>
      </c>
      <c r="FB180" s="39">
        <f>IF(N('Dvd Calendar'!$AB$1781)=0,"",IF(('Dvd Calendar'!$AB$1781&gt;=GRID_FROM)*('Dvd Calendar'!$AB$1781&lt;=GRID_TO)*((('Dvd Calendar'!$AB$1781&lt;=VAL_DATE)+(COUNTIF('Dvd Calendar'!$E$1788:$AR$1788,'Dvd Calendar'!$AB$1781)=0))&gt;0)=0,"",'Dvd Calendar'!$AB$1781*1000000000+ISNUMBER('Dvd Calendar'!$AB$1784)*100000000+('Dvd Calendar'!$AB$1786=SPECIAL_LBL)*10000000+(N('Dvd Calendar'!$AB$1780)&gt;0)*(N('Dvd Calendar'!$AB$1780)&lt;=VAL_SERIAL)*1000000+21*1000+24))</f>
        <v/>
      </c>
      <c r="FC180" s="39">
        <f>IF(N('Dvd Calendar'!$AC$1781)=0,"",IF(('Dvd Calendar'!$AC$1781&gt;=GRID_FROM)*('Dvd Calendar'!$AC$1781&lt;=GRID_TO)*((('Dvd Calendar'!$AC$1781&lt;=VAL_DATE)+(COUNTIF('Dvd Calendar'!$E$1788:$AR$1788,'Dvd Calendar'!$AC$1781)=0))&gt;0)=0,"",'Dvd Calendar'!$AC$1781*1000000000+ISNUMBER('Dvd Calendar'!$AC$1784)*100000000+('Dvd Calendar'!$AC$1786=SPECIAL_LBL)*10000000+(N('Dvd Calendar'!$AC$1780)&gt;0)*(N('Dvd Calendar'!$AC$1780)&lt;=VAL_SERIAL)*1000000+21*1000+25))</f>
        <v/>
      </c>
      <c r="FD180" s="39">
        <f>IF(N('Dvd Calendar'!$AD$1781)=0,"",IF(('Dvd Calendar'!$AD$1781&gt;=GRID_FROM)*('Dvd Calendar'!$AD$1781&lt;=GRID_TO)*((('Dvd Calendar'!$AD$1781&lt;=VAL_DATE)+(COUNTIF('Dvd Calendar'!$E$1788:$AR$1788,'Dvd Calendar'!$AD$1781)=0))&gt;0)=0,"",'Dvd Calendar'!$AD$1781*1000000000+ISNUMBER('Dvd Calendar'!$AD$1784)*100000000+('Dvd Calendar'!$AD$1786=SPECIAL_LBL)*10000000+(N('Dvd Calendar'!$AD$1780)&gt;0)*(N('Dvd Calendar'!$AD$1780)&lt;=VAL_SERIAL)*1000000+21*1000+26))</f>
        <v/>
      </c>
      <c r="FE180" s="39">
        <f>IF(N('Dvd Calendar'!$AE$1781)=0,"",IF(('Dvd Calendar'!$AE$1781&gt;=GRID_FROM)*('Dvd Calendar'!$AE$1781&lt;=GRID_TO)*((('Dvd Calendar'!$AE$1781&lt;=VAL_DATE)+(COUNTIF('Dvd Calendar'!$E$1788:$AR$1788,'Dvd Calendar'!$AE$1781)=0))&gt;0)=0,"",'Dvd Calendar'!$AE$1781*1000000000+ISNUMBER('Dvd Calendar'!$AE$1784)*100000000+('Dvd Calendar'!$AE$1786=SPECIAL_LBL)*10000000+(N('Dvd Calendar'!$AE$1780)&gt;0)*(N('Dvd Calendar'!$AE$1780)&lt;=VAL_SERIAL)*1000000+21*1000+27))</f>
        <v/>
      </c>
      <c r="FF180" s="39">
        <f>IF(N('Dvd Calendar'!$AF$1781)=0,"",IF(('Dvd Calendar'!$AF$1781&gt;=GRID_FROM)*('Dvd Calendar'!$AF$1781&lt;=GRID_TO)*((('Dvd Calendar'!$AF$1781&lt;=VAL_DATE)+(COUNTIF('Dvd Calendar'!$E$1788:$AR$1788,'Dvd Calendar'!$AF$1781)=0))&gt;0)=0,"",'Dvd Calendar'!$AF$1781*1000000000+ISNUMBER('Dvd Calendar'!$AF$1784)*100000000+('Dvd Calendar'!$AF$1786=SPECIAL_LBL)*10000000+(N('Dvd Calendar'!$AF$1780)&gt;0)*(N('Dvd Calendar'!$AF$1780)&lt;=VAL_SERIAL)*1000000+21*1000+28))</f>
        <v/>
      </c>
      <c r="FG180" s="39">
        <f>IF(N('Dvd Calendar'!$AG$1781)=0,"",IF(('Dvd Calendar'!$AG$1781&gt;=GRID_FROM)*('Dvd Calendar'!$AG$1781&lt;=GRID_TO)*((('Dvd Calendar'!$AG$1781&lt;=VAL_DATE)+(COUNTIF('Dvd Calendar'!$E$1788:$AR$1788,'Dvd Calendar'!$AG$1781)=0))&gt;0)=0,"",'Dvd Calendar'!$AG$1781*1000000000+ISNUMBER('Dvd Calendar'!$AG$1784)*100000000+('Dvd Calendar'!$AG$1786=SPECIAL_LBL)*10000000+(N('Dvd Calendar'!$AG$1780)&gt;0)*(N('Dvd Calendar'!$AG$1780)&lt;=VAL_SERIAL)*1000000+21*1000+29))</f>
        <v/>
      </c>
      <c r="FH180" s="39">
        <f>IF(N('Dvd Calendar'!$AH$1781)=0,"",IF(('Dvd Calendar'!$AH$1781&gt;=GRID_FROM)*('Dvd Calendar'!$AH$1781&lt;=GRID_TO)*((('Dvd Calendar'!$AH$1781&lt;=VAL_DATE)+(COUNTIF('Dvd Calendar'!$E$1788:$AR$1788,'Dvd Calendar'!$AH$1781)=0))&gt;0)=0,"",'Dvd Calendar'!$AH$1781*1000000000+ISNUMBER('Dvd Calendar'!$AH$1784)*100000000+('Dvd Calendar'!$AH$1786=SPECIAL_LBL)*10000000+(N('Dvd Calendar'!$AH$1780)&gt;0)*(N('Dvd Calendar'!$AH$1780)&lt;=VAL_SERIAL)*1000000+21*1000+30))</f>
        <v/>
      </c>
      <c r="FI180" s="39">
        <f>IF(N('Dvd Calendar'!$AI$1781)=0,"",IF(('Dvd Calendar'!$AI$1781&gt;=GRID_FROM)*('Dvd Calendar'!$AI$1781&lt;=GRID_TO)*((('Dvd Calendar'!$AI$1781&lt;=VAL_DATE)+(COUNTIF('Dvd Calendar'!$E$1788:$AR$1788,'Dvd Calendar'!$AI$1781)=0))&gt;0)=0,"",'Dvd Calendar'!$AI$1781*1000000000+ISNUMBER('Dvd Calendar'!$AI$1784)*100000000+('Dvd Calendar'!$AI$1786=SPECIAL_LBL)*10000000+(N('Dvd Calendar'!$AI$1780)&gt;0)*(N('Dvd Calendar'!$AI$1780)&lt;=VAL_SERIAL)*1000000+21*1000+31))</f>
        <v/>
      </c>
      <c r="FJ180" s="39">
        <f>IF(N('Dvd Calendar'!$AJ$1781)=0,"",IF(('Dvd Calendar'!$AJ$1781&gt;=GRID_FROM)*('Dvd Calendar'!$AJ$1781&lt;=GRID_TO)*((('Dvd Calendar'!$AJ$1781&lt;=VAL_DATE)+(COUNTIF('Dvd Calendar'!$E$1788:$AR$1788,'Dvd Calendar'!$AJ$1781)=0))&gt;0)=0,"",'Dvd Calendar'!$AJ$1781*1000000000+ISNUMBER('Dvd Calendar'!$AJ$1784)*100000000+('Dvd Calendar'!$AJ$1786=SPECIAL_LBL)*10000000+(N('Dvd Calendar'!$AJ$1780)&gt;0)*(N('Dvd Calendar'!$AJ$1780)&lt;=VAL_SERIAL)*1000000+21*1000+32))</f>
        <v/>
      </c>
      <c r="FK180" s="39">
        <f>IF(N('Dvd Calendar'!$AK$1781)=0,"",IF(('Dvd Calendar'!$AK$1781&gt;=GRID_FROM)*('Dvd Calendar'!$AK$1781&lt;=GRID_TO)*((('Dvd Calendar'!$AK$1781&lt;=VAL_DATE)+(COUNTIF('Dvd Calendar'!$E$1788:$AR$1788,'Dvd Calendar'!$AK$1781)=0))&gt;0)=0,"",'Dvd Calendar'!$AK$1781*1000000000+ISNUMBER('Dvd Calendar'!$AK$1784)*100000000+('Dvd Calendar'!$AK$1786=SPECIAL_LBL)*10000000+(N('Dvd Calendar'!$AK$1780)&gt;0)*(N('Dvd Calendar'!$AK$1780)&lt;=VAL_SERIAL)*1000000+21*1000+33))</f>
        <v/>
      </c>
      <c r="FL180" s="39">
        <f>IF(N('Dvd Calendar'!$AL$1781)=0,"",IF(('Dvd Calendar'!$AL$1781&gt;=GRID_FROM)*('Dvd Calendar'!$AL$1781&lt;=GRID_TO)*((('Dvd Calendar'!$AL$1781&lt;=VAL_DATE)+(COUNTIF('Dvd Calendar'!$E$1788:$AR$1788,'Dvd Calendar'!$AL$1781)=0))&gt;0)=0,"",'Dvd Calendar'!$AL$1781*1000000000+ISNUMBER('Dvd Calendar'!$AL$1784)*100000000+('Dvd Calendar'!$AL$1786=SPECIAL_LBL)*10000000+(N('Dvd Calendar'!$AL$1780)&gt;0)*(N('Dvd Calendar'!$AL$1780)&lt;=VAL_SERIAL)*1000000+21*1000+34))</f>
        <v/>
      </c>
      <c r="FM180" s="39">
        <f>IF(N('Dvd Calendar'!$AM$1781)=0,"",IF(('Dvd Calendar'!$AM$1781&gt;=GRID_FROM)*('Dvd Calendar'!$AM$1781&lt;=GRID_TO)*((('Dvd Calendar'!$AM$1781&lt;=VAL_DATE)+(COUNTIF('Dvd Calendar'!$E$1788:$AR$1788,'Dvd Calendar'!$AM$1781)=0))&gt;0)=0,"",'Dvd Calendar'!$AM$1781*1000000000+ISNUMBER('Dvd Calendar'!$AM$1784)*100000000+('Dvd Calendar'!$AM$1786=SPECIAL_LBL)*10000000+(N('Dvd Calendar'!$AM$1780)&gt;0)*(N('Dvd Calendar'!$AM$1780)&lt;=VAL_SERIAL)*1000000+21*1000+35))</f>
        <v/>
      </c>
      <c r="FN180" s="39">
        <f>IF(N('Dvd Calendar'!$AN$1781)=0,"",IF(('Dvd Calendar'!$AN$1781&gt;=GRID_FROM)*('Dvd Calendar'!$AN$1781&lt;=GRID_TO)*((('Dvd Calendar'!$AN$1781&lt;=VAL_DATE)+(COUNTIF('Dvd Calendar'!$E$1788:$AR$1788,'Dvd Calendar'!$AN$1781)=0))&gt;0)=0,"",'Dvd Calendar'!$AN$1781*1000000000+ISNUMBER('Dvd Calendar'!$AN$1784)*100000000+('Dvd Calendar'!$AN$1786=SPECIAL_LBL)*10000000+(N('Dvd Calendar'!$AN$1780)&gt;0)*(N('Dvd Calendar'!$AN$1780)&lt;=VAL_SERIAL)*1000000+21*1000+36))</f>
        <v/>
      </c>
      <c r="FO180" s="39">
        <f>IF(N('Dvd Calendar'!$AO$1781)=0,"",IF(('Dvd Calendar'!$AO$1781&gt;=GRID_FROM)*('Dvd Calendar'!$AO$1781&lt;=GRID_TO)*((('Dvd Calendar'!$AO$1781&lt;=VAL_DATE)+(COUNTIF('Dvd Calendar'!$E$1788:$AR$1788,'Dvd Calendar'!$AO$1781)=0))&gt;0)=0,"",'Dvd Calendar'!$AO$1781*1000000000+ISNUMBER('Dvd Calendar'!$AO$1784)*100000000+('Dvd Calendar'!$AO$1786=SPECIAL_LBL)*10000000+(N('Dvd Calendar'!$AO$1780)&gt;0)*(N('Dvd Calendar'!$AO$1780)&lt;=VAL_SERIAL)*1000000+21*1000+37))</f>
        <v/>
      </c>
      <c r="FP180" s="39">
        <f>IF(N('Dvd Calendar'!$AP$1781)=0,"",IF(('Dvd Calendar'!$AP$1781&gt;=GRID_FROM)*('Dvd Calendar'!$AP$1781&lt;=GRID_TO)*((('Dvd Calendar'!$AP$1781&lt;=VAL_DATE)+(COUNTIF('Dvd Calendar'!$E$1788:$AR$1788,'Dvd Calendar'!$AP$1781)=0))&gt;0)=0,"",'Dvd Calendar'!$AP$1781*1000000000+ISNUMBER('Dvd Calendar'!$AP$1784)*100000000+('Dvd Calendar'!$AP$1786=SPECIAL_LBL)*10000000+(N('Dvd Calendar'!$AP$1780)&gt;0)*(N('Dvd Calendar'!$AP$1780)&lt;=VAL_SERIAL)*1000000+21*1000+38))</f>
        <v/>
      </c>
      <c r="FQ180" s="39">
        <f>IF(N('Dvd Calendar'!$AQ$1781)=0,"",IF(('Dvd Calendar'!$AQ$1781&gt;=GRID_FROM)*('Dvd Calendar'!$AQ$1781&lt;=GRID_TO)*((('Dvd Calendar'!$AQ$1781&lt;=VAL_DATE)+(COUNTIF('Dvd Calendar'!$E$1788:$AR$1788,'Dvd Calendar'!$AQ$1781)=0))&gt;0)=0,"",'Dvd Calendar'!$AQ$1781*1000000000+ISNUMBER('Dvd Calendar'!$AQ$1784)*100000000+('Dvd Calendar'!$AQ$1786=SPECIAL_LBL)*10000000+(N('Dvd Calendar'!$AQ$1780)&gt;0)*(N('Dvd Calendar'!$AQ$1780)&lt;=VAL_SERIAL)*1000000+21*1000+39))</f>
        <v/>
      </c>
      <c r="FR180" s="39">
        <f>IF(N('Dvd Calendar'!$AR$1781)=0,"",IF(('Dvd Calendar'!$AR$1781&gt;=GRID_FROM)*('Dvd Calendar'!$AR$1781&lt;=GRID_TO)*((('Dvd Calendar'!$AR$1781&lt;=VAL_DATE)+(COUNTIF('Dvd Calendar'!$E$1788:$AR$1788,'Dvd Calendar'!$AR$1781)=0))&gt;0)=0,"",'Dvd Calendar'!$AR$1781*1000000000+ISNUMBER('Dvd Calendar'!$AR$1784)*100000000+('Dvd Calendar'!$AR$1786=SPECIAL_LBL)*10000000+(N('Dvd Calendar'!$AR$1780)&gt;0)*(N('Dvd Calendar'!$AR$1780)&lt;=VAL_SERIAL)*1000000+21*1000+40))</f>
        <v/>
      </c>
      <c r="FS180" s="39">
        <f>IF(N('Dvd Calendar'!$E$1788)=0,"",IF(('Dvd Calendar'!$E$1788&gt;=GRID_FROM)*('Dvd Calendar'!$E$1788&lt;=GRID_TO)*('Dvd Calendar'!$E$1788&gt;VAL_DATE)=0,"",'Dvd Calendar'!$E$1788*1000000000+ISNUMBER('Dvd Calendar'!$E$1789)*100000000+0*10000000+(N('Dvd Calendar'!$E$1787)&gt;0)*(N('Dvd Calendar'!$E$1787)&lt;=VAL_SERIAL)*1000000+21*1000+41))</f>
        <v/>
      </c>
      <c r="FT180" s="39">
        <f>IF(N('Dvd Calendar'!$F$1788)=0,"",IF(('Dvd Calendar'!$F$1788&gt;=GRID_FROM)*('Dvd Calendar'!$F$1788&lt;=GRID_TO)*('Dvd Calendar'!$F$1788&gt;VAL_DATE)=0,"",'Dvd Calendar'!$F$1788*1000000000+ISNUMBER('Dvd Calendar'!$F$1789)*100000000+0*10000000+(N('Dvd Calendar'!$F$1787)&gt;0)*(N('Dvd Calendar'!$F$1787)&lt;=VAL_SERIAL)*1000000+21*1000+42))</f>
        <v/>
      </c>
      <c r="FU180" s="39">
        <f>IF(N('Dvd Calendar'!$G$1788)=0,"",IF(('Dvd Calendar'!$G$1788&gt;=GRID_FROM)*('Dvd Calendar'!$G$1788&lt;=GRID_TO)*('Dvd Calendar'!$G$1788&gt;VAL_DATE)=0,"",'Dvd Calendar'!$G$1788*1000000000+ISNUMBER('Dvd Calendar'!$G$1789)*100000000+0*10000000+(N('Dvd Calendar'!$G$1787)&gt;0)*(N('Dvd Calendar'!$G$1787)&lt;=VAL_SERIAL)*1000000+21*1000+43))</f>
        <v/>
      </c>
      <c r="FV180" s="39">
        <f>IF(N('Dvd Calendar'!$H$1788)=0,"",IF(('Dvd Calendar'!$H$1788&gt;=GRID_FROM)*('Dvd Calendar'!$H$1788&lt;=GRID_TO)*('Dvd Calendar'!$H$1788&gt;VAL_DATE)=0,"",'Dvd Calendar'!$H$1788*1000000000+ISNUMBER('Dvd Calendar'!$H$1789)*100000000+0*10000000+(N('Dvd Calendar'!$H$1787)&gt;0)*(N('Dvd Calendar'!$H$1787)&lt;=VAL_SERIAL)*1000000+21*1000+44))</f>
        <v/>
      </c>
      <c r="FW180" s="39">
        <f>IF(N('Dvd Calendar'!$I$1788)=0,"",IF(('Dvd Calendar'!$I$1788&gt;=GRID_FROM)*('Dvd Calendar'!$I$1788&lt;=GRID_TO)*('Dvd Calendar'!$I$1788&gt;VAL_DATE)=0,"",'Dvd Calendar'!$I$1788*1000000000+ISNUMBER('Dvd Calendar'!$I$1789)*100000000+0*10000000+(N('Dvd Calendar'!$I$1787)&gt;0)*(N('Dvd Calendar'!$I$1787)&lt;=VAL_SERIAL)*1000000+21*1000+45))</f>
        <v/>
      </c>
      <c r="FX180" s="39">
        <f>IF(N('Dvd Calendar'!$J$1788)=0,"",IF(('Dvd Calendar'!$J$1788&gt;=GRID_FROM)*('Dvd Calendar'!$J$1788&lt;=GRID_TO)*('Dvd Calendar'!$J$1788&gt;VAL_DATE)=0,"",'Dvd Calendar'!$J$1788*1000000000+ISNUMBER('Dvd Calendar'!$J$1789)*100000000+0*10000000+(N('Dvd Calendar'!$J$1787)&gt;0)*(N('Dvd Calendar'!$J$1787)&lt;=VAL_SERIAL)*1000000+21*1000+46))</f>
        <v/>
      </c>
      <c r="FY180" s="39">
        <f>IF(N('Dvd Calendar'!$K$1788)=0,"",IF(('Dvd Calendar'!$K$1788&gt;=GRID_FROM)*('Dvd Calendar'!$K$1788&lt;=GRID_TO)*('Dvd Calendar'!$K$1788&gt;VAL_DATE)=0,"",'Dvd Calendar'!$K$1788*1000000000+ISNUMBER('Dvd Calendar'!$K$1789)*100000000+0*10000000+(N('Dvd Calendar'!$K$1787)&gt;0)*(N('Dvd Calendar'!$K$1787)&lt;=VAL_SERIAL)*1000000+21*1000+47))</f>
        <v/>
      </c>
      <c r="FZ180" s="39">
        <f>IF(N('Dvd Calendar'!$L$1788)=0,"",IF(('Dvd Calendar'!$L$1788&gt;=GRID_FROM)*('Dvd Calendar'!$L$1788&lt;=GRID_TO)*('Dvd Calendar'!$L$1788&gt;VAL_DATE)=0,"",'Dvd Calendar'!$L$1788*1000000000+ISNUMBER('Dvd Calendar'!$L$1789)*100000000+0*10000000+(N('Dvd Calendar'!$L$1787)&gt;0)*(N('Dvd Calendar'!$L$1787)&lt;=VAL_SERIAL)*1000000+21*1000+48))</f>
        <v/>
      </c>
      <c r="GA180" s="39">
        <f>IF(N('Dvd Calendar'!$M$1788)=0,"",IF(('Dvd Calendar'!$M$1788&gt;=GRID_FROM)*('Dvd Calendar'!$M$1788&lt;=GRID_TO)*('Dvd Calendar'!$M$1788&gt;VAL_DATE)=0,"",'Dvd Calendar'!$M$1788*1000000000+ISNUMBER('Dvd Calendar'!$M$1789)*100000000+0*10000000+(N('Dvd Calendar'!$M$1787)&gt;0)*(N('Dvd Calendar'!$M$1787)&lt;=VAL_SERIAL)*1000000+21*1000+49))</f>
        <v/>
      </c>
      <c r="GB180" s="39">
        <f>IF(N('Dvd Calendar'!$N$1788)=0,"",IF(('Dvd Calendar'!$N$1788&gt;=GRID_FROM)*('Dvd Calendar'!$N$1788&lt;=GRID_TO)*('Dvd Calendar'!$N$1788&gt;VAL_DATE)=0,"",'Dvd Calendar'!$N$1788*1000000000+ISNUMBER('Dvd Calendar'!$N$1789)*100000000+0*10000000+(N('Dvd Calendar'!$N$1787)&gt;0)*(N('Dvd Calendar'!$N$1787)&lt;=VAL_SERIAL)*1000000+21*1000+50))</f>
        <v/>
      </c>
      <c r="GC180" s="39">
        <f>IF(N('Dvd Calendar'!$O$1788)=0,"",IF(('Dvd Calendar'!$O$1788&gt;=GRID_FROM)*('Dvd Calendar'!$O$1788&lt;=GRID_TO)*('Dvd Calendar'!$O$1788&gt;VAL_DATE)=0,"",'Dvd Calendar'!$O$1788*1000000000+ISNUMBER('Dvd Calendar'!$O$1789)*100000000+0*10000000+(N('Dvd Calendar'!$O$1787)&gt;0)*(N('Dvd Calendar'!$O$1787)&lt;=VAL_SERIAL)*1000000+21*1000+51))</f>
        <v/>
      </c>
      <c r="GD180" s="39">
        <f>IF(N('Dvd Calendar'!$P$1788)=0,"",IF(('Dvd Calendar'!$P$1788&gt;=GRID_FROM)*('Dvd Calendar'!$P$1788&lt;=GRID_TO)*('Dvd Calendar'!$P$1788&gt;VAL_DATE)=0,"",'Dvd Calendar'!$P$1788*1000000000+ISNUMBER('Dvd Calendar'!$P$1789)*100000000+0*10000000+(N('Dvd Calendar'!$P$1787)&gt;0)*(N('Dvd Calendar'!$P$1787)&lt;=VAL_SERIAL)*1000000+21*1000+52))</f>
        <v/>
      </c>
      <c r="GE180" s="39">
        <f>IF(N('Dvd Calendar'!$Q$1788)=0,"",IF(('Dvd Calendar'!$Q$1788&gt;=GRID_FROM)*('Dvd Calendar'!$Q$1788&lt;=GRID_TO)*('Dvd Calendar'!$Q$1788&gt;VAL_DATE)=0,"",'Dvd Calendar'!$Q$1788*1000000000+ISNUMBER('Dvd Calendar'!$Q$1789)*100000000+0*10000000+(N('Dvd Calendar'!$Q$1787)&gt;0)*(N('Dvd Calendar'!$Q$1787)&lt;=VAL_SERIAL)*1000000+21*1000+53))</f>
        <v/>
      </c>
      <c r="GF180" s="39">
        <f>IF(N('Dvd Calendar'!$R$1788)=0,"",IF(('Dvd Calendar'!$R$1788&gt;=GRID_FROM)*('Dvd Calendar'!$R$1788&lt;=GRID_TO)*('Dvd Calendar'!$R$1788&gt;VAL_DATE)=0,"",'Dvd Calendar'!$R$1788*1000000000+ISNUMBER('Dvd Calendar'!$R$1789)*100000000+0*10000000+(N('Dvd Calendar'!$R$1787)&gt;0)*(N('Dvd Calendar'!$R$1787)&lt;=VAL_SERIAL)*1000000+21*1000+54))</f>
        <v/>
      </c>
      <c r="GG180" s="39">
        <f>IF(N('Dvd Calendar'!$S$1788)=0,"",IF(('Dvd Calendar'!$S$1788&gt;=GRID_FROM)*('Dvd Calendar'!$S$1788&lt;=GRID_TO)*('Dvd Calendar'!$S$1788&gt;VAL_DATE)=0,"",'Dvd Calendar'!$S$1788*1000000000+ISNUMBER('Dvd Calendar'!$S$1789)*100000000+0*10000000+(N('Dvd Calendar'!$S$1787)&gt;0)*(N('Dvd Calendar'!$S$1787)&lt;=VAL_SERIAL)*1000000+21*1000+55))</f>
        <v/>
      </c>
      <c r="GH180" s="39">
        <f>IF(N('Dvd Calendar'!$T$1788)=0,"",IF(('Dvd Calendar'!$T$1788&gt;=GRID_FROM)*('Dvd Calendar'!$T$1788&lt;=GRID_TO)*('Dvd Calendar'!$T$1788&gt;VAL_DATE)=0,"",'Dvd Calendar'!$T$1788*1000000000+ISNUMBER('Dvd Calendar'!$T$1789)*100000000+0*10000000+(N('Dvd Calendar'!$T$1787)&gt;0)*(N('Dvd Calendar'!$T$1787)&lt;=VAL_SERIAL)*1000000+21*1000+56))</f>
        <v/>
      </c>
      <c r="GI180" s="39">
        <f>IF(N('Dvd Calendar'!$U$1788)=0,"",IF(('Dvd Calendar'!$U$1788&gt;=GRID_FROM)*('Dvd Calendar'!$U$1788&lt;=GRID_TO)*('Dvd Calendar'!$U$1788&gt;VAL_DATE)=0,"",'Dvd Calendar'!$U$1788*1000000000+ISNUMBER('Dvd Calendar'!$U$1789)*100000000+0*10000000+(N('Dvd Calendar'!$U$1787)&gt;0)*(N('Dvd Calendar'!$U$1787)&lt;=VAL_SERIAL)*1000000+21*1000+57))</f>
        <v/>
      </c>
      <c r="GJ180" s="39">
        <f>IF(N('Dvd Calendar'!$V$1788)=0,"",IF(('Dvd Calendar'!$V$1788&gt;=GRID_FROM)*('Dvd Calendar'!$V$1788&lt;=GRID_TO)*('Dvd Calendar'!$V$1788&gt;VAL_DATE)=0,"",'Dvd Calendar'!$V$1788*1000000000+ISNUMBER('Dvd Calendar'!$V$1789)*100000000+0*10000000+(N('Dvd Calendar'!$V$1787)&gt;0)*(N('Dvd Calendar'!$V$1787)&lt;=VAL_SERIAL)*1000000+21*1000+58))</f>
        <v/>
      </c>
      <c r="GK180" s="39">
        <f>IF(N('Dvd Calendar'!$W$1788)=0,"",IF(('Dvd Calendar'!$W$1788&gt;=GRID_FROM)*('Dvd Calendar'!$W$1788&lt;=GRID_TO)*('Dvd Calendar'!$W$1788&gt;VAL_DATE)=0,"",'Dvd Calendar'!$W$1788*1000000000+ISNUMBER('Dvd Calendar'!$W$1789)*100000000+0*10000000+(N('Dvd Calendar'!$W$1787)&gt;0)*(N('Dvd Calendar'!$W$1787)&lt;=VAL_SERIAL)*1000000+21*1000+59))</f>
        <v/>
      </c>
      <c r="GL180" s="39">
        <f>IF(N('Dvd Calendar'!$X$1788)=0,"",IF(('Dvd Calendar'!$X$1788&gt;=GRID_FROM)*('Dvd Calendar'!$X$1788&lt;=GRID_TO)*('Dvd Calendar'!$X$1788&gt;VAL_DATE)=0,"",'Dvd Calendar'!$X$1788*1000000000+ISNUMBER('Dvd Calendar'!$X$1789)*100000000+0*10000000+(N('Dvd Calendar'!$X$1787)&gt;0)*(N('Dvd Calendar'!$X$1787)&lt;=VAL_SERIAL)*1000000+21*1000+60))</f>
        <v/>
      </c>
      <c r="GM180" s="39">
        <f>IF(N('Dvd Calendar'!$Y$1788)=0,"",IF(('Dvd Calendar'!$Y$1788&gt;=GRID_FROM)*('Dvd Calendar'!$Y$1788&lt;=GRID_TO)*('Dvd Calendar'!$Y$1788&gt;VAL_DATE)=0,"",'Dvd Calendar'!$Y$1788*1000000000+ISNUMBER('Dvd Calendar'!$Y$1789)*100000000+0*10000000+(N('Dvd Calendar'!$Y$1787)&gt;0)*(N('Dvd Calendar'!$Y$1787)&lt;=VAL_SERIAL)*1000000+21*1000+61))</f>
        <v/>
      </c>
      <c r="GN180" s="39">
        <f>IF(N('Dvd Calendar'!$Z$1788)=0,"",IF(('Dvd Calendar'!$Z$1788&gt;=GRID_FROM)*('Dvd Calendar'!$Z$1788&lt;=GRID_TO)*('Dvd Calendar'!$Z$1788&gt;VAL_DATE)=0,"",'Dvd Calendar'!$Z$1788*1000000000+ISNUMBER('Dvd Calendar'!$Z$1789)*100000000+0*10000000+(N('Dvd Calendar'!$Z$1787)&gt;0)*(N('Dvd Calendar'!$Z$1787)&lt;=VAL_SERIAL)*1000000+21*1000+62))</f>
        <v/>
      </c>
      <c r="GO180" s="39">
        <f>IF(N('Dvd Calendar'!$AA$1788)=0,"",IF(('Dvd Calendar'!$AA$1788&gt;=GRID_FROM)*('Dvd Calendar'!$AA$1788&lt;=GRID_TO)*('Dvd Calendar'!$AA$1788&gt;VAL_DATE)=0,"",'Dvd Calendar'!$AA$1788*1000000000+ISNUMBER('Dvd Calendar'!$AA$1789)*100000000+0*10000000+(N('Dvd Calendar'!$AA$1787)&gt;0)*(N('Dvd Calendar'!$AA$1787)&lt;=VAL_SERIAL)*1000000+21*1000+63))</f>
        <v/>
      </c>
      <c r="GP180" s="39">
        <f>IF(N('Dvd Calendar'!$AB$1788)=0,"",IF(('Dvd Calendar'!$AB$1788&gt;=GRID_FROM)*('Dvd Calendar'!$AB$1788&lt;=GRID_TO)*('Dvd Calendar'!$AB$1788&gt;VAL_DATE)=0,"",'Dvd Calendar'!$AB$1788*1000000000+ISNUMBER('Dvd Calendar'!$AB$1789)*100000000+0*10000000+(N('Dvd Calendar'!$AB$1787)&gt;0)*(N('Dvd Calendar'!$AB$1787)&lt;=VAL_SERIAL)*1000000+21*1000+64))</f>
        <v/>
      </c>
      <c r="GQ180" s="39">
        <f>IF(N('Dvd Calendar'!$AC$1788)=0,"",IF(('Dvd Calendar'!$AC$1788&gt;=GRID_FROM)*('Dvd Calendar'!$AC$1788&lt;=GRID_TO)*('Dvd Calendar'!$AC$1788&gt;VAL_DATE)=0,"",'Dvd Calendar'!$AC$1788*1000000000+ISNUMBER('Dvd Calendar'!$AC$1789)*100000000+0*10000000+(N('Dvd Calendar'!$AC$1787)&gt;0)*(N('Dvd Calendar'!$AC$1787)&lt;=VAL_SERIAL)*1000000+21*1000+65))</f>
        <v/>
      </c>
    </row>
    <row r="181">
      <c r="B181" s="2">
        <f>IF(HSCEI!$C$28="","",HSCEI!$C$28)</f>
        <v/>
      </c>
      <c r="C181" s="110">
        <f>IF(EE181="","",IF(ISNUMBER('Dvd Calendar'!$E$1795)=FALSE,"",IF((('Dvd Calendar'!$E$1797=TYPE1)*(TYPE1&lt;&gt;"")+('Dvd Calendar'!$E$1797=TYPE2)*(TYPE2&lt;&gt;"")+('Dvd Calendar'!$E$1797=TYPE3)*(TYPE3&lt;&gt;"")+('Dvd Calendar'!$E$1797=TYPE4)*(TYPE4&lt;&gt;"")+('Dvd Calendar'!$E$1797=SPECIAL_LBL)*(INC_SPECIALS="Y"))=0,"",'Dvd Calendar'!$E$1795)))</f>
        <v/>
      </c>
      <c r="D181" s="110">
        <f>IF(EF181="","",IF(ISNUMBER('Dvd Calendar'!$F$1795)=FALSE,"",IF((('Dvd Calendar'!$F$1797=TYPE1)*(TYPE1&lt;&gt;"")+('Dvd Calendar'!$F$1797=TYPE2)*(TYPE2&lt;&gt;"")+('Dvd Calendar'!$F$1797=TYPE3)*(TYPE3&lt;&gt;"")+('Dvd Calendar'!$F$1797=TYPE4)*(TYPE4&lt;&gt;"")+('Dvd Calendar'!$F$1797=SPECIAL_LBL)*(INC_SPECIALS="Y"))=0,"",'Dvd Calendar'!$F$1795)))</f>
        <v/>
      </c>
      <c r="E181" s="110">
        <f>IF(EG181="","",IF(ISNUMBER('Dvd Calendar'!$G$1795)=FALSE,"",IF((('Dvd Calendar'!$G$1797=TYPE1)*(TYPE1&lt;&gt;"")+('Dvd Calendar'!$G$1797=TYPE2)*(TYPE2&lt;&gt;"")+('Dvd Calendar'!$G$1797=TYPE3)*(TYPE3&lt;&gt;"")+('Dvd Calendar'!$G$1797=TYPE4)*(TYPE4&lt;&gt;"")+('Dvd Calendar'!$G$1797=SPECIAL_LBL)*(INC_SPECIALS="Y"))=0,"",'Dvd Calendar'!$G$1795)))</f>
        <v/>
      </c>
      <c r="F181" s="110">
        <f>IF(EH181="","",IF(ISNUMBER('Dvd Calendar'!$H$1795)=FALSE,"",IF((('Dvd Calendar'!$H$1797=TYPE1)*(TYPE1&lt;&gt;"")+('Dvd Calendar'!$H$1797=TYPE2)*(TYPE2&lt;&gt;"")+('Dvd Calendar'!$H$1797=TYPE3)*(TYPE3&lt;&gt;"")+('Dvd Calendar'!$H$1797=TYPE4)*(TYPE4&lt;&gt;"")+('Dvd Calendar'!$H$1797=SPECIAL_LBL)*(INC_SPECIALS="Y"))=0,"",'Dvd Calendar'!$H$1795)))</f>
        <v/>
      </c>
      <c r="G181" s="110">
        <f>IF(EI181="","",IF(ISNUMBER('Dvd Calendar'!$I$1795)=FALSE,"",IF((('Dvd Calendar'!$I$1797=TYPE1)*(TYPE1&lt;&gt;"")+('Dvd Calendar'!$I$1797=TYPE2)*(TYPE2&lt;&gt;"")+('Dvd Calendar'!$I$1797=TYPE3)*(TYPE3&lt;&gt;"")+('Dvd Calendar'!$I$1797=TYPE4)*(TYPE4&lt;&gt;"")+('Dvd Calendar'!$I$1797=SPECIAL_LBL)*(INC_SPECIALS="Y"))=0,"",'Dvd Calendar'!$I$1795)))</f>
        <v/>
      </c>
      <c r="H181" s="110">
        <f>IF(EJ181="","",IF(ISNUMBER('Dvd Calendar'!$J$1795)=FALSE,"",IF((('Dvd Calendar'!$J$1797=TYPE1)*(TYPE1&lt;&gt;"")+('Dvd Calendar'!$J$1797=TYPE2)*(TYPE2&lt;&gt;"")+('Dvd Calendar'!$J$1797=TYPE3)*(TYPE3&lt;&gt;"")+('Dvd Calendar'!$J$1797=TYPE4)*(TYPE4&lt;&gt;"")+('Dvd Calendar'!$J$1797=SPECIAL_LBL)*(INC_SPECIALS="Y"))=0,"",'Dvd Calendar'!$J$1795)))</f>
        <v/>
      </c>
      <c r="I181" s="110">
        <f>IF(EK181="","",IF(ISNUMBER('Dvd Calendar'!$K$1795)=FALSE,"",IF((('Dvd Calendar'!$K$1797=TYPE1)*(TYPE1&lt;&gt;"")+('Dvd Calendar'!$K$1797=TYPE2)*(TYPE2&lt;&gt;"")+('Dvd Calendar'!$K$1797=TYPE3)*(TYPE3&lt;&gt;"")+('Dvd Calendar'!$K$1797=TYPE4)*(TYPE4&lt;&gt;"")+('Dvd Calendar'!$K$1797=SPECIAL_LBL)*(INC_SPECIALS="Y"))=0,"",'Dvd Calendar'!$K$1795)))</f>
        <v/>
      </c>
      <c r="J181" s="110">
        <f>IF(EL181="","",IF(ISNUMBER('Dvd Calendar'!$L$1795)=FALSE,"",IF((('Dvd Calendar'!$L$1797=TYPE1)*(TYPE1&lt;&gt;"")+('Dvd Calendar'!$L$1797=TYPE2)*(TYPE2&lt;&gt;"")+('Dvd Calendar'!$L$1797=TYPE3)*(TYPE3&lt;&gt;"")+('Dvd Calendar'!$L$1797=TYPE4)*(TYPE4&lt;&gt;"")+('Dvd Calendar'!$L$1797=SPECIAL_LBL)*(INC_SPECIALS="Y"))=0,"",'Dvd Calendar'!$L$1795)))</f>
        <v/>
      </c>
      <c r="K181" s="110">
        <f>IF(EM181="","",IF(ISNUMBER('Dvd Calendar'!$M$1795)=FALSE,"",IF((('Dvd Calendar'!$M$1797=TYPE1)*(TYPE1&lt;&gt;"")+('Dvd Calendar'!$M$1797=TYPE2)*(TYPE2&lt;&gt;"")+('Dvd Calendar'!$M$1797=TYPE3)*(TYPE3&lt;&gt;"")+('Dvd Calendar'!$M$1797=TYPE4)*(TYPE4&lt;&gt;"")+('Dvd Calendar'!$M$1797=SPECIAL_LBL)*(INC_SPECIALS="Y"))=0,"",'Dvd Calendar'!$M$1795)))</f>
        <v/>
      </c>
      <c r="L181" s="110">
        <f>IF(EN181="","",IF(ISNUMBER('Dvd Calendar'!$N$1795)=FALSE,"",IF((('Dvd Calendar'!$N$1797=TYPE1)*(TYPE1&lt;&gt;"")+('Dvd Calendar'!$N$1797=TYPE2)*(TYPE2&lt;&gt;"")+('Dvd Calendar'!$N$1797=TYPE3)*(TYPE3&lt;&gt;"")+('Dvd Calendar'!$N$1797=TYPE4)*(TYPE4&lt;&gt;"")+('Dvd Calendar'!$N$1797=SPECIAL_LBL)*(INC_SPECIALS="Y"))=0,"",'Dvd Calendar'!$N$1795)))</f>
        <v/>
      </c>
      <c r="M181" s="110">
        <f>IF(EO181="","",IF(ISNUMBER('Dvd Calendar'!$O$1795)=FALSE,"",IF((('Dvd Calendar'!$O$1797=TYPE1)*(TYPE1&lt;&gt;"")+('Dvd Calendar'!$O$1797=TYPE2)*(TYPE2&lt;&gt;"")+('Dvd Calendar'!$O$1797=TYPE3)*(TYPE3&lt;&gt;"")+('Dvd Calendar'!$O$1797=TYPE4)*(TYPE4&lt;&gt;"")+('Dvd Calendar'!$O$1797=SPECIAL_LBL)*(INC_SPECIALS="Y"))=0,"",'Dvd Calendar'!$O$1795)))</f>
        <v/>
      </c>
      <c r="N181" s="110">
        <f>IF(EP181="","",IF(ISNUMBER('Dvd Calendar'!$P$1795)=FALSE,"",IF((('Dvd Calendar'!$P$1797=TYPE1)*(TYPE1&lt;&gt;"")+('Dvd Calendar'!$P$1797=TYPE2)*(TYPE2&lt;&gt;"")+('Dvd Calendar'!$P$1797=TYPE3)*(TYPE3&lt;&gt;"")+('Dvd Calendar'!$P$1797=TYPE4)*(TYPE4&lt;&gt;"")+('Dvd Calendar'!$P$1797=SPECIAL_LBL)*(INC_SPECIALS="Y"))=0,"",'Dvd Calendar'!$P$1795)))</f>
        <v/>
      </c>
      <c r="O181" s="110">
        <f>IF(EQ181="","",IF(ISNUMBER('Dvd Calendar'!$Q$1795)=FALSE,"",IF((('Dvd Calendar'!$Q$1797=TYPE1)*(TYPE1&lt;&gt;"")+('Dvd Calendar'!$Q$1797=TYPE2)*(TYPE2&lt;&gt;"")+('Dvd Calendar'!$Q$1797=TYPE3)*(TYPE3&lt;&gt;"")+('Dvd Calendar'!$Q$1797=TYPE4)*(TYPE4&lt;&gt;"")+('Dvd Calendar'!$Q$1797=SPECIAL_LBL)*(INC_SPECIALS="Y"))=0,"",'Dvd Calendar'!$Q$1795)))</f>
        <v/>
      </c>
      <c r="P181" s="110">
        <f>IF(ER181="","",IF(ISNUMBER('Dvd Calendar'!$R$1795)=FALSE,"",IF((('Dvd Calendar'!$R$1797=TYPE1)*(TYPE1&lt;&gt;"")+('Dvd Calendar'!$R$1797=TYPE2)*(TYPE2&lt;&gt;"")+('Dvd Calendar'!$R$1797=TYPE3)*(TYPE3&lt;&gt;"")+('Dvd Calendar'!$R$1797=TYPE4)*(TYPE4&lt;&gt;"")+('Dvd Calendar'!$R$1797=SPECIAL_LBL)*(INC_SPECIALS="Y"))=0,"",'Dvd Calendar'!$R$1795)))</f>
        <v/>
      </c>
      <c r="Q181" s="110">
        <f>IF(ES181="","",IF(ISNUMBER('Dvd Calendar'!$S$1795)=FALSE,"",IF((('Dvd Calendar'!$S$1797=TYPE1)*(TYPE1&lt;&gt;"")+('Dvd Calendar'!$S$1797=TYPE2)*(TYPE2&lt;&gt;"")+('Dvd Calendar'!$S$1797=TYPE3)*(TYPE3&lt;&gt;"")+('Dvd Calendar'!$S$1797=TYPE4)*(TYPE4&lt;&gt;"")+('Dvd Calendar'!$S$1797=SPECIAL_LBL)*(INC_SPECIALS="Y"))=0,"",'Dvd Calendar'!$S$1795)))</f>
        <v/>
      </c>
      <c r="R181" s="110">
        <f>IF(ET181="","",IF(ISNUMBER('Dvd Calendar'!$T$1795)=FALSE,"",IF((('Dvd Calendar'!$T$1797=TYPE1)*(TYPE1&lt;&gt;"")+('Dvd Calendar'!$T$1797=TYPE2)*(TYPE2&lt;&gt;"")+('Dvd Calendar'!$T$1797=TYPE3)*(TYPE3&lt;&gt;"")+('Dvd Calendar'!$T$1797=TYPE4)*(TYPE4&lt;&gt;"")+('Dvd Calendar'!$T$1797=SPECIAL_LBL)*(INC_SPECIALS="Y"))=0,"",'Dvd Calendar'!$T$1795)))</f>
        <v/>
      </c>
      <c r="S181" s="110">
        <f>IF(EU181="","",IF(ISNUMBER('Dvd Calendar'!$U$1795)=FALSE,"",IF((('Dvd Calendar'!$U$1797=TYPE1)*(TYPE1&lt;&gt;"")+('Dvd Calendar'!$U$1797=TYPE2)*(TYPE2&lt;&gt;"")+('Dvd Calendar'!$U$1797=TYPE3)*(TYPE3&lt;&gt;"")+('Dvd Calendar'!$U$1797=TYPE4)*(TYPE4&lt;&gt;"")+('Dvd Calendar'!$U$1797=SPECIAL_LBL)*(INC_SPECIALS="Y"))=0,"",'Dvd Calendar'!$U$1795)))</f>
        <v/>
      </c>
      <c r="T181" s="110">
        <f>IF(EV181="","",IF(ISNUMBER('Dvd Calendar'!$V$1795)=FALSE,"",IF((('Dvd Calendar'!$V$1797=TYPE1)*(TYPE1&lt;&gt;"")+('Dvd Calendar'!$V$1797=TYPE2)*(TYPE2&lt;&gt;"")+('Dvd Calendar'!$V$1797=TYPE3)*(TYPE3&lt;&gt;"")+('Dvd Calendar'!$V$1797=TYPE4)*(TYPE4&lt;&gt;"")+('Dvd Calendar'!$V$1797=SPECIAL_LBL)*(INC_SPECIALS="Y"))=0,"",'Dvd Calendar'!$V$1795)))</f>
        <v/>
      </c>
      <c r="U181" s="110">
        <f>IF(EW181="","",IF(ISNUMBER('Dvd Calendar'!$W$1795)=FALSE,"",IF((('Dvd Calendar'!$W$1797=TYPE1)*(TYPE1&lt;&gt;"")+('Dvd Calendar'!$W$1797=TYPE2)*(TYPE2&lt;&gt;"")+('Dvd Calendar'!$W$1797=TYPE3)*(TYPE3&lt;&gt;"")+('Dvd Calendar'!$W$1797=TYPE4)*(TYPE4&lt;&gt;"")+('Dvd Calendar'!$W$1797=SPECIAL_LBL)*(INC_SPECIALS="Y"))=0,"",'Dvd Calendar'!$W$1795)))</f>
        <v/>
      </c>
      <c r="V181" s="110">
        <f>IF(EX181="","",IF(ISNUMBER('Dvd Calendar'!$X$1795)=FALSE,"",IF((('Dvd Calendar'!$X$1797=TYPE1)*(TYPE1&lt;&gt;"")+('Dvd Calendar'!$X$1797=TYPE2)*(TYPE2&lt;&gt;"")+('Dvd Calendar'!$X$1797=TYPE3)*(TYPE3&lt;&gt;"")+('Dvd Calendar'!$X$1797=TYPE4)*(TYPE4&lt;&gt;"")+('Dvd Calendar'!$X$1797=SPECIAL_LBL)*(INC_SPECIALS="Y"))=0,"",'Dvd Calendar'!$X$1795)))</f>
        <v/>
      </c>
      <c r="W181" s="110">
        <f>IF(EY181="","",IF(ISNUMBER('Dvd Calendar'!$Y$1795)=FALSE,"",IF((('Dvd Calendar'!$Y$1797=TYPE1)*(TYPE1&lt;&gt;"")+('Dvd Calendar'!$Y$1797=TYPE2)*(TYPE2&lt;&gt;"")+('Dvd Calendar'!$Y$1797=TYPE3)*(TYPE3&lt;&gt;"")+('Dvd Calendar'!$Y$1797=TYPE4)*(TYPE4&lt;&gt;"")+('Dvd Calendar'!$Y$1797=SPECIAL_LBL)*(INC_SPECIALS="Y"))=0,"",'Dvd Calendar'!$Y$1795)))</f>
        <v/>
      </c>
      <c r="X181" s="110">
        <f>IF(EZ181="","",IF(ISNUMBER('Dvd Calendar'!$Z$1795)=FALSE,"",IF((('Dvd Calendar'!$Z$1797=TYPE1)*(TYPE1&lt;&gt;"")+('Dvd Calendar'!$Z$1797=TYPE2)*(TYPE2&lt;&gt;"")+('Dvd Calendar'!$Z$1797=TYPE3)*(TYPE3&lt;&gt;"")+('Dvd Calendar'!$Z$1797=TYPE4)*(TYPE4&lt;&gt;"")+('Dvd Calendar'!$Z$1797=SPECIAL_LBL)*(INC_SPECIALS="Y"))=0,"",'Dvd Calendar'!$Z$1795)))</f>
        <v/>
      </c>
      <c r="Y181" s="110">
        <f>IF(FA181="","",IF(ISNUMBER('Dvd Calendar'!$AA$1795)=FALSE,"",IF((('Dvd Calendar'!$AA$1797=TYPE1)*(TYPE1&lt;&gt;"")+('Dvd Calendar'!$AA$1797=TYPE2)*(TYPE2&lt;&gt;"")+('Dvd Calendar'!$AA$1797=TYPE3)*(TYPE3&lt;&gt;"")+('Dvd Calendar'!$AA$1797=TYPE4)*(TYPE4&lt;&gt;"")+('Dvd Calendar'!$AA$1797=SPECIAL_LBL)*(INC_SPECIALS="Y"))=0,"",'Dvd Calendar'!$AA$1795)))</f>
        <v/>
      </c>
      <c r="Z181" s="110">
        <f>IF(FB181="","",IF(ISNUMBER('Dvd Calendar'!$AB$1795)=FALSE,"",IF((('Dvd Calendar'!$AB$1797=TYPE1)*(TYPE1&lt;&gt;"")+('Dvd Calendar'!$AB$1797=TYPE2)*(TYPE2&lt;&gt;"")+('Dvd Calendar'!$AB$1797=TYPE3)*(TYPE3&lt;&gt;"")+('Dvd Calendar'!$AB$1797=TYPE4)*(TYPE4&lt;&gt;"")+('Dvd Calendar'!$AB$1797=SPECIAL_LBL)*(INC_SPECIALS="Y"))=0,"",'Dvd Calendar'!$AB$1795)))</f>
        <v/>
      </c>
      <c r="AA181" s="110">
        <f>IF(FC181="","",IF(ISNUMBER('Dvd Calendar'!$AC$1795)=FALSE,"",IF((('Dvd Calendar'!$AC$1797=TYPE1)*(TYPE1&lt;&gt;"")+('Dvd Calendar'!$AC$1797=TYPE2)*(TYPE2&lt;&gt;"")+('Dvd Calendar'!$AC$1797=TYPE3)*(TYPE3&lt;&gt;"")+('Dvd Calendar'!$AC$1797=TYPE4)*(TYPE4&lt;&gt;"")+('Dvd Calendar'!$AC$1797=SPECIAL_LBL)*(INC_SPECIALS="Y"))=0,"",'Dvd Calendar'!$AC$1795)))</f>
        <v/>
      </c>
      <c r="AB181" s="110">
        <f>IF(FD181="","",IF(ISNUMBER('Dvd Calendar'!$AD$1795)=FALSE,"",IF((('Dvd Calendar'!$AD$1797=TYPE1)*(TYPE1&lt;&gt;"")+('Dvd Calendar'!$AD$1797=TYPE2)*(TYPE2&lt;&gt;"")+('Dvd Calendar'!$AD$1797=TYPE3)*(TYPE3&lt;&gt;"")+('Dvd Calendar'!$AD$1797=TYPE4)*(TYPE4&lt;&gt;"")+('Dvd Calendar'!$AD$1797=SPECIAL_LBL)*(INC_SPECIALS="Y"))=0,"",'Dvd Calendar'!$AD$1795)))</f>
        <v/>
      </c>
      <c r="AC181" s="110">
        <f>IF(FE181="","",IF(ISNUMBER('Dvd Calendar'!$AE$1795)=FALSE,"",IF((('Dvd Calendar'!$AE$1797=TYPE1)*(TYPE1&lt;&gt;"")+('Dvd Calendar'!$AE$1797=TYPE2)*(TYPE2&lt;&gt;"")+('Dvd Calendar'!$AE$1797=TYPE3)*(TYPE3&lt;&gt;"")+('Dvd Calendar'!$AE$1797=TYPE4)*(TYPE4&lt;&gt;"")+('Dvd Calendar'!$AE$1797=SPECIAL_LBL)*(INC_SPECIALS="Y"))=0,"",'Dvd Calendar'!$AE$1795)))</f>
        <v/>
      </c>
      <c r="AD181" s="110">
        <f>IF(FF181="","",IF(ISNUMBER('Dvd Calendar'!$AF$1795)=FALSE,"",IF((('Dvd Calendar'!$AF$1797=TYPE1)*(TYPE1&lt;&gt;"")+('Dvd Calendar'!$AF$1797=TYPE2)*(TYPE2&lt;&gt;"")+('Dvd Calendar'!$AF$1797=TYPE3)*(TYPE3&lt;&gt;"")+('Dvd Calendar'!$AF$1797=TYPE4)*(TYPE4&lt;&gt;"")+('Dvd Calendar'!$AF$1797=SPECIAL_LBL)*(INC_SPECIALS="Y"))=0,"",'Dvd Calendar'!$AF$1795)))</f>
        <v/>
      </c>
      <c r="AE181" s="110">
        <f>IF(FG181="","",IF(ISNUMBER('Dvd Calendar'!$AG$1795)=FALSE,"",IF((('Dvd Calendar'!$AG$1797=TYPE1)*(TYPE1&lt;&gt;"")+('Dvd Calendar'!$AG$1797=TYPE2)*(TYPE2&lt;&gt;"")+('Dvd Calendar'!$AG$1797=TYPE3)*(TYPE3&lt;&gt;"")+('Dvd Calendar'!$AG$1797=TYPE4)*(TYPE4&lt;&gt;"")+('Dvd Calendar'!$AG$1797=SPECIAL_LBL)*(INC_SPECIALS="Y"))=0,"",'Dvd Calendar'!$AG$1795)))</f>
        <v/>
      </c>
      <c r="AF181" s="110">
        <f>IF(FH181="","",IF(ISNUMBER('Dvd Calendar'!$AH$1795)=FALSE,"",IF((('Dvd Calendar'!$AH$1797=TYPE1)*(TYPE1&lt;&gt;"")+('Dvd Calendar'!$AH$1797=TYPE2)*(TYPE2&lt;&gt;"")+('Dvd Calendar'!$AH$1797=TYPE3)*(TYPE3&lt;&gt;"")+('Dvd Calendar'!$AH$1797=TYPE4)*(TYPE4&lt;&gt;"")+('Dvd Calendar'!$AH$1797=SPECIAL_LBL)*(INC_SPECIALS="Y"))=0,"",'Dvd Calendar'!$AH$1795)))</f>
        <v/>
      </c>
      <c r="AG181" s="110">
        <f>IF(FI181="","",IF(ISNUMBER('Dvd Calendar'!$AI$1795)=FALSE,"",IF((('Dvd Calendar'!$AI$1797=TYPE1)*(TYPE1&lt;&gt;"")+('Dvd Calendar'!$AI$1797=TYPE2)*(TYPE2&lt;&gt;"")+('Dvd Calendar'!$AI$1797=TYPE3)*(TYPE3&lt;&gt;"")+('Dvd Calendar'!$AI$1797=TYPE4)*(TYPE4&lt;&gt;"")+('Dvd Calendar'!$AI$1797=SPECIAL_LBL)*(INC_SPECIALS="Y"))=0,"",'Dvd Calendar'!$AI$1795)))</f>
        <v/>
      </c>
      <c r="AH181" s="110">
        <f>IF(FJ181="","",IF(ISNUMBER('Dvd Calendar'!$AJ$1795)=FALSE,"",IF((('Dvd Calendar'!$AJ$1797=TYPE1)*(TYPE1&lt;&gt;"")+('Dvd Calendar'!$AJ$1797=TYPE2)*(TYPE2&lt;&gt;"")+('Dvd Calendar'!$AJ$1797=TYPE3)*(TYPE3&lt;&gt;"")+('Dvd Calendar'!$AJ$1797=TYPE4)*(TYPE4&lt;&gt;"")+('Dvd Calendar'!$AJ$1797=SPECIAL_LBL)*(INC_SPECIALS="Y"))=0,"",'Dvd Calendar'!$AJ$1795)))</f>
        <v/>
      </c>
      <c r="AI181" s="110">
        <f>IF(FK181="","",IF(ISNUMBER('Dvd Calendar'!$AK$1795)=FALSE,"",IF((('Dvd Calendar'!$AK$1797=TYPE1)*(TYPE1&lt;&gt;"")+('Dvd Calendar'!$AK$1797=TYPE2)*(TYPE2&lt;&gt;"")+('Dvd Calendar'!$AK$1797=TYPE3)*(TYPE3&lt;&gt;"")+('Dvd Calendar'!$AK$1797=TYPE4)*(TYPE4&lt;&gt;"")+('Dvd Calendar'!$AK$1797=SPECIAL_LBL)*(INC_SPECIALS="Y"))=0,"",'Dvd Calendar'!$AK$1795)))</f>
        <v/>
      </c>
      <c r="AJ181" s="110">
        <f>IF(FL181="","",IF(ISNUMBER('Dvd Calendar'!$AL$1795)=FALSE,"",IF((('Dvd Calendar'!$AL$1797=TYPE1)*(TYPE1&lt;&gt;"")+('Dvd Calendar'!$AL$1797=TYPE2)*(TYPE2&lt;&gt;"")+('Dvd Calendar'!$AL$1797=TYPE3)*(TYPE3&lt;&gt;"")+('Dvd Calendar'!$AL$1797=TYPE4)*(TYPE4&lt;&gt;"")+('Dvd Calendar'!$AL$1797=SPECIAL_LBL)*(INC_SPECIALS="Y"))=0,"",'Dvd Calendar'!$AL$1795)))</f>
        <v/>
      </c>
      <c r="AK181" s="110">
        <f>IF(FM181="","",IF(ISNUMBER('Dvd Calendar'!$AM$1795)=FALSE,"",IF((('Dvd Calendar'!$AM$1797=TYPE1)*(TYPE1&lt;&gt;"")+('Dvd Calendar'!$AM$1797=TYPE2)*(TYPE2&lt;&gt;"")+('Dvd Calendar'!$AM$1797=TYPE3)*(TYPE3&lt;&gt;"")+('Dvd Calendar'!$AM$1797=TYPE4)*(TYPE4&lt;&gt;"")+('Dvd Calendar'!$AM$1797=SPECIAL_LBL)*(INC_SPECIALS="Y"))=0,"",'Dvd Calendar'!$AM$1795)))</f>
        <v/>
      </c>
      <c r="AL181" s="110">
        <f>IF(FN181="","",IF(ISNUMBER('Dvd Calendar'!$AN$1795)=FALSE,"",IF((('Dvd Calendar'!$AN$1797=TYPE1)*(TYPE1&lt;&gt;"")+('Dvd Calendar'!$AN$1797=TYPE2)*(TYPE2&lt;&gt;"")+('Dvd Calendar'!$AN$1797=TYPE3)*(TYPE3&lt;&gt;"")+('Dvd Calendar'!$AN$1797=TYPE4)*(TYPE4&lt;&gt;"")+('Dvd Calendar'!$AN$1797=SPECIAL_LBL)*(INC_SPECIALS="Y"))=0,"",'Dvd Calendar'!$AN$1795)))</f>
        <v/>
      </c>
      <c r="AM181" s="110">
        <f>IF(FO181="","",IF(ISNUMBER('Dvd Calendar'!$AO$1795)=FALSE,"",IF((('Dvd Calendar'!$AO$1797=TYPE1)*(TYPE1&lt;&gt;"")+('Dvd Calendar'!$AO$1797=TYPE2)*(TYPE2&lt;&gt;"")+('Dvd Calendar'!$AO$1797=TYPE3)*(TYPE3&lt;&gt;"")+('Dvd Calendar'!$AO$1797=TYPE4)*(TYPE4&lt;&gt;"")+('Dvd Calendar'!$AO$1797=SPECIAL_LBL)*(INC_SPECIALS="Y"))=0,"",'Dvd Calendar'!$AO$1795)))</f>
        <v/>
      </c>
      <c r="AN181" s="110">
        <f>IF(FP181="","",IF(ISNUMBER('Dvd Calendar'!$AP$1795)=FALSE,"",IF((('Dvd Calendar'!$AP$1797=TYPE1)*(TYPE1&lt;&gt;"")+('Dvd Calendar'!$AP$1797=TYPE2)*(TYPE2&lt;&gt;"")+('Dvd Calendar'!$AP$1797=TYPE3)*(TYPE3&lt;&gt;"")+('Dvd Calendar'!$AP$1797=TYPE4)*(TYPE4&lt;&gt;"")+('Dvd Calendar'!$AP$1797=SPECIAL_LBL)*(INC_SPECIALS="Y"))=0,"",'Dvd Calendar'!$AP$1795)))</f>
        <v/>
      </c>
      <c r="AO181" s="110">
        <f>IF(FQ181="","",IF(ISNUMBER('Dvd Calendar'!$AQ$1795)=FALSE,"",IF((('Dvd Calendar'!$AQ$1797=TYPE1)*(TYPE1&lt;&gt;"")+('Dvd Calendar'!$AQ$1797=TYPE2)*(TYPE2&lt;&gt;"")+('Dvd Calendar'!$AQ$1797=TYPE3)*(TYPE3&lt;&gt;"")+('Dvd Calendar'!$AQ$1797=TYPE4)*(TYPE4&lt;&gt;"")+('Dvd Calendar'!$AQ$1797=SPECIAL_LBL)*(INC_SPECIALS="Y"))=0,"",'Dvd Calendar'!$AQ$1795)))</f>
        <v/>
      </c>
      <c r="AP181" s="110">
        <f>IF(FR181="","",IF(ISNUMBER('Dvd Calendar'!$AR$1795)=FALSE,"",IF((('Dvd Calendar'!$AR$1797=TYPE1)*(TYPE1&lt;&gt;"")+('Dvd Calendar'!$AR$1797=TYPE2)*(TYPE2&lt;&gt;"")+('Dvd Calendar'!$AR$1797=TYPE3)*(TYPE3&lt;&gt;"")+('Dvd Calendar'!$AR$1797=TYPE4)*(TYPE4&lt;&gt;"")+('Dvd Calendar'!$AR$1797=SPECIAL_LBL)*(INC_SPECIALS="Y"))=0,"",'Dvd Calendar'!$AR$1795)))</f>
        <v/>
      </c>
      <c r="AQ181" s="110">
        <f>IF(FS181="","",IF(ISNUMBER('Dvd Calendar'!$E$1800)=FALSE,"",'Dvd Calendar'!$E$1800))</f>
        <v/>
      </c>
      <c r="AR181" s="110">
        <f>IF(FT181="","",IF(ISNUMBER('Dvd Calendar'!$F$1800)=FALSE,"",'Dvd Calendar'!$F$1800))</f>
        <v/>
      </c>
      <c r="AS181" s="110">
        <f>IF(FU181="","",IF(ISNUMBER('Dvd Calendar'!$G$1800)=FALSE,"",'Dvd Calendar'!$G$1800))</f>
        <v/>
      </c>
      <c r="AT181" s="110">
        <f>IF(FV181="","",IF(ISNUMBER('Dvd Calendar'!$H$1800)=FALSE,"",'Dvd Calendar'!$H$1800))</f>
        <v/>
      </c>
      <c r="AU181" s="110">
        <f>IF(FW181="","",IF(ISNUMBER('Dvd Calendar'!$I$1800)=FALSE,"",'Dvd Calendar'!$I$1800))</f>
        <v/>
      </c>
      <c r="AV181" s="110">
        <f>IF(FX181="","",IF(ISNUMBER('Dvd Calendar'!$J$1800)=FALSE,"",'Dvd Calendar'!$J$1800))</f>
        <v/>
      </c>
      <c r="AW181" s="110">
        <f>IF(FY181="","",IF(ISNUMBER('Dvd Calendar'!$K$1800)=FALSE,"",'Dvd Calendar'!$K$1800))</f>
        <v/>
      </c>
      <c r="AX181" s="110">
        <f>IF(FZ181="","",IF(ISNUMBER('Dvd Calendar'!$L$1800)=FALSE,"",'Dvd Calendar'!$L$1800))</f>
        <v/>
      </c>
      <c r="AY181" s="110">
        <f>IF(GA181="","",IF(ISNUMBER('Dvd Calendar'!$M$1800)=FALSE,"",'Dvd Calendar'!$M$1800))</f>
        <v/>
      </c>
      <c r="AZ181" s="110">
        <f>IF(GB181="","",IF(ISNUMBER('Dvd Calendar'!$N$1800)=FALSE,"",'Dvd Calendar'!$N$1800))</f>
        <v/>
      </c>
      <c r="BA181" s="110">
        <f>IF(GC181="","",IF(ISNUMBER('Dvd Calendar'!$O$1800)=FALSE,"",'Dvd Calendar'!$O$1800))</f>
        <v/>
      </c>
      <c r="BB181" s="110">
        <f>IF(GD181="","",IF(ISNUMBER('Dvd Calendar'!$P$1800)=FALSE,"",'Dvd Calendar'!$P$1800))</f>
        <v/>
      </c>
      <c r="BC181" s="110">
        <f>IF(GE181="","",IF(ISNUMBER('Dvd Calendar'!$Q$1800)=FALSE,"",'Dvd Calendar'!$Q$1800))</f>
        <v/>
      </c>
      <c r="BD181" s="110">
        <f>IF(GF181="","",IF(ISNUMBER('Dvd Calendar'!$R$1800)=FALSE,"",'Dvd Calendar'!$R$1800))</f>
        <v/>
      </c>
      <c r="BE181" s="110">
        <f>IF(GG181="","",IF(ISNUMBER('Dvd Calendar'!$S$1800)=FALSE,"",'Dvd Calendar'!$S$1800))</f>
        <v/>
      </c>
      <c r="BF181" s="110">
        <f>IF(GH181="","",IF(ISNUMBER('Dvd Calendar'!$T$1800)=FALSE,"",'Dvd Calendar'!$T$1800))</f>
        <v/>
      </c>
      <c r="BG181" s="110">
        <f>IF(GI181="","",IF(ISNUMBER('Dvd Calendar'!$U$1800)=FALSE,"",'Dvd Calendar'!$U$1800))</f>
        <v/>
      </c>
      <c r="BH181" s="110">
        <f>IF(GJ181="","",IF(ISNUMBER('Dvd Calendar'!$V$1800)=FALSE,"",'Dvd Calendar'!$V$1800))</f>
        <v/>
      </c>
      <c r="BI181" s="110">
        <f>IF(GK181="","",IF(ISNUMBER('Dvd Calendar'!$W$1800)=FALSE,"",'Dvd Calendar'!$W$1800))</f>
        <v/>
      </c>
      <c r="BJ181" s="110">
        <f>IF(GL181="","",IF(ISNUMBER('Dvd Calendar'!$X$1800)=FALSE,"",'Dvd Calendar'!$X$1800))</f>
        <v/>
      </c>
      <c r="BK181" s="110">
        <f>IF(GM181="","",IF(ISNUMBER('Dvd Calendar'!$Y$1800)=FALSE,"",'Dvd Calendar'!$Y$1800))</f>
        <v/>
      </c>
      <c r="BL181" s="110">
        <f>IF(GN181="","",IF(ISNUMBER('Dvd Calendar'!$Z$1800)=FALSE,"",'Dvd Calendar'!$Z$1800))</f>
        <v/>
      </c>
      <c r="BM181" s="110">
        <f>IF(GO181="","",IF(ISNUMBER('Dvd Calendar'!$AA$1800)=FALSE,"",'Dvd Calendar'!$AA$1800))</f>
        <v/>
      </c>
      <c r="BN181" s="110">
        <f>IF(GP181="","",IF(ISNUMBER('Dvd Calendar'!$AB$1800)=FALSE,"",'Dvd Calendar'!$AB$1800))</f>
        <v/>
      </c>
      <c r="BO181" s="110">
        <f>IF(GQ181="","",IF(ISNUMBER('Dvd Calendar'!$AC$1800)=FALSE,"",'Dvd Calendar'!$AC$1800))</f>
        <v/>
      </c>
      <c r="BQ181" s="110">
        <f>IF(C181="","",IFERROR(C181*HSCEI!$B$28*HSCEI!$G$28/HSCEI!$B$3,""))</f>
        <v/>
      </c>
      <c r="BR181" s="110">
        <f>IF(D181="","",IFERROR(D181*HSCEI!$B$28*HSCEI!$G$28/HSCEI!$B$3,""))</f>
        <v/>
      </c>
      <c r="BS181" s="110">
        <f>IF(E181="","",IFERROR(E181*HSCEI!$B$28*HSCEI!$G$28/HSCEI!$B$3,""))</f>
        <v/>
      </c>
      <c r="BT181" s="110">
        <f>IF(F181="","",IFERROR(F181*HSCEI!$B$28*HSCEI!$G$28/HSCEI!$B$3,""))</f>
        <v/>
      </c>
      <c r="BU181" s="110">
        <f>IF(G181="","",IFERROR(G181*HSCEI!$B$28*HSCEI!$G$28/HSCEI!$B$3,""))</f>
        <v/>
      </c>
      <c r="BV181" s="110">
        <f>IF(H181="","",IFERROR(H181*HSCEI!$B$28*HSCEI!$G$28/HSCEI!$B$3,""))</f>
        <v/>
      </c>
      <c r="BW181" s="110">
        <f>IF(I181="","",IFERROR(I181*HSCEI!$B$28*HSCEI!$G$28/HSCEI!$B$3,""))</f>
        <v/>
      </c>
      <c r="BX181" s="110">
        <f>IF(J181="","",IFERROR(J181*HSCEI!$B$28*HSCEI!$G$28/HSCEI!$B$3,""))</f>
        <v/>
      </c>
      <c r="BY181" s="110">
        <f>IF(K181="","",IFERROR(K181*HSCEI!$B$28*HSCEI!$G$28/HSCEI!$B$3,""))</f>
        <v/>
      </c>
      <c r="BZ181" s="110">
        <f>IF(L181="","",IFERROR(L181*HSCEI!$B$28*HSCEI!$G$28/HSCEI!$B$3,""))</f>
        <v/>
      </c>
      <c r="CA181" s="110">
        <f>IF(M181="","",IFERROR(M181*HSCEI!$B$28*HSCEI!$G$28/HSCEI!$B$3,""))</f>
        <v/>
      </c>
      <c r="CB181" s="110">
        <f>IF(N181="","",IFERROR(N181*HSCEI!$B$28*HSCEI!$G$28/HSCEI!$B$3,""))</f>
        <v/>
      </c>
      <c r="CC181" s="110">
        <f>IF(O181="","",IFERROR(O181*HSCEI!$B$28*HSCEI!$G$28/HSCEI!$B$3,""))</f>
        <v/>
      </c>
      <c r="CD181" s="110">
        <f>IF(P181="","",IFERROR(P181*HSCEI!$B$28*HSCEI!$G$28/HSCEI!$B$3,""))</f>
        <v/>
      </c>
      <c r="CE181" s="110">
        <f>IF(Q181="","",IFERROR(Q181*HSCEI!$B$28*HSCEI!$G$28/HSCEI!$B$3,""))</f>
        <v/>
      </c>
      <c r="CF181" s="110">
        <f>IF(R181="","",IFERROR(R181*HSCEI!$B$28*HSCEI!$G$28/HSCEI!$B$3,""))</f>
        <v/>
      </c>
      <c r="CG181" s="110">
        <f>IF(S181="","",IFERROR(S181*HSCEI!$B$28*HSCEI!$G$28/HSCEI!$B$3,""))</f>
        <v/>
      </c>
      <c r="CH181" s="110">
        <f>IF(T181="","",IFERROR(T181*HSCEI!$B$28*HSCEI!$G$28/HSCEI!$B$3,""))</f>
        <v/>
      </c>
      <c r="CI181" s="110">
        <f>IF(U181="","",IFERROR(U181*HSCEI!$B$28*HSCEI!$G$28/HSCEI!$B$3,""))</f>
        <v/>
      </c>
      <c r="CJ181" s="110">
        <f>IF(V181="","",IFERROR(V181*HSCEI!$B$28*HSCEI!$G$28/HSCEI!$B$3,""))</f>
        <v/>
      </c>
      <c r="CK181" s="110">
        <f>IF(W181="","",IFERROR(W181*HSCEI!$B$28*HSCEI!$G$28/HSCEI!$B$3,""))</f>
        <v/>
      </c>
      <c r="CL181" s="110">
        <f>IF(X181="","",IFERROR(X181*HSCEI!$B$28*HSCEI!$G$28/HSCEI!$B$3,""))</f>
        <v/>
      </c>
      <c r="CM181" s="110">
        <f>IF(Y181="","",IFERROR(Y181*HSCEI!$B$28*HSCEI!$G$28/HSCEI!$B$3,""))</f>
        <v/>
      </c>
      <c r="CN181" s="110">
        <f>IF(Z181="","",IFERROR(Z181*HSCEI!$B$28*HSCEI!$G$28/HSCEI!$B$3,""))</f>
        <v/>
      </c>
      <c r="CO181" s="110">
        <f>IF(AA181="","",IFERROR(AA181*HSCEI!$B$28*HSCEI!$G$28/HSCEI!$B$3,""))</f>
        <v/>
      </c>
      <c r="CP181" s="110">
        <f>IF(AB181="","",IFERROR(AB181*HSCEI!$B$28*HSCEI!$G$28/HSCEI!$B$3,""))</f>
        <v/>
      </c>
      <c r="CQ181" s="110">
        <f>IF(AC181="","",IFERROR(AC181*HSCEI!$B$28*HSCEI!$G$28/HSCEI!$B$3,""))</f>
        <v/>
      </c>
      <c r="CR181" s="110">
        <f>IF(AD181="","",IFERROR(AD181*HSCEI!$B$28*HSCEI!$G$28/HSCEI!$B$3,""))</f>
        <v/>
      </c>
      <c r="CS181" s="110">
        <f>IF(AE181="","",IFERROR(AE181*HSCEI!$B$28*HSCEI!$G$28/HSCEI!$B$3,""))</f>
        <v/>
      </c>
      <c r="CT181" s="110">
        <f>IF(AF181="","",IFERROR(AF181*HSCEI!$B$28*HSCEI!$G$28/HSCEI!$B$3,""))</f>
        <v/>
      </c>
      <c r="CU181" s="110">
        <f>IF(AG181="","",IFERROR(AG181*HSCEI!$B$28*HSCEI!$G$28/HSCEI!$B$3,""))</f>
        <v/>
      </c>
      <c r="CV181" s="110">
        <f>IF(AH181="","",IFERROR(AH181*HSCEI!$B$28*HSCEI!$G$28/HSCEI!$B$3,""))</f>
        <v/>
      </c>
      <c r="CW181" s="110">
        <f>IF(AI181="","",IFERROR(AI181*HSCEI!$B$28*HSCEI!$G$28/HSCEI!$B$3,""))</f>
        <v/>
      </c>
      <c r="CX181" s="110">
        <f>IF(AJ181="","",IFERROR(AJ181*HSCEI!$B$28*HSCEI!$G$28/HSCEI!$B$3,""))</f>
        <v/>
      </c>
      <c r="CY181" s="110">
        <f>IF(AK181="","",IFERROR(AK181*HSCEI!$B$28*HSCEI!$G$28/HSCEI!$B$3,""))</f>
        <v/>
      </c>
      <c r="CZ181" s="110">
        <f>IF(AL181="","",IFERROR(AL181*HSCEI!$B$28*HSCEI!$G$28/HSCEI!$B$3,""))</f>
        <v/>
      </c>
      <c r="DA181" s="110">
        <f>IF(AM181="","",IFERROR(AM181*HSCEI!$B$28*HSCEI!$G$28/HSCEI!$B$3,""))</f>
        <v/>
      </c>
      <c r="DB181" s="110">
        <f>IF(AN181="","",IFERROR(AN181*HSCEI!$B$28*HSCEI!$G$28/HSCEI!$B$3,""))</f>
        <v/>
      </c>
      <c r="DC181" s="110">
        <f>IF(AO181="","",IFERROR(AO181*HSCEI!$B$28*HSCEI!$G$28/HSCEI!$B$3,""))</f>
        <v/>
      </c>
      <c r="DD181" s="110">
        <f>IF(AP181="","",IFERROR(AP181*HSCEI!$B$28*HSCEI!$G$28/HSCEI!$B$3,""))</f>
        <v/>
      </c>
      <c r="DE181" s="110">
        <f>IF(AQ181="","",IFERROR(AQ181*HSCEI!$B$28*HSCEI!$G$28/HSCEI!$B$3,""))</f>
        <v/>
      </c>
      <c r="DF181" s="110">
        <f>IF(AR181="","",IFERROR(AR181*HSCEI!$B$28*HSCEI!$G$28/HSCEI!$B$3,""))</f>
        <v/>
      </c>
      <c r="DG181" s="110">
        <f>IF(AS181="","",IFERROR(AS181*HSCEI!$B$28*HSCEI!$G$28/HSCEI!$B$3,""))</f>
        <v/>
      </c>
      <c r="DH181" s="110">
        <f>IF(AT181="","",IFERROR(AT181*HSCEI!$B$28*HSCEI!$G$28/HSCEI!$B$3,""))</f>
        <v/>
      </c>
      <c r="DI181" s="110">
        <f>IF(AU181="","",IFERROR(AU181*HSCEI!$B$28*HSCEI!$G$28/HSCEI!$B$3,""))</f>
        <v/>
      </c>
      <c r="DJ181" s="110">
        <f>IF(AV181="","",IFERROR(AV181*HSCEI!$B$28*HSCEI!$G$28/HSCEI!$B$3,""))</f>
        <v/>
      </c>
      <c r="DK181" s="110">
        <f>IF(AW181="","",IFERROR(AW181*HSCEI!$B$28*HSCEI!$G$28/HSCEI!$B$3,""))</f>
        <v/>
      </c>
      <c r="DL181" s="110">
        <f>IF(AX181="","",IFERROR(AX181*HSCEI!$B$28*HSCEI!$G$28/HSCEI!$B$3,""))</f>
        <v/>
      </c>
      <c r="DM181" s="110">
        <f>IF(AY181="","",IFERROR(AY181*HSCEI!$B$28*HSCEI!$G$28/HSCEI!$B$3,""))</f>
        <v/>
      </c>
      <c r="DN181" s="110">
        <f>IF(AZ181="","",IFERROR(AZ181*HSCEI!$B$28*HSCEI!$G$28/HSCEI!$B$3,""))</f>
        <v/>
      </c>
      <c r="DO181" s="110">
        <f>IF(BA181="","",IFERROR(BA181*HSCEI!$B$28*HSCEI!$G$28/HSCEI!$B$3,""))</f>
        <v/>
      </c>
      <c r="DP181" s="110">
        <f>IF(BB181="","",IFERROR(BB181*HSCEI!$B$28*HSCEI!$G$28/HSCEI!$B$3,""))</f>
        <v/>
      </c>
      <c r="DQ181" s="110">
        <f>IF(BC181="","",IFERROR(BC181*HSCEI!$B$28*HSCEI!$G$28/HSCEI!$B$3,""))</f>
        <v/>
      </c>
      <c r="DR181" s="110">
        <f>IF(BD181="","",IFERROR(BD181*HSCEI!$B$28*HSCEI!$G$28/HSCEI!$B$3,""))</f>
        <v/>
      </c>
      <c r="DS181" s="110">
        <f>IF(BE181="","",IFERROR(BE181*HSCEI!$B$28*HSCEI!$G$28/HSCEI!$B$3,""))</f>
        <v/>
      </c>
      <c r="DT181" s="110">
        <f>IF(BF181="","",IFERROR(BF181*HSCEI!$B$28*HSCEI!$G$28/HSCEI!$B$3,""))</f>
        <v/>
      </c>
      <c r="DU181" s="110">
        <f>IF(BG181="","",IFERROR(BG181*HSCEI!$B$28*HSCEI!$G$28/HSCEI!$B$3,""))</f>
        <v/>
      </c>
      <c r="DV181" s="110">
        <f>IF(BH181="","",IFERROR(BH181*HSCEI!$B$28*HSCEI!$G$28/HSCEI!$B$3,""))</f>
        <v/>
      </c>
      <c r="DW181" s="110">
        <f>IF(BI181="","",IFERROR(BI181*HSCEI!$B$28*HSCEI!$G$28/HSCEI!$B$3,""))</f>
        <v/>
      </c>
      <c r="DX181" s="110">
        <f>IF(BJ181="","",IFERROR(BJ181*HSCEI!$B$28*HSCEI!$G$28/HSCEI!$B$3,""))</f>
        <v/>
      </c>
      <c r="DY181" s="110">
        <f>IF(BK181="","",IFERROR(BK181*HSCEI!$B$28*HSCEI!$G$28/HSCEI!$B$3,""))</f>
        <v/>
      </c>
      <c r="DZ181" s="110">
        <f>IF(BL181="","",IFERROR(BL181*HSCEI!$B$28*HSCEI!$G$28/HSCEI!$B$3,""))</f>
        <v/>
      </c>
      <c r="EA181" s="110">
        <f>IF(BM181="","",IFERROR(BM181*HSCEI!$B$28*HSCEI!$G$28/HSCEI!$B$3,""))</f>
        <v/>
      </c>
      <c r="EB181" s="110">
        <f>IF(BN181="","",IFERROR(BN181*HSCEI!$B$28*HSCEI!$G$28/HSCEI!$B$3,""))</f>
        <v/>
      </c>
      <c r="EC181" s="110">
        <f>IF(BO181="","",IFERROR(BO181*HSCEI!$B$28*HSCEI!$G$28/HSCEI!$B$3,""))</f>
        <v/>
      </c>
      <c r="EE181" s="39">
        <f>IF(N('Dvd Calendar'!$E$1792)=0,"",IF(('Dvd Calendar'!$E$1792&gt;=GRID_FROM)*('Dvd Calendar'!$E$1792&lt;=GRID_TO)*((('Dvd Calendar'!$E$1792&lt;=VAL_DATE)+(COUNTIF('Dvd Calendar'!$E$1799:$AR$1799,'Dvd Calendar'!$E$1792)=0))&gt;0)=0,"",'Dvd Calendar'!$E$1792*1000000000+ISNUMBER('Dvd Calendar'!$E$1795)*100000000+('Dvd Calendar'!$E$1797=SPECIAL_LBL)*10000000+(N('Dvd Calendar'!$E$1791)&gt;0)*(N('Dvd Calendar'!$E$1791)&lt;=VAL_SERIAL)*1000000+22*1000+1))</f>
        <v/>
      </c>
      <c r="EF181" s="39">
        <f>IF(N('Dvd Calendar'!$F$1792)=0,"",IF(('Dvd Calendar'!$F$1792&gt;=GRID_FROM)*('Dvd Calendar'!$F$1792&lt;=GRID_TO)*((('Dvd Calendar'!$F$1792&lt;=VAL_DATE)+(COUNTIF('Dvd Calendar'!$E$1799:$AR$1799,'Dvd Calendar'!$F$1792)=0))&gt;0)=0,"",'Dvd Calendar'!$F$1792*1000000000+ISNUMBER('Dvd Calendar'!$F$1795)*100000000+('Dvd Calendar'!$F$1797=SPECIAL_LBL)*10000000+(N('Dvd Calendar'!$F$1791)&gt;0)*(N('Dvd Calendar'!$F$1791)&lt;=VAL_SERIAL)*1000000+22*1000+2))</f>
        <v/>
      </c>
      <c r="EG181" s="39">
        <f>IF(N('Dvd Calendar'!$G$1792)=0,"",IF(('Dvd Calendar'!$G$1792&gt;=GRID_FROM)*('Dvd Calendar'!$G$1792&lt;=GRID_TO)*((('Dvd Calendar'!$G$1792&lt;=VAL_DATE)+(COUNTIF('Dvd Calendar'!$E$1799:$AR$1799,'Dvd Calendar'!$G$1792)=0))&gt;0)=0,"",'Dvd Calendar'!$G$1792*1000000000+ISNUMBER('Dvd Calendar'!$G$1795)*100000000+('Dvd Calendar'!$G$1797=SPECIAL_LBL)*10000000+(N('Dvd Calendar'!$G$1791)&gt;0)*(N('Dvd Calendar'!$G$1791)&lt;=VAL_SERIAL)*1000000+22*1000+3))</f>
        <v/>
      </c>
      <c r="EH181" s="39">
        <f>IF(N('Dvd Calendar'!$H$1792)=0,"",IF(('Dvd Calendar'!$H$1792&gt;=GRID_FROM)*('Dvd Calendar'!$H$1792&lt;=GRID_TO)*((('Dvd Calendar'!$H$1792&lt;=VAL_DATE)+(COUNTIF('Dvd Calendar'!$E$1799:$AR$1799,'Dvd Calendar'!$H$1792)=0))&gt;0)=0,"",'Dvd Calendar'!$H$1792*1000000000+ISNUMBER('Dvd Calendar'!$H$1795)*100000000+('Dvd Calendar'!$H$1797=SPECIAL_LBL)*10000000+(N('Dvd Calendar'!$H$1791)&gt;0)*(N('Dvd Calendar'!$H$1791)&lt;=VAL_SERIAL)*1000000+22*1000+4))</f>
        <v/>
      </c>
      <c r="EI181" s="39">
        <f>IF(N('Dvd Calendar'!$I$1792)=0,"",IF(('Dvd Calendar'!$I$1792&gt;=GRID_FROM)*('Dvd Calendar'!$I$1792&lt;=GRID_TO)*((('Dvd Calendar'!$I$1792&lt;=VAL_DATE)+(COUNTIF('Dvd Calendar'!$E$1799:$AR$1799,'Dvd Calendar'!$I$1792)=0))&gt;0)=0,"",'Dvd Calendar'!$I$1792*1000000000+ISNUMBER('Dvd Calendar'!$I$1795)*100000000+('Dvd Calendar'!$I$1797=SPECIAL_LBL)*10000000+(N('Dvd Calendar'!$I$1791)&gt;0)*(N('Dvd Calendar'!$I$1791)&lt;=VAL_SERIAL)*1000000+22*1000+5))</f>
        <v/>
      </c>
      <c r="EJ181" s="39">
        <f>IF(N('Dvd Calendar'!$J$1792)=0,"",IF(('Dvd Calendar'!$J$1792&gt;=GRID_FROM)*('Dvd Calendar'!$J$1792&lt;=GRID_TO)*((('Dvd Calendar'!$J$1792&lt;=VAL_DATE)+(COUNTIF('Dvd Calendar'!$E$1799:$AR$1799,'Dvd Calendar'!$J$1792)=0))&gt;0)=0,"",'Dvd Calendar'!$J$1792*1000000000+ISNUMBER('Dvd Calendar'!$J$1795)*100000000+('Dvd Calendar'!$J$1797=SPECIAL_LBL)*10000000+(N('Dvd Calendar'!$J$1791)&gt;0)*(N('Dvd Calendar'!$J$1791)&lt;=VAL_SERIAL)*1000000+22*1000+6))</f>
        <v/>
      </c>
      <c r="EK181" s="39">
        <f>IF(N('Dvd Calendar'!$K$1792)=0,"",IF(('Dvd Calendar'!$K$1792&gt;=GRID_FROM)*('Dvd Calendar'!$K$1792&lt;=GRID_TO)*((('Dvd Calendar'!$K$1792&lt;=VAL_DATE)+(COUNTIF('Dvd Calendar'!$E$1799:$AR$1799,'Dvd Calendar'!$K$1792)=0))&gt;0)=0,"",'Dvd Calendar'!$K$1792*1000000000+ISNUMBER('Dvd Calendar'!$K$1795)*100000000+('Dvd Calendar'!$K$1797=SPECIAL_LBL)*10000000+(N('Dvd Calendar'!$K$1791)&gt;0)*(N('Dvd Calendar'!$K$1791)&lt;=VAL_SERIAL)*1000000+22*1000+7))</f>
        <v/>
      </c>
      <c r="EL181" s="39">
        <f>IF(N('Dvd Calendar'!$L$1792)=0,"",IF(('Dvd Calendar'!$L$1792&gt;=GRID_FROM)*('Dvd Calendar'!$L$1792&lt;=GRID_TO)*((('Dvd Calendar'!$L$1792&lt;=VAL_DATE)+(COUNTIF('Dvd Calendar'!$E$1799:$AR$1799,'Dvd Calendar'!$L$1792)=0))&gt;0)=0,"",'Dvd Calendar'!$L$1792*1000000000+ISNUMBER('Dvd Calendar'!$L$1795)*100000000+('Dvd Calendar'!$L$1797=SPECIAL_LBL)*10000000+(N('Dvd Calendar'!$L$1791)&gt;0)*(N('Dvd Calendar'!$L$1791)&lt;=VAL_SERIAL)*1000000+22*1000+8))</f>
        <v/>
      </c>
      <c r="EM181" s="39">
        <f>IF(N('Dvd Calendar'!$M$1792)=0,"",IF(('Dvd Calendar'!$M$1792&gt;=GRID_FROM)*('Dvd Calendar'!$M$1792&lt;=GRID_TO)*((('Dvd Calendar'!$M$1792&lt;=VAL_DATE)+(COUNTIF('Dvd Calendar'!$E$1799:$AR$1799,'Dvd Calendar'!$M$1792)=0))&gt;0)=0,"",'Dvd Calendar'!$M$1792*1000000000+ISNUMBER('Dvd Calendar'!$M$1795)*100000000+('Dvd Calendar'!$M$1797=SPECIAL_LBL)*10000000+(N('Dvd Calendar'!$M$1791)&gt;0)*(N('Dvd Calendar'!$M$1791)&lt;=VAL_SERIAL)*1000000+22*1000+9))</f>
        <v/>
      </c>
      <c r="EN181" s="39">
        <f>IF(N('Dvd Calendar'!$N$1792)=0,"",IF(('Dvd Calendar'!$N$1792&gt;=GRID_FROM)*('Dvd Calendar'!$N$1792&lt;=GRID_TO)*((('Dvd Calendar'!$N$1792&lt;=VAL_DATE)+(COUNTIF('Dvd Calendar'!$E$1799:$AR$1799,'Dvd Calendar'!$N$1792)=0))&gt;0)=0,"",'Dvd Calendar'!$N$1792*1000000000+ISNUMBER('Dvd Calendar'!$N$1795)*100000000+('Dvd Calendar'!$N$1797=SPECIAL_LBL)*10000000+(N('Dvd Calendar'!$N$1791)&gt;0)*(N('Dvd Calendar'!$N$1791)&lt;=VAL_SERIAL)*1000000+22*1000+10))</f>
        <v/>
      </c>
      <c r="EO181" s="39">
        <f>IF(N('Dvd Calendar'!$O$1792)=0,"",IF(('Dvd Calendar'!$O$1792&gt;=GRID_FROM)*('Dvd Calendar'!$O$1792&lt;=GRID_TO)*((('Dvd Calendar'!$O$1792&lt;=VAL_DATE)+(COUNTIF('Dvd Calendar'!$E$1799:$AR$1799,'Dvd Calendar'!$O$1792)=0))&gt;0)=0,"",'Dvd Calendar'!$O$1792*1000000000+ISNUMBER('Dvd Calendar'!$O$1795)*100000000+('Dvd Calendar'!$O$1797=SPECIAL_LBL)*10000000+(N('Dvd Calendar'!$O$1791)&gt;0)*(N('Dvd Calendar'!$O$1791)&lt;=VAL_SERIAL)*1000000+22*1000+11))</f>
        <v/>
      </c>
      <c r="EP181" s="39">
        <f>IF(N('Dvd Calendar'!$P$1792)=0,"",IF(('Dvd Calendar'!$P$1792&gt;=GRID_FROM)*('Dvd Calendar'!$P$1792&lt;=GRID_TO)*((('Dvd Calendar'!$P$1792&lt;=VAL_DATE)+(COUNTIF('Dvd Calendar'!$E$1799:$AR$1799,'Dvd Calendar'!$P$1792)=0))&gt;0)=0,"",'Dvd Calendar'!$P$1792*1000000000+ISNUMBER('Dvd Calendar'!$P$1795)*100000000+('Dvd Calendar'!$P$1797=SPECIAL_LBL)*10000000+(N('Dvd Calendar'!$P$1791)&gt;0)*(N('Dvd Calendar'!$P$1791)&lt;=VAL_SERIAL)*1000000+22*1000+12))</f>
        <v/>
      </c>
      <c r="EQ181" s="39">
        <f>IF(N('Dvd Calendar'!$Q$1792)=0,"",IF(('Dvd Calendar'!$Q$1792&gt;=GRID_FROM)*('Dvd Calendar'!$Q$1792&lt;=GRID_TO)*((('Dvd Calendar'!$Q$1792&lt;=VAL_DATE)+(COUNTIF('Dvd Calendar'!$E$1799:$AR$1799,'Dvd Calendar'!$Q$1792)=0))&gt;0)=0,"",'Dvd Calendar'!$Q$1792*1000000000+ISNUMBER('Dvd Calendar'!$Q$1795)*100000000+('Dvd Calendar'!$Q$1797=SPECIAL_LBL)*10000000+(N('Dvd Calendar'!$Q$1791)&gt;0)*(N('Dvd Calendar'!$Q$1791)&lt;=VAL_SERIAL)*1000000+22*1000+13))</f>
        <v/>
      </c>
      <c r="ER181" s="39">
        <f>IF(N('Dvd Calendar'!$R$1792)=0,"",IF(('Dvd Calendar'!$R$1792&gt;=GRID_FROM)*('Dvd Calendar'!$R$1792&lt;=GRID_TO)*((('Dvd Calendar'!$R$1792&lt;=VAL_DATE)+(COUNTIF('Dvd Calendar'!$E$1799:$AR$1799,'Dvd Calendar'!$R$1792)=0))&gt;0)=0,"",'Dvd Calendar'!$R$1792*1000000000+ISNUMBER('Dvd Calendar'!$R$1795)*100000000+('Dvd Calendar'!$R$1797=SPECIAL_LBL)*10000000+(N('Dvd Calendar'!$R$1791)&gt;0)*(N('Dvd Calendar'!$R$1791)&lt;=VAL_SERIAL)*1000000+22*1000+14))</f>
        <v/>
      </c>
      <c r="ES181" s="39">
        <f>IF(N('Dvd Calendar'!$S$1792)=0,"",IF(('Dvd Calendar'!$S$1792&gt;=GRID_FROM)*('Dvd Calendar'!$S$1792&lt;=GRID_TO)*((('Dvd Calendar'!$S$1792&lt;=VAL_DATE)+(COUNTIF('Dvd Calendar'!$E$1799:$AR$1799,'Dvd Calendar'!$S$1792)=0))&gt;0)=0,"",'Dvd Calendar'!$S$1792*1000000000+ISNUMBER('Dvd Calendar'!$S$1795)*100000000+('Dvd Calendar'!$S$1797=SPECIAL_LBL)*10000000+(N('Dvd Calendar'!$S$1791)&gt;0)*(N('Dvd Calendar'!$S$1791)&lt;=VAL_SERIAL)*1000000+22*1000+15))</f>
        <v/>
      </c>
      <c r="ET181" s="39">
        <f>IF(N('Dvd Calendar'!$T$1792)=0,"",IF(('Dvd Calendar'!$T$1792&gt;=GRID_FROM)*('Dvd Calendar'!$T$1792&lt;=GRID_TO)*((('Dvd Calendar'!$T$1792&lt;=VAL_DATE)+(COUNTIF('Dvd Calendar'!$E$1799:$AR$1799,'Dvd Calendar'!$T$1792)=0))&gt;0)=0,"",'Dvd Calendar'!$T$1792*1000000000+ISNUMBER('Dvd Calendar'!$T$1795)*100000000+('Dvd Calendar'!$T$1797=SPECIAL_LBL)*10000000+(N('Dvd Calendar'!$T$1791)&gt;0)*(N('Dvd Calendar'!$T$1791)&lt;=VAL_SERIAL)*1000000+22*1000+16))</f>
        <v/>
      </c>
      <c r="EU181" s="39">
        <f>IF(N('Dvd Calendar'!$U$1792)=0,"",IF(('Dvd Calendar'!$U$1792&gt;=GRID_FROM)*('Dvd Calendar'!$U$1792&lt;=GRID_TO)*((('Dvd Calendar'!$U$1792&lt;=VAL_DATE)+(COUNTIF('Dvd Calendar'!$E$1799:$AR$1799,'Dvd Calendar'!$U$1792)=0))&gt;0)=0,"",'Dvd Calendar'!$U$1792*1000000000+ISNUMBER('Dvd Calendar'!$U$1795)*100000000+('Dvd Calendar'!$U$1797=SPECIAL_LBL)*10000000+(N('Dvd Calendar'!$U$1791)&gt;0)*(N('Dvd Calendar'!$U$1791)&lt;=VAL_SERIAL)*1000000+22*1000+17))</f>
        <v/>
      </c>
      <c r="EV181" s="39">
        <f>IF(N('Dvd Calendar'!$V$1792)=0,"",IF(('Dvd Calendar'!$V$1792&gt;=GRID_FROM)*('Dvd Calendar'!$V$1792&lt;=GRID_TO)*((('Dvd Calendar'!$V$1792&lt;=VAL_DATE)+(COUNTIF('Dvd Calendar'!$E$1799:$AR$1799,'Dvd Calendar'!$V$1792)=0))&gt;0)=0,"",'Dvd Calendar'!$V$1792*1000000000+ISNUMBER('Dvd Calendar'!$V$1795)*100000000+('Dvd Calendar'!$V$1797=SPECIAL_LBL)*10000000+(N('Dvd Calendar'!$V$1791)&gt;0)*(N('Dvd Calendar'!$V$1791)&lt;=VAL_SERIAL)*1000000+22*1000+18))</f>
        <v/>
      </c>
      <c r="EW181" s="39">
        <f>IF(N('Dvd Calendar'!$W$1792)=0,"",IF(('Dvd Calendar'!$W$1792&gt;=GRID_FROM)*('Dvd Calendar'!$W$1792&lt;=GRID_TO)*((('Dvd Calendar'!$W$1792&lt;=VAL_DATE)+(COUNTIF('Dvd Calendar'!$E$1799:$AR$1799,'Dvd Calendar'!$W$1792)=0))&gt;0)=0,"",'Dvd Calendar'!$W$1792*1000000000+ISNUMBER('Dvd Calendar'!$W$1795)*100000000+('Dvd Calendar'!$W$1797=SPECIAL_LBL)*10000000+(N('Dvd Calendar'!$W$1791)&gt;0)*(N('Dvd Calendar'!$W$1791)&lt;=VAL_SERIAL)*1000000+22*1000+19))</f>
        <v/>
      </c>
      <c r="EX181" s="39">
        <f>IF(N('Dvd Calendar'!$X$1792)=0,"",IF(('Dvd Calendar'!$X$1792&gt;=GRID_FROM)*('Dvd Calendar'!$X$1792&lt;=GRID_TO)*((('Dvd Calendar'!$X$1792&lt;=VAL_DATE)+(COUNTIF('Dvd Calendar'!$E$1799:$AR$1799,'Dvd Calendar'!$X$1792)=0))&gt;0)=0,"",'Dvd Calendar'!$X$1792*1000000000+ISNUMBER('Dvd Calendar'!$X$1795)*100000000+('Dvd Calendar'!$X$1797=SPECIAL_LBL)*10000000+(N('Dvd Calendar'!$X$1791)&gt;0)*(N('Dvd Calendar'!$X$1791)&lt;=VAL_SERIAL)*1000000+22*1000+20))</f>
        <v/>
      </c>
      <c r="EY181" s="39">
        <f>IF(N('Dvd Calendar'!$Y$1792)=0,"",IF(('Dvd Calendar'!$Y$1792&gt;=GRID_FROM)*('Dvd Calendar'!$Y$1792&lt;=GRID_TO)*((('Dvd Calendar'!$Y$1792&lt;=VAL_DATE)+(COUNTIF('Dvd Calendar'!$E$1799:$AR$1799,'Dvd Calendar'!$Y$1792)=0))&gt;0)=0,"",'Dvd Calendar'!$Y$1792*1000000000+ISNUMBER('Dvd Calendar'!$Y$1795)*100000000+('Dvd Calendar'!$Y$1797=SPECIAL_LBL)*10000000+(N('Dvd Calendar'!$Y$1791)&gt;0)*(N('Dvd Calendar'!$Y$1791)&lt;=VAL_SERIAL)*1000000+22*1000+21))</f>
        <v/>
      </c>
      <c r="EZ181" s="39">
        <f>IF(N('Dvd Calendar'!$Z$1792)=0,"",IF(('Dvd Calendar'!$Z$1792&gt;=GRID_FROM)*('Dvd Calendar'!$Z$1792&lt;=GRID_TO)*((('Dvd Calendar'!$Z$1792&lt;=VAL_DATE)+(COUNTIF('Dvd Calendar'!$E$1799:$AR$1799,'Dvd Calendar'!$Z$1792)=0))&gt;0)=0,"",'Dvd Calendar'!$Z$1792*1000000000+ISNUMBER('Dvd Calendar'!$Z$1795)*100000000+('Dvd Calendar'!$Z$1797=SPECIAL_LBL)*10000000+(N('Dvd Calendar'!$Z$1791)&gt;0)*(N('Dvd Calendar'!$Z$1791)&lt;=VAL_SERIAL)*1000000+22*1000+22))</f>
        <v/>
      </c>
      <c r="FA181" s="39">
        <f>IF(N('Dvd Calendar'!$AA$1792)=0,"",IF(('Dvd Calendar'!$AA$1792&gt;=GRID_FROM)*('Dvd Calendar'!$AA$1792&lt;=GRID_TO)*((('Dvd Calendar'!$AA$1792&lt;=VAL_DATE)+(COUNTIF('Dvd Calendar'!$E$1799:$AR$1799,'Dvd Calendar'!$AA$1792)=0))&gt;0)=0,"",'Dvd Calendar'!$AA$1792*1000000000+ISNUMBER('Dvd Calendar'!$AA$1795)*100000000+('Dvd Calendar'!$AA$1797=SPECIAL_LBL)*10000000+(N('Dvd Calendar'!$AA$1791)&gt;0)*(N('Dvd Calendar'!$AA$1791)&lt;=VAL_SERIAL)*1000000+22*1000+23))</f>
        <v/>
      </c>
      <c r="FB181" s="39">
        <f>IF(N('Dvd Calendar'!$AB$1792)=0,"",IF(('Dvd Calendar'!$AB$1792&gt;=GRID_FROM)*('Dvd Calendar'!$AB$1792&lt;=GRID_TO)*((('Dvd Calendar'!$AB$1792&lt;=VAL_DATE)+(COUNTIF('Dvd Calendar'!$E$1799:$AR$1799,'Dvd Calendar'!$AB$1792)=0))&gt;0)=0,"",'Dvd Calendar'!$AB$1792*1000000000+ISNUMBER('Dvd Calendar'!$AB$1795)*100000000+('Dvd Calendar'!$AB$1797=SPECIAL_LBL)*10000000+(N('Dvd Calendar'!$AB$1791)&gt;0)*(N('Dvd Calendar'!$AB$1791)&lt;=VAL_SERIAL)*1000000+22*1000+24))</f>
        <v/>
      </c>
      <c r="FC181" s="39">
        <f>IF(N('Dvd Calendar'!$AC$1792)=0,"",IF(('Dvd Calendar'!$AC$1792&gt;=GRID_FROM)*('Dvd Calendar'!$AC$1792&lt;=GRID_TO)*((('Dvd Calendar'!$AC$1792&lt;=VAL_DATE)+(COUNTIF('Dvd Calendar'!$E$1799:$AR$1799,'Dvd Calendar'!$AC$1792)=0))&gt;0)=0,"",'Dvd Calendar'!$AC$1792*1000000000+ISNUMBER('Dvd Calendar'!$AC$1795)*100000000+('Dvd Calendar'!$AC$1797=SPECIAL_LBL)*10000000+(N('Dvd Calendar'!$AC$1791)&gt;0)*(N('Dvd Calendar'!$AC$1791)&lt;=VAL_SERIAL)*1000000+22*1000+25))</f>
        <v/>
      </c>
      <c r="FD181" s="39">
        <f>IF(N('Dvd Calendar'!$AD$1792)=0,"",IF(('Dvd Calendar'!$AD$1792&gt;=GRID_FROM)*('Dvd Calendar'!$AD$1792&lt;=GRID_TO)*((('Dvd Calendar'!$AD$1792&lt;=VAL_DATE)+(COUNTIF('Dvd Calendar'!$E$1799:$AR$1799,'Dvd Calendar'!$AD$1792)=0))&gt;0)=0,"",'Dvd Calendar'!$AD$1792*1000000000+ISNUMBER('Dvd Calendar'!$AD$1795)*100000000+('Dvd Calendar'!$AD$1797=SPECIAL_LBL)*10000000+(N('Dvd Calendar'!$AD$1791)&gt;0)*(N('Dvd Calendar'!$AD$1791)&lt;=VAL_SERIAL)*1000000+22*1000+26))</f>
        <v/>
      </c>
      <c r="FE181" s="39">
        <f>IF(N('Dvd Calendar'!$AE$1792)=0,"",IF(('Dvd Calendar'!$AE$1792&gt;=GRID_FROM)*('Dvd Calendar'!$AE$1792&lt;=GRID_TO)*((('Dvd Calendar'!$AE$1792&lt;=VAL_DATE)+(COUNTIF('Dvd Calendar'!$E$1799:$AR$1799,'Dvd Calendar'!$AE$1792)=0))&gt;0)=0,"",'Dvd Calendar'!$AE$1792*1000000000+ISNUMBER('Dvd Calendar'!$AE$1795)*100000000+('Dvd Calendar'!$AE$1797=SPECIAL_LBL)*10000000+(N('Dvd Calendar'!$AE$1791)&gt;0)*(N('Dvd Calendar'!$AE$1791)&lt;=VAL_SERIAL)*1000000+22*1000+27))</f>
        <v/>
      </c>
      <c r="FF181" s="39">
        <f>IF(N('Dvd Calendar'!$AF$1792)=0,"",IF(('Dvd Calendar'!$AF$1792&gt;=GRID_FROM)*('Dvd Calendar'!$AF$1792&lt;=GRID_TO)*((('Dvd Calendar'!$AF$1792&lt;=VAL_DATE)+(COUNTIF('Dvd Calendar'!$E$1799:$AR$1799,'Dvd Calendar'!$AF$1792)=0))&gt;0)=0,"",'Dvd Calendar'!$AF$1792*1000000000+ISNUMBER('Dvd Calendar'!$AF$1795)*100000000+('Dvd Calendar'!$AF$1797=SPECIAL_LBL)*10000000+(N('Dvd Calendar'!$AF$1791)&gt;0)*(N('Dvd Calendar'!$AF$1791)&lt;=VAL_SERIAL)*1000000+22*1000+28))</f>
        <v/>
      </c>
      <c r="FG181" s="39">
        <f>IF(N('Dvd Calendar'!$AG$1792)=0,"",IF(('Dvd Calendar'!$AG$1792&gt;=GRID_FROM)*('Dvd Calendar'!$AG$1792&lt;=GRID_TO)*((('Dvd Calendar'!$AG$1792&lt;=VAL_DATE)+(COUNTIF('Dvd Calendar'!$E$1799:$AR$1799,'Dvd Calendar'!$AG$1792)=0))&gt;0)=0,"",'Dvd Calendar'!$AG$1792*1000000000+ISNUMBER('Dvd Calendar'!$AG$1795)*100000000+('Dvd Calendar'!$AG$1797=SPECIAL_LBL)*10000000+(N('Dvd Calendar'!$AG$1791)&gt;0)*(N('Dvd Calendar'!$AG$1791)&lt;=VAL_SERIAL)*1000000+22*1000+29))</f>
        <v/>
      </c>
      <c r="FH181" s="39">
        <f>IF(N('Dvd Calendar'!$AH$1792)=0,"",IF(('Dvd Calendar'!$AH$1792&gt;=GRID_FROM)*('Dvd Calendar'!$AH$1792&lt;=GRID_TO)*((('Dvd Calendar'!$AH$1792&lt;=VAL_DATE)+(COUNTIF('Dvd Calendar'!$E$1799:$AR$1799,'Dvd Calendar'!$AH$1792)=0))&gt;0)=0,"",'Dvd Calendar'!$AH$1792*1000000000+ISNUMBER('Dvd Calendar'!$AH$1795)*100000000+('Dvd Calendar'!$AH$1797=SPECIAL_LBL)*10000000+(N('Dvd Calendar'!$AH$1791)&gt;0)*(N('Dvd Calendar'!$AH$1791)&lt;=VAL_SERIAL)*1000000+22*1000+30))</f>
        <v/>
      </c>
      <c r="FI181" s="39">
        <f>IF(N('Dvd Calendar'!$AI$1792)=0,"",IF(('Dvd Calendar'!$AI$1792&gt;=GRID_FROM)*('Dvd Calendar'!$AI$1792&lt;=GRID_TO)*((('Dvd Calendar'!$AI$1792&lt;=VAL_DATE)+(COUNTIF('Dvd Calendar'!$E$1799:$AR$1799,'Dvd Calendar'!$AI$1792)=0))&gt;0)=0,"",'Dvd Calendar'!$AI$1792*1000000000+ISNUMBER('Dvd Calendar'!$AI$1795)*100000000+('Dvd Calendar'!$AI$1797=SPECIAL_LBL)*10000000+(N('Dvd Calendar'!$AI$1791)&gt;0)*(N('Dvd Calendar'!$AI$1791)&lt;=VAL_SERIAL)*1000000+22*1000+31))</f>
        <v/>
      </c>
      <c r="FJ181" s="39">
        <f>IF(N('Dvd Calendar'!$AJ$1792)=0,"",IF(('Dvd Calendar'!$AJ$1792&gt;=GRID_FROM)*('Dvd Calendar'!$AJ$1792&lt;=GRID_TO)*((('Dvd Calendar'!$AJ$1792&lt;=VAL_DATE)+(COUNTIF('Dvd Calendar'!$E$1799:$AR$1799,'Dvd Calendar'!$AJ$1792)=0))&gt;0)=0,"",'Dvd Calendar'!$AJ$1792*1000000000+ISNUMBER('Dvd Calendar'!$AJ$1795)*100000000+('Dvd Calendar'!$AJ$1797=SPECIAL_LBL)*10000000+(N('Dvd Calendar'!$AJ$1791)&gt;0)*(N('Dvd Calendar'!$AJ$1791)&lt;=VAL_SERIAL)*1000000+22*1000+32))</f>
        <v/>
      </c>
      <c r="FK181" s="39">
        <f>IF(N('Dvd Calendar'!$AK$1792)=0,"",IF(('Dvd Calendar'!$AK$1792&gt;=GRID_FROM)*('Dvd Calendar'!$AK$1792&lt;=GRID_TO)*((('Dvd Calendar'!$AK$1792&lt;=VAL_DATE)+(COUNTIF('Dvd Calendar'!$E$1799:$AR$1799,'Dvd Calendar'!$AK$1792)=0))&gt;0)=0,"",'Dvd Calendar'!$AK$1792*1000000000+ISNUMBER('Dvd Calendar'!$AK$1795)*100000000+('Dvd Calendar'!$AK$1797=SPECIAL_LBL)*10000000+(N('Dvd Calendar'!$AK$1791)&gt;0)*(N('Dvd Calendar'!$AK$1791)&lt;=VAL_SERIAL)*1000000+22*1000+33))</f>
        <v/>
      </c>
      <c r="FL181" s="39">
        <f>IF(N('Dvd Calendar'!$AL$1792)=0,"",IF(('Dvd Calendar'!$AL$1792&gt;=GRID_FROM)*('Dvd Calendar'!$AL$1792&lt;=GRID_TO)*((('Dvd Calendar'!$AL$1792&lt;=VAL_DATE)+(COUNTIF('Dvd Calendar'!$E$1799:$AR$1799,'Dvd Calendar'!$AL$1792)=0))&gt;0)=0,"",'Dvd Calendar'!$AL$1792*1000000000+ISNUMBER('Dvd Calendar'!$AL$1795)*100000000+('Dvd Calendar'!$AL$1797=SPECIAL_LBL)*10000000+(N('Dvd Calendar'!$AL$1791)&gt;0)*(N('Dvd Calendar'!$AL$1791)&lt;=VAL_SERIAL)*1000000+22*1000+34))</f>
        <v/>
      </c>
      <c r="FM181" s="39">
        <f>IF(N('Dvd Calendar'!$AM$1792)=0,"",IF(('Dvd Calendar'!$AM$1792&gt;=GRID_FROM)*('Dvd Calendar'!$AM$1792&lt;=GRID_TO)*((('Dvd Calendar'!$AM$1792&lt;=VAL_DATE)+(COUNTIF('Dvd Calendar'!$E$1799:$AR$1799,'Dvd Calendar'!$AM$1792)=0))&gt;0)=0,"",'Dvd Calendar'!$AM$1792*1000000000+ISNUMBER('Dvd Calendar'!$AM$1795)*100000000+('Dvd Calendar'!$AM$1797=SPECIAL_LBL)*10000000+(N('Dvd Calendar'!$AM$1791)&gt;0)*(N('Dvd Calendar'!$AM$1791)&lt;=VAL_SERIAL)*1000000+22*1000+35))</f>
        <v/>
      </c>
      <c r="FN181" s="39">
        <f>IF(N('Dvd Calendar'!$AN$1792)=0,"",IF(('Dvd Calendar'!$AN$1792&gt;=GRID_FROM)*('Dvd Calendar'!$AN$1792&lt;=GRID_TO)*((('Dvd Calendar'!$AN$1792&lt;=VAL_DATE)+(COUNTIF('Dvd Calendar'!$E$1799:$AR$1799,'Dvd Calendar'!$AN$1792)=0))&gt;0)=0,"",'Dvd Calendar'!$AN$1792*1000000000+ISNUMBER('Dvd Calendar'!$AN$1795)*100000000+('Dvd Calendar'!$AN$1797=SPECIAL_LBL)*10000000+(N('Dvd Calendar'!$AN$1791)&gt;0)*(N('Dvd Calendar'!$AN$1791)&lt;=VAL_SERIAL)*1000000+22*1000+36))</f>
        <v/>
      </c>
      <c r="FO181" s="39">
        <f>IF(N('Dvd Calendar'!$AO$1792)=0,"",IF(('Dvd Calendar'!$AO$1792&gt;=GRID_FROM)*('Dvd Calendar'!$AO$1792&lt;=GRID_TO)*((('Dvd Calendar'!$AO$1792&lt;=VAL_DATE)+(COUNTIF('Dvd Calendar'!$E$1799:$AR$1799,'Dvd Calendar'!$AO$1792)=0))&gt;0)=0,"",'Dvd Calendar'!$AO$1792*1000000000+ISNUMBER('Dvd Calendar'!$AO$1795)*100000000+('Dvd Calendar'!$AO$1797=SPECIAL_LBL)*10000000+(N('Dvd Calendar'!$AO$1791)&gt;0)*(N('Dvd Calendar'!$AO$1791)&lt;=VAL_SERIAL)*1000000+22*1000+37))</f>
        <v/>
      </c>
      <c r="FP181" s="39">
        <f>IF(N('Dvd Calendar'!$AP$1792)=0,"",IF(('Dvd Calendar'!$AP$1792&gt;=GRID_FROM)*('Dvd Calendar'!$AP$1792&lt;=GRID_TO)*((('Dvd Calendar'!$AP$1792&lt;=VAL_DATE)+(COUNTIF('Dvd Calendar'!$E$1799:$AR$1799,'Dvd Calendar'!$AP$1792)=0))&gt;0)=0,"",'Dvd Calendar'!$AP$1792*1000000000+ISNUMBER('Dvd Calendar'!$AP$1795)*100000000+('Dvd Calendar'!$AP$1797=SPECIAL_LBL)*10000000+(N('Dvd Calendar'!$AP$1791)&gt;0)*(N('Dvd Calendar'!$AP$1791)&lt;=VAL_SERIAL)*1000000+22*1000+38))</f>
        <v/>
      </c>
      <c r="FQ181" s="39">
        <f>IF(N('Dvd Calendar'!$AQ$1792)=0,"",IF(('Dvd Calendar'!$AQ$1792&gt;=GRID_FROM)*('Dvd Calendar'!$AQ$1792&lt;=GRID_TO)*((('Dvd Calendar'!$AQ$1792&lt;=VAL_DATE)+(COUNTIF('Dvd Calendar'!$E$1799:$AR$1799,'Dvd Calendar'!$AQ$1792)=0))&gt;0)=0,"",'Dvd Calendar'!$AQ$1792*1000000000+ISNUMBER('Dvd Calendar'!$AQ$1795)*100000000+('Dvd Calendar'!$AQ$1797=SPECIAL_LBL)*10000000+(N('Dvd Calendar'!$AQ$1791)&gt;0)*(N('Dvd Calendar'!$AQ$1791)&lt;=VAL_SERIAL)*1000000+22*1000+39))</f>
        <v/>
      </c>
      <c r="FR181" s="39">
        <f>IF(N('Dvd Calendar'!$AR$1792)=0,"",IF(('Dvd Calendar'!$AR$1792&gt;=GRID_FROM)*('Dvd Calendar'!$AR$1792&lt;=GRID_TO)*((('Dvd Calendar'!$AR$1792&lt;=VAL_DATE)+(COUNTIF('Dvd Calendar'!$E$1799:$AR$1799,'Dvd Calendar'!$AR$1792)=0))&gt;0)=0,"",'Dvd Calendar'!$AR$1792*1000000000+ISNUMBER('Dvd Calendar'!$AR$1795)*100000000+('Dvd Calendar'!$AR$1797=SPECIAL_LBL)*10000000+(N('Dvd Calendar'!$AR$1791)&gt;0)*(N('Dvd Calendar'!$AR$1791)&lt;=VAL_SERIAL)*1000000+22*1000+40))</f>
        <v/>
      </c>
      <c r="FS181" s="39">
        <f>IF(N('Dvd Calendar'!$E$1799)=0,"",IF(('Dvd Calendar'!$E$1799&gt;=GRID_FROM)*('Dvd Calendar'!$E$1799&lt;=GRID_TO)*('Dvd Calendar'!$E$1799&gt;VAL_DATE)=0,"",'Dvd Calendar'!$E$1799*1000000000+ISNUMBER('Dvd Calendar'!$E$1800)*100000000+0*10000000+(N('Dvd Calendar'!$E$1798)&gt;0)*(N('Dvd Calendar'!$E$1798)&lt;=VAL_SERIAL)*1000000+22*1000+41))</f>
        <v/>
      </c>
      <c r="FT181" s="39">
        <f>IF(N('Dvd Calendar'!$F$1799)=0,"",IF(('Dvd Calendar'!$F$1799&gt;=GRID_FROM)*('Dvd Calendar'!$F$1799&lt;=GRID_TO)*('Dvd Calendar'!$F$1799&gt;VAL_DATE)=0,"",'Dvd Calendar'!$F$1799*1000000000+ISNUMBER('Dvd Calendar'!$F$1800)*100000000+0*10000000+(N('Dvd Calendar'!$F$1798)&gt;0)*(N('Dvd Calendar'!$F$1798)&lt;=VAL_SERIAL)*1000000+22*1000+42))</f>
        <v/>
      </c>
      <c r="FU181" s="39">
        <f>IF(N('Dvd Calendar'!$G$1799)=0,"",IF(('Dvd Calendar'!$G$1799&gt;=GRID_FROM)*('Dvd Calendar'!$G$1799&lt;=GRID_TO)*('Dvd Calendar'!$G$1799&gt;VAL_DATE)=0,"",'Dvd Calendar'!$G$1799*1000000000+ISNUMBER('Dvd Calendar'!$G$1800)*100000000+0*10000000+(N('Dvd Calendar'!$G$1798)&gt;0)*(N('Dvd Calendar'!$G$1798)&lt;=VAL_SERIAL)*1000000+22*1000+43))</f>
        <v/>
      </c>
      <c r="FV181" s="39">
        <f>IF(N('Dvd Calendar'!$H$1799)=0,"",IF(('Dvd Calendar'!$H$1799&gt;=GRID_FROM)*('Dvd Calendar'!$H$1799&lt;=GRID_TO)*('Dvd Calendar'!$H$1799&gt;VAL_DATE)=0,"",'Dvd Calendar'!$H$1799*1000000000+ISNUMBER('Dvd Calendar'!$H$1800)*100000000+0*10000000+(N('Dvd Calendar'!$H$1798)&gt;0)*(N('Dvd Calendar'!$H$1798)&lt;=VAL_SERIAL)*1000000+22*1000+44))</f>
        <v/>
      </c>
      <c r="FW181" s="39">
        <f>IF(N('Dvd Calendar'!$I$1799)=0,"",IF(('Dvd Calendar'!$I$1799&gt;=GRID_FROM)*('Dvd Calendar'!$I$1799&lt;=GRID_TO)*('Dvd Calendar'!$I$1799&gt;VAL_DATE)=0,"",'Dvd Calendar'!$I$1799*1000000000+ISNUMBER('Dvd Calendar'!$I$1800)*100000000+0*10000000+(N('Dvd Calendar'!$I$1798)&gt;0)*(N('Dvd Calendar'!$I$1798)&lt;=VAL_SERIAL)*1000000+22*1000+45))</f>
        <v/>
      </c>
      <c r="FX181" s="39">
        <f>IF(N('Dvd Calendar'!$J$1799)=0,"",IF(('Dvd Calendar'!$J$1799&gt;=GRID_FROM)*('Dvd Calendar'!$J$1799&lt;=GRID_TO)*('Dvd Calendar'!$J$1799&gt;VAL_DATE)=0,"",'Dvd Calendar'!$J$1799*1000000000+ISNUMBER('Dvd Calendar'!$J$1800)*100000000+0*10000000+(N('Dvd Calendar'!$J$1798)&gt;0)*(N('Dvd Calendar'!$J$1798)&lt;=VAL_SERIAL)*1000000+22*1000+46))</f>
        <v/>
      </c>
      <c r="FY181" s="39">
        <f>IF(N('Dvd Calendar'!$K$1799)=0,"",IF(('Dvd Calendar'!$K$1799&gt;=GRID_FROM)*('Dvd Calendar'!$K$1799&lt;=GRID_TO)*('Dvd Calendar'!$K$1799&gt;VAL_DATE)=0,"",'Dvd Calendar'!$K$1799*1000000000+ISNUMBER('Dvd Calendar'!$K$1800)*100000000+0*10000000+(N('Dvd Calendar'!$K$1798)&gt;0)*(N('Dvd Calendar'!$K$1798)&lt;=VAL_SERIAL)*1000000+22*1000+47))</f>
        <v/>
      </c>
      <c r="FZ181" s="39">
        <f>IF(N('Dvd Calendar'!$L$1799)=0,"",IF(('Dvd Calendar'!$L$1799&gt;=GRID_FROM)*('Dvd Calendar'!$L$1799&lt;=GRID_TO)*('Dvd Calendar'!$L$1799&gt;VAL_DATE)=0,"",'Dvd Calendar'!$L$1799*1000000000+ISNUMBER('Dvd Calendar'!$L$1800)*100000000+0*10000000+(N('Dvd Calendar'!$L$1798)&gt;0)*(N('Dvd Calendar'!$L$1798)&lt;=VAL_SERIAL)*1000000+22*1000+48))</f>
        <v/>
      </c>
      <c r="GA181" s="39">
        <f>IF(N('Dvd Calendar'!$M$1799)=0,"",IF(('Dvd Calendar'!$M$1799&gt;=GRID_FROM)*('Dvd Calendar'!$M$1799&lt;=GRID_TO)*('Dvd Calendar'!$M$1799&gt;VAL_DATE)=0,"",'Dvd Calendar'!$M$1799*1000000000+ISNUMBER('Dvd Calendar'!$M$1800)*100000000+0*10000000+(N('Dvd Calendar'!$M$1798)&gt;0)*(N('Dvd Calendar'!$M$1798)&lt;=VAL_SERIAL)*1000000+22*1000+49))</f>
        <v/>
      </c>
      <c r="GB181" s="39">
        <f>IF(N('Dvd Calendar'!$N$1799)=0,"",IF(('Dvd Calendar'!$N$1799&gt;=GRID_FROM)*('Dvd Calendar'!$N$1799&lt;=GRID_TO)*('Dvd Calendar'!$N$1799&gt;VAL_DATE)=0,"",'Dvd Calendar'!$N$1799*1000000000+ISNUMBER('Dvd Calendar'!$N$1800)*100000000+0*10000000+(N('Dvd Calendar'!$N$1798)&gt;0)*(N('Dvd Calendar'!$N$1798)&lt;=VAL_SERIAL)*1000000+22*1000+50))</f>
        <v/>
      </c>
      <c r="GC181" s="39">
        <f>IF(N('Dvd Calendar'!$O$1799)=0,"",IF(('Dvd Calendar'!$O$1799&gt;=GRID_FROM)*('Dvd Calendar'!$O$1799&lt;=GRID_TO)*('Dvd Calendar'!$O$1799&gt;VAL_DATE)=0,"",'Dvd Calendar'!$O$1799*1000000000+ISNUMBER('Dvd Calendar'!$O$1800)*100000000+0*10000000+(N('Dvd Calendar'!$O$1798)&gt;0)*(N('Dvd Calendar'!$O$1798)&lt;=VAL_SERIAL)*1000000+22*1000+51))</f>
        <v/>
      </c>
      <c r="GD181" s="39">
        <f>IF(N('Dvd Calendar'!$P$1799)=0,"",IF(('Dvd Calendar'!$P$1799&gt;=GRID_FROM)*('Dvd Calendar'!$P$1799&lt;=GRID_TO)*('Dvd Calendar'!$P$1799&gt;VAL_DATE)=0,"",'Dvd Calendar'!$P$1799*1000000000+ISNUMBER('Dvd Calendar'!$P$1800)*100000000+0*10000000+(N('Dvd Calendar'!$P$1798)&gt;0)*(N('Dvd Calendar'!$P$1798)&lt;=VAL_SERIAL)*1000000+22*1000+52))</f>
        <v/>
      </c>
      <c r="GE181" s="39">
        <f>IF(N('Dvd Calendar'!$Q$1799)=0,"",IF(('Dvd Calendar'!$Q$1799&gt;=GRID_FROM)*('Dvd Calendar'!$Q$1799&lt;=GRID_TO)*('Dvd Calendar'!$Q$1799&gt;VAL_DATE)=0,"",'Dvd Calendar'!$Q$1799*1000000000+ISNUMBER('Dvd Calendar'!$Q$1800)*100000000+0*10000000+(N('Dvd Calendar'!$Q$1798)&gt;0)*(N('Dvd Calendar'!$Q$1798)&lt;=VAL_SERIAL)*1000000+22*1000+53))</f>
        <v/>
      </c>
      <c r="GF181" s="39">
        <f>IF(N('Dvd Calendar'!$R$1799)=0,"",IF(('Dvd Calendar'!$R$1799&gt;=GRID_FROM)*('Dvd Calendar'!$R$1799&lt;=GRID_TO)*('Dvd Calendar'!$R$1799&gt;VAL_DATE)=0,"",'Dvd Calendar'!$R$1799*1000000000+ISNUMBER('Dvd Calendar'!$R$1800)*100000000+0*10000000+(N('Dvd Calendar'!$R$1798)&gt;0)*(N('Dvd Calendar'!$R$1798)&lt;=VAL_SERIAL)*1000000+22*1000+54))</f>
        <v/>
      </c>
      <c r="GG181" s="39">
        <f>IF(N('Dvd Calendar'!$S$1799)=0,"",IF(('Dvd Calendar'!$S$1799&gt;=GRID_FROM)*('Dvd Calendar'!$S$1799&lt;=GRID_TO)*('Dvd Calendar'!$S$1799&gt;VAL_DATE)=0,"",'Dvd Calendar'!$S$1799*1000000000+ISNUMBER('Dvd Calendar'!$S$1800)*100000000+0*10000000+(N('Dvd Calendar'!$S$1798)&gt;0)*(N('Dvd Calendar'!$S$1798)&lt;=VAL_SERIAL)*1000000+22*1000+55))</f>
        <v/>
      </c>
      <c r="GH181" s="39">
        <f>IF(N('Dvd Calendar'!$T$1799)=0,"",IF(('Dvd Calendar'!$T$1799&gt;=GRID_FROM)*('Dvd Calendar'!$T$1799&lt;=GRID_TO)*('Dvd Calendar'!$T$1799&gt;VAL_DATE)=0,"",'Dvd Calendar'!$T$1799*1000000000+ISNUMBER('Dvd Calendar'!$T$1800)*100000000+0*10000000+(N('Dvd Calendar'!$T$1798)&gt;0)*(N('Dvd Calendar'!$T$1798)&lt;=VAL_SERIAL)*1000000+22*1000+56))</f>
        <v/>
      </c>
      <c r="GI181" s="39">
        <f>IF(N('Dvd Calendar'!$U$1799)=0,"",IF(('Dvd Calendar'!$U$1799&gt;=GRID_FROM)*('Dvd Calendar'!$U$1799&lt;=GRID_TO)*('Dvd Calendar'!$U$1799&gt;VAL_DATE)=0,"",'Dvd Calendar'!$U$1799*1000000000+ISNUMBER('Dvd Calendar'!$U$1800)*100000000+0*10000000+(N('Dvd Calendar'!$U$1798)&gt;0)*(N('Dvd Calendar'!$U$1798)&lt;=VAL_SERIAL)*1000000+22*1000+57))</f>
        <v/>
      </c>
      <c r="GJ181" s="39">
        <f>IF(N('Dvd Calendar'!$V$1799)=0,"",IF(('Dvd Calendar'!$V$1799&gt;=GRID_FROM)*('Dvd Calendar'!$V$1799&lt;=GRID_TO)*('Dvd Calendar'!$V$1799&gt;VAL_DATE)=0,"",'Dvd Calendar'!$V$1799*1000000000+ISNUMBER('Dvd Calendar'!$V$1800)*100000000+0*10000000+(N('Dvd Calendar'!$V$1798)&gt;0)*(N('Dvd Calendar'!$V$1798)&lt;=VAL_SERIAL)*1000000+22*1000+58))</f>
        <v/>
      </c>
      <c r="GK181" s="39">
        <f>IF(N('Dvd Calendar'!$W$1799)=0,"",IF(('Dvd Calendar'!$W$1799&gt;=GRID_FROM)*('Dvd Calendar'!$W$1799&lt;=GRID_TO)*('Dvd Calendar'!$W$1799&gt;VAL_DATE)=0,"",'Dvd Calendar'!$W$1799*1000000000+ISNUMBER('Dvd Calendar'!$W$1800)*100000000+0*10000000+(N('Dvd Calendar'!$W$1798)&gt;0)*(N('Dvd Calendar'!$W$1798)&lt;=VAL_SERIAL)*1000000+22*1000+59))</f>
        <v/>
      </c>
      <c r="GL181" s="39">
        <f>IF(N('Dvd Calendar'!$X$1799)=0,"",IF(('Dvd Calendar'!$X$1799&gt;=GRID_FROM)*('Dvd Calendar'!$X$1799&lt;=GRID_TO)*('Dvd Calendar'!$X$1799&gt;VAL_DATE)=0,"",'Dvd Calendar'!$X$1799*1000000000+ISNUMBER('Dvd Calendar'!$X$1800)*100000000+0*10000000+(N('Dvd Calendar'!$X$1798)&gt;0)*(N('Dvd Calendar'!$X$1798)&lt;=VAL_SERIAL)*1000000+22*1000+60))</f>
        <v/>
      </c>
      <c r="GM181" s="39">
        <f>IF(N('Dvd Calendar'!$Y$1799)=0,"",IF(('Dvd Calendar'!$Y$1799&gt;=GRID_FROM)*('Dvd Calendar'!$Y$1799&lt;=GRID_TO)*('Dvd Calendar'!$Y$1799&gt;VAL_DATE)=0,"",'Dvd Calendar'!$Y$1799*1000000000+ISNUMBER('Dvd Calendar'!$Y$1800)*100000000+0*10000000+(N('Dvd Calendar'!$Y$1798)&gt;0)*(N('Dvd Calendar'!$Y$1798)&lt;=VAL_SERIAL)*1000000+22*1000+61))</f>
        <v/>
      </c>
      <c r="GN181" s="39">
        <f>IF(N('Dvd Calendar'!$Z$1799)=0,"",IF(('Dvd Calendar'!$Z$1799&gt;=GRID_FROM)*('Dvd Calendar'!$Z$1799&lt;=GRID_TO)*('Dvd Calendar'!$Z$1799&gt;VAL_DATE)=0,"",'Dvd Calendar'!$Z$1799*1000000000+ISNUMBER('Dvd Calendar'!$Z$1800)*100000000+0*10000000+(N('Dvd Calendar'!$Z$1798)&gt;0)*(N('Dvd Calendar'!$Z$1798)&lt;=VAL_SERIAL)*1000000+22*1000+62))</f>
        <v/>
      </c>
      <c r="GO181" s="39">
        <f>IF(N('Dvd Calendar'!$AA$1799)=0,"",IF(('Dvd Calendar'!$AA$1799&gt;=GRID_FROM)*('Dvd Calendar'!$AA$1799&lt;=GRID_TO)*('Dvd Calendar'!$AA$1799&gt;VAL_DATE)=0,"",'Dvd Calendar'!$AA$1799*1000000000+ISNUMBER('Dvd Calendar'!$AA$1800)*100000000+0*10000000+(N('Dvd Calendar'!$AA$1798)&gt;0)*(N('Dvd Calendar'!$AA$1798)&lt;=VAL_SERIAL)*1000000+22*1000+63))</f>
        <v/>
      </c>
      <c r="GP181" s="39">
        <f>IF(N('Dvd Calendar'!$AB$1799)=0,"",IF(('Dvd Calendar'!$AB$1799&gt;=GRID_FROM)*('Dvd Calendar'!$AB$1799&lt;=GRID_TO)*('Dvd Calendar'!$AB$1799&gt;VAL_DATE)=0,"",'Dvd Calendar'!$AB$1799*1000000000+ISNUMBER('Dvd Calendar'!$AB$1800)*100000000+0*10000000+(N('Dvd Calendar'!$AB$1798)&gt;0)*(N('Dvd Calendar'!$AB$1798)&lt;=VAL_SERIAL)*1000000+22*1000+64))</f>
        <v/>
      </c>
      <c r="GQ181" s="39">
        <f>IF(N('Dvd Calendar'!$AC$1799)=0,"",IF(('Dvd Calendar'!$AC$1799&gt;=GRID_FROM)*('Dvd Calendar'!$AC$1799&lt;=GRID_TO)*('Dvd Calendar'!$AC$1799&gt;VAL_DATE)=0,"",'Dvd Calendar'!$AC$1799*1000000000+ISNUMBER('Dvd Calendar'!$AC$1800)*100000000+0*10000000+(N('Dvd Calendar'!$AC$1798)&gt;0)*(N('Dvd Calendar'!$AC$1798)&lt;=VAL_SERIAL)*1000000+22*1000+65))</f>
        <v/>
      </c>
    </row>
    <row r="182">
      <c r="B182" s="2">
        <f>IF(HSCEI!$C$29="","",HSCEI!$C$29)</f>
        <v/>
      </c>
      <c r="C182" s="110">
        <f>IF(EE182="","",IF(ISNUMBER('Dvd Calendar'!$E$1806)=FALSE,"",IF((('Dvd Calendar'!$E$1808=TYPE1)*(TYPE1&lt;&gt;"")+('Dvd Calendar'!$E$1808=TYPE2)*(TYPE2&lt;&gt;"")+('Dvd Calendar'!$E$1808=TYPE3)*(TYPE3&lt;&gt;"")+('Dvd Calendar'!$E$1808=TYPE4)*(TYPE4&lt;&gt;"")+('Dvd Calendar'!$E$1808=SPECIAL_LBL)*(INC_SPECIALS="Y"))=0,"",'Dvd Calendar'!$E$1806)))</f>
        <v/>
      </c>
      <c r="D182" s="110">
        <f>IF(EF182="","",IF(ISNUMBER('Dvd Calendar'!$F$1806)=FALSE,"",IF((('Dvd Calendar'!$F$1808=TYPE1)*(TYPE1&lt;&gt;"")+('Dvd Calendar'!$F$1808=TYPE2)*(TYPE2&lt;&gt;"")+('Dvd Calendar'!$F$1808=TYPE3)*(TYPE3&lt;&gt;"")+('Dvd Calendar'!$F$1808=TYPE4)*(TYPE4&lt;&gt;"")+('Dvd Calendar'!$F$1808=SPECIAL_LBL)*(INC_SPECIALS="Y"))=0,"",'Dvd Calendar'!$F$1806)))</f>
        <v/>
      </c>
      <c r="E182" s="110">
        <f>IF(EG182="","",IF(ISNUMBER('Dvd Calendar'!$G$1806)=FALSE,"",IF((('Dvd Calendar'!$G$1808=TYPE1)*(TYPE1&lt;&gt;"")+('Dvd Calendar'!$G$1808=TYPE2)*(TYPE2&lt;&gt;"")+('Dvd Calendar'!$G$1808=TYPE3)*(TYPE3&lt;&gt;"")+('Dvd Calendar'!$G$1808=TYPE4)*(TYPE4&lt;&gt;"")+('Dvd Calendar'!$G$1808=SPECIAL_LBL)*(INC_SPECIALS="Y"))=0,"",'Dvd Calendar'!$G$1806)))</f>
        <v/>
      </c>
      <c r="F182" s="110">
        <f>IF(EH182="","",IF(ISNUMBER('Dvd Calendar'!$H$1806)=FALSE,"",IF((('Dvd Calendar'!$H$1808=TYPE1)*(TYPE1&lt;&gt;"")+('Dvd Calendar'!$H$1808=TYPE2)*(TYPE2&lt;&gt;"")+('Dvd Calendar'!$H$1808=TYPE3)*(TYPE3&lt;&gt;"")+('Dvd Calendar'!$H$1808=TYPE4)*(TYPE4&lt;&gt;"")+('Dvd Calendar'!$H$1808=SPECIAL_LBL)*(INC_SPECIALS="Y"))=0,"",'Dvd Calendar'!$H$1806)))</f>
        <v/>
      </c>
      <c r="G182" s="110">
        <f>IF(EI182="","",IF(ISNUMBER('Dvd Calendar'!$I$1806)=FALSE,"",IF((('Dvd Calendar'!$I$1808=TYPE1)*(TYPE1&lt;&gt;"")+('Dvd Calendar'!$I$1808=TYPE2)*(TYPE2&lt;&gt;"")+('Dvd Calendar'!$I$1808=TYPE3)*(TYPE3&lt;&gt;"")+('Dvd Calendar'!$I$1808=TYPE4)*(TYPE4&lt;&gt;"")+('Dvd Calendar'!$I$1808=SPECIAL_LBL)*(INC_SPECIALS="Y"))=0,"",'Dvd Calendar'!$I$1806)))</f>
        <v/>
      </c>
      <c r="H182" s="110">
        <f>IF(EJ182="","",IF(ISNUMBER('Dvd Calendar'!$J$1806)=FALSE,"",IF((('Dvd Calendar'!$J$1808=TYPE1)*(TYPE1&lt;&gt;"")+('Dvd Calendar'!$J$1808=TYPE2)*(TYPE2&lt;&gt;"")+('Dvd Calendar'!$J$1808=TYPE3)*(TYPE3&lt;&gt;"")+('Dvd Calendar'!$J$1808=TYPE4)*(TYPE4&lt;&gt;"")+('Dvd Calendar'!$J$1808=SPECIAL_LBL)*(INC_SPECIALS="Y"))=0,"",'Dvd Calendar'!$J$1806)))</f>
        <v/>
      </c>
      <c r="I182" s="110">
        <f>IF(EK182="","",IF(ISNUMBER('Dvd Calendar'!$K$1806)=FALSE,"",IF((('Dvd Calendar'!$K$1808=TYPE1)*(TYPE1&lt;&gt;"")+('Dvd Calendar'!$K$1808=TYPE2)*(TYPE2&lt;&gt;"")+('Dvd Calendar'!$K$1808=TYPE3)*(TYPE3&lt;&gt;"")+('Dvd Calendar'!$K$1808=TYPE4)*(TYPE4&lt;&gt;"")+('Dvd Calendar'!$K$1808=SPECIAL_LBL)*(INC_SPECIALS="Y"))=0,"",'Dvd Calendar'!$K$1806)))</f>
        <v/>
      </c>
      <c r="J182" s="110">
        <f>IF(EL182="","",IF(ISNUMBER('Dvd Calendar'!$L$1806)=FALSE,"",IF((('Dvd Calendar'!$L$1808=TYPE1)*(TYPE1&lt;&gt;"")+('Dvd Calendar'!$L$1808=TYPE2)*(TYPE2&lt;&gt;"")+('Dvd Calendar'!$L$1808=TYPE3)*(TYPE3&lt;&gt;"")+('Dvd Calendar'!$L$1808=TYPE4)*(TYPE4&lt;&gt;"")+('Dvd Calendar'!$L$1808=SPECIAL_LBL)*(INC_SPECIALS="Y"))=0,"",'Dvd Calendar'!$L$1806)))</f>
        <v/>
      </c>
      <c r="K182" s="110">
        <f>IF(EM182="","",IF(ISNUMBER('Dvd Calendar'!$M$1806)=FALSE,"",IF((('Dvd Calendar'!$M$1808=TYPE1)*(TYPE1&lt;&gt;"")+('Dvd Calendar'!$M$1808=TYPE2)*(TYPE2&lt;&gt;"")+('Dvd Calendar'!$M$1808=TYPE3)*(TYPE3&lt;&gt;"")+('Dvd Calendar'!$M$1808=TYPE4)*(TYPE4&lt;&gt;"")+('Dvd Calendar'!$M$1808=SPECIAL_LBL)*(INC_SPECIALS="Y"))=0,"",'Dvd Calendar'!$M$1806)))</f>
        <v/>
      </c>
      <c r="L182" s="110">
        <f>IF(EN182="","",IF(ISNUMBER('Dvd Calendar'!$N$1806)=FALSE,"",IF((('Dvd Calendar'!$N$1808=TYPE1)*(TYPE1&lt;&gt;"")+('Dvd Calendar'!$N$1808=TYPE2)*(TYPE2&lt;&gt;"")+('Dvd Calendar'!$N$1808=TYPE3)*(TYPE3&lt;&gt;"")+('Dvd Calendar'!$N$1808=TYPE4)*(TYPE4&lt;&gt;"")+('Dvd Calendar'!$N$1808=SPECIAL_LBL)*(INC_SPECIALS="Y"))=0,"",'Dvd Calendar'!$N$1806)))</f>
        <v/>
      </c>
      <c r="M182" s="110">
        <f>IF(EO182="","",IF(ISNUMBER('Dvd Calendar'!$O$1806)=FALSE,"",IF((('Dvd Calendar'!$O$1808=TYPE1)*(TYPE1&lt;&gt;"")+('Dvd Calendar'!$O$1808=TYPE2)*(TYPE2&lt;&gt;"")+('Dvd Calendar'!$O$1808=TYPE3)*(TYPE3&lt;&gt;"")+('Dvd Calendar'!$O$1808=TYPE4)*(TYPE4&lt;&gt;"")+('Dvd Calendar'!$O$1808=SPECIAL_LBL)*(INC_SPECIALS="Y"))=0,"",'Dvd Calendar'!$O$1806)))</f>
        <v/>
      </c>
      <c r="N182" s="110">
        <f>IF(EP182="","",IF(ISNUMBER('Dvd Calendar'!$P$1806)=FALSE,"",IF((('Dvd Calendar'!$P$1808=TYPE1)*(TYPE1&lt;&gt;"")+('Dvd Calendar'!$P$1808=TYPE2)*(TYPE2&lt;&gt;"")+('Dvd Calendar'!$P$1808=TYPE3)*(TYPE3&lt;&gt;"")+('Dvd Calendar'!$P$1808=TYPE4)*(TYPE4&lt;&gt;"")+('Dvd Calendar'!$P$1808=SPECIAL_LBL)*(INC_SPECIALS="Y"))=0,"",'Dvd Calendar'!$P$1806)))</f>
        <v/>
      </c>
      <c r="O182" s="110">
        <f>IF(EQ182="","",IF(ISNUMBER('Dvd Calendar'!$Q$1806)=FALSE,"",IF((('Dvd Calendar'!$Q$1808=TYPE1)*(TYPE1&lt;&gt;"")+('Dvd Calendar'!$Q$1808=TYPE2)*(TYPE2&lt;&gt;"")+('Dvd Calendar'!$Q$1808=TYPE3)*(TYPE3&lt;&gt;"")+('Dvd Calendar'!$Q$1808=TYPE4)*(TYPE4&lt;&gt;"")+('Dvd Calendar'!$Q$1808=SPECIAL_LBL)*(INC_SPECIALS="Y"))=0,"",'Dvd Calendar'!$Q$1806)))</f>
        <v/>
      </c>
      <c r="P182" s="110">
        <f>IF(ER182="","",IF(ISNUMBER('Dvd Calendar'!$R$1806)=FALSE,"",IF((('Dvd Calendar'!$R$1808=TYPE1)*(TYPE1&lt;&gt;"")+('Dvd Calendar'!$R$1808=TYPE2)*(TYPE2&lt;&gt;"")+('Dvd Calendar'!$R$1808=TYPE3)*(TYPE3&lt;&gt;"")+('Dvd Calendar'!$R$1808=TYPE4)*(TYPE4&lt;&gt;"")+('Dvd Calendar'!$R$1808=SPECIAL_LBL)*(INC_SPECIALS="Y"))=0,"",'Dvd Calendar'!$R$1806)))</f>
        <v/>
      </c>
      <c r="Q182" s="110">
        <f>IF(ES182="","",IF(ISNUMBER('Dvd Calendar'!$S$1806)=FALSE,"",IF((('Dvd Calendar'!$S$1808=TYPE1)*(TYPE1&lt;&gt;"")+('Dvd Calendar'!$S$1808=TYPE2)*(TYPE2&lt;&gt;"")+('Dvd Calendar'!$S$1808=TYPE3)*(TYPE3&lt;&gt;"")+('Dvd Calendar'!$S$1808=TYPE4)*(TYPE4&lt;&gt;"")+('Dvd Calendar'!$S$1808=SPECIAL_LBL)*(INC_SPECIALS="Y"))=0,"",'Dvd Calendar'!$S$1806)))</f>
        <v/>
      </c>
      <c r="R182" s="110">
        <f>IF(ET182="","",IF(ISNUMBER('Dvd Calendar'!$T$1806)=FALSE,"",IF((('Dvd Calendar'!$T$1808=TYPE1)*(TYPE1&lt;&gt;"")+('Dvd Calendar'!$T$1808=TYPE2)*(TYPE2&lt;&gt;"")+('Dvd Calendar'!$T$1808=TYPE3)*(TYPE3&lt;&gt;"")+('Dvd Calendar'!$T$1808=TYPE4)*(TYPE4&lt;&gt;"")+('Dvd Calendar'!$T$1808=SPECIAL_LBL)*(INC_SPECIALS="Y"))=0,"",'Dvd Calendar'!$T$1806)))</f>
        <v/>
      </c>
      <c r="S182" s="110">
        <f>IF(EU182="","",IF(ISNUMBER('Dvd Calendar'!$U$1806)=FALSE,"",IF((('Dvd Calendar'!$U$1808=TYPE1)*(TYPE1&lt;&gt;"")+('Dvd Calendar'!$U$1808=TYPE2)*(TYPE2&lt;&gt;"")+('Dvd Calendar'!$U$1808=TYPE3)*(TYPE3&lt;&gt;"")+('Dvd Calendar'!$U$1808=TYPE4)*(TYPE4&lt;&gt;"")+('Dvd Calendar'!$U$1808=SPECIAL_LBL)*(INC_SPECIALS="Y"))=0,"",'Dvd Calendar'!$U$1806)))</f>
        <v/>
      </c>
      <c r="T182" s="110">
        <f>IF(EV182="","",IF(ISNUMBER('Dvd Calendar'!$V$1806)=FALSE,"",IF((('Dvd Calendar'!$V$1808=TYPE1)*(TYPE1&lt;&gt;"")+('Dvd Calendar'!$V$1808=TYPE2)*(TYPE2&lt;&gt;"")+('Dvd Calendar'!$V$1808=TYPE3)*(TYPE3&lt;&gt;"")+('Dvd Calendar'!$V$1808=TYPE4)*(TYPE4&lt;&gt;"")+('Dvd Calendar'!$V$1808=SPECIAL_LBL)*(INC_SPECIALS="Y"))=0,"",'Dvd Calendar'!$V$1806)))</f>
        <v/>
      </c>
      <c r="U182" s="110">
        <f>IF(EW182="","",IF(ISNUMBER('Dvd Calendar'!$W$1806)=FALSE,"",IF((('Dvd Calendar'!$W$1808=TYPE1)*(TYPE1&lt;&gt;"")+('Dvd Calendar'!$W$1808=TYPE2)*(TYPE2&lt;&gt;"")+('Dvd Calendar'!$W$1808=TYPE3)*(TYPE3&lt;&gt;"")+('Dvd Calendar'!$W$1808=TYPE4)*(TYPE4&lt;&gt;"")+('Dvd Calendar'!$W$1808=SPECIAL_LBL)*(INC_SPECIALS="Y"))=0,"",'Dvd Calendar'!$W$1806)))</f>
        <v/>
      </c>
      <c r="V182" s="110">
        <f>IF(EX182="","",IF(ISNUMBER('Dvd Calendar'!$X$1806)=FALSE,"",IF((('Dvd Calendar'!$X$1808=TYPE1)*(TYPE1&lt;&gt;"")+('Dvd Calendar'!$X$1808=TYPE2)*(TYPE2&lt;&gt;"")+('Dvd Calendar'!$X$1808=TYPE3)*(TYPE3&lt;&gt;"")+('Dvd Calendar'!$X$1808=TYPE4)*(TYPE4&lt;&gt;"")+('Dvd Calendar'!$X$1808=SPECIAL_LBL)*(INC_SPECIALS="Y"))=0,"",'Dvd Calendar'!$X$1806)))</f>
        <v/>
      </c>
      <c r="W182" s="110">
        <f>IF(EY182="","",IF(ISNUMBER('Dvd Calendar'!$Y$1806)=FALSE,"",IF((('Dvd Calendar'!$Y$1808=TYPE1)*(TYPE1&lt;&gt;"")+('Dvd Calendar'!$Y$1808=TYPE2)*(TYPE2&lt;&gt;"")+('Dvd Calendar'!$Y$1808=TYPE3)*(TYPE3&lt;&gt;"")+('Dvd Calendar'!$Y$1808=TYPE4)*(TYPE4&lt;&gt;"")+('Dvd Calendar'!$Y$1808=SPECIAL_LBL)*(INC_SPECIALS="Y"))=0,"",'Dvd Calendar'!$Y$1806)))</f>
        <v/>
      </c>
      <c r="X182" s="110">
        <f>IF(EZ182="","",IF(ISNUMBER('Dvd Calendar'!$Z$1806)=FALSE,"",IF((('Dvd Calendar'!$Z$1808=TYPE1)*(TYPE1&lt;&gt;"")+('Dvd Calendar'!$Z$1808=TYPE2)*(TYPE2&lt;&gt;"")+('Dvd Calendar'!$Z$1808=TYPE3)*(TYPE3&lt;&gt;"")+('Dvd Calendar'!$Z$1808=TYPE4)*(TYPE4&lt;&gt;"")+('Dvd Calendar'!$Z$1808=SPECIAL_LBL)*(INC_SPECIALS="Y"))=0,"",'Dvd Calendar'!$Z$1806)))</f>
        <v/>
      </c>
      <c r="Y182" s="110">
        <f>IF(FA182="","",IF(ISNUMBER('Dvd Calendar'!$AA$1806)=FALSE,"",IF((('Dvd Calendar'!$AA$1808=TYPE1)*(TYPE1&lt;&gt;"")+('Dvd Calendar'!$AA$1808=TYPE2)*(TYPE2&lt;&gt;"")+('Dvd Calendar'!$AA$1808=TYPE3)*(TYPE3&lt;&gt;"")+('Dvd Calendar'!$AA$1808=TYPE4)*(TYPE4&lt;&gt;"")+('Dvd Calendar'!$AA$1808=SPECIAL_LBL)*(INC_SPECIALS="Y"))=0,"",'Dvd Calendar'!$AA$1806)))</f>
        <v/>
      </c>
      <c r="Z182" s="110">
        <f>IF(FB182="","",IF(ISNUMBER('Dvd Calendar'!$AB$1806)=FALSE,"",IF((('Dvd Calendar'!$AB$1808=TYPE1)*(TYPE1&lt;&gt;"")+('Dvd Calendar'!$AB$1808=TYPE2)*(TYPE2&lt;&gt;"")+('Dvd Calendar'!$AB$1808=TYPE3)*(TYPE3&lt;&gt;"")+('Dvd Calendar'!$AB$1808=TYPE4)*(TYPE4&lt;&gt;"")+('Dvd Calendar'!$AB$1808=SPECIAL_LBL)*(INC_SPECIALS="Y"))=0,"",'Dvd Calendar'!$AB$1806)))</f>
        <v/>
      </c>
      <c r="AA182" s="110">
        <f>IF(FC182="","",IF(ISNUMBER('Dvd Calendar'!$AC$1806)=FALSE,"",IF((('Dvd Calendar'!$AC$1808=TYPE1)*(TYPE1&lt;&gt;"")+('Dvd Calendar'!$AC$1808=TYPE2)*(TYPE2&lt;&gt;"")+('Dvd Calendar'!$AC$1808=TYPE3)*(TYPE3&lt;&gt;"")+('Dvd Calendar'!$AC$1808=TYPE4)*(TYPE4&lt;&gt;"")+('Dvd Calendar'!$AC$1808=SPECIAL_LBL)*(INC_SPECIALS="Y"))=0,"",'Dvd Calendar'!$AC$1806)))</f>
        <v/>
      </c>
      <c r="AB182" s="110">
        <f>IF(FD182="","",IF(ISNUMBER('Dvd Calendar'!$AD$1806)=FALSE,"",IF((('Dvd Calendar'!$AD$1808=TYPE1)*(TYPE1&lt;&gt;"")+('Dvd Calendar'!$AD$1808=TYPE2)*(TYPE2&lt;&gt;"")+('Dvd Calendar'!$AD$1808=TYPE3)*(TYPE3&lt;&gt;"")+('Dvd Calendar'!$AD$1808=TYPE4)*(TYPE4&lt;&gt;"")+('Dvd Calendar'!$AD$1808=SPECIAL_LBL)*(INC_SPECIALS="Y"))=0,"",'Dvd Calendar'!$AD$1806)))</f>
        <v/>
      </c>
      <c r="AC182" s="110">
        <f>IF(FE182="","",IF(ISNUMBER('Dvd Calendar'!$AE$1806)=FALSE,"",IF((('Dvd Calendar'!$AE$1808=TYPE1)*(TYPE1&lt;&gt;"")+('Dvd Calendar'!$AE$1808=TYPE2)*(TYPE2&lt;&gt;"")+('Dvd Calendar'!$AE$1808=TYPE3)*(TYPE3&lt;&gt;"")+('Dvd Calendar'!$AE$1808=TYPE4)*(TYPE4&lt;&gt;"")+('Dvd Calendar'!$AE$1808=SPECIAL_LBL)*(INC_SPECIALS="Y"))=0,"",'Dvd Calendar'!$AE$1806)))</f>
        <v/>
      </c>
      <c r="AD182" s="110">
        <f>IF(FF182="","",IF(ISNUMBER('Dvd Calendar'!$AF$1806)=FALSE,"",IF((('Dvd Calendar'!$AF$1808=TYPE1)*(TYPE1&lt;&gt;"")+('Dvd Calendar'!$AF$1808=TYPE2)*(TYPE2&lt;&gt;"")+('Dvd Calendar'!$AF$1808=TYPE3)*(TYPE3&lt;&gt;"")+('Dvd Calendar'!$AF$1808=TYPE4)*(TYPE4&lt;&gt;"")+('Dvd Calendar'!$AF$1808=SPECIAL_LBL)*(INC_SPECIALS="Y"))=0,"",'Dvd Calendar'!$AF$1806)))</f>
        <v/>
      </c>
      <c r="AE182" s="110">
        <f>IF(FG182="","",IF(ISNUMBER('Dvd Calendar'!$AG$1806)=FALSE,"",IF((('Dvd Calendar'!$AG$1808=TYPE1)*(TYPE1&lt;&gt;"")+('Dvd Calendar'!$AG$1808=TYPE2)*(TYPE2&lt;&gt;"")+('Dvd Calendar'!$AG$1808=TYPE3)*(TYPE3&lt;&gt;"")+('Dvd Calendar'!$AG$1808=TYPE4)*(TYPE4&lt;&gt;"")+('Dvd Calendar'!$AG$1808=SPECIAL_LBL)*(INC_SPECIALS="Y"))=0,"",'Dvd Calendar'!$AG$1806)))</f>
        <v/>
      </c>
      <c r="AF182" s="110">
        <f>IF(FH182="","",IF(ISNUMBER('Dvd Calendar'!$AH$1806)=FALSE,"",IF((('Dvd Calendar'!$AH$1808=TYPE1)*(TYPE1&lt;&gt;"")+('Dvd Calendar'!$AH$1808=TYPE2)*(TYPE2&lt;&gt;"")+('Dvd Calendar'!$AH$1808=TYPE3)*(TYPE3&lt;&gt;"")+('Dvd Calendar'!$AH$1808=TYPE4)*(TYPE4&lt;&gt;"")+('Dvd Calendar'!$AH$1808=SPECIAL_LBL)*(INC_SPECIALS="Y"))=0,"",'Dvd Calendar'!$AH$1806)))</f>
        <v/>
      </c>
      <c r="AG182" s="110">
        <f>IF(FI182="","",IF(ISNUMBER('Dvd Calendar'!$AI$1806)=FALSE,"",IF((('Dvd Calendar'!$AI$1808=TYPE1)*(TYPE1&lt;&gt;"")+('Dvd Calendar'!$AI$1808=TYPE2)*(TYPE2&lt;&gt;"")+('Dvd Calendar'!$AI$1808=TYPE3)*(TYPE3&lt;&gt;"")+('Dvd Calendar'!$AI$1808=TYPE4)*(TYPE4&lt;&gt;"")+('Dvd Calendar'!$AI$1808=SPECIAL_LBL)*(INC_SPECIALS="Y"))=0,"",'Dvd Calendar'!$AI$1806)))</f>
        <v/>
      </c>
      <c r="AH182" s="110">
        <f>IF(FJ182="","",IF(ISNUMBER('Dvd Calendar'!$AJ$1806)=FALSE,"",IF((('Dvd Calendar'!$AJ$1808=TYPE1)*(TYPE1&lt;&gt;"")+('Dvd Calendar'!$AJ$1808=TYPE2)*(TYPE2&lt;&gt;"")+('Dvd Calendar'!$AJ$1808=TYPE3)*(TYPE3&lt;&gt;"")+('Dvd Calendar'!$AJ$1808=TYPE4)*(TYPE4&lt;&gt;"")+('Dvd Calendar'!$AJ$1808=SPECIAL_LBL)*(INC_SPECIALS="Y"))=0,"",'Dvd Calendar'!$AJ$1806)))</f>
        <v/>
      </c>
      <c r="AI182" s="110">
        <f>IF(FK182="","",IF(ISNUMBER('Dvd Calendar'!$AK$1806)=FALSE,"",IF((('Dvd Calendar'!$AK$1808=TYPE1)*(TYPE1&lt;&gt;"")+('Dvd Calendar'!$AK$1808=TYPE2)*(TYPE2&lt;&gt;"")+('Dvd Calendar'!$AK$1808=TYPE3)*(TYPE3&lt;&gt;"")+('Dvd Calendar'!$AK$1808=TYPE4)*(TYPE4&lt;&gt;"")+('Dvd Calendar'!$AK$1808=SPECIAL_LBL)*(INC_SPECIALS="Y"))=0,"",'Dvd Calendar'!$AK$1806)))</f>
        <v/>
      </c>
      <c r="AJ182" s="110">
        <f>IF(FL182="","",IF(ISNUMBER('Dvd Calendar'!$AL$1806)=FALSE,"",IF((('Dvd Calendar'!$AL$1808=TYPE1)*(TYPE1&lt;&gt;"")+('Dvd Calendar'!$AL$1808=TYPE2)*(TYPE2&lt;&gt;"")+('Dvd Calendar'!$AL$1808=TYPE3)*(TYPE3&lt;&gt;"")+('Dvd Calendar'!$AL$1808=TYPE4)*(TYPE4&lt;&gt;"")+('Dvd Calendar'!$AL$1808=SPECIAL_LBL)*(INC_SPECIALS="Y"))=0,"",'Dvd Calendar'!$AL$1806)))</f>
        <v/>
      </c>
      <c r="AK182" s="110">
        <f>IF(FM182="","",IF(ISNUMBER('Dvd Calendar'!$AM$1806)=FALSE,"",IF((('Dvd Calendar'!$AM$1808=TYPE1)*(TYPE1&lt;&gt;"")+('Dvd Calendar'!$AM$1808=TYPE2)*(TYPE2&lt;&gt;"")+('Dvd Calendar'!$AM$1808=TYPE3)*(TYPE3&lt;&gt;"")+('Dvd Calendar'!$AM$1808=TYPE4)*(TYPE4&lt;&gt;"")+('Dvd Calendar'!$AM$1808=SPECIAL_LBL)*(INC_SPECIALS="Y"))=0,"",'Dvd Calendar'!$AM$1806)))</f>
        <v/>
      </c>
      <c r="AL182" s="110">
        <f>IF(FN182="","",IF(ISNUMBER('Dvd Calendar'!$AN$1806)=FALSE,"",IF((('Dvd Calendar'!$AN$1808=TYPE1)*(TYPE1&lt;&gt;"")+('Dvd Calendar'!$AN$1808=TYPE2)*(TYPE2&lt;&gt;"")+('Dvd Calendar'!$AN$1808=TYPE3)*(TYPE3&lt;&gt;"")+('Dvd Calendar'!$AN$1808=TYPE4)*(TYPE4&lt;&gt;"")+('Dvd Calendar'!$AN$1808=SPECIAL_LBL)*(INC_SPECIALS="Y"))=0,"",'Dvd Calendar'!$AN$1806)))</f>
        <v/>
      </c>
      <c r="AM182" s="110">
        <f>IF(FO182="","",IF(ISNUMBER('Dvd Calendar'!$AO$1806)=FALSE,"",IF((('Dvd Calendar'!$AO$1808=TYPE1)*(TYPE1&lt;&gt;"")+('Dvd Calendar'!$AO$1808=TYPE2)*(TYPE2&lt;&gt;"")+('Dvd Calendar'!$AO$1808=TYPE3)*(TYPE3&lt;&gt;"")+('Dvd Calendar'!$AO$1808=TYPE4)*(TYPE4&lt;&gt;"")+('Dvd Calendar'!$AO$1808=SPECIAL_LBL)*(INC_SPECIALS="Y"))=0,"",'Dvd Calendar'!$AO$1806)))</f>
        <v/>
      </c>
      <c r="AN182" s="110">
        <f>IF(FP182="","",IF(ISNUMBER('Dvd Calendar'!$AP$1806)=FALSE,"",IF((('Dvd Calendar'!$AP$1808=TYPE1)*(TYPE1&lt;&gt;"")+('Dvd Calendar'!$AP$1808=TYPE2)*(TYPE2&lt;&gt;"")+('Dvd Calendar'!$AP$1808=TYPE3)*(TYPE3&lt;&gt;"")+('Dvd Calendar'!$AP$1808=TYPE4)*(TYPE4&lt;&gt;"")+('Dvd Calendar'!$AP$1808=SPECIAL_LBL)*(INC_SPECIALS="Y"))=0,"",'Dvd Calendar'!$AP$1806)))</f>
        <v/>
      </c>
      <c r="AO182" s="110">
        <f>IF(FQ182="","",IF(ISNUMBER('Dvd Calendar'!$AQ$1806)=FALSE,"",IF((('Dvd Calendar'!$AQ$1808=TYPE1)*(TYPE1&lt;&gt;"")+('Dvd Calendar'!$AQ$1808=TYPE2)*(TYPE2&lt;&gt;"")+('Dvd Calendar'!$AQ$1808=TYPE3)*(TYPE3&lt;&gt;"")+('Dvd Calendar'!$AQ$1808=TYPE4)*(TYPE4&lt;&gt;"")+('Dvd Calendar'!$AQ$1808=SPECIAL_LBL)*(INC_SPECIALS="Y"))=0,"",'Dvd Calendar'!$AQ$1806)))</f>
        <v/>
      </c>
      <c r="AP182" s="110">
        <f>IF(FR182="","",IF(ISNUMBER('Dvd Calendar'!$AR$1806)=FALSE,"",IF((('Dvd Calendar'!$AR$1808=TYPE1)*(TYPE1&lt;&gt;"")+('Dvd Calendar'!$AR$1808=TYPE2)*(TYPE2&lt;&gt;"")+('Dvd Calendar'!$AR$1808=TYPE3)*(TYPE3&lt;&gt;"")+('Dvd Calendar'!$AR$1808=TYPE4)*(TYPE4&lt;&gt;"")+('Dvd Calendar'!$AR$1808=SPECIAL_LBL)*(INC_SPECIALS="Y"))=0,"",'Dvd Calendar'!$AR$1806)))</f>
        <v/>
      </c>
      <c r="AQ182" s="110">
        <f>IF(FS182="","",IF(ISNUMBER('Dvd Calendar'!$E$1811)=FALSE,"",'Dvd Calendar'!$E$1811))</f>
        <v/>
      </c>
      <c r="AR182" s="110">
        <f>IF(FT182="","",IF(ISNUMBER('Dvd Calendar'!$F$1811)=FALSE,"",'Dvd Calendar'!$F$1811))</f>
        <v/>
      </c>
      <c r="AS182" s="110">
        <f>IF(FU182="","",IF(ISNUMBER('Dvd Calendar'!$G$1811)=FALSE,"",'Dvd Calendar'!$G$1811))</f>
        <v/>
      </c>
      <c r="AT182" s="110">
        <f>IF(FV182="","",IF(ISNUMBER('Dvd Calendar'!$H$1811)=FALSE,"",'Dvd Calendar'!$H$1811))</f>
        <v/>
      </c>
      <c r="AU182" s="110">
        <f>IF(FW182="","",IF(ISNUMBER('Dvd Calendar'!$I$1811)=FALSE,"",'Dvd Calendar'!$I$1811))</f>
        <v/>
      </c>
      <c r="AV182" s="110">
        <f>IF(FX182="","",IF(ISNUMBER('Dvd Calendar'!$J$1811)=FALSE,"",'Dvd Calendar'!$J$1811))</f>
        <v/>
      </c>
      <c r="AW182" s="110">
        <f>IF(FY182="","",IF(ISNUMBER('Dvd Calendar'!$K$1811)=FALSE,"",'Dvd Calendar'!$K$1811))</f>
        <v/>
      </c>
      <c r="AX182" s="110">
        <f>IF(FZ182="","",IF(ISNUMBER('Dvd Calendar'!$L$1811)=FALSE,"",'Dvd Calendar'!$L$1811))</f>
        <v/>
      </c>
      <c r="AY182" s="110">
        <f>IF(GA182="","",IF(ISNUMBER('Dvd Calendar'!$M$1811)=FALSE,"",'Dvd Calendar'!$M$1811))</f>
        <v/>
      </c>
      <c r="AZ182" s="110">
        <f>IF(GB182="","",IF(ISNUMBER('Dvd Calendar'!$N$1811)=FALSE,"",'Dvd Calendar'!$N$1811))</f>
        <v/>
      </c>
      <c r="BA182" s="110">
        <f>IF(GC182="","",IF(ISNUMBER('Dvd Calendar'!$O$1811)=FALSE,"",'Dvd Calendar'!$O$1811))</f>
        <v/>
      </c>
      <c r="BB182" s="110">
        <f>IF(GD182="","",IF(ISNUMBER('Dvd Calendar'!$P$1811)=FALSE,"",'Dvd Calendar'!$P$1811))</f>
        <v/>
      </c>
      <c r="BC182" s="110">
        <f>IF(GE182="","",IF(ISNUMBER('Dvd Calendar'!$Q$1811)=FALSE,"",'Dvd Calendar'!$Q$1811))</f>
        <v/>
      </c>
      <c r="BD182" s="110">
        <f>IF(GF182="","",IF(ISNUMBER('Dvd Calendar'!$R$1811)=FALSE,"",'Dvd Calendar'!$R$1811))</f>
        <v/>
      </c>
      <c r="BE182" s="110">
        <f>IF(GG182="","",IF(ISNUMBER('Dvd Calendar'!$S$1811)=FALSE,"",'Dvd Calendar'!$S$1811))</f>
        <v/>
      </c>
      <c r="BF182" s="110">
        <f>IF(GH182="","",IF(ISNUMBER('Dvd Calendar'!$T$1811)=FALSE,"",'Dvd Calendar'!$T$1811))</f>
        <v/>
      </c>
      <c r="BG182" s="110">
        <f>IF(GI182="","",IF(ISNUMBER('Dvd Calendar'!$U$1811)=FALSE,"",'Dvd Calendar'!$U$1811))</f>
        <v/>
      </c>
      <c r="BH182" s="110">
        <f>IF(GJ182="","",IF(ISNUMBER('Dvd Calendar'!$V$1811)=FALSE,"",'Dvd Calendar'!$V$1811))</f>
        <v/>
      </c>
      <c r="BI182" s="110">
        <f>IF(GK182="","",IF(ISNUMBER('Dvd Calendar'!$W$1811)=FALSE,"",'Dvd Calendar'!$W$1811))</f>
        <v/>
      </c>
      <c r="BJ182" s="110">
        <f>IF(GL182="","",IF(ISNUMBER('Dvd Calendar'!$X$1811)=FALSE,"",'Dvd Calendar'!$X$1811))</f>
        <v/>
      </c>
      <c r="BK182" s="110">
        <f>IF(GM182="","",IF(ISNUMBER('Dvd Calendar'!$Y$1811)=FALSE,"",'Dvd Calendar'!$Y$1811))</f>
        <v/>
      </c>
      <c r="BL182" s="110">
        <f>IF(GN182="","",IF(ISNUMBER('Dvd Calendar'!$Z$1811)=FALSE,"",'Dvd Calendar'!$Z$1811))</f>
        <v/>
      </c>
      <c r="BM182" s="110">
        <f>IF(GO182="","",IF(ISNUMBER('Dvd Calendar'!$AA$1811)=FALSE,"",'Dvd Calendar'!$AA$1811))</f>
        <v/>
      </c>
      <c r="BN182" s="110">
        <f>IF(GP182="","",IF(ISNUMBER('Dvd Calendar'!$AB$1811)=FALSE,"",'Dvd Calendar'!$AB$1811))</f>
        <v/>
      </c>
      <c r="BO182" s="110">
        <f>IF(GQ182="","",IF(ISNUMBER('Dvd Calendar'!$AC$1811)=FALSE,"",'Dvd Calendar'!$AC$1811))</f>
        <v/>
      </c>
      <c r="BQ182" s="110">
        <f>IF(C182="","",IFERROR(C182*HSCEI!$B$29*HSCEI!$G$29/HSCEI!$B$3,""))</f>
        <v/>
      </c>
      <c r="BR182" s="110">
        <f>IF(D182="","",IFERROR(D182*HSCEI!$B$29*HSCEI!$G$29/HSCEI!$B$3,""))</f>
        <v/>
      </c>
      <c r="BS182" s="110">
        <f>IF(E182="","",IFERROR(E182*HSCEI!$B$29*HSCEI!$G$29/HSCEI!$B$3,""))</f>
        <v/>
      </c>
      <c r="BT182" s="110">
        <f>IF(F182="","",IFERROR(F182*HSCEI!$B$29*HSCEI!$G$29/HSCEI!$B$3,""))</f>
        <v/>
      </c>
      <c r="BU182" s="110">
        <f>IF(G182="","",IFERROR(G182*HSCEI!$B$29*HSCEI!$G$29/HSCEI!$B$3,""))</f>
        <v/>
      </c>
      <c r="BV182" s="110">
        <f>IF(H182="","",IFERROR(H182*HSCEI!$B$29*HSCEI!$G$29/HSCEI!$B$3,""))</f>
        <v/>
      </c>
      <c r="BW182" s="110">
        <f>IF(I182="","",IFERROR(I182*HSCEI!$B$29*HSCEI!$G$29/HSCEI!$B$3,""))</f>
        <v/>
      </c>
      <c r="BX182" s="110">
        <f>IF(J182="","",IFERROR(J182*HSCEI!$B$29*HSCEI!$G$29/HSCEI!$B$3,""))</f>
        <v/>
      </c>
      <c r="BY182" s="110">
        <f>IF(K182="","",IFERROR(K182*HSCEI!$B$29*HSCEI!$G$29/HSCEI!$B$3,""))</f>
        <v/>
      </c>
      <c r="BZ182" s="110">
        <f>IF(L182="","",IFERROR(L182*HSCEI!$B$29*HSCEI!$G$29/HSCEI!$B$3,""))</f>
        <v/>
      </c>
      <c r="CA182" s="110">
        <f>IF(M182="","",IFERROR(M182*HSCEI!$B$29*HSCEI!$G$29/HSCEI!$B$3,""))</f>
        <v/>
      </c>
      <c r="CB182" s="110">
        <f>IF(N182="","",IFERROR(N182*HSCEI!$B$29*HSCEI!$G$29/HSCEI!$B$3,""))</f>
        <v/>
      </c>
      <c r="CC182" s="110">
        <f>IF(O182="","",IFERROR(O182*HSCEI!$B$29*HSCEI!$G$29/HSCEI!$B$3,""))</f>
        <v/>
      </c>
      <c r="CD182" s="110">
        <f>IF(P182="","",IFERROR(P182*HSCEI!$B$29*HSCEI!$G$29/HSCEI!$B$3,""))</f>
        <v/>
      </c>
      <c r="CE182" s="110">
        <f>IF(Q182="","",IFERROR(Q182*HSCEI!$B$29*HSCEI!$G$29/HSCEI!$B$3,""))</f>
        <v/>
      </c>
      <c r="CF182" s="110">
        <f>IF(R182="","",IFERROR(R182*HSCEI!$B$29*HSCEI!$G$29/HSCEI!$B$3,""))</f>
        <v/>
      </c>
      <c r="CG182" s="110">
        <f>IF(S182="","",IFERROR(S182*HSCEI!$B$29*HSCEI!$G$29/HSCEI!$B$3,""))</f>
        <v/>
      </c>
      <c r="CH182" s="110">
        <f>IF(T182="","",IFERROR(T182*HSCEI!$B$29*HSCEI!$G$29/HSCEI!$B$3,""))</f>
        <v/>
      </c>
      <c r="CI182" s="110">
        <f>IF(U182="","",IFERROR(U182*HSCEI!$B$29*HSCEI!$G$29/HSCEI!$B$3,""))</f>
        <v/>
      </c>
      <c r="CJ182" s="110">
        <f>IF(V182="","",IFERROR(V182*HSCEI!$B$29*HSCEI!$G$29/HSCEI!$B$3,""))</f>
        <v/>
      </c>
      <c r="CK182" s="110">
        <f>IF(W182="","",IFERROR(W182*HSCEI!$B$29*HSCEI!$G$29/HSCEI!$B$3,""))</f>
        <v/>
      </c>
      <c r="CL182" s="110">
        <f>IF(X182="","",IFERROR(X182*HSCEI!$B$29*HSCEI!$G$29/HSCEI!$B$3,""))</f>
        <v/>
      </c>
      <c r="CM182" s="110">
        <f>IF(Y182="","",IFERROR(Y182*HSCEI!$B$29*HSCEI!$G$29/HSCEI!$B$3,""))</f>
        <v/>
      </c>
      <c r="CN182" s="110">
        <f>IF(Z182="","",IFERROR(Z182*HSCEI!$B$29*HSCEI!$G$29/HSCEI!$B$3,""))</f>
        <v/>
      </c>
      <c r="CO182" s="110">
        <f>IF(AA182="","",IFERROR(AA182*HSCEI!$B$29*HSCEI!$G$29/HSCEI!$B$3,""))</f>
        <v/>
      </c>
      <c r="CP182" s="110">
        <f>IF(AB182="","",IFERROR(AB182*HSCEI!$B$29*HSCEI!$G$29/HSCEI!$B$3,""))</f>
        <v/>
      </c>
      <c r="CQ182" s="110">
        <f>IF(AC182="","",IFERROR(AC182*HSCEI!$B$29*HSCEI!$G$29/HSCEI!$B$3,""))</f>
        <v/>
      </c>
      <c r="CR182" s="110">
        <f>IF(AD182="","",IFERROR(AD182*HSCEI!$B$29*HSCEI!$G$29/HSCEI!$B$3,""))</f>
        <v/>
      </c>
      <c r="CS182" s="110">
        <f>IF(AE182="","",IFERROR(AE182*HSCEI!$B$29*HSCEI!$G$29/HSCEI!$B$3,""))</f>
        <v/>
      </c>
      <c r="CT182" s="110">
        <f>IF(AF182="","",IFERROR(AF182*HSCEI!$B$29*HSCEI!$G$29/HSCEI!$B$3,""))</f>
        <v/>
      </c>
      <c r="CU182" s="110">
        <f>IF(AG182="","",IFERROR(AG182*HSCEI!$B$29*HSCEI!$G$29/HSCEI!$B$3,""))</f>
        <v/>
      </c>
      <c r="CV182" s="110">
        <f>IF(AH182="","",IFERROR(AH182*HSCEI!$B$29*HSCEI!$G$29/HSCEI!$B$3,""))</f>
        <v/>
      </c>
      <c r="CW182" s="110">
        <f>IF(AI182="","",IFERROR(AI182*HSCEI!$B$29*HSCEI!$G$29/HSCEI!$B$3,""))</f>
        <v/>
      </c>
      <c r="CX182" s="110">
        <f>IF(AJ182="","",IFERROR(AJ182*HSCEI!$B$29*HSCEI!$G$29/HSCEI!$B$3,""))</f>
        <v/>
      </c>
      <c r="CY182" s="110">
        <f>IF(AK182="","",IFERROR(AK182*HSCEI!$B$29*HSCEI!$G$29/HSCEI!$B$3,""))</f>
        <v/>
      </c>
      <c r="CZ182" s="110">
        <f>IF(AL182="","",IFERROR(AL182*HSCEI!$B$29*HSCEI!$G$29/HSCEI!$B$3,""))</f>
        <v/>
      </c>
      <c r="DA182" s="110">
        <f>IF(AM182="","",IFERROR(AM182*HSCEI!$B$29*HSCEI!$G$29/HSCEI!$B$3,""))</f>
        <v/>
      </c>
      <c r="DB182" s="110">
        <f>IF(AN182="","",IFERROR(AN182*HSCEI!$B$29*HSCEI!$G$29/HSCEI!$B$3,""))</f>
        <v/>
      </c>
      <c r="DC182" s="110">
        <f>IF(AO182="","",IFERROR(AO182*HSCEI!$B$29*HSCEI!$G$29/HSCEI!$B$3,""))</f>
        <v/>
      </c>
      <c r="DD182" s="110">
        <f>IF(AP182="","",IFERROR(AP182*HSCEI!$B$29*HSCEI!$G$29/HSCEI!$B$3,""))</f>
        <v/>
      </c>
      <c r="DE182" s="110">
        <f>IF(AQ182="","",IFERROR(AQ182*HSCEI!$B$29*HSCEI!$G$29/HSCEI!$B$3,""))</f>
        <v/>
      </c>
      <c r="DF182" s="110">
        <f>IF(AR182="","",IFERROR(AR182*HSCEI!$B$29*HSCEI!$G$29/HSCEI!$B$3,""))</f>
        <v/>
      </c>
      <c r="DG182" s="110">
        <f>IF(AS182="","",IFERROR(AS182*HSCEI!$B$29*HSCEI!$G$29/HSCEI!$B$3,""))</f>
        <v/>
      </c>
      <c r="DH182" s="110">
        <f>IF(AT182="","",IFERROR(AT182*HSCEI!$B$29*HSCEI!$G$29/HSCEI!$B$3,""))</f>
        <v/>
      </c>
      <c r="DI182" s="110">
        <f>IF(AU182="","",IFERROR(AU182*HSCEI!$B$29*HSCEI!$G$29/HSCEI!$B$3,""))</f>
        <v/>
      </c>
      <c r="DJ182" s="110">
        <f>IF(AV182="","",IFERROR(AV182*HSCEI!$B$29*HSCEI!$G$29/HSCEI!$B$3,""))</f>
        <v/>
      </c>
      <c r="DK182" s="110">
        <f>IF(AW182="","",IFERROR(AW182*HSCEI!$B$29*HSCEI!$G$29/HSCEI!$B$3,""))</f>
        <v/>
      </c>
      <c r="DL182" s="110">
        <f>IF(AX182="","",IFERROR(AX182*HSCEI!$B$29*HSCEI!$G$29/HSCEI!$B$3,""))</f>
        <v/>
      </c>
      <c r="DM182" s="110">
        <f>IF(AY182="","",IFERROR(AY182*HSCEI!$B$29*HSCEI!$G$29/HSCEI!$B$3,""))</f>
        <v/>
      </c>
      <c r="DN182" s="110">
        <f>IF(AZ182="","",IFERROR(AZ182*HSCEI!$B$29*HSCEI!$G$29/HSCEI!$B$3,""))</f>
        <v/>
      </c>
      <c r="DO182" s="110">
        <f>IF(BA182="","",IFERROR(BA182*HSCEI!$B$29*HSCEI!$G$29/HSCEI!$B$3,""))</f>
        <v/>
      </c>
      <c r="DP182" s="110">
        <f>IF(BB182="","",IFERROR(BB182*HSCEI!$B$29*HSCEI!$G$29/HSCEI!$B$3,""))</f>
        <v/>
      </c>
      <c r="DQ182" s="110">
        <f>IF(BC182="","",IFERROR(BC182*HSCEI!$B$29*HSCEI!$G$29/HSCEI!$B$3,""))</f>
        <v/>
      </c>
      <c r="DR182" s="110">
        <f>IF(BD182="","",IFERROR(BD182*HSCEI!$B$29*HSCEI!$G$29/HSCEI!$B$3,""))</f>
        <v/>
      </c>
      <c r="DS182" s="110">
        <f>IF(BE182="","",IFERROR(BE182*HSCEI!$B$29*HSCEI!$G$29/HSCEI!$B$3,""))</f>
        <v/>
      </c>
      <c r="DT182" s="110">
        <f>IF(BF182="","",IFERROR(BF182*HSCEI!$B$29*HSCEI!$G$29/HSCEI!$B$3,""))</f>
        <v/>
      </c>
      <c r="DU182" s="110">
        <f>IF(BG182="","",IFERROR(BG182*HSCEI!$B$29*HSCEI!$G$29/HSCEI!$B$3,""))</f>
        <v/>
      </c>
      <c r="DV182" s="110">
        <f>IF(BH182="","",IFERROR(BH182*HSCEI!$B$29*HSCEI!$G$29/HSCEI!$B$3,""))</f>
        <v/>
      </c>
      <c r="DW182" s="110">
        <f>IF(BI182="","",IFERROR(BI182*HSCEI!$B$29*HSCEI!$G$29/HSCEI!$B$3,""))</f>
        <v/>
      </c>
      <c r="DX182" s="110">
        <f>IF(BJ182="","",IFERROR(BJ182*HSCEI!$B$29*HSCEI!$G$29/HSCEI!$B$3,""))</f>
        <v/>
      </c>
      <c r="DY182" s="110">
        <f>IF(BK182="","",IFERROR(BK182*HSCEI!$B$29*HSCEI!$G$29/HSCEI!$B$3,""))</f>
        <v/>
      </c>
      <c r="DZ182" s="110">
        <f>IF(BL182="","",IFERROR(BL182*HSCEI!$B$29*HSCEI!$G$29/HSCEI!$B$3,""))</f>
        <v/>
      </c>
      <c r="EA182" s="110">
        <f>IF(BM182="","",IFERROR(BM182*HSCEI!$B$29*HSCEI!$G$29/HSCEI!$B$3,""))</f>
        <v/>
      </c>
      <c r="EB182" s="110">
        <f>IF(BN182="","",IFERROR(BN182*HSCEI!$B$29*HSCEI!$G$29/HSCEI!$B$3,""))</f>
        <v/>
      </c>
      <c r="EC182" s="110">
        <f>IF(BO182="","",IFERROR(BO182*HSCEI!$B$29*HSCEI!$G$29/HSCEI!$B$3,""))</f>
        <v/>
      </c>
      <c r="EE182" s="39">
        <f>IF(N('Dvd Calendar'!$E$1803)=0,"",IF(('Dvd Calendar'!$E$1803&gt;=GRID_FROM)*('Dvd Calendar'!$E$1803&lt;=GRID_TO)*((('Dvd Calendar'!$E$1803&lt;=VAL_DATE)+(COUNTIF('Dvd Calendar'!$E$1810:$AR$1810,'Dvd Calendar'!$E$1803)=0))&gt;0)=0,"",'Dvd Calendar'!$E$1803*1000000000+ISNUMBER('Dvd Calendar'!$E$1806)*100000000+('Dvd Calendar'!$E$1808=SPECIAL_LBL)*10000000+(N('Dvd Calendar'!$E$1802)&gt;0)*(N('Dvd Calendar'!$E$1802)&lt;=VAL_SERIAL)*1000000+23*1000+1))</f>
        <v/>
      </c>
      <c r="EF182" s="39">
        <f>IF(N('Dvd Calendar'!$F$1803)=0,"",IF(('Dvd Calendar'!$F$1803&gt;=GRID_FROM)*('Dvd Calendar'!$F$1803&lt;=GRID_TO)*((('Dvd Calendar'!$F$1803&lt;=VAL_DATE)+(COUNTIF('Dvd Calendar'!$E$1810:$AR$1810,'Dvd Calendar'!$F$1803)=0))&gt;0)=0,"",'Dvd Calendar'!$F$1803*1000000000+ISNUMBER('Dvd Calendar'!$F$1806)*100000000+('Dvd Calendar'!$F$1808=SPECIAL_LBL)*10000000+(N('Dvd Calendar'!$F$1802)&gt;0)*(N('Dvd Calendar'!$F$1802)&lt;=VAL_SERIAL)*1000000+23*1000+2))</f>
        <v/>
      </c>
      <c r="EG182" s="39">
        <f>IF(N('Dvd Calendar'!$G$1803)=0,"",IF(('Dvd Calendar'!$G$1803&gt;=GRID_FROM)*('Dvd Calendar'!$G$1803&lt;=GRID_TO)*((('Dvd Calendar'!$G$1803&lt;=VAL_DATE)+(COUNTIF('Dvd Calendar'!$E$1810:$AR$1810,'Dvd Calendar'!$G$1803)=0))&gt;0)=0,"",'Dvd Calendar'!$G$1803*1000000000+ISNUMBER('Dvd Calendar'!$G$1806)*100000000+('Dvd Calendar'!$G$1808=SPECIAL_LBL)*10000000+(N('Dvd Calendar'!$G$1802)&gt;0)*(N('Dvd Calendar'!$G$1802)&lt;=VAL_SERIAL)*1000000+23*1000+3))</f>
        <v/>
      </c>
      <c r="EH182" s="39">
        <f>IF(N('Dvd Calendar'!$H$1803)=0,"",IF(('Dvd Calendar'!$H$1803&gt;=GRID_FROM)*('Dvd Calendar'!$H$1803&lt;=GRID_TO)*((('Dvd Calendar'!$H$1803&lt;=VAL_DATE)+(COUNTIF('Dvd Calendar'!$E$1810:$AR$1810,'Dvd Calendar'!$H$1803)=0))&gt;0)=0,"",'Dvd Calendar'!$H$1803*1000000000+ISNUMBER('Dvd Calendar'!$H$1806)*100000000+('Dvd Calendar'!$H$1808=SPECIAL_LBL)*10000000+(N('Dvd Calendar'!$H$1802)&gt;0)*(N('Dvd Calendar'!$H$1802)&lt;=VAL_SERIAL)*1000000+23*1000+4))</f>
        <v/>
      </c>
      <c r="EI182" s="39">
        <f>IF(N('Dvd Calendar'!$I$1803)=0,"",IF(('Dvd Calendar'!$I$1803&gt;=GRID_FROM)*('Dvd Calendar'!$I$1803&lt;=GRID_TO)*((('Dvd Calendar'!$I$1803&lt;=VAL_DATE)+(COUNTIF('Dvd Calendar'!$E$1810:$AR$1810,'Dvd Calendar'!$I$1803)=0))&gt;0)=0,"",'Dvd Calendar'!$I$1803*1000000000+ISNUMBER('Dvd Calendar'!$I$1806)*100000000+('Dvd Calendar'!$I$1808=SPECIAL_LBL)*10000000+(N('Dvd Calendar'!$I$1802)&gt;0)*(N('Dvd Calendar'!$I$1802)&lt;=VAL_SERIAL)*1000000+23*1000+5))</f>
        <v/>
      </c>
      <c r="EJ182" s="39">
        <f>IF(N('Dvd Calendar'!$J$1803)=0,"",IF(('Dvd Calendar'!$J$1803&gt;=GRID_FROM)*('Dvd Calendar'!$J$1803&lt;=GRID_TO)*((('Dvd Calendar'!$J$1803&lt;=VAL_DATE)+(COUNTIF('Dvd Calendar'!$E$1810:$AR$1810,'Dvd Calendar'!$J$1803)=0))&gt;0)=0,"",'Dvd Calendar'!$J$1803*1000000000+ISNUMBER('Dvd Calendar'!$J$1806)*100000000+('Dvd Calendar'!$J$1808=SPECIAL_LBL)*10000000+(N('Dvd Calendar'!$J$1802)&gt;0)*(N('Dvd Calendar'!$J$1802)&lt;=VAL_SERIAL)*1000000+23*1000+6))</f>
        <v/>
      </c>
      <c r="EK182" s="39">
        <f>IF(N('Dvd Calendar'!$K$1803)=0,"",IF(('Dvd Calendar'!$K$1803&gt;=GRID_FROM)*('Dvd Calendar'!$K$1803&lt;=GRID_TO)*((('Dvd Calendar'!$K$1803&lt;=VAL_DATE)+(COUNTIF('Dvd Calendar'!$E$1810:$AR$1810,'Dvd Calendar'!$K$1803)=0))&gt;0)=0,"",'Dvd Calendar'!$K$1803*1000000000+ISNUMBER('Dvd Calendar'!$K$1806)*100000000+('Dvd Calendar'!$K$1808=SPECIAL_LBL)*10000000+(N('Dvd Calendar'!$K$1802)&gt;0)*(N('Dvd Calendar'!$K$1802)&lt;=VAL_SERIAL)*1000000+23*1000+7))</f>
        <v/>
      </c>
      <c r="EL182" s="39">
        <f>IF(N('Dvd Calendar'!$L$1803)=0,"",IF(('Dvd Calendar'!$L$1803&gt;=GRID_FROM)*('Dvd Calendar'!$L$1803&lt;=GRID_TO)*((('Dvd Calendar'!$L$1803&lt;=VAL_DATE)+(COUNTIF('Dvd Calendar'!$E$1810:$AR$1810,'Dvd Calendar'!$L$1803)=0))&gt;0)=0,"",'Dvd Calendar'!$L$1803*1000000000+ISNUMBER('Dvd Calendar'!$L$1806)*100000000+('Dvd Calendar'!$L$1808=SPECIAL_LBL)*10000000+(N('Dvd Calendar'!$L$1802)&gt;0)*(N('Dvd Calendar'!$L$1802)&lt;=VAL_SERIAL)*1000000+23*1000+8))</f>
        <v/>
      </c>
      <c r="EM182" s="39">
        <f>IF(N('Dvd Calendar'!$M$1803)=0,"",IF(('Dvd Calendar'!$M$1803&gt;=GRID_FROM)*('Dvd Calendar'!$M$1803&lt;=GRID_TO)*((('Dvd Calendar'!$M$1803&lt;=VAL_DATE)+(COUNTIF('Dvd Calendar'!$E$1810:$AR$1810,'Dvd Calendar'!$M$1803)=0))&gt;0)=0,"",'Dvd Calendar'!$M$1803*1000000000+ISNUMBER('Dvd Calendar'!$M$1806)*100000000+('Dvd Calendar'!$M$1808=SPECIAL_LBL)*10000000+(N('Dvd Calendar'!$M$1802)&gt;0)*(N('Dvd Calendar'!$M$1802)&lt;=VAL_SERIAL)*1000000+23*1000+9))</f>
        <v/>
      </c>
      <c r="EN182" s="39">
        <f>IF(N('Dvd Calendar'!$N$1803)=0,"",IF(('Dvd Calendar'!$N$1803&gt;=GRID_FROM)*('Dvd Calendar'!$N$1803&lt;=GRID_TO)*((('Dvd Calendar'!$N$1803&lt;=VAL_DATE)+(COUNTIF('Dvd Calendar'!$E$1810:$AR$1810,'Dvd Calendar'!$N$1803)=0))&gt;0)=0,"",'Dvd Calendar'!$N$1803*1000000000+ISNUMBER('Dvd Calendar'!$N$1806)*100000000+('Dvd Calendar'!$N$1808=SPECIAL_LBL)*10000000+(N('Dvd Calendar'!$N$1802)&gt;0)*(N('Dvd Calendar'!$N$1802)&lt;=VAL_SERIAL)*1000000+23*1000+10))</f>
        <v/>
      </c>
      <c r="EO182" s="39">
        <f>IF(N('Dvd Calendar'!$O$1803)=0,"",IF(('Dvd Calendar'!$O$1803&gt;=GRID_FROM)*('Dvd Calendar'!$O$1803&lt;=GRID_TO)*((('Dvd Calendar'!$O$1803&lt;=VAL_DATE)+(COUNTIF('Dvd Calendar'!$E$1810:$AR$1810,'Dvd Calendar'!$O$1803)=0))&gt;0)=0,"",'Dvd Calendar'!$O$1803*1000000000+ISNUMBER('Dvd Calendar'!$O$1806)*100000000+('Dvd Calendar'!$O$1808=SPECIAL_LBL)*10000000+(N('Dvd Calendar'!$O$1802)&gt;0)*(N('Dvd Calendar'!$O$1802)&lt;=VAL_SERIAL)*1000000+23*1000+11))</f>
        <v/>
      </c>
      <c r="EP182" s="39">
        <f>IF(N('Dvd Calendar'!$P$1803)=0,"",IF(('Dvd Calendar'!$P$1803&gt;=GRID_FROM)*('Dvd Calendar'!$P$1803&lt;=GRID_TO)*((('Dvd Calendar'!$P$1803&lt;=VAL_DATE)+(COUNTIF('Dvd Calendar'!$E$1810:$AR$1810,'Dvd Calendar'!$P$1803)=0))&gt;0)=0,"",'Dvd Calendar'!$P$1803*1000000000+ISNUMBER('Dvd Calendar'!$P$1806)*100000000+('Dvd Calendar'!$P$1808=SPECIAL_LBL)*10000000+(N('Dvd Calendar'!$P$1802)&gt;0)*(N('Dvd Calendar'!$P$1802)&lt;=VAL_SERIAL)*1000000+23*1000+12))</f>
        <v/>
      </c>
      <c r="EQ182" s="39">
        <f>IF(N('Dvd Calendar'!$Q$1803)=0,"",IF(('Dvd Calendar'!$Q$1803&gt;=GRID_FROM)*('Dvd Calendar'!$Q$1803&lt;=GRID_TO)*((('Dvd Calendar'!$Q$1803&lt;=VAL_DATE)+(COUNTIF('Dvd Calendar'!$E$1810:$AR$1810,'Dvd Calendar'!$Q$1803)=0))&gt;0)=0,"",'Dvd Calendar'!$Q$1803*1000000000+ISNUMBER('Dvd Calendar'!$Q$1806)*100000000+('Dvd Calendar'!$Q$1808=SPECIAL_LBL)*10000000+(N('Dvd Calendar'!$Q$1802)&gt;0)*(N('Dvd Calendar'!$Q$1802)&lt;=VAL_SERIAL)*1000000+23*1000+13))</f>
        <v/>
      </c>
      <c r="ER182" s="39">
        <f>IF(N('Dvd Calendar'!$R$1803)=0,"",IF(('Dvd Calendar'!$R$1803&gt;=GRID_FROM)*('Dvd Calendar'!$R$1803&lt;=GRID_TO)*((('Dvd Calendar'!$R$1803&lt;=VAL_DATE)+(COUNTIF('Dvd Calendar'!$E$1810:$AR$1810,'Dvd Calendar'!$R$1803)=0))&gt;0)=0,"",'Dvd Calendar'!$R$1803*1000000000+ISNUMBER('Dvd Calendar'!$R$1806)*100000000+('Dvd Calendar'!$R$1808=SPECIAL_LBL)*10000000+(N('Dvd Calendar'!$R$1802)&gt;0)*(N('Dvd Calendar'!$R$1802)&lt;=VAL_SERIAL)*1000000+23*1000+14))</f>
        <v/>
      </c>
      <c r="ES182" s="39">
        <f>IF(N('Dvd Calendar'!$S$1803)=0,"",IF(('Dvd Calendar'!$S$1803&gt;=GRID_FROM)*('Dvd Calendar'!$S$1803&lt;=GRID_TO)*((('Dvd Calendar'!$S$1803&lt;=VAL_DATE)+(COUNTIF('Dvd Calendar'!$E$1810:$AR$1810,'Dvd Calendar'!$S$1803)=0))&gt;0)=0,"",'Dvd Calendar'!$S$1803*1000000000+ISNUMBER('Dvd Calendar'!$S$1806)*100000000+('Dvd Calendar'!$S$1808=SPECIAL_LBL)*10000000+(N('Dvd Calendar'!$S$1802)&gt;0)*(N('Dvd Calendar'!$S$1802)&lt;=VAL_SERIAL)*1000000+23*1000+15))</f>
        <v/>
      </c>
      <c r="ET182" s="39">
        <f>IF(N('Dvd Calendar'!$T$1803)=0,"",IF(('Dvd Calendar'!$T$1803&gt;=GRID_FROM)*('Dvd Calendar'!$T$1803&lt;=GRID_TO)*((('Dvd Calendar'!$T$1803&lt;=VAL_DATE)+(COUNTIF('Dvd Calendar'!$E$1810:$AR$1810,'Dvd Calendar'!$T$1803)=0))&gt;0)=0,"",'Dvd Calendar'!$T$1803*1000000000+ISNUMBER('Dvd Calendar'!$T$1806)*100000000+('Dvd Calendar'!$T$1808=SPECIAL_LBL)*10000000+(N('Dvd Calendar'!$T$1802)&gt;0)*(N('Dvd Calendar'!$T$1802)&lt;=VAL_SERIAL)*1000000+23*1000+16))</f>
        <v/>
      </c>
      <c r="EU182" s="39">
        <f>IF(N('Dvd Calendar'!$U$1803)=0,"",IF(('Dvd Calendar'!$U$1803&gt;=GRID_FROM)*('Dvd Calendar'!$U$1803&lt;=GRID_TO)*((('Dvd Calendar'!$U$1803&lt;=VAL_DATE)+(COUNTIF('Dvd Calendar'!$E$1810:$AR$1810,'Dvd Calendar'!$U$1803)=0))&gt;0)=0,"",'Dvd Calendar'!$U$1803*1000000000+ISNUMBER('Dvd Calendar'!$U$1806)*100000000+('Dvd Calendar'!$U$1808=SPECIAL_LBL)*10000000+(N('Dvd Calendar'!$U$1802)&gt;0)*(N('Dvd Calendar'!$U$1802)&lt;=VAL_SERIAL)*1000000+23*1000+17))</f>
        <v/>
      </c>
      <c r="EV182" s="39">
        <f>IF(N('Dvd Calendar'!$V$1803)=0,"",IF(('Dvd Calendar'!$V$1803&gt;=GRID_FROM)*('Dvd Calendar'!$V$1803&lt;=GRID_TO)*((('Dvd Calendar'!$V$1803&lt;=VAL_DATE)+(COUNTIF('Dvd Calendar'!$E$1810:$AR$1810,'Dvd Calendar'!$V$1803)=0))&gt;0)=0,"",'Dvd Calendar'!$V$1803*1000000000+ISNUMBER('Dvd Calendar'!$V$1806)*100000000+('Dvd Calendar'!$V$1808=SPECIAL_LBL)*10000000+(N('Dvd Calendar'!$V$1802)&gt;0)*(N('Dvd Calendar'!$V$1802)&lt;=VAL_SERIAL)*1000000+23*1000+18))</f>
        <v/>
      </c>
      <c r="EW182" s="39">
        <f>IF(N('Dvd Calendar'!$W$1803)=0,"",IF(('Dvd Calendar'!$W$1803&gt;=GRID_FROM)*('Dvd Calendar'!$W$1803&lt;=GRID_TO)*((('Dvd Calendar'!$W$1803&lt;=VAL_DATE)+(COUNTIF('Dvd Calendar'!$E$1810:$AR$1810,'Dvd Calendar'!$W$1803)=0))&gt;0)=0,"",'Dvd Calendar'!$W$1803*1000000000+ISNUMBER('Dvd Calendar'!$W$1806)*100000000+('Dvd Calendar'!$W$1808=SPECIAL_LBL)*10000000+(N('Dvd Calendar'!$W$1802)&gt;0)*(N('Dvd Calendar'!$W$1802)&lt;=VAL_SERIAL)*1000000+23*1000+19))</f>
        <v/>
      </c>
      <c r="EX182" s="39">
        <f>IF(N('Dvd Calendar'!$X$1803)=0,"",IF(('Dvd Calendar'!$X$1803&gt;=GRID_FROM)*('Dvd Calendar'!$X$1803&lt;=GRID_TO)*((('Dvd Calendar'!$X$1803&lt;=VAL_DATE)+(COUNTIF('Dvd Calendar'!$E$1810:$AR$1810,'Dvd Calendar'!$X$1803)=0))&gt;0)=0,"",'Dvd Calendar'!$X$1803*1000000000+ISNUMBER('Dvd Calendar'!$X$1806)*100000000+('Dvd Calendar'!$X$1808=SPECIAL_LBL)*10000000+(N('Dvd Calendar'!$X$1802)&gt;0)*(N('Dvd Calendar'!$X$1802)&lt;=VAL_SERIAL)*1000000+23*1000+20))</f>
        <v/>
      </c>
      <c r="EY182" s="39">
        <f>IF(N('Dvd Calendar'!$Y$1803)=0,"",IF(('Dvd Calendar'!$Y$1803&gt;=GRID_FROM)*('Dvd Calendar'!$Y$1803&lt;=GRID_TO)*((('Dvd Calendar'!$Y$1803&lt;=VAL_DATE)+(COUNTIF('Dvd Calendar'!$E$1810:$AR$1810,'Dvd Calendar'!$Y$1803)=0))&gt;0)=0,"",'Dvd Calendar'!$Y$1803*1000000000+ISNUMBER('Dvd Calendar'!$Y$1806)*100000000+('Dvd Calendar'!$Y$1808=SPECIAL_LBL)*10000000+(N('Dvd Calendar'!$Y$1802)&gt;0)*(N('Dvd Calendar'!$Y$1802)&lt;=VAL_SERIAL)*1000000+23*1000+21))</f>
        <v/>
      </c>
      <c r="EZ182" s="39">
        <f>IF(N('Dvd Calendar'!$Z$1803)=0,"",IF(('Dvd Calendar'!$Z$1803&gt;=GRID_FROM)*('Dvd Calendar'!$Z$1803&lt;=GRID_TO)*((('Dvd Calendar'!$Z$1803&lt;=VAL_DATE)+(COUNTIF('Dvd Calendar'!$E$1810:$AR$1810,'Dvd Calendar'!$Z$1803)=0))&gt;0)=0,"",'Dvd Calendar'!$Z$1803*1000000000+ISNUMBER('Dvd Calendar'!$Z$1806)*100000000+('Dvd Calendar'!$Z$1808=SPECIAL_LBL)*10000000+(N('Dvd Calendar'!$Z$1802)&gt;0)*(N('Dvd Calendar'!$Z$1802)&lt;=VAL_SERIAL)*1000000+23*1000+22))</f>
        <v/>
      </c>
      <c r="FA182" s="39">
        <f>IF(N('Dvd Calendar'!$AA$1803)=0,"",IF(('Dvd Calendar'!$AA$1803&gt;=GRID_FROM)*('Dvd Calendar'!$AA$1803&lt;=GRID_TO)*((('Dvd Calendar'!$AA$1803&lt;=VAL_DATE)+(COUNTIF('Dvd Calendar'!$E$1810:$AR$1810,'Dvd Calendar'!$AA$1803)=0))&gt;0)=0,"",'Dvd Calendar'!$AA$1803*1000000000+ISNUMBER('Dvd Calendar'!$AA$1806)*100000000+('Dvd Calendar'!$AA$1808=SPECIAL_LBL)*10000000+(N('Dvd Calendar'!$AA$1802)&gt;0)*(N('Dvd Calendar'!$AA$1802)&lt;=VAL_SERIAL)*1000000+23*1000+23))</f>
        <v/>
      </c>
      <c r="FB182" s="39">
        <f>IF(N('Dvd Calendar'!$AB$1803)=0,"",IF(('Dvd Calendar'!$AB$1803&gt;=GRID_FROM)*('Dvd Calendar'!$AB$1803&lt;=GRID_TO)*((('Dvd Calendar'!$AB$1803&lt;=VAL_DATE)+(COUNTIF('Dvd Calendar'!$E$1810:$AR$1810,'Dvd Calendar'!$AB$1803)=0))&gt;0)=0,"",'Dvd Calendar'!$AB$1803*1000000000+ISNUMBER('Dvd Calendar'!$AB$1806)*100000000+('Dvd Calendar'!$AB$1808=SPECIAL_LBL)*10000000+(N('Dvd Calendar'!$AB$1802)&gt;0)*(N('Dvd Calendar'!$AB$1802)&lt;=VAL_SERIAL)*1000000+23*1000+24))</f>
        <v/>
      </c>
      <c r="FC182" s="39">
        <f>IF(N('Dvd Calendar'!$AC$1803)=0,"",IF(('Dvd Calendar'!$AC$1803&gt;=GRID_FROM)*('Dvd Calendar'!$AC$1803&lt;=GRID_TO)*((('Dvd Calendar'!$AC$1803&lt;=VAL_DATE)+(COUNTIF('Dvd Calendar'!$E$1810:$AR$1810,'Dvd Calendar'!$AC$1803)=0))&gt;0)=0,"",'Dvd Calendar'!$AC$1803*1000000000+ISNUMBER('Dvd Calendar'!$AC$1806)*100000000+('Dvd Calendar'!$AC$1808=SPECIAL_LBL)*10000000+(N('Dvd Calendar'!$AC$1802)&gt;0)*(N('Dvd Calendar'!$AC$1802)&lt;=VAL_SERIAL)*1000000+23*1000+25))</f>
        <v/>
      </c>
      <c r="FD182" s="39">
        <f>IF(N('Dvd Calendar'!$AD$1803)=0,"",IF(('Dvd Calendar'!$AD$1803&gt;=GRID_FROM)*('Dvd Calendar'!$AD$1803&lt;=GRID_TO)*((('Dvd Calendar'!$AD$1803&lt;=VAL_DATE)+(COUNTIF('Dvd Calendar'!$E$1810:$AR$1810,'Dvd Calendar'!$AD$1803)=0))&gt;0)=0,"",'Dvd Calendar'!$AD$1803*1000000000+ISNUMBER('Dvd Calendar'!$AD$1806)*100000000+('Dvd Calendar'!$AD$1808=SPECIAL_LBL)*10000000+(N('Dvd Calendar'!$AD$1802)&gt;0)*(N('Dvd Calendar'!$AD$1802)&lt;=VAL_SERIAL)*1000000+23*1000+26))</f>
        <v/>
      </c>
      <c r="FE182" s="39">
        <f>IF(N('Dvd Calendar'!$AE$1803)=0,"",IF(('Dvd Calendar'!$AE$1803&gt;=GRID_FROM)*('Dvd Calendar'!$AE$1803&lt;=GRID_TO)*((('Dvd Calendar'!$AE$1803&lt;=VAL_DATE)+(COUNTIF('Dvd Calendar'!$E$1810:$AR$1810,'Dvd Calendar'!$AE$1803)=0))&gt;0)=0,"",'Dvd Calendar'!$AE$1803*1000000000+ISNUMBER('Dvd Calendar'!$AE$1806)*100000000+('Dvd Calendar'!$AE$1808=SPECIAL_LBL)*10000000+(N('Dvd Calendar'!$AE$1802)&gt;0)*(N('Dvd Calendar'!$AE$1802)&lt;=VAL_SERIAL)*1000000+23*1000+27))</f>
        <v/>
      </c>
      <c r="FF182" s="39">
        <f>IF(N('Dvd Calendar'!$AF$1803)=0,"",IF(('Dvd Calendar'!$AF$1803&gt;=GRID_FROM)*('Dvd Calendar'!$AF$1803&lt;=GRID_TO)*((('Dvd Calendar'!$AF$1803&lt;=VAL_DATE)+(COUNTIF('Dvd Calendar'!$E$1810:$AR$1810,'Dvd Calendar'!$AF$1803)=0))&gt;0)=0,"",'Dvd Calendar'!$AF$1803*1000000000+ISNUMBER('Dvd Calendar'!$AF$1806)*100000000+('Dvd Calendar'!$AF$1808=SPECIAL_LBL)*10000000+(N('Dvd Calendar'!$AF$1802)&gt;0)*(N('Dvd Calendar'!$AF$1802)&lt;=VAL_SERIAL)*1000000+23*1000+28))</f>
        <v/>
      </c>
      <c r="FG182" s="39">
        <f>IF(N('Dvd Calendar'!$AG$1803)=0,"",IF(('Dvd Calendar'!$AG$1803&gt;=GRID_FROM)*('Dvd Calendar'!$AG$1803&lt;=GRID_TO)*((('Dvd Calendar'!$AG$1803&lt;=VAL_DATE)+(COUNTIF('Dvd Calendar'!$E$1810:$AR$1810,'Dvd Calendar'!$AG$1803)=0))&gt;0)=0,"",'Dvd Calendar'!$AG$1803*1000000000+ISNUMBER('Dvd Calendar'!$AG$1806)*100000000+('Dvd Calendar'!$AG$1808=SPECIAL_LBL)*10000000+(N('Dvd Calendar'!$AG$1802)&gt;0)*(N('Dvd Calendar'!$AG$1802)&lt;=VAL_SERIAL)*1000000+23*1000+29))</f>
        <v/>
      </c>
      <c r="FH182" s="39">
        <f>IF(N('Dvd Calendar'!$AH$1803)=0,"",IF(('Dvd Calendar'!$AH$1803&gt;=GRID_FROM)*('Dvd Calendar'!$AH$1803&lt;=GRID_TO)*((('Dvd Calendar'!$AH$1803&lt;=VAL_DATE)+(COUNTIF('Dvd Calendar'!$E$1810:$AR$1810,'Dvd Calendar'!$AH$1803)=0))&gt;0)=0,"",'Dvd Calendar'!$AH$1803*1000000000+ISNUMBER('Dvd Calendar'!$AH$1806)*100000000+('Dvd Calendar'!$AH$1808=SPECIAL_LBL)*10000000+(N('Dvd Calendar'!$AH$1802)&gt;0)*(N('Dvd Calendar'!$AH$1802)&lt;=VAL_SERIAL)*1000000+23*1000+30))</f>
        <v/>
      </c>
      <c r="FI182" s="39">
        <f>IF(N('Dvd Calendar'!$AI$1803)=0,"",IF(('Dvd Calendar'!$AI$1803&gt;=GRID_FROM)*('Dvd Calendar'!$AI$1803&lt;=GRID_TO)*((('Dvd Calendar'!$AI$1803&lt;=VAL_DATE)+(COUNTIF('Dvd Calendar'!$E$1810:$AR$1810,'Dvd Calendar'!$AI$1803)=0))&gt;0)=0,"",'Dvd Calendar'!$AI$1803*1000000000+ISNUMBER('Dvd Calendar'!$AI$1806)*100000000+('Dvd Calendar'!$AI$1808=SPECIAL_LBL)*10000000+(N('Dvd Calendar'!$AI$1802)&gt;0)*(N('Dvd Calendar'!$AI$1802)&lt;=VAL_SERIAL)*1000000+23*1000+31))</f>
        <v/>
      </c>
      <c r="FJ182" s="39">
        <f>IF(N('Dvd Calendar'!$AJ$1803)=0,"",IF(('Dvd Calendar'!$AJ$1803&gt;=GRID_FROM)*('Dvd Calendar'!$AJ$1803&lt;=GRID_TO)*((('Dvd Calendar'!$AJ$1803&lt;=VAL_DATE)+(COUNTIF('Dvd Calendar'!$E$1810:$AR$1810,'Dvd Calendar'!$AJ$1803)=0))&gt;0)=0,"",'Dvd Calendar'!$AJ$1803*1000000000+ISNUMBER('Dvd Calendar'!$AJ$1806)*100000000+('Dvd Calendar'!$AJ$1808=SPECIAL_LBL)*10000000+(N('Dvd Calendar'!$AJ$1802)&gt;0)*(N('Dvd Calendar'!$AJ$1802)&lt;=VAL_SERIAL)*1000000+23*1000+32))</f>
        <v/>
      </c>
      <c r="FK182" s="39">
        <f>IF(N('Dvd Calendar'!$AK$1803)=0,"",IF(('Dvd Calendar'!$AK$1803&gt;=GRID_FROM)*('Dvd Calendar'!$AK$1803&lt;=GRID_TO)*((('Dvd Calendar'!$AK$1803&lt;=VAL_DATE)+(COUNTIF('Dvd Calendar'!$E$1810:$AR$1810,'Dvd Calendar'!$AK$1803)=0))&gt;0)=0,"",'Dvd Calendar'!$AK$1803*1000000000+ISNUMBER('Dvd Calendar'!$AK$1806)*100000000+('Dvd Calendar'!$AK$1808=SPECIAL_LBL)*10000000+(N('Dvd Calendar'!$AK$1802)&gt;0)*(N('Dvd Calendar'!$AK$1802)&lt;=VAL_SERIAL)*1000000+23*1000+33))</f>
        <v/>
      </c>
      <c r="FL182" s="39">
        <f>IF(N('Dvd Calendar'!$AL$1803)=0,"",IF(('Dvd Calendar'!$AL$1803&gt;=GRID_FROM)*('Dvd Calendar'!$AL$1803&lt;=GRID_TO)*((('Dvd Calendar'!$AL$1803&lt;=VAL_DATE)+(COUNTIF('Dvd Calendar'!$E$1810:$AR$1810,'Dvd Calendar'!$AL$1803)=0))&gt;0)=0,"",'Dvd Calendar'!$AL$1803*1000000000+ISNUMBER('Dvd Calendar'!$AL$1806)*100000000+('Dvd Calendar'!$AL$1808=SPECIAL_LBL)*10000000+(N('Dvd Calendar'!$AL$1802)&gt;0)*(N('Dvd Calendar'!$AL$1802)&lt;=VAL_SERIAL)*1000000+23*1000+34))</f>
        <v/>
      </c>
      <c r="FM182" s="39">
        <f>IF(N('Dvd Calendar'!$AM$1803)=0,"",IF(('Dvd Calendar'!$AM$1803&gt;=GRID_FROM)*('Dvd Calendar'!$AM$1803&lt;=GRID_TO)*((('Dvd Calendar'!$AM$1803&lt;=VAL_DATE)+(COUNTIF('Dvd Calendar'!$E$1810:$AR$1810,'Dvd Calendar'!$AM$1803)=0))&gt;0)=0,"",'Dvd Calendar'!$AM$1803*1000000000+ISNUMBER('Dvd Calendar'!$AM$1806)*100000000+('Dvd Calendar'!$AM$1808=SPECIAL_LBL)*10000000+(N('Dvd Calendar'!$AM$1802)&gt;0)*(N('Dvd Calendar'!$AM$1802)&lt;=VAL_SERIAL)*1000000+23*1000+35))</f>
        <v/>
      </c>
      <c r="FN182" s="39">
        <f>IF(N('Dvd Calendar'!$AN$1803)=0,"",IF(('Dvd Calendar'!$AN$1803&gt;=GRID_FROM)*('Dvd Calendar'!$AN$1803&lt;=GRID_TO)*((('Dvd Calendar'!$AN$1803&lt;=VAL_DATE)+(COUNTIF('Dvd Calendar'!$E$1810:$AR$1810,'Dvd Calendar'!$AN$1803)=0))&gt;0)=0,"",'Dvd Calendar'!$AN$1803*1000000000+ISNUMBER('Dvd Calendar'!$AN$1806)*100000000+('Dvd Calendar'!$AN$1808=SPECIAL_LBL)*10000000+(N('Dvd Calendar'!$AN$1802)&gt;0)*(N('Dvd Calendar'!$AN$1802)&lt;=VAL_SERIAL)*1000000+23*1000+36))</f>
        <v/>
      </c>
      <c r="FO182" s="39">
        <f>IF(N('Dvd Calendar'!$AO$1803)=0,"",IF(('Dvd Calendar'!$AO$1803&gt;=GRID_FROM)*('Dvd Calendar'!$AO$1803&lt;=GRID_TO)*((('Dvd Calendar'!$AO$1803&lt;=VAL_DATE)+(COUNTIF('Dvd Calendar'!$E$1810:$AR$1810,'Dvd Calendar'!$AO$1803)=0))&gt;0)=0,"",'Dvd Calendar'!$AO$1803*1000000000+ISNUMBER('Dvd Calendar'!$AO$1806)*100000000+('Dvd Calendar'!$AO$1808=SPECIAL_LBL)*10000000+(N('Dvd Calendar'!$AO$1802)&gt;0)*(N('Dvd Calendar'!$AO$1802)&lt;=VAL_SERIAL)*1000000+23*1000+37))</f>
        <v/>
      </c>
      <c r="FP182" s="39">
        <f>IF(N('Dvd Calendar'!$AP$1803)=0,"",IF(('Dvd Calendar'!$AP$1803&gt;=GRID_FROM)*('Dvd Calendar'!$AP$1803&lt;=GRID_TO)*((('Dvd Calendar'!$AP$1803&lt;=VAL_DATE)+(COUNTIF('Dvd Calendar'!$E$1810:$AR$1810,'Dvd Calendar'!$AP$1803)=0))&gt;0)=0,"",'Dvd Calendar'!$AP$1803*1000000000+ISNUMBER('Dvd Calendar'!$AP$1806)*100000000+('Dvd Calendar'!$AP$1808=SPECIAL_LBL)*10000000+(N('Dvd Calendar'!$AP$1802)&gt;0)*(N('Dvd Calendar'!$AP$1802)&lt;=VAL_SERIAL)*1000000+23*1000+38))</f>
        <v/>
      </c>
      <c r="FQ182" s="39">
        <f>IF(N('Dvd Calendar'!$AQ$1803)=0,"",IF(('Dvd Calendar'!$AQ$1803&gt;=GRID_FROM)*('Dvd Calendar'!$AQ$1803&lt;=GRID_TO)*((('Dvd Calendar'!$AQ$1803&lt;=VAL_DATE)+(COUNTIF('Dvd Calendar'!$E$1810:$AR$1810,'Dvd Calendar'!$AQ$1803)=0))&gt;0)=0,"",'Dvd Calendar'!$AQ$1803*1000000000+ISNUMBER('Dvd Calendar'!$AQ$1806)*100000000+('Dvd Calendar'!$AQ$1808=SPECIAL_LBL)*10000000+(N('Dvd Calendar'!$AQ$1802)&gt;0)*(N('Dvd Calendar'!$AQ$1802)&lt;=VAL_SERIAL)*1000000+23*1000+39))</f>
        <v/>
      </c>
      <c r="FR182" s="39">
        <f>IF(N('Dvd Calendar'!$AR$1803)=0,"",IF(('Dvd Calendar'!$AR$1803&gt;=GRID_FROM)*('Dvd Calendar'!$AR$1803&lt;=GRID_TO)*((('Dvd Calendar'!$AR$1803&lt;=VAL_DATE)+(COUNTIF('Dvd Calendar'!$E$1810:$AR$1810,'Dvd Calendar'!$AR$1803)=0))&gt;0)=0,"",'Dvd Calendar'!$AR$1803*1000000000+ISNUMBER('Dvd Calendar'!$AR$1806)*100000000+('Dvd Calendar'!$AR$1808=SPECIAL_LBL)*10000000+(N('Dvd Calendar'!$AR$1802)&gt;0)*(N('Dvd Calendar'!$AR$1802)&lt;=VAL_SERIAL)*1000000+23*1000+40))</f>
        <v/>
      </c>
      <c r="FS182" s="39">
        <f>IF(N('Dvd Calendar'!$E$1810)=0,"",IF(('Dvd Calendar'!$E$1810&gt;=GRID_FROM)*('Dvd Calendar'!$E$1810&lt;=GRID_TO)*('Dvd Calendar'!$E$1810&gt;VAL_DATE)=0,"",'Dvd Calendar'!$E$1810*1000000000+ISNUMBER('Dvd Calendar'!$E$1811)*100000000+0*10000000+(N('Dvd Calendar'!$E$1809)&gt;0)*(N('Dvd Calendar'!$E$1809)&lt;=VAL_SERIAL)*1000000+23*1000+41))</f>
        <v/>
      </c>
      <c r="FT182" s="39">
        <f>IF(N('Dvd Calendar'!$F$1810)=0,"",IF(('Dvd Calendar'!$F$1810&gt;=GRID_FROM)*('Dvd Calendar'!$F$1810&lt;=GRID_TO)*('Dvd Calendar'!$F$1810&gt;VAL_DATE)=0,"",'Dvd Calendar'!$F$1810*1000000000+ISNUMBER('Dvd Calendar'!$F$1811)*100000000+0*10000000+(N('Dvd Calendar'!$F$1809)&gt;0)*(N('Dvd Calendar'!$F$1809)&lt;=VAL_SERIAL)*1000000+23*1000+42))</f>
        <v/>
      </c>
      <c r="FU182" s="39">
        <f>IF(N('Dvd Calendar'!$G$1810)=0,"",IF(('Dvd Calendar'!$G$1810&gt;=GRID_FROM)*('Dvd Calendar'!$G$1810&lt;=GRID_TO)*('Dvd Calendar'!$G$1810&gt;VAL_DATE)=0,"",'Dvd Calendar'!$G$1810*1000000000+ISNUMBER('Dvd Calendar'!$G$1811)*100000000+0*10000000+(N('Dvd Calendar'!$G$1809)&gt;0)*(N('Dvd Calendar'!$G$1809)&lt;=VAL_SERIAL)*1000000+23*1000+43))</f>
        <v/>
      </c>
      <c r="FV182" s="39">
        <f>IF(N('Dvd Calendar'!$H$1810)=0,"",IF(('Dvd Calendar'!$H$1810&gt;=GRID_FROM)*('Dvd Calendar'!$H$1810&lt;=GRID_TO)*('Dvd Calendar'!$H$1810&gt;VAL_DATE)=0,"",'Dvd Calendar'!$H$1810*1000000000+ISNUMBER('Dvd Calendar'!$H$1811)*100000000+0*10000000+(N('Dvd Calendar'!$H$1809)&gt;0)*(N('Dvd Calendar'!$H$1809)&lt;=VAL_SERIAL)*1000000+23*1000+44))</f>
        <v/>
      </c>
      <c r="FW182" s="39">
        <f>IF(N('Dvd Calendar'!$I$1810)=0,"",IF(('Dvd Calendar'!$I$1810&gt;=GRID_FROM)*('Dvd Calendar'!$I$1810&lt;=GRID_TO)*('Dvd Calendar'!$I$1810&gt;VAL_DATE)=0,"",'Dvd Calendar'!$I$1810*1000000000+ISNUMBER('Dvd Calendar'!$I$1811)*100000000+0*10000000+(N('Dvd Calendar'!$I$1809)&gt;0)*(N('Dvd Calendar'!$I$1809)&lt;=VAL_SERIAL)*1000000+23*1000+45))</f>
        <v/>
      </c>
      <c r="FX182" s="39">
        <f>IF(N('Dvd Calendar'!$J$1810)=0,"",IF(('Dvd Calendar'!$J$1810&gt;=GRID_FROM)*('Dvd Calendar'!$J$1810&lt;=GRID_TO)*('Dvd Calendar'!$J$1810&gt;VAL_DATE)=0,"",'Dvd Calendar'!$J$1810*1000000000+ISNUMBER('Dvd Calendar'!$J$1811)*100000000+0*10000000+(N('Dvd Calendar'!$J$1809)&gt;0)*(N('Dvd Calendar'!$J$1809)&lt;=VAL_SERIAL)*1000000+23*1000+46))</f>
        <v/>
      </c>
      <c r="FY182" s="39">
        <f>IF(N('Dvd Calendar'!$K$1810)=0,"",IF(('Dvd Calendar'!$K$1810&gt;=GRID_FROM)*('Dvd Calendar'!$K$1810&lt;=GRID_TO)*('Dvd Calendar'!$K$1810&gt;VAL_DATE)=0,"",'Dvd Calendar'!$K$1810*1000000000+ISNUMBER('Dvd Calendar'!$K$1811)*100000000+0*10000000+(N('Dvd Calendar'!$K$1809)&gt;0)*(N('Dvd Calendar'!$K$1809)&lt;=VAL_SERIAL)*1000000+23*1000+47))</f>
        <v/>
      </c>
      <c r="FZ182" s="39">
        <f>IF(N('Dvd Calendar'!$L$1810)=0,"",IF(('Dvd Calendar'!$L$1810&gt;=GRID_FROM)*('Dvd Calendar'!$L$1810&lt;=GRID_TO)*('Dvd Calendar'!$L$1810&gt;VAL_DATE)=0,"",'Dvd Calendar'!$L$1810*1000000000+ISNUMBER('Dvd Calendar'!$L$1811)*100000000+0*10000000+(N('Dvd Calendar'!$L$1809)&gt;0)*(N('Dvd Calendar'!$L$1809)&lt;=VAL_SERIAL)*1000000+23*1000+48))</f>
        <v/>
      </c>
      <c r="GA182" s="39">
        <f>IF(N('Dvd Calendar'!$M$1810)=0,"",IF(('Dvd Calendar'!$M$1810&gt;=GRID_FROM)*('Dvd Calendar'!$M$1810&lt;=GRID_TO)*('Dvd Calendar'!$M$1810&gt;VAL_DATE)=0,"",'Dvd Calendar'!$M$1810*1000000000+ISNUMBER('Dvd Calendar'!$M$1811)*100000000+0*10000000+(N('Dvd Calendar'!$M$1809)&gt;0)*(N('Dvd Calendar'!$M$1809)&lt;=VAL_SERIAL)*1000000+23*1000+49))</f>
        <v/>
      </c>
      <c r="GB182" s="39">
        <f>IF(N('Dvd Calendar'!$N$1810)=0,"",IF(('Dvd Calendar'!$N$1810&gt;=GRID_FROM)*('Dvd Calendar'!$N$1810&lt;=GRID_TO)*('Dvd Calendar'!$N$1810&gt;VAL_DATE)=0,"",'Dvd Calendar'!$N$1810*1000000000+ISNUMBER('Dvd Calendar'!$N$1811)*100000000+0*10000000+(N('Dvd Calendar'!$N$1809)&gt;0)*(N('Dvd Calendar'!$N$1809)&lt;=VAL_SERIAL)*1000000+23*1000+50))</f>
        <v/>
      </c>
      <c r="GC182" s="39">
        <f>IF(N('Dvd Calendar'!$O$1810)=0,"",IF(('Dvd Calendar'!$O$1810&gt;=GRID_FROM)*('Dvd Calendar'!$O$1810&lt;=GRID_TO)*('Dvd Calendar'!$O$1810&gt;VAL_DATE)=0,"",'Dvd Calendar'!$O$1810*1000000000+ISNUMBER('Dvd Calendar'!$O$1811)*100000000+0*10000000+(N('Dvd Calendar'!$O$1809)&gt;0)*(N('Dvd Calendar'!$O$1809)&lt;=VAL_SERIAL)*1000000+23*1000+51))</f>
        <v/>
      </c>
      <c r="GD182" s="39">
        <f>IF(N('Dvd Calendar'!$P$1810)=0,"",IF(('Dvd Calendar'!$P$1810&gt;=GRID_FROM)*('Dvd Calendar'!$P$1810&lt;=GRID_TO)*('Dvd Calendar'!$P$1810&gt;VAL_DATE)=0,"",'Dvd Calendar'!$P$1810*1000000000+ISNUMBER('Dvd Calendar'!$P$1811)*100000000+0*10000000+(N('Dvd Calendar'!$P$1809)&gt;0)*(N('Dvd Calendar'!$P$1809)&lt;=VAL_SERIAL)*1000000+23*1000+52))</f>
        <v/>
      </c>
      <c r="GE182" s="39">
        <f>IF(N('Dvd Calendar'!$Q$1810)=0,"",IF(('Dvd Calendar'!$Q$1810&gt;=GRID_FROM)*('Dvd Calendar'!$Q$1810&lt;=GRID_TO)*('Dvd Calendar'!$Q$1810&gt;VAL_DATE)=0,"",'Dvd Calendar'!$Q$1810*1000000000+ISNUMBER('Dvd Calendar'!$Q$1811)*100000000+0*10000000+(N('Dvd Calendar'!$Q$1809)&gt;0)*(N('Dvd Calendar'!$Q$1809)&lt;=VAL_SERIAL)*1000000+23*1000+53))</f>
        <v/>
      </c>
      <c r="GF182" s="39">
        <f>IF(N('Dvd Calendar'!$R$1810)=0,"",IF(('Dvd Calendar'!$R$1810&gt;=GRID_FROM)*('Dvd Calendar'!$R$1810&lt;=GRID_TO)*('Dvd Calendar'!$R$1810&gt;VAL_DATE)=0,"",'Dvd Calendar'!$R$1810*1000000000+ISNUMBER('Dvd Calendar'!$R$1811)*100000000+0*10000000+(N('Dvd Calendar'!$R$1809)&gt;0)*(N('Dvd Calendar'!$R$1809)&lt;=VAL_SERIAL)*1000000+23*1000+54))</f>
        <v/>
      </c>
      <c r="GG182" s="39">
        <f>IF(N('Dvd Calendar'!$S$1810)=0,"",IF(('Dvd Calendar'!$S$1810&gt;=GRID_FROM)*('Dvd Calendar'!$S$1810&lt;=GRID_TO)*('Dvd Calendar'!$S$1810&gt;VAL_DATE)=0,"",'Dvd Calendar'!$S$1810*1000000000+ISNUMBER('Dvd Calendar'!$S$1811)*100000000+0*10000000+(N('Dvd Calendar'!$S$1809)&gt;0)*(N('Dvd Calendar'!$S$1809)&lt;=VAL_SERIAL)*1000000+23*1000+55))</f>
        <v/>
      </c>
      <c r="GH182" s="39">
        <f>IF(N('Dvd Calendar'!$T$1810)=0,"",IF(('Dvd Calendar'!$T$1810&gt;=GRID_FROM)*('Dvd Calendar'!$T$1810&lt;=GRID_TO)*('Dvd Calendar'!$T$1810&gt;VAL_DATE)=0,"",'Dvd Calendar'!$T$1810*1000000000+ISNUMBER('Dvd Calendar'!$T$1811)*100000000+0*10000000+(N('Dvd Calendar'!$T$1809)&gt;0)*(N('Dvd Calendar'!$T$1809)&lt;=VAL_SERIAL)*1000000+23*1000+56))</f>
        <v/>
      </c>
      <c r="GI182" s="39">
        <f>IF(N('Dvd Calendar'!$U$1810)=0,"",IF(('Dvd Calendar'!$U$1810&gt;=GRID_FROM)*('Dvd Calendar'!$U$1810&lt;=GRID_TO)*('Dvd Calendar'!$U$1810&gt;VAL_DATE)=0,"",'Dvd Calendar'!$U$1810*1000000000+ISNUMBER('Dvd Calendar'!$U$1811)*100000000+0*10000000+(N('Dvd Calendar'!$U$1809)&gt;0)*(N('Dvd Calendar'!$U$1809)&lt;=VAL_SERIAL)*1000000+23*1000+57))</f>
        <v/>
      </c>
      <c r="GJ182" s="39">
        <f>IF(N('Dvd Calendar'!$V$1810)=0,"",IF(('Dvd Calendar'!$V$1810&gt;=GRID_FROM)*('Dvd Calendar'!$V$1810&lt;=GRID_TO)*('Dvd Calendar'!$V$1810&gt;VAL_DATE)=0,"",'Dvd Calendar'!$V$1810*1000000000+ISNUMBER('Dvd Calendar'!$V$1811)*100000000+0*10000000+(N('Dvd Calendar'!$V$1809)&gt;0)*(N('Dvd Calendar'!$V$1809)&lt;=VAL_SERIAL)*1000000+23*1000+58))</f>
        <v/>
      </c>
      <c r="GK182" s="39">
        <f>IF(N('Dvd Calendar'!$W$1810)=0,"",IF(('Dvd Calendar'!$W$1810&gt;=GRID_FROM)*('Dvd Calendar'!$W$1810&lt;=GRID_TO)*('Dvd Calendar'!$W$1810&gt;VAL_DATE)=0,"",'Dvd Calendar'!$W$1810*1000000000+ISNUMBER('Dvd Calendar'!$W$1811)*100000000+0*10000000+(N('Dvd Calendar'!$W$1809)&gt;0)*(N('Dvd Calendar'!$W$1809)&lt;=VAL_SERIAL)*1000000+23*1000+59))</f>
        <v/>
      </c>
      <c r="GL182" s="39">
        <f>IF(N('Dvd Calendar'!$X$1810)=0,"",IF(('Dvd Calendar'!$X$1810&gt;=GRID_FROM)*('Dvd Calendar'!$X$1810&lt;=GRID_TO)*('Dvd Calendar'!$X$1810&gt;VAL_DATE)=0,"",'Dvd Calendar'!$X$1810*1000000000+ISNUMBER('Dvd Calendar'!$X$1811)*100000000+0*10000000+(N('Dvd Calendar'!$X$1809)&gt;0)*(N('Dvd Calendar'!$X$1809)&lt;=VAL_SERIAL)*1000000+23*1000+60))</f>
        <v/>
      </c>
      <c r="GM182" s="39">
        <f>IF(N('Dvd Calendar'!$Y$1810)=0,"",IF(('Dvd Calendar'!$Y$1810&gt;=GRID_FROM)*('Dvd Calendar'!$Y$1810&lt;=GRID_TO)*('Dvd Calendar'!$Y$1810&gt;VAL_DATE)=0,"",'Dvd Calendar'!$Y$1810*1000000000+ISNUMBER('Dvd Calendar'!$Y$1811)*100000000+0*10000000+(N('Dvd Calendar'!$Y$1809)&gt;0)*(N('Dvd Calendar'!$Y$1809)&lt;=VAL_SERIAL)*1000000+23*1000+61))</f>
        <v/>
      </c>
      <c r="GN182" s="39">
        <f>IF(N('Dvd Calendar'!$Z$1810)=0,"",IF(('Dvd Calendar'!$Z$1810&gt;=GRID_FROM)*('Dvd Calendar'!$Z$1810&lt;=GRID_TO)*('Dvd Calendar'!$Z$1810&gt;VAL_DATE)=0,"",'Dvd Calendar'!$Z$1810*1000000000+ISNUMBER('Dvd Calendar'!$Z$1811)*100000000+0*10000000+(N('Dvd Calendar'!$Z$1809)&gt;0)*(N('Dvd Calendar'!$Z$1809)&lt;=VAL_SERIAL)*1000000+23*1000+62))</f>
        <v/>
      </c>
      <c r="GO182" s="39">
        <f>IF(N('Dvd Calendar'!$AA$1810)=0,"",IF(('Dvd Calendar'!$AA$1810&gt;=GRID_FROM)*('Dvd Calendar'!$AA$1810&lt;=GRID_TO)*('Dvd Calendar'!$AA$1810&gt;VAL_DATE)=0,"",'Dvd Calendar'!$AA$1810*1000000000+ISNUMBER('Dvd Calendar'!$AA$1811)*100000000+0*10000000+(N('Dvd Calendar'!$AA$1809)&gt;0)*(N('Dvd Calendar'!$AA$1809)&lt;=VAL_SERIAL)*1000000+23*1000+63))</f>
        <v/>
      </c>
      <c r="GP182" s="39">
        <f>IF(N('Dvd Calendar'!$AB$1810)=0,"",IF(('Dvd Calendar'!$AB$1810&gt;=GRID_FROM)*('Dvd Calendar'!$AB$1810&lt;=GRID_TO)*('Dvd Calendar'!$AB$1810&gt;VAL_DATE)=0,"",'Dvd Calendar'!$AB$1810*1000000000+ISNUMBER('Dvd Calendar'!$AB$1811)*100000000+0*10000000+(N('Dvd Calendar'!$AB$1809)&gt;0)*(N('Dvd Calendar'!$AB$1809)&lt;=VAL_SERIAL)*1000000+23*1000+64))</f>
        <v/>
      </c>
      <c r="GQ182" s="39">
        <f>IF(N('Dvd Calendar'!$AC$1810)=0,"",IF(('Dvd Calendar'!$AC$1810&gt;=GRID_FROM)*('Dvd Calendar'!$AC$1810&lt;=GRID_TO)*('Dvd Calendar'!$AC$1810&gt;VAL_DATE)=0,"",'Dvd Calendar'!$AC$1810*1000000000+ISNUMBER('Dvd Calendar'!$AC$1811)*100000000+0*10000000+(N('Dvd Calendar'!$AC$1809)&gt;0)*(N('Dvd Calendar'!$AC$1809)&lt;=VAL_SERIAL)*1000000+23*1000+65))</f>
        <v/>
      </c>
    </row>
    <row r="183">
      <c r="B183" s="2">
        <f>IF(HSCEI!$C$30="","",HSCEI!$C$30)</f>
        <v/>
      </c>
      <c r="C183" s="110">
        <f>IF(EE183="","",IF(ISNUMBER('Dvd Calendar'!$E$1817)=FALSE,"",IF((('Dvd Calendar'!$E$1819=TYPE1)*(TYPE1&lt;&gt;"")+('Dvd Calendar'!$E$1819=TYPE2)*(TYPE2&lt;&gt;"")+('Dvd Calendar'!$E$1819=TYPE3)*(TYPE3&lt;&gt;"")+('Dvd Calendar'!$E$1819=TYPE4)*(TYPE4&lt;&gt;"")+('Dvd Calendar'!$E$1819=SPECIAL_LBL)*(INC_SPECIALS="Y"))=0,"",'Dvd Calendar'!$E$1817)))</f>
        <v/>
      </c>
      <c r="D183" s="110">
        <f>IF(EF183="","",IF(ISNUMBER('Dvd Calendar'!$F$1817)=FALSE,"",IF((('Dvd Calendar'!$F$1819=TYPE1)*(TYPE1&lt;&gt;"")+('Dvd Calendar'!$F$1819=TYPE2)*(TYPE2&lt;&gt;"")+('Dvd Calendar'!$F$1819=TYPE3)*(TYPE3&lt;&gt;"")+('Dvd Calendar'!$F$1819=TYPE4)*(TYPE4&lt;&gt;"")+('Dvd Calendar'!$F$1819=SPECIAL_LBL)*(INC_SPECIALS="Y"))=0,"",'Dvd Calendar'!$F$1817)))</f>
        <v/>
      </c>
      <c r="E183" s="110">
        <f>IF(EG183="","",IF(ISNUMBER('Dvd Calendar'!$G$1817)=FALSE,"",IF((('Dvd Calendar'!$G$1819=TYPE1)*(TYPE1&lt;&gt;"")+('Dvd Calendar'!$G$1819=TYPE2)*(TYPE2&lt;&gt;"")+('Dvd Calendar'!$G$1819=TYPE3)*(TYPE3&lt;&gt;"")+('Dvd Calendar'!$G$1819=TYPE4)*(TYPE4&lt;&gt;"")+('Dvd Calendar'!$G$1819=SPECIAL_LBL)*(INC_SPECIALS="Y"))=0,"",'Dvd Calendar'!$G$1817)))</f>
        <v/>
      </c>
      <c r="F183" s="110">
        <f>IF(EH183="","",IF(ISNUMBER('Dvd Calendar'!$H$1817)=FALSE,"",IF((('Dvd Calendar'!$H$1819=TYPE1)*(TYPE1&lt;&gt;"")+('Dvd Calendar'!$H$1819=TYPE2)*(TYPE2&lt;&gt;"")+('Dvd Calendar'!$H$1819=TYPE3)*(TYPE3&lt;&gt;"")+('Dvd Calendar'!$H$1819=TYPE4)*(TYPE4&lt;&gt;"")+('Dvd Calendar'!$H$1819=SPECIAL_LBL)*(INC_SPECIALS="Y"))=0,"",'Dvd Calendar'!$H$1817)))</f>
        <v/>
      </c>
      <c r="G183" s="110">
        <f>IF(EI183="","",IF(ISNUMBER('Dvd Calendar'!$I$1817)=FALSE,"",IF((('Dvd Calendar'!$I$1819=TYPE1)*(TYPE1&lt;&gt;"")+('Dvd Calendar'!$I$1819=TYPE2)*(TYPE2&lt;&gt;"")+('Dvd Calendar'!$I$1819=TYPE3)*(TYPE3&lt;&gt;"")+('Dvd Calendar'!$I$1819=TYPE4)*(TYPE4&lt;&gt;"")+('Dvd Calendar'!$I$1819=SPECIAL_LBL)*(INC_SPECIALS="Y"))=0,"",'Dvd Calendar'!$I$1817)))</f>
        <v/>
      </c>
      <c r="H183" s="110">
        <f>IF(EJ183="","",IF(ISNUMBER('Dvd Calendar'!$J$1817)=FALSE,"",IF((('Dvd Calendar'!$J$1819=TYPE1)*(TYPE1&lt;&gt;"")+('Dvd Calendar'!$J$1819=TYPE2)*(TYPE2&lt;&gt;"")+('Dvd Calendar'!$J$1819=TYPE3)*(TYPE3&lt;&gt;"")+('Dvd Calendar'!$J$1819=TYPE4)*(TYPE4&lt;&gt;"")+('Dvd Calendar'!$J$1819=SPECIAL_LBL)*(INC_SPECIALS="Y"))=0,"",'Dvd Calendar'!$J$1817)))</f>
        <v/>
      </c>
      <c r="I183" s="110">
        <f>IF(EK183="","",IF(ISNUMBER('Dvd Calendar'!$K$1817)=FALSE,"",IF((('Dvd Calendar'!$K$1819=TYPE1)*(TYPE1&lt;&gt;"")+('Dvd Calendar'!$K$1819=TYPE2)*(TYPE2&lt;&gt;"")+('Dvd Calendar'!$K$1819=TYPE3)*(TYPE3&lt;&gt;"")+('Dvd Calendar'!$K$1819=TYPE4)*(TYPE4&lt;&gt;"")+('Dvd Calendar'!$K$1819=SPECIAL_LBL)*(INC_SPECIALS="Y"))=0,"",'Dvd Calendar'!$K$1817)))</f>
        <v/>
      </c>
      <c r="J183" s="110">
        <f>IF(EL183="","",IF(ISNUMBER('Dvd Calendar'!$L$1817)=FALSE,"",IF((('Dvd Calendar'!$L$1819=TYPE1)*(TYPE1&lt;&gt;"")+('Dvd Calendar'!$L$1819=TYPE2)*(TYPE2&lt;&gt;"")+('Dvd Calendar'!$L$1819=TYPE3)*(TYPE3&lt;&gt;"")+('Dvd Calendar'!$L$1819=TYPE4)*(TYPE4&lt;&gt;"")+('Dvd Calendar'!$L$1819=SPECIAL_LBL)*(INC_SPECIALS="Y"))=0,"",'Dvd Calendar'!$L$1817)))</f>
        <v/>
      </c>
      <c r="K183" s="110">
        <f>IF(EM183="","",IF(ISNUMBER('Dvd Calendar'!$M$1817)=FALSE,"",IF((('Dvd Calendar'!$M$1819=TYPE1)*(TYPE1&lt;&gt;"")+('Dvd Calendar'!$M$1819=TYPE2)*(TYPE2&lt;&gt;"")+('Dvd Calendar'!$M$1819=TYPE3)*(TYPE3&lt;&gt;"")+('Dvd Calendar'!$M$1819=TYPE4)*(TYPE4&lt;&gt;"")+('Dvd Calendar'!$M$1819=SPECIAL_LBL)*(INC_SPECIALS="Y"))=0,"",'Dvd Calendar'!$M$1817)))</f>
        <v/>
      </c>
      <c r="L183" s="110">
        <f>IF(EN183="","",IF(ISNUMBER('Dvd Calendar'!$N$1817)=FALSE,"",IF((('Dvd Calendar'!$N$1819=TYPE1)*(TYPE1&lt;&gt;"")+('Dvd Calendar'!$N$1819=TYPE2)*(TYPE2&lt;&gt;"")+('Dvd Calendar'!$N$1819=TYPE3)*(TYPE3&lt;&gt;"")+('Dvd Calendar'!$N$1819=TYPE4)*(TYPE4&lt;&gt;"")+('Dvd Calendar'!$N$1819=SPECIAL_LBL)*(INC_SPECIALS="Y"))=0,"",'Dvd Calendar'!$N$1817)))</f>
        <v/>
      </c>
      <c r="M183" s="110">
        <f>IF(EO183="","",IF(ISNUMBER('Dvd Calendar'!$O$1817)=FALSE,"",IF((('Dvd Calendar'!$O$1819=TYPE1)*(TYPE1&lt;&gt;"")+('Dvd Calendar'!$O$1819=TYPE2)*(TYPE2&lt;&gt;"")+('Dvd Calendar'!$O$1819=TYPE3)*(TYPE3&lt;&gt;"")+('Dvd Calendar'!$O$1819=TYPE4)*(TYPE4&lt;&gt;"")+('Dvd Calendar'!$O$1819=SPECIAL_LBL)*(INC_SPECIALS="Y"))=0,"",'Dvd Calendar'!$O$1817)))</f>
        <v/>
      </c>
      <c r="N183" s="110">
        <f>IF(EP183="","",IF(ISNUMBER('Dvd Calendar'!$P$1817)=FALSE,"",IF((('Dvd Calendar'!$P$1819=TYPE1)*(TYPE1&lt;&gt;"")+('Dvd Calendar'!$P$1819=TYPE2)*(TYPE2&lt;&gt;"")+('Dvd Calendar'!$P$1819=TYPE3)*(TYPE3&lt;&gt;"")+('Dvd Calendar'!$P$1819=TYPE4)*(TYPE4&lt;&gt;"")+('Dvd Calendar'!$P$1819=SPECIAL_LBL)*(INC_SPECIALS="Y"))=0,"",'Dvd Calendar'!$P$1817)))</f>
        <v/>
      </c>
      <c r="O183" s="110">
        <f>IF(EQ183="","",IF(ISNUMBER('Dvd Calendar'!$Q$1817)=FALSE,"",IF((('Dvd Calendar'!$Q$1819=TYPE1)*(TYPE1&lt;&gt;"")+('Dvd Calendar'!$Q$1819=TYPE2)*(TYPE2&lt;&gt;"")+('Dvd Calendar'!$Q$1819=TYPE3)*(TYPE3&lt;&gt;"")+('Dvd Calendar'!$Q$1819=TYPE4)*(TYPE4&lt;&gt;"")+('Dvd Calendar'!$Q$1819=SPECIAL_LBL)*(INC_SPECIALS="Y"))=0,"",'Dvd Calendar'!$Q$1817)))</f>
        <v/>
      </c>
      <c r="P183" s="110">
        <f>IF(ER183="","",IF(ISNUMBER('Dvd Calendar'!$R$1817)=FALSE,"",IF((('Dvd Calendar'!$R$1819=TYPE1)*(TYPE1&lt;&gt;"")+('Dvd Calendar'!$R$1819=TYPE2)*(TYPE2&lt;&gt;"")+('Dvd Calendar'!$R$1819=TYPE3)*(TYPE3&lt;&gt;"")+('Dvd Calendar'!$R$1819=TYPE4)*(TYPE4&lt;&gt;"")+('Dvd Calendar'!$R$1819=SPECIAL_LBL)*(INC_SPECIALS="Y"))=0,"",'Dvd Calendar'!$R$1817)))</f>
        <v/>
      </c>
      <c r="Q183" s="110">
        <f>IF(ES183="","",IF(ISNUMBER('Dvd Calendar'!$S$1817)=FALSE,"",IF((('Dvd Calendar'!$S$1819=TYPE1)*(TYPE1&lt;&gt;"")+('Dvd Calendar'!$S$1819=TYPE2)*(TYPE2&lt;&gt;"")+('Dvd Calendar'!$S$1819=TYPE3)*(TYPE3&lt;&gt;"")+('Dvd Calendar'!$S$1819=TYPE4)*(TYPE4&lt;&gt;"")+('Dvd Calendar'!$S$1819=SPECIAL_LBL)*(INC_SPECIALS="Y"))=0,"",'Dvd Calendar'!$S$1817)))</f>
        <v/>
      </c>
      <c r="R183" s="110">
        <f>IF(ET183="","",IF(ISNUMBER('Dvd Calendar'!$T$1817)=FALSE,"",IF((('Dvd Calendar'!$T$1819=TYPE1)*(TYPE1&lt;&gt;"")+('Dvd Calendar'!$T$1819=TYPE2)*(TYPE2&lt;&gt;"")+('Dvd Calendar'!$T$1819=TYPE3)*(TYPE3&lt;&gt;"")+('Dvd Calendar'!$T$1819=TYPE4)*(TYPE4&lt;&gt;"")+('Dvd Calendar'!$T$1819=SPECIAL_LBL)*(INC_SPECIALS="Y"))=0,"",'Dvd Calendar'!$T$1817)))</f>
        <v/>
      </c>
      <c r="S183" s="110">
        <f>IF(EU183="","",IF(ISNUMBER('Dvd Calendar'!$U$1817)=FALSE,"",IF((('Dvd Calendar'!$U$1819=TYPE1)*(TYPE1&lt;&gt;"")+('Dvd Calendar'!$U$1819=TYPE2)*(TYPE2&lt;&gt;"")+('Dvd Calendar'!$U$1819=TYPE3)*(TYPE3&lt;&gt;"")+('Dvd Calendar'!$U$1819=TYPE4)*(TYPE4&lt;&gt;"")+('Dvd Calendar'!$U$1819=SPECIAL_LBL)*(INC_SPECIALS="Y"))=0,"",'Dvd Calendar'!$U$1817)))</f>
        <v/>
      </c>
      <c r="T183" s="110">
        <f>IF(EV183="","",IF(ISNUMBER('Dvd Calendar'!$V$1817)=FALSE,"",IF((('Dvd Calendar'!$V$1819=TYPE1)*(TYPE1&lt;&gt;"")+('Dvd Calendar'!$V$1819=TYPE2)*(TYPE2&lt;&gt;"")+('Dvd Calendar'!$V$1819=TYPE3)*(TYPE3&lt;&gt;"")+('Dvd Calendar'!$V$1819=TYPE4)*(TYPE4&lt;&gt;"")+('Dvd Calendar'!$V$1819=SPECIAL_LBL)*(INC_SPECIALS="Y"))=0,"",'Dvd Calendar'!$V$1817)))</f>
        <v/>
      </c>
      <c r="U183" s="110">
        <f>IF(EW183="","",IF(ISNUMBER('Dvd Calendar'!$W$1817)=FALSE,"",IF((('Dvd Calendar'!$W$1819=TYPE1)*(TYPE1&lt;&gt;"")+('Dvd Calendar'!$W$1819=TYPE2)*(TYPE2&lt;&gt;"")+('Dvd Calendar'!$W$1819=TYPE3)*(TYPE3&lt;&gt;"")+('Dvd Calendar'!$W$1819=TYPE4)*(TYPE4&lt;&gt;"")+('Dvd Calendar'!$W$1819=SPECIAL_LBL)*(INC_SPECIALS="Y"))=0,"",'Dvd Calendar'!$W$1817)))</f>
        <v/>
      </c>
      <c r="V183" s="110">
        <f>IF(EX183="","",IF(ISNUMBER('Dvd Calendar'!$X$1817)=FALSE,"",IF((('Dvd Calendar'!$X$1819=TYPE1)*(TYPE1&lt;&gt;"")+('Dvd Calendar'!$X$1819=TYPE2)*(TYPE2&lt;&gt;"")+('Dvd Calendar'!$X$1819=TYPE3)*(TYPE3&lt;&gt;"")+('Dvd Calendar'!$X$1819=TYPE4)*(TYPE4&lt;&gt;"")+('Dvd Calendar'!$X$1819=SPECIAL_LBL)*(INC_SPECIALS="Y"))=0,"",'Dvd Calendar'!$X$1817)))</f>
        <v/>
      </c>
      <c r="W183" s="110">
        <f>IF(EY183="","",IF(ISNUMBER('Dvd Calendar'!$Y$1817)=FALSE,"",IF((('Dvd Calendar'!$Y$1819=TYPE1)*(TYPE1&lt;&gt;"")+('Dvd Calendar'!$Y$1819=TYPE2)*(TYPE2&lt;&gt;"")+('Dvd Calendar'!$Y$1819=TYPE3)*(TYPE3&lt;&gt;"")+('Dvd Calendar'!$Y$1819=TYPE4)*(TYPE4&lt;&gt;"")+('Dvd Calendar'!$Y$1819=SPECIAL_LBL)*(INC_SPECIALS="Y"))=0,"",'Dvd Calendar'!$Y$1817)))</f>
        <v/>
      </c>
      <c r="X183" s="110">
        <f>IF(EZ183="","",IF(ISNUMBER('Dvd Calendar'!$Z$1817)=FALSE,"",IF((('Dvd Calendar'!$Z$1819=TYPE1)*(TYPE1&lt;&gt;"")+('Dvd Calendar'!$Z$1819=TYPE2)*(TYPE2&lt;&gt;"")+('Dvd Calendar'!$Z$1819=TYPE3)*(TYPE3&lt;&gt;"")+('Dvd Calendar'!$Z$1819=TYPE4)*(TYPE4&lt;&gt;"")+('Dvd Calendar'!$Z$1819=SPECIAL_LBL)*(INC_SPECIALS="Y"))=0,"",'Dvd Calendar'!$Z$1817)))</f>
        <v/>
      </c>
      <c r="Y183" s="110">
        <f>IF(FA183="","",IF(ISNUMBER('Dvd Calendar'!$AA$1817)=FALSE,"",IF((('Dvd Calendar'!$AA$1819=TYPE1)*(TYPE1&lt;&gt;"")+('Dvd Calendar'!$AA$1819=TYPE2)*(TYPE2&lt;&gt;"")+('Dvd Calendar'!$AA$1819=TYPE3)*(TYPE3&lt;&gt;"")+('Dvd Calendar'!$AA$1819=TYPE4)*(TYPE4&lt;&gt;"")+('Dvd Calendar'!$AA$1819=SPECIAL_LBL)*(INC_SPECIALS="Y"))=0,"",'Dvd Calendar'!$AA$1817)))</f>
        <v/>
      </c>
      <c r="Z183" s="110">
        <f>IF(FB183="","",IF(ISNUMBER('Dvd Calendar'!$AB$1817)=FALSE,"",IF((('Dvd Calendar'!$AB$1819=TYPE1)*(TYPE1&lt;&gt;"")+('Dvd Calendar'!$AB$1819=TYPE2)*(TYPE2&lt;&gt;"")+('Dvd Calendar'!$AB$1819=TYPE3)*(TYPE3&lt;&gt;"")+('Dvd Calendar'!$AB$1819=TYPE4)*(TYPE4&lt;&gt;"")+('Dvd Calendar'!$AB$1819=SPECIAL_LBL)*(INC_SPECIALS="Y"))=0,"",'Dvd Calendar'!$AB$1817)))</f>
        <v/>
      </c>
      <c r="AA183" s="110">
        <f>IF(FC183="","",IF(ISNUMBER('Dvd Calendar'!$AC$1817)=FALSE,"",IF((('Dvd Calendar'!$AC$1819=TYPE1)*(TYPE1&lt;&gt;"")+('Dvd Calendar'!$AC$1819=TYPE2)*(TYPE2&lt;&gt;"")+('Dvd Calendar'!$AC$1819=TYPE3)*(TYPE3&lt;&gt;"")+('Dvd Calendar'!$AC$1819=TYPE4)*(TYPE4&lt;&gt;"")+('Dvd Calendar'!$AC$1819=SPECIAL_LBL)*(INC_SPECIALS="Y"))=0,"",'Dvd Calendar'!$AC$1817)))</f>
        <v/>
      </c>
      <c r="AB183" s="110">
        <f>IF(FD183="","",IF(ISNUMBER('Dvd Calendar'!$AD$1817)=FALSE,"",IF((('Dvd Calendar'!$AD$1819=TYPE1)*(TYPE1&lt;&gt;"")+('Dvd Calendar'!$AD$1819=TYPE2)*(TYPE2&lt;&gt;"")+('Dvd Calendar'!$AD$1819=TYPE3)*(TYPE3&lt;&gt;"")+('Dvd Calendar'!$AD$1819=TYPE4)*(TYPE4&lt;&gt;"")+('Dvd Calendar'!$AD$1819=SPECIAL_LBL)*(INC_SPECIALS="Y"))=0,"",'Dvd Calendar'!$AD$1817)))</f>
        <v/>
      </c>
      <c r="AC183" s="110">
        <f>IF(FE183="","",IF(ISNUMBER('Dvd Calendar'!$AE$1817)=FALSE,"",IF((('Dvd Calendar'!$AE$1819=TYPE1)*(TYPE1&lt;&gt;"")+('Dvd Calendar'!$AE$1819=TYPE2)*(TYPE2&lt;&gt;"")+('Dvd Calendar'!$AE$1819=TYPE3)*(TYPE3&lt;&gt;"")+('Dvd Calendar'!$AE$1819=TYPE4)*(TYPE4&lt;&gt;"")+('Dvd Calendar'!$AE$1819=SPECIAL_LBL)*(INC_SPECIALS="Y"))=0,"",'Dvd Calendar'!$AE$1817)))</f>
        <v/>
      </c>
      <c r="AD183" s="110">
        <f>IF(FF183="","",IF(ISNUMBER('Dvd Calendar'!$AF$1817)=FALSE,"",IF((('Dvd Calendar'!$AF$1819=TYPE1)*(TYPE1&lt;&gt;"")+('Dvd Calendar'!$AF$1819=TYPE2)*(TYPE2&lt;&gt;"")+('Dvd Calendar'!$AF$1819=TYPE3)*(TYPE3&lt;&gt;"")+('Dvd Calendar'!$AF$1819=TYPE4)*(TYPE4&lt;&gt;"")+('Dvd Calendar'!$AF$1819=SPECIAL_LBL)*(INC_SPECIALS="Y"))=0,"",'Dvd Calendar'!$AF$1817)))</f>
        <v/>
      </c>
      <c r="AE183" s="110">
        <f>IF(FG183="","",IF(ISNUMBER('Dvd Calendar'!$AG$1817)=FALSE,"",IF((('Dvd Calendar'!$AG$1819=TYPE1)*(TYPE1&lt;&gt;"")+('Dvd Calendar'!$AG$1819=TYPE2)*(TYPE2&lt;&gt;"")+('Dvd Calendar'!$AG$1819=TYPE3)*(TYPE3&lt;&gt;"")+('Dvd Calendar'!$AG$1819=TYPE4)*(TYPE4&lt;&gt;"")+('Dvd Calendar'!$AG$1819=SPECIAL_LBL)*(INC_SPECIALS="Y"))=0,"",'Dvd Calendar'!$AG$1817)))</f>
        <v/>
      </c>
      <c r="AF183" s="110">
        <f>IF(FH183="","",IF(ISNUMBER('Dvd Calendar'!$AH$1817)=FALSE,"",IF((('Dvd Calendar'!$AH$1819=TYPE1)*(TYPE1&lt;&gt;"")+('Dvd Calendar'!$AH$1819=TYPE2)*(TYPE2&lt;&gt;"")+('Dvd Calendar'!$AH$1819=TYPE3)*(TYPE3&lt;&gt;"")+('Dvd Calendar'!$AH$1819=TYPE4)*(TYPE4&lt;&gt;"")+('Dvd Calendar'!$AH$1819=SPECIAL_LBL)*(INC_SPECIALS="Y"))=0,"",'Dvd Calendar'!$AH$1817)))</f>
        <v/>
      </c>
      <c r="AG183" s="110">
        <f>IF(FI183="","",IF(ISNUMBER('Dvd Calendar'!$AI$1817)=FALSE,"",IF((('Dvd Calendar'!$AI$1819=TYPE1)*(TYPE1&lt;&gt;"")+('Dvd Calendar'!$AI$1819=TYPE2)*(TYPE2&lt;&gt;"")+('Dvd Calendar'!$AI$1819=TYPE3)*(TYPE3&lt;&gt;"")+('Dvd Calendar'!$AI$1819=TYPE4)*(TYPE4&lt;&gt;"")+('Dvd Calendar'!$AI$1819=SPECIAL_LBL)*(INC_SPECIALS="Y"))=0,"",'Dvd Calendar'!$AI$1817)))</f>
        <v/>
      </c>
      <c r="AH183" s="110">
        <f>IF(FJ183="","",IF(ISNUMBER('Dvd Calendar'!$AJ$1817)=FALSE,"",IF((('Dvd Calendar'!$AJ$1819=TYPE1)*(TYPE1&lt;&gt;"")+('Dvd Calendar'!$AJ$1819=TYPE2)*(TYPE2&lt;&gt;"")+('Dvd Calendar'!$AJ$1819=TYPE3)*(TYPE3&lt;&gt;"")+('Dvd Calendar'!$AJ$1819=TYPE4)*(TYPE4&lt;&gt;"")+('Dvd Calendar'!$AJ$1819=SPECIAL_LBL)*(INC_SPECIALS="Y"))=0,"",'Dvd Calendar'!$AJ$1817)))</f>
        <v/>
      </c>
      <c r="AI183" s="110">
        <f>IF(FK183="","",IF(ISNUMBER('Dvd Calendar'!$AK$1817)=FALSE,"",IF((('Dvd Calendar'!$AK$1819=TYPE1)*(TYPE1&lt;&gt;"")+('Dvd Calendar'!$AK$1819=TYPE2)*(TYPE2&lt;&gt;"")+('Dvd Calendar'!$AK$1819=TYPE3)*(TYPE3&lt;&gt;"")+('Dvd Calendar'!$AK$1819=TYPE4)*(TYPE4&lt;&gt;"")+('Dvd Calendar'!$AK$1819=SPECIAL_LBL)*(INC_SPECIALS="Y"))=0,"",'Dvd Calendar'!$AK$1817)))</f>
        <v/>
      </c>
      <c r="AJ183" s="110">
        <f>IF(FL183="","",IF(ISNUMBER('Dvd Calendar'!$AL$1817)=FALSE,"",IF((('Dvd Calendar'!$AL$1819=TYPE1)*(TYPE1&lt;&gt;"")+('Dvd Calendar'!$AL$1819=TYPE2)*(TYPE2&lt;&gt;"")+('Dvd Calendar'!$AL$1819=TYPE3)*(TYPE3&lt;&gt;"")+('Dvd Calendar'!$AL$1819=TYPE4)*(TYPE4&lt;&gt;"")+('Dvd Calendar'!$AL$1819=SPECIAL_LBL)*(INC_SPECIALS="Y"))=0,"",'Dvd Calendar'!$AL$1817)))</f>
        <v/>
      </c>
      <c r="AK183" s="110">
        <f>IF(FM183="","",IF(ISNUMBER('Dvd Calendar'!$AM$1817)=FALSE,"",IF((('Dvd Calendar'!$AM$1819=TYPE1)*(TYPE1&lt;&gt;"")+('Dvd Calendar'!$AM$1819=TYPE2)*(TYPE2&lt;&gt;"")+('Dvd Calendar'!$AM$1819=TYPE3)*(TYPE3&lt;&gt;"")+('Dvd Calendar'!$AM$1819=TYPE4)*(TYPE4&lt;&gt;"")+('Dvd Calendar'!$AM$1819=SPECIAL_LBL)*(INC_SPECIALS="Y"))=0,"",'Dvd Calendar'!$AM$1817)))</f>
        <v/>
      </c>
      <c r="AL183" s="110">
        <f>IF(FN183="","",IF(ISNUMBER('Dvd Calendar'!$AN$1817)=FALSE,"",IF((('Dvd Calendar'!$AN$1819=TYPE1)*(TYPE1&lt;&gt;"")+('Dvd Calendar'!$AN$1819=TYPE2)*(TYPE2&lt;&gt;"")+('Dvd Calendar'!$AN$1819=TYPE3)*(TYPE3&lt;&gt;"")+('Dvd Calendar'!$AN$1819=TYPE4)*(TYPE4&lt;&gt;"")+('Dvd Calendar'!$AN$1819=SPECIAL_LBL)*(INC_SPECIALS="Y"))=0,"",'Dvd Calendar'!$AN$1817)))</f>
        <v/>
      </c>
      <c r="AM183" s="110">
        <f>IF(FO183="","",IF(ISNUMBER('Dvd Calendar'!$AO$1817)=FALSE,"",IF((('Dvd Calendar'!$AO$1819=TYPE1)*(TYPE1&lt;&gt;"")+('Dvd Calendar'!$AO$1819=TYPE2)*(TYPE2&lt;&gt;"")+('Dvd Calendar'!$AO$1819=TYPE3)*(TYPE3&lt;&gt;"")+('Dvd Calendar'!$AO$1819=TYPE4)*(TYPE4&lt;&gt;"")+('Dvd Calendar'!$AO$1819=SPECIAL_LBL)*(INC_SPECIALS="Y"))=0,"",'Dvd Calendar'!$AO$1817)))</f>
        <v/>
      </c>
      <c r="AN183" s="110">
        <f>IF(FP183="","",IF(ISNUMBER('Dvd Calendar'!$AP$1817)=FALSE,"",IF((('Dvd Calendar'!$AP$1819=TYPE1)*(TYPE1&lt;&gt;"")+('Dvd Calendar'!$AP$1819=TYPE2)*(TYPE2&lt;&gt;"")+('Dvd Calendar'!$AP$1819=TYPE3)*(TYPE3&lt;&gt;"")+('Dvd Calendar'!$AP$1819=TYPE4)*(TYPE4&lt;&gt;"")+('Dvd Calendar'!$AP$1819=SPECIAL_LBL)*(INC_SPECIALS="Y"))=0,"",'Dvd Calendar'!$AP$1817)))</f>
        <v/>
      </c>
      <c r="AO183" s="110">
        <f>IF(FQ183="","",IF(ISNUMBER('Dvd Calendar'!$AQ$1817)=FALSE,"",IF((('Dvd Calendar'!$AQ$1819=TYPE1)*(TYPE1&lt;&gt;"")+('Dvd Calendar'!$AQ$1819=TYPE2)*(TYPE2&lt;&gt;"")+('Dvd Calendar'!$AQ$1819=TYPE3)*(TYPE3&lt;&gt;"")+('Dvd Calendar'!$AQ$1819=TYPE4)*(TYPE4&lt;&gt;"")+('Dvd Calendar'!$AQ$1819=SPECIAL_LBL)*(INC_SPECIALS="Y"))=0,"",'Dvd Calendar'!$AQ$1817)))</f>
        <v/>
      </c>
      <c r="AP183" s="110">
        <f>IF(FR183="","",IF(ISNUMBER('Dvd Calendar'!$AR$1817)=FALSE,"",IF((('Dvd Calendar'!$AR$1819=TYPE1)*(TYPE1&lt;&gt;"")+('Dvd Calendar'!$AR$1819=TYPE2)*(TYPE2&lt;&gt;"")+('Dvd Calendar'!$AR$1819=TYPE3)*(TYPE3&lt;&gt;"")+('Dvd Calendar'!$AR$1819=TYPE4)*(TYPE4&lt;&gt;"")+('Dvd Calendar'!$AR$1819=SPECIAL_LBL)*(INC_SPECIALS="Y"))=0,"",'Dvd Calendar'!$AR$1817)))</f>
        <v/>
      </c>
      <c r="AQ183" s="110">
        <f>IF(FS183="","",IF(ISNUMBER('Dvd Calendar'!$E$1822)=FALSE,"",'Dvd Calendar'!$E$1822))</f>
        <v/>
      </c>
      <c r="AR183" s="110">
        <f>IF(FT183="","",IF(ISNUMBER('Dvd Calendar'!$F$1822)=FALSE,"",'Dvd Calendar'!$F$1822))</f>
        <v/>
      </c>
      <c r="AS183" s="110">
        <f>IF(FU183="","",IF(ISNUMBER('Dvd Calendar'!$G$1822)=FALSE,"",'Dvd Calendar'!$G$1822))</f>
        <v/>
      </c>
      <c r="AT183" s="110">
        <f>IF(FV183="","",IF(ISNUMBER('Dvd Calendar'!$H$1822)=FALSE,"",'Dvd Calendar'!$H$1822))</f>
        <v/>
      </c>
      <c r="AU183" s="110">
        <f>IF(FW183="","",IF(ISNUMBER('Dvd Calendar'!$I$1822)=FALSE,"",'Dvd Calendar'!$I$1822))</f>
        <v/>
      </c>
      <c r="AV183" s="110">
        <f>IF(FX183="","",IF(ISNUMBER('Dvd Calendar'!$J$1822)=FALSE,"",'Dvd Calendar'!$J$1822))</f>
        <v/>
      </c>
      <c r="AW183" s="110">
        <f>IF(FY183="","",IF(ISNUMBER('Dvd Calendar'!$K$1822)=FALSE,"",'Dvd Calendar'!$K$1822))</f>
        <v/>
      </c>
      <c r="AX183" s="110">
        <f>IF(FZ183="","",IF(ISNUMBER('Dvd Calendar'!$L$1822)=FALSE,"",'Dvd Calendar'!$L$1822))</f>
        <v/>
      </c>
      <c r="AY183" s="110">
        <f>IF(GA183="","",IF(ISNUMBER('Dvd Calendar'!$M$1822)=FALSE,"",'Dvd Calendar'!$M$1822))</f>
        <v/>
      </c>
      <c r="AZ183" s="110">
        <f>IF(GB183="","",IF(ISNUMBER('Dvd Calendar'!$N$1822)=FALSE,"",'Dvd Calendar'!$N$1822))</f>
        <v/>
      </c>
      <c r="BA183" s="110">
        <f>IF(GC183="","",IF(ISNUMBER('Dvd Calendar'!$O$1822)=FALSE,"",'Dvd Calendar'!$O$1822))</f>
        <v/>
      </c>
      <c r="BB183" s="110">
        <f>IF(GD183="","",IF(ISNUMBER('Dvd Calendar'!$P$1822)=FALSE,"",'Dvd Calendar'!$P$1822))</f>
        <v/>
      </c>
      <c r="BC183" s="110">
        <f>IF(GE183="","",IF(ISNUMBER('Dvd Calendar'!$Q$1822)=FALSE,"",'Dvd Calendar'!$Q$1822))</f>
        <v/>
      </c>
      <c r="BD183" s="110">
        <f>IF(GF183="","",IF(ISNUMBER('Dvd Calendar'!$R$1822)=FALSE,"",'Dvd Calendar'!$R$1822))</f>
        <v/>
      </c>
      <c r="BE183" s="110">
        <f>IF(GG183="","",IF(ISNUMBER('Dvd Calendar'!$S$1822)=FALSE,"",'Dvd Calendar'!$S$1822))</f>
        <v/>
      </c>
      <c r="BF183" s="110">
        <f>IF(GH183="","",IF(ISNUMBER('Dvd Calendar'!$T$1822)=FALSE,"",'Dvd Calendar'!$T$1822))</f>
        <v/>
      </c>
      <c r="BG183" s="110">
        <f>IF(GI183="","",IF(ISNUMBER('Dvd Calendar'!$U$1822)=FALSE,"",'Dvd Calendar'!$U$1822))</f>
        <v/>
      </c>
      <c r="BH183" s="110">
        <f>IF(GJ183="","",IF(ISNUMBER('Dvd Calendar'!$V$1822)=FALSE,"",'Dvd Calendar'!$V$1822))</f>
        <v/>
      </c>
      <c r="BI183" s="110">
        <f>IF(GK183="","",IF(ISNUMBER('Dvd Calendar'!$W$1822)=FALSE,"",'Dvd Calendar'!$W$1822))</f>
        <v/>
      </c>
      <c r="BJ183" s="110">
        <f>IF(GL183="","",IF(ISNUMBER('Dvd Calendar'!$X$1822)=FALSE,"",'Dvd Calendar'!$X$1822))</f>
        <v/>
      </c>
      <c r="BK183" s="110">
        <f>IF(GM183="","",IF(ISNUMBER('Dvd Calendar'!$Y$1822)=FALSE,"",'Dvd Calendar'!$Y$1822))</f>
        <v/>
      </c>
      <c r="BL183" s="110">
        <f>IF(GN183="","",IF(ISNUMBER('Dvd Calendar'!$Z$1822)=FALSE,"",'Dvd Calendar'!$Z$1822))</f>
        <v/>
      </c>
      <c r="BM183" s="110">
        <f>IF(GO183="","",IF(ISNUMBER('Dvd Calendar'!$AA$1822)=FALSE,"",'Dvd Calendar'!$AA$1822))</f>
        <v/>
      </c>
      <c r="BN183" s="110">
        <f>IF(GP183="","",IF(ISNUMBER('Dvd Calendar'!$AB$1822)=FALSE,"",'Dvd Calendar'!$AB$1822))</f>
        <v/>
      </c>
      <c r="BO183" s="110">
        <f>IF(GQ183="","",IF(ISNUMBER('Dvd Calendar'!$AC$1822)=FALSE,"",'Dvd Calendar'!$AC$1822))</f>
        <v/>
      </c>
      <c r="BQ183" s="110">
        <f>IF(C183="","",IFERROR(C183*HSCEI!$B$30*HSCEI!$G$30/HSCEI!$B$3,""))</f>
        <v/>
      </c>
      <c r="BR183" s="110">
        <f>IF(D183="","",IFERROR(D183*HSCEI!$B$30*HSCEI!$G$30/HSCEI!$B$3,""))</f>
        <v/>
      </c>
      <c r="BS183" s="110">
        <f>IF(E183="","",IFERROR(E183*HSCEI!$B$30*HSCEI!$G$30/HSCEI!$B$3,""))</f>
        <v/>
      </c>
      <c r="BT183" s="110">
        <f>IF(F183="","",IFERROR(F183*HSCEI!$B$30*HSCEI!$G$30/HSCEI!$B$3,""))</f>
        <v/>
      </c>
      <c r="BU183" s="110">
        <f>IF(G183="","",IFERROR(G183*HSCEI!$B$30*HSCEI!$G$30/HSCEI!$B$3,""))</f>
        <v/>
      </c>
      <c r="BV183" s="110">
        <f>IF(H183="","",IFERROR(H183*HSCEI!$B$30*HSCEI!$G$30/HSCEI!$B$3,""))</f>
        <v/>
      </c>
      <c r="BW183" s="110">
        <f>IF(I183="","",IFERROR(I183*HSCEI!$B$30*HSCEI!$G$30/HSCEI!$B$3,""))</f>
        <v/>
      </c>
      <c r="BX183" s="110">
        <f>IF(J183="","",IFERROR(J183*HSCEI!$B$30*HSCEI!$G$30/HSCEI!$B$3,""))</f>
        <v/>
      </c>
      <c r="BY183" s="110">
        <f>IF(K183="","",IFERROR(K183*HSCEI!$B$30*HSCEI!$G$30/HSCEI!$B$3,""))</f>
        <v/>
      </c>
      <c r="BZ183" s="110">
        <f>IF(L183="","",IFERROR(L183*HSCEI!$B$30*HSCEI!$G$30/HSCEI!$B$3,""))</f>
        <v/>
      </c>
      <c r="CA183" s="110">
        <f>IF(M183="","",IFERROR(M183*HSCEI!$B$30*HSCEI!$G$30/HSCEI!$B$3,""))</f>
        <v/>
      </c>
      <c r="CB183" s="110">
        <f>IF(N183="","",IFERROR(N183*HSCEI!$B$30*HSCEI!$G$30/HSCEI!$B$3,""))</f>
        <v/>
      </c>
      <c r="CC183" s="110">
        <f>IF(O183="","",IFERROR(O183*HSCEI!$B$30*HSCEI!$G$30/HSCEI!$B$3,""))</f>
        <v/>
      </c>
      <c r="CD183" s="110">
        <f>IF(P183="","",IFERROR(P183*HSCEI!$B$30*HSCEI!$G$30/HSCEI!$B$3,""))</f>
        <v/>
      </c>
      <c r="CE183" s="110">
        <f>IF(Q183="","",IFERROR(Q183*HSCEI!$B$30*HSCEI!$G$30/HSCEI!$B$3,""))</f>
        <v/>
      </c>
      <c r="CF183" s="110">
        <f>IF(R183="","",IFERROR(R183*HSCEI!$B$30*HSCEI!$G$30/HSCEI!$B$3,""))</f>
        <v/>
      </c>
      <c r="CG183" s="110">
        <f>IF(S183="","",IFERROR(S183*HSCEI!$B$30*HSCEI!$G$30/HSCEI!$B$3,""))</f>
        <v/>
      </c>
      <c r="CH183" s="110">
        <f>IF(T183="","",IFERROR(T183*HSCEI!$B$30*HSCEI!$G$30/HSCEI!$B$3,""))</f>
        <v/>
      </c>
      <c r="CI183" s="110">
        <f>IF(U183="","",IFERROR(U183*HSCEI!$B$30*HSCEI!$G$30/HSCEI!$B$3,""))</f>
        <v/>
      </c>
      <c r="CJ183" s="110">
        <f>IF(V183="","",IFERROR(V183*HSCEI!$B$30*HSCEI!$G$30/HSCEI!$B$3,""))</f>
        <v/>
      </c>
      <c r="CK183" s="110">
        <f>IF(W183="","",IFERROR(W183*HSCEI!$B$30*HSCEI!$G$30/HSCEI!$B$3,""))</f>
        <v/>
      </c>
      <c r="CL183" s="110">
        <f>IF(X183="","",IFERROR(X183*HSCEI!$B$30*HSCEI!$G$30/HSCEI!$B$3,""))</f>
        <v/>
      </c>
      <c r="CM183" s="110">
        <f>IF(Y183="","",IFERROR(Y183*HSCEI!$B$30*HSCEI!$G$30/HSCEI!$B$3,""))</f>
        <v/>
      </c>
      <c r="CN183" s="110">
        <f>IF(Z183="","",IFERROR(Z183*HSCEI!$B$30*HSCEI!$G$30/HSCEI!$B$3,""))</f>
        <v/>
      </c>
      <c r="CO183" s="110">
        <f>IF(AA183="","",IFERROR(AA183*HSCEI!$B$30*HSCEI!$G$30/HSCEI!$B$3,""))</f>
        <v/>
      </c>
      <c r="CP183" s="110">
        <f>IF(AB183="","",IFERROR(AB183*HSCEI!$B$30*HSCEI!$G$30/HSCEI!$B$3,""))</f>
        <v/>
      </c>
      <c r="CQ183" s="110">
        <f>IF(AC183="","",IFERROR(AC183*HSCEI!$B$30*HSCEI!$G$30/HSCEI!$B$3,""))</f>
        <v/>
      </c>
      <c r="CR183" s="110">
        <f>IF(AD183="","",IFERROR(AD183*HSCEI!$B$30*HSCEI!$G$30/HSCEI!$B$3,""))</f>
        <v/>
      </c>
      <c r="CS183" s="110">
        <f>IF(AE183="","",IFERROR(AE183*HSCEI!$B$30*HSCEI!$G$30/HSCEI!$B$3,""))</f>
        <v/>
      </c>
      <c r="CT183" s="110">
        <f>IF(AF183="","",IFERROR(AF183*HSCEI!$B$30*HSCEI!$G$30/HSCEI!$B$3,""))</f>
        <v/>
      </c>
      <c r="CU183" s="110">
        <f>IF(AG183="","",IFERROR(AG183*HSCEI!$B$30*HSCEI!$G$30/HSCEI!$B$3,""))</f>
        <v/>
      </c>
      <c r="CV183" s="110">
        <f>IF(AH183="","",IFERROR(AH183*HSCEI!$B$30*HSCEI!$G$30/HSCEI!$B$3,""))</f>
        <v/>
      </c>
      <c r="CW183" s="110">
        <f>IF(AI183="","",IFERROR(AI183*HSCEI!$B$30*HSCEI!$G$30/HSCEI!$B$3,""))</f>
        <v/>
      </c>
      <c r="CX183" s="110">
        <f>IF(AJ183="","",IFERROR(AJ183*HSCEI!$B$30*HSCEI!$G$30/HSCEI!$B$3,""))</f>
        <v/>
      </c>
      <c r="CY183" s="110">
        <f>IF(AK183="","",IFERROR(AK183*HSCEI!$B$30*HSCEI!$G$30/HSCEI!$B$3,""))</f>
        <v/>
      </c>
      <c r="CZ183" s="110">
        <f>IF(AL183="","",IFERROR(AL183*HSCEI!$B$30*HSCEI!$G$30/HSCEI!$B$3,""))</f>
        <v/>
      </c>
      <c r="DA183" s="110">
        <f>IF(AM183="","",IFERROR(AM183*HSCEI!$B$30*HSCEI!$G$30/HSCEI!$B$3,""))</f>
        <v/>
      </c>
      <c r="DB183" s="110">
        <f>IF(AN183="","",IFERROR(AN183*HSCEI!$B$30*HSCEI!$G$30/HSCEI!$B$3,""))</f>
        <v/>
      </c>
      <c r="DC183" s="110">
        <f>IF(AO183="","",IFERROR(AO183*HSCEI!$B$30*HSCEI!$G$30/HSCEI!$B$3,""))</f>
        <v/>
      </c>
      <c r="DD183" s="110">
        <f>IF(AP183="","",IFERROR(AP183*HSCEI!$B$30*HSCEI!$G$30/HSCEI!$B$3,""))</f>
        <v/>
      </c>
      <c r="DE183" s="110">
        <f>IF(AQ183="","",IFERROR(AQ183*HSCEI!$B$30*HSCEI!$G$30/HSCEI!$B$3,""))</f>
        <v/>
      </c>
      <c r="DF183" s="110">
        <f>IF(AR183="","",IFERROR(AR183*HSCEI!$B$30*HSCEI!$G$30/HSCEI!$B$3,""))</f>
        <v/>
      </c>
      <c r="DG183" s="110">
        <f>IF(AS183="","",IFERROR(AS183*HSCEI!$B$30*HSCEI!$G$30/HSCEI!$B$3,""))</f>
        <v/>
      </c>
      <c r="DH183" s="110">
        <f>IF(AT183="","",IFERROR(AT183*HSCEI!$B$30*HSCEI!$G$30/HSCEI!$B$3,""))</f>
        <v/>
      </c>
      <c r="DI183" s="110">
        <f>IF(AU183="","",IFERROR(AU183*HSCEI!$B$30*HSCEI!$G$30/HSCEI!$B$3,""))</f>
        <v/>
      </c>
      <c r="DJ183" s="110">
        <f>IF(AV183="","",IFERROR(AV183*HSCEI!$B$30*HSCEI!$G$30/HSCEI!$B$3,""))</f>
        <v/>
      </c>
      <c r="DK183" s="110">
        <f>IF(AW183="","",IFERROR(AW183*HSCEI!$B$30*HSCEI!$G$30/HSCEI!$B$3,""))</f>
        <v/>
      </c>
      <c r="DL183" s="110">
        <f>IF(AX183="","",IFERROR(AX183*HSCEI!$B$30*HSCEI!$G$30/HSCEI!$B$3,""))</f>
        <v/>
      </c>
      <c r="DM183" s="110">
        <f>IF(AY183="","",IFERROR(AY183*HSCEI!$B$30*HSCEI!$G$30/HSCEI!$B$3,""))</f>
        <v/>
      </c>
      <c r="DN183" s="110">
        <f>IF(AZ183="","",IFERROR(AZ183*HSCEI!$B$30*HSCEI!$G$30/HSCEI!$B$3,""))</f>
        <v/>
      </c>
      <c r="DO183" s="110">
        <f>IF(BA183="","",IFERROR(BA183*HSCEI!$B$30*HSCEI!$G$30/HSCEI!$B$3,""))</f>
        <v/>
      </c>
      <c r="DP183" s="110">
        <f>IF(BB183="","",IFERROR(BB183*HSCEI!$B$30*HSCEI!$G$30/HSCEI!$B$3,""))</f>
        <v/>
      </c>
      <c r="DQ183" s="110">
        <f>IF(BC183="","",IFERROR(BC183*HSCEI!$B$30*HSCEI!$G$30/HSCEI!$B$3,""))</f>
        <v/>
      </c>
      <c r="DR183" s="110">
        <f>IF(BD183="","",IFERROR(BD183*HSCEI!$B$30*HSCEI!$G$30/HSCEI!$B$3,""))</f>
        <v/>
      </c>
      <c r="DS183" s="110">
        <f>IF(BE183="","",IFERROR(BE183*HSCEI!$B$30*HSCEI!$G$30/HSCEI!$B$3,""))</f>
        <v/>
      </c>
      <c r="DT183" s="110">
        <f>IF(BF183="","",IFERROR(BF183*HSCEI!$B$30*HSCEI!$G$30/HSCEI!$B$3,""))</f>
        <v/>
      </c>
      <c r="DU183" s="110">
        <f>IF(BG183="","",IFERROR(BG183*HSCEI!$B$30*HSCEI!$G$30/HSCEI!$B$3,""))</f>
        <v/>
      </c>
      <c r="DV183" s="110">
        <f>IF(BH183="","",IFERROR(BH183*HSCEI!$B$30*HSCEI!$G$30/HSCEI!$B$3,""))</f>
        <v/>
      </c>
      <c r="DW183" s="110">
        <f>IF(BI183="","",IFERROR(BI183*HSCEI!$B$30*HSCEI!$G$30/HSCEI!$B$3,""))</f>
        <v/>
      </c>
      <c r="DX183" s="110">
        <f>IF(BJ183="","",IFERROR(BJ183*HSCEI!$B$30*HSCEI!$G$30/HSCEI!$B$3,""))</f>
        <v/>
      </c>
      <c r="DY183" s="110">
        <f>IF(BK183="","",IFERROR(BK183*HSCEI!$B$30*HSCEI!$G$30/HSCEI!$B$3,""))</f>
        <v/>
      </c>
      <c r="DZ183" s="110">
        <f>IF(BL183="","",IFERROR(BL183*HSCEI!$B$30*HSCEI!$G$30/HSCEI!$B$3,""))</f>
        <v/>
      </c>
      <c r="EA183" s="110">
        <f>IF(BM183="","",IFERROR(BM183*HSCEI!$B$30*HSCEI!$G$30/HSCEI!$B$3,""))</f>
        <v/>
      </c>
      <c r="EB183" s="110">
        <f>IF(BN183="","",IFERROR(BN183*HSCEI!$B$30*HSCEI!$G$30/HSCEI!$B$3,""))</f>
        <v/>
      </c>
      <c r="EC183" s="110">
        <f>IF(BO183="","",IFERROR(BO183*HSCEI!$B$30*HSCEI!$G$30/HSCEI!$B$3,""))</f>
        <v/>
      </c>
      <c r="EE183" s="39">
        <f>IF(N('Dvd Calendar'!$E$1814)=0,"",IF(('Dvd Calendar'!$E$1814&gt;=GRID_FROM)*('Dvd Calendar'!$E$1814&lt;=GRID_TO)*((('Dvd Calendar'!$E$1814&lt;=VAL_DATE)+(COUNTIF('Dvd Calendar'!$E$1821:$AR$1821,'Dvd Calendar'!$E$1814)=0))&gt;0)=0,"",'Dvd Calendar'!$E$1814*1000000000+ISNUMBER('Dvd Calendar'!$E$1817)*100000000+('Dvd Calendar'!$E$1819=SPECIAL_LBL)*10000000+(N('Dvd Calendar'!$E$1813)&gt;0)*(N('Dvd Calendar'!$E$1813)&lt;=VAL_SERIAL)*1000000+24*1000+1))</f>
        <v/>
      </c>
      <c r="EF183" s="39">
        <f>IF(N('Dvd Calendar'!$F$1814)=0,"",IF(('Dvd Calendar'!$F$1814&gt;=GRID_FROM)*('Dvd Calendar'!$F$1814&lt;=GRID_TO)*((('Dvd Calendar'!$F$1814&lt;=VAL_DATE)+(COUNTIF('Dvd Calendar'!$E$1821:$AR$1821,'Dvd Calendar'!$F$1814)=0))&gt;0)=0,"",'Dvd Calendar'!$F$1814*1000000000+ISNUMBER('Dvd Calendar'!$F$1817)*100000000+('Dvd Calendar'!$F$1819=SPECIAL_LBL)*10000000+(N('Dvd Calendar'!$F$1813)&gt;0)*(N('Dvd Calendar'!$F$1813)&lt;=VAL_SERIAL)*1000000+24*1000+2))</f>
        <v/>
      </c>
      <c r="EG183" s="39">
        <f>IF(N('Dvd Calendar'!$G$1814)=0,"",IF(('Dvd Calendar'!$G$1814&gt;=GRID_FROM)*('Dvd Calendar'!$G$1814&lt;=GRID_TO)*((('Dvd Calendar'!$G$1814&lt;=VAL_DATE)+(COUNTIF('Dvd Calendar'!$E$1821:$AR$1821,'Dvd Calendar'!$G$1814)=0))&gt;0)=0,"",'Dvd Calendar'!$G$1814*1000000000+ISNUMBER('Dvd Calendar'!$G$1817)*100000000+('Dvd Calendar'!$G$1819=SPECIAL_LBL)*10000000+(N('Dvd Calendar'!$G$1813)&gt;0)*(N('Dvd Calendar'!$G$1813)&lt;=VAL_SERIAL)*1000000+24*1000+3))</f>
        <v/>
      </c>
      <c r="EH183" s="39">
        <f>IF(N('Dvd Calendar'!$H$1814)=0,"",IF(('Dvd Calendar'!$H$1814&gt;=GRID_FROM)*('Dvd Calendar'!$H$1814&lt;=GRID_TO)*((('Dvd Calendar'!$H$1814&lt;=VAL_DATE)+(COUNTIF('Dvd Calendar'!$E$1821:$AR$1821,'Dvd Calendar'!$H$1814)=0))&gt;0)=0,"",'Dvd Calendar'!$H$1814*1000000000+ISNUMBER('Dvd Calendar'!$H$1817)*100000000+('Dvd Calendar'!$H$1819=SPECIAL_LBL)*10000000+(N('Dvd Calendar'!$H$1813)&gt;0)*(N('Dvd Calendar'!$H$1813)&lt;=VAL_SERIAL)*1000000+24*1000+4))</f>
        <v/>
      </c>
      <c r="EI183" s="39">
        <f>IF(N('Dvd Calendar'!$I$1814)=0,"",IF(('Dvd Calendar'!$I$1814&gt;=GRID_FROM)*('Dvd Calendar'!$I$1814&lt;=GRID_TO)*((('Dvd Calendar'!$I$1814&lt;=VAL_DATE)+(COUNTIF('Dvd Calendar'!$E$1821:$AR$1821,'Dvd Calendar'!$I$1814)=0))&gt;0)=0,"",'Dvd Calendar'!$I$1814*1000000000+ISNUMBER('Dvd Calendar'!$I$1817)*100000000+('Dvd Calendar'!$I$1819=SPECIAL_LBL)*10000000+(N('Dvd Calendar'!$I$1813)&gt;0)*(N('Dvd Calendar'!$I$1813)&lt;=VAL_SERIAL)*1000000+24*1000+5))</f>
        <v/>
      </c>
      <c r="EJ183" s="39">
        <f>IF(N('Dvd Calendar'!$J$1814)=0,"",IF(('Dvd Calendar'!$J$1814&gt;=GRID_FROM)*('Dvd Calendar'!$J$1814&lt;=GRID_TO)*((('Dvd Calendar'!$J$1814&lt;=VAL_DATE)+(COUNTIF('Dvd Calendar'!$E$1821:$AR$1821,'Dvd Calendar'!$J$1814)=0))&gt;0)=0,"",'Dvd Calendar'!$J$1814*1000000000+ISNUMBER('Dvd Calendar'!$J$1817)*100000000+('Dvd Calendar'!$J$1819=SPECIAL_LBL)*10000000+(N('Dvd Calendar'!$J$1813)&gt;0)*(N('Dvd Calendar'!$J$1813)&lt;=VAL_SERIAL)*1000000+24*1000+6))</f>
        <v/>
      </c>
      <c r="EK183" s="39">
        <f>IF(N('Dvd Calendar'!$K$1814)=0,"",IF(('Dvd Calendar'!$K$1814&gt;=GRID_FROM)*('Dvd Calendar'!$K$1814&lt;=GRID_TO)*((('Dvd Calendar'!$K$1814&lt;=VAL_DATE)+(COUNTIF('Dvd Calendar'!$E$1821:$AR$1821,'Dvd Calendar'!$K$1814)=0))&gt;0)=0,"",'Dvd Calendar'!$K$1814*1000000000+ISNUMBER('Dvd Calendar'!$K$1817)*100000000+('Dvd Calendar'!$K$1819=SPECIAL_LBL)*10000000+(N('Dvd Calendar'!$K$1813)&gt;0)*(N('Dvd Calendar'!$K$1813)&lt;=VAL_SERIAL)*1000000+24*1000+7))</f>
        <v/>
      </c>
      <c r="EL183" s="39">
        <f>IF(N('Dvd Calendar'!$L$1814)=0,"",IF(('Dvd Calendar'!$L$1814&gt;=GRID_FROM)*('Dvd Calendar'!$L$1814&lt;=GRID_TO)*((('Dvd Calendar'!$L$1814&lt;=VAL_DATE)+(COUNTIF('Dvd Calendar'!$E$1821:$AR$1821,'Dvd Calendar'!$L$1814)=0))&gt;0)=0,"",'Dvd Calendar'!$L$1814*1000000000+ISNUMBER('Dvd Calendar'!$L$1817)*100000000+('Dvd Calendar'!$L$1819=SPECIAL_LBL)*10000000+(N('Dvd Calendar'!$L$1813)&gt;0)*(N('Dvd Calendar'!$L$1813)&lt;=VAL_SERIAL)*1000000+24*1000+8))</f>
        <v/>
      </c>
      <c r="EM183" s="39">
        <f>IF(N('Dvd Calendar'!$M$1814)=0,"",IF(('Dvd Calendar'!$M$1814&gt;=GRID_FROM)*('Dvd Calendar'!$M$1814&lt;=GRID_TO)*((('Dvd Calendar'!$M$1814&lt;=VAL_DATE)+(COUNTIF('Dvd Calendar'!$E$1821:$AR$1821,'Dvd Calendar'!$M$1814)=0))&gt;0)=0,"",'Dvd Calendar'!$M$1814*1000000000+ISNUMBER('Dvd Calendar'!$M$1817)*100000000+('Dvd Calendar'!$M$1819=SPECIAL_LBL)*10000000+(N('Dvd Calendar'!$M$1813)&gt;0)*(N('Dvd Calendar'!$M$1813)&lt;=VAL_SERIAL)*1000000+24*1000+9))</f>
        <v/>
      </c>
      <c r="EN183" s="39">
        <f>IF(N('Dvd Calendar'!$N$1814)=0,"",IF(('Dvd Calendar'!$N$1814&gt;=GRID_FROM)*('Dvd Calendar'!$N$1814&lt;=GRID_TO)*((('Dvd Calendar'!$N$1814&lt;=VAL_DATE)+(COUNTIF('Dvd Calendar'!$E$1821:$AR$1821,'Dvd Calendar'!$N$1814)=0))&gt;0)=0,"",'Dvd Calendar'!$N$1814*1000000000+ISNUMBER('Dvd Calendar'!$N$1817)*100000000+('Dvd Calendar'!$N$1819=SPECIAL_LBL)*10000000+(N('Dvd Calendar'!$N$1813)&gt;0)*(N('Dvd Calendar'!$N$1813)&lt;=VAL_SERIAL)*1000000+24*1000+10))</f>
        <v/>
      </c>
      <c r="EO183" s="39">
        <f>IF(N('Dvd Calendar'!$O$1814)=0,"",IF(('Dvd Calendar'!$O$1814&gt;=GRID_FROM)*('Dvd Calendar'!$O$1814&lt;=GRID_TO)*((('Dvd Calendar'!$O$1814&lt;=VAL_DATE)+(COUNTIF('Dvd Calendar'!$E$1821:$AR$1821,'Dvd Calendar'!$O$1814)=0))&gt;0)=0,"",'Dvd Calendar'!$O$1814*1000000000+ISNUMBER('Dvd Calendar'!$O$1817)*100000000+('Dvd Calendar'!$O$1819=SPECIAL_LBL)*10000000+(N('Dvd Calendar'!$O$1813)&gt;0)*(N('Dvd Calendar'!$O$1813)&lt;=VAL_SERIAL)*1000000+24*1000+11))</f>
        <v/>
      </c>
      <c r="EP183" s="39">
        <f>IF(N('Dvd Calendar'!$P$1814)=0,"",IF(('Dvd Calendar'!$P$1814&gt;=GRID_FROM)*('Dvd Calendar'!$P$1814&lt;=GRID_TO)*((('Dvd Calendar'!$P$1814&lt;=VAL_DATE)+(COUNTIF('Dvd Calendar'!$E$1821:$AR$1821,'Dvd Calendar'!$P$1814)=0))&gt;0)=0,"",'Dvd Calendar'!$P$1814*1000000000+ISNUMBER('Dvd Calendar'!$P$1817)*100000000+('Dvd Calendar'!$P$1819=SPECIAL_LBL)*10000000+(N('Dvd Calendar'!$P$1813)&gt;0)*(N('Dvd Calendar'!$P$1813)&lt;=VAL_SERIAL)*1000000+24*1000+12))</f>
        <v/>
      </c>
      <c r="EQ183" s="39">
        <f>IF(N('Dvd Calendar'!$Q$1814)=0,"",IF(('Dvd Calendar'!$Q$1814&gt;=GRID_FROM)*('Dvd Calendar'!$Q$1814&lt;=GRID_TO)*((('Dvd Calendar'!$Q$1814&lt;=VAL_DATE)+(COUNTIF('Dvd Calendar'!$E$1821:$AR$1821,'Dvd Calendar'!$Q$1814)=0))&gt;0)=0,"",'Dvd Calendar'!$Q$1814*1000000000+ISNUMBER('Dvd Calendar'!$Q$1817)*100000000+('Dvd Calendar'!$Q$1819=SPECIAL_LBL)*10000000+(N('Dvd Calendar'!$Q$1813)&gt;0)*(N('Dvd Calendar'!$Q$1813)&lt;=VAL_SERIAL)*1000000+24*1000+13))</f>
        <v/>
      </c>
      <c r="ER183" s="39">
        <f>IF(N('Dvd Calendar'!$R$1814)=0,"",IF(('Dvd Calendar'!$R$1814&gt;=GRID_FROM)*('Dvd Calendar'!$R$1814&lt;=GRID_TO)*((('Dvd Calendar'!$R$1814&lt;=VAL_DATE)+(COUNTIF('Dvd Calendar'!$E$1821:$AR$1821,'Dvd Calendar'!$R$1814)=0))&gt;0)=0,"",'Dvd Calendar'!$R$1814*1000000000+ISNUMBER('Dvd Calendar'!$R$1817)*100000000+('Dvd Calendar'!$R$1819=SPECIAL_LBL)*10000000+(N('Dvd Calendar'!$R$1813)&gt;0)*(N('Dvd Calendar'!$R$1813)&lt;=VAL_SERIAL)*1000000+24*1000+14))</f>
        <v/>
      </c>
      <c r="ES183" s="39">
        <f>IF(N('Dvd Calendar'!$S$1814)=0,"",IF(('Dvd Calendar'!$S$1814&gt;=GRID_FROM)*('Dvd Calendar'!$S$1814&lt;=GRID_TO)*((('Dvd Calendar'!$S$1814&lt;=VAL_DATE)+(COUNTIF('Dvd Calendar'!$E$1821:$AR$1821,'Dvd Calendar'!$S$1814)=0))&gt;0)=0,"",'Dvd Calendar'!$S$1814*1000000000+ISNUMBER('Dvd Calendar'!$S$1817)*100000000+('Dvd Calendar'!$S$1819=SPECIAL_LBL)*10000000+(N('Dvd Calendar'!$S$1813)&gt;0)*(N('Dvd Calendar'!$S$1813)&lt;=VAL_SERIAL)*1000000+24*1000+15))</f>
        <v/>
      </c>
      <c r="ET183" s="39">
        <f>IF(N('Dvd Calendar'!$T$1814)=0,"",IF(('Dvd Calendar'!$T$1814&gt;=GRID_FROM)*('Dvd Calendar'!$T$1814&lt;=GRID_TO)*((('Dvd Calendar'!$T$1814&lt;=VAL_DATE)+(COUNTIF('Dvd Calendar'!$E$1821:$AR$1821,'Dvd Calendar'!$T$1814)=0))&gt;0)=0,"",'Dvd Calendar'!$T$1814*1000000000+ISNUMBER('Dvd Calendar'!$T$1817)*100000000+('Dvd Calendar'!$T$1819=SPECIAL_LBL)*10000000+(N('Dvd Calendar'!$T$1813)&gt;0)*(N('Dvd Calendar'!$T$1813)&lt;=VAL_SERIAL)*1000000+24*1000+16))</f>
        <v/>
      </c>
      <c r="EU183" s="39">
        <f>IF(N('Dvd Calendar'!$U$1814)=0,"",IF(('Dvd Calendar'!$U$1814&gt;=GRID_FROM)*('Dvd Calendar'!$U$1814&lt;=GRID_TO)*((('Dvd Calendar'!$U$1814&lt;=VAL_DATE)+(COUNTIF('Dvd Calendar'!$E$1821:$AR$1821,'Dvd Calendar'!$U$1814)=0))&gt;0)=0,"",'Dvd Calendar'!$U$1814*1000000000+ISNUMBER('Dvd Calendar'!$U$1817)*100000000+('Dvd Calendar'!$U$1819=SPECIAL_LBL)*10000000+(N('Dvd Calendar'!$U$1813)&gt;0)*(N('Dvd Calendar'!$U$1813)&lt;=VAL_SERIAL)*1000000+24*1000+17))</f>
        <v/>
      </c>
      <c r="EV183" s="39">
        <f>IF(N('Dvd Calendar'!$V$1814)=0,"",IF(('Dvd Calendar'!$V$1814&gt;=GRID_FROM)*('Dvd Calendar'!$V$1814&lt;=GRID_TO)*((('Dvd Calendar'!$V$1814&lt;=VAL_DATE)+(COUNTIF('Dvd Calendar'!$E$1821:$AR$1821,'Dvd Calendar'!$V$1814)=0))&gt;0)=0,"",'Dvd Calendar'!$V$1814*1000000000+ISNUMBER('Dvd Calendar'!$V$1817)*100000000+('Dvd Calendar'!$V$1819=SPECIAL_LBL)*10000000+(N('Dvd Calendar'!$V$1813)&gt;0)*(N('Dvd Calendar'!$V$1813)&lt;=VAL_SERIAL)*1000000+24*1000+18))</f>
        <v/>
      </c>
      <c r="EW183" s="39">
        <f>IF(N('Dvd Calendar'!$W$1814)=0,"",IF(('Dvd Calendar'!$W$1814&gt;=GRID_FROM)*('Dvd Calendar'!$W$1814&lt;=GRID_TO)*((('Dvd Calendar'!$W$1814&lt;=VAL_DATE)+(COUNTIF('Dvd Calendar'!$E$1821:$AR$1821,'Dvd Calendar'!$W$1814)=0))&gt;0)=0,"",'Dvd Calendar'!$W$1814*1000000000+ISNUMBER('Dvd Calendar'!$W$1817)*100000000+('Dvd Calendar'!$W$1819=SPECIAL_LBL)*10000000+(N('Dvd Calendar'!$W$1813)&gt;0)*(N('Dvd Calendar'!$W$1813)&lt;=VAL_SERIAL)*1000000+24*1000+19))</f>
        <v/>
      </c>
      <c r="EX183" s="39">
        <f>IF(N('Dvd Calendar'!$X$1814)=0,"",IF(('Dvd Calendar'!$X$1814&gt;=GRID_FROM)*('Dvd Calendar'!$X$1814&lt;=GRID_TO)*((('Dvd Calendar'!$X$1814&lt;=VAL_DATE)+(COUNTIF('Dvd Calendar'!$E$1821:$AR$1821,'Dvd Calendar'!$X$1814)=0))&gt;0)=0,"",'Dvd Calendar'!$X$1814*1000000000+ISNUMBER('Dvd Calendar'!$X$1817)*100000000+('Dvd Calendar'!$X$1819=SPECIAL_LBL)*10000000+(N('Dvd Calendar'!$X$1813)&gt;0)*(N('Dvd Calendar'!$X$1813)&lt;=VAL_SERIAL)*1000000+24*1000+20))</f>
        <v/>
      </c>
      <c r="EY183" s="39">
        <f>IF(N('Dvd Calendar'!$Y$1814)=0,"",IF(('Dvd Calendar'!$Y$1814&gt;=GRID_FROM)*('Dvd Calendar'!$Y$1814&lt;=GRID_TO)*((('Dvd Calendar'!$Y$1814&lt;=VAL_DATE)+(COUNTIF('Dvd Calendar'!$E$1821:$AR$1821,'Dvd Calendar'!$Y$1814)=0))&gt;0)=0,"",'Dvd Calendar'!$Y$1814*1000000000+ISNUMBER('Dvd Calendar'!$Y$1817)*100000000+('Dvd Calendar'!$Y$1819=SPECIAL_LBL)*10000000+(N('Dvd Calendar'!$Y$1813)&gt;0)*(N('Dvd Calendar'!$Y$1813)&lt;=VAL_SERIAL)*1000000+24*1000+21))</f>
        <v/>
      </c>
      <c r="EZ183" s="39">
        <f>IF(N('Dvd Calendar'!$Z$1814)=0,"",IF(('Dvd Calendar'!$Z$1814&gt;=GRID_FROM)*('Dvd Calendar'!$Z$1814&lt;=GRID_TO)*((('Dvd Calendar'!$Z$1814&lt;=VAL_DATE)+(COUNTIF('Dvd Calendar'!$E$1821:$AR$1821,'Dvd Calendar'!$Z$1814)=0))&gt;0)=0,"",'Dvd Calendar'!$Z$1814*1000000000+ISNUMBER('Dvd Calendar'!$Z$1817)*100000000+('Dvd Calendar'!$Z$1819=SPECIAL_LBL)*10000000+(N('Dvd Calendar'!$Z$1813)&gt;0)*(N('Dvd Calendar'!$Z$1813)&lt;=VAL_SERIAL)*1000000+24*1000+22))</f>
        <v/>
      </c>
      <c r="FA183" s="39">
        <f>IF(N('Dvd Calendar'!$AA$1814)=0,"",IF(('Dvd Calendar'!$AA$1814&gt;=GRID_FROM)*('Dvd Calendar'!$AA$1814&lt;=GRID_TO)*((('Dvd Calendar'!$AA$1814&lt;=VAL_DATE)+(COUNTIF('Dvd Calendar'!$E$1821:$AR$1821,'Dvd Calendar'!$AA$1814)=0))&gt;0)=0,"",'Dvd Calendar'!$AA$1814*1000000000+ISNUMBER('Dvd Calendar'!$AA$1817)*100000000+('Dvd Calendar'!$AA$1819=SPECIAL_LBL)*10000000+(N('Dvd Calendar'!$AA$1813)&gt;0)*(N('Dvd Calendar'!$AA$1813)&lt;=VAL_SERIAL)*1000000+24*1000+23))</f>
        <v/>
      </c>
      <c r="FB183" s="39">
        <f>IF(N('Dvd Calendar'!$AB$1814)=0,"",IF(('Dvd Calendar'!$AB$1814&gt;=GRID_FROM)*('Dvd Calendar'!$AB$1814&lt;=GRID_TO)*((('Dvd Calendar'!$AB$1814&lt;=VAL_DATE)+(COUNTIF('Dvd Calendar'!$E$1821:$AR$1821,'Dvd Calendar'!$AB$1814)=0))&gt;0)=0,"",'Dvd Calendar'!$AB$1814*1000000000+ISNUMBER('Dvd Calendar'!$AB$1817)*100000000+('Dvd Calendar'!$AB$1819=SPECIAL_LBL)*10000000+(N('Dvd Calendar'!$AB$1813)&gt;0)*(N('Dvd Calendar'!$AB$1813)&lt;=VAL_SERIAL)*1000000+24*1000+24))</f>
        <v/>
      </c>
      <c r="FC183" s="39">
        <f>IF(N('Dvd Calendar'!$AC$1814)=0,"",IF(('Dvd Calendar'!$AC$1814&gt;=GRID_FROM)*('Dvd Calendar'!$AC$1814&lt;=GRID_TO)*((('Dvd Calendar'!$AC$1814&lt;=VAL_DATE)+(COUNTIF('Dvd Calendar'!$E$1821:$AR$1821,'Dvd Calendar'!$AC$1814)=0))&gt;0)=0,"",'Dvd Calendar'!$AC$1814*1000000000+ISNUMBER('Dvd Calendar'!$AC$1817)*100000000+('Dvd Calendar'!$AC$1819=SPECIAL_LBL)*10000000+(N('Dvd Calendar'!$AC$1813)&gt;0)*(N('Dvd Calendar'!$AC$1813)&lt;=VAL_SERIAL)*1000000+24*1000+25))</f>
        <v/>
      </c>
      <c r="FD183" s="39">
        <f>IF(N('Dvd Calendar'!$AD$1814)=0,"",IF(('Dvd Calendar'!$AD$1814&gt;=GRID_FROM)*('Dvd Calendar'!$AD$1814&lt;=GRID_TO)*((('Dvd Calendar'!$AD$1814&lt;=VAL_DATE)+(COUNTIF('Dvd Calendar'!$E$1821:$AR$1821,'Dvd Calendar'!$AD$1814)=0))&gt;0)=0,"",'Dvd Calendar'!$AD$1814*1000000000+ISNUMBER('Dvd Calendar'!$AD$1817)*100000000+('Dvd Calendar'!$AD$1819=SPECIAL_LBL)*10000000+(N('Dvd Calendar'!$AD$1813)&gt;0)*(N('Dvd Calendar'!$AD$1813)&lt;=VAL_SERIAL)*1000000+24*1000+26))</f>
        <v/>
      </c>
      <c r="FE183" s="39">
        <f>IF(N('Dvd Calendar'!$AE$1814)=0,"",IF(('Dvd Calendar'!$AE$1814&gt;=GRID_FROM)*('Dvd Calendar'!$AE$1814&lt;=GRID_TO)*((('Dvd Calendar'!$AE$1814&lt;=VAL_DATE)+(COUNTIF('Dvd Calendar'!$E$1821:$AR$1821,'Dvd Calendar'!$AE$1814)=0))&gt;0)=0,"",'Dvd Calendar'!$AE$1814*1000000000+ISNUMBER('Dvd Calendar'!$AE$1817)*100000000+('Dvd Calendar'!$AE$1819=SPECIAL_LBL)*10000000+(N('Dvd Calendar'!$AE$1813)&gt;0)*(N('Dvd Calendar'!$AE$1813)&lt;=VAL_SERIAL)*1000000+24*1000+27))</f>
        <v/>
      </c>
      <c r="FF183" s="39">
        <f>IF(N('Dvd Calendar'!$AF$1814)=0,"",IF(('Dvd Calendar'!$AF$1814&gt;=GRID_FROM)*('Dvd Calendar'!$AF$1814&lt;=GRID_TO)*((('Dvd Calendar'!$AF$1814&lt;=VAL_DATE)+(COUNTIF('Dvd Calendar'!$E$1821:$AR$1821,'Dvd Calendar'!$AF$1814)=0))&gt;0)=0,"",'Dvd Calendar'!$AF$1814*1000000000+ISNUMBER('Dvd Calendar'!$AF$1817)*100000000+('Dvd Calendar'!$AF$1819=SPECIAL_LBL)*10000000+(N('Dvd Calendar'!$AF$1813)&gt;0)*(N('Dvd Calendar'!$AF$1813)&lt;=VAL_SERIAL)*1000000+24*1000+28))</f>
        <v/>
      </c>
      <c r="FG183" s="39">
        <f>IF(N('Dvd Calendar'!$AG$1814)=0,"",IF(('Dvd Calendar'!$AG$1814&gt;=GRID_FROM)*('Dvd Calendar'!$AG$1814&lt;=GRID_TO)*((('Dvd Calendar'!$AG$1814&lt;=VAL_DATE)+(COUNTIF('Dvd Calendar'!$E$1821:$AR$1821,'Dvd Calendar'!$AG$1814)=0))&gt;0)=0,"",'Dvd Calendar'!$AG$1814*1000000000+ISNUMBER('Dvd Calendar'!$AG$1817)*100000000+('Dvd Calendar'!$AG$1819=SPECIAL_LBL)*10000000+(N('Dvd Calendar'!$AG$1813)&gt;0)*(N('Dvd Calendar'!$AG$1813)&lt;=VAL_SERIAL)*1000000+24*1000+29))</f>
        <v/>
      </c>
      <c r="FH183" s="39">
        <f>IF(N('Dvd Calendar'!$AH$1814)=0,"",IF(('Dvd Calendar'!$AH$1814&gt;=GRID_FROM)*('Dvd Calendar'!$AH$1814&lt;=GRID_TO)*((('Dvd Calendar'!$AH$1814&lt;=VAL_DATE)+(COUNTIF('Dvd Calendar'!$E$1821:$AR$1821,'Dvd Calendar'!$AH$1814)=0))&gt;0)=0,"",'Dvd Calendar'!$AH$1814*1000000000+ISNUMBER('Dvd Calendar'!$AH$1817)*100000000+('Dvd Calendar'!$AH$1819=SPECIAL_LBL)*10000000+(N('Dvd Calendar'!$AH$1813)&gt;0)*(N('Dvd Calendar'!$AH$1813)&lt;=VAL_SERIAL)*1000000+24*1000+30))</f>
        <v/>
      </c>
      <c r="FI183" s="39">
        <f>IF(N('Dvd Calendar'!$AI$1814)=0,"",IF(('Dvd Calendar'!$AI$1814&gt;=GRID_FROM)*('Dvd Calendar'!$AI$1814&lt;=GRID_TO)*((('Dvd Calendar'!$AI$1814&lt;=VAL_DATE)+(COUNTIF('Dvd Calendar'!$E$1821:$AR$1821,'Dvd Calendar'!$AI$1814)=0))&gt;0)=0,"",'Dvd Calendar'!$AI$1814*1000000000+ISNUMBER('Dvd Calendar'!$AI$1817)*100000000+('Dvd Calendar'!$AI$1819=SPECIAL_LBL)*10000000+(N('Dvd Calendar'!$AI$1813)&gt;0)*(N('Dvd Calendar'!$AI$1813)&lt;=VAL_SERIAL)*1000000+24*1000+31))</f>
        <v/>
      </c>
      <c r="FJ183" s="39">
        <f>IF(N('Dvd Calendar'!$AJ$1814)=0,"",IF(('Dvd Calendar'!$AJ$1814&gt;=GRID_FROM)*('Dvd Calendar'!$AJ$1814&lt;=GRID_TO)*((('Dvd Calendar'!$AJ$1814&lt;=VAL_DATE)+(COUNTIF('Dvd Calendar'!$E$1821:$AR$1821,'Dvd Calendar'!$AJ$1814)=0))&gt;0)=0,"",'Dvd Calendar'!$AJ$1814*1000000000+ISNUMBER('Dvd Calendar'!$AJ$1817)*100000000+('Dvd Calendar'!$AJ$1819=SPECIAL_LBL)*10000000+(N('Dvd Calendar'!$AJ$1813)&gt;0)*(N('Dvd Calendar'!$AJ$1813)&lt;=VAL_SERIAL)*1000000+24*1000+32))</f>
        <v/>
      </c>
      <c r="FK183" s="39">
        <f>IF(N('Dvd Calendar'!$AK$1814)=0,"",IF(('Dvd Calendar'!$AK$1814&gt;=GRID_FROM)*('Dvd Calendar'!$AK$1814&lt;=GRID_TO)*((('Dvd Calendar'!$AK$1814&lt;=VAL_DATE)+(COUNTIF('Dvd Calendar'!$E$1821:$AR$1821,'Dvd Calendar'!$AK$1814)=0))&gt;0)=0,"",'Dvd Calendar'!$AK$1814*1000000000+ISNUMBER('Dvd Calendar'!$AK$1817)*100000000+('Dvd Calendar'!$AK$1819=SPECIAL_LBL)*10000000+(N('Dvd Calendar'!$AK$1813)&gt;0)*(N('Dvd Calendar'!$AK$1813)&lt;=VAL_SERIAL)*1000000+24*1000+33))</f>
        <v/>
      </c>
      <c r="FL183" s="39">
        <f>IF(N('Dvd Calendar'!$AL$1814)=0,"",IF(('Dvd Calendar'!$AL$1814&gt;=GRID_FROM)*('Dvd Calendar'!$AL$1814&lt;=GRID_TO)*((('Dvd Calendar'!$AL$1814&lt;=VAL_DATE)+(COUNTIF('Dvd Calendar'!$E$1821:$AR$1821,'Dvd Calendar'!$AL$1814)=0))&gt;0)=0,"",'Dvd Calendar'!$AL$1814*1000000000+ISNUMBER('Dvd Calendar'!$AL$1817)*100000000+('Dvd Calendar'!$AL$1819=SPECIAL_LBL)*10000000+(N('Dvd Calendar'!$AL$1813)&gt;0)*(N('Dvd Calendar'!$AL$1813)&lt;=VAL_SERIAL)*1000000+24*1000+34))</f>
        <v/>
      </c>
      <c r="FM183" s="39">
        <f>IF(N('Dvd Calendar'!$AM$1814)=0,"",IF(('Dvd Calendar'!$AM$1814&gt;=GRID_FROM)*('Dvd Calendar'!$AM$1814&lt;=GRID_TO)*((('Dvd Calendar'!$AM$1814&lt;=VAL_DATE)+(COUNTIF('Dvd Calendar'!$E$1821:$AR$1821,'Dvd Calendar'!$AM$1814)=0))&gt;0)=0,"",'Dvd Calendar'!$AM$1814*1000000000+ISNUMBER('Dvd Calendar'!$AM$1817)*100000000+('Dvd Calendar'!$AM$1819=SPECIAL_LBL)*10000000+(N('Dvd Calendar'!$AM$1813)&gt;0)*(N('Dvd Calendar'!$AM$1813)&lt;=VAL_SERIAL)*1000000+24*1000+35))</f>
        <v/>
      </c>
      <c r="FN183" s="39">
        <f>IF(N('Dvd Calendar'!$AN$1814)=0,"",IF(('Dvd Calendar'!$AN$1814&gt;=GRID_FROM)*('Dvd Calendar'!$AN$1814&lt;=GRID_TO)*((('Dvd Calendar'!$AN$1814&lt;=VAL_DATE)+(COUNTIF('Dvd Calendar'!$E$1821:$AR$1821,'Dvd Calendar'!$AN$1814)=0))&gt;0)=0,"",'Dvd Calendar'!$AN$1814*1000000000+ISNUMBER('Dvd Calendar'!$AN$1817)*100000000+('Dvd Calendar'!$AN$1819=SPECIAL_LBL)*10000000+(N('Dvd Calendar'!$AN$1813)&gt;0)*(N('Dvd Calendar'!$AN$1813)&lt;=VAL_SERIAL)*1000000+24*1000+36))</f>
        <v/>
      </c>
      <c r="FO183" s="39">
        <f>IF(N('Dvd Calendar'!$AO$1814)=0,"",IF(('Dvd Calendar'!$AO$1814&gt;=GRID_FROM)*('Dvd Calendar'!$AO$1814&lt;=GRID_TO)*((('Dvd Calendar'!$AO$1814&lt;=VAL_DATE)+(COUNTIF('Dvd Calendar'!$E$1821:$AR$1821,'Dvd Calendar'!$AO$1814)=0))&gt;0)=0,"",'Dvd Calendar'!$AO$1814*1000000000+ISNUMBER('Dvd Calendar'!$AO$1817)*100000000+('Dvd Calendar'!$AO$1819=SPECIAL_LBL)*10000000+(N('Dvd Calendar'!$AO$1813)&gt;0)*(N('Dvd Calendar'!$AO$1813)&lt;=VAL_SERIAL)*1000000+24*1000+37))</f>
        <v/>
      </c>
      <c r="FP183" s="39">
        <f>IF(N('Dvd Calendar'!$AP$1814)=0,"",IF(('Dvd Calendar'!$AP$1814&gt;=GRID_FROM)*('Dvd Calendar'!$AP$1814&lt;=GRID_TO)*((('Dvd Calendar'!$AP$1814&lt;=VAL_DATE)+(COUNTIF('Dvd Calendar'!$E$1821:$AR$1821,'Dvd Calendar'!$AP$1814)=0))&gt;0)=0,"",'Dvd Calendar'!$AP$1814*1000000000+ISNUMBER('Dvd Calendar'!$AP$1817)*100000000+('Dvd Calendar'!$AP$1819=SPECIAL_LBL)*10000000+(N('Dvd Calendar'!$AP$1813)&gt;0)*(N('Dvd Calendar'!$AP$1813)&lt;=VAL_SERIAL)*1000000+24*1000+38))</f>
        <v/>
      </c>
      <c r="FQ183" s="39">
        <f>IF(N('Dvd Calendar'!$AQ$1814)=0,"",IF(('Dvd Calendar'!$AQ$1814&gt;=GRID_FROM)*('Dvd Calendar'!$AQ$1814&lt;=GRID_TO)*((('Dvd Calendar'!$AQ$1814&lt;=VAL_DATE)+(COUNTIF('Dvd Calendar'!$E$1821:$AR$1821,'Dvd Calendar'!$AQ$1814)=0))&gt;0)=0,"",'Dvd Calendar'!$AQ$1814*1000000000+ISNUMBER('Dvd Calendar'!$AQ$1817)*100000000+('Dvd Calendar'!$AQ$1819=SPECIAL_LBL)*10000000+(N('Dvd Calendar'!$AQ$1813)&gt;0)*(N('Dvd Calendar'!$AQ$1813)&lt;=VAL_SERIAL)*1000000+24*1000+39))</f>
        <v/>
      </c>
      <c r="FR183" s="39">
        <f>IF(N('Dvd Calendar'!$AR$1814)=0,"",IF(('Dvd Calendar'!$AR$1814&gt;=GRID_FROM)*('Dvd Calendar'!$AR$1814&lt;=GRID_TO)*((('Dvd Calendar'!$AR$1814&lt;=VAL_DATE)+(COUNTIF('Dvd Calendar'!$E$1821:$AR$1821,'Dvd Calendar'!$AR$1814)=0))&gt;0)=0,"",'Dvd Calendar'!$AR$1814*1000000000+ISNUMBER('Dvd Calendar'!$AR$1817)*100000000+('Dvd Calendar'!$AR$1819=SPECIAL_LBL)*10000000+(N('Dvd Calendar'!$AR$1813)&gt;0)*(N('Dvd Calendar'!$AR$1813)&lt;=VAL_SERIAL)*1000000+24*1000+40))</f>
        <v/>
      </c>
      <c r="FS183" s="39">
        <f>IF(N('Dvd Calendar'!$E$1821)=0,"",IF(('Dvd Calendar'!$E$1821&gt;=GRID_FROM)*('Dvd Calendar'!$E$1821&lt;=GRID_TO)*('Dvd Calendar'!$E$1821&gt;VAL_DATE)=0,"",'Dvd Calendar'!$E$1821*1000000000+ISNUMBER('Dvd Calendar'!$E$1822)*100000000+0*10000000+(N('Dvd Calendar'!$E$1820)&gt;0)*(N('Dvd Calendar'!$E$1820)&lt;=VAL_SERIAL)*1000000+24*1000+41))</f>
        <v/>
      </c>
      <c r="FT183" s="39">
        <f>IF(N('Dvd Calendar'!$F$1821)=0,"",IF(('Dvd Calendar'!$F$1821&gt;=GRID_FROM)*('Dvd Calendar'!$F$1821&lt;=GRID_TO)*('Dvd Calendar'!$F$1821&gt;VAL_DATE)=0,"",'Dvd Calendar'!$F$1821*1000000000+ISNUMBER('Dvd Calendar'!$F$1822)*100000000+0*10000000+(N('Dvd Calendar'!$F$1820)&gt;0)*(N('Dvd Calendar'!$F$1820)&lt;=VAL_SERIAL)*1000000+24*1000+42))</f>
        <v/>
      </c>
      <c r="FU183" s="39">
        <f>IF(N('Dvd Calendar'!$G$1821)=0,"",IF(('Dvd Calendar'!$G$1821&gt;=GRID_FROM)*('Dvd Calendar'!$G$1821&lt;=GRID_TO)*('Dvd Calendar'!$G$1821&gt;VAL_DATE)=0,"",'Dvd Calendar'!$G$1821*1000000000+ISNUMBER('Dvd Calendar'!$G$1822)*100000000+0*10000000+(N('Dvd Calendar'!$G$1820)&gt;0)*(N('Dvd Calendar'!$G$1820)&lt;=VAL_SERIAL)*1000000+24*1000+43))</f>
        <v/>
      </c>
      <c r="FV183" s="39">
        <f>IF(N('Dvd Calendar'!$H$1821)=0,"",IF(('Dvd Calendar'!$H$1821&gt;=GRID_FROM)*('Dvd Calendar'!$H$1821&lt;=GRID_TO)*('Dvd Calendar'!$H$1821&gt;VAL_DATE)=0,"",'Dvd Calendar'!$H$1821*1000000000+ISNUMBER('Dvd Calendar'!$H$1822)*100000000+0*10000000+(N('Dvd Calendar'!$H$1820)&gt;0)*(N('Dvd Calendar'!$H$1820)&lt;=VAL_SERIAL)*1000000+24*1000+44))</f>
        <v/>
      </c>
      <c r="FW183" s="39">
        <f>IF(N('Dvd Calendar'!$I$1821)=0,"",IF(('Dvd Calendar'!$I$1821&gt;=GRID_FROM)*('Dvd Calendar'!$I$1821&lt;=GRID_TO)*('Dvd Calendar'!$I$1821&gt;VAL_DATE)=0,"",'Dvd Calendar'!$I$1821*1000000000+ISNUMBER('Dvd Calendar'!$I$1822)*100000000+0*10000000+(N('Dvd Calendar'!$I$1820)&gt;0)*(N('Dvd Calendar'!$I$1820)&lt;=VAL_SERIAL)*1000000+24*1000+45))</f>
        <v/>
      </c>
      <c r="FX183" s="39">
        <f>IF(N('Dvd Calendar'!$J$1821)=0,"",IF(('Dvd Calendar'!$J$1821&gt;=GRID_FROM)*('Dvd Calendar'!$J$1821&lt;=GRID_TO)*('Dvd Calendar'!$J$1821&gt;VAL_DATE)=0,"",'Dvd Calendar'!$J$1821*1000000000+ISNUMBER('Dvd Calendar'!$J$1822)*100000000+0*10000000+(N('Dvd Calendar'!$J$1820)&gt;0)*(N('Dvd Calendar'!$J$1820)&lt;=VAL_SERIAL)*1000000+24*1000+46))</f>
        <v/>
      </c>
      <c r="FY183" s="39">
        <f>IF(N('Dvd Calendar'!$K$1821)=0,"",IF(('Dvd Calendar'!$K$1821&gt;=GRID_FROM)*('Dvd Calendar'!$K$1821&lt;=GRID_TO)*('Dvd Calendar'!$K$1821&gt;VAL_DATE)=0,"",'Dvd Calendar'!$K$1821*1000000000+ISNUMBER('Dvd Calendar'!$K$1822)*100000000+0*10000000+(N('Dvd Calendar'!$K$1820)&gt;0)*(N('Dvd Calendar'!$K$1820)&lt;=VAL_SERIAL)*1000000+24*1000+47))</f>
        <v/>
      </c>
      <c r="FZ183" s="39">
        <f>IF(N('Dvd Calendar'!$L$1821)=0,"",IF(('Dvd Calendar'!$L$1821&gt;=GRID_FROM)*('Dvd Calendar'!$L$1821&lt;=GRID_TO)*('Dvd Calendar'!$L$1821&gt;VAL_DATE)=0,"",'Dvd Calendar'!$L$1821*1000000000+ISNUMBER('Dvd Calendar'!$L$1822)*100000000+0*10000000+(N('Dvd Calendar'!$L$1820)&gt;0)*(N('Dvd Calendar'!$L$1820)&lt;=VAL_SERIAL)*1000000+24*1000+48))</f>
        <v/>
      </c>
      <c r="GA183" s="39">
        <f>IF(N('Dvd Calendar'!$M$1821)=0,"",IF(('Dvd Calendar'!$M$1821&gt;=GRID_FROM)*('Dvd Calendar'!$M$1821&lt;=GRID_TO)*('Dvd Calendar'!$M$1821&gt;VAL_DATE)=0,"",'Dvd Calendar'!$M$1821*1000000000+ISNUMBER('Dvd Calendar'!$M$1822)*100000000+0*10000000+(N('Dvd Calendar'!$M$1820)&gt;0)*(N('Dvd Calendar'!$M$1820)&lt;=VAL_SERIAL)*1000000+24*1000+49))</f>
        <v/>
      </c>
      <c r="GB183" s="39">
        <f>IF(N('Dvd Calendar'!$N$1821)=0,"",IF(('Dvd Calendar'!$N$1821&gt;=GRID_FROM)*('Dvd Calendar'!$N$1821&lt;=GRID_TO)*('Dvd Calendar'!$N$1821&gt;VAL_DATE)=0,"",'Dvd Calendar'!$N$1821*1000000000+ISNUMBER('Dvd Calendar'!$N$1822)*100000000+0*10000000+(N('Dvd Calendar'!$N$1820)&gt;0)*(N('Dvd Calendar'!$N$1820)&lt;=VAL_SERIAL)*1000000+24*1000+50))</f>
        <v/>
      </c>
      <c r="GC183" s="39">
        <f>IF(N('Dvd Calendar'!$O$1821)=0,"",IF(('Dvd Calendar'!$O$1821&gt;=GRID_FROM)*('Dvd Calendar'!$O$1821&lt;=GRID_TO)*('Dvd Calendar'!$O$1821&gt;VAL_DATE)=0,"",'Dvd Calendar'!$O$1821*1000000000+ISNUMBER('Dvd Calendar'!$O$1822)*100000000+0*10000000+(N('Dvd Calendar'!$O$1820)&gt;0)*(N('Dvd Calendar'!$O$1820)&lt;=VAL_SERIAL)*1000000+24*1000+51))</f>
        <v/>
      </c>
      <c r="GD183" s="39">
        <f>IF(N('Dvd Calendar'!$P$1821)=0,"",IF(('Dvd Calendar'!$P$1821&gt;=GRID_FROM)*('Dvd Calendar'!$P$1821&lt;=GRID_TO)*('Dvd Calendar'!$P$1821&gt;VAL_DATE)=0,"",'Dvd Calendar'!$P$1821*1000000000+ISNUMBER('Dvd Calendar'!$P$1822)*100000000+0*10000000+(N('Dvd Calendar'!$P$1820)&gt;0)*(N('Dvd Calendar'!$P$1820)&lt;=VAL_SERIAL)*1000000+24*1000+52))</f>
        <v/>
      </c>
      <c r="GE183" s="39">
        <f>IF(N('Dvd Calendar'!$Q$1821)=0,"",IF(('Dvd Calendar'!$Q$1821&gt;=GRID_FROM)*('Dvd Calendar'!$Q$1821&lt;=GRID_TO)*('Dvd Calendar'!$Q$1821&gt;VAL_DATE)=0,"",'Dvd Calendar'!$Q$1821*1000000000+ISNUMBER('Dvd Calendar'!$Q$1822)*100000000+0*10000000+(N('Dvd Calendar'!$Q$1820)&gt;0)*(N('Dvd Calendar'!$Q$1820)&lt;=VAL_SERIAL)*1000000+24*1000+53))</f>
        <v/>
      </c>
      <c r="GF183" s="39">
        <f>IF(N('Dvd Calendar'!$R$1821)=0,"",IF(('Dvd Calendar'!$R$1821&gt;=GRID_FROM)*('Dvd Calendar'!$R$1821&lt;=GRID_TO)*('Dvd Calendar'!$R$1821&gt;VAL_DATE)=0,"",'Dvd Calendar'!$R$1821*1000000000+ISNUMBER('Dvd Calendar'!$R$1822)*100000000+0*10000000+(N('Dvd Calendar'!$R$1820)&gt;0)*(N('Dvd Calendar'!$R$1820)&lt;=VAL_SERIAL)*1000000+24*1000+54))</f>
        <v/>
      </c>
      <c r="GG183" s="39">
        <f>IF(N('Dvd Calendar'!$S$1821)=0,"",IF(('Dvd Calendar'!$S$1821&gt;=GRID_FROM)*('Dvd Calendar'!$S$1821&lt;=GRID_TO)*('Dvd Calendar'!$S$1821&gt;VAL_DATE)=0,"",'Dvd Calendar'!$S$1821*1000000000+ISNUMBER('Dvd Calendar'!$S$1822)*100000000+0*10000000+(N('Dvd Calendar'!$S$1820)&gt;0)*(N('Dvd Calendar'!$S$1820)&lt;=VAL_SERIAL)*1000000+24*1000+55))</f>
        <v/>
      </c>
      <c r="GH183" s="39">
        <f>IF(N('Dvd Calendar'!$T$1821)=0,"",IF(('Dvd Calendar'!$T$1821&gt;=GRID_FROM)*('Dvd Calendar'!$T$1821&lt;=GRID_TO)*('Dvd Calendar'!$T$1821&gt;VAL_DATE)=0,"",'Dvd Calendar'!$T$1821*1000000000+ISNUMBER('Dvd Calendar'!$T$1822)*100000000+0*10000000+(N('Dvd Calendar'!$T$1820)&gt;0)*(N('Dvd Calendar'!$T$1820)&lt;=VAL_SERIAL)*1000000+24*1000+56))</f>
        <v/>
      </c>
      <c r="GI183" s="39">
        <f>IF(N('Dvd Calendar'!$U$1821)=0,"",IF(('Dvd Calendar'!$U$1821&gt;=GRID_FROM)*('Dvd Calendar'!$U$1821&lt;=GRID_TO)*('Dvd Calendar'!$U$1821&gt;VAL_DATE)=0,"",'Dvd Calendar'!$U$1821*1000000000+ISNUMBER('Dvd Calendar'!$U$1822)*100000000+0*10000000+(N('Dvd Calendar'!$U$1820)&gt;0)*(N('Dvd Calendar'!$U$1820)&lt;=VAL_SERIAL)*1000000+24*1000+57))</f>
        <v/>
      </c>
      <c r="GJ183" s="39">
        <f>IF(N('Dvd Calendar'!$V$1821)=0,"",IF(('Dvd Calendar'!$V$1821&gt;=GRID_FROM)*('Dvd Calendar'!$V$1821&lt;=GRID_TO)*('Dvd Calendar'!$V$1821&gt;VAL_DATE)=0,"",'Dvd Calendar'!$V$1821*1000000000+ISNUMBER('Dvd Calendar'!$V$1822)*100000000+0*10000000+(N('Dvd Calendar'!$V$1820)&gt;0)*(N('Dvd Calendar'!$V$1820)&lt;=VAL_SERIAL)*1000000+24*1000+58))</f>
        <v/>
      </c>
      <c r="GK183" s="39">
        <f>IF(N('Dvd Calendar'!$W$1821)=0,"",IF(('Dvd Calendar'!$W$1821&gt;=GRID_FROM)*('Dvd Calendar'!$W$1821&lt;=GRID_TO)*('Dvd Calendar'!$W$1821&gt;VAL_DATE)=0,"",'Dvd Calendar'!$W$1821*1000000000+ISNUMBER('Dvd Calendar'!$W$1822)*100000000+0*10000000+(N('Dvd Calendar'!$W$1820)&gt;0)*(N('Dvd Calendar'!$W$1820)&lt;=VAL_SERIAL)*1000000+24*1000+59))</f>
        <v/>
      </c>
      <c r="GL183" s="39">
        <f>IF(N('Dvd Calendar'!$X$1821)=0,"",IF(('Dvd Calendar'!$X$1821&gt;=GRID_FROM)*('Dvd Calendar'!$X$1821&lt;=GRID_TO)*('Dvd Calendar'!$X$1821&gt;VAL_DATE)=0,"",'Dvd Calendar'!$X$1821*1000000000+ISNUMBER('Dvd Calendar'!$X$1822)*100000000+0*10000000+(N('Dvd Calendar'!$X$1820)&gt;0)*(N('Dvd Calendar'!$X$1820)&lt;=VAL_SERIAL)*1000000+24*1000+60))</f>
        <v/>
      </c>
      <c r="GM183" s="39">
        <f>IF(N('Dvd Calendar'!$Y$1821)=0,"",IF(('Dvd Calendar'!$Y$1821&gt;=GRID_FROM)*('Dvd Calendar'!$Y$1821&lt;=GRID_TO)*('Dvd Calendar'!$Y$1821&gt;VAL_DATE)=0,"",'Dvd Calendar'!$Y$1821*1000000000+ISNUMBER('Dvd Calendar'!$Y$1822)*100000000+0*10000000+(N('Dvd Calendar'!$Y$1820)&gt;0)*(N('Dvd Calendar'!$Y$1820)&lt;=VAL_SERIAL)*1000000+24*1000+61))</f>
        <v/>
      </c>
      <c r="GN183" s="39">
        <f>IF(N('Dvd Calendar'!$Z$1821)=0,"",IF(('Dvd Calendar'!$Z$1821&gt;=GRID_FROM)*('Dvd Calendar'!$Z$1821&lt;=GRID_TO)*('Dvd Calendar'!$Z$1821&gt;VAL_DATE)=0,"",'Dvd Calendar'!$Z$1821*1000000000+ISNUMBER('Dvd Calendar'!$Z$1822)*100000000+0*10000000+(N('Dvd Calendar'!$Z$1820)&gt;0)*(N('Dvd Calendar'!$Z$1820)&lt;=VAL_SERIAL)*1000000+24*1000+62))</f>
        <v/>
      </c>
      <c r="GO183" s="39">
        <f>IF(N('Dvd Calendar'!$AA$1821)=0,"",IF(('Dvd Calendar'!$AA$1821&gt;=GRID_FROM)*('Dvd Calendar'!$AA$1821&lt;=GRID_TO)*('Dvd Calendar'!$AA$1821&gt;VAL_DATE)=0,"",'Dvd Calendar'!$AA$1821*1000000000+ISNUMBER('Dvd Calendar'!$AA$1822)*100000000+0*10000000+(N('Dvd Calendar'!$AA$1820)&gt;0)*(N('Dvd Calendar'!$AA$1820)&lt;=VAL_SERIAL)*1000000+24*1000+63))</f>
        <v/>
      </c>
      <c r="GP183" s="39">
        <f>IF(N('Dvd Calendar'!$AB$1821)=0,"",IF(('Dvd Calendar'!$AB$1821&gt;=GRID_FROM)*('Dvd Calendar'!$AB$1821&lt;=GRID_TO)*('Dvd Calendar'!$AB$1821&gt;VAL_DATE)=0,"",'Dvd Calendar'!$AB$1821*1000000000+ISNUMBER('Dvd Calendar'!$AB$1822)*100000000+0*10000000+(N('Dvd Calendar'!$AB$1820)&gt;0)*(N('Dvd Calendar'!$AB$1820)&lt;=VAL_SERIAL)*1000000+24*1000+64))</f>
        <v/>
      </c>
      <c r="GQ183" s="39">
        <f>IF(N('Dvd Calendar'!$AC$1821)=0,"",IF(('Dvd Calendar'!$AC$1821&gt;=GRID_FROM)*('Dvd Calendar'!$AC$1821&lt;=GRID_TO)*('Dvd Calendar'!$AC$1821&gt;VAL_DATE)=0,"",'Dvd Calendar'!$AC$1821*1000000000+ISNUMBER('Dvd Calendar'!$AC$1822)*100000000+0*10000000+(N('Dvd Calendar'!$AC$1820)&gt;0)*(N('Dvd Calendar'!$AC$1820)&lt;=VAL_SERIAL)*1000000+24*1000+65))</f>
        <v/>
      </c>
    </row>
    <row r="184">
      <c r="B184" s="2">
        <f>IF(HSCEI!$C$31="","",HSCEI!$C$31)</f>
        <v/>
      </c>
      <c r="C184" s="110">
        <f>IF(EE184="","",IF(ISNUMBER('Dvd Calendar'!$E$1828)=FALSE,"",IF((('Dvd Calendar'!$E$1830=TYPE1)*(TYPE1&lt;&gt;"")+('Dvd Calendar'!$E$1830=TYPE2)*(TYPE2&lt;&gt;"")+('Dvd Calendar'!$E$1830=TYPE3)*(TYPE3&lt;&gt;"")+('Dvd Calendar'!$E$1830=TYPE4)*(TYPE4&lt;&gt;"")+('Dvd Calendar'!$E$1830=SPECIAL_LBL)*(INC_SPECIALS="Y"))=0,"",'Dvd Calendar'!$E$1828)))</f>
        <v/>
      </c>
      <c r="D184" s="110">
        <f>IF(EF184="","",IF(ISNUMBER('Dvd Calendar'!$F$1828)=FALSE,"",IF((('Dvd Calendar'!$F$1830=TYPE1)*(TYPE1&lt;&gt;"")+('Dvd Calendar'!$F$1830=TYPE2)*(TYPE2&lt;&gt;"")+('Dvd Calendar'!$F$1830=TYPE3)*(TYPE3&lt;&gt;"")+('Dvd Calendar'!$F$1830=TYPE4)*(TYPE4&lt;&gt;"")+('Dvd Calendar'!$F$1830=SPECIAL_LBL)*(INC_SPECIALS="Y"))=0,"",'Dvd Calendar'!$F$1828)))</f>
        <v/>
      </c>
      <c r="E184" s="110">
        <f>IF(EG184="","",IF(ISNUMBER('Dvd Calendar'!$G$1828)=FALSE,"",IF((('Dvd Calendar'!$G$1830=TYPE1)*(TYPE1&lt;&gt;"")+('Dvd Calendar'!$G$1830=TYPE2)*(TYPE2&lt;&gt;"")+('Dvd Calendar'!$G$1830=TYPE3)*(TYPE3&lt;&gt;"")+('Dvd Calendar'!$G$1830=TYPE4)*(TYPE4&lt;&gt;"")+('Dvd Calendar'!$G$1830=SPECIAL_LBL)*(INC_SPECIALS="Y"))=0,"",'Dvd Calendar'!$G$1828)))</f>
        <v/>
      </c>
      <c r="F184" s="110">
        <f>IF(EH184="","",IF(ISNUMBER('Dvd Calendar'!$H$1828)=FALSE,"",IF((('Dvd Calendar'!$H$1830=TYPE1)*(TYPE1&lt;&gt;"")+('Dvd Calendar'!$H$1830=TYPE2)*(TYPE2&lt;&gt;"")+('Dvd Calendar'!$H$1830=TYPE3)*(TYPE3&lt;&gt;"")+('Dvd Calendar'!$H$1830=TYPE4)*(TYPE4&lt;&gt;"")+('Dvd Calendar'!$H$1830=SPECIAL_LBL)*(INC_SPECIALS="Y"))=0,"",'Dvd Calendar'!$H$1828)))</f>
        <v/>
      </c>
      <c r="G184" s="110">
        <f>IF(EI184="","",IF(ISNUMBER('Dvd Calendar'!$I$1828)=FALSE,"",IF((('Dvd Calendar'!$I$1830=TYPE1)*(TYPE1&lt;&gt;"")+('Dvd Calendar'!$I$1830=TYPE2)*(TYPE2&lt;&gt;"")+('Dvd Calendar'!$I$1830=TYPE3)*(TYPE3&lt;&gt;"")+('Dvd Calendar'!$I$1830=TYPE4)*(TYPE4&lt;&gt;"")+('Dvd Calendar'!$I$1830=SPECIAL_LBL)*(INC_SPECIALS="Y"))=0,"",'Dvd Calendar'!$I$1828)))</f>
        <v/>
      </c>
      <c r="H184" s="110">
        <f>IF(EJ184="","",IF(ISNUMBER('Dvd Calendar'!$J$1828)=FALSE,"",IF((('Dvd Calendar'!$J$1830=TYPE1)*(TYPE1&lt;&gt;"")+('Dvd Calendar'!$J$1830=TYPE2)*(TYPE2&lt;&gt;"")+('Dvd Calendar'!$J$1830=TYPE3)*(TYPE3&lt;&gt;"")+('Dvd Calendar'!$J$1830=TYPE4)*(TYPE4&lt;&gt;"")+('Dvd Calendar'!$J$1830=SPECIAL_LBL)*(INC_SPECIALS="Y"))=0,"",'Dvd Calendar'!$J$1828)))</f>
        <v/>
      </c>
      <c r="I184" s="110">
        <f>IF(EK184="","",IF(ISNUMBER('Dvd Calendar'!$K$1828)=FALSE,"",IF((('Dvd Calendar'!$K$1830=TYPE1)*(TYPE1&lt;&gt;"")+('Dvd Calendar'!$K$1830=TYPE2)*(TYPE2&lt;&gt;"")+('Dvd Calendar'!$K$1830=TYPE3)*(TYPE3&lt;&gt;"")+('Dvd Calendar'!$K$1830=TYPE4)*(TYPE4&lt;&gt;"")+('Dvd Calendar'!$K$1830=SPECIAL_LBL)*(INC_SPECIALS="Y"))=0,"",'Dvd Calendar'!$K$1828)))</f>
        <v/>
      </c>
      <c r="J184" s="110">
        <f>IF(EL184="","",IF(ISNUMBER('Dvd Calendar'!$L$1828)=FALSE,"",IF((('Dvd Calendar'!$L$1830=TYPE1)*(TYPE1&lt;&gt;"")+('Dvd Calendar'!$L$1830=TYPE2)*(TYPE2&lt;&gt;"")+('Dvd Calendar'!$L$1830=TYPE3)*(TYPE3&lt;&gt;"")+('Dvd Calendar'!$L$1830=TYPE4)*(TYPE4&lt;&gt;"")+('Dvd Calendar'!$L$1830=SPECIAL_LBL)*(INC_SPECIALS="Y"))=0,"",'Dvd Calendar'!$L$1828)))</f>
        <v/>
      </c>
      <c r="K184" s="110">
        <f>IF(EM184="","",IF(ISNUMBER('Dvd Calendar'!$M$1828)=FALSE,"",IF((('Dvd Calendar'!$M$1830=TYPE1)*(TYPE1&lt;&gt;"")+('Dvd Calendar'!$M$1830=TYPE2)*(TYPE2&lt;&gt;"")+('Dvd Calendar'!$M$1830=TYPE3)*(TYPE3&lt;&gt;"")+('Dvd Calendar'!$M$1830=TYPE4)*(TYPE4&lt;&gt;"")+('Dvd Calendar'!$M$1830=SPECIAL_LBL)*(INC_SPECIALS="Y"))=0,"",'Dvd Calendar'!$M$1828)))</f>
        <v/>
      </c>
      <c r="L184" s="110">
        <f>IF(EN184="","",IF(ISNUMBER('Dvd Calendar'!$N$1828)=FALSE,"",IF((('Dvd Calendar'!$N$1830=TYPE1)*(TYPE1&lt;&gt;"")+('Dvd Calendar'!$N$1830=TYPE2)*(TYPE2&lt;&gt;"")+('Dvd Calendar'!$N$1830=TYPE3)*(TYPE3&lt;&gt;"")+('Dvd Calendar'!$N$1830=TYPE4)*(TYPE4&lt;&gt;"")+('Dvd Calendar'!$N$1830=SPECIAL_LBL)*(INC_SPECIALS="Y"))=0,"",'Dvd Calendar'!$N$1828)))</f>
        <v/>
      </c>
      <c r="M184" s="110">
        <f>IF(EO184="","",IF(ISNUMBER('Dvd Calendar'!$O$1828)=FALSE,"",IF((('Dvd Calendar'!$O$1830=TYPE1)*(TYPE1&lt;&gt;"")+('Dvd Calendar'!$O$1830=TYPE2)*(TYPE2&lt;&gt;"")+('Dvd Calendar'!$O$1830=TYPE3)*(TYPE3&lt;&gt;"")+('Dvd Calendar'!$O$1830=TYPE4)*(TYPE4&lt;&gt;"")+('Dvd Calendar'!$O$1830=SPECIAL_LBL)*(INC_SPECIALS="Y"))=0,"",'Dvd Calendar'!$O$1828)))</f>
        <v/>
      </c>
      <c r="N184" s="110">
        <f>IF(EP184="","",IF(ISNUMBER('Dvd Calendar'!$P$1828)=FALSE,"",IF((('Dvd Calendar'!$P$1830=TYPE1)*(TYPE1&lt;&gt;"")+('Dvd Calendar'!$P$1830=TYPE2)*(TYPE2&lt;&gt;"")+('Dvd Calendar'!$P$1830=TYPE3)*(TYPE3&lt;&gt;"")+('Dvd Calendar'!$P$1830=TYPE4)*(TYPE4&lt;&gt;"")+('Dvd Calendar'!$P$1830=SPECIAL_LBL)*(INC_SPECIALS="Y"))=0,"",'Dvd Calendar'!$P$1828)))</f>
        <v/>
      </c>
      <c r="O184" s="110">
        <f>IF(EQ184="","",IF(ISNUMBER('Dvd Calendar'!$Q$1828)=FALSE,"",IF((('Dvd Calendar'!$Q$1830=TYPE1)*(TYPE1&lt;&gt;"")+('Dvd Calendar'!$Q$1830=TYPE2)*(TYPE2&lt;&gt;"")+('Dvd Calendar'!$Q$1830=TYPE3)*(TYPE3&lt;&gt;"")+('Dvd Calendar'!$Q$1830=TYPE4)*(TYPE4&lt;&gt;"")+('Dvd Calendar'!$Q$1830=SPECIAL_LBL)*(INC_SPECIALS="Y"))=0,"",'Dvd Calendar'!$Q$1828)))</f>
        <v/>
      </c>
      <c r="P184" s="110">
        <f>IF(ER184="","",IF(ISNUMBER('Dvd Calendar'!$R$1828)=FALSE,"",IF((('Dvd Calendar'!$R$1830=TYPE1)*(TYPE1&lt;&gt;"")+('Dvd Calendar'!$R$1830=TYPE2)*(TYPE2&lt;&gt;"")+('Dvd Calendar'!$R$1830=TYPE3)*(TYPE3&lt;&gt;"")+('Dvd Calendar'!$R$1830=TYPE4)*(TYPE4&lt;&gt;"")+('Dvd Calendar'!$R$1830=SPECIAL_LBL)*(INC_SPECIALS="Y"))=0,"",'Dvd Calendar'!$R$1828)))</f>
        <v/>
      </c>
      <c r="Q184" s="110">
        <f>IF(ES184="","",IF(ISNUMBER('Dvd Calendar'!$S$1828)=FALSE,"",IF((('Dvd Calendar'!$S$1830=TYPE1)*(TYPE1&lt;&gt;"")+('Dvd Calendar'!$S$1830=TYPE2)*(TYPE2&lt;&gt;"")+('Dvd Calendar'!$S$1830=TYPE3)*(TYPE3&lt;&gt;"")+('Dvd Calendar'!$S$1830=TYPE4)*(TYPE4&lt;&gt;"")+('Dvd Calendar'!$S$1830=SPECIAL_LBL)*(INC_SPECIALS="Y"))=0,"",'Dvd Calendar'!$S$1828)))</f>
        <v/>
      </c>
      <c r="R184" s="110">
        <f>IF(ET184="","",IF(ISNUMBER('Dvd Calendar'!$T$1828)=FALSE,"",IF((('Dvd Calendar'!$T$1830=TYPE1)*(TYPE1&lt;&gt;"")+('Dvd Calendar'!$T$1830=TYPE2)*(TYPE2&lt;&gt;"")+('Dvd Calendar'!$T$1830=TYPE3)*(TYPE3&lt;&gt;"")+('Dvd Calendar'!$T$1830=TYPE4)*(TYPE4&lt;&gt;"")+('Dvd Calendar'!$T$1830=SPECIAL_LBL)*(INC_SPECIALS="Y"))=0,"",'Dvd Calendar'!$T$1828)))</f>
        <v/>
      </c>
      <c r="S184" s="110">
        <f>IF(EU184="","",IF(ISNUMBER('Dvd Calendar'!$U$1828)=FALSE,"",IF((('Dvd Calendar'!$U$1830=TYPE1)*(TYPE1&lt;&gt;"")+('Dvd Calendar'!$U$1830=TYPE2)*(TYPE2&lt;&gt;"")+('Dvd Calendar'!$U$1830=TYPE3)*(TYPE3&lt;&gt;"")+('Dvd Calendar'!$U$1830=TYPE4)*(TYPE4&lt;&gt;"")+('Dvd Calendar'!$U$1830=SPECIAL_LBL)*(INC_SPECIALS="Y"))=0,"",'Dvd Calendar'!$U$1828)))</f>
        <v/>
      </c>
      <c r="T184" s="110">
        <f>IF(EV184="","",IF(ISNUMBER('Dvd Calendar'!$V$1828)=FALSE,"",IF((('Dvd Calendar'!$V$1830=TYPE1)*(TYPE1&lt;&gt;"")+('Dvd Calendar'!$V$1830=TYPE2)*(TYPE2&lt;&gt;"")+('Dvd Calendar'!$V$1830=TYPE3)*(TYPE3&lt;&gt;"")+('Dvd Calendar'!$V$1830=TYPE4)*(TYPE4&lt;&gt;"")+('Dvd Calendar'!$V$1830=SPECIAL_LBL)*(INC_SPECIALS="Y"))=0,"",'Dvd Calendar'!$V$1828)))</f>
        <v/>
      </c>
      <c r="U184" s="110">
        <f>IF(EW184="","",IF(ISNUMBER('Dvd Calendar'!$W$1828)=FALSE,"",IF((('Dvd Calendar'!$W$1830=TYPE1)*(TYPE1&lt;&gt;"")+('Dvd Calendar'!$W$1830=TYPE2)*(TYPE2&lt;&gt;"")+('Dvd Calendar'!$W$1830=TYPE3)*(TYPE3&lt;&gt;"")+('Dvd Calendar'!$W$1830=TYPE4)*(TYPE4&lt;&gt;"")+('Dvd Calendar'!$W$1830=SPECIAL_LBL)*(INC_SPECIALS="Y"))=0,"",'Dvd Calendar'!$W$1828)))</f>
        <v/>
      </c>
      <c r="V184" s="110">
        <f>IF(EX184="","",IF(ISNUMBER('Dvd Calendar'!$X$1828)=FALSE,"",IF((('Dvd Calendar'!$X$1830=TYPE1)*(TYPE1&lt;&gt;"")+('Dvd Calendar'!$X$1830=TYPE2)*(TYPE2&lt;&gt;"")+('Dvd Calendar'!$X$1830=TYPE3)*(TYPE3&lt;&gt;"")+('Dvd Calendar'!$X$1830=TYPE4)*(TYPE4&lt;&gt;"")+('Dvd Calendar'!$X$1830=SPECIAL_LBL)*(INC_SPECIALS="Y"))=0,"",'Dvd Calendar'!$X$1828)))</f>
        <v/>
      </c>
      <c r="W184" s="110">
        <f>IF(EY184="","",IF(ISNUMBER('Dvd Calendar'!$Y$1828)=FALSE,"",IF((('Dvd Calendar'!$Y$1830=TYPE1)*(TYPE1&lt;&gt;"")+('Dvd Calendar'!$Y$1830=TYPE2)*(TYPE2&lt;&gt;"")+('Dvd Calendar'!$Y$1830=TYPE3)*(TYPE3&lt;&gt;"")+('Dvd Calendar'!$Y$1830=TYPE4)*(TYPE4&lt;&gt;"")+('Dvd Calendar'!$Y$1830=SPECIAL_LBL)*(INC_SPECIALS="Y"))=0,"",'Dvd Calendar'!$Y$1828)))</f>
        <v/>
      </c>
      <c r="X184" s="110">
        <f>IF(EZ184="","",IF(ISNUMBER('Dvd Calendar'!$Z$1828)=FALSE,"",IF((('Dvd Calendar'!$Z$1830=TYPE1)*(TYPE1&lt;&gt;"")+('Dvd Calendar'!$Z$1830=TYPE2)*(TYPE2&lt;&gt;"")+('Dvd Calendar'!$Z$1830=TYPE3)*(TYPE3&lt;&gt;"")+('Dvd Calendar'!$Z$1830=TYPE4)*(TYPE4&lt;&gt;"")+('Dvd Calendar'!$Z$1830=SPECIAL_LBL)*(INC_SPECIALS="Y"))=0,"",'Dvd Calendar'!$Z$1828)))</f>
        <v/>
      </c>
      <c r="Y184" s="110">
        <f>IF(FA184="","",IF(ISNUMBER('Dvd Calendar'!$AA$1828)=FALSE,"",IF((('Dvd Calendar'!$AA$1830=TYPE1)*(TYPE1&lt;&gt;"")+('Dvd Calendar'!$AA$1830=TYPE2)*(TYPE2&lt;&gt;"")+('Dvd Calendar'!$AA$1830=TYPE3)*(TYPE3&lt;&gt;"")+('Dvd Calendar'!$AA$1830=TYPE4)*(TYPE4&lt;&gt;"")+('Dvd Calendar'!$AA$1830=SPECIAL_LBL)*(INC_SPECIALS="Y"))=0,"",'Dvd Calendar'!$AA$1828)))</f>
        <v/>
      </c>
      <c r="Z184" s="110">
        <f>IF(FB184="","",IF(ISNUMBER('Dvd Calendar'!$AB$1828)=FALSE,"",IF((('Dvd Calendar'!$AB$1830=TYPE1)*(TYPE1&lt;&gt;"")+('Dvd Calendar'!$AB$1830=TYPE2)*(TYPE2&lt;&gt;"")+('Dvd Calendar'!$AB$1830=TYPE3)*(TYPE3&lt;&gt;"")+('Dvd Calendar'!$AB$1830=TYPE4)*(TYPE4&lt;&gt;"")+('Dvd Calendar'!$AB$1830=SPECIAL_LBL)*(INC_SPECIALS="Y"))=0,"",'Dvd Calendar'!$AB$1828)))</f>
        <v/>
      </c>
      <c r="AA184" s="110">
        <f>IF(FC184="","",IF(ISNUMBER('Dvd Calendar'!$AC$1828)=FALSE,"",IF((('Dvd Calendar'!$AC$1830=TYPE1)*(TYPE1&lt;&gt;"")+('Dvd Calendar'!$AC$1830=TYPE2)*(TYPE2&lt;&gt;"")+('Dvd Calendar'!$AC$1830=TYPE3)*(TYPE3&lt;&gt;"")+('Dvd Calendar'!$AC$1830=TYPE4)*(TYPE4&lt;&gt;"")+('Dvd Calendar'!$AC$1830=SPECIAL_LBL)*(INC_SPECIALS="Y"))=0,"",'Dvd Calendar'!$AC$1828)))</f>
        <v/>
      </c>
      <c r="AB184" s="110">
        <f>IF(FD184="","",IF(ISNUMBER('Dvd Calendar'!$AD$1828)=FALSE,"",IF((('Dvd Calendar'!$AD$1830=TYPE1)*(TYPE1&lt;&gt;"")+('Dvd Calendar'!$AD$1830=TYPE2)*(TYPE2&lt;&gt;"")+('Dvd Calendar'!$AD$1830=TYPE3)*(TYPE3&lt;&gt;"")+('Dvd Calendar'!$AD$1830=TYPE4)*(TYPE4&lt;&gt;"")+('Dvd Calendar'!$AD$1830=SPECIAL_LBL)*(INC_SPECIALS="Y"))=0,"",'Dvd Calendar'!$AD$1828)))</f>
        <v/>
      </c>
      <c r="AC184" s="110">
        <f>IF(FE184="","",IF(ISNUMBER('Dvd Calendar'!$AE$1828)=FALSE,"",IF((('Dvd Calendar'!$AE$1830=TYPE1)*(TYPE1&lt;&gt;"")+('Dvd Calendar'!$AE$1830=TYPE2)*(TYPE2&lt;&gt;"")+('Dvd Calendar'!$AE$1830=TYPE3)*(TYPE3&lt;&gt;"")+('Dvd Calendar'!$AE$1830=TYPE4)*(TYPE4&lt;&gt;"")+('Dvd Calendar'!$AE$1830=SPECIAL_LBL)*(INC_SPECIALS="Y"))=0,"",'Dvd Calendar'!$AE$1828)))</f>
        <v/>
      </c>
      <c r="AD184" s="110">
        <f>IF(FF184="","",IF(ISNUMBER('Dvd Calendar'!$AF$1828)=FALSE,"",IF((('Dvd Calendar'!$AF$1830=TYPE1)*(TYPE1&lt;&gt;"")+('Dvd Calendar'!$AF$1830=TYPE2)*(TYPE2&lt;&gt;"")+('Dvd Calendar'!$AF$1830=TYPE3)*(TYPE3&lt;&gt;"")+('Dvd Calendar'!$AF$1830=TYPE4)*(TYPE4&lt;&gt;"")+('Dvd Calendar'!$AF$1830=SPECIAL_LBL)*(INC_SPECIALS="Y"))=0,"",'Dvd Calendar'!$AF$1828)))</f>
        <v/>
      </c>
      <c r="AE184" s="110">
        <f>IF(FG184="","",IF(ISNUMBER('Dvd Calendar'!$AG$1828)=FALSE,"",IF((('Dvd Calendar'!$AG$1830=TYPE1)*(TYPE1&lt;&gt;"")+('Dvd Calendar'!$AG$1830=TYPE2)*(TYPE2&lt;&gt;"")+('Dvd Calendar'!$AG$1830=TYPE3)*(TYPE3&lt;&gt;"")+('Dvd Calendar'!$AG$1830=TYPE4)*(TYPE4&lt;&gt;"")+('Dvd Calendar'!$AG$1830=SPECIAL_LBL)*(INC_SPECIALS="Y"))=0,"",'Dvd Calendar'!$AG$1828)))</f>
        <v/>
      </c>
      <c r="AF184" s="110">
        <f>IF(FH184="","",IF(ISNUMBER('Dvd Calendar'!$AH$1828)=FALSE,"",IF((('Dvd Calendar'!$AH$1830=TYPE1)*(TYPE1&lt;&gt;"")+('Dvd Calendar'!$AH$1830=TYPE2)*(TYPE2&lt;&gt;"")+('Dvd Calendar'!$AH$1830=TYPE3)*(TYPE3&lt;&gt;"")+('Dvd Calendar'!$AH$1830=TYPE4)*(TYPE4&lt;&gt;"")+('Dvd Calendar'!$AH$1830=SPECIAL_LBL)*(INC_SPECIALS="Y"))=0,"",'Dvd Calendar'!$AH$1828)))</f>
        <v/>
      </c>
      <c r="AG184" s="110">
        <f>IF(FI184="","",IF(ISNUMBER('Dvd Calendar'!$AI$1828)=FALSE,"",IF((('Dvd Calendar'!$AI$1830=TYPE1)*(TYPE1&lt;&gt;"")+('Dvd Calendar'!$AI$1830=TYPE2)*(TYPE2&lt;&gt;"")+('Dvd Calendar'!$AI$1830=TYPE3)*(TYPE3&lt;&gt;"")+('Dvd Calendar'!$AI$1830=TYPE4)*(TYPE4&lt;&gt;"")+('Dvd Calendar'!$AI$1830=SPECIAL_LBL)*(INC_SPECIALS="Y"))=0,"",'Dvd Calendar'!$AI$1828)))</f>
        <v/>
      </c>
      <c r="AH184" s="110">
        <f>IF(FJ184="","",IF(ISNUMBER('Dvd Calendar'!$AJ$1828)=FALSE,"",IF((('Dvd Calendar'!$AJ$1830=TYPE1)*(TYPE1&lt;&gt;"")+('Dvd Calendar'!$AJ$1830=TYPE2)*(TYPE2&lt;&gt;"")+('Dvd Calendar'!$AJ$1830=TYPE3)*(TYPE3&lt;&gt;"")+('Dvd Calendar'!$AJ$1830=TYPE4)*(TYPE4&lt;&gt;"")+('Dvd Calendar'!$AJ$1830=SPECIAL_LBL)*(INC_SPECIALS="Y"))=0,"",'Dvd Calendar'!$AJ$1828)))</f>
        <v/>
      </c>
      <c r="AI184" s="110">
        <f>IF(FK184="","",IF(ISNUMBER('Dvd Calendar'!$AK$1828)=FALSE,"",IF((('Dvd Calendar'!$AK$1830=TYPE1)*(TYPE1&lt;&gt;"")+('Dvd Calendar'!$AK$1830=TYPE2)*(TYPE2&lt;&gt;"")+('Dvd Calendar'!$AK$1830=TYPE3)*(TYPE3&lt;&gt;"")+('Dvd Calendar'!$AK$1830=TYPE4)*(TYPE4&lt;&gt;"")+('Dvd Calendar'!$AK$1830=SPECIAL_LBL)*(INC_SPECIALS="Y"))=0,"",'Dvd Calendar'!$AK$1828)))</f>
        <v/>
      </c>
      <c r="AJ184" s="110">
        <f>IF(FL184="","",IF(ISNUMBER('Dvd Calendar'!$AL$1828)=FALSE,"",IF((('Dvd Calendar'!$AL$1830=TYPE1)*(TYPE1&lt;&gt;"")+('Dvd Calendar'!$AL$1830=TYPE2)*(TYPE2&lt;&gt;"")+('Dvd Calendar'!$AL$1830=TYPE3)*(TYPE3&lt;&gt;"")+('Dvd Calendar'!$AL$1830=TYPE4)*(TYPE4&lt;&gt;"")+('Dvd Calendar'!$AL$1830=SPECIAL_LBL)*(INC_SPECIALS="Y"))=0,"",'Dvd Calendar'!$AL$1828)))</f>
        <v/>
      </c>
      <c r="AK184" s="110">
        <f>IF(FM184="","",IF(ISNUMBER('Dvd Calendar'!$AM$1828)=FALSE,"",IF((('Dvd Calendar'!$AM$1830=TYPE1)*(TYPE1&lt;&gt;"")+('Dvd Calendar'!$AM$1830=TYPE2)*(TYPE2&lt;&gt;"")+('Dvd Calendar'!$AM$1830=TYPE3)*(TYPE3&lt;&gt;"")+('Dvd Calendar'!$AM$1830=TYPE4)*(TYPE4&lt;&gt;"")+('Dvd Calendar'!$AM$1830=SPECIAL_LBL)*(INC_SPECIALS="Y"))=0,"",'Dvd Calendar'!$AM$1828)))</f>
        <v/>
      </c>
      <c r="AL184" s="110">
        <f>IF(FN184="","",IF(ISNUMBER('Dvd Calendar'!$AN$1828)=FALSE,"",IF((('Dvd Calendar'!$AN$1830=TYPE1)*(TYPE1&lt;&gt;"")+('Dvd Calendar'!$AN$1830=TYPE2)*(TYPE2&lt;&gt;"")+('Dvd Calendar'!$AN$1830=TYPE3)*(TYPE3&lt;&gt;"")+('Dvd Calendar'!$AN$1830=TYPE4)*(TYPE4&lt;&gt;"")+('Dvd Calendar'!$AN$1830=SPECIAL_LBL)*(INC_SPECIALS="Y"))=0,"",'Dvd Calendar'!$AN$1828)))</f>
        <v/>
      </c>
      <c r="AM184" s="110">
        <f>IF(FO184="","",IF(ISNUMBER('Dvd Calendar'!$AO$1828)=FALSE,"",IF((('Dvd Calendar'!$AO$1830=TYPE1)*(TYPE1&lt;&gt;"")+('Dvd Calendar'!$AO$1830=TYPE2)*(TYPE2&lt;&gt;"")+('Dvd Calendar'!$AO$1830=TYPE3)*(TYPE3&lt;&gt;"")+('Dvd Calendar'!$AO$1830=TYPE4)*(TYPE4&lt;&gt;"")+('Dvd Calendar'!$AO$1830=SPECIAL_LBL)*(INC_SPECIALS="Y"))=0,"",'Dvd Calendar'!$AO$1828)))</f>
        <v/>
      </c>
      <c r="AN184" s="110">
        <f>IF(FP184="","",IF(ISNUMBER('Dvd Calendar'!$AP$1828)=FALSE,"",IF((('Dvd Calendar'!$AP$1830=TYPE1)*(TYPE1&lt;&gt;"")+('Dvd Calendar'!$AP$1830=TYPE2)*(TYPE2&lt;&gt;"")+('Dvd Calendar'!$AP$1830=TYPE3)*(TYPE3&lt;&gt;"")+('Dvd Calendar'!$AP$1830=TYPE4)*(TYPE4&lt;&gt;"")+('Dvd Calendar'!$AP$1830=SPECIAL_LBL)*(INC_SPECIALS="Y"))=0,"",'Dvd Calendar'!$AP$1828)))</f>
        <v/>
      </c>
      <c r="AO184" s="110">
        <f>IF(FQ184="","",IF(ISNUMBER('Dvd Calendar'!$AQ$1828)=FALSE,"",IF((('Dvd Calendar'!$AQ$1830=TYPE1)*(TYPE1&lt;&gt;"")+('Dvd Calendar'!$AQ$1830=TYPE2)*(TYPE2&lt;&gt;"")+('Dvd Calendar'!$AQ$1830=TYPE3)*(TYPE3&lt;&gt;"")+('Dvd Calendar'!$AQ$1830=TYPE4)*(TYPE4&lt;&gt;"")+('Dvd Calendar'!$AQ$1830=SPECIAL_LBL)*(INC_SPECIALS="Y"))=0,"",'Dvd Calendar'!$AQ$1828)))</f>
        <v/>
      </c>
      <c r="AP184" s="110">
        <f>IF(FR184="","",IF(ISNUMBER('Dvd Calendar'!$AR$1828)=FALSE,"",IF((('Dvd Calendar'!$AR$1830=TYPE1)*(TYPE1&lt;&gt;"")+('Dvd Calendar'!$AR$1830=TYPE2)*(TYPE2&lt;&gt;"")+('Dvd Calendar'!$AR$1830=TYPE3)*(TYPE3&lt;&gt;"")+('Dvd Calendar'!$AR$1830=TYPE4)*(TYPE4&lt;&gt;"")+('Dvd Calendar'!$AR$1830=SPECIAL_LBL)*(INC_SPECIALS="Y"))=0,"",'Dvd Calendar'!$AR$1828)))</f>
        <v/>
      </c>
      <c r="AQ184" s="110">
        <f>IF(FS184="","",IF(ISNUMBER('Dvd Calendar'!$E$1833)=FALSE,"",'Dvd Calendar'!$E$1833))</f>
        <v/>
      </c>
      <c r="AR184" s="110">
        <f>IF(FT184="","",IF(ISNUMBER('Dvd Calendar'!$F$1833)=FALSE,"",'Dvd Calendar'!$F$1833))</f>
        <v/>
      </c>
      <c r="AS184" s="110">
        <f>IF(FU184="","",IF(ISNUMBER('Dvd Calendar'!$G$1833)=FALSE,"",'Dvd Calendar'!$G$1833))</f>
        <v/>
      </c>
      <c r="AT184" s="110">
        <f>IF(FV184="","",IF(ISNUMBER('Dvd Calendar'!$H$1833)=FALSE,"",'Dvd Calendar'!$H$1833))</f>
        <v/>
      </c>
      <c r="AU184" s="110">
        <f>IF(FW184="","",IF(ISNUMBER('Dvd Calendar'!$I$1833)=FALSE,"",'Dvd Calendar'!$I$1833))</f>
        <v/>
      </c>
      <c r="AV184" s="110">
        <f>IF(FX184="","",IF(ISNUMBER('Dvd Calendar'!$J$1833)=FALSE,"",'Dvd Calendar'!$J$1833))</f>
        <v/>
      </c>
      <c r="AW184" s="110">
        <f>IF(FY184="","",IF(ISNUMBER('Dvd Calendar'!$K$1833)=FALSE,"",'Dvd Calendar'!$K$1833))</f>
        <v/>
      </c>
      <c r="AX184" s="110">
        <f>IF(FZ184="","",IF(ISNUMBER('Dvd Calendar'!$L$1833)=FALSE,"",'Dvd Calendar'!$L$1833))</f>
        <v/>
      </c>
      <c r="AY184" s="110">
        <f>IF(GA184="","",IF(ISNUMBER('Dvd Calendar'!$M$1833)=FALSE,"",'Dvd Calendar'!$M$1833))</f>
        <v/>
      </c>
      <c r="AZ184" s="110">
        <f>IF(GB184="","",IF(ISNUMBER('Dvd Calendar'!$N$1833)=FALSE,"",'Dvd Calendar'!$N$1833))</f>
        <v/>
      </c>
      <c r="BA184" s="110">
        <f>IF(GC184="","",IF(ISNUMBER('Dvd Calendar'!$O$1833)=FALSE,"",'Dvd Calendar'!$O$1833))</f>
        <v/>
      </c>
      <c r="BB184" s="110">
        <f>IF(GD184="","",IF(ISNUMBER('Dvd Calendar'!$P$1833)=FALSE,"",'Dvd Calendar'!$P$1833))</f>
        <v/>
      </c>
      <c r="BC184" s="110">
        <f>IF(GE184="","",IF(ISNUMBER('Dvd Calendar'!$Q$1833)=FALSE,"",'Dvd Calendar'!$Q$1833))</f>
        <v/>
      </c>
      <c r="BD184" s="110">
        <f>IF(GF184="","",IF(ISNUMBER('Dvd Calendar'!$R$1833)=FALSE,"",'Dvd Calendar'!$R$1833))</f>
        <v/>
      </c>
      <c r="BE184" s="110">
        <f>IF(GG184="","",IF(ISNUMBER('Dvd Calendar'!$S$1833)=FALSE,"",'Dvd Calendar'!$S$1833))</f>
        <v/>
      </c>
      <c r="BF184" s="110">
        <f>IF(GH184="","",IF(ISNUMBER('Dvd Calendar'!$T$1833)=FALSE,"",'Dvd Calendar'!$T$1833))</f>
        <v/>
      </c>
      <c r="BG184" s="110">
        <f>IF(GI184="","",IF(ISNUMBER('Dvd Calendar'!$U$1833)=FALSE,"",'Dvd Calendar'!$U$1833))</f>
        <v/>
      </c>
      <c r="BH184" s="110">
        <f>IF(GJ184="","",IF(ISNUMBER('Dvd Calendar'!$V$1833)=FALSE,"",'Dvd Calendar'!$V$1833))</f>
        <v/>
      </c>
      <c r="BI184" s="110">
        <f>IF(GK184="","",IF(ISNUMBER('Dvd Calendar'!$W$1833)=FALSE,"",'Dvd Calendar'!$W$1833))</f>
        <v/>
      </c>
      <c r="BJ184" s="110">
        <f>IF(GL184="","",IF(ISNUMBER('Dvd Calendar'!$X$1833)=FALSE,"",'Dvd Calendar'!$X$1833))</f>
        <v/>
      </c>
      <c r="BK184" s="110">
        <f>IF(GM184="","",IF(ISNUMBER('Dvd Calendar'!$Y$1833)=FALSE,"",'Dvd Calendar'!$Y$1833))</f>
        <v/>
      </c>
      <c r="BL184" s="110">
        <f>IF(GN184="","",IF(ISNUMBER('Dvd Calendar'!$Z$1833)=FALSE,"",'Dvd Calendar'!$Z$1833))</f>
        <v/>
      </c>
      <c r="BM184" s="110">
        <f>IF(GO184="","",IF(ISNUMBER('Dvd Calendar'!$AA$1833)=FALSE,"",'Dvd Calendar'!$AA$1833))</f>
        <v/>
      </c>
      <c r="BN184" s="110">
        <f>IF(GP184="","",IF(ISNUMBER('Dvd Calendar'!$AB$1833)=FALSE,"",'Dvd Calendar'!$AB$1833))</f>
        <v/>
      </c>
      <c r="BO184" s="110">
        <f>IF(GQ184="","",IF(ISNUMBER('Dvd Calendar'!$AC$1833)=FALSE,"",'Dvd Calendar'!$AC$1833))</f>
        <v/>
      </c>
      <c r="BQ184" s="110">
        <f>IF(C184="","",IFERROR(C184*HSCEI!$B$31*HSCEI!$G$31/HSCEI!$B$3,""))</f>
        <v/>
      </c>
      <c r="BR184" s="110">
        <f>IF(D184="","",IFERROR(D184*HSCEI!$B$31*HSCEI!$G$31/HSCEI!$B$3,""))</f>
        <v/>
      </c>
      <c r="BS184" s="110">
        <f>IF(E184="","",IFERROR(E184*HSCEI!$B$31*HSCEI!$G$31/HSCEI!$B$3,""))</f>
        <v/>
      </c>
      <c r="BT184" s="110">
        <f>IF(F184="","",IFERROR(F184*HSCEI!$B$31*HSCEI!$G$31/HSCEI!$B$3,""))</f>
        <v/>
      </c>
      <c r="BU184" s="110">
        <f>IF(G184="","",IFERROR(G184*HSCEI!$B$31*HSCEI!$G$31/HSCEI!$B$3,""))</f>
        <v/>
      </c>
      <c r="BV184" s="110">
        <f>IF(H184="","",IFERROR(H184*HSCEI!$B$31*HSCEI!$G$31/HSCEI!$B$3,""))</f>
        <v/>
      </c>
      <c r="BW184" s="110">
        <f>IF(I184="","",IFERROR(I184*HSCEI!$B$31*HSCEI!$G$31/HSCEI!$B$3,""))</f>
        <v/>
      </c>
      <c r="BX184" s="110">
        <f>IF(J184="","",IFERROR(J184*HSCEI!$B$31*HSCEI!$G$31/HSCEI!$B$3,""))</f>
        <v/>
      </c>
      <c r="BY184" s="110">
        <f>IF(K184="","",IFERROR(K184*HSCEI!$B$31*HSCEI!$G$31/HSCEI!$B$3,""))</f>
        <v/>
      </c>
      <c r="BZ184" s="110">
        <f>IF(L184="","",IFERROR(L184*HSCEI!$B$31*HSCEI!$G$31/HSCEI!$B$3,""))</f>
        <v/>
      </c>
      <c r="CA184" s="110">
        <f>IF(M184="","",IFERROR(M184*HSCEI!$B$31*HSCEI!$G$31/HSCEI!$B$3,""))</f>
        <v/>
      </c>
      <c r="CB184" s="110">
        <f>IF(N184="","",IFERROR(N184*HSCEI!$B$31*HSCEI!$G$31/HSCEI!$B$3,""))</f>
        <v/>
      </c>
      <c r="CC184" s="110">
        <f>IF(O184="","",IFERROR(O184*HSCEI!$B$31*HSCEI!$G$31/HSCEI!$B$3,""))</f>
        <v/>
      </c>
      <c r="CD184" s="110">
        <f>IF(P184="","",IFERROR(P184*HSCEI!$B$31*HSCEI!$G$31/HSCEI!$B$3,""))</f>
        <v/>
      </c>
      <c r="CE184" s="110">
        <f>IF(Q184="","",IFERROR(Q184*HSCEI!$B$31*HSCEI!$G$31/HSCEI!$B$3,""))</f>
        <v/>
      </c>
      <c r="CF184" s="110">
        <f>IF(R184="","",IFERROR(R184*HSCEI!$B$31*HSCEI!$G$31/HSCEI!$B$3,""))</f>
        <v/>
      </c>
      <c r="CG184" s="110">
        <f>IF(S184="","",IFERROR(S184*HSCEI!$B$31*HSCEI!$G$31/HSCEI!$B$3,""))</f>
        <v/>
      </c>
      <c r="CH184" s="110">
        <f>IF(T184="","",IFERROR(T184*HSCEI!$B$31*HSCEI!$G$31/HSCEI!$B$3,""))</f>
        <v/>
      </c>
      <c r="CI184" s="110">
        <f>IF(U184="","",IFERROR(U184*HSCEI!$B$31*HSCEI!$G$31/HSCEI!$B$3,""))</f>
        <v/>
      </c>
      <c r="CJ184" s="110">
        <f>IF(V184="","",IFERROR(V184*HSCEI!$B$31*HSCEI!$G$31/HSCEI!$B$3,""))</f>
        <v/>
      </c>
      <c r="CK184" s="110">
        <f>IF(W184="","",IFERROR(W184*HSCEI!$B$31*HSCEI!$G$31/HSCEI!$B$3,""))</f>
        <v/>
      </c>
      <c r="CL184" s="110">
        <f>IF(X184="","",IFERROR(X184*HSCEI!$B$31*HSCEI!$G$31/HSCEI!$B$3,""))</f>
        <v/>
      </c>
      <c r="CM184" s="110">
        <f>IF(Y184="","",IFERROR(Y184*HSCEI!$B$31*HSCEI!$G$31/HSCEI!$B$3,""))</f>
        <v/>
      </c>
      <c r="CN184" s="110">
        <f>IF(Z184="","",IFERROR(Z184*HSCEI!$B$31*HSCEI!$G$31/HSCEI!$B$3,""))</f>
        <v/>
      </c>
      <c r="CO184" s="110">
        <f>IF(AA184="","",IFERROR(AA184*HSCEI!$B$31*HSCEI!$G$31/HSCEI!$B$3,""))</f>
        <v/>
      </c>
      <c r="CP184" s="110">
        <f>IF(AB184="","",IFERROR(AB184*HSCEI!$B$31*HSCEI!$G$31/HSCEI!$B$3,""))</f>
        <v/>
      </c>
      <c r="CQ184" s="110">
        <f>IF(AC184="","",IFERROR(AC184*HSCEI!$B$31*HSCEI!$G$31/HSCEI!$B$3,""))</f>
        <v/>
      </c>
      <c r="CR184" s="110">
        <f>IF(AD184="","",IFERROR(AD184*HSCEI!$B$31*HSCEI!$G$31/HSCEI!$B$3,""))</f>
        <v/>
      </c>
      <c r="CS184" s="110">
        <f>IF(AE184="","",IFERROR(AE184*HSCEI!$B$31*HSCEI!$G$31/HSCEI!$B$3,""))</f>
        <v/>
      </c>
      <c r="CT184" s="110">
        <f>IF(AF184="","",IFERROR(AF184*HSCEI!$B$31*HSCEI!$G$31/HSCEI!$B$3,""))</f>
        <v/>
      </c>
      <c r="CU184" s="110">
        <f>IF(AG184="","",IFERROR(AG184*HSCEI!$B$31*HSCEI!$G$31/HSCEI!$B$3,""))</f>
        <v/>
      </c>
      <c r="CV184" s="110">
        <f>IF(AH184="","",IFERROR(AH184*HSCEI!$B$31*HSCEI!$G$31/HSCEI!$B$3,""))</f>
        <v/>
      </c>
      <c r="CW184" s="110">
        <f>IF(AI184="","",IFERROR(AI184*HSCEI!$B$31*HSCEI!$G$31/HSCEI!$B$3,""))</f>
        <v/>
      </c>
      <c r="CX184" s="110">
        <f>IF(AJ184="","",IFERROR(AJ184*HSCEI!$B$31*HSCEI!$G$31/HSCEI!$B$3,""))</f>
        <v/>
      </c>
      <c r="CY184" s="110">
        <f>IF(AK184="","",IFERROR(AK184*HSCEI!$B$31*HSCEI!$G$31/HSCEI!$B$3,""))</f>
        <v/>
      </c>
      <c r="CZ184" s="110">
        <f>IF(AL184="","",IFERROR(AL184*HSCEI!$B$31*HSCEI!$G$31/HSCEI!$B$3,""))</f>
        <v/>
      </c>
      <c r="DA184" s="110">
        <f>IF(AM184="","",IFERROR(AM184*HSCEI!$B$31*HSCEI!$G$31/HSCEI!$B$3,""))</f>
        <v/>
      </c>
      <c r="DB184" s="110">
        <f>IF(AN184="","",IFERROR(AN184*HSCEI!$B$31*HSCEI!$G$31/HSCEI!$B$3,""))</f>
        <v/>
      </c>
      <c r="DC184" s="110">
        <f>IF(AO184="","",IFERROR(AO184*HSCEI!$B$31*HSCEI!$G$31/HSCEI!$B$3,""))</f>
        <v/>
      </c>
      <c r="DD184" s="110">
        <f>IF(AP184="","",IFERROR(AP184*HSCEI!$B$31*HSCEI!$G$31/HSCEI!$B$3,""))</f>
        <v/>
      </c>
      <c r="DE184" s="110">
        <f>IF(AQ184="","",IFERROR(AQ184*HSCEI!$B$31*HSCEI!$G$31/HSCEI!$B$3,""))</f>
        <v/>
      </c>
      <c r="DF184" s="110">
        <f>IF(AR184="","",IFERROR(AR184*HSCEI!$B$31*HSCEI!$G$31/HSCEI!$B$3,""))</f>
        <v/>
      </c>
      <c r="DG184" s="110">
        <f>IF(AS184="","",IFERROR(AS184*HSCEI!$B$31*HSCEI!$G$31/HSCEI!$B$3,""))</f>
        <v/>
      </c>
      <c r="DH184" s="110">
        <f>IF(AT184="","",IFERROR(AT184*HSCEI!$B$31*HSCEI!$G$31/HSCEI!$B$3,""))</f>
        <v/>
      </c>
      <c r="DI184" s="110">
        <f>IF(AU184="","",IFERROR(AU184*HSCEI!$B$31*HSCEI!$G$31/HSCEI!$B$3,""))</f>
        <v/>
      </c>
      <c r="DJ184" s="110">
        <f>IF(AV184="","",IFERROR(AV184*HSCEI!$B$31*HSCEI!$G$31/HSCEI!$B$3,""))</f>
        <v/>
      </c>
      <c r="DK184" s="110">
        <f>IF(AW184="","",IFERROR(AW184*HSCEI!$B$31*HSCEI!$G$31/HSCEI!$B$3,""))</f>
        <v/>
      </c>
      <c r="DL184" s="110">
        <f>IF(AX184="","",IFERROR(AX184*HSCEI!$B$31*HSCEI!$G$31/HSCEI!$B$3,""))</f>
        <v/>
      </c>
      <c r="DM184" s="110">
        <f>IF(AY184="","",IFERROR(AY184*HSCEI!$B$31*HSCEI!$G$31/HSCEI!$B$3,""))</f>
        <v/>
      </c>
      <c r="DN184" s="110">
        <f>IF(AZ184="","",IFERROR(AZ184*HSCEI!$B$31*HSCEI!$G$31/HSCEI!$B$3,""))</f>
        <v/>
      </c>
      <c r="DO184" s="110">
        <f>IF(BA184="","",IFERROR(BA184*HSCEI!$B$31*HSCEI!$G$31/HSCEI!$B$3,""))</f>
        <v/>
      </c>
      <c r="DP184" s="110">
        <f>IF(BB184="","",IFERROR(BB184*HSCEI!$B$31*HSCEI!$G$31/HSCEI!$B$3,""))</f>
        <v/>
      </c>
      <c r="DQ184" s="110">
        <f>IF(BC184="","",IFERROR(BC184*HSCEI!$B$31*HSCEI!$G$31/HSCEI!$B$3,""))</f>
        <v/>
      </c>
      <c r="DR184" s="110">
        <f>IF(BD184="","",IFERROR(BD184*HSCEI!$B$31*HSCEI!$G$31/HSCEI!$B$3,""))</f>
        <v/>
      </c>
      <c r="DS184" s="110">
        <f>IF(BE184="","",IFERROR(BE184*HSCEI!$B$31*HSCEI!$G$31/HSCEI!$B$3,""))</f>
        <v/>
      </c>
      <c r="DT184" s="110">
        <f>IF(BF184="","",IFERROR(BF184*HSCEI!$B$31*HSCEI!$G$31/HSCEI!$B$3,""))</f>
        <v/>
      </c>
      <c r="DU184" s="110">
        <f>IF(BG184="","",IFERROR(BG184*HSCEI!$B$31*HSCEI!$G$31/HSCEI!$B$3,""))</f>
        <v/>
      </c>
      <c r="DV184" s="110">
        <f>IF(BH184="","",IFERROR(BH184*HSCEI!$B$31*HSCEI!$G$31/HSCEI!$B$3,""))</f>
        <v/>
      </c>
      <c r="DW184" s="110">
        <f>IF(BI184="","",IFERROR(BI184*HSCEI!$B$31*HSCEI!$G$31/HSCEI!$B$3,""))</f>
        <v/>
      </c>
      <c r="DX184" s="110">
        <f>IF(BJ184="","",IFERROR(BJ184*HSCEI!$B$31*HSCEI!$G$31/HSCEI!$B$3,""))</f>
        <v/>
      </c>
      <c r="DY184" s="110">
        <f>IF(BK184="","",IFERROR(BK184*HSCEI!$B$31*HSCEI!$G$31/HSCEI!$B$3,""))</f>
        <v/>
      </c>
      <c r="DZ184" s="110">
        <f>IF(BL184="","",IFERROR(BL184*HSCEI!$B$31*HSCEI!$G$31/HSCEI!$B$3,""))</f>
        <v/>
      </c>
      <c r="EA184" s="110">
        <f>IF(BM184="","",IFERROR(BM184*HSCEI!$B$31*HSCEI!$G$31/HSCEI!$B$3,""))</f>
        <v/>
      </c>
      <c r="EB184" s="110">
        <f>IF(BN184="","",IFERROR(BN184*HSCEI!$B$31*HSCEI!$G$31/HSCEI!$B$3,""))</f>
        <v/>
      </c>
      <c r="EC184" s="110">
        <f>IF(BO184="","",IFERROR(BO184*HSCEI!$B$31*HSCEI!$G$31/HSCEI!$B$3,""))</f>
        <v/>
      </c>
      <c r="EE184" s="39">
        <f>IF(N('Dvd Calendar'!$E$1825)=0,"",IF(('Dvd Calendar'!$E$1825&gt;=GRID_FROM)*('Dvd Calendar'!$E$1825&lt;=GRID_TO)*((('Dvd Calendar'!$E$1825&lt;=VAL_DATE)+(COUNTIF('Dvd Calendar'!$E$1832:$AR$1832,'Dvd Calendar'!$E$1825)=0))&gt;0)=0,"",'Dvd Calendar'!$E$1825*1000000000+ISNUMBER('Dvd Calendar'!$E$1828)*100000000+('Dvd Calendar'!$E$1830=SPECIAL_LBL)*10000000+(N('Dvd Calendar'!$E$1824)&gt;0)*(N('Dvd Calendar'!$E$1824)&lt;=VAL_SERIAL)*1000000+25*1000+1))</f>
        <v/>
      </c>
      <c r="EF184" s="39">
        <f>IF(N('Dvd Calendar'!$F$1825)=0,"",IF(('Dvd Calendar'!$F$1825&gt;=GRID_FROM)*('Dvd Calendar'!$F$1825&lt;=GRID_TO)*((('Dvd Calendar'!$F$1825&lt;=VAL_DATE)+(COUNTIF('Dvd Calendar'!$E$1832:$AR$1832,'Dvd Calendar'!$F$1825)=0))&gt;0)=0,"",'Dvd Calendar'!$F$1825*1000000000+ISNUMBER('Dvd Calendar'!$F$1828)*100000000+('Dvd Calendar'!$F$1830=SPECIAL_LBL)*10000000+(N('Dvd Calendar'!$F$1824)&gt;0)*(N('Dvd Calendar'!$F$1824)&lt;=VAL_SERIAL)*1000000+25*1000+2))</f>
        <v/>
      </c>
      <c r="EG184" s="39">
        <f>IF(N('Dvd Calendar'!$G$1825)=0,"",IF(('Dvd Calendar'!$G$1825&gt;=GRID_FROM)*('Dvd Calendar'!$G$1825&lt;=GRID_TO)*((('Dvd Calendar'!$G$1825&lt;=VAL_DATE)+(COUNTIF('Dvd Calendar'!$E$1832:$AR$1832,'Dvd Calendar'!$G$1825)=0))&gt;0)=0,"",'Dvd Calendar'!$G$1825*1000000000+ISNUMBER('Dvd Calendar'!$G$1828)*100000000+('Dvd Calendar'!$G$1830=SPECIAL_LBL)*10000000+(N('Dvd Calendar'!$G$1824)&gt;0)*(N('Dvd Calendar'!$G$1824)&lt;=VAL_SERIAL)*1000000+25*1000+3))</f>
        <v/>
      </c>
      <c r="EH184" s="39">
        <f>IF(N('Dvd Calendar'!$H$1825)=0,"",IF(('Dvd Calendar'!$H$1825&gt;=GRID_FROM)*('Dvd Calendar'!$H$1825&lt;=GRID_TO)*((('Dvd Calendar'!$H$1825&lt;=VAL_DATE)+(COUNTIF('Dvd Calendar'!$E$1832:$AR$1832,'Dvd Calendar'!$H$1825)=0))&gt;0)=0,"",'Dvd Calendar'!$H$1825*1000000000+ISNUMBER('Dvd Calendar'!$H$1828)*100000000+('Dvd Calendar'!$H$1830=SPECIAL_LBL)*10000000+(N('Dvd Calendar'!$H$1824)&gt;0)*(N('Dvd Calendar'!$H$1824)&lt;=VAL_SERIAL)*1000000+25*1000+4))</f>
        <v/>
      </c>
      <c r="EI184" s="39">
        <f>IF(N('Dvd Calendar'!$I$1825)=0,"",IF(('Dvd Calendar'!$I$1825&gt;=GRID_FROM)*('Dvd Calendar'!$I$1825&lt;=GRID_TO)*((('Dvd Calendar'!$I$1825&lt;=VAL_DATE)+(COUNTIF('Dvd Calendar'!$E$1832:$AR$1832,'Dvd Calendar'!$I$1825)=0))&gt;0)=0,"",'Dvd Calendar'!$I$1825*1000000000+ISNUMBER('Dvd Calendar'!$I$1828)*100000000+('Dvd Calendar'!$I$1830=SPECIAL_LBL)*10000000+(N('Dvd Calendar'!$I$1824)&gt;0)*(N('Dvd Calendar'!$I$1824)&lt;=VAL_SERIAL)*1000000+25*1000+5))</f>
        <v/>
      </c>
      <c r="EJ184" s="39">
        <f>IF(N('Dvd Calendar'!$J$1825)=0,"",IF(('Dvd Calendar'!$J$1825&gt;=GRID_FROM)*('Dvd Calendar'!$J$1825&lt;=GRID_TO)*((('Dvd Calendar'!$J$1825&lt;=VAL_DATE)+(COUNTIF('Dvd Calendar'!$E$1832:$AR$1832,'Dvd Calendar'!$J$1825)=0))&gt;0)=0,"",'Dvd Calendar'!$J$1825*1000000000+ISNUMBER('Dvd Calendar'!$J$1828)*100000000+('Dvd Calendar'!$J$1830=SPECIAL_LBL)*10000000+(N('Dvd Calendar'!$J$1824)&gt;0)*(N('Dvd Calendar'!$J$1824)&lt;=VAL_SERIAL)*1000000+25*1000+6))</f>
        <v/>
      </c>
      <c r="EK184" s="39">
        <f>IF(N('Dvd Calendar'!$K$1825)=0,"",IF(('Dvd Calendar'!$K$1825&gt;=GRID_FROM)*('Dvd Calendar'!$K$1825&lt;=GRID_TO)*((('Dvd Calendar'!$K$1825&lt;=VAL_DATE)+(COUNTIF('Dvd Calendar'!$E$1832:$AR$1832,'Dvd Calendar'!$K$1825)=0))&gt;0)=0,"",'Dvd Calendar'!$K$1825*1000000000+ISNUMBER('Dvd Calendar'!$K$1828)*100000000+('Dvd Calendar'!$K$1830=SPECIAL_LBL)*10000000+(N('Dvd Calendar'!$K$1824)&gt;0)*(N('Dvd Calendar'!$K$1824)&lt;=VAL_SERIAL)*1000000+25*1000+7))</f>
        <v/>
      </c>
      <c r="EL184" s="39">
        <f>IF(N('Dvd Calendar'!$L$1825)=0,"",IF(('Dvd Calendar'!$L$1825&gt;=GRID_FROM)*('Dvd Calendar'!$L$1825&lt;=GRID_TO)*((('Dvd Calendar'!$L$1825&lt;=VAL_DATE)+(COUNTIF('Dvd Calendar'!$E$1832:$AR$1832,'Dvd Calendar'!$L$1825)=0))&gt;0)=0,"",'Dvd Calendar'!$L$1825*1000000000+ISNUMBER('Dvd Calendar'!$L$1828)*100000000+('Dvd Calendar'!$L$1830=SPECIAL_LBL)*10000000+(N('Dvd Calendar'!$L$1824)&gt;0)*(N('Dvd Calendar'!$L$1824)&lt;=VAL_SERIAL)*1000000+25*1000+8))</f>
        <v/>
      </c>
      <c r="EM184" s="39">
        <f>IF(N('Dvd Calendar'!$M$1825)=0,"",IF(('Dvd Calendar'!$M$1825&gt;=GRID_FROM)*('Dvd Calendar'!$M$1825&lt;=GRID_TO)*((('Dvd Calendar'!$M$1825&lt;=VAL_DATE)+(COUNTIF('Dvd Calendar'!$E$1832:$AR$1832,'Dvd Calendar'!$M$1825)=0))&gt;0)=0,"",'Dvd Calendar'!$M$1825*1000000000+ISNUMBER('Dvd Calendar'!$M$1828)*100000000+('Dvd Calendar'!$M$1830=SPECIAL_LBL)*10000000+(N('Dvd Calendar'!$M$1824)&gt;0)*(N('Dvd Calendar'!$M$1824)&lt;=VAL_SERIAL)*1000000+25*1000+9))</f>
        <v/>
      </c>
      <c r="EN184" s="39">
        <f>IF(N('Dvd Calendar'!$N$1825)=0,"",IF(('Dvd Calendar'!$N$1825&gt;=GRID_FROM)*('Dvd Calendar'!$N$1825&lt;=GRID_TO)*((('Dvd Calendar'!$N$1825&lt;=VAL_DATE)+(COUNTIF('Dvd Calendar'!$E$1832:$AR$1832,'Dvd Calendar'!$N$1825)=0))&gt;0)=0,"",'Dvd Calendar'!$N$1825*1000000000+ISNUMBER('Dvd Calendar'!$N$1828)*100000000+('Dvd Calendar'!$N$1830=SPECIAL_LBL)*10000000+(N('Dvd Calendar'!$N$1824)&gt;0)*(N('Dvd Calendar'!$N$1824)&lt;=VAL_SERIAL)*1000000+25*1000+10))</f>
        <v/>
      </c>
      <c r="EO184" s="39">
        <f>IF(N('Dvd Calendar'!$O$1825)=0,"",IF(('Dvd Calendar'!$O$1825&gt;=GRID_FROM)*('Dvd Calendar'!$O$1825&lt;=GRID_TO)*((('Dvd Calendar'!$O$1825&lt;=VAL_DATE)+(COUNTIF('Dvd Calendar'!$E$1832:$AR$1832,'Dvd Calendar'!$O$1825)=0))&gt;0)=0,"",'Dvd Calendar'!$O$1825*1000000000+ISNUMBER('Dvd Calendar'!$O$1828)*100000000+('Dvd Calendar'!$O$1830=SPECIAL_LBL)*10000000+(N('Dvd Calendar'!$O$1824)&gt;0)*(N('Dvd Calendar'!$O$1824)&lt;=VAL_SERIAL)*1000000+25*1000+11))</f>
        <v/>
      </c>
      <c r="EP184" s="39">
        <f>IF(N('Dvd Calendar'!$P$1825)=0,"",IF(('Dvd Calendar'!$P$1825&gt;=GRID_FROM)*('Dvd Calendar'!$P$1825&lt;=GRID_TO)*((('Dvd Calendar'!$P$1825&lt;=VAL_DATE)+(COUNTIF('Dvd Calendar'!$E$1832:$AR$1832,'Dvd Calendar'!$P$1825)=0))&gt;0)=0,"",'Dvd Calendar'!$P$1825*1000000000+ISNUMBER('Dvd Calendar'!$P$1828)*100000000+('Dvd Calendar'!$P$1830=SPECIAL_LBL)*10000000+(N('Dvd Calendar'!$P$1824)&gt;0)*(N('Dvd Calendar'!$P$1824)&lt;=VAL_SERIAL)*1000000+25*1000+12))</f>
        <v/>
      </c>
      <c r="EQ184" s="39">
        <f>IF(N('Dvd Calendar'!$Q$1825)=0,"",IF(('Dvd Calendar'!$Q$1825&gt;=GRID_FROM)*('Dvd Calendar'!$Q$1825&lt;=GRID_TO)*((('Dvd Calendar'!$Q$1825&lt;=VAL_DATE)+(COUNTIF('Dvd Calendar'!$E$1832:$AR$1832,'Dvd Calendar'!$Q$1825)=0))&gt;0)=0,"",'Dvd Calendar'!$Q$1825*1000000000+ISNUMBER('Dvd Calendar'!$Q$1828)*100000000+('Dvd Calendar'!$Q$1830=SPECIAL_LBL)*10000000+(N('Dvd Calendar'!$Q$1824)&gt;0)*(N('Dvd Calendar'!$Q$1824)&lt;=VAL_SERIAL)*1000000+25*1000+13))</f>
        <v/>
      </c>
      <c r="ER184" s="39">
        <f>IF(N('Dvd Calendar'!$R$1825)=0,"",IF(('Dvd Calendar'!$R$1825&gt;=GRID_FROM)*('Dvd Calendar'!$R$1825&lt;=GRID_TO)*((('Dvd Calendar'!$R$1825&lt;=VAL_DATE)+(COUNTIF('Dvd Calendar'!$E$1832:$AR$1832,'Dvd Calendar'!$R$1825)=0))&gt;0)=0,"",'Dvd Calendar'!$R$1825*1000000000+ISNUMBER('Dvd Calendar'!$R$1828)*100000000+('Dvd Calendar'!$R$1830=SPECIAL_LBL)*10000000+(N('Dvd Calendar'!$R$1824)&gt;0)*(N('Dvd Calendar'!$R$1824)&lt;=VAL_SERIAL)*1000000+25*1000+14))</f>
        <v/>
      </c>
      <c r="ES184" s="39">
        <f>IF(N('Dvd Calendar'!$S$1825)=0,"",IF(('Dvd Calendar'!$S$1825&gt;=GRID_FROM)*('Dvd Calendar'!$S$1825&lt;=GRID_TO)*((('Dvd Calendar'!$S$1825&lt;=VAL_DATE)+(COUNTIF('Dvd Calendar'!$E$1832:$AR$1832,'Dvd Calendar'!$S$1825)=0))&gt;0)=0,"",'Dvd Calendar'!$S$1825*1000000000+ISNUMBER('Dvd Calendar'!$S$1828)*100000000+('Dvd Calendar'!$S$1830=SPECIAL_LBL)*10000000+(N('Dvd Calendar'!$S$1824)&gt;0)*(N('Dvd Calendar'!$S$1824)&lt;=VAL_SERIAL)*1000000+25*1000+15))</f>
        <v/>
      </c>
      <c r="ET184" s="39">
        <f>IF(N('Dvd Calendar'!$T$1825)=0,"",IF(('Dvd Calendar'!$T$1825&gt;=GRID_FROM)*('Dvd Calendar'!$T$1825&lt;=GRID_TO)*((('Dvd Calendar'!$T$1825&lt;=VAL_DATE)+(COUNTIF('Dvd Calendar'!$E$1832:$AR$1832,'Dvd Calendar'!$T$1825)=0))&gt;0)=0,"",'Dvd Calendar'!$T$1825*1000000000+ISNUMBER('Dvd Calendar'!$T$1828)*100000000+('Dvd Calendar'!$T$1830=SPECIAL_LBL)*10000000+(N('Dvd Calendar'!$T$1824)&gt;0)*(N('Dvd Calendar'!$T$1824)&lt;=VAL_SERIAL)*1000000+25*1000+16))</f>
        <v/>
      </c>
      <c r="EU184" s="39">
        <f>IF(N('Dvd Calendar'!$U$1825)=0,"",IF(('Dvd Calendar'!$U$1825&gt;=GRID_FROM)*('Dvd Calendar'!$U$1825&lt;=GRID_TO)*((('Dvd Calendar'!$U$1825&lt;=VAL_DATE)+(COUNTIF('Dvd Calendar'!$E$1832:$AR$1832,'Dvd Calendar'!$U$1825)=0))&gt;0)=0,"",'Dvd Calendar'!$U$1825*1000000000+ISNUMBER('Dvd Calendar'!$U$1828)*100000000+('Dvd Calendar'!$U$1830=SPECIAL_LBL)*10000000+(N('Dvd Calendar'!$U$1824)&gt;0)*(N('Dvd Calendar'!$U$1824)&lt;=VAL_SERIAL)*1000000+25*1000+17))</f>
        <v/>
      </c>
      <c r="EV184" s="39">
        <f>IF(N('Dvd Calendar'!$V$1825)=0,"",IF(('Dvd Calendar'!$V$1825&gt;=GRID_FROM)*('Dvd Calendar'!$V$1825&lt;=GRID_TO)*((('Dvd Calendar'!$V$1825&lt;=VAL_DATE)+(COUNTIF('Dvd Calendar'!$E$1832:$AR$1832,'Dvd Calendar'!$V$1825)=0))&gt;0)=0,"",'Dvd Calendar'!$V$1825*1000000000+ISNUMBER('Dvd Calendar'!$V$1828)*100000000+('Dvd Calendar'!$V$1830=SPECIAL_LBL)*10000000+(N('Dvd Calendar'!$V$1824)&gt;0)*(N('Dvd Calendar'!$V$1824)&lt;=VAL_SERIAL)*1000000+25*1000+18))</f>
        <v/>
      </c>
      <c r="EW184" s="39">
        <f>IF(N('Dvd Calendar'!$W$1825)=0,"",IF(('Dvd Calendar'!$W$1825&gt;=GRID_FROM)*('Dvd Calendar'!$W$1825&lt;=GRID_TO)*((('Dvd Calendar'!$W$1825&lt;=VAL_DATE)+(COUNTIF('Dvd Calendar'!$E$1832:$AR$1832,'Dvd Calendar'!$W$1825)=0))&gt;0)=0,"",'Dvd Calendar'!$W$1825*1000000000+ISNUMBER('Dvd Calendar'!$W$1828)*100000000+('Dvd Calendar'!$W$1830=SPECIAL_LBL)*10000000+(N('Dvd Calendar'!$W$1824)&gt;0)*(N('Dvd Calendar'!$W$1824)&lt;=VAL_SERIAL)*1000000+25*1000+19))</f>
        <v/>
      </c>
      <c r="EX184" s="39">
        <f>IF(N('Dvd Calendar'!$X$1825)=0,"",IF(('Dvd Calendar'!$X$1825&gt;=GRID_FROM)*('Dvd Calendar'!$X$1825&lt;=GRID_TO)*((('Dvd Calendar'!$X$1825&lt;=VAL_DATE)+(COUNTIF('Dvd Calendar'!$E$1832:$AR$1832,'Dvd Calendar'!$X$1825)=0))&gt;0)=0,"",'Dvd Calendar'!$X$1825*1000000000+ISNUMBER('Dvd Calendar'!$X$1828)*100000000+('Dvd Calendar'!$X$1830=SPECIAL_LBL)*10000000+(N('Dvd Calendar'!$X$1824)&gt;0)*(N('Dvd Calendar'!$X$1824)&lt;=VAL_SERIAL)*1000000+25*1000+20))</f>
        <v/>
      </c>
      <c r="EY184" s="39">
        <f>IF(N('Dvd Calendar'!$Y$1825)=0,"",IF(('Dvd Calendar'!$Y$1825&gt;=GRID_FROM)*('Dvd Calendar'!$Y$1825&lt;=GRID_TO)*((('Dvd Calendar'!$Y$1825&lt;=VAL_DATE)+(COUNTIF('Dvd Calendar'!$E$1832:$AR$1832,'Dvd Calendar'!$Y$1825)=0))&gt;0)=0,"",'Dvd Calendar'!$Y$1825*1000000000+ISNUMBER('Dvd Calendar'!$Y$1828)*100000000+('Dvd Calendar'!$Y$1830=SPECIAL_LBL)*10000000+(N('Dvd Calendar'!$Y$1824)&gt;0)*(N('Dvd Calendar'!$Y$1824)&lt;=VAL_SERIAL)*1000000+25*1000+21))</f>
        <v/>
      </c>
      <c r="EZ184" s="39">
        <f>IF(N('Dvd Calendar'!$Z$1825)=0,"",IF(('Dvd Calendar'!$Z$1825&gt;=GRID_FROM)*('Dvd Calendar'!$Z$1825&lt;=GRID_TO)*((('Dvd Calendar'!$Z$1825&lt;=VAL_DATE)+(COUNTIF('Dvd Calendar'!$E$1832:$AR$1832,'Dvd Calendar'!$Z$1825)=0))&gt;0)=0,"",'Dvd Calendar'!$Z$1825*1000000000+ISNUMBER('Dvd Calendar'!$Z$1828)*100000000+('Dvd Calendar'!$Z$1830=SPECIAL_LBL)*10000000+(N('Dvd Calendar'!$Z$1824)&gt;0)*(N('Dvd Calendar'!$Z$1824)&lt;=VAL_SERIAL)*1000000+25*1000+22))</f>
        <v/>
      </c>
      <c r="FA184" s="39">
        <f>IF(N('Dvd Calendar'!$AA$1825)=0,"",IF(('Dvd Calendar'!$AA$1825&gt;=GRID_FROM)*('Dvd Calendar'!$AA$1825&lt;=GRID_TO)*((('Dvd Calendar'!$AA$1825&lt;=VAL_DATE)+(COUNTIF('Dvd Calendar'!$E$1832:$AR$1832,'Dvd Calendar'!$AA$1825)=0))&gt;0)=0,"",'Dvd Calendar'!$AA$1825*1000000000+ISNUMBER('Dvd Calendar'!$AA$1828)*100000000+('Dvd Calendar'!$AA$1830=SPECIAL_LBL)*10000000+(N('Dvd Calendar'!$AA$1824)&gt;0)*(N('Dvd Calendar'!$AA$1824)&lt;=VAL_SERIAL)*1000000+25*1000+23))</f>
        <v/>
      </c>
      <c r="FB184" s="39">
        <f>IF(N('Dvd Calendar'!$AB$1825)=0,"",IF(('Dvd Calendar'!$AB$1825&gt;=GRID_FROM)*('Dvd Calendar'!$AB$1825&lt;=GRID_TO)*((('Dvd Calendar'!$AB$1825&lt;=VAL_DATE)+(COUNTIF('Dvd Calendar'!$E$1832:$AR$1832,'Dvd Calendar'!$AB$1825)=0))&gt;0)=0,"",'Dvd Calendar'!$AB$1825*1000000000+ISNUMBER('Dvd Calendar'!$AB$1828)*100000000+('Dvd Calendar'!$AB$1830=SPECIAL_LBL)*10000000+(N('Dvd Calendar'!$AB$1824)&gt;0)*(N('Dvd Calendar'!$AB$1824)&lt;=VAL_SERIAL)*1000000+25*1000+24))</f>
        <v/>
      </c>
      <c r="FC184" s="39">
        <f>IF(N('Dvd Calendar'!$AC$1825)=0,"",IF(('Dvd Calendar'!$AC$1825&gt;=GRID_FROM)*('Dvd Calendar'!$AC$1825&lt;=GRID_TO)*((('Dvd Calendar'!$AC$1825&lt;=VAL_DATE)+(COUNTIF('Dvd Calendar'!$E$1832:$AR$1832,'Dvd Calendar'!$AC$1825)=0))&gt;0)=0,"",'Dvd Calendar'!$AC$1825*1000000000+ISNUMBER('Dvd Calendar'!$AC$1828)*100000000+('Dvd Calendar'!$AC$1830=SPECIAL_LBL)*10000000+(N('Dvd Calendar'!$AC$1824)&gt;0)*(N('Dvd Calendar'!$AC$1824)&lt;=VAL_SERIAL)*1000000+25*1000+25))</f>
        <v/>
      </c>
      <c r="FD184" s="39">
        <f>IF(N('Dvd Calendar'!$AD$1825)=0,"",IF(('Dvd Calendar'!$AD$1825&gt;=GRID_FROM)*('Dvd Calendar'!$AD$1825&lt;=GRID_TO)*((('Dvd Calendar'!$AD$1825&lt;=VAL_DATE)+(COUNTIF('Dvd Calendar'!$E$1832:$AR$1832,'Dvd Calendar'!$AD$1825)=0))&gt;0)=0,"",'Dvd Calendar'!$AD$1825*1000000000+ISNUMBER('Dvd Calendar'!$AD$1828)*100000000+('Dvd Calendar'!$AD$1830=SPECIAL_LBL)*10000000+(N('Dvd Calendar'!$AD$1824)&gt;0)*(N('Dvd Calendar'!$AD$1824)&lt;=VAL_SERIAL)*1000000+25*1000+26))</f>
        <v/>
      </c>
      <c r="FE184" s="39">
        <f>IF(N('Dvd Calendar'!$AE$1825)=0,"",IF(('Dvd Calendar'!$AE$1825&gt;=GRID_FROM)*('Dvd Calendar'!$AE$1825&lt;=GRID_TO)*((('Dvd Calendar'!$AE$1825&lt;=VAL_DATE)+(COUNTIF('Dvd Calendar'!$E$1832:$AR$1832,'Dvd Calendar'!$AE$1825)=0))&gt;0)=0,"",'Dvd Calendar'!$AE$1825*1000000000+ISNUMBER('Dvd Calendar'!$AE$1828)*100000000+('Dvd Calendar'!$AE$1830=SPECIAL_LBL)*10000000+(N('Dvd Calendar'!$AE$1824)&gt;0)*(N('Dvd Calendar'!$AE$1824)&lt;=VAL_SERIAL)*1000000+25*1000+27))</f>
        <v/>
      </c>
      <c r="FF184" s="39">
        <f>IF(N('Dvd Calendar'!$AF$1825)=0,"",IF(('Dvd Calendar'!$AF$1825&gt;=GRID_FROM)*('Dvd Calendar'!$AF$1825&lt;=GRID_TO)*((('Dvd Calendar'!$AF$1825&lt;=VAL_DATE)+(COUNTIF('Dvd Calendar'!$E$1832:$AR$1832,'Dvd Calendar'!$AF$1825)=0))&gt;0)=0,"",'Dvd Calendar'!$AF$1825*1000000000+ISNUMBER('Dvd Calendar'!$AF$1828)*100000000+('Dvd Calendar'!$AF$1830=SPECIAL_LBL)*10000000+(N('Dvd Calendar'!$AF$1824)&gt;0)*(N('Dvd Calendar'!$AF$1824)&lt;=VAL_SERIAL)*1000000+25*1000+28))</f>
        <v/>
      </c>
      <c r="FG184" s="39">
        <f>IF(N('Dvd Calendar'!$AG$1825)=0,"",IF(('Dvd Calendar'!$AG$1825&gt;=GRID_FROM)*('Dvd Calendar'!$AG$1825&lt;=GRID_TO)*((('Dvd Calendar'!$AG$1825&lt;=VAL_DATE)+(COUNTIF('Dvd Calendar'!$E$1832:$AR$1832,'Dvd Calendar'!$AG$1825)=0))&gt;0)=0,"",'Dvd Calendar'!$AG$1825*1000000000+ISNUMBER('Dvd Calendar'!$AG$1828)*100000000+('Dvd Calendar'!$AG$1830=SPECIAL_LBL)*10000000+(N('Dvd Calendar'!$AG$1824)&gt;0)*(N('Dvd Calendar'!$AG$1824)&lt;=VAL_SERIAL)*1000000+25*1000+29))</f>
        <v/>
      </c>
      <c r="FH184" s="39">
        <f>IF(N('Dvd Calendar'!$AH$1825)=0,"",IF(('Dvd Calendar'!$AH$1825&gt;=GRID_FROM)*('Dvd Calendar'!$AH$1825&lt;=GRID_TO)*((('Dvd Calendar'!$AH$1825&lt;=VAL_DATE)+(COUNTIF('Dvd Calendar'!$E$1832:$AR$1832,'Dvd Calendar'!$AH$1825)=0))&gt;0)=0,"",'Dvd Calendar'!$AH$1825*1000000000+ISNUMBER('Dvd Calendar'!$AH$1828)*100000000+('Dvd Calendar'!$AH$1830=SPECIAL_LBL)*10000000+(N('Dvd Calendar'!$AH$1824)&gt;0)*(N('Dvd Calendar'!$AH$1824)&lt;=VAL_SERIAL)*1000000+25*1000+30))</f>
        <v/>
      </c>
      <c r="FI184" s="39">
        <f>IF(N('Dvd Calendar'!$AI$1825)=0,"",IF(('Dvd Calendar'!$AI$1825&gt;=GRID_FROM)*('Dvd Calendar'!$AI$1825&lt;=GRID_TO)*((('Dvd Calendar'!$AI$1825&lt;=VAL_DATE)+(COUNTIF('Dvd Calendar'!$E$1832:$AR$1832,'Dvd Calendar'!$AI$1825)=0))&gt;0)=0,"",'Dvd Calendar'!$AI$1825*1000000000+ISNUMBER('Dvd Calendar'!$AI$1828)*100000000+('Dvd Calendar'!$AI$1830=SPECIAL_LBL)*10000000+(N('Dvd Calendar'!$AI$1824)&gt;0)*(N('Dvd Calendar'!$AI$1824)&lt;=VAL_SERIAL)*1000000+25*1000+31))</f>
        <v/>
      </c>
      <c r="FJ184" s="39">
        <f>IF(N('Dvd Calendar'!$AJ$1825)=0,"",IF(('Dvd Calendar'!$AJ$1825&gt;=GRID_FROM)*('Dvd Calendar'!$AJ$1825&lt;=GRID_TO)*((('Dvd Calendar'!$AJ$1825&lt;=VAL_DATE)+(COUNTIF('Dvd Calendar'!$E$1832:$AR$1832,'Dvd Calendar'!$AJ$1825)=0))&gt;0)=0,"",'Dvd Calendar'!$AJ$1825*1000000000+ISNUMBER('Dvd Calendar'!$AJ$1828)*100000000+('Dvd Calendar'!$AJ$1830=SPECIAL_LBL)*10000000+(N('Dvd Calendar'!$AJ$1824)&gt;0)*(N('Dvd Calendar'!$AJ$1824)&lt;=VAL_SERIAL)*1000000+25*1000+32))</f>
        <v/>
      </c>
      <c r="FK184" s="39">
        <f>IF(N('Dvd Calendar'!$AK$1825)=0,"",IF(('Dvd Calendar'!$AK$1825&gt;=GRID_FROM)*('Dvd Calendar'!$AK$1825&lt;=GRID_TO)*((('Dvd Calendar'!$AK$1825&lt;=VAL_DATE)+(COUNTIF('Dvd Calendar'!$E$1832:$AR$1832,'Dvd Calendar'!$AK$1825)=0))&gt;0)=0,"",'Dvd Calendar'!$AK$1825*1000000000+ISNUMBER('Dvd Calendar'!$AK$1828)*100000000+('Dvd Calendar'!$AK$1830=SPECIAL_LBL)*10000000+(N('Dvd Calendar'!$AK$1824)&gt;0)*(N('Dvd Calendar'!$AK$1824)&lt;=VAL_SERIAL)*1000000+25*1000+33))</f>
        <v/>
      </c>
      <c r="FL184" s="39">
        <f>IF(N('Dvd Calendar'!$AL$1825)=0,"",IF(('Dvd Calendar'!$AL$1825&gt;=GRID_FROM)*('Dvd Calendar'!$AL$1825&lt;=GRID_TO)*((('Dvd Calendar'!$AL$1825&lt;=VAL_DATE)+(COUNTIF('Dvd Calendar'!$E$1832:$AR$1832,'Dvd Calendar'!$AL$1825)=0))&gt;0)=0,"",'Dvd Calendar'!$AL$1825*1000000000+ISNUMBER('Dvd Calendar'!$AL$1828)*100000000+('Dvd Calendar'!$AL$1830=SPECIAL_LBL)*10000000+(N('Dvd Calendar'!$AL$1824)&gt;0)*(N('Dvd Calendar'!$AL$1824)&lt;=VAL_SERIAL)*1000000+25*1000+34))</f>
        <v/>
      </c>
      <c r="FM184" s="39">
        <f>IF(N('Dvd Calendar'!$AM$1825)=0,"",IF(('Dvd Calendar'!$AM$1825&gt;=GRID_FROM)*('Dvd Calendar'!$AM$1825&lt;=GRID_TO)*((('Dvd Calendar'!$AM$1825&lt;=VAL_DATE)+(COUNTIF('Dvd Calendar'!$E$1832:$AR$1832,'Dvd Calendar'!$AM$1825)=0))&gt;0)=0,"",'Dvd Calendar'!$AM$1825*1000000000+ISNUMBER('Dvd Calendar'!$AM$1828)*100000000+('Dvd Calendar'!$AM$1830=SPECIAL_LBL)*10000000+(N('Dvd Calendar'!$AM$1824)&gt;0)*(N('Dvd Calendar'!$AM$1824)&lt;=VAL_SERIAL)*1000000+25*1000+35))</f>
        <v/>
      </c>
      <c r="FN184" s="39">
        <f>IF(N('Dvd Calendar'!$AN$1825)=0,"",IF(('Dvd Calendar'!$AN$1825&gt;=GRID_FROM)*('Dvd Calendar'!$AN$1825&lt;=GRID_TO)*((('Dvd Calendar'!$AN$1825&lt;=VAL_DATE)+(COUNTIF('Dvd Calendar'!$E$1832:$AR$1832,'Dvd Calendar'!$AN$1825)=0))&gt;0)=0,"",'Dvd Calendar'!$AN$1825*1000000000+ISNUMBER('Dvd Calendar'!$AN$1828)*100000000+('Dvd Calendar'!$AN$1830=SPECIAL_LBL)*10000000+(N('Dvd Calendar'!$AN$1824)&gt;0)*(N('Dvd Calendar'!$AN$1824)&lt;=VAL_SERIAL)*1000000+25*1000+36))</f>
        <v/>
      </c>
      <c r="FO184" s="39">
        <f>IF(N('Dvd Calendar'!$AO$1825)=0,"",IF(('Dvd Calendar'!$AO$1825&gt;=GRID_FROM)*('Dvd Calendar'!$AO$1825&lt;=GRID_TO)*((('Dvd Calendar'!$AO$1825&lt;=VAL_DATE)+(COUNTIF('Dvd Calendar'!$E$1832:$AR$1832,'Dvd Calendar'!$AO$1825)=0))&gt;0)=0,"",'Dvd Calendar'!$AO$1825*1000000000+ISNUMBER('Dvd Calendar'!$AO$1828)*100000000+('Dvd Calendar'!$AO$1830=SPECIAL_LBL)*10000000+(N('Dvd Calendar'!$AO$1824)&gt;0)*(N('Dvd Calendar'!$AO$1824)&lt;=VAL_SERIAL)*1000000+25*1000+37))</f>
        <v/>
      </c>
      <c r="FP184" s="39">
        <f>IF(N('Dvd Calendar'!$AP$1825)=0,"",IF(('Dvd Calendar'!$AP$1825&gt;=GRID_FROM)*('Dvd Calendar'!$AP$1825&lt;=GRID_TO)*((('Dvd Calendar'!$AP$1825&lt;=VAL_DATE)+(COUNTIF('Dvd Calendar'!$E$1832:$AR$1832,'Dvd Calendar'!$AP$1825)=0))&gt;0)=0,"",'Dvd Calendar'!$AP$1825*1000000000+ISNUMBER('Dvd Calendar'!$AP$1828)*100000000+('Dvd Calendar'!$AP$1830=SPECIAL_LBL)*10000000+(N('Dvd Calendar'!$AP$1824)&gt;0)*(N('Dvd Calendar'!$AP$1824)&lt;=VAL_SERIAL)*1000000+25*1000+38))</f>
        <v/>
      </c>
      <c r="FQ184" s="39">
        <f>IF(N('Dvd Calendar'!$AQ$1825)=0,"",IF(('Dvd Calendar'!$AQ$1825&gt;=GRID_FROM)*('Dvd Calendar'!$AQ$1825&lt;=GRID_TO)*((('Dvd Calendar'!$AQ$1825&lt;=VAL_DATE)+(COUNTIF('Dvd Calendar'!$E$1832:$AR$1832,'Dvd Calendar'!$AQ$1825)=0))&gt;0)=0,"",'Dvd Calendar'!$AQ$1825*1000000000+ISNUMBER('Dvd Calendar'!$AQ$1828)*100000000+('Dvd Calendar'!$AQ$1830=SPECIAL_LBL)*10000000+(N('Dvd Calendar'!$AQ$1824)&gt;0)*(N('Dvd Calendar'!$AQ$1824)&lt;=VAL_SERIAL)*1000000+25*1000+39))</f>
        <v/>
      </c>
      <c r="FR184" s="39">
        <f>IF(N('Dvd Calendar'!$AR$1825)=0,"",IF(('Dvd Calendar'!$AR$1825&gt;=GRID_FROM)*('Dvd Calendar'!$AR$1825&lt;=GRID_TO)*((('Dvd Calendar'!$AR$1825&lt;=VAL_DATE)+(COUNTIF('Dvd Calendar'!$E$1832:$AR$1832,'Dvd Calendar'!$AR$1825)=0))&gt;0)=0,"",'Dvd Calendar'!$AR$1825*1000000000+ISNUMBER('Dvd Calendar'!$AR$1828)*100000000+('Dvd Calendar'!$AR$1830=SPECIAL_LBL)*10000000+(N('Dvd Calendar'!$AR$1824)&gt;0)*(N('Dvd Calendar'!$AR$1824)&lt;=VAL_SERIAL)*1000000+25*1000+40))</f>
        <v/>
      </c>
      <c r="FS184" s="39">
        <f>IF(N('Dvd Calendar'!$E$1832)=0,"",IF(('Dvd Calendar'!$E$1832&gt;=GRID_FROM)*('Dvd Calendar'!$E$1832&lt;=GRID_TO)*('Dvd Calendar'!$E$1832&gt;VAL_DATE)=0,"",'Dvd Calendar'!$E$1832*1000000000+ISNUMBER('Dvd Calendar'!$E$1833)*100000000+0*10000000+(N('Dvd Calendar'!$E$1831)&gt;0)*(N('Dvd Calendar'!$E$1831)&lt;=VAL_SERIAL)*1000000+25*1000+41))</f>
        <v/>
      </c>
      <c r="FT184" s="39">
        <f>IF(N('Dvd Calendar'!$F$1832)=0,"",IF(('Dvd Calendar'!$F$1832&gt;=GRID_FROM)*('Dvd Calendar'!$F$1832&lt;=GRID_TO)*('Dvd Calendar'!$F$1832&gt;VAL_DATE)=0,"",'Dvd Calendar'!$F$1832*1000000000+ISNUMBER('Dvd Calendar'!$F$1833)*100000000+0*10000000+(N('Dvd Calendar'!$F$1831)&gt;0)*(N('Dvd Calendar'!$F$1831)&lt;=VAL_SERIAL)*1000000+25*1000+42))</f>
        <v/>
      </c>
      <c r="FU184" s="39">
        <f>IF(N('Dvd Calendar'!$G$1832)=0,"",IF(('Dvd Calendar'!$G$1832&gt;=GRID_FROM)*('Dvd Calendar'!$G$1832&lt;=GRID_TO)*('Dvd Calendar'!$G$1832&gt;VAL_DATE)=0,"",'Dvd Calendar'!$G$1832*1000000000+ISNUMBER('Dvd Calendar'!$G$1833)*100000000+0*10000000+(N('Dvd Calendar'!$G$1831)&gt;0)*(N('Dvd Calendar'!$G$1831)&lt;=VAL_SERIAL)*1000000+25*1000+43))</f>
        <v/>
      </c>
      <c r="FV184" s="39">
        <f>IF(N('Dvd Calendar'!$H$1832)=0,"",IF(('Dvd Calendar'!$H$1832&gt;=GRID_FROM)*('Dvd Calendar'!$H$1832&lt;=GRID_TO)*('Dvd Calendar'!$H$1832&gt;VAL_DATE)=0,"",'Dvd Calendar'!$H$1832*1000000000+ISNUMBER('Dvd Calendar'!$H$1833)*100000000+0*10000000+(N('Dvd Calendar'!$H$1831)&gt;0)*(N('Dvd Calendar'!$H$1831)&lt;=VAL_SERIAL)*1000000+25*1000+44))</f>
        <v/>
      </c>
      <c r="FW184" s="39">
        <f>IF(N('Dvd Calendar'!$I$1832)=0,"",IF(('Dvd Calendar'!$I$1832&gt;=GRID_FROM)*('Dvd Calendar'!$I$1832&lt;=GRID_TO)*('Dvd Calendar'!$I$1832&gt;VAL_DATE)=0,"",'Dvd Calendar'!$I$1832*1000000000+ISNUMBER('Dvd Calendar'!$I$1833)*100000000+0*10000000+(N('Dvd Calendar'!$I$1831)&gt;0)*(N('Dvd Calendar'!$I$1831)&lt;=VAL_SERIAL)*1000000+25*1000+45))</f>
        <v/>
      </c>
      <c r="FX184" s="39">
        <f>IF(N('Dvd Calendar'!$J$1832)=0,"",IF(('Dvd Calendar'!$J$1832&gt;=GRID_FROM)*('Dvd Calendar'!$J$1832&lt;=GRID_TO)*('Dvd Calendar'!$J$1832&gt;VAL_DATE)=0,"",'Dvd Calendar'!$J$1832*1000000000+ISNUMBER('Dvd Calendar'!$J$1833)*100000000+0*10000000+(N('Dvd Calendar'!$J$1831)&gt;0)*(N('Dvd Calendar'!$J$1831)&lt;=VAL_SERIAL)*1000000+25*1000+46))</f>
        <v/>
      </c>
      <c r="FY184" s="39">
        <f>IF(N('Dvd Calendar'!$K$1832)=0,"",IF(('Dvd Calendar'!$K$1832&gt;=GRID_FROM)*('Dvd Calendar'!$K$1832&lt;=GRID_TO)*('Dvd Calendar'!$K$1832&gt;VAL_DATE)=0,"",'Dvd Calendar'!$K$1832*1000000000+ISNUMBER('Dvd Calendar'!$K$1833)*100000000+0*10000000+(N('Dvd Calendar'!$K$1831)&gt;0)*(N('Dvd Calendar'!$K$1831)&lt;=VAL_SERIAL)*1000000+25*1000+47))</f>
        <v/>
      </c>
      <c r="FZ184" s="39">
        <f>IF(N('Dvd Calendar'!$L$1832)=0,"",IF(('Dvd Calendar'!$L$1832&gt;=GRID_FROM)*('Dvd Calendar'!$L$1832&lt;=GRID_TO)*('Dvd Calendar'!$L$1832&gt;VAL_DATE)=0,"",'Dvd Calendar'!$L$1832*1000000000+ISNUMBER('Dvd Calendar'!$L$1833)*100000000+0*10000000+(N('Dvd Calendar'!$L$1831)&gt;0)*(N('Dvd Calendar'!$L$1831)&lt;=VAL_SERIAL)*1000000+25*1000+48))</f>
        <v/>
      </c>
      <c r="GA184" s="39">
        <f>IF(N('Dvd Calendar'!$M$1832)=0,"",IF(('Dvd Calendar'!$M$1832&gt;=GRID_FROM)*('Dvd Calendar'!$M$1832&lt;=GRID_TO)*('Dvd Calendar'!$M$1832&gt;VAL_DATE)=0,"",'Dvd Calendar'!$M$1832*1000000000+ISNUMBER('Dvd Calendar'!$M$1833)*100000000+0*10000000+(N('Dvd Calendar'!$M$1831)&gt;0)*(N('Dvd Calendar'!$M$1831)&lt;=VAL_SERIAL)*1000000+25*1000+49))</f>
        <v/>
      </c>
      <c r="GB184" s="39">
        <f>IF(N('Dvd Calendar'!$N$1832)=0,"",IF(('Dvd Calendar'!$N$1832&gt;=GRID_FROM)*('Dvd Calendar'!$N$1832&lt;=GRID_TO)*('Dvd Calendar'!$N$1832&gt;VAL_DATE)=0,"",'Dvd Calendar'!$N$1832*1000000000+ISNUMBER('Dvd Calendar'!$N$1833)*100000000+0*10000000+(N('Dvd Calendar'!$N$1831)&gt;0)*(N('Dvd Calendar'!$N$1831)&lt;=VAL_SERIAL)*1000000+25*1000+50))</f>
        <v/>
      </c>
      <c r="GC184" s="39">
        <f>IF(N('Dvd Calendar'!$O$1832)=0,"",IF(('Dvd Calendar'!$O$1832&gt;=GRID_FROM)*('Dvd Calendar'!$O$1832&lt;=GRID_TO)*('Dvd Calendar'!$O$1832&gt;VAL_DATE)=0,"",'Dvd Calendar'!$O$1832*1000000000+ISNUMBER('Dvd Calendar'!$O$1833)*100000000+0*10000000+(N('Dvd Calendar'!$O$1831)&gt;0)*(N('Dvd Calendar'!$O$1831)&lt;=VAL_SERIAL)*1000000+25*1000+51))</f>
        <v/>
      </c>
      <c r="GD184" s="39">
        <f>IF(N('Dvd Calendar'!$P$1832)=0,"",IF(('Dvd Calendar'!$P$1832&gt;=GRID_FROM)*('Dvd Calendar'!$P$1832&lt;=GRID_TO)*('Dvd Calendar'!$P$1832&gt;VAL_DATE)=0,"",'Dvd Calendar'!$P$1832*1000000000+ISNUMBER('Dvd Calendar'!$P$1833)*100000000+0*10000000+(N('Dvd Calendar'!$P$1831)&gt;0)*(N('Dvd Calendar'!$P$1831)&lt;=VAL_SERIAL)*1000000+25*1000+52))</f>
        <v/>
      </c>
      <c r="GE184" s="39">
        <f>IF(N('Dvd Calendar'!$Q$1832)=0,"",IF(('Dvd Calendar'!$Q$1832&gt;=GRID_FROM)*('Dvd Calendar'!$Q$1832&lt;=GRID_TO)*('Dvd Calendar'!$Q$1832&gt;VAL_DATE)=0,"",'Dvd Calendar'!$Q$1832*1000000000+ISNUMBER('Dvd Calendar'!$Q$1833)*100000000+0*10000000+(N('Dvd Calendar'!$Q$1831)&gt;0)*(N('Dvd Calendar'!$Q$1831)&lt;=VAL_SERIAL)*1000000+25*1000+53))</f>
        <v/>
      </c>
      <c r="GF184" s="39">
        <f>IF(N('Dvd Calendar'!$R$1832)=0,"",IF(('Dvd Calendar'!$R$1832&gt;=GRID_FROM)*('Dvd Calendar'!$R$1832&lt;=GRID_TO)*('Dvd Calendar'!$R$1832&gt;VAL_DATE)=0,"",'Dvd Calendar'!$R$1832*1000000000+ISNUMBER('Dvd Calendar'!$R$1833)*100000000+0*10000000+(N('Dvd Calendar'!$R$1831)&gt;0)*(N('Dvd Calendar'!$R$1831)&lt;=VAL_SERIAL)*1000000+25*1000+54))</f>
        <v/>
      </c>
      <c r="GG184" s="39">
        <f>IF(N('Dvd Calendar'!$S$1832)=0,"",IF(('Dvd Calendar'!$S$1832&gt;=GRID_FROM)*('Dvd Calendar'!$S$1832&lt;=GRID_TO)*('Dvd Calendar'!$S$1832&gt;VAL_DATE)=0,"",'Dvd Calendar'!$S$1832*1000000000+ISNUMBER('Dvd Calendar'!$S$1833)*100000000+0*10000000+(N('Dvd Calendar'!$S$1831)&gt;0)*(N('Dvd Calendar'!$S$1831)&lt;=VAL_SERIAL)*1000000+25*1000+55))</f>
        <v/>
      </c>
      <c r="GH184" s="39">
        <f>IF(N('Dvd Calendar'!$T$1832)=0,"",IF(('Dvd Calendar'!$T$1832&gt;=GRID_FROM)*('Dvd Calendar'!$T$1832&lt;=GRID_TO)*('Dvd Calendar'!$T$1832&gt;VAL_DATE)=0,"",'Dvd Calendar'!$T$1832*1000000000+ISNUMBER('Dvd Calendar'!$T$1833)*100000000+0*10000000+(N('Dvd Calendar'!$T$1831)&gt;0)*(N('Dvd Calendar'!$T$1831)&lt;=VAL_SERIAL)*1000000+25*1000+56))</f>
        <v/>
      </c>
      <c r="GI184" s="39">
        <f>IF(N('Dvd Calendar'!$U$1832)=0,"",IF(('Dvd Calendar'!$U$1832&gt;=GRID_FROM)*('Dvd Calendar'!$U$1832&lt;=GRID_TO)*('Dvd Calendar'!$U$1832&gt;VAL_DATE)=0,"",'Dvd Calendar'!$U$1832*1000000000+ISNUMBER('Dvd Calendar'!$U$1833)*100000000+0*10000000+(N('Dvd Calendar'!$U$1831)&gt;0)*(N('Dvd Calendar'!$U$1831)&lt;=VAL_SERIAL)*1000000+25*1000+57))</f>
        <v/>
      </c>
      <c r="GJ184" s="39">
        <f>IF(N('Dvd Calendar'!$V$1832)=0,"",IF(('Dvd Calendar'!$V$1832&gt;=GRID_FROM)*('Dvd Calendar'!$V$1832&lt;=GRID_TO)*('Dvd Calendar'!$V$1832&gt;VAL_DATE)=0,"",'Dvd Calendar'!$V$1832*1000000000+ISNUMBER('Dvd Calendar'!$V$1833)*100000000+0*10000000+(N('Dvd Calendar'!$V$1831)&gt;0)*(N('Dvd Calendar'!$V$1831)&lt;=VAL_SERIAL)*1000000+25*1000+58))</f>
        <v/>
      </c>
      <c r="GK184" s="39">
        <f>IF(N('Dvd Calendar'!$W$1832)=0,"",IF(('Dvd Calendar'!$W$1832&gt;=GRID_FROM)*('Dvd Calendar'!$W$1832&lt;=GRID_TO)*('Dvd Calendar'!$W$1832&gt;VAL_DATE)=0,"",'Dvd Calendar'!$W$1832*1000000000+ISNUMBER('Dvd Calendar'!$W$1833)*100000000+0*10000000+(N('Dvd Calendar'!$W$1831)&gt;0)*(N('Dvd Calendar'!$W$1831)&lt;=VAL_SERIAL)*1000000+25*1000+59))</f>
        <v/>
      </c>
      <c r="GL184" s="39">
        <f>IF(N('Dvd Calendar'!$X$1832)=0,"",IF(('Dvd Calendar'!$X$1832&gt;=GRID_FROM)*('Dvd Calendar'!$X$1832&lt;=GRID_TO)*('Dvd Calendar'!$X$1832&gt;VAL_DATE)=0,"",'Dvd Calendar'!$X$1832*1000000000+ISNUMBER('Dvd Calendar'!$X$1833)*100000000+0*10000000+(N('Dvd Calendar'!$X$1831)&gt;0)*(N('Dvd Calendar'!$X$1831)&lt;=VAL_SERIAL)*1000000+25*1000+60))</f>
        <v/>
      </c>
      <c r="GM184" s="39">
        <f>IF(N('Dvd Calendar'!$Y$1832)=0,"",IF(('Dvd Calendar'!$Y$1832&gt;=GRID_FROM)*('Dvd Calendar'!$Y$1832&lt;=GRID_TO)*('Dvd Calendar'!$Y$1832&gt;VAL_DATE)=0,"",'Dvd Calendar'!$Y$1832*1000000000+ISNUMBER('Dvd Calendar'!$Y$1833)*100000000+0*10000000+(N('Dvd Calendar'!$Y$1831)&gt;0)*(N('Dvd Calendar'!$Y$1831)&lt;=VAL_SERIAL)*1000000+25*1000+61))</f>
        <v/>
      </c>
      <c r="GN184" s="39">
        <f>IF(N('Dvd Calendar'!$Z$1832)=0,"",IF(('Dvd Calendar'!$Z$1832&gt;=GRID_FROM)*('Dvd Calendar'!$Z$1832&lt;=GRID_TO)*('Dvd Calendar'!$Z$1832&gt;VAL_DATE)=0,"",'Dvd Calendar'!$Z$1832*1000000000+ISNUMBER('Dvd Calendar'!$Z$1833)*100000000+0*10000000+(N('Dvd Calendar'!$Z$1831)&gt;0)*(N('Dvd Calendar'!$Z$1831)&lt;=VAL_SERIAL)*1000000+25*1000+62))</f>
        <v/>
      </c>
      <c r="GO184" s="39">
        <f>IF(N('Dvd Calendar'!$AA$1832)=0,"",IF(('Dvd Calendar'!$AA$1832&gt;=GRID_FROM)*('Dvd Calendar'!$AA$1832&lt;=GRID_TO)*('Dvd Calendar'!$AA$1832&gt;VAL_DATE)=0,"",'Dvd Calendar'!$AA$1832*1000000000+ISNUMBER('Dvd Calendar'!$AA$1833)*100000000+0*10000000+(N('Dvd Calendar'!$AA$1831)&gt;0)*(N('Dvd Calendar'!$AA$1831)&lt;=VAL_SERIAL)*1000000+25*1000+63))</f>
        <v/>
      </c>
      <c r="GP184" s="39">
        <f>IF(N('Dvd Calendar'!$AB$1832)=0,"",IF(('Dvd Calendar'!$AB$1832&gt;=GRID_FROM)*('Dvd Calendar'!$AB$1832&lt;=GRID_TO)*('Dvd Calendar'!$AB$1832&gt;VAL_DATE)=0,"",'Dvd Calendar'!$AB$1832*1000000000+ISNUMBER('Dvd Calendar'!$AB$1833)*100000000+0*10000000+(N('Dvd Calendar'!$AB$1831)&gt;0)*(N('Dvd Calendar'!$AB$1831)&lt;=VAL_SERIAL)*1000000+25*1000+64))</f>
        <v/>
      </c>
      <c r="GQ184" s="39">
        <f>IF(N('Dvd Calendar'!$AC$1832)=0,"",IF(('Dvd Calendar'!$AC$1832&gt;=GRID_FROM)*('Dvd Calendar'!$AC$1832&lt;=GRID_TO)*('Dvd Calendar'!$AC$1832&gt;VAL_DATE)=0,"",'Dvd Calendar'!$AC$1832*1000000000+ISNUMBER('Dvd Calendar'!$AC$1833)*100000000+0*10000000+(N('Dvd Calendar'!$AC$1831)&gt;0)*(N('Dvd Calendar'!$AC$1831)&lt;=VAL_SERIAL)*1000000+25*1000+65))</f>
        <v/>
      </c>
    </row>
    <row r="185">
      <c r="B185" s="2">
        <f>IF(HSCEI!$C$32="","",HSCEI!$C$32)</f>
        <v/>
      </c>
      <c r="C185" s="110">
        <f>IF(EE185="","",IF(ISNUMBER('Dvd Calendar'!$E$1839)=FALSE,"",IF((('Dvd Calendar'!$E$1841=TYPE1)*(TYPE1&lt;&gt;"")+('Dvd Calendar'!$E$1841=TYPE2)*(TYPE2&lt;&gt;"")+('Dvd Calendar'!$E$1841=TYPE3)*(TYPE3&lt;&gt;"")+('Dvd Calendar'!$E$1841=TYPE4)*(TYPE4&lt;&gt;"")+('Dvd Calendar'!$E$1841=SPECIAL_LBL)*(INC_SPECIALS="Y"))=0,"",'Dvd Calendar'!$E$1839)))</f>
        <v/>
      </c>
      <c r="D185" s="110">
        <f>IF(EF185="","",IF(ISNUMBER('Dvd Calendar'!$F$1839)=FALSE,"",IF((('Dvd Calendar'!$F$1841=TYPE1)*(TYPE1&lt;&gt;"")+('Dvd Calendar'!$F$1841=TYPE2)*(TYPE2&lt;&gt;"")+('Dvd Calendar'!$F$1841=TYPE3)*(TYPE3&lt;&gt;"")+('Dvd Calendar'!$F$1841=TYPE4)*(TYPE4&lt;&gt;"")+('Dvd Calendar'!$F$1841=SPECIAL_LBL)*(INC_SPECIALS="Y"))=0,"",'Dvd Calendar'!$F$1839)))</f>
        <v/>
      </c>
      <c r="E185" s="110">
        <f>IF(EG185="","",IF(ISNUMBER('Dvd Calendar'!$G$1839)=FALSE,"",IF((('Dvd Calendar'!$G$1841=TYPE1)*(TYPE1&lt;&gt;"")+('Dvd Calendar'!$G$1841=TYPE2)*(TYPE2&lt;&gt;"")+('Dvd Calendar'!$G$1841=TYPE3)*(TYPE3&lt;&gt;"")+('Dvd Calendar'!$G$1841=TYPE4)*(TYPE4&lt;&gt;"")+('Dvd Calendar'!$G$1841=SPECIAL_LBL)*(INC_SPECIALS="Y"))=0,"",'Dvd Calendar'!$G$1839)))</f>
        <v/>
      </c>
      <c r="F185" s="110">
        <f>IF(EH185="","",IF(ISNUMBER('Dvd Calendar'!$H$1839)=FALSE,"",IF((('Dvd Calendar'!$H$1841=TYPE1)*(TYPE1&lt;&gt;"")+('Dvd Calendar'!$H$1841=TYPE2)*(TYPE2&lt;&gt;"")+('Dvd Calendar'!$H$1841=TYPE3)*(TYPE3&lt;&gt;"")+('Dvd Calendar'!$H$1841=TYPE4)*(TYPE4&lt;&gt;"")+('Dvd Calendar'!$H$1841=SPECIAL_LBL)*(INC_SPECIALS="Y"))=0,"",'Dvd Calendar'!$H$1839)))</f>
        <v/>
      </c>
      <c r="G185" s="110">
        <f>IF(EI185="","",IF(ISNUMBER('Dvd Calendar'!$I$1839)=FALSE,"",IF((('Dvd Calendar'!$I$1841=TYPE1)*(TYPE1&lt;&gt;"")+('Dvd Calendar'!$I$1841=TYPE2)*(TYPE2&lt;&gt;"")+('Dvd Calendar'!$I$1841=TYPE3)*(TYPE3&lt;&gt;"")+('Dvd Calendar'!$I$1841=TYPE4)*(TYPE4&lt;&gt;"")+('Dvd Calendar'!$I$1841=SPECIAL_LBL)*(INC_SPECIALS="Y"))=0,"",'Dvd Calendar'!$I$1839)))</f>
        <v/>
      </c>
      <c r="H185" s="110">
        <f>IF(EJ185="","",IF(ISNUMBER('Dvd Calendar'!$J$1839)=FALSE,"",IF((('Dvd Calendar'!$J$1841=TYPE1)*(TYPE1&lt;&gt;"")+('Dvd Calendar'!$J$1841=TYPE2)*(TYPE2&lt;&gt;"")+('Dvd Calendar'!$J$1841=TYPE3)*(TYPE3&lt;&gt;"")+('Dvd Calendar'!$J$1841=TYPE4)*(TYPE4&lt;&gt;"")+('Dvd Calendar'!$J$1841=SPECIAL_LBL)*(INC_SPECIALS="Y"))=0,"",'Dvd Calendar'!$J$1839)))</f>
        <v/>
      </c>
      <c r="I185" s="110">
        <f>IF(EK185="","",IF(ISNUMBER('Dvd Calendar'!$K$1839)=FALSE,"",IF((('Dvd Calendar'!$K$1841=TYPE1)*(TYPE1&lt;&gt;"")+('Dvd Calendar'!$K$1841=TYPE2)*(TYPE2&lt;&gt;"")+('Dvd Calendar'!$K$1841=TYPE3)*(TYPE3&lt;&gt;"")+('Dvd Calendar'!$K$1841=TYPE4)*(TYPE4&lt;&gt;"")+('Dvd Calendar'!$K$1841=SPECIAL_LBL)*(INC_SPECIALS="Y"))=0,"",'Dvd Calendar'!$K$1839)))</f>
        <v/>
      </c>
      <c r="J185" s="110">
        <f>IF(EL185="","",IF(ISNUMBER('Dvd Calendar'!$L$1839)=FALSE,"",IF((('Dvd Calendar'!$L$1841=TYPE1)*(TYPE1&lt;&gt;"")+('Dvd Calendar'!$L$1841=TYPE2)*(TYPE2&lt;&gt;"")+('Dvd Calendar'!$L$1841=TYPE3)*(TYPE3&lt;&gt;"")+('Dvd Calendar'!$L$1841=TYPE4)*(TYPE4&lt;&gt;"")+('Dvd Calendar'!$L$1841=SPECIAL_LBL)*(INC_SPECIALS="Y"))=0,"",'Dvd Calendar'!$L$1839)))</f>
        <v/>
      </c>
      <c r="K185" s="110">
        <f>IF(EM185="","",IF(ISNUMBER('Dvd Calendar'!$M$1839)=FALSE,"",IF((('Dvd Calendar'!$M$1841=TYPE1)*(TYPE1&lt;&gt;"")+('Dvd Calendar'!$M$1841=TYPE2)*(TYPE2&lt;&gt;"")+('Dvd Calendar'!$M$1841=TYPE3)*(TYPE3&lt;&gt;"")+('Dvd Calendar'!$M$1841=TYPE4)*(TYPE4&lt;&gt;"")+('Dvd Calendar'!$M$1841=SPECIAL_LBL)*(INC_SPECIALS="Y"))=0,"",'Dvd Calendar'!$M$1839)))</f>
        <v/>
      </c>
      <c r="L185" s="110">
        <f>IF(EN185="","",IF(ISNUMBER('Dvd Calendar'!$N$1839)=FALSE,"",IF((('Dvd Calendar'!$N$1841=TYPE1)*(TYPE1&lt;&gt;"")+('Dvd Calendar'!$N$1841=TYPE2)*(TYPE2&lt;&gt;"")+('Dvd Calendar'!$N$1841=TYPE3)*(TYPE3&lt;&gt;"")+('Dvd Calendar'!$N$1841=TYPE4)*(TYPE4&lt;&gt;"")+('Dvd Calendar'!$N$1841=SPECIAL_LBL)*(INC_SPECIALS="Y"))=0,"",'Dvd Calendar'!$N$1839)))</f>
        <v/>
      </c>
      <c r="M185" s="110">
        <f>IF(EO185="","",IF(ISNUMBER('Dvd Calendar'!$O$1839)=FALSE,"",IF((('Dvd Calendar'!$O$1841=TYPE1)*(TYPE1&lt;&gt;"")+('Dvd Calendar'!$O$1841=TYPE2)*(TYPE2&lt;&gt;"")+('Dvd Calendar'!$O$1841=TYPE3)*(TYPE3&lt;&gt;"")+('Dvd Calendar'!$O$1841=TYPE4)*(TYPE4&lt;&gt;"")+('Dvd Calendar'!$O$1841=SPECIAL_LBL)*(INC_SPECIALS="Y"))=0,"",'Dvd Calendar'!$O$1839)))</f>
        <v/>
      </c>
      <c r="N185" s="110">
        <f>IF(EP185="","",IF(ISNUMBER('Dvd Calendar'!$P$1839)=FALSE,"",IF((('Dvd Calendar'!$P$1841=TYPE1)*(TYPE1&lt;&gt;"")+('Dvd Calendar'!$P$1841=TYPE2)*(TYPE2&lt;&gt;"")+('Dvd Calendar'!$P$1841=TYPE3)*(TYPE3&lt;&gt;"")+('Dvd Calendar'!$P$1841=TYPE4)*(TYPE4&lt;&gt;"")+('Dvd Calendar'!$P$1841=SPECIAL_LBL)*(INC_SPECIALS="Y"))=0,"",'Dvd Calendar'!$P$1839)))</f>
        <v/>
      </c>
      <c r="O185" s="110">
        <f>IF(EQ185="","",IF(ISNUMBER('Dvd Calendar'!$Q$1839)=FALSE,"",IF((('Dvd Calendar'!$Q$1841=TYPE1)*(TYPE1&lt;&gt;"")+('Dvd Calendar'!$Q$1841=TYPE2)*(TYPE2&lt;&gt;"")+('Dvd Calendar'!$Q$1841=TYPE3)*(TYPE3&lt;&gt;"")+('Dvd Calendar'!$Q$1841=TYPE4)*(TYPE4&lt;&gt;"")+('Dvd Calendar'!$Q$1841=SPECIAL_LBL)*(INC_SPECIALS="Y"))=0,"",'Dvd Calendar'!$Q$1839)))</f>
        <v/>
      </c>
      <c r="P185" s="110">
        <f>IF(ER185="","",IF(ISNUMBER('Dvd Calendar'!$R$1839)=FALSE,"",IF((('Dvd Calendar'!$R$1841=TYPE1)*(TYPE1&lt;&gt;"")+('Dvd Calendar'!$R$1841=TYPE2)*(TYPE2&lt;&gt;"")+('Dvd Calendar'!$R$1841=TYPE3)*(TYPE3&lt;&gt;"")+('Dvd Calendar'!$R$1841=TYPE4)*(TYPE4&lt;&gt;"")+('Dvd Calendar'!$R$1841=SPECIAL_LBL)*(INC_SPECIALS="Y"))=0,"",'Dvd Calendar'!$R$1839)))</f>
        <v/>
      </c>
      <c r="Q185" s="110">
        <f>IF(ES185="","",IF(ISNUMBER('Dvd Calendar'!$S$1839)=FALSE,"",IF((('Dvd Calendar'!$S$1841=TYPE1)*(TYPE1&lt;&gt;"")+('Dvd Calendar'!$S$1841=TYPE2)*(TYPE2&lt;&gt;"")+('Dvd Calendar'!$S$1841=TYPE3)*(TYPE3&lt;&gt;"")+('Dvd Calendar'!$S$1841=TYPE4)*(TYPE4&lt;&gt;"")+('Dvd Calendar'!$S$1841=SPECIAL_LBL)*(INC_SPECIALS="Y"))=0,"",'Dvd Calendar'!$S$1839)))</f>
        <v/>
      </c>
      <c r="R185" s="110">
        <f>IF(ET185="","",IF(ISNUMBER('Dvd Calendar'!$T$1839)=FALSE,"",IF((('Dvd Calendar'!$T$1841=TYPE1)*(TYPE1&lt;&gt;"")+('Dvd Calendar'!$T$1841=TYPE2)*(TYPE2&lt;&gt;"")+('Dvd Calendar'!$T$1841=TYPE3)*(TYPE3&lt;&gt;"")+('Dvd Calendar'!$T$1841=TYPE4)*(TYPE4&lt;&gt;"")+('Dvd Calendar'!$T$1841=SPECIAL_LBL)*(INC_SPECIALS="Y"))=0,"",'Dvd Calendar'!$T$1839)))</f>
        <v/>
      </c>
      <c r="S185" s="110">
        <f>IF(EU185="","",IF(ISNUMBER('Dvd Calendar'!$U$1839)=FALSE,"",IF((('Dvd Calendar'!$U$1841=TYPE1)*(TYPE1&lt;&gt;"")+('Dvd Calendar'!$U$1841=TYPE2)*(TYPE2&lt;&gt;"")+('Dvd Calendar'!$U$1841=TYPE3)*(TYPE3&lt;&gt;"")+('Dvd Calendar'!$U$1841=TYPE4)*(TYPE4&lt;&gt;"")+('Dvd Calendar'!$U$1841=SPECIAL_LBL)*(INC_SPECIALS="Y"))=0,"",'Dvd Calendar'!$U$1839)))</f>
        <v/>
      </c>
      <c r="T185" s="110">
        <f>IF(EV185="","",IF(ISNUMBER('Dvd Calendar'!$V$1839)=FALSE,"",IF((('Dvd Calendar'!$V$1841=TYPE1)*(TYPE1&lt;&gt;"")+('Dvd Calendar'!$V$1841=TYPE2)*(TYPE2&lt;&gt;"")+('Dvd Calendar'!$V$1841=TYPE3)*(TYPE3&lt;&gt;"")+('Dvd Calendar'!$V$1841=TYPE4)*(TYPE4&lt;&gt;"")+('Dvd Calendar'!$V$1841=SPECIAL_LBL)*(INC_SPECIALS="Y"))=0,"",'Dvd Calendar'!$V$1839)))</f>
        <v/>
      </c>
      <c r="U185" s="110">
        <f>IF(EW185="","",IF(ISNUMBER('Dvd Calendar'!$W$1839)=FALSE,"",IF((('Dvd Calendar'!$W$1841=TYPE1)*(TYPE1&lt;&gt;"")+('Dvd Calendar'!$W$1841=TYPE2)*(TYPE2&lt;&gt;"")+('Dvd Calendar'!$W$1841=TYPE3)*(TYPE3&lt;&gt;"")+('Dvd Calendar'!$W$1841=TYPE4)*(TYPE4&lt;&gt;"")+('Dvd Calendar'!$W$1841=SPECIAL_LBL)*(INC_SPECIALS="Y"))=0,"",'Dvd Calendar'!$W$1839)))</f>
        <v/>
      </c>
      <c r="V185" s="110">
        <f>IF(EX185="","",IF(ISNUMBER('Dvd Calendar'!$X$1839)=FALSE,"",IF((('Dvd Calendar'!$X$1841=TYPE1)*(TYPE1&lt;&gt;"")+('Dvd Calendar'!$X$1841=TYPE2)*(TYPE2&lt;&gt;"")+('Dvd Calendar'!$X$1841=TYPE3)*(TYPE3&lt;&gt;"")+('Dvd Calendar'!$X$1841=TYPE4)*(TYPE4&lt;&gt;"")+('Dvd Calendar'!$X$1841=SPECIAL_LBL)*(INC_SPECIALS="Y"))=0,"",'Dvd Calendar'!$X$1839)))</f>
        <v/>
      </c>
      <c r="W185" s="110">
        <f>IF(EY185="","",IF(ISNUMBER('Dvd Calendar'!$Y$1839)=FALSE,"",IF((('Dvd Calendar'!$Y$1841=TYPE1)*(TYPE1&lt;&gt;"")+('Dvd Calendar'!$Y$1841=TYPE2)*(TYPE2&lt;&gt;"")+('Dvd Calendar'!$Y$1841=TYPE3)*(TYPE3&lt;&gt;"")+('Dvd Calendar'!$Y$1841=TYPE4)*(TYPE4&lt;&gt;"")+('Dvd Calendar'!$Y$1841=SPECIAL_LBL)*(INC_SPECIALS="Y"))=0,"",'Dvd Calendar'!$Y$1839)))</f>
        <v/>
      </c>
      <c r="X185" s="110">
        <f>IF(EZ185="","",IF(ISNUMBER('Dvd Calendar'!$Z$1839)=FALSE,"",IF((('Dvd Calendar'!$Z$1841=TYPE1)*(TYPE1&lt;&gt;"")+('Dvd Calendar'!$Z$1841=TYPE2)*(TYPE2&lt;&gt;"")+('Dvd Calendar'!$Z$1841=TYPE3)*(TYPE3&lt;&gt;"")+('Dvd Calendar'!$Z$1841=TYPE4)*(TYPE4&lt;&gt;"")+('Dvd Calendar'!$Z$1841=SPECIAL_LBL)*(INC_SPECIALS="Y"))=0,"",'Dvd Calendar'!$Z$1839)))</f>
        <v/>
      </c>
      <c r="Y185" s="110">
        <f>IF(FA185="","",IF(ISNUMBER('Dvd Calendar'!$AA$1839)=FALSE,"",IF((('Dvd Calendar'!$AA$1841=TYPE1)*(TYPE1&lt;&gt;"")+('Dvd Calendar'!$AA$1841=TYPE2)*(TYPE2&lt;&gt;"")+('Dvd Calendar'!$AA$1841=TYPE3)*(TYPE3&lt;&gt;"")+('Dvd Calendar'!$AA$1841=TYPE4)*(TYPE4&lt;&gt;"")+('Dvd Calendar'!$AA$1841=SPECIAL_LBL)*(INC_SPECIALS="Y"))=0,"",'Dvd Calendar'!$AA$1839)))</f>
        <v/>
      </c>
      <c r="Z185" s="110">
        <f>IF(FB185="","",IF(ISNUMBER('Dvd Calendar'!$AB$1839)=FALSE,"",IF((('Dvd Calendar'!$AB$1841=TYPE1)*(TYPE1&lt;&gt;"")+('Dvd Calendar'!$AB$1841=TYPE2)*(TYPE2&lt;&gt;"")+('Dvd Calendar'!$AB$1841=TYPE3)*(TYPE3&lt;&gt;"")+('Dvd Calendar'!$AB$1841=TYPE4)*(TYPE4&lt;&gt;"")+('Dvd Calendar'!$AB$1841=SPECIAL_LBL)*(INC_SPECIALS="Y"))=0,"",'Dvd Calendar'!$AB$1839)))</f>
        <v/>
      </c>
      <c r="AA185" s="110">
        <f>IF(FC185="","",IF(ISNUMBER('Dvd Calendar'!$AC$1839)=FALSE,"",IF((('Dvd Calendar'!$AC$1841=TYPE1)*(TYPE1&lt;&gt;"")+('Dvd Calendar'!$AC$1841=TYPE2)*(TYPE2&lt;&gt;"")+('Dvd Calendar'!$AC$1841=TYPE3)*(TYPE3&lt;&gt;"")+('Dvd Calendar'!$AC$1841=TYPE4)*(TYPE4&lt;&gt;"")+('Dvd Calendar'!$AC$1841=SPECIAL_LBL)*(INC_SPECIALS="Y"))=0,"",'Dvd Calendar'!$AC$1839)))</f>
        <v/>
      </c>
      <c r="AB185" s="110">
        <f>IF(FD185="","",IF(ISNUMBER('Dvd Calendar'!$AD$1839)=FALSE,"",IF((('Dvd Calendar'!$AD$1841=TYPE1)*(TYPE1&lt;&gt;"")+('Dvd Calendar'!$AD$1841=TYPE2)*(TYPE2&lt;&gt;"")+('Dvd Calendar'!$AD$1841=TYPE3)*(TYPE3&lt;&gt;"")+('Dvd Calendar'!$AD$1841=TYPE4)*(TYPE4&lt;&gt;"")+('Dvd Calendar'!$AD$1841=SPECIAL_LBL)*(INC_SPECIALS="Y"))=0,"",'Dvd Calendar'!$AD$1839)))</f>
        <v/>
      </c>
      <c r="AC185" s="110">
        <f>IF(FE185="","",IF(ISNUMBER('Dvd Calendar'!$AE$1839)=FALSE,"",IF((('Dvd Calendar'!$AE$1841=TYPE1)*(TYPE1&lt;&gt;"")+('Dvd Calendar'!$AE$1841=TYPE2)*(TYPE2&lt;&gt;"")+('Dvd Calendar'!$AE$1841=TYPE3)*(TYPE3&lt;&gt;"")+('Dvd Calendar'!$AE$1841=TYPE4)*(TYPE4&lt;&gt;"")+('Dvd Calendar'!$AE$1841=SPECIAL_LBL)*(INC_SPECIALS="Y"))=0,"",'Dvd Calendar'!$AE$1839)))</f>
        <v/>
      </c>
      <c r="AD185" s="110">
        <f>IF(FF185="","",IF(ISNUMBER('Dvd Calendar'!$AF$1839)=FALSE,"",IF((('Dvd Calendar'!$AF$1841=TYPE1)*(TYPE1&lt;&gt;"")+('Dvd Calendar'!$AF$1841=TYPE2)*(TYPE2&lt;&gt;"")+('Dvd Calendar'!$AF$1841=TYPE3)*(TYPE3&lt;&gt;"")+('Dvd Calendar'!$AF$1841=TYPE4)*(TYPE4&lt;&gt;"")+('Dvd Calendar'!$AF$1841=SPECIAL_LBL)*(INC_SPECIALS="Y"))=0,"",'Dvd Calendar'!$AF$1839)))</f>
        <v/>
      </c>
      <c r="AE185" s="110">
        <f>IF(FG185="","",IF(ISNUMBER('Dvd Calendar'!$AG$1839)=FALSE,"",IF((('Dvd Calendar'!$AG$1841=TYPE1)*(TYPE1&lt;&gt;"")+('Dvd Calendar'!$AG$1841=TYPE2)*(TYPE2&lt;&gt;"")+('Dvd Calendar'!$AG$1841=TYPE3)*(TYPE3&lt;&gt;"")+('Dvd Calendar'!$AG$1841=TYPE4)*(TYPE4&lt;&gt;"")+('Dvd Calendar'!$AG$1841=SPECIAL_LBL)*(INC_SPECIALS="Y"))=0,"",'Dvd Calendar'!$AG$1839)))</f>
        <v/>
      </c>
      <c r="AF185" s="110">
        <f>IF(FH185="","",IF(ISNUMBER('Dvd Calendar'!$AH$1839)=FALSE,"",IF((('Dvd Calendar'!$AH$1841=TYPE1)*(TYPE1&lt;&gt;"")+('Dvd Calendar'!$AH$1841=TYPE2)*(TYPE2&lt;&gt;"")+('Dvd Calendar'!$AH$1841=TYPE3)*(TYPE3&lt;&gt;"")+('Dvd Calendar'!$AH$1841=TYPE4)*(TYPE4&lt;&gt;"")+('Dvd Calendar'!$AH$1841=SPECIAL_LBL)*(INC_SPECIALS="Y"))=0,"",'Dvd Calendar'!$AH$1839)))</f>
        <v/>
      </c>
      <c r="AG185" s="110">
        <f>IF(FI185="","",IF(ISNUMBER('Dvd Calendar'!$AI$1839)=FALSE,"",IF((('Dvd Calendar'!$AI$1841=TYPE1)*(TYPE1&lt;&gt;"")+('Dvd Calendar'!$AI$1841=TYPE2)*(TYPE2&lt;&gt;"")+('Dvd Calendar'!$AI$1841=TYPE3)*(TYPE3&lt;&gt;"")+('Dvd Calendar'!$AI$1841=TYPE4)*(TYPE4&lt;&gt;"")+('Dvd Calendar'!$AI$1841=SPECIAL_LBL)*(INC_SPECIALS="Y"))=0,"",'Dvd Calendar'!$AI$1839)))</f>
        <v/>
      </c>
      <c r="AH185" s="110">
        <f>IF(FJ185="","",IF(ISNUMBER('Dvd Calendar'!$AJ$1839)=FALSE,"",IF((('Dvd Calendar'!$AJ$1841=TYPE1)*(TYPE1&lt;&gt;"")+('Dvd Calendar'!$AJ$1841=TYPE2)*(TYPE2&lt;&gt;"")+('Dvd Calendar'!$AJ$1841=TYPE3)*(TYPE3&lt;&gt;"")+('Dvd Calendar'!$AJ$1841=TYPE4)*(TYPE4&lt;&gt;"")+('Dvd Calendar'!$AJ$1841=SPECIAL_LBL)*(INC_SPECIALS="Y"))=0,"",'Dvd Calendar'!$AJ$1839)))</f>
        <v/>
      </c>
      <c r="AI185" s="110">
        <f>IF(FK185="","",IF(ISNUMBER('Dvd Calendar'!$AK$1839)=FALSE,"",IF((('Dvd Calendar'!$AK$1841=TYPE1)*(TYPE1&lt;&gt;"")+('Dvd Calendar'!$AK$1841=TYPE2)*(TYPE2&lt;&gt;"")+('Dvd Calendar'!$AK$1841=TYPE3)*(TYPE3&lt;&gt;"")+('Dvd Calendar'!$AK$1841=TYPE4)*(TYPE4&lt;&gt;"")+('Dvd Calendar'!$AK$1841=SPECIAL_LBL)*(INC_SPECIALS="Y"))=0,"",'Dvd Calendar'!$AK$1839)))</f>
        <v/>
      </c>
      <c r="AJ185" s="110">
        <f>IF(FL185="","",IF(ISNUMBER('Dvd Calendar'!$AL$1839)=FALSE,"",IF((('Dvd Calendar'!$AL$1841=TYPE1)*(TYPE1&lt;&gt;"")+('Dvd Calendar'!$AL$1841=TYPE2)*(TYPE2&lt;&gt;"")+('Dvd Calendar'!$AL$1841=TYPE3)*(TYPE3&lt;&gt;"")+('Dvd Calendar'!$AL$1841=TYPE4)*(TYPE4&lt;&gt;"")+('Dvd Calendar'!$AL$1841=SPECIAL_LBL)*(INC_SPECIALS="Y"))=0,"",'Dvd Calendar'!$AL$1839)))</f>
        <v/>
      </c>
      <c r="AK185" s="110">
        <f>IF(FM185="","",IF(ISNUMBER('Dvd Calendar'!$AM$1839)=FALSE,"",IF((('Dvd Calendar'!$AM$1841=TYPE1)*(TYPE1&lt;&gt;"")+('Dvd Calendar'!$AM$1841=TYPE2)*(TYPE2&lt;&gt;"")+('Dvd Calendar'!$AM$1841=TYPE3)*(TYPE3&lt;&gt;"")+('Dvd Calendar'!$AM$1841=TYPE4)*(TYPE4&lt;&gt;"")+('Dvd Calendar'!$AM$1841=SPECIAL_LBL)*(INC_SPECIALS="Y"))=0,"",'Dvd Calendar'!$AM$1839)))</f>
        <v/>
      </c>
      <c r="AL185" s="110">
        <f>IF(FN185="","",IF(ISNUMBER('Dvd Calendar'!$AN$1839)=FALSE,"",IF((('Dvd Calendar'!$AN$1841=TYPE1)*(TYPE1&lt;&gt;"")+('Dvd Calendar'!$AN$1841=TYPE2)*(TYPE2&lt;&gt;"")+('Dvd Calendar'!$AN$1841=TYPE3)*(TYPE3&lt;&gt;"")+('Dvd Calendar'!$AN$1841=TYPE4)*(TYPE4&lt;&gt;"")+('Dvd Calendar'!$AN$1841=SPECIAL_LBL)*(INC_SPECIALS="Y"))=0,"",'Dvd Calendar'!$AN$1839)))</f>
        <v/>
      </c>
      <c r="AM185" s="110">
        <f>IF(FO185="","",IF(ISNUMBER('Dvd Calendar'!$AO$1839)=FALSE,"",IF((('Dvd Calendar'!$AO$1841=TYPE1)*(TYPE1&lt;&gt;"")+('Dvd Calendar'!$AO$1841=TYPE2)*(TYPE2&lt;&gt;"")+('Dvd Calendar'!$AO$1841=TYPE3)*(TYPE3&lt;&gt;"")+('Dvd Calendar'!$AO$1841=TYPE4)*(TYPE4&lt;&gt;"")+('Dvd Calendar'!$AO$1841=SPECIAL_LBL)*(INC_SPECIALS="Y"))=0,"",'Dvd Calendar'!$AO$1839)))</f>
        <v/>
      </c>
      <c r="AN185" s="110">
        <f>IF(FP185="","",IF(ISNUMBER('Dvd Calendar'!$AP$1839)=FALSE,"",IF((('Dvd Calendar'!$AP$1841=TYPE1)*(TYPE1&lt;&gt;"")+('Dvd Calendar'!$AP$1841=TYPE2)*(TYPE2&lt;&gt;"")+('Dvd Calendar'!$AP$1841=TYPE3)*(TYPE3&lt;&gt;"")+('Dvd Calendar'!$AP$1841=TYPE4)*(TYPE4&lt;&gt;"")+('Dvd Calendar'!$AP$1841=SPECIAL_LBL)*(INC_SPECIALS="Y"))=0,"",'Dvd Calendar'!$AP$1839)))</f>
        <v/>
      </c>
      <c r="AO185" s="110">
        <f>IF(FQ185="","",IF(ISNUMBER('Dvd Calendar'!$AQ$1839)=FALSE,"",IF((('Dvd Calendar'!$AQ$1841=TYPE1)*(TYPE1&lt;&gt;"")+('Dvd Calendar'!$AQ$1841=TYPE2)*(TYPE2&lt;&gt;"")+('Dvd Calendar'!$AQ$1841=TYPE3)*(TYPE3&lt;&gt;"")+('Dvd Calendar'!$AQ$1841=TYPE4)*(TYPE4&lt;&gt;"")+('Dvd Calendar'!$AQ$1841=SPECIAL_LBL)*(INC_SPECIALS="Y"))=0,"",'Dvd Calendar'!$AQ$1839)))</f>
        <v/>
      </c>
      <c r="AP185" s="110">
        <f>IF(FR185="","",IF(ISNUMBER('Dvd Calendar'!$AR$1839)=FALSE,"",IF((('Dvd Calendar'!$AR$1841=TYPE1)*(TYPE1&lt;&gt;"")+('Dvd Calendar'!$AR$1841=TYPE2)*(TYPE2&lt;&gt;"")+('Dvd Calendar'!$AR$1841=TYPE3)*(TYPE3&lt;&gt;"")+('Dvd Calendar'!$AR$1841=TYPE4)*(TYPE4&lt;&gt;"")+('Dvd Calendar'!$AR$1841=SPECIAL_LBL)*(INC_SPECIALS="Y"))=0,"",'Dvd Calendar'!$AR$1839)))</f>
        <v/>
      </c>
      <c r="AQ185" s="110">
        <f>IF(FS185="","",IF(ISNUMBER('Dvd Calendar'!$E$1844)=FALSE,"",'Dvd Calendar'!$E$1844))</f>
        <v/>
      </c>
      <c r="AR185" s="110">
        <f>IF(FT185="","",IF(ISNUMBER('Dvd Calendar'!$F$1844)=FALSE,"",'Dvd Calendar'!$F$1844))</f>
        <v/>
      </c>
      <c r="AS185" s="110">
        <f>IF(FU185="","",IF(ISNUMBER('Dvd Calendar'!$G$1844)=FALSE,"",'Dvd Calendar'!$G$1844))</f>
        <v/>
      </c>
      <c r="AT185" s="110">
        <f>IF(FV185="","",IF(ISNUMBER('Dvd Calendar'!$H$1844)=FALSE,"",'Dvd Calendar'!$H$1844))</f>
        <v/>
      </c>
      <c r="AU185" s="110">
        <f>IF(FW185="","",IF(ISNUMBER('Dvd Calendar'!$I$1844)=FALSE,"",'Dvd Calendar'!$I$1844))</f>
        <v/>
      </c>
      <c r="AV185" s="110">
        <f>IF(FX185="","",IF(ISNUMBER('Dvd Calendar'!$J$1844)=FALSE,"",'Dvd Calendar'!$J$1844))</f>
        <v/>
      </c>
      <c r="AW185" s="110">
        <f>IF(FY185="","",IF(ISNUMBER('Dvd Calendar'!$K$1844)=FALSE,"",'Dvd Calendar'!$K$1844))</f>
        <v/>
      </c>
      <c r="AX185" s="110">
        <f>IF(FZ185="","",IF(ISNUMBER('Dvd Calendar'!$L$1844)=FALSE,"",'Dvd Calendar'!$L$1844))</f>
        <v/>
      </c>
      <c r="AY185" s="110">
        <f>IF(GA185="","",IF(ISNUMBER('Dvd Calendar'!$M$1844)=FALSE,"",'Dvd Calendar'!$M$1844))</f>
        <v/>
      </c>
      <c r="AZ185" s="110">
        <f>IF(GB185="","",IF(ISNUMBER('Dvd Calendar'!$N$1844)=FALSE,"",'Dvd Calendar'!$N$1844))</f>
        <v/>
      </c>
      <c r="BA185" s="110">
        <f>IF(GC185="","",IF(ISNUMBER('Dvd Calendar'!$O$1844)=FALSE,"",'Dvd Calendar'!$O$1844))</f>
        <v/>
      </c>
      <c r="BB185" s="110">
        <f>IF(GD185="","",IF(ISNUMBER('Dvd Calendar'!$P$1844)=FALSE,"",'Dvd Calendar'!$P$1844))</f>
        <v/>
      </c>
      <c r="BC185" s="110">
        <f>IF(GE185="","",IF(ISNUMBER('Dvd Calendar'!$Q$1844)=FALSE,"",'Dvd Calendar'!$Q$1844))</f>
        <v/>
      </c>
      <c r="BD185" s="110">
        <f>IF(GF185="","",IF(ISNUMBER('Dvd Calendar'!$R$1844)=FALSE,"",'Dvd Calendar'!$R$1844))</f>
        <v/>
      </c>
      <c r="BE185" s="110">
        <f>IF(GG185="","",IF(ISNUMBER('Dvd Calendar'!$S$1844)=FALSE,"",'Dvd Calendar'!$S$1844))</f>
        <v/>
      </c>
      <c r="BF185" s="110">
        <f>IF(GH185="","",IF(ISNUMBER('Dvd Calendar'!$T$1844)=FALSE,"",'Dvd Calendar'!$T$1844))</f>
        <v/>
      </c>
      <c r="BG185" s="110">
        <f>IF(GI185="","",IF(ISNUMBER('Dvd Calendar'!$U$1844)=FALSE,"",'Dvd Calendar'!$U$1844))</f>
        <v/>
      </c>
      <c r="BH185" s="110">
        <f>IF(GJ185="","",IF(ISNUMBER('Dvd Calendar'!$V$1844)=FALSE,"",'Dvd Calendar'!$V$1844))</f>
        <v/>
      </c>
      <c r="BI185" s="110">
        <f>IF(GK185="","",IF(ISNUMBER('Dvd Calendar'!$W$1844)=FALSE,"",'Dvd Calendar'!$W$1844))</f>
        <v/>
      </c>
      <c r="BJ185" s="110">
        <f>IF(GL185="","",IF(ISNUMBER('Dvd Calendar'!$X$1844)=FALSE,"",'Dvd Calendar'!$X$1844))</f>
        <v/>
      </c>
      <c r="BK185" s="110">
        <f>IF(GM185="","",IF(ISNUMBER('Dvd Calendar'!$Y$1844)=FALSE,"",'Dvd Calendar'!$Y$1844))</f>
        <v/>
      </c>
      <c r="BL185" s="110">
        <f>IF(GN185="","",IF(ISNUMBER('Dvd Calendar'!$Z$1844)=FALSE,"",'Dvd Calendar'!$Z$1844))</f>
        <v/>
      </c>
      <c r="BM185" s="110">
        <f>IF(GO185="","",IF(ISNUMBER('Dvd Calendar'!$AA$1844)=FALSE,"",'Dvd Calendar'!$AA$1844))</f>
        <v/>
      </c>
      <c r="BN185" s="110">
        <f>IF(GP185="","",IF(ISNUMBER('Dvd Calendar'!$AB$1844)=FALSE,"",'Dvd Calendar'!$AB$1844))</f>
        <v/>
      </c>
      <c r="BO185" s="110">
        <f>IF(GQ185="","",IF(ISNUMBER('Dvd Calendar'!$AC$1844)=FALSE,"",'Dvd Calendar'!$AC$1844))</f>
        <v/>
      </c>
      <c r="BQ185" s="110">
        <f>IF(C185="","",IFERROR(C185*HSCEI!$B$32*HSCEI!$G$32/HSCEI!$B$3,""))</f>
        <v/>
      </c>
      <c r="BR185" s="110">
        <f>IF(D185="","",IFERROR(D185*HSCEI!$B$32*HSCEI!$G$32/HSCEI!$B$3,""))</f>
        <v/>
      </c>
      <c r="BS185" s="110">
        <f>IF(E185="","",IFERROR(E185*HSCEI!$B$32*HSCEI!$G$32/HSCEI!$B$3,""))</f>
        <v/>
      </c>
      <c r="BT185" s="110">
        <f>IF(F185="","",IFERROR(F185*HSCEI!$B$32*HSCEI!$G$32/HSCEI!$B$3,""))</f>
        <v/>
      </c>
      <c r="BU185" s="110">
        <f>IF(G185="","",IFERROR(G185*HSCEI!$B$32*HSCEI!$G$32/HSCEI!$B$3,""))</f>
        <v/>
      </c>
      <c r="BV185" s="110">
        <f>IF(H185="","",IFERROR(H185*HSCEI!$B$32*HSCEI!$G$32/HSCEI!$B$3,""))</f>
        <v/>
      </c>
      <c r="BW185" s="110">
        <f>IF(I185="","",IFERROR(I185*HSCEI!$B$32*HSCEI!$G$32/HSCEI!$B$3,""))</f>
        <v/>
      </c>
      <c r="BX185" s="110">
        <f>IF(J185="","",IFERROR(J185*HSCEI!$B$32*HSCEI!$G$32/HSCEI!$B$3,""))</f>
        <v/>
      </c>
      <c r="BY185" s="110">
        <f>IF(K185="","",IFERROR(K185*HSCEI!$B$32*HSCEI!$G$32/HSCEI!$B$3,""))</f>
        <v/>
      </c>
      <c r="BZ185" s="110">
        <f>IF(L185="","",IFERROR(L185*HSCEI!$B$32*HSCEI!$G$32/HSCEI!$B$3,""))</f>
        <v/>
      </c>
      <c r="CA185" s="110">
        <f>IF(M185="","",IFERROR(M185*HSCEI!$B$32*HSCEI!$G$32/HSCEI!$B$3,""))</f>
        <v/>
      </c>
      <c r="CB185" s="110">
        <f>IF(N185="","",IFERROR(N185*HSCEI!$B$32*HSCEI!$G$32/HSCEI!$B$3,""))</f>
        <v/>
      </c>
      <c r="CC185" s="110">
        <f>IF(O185="","",IFERROR(O185*HSCEI!$B$32*HSCEI!$G$32/HSCEI!$B$3,""))</f>
        <v/>
      </c>
      <c r="CD185" s="110">
        <f>IF(P185="","",IFERROR(P185*HSCEI!$B$32*HSCEI!$G$32/HSCEI!$B$3,""))</f>
        <v/>
      </c>
      <c r="CE185" s="110">
        <f>IF(Q185="","",IFERROR(Q185*HSCEI!$B$32*HSCEI!$G$32/HSCEI!$B$3,""))</f>
        <v/>
      </c>
      <c r="CF185" s="110">
        <f>IF(R185="","",IFERROR(R185*HSCEI!$B$32*HSCEI!$G$32/HSCEI!$B$3,""))</f>
        <v/>
      </c>
      <c r="CG185" s="110">
        <f>IF(S185="","",IFERROR(S185*HSCEI!$B$32*HSCEI!$G$32/HSCEI!$B$3,""))</f>
        <v/>
      </c>
      <c r="CH185" s="110">
        <f>IF(T185="","",IFERROR(T185*HSCEI!$B$32*HSCEI!$G$32/HSCEI!$B$3,""))</f>
        <v/>
      </c>
      <c r="CI185" s="110">
        <f>IF(U185="","",IFERROR(U185*HSCEI!$B$32*HSCEI!$G$32/HSCEI!$B$3,""))</f>
        <v/>
      </c>
      <c r="CJ185" s="110">
        <f>IF(V185="","",IFERROR(V185*HSCEI!$B$32*HSCEI!$G$32/HSCEI!$B$3,""))</f>
        <v/>
      </c>
      <c r="CK185" s="110">
        <f>IF(W185="","",IFERROR(W185*HSCEI!$B$32*HSCEI!$G$32/HSCEI!$B$3,""))</f>
        <v/>
      </c>
      <c r="CL185" s="110">
        <f>IF(X185="","",IFERROR(X185*HSCEI!$B$32*HSCEI!$G$32/HSCEI!$B$3,""))</f>
        <v/>
      </c>
      <c r="CM185" s="110">
        <f>IF(Y185="","",IFERROR(Y185*HSCEI!$B$32*HSCEI!$G$32/HSCEI!$B$3,""))</f>
        <v/>
      </c>
      <c r="CN185" s="110">
        <f>IF(Z185="","",IFERROR(Z185*HSCEI!$B$32*HSCEI!$G$32/HSCEI!$B$3,""))</f>
        <v/>
      </c>
      <c r="CO185" s="110">
        <f>IF(AA185="","",IFERROR(AA185*HSCEI!$B$32*HSCEI!$G$32/HSCEI!$B$3,""))</f>
        <v/>
      </c>
      <c r="CP185" s="110">
        <f>IF(AB185="","",IFERROR(AB185*HSCEI!$B$32*HSCEI!$G$32/HSCEI!$B$3,""))</f>
        <v/>
      </c>
      <c r="CQ185" s="110">
        <f>IF(AC185="","",IFERROR(AC185*HSCEI!$B$32*HSCEI!$G$32/HSCEI!$B$3,""))</f>
        <v/>
      </c>
      <c r="CR185" s="110">
        <f>IF(AD185="","",IFERROR(AD185*HSCEI!$B$32*HSCEI!$G$32/HSCEI!$B$3,""))</f>
        <v/>
      </c>
      <c r="CS185" s="110">
        <f>IF(AE185="","",IFERROR(AE185*HSCEI!$B$32*HSCEI!$G$32/HSCEI!$B$3,""))</f>
        <v/>
      </c>
      <c r="CT185" s="110">
        <f>IF(AF185="","",IFERROR(AF185*HSCEI!$B$32*HSCEI!$G$32/HSCEI!$B$3,""))</f>
        <v/>
      </c>
      <c r="CU185" s="110">
        <f>IF(AG185="","",IFERROR(AG185*HSCEI!$B$32*HSCEI!$G$32/HSCEI!$B$3,""))</f>
        <v/>
      </c>
      <c r="CV185" s="110">
        <f>IF(AH185="","",IFERROR(AH185*HSCEI!$B$32*HSCEI!$G$32/HSCEI!$B$3,""))</f>
        <v/>
      </c>
      <c r="CW185" s="110">
        <f>IF(AI185="","",IFERROR(AI185*HSCEI!$B$32*HSCEI!$G$32/HSCEI!$B$3,""))</f>
        <v/>
      </c>
      <c r="CX185" s="110">
        <f>IF(AJ185="","",IFERROR(AJ185*HSCEI!$B$32*HSCEI!$G$32/HSCEI!$B$3,""))</f>
        <v/>
      </c>
      <c r="CY185" s="110">
        <f>IF(AK185="","",IFERROR(AK185*HSCEI!$B$32*HSCEI!$G$32/HSCEI!$B$3,""))</f>
        <v/>
      </c>
      <c r="CZ185" s="110">
        <f>IF(AL185="","",IFERROR(AL185*HSCEI!$B$32*HSCEI!$G$32/HSCEI!$B$3,""))</f>
        <v/>
      </c>
      <c r="DA185" s="110">
        <f>IF(AM185="","",IFERROR(AM185*HSCEI!$B$32*HSCEI!$G$32/HSCEI!$B$3,""))</f>
        <v/>
      </c>
      <c r="DB185" s="110">
        <f>IF(AN185="","",IFERROR(AN185*HSCEI!$B$32*HSCEI!$G$32/HSCEI!$B$3,""))</f>
        <v/>
      </c>
      <c r="DC185" s="110">
        <f>IF(AO185="","",IFERROR(AO185*HSCEI!$B$32*HSCEI!$G$32/HSCEI!$B$3,""))</f>
        <v/>
      </c>
      <c r="DD185" s="110">
        <f>IF(AP185="","",IFERROR(AP185*HSCEI!$B$32*HSCEI!$G$32/HSCEI!$B$3,""))</f>
        <v/>
      </c>
      <c r="DE185" s="110">
        <f>IF(AQ185="","",IFERROR(AQ185*HSCEI!$B$32*HSCEI!$G$32/HSCEI!$B$3,""))</f>
        <v/>
      </c>
      <c r="DF185" s="110">
        <f>IF(AR185="","",IFERROR(AR185*HSCEI!$B$32*HSCEI!$G$32/HSCEI!$B$3,""))</f>
        <v/>
      </c>
      <c r="DG185" s="110">
        <f>IF(AS185="","",IFERROR(AS185*HSCEI!$B$32*HSCEI!$G$32/HSCEI!$B$3,""))</f>
        <v/>
      </c>
      <c r="DH185" s="110">
        <f>IF(AT185="","",IFERROR(AT185*HSCEI!$B$32*HSCEI!$G$32/HSCEI!$B$3,""))</f>
        <v/>
      </c>
      <c r="DI185" s="110">
        <f>IF(AU185="","",IFERROR(AU185*HSCEI!$B$32*HSCEI!$G$32/HSCEI!$B$3,""))</f>
        <v/>
      </c>
      <c r="DJ185" s="110">
        <f>IF(AV185="","",IFERROR(AV185*HSCEI!$B$32*HSCEI!$G$32/HSCEI!$B$3,""))</f>
        <v/>
      </c>
      <c r="DK185" s="110">
        <f>IF(AW185="","",IFERROR(AW185*HSCEI!$B$32*HSCEI!$G$32/HSCEI!$B$3,""))</f>
        <v/>
      </c>
      <c r="DL185" s="110">
        <f>IF(AX185="","",IFERROR(AX185*HSCEI!$B$32*HSCEI!$G$32/HSCEI!$B$3,""))</f>
        <v/>
      </c>
      <c r="DM185" s="110">
        <f>IF(AY185="","",IFERROR(AY185*HSCEI!$B$32*HSCEI!$G$32/HSCEI!$B$3,""))</f>
        <v/>
      </c>
      <c r="DN185" s="110">
        <f>IF(AZ185="","",IFERROR(AZ185*HSCEI!$B$32*HSCEI!$G$32/HSCEI!$B$3,""))</f>
        <v/>
      </c>
      <c r="DO185" s="110">
        <f>IF(BA185="","",IFERROR(BA185*HSCEI!$B$32*HSCEI!$G$32/HSCEI!$B$3,""))</f>
        <v/>
      </c>
      <c r="DP185" s="110">
        <f>IF(BB185="","",IFERROR(BB185*HSCEI!$B$32*HSCEI!$G$32/HSCEI!$B$3,""))</f>
        <v/>
      </c>
      <c r="DQ185" s="110">
        <f>IF(BC185="","",IFERROR(BC185*HSCEI!$B$32*HSCEI!$G$32/HSCEI!$B$3,""))</f>
        <v/>
      </c>
      <c r="DR185" s="110">
        <f>IF(BD185="","",IFERROR(BD185*HSCEI!$B$32*HSCEI!$G$32/HSCEI!$B$3,""))</f>
        <v/>
      </c>
      <c r="DS185" s="110">
        <f>IF(BE185="","",IFERROR(BE185*HSCEI!$B$32*HSCEI!$G$32/HSCEI!$B$3,""))</f>
        <v/>
      </c>
      <c r="DT185" s="110">
        <f>IF(BF185="","",IFERROR(BF185*HSCEI!$B$32*HSCEI!$G$32/HSCEI!$B$3,""))</f>
        <v/>
      </c>
      <c r="DU185" s="110">
        <f>IF(BG185="","",IFERROR(BG185*HSCEI!$B$32*HSCEI!$G$32/HSCEI!$B$3,""))</f>
        <v/>
      </c>
      <c r="DV185" s="110">
        <f>IF(BH185="","",IFERROR(BH185*HSCEI!$B$32*HSCEI!$G$32/HSCEI!$B$3,""))</f>
        <v/>
      </c>
      <c r="DW185" s="110">
        <f>IF(BI185="","",IFERROR(BI185*HSCEI!$B$32*HSCEI!$G$32/HSCEI!$B$3,""))</f>
        <v/>
      </c>
      <c r="DX185" s="110">
        <f>IF(BJ185="","",IFERROR(BJ185*HSCEI!$B$32*HSCEI!$G$32/HSCEI!$B$3,""))</f>
        <v/>
      </c>
      <c r="DY185" s="110">
        <f>IF(BK185="","",IFERROR(BK185*HSCEI!$B$32*HSCEI!$G$32/HSCEI!$B$3,""))</f>
        <v/>
      </c>
      <c r="DZ185" s="110">
        <f>IF(BL185="","",IFERROR(BL185*HSCEI!$B$32*HSCEI!$G$32/HSCEI!$B$3,""))</f>
        <v/>
      </c>
      <c r="EA185" s="110">
        <f>IF(BM185="","",IFERROR(BM185*HSCEI!$B$32*HSCEI!$G$32/HSCEI!$B$3,""))</f>
        <v/>
      </c>
      <c r="EB185" s="110">
        <f>IF(BN185="","",IFERROR(BN185*HSCEI!$B$32*HSCEI!$G$32/HSCEI!$B$3,""))</f>
        <v/>
      </c>
      <c r="EC185" s="110">
        <f>IF(BO185="","",IFERROR(BO185*HSCEI!$B$32*HSCEI!$G$32/HSCEI!$B$3,""))</f>
        <v/>
      </c>
      <c r="EE185" s="39">
        <f>IF(N('Dvd Calendar'!$E$1836)=0,"",IF(('Dvd Calendar'!$E$1836&gt;=GRID_FROM)*('Dvd Calendar'!$E$1836&lt;=GRID_TO)*((('Dvd Calendar'!$E$1836&lt;=VAL_DATE)+(COUNTIF('Dvd Calendar'!$E$1843:$AR$1843,'Dvd Calendar'!$E$1836)=0))&gt;0)=0,"",'Dvd Calendar'!$E$1836*1000000000+ISNUMBER('Dvd Calendar'!$E$1839)*100000000+('Dvd Calendar'!$E$1841=SPECIAL_LBL)*10000000+(N('Dvd Calendar'!$E$1835)&gt;0)*(N('Dvd Calendar'!$E$1835)&lt;=VAL_SERIAL)*1000000+26*1000+1))</f>
        <v/>
      </c>
      <c r="EF185" s="39">
        <f>IF(N('Dvd Calendar'!$F$1836)=0,"",IF(('Dvd Calendar'!$F$1836&gt;=GRID_FROM)*('Dvd Calendar'!$F$1836&lt;=GRID_TO)*((('Dvd Calendar'!$F$1836&lt;=VAL_DATE)+(COUNTIF('Dvd Calendar'!$E$1843:$AR$1843,'Dvd Calendar'!$F$1836)=0))&gt;0)=0,"",'Dvd Calendar'!$F$1836*1000000000+ISNUMBER('Dvd Calendar'!$F$1839)*100000000+('Dvd Calendar'!$F$1841=SPECIAL_LBL)*10000000+(N('Dvd Calendar'!$F$1835)&gt;0)*(N('Dvd Calendar'!$F$1835)&lt;=VAL_SERIAL)*1000000+26*1000+2))</f>
        <v/>
      </c>
      <c r="EG185" s="39">
        <f>IF(N('Dvd Calendar'!$G$1836)=0,"",IF(('Dvd Calendar'!$G$1836&gt;=GRID_FROM)*('Dvd Calendar'!$G$1836&lt;=GRID_TO)*((('Dvd Calendar'!$G$1836&lt;=VAL_DATE)+(COUNTIF('Dvd Calendar'!$E$1843:$AR$1843,'Dvd Calendar'!$G$1836)=0))&gt;0)=0,"",'Dvd Calendar'!$G$1836*1000000000+ISNUMBER('Dvd Calendar'!$G$1839)*100000000+('Dvd Calendar'!$G$1841=SPECIAL_LBL)*10000000+(N('Dvd Calendar'!$G$1835)&gt;0)*(N('Dvd Calendar'!$G$1835)&lt;=VAL_SERIAL)*1000000+26*1000+3))</f>
        <v/>
      </c>
      <c r="EH185" s="39">
        <f>IF(N('Dvd Calendar'!$H$1836)=0,"",IF(('Dvd Calendar'!$H$1836&gt;=GRID_FROM)*('Dvd Calendar'!$H$1836&lt;=GRID_TO)*((('Dvd Calendar'!$H$1836&lt;=VAL_DATE)+(COUNTIF('Dvd Calendar'!$E$1843:$AR$1843,'Dvd Calendar'!$H$1836)=0))&gt;0)=0,"",'Dvd Calendar'!$H$1836*1000000000+ISNUMBER('Dvd Calendar'!$H$1839)*100000000+('Dvd Calendar'!$H$1841=SPECIAL_LBL)*10000000+(N('Dvd Calendar'!$H$1835)&gt;0)*(N('Dvd Calendar'!$H$1835)&lt;=VAL_SERIAL)*1000000+26*1000+4))</f>
        <v/>
      </c>
      <c r="EI185" s="39">
        <f>IF(N('Dvd Calendar'!$I$1836)=0,"",IF(('Dvd Calendar'!$I$1836&gt;=GRID_FROM)*('Dvd Calendar'!$I$1836&lt;=GRID_TO)*((('Dvd Calendar'!$I$1836&lt;=VAL_DATE)+(COUNTIF('Dvd Calendar'!$E$1843:$AR$1843,'Dvd Calendar'!$I$1836)=0))&gt;0)=0,"",'Dvd Calendar'!$I$1836*1000000000+ISNUMBER('Dvd Calendar'!$I$1839)*100000000+('Dvd Calendar'!$I$1841=SPECIAL_LBL)*10000000+(N('Dvd Calendar'!$I$1835)&gt;0)*(N('Dvd Calendar'!$I$1835)&lt;=VAL_SERIAL)*1000000+26*1000+5))</f>
        <v/>
      </c>
      <c r="EJ185" s="39">
        <f>IF(N('Dvd Calendar'!$J$1836)=0,"",IF(('Dvd Calendar'!$J$1836&gt;=GRID_FROM)*('Dvd Calendar'!$J$1836&lt;=GRID_TO)*((('Dvd Calendar'!$J$1836&lt;=VAL_DATE)+(COUNTIF('Dvd Calendar'!$E$1843:$AR$1843,'Dvd Calendar'!$J$1836)=0))&gt;0)=0,"",'Dvd Calendar'!$J$1836*1000000000+ISNUMBER('Dvd Calendar'!$J$1839)*100000000+('Dvd Calendar'!$J$1841=SPECIAL_LBL)*10000000+(N('Dvd Calendar'!$J$1835)&gt;0)*(N('Dvd Calendar'!$J$1835)&lt;=VAL_SERIAL)*1000000+26*1000+6))</f>
        <v/>
      </c>
      <c r="EK185" s="39">
        <f>IF(N('Dvd Calendar'!$K$1836)=0,"",IF(('Dvd Calendar'!$K$1836&gt;=GRID_FROM)*('Dvd Calendar'!$K$1836&lt;=GRID_TO)*((('Dvd Calendar'!$K$1836&lt;=VAL_DATE)+(COUNTIF('Dvd Calendar'!$E$1843:$AR$1843,'Dvd Calendar'!$K$1836)=0))&gt;0)=0,"",'Dvd Calendar'!$K$1836*1000000000+ISNUMBER('Dvd Calendar'!$K$1839)*100000000+('Dvd Calendar'!$K$1841=SPECIAL_LBL)*10000000+(N('Dvd Calendar'!$K$1835)&gt;0)*(N('Dvd Calendar'!$K$1835)&lt;=VAL_SERIAL)*1000000+26*1000+7))</f>
        <v/>
      </c>
      <c r="EL185" s="39">
        <f>IF(N('Dvd Calendar'!$L$1836)=0,"",IF(('Dvd Calendar'!$L$1836&gt;=GRID_FROM)*('Dvd Calendar'!$L$1836&lt;=GRID_TO)*((('Dvd Calendar'!$L$1836&lt;=VAL_DATE)+(COUNTIF('Dvd Calendar'!$E$1843:$AR$1843,'Dvd Calendar'!$L$1836)=0))&gt;0)=0,"",'Dvd Calendar'!$L$1836*1000000000+ISNUMBER('Dvd Calendar'!$L$1839)*100000000+('Dvd Calendar'!$L$1841=SPECIAL_LBL)*10000000+(N('Dvd Calendar'!$L$1835)&gt;0)*(N('Dvd Calendar'!$L$1835)&lt;=VAL_SERIAL)*1000000+26*1000+8))</f>
        <v/>
      </c>
      <c r="EM185" s="39">
        <f>IF(N('Dvd Calendar'!$M$1836)=0,"",IF(('Dvd Calendar'!$M$1836&gt;=GRID_FROM)*('Dvd Calendar'!$M$1836&lt;=GRID_TO)*((('Dvd Calendar'!$M$1836&lt;=VAL_DATE)+(COUNTIF('Dvd Calendar'!$E$1843:$AR$1843,'Dvd Calendar'!$M$1836)=0))&gt;0)=0,"",'Dvd Calendar'!$M$1836*1000000000+ISNUMBER('Dvd Calendar'!$M$1839)*100000000+('Dvd Calendar'!$M$1841=SPECIAL_LBL)*10000000+(N('Dvd Calendar'!$M$1835)&gt;0)*(N('Dvd Calendar'!$M$1835)&lt;=VAL_SERIAL)*1000000+26*1000+9))</f>
        <v/>
      </c>
      <c r="EN185" s="39">
        <f>IF(N('Dvd Calendar'!$N$1836)=0,"",IF(('Dvd Calendar'!$N$1836&gt;=GRID_FROM)*('Dvd Calendar'!$N$1836&lt;=GRID_TO)*((('Dvd Calendar'!$N$1836&lt;=VAL_DATE)+(COUNTIF('Dvd Calendar'!$E$1843:$AR$1843,'Dvd Calendar'!$N$1836)=0))&gt;0)=0,"",'Dvd Calendar'!$N$1836*1000000000+ISNUMBER('Dvd Calendar'!$N$1839)*100000000+('Dvd Calendar'!$N$1841=SPECIAL_LBL)*10000000+(N('Dvd Calendar'!$N$1835)&gt;0)*(N('Dvd Calendar'!$N$1835)&lt;=VAL_SERIAL)*1000000+26*1000+10))</f>
        <v/>
      </c>
      <c r="EO185" s="39">
        <f>IF(N('Dvd Calendar'!$O$1836)=0,"",IF(('Dvd Calendar'!$O$1836&gt;=GRID_FROM)*('Dvd Calendar'!$O$1836&lt;=GRID_TO)*((('Dvd Calendar'!$O$1836&lt;=VAL_DATE)+(COUNTIF('Dvd Calendar'!$E$1843:$AR$1843,'Dvd Calendar'!$O$1836)=0))&gt;0)=0,"",'Dvd Calendar'!$O$1836*1000000000+ISNUMBER('Dvd Calendar'!$O$1839)*100000000+('Dvd Calendar'!$O$1841=SPECIAL_LBL)*10000000+(N('Dvd Calendar'!$O$1835)&gt;0)*(N('Dvd Calendar'!$O$1835)&lt;=VAL_SERIAL)*1000000+26*1000+11))</f>
        <v/>
      </c>
      <c r="EP185" s="39">
        <f>IF(N('Dvd Calendar'!$P$1836)=0,"",IF(('Dvd Calendar'!$P$1836&gt;=GRID_FROM)*('Dvd Calendar'!$P$1836&lt;=GRID_TO)*((('Dvd Calendar'!$P$1836&lt;=VAL_DATE)+(COUNTIF('Dvd Calendar'!$E$1843:$AR$1843,'Dvd Calendar'!$P$1836)=0))&gt;0)=0,"",'Dvd Calendar'!$P$1836*1000000000+ISNUMBER('Dvd Calendar'!$P$1839)*100000000+('Dvd Calendar'!$P$1841=SPECIAL_LBL)*10000000+(N('Dvd Calendar'!$P$1835)&gt;0)*(N('Dvd Calendar'!$P$1835)&lt;=VAL_SERIAL)*1000000+26*1000+12))</f>
        <v/>
      </c>
      <c r="EQ185" s="39">
        <f>IF(N('Dvd Calendar'!$Q$1836)=0,"",IF(('Dvd Calendar'!$Q$1836&gt;=GRID_FROM)*('Dvd Calendar'!$Q$1836&lt;=GRID_TO)*((('Dvd Calendar'!$Q$1836&lt;=VAL_DATE)+(COUNTIF('Dvd Calendar'!$E$1843:$AR$1843,'Dvd Calendar'!$Q$1836)=0))&gt;0)=0,"",'Dvd Calendar'!$Q$1836*1000000000+ISNUMBER('Dvd Calendar'!$Q$1839)*100000000+('Dvd Calendar'!$Q$1841=SPECIAL_LBL)*10000000+(N('Dvd Calendar'!$Q$1835)&gt;0)*(N('Dvd Calendar'!$Q$1835)&lt;=VAL_SERIAL)*1000000+26*1000+13))</f>
        <v/>
      </c>
      <c r="ER185" s="39">
        <f>IF(N('Dvd Calendar'!$R$1836)=0,"",IF(('Dvd Calendar'!$R$1836&gt;=GRID_FROM)*('Dvd Calendar'!$R$1836&lt;=GRID_TO)*((('Dvd Calendar'!$R$1836&lt;=VAL_DATE)+(COUNTIF('Dvd Calendar'!$E$1843:$AR$1843,'Dvd Calendar'!$R$1836)=0))&gt;0)=0,"",'Dvd Calendar'!$R$1836*1000000000+ISNUMBER('Dvd Calendar'!$R$1839)*100000000+('Dvd Calendar'!$R$1841=SPECIAL_LBL)*10000000+(N('Dvd Calendar'!$R$1835)&gt;0)*(N('Dvd Calendar'!$R$1835)&lt;=VAL_SERIAL)*1000000+26*1000+14))</f>
        <v/>
      </c>
      <c r="ES185" s="39">
        <f>IF(N('Dvd Calendar'!$S$1836)=0,"",IF(('Dvd Calendar'!$S$1836&gt;=GRID_FROM)*('Dvd Calendar'!$S$1836&lt;=GRID_TO)*((('Dvd Calendar'!$S$1836&lt;=VAL_DATE)+(COUNTIF('Dvd Calendar'!$E$1843:$AR$1843,'Dvd Calendar'!$S$1836)=0))&gt;0)=0,"",'Dvd Calendar'!$S$1836*1000000000+ISNUMBER('Dvd Calendar'!$S$1839)*100000000+('Dvd Calendar'!$S$1841=SPECIAL_LBL)*10000000+(N('Dvd Calendar'!$S$1835)&gt;0)*(N('Dvd Calendar'!$S$1835)&lt;=VAL_SERIAL)*1000000+26*1000+15))</f>
        <v/>
      </c>
      <c r="ET185" s="39">
        <f>IF(N('Dvd Calendar'!$T$1836)=0,"",IF(('Dvd Calendar'!$T$1836&gt;=GRID_FROM)*('Dvd Calendar'!$T$1836&lt;=GRID_TO)*((('Dvd Calendar'!$T$1836&lt;=VAL_DATE)+(COUNTIF('Dvd Calendar'!$E$1843:$AR$1843,'Dvd Calendar'!$T$1836)=0))&gt;0)=0,"",'Dvd Calendar'!$T$1836*1000000000+ISNUMBER('Dvd Calendar'!$T$1839)*100000000+('Dvd Calendar'!$T$1841=SPECIAL_LBL)*10000000+(N('Dvd Calendar'!$T$1835)&gt;0)*(N('Dvd Calendar'!$T$1835)&lt;=VAL_SERIAL)*1000000+26*1000+16))</f>
        <v/>
      </c>
      <c r="EU185" s="39">
        <f>IF(N('Dvd Calendar'!$U$1836)=0,"",IF(('Dvd Calendar'!$U$1836&gt;=GRID_FROM)*('Dvd Calendar'!$U$1836&lt;=GRID_TO)*((('Dvd Calendar'!$U$1836&lt;=VAL_DATE)+(COUNTIF('Dvd Calendar'!$E$1843:$AR$1843,'Dvd Calendar'!$U$1836)=0))&gt;0)=0,"",'Dvd Calendar'!$U$1836*1000000000+ISNUMBER('Dvd Calendar'!$U$1839)*100000000+('Dvd Calendar'!$U$1841=SPECIAL_LBL)*10000000+(N('Dvd Calendar'!$U$1835)&gt;0)*(N('Dvd Calendar'!$U$1835)&lt;=VAL_SERIAL)*1000000+26*1000+17))</f>
        <v/>
      </c>
      <c r="EV185" s="39">
        <f>IF(N('Dvd Calendar'!$V$1836)=0,"",IF(('Dvd Calendar'!$V$1836&gt;=GRID_FROM)*('Dvd Calendar'!$V$1836&lt;=GRID_TO)*((('Dvd Calendar'!$V$1836&lt;=VAL_DATE)+(COUNTIF('Dvd Calendar'!$E$1843:$AR$1843,'Dvd Calendar'!$V$1836)=0))&gt;0)=0,"",'Dvd Calendar'!$V$1836*1000000000+ISNUMBER('Dvd Calendar'!$V$1839)*100000000+('Dvd Calendar'!$V$1841=SPECIAL_LBL)*10000000+(N('Dvd Calendar'!$V$1835)&gt;0)*(N('Dvd Calendar'!$V$1835)&lt;=VAL_SERIAL)*1000000+26*1000+18))</f>
        <v/>
      </c>
      <c r="EW185" s="39">
        <f>IF(N('Dvd Calendar'!$W$1836)=0,"",IF(('Dvd Calendar'!$W$1836&gt;=GRID_FROM)*('Dvd Calendar'!$W$1836&lt;=GRID_TO)*((('Dvd Calendar'!$W$1836&lt;=VAL_DATE)+(COUNTIF('Dvd Calendar'!$E$1843:$AR$1843,'Dvd Calendar'!$W$1836)=0))&gt;0)=0,"",'Dvd Calendar'!$W$1836*1000000000+ISNUMBER('Dvd Calendar'!$W$1839)*100000000+('Dvd Calendar'!$W$1841=SPECIAL_LBL)*10000000+(N('Dvd Calendar'!$W$1835)&gt;0)*(N('Dvd Calendar'!$W$1835)&lt;=VAL_SERIAL)*1000000+26*1000+19))</f>
        <v/>
      </c>
      <c r="EX185" s="39">
        <f>IF(N('Dvd Calendar'!$X$1836)=0,"",IF(('Dvd Calendar'!$X$1836&gt;=GRID_FROM)*('Dvd Calendar'!$X$1836&lt;=GRID_TO)*((('Dvd Calendar'!$X$1836&lt;=VAL_DATE)+(COUNTIF('Dvd Calendar'!$E$1843:$AR$1843,'Dvd Calendar'!$X$1836)=0))&gt;0)=0,"",'Dvd Calendar'!$X$1836*1000000000+ISNUMBER('Dvd Calendar'!$X$1839)*100000000+('Dvd Calendar'!$X$1841=SPECIAL_LBL)*10000000+(N('Dvd Calendar'!$X$1835)&gt;0)*(N('Dvd Calendar'!$X$1835)&lt;=VAL_SERIAL)*1000000+26*1000+20))</f>
        <v/>
      </c>
      <c r="EY185" s="39">
        <f>IF(N('Dvd Calendar'!$Y$1836)=0,"",IF(('Dvd Calendar'!$Y$1836&gt;=GRID_FROM)*('Dvd Calendar'!$Y$1836&lt;=GRID_TO)*((('Dvd Calendar'!$Y$1836&lt;=VAL_DATE)+(COUNTIF('Dvd Calendar'!$E$1843:$AR$1843,'Dvd Calendar'!$Y$1836)=0))&gt;0)=0,"",'Dvd Calendar'!$Y$1836*1000000000+ISNUMBER('Dvd Calendar'!$Y$1839)*100000000+('Dvd Calendar'!$Y$1841=SPECIAL_LBL)*10000000+(N('Dvd Calendar'!$Y$1835)&gt;0)*(N('Dvd Calendar'!$Y$1835)&lt;=VAL_SERIAL)*1000000+26*1000+21))</f>
        <v/>
      </c>
      <c r="EZ185" s="39">
        <f>IF(N('Dvd Calendar'!$Z$1836)=0,"",IF(('Dvd Calendar'!$Z$1836&gt;=GRID_FROM)*('Dvd Calendar'!$Z$1836&lt;=GRID_TO)*((('Dvd Calendar'!$Z$1836&lt;=VAL_DATE)+(COUNTIF('Dvd Calendar'!$E$1843:$AR$1843,'Dvd Calendar'!$Z$1836)=0))&gt;0)=0,"",'Dvd Calendar'!$Z$1836*1000000000+ISNUMBER('Dvd Calendar'!$Z$1839)*100000000+('Dvd Calendar'!$Z$1841=SPECIAL_LBL)*10000000+(N('Dvd Calendar'!$Z$1835)&gt;0)*(N('Dvd Calendar'!$Z$1835)&lt;=VAL_SERIAL)*1000000+26*1000+22))</f>
        <v/>
      </c>
      <c r="FA185" s="39">
        <f>IF(N('Dvd Calendar'!$AA$1836)=0,"",IF(('Dvd Calendar'!$AA$1836&gt;=GRID_FROM)*('Dvd Calendar'!$AA$1836&lt;=GRID_TO)*((('Dvd Calendar'!$AA$1836&lt;=VAL_DATE)+(COUNTIF('Dvd Calendar'!$E$1843:$AR$1843,'Dvd Calendar'!$AA$1836)=0))&gt;0)=0,"",'Dvd Calendar'!$AA$1836*1000000000+ISNUMBER('Dvd Calendar'!$AA$1839)*100000000+('Dvd Calendar'!$AA$1841=SPECIAL_LBL)*10000000+(N('Dvd Calendar'!$AA$1835)&gt;0)*(N('Dvd Calendar'!$AA$1835)&lt;=VAL_SERIAL)*1000000+26*1000+23))</f>
        <v/>
      </c>
      <c r="FB185" s="39">
        <f>IF(N('Dvd Calendar'!$AB$1836)=0,"",IF(('Dvd Calendar'!$AB$1836&gt;=GRID_FROM)*('Dvd Calendar'!$AB$1836&lt;=GRID_TO)*((('Dvd Calendar'!$AB$1836&lt;=VAL_DATE)+(COUNTIF('Dvd Calendar'!$E$1843:$AR$1843,'Dvd Calendar'!$AB$1836)=0))&gt;0)=0,"",'Dvd Calendar'!$AB$1836*1000000000+ISNUMBER('Dvd Calendar'!$AB$1839)*100000000+('Dvd Calendar'!$AB$1841=SPECIAL_LBL)*10000000+(N('Dvd Calendar'!$AB$1835)&gt;0)*(N('Dvd Calendar'!$AB$1835)&lt;=VAL_SERIAL)*1000000+26*1000+24))</f>
        <v/>
      </c>
      <c r="FC185" s="39">
        <f>IF(N('Dvd Calendar'!$AC$1836)=0,"",IF(('Dvd Calendar'!$AC$1836&gt;=GRID_FROM)*('Dvd Calendar'!$AC$1836&lt;=GRID_TO)*((('Dvd Calendar'!$AC$1836&lt;=VAL_DATE)+(COUNTIF('Dvd Calendar'!$E$1843:$AR$1843,'Dvd Calendar'!$AC$1836)=0))&gt;0)=0,"",'Dvd Calendar'!$AC$1836*1000000000+ISNUMBER('Dvd Calendar'!$AC$1839)*100000000+('Dvd Calendar'!$AC$1841=SPECIAL_LBL)*10000000+(N('Dvd Calendar'!$AC$1835)&gt;0)*(N('Dvd Calendar'!$AC$1835)&lt;=VAL_SERIAL)*1000000+26*1000+25))</f>
        <v/>
      </c>
      <c r="FD185" s="39">
        <f>IF(N('Dvd Calendar'!$AD$1836)=0,"",IF(('Dvd Calendar'!$AD$1836&gt;=GRID_FROM)*('Dvd Calendar'!$AD$1836&lt;=GRID_TO)*((('Dvd Calendar'!$AD$1836&lt;=VAL_DATE)+(COUNTIF('Dvd Calendar'!$E$1843:$AR$1843,'Dvd Calendar'!$AD$1836)=0))&gt;0)=0,"",'Dvd Calendar'!$AD$1836*1000000000+ISNUMBER('Dvd Calendar'!$AD$1839)*100000000+('Dvd Calendar'!$AD$1841=SPECIAL_LBL)*10000000+(N('Dvd Calendar'!$AD$1835)&gt;0)*(N('Dvd Calendar'!$AD$1835)&lt;=VAL_SERIAL)*1000000+26*1000+26))</f>
        <v/>
      </c>
      <c r="FE185" s="39">
        <f>IF(N('Dvd Calendar'!$AE$1836)=0,"",IF(('Dvd Calendar'!$AE$1836&gt;=GRID_FROM)*('Dvd Calendar'!$AE$1836&lt;=GRID_TO)*((('Dvd Calendar'!$AE$1836&lt;=VAL_DATE)+(COUNTIF('Dvd Calendar'!$E$1843:$AR$1843,'Dvd Calendar'!$AE$1836)=0))&gt;0)=0,"",'Dvd Calendar'!$AE$1836*1000000000+ISNUMBER('Dvd Calendar'!$AE$1839)*100000000+('Dvd Calendar'!$AE$1841=SPECIAL_LBL)*10000000+(N('Dvd Calendar'!$AE$1835)&gt;0)*(N('Dvd Calendar'!$AE$1835)&lt;=VAL_SERIAL)*1000000+26*1000+27))</f>
        <v/>
      </c>
      <c r="FF185" s="39">
        <f>IF(N('Dvd Calendar'!$AF$1836)=0,"",IF(('Dvd Calendar'!$AF$1836&gt;=GRID_FROM)*('Dvd Calendar'!$AF$1836&lt;=GRID_TO)*((('Dvd Calendar'!$AF$1836&lt;=VAL_DATE)+(COUNTIF('Dvd Calendar'!$E$1843:$AR$1843,'Dvd Calendar'!$AF$1836)=0))&gt;0)=0,"",'Dvd Calendar'!$AF$1836*1000000000+ISNUMBER('Dvd Calendar'!$AF$1839)*100000000+('Dvd Calendar'!$AF$1841=SPECIAL_LBL)*10000000+(N('Dvd Calendar'!$AF$1835)&gt;0)*(N('Dvd Calendar'!$AF$1835)&lt;=VAL_SERIAL)*1000000+26*1000+28))</f>
        <v/>
      </c>
      <c r="FG185" s="39">
        <f>IF(N('Dvd Calendar'!$AG$1836)=0,"",IF(('Dvd Calendar'!$AG$1836&gt;=GRID_FROM)*('Dvd Calendar'!$AG$1836&lt;=GRID_TO)*((('Dvd Calendar'!$AG$1836&lt;=VAL_DATE)+(COUNTIF('Dvd Calendar'!$E$1843:$AR$1843,'Dvd Calendar'!$AG$1836)=0))&gt;0)=0,"",'Dvd Calendar'!$AG$1836*1000000000+ISNUMBER('Dvd Calendar'!$AG$1839)*100000000+('Dvd Calendar'!$AG$1841=SPECIAL_LBL)*10000000+(N('Dvd Calendar'!$AG$1835)&gt;0)*(N('Dvd Calendar'!$AG$1835)&lt;=VAL_SERIAL)*1000000+26*1000+29))</f>
        <v/>
      </c>
      <c r="FH185" s="39">
        <f>IF(N('Dvd Calendar'!$AH$1836)=0,"",IF(('Dvd Calendar'!$AH$1836&gt;=GRID_FROM)*('Dvd Calendar'!$AH$1836&lt;=GRID_TO)*((('Dvd Calendar'!$AH$1836&lt;=VAL_DATE)+(COUNTIF('Dvd Calendar'!$E$1843:$AR$1843,'Dvd Calendar'!$AH$1836)=0))&gt;0)=0,"",'Dvd Calendar'!$AH$1836*1000000000+ISNUMBER('Dvd Calendar'!$AH$1839)*100000000+('Dvd Calendar'!$AH$1841=SPECIAL_LBL)*10000000+(N('Dvd Calendar'!$AH$1835)&gt;0)*(N('Dvd Calendar'!$AH$1835)&lt;=VAL_SERIAL)*1000000+26*1000+30))</f>
        <v/>
      </c>
      <c r="FI185" s="39">
        <f>IF(N('Dvd Calendar'!$AI$1836)=0,"",IF(('Dvd Calendar'!$AI$1836&gt;=GRID_FROM)*('Dvd Calendar'!$AI$1836&lt;=GRID_TO)*((('Dvd Calendar'!$AI$1836&lt;=VAL_DATE)+(COUNTIF('Dvd Calendar'!$E$1843:$AR$1843,'Dvd Calendar'!$AI$1836)=0))&gt;0)=0,"",'Dvd Calendar'!$AI$1836*1000000000+ISNUMBER('Dvd Calendar'!$AI$1839)*100000000+('Dvd Calendar'!$AI$1841=SPECIAL_LBL)*10000000+(N('Dvd Calendar'!$AI$1835)&gt;0)*(N('Dvd Calendar'!$AI$1835)&lt;=VAL_SERIAL)*1000000+26*1000+31))</f>
        <v/>
      </c>
      <c r="FJ185" s="39">
        <f>IF(N('Dvd Calendar'!$AJ$1836)=0,"",IF(('Dvd Calendar'!$AJ$1836&gt;=GRID_FROM)*('Dvd Calendar'!$AJ$1836&lt;=GRID_TO)*((('Dvd Calendar'!$AJ$1836&lt;=VAL_DATE)+(COUNTIF('Dvd Calendar'!$E$1843:$AR$1843,'Dvd Calendar'!$AJ$1836)=0))&gt;0)=0,"",'Dvd Calendar'!$AJ$1836*1000000000+ISNUMBER('Dvd Calendar'!$AJ$1839)*100000000+('Dvd Calendar'!$AJ$1841=SPECIAL_LBL)*10000000+(N('Dvd Calendar'!$AJ$1835)&gt;0)*(N('Dvd Calendar'!$AJ$1835)&lt;=VAL_SERIAL)*1000000+26*1000+32))</f>
        <v/>
      </c>
      <c r="FK185" s="39">
        <f>IF(N('Dvd Calendar'!$AK$1836)=0,"",IF(('Dvd Calendar'!$AK$1836&gt;=GRID_FROM)*('Dvd Calendar'!$AK$1836&lt;=GRID_TO)*((('Dvd Calendar'!$AK$1836&lt;=VAL_DATE)+(COUNTIF('Dvd Calendar'!$E$1843:$AR$1843,'Dvd Calendar'!$AK$1836)=0))&gt;0)=0,"",'Dvd Calendar'!$AK$1836*1000000000+ISNUMBER('Dvd Calendar'!$AK$1839)*100000000+('Dvd Calendar'!$AK$1841=SPECIAL_LBL)*10000000+(N('Dvd Calendar'!$AK$1835)&gt;0)*(N('Dvd Calendar'!$AK$1835)&lt;=VAL_SERIAL)*1000000+26*1000+33))</f>
        <v/>
      </c>
      <c r="FL185" s="39">
        <f>IF(N('Dvd Calendar'!$AL$1836)=0,"",IF(('Dvd Calendar'!$AL$1836&gt;=GRID_FROM)*('Dvd Calendar'!$AL$1836&lt;=GRID_TO)*((('Dvd Calendar'!$AL$1836&lt;=VAL_DATE)+(COUNTIF('Dvd Calendar'!$E$1843:$AR$1843,'Dvd Calendar'!$AL$1836)=0))&gt;0)=0,"",'Dvd Calendar'!$AL$1836*1000000000+ISNUMBER('Dvd Calendar'!$AL$1839)*100000000+('Dvd Calendar'!$AL$1841=SPECIAL_LBL)*10000000+(N('Dvd Calendar'!$AL$1835)&gt;0)*(N('Dvd Calendar'!$AL$1835)&lt;=VAL_SERIAL)*1000000+26*1000+34))</f>
        <v/>
      </c>
      <c r="FM185" s="39">
        <f>IF(N('Dvd Calendar'!$AM$1836)=0,"",IF(('Dvd Calendar'!$AM$1836&gt;=GRID_FROM)*('Dvd Calendar'!$AM$1836&lt;=GRID_TO)*((('Dvd Calendar'!$AM$1836&lt;=VAL_DATE)+(COUNTIF('Dvd Calendar'!$E$1843:$AR$1843,'Dvd Calendar'!$AM$1836)=0))&gt;0)=0,"",'Dvd Calendar'!$AM$1836*1000000000+ISNUMBER('Dvd Calendar'!$AM$1839)*100000000+('Dvd Calendar'!$AM$1841=SPECIAL_LBL)*10000000+(N('Dvd Calendar'!$AM$1835)&gt;0)*(N('Dvd Calendar'!$AM$1835)&lt;=VAL_SERIAL)*1000000+26*1000+35))</f>
        <v/>
      </c>
      <c r="FN185" s="39">
        <f>IF(N('Dvd Calendar'!$AN$1836)=0,"",IF(('Dvd Calendar'!$AN$1836&gt;=GRID_FROM)*('Dvd Calendar'!$AN$1836&lt;=GRID_TO)*((('Dvd Calendar'!$AN$1836&lt;=VAL_DATE)+(COUNTIF('Dvd Calendar'!$E$1843:$AR$1843,'Dvd Calendar'!$AN$1836)=0))&gt;0)=0,"",'Dvd Calendar'!$AN$1836*1000000000+ISNUMBER('Dvd Calendar'!$AN$1839)*100000000+('Dvd Calendar'!$AN$1841=SPECIAL_LBL)*10000000+(N('Dvd Calendar'!$AN$1835)&gt;0)*(N('Dvd Calendar'!$AN$1835)&lt;=VAL_SERIAL)*1000000+26*1000+36))</f>
        <v/>
      </c>
      <c r="FO185" s="39">
        <f>IF(N('Dvd Calendar'!$AO$1836)=0,"",IF(('Dvd Calendar'!$AO$1836&gt;=GRID_FROM)*('Dvd Calendar'!$AO$1836&lt;=GRID_TO)*((('Dvd Calendar'!$AO$1836&lt;=VAL_DATE)+(COUNTIF('Dvd Calendar'!$E$1843:$AR$1843,'Dvd Calendar'!$AO$1836)=0))&gt;0)=0,"",'Dvd Calendar'!$AO$1836*1000000000+ISNUMBER('Dvd Calendar'!$AO$1839)*100000000+('Dvd Calendar'!$AO$1841=SPECIAL_LBL)*10000000+(N('Dvd Calendar'!$AO$1835)&gt;0)*(N('Dvd Calendar'!$AO$1835)&lt;=VAL_SERIAL)*1000000+26*1000+37))</f>
        <v/>
      </c>
      <c r="FP185" s="39">
        <f>IF(N('Dvd Calendar'!$AP$1836)=0,"",IF(('Dvd Calendar'!$AP$1836&gt;=GRID_FROM)*('Dvd Calendar'!$AP$1836&lt;=GRID_TO)*((('Dvd Calendar'!$AP$1836&lt;=VAL_DATE)+(COUNTIF('Dvd Calendar'!$E$1843:$AR$1843,'Dvd Calendar'!$AP$1836)=0))&gt;0)=0,"",'Dvd Calendar'!$AP$1836*1000000000+ISNUMBER('Dvd Calendar'!$AP$1839)*100000000+('Dvd Calendar'!$AP$1841=SPECIAL_LBL)*10000000+(N('Dvd Calendar'!$AP$1835)&gt;0)*(N('Dvd Calendar'!$AP$1835)&lt;=VAL_SERIAL)*1000000+26*1000+38))</f>
        <v/>
      </c>
      <c r="FQ185" s="39">
        <f>IF(N('Dvd Calendar'!$AQ$1836)=0,"",IF(('Dvd Calendar'!$AQ$1836&gt;=GRID_FROM)*('Dvd Calendar'!$AQ$1836&lt;=GRID_TO)*((('Dvd Calendar'!$AQ$1836&lt;=VAL_DATE)+(COUNTIF('Dvd Calendar'!$E$1843:$AR$1843,'Dvd Calendar'!$AQ$1836)=0))&gt;0)=0,"",'Dvd Calendar'!$AQ$1836*1000000000+ISNUMBER('Dvd Calendar'!$AQ$1839)*100000000+('Dvd Calendar'!$AQ$1841=SPECIAL_LBL)*10000000+(N('Dvd Calendar'!$AQ$1835)&gt;0)*(N('Dvd Calendar'!$AQ$1835)&lt;=VAL_SERIAL)*1000000+26*1000+39))</f>
        <v/>
      </c>
      <c r="FR185" s="39">
        <f>IF(N('Dvd Calendar'!$AR$1836)=0,"",IF(('Dvd Calendar'!$AR$1836&gt;=GRID_FROM)*('Dvd Calendar'!$AR$1836&lt;=GRID_TO)*((('Dvd Calendar'!$AR$1836&lt;=VAL_DATE)+(COUNTIF('Dvd Calendar'!$E$1843:$AR$1843,'Dvd Calendar'!$AR$1836)=0))&gt;0)=0,"",'Dvd Calendar'!$AR$1836*1000000000+ISNUMBER('Dvd Calendar'!$AR$1839)*100000000+('Dvd Calendar'!$AR$1841=SPECIAL_LBL)*10000000+(N('Dvd Calendar'!$AR$1835)&gt;0)*(N('Dvd Calendar'!$AR$1835)&lt;=VAL_SERIAL)*1000000+26*1000+40))</f>
        <v/>
      </c>
      <c r="FS185" s="39">
        <f>IF(N('Dvd Calendar'!$E$1843)=0,"",IF(('Dvd Calendar'!$E$1843&gt;=GRID_FROM)*('Dvd Calendar'!$E$1843&lt;=GRID_TO)*('Dvd Calendar'!$E$1843&gt;VAL_DATE)=0,"",'Dvd Calendar'!$E$1843*1000000000+ISNUMBER('Dvd Calendar'!$E$1844)*100000000+0*10000000+(N('Dvd Calendar'!$E$1842)&gt;0)*(N('Dvd Calendar'!$E$1842)&lt;=VAL_SERIAL)*1000000+26*1000+41))</f>
        <v/>
      </c>
      <c r="FT185" s="39">
        <f>IF(N('Dvd Calendar'!$F$1843)=0,"",IF(('Dvd Calendar'!$F$1843&gt;=GRID_FROM)*('Dvd Calendar'!$F$1843&lt;=GRID_TO)*('Dvd Calendar'!$F$1843&gt;VAL_DATE)=0,"",'Dvd Calendar'!$F$1843*1000000000+ISNUMBER('Dvd Calendar'!$F$1844)*100000000+0*10000000+(N('Dvd Calendar'!$F$1842)&gt;0)*(N('Dvd Calendar'!$F$1842)&lt;=VAL_SERIAL)*1000000+26*1000+42))</f>
        <v/>
      </c>
      <c r="FU185" s="39">
        <f>IF(N('Dvd Calendar'!$G$1843)=0,"",IF(('Dvd Calendar'!$G$1843&gt;=GRID_FROM)*('Dvd Calendar'!$G$1843&lt;=GRID_TO)*('Dvd Calendar'!$G$1843&gt;VAL_DATE)=0,"",'Dvd Calendar'!$G$1843*1000000000+ISNUMBER('Dvd Calendar'!$G$1844)*100000000+0*10000000+(N('Dvd Calendar'!$G$1842)&gt;0)*(N('Dvd Calendar'!$G$1842)&lt;=VAL_SERIAL)*1000000+26*1000+43))</f>
        <v/>
      </c>
      <c r="FV185" s="39">
        <f>IF(N('Dvd Calendar'!$H$1843)=0,"",IF(('Dvd Calendar'!$H$1843&gt;=GRID_FROM)*('Dvd Calendar'!$H$1843&lt;=GRID_TO)*('Dvd Calendar'!$H$1843&gt;VAL_DATE)=0,"",'Dvd Calendar'!$H$1843*1000000000+ISNUMBER('Dvd Calendar'!$H$1844)*100000000+0*10000000+(N('Dvd Calendar'!$H$1842)&gt;0)*(N('Dvd Calendar'!$H$1842)&lt;=VAL_SERIAL)*1000000+26*1000+44))</f>
        <v/>
      </c>
      <c r="FW185" s="39">
        <f>IF(N('Dvd Calendar'!$I$1843)=0,"",IF(('Dvd Calendar'!$I$1843&gt;=GRID_FROM)*('Dvd Calendar'!$I$1843&lt;=GRID_TO)*('Dvd Calendar'!$I$1843&gt;VAL_DATE)=0,"",'Dvd Calendar'!$I$1843*1000000000+ISNUMBER('Dvd Calendar'!$I$1844)*100000000+0*10000000+(N('Dvd Calendar'!$I$1842)&gt;0)*(N('Dvd Calendar'!$I$1842)&lt;=VAL_SERIAL)*1000000+26*1000+45))</f>
        <v/>
      </c>
      <c r="FX185" s="39">
        <f>IF(N('Dvd Calendar'!$J$1843)=0,"",IF(('Dvd Calendar'!$J$1843&gt;=GRID_FROM)*('Dvd Calendar'!$J$1843&lt;=GRID_TO)*('Dvd Calendar'!$J$1843&gt;VAL_DATE)=0,"",'Dvd Calendar'!$J$1843*1000000000+ISNUMBER('Dvd Calendar'!$J$1844)*100000000+0*10000000+(N('Dvd Calendar'!$J$1842)&gt;0)*(N('Dvd Calendar'!$J$1842)&lt;=VAL_SERIAL)*1000000+26*1000+46))</f>
        <v/>
      </c>
      <c r="FY185" s="39">
        <f>IF(N('Dvd Calendar'!$K$1843)=0,"",IF(('Dvd Calendar'!$K$1843&gt;=GRID_FROM)*('Dvd Calendar'!$K$1843&lt;=GRID_TO)*('Dvd Calendar'!$K$1843&gt;VAL_DATE)=0,"",'Dvd Calendar'!$K$1843*1000000000+ISNUMBER('Dvd Calendar'!$K$1844)*100000000+0*10000000+(N('Dvd Calendar'!$K$1842)&gt;0)*(N('Dvd Calendar'!$K$1842)&lt;=VAL_SERIAL)*1000000+26*1000+47))</f>
        <v/>
      </c>
      <c r="FZ185" s="39">
        <f>IF(N('Dvd Calendar'!$L$1843)=0,"",IF(('Dvd Calendar'!$L$1843&gt;=GRID_FROM)*('Dvd Calendar'!$L$1843&lt;=GRID_TO)*('Dvd Calendar'!$L$1843&gt;VAL_DATE)=0,"",'Dvd Calendar'!$L$1843*1000000000+ISNUMBER('Dvd Calendar'!$L$1844)*100000000+0*10000000+(N('Dvd Calendar'!$L$1842)&gt;0)*(N('Dvd Calendar'!$L$1842)&lt;=VAL_SERIAL)*1000000+26*1000+48))</f>
        <v/>
      </c>
      <c r="GA185" s="39">
        <f>IF(N('Dvd Calendar'!$M$1843)=0,"",IF(('Dvd Calendar'!$M$1843&gt;=GRID_FROM)*('Dvd Calendar'!$M$1843&lt;=GRID_TO)*('Dvd Calendar'!$M$1843&gt;VAL_DATE)=0,"",'Dvd Calendar'!$M$1843*1000000000+ISNUMBER('Dvd Calendar'!$M$1844)*100000000+0*10000000+(N('Dvd Calendar'!$M$1842)&gt;0)*(N('Dvd Calendar'!$M$1842)&lt;=VAL_SERIAL)*1000000+26*1000+49))</f>
        <v/>
      </c>
      <c r="GB185" s="39">
        <f>IF(N('Dvd Calendar'!$N$1843)=0,"",IF(('Dvd Calendar'!$N$1843&gt;=GRID_FROM)*('Dvd Calendar'!$N$1843&lt;=GRID_TO)*('Dvd Calendar'!$N$1843&gt;VAL_DATE)=0,"",'Dvd Calendar'!$N$1843*1000000000+ISNUMBER('Dvd Calendar'!$N$1844)*100000000+0*10000000+(N('Dvd Calendar'!$N$1842)&gt;0)*(N('Dvd Calendar'!$N$1842)&lt;=VAL_SERIAL)*1000000+26*1000+50))</f>
        <v/>
      </c>
      <c r="GC185" s="39">
        <f>IF(N('Dvd Calendar'!$O$1843)=0,"",IF(('Dvd Calendar'!$O$1843&gt;=GRID_FROM)*('Dvd Calendar'!$O$1843&lt;=GRID_TO)*('Dvd Calendar'!$O$1843&gt;VAL_DATE)=0,"",'Dvd Calendar'!$O$1843*1000000000+ISNUMBER('Dvd Calendar'!$O$1844)*100000000+0*10000000+(N('Dvd Calendar'!$O$1842)&gt;0)*(N('Dvd Calendar'!$O$1842)&lt;=VAL_SERIAL)*1000000+26*1000+51))</f>
        <v/>
      </c>
      <c r="GD185" s="39">
        <f>IF(N('Dvd Calendar'!$P$1843)=0,"",IF(('Dvd Calendar'!$P$1843&gt;=GRID_FROM)*('Dvd Calendar'!$P$1843&lt;=GRID_TO)*('Dvd Calendar'!$P$1843&gt;VAL_DATE)=0,"",'Dvd Calendar'!$P$1843*1000000000+ISNUMBER('Dvd Calendar'!$P$1844)*100000000+0*10000000+(N('Dvd Calendar'!$P$1842)&gt;0)*(N('Dvd Calendar'!$P$1842)&lt;=VAL_SERIAL)*1000000+26*1000+52))</f>
        <v/>
      </c>
      <c r="GE185" s="39">
        <f>IF(N('Dvd Calendar'!$Q$1843)=0,"",IF(('Dvd Calendar'!$Q$1843&gt;=GRID_FROM)*('Dvd Calendar'!$Q$1843&lt;=GRID_TO)*('Dvd Calendar'!$Q$1843&gt;VAL_DATE)=0,"",'Dvd Calendar'!$Q$1843*1000000000+ISNUMBER('Dvd Calendar'!$Q$1844)*100000000+0*10000000+(N('Dvd Calendar'!$Q$1842)&gt;0)*(N('Dvd Calendar'!$Q$1842)&lt;=VAL_SERIAL)*1000000+26*1000+53))</f>
        <v/>
      </c>
      <c r="GF185" s="39">
        <f>IF(N('Dvd Calendar'!$R$1843)=0,"",IF(('Dvd Calendar'!$R$1843&gt;=GRID_FROM)*('Dvd Calendar'!$R$1843&lt;=GRID_TO)*('Dvd Calendar'!$R$1843&gt;VAL_DATE)=0,"",'Dvd Calendar'!$R$1843*1000000000+ISNUMBER('Dvd Calendar'!$R$1844)*100000000+0*10000000+(N('Dvd Calendar'!$R$1842)&gt;0)*(N('Dvd Calendar'!$R$1842)&lt;=VAL_SERIAL)*1000000+26*1000+54))</f>
        <v/>
      </c>
      <c r="GG185" s="39">
        <f>IF(N('Dvd Calendar'!$S$1843)=0,"",IF(('Dvd Calendar'!$S$1843&gt;=GRID_FROM)*('Dvd Calendar'!$S$1843&lt;=GRID_TO)*('Dvd Calendar'!$S$1843&gt;VAL_DATE)=0,"",'Dvd Calendar'!$S$1843*1000000000+ISNUMBER('Dvd Calendar'!$S$1844)*100000000+0*10000000+(N('Dvd Calendar'!$S$1842)&gt;0)*(N('Dvd Calendar'!$S$1842)&lt;=VAL_SERIAL)*1000000+26*1000+55))</f>
        <v/>
      </c>
      <c r="GH185" s="39">
        <f>IF(N('Dvd Calendar'!$T$1843)=0,"",IF(('Dvd Calendar'!$T$1843&gt;=GRID_FROM)*('Dvd Calendar'!$T$1843&lt;=GRID_TO)*('Dvd Calendar'!$T$1843&gt;VAL_DATE)=0,"",'Dvd Calendar'!$T$1843*1000000000+ISNUMBER('Dvd Calendar'!$T$1844)*100000000+0*10000000+(N('Dvd Calendar'!$T$1842)&gt;0)*(N('Dvd Calendar'!$T$1842)&lt;=VAL_SERIAL)*1000000+26*1000+56))</f>
        <v/>
      </c>
      <c r="GI185" s="39">
        <f>IF(N('Dvd Calendar'!$U$1843)=0,"",IF(('Dvd Calendar'!$U$1843&gt;=GRID_FROM)*('Dvd Calendar'!$U$1843&lt;=GRID_TO)*('Dvd Calendar'!$U$1843&gt;VAL_DATE)=0,"",'Dvd Calendar'!$U$1843*1000000000+ISNUMBER('Dvd Calendar'!$U$1844)*100000000+0*10000000+(N('Dvd Calendar'!$U$1842)&gt;0)*(N('Dvd Calendar'!$U$1842)&lt;=VAL_SERIAL)*1000000+26*1000+57))</f>
        <v/>
      </c>
      <c r="GJ185" s="39">
        <f>IF(N('Dvd Calendar'!$V$1843)=0,"",IF(('Dvd Calendar'!$V$1843&gt;=GRID_FROM)*('Dvd Calendar'!$V$1843&lt;=GRID_TO)*('Dvd Calendar'!$V$1843&gt;VAL_DATE)=0,"",'Dvd Calendar'!$V$1843*1000000000+ISNUMBER('Dvd Calendar'!$V$1844)*100000000+0*10000000+(N('Dvd Calendar'!$V$1842)&gt;0)*(N('Dvd Calendar'!$V$1842)&lt;=VAL_SERIAL)*1000000+26*1000+58))</f>
        <v/>
      </c>
      <c r="GK185" s="39">
        <f>IF(N('Dvd Calendar'!$W$1843)=0,"",IF(('Dvd Calendar'!$W$1843&gt;=GRID_FROM)*('Dvd Calendar'!$W$1843&lt;=GRID_TO)*('Dvd Calendar'!$W$1843&gt;VAL_DATE)=0,"",'Dvd Calendar'!$W$1843*1000000000+ISNUMBER('Dvd Calendar'!$W$1844)*100000000+0*10000000+(N('Dvd Calendar'!$W$1842)&gt;0)*(N('Dvd Calendar'!$W$1842)&lt;=VAL_SERIAL)*1000000+26*1000+59))</f>
        <v/>
      </c>
      <c r="GL185" s="39">
        <f>IF(N('Dvd Calendar'!$X$1843)=0,"",IF(('Dvd Calendar'!$X$1843&gt;=GRID_FROM)*('Dvd Calendar'!$X$1843&lt;=GRID_TO)*('Dvd Calendar'!$X$1843&gt;VAL_DATE)=0,"",'Dvd Calendar'!$X$1843*1000000000+ISNUMBER('Dvd Calendar'!$X$1844)*100000000+0*10000000+(N('Dvd Calendar'!$X$1842)&gt;0)*(N('Dvd Calendar'!$X$1842)&lt;=VAL_SERIAL)*1000000+26*1000+60))</f>
        <v/>
      </c>
      <c r="GM185" s="39">
        <f>IF(N('Dvd Calendar'!$Y$1843)=0,"",IF(('Dvd Calendar'!$Y$1843&gt;=GRID_FROM)*('Dvd Calendar'!$Y$1843&lt;=GRID_TO)*('Dvd Calendar'!$Y$1843&gt;VAL_DATE)=0,"",'Dvd Calendar'!$Y$1843*1000000000+ISNUMBER('Dvd Calendar'!$Y$1844)*100000000+0*10000000+(N('Dvd Calendar'!$Y$1842)&gt;0)*(N('Dvd Calendar'!$Y$1842)&lt;=VAL_SERIAL)*1000000+26*1000+61))</f>
        <v/>
      </c>
      <c r="GN185" s="39">
        <f>IF(N('Dvd Calendar'!$Z$1843)=0,"",IF(('Dvd Calendar'!$Z$1843&gt;=GRID_FROM)*('Dvd Calendar'!$Z$1843&lt;=GRID_TO)*('Dvd Calendar'!$Z$1843&gt;VAL_DATE)=0,"",'Dvd Calendar'!$Z$1843*1000000000+ISNUMBER('Dvd Calendar'!$Z$1844)*100000000+0*10000000+(N('Dvd Calendar'!$Z$1842)&gt;0)*(N('Dvd Calendar'!$Z$1842)&lt;=VAL_SERIAL)*1000000+26*1000+62))</f>
        <v/>
      </c>
      <c r="GO185" s="39">
        <f>IF(N('Dvd Calendar'!$AA$1843)=0,"",IF(('Dvd Calendar'!$AA$1843&gt;=GRID_FROM)*('Dvd Calendar'!$AA$1843&lt;=GRID_TO)*('Dvd Calendar'!$AA$1843&gt;VAL_DATE)=0,"",'Dvd Calendar'!$AA$1843*1000000000+ISNUMBER('Dvd Calendar'!$AA$1844)*100000000+0*10000000+(N('Dvd Calendar'!$AA$1842)&gt;0)*(N('Dvd Calendar'!$AA$1842)&lt;=VAL_SERIAL)*1000000+26*1000+63))</f>
        <v/>
      </c>
      <c r="GP185" s="39">
        <f>IF(N('Dvd Calendar'!$AB$1843)=0,"",IF(('Dvd Calendar'!$AB$1843&gt;=GRID_FROM)*('Dvd Calendar'!$AB$1843&lt;=GRID_TO)*('Dvd Calendar'!$AB$1843&gt;VAL_DATE)=0,"",'Dvd Calendar'!$AB$1843*1000000000+ISNUMBER('Dvd Calendar'!$AB$1844)*100000000+0*10000000+(N('Dvd Calendar'!$AB$1842)&gt;0)*(N('Dvd Calendar'!$AB$1842)&lt;=VAL_SERIAL)*1000000+26*1000+64))</f>
        <v/>
      </c>
      <c r="GQ185" s="39">
        <f>IF(N('Dvd Calendar'!$AC$1843)=0,"",IF(('Dvd Calendar'!$AC$1843&gt;=GRID_FROM)*('Dvd Calendar'!$AC$1843&lt;=GRID_TO)*('Dvd Calendar'!$AC$1843&gt;VAL_DATE)=0,"",'Dvd Calendar'!$AC$1843*1000000000+ISNUMBER('Dvd Calendar'!$AC$1844)*100000000+0*10000000+(N('Dvd Calendar'!$AC$1842)&gt;0)*(N('Dvd Calendar'!$AC$1842)&lt;=VAL_SERIAL)*1000000+26*1000+65))</f>
        <v/>
      </c>
    </row>
    <row r="186">
      <c r="B186" s="2">
        <f>IF(HSCEI!$C$33="","",HSCEI!$C$33)</f>
        <v/>
      </c>
      <c r="C186" s="110">
        <f>IF(EE186="","",IF(ISNUMBER('Dvd Calendar'!$E$1850)=FALSE,"",IF((('Dvd Calendar'!$E$1852=TYPE1)*(TYPE1&lt;&gt;"")+('Dvd Calendar'!$E$1852=TYPE2)*(TYPE2&lt;&gt;"")+('Dvd Calendar'!$E$1852=TYPE3)*(TYPE3&lt;&gt;"")+('Dvd Calendar'!$E$1852=TYPE4)*(TYPE4&lt;&gt;"")+('Dvd Calendar'!$E$1852=SPECIAL_LBL)*(INC_SPECIALS="Y"))=0,"",'Dvd Calendar'!$E$1850)))</f>
        <v/>
      </c>
      <c r="D186" s="110">
        <f>IF(EF186="","",IF(ISNUMBER('Dvd Calendar'!$F$1850)=FALSE,"",IF((('Dvd Calendar'!$F$1852=TYPE1)*(TYPE1&lt;&gt;"")+('Dvd Calendar'!$F$1852=TYPE2)*(TYPE2&lt;&gt;"")+('Dvd Calendar'!$F$1852=TYPE3)*(TYPE3&lt;&gt;"")+('Dvd Calendar'!$F$1852=TYPE4)*(TYPE4&lt;&gt;"")+('Dvd Calendar'!$F$1852=SPECIAL_LBL)*(INC_SPECIALS="Y"))=0,"",'Dvd Calendar'!$F$1850)))</f>
        <v/>
      </c>
      <c r="E186" s="110">
        <f>IF(EG186="","",IF(ISNUMBER('Dvd Calendar'!$G$1850)=FALSE,"",IF((('Dvd Calendar'!$G$1852=TYPE1)*(TYPE1&lt;&gt;"")+('Dvd Calendar'!$G$1852=TYPE2)*(TYPE2&lt;&gt;"")+('Dvd Calendar'!$G$1852=TYPE3)*(TYPE3&lt;&gt;"")+('Dvd Calendar'!$G$1852=TYPE4)*(TYPE4&lt;&gt;"")+('Dvd Calendar'!$G$1852=SPECIAL_LBL)*(INC_SPECIALS="Y"))=0,"",'Dvd Calendar'!$G$1850)))</f>
        <v/>
      </c>
      <c r="F186" s="110">
        <f>IF(EH186="","",IF(ISNUMBER('Dvd Calendar'!$H$1850)=FALSE,"",IF((('Dvd Calendar'!$H$1852=TYPE1)*(TYPE1&lt;&gt;"")+('Dvd Calendar'!$H$1852=TYPE2)*(TYPE2&lt;&gt;"")+('Dvd Calendar'!$H$1852=TYPE3)*(TYPE3&lt;&gt;"")+('Dvd Calendar'!$H$1852=TYPE4)*(TYPE4&lt;&gt;"")+('Dvd Calendar'!$H$1852=SPECIAL_LBL)*(INC_SPECIALS="Y"))=0,"",'Dvd Calendar'!$H$1850)))</f>
        <v/>
      </c>
      <c r="G186" s="110">
        <f>IF(EI186="","",IF(ISNUMBER('Dvd Calendar'!$I$1850)=FALSE,"",IF((('Dvd Calendar'!$I$1852=TYPE1)*(TYPE1&lt;&gt;"")+('Dvd Calendar'!$I$1852=TYPE2)*(TYPE2&lt;&gt;"")+('Dvd Calendar'!$I$1852=TYPE3)*(TYPE3&lt;&gt;"")+('Dvd Calendar'!$I$1852=TYPE4)*(TYPE4&lt;&gt;"")+('Dvd Calendar'!$I$1852=SPECIAL_LBL)*(INC_SPECIALS="Y"))=0,"",'Dvd Calendar'!$I$1850)))</f>
        <v/>
      </c>
      <c r="H186" s="110">
        <f>IF(EJ186="","",IF(ISNUMBER('Dvd Calendar'!$J$1850)=FALSE,"",IF((('Dvd Calendar'!$J$1852=TYPE1)*(TYPE1&lt;&gt;"")+('Dvd Calendar'!$J$1852=TYPE2)*(TYPE2&lt;&gt;"")+('Dvd Calendar'!$J$1852=TYPE3)*(TYPE3&lt;&gt;"")+('Dvd Calendar'!$J$1852=TYPE4)*(TYPE4&lt;&gt;"")+('Dvd Calendar'!$J$1852=SPECIAL_LBL)*(INC_SPECIALS="Y"))=0,"",'Dvd Calendar'!$J$1850)))</f>
        <v/>
      </c>
      <c r="I186" s="110">
        <f>IF(EK186="","",IF(ISNUMBER('Dvd Calendar'!$K$1850)=FALSE,"",IF((('Dvd Calendar'!$K$1852=TYPE1)*(TYPE1&lt;&gt;"")+('Dvd Calendar'!$K$1852=TYPE2)*(TYPE2&lt;&gt;"")+('Dvd Calendar'!$K$1852=TYPE3)*(TYPE3&lt;&gt;"")+('Dvd Calendar'!$K$1852=TYPE4)*(TYPE4&lt;&gt;"")+('Dvd Calendar'!$K$1852=SPECIAL_LBL)*(INC_SPECIALS="Y"))=0,"",'Dvd Calendar'!$K$1850)))</f>
        <v/>
      </c>
      <c r="J186" s="110">
        <f>IF(EL186="","",IF(ISNUMBER('Dvd Calendar'!$L$1850)=FALSE,"",IF((('Dvd Calendar'!$L$1852=TYPE1)*(TYPE1&lt;&gt;"")+('Dvd Calendar'!$L$1852=TYPE2)*(TYPE2&lt;&gt;"")+('Dvd Calendar'!$L$1852=TYPE3)*(TYPE3&lt;&gt;"")+('Dvd Calendar'!$L$1852=TYPE4)*(TYPE4&lt;&gt;"")+('Dvd Calendar'!$L$1852=SPECIAL_LBL)*(INC_SPECIALS="Y"))=0,"",'Dvd Calendar'!$L$1850)))</f>
        <v/>
      </c>
      <c r="K186" s="110">
        <f>IF(EM186="","",IF(ISNUMBER('Dvd Calendar'!$M$1850)=FALSE,"",IF((('Dvd Calendar'!$M$1852=TYPE1)*(TYPE1&lt;&gt;"")+('Dvd Calendar'!$M$1852=TYPE2)*(TYPE2&lt;&gt;"")+('Dvd Calendar'!$M$1852=TYPE3)*(TYPE3&lt;&gt;"")+('Dvd Calendar'!$M$1852=TYPE4)*(TYPE4&lt;&gt;"")+('Dvd Calendar'!$M$1852=SPECIAL_LBL)*(INC_SPECIALS="Y"))=0,"",'Dvd Calendar'!$M$1850)))</f>
        <v/>
      </c>
      <c r="L186" s="110">
        <f>IF(EN186="","",IF(ISNUMBER('Dvd Calendar'!$N$1850)=FALSE,"",IF((('Dvd Calendar'!$N$1852=TYPE1)*(TYPE1&lt;&gt;"")+('Dvd Calendar'!$N$1852=TYPE2)*(TYPE2&lt;&gt;"")+('Dvd Calendar'!$N$1852=TYPE3)*(TYPE3&lt;&gt;"")+('Dvd Calendar'!$N$1852=TYPE4)*(TYPE4&lt;&gt;"")+('Dvd Calendar'!$N$1852=SPECIAL_LBL)*(INC_SPECIALS="Y"))=0,"",'Dvd Calendar'!$N$1850)))</f>
        <v/>
      </c>
      <c r="M186" s="110">
        <f>IF(EO186="","",IF(ISNUMBER('Dvd Calendar'!$O$1850)=FALSE,"",IF((('Dvd Calendar'!$O$1852=TYPE1)*(TYPE1&lt;&gt;"")+('Dvd Calendar'!$O$1852=TYPE2)*(TYPE2&lt;&gt;"")+('Dvd Calendar'!$O$1852=TYPE3)*(TYPE3&lt;&gt;"")+('Dvd Calendar'!$O$1852=TYPE4)*(TYPE4&lt;&gt;"")+('Dvd Calendar'!$O$1852=SPECIAL_LBL)*(INC_SPECIALS="Y"))=0,"",'Dvd Calendar'!$O$1850)))</f>
        <v/>
      </c>
      <c r="N186" s="110">
        <f>IF(EP186="","",IF(ISNUMBER('Dvd Calendar'!$P$1850)=FALSE,"",IF((('Dvd Calendar'!$P$1852=TYPE1)*(TYPE1&lt;&gt;"")+('Dvd Calendar'!$P$1852=TYPE2)*(TYPE2&lt;&gt;"")+('Dvd Calendar'!$P$1852=TYPE3)*(TYPE3&lt;&gt;"")+('Dvd Calendar'!$P$1852=TYPE4)*(TYPE4&lt;&gt;"")+('Dvd Calendar'!$P$1852=SPECIAL_LBL)*(INC_SPECIALS="Y"))=0,"",'Dvd Calendar'!$P$1850)))</f>
        <v/>
      </c>
      <c r="O186" s="110">
        <f>IF(EQ186="","",IF(ISNUMBER('Dvd Calendar'!$Q$1850)=FALSE,"",IF((('Dvd Calendar'!$Q$1852=TYPE1)*(TYPE1&lt;&gt;"")+('Dvd Calendar'!$Q$1852=TYPE2)*(TYPE2&lt;&gt;"")+('Dvd Calendar'!$Q$1852=TYPE3)*(TYPE3&lt;&gt;"")+('Dvd Calendar'!$Q$1852=TYPE4)*(TYPE4&lt;&gt;"")+('Dvd Calendar'!$Q$1852=SPECIAL_LBL)*(INC_SPECIALS="Y"))=0,"",'Dvd Calendar'!$Q$1850)))</f>
        <v/>
      </c>
      <c r="P186" s="110">
        <f>IF(ER186="","",IF(ISNUMBER('Dvd Calendar'!$R$1850)=FALSE,"",IF((('Dvd Calendar'!$R$1852=TYPE1)*(TYPE1&lt;&gt;"")+('Dvd Calendar'!$R$1852=TYPE2)*(TYPE2&lt;&gt;"")+('Dvd Calendar'!$R$1852=TYPE3)*(TYPE3&lt;&gt;"")+('Dvd Calendar'!$R$1852=TYPE4)*(TYPE4&lt;&gt;"")+('Dvd Calendar'!$R$1852=SPECIAL_LBL)*(INC_SPECIALS="Y"))=0,"",'Dvd Calendar'!$R$1850)))</f>
        <v/>
      </c>
      <c r="Q186" s="110">
        <f>IF(ES186="","",IF(ISNUMBER('Dvd Calendar'!$S$1850)=FALSE,"",IF((('Dvd Calendar'!$S$1852=TYPE1)*(TYPE1&lt;&gt;"")+('Dvd Calendar'!$S$1852=TYPE2)*(TYPE2&lt;&gt;"")+('Dvd Calendar'!$S$1852=TYPE3)*(TYPE3&lt;&gt;"")+('Dvd Calendar'!$S$1852=TYPE4)*(TYPE4&lt;&gt;"")+('Dvd Calendar'!$S$1852=SPECIAL_LBL)*(INC_SPECIALS="Y"))=0,"",'Dvd Calendar'!$S$1850)))</f>
        <v/>
      </c>
      <c r="R186" s="110">
        <f>IF(ET186="","",IF(ISNUMBER('Dvd Calendar'!$T$1850)=FALSE,"",IF((('Dvd Calendar'!$T$1852=TYPE1)*(TYPE1&lt;&gt;"")+('Dvd Calendar'!$T$1852=TYPE2)*(TYPE2&lt;&gt;"")+('Dvd Calendar'!$T$1852=TYPE3)*(TYPE3&lt;&gt;"")+('Dvd Calendar'!$T$1852=TYPE4)*(TYPE4&lt;&gt;"")+('Dvd Calendar'!$T$1852=SPECIAL_LBL)*(INC_SPECIALS="Y"))=0,"",'Dvd Calendar'!$T$1850)))</f>
        <v/>
      </c>
      <c r="S186" s="110">
        <f>IF(EU186="","",IF(ISNUMBER('Dvd Calendar'!$U$1850)=FALSE,"",IF((('Dvd Calendar'!$U$1852=TYPE1)*(TYPE1&lt;&gt;"")+('Dvd Calendar'!$U$1852=TYPE2)*(TYPE2&lt;&gt;"")+('Dvd Calendar'!$U$1852=TYPE3)*(TYPE3&lt;&gt;"")+('Dvd Calendar'!$U$1852=TYPE4)*(TYPE4&lt;&gt;"")+('Dvd Calendar'!$U$1852=SPECIAL_LBL)*(INC_SPECIALS="Y"))=0,"",'Dvd Calendar'!$U$1850)))</f>
        <v/>
      </c>
      <c r="T186" s="110">
        <f>IF(EV186="","",IF(ISNUMBER('Dvd Calendar'!$V$1850)=FALSE,"",IF((('Dvd Calendar'!$V$1852=TYPE1)*(TYPE1&lt;&gt;"")+('Dvd Calendar'!$V$1852=TYPE2)*(TYPE2&lt;&gt;"")+('Dvd Calendar'!$V$1852=TYPE3)*(TYPE3&lt;&gt;"")+('Dvd Calendar'!$V$1852=TYPE4)*(TYPE4&lt;&gt;"")+('Dvd Calendar'!$V$1852=SPECIAL_LBL)*(INC_SPECIALS="Y"))=0,"",'Dvd Calendar'!$V$1850)))</f>
        <v/>
      </c>
      <c r="U186" s="110">
        <f>IF(EW186="","",IF(ISNUMBER('Dvd Calendar'!$W$1850)=FALSE,"",IF((('Dvd Calendar'!$W$1852=TYPE1)*(TYPE1&lt;&gt;"")+('Dvd Calendar'!$W$1852=TYPE2)*(TYPE2&lt;&gt;"")+('Dvd Calendar'!$W$1852=TYPE3)*(TYPE3&lt;&gt;"")+('Dvd Calendar'!$W$1852=TYPE4)*(TYPE4&lt;&gt;"")+('Dvd Calendar'!$W$1852=SPECIAL_LBL)*(INC_SPECIALS="Y"))=0,"",'Dvd Calendar'!$W$1850)))</f>
        <v/>
      </c>
      <c r="V186" s="110">
        <f>IF(EX186="","",IF(ISNUMBER('Dvd Calendar'!$X$1850)=FALSE,"",IF((('Dvd Calendar'!$X$1852=TYPE1)*(TYPE1&lt;&gt;"")+('Dvd Calendar'!$X$1852=TYPE2)*(TYPE2&lt;&gt;"")+('Dvd Calendar'!$X$1852=TYPE3)*(TYPE3&lt;&gt;"")+('Dvd Calendar'!$X$1852=TYPE4)*(TYPE4&lt;&gt;"")+('Dvd Calendar'!$X$1852=SPECIAL_LBL)*(INC_SPECIALS="Y"))=0,"",'Dvd Calendar'!$X$1850)))</f>
        <v/>
      </c>
      <c r="W186" s="110">
        <f>IF(EY186="","",IF(ISNUMBER('Dvd Calendar'!$Y$1850)=FALSE,"",IF((('Dvd Calendar'!$Y$1852=TYPE1)*(TYPE1&lt;&gt;"")+('Dvd Calendar'!$Y$1852=TYPE2)*(TYPE2&lt;&gt;"")+('Dvd Calendar'!$Y$1852=TYPE3)*(TYPE3&lt;&gt;"")+('Dvd Calendar'!$Y$1852=TYPE4)*(TYPE4&lt;&gt;"")+('Dvd Calendar'!$Y$1852=SPECIAL_LBL)*(INC_SPECIALS="Y"))=0,"",'Dvd Calendar'!$Y$1850)))</f>
        <v/>
      </c>
      <c r="X186" s="110">
        <f>IF(EZ186="","",IF(ISNUMBER('Dvd Calendar'!$Z$1850)=FALSE,"",IF((('Dvd Calendar'!$Z$1852=TYPE1)*(TYPE1&lt;&gt;"")+('Dvd Calendar'!$Z$1852=TYPE2)*(TYPE2&lt;&gt;"")+('Dvd Calendar'!$Z$1852=TYPE3)*(TYPE3&lt;&gt;"")+('Dvd Calendar'!$Z$1852=TYPE4)*(TYPE4&lt;&gt;"")+('Dvd Calendar'!$Z$1852=SPECIAL_LBL)*(INC_SPECIALS="Y"))=0,"",'Dvd Calendar'!$Z$1850)))</f>
        <v/>
      </c>
      <c r="Y186" s="110">
        <f>IF(FA186="","",IF(ISNUMBER('Dvd Calendar'!$AA$1850)=FALSE,"",IF((('Dvd Calendar'!$AA$1852=TYPE1)*(TYPE1&lt;&gt;"")+('Dvd Calendar'!$AA$1852=TYPE2)*(TYPE2&lt;&gt;"")+('Dvd Calendar'!$AA$1852=TYPE3)*(TYPE3&lt;&gt;"")+('Dvd Calendar'!$AA$1852=TYPE4)*(TYPE4&lt;&gt;"")+('Dvd Calendar'!$AA$1852=SPECIAL_LBL)*(INC_SPECIALS="Y"))=0,"",'Dvd Calendar'!$AA$1850)))</f>
        <v/>
      </c>
      <c r="Z186" s="110">
        <f>IF(FB186="","",IF(ISNUMBER('Dvd Calendar'!$AB$1850)=FALSE,"",IF((('Dvd Calendar'!$AB$1852=TYPE1)*(TYPE1&lt;&gt;"")+('Dvd Calendar'!$AB$1852=TYPE2)*(TYPE2&lt;&gt;"")+('Dvd Calendar'!$AB$1852=TYPE3)*(TYPE3&lt;&gt;"")+('Dvd Calendar'!$AB$1852=TYPE4)*(TYPE4&lt;&gt;"")+('Dvd Calendar'!$AB$1852=SPECIAL_LBL)*(INC_SPECIALS="Y"))=0,"",'Dvd Calendar'!$AB$1850)))</f>
        <v/>
      </c>
      <c r="AA186" s="110">
        <f>IF(FC186="","",IF(ISNUMBER('Dvd Calendar'!$AC$1850)=FALSE,"",IF((('Dvd Calendar'!$AC$1852=TYPE1)*(TYPE1&lt;&gt;"")+('Dvd Calendar'!$AC$1852=TYPE2)*(TYPE2&lt;&gt;"")+('Dvd Calendar'!$AC$1852=TYPE3)*(TYPE3&lt;&gt;"")+('Dvd Calendar'!$AC$1852=TYPE4)*(TYPE4&lt;&gt;"")+('Dvd Calendar'!$AC$1852=SPECIAL_LBL)*(INC_SPECIALS="Y"))=0,"",'Dvd Calendar'!$AC$1850)))</f>
        <v/>
      </c>
      <c r="AB186" s="110">
        <f>IF(FD186="","",IF(ISNUMBER('Dvd Calendar'!$AD$1850)=FALSE,"",IF((('Dvd Calendar'!$AD$1852=TYPE1)*(TYPE1&lt;&gt;"")+('Dvd Calendar'!$AD$1852=TYPE2)*(TYPE2&lt;&gt;"")+('Dvd Calendar'!$AD$1852=TYPE3)*(TYPE3&lt;&gt;"")+('Dvd Calendar'!$AD$1852=TYPE4)*(TYPE4&lt;&gt;"")+('Dvd Calendar'!$AD$1852=SPECIAL_LBL)*(INC_SPECIALS="Y"))=0,"",'Dvd Calendar'!$AD$1850)))</f>
        <v/>
      </c>
      <c r="AC186" s="110">
        <f>IF(FE186="","",IF(ISNUMBER('Dvd Calendar'!$AE$1850)=FALSE,"",IF((('Dvd Calendar'!$AE$1852=TYPE1)*(TYPE1&lt;&gt;"")+('Dvd Calendar'!$AE$1852=TYPE2)*(TYPE2&lt;&gt;"")+('Dvd Calendar'!$AE$1852=TYPE3)*(TYPE3&lt;&gt;"")+('Dvd Calendar'!$AE$1852=TYPE4)*(TYPE4&lt;&gt;"")+('Dvd Calendar'!$AE$1852=SPECIAL_LBL)*(INC_SPECIALS="Y"))=0,"",'Dvd Calendar'!$AE$1850)))</f>
        <v/>
      </c>
      <c r="AD186" s="110">
        <f>IF(FF186="","",IF(ISNUMBER('Dvd Calendar'!$AF$1850)=FALSE,"",IF((('Dvd Calendar'!$AF$1852=TYPE1)*(TYPE1&lt;&gt;"")+('Dvd Calendar'!$AF$1852=TYPE2)*(TYPE2&lt;&gt;"")+('Dvd Calendar'!$AF$1852=TYPE3)*(TYPE3&lt;&gt;"")+('Dvd Calendar'!$AF$1852=TYPE4)*(TYPE4&lt;&gt;"")+('Dvd Calendar'!$AF$1852=SPECIAL_LBL)*(INC_SPECIALS="Y"))=0,"",'Dvd Calendar'!$AF$1850)))</f>
        <v/>
      </c>
      <c r="AE186" s="110">
        <f>IF(FG186="","",IF(ISNUMBER('Dvd Calendar'!$AG$1850)=FALSE,"",IF((('Dvd Calendar'!$AG$1852=TYPE1)*(TYPE1&lt;&gt;"")+('Dvd Calendar'!$AG$1852=TYPE2)*(TYPE2&lt;&gt;"")+('Dvd Calendar'!$AG$1852=TYPE3)*(TYPE3&lt;&gt;"")+('Dvd Calendar'!$AG$1852=TYPE4)*(TYPE4&lt;&gt;"")+('Dvd Calendar'!$AG$1852=SPECIAL_LBL)*(INC_SPECIALS="Y"))=0,"",'Dvd Calendar'!$AG$1850)))</f>
        <v/>
      </c>
      <c r="AF186" s="110">
        <f>IF(FH186="","",IF(ISNUMBER('Dvd Calendar'!$AH$1850)=FALSE,"",IF((('Dvd Calendar'!$AH$1852=TYPE1)*(TYPE1&lt;&gt;"")+('Dvd Calendar'!$AH$1852=TYPE2)*(TYPE2&lt;&gt;"")+('Dvd Calendar'!$AH$1852=TYPE3)*(TYPE3&lt;&gt;"")+('Dvd Calendar'!$AH$1852=TYPE4)*(TYPE4&lt;&gt;"")+('Dvd Calendar'!$AH$1852=SPECIAL_LBL)*(INC_SPECIALS="Y"))=0,"",'Dvd Calendar'!$AH$1850)))</f>
        <v/>
      </c>
      <c r="AG186" s="110">
        <f>IF(FI186="","",IF(ISNUMBER('Dvd Calendar'!$AI$1850)=FALSE,"",IF((('Dvd Calendar'!$AI$1852=TYPE1)*(TYPE1&lt;&gt;"")+('Dvd Calendar'!$AI$1852=TYPE2)*(TYPE2&lt;&gt;"")+('Dvd Calendar'!$AI$1852=TYPE3)*(TYPE3&lt;&gt;"")+('Dvd Calendar'!$AI$1852=TYPE4)*(TYPE4&lt;&gt;"")+('Dvd Calendar'!$AI$1852=SPECIAL_LBL)*(INC_SPECIALS="Y"))=0,"",'Dvd Calendar'!$AI$1850)))</f>
        <v/>
      </c>
      <c r="AH186" s="110">
        <f>IF(FJ186="","",IF(ISNUMBER('Dvd Calendar'!$AJ$1850)=FALSE,"",IF((('Dvd Calendar'!$AJ$1852=TYPE1)*(TYPE1&lt;&gt;"")+('Dvd Calendar'!$AJ$1852=TYPE2)*(TYPE2&lt;&gt;"")+('Dvd Calendar'!$AJ$1852=TYPE3)*(TYPE3&lt;&gt;"")+('Dvd Calendar'!$AJ$1852=TYPE4)*(TYPE4&lt;&gt;"")+('Dvd Calendar'!$AJ$1852=SPECIAL_LBL)*(INC_SPECIALS="Y"))=0,"",'Dvd Calendar'!$AJ$1850)))</f>
        <v/>
      </c>
      <c r="AI186" s="110">
        <f>IF(FK186="","",IF(ISNUMBER('Dvd Calendar'!$AK$1850)=FALSE,"",IF((('Dvd Calendar'!$AK$1852=TYPE1)*(TYPE1&lt;&gt;"")+('Dvd Calendar'!$AK$1852=TYPE2)*(TYPE2&lt;&gt;"")+('Dvd Calendar'!$AK$1852=TYPE3)*(TYPE3&lt;&gt;"")+('Dvd Calendar'!$AK$1852=TYPE4)*(TYPE4&lt;&gt;"")+('Dvd Calendar'!$AK$1852=SPECIAL_LBL)*(INC_SPECIALS="Y"))=0,"",'Dvd Calendar'!$AK$1850)))</f>
        <v/>
      </c>
      <c r="AJ186" s="110">
        <f>IF(FL186="","",IF(ISNUMBER('Dvd Calendar'!$AL$1850)=FALSE,"",IF((('Dvd Calendar'!$AL$1852=TYPE1)*(TYPE1&lt;&gt;"")+('Dvd Calendar'!$AL$1852=TYPE2)*(TYPE2&lt;&gt;"")+('Dvd Calendar'!$AL$1852=TYPE3)*(TYPE3&lt;&gt;"")+('Dvd Calendar'!$AL$1852=TYPE4)*(TYPE4&lt;&gt;"")+('Dvd Calendar'!$AL$1852=SPECIAL_LBL)*(INC_SPECIALS="Y"))=0,"",'Dvd Calendar'!$AL$1850)))</f>
        <v/>
      </c>
      <c r="AK186" s="110">
        <f>IF(FM186="","",IF(ISNUMBER('Dvd Calendar'!$AM$1850)=FALSE,"",IF((('Dvd Calendar'!$AM$1852=TYPE1)*(TYPE1&lt;&gt;"")+('Dvd Calendar'!$AM$1852=TYPE2)*(TYPE2&lt;&gt;"")+('Dvd Calendar'!$AM$1852=TYPE3)*(TYPE3&lt;&gt;"")+('Dvd Calendar'!$AM$1852=TYPE4)*(TYPE4&lt;&gt;"")+('Dvd Calendar'!$AM$1852=SPECIAL_LBL)*(INC_SPECIALS="Y"))=0,"",'Dvd Calendar'!$AM$1850)))</f>
        <v/>
      </c>
      <c r="AL186" s="110">
        <f>IF(FN186="","",IF(ISNUMBER('Dvd Calendar'!$AN$1850)=FALSE,"",IF((('Dvd Calendar'!$AN$1852=TYPE1)*(TYPE1&lt;&gt;"")+('Dvd Calendar'!$AN$1852=TYPE2)*(TYPE2&lt;&gt;"")+('Dvd Calendar'!$AN$1852=TYPE3)*(TYPE3&lt;&gt;"")+('Dvd Calendar'!$AN$1852=TYPE4)*(TYPE4&lt;&gt;"")+('Dvd Calendar'!$AN$1852=SPECIAL_LBL)*(INC_SPECIALS="Y"))=0,"",'Dvd Calendar'!$AN$1850)))</f>
        <v/>
      </c>
      <c r="AM186" s="110">
        <f>IF(FO186="","",IF(ISNUMBER('Dvd Calendar'!$AO$1850)=FALSE,"",IF((('Dvd Calendar'!$AO$1852=TYPE1)*(TYPE1&lt;&gt;"")+('Dvd Calendar'!$AO$1852=TYPE2)*(TYPE2&lt;&gt;"")+('Dvd Calendar'!$AO$1852=TYPE3)*(TYPE3&lt;&gt;"")+('Dvd Calendar'!$AO$1852=TYPE4)*(TYPE4&lt;&gt;"")+('Dvd Calendar'!$AO$1852=SPECIAL_LBL)*(INC_SPECIALS="Y"))=0,"",'Dvd Calendar'!$AO$1850)))</f>
        <v/>
      </c>
      <c r="AN186" s="110">
        <f>IF(FP186="","",IF(ISNUMBER('Dvd Calendar'!$AP$1850)=FALSE,"",IF((('Dvd Calendar'!$AP$1852=TYPE1)*(TYPE1&lt;&gt;"")+('Dvd Calendar'!$AP$1852=TYPE2)*(TYPE2&lt;&gt;"")+('Dvd Calendar'!$AP$1852=TYPE3)*(TYPE3&lt;&gt;"")+('Dvd Calendar'!$AP$1852=TYPE4)*(TYPE4&lt;&gt;"")+('Dvd Calendar'!$AP$1852=SPECIAL_LBL)*(INC_SPECIALS="Y"))=0,"",'Dvd Calendar'!$AP$1850)))</f>
        <v/>
      </c>
      <c r="AO186" s="110">
        <f>IF(FQ186="","",IF(ISNUMBER('Dvd Calendar'!$AQ$1850)=FALSE,"",IF((('Dvd Calendar'!$AQ$1852=TYPE1)*(TYPE1&lt;&gt;"")+('Dvd Calendar'!$AQ$1852=TYPE2)*(TYPE2&lt;&gt;"")+('Dvd Calendar'!$AQ$1852=TYPE3)*(TYPE3&lt;&gt;"")+('Dvd Calendar'!$AQ$1852=TYPE4)*(TYPE4&lt;&gt;"")+('Dvd Calendar'!$AQ$1852=SPECIAL_LBL)*(INC_SPECIALS="Y"))=0,"",'Dvd Calendar'!$AQ$1850)))</f>
        <v/>
      </c>
      <c r="AP186" s="110">
        <f>IF(FR186="","",IF(ISNUMBER('Dvd Calendar'!$AR$1850)=FALSE,"",IF((('Dvd Calendar'!$AR$1852=TYPE1)*(TYPE1&lt;&gt;"")+('Dvd Calendar'!$AR$1852=TYPE2)*(TYPE2&lt;&gt;"")+('Dvd Calendar'!$AR$1852=TYPE3)*(TYPE3&lt;&gt;"")+('Dvd Calendar'!$AR$1852=TYPE4)*(TYPE4&lt;&gt;"")+('Dvd Calendar'!$AR$1852=SPECIAL_LBL)*(INC_SPECIALS="Y"))=0,"",'Dvd Calendar'!$AR$1850)))</f>
        <v/>
      </c>
      <c r="AQ186" s="110">
        <f>IF(FS186="","",IF(ISNUMBER('Dvd Calendar'!$E$1855)=FALSE,"",'Dvd Calendar'!$E$1855))</f>
        <v/>
      </c>
      <c r="AR186" s="110">
        <f>IF(FT186="","",IF(ISNUMBER('Dvd Calendar'!$F$1855)=FALSE,"",'Dvd Calendar'!$F$1855))</f>
        <v/>
      </c>
      <c r="AS186" s="110">
        <f>IF(FU186="","",IF(ISNUMBER('Dvd Calendar'!$G$1855)=FALSE,"",'Dvd Calendar'!$G$1855))</f>
        <v/>
      </c>
      <c r="AT186" s="110">
        <f>IF(FV186="","",IF(ISNUMBER('Dvd Calendar'!$H$1855)=FALSE,"",'Dvd Calendar'!$H$1855))</f>
        <v/>
      </c>
      <c r="AU186" s="110">
        <f>IF(FW186="","",IF(ISNUMBER('Dvd Calendar'!$I$1855)=FALSE,"",'Dvd Calendar'!$I$1855))</f>
        <v/>
      </c>
      <c r="AV186" s="110">
        <f>IF(FX186="","",IF(ISNUMBER('Dvd Calendar'!$J$1855)=FALSE,"",'Dvd Calendar'!$J$1855))</f>
        <v/>
      </c>
      <c r="AW186" s="110">
        <f>IF(FY186="","",IF(ISNUMBER('Dvd Calendar'!$K$1855)=FALSE,"",'Dvd Calendar'!$K$1855))</f>
        <v/>
      </c>
      <c r="AX186" s="110">
        <f>IF(FZ186="","",IF(ISNUMBER('Dvd Calendar'!$L$1855)=FALSE,"",'Dvd Calendar'!$L$1855))</f>
        <v/>
      </c>
      <c r="AY186" s="110">
        <f>IF(GA186="","",IF(ISNUMBER('Dvd Calendar'!$M$1855)=FALSE,"",'Dvd Calendar'!$M$1855))</f>
        <v/>
      </c>
      <c r="AZ186" s="110">
        <f>IF(GB186="","",IF(ISNUMBER('Dvd Calendar'!$N$1855)=FALSE,"",'Dvd Calendar'!$N$1855))</f>
        <v/>
      </c>
      <c r="BA186" s="110">
        <f>IF(GC186="","",IF(ISNUMBER('Dvd Calendar'!$O$1855)=FALSE,"",'Dvd Calendar'!$O$1855))</f>
        <v/>
      </c>
      <c r="BB186" s="110">
        <f>IF(GD186="","",IF(ISNUMBER('Dvd Calendar'!$P$1855)=FALSE,"",'Dvd Calendar'!$P$1855))</f>
        <v/>
      </c>
      <c r="BC186" s="110">
        <f>IF(GE186="","",IF(ISNUMBER('Dvd Calendar'!$Q$1855)=FALSE,"",'Dvd Calendar'!$Q$1855))</f>
        <v/>
      </c>
      <c r="BD186" s="110">
        <f>IF(GF186="","",IF(ISNUMBER('Dvd Calendar'!$R$1855)=FALSE,"",'Dvd Calendar'!$R$1855))</f>
        <v/>
      </c>
      <c r="BE186" s="110">
        <f>IF(GG186="","",IF(ISNUMBER('Dvd Calendar'!$S$1855)=FALSE,"",'Dvd Calendar'!$S$1855))</f>
        <v/>
      </c>
      <c r="BF186" s="110">
        <f>IF(GH186="","",IF(ISNUMBER('Dvd Calendar'!$T$1855)=FALSE,"",'Dvd Calendar'!$T$1855))</f>
        <v/>
      </c>
      <c r="BG186" s="110">
        <f>IF(GI186="","",IF(ISNUMBER('Dvd Calendar'!$U$1855)=FALSE,"",'Dvd Calendar'!$U$1855))</f>
        <v/>
      </c>
      <c r="BH186" s="110">
        <f>IF(GJ186="","",IF(ISNUMBER('Dvd Calendar'!$V$1855)=FALSE,"",'Dvd Calendar'!$V$1855))</f>
        <v/>
      </c>
      <c r="BI186" s="110">
        <f>IF(GK186="","",IF(ISNUMBER('Dvd Calendar'!$W$1855)=FALSE,"",'Dvd Calendar'!$W$1855))</f>
        <v/>
      </c>
      <c r="BJ186" s="110">
        <f>IF(GL186="","",IF(ISNUMBER('Dvd Calendar'!$X$1855)=FALSE,"",'Dvd Calendar'!$X$1855))</f>
        <v/>
      </c>
      <c r="BK186" s="110">
        <f>IF(GM186="","",IF(ISNUMBER('Dvd Calendar'!$Y$1855)=FALSE,"",'Dvd Calendar'!$Y$1855))</f>
        <v/>
      </c>
      <c r="BL186" s="110">
        <f>IF(GN186="","",IF(ISNUMBER('Dvd Calendar'!$Z$1855)=FALSE,"",'Dvd Calendar'!$Z$1855))</f>
        <v/>
      </c>
      <c r="BM186" s="110">
        <f>IF(GO186="","",IF(ISNUMBER('Dvd Calendar'!$AA$1855)=FALSE,"",'Dvd Calendar'!$AA$1855))</f>
        <v/>
      </c>
      <c r="BN186" s="110">
        <f>IF(GP186="","",IF(ISNUMBER('Dvd Calendar'!$AB$1855)=FALSE,"",'Dvd Calendar'!$AB$1855))</f>
        <v/>
      </c>
      <c r="BO186" s="110">
        <f>IF(GQ186="","",IF(ISNUMBER('Dvd Calendar'!$AC$1855)=FALSE,"",'Dvd Calendar'!$AC$1855))</f>
        <v/>
      </c>
      <c r="BQ186" s="110">
        <f>IF(C186="","",IFERROR(C186*HSCEI!$B$33*HSCEI!$G$33/HSCEI!$B$3,""))</f>
        <v/>
      </c>
      <c r="BR186" s="110">
        <f>IF(D186="","",IFERROR(D186*HSCEI!$B$33*HSCEI!$G$33/HSCEI!$B$3,""))</f>
        <v/>
      </c>
      <c r="BS186" s="110">
        <f>IF(E186="","",IFERROR(E186*HSCEI!$B$33*HSCEI!$G$33/HSCEI!$B$3,""))</f>
        <v/>
      </c>
      <c r="BT186" s="110">
        <f>IF(F186="","",IFERROR(F186*HSCEI!$B$33*HSCEI!$G$33/HSCEI!$B$3,""))</f>
        <v/>
      </c>
      <c r="BU186" s="110">
        <f>IF(G186="","",IFERROR(G186*HSCEI!$B$33*HSCEI!$G$33/HSCEI!$B$3,""))</f>
        <v/>
      </c>
      <c r="BV186" s="110">
        <f>IF(H186="","",IFERROR(H186*HSCEI!$B$33*HSCEI!$G$33/HSCEI!$B$3,""))</f>
        <v/>
      </c>
      <c r="BW186" s="110">
        <f>IF(I186="","",IFERROR(I186*HSCEI!$B$33*HSCEI!$G$33/HSCEI!$B$3,""))</f>
        <v/>
      </c>
      <c r="BX186" s="110">
        <f>IF(J186="","",IFERROR(J186*HSCEI!$B$33*HSCEI!$G$33/HSCEI!$B$3,""))</f>
        <v/>
      </c>
      <c r="BY186" s="110">
        <f>IF(K186="","",IFERROR(K186*HSCEI!$B$33*HSCEI!$G$33/HSCEI!$B$3,""))</f>
        <v/>
      </c>
      <c r="BZ186" s="110">
        <f>IF(L186="","",IFERROR(L186*HSCEI!$B$33*HSCEI!$G$33/HSCEI!$B$3,""))</f>
        <v/>
      </c>
      <c r="CA186" s="110">
        <f>IF(M186="","",IFERROR(M186*HSCEI!$B$33*HSCEI!$G$33/HSCEI!$B$3,""))</f>
        <v/>
      </c>
      <c r="CB186" s="110">
        <f>IF(N186="","",IFERROR(N186*HSCEI!$B$33*HSCEI!$G$33/HSCEI!$B$3,""))</f>
        <v/>
      </c>
      <c r="CC186" s="110">
        <f>IF(O186="","",IFERROR(O186*HSCEI!$B$33*HSCEI!$G$33/HSCEI!$B$3,""))</f>
        <v/>
      </c>
      <c r="CD186" s="110">
        <f>IF(P186="","",IFERROR(P186*HSCEI!$B$33*HSCEI!$G$33/HSCEI!$B$3,""))</f>
        <v/>
      </c>
      <c r="CE186" s="110">
        <f>IF(Q186="","",IFERROR(Q186*HSCEI!$B$33*HSCEI!$G$33/HSCEI!$B$3,""))</f>
        <v/>
      </c>
      <c r="CF186" s="110">
        <f>IF(R186="","",IFERROR(R186*HSCEI!$B$33*HSCEI!$G$33/HSCEI!$B$3,""))</f>
        <v/>
      </c>
      <c r="CG186" s="110">
        <f>IF(S186="","",IFERROR(S186*HSCEI!$B$33*HSCEI!$G$33/HSCEI!$B$3,""))</f>
        <v/>
      </c>
      <c r="CH186" s="110">
        <f>IF(T186="","",IFERROR(T186*HSCEI!$B$33*HSCEI!$G$33/HSCEI!$B$3,""))</f>
        <v/>
      </c>
      <c r="CI186" s="110">
        <f>IF(U186="","",IFERROR(U186*HSCEI!$B$33*HSCEI!$G$33/HSCEI!$B$3,""))</f>
        <v/>
      </c>
      <c r="CJ186" s="110">
        <f>IF(V186="","",IFERROR(V186*HSCEI!$B$33*HSCEI!$G$33/HSCEI!$B$3,""))</f>
        <v/>
      </c>
      <c r="CK186" s="110">
        <f>IF(W186="","",IFERROR(W186*HSCEI!$B$33*HSCEI!$G$33/HSCEI!$B$3,""))</f>
        <v/>
      </c>
      <c r="CL186" s="110">
        <f>IF(X186="","",IFERROR(X186*HSCEI!$B$33*HSCEI!$G$33/HSCEI!$B$3,""))</f>
        <v/>
      </c>
      <c r="CM186" s="110">
        <f>IF(Y186="","",IFERROR(Y186*HSCEI!$B$33*HSCEI!$G$33/HSCEI!$B$3,""))</f>
        <v/>
      </c>
      <c r="CN186" s="110">
        <f>IF(Z186="","",IFERROR(Z186*HSCEI!$B$33*HSCEI!$G$33/HSCEI!$B$3,""))</f>
        <v/>
      </c>
      <c r="CO186" s="110">
        <f>IF(AA186="","",IFERROR(AA186*HSCEI!$B$33*HSCEI!$G$33/HSCEI!$B$3,""))</f>
        <v/>
      </c>
      <c r="CP186" s="110">
        <f>IF(AB186="","",IFERROR(AB186*HSCEI!$B$33*HSCEI!$G$33/HSCEI!$B$3,""))</f>
        <v/>
      </c>
      <c r="CQ186" s="110">
        <f>IF(AC186="","",IFERROR(AC186*HSCEI!$B$33*HSCEI!$G$33/HSCEI!$B$3,""))</f>
        <v/>
      </c>
      <c r="CR186" s="110">
        <f>IF(AD186="","",IFERROR(AD186*HSCEI!$B$33*HSCEI!$G$33/HSCEI!$B$3,""))</f>
        <v/>
      </c>
      <c r="CS186" s="110">
        <f>IF(AE186="","",IFERROR(AE186*HSCEI!$B$33*HSCEI!$G$33/HSCEI!$B$3,""))</f>
        <v/>
      </c>
      <c r="CT186" s="110">
        <f>IF(AF186="","",IFERROR(AF186*HSCEI!$B$33*HSCEI!$G$33/HSCEI!$B$3,""))</f>
        <v/>
      </c>
      <c r="CU186" s="110">
        <f>IF(AG186="","",IFERROR(AG186*HSCEI!$B$33*HSCEI!$G$33/HSCEI!$B$3,""))</f>
        <v/>
      </c>
      <c r="CV186" s="110">
        <f>IF(AH186="","",IFERROR(AH186*HSCEI!$B$33*HSCEI!$G$33/HSCEI!$B$3,""))</f>
        <v/>
      </c>
      <c r="CW186" s="110">
        <f>IF(AI186="","",IFERROR(AI186*HSCEI!$B$33*HSCEI!$G$33/HSCEI!$B$3,""))</f>
        <v/>
      </c>
      <c r="CX186" s="110">
        <f>IF(AJ186="","",IFERROR(AJ186*HSCEI!$B$33*HSCEI!$G$33/HSCEI!$B$3,""))</f>
        <v/>
      </c>
      <c r="CY186" s="110">
        <f>IF(AK186="","",IFERROR(AK186*HSCEI!$B$33*HSCEI!$G$33/HSCEI!$B$3,""))</f>
        <v/>
      </c>
      <c r="CZ186" s="110">
        <f>IF(AL186="","",IFERROR(AL186*HSCEI!$B$33*HSCEI!$G$33/HSCEI!$B$3,""))</f>
        <v/>
      </c>
      <c r="DA186" s="110">
        <f>IF(AM186="","",IFERROR(AM186*HSCEI!$B$33*HSCEI!$G$33/HSCEI!$B$3,""))</f>
        <v/>
      </c>
      <c r="DB186" s="110">
        <f>IF(AN186="","",IFERROR(AN186*HSCEI!$B$33*HSCEI!$G$33/HSCEI!$B$3,""))</f>
        <v/>
      </c>
      <c r="DC186" s="110">
        <f>IF(AO186="","",IFERROR(AO186*HSCEI!$B$33*HSCEI!$G$33/HSCEI!$B$3,""))</f>
        <v/>
      </c>
      <c r="DD186" s="110">
        <f>IF(AP186="","",IFERROR(AP186*HSCEI!$B$33*HSCEI!$G$33/HSCEI!$B$3,""))</f>
        <v/>
      </c>
      <c r="DE186" s="110">
        <f>IF(AQ186="","",IFERROR(AQ186*HSCEI!$B$33*HSCEI!$G$33/HSCEI!$B$3,""))</f>
        <v/>
      </c>
      <c r="DF186" s="110">
        <f>IF(AR186="","",IFERROR(AR186*HSCEI!$B$33*HSCEI!$G$33/HSCEI!$B$3,""))</f>
        <v/>
      </c>
      <c r="DG186" s="110">
        <f>IF(AS186="","",IFERROR(AS186*HSCEI!$B$33*HSCEI!$G$33/HSCEI!$B$3,""))</f>
        <v/>
      </c>
      <c r="DH186" s="110">
        <f>IF(AT186="","",IFERROR(AT186*HSCEI!$B$33*HSCEI!$G$33/HSCEI!$B$3,""))</f>
        <v/>
      </c>
      <c r="DI186" s="110">
        <f>IF(AU186="","",IFERROR(AU186*HSCEI!$B$33*HSCEI!$G$33/HSCEI!$B$3,""))</f>
        <v/>
      </c>
      <c r="DJ186" s="110">
        <f>IF(AV186="","",IFERROR(AV186*HSCEI!$B$33*HSCEI!$G$33/HSCEI!$B$3,""))</f>
        <v/>
      </c>
      <c r="DK186" s="110">
        <f>IF(AW186="","",IFERROR(AW186*HSCEI!$B$33*HSCEI!$G$33/HSCEI!$B$3,""))</f>
        <v/>
      </c>
      <c r="DL186" s="110">
        <f>IF(AX186="","",IFERROR(AX186*HSCEI!$B$33*HSCEI!$G$33/HSCEI!$B$3,""))</f>
        <v/>
      </c>
      <c r="DM186" s="110">
        <f>IF(AY186="","",IFERROR(AY186*HSCEI!$B$33*HSCEI!$G$33/HSCEI!$B$3,""))</f>
        <v/>
      </c>
      <c r="DN186" s="110">
        <f>IF(AZ186="","",IFERROR(AZ186*HSCEI!$B$33*HSCEI!$G$33/HSCEI!$B$3,""))</f>
        <v/>
      </c>
      <c r="DO186" s="110">
        <f>IF(BA186="","",IFERROR(BA186*HSCEI!$B$33*HSCEI!$G$33/HSCEI!$B$3,""))</f>
        <v/>
      </c>
      <c r="DP186" s="110">
        <f>IF(BB186="","",IFERROR(BB186*HSCEI!$B$33*HSCEI!$G$33/HSCEI!$B$3,""))</f>
        <v/>
      </c>
      <c r="DQ186" s="110">
        <f>IF(BC186="","",IFERROR(BC186*HSCEI!$B$33*HSCEI!$G$33/HSCEI!$B$3,""))</f>
        <v/>
      </c>
      <c r="DR186" s="110">
        <f>IF(BD186="","",IFERROR(BD186*HSCEI!$B$33*HSCEI!$G$33/HSCEI!$B$3,""))</f>
        <v/>
      </c>
      <c r="DS186" s="110">
        <f>IF(BE186="","",IFERROR(BE186*HSCEI!$B$33*HSCEI!$G$33/HSCEI!$B$3,""))</f>
        <v/>
      </c>
      <c r="DT186" s="110">
        <f>IF(BF186="","",IFERROR(BF186*HSCEI!$B$33*HSCEI!$G$33/HSCEI!$B$3,""))</f>
        <v/>
      </c>
      <c r="DU186" s="110">
        <f>IF(BG186="","",IFERROR(BG186*HSCEI!$B$33*HSCEI!$G$33/HSCEI!$B$3,""))</f>
        <v/>
      </c>
      <c r="DV186" s="110">
        <f>IF(BH186="","",IFERROR(BH186*HSCEI!$B$33*HSCEI!$G$33/HSCEI!$B$3,""))</f>
        <v/>
      </c>
      <c r="DW186" s="110">
        <f>IF(BI186="","",IFERROR(BI186*HSCEI!$B$33*HSCEI!$G$33/HSCEI!$B$3,""))</f>
        <v/>
      </c>
      <c r="DX186" s="110">
        <f>IF(BJ186="","",IFERROR(BJ186*HSCEI!$B$33*HSCEI!$G$33/HSCEI!$B$3,""))</f>
        <v/>
      </c>
      <c r="DY186" s="110">
        <f>IF(BK186="","",IFERROR(BK186*HSCEI!$B$33*HSCEI!$G$33/HSCEI!$B$3,""))</f>
        <v/>
      </c>
      <c r="DZ186" s="110">
        <f>IF(BL186="","",IFERROR(BL186*HSCEI!$B$33*HSCEI!$G$33/HSCEI!$B$3,""))</f>
        <v/>
      </c>
      <c r="EA186" s="110">
        <f>IF(BM186="","",IFERROR(BM186*HSCEI!$B$33*HSCEI!$G$33/HSCEI!$B$3,""))</f>
        <v/>
      </c>
      <c r="EB186" s="110">
        <f>IF(BN186="","",IFERROR(BN186*HSCEI!$B$33*HSCEI!$G$33/HSCEI!$B$3,""))</f>
        <v/>
      </c>
      <c r="EC186" s="110">
        <f>IF(BO186="","",IFERROR(BO186*HSCEI!$B$33*HSCEI!$G$33/HSCEI!$B$3,""))</f>
        <v/>
      </c>
      <c r="EE186" s="39">
        <f>IF(N('Dvd Calendar'!$E$1847)=0,"",IF(('Dvd Calendar'!$E$1847&gt;=GRID_FROM)*('Dvd Calendar'!$E$1847&lt;=GRID_TO)*((('Dvd Calendar'!$E$1847&lt;=VAL_DATE)+(COUNTIF('Dvd Calendar'!$E$1854:$AR$1854,'Dvd Calendar'!$E$1847)=0))&gt;0)=0,"",'Dvd Calendar'!$E$1847*1000000000+ISNUMBER('Dvd Calendar'!$E$1850)*100000000+('Dvd Calendar'!$E$1852=SPECIAL_LBL)*10000000+(N('Dvd Calendar'!$E$1846)&gt;0)*(N('Dvd Calendar'!$E$1846)&lt;=VAL_SERIAL)*1000000+27*1000+1))</f>
        <v/>
      </c>
      <c r="EF186" s="39">
        <f>IF(N('Dvd Calendar'!$F$1847)=0,"",IF(('Dvd Calendar'!$F$1847&gt;=GRID_FROM)*('Dvd Calendar'!$F$1847&lt;=GRID_TO)*((('Dvd Calendar'!$F$1847&lt;=VAL_DATE)+(COUNTIF('Dvd Calendar'!$E$1854:$AR$1854,'Dvd Calendar'!$F$1847)=0))&gt;0)=0,"",'Dvd Calendar'!$F$1847*1000000000+ISNUMBER('Dvd Calendar'!$F$1850)*100000000+('Dvd Calendar'!$F$1852=SPECIAL_LBL)*10000000+(N('Dvd Calendar'!$F$1846)&gt;0)*(N('Dvd Calendar'!$F$1846)&lt;=VAL_SERIAL)*1000000+27*1000+2))</f>
        <v/>
      </c>
      <c r="EG186" s="39">
        <f>IF(N('Dvd Calendar'!$G$1847)=0,"",IF(('Dvd Calendar'!$G$1847&gt;=GRID_FROM)*('Dvd Calendar'!$G$1847&lt;=GRID_TO)*((('Dvd Calendar'!$G$1847&lt;=VAL_DATE)+(COUNTIF('Dvd Calendar'!$E$1854:$AR$1854,'Dvd Calendar'!$G$1847)=0))&gt;0)=0,"",'Dvd Calendar'!$G$1847*1000000000+ISNUMBER('Dvd Calendar'!$G$1850)*100000000+('Dvd Calendar'!$G$1852=SPECIAL_LBL)*10000000+(N('Dvd Calendar'!$G$1846)&gt;0)*(N('Dvd Calendar'!$G$1846)&lt;=VAL_SERIAL)*1000000+27*1000+3))</f>
        <v/>
      </c>
      <c r="EH186" s="39">
        <f>IF(N('Dvd Calendar'!$H$1847)=0,"",IF(('Dvd Calendar'!$H$1847&gt;=GRID_FROM)*('Dvd Calendar'!$H$1847&lt;=GRID_TO)*((('Dvd Calendar'!$H$1847&lt;=VAL_DATE)+(COUNTIF('Dvd Calendar'!$E$1854:$AR$1854,'Dvd Calendar'!$H$1847)=0))&gt;0)=0,"",'Dvd Calendar'!$H$1847*1000000000+ISNUMBER('Dvd Calendar'!$H$1850)*100000000+('Dvd Calendar'!$H$1852=SPECIAL_LBL)*10000000+(N('Dvd Calendar'!$H$1846)&gt;0)*(N('Dvd Calendar'!$H$1846)&lt;=VAL_SERIAL)*1000000+27*1000+4))</f>
        <v/>
      </c>
      <c r="EI186" s="39">
        <f>IF(N('Dvd Calendar'!$I$1847)=0,"",IF(('Dvd Calendar'!$I$1847&gt;=GRID_FROM)*('Dvd Calendar'!$I$1847&lt;=GRID_TO)*((('Dvd Calendar'!$I$1847&lt;=VAL_DATE)+(COUNTIF('Dvd Calendar'!$E$1854:$AR$1854,'Dvd Calendar'!$I$1847)=0))&gt;0)=0,"",'Dvd Calendar'!$I$1847*1000000000+ISNUMBER('Dvd Calendar'!$I$1850)*100000000+('Dvd Calendar'!$I$1852=SPECIAL_LBL)*10000000+(N('Dvd Calendar'!$I$1846)&gt;0)*(N('Dvd Calendar'!$I$1846)&lt;=VAL_SERIAL)*1000000+27*1000+5))</f>
        <v/>
      </c>
      <c r="EJ186" s="39">
        <f>IF(N('Dvd Calendar'!$J$1847)=0,"",IF(('Dvd Calendar'!$J$1847&gt;=GRID_FROM)*('Dvd Calendar'!$J$1847&lt;=GRID_TO)*((('Dvd Calendar'!$J$1847&lt;=VAL_DATE)+(COUNTIF('Dvd Calendar'!$E$1854:$AR$1854,'Dvd Calendar'!$J$1847)=0))&gt;0)=0,"",'Dvd Calendar'!$J$1847*1000000000+ISNUMBER('Dvd Calendar'!$J$1850)*100000000+('Dvd Calendar'!$J$1852=SPECIAL_LBL)*10000000+(N('Dvd Calendar'!$J$1846)&gt;0)*(N('Dvd Calendar'!$J$1846)&lt;=VAL_SERIAL)*1000000+27*1000+6))</f>
        <v/>
      </c>
      <c r="EK186" s="39">
        <f>IF(N('Dvd Calendar'!$K$1847)=0,"",IF(('Dvd Calendar'!$K$1847&gt;=GRID_FROM)*('Dvd Calendar'!$K$1847&lt;=GRID_TO)*((('Dvd Calendar'!$K$1847&lt;=VAL_DATE)+(COUNTIF('Dvd Calendar'!$E$1854:$AR$1854,'Dvd Calendar'!$K$1847)=0))&gt;0)=0,"",'Dvd Calendar'!$K$1847*1000000000+ISNUMBER('Dvd Calendar'!$K$1850)*100000000+('Dvd Calendar'!$K$1852=SPECIAL_LBL)*10000000+(N('Dvd Calendar'!$K$1846)&gt;0)*(N('Dvd Calendar'!$K$1846)&lt;=VAL_SERIAL)*1000000+27*1000+7))</f>
        <v/>
      </c>
      <c r="EL186" s="39">
        <f>IF(N('Dvd Calendar'!$L$1847)=0,"",IF(('Dvd Calendar'!$L$1847&gt;=GRID_FROM)*('Dvd Calendar'!$L$1847&lt;=GRID_TO)*((('Dvd Calendar'!$L$1847&lt;=VAL_DATE)+(COUNTIF('Dvd Calendar'!$E$1854:$AR$1854,'Dvd Calendar'!$L$1847)=0))&gt;0)=0,"",'Dvd Calendar'!$L$1847*1000000000+ISNUMBER('Dvd Calendar'!$L$1850)*100000000+('Dvd Calendar'!$L$1852=SPECIAL_LBL)*10000000+(N('Dvd Calendar'!$L$1846)&gt;0)*(N('Dvd Calendar'!$L$1846)&lt;=VAL_SERIAL)*1000000+27*1000+8))</f>
        <v/>
      </c>
      <c r="EM186" s="39">
        <f>IF(N('Dvd Calendar'!$M$1847)=0,"",IF(('Dvd Calendar'!$M$1847&gt;=GRID_FROM)*('Dvd Calendar'!$M$1847&lt;=GRID_TO)*((('Dvd Calendar'!$M$1847&lt;=VAL_DATE)+(COUNTIF('Dvd Calendar'!$E$1854:$AR$1854,'Dvd Calendar'!$M$1847)=0))&gt;0)=0,"",'Dvd Calendar'!$M$1847*1000000000+ISNUMBER('Dvd Calendar'!$M$1850)*100000000+('Dvd Calendar'!$M$1852=SPECIAL_LBL)*10000000+(N('Dvd Calendar'!$M$1846)&gt;0)*(N('Dvd Calendar'!$M$1846)&lt;=VAL_SERIAL)*1000000+27*1000+9))</f>
        <v/>
      </c>
      <c r="EN186" s="39">
        <f>IF(N('Dvd Calendar'!$N$1847)=0,"",IF(('Dvd Calendar'!$N$1847&gt;=GRID_FROM)*('Dvd Calendar'!$N$1847&lt;=GRID_TO)*((('Dvd Calendar'!$N$1847&lt;=VAL_DATE)+(COUNTIF('Dvd Calendar'!$E$1854:$AR$1854,'Dvd Calendar'!$N$1847)=0))&gt;0)=0,"",'Dvd Calendar'!$N$1847*1000000000+ISNUMBER('Dvd Calendar'!$N$1850)*100000000+('Dvd Calendar'!$N$1852=SPECIAL_LBL)*10000000+(N('Dvd Calendar'!$N$1846)&gt;0)*(N('Dvd Calendar'!$N$1846)&lt;=VAL_SERIAL)*1000000+27*1000+10))</f>
        <v/>
      </c>
      <c r="EO186" s="39">
        <f>IF(N('Dvd Calendar'!$O$1847)=0,"",IF(('Dvd Calendar'!$O$1847&gt;=GRID_FROM)*('Dvd Calendar'!$O$1847&lt;=GRID_TO)*((('Dvd Calendar'!$O$1847&lt;=VAL_DATE)+(COUNTIF('Dvd Calendar'!$E$1854:$AR$1854,'Dvd Calendar'!$O$1847)=0))&gt;0)=0,"",'Dvd Calendar'!$O$1847*1000000000+ISNUMBER('Dvd Calendar'!$O$1850)*100000000+('Dvd Calendar'!$O$1852=SPECIAL_LBL)*10000000+(N('Dvd Calendar'!$O$1846)&gt;0)*(N('Dvd Calendar'!$O$1846)&lt;=VAL_SERIAL)*1000000+27*1000+11))</f>
        <v/>
      </c>
      <c r="EP186" s="39">
        <f>IF(N('Dvd Calendar'!$P$1847)=0,"",IF(('Dvd Calendar'!$P$1847&gt;=GRID_FROM)*('Dvd Calendar'!$P$1847&lt;=GRID_TO)*((('Dvd Calendar'!$P$1847&lt;=VAL_DATE)+(COUNTIF('Dvd Calendar'!$E$1854:$AR$1854,'Dvd Calendar'!$P$1847)=0))&gt;0)=0,"",'Dvd Calendar'!$P$1847*1000000000+ISNUMBER('Dvd Calendar'!$P$1850)*100000000+('Dvd Calendar'!$P$1852=SPECIAL_LBL)*10000000+(N('Dvd Calendar'!$P$1846)&gt;0)*(N('Dvd Calendar'!$P$1846)&lt;=VAL_SERIAL)*1000000+27*1000+12))</f>
        <v/>
      </c>
      <c r="EQ186" s="39">
        <f>IF(N('Dvd Calendar'!$Q$1847)=0,"",IF(('Dvd Calendar'!$Q$1847&gt;=GRID_FROM)*('Dvd Calendar'!$Q$1847&lt;=GRID_TO)*((('Dvd Calendar'!$Q$1847&lt;=VAL_DATE)+(COUNTIF('Dvd Calendar'!$E$1854:$AR$1854,'Dvd Calendar'!$Q$1847)=0))&gt;0)=0,"",'Dvd Calendar'!$Q$1847*1000000000+ISNUMBER('Dvd Calendar'!$Q$1850)*100000000+('Dvd Calendar'!$Q$1852=SPECIAL_LBL)*10000000+(N('Dvd Calendar'!$Q$1846)&gt;0)*(N('Dvd Calendar'!$Q$1846)&lt;=VAL_SERIAL)*1000000+27*1000+13))</f>
        <v/>
      </c>
      <c r="ER186" s="39">
        <f>IF(N('Dvd Calendar'!$R$1847)=0,"",IF(('Dvd Calendar'!$R$1847&gt;=GRID_FROM)*('Dvd Calendar'!$R$1847&lt;=GRID_TO)*((('Dvd Calendar'!$R$1847&lt;=VAL_DATE)+(COUNTIF('Dvd Calendar'!$E$1854:$AR$1854,'Dvd Calendar'!$R$1847)=0))&gt;0)=0,"",'Dvd Calendar'!$R$1847*1000000000+ISNUMBER('Dvd Calendar'!$R$1850)*100000000+('Dvd Calendar'!$R$1852=SPECIAL_LBL)*10000000+(N('Dvd Calendar'!$R$1846)&gt;0)*(N('Dvd Calendar'!$R$1846)&lt;=VAL_SERIAL)*1000000+27*1000+14))</f>
        <v/>
      </c>
      <c r="ES186" s="39">
        <f>IF(N('Dvd Calendar'!$S$1847)=0,"",IF(('Dvd Calendar'!$S$1847&gt;=GRID_FROM)*('Dvd Calendar'!$S$1847&lt;=GRID_TO)*((('Dvd Calendar'!$S$1847&lt;=VAL_DATE)+(COUNTIF('Dvd Calendar'!$E$1854:$AR$1854,'Dvd Calendar'!$S$1847)=0))&gt;0)=0,"",'Dvd Calendar'!$S$1847*1000000000+ISNUMBER('Dvd Calendar'!$S$1850)*100000000+('Dvd Calendar'!$S$1852=SPECIAL_LBL)*10000000+(N('Dvd Calendar'!$S$1846)&gt;0)*(N('Dvd Calendar'!$S$1846)&lt;=VAL_SERIAL)*1000000+27*1000+15))</f>
        <v/>
      </c>
      <c r="ET186" s="39">
        <f>IF(N('Dvd Calendar'!$T$1847)=0,"",IF(('Dvd Calendar'!$T$1847&gt;=GRID_FROM)*('Dvd Calendar'!$T$1847&lt;=GRID_TO)*((('Dvd Calendar'!$T$1847&lt;=VAL_DATE)+(COUNTIF('Dvd Calendar'!$E$1854:$AR$1854,'Dvd Calendar'!$T$1847)=0))&gt;0)=0,"",'Dvd Calendar'!$T$1847*1000000000+ISNUMBER('Dvd Calendar'!$T$1850)*100000000+('Dvd Calendar'!$T$1852=SPECIAL_LBL)*10000000+(N('Dvd Calendar'!$T$1846)&gt;0)*(N('Dvd Calendar'!$T$1846)&lt;=VAL_SERIAL)*1000000+27*1000+16))</f>
        <v/>
      </c>
      <c r="EU186" s="39">
        <f>IF(N('Dvd Calendar'!$U$1847)=0,"",IF(('Dvd Calendar'!$U$1847&gt;=GRID_FROM)*('Dvd Calendar'!$U$1847&lt;=GRID_TO)*((('Dvd Calendar'!$U$1847&lt;=VAL_DATE)+(COUNTIF('Dvd Calendar'!$E$1854:$AR$1854,'Dvd Calendar'!$U$1847)=0))&gt;0)=0,"",'Dvd Calendar'!$U$1847*1000000000+ISNUMBER('Dvd Calendar'!$U$1850)*100000000+('Dvd Calendar'!$U$1852=SPECIAL_LBL)*10000000+(N('Dvd Calendar'!$U$1846)&gt;0)*(N('Dvd Calendar'!$U$1846)&lt;=VAL_SERIAL)*1000000+27*1000+17))</f>
        <v/>
      </c>
      <c r="EV186" s="39">
        <f>IF(N('Dvd Calendar'!$V$1847)=0,"",IF(('Dvd Calendar'!$V$1847&gt;=GRID_FROM)*('Dvd Calendar'!$V$1847&lt;=GRID_TO)*((('Dvd Calendar'!$V$1847&lt;=VAL_DATE)+(COUNTIF('Dvd Calendar'!$E$1854:$AR$1854,'Dvd Calendar'!$V$1847)=0))&gt;0)=0,"",'Dvd Calendar'!$V$1847*1000000000+ISNUMBER('Dvd Calendar'!$V$1850)*100000000+('Dvd Calendar'!$V$1852=SPECIAL_LBL)*10000000+(N('Dvd Calendar'!$V$1846)&gt;0)*(N('Dvd Calendar'!$V$1846)&lt;=VAL_SERIAL)*1000000+27*1000+18))</f>
        <v/>
      </c>
      <c r="EW186" s="39">
        <f>IF(N('Dvd Calendar'!$W$1847)=0,"",IF(('Dvd Calendar'!$W$1847&gt;=GRID_FROM)*('Dvd Calendar'!$W$1847&lt;=GRID_TO)*((('Dvd Calendar'!$W$1847&lt;=VAL_DATE)+(COUNTIF('Dvd Calendar'!$E$1854:$AR$1854,'Dvd Calendar'!$W$1847)=0))&gt;0)=0,"",'Dvd Calendar'!$W$1847*1000000000+ISNUMBER('Dvd Calendar'!$W$1850)*100000000+('Dvd Calendar'!$W$1852=SPECIAL_LBL)*10000000+(N('Dvd Calendar'!$W$1846)&gt;0)*(N('Dvd Calendar'!$W$1846)&lt;=VAL_SERIAL)*1000000+27*1000+19))</f>
        <v/>
      </c>
      <c r="EX186" s="39">
        <f>IF(N('Dvd Calendar'!$X$1847)=0,"",IF(('Dvd Calendar'!$X$1847&gt;=GRID_FROM)*('Dvd Calendar'!$X$1847&lt;=GRID_TO)*((('Dvd Calendar'!$X$1847&lt;=VAL_DATE)+(COUNTIF('Dvd Calendar'!$E$1854:$AR$1854,'Dvd Calendar'!$X$1847)=0))&gt;0)=0,"",'Dvd Calendar'!$X$1847*1000000000+ISNUMBER('Dvd Calendar'!$X$1850)*100000000+('Dvd Calendar'!$X$1852=SPECIAL_LBL)*10000000+(N('Dvd Calendar'!$X$1846)&gt;0)*(N('Dvd Calendar'!$X$1846)&lt;=VAL_SERIAL)*1000000+27*1000+20))</f>
        <v/>
      </c>
      <c r="EY186" s="39">
        <f>IF(N('Dvd Calendar'!$Y$1847)=0,"",IF(('Dvd Calendar'!$Y$1847&gt;=GRID_FROM)*('Dvd Calendar'!$Y$1847&lt;=GRID_TO)*((('Dvd Calendar'!$Y$1847&lt;=VAL_DATE)+(COUNTIF('Dvd Calendar'!$E$1854:$AR$1854,'Dvd Calendar'!$Y$1847)=0))&gt;0)=0,"",'Dvd Calendar'!$Y$1847*1000000000+ISNUMBER('Dvd Calendar'!$Y$1850)*100000000+('Dvd Calendar'!$Y$1852=SPECIAL_LBL)*10000000+(N('Dvd Calendar'!$Y$1846)&gt;0)*(N('Dvd Calendar'!$Y$1846)&lt;=VAL_SERIAL)*1000000+27*1000+21))</f>
        <v/>
      </c>
      <c r="EZ186" s="39">
        <f>IF(N('Dvd Calendar'!$Z$1847)=0,"",IF(('Dvd Calendar'!$Z$1847&gt;=GRID_FROM)*('Dvd Calendar'!$Z$1847&lt;=GRID_TO)*((('Dvd Calendar'!$Z$1847&lt;=VAL_DATE)+(COUNTIF('Dvd Calendar'!$E$1854:$AR$1854,'Dvd Calendar'!$Z$1847)=0))&gt;0)=0,"",'Dvd Calendar'!$Z$1847*1000000000+ISNUMBER('Dvd Calendar'!$Z$1850)*100000000+('Dvd Calendar'!$Z$1852=SPECIAL_LBL)*10000000+(N('Dvd Calendar'!$Z$1846)&gt;0)*(N('Dvd Calendar'!$Z$1846)&lt;=VAL_SERIAL)*1000000+27*1000+22))</f>
        <v/>
      </c>
      <c r="FA186" s="39">
        <f>IF(N('Dvd Calendar'!$AA$1847)=0,"",IF(('Dvd Calendar'!$AA$1847&gt;=GRID_FROM)*('Dvd Calendar'!$AA$1847&lt;=GRID_TO)*((('Dvd Calendar'!$AA$1847&lt;=VAL_DATE)+(COUNTIF('Dvd Calendar'!$E$1854:$AR$1854,'Dvd Calendar'!$AA$1847)=0))&gt;0)=0,"",'Dvd Calendar'!$AA$1847*1000000000+ISNUMBER('Dvd Calendar'!$AA$1850)*100000000+('Dvd Calendar'!$AA$1852=SPECIAL_LBL)*10000000+(N('Dvd Calendar'!$AA$1846)&gt;0)*(N('Dvd Calendar'!$AA$1846)&lt;=VAL_SERIAL)*1000000+27*1000+23))</f>
        <v/>
      </c>
      <c r="FB186" s="39">
        <f>IF(N('Dvd Calendar'!$AB$1847)=0,"",IF(('Dvd Calendar'!$AB$1847&gt;=GRID_FROM)*('Dvd Calendar'!$AB$1847&lt;=GRID_TO)*((('Dvd Calendar'!$AB$1847&lt;=VAL_DATE)+(COUNTIF('Dvd Calendar'!$E$1854:$AR$1854,'Dvd Calendar'!$AB$1847)=0))&gt;0)=0,"",'Dvd Calendar'!$AB$1847*1000000000+ISNUMBER('Dvd Calendar'!$AB$1850)*100000000+('Dvd Calendar'!$AB$1852=SPECIAL_LBL)*10000000+(N('Dvd Calendar'!$AB$1846)&gt;0)*(N('Dvd Calendar'!$AB$1846)&lt;=VAL_SERIAL)*1000000+27*1000+24))</f>
        <v/>
      </c>
      <c r="FC186" s="39">
        <f>IF(N('Dvd Calendar'!$AC$1847)=0,"",IF(('Dvd Calendar'!$AC$1847&gt;=GRID_FROM)*('Dvd Calendar'!$AC$1847&lt;=GRID_TO)*((('Dvd Calendar'!$AC$1847&lt;=VAL_DATE)+(COUNTIF('Dvd Calendar'!$E$1854:$AR$1854,'Dvd Calendar'!$AC$1847)=0))&gt;0)=0,"",'Dvd Calendar'!$AC$1847*1000000000+ISNUMBER('Dvd Calendar'!$AC$1850)*100000000+('Dvd Calendar'!$AC$1852=SPECIAL_LBL)*10000000+(N('Dvd Calendar'!$AC$1846)&gt;0)*(N('Dvd Calendar'!$AC$1846)&lt;=VAL_SERIAL)*1000000+27*1000+25))</f>
        <v/>
      </c>
      <c r="FD186" s="39">
        <f>IF(N('Dvd Calendar'!$AD$1847)=0,"",IF(('Dvd Calendar'!$AD$1847&gt;=GRID_FROM)*('Dvd Calendar'!$AD$1847&lt;=GRID_TO)*((('Dvd Calendar'!$AD$1847&lt;=VAL_DATE)+(COUNTIF('Dvd Calendar'!$E$1854:$AR$1854,'Dvd Calendar'!$AD$1847)=0))&gt;0)=0,"",'Dvd Calendar'!$AD$1847*1000000000+ISNUMBER('Dvd Calendar'!$AD$1850)*100000000+('Dvd Calendar'!$AD$1852=SPECIAL_LBL)*10000000+(N('Dvd Calendar'!$AD$1846)&gt;0)*(N('Dvd Calendar'!$AD$1846)&lt;=VAL_SERIAL)*1000000+27*1000+26))</f>
        <v/>
      </c>
      <c r="FE186" s="39">
        <f>IF(N('Dvd Calendar'!$AE$1847)=0,"",IF(('Dvd Calendar'!$AE$1847&gt;=GRID_FROM)*('Dvd Calendar'!$AE$1847&lt;=GRID_TO)*((('Dvd Calendar'!$AE$1847&lt;=VAL_DATE)+(COUNTIF('Dvd Calendar'!$E$1854:$AR$1854,'Dvd Calendar'!$AE$1847)=0))&gt;0)=0,"",'Dvd Calendar'!$AE$1847*1000000000+ISNUMBER('Dvd Calendar'!$AE$1850)*100000000+('Dvd Calendar'!$AE$1852=SPECIAL_LBL)*10000000+(N('Dvd Calendar'!$AE$1846)&gt;0)*(N('Dvd Calendar'!$AE$1846)&lt;=VAL_SERIAL)*1000000+27*1000+27))</f>
        <v/>
      </c>
      <c r="FF186" s="39">
        <f>IF(N('Dvd Calendar'!$AF$1847)=0,"",IF(('Dvd Calendar'!$AF$1847&gt;=GRID_FROM)*('Dvd Calendar'!$AF$1847&lt;=GRID_TO)*((('Dvd Calendar'!$AF$1847&lt;=VAL_DATE)+(COUNTIF('Dvd Calendar'!$E$1854:$AR$1854,'Dvd Calendar'!$AF$1847)=0))&gt;0)=0,"",'Dvd Calendar'!$AF$1847*1000000000+ISNUMBER('Dvd Calendar'!$AF$1850)*100000000+('Dvd Calendar'!$AF$1852=SPECIAL_LBL)*10000000+(N('Dvd Calendar'!$AF$1846)&gt;0)*(N('Dvd Calendar'!$AF$1846)&lt;=VAL_SERIAL)*1000000+27*1000+28))</f>
        <v/>
      </c>
      <c r="FG186" s="39">
        <f>IF(N('Dvd Calendar'!$AG$1847)=0,"",IF(('Dvd Calendar'!$AG$1847&gt;=GRID_FROM)*('Dvd Calendar'!$AG$1847&lt;=GRID_TO)*((('Dvd Calendar'!$AG$1847&lt;=VAL_DATE)+(COUNTIF('Dvd Calendar'!$E$1854:$AR$1854,'Dvd Calendar'!$AG$1847)=0))&gt;0)=0,"",'Dvd Calendar'!$AG$1847*1000000000+ISNUMBER('Dvd Calendar'!$AG$1850)*100000000+('Dvd Calendar'!$AG$1852=SPECIAL_LBL)*10000000+(N('Dvd Calendar'!$AG$1846)&gt;0)*(N('Dvd Calendar'!$AG$1846)&lt;=VAL_SERIAL)*1000000+27*1000+29))</f>
        <v/>
      </c>
      <c r="FH186" s="39">
        <f>IF(N('Dvd Calendar'!$AH$1847)=0,"",IF(('Dvd Calendar'!$AH$1847&gt;=GRID_FROM)*('Dvd Calendar'!$AH$1847&lt;=GRID_TO)*((('Dvd Calendar'!$AH$1847&lt;=VAL_DATE)+(COUNTIF('Dvd Calendar'!$E$1854:$AR$1854,'Dvd Calendar'!$AH$1847)=0))&gt;0)=0,"",'Dvd Calendar'!$AH$1847*1000000000+ISNUMBER('Dvd Calendar'!$AH$1850)*100000000+('Dvd Calendar'!$AH$1852=SPECIAL_LBL)*10000000+(N('Dvd Calendar'!$AH$1846)&gt;0)*(N('Dvd Calendar'!$AH$1846)&lt;=VAL_SERIAL)*1000000+27*1000+30))</f>
        <v/>
      </c>
      <c r="FI186" s="39">
        <f>IF(N('Dvd Calendar'!$AI$1847)=0,"",IF(('Dvd Calendar'!$AI$1847&gt;=GRID_FROM)*('Dvd Calendar'!$AI$1847&lt;=GRID_TO)*((('Dvd Calendar'!$AI$1847&lt;=VAL_DATE)+(COUNTIF('Dvd Calendar'!$E$1854:$AR$1854,'Dvd Calendar'!$AI$1847)=0))&gt;0)=0,"",'Dvd Calendar'!$AI$1847*1000000000+ISNUMBER('Dvd Calendar'!$AI$1850)*100000000+('Dvd Calendar'!$AI$1852=SPECIAL_LBL)*10000000+(N('Dvd Calendar'!$AI$1846)&gt;0)*(N('Dvd Calendar'!$AI$1846)&lt;=VAL_SERIAL)*1000000+27*1000+31))</f>
        <v/>
      </c>
      <c r="FJ186" s="39">
        <f>IF(N('Dvd Calendar'!$AJ$1847)=0,"",IF(('Dvd Calendar'!$AJ$1847&gt;=GRID_FROM)*('Dvd Calendar'!$AJ$1847&lt;=GRID_TO)*((('Dvd Calendar'!$AJ$1847&lt;=VAL_DATE)+(COUNTIF('Dvd Calendar'!$E$1854:$AR$1854,'Dvd Calendar'!$AJ$1847)=0))&gt;0)=0,"",'Dvd Calendar'!$AJ$1847*1000000000+ISNUMBER('Dvd Calendar'!$AJ$1850)*100000000+('Dvd Calendar'!$AJ$1852=SPECIAL_LBL)*10000000+(N('Dvd Calendar'!$AJ$1846)&gt;0)*(N('Dvd Calendar'!$AJ$1846)&lt;=VAL_SERIAL)*1000000+27*1000+32))</f>
        <v/>
      </c>
      <c r="FK186" s="39">
        <f>IF(N('Dvd Calendar'!$AK$1847)=0,"",IF(('Dvd Calendar'!$AK$1847&gt;=GRID_FROM)*('Dvd Calendar'!$AK$1847&lt;=GRID_TO)*((('Dvd Calendar'!$AK$1847&lt;=VAL_DATE)+(COUNTIF('Dvd Calendar'!$E$1854:$AR$1854,'Dvd Calendar'!$AK$1847)=0))&gt;0)=0,"",'Dvd Calendar'!$AK$1847*1000000000+ISNUMBER('Dvd Calendar'!$AK$1850)*100000000+('Dvd Calendar'!$AK$1852=SPECIAL_LBL)*10000000+(N('Dvd Calendar'!$AK$1846)&gt;0)*(N('Dvd Calendar'!$AK$1846)&lt;=VAL_SERIAL)*1000000+27*1000+33))</f>
        <v/>
      </c>
      <c r="FL186" s="39">
        <f>IF(N('Dvd Calendar'!$AL$1847)=0,"",IF(('Dvd Calendar'!$AL$1847&gt;=GRID_FROM)*('Dvd Calendar'!$AL$1847&lt;=GRID_TO)*((('Dvd Calendar'!$AL$1847&lt;=VAL_DATE)+(COUNTIF('Dvd Calendar'!$E$1854:$AR$1854,'Dvd Calendar'!$AL$1847)=0))&gt;0)=0,"",'Dvd Calendar'!$AL$1847*1000000000+ISNUMBER('Dvd Calendar'!$AL$1850)*100000000+('Dvd Calendar'!$AL$1852=SPECIAL_LBL)*10000000+(N('Dvd Calendar'!$AL$1846)&gt;0)*(N('Dvd Calendar'!$AL$1846)&lt;=VAL_SERIAL)*1000000+27*1000+34))</f>
        <v/>
      </c>
      <c r="FM186" s="39">
        <f>IF(N('Dvd Calendar'!$AM$1847)=0,"",IF(('Dvd Calendar'!$AM$1847&gt;=GRID_FROM)*('Dvd Calendar'!$AM$1847&lt;=GRID_TO)*((('Dvd Calendar'!$AM$1847&lt;=VAL_DATE)+(COUNTIF('Dvd Calendar'!$E$1854:$AR$1854,'Dvd Calendar'!$AM$1847)=0))&gt;0)=0,"",'Dvd Calendar'!$AM$1847*1000000000+ISNUMBER('Dvd Calendar'!$AM$1850)*100000000+('Dvd Calendar'!$AM$1852=SPECIAL_LBL)*10000000+(N('Dvd Calendar'!$AM$1846)&gt;0)*(N('Dvd Calendar'!$AM$1846)&lt;=VAL_SERIAL)*1000000+27*1000+35))</f>
        <v/>
      </c>
      <c r="FN186" s="39">
        <f>IF(N('Dvd Calendar'!$AN$1847)=0,"",IF(('Dvd Calendar'!$AN$1847&gt;=GRID_FROM)*('Dvd Calendar'!$AN$1847&lt;=GRID_TO)*((('Dvd Calendar'!$AN$1847&lt;=VAL_DATE)+(COUNTIF('Dvd Calendar'!$E$1854:$AR$1854,'Dvd Calendar'!$AN$1847)=0))&gt;0)=0,"",'Dvd Calendar'!$AN$1847*1000000000+ISNUMBER('Dvd Calendar'!$AN$1850)*100000000+('Dvd Calendar'!$AN$1852=SPECIAL_LBL)*10000000+(N('Dvd Calendar'!$AN$1846)&gt;0)*(N('Dvd Calendar'!$AN$1846)&lt;=VAL_SERIAL)*1000000+27*1000+36))</f>
        <v/>
      </c>
      <c r="FO186" s="39">
        <f>IF(N('Dvd Calendar'!$AO$1847)=0,"",IF(('Dvd Calendar'!$AO$1847&gt;=GRID_FROM)*('Dvd Calendar'!$AO$1847&lt;=GRID_TO)*((('Dvd Calendar'!$AO$1847&lt;=VAL_DATE)+(COUNTIF('Dvd Calendar'!$E$1854:$AR$1854,'Dvd Calendar'!$AO$1847)=0))&gt;0)=0,"",'Dvd Calendar'!$AO$1847*1000000000+ISNUMBER('Dvd Calendar'!$AO$1850)*100000000+('Dvd Calendar'!$AO$1852=SPECIAL_LBL)*10000000+(N('Dvd Calendar'!$AO$1846)&gt;0)*(N('Dvd Calendar'!$AO$1846)&lt;=VAL_SERIAL)*1000000+27*1000+37))</f>
        <v/>
      </c>
      <c r="FP186" s="39">
        <f>IF(N('Dvd Calendar'!$AP$1847)=0,"",IF(('Dvd Calendar'!$AP$1847&gt;=GRID_FROM)*('Dvd Calendar'!$AP$1847&lt;=GRID_TO)*((('Dvd Calendar'!$AP$1847&lt;=VAL_DATE)+(COUNTIF('Dvd Calendar'!$E$1854:$AR$1854,'Dvd Calendar'!$AP$1847)=0))&gt;0)=0,"",'Dvd Calendar'!$AP$1847*1000000000+ISNUMBER('Dvd Calendar'!$AP$1850)*100000000+('Dvd Calendar'!$AP$1852=SPECIAL_LBL)*10000000+(N('Dvd Calendar'!$AP$1846)&gt;0)*(N('Dvd Calendar'!$AP$1846)&lt;=VAL_SERIAL)*1000000+27*1000+38))</f>
        <v/>
      </c>
      <c r="FQ186" s="39">
        <f>IF(N('Dvd Calendar'!$AQ$1847)=0,"",IF(('Dvd Calendar'!$AQ$1847&gt;=GRID_FROM)*('Dvd Calendar'!$AQ$1847&lt;=GRID_TO)*((('Dvd Calendar'!$AQ$1847&lt;=VAL_DATE)+(COUNTIF('Dvd Calendar'!$E$1854:$AR$1854,'Dvd Calendar'!$AQ$1847)=0))&gt;0)=0,"",'Dvd Calendar'!$AQ$1847*1000000000+ISNUMBER('Dvd Calendar'!$AQ$1850)*100000000+('Dvd Calendar'!$AQ$1852=SPECIAL_LBL)*10000000+(N('Dvd Calendar'!$AQ$1846)&gt;0)*(N('Dvd Calendar'!$AQ$1846)&lt;=VAL_SERIAL)*1000000+27*1000+39))</f>
        <v/>
      </c>
      <c r="FR186" s="39">
        <f>IF(N('Dvd Calendar'!$AR$1847)=0,"",IF(('Dvd Calendar'!$AR$1847&gt;=GRID_FROM)*('Dvd Calendar'!$AR$1847&lt;=GRID_TO)*((('Dvd Calendar'!$AR$1847&lt;=VAL_DATE)+(COUNTIF('Dvd Calendar'!$E$1854:$AR$1854,'Dvd Calendar'!$AR$1847)=0))&gt;0)=0,"",'Dvd Calendar'!$AR$1847*1000000000+ISNUMBER('Dvd Calendar'!$AR$1850)*100000000+('Dvd Calendar'!$AR$1852=SPECIAL_LBL)*10000000+(N('Dvd Calendar'!$AR$1846)&gt;0)*(N('Dvd Calendar'!$AR$1846)&lt;=VAL_SERIAL)*1000000+27*1000+40))</f>
        <v/>
      </c>
      <c r="FS186" s="39">
        <f>IF(N('Dvd Calendar'!$E$1854)=0,"",IF(('Dvd Calendar'!$E$1854&gt;=GRID_FROM)*('Dvd Calendar'!$E$1854&lt;=GRID_TO)*('Dvd Calendar'!$E$1854&gt;VAL_DATE)=0,"",'Dvd Calendar'!$E$1854*1000000000+ISNUMBER('Dvd Calendar'!$E$1855)*100000000+0*10000000+(N('Dvd Calendar'!$E$1853)&gt;0)*(N('Dvd Calendar'!$E$1853)&lt;=VAL_SERIAL)*1000000+27*1000+41))</f>
        <v/>
      </c>
      <c r="FT186" s="39">
        <f>IF(N('Dvd Calendar'!$F$1854)=0,"",IF(('Dvd Calendar'!$F$1854&gt;=GRID_FROM)*('Dvd Calendar'!$F$1854&lt;=GRID_TO)*('Dvd Calendar'!$F$1854&gt;VAL_DATE)=0,"",'Dvd Calendar'!$F$1854*1000000000+ISNUMBER('Dvd Calendar'!$F$1855)*100000000+0*10000000+(N('Dvd Calendar'!$F$1853)&gt;0)*(N('Dvd Calendar'!$F$1853)&lt;=VAL_SERIAL)*1000000+27*1000+42))</f>
        <v/>
      </c>
      <c r="FU186" s="39">
        <f>IF(N('Dvd Calendar'!$G$1854)=0,"",IF(('Dvd Calendar'!$G$1854&gt;=GRID_FROM)*('Dvd Calendar'!$G$1854&lt;=GRID_TO)*('Dvd Calendar'!$G$1854&gt;VAL_DATE)=0,"",'Dvd Calendar'!$G$1854*1000000000+ISNUMBER('Dvd Calendar'!$G$1855)*100000000+0*10000000+(N('Dvd Calendar'!$G$1853)&gt;0)*(N('Dvd Calendar'!$G$1853)&lt;=VAL_SERIAL)*1000000+27*1000+43))</f>
        <v/>
      </c>
      <c r="FV186" s="39">
        <f>IF(N('Dvd Calendar'!$H$1854)=0,"",IF(('Dvd Calendar'!$H$1854&gt;=GRID_FROM)*('Dvd Calendar'!$H$1854&lt;=GRID_TO)*('Dvd Calendar'!$H$1854&gt;VAL_DATE)=0,"",'Dvd Calendar'!$H$1854*1000000000+ISNUMBER('Dvd Calendar'!$H$1855)*100000000+0*10000000+(N('Dvd Calendar'!$H$1853)&gt;0)*(N('Dvd Calendar'!$H$1853)&lt;=VAL_SERIAL)*1000000+27*1000+44))</f>
        <v/>
      </c>
      <c r="FW186" s="39">
        <f>IF(N('Dvd Calendar'!$I$1854)=0,"",IF(('Dvd Calendar'!$I$1854&gt;=GRID_FROM)*('Dvd Calendar'!$I$1854&lt;=GRID_TO)*('Dvd Calendar'!$I$1854&gt;VAL_DATE)=0,"",'Dvd Calendar'!$I$1854*1000000000+ISNUMBER('Dvd Calendar'!$I$1855)*100000000+0*10000000+(N('Dvd Calendar'!$I$1853)&gt;0)*(N('Dvd Calendar'!$I$1853)&lt;=VAL_SERIAL)*1000000+27*1000+45))</f>
        <v/>
      </c>
      <c r="FX186" s="39">
        <f>IF(N('Dvd Calendar'!$J$1854)=0,"",IF(('Dvd Calendar'!$J$1854&gt;=GRID_FROM)*('Dvd Calendar'!$J$1854&lt;=GRID_TO)*('Dvd Calendar'!$J$1854&gt;VAL_DATE)=0,"",'Dvd Calendar'!$J$1854*1000000000+ISNUMBER('Dvd Calendar'!$J$1855)*100000000+0*10000000+(N('Dvd Calendar'!$J$1853)&gt;0)*(N('Dvd Calendar'!$J$1853)&lt;=VAL_SERIAL)*1000000+27*1000+46))</f>
        <v/>
      </c>
      <c r="FY186" s="39">
        <f>IF(N('Dvd Calendar'!$K$1854)=0,"",IF(('Dvd Calendar'!$K$1854&gt;=GRID_FROM)*('Dvd Calendar'!$K$1854&lt;=GRID_TO)*('Dvd Calendar'!$K$1854&gt;VAL_DATE)=0,"",'Dvd Calendar'!$K$1854*1000000000+ISNUMBER('Dvd Calendar'!$K$1855)*100000000+0*10000000+(N('Dvd Calendar'!$K$1853)&gt;0)*(N('Dvd Calendar'!$K$1853)&lt;=VAL_SERIAL)*1000000+27*1000+47))</f>
        <v/>
      </c>
      <c r="FZ186" s="39">
        <f>IF(N('Dvd Calendar'!$L$1854)=0,"",IF(('Dvd Calendar'!$L$1854&gt;=GRID_FROM)*('Dvd Calendar'!$L$1854&lt;=GRID_TO)*('Dvd Calendar'!$L$1854&gt;VAL_DATE)=0,"",'Dvd Calendar'!$L$1854*1000000000+ISNUMBER('Dvd Calendar'!$L$1855)*100000000+0*10000000+(N('Dvd Calendar'!$L$1853)&gt;0)*(N('Dvd Calendar'!$L$1853)&lt;=VAL_SERIAL)*1000000+27*1000+48))</f>
        <v/>
      </c>
      <c r="GA186" s="39">
        <f>IF(N('Dvd Calendar'!$M$1854)=0,"",IF(('Dvd Calendar'!$M$1854&gt;=GRID_FROM)*('Dvd Calendar'!$M$1854&lt;=GRID_TO)*('Dvd Calendar'!$M$1854&gt;VAL_DATE)=0,"",'Dvd Calendar'!$M$1854*1000000000+ISNUMBER('Dvd Calendar'!$M$1855)*100000000+0*10000000+(N('Dvd Calendar'!$M$1853)&gt;0)*(N('Dvd Calendar'!$M$1853)&lt;=VAL_SERIAL)*1000000+27*1000+49))</f>
        <v/>
      </c>
      <c r="GB186" s="39">
        <f>IF(N('Dvd Calendar'!$N$1854)=0,"",IF(('Dvd Calendar'!$N$1854&gt;=GRID_FROM)*('Dvd Calendar'!$N$1854&lt;=GRID_TO)*('Dvd Calendar'!$N$1854&gt;VAL_DATE)=0,"",'Dvd Calendar'!$N$1854*1000000000+ISNUMBER('Dvd Calendar'!$N$1855)*100000000+0*10000000+(N('Dvd Calendar'!$N$1853)&gt;0)*(N('Dvd Calendar'!$N$1853)&lt;=VAL_SERIAL)*1000000+27*1000+50))</f>
        <v/>
      </c>
      <c r="GC186" s="39">
        <f>IF(N('Dvd Calendar'!$O$1854)=0,"",IF(('Dvd Calendar'!$O$1854&gt;=GRID_FROM)*('Dvd Calendar'!$O$1854&lt;=GRID_TO)*('Dvd Calendar'!$O$1854&gt;VAL_DATE)=0,"",'Dvd Calendar'!$O$1854*1000000000+ISNUMBER('Dvd Calendar'!$O$1855)*100000000+0*10000000+(N('Dvd Calendar'!$O$1853)&gt;0)*(N('Dvd Calendar'!$O$1853)&lt;=VAL_SERIAL)*1000000+27*1000+51))</f>
        <v/>
      </c>
      <c r="GD186" s="39">
        <f>IF(N('Dvd Calendar'!$P$1854)=0,"",IF(('Dvd Calendar'!$P$1854&gt;=GRID_FROM)*('Dvd Calendar'!$P$1854&lt;=GRID_TO)*('Dvd Calendar'!$P$1854&gt;VAL_DATE)=0,"",'Dvd Calendar'!$P$1854*1000000000+ISNUMBER('Dvd Calendar'!$P$1855)*100000000+0*10000000+(N('Dvd Calendar'!$P$1853)&gt;0)*(N('Dvd Calendar'!$P$1853)&lt;=VAL_SERIAL)*1000000+27*1000+52))</f>
        <v/>
      </c>
      <c r="GE186" s="39">
        <f>IF(N('Dvd Calendar'!$Q$1854)=0,"",IF(('Dvd Calendar'!$Q$1854&gt;=GRID_FROM)*('Dvd Calendar'!$Q$1854&lt;=GRID_TO)*('Dvd Calendar'!$Q$1854&gt;VAL_DATE)=0,"",'Dvd Calendar'!$Q$1854*1000000000+ISNUMBER('Dvd Calendar'!$Q$1855)*100000000+0*10000000+(N('Dvd Calendar'!$Q$1853)&gt;0)*(N('Dvd Calendar'!$Q$1853)&lt;=VAL_SERIAL)*1000000+27*1000+53))</f>
        <v/>
      </c>
      <c r="GF186" s="39">
        <f>IF(N('Dvd Calendar'!$R$1854)=0,"",IF(('Dvd Calendar'!$R$1854&gt;=GRID_FROM)*('Dvd Calendar'!$R$1854&lt;=GRID_TO)*('Dvd Calendar'!$R$1854&gt;VAL_DATE)=0,"",'Dvd Calendar'!$R$1854*1000000000+ISNUMBER('Dvd Calendar'!$R$1855)*100000000+0*10000000+(N('Dvd Calendar'!$R$1853)&gt;0)*(N('Dvd Calendar'!$R$1853)&lt;=VAL_SERIAL)*1000000+27*1000+54))</f>
        <v/>
      </c>
      <c r="GG186" s="39">
        <f>IF(N('Dvd Calendar'!$S$1854)=0,"",IF(('Dvd Calendar'!$S$1854&gt;=GRID_FROM)*('Dvd Calendar'!$S$1854&lt;=GRID_TO)*('Dvd Calendar'!$S$1854&gt;VAL_DATE)=0,"",'Dvd Calendar'!$S$1854*1000000000+ISNUMBER('Dvd Calendar'!$S$1855)*100000000+0*10000000+(N('Dvd Calendar'!$S$1853)&gt;0)*(N('Dvd Calendar'!$S$1853)&lt;=VAL_SERIAL)*1000000+27*1000+55))</f>
        <v/>
      </c>
      <c r="GH186" s="39">
        <f>IF(N('Dvd Calendar'!$T$1854)=0,"",IF(('Dvd Calendar'!$T$1854&gt;=GRID_FROM)*('Dvd Calendar'!$T$1854&lt;=GRID_TO)*('Dvd Calendar'!$T$1854&gt;VAL_DATE)=0,"",'Dvd Calendar'!$T$1854*1000000000+ISNUMBER('Dvd Calendar'!$T$1855)*100000000+0*10000000+(N('Dvd Calendar'!$T$1853)&gt;0)*(N('Dvd Calendar'!$T$1853)&lt;=VAL_SERIAL)*1000000+27*1000+56))</f>
        <v/>
      </c>
      <c r="GI186" s="39">
        <f>IF(N('Dvd Calendar'!$U$1854)=0,"",IF(('Dvd Calendar'!$U$1854&gt;=GRID_FROM)*('Dvd Calendar'!$U$1854&lt;=GRID_TO)*('Dvd Calendar'!$U$1854&gt;VAL_DATE)=0,"",'Dvd Calendar'!$U$1854*1000000000+ISNUMBER('Dvd Calendar'!$U$1855)*100000000+0*10000000+(N('Dvd Calendar'!$U$1853)&gt;0)*(N('Dvd Calendar'!$U$1853)&lt;=VAL_SERIAL)*1000000+27*1000+57))</f>
        <v/>
      </c>
      <c r="GJ186" s="39">
        <f>IF(N('Dvd Calendar'!$V$1854)=0,"",IF(('Dvd Calendar'!$V$1854&gt;=GRID_FROM)*('Dvd Calendar'!$V$1854&lt;=GRID_TO)*('Dvd Calendar'!$V$1854&gt;VAL_DATE)=0,"",'Dvd Calendar'!$V$1854*1000000000+ISNUMBER('Dvd Calendar'!$V$1855)*100000000+0*10000000+(N('Dvd Calendar'!$V$1853)&gt;0)*(N('Dvd Calendar'!$V$1853)&lt;=VAL_SERIAL)*1000000+27*1000+58))</f>
        <v/>
      </c>
      <c r="GK186" s="39">
        <f>IF(N('Dvd Calendar'!$W$1854)=0,"",IF(('Dvd Calendar'!$W$1854&gt;=GRID_FROM)*('Dvd Calendar'!$W$1854&lt;=GRID_TO)*('Dvd Calendar'!$W$1854&gt;VAL_DATE)=0,"",'Dvd Calendar'!$W$1854*1000000000+ISNUMBER('Dvd Calendar'!$W$1855)*100000000+0*10000000+(N('Dvd Calendar'!$W$1853)&gt;0)*(N('Dvd Calendar'!$W$1853)&lt;=VAL_SERIAL)*1000000+27*1000+59))</f>
        <v/>
      </c>
      <c r="GL186" s="39">
        <f>IF(N('Dvd Calendar'!$X$1854)=0,"",IF(('Dvd Calendar'!$X$1854&gt;=GRID_FROM)*('Dvd Calendar'!$X$1854&lt;=GRID_TO)*('Dvd Calendar'!$X$1854&gt;VAL_DATE)=0,"",'Dvd Calendar'!$X$1854*1000000000+ISNUMBER('Dvd Calendar'!$X$1855)*100000000+0*10000000+(N('Dvd Calendar'!$X$1853)&gt;0)*(N('Dvd Calendar'!$X$1853)&lt;=VAL_SERIAL)*1000000+27*1000+60))</f>
        <v/>
      </c>
      <c r="GM186" s="39">
        <f>IF(N('Dvd Calendar'!$Y$1854)=0,"",IF(('Dvd Calendar'!$Y$1854&gt;=GRID_FROM)*('Dvd Calendar'!$Y$1854&lt;=GRID_TO)*('Dvd Calendar'!$Y$1854&gt;VAL_DATE)=0,"",'Dvd Calendar'!$Y$1854*1000000000+ISNUMBER('Dvd Calendar'!$Y$1855)*100000000+0*10000000+(N('Dvd Calendar'!$Y$1853)&gt;0)*(N('Dvd Calendar'!$Y$1853)&lt;=VAL_SERIAL)*1000000+27*1000+61))</f>
        <v/>
      </c>
      <c r="GN186" s="39">
        <f>IF(N('Dvd Calendar'!$Z$1854)=0,"",IF(('Dvd Calendar'!$Z$1854&gt;=GRID_FROM)*('Dvd Calendar'!$Z$1854&lt;=GRID_TO)*('Dvd Calendar'!$Z$1854&gt;VAL_DATE)=0,"",'Dvd Calendar'!$Z$1854*1000000000+ISNUMBER('Dvd Calendar'!$Z$1855)*100000000+0*10000000+(N('Dvd Calendar'!$Z$1853)&gt;0)*(N('Dvd Calendar'!$Z$1853)&lt;=VAL_SERIAL)*1000000+27*1000+62))</f>
        <v/>
      </c>
      <c r="GO186" s="39">
        <f>IF(N('Dvd Calendar'!$AA$1854)=0,"",IF(('Dvd Calendar'!$AA$1854&gt;=GRID_FROM)*('Dvd Calendar'!$AA$1854&lt;=GRID_TO)*('Dvd Calendar'!$AA$1854&gt;VAL_DATE)=0,"",'Dvd Calendar'!$AA$1854*1000000000+ISNUMBER('Dvd Calendar'!$AA$1855)*100000000+0*10000000+(N('Dvd Calendar'!$AA$1853)&gt;0)*(N('Dvd Calendar'!$AA$1853)&lt;=VAL_SERIAL)*1000000+27*1000+63))</f>
        <v/>
      </c>
      <c r="GP186" s="39">
        <f>IF(N('Dvd Calendar'!$AB$1854)=0,"",IF(('Dvd Calendar'!$AB$1854&gt;=GRID_FROM)*('Dvd Calendar'!$AB$1854&lt;=GRID_TO)*('Dvd Calendar'!$AB$1854&gt;VAL_DATE)=0,"",'Dvd Calendar'!$AB$1854*1000000000+ISNUMBER('Dvd Calendar'!$AB$1855)*100000000+0*10000000+(N('Dvd Calendar'!$AB$1853)&gt;0)*(N('Dvd Calendar'!$AB$1853)&lt;=VAL_SERIAL)*1000000+27*1000+64))</f>
        <v/>
      </c>
      <c r="GQ186" s="39">
        <f>IF(N('Dvd Calendar'!$AC$1854)=0,"",IF(('Dvd Calendar'!$AC$1854&gt;=GRID_FROM)*('Dvd Calendar'!$AC$1854&lt;=GRID_TO)*('Dvd Calendar'!$AC$1854&gt;VAL_DATE)=0,"",'Dvd Calendar'!$AC$1854*1000000000+ISNUMBER('Dvd Calendar'!$AC$1855)*100000000+0*10000000+(N('Dvd Calendar'!$AC$1853)&gt;0)*(N('Dvd Calendar'!$AC$1853)&lt;=VAL_SERIAL)*1000000+27*1000+65))</f>
        <v/>
      </c>
    </row>
    <row r="187">
      <c r="B187" s="2">
        <f>IF(HSCEI!$C$34="","",HSCEI!$C$34)</f>
        <v/>
      </c>
      <c r="C187" s="110">
        <f>IF(EE187="","",IF(ISNUMBER('Dvd Calendar'!$E$1861)=FALSE,"",IF((('Dvd Calendar'!$E$1863=TYPE1)*(TYPE1&lt;&gt;"")+('Dvd Calendar'!$E$1863=TYPE2)*(TYPE2&lt;&gt;"")+('Dvd Calendar'!$E$1863=TYPE3)*(TYPE3&lt;&gt;"")+('Dvd Calendar'!$E$1863=TYPE4)*(TYPE4&lt;&gt;"")+('Dvd Calendar'!$E$1863=SPECIAL_LBL)*(INC_SPECIALS="Y"))=0,"",'Dvd Calendar'!$E$1861)))</f>
        <v/>
      </c>
      <c r="D187" s="110">
        <f>IF(EF187="","",IF(ISNUMBER('Dvd Calendar'!$F$1861)=FALSE,"",IF((('Dvd Calendar'!$F$1863=TYPE1)*(TYPE1&lt;&gt;"")+('Dvd Calendar'!$F$1863=TYPE2)*(TYPE2&lt;&gt;"")+('Dvd Calendar'!$F$1863=TYPE3)*(TYPE3&lt;&gt;"")+('Dvd Calendar'!$F$1863=TYPE4)*(TYPE4&lt;&gt;"")+('Dvd Calendar'!$F$1863=SPECIAL_LBL)*(INC_SPECIALS="Y"))=0,"",'Dvd Calendar'!$F$1861)))</f>
        <v/>
      </c>
      <c r="E187" s="110">
        <f>IF(EG187="","",IF(ISNUMBER('Dvd Calendar'!$G$1861)=FALSE,"",IF((('Dvd Calendar'!$G$1863=TYPE1)*(TYPE1&lt;&gt;"")+('Dvd Calendar'!$G$1863=TYPE2)*(TYPE2&lt;&gt;"")+('Dvd Calendar'!$G$1863=TYPE3)*(TYPE3&lt;&gt;"")+('Dvd Calendar'!$G$1863=TYPE4)*(TYPE4&lt;&gt;"")+('Dvd Calendar'!$G$1863=SPECIAL_LBL)*(INC_SPECIALS="Y"))=0,"",'Dvd Calendar'!$G$1861)))</f>
        <v/>
      </c>
      <c r="F187" s="110">
        <f>IF(EH187="","",IF(ISNUMBER('Dvd Calendar'!$H$1861)=FALSE,"",IF((('Dvd Calendar'!$H$1863=TYPE1)*(TYPE1&lt;&gt;"")+('Dvd Calendar'!$H$1863=TYPE2)*(TYPE2&lt;&gt;"")+('Dvd Calendar'!$H$1863=TYPE3)*(TYPE3&lt;&gt;"")+('Dvd Calendar'!$H$1863=TYPE4)*(TYPE4&lt;&gt;"")+('Dvd Calendar'!$H$1863=SPECIAL_LBL)*(INC_SPECIALS="Y"))=0,"",'Dvd Calendar'!$H$1861)))</f>
        <v/>
      </c>
      <c r="G187" s="110">
        <f>IF(EI187="","",IF(ISNUMBER('Dvd Calendar'!$I$1861)=FALSE,"",IF((('Dvd Calendar'!$I$1863=TYPE1)*(TYPE1&lt;&gt;"")+('Dvd Calendar'!$I$1863=TYPE2)*(TYPE2&lt;&gt;"")+('Dvd Calendar'!$I$1863=TYPE3)*(TYPE3&lt;&gt;"")+('Dvd Calendar'!$I$1863=TYPE4)*(TYPE4&lt;&gt;"")+('Dvd Calendar'!$I$1863=SPECIAL_LBL)*(INC_SPECIALS="Y"))=0,"",'Dvd Calendar'!$I$1861)))</f>
        <v/>
      </c>
      <c r="H187" s="110">
        <f>IF(EJ187="","",IF(ISNUMBER('Dvd Calendar'!$J$1861)=FALSE,"",IF((('Dvd Calendar'!$J$1863=TYPE1)*(TYPE1&lt;&gt;"")+('Dvd Calendar'!$J$1863=TYPE2)*(TYPE2&lt;&gt;"")+('Dvd Calendar'!$J$1863=TYPE3)*(TYPE3&lt;&gt;"")+('Dvd Calendar'!$J$1863=TYPE4)*(TYPE4&lt;&gt;"")+('Dvd Calendar'!$J$1863=SPECIAL_LBL)*(INC_SPECIALS="Y"))=0,"",'Dvd Calendar'!$J$1861)))</f>
        <v/>
      </c>
      <c r="I187" s="110">
        <f>IF(EK187="","",IF(ISNUMBER('Dvd Calendar'!$K$1861)=FALSE,"",IF((('Dvd Calendar'!$K$1863=TYPE1)*(TYPE1&lt;&gt;"")+('Dvd Calendar'!$K$1863=TYPE2)*(TYPE2&lt;&gt;"")+('Dvd Calendar'!$K$1863=TYPE3)*(TYPE3&lt;&gt;"")+('Dvd Calendar'!$K$1863=TYPE4)*(TYPE4&lt;&gt;"")+('Dvd Calendar'!$K$1863=SPECIAL_LBL)*(INC_SPECIALS="Y"))=0,"",'Dvd Calendar'!$K$1861)))</f>
        <v/>
      </c>
      <c r="J187" s="110">
        <f>IF(EL187="","",IF(ISNUMBER('Dvd Calendar'!$L$1861)=FALSE,"",IF((('Dvd Calendar'!$L$1863=TYPE1)*(TYPE1&lt;&gt;"")+('Dvd Calendar'!$L$1863=TYPE2)*(TYPE2&lt;&gt;"")+('Dvd Calendar'!$L$1863=TYPE3)*(TYPE3&lt;&gt;"")+('Dvd Calendar'!$L$1863=TYPE4)*(TYPE4&lt;&gt;"")+('Dvd Calendar'!$L$1863=SPECIAL_LBL)*(INC_SPECIALS="Y"))=0,"",'Dvd Calendar'!$L$1861)))</f>
        <v/>
      </c>
      <c r="K187" s="110">
        <f>IF(EM187="","",IF(ISNUMBER('Dvd Calendar'!$M$1861)=FALSE,"",IF((('Dvd Calendar'!$M$1863=TYPE1)*(TYPE1&lt;&gt;"")+('Dvd Calendar'!$M$1863=TYPE2)*(TYPE2&lt;&gt;"")+('Dvd Calendar'!$M$1863=TYPE3)*(TYPE3&lt;&gt;"")+('Dvd Calendar'!$M$1863=TYPE4)*(TYPE4&lt;&gt;"")+('Dvd Calendar'!$M$1863=SPECIAL_LBL)*(INC_SPECIALS="Y"))=0,"",'Dvd Calendar'!$M$1861)))</f>
        <v/>
      </c>
      <c r="L187" s="110">
        <f>IF(EN187="","",IF(ISNUMBER('Dvd Calendar'!$N$1861)=FALSE,"",IF((('Dvd Calendar'!$N$1863=TYPE1)*(TYPE1&lt;&gt;"")+('Dvd Calendar'!$N$1863=TYPE2)*(TYPE2&lt;&gt;"")+('Dvd Calendar'!$N$1863=TYPE3)*(TYPE3&lt;&gt;"")+('Dvd Calendar'!$N$1863=TYPE4)*(TYPE4&lt;&gt;"")+('Dvd Calendar'!$N$1863=SPECIAL_LBL)*(INC_SPECIALS="Y"))=0,"",'Dvd Calendar'!$N$1861)))</f>
        <v/>
      </c>
      <c r="M187" s="110">
        <f>IF(EO187="","",IF(ISNUMBER('Dvd Calendar'!$O$1861)=FALSE,"",IF((('Dvd Calendar'!$O$1863=TYPE1)*(TYPE1&lt;&gt;"")+('Dvd Calendar'!$O$1863=TYPE2)*(TYPE2&lt;&gt;"")+('Dvd Calendar'!$O$1863=TYPE3)*(TYPE3&lt;&gt;"")+('Dvd Calendar'!$O$1863=TYPE4)*(TYPE4&lt;&gt;"")+('Dvd Calendar'!$O$1863=SPECIAL_LBL)*(INC_SPECIALS="Y"))=0,"",'Dvd Calendar'!$O$1861)))</f>
        <v/>
      </c>
      <c r="N187" s="110">
        <f>IF(EP187="","",IF(ISNUMBER('Dvd Calendar'!$P$1861)=FALSE,"",IF((('Dvd Calendar'!$P$1863=TYPE1)*(TYPE1&lt;&gt;"")+('Dvd Calendar'!$P$1863=TYPE2)*(TYPE2&lt;&gt;"")+('Dvd Calendar'!$P$1863=TYPE3)*(TYPE3&lt;&gt;"")+('Dvd Calendar'!$P$1863=TYPE4)*(TYPE4&lt;&gt;"")+('Dvd Calendar'!$P$1863=SPECIAL_LBL)*(INC_SPECIALS="Y"))=0,"",'Dvd Calendar'!$P$1861)))</f>
        <v/>
      </c>
      <c r="O187" s="110">
        <f>IF(EQ187="","",IF(ISNUMBER('Dvd Calendar'!$Q$1861)=FALSE,"",IF((('Dvd Calendar'!$Q$1863=TYPE1)*(TYPE1&lt;&gt;"")+('Dvd Calendar'!$Q$1863=TYPE2)*(TYPE2&lt;&gt;"")+('Dvd Calendar'!$Q$1863=TYPE3)*(TYPE3&lt;&gt;"")+('Dvd Calendar'!$Q$1863=TYPE4)*(TYPE4&lt;&gt;"")+('Dvd Calendar'!$Q$1863=SPECIAL_LBL)*(INC_SPECIALS="Y"))=0,"",'Dvd Calendar'!$Q$1861)))</f>
        <v/>
      </c>
      <c r="P187" s="110">
        <f>IF(ER187="","",IF(ISNUMBER('Dvd Calendar'!$R$1861)=FALSE,"",IF((('Dvd Calendar'!$R$1863=TYPE1)*(TYPE1&lt;&gt;"")+('Dvd Calendar'!$R$1863=TYPE2)*(TYPE2&lt;&gt;"")+('Dvd Calendar'!$R$1863=TYPE3)*(TYPE3&lt;&gt;"")+('Dvd Calendar'!$R$1863=TYPE4)*(TYPE4&lt;&gt;"")+('Dvd Calendar'!$R$1863=SPECIAL_LBL)*(INC_SPECIALS="Y"))=0,"",'Dvd Calendar'!$R$1861)))</f>
        <v/>
      </c>
      <c r="Q187" s="110">
        <f>IF(ES187="","",IF(ISNUMBER('Dvd Calendar'!$S$1861)=FALSE,"",IF((('Dvd Calendar'!$S$1863=TYPE1)*(TYPE1&lt;&gt;"")+('Dvd Calendar'!$S$1863=TYPE2)*(TYPE2&lt;&gt;"")+('Dvd Calendar'!$S$1863=TYPE3)*(TYPE3&lt;&gt;"")+('Dvd Calendar'!$S$1863=TYPE4)*(TYPE4&lt;&gt;"")+('Dvd Calendar'!$S$1863=SPECIAL_LBL)*(INC_SPECIALS="Y"))=0,"",'Dvd Calendar'!$S$1861)))</f>
        <v/>
      </c>
      <c r="R187" s="110">
        <f>IF(ET187="","",IF(ISNUMBER('Dvd Calendar'!$T$1861)=FALSE,"",IF((('Dvd Calendar'!$T$1863=TYPE1)*(TYPE1&lt;&gt;"")+('Dvd Calendar'!$T$1863=TYPE2)*(TYPE2&lt;&gt;"")+('Dvd Calendar'!$T$1863=TYPE3)*(TYPE3&lt;&gt;"")+('Dvd Calendar'!$T$1863=TYPE4)*(TYPE4&lt;&gt;"")+('Dvd Calendar'!$T$1863=SPECIAL_LBL)*(INC_SPECIALS="Y"))=0,"",'Dvd Calendar'!$T$1861)))</f>
        <v/>
      </c>
      <c r="S187" s="110">
        <f>IF(EU187="","",IF(ISNUMBER('Dvd Calendar'!$U$1861)=FALSE,"",IF((('Dvd Calendar'!$U$1863=TYPE1)*(TYPE1&lt;&gt;"")+('Dvd Calendar'!$U$1863=TYPE2)*(TYPE2&lt;&gt;"")+('Dvd Calendar'!$U$1863=TYPE3)*(TYPE3&lt;&gt;"")+('Dvd Calendar'!$U$1863=TYPE4)*(TYPE4&lt;&gt;"")+('Dvd Calendar'!$U$1863=SPECIAL_LBL)*(INC_SPECIALS="Y"))=0,"",'Dvd Calendar'!$U$1861)))</f>
        <v/>
      </c>
      <c r="T187" s="110">
        <f>IF(EV187="","",IF(ISNUMBER('Dvd Calendar'!$V$1861)=FALSE,"",IF((('Dvd Calendar'!$V$1863=TYPE1)*(TYPE1&lt;&gt;"")+('Dvd Calendar'!$V$1863=TYPE2)*(TYPE2&lt;&gt;"")+('Dvd Calendar'!$V$1863=TYPE3)*(TYPE3&lt;&gt;"")+('Dvd Calendar'!$V$1863=TYPE4)*(TYPE4&lt;&gt;"")+('Dvd Calendar'!$V$1863=SPECIAL_LBL)*(INC_SPECIALS="Y"))=0,"",'Dvd Calendar'!$V$1861)))</f>
        <v/>
      </c>
      <c r="U187" s="110">
        <f>IF(EW187="","",IF(ISNUMBER('Dvd Calendar'!$W$1861)=FALSE,"",IF((('Dvd Calendar'!$W$1863=TYPE1)*(TYPE1&lt;&gt;"")+('Dvd Calendar'!$W$1863=TYPE2)*(TYPE2&lt;&gt;"")+('Dvd Calendar'!$W$1863=TYPE3)*(TYPE3&lt;&gt;"")+('Dvd Calendar'!$W$1863=TYPE4)*(TYPE4&lt;&gt;"")+('Dvd Calendar'!$W$1863=SPECIAL_LBL)*(INC_SPECIALS="Y"))=0,"",'Dvd Calendar'!$W$1861)))</f>
        <v/>
      </c>
      <c r="V187" s="110">
        <f>IF(EX187="","",IF(ISNUMBER('Dvd Calendar'!$X$1861)=FALSE,"",IF((('Dvd Calendar'!$X$1863=TYPE1)*(TYPE1&lt;&gt;"")+('Dvd Calendar'!$X$1863=TYPE2)*(TYPE2&lt;&gt;"")+('Dvd Calendar'!$X$1863=TYPE3)*(TYPE3&lt;&gt;"")+('Dvd Calendar'!$X$1863=TYPE4)*(TYPE4&lt;&gt;"")+('Dvd Calendar'!$X$1863=SPECIAL_LBL)*(INC_SPECIALS="Y"))=0,"",'Dvd Calendar'!$X$1861)))</f>
        <v/>
      </c>
      <c r="W187" s="110">
        <f>IF(EY187="","",IF(ISNUMBER('Dvd Calendar'!$Y$1861)=FALSE,"",IF((('Dvd Calendar'!$Y$1863=TYPE1)*(TYPE1&lt;&gt;"")+('Dvd Calendar'!$Y$1863=TYPE2)*(TYPE2&lt;&gt;"")+('Dvd Calendar'!$Y$1863=TYPE3)*(TYPE3&lt;&gt;"")+('Dvd Calendar'!$Y$1863=TYPE4)*(TYPE4&lt;&gt;"")+('Dvd Calendar'!$Y$1863=SPECIAL_LBL)*(INC_SPECIALS="Y"))=0,"",'Dvd Calendar'!$Y$1861)))</f>
        <v/>
      </c>
      <c r="X187" s="110">
        <f>IF(EZ187="","",IF(ISNUMBER('Dvd Calendar'!$Z$1861)=FALSE,"",IF((('Dvd Calendar'!$Z$1863=TYPE1)*(TYPE1&lt;&gt;"")+('Dvd Calendar'!$Z$1863=TYPE2)*(TYPE2&lt;&gt;"")+('Dvd Calendar'!$Z$1863=TYPE3)*(TYPE3&lt;&gt;"")+('Dvd Calendar'!$Z$1863=TYPE4)*(TYPE4&lt;&gt;"")+('Dvd Calendar'!$Z$1863=SPECIAL_LBL)*(INC_SPECIALS="Y"))=0,"",'Dvd Calendar'!$Z$1861)))</f>
        <v/>
      </c>
      <c r="Y187" s="110">
        <f>IF(FA187="","",IF(ISNUMBER('Dvd Calendar'!$AA$1861)=FALSE,"",IF((('Dvd Calendar'!$AA$1863=TYPE1)*(TYPE1&lt;&gt;"")+('Dvd Calendar'!$AA$1863=TYPE2)*(TYPE2&lt;&gt;"")+('Dvd Calendar'!$AA$1863=TYPE3)*(TYPE3&lt;&gt;"")+('Dvd Calendar'!$AA$1863=TYPE4)*(TYPE4&lt;&gt;"")+('Dvd Calendar'!$AA$1863=SPECIAL_LBL)*(INC_SPECIALS="Y"))=0,"",'Dvd Calendar'!$AA$1861)))</f>
        <v/>
      </c>
      <c r="Z187" s="110">
        <f>IF(FB187="","",IF(ISNUMBER('Dvd Calendar'!$AB$1861)=FALSE,"",IF((('Dvd Calendar'!$AB$1863=TYPE1)*(TYPE1&lt;&gt;"")+('Dvd Calendar'!$AB$1863=TYPE2)*(TYPE2&lt;&gt;"")+('Dvd Calendar'!$AB$1863=TYPE3)*(TYPE3&lt;&gt;"")+('Dvd Calendar'!$AB$1863=TYPE4)*(TYPE4&lt;&gt;"")+('Dvd Calendar'!$AB$1863=SPECIAL_LBL)*(INC_SPECIALS="Y"))=0,"",'Dvd Calendar'!$AB$1861)))</f>
        <v/>
      </c>
      <c r="AA187" s="110">
        <f>IF(FC187="","",IF(ISNUMBER('Dvd Calendar'!$AC$1861)=FALSE,"",IF((('Dvd Calendar'!$AC$1863=TYPE1)*(TYPE1&lt;&gt;"")+('Dvd Calendar'!$AC$1863=TYPE2)*(TYPE2&lt;&gt;"")+('Dvd Calendar'!$AC$1863=TYPE3)*(TYPE3&lt;&gt;"")+('Dvd Calendar'!$AC$1863=TYPE4)*(TYPE4&lt;&gt;"")+('Dvd Calendar'!$AC$1863=SPECIAL_LBL)*(INC_SPECIALS="Y"))=0,"",'Dvd Calendar'!$AC$1861)))</f>
        <v/>
      </c>
      <c r="AB187" s="110">
        <f>IF(FD187="","",IF(ISNUMBER('Dvd Calendar'!$AD$1861)=FALSE,"",IF((('Dvd Calendar'!$AD$1863=TYPE1)*(TYPE1&lt;&gt;"")+('Dvd Calendar'!$AD$1863=TYPE2)*(TYPE2&lt;&gt;"")+('Dvd Calendar'!$AD$1863=TYPE3)*(TYPE3&lt;&gt;"")+('Dvd Calendar'!$AD$1863=TYPE4)*(TYPE4&lt;&gt;"")+('Dvd Calendar'!$AD$1863=SPECIAL_LBL)*(INC_SPECIALS="Y"))=0,"",'Dvd Calendar'!$AD$1861)))</f>
        <v/>
      </c>
      <c r="AC187" s="110">
        <f>IF(FE187="","",IF(ISNUMBER('Dvd Calendar'!$AE$1861)=FALSE,"",IF((('Dvd Calendar'!$AE$1863=TYPE1)*(TYPE1&lt;&gt;"")+('Dvd Calendar'!$AE$1863=TYPE2)*(TYPE2&lt;&gt;"")+('Dvd Calendar'!$AE$1863=TYPE3)*(TYPE3&lt;&gt;"")+('Dvd Calendar'!$AE$1863=TYPE4)*(TYPE4&lt;&gt;"")+('Dvd Calendar'!$AE$1863=SPECIAL_LBL)*(INC_SPECIALS="Y"))=0,"",'Dvd Calendar'!$AE$1861)))</f>
        <v/>
      </c>
      <c r="AD187" s="110">
        <f>IF(FF187="","",IF(ISNUMBER('Dvd Calendar'!$AF$1861)=FALSE,"",IF((('Dvd Calendar'!$AF$1863=TYPE1)*(TYPE1&lt;&gt;"")+('Dvd Calendar'!$AF$1863=TYPE2)*(TYPE2&lt;&gt;"")+('Dvd Calendar'!$AF$1863=TYPE3)*(TYPE3&lt;&gt;"")+('Dvd Calendar'!$AF$1863=TYPE4)*(TYPE4&lt;&gt;"")+('Dvd Calendar'!$AF$1863=SPECIAL_LBL)*(INC_SPECIALS="Y"))=0,"",'Dvd Calendar'!$AF$1861)))</f>
        <v/>
      </c>
      <c r="AE187" s="110">
        <f>IF(FG187="","",IF(ISNUMBER('Dvd Calendar'!$AG$1861)=FALSE,"",IF((('Dvd Calendar'!$AG$1863=TYPE1)*(TYPE1&lt;&gt;"")+('Dvd Calendar'!$AG$1863=TYPE2)*(TYPE2&lt;&gt;"")+('Dvd Calendar'!$AG$1863=TYPE3)*(TYPE3&lt;&gt;"")+('Dvd Calendar'!$AG$1863=TYPE4)*(TYPE4&lt;&gt;"")+('Dvd Calendar'!$AG$1863=SPECIAL_LBL)*(INC_SPECIALS="Y"))=0,"",'Dvd Calendar'!$AG$1861)))</f>
        <v/>
      </c>
      <c r="AF187" s="110">
        <f>IF(FH187="","",IF(ISNUMBER('Dvd Calendar'!$AH$1861)=FALSE,"",IF((('Dvd Calendar'!$AH$1863=TYPE1)*(TYPE1&lt;&gt;"")+('Dvd Calendar'!$AH$1863=TYPE2)*(TYPE2&lt;&gt;"")+('Dvd Calendar'!$AH$1863=TYPE3)*(TYPE3&lt;&gt;"")+('Dvd Calendar'!$AH$1863=TYPE4)*(TYPE4&lt;&gt;"")+('Dvd Calendar'!$AH$1863=SPECIAL_LBL)*(INC_SPECIALS="Y"))=0,"",'Dvd Calendar'!$AH$1861)))</f>
        <v/>
      </c>
      <c r="AG187" s="110">
        <f>IF(FI187="","",IF(ISNUMBER('Dvd Calendar'!$AI$1861)=FALSE,"",IF((('Dvd Calendar'!$AI$1863=TYPE1)*(TYPE1&lt;&gt;"")+('Dvd Calendar'!$AI$1863=TYPE2)*(TYPE2&lt;&gt;"")+('Dvd Calendar'!$AI$1863=TYPE3)*(TYPE3&lt;&gt;"")+('Dvd Calendar'!$AI$1863=TYPE4)*(TYPE4&lt;&gt;"")+('Dvd Calendar'!$AI$1863=SPECIAL_LBL)*(INC_SPECIALS="Y"))=0,"",'Dvd Calendar'!$AI$1861)))</f>
        <v/>
      </c>
      <c r="AH187" s="110">
        <f>IF(FJ187="","",IF(ISNUMBER('Dvd Calendar'!$AJ$1861)=FALSE,"",IF((('Dvd Calendar'!$AJ$1863=TYPE1)*(TYPE1&lt;&gt;"")+('Dvd Calendar'!$AJ$1863=TYPE2)*(TYPE2&lt;&gt;"")+('Dvd Calendar'!$AJ$1863=TYPE3)*(TYPE3&lt;&gt;"")+('Dvd Calendar'!$AJ$1863=TYPE4)*(TYPE4&lt;&gt;"")+('Dvd Calendar'!$AJ$1863=SPECIAL_LBL)*(INC_SPECIALS="Y"))=0,"",'Dvd Calendar'!$AJ$1861)))</f>
        <v/>
      </c>
      <c r="AI187" s="110">
        <f>IF(FK187="","",IF(ISNUMBER('Dvd Calendar'!$AK$1861)=FALSE,"",IF((('Dvd Calendar'!$AK$1863=TYPE1)*(TYPE1&lt;&gt;"")+('Dvd Calendar'!$AK$1863=TYPE2)*(TYPE2&lt;&gt;"")+('Dvd Calendar'!$AK$1863=TYPE3)*(TYPE3&lt;&gt;"")+('Dvd Calendar'!$AK$1863=TYPE4)*(TYPE4&lt;&gt;"")+('Dvd Calendar'!$AK$1863=SPECIAL_LBL)*(INC_SPECIALS="Y"))=0,"",'Dvd Calendar'!$AK$1861)))</f>
        <v/>
      </c>
      <c r="AJ187" s="110">
        <f>IF(FL187="","",IF(ISNUMBER('Dvd Calendar'!$AL$1861)=FALSE,"",IF((('Dvd Calendar'!$AL$1863=TYPE1)*(TYPE1&lt;&gt;"")+('Dvd Calendar'!$AL$1863=TYPE2)*(TYPE2&lt;&gt;"")+('Dvd Calendar'!$AL$1863=TYPE3)*(TYPE3&lt;&gt;"")+('Dvd Calendar'!$AL$1863=TYPE4)*(TYPE4&lt;&gt;"")+('Dvd Calendar'!$AL$1863=SPECIAL_LBL)*(INC_SPECIALS="Y"))=0,"",'Dvd Calendar'!$AL$1861)))</f>
        <v/>
      </c>
      <c r="AK187" s="110">
        <f>IF(FM187="","",IF(ISNUMBER('Dvd Calendar'!$AM$1861)=FALSE,"",IF((('Dvd Calendar'!$AM$1863=TYPE1)*(TYPE1&lt;&gt;"")+('Dvd Calendar'!$AM$1863=TYPE2)*(TYPE2&lt;&gt;"")+('Dvd Calendar'!$AM$1863=TYPE3)*(TYPE3&lt;&gt;"")+('Dvd Calendar'!$AM$1863=TYPE4)*(TYPE4&lt;&gt;"")+('Dvd Calendar'!$AM$1863=SPECIAL_LBL)*(INC_SPECIALS="Y"))=0,"",'Dvd Calendar'!$AM$1861)))</f>
        <v/>
      </c>
      <c r="AL187" s="110">
        <f>IF(FN187="","",IF(ISNUMBER('Dvd Calendar'!$AN$1861)=FALSE,"",IF((('Dvd Calendar'!$AN$1863=TYPE1)*(TYPE1&lt;&gt;"")+('Dvd Calendar'!$AN$1863=TYPE2)*(TYPE2&lt;&gt;"")+('Dvd Calendar'!$AN$1863=TYPE3)*(TYPE3&lt;&gt;"")+('Dvd Calendar'!$AN$1863=TYPE4)*(TYPE4&lt;&gt;"")+('Dvd Calendar'!$AN$1863=SPECIAL_LBL)*(INC_SPECIALS="Y"))=0,"",'Dvd Calendar'!$AN$1861)))</f>
        <v/>
      </c>
      <c r="AM187" s="110">
        <f>IF(FO187="","",IF(ISNUMBER('Dvd Calendar'!$AO$1861)=FALSE,"",IF((('Dvd Calendar'!$AO$1863=TYPE1)*(TYPE1&lt;&gt;"")+('Dvd Calendar'!$AO$1863=TYPE2)*(TYPE2&lt;&gt;"")+('Dvd Calendar'!$AO$1863=TYPE3)*(TYPE3&lt;&gt;"")+('Dvd Calendar'!$AO$1863=TYPE4)*(TYPE4&lt;&gt;"")+('Dvd Calendar'!$AO$1863=SPECIAL_LBL)*(INC_SPECIALS="Y"))=0,"",'Dvd Calendar'!$AO$1861)))</f>
        <v/>
      </c>
      <c r="AN187" s="110">
        <f>IF(FP187="","",IF(ISNUMBER('Dvd Calendar'!$AP$1861)=FALSE,"",IF((('Dvd Calendar'!$AP$1863=TYPE1)*(TYPE1&lt;&gt;"")+('Dvd Calendar'!$AP$1863=TYPE2)*(TYPE2&lt;&gt;"")+('Dvd Calendar'!$AP$1863=TYPE3)*(TYPE3&lt;&gt;"")+('Dvd Calendar'!$AP$1863=TYPE4)*(TYPE4&lt;&gt;"")+('Dvd Calendar'!$AP$1863=SPECIAL_LBL)*(INC_SPECIALS="Y"))=0,"",'Dvd Calendar'!$AP$1861)))</f>
        <v/>
      </c>
      <c r="AO187" s="110">
        <f>IF(FQ187="","",IF(ISNUMBER('Dvd Calendar'!$AQ$1861)=FALSE,"",IF((('Dvd Calendar'!$AQ$1863=TYPE1)*(TYPE1&lt;&gt;"")+('Dvd Calendar'!$AQ$1863=TYPE2)*(TYPE2&lt;&gt;"")+('Dvd Calendar'!$AQ$1863=TYPE3)*(TYPE3&lt;&gt;"")+('Dvd Calendar'!$AQ$1863=TYPE4)*(TYPE4&lt;&gt;"")+('Dvd Calendar'!$AQ$1863=SPECIAL_LBL)*(INC_SPECIALS="Y"))=0,"",'Dvd Calendar'!$AQ$1861)))</f>
        <v/>
      </c>
      <c r="AP187" s="110">
        <f>IF(FR187="","",IF(ISNUMBER('Dvd Calendar'!$AR$1861)=FALSE,"",IF((('Dvd Calendar'!$AR$1863=TYPE1)*(TYPE1&lt;&gt;"")+('Dvd Calendar'!$AR$1863=TYPE2)*(TYPE2&lt;&gt;"")+('Dvd Calendar'!$AR$1863=TYPE3)*(TYPE3&lt;&gt;"")+('Dvd Calendar'!$AR$1863=TYPE4)*(TYPE4&lt;&gt;"")+('Dvd Calendar'!$AR$1863=SPECIAL_LBL)*(INC_SPECIALS="Y"))=0,"",'Dvd Calendar'!$AR$1861)))</f>
        <v/>
      </c>
      <c r="AQ187" s="110">
        <f>IF(FS187="","",IF(ISNUMBER('Dvd Calendar'!$E$1866)=FALSE,"",'Dvd Calendar'!$E$1866))</f>
        <v/>
      </c>
      <c r="AR187" s="110">
        <f>IF(FT187="","",IF(ISNUMBER('Dvd Calendar'!$F$1866)=FALSE,"",'Dvd Calendar'!$F$1866))</f>
        <v/>
      </c>
      <c r="AS187" s="110">
        <f>IF(FU187="","",IF(ISNUMBER('Dvd Calendar'!$G$1866)=FALSE,"",'Dvd Calendar'!$G$1866))</f>
        <v/>
      </c>
      <c r="AT187" s="110">
        <f>IF(FV187="","",IF(ISNUMBER('Dvd Calendar'!$H$1866)=FALSE,"",'Dvd Calendar'!$H$1866))</f>
        <v/>
      </c>
      <c r="AU187" s="110">
        <f>IF(FW187="","",IF(ISNUMBER('Dvd Calendar'!$I$1866)=FALSE,"",'Dvd Calendar'!$I$1866))</f>
        <v/>
      </c>
      <c r="AV187" s="110">
        <f>IF(FX187="","",IF(ISNUMBER('Dvd Calendar'!$J$1866)=FALSE,"",'Dvd Calendar'!$J$1866))</f>
        <v/>
      </c>
      <c r="AW187" s="110">
        <f>IF(FY187="","",IF(ISNUMBER('Dvd Calendar'!$K$1866)=FALSE,"",'Dvd Calendar'!$K$1866))</f>
        <v/>
      </c>
      <c r="AX187" s="110">
        <f>IF(FZ187="","",IF(ISNUMBER('Dvd Calendar'!$L$1866)=FALSE,"",'Dvd Calendar'!$L$1866))</f>
        <v/>
      </c>
      <c r="AY187" s="110">
        <f>IF(GA187="","",IF(ISNUMBER('Dvd Calendar'!$M$1866)=FALSE,"",'Dvd Calendar'!$M$1866))</f>
        <v/>
      </c>
      <c r="AZ187" s="110">
        <f>IF(GB187="","",IF(ISNUMBER('Dvd Calendar'!$N$1866)=FALSE,"",'Dvd Calendar'!$N$1866))</f>
        <v/>
      </c>
      <c r="BA187" s="110">
        <f>IF(GC187="","",IF(ISNUMBER('Dvd Calendar'!$O$1866)=FALSE,"",'Dvd Calendar'!$O$1866))</f>
        <v/>
      </c>
      <c r="BB187" s="110">
        <f>IF(GD187="","",IF(ISNUMBER('Dvd Calendar'!$P$1866)=FALSE,"",'Dvd Calendar'!$P$1866))</f>
        <v/>
      </c>
      <c r="BC187" s="110">
        <f>IF(GE187="","",IF(ISNUMBER('Dvd Calendar'!$Q$1866)=FALSE,"",'Dvd Calendar'!$Q$1866))</f>
        <v/>
      </c>
      <c r="BD187" s="110">
        <f>IF(GF187="","",IF(ISNUMBER('Dvd Calendar'!$R$1866)=FALSE,"",'Dvd Calendar'!$R$1866))</f>
        <v/>
      </c>
      <c r="BE187" s="110">
        <f>IF(GG187="","",IF(ISNUMBER('Dvd Calendar'!$S$1866)=FALSE,"",'Dvd Calendar'!$S$1866))</f>
        <v/>
      </c>
      <c r="BF187" s="110">
        <f>IF(GH187="","",IF(ISNUMBER('Dvd Calendar'!$T$1866)=FALSE,"",'Dvd Calendar'!$T$1866))</f>
        <v/>
      </c>
      <c r="BG187" s="110">
        <f>IF(GI187="","",IF(ISNUMBER('Dvd Calendar'!$U$1866)=FALSE,"",'Dvd Calendar'!$U$1866))</f>
        <v/>
      </c>
      <c r="BH187" s="110">
        <f>IF(GJ187="","",IF(ISNUMBER('Dvd Calendar'!$V$1866)=FALSE,"",'Dvd Calendar'!$V$1866))</f>
        <v/>
      </c>
      <c r="BI187" s="110">
        <f>IF(GK187="","",IF(ISNUMBER('Dvd Calendar'!$W$1866)=FALSE,"",'Dvd Calendar'!$W$1866))</f>
        <v/>
      </c>
      <c r="BJ187" s="110">
        <f>IF(GL187="","",IF(ISNUMBER('Dvd Calendar'!$X$1866)=FALSE,"",'Dvd Calendar'!$X$1866))</f>
        <v/>
      </c>
      <c r="BK187" s="110">
        <f>IF(GM187="","",IF(ISNUMBER('Dvd Calendar'!$Y$1866)=FALSE,"",'Dvd Calendar'!$Y$1866))</f>
        <v/>
      </c>
      <c r="BL187" s="110">
        <f>IF(GN187="","",IF(ISNUMBER('Dvd Calendar'!$Z$1866)=FALSE,"",'Dvd Calendar'!$Z$1866))</f>
        <v/>
      </c>
      <c r="BM187" s="110">
        <f>IF(GO187="","",IF(ISNUMBER('Dvd Calendar'!$AA$1866)=FALSE,"",'Dvd Calendar'!$AA$1866))</f>
        <v/>
      </c>
      <c r="BN187" s="110">
        <f>IF(GP187="","",IF(ISNUMBER('Dvd Calendar'!$AB$1866)=FALSE,"",'Dvd Calendar'!$AB$1866))</f>
        <v/>
      </c>
      <c r="BO187" s="110">
        <f>IF(GQ187="","",IF(ISNUMBER('Dvd Calendar'!$AC$1866)=FALSE,"",'Dvd Calendar'!$AC$1866))</f>
        <v/>
      </c>
      <c r="BQ187" s="110">
        <f>IF(C187="","",IFERROR(C187*HSCEI!$B$34*HSCEI!$G$34/HSCEI!$B$3,""))</f>
        <v/>
      </c>
      <c r="BR187" s="110">
        <f>IF(D187="","",IFERROR(D187*HSCEI!$B$34*HSCEI!$G$34/HSCEI!$B$3,""))</f>
        <v/>
      </c>
      <c r="BS187" s="110">
        <f>IF(E187="","",IFERROR(E187*HSCEI!$B$34*HSCEI!$G$34/HSCEI!$B$3,""))</f>
        <v/>
      </c>
      <c r="BT187" s="110">
        <f>IF(F187="","",IFERROR(F187*HSCEI!$B$34*HSCEI!$G$34/HSCEI!$B$3,""))</f>
        <v/>
      </c>
      <c r="BU187" s="110">
        <f>IF(G187="","",IFERROR(G187*HSCEI!$B$34*HSCEI!$G$34/HSCEI!$B$3,""))</f>
        <v/>
      </c>
      <c r="BV187" s="110">
        <f>IF(H187="","",IFERROR(H187*HSCEI!$B$34*HSCEI!$G$34/HSCEI!$B$3,""))</f>
        <v/>
      </c>
      <c r="BW187" s="110">
        <f>IF(I187="","",IFERROR(I187*HSCEI!$B$34*HSCEI!$G$34/HSCEI!$B$3,""))</f>
        <v/>
      </c>
      <c r="BX187" s="110">
        <f>IF(J187="","",IFERROR(J187*HSCEI!$B$34*HSCEI!$G$34/HSCEI!$B$3,""))</f>
        <v/>
      </c>
      <c r="BY187" s="110">
        <f>IF(K187="","",IFERROR(K187*HSCEI!$B$34*HSCEI!$G$34/HSCEI!$B$3,""))</f>
        <v/>
      </c>
      <c r="BZ187" s="110">
        <f>IF(L187="","",IFERROR(L187*HSCEI!$B$34*HSCEI!$G$34/HSCEI!$B$3,""))</f>
        <v/>
      </c>
      <c r="CA187" s="110">
        <f>IF(M187="","",IFERROR(M187*HSCEI!$B$34*HSCEI!$G$34/HSCEI!$B$3,""))</f>
        <v/>
      </c>
      <c r="CB187" s="110">
        <f>IF(N187="","",IFERROR(N187*HSCEI!$B$34*HSCEI!$G$34/HSCEI!$B$3,""))</f>
        <v/>
      </c>
      <c r="CC187" s="110">
        <f>IF(O187="","",IFERROR(O187*HSCEI!$B$34*HSCEI!$G$34/HSCEI!$B$3,""))</f>
        <v/>
      </c>
      <c r="CD187" s="110">
        <f>IF(P187="","",IFERROR(P187*HSCEI!$B$34*HSCEI!$G$34/HSCEI!$B$3,""))</f>
        <v/>
      </c>
      <c r="CE187" s="110">
        <f>IF(Q187="","",IFERROR(Q187*HSCEI!$B$34*HSCEI!$G$34/HSCEI!$B$3,""))</f>
        <v/>
      </c>
      <c r="CF187" s="110">
        <f>IF(R187="","",IFERROR(R187*HSCEI!$B$34*HSCEI!$G$34/HSCEI!$B$3,""))</f>
        <v/>
      </c>
      <c r="CG187" s="110">
        <f>IF(S187="","",IFERROR(S187*HSCEI!$B$34*HSCEI!$G$34/HSCEI!$B$3,""))</f>
        <v/>
      </c>
      <c r="CH187" s="110">
        <f>IF(T187="","",IFERROR(T187*HSCEI!$B$34*HSCEI!$G$34/HSCEI!$B$3,""))</f>
        <v/>
      </c>
      <c r="CI187" s="110">
        <f>IF(U187="","",IFERROR(U187*HSCEI!$B$34*HSCEI!$G$34/HSCEI!$B$3,""))</f>
        <v/>
      </c>
      <c r="CJ187" s="110">
        <f>IF(V187="","",IFERROR(V187*HSCEI!$B$34*HSCEI!$G$34/HSCEI!$B$3,""))</f>
        <v/>
      </c>
      <c r="CK187" s="110">
        <f>IF(W187="","",IFERROR(W187*HSCEI!$B$34*HSCEI!$G$34/HSCEI!$B$3,""))</f>
        <v/>
      </c>
      <c r="CL187" s="110">
        <f>IF(X187="","",IFERROR(X187*HSCEI!$B$34*HSCEI!$G$34/HSCEI!$B$3,""))</f>
        <v/>
      </c>
      <c r="CM187" s="110">
        <f>IF(Y187="","",IFERROR(Y187*HSCEI!$B$34*HSCEI!$G$34/HSCEI!$B$3,""))</f>
        <v/>
      </c>
      <c r="CN187" s="110">
        <f>IF(Z187="","",IFERROR(Z187*HSCEI!$B$34*HSCEI!$G$34/HSCEI!$B$3,""))</f>
        <v/>
      </c>
      <c r="CO187" s="110">
        <f>IF(AA187="","",IFERROR(AA187*HSCEI!$B$34*HSCEI!$G$34/HSCEI!$B$3,""))</f>
        <v/>
      </c>
      <c r="CP187" s="110">
        <f>IF(AB187="","",IFERROR(AB187*HSCEI!$B$34*HSCEI!$G$34/HSCEI!$B$3,""))</f>
        <v/>
      </c>
      <c r="CQ187" s="110">
        <f>IF(AC187="","",IFERROR(AC187*HSCEI!$B$34*HSCEI!$G$34/HSCEI!$B$3,""))</f>
        <v/>
      </c>
      <c r="CR187" s="110">
        <f>IF(AD187="","",IFERROR(AD187*HSCEI!$B$34*HSCEI!$G$34/HSCEI!$B$3,""))</f>
        <v/>
      </c>
      <c r="CS187" s="110">
        <f>IF(AE187="","",IFERROR(AE187*HSCEI!$B$34*HSCEI!$G$34/HSCEI!$B$3,""))</f>
        <v/>
      </c>
      <c r="CT187" s="110">
        <f>IF(AF187="","",IFERROR(AF187*HSCEI!$B$34*HSCEI!$G$34/HSCEI!$B$3,""))</f>
        <v/>
      </c>
      <c r="CU187" s="110">
        <f>IF(AG187="","",IFERROR(AG187*HSCEI!$B$34*HSCEI!$G$34/HSCEI!$B$3,""))</f>
        <v/>
      </c>
      <c r="CV187" s="110">
        <f>IF(AH187="","",IFERROR(AH187*HSCEI!$B$34*HSCEI!$G$34/HSCEI!$B$3,""))</f>
        <v/>
      </c>
      <c r="CW187" s="110">
        <f>IF(AI187="","",IFERROR(AI187*HSCEI!$B$34*HSCEI!$G$34/HSCEI!$B$3,""))</f>
        <v/>
      </c>
      <c r="CX187" s="110">
        <f>IF(AJ187="","",IFERROR(AJ187*HSCEI!$B$34*HSCEI!$G$34/HSCEI!$B$3,""))</f>
        <v/>
      </c>
      <c r="CY187" s="110">
        <f>IF(AK187="","",IFERROR(AK187*HSCEI!$B$34*HSCEI!$G$34/HSCEI!$B$3,""))</f>
        <v/>
      </c>
      <c r="CZ187" s="110">
        <f>IF(AL187="","",IFERROR(AL187*HSCEI!$B$34*HSCEI!$G$34/HSCEI!$B$3,""))</f>
        <v/>
      </c>
      <c r="DA187" s="110">
        <f>IF(AM187="","",IFERROR(AM187*HSCEI!$B$34*HSCEI!$G$34/HSCEI!$B$3,""))</f>
        <v/>
      </c>
      <c r="DB187" s="110">
        <f>IF(AN187="","",IFERROR(AN187*HSCEI!$B$34*HSCEI!$G$34/HSCEI!$B$3,""))</f>
        <v/>
      </c>
      <c r="DC187" s="110">
        <f>IF(AO187="","",IFERROR(AO187*HSCEI!$B$34*HSCEI!$G$34/HSCEI!$B$3,""))</f>
        <v/>
      </c>
      <c r="DD187" s="110">
        <f>IF(AP187="","",IFERROR(AP187*HSCEI!$B$34*HSCEI!$G$34/HSCEI!$B$3,""))</f>
        <v/>
      </c>
      <c r="DE187" s="110">
        <f>IF(AQ187="","",IFERROR(AQ187*HSCEI!$B$34*HSCEI!$G$34/HSCEI!$B$3,""))</f>
        <v/>
      </c>
      <c r="DF187" s="110">
        <f>IF(AR187="","",IFERROR(AR187*HSCEI!$B$34*HSCEI!$G$34/HSCEI!$B$3,""))</f>
        <v/>
      </c>
      <c r="DG187" s="110">
        <f>IF(AS187="","",IFERROR(AS187*HSCEI!$B$34*HSCEI!$G$34/HSCEI!$B$3,""))</f>
        <v/>
      </c>
      <c r="DH187" s="110">
        <f>IF(AT187="","",IFERROR(AT187*HSCEI!$B$34*HSCEI!$G$34/HSCEI!$B$3,""))</f>
        <v/>
      </c>
      <c r="DI187" s="110">
        <f>IF(AU187="","",IFERROR(AU187*HSCEI!$B$34*HSCEI!$G$34/HSCEI!$B$3,""))</f>
        <v/>
      </c>
      <c r="DJ187" s="110">
        <f>IF(AV187="","",IFERROR(AV187*HSCEI!$B$34*HSCEI!$G$34/HSCEI!$B$3,""))</f>
        <v/>
      </c>
      <c r="DK187" s="110">
        <f>IF(AW187="","",IFERROR(AW187*HSCEI!$B$34*HSCEI!$G$34/HSCEI!$B$3,""))</f>
        <v/>
      </c>
      <c r="DL187" s="110">
        <f>IF(AX187="","",IFERROR(AX187*HSCEI!$B$34*HSCEI!$G$34/HSCEI!$B$3,""))</f>
        <v/>
      </c>
      <c r="DM187" s="110">
        <f>IF(AY187="","",IFERROR(AY187*HSCEI!$B$34*HSCEI!$G$34/HSCEI!$B$3,""))</f>
        <v/>
      </c>
      <c r="DN187" s="110">
        <f>IF(AZ187="","",IFERROR(AZ187*HSCEI!$B$34*HSCEI!$G$34/HSCEI!$B$3,""))</f>
        <v/>
      </c>
      <c r="DO187" s="110">
        <f>IF(BA187="","",IFERROR(BA187*HSCEI!$B$34*HSCEI!$G$34/HSCEI!$B$3,""))</f>
        <v/>
      </c>
      <c r="DP187" s="110">
        <f>IF(BB187="","",IFERROR(BB187*HSCEI!$B$34*HSCEI!$G$34/HSCEI!$B$3,""))</f>
        <v/>
      </c>
      <c r="DQ187" s="110">
        <f>IF(BC187="","",IFERROR(BC187*HSCEI!$B$34*HSCEI!$G$34/HSCEI!$B$3,""))</f>
        <v/>
      </c>
      <c r="DR187" s="110">
        <f>IF(BD187="","",IFERROR(BD187*HSCEI!$B$34*HSCEI!$G$34/HSCEI!$B$3,""))</f>
        <v/>
      </c>
      <c r="DS187" s="110">
        <f>IF(BE187="","",IFERROR(BE187*HSCEI!$B$34*HSCEI!$G$34/HSCEI!$B$3,""))</f>
        <v/>
      </c>
      <c r="DT187" s="110">
        <f>IF(BF187="","",IFERROR(BF187*HSCEI!$B$34*HSCEI!$G$34/HSCEI!$B$3,""))</f>
        <v/>
      </c>
      <c r="DU187" s="110">
        <f>IF(BG187="","",IFERROR(BG187*HSCEI!$B$34*HSCEI!$G$34/HSCEI!$B$3,""))</f>
        <v/>
      </c>
      <c r="DV187" s="110">
        <f>IF(BH187="","",IFERROR(BH187*HSCEI!$B$34*HSCEI!$G$34/HSCEI!$B$3,""))</f>
        <v/>
      </c>
      <c r="DW187" s="110">
        <f>IF(BI187="","",IFERROR(BI187*HSCEI!$B$34*HSCEI!$G$34/HSCEI!$B$3,""))</f>
        <v/>
      </c>
      <c r="DX187" s="110">
        <f>IF(BJ187="","",IFERROR(BJ187*HSCEI!$B$34*HSCEI!$G$34/HSCEI!$B$3,""))</f>
        <v/>
      </c>
      <c r="DY187" s="110">
        <f>IF(BK187="","",IFERROR(BK187*HSCEI!$B$34*HSCEI!$G$34/HSCEI!$B$3,""))</f>
        <v/>
      </c>
      <c r="DZ187" s="110">
        <f>IF(BL187="","",IFERROR(BL187*HSCEI!$B$34*HSCEI!$G$34/HSCEI!$B$3,""))</f>
        <v/>
      </c>
      <c r="EA187" s="110">
        <f>IF(BM187="","",IFERROR(BM187*HSCEI!$B$34*HSCEI!$G$34/HSCEI!$B$3,""))</f>
        <v/>
      </c>
      <c r="EB187" s="110">
        <f>IF(BN187="","",IFERROR(BN187*HSCEI!$B$34*HSCEI!$G$34/HSCEI!$B$3,""))</f>
        <v/>
      </c>
      <c r="EC187" s="110">
        <f>IF(BO187="","",IFERROR(BO187*HSCEI!$B$34*HSCEI!$G$34/HSCEI!$B$3,""))</f>
        <v/>
      </c>
      <c r="EE187" s="39">
        <f>IF(N('Dvd Calendar'!$E$1858)=0,"",IF(('Dvd Calendar'!$E$1858&gt;=GRID_FROM)*('Dvd Calendar'!$E$1858&lt;=GRID_TO)*((('Dvd Calendar'!$E$1858&lt;=VAL_DATE)+(COUNTIF('Dvd Calendar'!$E$1865:$AR$1865,'Dvd Calendar'!$E$1858)=0))&gt;0)=0,"",'Dvd Calendar'!$E$1858*1000000000+ISNUMBER('Dvd Calendar'!$E$1861)*100000000+('Dvd Calendar'!$E$1863=SPECIAL_LBL)*10000000+(N('Dvd Calendar'!$E$1857)&gt;0)*(N('Dvd Calendar'!$E$1857)&lt;=VAL_SERIAL)*1000000+28*1000+1))</f>
        <v/>
      </c>
      <c r="EF187" s="39">
        <f>IF(N('Dvd Calendar'!$F$1858)=0,"",IF(('Dvd Calendar'!$F$1858&gt;=GRID_FROM)*('Dvd Calendar'!$F$1858&lt;=GRID_TO)*((('Dvd Calendar'!$F$1858&lt;=VAL_DATE)+(COUNTIF('Dvd Calendar'!$E$1865:$AR$1865,'Dvd Calendar'!$F$1858)=0))&gt;0)=0,"",'Dvd Calendar'!$F$1858*1000000000+ISNUMBER('Dvd Calendar'!$F$1861)*100000000+('Dvd Calendar'!$F$1863=SPECIAL_LBL)*10000000+(N('Dvd Calendar'!$F$1857)&gt;0)*(N('Dvd Calendar'!$F$1857)&lt;=VAL_SERIAL)*1000000+28*1000+2))</f>
        <v/>
      </c>
      <c r="EG187" s="39">
        <f>IF(N('Dvd Calendar'!$G$1858)=0,"",IF(('Dvd Calendar'!$G$1858&gt;=GRID_FROM)*('Dvd Calendar'!$G$1858&lt;=GRID_TO)*((('Dvd Calendar'!$G$1858&lt;=VAL_DATE)+(COUNTIF('Dvd Calendar'!$E$1865:$AR$1865,'Dvd Calendar'!$G$1858)=0))&gt;0)=0,"",'Dvd Calendar'!$G$1858*1000000000+ISNUMBER('Dvd Calendar'!$G$1861)*100000000+('Dvd Calendar'!$G$1863=SPECIAL_LBL)*10000000+(N('Dvd Calendar'!$G$1857)&gt;0)*(N('Dvd Calendar'!$G$1857)&lt;=VAL_SERIAL)*1000000+28*1000+3))</f>
        <v/>
      </c>
      <c r="EH187" s="39">
        <f>IF(N('Dvd Calendar'!$H$1858)=0,"",IF(('Dvd Calendar'!$H$1858&gt;=GRID_FROM)*('Dvd Calendar'!$H$1858&lt;=GRID_TO)*((('Dvd Calendar'!$H$1858&lt;=VAL_DATE)+(COUNTIF('Dvd Calendar'!$E$1865:$AR$1865,'Dvd Calendar'!$H$1858)=0))&gt;0)=0,"",'Dvd Calendar'!$H$1858*1000000000+ISNUMBER('Dvd Calendar'!$H$1861)*100000000+('Dvd Calendar'!$H$1863=SPECIAL_LBL)*10000000+(N('Dvd Calendar'!$H$1857)&gt;0)*(N('Dvd Calendar'!$H$1857)&lt;=VAL_SERIAL)*1000000+28*1000+4))</f>
        <v/>
      </c>
      <c r="EI187" s="39">
        <f>IF(N('Dvd Calendar'!$I$1858)=0,"",IF(('Dvd Calendar'!$I$1858&gt;=GRID_FROM)*('Dvd Calendar'!$I$1858&lt;=GRID_TO)*((('Dvd Calendar'!$I$1858&lt;=VAL_DATE)+(COUNTIF('Dvd Calendar'!$E$1865:$AR$1865,'Dvd Calendar'!$I$1858)=0))&gt;0)=0,"",'Dvd Calendar'!$I$1858*1000000000+ISNUMBER('Dvd Calendar'!$I$1861)*100000000+('Dvd Calendar'!$I$1863=SPECIAL_LBL)*10000000+(N('Dvd Calendar'!$I$1857)&gt;0)*(N('Dvd Calendar'!$I$1857)&lt;=VAL_SERIAL)*1000000+28*1000+5))</f>
        <v/>
      </c>
      <c r="EJ187" s="39">
        <f>IF(N('Dvd Calendar'!$J$1858)=0,"",IF(('Dvd Calendar'!$J$1858&gt;=GRID_FROM)*('Dvd Calendar'!$J$1858&lt;=GRID_TO)*((('Dvd Calendar'!$J$1858&lt;=VAL_DATE)+(COUNTIF('Dvd Calendar'!$E$1865:$AR$1865,'Dvd Calendar'!$J$1858)=0))&gt;0)=0,"",'Dvd Calendar'!$J$1858*1000000000+ISNUMBER('Dvd Calendar'!$J$1861)*100000000+('Dvd Calendar'!$J$1863=SPECIAL_LBL)*10000000+(N('Dvd Calendar'!$J$1857)&gt;0)*(N('Dvd Calendar'!$J$1857)&lt;=VAL_SERIAL)*1000000+28*1000+6))</f>
        <v/>
      </c>
      <c r="EK187" s="39">
        <f>IF(N('Dvd Calendar'!$K$1858)=0,"",IF(('Dvd Calendar'!$K$1858&gt;=GRID_FROM)*('Dvd Calendar'!$K$1858&lt;=GRID_TO)*((('Dvd Calendar'!$K$1858&lt;=VAL_DATE)+(COUNTIF('Dvd Calendar'!$E$1865:$AR$1865,'Dvd Calendar'!$K$1858)=0))&gt;0)=0,"",'Dvd Calendar'!$K$1858*1000000000+ISNUMBER('Dvd Calendar'!$K$1861)*100000000+('Dvd Calendar'!$K$1863=SPECIAL_LBL)*10000000+(N('Dvd Calendar'!$K$1857)&gt;0)*(N('Dvd Calendar'!$K$1857)&lt;=VAL_SERIAL)*1000000+28*1000+7))</f>
        <v/>
      </c>
      <c r="EL187" s="39">
        <f>IF(N('Dvd Calendar'!$L$1858)=0,"",IF(('Dvd Calendar'!$L$1858&gt;=GRID_FROM)*('Dvd Calendar'!$L$1858&lt;=GRID_TO)*((('Dvd Calendar'!$L$1858&lt;=VAL_DATE)+(COUNTIF('Dvd Calendar'!$E$1865:$AR$1865,'Dvd Calendar'!$L$1858)=0))&gt;0)=0,"",'Dvd Calendar'!$L$1858*1000000000+ISNUMBER('Dvd Calendar'!$L$1861)*100000000+('Dvd Calendar'!$L$1863=SPECIAL_LBL)*10000000+(N('Dvd Calendar'!$L$1857)&gt;0)*(N('Dvd Calendar'!$L$1857)&lt;=VAL_SERIAL)*1000000+28*1000+8))</f>
        <v/>
      </c>
      <c r="EM187" s="39">
        <f>IF(N('Dvd Calendar'!$M$1858)=0,"",IF(('Dvd Calendar'!$M$1858&gt;=GRID_FROM)*('Dvd Calendar'!$M$1858&lt;=GRID_TO)*((('Dvd Calendar'!$M$1858&lt;=VAL_DATE)+(COUNTIF('Dvd Calendar'!$E$1865:$AR$1865,'Dvd Calendar'!$M$1858)=0))&gt;0)=0,"",'Dvd Calendar'!$M$1858*1000000000+ISNUMBER('Dvd Calendar'!$M$1861)*100000000+('Dvd Calendar'!$M$1863=SPECIAL_LBL)*10000000+(N('Dvd Calendar'!$M$1857)&gt;0)*(N('Dvd Calendar'!$M$1857)&lt;=VAL_SERIAL)*1000000+28*1000+9))</f>
        <v/>
      </c>
      <c r="EN187" s="39">
        <f>IF(N('Dvd Calendar'!$N$1858)=0,"",IF(('Dvd Calendar'!$N$1858&gt;=GRID_FROM)*('Dvd Calendar'!$N$1858&lt;=GRID_TO)*((('Dvd Calendar'!$N$1858&lt;=VAL_DATE)+(COUNTIF('Dvd Calendar'!$E$1865:$AR$1865,'Dvd Calendar'!$N$1858)=0))&gt;0)=0,"",'Dvd Calendar'!$N$1858*1000000000+ISNUMBER('Dvd Calendar'!$N$1861)*100000000+('Dvd Calendar'!$N$1863=SPECIAL_LBL)*10000000+(N('Dvd Calendar'!$N$1857)&gt;0)*(N('Dvd Calendar'!$N$1857)&lt;=VAL_SERIAL)*1000000+28*1000+10))</f>
        <v/>
      </c>
      <c r="EO187" s="39">
        <f>IF(N('Dvd Calendar'!$O$1858)=0,"",IF(('Dvd Calendar'!$O$1858&gt;=GRID_FROM)*('Dvd Calendar'!$O$1858&lt;=GRID_TO)*((('Dvd Calendar'!$O$1858&lt;=VAL_DATE)+(COUNTIF('Dvd Calendar'!$E$1865:$AR$1865,'Dvd Calendar'!$O$1858)=0))&gt;0)=0,"",'Dvd Calendar'!$O$1858*1000000000+ISNUMBER('Dvd Calendar'!$O$1861)*100000000+('Dvd Calendar'!$O$1863=SPECIAL_LBL)*10000000+(N('Dvd Calendar'!$O$1857)&gt;0)*(N('Dvd Calendar'!$O$1857)&lt;=VAL_SERIAL)*1000000+28*1000+11))</f>
        <v/>
      </c>
      <c r="EP187" s="39">
        <f>IF(N('Dvd Calendar'!$P$1858)=0,"",IF(('Dvd Calendar'!$P$1858&gt;=GRID_FROM)*('Dvd Calendar'!$P$1858&lt;=GRID_TO)*((('Dvd Calendar'!$P$1858&lt;=VAL_DATE)+(COUNTIF('Dvd Calendar'!$E$1865:$AR$1865,'Dvd Calendar'!$P$1858)=0))&gt;0)=0,"",'Dvd Calendar'!$P$1858*1000000000+ISNUMBER('Dvd Calendar'!$P$1861)*100000000+('Dvd Calendar'!$P$1863=SPECIAL_LBL)*10000000+(N('Dvd Calendar'!$P$1857)&gt;0)*(N('Dvd Calendar'!$P$1857)&lt;=VAL_SERIAL)*1000000+28*1000+12))</f>
        <v/>
      </c>
      <c r="EQ187" s="39">
        <f>IF(N('Dvd Calendar'!$Q$1858)=0,"",IF(('Dvd Calendar'!$Q$1858&gt;=GRID_FROM)*('Dvd Calendar'!$Q$1858&lt;=GRID_TO)*((('Dvd Calendar'!$Q$1858&lt;=VAL_DATE)+(COUNTIF('Dvd Calendar'!$E$1865:$AR$1865,'Dvd Calendar'!$Q$1858)=0))&gt;0)=0,"",'Dvd Calendar'!$Q$1858*1000000000+ISNUMBER('Dvd Calendar'!$Q$1861)*100000000+('Dvd Calendar'!$Q$1863=SPECIAL_LBL)*10000000+(N('Dvd Calendar'!$Q$1857)&gt;0)*(N('Dvd Calendar'!$Q$1857)&lt;=VAL_SERIAL)*1000000+28*1000+13))</f>
        <v/>
      </c>
      <c r="ER187" s="39">
        <f>IF(N('Dvd Calendar'!$R$1858)=0,"",IF(('Dvd Calendar'!$R$1858&gt;=GRID_FROM)*('Dvd Calendar'!$R$1858&lt;=GRID_TO)*((('Dvd Calendar'!$R$1858&lt;=VAL_DATE)+(COUNTIF('Dvd Calendar'!$E$1865:$AR$1865,'Dvd Calendar'!$R$1858)=0))&gt;0)=0,"",'Dvd Calendar'!$R$1858*1000000000+ISNUMBER('Dvd Calendar'!$R$1861)*100000000+('Dvd Calendar'!$R$1863=SPECIAL_LBL)*10000000+(N('Dvd Calendar'!$R$1857)&gt;0)*(N('Dvd Calendar'!$R$1857)&lt;=VAL_SERIAL)*1000000+28*1000+14))</f>
        <v/>
      </c>
      <c r="ES187" s="39">
        <f>IF(N('Dvd Calendar'!$S$1858)=0,"",IF(('Dvd Calendar'!$S$1858&gt;=GRID_FROM)*('Dvd Calendar'!$S$1858&lt;=GRID_TO)*((('Dvd Calendar'!$S$1858&lt;=VAL_DATE)+(COUNTIF('Dvd Calendar'!$E$1865:$AR$1865,'Dvd Calendar'!$S$1858)=0))&gt;0)=0,"",'Dvd Calendar'!$S$1858*1000000000+ISNUMBER('Dvd Calendar'!$S$1861)*100000000+('Dvd Calendar'!$S$1863=SPECIAL_LBL)*10000000+(N('Dvd Calendar'!$S$1857)&gt;0)*(N('Dvd Calendar'!$S$1857)&lt;=VAL_SERIAL)*1000000+28*1000+15))</f>
        <v/>
      </c>
      <c r="ET187" s="39">
        <f>IF(N('Dvd Calendar'!$T$1858)=0,"",IF(('Dvd Calendar'!$T$1858&gt;=GRID_FROM)*('Dvd Calendar'!$T$1858&lt;=GRID_TO)*((('Dvd Calendar'!$T$1858&lt;=VAL_DATE)+(COUNTIF('Dvd Calendar'!$E$1865:$AR$1865,'Dvd Calendar'!$T$1858)=0))&gt;0)=0,"",'Dvd Calendar'!$T$1858*1000000000+ISNUMBER('Dvd Calendar'!$T$1861)*100000000+('Dvd Calendar'!$T$1863=SPECIAL_LBL)*10000000+(N('Dvd Calendar'!$T$1857)&gt;0)*(N('Dvd Calendar'!$T$1857)&lt;=VAL_SERIAL)*1000000+28*1000+16))</f>
        <v/>
      </c>
      <c r="EU187" s="39">
        <f>IF(N('Dvd Calendar'!$U$1858)=0,"",IF(('Dvd Calendar'!$U$1858&gt;=GRID_FROM)*('Dvd Calendar'!$U$1858&lt;=GRID_TO)*((('Dvd Calendar'!$U$1858&lt;=VAL_DATE)+(COUNTIF('Dvd Calendar'!$E$1865:$AR$1865,'Dvd Calendar'!$U$1858)=0))&gt;0)=0,"",'Dvd Calendar'!$U$1858*1000000000+ISNUMBER('Dvd Calendar'!$U$1861)*100000000+('Dvd Calendar'!$U$1863=SPECIAL_LBL)*10000000+(N('Dvd Calendar'!$U$1857)&gt;0)*(N('Dvd Calendar'!$U$1857)&lt;=VAL_SERIAL)*1000000+28*1000+17))</f>
        <v/>
      </c>
      <c r="EV187" s="39">
        <f>IF(N('Dvd Calendar'!$V$1858)=0,"",IF(('Dvd Calendar'!$V$1858&gt;=GRID_FROM)*('Dvd Calendar'!$V$1858&lt;=GRID_TO)*((('Dvd Calendar'!$V$1858&lt;=VAL_DATE)+(COUNTIF('Dvd Calendar'!$E$1865:$AR$1865,'Dvd Calendar'!$V$1858)=0))&gt;0)=0,"",'Dvd Calendar'!$V$1858*1000000000+ISNUMBER('Dvd Calendar'!$V$1861)*100000000+('Dvd Calendar'!$V$1863=SPECIAL_LBL)*10000000+(N('Dvd Calendar'!$V$1857)&gt;0)*(N('Dvd Calendar'!$V$1857)&lt;=VAL_SERIAL)*1000000+28*1000+18))</f>
        <v/>
      </c>
      <c r="EW187" s="39">
        <f>IF(N('Dvd Calendar'!$W$1858)=0,"",IF(('Dvd Calendar'!$W$1858&gt;=GRID_FROM)*('Dvd Calendar'!$W$1858&lt;=GRID_TO)*((('Dvd Calendar'!$W$1858&lt;=VAL_DATE)+(COUNTIF('Dvd Calendar'!$E$1865:$AR$1865,'Dvd Calendar'!$W$1858)=0))&gt;0)=0,"",'Dvd Calendar'!$W$1858*1000000000+ISNUMBER('Dvd Calendar'!$W$1861)*100000000+('Dvd Calendar'!$W$1863=SPECIAL_LBL)*10000000+(N('Dvd Calendar'!$W$1857)&gt;0)*(N('Dvd Calendar'!$W$1857)&lt;=VAL_SERIAL)*1000000+28*1000+19))</f>
        <v/>
      </c>
      <c r="EX187" s="39">
        <f>IF(N('Dvd Calendar'!$X$1858)=0,"",IF(('Dvd Calendar'!$X$1858&gt;=GRID_FROM)*('Dvd Calendar'!$X$1858&lt;=GRID_TO)*((('Dvd Calendar'!$X$1858&lt;=VAL_DATE)+(COUNTIF('Dvd Calendar'!$E$1865:$AR$1865,'Dvd Calendar'!$X$1858)=0))&gt;0)=0,"",'Dvd Calendar'!$X$1858*1000000000+ISNUMBER('Dvd Calendar'!$X$1861)*100000000+('Dvd Calendar'!$X$1863=SPECIAL_LBL)*10000000+(N('Dvd Calendar'!$X$1857)&gt;0)*(N('Dvd Calendar'!$X$1857)&lt;=VAL_SERIAL)*1000000+28*1000+20))</f>
        <v/>
      </c>
      <c r="EY187" s="39">
        <f>IF(N('Dvd Calendar'!$Y$1858)=0,"",IF(('Dvd Calendar'!$Y$1858&gt;=GRID_FROM)*('Dvd Calendar'!$Y$1858&lt;=GRID_TO)*((('Dvd Calendar'!$Y$1858&lt;=VAL_DATE)+(COUNTIF('Dvd Calendar'!$E$1865:$AR$1865,'Dvd Calendar'!$Y$1858)=0))&gt;0)=0,"",'Dvd Calendar'!$Y$1858*1000000000+ISNUMBER('Dvd Calendar'!$Y$1861)*100000000+('Dvd Calendar'!$Y$1863=SPECIAL_LBL)*10000000+(N('Dvd Calendar'!$Y$1857)&gt;0)*(N('Dvd Calendar'!$Y$1857)&lt;=VAL_SERIAL)*1000000+28*1000+21))</f>
        <v/>
      </c>
      <c r="EZ187" s="39">
        <f>IF(N('Dvd Calendar'!$Z$1858)=0,"",IF(('Dvd Calendar'!$Z$1858&gt;=GRID_FROM)*('Dvd Calendar'!$Z$1858&lt;=GRID_TO)*((('Dvd Calendar'!$Z$1858&lt;=VAL_DATE)+(COUNTIF('Dvd Calendar'!$E$1865:$AR$1865,'Dvd Calendar'!$Z$1858)=0))&gt;0)=0,"",'Dvd Calendar'!$Z$1858*1000000000+ISNUMBER('Dvd Calendar'!$Z$1861)*100000000+('Dvd Calendar'!$Z$1863=SPECIAL_LBL)*10000000+(N('Dvd Calendar'!$Z$1857)&gt;0)*(N('Dvd Calendar'!$Z$1857)&lt;=VAL_SERIAL)*1000000+28*1000+22))</f>
        <v/>
      </c>
      <c r="FA187" s="39">
        <f>IF(N('Dvd Calendar'!$AA$1858)=0,"",IF(('Dvd Calendar'!$AA$1858&gt;=GRID_FROM)*('Dvd Calendar'!$AA$1858&lt;=GRID_TO)*((('Dvd Calendar'!$AA$1858&lt;=VAL_DATE)+(COUNTIF('Dvd Calendar'!$E$1865:$AR$1865,'Dvd Calendar'!$AA$1858)=0))&gt;0)=0,"",'Dvd Calendar'!$AA$1858*1000000000+ISNUMBER('Dvd Calendar'!$AA$1861)*100000000+('Dvd Calendar'!$AA$1863=SPECIAL_LBL)*10000000+(N('Dvd Calendar'!$AA$1857)&gt;0)*(N('Dvd Calendar'!$AA$1857)&lt;=VAL_SERIAL)*1000000+28*1000+23))</f>
        <v/>
      </c>
      <c r="FB187" s="39">
        <f>IF(N('Dvd Calendar'!$AB$1858)=0,"",IF(('Dvd Calendar'!$AB$1858&gt;=GRID_FROM)*('Dvd Calendar'!$AB$1858&lt;=GRID_TO)*((('Dvd Calendar'!$AB$1858&lt;=VAL_DATE)+(COUNTIF('Dvd Calendar'!$E$1865:$AR$1865,'Dvd Calendar'!$AB$1858)=0))&gt;0)=0,"",'Dvd Calendar'!$AB$1858*1000000000+ISNUMBER('Dvd Calendar'!$AB$1861)*100000000+('Dvd Calendar'!$AB$1863=SPECIAL_LBL)*10000000+(N('Dvd Calendar'!$AB$1857)&gt;0)*(N('Dvd Calendar'!$AB$1857)&lt;=VAL_SERIAL)*1000000+28*1000+24))</f>
        <v/>
      </c>
      <c r="FC187" s="39">
        <f>IF(N('Dvd Calendar'!$AC$1858)=0,"",IF(('Dvd Calendar'!$AC$1858&gt;=GRID_FROM)*('Dvd Calendar'!$AC$1858&lt;=GRID_TO)*((('Dvd Calendar'!$AC$1858&lt;=VAL_DATE)+(COUNTIF('Dvd Calendar'!$E$1865:$AR$1865,'Dvd Calendar'!$AC$1858)=0))&gt;0)=0,"",'Dvd Calendar'!$AC$1858*1000000000+ISNUMBER('Dvd Calendar'!$AC$1861)*100000000+('Dvd Calendar'!$AC$1863=SPECIAL_LBL)*10000000+(N('Dvd Calendar'!$AC$1857)&gt;0)*(N('Dvd Calendar'!$AC$1857)&lt;=VAL_SERIAL)*1000000+28*1000+25))</f>
        <v/>
      </c>
      <c r="FD187" s="39">
        <f>IF(N('Dvd Calendar'!$AD$1858)=0,"",IF(('Dvd Calendar'!$AD$1858&gt;=GRID_FROM)*('Dvd Calendar'!$AD$1858&lt;=GRID_TO)*((('Dvd Calendar'!$AD$1858&lt;=VAL_DATE)+(COUNTIF('Dvd Calendar'!$E$1865:$AR$1865,'Dvd Calendar'!$AD$1858)=0))&gt;0)=0,"",'Dvd Calendar'!$AD$1858*1000000000+ISNUMBER('Dvd Calendar'!$AD$1861)*100000000+('Dvd Calendar'!$AD$1863=SPECIAL_LBL)*10000000+(N('Dvd Calendar'!$AD$1857)&gt;0)*(N('Dvd Calendar'!$AD$1857)&lt;=VAL_SERIAL)*1000000+28*1000+26))</f>
        <v/>
      </c>
      <c r="FE187" s="39">
        <f>IF(N('Dvd Calendar'!$AE$1858)=0,"",IF(('Dvd Calendar'!$AE$1858&gt;=GRID_FROM)*('Dvd Calendar'!$AE$1858&lt;=GRID_TO)*((('Dvd Calendar'!$AE$1858&lt;=VAL_DATE)+(COUNTIF('Dvd Calendar'!$E$1865:$AR$1865,'Dvd Calendar'!$AE$1858)=0))&gt;0)=0,"",'Dvd Calendar'!$AE$1858*1000000000+ISNUMBER('Dvd Calendar'!$AE$1861)*100000000+('Dvd Calendar'!$AE$1863=SPECIAL_LBL)*10000000+(N('Dvd Calendar'!$AE$1857)&gt;0)*(N('Dvd Calendar'!$AE$1857)&lt;=VAL_SERIAL)*1000000+28*1000+27))</f>
        <v/>
      </c>
      <c r="FF187" s="39">
        <f>IF(N('Dvd Calendar'!$AF$1858)=0,"",IF(('Dvd Calendar'!$AF$1858&gt;=GRID_FROM)*('Dvd Calendar'!$AF$1858&lt;=GRID_TO)*((('Dvd Calendar'!$AF$1858&lt;=VAL_DATE)+(COUNTIF('Dvd Calendar'!$E$1865:$AR$1865,'Dvd Calendar'!$AF$1858)=0))&gt;0)=0,"",'Dvd Calendar'!$AF$1858*1000000000+ISNUMBER('Dvd Calendar'!$AF$1861)*100000000+('Dvd Calendar'!$AF$1863=SPECIAL_LBL)*10000000+(N('Dvd Calendar'!$AF$1857)&gt;0)*(N('Dvd Calendar'!$AF$1857)&lt;=VAL_SERIAL)*1000000+28*1000+28))</f>
        <v/>
      </c>
      <c r="FG187" s="39">
        <f>IF(N('Dvd Calendar'!$AG$1858)=0,"",IF(('Dvd Calendar'!$AG$1858&gt;=GRID_FROM)*('Dvd Calendar'!$AG$1858&lt;=GRID_TO)*((('Dvd Calendar'!$AG$1858&lt;=VAL_DATE)+(COUNTIF('Dvd Calendar'!$E$1865:$AR$1865,'Dvd Calendar'!$AG$1858)=0))&gt;0)=0,"",'Dvd Calendar'!$AG$1858*1000000000+ISNUMBER('Dvd Calendar'!$AG$1861)*100000000+('Dvd Calendar'!$AG$1863=SPECIAL_LBL)*10000000+(N('Dvd Calendar'!$AG$1857)&gt;0)*(N('Dvd Calendar'!$AG$1857)&lt;=VAL_SERIAL)*1000000+28*1000+29))</f>
        <v/>
      </c>
      <c r="FH187" s="39">
        <f>IF(N('Dvd Calendar'!$AH$1858)=0,"",IF(('Dvd Calendar'!$AH$1858&gt;=GRID_FROM)*('Dvd Calendar'!$AH$1858&lt;=GRID_TO)*((('Dvd Calendar'!$AH$1858&lt;=VAL_DATE)+(COUNTIF('Dvd Calendar'!$E$1865:$AR$1865,'Dvd Calendar'!$AH$1858)=0))&gt;0)=0,"",'Dvd Calendar'!$AH$1858*1000000000+ISNUMBER('Dvd Calendar'!$AH$1861)*100000000+('Dvd Calendar'!$AH$1863=SPECIAL_LBL)*10000000+(N('Dvd Calendar'!$AH$1857)&gt;0)*(N('Dvd Calendar'!$AH$1857)&lt;=VAL_SERIAL)*1000000+28*1000+30))</f>
        <v/>
      </c>
      <c r="FI187" s="39">
        <f>IF(N('Dvd Calendar'!$AI$1858)=0,"",IF(('Dvd Calendar'!$AI$1858&gt;=GRID_FROM)*('Dvd Calendar'!$AI$1858&lt;=GRID_TO)*((('Dvd Calendar'!$AI$1858&lt;=VAL_DATE)+(COUNTIF('Dvd Calendar'!$E$1865:$AR$1865,'Dvd Calendar'!$AI$1858)=0))&gt;0)=0,"",'Dvd Calendar'!$AI$1858*1000000000+ISNUMBER('Dvd Calendar'!$AI$1861)*100000000+('Dvd Calendar'!$AI$1863=SPECIAL_LBL)*10000000+(N('Dvd Calendar'!$AI$1857)&gt;0)*(N('Dvd Calendar'!$AI$1857)&lt;=VAL_SERIAL)*1000000+28*1000+31))</f>
        <v/>
      </c>
      <c r="FJ187" s="39">
        <f>IF(N('Dvd Calendar'!$AJ$1858)=0,"",IF(('Dvd Calendar'!$AJ$1858&gt;=GRID_FROM)*('Dvd Calendar'!$AJ$1858&lt;=GRID_TO)*((('Dvd Calendar'!$AJ$1858&lt;=VAL_DATE)+(COUNTIF('Dvd Calendar'!$E$1865:$AR$1865,'Dvd Calendar'!$AJ$1858)=0))&gt;0)=0,"",'Dvd Calendar'!$AJ$1858*1000000000+ISNUMBER('Dvd Calendar'!$AJ$1861)*100000000+('Dvd Calendar'!$AJ$1863=SPECIAL_LBL)*10000000+(N('Dvd Calendar'!$AJ$1857)&gt;0)*(N('Dvd Calendar'!$AJ$1857)&lt;=VAL_SERIAL)*1000000+28*1000+32))</f>
        <v/>
      </c>
      <c r="FK187" s="39">
        <f>IF(N('Dvd Calendar'!$AK$1858)=0,"",IF(('Dvd Calendar'!$AK$1858&gt;=GRID_FROM)*('Dvd Calendar'!$AK$1858&lt;=GRID_TO)*((('Dvd Calendar'!$AK$1858&lt;=VAL_DATE)+(COUNTIF('Dvd Calendar'!$E$1865:$AR$1865,'Dvd Calendar'!$AK$1858)=0))&gt;0)=0,"",'Dvd Calendar'!$AK$1858*1000000000+ISNUMBER('Dvd Calendar'!$AK$1861)*100000000+('Dvd Calendar'!$AK$1863=SPECIAL_LBL)*10000000+(N('Dvd Calendar'!$AK$1857)&gt;0)*(N('Dvd Calendar'!$AK$1857)&lt;=VAL_SERIAL)*1000000+28*1000+33))</f>
        <v/>
      </c>
      <c r="FL187" s="39">
        <f>IF(N('Dvd Calendar'!$AL$1858)=0,"",IF(('Dvd Calendar'!$AL$1858&gt;=GRID_FROM)*('Dvd Calendar'!$AL$1858&lt;=GRID_TO)*((('Dvd Calendar'!$AL$1858&lt;=VAL_DATE)+(COUNTIF('Dvd Calendar'!$E$1865:$AR$1865,'Dvd Calendar'!$AL$1858)=0))&gt;0)=0,"",'Dvd Calendar'!$AL$1858*1000000000+ISNUMBER('Dvd Calendar'!$AL$1861)*100000000+('Dvd Calendar'!$AL$1863=SPECIAL_LBL)*10000000+(N('Dvd Calendar'!$AL$1857)&gt;0)*(N('Dvd Calendar'!$AL$1857)&lt;=VAL_SERIAL)*1000000+28*1000+34))</f>
        <v/>
      </c>
      <c r="FM187" s="39">
        <f>IF(N('Dvd Calendar'!$AM$1858)=0,"",IF(('Dvd Calendar'!$AM$1858&gt;=GRID_FROM)*('Dvd Calendar'!$AM$1858&lt;=GRID_TO)*((('Dvd Calendar'!$AM$1858&lt;=VAL_DATE)+(COUNTIF('Dvd Calendar'!$E$1865:$AR$1865,'Dvd Calendar'!$AM$1858)=0))&gt;0)=0,"",'Dvd Calendar'!$AM$1858*1000000000+ISNUMBER('Dvd Calendar'!$AM$1861)*100000000+('Dvd Calendar'!$AM$1863=SPECIAL_LBL)*10000000+(N('Dvd Calendar'!$AM$1857)&gt;0)*(N('Dvd Calendar'!$AM$1857)&lt;=VAL_SERIAL)*1000000+28*1000+35))</f>
        <v/>
      </c>
      <c r="FN187" s="39">
        <f>IF(N('Dvd Calendar'!$AN$1858)=0,"",IF(('Dvd Calendar'!$AN$1858&gt;=GRID_FROM)*('Dvd Calendar'!$AN$1858&lt;=GRID_TO)*((('Dvd Calendar'!$AN$1858&lt;=VAL_DATE)+(COUNTIF('Dvd Calendar'!$E$1865:$AR$1865,'Dvd Calendar'!$AN$1858)=0))&gt;0)=0,"",'Dvd Calendar'!$AN$1858*1000000000+ISNUMBER('Dvd Calendar'!$AN$1861)*100000000+('Dvd Calendar'!$AN$1863=SPECIAL_LBL)*10000000+(N('Dvd Calendar'!$AN$1857)&gt;0)*(N('Dvd Calendar'!$AN$1857)&lt;=VAL_SERIAL)*1000000+28*1000+36))</f>
        <v/>
      </c>
      <c r="FO187" s="39">
        <f>IF(N('Dvd Calendar'!$AO$1858)=0,"",IF(('Dvd Calendar'!$AO$1858&gt;=GRID_FROM)*('Dvd Calendar'!$AO$1858&lt;=GRID_TO)*((('Dvd Calendar'!$AO$1858&lt;=VAL_DATE)+(COUNTIF('Dvd Calendar'!$E$1865:$AR$1865,'Dvd Calendar'!$AO$1858)=0))&gt;0)=0,"",'Dvd Calendar'!$AO$1858*1000000000+ISNUMBER('Dvd Calendar'!$AO$1861)*100000000+('Dvd Calendar'!$AO$1863=SPECIAL_LBL)*10000000+(N('Dvd Calendar'!$AO$1857)&gt;0)*(N('Dvd Calendar'!$AO$1857)&lt;=VAL_SERIAL)*1000000+28*1000+37))</f>
        <v/>
      </c>
      <c r="FP187" s="39">
        <f>IF(N('Dvd Calendar'!$AP$1858)=0,"",IF(('Dvd Calendar'!$AP$1858&gt;=GRID_FROM)*('Dvd Calendar'!$AP$1858&lt;=GRID_TO)*((('Dvd Calendar'!$AP$1858&lt;=VAL_DATE)+(COUNTIF('Dvd Calendar'!$E$1865:$AR$1865,'Dvd Calendar'!$AP$1858)=0))&gt;0)=0,"",'Dvd Calendar'!$AP$1858*1000000000+ISNUMBER('Dvd Calendar'!$AP$1861)*100000000+('Dvd Calendar'!$AP$1863=SPECIAL_LBL)*10000000+(N('Dvd Calendar'!$AP$1857)&gt;0)*(N('Dvd Calendar'!$AP$1857)&lt;=VAL_SERIAL)*1000000+28*1000+38))</f>
        <v/>
      </c>
      <c r="FQ187" s="39">
        <f>IF(N('Dvd Calendar'!$AQ$1858)=0,"",IF(('Dvd Calendar'!$AQ$1858&gt;=GRID_FROM)*('Dvd Calendar'!$AQ$1858&lt;=GRID_TO)*((('Dvd Calendar'!$AQ$1858&lt;=VAL_DATE)+(COUNTIF('Dvd Calendar'!$E$1865:$AR$1865,'Dvd Calendar'!$AQ$1858)=0))&gt;0)=0,"",'Dvd Calendar'!$AQ$1858*1000000000+ISNUMBER('Dvd Calendar'!$AQ$1861)*100000000+('Dvd Calendar'!$AQ$1863=SPECIAL_LBL)*10000000+(N('Dvd Calendar'!$AQ$1857)&gt;0)*(N('Dvd Calendar'!$AQ$1857)&lt;=VAL_SERIAL)*1000000+28*1000+39))</f>
        <v/>
      </c>
      <c r="FR187" s="39">
        <f>IF(N('Dvd Calendar'!$AR$1858)=0,"",IF(('Dvd Calendar'!$AR$1858&gt;=GRID_FROM)*('Dvd Calendar'!$AR$1858&lt;=GRID_TO)*((('Dvd Calendar'!$AR$1858&lt;=VAL_DATE)+(COUNTIF('Dvd Calendar'!$E$1865:$AR$1865,'Dvd Calendar'!$AR$1858)=0))&gt;0)=0,"",'Dvd Calendar'!$AR$1858*1000000000+ISNUMBER('Dvd Calendar'!$AR$1861)*100000000+('Dvd Calendar'!$AR$1863=SPECIAL_LBL)*10000000+(N('Dvd Calendar'!$AR$1857)&gt;0)*(N('Dvd Calendar'!$AR$1857)&lt;=VAL_SERIAL)*1000000+28*1000+40))</f>
        <v/>
      </c>
      <c r="FS187" s="39">
        <f>IF(N('Dvd Calendar'!$E$1865)=0,"",IF(('Dvd Calendar'!$E$1865&gt;=GRID_FROM)*('Dvd Calendar'!$E$1865&lt;=GRID_TO)*('Dvd Calendar'!$E$1865&gt;VAL_DATE)=0,"",'Dvd Calendar'!$E$1865*1000000000+ISNUMBER('Dvd Calendar'!$E$1866)*100000000+0*10000000+(N('Dvd Calendar'!$E$1864)&gt;0)*(N('Dvd Calendar'!$E$1864)&lt;=VAL_SERIAL)*1000000+28*1000+41))</f>
        <v/>
      </c>
      <c r="FT187" s="39">
        <f>IF(N('Dvd Calendar'!$F$1865)=0,"",IF(('Dvd Calendar'!$F$1865&gt;=GRID_FROM)*('Dvd Calendar'!$F$1865&lt;=GRID_TO)*('Dvd Calendar'!$F$1865&gt;VAL_DATE)=0,"",'Dvd Calendar'!$F$1865*1000000000+ISNUMBER('Dvd Calendar'!$F$1866)*100000000+0*10000000+(N('Dvd Calendar'!$F$1864)&gt;0)*(N('Dvd Calendar'!$F$1864)&lt;=VAL_SERIAL)*1000000+28*1000+42))</f>
        <v/>
      </c>
      <c r="FU187" s="39">
        <f>IF(N('Dvd Calendar'!$G$1865)=0,"",IF(('Dvd Calendar'!$G$1865&gt;=GRID_FROM)*('Dvd Calendar'!$G$1865&lt;=GRID_TO)*('Dvd Calendar'!$G$1865&gt;VAL_DATE)=0,"",'Dvd Calendar'!$G$1865*1000000000+ISNUMBER('Dvd Calendar'!$G$1866)*100000000+0*10000000+(N('Dvd Calendar'!$G$1864)&gt;0)*(N('Dvd Calendar'!$G$1864)&lt;=VAL_SERIAL)*1000000+28*1000+43))</f>
        <v/>
      </c>
      <c r="FV187" s="39">
        <f>IF(N('Dvd Calendar'!$H$1865)=0,"",IF(('Dvd Calendar'!$H$1865&gt;=GRID_FROM)*('Dvd Calendar'!$H$1865&lt;=GRID_TO)*('Dvd Calendar'!$H$1865&gt;VAL_DATE)=0,"",'Dvd Calendar'!$H$1865*1000000000+ISNUMBER('Dvd Calendar'!$H$1866)*100000000+0*10000000+(N('Dvd Calendar'!$H$1864)&gt;0)*(N('Dvd Calendar'!$H$1864)&lt;=VAL_SERIAL)*1000000+28*1000+44))</f>
        <v/>
      </c>
      <c r="FW187" s="39">
        <f>IF(N('Dvd Calendar'!$I$1865)=0,"",IF(('Dvd Calendar'!$I$1865&gt;=GRID_FROM)*('Dvd Calendar'!$I$1865&lt;=GRID_TO)*('Dvd Calendar'!$I$1865&gt;VAL_DATE)=0,"",'Dvd Calendar'!$I$1865*1000000000+ISNUMBER('Dvd Calendar'!$I$1866)*100000000+0*10000000+(N('Dvd Calendar'!$I$1864)&gt;0)*(N('Dvd Calendar'!$I$1864)&lt;=VAL_SERIAL)*1000000+28*1000+45))</f>
        <v/>
      </c>
      <c r="FX187" s="39">
        <f>IF(N('Dvd Calendar'!$J$1865)=0,"",IF(('Dvd Calendar'!$J$1865&gt;=GRID_FROM)*('Dvd Calendar'!$J$1865&lt;=GRID_TO)*('Dvd Calendar'!$J$1865&gt;VAL_DATE)=0,"",'Dvd Calendar'!$J$1865*1000000000+ISNUMBER('Dvd Calendar'!$J$1866)*100000000+0*10000000+(N('Dvd Calendar'!$J$1864)&gt;0)*(N('Dvd Calendar'!$J$1864)&lt;=VAL_SERIAL)*1000000+28*1000+46))</f>
        <v/>
      </c>
      <c r="FY187" s="39">
        <f>IF(N('Dvd Calendar'!$K$1865)=0,"",IF(('Dvd Calendar'!$K$1865&gt;=GRID_FROM)*('Dvd Calendar'!$K$1865&lt;=GRID_TO)*('Dvd Calendar'!$K$1865&gt;VAL_DATE)=0,"",'Dvd Calendar'!$K$1865*1000000000+ISNUMBER('Dvd Calendar'!$K$1866)*100000000+0*10000000+(N('Dvd Calendar'!$K$1864)&gt;0)*(N('Dvd Calendar'!$K$1864)&lt;=VAL_SERIAL)*1000000+28*1000+47))</f>
        <v/>
      </c>
      <c r="FZ187" s="39">
        <f>IF(N('Dvd Calendar'!$L$1865)=0,"",IF(('Dvd Calendar'!$L$1865&gt;=GRID_FROM)*('Dvd Calendar'!$L$1865&lt;=GRID_TO)*('Dvd Calendar'!$L$1865&gt;VAL_DATE)=0,"",'Dvd Calendar'!$L$1865*1000000000+ISNUMBER('Dvd Calendar'!$L$1866)*100000000+0*10000000+(N('Dvd Calendar'!$L$1864)&gt;0)*(N('Dvd Calendar'!$L$1864)&lt;=VAL_SERIAL)*1000000+28*1000+48))</f>
        <v/>
      </c>
      <c r="GA187" s="39">
        <f>IF(N('Dvd Calendar'!$M$1865)=0,"",IF(('Dvd Calendar'!$M$1865&gt;=GRID_FROM)*('Dvd Calendar'!$M$1865&lt;=GRID_TO)*('Dvd Calendar'!$M$1865&gt;VAL_DATE)=0,"",'Dvd Calendar'!$M$1865*1000000000+ISNUMBER('Dvd Calendar'!$M$1866)*100000000+0*10000000+(N('Dvd Calendar'!$M$1864)&gt;0)*(N('Dvd Calendar'!$M$1864)&lt;=VAL_SERIAL)*1000000+28*1000+49))</f>
        <v/>
      </c>
      <c r="GB187" s="39">
        <f>IF(N('Dvd Calendar'!$N$1865)=0,"",IF(('Dvd Calendar'!$N$1865&gt;=GRID_FROM)*('Dvd Calendar'!$N$1865&lt;=GRID_TO)*('Dvd Calendar'!$N$1865&gt;VAL_DATE)=0,"",'Dvd Calendar'!$N$1865*1000000000+ISNUMBER('Dvd Calendar'!$N$1866)*100000000+0*10000000+(N('Dvd Calendar'!$N$1864)&gt;0)*(N('Dvd Calendar'!$N$1864)&lt;=VAL_SERIAL)*1000000+28*1000+50))</f>
        <v/>
      </c>
      <c r="GC187" s="39">
        <f>IF(N('Dvd Calendar'!$O$1865)=0,"",IF(('Dvd Calendar'!$O$1865&gt;=GRID_FROM)*('Dvd Calendar'!$O$1865&lt;=GRID_TO)*('Dvd Calendar'!$O$1865&gt;VAL_DATE)=0,"",'Dvd Calendar'!$O$1865*1000000000+ISNUMBER('Dvd Calendar'!$O$1866)*100000000+0*10000000+(N('Dvd Calendar'!$O$1864)&gt;0)*(N('Dvd Calendar'!$O$1864)&lt;=VAL_SERIAL)*1000000+28*1000+51))</f>
        <v/>
      </c>
      <c r="GD187" s="39">
        <f>IF(N('Dvd Calendar'!$P$1865)=0,"",IF(('Dvd Calendar'!$P$1865&gt;=GRID_FROM)*('Dvd Calendar'!$P$1865&lt;=GRID_TO)*('Dvd Calendar'!$P$1865&gt;VAL_DATE)=0,"",'Dvd Calendar'!$P$1865*1000000000+ISNUMBER('Dvd Calendar'!$P$1866)*100000000+0*10000000+(N('Dvd Calendar'!$P$1864)&gt;0)*(N('Dvd Calendar'!$P$1864)&lt;=VAL_SERIAL)*1000000+28*1000+52))</f>
        <v/>
      </c>
      <c r="GE187" s="39">
        <f>IF(N('Dvd Calendar'!$Q$1865)=0,"",IF(('Dvd Calendar'!$Q$1865&gt;=GRID_FROM)*('Dvd Calendar'!$Q$1865&lt;=GRID_TO)*('Dvd Calendar'!$Q$1865&gt;VAL_DATE)=0,"",'Dvd Calendar'!$Q$1865*1000000000+ISNUMBER('Dvd Calendar'!$Q$1866)*100000000+0*10000000+(N('Dvd Calendar'!$Q$1864)&gt;0)*(N('Dvd Calendar'!$Q$1864)&lt;=VAL_SERIAL)*1000000+28*1000+53))</f>
        <v/>
      </c>
      <c r="GF187" s="39">
        <f>IF(N('Dvd Calendar'!$R$1865)=0,"",IF(('Dvd Calendar'!$R$1865&gt;=GRID_FROM)*('Dvd Calendar'!$R$1865&lt;=GRID_TO)*('Dvd Calendar'!$R$1865&gt;VAL_DATE)=0,"",'Dvd Calendar'!$R$1865*1000000000+ISNUMBER('Dvd Calendar'!$R$1866)*100000000+0*10000000+(N('Dvd Calendar'!$R$1864)&gt;0)*(N('Dvd Calendar'!$R$1864)&lt;=VAL_SERIAL)*1000000+28*1000+54))</f>
        <v/>
      </c>
      <c r="GG187" s="39">
        <f>IF(N('Dvd Calendar'!$S$1865)=0,"",IF(('Dvd Calendar'!$S$1865&gt;=GRID_FROM)*('Dvd Calendar'!$S$1865&lt;=GRID_TO)*('Dvd Calendar'!$S$1865&gt;VAL_DATE)=0,"",'Dvd Calendar'!$S$1865*1000000000+ISNUMBER('Dvd Calendar'!$S$1866)*100000000+0*10000000+(N('Dvd Calendar'!$S$1864)&gt;0)*(N('Dvd Calendar'!$S$1864)&lt;=VAL_SERIAL)*1000000+28*1000+55))</f>
        <v/>
      </c>
      <c r="GH187" s="39">
        <f>IF(N('Dvd Calendar'!$T$1865)=0,"",IF(('Dvd Calendar'!$T$1865&gt;=GRID_FROM)*('Dvd Calendar'!$T$1865&lt;=GRID_TO)*('Dvd Calendar'!$T$1865&gt;VAL_DATE)=0,"",'Dvd Calendar'!$T$1865*1000000000+ISNUMBER('Dvd Calendar'!$T$1866)*100000000+0*10000000+(N('Dvd Calendar'!$T$1864)&gt;0)*(N('Dvd Calendar'!$T$1864)&lt;=VAL_SERIAL)*1000000+28*1000+56))</f>
        <v/>
      </c>
      <c r="GI187" s="39">
        <f>IF(N('Dvd Calendar'!$U$1865)=0,"",IF(('Dvd Calendar'!$U$1865&gt;=GRID_FROM)*('Dvd Calendar'!$U$1865&lt;=GRID_TO)*('Dvd Calendar'!$U$1865&gt;VAL_DATE)=0,"",'Dvd Calendar'!$U$1865*1000000000+ISNUMBER('Dvd Calendar'!$U$1866)*100000000+0*10000000+(N('Dvd Calendar'!$U$1864)&gt;0)*(N('Dvd Calendar'!$U$1864)&lt;=VAL_SERIAL)*1000000+28*1000+57))</f>
        <v/>
      </c>
      <c r="GJ187" s="39">
        <f>IF(N('Dvd Calendar'!$V$1865)=0,"",IF(('Dvd Calendar'!$V$1865&gt;=GRID_FROM)*('Dvd Calendar'!$V$1865&lt;=GRID_TO)*('Dvd Calendar'!$V$1865&gt;VAL_DATE)=0,"",'Dvd Calendar'!$V$1865*1000000000+ISNUMBER('Dvd Calendar'!$V$1866)*100000000+0*10000000+(N('Dvd Calendar'!$V$1864)&gt;0)*(N('Dvd Calendar'!$V$1864)&lt;=VAL_SERIAL)*1000000+28*1000+58))</f>
        <v/>
      </c>
      <c r="GK187" s="39">
        <f>IF(N('Dvd Calendar'!$W$1865)=0,"",IF(('Dvd Calendar'!$W$1865&gt;=GRID_FROM)*('Dvd Calendar'!$W$1865&lt;=GRID_TO)*('Dvd Calendar'!$W$1865&gt;VAL_DATE)=0,"",'Dvd Calendar'!$W$1865*1000000000+ISNUMBER('Dvd Calendar'!$W$1866)*100000000+0*10000000+(N('Dvd Calendar'!$W$1864)&gt;0)*(N('Dvd Calendar'!$W$1864)&lt;=VAL_SERIAL)*1000000+28*1000+59))</f>
        <v/>
      </c>
      <c r="GL187" s="39">
        <f>IF(N('Dvd Calendar'!$X$1865)=0,"",IF(('Dvd Calendar'!$X$1865&gt;=GRID_FROM)*('Dvd Calendar'!$X$1865&lt;=GRID_TO)*('Dvd Calendar'!$X$1865&gt;VAL_DATE)=0,"",'Dvd Calendar'!$X$1865*1000000000+ISNUMBER('Dvd Calendar'!$X$1866)*100000000+0*10000000+(N('Dvd Calendar'!$X$1864)&gt;0)*(N('Dvd Calendar'!$X$1864)&lt;=VAL_SERIAL)*1000000+28*1000+60))</f>
        <v/>
      </c>
      <c r="GM187" s="39">
        <f>IF(N('Dvd Calendar'!$Y$1865)=0,"",IF(('Dvd Calendar'!$Y$1865&gt;=GRID_FROM)*('Dvd Calendar'!$Y$1865&lt;=GRID_TO)*('Dvd Calendar'!$Y$1865&gt;VAL_DATE)=0,"",'Dvd Calendar'!$Y$1865*1000000000+ISNUMBER('Dvd Calendar'!$Y$1866)*100000000+0*10000000+(N('Dvd Calendar'!$Y$1864)&gt;0)*(N('Dvd Calendar'!$Y$1864)&lt;=VAL_SERIAL)*1000000+28*1000+61))</f>
        <v/>
      </c>
      <c r="GN187" s="39">
        <f>IF(N('Dvd Calendar'!$Z$1865)=0,"",IF(('Dvd Calendar'!$Z$1865&gt;=GRID_FROM)*('Dvd Calendar'!$Z$1865&lt;=GRID_TO)*('Dvd Calendar'!$Z$1865&gt;VAL_DATE)=0,"",'Dvd Calendar'!$Z$1865*1000000000+ISNUMBER('Dvd Calendar'!$Z$1866)*100000000+0*10000000+(N('Dvd Calendar'!$Z$1864)&gt;0)*(N('Dvd Calendar'!$Z$1864)&lt;=VAL_SERIAL)*1000000+28*1000+62))</f>
        <v/>
      </c>
      <c r="GO187" s="39">
        <f>IF(N('Dvd Calendar'!$AA$1865)=0,"",IF(('Dvd Calendar'!$AA$1865&gt;=GRID_FROM)*('Dvd Calendar'!$AA$1865&lt;=GRID_TO)*('Dvd Calendar'!$AA$1865&gt;VAL_DATE)=0,"",'Dvd Calendar'!$AA$1865*1000000000+ISNUMBER('Dvd Calendar'!$AA$1866)*100000000+0*10000000+(N('Dvd Calendar'!$AA$1864)&gt;0)*(N('Dvd Calendar'!$AA$1864)&lt;=VAL_SERIAL)*1000000+28*1000+63))</f>
        <v/>
      </c>
      <c r="GP187" s="39">
        <f>IF(N('Dvd Calendar'!$AB$1865)=0,"",IF(('Dvd Calendar'!$AB$1865&gt;=GRID_FROM)*('Dvd Calendar'!$AB$1865&lt;=GRID_TO)*('Dvd Calendar'!$AB$1865&gt;VAL_DATE)=0,"",'Dvd Calendar'!$AB$1865*1000000000+ISNUMBER('Dvd Calendar'!$AB$1866)*100000000+0*10000000+(N('Dvd Calendar'!$AB$1864)&gt;0)*(N('Dvd Calendar'!$AB$1864)&lt;=VAL_SERIAL)*1000000+28*1000+64))</f>
        <v/>
      </c>
      <c r="GQ187" s="39">
        <f>IF(N('Dvd Calendar'!$AC$1865)=0,"",IF(('Dvd Calendar'!$AC$1865&gt;=GRID_FROM)*('Dvd Calendar'!$AC$1865&lt;=GRID_TO)*('Dvd Calendar'!$AC$1865&gt;VAL_DATE)=0,"",'Dvd Calendar'!$AC$1865*1000000000+ISNUMBER('Dvd Calendar'!$AC$1866)*100000000+0*10000000+(N('Dvd Calendar'!$AC$1864)&gt;0)*(N('Dvd Calendar'!$AC$1864)&lt;=VAL_SERIAL)*1000000+28*1000+65))</f>
        <v/>
      </c>
    </row>
    <row r="188">
      <c r="B188" s="2">
        <f>IF(HSCEI!$C$35="","",HSCEI!$C$35)</f>
        <v/>
      </c>
      <c r="C188" s="110">
        <f>IF(EE188="","",IF(ISNUMBER('Dvd Calendar'!$E$1872)=FALSE,"",IF((('Dvd Calendar'!$E$1874=TYPE1)*(TYPE1&lt;&gt;"")+('Dvd Calendar'!$E$1874=TYPE2)*(TYPE2&lt;&gt;"")+('Dvd Calendar'!$E$1874=TYPE3)*(TYPE3&lt;&gt;"")+('Dvd Calendar'!$E$1874=TYPE4)*(TYPE4&lt;&gt;"")+('Dvd Calendar'!$E$1874=SPECIAL_LBL)*(INC_SPECIALS="Y"))=0,"",'Dvd Calendar'!$E$1872)))</f>
        <v/>
      </c>
      <c r="D188" s="110">
        <f>IF(EF188="","",IF(ISNUMBER('Dvd Calendar'!$F$1872)=FALSE,"",IF((('Dvd Calendar'!$F$1874=TYPE1)*(TYPE1&lt;&gt;"")+('Dvd Calendar'!$F$1874=TYPE2)*(TYPE2&lt;&gt;"")+('Dvd Calendar'!$F$1874=TYPE3)*(TYPE3&lt;&gt;"")+('Dvd Calendar'!$F$1874=TYPE4)*(TYPE4&lt;&gt;"")+('Dvd Calendar'!$F$1874=SPECIAL_LBL)*(INC_SPECIALS="Y"))=0,"",'Dvd Calendar'!$F$1872)))</f>
        <v/>
      </c>
      <c r="E188" s="110">
        <f>IF(EG188="","",IF(ISNUMBER('Dvd Calendar'!$G$1872)=FALSE,"",IF((('Dvd Calendar'!$G$1874=TYPE1)*(TYPE1&lt;&gt;"")+('Dvd Calendar'!$G$1874=TYPE2)*(TYPE2&lt;&gt;"")+('Dvd Calendar'!$G$1874=TYPE3)*(TYPE3&lt;&gt;"")+('Dvd Calendar'!$G$1874=TYPE4)*(TYPE4&lt;&gt;"")+('Dvd Calendar'!$G$1874=SPECIAL_LBL)*(INC_SPECIALS="Y"))=0,"",'Dvd Calendar'!$G$1872)))</f>
        <v/>
      </c>
      <c r="F188" s="110">
        <f>IF(EH188="","",IF(ISNUMBER('Dvd Calendar'!$H$1872)=FALSE,"",IF((('Dvd Calendar'!$H$1874=TYPE1)*(TYPE1&lt;&gt;"")+('Dvd Calendar'!$H$1874=TYPE2)*(TYPE2&lt;&gt;"")+('Dvd Calendar'!$H$1874=TYPE3)*(TYPE3&lt;&gt;"")+('Dvd Calendar'!$H$1874=TYPE4)*(TYPE4&lt;&gt;"")+('Dvd Calendar'!$H$1874=SPECIAL_LBL)*(INC_SPECIALS="Y"))=0,"",'Dvd Calendar'!$H$1872)))</f>
        <v/>
      </c>
      <c r="G188" s="110">
        <f>IF(EI188="","",IF(ISNUMBER('Dvd Calendar'!$I$1872)=FALSE,"",IF((('Dvd Calendar'!$I$1874=TYPE1)*(TYPE1&lt;&gt;"")+('Dvd Calendar'!$I$1874=TYPE2)*(TYPE2&lt;&gt;"")+('Dvd Calendar'!$I$1874=TYPE3)*(TYPE3&lt;&gt;"")+('Dvd Calendar'!$I$1874=TYPE4)*(TYPE4&lt;&gt;"")+('Dvd Calendar'!$I$1874=SPECIAL_LBL)*(INC_SPECIALS="Y"))=0,"",'Dvd Calendar'!$I$1872)))</f>
        <v/>
      </c>
      <c r="H188" s="110">
        <f>IF(EJ188="","",IF(ISNUMBER('Dvd Calendar'!$J$1872)=FALSE,"",IF((('Dvd Calendar'!$J$1874=TYPE1)*(TYPE1&lt;&gt;"")+('Dvd Calendar'!$J$1874=TYPE2)*(TYPE2&lt;&gt;"")+('Dvd Calendar'!$J$1874=TYPE3)*(TYPE3&lt;&gt;"")+('Dvd Calendar'!$J$1874=TYPE4)*(TYPE4&lt;&gt;"")+('Dvd Calendar'!$J$1874=SPECIAL_LBL)*(INC_SPECIALS="Y"))=0,"",'Dvd Calendar'!$J$1872)))</f>
        <v/>
      </c>
      <c r="I188" s="110">
        <f>IF(EK188="","",IF(ISNUMBER('Dvd Calendar'!$K$1872)=FALSE,"",IF((('Dvd Calendar'!$K$1874=TYPE1)*(TYPE1&lt;&gt;"")+('Dvd Calendar'!$K$1874=TYPE2)*(TYPE2&lt;&gt;"")+('Dvd Calendar'!$K$1874=TYPE3)*(TYPE3&lt;&gt;"")+('Dvd Calendar'!$K$1874=TYPE4)*(TYPE4&lt;&gt;"")+('Dvd Calendar'!$K$1874=SPECIAL_LBL)*(INC_SPECIALS="Y"))=0,"",'Dvd Calendar'!$K$1872)))</f>
        <v/>
      </c>
      <c r="J188" s="110">
        <f>IF(EL188="","",IF(ISNUMBER('Dvd Calendar'!$L$1872)=FALSE,"",IF((('Dvd Calendar'!$L$1874=TYPE1)*(TYPE1&lt;&gt;"")+('Dvd Calendar'!$L$1874=TYPE2)*(TYPE2&lt;&gt;"")+('Dvd Calendar'!$L$1874=TYPE3)*(TYPE3&lt;&gt;"")+('Dvd Calendar'!$L$1874=TYPE4)*(TYPE4&lt;&gt;"")+('Dvd Calendar'!$L$1874=SPECIAL_LBL)*(INC_SPECIALS="Y"))=0,"",'Dvd Calendar'!$L$1872)))</f>
        <v/>
      </c>
      <c r="K188" s="110">
        <f>IF(EM188="","",IF(ISNUMBER('Dvd Calendar'!$M$1872)=FALSE,"",IF((('Dvd Calendar'!$M$1874=TYPE1)*(TYPE1&lt;&gt;"")+('Dvd Calendar'!$M$1874=TYPE2)*(TYPE2&lt;&gt;"")+('Dvd Calendar'!$M$1874=TYPE3)*(TYPE3&lt;&gt;"")+('Dvd Calendar'!$M$1874=TYPE4)*(TYPE4&lt;&gt;"")+('Dvd Calendar'!$M$1874=SPECIAL_LBL)*(INC_SPECIALS="Y"))=0,"",'Dvd Calendar'!$M$1872)))</f>
        <v/>
      </c>
      <c r="L188" s="110">
        <f>IF(EN188="","",IF(ISNUMBER('Dvd Calendar'!$N$1872)=FALSE,"",IF((('Dvd Calendar'!$N$1874=TYPE1)*(TYPE1&lt;&gt;"")+('Dvd Calendar'!$N$1874=TYPE2)*(TYPE2&lt;&gt;"")+('Dvd Calendar'!$N$1874=TYPE3)*(TYPE3&lt;&gt;"")+('Dvd Calendar'!$N$1874=TYPE4)*(TYPE4&lt;&gt;"")+('Dvd Calendar'!$N$1874=SPECIAL_LBL)*(INC_SPECIALS="Y"))=0,"",'Dvd Calendar'!$N$1872)))</f>
        <v/>
      </c>
      <c r="M188" s="110">
        <f>IF(EO188="","",IF(ISNUMBER('Dvd Calendar'!$O$1872)=FALSE,"",IF((('Dvd Calendar'!$O$1874=TYPE1)*(TYPE1&lt;&gt;"")+('Dvd Calendar'!$O$1874=TYPE2)*(TYPE2&lt;&gt;"")+('Dvd Calendar'!$O$1874=TYPE3)*(TYPE3&lt;&gt;"")+('Dvd Calendar'!$O$1874=TYPE4)*(TYPE4&lt;&gt;"")+('Dvd Calendar'!$O$1874=SPECIAL_LBL)*(INC_SPECIALS="Y"))=0,"",'Dvd Calendar'!$O$1872)))</f>
        <v/>
      </c>
      <c r="N188" s="110">
        <f>IF(EP188="","",IF(ISNUMBER('Dvd Calendar'!$P$1872)=FALSE,"",IF((('Dvd Calendar'!$P$1874=TYPE1)*(TYPE1&lt;&gt;"")+('Dvd Calendar'!$P$1874=TYPE2)*(TYPE2&lt;&gt;"")+('Dvd Calendar'!$P$1874=TYPE3)*(TYPE3&lt;&gt;"")+('Dvd Calendar'!$P$1874=TYPE4)*(TYPE4&lt;&gt;"")+('Dvd Calendar'!$P$1874=SPECIAL_LBL)*(INC_SPECIALS="Y"))=0,"",'Dvd Calendar'!$P$1872)))</f>
        <v/>
      </c>
      <c r="O188" s="110">
        <f>IF(EQ188="","",IF(ISNUMBER('Dvd Calendar'!$Q$1872)=FALSE,"",IF((('Dvd Calendar'!$Q$1874=TYPE1)*(TYPE1&lt;&gt;"")+('Dvd Calendar'!$Q$1874=TYPE2)*(TYPE2&lt;&gt;"")+('Dvd Calendar'!$Q$1874=TYPE3)*(TYPE3&lt;&gt;"")+('Dvd Calendar'!$Q$1874=TYPE4)*(TYPE4&lt;&gt;"")+('Dvd Calendar'!$Q$1874=SPECIAL_LBL)*(INC_SPECIALS="Y"))=0,"",'Dvd Calendar'!$Q$1872)))</f>
        <v/>
      </c>
      <c r="P188" s="110">
        <f>IF(ER188="","",IF(ISNUMBER('Dvd Calendar'!$R$1872)=FALSE,"",IF((('Dvd Calendar'!$R$1874=TYPE1)*(TYPE1&lt;&gt;"")+('Dvd Calendar'!$R$1874=TYPE2)*(TYPE2&lt;&gt;"")+('Dvd Calendar'!$R$1874=TYPE3)*(TYPE3&lt;&gt;"")+('Dvd Calendar'!$R$1874=TYPE4)*(TYPE4&lt;&gt;"")+('Dvd Calendar'!$R$1874=SPECIAL_LBL)*(INC_SPECIALS="Y"))=0,"",'Dvd Calendar'!$R$1872)))</f>
        <v/>
      </c>
      <c r="Q188" s="110">
        <f>IF(ES188="","",IF(ISNUMBER('Dvd Calendar'!$S$1872)=FALSE,"",IF((('Dvd Calendar'!$S$1874=TYPE1)*(TYPE1&lt;&gt;"")+('Dvd Calendar'!$S$1874=TYPE2)*(TYPE2&lt;&gt;"")+('Dvd Calendar'!$S$1874=TYPE3)*(TYPE3&lt;&gt;"")+('Dvd Calendar'!$S$1874=TYPE4)*(TYPE4&lt;&gt;"")+('Dvd Calendar'!$S$1874=SPECIAL_LBL)*(INC_SPECIALS="Y"))=0,"",'Dvd Calendar'!$S$1872)))</f>
        <v/>
      </c>
      <c r="R188" s="110">
        <f>IF(ET188="","",IF(ISNUMBER('Dvd Calendar'!$T$1872)=FALSE,"",IF((('Dvd Calendar'!$T$1874=TYPE1)*(TYPE1&lt;&gt;"")+('Dvd Calendar'!$T$1874=TYPE2)*(TYPE2&lt;&gt;"")+('Dvd Calendar'!$T$1874=TYPE3)*(TYPE3&lt;&gt;"")+('Dvd Calendar'!$T$1874=TYPE4)*(TYPE4&lt;&gt;"")+('Dvd Calendar'!$T$1874=SPECIAL_LBL)*(INC_SPECIALS="Y"))=0,"",'Dvd Calendar'!$T$1872)))</f>
        <v/>
      </c>
      <c r="S188" s="110">
        <f>IF(EU188="","",IF(ISNUMBER('Dvd Calendar'!$U$1872)=FALSE,"",IF((('Dvd Calendar'!$U$1874=TYPE1)*(TYPE1&lt;&gt;"")+('Dvd Calendar'!$U$1874=TYPE2)*(TYPE2&lt;&gt;"")+('Dvd Calendar'!$U$1874=TYPE3)*(TYPE3&lt;&gt;"")+('Dvd Calendar'!$U$1874=TYPE4)*(TYPE4&lt;&gt;"")+('Dvd Calendar'!$U$1874=SPECIAL_LBL)*(INC_SPECIALS="Y"))=0,"",'Dvd Calendar'!$U$1872)))</f>
        <v/>
      </c>
      <c r="T188" s="110">
        <f>IF(EV188="","",IF(ISNUMBER('Dvd Calendar'!$V$1872)=FALSE,"",IF((('Dvd Calendar'!$V$1874=TYPE1)*(TYPE1&lt;&gt;"")+('Dvd Calendar'!$V$1874=TYPE2)*(TYPE2&lt;&gt;"")+('Dvd Calendar'!$V$1874=TYPE3)*(TYPE3&lt;&gt;"")+('Dvd Calendar'!$V$1874=TYPE4)*(TYPE4&lt;&gt;"")+('Dvd Calendar'!$V$1874=SPECIAL_LBL)*(INC_SPECIALS="Y"))=0,"",'Dvd Calendar'!$V$1872)))</f>
        <v/>
      </c>
      <c r="U188" s="110">
        <f>IF(EW188="","",IF(ISNUMBER('Dvd Calendar'!$W$1872)=FALSE,"",IF((('Dvd Calendar'!$W$1874=TYPE1)*(TYPE1&lt;&gt;"")+('Dvd Calendar'!$W$1874=TYPE2)*(TYPE2&lt;&gt;"")+('Dvd Calendar'!$W$1874=TYPE3)*(TYPE3&lt;&gt;"")+('Dvd Calendar'!$W$1874=TYPE4)*(TYPE4&lt;&gt;"")+('Dvd Calendar'!$W$1874=SPECIAL_LBL)*(INC_SPECIALS="Y"))=0,"",'Dvd Calendar'!$W$1872)))</f>
        <v/>
      </c>
      <c r="V188" s="110">
        <f>IF(EX188="","",IF(ISNUMBER('Dvd Calendar'!$X$1872)=FALSE,"",IF((('Dvd Calendar'!$X$1874=TYPE1)*(TYPE1&lt;&gt;"")+('Dvd Calendar'!$X$1874=TYPE2)*(TYPE2&lt;&gt;"")+('Dvd Calendar'!$X$1874=TYPE3)*(TYPE3&lt;&gt;"")+('Dvd Calendar'!$X$1874=TYPE4)*(TYPE4&lt;&gt;"")+('Dvd Calendar'!$X$1874=SPECIAL_LBL)*(INC_SPECIALS="Y"))=0,"",'Dvd Calendar'!$X$1872)))</f>
        <v/>
      </c>
      <c r="W188" s="110">
        <f>IF(EY188="","",IF(ISNUMBER('Dvd Calendar'!$Y$1872)=FALSE,"",IF((('Dvd Calendar'!$Y$1874=TYPE1)*(TYPE1&lt;&gt;"")+('Dvd Calendar'!$Y$1874=TYPE2)*(TYPE2&lt;&gt;"")+('Dvd Calendar'!$Y$1874=TYPE3)*(TYPE3&lt;&gt;"")+('Dvd Calendar'!$Y$1874=TYPE4)*(TYPE4&lt;&gt;"")+('Dvd Calendar'!$Y$1874=SPECIAL_LBL)*(INC_SPECIALS="Y"))=0,"",'Dvd Calendar'!$Y$1872)))</f>
        <v/>
      </c>
      <c r="X188" s="110">
        <f>IF(EZ188="","",IF(ISNUMBER('Dvd Calendar'!$Z$1872)=FALSE,"",IF((('Dvd Calendar'!$Z$1874=TYPE1)*(TYPE1&lt;&gt;"")+('Dvd Calendar'!$Z$1874=TYPE2)*(TYPE2&lt;&gt;"")+('Dvd Calendar'!$Z$1874=TYPE3)*(TYPE3&lt;&gt;"")+('Dvd Calendar'!$Z$1874=TYPE4)*(TYPE4&lt;&gt;"")+('Dvd Calendar'!$Z$1874=SPECIAL_LBL)*(INC_SPECIALS="Y"))=0,"",'Dvd Calendar'!$Z$1872)))</f>
        <v/>
      </c>
      <c r="Y188" s="110">
        <f>IF(FA188="","",IF(ISNUMBER('Dvd Calendar'!$AA$1872)=FALSE,"",IF((('Dvd Calendar'!$AA$1874=TYPE1)*(TYPE1&lt;&gt;"")+('Dvd Calendar'!$AA$1874=TYPE2)*(TYPE2&lt;&gt;"")+('Dvd Calendar'!$AA$1874=TYPE3)*(TYPE3&lt;&gt;"")+('Dvd Calendar'!$AA$1874=TYPE4)*(TYPE4&lt;&gt;"")+('Dvd Calendar'!$AA$1874=SPECIAL_LBL)*(INC_SPECIALS="Y"))=0,"",'Dvd Calendar'!$AA$1872)))</f>
        <v/>
      </c>
      <c r="Z188" s="110">
        <f>IF(FB188="","",IF(ISNUMBER('Dvd Calendar'!$AB$1872)=FALSE,"",IF((('Dvd Calendar'!$AB$1874=TYPE1)*(TYPE1&lt;&gt;"")+('Dvd Calendar'!$AB$1874=TYPE2)*(TYPE2&lt;&gt;"")+('Dvd Calendar'!$AB$1874=TYPE3)*(TYPE3&lt;&gt;"")+('Dvd Calendar'!$AB$1874=TYPE4)*(TYPE4&lt;&gt;"")+('Dvd Calendar'!$AB$1874=SPECIAL_LBL)*(INC_SPECIALS="Y"))=0,"",'Dvd Calendar'!$AB$1872)))</f>
        <v/>
      </c>
      <c r="AA188" s="110">
        <f>IF(FC188="","",IF(ISNUMBER('Dvd Calendar'!$AC$1872)=FALSE,"",IF((('Dvd Calendar'!$AC$1874=TYPE1)*(TYPE1&lt;&gt;"")+('Dvd Calendar'!$AC$1874=TYPE2)*(TYPE2&lt;&gt;"")+('Dvd Calendar'!$AC$1874=TYPE3)*(TYPE3&lt;&gt;"")+('Dvd Calendar'!$AC$1874=TYPE4)*(TYPE4&lt;&gt;"")+('Dvd Calendar'!$AC$1874=SPECIAL_LBL)*(INC_SPECIALS="Y"))=0,"",'Dvd Calendar'!$AC$1872)))</f>
        <v/>
      </c>
      <c r="AB188" s="110">
        <f>IF(FD188="","",IF(ISNUMBER('Dvd Calendar'!$AD$1872)=FALSE,"",IF((('Dvd Calendar'!$AD$1874=TYPE1)*(TYPE1&lt;&gt;"")+('Dvd Calendar'!$AD$1874=TYPE2)*(TYPE2&lt;&gt;"")+('Dvd Calendar'!$AD$1874=TYPE3)*(TYPE3&lt;&gt;"")+('Dvd Calendar'!$AD$1874=TYPE4)*(TYPE4&lt;&gt;"")+('Dvd Calendar'!$AD$1874=SPECIAL_LBL)*(INC_SPECIALS="Y"))=0,"",'Dvd Calendar'!$AD$1872)))</f>
        <v/>
      </c>
      <c r="AC188" s="110">
        <f>IF(FE188="","",IF(ISNUMBER('Dvd Calendar'!$AE$1872)=FALSE,"",IF((('Dvd Calendar'!$AE$1874=TYPE1)*(TYPE1&lt;&gt;"")+('Dvd Calendar'!$AE$1874=TYPE2)*(TYPE2&lt;&gt;"")+('Dvd Calendar'!$AE$1874=TYPE3)*(TYPE3&lt;&gt;"")+('Dvd Calendar'!$AE$1874=TYPE4)*(TYPE4&lt;&gt;"")+('Dvd Calendar'!$AE$1874=SPECIAL_LBL)*(INC_SPECIALS="Y"))=0,"",'Dvd Calendar'!$AE$1872)))</f>
        <v/>
      </c>
      <c r="AD188" s="110">
        <f>IF(FF188="","",IF(ISNUMBER('Dvd Calendar'!$AF$1872)=FALSE,"",IF((('Dvd Calendar'!$AF$1874=TYPE1)*(TYPE1&lt;&gt;"")+('Dvd Calendar'!$AF$1874=TYPE2)*(TYPE2&lt;&gt;"")+('Dvd Calendar'!$AF$1874=TYPE3)*(TYPE3&lt;&gt;"")+('Dvd Calendar'!$AF$1874=TYPE4)*(TYPE4&lt;&gt;"")+('Dvd Calendar'!$AF$1874=SPECIAL_LBL)*(INC_SPECIALS="Y"))=0,"",'Dvd Calendar'!$AF$1872)))</f>
        <v/>
      </c>
      <c r="AE188" s="110">
        <f>IF(FG188="","",IF(ISNUMBER('Dvd Calendar'!$AG$1872)=FALSE,"",IF((('Dvd Calendar'!$AG$1874=TYPE1)*(TYPE1&lt;&gt;"")+('Dvd Calendar'!$AG$1874=TYPE2)*(TYPE2&lt;&gt;"")+('Dvd Calendar'!$AG$1874=TYPE3)*(TYPE3&lt;&gt;"")+('Dvd Calendar'!$AG$1874=TYPE4)*(TYPE4&lt;&gt;"")+('Dvd Calendar'!$AG$1874=SPECIAL_LBL)*(INC_SPECIALS="Y"))=0,"",'Dvd Calendar'!$AG$1872)))</f>
        <v/>
      </c>
      <c r="AF188" s="110">
        <f>IF(FH188="","",IF(ISNUMBER('Dvd Calendar'!$AH$1872)=FALSE,"",IF((('Dvd Calendar'!$AH$1874=TYPE1)*(TYPE1&lt;&gt;"")+('Dvd Calendar'!$AH$1874=TYPE2)*(TYPE2&lt;&gt;"")+('Dvd Calendar'!$AH$1874=TYPE3)*(TYPE3&lt;&gt;"")+('Dvd Calendar'!$AH$1874=TYPE4)*(TYPE4&lt;&gt;"")+('Dvd Calendar'!$AH$1874=SPECIAL_LBL)*(INC_SPECIALS="Y"))=0,"",'Dvd Calendar'!$AH$1872)))</f>
        <v/>
      </c>
      <c r="AG188" s="110">
        <f>IF(FI188="","",IF(ISNUMBER('Dvd Calendar'!$AI$1872)=FALSE,"",IF((('Dvd Calendar'!$AI$1874=TYPE1)*(TYPE1&lt;&gt;"")+('Dvd Calendar'!$AI$1874=TYPE2)*(TYPE2&lt;&gt;"")+('Dvd Calendar'!$AI$1874=TYPE3)*(TYPE3&lt;&gt;"")+('Dvd Calendar'!$AI$1874=TYPE4)*(TYPE4&lt;&gt;"")+('Dvd Calendar'!$AI$1874=SPECIAL_LBL)*(INC_SPECIALS="Y"))=0,"",'Dvd Calendar'!$AI$1872)))</f>
        <v/>
      </c>
      <c r="AH188" s="110">
        <f>IF(FJ188="","",IF(ISNUMBER('Dvd Calendar'!$AJ$1872)=FALSE,"",IF((('Dvd Calendar'!$AJ$1874=TYPE1)*(TYPE1&lt;&gt;"")+('Dvd Calendar'!$AJ$1874=TYPE2)*(TYPE2&lt;&gt;"")+('Dvd Calendar'!$AJ$1874=TYPE3)*(TYPE3&lt;&gt;"")+('Dvd Calendar'!$AJ$1874=TYPE4)*(TYPE4&lt;&gt;"")+('Dvd Calendar'!$AJ$1874=SPECIAL_LBL)*(INC_SPECIALS="Y"))=0,"",'Dvd Calendar'!$AJ$1872)))</f>
        <v/>
      </c>
      <c r="AI188" s="110">
        <f>IF(FK188="","",IF(ISNUMBER('Dvd Calendar'!$AK$1872)=FALSE,"",IF((('Dvd Calendar'!$AK$1874=TYPE1)*(TYPE1&lt;&gt;"")+('Dvd Calendar'!$AK$1874=TYPE2)*(TYPE2&lt;&gt;"")+('Dvd Calendar'!$AK$1874=TYPE3)*(TYPE3&lt;&gt;"")+('Dvd Calendar'!$AK$1874=TYPE4)*(TYPE4&lt;&gt;"")+('Dvd Calendar'!$AK$1874=SPECIAL_LBL)*(INC_SPECIALS="Y"))=0,"",'Dvd Calendar'!$AK$1872)))</f>
        <v/>
      </c>
      <c r="AJ188" s="110">
        <f>IF(FL188="","",IF(ISNUMBER('Dvd Calendar'!$AL$1872)=FALSE,"",IF((('Dvd Calendar'!$AL$1874=TYPE1)*(TYPE1&lt;&gt;"")+('Dvd Calendar'!$AL$1874=TYPE2)*(TYPE2&lt;&gt;"")+('Dvd Calendar'!$AL$1874=TYPE3)*(TYPE3&lt;&gt;"")+('Dvd Calendar'!$AL$1874=TYPE4)*(TYPE4&lt;&gt;"")+('Dvd Calendar'!$AL$1874=SPECIAL_LBL)*(INC_SPECIALS="Y"))=0,"",'Dvd Calendar'!$AL$1872)))</f>
        <v/>
      </c>
      <c r="AK188" s="110">
        <f>IF(FM188="","",IF(ISNUMBER('Dvd Calendar'!$AM$1872)=FALSE,"",IF((('Dvd Calendar'!$AM$1874=TYPE1)*(TYPE1&lt;&gt;"")+('Dvd Calendar'!$AM$1874=TYPE2)*(TYPE2&lt;&gt;"")+('Dvd Calendar'!$AM$1874=TYPE3)*(TYPE3&lt;&gt;"")+('Dvd Calendar'!$AM$1874=TYPE4)*(TYPE4&lt;&gt;"")+('Dvd Calendar'!$AM$1874=SPECIAL_LBL)*(INC_SPECIALS="Y"))=0,"",'Dvd Calendar'!$AM$1872)))</f>
        <v/>
      </c>
      <c r="AL188" s="110">
        <f>IF(FN188="","",IF(ISNUMBER('Dvd Calendar'!$AN$1872)=FALSE,"",IF((('Dvd Calendar'!$AN$1874=TYPE1)*(TYPE1&lt;&gt;"")+('Dvd Calendar'!$AN$1874=TYPE2)*(TYPE2&lt;&gt;"")+('Dvd Calendar'!$AN$1874=TYPE3)*(TYPE3&lt;&gt;"")+('Dvd Calendar'!$AN$1874=TYPE4)*(TYPE4&lt;&gt;"")+('Dvd Calendar'!$AN$1874=SPECIAL_LBL)*(INC_SPECIALS="Y"))=0,"",'Dvd Calendar'!$AN$1872)))</f>
        <v/>
      </c>
      <c r="AM188" s="110">
        <f>IF(FO188="","",IF(ISNUMBER('Dvd Calendar'!$AO$1872)=FALSE,"",IF((('Dvd Calendar'!$AO$1874=TYPE1)*(TYPE1&lt;&gt;"")+('Dvd Calendar'!$AO$1874=TYPE2)*(TYPE2&lt;&gt;"")+('Dvd Calendar'!$AO$1874=TYPE3)*(TYPE3&lt;&gt;"")+('Dvd Calendar'!$AO$1874=TYPE4)*(TYPE4&lt;&gt;"")+('Dvd Calendar'!$AO$1874=SPECIAL_LBL)*(INC_SPECIALS="Y"))=0,"",'Dvd Calendar'!$AO$1872)))</f>
        <v/>
      </c>
      <c r="AN188" s="110">
        <f>IF(FP188="","",IF(ISNUMBER('Dvd Calendar'!$AP$1872)=FALSE,"",IF((('Dvd Calendar'!$AP$1874=TYPE1)*(TYPE1&lt;&gt;"")+('Dvd Calendar'!$AP$1874=TYPE2)*(TYPE2&lt;&gt;"")+('Dvd Calendar'!$AP$1874=TYPE3)*(TYPE3&lt;&gt;"")+('Dvd Calendar'!$AP$1874=TYPE4)*(TYPE4&lt;&gt;"")+('Dvd Calendar'!$AP$1874=SPECIAL_LBL)*(INC_SPECIALS="Y"))=0,"",'Dvd Calendar'!$AP$1872)))</f>
        <v/>
      </c>
      <c r="AO188" s="110">
        <f>IF(FQ188="","",IF(ISNUMBER('Dvd Calendar'!$AQ$1872)=FALSE,"",IF((('Dvd Calendar'!$AQ$1874=TYPE1)*(TYPE1&lt;&gt;"")+('Dvd Calendar'!$AQ$1874=TYPE2)*(TYPE2&lt;&gt;"")+('Dvd Calendar'!$AQ$1874=TYPE3)*(TYPE3&lt;&gt;"")+('Dvd Calendar'!$AQ$1874=TYPE4)*(TYPE4&lt;&gt;"")+('Dvd Calendar'!$AQ$1874=SPECIAL_LBL)*(INC_SPECIALS="Y"))=0,"",'Dvd Calendar'!$AQ$1872)))</f>
        <v/>
      </c>
      <c r="AP188" s="110">
        <f>IF(FR188="","",IF(ISNUMBER('Dvd Calendar'!$AR$1872)=FALSE,"",IF((('Dvd Calendar'!$AR$1874=TYPE1)*(TYPE1&lt;&gt;"")+('Dvd Calendar'!$AR$1874=TYPE2)*(TYPE2&lt;&gt;"")+('Dvd Calendar'!$AR$1874=TYPE3)*(TYPE3&lt;&gt;"")+('Dvd Calendar'!$AR$1874=TYPE4)*(TYPE4&lt;&gt;"")+('Dvd Calendar'!$AR$1874=SPECIAL_LBL)*(INC_SPECIALS="Y"))=0,"",'Dvd Calendar'!$AR$1872)))</f>
        <v/>
      </c>
      <c r="AQ188" s="110">
        <f>IF(FS188="","",IF(ISNUMBER('Dvd Calendar'!$E$1877)=FALSE,"",'Dvd Calendar'!$E$1877))</f>
        <v/>
      </c>
      <c r="AR188" s="110">
        <f>IF(FT188="","",IF(ISNUMBER('Dvd Calendar'!$F$1877)=FALSE,"",'Dvd Calendar'!$F$1877))</f>
        <v/>
      </c>
      <c r="AS188" s="110">
        <f>IF(FU188="","",IF(ISNUMBER('Dvd Calendar'!$G$1877)=FALSE,"",'Dvd Calendar'!$G$1877))</f>
        <v/>
      </c>
      <c r="AT188" s="110">
        <f>IF(FV188="","",IF(ISNUMBER('Dvd Calendar'!$H$1877)=FALSE,"",'Dvd Calendar'!$H$1877))</f>
        <v/>
      </c>
      <c r="AU188" s="110">
        <f>IF(FW188="","",IF(ISNUMBER('Dvd Calendar'!$I$1877)=FALSE,"",'Dvd Calendar'!$I$1877))</f>
        <v/>
      </c>
      <c r="AV188" s="110">
        <f>IF(FX188="","",IF(ISNUMBER('Dvd Calendar'!$J$1877)=FALSE,"",'Dvd Calendar'!$J$1877))</f>
        <v/>
      </c>
      <c r="AW188" s="110">
        <f>IF(FY188="","",IF(ISNUMBER('Dvd Calendar'!$K$1877)=FALSE,"",'Dvd Calendar'!$K$1877))</f>
        <v/>
      </c>
      <c r="AX188" s="110">
        <f>IF(FZ188="","",IF(ISNUMBER('Dvd Calendar'!$L$1877)=FALSE,"",'Dvd Calendar'!$L$1877))</f>
        <v/>
      </c>
      <c r="AY188" s="110">
        <f>IF(GA188="","",IF(ISNUMBER('Dvd Calendar'!$M$1877)=FALSE,"",'Dvd Calendar'!$M$1877))</f>
        <v/>
      </c>
      <c r="AZ188" s="110">
        <f>IF(GB188="","",IF(ISNUMBER('Dvd Calendar'!$N$1877)=FALSE,"",'Dvd Calendar'!$N$1877))</f>
        <v/>
      </c>
      <c r="BA188" s="110">
        <f>IF(GC188="","",IF(ISNUMBER('Dvd Calendar'!$O$1877)=FALSE,"",'Dvd Calendar'!$O$1877))</f>
        <v/>
      </c>
      <c r="BB188" s="110">
        <f>IF(GD188="","",IF(ISNUMBER('Dvd Calendar'!$P$1877)=FALSE,"",'Dvd Calendar'!$P$1877))</f>
        <v/>
      </c>
      <c r="BC188" s="110">
        <f>IF(GE188="","",IF(ISNUMBER('Dvd Calendar'!$Q$1877)=FALSE,"",'Dvd Calendar'!$Q$1877))</f>
        <v/>
      </c>
      <c r="BD188" s="110">
        <f>IF(GF188="","",IF(ISNUMBER('Dvd Calendar'!$R$1877)=FALSE,"",'Dvd Calendar'!$R$1877))</f>
        <v/>
      </c>
      <c r="BE188" s="110">
        <f>IF(GG188="","",IF(ISNUMBER('Dvd Calendar'!$S$1877)=FALSE,"",'Dvd Calendar'!$S$1877))</f>
        <v/>
      </c>
      <c r="BF188" s="110">
        <f>IF(GH188="","",IF(ISNUMBER('Dvd Calendar'!$T$1877)=FALSE,"",'Dvd Calendar'!$T$1877))</f>
        <v/>
      </c>
      <c r="BG188" s="110">
        <f>IF(GI188="","",IF(ISNUMBER('Dvd Calendar'!$U$1877)=FALSE,"",'Dvd Calendar'!$U$1877))</f>
        <v/>
      </c>
      <c r="BH188" s="110">
        <f>IF(GJ188="","",IF(ISNUMBER('Dvd Calendar'!$V$1877)=FALSE,"",'Dvd Calendar'!$V$1877))</f>
        <v/>
      </c>
      <c r="BI188" s="110">
        <f>IF(GK188="","",IF(ISNUMBER('Dvd Calendar'!$W$1877)=FALSE,"",'Dvd Calendar'!$W$1877))</f>
        <v/>
      </c>
      <c r="BJ188" s="110">
        <f>IF(GL188="","",IF(ISNUMBER('Dvd Calendar'!$X$1877)=FALSE,"",'Dvd Calendar'!$X$1877))</f>
        <v/>
      </c>
      <c r="BK188" s="110">
        <f>IF(GM188="","",IF(ISNUMBER('Dvd Calendar'!$Y$1877)=FALSE,"",'Dvd Calendar'!$Y$1877))</f>
        <v/>
      </c>
      <c r="BL188" s="110">
        <f>IF(GN188="","",IF(ISNUMBER('Dvd Calendar'!$Z$1877)=FALSE,"",'Dvd Calendar'!$Z$1877))</f>
        <v/>
      </c>
      <c r="BM188" s="110">
        <f>IF(GO188="","",IF(ISNUMBER('Dvd Calendar'!$AA$1877)=FALSE,"",'Dvd Calendar'!$AA$1877))</f>
        <v/>
      </c>
      <c r="BN188" s="110">
        <f>IF(GP188="","",IF(ISNUMBER('Dvd Calendar'!$AB$1877)=FALSE,"",'Dvd Calendar'!$AB$1877))</f>
        <v/>
      </c>
      <c r="BO188" s="110">
        <f>IF(GQ188="","",IF(ISNUMBER('Dvd Calendar'!$AC$1877)=FALSE,"",'Dvd Calendar'!$AC$1877))</f>
        <v/>
      </c>
      <c r="BQ188" s="110">
        <f>IF(C188="","",IFERROR(C188*HSCEI!$B$35*HSCEI!$G$35/HSCEI!$B$3,""))</f>
        <v/>
      </c>
      <c r="BR188" s="110">
        <f>IF(D188="","",IFERROR(D188*HSCEI!$B$35*HSCEI!$G$35/HSCEI!$B$3,""))</f>
        <v/>
      </c>
      <c r="BS188" s="110">
        <f>IF(E188="","",IFERROR(E188*HSCEI!$B$35*HSCEI!$G$35/HSCEI!$B$3,""))</f>
        <v/>
      </c>
      <c r="BT188" s="110">
        <f>IF(F188="","",IFERROR(F188*HSCEI!$B$35*HSCEI!$G$35/HSCEI!$B$3,""))</f>
        <v/>
      </c>
      <c r="BU188" s="110">
        <f>IF(G188="","",IFERROR(G188*HSCEI!$B$35*HSCEI!$G$35/HSCEI!$B$3,""))</f>
        <v/>
      </c>
      <c r="BV188" s="110">
        <f>IF(H188="","",IFERROR(H188*HSCEI!$B$35*HSCEI!$G$35/HSCEI!$B$3,""))</f>
        <v/>
      </c>
      <c r="BW188" s="110">
        <f>IF(I188="","",IFERROR(I188*HSCEI!$B$35*HSCEI!$G$35/HSCEI!$B$3,""))</f>
        <v/>
      </c>
      <c r="BX188" s="110">
        <f>IF(J188="","",IFERROR(J188*HSCEI!$B$35*HSCEI!$G$35/HSCEI!$B$3,""))</f>
        <v/>
      </c>
      <c r="BY188" s="110">
        <f>IF(K188="","",IFERROR(K188*HSCEI!$B$35*HSCEI!$G$35/HSCEI!$B$3,""))</f>
        <v/>
      </c>
      <c r="BZ188" s="110">
        <f>IF(L188="","",IFERROR(L188*HSCEI!$B$35*HSCEI!$G$35/HSCEI!$B$3,""))</f>
        <v/>
      </c>
      <c r="CA188" s="110">
        <f>IF(M188="","",IFERROR(M188*HSCEI!$B$35*HSCEI!$G$35/HSCEI!$B$3,""))</f>
        <v/>
      </c>
      <c r="CB188" s="110">
        <f>IF(N188="","",IFERROR(N188*HSCEI!$B$35*HSCEI!$G$35/HSCEI!$B$3,""))</f>
        <v/>
      </c>
      <c r="CC188" s="110">
        <f>IF(O188="","",IFERROR(O188*HSCEI!$B$35*HSCEI!$G$35/HSCEI!$B$3,""))</f>
        <v/>
      </c>
      <c r="CD188" s="110">
        <f>IF(P188="","",IFERROR(P188*HSCEI!$B$35*HSCEI!$G$35/HSCEI!$B$3,""))</f>
        <v/>
      </c>
      <c r="CE188" s="110">
        <f>IF(Q188="","",IFERROR(Q188*HSCEI!$B$35*HSCEI!$G$35/HSCEI!$B$3,""))</f>
        <v/>
      </c>
      <c r="CF188" s="110">
        <f>IF(R188="","",IFERROR(R188*HSCEI!$B$35*HSCEI!$G$35/HSCEI!$B$3,""))</f>
        <v/>
      </c>
      <c r="CG188" s="110">
        <f>IF(S188="","",IFERROR(S188*HSCEI!$B$35*HSCEI!$G$35/HSCEI!$B$3,""))</f>
        <v/>
      </c>
      <c r="CH188" s="110">
        <f>IF(T188="","",IFERROR(T188*HSCEI!$B$35*HSCEI!$G$35/HSCEI!$B$3,""))</f>
        <v/>
      </c>
      <c r="CI188" s="110">
        <f>IF(U188="","",IFERROR(U188*HSCEI!$B$35*HSCEI!$G$35/HSCEI!$B$3,""))</f>
        <v/>
      </c>
      <c r="CJ188" s="110">
        <f>IF(V188="","",IFERROR(V188*HSCEI!$B$35*HSCEI!$G$35/HSCEI!$B$3,""))</f>
        <v/>
      </c>
      <c r="CK188" s="110">
        <f>IF(W188="","",IFERROR(W188*HSCEI!$B$35*HSCEI!$G$35/HSCEI!$B$3,""))</f>
        <v/>
      </c>
      <c r="CL188" s="110">
        <f>IF(X188="","",IFERROR(X188*HSCEI!$B$35*HSCEI!$G$35/HSCEI!$B$3,""))</f>
        <v/>
      </c>
      <c r="CM188" s="110">
        <f>IF(Y188="","",IFERROR(Y188*HSCEI!$B$35*HSCEI!$G$35/HSCEI!$B$3,""))</f>
        <v/>
      </c>
      <c r="CN188" s="110">
        <f>IF(Z188="","",IFERROR(Z188*HSCEI!$B$35*HSCEI!$G$35/HSCEI!$B$3,""))</f>
        <v/>
      </c>
      <c r="CO188" s="110">
        <f>IF(AA188="","",IFERROR(AA188*HSCEI!$B$35*HSCEI!$G$35/HSCEI!$B$3,""))</f>
        <v/>
      </c>
      <c r="CP188" s="110">
        <f>IF(AB188="","",IFERROR(AB188*HSCEI!$B$35*HSCEI!$G$35/HSCEI!$B$3,""))</f>
        <v/>
      </c>
      <c r="CQ188" s="110">
        <f>IF(AC188="","",IFERROR(AC188*HSCEI!$B$35*HSCEI!$G$35/HSCEI!$B$3,""))</f>
        <v/>
      </c>
      <c r="CR188" s="110">
        <f>IF(AD188="","",IFERROR(AD188*HSCEI!$B$35*HSCEI!$G$35/HSCEI!$B$3,""))</f>
        <v/>
      </c>
      <c r="CS188" s="110">
        <f>IF(AE188="","",IFERROR(AE188*HSCEI!$B$35*HSCEI!$G$35/HSCEI!$B$3,""))</f>
        <v/>
      </c>
      <c r="CT188" s="110">
        <f>IF(AF188="","",IFERROR(AF188*HSCEI!$B$35*HSCEI!$G$35/HSCEI!$B$3,""))</f>
        <v/>
      </c>
      <c r="CU188" s="110">
        <f>IF(AG188="","",IFERROR(AG188*HSCEI!$B$35*HSCEI!$G$35/HSCEI!$B$3,""))</f>
        <v/>
      </c>
      <c r="CV188" s="110">
        <f>IF(AH188="","",IFERROR(AH188*HSCEI!$B$35*HSCEI!$G$35/HSCEI!$B$3,""))</f>
        <v/>
      </c>
      <c r="CW188" s="110">
        <f>IF(AI188="","",IFERROR(AI188*HSCEI!$B$35*HSCEI!$G$35/HSCEI!$B$3,""))</f>
        <v/>
      </c>
      <c r="CX188" s="110">
        <f>IF(AJ188="","",IFERROR(AJ188*HSCEI!$B$35*HSCEI!$G$35/HSCEI!$B$3,""))</f>
        <v/>
      </c>
      <c r="CY188" s="110">
        <f>IF(AK188="","",IFERROR(AK188*HSCEI!$B$35*HSCEI!$G$35/HSCEI!$B$3,""))</f>
        <v/>
      </c>
      <c r="CZ188" s="110">
        <f>IF(AL188="","",IFERROR(AL188*HSCEI!$B$35*HSCEI!$G$35/HSCEI!$B$3,""))</f>
        <v/>
      </c>
      <c r="DA188" s="110">
        <f>IF(AM188="","",IFERROR(AM188*HSCEI!$B$35*HSCEI!$G$35/HSCEI!$B$3,""))</f>
        <v/>
      </c>
      <c r="DB188" s="110">
        <f>IF(AN188="","",IFERROR(AN188*HSCEI!$B$35*HSCEI!$G$35/HSCEI!$B$3,""))</f>
        <v/>
      </c>
      <c r="DC188" s="110">
        <f>IF(AO188="","",IFERROR(AO188*HSCEI!$B$35*HSCEI!$G$35/HSCEI!$B$3,""))</f>
        <v/>
      </c>
      <c r="DD188" s="110">
        <f>IF(AP188="","",IFERROR(AP188*HSCEI!$B$35*HSCEI!$G$35/HSCEI!$B$3,""))</f>
        <v/>
      </c>
      <c r="DE188" s="110">
        <f>IF(AQ188="","",IFERROR(AQ188*HSCEI!$B$35*HSCEI!$G$35/HSCEI!$B$3,""))</f>
        <v/>
      </c>
      <c r="DF188" s="110">
        <f>IF(AR188="","",IFERROR(AR188*HSCEI!$B$35*HSCEI!$G$35/HSCEI!$B$3,""))</f>
        <v/>
      </c>
      <c r="DG188" s="110">
        <f>IF(AS188="","",IFERROR(AS188*HSCEI!$B$35*HSCEI!$G$35/HSCEI!$B$3,""))</f>
        <v/>
      </c>
      <c r="DH188" s="110">
        <f>IF(AT188="","",IFERROR(AT188*HSCEI!$B$35*HSCEI!$G$35/HSCEI!$B$3,""))</f>
        <v/>
      </c>
      <c r="DI188" s="110">
        <f>IF(AU188="","",IFERROR(AU188*HSCEI!$B$35*HSCEI!$G$35/HSCEI!$B$3,""))</f>
        <v/>
      </c>
      <c r="DJ188" s="110">
        <f>IF(AV188="","",IFERROR(AV188*HSCEI!$B$35*HSCEI!$G$35/HSCEI!$B$3,""))</f>
        <v/>
      </c>
      <c r="DK188" s="110">
        <f>IF(AW188="","",IFERROR(AW188*HSCEI!$B$35*HSCEI!$G$35/HSCEI!$B$3,""))</f>
        <v/>
      </c>
      <c r="DL188" s="110">
        <f>IF(AX188="","",IFERROR(AX188*HSCEI!$B$35*HSCEI!$G$35/HSCEI!$B$3,""))</f>
        <v/>
      </c>
      <c r="DM188" s="110">
        <f>IF(AY188="","",IFERROR(AY188*HSCEI!$B$35*HSCEI!$G$35/HSCEI!$B$3,""))</f>
        <v/>
      </c>
      <c r="DN188" s="110">
        <f>IF(AZ188="","",IFERROR(AZ188*HSCEI!$B$35*HSCEI!$G$35/HSCEI!$B$3,""))</f>
        <v/>
      </c>
      <c r="DO188" s="110">
        <f>IF(BA188="","",IFERROR(BA188*HSCEI!$B$35*HSCEI!$G$35/HSCEI!$B$3,""))</f>
        <v/>
      </c>
      <c r="DP188" s="110">
        <f>IF(BB188="","",IFERROR(BB188*HSCEI!$B$35*HSCEI!$G$35/HSCEI!$B$3,""))</f>
        <v/>
      </c>
      <c r="DQ188" s="110">
        <f>IF(BC188="","",IFERROR(BC188*HSCEI!$B$35*HSCEI!$G$35/HSCEI!$B$3,""))</f>
        <v/>
      </c>
      <c r="DR188" s="110">
        <f>IF(BD188="","",IFERROR(BD188*HSCEI!$B$35*HSCEI!$G$35/HSCEI!$B$3,""))</f>
        <v/>
      </c>
      <c r="DS188" s="110">
        <f>IF(BE188="","",IFERROR(BE188*HSCEI!$B$35*HSCEI!$G$35/HSCEI!$B$3,""))</f>
        <v/>
      </c>
      <c r="DT188" s="110">
        <f>IF(BF188="","",IFERROR(BF188*HSCEI!$B$35*HSCEI!$G$35/HSCEI!$B$3,""))</f>
        <v/>
      </c>
      <c r="DU188" s="110">
        <f>IF(BG188="","",IFERROR(BG188*HSCEI!$B$35*HSCEI!$G$35/HSCEI!$B$3,""))</f>
        <v/>
      </c>
      <c r="DV188" s="110">
        <f>IF(BH188="","",IFERROR(BH188*HSCEI!$B$35*HSCEI!$G$35/HSCEI!$B$3,""))</f>
        <v/>
      </c>
      <c r="DW188" s="110">
        <f>IF(BI188="","",IFERROR(BI188*HSCEI!$B$35*HSCEI!$G$35/HSCEI!$B$3,""))</f>
        <v/>
      </c>
      <c r="DX188" s="110">
        <f>IF(BJ188="","",IFERROR(BJ188*HSCEI!$B$35*HSCEI!$G$35/HSCEI!$B$3,""))</f>
        <v/>
      </c>
      <c r="DY188" s="110">
        <f>IF(BK188="","",IFERROR(BK188*HSCEI!$B$35*HSCEI!$G$35/HSCEI!$B$3,""))</f>
        <v/>
      </c>
      <c r="DZ188" s="110">
        <f>IF(BL188="","",IFERROR(BL188*HSCEI!$B$35*HSCEI!$G$35/HSCEI!$B$3,""))</f>
        <v/>
      </c>
      <c r="EA188" s="110">
        <f>IF(BM188="","",IFERROR(BM188*HSCEI!$B$35*HSCEI!$G$35/HSCEI!$B$3,""))</f>
        <v/>
      </c>
      <c r="EB188" s="110">
        <f>IF(BN188="","",IFERROR(BN188*HSCEI!$B$35*HSCEI!$G$35/HSCEI!$B$3,""))</f>
        <v/>
      </c>
      <c r="EC188" s="110">
        <f>IF(BO188="","",IFERROR(BO188*HSCEI!$B$35*HSCEI!$G$35/HSCEI!$B$3,""))</f>
        <v/>
      </c>
      <c r="EE188" s="39">
        <f>IF(N('Dvd Calendar'!$E$1869)=0,"",IF(('Dvd Calendar'!$E$1869&gt;=GRID_FROM)*('Dvd Calendar'!$E$1869&lt;=GRID_TO)*((('Dvd Calendar'!$E$1869&lt;=VAL_DATE)+(COUNTIF('Dvd Calendar'!$E$1876:$AR$1876,'Dvd Calendar'!$E$1869)=0))&gt;0)=0,"",'Dvd Calendar'!$E$1869*1000000000+ISNUMBER('Dvd Calendar'!$E$1872)*100000000+('Dvd Calendar'!$E$1874=SPECIAL_LBL)*10000000+(N('Dvd Calendar'!$E$1868)&gt;0)*(N('Dvd Calendar'!$E$1868)&lt;=VAL_SERIAL)*1000000+29*1000+1))</f>
        <v/>
      </c>
      <c r="EF188" s="39">
        <f>IF(N('Dvd Calendar'!$F$1869)=0,"",IF(('Dvd Calendar'!$F$1869&gt;=GRID_FROM)*('Dvd Calendar'!$F$1869&lt;=GRID_TO)*((('Dvd Calendar'!$F$1869&lt;=VAL_DATE)+(COUNTIF('Dvd Calendar'!$E$1876:$AR$1876,'Dvd Calendar'!$F$1869)=0))&gt;0)=0,"",'Dvd Calendar'!$F$1869*1000000000+ISNUMBER('Dvd Calendar'!$F$1872)*100000000+('Dvd Calendar'!$F$1874=SPECIAL_LBL)*10000000+(N('Dvd Calendar'!$F$1868)&gt;0)*(N('Dvd Calendar'!$F$1868)&lt;=VAL_SERIAL)*1000000+29*1000+2))</f>
        <v/>
      </c>
      <c r="EG188" s="39">
        <f>IF(N('Dvd Calendar'!$G$1869)=0,"",IF(('Dvd Calendar'!$G$1869&gt;=GRID_FROM)*('Dvd Calendar'!$G$1869&lt;=GRID_TO)*((('Dvd Calendar'!$G$1869&lt;=VAL_DATE)+(COUNTIF('Dvd Calendar'!$E$1876:$AR$1876,'Dvd Calendar'!$G$1869)=0))&gt;0)=0,"",'Dvd Calendar'!$G$1869*1000000000+ISNUMBER('Dvd Calendar'!$G$1872)*100000000+('Dvd Calendar'!$G$1874=SPECIAL_LBL)*10000000+(N('Dvd Calendar'!$G$1868)&gt;0)*(N('Dvd Calendar'!$G$1868)&lt;=VAL_SERIAL)*1000000+29*1000+3))</f>
        <v/>
      </c>
      <c r="EH188" s="39">
        <f>IF(N('Dvd Calendar'!$H$1869)=0,"",IF(('Dvd Calendar'!$H$1869&gt;=GRID_FROM)*('Dvd Calendar'!$H$1869&lt;=GRID_TO)*((('Dvd Calendar'!$H$1869&lt;=VAL_DATE)+(COUNTIF('Dvd Calendar'!$E$1876:$AR$1876,'Dvd Calendar'!$H$1869)=0))&gt;0)=0,"",'Dvd Calendar'!$H$1869*1000000000+ISNUMBER('Dvd Calendar'!$H$1872)*100000000+('Dvd Calendar'!$H$1874=SPECIAL_LBL)*10000000+(N('Dvd Calendar'!$H$1868)&gt;0)*(N('Dvd Calendar'!$H$1868)&lt;=VAL_SERIAL)*1000000+29*1000+4))</f>
        <v/>
      </c>
      <c r="EI188" s="39">
        <f>IF(N('Dvd Calendar'!$I$1869)=0,"",IF(('Dvd Calendar'!$I$1869&gt;=GRID_FROM)*('Dvd Calendar'!$I$1869&lt;=GRID_TO)*((('Dvd Calendar'!$I$1869&lt;=VAL_DATE)+(COUNTIF('Dvd Calendar'!$E$1876:$AR$1876,'Dvd Calendar'!$I$1869)=0))&gt;0)=0,"",'Dvd Calendar'!$I$1869*1000000000+ISNUMBER('Dvd Calendar'!$I$1872)*100000000+('Dvd Calendar'!$I$1874=SPECIAL_LBL)*10000000+(N('Dvd Calendar'!$I$1868)&gt;0)*(N('Dvd Calendar'!$I$1868)&lt;=VAL_SERIAL)*1000000+29*1000+5))</f>
        <v/>
      </c>
      <c r="EJ188" s="39">
        <f>IF(N('Dvd Calendar'!$J$1869)=0,"",IF(('Dvd Calendar'!$J$1869&gt;=GRID_FROM)*('Dvd Calendar'!$J$1869&lt;=GRID_TO)*((('Dvd Calendar'!$J$1869&lt;=VAL_DATE)+(COUNTIF('Dvd Calendar'!$E$1876:$AR$1876,'Dvd Calendar'!$J$1869)=0))&gt;0)=0,"",'Dvd Calendar'!$J$1869*1000000000+ISNUMBER('Dvd Calendar'!$J$1872)*100000000+('Dvd Calendar'!$J$1874=SPECIAL_LBL)*10000000+(N('Dvd Calendar'!$J$1868)&gt;0)*(N('Dvd Calendar'!$J$1868)&lt;=VAL_SERIAL)*1000000+29*1000+6))</f>
        <v/>
      </c>
      <c r="EK188" s="39">
        <f>IF(N('Dvd Calendar'!$K$1869)=0,"",IF(('Dvd Calendar'!$K$1869&gt;=GRID_FROM)*('Dvd Calendar'!$K$1869&lt;=GRID_TO)*((('Dvd Calendar'!$K$1869&lt;=VAL_DATE)+(COUNTIF('Dvd Calendar'!$E$1876:$AR$1876,'Dvd Calendar'!$K$1869)=0))&gt;0)=0,"",'Dvd Calendar'!$K$1869*1000000000+ISNUMBER('Dvd Calendar'!$K$1872)*100000000+('Dvd Calendar'!$K$1874=SPECIAL_LBL)*10000000+(N('Dvd Calendar'!$K$1868)&gt;0)*(N('Dvd Calendar'!$K$1868)&lt;=VAL_SERIAL)*1000000+29*1000+7))</f>
        <v/>
      </c>
      <c r="EL188" s="39">
        <f>IF(N('Dvd Calendar'!$L$1869)=0,"",IF(('Dvd Calendar'!$L$1869&gt;=GRID_FROM)*('Dvd Calendar'!$L$1869&lt;=GRID_TO)*((('Dvd Calendar'!$L$1869&lt;=VAL_DATE)+(COUNTIF('Dvd Calendar'!$E$1876:$AR$1876,'Dvd Calendar'!$L$1869)=0))&gt;0)=0,"",'Dvd Calendar'!$L$1869*1000000000+ISNUMBER('Dvd Calendar'!$L$1872)*100000000+('Dvd Calendar'!$L$1874=SPECIAL_LBL)*10000000+(N('Dvd Calendar'!$L$1868)&gt;0)*(N('Dvd Calendar'!$L$1868)&lt;=VAL_SERIAL)*1000000+29*1000+8))</f>
        <v/>
      </c>
      <c r="EM188" s="39">
        <f>IF(N('Dvd Calendar'!$M$1869)=0,"",IF(('Dvd Calendar'!$M$1869&gt;=GRID_FROM)*('Dvd Calendar'!$M$1869&lt;=GRID_TO)*((('Dvd Calendar'!$M$1869&lt;=VAL_DATE)+(COUNTIF('Dvd Calendar'!$E$1876:$AR$1876,'Dvd Calendar'!$M$1869)=0))&gt;0)=0,"",'Dvd Calendar'!$M$1869*1000000000+ISNUMBER('Dvd Calendar'!$M$1872)*100000000+('Dvd Calendar'!$M$1874=SPECIAL_LBL)*10000000+(N('Dvd Calendar'!$M$1868)&gt;0)*(N('Dvd Calendar'!$M$1868)&lt;=VAL_SERIAL)*1000000+29*1000+9))</f>
        <v/>
      </c>
      <c r="EN188" s="39">
        <f>IF(N('Dvd Calendar'!$N$1869)=0,"",IF(('Dvd Calendar'!$N$1869&gt;=GRID_FROM)*('Dvd Calendar'!$N$1869&lt;=GRID_TO)*((('Dvd Calendar'!$N$1869&lt;=VAL_DATE)+(COUNTIF('Dvd Calendar'!$E$1876:$AR$1876,'Dvd Calendar'!$N$1869)=0))&gt;0)=0,"",'Dvd Calendar'!$N$1869*1000000000+ISNUMBER('Dvd Calendar'!$N$1872)*100000000+('Dvd Calendar'!$N$1874=SPECIAL_LBL)*10000000+(N('Dvd Calendar'!$N$1868)&gt;0)*(N('Dvd Calendar'!$N$1868)&lt;=VAL_SERIAL)*1000000+29*1000+10))</f>
        <v/>
      </c>
      <c r="EO188" s="39">
        <f>IF(N('Dvd Calendar'!$O$1869)=0,"",IF(('Dvd Calendar'!$O$1869&gt;=GRID_FROM)*('Dvd Calendar'!$O$1869&lt;=GRID_TO)*((('Dvd Calendar'!$O$1869&lt;=VAL_DATE)+(COUNTIF('Dvd Calendar'!$E$1876:$AR$1876,'Dvd Calendar'!$O$1869)=0))&gt;0)=0,"",'Dvd Calendar'!$O$1869*1000000000+ISNUMBER('Dvd Calendar'!$O$1872)*100000000+('Dvd Calendar'!$O$1874=SPECIAL_LBL)*10000000+(N('Dvd Calendar'!$O$1868)&gt;0)*(N('Dvd Calendar'!$O$1868)&lt;=VAL_SERIAL)*1000000+29*1000+11))</f>
        <v/>
      </c>
      <c r="EP188" s="39">
        <f>IF(N('Dvd Calendar'!$P$1869)=0,"",IF(('Dvd Calendar'!$P$1869&gt;=GRID_FROM)*('Dvd Calendar'!$P$1869&lt;=GRID_TO)*((('Dvd Calendar'!$P$1869&lt;=VAL_DATE)+(COUNTIF('Dvd Calendar'!$E$1876:$AR$1876,'Dvd Calendar'!$P$1869)=0))&gt;0)=0,"",'Dvd Calendar'!$P$1869*1000000000+ISNUMBER('Dvd Calendar'!$P$1872)*100000000+('Dvd Calendar'!$P$1874=SPECIAL_LBL)*10000000+(N('Dvd Calendar'!$P$1868)&gt;0)*(N('Dvd Calendar'!$P$1868)&lt;=VAL_SERIAL)*1000000+29*1000+12))</f>
        <v/>
      </c>
      <c r="EQ188" s="39">
        <f>IF(N('Dvd Calendar'!$Q$1869)=0,"",IF(('Dvd Calendar'!$Q$1869&gt;=GRID_FROM)*('Dvd Calendar'!$Q$1869&lt;=GRID_TO)*((('Dvd Calendar'!$Q$1869&lt;=VAL_DATE)+(COUNTIF('Dvd Calendar'!$E$1876:$AR$1876,'Dvd Calendar'!$Q$1869)=0))&gt;0)=0,"",'Dvd Calendar'!$Q$1869*1000000000+ISNUMBER('Dvd Calendar'!$Q$1872)*100000000+('Dvd Calendar'!$Q$1874=SPECIAL_LBL)*10000000+(N('Dvd Calendar'!$Q$1868)&gt;0)*(N('Dvd Calendar'!$Q$1868)&lt;=VAL_SERIAL)*1000000+29*1000+13))</f>
        <v/>
      </c>
      <c r="ER188" s="39">
        <f>IF(N('Dvd Calendar'!$R$1869)=0,"",IF(('Dvd Calendar'!$R$1869&gt;=GRID_FROM)*('Dvd Calendar'!$R$1869&lt;=GRID_TO)*((('Dvd Calendar'!$R$1869&lt;=VAL_DATE)+(COUNTIF('Dvd Calendar'!$E$1876:$AR$1876,'Dvd Calendar'!$R$1869)=0))&gt;0)=0,"",'Dvd Calendar'!$R$1869*1000000000+ISNUMBER('Dvd Calendar'!$R$1872)*100000000+('Dvd Calendar'!$R$1874=SPECIAL_LBL)*10000000+(N('Dvd Calendar'!$R$1868)&gt;0)*(N('Dvd Calendar'!$R$1868)&lt;=VAL_SERIAL)*1000000+29*1000+14))</f>
        <v/>
      </c>
      <c r="ES188" s="39">
        <f>IF(N('Dvd Calendar'!$S$1869)=0,"",IF(('Dvd Calendar'!$S$1869&gt;=GRID_FROM)*('Dvd Calendar'!$S$1869&lt;=GRID_TO)*((('Dvd Calendar'!$S$1869&lt;=VAL_DATE)+(COUNTIF('Dvd Calendar'!$E$1876:$AR$1876,'Dvd Calendar'!$S$1869)=0))&gt;0)=0,"",'Dvd Calendar'!$S$1869*1000000000+ISNUMBER('Dvd Calendar'!$S$1872)*100000000+('Dvd Calendar'!$S$1874=SPECIAL_LBL)*10000000+(N('Dvd Calendar'!$S$1868)&gt;0)*(N('Dvd Calendar'!$S$1868)&lt;=VAL_SERIAL)*1000000+29*1000+15))</f>
        <v/>
      </c>
      <c r="ET188" s="39">
        <f>IF(N('Dvd Calendar'!$T$1869)=0,"",IF(('Dvd Calendar'!$T$1869&gt;=GRID_FROM)*('Dvd Calendar'!$T$1869&lt;=GRID_TO)*((('Dvd Calendar'!$T$1869&lt;=VAL_DATE)+(COUNTIF('Dvd Calendar'!$E$1876:$AR$1876,'Dvd Calendar'!$T$1869)=0))&gt;0)=0,"",'Dvd Calendar'!$T$1869*1000000000+ISNUMBER('Dvd Calendar'!$T$1872)*100000000+('Dvd Calendar'!$T$1874=SPECIAL_LBL)*10000000+(N('Dvd Calendar'!$T$1868)&gt;0)*(N('Dvd Calendar'!$T$1868)&lt;=VAL_SERIAL)*1000000+29*1000+16))</f>
        <v/>
      </c>
      <c r="EU188" s="39">
        <f>IF(N('Dvd Calendar'!$U$1869)=0,"",IF(('Dvd Calendar'!$U$1869&gt;=GRID_FROM)*('Dvd Calendar'!$U$1869&lt;=GRID_TO)*((('Dvd Calendar'!$U$1869&lt;=VAL_DATE)+(COUNTIF('Dvd Calendar'!$E$1876:$AR$1876,'Dvd Calendar'!$U$1869)=0))&gt;0)=0,"",'Dvd Calendar'!$U$1869*1000000000+ISNUMBER('Dvd Calendar'!$U$1872)*100000000+('Dvd Calendar'!$U$1874=SPECIAL_LBL)*10000000+(N('Dvd Calendar'!$U$1868)&gt;0)*(N('Dvd Calendar'!$U$1868)&lt;=VAL_SERIAL)*1000000+29*1000+17))</f>
        <v/>
      </c>
      <c r="EV188" s="39">
        <f>IF(N('Dvd Calendar'!$V$1869)=0,"",IF(('Dvd Calendar'!$V$1869&gt;=GRID_FROM)*('Dvd Calendar'!$V$1869&lt;=GRID_TO)*((('Dvd Calendar'!$V$1869&lt;=VAL_DATE)+(COUNTIF('Dvd Calendar'!$E$1876:$AR$1876,'Dvd Calendar'!$V$1869)=0))&gt;0)=0,"",'Dvd Calendar'!$V$1869*1000000000+ISNUMBER('Dvd Calendar'!$V$1872)*100000000+('Dvd Calendar'!$V$1874=SPECIAL_LBL)*10000000+(N('Dvd Calendar'!$V$1868)&gt;0)*(N('Dvd Calendar'!$V$1868)&lt;=VAL_SERIAL)*1000000+29*1000+18))</f>
        <v/>
      </c>
      <c r="EW188" s="39">
        <f>IF(N('Dvd Calendar'!$W$1869)=0,"",IF(('Dvd Calendar'!$W$1869&gt;=GRID_FROM)*('Dvd Calendar'!$W$1869&lt;=GRID_TO)*((('Dvd Calendar'!$W$1869&lt;=VAL_DATE)+(COUNTIF('Dvd Calendar'!$E$1876:$AR$1876,'Dvd Calendar'!$W$1869)=0))&gt;0)=0,"",'Dvd Calendar'!$W$1869*1000000000+ISNUMBER('Dvd Calendar'!$W$1872)*100000000+('Dvd Calendar'!$W$1874=SPECIAL_LBL)*10000000+(N('Dvd Calendar'!$W$1868)&gt;0)*(N('Dvd Calendar'!$W$1868)&lt;=VAL_SERIAL)*1000000+29*1000+19))</f>
        <v/>
      </c>
      <c r="EX188" s="39">
        <f>IF(N('Dvd Calendar'!$X$1869)=0,"",IF(('Dvd Calendar'!$X$1869&gt;=GRID_FROM)*('Dvd Calendar'!$X$1869&lt;=GRID_TO)*((('Dvd Calendar'!$X$1869&lt;=VAL_DATE)+(COUNTIF('Dvd Calendar'!$E$1876:$AR$1876,'Dvd Calendar'!$X$1869)=0))&gt;0)=0,"",'Dvd Calendar'!$X$1869*1000000000+ISNUMBER('Dvd Calendar'!$X$1872)*100000000+('Dvd Calendar'!$X$1874=SPECIAL_LBL)*10000000+(N('Dvd Calendar'!$X$1868)&gt;0)*(N('Dvd Calendar'!$X$1868)&lt;=VAL_SERIAL)*1000000+29*1000+20))</f>
        <v/>
      </c>
      <c r="EY188" s="39">
        <f>IF(N('Dvd Calendar'!$Y$1869)=0,"",IF(('Dvd Calendar'!$Y$1869&gt;=GRID_FROM)*('Dvd Calendar'!$Y$1869&lt;=GRID_TO)*((('Dvd Calendar'!$Y$1869&lt;=VAL_DATE)+(COUNTIF('Dvd Calendar'!$E$1876:$AR$1876,'Dvd Calendar'!$Y$1869)=0))&gt;0)=0,"",'Dvd Calendar'!$Y$1869*1000000000+ISNUMBER('Dvd Calendar'!$Y$1872)*100000000+('Dvd Calendar'!$Y$1874=SPECIAL_LBL)*10000000+(N('Dvd Calendar'!$Y$1868)&gt;0)*(N('Dvd Calendar'!$Y$1868)&lt;=VAL_SERIAL)*1000000+29*1000+21))</f>
        <v/>
      </c>
      <c r="EZ188" s="39">
        <f>IF(N('Dvd Calendar'!$Z$1869)=0,"",IF(('Dvd Calendar'!$Z$1869&gt;=GRID_FROM)*('Dvd Calendar'!$Z$1869&lt;=GRID_TO)*((('Dvd Calendar'!$Z$1869&lt;=VAL_DATE)+(COUNTIF('Dvd Calendar'!$E$1876:$AR$1876,'Dvd Calendar'!$Z$1869)=0))&gt;0)=0,"",'Dvd Calendar'!$Z$1869*1000000000+ISNUMBER('Dvd Calendar'!$Z$1872)*100000000+('Dvd Calendar'!$Z$1874=SPECIAL_LBL)*10000000+(N('Dvd Calendar'!$Z$1868)&gt;0)*(N('Dvd Calendar'!$Z$1868)&lt;=VAL_SERIAL)*1000000+29*1000+22))</f>
        <v/>
      </c>
      <c r="FA188" s="39">
        <f>IF(N('Dvd Calendar'!$AA$1869)=0,"",IF(('Dvd Calendar'!$AA$1869&gt;=GRID_FROM)*('Dvd Calendar'!$AA$1869&lt;=GRID_TO)*((('Dvd Calendar'!$AA$1869&lt;=VAL_DATE)+(COUNTIF('Dvd Calendar'!$E$1876:$AR$1876,'Dvd Calendar'!$AA$1869)=0))&gt;0)=0,"",'Dvd Calendar'!$AA$1869*1000000000+ISNUMBER('Dvd Calendar'!$AA$1872)*100000000+('Dvd Calendar'!$AA$1874=SPECIAL_LBL)*10000000+(N('Dvd Calendar'!$AA$1868)&gt;0)*(N('Dvd Calendar'!$AA$1868)&lt;=VAL_SERIAL)*1000000+29*1000+23))</f>
        <v/>
      </c>
      <c r="FB188" s="39">
        <f>IF(N('Dvd Calendar'!$AB$1869)=0,"",IF(('Dvd Calendar'!$AB$1869&gt;=GRID_FROM)*('Dvd Calendar'!$AB$1869&lt;=GRID_TO)*((('Dvd Calendar'!$AB$1869&lt;=VAL_DATE)+(COUNTIF('Dvd Calendar'!$E$1876:$AR$1876,'Dvd Calendar'!$AB$1869)=0))&gt;0)=0,"",'Dvd Calendar'!$AB$1869*1000000000+ISNUMBER('Dvd Calendar'!$AB$1872)*100000000+('Dvd Calendar'!$AB$1874=SPECIAL_LBL)*10000000+(N('Dvd Calendar'!$AB$1868)&gt;0)*(N('Dvd Calendar'!$AB$1868)&lt;=VAL_SERIAL)*1000000+29*1000+24))</f>
        <v/>
      </c>
      <c r="FC188" s="39">
        <f>IF(N('Dvd Calendar'!$AC$1869)=0,"",IF(('Dvd Calendar'!$AC$1869&gt;=GRID_FROM)*('Dvd Calendar'!$AC$1869&lt;=GRID_TO)*((('Dvd Calendar'!$AC$1869&lt;=VAL_DATE)+(COUNTIF('Dvd Calendar'!$E$1876:$AR$1876,'Dvd Calendar'!$AC$1869)=0))&gt;0)=0,"",'Dvd Calendar'!$AC$1869*1000000000+ISNUMBER('Dvd Calendar'!$AC$1872)*100000000+('Dvd Calendar'!$AC$1874=SPECIAL_LBL)*10000000+(N('Dvd Calendar'!$AC$1868)&gt;0)*(N('Dvd Calendar'!$AC$1868)&lt;=VAL_SERIAL)*1000000+29*1000+25))</f>
        <v/>
      </c>
      <c r="FD188" s="39">
        <f>IF(N('Dvd Calendar'!$AD$1869)=0,"",IF(('Dvd Calendar'!$AD$1869&gt;=GRID_FROM)*('Dvd Calendar'!$AD$1869&lt;=GRID_TO)*((('Dvd Calendar'!$AD$1869&lt;=VAL_DATE)+(COUNTIF('Dvd Calendar'!$E$1876:$AR$1876,'Dvd Calendar'!$AD$1869)=0))&gt;0)=0,"",'Dvd Calendar'!$AD$1869*1000000000+ISNUMBER('Dvd Calendar'!$AD$1872)*100000000+('Dvd Calendar'!$AD$1874=SPECIAL_LBL)*10000000+(N('Dvd Calendar'!$AD$1868)&gt;0)*(N('Dvd Calendar'!$AD$1868)&lt;=VAL_SERIAL)*1000000+29*1000+26))</f>
        <v/>
      </c>
      <c r="FE188" s="39">
        <f>IF(N('Dvd Calendar'!$AE$1869)=0,"",IF(('Dvd Calendar'!$AE$1869&gt;=GRID_FROM)*('Dvd Calendar'!$AE$1869&lt;=GRID_TO)*((('Dvd Calendar'!$AE$1869&lt;=VAL_DATE)+(COUNTIF('Dvd Calendar'!$E$1876:$AR$1876,'Dvd Calendar'!$AE$1869)=0))&gt;0)=0,"",'Dvd Calendar'!$AE$1869*1000000000+ISNUMBER('Dvd Calendar'!$AE$1872)*100000000+('Dvd Calendar'!$AE$1874=SPECIAL_LBL)*10000000+(N('Dvd Calendar'!$AE$1868)&gt;0)*(N('Dvd Calendar'!$AE$1868)&lt;=VAL_SERIAL)*1000000+29*1000+27))</f>
        <v/>
      </c>
      <c r="FF188" s="39">
        <f>IF(N('Dvd Calendar'!$AF$1869)=0,"",IF(('Dvd Calendar'!$AF$1869&gt;=GRID_FROM)*('Dvd Calendar'!$AF$1869&lt;=GRID_TO)*((('Dvd Calendar'!$AF$1869&lt;=VAL_DATE)+(COUNTIF('Dvd Calendar'!$E$1876:$AR$1876,'Dvd Calendar'!$AF$1869)=0))&gt;0)=0,"",'Dvd Calendar'!$AF$1869*1000000000+ISNUMBER('Dvd Calendar'!$AF$1872)*100000000+('Dvd Calendar'!$AF$1874=SPECIAL_LBL)*10000000+(N('Dvd Calendar'!$AF$1868)&gt;0)*(N('Dvd Calendar'!$AF$1868)&lt;=VAL_SERIAL)*1000000+29*1000+28))</f>
        <v/>
      </c>
      <c r="FG188" s="39">
        <f>IF(N('Dvd Calendar'!$AG$1869)=0,"",IF(('Dvd Calendar'!$AG$1869&gt;=GRID_FROM)*('Dvd Calendar'!$AG$1869&lt;=GRID_TO)*((('Dvd Calendar'!$AG$1869&lt;=VAL_DATE)+(COUNTIF('Dvd Calendar'!$E$1876:$AR$1876,'Dvd Calendar'!$AG$1869)=0))&gt;0)=0,"",'Dvd Calendar'!$AG$1869*1000000000+ISNUMBER('Dvd Calendar'!$AG$1872)*100000000+('Dvd Calendar'!$AG$1874=SPECIAL_LBL)*10000000+(N('Dvd Calendar'!$AG$1868)&gt;0)*(N('Dvd Calendar'!$AG$1868)&lt;=VAL_SERIAL)*1000000+29*1000+29))</f>
        <v/>
      </c>
      <c r="FH188" s="39">
        <f>IF(N('Dvd Calendar'!$AH$1869)=0,"",IF(('Dvd Calendar'!$AH$1869&gt;=GRID_FROM)*('Dvd Calendar'!$AH$1869&lt;=GRID_TO)*((('Dvd Calendar'!$AH$1869&lt;=VAL_DATE)+(COUNTIF('Dvd Calendar'!$E$1876:$AR$1876,'Dvd Calendar'!$AH$1869)=0))&gt;0)=0,"",'Dvd Calendar'!$AH$1869*1000000000+ISNUMBER('Dvd Calendar'!$AH$1872)*100000000+('Dvd Calendar'!$AH$1874=SPECIAL_LBL)*10000000+(N('Dvd Calendar'!$AH$1868)&gt;0)*(N('Dvd Calendar'!$AH$1868)&lt;=VAL_SERIAL)*1000000+29*1000+30))</f>
        <v/>
      </c>
      <c r="FI188" s="39">
        <f>IF(N('Dvd Calendar'!$AI$1869)=0,"",IF(('Dvd Calendar'!$AI$1869&gt;=GRID_FROM)*('Dvd Calendar'!$AI$1869&lt;=GRID_TO)*((('Dvd Calendar'!$AI$1869&lt;=VAL_DATE)+(COUNTIF('Dvd Calendar'!$E$1876:$AR$1876,'Dvd Calendar'!$AI$1869)=0))&gt;0)=0,"",'Dvd Calendar'!$AI$1869*1000000000+ISNUMBER('Dvd Calendar'!$AI$1872)*100000000+('Dvd Calendar'!$AI$1874=SPECIAL_LBL)*10000000+(N('Dvd Calendar'!$AI$1868)&gt;0)*(N('Dvd Calendar'!$AI$1868)&lt;=VAL_SERIAL)*1000000+29*1000+31))</f>
        <v/>
      </c>
      <c r="FJ188" s="39">
        <f>IF(N('Dvd Calendar'!$AJ$1869)=0,"",IF(('Dvd Calendar'!$AJ$1869&gt;=GRID_FROM)*('Dvd Calendar'!$AJ$1869&lt;=GRID_TO)*((('Dvd Calendar'!$AJ$1869&lt;=VAL_DATE)+(COUNTIF('Dvd Calendar'!$E$1876:$AR$1876,'Dvd Calendar'!$AJ$1869)=0))&gt;0)=0,"",'Dvd Calendar'!$AJ$1869*1000000000+ISNUMBER('Dvd Calendar'!$AJ$1872)*100000000+('Dvd Calendar'!$AJ$1874=SPECIAL_LBL)*10000000+(N('Dvd Calendar'!$AJ$1868)&gt;0)*(N('Dvd Calendar'!$AJ$1868)&lt;=VAL_SERIAL)*1000000+29*1000+32))</f>
        <v/>
      </c>
      <c r="FK188" s="39">
        <f>IF(N('Dvd Calendar'!$AK$1869)=0,"",IF(('Dvd Calendar'!$AK$1869&gt;=GRID_FROM)*('Dvd Calendar'!$AK$1869&lt;=GRID_TO)*((('Dvd Calendar'!$AK$1869&lt;=VAL_DATE)+(COUNTIF('Dvd Calendar'!$E$1876:$AR$1876,'Dvd Calendar'!$AK$1869)=0))&gt;0)=0,"",'Dvd Calendar'!$AK$1869*1000000000+ISNUMBER('Dvd Calendar'!$AK$1872)*100000000+('Dvd Calendar'!$AK$1874=SPECIAL_LBL)*10000000+(N('Dvd Calendar'!$AK$1868)&gt;0)*(N('Dvd Calendar'!$AK$1868)&lt;=VAL_SERIAL)*1000000+29*1000+33))</f>
        <v/>
      </c>
      <c r="FL188" s="39">
        <f>IF(N('Dvd Calendar'!$AL$1869)=0,"",IF(('Dvd Calendar'!$AL$1869&gt;=GRID_FROM)*('Dvd Calendar'!$AL$1869&lt;=GRID_TO)*((('Dvd Calendar'!$AL$1869&lt;=VAL_DATE)+(COUNTIF('Dvd Calendar'!$E$1876:$AR$1876,'Dvd Calendar'!$AL$1869)=0))&gt;0)=0,"",'Dvd Calendar'!$AL$1869*1000000000+ISNUMBER('Dvd Calendar'!$AL$1872)*100000000+('Dvd Calendar'!$AL$1874=SPECIAL_LBL)*10000000+(N('Dvd Calendar'!$AL$1868)&gt;0)*(N('Dvd Calendar'!$AL$1868)&lt;=VAL_SERIAL)*1000000+29*1000+34))</f>
        <v/>
      </c>
      <c r="FM188" s="39">
        <f>IF(N('Dvd Calendar'!$AM$1869)=0,"",IF(('Dvd Calendar'!$AM$1869&gt;=GRID_FROM)*('Dvd Calendar'!$AM$1869&lt;=GRID_TO)*((('Dvd Calendar'!$AM$1869&lt;=VAL_DATE)+(COUNTIF('Dvd Calendar'!$E$1876:$AR$1876,'Dvd Calendar'!$AM$1869)=0))&gt;0)=0,"",'Dvd Calendar'!$AM$1869*1000000000+ISNUMBER('Dvd Calendar'!$AM$1872)*100000000+('Dvd Calendar'!$AM$1874=SPECIAL_LBL)*10000000+(N('Dvd Calendar'!$AM$1868)&gt;0)*(N('Dvd Calendar'!$AM$1868)&lt;=VAL_SERIAL)*1000000+29*1000+35))</f>
        <v/>
      </c>
      <c r="FN188" s="39">
        <f>IF(N('Dvd Calendar'!$AN$1869)=0,"",IF(('Dvd Calendar'!$AN$1869&gt;=GRID_FROM)*('Dvd Calendar'!$AN$1869&lt;=GRID_TO)*((('Dvd Calendar'!$AN$1869&lt;=VAL_DATE)+(COUNTIF('Dvd Calendar'!$E$1876:$AR$1876,'Dvd Calendar'!$AN$1869)=0))&gt;0)=0,"",'Dvd Calendar'!$AN$1869*1000000000+ISNUMBER('Dvd Calendar'!$AN$1872)*100000000+('Dvd Calendar'!$AN$1874=SPECIAL_LBL)*10000000+(N('Dvd Calendar'!$AN$1868)&gt;0)*(N('Dvd Calendar'!$AN$1868)&lt;=VAL_SERIAL)*1000000+29*1000+36))</f>
        <v/>
      </c>
      <c r="FO188" s="39">
        <f>IF(N('Dvd Calendar'!$AO$1869)=0,"",IF(('Dvd Calendar'!$AO$1869&gt;=GRID_FROM)*('Dvd Calendar'!$AO$1869&lt;=GRID_TO)*((('Dvd Calendar'!$AO$1869&lt;=VAL_DATE)+(COUNTIF('Dvd Calendar'!$E$1876:$AR$1876,'Dvd Calendar'!$AO$1869)=0))&gt;0)=0,"",'Dvd Calendar'!$AO$1869*1000000000+ISNUMBER('Dvd Calendar'!$AO$1872)*100000000+('Dvd Calendar'!$AO$1874=SPECIAL_LBL)*10000000+(N('Dvd Calendar'!$AO$1868)&gt;0)*(N('Dvd Calendar'!$AO$1868)&lt;=VAL_SERIAL)*1000000+29*1000+37))</f>
        <v/>
      </c>
      <c r="FP188" s="39">
        <f>IF(N('Dvd Calendar'!$AP$1869)=0,"",IF(('Dvd Calendar'!$AP$1869&gt;=GRID_FROM)*('Dvd Calendar'!$AP$1869&lt;=GRID_TO)*((('Dvd Calendar'!$AP$1869&lt;=VAL_DATE)+(COUNTIF('Dvd Calendar'!$E$1876:$AR$1876,'Dvd Calendar'!$AP$1869)=0))&gt;0)=0,"",'Dvd Calendar'!$AP$1869*1000000000+ISNUMBER('Dvd Calendar'!$AP$1872)*100000000+('Dvd Calendar'!$AP$1874=SPECIAL_LBL)*10000000+(N('Dvd Calendar'!$AP$1868)&gt;0)*(N('Dvd Calendar'!$AP$1868)&lt;=VAL_SERIAL)*1000000+29*1000+38))</f>
        <v/>
      </c>
      <c r="FQ188" s="39">
        <f>IF(N('Dvd Calendar'!$AQ$1869)=0,"",IF(('Dvd Calendar'!$AQ$1869&gt;=GRID_FROM)*('Dvd Calendar'!$AQ$1869&lt;=GRID_TO)*((('Dvd Calendar'!$AQ$1869&lt;=VAL_DATE)+(COUNTIF('Dvd Calendar'!$E$1876:$AR$1876,'Dvd Calendar'!$AQ$1869)=0))&gt;0)=0,"",'Dvd Calendar'!$AQ$1869*1000000000+ISNUMBER('Dvd Calendar'!$AQ$1872)*100000000+('Dvd Calendar'!$AQ$1874=SPECIAL_LBL)*10000000+(N('Dvd Calendar'!$AQ$1868)&gt;0)*(N('Dvd Calendar'!$AQ$1868)&lt;=VAL_SERIAL)*1000000+29*1000+39))</f>
        <v/>
      </c>
      <c r="FR188" s="39">
        <f>IF(N('Dvd Calendar'!$AR$1869)=0,"",IF(('Dvd Calendar'!$AR$1869&gt;=GRID_FROM)*('Dvd Calendar'!$AR$1869&lt;=GRID_TO)*((('Dvd Calendar'!$AR$1869&lt;=VAL_DATE)+(COUNTIF('Dvd Calendar'!$E$1876:$AR$1876,'Dvd Calendar'!$AR$1869)=0))&gt;0)=0,"",'Dvd Calendar'!$AR$1869*1000000000+ISNUMBER('Dvd Calendar'!$AR$1872)*100000000+('Dvd Calendar'!$AR$1874=SPECIAL_LBL)*10000000+(N('Dvd Calendar'!$AR$1868)&gt;0)*(N('Dvd Calendar'!$AR$1868)&lt;=VAL_SERIAL)*1000000+29*1000+40))</f>
        <v/>
      </c>
      <c r="FS188" s="39">
        <f>IF(N('Dvd Calendar'!$E$1876)=0,"",IF(('Dvd Calendar'!$E$1876&gt;=GRID_FROM)*('Dvd Calendar'!$E$1876&lt;=GRID_TO)*('Dvd Calendar'!$E$1876&gt;VAL_DATE)=0,"",'Dvd Calendar'!$E$1876*1000000000+ISNUMBER('Dvd Calendar'!$E$1877)*100000000+0*10000000+(N('Dvd Calendar'!$E$1875)&gt;0)*(N('Dvd Calendar'!$E$1875)&lt;=VAL_SERIAL)*1000000+29*1000+41))</f>
        <v/>
      </c>
      <c r="FT188" s="39">
        <f>IF(N('Dvd Calendar'!$F$1876)=0,"",IF(('Dvd Calendar'!$F$1876&gt;=GRID_FROM)*('Dvd Calendar'!$F$1876&lt;=GRID_TO)*('Dvd Calendar'!$F$1876&gt;VAL_DATE)=0,"",'Dvd Calendar'!$F$1876*1000000000+ISNUMBER('Dvd Calendar'!$F$1877)*100000000+0*10000000+(N('Dvd Calendar'!$F$1875)&gt;0)*(N('Dvd Calendar'!$F$1875)&lt;=VAL_SERIAL)*1000000+29*1000+42))</f>
        <v/>
      </c>
      <c r="FU188" s="39">
        <f>IF(N('Dvd Calendar'!$G$1876)=0,"",IF(('Dvd Calendar'!$G$1876&gt;=GRID_FROM)*('Dvd Calendar'!$G$1876&lt;=GRID_TO)*('Dvd Calendar'!$G$1876&gt;VAL_DATE)=0,"",'Dvd Calendar'!$G$1876*1000000000+ISNUMBER('Dvd Calendar'!$G$1877)*100000000+0*10000000+(N('Dvd Calendar'!$G$1875)&gt;0)*(N('Dvd Calendar'!$G$1875)&lt;=VAL_SERIAL)*1000000+29*1000+43))</f>
        <v/>
      </c>
      <c r="FV188" s="39">
        <f>IF(N('Dvd Calendar'!$H$1876)=0,"",IF(('Dvd Calendar'!$H$1876&gt;=GRID_FROM)*('Dvd Calendar'!$H$1876&lt;=GRID_TO)*('Dvd Calendar'!$H$1876&gt;VAL_DATE)=0,"",'Dvd Calendar'!$H$1876*1000000000+ISNUMBER('Dvd Calendar'!$H$1877)*100000000+0*10000000+(N('Dvd Calendar'!$H$1875)&gt;0)*(N('Dvd Calendar'!$H$1875)&lt;=VAL_SERIAL)*1000000+29*1000+44))</f>
        <v/>
      </c>
      <c r="FW188" s="39">
        <f>IF(N('Dvd Calendar'!$I$1876)=0,"",IF(('Dvd Calendar'!$I$1876&gt;=GRID_FROM)*('Dvd Calendar'!$I$1876&lt;=GRID_TO)*('Dvd Calendar'!$I$1876&gt;VAL_DATE)=0,"",'Dvd Calendar'!$I$1876*1000000000+ISNUMBER('Dvd Calendar'!$I$1877)*100000000+0*10000000+(N('Dvd Calendar'!$I$1875)&gt;0)*(N('Dvd Calendar'!$I$1875)&lt;=VAL_SERIAL)*1000000+29*1000+45))</f>
        <v/>
      </c>
      <c r="FX188" s="39">
        <f>IF(N('Dvd Calendar'!$J$1876)=0,"",IF(('Dvd Calendar'!$J$1876&gt;=GRID_FROM)*('Dvd Calendar'!$J$1876&lt;=GRID_TO)*('Dvd Calendar'!$J$1876&gt;VAL_DATE)=0,"",'Dvd Calendar'!$J$1876*1000000000+ISNUMBER('Dvd Calendar'!$J$1877)*100000000+0*10000000+(N('Dvd Calendar'!$J$1875)&gt;0)*(N('Dvd Calendar'!$J$1875)&lt;=VAL_SERIAL)*1000000+29*1000+46))</f>
        <v/>
      </c>
      <c r="FY188" s="39">
        <f>IF(N('Dvd Calendar'!$K$1876)=0,"",IF(('Dvd Calendar'!$K$1876&gt;=GRID_FROM)*('Dvd Calendar'!$K$1876&lt;=GRID_TO)*('Dvd Calendar'!$K$1876&gt;VAL_DATE)=0,"",'Dvd Calendar'!$K$1876*1000000000+ISNUMBER('Dvd Calendar'!$K$1877)*100000000+0*10000000+(N('Dvd Calendar'!$K$1875)&gt;0)*(N('Dvd Calendar'!$K$1875)&lt;=VAL_SERIAL)*1000000+29*1000+47))</f>
        <v/>
      </c>
      <c r="FZ188" s="39">
        <f>IF(N('Dvd Calendar'!$L$1876)=0,"",IF(('Dvd Calendar'!$L$1876&gt;=GRID_FROM)*('Dvd Calendar'!$L$1876&lt;=GRID_TO)*('Dvd Calendar'!$L$1876&gt;VAL_DATE)=0,"",'Dvd Calendar'!$L$1876*1000000000+ISNUMBER('Dvd Calendar'!$L$1877)*100000000+0*10000000+(N('Dvd Calendar'!$L$1875)&gt;0)*(N('Dvd Calendar'!$L$1875)&lt;=VAL_SERIAL)*1000000+29*1000+48))</f>
        <v/>
      </c>
      <c r="GA188" s="39">
        <f>IF(N('Dvd Calendar'!$M$1876)=0,"",IF(('Dvd Calendar'!$M$1876&gt;=GRID_FROM)*('Dvd Calendar'!$M$1876&lt;=GRID_TO)*('Dvd Calendar'!$M$1876&gt;VAL_DATE)=0,"",'Dvd Calendar'!$M$1876*1000000000+ISNUMBER('Dvd Calendar'!$M$1877)*100000000+0*10000000+(N('Dvd Calendar'!$M$1875)&gt;0)*(N('Dvd Calendar'!$M$1875)&lt;=VAL_SERIAL)*1000000+29*1000+49))</f>
        <v/>
      </c>
      <c r="GB188" s="39">
        <f>IF(N('Dvd Calendar'!$N$1876)=0,"",IF(('Dvd Calendar'!$N$1876&gt;=GRID_FROM)*('Dvd Calendar'!$N$1876&lt;=GRID_TO)*('Dvd Calendar'!$N$1876&gt;VAL_DATE)=0,"",'Dvd Calendar'!$N$1876*1000000000+ISNUMBER('Dvd Calendar'!$N$1877)*100000000+0*10000000+(N('Dvd Calendar'!$N$1875)&gt;0)*(N('Dvd Calendar'!$N$1875)&lt;=VAL_SERIAL)*1000000+29*1000+50))</f>
        <v/>
      </c>
      <c r="GC188" s="39">
        <f>IF(N('Dvd Calendar'!$O$1876)=0,"",IF(('Dvd Calendar'!$O$1876&gt;=GRID_FROM)*('Dvd Calendar'!$O$1876&lt;=GRID_TO)*('Dvd Calendar'!$O$1876&gt;VAL_DATE)=0,"",'Dvd Calendar'!$O$1876*1000000000+ISNUMBER('Dvd Calendar'!$O$1877)*100000000+0*10000000+(N('Dvd Calendar'!$O$1875)&gt;0)*(N('Dvd Calendar'!$O$1875)&lt;=VAL_SERIAL)*1000000+29*1000+51))</f>
        <v/>
      </c>
      <c r="GD188" s="39">
        <f>IF(N('Dvd Calendar'!$P$1876)=0,"",IF(('Dvd Calendar'!$P$1876&gt;=GRID_FROM)*('Dvd Calendar'!$P$1876&lt;=GRID_TO)*('Dvd Calendar'!$P$1876&gt;VAL_DATE)=0,"",'Dvd Calendar'!$P$1876*1000000000+ISNUMBER('Dvd Calendar'!$P$1877)*100000000+0*10000000+(N('Dvd Calendar'!$P$1875)&gt;0)*(N('Dvd Calendar'!$P$1875)&lt;=VAL_SERIAL)*1000000+29*1000+52))</f>
        <v/>
      </c>
      <c r="GE188" s="39">
        <f>IF(N('Dvd Calendar'!$Q$1876)=0,"",IF(('Dvd Calendar'!$Q$1876&gt;=GRID_FROM)*('Dvd Calendar'!$Q$1876&lt;=GRID_TO)*('Dvd Calendar'!$Q$1876&gt;VAL_DATE)=0,"",'Dvd Calendar'!$Q$1876*1000000000+ISNUMBER('Dvd Calendar'!$Q$1877)*100000000+0*10000000+(N('Dvd Calendar'!$Q$1875)&gt;0)*(N('Dvd Calendar'!$Q$1875)&lt;=VAL_SERIAL)*1000000+29*1000+53))</f>
        <v/>
      </c>
      <c r="GF188" s="39">
        <f>IF(N('Dvd Calendar'!$R$1876)=0,"",IF(('Dvd Calendar'!$R$1876&gt;=GRID_FROM)*('Dvd Calendar'!$R$1876&lt;=GRID_TO)*('Dvd Calendar'!$R$1876&gt;VAL_DATE)=0,"",'Dvd Calendar'!$R$1876*1000000000+ISNUMBER('Dvd Calendar'!$R$1877)*100000000+0*10000000+(N('Dvd Calendar'!$R$1875)&gt;0)*(N('Dvd Calendar'!$R$1875)&lt;=VAL_SERIAL)*1000000+29*1000+54))</f>
        <v/>
      </c>
      <c r="GG188" s="39">
        <f>IF(N('Dvd Calendar'!$S$1876)=0,"",IF(('Dvd Calendar'!$S$1876&gt;=GRID_FROM)*('Dvd Calendar'!$S$1876&lt;=GRID_TO)*('Dvd Calendar'!$S$1876&gt;VAL_DATE)=0,"",'Dvd Calendar'!$S$1876*1000000000+ISNUMBER('Dvd Calendar'!$S$1877)*100000000+0*10000000+(N('Dvd Calendar'!$S$1875)&gt;0)*(N('Dvd Calendar'!$S$1875)&lt;=VAL_SERIAL)*1000000+29*1000+55))</f>
        <v/>
      </c>
      <c r="GH188" s="39">
        <f>IF(N('Dvd Calendar'!$T$1876)=0,"",IF(('Dvd Calendar'!$T$1876&gt;=GRID_FROM)*('Dvd Calendar'!$T$1876&lt;=GRID_TO)*('Dvd Calendar'!$T$1876&gt;VAL_DATE)=0,"",'Dvd Calendar'!$T$1876*1000000000+ISNUMBER('Dvd Calendar'!$T$1877)*100000000+0*10000000+(N('Dvd Calendar'!$T$1875)&gt;0)*(N('Dvd Calendar'!$T$1875)&lt;=VAL_SERIAL)*1000000+29*1000+56))</f>
        <v/>
      </c>
      <c r="GI188" s="39">
        <f>IF(N('Dvd Calendar'!$U$1876)=0,"",IF(('Dvd Calendar'!$U$1876&gt;=GRID_FROM)*('Dvd Calendar'!$U$1876&lt;=GRID_TO)*('Dvd Calendar'!$U$1876&gt;VAL_DATE)=0,"",'Dvd Calendar'!$U$1876*1000000000+ISNUMBER('Dvd Calendar'!$U$1877)*100000000+0*10000000+(N('Dvd Calendar'!$U$1875)&gt;0)*(N('Dvd Calendar'!$U$1875)&lt;=VAL_SERIAL)*1000000+29*1000+57))</f>
        <v/>
      </c>
      <c r="GJ188" s="39">
        <f>IF(N('Dvd Calendar'!$V$1876)=0,"",IF(('Dvd Calendar'!$V$1876&gt;=GRID_FROM)*('Dvd Calendar'!$V$1876&lt;=GRID_TO)*('Dvd Calendar'!$V$1876&gt;VAL_DATE)=0,"",'Dvd Calendar'!$V$1876*1000000000+ISNUMBER('Dvd Calendar'!$V$1877)*100000000+0*10000000+(N('Dvd Calendar'!$V$1875)&gt;0)*(N('Dvd Calendar'!$V$1875)&lt;=VAL_SERIAL)*1000000+29*1000+58))</f>
        <v/>
      </c>
      <c r="GK188" s="39">
        <f>IF(N('Dvd Calendar'!$W$1876)=0,"",IF(('Dvd Calendar'!$W$1876&gt;=GRID_FROM)*('Dvd Calendar'!$W$1876&lt;=GRID_TO)*('Dvd Calendar'!$W$1876&gt;VAL_DATE)=0,"",'Dvd Calendar'!$W$1876*1000000000+ISNUMBER('Dvd Calendar'!$W$1877)*100000000+0*10000000+(N('Dvd Calendar'!$W$1875)&gt;0)*(N('Dvd Calendar'!$W$1875)&lt;=VAL_SERIAL)*1000000+29*1000+59))</f>
        <v/>
      </c>
      <c r="GL188" s="39">
        <f>IF(N('Dvd Calendar'!$X$1876)=0,"",IF(('Dvd Calendar'!$X$1876&gt;=GRID_FROM)*('Dvd Calendar'!$X$1876&lt;=GRID_TO)*('Dvd Calendar'!$X$1876&gt;VAL_DATE)=0,"",'Dvd Calendar'!$X$1876*1000000000+ISNUMBER('Dvd Calendar'!$X$1877)*100000000+0*10000000+(N('Dvd Calendar'!$X$1875)&gt;0)*(N('Dvd Calendar'!$X$1875)&lt;=VAL_SERIAL)*1000000+29*1000+60))</f>
        <v/>
      </c>
      <c r="GM188" s="39">
        <f>IF(N('Dvd Calendar'!$Y$1876)=0,"",IF(('Dvd Calendar'!$Y$1876&gt;=GRID_FROM)*('Dvd Calendar'!$Y$1876&lt;=GRID_TO)*('Dvd Calendar'!$Y$1876&gt;VAL_DATE)=0,"",'Dvd Calendar'!$Y$1876*1000000000+ISNUMBER('Dvd Calendar'!$Y$1877)*100000000+0*10000000+(N('Dvd Calendar'!$Y$1875)&gt;0)*(N('Dvd Calendar'!$Y$1875)&lt;=VAL_SERIAL)*1000000+29*1000+61))</f>
        <v/>
      </c>
      <c r="GN188" s="39">
        <f>IF(N('Dvd Calendar'!$Z$1876)=0,"",IF(('Dvd Calendar'!$Z$1876&gt;=GRID_FROM)*('Dvd Calendar'!$Z$1876&lt;=GRID_TO)*('Dvd Calendar'!$Z$1876&gt;VAL_DATE)=0,"",'Dvd Calendar'!$Z$1876*1000000000+ISNUMBER('Dvd Calendar'!$Z$1877)*100000000+0*10000000+(N('Dvd Calendar'!$Z$1875)&gt;0)*(N('Dvd Calendar'!$Z$1875)&lt;=VAL_SERIAL)*1000000+29*1000+62))</f>
        <v/>
      </c>
      <c r="GO188" s="39">
        <f>IF(N('Dvd Calendar'!$AA$1876)=0,"",IF(('Dvd Calendar'!$AA$1876&gt;=GRID_FROM)*('Dvd Calendar'!$AA$1876&lt;=GRID_TO)*('Dvd Calendar'!$AA$1876&gt;VAL_DATE)=0,"",'Dvd Calendar'!$AA$1876*1000000000+ISNUMBER('Dvd Calendar'!$AA$1877)*100000000+0*10000000+(N('Dvd Calendar'!$AA$1875)&gt;0)*(N('Dvd Calendar'!$AA$1875)&lt;=VAL_SERIAL)*1000000+29*1000+63))</f>
        <v/>
      </c>
      <c r="GP188" s="39">
        <f>IF(N('Dvd Calendar'!$AB$1876)=0,"",IF(('Dvd Calendar'!$AB$1876&gt;=GRID_FROM)*('Dvd Calendar'!$AB$1876&lt;=GRID_TO)*('Dvd Calendar'!$AB$1876&gt;VAL_DATE)=0,"",'Dvd Calendar'!$AB$1876*1000000000+ISNUMBER('Dvd Calendar'!$AB$1877)*100000000+0*10000000+(N('Dvd Calendar'!$AB$1875)&gt;0)*(N('Dvd Calendar'!$AB$1875)&lt;=VAL_SERIAL)*1000000+29*1000+64))</f>
        <v/>
      </c>
      <c r="GQ188" s="39">
        <f>IF(N('Dvd Calendar'!$AC$1876)=0,"",IF(('Dvd Calendar'!$AC$1876&gt;=GRID_FROM)*('Dvd Calendar'!$AC$1876&lt;=GRID_TO)*('Dvd Calendar'!$AC$1876&gt;VAL_DATE)=0,"",'Dvd Calendar'!$AC$1876*1000000000+ISNUMBER('Dvd Calendar'!$AC$1877)*100000000+0*10000000+(N('Dvd Calendar'!$AC$1875)&gt;0)*(N('Dvd Calendar'!$AC$1875)&lt;=VAL_SERIAL)*1000000+29*1000+65))</f>
        <v/>
      </c>
    </row>
    <row r="189">
      <c r="B189" s="2">
        <f>IF(HSCEI!$C$36="","",HSCEI!$C$36)</f>
        <v/>
      </c>
      <c r="C189" s="110">
        <f>IF(EE189="","",IF(ISNUMBER('Dvd Calendar'!$E$1883)=FALSE,"",IF((('Dvd Calendar'!$E$1885=TYPE1)*(TYPE1&lt;&gt;"")+('Dvd Calendar'!$E$1885=TYPE2)*(TYPE2&lt;&gt;"")+('Dvd Calendar'!$E$1885=TYPE3)*(TYPE3&lt;&gt;"")+('Dvd Calendar'!$E$1885=TYPE4)*(TYPE4&lt;&gt;"")+('Dvd Calendar'!$E$1885=SPECIAL_LBL)*(INC_SPECIALS="Y"))=0,"",'Dvd Calendar'!$E$1883)))</f>
        <v/>
      </c>
      <c r="D189" s="110">
        <f>IF(EF189="","",IF(ISNUMBER('Dvd Calendar'!$F$1883)=FALSE,"",IF((('Dvd Calendar'!$F$1885=TYPE1)*(TYPE1&lt;&gt;"")+('Dvd Calendar'!$F$1885=TYPE2)*(TYPE2&lt;&gt;"")+('Dvd Calendar'!$F$1885=TYPE3)*(TYPE3&lt;&gt;"")+('Dvd Calendar'!$F$1885=TYPE4)*(TYPE4&lt;&gt;"")+('Dvd Calendar'!$F$1885=SPECIAL_LBL)*(INC_SPECIALS="Y"))=0,"",'Dvd Calendar'!$F$1883)))</f>
        <v/>
      </c>
      <c r="E189" s="110">
        <f>IF(EG189="","",IF(ISNUMBER('Dvd Calendar'!$G$1883)=FALSE,"",IF((('Dvd Calendar'!$G$1885=TYPE1)*(TYPE1&lt;&gt;"")+('Dvd Calendar'!$G$1885=TYPE2)*(TYPE2&lt;&gt;"")+('Dvd Calendar'!$G$1885=TYPE3)*(TYPE3&lt;&gt;"")+('Dvd Calendar'!$G$1885=TYPE4)*(TYPE4&lt;&gt;"")+('Dvd Calendar'!$G$1885=SPECIAL_LBL)*(INC_SPECIALS="Y"))=0,"",'Dvd Calendar'!$G$1883)))</f>
        <v/>
      </c>
      <c r="F189" s="110">
        <f>IF(EH189="","",IF(ISNUMBER('Dvd Calendar'!$H$1883)=FALSE,"",IF((('Dvd Calendar'!$H$1885=TYPE1)*(TYPE1&lt;&gt;"")+('Dvd Calendar'!$H$1885=TYPE2)*(TYPE2&lt;&gt;"")+('Dvd Calendar'!$H$1885=TYPE3)*(TYPE3&lt;&gt;"")+('Dvd Calendar'!$H$1885=TYPE4)*(TYPE4&lt;&gt;"")+('Dvd Calendar'!$H$1885=SPECIAL_LBL)*(INC_SPECIALS="Y"))=0,"",'Dvd Calendar'!$H$1883)))</f>
        <v/>
      </c>
      <c r="G189" s="110">
        <f>IF(EI189="","",IF(ISNUMBER('Dvd Calendar'!$I$1883)=FALSE,"",IF((('Dvd Calendar'!$I$1885=TYPE1)*(TYPE1&lt;&gt;"")+('Dvd Calendar'!$I$1885=TYPE2)*(TYPE2&lt;&gt;"")+('Dvd Calendar'!$I$1885=TYPE3)*(TYPE3&lt;&gt;"")+('Dvd Calendar'!$I$1885=TYPE4)*(TYPE4&lt;&gt;"")+('Dvd Calendar'!$I$1885=SPECIAL_LBL)*(INC_SPECIALS="Y"))=0,"",'Dvd Calendar'!$I$1883)))</f>
        <v/>
      </c>
      <c r="H189" s="110">
        <f>IF(EJ189="","",IF(ISNUMBER('Dvd Calendar'!$J$1883)=FALSE,"",IF((('Dvd Calendar'!$J$1885=TYPE1)*(TYPE1&lt;&gt;"")+('Dvd Calendar'!$J$1885=TYPE2)*(TYPE2&lt;&gt;"")+('Dvd Calendar'!$J$1885=TYPE3)*(TYPE3&lt;&gt;"")+('Dvd Calendar'!$J$1885=TYPE4)*(TYPE4&lt;&gt;"")+('Dvd Calendar'!$J$1885=SPECIAL_LBL)*(INC_SPECIALS="Y"))=0,"",'Dvd Calendar'!$J$1883)))</f>
        <v/>
      </c>
      <c r="I189" s="110">
        <f>IF(EK189="","",IF(ISNUMBER('Dvd Calendar'!$K$1883)=FALSE,"",IF((('Dvd Calendar'!$K$1885=TYPE1)*(TYPE1&lt;&gt;"")+('Dvd Calendar'!$K$1885=TYPE2)*(TYPE2&lt;&gt;"")+('Dvd Calendar'!$K$1885=TYPE3)*(TYPE3&lt;&gt;"")+('Dvd Calendar'!$K$1885=TYPE4)*(TYPE4&lt;&gt;"")+('Dvd Calendar'!$K$1885=SPECIAL_LBL)*(INC_SPECIALS="Y"))=0,"",'Dvd Calendar'!$K$1883)))</f>
        <v/>
      </c>
      <c r="J189" s="110">
        <f>IF(EL189="","",IF(ISNUMBER('Dvd Calendar'!$L$1883)=FALSE,"",IF((('Dvd Calendar'!$L$1885=TYPE1)*(TYPE1&lt;&gt;"")+('Dvd Calendar'!$L$1885=TYPE2)*(TYPE2&lt;&gt;"")+('Dvd Calendar'!$L$1885=TYPE3)*(TYPE3&lt;&gt;"")+('Dvd Calendar'!$L$1885=TYPE4)*(TYPE4&lt;&gt;"")+('Dvd Calendar'!$L$1885=SPECIAL_LBL)*(INC_SPECIALS="Y"))=0,"",'Dvd Calendar'!$L$1883)))</f>
        <v/>
      </c>
      <c r="K189" s="110">
        <f>IF(EM189="","",IF(ISNUMBER('Dvd Calendar'!$M$1883)=FALSE,"",IF((('Dvd Calendar'!$M$1885=TYPE1)*(TYPE1&lt;&gt;"")+('Dvd Calendar'!$M$1885=TYPE2)*(TYPE2&lt;&gt;"")+('Dvd Calendar'!$M$1885=TYPE3)*(TYPE3&lt;&gt;"")+('Dvd Calendar'!$M$1885=TYPE4)*(TYPE4&lt;&gt;"")+('Dvd Calendar'!$M$1885=SPECIAL_LBL)*(INC_SPECIALS="Y"))=0,"",'Dvd Calendar'!$M$1883)))</f>
        <v/>
      </c>
      <c r="L189" s="110">
        <f>IF(EN189="","",IF(ISNUMBER('Dvd Calendar'!$N$1883)=FALSE,"",IF((('Dvd Calendar'!$N$1885=TYPE1)*(TYPE1&lt;&gt;"")+('Dvd Calendar'!$N$1885=TYPE2)*(TYPE2&lt;&gt;"")+('Dvd Calendar'!$N$1885=TYPE3)*(TYPE3&lt;&gt;"")+('Dvd Calendar'!$N$1885=TYPE4)*(TYPE4&lt;&gt;"")+('Dvd Calendar'!$N$1885=SPECIAL_LBL)*(INC_SPECIALS="Y"))=0,"",'Dvd Calendar'!$N$1883)))</f>
        <v/>
      </c>
      <c r="M189" s="110">
        <f>IF(EO189="","",IF(ISNUMBER('Dvd Calendar'!$O$1883)=FALSE,"",IF((('Dvd Calendar'!$O$1885=TYPE1)*(TYPE1&lt;&gt;"")+('Dvd Calendar'!$O$1885=TYPE2)*(TYPE2&lt;&gt;"")+('Dvd Calendar'!$O$1885=TYPE3)*(TYPE3&lt;&gt;"")+('Dvd Calendar'!$O$1885=TYPE4)*(TYPE4&lt;&gt;"")+('Dvd Calendar'!$O$1885=SPECIAL_LBL)*(INC_SPECIALS="Y"))=0,"",'Dvd Calendar'!$O$1883)))</f>
        <v/>
      </c>
      <c r="N189" s="110">
        <f>IF(EP189="","",IF(ISNUMBER('Dvd Calendar'!$P$1883)=FALSE,"",IF((('Dvd Calendar'!$P$1885=TYPE1)*(TYPE1&lt;&gt;"")+('Dvd Calendar'!$P$1885=TYPE2)*(TYPE2&lt;&gt;"")+('Dvd Calendar'!$P$1885=TYPE3)*(TYPE3&lt;&gt;"")+('Dvd Calendar'!$P$1885=TYPE4)*(TYPE4&lt;&gt;"")+('Dvd Calendar'!$P$1885=SPECIAL_LBL)*(INC_SPECIALS="Y"))=0,"",'Dvd Calendar'!$P$1883)))</f>
        <v/>
      </c>
      <c r="O189" s="110">
        <f>IF(EQ189="","",IF(ISNUMBER('Dvd Calendar'!$Q$1883)=FALSE,"",IF((('Dvd Calendar'!$Q$1885=TYPE1)*(TYPE1&lt;&gt;"")+('Dvd Calendar'!$Q$1885=TYPE2)*(TYPE2&lt;&gt;"")+('Dvd Calendar'!$Q$1885=TYPE3)*(TYPE3&lt;&gt;"")+('Dvd Calendar'!$Q$1885=TYPE4)*(TYPE4&lt;&gt;"")+('Dvd Calendar'!$Q$1885=SPECIAL_LBL)*(INC_SPECIALS="Y"))=0,"",'Dvd Calendar'!$Q$1883)))</f>
        <v/>
      </c>
      <c r="P189" s="110">
        <f>IF(ER189="","",IF(ISNUMBER('Dvd Calendar'!$R$1883)=FALSE,"",IF((('Dvd Calendar'!$R$1885=TYPE1)*(TYPE1&lt;&gt;"")+('Dvd Calendar'!$R$1885=TYPE2)*(TYPE2&lt;&gt;"")+('Dvd Calendar'!$R$1885=TYPE3)*(TYPE3&lt;&gt;"")+('Dvd Calendar'!$R$1885=TYPE4)*(TYPE4&lt;&gt;"")+('Dvd Calendar'!$R$1885=SPECIAL_LBL)*(INC_SPECIALS="Y"))=0,"",'Dvd Calendar'!$R$1883)))</f>
        <v/>
      </c>
      <c r="Q189" s="110">
        <f>IF(ES189="","",IF(ISNUMBER('Dvd Calendar'!$S$1883)=FALSE,"",IF((('Dvd Calendar'!$S$1885=TYPE1)*(TYPE1&lt;&gt;"")+('Dvd Calendar'!$S$1885=TYPE2)*(TYPE2&lt;&gt;"")+('Dvd Calendar'!$S$1885=TYPE3)*(TYPE3&lt;&gt;"")+('Dvd Calendar'!$S$1885=TYPE4)*(TYPE4&lt;&gt;"")+('Dvd Calendar'!$S$1885=SPECIAL_LBL)*(INC_SPECIALS="Y"))=0,"",'Dvd Calendar'!$S$1883)))</f>
        <v/>
      </c>
      <c r="R189" s="110">
        <f>IF(ET189="","",IF(ISNUMBER('Dvd Calendar'!$T$1883)=FALSE,"",IF((('Dvd Calendar'!$T$1885=TYPE1)*(TYPE1&lt;&gt;"")+('Dvd Calendar'!$T$1885=TYPE2)*(TYPE2&lt;&gt;"")+('Dvd Calendar'!$T$1885=TYPE3)*(TYPE3&lt;&gt;"")+('Dvd Calendar'!$T$1885=TYPE4)*(TYPE4&lt;&gt;"")+('Dvd Calendar'!$T$1885=SPECIAL_LBL)*(INC_SPECIALS="Y"))=0,"",'Dvd Calendar'!$T$1883)))</f>
        <v/>
      </c>
      <c r="S189" s="110">
        <f>IF(EU189="","",IF(ISNUMBER('Dvd Calendar'!$U$1883)=FALSE,"",IF((('Dvd Calendar'!$U$1885=TYPE1)*(TYPE1&lt;&gt;"")+('Dvd Calendar'!$U$1885=TYPE2)*(TYPE2&lt;&gt;"")+('Dvd Calendar'!$U$1885=TYPE3)*(TYPE3&lt;&gt;"")+('Dvd Calendar'!$U$1885=TYPE4)*(TYPE4&lt;&gt;"")+('Dvd Calendar'!$U$1885=SPECIAL_LBL)*(INC_SPECIALS="Y"))=0,"",'Dvd Calendar'!$U$1883)))</f>
        <v/>
      </c>
      <c r="T189" s="110">
        <f>IF(EV189="","",IF(ISNUMBER('Dvd Calendar'!$V$1883)=FALSE,"",IF((('Dvd Calendar'!$V$1885=TYPE1)*(TYPE1&lt;&gt;"")+('Dvd Calendar'!$V$1885=TYPE2)*(TYPE2&lt;&gt;"")+('Dvd Calendar'!$V$1885=TYPE3)*(TYPE3&lt;&gt;"")+('Dvd Calendar'!$V$1885=TYPE4)*(TYPE4&lt;&gt;"")+('Dvd Calendar'!$V$1885=SPECIAL_LBL)*(INC_SPECIALS="Y"))=0,"",'Dvd Calendar'!$V$1883)))</f>
        <v/>
      </c>
      <c r="U189" s="110">
        <f>IF(EW189="","",IF(ISNUMBER('Dvd Calendar'!$W$1883)=FALSE,"",IF((('Dvd Calendar'!$W$1885=TYPE1)*(TYPE1&lt;&gt;"")+('Dvd Calendar'!$W$1885=TYPE2)*(TYPE2&lt;&gt;"")+('Dvd Calendar'!$W$1885=TYPE3)*(TYPE3&lt;&gt;"")+('Dvd Calendar'!$W$1885=TYPE4)*(TYPE4&lt;&gt;"")+('Dvd Calendar'!$W$1885=SPECIAL_LBL)*(INC_SPECIALS="Y"))=0,"",'Dvd Calendar'!$W$1883)))</f>
        <v/>
      </c>
      <c r="V189" s="110">
        <f>IF(EX189="","",IF(ISNUMBER('Dvd Calendar'!$X$1883)=FALSE,"",IF((('Dvd Calendar'!$X$1885=TYPE1)*(TYPE1&lt;&gt;"")+('Dvd Calendar'!$X$1885=TYPE2)*(TYPE2&lt;&gt;"")+('Dvd Calendar'!$X$1885=TYPE3)*(TYPE3&lt;&gt;"")+('Dvd Calendar'!$X$1885=TYPE4)*(TYPE4&lt;&gt;"")+('Dvd Calendar'!$X$1885=SPECIAL_LBL)*(INC_SPECIALS="Y"))=0,"",'Dvd Calendar'!$X$1883)))</f>
        <v/>
      </c>
      <c r="W189" s="110">
        <f>IF(EY189="","",IF(ISNUMBER('Dvd Calendar'!$Y$1883)=FALSE,"",IF((('Dvd Calendar'!$Y$1885=TYPE1)*(TYPE1&lt;&gt;"")+('Dvd Calendar'!$Y$1885=TYPE2)*(TYPE2&lt;&gt;"")+('Dvd Calendar'!$Y$1885=TYPE3)*(TYPE3&lt;&gt;"")+('Dvd Calendar'!$Y$1885=TYPE4)*(TYPE4&lt;&gt;"")+('Dvd Calendar'!$Y$1885=SPECIAL_LBL)*(INC_SPECIALS="Y"))=0,"",'Dvd Calendar'!$Y$1883)))</f>
        <v/>
      </c>
      <c r="X189" s="110">
        <f>IF(EZ189="","",IF(ISNUMBER('Dvd Calendar'!$Z$1883)=FALSE,"",IF((('Dvd Calendar'!$Z$1885=TYPE1)*(TYPE1&lt;&gt;"")+('Dvd Calendar'!$Z$1885=TYPE2)*(TYPE2&lt;&gt;"")+('Dvd Calendar'!$Z$1885=TYPE3)*(TYPE3&lt;&gt;"")+('Dvd Calendar'!$Z$1885=TYPE4)*(TYPE4&lt;&gt;"")+('Dvd Calendar'!$Z$1885=SPECIAL_LBL)*(INC_SPECIALS="Y"))=0,"",'Dvd Calendar'!$Z$1883)))</f>
        <v/>
      </c>
      <c r="Y189" s="110">
        <f>IF(FA189="","",IF(ISNUMBER('Dvd Calendar'!$AA$1883)=FALSE,"",IF((('Dvd Calendar'!$AA$1885=TYPE1)*(TYPE1&lt;&gt;"")+('Dvd Calendar'!$AA$1885=TYPE2)*(TYPE2&lt;&gt;"")+('Dvd Calendar'!$AA$1885=TYPE3)*(TYPE3&lt;&gt;"")+('Dvd Calendar'!$AA$1885=TYPE4)*(TYPE4&lt;&gt;"")+('Dvd Calendar'!$AA$1885=SPECIAL_LBL)*(INC_SPECIALS="Y"))=0,"",'Dvd Calendar'!$AA$1883)))</f>
        <v/>
      </c>
      <c r="Z189" s="110">
        <f>IF(FB189="","",IF(ISNUMBER('Dvd Calendar'!$AB$1883)=FALSE,"",IF((('Dvd Calendar'!$AB$1885=TYPE1)*(TYPE1&lt;&gt;"")+('Dvd Calendar'!$AB$1885=TYPE2)*(TYPE2&lt;&gt;"")+('Dvd Calendar'!$AB$1885=TYPE3)*(TYPE3&lt;&gt;"")+('Dvd Calendar'!$AB$1885=TYPE4)*(TYPE4&lt;&gt;"")+('Dvd Calendar'!$AB$1885=SPECIAL_LBL)*(INC_SPECIALS="Y"))=0,"",'Dvd Calendar'!$AB$1883)))</f>
        <v/>
      </c>
      <c r="AA189" s="110">
        <f>IF(FC189="","",IF(ISNUMBER('Dvd Calendar'!$AC$1883)=FALSE,"",IF((('Dvd Calendar'!$AC$1885=TYPE1)*(TYPE1&lt;&gt;"")+('Dvd Calendar'!$AC$1885=TYPE2)*(TYPE2&lt;&gt;"")+('Dvd Calendar'!$AC$1885=TYPE3)*(TYPE3&lt;&gt;"")+('Dvd Calendar'!$AC$1885=TYPE4)*(TYPE4&lt;&gt;"")+('Dvd Calendar'!$AC$1885=SPECIAL_LBL)*(INC_SPECIALS="Y"))=0,"",'Dvd Calendar'!$AC$1883)))</f>
        <v/>
      </c>
      <c r="AB189" s="110">
        <f>IF(FD189="","",IF(ISNUMBER('Dvd Calendar'!$AD$1883)=FALSE,"",IF((('Dvd Calendar'!$AD$1885=TYPE1)*(TYPE1&lt;&gt;"")+('Dvd Calendar'!$AD$1885=TYPE2)*(TYPE2&lt;&gt;"")+('Dvd Calendar'!$AD$1885=TYPE3)*(TYPE3&lt;&gt;"")+('Dvd Calendar'!$AD$1885=TYPE4)*(TYPE4&lt;&gt;"")+('Dvd Calendar'!$AD$1885=SPECIAL_LBL)*(INC_SPECIALS="Y"))=0,"",'Dvd Calendar'!$AD$1883)))</f>
        <v/>
      </c>
      <c r="AC189" s="110">
        <f>IF(FE189="","",IF(ISNUMBER('Dvd Calendar'!$AE$1883)=FALSE,"",IF((('Dvd Calendar'!$AE$1885=TYPE1)*(TYPE1&lt;&gt;"")+('Dvd Calendar'!$AE$1885=TYPE2)*(TYPE2&lt;&gt;"")+('Dvd Calendar'!$AE$1885=TYPE3)*(TYPE3&lt;&gt;"")+('Dvd Calendar'!$AE$1885=TYPE4)*(TYPE4&lt;&gt;"")+('Dvd Calendar'!$AE$1885=SPECIAL_LBL)*(INC_SPECIALS="Y"))=0,"",'Dvd Calendar'!$AE$1883)))</f>
        <v/>
      </c>
      <c r="AD189" s="110">
        <f>IF(FF189="","",IF(ISNUMBER('Dvd Calendar'!$AF$1883)=FALSE,"",IF((('Dvd Calendar'!$AF$1885=TYPE1)*(TYPE1&lt;&gt;"")+('Dvd Calendar'!$AF$1885=TYPE2)*(TYPE2&lt;&gt;"")+('Dvd Calendar'!$AF$1885=TYPE3)*(TYPE3&lt;&gt;"")+('Dvd Calendar'!$AF$1885=TYPE4)*(TYPE4&lt;&gt;"")+('Dvd Calendar'!$AF$1885=SPECIAL_LBL)*(INC_SPECIALS="Y"))=0,"",'Dvd Calendar'!$AF$1883)))</f>
        <v/>
      </c>
      <c r="AE189" s="110">
        <f>IF(FG189="","",IF(ISNUMBER('Dvd Calendar'!$AG$1883)=FALSE,"",IF((('Dvd Calendar'!$AG$1885=TYPE1)*(TYPE1&lt;&gt;"")+('Dvd Calendar'!$AG$1885=TYPE2)*(TYPE2&lt;&gt;"")+('Dvd Calendar'!$AG$1885=TYPE3)*(TYPE3&lt;&gt;"")+('Dvd Calendar'!$AG$1885=TYPE4)*(TYPE4&lt;&gt;"")+('Dvd Calendar'!$AG$1885=SPECIAL_LBL)*(INC_SPECIALS="Y"))=0,"",'Dvd Calendar'!$AG$1883)))</f>
        <v/>
      </c>
      <c r="AF189" s="110">
        <f>IF(FH189="","",IF(ISNUMBER('Dvd Calendar'!$AH$1883)=FALSE,"",IF((('Dvd Calendar'!$AH$1885=TYPE1)*(TYPE1&lt;&gt;"")+('Dvd Calendar'!$AH$1885=TYPE2)*(TYPE2&lt;&gt;"")+('Dvd Calendar'!$AH$1885=TYPE3)*(TYPE3&lt;&gt;"")+('Dvd Calendar'!$AH$1885=TYPE4)*(TYPE4&lt;&gt;"")+('Dvd Calendar'!$AH$1885=SPECIAL_LBL)*(INC_SPECIALS="Y"))=0,"",'Dvd Calendar'!$AH$1883)))</f>
        <v/>
      </c>
      <c r="AG189" s="110">
        <f>IF(FI189="","",IF(ISNUMBER('Dvd Calendar'!$AI$1883)=FALSE,"",IF((('Dvd Calendar'!$AI$1885=TYPE1)*(TYPE1&lt;&gt;"")+('Dvd Calendar'!$AI$1885=TYPE2)*(TYPE2&lt;&gt;"")+('Dvd Calendar'!$AI$1885=TYPE3)*(TYPE3&lt;&gt;"")+('Dvd Calendar'!$AI$1885=TYPE4)*(TYPE4&lt;&gt;"")+('Dvd Calendar'!$AI$1885=SPECIAL_LBL)*(INC_SPECIALS="Y"))=0,"",'Dvd Calendar'!$AI$1883)))</f>
        <v/>
      </c>
      <c r="AH189" s="110">
        <f>IF(FJ189="","",IF(ISNUMBER('Dvd Calendar'!$AJ$1883)=FALSE,"",IF((('Dvd Calendar'!$AJ$1885=TYPE1)*(TYPE1&lt;&gt;"")+('Dvd Calendar'!$AJ$1885=TYPE2)*(TYPE2&lt;&gt;"")+('Dvd Calendar'!$AJ$1885=TYPE3)*(TYPE3&lt;&gt;"")+('Dvd Calendar'!$AJ$1885=TYPE4)*(TYPE4&lt;&gt;"")+('Dvd Calendar'!$AJ$1885=SPECIAL_LBL)*(INC_SPECIALS="Y"))=0,"",'Dvd Calendar'!$AJ$1883)))</f>
        <v/>
      </c>
      <c r="AI189" s="110">
        <f>IF(FK189="","",IF(ISNUMBER('Dvd Calendar'!$AK$1883)=FALSE,"",IF((('Dvd Calendar'!$AK$1885=TYPE1)*(TYPE1&lt;&gt;"")+('Dvd Calendar'!$AK$1885=TYPE2)*(TYPE2&lt;&gt;"")+('Dvd Calendar'!$AK$1885=TYPE3)*(TYPE3&lt;&gt;"")+('Dvd Calendar'!$AK$1885=TYPE4)*(TYPE4&lt;&gt;"")+('Dvd Calendar'!$AK$1885=SPECIAL_LBL)*(INC_SPECIALS="Y"))=0,"",'Dvd Calendar'!$AK$1883)))</f>
        <v/>
      </c>
      <c r="AJ189" s="110">
        <f>IF(FL189="","",IF(ISNUMBER('Dvd Calendar'!$AL$1883)=FALSE,"",IF((('Dvd Calendar'!$AL$1885=TYPE1)*(TYPE1&lt;&gt;"")+('Dvd Calendar'!$AL$1885=TYPE2)*(TYPE2&lt;&gt;"")+('Dvd Calendar'!$AL$1885=TYPE3)*(TYPE3&lt;&gt;"")+('Dvd Calendar'!$AL$1885=TYPE4)*(TYPE4&lt;&gt;"")+('Dvd Calendar'!$AL$1885=SPECIAL_LBL)*(INC_SPECIALS="Y"))=0,"",'Dvd Calendar'!$AL$1883)))</f>
        <v/>
      </c>
      <c r="AK189" s="110">
        <f>IF(FM189="","",IF(ISNUMBER('Dvd Calendar'!$AM$1883)=FALSE,"",IF((('Dvd Calendar'!$AM$1885=TYPE1)*(TYPE1&lt;&gt;"")+('Dvd Calendar'!$AM$1885=TYPE2)*(TYPE2&lt;&gt;"")+('Dvd Calendar'!$AM$1885=TYPE3)*(TYPE3&lt;&gt;"")+('Dvd Calendar'!$AM$1885=TYPE4)*(TYPE4&lt;&gt;"")+('Dvd Calendar'!$AM$1885=SPECIAL_LBL)*(INC_SPECIALS="Y"))=0,"",'Dvd Calendar'!$AM$1883)))</f>
        <v/>
      </c>
      <c r="AL189" s="110">
        <f>IF(FN189="","",IF(ISNUMBER('Dvd Calendar'!$AN$1883)=FALSE,"",IF((('Dvd Calendar'!$AN$1885=TYPE1)*(TYPE1&lt;&gt;"")+('Dvd Calendar'!$AN$1885=TYPE2)*(TYPE2&lt;&gt;"")+('Dvd Calendar'!$AN$1885=TYPE3)*(TYPE3&lt;&gt;"")+('Dvd Calendar'!$AN$1885=TYPE4)*(TYPE4&lt;&gt;"")+('Dvd Calendar'!$AN$1885=SPECIAL_LBL)*(INC_SPECIALS="Y"))=0,"",'Dvd Calendar'!$AN$1883)))</f>
        <v/>
      </c>
      <c r="AM189" s="110">
        <f>IF(FO189="","",IF(ISNUMBER('Dvd Calendar'!$AO$1883)=FALSE,"",IF((('Dvd Calendar'!$AO$1885=TYPE1)*(TYPE1&lt;&gt;"")+('Dvd Calendar'!$AO$1885=TYPE2)*(TYPE2&lt;&gt;"")+('Dvd Calendar'!$AO$1885=TYPE3)*(TYPE3&lt;&gt;"")+('Dvd Calendar'!$AO$1885=TYPE4)*(TYPE4&lt;&gt;"")+('Dvd Calendar'!$AO$1885=SPECIAL_LBL)*(INC_SPECIALS="Y"))=0,"",'Dvd Calendar'!$AO$1883)))</f>
        <v/>
      </c>
      <c r="AN189" s="110">
        <f>IF(FP189="","",IF(ISNUMBER('Dvd Calendar'!$AP$1883)=FALSE,"",IF((('Dvd Calendar'!$AP$1885=TYPE1)*(TYPE1&lt;&gt;"")+('Dvd Calendar'!$AP$1885=TYPE2)*(TYPE2&lt;&gt;"")+('Dvd Calendar'!$AP$1885=TYPE3)*(TYPE3&lt;&gt;"")+('Dvd Calendar'!$AP$1885=TYPE4)*(TYPE4&lt;&gt;"")+('Dvd Calendar'!$AP$1885=SPECIAL_LBL)*(INC_SPECIALS="Y"))=0,"",'Dvd Calendar'!$AP$1883)))</f>
        <v/>
      </c>
      <c r="AO189" s="110">
        <f>IF(FQ189="","",IF(ISNUMBER('Dvd Calendar'!$AQ$1883)=FALSE,"",IF((('Dvd Calendar'!$AQ$1885=TYPE1)*(TYPE1&lt;&gt;"")+('Dvd Calendar'!$AQ$1885=TYPE2)*(TYPE2&lt;&gt;"")+('Dvd Calendar'!$AQ$1885=TYPE3)*(TYPE3&lt;&gt;"")+('Dvd Calendar'!$AQ$1885=TYPE4)*(TYPE4&lt;&gt;"")+('Dvd Calendar'!$AQ$1885=SPECIAL_LBL)*(INC_SPECIALS="Y"))=0,"",'Dvd Calendar'!$AQ$1883)))</f>
        <v/>
      </c>
      <c r="AP189" s="110">
        <f>IF(FR189="","",IF(ISNUMBER('Dvd Calendar'!$AR$1883)=FALSE,"",IF((('Dvd Calendar'!$AR$1885=TYPE1)*(TYPE1&lt;&gt;"")+('Dvd Calendar'!$AR$1885=TYPE2)*(TYPE2&lt;&gt;"")+('Dvd Calendar'!$AR$1885=TYPE3)*(TYPE3&lt;&gt;"")+('Dvd Calendar'!$AR$1885=TYPE4)*(TYPE4&lt;&gt;"")+('Dvd Calendar'!$AR$1885=SPECIAL_LBL)*(INC_SPECIALS="Y"))=0,"",'Dvd Calendar'!$AR$1883)))</f>
        <v/>
      </c>
      <c r="AQ189" s="110">
        <f>IF(FS189="","",IF(ISNUMBER('Dvd Calendar'!$E$1888)=FALSE,"",'Dvd Calendar'!$E$1888))</f>
        <v/>
      </c>
      <c r="AR189" s="110">
        <f>IF(FT189="","",IF(ISNUMBER('Dvd Calendar'!$F$1888)=FALSE,"",'Dvd Calendar'!$F$1888))</f>
        <v/>
      </c>
      <c r="AS189" s="110">
        <f>IF(FU189="","",IF(ISNUMBER('Dvd Calendar'!$G$1888)=FALSE,"",'Dvd Calendar'!$G$1888))</f>
        <v/>
      </c>
      <c r="AT189" s="110">
        <f>IF(FV189="","",IF(ISNUMBER('Dvd Calendar'!$H$1888)=FALSE,"",'Dvd Calendar'!$H$1888))</f>
        <v/>
      </c>
      <c r="AU189" s="110">
        <f>IF(FW189="","",IF(ISNUMBER('Dvd Calendar'!$I$1888)=FALSE,"",'Dvd Calendar'!$I$1888))</f>
        <v/>
      </c>
      <c r="AV189" s="110">
        <f>IF(FX189="","",IF(ISNUMBER('Dvd Calendar'!$J$1888)=FALSE,"",'Dvd Calendar'!$J$1888))</f>
        <v/>
      </c>
      <c r="AW189" s="110">
        <f>IF(FY189="","",IF(ISNUMBER('Dvd Calendar'!$K$1888)=FALSE,"",'Dvd Calendar'!$K$1888))</f>
        <v/>
      </c>
      <c r="AX189" s="110">
        <f>IF(FZ189="","",IF(ISNUMBER('Dvd Calendar'!$L$1888)=FALSE,"",'Dvd Calendar'!$L$1888))</f>
        <v/>
      </c>
      <c r="AY189" s="110">
        <f>IF(GA189="","",IF(ISNUMBER('Dvd Calendar'!$M$1888)=FALSE,"",'Dvd Calendar'!$M$1888))</f>
        <v/>
      </c>
      <c r="AZ189" s="110">
        <f>IF(GB189="","",IF(ISNUMBER('Dvd Calendar'!$N$1888)=FALSE,"",'Dvd Calendar'!$N$1888))</f>
        <v/>
      </c>
      <c r="BA189" s="110">
        <f>IF(GC189="","",IF(ISNUMBER('Dvd Calendar'!$O$1888)=FALSE,"",'Dvd Calendar'!$O$1888))</f>
        <v/>
      </c>
      <c r="BB189" s="110">
        <f>IF(GD189="","",IF(ISNUMBER('Dvd Calendar'!$P$1888)=FALSE,"",'Dvd Calendar'!$P$1888))</f>
        <v/>
      </c>
      <c r="BC189" s="110">
        <f>IF(GE189="","",IF(ISNUMBER('Dvd Calendar'!$Q$1888)=FALSE,"",'Dvd Calendar'!$Q$1888))</f>
        <v/>
      </c>
      <c r="BD189" s="110">
        <f>IF(GF189="","",IF(ISNUMBER('Dvd Calendar'!$R$1888)=FALSE,"",'Dvd Calendar'!$R$1888))</f>
        <v/>
      </c>
      <c r="BE189" s="110">
        <f>IF(GG189="","",IF(ISNUMBER('Dvd Calendar'!$S$1888)=FALSE,"",'Dvd Calendar'!$S$1888))</f>
        <v/>
      </c>
      <c r="BF189" s="110">
        <f>IF(GH189="","",IF(ISNUMBER('Dvd Calendar'!$T$1888)=FALSE,"",'Dvd Calendar'!$T$1888))</f>
        <v/>
      </c>
      <c r="BG189" s="110">
        <f>IF(GI189="","",IF(ISNUMBER('Dvd Calendar'!$U$1888)=FALSE,"",'Dvd Calendar'!$U$1888))</f>
        <v/>
      </c>
      <c r="BH189" s="110">
        <f>IF(GJ189="","",IF(ISNUMBER('Dvd Calendar'!$V$1888)=FALSE,"",'Dvd Calendar'!$V$1888))</f>
        <v/>
      </c>
      <c r="BI189" s="110">
        <f>IF(GK189="","",IF(ISNUMBER('Dvd Calendar'!$W$1888)=FALSE,"",'Dvd Calendar'!$W$1888))</f>
        <v/>
      </c>
      <c r="BJ189" s="110">
        <f>IF(GL189="","",IF(ISNUMBER('Dvd Calendar'!$X$1888)=FALSE,"",'Dvd Calendar'!$X$1888))</f>
        <v/>
      </c>
      <c r="BK189" s="110">
        <f>IF(GM189="","",IF(ISNUMBER('Dvd Calendar'!$Y$1888)=FALSE,"",'Dvd Calendar'!$Y$1888))</f>
        <v/>
      </c>
      <c r="BL189" s="110">
        <f>IF(GN189="","",IF(ISNUMBER('Dvd Calendar'!$Z$1888)=FALSE,"",'Dvd Calendar'!$Z$1888))</f>
        <v/>
      </c>
      <c r="BM189" s="110">
        <f>IF(GO189="","",IF(ISNUMBER('Dvd Calendar'!$AA$1888)=FALSE,"",'Dvd Calendar'!$AA$1888))</f>
        <v/>
      </c>
      <c r="BN189" s="110">
        <f>IF(GP189="","",IF(ISNUMBER('Dvd Calendar'!$AB$1888)=FALSE,"",'Dvd Calendar'!$AB$1888))</f>
        <v/>
      </c>
      <c r="BO189" s="110">
        <f>IF(GQ189="","",IF(ISNUMBER('Dvd Calendar'!$AC$1888)=FALSE,"",'Dvd Calendar'!$AC$1888))</f>
        <v/>
      </c>
      <c r="BQ189" s="110">
        <f>IF(C189="","",IFERROR(C189*HSCEI!$B$36*HSCEI!$G$36/HSCEI!$B$3,""))</f>
        <v/>
      </c>
      <c r="BR189" s="110">
        <f>IF(D189="","",IFERROR(D189*HSCEI!$B$36*HSCEI!$G$36/HSCEI!$B$3,""))</f>
        <v/>
      </c>
      <c r="BS189" s="110">
        <f>IF(E189="","",IFERROR(E189*HSCEI!$B$36*HSCEI!$G$36/HSCEI!$B$3,""))</f>
        <v/>
      </c>
      <c r="BT189" s="110">
        <f>IF(F189="","",IFERROR(F189*HSCEI!$B$36*HSCEI!$G$36/HSCEI!$B$3,""))</f>
        <v/>
      </c>
      <c r="BU189" s="110">
        <f>IF(G189="","",IFERROR(G189*HSCEI!$B$36*HSCEI!$G$36/HSCEI!$B$3,""))</f>
        <v/>
      </c>
      <c r="BV189" s="110">
        <f>IF(H189="","",IFERROR(H189*HSCEI!$B$36*HSCEI!$G$36/HSCEI!$B$3,""))</f>
        <v/>
      </c>
      <c r="BW189" s="110">
        <f>IF(I189="","",IFERROR(I189*HSCEI!$B$36*HSCEI!$G$36/HSCEI!$B$3,""))</f>
        <v/>
      </c>
      <c r="BX189" s="110">
        <f>IF(J189="","",IFERROR(J189*HSCEI!$B$36*HSCEI!$G$36/HSCEI!$B$3,""))</f>
        <v/>
      </c>
      <c r="BY189" s="110">
        <f>IF(K189="","",IFERROR(K189*HSCEI!$B$36*HSCEI!$G$36/HSCEI!$B$3,""))</f>
        <v/>
      </c>
      <c r="BZ189" s="110">
        <f>IF(L189="","",IFERROR(L189*HSCEI!$B$36*HSCEI!$G$36/HSCEI!$B$3,""))</f>
        <v/>
      </c>
      <c r="CA189" s="110">
        <f>IF(M189="","",IFERROR(M189*HSCEI!$B$36*HSCEI!$G$36/HSCEI!$B$3,""))</f>
        <v/>
      </c>
      <c r="CB189" s="110">
        <f>IF(N189="","",IFERROR(N189*HSCEI!$B$36*HSCEI!$G$36/HSCEI!$B$3,""))</f>
        <v/>
      </c>
      <c r="CC189" s="110">
        <f>IF(O189="","",IFERROR(O189*HSCEI!$B$36*HSCEI!$G$36/HSCEI!$B$3,""))</f>
        <v/>
      </c>
      <c r="CD189" s="110">
        <f>IF(P189="","",IFERROR(P189*HSCEI!$B$36*HSCEI!$G$36/HSCEI!$B$3,""))</f>
        <v/>
      </c>
      <c r="CE189" s="110">
        <f>IF(Q189="","",IFERROR(Q189*HSCEI!$B$36*HSCEI!$G$36/HSCEI!$B$3,""))</f>
        <v/>
      </c>
      <c r="CF189" s="110">
        <f>IF(R189="","",IFERROR(R189*HSCEI!$B$36*HSCEI!$G$36/HSCEI!$B$3,""))</f>
        <v/>
      </c>
      <c r="CG189" s="110">
        <f>IF(S189="","",IFERROR(S189*HSCEI!$B$36*HSCEI!$G$36/HSCEI!$B$3,""))</f>
        <v/>
      </c>
      <c r="CH189" s="110">
        <f>IF(T189="","",IFERROR(T189*HSCEI!$B$36*HSCEI!$G$36/HSCEI!$B$3,""))</f>
        <v/>
      </c>
      <c r="CI189" s="110">
        <f>IF(U189="","",IFERROR(U189*HSCEI!$B$36*HSCEI!$G$36/HSCEI!$B$3,""))</f>
        <v/>
      </c>
      <c r="CJ189" s="110">
        <f>IF(V189="","",IFERROR(V189*HSCEI!$B$36*HSCEI!$G$36/HSCEI!$B$3,""))</f>
        <v/>
      </c>
      <c r="CK189" s="110">
        <f>IF(W189="","",IFERROR(W189*HSCEI!$B$36*HSCEI!$G$36/HSCEI!$B$3,""))</f>
        <v/>
      </c>
      <c r="CL189" s="110">
        <f>IF(X189="","",IFERROR(X189*HSCEI!$B$36*HSCEI!$G$36/HSCEI!$B$3,""))</f>
        <v/>
      </c>
      <c r="CM189" s="110">
        <f>IF(Y189="","",IFERROR(Y189*HSCEI!$B$36*HSCEI!$G$36/HSCEI!$B$3,""))</f>
        <v/>
      </c>
      <c r="CN189" s="110">
        <f>IF(Z189="","",IFERROR(Z189*HSCEI!$B$36*HSCEI!$G$36/HSCEI!$B$3,""))</f>
        <v/>
      </c>
      <c r="CO189" s="110">
        <f>IF(AA189="","",IFERROR(AA189*HSCEI!$B$36*HSCEI!$G$36/HSCEI!$B$3,""))</f>
        <v/>
      </c>
      <c r="CP189" s="110">
        <f>IF(AB189="","",IFERROR(AB189*HSCEI!$B$36*HSCEI!$G$36/HSCEI!$B$3,""))</f>
        <v/>
      </c>
      <c r="CQ189" s="110">
        <f>IF(AC189="","",IFERROR(AC189*HSCEI!$B$36*HSCEI!$G$36/HSCEI!$B$3,""))</f>
        <v/>
      </c>
      <c r="CR189" s="110">
        <f>IF(AD189="","",IFERROR(AD189*HSCEI!$B$36*HSCEI!$G$36/HSCEI!$B$3,""))</f>
        <v/>
      </c>
      <c r="CS189" s="110">
        <f>IF(AE189="","",IFERROR(AE189*HSCEI!$B$36*HSCEI!$G$36/HSCEI!$B$3,""))</f>
        <v/>
      </c>
      <c r="CT189" s="110">
        <f>IF(AF189="","",IFERROR(AF189*HSCEI!$B$36*HSCEI!$G$36/HSCEI!$B$3,""))</f>
        <v/>
      </c>
      <c r="CU189" s="110">
        <f>IF(AG189="","",IFERROR(AG189*HSCEI!$B$36*HSCEI!$G$36/HSCEI!$B$3,""))</f>
        <v/>
      </c>
      <c r="CV189" s="110">
        <f>IF(AH189="","",IFERROR(AH189*HSCEI!$B$36*HSCEI!$G$36/HSCEI!$B$3,""))</f>
        <v/>
      </c>
      <c r="CW189" s="110">
        <f>IF(AI189="","",IFERROR(AI189*HSCEI!$B$36*HSCEI!$G$36/HSCEI!$B$3,""))</f>
        <v/>
      </c>
      <c r="CX189" s="110">
        <f>IF(AJ189="","",IFERROR(AJ189*HSCEI!$B$36*HSCEI!$G$36/HSCEI!$B$3,""))</f>
        <v/>
      </c>
      <c r="CY189" s="110">
        <f>IF(AK189="","",IFERROR(AK189*HSCEI!$B$36*HSCEI!$G$36/HSCEI!$B$3,""))</f>
        <v/>
      </c>
      <c r="CZ189" s="110">
        <f>IF(AL189="","",IFERROR(AL189*HSCEI!$B$36*HSCEI!$G$36/HSCEI!$B$3,""))</f>
        <v/>
      </c>
      <c r="DA189" s="110">
        <f>IF(AM189="","",IFERROR(AM189*HSCEI!$B$36*HSCEI!$G$36/HSCEI!$B$3,""))</f>
        <v/>
      </c>
      <c r="DB189" s="110">
        <f>IF(AN189="","",IFERROR(AN189*HSCEI!$B$36*HSCEI!$G$36/HSCEI!$B$3,""))</f>
        <v/>
      </c>
      <c r="DC189" s="110">
        <f>IF(AO189="","",IFERROR(AO189*HSCEI!$B$36*HSCEI!$G$36/HSCEI!$B$3,""))</f>
        <v/>
      </c>
      <c r="DD189" s="110">
        <f>IF(AP189="","",IFERROR(AP189*HSCEI!$B$36*HSCEI!$G$36/HSCEI!$B$3,""))</f>
        <v/>
      </c>
      <c r="DE189" s="110">
        <f>IF(AQ189="","",IFERROR(AQ189*HSCEI!$B$36*HSCEI!$G$36/HSCEI!$B$3,""))</f>
        <v/>
      </c>
      <c r="DF189" s="110">
        <f>IF(AR189="","",IFERROR(AR189*HSCEI!$B$36*HSCEI!$G$36/HSCEI!$B$3,""))</f>
        <v/>
      </c>
      <c r="DG189" s="110">
        <f>IF(AS189="","",IFERROR(AS189*HSCEI!$B$36*HSCEI!$G$36/HSCEI!$B$3,""))</f>
        <v/>
      </c>
      <c r="DH189" s="110">
        <f>IF(AT189="","",IFERROR(AT189*HSCEI!$B$36*HSCEI!$G$36/HSCEI!$B$3,""))</f>
        <v/>
      </c>
      <c r="DI189" s="110">
        <f>IF(AU189="","",IFERROR(AU189*HSCEI!$B$36*HSCEI!$G$36/HSCEI!$B$3,""))</f>
        <v/>
      </c>
      <c r="DJ189" s="110">
        <f>IF(AV189="","",IFERROR(AV189*HSCEI!$B$36*HSCEI!$G$36/HSCEI!$B$3,""))</f>
        <v/>
      </c>
      <c r="DK189" s="110">
        <f>IF(AW189="","",IFERROR(AW189*HSCEI!$B$36*HSCEI!$G$36/HSCEI!$B$3,""))</f>
        <v/>
      </c>
      <c r="DL189" s="110">
        <f>IF(AX189="","",IFERROR(AX189*HSCEI!$B$36*HSCEI!$G$36/HSCEI!$B$3,""))</f>
        <v/>
      </c>
      <c r="DM189" s="110">
        <f>IF(AY189="","",IFERROR(AY189*HSCEI!$B$36*HSCEI!$G$36/HSCEI!$B$3,""))</f>
        <v/>
      </c>
      <c r="DN189" s="110">
        <f>IF(AZ189="","",IFERROR(AZ189*HSCEI!$B$36*HSCEI!$G$36/HSCEI!$B$3,""))</f>
        <v/>
      </c>
      <c r="DO189" s="110">
        <f>IF(BA189="","",IFERROR(BA189*HSCEI!$B$36*HSCEI!$G$36/HSCEI!$B$3,""))</f>
        <v/>
      </c>
      <c r="DP189" s="110">
        <f>IF(BB189="","",IFERROR(BB189*HSCEI!$B$36*HSCEI!$G$36/HSCEI!$B$3,""))</f>
        <v/>
      </c>
      <c r="DQ189" s="110">
        <f>IF(BC189="","",IFERROR(BC189*HSCEI!$B$36*HSCEI!$G$36/HSCEI!$B$3,""))</f>
        <v/>
      </c>
      <c r="DR189" s="110">
        <f>IF(BD189="","",IFERROR(BD189*HSCEI!$B$36*HSCEI!$G$36/HSCEI!$B$3,""))</f>
        <v/>
      </c>
      <c r="DS189" s="110">
        <f>IF(BE189="","",IFERROR(BE189*HSCEI!$B$36*HSCEI!$G$36/HSCEI!$B$3,""))</f>
        <v/>
      </c>
      <c r="DT189" s="110">
        <f>IF(BF189="","",IFERROR(BF189*HSCEI!$B$36*HSCEI!$G$36/HSCEI!$B$3,""))</f>
        <v/>
      </c>
      <c r="DU189" s="110">
        <f>IF(BG189="","",IFERROR(BG189*HSCEI!$B$36*HSCEI!$G$36/HSCEI!$B$3,""))</f>
        <v/>
      </c>
      <c r="DV189" s="110">
        <f>IF(BH189="","",IFERROR(BH189*HSCEI!$B$36*HSCEI!$G$36/HSCEI!$B$3,""))</f>
        <v/>
      </c>
      <c r="DW189" s="110">
        <f>IF(BI189="","",IFERROR(BI189*HSCEI!$B$36*HSCEI!$G$36/HSCEI!$B$3,""))</f>
        <v/>
      </c>
      <c r="DX189" s="110">
        <f>IF(BJ189="","",IFERROR(BJ189*HSCEI!$B$36*HSCEI!$G$36/HSCEI!$B$3,""))</f>
        <v/>
      </c>
      <c r="DY189" s="110">
        <f>IF(BK189="","",IFERROR(BK189*HSCEI!$B$36*HSCEI!$G$36/HSCEI!$B$3,""))</f>
        <v/>
      </c>
      <c r="DZ189" s="110">
        <f>IF(BL189="","",IFERROR(BL189*HSCEI!$B$36*HSCEI!$G$36/HSCEI!$B$3,""))</f>
        <v/>
      </c>
      <c r="EA189" s="110">
        <f>IF(BM189="","",IFERROR(BM189*HSCEI!$B$36*HSCEI!$G$36/HSCEI!$B$3,""))</f>
        <v/>
      </c>
      <c r="EB189" s="110">
        <f>IF(BN189="","",IFERROR(BN189*HSCEI!$B$36*HSCEI!$G$36/HSCEI!$B$3,""))</f>
        <v/>
      </c>
      <c r="EC189" s="110">
        <f>IF(BO189="","",IFERROR(BO189*HSCEI!$B$36*HSCEI!$G$36/HSCEI!$B$3,""))</f>
        <v/>
      </c>
      <c r="EE189" s="39">
        <f>IF(N('Dvd Calendar'!$E$1880)=0,"",IF(('Dvd Calendar'!$E$1880&gt;=GRID_FROM)*('Dvd Calendar'!$E$1880&lt;=GRID_TO)*((('Dvd Calendar'!$E$1880&lt;=VAL_DATE)+(COUNTIF('Dvd Calendar'!$E$1887:$AR$1887,'Dvd Calendar'!$E$1880)=0))&gt;0)=0,"",'Dvd Calendar'!$E$1880*1000000000+ISNUMBER('Dvd Calendar'!$E$1883)*100000000+('Dvd Calendar'!$E$1885=SPECIAL_LBL)*10000000+(N('Dvd Calendar'!$E$1879)&gt;0)*(N('Dvd Calendar'!$E$1879)&lt;=VAL_SERIAL)*1000000+30*1000+1))</f>
        <v/>
      </c>
      <c r="EF189" s="39">
        <f>IF(N('Dvd Calendar'!$F$1880)=0,"",IF(('Dvd Calendar'!$F$1880&gt;=GRID_FROM)*('Dvd Calendar'!$F$1880&lt;=GRID_TO)*((('Dvd Calendar'!$F$1880&lt;=VAL_DATE)+(COUNTIF('Dvd Calendar'!$E$1887:$AR$1887,'Dvd Calendar'!$F$1880)=0))&gt;0)=0,"",'Dvd Calendar'!$F$1880*1000000000+ISNUMBER('Dvd Calendar'!$F$1883)*100000000+('Dvd Calendar'!$F$1885=SPECIAL_LBL)*10000000+(N('Dvd Calendar'!$F$1879)&gt;0)*(N('Dvd Calendar'!$F$1879)&lt;=VAL_SERIAL)*1000000+30*1000+2))</f>
        <v/>
      </c>
      <c r="EG189" s="39">
        <f>IF(N('Dvd Calendar'!$G$1880)=0,"",IF(('Dvd Calendar'!$G$1880&gt;=GRID_FROM)*('Dvd Calendar'!$G$1880&lt;=GRID_TO)*((('Dvd Calendar'!$G$1880&lt;=VAL_DATE)+(COUNTIF('Dvd Calendar'!$E$1887:$AR$1887,'Dvd Calendar'!$G$1880)=0))&gt;0)=0,"",'Dvd Calendar'!$G$1880*1000000000+ISNUMBER('Dvd Calendar'!$G$1883)*100000000+('Dvd Calendar'!$G$1885=SPECIAL_LBL)*10000000+(N('Dvd Calendar'!$G$1879)&gt;0)*(N('Dvd Calendar'!$G$1879)&lt;=VAL_SERIAL)*1000000+30*1000+3))</f>
        <v/>
      </c>
      <c r="EH189" s="39">
        <f>IF(N('Dvd Calendar'!$H$1880)=0,"",IF(('Dvd Calendar'!$H$1880&gt;=GRID_FROM)*('Dvd Calendar'!$H$1880&lt;=GRID_TO)*((('Dvd Calendar'!$H$1880&lt;=VAL_DATE)+(COUNTIF('Dvd Calendar'!$E$1887:$AR$1887,'Dvd Calendar'!$H$1880)=0))&gt;0)=0,"",'Dvd Calendar'!$H$1880*1000000000+ISNUMBER('Dvd Calendar'!$H$1883)*100000000+('Dvd Calendar'!$H$1885=SPECIAL_LBL)*10000000+(N('Dvd Calendar'!$H$1879)&gt;0)*(N('Dvd Calendar'!$H$1879)&lt;=VAL_SERIAL)*1000000+30*1000+4))</f>
        <v/>
      </c>
      <c r="EI189" s="39">
        <f>IF(N('Dvd Calendar'!$I$1880)=0,"",IF(('Dvd Calendar'!$I$1880&gt;=GRID_FROM)*('Dvd Calendar'!$I$1880&lt;=GRID_TO)*((('Dvd Calendar'!$I$1880&lt;=VAL_DATE)+(COUNTIF('Dvd Calendar'!$E$1887:$AR$1887,'Dvd Calendar'!$I$1880)=0))&gt;0)=0,"",'Dvd Calendar'!$I$1880*1000000000+ISNUMBER('Dvd Calendar'!$I$1883)*100000000+('Dvd Calendar'!$I$1885=SPECIAL_LBL)*10000000+(N('Dvd Calendar'!$I$1879)&gt;0)*(N('Dvd Calendar'!$I$1879)&lt;=VAL_SERIAL)*1000000+30*1000+5))</f>
        <v/>
      </c>
      <c r="EJ189" s="39">
        <f>IF(N('Dvd Calendar'!$J$1880)=0,"",IF(('Dvd Calendar'!$J$1880&gt;=GRID_FROM)*('Dvd Calendar'!$J$1880&lt;=GRID_TO)*((('Dvd Calendar'!$J$1880&lt;=VAL_DATE)+(COUNTIF('Dvd Calendar'!$E$1887:$AR$1887,'Dvd Calendar'!$J$1880)=0))&gt;0)=0,"",'Dvd Calendar'!$J$1880*1000000000+ISNUMBER('Dvd Calendar'!$J$1883)*100000000+('Dvd Calendar'!$J$1885=SPECIAL_LBL)*10000000+(N('Dvd Calendar'!$J$1879)&gt;0)*(N('Dvd Calendar'!$J$1879)&lt;=VAL_SERIAL)*1000000+30*1000+6))</f>
        <v/>
      </c>
      <c r="EK189" s="39">
        <f>IF(N('Dvd Calendar'!$K$1880)=0,"",IF(('Dvd Calendar'!$K$1880&gt;=GRID_FROM)*('Dvd Calendar'!$K$1880&lt;=GRID_TO)*((('Dvd Calendar'!$K$1880&lt;=VAL_DATE)+(COUNTIF('Dvd Calendar'!$E$1887:$AR$1887,'Dvd Calendar'!$K$1880)=0))&gt;0)=0,"",'Dvd Calendar'!$K$1880*1000000000+ISNUMBER('Dvd Calendar'!$K$1883)*100000000+('Dvd Calendar'!$K$1885=SPECIAL_LBL)*10000000+(N('Dvd Calendar'!$K$1879)&gt;0)*(N('Dvd Calendar'!$K$1879)&lt;=VAL_SERIAL)*1000000+30*1000+7))</f>
        <v/>
      </c>
      <c r="EL189" s="39">
        <f>IF(N('Dvd Calendar'!$L$1880)=0,"",IF(('Dvd Calendar'!$L$1880&gt;=GRID_FROM)*('Dvd Calendar'!$L$1880&lt;=GRID_TO)*((('Dvd Calendar'!$L$1880&lt;=VAL_DATE)+(COUNTIF('Dvd Calendar'!$E$1887:$AR$1887,'Dvd Calendar'!$L$1880)=0))&gt;0)=0,"",'Dvd Calendar'!$L$1880*1000000000+ISNUMBER('Dvd Calendar'!$L$1883)*100000000+('Dvd Calendar'!$L$1885=SPECIAL_LBL)*10000000+(N('Dvd Calendar'!$L$1879)&gt;0)*(N('Dvd Calendar'!$L$1879)&lt;=VAL_SERIAL)*1000000+30*1000+8))</f>
        <v/>
      </c>
      <c r="EM189" s="39">
        <f>IF(N('Dvd Calendar'!$M$1880)=0,"",IF(('Dvd Calendar'!$M$1880&gt;=GRID_FROM)*('Dvd Calendar'!$M$1880&lt;=GRID_TO)*((('Dvd Calendar'!$M$1880&lt;=VAL_DATE)+(COUNTIF('Dvd Calendar'!$E$1887:$AR$1887,'Dvd Calendar'!$M$1880)=0))&gt;0)=0,"",'Dvd Calendar'!$M$1880*1000000000+ISNUMBER('Dvd Calendar'!$M$1883)*100000000+('Dvd Calendar'!$M$1885=SPECIAL_LBL)*10000000+(N('Dvd Calendar'!$M$1879)&gt;0)*(N('Dvd Calendar'!$M$1879)&lt;=VAL_SERIAL)*1000000+30*1000+9))</f>
        <v/>
      </c>
      <c r="EN189" s="39">
        <f>IF(N('Dvd Calendar'!$N$1880)=0,"",IF(('Dvd Calendar'!$N$1880&gt;=GRID_FROM)*('Dvd Calendar'!$N$1880&lt;=GRID_TO)*((('Dvd Calendar'!$N$1880&lt;=VAL_DATE)+(COUNTIF('Dvd Calendar'!$E$1887:$AR$1887,'Dvd Calendar'!$N$1880)=0))&gt;0)=0,"",'Dvd Calendar'!$N$1880*1000000000+ISNUMBER('Dvd Calendar'!$N$1883)*100000000+('Dvd Calendar'!$N$1885=SPECIAL_LBL)*10000000+(N('Dvd Calendar'!$N$1879)&gt;0)*(N('Dvd Calendar'!$N$1879)&lt;=VAL_SERIAL)*1000000+30*1000+10))</f>
        <v/>
      </c>
      <c r="EO189" s="39">
        <f>IF(N('Dvd Calendar'!$O$1880)=0,"",IF(('Dvd Calendar'!$O$1880&gt;=GRID_FROM)*('Dvd Calendar'!$O$1880&lt;=GRID_TO)*((('Dvd Calendar'!$O$1880&lt;=VAL_DATE)+(COUNTIF('Dvd Calendar'!$E$1887:$AR$1887,'Dvd Calendar'!$O$1880)=0))&gt;0)=0,"",'Dvd Calendar'!$O$1880*1000000000+ISNUMBER('Dvd Calendar'!$O$1883)*100000000+('Dvd Calendar'!$O$1885=SPECIAL_LBL)*10000000+(N('Dvd Calendar'!$O$1879)&gt;0)*(N('Dvd Calendar'!$O$1879)&lt;=VAL_SERIAL)*1000000+30*1000+11))</f>
        <v/>
      </c>
      <c r="EP189" s="39">
        <f>IF(N('Dvd Calendar'!$P$1880)=0,"",IF(('Dvd Calendar'!$P$1880&gt;=GRID_FROM)*('Dvd Calendar'!$P$1880&lt;=GRID_TO)*((('Dvd Calendar'!$P$1880&lt;=VAL_DATE)+(COUNTIF('Dvd Calendar'!$E$1887:$AR$1887,'Dvd Calendar'!$P$1880)=0))&gt;0)=0,"",'Dvd Calendar'!$P$1880*1000000000+ISNUMBER('Dvd Calendar'!$P$1883)*100000000+('Dvd Calendar'!$P$1885=SPECIAL_LBL)*10000000+(N('Dvd Calendar'!$P$1879)&gt;0)*(N('Dvd Calendar'!$P$1879)&lt;=VAL_SERIAL)*1000000+30*1000+12))</f>
        <v/>
      </c>
      <c r="EQ189" s="39">
        <f>IF(N('Dvd Calendar'!$Q$1880)=0,"",IF(('Dvd Calendar'!$Q$1880&gt;=GRID_FROM)*('Dvd Calendar'!$Q$1880&lt;=GRID_TO)*((('Dvd Calendar'!$Q$1880&lt;=VAL_DATE)+(COUNTIF('Dvd Calendar'!$E$1887:$AR$1887,'Dvd Calendar'!$Q$1880)=0))&gt;0)=0,"",'Dvd Calendar'!$Q$1880*1000000000+ISNUMBER('Dvd Calendar'!$Q$1883)*100000000+('Dvd Calendar'!$Q$1885=SPECIAL_LBL)*10000000+(N('Dvd Calendar'!$Q$1879)&gt;0)*(N('Dvd Calendar'!$Q$1879)&lt;=VAL_SERIAL)*1000000+30*1000+13))</f>
        <v/>
      </c>
      <c r="ER189" s="39">
        <f>IF(N('Dvd Calendar'!$R$1880)=0,"",IF(('Dvd Calendar'!$R$1880&gt;=GRID_FROM)*('Dvd Calendar'!$R$1880&lt;=GRID_TO)*((('Dvd Calendar'!$R$1880&lt;=VAL_DATE)+(COUNTIF('Dvd Calendar'!$E$1887:$AR$1887,'Dvd Calendar'!$R$1880)=0))&gt;0)=0,"",'Dvd Calendar'!$R$1880*1000000000+ISNUMBER('Dvd Calendar'!$R$1883)*100000000+('Dvd Calendar'!$R$1885=SPECIAL_LBL)*10000000+(N('Dvd Calendar'!$R$1879)&gt;0)*(N('Dvd Calendar'!$R$1879)&lt;=VAL_SERIAL)*1000000+30*1000+14))</f>
        <v/>
      </c>
      <c r="ES189" s="39">
        <f>IF(N('Dvd Calendar'!$S$1880)=0,"",IF(('Dvd Calendar'!$S$1880&gt;=GRID_FROM)*('Dvd Calendar'!$S$1880&lt;=GRID_TO)*((('Dvd Calendar'!$S$1880&lt;=VAL_DATE)+(COUNTIF('Dvd Calendar'!$E$1887:$AR$1887,'Dvd Calendar'!$S$1880)=0))&gt;0)=0,"",'Dvd Calendar'!$S$1880*1000000000+ISNUMBER('Dvd Calendar'!$S$1883)*100000000+('Dvd Calendar'!$S$1885=SPECIAL_LBL)*10000000+(N('Dvd Calendar'!$S$1879)&gt;0)*(N('Dvd Calendar'!$S$1879)&lt;=VAL_SERIAL)*1000000+30*1000+15))</f>
        <v/>
      </c>
      <c r="ET189" s="39">
        <f>IF(N('Dvd Calendar'!$T$1880)=0,"",IF(('Dvd Calendar'!$T$1880&gt;=GRID_FROM)*('Dvd Calendar'!$T$1880&lt;=GRID_TO)*((('Dvd Calendar'!$T$1880&lt;=VAL_DATE)+(COUNTIF('Dvd Calendar'!$E$1887:$AR$1887,'Dvd Calendar'!$T$1880)=0))&gt;0)=0,"",'Dvd Calendar'!$T$1880*1000000000+ISNUMBER('Dvd Calendar'!$T$1883)*100000000+('Dvd Calendar'!$T$1885=SPECIAL_LBL)*10000000+(N('Dvd Calendar'!$T$1879)&gt;0)*(N('Dvd Calendar'!$T$1879)&lt;=VAL_SERIAL)*1000000+30*1000+16))</f>
        <v/>
      </c>
      <c r="EU189" s="39">
        <f>IF(N('Dvd Calendar'!$U$1880)=0,"",IF(('Dvd Calendar'!$U$1880&gt;=GRID_FROM)*('Dvd Calendar'!$U$1880&lt;=GRID_TO)*((('Dvd Calendar'!$U$1880&lt;=VAL_DATE)+(COUNTIF('Dvd Calendar'!$E$1887:$AR$1887,'Dvd Calendar'!$U$1880)=0))&gt;0)=0,"",'Dvd Calendar'!$U$1880*1000000000+ISNUMBER('Dvd Calendar'!$U$1883)*100000000+('Dvd Calendar'!$U$1885=SPECIAL_LBL)*10000000+(N('Dvd Calendar'!$U$1879)&gt;0)*(N('Dvd Calendar'!$U$1879)&lt;=VAL_SERIAL)*1000000+30*1000+17))</f>
        <v/>
      </c>
      <c r="EV189" s="39">
        <f>IF(N('Dvd Calendar'!$V$1880)=0,"",IF(('Dvd Calendar'!$V$1880&gt;=GRID_FROM)*('Dvd Calendar'!$V$1880&lt;=GRID_TO)*((('Dvd Calendar'!$V$1880&lt;=VAL_DATE)+(COUNTIF('Dvd Calendar'!$E$1887:$AR$1887,'Dvd Calendar'!$V$1880)=0))&gt;0)=0,"",'Dvd Calendar'!$V$1880*1000000000+ISNUMBER('Dvd Calendar'!$V$1883)*100000000+('Dvd Calendar'!$V$1885=SPECIAL_LBL)*10000000+(N('Dvd Calendar'!$V$1879)&gt;0)*(N('Dvd Calendar'!$V$1879)&lt;=VAL_SERIAL)*1000000+30*1000+18))</f>
        <v/>
      </c>
      <c r="EW189" s="39">
        <f>IF(N('Dvd Calendar'!$W$1880)=0,"",IF(('Dvd Calendar'!$W$1880&gt;=GRID_FROM)*('Dvd Calendar'!$W$1880&lt;=GRID_TO)*((('Dvd Calendar'!$W$1880&lt;=VAL_DATE)+(COUNTIF('Dvd Calendar'!$E$1887:$AR$1887,'Dvd Calendar'!$W$1880)=0))&gt;0)=0,"",'Dvd Calendar'!$W$1880*1000000000+ISNUMBER('Dvd Calendar'!$W$1883)*100000000+('Dvd Calendar'!$W$1885=SPECIAL_LBL)*10000000+(N('Dvd Calendar'!$W$1879)&gt;0)*(N('Dvd Calendar'!$W$1879)&lt;=VAL_SERIAL)*1000000+30*1000+19))</f>
        <v/>
      </c>
      <c r="EX189" s="39">
        <f>IF(N('Dvd Calendar'!$X$1880)=0,"",IF(('Dvd Calendar'!$X$1880&gt;=GRID_FROM)*('Dvd Calendar'!$X$1880&lt;=GRID_TO)*((('Dvd Calendar'!$X$1880&lt;=VAL_DATE)+(COUNTIF('Dvd Calendar'!$E$1887:$AR$1887,'Dvd Calendar'!$X$1880)=0))&gt;0)=0,"",'Dvd Calendar'!$X$1880*1000000000+ISNUMBER('Dvd Calendar'!$X$1883)*100000000+('Dvd Calendar'!$X$1885=SPECIAL_LBL)*10000000+(N('Dvd Calendar'!$X$1879)&gt;0)*(N('Dvd Calendar'!$X$1879)&lt;=VAL_SERIAL)*1000000+30*1000+20))</f>
        <v/>
      </c>
      <c r="EY189" s="39">
        <f>IF(N('Dvd Calendar'!$Y$1880)=0,"",IF(('Dvd Calendar'!$Y$1880&gt;=GRID_FROM)*('Dvd Calendar'!$Y$1880&lt;=GRID_TO)*((('Dvd Calendar'!$Y$1880&lt;=VAL_DATE)+(COUNTIF('Dvd Calendar'!$E$1887:$AR$1887,'Dvd Calendar'!$Y$1880)=0))&gt;0)=0,"",'Dvd Calendar'!$Y$1880*1000000000+ISNUMBER('Dvd Calendar'!$Y$1883)*100000000+('Dvd Calendar'!$Y$1885=SPECIAL_LBL)*10000000+(N('Dvd Calendar'!$Y$1879)&gt;0)*(N('Dvd Calendar'!$Y$1879)&lt;=VAL_SERIAL)*1000000+30*1000+21))</f>
        <v/>
      </c>
      <c r="EZ189" s="39">
        <f>IF(N('Dvd Calendar'!$Z$1880)=0,"",IF(('Dvd Calendar'!$Z$1880&gt;=GRID_FROM)*('Dvd Calendar'!$Z$1880&lt;=GRID_TO)*((('Dvd Calendar'!$Z$1880&lt;=VAL_DATE)+(COUNTIF('Dvd Calendar'!$E$1887:$AR$1887,'Dvd Calendar'!$Z$1880)=0))&gt;0)=0,"",'Dvd Calendar'!$Z$1880*1000000000+ISNUMBER('Dvd Calendar'!$Z$1883)*100000000+('Dvd Calendar'!$Z$1885=SPECIAL_LBL)*10000000+(N('Dvd Calendar'!$Z$1879)&gt;0)*(N('Dvd Calendar'!$Z$1879)&lt;=VAL_SERIAL)*1000000+30*1000+22))</f>
        <v/>
      </c>
      <c r="FA189" s="39">
        <f>IF(N('Dvd Calendar'!$AA$1880)=0,"",IF(('Dvd Calendar'!$AA$1880&gt;=GRID_FROM)*('Dvd Calendar'!$AA$1880&lt;=GRID_TO)*((('Dvd Calendar'!$AA$1880&lt;=VAL_DATE)+(COUNTIF('Dvd Calendar'!$E$1887:$AR$1887,'Dvd Calendar'!$AA$1880)=0))&gt;0)=0,"",'Dvd Calendar'!$AA$1880*1000000000+ISNUMBER('Dvd Calendar'!$AA$1883)*100000000+('Dvd Calendar'!$AA$1885=SPECIAL_LBL)*10000000+(N('Dvd Calendar'!$AA$1879)&gt;0)*(N('Dvd Calendar'!$AA$1879)&lt;=VAL_SERIAL)*1000000+30*1000+23))</f>
        <v/>
      </c>
      <c r="FB189" s="39">
        <f>IF(N('Dvd Calendar'!$AB$1880)=0,"",IF(('Dvd Calendar'!$AB$1880&gt;=GRID_FROM)*('Dvd Calendar'!$AB$1880&lt;=GRID_TO)*((('Dvd Calendar'!$AB$1880&lt;=VAL_DATE)+(COUNTIF('Dvd Calendar'!$E$1887:$AR$1887,'Dvd Calendar'!$AB$1880)=0))&gt;0)=0,"",'Dvd Calendar'!$AB$1880*1000000000+ISNUMBER('Dvd Calendar'!$AB$1883)*100000000+('Dvd Calendar'!$AB$1885=SPECIAL_LBL)*10000000+(N('Dvd Calendar'!$AB$1879)&gt;0)*(N('Dvd Calendar'!$AB$1879)&lt;=VAL_SERIAL)*1000000+30*1000+24))</f>
        <v/>
      </c>
      <c r="FC189" s="39">
        <f>IF(N('Dvd Calendar'!$AC$1880)=0,"",IF(('Dvd Calendar'!$AC$1880&gt;=GRID_FROM)*('Dvd Calendar'!$AC$1880&lt;=GRID_TO)*((('Dvd Calendar'!$AC$1880&lt;=VAL_DATE)+(COUNTIF('Dvd Calendar'!$E$1887:$AR$1887,'Dvd Calendar'!$AC$1880)=0))&gt;0)=0,"",'Dvd Calendar'!$AC$1880*1000000000+ISNUMBER('Dvd Calendar'!$AC$1883)*100000000+('Dvd Calendar'!$AC$1885=SPECIAL_LBL)*10000000+(N('Dvd Calendar'!$AC$1879)&gt;0)*(N('Dvd Calendar'!$AC$1879)&lt;=VAL_SERIAL)*1000000+30*1000+25))</f>
        <v/>
      </c>
      <c r="FD189" s="39">
        <f>IF(N('Dvd Calendar'!$AD$1880)=0,"",IF(('Dvd Calendar'!$AD$1880&gt;=GRID_FROM)*('Dvd Calendar'!$AD$1880&lt;=GRID_TO)*((('Dvd Calendar'!$AD$1880&lt;=VAL_DATE)+(COUNTIF('Dvd Calendar'!$E$1887:$AR$1887,'Dvd Calendar'!$AD$1880)=0))&gt;0)=0,"",'Dvd Calendar'!$AD$1880*1000000000+ISNUMBER('Dvd Calendar'!$AD$1883)*100000000+('Dvd Calendar'!$AD$1885=SPECIAL_LBL)*10000000+(N('Dvd Calendar'!$AD$1879)&gt;0)*(N('Dvd Calendar'!$AD$1879)&lt;=VAL_SERIAL)*1000000+30*1000+26))</f>
        <v/>
      </c>
      <c r="FE189" s="39">
        <f>IF(N('Dvd Calendar'!$AE$1880)=0,"",IF(('Dvd Calendar'!$AE$1880&gt;=GRID_FROM)*('Dvd Calendar'!$AE$1880&lt;=GRID_TO)*((('Dvd Calendar'!$AE$1880&lt;=VAL_DATE)+(COUNTIF('Dvd Calendar'!$E$1887:$AR$1887,'Dvd Calendar'!$AE$1880)=0))&gt;0)=0,"",'Dvd Calendar'!$AE$1880*1000000000+ISNUMBER('Dvd Calendar'!$AE$1883)*100000000+('Dvd Calendar'!$AE$1885=SPECIAL_LBL)*10000000+(N('Dvd Calendar'!$AE$1879)&gt;0)*(N('Dvd Calendar'!$AE$1879)&lt;=VAL_SERIAL)*1000000+30*1000+27))</f>
        <v/>
      </c>
      <c r="FF189" s="39">
        <f>IF(N('Dvd Calendar'!$AF$1880)=0,"",IF(('Dvd Calendar'!$AF$1880&gt;=GRID_FROM)*('Dvd Calendar'!$AF$1880&lt;=GRID_TO)*((('Dvd Calendar'!$AF$1880&lt;=VAL_DATE)+(COUNTIF('Dvd Calendar'!$E$1887:$AR$1887,'Dvd Calendar'!$AF$1880)=0))&gt;0)=0,"",'Dvd Calendar'!$AF$1880*1000000000+ISNUMBER('Dvd Calendar'!$AF$1883)*100000000+('Dvd Calendar'!$AF$1885=SPECIAL_LBL)*10000000+(N('Dvd Calendar'!$AF$1879)&gt;0)*(N('Dvd Calendar'!$AF$1879)&lt;=VAL_SERIAL)*1000000+30*1000+28))</f>
        <v/>
      </c>
      <c r="FG189" s="39">
        <f>IF(N('Dvd Calendar'!$AG$1880)=0,"",IF(('Dvd Calendar'!$AG$1880&gt;=GRID_FROM)*('Dvd Calendar'!$AG$1880&lt;=GRID_TO)*((('Dvd Calendar'!$AG$1880&lt;=VAL_DATE)+(COUNTIF('Dvd Calendar'!$E$1887:$AR$1887,'Dvd Calendar'!$AG$1880)=0))&gt;0)=0,"",'Dvd Calendar'!$AG$1880*1000000000+ISNUMBER('Dvd Calendar'!$AG$1883)*100000000+('Dvd Calendar'!$AG$1885=SPECIAL_LBL)*10000000+(N('Dvd Calendar'!$AG$1879)&gt;0)*(N('Dvd Calendar'!$AG$1879)&lt;=VAL_SERIAL)*1000000+30*1000+29))</f>
        <v/>
      </c>
      <c r="FH189" s="39">
        <f>IF(N('Dvd Calendar'!$AH$1880)=0,"",IF(('Dvd Calendar'!$AH$1880&gt;=GRID_FROM)*('Dvd Calendar'!$AH$1880&lt;=GRID_TO)*((('Dvd Calendar'!$AH$1880&lt;=VAL_DATE)+(COUNTIF('Dvd Calendar'!$E$1887:$AR$1887,'Dvd Calendar'!$AH$1880)=0))&gt;0)=0,"",'Dvd Calendar'!$AH$1880*1000000000+ISNUMBER('Dvd Calendar'!$AH$1883)*100000000+('Dvd Calendar'!$AH$1885=SPECIAL_LBL)*10000000+(N('Dvd Calendar'!$AH$1879)&gt;0)*(N('Dvd Calendar'!$AH$1879)&lt;=VAL_SERIAL)*1000000+30*1000+30))</f>
        <v/>
      </c>
      <c r="FI189" s="39">
        <f>IF(N('Dvd Calendar'!$AI$1880)=0,"",IF(('Dvd Calendar'!$AI$1880&gt;=GRID_FROM)*('Dvd Calendar'!$AI$1880&lt;=GRID_TO)*((('Dvd Calendar'!$AI$1880&lt;=VAL_DATE)+(COUNTIF('Dvd Calendar'!$E$1887:$AR$1887,'Dvd Calendar'!$AI$1880)=0))&gt;0)=0,"",'Dvd Calendar'!$AI$1880*1000000000+ISNUMBER('Dvd Calendar'!$AI$1883)*100000000+('Dvd Calendar'!$AI$1885=SPECIAL_LBL)*10000000+(N('Dvd Calendar'!$AI$1879)&gt;0)*(N('Dvd Calendar'!$AI$1879)&lt;=VAL_SERIAL)*1000000+30*1000+31))</f>
        <v/>
      </c>
      <c r="FJ189" s="39">
        <f>IF(N('Dvd Calendar'!$AJ$1880)=0,"",IF(('Dvd Calendar'!$AJ$1880&gt;=GRID_FROM)*('Dvd Calendar'!$AJ$1880&lt;=GRID_TO)*((('Dvd Calendar'!$AJ$1880&lt;=VAL_DATE)+(COUNTIF('Dvd Calendar'!$E$1887:$AR$1887,'Dvd Calendar'!$AJ$1880)=0))&gt;0)=0,"",'Dvd Calendar'!$AJ$1880*1000000000+ISNUMBER('Dvd Calendar'!$AJ$1883)*100000000+('Dvd Calendar'!$AJ$1885=SPECIAL_LBL)*10000000+(N('Dvd Calendar'!$AJ$1879)&gt;0)*(N('Dvd Calendar'!$AJ$1879)&lt;=VAL_SERIAL)*1000000+30*1000+32))</f>
        <v/>
      </c>
      <c r="FK189" s="39">
        <f>IF(N('Dvd Calendar'!$AK$1880)=0,"",IF(('Dvd Calendar'!$AK$1880&gt;=GRID_FROM)*('Dvd Calendar'!$AK$1880&lt;=GRID_TO)*((('Dvd Calendar'!$AK$1880&lt;=VAL_DATE)+(COUNTIF('Dvd Calendar'!$E$1887:$AR$1887,'Dvd Calendar'!$AK$1880)=0))&gt;0)=0,"",'Dvd Calendar'!$AK$1880*1000000000+ISNUMBER('Dvd Calendar'!$AK$1883)*100000000+('Dvd Calendar'!$AK$1885=SPECIAL_LBL)*10000000+(N('Dvd Calendar'!$AK$1879)&gt;0)*(N('Dvd Calendar'!$AK$1879)&lt;=VAL_SERIAL)*1000000+30*1000+33))</f>
        <v/>
      </c>
      <c r="FL189" s="39">
        <f>IF(N('Dvd Calendar'!$AL$1880)=0,"",IF(('Dvd Calendar'!$AL$1880&gt;=GRID_FROM)*('Dvd Calendar'!$AL$1880&lt;=GRID_TO)*((('Dvd Calendar'!$AL$1880&lt;=VAL_DATE)+(COUNTIF('Dvd Calendar'!$E$1887:$AR$1887,'Dvd Calendar'!$AL$1880)=0))&gt;0)=0,"",'Dvd Calendar'!$AL$1880*1000000000+ISNUMBER('Dvd Calendar'!$AL$1883)*100000000+('Dvd Calendar'!$AL$1885=SPECIAL_LBL)*10000000+(N('Dvd Calendar'!$AL$1879)&gt;0)*(N('Dvd Calendar'!$AL$1879)&lt;=VAL_SERIAL)*1000000+30*1000+34))</f>
        <v/>
      </c>
      <c r="FM189" s="39">
        <f>IF(N('Dvd Calendar'!$AM$1880)=0,"",IF(('Dvd Calendar'!$AM$1880&gt;=GRID_FROM)*('Dvd Calendar'!$AM$1880&lt;=GRID_TO)*((('Dvd Calendar'!$AM$1880&lt;=VAL_DATE)+(COUNTIF('Dvd Calendar'!$E$1887:$AR$1887,'Dvd Calendar'!$AM$1880)=0))&gt;0)=0,"",'Dvd Calendar'!$AM$1880*1000000000+ISNUMBER('Dvd Calendar'!$AM$1883)*100000000+('Dvd Calendar'!$AM$1885=SPECIAL_LBL)*10000000+(N('Dvd Calendar'!$AM$1879)&gt;0)*(N('Dvd Calendar'!$AM$1879)&lt;=VAL_SERIAL)*1000000+30*1000+35))</f>
        <v/>
      </c>
      <c r="FN189" s="39">
        <f>IF(N('Dvd Calendar'!$AN$1880)=0,"",IF(('Dvd Calendar'!$AN$1880&gt;=GRID_FROM)*('Dvd Calendar'!$AN$1880&lt;=GRID_TO)*((('Dvd Calendar'!$AN$1880&lt;=VAL_DATE)+(COUNTIF('Dvd Calendar'!$E$1887:$AR$1887,'Dvd Calendar'!$AN$1880)=0))&gt;0)=0,"",'Dvd Calendar'!$AN$1880*1000000000+ISNUMBER('Dvd Calendar'!$AN$1883)*100000000+('Dvd Calendar'!$AN$1885=SPECIAL_LBL)*10000000+(N('Dvd Calendar'!$AN$1879)&gt;0)*(N('Dvd Calendar'!$AN$1879)&lt;=VAL_SERIAL)*1000000+30*1000+36))</f>
        <v/>
      </c>
      <c r="FO189" s="39">
        <f>IF(N('Dvd Calendar'!$AO$1880)=0,"",IF(('Dvd Calendar'!$AO$1880&gt;=GRID_FROM)*('Dvd Calendar'!$AO$1880&lt;=GRID_TO)*((('Dvd Calendar'!$AO$1880&lt;=VAL_DATE)+(COUNTIF('Dvd Calendar'!$E$1887:$AR$1887,'Dvd Calendar'!$AO$1880)=0))&gt;0)=0,"",'Dvd Calendar'!$AO$1880*1000000000+ISNUMBER('Dvd Calendar'!$AO$1883)*100000000+('Dvd Calendar'!$AO$1885=SPECIAL_LBL)*10000000+(N('Dvd Calendar'!$AO$1879)&gt;0)*(N('Dvd Calendar'!$AO$1879)&lt;=VAL_SERIAL)*1000000+30*1000+37))</f>
        <v/>
      </c>
      <c r="FP189" s="39">
        <f>IF(N('Dvd Calendar'!$AP$1880)=0,"",IF(('Dvd Calendar'!$AP$1880&gt;=GRID_FROM)*('Dvd Calendar'!$AP$1880&lt;=GRID_TO)*((('Dvd Calendar'!$AP$1880&lt;=VAL_DATE)+(COUNTIF('Dvd Calendar'!$E$1887:$AR$1887,'Dvd Calendar'!$AP$1880)=0))&gt;0)=0,"",'Dvd Calendar'!$AP$1880*1000000000+ISNUMBER('Dvd Calendar'!$AP$1883)*100000000+('Dvd Calendar'!$AP$1885=SPECIAL_LBL)*10000000+(N('Dvd Calendar'!$AP$1879)&gt;0)*(N('Dvd Calendar'!$AP$1879)&lt;=VAL_SERIAL)*1000000+30*1000+38))</f>
        <v/>
      </c>
      <c r="FQ189" s="39">
        <f>IF(N('Dvd Calendar'!$AQ$1880)=0,"",IF(('Dvd Calendar'!$AQ$1880&gt;=GRID_FROM)*('Dvd Calendar'!$AQ$1880&lt;=GRID_TO)*((('Dvd Calendar'!$AQ$1880&lt;=VAL_DATE)+(COUNTIF('Dvd Calendar'!$E$1887:$AR$1887,'Dvd Calendar'!$AQ$1880)=0))&gt;0)=0,"",'Dvd Calendar'!$AQ$1880*1000000000+ISNUMBER('Dvd Calendar'!$AQ$1883)*100000000+('Dvd Calendar'!$AQ$1885=SPECIAL_LBL)*10000000+(N('Dvd Calendar'!$AQ$1879)&gt;0)*(N('Dvd Calendar'!$AQ$1879)&lt;=VAL_SERIAL)*1000000+30*1000+39))</f>
        <v/>
      </c>
      <c r="FR189" s="39">
        <f>IF(N('Dvd Calendar'!$AR$1880)=0,"",IF(('Dvd Calendar'!$AR$1880&gt;=GRID_FROM)*('Dvd Calendar'!$AR$1880&lt;=GRID_TO)*((('Dvd Calendar'!$AR$1880&lt;=VAL_DATE)+(COUNTIF('Dvd Calendar'!$E$1887:$AR$1887,'Dvd Calendar'!$AR$1880)=0))&gt;0)=0,"",'Dvd Calendar'!$AR$1880*1000000000+ISNUMBER('Dvd Calendar'!$AR$1883)*100000000+('Dvd Calendar'!$AR$1885=SPECIAL_LBL)*10000000+(N('Dvd Calendar'!$AR$1879)&gt;0)*(N('Dvd Calendar'!$AR$1879)&lt;=VAL_SERIAL)*1000000+30*1000+40))</f>
        <v/>
      </c>
      <c r="FS189" s="39">
        <f>IF(N('Dvd Calendar'!$E$1887)=0,"",IF(('Dvd Calendar'!$E$1887&gt;=GRID_FROM)*('Dvd Calendar'!$E$1887&lt;=GRID_TO)*('Dvd Calendar'!$E$1887&gt;VAL_DATE)=0,"",'Dvd Calendar'!$E$1887*1000000000+ISNUMBER('Dvd Calendar'!$E$1888)*100000000+0*10000000+(N('Dvd Calendar'!$E$1886)&gt;0)*(N('Dvd Calendar'!$E$1886)&lt;=VAL_SERIAL)*1000000+30*1000+41))</f>
        <v/>
      </c>
      <c r="FT189" s="39">
        <f>IF(N('Dvd Calendar'!$F$1887)=0,"",IF(('Dvd Calendar'!$F$1887&gt;=GRID_FROM)*('Dvd Calendar'!$F$1887&lt;=GRID_TO)*('Dvd Calendar'!$F$1887&gt;VAL_DATE)=0,"",'Dvd Calendar'!$F$1887*1000000000+ISNUMBER('Dvd Calendar'!$F$1888)*100000000+0*10000000+(N('Dvd Calendar'!$F$1886)&gt;0)*(N('Dvd Calendar'!$F$1886)&lt;=VAL_SERIAL)*1000000+30*1000+42))</f>
        <v/>
      </c>
      <c r="FU189" s="39">
        <f>IF(N('Dvd Calendar'!$G$1887)=0,"",IF(('Dvd Calendar'!$G$1887&gt;=GRID_FROM)*('Dvd Calendar'!$G$1887&lt;=GRID_TO)*('Dvd Calendar'!$G$1887&gt;VAL_DATE)=0,"",'Dvd Calendar'!$G$1887*1000000000+ISNUMBER('Dvd Calendar'!$G$1888)*100000000+0*10000000+(N('Dvd Calendar'!$G$1886)&gt;0)*(N('Dvd Calendar'!$G$1886)&lt;=VAL_SERIAL)*1000000+30*1000+43))</f>
        <v/>
      </c>
      <c r="FV189" s="39">
        <f>IF(N('Dvd Calendar'!$H$1887)=0,"",IF(('Dvd Calendar'!$H$1887&gt;=GRID_FROM)*('Dvd Calendar'!$H$1887&lt;=GRID_TO)*('Dvd Calendar'!$H$1887&gt;VAL_DATE)=0,"",'Dvd Calendar'!$H$1887*1000000000+ISNUMBER('Dvd Calendar'!$H$1888)*100000000+0*10000000+(N('Dvd Calendar'!$H$1886)&gt;0)*(N('Dvd Calendar'!$H$1886)&lt;=VAL_SERIAL)*1000000+30*1000+44))</f>
        <v/>
      </c>
      <c r="FW189" s="39">
        <f>IF(N('Dvd Calendar'!$I$1887)=0,"",IF(('Dvd Calendar'!$I$1887&gt;=GRID_FROM)*('Dvd Calendar'!$I$1887&lt;=GRID_TO)*('Dvd Calendar'!$I$1887&gt;VAL_DATE)=0,"",'Dvd Calendar'!$I$1887*1000000000+ISNUMBER('Dvd Calendar'!$I$1888)*100000000+0*10000000+(N('Dvd Calendar'!$I$1886)&gt;0)*(N('Dvd Calendar'!$I$1886)&lt;=VAL_SERIAL)*1000000+30*1000+45))</f>
        <v/>
      </c>
      <c r="FX189" s="39">
        <f>IF(N('Dvd Calendar'!$J$1887)=0,"",IF(('Dvd Calendar'!$J$1887&gt;=GRID_FROM)*('Dvd Calendar'!$J$1887&lt;=GRID_TO)*('Dvd Calendar'!$J$1887&gt;VAL_DATE)=0,"",'Dvd Calendar'!$J$1887*1000000000+ISNUMBER('Dvd Calendar'!$J$1888)*100000000+0*10000000+(N('Dvd Calendar'!$J$1886)&gt;0)*(N('Dvd Calendar'!$J$1886)&lt;=VAL_SERIAL)*1000000+30*1000+46))</f>
        <v/>
      </c>
      <c r="FY189" s="39">
        <f>IF(N('Dvd Calendar'!$K$1887)=0,"",IF(('Dvd Calendar'!$K$1887&gt;=GRID_FROM)*('Dvd Calendar'!$K$1887&lt;=GRID_TO)*('Dvd Calendar'!$K$1887&gt;VAL_DATE)=0,"",'Dvd Calendar'!$K$1887*1000000000+ISNUMBER('Dvd Calendar'!$K$1888)*100000000+0*10000000+(N('Dvd Calendar'!$K$1886)&gt;0)*(N('Dvd Calendar'!$K$1886)&lt;=VAL_SERIAL)*1000000+30*1000+47))</f>
        <v/>
      </c>
      <c r="FZ189" s="39">
        <f>IF(N('Dvd Calendar'!$L$1887)=0,"",IF(('Dvd Calendar'!$L$1887&gt;=GRID_FROM)*('Dvd Calendar'!$L$1887&lt;=GRID_TO)*('Dvd Calendar'!$L$1887&gt;VAL_DATE)=0,"",'Dvd Calendar'!$L$1887*1000000000+ISNUMBER('Dvd Calendar'!$L$1888)*100000000+0*10000000+(N('Dvd Calendar'!$L$1886)&gt;0)*(N('Dvd Calendar'!$L$1886)&lt;=VAL_SERIAL)*1000000+30*1000+48))</f>
        <v/>
      </c>
      <c r="GA189" s="39">
        <f>IF(N('Dvd Calendar'!$M$1887)=0,"",IF(('Dvd Calendar'!$M$1887&gt;=GRID_FROM)*('Dvd Calendar'!$M$1887&lt;=GRID_TO)*('Dvd Calendar'!$M$1887&gt;VAL_DATE)=0,"",'Dvd Calendar'!$M$1887*1000000000+ISNUMBER('Dvd Calendar'!$M$1888)*100000000+0*10000000+(N('Dvd Calendar'!$M$1886)&gt;0)*(N('Dvd Calendar'!$M$1886)&lt;=VAL_SERIAL)*1000000+30*1000+49))</f>
        <v/>
      </c>
      <c r="GB189" s="39">
        <f>IF(N('Dvd Calendar'!$N$1887)=0,"",IF(('Dvd Calendar'!$N$1887&gt;=GRID_FROM)*('Dvd Calendar'!$N$1887&lt;=GRID_TO)*('Dvd Calendar'!$N$1887&gt;VAL_DATE)=0,"",'Dvd Calendar'!$N$1887*1000000000+ISNUMBER('Dvd Calendar'!$N$1888)*100000000+0*10000000+(N('Dvd Calendar'!$N$1886)&gt;0)*(N('Dvd Calendar'!$N$1886)&lt;=VAL_SERIAL)*1000000+30*1000+50))</f>
        <v/>
      </c>
      <c r="GC189" s="39">
        <f>IF(N('Dvd Calendar'!$O$1887)=0,"",IF(('Dvd Calendar'!$O$1887&gt;=GRID_FROM)*('Dvd Calendar'!$O$1887&lt;=GRID_TO)*('Dvd Calendar'!$O$1887&gt;VAL_DATE)=0,"",'Dvd Calendar'!$O$1887*1000000000+ISNUMBER('Dvd Calendar'!$O$1888)*100000000+0*10000000+(N('Dvd Calendar'!$O$1886)&gt;0)*(N('Dvd Calendar'!$O$1886)&lt;=VAL_SERIAL)*1000000+30*1000+51))</f>
        <v/>
      </c>
      <c r="GD189" s="39">
        <f>IF(N('Dvd Calendar'!$P$1887)=0,"",IF(('Dvd Calendar'!$P$1887&gt;=GRID_FROM)*('Dvd Calendar'!$P$1887&lt;=GRID_TO)*('Dvd Calendar'!$P$1887&gt;VAL_DATE)=0,"",'Dvd Calendar'!$P$1887*1000000000+ISNUMBER('Dvd Calendar'!$P$1888)*100000000+0*10000000+(N('Dvd Calendar'!$P$1886)&gt;0)*(N('Dvd Calendar'!$P$1886)&lt;=VAL_SERIAL)*1000000+30*1000+52))</f>
        <v/>
      </c>
      <c r="GE189" s="39">
        <f>IF(N('Dvd Calendar'!$Q$1887)=0,"",IF(('Dvd Calendar'!$Q$1887&gt;=GRID_FROM)*('Dvd Calendar'!$Q$1887&lt;=GRID_TO)*('Dvd Calendar'!$Q$1887&gt;VAL_DATE)=0,"",'Dvd Calendar'!$Q$1887*1000000000+ISNUMBER('Dvd Calendar'!$Q$1888)*100000000+0*10000000+(N('Dvd Calendar'!$Q$1886)&gt;0)*(N('Dvd Calendar'!$Q$1886)&lt;=VAL_SERIAL)*1000000+30*1000+53))</f>
        <v/>
      </c>
      <c r="GF189" s="39">
        <f>IF(N('Dvd Calendar'!$R$1887)=0,"",IF(('Dvd Calendar'!$R$1887&gt;=GRID_FROM)*('Dvd Calendar'!$R$1887&lt;=GRID_TO)*('Dvd Calendar'!$R$1887&gt;VAL_DATE)=0,"",'Dvd Calendar'!$R$1887*1000000000+ISNUMBER('Dvd Calendar'!$R$1888)*100000000+0*10000000+(N('Dvd Calendar'!$R$1886)&gt;0)*(N('Dvd Calendar'!$R$1886)&lt;=VAL_SERIAL)*1000000+30*1000+54))</f>
        <v/>
      </c>
      <c r="GG189" s="39">
        <f>IF(N('Dvd Calendar'!$S$1887)=0,"",IF(('Dvd Calendar'!$S$1887&gt;=GRID_FROM)*('Dvd Calendar'!$S$1887&lt;=GRID_TO)*('Dvd Calendar'!$S$1887&gt;VAL_DATE)=0,"",'Dvd Calendar'!$S$1887*1000000000+ISNUMBER('Dvd Calendar'!$S$1888)*100000000+0*10000000+(N('Dvd Calendar'!$S$1886)&gt;0)*(N('Dvd Calendar'!$S$1886)&lt;=VAL_SERIAL)*1000000+30*1000+55))</f>
        <v/>
      </c>
      <c r="GH189" s="39">
        <f>IF(N('Dvd Calendar'!$T$1887)=0,"",IF(('Dvd Calendar'!$T$1887&gt;=GRID_FROM)*('Dvd Calendar'!$T$1887&lt;=GRID_TO)*('Dvd Calendar'!$T$1887&gt;VAL_DATE)=0,"",'Dvd Calendar'!$T$1887*1000000000+ISNUMBER('Dvd Calendar'!$T$1888)*100000000+0*10000000+(N('Dvd Calendar'!$T$1886)&gt;0)*(N('Dvd Calendar'!$T$1886)&lt;=VAL_SERIAL)*1000000+30*1000+56))</f>
        <v/>
      </c>
      <c r="GI189" s="39">
        <f>IF(N('Dvd Calendar'!$U$1887)=0,"",IF(('Dvd Calendar'!$U$1887&gt;=GRID_FROM)*('Dvd Calendar'!$U$1887&lt;=GRID_TO)*('Dvd Calendar'!$U$1887&gt;VAL_DATE)=0,"",'Dvd Calendar'!$U$1887*1000000000+ISNUMBER('Dvd Calendar'!$U$1888)*100000000+0*10000000+(N('Dvd Calendar'!$U$1886)&gt;0)*(N('Dvd Calendar'!$U$1886)&lt;=VAL_SERIAL)*1000000+30*1000+57))</f>
        <v/>
      </c>
      <c r="GJ189" s="39">
        <f>IF(N('Dvd Calendar'!$V$1887)=0,"",IF(('Dvd Calendar'!$V$1887&gt;=GRID_FROM)*('Dvd Calendar'!$V$1887&lt;=GRID_TO)*('Dvd Calendar'!$V$1887&gt;VAL_DATE)=0,"",'Dvd Calendar'!$V$1887*1000000000+ISNUMBER('Dvd Calendar'!$V$1888)*100000000+0*10000000+(N('Dvd Calendar'!$V$1886)&gt;0)*(N('Dvd Calendar'!$V$1886)&lt;=VAL_SERIAL)*1000000+30*1000+58))</f>
        <v/>
      </c>
      <c r="GK189" s="39">
        <f>IF(N('Dvd Calendar'!$W$1887)=0,"",IF(('Dvd Calendar'!$W$1887&gt;=GRID_FROM)*('Dvd Calendar'!$W$1887&lt;=GRID_TO)*('Dvd Calendar'!$W$1887&gt;VAL_DATE)=0,"",'Dvd Calendar'!$W$1887*1000000000+ISNUMBER('Dvd Calendar'!$W$1888)*100000000+0*10000000+(N('Dvd Calendar'!$W$1886)&gt;0)*(N('Dvd Calendar'!$W$1886)&lt;=VAL_SERIAL)*1000000+30*1000+59))</f>
        <v/>
      </c>
      <c r="GL189" s="39">
        <f>IF(N('Dvd Calendar'!$X$1887)=0,"",IF(('Dvd Calendar'!$X$1887&gt;=GRID_FROM)*('Dvd Calendar'!$X$1887&lt;=GRID_TO)*('Dvd Calendar'!$X$1887&gt;VAL_DATE)=0,"",'Dvd Calendar'!$X$1887*1000000000+ISNUMBER('Dvd Calendar'!$X$1888)*100000000+0*10000000+(N('Dvd Calendar'!$X$1886)&gt;0)*(N('Dvd Calendar'!$X$1886)&lt;=VAL_SERIAL)*1000000+30*1000+60))</f>
        <v/>
      </c>
      <c r="GM189" s="39">
        <f>IF(N('Dvd Calendar'!$Y$1887)=0,"",IF(('Dvd Calendar'!$Y$1887&gt;=GRID_FROM)*('Dvd Calendar'!$Y$1887&lt;=GRID_TO)*('Dvd Calendar'!$Y$1887&gt;VAL_DATE)=0,"",'Dvd Calendar'!$Y$1887*1000000000+ISNUMBER('Dvd Calendar'!$Y$1888)*100000000+0*10000000+(N('Dvd Calendar'!$Y$1886)&gt;0)*(N('Dvd Calendar'!$Y$1886)&lt;=VAL_SERIAL)*1000000+30*1000+61))</f>
        <v/>
      </c>
      <c r="GN189" s="39">
        <f>IF(N('Dvd Calendar'!$Z$1887)=0,"",IF(('Dvd Calendar'!$Z$1887&gt;=GRID_FROM)*('Dvd Calendar'!$Z$1887&lt;=GRID_TO)*('Dvd Calendar'!$Z$1887&gt;VAL_DATE)=0,"",'Dvd Calendar'!$Z$1887*1000000000+ISNUMBER('Dvd Calendar'!$Z$1888)*100000000+0*10000000+(N('Dvd Calendar'!$Z$1886)&gt;0)*(N('Dvd Calendar'!$Z$1886)&lt;=VAL_SERIAL)*1000000+30*1000+62))</f>
        <v/>
      </c>
      <c r="GO189" s="39">
        <f>IF(N('Dvd Calendar'!$AA$1887)=0,"",IF(('Dvd Calendar'!$AA$1887&gt;=GRID_FROM)*('Dvd Calendar'!$AA$1887&lt;=GRID_TO)*('Dvd Calendar'!$AA$1887&gt;VAL_DATE)=0,"",'Dvd Calendar'!$AA$1887*1000000000+ISNUMBER('Dvd Calendar'!$AA$1888)*100000000+0*10000000+(N('Dvd Calendar'!$AA$1886)&gt;0)*(N('Dvd Calendar'!$AA$1886)&lt;=VAL_SERIAL)*1000000+30*1000+63))</f>
        <v/>
      </c>
      <c r="GP189" s="39">
        <f>IF(N('Dvd Calendar'!$AB$1887)=0,"",IF(('Dvd Calendar'!$AB$1887&gt;=GRID_FROM)*('Dvd Calendar'!$AB$1887&lt;=GRID_TO)*('Dvd Calendar'!$AB$1887&gt;VAL_DATE)=0,"",'Dvd Calendar'!$AB$1887*1000000000+ISNUMBER('Dvd Calendar'!$AB$1888)*100000000+0*10000000+(N('Dvd Calendar'!$AB$1886)&gt;0)*(N('Dvd Calendar'!$AB$1886)&lt;=VAL_SERIAL)*1000000+30*1000+64))</f>
        <v/>
      </c>
      <c r="GQ189" s="39">
        <f>IF(N('Dvd Calendar'!$AC$1887)=0,"",IF(('Dvd Calendar'!$AC$1887&gt;=GRID_FROM)*('Dvd Calendar'!$AC$1887&lt;=GRID_TO)*('Dvd Calendar'!$AC$1887&gt;VAL_DATE)=0,"",'Dvd Calendar'!$AC$1887*1000000000+ISNUMBER('Dvd Calendar'!$AC$1888)*100000000+0*10000000+(N('Dvd Calendar'!$AC$1886)&gt;0)*(N('Dvd Calendar'!$AC$1886)&lt;=VAL_SERIAL)*1000000+30*1000+65))</f>
        <v/>
      </c>
    </row>
    <row r="190">
      <c r="B190" s="2">
        <f>IF(HSCEI!$C$37="","",HSCEI!$C$37)</f>
        <v/>
      </c>
      <c r="C190" s="110">
        <f>IF(EE190="","",IF(ISNUMBER('Dvd Calendar'!$E$1894)=FALSE,"",IF((('Dvd Calendar'!$E$1896=TYPE1)*(TYPE1&lt;&gt;"")+('Dvd Calendar'!$E$1896=TYPE2)*(TYPE2&lt;&gt;"")+('Dvd Calendar'!$E$1896=TYPE3)*(TYPE3&lt;&gt;"")+('Dvd Calendar'!$E$1896=TYPE4)*(TYPE4&lt;&gt;"")+('Dvd Calendar'!$E$1896=SPECIAL_LBL)*(INC_SPECIALS="Y"))=0,"",'Dvd Calendar'!$E$1894)))</f>
        <v/>
      </c>
      <c r="D190" s="110">
        <f>IF(EF190="","",IF(ISNUMBER('Dvd Calendar'!$F$1894)=FALSE,"",IF((('Dvd Calendar'!$F$1896=TYPE1)*(TYPE1&lt;&gt;"")+('Dvd Calendar'!$F$1896=TYPE2)*(TYPE2&lt;&gt;"")+('Dvd Calendar'!$F$1896=TYPE3)*(TYPE3&lt;&gt;"")+('Dvd Calendar'!$F$1896=TYPE4)*(TYPE4&lt;&gt;"")+('Dvd Calendar'!$F$1896=SPECIAL_LBL)*(INC_SPECIALS="Y"))=0,"",'Dvd Calendar'!$F$1894)))</f>
        <v/>
      </c>
      <c r="E190" s="110">
        <f>IF(EG190="","",IF(ISNUMBER('Dvd Calendar'!$G$1894)=FALSE,"",IF((('Dvd Calendar'!$G$1896=TYPE1)*(TYPE1&lt;&gt;"")+('Dvd Calendar'!$G$1896=TYPE2)*(TYPE2&lt;&gt;"")+('Dvd Calendar'!$G$1896=TYPE3)*(TYPE3&lt;&gt;"")+('Dvd Calendar'!$G$1896=TYPE4)*(TYPE4&lt;&gt;"")+('Dvd Calendar'!$G$1896=SPECIAL_LBL)*(INC_SPECIALS="Y"))=0,"",'Dvd Calendar'!$G$1894)))</f>
        <v/>
      </c>
      <c r="F190" s="110">
        <f>IF(EH190="","",IF(ISNUMBER('Dvd Calendar'!$H$1894)=FALSE,"",IF((('Dvd Calendar'!$H$1896=TYPE1)*(TYPE1&lt;&gt;"")+('Dvd Calendar'!$H$1896=TYPE2)*(TYPE2&lt;&gt;"")+('Dvd Calendar'!$H$1896=TYPE3)*(TYPE3&lt;&gt;"")+('Dvd Calendar'!$H$1896=TYPE4)*(TYPE4&lt;&gt;"")+('Dvd Calendar'!$H$1896=SPECIAL_LBL)*(INC_SPECIALS="Y"))=0,"",'Dvd Calendar'!$H$1894)))</f>
        <v/>
      </c>
      <c r="G190" s="110">
        <f>IF(EI190="","",IF(ISNUMBER('Dvd Calendar'!$I$1894)=FALSE,"",IF((('Dvd Calendar'!$I$1896=TYPE1)*(TYPE1&lt;&gt;"")+('Dvd Calendar'!$I$1896=TYPE2)*(TYPE2&lt;&gt;"")+('Dvd Calendar'!$I$1896=TYPE3)*(TYPE3&lt;&gt;"")+('Dvd Calendar'!$I$1896=TYPE4)*(TYPE4&lt;&gt;"")+('Dvd Calendar'!$I$1896=SPECIAL_LBL)*(INC_SPECIALS="Y"))=0,"",'Dvd Calendar'!$I$1894)))</f>
        <v/>
      </c>
      <c r="H190" s="110">
        <f>IF(EJ190="","",IF(ISNUMBER('Dvd Calendar'!$J$1894)=FALSE,"",IF((('Dvd Calendar'!$J$1896=TYPE1)*(TYPE1&lt;&gt;"")+('Dvd Calendar'!$J$1896=TYPE2)*(TYPE2&lt;&gt;"")+('Dvd Calendar'!$J$1896=TYPE3)*(TYPE3&lt;&gt;"")+('Dvd Calendar'!$J$1896=TYPE4)*(TYPE4&lt;&gt;"")+('Dvd Calendar'!$J$1896=SPECIAL_LBL)*(INC_SPECIALS="Y"))=0,"",'Dvd Calendar'!$J$1894)))</f>
        <v/>
      </c>
      <c r="I190" s="110">
        <f>IF(EK190="","",IF(ISNUMBER('Dvd Calendar'!$K$1894)=FALSE,"",IF((('Dvd Calendar'!$K$1896=TYPE1)*(TYPE1&lt;&gt;"")+('Dvd Calendar'!$K$1896=TYPE2)*(TYPE2&lt;&gt;"")+('Dvd Calendar'!$K$1896=TYPE3)*(TYPE3&lt;&gt;"")+('Dvd Calendar'!$K$1896=TYPE4)*(TYPE4&lt;&gt;"")+('Dvd Calendar'!$K$1896=SPECIAL_LBL)*(INC_SPECIALS="Y"))=0,"",'Dvd Calendar'!$K$1894)))</f>
        <v/>
      </c>
      <c r="J190" s="110">
        <f>IF(EL190="","",IF(ISNUMBER('Dvd Calendar'!$L$1894)=FALSE,"",IF((('Dvd Calendar'!$L$1896=TYPE1)*(TYPE1&lt;&gt;"")+('Dvd Calendar'!$L$1896=TYPE2)*(TYPE2&lt;&gt;"")+('Dvd Calendar'!$L$1896=TYPE3)*(TYPE3&lt;&gt;"")+('Dvd Calendar'!$L$1896=TYPE4)*(TYPE4&lt;&gt;"")+('Dvd Calendar'!$L$1896=SPECIAL_LBL)*(INC_SPECIALS="Y"))=0,"",'Dvd Calendar'!$L$1894)))</f>
        <v/>
      </c>
      <c r="K190" s="110">
        <f>IF(EM190="","",IF(ISNUMBER('Dvd Calendar'!$M$1894)=FALSE,"",IF((('Dvd Calendar'!$M$1896=TYPE1)*(TYPE1&lt;&gt;"")+('Dvd Calendar'!$M$1896=TYPE2)*(TYPE2&lt;&gt;"")+('Dvd Calendar'!$M$1896=TYPE3)*(TYPE3&lt;&gt;"")+('Dvd Calendar'!$M$1896=TYPE4)*(TYPE4&lt;&gt;"")+('Dvd Calendar'!$M$1896=SPECIAL_LBL)*(INC_SPECIALS="Y"))=0,"",'Dvd Calendar'!$M$1894)))</f>
        <v/>
      </c>
      <c r="L190" s="110">
        <f>IF(EN190="","",IF(ISNUMBER('Dvd Calendar'!$N$1894)=FALSE,"",IF((('Dvd Calendar'!$N$1896=TYPE1)*(TYPE1&lt;&gt;"")+('Dvd Calendar'!$N$1896=TYPE2)*(TYPE2&lt;&gt;"")+('Dvd Calendar'!$N$1896=TYPE3)*(TYPE3&lt;&gt;"")+('Dvd Calendar'!$N$1896=TYPE4)*(TYPE4&lt;&gt;"")+('Dvd Calendar'!$N$1896=SPECIAL_LBL)*(INC_SPECIALS="Y"))=0,"",'Dvd Calendar'!$N$1894)))</f>
        <v/>
      </c>
      <c r="M190" s="110">
        <f>IF(EO190="","",IF(ISNUMBER('Dvd Calendar'!$O$1894)=FALSE,"",IF((('Dvd Calendar'!$O$1896=TYPE1)*(TYPE1&lt;&gt;"")+('Dvd Calendar'!$O$1896=TYPE2)*(TYPE2&lt;&gt;"")+('Dvd Calendar'!$O$1896=TYPE3)*(TYPE3&lt;&gt;"")+('Dvd Calendar'!$O$1896=TYPE4)*(TYPE4&lt;&gt;"")+('Dvd Calendar'!$O$1896=SPECIAL_LBL)*(INC_SPECIALS="Y"))=0,"",'Dvd Calendar'!$O$1894)))</f>
        <v/>
      </c>
      <c r="N190" s="110">
        <f>IF(EP190="","",IF(ISNUMBER('Dvd Calendar'!$P$1894)=FALSE,"",IF((('Dvd Calendar'!$P$1896=TYPE1)*(TYPE1&lt;&gt;"")+('Dvd Calendar'!$P$1896=TYPE2)*(TYPE2&lt;&gt;"")+('Dvd Calendar'!$P$1896=TYPE3)*(TYPE3&lt;&gt;"")+('Dvd Calendar'!$P$1896=TYPE4)*(TYPE4&lt;&gt;"")+('Dvd Calendar'!$P$1896=SPECIAL_LBL)*(INC_SPECIALS="Y"))=0,"",'Dvd Calendar'!$P$1894)))</f>
        <v/>
      </c>
      <c r="O190" s="110">
        <f>IF(EQ190="","",IF(ISNUMBER('Dvd Calendar'!$Q$1894)=FALSE,"",IF((('Dvd Calendar'!$Q$1896=TYPE1)*(TYPE1&lt;&gt;"")+('Dvd Calendar'!$Q$1896=TYPE2)*(TYPE2&lt;&gt;"")+('Dvd Calendar'!$Q$1896=TYPE3)*(TYPE3&lt;&gt;"")+('Dvd Calendar'!$Q$1896=TYPE4)*(TYPE4&lt;&gt;"")+('Dvd Calendar'!$Q$1896=SPECIAL_LBL)*(INC_SPECIALS="Y"))=0,"",'Dvd Calendar'!$Q$1894)))</f>
        <v/>
      </c>
      <c r="P190" s="110">
        <f>IF(ER190="","",IF(ISNUMBER('Dvd Calendar'!$R$1894)=FALSE,"",IF((('Dvd Calendar'!$R$1896=TYPE1)*(TYPE1&lt;&gt;"")+('Dvd Calendar'!$R$1896=TYPE2)*(TYPE2&lt;&gt;"")+('Dvd Calendar'!$R$1896=TYPE3)*(TYPE3&lt;&gt;"")+('Dvd Calendar'!$R$1896=TYPE4)*(TYPE4&lt;&gt;"")+('Dvd Calendar'!$R$1896=SPECIAL_LBL)*(INC_SPECIALS="Y"))=0,"",'Dvd Calendar'!$R$1894)))</f>
        <v/>
      </c>
      <c r="Q190" s="110">
        <f>IF(ES190="","",IF(ISNUMBER('Dvd Calendar'!$S$1894)=FALSE,"",IF((('Dvd Calendar'!$S$1896=TYPE1)*(TYPE1&lt;&gt;"")+('Dvd Calendar'!$S$1896=TYPE2)*(TYPE2&lt;&gt;"")+('Dvd Calendar'!$S$1896=TYPE3)*(TYPE3&lt;&gt;"")+('Dvd Calendar'!$S$1896=TYPE4)*(TYPE4&lt;&gt;"")+('Dvd Calendar'!$S$1896=SPECIAL_LBL)*(INC_SPECIALS="Y"))=0,"",'Dvd Calendar'!$S$1894)))</f>
        <v/>
      </c>
      <c r="R190" s="110">
        <f>IF(ET190="","",IF(ISNUMBER('Dvd Calendar'!$T$1894)=FALSE,"",IF((('Dvd Calendar'!$T$1896=TYPE1)*(TYPE1&lt;&gt;"")+('Dvd Calendar'!$T$1896=TYPE2)*(TYPE2&lt;&gt;"")+('Dvd Calendar'!$T$1896=TYPE3)*(TYPE3&lt;&gt;"")+('Dvd Calendar'!$T$1896=TYPE4)*(TYPE4&lt;&gt;"")+('Dvd Calendar'!$T$1896=SPECIAL_LBL)*(INC_SPECIALS="Y"))=0,"",'Dvd Calendar'!$T$1894)))</f>
        <v/>
      </c>
      <c r="S190" s="110">
        <f>IF(EU190="","",IF(ISNUMBER('Dvd Calendar'!$U$1894)=FALSE,"",IF((('Dvd Calendar'!$U$1896=TYPE1)*(TYPE1&lt;&gt;"")+('Dvd Calendar'!$U$1896=TYPE2)*(TYPE2&lt;&gt;"")+('Dvd Calendar'!$U$1896=TYPE3)*(TYPE3&lt;&gt;"")+('Dvd Calendar'!$U$1896=TYPE4)*(TYPE4&lt;&gt;"")+('Dvd Calendar'!$U$1896=SPECIAL_LBL)*(INC_SPECIALS="Y"))=0,"",'Dvd Calendar'!$U$1894)))</f>
        <v/>
      </c>
      <c r="T190" s="110">
        <f>IF(EV190="","",IF(ISNUMBER('Dvd Calendar'!$V$1894)=FALSE,"",IF((('Dvd Calendar'!$V$1896=TYPE1)*(TYPE1&lt;&gt;"")+('Dvd Calendar'!$V$1896=TYPE2)*(TYPE2&lt;&gt;"")+('Dvd Calendar'!$V$1896=TYPE3)*(TYPE3&lt;&gt;"")+('Dvd Calendar'!$V$1896=TYPE4)*(TYPE4&lt;&gt;"")+('Dvd Calendar'!$V$1896=SPECIAL_LBL)*(INC_SPECIALS="Y"))=0,"",'Dvd Calendar'!$V$1894)))</f>
        <v/>
      </c>
      <c r="U190" s="110">
        <f>IF(EW190="","",IF(ISNUMBER('Dvd Calendar'!$W$1894)=FALSE,"",IF((('Dvd Calendar'!$W$1896=TYPE1)*(TYPE1&lt;&gt;"")+('Dvd Calendar'!$W$1896=TYPE2)*(TYPE2&lt;&gt;"")+('Dvd Calendar'!$W$1896=TYPE3)*(TYPE3&lt;&gt;"")+('Dvd Calendar'!$W$1896=TYPE4)*(TYPE4&lt;&gt;"")+('Dvd Calendar'!$W$1896=SPECIAL_LBL)*(INC_SPECIALS="Y"))=0,"",'Dvd Calendar'!$W$1894)))</f>
        <v/>
      </c>
      <c r="V190" s="110">
        <f>IF(EX190="","",IF(ISNUMBER('Dvd Calendar'!$X$1894)=FALSE,"",IF((('Dvd Calendar'!$X$1896=TYPE1)*(TYPE1&lt;&gt;"")+('Dvd Calendar'!$X$1896=TYPE2)*(TYPE2&lt;&gt;"")+('Dvd Calendar'!$X$1896=TYPE3)*(TYPE3&lt;&gt;"")+('Dvd Calendar'!$X$1896=TYPE4)*(TYPE4&lt;&gt;"")+('Dvd Calendar'!$X$1896=SPECIAL_LBL)*(INC_SPECIALS="Y"))=0,"",'Dvd Calendar'!$X$1894)))</f>
        <v/>
      </c>
      <c r="W190" s="110">
        <f>IF(EY190="","",IF(ISNUMBER('Dvd Calendar'!$Y$1894)=FALSE,"",IF((('Dvd Calendar'!$Y$1896=TYPE1)*(TYPE1&lt;&gt;"")+('Dvd Calendar'!$Y$1896=TYPE2)*(TYPE2&lt;&gt;"")+('Dvd Calendar'!$Y$1896=TYPE3)*(TYPE3&lt;&gt;"")+('Dvd Calendar'!$Y$1896=TYPE4)*(TYPE4&lt;&gt;"")+('Dvd Calendar'!$Y$1896=SPECIAL_LBL)*(INC_SPECIALS="Y"))=0,"",'Dvd Calendar'!$Y$1894)))</f>
        <v/>
      </c>
      <c r="X190" s="110">
        <f>IF(EZ190="","",IF(ISNUMBER('Dvd Calendar'!$Z$1894)=FALSE,"",IF((('Dvd Calendar'!$Z$1896=TYPE1)*(TYPE1&lt;&gt;"")+('Dvd Calendar'!$Z$1896=TYPE2)*(TYPE2&lt;&gt;"")+('Dvd Calendar'!$Z$1896=TYPE3)*(TYPE3&lt;&gt;"")+('Dvd Calendar'!$Z$1896=TYPE4)*(TYPE4&lt;&gt;"")+('Dvd Calendar'!$Z$1896=SPECIAL_LBL)*(INC_SPECIALS="Y"))=0,"",'Dvd Calendar'!$Z$1894)))</f>
        <v/>
      </c>
      <c r="Y190" s="110">
        <f>IF(FA190="","",IF(ISNUMBER('Dvd Calendar'!$AA$1894)=FALSE,"",IF((('Dvd Calendar'!$AA$1896=TYPE1)*(TYPE1&lt;&gt;"")+('Dvd Calendar'!$AA$1896=TYPE2)*(TYPE2&lt;&gt;"")+('Dvd Calendar'!$AA$1896=TYPE3)*(TYPE3&lt;&gt;"")+('Dvd Calendar'!$AA$1896=TYPE4)*(TYPE4&lt;&gt;"")+('Dvd Calendar'!$AA$1896=SPECIAL_LBL)*(INC_SPECIALS="Y"))=0,"",'Dvd Calendar'!$AA$1894)))</f>
        <v/>
      </c>
      <c r="Z190" s="110">
        <f>IF(FB190="","",IF(ISNUMBER('Dvd Calendar'!$AB$1894)=FALSE,"",IF((('Dvd Calendar'!$AB$1896=TYPE1)*(TYPE1&lt;&gt;"")+('Dvd Calendar'!$AB$1896=TYPE2)*(TYPE2&lt;&gt;"")+('Dvd Calendar'!$AB$1896=TYPE3)*(TYPE3&lt;&gt;"")+('Dvd Calendar'!$AB$1896=TYPE4)*(TYPE4&lt;&gt;"")+('Dvd Calendar'!$AB$1896=SPECIAL_LBL)*(INC_SPECIALS="Y"))=0,"",'Dvd Calendar'!$AB$1894)))</f>
        <v/>
      </c>
      <c r="AA190" s="110">
        <f>IF(FC190="","",IF(ISNUMBER('Dvd Calendar'!$AC$1894)=FALSE,"",IF((('Dvd Calendar'!$AC$1896=TYPE1)*(TYPE1&lt;&gt;"")+('Dvd Calendar'!$AC$1896=TYPE2)*(TYPE2&lt;&gt;"")+('Dvd Calendar'!$AC$1896=TYPE3)*(TYPE3&lt;&gt;"")+('Dvd Calendar'!$AC$1896=TYPE4)*(TYPE4&lt;&gt;"")+('Dvd Calendar'!$AC$1896=SPECIAL_LBL)*(INC_SPECIALS="Y"))=0,"",'Dvd Calendar'!$AC$1894)))</f>
        <v/>
      </c>
      <c r="AB190" s="110">
        <f>IF(FD190="","",IF(ISNUMBER('Dvd Calendar'!$AD$1894)=FALSE,"",IF((('Dvd Calendar'!$AD$1896=TYPE1)*(TYPE1&lt;&gt;"")+('Dvd Calendar'!$AD$1896=TYPE2)*(TYPE2&lt;&gt;"")+('Dvd Calendar'!$AD$1896=TYPE3)*(TYPE3&lt;&gt;"")+('Dvd Calendar'!$AD$1896=TYPE4)*(TYPE4&lt;&gt;"")+('Dvd Calendar'!$AD$1896=SPECIAL_LBL)*(INC_SPECIALS="Y"))=0,"",'Dvd Calendar'!$AD$1894)))</f>
        <v/>
      </c>
      <c r="AC190" s="110">
        <f>IF(FE190="","",IF(ISNUMBER('Dvd Calendar'!$AE$1894)=FALSE,"",IF((('Dvd Calendar'!$AE$1896=TYPE1)*(TYPE1&lt;&gt;"")+('Dvd Calendar'!$AE$1896=TYPE2)*(TYPE2&lt;&gt;"")+('Dvd Calendar'!$AE$1896=TYPE3)*(TYPE3&lt;&gt;"")+('Dvd Calendar'!$AE$1896=TYPE4)*(TYPE4&lt;&gt;"")+('Dvd Calendar'!$AE$1896=SPECIAL_LBL)*(INC_SPECIALS="Y"))=0,"",'Dvd Calendar'!$AE$1894)))</f>
        <v/>
      </c>
      <c r="AD190" s="110">
        <f>IF(FF190="","",IF(ISNUMBER('Dvd Calendar'!$AF$1894)=FALSE,"",IF((('Dvd Calendar'!$AF$1896=TYPE1)*(TYPE1&lt;&gt;"")+('Dvd Calendar'!$AF$1896=TYPE2)*(TYPE2&lt;&gt;"")+('Dvd Calendar'!$AF$1896=TYPE3)*(TYPE3&lt;&gt;"")+('Dvd Calendar'!$AF$1896=TYPE4)*(TYPE4&lt;&gt;"")+('Dvd Calendar'!$AF$1896=SPECIAL_LBL)*(INC_SPECIALS="Y"))=0,"",'Dvd Calendar'!$AF$1894)))</f>
        <v/>
      </c>
      <c r="AE190" s="110">
        <f>IF(FG190="","",IF(ISNUMBER('Dvd Calendar'!$AG$1894)=FALSE,"",IF((('Dvd Calendar'!$AG$1896=TYPE1)*(TYPE1&lt;&gt;"")+('Dvd Calendar'!$AG$1896=TYPE2)*(TYPE2&lt;&gt;"")+('Dvd Calendar'!$AG$1896=TYPE3)*(TYPE3&lt;&gt;"")+('Dvd Calendar'!$AG$1896=TYPE4)*(TYPE4&lt;&gt;"")+('Dvd Calendar'!$AG$1896=SPECIAL_LBL)*(INC_SPECIALS="Y"))=0,"",'Dvd Calendar'!$AG$1894)))</f>
        <v/>
      </c>
      <c r="AF190" s="110">
        <f>IF(FH190="","",IF(ISNUMBER('Dvd Calendar'!$AH$1894)=FALSE,"",IF((('Dvd Calendar'!$AH$1896=TYPE1)*(TYPE1&lt;&gt;"")+('Dvd Calendar'!$AH$1896=TYPE2)*(TYPE2&lt;&gt;"")+('Dvd Calendar'!$AH$1896=TYPE3)*(TYPE3&lt;&gt;"")+('Dvd Calendar'!$AH$1896=TYPE4)*(TYPE4&lt;&gt;"")+('Dvd Calendar'!$AH$1896=SPECIAL_LBL)*(INC_SPECIALS="Y"))=0,"",'Dvd Calendar'!$AH$1894)))</f>
        <v/>
      </c>
      <c r="AG190" s="110">
        <f>IF(FI190="","",IF(ISNUMBER('Dvd Calendar'!$AI$1894)=FALSE,"",IF((('Dvd Calendar'!$AI$1896=TYPE1)*(TYPE1&lt;&gt;"")+('Dvd Calendar'!$AI$1896=TYPE2)*(TYPE2&lt;&gt;"")+('Dvd Calendar'!$AI$1896=TYPE3)*(TYPE3&lt;&gt;"")+('Dvd Calendar'!$AI$1896=TYPE4)*(TYPE4&lt;&gt;"")+('Dvd Calendar'!$AI$1896=SPECIAL_LBL)*(INC_SPECIALS="Y"))=0,"",'Dvd Calendar'!$AI$1894)))</f>
        <v/>
      </c>
      <c r="AH190" s="110">
        <f>IF(FJ190="","",IF(ISNUMBER('Dvd Calendar'!$AJ$1894)=FALSE,"",IF((('Dvd Calendar'!$AJ$1896=TYPE1)*(TYPE1&lt;&gt;"")+('Dvd Calendar'!$AJ$1896=TYPE2)*(TYPE2&lt;&gt;"")+('Dvd Calendar'!$AJ$1896=TYPE3)*(TYPE3&lt;&gt;"")+('Dvd Calendar'!$AJ$1896=TYPE4)*(TYPE4&lt;&gt;"")+('Dvd Calendar'!$AJ$1896=SPECIAL_LBL)*(INC_SPECIALS="Y"))=0,"",'Dvd Calendar'!$AJ$1894)))</f>
        <v/>
      </c>
      <c r="AI190" s="110">
        <f>IF(FK190="","",IF(ISNUMBER('Dvd Calendar'!$AK$1894)=FALSE,"",IF((('Dvd Calendar'!$AK$1896=TYPE1)*(TYPE1&lt;&gt;"")+('Dvd Calendar'!$AK$1896=TYPE2)*(TYPE2&lt;&gt;"")+('Dvd Calendar'!$AK$1896=TYPE3)*(TYPE3&lt;&gt;"")+('Dvd Calendar'!$AK$1896=TYPE4)*(TYPE4&lt;&gt;"")+('Dvd Calendar'!$AK$1896=SPECIAL_LBL)*(INC_SPECIALS="Y"))=0,"",'Dvd Calendar'!$AK$1894)))</f>
        <v/>
      </c>
      <c r="AJ190" s="110">
        <f>IF(FL190="","",IF(ISNUMBER('Dvd Calendar'!$AL$1894)=FALSE,"",IF((('Dvd Calendar'!$AL$1896=TYPE1)*(TYPE1&lt;&gt;"")+('Dvd Calendar'!$AL$1896=TYPE2)*(TYPE2&lt;&gt;"")+('Dvd Calendar'!$AL$1896=TYPE3)*(TYPE3&lt;&gt;"")+('Dvd Calendar'!$AL$1896=TYPE4)*(TYPE4&lt;&gt;"")+('Dvd Calendar'!$AL$1896=SPECIAL_LBL)*(INC_SPECIALS="Y"))=0,"",'Dvd Calendar'!$AL$1894)))</f>
        <v/>
      </c>
      <c r="AK190" s="110">
        <f>IF(FM190="","",IF(ISNUMBER('Dvd Calendar'!$AM$1894)=FALSE,"",IF((('Dvd Calendar'!$AM$1896=TYPE1)*(TYPE1&lt;&gt;"")+('Dvd Calendar'!$AM$1896=TYPE2)*(TYPE2&lt;&gt;"")+('Dvd Calendar'!$AM$1896=TYPE3)*(TYPE3&lt;&gt;"")+('Dvd Calendar'!$AM$1896=TYPE4)*(TYPE4&lt;&gt;"")+('Dvd Calendar'!$AM$1896=SPECIAL_LBL)*(INC_SPECIALS="Y"))=0,"",'Dvd Calendar'!$AM$1894)))</f>
        <v/>
      </c>
      <c r="AL190" s="110">
        <f>IF(FN190="","",IF(ISNUMBER('Dvd Calendar'!$AN$1894)=FALSE,"",IF((('Dvd Calendar'!$AN$1896=TYPE1)*(TYPE1&lt;&gt;"")+('Dvd Calendar'!$AN$1896=TYPE2)*(TYPE2&lt;&gt;"")+('Dvd Calendar'!$AN$1896=TYPE3)*(TYPE3&lt;&gt;"")+('Dvd Calendar'!$AN$1896=TYPE4)*(TYPE4&lt;&gt;"")+('Dvd Calendar'!$AN$1896=SPECIAL_LBL)*(INC_SPECIALS="Y"))=0,"",'Dvd Calendar'!$AN$1894)))</f>
        <v/>
      </c>
      <c r="AM190" s="110">
        <f>IF(FO190="","",IF(ISNUMBER('Dvd Calendar'!$AO$1894)=FALSE,"",IF((('Dvd Calendar'!$AO$1896=TYPE1)*(TYPE1&lt;&gt;"")+('Dvd Calendar'!$AO$1896=TYPE2)*(TYPE2&lt;&gt;"")+('Dvd Calendar'!$AO$1896=TYPE3)*(TYPE3&lt;&gt;"")+('Dvd Calendar'!$AO$1896=TYPE4)*(TYPE4&lt;&gt;"")+('Dvd Calendar'!$AO$1896=SPECIAL_LBL)*(INC_SPECIALS="Y"))=0,"",'Dvd Calendar'!$AO$1894)))</f>
        <v/>
      </c>
      <c r="AN190" s="110">
        <f>IF(FP190="","",IF(ISNUMBER('Dvd Calendar'!$AP$1894)=FALSE,"",IF((('Dvd Calendar'!$AP$1896=TYPE1)*(TYPE1&lt;&gt;"")+('Dvd Calendar'!$AP$1896=TYPE2)*(TYPE2&lt;&gt;"")+('Dvd Calendar'!$AP$1896=TYPE3)*(TYPE3&lt;&gt;"")+('Dvd Calendar'!$AP$1896=TYPE4)*(TYPE4&lt;&gt;"")+('Dvd Calendar'!$AP$1896=SPECIAL_LBL)*(INC_SPECIALS="Y"))=0,"",'Dvd Calendar'!$AP$1894)))</f>
        <v/>
      </c>
      <c r="AO190" s="110">
        <f>IF(FQ190="","",IF(ISNUMBER('Dvd Calendar'!$AQ$1894)=FALSE,"",IF((('Dvd Calendar'!$AQ$1896=TYPE1)*(TYPE1&lt;&gt;"")+('Dvd Calendar'!$AQ$1896=TYPE2)*(TYPE2&lt;&gt;"")+('Dvd Calendar'!$AQ$1896=TYPE3)*(TYPE3&lt;&gt;"")+('Dvd Calendar'!$AQ$1896=TYPE4)*(TYPE4&lt;&gt;"")+('Dvd Calendar'!$AQ$1896=SPECIAL_LBL)*(INC_SPECIALS="Y"))=0,"",'Dvd Calendar'!$AQ$1894)))</f>
        <v/>
      </c>
      <c r="AP190" s="110">
        <f>IF(FR190="","",IF(ISNUMBER('Dvd Calendar'!$AR$1894)=FALSE,"",IF((('Dvd Calendar'!$AR$1896=TYPE1)*(TYPE1&lt;&gt;"")+('Dvd Calendar'!$AR$1896=TYPE2)*(TYPE2&lt;&gt;"")+('Dvd Calendar'!$AR$1896=TYPE3)*(TYPE3&lt;&gt;"")+('Dvd Calendar'!$AR$1896=TYPE4)*(TYPE4&lt;&gt;"")+('Dvd Calendar'!$AR$1896=SPECIAL_LBL)*(INC_SPECIALS="Y"))=0,"",'Dvd Calendar'!$AR$1894)))</f>
        <v/>
      </c>
      <c r="AQ190" s="110">
        <f>IF(FS190="","",IF(ISNUMBER('Dvd Calendar'!$E$1899)=FALSE,"",'Dvd Calendar'!$E$1899))</f>
        <v/>
      </c>
      <c r="AR190" s="110">
        <f>IF(FT190="","",IF(ISNUMBER('Dvd Calendar'!$F$1899)=FALSE,"",'Dvd Calendar'!$F$1899))</f>
        <v/>
      </c>
      <c r="AS190" s="110">
        <f>IF(FU190="","",IF(ISNUMBER('Dvd Calendar'!$G$1899)=FALSE,"",'Dvd Calendar'!$G$1899))</f>
        <v/>
      </c>
      <c r="AT190" s="110">
        <f>IF(FV190="","",IF(ISNUMBER('Dvd Calendar'!$H$1899)=FALSE,"",'Dvd Calendar'!$H$1899))</f>
        <v/>
      </c>
      <c r="AU190" s="110">
        <f>IF(FW190="","",IF(ISNUMBER('Dvd Calendar'!$I$1899)=FALSE,"",'Dvd Calendar'!$I$1899))</f>
        <v/>
      </c>
      <c r="AV190" s="110">
        <f>IF(FX190="","",IF(ISNUMBER('Dvd Calendar'!$J$1899)=FALSE,"",'Dvd Calendar'!$J$1899))</f>
        <v/>
      </c>
      <c r="AW190" s="110">
        <f>IF(FY190="","",IF(ISNUMBER('Dvd Calendar'!$K$1899)=FALSE,"",'Dvd Calendar'!$K$1899))</f>
        <v/>
      </c>
      <c r="AX190" s="110">
        <f>IF(FZ190="","",IF(ISNUMBER('Dvd Calendar'!$L$1899)=FALSE,"",'Dvd Calendar'!$L$1899))</f>
        <v/>
      </c>
      <c r="AY190" s="110">
        <f>IF(GA190="","",IF(ISNUMBER('Dvd Calendar'!$M$1899)=FALSE,"",'Dvd Calendar'!$M$1899))</f>
        <v/>
      </c>
      <c r="AZ190" s="110">
        <f>IF(GB190="","",IF(ISNUMBER('Dvd Calendar'!$N$1899)=FALSE,"",'Dvd Calendar'!$N$1899))</f>
        <v/>
      </c>
      <c r="BA190" s="110">
        <f>IF(GC190="","",IF(ISNUMBER('Dvd Calendar'!$O$1899)=FALSE,"",'Dvd Calendar'!$O$1899))</f>
        <v/>
      </c>
      <c r="BB190" s="110">
        <f>IF(GD190="","",IF(ISNUMBER('Dvd Calendar'!$P$1899)=FALSE,"",'Dvd Calendar'!$P$1899))</f>
        <v/>
      </c>
      <c r="BC190" s="110">
        <f>IF(GE190="","",IF(ISNUMBER('Dvd Calendar'!$Q$1899)=FALSE,"",'Dvd Calendar'!$Q$1899))</f>
        <v/>
      </c>
      <c r="BD190" s="110">
        <f>IF(GF190="","",IF(ISNUMBER('Dvd Calendar'!$R$1899)=FALSE,"",'Dvd Calendar'!$R$1899))</f>
        <v/>
      </c>
      <c r="BE190" s="110">
        <f>IF(GG190="","",IF(ISNUMBER('Dvd Calendar'!$S$1899)=FALSE,"",'Dvd Calendar'!$S$1899))</f>
        <v/>
      </c>
      <c r="BF190" s="110">
        <f>IF(GH190="","",IF(ISNUMBER('Dvd Calendar'!$T$1899)=FALSE,"",'Dvd Calendar'!$T$1899))</f>
        <v/>
      </c>
      <c r="BG190" s="110">
        <f>IF(GI190="","",IF(ISNUMBER('Dvd Calendar'!$U$1899)=FALSE,"",'Dvd Calendar'!$U$1899))</f>
        <v/>
      </c>
      <c r="BH190" s="110">
        <f>IF(GJ190="","",IF(ISNUMBER('Dvd Calendar'!$V$1899)=FALSE,"",'Dvd Calendar'!$V$1899))</f>
        <v/>
      </c>
      <c r="BI190" s="110">
        <f>IF(GK190="","",IF(ISNUMBER('Dvd Calendar'!$W$1899)=FALSE,"",'Dvd Calendar'!$W$1899))</f>
        <v/>
      </c>
      <c r="BJ190" s="110">
        <f>IF(GL190="","",IF(ISNUMBER('Dvd Calendar'!$X$1899)=FALSE,"",'Dvd Calendar'!$X$1899))</f>
        <v/>
      </c>
      <c r="BK190" s="110">
        <f>IF(GM190="","",IF(ISNUMBER('Dvd Calendar'!$Y$1899)=FALSE,"",'Dvd Calendar'!$Y$1899))</f>
        <v/>
      </c>
      <c r="BL190" s="110">
        <f>IF(GN190="","",IF(ISNUMBER('Dvd Calendar'!$Z$1899)=FALSE,"",'Dvd Calendar'!$Z$1899))</f>
        <v/>
      </c>
      <c r="BM190" s="110">
        <f>IF(GO190="","",IF(ISNUMBER('Dvd Calendar'!$AA$1899)=FALSE,"",'Dvd Calendar'!$AA$1899))</f>
        <v/>
      </c>
      <c r="BN190" s="110">
        <f>IF(GP190="","",IF(ISNUMBER('Dvd Calendar'!$AB$1899)=FALSE,"",'Dvd Calendar'!$AB$1899))</f>
        <v/>
      </c>
      <c r="BO190" s="110">
        <f>IF(GQ190="","",IF(ISNUMBER('Dvd Calendar'!$AC$1899)=FALSE,"",'Dvd Calendar'!$AC$1899))</f>
        <v/>
      </c>
      <c r="BQ190" s="110">
        <f>IF(C190="","",IFERROR(C190*HSCEI!$B$37*HSCEI!$G$37/HSCEI!$B$3,""))</f>
        <v/>
      </c>
      <c r="BR190" s="110">
        <f>IF(D190="","",IFERROR(D190*HSCEI!$B$37*HSCEI!$G$37/HSCEI!$B$3,""))</f>
        <v/>
      </c>
      <c r="BS190" s="110">
        <f>IF(E190="","",IFERROR(E190*HSCEI!$B$37*HSCEI!$G$37/HSCEI!$B$3,""))</f>
        <v/>
      </c>
      <c r="BT190" s="110">
        <f>IF(F190="","",IFERROR(F190*HSCEI!$B$37*HSCEI!$G$37/HSCEI!$B$3,""))</f>
        <v/>
      </c>
      <c r="BU190" s="110">
        <f>IF(G190="","",IFERROR(G190*HSCEI!$B$37*HSCEI!$G$37/HSCEI!$B$3,""))</f>
        <v/>
      </c>
      <c r="BV190" s="110">
        <f>IF(H190="","",IFERROR(H190*HSCEI!$B$37*HSCEI!$G$37/HSCEI!$B$3,""))</f>
        <v/>
      </c>
      <c r="BW190" s="110">
        <f>IF(I190="","",IFERROR(I190*HSCEI!$B$37*HSCEI!$G$37/HSCEI!$B$3,""))</f>
        <v/>
      </c>
      <c r="BX190" s="110">
        <f>IF(J190="","",IFERROR(J190*HSCEI!$B$37*HSCEI!$G$37/HSCEI!$B$3,""))</f>
        <v/>
      </c>
      <c r="BY190" s="110">
        <f>IF(K190="","",IFERROR(K190*HSCEI!$B$37*HSCEI!$G$37/HSCEI!$B$3,""))</f>
        <v/>
      </c>
      <c r="BZ190" s="110">
        <f>IF(L190="","",IFERROR(L190*HSCEI!$B$37*HSCEI!$G$37/HSCEI!$B$3,""))</f>
        <v/>
      </c>
      <c r="CA190" s="110">
        <f>IF(M190="","",IFERROR(M190*HSCEI!$B$37*HSCEI!$G$37/HSCEI!$B$3,""))</f>
        <v/>
      </c>
      <c r="CB190" s="110">
        <f>IF(N190="","",IFERROR(N190*HSCEI!$B$37*HSCEI!$G$37/HSCEI!$B$3,""))</f>
        <v/>
      </c>
      <c r="CC190" s="110">
        <f>IF(O190="","",IFERROR(O190*HSCEI!$B$37*HSCEI!$G$37/HSCEI!$B$3,""))</f>
        <v/>
      </c>
      <c r="CD190" s="110">
        <f>IF(P190="","",IFERROR(P190*HSCEI!$B$37*HSCEI!$G$37/HSCEI!$B$3,""))</f>
        <v/>
      </c>
      <c r="CE190" s="110">
        <f>IF(Q190="","",IFERROR(Q190*HSCEI!$B$37*HSCEI!$G$37/HSCEI!$B$3,""))</f>
        <v/>
      </c>
      <c r="CF190" s="110">
        <f>IF(R190="","",IFERROR(R190*HSCEI!$B$37*HSCEI!$G$37/HSCEI!$B$3,""))</f>
        <v/>
      </c>
      <c r="CG190" s="110">
        <f>IF(S190="","",IFERROR(S190*HSCEI!$B$37*HSCEI!$G$37/HSCEI!$B$3,""))</f>
        <v/>
      </c>
      <c r="CH190" s="110">
        <f>IF(T190="","",IFERROR(T190*HSCEI!$B$37*HSCEI!$G$37/HSCEI!$B$3,""))</f>
        <v/>
      </c>
      <c r="CI190" s="110">
        <f>IF(U190="","",IFERROR(U190*HSCEI!$B$37*HSCEI!$G$37/HSCEI!$B$3,""))</f>
        <v/>
      </c>
      <c r="CJ190" s="110">
        <f>IF(V190="","",IFERROR(V190*HSCEI!$B$37*HSCEI!$G$37/HSCEI!$B$3,""))</f>
        <v/>
      </c>
      <c r="CK190" s="110">
        <f>IF(W190="","",IFERROR(W190*HSCEI!$B$37*HSCEI!$G$37/HSCEI!$B$3,""))</f>
        <v/>
      </c>
      <c r="CL190" s="110">
        <f>IF(X190="","",IFERROR(X190*HSCEI!$B$37*HSCEI!$G$37/HSCEI!$B$3,""))</f>
        <v/>
      </c>
      <c r="CM190" s="110">
        <f>IF(Y190="","",IFERROR(Y190*HSCEI!$B$37*HSCEI!$G$37/HSCEI!$B$3,""))</f>
        <v/>
      </c>
      <c r="CN190" s="110">
        <f>IF(Z190="","",IFERROR(Z190*HSCEI!$B$37*HSCEI!$G$37/HSCEI!$B$3,""))</f>
        <v/>
      </c>
      <c r="CO190" s="110">
        <f>IF(AA190="","",IFERROR(AA190*HSCEI!$B$37*HSCEI!$G$37/HSCEI!$B$3,""))</f>
        <v/>
      </c>
      <c r="CP190" s="110">
        <f>IF(AB190="","",IFERROR(AB190*HSCEI!$B$37*HSCEI!$G$37/HSCEI!$B$3,""))</f>
        <v/>
      </c>
      <c r="CQ190" s="110">
        <f>IF(AC190="","",IFERROR(AC190*HSCEI!$B$37*HSCEI!$G$37/HSCEI!$B$3,""))</f>
        <v/>
      </c>
      <c r="CR190" s="110">
        <f>IF(AD190="","",IFERROR(AD190*HSCEI!$B$37*HSCEI!$G$37/HSCEI!$B$3,""))</f>
        <v/>
      </c>
      <c r="CS190" s="110">
        <f>IF(AE190="","",IFERROR(AE190*HSCEI!$B$37*HSCEI!$G$37/HSCEI!$B$3,""))</f>
        <v/>
      </c>
      <c r="CT190" s="110">
        <f>IF(AF190="","",IFERROR(AF190*HSCEI!$B$37*HSCEI!$G$37/HSCEI!$B$3,""))</f>
        <v/>
      </c>
      <c r="CU190" s="110">
        <f>IF(AG190="","",IFERROR(AG190*HSCEI!$B$37*HSCEI!$G$37/HSCEI!$B$3,""))</f>
        <v/>
      </c>
      <c r="CV190" s="110">
        <f>IF(AH190="","",IFERROR(AH190*HSCEI!$B$37*HSCEI!$G$37/HSCEI!$B$3,""))</f>
        <v/>
      </c>
      <c r="CW190" s="110">
        <f>IF(AI190="","",IFERROR(AI190*HSCEI!$B$37*HSCEI!$G$37/HSCEI!$B$3,""))</f>
        <v/>
      </c>
      <c r="CX190" s="110">
        <f>IF(AJ190="","",IFERROR(AJ190*HSCEI!$B$37*HSCEI!$G$37/HSCEI!$B$3,""))</f>
        <v/>
      </c>
      <c r="CY190" s="110">
        <f>IF(AK190="","",IFERROR(AK190*HSCEI!$B$37*HSCEI!$G$37/HSCEI!$B$3,""))</f>
        <v/>
      </c>
      <c r="CZ190" s="110">
        <f>IF(AL190="","",IFERROR(AL190*HSCEI!$B$37*HSCEI!$G$37/HSCEI!$B$3,""))</f>
        <v/>
      </c>
      <c r="DA190" s="110">
        <f>IF(AM190="","",IFERROR(AM190*HSCEI!$B$37*HSCEI!$G$37/HSCEI!$B$3,""))</f>
        <v/>
      </c>
      <c r="DB190" s="110">
        <f>IF(AN190="","",IFERROR(AN190*HSCEI!$B$37*HSCEI!$G$37/HSCEI!$B$3,""))</f>
        <v/>
      </c>
      <c r="DC190" s="110">
        <f>IF(AO190="","",IFERROR(AO190*HSCEI!$B$37*HSCEI!$G$37/HSCEI!$B$3,""))</f>
        <v/>
      </c>
      <c r="DD190" s="110">
        <f>IF(AP190="","",IFERROR(AP190*HSCEI!$B$37*HSCEI!$G$37/HSCEI!$B$3,""))</f>
        <v/>
      </c>
      <c r="DE190" s="110">
        <f>IF(AQ190="","",IFERROR(AQ190*HSCEI!$B$37*HSCEI!$G$37/HSCEI!$B$3,""))</f>
        <v/>
      </c>
      <c r="DF190" s="110">
        <f>IF(AR190="","",IFERROR(AR190*HSCEI!$B$37*HSCEI!$G$37/HSCEI!$B$3,""))</f>
        <v/>
      </c>
      <c r="DG190" s="110">
        <f>IF(AS190="","",IFERROR(AS190*HSCEI!$B$37*HSCEI!$G$37/HSCEI!$B$3,""))</f>
        <v/>
      </c>
      <c r="DH190" s="110">
        <f>IF(AT190="","",IFERROR(AT190*HSCEI!$B$37*HSCEI!$G$37/HSCEI!$B$3,""))</f>
        <v/>
      </c>
      <c r="DI190" s="110">
        <f>IF(AU190="","",IFERROR(AU190*HSCEI!$B$37*HSCEI!$G$37/HSCEI!$B$3,""))</f>
        <v/>
      </c>
      <c r="DJ190" s="110">
        <f>IF(AV190="","",IFERROR(AV190*HSCEI!$B$37*HSCEI!$G$37/HSCEI!$B$3,""))</f>
        <v/>
      </c>
      <c r="DK190" s="110">
        <f>IF(AW190="","",IFERROR(AW190*HSCEI!$B$37*HSCEI!$G$37/HSCEI!$B$3,""))</f>
        <v/>
      </c>
      <c r="DL190" s="110">
        <f>IF(AX190="","",IFERROR(AX190*HSCEI!$B$37*HSCEI!$G$37/HSCEI!$B$3,""))</f>
        <v/>
      </c>
      <c r="DM190" s="110">
        <f>IF(AY190="","",IFERROR(AY190*HSCEI!$B$37*HSCEI!$G$37/HSCEI!$B$3,""))</f>
        <v/>
      </c>
      <c r="DN190" s="110">
        <f>IF(AZ190="","",IFERROR(AZ190*HSCEI!$B$37*HSCEI!$G$37/HSCEI!$B$3,""))</f>
        <v/>
      </c>
      <c r="DO190" s="110">
        <f>IF(BA190="","",IFERROR(BA190*HSCEI!$B$37*HSCEI!$G$37/HSCEI!$B$3,""))</f>
        <v/>
      </c>
      <c r="DP190" s="110">
        <f>IF(BB190="","",IFERROR(BB190*HSCEI!$B$37*HSCEI!$G$37/HSCEI!$B$3,""))</f>
        <v/>
      </c>
      <c r="DQ190" s="110">
        <f>IF(BC190="","",IFERROR(BC190*HSCEI!$B$37*HSCEI!$G$37/HSCEI!$B$3,""))</f>
        <v/>
      </c>
      <c r="DR190" s="110">
        <f>IF(BD190="","",IFERROR(BD190*HSCEI!$B$37*HSCEI!$G$37/HSCEI!$B$3,""))</f>
        <v/>
      </c>
      <c r="DS190" s="110">
        <f>IF(BE190="","",IFERROR(BE190*HSCEI!$B$37*HSCEI!$G$37/HSCEI!$B$3,""))</f>
        <v/>
      </c>
      <c r="DT190" s="110">
        <f>IF(BF190="","",IFERROR(BF190*HSCEI!$B$37*HSCEI!$G$37/HSCEI!$B$3,""))</f>
        <v/>
      </c>
      <c r="DU190" s="110">
        <f>IF(BG190="","",IFERROR(BG190*HSCEI!$B$37*HSCEI!$G$37/HSCEI!$B$3,""))</f>
        <v/>
      </c>
      <c r="DV190" s="110">
        <f>IF(BH190="","",IFERROR(BH190*HSCEI!$B$37*HSCEI!$G$37/HSCEI!$B$3,""))</f>
        <v/>
      </c>
      <c r="DW190" s="110">
        <f>IF(BI190="","",IFERROR(BI190*HSCEI!$B$37*HSCEI!$G$37/HSCEI!$B$3,""))</f>
        <v/>
      </c>
      <c r="DX190" s="110">
        <f>IF(BJ190="","",IFERROR(BJ190*HSCEI!$B$37*HSCEI!$G$37/HSCEI!$B$3,""))</f>
        <v/>
      </c>
      <c r="DY190" s="110">
        <f>IF(BK190="","",IFERROR(BK190*HSCEI!$B$37*HSCEI!$G$37/HSCEI!$B$3,""))</f>
        <v/>
      </c>
      <c r="DZ190" s="110">
        <f>IF(BL190="","",IFERROR(BL190*HSCEI!$B$37*HSCEI!$G$37/HSCEI!$B$3,""))</f>
        <v/>
      </c>
      <c r="EA190" s="110">
        <f>IF(BM190="","",IFERROR(BM190*HSCEI!$B$37*HSCEI!$G$37/HSCEI!$B$3,""))</f>
        <v/>
      </c>
      <c r="EB190" s="110">
        <f>IF(BN190="","",IFERROR(BN190*HSCEI!$B$37*HSCEI!$G$37/HSCEI!$B$3,""))</f>
        <v/>
      </c>
      <c r="EC190" s="110">
        <f>IF(BO190="","",IFERROR(BO190*HSCEI!$B$37*HSCEI!$G$37/HSCEI!$B$3,""))</f>
        <v/>
      </c>
      <c r="EE190" s="39">
        <f>IF(N('Dvd Calendar'!$E$1891)=0,"",IF(('Dvd Calendar'!$E$1891&gt;=GRID_FROM)*('Dvd Calendar'!$E$1891&lt;=GRID_TO)*((('Dvd Calendar'!$E$1891&lt;=VAL_DATE)+(COUNTIF('Dvd Calendar'!$E$1898:$AR$1898,'Dvd Calendar'!$E$1891)=0))&gt;0)=0,"",'Dvd Calendar'!$E$1891*1000000000+ISNUMBER('Dvd Calendar'!$E$1894)*100000000+('Dvd Calendar'!$E$1896=SPECIAL_LBL)*10000000+(N('Dvd Calendar'!$E$1890)&gt;0)*(N('Dvd Calendar'!$E$1890)&lt;=VAL_SERIAL)*1000000+31*1000+1))</f>
        <v/>
      </c>
      <c r="EF190" s="39">
        <f>IF(N('Dvd Calendar'!$F$1891)=0,"",IF(('Dvd Calendar'!$F$1891&gt;=GRID_FROM)*('Dvd Calendar'!$F$1891&lt;=GRID_TO)*((('Dvd Calendar'!$F$1891&lt;=VAL_DATE)+(COUNTIF('Dvd Calendar'!$E$1898:$AR$1898,'Dvd Calendar'!$F$1891)=0))&gt;0)=0,"",'Dvd Calendar'!$F$1891*1000000000+ISNUMBER('Dvd Calendar'!$F$1894)*100000000+('Dvd Calendar'!$F$1896=SPECIAL_LBL)*10000000+(N('Dvd Calendar'!$F$1890)&gt;0)*(N('Dvd Calendar'!$F$1890)&lt;=VAL_SERIAL)*1000000+31*1000+2))</f>
        <v/>
      </c>
      <c r="EG190" s="39">
        <f>IF(N('Dvd Calendar'!$G$1891)=0,"",IF(('Dvd Calendar'!$G$1891&gt;=GRID_FROM)*('Dvd Calendar'!$G$1891&lt;=GRID_TO)*((('Dvd Calendar'!$G$1891&lt;=VAL_DATE)+(COUNTIF('Dvd Calendar'!$E$1898:$AR$1898,'Dvd Calendar'!$G$1891)=0))&gt;0)=0,"",'Dvd Calendar'!$G$1891*1000000000+ISNUMBER('Dvd Calendar'!$G$1894)*100000000+('Dvd Calendar'!$G$1896=SPECIAL_LBL)*10000000+(N('Dvd Calendar'!$G$1890)&gt;0)*(N('Dvd Calendar'!$G$1890)&lt;=VAL_SERIAL)*1000000+31*1000+3))</f>
        <v/>
      </c>
      <c r="EH190" s="39">
        <f>IF(N('Dvd Calendar'!$H$1891)=0,"",IF(('Dvd Calendar'!$H$1891&gt;=GRID_FROM)*('Dvd Calendar'!$H$1891&lt;=GRID_TO)*((('Dvd Calendar'!$H$1891&lt;=VAL_DATE)+(COUNTIF('Dvd Calendar'!$E$1898:$AR$1898,'Dvd Calendar'!$H$1891)=0))&gt;0)=0,"",'Dvd Calendar'!$H$1891*1000000000+ISNUMBER('Dvd Calendar'!$H$1894)*100000000+('Dvd Calendar'!$H$1896=SPECIAL_LBL)*10000000+(N('Dvd Calendar'!$H$1890)&gt;0)*(N('Dvd Calendar'!$H$1890)&lt;=VAL_SERIAL)*1000000+31*1000+4))</f>
        <v/>
      </c>
      <c r="EI190" s="39">
        <f>IF(N('Dvd Calendar'!$I$1891)=0,"",IF(('Dvd Calendar'!$I$1891&gt;=GRID_FROM)*('Dvd Calendar'!$I$1891&lt;=GRID_TO)*((('Dvd Calendar'!$I$1891&lt;=VAL_DATE)+(COUNTIF('Dvd Calendar'!$E$1898:$AR$1898,'Dvd Calendar'!$I$1891)=0))&gt;0)=0,"",'Dvd Calendar'!$I$1891*1000000000+ISNUMBER('Dvd Calendar'!$I$1894)*100000000+('Dvd Calendar'!$I$1896=SPECIAL_LBL)*10000000+(N('Dvd Calendar'!$I$1890)&gt;0)*(N('Dvd Calendar'!$I$1890)&lt;=VAL_SERIAL)*1000000+31*1000+5))</f>
        <v/>
      </c>
      <c r="EJ190" s="39">
        <f>IF(N('Dvd Calendar'!$J$1891)=0,"",IF(('Dvd Calendar'!$J$1891&gt;=GRID_FROM)*('Dvd Calendar'!$J$1891&lt;=GRID_TO)*((('Dvd Calendar'!$J$1891&lt;=VAL_DATE)+(COUNTIF('Dvd Calendar'!$E$1898:$AR$1898,'Dvd Calendar'!$J$1891)=0))&gt;0)=0,"",'Dvd Calendar'!$J$1891*1000000000+ISNUMBER('Dvd Calendar'!$J$1894)*100000000+('Dvd Calendar'!$J$1896=SPECIAL_LBL)*10000000+(N('Dvd Calendar'!$J$1890)&gt;0)*(N('Dvd Calendar'!$J$1890)&lt;=VAL_SERIAL)*1000000+31*1000+6))</f>
        <v/>
      </c>
      <c r="EK190" s="39">
        <f>IF(N('Dvd Calendar'!$K$1891)=0,"",IF(('Dvd Calendar'!$K$1891&gt;=GRID_FROM)*('Dvd Calendar'!$K$1891&lt;=GRID_TO)*((('Dvd Calendar'!$K$1891&lt;=VAL_DATE)+(COUNTIF('Dvd Calendar'!$E$1898:$AR$1898,'Dvd Calendar'!$K$1891)=0))&gt;0)=0,"",'Dvd Calendar'!$K$1891*1000000000+ISNUMBER('Dvd Calendar'!$K$1894)*100000000+('Dvd Calendar'!$K$1896=SPECIAL_LBL)*10000000+(N('Dvd Calendar'!$K$1890)&gt;0)*(N('Dvd Calendar'!$K$1890)&lt;=VAL_SERIAL)*1000000+31*1000+7))</f>
        <v/>
      </c>
      <c r="EL190" s="39">
        <f>IF(N('Dvd Calendar'!$L$1891)=0,"",IF(('Dvd Calendar'!$L$1891&gt;=GRID_FROM)*('Dvd Calendar'!$L$1891&lt;=GRID_TO)*((('Dvd Calendar'!$L$1891&lt;=VAL_DATE)+(COUNTIF('Dvd Calendar'!$E$1898:$AR$1898,'Dvd Calendar'!$L$1891)=0))&gt;0)=0,"",'Dvd Calendar'!$L$1891*1000000000+ISNUMBER('Dvd Calendar'!$L$1894)*100000000+('Dvd Calendar'!$L$1896=SPECIAL_LBL)*10000000+(N('Dvd Calendar'!$L$1890)&gt;0)*(N('Dvd Calendar'!$L$1890)&lt;=VAL_SERIAL)*1000000+31*1000+8))</f>
        <v/>
      </c>
      <c r="EM190" s="39">
        <f>IF(N('Dvd Calendar'!$M$1891)=0,"",IF(('Dvd Calendar'!$M$1891&gt;=GRID_FROM)*('Dvd Calendar'!$M$1891&lt;=GRID_TO)*((('Dvd Calendar'!$M$1891&lt;=VAL_DATE)+(COUNTIF('Dvd Calendar'!$E$1898:$AR$1898,'Dvd Calendar'!$M$1891)=0))&gt;0)=0,"",'Dvd Calendar'!$M$1891*1000000000+ISNUMBER('Dvd Calendar'!$M$1894)*100000000+('Dvd Calendar'!$M$1896=SPECIAL_LBL)*10000000+(N('Dvd Calendar'!$M$1890)&gt;0)*(N('Dvd Calendar'!$M$1890)&lt;=VAL_SERIAL)*1000000+31*1000+9))</f>
        <v/>
      </c>
      <c r="EN190" s="39">
        <f>IF(N('Dvd Calendar'!$N$1891)=0,"",IF(('Dvd Calendar'!$N$1891&gt;=GRID_FROM)*('Dvd Calendar'!$N$1891&lt;=GRID_TO)*((('Dvd Calendar'!$N$1891&lt;=VAL_DATE)+(COUNTIF('Dvd Calendar'!$E$1898:$AR$1898,'Dvd Calendar'!$N$1891)=0))&gt;0)=0,"",'Dvd Calendar'!$N$1891*1000000000+ISNUMBER('Dvd Calendar'!$N$1894)*100000000+('Dvd Calendar'!$N$1896=SPECIAL_LBL)*10000000+(N('Dvd Calendar'!$N$1890)&gt;0)*(N('Dvd Calendar'!$N$1890)&lt;=VAL_SERIAL)*1000000+31*1000+10))</f>
        <v/>
      </c>
      <c r="EO190" s="39">
        <f>IF(N('Dvd Calendar'!$O$1891)=0,"",IF(('Dvd Calendar'!$O$1891&gt;=GRID_FROM)*('Dvd Calendar'!$O$1891&lt;=GRID_TO)*((('Dvd Calendar'!$O$1891&lt;=VAL_DATE)+(COUNTIF('Dvd Calendar'!$E$1898:$AR$1898,'Dvd Calendar'!$O$1891)=0))&gt;0)=0,"",'Dvd Calendar'!$O$1891*1000000000+ISNUMBER('Dvd Calendar'!$O$1894)*100000000+('Dvd Calendar'!$O$1896=SPECIAL_LBL)*10000000+(N('Dvd Calendar'!$O$1890)&gt;0)*(N('Dvd Calendar'!$O$1890)&lt;=VAL_SERIAL)*1000000+31*1000+11))</f>
        <v/>
      </c>
      <c r="EP190" s="39">
        <f>IF(N('Dvd Calendar'!$P$1891)=0,"",IF(('Dvd Calendar'!$P$1891&gt;=GRID_FROM)*('Dvd Calendar'!$P$1891&lt;=GRID_TO)*((('Dvd Calendar'!$P$1891&lt;=VAL_DATE)+(COUNTIF('Dvd Calendar'!$E$1898:$AR$1898,'Dvd Calendar'!$P$1891)=0))&gt;0)=0,"",'Dvd Calendar'!$P$1891*1000000000+ISNUMBER('Dvd Calendar'!$P$1894)*100000000+('Dvd Calendar'!$P$1896=SPECIAL_LBL)*10000000+(N('Dvd Calendar'!$P$1890)&gt;0)*(N('Dvd Calendar'!$P$1890)&lt;=VAL_SERIAL)*1000000+31*1000+12))</f>
        <v/>
      </c>
      <c r="EQ190" s="39">
        <f>IF(N('Dvd Calendar'!$Q$1891)=0,"",IF(('Dvd Calendar'!$Q$1891&gt;=GRID_FROM)*('Dvd Calendar'!$Q$1891&lt;=GRID_TO)*((('Dvd Calendar'!$Q$1891&lt;=VAL_DATE)+(COUNTIF('Dvd Calendar'!$E$1898:$AR$1898,'Dvd Calendar'!$Q$1891)=0))&gt;0)=0,"",'Dvd Calendar'!$Q$1891*1000000000+ISNUMBER('Dvd Calendar'!$Q$1894)*100000000+('Dvd Calendar'!$Q$1896=SPECIAL_LBL)*10000000+(N('Dvd Calendar'!$Q$1890)&gt;0)*(N('Dvd Calendar'!$Q$1890)&lt;=VAL_SERIAL)*1000000+31*1000+13))</f>
        <v/>
      </c>
      <c r="ER190" s="39">
        <f>IF(N('Dvd Calendar'!$R$1891)=0,"",IF(('Dvd Calendar'!$R$1891&gt;=GRID_FROM)*('Dvd Calendar'!$R$1891&lt;=GRID_TO)*((('Dvd Calendar'!$R$1891&lt;=VAL_DATE)+(COUNTIF('Dvd Calendar'!$E$1898:$AR$1898,'Dvd Calendar'!$R$1891)=0))&gt;0)=0,"",'Dvd Calendar'!$R$1891*1000000000+ISNUMBER('Dvd Calendar'!$R$1894)*100000000+('Dvd Calendar'!$R$1896=SPECIAL_LBL)*10000000+(N('Dvd Calendar'!$R$1890)&gt;0)*(N('Dvd Calendar'!$R$1890)&lt;=VAL_SERIAL)*1000000+31*1000+14))</f>
        <v/>
      </c>
      <c r="ES190" s="39">
        <f>IF(N('Dvd Calendar'!$S$1891)=0,"",IF(('Dvd Calendar'!$S$1891&gt;=GRID_FROM)*('Dvd Calendar'!$S$1891&lt;=GRID_TO)*((('Dvd Calendar'!$S$1891&lt;=VAL_DATE)+(COUNTIF('Dvd Calendar'!$E$1898:$AR$1898,'Dvd Calendar'!$S$1891)=0))&gt;0)=0,"",'Dvd Calendar'!$S$1891*1000000000+ISNUMBER('Dvd Calendar'!$S$1894)*100000000+('Dvd Calendar'!$S$1896=SPECIAL_LBL)*10000000+(N('Dvd Calendar'!$S$1890)&gt;0)*(N('Dvd Calendar'!$S$1890)&lt;=VAL_SERIAL)*1000000+31*1000+15))</f>
        <v/>
      </c>
      <c r="ET190" s="39">
        <f>IF(N('Dvd Calendar'!$T$1891)=0,"",IF(('Dvd Calendar'!$T$1891&gt;=GRID_FROM)*('Dvd Calendar'!$T$1891&lt;=GRID_TO)*((('Dvd Calendar'!$T$1891&lt;=VAL_DATE)+(COUNTIF('Dvd Calendar'!$E$1898:$AR$1898,'Dvd Calendar'!$T$1891)=0))&gt;0)=0,"",'Dvd Calendar'!$T$1891*1000000000+ISNUMBER('Dvd Calendar'!$T$1894)*100000000+('Dvd Calendar'!$T$1896=SPECIAL_LBL)*10000000+(N('Dvd Calendar'!$T$1890)&gt;0)*(N('Dvd Calendar'!$T$1890)&lt;=VAL_SERIAL)*1000000+31*1000+16))</f>
        <v/>
      </c>
      <c r="EU190" s="39">
        <f>IF(N('Dvd Calendar'!$U$1891)=0,"",IF(('Dvd Calendar'!$U$1891&gt;=GRID_FROM)*('Dvd Calendar'!$U$1891&lt;=GRID_TO)*((('Dvd Calendar'!$U$1891&lt;=VAL_DATE)+(COUNTIF('Dvd Calendar'!$E$1898:$AR$1898,'Dvd Calendar'!$U$1891)=0))&gt;0)=0,"",'Dvd Calendar'!$U$1891*1000000000+ISNUMBER('Dvd Calendar'!$U$1894)*100000000+('Dvd Calendar'!$U$1896=SPECIAL_LBL)*10000000+(N('Dvd Calendar'!$U$1890)&gt;0)*(N('Dvd Calendar'!$U$1890)&lt;=VAL_SERIAL)*1000000+31*1000+17))</f>
        <v/>
      </c>
      <c r="EV190" s="39">
        <f>IF(N('Dvd Calendar'!$V$1891)=0,"",IF(('Dvd Calendar'!$V$1891&gt;=GRID_FROM)*('Dvd Calendar'!$V$1891&lt;=GRID_TO)*((('Dvd Calendar'!$V$1891&lt;=VAL_DATE)+(COUNTIF('Dvd Calendar'!$E$1898:$AR$1898,'Dvd Calendar'!$V$1891)=0))&gt;0)=0,"",'Dvd Calendar'!$V$1891*1000000000+ISNUMBER('Dvd Calendar'!$V$1894)*100000000+('Dvd Calendar'!$V$1896=SPECIAL_LBL)*10000000+(N('Dvd Calendar'!$V$1890)&gt;0)*(N('Dvd Calendar'!$V$1890)&lt;=VAL_SERIAL)*1000000+31*1000+18))</f>
        <v/>
      </c>
      <c r="EW190" s="39">
        <f>IF(N('Dvd Calendar'!$W$1891)=0,"",IF(('Dvd Calendar'!$W$1891&gt;=GRID_FROM)*('Dvd Calendar'!$W$1891&lt;=GRID_TO)*((('Dvd Calendar'!$W$1891&lt;=VAL_DATE)+(COUNTIF('Dvd Calendar'!$E$1898:$AR$1898,'Dvd Calendar'!$W$1891)=0))&gt;0)=0,"",'Dvd Calendar'!$W$1891*1000000000+ISNUMBER('Dvd Calendar'!$W$1894)*100000000+('Dvd Calendar'!$W$1896=SPECIAL_LBL)*10000000+(N('Dvd Calendar'!$W$1890)&gt;0)*(N('Dvd Calendar'!$W$1890)&lt;=VAL_SERIAL)*1000000+31*1000+19))</f>
        <v/>
      </c>
      <c r="EX190" s="39">
        <f>IF(N('Dvd Calendar'!$X$1891)=0,"",IF(('Dvd Calendar'!$X$1891&gt;=GRID_FROM)*('Dvd Calendar'!$X$1891&lt;=GRID_TO)*((('Dvd Calendar'!$X$1891&lt;=VAL_DATE)+(COUNTIF('Dvd Calendar'!$E$1898:$AR$1898,'Dvd Calendar'!$X$1891)=0))&gt;0)=0,"",'Dvd Calendar'!$X$1891*1000000000+ISNUMBER('Dvd Calendar'!$X$1894)*100000000+('Dvd Calendar'!$X$1896=SPECIAL_LBL)*10000000+(N('Dvd Calendar'!$X$1890)&gt;0)*(N('Dvd Calendar'!$X$1890)&lt;=VAL_SERIAL)*1000000+31*1000+20))</f>
        <v/>
      </c>
      <c r="EY190" s="39">
        <f>IF(N('Dvd Calendar'!$Y$1891)=0,"",IF(('Dvd Calendar'!$Y$1891&gt;=GRID_FROM)*('Dvd Calendar'!$Y$1891&lt;=GRID_TO)*((('Dvd Calendar'!$Y$1891&lt;=VAL_DATE)+(COUNTIF('Dvd Calendar'!$E$1898:$AR$1898,'Dvd Calendar'!$Y$1891)=0))&gt;0)=0,"",'Dvd Calendar'!$Y$1891*1000000000+ISNUMBER('Dvd Calendar'!$Y$1894)*100000000+('Dvd Calendar'!$Y$1896=SPECIAL_LBL)*10000000+(N('Dvd Calendar'!$Y$1890)&gt;0)*(N('Dvd Calendar'!$Y$1890)&lt;=VAL_SERIAL)*1000000+31*1000+21))</f>
        <v/>
      </c>
      <c r="EZ190" s="39">
        <f>IF(N('Dvd Calendar'!$Z$1891)=0,"",IF(('Dvd Calendar'!$Z$1891&gt;=GRID_FROM)*('Dvd Calendar'!$Z$1891&lt;=GRID_TO)*((('Dvd Calendar'!$Z$1891&lt;=VAL_DATE)+(COUNTIF('Dvd Calendar'!$E$1898:$AR$1898,'Dvd Calendar'!$Z$1891)=0))&gt;0)=0,"",'Dvd Calendar'!$Z$1891*1000000000+ISNUMBER('Dvd Calendar'!$Z$1894)*100000000+('Dvd Calendar'!$Z$1896=SPECIAL_LBL)*10000000+(N('Dvd Calendar'!$Z$1890)&gt;0)*(N('Dvd Calendar'!$Z$1890)&lt;=VAL_SERIAL)*1000000+31*1000+22))</f>
        <v/>
      </c>
      <c r="FA190" s="39">
        <f>IF(N('Dvd Calendar'!$AA$1891)=0,"",IF(('Dvd Calendar'!$AA$1891&gt;=GRID_FROM)*('Dvd Calendar'!$AA$1891&lt;=GRID_TO)*((('Dvd Calendar'!$AA$1891&lt;=VAL_DATE)+(COUNTIF('Dvd Calendar'!$E$1898:$AR$1898,'Dvd Calendar'!$AA$1891)=0))&gt;0)=0,"",'Dvd Calendar'!$AA$1891*1000000000+ISNUMBER('Dvd Calendar'!$AA$1894)*100000000+('Dvd Calendar'!$AA$1896=SPECIAL_LBL)*10000000+(N('Dvd Calendar'!$AA$1890)&gt;0)*(N('Dvd Calendar'!$AA$1890)&lt;=VAL_SERIAL)*1000000+31*1000+23))</f>
        <v/>
      </c>
      <c r="FB190" s="39">
        <f>IF(N('Dvd Calendar'!$AB$1891)=0,"",IF(('Dvd Calendar'!$AB$1891&gt;=GRID_FROM)*('Dvd Calendar'!$AB$1891&lt;=GRID_TO)*((('Dvd Calendar'!$AB$1891&lt;=VAL_DATE)+(COUNTIF('Dvd Calendar'!$E$1898:$AR$1898,'Dvd Calendar'!$AB$1891)=0))&gt;0)=0,"",'Dvd Calendar'!$AB$1891*1000000000+ISNUMBER('Dvd Calendar'!$AB$1894)*100000000+('Dvd Calendar'!$AB$1896=SPECIAL_LBL)*10000000+(N('Dvd Calendar'!$AB$1890)&gt;0)*(N('Dvd Calendar'!$AB$1890)&lt;=VAL_SERIAL)*1000000+31*1000+24))</f>
        <v/>
      </c>
      <c r="FC190" s="39">
        <f>IF(N('Dvd Calendar'!$AC$1891)=0,"",IF(('Dvd Calendar'!$AC$1891&gt;=GRID_FROM)*('Dvd Calendar'!$AC$1891&lt;=GRID_TO)*((('Dvd Calendar'!$AC$1891&lt;=VAL_DATE)+(COUNTIF('Dvd Calendar'!$E$1898:$AR$1898,'Dvd Calendar'!$AC$1891)=0))&gt;0)=0,"",'Dvd Calendar'!$AC$1891*1000000000+ISNUMBER('Dvd Calendar'!$AC$1894)*100000000+('Dvd Calendar'!$AC$1896=SPECIAL_LBL)*10000000+(N('Dvd Calendar'!$AC$1890)&gt;0)*(N('Dvd Calendar'!$AC$1890)&lt;=VAL_SERIAL)*1000000+31*1000+25))</f>
        <v/>
      </c>
      <c r="FD190" s="39">
        <f>IF(N('Dvd Calendar'!$AD$1891)=0,"",IF(('Dvd Calendar'!$AD$1891&gt;=GRID_FROM)*('Dvd Calendar'!$AD$1891&lt;=GRID_TO)*((('Dvd Calendar'!$AD$1891&lt;=VAL_DATE)+(COUNTIF('Dvd Calendar'!$E$1898:$AR$1898,'Dvd Calendar'!$AD$1891)=0))&gt;0)=0,"",'Dvd Calendar'!$AD$1891*1000000000+ISNUMBER('Dvd Calendar'!$AD$1894)*100000000+('Dvd Calendar'!$AD$1896=SPECIAL_LBL)*10000000+(N('Dvd Calendar'!$AD$1890)&gt;0)*(N('Dvd Calendar'!$AD$1890)&lt;=VAL_SERIAL)*1000000+31*1000+26))</f>
        <v/>
      </c>
      <c r="FE190" s="39">
        <f>IF(N('Dvd Calendar'!$AE$1891)=0,"",IF(('Dvd Calendar'!$AE$1891&gt;=GRID_FROM)*('Dvd Calendar'!$AE$1891&lt;=GRID_TO)*((('Dvd Calendar'!$AE$1891&lt;=VAL_DATE)+(COUNTIF('Dvd Calendar'!$E$1898:$AR$1898,'Dvd Calendar'!$AE$1891)=0))&gt;0)=0,"",'Dvd Calendar'!$AE$1891*1000000000+ISNUMBER('Dvd Calendar'!$AE$1894)*100000000+('Dvd Calendar'!$AE$1896=SPECIAL_LBL)*10000000+(N('Dvd Calendar'!$AE$1890)&gt;0)*(N('Dvd Calendar'!$AE$1890)&lt;=VAL_SERIAL)*1000000+31*1000+27))</f>
        <v/>
      </c>
      <c r="FF190" s="39">
        <f>IF(N('Dvd Calendar'!$AF$1891)=0,"",IF(('Dvd Calendar'!$AF$1891&gt;=GRID_FROM)*('Dvd Calendar'!$AF$1891&lt;=GRID_TO)*((('Dvd Calendar'!$AF$1891&lt;=VAL_DATE)+(COUNTIF('Dvd Calendar'!$E$1898:$AR$1898,'Dvd Calendar'!$AF$1891)=0))&gt;0)=0,"",'Dvd Calendar'!$AF$1891*1000000000+ISNUMBER('Dvd Calendar'!$AF$1894)*100000000+('Dvd Calendar'!$AF$1896=SPECIAL_LBL)*10000000+(N('Dvd Calendar'!$AF$1890)&gt;0)*(N('Dvd Calendar'!$AF$1890)&lt;=VAL_SERIAL)*1000000+31*1000+28))</f>
        <v/>
      </c>
      <c r="FG190" s="39">
        <f>IF(N('Dvd Calendar'!$AG$1891)=0,"",IF(('Dvd Calendar'!$AG$1891&gt;=GRID_FROM)*('Dvd Calendar'!$AG$1891&lt;=GRID_TO)*((('Dvd Calendar'!$AG$1891&lt;=VAL_DATE)+(COUNTIF('Dvd Calendar'!$E$1898:$AR$1898,'Dvd Calendar'!$AG$1891)=0))&gt;0)=0,"",'Dvd Calendar'!$AG$1891*1000000000+ISNUMBER('Dvd Calendar'!$AG$1894)*100000000+('Dvd Calendar'!$AG$1896=SPECIAL_LBL)*10000000+(N('Dvd Calendar'!$AG$1890)&gt;0)*(N('Dvd Calendar'!$AG$1890)&lt;=VAL_SERIAL)*1000000+31*1000+29))</f>
        <v/>
      </c>
      <c r="FH190" s="39">
        <f>IF(N('Dvd Calendar'!$AH$1891)=0,"",IF(('Dvd Calendar'!$AH$1891&gt;=GRID_FROM)*('Dvd Calendar'!$AH$1891&lt;=GRID_TO)*((('Dvd Calendar'!$AH$1891&lt;=VAL_DATE)+(COUNTIF('Dvd Calendar'!$E$1898:$AR$1898,'Dvd Calendar'!$AH$1891)=0))&gt;0)=0,"",'Dvd Calendar'!$AH$1891*1000000000+ISNUMBER('Dvd Calendar'!$AH$1894)*100000000+('Dvd Calendar'!$AH$1896=SPECIAL_LBL)*10000000+(N('Dvd Calendar'!$AH$1890)&gt;0)*(N('Dvd Calendar'!$AH$1890)&lt;=VAL_SERIAL)*1000000+31*1000+30))</f>
        <v/>
      </c>
      <c r="FI190" s="39">
        <f>IF(N('Dvd Calendar'!$AI$1891)=0,"",IF(('Dvd Calendar'!$AI$1891&gt;=GRID_FROM)*('Dvd Calendar'!$AI$1891&lt;=GRID_TO)*((('Dvd Calendar'!$AI$1891&lt;=VAL_DATE)+(COUNTIF('Dvd Calendar'!$E$1898:$AR$1898,'Dvd Calendar'!$AI$1891)=0))&gt;0)=0,"",'Dvd Calendar'!$AI$1891*1000000000+ISNUMBER('Dvd Calendar'!$AI$1894)*100000000+('Dvd Calendar'!$AI$1896=SPECIAL_LBL)*10000000+(N('Dvd Calendar'!$AI$1890)&gt;0)*(N('Dvd Calendar'!$AI$1890)&lt;=VAL_SERIAL)*1000000+31*1000+31))</f>
        <v/>
      </c>
      <c r="FJ190" s="39">
        <f>IF(N('Dvd Calendar'!$AJ$1891)=0,"",IF(('Dvd Calendar'!$AJ$1891&gt;=GRID_FROM)*('Dvd Calendar'!$AJ$1891&lt;=GRID_TO)*((('Dvd Calendar'!$AJ$1891&lt;=VAL_DATE)+(COUNTIF('Dvd Calendar'!$E$1898:$AR$1898,'Dvd Calendar'!$AJ$1891)=0))&gt;0)=0,"",'Dvd Calendar'!$AJ$1891*1000000000+ISNUMBER('Dvd Calendar'!$AJ$1894)*100000000+('Dvd Calendar'!$AJ$1896=SPECIAL_LBL)*10000000+(N('Dvd Calendar'!$AJ$1890)&gt;0)*(N('Dvd Calendar'!$AJ$1890)&lt;=VAL_SERIAL)*1000000+31*1000+32))</f>
        <v/>
      </c>
      <c r="FK190" s="39">
        <f>IF(N('Dvd Calendar'!$AK$1891)=0,"",IF(('Dvd Calendar'!$AK$1891&gt;=GRID_FROM)*('Dvd Calendar'!$AK$1891&lt;=GRID_TO)*((('Dvd Calendar'!$AK$1891&lt;=VAL_DATE)+(COUNTIF('Dvd Calendar'!$E$1898:$AR$1898,'Dvd Calendar'!$AK$1891)=0))&gt;0)=0,"",'Dvd Calendar'!$AK$1891*1000000000+ISNUMBER('Dvd Calendar'!$AK$1894)*100000000+('Dvd Calendar'!$AK$1896=SPECIAL_LBL)*10000000+(N('Dvd Calendar'!$AK$1890)&gt;0)*(N('Dvd Calendar'!$AK$1890)&lt;=VAL_SERIAL)*1000000+31*1000+33))</f>
        <v/>
      </c>
      <c r="FL190" s="39">
        <f>IF(N('Dvd Calendar'!$AL$1891)=0,"",IF(('Dvd Calendar'!$AL$1891&gt;=GRID_FROM)*('Dvd Calendar'!$AL$1891&lt;=GRID_TO)*((('Dvd Calendar'!$AL$1891&lt;=VAL_DATE)+(COUNTIF('Dvd Calendar'!$E$1898:$AR$1898,'Dvd Calendar'!$AL$1891)=0))&gt;0)=0,"",'Dvd Calendar'!$AL$1891*1000000000+ISNUMBER('Dvd Calendar'!$AL$1894)*100000000+('Dvd Calendar'!$AL$1896=SPECIAL_LBL)*10000000+(N('Dvd Calendar'!$AL$1890)&gt;0)*(N('Dvd Calendar'!$AL$1890)&lt;=VAL_SERIAL)*1000000+31*1000+34))</f>
        <v/>
      </c>
      <c r="FM190" s="39">
        <f>IF(N('Dvd Calendar'!$AM$1891)=0,"",IF(('Dvd Calendar'!$AM$1891&gt;=GRID_FROM)*('Dvd Calendar'!$AM$1891&lt;=GRID_TO)*((('Dvd Calendar'!$AM$1891&lt;=VAL_DATE)+(COUNTIF('Dvd Calendar'!$E$1898:$AR$1898,'Dvd Calendar'!$AM$1891)=0))&gt;0)=0,"",'Dvd Calendar'!$AM$1891*1000000000+ISNUMBER('Dvd Calendar'!$AM$1894)*100000000+('Dvd Calendar'!$AM$1896=SPECIAL_LBL)*10000000+(N('Dvd Calendar'!$AM$1890)&gt;0)*(N('Dvd Calendar'!$AM$1890)&lt;=VAL_SERIAL)*1000000+31*1000+35))</f>
        <v/>
      </c>
      <c r="FN190" s="39">
        <f>IF(N('Dvd Calendar'!$AN$1891)=0,"",IF(('Dvd Calendar'!$AN$1891&gt;=GRID_FROM)*('Dvd Calendar'!$AN$1891&lt;=GRID_TO)*((('Dvd Calendar'!$AN$1891&lt;=VAL_DATE)+(COUNTIF('Dvd Calendar'!$E$1898:$AR$1898,'Dvd Calendar'!$AN$1891)=0))&gt;0)=0,"",'Dvd Calendar'!$AN$1891*1000000000+ISNUMBER('Dvd Calendar'!$AN$1894)*100000000+('Dvd Calendar'!$AN$1896=SPECIAL_LBL)*10000000+(N('Dvd Calendar'!$AN$1890)&gt;0)*(N('Dvd Calendar'!$AN$1890)&lt;=VAL_SERIAL)*1000000+31*1000+36))</f>
        <v/>
      </c>
      <c r="FO190" s="39">
        <f>IF(N('Dvd Calendar'!$AO$1891)=0,"",IF(('Dvd Calendar'!$AO$1891&gt;=GRID_FROM)*('Dvd Calendar'!$AO$1891&lt;=GRID_TO)*((('Dvd Calendar'!$AO$1891&lt;=VAL_DATE)+(COUNTIF('Dvd Calendar'!$E$1898:$AR$1898,'Dvd Calendar'!$AO$1891)=0))&gt;0)=0,"",'Dvd Calendar'!$AO$1891*1000000000+ISNUMBER('Dvd Calendar'!$AO$1894)*100000000+('Dvd Calendar'!$AO$1896=SPECIAL_LBL)*10000000+(N('Dvd Calendar'!$AO$1890)&gt;0)*(N('Dvd Calendar'!$AO$1890)&lt;=VAL_SERIAL)*1000000+31*1000+37))</f>
        <v/>
      </c>
      <c r="FP190" s="39">
        <f>IF(N('Dvd Calendar'!$AP$1891)=0,"",IF(('Dvd Calendar'!$AP$1891&gt;=GRID_FROM)*('Dvd Calendar'!$AP$1891&lt;=GRID_TO)*((('Dvd Calendar'!$AP$1891&lt;=VAL_DATE)+(COUNTIF('Dvd Calendar'!$E$1898:$AR$1898,'Dvd Calendar'!$AP$1891)=0))&gt;0)=0,"",'Dvd Calendar'!$AP$1891*1000000000+ISNUMBER('Dvd Calendar'!$AP$1894)*100000000+('Dvd Calendar'!$AP$1896=SPECIAL_LBL)*10000000+(N('Dvd Calendar'!$AP$1890)&gt;0)*(N('Dvd Calendar'!$AP$1890)&lt;=VAL_SERIAL)*1000000+31*1000+38))</f>
        <v/>
      </c>
      <c r="FQ190" s="39">
        <f>IF(N('Dvd Calendar'!$AQ$1891)=0,"",IF(('Dvd Calendar'!$AQ$1891&gt;=GRID_FROM)*('Dvd Calendar'!$AQ$1891&lt;=GRID_TO)*((('Dvd Calendar'!$AQ$1891&lt;=VAL_DATE)+(COUNTIF('Dvd Calendar'!$E$1898:$AR$1898,'Dvd Calendar'!$AQ$1891)=0))&gt;0)=0,"",'Dvd Calendar'!$AQ$1891*1000000000+ISNUMBER('Dvd Calendar'!$AQ$1894)*100000000+('Dvd Calendar'!$AQ$1896=SPECIAL_LBL)*10000000+(N('Dvd Calendar'!$AQ$1890)&gt;0)*(N('Dvd Calendar'!$AQ$1890)&lt;=VAL_SERIAL)*1000000+31*1000+39))</f>
        <v/>
      </c>
      <c r="FR190" s="39">
        <f>IF(N('Dvd Calendar'!$AR$1891)=0,"",IF(('Dvd Calendar'!$AR$1891&gt;=GRID_FROM)*('Dvd Calendar'!$AR$1891&lt;=GRID_TO)*((('Dvd Calendar'!$AR$1891&lt;=VAL_DATE)+(COUNTIF('Dvd Calendar'!$E$1898:$AR$1898,'Dvd Calendar'!$AR$1891)=0))&gt;0)=0,"",'Dvd Calendar'!$AR$1891*1000000000+ISNUMBER('Dvd Calendar'!$AR$1894)*100000000+('Dvd Calendar'!$AR$1896=SPECIAL_LBL)*10000000+(N('Dvd Calendar'!$AR$1890)&gt;0)*(N('Dvd Calendar'!$AR$1890)&lt;=VAL_SERIAL)*1000000+31*1000+40))</f>
        <v/>
      </c>
      <c r="FS190" s="39">
        <f>IF(N('Dvd Calendar'!$E$1898)=0,"",IF(('Dvd Calendar'!$E$1898&gt;=GRID_FROM)*('Dvd Calendar'!$E$1898&lt;=GRID_TO)*('Dvd Calendar'!$E$1898&gt;VAL_DATE)=0,"",'Dvd Calendar'!$E$1898*1000000000+ISNUMBER('Dvd Calendar'!$E$1899)*100000000+0*10000000+(N('Dvd Calendar'!$E$1897)&gt;0)*(N('Dvd Calendar'!$E$1897)&lt;=VAL_SERIAL)*1000000+31*1000+41))</f>
        <v/>
      </c>
      <c r="FT190" s="39">
        <f>IF(N('Dvd Calendar'!$F$1898)=0,"",IF(('Dvd Calendar'!$F$1898&gt;=GRID_FROM)*('Dvd Calendar'!$F$1898&lt;=GRID_TO)*('Dvd Calendar'!$F$1898&gt;VAL_DATE)=0,"",'Dvd Calendar'!$F$1898*1000000000+ISNUMBER('Dvd Calendar'!$F$1899)*100000000+0*10000000+(N('Dvd Calendar'!$F$1897)&gt;0)*(N('Dvd Calendar'!$F$1897)&lt;=VAL_SERIAL)*1000000+31*1000+42))</f>
        <v/>
      </c>
      <c r="FU190" s="39">
        <f>IF(N('Dvd Calendar'!$G$1898)=0,"",IF(('Dvd Calendar'!$G$1898&gt;=GRID_FROM)*('Dvd Calendar'!$G$1898&lt;=GRID_TO)*('Dvd Calendar'!$G$1898&gt;VAL_DATE)=0,"",'Dvd Calendar'!$G$1898*1000000000+ISNUMBER('Dvd Calendar'!$G$1899)*100000000+0*10000000+(N('Dvd Calendar'!$G$1897)&gt;0)*(N('Dvd Calendar'!$G$1897)&lt;=VAL_SERIAL)*1000000+31*1000+43))</f>
        <v/>
      </c>
      <c r="FV190" s="39">
        <f>IF(N('Dvd Calendar'!$H$1898)=0,"",IF(('Dvd Calendar'!$H$1898&gt;=GRID_FROM)*('Dvd Calendar'!$H$1898&lt;=GRID_TO)*('Dvd Calendar'!$H$1898&gt;VAL_DATE)=0,"",'Dvd Calendar'!$H$1898*1000000000+ISNUMBER('Dvd Calendar'!$H$1899)*100000000+0*10000000+(N('Dvd Calendar'!$H$1897)&gt;0)*(N('Dvd Calendar'!$H$1897)&lt;=VAL_SERIAL)*1000000+31*1000+44))</f>
        <v/>
      </c>
      <c r="FW190" s="39">
        <f>IF(N('Dvd Calendar'!$I$1898)=0,"",IF(('Dvd Calendar'!$I$1898&gt;=GRID_FROM)*('Dvd Calendar'!$I$1898&lt;=GRID_TO)*('Dvd Calendar'!$I$1898&gt;VAL_DATE)=0,"",'Dvd Calendar'!$I$1898*1000000000+ISNUMBER('Dvd Calendar'!$I$1899)*100000000+0*10000000+(N('Dvd Calendar'!$I$1897)&gt;0)*(N('Dvd Calendar'!$I$1897)&lt;=VAL_SERIAL)*1000000+31*1000+45))</f>
        <v/>
      </c>
      <c r="FX190" s="39">
        <f>IF(N('Dvd Calendar'!$J$1898)=0,"",IF(('Dvd Calendar'!$J$1898&gt;=GRID_FROM)*('Dvd Calendar'!$J$1898&lt;=GRID_TO)*('Dvd Calendar'!$J$1898&gt;VAL_DATE)=0,"",'Dvd Calendar'!$J$1898*1000000000+ISNUMBER('Dvd Calendar'!$J$1899)*100000000+0*10000000+(N('Dvd Calendar'!$J$1897)&gt;0)*(N('Dvd Calendar'!$J$1897)&lt;=VAL_SERIAL)*1000000+31*1000+46))</f>
        <v/>
      </c>
      <c r="FY190" s="39">
        <f>IF(N('Dvd Calendar'!$K$1898)=0,"",IF(('Dvd Calendar'!$K$1898&gt;=GRID_FROM)*('Dvd Calendar'!$K$1898&lt;=GRID_TO)*('Dvd Calendar'!$K$1898&gt;VAL_DATE)=0,"",'Dvd Calendar'!$K$1898*1000000000+ISNUMBER('Dvd Calendar'!$K$1899)*100000000+0*10000000+(N('Dvd Calendar'!$K$1897)&gt;0)*(N('Dvd Calendar'!$K$1897)&lt;=VAL_SERIAL)*1000000+31*1000+47))</f>
        <v/>
      </c>
      <c r="FZ190" s="39">
        <f>IF(N('Dvd Calendar'!$L$1898)=0,"",IF(('Dvd Calendar'!$L$1898&gt;=GRID_FROM)*('Dvd Calendar'!$L$1898&lt;=GRID_TO)*('Dvd Calendar'!$L$1898&gt;VAL_DATE)=0,"",'Dvd Calendar'!$L$1898*1000000000+ISNUMBER('Dvd Calendar'!$L$1899)*100000000+0*10000000+(N('Dvd Calendar'!$L$1897)&gt;0)*(N('Dvd Calendar'!$L$1897)&lt;=VAL_SERIAL)*1000000+31*1000+48))</f>
        <v/>
      </c>
      <c r="GA190" s="39">
        <f>IF(N('Dvd Calendar'!$M$1898)=0,"",IF(('Dvd Calendar'!$M$1898&gt;=GRID_FROM)*('Dvd Calendar'!$M$1898&lt;=GRID_TO)*('Dvd Calendar'!$M$1898&gt;VAL_DATE)=0,"",'Dvd Calendar'!$M$1898*1000000000+ISNUMBER('Dvd Calendar'!$M$1899)*100000000+0*10000000+(N('Dvd Calendar'!$M$1897)&gt;0)*(N('Dvd Calendar'!$M$1897)&lt;=VAL_SERIAL)*1000000+31*1000+49))</f>
        <v/>
      </c>
      <c r="GB190" s="39">
        <f>IF(N('Dvd Calendar'!$N$1898)=0,"",IF(('Dvd Calendar'!$N$1898&gt;=GRID_FROM)*('Dvd Calendar'!$N$1898&lt;=GRID_TO)*('Dvd Calendar'!$N$1898&gt;VAL_DATE)=0,"",'Dvd Calendar'!$N$1898*1000000000+ISNUMBER('Dvd Calendar'!$N$1899)*100000000+0*10000000+(N('Dvd Calendar'!$N$1897)&gt;0)*(N('Dvd Calendar'!$N$1897)&lt;=VAL_SERIAL)*1000000+31*1000+50))</f>
        <v/>
      </c>
      <c r="GC190" s="39">
        <f>IF(N('Dvd Calendar'!$O$1898)=0,"",IF(('Dvd Calendar'!$O$1898&gt;=GRID_FROM)*('Dvd Calendar'!$O$1898&lt;=GRID_TO)*('Dvd Calendar'!$O$1898&gt;VAL_DATE)=0,"",'Dvd Calendar'!$O$1898*1000000000+ISNUMBER('Dvd Calendar'!$O$1899)*100000000+0*10000000+(N('Dvd Calendar'!$O$1897)&gt;0)*(N('Dvd Calendar'!$O$1897)&lt;=VAL_SERIAL)*1000000+31*1000+51))</f>
        <v/>
      </c>
      <c r="GD190" s="39">
        <f>IF(N('Dvd Calendar'!$P$1898)=0,"",IF(('Dvd Calendar'!$P$1898&gt;=GRID_FROM)*('Dvd Calendar'!$P$1898&lt;=GRID_TO)*('Dvd Calendar'!$P$1898&gt;VAL_DATE)=0,"",'Dvd Calendar'!$P$1898*1000000000+ISNUMBER('Dvd Calendar'!$P$1899)*100000000+0*10000000+(N('Dvd Calendar'!$P$1897)&gt;0)*(N('Dvd Calendar'!$P$1897)&lt;=VAL_SERIAL)*1000000+31*1000+52))</f>
        <v/>
      </c>
      <c r="GE190" s="39">
        <f>IF(N('Dvd Calendar'!$Q$1898)=0,"",IF(('Dvd Calendar'!$Q$1898&gt;=GRID_FROM)*('Dvd Calendar'!$Q$1898&lt;=GRID_TO)*('Dvd Calendar'!$Q$1898&gt;VAL_DATE)=0,"",'Dvd Calendar'!$Q$1898*1000000000+ISNUMBER('Dvd Calendar'!$Q$1899)*100000000+0*10000000+(N('Dvd Calendar'!$Q$1897)&gt;0)*(N('Dvd Calendar'!$Q$1897)&lt;=VAL_SERIAL)*1000000+31*1000+53))</f>
        <v/>
      </c>
      <c r="GF190" s="39">
        <f>IF(N('Dvd Calendar'!$R$1898)=0,"",IF(('Dvd Calendar'!$R$1898&gt;=GRID_FROM)*('Dvd Calendar'!$R$1898&lt;=GRID_TO)*('Dvd Calendar'!$R$1898&gt;VAL_DATE)=0,"",'Dvd Calendar'!$R$1898*1000000000+ISNUMBER('Dvd Calendar'!$R$1899)*100000000+0*10000000+(N('Dvd Calendar'!$R$1897)&gt;0)*(N('Dvd Calendar'!$R$1897)&lt;=VAL_SERIAL)*1000000+31*1000+54))</f>
        <v/>
      </c>
      <c r="GG190" s="39">
        <f>IF(N('Dvd Calendar'!$S$1898)=0,"",IF(('Dvd Calendar'!$S$1898&gt;=GRID_FROM)*('Dvd Calendar'!$S$1898&lt;=GRID_TO)*('Dvd Calendar'!$S$1898&gt;VAL_DATE)=0,"",'Dvd Calendar'!$S$1898*1000000000+ISNUMBER('Dvd Calendar'!$S$1899)*100000000+0*10000000+(N('Dvd Calendar'!$S$1897)&gt;0)*(N('Dvd Calendar'!$S$1897)&lt;=VAL_SERIAL)*1000000+31*1000+55))</f>
        <v/>
      </c>
      <c r="GH190" s="39">
        <f>IF(N('Dvd Calendar'!$T$1898)=0,"",IF(('Dvd Calendar'!$T$1898&gt;=GRID_FROM)*('Dvd Calendar'!$T$1898&lt;=GRID_TO)*('Dvd Calendar'!$T$1898&gt;VAL_DATE)=0,"",'Dvd Calendar'!$T$1898*1000000000+ISNUMBER('Dvd Calendar'!$T$1899)*100000000+0*10000000+(N('Dvd Calendar'!$T$1897)&gt;0)*(N('Dvd Calendar'!$T$1897)&lt;=VAL_SERIAL)*1000000+31*1000+56))</f>
        <v/>
      </c>
      <c r="GI190" s="39">
        <f>IF(N('Dvd Calendar'!$U$1898)=0,"",IF(('Dvd Calendar'!$U$1898&gt;=GRID_FROM)*('Dvd Calendar'!$U$1898&lt;=GRID_TO)*('Dvd Calendar'!$U$1898&gt;VAL_DATE)=0,"",'Dvd Calendar'!$U$1898*1000000000+ISNUMBER('Dvd Calendar'!$U$1899)*100000000+0*10000000+(N('Dvd Calendar'!$U$1897)&gt;0)*(N('Dvd Calendar'!$U$1897)&lt;=VAL_SERIAL)*1000000+31*1000+57))</f>
        <v/>
      </c>
      <c r="GJ190" s="39">
        <f>IF(N('Dvd Calendar'!$V$1898)=0,"",IF(('Dvd Calendar'!$V$1898&gt;=GRID_FROM)*('Dvd Calendar'!$V$1898&lt;=GRID_TO)*('Dvd Calendar'!$V$1898&gt;VAL_DATE)=0,"",'Dvd Calendar'!$V$1898*1000000000+ISNUMBER('Dvd Calendar'!$V$1899)*100000000+0*10000000+(N('Dvd Calendar'!$V$1897)&gt;0)*(N('Dvd Calendar'!$V$1897)&lt;=VAL_SERIAL)*1000000+31*1000+58))</f>
        <v/>
      </c>
      <c r="GK190" s="39">
        <f>IF(N('Dvd Calendar'!$W$1898)=0,"",IF(('Dvd Calendar'!$W$1898&gt;=GRID_FROM)*('Dvd Calendar'!$W$1898&lt;=GRID_TO)*('Dvd Calendar'!$W$1898&gt;VAL_DATE)=0,"",'Dvd Calendar'!$W$1898*1000000000+ISNUMBER('Dvd Calendar'!$W$1899)*100000000+0*10000000+(N('Dvd Calendar'!$W$1897)&gt;0)*(N('Dvd Calendar'!$W$1897)&lt;=VAL_SERIAL)*1000000+31*1000+59))</f>
        <v/>
      </c>
      <c r="GL190" s="39">
        <f>IF(N('Dvd Calendar'!$X$1898)=0,"",IF(('Dvd Calendar'!$X$1898&gt;=GRID_FROM)*('Dvd Calendar'!$X$1898&lt;=GRID_TO)*('Dvd Calendar'!$X$1898&gt;VAL_DATE)=0,"",'Dvd Calendar'!$X$1898*1000000000+ISNUMBER('Dvd Calendar'!$X$1899)*100000000+0*10000000+(N('Dvd Calendar'!$X$1897)&gt;0)*(N('Dvd Calendar'!$X$1897)&lt;=VAL_SERIAL)*1000000+31*1000+60))</f>
        <v/>
      </c>
      <c r="GM190" s="39">
        <f>IF(N('Dvd Calendar'!$Y$1898)=0,"",IF(('Dvd Calendar'!$Y$1898&gt;=GRID_FROM)*('Dvd Calendar'!$Y$1898&lt;=GRID_TO)*('Dvd Calendar'!$Y$1898&gt;VAL_DATE)=0,"",'Dvd Calendar'!$Y$1898*1000000000+ISNUMBER('Dvd Calendar'!$Y$1899)*100000000+0*10000000+(N('Dvd Calendar'!$Y$1897)&gt;0)*(N('Dvd Calendar'!$Y$1897)&lt;=VAL_SERIAL)*1000000+31*1000+61))</f>
        <v/>
      </c>
      <c r="GN190" s="39">
        <f>IF(N('Dvd Calendar'!$Z$1898)=0,"",IF(('Dvd Calendar'!$Z$1898&gt;=GRID_FROM)*('Dvd Calendar'!$Z$1898&lt;=GRID_TO)*('Dvd Calendar'!$Z$1898&gt;VAL_DATE)=0,"",'Dvd Calendar'!$Z$1898*1000000000+ISNUMBER('Dvd Calendar'!$Z$1899)*100000000+0*10000000+(N('Dvd Calendar'!$Z$1897)&gt;0)*(N('Dvd Calendar'!$Z$1897)&lt;=VAL_SERIAL)*1000000+31*1000+62))</f>
        <v/>
      </c>
      <c r="GO190" s="39">
        <f>IF(N('Dvd Calendar'!$AA$1898)=0,"",IF(('Dvd Calendar'!$AA$1898&gt;=GRID_FROM)*('Dvd Calendar'!$AA$1898&lt;=GRID_TO)*('Dvd Calendar'!$AA$1898&gt;VAL_DATE)=0,"",'Dvd Calendar'!$AA$1898*1000000000+ISNUMBER('Dvd Calendar'!$AA$1899)*100000000+0*10000000+(N('Dvd Calendar'!$AA$1897)&gt;0)*(N('Dvd Calendar'!$AA$1897)&lt;=VAL_SERIAL)*1000000+31*1000+63))</f>
        <v/>
      </c>
      <c r="GP190" s="39">
        <f>IF(N('Dvd Calendar'!$AB$1898)=0,"",IF(('Dvd Calendar'!$AB$1898&gt;=GRID_FROM)*('Dvd Calendar'!$AB$1898&lt;=GRID_TO)*('Dvd Calendar'!$AB$1898&gt;VAL_DATE)=0,"",'Dvd Calendar'!$AB$1898*1000000000+ISNUMBER('Dvd Calendar'!$AB$1899)*100000000+0*10000000+(N('Dvd Calendar'!$AB$1897)&gt;0)*(N('Dvd Calendar'!$AB$1897)&lt;=VAL_SERIAL)*1000000+31*1000+64))</f>
        <v/>
      </c>
      <c r="GQ190" s="39">
        <f>IF(N('Dvd Calendar'!$AC$1898)=0,"",IF(('Dvd Calendar'!$AC$1898&gt;=GRID_FROM)*('Dvd Calendar'!$AC$1898&lt;=GRID_TO)*('Dvd Calendar'!$AC$1898&gt;VAL_DATE)=0,"",'Dvd Calendar'!$AC$1898*1000000000+ISNUMBER('Dvd Calendar'!$AC$1899)*100000000+0*10000000+(N('Dvd Calendar'!$AC$1897)&gt;0)*(N('Dvd Calendar'!$AC$1897)&lt;=VAL_SERIAL)*1000000+31*1000+65))</f>
        <v/>
      </c>
    </row>
    <row r="191">
      <c r="B191" s="2">
        <f>IF(HSCEI!$C$38="","",HSCEI!$C$38)</f>
        <v/>
      </c>
      <c r="C191" s="110">
        <f>IF(EE191="","",IF(ISNUMBER('Dvd Calendar'!$E$1905)=FALSE,"",IF((('Dvd Calendar'!$E$1907=TYPE1)*(TYPE1&lt;&gt;"")+('Dvd Calendar'!$E$1907=TYPE2)*(TYPE2&lt;&gt;"")+('Dvd Calendar'!$E$1907=TYPE3)*(TYPE3&lt;&gt;"")+('Dvd Calendar'!$E$1907=TYPE4)*(TYPE4&lt;&gt;"")+('Dvd Calendar'!$E$1907=SPECIAL_LBL)*(INC_SPECIALS="Y"))=0,"",'Dvd Calendar'!$E$1905)))</f>
        <v/>
      </c>
      <c r="D191" s="110">
        <f>IF(EF191="","",IF(ISNUMBER('Dvd Calendar'!$F$1905)=FALSE,"",IF((('Dvd Calendar'!$F$1907=TYPE1)*(TYPE1&lt;&gt;"")+('Dvd Calendar'!$F$1907=TYPE2)*(TYPE2&lt;&gt;"")+('Dvd Calendar'!$F$1907=TYPE3)*(TYPE3&lt;&gt;"")+('Dvd Calendar'!$F$1907=TYPE4)*(TYPE4&lt;&gt;"")+('Dvd Calendar'!$F$1907=SPECIAL_LBL)*(INC_SPECIALS="Y"))=0,"",'Dvd Calendar'!$F$1905)))</f>
        <v/>
      </c>
      <c r="E191" s="110">
        <f>IF(EG191="","",IF(ISNUMBER('Dvd Calendar'!$G$1905)=FALSE,"",IF((('Dvd Calendar'!$G$1907=TYPE1)*(TYPE1&lt;&gt;"")+('Dvd Calendar'!$G$1907=TYPE2)*(TYPE2&lt;&gt;"")+('Dvd Calendar'!$G$1907=TYPE3)*(TYPE3&lt;&gt;"")+('Dvd Calendar'!$G$1907=TYPE4)*(TYPE4&lt;&gt;"")+('Dvd Calendar'!$G$1907=SPECIAL_LBL)*(INC_SPECIALS="Y"))=0,"",'Dvd Calendar'!$G$1905)))</f>
        <v/>
      </c>
      <c r="F191" s="110">
        <f>IF(EH191="","",IF(ISNUMBER('Dvd Calendar'!$H$1905)=FALSE,"",IF((('Dvd Calendar'!$H$1907=TYPE1)*(TYPE1&lt;&gt;"")+('Dvd Calendar'!$H$1907=TYPE2)*(TYPE2&lt;&gt;"")+('Dvd Calendar'!$H$1907=TYPE3)*(TYPE3&lt;&gt;"")+('Dvd Calendar'!$H$1907=TYPE4)*(TYPE4&lt;&gt;"")+('Dvd Calendar'!$H$1907=SPECIAL_LBL)*(INC_SPECIALS="Y"))=0,"",'Dvd Calendar'!$H$1905)))</f>
        <v/>
      </c>
      <c r="G191" s="110">
        <f>IF(EI191="","",IF(ISNUMBER('Dvd Calendar'!$I$1905)=FALSE,"",IF((('Dvd Calendar'!$I$1907=TYPE1)*(TYPE1&lt;&gt;"")+('Dvd Calendar'!$I$1907=TYPE2)*(TYPE2&lt;&gt;"")+('Dvd Calendar'!$I$1907=TYPE3)*(TYPE3&lt;&gt;"")+('Dvd Calendar'!$I$1907=TYPE4)*(TYPE4&lt;&gt;"")+('Dvd Calendar'!$I$1907=SPECIAL_LBL)*(INC_SPECIALS="Y"))=0,"",'Dvd Calendar'!$I$1905)))</f>
        <v/>
      </c>
      <c r="H191" s="110">
        <f>IF(EJ191="","",IF(ISNUMBER('Dvd Calendar'!$J$1905)=FALSE,"",IF((('Dvd Calendar'!$J$1907=TYPE1)*(TYPE1&lt;&gt;"")+('Dvd Calendar'!$J$1907=TYPE2)*(TYPE2&lt;&gt;"")+('Dvd Calendar'!$J$1907=TYPE3)*(TYPE3&lt;&gt;"")+('Dvd Calendar'!$J$1907=TYPE4)*(TYPE4&lt;&gt;"")+('Dvd Calendar'!$J$1907=SPECIAL_LBL)*(INC_SPECIALS="Y"))=0,"",'Dvd Calendar'!$J$1905)))</f>
        <v/>
      </c>
      <c r="I191" s="110">
        <f>IF(EK191="","",IF(ISNUMBER('Dvd Calendar'!$K$1905)=FALSE,"",IF((('Dvd Calendar'!$K$1907=TYPE1)*(TYPE1&lt;&gt;"")+('Dvd Calendar'!$K$1907=TYPE2)*(TYPE2&lt;&gt;"")+('Dvd Calendar'!$K$1907=TYPE3)*(TYPE3&lt;&gt;"")+('Dvd Calendar'!$K$1907=TYPE4)*(TYPE4&lt;&gt;"")+('Dvd Calendar'!$K$1907=SPECIAL_LBL)*(INC_SPECIALS="Y"))=0,"",'Dvd Calendar'!$K$1905)))</f>
        <v/>
      </c>
      <c r="J191" s="110">
        <f>IF(EL191="","",IF(ISNUMBER('Dvd Calendar'!$L$1905)=FALSE,"",IF((('Dvd Calendar'!$L$1907=TYPE1)*(TYPE1&lt;&gt;"")+('Dvd Calendar'!$L$1907=TYPE2)*(TYPE2&lt;&gt;"")+('Dvd Calendar'!$L$1907=TYPE3)*(TYPE3&lt;&gt;"")+('Dvd Calendar'!$L$1907=TYPE4)*(TYPE4&lt;&gt;"")+('Dvd Calendar'!$L$1907=SPECIAL_LBL)*(INC_SPECIALS="Y"))=0,"",'Dvd Calendar'!$L$1905)))</f>
        <v/>
      </c>
      <c r="K191" s="110">
        <f>IF(EM191="","",IF(ISNUMBER('Dvd Calendar'!$M$1905)=FALSE,"",IF((('Dvd Calendar'!$M$1907=TYPE1)*(TYPE1&lt;&gt;"")+('Dvd Calendar'!$M$1907=TYPE2)*(TYPE2&lt;&gt;"")+('Dvd Calendar'!$M$1907=TYPE3)*(TYPE3&lt;&gt;"")+('Dvd Calendar'!$M$1907=TYPE4)*(TYPE4&lt;&gt;"")+('Dvd Calendar'!$M$1907=SPECIAL_LBL)*(INC_SPECIALS="Y"))=0,"",'Dvd Calendar'!$M$1905)))</f>
        <v/>
      </c>
      <c r="L191" s="110">
        <f>IF(EN191="","",IF(ISNUMBER('Dvd Calendar'!$N$1905)=FALSE,"",IF((('Dvd Calendar'!$N$1907=TYPE1)*(TYPE1&lt;&gt;"")+('Dvd Calendar'!$N$1907=TYPE2)*(TYPE2&lt;&gt;"")+('Dvd Calendar'!$N$1907=TYPE3)*(TYPE3&lt;&gt;"")+('Dvd Calendar'!$N$1907=TYPE4)*(TYPE4&lt;&gt;"")+('Dvd Calendar'!$N$1907=SPECIAL_LBL)*(INC_SPECIALS="Y"))=0,"",'Dvd Calendar'!$N$1905)))</f>
        <v/>
      </c>
      <c r="M191" s="110">
        <f>IF(EO191="","",IF(ISNUMBER('Dvd Calendar'!$O$1905)=FALSE,"",IF((('Dvd Calendar'!$O$1907=TYPE1)*(TYPE1&lt;&gt;"")+('Dvd Calendar'!$O$1907=TYPE2)*(TYPE2&lt;&gt;"")+('Dvd Calendar'!$O$1907=TYPE3)*(TYPE3&lt;&gt;"")+('Dvd Calendar'!$O$1907=TYPE4)*(TYPE4&lt;&gt;"")+('Dvd Calendar'!$O$1907=SPECIAL_LBL)*(INC_SPECIALS="Y"))=0,"",'Dvd Calendar'!$O$1905)))</f>
        <v/>
      </c>
      <c r="N191" s="110">
        <f>IF(EP191="","",IF(ISNUMBER('Dvd Calendar'!$P$1905)=FALSE,"",IF((('Dvd Calendar'!$P$1907=TYPE1)*(TYPE1&lt;&gt;"")+('Dvd Calendar'!$P$1907=TYPE2)*(TYPE2&lt;&gt;"")+('Dvd Calendar'!$P$1907=TYPE3)*(TYPE3&lt;&gt;"")+('Dvd Calendar'!$P$1907=TYPE4)*(TYPE4&lt;&gt;"")+('Dvd Calendar'!$P$1907=SPECIAL_LBL)*(INC_SPECIALS="Y"))=0,"",'Dvd Calendar'!$P$1905)))</f>
        <v/>
      </c>
      <c r="O191" s="110">
        <f>IF(EQ191="","",IF(ISNUMBER('Dvd Calendar'!$Q$1905)=FALSE,"",IF((('Dvd Calendar'!$Q$1907=TYPE1)*(TYPE1&lt;&gt;"")+('Dvd Calendar'!$Q$1907=TYPE2)*(TYPE2&lt;&gt;"")+('Dvd Calendar'!$Q$1907=TYPE3)*(TYPE3&lt;&gt;"")+('Dvd Calendar'!$Q$1907=TYPE4)*(TYPE4&lt;&gt;"")+('Dvd Calendar'!$Q$1907=SPECIAL_LBL)*(INC_SPECIALS="Y"))=0,"",'Dvd Calendar'!$Q$1905)))</f>
        <v/>
      </c>
      <c r="P191" s="110">
        <f>IF(ER191="","",IF(ISNUMBER('Dvd Calendar'!$R$1905)=FALSE,"",IF((('Dvd Calendar'!$R$1907=TYPE1)*(TYPE1&lt;&gt;"")+('Dvd Calendar'!$R$1907=TYPE2)*(TYPE2&lt;&gt;"")+('Dvd Calendar'!$R$1907=TYPE3)*(TYPE3&lt;&gt;"")+('Dvd Calendar'!$R$1907=TYPE4)*(TYPE4&lt;&gt;"")+('Dvd Calendar'!$R$1907=SPECIAL_LBL)*(INC_SPECIALS="Y"))=0,"",'Dvd Calendar'!$R$1905)))</f>
        <v/>
      </c>
      <c r="Q191" s="110">
        <f>IF(ES191="","",IF(ISNUMBER('Dvd Calendar'!$S$1905)=FALSE,"",IF((('Dvd Calendar'!$S$1907=TYPE1)*(TYPE1&lt;&gt;"")+('Dvd Calendar'!$S$1907=TYPE2)*(TYPE2&lt;&gt;"")+('Dvd Calendar'!$S$1907=TYPE3)*(TYPE3&lt;&gt;"")+('Dvd Calendar'!$S$1907=TYPE4)*(TYPE4&lt;&gt;"")+('Dvd Calendar'!$S$1907=SPECIAL_LBL)*(INC_SPECIALS="Y"))=0,"",'Dvd Calendar'!$S$1905)))</f>
        <v/>
      </c>
      <c r="R191" s="110">
        <f>IF(ET191="","",IF(ISNUMBER('Dvd Calendar'!$T$1905)=FALSE,"",IF((('Dvd Calendar'!$T$1907=TYPE1)*(TYPE1&lt;&gt;"")+('Dvd Calendar'!$T$1907=TYPE2)*(TYPE2&lt;&gt;"")+('Dvd Calendar'!$T$1907=TYPE3)*(TYPE3&lt;&gt;"")+('Dvd Calendar'!$T$1907=TYPE4)*(TYPE4&lt;&gt;"")+('Dvd Calendar'!$T$1907=SPECIAL_LBL)*(INC_SPECIALS="Y"))=0,"",'Dvd Calendar'!$T$1905)))</f>
        <v/>
      </c>
      <c r="S191" s="110">
        <f>IF(EU191="","",IF(ISNUMBER('Dvd Calendar'!$U$1905)=FALSE,"",IF((('Dvd Calendar'!$U$1907=TYPE1)*(TYPE1&lt;&gt;"")+('Dvd Calendar'!$U$1907=TYPE2)*(TYPE2&lt;&gt;"")+('Dvd Calendar'!$U$1907=TYPE3)*(TYPE3&lt;&gt;"")+('Dvd Calendar'!$U$1907=TYPE4)*(TYPE4&lt;&gt;"")+('Dvd Calendar'!$U$1907=SPECIAL_LBL)*(INC_SPECIALS="Y"))=0,"",'Dvd Calendar'!$U$1905)))</f>
        <v/>
      </c>
      <c r="T191" s="110">
        <f>IF(EV191="","",IF(ISNUMBER('Dvd Calendar'!$V$1905)=FALSE,"",IF((('Dvd Calendar'!$V$1907=TYPE1)*(TYPE1&lt;&gt;"")+('Dvd Calendar'!$V$1907=TYPE2)*(TYPE2&lt;&gt;"")+('Dvd Calendar'!$V$1907=TYPE3)*(TYPE3&lt;&gt;"")+('Dvd Calendar'!$V$1907=TYPE4)*(TYPE4&lt;&gt;"")+('Dvd Calendar'!$V$1907=SPECIAL_LBL)*(INC_SPECIALS="Y"))=0,"",'Dvd Calendar'!$V$1905)))</f>
        <v/>
      </c>
      <c r="U191" s="110">
        <f>IF(EW191="","",IF(ISNUMBER('Dvd Calendar'!$W$1905)=FALSE,"",IF((('Dvd Calendar'!$W$1907=TYPE1)*(TYPE1&lt;&gt;"")+('Dvd Calendar'!$W$1907=TYPE2)*(TYPE2&lt;&gt;"")+('Dvd Calendar'!$W$1907=TYPE3)*(TYPE3&lt;&gt;"")+('Dvd Calendar'!$W$1907=TYPE4)*(TYPE4&lt;&gt;"")+('Dvd Calendar'!$W$1907=SPECIAL_LBL)*(INC_SPECIALS="Y"))=0,"",'Dvd Calendar'!$W$1905)))</f>
        <v/>
      </c>
      <c r="V191" s="110">
        <f>IF(EX191="","",IF(ISNUMBER('Dvd Calendar'!$X$1905)=FALSE,"",IF((('Dvd Calendar'!$X$1907=TYPE1)*(TYPE1&lt;&gt;"")+('Dvd Calendar'!$X$1907=TYPE2)*(TYPE2&lt;&gt;"")+('Dvd Calendar'!$X$1907=TYPE3)*(TYPE3&lt;&gt;"")+('Dvd Calendar'!$X$1907=TYPE4)*(TYPE4&lt;&gt;"")+('Dvd Calendar'!$X$1907=SPECIAL_LBL)*(INC_SPECIALS="Y"))=0,"",'Dvd Calendar'!$X$1905)))</f>
        <v/>
      </c>
      <c r="W191" s="110">
        <f>IF(EY191="","",IF(ISNUMBER('Dvd Calendar'!$Y$1905)=FALSE,"",IF((('Dvd Calendar'!$Y$1907=TYPE1)*(TYPE1&lt;&gt;"")+('Dvd Calendar'!$Y$1907=TYPE2)*(TYPE2&lt;&gt;"")+('Dvd Calendar'!$Y$1907=TYPE3)*(TYPE3&lt;&gt;"")+('Dvd Calendar'!$Y$1907=TYPE4)*(TYPE4&lt;&gt;"")+('Dvd Calendar'!$Y$1907=SPECIAL_LBL)*(INC_SPECIALS="Y"))=0,"",'Dvd Calendar'!$Y$1905)))</f>
        <v/>
      </c>
      <c r="X191" s="110">
        <f>IF(EZ191="","",IF(ISNUMBER('Dvd Calendar'!$Z$1905)=FALSE,"",IF((('Dvd Calendar'!$Z$1907=TYPE1)*(TYPE1&lt;&gt;"")+('Dvd Calendar'!$Z$1907=TYPE2)*(TYPE2&lt;&gt;"")+('Dvd Calendar'!$Z$1907=TYPE3)*(TYPE3&lt;&gt;"")+('Dvd Calendar'!$Z$1907=TYPE4)*(TYPE4&lt;&gt;"")+('Dvd Calendar'!$Z$1907=SPECIAL_LBL)*(INC_SPECIALS="Y"))=0,"",'Dvd Calendar'!$Z$1905)))</f>
        <v/>
      </c>
      <c r="Y191" s="110">
        <f>IF(FA191="","",IF(ISNUMBER('Dvd Calendar'!$AA$1905)=FALSE,"",IF((('Dvd Calendar'!$AA$1907=TYPE1)*(TYPE1&lt;&gt;"")+('Dvd Calendar'!$AA$1907=TYPE2)*(TYPE2&lt;&gt;"")+('Dvd Calendar'!$AA$1907=TYPE3)*(TYPE3&lt;&gt;"")+('Dvd Calendar'!$AA$1907=TYPE4)*(TYPE4&lt;&gt;"")+('Dvd Calendar'!$AA$1907=SPECIAL_LBL)*(INC_SPECIALS="Y"))=0,"",'Dvd Calendar'!$AA$1905)))</f>
        <v/>
      </c>
      <c r="Z191" s="110">
        <f>IF(FB191="","",IF(ISNUMBER('Dvd Calendar'!$AB$1905)=FALSE,"",IF((('Dvd Calendar'!$AB$1907=TYPE1)*(TYPE1&lt;&gt;"")+('Dvd Calendar'!$AB$1907=TYPE2)*(TYPE2&lt;&gt;"")+('Dvd Calendar'!$AB$1907=TYPE3)*(TYPE3&lt;&gt;"")+('Dvd Calendar'!$AB$1907=TYPE4)*(TYPE4&lt;&gt;"")+('Dvd Calendar'!$AB$1907=SPECIAL_LBL)*(INC_SPECIALS="Y"))=0,"",'Dvd Calendar'!$AB$1905)))</f>
        <v/>
      </c>
      <c r="AA191" s="110">
        <f>IF(FC191="","",IF(ISNUMBER('Dvd Calendar'!$AC$1905)=FALSE,"",IF((('Dvd Calendar'!$AC$1907=TYPE1)*(TYPE1&lt;&gt;"")+('Dvd Calendar'!$AC$1907=TYPE2)*(TYPE2&lt;&gt;"")+('Dvd Calendar'!$AC$1907=TYPE3)*(TYPE3&lt;&gt;"")+('Dvd Calendar'!$AC$1907=TYPE4)*(TYPE4&lt;&gt;"")+('Dvd Calendar'!$AC$1907=SPECIAL_LBL)*(INC_SPECIALS="Y"))=0,"",'Dvd Calendar'!$AC$1905)))</f>
        <v/>
      </c>
      <c r="AB191" s="110">
        <f>IF(FD191="","",IF(ISNUMBER('Dvd Calendar'!$AD$1905)=FALSE,"",IF((('Dvd Calendar'!$AD$1907=TYPE1)*(TYPE1&lt;&gt;"")+('Dvd Calendar'!$AD$1907=TYPE2)*(TYPE2&lt;&gt;"")+('Dvd Calendar'!$AD$1907=TYPE3)*(TYPE3&lt;&gt;"")+('Dvd Calendar'!$AD$1907=TYPE4)*(TYPE4&lt;&gt;"")+('Dvd Calendar'!$AD$1907=SPECIAL_LBL)*(INC_SPECIALS="Y"))=0,"",'Dvd Calendar'!$AD$1905)))</f>
        <v/>
      </c>
      <c r="AC191" s="110">
        <f>IF(FE191="","",IF(ISNUMBER('Dvd Calendar'!$AE$1905)=FALSE,"",IF((('Dvd Calendar'!$AE$1907=TYPE1)*(TYPE1&lt;&gt;"")+('Dvd Calendar'!$AE$1907=TYPE2)*(TYPE2&lt;&gt;"")+('Dvd Calendar'!$AE$1907=TYPE3)*(TYPE3&lt;&gt;"")+('Dvd Calendar'!$AE$1907=TYPE4)*(TYPE4&lt;&gt;"")+('Dvd Calendar'!$AE$1907=SPECIAL_LBL)*(INC_SPECIALS="Y"))=0,"",'Dvd Calendar'!$AE$1905)))</f>
        <v/>
      </c>
      <c r="AD191" s="110">
        <f>IF(FF191="","",IF(ISNUMBER('Dvd Calendar'!$AF$1905)=FALSE,"",IF((('Dvd Calendar'!$AF$1907=TYPE1)*(TYPE1&lt;&gt;"")+('Dvd Calendar'!$AF$1907=TYPE2)*(TYPE2&lt;&gt;"")+('Dvd Calendar'!$AF$1907=TYPE3)*(TYPE3&lt;&gt;"")+('Dvd Calendar'!$AF$1907=TYPE4)*(TYPE4&lt;&gt;"")+('Dvd Calendar'!$AF$1907=SPECIAL_LBL)*(INC_SPECIALS="Y"))=0,"",'Dvd Calendar'!$AF$1905)))</f>
        <v/>
      </c>
      <c r="AE191" s="110">
        <f>IF(FG191="","",IF(ISNUMBER('Dvd Calendar'!$AG$1905)=FALSE,"",IF((('Dvd Calendar'!$AG$1907=TYPE1)*(TYPE1&lt;&gt;"")+('Dvd Calendar'!$AG$1907=TYPE2)*(TYPE2&lt;&gt;"")+('Dvd Calendar'!$AG$1907=TYPE3)*(TYPE3&lt;&gt;"")+('Dvd Calendar'!$AG$1907=TYPE4)*(TYPE4&lt;&gt;"")+('Dvd Calendar'!$AG$1907=SPECIAL_LBL)*(INC_SPECIALS="Y"))=0,"",'Dvd Calendar'!$AG$1905)))</f>
        <v/>
      </c>
      <c r="AF191" s="110">
        <f>IF(FH191="","",IF(ISNUMBER('Dvd Calendar'!$AH$1905)=FALSE,"",IF((('Dvd Calendar'!$AH$1907=TYPE1)*(TYPE1&lt;&gt;"")+('Dvd Calendar'!$AH$1907=TYPE2)*(TYPE2&lt;&gt;"")+('Dvd Calendar'!$AH$1907=TYPE3)*(TYPE3&lt;&gt;"")+('Dvd Calendar'!$AH$1907=TYPE4)*(TYPE4&lt;&gt;"")+('Dvd Calendar'!$AH$1907=SPECIAL_LBL)*(INC_SPECIALS="Y"))=0,"",'Dvd Calendar'!$AH$1905)))</f>
        <v/>
      </c>
      <c r="AG191" s="110">
        <f>IF(FI191="","",IF(ISNUMBER('Dvd Calendar'!$AI$1905)=FALSE,"",IF((('Dvd Calendar'!$AI$1907=TYPE1)*(TYPE1&lt;&gt;"")+('Dvd Calendar'!$AI$1907=TYPE2)*(TYPE2&lt;&gt;"")+('Dvd Calendar'!$AI$1907=TYPE3)*(TYPE3&lt;&gt;"")+('Dvd Calendar'!$AI$1907=TYPE4)*(TYPE4&lt;&gt;"")+('Dvd Calendar'!$AI$1907=SPECIAL_LBL)*(INC_SPECIALS="Y"))=0,"",'Dvd Calendar'!$AI$1905)))</f>
        <v/>
      </c>
      <c r="AH191" s="110">
        <f>IF(FJ191="","",IF(ISNUMBER('Dvd Calendar'!$AJ$1905)=FALSE,"",IF((('Dvd Calendar'!$AJ$1907=TYPE1)*(TYPE1&lt;&gt;"")+('Dvd Calendar'!$AJ$1907=TYPE2)*(TYPE2&lt;&gt;"")+('Dvd Calendar'!$AJ$1907=TYPE3)*(TYPE3&lt;&gt;"")+('Dvd Calendar'!$AJ$1907=TYPE4)*(TYPE4&lt;&gt;"")+('Dvd Calendar'!$AJ$1907=SPECIAL_LBL)*(INC_SPECIALS="Y"))=0,"",'Dvd Calendar'!$AJ$1905)))</f>
        <v/>
      </c>
      <c r="AI191" s="110">
        <f>IF(FK191="","",IF(ISNUMBER('Dvd Calendar'!$AK$1905)=FALSE,"",IF((('Dvd Calendar'!$AK$1907=TYPE1)*(TYPE1&lt;&gt;"")+('Dvd Calendar'!$AK$1907=TYPE2)*(TYPE2&lt;&gt;"")+('Dvd Calendar'!$AK$1907=TYPE3)*(TYPE3&lt;&gt;"")+('Dvd Calendar'!$AK$1907=TYPE4)*(TYPE4&lt;&gt;"")+('Dvd Calendar'!$AK$1907=SPECIAL_LBL)*(INC_SPECIALS="Y"))=0,"",'Dvd Calendar'!$AK$1905)))</f>
        <v/>
      </c>
      <c r="AJ191" s="110">
        <f>IF(FL191="","",IF(ISNUMBER('Dvd Calendar'!$AL$1905)=FALSE,"",IF((('Dvd Calendar'!$AL$1907=TYPE1)*(TYPE1&lt;&gt;"")+('Dvd Calendar'!$AL$1907=TYPE2)*(TYPE2&lt;&gt;"")+('Dvd Calendar'!$AL$1907=TYPE3)*(TYPE3&lt;&gt;"")+('Dvd Calendar'!$AL$1907=TYPE4)*(TYPE4&lt;&gt;"")+('Dvd Calendar'!$AL$1907=SPECIAL_LBL)*(INC_SPECIALS="Y"))=0,"",'Dvd Calendar'!$AL$1905)))</f>
        <v/>
      </c>
      <c r="AK191" s="110">
        <f>IF(FM191="","",IF(ISNUMBER('Dvd Calendar'!$AM$1905)=FALSE,"",IF((('Dvd Calendar'!$AM$1907=TYPE1)*(TYPE1&lt;&gt;"")+('Dvd Calendar'!$AM$1907=TYPE2)*(TYPE2&lt;&gt;"")+('Dvd Calendar'!$AM$1907=TYPE3)*(TYPE3&lt;&gt;"")+('Dvd Calendar'!$AM$1907=TYPE4)*(TYPE4&lt;&gt;"")+('Dvd Calendar'!$AM$1907=SPECIAL_LBL)*(INC_SPECIALS="Y"))=0,"",'Dvd Calendar'!$AM$1905)))</f>
        <v/>
      </c>
      <c r="AL191" s="110">
        <f>IF(FN191="","",IF(ISNUMBER('Dvd Calendar'!$AN$1905)=FALSE,"",IF((('Dvd Calendar'!$AN$1907=TYPE1)*(TYPE1&lt;&gt;"")+('Dvd Calendar'!$AN$1907=TYPE2)*(TYPE2&lt;&gt;"")+('Dvd Calendar'!$AN$1907=TYPE3)*(TYPE3&lt;&gt;"")+('Dvd Calendar'!$AN$1907=TYPE4)*(TYPE4&lt;&gt;"")+('Dvd Calendar'!$AN$1907=SPECIAL_LBL)*(INC_SPECIALS="Y"))=0,"",'Dvd Calendar'!$AN$1905)))</f>
        <v/>
      </c>
      <c r="AM191" s="110">
        <f>IF(FO191="","",IF(ISNUMBER('Dvd Calendar'!$AO$1905)=FALSE,"",IF((('Dvd Calendar'!$AO$1907=TYPE1)*(TYPE1&lt;&gt;"")+('Dvd Calendar'!$AO$1907=TYPE2)*(TYPE2&lt;&gt;"")+('Dvd Calendar'!$AO$1907=TYPE3)*(TYPE3&lt;&gt;"")+('Dvd Calendar'!$AO$1907=TYPE4)*(TYPE4&lt;&gt;"")+('Dvd Calendar'!$AO$1907=SPECIAL_LBL)*(INC_SPECIALS="Y"))=0,"",'Dvd Calendar'!$AO$1905)))</f>
        <v/>
      </c>
      <c r="AN191" s="110">
        <f>IF(FP191="","",IF(ISNUMBER('Dvd Calendar'!$AP$1905)=FALSE,"",IF((('Dvd Calendar'!$AP$1907=TYPE1)*(TYPE1&lt;&gt;"")+('Dvd Calendar'!$AP$1907=TYPE2)*(TYPE2&lt;&gt;"")+('Dvd Calendar'!$AP$1907=TYPE3)*(TYPE3&lt;&gt;"")+('Dvd Calendar'!$AP$1907=TYPE4)*(TYPE4&lt;&gt;"")+('Dvd Calendar'!$AP$1907=SPECIAL_LBL)*(INC_SPECIALS="Y"))=0,"",'Dvd Calendar'!$AP$1905)))</f>
        <v/>
      </c>
      <c r="AO191" s="110">
        <f>IF(FQ191="","",IF(ISNUMBER('Dvd Calendar'!$AQ$1905)=FALSE,"",IF((('Dvd Calendar'!$AQ$1907=TYPE1)*(TYPE1&lt;&gt;"")+('Dvd Calendar'!$AQ$1907=TYPE2)*(TYPE2&lt;&gt;"")+('Dvd Calendar'!$AQ$1907=TYPE3)*(TYPE3&lt;&gt;"")+('Dvd Calendar'!$AQ$1907=TYPE4)*(TYPE4&lt;&gt;"")+('Dvd Calendar'!$AQ$1907=SPECIAL_LBL)*(INC_SPECIALS="Y"))=0,"",'Dvd Calendar'!$AQ$1905)))</f>
        <v/>
      </c>
      <c r="AP191" s="110">
        <f>IF(FR191="","",IF(ISNUMBER('Dvd Calendar'!$AR$1905)=FALSE,"",IF((('Dvd Calendar'!$AR$1907=TYPE1)*(TYPE1&lt;&gt;"")+('Dvd Calendar'!$AR$1907=TYPE2)*(TYPE2&lt;&gt;"")+('Dvd Calendar'!$AR$1907=TYPE3)*(TYPE3&lt;&gt;"")+('Dvd Calendar'!$AR$1907=TYPE4)*(TYPE4&lt;&gt;"")+('Dvd Calendar'!$AR$1907=SPECIAL_LBL)*(INC_SPECIALS="Y"))=0,"",'Dvd Calendar'!$AR$1905)))</f>
        <v/>
      </c>
      <c r="AQ191" s="110">
        <f>IF(FS191="","",IF(ISNUMBER('Dvd Calendar'!$E$1910)=FALSE,"",'Dvd Calendar'!$E$1910))</f>
        <v/>
      </c>
      <c r="AR191" s="110">
        <f>IF(FT191="","",IF(ISNUMBER('Dvd Calendar'!$F$1910)=FALSE,"",'Dvd Calendar'!$F$1910))</f>
        <v/>
      </c>
      <c r="AS191" s="110">
        <f>IF(FU191="","",IF(ISNUMBER('Dvd Calendar'!$G$1910)=FALSE,"",'Dvd Calendar'!$G$1910))</f>
        <v/>
      </c>
      <c r="AT191" s="110">
        <f>IF(FV191="","",IF(ISNUMBER('Dvd Calendar'!$H$1910)=FALSE,"",'Dvd Calendar'!$H$1910))</f>
        <v/>
      </c>
      <c r="AU191" s="110">
        <f>IF(FW191="","",IF(ISNUMBER('Dvd Calendar'!$I$1910)=FALSE,"",'Dvd Calendar'!$I$1910))</f>
        <v/>
      </c>
      <c r="AV191" s="110">
        <f>IF(FX191="","",IF(ISNUMBER('Dvd Calendar'!$J$1910)=FALSE,"",'Dvd Calendar'!$J$1910))</f>
        <v/>
      </c>
      <c r="AW191" s="110">
        <f>IF(FY191="","",IF(ISNUMBER('Dvd Calendar'!$K$1910)=FALSE,"",'Dvd Calendar'!$K$1910))</f>
        <v/>
      </c>
      <c r="AX191" s="110">
        <f>IF(FZ191="","",IF(ISNUMBER('Dvd Calendar'!$L$1910)=FALSE,"",'Dvd Calendar'!$L$1910))</f>
        <v/>
      </c>
      <c r="AY191" s="110">
        <f>IF(GA191="","",IF(ISNUMBER('Dvd Calendar'!$M$1910)=FALSE,"",'Dvd Calendar'!$M$1910))</f>
        <v/>
      </c>
      <c r="AZ191" s="110">
        <f>IF(GB191="","",IF(ISNUMBER('Dvd Calendar'!$N$1910)=FALSE,"",'Dvd Calendar'!$N$1910))</f>
        <v/>
      </c>
      <c r="BA191" s="110">
        <f>IF(GC191="","",IF(ISNUMBER('Dvd Calendar'!$O$1910)=FALSE,"",'Dvd Calendar'!$O$1910))</f>
        <v/>
      </c>
      <c r="BB191" s="110">
        <f>IF(GD191="","",IF(ISNUMBER('Dvd Calendar'!$P$1910)=FALSE,"",'Dvd Calendar'!$P$1910))</f>
        <v/>
      </c>
      <c r="BC191" s="110">
        <f>IF(GE191="","",IF(ISNUMBER('Dvd Calendar'!$Q$1910)=FALSE,"",'Dvd Calendar'!$Q$1910))</f>
        <v/>
      </c>
      <c r="BD191" s="110">
        <f>IF(GF191="","",IF(ISNUMBER('Dvd Calendar'!$R$1910)=FALSE,"",'Dvd Calendar'!$R$1910))</f>
        <v/>
      </c>
      <c r="BE191" s="110">
        <f>IF(GG191="","",IF(ISNUMBER('Dvd Calendar'!$S$1910)=FALSE,"",'Dvd Calendar'!$S$1910))</f>
        <v/>
      </c>
      <c r="BF191" s="110">
        <f>IF(GH191="","",IF(ISNUMBER('Dvd Calendar'!$T$1910)=FALSE,"",'Dvd Calendar'!$T$1910))</f>
        <v/>
      </c>
      <c r="BG191" s="110">
        <f>IF(GI191="","",IF(ISNUMBER('Dvd Calendar'!$U$1910)=FALSE,"",'Dvd Calendar'!$U$1910))</f>
        <v/>
      </c>
      <c r="BH191" s="110">
        <f>IF(GJ191="","",IF(ISNUMBER('Dvd Calendar'!$V$1910)=FALSE,"",'Dvd Calendar'!$V$1910))</f>
        <v/>
      </c>
      <c r="BI191" s="110">
        <f>IF(GK191="","",IF(ISNUMBER('Dvd Calendar'!$W$1910)=FALSE,"",'Dvd Calendar'!$W$1910))</f>
        <v/>
      </c>
      <c r="BJ191" s="110">
        <f>IF(GL191="","",IF(ISNUMBER('Dvd Calendar'!$X$1910)=FALSE,"",'Dvd Calendar'!$X$1910))</f>
        <v/>
      </c>
      <c r="BK191" s="110">
        <f>IF(GM191="","",IF(ISNUMBER('Dvd Calendar'!$Y$1910)=FALSE,"",'Dvd Calendar'!$Y$1910))</f>
        <v/>
      </c>
      <c r="BL191" s="110">
        <f>IF(GN191="","",IF(ISNUMBER('Dvd Calendar'!$Z$1910)=FALSE,"",'Dvd Calendar'!$Z$1910))</f>
        <v/>
      </c>
      <c r="BM191" s="110">
        <f>IF(GO191="","",IF(ISNUMBER('Dvd Calendar'!$AA$1910)=FALSE,"",'Dvd Calendar'!$AA$1910))</f>
        <v/>
      </c>
      <c r="BN191" s="110">
        <f>IF(GP191="","",IF(ISNUMBER('Dvd Calendar'!$AB$1910)=FALSE,"",'Dvd Calendar'!$AB$1910))</f>
        <v/>
      </c>
      <c r="BO191" s="110">
        <f>IF(GQ191="","",IF(ISNUMBER('Dvd Calendar'!$AC$1910)=FALSE,"",'Dvd Calendar'!$AC$1910))</f>
        <v/>
      </c>
      <c r="BQ191" s="110">
        <f>IF(C191="","",IFERROR(C191*HSCEI!$B$38*HSCEI!$G$38/HSCEI!$B$3,""))</f>
        <v/>
      </c>
      <c r="BR191" s="110">
        <f>IF(D191="","",IFERROR(D191*HSCEI!$B$38*HSCEI!$G$38/HSCEI!$B$3,""))</f>
        <v/>
      </c>
      <c r="BS191" s="110">
        <f>IF(E191="","",IFERROR(E191*HSCEI!$B$38*HSCEI!$G$38/HSCEI!$B$3,""))</f>
        <v/>
      </c>
      <c r="BT191" s="110">
        <f>IF(F191="","",IFERROR(F191*HSCEI!$B$38*HSCEI!$G$38/HSCEI!$B$3,""))</f>
        <v/>
      </c>
      <c r="BU191" s="110">
        <f>IF(G191="","",IFERROR(G191*HSCEI!$B$38*HSCEI!$G$38/HSCEI!$B$3,""))</f>
        <v/>
      </c>
      <c r="BV191" s="110">
        <f>IF(H191="","",IFERROR(H191*HSCEI!$B$38*HSCEI!$G$38/HSCEI!$B$3,""))</f>
        <v/>
      </c>
      <c r="BW191" s="110">
        <f>IF(I191="","",IFERROR(I191*HSCEI!$B$38*HSCEI!$G$38/HSCEI!$B$3,""))</f>
        <v/>
      </c>
      <c r="BX191" s="110">
        <f>IF(J191="","",IFERROR(J191*HSCEI!$B$38*HSCEI!$G$38/HSCEI!$B$3,""))</f>
        <v/>
      </c>
      <c r="BY191" s="110">
        <f>IF(K191="","",IFERROR(K191*HSCEI!$B$38*HSCEI!$G$38/HSCEI!$B$3,""))</f>
        <v/>
      </c>
      <c r="BZ191" s="110">
        <f>IF(L191="","",IFERROR(L191*HSCEI!$B$38*HSCEI!$G$38/HSCEI!$B$3,""))</f>
        <v/>
      </c>
      <c r="CA191" s="110">
        <f>IF(M191="","",IFERROR(M191*HSCEI!$B$38*HSCEI!$G$38/HSCEI!$B$3,""))</f>
        <v/>
      </c>
      <c r="CB191" s="110">
        <f>IF(N191="","",IFERROR(N191*HSCEI!$B$38*HSCEI!$G$38/HSCEI!$B$3,""))</f>
        <v/>
      </c>
      <c r="CC191" s="110">
        <f>IF(O191="","",IFERROR(O191*HSCEI!$B$38*HSCEI!$G$38/HSCEI!$B$3,""))</f>
        <v/>
      </c>
      <c r="CD191" s="110">
        <f>IF(P191="","",IFERROR(P191*HSCEI!$B$38*HSCEI!$G$38/HSCEI!$B$3,""))</f>
        <v/>
      </c>
      <c r="CE191" s="110">
        <f>IF(Q191="","",IFERROR(Q191*HSCEI!$B$38*HSCEI!$G$38/HSCEI!$B$3,""))</f>
        <v/>
      </c>
      <c r="CF191" s="110">
        <f>IF(R191="","",IFERROR(R191*HSCEI!$B$38*HSCEI!$G$38/HSCEI!$B$3,""))</f>
        <v/>
      </c>
      <c r="CG191" s="110">
        <f>IF(S191="","",IFERROR(S191*HSCEI!$B$38*HSCEI!$G$38/HSCEI!$B$3,""))</f>
        <v/>
      </c>
      <c r="CH191" s="110">
        <f>IF(T191="","",IFERROR(T191*HSCEI!$B$38*HSCEI!$G$38/HSCEI!$B$3,""))</f>
        <v/>
      </c>
      <c r="CI191" s="110">
        <f>IF(U191="","",IFERROR(U191*HSCEI!$B$38*HSCEI!$G$38/HSCEI!$B$3,""))</f>
        <v/>
      </c>
      <c r="CJ191" s="110">
        <f>IF(V191="","",IFERROR(V191*HSCEI!$B$38*HSCEI!$G$38/HSCEI!$B$3,""))</f>
        <v/>
      </c>
      <c r="CK191" s="110">
        <f>IF(W191="","",IFERROR(W191*HSCEI!$B$38*HSCEI!$G$38/HSCEI!$B$3,""))</f>
        <v/>
      </c>
      <c r="CL191" s="110">
        <f>IF(X191="","",IFERROR(X191*HSCEI!$B$38*HSCEI!$G$38/HSCEI!$B$3,""))</f>
        <v/>
      </c>
      <c r="CM191" s="110">
        <f>IF(Y191="","",IFERROR(Y191*HSCEI!$B$38*HSCEI!$G$38/HSCEI!$B$3,""))</f>
        <v/>
      </c>
      <c r="CN191" s="110">
        <f>IF(Z191="","",IFERROR(Z191*HSCEI!$B$38*HSCEI!$G$38/HSCEI!$B$3,""))</f>
        <v/>
      </c>
      <c r="CO191" s="110">
        <f>IF(AA191="","",IFERROR(AA191*HSCEI!$B$38*HSCEI!$G$38/HSCEI!$B$3,""))</f>
        <v/>
      </c>
      <c r="CP191" s="110">
        <f>IF(AB191="","",IFERROR(AB191*HSCEI!$B$38*HSCEI!$G$38/HSCEI!$B$3,""))</f>
        <v/>
      </c>
      <c r="CQ191" s="110">
        <f>IF(AC191="","",IFERROR(AC191*HSCEI!$B$38*HSCEI!$G$38/HSCEI!$B$3,""))</f>
        <v/>
      </c>
      <c r="CR191" s="110">
        <f>IF(AD191="","",IFERROR(AD191*HSCEI!$B$38*HSCEI!$G$38/HSCEI!$B$3,""))</f>
        <v/>
      </c>
      <c r="CS191" s="110">
        <f>IF(AE191="","",IFERROR(AE191*HSCEI!$B$38*HSCEI!$G$38/HSCEI!$B$3,""))</f>
        <v/>
      </c>
      <c r="CT191" s="110">
        <f>IF(AF191="","",IFERROR(AF191*HSCEI!$B$38*HSCEI!$G$38/HSCEI!$B$3,""))</f>
        <v/>
      </c>
      <c r="CU191" s="110">
        <f>IF(AG191="","",IFERROR(AG191*HSCEI!$B$38*HSCEI!$G$38/HSCEI!$B$3,""))</f>
        <v/>
      </c>
      <c r="CV191" s="110">
        <f>IF(AH191="","",IFERROR(AH191*HSCEI!$B$38*HSCEI!$G$38/HSCEI!$B$3,""))</f>
        <v/>
      </c>
      <c r="CW191" s="110">
        <f>IF(AI191="","",IFERROR(AI191*HSCEI!$B$38*HSCEI!$G$38/HSCEI!$B$3,""))</f>
        <v/>
      </c>
      <c r="CX191" s="110">
        <f>IF(AJ191="","",IFERROR(AJ191*HSCEI!$B$38*HSCEI!$G$38/HSCEI!$B$3,""))</f>
        <v/>
      </c>
      <c r="CY191" s="110">
        <f>IF(AK191="","",IFERROR(AK191*HSCEI!$B$38*HSCEI!$G$38/HSCEI!$B$3,""))</f>
        <v/>
      </c>
      <c r="CZ191" s="110">
        <f>IF(AL191="","",IFERROR(AL191*HSCEI!$B$38*HSCEI!$G$38/HSCEI!$B$3,""))</f>
        <v/>
      </c>
      <c r="DA191" s="110">
        <f>IF(AM191="","",IFERROR(AM191*HSCEI!$B$38*HSCEI!$G$38/HSCEI!$B$3,""))</f>
        <v/>
      </c>
      <c r="DB191" s="110">
        <f>IF(AN191="","",IFERROR(AN191*HSCEI!$B$38*HSCEI!$G$38/HSCEI!$B$3,""))</f>
        <v/>
      </c>
      <c r="DC191" s="110">
        <f>IF(AO191="","",IFERROR(AO191*HSCEI!$B$38*HSCEI!$G$38/HSCEI!$B$3,""))</f>
        <v/>
      </c>
      <c r="DD191" s="110">
        <f>IF(AP191="","",IFERROR(AP191*HSCEI!$B$38*HSCEI!$G$38/HSCEI!$B$3,""))</f>
        <v/>
      </c>
      <c r="DE191" s="110">
        <f>IF(AQ191="","",IFERROR(AQ191*HSCEI!$B$38*HSCEI!$G$38/HSCEI!$B$3,""))</f>
        <v/>
      </c>
      <c r="DF191" s="110">
        <f>IF(AR191="","",IFERROR(AR191*HSCEI!$B$38*HSCEI!$G$38/HSCEI!$B$3,""))</f>
        <v/>
      </c>
      <c r="DG191" s="110">
        <f>IF(AS191="","",IFERROR(AS191*HSCEI!$B$38*HSCEI!$G$38/HSCEI!$B$3,""))</f>
        <v/>
      </c>
      <c r="DH191" s="110">
        <f>IF(AT191="","",IFERROR(AT191*HSCEI!$B$38*HSCEI!$G$38/HSCEI!$B$3,""))</f>
        <v/>
      </c>
      <c r="DI191" s="110">
        <f>IF(AU191="","",IFERROR(AU191*HSCEI!$B$38*HSCEI!$G$38/HSCEI!$B$3,""))</f>
        <v/>
      </c>
      <c r="DJ191" s="110">
        <f>IF(AV191="","",IFERROR(AV191*HSCEI!$B$38*HSCEI!$G$38/HSCEI!$B$3,""))</f>
        <v/>
      </c>
      <c r="DK191" s="110">
        <f>IF(AW191="","",IFERROR(AW191*HSCEI!$B$38*HSCEI!$G$38/HSCEI!$B$3,""))</f>
        <v/>
      </c>
      <c r="DL191" s="110">
        <f>IF(AX191="","",IFERROR(AX191*HSCEI!$B$38*HSCEI!$G$38/HSCEI!$B$3,""))</f>
        <v/>
      </c>
      <c r="DM191" s="110">
        <f>IF(AY191="","",IFERROR(AY191*HSCEI!$B$38*HSCEI!$G$38/HSCEI!$B$3,""))</f>
        <v/>
      </c>
      <c r="DN191" s="110">
        <f>IF(AZ191="","",IFERROR(AZ191*HSCEI!$B$38*HSCEI!$G$38/HSCEI!$B$3,""))</f>
        <v/>
      </c>
      <c r="DO191" s="110">
        <f>IF(BA191="","",IFERROR(BA191*HSCEI!$B$38*HSCEI!$G$38/HSCEI!$B$3,""))</f>
        <v/>
      </c>
      <c r="DP191" s="110">
        <f>IF(BB191="","",IFERROR(BB191*HSCEI!$B$38*HSCEI!$G$38/HSCEI!$B$3,""))</f>
        <v/>
      </c>
      <c r="DQ191" s="110">
        <f>IF(BC191="","",IFERROR(BC191*HSCEI!$B$38*HSCEI!$G$38/HSCEI!$B$3,""))</f>
        <v/>
      </c>
      <c r="DR191" s="110">
        <f>IF(BD191="","",IFERROR(BD191*HSCEI!$B$38*HSCEI!$G$38/HSCEI!$B$3,""))</f>
        <v/>
      </c>
      <c r="DS191" s="110">
        <f>IF(BE191="","",IFERROR(BE191*HSCEI!$B$38*HSCEI!$G$38/HSCEI!$B$3,""))</f>
        <v/>
      </c>
      <c r="DT191" s="110">
        <f>IF(BF191="","",IFERROR(BF191*HSCEI!$B$38*HSCEI!$G$38/HSCEI!$B$3,""))</f>
        <v/>
      </c>
      <c r="DU191" s="110">
        <f>IF(BG191="","",IFERROR(BG191*HSCEI!$B$38*HSCEI!$G$38/HSCEI!$B$3,""))</f>
        <v/>
      </c>
      <c r="DV191" s="110">
        <f>IF(BH191="","",IFERROR(BH191*HSCEI!$B$38*HSCEI!$G$38/HSCEI!$B$3,""))</f>
        <v/>
      </c>
      <c r="DW191" s="110">
        <f>IF(BI191="","",IFERROR(BI191*HSCEI!$B$38*HSCEI!$G$38/HSCEI!$B$3,""))</f>
        <v/>
      </c>
      <c r="DX191" s="110">
        <f>IF(BJ191="","",IFERROR(BJ191*HSCEI!$B$38*HSCEI!$G$38/HSCEI!$B$3,""))</f>
        <v/>
      </c>
      <c r="DY191" s="110">
        <f>IF(BK191="","",IFERROR(BK191*HSCEI!$B$38*HSCEI!$G$38/HSCEI!$B$3,""))</f>
        <v/>
      </c>
      <c r="DZ191" s="110">
        <f>IF(BL191="","",IFERROR(BL191*HSCEI!$B$38*HSCEI!$G$38/HSCEI!$B$3,""))</f>
        <v/>
      </c>
      <c r="EA191" s="110">
        <f>IF(BM191="","",IFERROR(BM191*HSCEI!$B$38*HSCEI!$G$38/HSCEI!$B$3,""))</f>
        <v/>
      </c>
      <c r="EB191" s="110">
        <f>IF(BN191="","",IFERROR(BN191*HSCEI!$B$38*HSCEI!$G$38/HSCEI!$B$3,""))</f>
        <v/>
      </c>
      <c r="EC191" s="110">
        <f>IF(BO191="","",IFERROR(BO191*HSCEI!$B$38*HSCEI!$G$38/HSCEI!$B$3,""))</f>
        <v/>
      </c>
      <c r="EE191" s="39">
        <f>IF(N('Dvd Calendar'!$E$1902)=0,"",IF(('Dvd Calendar'!$E$1902&gt;=GRID_FROM)*('Dvd Calendar'!$E$1902&lt;=GRID_TO)*((('Dvd Calendar'!$E$1902&lt;=VAL_DATE)+(COUNTIF('Dvd Calendar'!$E$1909:$AR$1909,'Dvd Calendar'!$E$1902)=0))&gt;0)=0,"",'Dvd Calendar'!$E$1902*1000000000+ISNUMBER('Dvd Calendar'!$E$1905)*100000000+('Dvd Calendar'!$E$1907=SPECIAL_LBL)*10000000+(N('Dvd Calendar'!$E$1901)&gt;0)*(N('Dvd Calendar'!$E$1901)&lt;=VAL_SERIAL)*1000000+32*1000+1))</f>
        <v/>
      </c>
      <c r="EF191" s="39">
        <f>IF(N('Dvd Calendar'!$F$1902)=0,"",IF(('Dvd Calendar'!$F$1902&gt;=GRID_FROM)*('Dvd Calendar'!$F$1902&lt;=GRID_TO)*((('Dvd Calendar'!$F$1902&lt;=VAL_DATE)+(COUNTIF('Dvd Calendar'!$E$1909:$AR$1909,'Dvd Calendar'!$F$1902)=0))&gt;0)=0,"",'Dvd Calendar'!$F$1902*1000000000+ISNUMBER('Dvd Calendar'!$F$1905)*100000000+('Dvd Calendar'!$F$1907=SPECIAL_LBL)*10000000+(N('Dvd Calendar'!$F$1901)&gt;0)*(N('Dvd Calendar'!$F$1901)&lt;=VAL_SERIAL)*1000000+32*1000+2))</f>
        <v/>
      </c>
      <c r="EG191" s="39">
        <f>IF(N('Dvd Calendar'!$G$1902)=0,"",IF(('Dvd Calendar'!$G$1902&gt;=GRID_FROM)*('Dvd Calendar'!$G$1902&lt;=GRID_TO)*((('Dvd Calendar'!$G$1902&lt;=VAL_DATE)+(COUNTIF('Dvd Calendar'!$E$1909:$AR$1909,'Dvd Calendar'!$G$1902)=0))&gt;0)=0,"",'Dvd Calendar'!$G$1902*1000000000+ISNUMBER('Dvd Calendar'!$G$1905)*100000000+('Dvd Calendar'!$G$1907=SPECIAL_LBL)*10000000+(N('Dvd Calendar'!$G$1901)&gt;0)*(N('Dvd Calendar'!$G$1901)&lt;=VAL_SERIAL)*1000000+32*1000+3))</f>
        <v/>
      </c>
      <c r="EH191" s="39">
        <f>IF(N('Dvd Calendar'!$H$1902)=0,"",IF(('Dvd Calendar'!$H$1902&gt;=GRID_FROM)*('Dvd Calendar'!$H$1902&lt;=GRID_TO)*((('Dvd Calendar'!$H$1902&lt;=VAL_DATE)+(COUNTIF('Dvd Calendar'!$E$1909:$AR$1909,'Dvd Calendar'!$H$1902)=0))&gt;0)=0,"",'Dvd Calendar'!$H$1902*1000000000+ISNUMBER('Dvd Calendar'!$H$1905)*100000000+('Dvd Calendar'!$H$1907=SPECIAL_LBL)*10000000+(N('Dvd Calendar'!$H$1901)&gt;0)*(N('Dvd Calendar'!$H$1901)&lt;=VAL_SERIAL)*1000000+32*1000+4))</f>
        <v/>
      </c>
      <c r="EI191" s="39">
        <f>IF(N('Dvd Calendar'!$I$1902)=0,"",IF(('Dvd Calendar'!$I$1902&gt;=GRID_FROM)*('Dvd Calendar'!$I$1902&lt;=GRID_TO)*((('Dvd Calendar'!$I$1902&lt;=VAL_DATE)+(COUNTIF('Dvd Calendar'!$E$1909:$AR$1909,'Dvd Calendar'!$I$1902)=0))&gt;0)=0,"",'Dvd Calendar'!$I$1902*1000000000+ISNUMBER('Dvd Calendar'!$I$1905)*100000000+('Dvd Calendar'!$I$1907=SPECIAL_LBL)*10000000+(N('Dvd Calendar'!$I$1901)&gt;0)*(N('Dvd Calendar'!$I$1901)&lt;=VAL_SERIAL)*1000000+32*1000+5))</f>
        <v/>
      </c>
      <c r="EJ191" s="39">
        <f>IF(N('Dvd Calendar'!$J$1902)=0,"",IF(('Dvd Calendar'!$J$1902&gt;=GRID_FROM)*('Dvd Calendar'!$J$1902&lt;=GRID_TO)*((('Dvd Calendar'!$J$1902&lt;=VAL_DATE)+(COUNTIF('Dvd Calendar'!$E$1909:$AR$1909,'Dvd Calendar'!$J$1902)=0))&gt;0)=0,"",'Dvd Calendar'!$J$1902*1000000000+ISNUMBER('Dvd Calendar'!$J$1905)*100000000+('Dvd Calendar'!$J$1907=SPECIAL_LBL)*10000000+(N('Dvd Calendar'!$J$1901)&gt;0)*(N('Dvd Calendar'!$J$1901)&lt;=VAL_SERIAL)*1000000+32*1000+6))</f>
        <v/>
      </c>
      <c r="EK191" s="39">
        <f>IF(N('Dvd Calendar'!$K$1902)=0,"",IF(('Dvd Calendar'!$K$1902&gt;=GRID_FROM)*('Dvd Calendar'!$K$1902&lt;=GRID_TO)*((('Dvd Calendar'!$K$1902&lt;=VAL_DATE)+(COUNTIF('Dvd Calendar'!$E$1909:$AR$1909,'Dvd Calendar'!$K$1902)=0))&gt;0)=0,"",'Dvd Calendar'!$K$1902*1000000000+ISNUMBER('Dvd Calendar'!$K$1905)*100000000+('Dvd Calendar'!$K$1907=SPECIAL_LBL)*10000000+(N('Dvd Calendar'!$K$1901)&gt;0)*(N('Dvd Calendar'!$K$1901)&lt;=VAL_SERIAL)*1000000+32*1000+7))</f>
        <v/>
      </c>
      <c r="EL191" s="39">
        <f>IF(N('Dvd Calendar'!$L$1902)=0,"",IF(('Dvd Calendar'!$L$1902&gt;=GRID_FROM)*('Dvd Calendar'!$L$1902&lt;=GRID_TO)*((('Dvd Calendar'!$L$1902&lt;=VAL_DATE)+(COUNTIF('Dvd Calendar'!$E$1909:$AR$1909,'Dvd Calendar'!$L$1902)=0))&gt;0)=0,"",'Dvd Calendar'!$L$1902*1000000000+ISNUMBER('Dvd Calendar'!$L$1905)*100000000+('Dvd Calendar'!$L$1907=SPECIAL_LBL)*10000000+(N('Dvd Calendar'!$L$1901)&gt;0)*(N('Dvd Calendar'!$L$1901)&lt;=VAL_SERIAL)*1000000+32*1000+8))</f>
        <v/>
      </c>
      <c r="EM191" s="39">
        <f>IF(N('Dvd Calendar'!$M$1902)=0,"",IF(('Dvd Calendar'!$M$1902&gt;=GRID_FROM)*('Dvd Calendar'!$M$1902&lt;=GRID_TO)*((('Dvd Calendar'!$M$1902&lt;=VAL_DATE)+(COUNTIF('Dvd Calendar'!$E$1909:$AR$1909,'Dvd Calendar'!$M$1902)=0))&gt;0)=0,"",'Dvd Calendar'!$M$1902*1000000000+ISNUMBER('Dvd Calendar'!$M$1905)*100000000+('Dvd Calendar'!$M$1907=SPECIAL_LBL)*10000000+(N('Dvd Calendar'!$M$1901)&gt;0)*(N('Dvd Calendar'!$M$1901)&lt;=VAL_SERIAL)*1000000+32*1000+9))</f>
        <v/>
      </c>
      <c r="EN191" s="39">
        <f>IF(N('Dvd Calendar'!$N$1902)=0,"",IF(('Dvd Calendar'!$N$1902&gt;=GRID_FROM)*('Dvd Calendar'!$N$1902&lt;=GRID_TO)*((('Dvd Calendar'!$N$1902&lt;=VAL_DATE)+(COUNTIF('Dvd Calendar'!$E$1909:$AR$1909,'Dvd Calendar'!$N$1902)=0))&gt;0)=0,"",'Dvd Calendar'!$N$1902*1000000000+ISNUMBER('Dvd Calendar'!$N$1905)*100000000+('Dvd Calendar'!$N$1907=SPECIAL_LBL)*10000000+(N('Dvd Calendar'!$N$1901)&gt;0)*(N('Dvd Calendar'!$N$1901)&lt;=VAL_SERIAL)*1000000+32*1000+10))</f>
        <v/>
      </c>
      <c r="EO191" s="39">
        <f>IF(N('Dvd Calendar'!$O$1902)=0,"",IF(('Dvd Calendar'!$O$1902&gt;=GRID_FROM)*('Dvd Calendar'!$O$1902&lt;=GRID_TO)*((('Dvd Calendar'!$O$1902&lt;=VAL_DATE)+(COUNTIF('Dvd Calendar'!$E$1909:$AR$1909,'Dvd Calendar'!$O$1902)=0))&gt;0)=0,"",'Dvd Calendar'!$O$1902*1000000000+ISNUMBER('Dvd Calendar'!$O$1905)*100000000+('Dvd Calendar'!$O$1907=SPECIAL_LBL)*10000000+(N('Dvd Calendar'!$O$1901)&gt;0)*(N('Dvd Calendar'!$O$1901)&lt;=VAL_SERIAL)*1000000+32*1000+11))</f>
        <v/>
      </c>
      <c r="EP191" s="39">
        <f>IF(N('Dvd Calendar'!$P$1902)=0,"",IF(('Dvd Calendar'!$P$1902&gt;=GRID_FROM)*('Dvd Calendar'!$P$1902&lt;=GRID_TO)*((('Dvd Calendar'!$P$1902&lt;=VAL_DATE)+(COUNTIF('Dvd Calendar'!$E$1909:$AR$1909,'Dvd Calendar'!$P$1902)=0))&gt;0)=0,"",'Dvd Calendar'!$P$1902*1000000000+ISNUMBER('Dvd Calendar'!$P$1905)*100000000+('Dvd Calendar'!$P$1907=SPECIAL_LBL)*10000000+(N('Dvd Calendar'!$P$1901)&gt;0)*(N('Dvd Calendar'!$P$1901)&lt;=VAL_SERIAL)*1000000+32*1000+12))</f>
        <v/>
      </c>
      <c r="EQ191" s="39">
        <f>IF(N('Dvd Calendar'!$Q$1902)=0,"",IF(('Dvd Calendar'!$Q$1902&gt;=GRID_FROM)*('Dvd Calendar'!$Q$1902&lt;=GRID_TO)*((('Dvd Calendar'!$Q$1902&lt;=VAL_DATE)+(COUNTIF('Dvd Calendar'!$E$1909:$AR$1909,'Dvd Calendar'!$Q$1902)=0))&gt;0)=0,"",'Dvd Calendar'!$Q$1902*1000000000+ISNUMBER('Dvd Calendar'!$Q$1905)*100000000+('Dvd Calendar'!$Q$1907=SPECIAL_LBL)*10000000+(N('Dvd Calendar'!$Q$1901)&gt;0)*(N('Dvd Calendar'!$Q$1901)&lt;=VAL_SERIAL)*1000000+32*1000+13))</f>
        <v/>
      </c>
      <c r="ER191" s="39">
        <f>IF(N('Dvd Calendar'!$R$1902)=0,"",IF(('Dvd Calendar'!$R$1902&gt;=GRID_FROM)*('Dvd Calendar'!$R$1902&lt;=GRID_TO)*((('Dvd Calendar'!$R$1902&lt;=VAL_DATE)+(COUNTIF('Dvd Calendar'!$E$1909:$AR$1909,'Dvd Calendar'!$R$1902)=0))&gt;0)=0,"",'Dvd Calendar'!$R$1902*1000000000+ISNUMBER('Dvd Calendar'!$R$1905)*100000000+('Dvd Calendar'!$R$1907=SPECIAL_LBL)*10000000+(N('Dvd Calendar'!$R$1901)&gt;0)*(N('Dvd Calendar'!$R$1901)&lt;=VAL_SERIAL)*1000000+32*1000+14))</f>
        <v/>
      </c>
      <c r="ES191" s="39">
        <f>IF(N('Dvd Calendar'!$S$1902)=0,"",IF(('Dvd Calendar'!$S$1902&gt;=GRID_FROM)*('Dvd Calendar'!$S$1902&lt;=GRID_TO)*((('Dvd Calendar'!$S$1902&lt;=VAL_DATE)+(COUNTIF('Dvd Calendar'!$E$1909:$AR$1909,'Dvd Calendar'!$S$1902)=0))&gt;0)=0,"",'Dvd Calendar'!$S$1902*1000000000+ISNUMBER('Dvd Calendar'!$S$1905)*100000000+('Dvd Calendar'!$S$1907=SPECIAL_LBL)*10000000+(N('Dvd Calendar'!$S$1901)&gt;0)*(N('Dvd Calendar'!$S$1901)&lt;=VAL_SERIAL)*1000000+32*1000+15))</f>
        <v/>
      </c>
      <c r="ET191" s="39">
        <f>IF(N('Dvd Calendar'!$T$1902)=0,"",IF(('Dvd Calendar'!$T$1902&gt;=GRID_FROM)*('Dvd Calendar'!$T$1902&lt;=GRID_TO)*((('Dvd Calendar'!$T$1902&lt;=VAL_DATE)+(COUNTIF('Dvd Calendar'!$E$1909:$AR$1909,'Dvd Calendar'!$T$1902)=0))&gt;0)=0,"",'Dvd Calendar'!$T$1902*1000000000+ISNUMBER('Dvd Calendar'!$T$1905)*100000000+('Dvd Calendar'!$T$1907=SPECIAL_LBL)*10000000+(N('Dvd Calendar'!$T$1901)&gt;0)*(N('Dvd Calendar'!$T$1901)&lt;=VAL_SERIAL)*1000000+32*1000+16))</f>
        <v/>
      </c>
      <c r="EU191" s="39">
        <f>IF(N('Dvd Calendar'!$U$1902)=0,"",IF(('Dvd Calendar'!$U$1902&gt;=GRID_FROM)*('Dvd Calendar'!$U$1902&lt;=GRID_TO)*((('Dvd Calendar'!$U$1902&lt;=VAL_DATE)+(COUNTIF('Dvd Calendar'!$E$1909:$AR$1909,'Dvd Calendar'!$U$1902)=0))&gt;0)=0,"",'Dvd Calendar'!$U$1902*1000000000+ISNUMBER('Dvd Calendar'!$U$1905)*100000000+('Dvd Calendar'!$U$1907=SPECIAL_LBL)*10000000+(N('Dvd Calendar'!$U$1901)&gt;0)*(N('Dvd Calendar'!$U$1901)&lt;=VAL_SERIAL)*1000000+32*1000+17))</f>
        <v/>
      </c>
      <c r="EV191" s="39">
        <f>IF(N('Dvd Calendar'!$V$1902)=0,"",IF(('Dvd Calendar'!$V$1902&gt;=GRID_FROM)*('Dvd Calendar'!$V$1902&lt;=GRID_TO)*((('Dvd Calendar'!$V$1902&lt;=VAL_DATE)+(COUNTIF('Dvd Calendar'!$E$1909:$AR$1909,'Dvd Calendar'!$V$1902)=0))&gt;0)=0,"",'Dvd Calendar'!$V$1902*1000000000+ISNUMBER('Dvd Calendar'!$V$1905)*100000000+('Dvd Calendar'!$V$1907=SPECIAL_LBL)*10000000+(N('Dvd Calendar'!$V$1901)&gt;0)*(N('Dvd Calendar'!$V$1901)&lt;=VAL_SERIAL)*1000000+32*1000+18))</f>
        <v/>
      </c>
      <c r="EW191" s="39">
        <f>IF(N('Dvd Calendar'!$W$1902)=0,"",IF(('Dvd Calendar'!$W$1902&gt;=GRID_FROM)*('Dvd Calendar'!$W$1902&lt;=GRID_TO)*((('Dvd Calendar'!$W$1902&lt;=VAL_DATE)+(COUNTIF('Dvd Calendar'!$E$1909:$AR$1909,'Dvd Calendar'!$W$1902)=0))&gt;0)=0,"",'Dvd Calendar'!$W$1902*1000000000+ISNUMBER('Dvd Calendar'!$W$1905)*100000000+('Dvd Calendar'!$W$1907=SPECIAL_LBL)*10000000+(N('Dvd Calendar'!$W$1901)&gt;0)*(N('Dvd Calendar'!$W$1901)&lt;=VAL_SERIAL)*1000000+32*1000+19))</f>
        <v/>
      </c>
      <c r="EX191" s="39">
        <f>IF(N('Dvd Calendar'!$X$1902)=0,"",IF(('Dvd Calendar'!$X$1902&gt;=GRID_FROM)*('Dvd Calendar'!$X$1902&lt;=GRID_TO)*((('Dvd Calendar'!$X$1902&lt;=VAL_DATE)+(COUNTIF('Dvd Calendar'!$E$1909:$AR$1909,'Dvd Calendar'!$X$1902)=0))&gt;0)=0,"",'Dvd Calendar'!$X$1902*1000000000+ISNUMBER('Dvd Calendar'!$X$1905)*100000000+('Dvd Calendar'!$X$1907=SPECIAL_LBL)*10000000+(N('Dvd Calendar'!$X$1901)&gt;0)*(N('Dvd Calendar'!$X$1901)&lt;=VAL_SERIAL)*1000000+32*1000+20))</f>
        <v/>
      </c>
      <c r="EY191" s="39">
        <f>IF(N('Dvd Calendar'!$Y$1902)=0,"",IF(('Dvd Calendar'!$Y$1902&gt;=GRID_FROM)*('Dvd Calendar'!$Y$1902&lt;=GRID_TO)*((('Dvd Calendar'!$Y$1902&lt;=VAL_DATE)+(COUNTIF('Dvd Calendar'!$E$1909:$AR$1909,'Dvd Calendar'!$Y$1902)=0))&gt;0)=0,"",'Dvd Calendar'!$Y$1902*1000000000+ISNUMBER('Dvd Calendar'!$Y$1905)*100000000+('Dvd Calendar'!$Y$1907=SPECIAL_LBL)*10000000+(N('Dvd Calendar'!$Y$1901)&gt;0)*(N('Dvd Calendar'!$Y$1901)&lt;=VAL_SERIAL)*1000000+32*1000+21))</f>
        <v/>
      </c>
      <c r="EZ191" s="39">
        <f>IF(N('Dvd Calendar'!$Z$1902)=0,"",IF(('Dvd Calendar'!$Z$1902&gt;=GRID_FROM)*('Dvd Calendar'!$Z$1902&lt;=GRID_TO)*((('Dvd Calendar'!$Z$1902&lt;=VAL_DATE)+(COUNTIF('Dvd Calendar'!$E$1909:$AR$1909,'Dvd Calendar'!$Z$1902)=0))&gt;0)=0,"",'Dvd Calendar'!$Z$1902*1000000000+ISNUMBER('Dvd Calendar'!$Z$1905)*100000000+('Dvd Calendar'!$Z$1907=SPECIAL_LBL)*10000000+(N('Dvd Calendar'!$Z$1901)&gt;0)*(N('Dvd Calendar'!$Z$1901)&lt;=VAL_SERIAL)*1000000+32*1000+22))</f>
        <v/>
      </c>
      <c r="FA191" s="39">
        <f>IF(N('Dvd Calendar'!$AA$1902)=0,"",IF(('Dvd Calendar'!$AA$1902&gt;=GRID_FROM)*('Dvd Calendar'!$AA$1902&lt;=GRID_TO)*((('Dvd Calendar'!$AA$1902&lt;=VAL_DATE)+(COUNTIF('Dvd Calendar'!$E$1909:$AR$1909,'Dvd Calendar'!$AA$1902)=0))&gt;0)=0,"",'Dvd Calendar'!$AA$1902*1000000000+ISNUMBER('Dvd Calendar'!$AA$1905)*100000000+('Dvd Calendar'!$AA$1907=SPECIAL_LBL)*10000000+(N('Dvd Calendar'!$AA$1901)&gt;0)*(N('Dvd Calendar'!$AA$1901)&lt;=VAL_SERIAL)*1000000+32*1000+23))</f>
        <v/>
      </c>
      <c r="FB191" s="39">
        <f>IF(N('Dvd Calendar'!$AB$1902)=0,"",IF(('Dvd Calendar'!$AB$1902&gt;=GRID_FROM)*('Dvd Calendar'!$AB$1902&lt;=GRID_TO)*((('Dvd Calendar'!$AB$1902&lt;=VAL_DATE)+(COUNTIF('Dvd Calendar'!$E$1909:$AR$1909,'Dvd Calendar'!$AB$1902)=0))&gt;0)=0,"",'Dvd Calendar'!$AB$1902*1000000000+ISNUMBER('Dvd Calendar'!$AB$1905)*100000000+('Dvd Calendar'!$AB$1907=SPECIAL_LBL)*10000000+(N('Dvd Calendar'!$AB$1901)&gt;0)*(N('Dvd Calendar'!$AB$1901)&lt;=VAL_SERIAL)*1000000+32*1000+24))</f>
        <v/>
      </c>
      <c r="FC191" s="39">
        <f>IF(N('Dvd Calendar'!$AC$1902)=0,"",IF(('Dvd Calendar'!$AC$1902&gt;=GRID_FROM)*('Dvd Calendar'!$AC$1902&lt;=GRID_TO)*((('Dvd Calendar'!$AC$1902&lt;=VAL_DATE)+(COUNTIF('Dvd Calendar'!$E$1909:$AR$1909,'Dvd Calendar'!$AC$1902)=0))&gt;0)=0,"",'Dvd Calendar'!$AC$1902*1000000000+ISNUMBER('Dvd Calendar'!$AC$1905)*100000000+('Dvd Calendar'!$AC$1907=SPECIAL_LBL)*10000000+(N('Dvd Calendar'!$AC$1901)&gt;0)*(N('Dvd Calendar'!$AC$1901)&lt;=VAL_SERIAL)*1000000+32*1000+25))</f>
        <v/>
      </c>
      <c r="FD191" s="39">
        <f>IF(N('Dvd Calendar'!$AD$1902)=0,"",IF(('Dvd Calendar'!$AD$1902&gt;=GRID_FROM)*('Dvd Calendar'!$AD$1902&lt;=GRID_TO)*((('Dvd Calendar'!$AD$1902&lt;=VAL_DATE)+(COUNTIF('Dvd Calendar'!$E$1909:$AR$1909,'Dvd Calendar'!$AD$1902)=0))&gt;0)=0,"",'Dvd Calendar'!$AD$1902*1000000000+ISNUMBER('Dvd Calendar'!$AD$1905)*100000000+('Dvd Calendar'!$AD$1907=SPECIAL_LBL)*10000000+(N('Dvd Calendar'!$AD$1901)&gt;0)*(N('Dvd Calendar'!$AD$1901)&lt;=VAL_SERIAL)*1000000+32*1000+26))</f>
        <v/>
      </c>
      <c r="FE191" s="39">
        <f>IF(N('Dvd Calendar'!$AE$1902)=0,"",IF(('Dvd Calendar'!$AE$1902&gt;=GRID_FROM)*('Dvd Calendar'!$AE$1902&lt;=GRID_TO)*((('Dvd Calendar'!$AE$1902&lt;=VAL_DATE)+(COUNTIF('Dvd Calendar'!$E$1909:$AR$1909,'Dvd Calendar'!$AE$1902)=0))&gt;0)=0,"",'Dvd Calendar'!$AE$1902*1000000000+ISNUMBER('Dvd Calendar'!$AE$1905)*100000000+('Dvd Calendar'!$AE$1907=SPECIAL_LBL)*10000000+(N('Dvd Calendar'!$AE$1901)&gt;0)*(N('Dvd Calendar'!$AE$1901)&lt;=VAL_SERIAL)*1000000+32*1000+27))</f>
        <v/>
      </c>
      <c r="FF191" s="39">
        <f>IF(N('Dvd Calendar'!$AF$1902)=0,"",IF(('Dvd Calendar'!$AF$1902&gt;=GRID_FROM)*('Dvd Calendar'!$AF$1902&lt;=GRID_TO)*((('Dvd Calendar'!$AF$1902&lt;=VAL_DATE)+(COUNTIF('Dvd Calendar'!$E$1909:$AR$1909,'Dvd Calendar'!$AF$1902)=0))&gt;0)=0,"",'Dvd Calendar'!$AF$1902*1000000000+ISNUMBER('Dvd Calendar'!$AF$1905)*100000000+('Dvd Calendar'!$AF$1907=SPECIAL_LBL)*10000000+(N('Dvd Calendar'!$AF$1901)&gt;0)*(N('Dvd Calendar'!$AF$1901)&lt;=VAL_SERIAL)*1000000+32*1000+28))</f>
        <v/>
      </c>
      <c r="FG191" s="39">
        <f>IF(N('Dvd Calendar'!$AG$1902)=0,"",IF(('Dvd Calendar'!$AG$1902&gt;=GRID_FROM)*('Dvd Calendar'!$AG$1902&lt;=GRID_TO)*((('Dvd Calendar'!$AG$1902&lt;=VAL_DATE)+(COUNTIF('Dvd Calendar'!$E$1909:$AR$1909,'Dvd Calendar'!$AG$1902)=0))&gt;0)=0,"",'Dvd Calendar'!$AG$1902*1000000000+ISNUMBER('Dvd Calendar'!$AG$1905)*100000000+('Dvd Calendar'!$AG$1907=SPECIAL_LBL)*10000000+(N('Dvd Calendar'!$AG$1901)&gt;0)*(N('Dvd Calendar'!$AG$1901)&lt;=VAL_SERIAL)*1000000+32*1000+29))</f>
        <v/>
      </c>
      <c r="FH191" s="39">
        <f>IF(N('Dvd Calendar'!$AH$1902)=0,"",IF(('Dvd Calendar'!$AH$1902&gt;=GRID_FROM)*('Dvd Calendar'!$AH$1902&lt;=GRID_TO)*((('Dvd Calendar'!$AH$1902&lt;=VAL_DATE)+(COUNTIF('Dvd Calendar'!$E$1909:$AR$1909,'Dvd Calendar'!$AH$1902)=0))&gt;0)=0,"",'Dvd Calendar'!$AH$1902*1000000000+ISNUMBER('Dvd Calendar'!$AH$1905)*100000000+('Dvd Calendar'!$AH$1907=SPECIAL_LBL)*10000000+(N('Dvd Calendar'!$AH$1901)&gt;0)*(N('Dvd Calendar'!$AH$1901)&lt;=VAL_SERIAL)*1000000+32*1000+30))</f>
        <v/>
      </c>
      <c r="FI191" s="39">
        <f>IF(N('Dvd Calendar'!$AI$1902)=0,"",IF(('Dvd Calendar'!$AI$1902&gt;=GRID_FROM)*('Dvd Calendar'!$AI$1902&lt;=GRID_TO)*((('Dvd Calendar'!$AI$1902&lt;=VAL_DATE)+(COUNTIF('Dvd Calendar'!$E$1909:$AR$1909,'Dvd Calendar'!$AI$1902)=0))&gt;0)=0,"",'Dvd Calendar'!$AI$1902*1000000000+ISNUMBER('Dvd Calendar'!$AI$1905)*100000000+('Dvd Calendar'!$AI$1907=SPECIAL_LBL)*10000000+(N('Dvd Calendar'!$AI$1901)&gt;0)*(N('Dvd Calendar'!$AI$1901)&lt;=VAL_SERIAL)*1000000+32*1000+31))</f>
        <v/>
      </c>
      <c r="FJ191" s="39">
        <f>IF(N('Dvd Calendar'!$AJ$1902)=0,"",IF(('Dvd Calendar'!$AJ$1902&gt;=GRID_FROM)*('Dvd Calendar'!$AJ$1902&lt;=GRID_TO)*((('Dvd Calendar'!$AJ$1902&lt;=VAL_DATE)+(COUNTIF('Dvd Calendar'!$E$1909:$AR$1909,'Dvd Calendar'!$AJ$1902)=0))&gt;0)=0,"",'Dvd Calendar'!$AJ$1902*1000000000+ISNUMBER('Dvd Calendar'!$AJ$1905)*100000000+('Dvd Calendar'!$AJ$1907=SPECIAL_LBL)*10000000+(N('Dvd Calendar'!$AJ$1901)&gt;0)*(N('Dvd Calendar'!$AJ$1901)&lt;=VAL_SERIAL)*1000000+32*1000+32))</f>
        <v/>
      </c>
      <c r="FK191" s="39">
        <f>IF(N('Dvd Calendar'!$AK$1902)=0,"",IF(('Dvd Calendar'!$AK$1902&gt;=GRID_FROM)*('Dvd Calendar'!$AK$1902&lt;=GRID_TO)*((('Dvd Calendar'!$AK$1902&lt;=VAL_DATE)+(COUNTIF('Dvd Calendar'!$E$1909:$AR$1909,'Dvd Calendar'!$AK$1902)=0))&gt;0)=0,"",'Dvd Calendar'!$AK$1902*1000000000+ISNUMBER('Dvd Calendar'!$AK$1905)*100000000+('Dvd Calendar'!$AK$1907=SPECIAL_LBL)*10000000+(N('Dvd Calendar'!$AK$1901)&gt;0)*(N('Dvd Calendar'!$AK$1901)&lt;=VAL_SERIAL)*1000000+32*1000+33))</f>
        <v/>
      </c>
      <c r="FL191" s="39">
        <f>IF(N('Dvd Calendar'!$AL$1902)=0,"",IF(('Dvd Calendar'!$AL$1902&gt;=GRID_FROM)*('Dvd Calendar'!$AL$1902&lt;=GRID_TO)*((('Dvd Calendar'!$AL$1902&lt;=VAL_DATE)+(COUNTIF('Dvd Calendar'!$E$1909:$AR$1909,'Dvd Calendar'!$AL$1902)=0))&gt;0)=0,"",'Dvd Calendar'!$AL$1902*1000000000+ISNUMBER('Dvd Calendar'!$AL$1905)*100000000+('Dvd Calendar'!$AL$1907=SPECIAL_LBL)*10000000+(N('Dvd Calendar'!$AL$1901)&gt;0)*(N('Dvd Calendar'!$AL$1901)&lt;=VAL_SERIAL)*1000000+32*1000+34))</f>
        <v/>
      </c>
      <c r="FM191" s="39">
        <f>IF(N('Dvd Calendar'!$AM$1902)=0,"",IF(('Dvd Calendar'!$AM$1902&gt;=GRID_FROM)*('Dvd Calendar'!$AM$1902&lt;=GRID_TO)*((('Dvd Calendar'!$AM$1902&lt;=VAL_DATE)+(COUNTIF('Dvd Calendar'!$E$1909:$AR$1909,'Dvd Calendar'!$AM$1902)=0))&gt;0)=0,"",'Dvd Calendar'!$AM$1902*1000000000+ISNUMBER('Dvd Calendar'!$AM$1905)*100000000+('Dvd Calendar'!$AM$1907=SPECIAL_LBL)*10000000+(N('Dvd Calendar'!$AM$1901)&gt;0)*(N('Dvd Calendar'!$AM$1901)&lt;=VAL_SERIAL)*1000000+32*1000+35))</f>
        <v/>
      </c>
      <c r="FN191" s="39">
        <f>IF(N('Dvd Calendar'!$AN$1902)=0,"",IF(('Dvd Calendar'!$AN$1902&gt;=GRID_FROM)*('Dvd Calendar'!$AN$1902&lt;=GRID_TO)*((('Dvd Calendar'!$AN$1902&lt;=VAL_DATE)+(COUNTIF('Dvd Calendar'!$E$1909:$AR$1909,'Dvd Calendar'!$AN$1902)=0))&gt;0)=0,"",'Dvd Calendar'!$AN$1902*1000000000+ISNUMBER('Dvd Calendar'!$AN$1905)*100000000+('Dvd Calendar'!$AN$1907=SPECIAL_LBL)*10000000+(N('Dvd Calendar'!$AN$1901)&gt;0)*(N('Dvd Calendar'!$AN$1901)&lt;=VAL_SERIAL)*1000000+32*1000+36))</f>
        <v/>
      </c>
      <c r="FO191" s="39">
        <f>IF(N('Dvd Calendar'!$AO$1902)=0,"",IF(('Dvd Calendar'!$AO$1902&gt;=GRID_FROM)*('Dvd Calendar'!$AO$1902&lt;=GRID_TO)*((('Dvd Calendar'!$AO$1902&lt;=VAL_DATE)+(COUNTIF('Dvd Calendar'!$E$1909:$AR$1909,'Dvd Calendar'!$AO$1902)=0))&gt;0)=0,"",'Dvd Calendar'!$AO$1902*1000000000+ISNUMBER('Dvd Calendar'!$AO$1905)*100000000+('Dvd Calendar'!$AO$1907=SPECIAL_LBL)*10000000+(N('Dvd Calendar'!$AO$1901)&gt;0)*(N('Dvd Calendar'!$AO$1901)&lt;=VAL_SERIAL)*1000000+32*1000+37))</f>
        <v/>
      </c>
      <c r="FP191" s="39">
        <f>IF(N('Dvd Calendar'!$AP$1902)=0,"",IF(('Dvd Calendar'!$AP$1902&gt;=GRID_FROM)*('Dvd Calendar'!$AP$1902&lt;=GRID_TO)*((('Dvd Calendar'!$AP$1902&lt;=VAL_DATE)+(COUNTIF('Dvd Calendar'!$E$1909:$AR$1909,'Dvd Calendar'!$AP$1902)=0))&gt;0)=0,"",'Dvd Calendar'!$AP$1902*1000000000+ISNUMBER('Dvd Calendar'!$AP$1905)*100000000+('Dvd Calendar'!$AP$1907=SPECIAL_LBL)*10000000+(N('Dvd Calendar'!$AP$1901)&gt;0)*(N('Dvd Calendar'!$AP$1901)&lt;=VAL_SERIAL)*1000000+32*1000+38))</f>
        <v/>
      </c>
      <c r="FQ191" s="39">
        <f>IF(N('Dvd Calendar'!$AQ$1902)=0,"",IF(('Dvd Calendar'!$AQ$1902&gt;=GRID_FROM)*('Dvd Calendar'!$AQ$1902&lt;=GRID_TO)*((('Dvd Calendar'!$AQ$1902&lt;=VAL_DATE)+(COUNTIF('Dvd Calendar'!$E$1909:$AR$1909,'Dvd Calendar'!$AQ$1902)=0))&gt;0)=0,"",'Dvd Calendar'!$AQ$1902*1000000000+ISNUMBER('Dvd Calendar'!$AQ$1905)*100000000+('Dvd Calendar'!$AQ$1907=SPECIAL_LBL)*10000000+(N('Dvd Calendar'!$AQ$1901)&gt;0)*(N('Dvd Calendar'!$AQ$1901)&lt;=VAL_SERIAL)*1000000+32*1000+39))</f>
        <v/>
      </c>
      <c r="FR191" s="39">
        <f>IF(N('Dvd Calendar'!$AR$1902)=0,"",IF(('Dvd Calendar'!$AR$1902&gt;=GRID_FROM)*('Dvd Calendar'!$AR$1902&lt;=GRID_TO)*((('Dvd Calendar'!$AR$1902&lt;=VAL_DATE)+(COUNTIF('Dvd Calendar'!$E$1909:$AR$1909,'Dvd Calendar'!$AR$1902)=0))&gt;0)=0,"",'Dvd Calendar'!$AR$1902*1000000000+ISNUMBER('Dvd Calendar'!$AR$1905)*100000000+('Dvd Calendar'!$AR$1907=SPECIAL_LBL)*10000000+(N('Dvd Calendar'!$AR$1901)&gt;0)*(N('Dvd Calendar'!$AR$1901)&lt;=VAL_SERIAL)*1000000+32*1000+40))</f>
        <v/>
      </c>
      <c r="FS191" s="39">
        <f>IF(N('Dvd Calendar'!$E$1909)=0,"",IF(('Dvd Calendar'!$E$1909&gt;=GRID_FROM)*('Dvd Calendar'!$E$1909&lt;=GRID_TO)*('Dvd Calendar'!$E$1909&gt;VAL_DATE)=0,"",'Dvd Calendar'!$E$1909*1000000000+ISNUMBER('Dvd Calendar'!$E$1910)*100000000+0*10000000+(N('Dvd Calendar'!$E$1908)&gt;0)*(N('Dvd Calendar'!$E$1908)&lt;=VAL_SERIAL)*1000000+32*1000+41))</f>
        <v/>
      </c>
      <c r="FT191" s="39">
        <f>IF(N('Dvd Calendar'!$F$1909)=0,"",IF(('Dvd Calendar'!$F$1909&gt;=GRID_FROM)*('Dvd Calendar'!$F$1909&lt;=GRID_TO)*('Dvd Calendar'!$F$1909&gt;VAL_DATE)=0,"",'Dvd Calendar'!$F$1909*1000000000+ISNUMBER('Dvd Calendar'!$F$1910)*100000000+0*10000000+(N('Dvd Calendar'!$F$1908)&gt;0)*(N('Dvd Calendar'!$F$1908)&lt;=VAL_SERIAL)*1000000+32*1000+42))</f>
        <v/>
      </c>
      <c r="FU191" s="39">
        <f>IF(N('Dvd Calendar'!$G$1909)=0,"",IF(('Dvd Calendar'!$G$1909&gt;=GRID_FROM)*('Dvd Calendar'!$G$1909&lt;=GRID_TO)*('Dvd Calendar'!$G$1909&gt;VAL_DATE)=0,"",'Dvd Calendar'!$G$1909*1000000000+ISNUMBER('Dvd Calendar'!$G$1910)*100000000+0*10000000+(N('Dvd Calendar'!$G$1908)&gt;0)*(N('Dvd Calendar'!$G$1908)&lt;=VAL_SERIAL)*1000000+32*1000+43))</f>
        <v/>
      </c>
      <c r="FV191" s="39">
        <f>IF(N('Dvd Calendar'!$H$1909)=0,"",IF(('Dvd Calendar'!$H$1909&gt;=GRID_FROM)*('Dvd Calendar'!$H$1909&lt;=GRID_TO)*('Dvd Calendar'!$H$1909&gt;VAL_DATE)=0,"",'Dvd Calendar'!$H$1909*1000000000+ISNUMBER('Dvd Calendar'!$H$1910)*100000000+0*10000000+(N('Dvd Calendar'!$H$1908)&gt;0)*(N('Dvd Calendar'!$H$1908)&lt;=VAL_SERIAL)*1000000+32*1000+44))</f>
        <v/>
      </c>
      <c r="FW191" s="39">
        <f>IF(N('Dvd Calendar'!$I$1909)=0,"",IF(('Dvd Calendar'!$I$1909&gt;=GRID_FROM)*('Dvd Calendar'!$I$1909&lt;=GRID_TO)*('Dvd Calendar'!$I$1909&gt;VAL_DATE)=0,"",'Dvd Calendar'!$I$1909*1000000000+ISNUMBER('Dvd Calendar'!$I$1910)*100000000+0*10000000+(N('Dvd Calendar'!$I$1908)&gt;0)*(N('Dvd Calendar'!$I$1908)&lt;=VAL_SERIAL)*1000000+32*1000+45))</f>
        <v/>
      </c>
      <c r="FX191" s="39">
        <f>IF(N('Dvd Calendar'!$J$1909)=0,"",IF(('Dvd Calendar'!$J$1909&gt;=GRID_FROM)*('Dvd Calendar'!$J$1909&lt;=GRID_TO)*('Dvd Calendar'!$J$1909&gt;VAL_DATE)=0,"",'Dvd Calendar'!$J$1909*1000000000+ISNUMBER('Dvd Calendar'!$J$1910)*100000000+0*10000000+(N('Dvd Calendar'!$J$1908)&gt;0)*(N('Dvd Calendar'!$J$1908)&lt;=VAL_SERIAL)*1000000+32*1000+46))</f>
        <v/>
      </c>
      <c r="FY191" s="39">
        <f>IF(N('Dvd Calendar'!$K$1909)=0,"",IF(('Dvd Calendar'!$K$1909&gt;=GRID_FROM)*('Dvd Calendar'!$K$1909&lt;=GRID_TO)*('Dvd Calendar'!$K$1909&gt;VAL_DATE)=0,"",'Dvd Calendar'!$K$1909*1000000000+ISNUMBER('Dvd Calendar'!$K$1910)*100000000+0*10000000+(N('Dvd Calendar'!$K$1908)&gt;0)*(N('Dvd Calendar'!$K$1908)&lt;=VAL_SERIAL)*1000000+32*1000+47))</f>
        <v/>
      </c>
      <c r="FZ191" s="39">
        <f>IF(N('Dvd Calendar'!$L$1909)=0,"",IF(('Dvd Calendar'!$L$1909&gt;=GRID_FROM)*('Dvd Calendar'!$L$1909&lt;=GRID_TO)*('Dvd Calendar'!$L$1909&gt;VAL_DATE)=0,"",'Dvd Calendar'!$L$1909*1000000000+ISNUMBER('Dvd Calendar'!$L$1910)*100000000+0*10000000+(N('Dvd Calendar'!$L$1908)&gt;0)*(N('Dvd Calendar'!$L$1908)&lt;=VAL_SERIAL)*1000000+32*1000+48))</f>
        <v/>
      </c>
      <c r="GA191" s="39">
        <f>IF(N('Dvd Calendar'!$M$1909)=0,"",IF(('Dvd Calendar'!$M$1909&gt;=GRID_FROM)*('Dvd Calendar'!$M$1909&lt;=GRID_TO)*('Dvd Calendar'!$M$1909&gt;VAL_DATE)=0,"",'Dvd Calendar'!$M$1909*1000000000+ISNUMBER('Dvd Calendar'!$M$1910)*100000000+0*10000000+(N('Dvd Calendar'!$M$1908)&gt;0)*(N('Dvd Calendar'!$M$1908)&lt;=VAL_SERIAL)*1000000+32*1000+49))</f>
        <v/>
      </c>
      <c r="GB191" s="39">
        <f>IF(N('Dvd Calendar'!$N$1909)=0,"",IF(('Dvd Calendar'!$N$1909&gt;=GRID_FROM)*('Dvd Calendar'!$N$1909&lt;=GRID_TO)*('Dvd Calendar'!$N$1909&gt;VAL_DATE)=0,"",'Dvd Calendar'!$N$1909*1000000000+ISNUMBER('Dvd Calendar'!$N$1910)*100000000+0*10000000+(N('Dvd Calendar'!$N$1908)&gt;0)*(N('Dvd Calendar'!$N$1908)&lt;=VAL_SERIAL)*1000000+32*1000+50))</f>
        <v/>
      </c>
      <c r="GC191" s="39">
        <f>IF(N('Dvd Calendar'!$O$1909)=0,"",IF(('Dvd Calendar'!$O$1909&gt;=GRID_FROM)*('Dvd Calendar'!$O$1909&lt;=GRID_TO)*('Dvd Calendar'!$O$1909&gt;VAL_DATE)=0,"",'Dvd Calendar'!$O$1909*1000000000+ISNUMBER('Dvd Calendar'!$O$1910)*100000000+0*10000000+(N('Dvd Calendar'!$O$1908)&gt;0)*(N('Dvd Calendar'!$O$1908)&lt;=VAL_SERIAL)*1000000+32*1000+51))</f>
        <v/>
      </c>
      <c r="GD191" s="39">
        <f>IF(N('Dvd Calendar'!$P$1909)=0,"",IF(('Dvd Calendar'!$P$1909&gt;=GRID_FROM)*('Dvd Calendar'!$P$1909&lt;=GRID_TO)*('Dvd Calendar'!$P$1909&gt;VAL_DATE)=0,"",'Dvd Calendar'!$P$1909*1000000000+ISNUMBER('Dvd Calendar'!$P$1910)*100000000+0*10000000+(N('Dvd Calendar'!$P$1908)&gt;0)*(N('Dvd Calendar'!$P$1908)&lt;=VAL_SERIAL)*1000000+32*1000+52))</f>
        <v/>
      </c>
      <c r="GE191" s="39">
        <f>IF(N('Dvd Calendar'!$Q$1909)=0,"",IF(('Dvd Calendar'!$Q$1909&gt;=GRID_FROM)*('Dvd Calendar'!$Q$1909&lt;=GRID_TO)*('Dvd Calendar'!$Q$1909&gt;VAL_DATE)=0,"",'Dvd Calendar'!$Q$1909*1000000000+ISNUMBER('Dvd Calendar'!$Q$1910)*100000000+0*10000000+(N('Dvd Calendar'!$Q$1908)&gt;0)*(N('Dvd Calendar'!$Q$1908)&lt;=VAL_SERIAL)*1000000+32*1000+53))</f>
        <v/>
      </c>
      <c r="GF191" s="39">
        <f>IF(N('Dvd Calendar'!$R$1909)=0,"",IF(('Dvd Calendar'!$R$1909&gt;=GRID_FROM)*('Dvd Calendar'!$R$1909&lt;=GRID_TO)*('Dvd Calendar'!$R$1909&gt;VAL_DATE)=0,"",'Dvd Calendar'!$R$1909*1000000000+ISNUMBER('Dvd Calendar'!$R$1910)*100000000+0*10000000+(N('Dvd Calendar'!$R$1908)&gt;0)*(N('Dvd Calendar'!$R$1908)&lt;=VAL_SERIAL)*1000000+32*1000+54))</f>
        <v/>
      </c>
      <c r="GG191" s="39">
        <f>IF(N('Dvd Calendar'!$S$1909)=0,"",IF(('Dvd Calendar'!$S$1909&gt;=GRID_FROM)*('Dvd Calendar'!$S$1909&lt;=GRID_TO)*('Dvd Calendar'!$S$1909&gt;VAL_DATE)=0,"",'Dvd Calendar'!$S$1909*1000000000+ISNUMBER('Dvd Calendar'!$S$1910)*100000000+0*10000000+(N('Dvd Calendar'!$S$1908)&gt;0)*(N('Dvd Calendar'!$S$1908)&lt;=VAL_SERIAL)*1000000+32*1000+55))</f>
        <v/>
      </c>
      <c r="GH191" s="39">
        <f>IF(N('Dvd Calendar'!$T$1909)=0,"",IF(('Dvd Calendar'!$T$1909&gt;=GRID_FROM)*('Dvd Calendar'!$T$1909&lt;=GRID_TO)*('Dvd Calendar'!$T$1909&gt;VAL_DATE)=0,"",'Dvd Calendar'!$T$1909*1000000000+ISNUMBER('Dvd Calendar'!$T$1910)*100000000+0*10000000+(N('Dvd Calendar'!$T$1908)&gt;0)*(N('Dvd Calendar'!$T$1908)&lt;=VAL_SERIAL)*1000000+32*1000+56))</f>
        <v/>
      </c>
      <c r="GI191" s="39">
        <f>IF(N('Dvd Calendar'!$U$1909)=0,"",IF(('Dvd Calendar'!$U$1909&gt;=GRID_FROM)*('Dvd Calendar'!$U$1909&lt;=GRID_TO)*('Dvd Calendar'!$U$1909&gt;VAL_DATE)=0,"",'Dvd Calendar'!$U$1909*1000000000+ISNUMBER('Dvd Calendar'!$U$1910)*100000000+0*10000000+(N('Dvd Calendar'!$U$1908)&gt;0)*(N('Dvd Calendar'!$U$1908)&lt;=VAL_SERIAL)*1000000+32*1000+57))</f>
        <v/>
      </c>
      <c r="GJ191" s="39">
        <f>IF(N('Dvd Calendar'!$V$1909)=0,"",IF(('Dvd Calendar'!$V$1909&gt;=GRID_FROM)*('Dvd Calendar'!$V$1909&lt;=GRID_TO)*('Dvd Calendar'!$V$1909&gt;VAL_DATE)=0,"",'Dvd Calendar'!$V$1909*1000000000+ISNUMBER('Dvd Calendar'!$V$1910)*100000000+0*10000000+(N('Dvd Calendar'!$V$1908)&gt;0)*(N('Dvd Calendar'!$V$1908)&lt;=VAL_SERIAL)*1000000+32*1000+58))</f>
        <v/>
      </c>
      <c r="GK191" s="39">
        <f>IF(N('Dvd Calendar'!$W$1909)=0,"",IF(('Dvd Calendar'!$W$1909&gt;=GRID_FROM)*('Dvd Calendar'!$W$1909&lt;=GRID_TO)*('Dvd Calendar'!$W$1909&gt;VAL_DATE)=0,"",'Dvd Calendar'!$W$1909*1000000000+ISNUMBER('Dvd Calendar'!$W$1910)*100000000+0*10000000+(N('Dvd Calendar'!$W$1908)&gt;0)*(N('Dvd Calendar'!$W$1908)&lt;=VAL_SERIAL)*1000000+32*1000+59))</f>
        <v/>
      </c>
      <c r="GL191" s="39">
        <f>IF(N('Dvd Calendar'!$X$1909)=0,"",IF(('Dvd Calendar'!$X$1909&gt;=GRID_FROM)*('Dvd Calendar'!$X$1909&lt;=GRID_TO)*('Dvd Calendar'!$X$1909&gt;VAL_DATE)=0,"",'Dvd Calendar'!$X$1909*1000000000+ISNUMBER('Dvd Calendar'!$X$1910)*100000000+0*10000000+(N('Dvd Calendar'!$X$1908)&gt;0)*(N('Dvd Calendar'!$X$1908)&lt;=VAL_SERIAL)*1000000+32*1000+60))</f>
        <v/>
      </c>
      <c r="GM191" s="39">
        <f>IF(N('Dvd Calendar'!$Y$1909)=0,"",IF(('Dvd Calendar'!$Y$1909&gt;=GRID_FROM)*('Dvd Calendar'!$Y$1909&lt;=GRID_TO)*('Dvd Calendar'!$Y$1909&gt;VAL_DATE)=0,"",'Dvd Calendar'!$Y$1909*1000000000+ISNUMBER('Dvd Calendar'!$Y$1910)*100000000+0*10000000+(N('Dvd Calendar'!$Y$1908)&gt;0)*(N('Dvd Calendar'!$Y$1908)&lt;=VAL_SERIAL)*1000000+32*1000+61))</f>
        <v/>
      </c>
      <c r="GN191" s="39">
        <f>IF(N('Dvd Calendar'!$Z$1909)=0,"",IF(('Dvd Calendar'!$Z$1909&gt;=GRID_FROM)*('Dvd Calendar'!$Z$1909&lt;=GRID_TO)*('Dvd Calendar'!$Z$1909&gt;VAL_DATE)=0,"",'Dvd Calendar'!$Z$1909*1000000000+ISNUMBER('Dvd Calendar'!$Z$1910)*100000000+0*10000000+(N('Dvd Calendar'!$Z$1908)&gt;0)*(N('Dvd Calendar'!$Z$1908)&lt;=VAL_SERIAL)*1000000+32*1000+62))</f>
        <v/>
      </c>
      <c r="GO191" s="39">
        <f>IF(N('Dvd Calendar'!$AA$1909)=0,"",IF(('Dvd Calendar'!$AA$1909&gt;=GRID_FROM)*('Dvd Calendar'!$AA$1909&lt;=GRID_TO)*('Dvd Calendar'!$AA$1909&gt;VAL_DATE)=0,"",'Dvd Calendar'!$AA$1909*1000000000+ISNUMBER('Dvd Calendar'!$AA$1910)*100000000+0*10000000+(N('Dvd Calendar'!$AA$1908)&gt;0)*(N('Dvd Calendar'!$AA$1908)&lt;=VAL_SERIAL)*1000000+32*1000+63))</f>
        <v/>
      </c>
      <c r="GP191" s="39">
        <f>IF(N('Dvd Calendar'!$AB$1909)=0,"",IF(('Dvd Calendar'!$AB$1909&gt;=GRID_FROM)*('Dvd Calendar'!$AB$1909&lt;=GRID_TO)*('Dvd Calendar'!$AB$1909&gt;VAL_DATE)=0,"",'Dvd Calendar'!$AB$1909*1000000000+ISNUMBER('Dvd Calendar'!$AB$1910)*100000000+0*10000000+(N('Dvd Calendar'!$AB$1908)&gt;0)*(N('Dvd Calendar'!$AB$1908)&lt;=VAL_SERIAL)*1000000+32*1000+64))</f>
        <v/>
      </c>
      <c r="GQ191" s="39">
        <f>IF(N('Dvd Calendar'!$AC$1909)=0,"",IF(('Dvd Calendar'!$AC$1909&gt;=GRID_FROM)*('Dvd Calendar'!$AC$1909&lt;=GRID_TO)*('Dvd Calendar'!$AC$1909&gt;VAL_DATE)=0,"",'Dvd Calendar'!$AC$1909*1000000000+ISNUMBER('Dvd Calendar'!$AC$1910)*100000000+0*10000000+(N('Dvd Calendar'!$AC$1908)&gt;0)*(N('Dvd Calendar'!$AC$1908)&lt;=VAL_SERIAL)*1000000+32*1000+65))</f>
        <v/>
      </c>
    </row>
    <row r="192">
      <c r="B192" s="2">
        <f>IF(HSCEI!$C$39="","",HSCEI!$C$39)</f>
        <v/>
      </c>
      <c r="C192" s="110">
        <f>IF(EE192="","",IF(ISNUMBER('Dvd Calendar'!$E$1916)=FALSE,"",IF((('Dvd Calendar'!$E$1918=TYPE1)*(TYPE1&lt;&gt;"")+('Dvd Calendar'!$E$1918=TYPE2)*(TYPE2&lt;&gt;"")+('Dvd Calendar'!$E$1918=TYPE3)*(TYPE3&lt;&gt;"")+('Dvd Calendar'!$E$1918=TYPE4)*(TYPE4&lt;&gt;"")+('Dvd Calendar'!$E$1918=SPECIAL_LBL)*(INC_SPECIALS="Y"))=0,"",'Dvd Calendar'!$E$1916)))</f>
        <v/>
      </c>
      <c r="D192" s="110">
        <f>IF(EF192="","",IF(ISNUMBER('Dvd Calendar'!$F$1916)=FALSE,"",IF((('Dvd Calendar'!$F$1918=TYPE1)*(TYPE1&lt;&gt;"")+('Dvd Calendar'!$F$1918=TYPE2)*(TYPE2&lt;&gt;"")+('Dvd Calendar'!$F$1918=TYPE3)*(TYPE3&lt;&gt;"")+('Dvd Calendar'!$F$1918=TYPE4)*(TYPE4&lt;&gt;"")+('Dvd Calendar'!$F$1918=SPECIAL_LBL)*(INC_SPECIALS="Y"))=0,"",'Dvd Calendar'!$F$1916)))</f>
        <v/>
      </c>
      <c r="E192" s="110">
        <f>IF(EG192="","",IF(ISNUMBER('Dvd Calendar'!$G$1916)=FALSE,"",IF((('Dvd Calendar'!$G$1918=TYPE1)*(TYPE1&lt;&gt;"")+('Dvd Calendar'!$G$1918=TYPE2)*(TYPE2&lt;&gt;"")+('Dvd Calendar'!$G$1918=TYPE3)*(TYPE3&lt;&gt;"")+('Dvd Calendar'!$G$1918=TYPE4)*(TYPE4&lt;&gt;"")+('Dvd Calendar'!$G$1918=SPECIAL_LBL)*(INC_SPECIALS="Y"))=0,"",'Dvd Calendar'!$G$1916)))</f>
        <v/>
      </c>
      <c r="F192" s="110">
        <f>IF(EH192="","",IF(ISNUMBER('Dvd Calendar'!$H$1916)=FALSE,"",IF((('Dvd Calendar'!$H$1918=TYPE1)*(TYPE1&lt;&gt;"")+('Dvd Calendar'!$H$1918=TYPE2)*(TYPE2&lt;&gt;"")+('Dvd Calendar'!$H$1918=TYPE3)*(TYPE3&lt;&gt;"")+('Dvd Calendar'!$H$1918=TYPE4)*(TYPE4&lt;&gt;"")+('Dvd Calendar'!$H$1918=SPECIAL_LBL)*(INC_SPECIALS="Y"))=0,"",'Dvd Calendar'!$H$1916)))</f>
        <v/>
      </c>
      <c r="G192" s="110">
        <f>IF(EI192="","",IF(ISNUMBER('Dvd Calendar'!$I$1916)=FALSE,"",IF((('Dvd Calendar'!$I$1918=TYPE1)*(TYPE1&lt;&gt;"")+('Dvd Calendar'!$I$1918=TYPE2)*(TYPE2&lt;&gt;"")+('Dvd Calendar'!$I$1918=TYPE3)*(TYPE3&lt;&gt;"")+('Dvd Calendar'!$I$1918=TYPE4)*(TYPE4&lt;&gt;"")+('Dvd Calendar'!$I$1918=SPECIAL_LBL)*(INC_SPECIALS="Y"))=0,"",'Dvd Calendar'!$I$1916)))</f>
        <v/>
      </c>
      <c r="H192" s="110">
        <f>IF(EJ192="","",IF(ISNUMBER('Dvd Calendar'!$J$1916)=FALSE,"",IF((('Dvd Calendar'!$J$1918=TYPE1)*(TYPE1&lt;&gt;"")+('Dvd Calendar'!$J$1918=TYPE2)*(TYPE2&lt;&gt;"")+('Dvd Calendar'!$J$1918=TYPE3)*(TYPE3&lt;&gt;"")+('Dvd Calendar'!$J$1918=TYPE4)*(TYPE4&lt;&gt;"")+('Dvd Calendar'!$J$1918=SPECIAL_LBL)*(INC_SPECIALS="Y"))=0,"",'Dvd Calendar'!$J$1916)))</f>
        <v/>
      </c>
      <c r="I192" s="110">
        <f>IF(EK192="","",IF(ISNUMBER('Dvd Calendar'!$K$1916)=FALSE,"",IF((('Dvd Calendar'!$K$1918=TYPE1)*(TYPE1&lt;&gt;"")+('Dvd Calendar'!$K$1918=TYPE2)*(TYPE2&lt;&gt;"")+('Dvd Calendar'!$K$1918=TYPE3)*(TYPE3&lt;&gt;"")+('Dvd Calendar'!$K$1918=TYPE4)*(TYPE4&lt;&gt;"")+('Dvd Calendar'!$K$1918=SPECIAL_LBL)*(INC_SPECIALS="Y"))=0,"",'Dvd Calendar'!$K$1916)))</f>
        <v/>
      </c>
      <c r="J192" s="110">
        <f>IF(EL192="","",IF(ISNUMBER('Dvd Calendar'!$L$1916)=FALSE,"",IF((('Dvd Calendar'!$L$1918=TYPE1)*(TYPE1&lt;&gt;"")+('Dvd Calendar'!$L$1918=TYPE2)*(TYPE2&lt;&gt;"")+('Dvd Calendar'!$L$1918=TYPE3)*(TYPE3&lt;&gt;"")+('Dvd Calendar'!$L$1918=TYPE4)*(TYPE4&lt;&gt;"")+('Dvd Calendar'!$L$1918=SPECIAL_LBL)*(INC_SPECIALS="Y"))=0,"",'Dvd Calendar'!$L$1916)))</f>
        <v/>
      </c>
      <c r="K192" s="110">
        <f>IF(EM192="","",IF(ISNUMBER('Dvd Calendar'!$M$1916)=FALSE,"",IF((('Dvd Calendar'!$M$1918=TYPE1)*(TYPE1&lt;&gt;"")+('Dvd Calendar'!$M$1918=TYPE2)*(TYPE2&lt;&gt;"")+('Dvd Calendar'!$M$1918=TYPE3)*(TYPE3&lt;&gt;"")+('Dvd Calendar'!$M$1918=TYPE4)*(TYPE4&lt;&gt;"")+('Dvd Calendar'!$M$1918=SPECIAL_LBL)*(INC_SPECIALS="Y"))=0,"",'Dvd Calendar'!$M$1916)))</f>
        <v/>
      </c>
      <c r="L192" s="110">
        <f>IF(EN192="","",IF(ISNUMBER('Dvd Calendar'!$N$1916)=FALSE,"",IF((('Dvd Calendar'!$N$1918=TYPE1)*(TYPE1&lt;&gt;"")+('Dvd Calendar'!$N$1918=TYPE2)*(TYPE2&lt;&gt;"")+('Dvd Calendar'!$N$1918=TYPE3)*(TYPE3&lt;&gt;"")+('Dvd Calendar'!$N$1918=TYPE4)*(TYPE4&lt;&gt;"")+('Dvd Calendar'!$N$1918=SPECIAL_LBL)*(INC_SPECIALS="Y"))=0,"",'Dvd Calendar'!$N$1916)))</f>
        <v/>
      </c>
      <c r="M192" s="110">
        <f>IF(EO192="","",IF(ISNUMBER('Dvd Calendar'!$O$1916)=FALSE,"",IF((('Dvd Calendar'!$O$1918=TYPE1)*(TYPE1&lt;&gt;"")+('Dvd Calendar'!$O$1918=TYPE2)*(TYPE2&lt;&gt;"")+('Dvd Calendar'!$O$1918=TYPE3)*(TYPE3&lt;&gt;"")+('Dvd Calendar'!$O$1918=TYPE4)*(TYPE4&lt;&gt;"")+('Dvd Calendar'!$O$1918=SPECIAL_LBL)*(INC_SPECIALS="Y"))=0,"",'Dvd Calendar'!$O$1916)))</f>
        <v/>
      </c>
      <c r="N192" s="110">
        <f>IF(EP192="","",IF(ISNUMBER('Dvd Calendar'!$P$1916)=FALSE,"",IF((('Dvd Calendar'!$P$1918=TYPE1)*(TYPE1&lt;&gt;"")+('Dvd Calendar'!$P$1918=TYPE2)*(TYPE2&lt;&gt;"")+('Dvd Calendar'!$P$1918=TYPE3)*(TYPE3&lt;&gt;"")+('Dvd Calendar'!$P$1918=TYPE4)*(TYPE4&lt;&gt;"")+('Dvd Calendar'!$P$1918=SPECIAL_LBL)*(INC_SPECIALS="Y"))=0,"",'Dvd Calendar'!$P$1916)))</f>
        <v/>
      </c>
      <c r="O192" s="110">
        <f>IF(EQ192="","",IF(ISNUMBER('Dvd Calendar'!$Q$1916)=FALSE,"",IF((('Dvd Calendar'!$Q$1918=TYPE1)*(TYPE1&lt;&gt;"")+('Dvd Calendar'!$Q$1918=TYPE2)*(TYPE2&lt;&gt;"")+('Dvd Calendar'!$Q$1918=TYPE3)*(TYPE3&lt;&gt;"")+('Dvd Calendar'!$Q$1918=TYPE4)*(TYPE4&lt;&gt;"")+('Dvd Calendar'!$Q$1918=SPECIAL_LBL)*(INC_SPECIALS="Y"))=0,"",'Dvd Calendar'!$Q$1916)))</f>
        <v/>
      </c>
      <c r="P192" s="110">
        <f>IF(ER192="","",IF(ISNUMBER('Dvd Calendar'!$R$1916)=FALSE,"",IF((('Dvd Calendar'!$R$1918=TYPE1)*(TYPE1&lt;&gt;"")+('Dvd Calendar'!$R$1918=TYPE2)*(TYPE2&lt;&gt;"")+('Dvd Calendar'!$R$1918=TYPE3)*(TYPE3&lt;&gt;"")+('Dvd Calendar'!$R$1918=TYPE4)*(TYPE4&lt;&gt;"")+('Dvd Calendar'!$R$1918=SPECIAL_LBL)*(INC_SPECIALS="Y"))=0,"",'Dvd Calendar'!$R$1916)))</f>
        <v/>
      </c>
      <c r="Q192" s="110">
        <f>IF(ES192="","",IF(ISNUMBER('Dvd Calendar'!$S$1916)=FALSE,"",IF((('Dvd Calendar'!$S$1918=TYPE1)*(TYPE1&lt;&gt;"")+('Dvd Calendar'!$S$1918=TYPE2)*(TYPE2&lt;&gt;"")+('Dvd Calendar'!$S$1918=TYPE3)*(TYPE3&lt;&gt;"")+('Dvd Calendar'!$S$1918=TYPE4)*(TYPE4&lt;&gt;"")+('Dvd Calendar'!$S$1918=SPECIAL_LBL)*(INC_SPECIALS="Y"))=0,"",'Dvd Calendar'!$S$1916)))</f>
        <v/>
      </c>
      <c r="R192" s="110">
        <f>IF(ET192="","",IF(ISNUMBER('Dvd Calendar'!$T$1916)=FALSE,"",IF((('Dvd Calendar'!$T$1918=TYPE1)*(TYPE1&lt;&gt;"")+('Dvd Calendar'!$T$1918=TYPE2)*(TYPE2&lt;&gt;"")+('Dvd Calendar'!$T$1918=TYPE3)*(TYPE3&lt;&gt;"")+('Dvd Calendar'!$T$1918=TYPE4)*(TYPE4&lt;&gt;"")+('Dvd Calendar'!$T$1918=SPECIAL_LBL)*(INC_SPECIALS="Y"))=0,"",'Dvd Calendar'!$T$1916)))</f>
        <v/>
      </c>
      <c r="S192" s="110">
        <f>IF(EU192="","",IF(ISNUMBER('Dvd Calendar'!$U$1916)=FALSE,"",IF((('Dvd Calendar'!$U$1918=TYPE1)*(TYPE1&lt;&gt;"")+('Dvd Calendar'!$U$1918=TYPE2)*(TYPE2&lt;&gt;"")+('Dvd Calendar'!$U$1918=TYPE3)*(TYPE3&lt;&gt;"")+('Dvd Calendar'!$U$1918=TYPE4)*(TYPE4&lt;&gt;"")+('Dvd Calendar'!$U$1918=SPECIAL_LBL)*(INC_SPECIALS="Y"))=0,"",'Dvd Calendar'!$U$1916)))</f>
        <v/>
      </c>
      <c r="T192" s="110">
        <f>IF(EV192="","",IF(ISNUMBER('Dvd Calendar'!$V$1916)=FALSE,"",IF((('Dvd Calendar'!$V$1918=TYPE1)*(TYPE1&lt;&gt;"")+('Dvd Calendar'!$V$1918=TYPE2)*(TYPE2&lt;&gt;"")+('Dvd Calendar'!$V$1918=TYPE3)*(TYPE3&lt;&gt;"")+('Dvd Calendar'!$V$1918=TYPE4)*(TYPE4&lt;&gt;"")+('Dvd Calendar'!$V$1918=SPECIAL_LBL)*(INC_SPECIALS="Y"))=0,"",'Dvd Calendar'!$V$1916)))</f>
        <v/>
      </c>
      <c r="U192" s="110">
        <f>IF(EW192="","",IF(ISNUMBER('Dvd Calendar'!$W$1916)=FALSE,"",IF((('Dvd Calendar'!$W$1918=TYPE1)*(TYPE1&lt;&gt;"")+('Dvd Calendar'!$W$1918=TYPE2)*(TYPE2&lt;&gt;"")+('Dvd Calendar'!$W$1918=TYPE3)*(TYPE3&lt;&gt;"")+('Dvd Calendar'!$W$1918=TYPE4)*(TYPE4&lt;&gt;"")+('Dvd Calendar'!$W$1918=SPECIAL_LBL)*(INC_SPECIALS="Y"))=0,"",'Dvd Calendar'!$W$1916)))</f>
        <v/>
      </c>
      <c r="V192" s="110">
        <f>IF(EX192="","",IF(ISNUMBER('Dvd Calendar'!$X$1916)=FALSE,"",IF((('Dvd Calendar'!$X$1918=TYPE1)*(TYPE1&lt;&gt;"")+('Dvd Calendar'!$X$1918=TYPE2)*(TYPE2&lt;&gt;"")+('Dvd Calendar'!$X$1918=TYPE3)*(TYPE3&lt;&gt;"")+('Dvd Calendar'!$X$1918=TYPE4)*(TYPE4&lt;&gt;"")+('Dvd Calendar'!$X$1918=SPECIAL_LBL)*(INC_SPECIALS="Y"))=0,"",'Dvd Calendar'!$X$1916)))</f>
        <v/>
      </c>
      <c r="W192" s="110">
        <f>IF(EY192="","",IF(ISNUMBER('Dvd Calendar'!$Y$1916)=FALSE,"",IF((('Dvd Calendar'!$Y$1918=TYPE1)*(TYPE1&lt;&gt;"")+('Dvd Calendar'!$Y$1918=TYPE2)*(TYPE2&lt;&gt;"")+('Dvd Calendar'!$Y$1918=TYPE3)*(TYPE3&lt;&gt;"")+('Dvd Calendar'!$Y$1918=TYPE4)*(TYPE4&lt;&gt;"")+('Dvd Calendar'!$Y$1918=SPECIAL_LBL)*(INC_SPECIALS="Y"))=0,"",'Dvd Calendar'!$Y$1916)))</f>
        <v/>
      </c>
      <c r="X192" s="110">
        <f>IF(EZ192="","",IF(ISNUMBER('Dvd Calendar'!$Z$1916)=FALSE,"",IF((('Dvd Calendar'!$Z$1918=TYPE1)*(TYPE1&lt;&gt;"")+('Dvd Calendar'!$Z$1918=TYPE2)*(TYPE2&lt;&gt;"")+('Dvd Calendar'!$Z$1918=TYPE3)*(TYPE3&lt;&gt;"")+('Dvd Calendar'!$Z$1918=TYPE4)*(TYPE4&lt;&gt;"")+('Dvd Calendar'!$Z$1918=SPECIAL_LBL)*(INC_SPECIALS="Y"))=0,"",'Dvd Calendar'!$Z$1916)))</f>
        <v/>
      </c>
      <c r="Y192" s="110">
        <f>IF(FA192="","",IF(ISNUMBER('Dvd Calendar'!$AA$1916)=FALSE,"",IF((('Dvd Calendar'!$AA$1918=TYPE1)*(TYPE1&lt;&gt;"")+('Dvd Calendar'!$AA$1918=TYPE2)*(TYPE2&lt;&gt;"")+('Dvd Calendar'!$AA$1918=TYPE3)*(TYPE3&lt;&gt;"")+('Dvd Calendar'!$AA$1918=TYPE4)*(TYPE4&lt;&gt;"")+('Dvd Calendar'!$AA$1918=SPECIAL_LBL)*(INC_SPECIALS="Y"))=0,"",'Dvd Calendar'!$AA$1916)))</f>
        <v/>
      </c>
      <c r="Z192" s="110">
        <f>IF(FB192="","",IF(ISNUMBER('Dvd Calendar'!$AB$1916)=FALSE,"",IF((('Dvd Calendar'!$AB$1918=TYPE1)*(TYPE1&lt;&gt;"")+('Dvd Calendar'!$AB$1918=TYPE2)*(TYPE2&lt;&gt;"")+('Dvd Calendar'!$AB$1918=TYPE3)*(TYPE3&lt;&gt;"")+('Dvd Calendar'!$AB$1918=TYPE4)*(TYPE4&lt;&gt;"")+('Dvd Calendar'!$AB$1918=SPECIAL_LBL)*(INC_SPECIALS="Y"))=0,"",'Dvd Calendar'!$AB$1916)))</f>
        <v/>
      </c>
      <c r="AA192" s="110">
        <f>IF(FC192="","",IF(ISNUMBER('Dvd Calendar'!$AC$1916)=FALSE,"",IF((('Dvd Calendar'!$AC$1918=TYPE1)*(TYPE1&lt;&gt;"")+('Dvd Calendar'!$AC$1918=TYPE2)*(TYPE2&lt;&gt;"")+('Dvd Calendar'!$AC$1918=TYPE3)*(TYPE3&lt;&gt;"")+('Dvd Calendar'!$AC$1918=TYPE4)*(TYPE4&lt;&gt;"")+('Dvd Calendar'!$AC$1918=SPECIAL_LBL)*(INC_SPECIALS="Y"))=0,"",'Dvd Calendar'!$AC$1916)))</f>
        <v/>
      </c>
      <c r="AB192" s="110">
        <f>IF(FD192="","",IF(ISNUMBER('Dvd Calendar'!$AD$1916)=FALSE,"",IF((('Dvd Calendar'!$AD$1918=TYPE1)*(TYPE1&lt;&gt;"")+('Dvd Calendar'!$AD$1918=TYPE2)*(TYPE2&lt;&gt;"")+('Dvd Calendar'!$AD$1918=TYPE3)*(TYPE3&lt;&gt;"")+('Dvd Calendar'!$AD$1918=TYPE4)*(TYPE4&lt;&gt;"")+('Dvd Calendar'!$AD$1918=SPECIAL_LBL)*(INC_SPECIALS="Y"))=0,"",'Dvd Calendar'!$AD$1916)))</f>
        <v/>
      </c>
      <c r="AC192" s="110">
        <f>IF(FE192="","",IF(ISNUMBER('Dvd Calendar'!$AE$1916)=FALSE,"",IF((('Dvd Calendar'!$AE$1918=TYPE1)*(TYPE1&lt;&gt;"")+('Dvd Calendar'!$AE$1918=TYPE2)*(TYPE2&lt;&gt;"")+('Dvd Calendar'!$AE$1918=TYPE3)*(TYPE3&lt;&gt;"")+('Dvd Calendar'!$AE$1918=TYPE4)*(TYPE4&lt;&gt;"")+('Dvd Calendar'!$AE$1918=SPECIAL_LBL)*(INC_SPECIALS="Y"))=0,"",'Dvd Calendar'!$AE$1916)))</f>
        <v/>
      </c>
      <c r="AD192" s="110">
        <f>IF(FF192="","",IF(ISNUMBER('Dvd Calendar'!$AF$1916)=FALSE,"",IF((('Dvd Calendar'!$AF$1918=TYPE1)*(TYPE1&lt;&gt;"")+('Dvd Calendar'!$AF$1918=TYPE2)*(TYPE2&lt;&gt;"")+('Dvd Calendar'!$AF$1918=TYPE3)*(TYPE3&lt;&gt;"")+('Dvd Calendar'!$AF$1918=TYPE4)*(TYPE4&lt;&gt;"")+('Dvd Calendar'!$AF$1918=SPECIAL_LBL)*(INC_SPECIALS="Y"))=0,"",'Dvd Calendar'!$AF$1916)))</f>
        <v/>
      </c>
      <c r="AE192" s="110">
        <f>IF(FG192="","",IF(ISNUMBER('Dvd Calendar'!$AG$1916)=FALSE,"",IF((('Dvd Calendar'!$AG$1918=TYPE1)*(TYPE1&lt;&gt;"")+('Dvd Calendar'!$AG$1918=TYPE2)*(TYPE2&lt;&gt;"")+('Dvd Calendar'!$AG$1918=TYPE3)*(TYPE3&lt;&gt;"")+('Dvd Calendar'!$AG$1918=TYPE4)*(TYPE4&lt;&gt;"")+('Dvd Calendar'!$AG$1918=SPECIAL_LBL)*(INC_SPECIALS="Y"))=0,"",'Dvd Calendar'!$AG$1916)))</f>
        <v/>
      </c>
      <c r="AF192" s="110">
        <f>IF(FH192="","",IF(ISNUMBER('Dvd Calendar'!$AH$1916)=FALSE,"",IF((('Dvd Calendar'!$AH$1918=TYPE1)*(TYPE1&lt;&gt;"")+('Dvd Calendar'!$AH$1918=TYPE2)*(TYPE2&lt;&gt;"")+('Dvd Calendar'!$AH$1918=TYPE3)*(TYPE3&lt;&gt;"")+('Dvd Calendar'!$AH$1918=TYPE4)*(TYPE4&lt;&gt;"")+('Dvd Calendar'!$AH$1918=SPECIAL_LBL)*(INC_SPECIALS="Y"))=0,"",'Dvd Calendar'!$AH$1916)))</f>
        <v/>
      </c>
      <c r="AG192" s="110">
        <f>IF(FI192="","",IF(ISNUMBER('Dvd Calendar'!$AI$1916)=FALSE,"",IF((('Dvd Calendar'!$AI$1918=TYPE1)*(TYPE1&lt;&gt;"")+('Dvd Calendar'!$AI$1918=TYPE2)*(TYPE2&lt;&gt;"")+('Dvd Calendar'!$AI$1918=TYPE3)*(TYPE3&lt;&gt;"")+('Dvd Calendar'!$AI$1918=TYPE4)*(TYPE4&lt;&gt;"")+('Dvd Calendar'!$AI$1918=SPECIAL_LBL)*(INC_SPECIALS="Y"))=0,"",'Dvd Calendar'!$AI$1916)))</f>
        <v/>
      </c>
      <c r="AH192" s="110">
        <f>IF(FJ192="","",IF(ISNUMBER('Dvd Calendar'!$AJ$1916)=FALSE,"",IF((('Dvd Calendar'!$AJ$1918=TYPE1)*(TYPE1&lt;&gt;"")+('Dvd Calendar'!$AJ$1918=TYPE2)*(TYPE2&lt;&gt;"")+('Dvd Calendar'!$AJ$1918=TYPE3)*(TYPE3&lt;&gt;"")+('Dvd Calendar'!$AJ$1918=TYPE4)*(TYPE4&lt;&gt;"")+('Dvd Calendar'!$AJ$1918=SPECIAL_LBL)*(INC_SPECIALS="Y"))=0,"",'Dvd Calendar'!$AJ$1916)))</f>
        <v/>
      </c>
      <c r="AI192" s="110">
        <f>IF(FK192="","",IF(ISNUMBER('Dvd Calendar'!$AK$1916)=FALSE,"",IF((('Dvd Calendar'!$AK$1918=TYPE1)*(TYPE1&lt;&gt;"")+('Dvd Calendar'!$AK$1918=TYPE2)*(TYPE2&lt;&gt;"")+('Dvd Calendar'!$AK$1918=TYPE3)*(TYPE3&lt;&gt;"")+('Dvd Calendar'!$AK$1918=TYPE4)*(TYPE4&lt;&gt;"")+('Dvd Calendar'!$AK$1918=SPECIAL_LBL)*(INC_SPECIALS="Y"))=0,"",'Dvd Calendar'!$AK$1916)))</f>
        <v/>
      </c>
      <c r="AJ192" s="110">
        <f>IF(FL192="","",IF(ISNUMBER('Dvd Calendar'!$AL$1916)=FALSE,"",IF((('Dvd Calendar'!$AL$1918=TYPE1)*(TYPE1&lt;&gt;"")+('Dvd Calendar'!$AL$1918=TYPE2)*(TYPE2&lt;&gt;"")+('Dvd Calendar'!$AL$1918=TYPE3)*(TYPE3&lt;&gt;"")+('Dvd Calendar'!$AL$1918=TYPE4)*(TYPE4&lt;&gt;"")+('Dvd Calendar'!$AL$1918=SPECIAL_LBL)*(INC_SPECIALS="Y"))=0,"",'Dvd Calendar'!$AL$1916)))</f>
        <v/>
      </c>
      <c r="AK192" s="110">
        <f>IF(FM192="","",IF(ISNUMBER('Dvd Calendar'!$AM$1916)=FALSE,"",IF((('Dvd Calendar'!$AM$1918=TYPE1)*(TYPE1&lt;&gt;"")+('Dvd Calendar'!$AM$1918=TYPE2)*(TYPE2&lt;&gt;"")+('Dvd Calendar'!$AM$1918=TYPE3)*(TYPE3&lt;&gt;"")+('Dvd Calendar'!$AM$1918=TYPE4)*(TYPE4&lt;&gt;"")+('Dvd Calendar'!$AM$1918=SPECIAL_LBL)*(INC_SPECIALS="Y"))=0,"",'Dvd Calendar'!$AM$1916)))</f>
        <v/>
      </c>
      <c r="AL192" s="110">
        <f>IF(FN192="","",IF(ISNUMBER('Dvd Calendar'!$AN$1916)=FALSE,"",IF((('Dvd Calendar'!$AN$1918=TYPE1)*(TYPE1&lt;&gt;"")+('Dvd Calendar'!$AN$1918=TYPE2)*(TYPE2&lt;&gt;"")+('Dvd Calendar'!$AN$1918=TYPE3)*(TYPE3&lt;&gt;"")+('Dvd Calendar'!$AN$1918=TYPE4)*(TYPE4&lt;&gt;"")+('Dvd Calendar'!$AN$1918=SPECIAL_LBL)*(INC_SPECIALS="Y"))=0,"",'Dvd Calendar'!$AN$1916)))</f>
        <v/>
      </c>
      <c r="AM192" s="110">
        <f>IF(FO192="","",IF(ISNUMBER('Dvd Calendar'!$AO$1916)=FALSE,"",IF((('Dvd Calendar'!$AO$1918=TYPE1)*(TYPE1&lt;&gt;"")+('Dvd Calendar'!$AO$1918=TYPE2)*(TYPE2&lt;&gt;"")+('Dvd Calendar'!$AO$1918=TYPE3)*(TYPE3&lt;&gt;"")+('Dvd Calendar'!$AO$1918=TYPE4)*(TYPE4&lt;&gt;"")+('Dvd Calendar'!$AO$1918=SPECIAL_LBL)*(INC_SPECIALS="Y"))=0,"",'Dvd Calendar'!$AO$1916)))</f>
        <v/>
      </c>
      <c r="AN192" s="110">
        <f>IF(FP192="","",IF(ISNUMBER('Dvd Calendar'!$AP$1916)=FALSE,"",IF((('Dvd Calendar'!$AP$1918=TYPE1)*(TYPE1&lt;&gt;"")+('Dvd Calendar'!$AP$1918=TYPE2)*(TYPE2&lt;&gt;"")+('Dvd Calendar'!$AP$1918=TYPE3)*(TYPE3&lt;&gt;"")+('Dvd Calendar'!$AP$1918=TYPE4)*(TYPE4&lt;&gt;"")+('Dvd Calendar'!$AP$1918=SPECIAL_LBL)*(INC_SPECIALS="Y"))=0,"",'Dvd Calendar'!$AP$1916)))</f>
        <v/>
      </c>
      <c r="AO192" s="110">
        <f>IF(FQ192="","",IF(ISNUMBER('Dvd Calendar'!$AQ$1916)=FALSE,"",IF((('Dvd Calendar'!$AQ$1918=TYPE1)*(TYPE1&lt;&gt;"")+('Dvd Calendar'!$AQ$1918=TYPE2)*(TYPE2&lt;&gt;"")+('Dvd Calendar'!$AQ$1918=TYPE3)*(TYPE3&lt;&gt;"")+('Dvd Calendar'!$AQ$1918=TYPE4)*(TYPE4&lt;&gt;"")+('Dvd Calendar'!$AQ$1918=SPECIAL_LBL)*(INC_SPECIALS="Y"))=0,"",'Dvd Calendar'!$AQ$1916)))</f>
        <v/>
      </c>
      <c r="AP192" s="110">
        <f>IF(FR192="","",IF(ISNUMBER('Dvd Calendar'!$AR$1916)=FALSE,"",IF((('Dvd Calendar'!$AR$1918=TYPE1)*(TYPE1&lt;&gt;"")+('Dvd Calendar'!$AR$1918=TYPE2)*(TYPE2&lt;&gt;"")+('Dvd Calendar'!$AR$1918=TYPE3)*(TYPE3&lt;&gt;"")+('Dvd Calendar'!$AR$1918=TYPE4)*(TYPE4&lt;&gt;"")+('Dvd Calendar'!$AR$1918=SPECIAL_LBL)*(INC_SPECIALS="Y"))=0,"",'Dvd Calendar'!$AR$1916)))</f>
        <v/>
      </c>
      <c r="AQ192" s="110">
        <f>IF(FS192="","",IF(ISNUMBER('Dvd Calendar'!$E$1921)=FALSE,"",'Dvd Calendar'!$E$1921))</f>
        <v/>
      </c>
      <c r="AR192" s="110">
        <f>IF(FT192="","",IF(ISNUMBER('Dvd Calendar'!$F$1921)=FALSE,"",'Dvd Calendar'!$F$1921))</f>
        <v/>
      </c>
      <c r="AS192" s="110">
        <f>IF(FU192="","",IF(ISNUMBER('Dvd Calendar'!$G$1921)=FALSE,"",'Dvd Calendar'!$G$1921))</f>
        <v/>
      </c>
      <c r="AT192" s="110">
        <f>IF(FV192="","",IF(ISNUMBER('Dvd Calendar'!$H$1921)=FALSE,"",'Dvd Calendar'!$H$1921))</f>
        <v/>
      </c>
      <c r="AU192" s="110">
        <f>IF(FW192="","",IF(ISNUMBER('Dvd Calendar'!$I$1921)=FALSE,"",'Dvd Calendar'!$I$1921))</f>
        <v/>
      </c>
      <c r="AV192" s="110">
        <f>IF(FX192="","",IF(ISNUMBER('Dvd Calendar'!$J$1921)=FALSE,"",'Dvd Calendar'!$J$1921))</f>
        <v/>
      </c>
      <c r="AW192" s="110">
        <f>IF(FY192="","",IF(ISNUMBER('Dvd Calendar'!$K$1921)=FALSE,"",'Dvd Calendar'!$K$1921))</f>
        <v/>
      </c>
      <c r="AX192" s="110">
        <f>IF(FZ192="","",IF(ISNUMBER('Dvd Calendar'!$L$1921)=FALSE,"",'Dvd Calendar'!$L$1921))</f>
        <v/>
      </c>
      <c r="AY192" s="110">
        <f>IF(GA192="","",IF(ISNUMBER('Dvd Calendar'!$M$1921)=FALSE,"",'Dvd Calendar'!$M$1921))</f>
        <v/>
      </c>
      <c r="AZ192" s="110">
        <f>IF(GB192="","",IF(ISNUMBER('Dvd Calendar'!$N$1921)=FALSE,"",'Dvd Calendar'!$N$1921))</f>
        <v/>
      </c>
      <c r="BA192" s="110">
        <f>IF(GC192="","",IF(ISNUMBER('Dvd Calendar'!$O$1921)=FALSE,"",'Dvd Calendar'!$O$1921))</f>
        <v/>
      </c>
      <c r="BB192" s="110">
        <f>IF(GD192="","",IF(ISNUMBER('Dvd Calendar'!$P$1921)=FALSE,"",'Dvd Calendar'!$P$1921))</f>
        <v/>
      </c>
      <c r="BC192" s="110">
        <f>IF(GE192="","",IF(ISNUMBER('Dvd Calendar'!$Q$1921)=FALSE,"",'Dvd Calendar'!$Q$1921))</f>
        <v/>
      </c>
      <c r="BD192" s="110">
        <f>IF(GF192="","",IF(ISNUMBER('Dvd Calendar'!$R$1921)=FALSE,"",'Dvd Calendar'!$R$1921))</f>
        <v/>
      </c>
      <c r="BE192" s="110">
        <f>IF(GG192="","",IF(ISNUMBER('Dvd Calendar'!$S$1921)=FALSE,"",'Dvd Calendar'!$S$1921))</f>
        <v/>
      </c>
      <c r="BF192" s="110">
        <f>IF(GH192="","",IF(ISNUMBER('Dvd Calendar'!$T$1921)=FALSE,"",'Dvd Calendar'!$T$1921))</f>
        <v/>
      </c>
      <c r="BG192" s="110">
        <f>IF(GI192="","",IF(ISNUMBER('Dvd Calendar'!$U$1921)=FALSE,"",'Dvd Calendar'!$U$1921))</f>
        <v/>
      </c>
      <c r="BH192" s="110">
        <f>IF(GJ192="","",IF(ISNUMBER('Dvd Calendar'!$V$1921)=FALSE,"",'Dvd Calendar'!$V$1921))</f>
        <v/>
      </c>
      <c r="BI192" s="110">
        <f>IF(GK192="","",IF(ISNUMBER('Dvd Calendar'!$W$1921)=FALSE,"",'Dvd Calendar'!$W$1921))</f>
        <v/>
      </c>
      <c r="BJ192" s="110">
        <f>IF(GL192="","",IF(ISNUMBER('Dvd Calendar'!$X$1921)=FALSE,"",'Dvd Calendar'!$X$1921))</f>
        <v/>
      </c>
      <c r="BK192" s="110">
        <f>IF(GM192="","",IF(ISNUMBER('Dvd Calendar'!$Y$1921)=FALSE,"",'Dvd Calendar'!$Y$1921))</f>
        <v/>
      </c>
      <c r="BL192" s="110">
        <f>IF(GN192="","",IF(ISNUMBER('Dvd Calendar'!$Z$1921)=FALSE,"",'Dvd Calendar'!$Z$1921))</f>
        <v/>
      </c>
      <c r="BM192" s="110">
        <f>IF(GO192="","",IF(ISNUMBER('Dvd Calendar'!$AA$1921)=FALSE,"",'Dvd Calendar'!$AA$1921))</f>
        <v/>
      </c>
      <c r="BN192" s="110">
        <f>IF(GP192="","",IF(ISNUMBER('Dvd Calendar'!$AB$1921)=FALSE,"",'Dvd Calendar'!$AB$1921))</f>
        <v/>
      </c>
      <c r="BO192" s="110">
        <f>IF(GQ192="","",IF(ISNUMBER('Dvd Calendar'!$AC$1921)=FALSE,"",'Dvd Calendar'!$AC$1921))</f>
        <v/>
      </c>
      <c r="BQ192" s="110">
        <f>IF(C192="","",IFERROR(C192*HSCEI!$B$39*HSCEI!$G$39/HSCEI!$B$3,""))</f>
        <v/>
      </c>
      <c r="BR192" s="110">
        <f>IF(D192="","",IFERROR(D192*HSCEI!$B$39*HSCEI!$G$39/HSCEI!$B$3,""))</f>
        <v/>
      </c>
      <c r="BS192" s="110">
        <f>IF(E192="","",IFERROR(E192*HSCEI!$B$39*HSCEI!$G$39/HSCEI!$B$3,""))</f>
        <v/>
      </c>
      <c r="BT192" s="110">
        <f>IF(F192="","",IFERROR(F192*HSCEI!$B$39*HSCEI!$G$39/HSCEI!$B$3,""))</f>
        <v/>
      </c>
      <c r="BU192" s="110">
        <f>IF(G192="","",IFERROR(G192*HSCEI!$B$39*HSCEI!$G$39/HSCEI!$B$3,""))</f>
        <v/>
      </c>
      <c r="BV192" s="110">
        <f>IF(H192="","",IFERROR(H192*HSCEI!$B$39*HSCEI!$G$39/HSCEI!$B$3,""))</f>
        <v/>
      </c>
      <c r="BW192" s="110">
        <f>IF(I192="","",IFERROR(I192*HSCEI!$B$39*HSCEI!$G$39/HSCEI!$B$3,""))</f>
        <v/>
      </c>
      <c r="BX192" s="110">
        <f>IF(J192="","",IFERROR(J192*HSCEI!$B$39*HSCEI!$G$39/HSCEI!$B$3,""))</f>
        <v/>
      </c>
      <c r="BY192" s="110">
        <f>IF(K192="","",IFERROR(K192*HSCEI!$B$39*HSCEI!$G$39/HSCEI!$B$3,""))</f>
        <v/>
      </c>
      <c r="BZ192" s="110">
        <f>IF(L192="","",IFERROR(L192*HSCEI!$B$39*HSCEI!$G$39/HSCEI!$B$3,""))</f>
        <v/>
      </c>
      <c r="CA192" s="110">
        <f>IF(M192="","",IFERROR(M192*HSCEI!$B$39*HSCEI!$G$39/HSCEI!$B$3,""))</f>
        <v/>
      </c>
      <c r="CB192" s="110">
        <f>IF(N192="","",IFERROR(N192*HSCEI!$B$39*HSCEI!$G$39/HSCEI!$B$3,""))</f>
        <v/>
      </c>
      <c r="CC192" s="110">
        <f>IF(O192="","",IFERROR(O192*HSCEI!$B$39*HSCEI!$G$39/HSCEI!$B$3,""))</f>
        <v/>
      </c>
      <c r="CD192" s="110">
        <f>IF(P192="","",IFERROR(P192*HSCEI!$B$39*HSCEI!$G$39/HSCEI!$B$3,""))</f>
        <v/>
      </c>
      <c r="CE192" s="110">
        <f>IF(Q192="","",IFERROR(Q192*HSCEI!$B$39*HSCEI!$G$39/HSCEI!$B$3,""))</f>
        <v/>
      </c>
      <c r="CF192" s="110">
        <f>IF(R192="","",IFERROR(R192*HSCEI!$B$39*HSCEI!$G$39/HSCEI!$B$3,""))</f>
        <v/>
      </c>
      <c r="CG192" s="110">
        <f>IF(S192="","",IFERROR(S192*HSCEI!$B$39*HSCEI!$G$39/HSCEI!$B$3,""))</f>
        <v/>
      </c>
      <c r="CH192" s="110">
        <f>IF(T192="","",IFERROR(T192*HSCEI!$B$39*HSCEI!$G$39/HSCEI!$B$3,""))</f>
        <v/>
      </c>
      <c r="CI192" s="110">
        <f>IF(U192="","",IFERROR(U192*HSCEI!$B$39*HSCEI!$G$39/HSCEI!$B$3,""))</f>
        <v/>
      </c>
      <c r="CJ192" s="110">
        <f>IF(V192="","",IFERROR(V192*HSCEI!$B$39*HSCEI!$G$39/HSCEI!$B$3,""))</f>
        <v/>
      </c>
      <c r="CK192" s="110">
        <f>IF(W192="","",IFERROR(W192*HSCEI!$B$39*HSCEI!$G$39/HSCEI!$B$3,""))</f>
        <v/>
      </c>
      <c r="CL192" s="110">
        <f>IF(X192="","",IFERROR(X192*HSCEI!$B$39*HSCEI!$G$39/HSCEI!$B$3,""))</f>
        <v/>
      </c>
      <c r="CM192" s="110">
        <f>IF(Y192="","",IFERROR(Y192*HSCEI!$B$39*HSCEI!$G$39/HSCEI!$B$3,""))</f>
        <v/>
      </c>
      <c r="CN192" s="110">
        <f>IF(Z192="","",IFERROR(Z192*HSCEI!$B$39*HSCEI!$G$39/HSCEI!$B$3,""))</f>
        <v/>
      </c>
      <c r="CO192" s="110">
        <f>IF(AA192="","",IFERROR(AA192*HSCEI!$B$39*HSCEI!$G$39/HSCEI!$B$3,""))</f>
        <v/>
      </c>
      <c r="CP192" s="110">
        <f>IF(AB192="","",IFERROR(AB192*HSCEI!$B$39*HSCEI!$G$39/HSCEI!$B$3,""))</f>
        <v/>
      </c>
      <c r="CQ192" s="110">
        <f>IF(AC192="","",IFERROR(AC192*HSCEI!$B$39*HSCEI!$G$39/HSCEI!$B$3,""))</f>
        <v/>
      </c>
      <c r="CR192" s="110">
        <f>IF(AD192="","",IFERROR(AD192*HSCEI!$B$39*HSCEI!$G$39/HSCEI!$B$3,""))</f>
        <v/>
      </c>
      <c r="CS192" s="110">
        <f>IF(AE192="","",IFERROR(AE192*HSCEI!$B$39*HSCEI!$G$39/HSCEI!$B$3,""))</f>
        <v/>
      </c>
      <c r="CT192" s="110">
        <f>IF(AF192="","",IFERROR(AF192*HSCEI!$B$39*HSCEI!$G$39/HSCEI!$B$3,""))</f>
        <v/>
      </c>
      <c r="CU192" s="110">
        <f>IF(AG192="","",IFERROR(AG192*HSCEI!$B$39*HSCEI!$G$39/HSCEI!$B$3,""))</f>
        <v/>
      </c>
      <c r="CV192" s="110">
        <f>IF(AH192="","",IFERROR(AH192*HSCEI!$B$39*HSCEI!$G$39/HSCEI!$B$3,""))</f>
        <v/>
      </c>
      <c r="CW192" s="110">
        <f>IF(AI192="","",IFERROR(AI192*HSCEI!$B$39*HSCEI!$G$39/HSCEI!$B$3,""))</f>
        <v/>
      </c>
      <c r="CX192" s="110">
        <f>IF(AJ192="","",IFERROR(AJ192*HSCEI!$B$39*HSCEI!$G$39/HSCEI!$B$3,""))</f>
        <v/>
      </c>
      <c r="CY192" s="110">
        <f>IF(AK192="","",IFERROR(AK192*HSCEI!$B$39*HSCEI!$G$39/HSCEI!$B$3,""))</f>
        <v/>
      </c>
      <c r="CZ192" s="110">
        <f>IF(AL192="","",IFERROR(AL192*HSCEI!$B$39*HSCEI!$G$39/HSCEI!$B$3,""))</f>
        <v/>
      </c>
      <c r="DA192" s="110">
        <f>IF(AM192="","",IFERROR(AM192*HSCEI!$B$39*HSCEI!$G$39/HSCEI!$B$3,""))</f>
        <v/>
      </c>
      <c r="DB192" s="110">
        <f>IF(AN192="","",IFERROR(AN192*HSCEI!$B$39*HSCEI!$G$39/HSCEI!$B$3,""))</f>
        <v/>
      </c>
      <c r="DC192" s="110">
        <f>IF(AO192="","",IFERROR(AO192*HSCEI!$B$39*HSCEI!$G$39/HSCEI!$B$3,""))</f>
        <v/>
      </c>
      <c r="DD192" s="110">
        <f>IF(AP192="","",IFERROR(AP192*HSCEI!$B$39*HSCEI!$G$39/HSCEI!$B$3,""))</f>
        <v/>
      </c>
      <c r="DE192" s="110">
        <f>IF(AQ192="","",IFERROR(AQ192*HSCEI!$B$39*HSCEI!$G$39/HSCEI!$B$3,""))</f>
        <v/>
      </c>
      <c r="DF192" s="110">
        <f>IF(AR192="","",IFERROR(AR192*HSCEI!$B$39*HSCEI!$G$39/HSCEI!$B$3,""))</f>
        <v/>
      </c>
      <c r="DG192" s="110">
        <f>IF(AS192="","",IFERROR(AS192*HSCEI!$B$39*HSCEI!$G$39/HSCEI!$B$3,""))</f>
        <v/>
      </c>
      <c r="DH192" s="110">
        <f>IF(AT192="","",IFERROR(AT192*HSCEI!$B$39*HSCEI!$G$39/HSCEI!$B$3,""))</f>
        <v/>
      </c>
      <c r="DI192" s="110">
        <f>IF(AU192="","",IFERROR(AU192*HSCEI!$B$39*HSCEI!$G$39/HSCEI!$B$3,""))</f>
        <v/>
      </c>
      <c r="DJ192" s="110">
        <f>IF(AV192="","",IFERROR(AV192*HSCEI!$B$39*HSCEI!$G$39/HSCEI!$B$3,""))</f>
        <v/>
      </c>
      <c r="DK192" s="110">
        <f>IF(AW192="","",IFERROR(AW192*HSCEI!$B$39*HSCEI!$G$39/HSCEI!$B$3,""))</f>
        <v/>
      </c>
      <c r="DL192" s="110">
        <f>IF(AX192="","",IFERROR(AX192*HSCEI!$B$39*HSCEI!$G$39/HSCEI!$B$3,""))</f>
        <v/>
      </c>
      <c r="DM192" s="110">
        <f>IF(AY192="","",IFERROR(AY192*HSCEI!$B$39*HSCEI!$G$39/HSCEI!$B$3,""))</f>
        <v/>
      </c>
      <c r="DN192" s="110">
        <f>IF(AZ192="","",IFERROR(AZ192*HSCEI!$B$39*HSCEI!$G$39/HSCEI!$B$3,""))</f>
        <v/>
      </c>
      <c r="DO192" s="110">
        <f>IF(BA192="","",IFERROR(BA192*HSCEI!$B$39*HSCEI!$G$39/HSCEI!$B$3,""))</f>
        <v/>
      </c>
      <c r="DP192" s="110">
        <f>IF(BB192="","",IFERROR(BB192*HSCEI!$B$39*HSCEI!$G$39/HSCEI!$B$3,""))</f>
        <v/>
      </c>
      <c r="DQ192" s="110">
        <f>IF(BC192="","",IFERROR(BC192*HSCEI!$B$39*HSCEI!$G$39/HSCEI!$B$3,""))</f>
        <v/>
      </c>
      <c r="DR192" s="110">
        <f>IF(BD192="","",IFERROR(BD192*HSCEI!$B$39*HSCEI!$G$39/HSCEI!$B$3,""))</f>
        <v/>
      </c>
      <c r="DS192" s="110">
        <f>IF(BE192="","",IFERROR(BE192*HSCEI!$B$39*HSCEI!$G$39/HSCEI!$B$3,""))</f>
        <v/>
      </c>
      <c r="DT192" s="110">
        <f>IF(BF192="","",IFERROR(BF192*HSCEI!$B$39*HSCEI!$G$39/HSCEI!$B$3,""))</f>
        <v/>
      </c>
      <c r="DU192" s="110">
        <f>IF(BG192="","",IFERROR(BG192*HSCEI!$B$39*HSCEI!$G$39/HSCEI!$B$3,""))</f>
        <v/>
      </c>
      <c r="DV192" s="110">
        <f>IF(BH192="","",IFERROR(BH192*HSCEI!$B$39*HSCEI!$G$39/HSCEI!$B$3,""))</f>
        <v/>
      </c>
      <c r="DW192" s="110">
        <f>IF(BI192="","",IFERROR(BI192*HSCEI!$B$39*HSCEI!$G$39/HSCEI!$B$3,""))</f>
        <v/>
      </c>
      <c r="DX192" s="110">
        <f>IF(BJ192="","",IFERROR(BJ192*HSCEI!$B$39*HSCEI!$G$39/HSCEI!$B$3,""))</f>
        <v/>
      </c>
      <c r="DY192" s="110">
        <f>IF(BK192="","",IFERROR(BK192*HSCEI!$B$39*HSCEI!$G$39/HSCEI!$B$3,""))</f>
        <v/>
      </c>
      <c r="DZ192" s="110">
        <f>IF(BL192="","",IFERROR(BL192*HSCEI!$B$39*HSCEI!$G$39/HSCEI!$B$3,""))</f>
        <v/>
      </c>
      <c r="EA192" s="110">
        <f>IF(BM192="","",IFERROR(BM192*HSCEI!$B$39*HSCEI!$G$39/HSCEI!$B$3,""))</f>
        <v/>
      </c>
      <c r="EB192" s="110">
        <f>IF(BN192="","",IFERROR(BN192*HSCEI!$B$39*HSCEI!$G$39/HSCEI!$B$3,""))</f>
        <v/>
      </c>
      <c r="EC192" s="110">
        <f>IF(BO192="","",IFERROR(BO192*HSCEI!$B$39*HSCEI!$G$39/HSCEI!$B$3,""))</f>
        <v/>
      </c>
      <c r="EE192" s="39">
        <f>IF(N('Dvd Calendar'!$E$1913)=0,"",IF(('Dvd Calendar'!$E$1913&gt;=GRID_FROM)*('Dvd Calendar'!$E$1913&lt;=GRID_TO)*((('Dvd Calendar'!$E$1913&lt;=VAL_DATE)+(COUNTIF('Dvd Calendar'!$E$1920:$AR$1920,'Dvd Calendar'!$E$1913)=0))&gt;0)=0,"",'Dvd Calendar'!$E$1913*1000000000+ISNUMBER('Dvd Calendar'!$E$1916)*100000000+('Dvd Calendar'!$E$1918=SPECIAL_LBL)*10000000+(N('Dvd Calendar'!$E$1912)&gt;0)*(N('Dvd Calendar'!$E$1912)&lt;=VAL_SERIAL)*1000000+33*1000+1))</f>
        <v/>
      </c>
      <c r="EF192" s="39">
        <f>IF(N('Dvd Calendar'!$F$1913)=0,"",IF(('Dvd Calendar'!$F$1913&gt;=GRID_FROM)*('Dvd Calendar'!$F$1913&lt;=GRID_TO)*((('Dvd Calendar'!$F$1913&lt;=VAL_DATE)+(COUNTIF('Dvd Calendar'!$E$1920:$AR$1920,'Dvd Calendar'!$F$1913)=0))&gt;0)=0,"",'Dvd Calendar'!$F$1913*1000000000+ISNUMBER('Dvd Calendar'!$F$1916)*100000000+('Dvd Calendar'!$F$1918=SPECIAL_LBL)*10000000+(N('Dvd Calendar'!$F$1912)&gt;0)*(N('Dvd Calendar'!$F$1912)&lt;=VAL_SERIAL)*1000000+33*1000+2))</f>
        <v/>
      </c>
      <c r="EG192" s="39">
        <f>IF(N('Dvd Calendar'!$G$1913)=0,"",IF(('Dvd Calendar'!$G$1913&gt;=GRID_FROM)*('Dvd Calendar'!$G$1913&lt;=GRID_TO)*((('Dvd Calendar'!$G$1913&lt;=VAL_DATE)+(COUNTIF('Dvd Calendar'!$E$1920:$AR$1920,'Dvd Calendar'!$G$1913)=0))&gt;0)=0,"",'Dvd Calendar'!$G$1913*1000000000+ISNUMBER('Dvd Calendar'!$G$1916)*100000000+('Dvd Calendar'!$G$1918=SPECIAL_LBL)*10000000+(N('Dvd Calendar'!$G$1912)&gt;0)*(N('Dvd Calendar'!$G$1912)&lt;=VAL_SERIAL)*1000000+33*1000+3))</f>
        <v/>
      </c>
      <c r="EH192" s="39">
        <f>IF(N('Dvd Calendar'!$H$1913)=0,"",IF(('Dvd Calendar'!$H$1913&gt;=GRID_FROM)*('Dvd Calendar'!$H$1913&lt;=GRID_TO)*((('Dvd Calendar'!$H$1913&lt;=VAL_DATE)+(COUNTIF('Dvd Calendar'!$E$1920:$AR$1920,'Dvd Calendar'!$H$1913)=0))&gt;0)=0,"",'Dvd Calendar'!$H$1913*1000000000+ISNUMBER('Dvd Calendar'!$H$1916)*100000000+('Dvd Calendar'!$H$1918=SPECIAL_LBL)*10000000+(N('Dvd Calendar'!$H$1912)&gt;0)*(N('Dvd Calendar'!$H$1912)&lt;=VAL_SERIAL)*1000000+33*1000+4))</f>
        <v/>
      </c>
      <c r="EI192" s="39">
        <f>IF(N('Dvd Calendar'!$I$1913)=0,"",IF(('Dvd Calendar'!$I$1913&gt;=GRID_FROM)*('Dvd Calendar'!$I$1913&lt;=GRID_TO)*((('Dvd Calendar'!$I$1913&lt;=VAL_DATE)+(COUNTIF('Dvd Calendar'!$E$1920:$AR$1920,'Dvd Calendar'!$I$1913)=0))&gt;0)=0,"",'Dvd Calendar'!$I$1913*1000000000+ISNUMBER('Dvd Calendar'!$I$1916)*100000000+('Dvd Calendar'!$I$1918=SPECIAL_LBL)*10000000+(N('Dvd Calendar'!$I$1912)&gt;0)*(N('Dvd Calendar'!$I$1912)&lt;=VAL_SERIAL)*1000000+33*1000+5))</f>
        <v/>
      </c>
      <c r="EJ192" s="39">
        <f>IF(N('Dvd Calendar'!$J$1913)=0,"",IF(('Dvd Calendar'!$J$1913&gt;=GRID_FROM)*('Dvd Calendar'!$J$1913&lt;=GRID_TO)*((('Dvd Calendar'!$J$1913&lt;=VAL_DATE)+(COUNTIF('Dvd Calendar'!$E$1920:$AR$1920,'Dvd Calendar'!$J$1913)=0))&gt;0)=0,"",'Dvd Calendar'!$J$1913*1000000000+ISNUMBER('Dvd Calendar'!$J$1916)*100000000+('Dvd Calendar'!$J$1918=SPECIAL_LBL)*10000000+(N('Dvd Calendar'!$J$1912)&gt;0)*(N('Dvd Calendar'!$J$1912)&lt;=VAL_SERIAL)*1000000+33*1000+6))</f>
        <v/>
      </c>
      <c r="EK192" s="39">
        <f>IF(N('Dvd Calendar'!$K$1913)=0,"",IF(('Dvd Calendar'!$K$1913&gt;=GRID_FROM)*('Dvd Calendar'!$K$1913&lt;=GRID_TO)*((('Dvd Calendar'!$K$1913&lt;=VAL_DATE)+(COUNTIF('Dvd Calendar'!$E$1920:$AR$1920,'Dvd Calendar'!$K$1913)=0))&gt;0)=0,"",'Dvd Calendar'!$K$1913*1000000000+ISNUMBER('Dvd Calendar'!$K$1916)*100000000+('Dvd Calendar'!$K$1918=SPECIAL_LBL)*10000000+(N('Dvd Calendar'!$K$1912)&gt;0)*(N('Dvd Calendar'!$K$1912)&lt;=VAL_SERIAL)*1000000+33*1000+7))</f>
        <v/>
      </c>
      <c r="EL192" s="39">
        <f>IF(N('Dvd Calendar'!$L$1913)=0,"",IF(('Dvd Calendar'!$L$1913&gt;=GRID_FROM)*('Dvd Calendar'!$L$1913&lt;=GRID_TO)*((('Dvd Calendar'!$L$1913&lt;=VAL_DATE)+(COUNTIF('Dvd Calendar'!$E$1920:$AR$1920,'Dvd Calendar'!$L$1913)=0))&gt;0)=0,"",'Dvd Calendar'!$L$1913*1000000000+ISNUMBER('Dvd Calendar'!$L$1916)*100000000+('Dvd Calendar'!$L$1918=SPECIAL_LBL)*10000000+(N('Dvd Calendar'!$L$1912)&gt;0)*(N('Dvd Calendar'!$L$1912)&lt;=VAL_SERIAL)*1000000+33*1000+8))</f>
        <v/>
      </c>
      <c r="EM192" s="39">
        <f>IF(N('Dvd Calendar'!$M$1913)=0,"",IF(('Dvd Calendar'!$M$1913&gt;=GRID_FROM)*('Dvd Calendar'!$M$1913&lt;=GRID_TO)*((('Dvd Calendar'!$M$1913&lt;=VAL_DATE)+(COUNTIF('Dvd Calendar'!$E$1920:$AR$1920,'Dvd Calendar'!$M$1913)=0))&gt;0)=0,"",'Dvd Calendar'!$M$1913*1000000000+ISNUMBER('Dvd Calendar'!$M$1916)*100000000+('Dvd Calendar'!$M$1918=SPECIAL_LBL)*10000000+(N('Dvd Calendar'!$M$1912)&gt;0)*(N('Dvd Calendar'!$M$1912)&lt;=VAL_SERIAL)*1000000+33*1000+9))</f>
        <v/>
      </c>
      <c r="EN192" s="39">
        <f>IF(N('Dvd Calendar'!$N$1913)=0,"",IF(('Dvd Calendar'!$N$1913&gt;=GRID_FROM)*('Dvd Calendar'!$N$1913&lt;=GRID_TO)*((('Dvd Calendar'!$N$1913&lt;=VAL_DATE)+(COUNTIF('Dvd Calendar'!$E$1920:$AR$1920,'Dvd Calendar'!$N$1913)=0))&gt;0)=0,"",'Dvd Calendar'!$N$1913*1000000000+ISNUMBER('Dvd Calendar'!$N$1916)*100000000+('Dvd Calendar'!$N$1918=SPECIAL_LBL)*10000000+(N('Dvd Calendar'!$N$1912)&gt;0)*(N('Dvd Calendar'!$N$1912)&lt;=VAL_SERIAL)*1000000+33*1000+10))</f>
        <v/>
      </c>
      <c r="EO192" s="39">
        <f>IF(N('Dvd Calendar'!$O$1913)=0,"",IF(('Dvd Calendar'!$O$1913&gt;=GRID_FROM)*('Dvd Calendar'!$O$1913&lt;=GRID_TO)*((('Dvd Calendar'!$O$1913&lt;=VAL_DATE)+(COUNTIF('Dvd Calendar'!$E$1920:$AR$1920,'Dvd Calendar'!$O$1913)=0))&gt;0)=0,"",'Dvd Calendar'!$O$1913*1000000000+ISNUMBER('Dvd Calendar'!$O$1916)*100000000+('Dvd Calendar'!$O$1918=SPECIAL_LBL)*10000000+(N('Dvd Calendar'!$O$1912)&gt;0)*(N('Dvd Calendar'!$O$1912)&lt;=VAL_SERIAL)*1000000+33*1000+11))</f>
        <v/>
      </c>
      <c r="EP192" s="39">
        <f>IF(N('Dvd Calendar'!$P$1913)=0,"",IF(('Dvd Calendar'!$P$1913&gt;=GRID_FROM)*('Dvd Calendar'!$P$1913&lt;=GRID_TO)*((('Dvd Calendar'!$P$1913&lt;=VAL_DATE)+(COUNTIF('Dvd Calendar'!$E$1920:$AR$1920,'Dvd Calendar'!$P$1913)=0))&gt;0)=0,"",'Dvd Calendar'!$P$1913*1000000000+ISNUMBER('Dvd Calendar'!$P$1916)*100000000+('Dvd Calendar'!$P$1918=SPECIAL_LBL)*10000000+(N('Dvd Calendar'!$P$1912)&gt;0)*(N('Dvd Calendar'!$P$1912)&lt;=VAL_SERIAL)*1000000+33*1000+12))</f>
        <v/>
      </c>
      <c r="EQ192" s="39">
        <f>IF(N('Dvd Calendar'!$Q$1913)=0,"",IF(('Dvd Calendar'!$Q$1913&gt;=GRID_FROM)*('Dvd Calendar'!$Q$1913&lt;=GRID_TO)*((('Dvd Calendar'!$Q$1913&lt;=VAL_DATE)+(COUNTIF('Dvd Calendar'!$E$1920:$AR$1920,'Dvd Calendar'!$Q$1913)=0))&gt;0)=0,"",'Dvd Calendar'!$Q$1913*1000000000+ISNUMBER('Dvd Calendar'!$Q$1916)*100000000+('Dvd Calendar'!$Q$1918=SPECIAL_LBL)*10000000+(N('Dvd Calendar'!$Q$1912)&gt;0)*(N('Dvd Calendar'!$Q$1912)&lt;=VAL_SERIAL)*1000000+33*1000+13))</f>
        <v/>
      </c>
      <c r="ER192" s="39">
        <f>IF(N('Dvd Calendar'!$R$1913)=0,"",IF(('Dvd Calendar'!$R$1913&gt;=GRID_FROM)*('Dvd Calendar'!$R$1913&lt;=GRID_TO)*((('Dvd Calendar'!$R$1913&lt;=VAL_DATE)+(COUNTIF('Dvd Calendar'!$E$1920:$AR$1920,'Dvd Calendar'!$R$1913)=0))&gt;0)=0,"",'Dvd Calendar'!$R$1913*1000000000+ISNUMBER('Dvd Calendar'!$R$1916)*100000000+('Dvd Calendar'!$R$1918=SPECIAL_LBL)*10000000+(N('Dvd Calendar'!$R$1912)&gt;0)*(N('Dvd Calendar'!$R$1912)&lt;=VAL_SERIAL)*1000000+33*1000+14))</f>
        <v/>
      </c>
      <c r="ES192" s="39">
        <f>IF(N('Dvd Calendar'!$S$1913)=0,"",IF(('Dvd Calendar'!$S$1913&gt;=GRID_FROM)*('Dvd Calendar'!$S$1913&lt;=GRID_TO)*((('Dvd Calendar'!$S$1913&lt;=VAL_DATE)+(COUNTIF('Dvd Calendar'!$E$1920:$AR$1920,'Dvd Calendar'!$S$1913)=0))&gt;0)=0,"",'Dvd Calendar'!$S$1913*1000000000+ISNUMBER('Dvd Calendar'!$S$1916)*100000000+('Dvd Calendar'!$S$1918=SPECIAL_LBL)*10000000+(N('Dvd Calendar'!$S$1912)&gt;0)*(N('Dvd Calendar'!$S$1912)&lt;=VAL_SERIAL)*1000000+33*1000+15))</f>
        <v/>
      </c>
      <c r="ET192" s="39">
        <f>IF(N('Dvd Calendar'!$T$1913)=0,"",IF(('Dvd Calendar'!$T$1913&gt;=GRID_FROM)*('Dvd Calendar'!$T$1913&lt;=GRID_TO)*((('Dvd Calendar'!$T$1913&lt;=VAL_DATE)+(COUNTIF('Dvd Calendar'!$E$1920:$AR$1920,'Dvd Calendar'!$T$1913)=0))&gt;0)=0,"",'Dvd Calendar'!$T$1913*1000000000+ISNUMBER('Dvd Calendar'!$T$1916)*100000000+('Dvd Calendar'!$T$1918=SPECIAL_LBL)*10000000+(N('Dvd Calendar'!$T$1912)&gt;0)*(N('Dvd Calendar'!$T$1912)&lt;=VAL_SERIAL)*1000000+33*1000+16))</f>
        <v/>
      </c>
      <c r="EU192" s="39">
        <f>IF(N('Dvd Calendar'!$U$1913)=0,"",IF(('Dvd Calendar'!$U$1913&gt;=GRID_FROM)*('Dvd Calendar'!$U$1913&lt;=GRID_TO)*((('Dvd Calendar'!$U$1913&lt;=VAL_DATE)+(COUNTIF('Dvd Calendar'!$E$1920:$AR$1920,'Dvd Calendar'!$U$1913)=0))&gt;0)=0,"",'Dvd Calendar'!$U$1913*1000000000+ISNUMBER('Dvd Calendar'!$U$1916)*100000000+('Dvd Calendar'!$U$1918=SPECIAL_LBL)*10000000+(N('Dvd Calendar'!$U$1912)&gt;0)*(N('Dvd Calendar'!$U$1912)&lt;=VAL_SERIAL)*1000000+33*1000+17))</f>
        <v/>
      </c>
      <c r="EV192" s="39">
        <f>IF(N('Dvd Calendar'!$V$1913)=0,"",IF(('Dvd Calendar'!$V$1913&gt;=GRID_FROM)*('Dvd Calendar'!$V$1913&lt;=GRID_TO)*((('Dvd Calendar'!$V$1913&lt;=VAL_DATE)+(COUNTIF('Dvd Calendar'!$E$1920:$AR$1920,'Dvd Calendar'!$V$1913)=0))&gt;0)=0,"",'Dvd Calendar'!$V$1913*1000000000+ISNUMBER('Dvd Calendar'!$V$1916)*100000000+('Dvd Calendar'!$V$1918=SPECIAL_LBL)*10000000+(N('Dvd Calendar'!$V$1912)&gt;0)*(N('Dvd Calendar'!$V$1912)&lt;=VAL_SERIAL)*1000000+33*1000+18))</f>
        <v/>
      </c>
      <c r="EW192" s="39">
        <f>IF(N('Dvd Calendar'!$W$1913)=0,"",IF(('Dvd Calendar'!$W$1913&gt;=GRID_FROM)*('Dvd Calendar'!$W$1913&lt;=GRID_TO)*((('Dvd Calendar'!$W$1913&lt;=VAL_DATE)+(COUNTIF('Dvd Calendar'!$E$1920:$AR$1920,'Dvd Calendar'!$W$1913)=0))&gt;0)=0,"",'Dvd Calendar'!$W$1913*1000000000+ISNUMBER('Dvd Calendar'!$W$1916)*100000000+('Dvd Calendar'!$W$1918=SPECIAL_LBL)*10000000+(N('Dvd Calendar'!$W$1912)&gt;0)*(N('Dvd Calendar'!$W$1912)&lt;=VAL_SERIAL)*1000000+33*1000+19))</f>
        <v/>
      </c>
      <c r="EX192" s="39">
        <f>IF(N('Dvd Calendar'!$X$1913)=0,"",IF(('Dvd Calendar'!$X$1913&gt;=GRID_FROM)*('Dvd Calendar'!$X$1913&lt;=GRID_TO)*((('Dvd Calendar'!$X$1913&lt;=VAL_DATE)+(COUNTIF('Dvd Calendar'!$E$1920:$AR$1920,'Dvd Calendar'!$X$1913)=0))&gt;0)=0,"",'Dvd Calendar'!$X$1913*1000000000+ISNUMBER('Dvd Calendar'!$X$1916)*100000000+('Dvd Calendar'!$X$1918=SPECIAL_LBL)*10000000+(N('Dvd Calendar'!$X$1912)&gt;0)*(N('Dvd Calendar'!$X$1912)&lt;=VAL_SERIAL)*1000000+33*1000+20))</f>
        <v/>
      </c>
      <c r="EY192" s="39">
        <f>IF(N('Dvd Calendar'!$Y$1913)=0,"",IF(('Dvd Calendar'!$Y$1913&gt;=GRID_FROM)*('Dvd Calendar'!$Y$1913&lt;=GRID_TO)*((('Dvd Calendar'!$Y$1913&lt;=VAL_DATE)+(COUNTIF('Dvd Calendar'!$E$1920:$AR$1920,'Dvd Calendar'!$Y$1913)=0))&gt;0)=0,"",'Dvd Calendar'!$Y$1913*1000000000+ISNUMBER('Dvd Calendar'!$Y$1916)*100000000+('Dvd Calendar'!$Y$1918=SPECIAL_LBL)*10000000+(N('Dvd Calendar'!$Y$1912)&gt;0)*(N('Dvd Calendar'!$Y$1912)&lt;=VAL_SERIAL)*1000000+33*1000+21))</f>
        <v/>
      </c>
      <c r="EZ192" s="39">
        <f>IF(N('Dvd Calendar'!$Z$1913)=0,"",IF(('Dvd Calendar'!$Z$1913&gt;=GRID_FROM)*('Dvd Calendar'!$Z$1913&lt;=GRID_TO)*((('Dvd Calendar'!$Z$1913&lt;=VAL_DATE)+(COUNTIF('Dvd Calendar'!$E$1920:$AR$1920,'Dvd Calendar'!$Z$1913)=0))&gt;0)=0,"",'Dvd Calendar'!$Z$1913*1000000000+ISNUMBER('Dvd Calendar'!$Z$1916)*100000000+('Dvd Calendar'!$Z$1918=SPECIAL_LBL)*10000000+(N('Dvd Calendar'!$Z$1912)&gt;0)*(N('Dvd Calendar'!$Z$1912)&lt;=VAL_SERIAL)*1000000+33*1000+22))</f>
        <v/>
      </c>
      <c r="FA192" s="39">
        <f>IF(N('Dvd Calendar'!$AA$1913)=0,"",IF(('Dvd Calendar'!$AA$1913&gt;=GRID_FROM)*('Dvd Calendar'!$AA$1913&lt;=GRID_TO)*((('Dvd Calendar'!$AA$1913&lt;=VAL_DATE)+(COUNTIF('Dvd Calendar'!$E$1920:$AR$1920,'Dvd Calendar'!$AA$1913)=0))&gt;0)=0,"",'Dvd Calendar'!$AA$1913*1000000000+ISNUMBER('Dvd Calendar'!$AA$1916)*100000000+('Dvd Calendar'!$AA$1918=SPECIAL_LBL)*10000000+(N('Dvd Calendar'!$AA$1912)&gt;0)*(N('Dvd Calendar'!$AA$1912)&lt;=VAL_SERIAL)*1000000+33*1000+23))</f>
        <v/>
      </c>
      <c r="FB192" s="39">
        <f>IF(N('Dvd Calendar'!$AB$1913)=0,"",IF(('Dvd Calendar'!$AB$1913&gt;=GRID_FROM)*('Dvd Calendar'!$AB$1913&lt;=GRID_TO)*((('Dvd Calendar'!$AB$1913&lt;=VAL_DATE)+(COUNTIF('Dvd Calendar'!$E$1920:$AR$1920,'Dvd Calendar'!$AB$1913)=0))&gt;0)=0,"",'Dvd Calendar'!$AB$1913*1000000000+ISNUMBER('Dvd Calendar'!$AB$1916)*100000000+('Dvd Calendar'!$AB$1918=SPECIAL_LBL)*10000000+(N('Dvd Calendar'!$AB$1912)&gt;0)*(N('Dvd Calendar'!$AB$1912)&lt;=VAL_SERIAL)*1000000+33*1000+24))</f>
        <v/>
      </c>
      <c r="FC192" s="39">
        <f>IF(N('Dvd Calendar'!$AC$1913)=0,"",IF(('Dvd Calendar'!$AC$1913&gt;=GRID_FROM)*('Dvd Calendar'!$AC$1913&lt;=GRID_TO)*((('Dvd Calendar'!$AC$1913&lt;=VAL_DATE)+(COUNTIF('Dvd Calendar'!$E$1920:$AR$1920,'Dvd Calendar'!$AC$1913)=0))&gt;0)=0,"",'Dvd Calendar'!$AC$1913*1000000000+ISNUMBER('Dvd Calendar'!$AC$1916)*100000000+('Dvd Calendar'!$AC$1918=SPECIAL_LBL)*10000000+(N('Dvd Calendar'!$AC$1912)&gt;0)*(N('Dvd Calendar'!$AC$1912)&lt;=VAL_SERIAL)*1000000+33*1000+25))</f>
        <v/>
      </c>
      <c r="FD192" s="39">
        <f>IF(N('Dvd Calendar'!$AD$1913)=0,"",IF(('Dvd Calendar'!$AD$1913&gt;=GRID_FROM)*('Dvd Calendar'!$AD$1913&lt;=GRID_TO)*((('Dvd Calendar'!$AD$1913&lt;=VAL_DATE)+(COUNTIF('Dvd Calendar'!$E$1920:$AR$1920,'Dvd Calendar'!$AD$1913)=0))&gt;0)=0,"",'Dvd Calendar'!$AD$1913*1000000000+ISNUMBER('Dvd Calendar'!$AD$1916)*100000000+('Dvd Calendar'!$AD$1918=SPECIAL_LBL)*10000000+(N('Dvd Calendar'!$AD$1912)&gt;0)*(N('Dvd Calendar'!$AD$1912)&lt;=VAL_SERIAL)*1000000+33*1000+26))</f>
        <v/>
      </c>
      <c r="FE192" s="39">
        <f>IF(N('Dvd Calendar'!$AE$1913)=0,"",IF(('Dvd Calendar'!$AE$1913&gt;=GRID_FROM)*('Dvd Calendar'!$AE$1913&lt;=GRID_TO)*((('Dvd Calendar'!$AE$1913&lt;=VAL_DATE)+(COUNTIF('Dvd Calendar'!$E$1920:$AR$1920,'Dvd Calendar'!$AE$1913)=0))&gt;0)=0,"",'Dvd Calendar'!$AE$1913*1000000000+ISNUMBER('Dvd Calendar'!$AE$1916)*100000000+('Dvd Calendar'!$AE$1918=SPECIAL_LBL)*10000000+(N('Dvd Calendar'!$AE$1912)&gt;0)*(N('Dvd Calendar'!$AE$1912)&lt;=VAL_SERIAL)*1000000+33*1000+27))</f>
        <v/>
      </c>
      <c r="FF192" s="39">
        <f>IF(N('Dvd Calendar'!$AF$1913)=0,"",IF(('Dvd Calendar'!$AF$1913&gt;=GRID_FROM)*('Dvd Calendar'!$AF$1913&lt;=GRID_TO)*((('Dvd Calendar'!$AF$1913&lt;=VAL_DATE)+(COUNTIF('Dvd Calendar'!$E$1920:$AR$1920,'Dvd Calendar'!$AF$1913)=0))&gt;0)=0,"",'Dvd Calendar'!$AF$1913*1000000000+ISNUMBER('Dvd Calendar'!$AF$1916)*100000000+('Dvd Calendar'!$AF$1918=SPECIAL_LBL)*10000000+(N('Dvd Calendar'!$AF$1912)&gt;0)*(N('Dvd Calendar'!$AF$1912)&lt;=VAL_SERIAL)*1000000+33*1000+28))</f>
        <v/>
      </c>
      <c r="FG192" s="39">
        <f>IF(N('Dvd Calendar'!$AG$1913)=0,"",IF(('Dvd Calendar'!$AG$1913&gt;=GRID_FROM)*('Dvd Calendar'!$AG$1913&lt;=GRID_TO)*((('Dvd Calendar'!$AG$1913&lt;=VAL_DATE)+(COUNTIF('Dvd Calendar'!$E$1920:$AR$1920,'Dvd Calendar'!$AG$1913)=0))&gt;0)=0,"",'Dvd Calendar'!$AG$1913*1000000000+ISNUMBER('Dvd Calendar'!$AG$1916)*100000000+('Dvd Calendar'!$AG$1918=SPECIAL_LBL)*10000000+(N('Dvd Calendar'!$AG$1912)&gt;0)*(N('Dvd Calendar'!$AG$1912)&lt;=VAL_SERIAL)*1000000+33*1000+29))</f>
        <v/>
      </c>
      <c r="FH192" s="39">
        <f>IF(N('Dvd Calendar'!$AH$1913)=0,"",IF(('Dvd Calendar'!$AH$1913&gt;=GRID_FROM)*('Dvd Calendar'!$AH$1913&lt;=GRID_TO)*((('Dvd Calendar'!$AH$1913&lt;=VAL_DATE)+(COUNTIF('Dvd Calendar'!$E$1920:$AR$1920,'Dvd Calendar'!$AH$1913)=0))&gt;0)=0,"",'Dvd Calendar'!$AH$1913*1000000000+ISNUMBER('Dvd Calendar'!$AH$1916)*100000000+('Dvd Calendar'!$AH$1918=SPECIAL_LBL)*10000000+(N('Dvd Calendar'!$AH$1912)&gt;0)*(N('Dvd Calendar'!$AH$1912)&lt;=VAL_SERIAL)*1000000+33*1000+30))</f>
        <v/>
      </c>
      <c r="FI192" s="39">
        <f>IF(N('Dvd Calendar'!$AI$1913)=0,"",IF(('Dvd Calendar'!$AI$1913&gt;=GRID_FROM)*('Dvd Calendar'!$AI$1913&lt;=GRID_TO)*((('Dvd Calendar'!$AI$1913&lt;=VAL_DATE)+(COUNTIF('Dvd Calendar'!$E$1920:$AR$1920,'Dvd Calendar'!$AI$1913)=0))&gt;0)=0,"",'Dvd Calendar'!$AI$1913*1000000000+ISNUMBER('Dvd Calendar'!$AI$1916)*100000000+('Dvd Calendar'!$AI$1918=SPECIAL_LBL)*10000000+(N('Dvd Calendar'!$AI$1912)&gt;0)*(N('Dvd Calendar'!$AI$1912)&lt;=VAL_SERIAL)*1000000+33*1000+31))</f>
        <v/>
      </c>
      <c r="FJ192" s="39">
        <f>IF(N('Dvd Calendar'!$AJ$1913)=0,"",IF(('Dvd Calendar'!$AJ$1913&gt;=GRID_FROM)*('Dvd Calendar'!$AJ$1913&lt;=GRID_TO)*((('Dvd Calendar'!$AJ$1913&lt;=VAL_DATE)+(COUNTIF('Dvd Calendar'!$E$1920:$AR$1920,'Dvd Calendar'!$AJ$1913)=0))&gt;0)=0,"",'Dvd Calendar'!$AJ$1913*1000000000+ISNUMBER('Dvd Calendar'!$AJ$1916)*100000000+('Dvd Calendar'!$AJ$1918=SPECIAL_LBL)*10000000+(N('Dvd Calendar'!$AJ$1912)&gt;0)*(N('Dvd Calendar'!$AJ$1912)&lt;=VAL_SERIAL)*1000000+33*1000+32))</f>
        <v/>
      </c>
      <c r="FK192" s="39">
        <f>IF(N('Dvd Calendar'!$AK$1913)=0,"",IF(('Dvd Calendar'!$AK$1913&gt;=GRID_FROM)*('Dvd Calendar'!$AK$1913&lt;=GRID_TO)*((('Dvd Calendar'!$AK$1913&lt;=VAL_DATE)+(COUNTIF('Dvd Calendar'!$E$1920:$AR$1920,'Dvd Calendar'!$AK$1913)=0))&gt;0)=0,"",'Dvd Calendar'!$AK$1913*1000000000+ISNUMBER('Dvd Calendar'!$AK$1916)*100000000+('Dvd Calendar'!$AK$1918=SPECIAL_LBL)*10000000+(N('Dvd Calendar'!$AK$1912)&gt;0)*(N('Dvd Calendar'!$AK$1912)&lt;=VAL_SERIAL)*1000000+33*1000+33))</f>
        <v/>
      </c>
      <c r="FL192" s="39">
        <f>IF(N('Dvd Calendar'!$AL$1913)=0,"",IF(('Dvd Calendar'!$AL$1913&gt;=GRID_FROM)*('Dvd Calendar'!$AL$1913&lt;=GRID_TO)*((('Dvd Calendar'!$AL$1913&lt;=VAL_DATE)+(COUNTIF('Dvd Calendar'!$E$1920:$AR$1920,'Dvd Calendar'!$AL$1913)=0))&gt;0)=0,"",'Dvd Calendar'!$AL$1913*1000000000+ISNUMBER('Dvd Calendar'!$AL$1916)*100000000+('Dvd Calendar'!$AL$1918=SPECIAL_LBL)*10000000+(N('Dvd Calendar'!$AL$1912)&gt;0)*(N('Dvd Calendar'!$AL$1912)&lt;=VAL_SERIAL)*1000000+33*1000+34))</f>
        <v/>
      </c>
      <c r="FM192" s="39">
        <f>IF(N('Dvd Calendar'!$AM$1913)=0,"",IF(('Dvd Calendar'!$AM$1913&gt;=GRID_FROM)*('Dvd Calendar'!$AM$1913&lt;=GRID_TO)*((('Dvd Calendar'!$AM$1913&lt;=VAL_DATE)+(COUNTIF('Dvd Calendar'!$E$1920:$AR$1920,'Dvd Calendar'!$AM$1913)=0))&gt;0)=0,"",'Dvd Calendar'!$AM$1913*1000000000+ISNUMBER('Dvd Calendar'!$AM$1916)*100000000+('Dvd Calendar'!$AM$1918=SPECIAL_LBL)*10000000+(N('Dvd Calendar'!$AM$1912)&gt;0)*(N('Dvd Calendar'!$AM$1912)&lt;=VAL_SERIAL)*1000000+33*1000+35))</f>
        <v/>
      </c>
      <c r="FN192" s="39">
        <f>IF(N('Dvd Calendar'!$AN$1913)=0,"",IF(('Dvd Calendar'!$AN$1913&gt;=GRID_FROM)*('Dvd Calendar'!$AN$1913&lt;=GRID_TO)*((('Dvd Calendar'!$AN$1913&lt;=VAL_DATE)+(COUNTIF('Dvd Calendar'!$E$1920:$AR$1920,'Dvd Calendar'!$AN$1913)=0))&gt;0)=0,"",'Dvd Calendar'!$AN$1913*1000000000+ISNUMBER('Dvd Calendar'!$AN$1916)*100000000+('Dvd Calendar'!$AN$1918=SPECIAL_LBL)*10000000+(N('Dvd Calendar'!$AN$1912)&gt;0)*(N('Dvd Calendar'!$AN$1912)&lt;=VAL_SERIAL)*1000000+33*1000+36))</f>
        <v/>
      </c>
      <c r="FO192" s="39">
        <f>IF(N('Dvd Calendar'!$AO$1913)=0,"",IF(('Dvd Calendar'!$AO$1913&gt;=GRID_FROM)*('Dvd Calendar'!$AO$1913&lt;=GRID_TO)*((('Dvd Calendar'!$AO$1913&lt;=VAL_DATE)+(COUNTIF('Dvd Calendar'!$E$1920:$AR$1920,'Dvd Calendar'!$AO$1913)=0))&gt;0)=0,"",'Dvd Calendar'!$AO$1913*1000000000+ISNUMBER('Dvd Calendar'!$AO$1916)*100000000+('Dvd Calendar'!$AO$1918=SPECIAL_LBL)*10000000+(N('Dvd Calendar'!$AO$1912)&gt;0)*(N('Dvd Calendar'!$AO$1912)&lt;=VAL_SERIAL)*1000000+33*1000+37))</f>
        <v/>
      </c>
      <c r="FP192" s="39">
        <f>IF(N('Dvd Calendar'!$AP$1913)=0,"",IF(('Dvd Calendar'!$AP$1913&gt;=GRID_FROM)*('Dvd Calendar'!$AP$1913&lt;=GRID_TO)*((('Dvd Calendar'!$AP$1913&lt;=VAL_DATE)+(COUNTIF('Dvd Calendar'!$E$1920:$AR$1920,'Dvd Calendar'!$AP$1913)=0))&gt;0)=0,"",'Dvd Calendar'!$AP$1913*1000000000+ISNUMBER('Dvd Calendar'!$AP$1916)*100000000+('Dvd Calendar'!$AP$1918=SPECIAL_LBL)*10000000+(N('Dvd Calendar'!$AP$1912)&gt;0)*(N('Dvd Calendar'!$AP$1912)&lt;=VAL_SERIAL)*1000000+33*1000+38))</f>
        <v/>
      </c>
      <c r="FQ192" s="39">
        <f>IF(N('Dvd Calendar'!$AQ$1913)=0,"",IF(('Dvd Calendar'!$AQ$1913&gt;=GRID_FROM)*('Dvd Calendar'!$AQ$1913&lt;=GRID_TO)*((('Dvd Calendar'!$AQ$1913&lt;=VAL_DATE)+(COUNTIF('Dvd Calendar'!$E$1920:$AR$1920,'Dvd Calendar'!$AQ$1913)=0))&gt;0)=0,"",'Dvd Calendar'!$AQ$1913*1000000000+ISNUMBER('Dvd Calendar'!$AQ$1916)*100000000+('Dvd Calendar'!$AQ$1918=SPECIAL_LBL)*10000000+(N('Dvd Calendar'!$AQ$1912)&gt;0)*(N('Dvd Calendar'!$AQ$1912)&lt;=VAL_SERIAL)*1000000+33*1000+39))</f>
        <v/>
      </c>
      <c r="FR192" s="39">
        <f>IF(N('Dvd Calendar'!$AR$1913)=0,"",IF(('Dvd Calendar'!$AR$1913&gt;=GRID_FROM)*('Dvd Calendar'!$AR$1913&lt;=GRID_TO)*((('Dvd Calendar'!$AR$1913&lt;=VAL_DATE)+(COUNTIF('Dvd Calendar'!$E$1920:$AR$1920,'Dvd Calendar'!$AR$1913)=0))&gt;0)=0,"",'Dvd Calendar'!$AR$1913*1000000000+ISNUMBER('Dvd Calendar'!$AR$1916)*100000000+('Dvd Calendar'!$AR$1918=SPECIAL_LBL)*10000000+(N('Dvd Calendar'!$AR$1912)&gt;0)*(N('Dvd Calendar'!$AR$1912)&lt;=VAL_SERIAL)*1000000+33*1000+40))</f>
        <v/>
      </c>
      <c r="FS192" s="39">
        <f>IF(N('Dvd Calendar'!$E$1920)=0,"",IF(('Dvd Calendar'!$E$1920&gt;=GRID_FROM)*('Dvd Calendar'!$E$1920&lt;=GRID_TO)*('Dvd Calendar'!$E$1920&gt;VAL_DATE)=0,"",'Dvd Calendar'!$E$1920*1000000000+ISNUMBER('Dvd Calendar'!$E$1921)*100000000+0*10000000+(N('Dvd Calendar'!$E$1919)&gt;0)*(N('Dvd Calendar'!$E$1919)&lt;=VAL_SERIAL)*1000000+33*1000+41))</f>
        <v/>
      </c>
      <c r="FT192" s="39">
        <f>IF(N('Dvd Calendar'!$F$1920)=0,"",IF(('Dvd Calendar'!$F$1920&gt;=GRID_FROM)*('Dvd Calendar'!$F$1920&lt;=GRID_TO)*('Dvd Calendar'!$F$1920&gt;VAL_DATE)=0,"",'Dvd Calendar'!$F$1920*1000000000+ISNUMBER('Dvd Calendar'!$F$1921)*100000000+0*10000000+(N('Dvd Calendar'!$F$1919)&gt;0)*(N('Dvd Calendar'!$F$1919)&lt;=VAL_SERIAL)*1000000+33*1000+42))</f>
        <v/>
      </c>
      <c r="FU192" s="39">
        <f>IF(N('Dvd Calendar'!$G$1920)=0,"",IF(('Dvd Calendar'!$G$1920&gt;=GRID_FROM)*('Dvd Calendar'!$G$1920&lt;=GRID_TO)*('Dvd Calendar'!$G$1920&gt;VAL_DATE)=0,"",'Dvd Calendar'!$G$1920*1000000000+ISNUMBER('Dvd Calendar'!$G$1921)*100000000+0*10000000+(N('Dvd Calendar'!$G$1919)&gt;0)*(N('Dvd Calendar'!$G$1919)&lt;=VAL_SERIAL)*1000000+33*1000+43))</f>
        <v/>
      </c>
      <c r="FV192" s="39">
        <f>IF(N('Dvd Calendar'!$H$1920)=0,"",IF(('Dvd Calendar'!$H$1920&gt;=GRID_FROM)*('Dvd Calendar'!$H$1920&lt;=GRID_TO)*('Dvd Calendar'!$H$1920&gt;VAL_DATE)=0,"",'Dvd Calendar'!$H$1920*1000000000+ISNUMBER('Dvd Calendar'!$H$1921)*100000000+0*10000000+(N('Dvd Calendar'!$H$1919)&gt;0)*(N('Dvd Calendar'!$H$1919)&lt;=VAL_SERIAL)*1000000+33*1000+44))</f>
        <v/>
      </c>
      <c r="FW192" s="39">
        <f>IF(N('Dvd Calendar'!$I$1920)=0,"",IF(('Dvd Calendar'!$I$1920&gt;=GRID_FROM)*('Dvd Calendar'!$I$1920&lt;=GRID_TO)*('Dvd Calendar'!$I$1920&gt;VAL_DATE)=0,"",'Dvd Calendar'!$I$1920*1000000000+ISNUMBER('Dvd Calendar'!$I$1921)*100000000+0*10000000+(N('Dvd Calendar'!$I$1919)&gt;0)*(N('Dvd Calendar'!$I$1919)&lt;=VAL_SERIAL)*1000000+33*1000+45))</f>
        <v/>
      </c>
      <c r="FX192" s="39">
        <f>IF(N('Dvd Calendar'!$J$1920)=0,"",IF(('Dvd Calendar'!$J$1920&gt;=GRID_FROM)*('Dvd Calendar'!$J$1920&lt;=GRID_TO)*('Dvd Calendar'!$J$1920&gt;VAL_DATE)=0,"",'Dvd Calendar'!$J$1920*1000000000+ISNUMBER('Dvd Calendar'!$J$1921)*100000000+0*10000000+(N('Dvd Calendar'!$J$1919)&gt;0)*(N('Dvd Calendar'!$J$1919)&lt;=VAL_SERIAL)*1000000+33*1000+46))</f>
        <v/>
      </c>
      <c r="FY192" s="39">
        <f>IF(N('Dvd Calendar'!$K$1920)=0,"",IF(('Dvd Calendar'!$K$1920&gt;=GRID_FROM)*('Dvd Calendar'!$K$1920&lt;=GRID_TO)*('Dvd Calendar'!$K$1920&gt;VAL_DATE)=0,"",'Dvd Calendar'!$K$1920*1000000000+ISNUMBER('Dvd Calendar'!$K$1921)*100000000+0*10000000+(N('Dvd Calendar'!$K$1919)&gt;0)*(N('Dvd Calendar'!$K$1919)&lt;=VAL_SERIAL)*1000000+33*1000+47))</f>
        <v/>
      </c>
      <c r="FZ192" s="39">
        <f>IF(N('Dvd Calendar'!$L$1920)=0,"",IF(('Dvd Calendar'!$L$1920&gt;=GRID_FROM)*('Dvd Calendar'!$L$1920&lt;=GRID_TO)*('Dvd Calendar'!$L$1920&gt;VAL_DATE)=0,"",'Dvd Calendar'!$L$1920*1000000000+ISNUMBER('Dvd Calendar'!$L$1921)*100000000+0*10000000+(N('Dvd Calendar'!$L$1919)&gt;0)*(N('Dvd Calendar'!$L$1919)&lt;=VAL_SERIAL)*1000000+33*1000+48))</f>
        <v/>
      </c>
      <c r="GA192" s="39">
        <f>IF(N('Dvd Calendar'!$M$1920)=0,"",IF(('Dvd Calendar'!$M$1920&gt;=GRID_FROM)*('Dvd Calendar'!$M$1920&lt;=GRID_TO)*('Dvd Calendar'!$M$1920&gt;VAL_DATE)=0,"",'Dvd Calendar'!$M$1920*1000000000+ISNUMBER('Dvd Calendar'!$M$1921)*100000000+0*10000000+(N('Dvd Calendar'!$M$1919)&gt;0)*(N('Dvd Calendar'!$M$1919)&lt;=VAL_SERIAL)*1000000+33*1000+49))</f>
        <v/>
      </c>
      <c r="GB192" s="39">
        <f>IF(N('Dvd Calendar'!$N$1920)=0,"",IF(('Dvd Calendar'!$N$1920&gt;=GRID_FROM)*('Dvd Calendar'!$N$1920&lt;=GRID_TO)*('Dvd Calendar'!$N$1920&gt;VAL_DATE)=0,"",'Dvd Calendar'!$N$1920*1000000000+ISNUMBER('Dvd Calendar'!$N$1921)*100000000+0*10000000+(N('Dvd Calendar'!$N$1919)&gt;0)*(N('Dvd Calendar'!$N$1919)&lt;=VAL_SERIAL)*1000000+33*1000+50))</f>
        <v/>
      </c>
      <c r="GC192" s="39">
        <f>IF(N('Dvd Calendar'!$O$1920)=0,"",IF(('Dvd Calendar'!$O$1920&gt;=GRID_FROM)*('Dvd Calendar'!$O$1920&lt;=GRID_TO)*('Dvd Calendar'!$O$1920&gt;VAL_DATE)=0,"",'Dvd Calendar'!$O$1920*1000000000+ISNUMBER('Dvd Calendar'!$O$1921)*100000000+0*10000000+(N('Dvd Calendar'!$O$1919)&gt;0)*(N('Dvd Calendar'!$O$1919)&lt;=VAL_SERIAL)*1000000+33*1000+51))</f>
        <v/>
      </c>
      <c r="GD192" s="39">
        <f>IF(N('Dvd Calendar'!$P$1920)=0,"",IF(('Dvd Calendar'!$P$1920&gt;=GRID_FROM)*('Dvd Calendar'!$P$1920&lt;=GRID_TO)*('Dvd Calendar'!$P$1920&gt;VAL_DATE)=0,"",'Dvd Calendar'!$P$1920*1000000000+ISNUMBER('Dvd Calendar'!$P$1921)*100000000+0*10000000+(N('Dvd Calendar'!$P$1919)&gt;0)*(N('Dvd Calendar'!$P$1919)&lt;=VAL_SERIAL)*1000000+33*1000+52))</f>
        <v/>
      </c>
      <c r="GE192" s="39">
        <f>IF(N('Dvd Calendar'!$Q$1920)=0,"",IF(('Dvd Calendar'!$Q$1920&gt;=GRID_FROM)*('Dvd Calendar'!$Q$1920&lt;=GRID_TO)*('Dvd Calendar'!$Q$1920&gt;VAL_DATE)=0,"",'Dvd Calendar'!$Q$1920*1000000000+ISNUMBER('Dvd Calendar'!$Q$1921)*100000000+0*10000000+(N('Dvd Calendar'!$Q$1919)&gt;0)*(N('Dvd Calendar'!$Q$1919)&lt;=VAL_SERIAL)*1000000+33*1000+53))</f>
        <v/>
      </c>
      <c r="GF192" s="39">
        <f>IF(N('Dvd Calendar'!$R$1920)=0,"",IF(('Dvd Calendar'!$R$1920&gt;=GRID_FROM)*('Dvd Calendar'!$R$1920&lt;=GRID_TO)*('Dvd Calendar'!$R$1920&gt;VAL_DATE)=0,"",'Dvd Calendar'!$R$1920*1000000000+ISNUMBER('Dvd Calendar'!$R$1921)*100000000+0*10000000+(N('Dvd Calendar'!$R$1919)&gt;0)*(N('Dvd Calendar'!$R$1919)&lt;=VAL_SERIAL)*1000000+33*1000+54))</f>
        <v/>
      </c>
      <c r="GG192" s="39">
        <f>IF(N('Dvd Calendar'!$S$1920)=0,"",IF(('Dvd Calendar'!$S$1920&gt;=GRID_FROM)*('Dvd Calendar'!$S$1920&lt;=GRID_TO)*('Dvd Calendar'!$S$1920&gt;VAL_DATE)=0,"",'Dvd Calendar'!$S$1920*1000000000+ISNUMBER('Dvd Calendar'!$S$1921)*100000000+0*10000000+(N('Dvd Calendar'!$S$1919)&gt;0)*(N('Dvd Calendar'!$S$1919)&lt;=VAL_SERIAL)*1000000+33*1000+55))</f>
        <v/>
      </c>
      <c r="GH192" s="39">
        <f>IF(N('Dvd Calendar'!$T$1920)=0,"",IF(('Dvd Calendar'!$T$1920&gt;=GRID_FROM)*('Dvd Calendar'!$T$1920&lt;=GRID_TO)*('Dvd Calendar'!$T$1920&gt;VAL_DATE)=0,"",'Dvd Calendar'!$T$1920*1000000000+ISNUMBER('Dvd Calendar'!$T$1921)*100000000+0*10000000+(N('Dvd Calendar'!$T$1919)&gt;0)*(N('Dvd Calendar'!$T$1919)&lt;=VAL_SERIAL)*1000000+33*1000+56))</f>
        <v/>
      </c>
      <c r="GI192" s="39">
        <f>IF(N('Dvd Calendar'!$U$1920)=0,"",IF(('Dvd Calendar'!$U$1920&gt;=GRID_FROM)*('Dvd Calendar'!$U$1920&lt;=GRID_TO)*('Dvd Calendar'!$U$1920&gt;VAL_DATE)=0,"",'Dvd Calendar'!$U$1920*1000000000+ISNUMBER('Dvd Calendar'!$U$1921)*100000000+0*10000000+(N('Dvd Calendar'!$U$1919)&gt;0)*(N('Dvd Calendar'!$U$1919)&lt;=VAL_SERIAL)*1000000+33*1000+57))</f>
        <v/>
      </c>
      <c r="GJ192" s="39">
        <f>IF(N('Dvd Calendar'!$V$1920)=0,"",IF(('Dvd Calendar'!$V$1920&gt;=GRID_FROM)*('Dvd Calendar'!$V$1920&lt;=GRID_TO)*('Dvd Calendar'!$V$1920&gt;VAL_DATE)=0,"",'Dvd Calendar'!$V$1920*1000000000+ISNUMBER('Dvd Calendar'!$V$1921)*100000000+0*10000000+(N('Dvd Calendar'!$V$1919)&gt;0)*(N('Dvd Calendar'!$V$1919)&lt;=VAL_SERIAL)*1000000+33*1000+58))</f>
        <v/>
      </c>
      <c r="GK192" s="39">
        <f>IF(N('Dvd Calendar'!$W$1920)=0,"",IF(('Dvd Calendar'!$W$1920&gt;=GRID_FROM)*('Dvd Calendar'!$W$1920&lt;=GRID_TO)*('Dvd Calendar'!$W$1920&gt;VAL_DATE)=0,"",'Dvd Calendar'!$W$1920*1000000000+ISNUMBER('Dvd Calendar'!$W$1921)*100000000+0*10000000+(N('Dvd Calendar'!$W$1919)&gt;0)*(N('Dvd Calendar'!$W$1919)&lt;=VAL_SERIAL)*1000000+33*1000+59))</f>
        <v/>
      </c>
      <c r="GL192" s="39">
        <f>IF(N('Dvd Calendar'!$X$1920)=0,"",IF(('Dvd Calendar'!$X$1920&gt;=GRID_FROM)*('Dvd Calendar'!$X$1920&lt;=GRID_TO)*('Dvd Calendar'!$X$1920&gt;VAL_DATE)=0,"",'Dvd Calendar'!$X$1920*1000000000+ISNUMBER('Dvd Calendar'!$X$1921)*100000000+0*10000000+(N('Dvd Calendar'!$X$1919)&gt;0)*(N('Dvd Calendar'!$X$1919)&lt;=VAL_SERIAL)*1000000+33*1000+60))</f>
        <v/>
      </c>
      <c r="GM192" s="39">
        <f>IF(N('Dvd Calendar'!$Y$1920)=0,"",IF(('Dvd Calendar'!$Y$1920&gt;=GRID_FROM)*('Dvd Calendar'!$Y$1920&lt;=GRID_TO)*('Dvd Calendar'!$Y$1920&gt;VAL_DATE)=0,"",'Dvd Calendar'!$Y$1920*1000000000+ISNUMBER('Dvd Calendar'!$Y$1921)*100000000+0*10000000+(N('Dvd Calendar'!$Y$1919)&gt;0)*(N('Dvd Calendar'!$Y$1919)&lt;=VAL_SERIAL)*1000000+33*1000+61))</f>
        <v/>
      </c>
      <c r="GN192" s="39">
        <f>IF(N('Dvd Calendar'!$Z$1920)=0,"",IF(('Dvd Calendar'!$Z$1920&gt;=GRID_FROM)*('Dvd Calendar'!$Z$1920&lt;=GRID_TO)*('Dvd Calendar'!$Z$1920&gt;VAL_DATE)=0,"",'Dvd Calendar'!$Z$1920*1000000000+ISNUMBER('Dvd Calendar'!$Z$1921)*100000000+0*10000000+(N('Dvd Calendar'!$Z$1919)&gt;0)*(N('Dvd Calendar'!$Z$1919)&lt;=VAL_SERIAL)*1000000+33*1000+62))</f>
        <v/>
      </c>
      <c r="GO192" s="39">
        <f>IF(N('Dvd Calendar'!$AA$1920)=0,"",IF(('Dvd Calendar'!$AA$1920&gt;=GRID_FROM)*('Dvd Calendar'!$AA$1920&lt;=GRID_TO)*('Dvd Calendar'!$AA$1920&gt;VAL_DATE)=0,"",'Dvd Calendar'!$AA$1920*1000000000+ISNUMBER('Dvd Calendar'!$AA$1921)*100000000+0*10000000+(N('Dvd Calendar'!$AA$1919)&gt;0)*(N('Dvd Calendar'!$AA$1919)&lt;=VAL_SERIAL)*1000000+33*1000+63))</f>
        <v/>
      </c>
      <c r="GP192" s="39">
        <f>IF(N('Dvd Calendar'!$AB$1920)=0,"",IF(('Dvd Calendar'!$AB$1920&gt;=GRID_FROM)*('Dvd Calendar'!$AB$1920&lt;=GRID_TO)*('Dvd Calendar'!$AB$1920&gt;VAL_DATE)=0,"",'Dvd Calendar'!$AB$1920*1000000000+ISNUMBER('Dvd Calendar'!$AB$1921)*100000000+0*10000000+(N('Dvd Calendar'!$AB$1919)&gt;0)*(N('Dvd Calendar'!$AB$1919)&lt;=VAL_SERIAL)*1000000+33*1000+64))</f>
        <v/>
      </c>
      <c r="GQ192" s="39">
        <f>IF(N('Dvd Calendar'!$AC$1920)=0,"",IF(('Dvd Calendar'!$AC$1920&gt;=GRID_FROM)*('Dvd Calendar'!$AC$1920&lt;=GRID_TO)*('Dvd Calendar'!$AC$1920&gt;VAL_DATE)=0,"",'Dvd Calendar'!$AC$1920*1000000000+ISNUMBER('Dvd Calendar'!$AC$1921)*100000000+0*10000000+(N('Dvd Calendar'!$AC$1919)&gt;0)*(N('Dvd Calendar'!$AC$1919)&lt;=VAL_SERIAL)*1000000+33*1000+65))</f>
        <v/>
      </c>
    </row>
    <row r="193">
      <c r="B193" s="2">
        <f>IF(HSCEI!$C$40="","",HSCEI!$C$40)</f>
        <v/>
      </c>
      <c r="C193" s="110">
        <f>IF(EE193="","",IF(ISNUMBER('Dvd Calendar'!$E$1927)=FALSE,"",IF((('Dvd Calendar'!$E$1929=TYPE1)*(TYPE1&lt;&gt;"")+('Dvd Calendar'!$E$1929=TYPE2)*(TYPE2&lt;&gt;"")+('Dvd Calendar'!$E$1929=TYPE3)*(TYPE3&lt;&gt;"")+('Dvd Calendar'!$E$1929=TYPE4)*(TYPE4&lt;&gt;"")+('Dvd Calendar'!$E$1929=SPECIAL_LBL)*(INC_SPECIALS="Y"))=0,"",'Dvd Calendar'!$E$1927)))</f>
        <v/>
      </c>
      <c r="D193" s="110">
        <f>IF(EF193="","",IF(ISNUMBER('Dvd Calendar'!$F$1927)=FALSE,"",IF((('Dvd Calendar'!$F$1929=TYPE1)*(TYPE1&lt;&gt;"")+('Dvd Calendar'!$F$1929=TYPE2)*(TYPE2&lt;&gt;"")+('Dvd Calendar'!$F$1929=TYPE3)*(TYPE3&lt;&gt;"")+('Dvd Calendar'!$F$1929=TYPE4)*(TYPE4&lt;&gt;"")+('Dvd Calendar'!$F$1929=SPECIAL_LBL)*(INC_SPECIALS="Y"))=0,"",'Dvd Calendar'!$F$1927)))</f>
        <v/>
      </c>
      <c r="E193" s="110">
        <f>IF(EG193="","",IF(ISNUMBER('Dvd Calendar'!$G$1927)=FALSE,"",IF((('Dvd Calendar'!$G$1929=TYPE1)*(TYPE1&lt;&gt;"")+('Dvd Calendar'!$G$1929=TYPE2)*(TYPE2&lt;&gt;"")+('Dvd Calendar'!$G$1929=TYPE3)*(TYPE3&lt;&gt;"")+('Dvd Calendar'!$G$1929=TYPE4)*(TYPE4&lt;&gt;"")+('Dvd Calendar'!$G$1929=SPECIAL_LBL)*(INC_SPECIALS="Y"))=0,"",'Dvd Calendar'!$G$1927)))</f>
        <v/>
      </c>
      <c r="F193" s="110">
        <f>IF(EH193="","",IF(ISNUMBER('Dvd Calendar'!$H$1927)=FALSE,"",IF((('Dvd Calendar'!$H$1929=TYPE1)*(TYPE1&lt;&gt;"")+('Dvd Calendar'!$H$1929=TYPE2)*(TYPE2&lt;&gt;"")+('Dvd Calendar'!$H$1929=TYPE3)*(TYPE3&lt;&gt;"")+('Dvd Calendar'!$H$1929=TYPE4)*(TYPE4&lt;&gt;"")+('Dvd Calendar'!$H$1929=SPECIAL_LBL)*(INC_SPECIALS="Y"))=0,"",'Dvd Calendar'!$H$1927)))</f>
        <v/>
      </c>
      <c r="G193" s="110">
        <f>IF(EI193="","",IF(ISNUMBER('Dvd Calendar'!$I$1927)=FALSE,"",IF((('Dvd Calendar'!$I$1929=TYPE1)*(TYPE1&lt;&gt;"")+('Dvd Calendar'!$I$1929=TYPE2)*(TYPE2&lt;&gt;"")+('Dvd Calendar'!$I$1929=TYPE3)*(TYPE3&lt;&gt;"")+('Dvd Calendar'!$I$1929=TYPE4)*(TYPE4&lt;&gt;"")+('Dvd Calendar'!$I$1929=SPECIAL_LBL)*(INC_SPECIALS="Y"))=0,"",'Dvd Calendar'!$I$1927)))</f>
        <v/>
      </c>
      <c r="H193" s="110">
        <f>IF(EJ193="","",IF(ISNUMBER('Dvd Calendar'!$J$1927)=FALSE,"",IF((('Dvd Calendar'!$J$1929=TYPE1)*(TYPE1&lt;&gt;"")+('Dvd Calendar'!$J$1929=TYPE2)*(TYPE2&lt;&gt;"")+('Dvd Calendar'!$J$1929=TYPE3)*(TYPE3&lt;&gt;"")+('Dvd Calendar'!$J$1929=TYPE4)*(TYPE4&lt;&gt;"")+('Dvd Calendar'!$J$1929=SPECIAL_LBL)*(INC_SPECIALS="Y"))=0,"",'Dvd Calendar'!$J$1927)))</f>
        <v/>
      </c>
      <c r="I193" s="110">
        <f>IF(EK193="","",IF(ISNUMBER('Dvd Calendar'!$K$1927)=FALSE,"",IF((('Dvd Calendar'!$K$1929=TYPE1)*(TYPE1&lt;&gt;"")+('Dvd Calendar'!$K$1929=TYPE2)*(TYPE2&lt;&gt;"")+('Dvd Calendar'!$K$1929=TYPE3)*(TYPE3&lt;&gt;"")+('Dvd Calendar'!$K$1929=TYPE4)*(TYPE4&lt;&gt;"")+('Dvd Calendar'!$K$1929=SPECIAL_LBL)*(INC_SPECIALS="Y"))=0,"",'Dvd Calendar'!$K$1927)))</f>
        <v/>
      </c>
      <c r="J193" s="110">
        <f>IF(EL193="","",IF(ISNUMBER('Dvd Calendar'!$L$1927)=FALSE,"",IF((('Dvd Calendar'!$L$1929=TYPE1)*(TYPE1&lt;&gt;"")+('Dvd Calendar'!$L$1929=TYPE2)*(TYPE2&lt;&gt;"")+('Dvd Calendar'!$L$1929=TYPE3)*(TYPE3&lt;&gt;"")+('Dvd Calendar'!$L$1929=TYPE4)*(TYPE4&lt;&gt;"")+('Dvd Calendar'!$L$1929=SPECIAL_LBL)*(INC_SPECIALS="Y"))=0,"",'Dvd Calendar'!$L$1927)))</f>
        <v/>
      </c>
      <c r="K193" s="110">
        <f>IF(EM193="","",IF(ISNUMBER('Dvd Calendar'!$M$1927)=FALSE,"",IF((('Dvd Calendar'!$M$1929=TYPE1)*(TYPE1&lt;&gt;"")+('Dvd Calendar'!$M$1929=TYPE2)*(TYPE2&lt;&gt;"")+('Dvd Calendar'!$M$1929=TYPE3)*(TYPE3&lt;&gt;"")+('Dvd Calendar'!$M$1929=TYPE4)*(TYPE4&lt;&gt;"")+('Dvd Calendar'!$M$1929=SPECIAL_LBL)*(INC_SPECIALS="Y"))=0,"",'Dvd Calendar'!$M$1927)))</f>
        <v/>
      </c>
      <c r="L193" s="110">
        <f>IF(EN193="","",IF(ISNUMBER('Dvd Calendar'!$N$1927)=FALSE,"",IF((('Dvd Calendar'!$N$1929=TYPE1)*(TYPE1&lt;&gt;"")+('Dvd Calendar'!$N$1929=TYPE2)*(TYPE2&lt;&gt;"")+('Dvd Calendar'!$N$1929=TYPE3)*(TYPE3&lt;&gt;"")+('Dvd Calendar'!$N$1929=TYPE4)*(TYPE4&lt;&gt;"")+('Dvd Calendar'!$N$1929=SPECIAL_LBL)*(INC_SPECIALS="Y"))=0,"",'Dvd Calendar'!$N$1927)))</f>
        <v/>
      </c>
      <c r="M193" s="110">
        <f>IF(EO193="","",IF(ISNUMBER('Dvd Calendar'!$O$1927)=FALSE,"",IF((('Dvd Calendar'!$O$1929=TYPE1)*(TYPE1&lt;&gt;"")+('Dvd Calendar'!$O$1929=TYPE2)*(TYPE2&lt;&gt;"")+('Dvd Calendar'!$O$1929=TYPE3)*(TYPE3&lt;&gt;"")+('Dvd Calendar'!$O$1929=TYPE4)*(TYPE4&lt;&gt;"")+('Dvd Calendar'!$O$1929=SPECIAL_LBL)*(INC_SPECIALS="Y"))=0,"",'Dvd Calendar'!$O$1927)))</f>
        <v/>
      </c>
      <c r="N193" s="110">
        <f>IF(EP193="","",IF(ISNUMBER('Dvd Calendar'!$P$1927)=FALSE,"",IF((('Dvd Calendar'!$P$1929=TYPE1)*(TYPE1&lt;&gt;"")+('Dvd Calendar'!$P$1929=TYPE2)*(TYPE2&lt;&gt;"")+('Dvd Calendar'!$P$1929=TYPE3)*(TYPE3&lt;&gt;"")+('Dvd Calendar'!$P$1929=TYPE4)*(TYPE4&lt;&gt;"")+('Dvd Calendar'!$P$1929=SPECIAL_LBL)*(INC_SPECIALS="Y"))=0,"",'Dvd Calendar'!$P$1927)))</f>
        <v/>
      </c>
      <c r="O193" s="110">
        <f>IF(EQ193="","",IF(ISNUMBER('Dvd Calendar'!$Q$1927)=FALSE,"",IF((('Dvd Calendar'!$Q$1929=TYPE1)*(TYPE1&lt;&gt;"")+('Dvd Calendar'!$Q$1929=TYPE2)*(TYPE2&lt;&gt;"")+('Dvd Calendar'!$Q$1929=TYPE3)*(TYPE3&lt;&gt;"")+('Dvd Calendar'!$Q$1929=TYPE4)*(TYPE4&lt;&gt;"")+('Dvd Calendar'!$Q$1929=SPECIAL_LBL)*(INC_SPECIALS="Y"))=0,"",'Dvd Calendar'!$Q$1927)))</f>
        <v/>
      </c>
      <c r="P193" s="110">
        <f>IF(ER193="","",IF(ISNUMBER('Dvd Calendar'!$R$1927)=FALSE,"",IF((('Dvd Calendar'!$R$1929=TYPE1)*(TYPE1&lt;&gt;"")+('Dvd Calendar'!$R$1929=TYPE2)*(TYPE2&lt;&gt;"")+('Dvd Calendar'!$R$1929=TYPE3)*(TYPE3&lt;&gt;"")+('Dvd Calendar'!$R$1929=TYPE4)*(TYPE4&lt;&gt;"")+('Dvd Calendar'!$R$1929=SPECIAL_LBL)*(INC_SPECIALS="Y"))=0,"",'Dvd Calendar'!$R$1927)))</f>
        <v/>
      </c>
      <c r="Q193" s="110">
        <f>IF(ES193="","",IF(ISNUMBER('Dvd Calendar'!$S$1927)=FALSE,"",IF((('Dvd Calendar'!$S$1929=TYPE1)*(TYPE1&lt;&gt;"")+('Dvd Calendar'!$S$1929=TYPE2)*(TYPE2&lt;&gt;"")+('Dvd Calendar'!$S$1929=TYPE3)*(TYPE3&lt;&gt;"")+('Dvd Calendar'!$S$1929=TYPE4)*(TYPE4&lt;&gt;"")+('Dvd Calendar'!$S$1929=SPECIAL_LBL)*(INC_SPECIALS="Y"))=0,"",'Dvd Calendar'!$S$1927)))</f>
        <v/>
      </c>
      <c r="R193" s="110">
        <f>IF(ET193="","",IF(ISNUMBER('Dvd Calendar'!$T$1927)=FALSE,"",IF((('Dvd Calendar'!$T$1929=TYPE1)*(TYPE1&lt;&gt;"")+('Dvd Calendar'!$T$1929=TYPE2)*(TYPE2&lt;&gt;"")+('Dvd Calendar'!$T$1929=TYPE3)*(TYPE3&lt;&gt;"")+('Dvd Calendar'!$T$1929=TYPE4)*(TYPE4&lt;&gt;"")+('Dvd Calendar'!$T$1929=SPECIAL_LBL)*(INC_SPECIALS="Y"))=0,"",'Dvd Calendar'!$T$1927)))</f>
        <v/>
      </c>
      <c r="S193" s="110">
        <f>IF(EU193="","",IF(ISNUMBER('Dvd Calendar'!$U$1927)=FALSE,"",IF((('Dvd Calendar'!$U$1929=TYPE1)*(TYPE1&lt;&gt;"")+('Dvd Calendar'!$U$1929=TYPE2)*(TYPE2&lt;&gt;"")+('Dvd Calendar'!$U$1929=TYPE3)*(TYPE3&lt;&gt;"")+('Dvd Calendar'!$U$1929=TYPE4)*(TYPE4&lt;&gt;"")+('Dvd Calendar'!$U$1929=SPECIAL_LBL)*(INC_SPECIALS="Y"))=0,"",'Dvd Calendar'!$U$1927)))</f>
        <v/>
      </c>
      <c r="T193" s="110">
        <f>IF(EV193="","",IF(ISNUMBER('Dvd Calendar'!$V$1927)=FALSE,"",IF((('Dvd Calendar'!$V$1929=TYPE1)*(TYPE1&lt;&gt;"")+('Dvd Calendar'!$V$1929=TYPE2)*(TYPE2&lt;&gt;"")+('Dvd Calendar'!$V$1929=TYPE3)*(TYPE3&lt;&gt;"")+('Dvd Calendar'!$V$1929=TYPE4)*(TYPE4&lt;&gt;"")+('Dvd Calendar'!$V$1929=SPECIAL_LBL)*(INC_SPECIALS="Y"))=0,"",'Dvd Calendar'!$V$1927)))</f>
        <v/>
      </c>
      <c r="U193" s="110">
        <f>IF(EW193="","",IF(ISNUMBER('Dvd Calendar'!$W$1927)=FALSE,"",IF((('Dvd Calendar'!$W$1929=TYPE1)*(TYPE1&lt;&gt;"")+('Dvd Calendar'!$W$1929=TYPE2)*(TYPE2&lt;&gt;"")+('Dvd Calendar'!$W$1929=TYPE3)*(TYPE3&lt;&gt;"")+('Dvd Calendar'!$W$1929=TYPE4)*(TYPE4&lt;&gt;"")+('Dvd Calendar'!$W$1929=SPECIAL_LBL)*(INC_SPECIALS="Y"))=0,"",'Dvd Calendar'!$W$1927)))</f>
        <v/>
      </c>
      <c r="V193" s="110">
        <f>IF(EX193="","",IF(ISNUMBER('Dvd Calendar'!$X$1927)=FALSE,"",IF((('Dvd Calendar'!$X$1929=TYPE1)*(TYPE1&lt;&gt;"")+('Dvd Calendar'!$X$1929=TYPE2)*(TYPE2&lt;&gt;"")+('Dvd Calendar'!$X$1929=TYPE3)*(TYPE3&lt;&gt;"")+('Dvd Calendar'!$X$1929=TYPE4)*(TYPE4&lt;&gt;"")+('Dvd Calendar'!$X$1929=SPECIAL_LBL)*(INC_SPECIALS="Y"))=0,"",'Dvd Calendar'!$X$1927)))</f>
        <v/>
      </c>
      <c r="W193" s="110">
        <f>IF(EY193="","",IF(ISNUMBER('Dvd Calendar'!$Y$1927)=FALSE,"",IF((('Dvd Calendar'!$Y$1929=TYPE1)*(TYPE1&lt;&gt;"")+('Dvd Calendar'!$Y$1929=TYPE2)*(TYPE2&lt;&gt;"")+('Dvd Calendar'!$Y$1929=TYPE3)*(TYPE3&lt;&gt;"")+('Dvd Calendar'!$Y$1929=TYPE4)*(TYPE4&lt;&gt;"")+('Dvd Calendar'!$Y$1929=SPECIAL_LBL)*(INC_SPECIALS="Y"))=0,"",'Dvd Calendar'!$Y$1927)))</f>
        <v/>
      </c>
      <c r="X193" s="110">
        <f>IF(EZ193="","",IF(ISNUMBER('Dvd Calendar'!$Z$1927)=FALSE,"",IF((('Dvd Calendar'!$Z$1929=TYPE1)*(TYPE1&lt;&gt;"")+('Dvd Calendar'!$Z$1929=TYPE2)*(TYPE2&lt;&gt;"")+('Dvd Calendar'!$Z$1929=TYPE3)*(TYPE3&lt;&gt;"")+('Dvd Calendar'!$Z$1929=TYPE4)*(TYPE4&lt;&gt;"")+('Dvd Calendar'!$Z$1929=SPECIAL_LBL)*(INC_SPECIALS="Y"))=0,"",'Dvd Calendar'!$Z$1927)))</f>
        <v/>
      </c>
      <c r="Y193" s="110">
        <f>IF(FA193="","",IF(ISNUMBER('Dvd Calendar'!$AA$1927)=FALSE,"",IF((('Dvd Calendar'!$AA$1929=TYPE1)*(TYPE1&lt;&gt;"")+('Dvd Calendar'!$AA$1929=TYPE2)*(TYPE2&lt;&gt;"")+('Dvd Calendar'!$AA$1929=TYPE3)*(TYPE3&lt;&gt;"")+('Dvd Calendar'!$AA$1929=TYPE4)*(TYPE4&lt;&gt;"")+('Dvd Calendar'!$AA$1929=SPECIAL_LBL)*(INC_SPECIALS="Y"))=0,"",'Dvd Calendar'!$AA$1927)))</f>
        <v/>
      </c>
      <c r="Z193" s="110">
        <f>IF(FB193="","",IF(ISNUMBER('Dvd Calendar'!$AB$1927)=FALSE,"",IF((('Dvd Calendar'!$AB$1929=TYPE1)*(TYPE1&lt;&gt;"")+('Dvd Calendar'!$AB$1929=TYPE2)*(TYPE2&lt;&gt;"")+('Dvd Calendar'!$AB$1929=TYPE3)*(TYPE3&lt;&gt;"")+('Dvd Calendar'!$AB$1929=TYPE4)*(TYPE4&lt;&gt;"")+('Dvd Calendar'!$AB$1929=SPECIAL_LBL)*(INC_SPECIALS="Y"))=0,"",'Dvd Calendar'!$AB$1927)))</f>
        <v/>
      </c>
      <c r="AA193" s="110">
        <f>IF(FC193="","",IF(ISNUMBER('Dvd Calendar'!$AC$1927)=FALSE,"",IF((('Dvd Calendar'!$AC$1929=TYPE1)*(TYPE1&lt;&gt;"")+('Dvd Calendar'!$AC$1929=TYPE2)*(TYPE2&lt;&gt;"")+('Dvd Calendar'!$AC$1929=TYPE3)*(TYPE3&lt;&gt;"")+('Dvd Calendar'!$AC$1929=TYPE4)*(TYPE4&lt;&gt;"")+('Dvd Calendar'!$AC$1929=SPECIAL_LBL)*(INC_SPECIALS="Y"))=0,"",'Dvd Calendar'!$AC$1927)))</f>
        <v/>
      </c>
      <c r="AB193" s="110">
        <f>IF(FD193="","",IF(ISNUMBER('Dvd Calendar'!$AD$1927)=FALSE,"",IF((('Dvd Calendar'!$AD$1929=TYPE1)*(TYPE1&lt;&gt;"")+('Dvd Calendar'!$AD$1929=TYPE2)*(TYPE2&lt;&gt;"")+('Dvd Calendar'!$AD$1929=TYPE3)*(TYPE3&lt;&gt;"")+('Dvd Calendar'!$AD$1929=TYPE4)*(TYPE4&lt;&gt;"")+('Dvd Calendar'!$AD$1929=SPECIAL_LBL)*(INC_SPECIALS="Y"))=0,"",'Dvd Calendar'!$AD$1927)))</f>
        <v/>
      </c>
      <c r="AC193" s="110">
        <f>IF(FE193="","",IF(ISNUMBER('Dvd Calendar'!$AE$1927)=FALSE,"",IF((('Dvd Calendar'!$AE$1929=TYPE1)*(TYPE1&lt;&gt;"")+('Dvd Calendar'!$AE$1929=TYPE2)*(TYPE2&lt;&gt;"")+('Dvd Calendar'!$AE$1929=TYPE3)*(TYPE3&lt;&gt;"")+('Dvd Calendar'!$AE$1929=TYPE4)*(TYPE4&lt;&gt;"")+('Dvd Calendar'!$AE$1929=SPECIAL_LBL)*(INC_SPECIALS="Y"))=0,"",'Dvd Calendar'!$AE$1927)))</f>
        <v/>
      </c>
      <c r="AD193" s="110">
        <f>IF(FF193="","",IF(ISNUMBER('Dvd Calendar'!$AF$1927)=FALSE,"",IF((('Dvd Calendar'!$AF$1929=TYPE1)*(TYPE1&lt;&gt;"")+('Dvd Calendar'!$AF$1929=TYPE2)*(TYPE2&lt;&gt;"")+('Dvd Calendar'!$AF$1929=TYPE3)*(TYPE3&lt;&gt;"")+('Dvd Calendar'!$AF$1929=TYPE4)*(TYPE4&lt;&gt;"")+('Dvd Calendar'!$AF$1929=SPECIAL_LBL)*(INC_SPECIALS="Y"))=0,"",'Dvd Calendar'!$AF$1927)))</f>
        <v/>
      </c>
      <c r="AE193" s="110">
        <f>IF(FG193="","",IF(ISNUMBER('Dvd Calendar'!$AG$1927)=FALSE,"",IF((('Dvd Calendar'!$AG$1929=TYPE1)*(TYPE1&lt;&gt;"")+('Dvd Calendar'!$AG$1929=TYPE2)*(TYPE2&lt;&gt;"")+('Dvd Calendar'!$AG$1929=TYPE3)*(TYPE3&lt;&gt;"")+('Dvd Calendar'!$AG$1929=TYPE4)*(TYPE4&lt;&gt;"")+('Dvd Calendar'!$AG$1929=SPECIAL_LBL)*(INC_SPECIALS="Y"))=0,"",'Dvd Calendar'!$AG$1927)))</f>
        <v/>
      </c>
      <c r="AF193" s="110">
        <f>IF(FH193="","",IF(ISNUMBER('Dvd Calendar'!$AH$1927)=FALSE,"",IF((('Dvd Calendar'!$AH$1929=TYPE1)*(TYPE1&lt;&gt;"")+('Dvd Calendar'!$AH$1929=TYPE2)*(TYPE2&lt;&gt;"")+('Dvd Calendar'!$AH$1929=TYPE3)*(TYPE3&lt;&gt;"")+('Dvd Calendar'!$AH$1929=TYPE4)*(TYPE4&lt;&gt;"")+('Dvd Calendar'!$AH$1929=SPECIAL_LBL)*(INC_SPECIALS="Y"))=0,"",'Dvd Calendar'!$AH$1927)))</f>
        <v/>
      </c>
      <c r="AG193" s="110">
        <f>IF(FI193="","",IF(ISNUMBER('Dvd Calendar'!$AI$1927)=FALSE,"",IF((('Dvd Calendar'!$AI$1929=TYPE1)*(TYPE1&lt;&gt;"")+('Dvd Calendar'!$AI$1929=TYPE2)*(TYPE2&lt;&gt;"")+('Dvd Calendar'!$AI$1929=TYPE3)*(TYPE3&lt;&gt;"")+('Dvd Calendar'!$AI$1929=TYPE4)*(TYPE4&lt;&gt;"")+('Dvd Calendar'!$AI$1929=SPECIAL_LBL)*(INC_SPECIALS="Y"))=0,"",'Dvd Calendar'!$AI$1927)))</f>
        <v/>
      </c>
      <c r="AH193" s="110">
        <f>IF(FJ193="","",IF(ISNUMBER('Dvd Calendar'!$AJ$1927)=FALSE,"",IF((('Dvd Calendar'!$AJ$1929=TYPE1)*(TYPE1&lt;&gt;"")+('Dvd Calendar'!$AJ$1929=TYPE2)*(TYPE2&lt;&gt;"")+('Dvd Calendar'!$AJ$1929=TYPE3)*(TYPE3&lt;&gt;"")+('Dvd Calendar'!$AJ$1929=TYPE4)*(TYPE4&lt;&gt;"")+('Dvd Calendar'!$AJ$1929=SPECIAL_LBL)*(INC_SPECIALS="Y"))=0,"",'Dvd Calendar'!$AJ$1927)))</f>
        <v/>
      </c>
      <c r="AI193" s="110">
        <f>IF(FK193="","",IF(ISNUMBER('Dvd Calendar'!$AK$1927)=FALSE,"",IF((('Dvd Calendar'!$AK$1929=TYPE1)*(TYPE1&lt;&gt;"")+('Dvd Calendar'!$AK$1929=TYPE2)*(TYPE2&lt;&gt;"")+('Dvd Calendar'!$AK$1929=TYPE3)*(TYPE3&lt;&gt;"")+('Dvd Calendar'!$AK$1929=TYPE4)*(TYPE4&lt;&gt;"")+('Dvd Calendar'!$AK$1929=SPECIAL_LBL)*(INC_SPECIALS="Y"))=0,"",'Dvd Calendar'!$AK$1927)))</f>
        <v/>
      </c>
      <c r="AJ193" s="110">
        <f>IF(FL193="","",IF(ISNUMBER('Dvd Calendar'!$AL$1927)=FALSE,"",IF((('Dvd Calendar'!$AL$1929=TYPE1)*(TYPE1&lt;&gt;"")+('Dvd Calendar'!$AL$1929=TYPE2)*(TYPE2&lt;&gt;"")+('Dvd Calendar'!$AL$1929=TYPE3)*(TYPE3&lt;&gt;"")+('Dvd Calendar'!$AL$1929=TYPE4)*(TYPE4&lt;&gt;"")+('Dvd Calendar'!$AL$1929=SPECIAL_LBL)*(INC_SPECIALS="Y"))=0,"",'Dvd Calendar'!$AL$1927)))</f>
        <v/>
      </c>
      <c r="AK193" s="110">
        <f>IF(FM193="","",IF(ISNUMBER('Dvd Calendar'!$AM$1927)=FALSE,"",IF((('Dvd Calendar'!$AM$1929=TYPE1)*(TYPE1&lt;&gt;"")+('Dvd Calendar'!$AM$1929=TYPE2)*(TYPE2&lt;&gt;"")+('Dvd Calendar'!$AM$1929=TYPE3)*(TYPE3&lt;&gt;"")+('Dvd Calendar'!$AM$1929=TYPE4)*(TYPE4&lt;&gt;"")+('Dvd Calendar'!$AM$1929=SPECIAL_LBL)*(INC_SPECIALS="Y"))=0,"",'Dvd Calendar'!$AM$1927)))</f>
        <v/>
      </c>
      <c r="AL193" s="110">
        <f>IF(FN193="","",IF(ISNUMBER('Dvd Calendar'!$AN$1927)=FALSE,"",IF((('Dvd Calendar'!$AN$1929=TYPE1)*(TYPE1&lt;&gt;"")+('Dvd Calendar'!$AN$1929=TYPE2)*(TYPE2&lt;&gt;"")+('Dvd Calendar'!$AN$1929=TYPE3)*(TYPE3&lt;&gt;"")+('Dvd Calendar'!$AN$1929=TYPE4)*(TYPE4&lt;&gt;"")+('Dvd Calendar'!$AN$1929=SPECIAL_LBL)*(INC_SPECIALS="Y"))=0,"",'Dvd Calendar'!$AN$1927)))</f>
        <v/>
      </c>
      <c r="AM193" s="110">
        <f>IF(FO193="","",IF(ISNUMBER('Dvd Calendar'!$AO$1927)=FALSE,"",IF((('Dvd Calendar'!$AO$1929=TYPE1)*(TYPE1&lt;&gt;"")+('Dvd Calendar'!$AO$1929=TYPE2)*(TYPE2&lt;&gt;"")+('Dvd Calendar'!$AO$1929=TYPE3)*(TYPE3&lt;&gt;"")+('Dvd Calendar'!$AO$1929=TYPE4)*(TYPE4&lt;&gt;"")+('Dvd Calendar'!$AO$1929=SPECIAL_LBL)*(INC_SPECIALS="Y"))=0,"",'Dvd Calendar'!$AO$1927)))</f>
        <v/>
      </c>
      <c r="AN193" s="110">
        <f>IF(FP193="","",IF(ISNUMBER('Dvd Calendar'!$AP$1927)=FALSE,"",IF((('Dvd Calendar'!$AP$1929=TYPE1)*(TYPE1&lt;&gt;"")+('Dvd Calendar'!$AP$1929=TYPE2)*(TYPE2&lt;&gt;"")+('Dvd Calendar'!$AP$1929=TYPE3)*(TYPE3&lt;&gt;"")+('Dvd Calendar'!$AP$1929=TYPE4)*(TYPE4&lt;&gt;"")+('Dvd Calendar'!$AP$1929=SPECIAL_LBL)*(INC_SPECIALS="Y"))=0,"",'Dvd Calendar'!$AP$1927)))</f>
        <v/>
      </c>
      <c r="AO193" s="110">
        <f>IF(FQ193="","",IF(ISNUMBER('Dvd Calendar'!$AQ$1927)=FALSE,"",IF((('Dvd Calendar'!$AQ$1929=TYPE1)*(TYPE1&lt;&gt;"")+('Dvd Calendar'!$AQ$1929=TYPE2)*(TYPE2&lt;&gt;"")+('Dvd Calendar'!$AQ$1929=TYPE3)*(TYPE3&lt;&gt;"")+('Dvd Calendar'!$AQ$1929=TYPE4)*(TYPE4&lt;&gt;"")+('Dvd Calendar'!$AQ$1929=SPECIAL_LBL)*(INC_SPECIALS="Y"))=0,"",'Dvd Calendar'!$AQ$1927)))</f>
        <v/>
      </c>
      <c r="AP193" s="110">
        <f>IF(FR193="","",IF(ISNUMBER('Dvd Calendar'!$AR$1927)=FALSE,"",IF((('Dvd Calendar'!$AR$1929=TYPE1)*(TYPE1&lt;&gt;"")+('Dvd Calendar'!$AR$1929=TYPE2)*(TYPE2&lt;&gt;"")+('Dvd Calendar'!$AR$1929=TYPE3)*(TYPE3&lt;&gt;"")+('Dvd Calendar'!$AR$1929=TYPE4)*(TYPE4&lt;&gt;"")+('Dvd Calendar'!$AR$1929=SPECIAL_LBL)*(INC_SPECIALS="Y"))=0,"",'Dvd Calendar'!$AR$1927)))</f>
        <v/>
      </c>
      <c r="AQ193" s="110">
        <f>IF(FS193="","",IF(ISNUMBER('Dvd Calendar'!$E$1932)=FALSE,"",'Dvd Calendar'!$E$1932))</f>
        <v/>
      </c>
      <c r="AR193" s="110">
        <f>IF(FT193="","",IF(ISNUMBER('Dvd Calendar'!$F$1932)=FALSE,"",'Dvd Calendar'!$F$1932))</f>
        <v/>
      </c>
      <c r="AS193" s="110">
        <f>IF(FU193="","",IF(ISNUMBER('Dvd Calendar'!$G$1932)=FALSE,"",'Dvd Calendar'!$G$1932))</f>
        <v/>
      </c>
      <c r="AT193" s="110">
        <f>IF(FV193="","",IF(ISNUMBER('Dvd Calendar'!$H$1932)=FALSE,"",'Dvd Calendar'!$H$1932))</f>
        <v/>
      </c>
      <c r="AU193" s="110">
        <f>IF(FW193="","",IF(ISNUMBER('Dvd Calendar'!$I$1932)=FALSE,"",'Dvd Calendar'!$I$1932))</f>
        <v/>
      </c>
      <c r="AV193" s="110">
        <f>IF(FX193="","",IF(ISNUMBER('Dvd Calendar'!$J$1932)=FALSE,"",'Dvd Calendar'!$J$1932))</f>
        <v/>
      </c>
      <c r="AW193" s="110">
        <f>IF(FY193="","",IF(ISNUMBER('Dvd Calendar'!$K$1932)=FALSE,"",'Dvd Calendar'!$K$1932))</f>
        <v/>
      </c>
      <c r="AX193" s="110">
        <f>IF(FZ193="","",IF(ISNUMBER('Dvd Calendar'!$L$1932)=FALSE,"",'Dvd Calendar'!$L$1932))</f>
        <v/>
      </c>
      <c r="AY193" s="110">
        <f>IF(GA193="","",IF(ISNUMBER('Dvd Calendar'!$M$1932)=FALSE,"",'Dvd Calendar'!$M$1932))</f>
        <v/>
      </c>
      <c r="AZ193" s="110">
        <f>IF(GB193="","",IF(ISNUMBER('Dvd Calendar'!$N$1932)=FALSE,"",'Dvd Calendar'!$N$1932))</f>
        <v/>
      </c>
      <c r="BA193" s="110">
        <f>IF(GC193="","",IF(ISNUMBER('Dvd Calendar'!$O$1932)=FALSE,"",'Dvd Calendar'!$O$1932))</f>
        <v/>
      </c>
      <c r="BB193" s="110">
        <f>IF(GD193="","",IF(ISNUMBER('Dvd Calendar'!$P$1932)=FALSE,"",'Dvd Calendar'!$P$1932))</f>
        <v/>
      </c>
      <c r="BC193" s="110">
        <f>IF(GE193="","",IF(ISNUMBER('Dvd Calendar'!$Q$1932)=FALSE,"",'Dvd Calendar'!$Q$1932))</f>
        <v/>
      </c>
      <c r="BD193" s="110">
        <f>IF(GF193="","",IF(ISNUMBER('Dvd Calendar'!$R$1932)=FALSE,"",'Dvd Calendar'!$R$1932))</f>
        <v/>
      </c>
      <c r="BE193" s="110">
        <f>IF(GG193="","",IF(ISNUMBER('Dvd Calendar'!$S$1932)=FALSE,"",'Dvd Calendar'!$S$1932))</f>
        <v/>
      </c>
      <c r="BF193" s="110">
        <f>IF(GH193="","",IF(ISNUMBER('Dvd Calendar'!$T$1932)=FALSE,"",'Dvd Calendar'!$T$1932))</f>
        <v/>
      </c>
      <c r="BG193" s="110">
        <f>IF(GI193="","",IF(ISNUMBER('Dvd Calendar'!$U$1932)=FALSE,"",'Dvd Calendar'!$U$1932))</f>
        <v/>
      </c>
      <c r="BH193" s="110">
        <f>IF(GJ193="","",IF(ISNUMBER('Dvd Calendar'!$V$1932)=FALSE,"",'Dvd Calendar'!$V$1932))</f>
        <v/>
      </c>
      <c r="BI193" s="110">
        <f>IF(GK193="","",IF(ISNUMBER('Dvd Calendar'!$W$1932)=FALSE,"",'Dvd Calendar'!$W$1932))</f>
        <v/>
      </c>
      <c r="BJ193" s="110">
        <f>IF(GL193="","",IF(ISNUMBER('Dvd Calendar'!$X$1932)=FALSE,"",'Dvd Calendar'!$X$1932))</f>
        <v/>
      </c>
      <c r="BK193" s="110">
        <f>IF(GM193="","",IF(ISNUMBER('Dvd Calendar'!$Y$1932)=FALSE,"",'Dvd Calendar'!$Y$1932))</f>
        <v/>
      </c>
      <c r="BL193" s="110">
        <f>IF(GN193="","",IF(ISNUMBER('Dvd Calendar'!$Z$1932)=FALSE,"",'Dvd Calendar'!$Z$1932))</f>
        <v/>
      </c>
      <c r="BM193" s="110">
        <f>IF(GO193="","",IF(ISNUMBER('Dvd Calendar'!$AA$1932)=FALSE,"",'Dvd Calendar'!$AA$1932))</f>
        <v/>
      </c>
      <c r="BN193" s="110">
        <f>IF(GP193="","",IF(ISNUMBER('Dvd Calendar'!$AB$1932)=FALSE,"",'Dvd Calendar'!$AB$1932))</f>
        <v/>
      </c>
      <c r="BO193" s="110">
        <f>IF(GQ193="","",IF(ISNUMBER('Dvd Calendar'!$AC$1932)=FALSE,"",'Dvd Calendar'!$AC$1932))</f>
        <v/>
      </c>
      <c r="BQ193" s="110">
        <f>IF(C193="","",IFERROR(C193*HSCEI!$B$40*HSCEI!$G$40/HSCEI!$B$3,""))</f>
        <v/>
      </c>
      <c r="BR193" s="110">
        <f>IF(D193="","",IFERROR(D193*HSCEI!$B$40*HSCEI!$G$40/HSCEI!$B$3,""))</f>
        <v/>
      </c>
      <c r="BS193" s="110">
        <f>IF(E193="","",IFERROR(E193*HSCEI!$B$40*HSCEI!$G$40/HSCEI!$B$3,""))</f>
        <v/>
      </c>
      <c r="BT193" s="110">
        <f>IF(F193="","",IFERROR(F193*HSCEI!$B$40*HSCEI!$G$40/HSCEI!$B$3,""))</f>
        <v/>
      </c>
      <c r="BU193" s="110">
        <f>IF(G193="","",IFERROR(G193*HSCEI!$B$40*HSCEI!$G$40/HSCEI!$B$3,""))</f>
        <v/>
      </c>
      <c r="BV193" s="110">
        <f>IF(H193="","",IFERROR(H193*HSCEI!$B$40*HSCEI!$G$40/HSCEI!$B$3,""))</f>
        <v/>
      </c>
      <c r="BW193" s="110">
        <f>IF(I193="","",IFERROR(I193*HSCEI!$B$40*HSCEI!$G$40/HSCEI!$B$3,""))</f>
        <v/>
      </c>
      <c r="BX193" s="110">
        <f>IF(J193="","",IFERROR(J193*HSCEI!$B$40*HSCEI!$G$40/HSCEI!$B$3,""))</f>
        <v/>
      </c>
      <c r="BY193" s="110">
        <f>IF(K193="","",IFERROR(K193*HSCEI!$B$40*HSCEI!$G$40/HSCEI!$B$3,""))</f>
        <v/>
      </c>
      <c r="BZ193" s="110">
        <f>IF(L193="","",IFERROR(L193*HSCEI!$B$40*HSCEI!$G$40/HSCEI!$B$3,""))</f>
        <v/>
      </c>
      <c r="CA193" s="110">
        <f>IF(M193="","",IFERROR(M193*HSCEI!$B$40*HSCEI!$G$40/HSCEI!$B$3,""))</f>
        <v/>
      </c>
      <c r="CB193" s="110">
        <f>IF(N193="","",IFERROR(N193*HSCEI!$B$40*HSCEI!$G$40/HSCEI!$B$3,""))</f>
        <v/>
      </c>
      <c r="CC193" s="110">
        <f>IF(O193="","",IFERROR(O193*HSCEI!$B$40*HSCEI!$G$40/HSCEI!$B$3,""))</f>
        <v/>
      </c>
      <c r="CD193" s="110">
        <f>IF(P193="","",IFERROR(P193*HSCEI!$B$40*HSCEI!$G$40/HSCEI!$B$3,""))</f>
        <v/>
      </c>
      <c r="CE193" s="110">
        <f>IF(Q193="","",IFERROR(Q193*HSCEI!$B$40*HSCEI!$G$40/HSCEI!$B$3,""))</f>
        <v/>
      </c>
      <c r="CF193" s="110">
        <f>IF(R193="","",IFERROR(R193*HSCEI!$B$40*HSCEI!$G$40/HSCEI!$B$3,""))</f>
        <v/>
      </c>
      <c r="CG193" s="110">
        <f>IF(S193="","",IFERROR(S193*HSCEI!$B$40*HSCEI!$G$40/HSCEI!$B$3,""))</f>
        <v/>
      </c>
      <c r="CH193" s="110">
        <f>IF(T193="","",IFERROR(T193*HSCEI!$B$40*HSCEI!$G$40/HSCEI!$B$3,""))</f>
        <v/>
      </c>
      <c r="CI193" s="110">
        <f>IF(U193="","",IFERROR(U193*HSCEI!$B$40*HSCEI!$G$40/HSCEI!$B$3,""))</f>
        <v/>
      </c>
      <c r="CJ193" s="110">
        <f>IF(V193="","",IFERROR(V193*HSCEI!$B$40*HSCEI!$G$40/HSCEI!$B$3,""))</f>
        <v/>
      </c>
      <c r="CK193" s="110">
        <f>IF(W193="","",IFERROR(W193*HSCEI!$B$40*HSCEI!$G$40/HSCEI!$B$3,""))</f>
        <v/>
      </c>
      <c r="CL193" s="110">
        <f>IF(X193="","",IFERROR(X193*HSCEI!$B$40*HSCEI!$G$40/HSCEI!$B$3,""))</f>
        <v/>
      </c>
      <c r="CM193" s="110">
        <f>IF(Y193="","",IFERROR(Y193*HSCEI!$B$40*HSCEI!$G$40/HSCEI!$B$3,""))</f>
        <v/>
      </c>
      <c r="CN193" s="110">
        <f>IF(Z193="","",IFERROR(Z193*HSCEI!$B$40*HSCEI!$G$40/HSCEI!$B$3,""))</f>
        <v/>
      </c>
      <c r="CO193" s="110">
        <f>IF(AA193="","",IFERROR(AA193*HSCEI!$B$40*HSCEI!$G$40/HSCEI!$B$3,""))</f>
        <v/>
      </c>
      <c r="CP193" s="110">
        <f>IF(AB193="","",IFERROR(AB193*HSCEI!$B$40*HSCEI!$G$40/HSCEI!$B$3,""))</f>
        <v/>
      </c>
      <c r="CQ193" s="110">
        <f>IF(AC193="","",IFERROR(AC193*HSCEI!$B$40*HSCEI!$G$40/HSCEI!$B$3,""))</f>
        <v/>
      </c>
      <c r="CR193" s="110">
        <f>IF(AD193="","",IFERROR(AD193*HSCEI!$B$40*HSCEI!$G$40/HSCEI!$B$3,""))</f>
        <v/>
      </c>
      <c r="CS193" s="110">
        <f>IF(AE193="","",IFERROR(AE193*HSCEI!$B$40*HSCEI!$G$40/HSCEI!$B$3,""))</f>
        <v/>
      </c>
      <c r="CT193" s="110">
        <f>IF(AF193="","",IFERROR(AF193*HSCEI!$B$40*HSCEI!$G$40/HSCEI!$B$3,""))</f>
        <v/>
      </c>
      <c r="CU193" s="110">
        <f>IF(AG193="","",IFERROR(AG193*HSCEI!$B$40*HSCEI!$G$40/HSCEI!$B$3,""))</f>
        <v/>
      </c>
      <c r="CV193" s="110">
        <f>IF(AH193="","",IFERROR(AH193*HSCEI!$B$40*HSCEI!$G$40/HSCEI!$B$3,""))</f>
        <v/>
      </c>
      <c r="CW193" s="110">
        <f>IF(AI193="","",IFERROR(AI193*HSCEI!$B$40*HSCEI!$G$40/HSCEI!$B$3,""))</f>
        <v/>
      </c>
      <c r="CX193" s="110">
        <f>IF(AJ193="","",IFERROR(AJ193*HSCEI!$B$40*HSCEI!$G$40/HSCEI!$B$3,""))</f>
        <v/>
      </c>
      <c r="CY193" s="110">
        <f>IF(AK193="","",IFERROR(AK193*HSCEI!$B$40*HSCEI!$G$40/HSCEI!$B$3,""))</f>
        <v/>
      </c>
      <c r="CZ193" s="110">
        <f>IF(AL193="","",IFERROR(AL193*HSCEI!$B$40*HSCEI!$G$40/HSCEI!$B$3,""))</f>
        <v/>
      </c>
      <c r="DA193" s="110">
        <f>IF(AM193="","",IFERROR(AM193*HSCEI!$B$40*HSCEI!$G$40/HSCEI!$B$3,""))</f>
        <v/>
      </c>
      <c r="DB193" s="110">
        <f>IF(AN193="","",IFERROR(AN193*HSCEI!$B$40*HSCEI!$G$40/HSCEI!$B$3,""))</f>
        <v/>
      </c>
      <c r="DC193" s="110">
        <f>IF(AO193="","",IFERROR(AO193*HSCEI!$B$40*HSCEI!$G$40/HSCEI!$B$3,""))</f>
        <v/>
      </c>
      <c r="DD193" s="110">
        <f>IF(AP193="","",IFERROR(AP193*HSCEI!$B$40*HSCEI!$G$40/HSCEI!$B$3,""))</f>
        <v/>
      </c>
      <c r="DE193" s="110">
        <f>IF(AQ193="","",IFERROR(AQ193*HSCEI!$B$40*HSCEI!$G$40/HSCEI!$B$3,""))</f>
        <v/>
      </c>
      <c r="DF193" s="110">
        <f>IF(AR193="","",IFERROR(AR193*HSCEI!$B$40*HSCEI!$G$40/HSCEI!$B$3,""))</f>
        <v/>
      </c>
      <c r="DG193" s="110">
        <f>IF(AS193="","",IFERROR(AS193*HSCEI!$B$40*HSCEI!$G$40/HSCEI!$B$3,""))</f>
        <v/>
      </c>
      <c r="DH193" s="110">
        <f>IF(AT193="","",IFERROR(AT193*HSCEI!$B$40*HSCEI!$G$40/HSCEI!$B$3,""))</f>
        <v/>
      </c>
      <c r="DI193" s="110">
        <f>IF(AU193="","",IFERROR(AU193*HSCEI!$B$40*HSCEI!$G$40/HSCEI!$B$3,""))</f>
        <v/>
      </c>
      <c r="DJ193" s="110">
        <f>IF(AV193="","",IFERROR(AV193*HSCEI!$B$40*HSCEI!$G$40/HSCEI!$B$3,""))</f>
        <v/>
      </c>
      <c r="DK193" s="110">
        <f>IF(AW193="","",IFERROR(AW193*HSCEI!$B$40*HSCEI!$G$40/HSCEI!$B$3,""))</f>
        <v/>
      </c>
      <c r="DL193" s="110">
        <f>IF(AX193="","",IFERROR(AX193*HSCEI!$B$40*HSCEI!$G$40/HSCEI!$B$3,""))</f>
        <v/>
      </c>
      <c r="DM193" s="110">
        <f>IF(AY193="","",IFERROR(AY193*HSCEI!$B$40*HSCEI!$G$40/HSCEI!$B$3,""))</f>
        <v/>
      </c>
      <c r="DN193" s="110">
        <f>IF(AZ193="","",IFERROR(AZ193*HSCEI!$B$40*HSCEI!$G$40/HSCEI!$B$3,""))</f>
        <v/>
      </c>
      <c r="DO193" s="110">
        <f>IF(BA193="","",IFERROR(BA193*HSCEI!$B$40*HSCEI!$G$40/HSCEI!$B$3,""))</f>
        <v/>
      </c>
      <c r="DP193" s="110">
        <f>IF(BB193="","",IFERROR(BB193*HSCEI!$B$40*HSCEI!$G$40/HSCEI!$B$3,""))</f>
        <v/>
      </c>
      <c r="DQ193" s="110">
        <f>IF(BC193="","",IFERROR(BC193*HSCEI!$B$40*HSCEI!$G$40/HSCEI!$B$3,""))</f>
        <v/>
      </c>
      <c r="DR193" s="110">
        <f>IF(BD193="","",IFERROR(BD193*HSCEI!$B$40*HSCEI!$G$40/HSCEI!$B$3,""))</f>
        <v/>
      </c>
      <c r="DS193" s="110">
        <f>IF(BE193="","",IFERROR(BE193*HSCEI!$B$40*HSCEI!$G$40/HSCEI!$B$3,""))</f>
        <v/>
      </c>
      <c r="DT193" s="110">
        <f>IF(BF193="","",IFERROR(BF193*HSCEI!$B$40*HSCEI!$G$40/HSCEI!$B$3,""))</f>
        <v/>
      </c>
      <c r="DU193" s="110">
        <f>IF(BG193="","",IFERROR(BG193*HSCEI!$B$40*HSCEI!$G$40/HSCEI!$B$3,""))</f>
        <v/>
      </c>
      <c r="DV193" s="110">
        <f>IF(BH193="","",IFERROR(BH193*HSCEI!$B$40*HSCEI!$G$40/HSCEI!$B$3,""))</f>
        <v/>
      </c>
      <c r="DW193" s="110">
        <f>IF(BI193="","",IFERROR(BI193*HSCEI!$B$40*HSCEI!$G$40/HSCEI!$B$3,""))</f>
        <v/>
      </c>
      <c r="DX193" s="110">
        <f>IF(BJ193="","",IFERROR(BJ193*HSCEI!$B$40*HSCEI!$G$40/HSCEI!$B$3,""))</f>
        <v/>
      </c>
      <c r="DY193" s="110">
        <f>IF(BK193="","",IFERROR(BK193*HSCEI!$B$40*HSCEI!$G$40/HSCEI!$B$3,""))</f>
        <v/>
      </c>
      <c r="DZ193" s="110">
        <f>IF(BL193="","",IFERROR(BL193*HSCEI!$B$40*HSCEI!$G$40/HSCEI!$B$3,""))</f>
        <v/>
      </c>
      <c r="EA193" s="110">
        <f>IF(BM193="","",IFERROR(BM193*HSCEI!$B$40*HSCEI!$G$40/HSCEI!$B$3,""))</f>
        <v/>
      </c>
      <c r="EB193" s="110">
        <f>IF(BN193="","",IFERROR(BN193*HSCEI!$B$40*HSCEI!$G$40/HSCEI!$B$3,""))</f>
        <v/>
      </c>
      <c r="EC193" s="110">
        <f>IF(BO193="","",IFERROR(BO193*HSCEI!$B$40*HSCEI!$G$40/HSCEI!$B$3,""))</f>
        <v/>
      </c>
      <c r="EE193" s="39">
        <f>IF(N('Dvd Calendar'!$E$1924)=0,"",IF(('Dvd Calendar'!$E$1924&gt;=GRID_FROM)*('Dvd Calendar'!$E$1924&lt;=GRID_TO)*((('Dvd Calendar'!$E$1924&lt;=VAL_DATE)+(COUNTIF('Dvd Calendar'!$E$1931:$AR$1931,'Dvd Calendar'!$E$1924)=0))&gt;0)=0,"",'Dvd Calendar'!$E$1924*1000000000+ISNUMBER('Dvd Calendar'!$E$1927)*100000000+('Dvd Calendar'!$E$1929=SPECIAL_LBL)*10000000+(N('Dvd Calendar'!$E$1923)&gt;0)*(N('Dvd Calendar'!$E$1923)&lt;=VAL_SERIAL)*1000000+34*1000+1))</f>
        <v/>
      </c>
      <c r="EF193" s="39">
        <f>IF(N('Dvd Calendar'!$F$1924)=0,"",IF(('Dvd Calendar'!$F$1924&gt;=GRID_FROM)*('Dvd Calendar'!$F$1924&lt;=GRID_TO)*((('Dvd Calendar'!$F$1924&lt;=VAL_DATE)+(COUNTIF('Dvd Calendar'!$E$1931:$AR$1931,'Dvd Calendar'!$F$1924)=0))&gt;0)=0,"",'Dvd Calendar'!$F$1924*1000000000+ISNUMBER('Dvd Calendar'!$F$1927)*100000000+('Dvd Calendar'!$F$1929=SPECIAL_LBL)*10000000+(N('Dvd Calendar'!$F$1923)&gt;0)*(N('Dvd Calendar'!$F$1923)&lt;=VAL_SERIAL)*1000000+34*1000+2))</f>
        <v/>
      </c>
      <c r="EG193" s="39">
        <f>IF(N('Dvd Calendar'!$G$1924)=0,"",IF(('Dvd Calendar'!$G$1924&gt;=GRID_FROM)*('Dvd Calendar'!$G$1924&lt;=GRID_TO)*((('Dvd Calendar'!$G$1924&lt;=VAL_DATE)+(COUNTIF('Dvd Calendar'!$E$1931:$AR$1931,'Dvd Calendar'!$G$1924)=0))&gt;0)=0,"",'Dvd Calendar'!$G$1924*1000000000+ISNUMBER('Dvd Calendar'!$G$1927)*100000000+('Dvd Calendar'!$G$1929=SPECIAL_LBL)*10000000+(N('Dvd Calendar'!$G$1923)&gt;0)*(N('Dvd Calendar'!$G$1923)&lt;=VAL_SERIAL)*1000000+34*1000+3))</f>
        <v/>
      </c>
      <c r="EH193" s="39">
        <f>IF(N('Dvd Calendar'!$H$1924)=0,"",IF(('Dvd Calendar'!$H$1924&gt;=GRID_FROM)*('Dvd Calendar'!$H$1924&lt;=GRID_TO)*((('Dvd Calendar'!$H$1924&lt;=VAL_DATE)+(COUNTIF('Dvd Calendar'!$E$1931:$AR$1931,'Dvd Calendar'!$H$1924)=0))&gt;0)=0,"",'Dvd Calendar'!$H$1924*1000000000+ISNUMBER('Dvd Calendar'!$H$1927)*100000000+('Dvd Calendar'!$H$1929=SPECIAL_LBL)*10000000+(N('Dvd Calendar'!$H$1923)&gt;0)*(N('Dvd Calendar'!$H$1923)&lt;=VAL_SERIAL)*1000000+34*1000+4))</f>
        <v/>
      </c>
      <c r="EI193" s="39">
        <f>IF(N('Dvd Calendar'!$I$1924)=0,"",IF(('Dvd Calendar'!$I$1924&gt;=GRID_FROM)*('Dvd Calendar'!$I$1924&lt;=GRID_TO)*((('Dvd Calendar'!$I$1924&lt;=VAL_DATE)+(COUNTIF('Dvd Calendar'!$E$1931:$AR$1931,'Dvd Calendar'!$I$1924)=0))&gt;0)=0,"",'Dvd Calendar'!$I$1924*1000000000+ISNUMBER('Dvd Calendar'!$I$1927)*100000000+('Dvd Calendar'!$I$1929=SPECIAL_LBL)*10000000+(N('Dvd Calendar'!$I$1923)&gt;0)*(N('Dvd Calendar'!$I$1923)&lt;=VAL_SERIAL)*1000000+34*1000+5))</f>
        <v/>
      </c>
      <c r="EJ193" s="39">
        <f>IF(N('Dvd Calendar'!$J$1924)=0,"",IF(('Dvd Calendar'!$J$1924&gt;=GRID_FROM)*('Dvd Calendar'!$J$1924&lt;=GRID_TO)*((('Dvd Calendar'!$J$1924&lt;=VAL_DATE)+(COUNTIF('Dvd Calendar'!$E$1931:$AR$1931,'Dvd Calendar'!$J$1924)=0))&gt;0)=0,"",'Dvd Calendar'!$J$1924*1000000000+ISNUMBER('Dvd Calendar'!$J$1927)*100000000+('Dvd Calendar'!$J$1929=SPECIAL_LBL)*10000000+(N('Dvd Calendar'!$J$1923)&gt;0)*(N('Dvd Calendar'!$J$1923)&lt;=VAL_SERIAL)*1000000+34*1000+6))</f>
        <v/>
      </c>
      <c r="EK193" s="39">
        <f>IF(N('Dvd Calendar'!$K$1924)=0,"",IF(('Dvd Calendar'!$K$1924&gt;=GRID_FROM)*('Dvd Calendar'!$K$1924&lt;=GRID_TO)*((('Dvd Calendar'!$K$1924&lt;=VAL_DATE)+(COUNTIF('Dvd Calendar'!$E$1931:$AR$1931,'Dvd Calendar'!$K$1924)=0))&gt;0)=0,"",'Dvd Calendar'!$K$1924*1000000000+ISNUMBER('Dvd Calendar'!$K$1927)*100000000+('Dvd Calendar'!$K$1929=SPECIAL_LBL)*10000000+(N('Dvd Calendar'!$K$1923)&gt;0)*(N('Dvd Calendar'!$K$1923)&lt;=VAL_SERIAL)*1000000+34*1000+7))</f>
        <v/>
      </c>
      <c r="EL193" s="39">
        <f>IF(N('Dvd Calendar'!$L$1924)=0,"",IF(('Dvd Calendar'!$L$1924&gt;=GRID_FROM)*('Dvd Calendar'!$L$1924&lt;=GRID_TO)*((('Dvd Calendar'!$L$1924&lt;=VAL_DATE)+(COUNTIF('Dvd Calendar'!$E$1931:$AR$1931,'Dvd Calendar'!$L$1924)=0))&gt;0)=0,"",'Dvd Calendar'!$L$1924*1000000000+ISNUMBER('Dvd Calendar'!$L$1927)*100000000+('Dvd Calendar'!$L$1929=SPECIAL_LBL)*10000000+(N('Dvd Calendar'!$L$1923)&gt;0)*(N('Dvd Calendar'!$L$1923)&lt;=VAL_SERIAL)*1000000+34*1000+8))</f>
        <v/>
      </c>
      <c r="EM193" s="39">
        <f>IF(N('Dvd Calendar'!$M$1924)=0,"",IF(('Dvd Calendar'!$M$1924&gt;=GRID_FROM)*('Dvd Calendar'!$M$1924&lt;=GRID_TO)*((('Dvd Calendar'!$M$1924&lt;=VAL_DATE)+(COUNTIF('Dvd Calendar'!$E$1931:$AR$1931,'Dvd Calendar'!$M$1924)=0))&gt;0)=0,"",'Dvd Calendar'!$M$1924*1000000000+ISNUMBER('Dvd Calendar'!$M$1927)*100000000+('Dvd Calendar'!$M$1929=SPECIAL_LBL)*10000000+(N('Dvd Calendar'!$M$1923)&gt;0)*(N('Dvd Calendar'!$M$1923)&lt;=VAL_SERIAL)*1000000+34*1000+9))</f>
        <v/>
      </c>
      <c r="EN193" s="39">
        <f>IF(N('Dvd Calendar'!$N$1924)=0,"",IF(('Dvd Calendar'!$N$1924&gt;=GRID_FROM)*('Dvd Calendar'!$N$1924&lt;=GRID_TO)*((('Dvd Calendar'!$N$1924&lt;=VAL_DATE)+(COUNTIF('Dvd Calendar'!$E$1931:$AR$1931,'Dvd Calendar'!$N$1924)=0))&gt;0)=0,"",'Dvd Calendar'!$N$1924*1000000000+ISNUMBER('Dvd Calendar'!$N$1927)*100000000+('Dvd Calendar'!$N$1929=SPECIAL_LBL)*10000000+(N('Dvd Calendar'!$N$1923)&gt;0)*(N('Dvd Calendar'!$N$1923)&lt;=VAL_SERIAL)*1000000+34*1000+10))</f>
        <v/>
      </c>
      <c r="EO193" s="39">
        <f>IF(N('Dvd Calendar'!$O$1924)=0,"",IF(('Dvd Calendar'!$O$1924&gt;=GRID_FROM)*('Dvd Calendar'!$O$1924&lt;=GRID_TO)*((('Dvd Calendar'!$O$1924&lt;=VAL_DATE)+(COUNTIF('Dvd Calendar'!$E$1931:$AR$1931,'Dvd Calendar'!$O$1924)=0))&gt;0)=0,"",'Dvd Calendar'!$O$1924*1000000000+ISNUMBER('Dvd Calendar'!$O$1927)*100000000+('Dvd Calendar'!$O$1929=SPECIAL_LBL)*10000000+(N('Dvd Calendar'!$O$1923)&gt;0)*(N('Dvd Calendar'!$O$1923)&lt;=VAL_SERIAL)*1000000+34*1000+11))</f>
        <v/>
      </c>
      <c r="EP193" s="39">
        <f>IF(N('Dvd Calendar'!$P$1924)=0,"",IF(('Dvd Calendar'!$P$1924&gt;=GRID_FROM)*('Dvd Calendar'!$P$1924&lt;=GRID_TO)*((('Dvd Calendar'!$P$1924&lt;=VAL_DATE)+(COUNTIF('Dvd Calendar'!$E$1931:$AR$1931,'Dvd Calendar'!$P$1924)=0))&gt;0)=0,"",'Dvd Calendar'!$P$1924*1000000000+ISNUMBER('Dvd Calendar'!$P$1927)*100000000+('Dvd Calendar'!$P$1929=SPECIAL_LBL)*10000000+(N('Dvd Calendar'!$P$1923)&gt;0)*(N('Dvd Calendar'!$P$1923)&lt;=VAL_SERIAL)*1000000+34*1000+12))</f>
        <v/>
      </c>
      <c r="EQ193" s="39">
        <f>IF(N('Dvd Calendar'!$Q$1924)=0,"",IF(('Dvd Calendar'!$Q$1924&gt;=GRID_FROM)*('Dvd Calendar'!$Q$1924&lt;=GRID_TO)*((('Dvd Calendar'!$Q$1924&lt;=VAL_DATE)+(COUNTIF('Dvd Calendar'!$E$1931:$AR$1931,'Dvd Calendar'!$Q$1924)=0))&gt;0)=0,"",'Dvd Calendar'!$Q$1924*1000000000+ISNUMBER('Dvd Calendar'!$Q$1927)*100000000+('Dvd Calendar'!$Q$1929=SPECIAL_LBL)*10000000+(N('Dvd Calendar'!$Q$1923)&gt;0)*(N('Dvd Calendar'!$Q$1923)&lt;=VAL_SERIAL)*1000000+34*1000+13))</f>
        <v/>
      </c>
      <c r="ER193" s="39">
        <f>IF(N('Dvd Calendar'!$R$1924)=0,"",IF(('Dvd Calendar'!$R$1924&gt;=GRID_FROM)*('Dvd Calendar'!$R$1924&lt;=GRID_TO)*((('Dvd Calendar'!$R$1924&lt;=VAL_DATE)+(COUNTIF('Dvd Calendar'!$E$1931:$AR$1931,'Dvd Calendar'!$R$1924)=0))&gt;0)=0,"",'Dvd Calendar'!$R$1924*1000000000+ISNUMBER('Dvd Calendar'!$R$1927)*100000000+('Dvd Calendar'!$R$1929=SPECIAL_LBL)*10000000+(N('Dvd Calendar'!$R$1923)&gt;0)*(N('Dvd Calendar'!$R$1923)&lt;=VAL_SERIAL)*1000000+34*1000+14))</f>
        <v/>
      </c>
      <c r="ES193" s="39">
        <f>IF(N('Dvd Calendar'!$S$1924)=0,"",IF(('Dvd Calendar'!$S$1924&gt;=GRID_FROM)*('Dvd Calendar'!$S$1924&lt;=GRID_TO)*((('Dvd Calendar'!$S$1924&lt;=VAL_DATE)+(COUNTIF('Dvd Calendar'!$E$1931:$AR$1931,'Dvd Calendar'!$S$1924)=0))&gt;0)=0,"",'Dvd Calendar'!$S$1924*1000000000+ISNUMBER('Dvd Calendar'!$S$1927)*100000000+('Dvd Calendar'!$S$1929=SPECIAL_LBL)*10000000+(N('Dvd Calendar'!$S$1923)&gt;0)*(N('Dvd Calendar'!$S$1923)&lt;=VAL_SERIAL)*1000000+34*1000+15))</f>
        <v/>
      </c>
      <c r="ET193" s="39">
        <f>IF(N('Dvd Calendar'!$T$1924)=0,"",IF(('Dvd Calendar'!$T$1924&gt;=GRID_FROM)*('Dvd Calendar'!$T$1924&lt;=GRID_TO)*((('Dvd Calendar'!$T$1924&lt;=VAL_DATE)+(COUNTIF('Dvd Calendar'!$E$1931:$AR$1931,'Dvd Calendar'!$T$1924)=0))&gt;0)=0,"",'Dvd Calendar'!$T$1924*1000000000+ISNUMBER('Dvd Calendar'!$T$1927)*100000000+('Dvd Calendar'!$T$1929=SPECIAL_LBL)*10000000+(N('Dvd Calendar'!$T$1923)&gt;0)*(N('Dvd Calendar'!$T$1923)&lt;=VAL_SERIAL)*1000000+34*1000+16))</f>
        <v/>
      </c>
      <c r="EU193" s="39">
        <f>IF(N('Dvd Calendar'!$U$1924)=0,"",IF(('Dvd Calendar'!$U$1924&gt;=GRID_FROM)*('Dvd Calendar'!$U$1924&lt;=GRID_TO)*((('Dvd Calendar'!$U$1924&lt;=VAL_DATE)+(COUNTIF('Dvd Calendar'!$E$1931:$AR$1931,'Dvd Calendar'!$U$1924)=0))&gt;0)=0,"",'Dvd Calendar'!$U$1924*1000000000+ISNUMBER('Dvd Calendar'!$U$1927)*100000000+('Dvd Calendar'!$U$1929=SPECIAL_LBL)*10000000+(N('Dvd Calendar'!$U$1923)&gt;0)*(N('Dvd Calendar'!$U$1923)&lt;=VAL_SERIAL)*1000000+34*1000+17))</f>
        <v/>
      </c>
      <c r="EV193" s="39">
        <f>IF(N('Dvd Calendar'!$V$1924)=0,"",IF(('Dvd Calendar'!$V$1924&gt;=GRID_FROM)*('Dvd Calendar'!$V$1924&lt;=GRID_TO)*((('Dvd Calendar'!$V$1924&lt;=VAL_DATE)+(COUNTIF('Dvd Calendar'!$E$1931:$AR$1931,'Dvd Calendar'!$V$1924)=0))&gt;0)=0,"",'Dvd Calendar'!$V$1924*1000000000+ISNUMBER('Dvd Calendar'!$V$1927)*100000000+('Dvd Calendar'!$V$1929=SPECIAL_LBL)*10000000+(N('Dvd Calendar'!$V$1923)&gt;0)*(N('Dvd Calendar'!$V$1923)&lt;=VAL_SERIAL)*1000000+34*1000+18))</f>
        <v/>
      </c>
      <c r="EW193" s="39">
        <f>IF(N('Dvd Calendar'!$W$1924)=0,"",IF(('Dvd Calendar'!$W$1924&gt;=GRID_FROM)*('Dvd Calendar'!$W$1924&lt;=GRID_TO)*((('Dvd Calendar'!$W$1924&lt;=VAL_DATE)+(COUNTIF('Dvd Calendar'!$E$1931:$AR$1931,'Dvd Calendar'!$W$1924)=0))&gt;0)=0,"",'Dvd Calendar'!$W$1924*1000000000+ISNUMBER('Dvd Calendar'!$W$1927)*100000000+('Dvd Calendar'!$W$1929=SPECIAL_LBL)*10000000+(N('Dvd Calendar'!$W$1923)&gt;0)*(N('Dvd Calendar'!$W$1923)&lt;=VAL_SERIAL)*1000000+34*1000+19))</f>
        <v/>
      </c>
      <c r="EX193" s="39">
        <f>IF(N('Dvd Calendar'!$X$1924)=0,"",IF(('Dvd Calendar'!$X$1924&gt;=GRID_FROM)*('Dvd Calendar'!$X$1924&lt;=GRID_TO)*((('Dvd Calendar'!$X$1924&lt;=VAL_DATE)+(COUNTIF('Dvd Calendar'!$E$1931:$AR$1931,'Dvd Calendar'!$X$1924)=0))&gt;0)=0,"",'Dvd Calendar'!$X$1924*1000000000+ISNUMBER('Dvd Calendar'!$X$1927)*100000000+('Dvd Calendar'!$X$1929=SPECIAL_LBL)*10000000+(N('Dvd Calendar'!$X$1923)&gt;0)*(N('Dvd Calendar'!$X$1923)&lt;=VAL_SERIAL)*1000000+34*1000+20))</f>
        <v/>
      </c>
      <c r="EY193" s="39">
        <f>IF(N('Dvd Calendar'!$Y$1924)=0,"",IF(('Dvd Calendar'!$Y$1924&gt;=GRID_FROM)*('Dvd Calendar'!$Y$1924&lt;=GRID_TO)*((('Dvd Calendar'!$Y$1924&lt;=VAL_DATE)+(COUNTIF('Dvd Calendar'!$E$1931:$AR$1931,'Dvd Calendar'!$Y$1924)=0))&gt;0)=0,"",'Dvd Calendar'!$Y$1924*1000000000+ISNUMBER('Dvd Calendar'!$Y$1927)*100000000+('Dvd Calendar'!$Y$1929=SPECIAL_LBL)*10000000+(N('Dvd Calendar'!$Y$1923)&gt;0)*(N('Dvd Calendar'!$Y$1923)&lt;=VAL_SERIAL)*1000000+34*1000+21))</f>
        <v/>
      </c>
      <c r="EZ193" s="39">
        <f>IF(N('Dvd Calendar'!$Z$1924)=0,"",IF(('Dvd Calendar'!$Z$1924&gt;=GRID_FROM)*('Dvd Calendar'!$Z$1924&lt;=GRID_TO)*((('Dvd Calendar'!$Z$1924&lt;=VAL_DATE)+(COUNTIF('Dvd Calendar'!$E$1931:$AR$1931,'Dvd Calendar'!$Z$1924)=0))&gt;0)=0,"",'Dvd Calendar'!$Z$1924*1000000000+ISNUMBER('Dvd Calendar'!$Z$1927)*100000000+('Dvd Calendar'!$Z$1929=SPECIAL_LBL)*10000000+(N('Dvd Calendar'!$Z$1923)&gt;0)*(N('Dvd Calendar'!$Z$1923)&lt;=VAL_SERIAL)*1000000+34*1000+22))</f>
        <v/>
      </c>
      <c r="FA193" s="39">
        <f>IF(N('Dvd Calendar'!$AA$1924)=0,"",IF(('Dvd Calendar'!$AA$1924&gt;=GRID_FROM)*('Dvd Calendar'!$AA$1924&lt;=GRID_TO)*((('Dvd Calendar'!$AA$1924&lt;=VAL_DATE)+(COUNTIF('Dvd Calendar'!$E$1931:$AR$1931,'Dvd Calendar'!$AA$1924)=0))&gt;0)=0,"",'Dvd Calendar'!$AA$1924*1000000000+ISNUMBER('Dvd Calendar'!$AA$1927)*100000000+('Dvd Calendar'!$AA$1929=SPECIAL_LBL)*10000000+(N('Dvd Calendar'!$AA$1923)&gt;0)*(N('Dvd Calendar'!$AA$1923)&lt;=VAL_SERIAL)*1000000+34*1000+23))</f>
        <v/>
      </c>
      <c r="FB193" s="39">
        <f>IF(N('Dvd Calendar'!$AB$1924)=0,"",IF(('Dvd Calendar'!$AB$1924&gt;=GRID_FROM)*('Dvd Calendar'!$AB$1924&lt;=GRID_TO)*((('Dvd Calendar'!$AB$1924&lt;=VAL_DATE)+(COUNTIF('Dvd Calendar'!$E$1931:$AR$1931,'Dvd Calendar'!$AB$1924)=0))&gt;0)=0,"",'Dvd Calendar'!$AB$1924*1000000000+ISNUMBER('Dvd Calendar'!$AB$1927)*100000000+('Dvd Calendar'!$AB$1929=SPECIAL_LBL)*10000000+(N('Dvd Calendar'!$AB$1923)&gt;0)*(N('Dvd Calendar'!$AB$1923)&lt;=VAL_SERIAL)*1000000+34*1000+24))</f>
        <v/>
      </c>
      <c r="FC193" s="39">
        <f>IF(N('Dvd Calendar'!$AC$1924)=0,"",IF(('Dvd Calendar'!$AC$1924&gt;=GRID_FROM)*('Dvd Calendar'!$AC$1924&lt;=GRID_TO)*((('Dvd Calendar'!$AC$1924&lt;=VAL_DATE)+(COUNTIF('Dvd Calendar'!$E$1931:$AR$1931,'Dvd Calendar'!$AC$1924)=0))&gt;0)=0,"",'Dvd Calendar'!$AC$1924*1000000000+ISNUMBER('Dvd Calendar'!$AC$1927)*100000000+('Dvd Calendar'!$AC$1929=SPECIAL_LBL)*10000000+(N('Dvd Calendar'!$AC$1923)&gt;0)*(N('Dvd Calendar'!$AC$1923)&lt;=VAL_SERIAL)*1000000+34*1000+25))</f>
        <v/>
      </c>
      <c r="FD193" s="39">
        <f>IF(N('Dvd Calendar'!$AD$1924)=0,"",IF(('Dvd Calendar'!$AD$1924&gt;=GRID_FROM)*('Dvd Calendar'!$AD$1924&lt;=GRID_TO)*((('Dvd Calendar'!$AD$1924&lt;=VAL_DATE)+(COUNTIF('Dvd Calendar'!$E$1931:$AR$1931,'Dvd Calendar'!$AD$1924)=0))&gt;0)=0,"",'Dvd Calendar'!$AD$1924*1000000000+ISNUMBER('Dvd Calendar'!$AD$1927)*100000000+('Dvd Calendar'!$AD$1929=SPECIAL_LBL)*10000000+(N('Dvd Calendar'!$AD$1923)&gt;0)*(N('Dvd Calendar'!$AD$1923)&lt;=VAL_SERIAL)*1000000+34*1000+26))</f>
        <v/>
      </c>
      <c r="FE193" s="39">
        <f>IF(N('Dvd Calendar'!$AE$1924)=0,"",IF(('Dvd Calendar'!$AE$1924&gt;=GRID_FROM)*('Dvd Calendar'!$AE$1924&lt;=GRID_TO)*((('Dvd Calendar'!$AE$1924&lt;=VAL_DATE)+(COUNTIF('Dvd Calendar'!$E$1931:$AR$1931,'Dvd Calendar'!$AE$1924)=0))&gt;0)=0,"",'Dvd Calendar'!$AE$1924*1000000000+ISNUMBER('Dvd Calendar'!$AE$1927)*100000000+('Dvd Calendar'!$AE$1929=SPECIAL_LBL)*10000000+(N('Dvd Calendar'!$AE$1923)&gt;0)*(N('Dvd Calendar'!$AE$1923)&lt;=VAL_SERIAL)*1000000+34*1000+27))</f>
        <v/>
      </c>
      <c r="FF193" s="39">
        <f>IF(N('Dvd Calendar'!$AF$1924)=0,"",IF(('Dvd Calendar'!$AF$1924&gt;=GRID_FROM)*('Dvd Calendar'!$AF$1924&lt;=GRID_TO)*((('Dvd Calendar'!$AF$1924&lt;=VAL_DATE)+(COUNTIF('Dvd Calendar'!$E$1931:$AR$1931,'Dvd Calendar'!$AF$1924)=0))&gt;0)=0,"",'Dvd Calendar'!$AF$1924*1000000000+ISNUMBER('Dvd Calendar'!$AF$1927)*100000000+('Dvd Calendar'!$AF$1929=SPECIAL_LBL)*10000000+(N('Dvd Calendar'!$AF$1923)&gt;0)*(N('Dvd Calendar'!$AF$1923)&lt;=VAL_SERIAL)*1000000+34*1000+28))</f>
        <v/>
      </c>
      <c r="FG193" s="39">
        <f>IF(N('Dvd Calendar'!$AG$1924)=0,"",IF(('Dvd Calendar'!$AG$1924&gt;=GRID_FROM)*('Dvd Calendar'!$AG$1924&lt;=GRID_TO)*((('Dvd Calendar'!$AG$1924&lt;=VAL_DATE)+(COUNTIF('Dvd Calendar'!$E$1931:$AR$1931,'Dvd Calendar'!$AG$1924)=0))&gt;0)=0,"",'Dvd Calendar'!$AG$1924*1000000000+ISNUMBER('Dvd Calendar'!$AG$1927)*100000000+('Dvd Calendar'!$AG$1929=SPECIAL_LBL)*10000000+(N('Dvd Calendar'!$AG$1923)&gt;0)*(N('Dvd Calendar'!$AG$1923)&lt;=VAL_SERIAL)*1000000+34*1000+29))</f>
        <v/>
      </c>
      <c r="FH193" s="39">
        <f>IF(N('Dvd Calendar'!$AH$1924)=0,"",IF(('Dvd Calendar'!$AH$1924&gt;=GRID_FROM)*('Dvd Calendar'!$AH$1924&lt;=GRID_TO)*((('Dvd Calendar'!$AH$1924&lt;=VAL_DATE)+(COUNTIF('Dvd Calendar'!$E$1931:$AR$1931,'Dvd Calendar'!$AH$1924)=0))&gt;0)=0,"",'Dvd Calendar'!$AH$1924*1000000000+ISNUMBER('Dvd Calendar'!$AH$1927)*100000000+('Dvd Calendar'!$AH$1929=SPECIAL_LBL)*10000000+(N('Dvd Calendar'!$AH$1923)&gt;0)*(N('Dvd Calendar'!$AH$1923)&lt;=VAL_SERIAL)*1000000+34*1000+30))</f>
        <v/>
      </c>
      <c r="FI193" s="39">
        <f>IF(N('Dvd Calendar'!$AI$1924)=0,"",IF(('Dvd Calendar'!$AI$1924&gt;=GRID_FROM)*('Dvd Calendar'!$AI$1924&lt;=GRID_TO)*((('Dvd Calendar'!$AI$1924&lt;=VAL_DATE)+(COUNTIF('Dvd Calendar'!$E$1931:$AR$1931,'Dvd Calendar'!$AI$1924)=0))&gt;0)=0,"",'Dvd Calendar'!$AI$1924*1000000000+ISNUMBER('Dvd Calendar'!$AI$1927)*100000000+('Dvd Calendar'!$AI$1929=SPECIAL_LBL)*10000000+(N('Dvd Calendar'!$AI$1923)&gt;0)*(N('Dvd Calendar'!$AI$1923)&lt;=VAL_SERIAL)*1000000+34*1000+31))</f>
        <v/>
      </c>
      <c r="FJ193" s="39">
        <f>IF(N('Dvd Calendar'!$AJ$1924)=0,"",IF(('Dvd Calendar'!$AJ$1924&gt;=GRID_FROM)*('Dvd Calendar'!$AJ$1924&lt;=GRID_TO)*((('Dvd Calendar'!$AJ$1924&lt;=VAL_DATE)+(COUNTIF('Dvd Calendar'!$E$1931:$AR$1931,'Dvd Calendar'!$AJ$1924)=0))&gt;0)=0,"",'Dvd Calendar'!$AJ$1924*1000000000+ISNUMBER('Dvd Calendar'!$AJ$1927)*100000000+('Dvd Calendar'!$AJ$1929=SPECIAL_LBL)*10000000+(N('Dvd Calendar'!$AJ$1923)&gt;0)*(N('Dvd Calendar'!$AJ$1923)&lt;=VAL_SERIAL)*1000000+34*1000+32))</f>
        <v/>
      </c>
      <c r="FK193" s="39">
        <f>IF(N('Dvd Calendar'!$AK$1924)=0,"",IF(('Dvd Calendar'!$AK$1924&gt;=GRID_FROM)*('Dvd Calendar'!$AK$1924&lt;=GRID_TO)*((('Dvd Calendar'!$AK$1924&lt;=VAL_DATE)+(COUNTIF('Dvd Calendar'!$E$1931:$AR$1931,'Dvd Calendar'!$AK$1924)=0))&gt;0)=0,"",'Dvd Calendar'!$AK$1924*1000000000+ISNUMBER('Dvd Calendar'!$AK$1927)*100000000+('Dvd Calendar'!$AK$1929=SPECIAL_LBL)*10000000+(N('Dvd Calendar'!$AK$1923)&gt;0)*(N('Dvd Calendar'!$AK$1923)&lt;=VAL_SERIAL)*1000000+34*1000+33))</f>
        <v/>
      </c>
      <c r="FL193" s="39">
        <f>IF(N('Dvd Calendar'!$AL$1924)=0,"",IF(('Dvd Calendar'!$AL$1924&gt;=GRID_FROM)*('Dvd Calendar'!$AL$1924&lt;=GRID_TO)*((('Dvd Calendar'!$AL$1924&lt;=VAL_DATE)+(COUNTIF('Dvd Calendar'!$E$1931:$AR$1931,'Dvd Calendar'!$AL$1924)=0))&gt;0)=0,"",'Dvd Calendar'!$AL$1924*1000000000+ISNUMBER('Dvd Calendar'!$AL$1927)*100000000+('Dvd Calendar'!$AL$1929=SPECIAL_LBL)*10000000+(N('Dvd Calendar'!$AL$1923)&gt;0)*(N('Dvd Calendar'!$AL$1923)&lt;=VAL_SERIAL)*1000000+34*1000+34))</f>
        <v/>
      </c>
      <c r="FM193" s="39">
        <f>IF(N('Dvd Calendar'!$AM$1924)=0,"",IF(('Dvd Calendar'!$AM$1924&gt;=GRID_FROM)*('Dvd Calendar'!$AM$1924&lt;=GRID_TO)*((('Dvd Calendar'!$AM$1924&lt;=VAL_DATE)+(COUNTIF('Dvd Calendar'!$E$1931:$AR$1931,'Dvd Calendar'!$AM$1924)=0))&gt;0)=0,"",'Dvd Calendar'!$AM$1924*1000000000+ISNUMBER('Dvd Calendar'!$AM$1927)*100000000+('Dvd Calendar'!$AM$1929=SPECIAL_LBL)*10000000+(N('Dvd Calendar'!$AM$1923)&gt;0)*(N('Dvd Calendar'!$AM$1923)&lt;=VAL_SERIAL)*1000000+34*1000+35))</f>
        <v/>
      </c>
      <c r="FN193" s="39">
        <f>IF(N('Dvd Calendar'!$AN$1924)=0,"",IF(('Dvd Calendar'!$AN$1924&gt;=GRID_FROM)*('Dvd Calendar'!$AN$1924&lt;=GRID_TO)*((('Dvd Calendar'!$AN$1924&lt;=VAL_DATE)+(COUNTIF('Dvd Calendar'!$E$1931:$AR$1931,'Dvd Calendar'!$AN$1924)=0))&gt;0)=0,"",'Dvd Calendar'!$AN$1924*1000000000+ISNUMBER('Dvd Calendar'!$AN$1927)*100000000+('Dvd Calendar'!$AN$1929=SPECIAL_LBL)*10000000+(N('Dvd Calendar'!$AN$1923)&gt;0)*(N('Dvd Calendar'!$AN$1923)&lt;=VAL_SERIAL)*1000000+34*1000+36))</f>
        <v/>
      </c>
      <c r="FO193" s="39">
        <f>IF(N('Dvd Calendar'!$AO$1924)=0,"",IF(('Dvd Calendar'!$AO$1924&gt;=GRID_FROM)*('Dvd Calendar'!$AO$1924&lt;=GRID_TO)*((('Dvd Calendar'!$AO$1924&lt;=VAL_DATE)+(COUNTIF('Dvd Calendar'!$E$1931:$AR$1931,'Dvd Calendar'!$AO$1924)=0))&gt;0)=0,"",'Dvd Calendar'!$AO$1924*1000000000+ISNUMBER('Dvd Calendar'!$AO$1927)*100000000+('Dvd Calendar'!$AO$1929=SPECIAL_LBL)*10000000+(N('Dvd Calendar'!$AO$1923)&gt;0)*(N('Dvd Calendar'!$AO$1923)&lt;=VAL_SERIAL)*1000000+34*1000+37))</f>
        <v/>
      </c>
      <c r="FP193" s="39">
        <f>IF(N('Dvd Calendar'!$AP$1924)=0,"",IF(('Dvd Calendar'!$AP$1924&gt;=GRID_FROM)*('Dvd Calendar'!$AP$1924&lt;=GRID_TO)*((('Dvd Calendar'!$AP$1924&lt;=VAL_DATE)+(COUNTIF('Dvd Calendar'!$E$1931:$AR$1931,'Dvd Calendar'!$AP$1924)=0))&gt;0)=0,"",'Dvd Calendar'!$AP$1924*1000000000+ISNUMBER('Dvd Calendar'!$AP$1927)*100000000+('Dvd Calendar'!$AP$1929=SPECIAL_LBL)*10000000+(N('Dvd Calendar'!$AP$1923)&gt;0)*(N('Dvd Calendar'!$AP$1923)&lt;=VAL_SERIAL)*1000000+34*1000+38))</f>
        <v/>
      </c>
      <c r="FQ193" s="39">
        <f>IF(N('Dvd Calendar'!$AQ$1924)=0,"",IF(('Dvd Calendar'!$AQ$1924&gt;=GRID_FROM)*('Dvd Calendar'!$AQ$1924&lt;=GRID_TO)*((('Dvd Calendar'!$AQ$1924&lt;=VAL_DATE)+(COUNTIF('Dvd Calendar'!$E$1931:$AR$1931,'Dvd Calendar'!$AQ$1924)=0))&gt;0)=0,"",'Dvd Calendar'!$AQ$1924*1000000000+ISNUMBER('Dvd Calendar'!$AQ$1927)*100000000+('Dvd Calendar'!$AQ$1929=SPECIAL_LBL)*10000000+(N('Dvd Calendar'!$AQ$1923)&gt;0)*(N('Dvd Calendar'!$AQ$1923)&lt;=VAL_SERIAL)*1000000+34*1000+39))</f>
        <v/>
      </c>
      <c r="FR193" s="39">
        <f>IF(N('Dvd Calendar'!$AR$1924)=0,"",IF(('Dvd Calendar'!$AR$1924&gt;=GRID_FROM)*('Dvd Calendar'!$AR$1924&lt;=GRID_TO)*((('Dvd Calendar'!$AR$1924&lt;=VAL_DATE)+(COUNTIF('Dvd Calendar'!$E$1931:$AR$1931,'Dvd Calendar'!$AR$1924)=0))&gt;0)=0,"",'Dvd Calendar'!$AR$1924*1000000000+ISNUMBER('Dvd Calendar'!$AR$1927)*100000000+('Dvd Calendar'!$AR$1929=SPECIAL_LBL)*10000000+(N('Dvd Calendar'!$AR$1923)&gt;0)*(N('Dvd Calendar'!$AR$1923)&lt;=VAL_SERIAL)*1000000+34*1000+40))</f>
        <v/>
      </c>
      <c r="FS193" s="39">
        <f>IF(N('Dvd Calendar'!$E$1931)=0,"",IF(('Dvd Calendar'!$E$1931&gt;=GRID_FROM)*('Dvd Calendar'!$E$1931&lt;=GRID_TO)*('Dvd Calendar'!$E$1931&gt;VAL_DATE)=0,"",'Dvd Calendar'!$E$1931*1000000000+ISNUMBER('Dvd Calendar'!$E$1932)*100000000+0*10000000+(N('Dvd Calendar'!$E$1930)&gt;0)*(N('Dvd Calendar'!$E$1930)&lt;=VAL_SERIAL)*1000000+34*1000+41))</f>
        <v/>
      </c>
      <c r="FT193" s="39">
        <f>IF(N('Dvd Calendar'!$F$1931)=0,"",IF(('Dvd Calendar'!$F$1931&gt;=GRID_FROM)*('Dvd Calendar'!$F$1931&lt;=GRID_TO)*('Dvd Calendar'!$F$1931&gt;VAL_DATE)=0,"",'Dvd Calendar'!$F$1931*1000000000+ISNUMBER('Dvd Calendar'!$F$1932)*100000000+0*10000000+(N('Dvd Calendar'!$F$1930)&gt;0)*(N('Dvd Calendar'!$F$1930)&lt;=VAL_SERIAL)*1000000+34*1000+42))</f>
        <v/>
      </c>
      <c r="FU193" s="39">
        <f>IF(N('Dvd Calendar'!$G$1931)=0,"",IF(('Dvd Calendar'!$G$1931&gt;=GRID_FROM)*('Dvd Calendar'!$G$1931&lt;=GRID_TO)*('Dvd Calendar'!$G$1931&gt;VAL_DATE)=0,"",'Dvd Calendar'!$G$1931*1000000000+ISNUMBER('Dvd Calendar'!$G$1932)*100000000+0*10000000+(N('Dvd Calendar'!$G$1930)&gt;0)*(N('Dvd Calendar'!$G$1930)&lt;=VAL_SERIAL)*1000000+34*1000+43))</f>
        <v/>
      </c>
      <c r="FV193" s="39">
        <f>IF(N('Dvd Calendar'!$H$1931)=0,"",IF(('Dvd Calendar'!$H$1931&gt;=GRID_FROM)*('Dvd Calendar'!$H$1931&lt;=GRID_TO)*('Dvd Calendar'!$H$1931&gt;VAL_DATE)=0,"",'Dvd Calendar'!$H$1931*1000000000+ISNUMBER('Dvd Calendar'!$H$1932)*100000000+0*10000000+(N('Dvd Calendar'!$H$1930)&gt;0)*(N('Dvd Calendar'!$H$1930)&lt;=VAL_SERIAL)*1000000+34*1000+44))</f>
        <v/>
      </c>
      <c r="FW193" s="39">
        <f>IF(N('Dvd Calendar'!$I$1931)=0,"",IF(('Dvd Calendar'!$I$1931&gt;=GRID_FROM)*('Dvd Calendar'!$I$1931&lt;=GRID_TO)*('Dvd Calendar'!$I$1931&gt;VAL_DATE)=0,"",'Dvd Calendar'!$I$1931*1000000000+ISNUMBER('Dvd Calendar'!$I$1932)*100000000+0*10000000+(N('Dvd Calendar'!$I$1930)&gt;0)*(N('Dvd Calendar'!$I$1930)&lt;=VAL_SERIAL)*1000000+34*1000+45))</f>
        <v/>
      </c>
      <c r="FX193" s="39">
        <f>IF(N('Dvd Calendar'!$J$1931)=0,"",IF(('Dvd Calendar'!$J$1931&gt;=GRID_FROM)*('Dvd Calendar'!$J$1931&lt;=GRID_TO)*('Dvd Calendar'!$J$1931&gt;VAL_DATE)=0,"",'Dvd Calendar'!$J$1931*1000000000+ISNUMBER('Dvd Calendar'!$J$1932)*100000000+0*10000000+(N('Dvd Calendar'!$J$1930)&gt;0)*(N('Dvd Calendar'!$J$1930)&lt;=VAL_SERIAL)*1000000+34*1000+46))</f>
        <v/>
      </c>
      <c r="FY193" s="39">
        <f>IF(N('Dvd Calendar'!$K$1931)=0,"",IF(('Dvd Calendar'!$K$1931&gt;=GRID_FROM)*('Dvd Calendar'!$K$1931&lt;=GRID_TO)*('Dvd Calendar'!$K$1931&gt;VAL_DATE)=0,"",'Dvd Calendar'!$K$1931*1000000000+ISNUMBER('Dvd Calendar'!$K$1932)*100000000+0*10000000+(N('Dvd Calendar'!$K$1930)&gt;0)*(N('Dvd Calendar'!$K$1930)&lt;=VAL_SERIAL)*1000000+34*1000+47))</f>
        <v/>
      </c>
      <c r="FZ193" s="39">
        <f>IF(N('Dvd Calendar'!$L$1931)=0,"",IF(('Dvd Calendar'!$L$1931&gt;=GRID_FROM)*('Dvd Calendar'!$L$1931&lt;=GRID_TO)*('Dvd Calendar'!$L$1931&gt;VAL_DATE)=0,"",'Dvd Calendar'!$L$1931*1000000000+ISNUMBER('Dvd Calendar'!$L$1932)*100000000+0*10000000+(N('Dvd Calendar'!$L$1930)&gt;0)*(N('Dvd Calendar'!$L$1930)&lt;=VAL_SERIAL)*1000000+34*1000+48))</f>
        <v/>
      </c>
      <c r="GA193" s="39">
        <f>IF(N('Dvd Calendar'!$M$1931)=0,"",IF(('Dvd Calendar'!$M$1931&gt;=GRID_FROM)*('Dvd Calendar'!$M$1931&lt;=GRID_TO)*('Dvd Calendar'!$M$1931&gt;VAL_DATE)=0,"",'Dvd Calendar'!$M$1931*1000000000+ISNUMBER('Dvd Calendar'!$M$1932)*100000000+0*10000000+(N('Dvd Calendar'!$M$1930)&gt;0)*(N('Dvd Calendar'!$M$1930)&lt;=VAL_SERIAL)*1000000+34*1000+49))</f>
        <v/>
      </c>
      <c r="GB193" s="39">
        <f>IF(N('Dvd Calendar'!$N$1931)=0,"",IF(('Dvd Calendar'!$N$1931&gt;=GRID_FROM)*('Dvd Calendar'!$N$1931&lt;=GRID_TO)*('Dvd Calendar'!$N$1931&gt;VAL_DATE)=0,"",'Dvd Calendar'!$N$1931*1000000000+ISNUMBER('Dvd Calendar'!$N$1932)*100000000+0*10000000+(N('Dvd Calendar'!$N$1930)&gt;0)*(N('Dvd Calendar'!$N$1930)&lt;=VAL_SERIAL)*1000000+34*1000+50))</f>
        <v/>
      </c>
      <c r="GC193" s="39">
        <f>IF(N('Dvd Calendar'!$O$1931)=0,"",IF(('Dvd Calendar'!$O$1931&gt;=GRID_FROM)*('Dvd Calendar'!$O$1931&lt;=GRID_TO)*('Dvd Calendar'!$O$1931&gt;VAL_DATE)=0,"",'Dvd Calendar'!$O$1931*1000000000+ISNUMBER('Dvd Calendar'!$O$1932)*100000000+0*10000000+(N('Dvd Calendar'!$O$1930)&gt;0)*(N('Dvd Calendar'!$O$1930)&lt;=VAL_SERIAL)*1000000+34*1000+51))</f>
        <v/>
      </c>
      <c r="GD193" s="39">
        <f>IF(N('Dvd Calendar'!$P$1931)=0,"",IF(('Dvd Calendar'!$P$1931&gt;=GRID_FROM)*('Dvd Calendar'!$P$1931&lt;=GRID_TO)*('Dvd Calendar'!$P$1931&gt;VAL_DATE)=0,"",'Dvd Calendar'!$P$1931*1000000000+ISNUMBER('Dvd Calendar'!$P$1932)*100000000+0*10000000+(N('Dvd Calendar'!$P$1930)&gt;0)*(N('Dvd Calendar'!$P$1930)&lt;=VAL_SERIAL)*1000000+34*1000+52))</f>
        <v/>
      </c>
      <c r="GE193" s="39">
        <f>IF(N('Dvd Calendar'!$Q$1931)=0,"",IF(('Dvd Calendar'!$Q$1931&gt;=GRID_FROM)*('Dvd Calendar'!$Q$1931&lt;=GRID_TO)*('Dvd Calendar'!$Q$1931&gt;VAL_DATE)=0,"",'Dvd Calendar'!$Q$1931*1000000000+ISNUMBER('Dvd Calendar'!$Q$1932)*100000000+0*10000000+(N('Dvd Calendar'!$Q$1930)&gt;0)*(N('Dvd Calendar'!$Q$1930)&lt;=VAL_SERIAL)*1000000+34*1000+53))</f>
        <v/>
      </c>
      <c r="GF193" s="39">
        <f>IF(N('Dvd Calendar'!$R$1931)=0,"",IF(('Dvd Calendar'!$R$1931&gt;=GRID_FROM)*('Dvd Calendar'!$R$1931&lt;=GRID_TO)*('Dvd Calendar'!$R$1931&gt;VAL_DATE)=0,"",'Dvd Calendar'!$R$1931*1000000000+ISNUMBER('Dvd Calendar'!$R$1932)*100000000+0*10000000+(N('Dvd Calendar'!$R$1930)&gt;0)*(N('Dvd Calendar'!$R$1930)&lt;=VAL_SERIAL)*1000000+34*1000+54))</f>
        <v/>
      </c>
      <c r="GG193" s="39">
        <f>IF(N('Dvd Calendar'!$S$1931)=0,"",IF(('Dvd Calendar'!$S$1931&gt;=GRID_FROM)*('Dvd Calendar'!$S$1931&lt;=GRID_TO)*('Dvd Calendar'!$S$1931&gt;VAL_DATE)=0,"",'Dvd Calendar'!$S$1931*1000000000+ISNUMBER('Dvd Calendar'!$S$1932)*100000000+0*10000000+(N('Dvd Calendar'!$S$1930)&gt;0)*(N('Dvd Calendar'!$S$1930)&lt;=VAL_SERIAL)*1000000+34*1000+55))</f>
        <v/>
      </c>
      <c r="GH193" s="39">
        <f>IF(N('Dvd Calendar'!$T$1931)=0,"",IF(('Dvd Calendar'!$T$1931&gt;=GRID_FROM)*('Dvd Calendar'!$T$1931&lt;=GRID_TO)*('Dvd Calendar'!$T$1931&gt;VAL_DATE)=0,"",'Dvd Calendar'!$T$1931*1000000000+ISNUMBER('Dvd Calendar'!$T$1932)*100000000+0*10000000+(N('Dvd Calendar'!$T$1930)&gt;0)*(N('Dvd Calendar'!$T$1930)&lt;=VAL_SERIAL)*1000000+34*1000+56))</f>
        <v/>
      </c>
      <c r="GI193" s="39">
        <f>IF(N('Dvd Calendar'!$U$1931)=0,"",IF(('Dvd Calendar'!$U$1931&gt;=GRID_FROM)*('Dvd Calendar'!$U$1931&lt;=GRID_TO)*('Dvd Calendar'!$U$1931&gt;VAL_DATE)=0,"",'Dvd Calendar'!$U$1931*1000000000+ISNUMBER('Dvd Calendar'!$U$1932)*100000000+0*10000000+(N('Dvd Calendar'!$U$1930)&gt;0)*(N('Dvd Calendar'!$U$1930)&lt;=VAL_SERIAL)*1000000+34*1000+57))</f>
        <v/>
      </c>
      <c r="GJ193" s="39">
        <f>IF(N('Dvd Calendar'!$V$1931)=0,"",IF(('Dvd Calendar'!$V$1931&gt;=GRID_FROM)*('Dvd Calendar'!$V$1931&lt;=GRID_TO)*('Dvd Calendar'!$V$1931&gt;VAL_DATE)=0,"",'Dvd Calendar'!$V$1931*1000000000+ISNUMBER('Dvd Calendar'!$V$1932)*100000000+0*10000000+(N('Dvd Calendar'!$V$1930)&gt;0)*(N('Dvd Calendar'!$V$1930)&lt;=VAL_SERIAL)*1000000+34*1000+58))</f>
        <v/>
      </c>
      <c r="GK193" s="39">
        <f>IF(N('Dvd Calendar'!$W$1931)=0,"",IF(('Dvd Calendar'!$W$1931&gt;=GRID_FROM)*('Dvd Calendar'!$W$1931&lt;=GRID_TO)*('Dvd Calendar'!$W$1931&gt;VAL_DATE)=0,"",'Dvd Calendar'!$W$1931*1000000000+ISNUMBER('Dvd Calendar'!$W$1932)*100000000+0*10000000+(N('Dvd Calendar'!$W$1930)&gt;0)*(N('Dvd Calendar'!$W$1930)&lt;=VAL_SERIAL)*1000000+34*1000+59))</f>
        <v/>
      </c>
      <c r="GL193" s="39">
        <f>IF(N('Dvd Calendar'!$X$1931)=0,"",IF(('Dvd Calendar'!$X$1931&gt;=GRID_FROM)*('Dvd Calendar'!$X$1931&lt;=GRID_TO)*('Dvd Calendar'!$X$1931&gt;VAL_DATE)=0,"",'Dvd Calendar'!$X$1931*1000000000+ISNUMBER('Dvd Calendar'!$X$1932)*100000000+0*10000000+(N('Dvd Calendar'!$X$1930)&gt;0)*(N('Dvd Calendar'!$X$1930)&lt;=VAL_SERIAL)*1000000+34*1000+60))</f>
        <v/>
      </c>
      <c r="GM193" s="39">
        <f>IF(N('Dvd Calendar'!$Y$1931)=0,"",IF(('Dvd Calendar'!$Y$1931&gt;=GRID_FROM)*('Dvd Calendar'!$Y$1931&lt;=GRID_TO)*('Dvd Calendar'!$Y$1931&gt;VAL_DATE)=0,"",'Dvd Calendar'!$Y$1931*1000000000+ISNUMBER('Dvd Calendar'!$Y$1932)*100000000+0*10000000+(N('Dvd Calendar'!$Y$1930)&gt;0)*(N('Dvd Calendar'!$Y$1930)&lt;=VAL_SERIAL)*1000000+34*1000+61))</f>
        <v/>
      </c>
      <c r="GN193" s="39">
        <f>IF(N('Dvd Calendar'!$Z$1931)=0,"",IF(('Dvd Calendar'!$Z$1931&gt;=GRID_FROM)*('Dvd Calendar'!$Z$1931&lt;=GRID_TO)*('Dvd Calendar'!$Z$1931&gt;VAL_DATE)=0,"",'Dvd Calendar'!$Z$1931*1000000000+ISNUMBER('Dvd Calendar'!$Z$1932)*100000000+0*10000000+(N('Dvd Calendar'!$Z$1930)&gt;0)*(N('Dvd Calendar'!$Z$1930)&lt;=VAL_SERIAL)*1000000+34*1000+62))</f>
        <v/>
      </c>
      <c r="GO193" s="39">
        <f>IF(N('Dvd Calendar'!$AA$1931)=0,"",IF(('Dvd Calendar'!$AA$1931&gt;=GRID_FROM)*('Dvd Calendar'!$AA$1931&lt;=GRID_TO)*('Dvd Calendar'!$AA$1931&gt;VAL_DATE)=0,"",'Dvd Calendar'!$AA$1931*1000000000+ISNUMBER('Dvd Calendar'!$AA$1932)*100000000+0*10000000+(N('Dvd Calendar'!$AA$1930)&gt;0)*(N('Dvd Calendar'!$AA$1930)&lt;=VAL_SERIAL)*1000000+34*1000+63))</f>
        <v/>
      </c>
      <c r="GP193" s="39">
        <f>IF(N('Dvd Calendar'!$AB$1931)=0,"",IF(('Dvd Calendar'!$AB$1931&gt;=GRID_FROM)*('Dvd Calendar'!$AB$1931&lt;=GRID_TO)*('Dvd Calendar'!$AB$1931&gt;VAL_DATE)=0,"",'Dvd Calendar'!$AB$1931*1000000000+ISNUMBER('Dvd Calendar'!$AB$1932)*100000000+0*10000000+(N('Dvd Calendar'!$AB$1930)&gt;0)*(N('Dvd Calendar'!$AB$1930)&lt;=VAL_SERIAL)*1000000+34*1000+64))</f>
        <v/>
      </c>
      <c r="GQ193" s="39">
        <f>IF(N('Dvd Calendar'!$AC$1931)=0,"",IF(('Dvd Calendar'!$AC$1931&gt;=GRID_FROM)*('Dvd Calendar'!$AC$1931&lt;=GRID_TO)*('Dvd Calendar'!$AC$1931&gt;VAL_DATE)=0,"",'Dvd Calendar'!$AC$1931*1000000000+ISNUMBER('Dvd Calendar'!$AC$1932)*100000000+0*10000000+(N('Dvd Calendar'!$AC$1930)&gt;0)*(N('Dvd Calendar'!$AC$1930)&lt;=VAL_SERIAL)*1000000+34*1000+65))</f>
        <v/>
      </c>
    </row>
    <row r="194">
      <c r="B194" s="2">
        <f>IF(HSCEI!$C$41="","",HSCEI!$C$41)</f>
        <v/>
      </c>
      <c r="C194" s="110">
        <f>IF(EE194="","",IF(ISNUMBER('Dvd Calendar'!$E$1938)=FALSE,"",IF((('Dvd Calendar'!$E$1940=TYPE1)*(TYPE1&lt;&gt;"")+('Dvd Calendar'!$E$1940=TYPE2)*(TYPE2&lt;&gt;"")+('Dvd Calendar'!$E$1940=TYPE3)*(TYPE3&lt;&gt;"")+('Dvd Calendar'!$E$1940=TYPE4)*(TYPE4&lt;&gt;"")+('Dvd Calendar'!$E$1940=SPECIAL_LBL)*(INC_SPECIALS="Y"))=0,"",'Dvd Calendar'!$E$1938)))</f>
        <v/>
      </c>
      <c r="D194" s="110">
        <f>IF(EF194="","",IF(ISNUMBER('Dvd Calendar'!$F$1938)=FALSE,"",IF((('Dvd Calendar'!$F$1940=TYPE1)*(TYPE1&lt;&gt;"")+('Dvd Calendar'!$F$1940=TYPE2)*(TYPE2&lt;&gt;"")+('Dvd Calendar'!$F$1940=TYPE3)*(TYPE3&lt;&gt;"")+('Dvd Calendar'!$F$1940=TYPE4)*(TYPE4&lt;&gt;"")+('Dvd Calendar'!$F$1940=SPECIAL_LBL)*(INC_SPECIALS="Y"))=0,"",'Dvd Calendar'!$F$1938)))</f>
        <v/>
      </c>
      <c r="E194" s="110">
        <f>IF(EG194="","",IF(ISNUMBER('Dvd Calendar'!$G$1938)=FALSE,"",IF((('Dvd Calendar'!$G$1940=TYPE1)*(TYPE1&lt;&gt;"")+('Dvd Calendar'!$G$1940=TYPE2)*(TYPE2&lt;&gt;"")+('Dvd Calendar'!$G$1940=TYPE3)*(TYPE3&lt;&gt;"")+('Dvd Calendar'!$G$1940=TYPE4)*(TYPE4&lt;&gt;"")+('Dvd Calendar'!$G$1940=SPECIAL_LBL)*(INC_SPECIALS="Y"))=0,"",'Dvd Calendar'!$G$1938)))</f>
        <v/>
      </c>
      <c r="F194" s="110">
        <f>IF(EH194="","",IF(ISNUMBER('Dvd Calendar'!$H$1938)=FALSE,"",IF((('Dvd Calendar'!$H$1940=TYPE1)*(TYPE1&lt;&gt;"")+('Dvd Calendar'!$H$1940=TYPE2)*(TYPE2&lt;&gt;"")+('Dvd Calendar'!$H$1940=TYPE3)*(TYPE3&lt;&gt;"")+('Dvd Calendar'!$H$1940=TYPE4)*(TYPE4&lt;&gt;"")+('Dvd Calendar'!$H$1940=SPECIAL_LBL)*(INC_SPECIALS="Y"))=0,"",'Dvd Calendar'!$H$1938)))</f>
        <v/>
      </c>
      <c r="G194" s="110">
        <f>IF(EI194="","",IF(ISNUMBER('Dvd Calendar'!$I$1938)=FALSE,"",IF((('Dvd Calendar'!$I$1940=TYPE1)*(TYPE1&lt;&gt;"")+('Dvd Calendar'!$I$1940=TYPE2)*(TYPE2&lt;&gt;"")+('Dvd Calendar'!$I$1940=TYPE3)*(TYPE3&lt;&gt;"")+('Dvd Calendar'!$I$1940=TYPE4)*(TYPE4&lt;&gt;"")+('Dvd Calendar'!$I$1940=SPECIAL_LBL)*(INC_SPECIALS="Y"))=0,"",'Dvd Calendar'!$I$1938)))</f>
        <v/>
      </c>
      <c r="H194" s="110">
        <f>IF(EJ194="","",IF(ISNUMBER('Dvd Calendar'!$J$1938)=FALSE,"",IF((('Dvd Calendar'!$J$1940=TYPE1)*(TYPE1&lt;&gt;"")+('Dvd Calendar'!$J$1940=TYPE2)*(TYPE2&lt;&gt;"")+('Dvd Calendar'!$J$1940=TYPE3)*(TYPE3&lt;&gt;"")+('Dvd Calendar'!$J$1940=TYPE4)*(TYPE4&lt;&gt;"")+('Dvd Calendar'!$J$1940=SPECIAL_LBL)*(INC_SPECIALS="Y"))=0,"",'Dvd Calendar'!$J$1938)))</f>
        <v/>
      </c>
      <c r="I194" s="110">
        <f>IF(EK194="","",IF(ISNUMBER('Dvd Calendar'!$K$1938)=FALSE,"",IF((('Dvd Calendar'!$K$1940=TYPE1)*(TYPE1&lt;&gt;"")+('Dvd Calendar'!$K$1940=TYPE2)*(TYPE2&lt;&gt;"")+('Dvd Calendar'!$K$1940=TYPE3)*(TYPE3&lt;&gt;"")+('Dvd Calendar'!$K$1940=TYPE4)*(TYPE4&lt;&gt;"")+('Dvd Calendar'!$K$1940=SPECIAL_LBL)*(INC_SPECIALS="Y"))=0,"",'Dvd Calendar'!$K$1938)))</f>
        <v/>
      </c>
      <c r="J194" s="110">
        <f>IF(EL194="","",IF(ISNUMBER('Dvd Calendar'!$L$1938)=FALSE,"",IF((('Dvd Calendar'!$L$1940=TYPE1)*(TYPE1&lt;&gt;"")+('Dvd Calendar'!$L$1940=TYPE2)*(TYPE2&lt;&gt;"")+('Dvd Calendar'!$L$1940=TYPE3)*(TYPE3&lt;&gt;"")+('Dvd Calendar'!$L$1940=TYPE4)*(TYPE4&lt;&gt;"")+('Dvd Calendar'!$L$1940=SPECIAL_LBL)*(INC_SPECIALS="Y"))=0,"",'Dvd Calendar'!$L$1938)))</f>
        <v/>
      </c>
      <c r="K194" s="110">
        <f>IF(EM194="","",IF(ISNUMBER('Dvd Calendar'!$M$1938)=FALSE,"",IF((('Dvd Calendar'!$M$1940=TYPE1)*(TYPE1&lt;&gt;"")+('Dvd Calendar'!$M$1940=TYPE2)*(TYPE2&lt;&gt;"")+('Dvd Calendar'!$M$1940=TYPE3)*(TYPE3&lt;&gt;"")+('Dvd Calendar'!$M$1940=TYPE4)*(TYPE4&lt;&gt;"")+('Dvd Calendar'!$M$1940=SPECIAL_LBL)*(INC_SPECIALS="Y"))=0,"",'Dvd Calendar'!$M$1938)))</f>
        <v/>
      </c>
      <c r="L194" s="110">
        <f>IF(EN194="","",IF(ISNUMBER('Dvd Calendar'!$N$1938)=FALSE,"",IF((('Dvd Calendar'!$N$1940=TYPE1)*(TYPE1&lt;&gt;"")+('Dvd Calendar'!$N$1940=TYPE2)*(TYPE2&lt;&gt;"")+('Dvd Calendar'!$N$1940=TYPE3)*(TYPE3&lt;&gt;"")+('Dvd Calendar'!$N$1940=TYPE4)*(TYPE4&lt;&gt;"")+('Dvd Calendar'!$N$1940=SPECIAL_LBL)*(INC_SPECIALS="Y"))=0,"",'Dvd Calendar'!$N$1938)))</f>
        <v/>
      </c>
      <c r="M194" s="110">
        <f>IF(EO194="","",IF(ISNUMBER('Dvd Calendar'!$O$1938)=FALSE,"",IF((('Dvd Calendar'!$O$1940=TYPE1)*(TYPE1&lt;&gt;"")+('Dvd Calendar'!$O$1940=TYPE2)*(TYPE2&lt;&gt;"")+('Dvd Calendar'!$O$1940=TYPE3)*(TYPE3&lt;&gt;"")+('Dvd Calendar'!$O$1940=TYPE4)*(TYPE4&lt;&gt;"")+('Dvd Calendar'!$O$1940=SPECIAL_LBL)*(INC_SPECIALS="Y"))=0,"",'Dvd Calendar'!$O$1938)))</f>
        <v/>
      </c>
      <c r="N194" s="110">
        <f>IF(EP194="","",IF(ISNUMBER('Dvd Calendar'!$P$1938)=FALSE,"",IF((('Dvd Calendar'!$P$1940=TYPE1)*(TYPE1&lt;&gt;"")+('Dvd Calendar'!$P$1940=TYPE2)*(TYPE2&lt;&gt;"")+('Dvd Calendar'!$P$1940=TYPE3)*(TYPE3&lt;&gt;"")+('Dvd Calendar'!$P$1940=TYPE4)*(TYPE4&lt;&gt;"")+('Dvd Calendar'!$P$1940=SPECIAL_LBL)*(INC_SPECIALS="Y"))=0,"",'Dvd Calendar'!$P$1938)))</f>
        <v/>
      </c>
      <c r="O194" s="110">
        <f>IF(EQ194="","",IF(ISNUMBER('Dvd Calendar'!$Q$1938)=FALSE,"",IF((('Dvd Calendar'!$Q$1940=TYPE1)*(TYPE1&lt;&gt;"")+('Dvd Calendar'!$Q$1940=TYPE2)*(TYPE2&lt;&gt;"")+('Dvd Calendar'!$Q$1940=TYPE3)*(TYPE3&lt;&gt;"")+('Dvd Calendar'!$Q$1940=TYPE4)*(TYPE4&lt;&gt;"")+('Dvd Calendar'!$Q$1940=SPECIAL_LBL)*(INC_SPECIALS="Y"))=0,"",'Dvd Calendar'!$Q$1938)))</f>
        <v/>
      </c>
      <c r="P194" s="110">
        <f>IF(ER194="","",IF(ISNUMBER('Dvd Calendar'!$R$1938)=FALSE,"",IF((('Dvd Calendar'!$R$1940=TYPE1)*(TYPE1&lt;&gt;"")+('Dvd Calendar'!$R$1940=TYPE2)*(TYPE2&lt;&gt;"")+('Dvd Calendar'!$R$1940=TYPE3)*(TYPE3&lt;&gt;"")+('Dvd Calendar'!$R$1940=TYPE4)*(TYPE4&lt;&gt;"")+('Dvd Calendar'!$R$1940=SPECIAL_LBL)*(INC_SPECIALS="Y"))=0,"",'Dvd Calendar'!$R$1938)))</f>
        <v/>
      </c>
      <c r="Q194" s="110">
        <f>IF(ES194="","",IF(ISNUMBER('Dvd Calendar'!$S$1938)=FALSE,"",IF((('Dvd Calendar'!$S$1940=TYPE1)*(TYPE1&lt;&gt;"")+('Dvd Calendar'!$S$1940=TYPE2)*(TYPE2&lt;&gt;"")+('Dvd Calendar'!$S$1940=TYPE3)*(TYPE3&lt;&gt;"")+('Dvd Calendar'!$S$1940=TYPE4)*(TYPE4&lt;&gt;"")+('Dvd Calendar'!$S$1940=SPECIAL_LBL)*(INC_SPECIALS="Y"))=0,"",'Dvd Calendar'!$S$1938)))</f>
        <v/>
      </c>
      <c r="R194" s="110">
        <f>IF(ET194="","",IF(ISNUMBER('Dvd Calendar'!$T$1938)=FALSE,"",IF((('Dvd Calendar'!$T$1940=TYPE1)*(TYPE1&lt;&gt;"")+('Dvd Calendar'!$T$1940=TYPE2)*(TYPE2&lt;&gt;"")+('Dvd Calendar'!$T$1940=TYPE3)*(TYPE3&lt;&gt;"")+('Dvd Calendar'!$T$1940=TYPE4)*(TYPE4&lt;&gt;"")+('Dvd Calendar'!$T$1940=SPECIAL_LBL)*(INC_SPECIALS="Y"))=0,"",'Dvd Calendar'!$T$1938)))</f>
        <v/>
      </c>
      <c r="S194" s="110">
        <f>IF(EU194="","",IF(ISNUMBER('Dvd Calendar'!$U$1938)=FALSE,"",IF((('Dvd Calendar'!$U$1940=TYPE1)*(TYPE1&lt;&gt;"")+('Dvd Calendar'!$U$1940=TYPE2)*(TYPE2&lt;&gt;"")+('Dvd Calendar'!$U$1940=TYPE3)*(TYPE3&lt;&gt;"")+('Dvd Calendar'!$U$1940=TYPE4)*(TYPE4&lt;&gt;"")+('Dvd Calendar'!$U$1940=SPECIAL_LBL)*(INC_SPECIALS="Y"))=0,"",'Dvd Calendar'!$U$1938)))</f>
        <v/>
      </c>
      <c r="T194" s="110">
        <f>IF(EV194="","",IF(ISNUMBER('Dvd Calendar'!$V$1938)=FALSE,"",IF((('Dvd Calendar'!$V$1940=TYPE1)*(TYPE1&lt;&gt;"")+('Dvd Calendar'!$V$1940=TYPE2)*(TYPE2&lt;&gt;"")+('Dvd Calendar'!$V$1940=TYPE3)*(TYPE3&lt;&gt;"")+('Dvd Calendar'!$V$1940=TYPE4)*(TYPE4&lt;&gt;"")+('Dvd Calendar'!$V$1940=SPECIAL_LBL)*(INC_SPECIALS="Y"))=0,"",'Dvd Calendar'!$V$1938)))</f>
        <v/>
      </c>
      <c r="U194" s="110">
        <f>IF(EW194="","",IF(ISNUMBER('Dvd Calendar'!$W$1938)=FALSE,"",IF((('Dvd Calendar'!$W$1940=TYPE1)*(TYPE1&lt;&gt;"")+('Dvd Calendar'!$W$1940=TYPE2)*(TYPE2&lt;&gt;"")+('Dvd Calendar'!$W$1940=TYPE3)*(TYPE3&lt;&gt;"")+('Dvd Calendar'!$W$1940=TYPE4)*(TYPE4&lt;&gt;"")+('Dvd Calendar'!$W$1940=SPECIAL_LBL)*(INC_SPECIALS="Y"))=0,"",'Dvd Calendar'!$W$1938)))</f>
        <v/>
      </c>
      <c r="V194" s="110">
        <f>IF(EX194="","",IF(ISNUMBER('Dvd Calendar'!$X$1938)=FALSE,"",IF((('Dvd Calendar'!$X$1940=TYPE1)*(TYPE1&lt;&gt;"")+('Dvd Calendar'!$X$1940=TYPE2)*(TYPE2&lt;&gt;"")+('Dvd Calendar'!$X$1940=TYPE3)*(TYPE3&lt;&gt;"")+('Dvd Calendar'!$X$1940=TYPE4)*(TYPE4&lt;&gt;"")+('Dvd Calendar'!$X$1940=SPECIAL_LBL)*(INC_SPECIALS="Y"))=0,"",'Dvd Calendar'!$X$1938)))</f>
        <v/>
      </c>
      <c r="W194" s="110">
        <f>IF(EY194="","",IF(ISNUMBER('Dvd Calendar'!$Y$1938)=FALSE,"",IF((('Dvd Calendar'!$Y$1940=TYPE1)*(TYPE1&lt;&gt;"")+('Dvd Calendar'!$Y$1940=TYPE2)*(TYPE2&lt;&gt;"")+('Dvd Calendar'!$Y$1940=TYPE3)*(TYPE3&lt;&gt;"")+('Dvd Calendar'!$Y$1940=TYPE4)*(TYPE4&lt;&gt;"")+('Dvd Calendar'!$Y$1940=SPECIAL_LBL)*(INC_SPECIALS="Y"))=0,"",'Dvd Calendar'!$Y$1938)))</f>
        <v/>
      </c>
      <c r="X194" s="110">
        <f>IF(EZ194="","",IF(ISNUMBER('Dvd Calendar'!$Z$1938)=FALSE,"",IF((('Dvd Calendar'!$Z$1940=TYPE1)*(TYPE1&lt;&gt;"")+('Dvd Calendar'!$Z$1940=TYPE2)*(TYPE2&lt;&gt;"")+('Dvd Calendar'!$Z$1940=TYPE3)*(TYPE3&lt;&gt;"")+('Dvd Calendar'!$Z$1940=TYPE4)*(TYPE4&lt;&gt;"")+('Dvd Calendar'!$Z$1940=SPECIAL_LBL)*(INC_SPECIALS="Y"))=0,"",'Dvd Calendar'!$Z$1938)))</f>
        <v/>
      </c>
      <c r="Y194" s="110">
        <f>IF(FA194="","",IF(ISNUMBER('Dvd Calendar'!$AA$1938)=FALSE,"",IF((('Dvd Calendar'!$AA$1940=TYPE1)*(TYPE1&lt;&gt;"")+('Dvd Calendar'!$AA$1940=TYPE2)*(TYPE2&lt;&gt;"")+('Dvd Calendar'!$AA$1940=TYPE3)*(TYPE3&lt;&gt;"")+('Dvd Calendar'!$AA$1940=TYPE4)*(TYPE4&lt;&gt;"")+('Dvd Calendar'!$AA$1940=SPECIAL_LBL)*(INC_SPECIALS="Y"))=0,"",'Dvd Calendar'!$AA$1938)))</f>
        <v/>
      </c>
      <c r="Z194" s="110">
        <f>IF(FB194="","",IF(ISNUMBER('Dvd Calendar'!$AB$1938)=FALSE,"",IF((('Dvd Calendar'!$AB$1940=TYPE1)*(TYPE1&lt;&gt;"")+('Dvd Calendar'!$AB$1940=TYPE2)*(TYPE2&lt;&gt;"")+('Dvd Calendar'!$AB$1940=TYPE3)*(TYPE3&lt;&gt;"")+('Dvd Calendar'!$AB$1940=TYPE4)*(TYPE4&lt;&gt;"")+('Dvd Calendar'!$AB$1940=SPECIAL_LBL)*(INC_SPECIALS="Y"))=0,"",'Dvd Calendar'!$AB$1938)))</f>
        <v/>
      </c>
      <c r="AA194" s="110">
        <f>IF(FC194="","",IF(ISNUMBER('Dvd Calendar'!$AC$1938)=FALSE,"",IF((('Dvd Calendar'!$AC$1940=TYPE1)*(TYPE1&lt;&gt;"")+('Dvd Calendar'!$AC$1940=TYPE2)*(TYPE2&lt;&gt;"")+('Dvd Calendar'!$AC$1940=TYPE3)*(TYPE3&lt;&gt;"")+('Dvd Calendar'!$AC$1940=TYPE4)*(TYPE4&lt;&gt;"")+('Dvd Calendar'!$AC$1940=SPECIAL_LBL)*(INC_SPECIALS="Y"))=0,"",'Dvd Calendar'!$AC$1938)))</f>
        <v/>
      </c>
      <c r="AB194" s="110">
        <f>IF(FD194="","",IF(ISNUMBER('Dvd Calendar'!$AD$1938)=FALSE,"",IF((('Dvd Calendar'!$AD$1940=TYPE1)*(TYPE1&lt;&gt;"")+('Dvd Calendar'!$AD$1940=TYPE2)*(TYPE2&lt;&gt;"")+('Dvd Calendar'!$AD$1940=TYPE3)*(TYPE3&lt;&gt;"")+('Dvd Calendar'!$AD$1940=TYPE4)*(TYPE4&lt;&gt;"")+('Dvd Calendar'!$AD$1940=SPECIAL_LBL)*(INC_SPECIALS="Y"))=0,"",'Dvd Calendar'!$AD$1938)))</f>
        <v/>
      </c>
      <c r="AC194" s="110">
        <f>IF(FE194="","",IF(ISNUMBER('Dvd Calendar'!$AE$1938)=FALSE,"",IF((('Dvd Calendar'!$AE$1940=TYPE1)*(TYPE1&lt;&gt;"")+('Dvd Calendar'!$AE$1940=TYPE2)*(TYPE2&lt;&gt;"")+('Dvd Calendar'!$AE$1940=TYPE3)*(TYPE3&lt;&gt;"")+('Dvd Calendar'!$AE$1940=TYPE4)*(TYPE4&lt;&gt;"")+('Dvd Calendar'!$AE$1940=SPECIAL_LBL)*(INC_SPECIALS="Y"))=0,"",'Dvd Calendar'!$AE$1938)))</f>
        <v/>
      </c>
      <c r="AD194" s="110">
        <f>IF(FF194="","",IF(ISNUMBER('Dvd Calendar'!$AF$1938)=FALSE,"",IF((('Dvd Calendar'!$AF$1940=TYPE1)*(TYPE1&lt;&gt;"")+('Dvd Calendar'!$AF$1940=TYPE2)*(TYPE2&lt;&gt;"")+('Dvd Calendar'!$AF$1940=TYPE3)*(TYPE3&lt;&gt;"")+('Dvd Calendar'!$AF$1940=TYPE4)*(TYPE4&lt;&gt;"")+('Dvd Calendar'!$AF$1940=SPECIAL_LBL)*(INC_SPECIALS="Y"))=0,"",'Dvd Calendar'!$AF$1938)))</f>
        <v/>
      </c>
      <c r="AE194" s="110">
        <f>IF(FG194="","",IF(ISNUMBER('Dvd Calendar'!$AG$1938)=FALSE,"",IF((('Dvd Calendar'!$AG$1940=TYPE1)*(TYPE1&lt;&gt;"")+('Dvd Calendar'!$AG$1940=TYPE2)*(TYPE2&lt;&gt;"")+('Dvd Calendar'!$AG$1940=TYPE3)*(TYPE3&lt;&gt;"")+('Dvd Calendar'!$AG$1940=TYPE4)*(TYPE4&lt;&gt;"")+('Dvd Calendar'!$AG$1940=SPECIAL_LBL)*(INC_SPECIALS="Y"))=0,"",'Dvd Calendar'!$AG$1938)))</f>
        <v/>
      </c>
      <c r="AF194" s="110">
        <f>IF(FH194="","",IF(ISNUMBER('Dvd Calendar'!$AH$1938)=FALSE,"",IF((('Dvd Calendar'!$AH$1940=TYPE1)*(TYPE1&lt;&gt;"")+('Dvd Calendar'!$AH$1940=TYPE2)*(TYPE2&lt;&gt;"")+('Dvd Calendar'!$AH$1940=TYPE3)*(TYPE3&lt;&gt;"")+('Dvd Calendar'!$AH$1940=TYPE4)*(TYPE4&lt;&gt;"")+('Dvd Calendar'!$AH$1940=SPECIAL_LBL)*(INC_SPECIALS="Y"))=0,"",'Dvd Calendar'!$AH$1938)))</f>
        <v/>
      </c>
      <c r="AG194" s="110">
        <f>IF(FI194="","",IF(ISNUMBER('Dvd Calendar'!$AI$1938)=FALSE,"",IF((('Dvd Calendar'!$AI$1940=TYPE1)*(TYPE1&lt;&gt;"")+('Dvd Calendar'!$AI$1940=TYPE2)*(TYPE2&lt;&gt;"")+('Dvd Calendar'!$AI$1940=TYPE3)*(TYPE3&lt;&gt;"")+('Dvd Calendar'!$AI$1940=TYPE4)*(TYPE4&lt;&gt;"")+('Dvd Calendar'!$AI$1940=SPECIAL_LBL)*(INC_SPECIALS="Y"))=0,"",'Dvd Calendar'!$AI$1938)))</f>
        <v/>
      </c>
      <c r="AH194" s="110">
        <f>IF(FJ194="","",IF(ISNUMBER('Dvd Calendar'!$AJ$1938)=FALSE,"",IF((('Dvd Calendar'!$AJ$1940=TYPE1)*(TYPE1&lt;&gt;"")+('Dvd Calendar'!$AJ$1940=TYPE2)*(TYPE2&lt;&gt;"")+('Dvd Calendar'!$AJ$1940=TYPE3)*(TYPE3&lt;&gt;"")+('Dvd Calendar'!$AJ$1940=TYPE4)*(TYPE4&lt;&gt;"")+('Dvd Calendar'!$AJ$1940=SPECIAL_LBL)*(INC_SPECIALS="Y"))=0,"",'Dvd Calendar'!$AJ$1938)))</f>
        <v/>
      </c>
      <c r="AI194" s="110">
        <f>IF(FK194="","",IF(ISNUMBER('Dvd Calendar'!$AK$1938)=FALSE,"",IF((('Dvd Calendar'!$AK$1940=TYPE1)*(TYPE1&lt;&gt;"")+('Dvd Calendar'!$AK$1940=TYPE2)*(TYPE2&lt;&gt;"")+('Dvd Calendar'!$AK$1940=TYPE3)*(TYPE3&lt;&gt;"")+('Dvd Calendar'!$AK$1940=TYPE4)*(TYPE4&lt;&gt;"")+('Dvd Calendar'!$AK$1940=SPECIAL_LBL)*(INC_SPECIALS="Y"))=0,"",'Dvd Calendar'!$AK$1938)))</f>
        <v/>
      </c>
      <c r="AJ194" s="110">
        <f>IF(FL194="","",IF(ISNUMBER('Dvd Calendar'!$AL$1938)=FALSE,"",IF((('Dvd Calendar'!$AL$1940=TYPE1)*(TYPE1&lt;&gt;"")+('Dvd Calendar'!$AL$1940=TYPE2)*(TYPE2&lt;&gt;"")+('Dvd Calendar'!$AL$1940=TYPE3)*(TYPE3&lt;&gt;"")+('Dvd Calendar'!$AL$1940=TYPE4)*(TYPE4&lt;&gt;"")+('Dvd Calendar'!$AL$1940=SPECIAL_LBL)*(INC_SPECIALS="Y"))=0,"",'Dvd Calendar'!$AL$1938)))</f>
        <v/>
      </c>
      <c r="AK194" s="110">
        <f>IF(FM194="","",IF(ISNUMBER('Dvd Calendar'!$AM$1938)=FALSE,"",IF((('Dvd Calendar'!$AM$1940=TYPE1)*(TYPE1&lt;&gt;"")+('Dvd Calendar'!$AM$1940=TYPE2)*(TYPE2&lt;&gt;"")+('Dvd Calendar'!$AM$1940=TYPE3)*(TYPE3&lt;&gt;"")+('Dvd Calendar'!$AM$1940=TYPE4)*(TYPE4&lt;&gt;"")+('Dvd Calendar'!$AM$1940=SPECIAL_LBL)*(INC_SPECIALS="Y"))=0,"",'Dvd Calendar'!$AM$1938)))</f>
        <v/>
      </c>
      <c r="AL194" s="110">
        <f>IF(FN194="","",IF(ISNUMBER('Dvd Calendar'!$AN$1938)=FALSE,"",IF((('Dvd Calendar'!$AN$1940=TYPE1)*(TYPE1&lt;&gt;"")+('Dvd Calendar'!$AN$1940=TYPE2)*(TYPE2&lt;&gt;"")+('Dvd Calendar'!$AN$1940=TYPE3)*(TYPE3&lt;&gt;"")+('Dvd Calendar'!$AN$1940=TYPE4)*(TYPE4&lt;&gt;"")+('Dvd Calendar'!$AN$1940=SPECIAL_LBL)*(INC_SPECIALS="Y"))=0,"",'Dvd Calendar'!$AN$1938)))</f>
        <v/>
      </c>
      <c r="AM194" s="110">
        <f>IF(FO194="","",IF(ISNUMBER('Dvd Calendar'!$AO$1938)=FALSE,"",IF((('Dvd Calendar'!$AO$1940=TYPE1)*(TYPE1&lt;&gt;"")+('Dvd Calendar'!$AO$1940=TYPE2)*(TYPE2&lt;&gt;"")+('Dvd Calendar'!$AO$1940=TYPE3)*(TYPE3&lt;&gt;"")+('Dvd Calendar'!$AO$1940=TYPE4)*(TYPE4&lt;&gt;"")+('Dvd Calendar'!$AO$1940=SPECIAL_LBL)*(INC_SPECIALS="Y"))=0,"",'Dvd Calendar'!$AO$1938)))</f>
        <v/>
      </c>
      <c r="AN194" s="110">
        <f>IF(FP194="","",IF(ISNUMBER('Dvd Calendar'!$AP$1938)=FALSE,"",IF((('Dvd Calendar'!$AP$1940=TYPE1)*(TYPE1&lt;&gt;"")+('Dvd Calendar'!$AP$1940=TYPE2)*(TYPE2&lt;&gt;"")+('Dvd Calendar'!$AP$1940=TYPE3)*(TYPE3&lt;&gt;"")+('Dvd Calendar'!$AP$1940=TYPE4)*(TYPE4&lt;&gt;"")+('Dvd Calendar'!$AP$1940=SPECIAL_LBL)*(INC_SPECIALS="Y"))=0,"",'Dvd Calendar'!$AP$1938)))</f>
        <v/>
      </c>
      <c r="AO194" s="110">
        <f>IF(FQ194="","",IF(ISNUMBER('Dvd Calendar'!$AQ$1938)=FALSE,"",IF((('Dvd Calendar'!$AQ$1940=TYPE1)*(TYPE1&lt;&gt;"")+('Dvd Calendar'!$AQ$1940=TYPE2)*(TYPE2&lt;&gt;"")+('Dvd Calendar'!$AQ$1940=TYPE3)*(TYPE3&lt;&gt;"")+('Dvd Calendar'!$AQ$1940=TYPE4)*(TYPE4&lt;&gt;"")+('Dvd Calendar'!$AQ$1940=SPECIAL_LBL)*(INC_SPECIALS="Y"))=0,"",'Dvd Calendar'!$AQ$1938)))</f>
        <v/>
      </c>
      <c r="AP194" s="110">
        <f>IF(FR194="","",IF(ISNUMBER('Dvd Calendar'!$AR$1938)=FALSE,"",IF((('Dvd Calendar'!$AR$1940=TYPE1)*(TYPE1&lt;&gt;"")+('Dvd Calendar'!$AR$1940=TYPE2)*(TYPE2&lt;&gt;"")+('Dvd Calendar'!$AR$1940=TYPE3)*(TYPE3&lt;&gt;"")+('Dvd Calendar'!$AR$1940=TYPE4)*(TYPE4&lt;&gt;"")+('Dvd Calendar'!$AR$1940=SPECIAL_LBL)*(INC_SPECIALS="Y"))=0,"",'Dvd Calendar'!$AR$1938)))</f>
        <v/>
      </c>
      <c r="AQ194" s="110">
        <f>IF(FS194="","",IF(ISNUMBER('Dvd Calendar'!$E$1943)=FALSE,"",'Dvd Calendar'!$E$1943))</f>
        <v/>
      </c>
      <c r="AR194" s="110">
        <f>IF(FT194="","",IF(ISNUMBER('Dvd Calendar'!$F$1943)=FALSE,"",'Dvd Calendar'!$F$1943))</f>
        <v/>
      </c>
      <c r="AS194" s="110">
        <f>IF(FU194="","",IF(ISNUMBER('Dvd Calendar'!$G$1943)=FALSE,"",'Dvd Calendar'!$G$1943))</f>
        <v/>
      </c>
      <c r="AT194" s="110">
        <f>IF(FV194="","",IF(ISNUMBER('Dvd Calendar'!$H$1943)=FALSE,"",'Dvd Calendar'!$H$1943))</f>
        <v/>
      </c>
      <c r="AU194" s="110">
        <f>IF(FW194="","",IF(ISNUMBER('Dvd Calendar'!$I$1943)=FALSE,"",'Dvd Calendar'!$I$1943))</f>
        <v/>
      </c>
      <c r="AV194" s="110">
        <f>IF(FX194="","",IF(ISNUMBER('Dvd Calendar'!$J$1943)=FALSE,"",'Dvd Calendar'!$J$1943))</f>
        <v/>
      </c>
      <c r="AW194" s="110">
        <f>IF(FY194="","",IF(ISNUMBER('Dvd Calendar'!$K$1943)=FALSE,"",'Dvd Calendar'!$K$1943))</f>
        <v/>
      </c>
      <c r="AX194" s="110">
        <f>IF(FZ194="","",IF(ISNUMBER('Dvd Calendar'!$L$1943)=FALSE,"",'Dvd Calendar'!$L$1943))</f>
        <v/>
      </c>
      <c r="AY194" s="110">
        <f>IF(GA194="","",IF(ISNUMBER('Dvd Calendar'!$M$1943)=FALSE,"",'Dvd Calendar'!$M$1943))</f>
        <v/>
      </c>
      <c r="AZ194" s="110">
        <f>IF(GB194="","",IF(ISNUMBER('Dvd Calendar'!$N$1943)=FALSE,"",'Dvd Calendar'!$N$1943))</f>
        <v/>
      </c>
      <c r="BA194" s="110">
        <f>IF(GC194="","",IF(ISNUMBER('Dvd Calendar'!$O$1943)=FALSE,"",'Dvd Calendar'!$O$1943))</f>
        <v/>
      </c>
      <c r="BB194" s="110">
        <f>IF(GD194="","",IF(ISNUMBER('Dvd Calendar'!$P$1943)=FALSE,"",'Dvd Calendar'!$P$1943))</f>
        <v/>
      </c>
      <c r="BC194" s="110">
        <f>IF(GE194="","",IF(ISNUMBER('Dvd Calendar'!$Q$1943)=FALSE,"",'Dvd Calendar'!$Q$1943))</f>
        <v/>
      </c>
      <c r="BD194" s="110">
        <f>IF(GF194="","",IF(ISNUMBER('Dvd Calendar'!$R$1943)=FALSE,"",'Dvd Calendar'!$R$1943))</f>
        <v/>
      </c>
      <c r="BE194" s="110">
        <f>IF(GG194="","",IF(ISNUMBER('Dvd Calendar'!$S$1943)=FALSE,"",'Dvd Calendar'!$S$1943))</f>
        <v/>
      </c>
      <c r="BF194" s="110">
        <f>IF(GH194="","",IF(ISNUMBER('Dvd Calendar'!$T$1943)=FALSE,"",'Dvd Calendar'!$T$1943))</f>
        <v/>
      </c>
      <c r="BG194" s="110">
        <f>IF(GI194="","",IF(ISNUMBER('Dvd Calendar'!$U$1943)=FALSE,"",'Dvd Calendar'!$U$1943))</f>
        <v/>
      </c>
      <c r="BH194" s="110">
        <f>IF(GJ194="","",IF(ISNUMBER('Dvd Calendar'!$V$1943)=FALSE,"",'Dvd Calendar'!$V$1943))</f>
        <v/>
      </c>
      <c r="BI194" s="110">
        <f>IF(GK194="","",IF(ISNUMBER('Dvd Calendar'!$W$1943)=FALSE,"",'Dvd Calendar'!$W$1943))</f>
        <v/>
      </c>
      <c r="BJ194" s="110">
        <f>IF(GL194="","",IF(ISNUMBER('Dvd Calendar'!$X$1943)=FALSE,"",'Dvd Calendar'!$X$1943))</f>
        <v/>
      </c>
      <c r="BK194" s="110">
        <f>IF(GM194="","",IF(ISNUMBER('Dvd Calendar'!$Y$1943)=FALSE,"",'Dvd Calendar'!$Y$1943))</f>
        <v/>
      </c>
      <c r="BL194" s="110">
        <f>IF(GN194="","",IF(ISNUMBER('Dvd Calendar'!$Z$1943)=FALSE,"",'Dvd Calendar'!$Z$1943))</f>
        <v/>
      </c>
      <c r="BM194" s="110">
        <f>IF(GO194="","",IF(ISNUMBER('Dvd Calendar'!$AA$1943)=FALSE,"",'Dvd Calendar'!$AA$1943))</f>
        <v/>
      </c>
      <c r="BN194" s="110">
        <f>IF(GP194="","",IF(ISNUMBER('Dvd Calendar'!$AB$1943)=FALSE,"",'Dvd Calendar'!$AB$1943))</f>
        <v/>
      </c>
      <c r="BO194" s="110">
        <f>IF(GQ194="","",IF(ISNUMBER('Dvd Calendar'!$AC$1943)=FALSE,"",'Dvd Calendar'!$AC$1943))</f>
        <v/>
      </c>
      <c r="BQ194" s="110">
        <f>IF(C194="","",IFERROR(C194*HSCEI!$B$41*HSCEI!$G$41/HSCEI!$B$3,""))</f>
        <v/>
      </c>
      <c r="BR194" s="110">
        <f>IF(D194="","",IFERROR(D194*HSCEI!$B$41*HSCEI!$G$41/HSCEI!$B$3,""))</f>
        <v/>
      </c>
      <c r="BS194" s="110">
        <f>IF(E194="","",IFERROR(E194*HSCEI!$B$41*HSCEI!$G$41/HSCEI!$B$3,""))</f>
        <v/>
      </c>
      <c r="BT194" s="110">
        <f>IF(F194="","",IFERROR(F194*HSCEI!$B$41*HSCEI!$G$41/HSCEI!$B$3,""))</f>
        <v/>
      </c>
      <c r="BU194" s="110">
        <f>IF(G194="","",IFERROR(G194*HSCEI!$B$41*HSCEI!$G$41/HSCEI!$B$3,""))</f>
        <v/>
      </c>
      <c r="BV194" s="110">
        <f>IF(H194="","",IFERROR(H194*HSCEI!$B$41*HSCEI!$G$41/HSCEI!$B$3,""))</f>
        <v/>
      </c>
      <c r="BW194" s="110">
        <f>IF(I194="","",IFERROR(I194*HSCEI!$B$41*HSCEI!$G$41/HSCEI!$B$3,""))</f>
        <v/>
      </c>
      <c r="BX194" s="110">
        <f>IF(J194="","",IFERROR(J194*HSCEI!$B$41*HSCEI!$G$41/HSCEI!$B$3,""))</f>
        <v/>
      </c>
      <c r="BY194" s="110">
        <f>IF(K194="","",IFERROR(K194*HSCEI!$B$41*HSCEI!$G$41/HSCEI!$B$3,""))</f>
        <v/>
      </c>
      <c r="BZ194" s="110">
        <f>IF(L194="","",IFERROR(L194*HSCEI!$B$41*HSCEI!$G$41/HSCEI!$B$3,""))</f>
        <v/>
      </c>
      <c r="CA194" s="110">
        <f>IF(M194="","",IFERROR(M194*HSCEI!$B$41*HSCEI!$G$41/HSCEI!$B$3,""))</f>
        <v/>
      </c>
      <c r="CB194" s="110">
        <f>IF(N194="","",IFERROR(N194*HSCEI!$B$41*HSCEI!$G$41/HSCEI!$B$3,""))</f>
        <v/>
      </c>
      <c r="CC194" s="110">
        <f>IF(O194="","",IFERROR(O194*HSCEI!$B$41*HSCEI!$G$41/HSCEI!$B$3,""))</f>
        <v/>
      </c>
      <c r="CD194" s="110">
        <f>IF(P194="","",IFERROR(P194*HSCEI!$B$41*HSCEI!$G$41/HSCEI!$B$3,""))</f>
        <v/>
      </c>
      <c r="CE194" s="110">
        <f>IF(Q194="","",IFERROR(Q194*HSCEI!$B$41*HSCEI!$G$41/HSCEI!$B$3,""))</f>
        <v/>
      </c>
      <c r="CF194" s="110">
        <f>IF(R194="","",IFERROR(R194*HSCEI!$B$41*HSCEI!$G$41/HSCEI!$B$3,""))</f>
        <v/>
      </c>
      <c r="CG194" s="110">
        <f>IF(S194="","",IFERROR(S194*HSCEI!$B$41*HSCEI!$G$41/HSCEI!$B$3,""))</f>
        <v/>
      </c>
      <c r="CH194" s="110">
        <f>IF(T194="","",IFERROR(T194*HSCEI!$B$41*HSCEI!$G$41/HSCEI!$B$3,""))</f>
        <v/>
      </c>
      <c r="CI194" s="110">
        <f>IF(U194="","",IFERROR(U194*HSCEI!$B$41*HSCEI!$G$41/HSCEI!$B$3,""))</f>
        <v/>
      </c>
      <c r="CJ194" s="110">
        <f>IF(V194="","",IFERROR(V194*HSCEI!$B$41*HSCEI!$G$41/HSCEI!$B$3,""))</f>
        <v/>
      </c>
      <c r="CK194" s="110">
        <f>IF(W194="","",IFERROR(W194*HSCEI!$B$41*HSCEI!$G$41/HSCEI!$B$3,""))</f>
        <v/>
      </c>
      <c r="CL194" s="110">
        <f>IF(X194="","",IFERROR(X194*HSCEI!$B$41*HSCEI!$G$41/HSCEI!$B$3,""))</f>
        <v/>
      </c>
      <c r="CM194" s="110">
        <f>IF(Y194="","",IFERROR(Y194*HSCEI!$B$41*HSCEI!$G$41/HSCEI!$B$3,""))</f>
        <v/>
      </c>
      <c r="CN194" s="110">
        <f>IF(Z194="","",IFERROR(Z194*HSCEI!$B$41*HSCEI!$G$41/HSCEI!$B$3,""))</f>
        <v/>
      </c>
      <c r="CO194" s="110">
        <f>IF(AA194="","",IFERROR(AA194*HSCEI!$B$41*HSCEI!$G$41/HSCEI!$B$3,""))</f>
        <v/>
      </c>
      <c r="CP194" s="110">
        <f>IF(AB194="","",IFERROR(AB194*HSCEI!$B$41*HSCEI!$G$41/HSCEI!$B$3,""))</f>
        <v/>
      </c>
      <c r="CQ194" s="110">
        <f>IF(AC194="","",IFERROR(AC194*HSCEI!$B$41*HSCEI!$G$41/HSCEI!$B$3,""))</f>
        <v/>
      </c>
      <c r="CR194" s="110">
        <f>IF(AD194="","",IFERROR(AD194*HSCEI!$B$41*HSCEI!$G$41/HSCEI!$B$3,""))</f>
        <v/>
      </c>
      <c r="CS194" s="110">
        <f>IF(AE194="","",IFERROR(AE194*HSCEI!$B$41*HSCEI!$G$41/HSCEI!$B$3,""))</f>
        <v/>
      </c>
      <c r="CT194" s="110">
        <f>IF(AF194="","",IFERROR(AF194*HSCEI!$B$41*HSCEI!$G$41/HSCEI!$B$3,""))</f>
        <v/>
      </c>
      <c r="CU194" s="110">
        <f>IF(AG194="","",IFERROR(AG194*HSCEI!$B$41*HSCEI!$G$41/HSCEI!$B$3,""))</f>
        <v/>
      </c>
      <c r="CV194" s="110">
        <f>IF(AH194="","",IFERROR(AH194*HSCEI!$B$41*HSCEI!$G$41/HSCEI!$B$3,""))</f>
        <v/>
      </c>
      <c r="CW194" s="110">
        <f>IF(AI194="","",IFERROR(AI194*HSCEI!$B$41*HSCEI!$G$41/HSCEI!$B$3,""))</f>
        <v/>
      </c>
      <c r="CX194" s="110">
        <f>IF(AJ194="","",IFERROR(AJ194*HSCEI!$B$41*HSCEI!$G$41/HSCEI!$B$3,""))</f>
        <v/>
      </c>
      <c r="CY194" s="110">
        <f>IF(AK194="","",IFERROR(AK194*HSCEI!$B$41*HSCEI!$G$41/HSCEI!$B$3,""))</f>
        <v/>
      </c>
      <c r="CZ194" s="110">
        <f>IF(AL194="","",IFERROR(AL194*HSCEI!$B$41*HSCEI!$G$41/HSCEI!$B$3,""))</f>
        <v/>
      </c>
      <c r="DA194" s="110">
        <f>IF(AM194="","",IFERROR(AM194*HSCEI!$B$41*HSCEI!$G$41/HSCEI!$B$3,""))</f>
        <v/>
      </c>
      <c r="DB194" s="110">
        <f>IF(AN194="","",IFERROR(AN194*HSCEI!$B$41*HSCEI!$G$41/HSCEI!$B$3,""))</f>
        <v/>
      </c>
      <c r="DC194" s="110">
        <f>IF(AO194="","",IFERROR(AO194*HSCEI!$B$41*HSCEI!$G$41/HSCEI!$B$3,""))</f>
        <v/>
      </c>
      <c r="DD194" s="110">
        <f>IF(AP194="","",IFERROR(AP194*HSCEI!$B$41*HSCEI!$G$41/HSCEI!$B$3,""))</f>
        <v/>
      </c>
      <c r="DE194" s="110">
        <f>IF(AQ194="","",IFERROR(AQ194*HSCEI!$B$41*HSCEI!$G$41/HSCEI!$B$3,""))</f>
        <v/>
      </c>
      <c r="DF194" s="110">
        <f>IF(AR194="","",IFERROR(AR194*HSCEI!$B$41*HSCEI!$G$41/HSCEI!$B$3,""))</f>
        <v/>
      </c>
      <c r="DG194" s="110">
        <f>IF(AS194="","",IFERROR(AS194*HSCEI!$B$41*HSCEI!$G$41/HSCEI!$B$3,""))</f>
        <v/>
      </c>
      <c r="DH194" s="110">
        <f>IF(AT194="","",IFERROR(AT194*HSCEI!$B$41*HSCEI!$G$41/HSCEI!$B$3,""))</f>
        <v/>
      </c>
      <c r="DI194" s="110">
        <f>IF(AU194="","",IFERROR(AU194*HSCEI!$B$41*HSCEI!$G$41/HSCEI!$B$3,""))</f>
        <v/>
      </c>
      <c r="DJ194" s="110">
        <f>IF(AV194="","",IFERROR(AV194*HSCEI!$B$41*HSCEI!$G$41/HSCEI!$B$3,""))</f>
        <v/>
      </c>
      <c r="DK194" s="110">
        <f>IF(AW194="","",IFERROR(AW194*HSCEI!$B$41*HSCEI!$G$41/HSCEI!$B$3,""))</f>
        <v/>
      </c>
      <c r="DL194" s="110">
        <f>IF(AX194="","",IFERROR(AX194*HSCEI!$B$41*HSCEI!$G$41/HSCEI!$B$3,""))</f>
        <v/>
      </c>
      <c r="DM194" s="110">
        <f>IF(AY194="","",IFERROR(AY194*HSCEI!$B$41*HSCEI!$G$41/HSCEI!$B$3,""))</f>
        <v/>
      </c>
      <c r="DN194" s="110">
        <f>IF(AZ194="","",IFERROR(AZ194*HSCEI!$B$41*HSCEI!$G$41/HSCEI!$B$3,""))</f>
        <v/>
      </c>
      <c r="DO194" s="110">
        <f>IF(BA194="","",IFERROR(BA194*HSCEI!$B$41*HSCEI!$G$41/HSCEI!$B$3,""))</f>
        <v/>
      </c>
      <c r="DP194" s="110">
        <f>IF(BB194="","",IFERROR(BB194*HSCEI!$B$41*HSCEI!$G$41/HSCEI!$B$3,""))</f>
        <v/>
      </c>
      <c r="DQ194" s="110">
        <f>IF(BC194="","",IFERROR(BC194*HSCEI!$B$41*HSCEI!$G$41/HSCEI!$B$3,""))</f>
        <v/>
      </c>
      <c r="DR194" s="110">
        <f>IF(BD194="","",IFERROR(BD194*HSCEI!$B$41*HSCEI!$G$41/HSCEI!$B$3,""))</f>
        <v/>
      </c>
      <c r="DS194" s="110">
        <f>IF(BE194="","",IFERROR(BE194*HSCEI!$B$41*HSCEI!$G$41/HSCEI!$B$3,""))</f>
        <v/>
      </c>
      <c r="DT194" s="110">
        <f>IF(BF194="","",IFERROR(BF194*HSCEI!$B$41*HSCEI!$G$41/HSCEI!$B$3,""))</f>
        <v/>
      </c>
      <c r="DU194" s="110">
        <f>IF(BG194="","",IFERROR(BG194*HSCEI!$B$41*HSCEI!$G$41/HSCEI!$B$3,""))</f>
        <v/>
      </c>
      <c r="DV194" s="110">
        <f>IF(BH194="","",IFERROR(BH194*HSCEI!$B$41*HSCEI!$G$41/HSCEI!$B$3,""))</f>
        <v/>
      </c>
      <c r="DW194" s="110">
        <f>IF(BI194="","",IFERROR(BI194*HSCEI!$B$41*HSCEI!$G$41/HSCEI!$B$3,""))</f>
        <v/>
      </c>
      <c r="DX194" s="110">
        <f>IF(BJ194="","",IFERROR(BJ194*HSCEI!$B$41*HSCEI!$G$41/HSCEI!$B$3,""))</f>
        <v/>
      </c>
      <c r="DY194" s="110">
        <f>IF(BK194="","",IFERROR(BK194*HSCEI!$B$41*HSCEI!$G$41/HSCEI!$B$3,""))</f>
        <v/>
      </c>
      <c r="DZ194" s="110">
        <f>IF(BL194="","",IFERROR(BL194*HSCEI!$B$41*HSCEI!$G$41/HSCEI!$B$3,""))</f>
        <v/>
      </c>
      <c r="EA194" s="110">
        <f>IF(BM194="","",IFERROR(BM194*HSCEI!$B$41*HSCEI!$G$41/HSCEI!$B$3,""))</f>
        <v/>
      </c>
      <c r="EB194" s="110">
        <f>IF(BN194="","",IFERROR(BN194*HSCEI!$B$41*HSCEI!$G$41/HSCEI!$B$3,""))</f>
        <v/>
      </c>
      <c r="EC194" s="110">
        <f>IF(BO194="","",IFERROR(BO194*HSCEI!$B$41*HSCEI!$G$41/HSCEI!$B$3,""))</f>
        <v/>
      </c>
      <c r="EE194" s="39">
        <f>IF(N('Dvd Calendar'!$E$1935)=0,"",IF(('Dvd Calendar'!$E$1935&gt;=GRID_FROM)*('Dvd Calendar'!$E$1935&lt;=GRID_TO)*((('Dvd Calendar'!$E$1935&lt;=VAL_DATE)+(COUNTIF('Dvd Calendar'!$E$1942:$AR$1942,'Dvd Calendar'!$E$1935)=0))&gt;0)=0,"",'Dvd Calendar'!$E$1935*1000000000+ISNUMBER('Dvd Calendar'!$E$1938)*100000000+('Dvd Calendar'!$E$1940=SPECIAL_LBL)*10000000+(N('Dvd Calendar'!$E$1934)&gt;0)*(N('Dvd Calendar'!$E$1934)&lt;=VAL_SERIAL)*1000000+35*1000+1))</f>
        <v/>
      </c>
      <c r="EF194" s="39">
        <f>IF(N('Dvd Calendar'!$F$1935)=0,"",IF(('Dvd Calendar'!$F$1935&gt;=GRID_FROM)*('Dvd Calendar'!$F$1935&lt;=GRID_TO)*((('Dvd Calendar'!$F$1935&lt;=VAL_DATE)+(COUNTIF('Dvd Calendar'!$E$1942:$AR$1942,'Dvd Calendar'!$F$1935)=0))&gt;0)=0,"",'Dvd Calendar'!$F$1935*1000000000+ISNUMBER('Dvd Calendar'!$F$1938)*100000000+('Dvd Calendar'!$F$1940=SPECIAL_LBL)*10000000+(N('Dvd Calendar'!$F$1934)&gt;0)*(N('Dvd Calendar'!$F$1934)&lt;=VAL_SERIAL)*1000000+35*1000+2))</f>
        <v/>
      </c>
      <c r="EG194" s="39">
        <f>IF(N('Dvd Calendar'!$G$1935)=0,"",IF(('Dvd Calendar'!$G$1935&gt;=GRID_FROM)*('Dvd Calendar'!$G$1935&lt;=GRID_TO)*((('Dvd Calendar'!$G$1935&lt;=VAL_DATE)+(COUNTIF('Dvd Calendar'!$E$1942:$AR$1942,'Dvd Calendar'!$G$1935)=0))&gt;0)=0,"",'Dvd Calendar'!$G$1935*1000000000+ISNUMBER('Dvd Calendar'!$G$1938)*100000000+('Dvd Calendar'!$G$1940=SPECIAL_LBL)*10000000+(N('Dvd Calendar'!$G$1934)&gt;0)*(N('Dvd Calendar'!$G$1934)&lt;=VAL_SERIAL)*1000000+35*1000+3))</f>
        <v/>
      </c>
      <c r="EH194" s="39">
        <f>IF(N('Dvd Calendar'!$H$1935)=0,"",IF(('Dvd Calendar'!$H$1935&gt;=GRID_FROM)*('Dvd Calendar'!$H$1935&lt;=GRID_TO)*((('Dvd Calendar'!$H$1935&lt;=VAL_DATE)+(COUNTIF('Dvd Calendar'!$E$1942:$AR$1942,'Dvd Calendar'!$H$1935)=0))&gt;0)=0,"",'Dvd Calendar'!$H$1935*1000000000+ISNUMBER('Dvd Calendar'!$H$1938)*100000000+('Dvd Calendar'!$H$1940=SPECIAL_LBL)*10000000+(N('Dvd Calendar'!$H$1934)&gt;0)*(N('Dvd Calendar'!$H$1934)&lt;=VAL_SERIAL)*1000000+35*1000+4))</f>
        <v/>
      </c>
      <c r="EI194" s="39">
        <f>IF(N('Dvd Calendar'!$I$1935)=0,"",IF(('Dvd Calendar'!$I$1935&gt;=GRID_FROM)*('Dvd Calendar'!$I$1935&lt;=GRID_TO)*((('Dvd Calendar'!$I$1935&lt;=VAL_DATE)+(COUNTIF('Dvd Calendar'!$E$1942:$AR$1942,'Dvd Calendar'!$I$1935)=0))&gt;0)=0,"",'Dvd Calendar'!$I$1935*1000000000+ISNUMBER('Dvd Calendar'!$I$1938)*100000000+('Dvd Calendar'!$I$1940=SPECIAL_LBL)*10000000+(N('Dvd Calendar'!$I$1934)&gt;0)*(N('Dvd Calendar'!$I$1934)&lt;=VAL_SERIAL)*1000000+35*1000+5))</f>
        <v/>
      </c>
      <c r="EJ194" s="39">
        <f>IF(N('Dvd Calendar'!$J$1935)=0,"",IF(('Dvd Calendar'!$J$1935&gt;=GRID_FROM)*('Dvd Calendar'!$J$1935&lt;=GRID_TO)*((('Dvd Calendar'!$J$1935&lt;=VAL_DATE)+(COUNTIF('Dvd Calendar'!$E$1942:$AR$1942,'Dvd Calendar'!$J$1935)=0))&gt;0)=0,"",'Dvd Calendar'!$J$1935*1000000000+ISNUMBER('Dvd Calendar'!$J$1938)*100000000+('Dvd Calendar'!$J$1940=SPECIAL_LBL)*10000000+(N('Dvd Calendar'!$J$1934)&gt;0)*(N('Dvd Calendar'!$J$1934)&lt;=VAL_SERIAL)*1000000+35*1000+6))</f>
        <v/>
      </c>
      <c r="EK194" s="39">
        <f>IF(N('Dvd Calendar'!$K$1935)=0,"",IF(('Dvd Calendar'!$K$1935&gt;=GRID_FROM)*('Dvd Calendar'!$K$1935&lt;=GRID_TO)*((('Dvd Calendar'!$K$1935&lt;=VAL_DATE)+(COUNTIF('Dvd Calendar'!$E$1942:$AR$1942,'Dvd Calendar'!$K$1935)=0))&gt;0)=0,"",'Dvd Calendar'!$K$1935*1000000000+ISNUMBER('Dvd Calendar'!$K$1938)*100000000+('Dvd Calendar'!$K$1940=SPECIAL_LBL)*10000000+(N('Dvd Calendar'!$K$1934)&gt;0)*(N('Dvd Calendar'!$K$1934)&lt;=VAL_SERIAL)*1000000+35*1000+7))</f>
        <v/>
      </c>
      <c r="EL194" s="39">
        <f>IF(N('Dvd Calendar'!$L$1935)=0,"",IF(('Dvd Calendar'!$L$1935&gt;=GRID_FROM)*('Dvd Calendar'!$L$1935&lt;=GRID_TO)*((('Dvd Calendar'!$L$1935&lt;=VAL_DATE)+(COUNTIF('Dvd Calendar'!$E$1942:$AR$1942,'Dvd Calendar'!$L$1935)=0))&gt;0)=0,"",'Dvd Calendar'!$L$1935*1000000000+ISNUMBER('Dvd Calendar'!$L$1938)*100000000+('Dvd Calendar'!$L$1940=SPECIAL_LBL)*10000000+(N('Dvd Calendar'!$L$1934)&gt;0)*(N('Dvd Calendar'!$L$1934)&lt;=VAL_SERIAL)*1000000+35*1000+8))</f>
        <v/>
      </c>
      <c r="EM194" s="39">
        <f>IF(N('Dvd Calendar'!$M$1935)=0,"",IF(('Dvd Calendar'!$M$1935&gt;=GRID_FROM)*('Dvd Calendar'!$M$1935&lt;=GRID_TO)*((('Dvd Calendar'!$M$1935&lt;=VAL_DATE)+(COUNTIF('Dvd Calendar'!$E$1942:$AR$1942,'Dvd Calendar'!$M$1935)=0))&gt;0)=0,"",'Dvd Calendar'!$M$1935*1000000000+ISNUMBER('Dvd Calendar'!$M$1938)*100000000+('Dvd Calendar'!$M$1940=SPECIAL_LBL)*10000000+(N('Dvd Calendar'!$M$1934)&gt;0)*(N('Dvd Calendar'!$M$1934)&lt;=VAL_SERIAL)*1000000+35*1000+9))</f>
        <v/>
      </c>
      <c r="EN194" s="39">
        <f>IF(N('Dvd Calendar'!$N$1935)=0,"",IF(('Dvd Calendar'!$N$1935&gt;=GRID_FROM)*('Dvd Calendar'!$N$1935&lt;=GRID_TO)*((('Dvd Calendar'!$N$1935&lt;=VAL_DATE)+(COUNTIF('Dvd Calendar'!$E$1942:$AR$1942,'Dvd Calendar'!$N$1935)=0))&gt;0)=0,"",'Dvd Calendar'!$N$1935*1000000000+ISNUMBER('Dvd Calendar'!$N$1938)*100000000+('Dvd Calendar'!$N$1940=SPECIAL_LBL)*10000000+(N('Dvd Calendar'!$N$1934)&gt;0)*(N('Dvd Calendar'!$N$1934)&lt;=VAL_SERIAL)*1000000+35*1000+10))</f>
        <v/>
      </c>
      <c r="EO194" s="39">
        <f>IF(N('Dvd Calendar'!$O$1935)=0,"",IF(('Dvd Calendar'!$O$1935&gt;=GRID_FROM)*('Dvd Calendar'!$O$1935&lt;=GRID_TO)*((('Dvd Calendar'!$O$1935&lt;=VAL_DATE)+(COUNTIF('Dvd Calendar'!$E$1942:$AR$1942,'Dvd Calendar'!$O$1935)=0))&gt;0)=0,"",'Dvd Calendar'!$O$1935*1000000000+ISNUMBER('Dvd Calendar'!$O$1938)*100000000+('Dvd Calendar'!$O$1940=SPECIAL_LBL)*10000000+(N('Dvd Calendar'!$O$1934)&gt;0)*(N('Dvd Calendar'!$O$1934)&lt;=VAL_SERIAL)*1000000+35*1000+11))</f>
        <v/>
      </c>
      <c r="EP194" s="39">
        <f>IF(N('Dvd Calendar'!$P$1935)=0,"",IF(('Dvd Calendar'!$P$1935&gt;=GRID_FROM)*('Dvd Calendar'!$P$1935&lt;=GRID_TO)*((('Dvd Calendar'!$P$1935&lt;=VAL_DATE)+(COUNTIF('Dvd Calendar'!$E$1942:$AR$1942,'Dvd Calendar'!$P$1935)=0))&gt;0)=0,"",'Dvd Calendar'!$P$1935*1000000000+ISNUMBER('Dvd Calendar'!$P$1938)*100000000+('Dvd Calendar'!$P$1940=SPECIAL_LBL)*10000000+(N('Dvd Calendar'!$P$1934)&gt;0)*(N('Dvd Calendar'!$P$1934)&lt;=VAL_SERIAL)*1000000+35*1000+12))</f>
        <v/>
      </c>
      <c r="EQ194" s="39">
        <f>IF(N('Dvd Calendar'!$Q$1935)=0,"",IF(('Dvd Calendar'!$Q$1935&gt;=GRID_FROM)*('Dvd Calendar'!$Q$1935&lt;=GRID_TO)*((('Dvd Calendar'!$Q$1935&lt;=VAL_DATE)+(COUNTIF('Dvd Calendar'!$E$1942:$AR$1942,'Dvd Calendar'!$Q$1935)=0))&gt;0)=0,"",'Dvd Calendar'!$Q$1935*1000000000+ISNUMBER('Dvd Calendar'!$Q$1938)*100000000+('Dvd Calendar'!$Q$1940=SPECIAL_LBL)*10000000+(N('Dvd Calendar'!$Q$1934)&gt;0)*(N('Dvd Calendar'!$Q$1934)&lt;=VAL_SERIAL)*1000000+35*1000+13))</f>
        <v/>
      </c>
      <c r="ER194" s="39">
        <f>IF(N('Dvd Calendar'!$R$1935)=0,"",IF(('Dvd Calendar'!$R$1935&gt;=GRID_FROM)*('Dvd Calendar'!$R$1935&lt;=GRID_TO)*((('Dvd Calendar'!$R$1935&lt;=VAL_DATE)+(COUNTIF('Dvd Calendar'!$E$1942:$AR$1942,'Dvd Calendar'!$R$1935)=0))&gt;0)=0,"",'Dvd Calendar'!$R$1935*1000000000+ISNUMBER('Dvd Calendar'!$R$1938)*100000000+('Dvd Calendar'!$R$1940=SPECIAL_LBL)*10000000+(N('Dvd Calendar'!$R$1934)&gt;0)*(N('Dvd Calendar'!$R$1934)&lt;=VAL_SERIAL)*1000000+35*1000+14))</f>
        <v/>
      </c>
      <c r="ES194" s="39">
        <f>IF(N('Dvd Calendar'!$S$1935)=0,"",IF(('Dvd Calendar'!$S$1935&gt;=GRID_FROM)*('Dvd Calendar'!$S$1935&lt;=GRID_TO)*((('Dvd Calendar'!$S$1935&lt;=VAL_DATE)+(COUNTIF('Dvd Calendar'!$E$1942:$AR$1942,'Dvd Calendar'!$S$1935)=0))&gt;0)=0,"",'Dvd Calendar'!$S$1935*1000000000+ISNUMBER('Dvd Calendar'!$S$1938)*100000000+('Dvd Calendar'!$S$1940=SPECIAL_LBL)*10000000+(N('Dvd Calendar'!$S$1934)&gt;0)*(N('Dvd Calendar'!$S$1934)&lt;=VAL_SERIAL)*1000000+35*1000+15))</f>
        <v/>
      </c>
      <c r="ET194" s="39">
        <f>IF(N('Dvd Calendar'!$T$1935)=0,"",IF(('Dvd Calendar'!$T$1935&gt;=GRID_FROM)*('Dvd Calendar'!$T$1935&lt;=GRID_TO)*((('Dvd Calendar'!$T$1935&lt;=VAL_DATE)+(COUNTIF('Dvd Calendar'!$E$1942:$AR$1942,'Dvd Calendar'!$T$1935)=0))&gt;0)=0,"",'Dvd Calendar'!$T$1935*1000000000+ISNUMBER('Dvd Calendar'!$T$1938)*100000000+('Dvd Calendar'!$T$1940=SPECIAL_LBL)*10000000+(N('Dvd Calendar'!$T$1934)&gt;0)*(N('Dvd Calendar'!$T$1934)&lt;=VAL_SERIAL)*1000000+35*1000+16))</f>
        <v/>
      </c>
      <c r="EU194" s="39">
        <f>IF(N('Dvd Calendar'!$U$1935)=0,"",IF(('Dvd Calendar'!$U$1935&gt;=GRID_FROM)*('Dvd Calendar'!$U$1935&lt;=GRID_TO)*((('Dvd Calendar'!$U$1935&lt;=VAL_DATE)+(COUNTIF('Dvd Calendar'!$E$1942:$AR$1942,'Dvd Calendar'!$U$1935)=0))&gt;0)=0,"",'Dvd Calendar'!$U$1935*1000000000+ISNUMBER('Dvd Calendar'!$U$1938)*100000000+('Dvd Calendar'!$U$1940=SPECIAL_LBL)*10000000+(N('Dvd Calendar'!$U$1934)&gt;0)*(N('Dvd Calendar'!$U$1934)&lt;=VAL_SERIAL)*1000000+35*1000+17))</f>
        <v/>
      </c>
      <c r="EV194" s="39">
        <f>IF(N('Dvd Calendar'!$V$1935)=0,"",IF(('Dvd Calendar'!$V$1935&gt;=GRID_FROM)*('Dvd Calendar'!$V$1935&lt;=GRID_TO)*((('Dvd Calendar'!$V$1935&lt;=VAL_DATE)+(COUNTIF('Dvd Calendar'!$E$1942:$AR$1942,'Dvd Calendar'!$V$1935)=0))&gt;0)=0,"",'Dvd Calendar'!$V$1935*1000000000+ISNUMBER('Dvd Calendar'!$V$1938)*100000000+('Dvd Calendar'!$V$1940=SPECIAL_LBL)*10000000+(N('Dvd Calendar'!$V$1934)&gt;0)*(N('Dvd Calendar'!$V$1934)&lt;=VAL_SERIAL)*1000000+35*1000+18))</f>
        <v/>
      </c>
      <c r="EW194" s="39">
        <f>IF(N('Dvd Calendar'!$W$1935)=0,"",IF(('Dvd Calendar'!$W$1935&gt;=GRID_FROM)*('Dvd Calendar'!$W$1935&lt;=GRID_TO)*((('Dvd Calendar'!$W$1935&lt;=VAL_DATE)+(COUNTIF('Dvd Calendar'!$E$1942:$AR$1942,'Dvd Calendar'!$W$1935)=0))&gt;0)=0,"",'Dvd Calendar'!$W$1935*1000000000+ISNUMBER('Dvd Calendar'!$W$1938)*100000000+('Dvd Calendar'!$W$1940=SPECIAL_LBL)*10000000+(N('Dvd Calendar'!$W$1934)&gt;0)*(N('Dvd Calendar'!$W$1934)&lt;=VAL_SERIAL)*1000000+35*1000+19))</f>
        <v/>
      </c>
      <c r="EX194" s="39">
        <f>IF(N('Dvd Calendar'!$X$1935)=0,"",IF(('Dvd Calendar'!$X$1935&gt;=GRID_FROM)*('Dvd Calendar'!$X$1935&lt;=GRID_TO)*((('Dvd Calendar'!$X$1935&lt;=VAL_DATE)+(COUNTIF('Dvd Calendar'!$E$1942:$AR$1942,'Dvd Calendar'!$X$1935)=0))&gt;0)=0,"",'Dvd Calendar'!$X$1935*1000000000+ISNUMBER('Dvd Calendar'!$X$1938)*100000000+('Dvd Calendar'!$X$1940=SPECIAL_LBL)*10000000+(N('Dvd Calendar'!$X$1934)&gt;0)*(N('Dvd Calendar'!$X$1934)&lt;=VAL_SERIAL)*1000000+35*1000+20))</f>
        <v/>
      </c>
      <c r="EY194" s="39">
        <f>IF(N('Dvd Calendar'!$Y$1935)=0,"",IF(('Dvd Calendar'!$Y$1935&gt;=GRID_FROM)*('Dvd Calendar'!$Y$1935&lt;=GRID_TO)*((('Dvd Calendar'!$Y$1935&lt;=VAL_DATE)+(COUNTIF('Dvd Calendar'!$E$1942:$AR$1942,'Dvd Calendar'!$Y$1935)=0))&gt;0)=0,"",'Dvd Calendar'!$Y$1935*1000000000+ISNUMBER('Dvd Calendar'!$Y$1938)*100000000+('Dvd Calendar'!$Y$1940=SPECIAL_LBL)*10000000+(N('Dvd Calendar'!$Y$1934)&gt;0)*(N('Dvd Calendar'!$Y$1934)&lt;=VAL_SERIAL)*1000000+35*1000+21))</f>
        <v/>
      </c>
      <c r="EZ194" s="39">
        <f>IF(N('Dvd Calendar'!$Z$1935)=0,"",IF(('Dvd Calendar'!$Z$1935&gt;=GRID_FROM)*('Dvd Calendar'!$Z$1935&lt;=GRID_TO)*((('Dvd Calendar'!$Z$1935&lt;=VAL_DATE)+(COUNTIF('Dvd Calendar'!$E$1942:$AR$1942,'Dvd Calendar'!$Z$1935)=0))&gt;0)=0,"",'Dvd Calendar'!$Z$1935*1000000000+ISNUMBER('Dvd Calendar'!$Z$1938)*100000000+('Dvd Calendar'!$Z$1940=SPECIAL_LBL)*10000000+(N('Dvd Calendar'!$Z$1934)&gt;0)*(N('Dvd Calendar'!$Z$1934)&lt;=VAL_SERIAL)*1000000+35*1000+22))</f>
        <v/>
      </c>
      <c r="FA194" s="39">
        <f>IF(N('Dvd Calendar'!$AA$1935)=0,"",IF(('Dvd Calendar'!$AA$1935&gt;=GRID_FROM)*('Dvd Calendar'!$AA$1935&lt;=GRID_TO)*((('Dvd Calendar'!$AA$1935&lt;=VAL_DATE)+(COUNTIF('Dvd Calendar'!$E$1942:$AR$1942,'Dvd Calendar'!$AA$1935)=0))&gt;0)=0,"",'Dvd Calendar'!$AA$1935*1000000000+ISNUMBER('Dvd Calendar'!$AA$1938)*100000000+('Dvd Calendar'!$AA$1940=SPECIAL_LBL)*10000000+(N('Dvd Calendar'!$AA$1934)&gt;0)*(N('Dvd Calendar'!$AA$1934)&lt;=VAL_SERIAL)*1000000+35*1000+23))</f>
        <v/>
      </c>
      <c r="FB194" s="39">
        <f>IF(N('Dvd Calendar'!$AB$1935)=0,"",IF(('Dvd Calendar'!$AB$1935&gt;=GRID_FROM)*('Dvd Calendar'!$AB$1935&lt;=GRID_TO)*((('Dvd Calendar'!$AB$1935&lt;=VAL_DATE)+(COUNTIF('Dvd Calendar'!$E$1942:$AR$1942,'Dvd Calendar'!$AB$1935)=0))&gt;0)=0,"",'Dvd Calendar'!$AB$1935*1000000000+ISNUMBER('Dvd Calendar'!$AB$1938)*100000000+('Dvd Calendar'!$AB$1940=SPECIAL_LBL)*10000000+(N('Dvd Calendar'!$AB$1934)&gt;0)*(N('Dvd Calendar'!$AB$1934)&lt;=VAL_SERIAL)*1000000+35*1000+24))</f>
        <v/>
      </c>
      <c r="FC194" s="39">
        <f>IF(N('Dvd Calendar'!$AC$1935)=0,"",IF(('Dvd Calendar'!$AC$1935&gt;=GRID_FROM)*('Dvd Calendar'!$AC$1935&lt;=GRID_TO)*((('Dvd Calendar'!$AC$1935&lt;=VAL_DATE)+(COUNTIF('Dvd Calendar'!$E$1942:$AR$1942,'Dvd Calendar'!$AC$1935)=0))&gt;0)=0,"",'Dvd Calendar'!$AC$1935*1000000000+ISNUMBER('Dvd Calendar'!$AC$1938)*100000000+('Dvd Calendar'!$AC$1940=SPECIAL_LBL)*10000000+(N('Dvd Calendar'!$AC$1934)&gt;0)*(N('Dvd Calendar'!$AC$1934)&lt;=VAL_SERIAL)*1000000+35*1000+25))</f>
        <v/>
      </c>
      <c r="FD194" s="39">
        <f>IF(N('Dvd Calendar'!$AD$1935)=0,"",IF(('Dvd Calendar'!$AD$1935&gt;=GRID_FROM)*('Dvd Calendar'!$AD$1935&lt;=GRID_TO)*((('Dvd Calendar'!$AD$1935&lt;=VAL_DATE)+(COUNTIF('Dvd Calendar'!$E$1942:$AR$1942,'Dvd Calendar'!$AD$1935)=0))&gt;0)=0,"",'Dvd Calendar'!$AD$1935*1000000000+ISNUMBER('Dvd Calendar'!$AD$1938)*100000000+('Dvd Calendar'!$AD$1940=SPECIAL_LBL)*10000000+(N('Dvd Calendar'!$AD$1934)&gt;0)*(N('Dvd Calendar'!$AD$1934)&lt;=VAL_SERIAL)*1000000+35*1000+26))</f>
        <v/>
      </c>
      <c r="FE194" s="39">
        <f>IF(N('Dvd Calendar'!$AE$1935)=0,"",IF(('Dvd Calendar'!$AE$1935&gt;=GRID_FROM)*('Dvd Calendar'!$AE$1935&lt;=GRID_TO)*((('Dvd Calendar'!$AE$1935&lt;=VAL_DATE)+(COUNTIF('Dvd Calendar'!$E$1942:$AR$1942,'Dvd Calendar'!$AE$1935)=0))&gt;0)=0,"",'Dvd Calendar'!$AE$1935*1000000000+ISNUMBER('Dvd Calendar'!$AE$1938)*100000000+('Dvd Calendar'!$AE$1940=SPECIAL_LBL)*10000000+(N('Dvd Calendar'!$AE$1934)&gt;0)*(N('Dvd Calendar'!$AE$1934)&lt;=VAL_SERIAL)*1000000+35*1000+27))</f>
        <v/>
      </c>
      <c r="FF194" s="39">
        <f>IF(N('Dvd Calendar'!$AF$1935)=0,"",IF(('Dvd Calendar'!$AF$1935&gt;=GRID_FROM)*('Dvd Calendar'!$AF$1935&lt;=GRID_TO)*((('Dvd Calendar'!$AF$1935&lt;=VAL_DATE)+(COUNTIF('Dvd Calendar'!$E$1942:$AR$1942,'Dvd Calendar'!$AF$1935)=0))&gt;0)=0,"",'Dvd Calendar'!$AF$1935*1000000000+ISNUMBER('Dvd Calendar'!$AF$1938)*100000000+('Dvd Calendar'!$AF$1940=SPECIAL_LBL)*10000000+(N('Dvd Calendar'!$AF$1934)&gt;0)*(N('Dvd Calendar'!$AF$1934)&lt;=VAL_SERIAL)*1000000+35*1000+28))</f>
        <v/>
      </c>
      <c r="FG194" s="39">
        <f>IF(N('Dvd Calendar'!$AG$1935)=0,"",IF(('Dvd Calendar'!$AG$1935&gt;=GRID_FROM)*('Dvd Calendar'!$AG$1935&lt;=GRID_TO)*((('Dvd Calendar'!$AG$1935&lt;=VAL_DATE)+(COUNTIF('Dvd Calendar'!$E$1942:$AR$1942,'Dvd Calendar'!$AG$1935)=0))&gt;0)=0,"",'Dvd Calendar'!$AG$1935*1000000000+ISNUMBER('Dvd Calendar'!$AG$1938)*100000000+('Dvd Calendar'!$AG$1940=SPECIAL_LBL)*10000000+(N('Dvd Calendar'!$AG$1934)&gt;0)*(N('Dvd Calendar'!$AG$1934)&lt;=VAL_SERIAL)*1000000+35*1000+29))</f>
        <v/>
      </c>
      <c r="FH194" s="39">
        <f>IF(N('Dvd Calendar'!$AH$1935)=0,"",IF(('Dvd Calendar'!$AH$1935&gt;=GRID_FROM)*('Dvd Calendar'!$AH$1935&lt;=GRID_TO)*((('Dvd Calendar'!$AH$1935&lt;=VAL_DATE)+(COUNTIF('Dvd Calendar'!$E$1942:$AR$1942,'Dvd Calendar'!$AH$1935)=0))&gt;0)=0,"",'Dvd Calendar'!$AH$1935*1000000000+ISNUMBER('Dvd Calendar'!$AH$1938)*100000000+('Dvd Calendar'!$AH$1940=SPECIAL_LBL)*10000000+(N('Dvd Calendar'!$AH$1934)&gt;0)*(N('Dvd Calendar'!$AH$1934)&lt;=VAL_SERIAL)*1000000+35*1000+30))</f>
        <v/>
      </c>
      <c r="FI194" s="39">
        <f>IF(N('Dvd Calendar'!$AI$1935)=0,"",IF(('Dvd Calendar'!$AI$1935&gt;=GRID_FROM)*('Dvd Calendar'!$AI$1935&lt;=GRID_TO)*((('Dvd Calendar'!$AI$1935&lt;=VAL_DATE)+(COUNTIF('Dvd Calendar'!$E$1942:$AR$1942,'Dvd Calendar'!$AI$1935)=0))&gt;0)=0,"",'Dvd Calendar'!$AI$1935*1000000000+ISNUMBER('Dvd Calendar'!$AI$1938)*100000000+('Dvd Calendar'!$AI$1940=SPECIAL_LBL)*10000000+(N('Dvd Calendar'!$AI$1934)&gt;0)*(N('Dvd Calendar'!$AI$1934)&lt;=VAL_SERIAL)*1000000+35*1000+31))</f>
        <v/>
      </c>
      <c r="FJ194" s="39">
        <f>IF(N('Dvd Calendar'!$AJ$1935)=0,"",IF(('Dvd Calendar'!$AJ$1935&gt;=GRID_FROM)*('Dvd Calendar'!$AJ$1935&lt;=GRID_TO)*((('Dvd Calendar'!$AJ$1935&lt;=VAL_DATE)+(COUNTIF('Dvd Calendar'!$E$1942:$AR$1942,'Dvd Calendar'!$AJ$1935)=0))&gt;0)=0,"",'Dvd Calendar'!$AJ$1935*1000000000+ISNUMBER('Dvd Calendar'!$AJ$1938)*100000000+('Dvd Calendar'!$AJ$1940=SPECIAL_LBL)*10000000+(N('Dvd Calendar'!$AJ$1934)&gt;0)*(N('Dvd Calendar'!$AJ$1934)&lt;=VAL_SERIAL)*1000000+35*1000+32))</f>
        <v/>
      </c>
      <c r="FK194" s="39">
        <f>IF(N('Dvd Calendar'!$AK$1935)=0,"",IF(('Dvd Calendar'!$AK$1935&gt;=GRID_FROM)*('Dvd Calendar'!$AK$1935&lt;=GRID_TO)*((('Dvd Calendar'!$AK$1935&lt;=VAL_DATE)+(COUNTIF('Dvd Calendar'!$E$1942:$AR$1942,'Dvd Calendar'!$AK$1935)=0))&gt;0)=0,"",'Dvd Calendar'!$AK$1935*1000000000+ISNUMBER('Dvd Calendar'!$AK$1938)*100000000+('Dvd Calendar'!$AK$1940=SPECIAL_LBL)*10000000+(N('Dvd Calendar'!$AK$1934)&gt;0)*(N('Dvd Calendar'!$AK$1934)&lt;=VAL_SERIAL)*1000000+35*1000+33))</f>
        <v/>
      </c>
      <c r="FL194" s="39">
        <f>IF(N('Dvd Calendar'!$AL$1935)=0,"",IF(('Dvd Calendar'!$AL$1935&gt;=GRID_FROM)*('Dvd Calendar'!$AL$1935&lt;=GRID_TO)*((('Dvd Calendar'!$AL$1935&lt;=VAL_DATE)+(COUNTIF('Dvd Calendar'!$E$1942:$AR$1942,'Dvd Calendar'!$AL$1935)=0))&gt;0)=0,"",'Dvd Calendar'!$AL$1935*1000000000+ISNUMBER('Dvd Calendar'!$AL$1938)*100000000+('Dvd Calendar'!$AL$1940=SPECIAL_LBL)*10000000+(N('Dvd Calendar'!$AL$1934)&gt;0)*(N('Dvd Calendar'!$AL$1934)&lt;=VAL_SERIAL)*1000000+35*1000+34))</f>
        <v/>
      </c>
      <c r="FM194" s="39">
        <f>IF(N('Dvd Calendar'!$AM$1935)=0,"",IF(('Dvd Calendar'!$AM$1935&gt;=GRID_FROM)*('Dvd Calendar'!$AM$1935&lt;=GRID_TO)*((('Dvd Calendar'!$AM$1935&lt;=VAL_DATE)+(COUNTIF('Dvd Calendar'!$E$1942:$AR$1942,'Dvd Calendar'!$AM$1935)=0))&gt;0)=0,"",'Dvd Calendar'!$AM$1935*1000000000+ISNUMBER('Dvd Calendar'!$AM$1938)*100000000+('Dvd Calendar'!$AM$1940=SPECIAL_LBL)*10000000+(N('Dvd Calendar'!$AM$1934)&gt;0)*(N('Dvd Calendar'!$AM$1934)&lt;=VAL_SERIAL)*1000000+35*1000+35))</f>
        <v/>
      </c>
      <c r="FN194" s="39">
        <f>IF(N('Dvd Calendar'!$AN$1935)=0,"",IF(('Dvd Calendar'!$AN$1935&gt;=GRID_FROM)*('Dvd Calendar'!$AN$1935&lt;=GRID_TO)*((('Dvd Calendar'!$AN$1935&lt;=VAL_DATE)+(COUNTIF('Dvd Calendar'!$E$1942:$AR$1942,'Dvd Calendar'!$AN$1935)=0))&gt;0)=0,"",'Dvd Calendar'!$AN$1935*1000000000+ISNUMBER('Dvd Calendar'!$AN$1938)*100000000+('Dvd Calendar'!$AN$1940=SPECIAL_LBL)*10000000+(N('Dvd Calendar'!$AN$1934)&gt;0)*(N('Dvd Calendar'!$AN$1934)&lt;=VAL_SERIAL)*1000000+35*1000+36))</f>
        <v/>
      </c>
      <c r="FO194" s="39">
        <f>IF(N('Dvd Calendar'!$AO$1935)=0,"",IF(('Dvd Calendar'!$AO$1935&gt;=GRID_FROM)*('Dvd Calendar'!$AO$1935&lt;=GRID_TO)*((('Dvd Calendar'!$AO$1935&lt;=VAL_DATE)+(COUNTIF('Dvd Calendar'!$E$1942:$AR$1942,'Dvd Calendar'!$AO$1935)=0))&gt;0)=0,"",'Dvd Calendar'!$AO$1935*1000000000+ISNUMBER('Dvd Calendar'!$AO$1938)*100000000+('Dvd Calendar'!$AO$1940=SPECIAL_LBL)*10000000+(N('Dvd Calendar'!$AO$1934)&gt;0)*(N('Dvd Calendar'!$AO$1934)&lt;=VAL_SERIAL)*1000000+35*1000+37))</f>
        <v/>
      </c>
      <c r="FP194" s="39">
        <f>IF(N('Dvd Calendar'!$AP$1935)=0,"",IF(('Dvd Calendar'!$AP$1935&gt;=GRID_FROM)*('Dvd Calendar'!$AP$1935&lt;=GRID_TO)*((('Dvd Calendar'!$AP$1935&lt;=VAL_DATE)+(COUNTIF('Dvd Calendar'!$E$1942:$AR$1942,'Dvd Calendar'!$AP$1935)=0))&gt;0)=0,"",'Dvd Calendar'!$AP$1935*1000000000+ISNUMBER('Dvd Calendar'!$AP$1938)*100000000+('Dvd Calendar'!$AP$1940=SPECIAL_LBL)*10000000+(N('Dvd Calendar'!$AP$1934)&gt;0)*(N('Dvd Calendar'!$AP$1934)&lt;=VAL_SERIAL)*1000000+35*1000+38))</f>
        <v/>
      </c>
      <c r="FQ194" s="39">
        <f>IF(N('Dvd Calendar'!$AQ$1935)=0,"",IF(('Dvd Calendar'!$AQ$1935&gt;=GRID_FROM)*('Dvd Calendar'!$AQ$1935&lt;=GRID_TO)*((('Dvd Calendar'!$AQ$1935&lt;=VAL_DATE)+(COUNTIF('Dvd Calendar'!$E$1942:$AR$1942,'Dvd Calendar'!$AQ$1935)=0))&gt;0)=0,"",'Dvd Calendar'!$AQ$1935*1000000000+ISNUMBER('Dvd Calendar'!$AQ$1938)*100000000+('Dvd Calendar'!$AQ$1940=SPECIAL_LBL)*10000000+(N('Dvd Calendar'!$AQ$1934)&gt;0)*(N('Dvd Calendar'!$AQ$1934)&lt;=VAL_SERIAL)*1000000+35*1000+39))</f>
        <v/>
      </c>
      <c r="FR194" s="39">
        <f>IF(N('Dvd Calendar'!$AR$1935)=0,"",IF(('Dvd Calendar'!$AR$1935&gt;=GRID_FROM)*('Dvd Calendar'!$AR$1935&lt;=GRID_TO)*((('Dvd Calendar'!$AR$1935&lt;=VAL_DATE)+(COUNTIF('Dvd Calendar'!$E$1942:$AR$1942,'Dvd Calendar'!$AR$1935)=0))&gt;0)=0,"",'Dvd Calendar'!$AR$1935*1000000000+ISNUMBER('Dvd Calendar'!$AR$1938)*100000000+('Dvd Calendar'!$AR$1940=SPECIAL_LBL)*10000000+(N('Dvd Calendar'!$AR$1934)&gt;0)*(N('Dvd Calendar'!$AR$1934)&lt;=VAL_SERIAL)*1000000+35*1000+40))</f>
        <v/>
      </c>
      <c r="FS194" s="39">
        <f>IF(N('Dvd Calendar'!$E$1942)=0,"",IF(('Dvd Calendar'!$E$1942&gt;=GRID_FROM)*('Dvd Calendar'!$E$1942&lt;=GRID_TO)*('Dvd Calendar'!$E$1942&gt;VAL_DATE)=0,"",'Dvd Calendar'!$E$1942*1000000000+ISNUMBER('Dvd Calendar'!$E$1943)*100000000+0*10000000+(N('Dvd Calendar'!$E$1941)&gt;0)*(N('Dvd Calendar'!$E$1941)&lt;=VAL_SERIAL)*1000000+35*1000+41))</f>
        <v/>
      </c>
      <c r="FT194" s="39">
        <f>IF(N('Dvd Calendar'!$F$1942)=0,"",IF(('Dvd Calendar'!$F$1942&gt;=GRID_FROM)*('Dvd Calendar'!$F$1942&lt;=GRID_TO)*('Dvd Calendar'!$F$1942&gt;VAL_DATE)=0,"",'Dvd Calendar'!$F$1942*1000000000+ISNUMBER('Dvd Calendar'!$F$1943)*100000000+0*10000000+(N('Dvd Calendar'!$F$1941)&gt;0)*(N('Dvd Calendar'!$F$1941)&lt;=VAL_SERIAL)*1000000+35*1000+42))</f>
        <v/>
      </c>
      <c r="FU194" s="39">
        <f>IF(N('Dvd Calendar'!$G$1942)=0,"",IF(('Dvd Calendar'!$G$1942&gt;=GRID_FROM)*('Dvd Calendar'!$G$1942&lt;=GRID_TO)*('Dvd Calendar'!$G$1942&gt;VAL_DATE)=0,"",'Dvd Calendar'!$G$1942*1000000000+ISNUMBER('Dvd Calendar'!$G$1943)*100000000+0*10000000+(N('Dvd Calendar'!$G$1941)&gt;0)*(N('Dvd Calendar'!$G$1941)&lt;=VAL_SERIAL)*1000000+35*1000+43))</f>
        <v/>
      </c>
      <c r="FV194" s="39">
        <f>IF(N('Dvd Calendar'!$H$1942)=0,"",IF(('Dvd Calendar'!$H$1942&gt;=GRID_FROM)*('Dvd Calendar'!$H$1942&lt;=GRID_TO)*('Dvd Calendar'!$H$1942&gt;VAL_DATE)=0,"",'Dvd Calendar'!$H$1942*1000000000+ISNUMBER('Dvd Calendar'!$H$1943)*100000000+0*10000000+(N('Dvd Calendar'!$H$1941)&gt;0)*(N('Dvd Calendar'!$H$1941)&lt;=VAL_SERIAL)*1000000+35*1000+44))</f>
        <v/>
      </c>
      <c r="FW194" s="39">
        <f>IF(N('Dvd Calendar'!$I$1942)=0,"",IF(('Dvd Calendar'!$I$1942&gt;=GRID_FROM)*('Dvd Calendar'!$I$1942&lt;=GRID_TO)*('Dvd Calendar'!$I$1942&gt;VAL_DATE)=0,"",'Dvd Calendar'!$I$1942*1000000000+ISNUMBER('Dvd Calendar'!$I$1943)*100000000+0*10000000+(N('Dvd Calendar'!$I$1941)&gt;0)*(N('Dvd Calendar'!$I$1941)&lt;=VAL_SERIAL)*1000000+35*1000+45))</f>
        <v/>
      </c>
      <c r="FX194" s="39">
        <f>IF(N('Dvd Calendar'!$J$1942)=0,"",IF(('Dvd Calendar'!$J$1942&gt;=GRID_FROM)*('Dvd Calendar'!$J$1942&lt;=GRID_TO)*('Dvd Calendar'!$J$1942&gt;VAL_DATE)=0,"",'Dvd Calendar'!$J$1942*1000000000+ISNUMBER('Dvd Calendar'!$J$1943)*100000000+0*10000000+(N('Dvd Calendar'!$J$1941)&gt;0)*(N('Dvd Calendar'!$J$1941)&lt;=VAL_SERIAL)*1000000+35*1000+46))</f>
        <v/>
      </c>
      <c r="FY194" s="39">
        <f>IF(N('Dvd Calendar'!$K$1942)=0,"",IF(('Dvd Calendar'!$K$1942&gt;=GRID_FROM)*('Dvd Calendar'!$K$1942&lt;=GRID_TO)*('Dvd Calendar'!$K$1942&gt;VAL_DATE)=0,"",'Dvd Calendar'!$K$1942*1000000000+ISNUMBER('Dvd Calendar'!$K$1943)*100000000+0*10000000+(N('Dvd Calendar'!$K$1941)&gt;0)*(N('Dvd Calendar'!$K$1941)&lt;=VAL_SERIAL)*1000000+35*1000+47))</f>
        <v/>
      </c>
      <c r="FZ194" s="39">
        <f>IF(N('Dvd Calendar'!$L$1942)=0,"",IF(('Dvd Calendar'!$L$1942&gt;=GRID_FROM)*('Dvd Calendar'!$L$1942&lt;=GRID_TO)*('Dvd Calendar'!$L$1942&gt;VAL_DATE)=0,"",'Dvd Calendar'!$L$1942*1000000000+ISNUMBER('Dvd Calendar'!$L$1943)*100000000+0*10000000+(N('Dvd Calendar'!$L$1941)&gt;0)*(N('Dvd Calendar'!$L$1941)&lt;=VAL_SERIAL)*1000000+35*1000+48))</f>
        <v/>
      </c>
      <c r="GA194" s="39">
        <f>IF(N('Dvd Calendar'!$M$1942)=0,"",IF(('Dvd Calendar'!$M$1942&gt;=GRID_FROM)*('Dvd Calendar'!$M$1942&lt;=GRID_TO)*('Dvd Calendar'!$M$1942&gt;VAL_DATE)=0,"",'Dvd Calendar'!$M$1942*1000000000+ISNUMBER('Dvd Calendar'!$M$1943)*100000000+0*10000000+(N('Dvd Calendar'!$M$1941)&gt;0)*(N('Dvd Calendar'!$M$1941)&lt;=VAL_SERIAL)*1000000+35*1000+49))</f>
        <v/>
      </c>
      <c r="GB194" s="39">
        <f>IF(N('Dvd Calendar'!$N$1942)=0,"",IF(('Dvd Calendar'!$N$1942&gt;=GRID_FROM)*('Dvd Calendar'!$N$1942&lt;=GRID_TO)*('Dvd Calendar'!$N$1942&gt;VAL_DATE)=0,"",'Dvd Calendar'!$N$1942*1000000000+ISNUMBER('Dvd Calendar'!$N$1943)*100000000+0*10000000+(N('Dvd Calendar'!$N$1941)&gt;0)*(N('Dvd Calendar'!$N$1941)&lt;=VAL_SERIAL)*1000000+35*1000+50))</f>
        <v/>
      </c>
      <c r="GC194" s="39">
        <f>IF(N('Dvd Calendar'!$O$1942)=0,"",IF(('Dvd Calendar'!$O$1942&gt;=GRID_FROM)*('Dvd Calendar'!$O$1942&lt;=GRID_TO)*('Dvd Calendar'!$O$1942&gt;VAL_DATE)=0,"",'Dvd Calendar'!$O$1942*1000000000+ISNUMBER('Dvd Calendar'!$O$1943)*100000000+0*10000000+(N('Dvd Calendar'!$O$1941)&gt;0)*(N('Dvd Calendar'!$O$1941)&lt;=VAL_SERIAL)*1000000+35*1000+51))</f>
        <v/>
      </c>
      <c r="GD194" s="39">
        <f>IF(N('Dvd Calendar'!$P$1942)=0,"",IF(('Dvd Calendar'!$P$1942&gt;=GRID_FROM)*('Dvd Calendar'!$P$1942&lt;=GRID_TO)*('Dvd Calendar'!$P$1942&gt;VAL_DATE)=0,"",'Dvd Calendar'!$P$1942*1000000000+ISNUMBER('Dvd Calendar'!$P$1943)*100000000+0*10000000+(N('Dvd Calendar'!$P$1941)&gt;0)*(N('Dvd Calendar'!$P$1941)&lt;=VAL_SERIAL)*1000000+35*1000+52))</f>
        <v/>
      </c>
      <c r="GE194" s="39">
        <f>IF(N('Dvd Calendar'!$Q$1942)=0,"",IF(('Dvd Calendar'!$Q$1942&gt;=GRID_FROM)*('Dvd Calendar'!$Q$1942&lt;=GRID_TO)*('Dvd Calendar'!$Q$1942&gt;VAL_DATE)=0,"",'Dvd Calendar'!$Q$1942*1000000000+ISNUMBER('Dvd Calendar'!$Q$1943)*100000000+0*10000000+(N('Dvd Calendar'!$Q$1941)&gt;0)*(N('Dvd Calendar'!$Q$1941)&lt;=VAL_SERIAL)*1000000+35*1000+53))</f>
        <v/>
      </c>
      <c r="GF194" s="39">
        <f>IF(N('Dvd Calendar'!$R$1942)=0,"",IF(('Dvd Calendar'!$R$1942&gt;=GRID_FROM)*('Dvd Calendar'!$R$1942&lt;=GRID_TO)*('Dvd Calendar'!$R$1942&gt;VAL_DATE)=0,"",'Dvd Calendar'!$R$1942*1000000000+ISNUMBER('Dvd Calendar'!$R$1943)*100000000+0*10000000+(N('Dvd Calendar'!$R$1941)&gt;0)*(N('Dvd Calendar'!$R$1941)&lt;=VAL_SERIAL)*1000000+35*1000+54))</f>
        <v/>
      </c>
      <c r="GG194" s="39">
        <f>IF(N('Dvd Calendar'!$S$1942)=0,"",IF(('Dvd Calendar'!$S$1942&gt;=GRID_FROM)*('Dvd Calendar'!$S$1942&lt;=GRID_TO)*('Dvd Calendar'!$S$1942&gt;VAL_DATE)=0,"",'Dvd Calendar'!$S$1942*1000000000+ISNUMBER('Dvd Calendar'!$S$1943)*100000000+0*10000000+(N('Dvd Calendar'!$S$1941)&gt;0)*(N('Dvd Calendar'!$S$1941)&lt;=VAL_SERIAL)*1000000+35*1000+55))</f>
        <v/>
      </c>
      <c r="GH194" s="39">
        <f>IF(N('Dvd Calendar'!$T$1942)=0,"",IF(('Dvd Calendar'!$T$1942&gt;=GRID_FROM)*('Dvd Calendar'!$T$1942&lt;=GRID_TO)*('Dvd Calendar'!$T$1942&gt;VAL_DATE)=0,"",'Dvd Calendar'!$T$1942*1000000000+ISNUMBER('Dvd Calendar'!$T$1943)*100000000+0*10000000+(N('Dvd Calendar'!$T$1941)&gt;0)*(N('Dvd Calendar'!$T$1941)&lt;=VAL_SERIAL)*1000000+35*1000+56))</f>
        <v/>
      </c>
      <c r="GI194" s="39">
        <f>IF(N('Dvd Calendar'!$U$1942)=0,"",IF(('Dvd Calendar'!$U$1942&gt;=GRID_FROM)*('Dvd Calendar'!$U$1942&lt;=GRID_TO)*('Dvd Calendar'!$U$1942&gt;VAL_DATE)=0,"",'Dvd Calendar'!$U$1942*1000000000+ISNUMBER('Dvd Calendar'!$U$1943)*100000000+0*10000000+(N('Dvd Calendar'!$U$1941)&gt;0)*(N('Dvd Calendar'!$U$1941)&lt;=VAL_SERIAL)*1000000+35*1000+57))</f>
        <v/>
      </c>
      <c r="GJ194" s="39">
        <f>IF(N('Dvd Calendar'!$V$1942)=0,"",IF(('Dvd Calendar'!$V$1942&gt;=GRID_FROM)*('Dvd Calendar'!$V$1942&lt;=GRID_TO)*('Dvd Calendar'!$V$1942&gt;VAL_DATE)=0,"",'Dvd Calendar'!$V$1942*1000000000+ISNUMBER('Dvd Calendar'!$V$1943)*100000000+0*10000000+(N('Dvd Calendar'!$V$1941)&gt;0)*(N('Dvd Calendar'!$V$1941)&lt;=VAL_SERIAL)*1000000+35*1000+58))</f>
        <v/>
      </c>
      <c r="GK194" s="39">
        <f>IF(N('Dvd Calendar'!$W$1942)=0,"",IF(('Dvd Calendar'!$W$1942&gt;=GRID_FROM)*('Dvd Calendar'!$W$1942&lt;=GRID_TO)*('Dvd Calendar'!$W$1942&gt;VAL_DATE)=0,"",'Dvd Calendar'!$W$1942*1000000000+ISNUMBER('Dvd Calendar'!$W$1943)*100000000+0*10000000+(N('Dvd Calendar'!$W$1941)&gt;0)*(N('Dvd Calendar'!$W$1941)&lt;=VAL_SERIAL)*1000000+35*1000+59))</f>
        <v/>
      </c>
      <c r="GL194" s="39">
        <f>IF(N('Dvd Calendar'!$X$1942)=0,"",IF(('Dvd Calendar'!$X$1942&gt;=GRID_FROM)*('Dvd Calendar'!$X$1942&lt;=GRID_TO)*('Dvd Calendar'!$X$1942&gt;VAL_DATE)=0,"",'Dvd Calendar'!$X$1942*1000000000+ISNUMBER('Dvd Calendar'!$X$1943)*100000000+0*10000000+(N('Dvd Calendar'!$X$1941)&gt;0)*(N('Dvd Calendar'!$X$1941)&lt;=VAL_SERIAL)*1000000+35*1000+60))</f>
        <v/>
      </c>
      <c r="GM194" s="39">
        <f>IF(N('Dvd Calendar'!$Y$1942)=0,"",IF(('Dvd Calendar'!$Y$1942&gt;=GRID_FROM)*('Dvd Calendar'!$Y$1942&lt;=GRID_TO)*('Dvd Calendar'!$Y$1942&gt;VAL_DATE)=0,"",'Dvd Calendar'!$Y$1942*1000000000+ISNUMBER('Dvd Calendar'!$Y$1943)*100000000+0*10000000+(N('Dvd Calendar'!$Y$1941)&gt;0)*(N('Dvd Calendar'!$Y$1941)&lt;=VAL_SERIAL)*1000000+35*1000+61))</f>
        <v/>
      </c>
      <c r="GN194" s="39">
        <f>IF(N('Dvd Calendar'!$Z$1942)=0,"",IF(('Dvd Calendar'!$Z$1942&gt;=GRID_FROM)*('Dvd Calendar'!$Z$1942&lt;=GRID_TO)*('Dvd Calendar'!$Z$1942&gt;VAL_DATE)=0,"",'Dvd Calendar'!$Z$1942*1000000000+ISNUMBER('Dvd Calendar'!$Z$1943)*100000000+0*10000000+(N('Dvd Calendar'!$Z$1941)&gt;0)*(N('Dvd Calendar'!$Z$1941)&lt;=VAL_SERIAL)*1000000+35*1000+62))</f>
        <v/>
      </c>
      <c r="GO194" s="39">
        <f>IF(N('Dvd Calendar'!$AA$1942)=0,"",IF(('Dvd Calendar'!$AA$1942&gt;=GRID_FROM)*('Dvd Calendar'!$AA$1942&lt;=GRID_TO)*('Dvd Calendar'!$AA$1942&gt;VAL_DATE)=0,"",'Dvd Calendar'!$AA$1942*1000000000+ISNUMBER('Dvd Calendar'!$AA$1943)*100000000+0*10000000+(N('Dvd Calendar'!$AA$1941)&gt;0)*(N('Dvd Calendar'!$AA$1941)&lt;=VAL_SERIAL)*1000000+35*1000+63))</f>
        <v/>
      </c>
      <c r="GP194" s="39">
        <f>IF(N('Dvd Calendar'!$AB$1942)=0,"",IF(('Dvd Calendar'!$AB$1942&gt;=GRID_FROM)*('Dvd Calendar'!$AB$1942&lt;=GRID_TO)*('Dvd Calendar'!$AB$1942&gt;VAL_DATE)=0,"",'Dvd Calendar'!$AB$1942*1000000000+ISNUMBER('Dvd Calendar'!$AB$1943)*100000000+0*10000000+(N('Dvd Calendar'!$AB$1941)&gt;0)*(N('Dvd Calendar'!$AB$1941)&lt;=VAL_SERIAL)*1000000+35*1000+64))</f>
        <v/>
      </c>
      <c r="GQ194" s="39">
        <f>IF(N('Dvd Calendar'!$AC$1942)=0,"",IF(('Dvd Calendar'!$AC$1942&gt;=GRID_FROM)*('Dvd Calendar'!$AC$1942&lt;=GRID_TO)*('Dvd Calendar'!$AC$1942&gt;VAL_DATE)=0,"",'Dvd Calendar'!$AC$1942*1000000000+ISNUMBER('Dvd Calendar'!$AC$1943)*100000000+0*10000000+(N('Dvd Calendar'!$AC$1941)&gt;0)*(N('Dvd Calendar'!$AC$1941)&lt;=VAL_SERIAL)*1000000+35*1000+65))</f>
        <v/>
      </c>
    </row>
    <row r="195">
      <c r="B195" s="2">
        <f>IF(HSCEI!$C$42="","",HSCEI!$C$42)</f>
        <v/>
      </c>
      <c r="C195" s="110">
        <f>IF(EE195="","",IF(ISNUMBER('Dvd Calendar'!$E$1949)=FALSE,"",IF((('Dvd Calendar'!$E$1951=TYPE1)*(TYPE1&lt;&gt;"")+('Dvd Calendar'!$E$1951=TYPE2)*(TYPE2&lt;&gt;"")+('Dvd Calendar'!$E$1951=TYPE3)*(TYPE3&lt;&gt;"")+('Dvd Calendar'!$E$1951=TYPE4)*(TYPE4&lt;&gt;"")+('Dvd Calendar'!$E$1951=SPECIAL_LBL)*(INC_SPECIALS="Y"))=0,"",'Dvd Calendar'!$E$1949)))</f>
        <v/>
      </c>
      <c r="D195" s="110">
        <f>IF(EF195="","",IF(ISNUMBER('Dvd Calendar'!$F$1949)=FALSE,"",IF((('Dvd Calendar'!$F$1951=TYPE1)*(TYPE1&lt;&gt;"")+('Dvd Calendar'!$F$1951=TYPE2)*(TYPE2&lt;&gt;"")+('Dvd Calendar'!$F$1951=TYPE3)*(TYPE3&lt;&gt;"")+('Dvd Calendar'!$F$1951=TYPE4)*(TYPE4&lt;&gt;"")+('Dvd Calendar'!$F$1951=SPECIAL_LBL)*(INC_SPECIALS="Y"))=0,"",'Dvd Calendar'!$F$1949)))</f>
        <v/>
      </c>
      <c r="E195" s="110">
        <f>IF(EG195="","",IF(ISNUMBER('Dvd Calendar'!$G$1949)=FALSE,"",IF((('Dvd Calendar'!$G$1951=TYPE1)*(TYPE1&lt;&gt;"")+('Dvd Calendar'!$G$1951=TYPE2)*(TYPE2&lt;&gt;"")+('Dvd Calendar'!$G$1951=TYPE3)*(TYPE3&lt;&gt;"")+('Dvd Calendar'!$G$1951=TYPE4)*(TYPE4&lt;&gt;"")+('Dvd Calendar'!$G$1951=SPECIAL_LBL)*(INC_SPECIALS="Y"))=0,"",'Dvd Calendar'!$G$1949)))</f>
        <v/>
      </c>
      <c r="F195" s="110">
        <f>IF(EH195="","",IF(ISNUMBER('Dvd Calendar'!$H$1949)=FALSE,"",IF((('Dvd Calendar'!$H$1951=TYPE1)*(TYPE1&lt;&gt;"")+('Dvd Calendar'!$H$1951=TYPE2)*(TYPE2&lt;&gt;"")+('Dvd Calendar'!$H$1951=TYPE3)*(TYPE3&lt;&gt;"")+('Dvd Calendar'!$H$1951=TYPE4)*(TYPE4&lt;&gt;"")+('Dvd Calendar'!$H$1951=SPECIAL_LBL)*(INC_SPECIALS="Y"))=0,"",'Dvd Calendar'!$H$1949)))</f>
        <v/>
      </c>
      <c r="G195" s="110">
        <f>IF(EI195="","",IF(ISNUMBER('Dvd Calendar'!$I$1949)=FALSE,"",IF((('Dvd Calendar'!$I$1951=TYPE1)*(TYPE1&lt;&gt;"")+('Dvd Calendar'!$I$1951=TYPE2)*(TYPE2&lt;&gt;"")+('Dvd Calendar'!$I$1951=TYPE3)*(TYPE3&lt;&gt;"")+('Dvd Calendar'!$I$1951=TYPE4)*(TYPE4&lt;&gt;"")+('Dvd Calendar'!$I$1951=SPECIAL_LBL)*(INC_SPECIALS="Y"))=0,"",'Dvd Calendar'!$I$1949)))</f>
        <v/>
      </c>
      <c r="H195" s="110">
        <f>IF(EJ195="","",IF(ISNUMBER('Dvd Calendar'!$J$1949)=FALSE,"",IF((('Dvd Calendar'!$J$1951=TYPE1)*(TYPE1&lt;&gt;"")+('Dvd Calendar'!$J$1951=TYPE2)*(TYPE2&lt;&gt;"")+('Dvd Calendar'!$J$1951=TYPE3)*(TYPE3&lt;&gt;"")+('Dvd Calendar'!$J$1951=TYPE4)*(TYPE4&lt;&gt;"")+('Dvd Calendar'!$J$1951=SPECIAL_LBL)*(INC_SPECIALS="Y"))=0,"",'Dvd Calendar'!$J$1949)))</f>
        <v/>
      </c>
      <c r="I195" s="110">
        <f>IF(EK195="","",IF(ISNUMBER('Dvd Calendar'!$K$1949)=FALSE,"",IF((('Dvd Calendar'!$K$1951=TYPE1)*(TYPE1&lt;&gt;"")+('Dvd Calendar'!$K$1951=TYPE2)*(TYPE2&lt;&gt;"")+('Dvd Calendar'!$K$1951=TYPE3)*(TYPE3&lt;&gt;"")+('Dvd Calendar'!$K$1951=TYPE4)*(TYPE4&lt;&gt;"")+('Dvd Calendar'!$K$1951=SPECIAL_LBL)*(INC_SPECIALS="Y"))=0,"",'Dvd Calendar'!$K$1949)))</f>
        <v/>
      </c>
      <c r="J195" s="110">
        <f>IF(EL195="","",IF(ISNUMBER('Dvd Calendar'!$L$1949)=FALSE,"",IF((('Dvd Calendar'!$L$1951=TYPE1)*(TYPE1&lt;&gt;"")+('Dvd Calendar'!$L$1951=TYPE2)*(TYPE2&lt;&gt;"")+('Dvd Calendar'!$L$1951=TYPE3)*(TYPE3&lt;&gt;"")+('Dvd Calendar'!$L$1951=TYPE4)*(TYPE4&lt;&gt;"")+('Dvd Calendar'!$L$1951=SPECIAL_LBL)*(INC_SPECIALS="Y"))=0,"",'Dvd Calendar'!$L$1949)))</f>
        <v/>
      </c>
      <c r="K195" s="110">
        <f>IF(EM195="","",IF(ISNUMBER('Dvd Calendar'!$M$1949)=FALSE,"",IF((('Dvd Calendar'!$M$1951=TYPE1)*(TYPE1&lt;&gt;"")+('Dvd Calendar'!$M$1951=TYPE2)*(TYPE2&lt;&gt;"")+('Dvd Calendar'!$M$1951=TYPE3)*(TYPE3&lt;&gt;"")+('Dvd Calendar'!$M$1951=TYPE4)*(TYPE4&lt;&gt;"")+('Dvd Calendar'!$M$1951=SPECIAL_LBL)*(INC_SPECIALS="Y"))=0,"",'Dvd Calendar'!$M$1949)))</f>
        <v/>
      </c>
      <c r="L195" s="110">
        <f>IF(EN195="","",IF(ISNUMBER('Dvd Calendar'!$N$1949)=FALSE,"",IF((('Dvd Calendar'!$N$1951=TYPE1)*(TYPE1&lt;&gt;"")+('Dvd Calendar'!$N$1951=TYPE2)*(TYPE2&lt;&gt;"")+('Dvd Calendar'!$N$1951=TYPE3)*(TYPE3&lt;&gt;"")+('Dvd Calendar'!$N$1951=TYPE4)*(TYPE4&lt;&gt;"")+('Dvd Calendar'!$N$1951=SPECIAL_LBL)*(INC_SPECIALS="Y"))=0,"",'Dvd Calendar'!$N$1949)))</f>
        <v/>
      </c>
      <c r="M195" s="110">
        <f>IF(EO195="","",IF(ISNUMBER('Dvd Calendar'!$O$1949)=FALSE,"",IF((('Dvd Calendar'!$O$1951=TYPE1)*(TYPE1&lt;&gt;"")+('Dvd Calendar'!$O$1951=TYPE2)*(TYPE2&lt;&gt;"")+('Dvd Calendar'!$O$1951=TYPE3)*(TYPE3&lt;&gt;"")+('Dvd Calendar'!$O$1951=TYPE4)*(TYPE4&lt;&gt;"")+('Dvd Calendar'!$O$1951=SPECIAL_LBL)*(INC_SPECIALS="Y"))=0,"",'Dvd Calendar'!$O$1949)))</f>
        <v/>
      </c>
      <c r="N195" s="110">
        <f>IF(EP195="","",IF(ISNUMBER('Dvd Calendar'!$P$1949)=FALSE,"",IF((('Dvd Calendar'!$P$1951=TYPE1)*(TYPE1&lt;&gt;"")+('Dvd Calendar'!$P$1951=TYPE2)*(TYPE2&lt;&gt;"")+('Dvd Calendar'!$P$1951=TYPE3)*(TYPE3&lt;&gt;"")+('Dvd Calendar'!$P$1951=TYPE4)*(TYPE4&lt;&gt;"")+('Dvd Calendar'!$P$1951=SPECIAL_LBL)*(INC_SPECIALS="Y"))=0,"",'Dvd Calendar'!$P$1949)))</f>
        <v/>
      </c>
      <c r="O195" s="110">
        <f>IF(EQ195="","",IF(ISNUMBER('Dvd Calendar'!$Q$1949)=FALSE,"",IF((('Dvd Calendar'!$Q$1951=TYPE1)*(TYPE1&lt;&gt;"")+('Dvd Calendar'!$Q$1951=TYPE2)*(TYPE2&lt;&gt;"")+('Dvd Calendar'!$Q$1951=TYPE3)*(TYPE3&lt;&gt;"")+('Dvd Calendar'!$Q$1951=TYPE4)*(TYPE4&lt;&gt;"")+('Dvd Calendar'!$Q$1951=SPECIAL_LBL)*(INC_SPECIALS="Y"))=0,"",'Dvd Calendar'!$Q$1949)))</f>
        <v/>
      </c>
      <c r="P195" s="110">
        <f>IF(ER195="","",IF(ISNUMBER('Dvd Calendar'!$R$1949)=FALSE,"",IF((('Dvd Calendar'!$R$1951=TYPE1)*(TYPE1&lt;&gt;"")+('Dvd Calendar'!$R$1951=TYPE2)*(TYPE2&lt;&gt;"")+('Dvd Calendar'!$R$1951=TYPE3)*(TYPE3&lt;&gt;"")+('Dvd Calendar'!$R$1951=TYPE4)*(TYPE4&lt;&gt;"")+('Dvd Calendar'!$R$1951=SPECIAL_LBL)*(INC_SPECIALS="Y"))=0,"",'Dvd Calendar'!$R$1949)))</f>
        <v/>
      </c>
      <c r="Q195" s="110">
        <f>IF(ES195="","",IF(ISNUMBER('Dvd Calendar'!$S$1949)=FALSE,"",IF((('Dvd Calendar'!$S$1951=TYPE1)*(TYPE1&lt;&gt;"")+('Dvd Calendar'!$S$1951=TYPE2)*(TYPE2&lt;&gt;"")+('Dvd Calendar'!$S$1951=TYPE3)*(TYPE3&lt;&gt;"")+('Dvd Calendar'!$S$1951=TYPE4)*(TYPE4&lt;&gt;"")+('Dvd Calendar'!$S$1951=SPECIAL_LBL)*(INC_SPECIALS="Y"))=0,"",'Dvd Calendar'!$S$1949)))</f>
        <v/>
      </c>
      <c r="R195" s="110">
        <f>IF(ET195="","",IF(ISNUMBER('Dvd Calendar'!$T$1949)=FALSE,"",IF((('Dvd Calendar'!$T$1951=TYPE1)*(TYPE1&lt;&gt;"")+('Dvd Calendar'!$T$1951=TYPE2)*(TYPE2&lt;&gt;"")+('Dvd Calendar'!$T$1951=TYPE3)*(TYPE3&lt;&gt;"")+('Dvd Calendar'!$T$1951=TYPE4)*(TYPE4&lt;&gt;"")+('Dvd Calendar'!$T$1951=SPECIAL_LBL)*(INC_SPECIALS="Y"))=0,"",'Dvd Calendar'!$T$1949)))</f>
        <v/>
      </c>
      <c r="S195" s="110">
        <f>IF(EU195="","",IF(ISNUMBER('Dvd Calendar'!$U$1949)=FALSE,"",IF((('Dvd Calendar'!$U$1951=TYPE1)*(TYPE1&lt;&gt;"")+('Dvd Calendar'!$U$1951=TYPE2)*(TYPE2&lt;&gt;"")+('Dvd Calendar'!$U$1951=TYPE3)*(TYPE3&lt;&gt;"")+('Dvd Calendar'!$U$1951=TYPE4)*(TYPE4&lt;&gt;"")+('Dvd Calendar'!$U$1951=SPECIAL_LBL)*(INC_SPECIALS="Y"))=0,"",'Dvd Calendar'!$U$1949)))</f>
        <v/>
      </c>
      <c r="T195" s="110">
        <f>IF(EV195="","",IF(ISNUMBER('Dvd Calendar'!$V$1949)=FALSE,"",IF((('Dvd Calendar'!$V$1951=TYPE1)*(TYPE1&lt;&gt;"")+('Dvd Calendar'!$V$1951=TYPE2)*(TYPE2&lt;&gt;"")+('Dvd Calendar'!$V$1951=TYPE3)*(TYPE3&lt;&gt;"")+('Dvd Calendar'!$V$1951=TYPE4)*(TYPE4&lt;&gt;"")+('Dvd Calendar'!$V$1951=SPECIAL_LBL)*(INC_SPECIALS="Y"))=0,"",'Dvd Calendar'!$V$1949)))</f>
        <v/>
      </c>
      <c r="U195" s="110">
        <f>IF(EW195="","",IF(ISNUMBER('Dvd Calendar'!$W$1949)=FALSE,"",IF((('Dvd Calendar'!$W$1951=TYPE1)*(TYPE1&lt;&gt;"")+('Dvd Calendar'!$W$1951=TYPE2)*(TYPE2&lt;&gt;"")+('Dvd Calendar'!$W$1951=TYPE3)*(TYPE3&lt;&gt;"")+('Dvd Calendar'!$W$1951=TYPE4)*(TYPE4&lt;&gt;"")+('Dvd Calendar'!$W$1951=SPECIAL_LBL)*(INC_SPECIALS="Y"))=0,"",'Dvd Calendar'!$W$1949)))</f>
        <v/>
      </c>
      <c r="V195" s="110">
        <f>IF(EX195="","",IF(ISNUMBER('Dvd Calendar'!$X$1949)=FALSE,"",IF((('Dvd Calendar'!$X$1951=TYPE1)*(TYPE1&lt;&gt;"")+('Dvd Calendar'!$X$1951=TYPE2)*(TYPE2&lt;&gt;"")+('Dvd Calendar'!$X$1951=TYPE3)*(TYPE3&lt;&gt;"")+('Dvd Calendar'!$X$1951=TYPE4)*(TYPE4&lt;&gt;"")+('Dvd Calendar'!$X$1951=SPECIAL_LBL)*(INC_SPECIALS="Y"))=0,"",'Dvd Calendar'!$X$1949)))</f>
        <v/>
      </c>
      <c r="W195" s="110">
        <f>IF(EY195="","",IF(ISNUMBER('Dvd Calendar'!$Y$1949)=FALSE,"",IF((('Dvd Calendar'!$Y$1951=TYPE1)*(TYPE1&lt;&gt;"")+('Dvd Calendar'!$Y$1951=TYPE2)*(TYPE2&lt;&gt;"")+('Dvd Calendar'!$Y$1951=TYPE3)*(TYPE3&lt;&gt;"")+('Dvd Calendar'!$Y$1951=TYPE4)*(TYPE4&lt;&gt;"")+('Dvd Calendar'!$Y$1951=SPECIAL_LBL)*(INC_SPECIALS="Y"))=0,"",'Dvd Calendar'!$Y$1949)))</f>
        <v/>
      </c>
      <c r="X195" s="110">
        <f>IF(EZ195="","",IF(ISNUMBER('Dvd Calendar'!$Z$1949)=FALSE,"",IF((('Dvd Calendar'!$Z$1951=TYPE1)*(TYPE1&lt;&gt;"")+('Dvd Calendar'!$Z$1951=TYPE2)*(TYPE2&lt;&gt;"")+('Dvd Calendar'!$Z$1951=TYPE3)*(TYPE3&lt;&gt;"")+('Dvd Calendar'!$Z$1951=TYPE4)*(TYPE4&lt;&gt;"")+('Dvd Calendar'!$Z$1951=SPECIAL_LBL)*(INC_SPECIALS="Y"))=0,"",'Dvd Calendar'!$Z$1949)))</f>
        <v/>
      </c>
      <c r="Y195" s="110">
        <f>IF(FA195="","",IF(ISNUMBER('Dvd Calendar'!$AA$1949)=FALSE,"",IF((('Dvd Calendar'!$AA$1951=TYPE1)*(TYPE1&lt;&gt;"")+('Dvd Calendar'!$AA$1951=TYPE2)*(TYPE2&lt;&gt;"")+('Dvd Calendar'!$AA$1951=TYPE3)*(TYPE3&lt;&gt;"")+('Dvd Calendar'!$AA$1951=TYPE4)*(TYPE4&lt;&gt;"")+('Dvd Calendar'!$AA$1951=SPECIAL_LBL)*(INC_SPECIALS="Y"))=0,"",'Dvd Calendar'!$AA$1949)))</f>
        <v/>
      </c>
      <c r="Z195" s="110">
        <f>IF(FB195="","",IF(ISNUMBER('Dvd Calendar'!$AB$1949)=FALSE,"",IF((('Dvd Calendar'!$AB$1951=TYPE1)*(TYPE1&lt;&gt;"")+('Dvd Calendar'!$AB$1951=TYPE2)*(TYPE2&lt;&gt;"")+('Dvd Calendar'!$AB$1951=TYPE3)*(TYPE3&lt;&gt;"")+('Dvd Calendar'!$AB$1951=TYPE4)*(TYPE4&lt;&gt;"")+('Dvd Calendar'!$AB$1951=SPECIAL_LBL)*(INC_SPECIALS="Y"))=0,"",'Dvd Calendar'!$AB$1949)))</f>
        <v/>
      </c>
      <c r="AA195" s="110">
        <f>IF(FC195="","",IF(ISNUMBER('Dvd Calendar'!$AC$1949)=FALSE,"",IF((('Dvd Calendar'!$AC$1951=TYPE1)*(TYPE1&lt;&gt;"")+('Dvd Calendar'!$AC$1951=TYPE2)*(TYPE2&lt;&gt;"")+('Dvd Calendar'!$AC$1951=TYPE3)*(TYPE3&lt;&gt;"")+('Dvd Calendar'!$AC$1951=TYPE4)*(TYPE4&lt;&gt;"")+('Dvd Calendar'!$AC$1951=SPECIAL_LBL)*(INC_SPECIALS="Y"))=0,"",'Dvd Calendar'!$AC$1949)))</f>
        <v/>
      </c>
      <c r="AB195" s="110">
        <f>IF(FD195="","",IF(ISNUMBER('Dvd Calendar'!$AD$1949)=FALSE,"",IF((('Dvd Calendar'!$AD$1951=TYPE1)*(TYPE1&lt;&gt;"")+('Dvd Calendar'!$AD$1951=TYPE2)*(TYPE2&lt;&gt;"")+('Dvd Calendar'!$AD$1951=TYPE3)*(TYPE3&lt;&gt;"")+('Dvd Calendar'!$AD$1951=TYPE4)*(TYPE4&lt;&gt;"")+('Dvd Calendar'!$AD$1951=SPECIAL_LBL)*(INC_SPECIALS="Y"))=0,"",'Dvd Calendar'!$AD$1949)))</f>
        <v/>
      </c>
      <c r="AC195" s="110">
        <f>IF(FE195="","",IF(ISNUMBER('Dvd Calendar'!$AE$1949)=FALSE,"",IF((('Dvd Calendar'!$AE$1951=TYPE1)*(TYPE1&lt;&gt;"")+('Dvd Calendar'!$AE$1951=TYPE2)*(TYPE2&lt;&gt;"")+('Dvd Calendar'!$AE$1951=TYPE3)*(TYPE3&lt;&gt;"")+('Dvd Calendar'!$AE$1951=TYPE4)*(TYPE4&lt;&gt;"")+('Dvd Calendar'!$AE$1951=SPECIAL_LBL)*(INC_SPECIALS="Y"))=0,"",'Dvd Calendar'!$AE$1949)))</f>
        <v/>
      </c>
      <c r="AD195" s="110">
        <f>IF(FF195="","",IF(ISNUMBER('Dvd Calendar'!$AF$1949)=FALSE,"",IF((('Dvd Calendar'!$AF$1951=TYPE1)*(TYPE1&lt;&gt;"")+('Dvd Calendar'!$AF$1951=TYPE2)*(TYPE2&lt;&gt;"")+('Dvd Calendar'!$AF$1951=TYPE3)*(TYPE3&lt;&gt;"")+('Dvd Calendar'!$AF$1951=TYPE4)*(TYPE4&lt;&gt;"")+('Dvd Calendar'!$AF$1951=SPECIAL_LBL)*(INC_SPECIALS="Y"))=0,"",'Dvd Calendar'!$AF$1949)))</f>
        <v/>
      </c>
      <c r="AE195" s="110">
        <f>IF(FG195="","",IF(ISNUMBER('Dvd Calendar'!$AG$1949)=FALSE,"",IF((('Dvd Calendar'!$AG$1951=TYPE1)*(TYPE1&lt;&gt;"")+('Dvd Calendar'!$AG$1951=TYPE2)*(TYPE2&lt;&gt;"")+('Dvd Calendar'!$AG$1951=TYPE3)*(TYPE3&lt;&gt;"")+('Dvd Calendar'!$AG$1951=TYPE4)*(TYPE4&lt;&gt;"")+('Dvd Calendar'!$AG$1951=SPECIAL_LBL)*(INC_SPECIALS="Y"))=0,"",'Dvd Calendar'!$AG$1949)))</f>
        <v/>
      </c>
      <c r="AF195" s="110">
        <f>IF(FH195="","",IF(ISNUMBER('Dvd Calendar'!$AH$1949)=FALSE,"",IF((('Dvd Calendar'!$AH$1951=TYPE1)*(TYPE1&lt;&gt;"")+('Dvd Calendar'!$AH$1951=TYPE2)*(TYPE2&lt;&gt;"")+('Dvd Calendar'!$AH$1951=TYPE3)*(TYPE3&lt;&gt;"")+('Dvd Calendar'!$AH$1951=TYPE4)*(TYPE4&lt;&gt;"")+('Dvd Calendar'!$AH$1951=SPECIAL_LBL)*(INC_SPECIALS="Y"))=0,"",'Dvd Calendar'!$AH$1949)))</f>
        <v/>
      </c>
      <c r="AG195" s="110">
        <f>IF(FI195="","",IF(ISNUMBER('Dvd Calendar'!$AI$1949)=FALSE,"",IF((('Dvd Calendar'!$AI$1951=TYPE1)*(TYPE1&lt;&gt;"")+('Dvd Calendar'!$AI$1951=TYPE2)*(TYPE2&lt;&gt;"")+('Dvd Calendar'!$AI$1951=TYPE3)*(TYPE3&lt;&gt;"")+('Dvd Calendar'!$AI$1951=TYPE4)*(TYPE4&lt;&gt;"")+('Dvd Calendar'!$AI$1951=SPECIAL_LBL)*(INC_SPECIALS="Y"))=0,"",'Dvd Calendar'!$AI$1949)))</f>
        <v/>
      </c>
      <c r="AH195" s="110">
        <f>IF(FJ195="","",IF(ISNUMBER('Dvd Calendar'!$AJ$1949)=FALSE,"",IF((('Dvd Calendar'!$AJ$1951=TYPE1)*(TYPE1&lt;&gt;"")+('Dvd Calendar'!$AJ$1951=TYPE2)*(TYPE2&lt;&gt;"")+('Dvd Calendar'!$AJ$1951=TYPE3)*(TYPE3&lt;&gt;"")+('Dvd Calendar'!$AJ$1951=TYPE4)*(TYPE4&lt;&gt;"")+('Dvd Calendar'!$AJ$1951=SPECIAL_LBL)*(INC_SPECIALS="Y"))=0,"",'Dvd Calendar'!$AJ$1949)))</f>
        <v/>
      </c>
      <c r="AI195" s="110">
        <f>IF(FK195="","",IF(ISNUMBER('Dvd Calendar'!$AK$1949)=FALSE,"",IF((('Dvd Calendar'!$AK$1951=TYPE1)*(TYPE1&lt;&gt;"")+('Dvd Calendar'!$AK$1951=TYPE2)*(TYPE2&lt;&gt;"")+('Dvd Calendar'!$AK$1951=TYPE3)*(TYPE3&lt;&gt;"")+('Dvd Calendar'!$AK$1951=TYPE4)*(TYPE4&lt;&gt;"")+('Dvd Calendar'!$AK$1951=SPECIAL_LBL)*(INC_SPECIALS="Y"))=0,"",'Dvd Calendar'!$AK$1949)))</f>
        <v/>
      </c>
      <c r="AJ195" s="110">
        <f>IF(FL195="","",IF(ISNUMBER('Dvd Calendar'!$AL$1949)=FALSE,"",IF((('Dvd Calendar'!$AL$1951=TYPE1)*(TYPE1&lt;&gt;"")+('Dvd Calendar'!$AL$1951=TYPE2)*(TYPE2&lt;&gt;"")+('Dvd Calendar'!$AL$1951=TYPE3)*(TYPE3&lt;&gt;"")+('Dvd Calendar'!$AL$1951=TYPE4)*(TYPE4&lt;&gt;"")+('Dvd Calendar'!$AL$1951=SPECIAL_LBL)*(INC_SPECIALS="Y"))=0,"",'Dvd Calendar'!$AL$1949)))</f>
        <v/>
      </c>
      <c r="AK195" s="110">
        <f>IF(FM195="","",IF(ISNUMBER('Dvd Calendar'!$AM$1949)=FALSE,"",IF((('Dvd Calendar'!$AM$1951=TYPE1)*(TYPE1&lt;&gt;"")+('Dvd Calendar'!$AM$1951=TYPE2)*(TYPE2&lt;&gt;"")+('Dvd Calendar'!$AM$1951=TYPE3)*(TYPE3&lt;&gt;"")+('Dvd Calendar'!$AM$1951=TYPE4)*(TYPE4&lt;&gt;"")+('Dvd Calendar'!$AM$1951=SPECIAL_LBL)*(INC_SPECIALS="Y"))=0,"",'Dvd Calendar'!$AM$1949)))</f>
        <v/>
      </c>
      <c r="AL195" s="110">
        <f>IF(FN195="","",IF(ISNUMBER('Dvd Calendar'!$AN$1949)=FALSE,"",IF((('Dvd Calendar'!$AN$1951=TYPE1)*(TYPE1&lt;&gt;"")+('Dvd Calendar'!$AN$1951=TYPE2)*(TYPE2&lt;&gt;"")+('Dvd Calendar'!$AN$1951=TYPE3)*(TYPE3&lt;&gt;"")+('Dvd Calendar'!$AN$1951=TYPE4)*(TYPE4&lt;&gt;"")+('Dvd Calendar'!$AN$1951=SPECIAL_LBL)*(INC_SPECIALS="Y"))=0,"",'Dvd Calendar'!$AN$1949)))</f>
        <v/>
      </c>
      <c r="AM195" s="110">
        <f>IF(FO195="","",IF(ISNUMBER('Dvd Calendar'!$AO$1949)=FALSE,"",IF((('Dvd Calendar'!$AO$1951=TYPE1)*(TYPE1&lt;&gt;"")+('Dvd Calendar'!$AO$1951=TYPE2)*(TYPE2&lt;&gt;"")+('Dvd Calendar'!$AO$1951=TYPE3)*(TYPE3&lt;&gt;"")+('Dvd Calendar'!$AO$1951=TYPE4)*(TYPE4&lt;&gt;"")+('Dvd Calendar'!$AO$1951=SPECIAL_LBL)*(INC_SPECIALS="Y"))=0,"",'Dvd Calendar'!$AO$1949)))</f>
        <v/>
      </c>
      <c r="AN195" s="110">
        <f>IF(FP195="","",IF(ISNUMBER('Dvd Calendar'!$AP$1949)=FALSE,"",IF((('Dvd Calendar'!$AP$1951=TYPE1)*(TYPE1&lt;&gt;"")+('Dvd Calendar'!$AP$1951=TYPE2)*(TYPE2&lt;&gt;"")+('Dvd Calendar'!$AP$1951=TYPE3)*(TYPE3&lt;&gt;"")+('Dvd Calendar'!$AP$1951=TYPE4)*(TYPE4&lt;&gt;"")+('Dvd Calendar'!$AP$1951=SPECIAL_LBL)*(INC_SPECIALS="Y"))=0,"",'Dvd Calendar'!$AP$1949)))</f>
        <v/>
      </c>
      <c r="AO195" s="110">
        <f>IF(FQ195="","",IF(ISNUMBER('Dvd Calendar'!$AQ$1949)=FALSE,"",IF((('Dvd Calendar'!$AQ$1951=TYPE1)*(TYPE1&lt;&gt;"")+('Dvd Calendar'!$AQ$1951=TYPE2)*(TYPE2&lt;&gt;"")+('Dvd Calendar'!$AQ$1951=TYPE3)*(TYPE3&lt;&gt;"")+('Dvd Calendar'!$AQ$1951=TYPE4)*(TYPE4&lt;&gt;"")+('Dvd Calendar'!$AQ$1951=SPECIAL_LBL)*(INC_SPECIALS="Y"))=0,"",'Dvd Calendar'!$AQ$1949)))</f>
        <v/>
      </c>
      <c r="AP195" s="110">
        <f>IF(FR195="","",IF(ISNUMBER('Dvd Calendar'!$AR$1949)=FALSE,"",IF((('Dvd Calendar'!$AR$1951=TYPE1)*(TYPE1&lt;&gt;"")+('Dvd Calendar'!$AR$1951=TYPE2)*(TYPE2&lt;&gt;"")+('Dvd Calendar'!$AR$1951=TYPE3)*(TYPE3&lt;&gt;"")+('Dvd Calendar'!$AR$1951=TYPE4)*(TYPE4&lt;&gt;"")+('Dvd Calendar'!$AR$1951=SPECIAL_LBL)*(INC_SPECIALS="Y"))=0,"",'Dvd Calendar'!$AR$1949)))</f>
        <v/>
      </c>
      <c r="AQ195" s="110">
        <f>IF(FS195="","",IF(ISNUMBER('Dvd Calendar'!$E$1954)=FALSE,"",'Dvd Calendar'!$E$1954))</f>
        <v/>
      </c>
      <c r="AR195" s="110">
        <f>IF(FT195="","",IF(ISNUMBER('Dvd Calendar'!$F$1954)=FALSE,"",'Dvd Calendar'!$F$1954))</f>
        <v/>
      </c>
      <c r="AS195" s="110">
        <f>IF(FU195="","",IF(ISNUMBER('Dvd Calendar'!$G$1954)=FALSE,"",'Dvd Calendar'!$G$1954))</f>
        <v/>
      </c>
      <c r="AT195" s="110">
        <f>IF(FV195="","",IF(ISNUMBER('Dvd Calendar'!$H$1954)=FALSE,"",'Dvd Calendar'!$H$1954))</f>
        <v/>
      </c>
      <c r="AU195" s="110">
        <f>IF(FW195="","",IF(ISNUMBER('Dvd Calendar'!$I$1954)=FALSE,"",'Dvd Calendar'!$I$1954))</f>
        <v/>
      </c>
      <c r="AV195" s="110">
        <f>IF(FX195="","",IF(ISNUMBER('Dvd Calendar'!$J$1954)=FALSE,"",'Dvd Calendar'!$J$1954))</f>
        <v/>
      </c>
      <c r="AW195" s="110">
        <f>IF(FY195="","",IF(ISNUMBER('Dvd Calendar'!$K$1954)=FALSE,"",'Dvd Calendar'!$K$1954))</f>
        <v/>
      </c>
      <c r="AX195" s="110">
        <f>IF(FZ195="","",IF(ISNUMBER('Dvd Calendar'!$L$1954)=FALSE,"",'Dvd Calendar'!$L$1954))</f>
        <v/>
      </c>
      <c r="AY195" s="110">
        <f>IF(GA195="","",IF(ISNUMBER('Dvd Calendar'!$M$1954)=FALSE,"",'Dvd Calendar'!$M$1954))</f>
        <v/>
      </c>
      <c r="AZ195" s="110">
        <f>IF(GB195="","",IF(ISNUMBER('Dvd Calendar'!$N$1954)=FALSE,"",'Dvd Calendar'!$N$1954))</f>
        <v/>
      </c>
      <c r="BA195" s="110">
        <f>IF(GC195="","",IF(ISNUMBER('Dvd Calendar'!$O$1954)=FALSE,"",'Dvd Calendar'!$O$1954))</f>
        <v/>
      </c>
      <c r="BB195" s="110">
        <f>IF(GD195="","",IF(ISNUMBER('Dvd Calendar'!$P$1954)=FALSE,"",'Dvd Calendar'!$P$1954))</f>
        <v/>
      </c>
      <c r="BC195" s="110">
        <f>IF(GE195="","",IF(ISNUMBER('Dvd Calendar'!$Q$1954)=FALSE,"",'Dvd Calendar'!$Q$1954))</f>
        <v/>
      </c>
      <c r="BD195" s="110">
        <f>IF(GF195="","",IF(ISNUMBER('Dvd Calendar'!$R$1954)=FALSE,"",'Dvd Calendar'!$R$1954))</f>
        <v/>
      </c>
      <c r="BE195" s="110">
        <f>IF(GG195="","",IF(ISNUMBER('Dvd Calendar'!$S$1954)=FALSE,"",'Dvd Calendar'!$S$1954))</f>
        <v/>
      </c>
      <c r="BF195" s="110">
        <f>IF(GH195="","",IF(ISNUMBER('Dvd Calendar'!$T$1954)=FALSE,"",'Dvd Calendar'!$T$1954))</f>
        <v/>
      </c>
      <c r="BG195" s="110">
        <f>IF(GI195="","",IF(ISNUMBER('Dvd Calendar'!$U$1954)=FALSE,"",'Dvd Calendar'!$U$1954))</f>
        <v/>
      </c>
      <c r="BH195" s="110">
        <f>IF(GJ195="","",IF(ISNUMBER('Dvd Calendar'!$V$1954)=FALSE,"",'Dvd Calendar'!$V$1954))</f>
        <v/>
      </c>
      <c r="BI195" s="110">
        <f>IF(GK195="","",IF(ISNUMBER('Dvd Calendar'!$W$1954)=FALSE,"",'Dvd Calendar'!$W$1954))</f>
        <v/>
      </c>
      <c r="BJ195" s="110">
        <f>IF(GL195="","",IF(ISNUMBER('Dvd Calendar'!$X$1954)=FALSE,"",'Dvd Calendar'!$X$1954))</f>
        <v/>
      </c>
      <c r="BK195" s="110">
        <f>IF(GM195="","",IF(ISNUMBER('Dvd Calendar'!$Y$1954)=FALSE,"",'Dvd Calendar'!$Y$1954))</f>
        <v/>
      </c>
      <c r="BL195" s="110">
        <f>IF(GN195="","",IF(ISNUMBER('Dvd Calendar'!$Z$1954)=FALSE,"",'Dvd Calendar'!$Z$1954))</f>
        <v/>
      </c>
      <c r="BM195" s="110">
        <f>IF(GO195="","",IF(ISNUMBER('Dvd Calendar'!$AA$1954)=FALSE,"",'Dvd Calendar'!$AA$1954))</f>
        <v/>
      </c>
      <c r="BN195" s="110">
        <f>IF(GP195="","",IF(ISNUMBER('Dvd Calendar'!$AB$1954)=FALSE,"",'Dvd Calendar'!$AB$1954))</f>
        <v/>
      </c>
      <c r="BO195" s="110">
        <f>IF(GQ195="","",IF(ISNUMBER('Dvd Calendar'!$AC$1954)=FALSE,"",'Dvd Calendar'!$AC$1954))</f>
        <v/>
      </c>
      <c r="BQ195" s="110">
        <f>IF(C195="","",IFERROR(C195*HSCEI!$B$42*HSCEI!$G$42/HSCEI!$B$3,""))</f>
        <v/>
      </c>
      <c r="BR195" s="110">
        <f>IF(D195="","",IFERROR(D195*HSCEI!$B$42*HSCEI!$G$42/HSCEI!$B$3,""))</f>
        <v/>
      </c>
      <c r="BS195" s="110">
        <f>IF(E195="","",IFERROR(E195*HSCEI!$B$42*HSCEI!$G$42/HSCEI!$B$3,""))</f>
        <v/>
      </c>
      <c r="BT195" s="110">
        <f>IF(F195="","",IFERROR(F195*HSCEI!$B$42*HSCEI!$G$42/HSCEI!$B$3,""))</f>
        <v/>
      </c>
      <c r="BU195" s="110">
        <f>IF(G195="","",IFERROR(G195*HSCEI!$B$42*HSCEI!$G$42/HSCEI!$B$3,""))</f>
        <v/>
      </c>
      <c r="BV195" s="110">
        <f>IF(H195="","",IFERROR(H195*HSCEI!$B$42*HSCEI!$G$42/HSCEI!$B$3,""))</f>
        <v/>
      </c>
      <c r="BW195" s="110">
        <f>IF(I195="","",IFERROR(I195*HSCEI!$B$42*HSCEI!$G$42/HSCEI!$B$3,""))</f>
        <v/>
      </c>
      <c r="BX195" s="110">
        <f>IF(J195="","",IFERROR(J195*HSCEI!$B$42*HSCEI!$G$42/HSCEI!$B$3,""))</f>
        <v/>
      </c>
      <c r="BY195" s="110">
        <f>IF(K195="","",IFERROR(K195*HSCEI!$B$42*HSCEI!$G$42/HSCEI!$B$3,""))</f>
        <v/>
      </c>
      <c r="BZ195" s="110">
        <f>IF(L195="","",IFERROR(L195*HSCEI!$B$42*HSCEI!$G$42/HSCEI!$B$3,""))</f>
        <v/>
      </c>
      <c r="CA195" s="110">
        <f>IF(M195="","",IFERROR(M195*HSCEI!$B$42*HSCEI!$G$42/HSCEI!$B$3,""))</f>
        <v/>
      </c>
      <c r="CB195" s="110">
        <f>IF(N195="","",IFERROR(N195*HSCEI!$B$42*HSCEI!$G$42/HSCEI!$B$3,""))</f>
        <v/>
      </c>
      <c r="CC195" s="110">
        <f>IF(O195="","",IFERROR(O195*HSCEI!$B$42*HSCEI!$G$42/HSCEI!$B$3,""))</f>
        <v/>
      </c>
      <c r="CD195" s="110">
        <f>IF(P195="","",IFERROR(P195*HSCEI!$B$42*HSCEI!$G$42/HSCEI!$B$3,""))</f>
        <v/>
      </c>
      <c r="CE195" s="110">
        <f>IF(Q195="","",IFERROR(Q195*HSCEI!$B$42*HSCEI!$G$42/HSCEI!$B$3,""))</f>
        <v/>
      </c>
      <c r="CF195" s="110">
        <f>IF(R195="","",IFERROR(R195*HSCEI!$B$42*HSCEI!$G$42/HSCEI!$B$3,""))</f>
        <v/>
      </c>
      <c r="CG195" s="110">
        <f>IF(S195="","",IFERROR(S195*HSCEI!$B$42*HSCEI!$G$42/HSCEI!$B$3,""))</f>
        <v/>
      </c>
      <c r="CH195" s="110">
        <f>IF(T195="","",IFERROR(T195*HSCEI!$B$42*HSCEI!$G$42/HSCEI!$B$3,""))</f>
        <v/>
      </c>
      <c r="CI195" s="110">
        <f>IF(U195="","",IFERROR(U195*HSCEI!$B$42*HSCEI!$G$42/HSCEI!$B$3,""))</f>
        <v/>
      </c>
      <c r="CJ195" s="110">
        <f>IF(V195="","",IFERROR(V195*HSCEI!$B$42*HSCEI!$G$42/HSCEI!$B$3,""))</f>
        <v/>
      </c>
      <c r="CK195" s="110">
        <f>IF(W195="","",IFERROR(W195*HSCEI!$B$42*HSCEI!$G$42/HSCEI!$B$3,""))</f>
        <v/>
      </c>
      <c r="CL195" s="110">
        <f>IF(X195="","",IFERROR(X195*HSCEI!$B$42*HSCEI!$G$42/HSCEI!$B$3,""))</f>
        <v/>
      </c>
      <c r="CM195" s="110">
        <f>IF(Y195="","",IFERROR(Y195*HSCEI!$B$42*HSCEI!$G$42/HSCEI!$B$3,""))</f>
        <v/>
      </c>
      <c r="CN195" s="110">
        <f>IF(Z195="","",IFERROR(Z195*HSCEI!$B$42*HSCEI!$G$42/HSCEI!$B$3,""))</f>
        <v/>
      </c>
      <c r="CO195" s="110">
        <f>IF(AA195="","",IFERROR(AA195*HSCEI!$B$42*HSCEI!$G$42/HSCEI!$B$3,""))</f>
        <v/>
      </c>
      <c r="CP195" s="110">
        <f>IF(AB195="","",IFERROR(AB195*HSCEI!$B$42*HSCEI!$G$42/HSCEI!$B$3,""))</f>
        <v/>
      </c>
      <c r="CQ195" s="110">
        <f>IF(AC195="","",IFERROR(AC195*HSCEI!$B$42*HSCEI!$G$42/HSCEI!$B$3,""))</f>
        <v/>
      </c>
      <c r="CR195" s="110">
        <f>IF(AD195="","",IFERROR(AD195*HSCEI!$B$42*HSCEI!$G$42/HSCEI!$B$3,""))</f>
        <v/>
      </c>
      <c r="CS195" s="110">
        <f>IF(AE195="","",IFERROR(AE195*HSCEI!$B$42*HSCEI!$G$42/HSCEI!$B$3,""))</f>
        <v/>
      </c>
      <c r="CT195" s="110">
        <f>IF(AF195="","",IFERROR(AF195*HSCEI!$B$42*HSCEI!$G$42/HSCEI!$B$3,""))</f>
        <v/>
      </c>
      <c r="CU195" s="110">
        <f>IF(AG195="","",IFERROR(AG195*HSCEI!$B$42*HSCEI!$G$42/HSCEI!$B$3,""))</f>
        <v/>
      </c>
      <c r="CV195" s="110">
        <f>IF(AH195="","",IFERROR(AH195*HSCEI!$B$42*HSCEI!$G$42/HSCEI!$B$3,""))</f>
        <v/>
      </c>
      <c r="CW195" s="110">
        <f>IF(AI195="","",IFERROR(AI195*HSCEI!$B$42*HSCEI!$G$42/HSCEI!$B$3,""))</f>
        <v/>
      </c>
      <c r="CX195" s="110">
        <f>IF(AJ195="","",IFERROR(AJ195*HSCEI!$B$42*HSCEI!$G$42/HSCEI!$B$3,""))</f>
        <v/>
      </c>
      <c r="CY195" s="110">
        <f>IF(AK195="","",IFERROR(AK195*HSCEI!$B$42*HSCEI!$G$42/HSCEI!$B$3,""))</f>
        <v/>
      </c>
      <c r="CZ195" s="110">
        <f>IF(AL195="","",IFERROR(AL195*HSCEI!$B$42*HSCEI!$G$42/HSCEI!$B$3,""))</f>
        <v/>
      </c>
      <c r="DA195" s="110">
        <f>IF(AM195="","",IFERROR(AM195*HSCEI!$B$42*HSCEI!$G$42/HSCEI!$B$3,""))</f>
        <v/>
      </c>
      <c r="DB195" s="110">
        <f>IF(AN195="","",IFERROR(AN195*HSCEI!$B$42*HSCEI!$G$42/HSCEI!$B$3,""))</f>
        <v/>
      </c>
      <c r="DC195" s="110">
        <f>IF(AO195="","",IFERROR(AO195*HSCEI!$B$42*HSCEI!$G$42/HSCEI!$B$3,""))</f>
        <v/>
      </c>
      <c r="DD195" s="110">
        <f>IF(AP195="","",IFERROR(AP195*HSCEI!$B$42*HSCEI!$G$42/HSCEI!$B$3,""))</f>
        <v/>
      </c>
      <c r="DE195" s="110">
        <f>IF(AQ195="","",IFERROR(AQ195*HSCEI!$B$42*HSCEI!$G$42/HSCEI!$B$3,""))</f>
        <v/>
      </c>
      <c r="DF195" s="110">
        <f>IF(AR195="","",IFERROR(AR195*HSCEI!$B$42*HSCEI!$G$42/HSCEI!$B$3,""))</f>
        <v/>
      </c>
      <c r="DG195" s="110">
        <f>IF(AS195="","",IFERROR(AS195*HSCEI!$B$42*HSCEI!$G$42/HSCEI!$B$3,""))</f>
        <v/>
      </c>
      <c r="DH195" s="110">
        <f>IF(AT195="","",IFERROR(AT195*HSCEI!$B$42*HSCEI!$G$42/HSCEI!$B$3,""))</f>
        <v/>
      </c>
      <c r="DI195" s="110">
        <f>IF(AU195="","",IFERROR(AU195*HSCEI!$B$42*HSCEI!$G$42/HSCEI!$B$3,""))</f>
        <v/>
      </c>
      <c r="DJ195" s="110">
        <f>IF(AV195="","",IFERROR(AV195*HSCEI!$B$42*HSCEI!$G$42/HSCEI!$B$3,""))</f>
        <v/>
      </c>
      <c r="DK195" s="110">
        <f>IF(AW195="","",IFERROR(AW195*HSCEI!$B$42*HSCEI!$G$42/HSCEI!$B$3,""))</f>
        <v/>
      </c>
      <c r="DL195" s="110">
        <f>IF(AX195="","",IFERROR(AX195*HSCEI!$B$42*HSCEI!$G$42/HSCEI!$B$3,""))</f>
        <v/>
      </c>
      <c r="DM195" s="110">
        <f>IF(AY195="","",IFERROR(AY195*HSCEI!$B$42*HSCEI!$G$42/HSCEI!$B$3,""))</f>
        <v/>
      </c>
      <c r="DN195" s="110">
        <f>IF(AZ195="","",IFERROR(AZ195*HSCEI!$B$42*HSCEI!$G$42/HSCEI!$B$3,""))</f>
        <v/>
      </c>
      <c r="DO195" s="110">
        <f>IF(BA195="","",IFERROR(BA195*HSCEI!$B$42*HSCEI!$G$42/HSCEI!$B$3,""))</f>
        <v/>
      </c>
      <c r="DP195" s="110">
        <f>IF(BB195="","",IFERROR(BB195*HSCEI!$B$42*HSCEI!$G$42/HSCEI!$B$3,""))</f>
        <v/>
      </c>
      <c r="DQ195" s="110">
        <f>IF(BC195="","",IFERROR(BC195*HSCEI!$B$42*HSCEI!$G$42/HSCEI!$B$3,""))</f>
        <v/>
      </c>
      <c r="DR195" s="110">
        <f>IF(BD195="","",IFERROR(BD195*HSCEI!$B$42*HSCEI!$G$42/HSCEI!$B$3,""))</f>
        <v/>
      </c>
      <c r="DS195" s="110">
        <f>IF(BE195="","",IFERROR(BE195*HSCEI!$B$42*HSCEI!$G$42/HSCEI!$B$3,""))</f>
        <v/>
      </c>
      <c r="DT195" s="110">
        <f>IF(BF195="","",IFERROR(BF195*HSCEI!$B$42*HSCEI!$G$42/HSCEI!$B$3,""))</f>
        <v/>
      </c>
      <c r="DU195" s="110">
        <f>IF(BG195="","",IFERROR(BG195*HSCEI!$B$42*HSCEI!$G$42/HSCEI!$B$3,""))</f>
        <v/>
      </c>
      <c r="DV195" s="110">
        <f>IF(BH195="","",IFERROR(BH195*HSCEI!$B$42*HSCEI!$G$42/HSCEI!$B$3,""))</f>
        <v/>
      </c>
      <c r="DW195" s="110">
        <f>IF(BI195="","",IFERROR(BI195*HSCEI!$B$42*HSCEI!$G$42/HSCEI!$B$3,""))</f>
        <v/>
      </c>
      <c r="DX195" s="110">
        <f>IF(BJ195="","",IFERROR(BJ195*HSCEI!$B$42*HSCEI!$G$42/HSCEI!$B$3,""))</f>
        <v/>
      </c>
      <c r="DY195" s="110">
        <f>IF(BK195="","",IFERROR(BK195*HSCEI!$B$42*HSCEI!$G$42/HSCEI!$B$3,""))</f>
        <v/>
      </c>
      <c r="DZ195" s="110">
        <f>IF(BL195="","",IFERROR(BL195*HSCEI!$B$42*HSCEI!$G$42/HSCEI!$B$3,""))</f>
        <v/>
      </c>
      <c r="EA195" s="110">
        <f>IF(BM195="","",IFERROR(BM195*HSCEI!$B$42*HSCEI!$G$42/HSCEI!$B$3,""))</f>
        <v/>
      </c>
      <c r="EB195" s="110">
        <f>IF(BN195="","",IFERROR(BN195*HSCEI!$B$42*HSCEI!$G$42/HSCEI!$B$3,""))</f>
        <v/>
      </c>
      <c r="EC195" s="110">
        <f>IF(BO195="","",IFERROR(BO195*HSCEI!$B$42*HSCEI!$G$42/HSCEI!$B$3,""))</f>
        <v/>
      </c>
      <c r="EE195" s="39">
        <f>IF(N('Dvd Calendar'!$E$1946)=0,"",IF(('Dvd Calendar'!$E$1946&gt;=GRID_FROM)*('Dvd Calendar'!$E$1946&lt;=GRID_TO)*((('Dvd Calendar'!$E$1946&lt;=VAL_DATE)+(COUNTIF('Dvd Calendar'!$E$1953:$AR$1953,'Dvd Calendar'!$E$1946)=0))&gt;0)=0,"",'Dvd Calendar'!$E$1946*1000000000+ISNUMBER('Dvd Calendar'!$E$1949)*100000000+('Dvd Calendar'!$E$1951=SPECIAL_LBL)*10000000+(N('Dvd Calendar'!$E$1945)&gt;0)*(N('Dvd Calendar'!$E$1945)&lt;=VAL_SERIAL)*1000000+36*1000+1))</f>
        <v/>
      </c>
      <c r="EF195" s="39">
        <f>IF(N('Dvd Calendar'!$F$1946)=0,"",IF(('Dvd Calendar'!$F$1946&gt;=GRID_FROM)*('Dvd Calendar'!$F$1946&lt;=GRID_TO)*((('Dvd Calendar'!$F$1946&lt;=VAL_DATE)+(COUNTIF('Dvd Calendar'!$E$1953:$AR$1953,'Dvd Calendar'!$F$1946)=0))&gt;0)=0,"",'Dvd Calendar'!$F$1946*1000000000+ISNUMBER('Dvd Calendar'!$F$1949)*100000000+('Dvd Calendar'!$F$1951=SPECIAL_LBL)*10000000+(N('Dvd Calendar'!$F$1945)&gt;0)*(N('Dvd Calendar'!$F$1945)&lt;=VAL_SERIAL)*1000000+36*1000+2))</f>
        <v/>
      </c>
      <c r="EG195" s="39">
        <f>IF(N('Dvd Calendar'!$G$1946)=0,"",IF(('Dvd Calendar'!$G$1946&gt;=GRID_FROM)*('Dvd Calendar'!$G$1946&lt;=GRID_TO)*((('Dvd Calendar'!$G$1946&lt;=VAL_DATE)+(COUNTIF('Dvd Calendar'!$E$1953:$AR$1953,'Dvd Calendar'!$G$1946)=0))&gt;0)=0,"",'Dvd Calendar'!$G$1946*1000000000+ISNUMBER('Dvd Calendar'!$G$1949)*100000000+('Dvd Calendar'!$G$1951=SPECIAL_LBL)*10000000+(N('Dvd Calendar'!$G$1945)&gt;0)*(N('Dvd Calendar'!$G$1945)&lt;=VAL_SERIAL)*1000000+36*1000+3))</f>
        <v/>
      </c>
      <c r="EH195" s="39">
        <f>IF(N('Dvd Calendar'!$H$1946)=0,"",IF(('Dvd Calendar'!$H$1946&gt;=GRID_FROM)*('Dvd Calendar'!$H$1946&lt;=GRID_TO)*((('Dvd Calendar'!$H$1946&lt;=VAL_DATE)+(COUNTIF('Dvd Calendar'!$E$1953:$AR$1953,'Dvd Calendar'!$H$1946)=0))&gt;0)=0,"",'Dvd Calendar'!$H$1946*1000000000+ISNUMBER('Dvd Calendar'!$H$1949)*100000000+('Dvd Calendar'!$H$1951=SPECIAL_LBL)*10000000+(N('Dvd Calendar'!$H$1945)&gt;0)*(N('Dvd Calendar'!$H$1945)&lt;=VAL_SERIAL)*1000000+36*1000+4))</f>
        <v/>
      </c>
      <c r="EI195" s="39">
        <f>IF(N('Dvd Calendar'!$I$1946)=0,"",IF(('Dvd Calendar'!$I$1946&gt;=GRID_FROM)*('Dvd Calendar'!$I$1946&lt;=GRID_TO)*((('Dvd Calendar'!$I$1946&lt;=VAL_DATE)+(COUNTIF('Dvd Calendar'!$E$1953:$AR$1953,'Dvd Calendar'!$I$1946)=0))&gt;0)=0,"",'Dvd Calendar'!$I$1946*1000000000+ISNUMBER('Dvd Calendar'!$I$1949)*100000000+('Dvd Calendar'!$I$1951=SPECIAL_LBL)*10000000+(N('Dvd Calendar'!$I$1945)&gt;0)*(N('Dvd Calendar'!$I$1945)&lt;=VAL_SERIAL)*1000000+36*1000+5))</f>
        <v/>
      </c>
      <c r="EJ195" s="39">
        <f>IF(N('Dvd Calendar'!$J$1946)=0,"",IF(('Dvd Calendar'!$J$1946&gt;=GRID_FROM)*('Dvd Calendar'!$J$1946&lt;=GRID_TO)*((('Dvd Calendar'!$J$1946&lt;=VAL_DATE)+(COUNTIF('Dvd Calendar'!$E$1953:$AR$1953,'Dvd Calendar'!$J$1946)=0))&gt;0)=0,"",'Dvd Calendar'!$J$1946*1000000000+ISNUMBER('Dvd Calendar'!$J$1949)*100000000+('Dvd Calendar'!$J$1951=SPECIAL_LBL)*10000000+(N('Dvd Calendar'!$J$1945)&gt;0)*(N('Dvd Calendar'!$J$1945)&lt;=VAL_SERIAL)*1000000+36*1000+6))</f>
        <v/>
      </c>
      <c r="EK195" s="39">
        <f>IF(N('Dvd Calendar'!$K$1946)=0,"",IF(('Dvd Calendar'!$K$1946&gt;=GRID_FROM)*('Dvd Calendar'!$K$1946&lt;=GRID_TO)*((('Dvd Calendar'!$K$1946&lt;=VAL_DATE)+(COUNTIF('Dvd Calendar'!$E$1953:$AR$1953,'Dvd Calendar'!$K$1946)=0))&gt;0)=0,"",'Dvd Calendar'!$K$1946*1000000000+ISNUMBER('Dvd Calendar'!$K$1949)*100000000+('Dvd Calendar'!$K$1951=SPECIAL_LBL)*10000000+(N('Dvd Calendar'!$K$1945)&gt;0)*(N('Dvd Calendar'!$K$1945)&lt;=VAL_SERIAL)*1000000+36*1000+7))</f>
        <v/>
      </c>
      <c r="EL195" s="39">
        <f>IF(N('Dvd Calendar'!$L$1946)=0,"",IF(('Dvd Calendar'!$L$1946&gt;=GRID_FROM)*('Dvd Calendar'!$L$1946&lt;=GRID_TO)*((('Dvd Calendar'!$L$1946&lt;=VAL_DATE)+(COUNTIF('Dvd Calendar'!$E$1953:$AR$1953,'Dvd Calendar'!$L$1946)=0))&gt;0)=0,"",'Dvd Calendar'!$L$1946*1000000000+ISNUMBER('Dvd Calendar'!$L$1949)*100000000+('Dvd Calendar'!$L$1951=SPECIAL_LBL)*10000000+(N('Dvd Calendar'!$L$1945)&gt;0)*(N('Dvd Calendar'!$L$1945)&lt;=VAL_SERIAL)*1000000+36*1000+8))</f>
        <v/>
      </c>
      <c r="EM195" s="39">
        <f>IF(N('Dvd Calendar'!$M$1946)=0,"",IF(('Dvd Calendar'!$M$1946&gt;=GRID_FROM)*('Dvd Calendar'!$M$1946&lt;=GRID_TO)*((('Dvd Calendar'!$M$1946&lt;=VAL_DATE)+(COUNTIF('Dvd Calendar'!$E$1953:$AR$1953,'Dvd Calendar'!$M$1946)=0))&gt;0)=0,"",'Dvd Calendar'!$M$1946*1000000000+ISNUMBER('Dvd Calendar'!$M$1949)*100000000+('Dvd Calendar'!$M$1951=SPECIAL_LBL)*10000000+(N('Dvd Calendar'!$M$1945)&gt;0)*(N('Dvd Calendar'!$M$1945)&lt;=VAL_SERIAL)*1000000+36*1000+9))</f>
        <v/>
      </c>
      <c r="EN195" s="39">
        <f>IF(N('Dvd Calendar'!$N$1946)=0,"",IF(('Dvd Calendar'!$N$1946&gt;=GRID_FROM)*('Dvd Calendar'!$N$1946&lt;=GRID_TO)*((('Dvd Calendar'!$N$1946&lt;=VAL_DATE)+(COUNTIF('Dvd Calendar'!$E$1953:$AR$1953,'Dvd Calendar'!$N$1946)=0))&gt;0)=0,"",'Dvd Calendar'!$N$1946*1000000000+ISNUMBER('Dvd Calendar'!$N$1949)*100000000+('Dvd Calendar'!$N$1951=SPECIAL_LBL)*10000000+(N('Dvd Calendar'!$N$1945)&gt;0)*(N('Dvd Calendar'!$N$1945)&lt;=VAL_SERIAL)*1000000+36*1000+10))</f>
        <v/>
      </c>
      <c r="EO195" s="39">
        <f>IF(N('Dvd Calendar'!$O$1946)=0,"",IF(('Dvd Calendar'!$O$1946&gt;=GRID_FROM)*('Dvd Calendar'!$O$1946&lt;=GRID_TO)*((('Dvd Calendar'!$O$1946&lt;=VAL_DATE)+(COUNTIF('Dvd Calendar'!$E$1953:$AR$1953,'Dvd Calendar'!$O$1946)=0))&gt;0)=0,"",'Dvd Calendar'!$O$1946*1000000000+ISNUMBER('Dvd Calendar'!$O$1949)*100000000+('Dvd Calendar'!$O$1951=SPECIAL_LBL)*10000000+(N('Dvd Calendar'!$O$1945)&gt;0)*(N('Dvd Calendar'!$O$1945)&lt;=VAL_SERIAL)*1000000+36*1000+11))</f>
        <v/>
      </c>
      <c r="EP195" s="39">
        <f>IF(N('Dvd Calendar'!$P$1946)=0,"",IF(('Dvd Calendar'!$P$1946&gt;=GRID_FROM)*('Dvd Calendar'!$P$1946&lt;=GRID_TO)*((('Dvd Calendar'!$P$1946&lt;=VAL_DATE)+(COUNTIF('Dvd Calendar'!$E$1953:$AR$1953,'Dvd Calendar'!$P$1946)=0))&gt;0)=0,"",'Dvd Calendar'!$P$1946*1000000000+ISNUMBER('Dvd Calendar'!$P$1949)*100000000+('Dvd Calendar'!$P$1951=SPECIAL_LBL)*10000000+(N('Dvd Calendar'!$P$1945)&gt;0)*(N('Dvd Calendar'!$P$1945)&lt;=VAL_SERIAL)*1000000+36*1000+12))</f>
        <v/>
      </c>
      <c r="EQ195" s="39">
        <f>IF(N('Dvd Calendar'!$Q$1946)=0,"",IF(('Dvd Calendar'!$Q$1946&gt;=GRID_FROM)*('Dvd Calendar'!$Q$1946&lt;=GRID_TO)*((('Dvd Calendar'!$Q$1946&lt;=VAL_DATE)+(COUNTIF('Dvd Calendar'!$E$1953:$AR$1953,'Dvd Calendar'!$Q$1946)=0))&gt;0)=0,"",'Dvd Calendar'!$Q$1946*1000000000+ISNUMBER('Dvd Calendar'!$Q$1949)*100000000+('Dvd Calendar'!$Q$1951=SPECIAL_LBL)*10000000+(N('Dvd Calendar'!$Q$1945)&gt;0)*(N('Dvd Calendar'!$Q$1945)&lt;=VAL_SERIAL)*1000000+36*1000+13))</f>
        <v/>
      </c>
      <c r="ER195" s="39">
        <f>IF(N('Dvd Calendar'!$R$1946)=0,"",IF(('Dvd Calendar'!$R$1946&gt;=GRID_FROM)*('Dvd Calendar'!$R$1946&lt;=GRID_TO)*((('Dvd Calendar'!$R$1946&lt;=VAL_DATE)+(COUNTIF('Dvd Calendar'!$E$1953:$AR$1953,'Dvd Calendar'!$R$1946)=0))&gt;0)=0,"",'Dvd Calendar'!$R$1946*1000000000+ISNUMBER('Dvd Calendar'!$R$1949)*100000000+('Dvd Calendar'!$R$1951=SPECIAL_LBL)*10000000+(N('Dvd Calendar'!$R$1945)&gt;0)*(N('Dvd Calendar'!$R$1945)&lt;=VAL_SERIAL)*1000000+36*1000+14))</f>
        <v/>
      </c>
      <c r="ES195" s="39">
        <f>IF(N('Dvd Calendar'!$S$1946)=0,"",IF(('Dvd Calendar'!$S$1946&gt;=GRID_FROM)*('Dvd Calendar'!$S$1946&lt;=GRID_TO)*((('Dvd Calendar'!$S$1946&lt;=VAL_DATE)+(COUNTIF('Dvd Calendar'!$E$1953:$AR$1953,'Dvd Calendar'!$S$1946)=0))&gt;0)=0,"",'Dvd Calendar'!$S$1946*1000000000+ISNUMBER('Dvd Calendar'!$S$1949)*100000000+('Dvd Calendar'!$S$1951=SPECIAL_LBL)*10000000+(N('Dvd Calendar'!$S$1945)&gt;0)*(N('Dvd Calendar'!$S$1945)&lt;=VAL_SERIAL)*1000000+36*1000+15))</f>
        <v/>
      </c>
      <c r="ET195" s="39">
        <f>IF(N('Dvd Calendar'!$T$1946)=0,"",IF(('Dvd Calendar'!$T$1946&gt;=GRID_FROM)*('Dvd Calendar'!$T$1946&lt;=GRID_TO)*((('Dvd Calendar'!$T$1946&lt;=VAL_DATE)+(COUNTIF('Dvd Calendar'!$E$1953:$AR$1953,'Dvd Calendar'!$T$1946)=0))&gt;0)=0,"",'Dvd Calendar'!$T$1946*1000000000+ISNUMBER('Dvd Calendar'!$T$1949)*100000000+('Dvd Calendar'!$T$1951=SPECIAL_LBL)*10000000+(N('Dvd Calendar'!$T$1945)&gt;0)*(N('Dvd Calendar'!$T$1945)&lt;=VAL_SERIAL)*1000000+36*1000+16))</f>
        <v/>
      </c>
      <c r="EU195" s="39">
        <f>IF(N('Dvd Calendar'!$U$1946)=0,"",IF(('Dvd Calendar'!$U$1946&gt;=GRID_FROM)*('Dvd Calendar'!$U$1946&lt;=GRID_TO)*((('Dvd Calendar'!$U$1946&lt;=VAL_DATE)+(COUNTIF('Dvd Calendar'!$E$1953:$AR$1953,'Dvd Calendar'!$U$1946)=0))&gt;0)=0,"",'Dvd Calendar'!$U$1946*1000000000+ISNUMBER('Dvd Calendar'!$U$1949)*100000000+('Dvd Calendar'!$U$1951=SPECIAL_LBL)*10000000+(N('Dvd Calendar'!$U$1945)&gt;0)*(N('Dvd Calendar'!$U$1945)&lt;=VAL_SERIAL)*1000000+36*1000+17))</f>
        <v/>
      </c>
      <c r="EV195" s="39">
        <f>IF(N('Dvd Calendar'!$V$1946)=0,"",IF(('Dvd Calendar'!$V$1946&gt;=GRID_FROM)*('Dvd Calendar'!$V$1946&lt;=GRID_TO)*((('Dvd Calendar'!$V$1946&lt;=VAL_DATE)+(COUNTIF('Dvd Calendar'!$E$1953:$AR$1953,'Dvd Calendar'!$V$1946)=0))&gt;0)=0,"",'Dvd Calendar'!$V$1946*1000000000+ISNUMBER('Dvd Calendar'!$V$1949)*100000000+('Dvd Calendar'!$V$1951=SPECIAL_LBL)*10000000+(N('Dvd Calendar'!$V$1945)&gt;0)*(N('Dvd Calendar'!$V$1945)&lt;=VAL_SERIAL)*1000000+36*1000+18))</f>
        <v/>
      </c>
      <c r="EW195" s="39">
        <f>IF(N('Dvd Calendar'!$W$1946)=0,"",IF(('Dvd Calendar'!$W$1946&gt;=GRID_FROM)*('Dvd Calendar'!$W$1946&lt;=GRID_TO)*((('Dvd Calendar'!$W$1946&lt;=VAL_DATE)+(COUNTIF('Dvd Calendar'!$E$1953:$AR$1953,'Dvd Calendar'!$W$1946)=0))&gt;0)=0,"",'Dvd Calendar'!$W$1946*1000000000+ISNUMBER('Dvd Calendar'!$W$1949)*100000000+('Dvd Calendar'!$W$1951=SPECIAL_LBL)*10000000+(N('Dvd Calendar'!$W$1945)&gt;0)*(N('Dvd Calendar'!$W$1945)&lt;=VAL_SERIAL)*1000000+36*1000+19))</f>
        <v/>
      </c>
      <c r="EX195" s="39">
        <f>IF(N('Dvd Calendar'!$X$1946)=0,"",IF(('Dvd Calendar'!$X$1946&gt;=GRID_FROM)*('Dvd Calendar'!$X$1946&lt;=GRID_TO)*((('Dvd Calendar'!$X$1946&lt;=VAL_DATE)+(COUNTIF('Dvd Calendar'!$E$1953:$AR$1953,'Dvd Calendar'!$X$1946)=0))&gt;0)=0,"",'Dvd Calendar'!$X$1946*1000000000+ISNUMBER('Dvd Calendar'!$X$1949)*100000000+('Dvd Calendar'!$X$1951=SPECIAL_LBL)*10000000+(N('Dvd Calendar'!$X$1945)&gt;0)*(N('Dvd Calendar'!$X$1945)&lt;=VAL_SERIAL)*1000000+36*1000+20))</f>
        <v/>
      </c>
      <c r="EY195" s="39">
        <f>IF(N('Dvd Calendar'!$Y$1946)=0,"",IF(('Dvd Calendar'!$Y$1946&gt;=GRID_FROM)*('Dvd Calendar'!$Y$1946&lt;=GRID_TO)*((('Dvd Calendar'!$Y$1946&lt;=VAL_DATE)+(COUNTIF('Dvd Calendar'!$E$1953:$AR$1953,'Dvd Calendar'!$Y$1946)=0))&gt;0)=0,"",'Dvd Calendar'!$Y$1946*1000000000+ISNUMBER('Dvd Calendar'!$Y$1949)*100000000+('Dvd Calendar'!$Y$1951=SPECIAL_LBL)*10000000+(N('Dvd Calendar'!$Y$1945)&gt;0)*(N('Dvd Calendar'!$Y$1945)&lt;=VAL_SERIAL)*1000000+36*1000+21))</f>
        <v/>
      </c>
      <c r="EZ195" s="39">
        <f>IF(N('Dvd Calendar'!$Z$1946)=0,"",IF(('Dvd Calendar'!$Z$1946&gt;=GRID_FROM)*('Dvd Calendar'!$Z$1946&lt;=GRID_TO)*((('Dvd Calendar'!$Z$1946&lt;=VAL_DATE)+(COUNTIF('Dvd Calendar'!$E$1953:$AR$1953,'Dvd Calendar'!$Z$1946)=0))&gt;0)=0,"",'Dvd Calendar'!$Z$1946*1000000000+ISNUMBER('Dvd Calendar'!$Z$1949)*100000000+('Dvd Calendar'!$Z$1951=SPECIAL_LBL)*10000000+(N('Dvd Calendar'!$Z$1945)&gt;0)*(N('Dvd Calendar'!$Z$1945)&lt;=VAL_SERIAL)*1000000+36*1000+22))</f>
        <v/>
      </c>
      <c r="FA195" s="39">
        <f>IF(N('Dvd Calendar'!$AA$1946)=0,"",IF(('Dvd Calendar'!$AA$1946&gt;=GRID_FROM)*('Dvd Calendar'!$AA$1946&lt;=GRID_TO)*((('Dvd Calendar'!$AA$1946&lt;=VAL_DATE)+(COUNTIF('Dvd Calendar'!$E$1953:$AR$1953,'Dvd Calendar'!$AA$1946)=0))&gt;0)=0,"",'Dvd Calendar'!$AA$1946*1000000000+ISNUMBER('Dvd Calendar'!$AA$1949)*100000000+('Dvd Calendar'!$AA$1951=SPECIAL_LBL)*10000000+(N('Dvd Calendar'!$AA$1945)&gt;0)*(N('Dvd Calendar'!$AA$1945)&lt;=VAL_SERIAL)*1000000+36*1000+23))</f>
        <v/>
      </c>
      <c r="FB195" s="39">
        <f>IF(N('Dvd Calendar'!$AB$1946)=0,"",IF(('Dvd Calendar'!$AB$1946&gt;=GRID_FROM)*('Dvd Calendar'!$AB$1946&lt;=GRID_TO)*((('Dvd Calendar'!$AB$1946&lt;=VAL_DATE)+(COUNTIF('Dvd Calendar'!$E$1953:$AR$1953,'Dvd Calendar'!$AB$1946)=0))&gt;0)=0,"",'Dvd Calendar'!$AB$1946*1000000000+ISNUMBER('Dvd Calendar'!$AB$1949)*100000000+('Dvd Calendar'!$AB$1951=SPECIAL_LBL)*10000000+(N('Dvd Calendar'!$AB$1945)&gt;0)*(N('Dvd Calendar'!$AB$1945)&lt;=VAL_SERIAL)*1000000+36*1000+24))</f>
        <v/>
      </c>
      <c r="FC195" s="39">
        <f>IF(N('Dvd Calendar'!$AC$1946)=0,"",IF(('Dvd Calendar'!$AC$1946&gt;=GRID_FROM)*('Dvd Calendar'!$AC$1946&lt;=GRID_TO)*((('Dvd Calendar'!$AC$1946&lt;=VAL_DATE)+(COUNTIF('Dvd Calendar'!$E$1953:$AR$1953,'Dvd Calendar'!$AC$1946)=0))&gt;0)=0,"",'Dvd Calendar'!$AC$1946*1000000000+ISNUMBER('Dvd Calendar'!$AC$1949)*100000000+('Dvd Calendar'!$AC$1951=SPECIAL_LBL)*10000000+(N('Dvd Calendar'!$AC$1945)&gt;0)*(N('Dvd Calendar'!$AC$1945)&lt;=VAL_SERIAL)*1000000+36*1000+25))</f>
        <v/>
      </c>
      <c r="FD195" s="39">
        <f>IF(N('Dvd Calendar'!$AD$1946)=0,"",IF(('Dvd Calendar'!$AD$1946&gt;=GRID_FROM)*('Dvd Calendar'!$AD$1946&lt;=GRID_TO)*((('Dvd Calendar'!$AD$1946&lt;=VAL_DATE)+(COUNTIF('Dvd Calendar'!$E$1953:$AR$1953,'Dvd Calendar'!$AD$1946)=0))&gt;0)=0,"",'Dvd Calendar'!$AD$1946*1000000000+ISNUMBER('Dvd Calendar'!$AD$1949)*100000000+('Dvd Calendar'!$AD$1951=SPECIAL_LBL)*10000000+(N('Dvd Calendar'!$AD$1945)&gt;0)*(N('Dvd Calendar'!$AD$1945)&lt;=VAL_SERIAL)*1000000+36*1000+26))</f>
        <v/>
      </c>
      <c r="FE195" s="39">
        <f>IF(N('Dvd Calendar'!$AE$1946)=0,"",IF(('Dvd Calendar'!$AE$1946&gt;=GRID_FROM)*('Dvd Calendar'!$AE$1946&lt;=GRID_TO)*((('Dvd Calendar'!$AE$1946&lt;=VAL_DATE)+(COUNTIF('Dvd Calendar'!$E$1953:$AR$1953,'Dvd Calendar'!$AE$1946)=0))&gt;0)=0,"",'Dvd Calendar'!$AE$1946*1000000000+ISNUMBER('Dvd Calendar'!$AE$1949)*100000000+('Dvd Calendar'!$AE$1951=SPECIAL_LBL)*10000000+(N('Dvd Calendar'!$AE$1945)&gt;0)*(N('Dvd Calendar'!$AE$1945)&lt;=VAL_SERIAL)*1000000+36*1000+27))</f>
        <v/>
      </c>
      <c r="FF195" s="39">
        <f>IF(N('Dvd Calendar'!$AF$1946)=0,"",IF(('Dvd Calendar'!$AF$1946&gt;=GRID_FROM)*('Dvd Calendar'!$AF$1946&lt;=GRID_TO)*((('Dvd Calendar'!$AF$1946&lt;=VAL_DATE)+(COUNTIF('Dvd Calendar'!$E$1953:$AR$1953,'Dvd Calendar'!$AF$1946)=0))&gt;0)=0,"",'Dvd Calendar'!$AF$1946*1000000000+ISNUMBER('Dvd Calendar'!$AF$1949)*100000000+('Dvd Calendar'!$AF$1951=SPECIAL_LBL)*10000000+(N('Dvd Calendar'!$AF$1945)&gt;0)*(N('Dvd Calendar'!$AF$1945)&lt;=VAL_SERIAL)*1000000+36*1000+28))</f>
        <v/>
      </c>
      <c r="FG195" s="39">
        <f>IF(N('Dvd Calendar'!$AG$1946)=0,"",IF(('Dvd Calendar'!$AG$1946&gt;=GRID_FROM)*('Dvd Calendar'!$AG$1946&lt;=GRID_TO)*((('Dvd Calendar'!$AG$1946&lt;=VAL_DATE)+(COUNTIF('Dvd Calendar'!$E$1953:$AR$1953,'Dvd Calendar'!$AG$1946)=0))&gt;0)=0,"",'Dvd Calendar'!$AG$1946*1000000000+ISNUMBER('Dvd Calendar'!$AG$1949)*100000000+('Dvd Calendar'!$AG$1951=SPECIAL_LBL)*10000000+(N('Dvd Calendar'!$AG$1945)&gt;0)*(N('Dvd Calendar'!$AG$1945)&lt;=VAL_SERIAL)*1000000+36*1000+29))</f>
        <v/>
      </c>
      <c r="FH195" s="39">
        <f>IF(N('Dvd Calendar'!$AH$1946)=0,"",IF(('Dvd Calendar'!$AH$1946&gt;=GRID_FROM)*('Dvd Calendar'!$AH$1946&lt;=GRID_TO)*((('Dvd Calendar'!$AH$1946&lt;=VAL_DATE)+(COUNTIF('Dvd Calendar'!$E$1953:$AR$1953,'Dvd Calendar'!$AH$1946)=0))&gt;0)=0,"",'Dvd Calendar'!$AH$1946*1000000000+ISNUMBER('Dvd Calendar'!$AH$1949)*100000000+('Dvd Calendar'!$AH$1951=SPECIAL_LBL)*10000000+(N('Dvd Calendar'!$AH$1945)&gt;0)*(N('Dvd Calendar'!$AH$1945)&lt;=VAL_SERIAL)*1000000+36*1000+30))</f>
        <v/>
      </c>
      <c r="FI195" s="39">
        <f>IF(N('Dvd Calendar'!$AI$1946)=0,"",IF(('Dvd Calendar'!$AI$1946&gt;=GRID_FROM)*('Dvd Calendar'!$AI$1946&lt;=GRID_TO)*((('Dvd Calendar'!$AI$1946&lt;=VAL_DATE)+(COUNTIF('Dvd Calendar'!$E$1953:$AR$1953,'Dvd Calendar'!$AI$1946)=0))&gt;0)=0,"",'Dvd Calendar'!$AI$1946*1000000000+ISNUMBER('Dvd Calendar'!$AI$1949)*100000000+('Dvd Calendar'!$AI$1951=SPECIAL_LBL)*10000000+(N('Dvd Calendar'!$AI$1945)&gt;0)*(N('Dvd Calendar'!$AI$1945)&lt;=VAL_SERIAL)*1000000+36*1000+31))</f>
        <v/>
      </c>
      <c r="FJ195" s="39">
        <f>IF(N('Dvd Calendar'!$AJ$1946)=0,"",IF(('Dvd Calendar'!$AJ$1946&gt;=GRID_FROM)*('Dvd Calendar'!$AJ$1946&lt;=GRID_TO)*((('Dvd Calendar'!$AJ$1946&lt;=VAL_DATE)+(COUNTIF('Dvd Calendar'!$E$1953:$AR$1953,'Dvd Calendar'!$AJ$1946)=0))&gt;0)=0,"",'Dvd Calendar'!$AJ$1946*1000000000+ISNUMBER('Dvd Calendar'!$AJ$1949)*100000000+('Dvd Calendar'!$AJ$1951=SPECIAL_LBL)*10000000+(N('Dvd Calendar'!$AJ$1945)&gt;0)*(N('Dvd Calendar'!$AJ$1945)&lt;=VAL_SERIAL)*1000000+36*1000+32))</f>
        <v/>
      </c>
      <c r="FK195" s="39">
        <f>IF(N('Dvd Calendar'!$AK$1946)=0,"",IF(('Dvd Calendar'!$AK$1946&gt;=GRID_FROM)*('Dvd Calendar'!$AK$1946&lt;=GRID_TO)*((('Dvd Calendar'!$AK$1946&lt;=VAL_DATE)+(COUNTIF('Dvd Calendar'!$E$1953:$AR$1953,'Dvd Calendar'!$AK$1946)=0))&gt;0)=0,"",'Dvd Calendar'!$AK$1946*1000000000+ISNUMBER('Dvd Calendar'!$AK$1949)*100000000+('Dvd Calendar'!$AK$1951=SPECIAL_LBL)*10000000+(N('Dvd Calendar'!$AK$1945)&gt;0)*(N('Dvd Calendar'!$AK$1945)&lt;=VAL_SERIAL)*1000000+36*1000+33))</f>
        <v/>
      </c>
      <c r="FL195" s="39">
        <f>IF(N('Dvd Calendar'!$AL$1946)=0,"",IF(('Dvd Calendar'!$AL$1946&gt;=GRID_FROM)*('Dvd Calendar'!$AL$1946&lt;=GRID_TO)*((('Dvd Calendar'!$AL$1946&lt;=VAL_DATE)+(COUNTIF('Dvd Calendar'!$E$1953:$AR$1953,'Dvd Calendar'!$AL$1946)=0))&gt;0)=0,"",'Dvd Calendar'!$AL$1946*1000000000+ISNUMBER('Dvd Calendar'!$AL$1949)*100000000+('Dvd Calendar'!$AL$1951=SPECIAL_LBL)*10000000+(N('Dvd Calendar'!$AL$1945)&gt;0)*(N('Dvd Calendar'!$AL$1945)&lt;=VAL_SERIAL)*1000000+36*1000+34))</f>
        <v/>
      </c>
      <c r="FM195" s="39">
        <f>IF(N('Dvd Calendar'!$AM$1946)=0,"",IF(('Dvd Calendar'!$AM$1946&gt;=GRID_FROM)*('Dvd Calendar'!$AM$1946&lt;=GRID_TO)*((('Dvd Calendar'!$AM$1946&lt;=VAL_DATE)+(COUNTIF('Dvd Calendar'!$E$1953:$AR$1953,'Dvd Calendar'!$AM$1946)=0))&gt;0)=0,"",'Dvd Calendar'!$AM$1946*1000000000+ISNUMBER('Dvd Calendar'!$AM$1949)*100000000+('Dvd Calendar'!$AM$1951=SPECIAL_LBL)*10000000+(N('Dvd Calendar'!$AM$1945)&gt;0)*(N('Dvd Calendar'!$AM$1945)&lt;=VAL_SERIAL)*1000000+36*1000+35))</f>
        <v/>
      </c>
      <c r="FN195" s="39">
        <f>IF(N('Dvd Calendar'!$AN$1946)=0,"",IF(('Dvd Calendar'!$AN$1946&gt;=GRID_FROM)*('Dvd Calendar'!$AN$1946&lt;=GRID_TO)*((('Dvd Calendar'!$AN$1946&lt;=VAL_DATE)+(COUNTIF('Dvd Calendar'!$E$1953:$AR$1953,'Dvd Calendar'!$AN$1946)=0))&gt;0)=0,"",'Dvd Calendar'!$AN$1946*1000000000+ISNUMBER('Dvd Calendar'!$AN$1949)*100000000+('Dvd Calendar'!$AN$1951=SPECIAL_LBL)*10000000+(N('Dvd Calendar'!$AN$1945)&gt;0)*(N('Dvd Calendar'!$AN$1945)&lt;=VAL_SERIAL)*1000000+36*1000+36))</f>
        <v/>
      </c>
      <c r="FO195" s="39">
        <f>IF(N('Dvd Calendar'!$AO$1946)=0,"",IF(('Dvd Calendar'!$AO$1946&gt;=GRID_FROM)*('Dvd Calendar'!$AO$1946&lt;=GRID_TO)*((('Dvd Calendar'!$AO$1946&lt;=VAL_DATE)+(COUNTIF('Dvd Calendar'!$E$1953:$AR$1953,'Dvd Calendar'!$AO$1946)=0))&gt;0)=0,"",'Dvd Calendar'!$AO$1946*1000000000+ISNUMBER('Dvd Calendar'!$AO$1949)*100000000+('Dvd Calendar'!$AO$1951=SPECIAL_LBL)*10000000+(N('Dvd Calendar'!$AO$1945)&gt;0)*(N('Dvd Calendar'!$AO$1945)&lt;=VAL_SERIAL)*1000000+36*1000+37))</f>
        <v/>
      </c>
      <c r="FP195" s="39">
        <f>IF(N('Dvd Calendar'!$AP$1946)=0,"",IF(('Dvd Calendar'!$AP$1946&gt;=GRID_FROM)*('Dvd Calendar'!$AP$1946&lt;=GRID_TO)*((('Dvd Calendar'!$AP$1946&lt;=VAL_DATE)+(COUNTIF('Dvd Calendar'!$E$1953:$AR$1953,'Dvd Calendar'!$AP$1946)=0))&gt;0)=0,"",'Dvd Calendar'!$AP$1946*1000000000+ISNUMBER('Dvd Calendar'!$AP$1949)*100000000+('Dvd Calendar'!$AP$1951=SPECIAL_LBL)*10000000+(N('Dvd Calendar'!$AP$1945)&gt;0)*(N('Dvd Calendar'!$AP$1945)&lt;=VAL_SERIAL)*1000000+36*1000+38))</f>
        <v/>
      </c>
      <c r="FQ195" s="39">
        <f>IF(N('Dvd Calendar'!$AQ$1946)=0,"",IF(('Dvd Calendar'!$AQ$1946&gt;=GRID_FROM)*('Dvd Calendar'!$AQ$1946&lt;=GRID_TO)*((('Dvd Calendar'!$AQ$1946&lt;=VAL_DATE)+(COUNTIF('Dvd Calendar'!$E$1953:$AR$1953,'Dvd Calendar'!$AQ$1946)=0))&gt;0)=0,"",'Dvd Calendar'!$AQ$1946*1000000000+ISNUMBER('Dvd Calendar'!$AQ$1949)*100000000+('Dvd Calendar'!$AQ$1951=SPECIAL_LBL)*10000000+(N('Dvd Calendar'!$AQ$1945)&gt;0)*(N('Dvd Calendar'!$AQ$1945)&lt;=VAL_SERIAL)*1000000+36*1000+39))</f>
        <v/>
      </c>
      <c r="FR195" s="39">
        <f>IF(N('Dvd Calendar'!$AR$1946)=0,"",IF(('Dvd Calendar'!$AR$1946&gt;=GRID_FROM)*('Dvd Calendar'!$AR$1946&lt;=GRID_TO)*((('Dvd Calendar'!$AR$1946&lt;=VAL_DATE)+(COUNTIF('Dvd Calendar'!$E$1953:$AR$1953,'Dvd Calendar'!$AR$1946)=0))&gt;0)=0,"",'Dvd Calendar'!$AR$1946*1000000000+ISNUMBER('Dvd Calendar'!$AR$1949)*100000000+('Dvd Calendar'!$AR$1951=SPECIAL_LBL)*10000000+(N('Dvd Calendar'!$AR$1945)&gt;0)*(N('Dvd Calendar'!$AR$1945)&lt;=VAL_SERIAL)*1000000+36*1000+40))</f>
        <v/>
      </c>
      <c r="FS195" s="39">
        <f>IF(N('Dvd Calendar'!$E$1953)=0,"",IF(('Dvd Calendar'!$E$1953&gt;=GRID_FROM)*('Dvd Calendar'!$E$1953&lt;=GRID_TO)*('Dvd Calendar'!$E$1953&gt;VAL_DATE)=0,"",'Dvd Calendar'!$E$1953*1000000000+ISNUMBER('Dvd Calendar'!$E$1954)*100000000+0*10000000+(N('Dvd Calendar'!$E$1952)&gt;0)*(N('Dvd Calendar'!$E$1952)&lt;=VAL_SERIAL)*1000000+36*1000+41))</f>
        <v/>
      </c>
      <c r="FT195" s="39">
        <f>IF(N('Dvd Calendar'!$F$1953)=0,"",IF(('Dvd Calendar'!$F$1953&gt;=GRID_FROM)*('Dvd Calendar'!$F$1953&lt;=GRID_TO)*('Dvd Calendar'!$F$1953&gt;VAL_DATE)=0,"",'Dvd Calendar'!$F$1953*1000000000+ISNUMBER('Dvd Calendar'!$F$1954)*100000000+0*10000000+(N('Dvd Calendar'!$F$1952)&gt;0)*(N('Dvd Calendar'!$F$1952)&lt;=VAL_SERIAL)*1000000+36*1000+42))</f>
        <v/>
      </c>
      <c r="FU195" s="39">
        <f>IF(N('Dvd Calendar'!$G$1953)=0,"",IF(('Dvd Calendar'!$G$1953&gt;=GRID_FROM)*('Dvd Calendar'!$G$1953&lt;=GRID_TO)*('Dvd Calendar'!$G$1953&gt;VAL_DATE)=0,"",'Dvd Calendar'!$G$1953*1000000000+ISNUMBER('Dvd Calendar'!$G$1954)*100000000+0*10000000+(N('Dvd Calendar'!$G$1952)&gt;0)*(N('Dvd Calendar'!$G$1952)&lt;=VAL_SERIAL)*1000000+36*1000+43))</f>
        <v/>
      </c>
      <c r="FV195" s="39">
        <f>IF(N('Dvd Calendar'!$H$1953)=0,"",IF(('Dvd Calendar'!$H$1953&gt;=GRID_FROM)*('Dvd Calendar'!$H$1953&lt;=GRID_TO)*('Dvd Calendar'!$H$1953&gt;VAL_DATE)=0,"",'Dvd Calendar'!$H$1953*1000000000+ISNUMBER('Dvd Calendar'!$H$1954)*100000000+0*10000000+(N('Dvd Calendar'!$H$1952)&gt;0)*(N('Dvd Calendar'!$H$1952)&lt;=VAL_SERIAL)*1000000+36*1000+44))</f>
        <v/>
      </c>
      <c r="FW195" s="39">
        <f>IF(N('Dvd Calendar'!$I$1953)=0,"",IF(('Dvd Calendar'!$I$1953&gt;=GRID_FROM)*('Dvd Calendar'!$I$1953&lt;=GRID_TO)*('Dvd Calendar'!$I$1953&gt;VAL_DATE)=0,"",'Dvd Calendar'!$I$1953*1000000000+ISNUMBER('Dvd Calendar'!$I$1954)*100000000+0*10000000+(N('Dvd Calendar'!$I$1952)&gt;0)*(N('Dvd Calendar'!$I$1952)&lt;=VAL_SERIAL)*1000000+36*1000+45))</f>
        <v/>
      </c>
      <c r="FX195" s="39">
        <f>IF(N('Dvd Calendar'!$J$1953)=0,"",IF(('Dvd Calendar'!$J$1953&gt;=GRID_FROM)*('Dvd Calendar'!$J$1953&lt;=GRID_TO)*('Dvd Calendar'!$J$1953&gt;VAL_DATE)=0,"",'Dvd Calendar'!$J$1953*1000000000+ISNUMBER('Dvd Calendar'!$J$1954)*100000000+0*10000000+(N('Dvd Calendar'!$J$1952)&gt;0)*(N('Dvd Calendar'!$J$1952)&lt;=VAL_SERIAL)*1000000+36*1000+46))</f>
        <v/>
      </c>
      <c r="FY195" s="39">
        <f>IF(N('Dvd Calendar'!$K$1953)=0,"",IF(('Dvd Calendar'!$K$1953&gt;=GRID_FROM)*('Dvd Calendar'!$K$1953&lt;=GRID_TO)*('Dvd Calendar'!$K$1953&gt;VAL_DATE)=0,"",'Dvd Calendar'!$K$1953*1000000000+ISNUMBER('Dvd Calendar'!$K$1954)*100000000+0*10000000+(N('Dvd Calendar'!$K$1952)&gt;0)*(N('Dvd Calendar'!$K$1952)&lt;=VAL_SERIAL)*1000000+36*1000+47))</f>
        <v/>
      </c>
      <c r="FZ195" s="39">
        <f>IF(N('Dvd Calendar'!$L$1953)=0,"",IF(('Dvd Calendar'!$L$1953&gt;=GRID_FROM)*('Dvd Calendar'!$L$1953&lt;=GRID_TO)*('Dvd Calendar'!$L$1953&gt;VAL_DATE)=0,"",'Dvd Calendar'!$L$1953*1000000000+ISNUMBER('Dvd Calendar'!$L$1954)*100000000+0*10000000+(N('Dvd Calendar'!$L$1952)&gt;0)*(N('Dvd Calendar'!$L$1952)&lt;=VAL_SERIAL)*1000000+36*1000+48))</f>
        <v/>
      </c>
      <c r="GA195" s="39">
        <f>IF(N('Dvd Calendar'!$M$1953)=0,"",IF(('Dvd Calendar'!$M$1953&gt;=GRID_FROM)*('Dvd Calendar'!$M$1953&lt;=GRID_TO)*('Dvd Calendar'!$M$1953&gt;VAL_DATE)=0,"",'Dvd Calendar'!$M$1953*1000000000+ISNUMBER('Dvd Calendar'!$M$1954)*100000000+0*10000000+(N('Dvd Calendar'!$M$1952)&gt;0)*(N('Dvd Calendar'!$M$1952)&lt;=VAL_SERIAL)*1000000+36*1000+49))</f>
        <v/>
      </c>
      <c r="GB195" s="39">
        <f>IF(N('Dvd Calendar'!$N$1953)=0,"",IF(('Dvd Calendar'!$N$1953&gt;=GRID_FROM)*('Dvd Calendar'!$N$1953&lt;=GRID_TO)*('Dvd Calendar'!$N$1953&gt;VAL_DATE)=0,"",'Dvd Calendar'!$N$1953*1000000000+ISNUMBER('Dvd Calendar'!$N$1954)*100000000+0*10000000+(N('Dvd Calendar'!$N$1952)&gt;0)*(N('Dvd Calendar'!$N$1952)&lt;=VAL_SERIAL)*1000000+36*1000+50))</f>
        <v/>
      </c>
      <c r="GC195" s="39">
        <f>IF(N('Dvd Calendar'!$O$1953)=0,"",IF(('Dvd Calendar'!$O$1953&gt;=GRID_FROM)*('Dvd Calendar'!$O$1953&lt;=GRID_TO)*('Dvd Calendar'!$O$1953&gt;VAL_DATE)=0,"",'Dvd Calendar'!$O$1953*1000000000+ISNUMBER('Dvd Calendar'!$O$1954)*100000000+0*10000000+(N('Dvd Calendar'!$O$1952)&gt;0)*(N('Dvd Calendar'!$O$1952)&lt;=VAL_SERIAL)*1000000+36*1000+51))</f>
        <v/>
      </c>
      <c r="GD195" s="39">
        <f>IF(N('Dvd Calendar'!$P$1953)=0,"",IF(('Dvd Calendar'!$P$1953&gt;=GRID_FROM)*('Dvd Calendar'!$P$1953&lt;=GRID_TO)*('Dvd Calendar'!$P$1953&gt;VAL_DATE)=0,"",'Dvd Calendar'!$P$1953*1000000000+ISNUMBER('Dvd Calendar'!$P$1954)*100000000+0*10000000+(N('Dvd Calendar'!$P$1952)&gt;0)*(N('Dvd Calendar'!$P$1952)&lt;=VAL_SERIAL)*1000000+36*1000+52))</f>
        <v/>
      </c>
      <c r="GE195" s="39">
        <f>IF(N('Dvd Calendar'!$Q$1953)=0,"",IF(('Dvd Calendar'!$Q$1953&gt;=GRID_FROM)*('Dvd Calendar'!$Q$1953&lt;=GRID_TO)*('Dvd Calendar'!$Q$1953&gt;VAL_DATE)=0,"",'Dvd Calendar'!$Q$1953*1000000000+ISNUMBER('Dvd Calendar'!$Q$1954)*100000000+0*10000000+(N('Dvd Calendar'!$Q$1952)&gt;0)*(N('Dvd Calendar'!$Q$1952)&lt;=VAL_SERIAL)*1000000+36*1000+53))</f>
        <v/>
      </c>
      <c r="GF195" s="39">
        <f>IF(N('Dvd Calendar'!$R$1953)=0,"",IF(('Dvd Calendar'!$R$1953&gt;=GRID_FROM)*('Dvd Calendar'!$R$1953&lt;=GRID_TO)*('Dvd Calendar'!$R$1953&gt;VAL_DATE)=0,"",'Dvd Calendar'!$R$1953*1000000000+ISNUMBER('Dvd Calendar'!$R$1954)*100000000+0*10000000+(N('Dvd Calendar'!$R$1952)&gt;0)*(N('Dvd Calendar'!$R$1952)&lt;=VAL_SERIAL)*1000000+36*1000+54))</f>
        <v/>
      </c>
      <c r="GG195" s="39">
        <f>IF(N('Dvd Calendar'!$S$1953)=0,"",IF(('Dvd Calendar'!$S$1953&gt;=GRID_FROM)*('Dvd Calendar'!$S$1953&lt;=GRID_TO)*('Dvd Calendar'!$S$1953&gt;VAL_DATE)=0,"",'Dvd Calendar'!$S$1953*1000000000+ISNUMBER('Dvd Calendar'!$S$1954)*100000000+0*10000000+(N('Dvd Calendar'!$S$1952)&gt;0)*(N('Dvd Calendar'!$S$1952)&lt;=VAL_SERIAL)*1000000+36*1000+55))</f>
        <v/>
      </c>
      <c r="GH195" s="39">
        <f>IF(N('Dvd Calendar'!$T$1953)=0,"",IF(('Dvd Calendar'!$T$1953&gt;=GRID_FROM)*('Dvd Calendar'!$T$1953&lt;=GRID_TO)*('Dvd Calendar'!$T$1953&gt;VAL_DATE)=0,"",'Dvd Calendar'!$T$1953*1000000000+ISNUMBER('Dvd Calendar'!$T$1954)*100000000+0*10000000+(N('Dvd Calendar'!$T$1952)&gt;0)*(N('Dvd Calendar'!$T$1952)&lt;=VAL_SERIAL)*1000000+36*1000+56))</f>
        <v/>
      </c>
      <c r="GI195" s="39">
        <f>IF(N('Dvd Calendar'!$U$1953)=0,"",IF(('Dvd Calendar'!$U$1953&gt;=GRID_FROM)*('Dvd Calendar'!$U$1953&lt;=GRID_TO)*('Dvd Calendar'!$U$1953&gt;VAL_DATE)=0,"",'Dvd Calendar'!$U$1953*1000000000+ISNUMBER('Dvd Calendar'!$U$1954)*100000000+0*10000000+(N('Dvd Calendar'!$U$1952)&gt;0)*(N('Dvd Calendar'!$U$1952)&lt;=VAL_SERIAL)*1000000+36*1000+57))</f>
        <v/>
      </c>
      <c r="GJ195" s="39">
        <f>IF(N('Dvd Calendar'!$V$1953)=0,"",IF(('Dvd Calendar'!$V$1953&gt;=GRID_FROM)*('Dvd Calendar'!$V$1953&lt;=GRID_TO)*('Dvd Calendar'!$V$1953&gt;VAL_DATE)=0,"",'Dvd Calendar'!$V$1953*1000000000+ISNUMBER('Dvd Calendar'!$V$1954)*100000000+0*10000000+(N('Dvd Calendar'!$V$1952)&gt;0)*(N('Dvd Calendar'!$V$1952)&lt;=VAL_SERIAL)*1000000+36*1000+58))</f>
        <v/>
      </c>
      <c r="GK195" s="39">
        <f>IF(N('Dvd Calendar'!$W$1953)=0,"",IF(('Dvd Calendar'!$W$1953&gt;=GRID_FROM)*('Dvd Calendar'!$W$1953&lt;=GRID_TO)*('Dvd Calendar'!$W$1953&gt;VAL_DATE)=0,"",'Dvd Calendar'!$W$1953*1000000000+ISNUMBER('Dvd Calendar'!$W$1954)*100000000+0*10000000+(N('Dvd Calendar'!$W$1952)&gt;0)*(N('Dvd Calendar'!$W$1952)&lt;=VAL_SERIAL)*1000000+36*1000+59))</f>
        <v/>
      </c>
      <c r="GL195" s="39">
        <f>IF(N('Dvd Calendar'!$X$1953)=0,"",IF(('Dvd Calendar'!$X$1953&gt;=GRID_FROM)*('Dvd Calendar'!$X$1953&lt;=GRID_TO)*('Dvd Calendar'!$X$1953&gt;VAL_DATE)=0,"",'Dvd Calendar'!$X$1953*1000000000+ISNUMBER('Dvd Calendar'!$X$1954)*100000000+0*10000000+(N('Dvd Calendar'!$X$1952)&gt;0)*(N('Dvd Calendar'!$X$1952)&lt;=VAL_SERIAL)*1000000+36*1000+60))</f>
        <v/>
      </c>
      <c r="GM195" s="39">
        <f>IF(N('Dvd Calendar'!$Y$1953)=0,"",IF(('Dvd Calendar'!$Y$1953&gt;=GRID_FROM)*('Dvd Calendar'!$Y$1953&lt;=GRID_TO)*('Dvd Calendar'!$Y$1953&gt;VAL_DATE)=0,"",'Dvd Calendar'!$Y$1953*1000000000+ISNUMBER('Dvd Calendar'!$Y$1954)*100000000+0*10000000+(N('Dvd Calendar'!$Y$1952)&gt;0)*(N('Dvd Calendar'!$Y$1952)&lt;=VAL_SERIAL)*1000000+36*1000+61))</f>
        <v/>
      </c>
      <c r="GN195" s="39">
        <f>IF(N('Dvd Calendar'!$Z$1953)=0,"",IF(('Dvd Calendar'!$Z$1953&gt;=GRID_FROM)*('Dvd Calendar'!$Z$1953&lt;=GRID_TO)*('Dvd Calendar'!$Z$1953&gt;VAL_DATE)=0,"",'Dvd Calendar'!$Z$1953*1000000000+ISNUMBER('Dvd Calendar'!$Z$1954)*100000000+0*10000000+(N('Dvd Calendar'!$Z$1952)&gt;0)*(N('Dvd Calendar'!$Z$1952)&lt;=VAL_SERIAL)*1000000+36*1000+62))</f>
        <v/>
      </c>
      <c r="GO195" s="39">
        <f>IF(N('Dvd Calendar'!$AA$1953)=0,"",IF(('Dvd Calendar'!$AA$1953&gt;=GRID_FROM)*('Dvd Calendar'!$AA$1953&lt;=GRID_TO)*('Dvd Calendar'!$AA$1953&gt;VAL_DATE)=0,"",'Dvd Calendar'!$AA$1953*1000000000+ISNUMBER('Dvd Calendar'!$AA$1954)*100000000+0*10000000+(N('Dvd Calendar'!$AA$1952)&gt;0)*(N('Dvd Calendar'!$AA$1952)&lt;=VAL_SERIAL)*1000000+36*1000+63))</f>
        <v/>
      </c>
      <c r="GP195" s="39">
        <f>IF(N('Dvd Calendar'!$AB$1953)=0,"",IF(('Dvd Calendar'!$AB$1953&gt;=GRID_FROM)*('Dvd Calendar'!$AB$1953&lt;=GRID_TO)*('Dvd Calendar'!$AB$1953&gt;VAL_DATE)=0,"",'Dvd Calendar'!$AB$1953*1000000000+ISNUMBER('Dvd Calendar'!$AB$1954)*100000000+0*10000000+(N('Dvd Calendar'!$AB$1952)&gt;0)*(N('Dvd Calendar'!$AB$1952)&lt;=VAL_SERIAL)*1000000+36*1000+64))</f>
        <v/>
      </c>
      <c r="GQ195" s="39">
        <f>IF(N('Dvd Calendar'!$AC$1953)=0,"",IF(('Dvd Calendar'!$AC$1953&gt;=GRID_FROM)*('Dvd Calendar'!$AC$1953&lt;=GRID_TO)*('Dvd Calendar'!$AC$1953&gt;VAL_DATE)=0,"",'Dvd Calendar'!$AC$1953*1000000000+ISNUMBER('Dvd Calendar'!$AC$1954)*100000000+0*10000000+(N('Dvd Calendar'!$AC$1952)&gt;0)*(N('Dvd Calendar'!$AC$1952)&lt;=VAL_SERIAL)*1000000+36*1000+65))</f>
        <v/>
      </c>
    </row>
    <row r="196">
      <c r="B196" s="2">
        <f>IF(HSCEI!$C$43="","",HSCEI!$C$43)</f>
        <v/>
      </c>
      <c r="C196" s="110">
        <f>IF(EE196="","",IF(ISNUMBER('Dvd Calendar'!$E$1960)=FALSE,"",IF((('Dvd Calendar'!$E$1962=TYPE1)*(TYPE1&lt;&gt;"")+('Dvd Calendar'!$E$1962=TYPE2)*(TYPE2&lt;&gt;"")+('Dvd Calendar'!$E$1962=TYPE3)*(TYPE3&lt;&gt;"")+('Dvd Calendar'!$E$1962=TYPE4)*(TYPE4&lt;&gt;"")+('Dvd Calendar'!$E$1962=SPECIAL_LBL)*(INC_SPECIALS="Y"))=0,"",'Dvd Calendar'!$E$1960)))</f>
        <v/>
      </c>
      <c r="D196" s="110">
        <f>IF(EF196="","",IF(ISNUMBER('Dvd Calendar'!$F$1960)=FALSE,"",IF((('Dvd Calendar'!$F$1962=TYPE1)*(TYPE1&lt;&gt;"")+('Dvd Calendar'!$F$1962=TYPE2)*(TYPE2&lt;&gt;"")+('Dvd Calendar'!$F$1962=TYPE3)*(TYPE3&lt;&gt;"")+('Dvd Calendar'!$F$1962=TYPE4)*(TYPE4&lt;&gt;"")+('Dvd Calendar'!$F$1962=SPECIAL_LBL)*(INC_SPECIALS="Y"))=0,"",'Dvd Calendar'!$F$1960)))</f>
        <v/>
      </c>
      <c r="E196" s="110">
        <f>IF(EG196="","",IF(ISNUMBER('Dvd Calendar'!$G$1960)=FALSE,"",IF((('Dvd Calendar'!$G$1962=TYPE1)*(TYPE1&lt;&gt;"")+('Dvd Calendar'!$G$1962=TYPE2)*(TYPE2&lt;&gt;"")+('Dvd Calendar'!$G$1962=TYPE3)*(TYPE3&lt;&gt;"")+('Dvd Calendar'!$G$1962=TYPE4)*(TYPE4&lt;&gt;"")+('Dvd Calendar'!$G$1962=SPECIAL_LBL)*(INC_SPECIALS="Y"))=0,"",'Dvd Calendar'!$G$1960)))</f>
        <v/>
      </c>
      <c r="F196" s="110">
        <f>IF(EH196="","",IF(ISNUMBER('Dvd Calendar'!$H$1960)=FALSE,"",IF((('Dvd Calendar'!$H$1962=TYPE1)*(TYPE1&lt;&gt;"")+('Dvd Calendar'!$H$1962=TYPE2)*(TYPE2&lt;&gt;"")+('Dvd Calendar'!$H$1962=TYPE3)*(TYPE3&lt;&gt;"")+('Dvd Calendar'!$H$1962=TYPE4)*(TYPE4&lt;&gt;"")+('Dvd Calendar'!$H$1962=SPECIAL_LBL)*(INC_SPECIALS="Y"))=0,"",'Dvd Calendar'!$H$1960)))</f>
        <v/>
      </c>
      <c r="G196" s="110">
        <f>IF(EI196="","",IF(ISNUMBER('Dvd Calendar'!$I$1960)=FALSE,"",IF((('Dvd Calendar'!$I$1962=TYPE1)*(TYPE1&lt;&gt;"")+('Dvd Calendar'!$I$1962=TYPE2)*(TYPE2&lt;&gt;"")+('Dvd Calendar'!$I$1962=TYPE3)*(TYPE3&lt;&gt;"")+('Dvd Calendar'!$I$1962=TYPE4)*(TYPE4&lt;&gt;"")+('Dvd Calendar'!$I$1962=SPECIAL_LBL)*(INC_SPECIALS="Y"))=0,"",'Dvd Calendar'!$I$1960)))</f>
        <v/>
      </c>
      <c r="H196" s="110">
        <f>IF(EJ196="","",IF(ISNUMBER('Dvd Calendar'!$J$1960)=FALSE,"",IF((('Dvd Calendar'!$J$1962=TYPE1)*(TYPE1&lt;&gt;"")+('Dvd Calendar'!$J$1962=TYPE2)*(TYPE2&lt;&gt;"")+('Dvd Calendar'!$J$1962=TYPE3)*(TYPE3&lt;&gt;"")+('Dvd Calendar'!$J$1962=TYPE4)*(TYPE4&lt;&gt;"")+('Dvd Calendar'!$J$1962=SPECIAL_LBL)*(INC_SPECIALS="Y"))=0,"",'Dvd Calendar'!$J$1960)))</f>
        <v/>
      </c>
      <c r="I196" s="110">
        <f>IF(EK196="","",IF(ISNUMBER('Dvd Calendar'!$K$1960)=FALSE,"",IF((('Dvd Calendar'!$K$1962=TYPE1)*(TYPE1&lt;&gt;"")+('Dvd Calendar'!$K$1962=TYPE2)*(TYPE2&lt;&gt;"")+('Dvd Calendar'!$K$1962=TYPE3)*(TYPE3&lt;&gt;"")+('Dvd Calendar'!$K$1962=TYPE4)*(TYPE4&lt;&gt;"")+('Dvd Calendar'!$K$1962=SPECIAL_LBL)*(INC_SPECIALS="Y"))=0,"",'Dvd Calendar'!$K$1960)))</f>
        <v/>
      </c>
      <c r="J196" s="110">
        <f>IF(EL196="","",IF(ISNUMBER('Dvd Calendar'!$L$1960)=FALSE,"",IF((('Dvd Calendar'!$L$1962=TYPE1)*(TYPE1&lt;&gt;"")+('Dvd Calendar'!$L$1962=TYPE2)*(TYPE2&lt;&gt;"")+('Dvd Calendar'!$L$1962=TYPE3)*(TYPE3&lt;&gt;"")+('Dvd Calendar'!$L$1962=TYPE4)*(TYPE4&lt;&gt;"")+('Dvd Calendar'!$L$1962=SPECIAL_LBL)*(INC_SPECIALS="Y"))=0,"",'Dvd Calendar'!$L$1960)))</f>
        <v/>
      </c>
      <c r="K196" s="110">
        <f>IF(EM196="","",IF(ISNUMBER('Dvd Calendar'!$M$1960)=FALSE,"",IF((('Dvd Calendar'!$M$1962=TYPE1)*(TYPE1&lt;&gt;"")+('Dvd Calendar'!$M$1962=TYPE2)*(TYPE2&lt;&gt;"")+('Dvd Calendar'!$M$1962=TYPE3)*(TYPE3&lt;&gt;"")+('Dvd Calendar'!$M$1962=TYPE4)*(TYPE4&lt;&gt;"")+('Dvd Calendar'!$M$1962=SPECIAL_LBL)*(INC_SPECIALS="Y"))=0,"",'Dvd Calendar'!$M$1960)))</f>
        <v/>
      </c>
      <c r="L196" s="110">
        <f>IF(EN196="","",IF(ISNUMBER('Dvd Calendar'!$N$1960)=FALSE,"",IF((('Dvd Calendar'!$N$1962=TYPE1)*(TYPE1&lt;&gt;"")+('Dvd Calendar'!$N$1962=TYPE2)*(TYPE2&lt;&gt;"")+('Dvd Calendar'!$N$1962=TYPE3)*(TYPE3&lt;&gt;"")+('Dvd Calendar'!$N$1962=TYPE4)*(TYPE4&lt;&gt;"")+('Dvd Calendar'!$N$1962=SPECIAL_LBL)*(INC_SPECIALS="Y"))=0,"",'Dvd Calendar'!$N$1960)))</f>
        <v/>
      </c>
      <c r="M196" s="110">
        <f>IF(EO196="","",IF(ISNUMBER('Dvd Calendar'!$O$1960)=FALSE,"",IF((('Dvd Calendar'!$O$1962=TYPE1)*(TYPE1&lt;&gt;"")+('Dvd Calendar'!$O$1962=TYPE2)*(TYPE2&lt;&gt;"")+('Dvd Calendar'!$O$1962=TYPE3)*(TYPE3&lt;&gt;"")+('Dvd Calendar'!$O$1962=TYPE4)*(TYPE4&lt;&gt;"")+('Dvd Calendar'!$O$1962=SPECIAL_LBL)*(INC_SPECIALS="Y"))=0,"",'Dvd Calendar'!$O$1960)))</f>
        <v/>
      </c>
      <c r="N196" s="110">
        <f>IF(EP196="","",IF(ISNUMBER('Dvd Calendar'!$P$1960)=FALSE,"",IF((('Dvd Calendar'!$P$1962=TYPE1)*(TYPE1&lt;&gt;"")+('Dvd Calendar'!$P$1962=TYPE2)*(TYPE2&lt;&gt;"")+('Dvd Calendar'!$P$1962=TYPE3)*(TYPE3&lt;&gt;"")+('Dvd Calendar'!$P$1962=TYPE4)*(TYPE4&lt;&gt;"")+('Dvd Calendar'!$P$1962=SPECIAL_LBL)*(INC_SPECIALS="Y"))=0,"",'Dvd Calendar'!$P$1960)))</f>
        <v/>
      </c>
      <c r="O196" s="110">
        <f>IF(EQ196="","",IF(ISNUMBER('Dvd Calendar'!$Q$1960)=FALSE,"",IF((('Dvd Calendar'!$Q$1962=TYPE1)*(TYPE1&lt;&gt;"")+('Dvd Calendar'!$Q$1962=TYPE2)*(TYPE2&lt;&gt;"")+('Dvd Calendar'!$Q$1962=TYPE3)*(TYPE3&lt;&gt;"")+('Dvd Calendar'!$Q$1962=TYPE4)*(TYPE4&lt;&gt;"")+('Dvd Calendar'!$Q$1962=SPECIAL_LBL)*(INC_SPECIALS="Y"))=0,"",'Dvd Calendar'!$Q$1960)))</f>
        <v/>
      </c>
      <c r="P196" s="110">
        <f>IF(ER196="","",IF(ISNUMBER('Dvd Calendar'!$R$1960)=FALSE,"",IF((('Dvd Calendar'!$R$1962=TYPE1)*(TYPE1&lt;&gt;"")+('Dvd Calendar'!$R$1962=TYPE2)*(TYPE2&lt;&gt;"")+('Dvd Calendar'!$R$1962=TYPE3)*(TYPE3&lt;&gt;"")+('Dvd Calendar'!$R$1962=TYPE4)*(TYPE4&lt;&gt;"")+('Dvd Calendar'!$R$1962=SPECIAL_LBL)*(INC_SPECIALS="Y"))=0,"",'Dvd Calendar'!$R$1960)))</f>
        <v/>
      </c>
      <c r="Q196" s="110">
        <f>IF(ES196="","",IF(ISNUMBER('Dvd Calendar'!$S$1960)=FALSE,"",IF((('Dvd Calendar'!$S$1962=TYPE1)*(TYPE1&lt;&gt;"")+('Dvd Calendar'!$S$1962=TYPE2)*(TYPE2&lt;&gt;"")+('Dvd Calendar'!$S$1962=TYPE3)*(TYPE3&lt;&gt;"")+('Dvd Calendar'!$S$1962=TYPE4)*(TYPE4&lt;&gt;"")+('Dvd Calendar'!$S$1962=SPECIAL_LBL)*(INC_SPECIALS="Y"))=0,"",'Dvd Calendar'!$S$1960)))</f>
        <v/>
      </c>
      <c r="R196" s="110">
        <f>IF(ET196="","",IF(ISNUMBER('Dvd Calendar'!$T$1960)=FALSE,"",IF((('Dvd Calendar'!$T$1962=TYPE1)*(TYPE1&lt;&gt;"")+('Dvd Calendar'!$T$1962=TYPE2)*(TYPE2&lt;&gt;"")+('Dvd Calendar'!$T$1962=TYPE3)*(TYPE3&lt;&gt;"")+('Dvd Calendar'!$T$1962=TYPE4)*(TYPE4&lt;&gt;"")+('Dvd Calendar'!$T$1962=SPECIAL_LBL)*(INC_SPECIALS="Y"))=0,"",'Dvd Calendar'!$T$1960)))</f>
        <v/>
      </c>
      <c r="S196" s="110">
        <f>IF(EU196="","",IF(ISNUMBER('Dvd Calendar'!$U$1960)=FALSE,"",IF((('Dvd Calendar'!$U$1962=TYPE1)*(TYPE1&lt;&gt;"")+('Dvd Calendar'!$U$1962=TYPE2)*(TYPE2&lt;&gt;"")+('Dvd Calendar'!$U$1962=TYPE3)*(TYPE3&lt;&gt;"")+('Dvd Calendar'!$U$1962=TYPE4)*(TYPE4&lt;&gt;"")+('Dvd Calendar'!$U$1962=SPECIAL_LBL)*(INC_SPECIALS="Y"))=0,"",'Dvd Calendar'!$U$1960)))</f>
        <v/>
      </c>
      <c r="T196" s="110">
        <f>IF(EV196="","",IF(ISNUMBER('Dvd Calendar'!$V$1960)=FALSE,"",IF((('Dvd Calendar'!$V$1962=TYPE1)*(TYPE1&lt;&gt;"")+('Dvd Calendar'!$V$1962=TYPE2)*(TYPE2&lt;&gt;"")+('Dvd Calendar'!$V$1962=TYPE3)*(TYPE3&lt;&gt;"")+('Dvd Calendar'!$V$1962=TYPE4)*(TYPE4&lt;&gt;"")+('Dvd Calendar'!$V$1962=SPECIAL_LBL)*(INC_SPECIALS="Y"))=0,"",'Dvd Calendar'!$V$1960)))</f>
        <v/>
      </c>
      <c r="U196" s="110">
        <f>IF(EW196="","",IF(ISNUMBER('Dvd Calendar'!$W$1960)=FALSE,"",IF((('Dvd Calendar'!$W$1962=TYPE1)*(TYPE1&lt;&gt;"")+('Dvd Calendar'!$W$1962=TYPE2)*(TYPE2&lt;&gt;"")+('Dvd Calendar'!$W$1962=TYPE3)*(TYPE3&lt;&gt;"")+('Dvd Calendar'!$W$1962=TYPE4)*(TYPE4&lt;&gt;"")+('Dvd Calendar'!$W$1962=SPECIAL_LBL)*(INC_SPECIALS="Y"))=0,"",'Dvd Calendar'!$W$1960)))</f>
        <v/>
      </c>
      <c r="V196" s="110">
        <f>IF(EX196="","",IF(ISNUMBER('Dvd Calendar'!$X$1960)=FALSE,"",IF((('Dvd Calendar'!$X$1962=TYPE1)*(TYPE1&lt;&gt;"")+('Dvd Calendar'!$X$1962=TYPE2)*(TYPE2&lt;&gt;"")+('Dvd Calendar'!$X$1962=TYPE3)*(TYPE3&lt;&gt;"")+('Dvd Calendar'!$X$1962=TYPE4)*(TYPE4&lt;&gt;"")+('Dvd Calendar'!$X$1962=SPECIAL_LBL)*(INC_SPECIALS="Y"))=0,"",'Dvd Calendar'!$X$1960)))</f>
        <v/>
      </c>
      <c r="W196" s="110">
        <f>IF(EY196="","",IF(ISNUMBER('Dvd Calendar'!$Y$1960)=FALSE,"",IF((('Dvd Calendar'!$Y$1962=TYPE1)*(TYPE1&lt;&gt;"")+('Dvd Calendar'!$Y$1962=TYPE2)*(TYPE2&lt;&gt;"")+('Dvd Calendar'!$Y$1962=TYPE3)*(TYPE3&lt;&gt;"")+('Dvd Calendar'!$Y$1962=TYPE4)*(TYPE4&lt;&gt;"")+('Dvd Calendar'!$Y$1962=SPECIAL_LBL)*(INC_SPECIALS="Y"))=0,"",'Dvd Calendar'!$Y$1960)))</f>
        <v/>
      </c>
      <c r="X196" s="110">
        <f>IF(EZ196="","",IF(ISNUMBER('Dvd Calendar'!$Z$1960)=FALSE,"",IF((('Dvd Calendar'!$Z$1962=TYPE1)*(TYPE1&lt;&gt;"")+('Dvd Calendar'!$Z$1962=TYPE2)*(TYPE2&lt;&gt;"")+('Dvd Calendar'!$Z$1962=TYPE3)*(TYPE3&lt;&gt;"")+('Dvd Calendar'!$Z$1962=TYPE4)*(TYPE4&lt;&gt;"")+('Dvd Calendar'!$Z$1962=SPECIAL_LBL)*(INC_SPECIALS="Y"))=0,"",'Dvd Calendar'!$Z$1960)))</f>
        <v/>
      </c>
      <c r="Y196" s="110">
        <f>IF(FA196="","",IF(ISNUMBER('Dvd Calendar'!$AA$1960)=FALSE,"",IF((('Dvd Calendar'!$AA$1962=TYPE1)*(TYPE1&lt;&gt;"")+('Dvd Calendar'!$AA$1962=TYPE2)*(TYPE2&lt;&gt;"")+('Dvd Calendar'!$AA$1962=TYPE3)*(TYPE3&lt;&gt;"")+('Dvd Calendar'!$AA$1962=TYPE4)*(TYPE4&lt;&gt;"")+('Dvd Calendar'!$AA$1962=SPECIAL_LBL)*(INC_SPECIALS="Y"))=0,"",'Dvd Calendar'!$AA$1960)))</f>
        <v/>
      </c>
      <c r="Z196" s="110">
        <f>IF(FB196="","",IF(ISNUMBER('Dvd Calendar'!$AB$1960)=FALSE,"",IF((('Dvd Calendar'!$AB$1962=TYPE1)*(TYPE1&lt;&gt;"")+('Dvd Calendar'!$AB$1962=TYPE2)*(TYPE2&lt;&gt;"")+('Dvd Calendar'!$AB$1962=TYPE3)*(TYPE3&lt;&gt;"")+('Dvd Calendar'!$AB$1962=TYPE4)*(TYPE4&lt;&gt;"")+('Dvd Calendar'!$AB$1962=SPECIAL_LBL)*(INC_SPECIALS="Y"))=0,"",'Dvd Calendar'!$AB$1960)))</f>
        <v/>
      </c>
      <c r="AA196" s="110">
        <f>IF(FC196="","",IF(ISNUMBER('Dvd Calendar'!$AC$1960)=FALSE,"",IF((('Dvd Calendar'!$AC$1962=TYPE1)*(TYPE1&lt;&gt;"")+('Dvd Calendar'!$AC$1962=TYPE2)*(TYPE2&lt;&gt;"")+('Dvd Calendar'!$AC$1962=TYPE3)*(TYPE3&lt;&gt;"")+('Dvd Calendar'!$AC$1962=TYPE4)*(TYPE4&lt;&gt;"")+('Dvd Calendar'!$AC$1962=SPECIAL_LBL)*(INC_SPECIALS="Y"))=0,"",'Dvd Calendar'!$AC$1960)))</f>
        <v/>
      </c>
      <c r="AB196" s="110">
        <f>IF(FD196="","",IF(ISNUMBER('Dvd Calendar'!$AD$1960)=FALSE,"",IF((('Dvd Calendar'!$AD$1962=TYPE1)*(TYPE1&lt;&gt;"")+('Dvd Calendar'!$AD$1962=TYPE2)*(TYPE2&lt;&gt;"")+('Dvd Calendar'!$AD$1962=TYPE3)*(TYPE3&lt;&gt;"")+('Dvd Calendar'!$AD$1962=TYPE4)*(TYPE4&lt;&gt;"")+('Dvd Calendar'!$AD$1962=SPECIAL_LBL)*(INC_SPECIALS="Y"))=0,"",'Dvd Calendar'!$AD$1960)))</f>
        <v/>
      </c>
      <c r="AC196" s="110">
        <f>IF(FE196="","",IF(ISNUMBER('Dvd Calendar'!$AE$1960)=FALSE,"",IF((('Dvd Calendar'!$AE$1962=TYPE1)*(TYPE1&lt;&gt;"")+('Dvd Calendar'!$AE$1962=TYPE2)*(TYPE2&lt;&gt;"")+('Dvd Calendar'!$AE$1962=TYPE3)*(TYPE3&lt;&gt;"")+('Dvd Calendar'!$AE$1962=TYPE4)*(TYPE4&lt;&gt;"")+('Dvd Calendar'!$AE$1962=SPECIAL_LBL)*(INC_SPECIALS="Y"))=0,"",'Dvd Calendar'!$AE$1960)))</f>
        <v/>
      </c>
      <c r="AD196" s="110">
        <f>IF(FF196="","",IF(ISNUMBER('Dvd Calendar'!$AF$1960)=FALSE,"",IF((('Dvd Calendar'!$AF$1962=TYPE1)*(TYPE1&lt;&gt;"")+('Dvd Calendar'!$AF$1962=TYPE2)*(TYPE2&lt;&gt;"")+('Dvd Calendar'!$AF$1962=TYPE3)*(TYPE3&lt;&gt;"")+('Dvd Calendar'!$AF$1962=TYPE4)*(TYPE4&lt;&gt;"")+('Dvd Calendar'!$AF$1962=SPECIAL_LBL)*(INC_SPECIALS="Y"))=0,"",'Dvd Calendar'!$AF$1960)))</f>
        <v/>
      </c>
      <c r="AE196" s="110">
        <f>IF(FG196="","",IF(ISNUMBER('Dvd Calendar'!$AG$1960)=FALSE,"",IF((('Dvd Calendar'!$AG$1962=TYPE1)*(TYPE1&lt;&gt;"")+('Dvd Calendar'!$AG$1962=TYPE2)*(TYPE2&lt;&gt;"")+('Dvd Calendar'!$AG$1962=TYPE3)*(TYPE3&lt;&gt;"")+('Dvd Calendar'!$AG$1962=TYPE4)*(TYPE4&lt;&gt;"")+('Dvd Calendar'!$AG$1962=SPECIAL_LBL)*(INC_SPECIALS="Y"))=0,"",'Dvd Calendar'!$AG$1960)))</f>
        <v/>
      </c>
      <c r="AF196" s="110">
        <f>IF(FH196="","",IF(ISNUMBER('Dvd Calendar'!$AH$1960)=FALSE,"",IF((('Dvd Calendar'!$AH$1962=TYPE1)*(TYPE1&lt;&gt;"")+('Dvd Calendar'!$AH$1962=TYPE2)*(TYPE2&lt;&gt;"")+('Dvd Calendar'!$AH$1962=TYPE3)*(TYPE3&lt;&gt;"")+('Dvd Calendar'!$AH$1962=TYPE4)*(TYPE4&lt;&gt;"")+('Dvd Calendar'!$AH$1962=SPECIAL_LBL)*(INC_SPECIALS="Y"))=0,"",'Dvd Calendar'!$AH$1960)))</f>
        <v/>
      </c>
      <c r="AG196" s="110">
        <f>IF(FI196="","",IF(ISNUMBER('Dvd Calendar'!$AI$1960)=FALSE,"",IF((('Dvd Calendar'!$AI$1962=TYPE1)*(TYPE1&lt;&gt;"")+('Dvd Calendar'!$AI$1962=TYPE2)*(TYPE2&lt;&gt;"")+('Dvd Calendar'!$AI$1962=TYPE3)*(TYPE3&lt;&gt;"")+('Dvd Calendar'!$AI$1962=TYPE4)*(TYPE4&lt;&gt;"")+('Dvd Calendar'!$AI$1962=SPECIAL_LBL)*(INC_SPECIALS="Y"))=0,"",'Dvd Calendar'!$AI$1960)))</f>
        <v/>
      </c>
      <c r="AH196" s="110">
        <f>IF(FJ196="","",IF(ISNUMBER('Dvd Calendar'!$AJ$1960)=FALSE,"",IF((('Dvd Calendar'!$AJ$1962=TYPE1)*(TYPE1&lt;&gt;"")+('Dvd Calendar'!$AJ$1962=TYPE2)*(TYPE2&lt;&gt;"")+('Dvd Calendar'!$AJ$1962=TYPE3)*(TYPE3&lt;&gt;"")+('Dvd Calendar'!$AJ$1962=TYPE4)*(TYPE4&lt;&gt;"")+('Dvd Calendar'!$AJ$1962=SPECIAL_LBL)*(INC_SPECIALS="Y"))=0,"",'Dvd Calendar'!$AJ$1960)))</f>
        <v/>
      </c>
      <c r="AI196" s="110">
        <f>IF(FK196="","",IF(ISNUMBER('Dvd Calendar'!$AK$1960)=FALSE,"",IF((('Dvd Calendar'!$AK$1962=TYPE1)*(TYPE1&lt;&gt;"")+('Dvd Calendar'!$AK$1962=TYPE2)*(TYPE2&lt;&gt;"")+('Dvd Calendar'!$AK$1962=TYPE3)*(TYPE3&lt;&gt;"")+('Dvd Calendar'!$AK$1962=TYPE4)*(TYPE4&lt;&gt;"")+('Dvd Calendar'!$AK$1962=SPECIAL_LBL)*(INC_SPECIALS="Y"))=0,"",'Dvd Calendar'!$AK$1960)))</f>
        <v/>
      </c>
      <c r="AJ196" s="110">
        <f>IF(FL196="","",IF(ISNUMBER('Dvd Calendar'!$AL$1960)=FALSE,"",IF((('Dvd Calendar'!$AL$1962=TYPE1)*(TYPE1&lt;&gt;"")+('Dvd Calendar'!$AL$1962=TYPE2)*(TYPE2&lt;&gt;"")+('Dvd Calendar'!$AL$1962=TYPE3)*(TYPE3&lt;&gt;"")+('Dvd Calendar'!$AL$1962=TYPE4)*(TYPE4&lt;&gt;"")+('Dvd Calendar'!$AL$1962=SPECIAL_LBL)*(INC_SPECIALS="Y"))=0,"",'Dvd Calendar'!$AL$1960)))</f>
        <v/>
      </c>
      <c r="AK196" s="110">
        <f>IF(FM196="","",IF(ISNUMBER('Dvd Calendar'!$AM$1960)=FALSE,"",IF((('Dvd Calendar'!$AM$1962=TYPE1)*(TYPE1&lt;&gt;"")+('Dvd Calendar'!$AM$1962=TYPE2)*(TYPE2&lt;&gt;"")+('Dvd Calendar'!$AM$1962=TYPE3)*(TYPE3&lt;&gt;"")+('Dvd Calendar'!$AM$1962=TYPE4)*(TYPE4&lt;&gt;"")+('Dvd Calendar'!$AM$1962=SPECIAL_LBL)*(INC_SPECIALS="Y"))=0,"",'Dvd Calendar'!$AM$1960)))</f>
        <v/>
      </c>
      <c r="AL196" s="110">
        <f>IF(FN196="","",IF(ISNUMBER('Dvd Calendar'!$AN$1960)=FALSE,"",IF((('Dvd Calendar'!$AN$1962=TYPE1)*(TYPE1&lt;&gt;"")+('Dvd Calendar'!$AN$1962=TYPE2)*(TYPE2&lt;&gt;"")+('Dvd Calendar'!$AN$1962=TYPE3)*(TYPE3&lt;&gt;"")+('Dvd Calendar'!$AN$1962=TYPE4)*(TYPE4&lt;&gt;"")+('Dvd Calendar'!$AN$1962=SPECIAL_LBL)*(INC_SPECIALS="Y"))=0,"",'Dvd Calendar'!$AN$1960)))</f>
        <v/>
      </c>
      <c r="AM196" s="110">
        <f>IF(FO196="","",IF(ISNUMBER('Dvd Calendar'!$AO$1960)=FALSE,"",IF((('Dvd Calendar'!$AO$1962=TYPE1)*(TYPE1&lt;&gt;"")+('Dvd Calendar'!$AO$1962=TYPE2)*(TYPE2&lt;&gt;"")+('Dvd Calendar'!$AO$1962=TYPE3)*(TYPE3&lt;&gt;"")+('Dvd Calendar'!$AO$1962=TYPE4)*(TYPE4&lt;&gt;"")+('Dvd Calendar'!$AO$1962=SPECIAL_LBL)*(INC_SPECIALS="Y"))=0,"",'Dvd Calendar'!$AO$1960)))</f>
        <v/>
      </c>
      <c r="AN196" s="110">
        <f>IF(FP196="","",IF(ISNUMBER('Dvd Calendar'!$AP$1960)=FALSE,"",IF((('Dvd Calendar'!$AP$1962=TYPE1)*(TYPE1&lt;&gt;"")+('Dvd Calendar'!$AP$1962=TYPE2)*(TYPE2&lt;&gt;"")+('Dvd Calendar'!$AP$1962=TYPE3)*(TYPE3&lt;&gt;"")+('Dvd Calendar'!$AP$1962=TYPE4)*(TYPE4&lt;&gt;"")+('Dvd Calendar'!$AP$1962=SPECIAL_LBL)*(INC_SPECIALS="Y"))=0,"",'Dvd Calendar'!$AP$1960)))</f>
        <v/>
      </c>
      <c r="AO196" s="110">
        <f>IF(FQ196="","",IF(ISNUMBER('Dvd Calendar'!$AQ$1960)=FALSE,"",IF((('Dvd Calendar'!$AQ$1962=TYPE1)*(TYPE1&lt;&gt;"")+('Dvd Calendar'!$AQ$1962=TYPE2)*(TYPE2&lt;&gt;"")+('Dvd Calendar'!$AQ$1962=TYPE3)*(TYPE3&lt;&gt;"")+('Dvd Calendar'!$AQ$1962=TYPE4)*(TYPE4&lt;&gt;"")+('Dvd Calendar'!$AQ$1962=SPECIAL_LBL)*(INC_SPECIALS="Y"))=0,"",'Dvd Calendar'!$AQ$1960)))</f>
        <v/>
      </c>
      <c r="AP196" s="110">
        <f>IF(FR196="","",IF(ISNUMBER('Dvd Calendar'!$AR$1960)=FALSE,"",IF((('Dvd Calendar'!$AR$1962=TYPE1)*(TYPE1&lt;&gt;"")+('Dvd Calendar'!$AR$1962=TYPE2)*(TYPE2&lt;&gt;"")+('Dvd Calendar'!$AR$1962=TYPE3)*(TYPE3&lt;&gt;"")+('Dvd Calendar'!$AR$1962=TYPE4)*(TYPE4&lt;&gt;"")+('Dvd Calendar'!$AR$1962=SPECIAL_LBL)*(INC_SPECIALS="Y"))=0,"",'Dvd Calendar'!$AR$1960)))</f>
        <v/>
      </c>
      <c r="AQ196" s="110">
        <f>IF(FS196="","",IF(ISNUMBER('Dvd Calendar'!$E$1965)=FALSE,"",'Dvd Calendar'!$E$1965))</f>
        <v/>
      </c>
      <c r="AR196" s="110">
        <f>IF(FT196="","",IF(ISNUMBER('Dvd Calendar'!$F$1965)=FALSE,"",'Dvd Calendar'!$F$1965))</f>
        <v/>
      </c>
      <c r="AS196" s="110">
        <f>IF(FU196="","",IF(ISNUMBER('Dvd Calendar'!$G$1965)=FALSE,"",'Dvd Calendar'!$G$1965))</f>
        <v/>
      </c>
      <c r="AT196" s="110">
        <f>IF(FV196="","",IF(ISNUMBER('Dvd Calendar'!$H$1965)=FALSE,"",'Dvd Calendar'!$H$1965))</f>
        <v/>
      </c>
      <c r="AU196" s="110">
        <f>IF(FW196="","",IF(ISNUMBER('Dvd Calendar'!$I$1965)=FALSE,"",'Dvd Calendar'!$I$1965))</f>
        <v/>
      </c>
      <c r="AV196" s="110">
        <f>IF(FX196="","",IF(ISNUMBER('Dvd Calendar'!$J$1965)=FALSE,"",'Dvd Calendar'!$J$1965))</f>
        <v/>
      </c>
      <c r="AW196" s="110">
        <f>IF(FY196="","",IF(ISNUMBER('Dvd Calendar'!$K$1965)=FALSE,"",'Dvd Calendar'!$K$1965))</f>
        <v/>
      </c>
      <c r="AX196" s="110">
        <f>IF(FZ196="","",IF(ISNUMBER('Dvd Calendar'!$L$1965)=FALSE,"",'Dvd Calendar'!$L$1965))</f>
        <v/>
      </c>
      <c r="AY196" s="110">
        <f>IF(GA196="","",IF(ISNUMBER('Dvd Calendar'!$M$1965)=FALSE,"",'Dvd Calendar'!$M$1965))</f>
        <v/>
      </c>
      <c r="AZ196" s="110">
        <f>IF(GB196="","",IF(ISNUMBER('Dvd Calendar'!$N$1965)=FALSE,"",'Dvd Calendar'!$N$1965))</f>
        <v/>
      </c>
      <c r="BA196" s="110">
        <f>IF(GC196="","",IF(ISNUMBER('Dvd Calendar'!$O$1965)=FALSE,"",'Dvd Calendar'!$O$1965))</f>
        <v/>
      </c>
      <c r="BB196" s="110">
        <f>IF(GD196="","",IF(ISNUMBER('Dvd Calendar'!$P$1965)=FALSE,"",'Dvd Calendar'!$P$1965))</f>
        <v/>
      </c>
      <c r="BC196" s="110">
        <f>IF(GE196="","",IF(ISNUMBER('Dvd Calendar'!$Q$1965)=FALSE,"",'Dvd Calendar'!$Q$1965))</f>
        <v/>
      </c>
      <c r="BD196" s="110">
        <f>IF(GF196="","",IF(ISNUMBER('Dvd Calendar'!$R$1965)=FALSE,"",'Dvd Calendar'!$R$1965))</f>
        <v/>
      </c>
      <c r="BE196" s="110">
        <f>IF(GG196="","",IF(ISNUMBER('Dvd Calendar'!$S$1965)=FALSE,"",'Dvd Calendar'!$S$1965))</f>
        <v/>
      </c>
      <c r="BF196" s="110">
        <f>IF(GH196="","",IF(ISNUMBER('Dvd Calendar'!$T$1965)=FALSE,"",'Dvd Calendar'!$T$1965))</f>
        <v/>
      </c>
      <c r="BG196" s="110">
        <f>IF(GI196="","",IF(ISNUMBER('Dvd Calendar'!$U$1965)=FALSE,"",'Dvd Calendar'!$U$1965))</f>
        <v/>
      </c>
      <c r="BH196" s="110">
        <f>IF(GJ196="","",IF(ISNUMBER('Dvd Calendar'!$V$1965)=FALSE,"",'Dvd Calendar'!$V$1965))</f>
        <v/>
      </c>
      <c r="BI196" s="110">
        <f>IF(GK196="","",IF(ISNUMBER('Dvd Calendar'!$W$1965)=FALSE,"",'Dvd Calendar'!$W$1965))</f>
        <v/>
      </c>
      <c r="BJ196" s="110">
        <f>IF(GL196="","",IF(ISNUMBER('Dvd Calendar'!$X$1965)=FALSE,"",'Dvd Calendar'!$X$1965))</f>
        <v/>
      </c>
      <c r="BK196" s="110">
        <f>IF(GM196="","",IF(ISNUMBER('Dvd Calendar'!$Y$1965)=FALSE,"",'Dvd Calendar'!$Y$1965))</f>
        <v/>
      </c>
      <c r="BL196" s="110">
        <f>IF(GN196="","",IF(ISNUMBER('Dvd Calendar'!$Z$1965)=FALSE,"",'Dvd Calendar'!$Z$1965))</f>
        <v/>
      </c>
      <c r="BM196" s="110">
        <f>IF(GO196="","",IF(ISNUMBER('Dvd Calendar'!$AA$1965)=FALSE,"",'Dvd Calendar'!$AA$1965))</f>
        <v/>
      </c>
      <c r="BN196" s="110">
        <f>IF(GP196="","",IF(ISNUMBER('Dvd Calendar'!$AB$1965)=FALSE,"",'Dvd Calendar'!$AB$1965))</f>
        <v/>
      </c>
      <c r="BO196" s="110">
        <f>IF(GQ196="","",IF(ISNUMBER('Dvd Calendar'!$AC$1965)=FALSE,"",'Dvd Calendar'!$AC$1965))</f>
        <v/>
      </c>
      <c r="BQ196" s="110">
        <f>IF(C196="","",IFERROR(C196*HSCEI!$B$43*HSCEI!$G$43/HSCEI!$B$3,""))</f>
        <v/>
      </c>
      <c r="BR196" s="110">
        <f>IF(D196="","",IFERROR(D196*HSCEI!$B$43*HSCEI!$G$43/HSCEI!$B$3,""))</f>
        <v/>
      </c>
      <c r="BS196" s="110">
        <f>IF(E196="","",IFERROR(E196*HSCEI!$B$43*HSCEI!$G$43/HSCEI!$B$3,""))</f>
        <v/>
      </c>
      <c r="BT196" s="110">
        <f>IF(F196="","",IFERROR(F196*HSCEI!$B$43*HSCEI!$G$43/HSCEI!$B$3,""))</f>
        <v/>
      </c>
      <c r="BU196" s="110">
        <f>IF(G196="","",IFERROR(G196*HSCEI!$B$43*HSCEI!$G$43/HSCEI!$B$3,""))</f>
        <v/>
      </c>
      <c r="BV196" s="110">
        <f>IF(H196="","",IFERROR(H196*HSCEI!$B$43*HSCEI!$G$43/HSCEI!$B$3,""))</f>
        <v/>
      </c>
      <c r="BW196" s="110">
        <f>IF(I196="","",IFERROR(I196*HSCEI!$B$43*HSCEI!$G$43/HSCEI!$B$3,""))</f>
        <v/>
      </c>
      <c r="BX196" s="110">
        <f>IF(J196="","",IFERROR(J196*HSCEI!$B$43*HSCEI!$G$43/HSCEI!$B$3,""))</f>
        <v/>
      </c>
      <c r="BY196" s="110">
        <f>IF(K196="","",IFERROR(K196*HSCEI!$B$43*HSCEI!$G$43/HSCEI!$B$3,""))</f>
        <v/>
      </c>
      <c r="BZ196" s="110">
        <f>IF(L196="","",IFERROR(L196*HSCEI!$B$43*HSCEI!$G$43/HSCEI!$B$3,""))</f>
        <v/>
      </c>
      <c r="CA196" s="110">
        <f>IF(M196="","",IFERROR(M196*HSCEI!$B$43*HSCEI!$G$43/HSCEI!$B$3,""))</f>
        <v/>
      </c>
      <c r="CB196" s="110">
        <f>IF(N196="","",IFERROR(N196*HSCEI!$B$43*HSCEI!$G$43/HSCEI!$B$3,""))</f>
        <v/>
      </c>
      <c r="CC196" s="110">
        <f>IF(O196="","",IFERROR(O196*HSCEI!$B$43*HSCEI!$G$43/HSCEI!$B$3,""))</f>
        <v/>
      </c>
      <c r="CD196" s="110">
        <f>IF(P196="","",IFERROR(P196*HSCEI!$B$43*HSCEI!$G$43/HSCEI!$B$3,""))</f>
        <v/>
      </c>
      <c r="CE196" s="110">
        <f>IF(Q196="","",IFERROR(Q196*HSCEI!$B$43*HSCEI!$G$43/HSCEI!$B$3,""))</f>
        <v/>
      </c>
      <c r="CF196" s="110">
        <f>IF(R196="","",IFERROR(R196*HSCEI!$B$43*HSCEI!$G$43/HSCEI!$B$3,""))</f>
        <v/>
      </c>
      <c r="CG196" s="110">
        <f>IF(S196="","",IFERROR(S196*HSCEI!$B$43*HSCEI!$G$43/HSCEI!$B$3,""))</f>
        <v/>
      </c>
      <c r="CH196" s="110">
        <f>IF(T196="","",IFERROR(T196*HSCEI!$B$43*HSCEI!$G$43/HSCEI!$B$3,""))</f>
        <v/>
      </c>
      <c r="CI196" s="110">
        <f>IF(U196="","",IFERROR(U196*HSCEI!$B$43*HSCEI!$G$43/HSCEI!$B$3,""))</f>
        <v/>
      </c>
      <c r="CJ196" s="110">
        <f>IF(V196="","",IFERROR(V196*HSCEI!$B$43*HSCEI!$G$43/HSCEI!$B$3,""))</f>
        <v/>
      </c>
      <c r="CK196" s="110">
        <f>IF(W196="","",IFERROR(W196*HSCEI!$B$43*HSCEI!$G$43/HSCEI!$B$3,""))</f>
        <v/>
      </c>
      <c r="CL196" s="110">
        <f>IF(X196="","",IFERROR(X196*HSCEI!$B$43*HSCEI!$G$43/HSCEI!$B$3,""))</f>
        <v/>
      </c>
      <c r="CM196" s="110">
        <f>IF(Y196="","",IFERROR(Y196*HSCEI!$B$43*HSCEI!$G$43/HSCEI!$B$3,""))</f>
        <v/>
      </c>
      <c r="CN196" s="110">
        <f>IF(Z196="","",IFERROR(Z196*HSCEI!$B$43*HSCEI!$G$43/HSCEI!$B$3,""))</f>
        <v/>
      </c>
      <c r="CO196" s="110">
        <f>IF(AA196="","",IFERROR(AA196*HSCEI!$B$43*HSCEI!$G$43/HSCEI!$B$3,""))</f>
        <v/>
      </c>
      <c r="CP196" s="110">
        <f>IF(AB196="","",IFERROR(AB196*HSCEI!$B$43*HSCEI!$G$43/HSCEI!$B$3,""))</f>
        <v/>
      </c>
      <c r="CQ196" s="110">
        <f>IF(AC196="","",IFERROR(AC196*HSCEI!$B$43*HSCEI!$G$43/HSCEI!$B$3,""))</f>
        <v/>
      </c>
      <c r="CR196" s="110">
        <f>IF(AD196="","",IFERROR(AD196*HSCEI!$B$43*HSCEI!$G$43/HSCEI!$B$3,""))</f>
        <v/>
      </c>
      <c r="CS196" s="110">
        <f>IF(AE196="","",IFERROR(AE196*HSCEI!$B$43*HSCEI!$G$43/HSCEI!$B$3,""))</f>
        <v/>
      </c>
      <c r="CT196" s="110">
        <f>IF(AF196="","",IFERROR(AF196*HSCEI!$B$43*HSCEI!$G$43/HSCEI!$B$3,""))</f>
        <v/>
      </c>
      <c r="CU196" s="110">
        <f>IF(AG196="","",IFERROR(AG196*HSCEI!$B$43*HSCEI!$G$43/HSCEI!$B$3,""))</f>
        <v/>
      </c>
      <c r="CV196" s="110">
        <f>IF(AH196="","",IFERROR(AH196*HSCEI!$B$43*HSCEI!$G$43/HSCEI!$B$3,""))</f>
        <v/>
      </c>
      <c r="CW196" s="110">
        <f>IF(AI196="","",IFERROR(AI196*HSCEI!$B$43*HSCEI!$G$43/HSCEI!$B$3,""))</f>
        <v/>
      </c>
      <c r="CX196" s="110">
        <f>IF(AJ196="","",IFERROR(AJ196*HSCEI!$B$43*HSCEI!$G$43/HSCEI!$B$3,""))</f>
        <v/>
      </c>
      <c r="CY196" s="110">
        <f>IF(AK196="","",IFERROR(AK196*HSCEI!$B$43*HSCEI!$G$43/HSCEI!$B$3,""))</f>
        <v/>
      </c>
      <c r="CZ196" s="110">
        <f>IF(AL196="","",IFERROR(AL196*HSCEI!$B$43*HSCEI!$G$43/HSCEI!$B$3,""))</f>
        <v/>
      </c>
      <c r="DA196" s="110">
        <f>IF(AM196="","",IFERROR(AM196*HSCEI!$B$43*HSCEI!$G$43/HSCEI!$B$3,""))</f>
        <v/>
      </c>
      <c r="DB196" s="110">
        <f>IF(AN196="","",IFERROR(AN196*HSCEI!$B$43*HSCEI!$G$43/HSCEI!$B$3,""))</f>
        <v/>
      </c>
      <c r="DC196" s="110">
        <f>IF(AO196="","",IFERROR(AO196*HSCEI!$B$43*HSCEI!$G$43/HSCEI!$B$3,""))</f>
        <v/>
      </c>
      <c r="DD196" s="110">
        <f>IF(AP196="","",IFERROR(AP196*HSCEI!$B$43*HSCEI!$G$43/HSCEI!$B$3,""))</f>
        <v/>
      </c>
      <c r="DE196" s="110">
        <f>IF(AQ196="","",IFERROR(AQ196*HSCEI!$B$43*HSCEI!$G$43/HSCEI!$B$3,""))</f>
        <v/>
      </c>
      <c r="DF196" s="110">
        <f>IF(AR196="","",IFERROR(AR196*HSCEI!$B$43*HSCEI!$G$43/HSCEI!$B$3,""))</f>
        <v/>
      </c>
      <c r="DG196" s="110">
        <f>IF(AS196="","",IFERROR(AS196*HSCEI!$B$43*HSCEI!$G$43/HSCEI!$B$3,""))</f>
        <v/>
      </c>
      <c r="DH196" s="110">
        <f>IF(AT196="","",IFERROR(AT196*HSCEI!$B$43*HSCEI!$G$43/HSCEI!$B$3,""))</f>
        <v/>
      </c>
      <c r="DI196" s="110">
        <f>IF(AU196="","",IFERROR(AU196*HSCEI!$B$43*HSCEI!$G$43/HSCEI!$B$3,""))</f>
        <v/>
      </c>
      <c r="DJ196" s="110">
        <f>IF(AV196="","",IFERROR(AV196*HSCEI!$B$43*HSCEI!$G$43/HSCEI!$B$3,""))</f>
        <v/>
      </c>
      <c r="DK196" s="110">
        <f>IF(AW196="","",IFERROR(AW196*HSCEI!$B$43*HSCEI!$G$43/HSCEI!$B$3,""))</f>
        <v/>
      </c>
      <c r="DL196" s="110">
        <f>IF(AX196="","",IFERROR(AX196*HSCEI!$B$43*HSCEI!$G$43/HSCEI!$B$3,""))</f>
        <v/>
      </c>
      <c r="DM196" s="110">
        <f>IF(AY196="","",IFERROR(AY196*HSCEI!$B$43*HSCEI!$G$43/HSCEI!$B$3,""))</f>
        <v/>
      </c>
      <c r="DN196" s="110">
        <f>IF(AZ196="","",IFERROR(AZ196*HSCEI!$B$43*HSCEI!$G$43/HSCEI!$B$3,""))</f>
        <v/>
      </c>
      <c r="DO196" s="110">
        <f>IF(BA196="","",IFERROR(BA196*HSCEI!$B$43*HSCEI!$G$43/HSCEI!$B$3,""))</f>
        <v/>
      </c>
      <c r="DP196" s="110">
        <f>IF(BB196="","",IFERROR(BB196*HSCEI!$B$43*HSCEI!$G$43/HSCEI!$B$3,""))</f>
        <v/>
      </c>
      <c r="DQ196" s="110">
        <f>IF(BC196="","",IFERROR(BC196*HSCEI!$B$43*HSCEI!$G$43/HSCEI!$B$3,""))</f>
        <v/>
      </c>
      <c r="DR196" s="110">
        <f>IF(BD196="","",IFERROR(BD196*HSCEI!$B$43*HSCEI!$G$43/HSCEI!$B$3,""))</f>
        <v/>
      </c>
      <c r="DS196" s="110">
        <f>IF(BE196="","",IFERROR(BE196*HSCEI!$B$43*HSCEI!$G$43/HSCEI!$B$3,""))</f>
        <v/>
      </c>
      <c r="DT196" s="110">
        <f>IF(BF196="","",IFERROR(BF196*HSCEI!$B$43*HSCEI!$G$43/HSCEI!$B$3,""))</f>
        <v/>
      </c>
      <c r="DU196" s="110">
        <f>IF(BG196="","",IFERROR(BG196*HSCEI!$B$43*HSCEI!$G$43/HSCEI!$B$3,""))</f>
        <v/>
      </c>
      <c r="DV196" s="110">
        <f>IF(BH196="","",IFERROR(BH196*HSCEI!$B$43*HSCEI!$G$43/HSCEI!$B$3,""))</f>
        <v/>
      </c>
      <c r="DW196" s="110">
        <f>IF(BI196="","",IFERROR(BI196*HSCEI!$B$43*HSCEI!$G$43/HSCEI!$B$3,""))</f>
        <v/>
      </c>
      <c r="DX196" s="110">
        <f>IF(BJ196="","",IFERROR(BJ196*HSCEI!$B$43*HSCEI!$G$43/HSCEI!$B$3,""))</f>
        <v/>
      </c>
      <c r="DY196" s="110">
        <f>IF(BK196="","",IFERROR(BK196*HSCEI!$B$43*HSCEI!$G$43/HSCEI!$B$3,""))</f>
        <v/>
      </c>
      <c r="DZ196" s="110">
        <f>IF(BL196="","",IFERROR(BL196*HSCEI!$B$43*HSCEI!$G$43/HSCEI!$B$3,""))</f>
        <v/>
      </c>
      <c r="EA196" s="110">
        <f>IF(BM196="","",IFERROR(BM196*HSCEI!$B$43*HSCEI!$G$43/HSCEI!$B$3,""))</f>
        <v/>
      </c>
      <c r="EB196" s="110">
        <f>IF(BN196="","",IFERROR(BN196*HSCEI!$B$43*HSCEI!$G$43/HSCEI!$B$3,""))</f>
        <v/>
      </c>
      <c r="EC196" s="110">
        <f>IF(BO196="","",IFERROR(BO196*HSCEI!$B$43*HSCEI!$G$43/HSCEI!$B$3,""))</f>
        <v/>
      </c>
      <c r="EE196" s="39">
        <f>IF(N('Dvd Calendar'!$E$1957)=0,"",IF(('Dvd Calendar'!$E$1957&gt;=GRID_FROM)*('Dvd Calendar'!$E$1957&lt;=GRID_TO)*((('Dvd Calendar'!$E$1957&lt;=VAL_DATE)+(COUNTIF('Dvd Calendar'!$E$1964:$AR$1964,'Dvd Calendar'!$E$1957)=0))&gt;0)=0,"",'Dvd Calendar'!$E$1957*1000000000+ISNUMBER('Dvd Calendar'!$E$1960)*100000000+('Dvd Calendar'!$E$1962=SPECIAL_LBL)*10000000+(N('Dvd Calendar'!$E$1956)&gt;0)*(N('Dvd Calendar'!$E$1956)&lt;=VAL_SERIAL)*1000000+37*1000+1))</f>
        <v/>
      </c>
      <c r="EF196" s="39">
        <f>IF(N('Dvd Calendar'!$F$1957)=0,"",IF(('Dvd Calendar'!$F$1957&gt;=GRID_FROM)*('Dvd Calendar'!$F$1957&lt;=GRID_TO)*((('Dvd Calendar'!$F$1957&lt;=VAL_DATE)+(COUNTIF('Dvd Calendar'!$E$1964:$AR$1964,'Dvd Calendar'!$F$1957)=0))&gt;0)=0,"",'Dvd Calendar'!$F$1957*1000000000+ISNUMBER('Dvd Calendar'!$F$1960)*100000000+('Dvd Calendar'!$F$1962=SPECIAL_LBL)*10000000+(N('Dvd Calendar'!$F$1956)&gt;0)*(N('Dvd Calendar'!$F$1956)&lt;=VAL_SERIAL)*1000000+37*1000+2))</f>
        <v/>
      </c>
      <c r="EG196" s="39">
        <f>IF(N('Dvd Calendar'!$G$1957)=0,"",IF(('Dvd Calendar'!$G$1957&gt;=GRID_FROM)*('Dvd Calendar'!$G$1957&lt;=GRID_TO)*((('Dvd Calendar'!$G$1957&lt;=VAL_DATE)+(COUNTIF('Dvd Calendar'!$E$1964:$AR$1964,'Dvd Calendar'!$G$1957)=0))&gt;0)=0,"",'Dvd Calendar'!$G$1957*1000000000+ISNUMBER('Dvd Calendar'!$G$1960)*100000000+('Dvd Calendar'!$G$1962=SPECIAL_LBL)*10000000+(N('Dvd Calendar'!$G$1956)&gt;0)*(N('Dvd Calendar'!$G$1956)&lt;=VAL_SERIAL)*1000000+37*1000+3))</f>
        <v/>
      </c>
      <c r="EH196" s="39">
        <f>IF(N('Dvd Calendar'!$H$1957)=0,"",IF(('Dvd Calendar'!$H$1957&gt;=GRID_FROM)*('Dvd Calendar'!$H$1957&lt;=GRID_TO)*((('Dvd Calendar'!$H$1957&lt;=VAL_DATE)+(COUNTIF('Dvd Calendar'!$E$1964:$AR$1964,'Dvd Calendar'!$H$1957)=0))&gt;0)=0,"",'Dvd Calendar'!$H$1957*1000000000+ISNUMBER('Dvd Calendar'!$H$1960)*100000000+('Dvd Calendar'!$H$1962=SPECIAL_LBL)*10000000+(N('Dvd Calendar'!$H$1956)&gt;0)*(N('Dvd Calendar'!$H$1956)&lt;=VAL_SERIAL)*1000000+37*1000+4))</f>
        <v/>
      </c>
      <c r="EI196" s="39">
        <f>IF(N('Dvd Calendar'!$I$1957)=0,"",IF(('Dvd Calendar'!$I$1957&gt;=GRID_FROM)*('Dvd Calendar'!$I$1957&lt;=GRID_TO)*((('Dvd Calendar'!$I$1957&lt;=VAL_DATE)+(COUNTIF('Dvd Calendar'!$E$1964:$AR$1964,'Dvd Calendar'!$I$1957)=0))&gt;0)=0,"",'Dvd Calendar'!$I$1957*1000000000+ISNUMBER('Dvd Calendar'!$I$1960)*100000000+('Dvd Calendar'!$I$1962=SPECIAL_LBL)*10000000+(N('Dvd Calendar'!$I$1956)&gt;0)*(N('Dvd Calendar'!$I$1956)&lt;=VAL_SERIAL)*1000000+37*1000+5))</f>
        <v/>
      </c>
      <c r="EJ196" s="39">
        <f>IF(N('Dvd Calendar'!$J$1957)=0,"",IF(('Dvd Calendar'!$J$1957&gt;=GRID_FROM)*('Dvd Calendar'!$J$1957&lt;=GRID_TO)*((('Dvd Calendar'!$J$1957&lt;=VAL_DATE)+(COUNTIF('Dvd Calendar'!$E$1964:$AR$1964,'Dvd Calendar'!$J$1957)=0))&gt;0)=0,"",'Dvd Calendar'!$J$1957*1000000000+ISNUMBER('Dvd Calendar'!$J$1960)*100000000+('Dvd Calendar'!$J$1962=SPECIAL_LBL)*10000000+(N('Dvd Calendar'!$J$1956)&gt;0)*(N('Dvd Calendar'!$J$1956)&lt;=VAL_SERIAL)*1000000+37*1000+6))</f>
        <v/>
      </c>
      <c r="EK196" s="39">
        <f>IF(N('Dvd Calendar'!$K$1957)=0,"",IF(('Dvd Calendar'!$K$1957&gt;=GRID_FROM)*('Dvd Calendar'!$K$1957&lt;=GRID_TO)*((('Dvd Calendar'!$K$1957&lt;=VAL_DATE)+(COUNTIF('Dvd Calendar'!$E$1964:$AR$1964,'Dvd Calendar'!$K$1957)=0))&gt;0)=0,"",'Dvd Calendar'!$K$1957*1000000000+ISNUMBER('Dvd Calendar'!$K$1960)*100000000+('Dvd Calendar'!$K$1962=SPECIAL_LBL)*10000000+(N('Dvd Calendar'!$K$1956)&gt;0)*(N('Dvd Calendar'!$K$1956)&lt;=VAL_SERIAL)*1000000+37*1000+7))</f>
        <v/>
      </c>
      <c r="EL196" s="39">
        <f>IF(N('Dvd Calendar'!$L$1957)=0,"",IF(('Dvd Calendar'!$L$1957&gt;=GRID_FROM)*('Dvd Calendar'!$L$1957&lt;=GRID_TO)*((('Dvd Calendar'!$L$1957&lt;=VAL_DATE)+(COUNTIF('Dvd Calendar'!$E$1964:$AR$1964,'Dvd Calendar'!$L$1957)=0))&gt;0)=0,"",'Dvd Calendar'!$L$1957*1000000000+ISNUMBER('Dvd Calendar'!$L$1960)*100000000+('Dvd Calendar'!$L$1962=SPECIAL_LBL)*10000000+(N('Dvd Calendar'!$L$1956)&gt;0)*(N('Dvd Calendar'!$L$1956)&lt;=VAL_SERIAL)*1000000+37*1000+8))</f>
        <v/>
      </c>
      <c r="EM196" s="39">
        <f>IF(N('Dvd Calendar'!$M$1957)=0,"",IF(('Dvd Calendar'!$M$1957&gt;=GRID_FROM)*('Dvd Calendar'!$M$1957&lt;=GRID_TO)*((('Dvd Calendar'!$M$1957&lt;=VAL_DATE)+(COUNTIF('Dvd Calendar'!$E$1964:$AR$1964,'Dvd Calendar'!$M$1957)=0))&gt;0)=0,"",'Dvd Calendar'!$M$1957*1000000000+ISNUMBER('Dvd Calendar'!$M$1960)*100000000+('Dvd Calendar'!$M$1962=SPECIAL_LBL)*10000000+(N('Dvd Calendar'!$M$1956)&gt;0)*(N('Dvd Calendar'!$M$1956)&lt;=VAL_SERIAL)*1000000+37*1000+9))</f>
        <v/>
      </c>
      <c r="EN196" s="39">
        <f>IF(N('Dvd Calendar'!$N$1957)=0,"",IF(('Dvd Calendar'!$N$1957&gt;=GRID_FROM)*('Dvd Calendar'!$N$1957&lt;=GRID_TO)*((('Dvd Calendar'!$N$1957&lt;=VAL_DATE)+(COUNTIF('Dvd Calendar'!$E$1964:$AR$1964,'Dvd Calendar'!$N$1957)=0))&gt;0)=0,"",'Dvd Calendar'!$N$1957*1000000000+ISNUMBER('Dvd Calendar'!$N$1960)*100000000+('Dvd Calendar'!$N$1962=SPECIAL_LBL)*10000000+(N('Dvd Calendar'!$N$1956)&gt;0)*(N('Dvd Calendar'!$N$1956)&lt;=VAL_SERIAL)*1000000+37*1000+10))</f>
        <v/>
      </c>
      <c r="EO196" s="39">
        <f>IF(N('Dvd Calendar'!$O$1957)=0,"",IF(('Dvd Calendar'!$O$1957&gt;=GRID_FROM)*('Dvd Calendar'!$O$1957&lt;=GRID_TO)*((('Dvd Calendar'!$O$1957&lt;=VAL_DATE)+(COUNTIF('Dvd Calendar'!$E$1964:$AR$1964,'Dvd Calendar'!$O$1957)=0))&gt;0)=0,"",'Dvd Calendar'!$O$1957*1000000000+ISNUMBER('Dvd Calendar'!$O$1960)*100000000+('Dvd Calendar'!$O$1962=SPECIAL_LBL)*10000000+(N('Dvd Calendar'!$O$1956)&gt;0)*(N('Dvd Calendar'!$O$1956)&lt;=VAL_SERIAL)*1000000+37*1000+11))</f>
        <v/>
      </c>
      <c r="EP196" s="39">
        <f>IF(N('Dvd Calendar'!$P$1957)=0,"",IF(('Dvd Calendar'!$P$1957&gt;=GRID_FROM)*('Dvd Calendar'!$P$1957&lt;=GRID_TO)*((('Dvd Calendar'!$P$1957&lt;=VAL_DATE)+(COUNTIF('Dvd Calendar'!$E$1964:$AR$1964,'Dvd Calendar'!$P$1957)=0))&gt;0)=0,"",'Dvd Calendar'!$P$1957*1000000000+ISNUMBER('Dvd Calendar'!$P$1960)*100000000+('Dvd Calendar'!$P$1962=SPECIAL_LBL)*10000000+(N('Dvd Calendar'!$P$1956)&gt;0)*(N('Dvd Calendar'!$P$1956)&lt;=VAL_SERIAL)*1000000+37*1000+12))</f>
        <v/>
      </c>
      <c r="EQ196" s="39">
        <f>IF(N('Dvd Calendar'!$Q$1957)=0,"",IF(('Dvd Calendar'!$Q$1957&gt;=GRID_FROM)*('Dvd Calendar'!$Q$1957&lt;=GRID_TO)*((('Dvd Calendar'!$Q$1957&lt;=VAL_DATE)+(COUNTIF('Dvd Calendar'!$E$1964:$AR$1964,'Dvd Calendar'!$Q$1957)=0))&gt;0)=0,"",'Dvd Calendar'!$Q$1957*1000000000+ISNUMBER('Dvd Calendar'!$Q$1960)*100000000+('Dvd Calendar'!$Q$1962=SPECIAL_LBL)*10000000+(N('Dvd Calendar'!$Q$1956)&gt;0)*(N('Dvd Calendar'!$Q$1956)&lt;=VAL_SERIAL)*1000000+37*1000+13))</f>
        <v/>
      </c>
      <c r="ER196" s="39">
        <f>IF(N('Dvd Calendar'!$R$1957)=0,"",IF(('Dvd Calendar'!$R$1957&gt;=GRID_FROM)*('Dvd Calendar'!$R$1957&lt;=GRID_TO)*((('Dvd Calendar'!$R$1957&lt;=VAL_DATE)+(COUNTIF('Dvd Calendar'!$E$1964:$AR$1964,'Dvd Calendar'!$R$1957)=0))&gt;0)=0,"",'Dvd Calendar'!$R$1957*1000000000+ISNUMBER('Dvd Calendar'!$R$1960)*100000000+('Dvd Calendar'!$R$1962=SPECIAL_LBL)*10000000+(N('Dvd Calendar'!$R$1956)&gt;0)*(N('Dvd Calendar'!$R$1956)&lt;=VAL_SERIAL)*1000000+37*1000+14))</f>
        <v/>
      </c>
      <c r="ES196" s="39">
        <f>IF(N('Dvd Calendar'!$S$1957)=0,"",IF(('Dvd Calendar'!$S$1957&gt;=GRID_FROM)*('Dvd Calendar'!$S$1957&lt;=GRID_TO)*((('Dvd Calendar'!$S$1957&lt;=VAL_DATE)+(COUNTIF('Dvd Calendar'!$E$1964:$AR$1964,'Dvd Calendar'!$S$1957)=0))&gt;0)=0,"",'Dvd Calendar'!$S$1957*1000000000+ISNUMBER('Dvd Calendar'!$S$1960)*100000000+('Dvd Calendar'!$S$1962=SPECIAL_LBL)*10000000+(N('Dvd Calendar'!$S$1956)&gt;0)*(N('Dvd Calendar'!$S$1956)&lt;=VAL_SERIAL)*1000000+37*1000+15))</f>
        <v/>
      </c>
      <c r="ET196" s="39">
        <f>IF(N('Dvd Calendar'!$T$1957)=0,"",IF(('Dvd Calendar'!$T$1957&gt;=GRID_FROM)*('Dvd Calendar'!$T$1957&lt;=GRID_TO)*((('Dvd Calendar'!$T$1957&lt;=VAL_DATE)+(COUNTIF('Dvd Calendar'!$E$1964:$AR$1964,'Dvd Calendar'!$T$1957)=0))&gt;0)=0,"",'Dvd Calendar'!$T$1957*1000000000+ISNUMBER('Dvd Calendar'!$T$1960)*100000000+('Dvd Calendar'!$T$1962=SPECIAL_LBL)*10000000+(N('Dvd Calendar'!$T$1956)&gt;0)*(N('Dvd Calendar'!$T$1956)&lt;=VAL_SERIAL)*1000000+37*1000+16))</f>
        <v/>
      </c>
      <c r="EU196" s="39">
        <f>IF(N('Dvd Calendar'!$U$1957)=0,"",IF(('Dvd Calendar'!$U$1957&gt;=GRID_FROM)*('Dvd Calendar'!$U$1957&lt;=GRID_TO)*((('Dvd Calendar'!$U$1957&lt;=VAL_DATE)+(COUNTIF('Dvd Calendar'!$E$1964:$AR$1964,'Dvd Calendar'!$U$1957)=0))&gt;0)=0,"",'Dvd Calendar'!$U$1957*1000000000+ISNUMBER('Dvd Calendar'!$U$1960)*100000000+('Dvd Calendar'!$U$1962=SPECIAL_LBL)*10000000+(N('Dvd Calendar'!$U$1956)&gt;0)*(N('Dvd Calendar'!$U$1956)&lt;=VAL_SERIAL)*1000000+37*1000+17))</f>
        <v/>
      </c>
      <c r="EV196" s="39">
        <f>IF(N('Dvd Calendar'!$V$1957)=0,"",IF(('Dvd Calendar'!$V$1957&gt;=GRID_FROM)*('Dvd Calendar'!$V$1957&lt;=GRID_TO)*((('Dvd Calendar'!$V$1957&lt;=VAL_DATE)+(COUNTIF('Dvd Calendar'!$E$1964:$AR$1964,'Dvd Calendar'!$V$1957)=0))&gt;0)=0,"",'Dvd Calendar'!$V$1957*1000000000+ISNUMBER('Dvd Calendar'!$V$1960)*100000000+('Dvd Calendar'!$V$1962=SPECIAL_LBL)*10000000+(N('Dvd Calendar'!$V$1956)&gt;0)*(N('Dvd Calendar'!$V$1956)&lt;=VAL_SERIAL)*1000000+37*1000+18))</f>
        <v/>
      </c>
      <c r="EW196" s="39">
        <f>IF(N('Dvd Calendar'!$W$1957)=0,"",IF(('Dvd Calendar'!$W$1957&gt;=GRID_FROM)*('Dvd Calendar'!$W$1957&lt;=GRID_TO)*((('Dvd Calendar'!$W$1957&lt;=VAL_DATE)+(COUNTIF('Dvd Calendar'!$E$1964:$AR$1964,'Dvd Calendar'!$W$1957)=0))&gt;0)=0,"",'Dvd Calendar'!$W$1957*1000000000+ISNUMBER('Dvd Calendar'!$W$1960)*100000000+('Dvd Calendar'!$W$1962=SPECIAL_LBL)*10000000+(N('Dvd Calendar'!$W$1956)&gt;0)*(N('Dvd Calendar'!$W$1956)&lt;=VAL_SERIAL)*1000000+37*1000+19))</f>
        <v/>
      </c>
      <c r="EX196" s="39">
        <f>IF(N('Dvd Calendar'!$X$1957)=0,"",IF(('Dvd Calendar'!$X$1957&gt;=GRID_FROM)*('Dvd Calendar'!$X$1957&lt;=GRID_TO)*((('Dvd Calendar'!$X$1957&lt;=VAL_DATE)+(COUNTIF('Dvd Calendar'!$E$1964:$AR$1964,'Dvd Calendar'!$X$1957)=0))&gt;0)=0,"",'Dvd Calendar'!$X$1957*1000000000+ISNUMBER('Dvd Calendar'!$X$1960)*100000000+('Dvd Calendar'!$X$1962=SPECIAL_LBL)*10000000+(N('Dvd Calendar'!$X$1956)&gt;0)*(N('Dvd Calendar'!$X$1956)&lt;=VAL_SERIAL)*1000000+37*1000+20))</f>
        <v/>
      </c>
      <c r="EY196" s="39">
        <f>IF(N('Dvd Calendar'!$Y$1957)=0,"",IF(('Dvd Calendar'!$Y$1957&gt;=GRID_FROM)*('Dvd Calendar'!$Y$1957&lt;=GRID_TO)*((('Dvd Calendar'!$Y$1957&lt;=VAL_DATE)+(COUNTIF('Dvd Calendar'!$E$1964:$AR$1964,'Dvd Calendar'!$Y$1957)=0))&gt;0)=0,"",'Dvd Calendar'!$Y$1957*1000000000+ISNUMBER('Dvd Calendar'!$Y$1960)*100000000+('Dvd Calendar'!$Y$1962=SPECIAL_LBL)*10000000+(N('Dvd Calendar'!$Y$1956)&gt;0)*(N('Dvd Calendar'!$Y$1956)&lt;=VAL_SERIAL)*1000000+37*1000+21))</f>
        <v/>
      </c>
      <c r="EZ196" s="39">
        <f>IF(N('Dvd Calendar'!$Z$1957)=0,"",IF(('Dvd Calendar'!$Z$1957&gt;=GRID_FROM)*('Dvd Calendar'!$Z$1957&lt;=GRID_TO)*((('Dvd Calendar'!$Z$1957&lt;=VAL_DATE)+(COUNTIF('Dvd Calendar'!$E$1964:$AR$1964,'Dvd Calendar'!$Z$1957)=0))&gt;0)=0,"",'Dvd Calendar'!$Z$1957*1000000000+ISNUMBER('Dvd Calendar'!$Z$1960)*100000000+('Dvd Calendar'!$Z$1962=SPECIAL_LBL)*10000000+(N('Dvd Calendar'!$Z$1956)&gt;0)*(N('Dvd Calendar'!$Z$1956)&lt;=VAL_SERIAL)*1000000+37*1000+22))</f>
        <v/>
      </c>
      <c r="FA196" s="39">
        <f>IF(N('Dvd Calendar'!$AA$1957)=0,"",IF(('Dvd Calendar'!$AA$1957&gt;=GRID_FROM)*('Dvd Calendar'!$AA$1957&lt;=GRID_TO)*((('Dvd Calendar'!$AA$1957&lt;=VAL_DATE)+(COUNTIF('Dvd Calendar'!$E$1964:$AR$1964,'Dvd Calendar'!$AA$1957)=0))&gt;0)=0,"",'Dvd Calendar'!$AA$1957*1000000000+ISNUMBER('Dvd Calendar'!$AA$1960)*100000000+('Dvd Calendar'!$AA$1962=SPECIAL_LBL)*10000000+(N('Dvd Calendar'!$AA$1956)&gt;0)*(N('Dvd Calendar'!$AA$1956)&lt;=VAL_SERIAL)*1000000+37*1000+23))</f>
        <v/>
      </c>
      <c r="FB196" s="39">
        <f>IF(N('Dvd Calendar'!$AB$1957)=0,"",IF(('Dvd Calendar'!$AB$1957&gt;=GRID_FROM)*('Dvd Calendar'!$AB$1957&lt;=GRID_TO)*((('Dvd Calendar'!$AB$1957&lt;=VAL_DATE)+(COUNTIF('Dvd Calendar'!$E$1964:$AR$1964,'Dvd Calendar'!$AB$1957)=0))&gt;0)=0,"",'Dvd Calendar'!$AB$1957*1000000000+ISNUMBER('Dvd Calendar'!$AB$1960)*100000000+('Dvd Calendar'!$AB$1962=SPECIAL_LBL)*10000000+(N('Dvd Calendar'!$AB$1956)&gt;0)*(N('Dvd Calendar'!$AB$1956)&lt;=VAL_SERIAL)*1000000+37*1000+24))</f>
        <v/>
      </c>
      <c r="FC196" s="39">
        <f>IF(N('Dvd Calendar'!$AC$1957)=0,"",IF(('Dvd Calendar'!$AC$1957&gt;=GRID_FROM)*('Dvd Calendar'!$AC$1957&lt;=GRID_TO)*((('Dvd Calendar'!$AC$1957&lt;=VAL_DATE)+(COUNTIF('Dvd Calendar'!$E$1964:$AR$1964,'Dvd Calendar'!$AC$1957)=0))&gt;0)=0,"",'Dvd Calendar'!$AC$1957*1000000000+ISNUMBER('Dvd Calendar'!$AC$1960)*100000000+('Dvd Calendar'!$AC$1962=SPECIAL_LBL)*10000000+(N('Dvd Calendar'!$AC$1956)&gt;0)*(N('Dvd Calendar'!$AC$1956)&lt;=VAL_SERIAL)*1000000+37*1000+25))</f>
        <v/>
      </c>
      <c r="FD196" s="39">
        <f>IF(N('Dvd Calendar'!$AD$1957)=0,"",IF(('Dvd Calendar'!$AD$1957&gt;=GRID_FROM)*('Dvd Calendar'!$AD$1957&lt;=GRID_TO)*((('Dvd Calendar'!$AD$1957&lt;=VAL_DATE)+(COUNTIF('Dvd Calendar'!$E$1964:$AR$1964,'Dvd Calendar'!$AD$1957)=0))&gt;0)=0,"",'Dvd Calendar'!$AD$1957*1000000000+ISNUMBER('Dvd Calendar'!$AD$1960)*100000000+('Dvd Calendar'!$AD$1962=SPECIAL_LBL)*10000000+(N('Dvd Calendar'!$AD$1956)&gt;0)*(N('Dvd Calendar'!$AD$1956)&lt;=VAL_SERIAL)*1000000+37*1000+26))</f>
        <v/>
      </c>
      <c r="FE196" s="39">
        <f>IF(N('Dvd Calendar'!$AE$1957)=0,"",IF(('Dvd Calendar'!$AE$1957&gt;=GRID_FROM)*('Dvd Calendar'!$AE$1957&lt;=GRID_TO)*((('Dvd Calendar'!$AE$1957&lt;=VAL_DATE)+(COUNTIF('Dvd Calendar'!$E$1964:$AR$1964,'Dvd Calendar'!$AE$1957)=0))&gt;0)=0,"",'Dvd Calendar'!$AE$1957*1000000000+ISNUMBER('Dvd Calendar'!$AE$1960)*100000000+('Dvd Calendar'!$AE$1962=SPECIAL_LBL)*10000000+(N('Dvd Calendar'!$AE$1956)&gt;0)*(N('Dvd Calendar'!$AE$1956)&lt;=VAL_SERIAL)*1000000+37*1000+27))</f>
        <v/>
      </c>
      <c r="FF196" s="39">
        <f>IF(N('Dvd Calendar'!$AF$1957)=0,"",IF(('Dvd Calendar'!$AF$1957&gt;=GRID_FROM)*('Dvd Calendar'!$AF$1957&lt;=GRID_TO)*((('Dvd Calendar'!$AF$1957&lt;=VAL_DATE)+(COUNTIF('Dvd Calendar'!$E$1964:$AR$1964,'Dvd Calendar'!$AF$1957)=0))&gt;0)=0,"",'Dvd Calendar'!$AF$1957*1000000000+ISNUMBER('Dvd Calendar'!$AF$1960)*100000000+('Dvd Calendar'!$AF$1962=SPECIAL_LBL)*10000000+(N('Dvd Calendar'!$AF$1956)&gt;0)*(N('Dvd Calendar'!$AF$1956)&lt;=VAL_SERIAL)*1000000+37*1000+28))</f>
        <v/>
      </c>
      <c r="FG196" s="39">
        <f>IF(N('Dvd Calendar'!$AG$1957)=0,"",IF(('Dvd Calendar'!$AG$1957&gt;=GRID_FROM)*('Dvd Calendar'!$AG$1957&lt;=GRID_TO)*((('Dvd Calendar'!$AG$1957&lt;=VAL_DATE)+(COUNTIF('Dvd Calendar'!$E$1964:$AR$1964,'Dvd Calendar'!$AG$1957)=0))&gt;0)=0,"",'Dvd Calendar'!$AG$1957*1000000000+ISNUMBER('Dvd Calendar'!$AG$1960)*100000000+('Dvd Calendar'!$AG$1962=SPECIAL_LBL)*10000000+(N('Dvd Calendar'!$AG$1956)&gt;0)*(N('Dvd Calendar'!$AG$1956)&lt;=VAL_SERIAL)*1000000+37*1000+29))</f>
        <v/>
      </c>
      <c r="FH196" s="39">
        <f>IF(N('Dvd Calendar'!$AH$1957)=0,"",IF(('Dvd Calendar'!$AH$1957&gt;=GRID_FROM)*('Dvd Calendar'!$AH$1957&lt;=GRID_TO)*((('Dvd Calendar'!$AH$1957&lt;=VAL_DATE)+(COUNTIF('Dvd Calendar'!$E$1964:$AR$1964,'Dvd Calendar'!$AH$1957)=0))&gt;0)=0,"",'Dvd Calendar'!$AH$1957*1000000000+ISNUMBER('Dvd Calendar'!$AH$1960)*100000000+('Dvd Calendar'!$AH$1962=SPECIAL_LBL)*10000000+(N('Dvd Calendar'!$AH$1956)&gt;0)*(N('Dvd Calendar'!$AH$1956)&lt;=VAL_SERIAL)*1000000+37*1000+30))</f>
        <v/>
      </c>
      <c r="FI196" s="39">
        <f>IF(N('Dvd Calendar'!$AI$1957)=0,"",IF(('Dvd Calendar'!$AI$1957&gt;=GRID_FROM)*('Dvd Calendar'!$AI$1957&lt;=GRID_TO)*((('Dvd Calendar'!$AI$1957&lt;=VAL_DATE)+(COUNTIF('Dvd Calendar'!$E$1964:$AR$1964,'Dvd Calendar'!$AI$1957)=0))&gt;0)=0,"",'Dvd Calendar'!$AI$1957*1000000000+ISNUMBER('Dvd Calendar'!$AI$1960)*100000000+('Dvd Calendar'!$AI$1962=SPECIAL_LBL)*10000000+(N('Dvd Calendar'!$AI$1956)&gt;0)*(N('Dvd Calendar'!$AI$1956)&lt;=VAL_SERIAL)*1000000+37*1000+31))</f>
        <v/>
      </c>
      <c r="FJ196" s="39">
        <f>IF(N('Dvd Calendar'!$AJ$1957)=0,"",IF(('Dvd Calendar'!$AJ$1957&gt;=GRID_FROM)*('Dvd Calendar'!$AJ$1957&lt;=GRID_TO)*((('Dvd Calendar'!$AJ$1957&lt;=VAL_DATE)+(COUNTIF('Dvd Calendar'!$E$1964:$AR$1964,'Dvd Calendar'!$AJ$1957)=0))&gt;0)=0,"",'Dvd Calendar'!$AJ$1957*1000000000+ISNUMBER('Dvd Calendar'!$AJ$1960)*100000000+('Dvd Calendar'!$AJ$1962=SPECIAL_LBL)*10000000+(N('Dvd Calendar'!$AJ$1956)&gt;0)*(N('Dvd Calendar'!$AJ$1956)&lt;=VAL_SERIAL)*1000000+37*1000+32))</f>
        <v/>
      </c>
      <c r="FK196" s="39">
        <f>IF(N('Dvd Calendar'!$AK$1957)=0,"",IF(('Dvd Calendar'!$AK$1957&gt;=GRID_FROM)*('Dvd Calendar'!$AK$1957&lt;=GRID_TO)*((('Dvd Calendar'!$AK$1957&lt;=VAL_DATE)+(COUNTIF('Dvd Calendar'!$E$1964:$AR$1964,'Dvd Calendar'!$AK$1957)=0))&gt;0)=0,"",'Dvd Calendar'!$AK$1957*1000000000+ISNUMBER('Dvd Calendar'!$AK$1960)*100000000+('Dvd Calendar'!$AK$1962=SPECIAL_LBL)*10000000+(N('Dvd Calendar'!$AK$1956)&gt;0)*(N('Dvd Calendar'!$AK$1956)&lt;=VAL_SERIAL)*1000000+37*1000+33))</f>
        <v/>
      </c>
      <c r="FL196" s="39">
        <f>IF(N('Dvd Calendar'!$AL$1957)=0,"",IF(('Dvd Calendar'!$AL$1957&gt;=GRID_FROM)*('Dvd Calendar'!$AL$1957&lt;=GRID_TO)*((('Dvd Calendar'!$AL$1957&lt;=VAL_DATE)+(COUNTIF('Dvd Calendar'!$E$1964:$AR$1964,'Dvd Calendar'!$AL$1957)=0))&gt;0)=0,"",'Dvd Calendar'!$AL$1957*1000000000+ISNUMBER('Dvd Calendar'!$AL$1960)*100000000+('Dvd Calendar'!$AL$1962=SPECIAL_LBL)*10000000+(N('Dvd Calendar'!$AL$1956)&gt;0)*(N('Dvd Calendar'!$AL$1956)&lt;=VAL_SERIAL)*1000000+37*1000+34))</f>
        <v/>
      </c>
      <c r="FM196" s="39">
        <f>IF(N('Dvd Calendar'!$AM$1957)=0,"",IF(('Dvd Calendar'!$AM$1957&gt;=GRID_FROM)*('Dvd Calendar'!$AM$1957&lt;=GRID_TO)*((('Dvd Calendar'!$AM$1957&lt;=VAL_DATE)+(COUNTIF('Dvd Calendar'!$E$1964:$AR$1964,'Dvd Calendar'!$AM$1957)=0))&gt;0)=0,"",'Dvd Calendar'!$AM$1957*1000000000+ISNUMBER('Dvd Calendar'!$AM$1960)*100000000+('Dvd Calendar'!$AM$1962=SPECIAL_LBL)*10000000+(N('Dvd Calendar'!$AM$1956)&gt;0)*(N('Dvd Calendar'!$AM$1956)&lt;=VAL_SERIAL)*1000000+37*1000+35))</f>
        <v/>
      </c>
      <c r="FN196" s="39">
        <f>IF(N('Dvd Calendar'!$AN$1957)=0,"",IF(('Dvd Calendar'!$AN$1957&gt;=GRID_FROM)*('Dvd Calendar'!$AN$1957&lt;=GRID_TO)*((('Dvd Calendar'!$AN$1957&lt;=VAL_DATE)+(COUNTIF('Dvd Calendar'!$E$1964:$AR$1964,'Dvd Calendar'!$AN$1957)=0))&gt;0)=0,"",'Dvd Calendar'!$AN$1957*1000000000+ISNUMBER('Dvd Calendar'!$AN$1960)*100000000+('Dvd Calendar'!$AN$1962=SPECIAL_LBL)*10000000+(N('Dvd Calendar'!$AN$1956)&gt;0)*(N('Dvd Calendar'!$AN$1956)&lt;=VAL_SERIAL)*1000000+37*1000+36))</f>
        <v/>
      </c>
      <c r="FO196" s="39">
        <f>IF(N('Dvd Calendar'!$AO$1957)=0,"",IF(('Dvd Calendar'!$AO$1957&gt;=GRID_FROM)*('Dvd Calendar'!$AO$1957&lt;=GRID_TO)*((('Dvd Calendar'!$AO$1957&lt;=VAL_DATE)+(COUNTIF('Dvd Calendar'!$E$1964:$AR$1964,'Dvd Calendar'!$AO$1957)=0))&gt;0)=0,"",'Dvd Calendar'!$AO$1957*1000000000+ISNUMBER('Dvd Calendar'!$AO$1960)*100000000+('Dvd Calendar'!$AO$1962=SPECIAL_LBL)*10000000+(N('Dvd Calendar'!$AO$1956)&gt;0)*(N('Dvd Calendar'!$AO$1956)&lt;=VAL_SERIAL)*1000000+37*1000+37))</f>
        <v/>
      </c>
      <c r="FP196" s="39">
        <f>IF(N('Dvd Calendar'!$AP$1957)=0,"",IF(('Dvd Calendar'!$AP$1957&gt;=GRID_FROM)*('Dvd Calendar'!$AP$1957&lt;=GRID_TO)*((('Dvd Calendar'!$AP$1957&lt;=VAL_DATE)+(COUNTIF('Dvd Calendar'!$E$1964:$AR$1964,'Dvd Calendar'!$AP$1957)=0))&gt;0)=0,"",'Dvd Calendar'!$AP$1957*1000000000+ISNUMBER('Dvd Calendar'!$AP$1960)*100000000+('Dvd Calendar'!$AP$1962=SPECIAL_LBL)*10000000+(N('Dvd Calendar'!$AP$1956)&gt;0)*(N('Dvd Calendar'!$AP$1956)&lt;=VAL_SERIAL)*1000000+37*1000+38))</f>
        <v/>
      </c>
      <c r="FQ196" s="39">
        <f>IF(N('Dvd Calendar'!$AQ$1957)=0,"",IF(('Dvd Calendar'!$AQ$1957&gt;=GRID_FROM)*('Dvd Calendar'!$AQ$1957&lt;=GRID_TO)*((('Dvd Calendar'!$AQ$1957&lt;=VAL_DATE)+(COUNTIF('Dvd Calendar'!$E$1964:$AR$1964,'Dvd Calendar'!$AQ$1957)=0))&gt;0)=0,"",'Dvd Calendar'!$AQ$1957*1000000000+ISNUMBER('Dvd Calendar'!$AQ$1960)*100000000+('Dvd Calendar'!$AQ$1962=SPECIAL_LBL)*10000000+(N('Dvd Calendar'!$AQ$1956)&gt;0)*(N('Dvd Calendar'!$AQ$1956)&lt;=VAL_SERIAL)*1000000+37*1000+39))</f>
        <v/>
      </c>
      <c r="FR196" s="39">
        <f>IF(N('Dvd Calendar'!$AR$1957)=0,"",IF(('Dvd Calendar'!$AR$1957&gt;=GRID_FROM)*('Dvd Calendar'!$AR$1957&lt;=GRID_TO)*((('Dvd Calendar'!$AR$1957&lt;=VAL_DATE)+(COUNTIF('Dvd Calendar'!$E$1964:$AR$1964,'Dvd Calendar'!$AR$1957)=0))&gt;0)=0,"",'Dvd Calendar'!$AR$1957*1000000000+ISNUMBER('Dvd Calendar'!$AR$1960)*100000000+('Dvd Calendar'!$AR$1962=SPECIAL_LBL)*10000000+(N('Dvd Calendar'!$AR$1956)&gt;0)*(N('Dvd Calendar'!$AR$1956)&lt;=VAL_SERIAL)*1000000+37*1000+40))</f>
        <v/>
      </c>
      <c r="FS196" s="39">
        <f>IF(N('Dvd Calendar'!$E$1964)=0,"",IF(('Dvd Calendar'!$E$1964&gt;=GRID_FROM)*('Dvd Calendar'!$E$1964&lt;=GRID_TO)*('Dvd Calendar'!$E$1964&gt;VAL_DATE)=0,"",'Dvd Calendar'!$E$1964*1000000000+ISNUMBER('Dvd Calendar'!$E$1965)*100000000+0*10000000+(N('Dvd Calendar'!$E$1963)&gt;0)*(N('Dvd Calendar'!$E$1963)&lt;=VAL_SERIAL)*1000000+37*1000+41))</f>
        <v/>
      </c>
      <c r="FT196" s="39">
        <f>IF(N('Dvd Calendar'!$F$1964)=0,"",IF(('Dvd Calendar'!$F$1964&gt;=GRID_FROM)*('Dvd Calendar'!$F$1964&lt;=GRID_TO)*('Dvd Calendar'!$F$1964&gt;VAL_DATE)=0,"",'Dvd Calendar'!$F$1964*1000000000+ISNUMBER('Dvd Calendar'!$F$1965)*100000000+0*10000000+(N('Dvd Calendar'!$F$1963)&gt;0)*(N('Dvd Calendar'!$F$1963)&lt;=VAL_SERIAL)*1000000+37*1000+42))</f>
        <v/>
      </c>
      <c r="FU196" s="39">
        <f>IF(N('Dvd Calendar'!$G$1964)=0,"",IF(('Dvd Calendar'!$G$1964&gt;=GRID_FROM)*('Dvd Calendar'!$G$1964&lt;=GRID_TO)*('Dvd Calendar'!$G$1964&gt;VAL_DATE)=0,"",'Dvd Calendar'!$G$1964*1000000000+ISNUMBER('Dvd Calendar'!$G$1965)*100000000+0*10000000+(N('Dvd Calendar'!$G$1963)&gt;0)*(N('Dvd Calendar'!$G$1963)&lt;=VAL_SERIAL)*1000000+37*1000+43))</f>
        <v/>
      </c>
      <c r="FV196" s="39">
        <f>IF(N('Dvd Calendar'!$H$1964)=0,"",IF(('Dvd Calendar'!$H$1964&gt;=GRID_FROM)*('Dvd Calendar'!$H$1964&lt;=GRID_TO)*('Dvd Calendar'!$H$1964&gt;VAL_DATE)=0,"",'Dvd Calendar'!$H$1964*1000000000+ISNUMBER('Dvd Calendar'!$H$1965)*100000000+0*10000000+(N('Dvd Calendar'!$H$1963)&gt;0)*(N('Dvd Calendar'!$H$1963)&lt;=VAL_SERIAL)*1000000+37*1000+44))</f>
        <v/>
      </c>
      <c r="FW196" s="39">
        <f>IF(N('Dvd Calendar'!$I$1964)=0,"",IF(('Dvd Calendar'!$I$1964&gt;=GRID_FROM)*('Dvd Calendar'!$I$1964&lt;=GRID_TO)*('Dvd Calendar'!$I$1964&gt;VAL_DATE)=0,"",'Dvd Calendar'!$I$1964*1000000000+ISNUMBER('Dvd Calendar'!$I$1965)*100000000+0*10000000+(N('Dvd Calendar'!$I$1963)&gt;0)*(N('Dvd Calendar'!$I$1963)&lt;=VAL_SERIAL)*1000000+37*1000+45))</f>
        <v/>
      </c>
      <c r="FX196" s="39">
        <f>IF(N('Dvd Calendar'!$J$1964)=0,"",IF(('Dvd Calendar'!$J$1964&gt;=GRID_FROM)*('Dvd Calendar'!$J$1964&lt;=GRID_TO)*('Dvd Calendar'!$J$1964&gt;VAL_DATE)=0,"",'Dvd Calendar'!$J$1964*1000000000+ISNUMBER('Dvd Calendar'!$J$1965)*100000000+0*10000000+(N('Dvd Calendar'!$J$1963)&gt;0)*(N('Dvd Calendar'!$J$1963)&lt;=VAL_SERIAL)*1000000+37*1000+46))</f>
        <v/>
      </c>
      <c r="FY196" s="39">
        <f>IF(N('Dvd Calendar'!$K$1964)=0,"",IF(('Dvd Calendar'!$K$1964&gt;=GRID_FROM)*('Dvd Calendar'!$K$1964&lt;=GRID_TO)*('Dvd Calendar'!$K$1964&gt;VAL_DATE)=0,"",'Dvd Calendar'!$K$1964*1000000000+ISNUMBER('Dvd Calendar'!$K$1965)*100000000+0*10000000+(N('Dvd Calendar'!$K$1963)&gt;0)*(N('Dvd Calendar'!$K$1963)&lt;=VAL_SERIAL)*1000000+37*1000+47))</f>
        <v/>
      </c>
      <c r="FZ196" s="39">
        <f>IF(N('Dvd Calendar'!$L$1964)=0,"",IF(('Dvd Calendar'!$L$1964&gt;=GRID_FROM)*('Dvd Calendar'!$L$1964&lt;=GRID_TO)*('Dvd Calendar'!$L$1964&gt;VAL_DATE)=0,"",'Dvd Calendar'!$L$1964*1000000000+ISNUMBER('Dvd Calendar'!$L$1965)*100000000+0*10000000+(N('Dvd Calendar'!$L$1963)&gt;0)*(N('Dvd Calendar'!$L$1963)&lt;=VAL_SERIAL)*1000000+37*1000+48))</f>
        <v/>
      </c>
      <c r="GA196" s="39">
        <f>IF(N('Dvd Calendar'!$M$1964)=0,"",IF(('Dvd Calendar'!$M$1964&gt;=GRID_FROM)*('Dvd Calendar'!$M$1964&lt;=GRID_TO)*('Dvd Calendar'!$M$1964&gt;VAL_DATE)=0,"",'Dvd Calendar'!$M$1964*1000000000+ISNUMBER('Dvd Calendar'!$M$1965)*100000000+0*10000000+(N('Dvd Calendar'!$M$1963)&gt;0)*(N('Dvd Calendar'!$M$1963)&lt;=VAL_SERIAL)*1000000+37*1000+49))</f>
        <v/>
      </c>
      <c r="GB196" s="39">
        <f>IF(N('Dvd Calendar'!$N$1964)=0,"",IF(('Dvd Calendar'!$N$1964&gt;=GRID_FROM)*('Dvd Calendar'!$N$1964&lt;=GRID_TO)*('Dvd Calendar'!$N$1964&gt;VAL_DATE)=0,"",'Dvd Calendar'!$N$1964*1000000000+ISNUMBER('Dvd Calendar'!$N$1965)*100000000+0*10000000+(N('Dvd Calendar'!$N$1963)&gt;0)*(N('Dvd Calendar'!$N$1963)&lt;=VAL_SERIAL)*1000000+37*1000+50))</f>
        <v/>
      </c>
      <c r="GC196" s="39">
        <f>IF(N('Dvd Calendar'!$O$1964)=0,"",IF(('Dvd Calendar'!$O$1964&gt;=GRID_FROM)*('Dvd Calendar'!$O$1964&lt;=GRID_TO)*('Dvd Calendar'!$O$1964&gt;VAL_DATE)=0,"",'Dvd Calendar'!$O$1964*1000000000+ISNUMBER('Dvd Calendar'!$O$1965)*100000000+0*10000000+(N('Dvd Calendar'!$O$1963)&gt;0)*(N('Dvd Calendar'!$O$1963)&lt;=VAL_SERIAL)*1000000+37*1000+51))</f>
        <v/>
      </c>
      <c r="GD196" s="39">
        <f>IF(N('Dvd Calendar'!$P$1964)=0,"",IF(('Dvd Calendar'!$P$1964&gt;=GRID_FROM)*('Dvd Calendar'!$P$1964&lt;=GRID_TO)*('Dvd Calendar'!$P$1964&gt;VAL_DATE)=0,"",'Dvd Calendar'!$P$1964*1000000000+ISNUMBER('Dvd Calendar'!$P$1965)*100000000+0*10000000+(N('Dvd Calendar'!$P$1963)&gt;0)*(N('Dvd Calendar'!$P$1963)&lt;=VAL_SERIAL)*1000000+37*1000+52))</f>
        <v/>
      </c>
      <c r="GE196" s="39">
        <f>IF(N('Dvd Calendar'!$Q$1964)=0,"",IF(('Dvd Calendar'!$Q$1964&gt;=GRID_FROM)*('Dvd Calendar'!$Q$1964&lt;=GRID_TO)*('Dvd Calendar'!$Q$1964&gt;VAL_DATE)=0,"",'Dvd Calendar'!$Q$1964*1000000000+ISNUMBER('Dvd Calendar'!$Q$1965)*100000000+0*10000000+(N('Dvd Calendar'!$Q$1963)&gt;0)*(N('Dvd Calendar'!$Q$1963)&lt;=VAL_SERIAL)*1000000+37*1000+53))</f>
        <v/>
      </c>
      <c r="GF196" s="39">
        <f>IF(N('Dvd Calendar'!$R$1964)=0,"",IF(('Dvd Calendar'!$R$1964&gt;=GRID_FROM)*('Dvd Calendar'!$R$1964&lt;=GRID_TO)*('Dvd Calendar'!$R$1964&gt;VAL_DATE)=0,"",'Dvd Calendar'!$R$1964*1000000000+ISNUMBER('Dvd Calendar'!$R$1965)*100000000+0*10000000+(N('Dvd Calendar'!$R$1963)&gt;0)*(N('Dvd Calendar'!$R$1963)&lt;=VAL_SERIAL)*1000000+37*1000+54))</f>
        <v/>
      </c>
      <c r="GG196" s="39">
        <f>IF(N('Dvd Calendar'!$S$1964)=0,"",IF(('Dvd Calendar'!$S$1964&gt;=GRID_FROM)*('Dvd Calendar'!$S$1964&lt;=GRID_TO)*('Dvd Calendar'!$S$1964&gt;VAL_DATE)=0,"",'Dvd Calendar'!$S$1964*1000000000+ISNUMBER('Dvd Calendar'!$S$1965)*100000000+0*10000000+(N('Dvd Calendar'!$S$1963)&gt;0)*(N('Dvd Calendar'!$S$1963)&lt;=VAL_SERIAL)*1000000+37*1000+55))</f>
        <v/>
      </c>
      <c r="GH196" s="39">
        <f>IF(N('Dvd Calendar'!$T$1964)=0,"",IF(('Dvd Calendar'!$T$1964&gt;=GRID_FROM)*('Dvd Calendar'!$T$1964&lt;=GRID_TO)*('Dvd Calendar'!$T$1964&gt;VAL_DATE)=0,"",'Dvd Calendar'!$T$1964*1000000000+ISNUMBER('Dvd Calendar'!$T$1965)*100000000+0*10000000+(N('Dvd Calendar'!$T$1963)&gt;0)*(N('Dvd Calendar'!$T$1963)&lt;=VAL_SERIAL)*1000000+37*1000+56))</f>
        <v/>
      </c>
      <c r="GI196" s="39">
        <f>IF(N('Dvd Calendar'!$U$1964)=0,"",IF(('Dvd Calendar'!$U$1964&gt;=GRID_FROM)*('Dvd Calendar'!$U$1964&lt;=GRID_TO)*('Dvd Calendar'!$U$1964&gt;VAL_DATE)=0,"",'Dvd Calendar'!$U$1964*1000000000+ISNUMBER('Dvd Calendar'!$U$1965)*100000000+0*10000000+(N('Dvd Calendar'!$U$1963)&gt;0)*(N('Dvd Calendar'!$U$1963)&lt;=VAL_SERIAL)*1000000+37*1000+57))</f>
        <v/>
      </c>
      <c r="GJ196" s="39">
        <f>IF(N('Dvd Calendar'!$V$1964)=0,"",IF(('Dvd Calendar'!$V$1964&gt;=GRID_FROM)*('Dvd Calendar'!$V$1964&lt;=GRID_TO)*('Dvd Calendar'!$V$1964&gt;VAL_DATE)=0,"",'Dvd Calendar'!$V$1964*1000000000+ISNUMBER('Dvd Calendar'!$V$1965)*100000000+0*10000000+(N('Dvd Calendar'!$V$1963)&gt;0)*(N('Dvd Calendar'!$V$1963)&lt;=VAL_SERIAL)*1000000+37*1000+58))</f>
        <v/>
      </c>
      <c r="GK196" s="39">
        <f>IF(N('Dvd Calendar'!$W$1964)=0,"",IF(('Dvd Calendar'!$W$1964&gt;=GRID_FROM)*('Dvd Calendar'!$W$1964&lt;=GRID_TO)*('Dvd Calendar'!$W$1964&gt;VAL_DATE)=0,"",'Dvd Calendar'!$W$1964*1000000000+ISNUMBER('Dvd Calendar'!$W$1965)*100000000+0*10000000+(N('Dvd Calendar'!$W$1963)&gt;0)*(N('Dvd Calendar'!$W$1963)&lt;=VAL_SERIAL)*1000000+37*1000+59))</f>
        <v/>
      </c>
      <c r="GL196" s="39">
        <f>IF(N('Dvd Calendar'!$X$1964)=0,"",IF(('Dvd Calendar'!$X$1964&gt;=GRID_FROM)*('Dvd Calendar'!$X$1964&lt;=GRID_TO)*('Dvd Calendar'!$X$1964&gt;VAL_DATE)=0,"",'Dvd Calendar'!$X$1964*1000000000+ISNUMBER('Dvd Calendar'!$X$1965)*100000000+0*10000000+(N('Dvd Calendar'!$X$1963)&gt;0)*(N('Dvd Calendar'!$X$1963)&lt;=VAL_SERIAL)*1000000+37*1000+60))</f>
        <v/>
      </c>
      <c r="GM196" s="39">
        <f>IF(N('Dvd Calendar'!$Y$1964)=0,"",IF(('Dvd Calendar'!$Y$1964&gt;=GRID_FROM)*('Dvd Calendar'!$Y$1964&lt;=GRID_TO)*('Dvd Calendar'!$Y$1964&gt;VAL_DATE)=0,"",'Dvd Calendar'!$Y$1964*1000000000+ISNUMBER('Dvd Calendar'!$Y$1965)*100000000+0*10000000+(N('Dvd Calendar'!$Y$1963)&gt;0)*(N('Dvd Calendar'!$Y$1963)&lt;=VAL_SERIAL)*1000000+37*1000+61))</f>
        <v/>
      </c>
      <c r="GN196" s="39">
        <f>IF(N('Dvd Calendar'!$Z$1964)=0,"",IF(('Dvd Calendar'!$Z$1964&gt;=GRID_FROM)*('Dvd Calendar'!$Z$1964&lt;=GRID_TO)*('Dvd Calendar'!$Z$1964&gt;VAL_DATE)=0,"",'Dvd Calendar'!$Z$1964*1000000000+ISNUMBER('Dvd Calendar'!$Z$1965)*100000000+0*10000000+(N('Dvd Calendar'!$Z$1963)&gt;0)*(N('Dvd Calendar'!$Z$1963)&lt;=VAL_SERIAL)*1000000+37*1000+62))</f>
        <v/>
      </c>
      <c r="GO196" s="39">
        <f>IF(N('Dvd Calendar'!$AA$1964)=0,"",IF(('Dvd Calendar'!$AA$1964&gt;=GRID_FROM)*('Dvd Calendar'!$AA$1964&lt;=GRID_TO)*('Dvd Calendar'!$AA$1964&gt;VAL_DATE)=0,"",'Dvd Calendar'!$AA$1964*1000000000+ISNUMBER('Dvd Calendar'!$AA$1965)*100000000+0*10000000+(N('Dvd Calendar'!$AA$1963)&gt;0)*(N('Dvd Calendar'!$AA$1963)&lt;=VAL_SERIAL)*1000000+37*1000+63))</f>
        <v/>
      </c>
      <c r="GP196" s="39">
        <f>IF(N('Dvd Calendar'!$AB$1964)=0,"",IF(('Dvd Calendar'!$AB$1964&gt;=GRID_FROM)*('Dvd Calendar'!$AB$1964&lt;=GRID_TO)*('Dvd Calendar'!$AB$1964&gt;VAL_DATE)=0,"",'Dvd Calendar'!$AB$1964*1000000000+ISNUMBER('Dvd Calendar'!$AB$1965)*100000000+0*10000000+(N('Dvd Calendar'!$AB$1963)&gt;0)*(N('Dvd Calendar'!$AB$1963)&lt;=VAL_SERIAL)*1000000+37*1000+64))</f>
        <v/>
      </c>
      <c r="GQ196" s="39">
        <f>IF(N('Dvd Calendar'!$AC$1964)=0,"",IF(('Dvd Calendar'!$AC$1964&gt;=GRID_FROM)*('Dvd Calendar'!$AC$1964&lt;=GRID_TO)*('Dvd Calendar'!$AC$1964&gt;VAL_DATE)=0,"",'Dvd Calendar'!$AC$1964*1000000000+ISNUMBER('Dvd Calendar'!$AC$1965)*100000000+0*10000000+(N('Dvd Calendar'!$AC$1963)&gt;0)*(N('Dvd Calendar'!$AC$1963)&lt;=VAL_SERIAL)*1000000+37*1000+65))</f>
        <v/>
      </c>
    </row>
    <row r="197">
      <c r="B197" s="2">
        <f>IF(HSCEI!$C$44="","",HSCEI!$C$44)</f>
        <v/>
      </c>
      <c r="C197" s="110">
        <f>IF(EE197="","",IF(ISNUMBER('Dvd Calendar'!$E$1971)=FALSE,"",IF((('Dvd Calendar'!$E$1973=TYPE1)*(TYPE1&lt;&gt;"")+('Dvd Calendar'!$E$1973=TYPE2)*(TYPE2&lt;&gt;"")+('Dvd Calendar'!$E$1973=TYPE3)*(TYPE3&lt;&gt;"")+('Dvd Calendar'!$E$1973=TYPE4)*(TYPE4&lt;&gt;"")+('Dvd Calendar'!$E$1973=SPECIAL_LBL)*(INC_SPECIALS="Y"))=0,"",'Dvd Calendar'!$E$1971)))</f>
        <v/>
      </c>
      <c r="D197" s="110">
        <f>IF(EF197="","",IF(ISNUMBER('Dvd Calendar'!$F$1971)=FALSE,"",IF((('Dvd Calendar'!$F$1973=TYPE1)*(TYPE1&lt;&gt;"")+('Dvd Calendar'!$F$1973=TYPE2)*(TYPE2&lt;&gt;"")+('Dvd Calendar'!$F$1973=TYPE3)*(TYPE3&lt;&gt;"")+('Dvd Calendar'!$F$1973=TYPE4)*(TYPE4&lt;&gt;"")+('Dvd Calendar'!$F$1973=SPECIAL_LBL)*(INC_SPECIALS="Y"))=0,"",'Dvd Calendar'!$F$1971)))</f>
        <v/>
      </c>
      <c r="E197" s="110">
        <f>IF(EG197="","",IF(ISNUMBER('Dvd Calendar'!$G$1971)=FALSE,"",IF((('Dvd Calendar'!$G$1973=TYPE1)*(TYPE1&lt;&gt;"")+('Dvd Calendar'!$G$1973=TYPE2)*(TYPE2&lt;&gt;"")+('Dvd Calendar'!$G$1973=TYPE3)*(TYPE3&lt;&gt;"")+('Dvd Calendar'!$G$1973=TYPE4)*(TYPE4&lt;&gt;"")+('Dvd Calendar'!$G$1973=SPECIAL_LBL)*(INC_SPECIALS="Y"))=0,"",'Dvd Calendar'!$G$1971)))</f>
        <v/>
      </c>
      <c r="F197" s="110">
        <f>IF(EH197="","",IF(ISNUMBER('Dvd Calendar'!$H$1971)=FALSE,"",IF((('Dvd Calendar'!$H$1973=TYPE1)*(TYPE1&lt;&gt;"")+('Dvd Calendar'!$H$1973=TYPE2)*(TYPE2&lt;&gt;"")+('Dvd Calendar'!$H$1973=TYPE3)*(TYPE3&lt;&gt;"")+('Dvd Calendar'!$H$1973=TYPE4)*(TYPE4&lt;&gt;"")+('Dvd Calendar'!$H$1973=SPECIAL_LBL)*(INC_SPECIALS="Y"))=0,"",'Dvd Calendar'!$H$1971)))</f>
        <v/>
      </c>
      <c r="G197" s="110">
        <f>IF(EI197="","",IF(ISNUMBER('Dvd Calendar'!$I$1971)=FALSE,"",IF((('Dvd Calendar'!$I$1973=TYPE1)*(TYPE1&lt;&gt;"")+('Dvd Calendar'!$I$1973=TYPE2)*(TYPE2&lt;&gt;"")+('Dvd Calendar'!$I$1973=TYPE3)*(TYPE3&lt;&gt;"")+('Dvd Calendar'!$I$1973=TYPE4)*(TYPE4&lt;&gt;"")+('Dvd Calendar'!$I$1973=SPECIAL_LBL)*(INC_SPECIALS="Y"))=0,"",'Dvd Calendar'!$I$1971)))</f>
        <v/>
      </c>
      <c r="H197" s="110">
        <f>IF(EJ197="","",IF(ISNUMBER('Dvd Calendar'!$J$1971)=FALSE,"",IF((('Dvd Calendar'!$J$1973=TYPE1)*(TYPE1&lt;&gt;"")+('Dvd Calendar'!$J$1973=TYPE2)*(TYPE2&lt;&gt;"")+('Dvd Calendar'!$J$1973=TYPE3)*(TYPE3&lt;&gt;"")+('Dvd Calendar'!$J$1973=TYPE4)*(TYPE4&lt;&gt;"")+('Dvd Calendar'!$J$1973=SPECIAL_LBL)*(INC_SPECIALS="Y"))=0,"",'Dvd Calendar'!$J$1971)))</f>
        <v/>
      </c>
      <c r="I197" s="110">
        <f>IF(EK197="","",IF(ISNUMBER('Dvd Calendar'!$K$1971)=FALSE,"",IF((('Dvd Calendar'!$K$1973=TYPE1)*(TYPE1&lt;&gt;"")+('Dvd Calendar'!$K$1973=TYPE2)*(TYPE2&lt;&gt;"")+('Dvd Calendar'!$K$1973=TYPE3)*(TYPE3&lt;&gt;"")+('Dvd Calendar'!$K$1973=TYPE4)*(TYPE4&lt;&gt;"")+('Dvd Calendar'!$K$1973=SPECIAL_LBL)*(INC_SPECIALS="Y"))=0,"",'Dvd Calendar'!$K$1971)))</f>
        <v/>
      </c>
      <c r="J197" s="110">
        <f>IF(EL197="","",IF(ISNUMBER('Dvd Calendar'!$L$1971)=FALSE,"",IF((('Dvd Calendar'!$L$1973=TYPE1)*(TYPE1&lt;&gt;"")+('Dvd Calendar'!$L$1973=TYPE2)*(TYPE2&lt;&gt;"")+('Dvd Calendar'!$L$1973=TYPE3)*(TYPE3&lt;&gt;"")+('Dvd Calendar'!$L$1973=TYPE4)*(TYPE4&lt;&gt;"")+('Dvd Calendar'!$L$1973=SPECIAL_LBL)*(INC_SPECIALS="Y"))=0,"",'Dvd Calendar'!$L$1971)))</f>
        <v/>
      </c>
      <c r="K197" s="110">
        <f>IF(EM197="","",IF(ISNUMBER('Dvd Calendar'!$M$1971)=FALSE,"",IF((('Dvd Calendar'!$M$1973=TYPE1)*(TYPE1&lt;&gt;"")+('Dvd Calendar'!$M$1973=TYPE2)*(TYPE2&lt;&gt;"")+('Dvd Calendar'!$M$1973=TYPE3)*(TYPE3&lt;&gt;"")+('Dvd Calendar'!$M$1973=TYPE4)*(TYPE4&lt;&gt;"")+('Dvd Calendar'!$M$1973=SPECIAL_LBL)*(INC_SPECIALS="Y"))=0,"",'Dvd Calendar'!$M$1971)))</f>
        <v/>
      </c>
      <c r="L197" s="110">
        <f>IF(EN197="","",IF(ISNUMBER('Dvd Calendar'!$N$1971)=FALSE,"",IF((('Dvd Calendar'!$N$1973=TYPE1)*(TYPE1&lt;&gt;"")+('Dvd Calendar'!$N$1973=TYPE2)*(TYPE2&lt;&gt;"")+('Dvd Calendar'!$N$1973=TYPE3)*(TYPE3&lt;&gt;"")+('Dvd Calendar'!$N$1973=TYPE4)*(TYPE4&lt;&gt;"")+('Dvd Calendar'!$N$1973=SPECIAL_LBL)*(INC_SPECIALS="Y"))=0,"",'Dvd Calendar'!$N$1971)))</f>
        <v/>
      </c>
      <c r="M197" s="110">
        <f>IF(EO197="","",IF(ISNUMBER('Dvd Calendar'!$O$1971)=FALSE,"",IF((('Dvd Calendar'!$O$1973=TYPE1)*(TYPE1&lt;&gt;"")+('Dvd Calendar'!$O$1973=TYPE2)*(TYPE2&lt;&gt;"")+('Dvd Calendar'!$O$1973=TYPE3)*(TYPE3&lt;&gt;"")+('Dvd Calendar'!$O$1973=TYPE4)*(TYPE4&lt;&gt;"")+('Dvd Calendar'!$O$1973=SPECIAL_LBL)*(INC_SPECIALS="Y"))=0,"",'Dvd Calendar'!$O$1971)))</f>
        <v/>
      </c>
      <c r="N197" s="110">
        <f>IF(EP197="","",IF(ISNUMBER('Dvd Calendar'!$P$1971)=FALSE,"",IF((('Dvd Calendar'!$P$1973=TYPE1)*(TYPE1&lt;&gt;"")+('Dvd Calendar'!$P$1973=TYPE2)*(TYPE2&lt;&gt;"")+('Dvd Calendar'!$P$1973=TYPE3)*(TYPE3&lt;&gt;"")+('Dvd Calendar'!$P$1973=TYPE4)*(TYPE4&lt;&gt;"")+('Dvd Calendar'!$P$1973=SPECIAL_LBL)*(INC_SPECIALS="Y"))=0,"",'Dvd Calendar'!$P$1971)))</f>
        <v/>
      </c>
      <c r="O197" s="110">
        <f>IF(EQ197="","",IF(ISNUMBER('Dvd Calendar'!$Q$1971)=FALSE,"",IF((('Dvd Calendar'!$Q$1973=TYPE1)*(TYPE1&lt;&gt;"")+('Dvd Calendar'!$Q$1973=TYPE2)*(TYPE2&lt;&gt;"")+('Dvd Calendar'!$Q$1973=TYPE3)*(TYPE3&lt;&gt;"")+('Dvd Calendar'!$Q$1973=TYPE4)*(TYPE4&lt;&gt;"")+('Dvd Calendar'!$Q$1973=SPECIAL_LBL)*(INC_SPECIALS="Y"))=0,"",'Dvd Calendar'!$Q$1971)))</f>
        <v/>
      </c>
      <c r="P197" s="110">
        <f>IF(ER197="","",IF(ISNUMBER('Dvd Calendar'!$R$1971)=FALSE,"",IF((('Dvd Calendar'!$R$1973=TYPE1)*(TYPE1&lt;&gt;"")+('Dvd Calendar'!$R$1973=TYPE2)*(TYPE2&lt;&gt;"")+('Dvd Calendar'!$R$1973=TYPE3)*(TYPE3&lt;&gt;"")+('Dvd Calendar'!$R$1973=TYPE4)*(TYPE4&lt;&gt;"")+('Dvd Calendar'!$R$1973=SPECIAL_LBL)*(INC_SPECIALS="Y"))=0,"",'Dvd Calendar'!$R$1971)))</f>
        <v/>
      </c>
      <c r="Q197" s="110">
        <f>IF(ES197="","",IF(ISNUMBER('Dvd Calendar'!$S$1971)=FALSE,"",IF((('Dvd Calendar'!$S$1973=TYPE1)*(TYPE1&lt;&gt;"")+('Dvd Calendar'!$S$1973=TYPE2)*(TYPE2&lt;&gt;"")+('Dvd Calendar'!$S$1973=TYPE3)*(TYPE3&lt;&gt;"")+('Dvd Calendar'!$S$1973=TYPE4)*(TYPE4&lt;&gt;"")+('Dvd Calendar'!$S$1973=SPECIAL_LBL)*(INC_SPECIALS="Y"))=0,"",'Dvd Calendar'!$S$1971)))</f>
        <v/>
      </c>
      <c r="R197" s="110">
        <f>IF(ET197="","",IF(ISNUMBER('Dvd Calendar'!$T$1971)=FALSE,"",IF((('Dvd Calendar'!$T$1973=TYPE1)*(TYPE1&lt;&gt;"")+('Dvd Calendar'!$T$1973=TYPE2)*(TYPE2&lt;&gt;"")+('Dvd Calendar'!$T$1973=TYPE3)*(TYPE3&lt;&gt;"")+('Dvd Calendar'!$T$1973=TYPE4)*(TYPE4&lt;&gt;"")+('Dvd Calendar'!$T$1973=SPECIAL_LBL)*(INC_SPECIALS="Y"))=0,"",'Dvd Calendar'!$T$1971)))</f>
        <v/>
      </c>
      <c r="S197" s="110">
        <f>IF(EU197="","",IF(ISNUMBER('Dvd Calendar'!$U$1971)=FALSE,"",IF((('Dvd Calendar'!$U$1973=TYPE1)*(TYPE1&lt;&gt;"")+('Dvd Calendar'!$U$1973=TYPE2)*(TYPE2&lt;&gt;"")+('Dvd Calendar'!$U$1973=TYPE3)*(TYPE3&lt;&gt;"")+('Dvd Calendar'!$U$1973=TYPE4)*(TYPE4&lt;&gt;"")+('Dvd Calendar'!$U$1973=SPECIAL_LBL)*(INC_SPECIALS="Y"))=0,"",'Dvd Calendar'!$U$1971)))</f>
        <v/>
      </c>
      <c r="T197" s="110">
        <f>IF(EV197="","",IF(ISNUMBER('Dvd Calendar'!$V$1971)=FALSE,"",IF((('Dvd Calendar'!$V$1973=TYPE1)*(TYPE1&lt;&gt;"")+('Dvd Calendar'!$V$1973=TYPE2)*(TYPE2&lt;&gt;"")+('Dvd Calendar'!$V$1973=TYPE3)*(TYPE3&lt;&gt;"")+('Dvd Calendar'!$V$1973=TYPE4)*(TYPE4&lt;&gt;"")+('Dvd Calendar'!$V$1973=SPECIAL_LBL)*(INC_SPECIALS="Y"))=0,"",'Dvd Calendar'!$V$1971)))</f>
        <v/>
      </c>
      <c r="U197" s="110">
        <f>IF(EW197="","",IF(ISNUMBER('Dvd Calendar'!$W$1971)=FALSE,"",IF((('Dvd Calendar'!$W$1973=TYPE1)*(TYPE1&lt;&gt;"")+('Dvd Calendar'!$W$1973=TYPE2)*(TYPE2&lt;&gt;"")+('Dvd Calendar'!$W$1973=TYPE3)*(TYPE3&lt;&gt;"")+('Dvd Calendar'!$W$1973=TYPE4)*(TYPE4&lt;&gt;"")+('Dvd Calendar'!$W$1973=SPECIAL_LBL)*(INC_SPECIALS="Y"))=0,"",'Dvd Calendar'!$W$1971)))</f>
        <v/>
      </c>
      <c r="V197" s="110">
        <f>IF(EX197="","",IF(ISNUMBER('Dvd Calendar'!$X$1971)=FALSE,"",IF((('Dvd Calendar'!$X$1973=TYPE1)*(TYPE1&lt;&gt;"")+('Dvd Calendar'!$X$1973=TYPE2)*(TYPE2&lt;&gt;"")+('Dvd Calendar'!$X$1973=TYPE3)*(TYPE3&lt;&gt;"")+('Dvd Calendar'!$X$1973=TYPE4)*(TYPE4&lt;&gt;"")+('Dvd Calendar'!$X$1973=SPECIAL_LBL)*(INC_SPECIALS="Y"))=0,"",'Dvd Calendar'!$X$1971)))</f>
        <v/>
      </c>
      <c r="W197" s="110">
        <f>IF(EY197="","",IF(ISNUMBER('Dvd Calendar'!$Y$1971)=FALSE,"",IF((('Dvd Calendar'!$Y$1973=TYPE1)*(TYPE1&lt;&gt;"")+('Dvd Calendar'!$Y$1973=TYPE2)*(TYPE2&lt;&gt;"")+('Dvd Calendar'!$Y$1973=TYPE3)*(TYPE3&lt;&gt;"")+('Dvd Calendar'!$Y$1973=TYPE4)*(TYPE4&lt;&gt;"")+('Dvd Calendar'!$Y$1973=SPECIAL_LBL)*(INC_SPECIALS="Y"))=0,"",'Dvd Calendar'!$Y$1971)))</f>
        <v/>
      </c>
      <c r="X197" s="110">
        <f>IF(EZ197="","",IF(ISNUMBER('Dvd Calendar'!$Z$1971)=FALSE,"",IF((('Dvd Calendar'!$Z$1973=TYPE1)*(TYPE1&lt;&gt;"")+('Dvd Calendar'!$Z$1973=TYPE2)*(TYPE2&lt;&gt;"")+('Dvd Calendar'!$Z$1973=TYPE3)*(TYPE3&lt;&gt;"")+('Dvd Calendar'!$Z$1973=TYPE4)*(TYPE4&lt;&gt;"")+('Dvd Calendar'!$Z$1973=SPECIAL_LBL)*(INC_SPECIALS="Y"))=0,"",'Dvd Calendar'!$Z$1971)))</f>
        <v/>
      </c>
      <c r="Y197" s="110">
        <f>IF(FA197="","",IF(ISNUMBER('Dvd Calendar'!$AA$1971)=FALSE,"",IF((('Dvd Calendar'!$AA$1973=TYPE1)*(TYPE1&lt;&gt;"")+('Dvd Calendar'!$AA$1973=TYPE2)*(TYPE2&lt;&gt;"")+('Dvd Calendar'!$AA$1973=TYPE3)*(TYPE3&lt;&gt;"")+('Dvd Calendar'!$AA$1973=TYPE4)*(TYPE4&lt;&gt;"")+('Dvd Calendar'!$AA$1973=SPECIAL_LBL)*(INC_SPECIALS="Y"))=0,"",'Dvd Calendar'!$AA$1971)))</f>
        <v/>
      </c>
      <c r="Z197" s="110">
        <f>IF(FB197="","",IF(ISNUMBER('Dvd Calendar'!$AB$1971)=FALSE,"",IF((('Dvd Calendar'!$AB$1973=TYPE1)*(TYPE1&lt;&gt;"")+('Dvd Calendar'!$AB$1973=TYPE2)*(TYPE2&lt;&gt;"")+('Dvd Calendar'!$AB$1973=TYPE3)*(TYPE3&lt;&gt;"")+('Dvd Calendar'!$AB$1973=TYPE4)*(TYPE4&lt;&gt;"")+('Dvd Calendar'!$AB$1973=SPECIAL_LBL)*(INC_SPECIALS="Y"))=0,"",'Dvd Calendar'!$AB$1971)))</f>
        <v/>
      </c>
      <c r="AA197" s="110">
        <f>IF(FC197="","",IF(ISNUMBER('Dvd Calendar'!$AC$1971)=FALSE,"",IF((('Dvd Calendar'!$AC$1973=TYPE1)*(TYPE1&lt;&gt;"")+('Dvd Calendar'!$AC$1973=TYPE2)*(TYPE2&lt;&gt;"")+('Dvd Calendar'!$AC$1973=TYPE3)*(TYPE3&lt;&gt;"")+('Dvd Calendar'!$AC$1973=TYPE4)*(TYPE4&lt;&gt;"")+('Dvd Calendar'!$AC$1973=SPECIAL_LBL)*(INC_SPECIALS="Y"))=0,"",'Dvd Calendar'!$AC$1971)))</f>
        <v/>
      </c>
      <c r="AB197" s="110">
        <f>IF(FD197="","",IF(ISNUMBER('Dvd Calendar'!$AD$1971)=FALSE,"",IF((('Dvd Calendar'!$AD$1973=TYPE1)*(TYPE1&lt;&gt;"")+('Dvd Calendar'!$AD$1973=TYPE2)*(TYPE2&lt;&gt;"")+('Dvd Calendar'!$AD$1973=TYPE3)*(TYPE3&lt;&gt;"")+('Dvd Calendar'!$AD$1973=TYPE4)*(TYPE4&lt;&gt;"")+('Dvd Calendar'!$AD$1973=SPECIAL_LBL)*(INC_SPECIALS="Y"))=0,"",'Dvd Calendar'!$AD$1971)))</f>
        <v/>
      </c>
      <c r="AC197" s="110">
        <f>IF(FE197="","",IF(ISNUMBER('Dvd Calendar'!$AE$1971)=FALSE,"",IF((('Dvd Calendar'!$AE$1973=TYPE1)*(TYPE1&lt;&gt;"")+('Dvd Calendar'!$AE$1973=TYPE2)*(TYPE2&lt;&gt;"")+('Dvd Calendar'!$AE$1973=TYPE3)*(TYPE3&lt;&gt;"")+('Dvd Calendar'!$AE$1973=TYPE4)*(TYPE4&lt;&gt;"")+('Dvd Calendar'!$AE$1973=SPECIAL_LBL)*(INC_SPECIALS="Y"))=0,"",'Dvd Calendar'!$AE$1971)))</f>
        <v/>
      </c>
      <c r="AD197" s="110">
        <f>IF(FF197="","",IF(ISNUMBER('Dvd Calendar'!$AF$1971)=FALSE,"",IF((('Dvd Calendar'!$AF$1973=TYPE1)*(TYPE1&lt;&gt;"")+('Dvd Calendar'!$AF$1973=TYPE2)*(TYPE2&lt;&gt;"")+('Dvd Calendar'!$AF$1973=TYPE3)*(TYPE3&lt;&gt;"")+('Dvd Calendar'!$AF$1973=TYPE4)*(TYPE4&lt;&gt;"")+('Dvd Calendar'!$AF$1973=SPECIAL_LBL)*(INC_SPECIALS="Y"))=0,"",'Dvd Calendar'!$AF$1971)))</f>
        <v/>
      </c>
      <c r="AE197" s="110">
        <f>IF(FG197="","",IF(ISNUMBER('Dvd Calendar'!$AG$1971)=FALSE,"",IF((('Dvd Calendar'!$AG$1973=TYPE1)*(TYPE1&lt;&gt;"")+('Dvd Calendar'!$AG$1973=TYPE2)*(TYPE2&lt;&gt;"")+('Dvd Calendar'!$AG$1973=TYPE3)*(TYPE3&lt;&gt;"")+('Dvd Calendar'!$AG$1973=TYPE4)*(TYPE4&lt;&gt;"")+('Dvd Calendar'!$AG$1973=SPECIAL_LBL)*(INC_SPECIALS="Y"))=0,"",'Dvd Calendar'!$AG$1971)))</f>
        <v/>
      </c>
      <c r="AF197" s="110">
        <f>IF(FH197="","",IF(ISNUMBER('Dvd Calendar'!$AH$1971)=FALSE,"",IF((('Dvd Calendar'!$AH$1973=TYPE1)*(TYPE1&lt;&gt;"")+('Dvd Calendar'!$AH$1973=TYPE2)*(TYPE2&lt;&gt;"")+('Dvd Calendar'!$AH$1973=TYPE3)*(TYPE3&lt;&gt;"")+('Dvd Calendar'!$AH$1973=TYPE4)*(TYPE4&lt;&gt;"")+('Dvd Calendar'!$AH$1973=SPECIAL_LBL)*(INC_SPECIALS="Y"))=0,"",'Dvd Calendar'!$AH$1971)))</f>
        <v/>
      </c>
      <c r="AG197" s="110">
        <f>IF(FI197="","",IF(ISNUMBER('Dvd Calendar'!$AI$1971)=FALSE,"",IF((('Dvd Calendar'!$AI$1973=TYPE1)*(TYPE1&lt;&gt;"")+('Dvd Calendar'!$AI$1973=TYPE2)*(TYPE2&lt;&gt;"")+('Dvd Calendar'!$AI$1973=TYPE3)*(TYPE3&lt;&gt;"")+('Dvd Calendar'!$AI$1973=TYPE4)*(TYPE4&lt;&gt;"")+('Dvd Calendar'!$AI$1973=SPECIAL_LBL)*(INC_SPECIALS="Y"))=0,"",'Dvd Calendar'!$AI$1971)))</f>
        <v/>
      </c>
      <c r="AH197" s="110">
        <f>IF(FJ197="","",IF(ISNUMBER('Dvd Calendar'!$AJ$1971)=FALSE,"",IF((('Dvd Calendar'!$AJ$1973=TYPE1)*(TYPE1&lt;&gt;"")+('Dvd Calendar'!$AJ$1973=TYPE2)*(TYPE2&lt;&gt;"")+('Dvd Calendar'!$AJ$1973=TYPE3)*(TYPE3&lt;&gt;"")+('Dvd Calendar'!$AJ$1973=TYPE4)*(TYPE4&lt;&gt;"")+('Dvd Calendar'!$AJ$1973=SPECIAL_LBL)*(INC_SPECIALS="Y"))=0,"",'Dvd Calendar'!$AJ$1971)))</f>
        <v/>
      </c>
      <c r="AI197" s="110">
        <f>IF(FK197="","",IF(ISNUMBER('Dvd Calendar'!$AK$1971)=FALSE,"",IF((('Dvd Calendar'!$AK$1973=TYPE1)*(TYPE1&lt;&gt;"")+('Dvd Calendar'!$AK$1973=TYPE2)*(TYPE2&lt;&gt;"")+('Dvd Calendar'!$AK$1973=TYPE3)*(TYPE3&lt;&gt;"")+('Dvd Calendar'!$AK$1973=TYPE4)*(TYPE4&lt;&gt;"")+('Dvd Calendar'!$AK$1973=SPECIAL_LBL)*(INC_SPECIALS="Y"))=0,"",'Dvd Calendar'!$AK$1971)))</f>
        <v/>
      </c>
      <c r="AJ197" s="110">
        <f>IF(FL197="","",IF(ISNUMBER('Dvd Calendar'!$AL$1971)=FALSE,"",IF((('Dvd Calendar'!$AL$1973=TYPE1)*(TYPE1&lt;&gt;"")+('Dvd Calendar'!$AL$1973=TYPE2)*(TYPE2&lt;&gt;"")+('Dvd Calendar'!$AL$1973=TYPE3)*(TYPE3&lt;&gt;"")+('Dvd Calendar'!$AL$1973=TYPE4)*(TYPE4&lt;&gt;"")+('Dvd Calendar'!$AL$1973=SPECIAL_LBL)*(INC_SPECIALS="Y"))=0,"",'Dvd Calendar'!$AL$1971)))</f>
        <v/>
      </c>
      <c r="AK197" s="110">
        <f>IF(FM197="","",IF(ISNUMBER('Dvd Calendar'!$AM$1971)=FALSE,"",IF((('Dvd Calendar'!$AM$1973=TYPE1)*(TYPE1&lt;&gt;"")+('Dvd Calendar'!$AM$1973=TYPE2)*(TYPE2&lt;&gt;"")+('Dvd Calendar'!$AM$1973=TYPE3)*(TYPE3&lt;&gt;"")+('Dvd Calendar'!$AM$1973=TYPE4)*(TYPE4&lt;&gt;"")+('Dvd Calendar'!$AM$1973=SPECIAL_LBL)*(INC_SPECIALS="Y"))=0,"",'Dvd Calendar'!$AM$1971)))</f>
        <v/>
      </c>
      <c r="AL197" s="110">
        <f>IF(FN197="","",IF(ISNUMBER('Dvd Calendar'!$AN$1971)=FALSE,"",IF((('Dvd Calendar'!$AN$1973=TYPE1)*(TYPE1&lt;&gt;"")+('Dvd Calendar'!$AN$1973=TYPE2)*(TYPE2&lt;&gt;"")+('Dvd Calendar'!$AN$1973=TYPE3)*(TYPE3&lt;&gt;"")+('Dvd Calendar'!$AN$1973=TYPE4)*(TYPE4&lt;&gt;"")+('Dvd Calendar'!$AN$1973=SPECIAL_LBL)*(INC_SPECIALS="Y"))=0,"",'Dvd Calendar'!$AN$1971)))</f>
        <v/>
      </c>
      <c r="AM197" s="110">
        <f>IF(FO197="","",IF(ISNUMBER('Dvd Calendar'!$AO$1971)=FALSE,"",IF((('Dvd Calendar'!$AO$1973=TYPE1)*(TYPE1&lt;&gt;"")+('Dvd Calendar'!$AO$1973=TYPE2)*(TYPE2&lt;&gt;"")+('Dvd Calendar'!$AO$1973=TYPE3)*(TYPE3&lt;&gt;"")+('Dvd Calendar'!$AO$1973=TYPE4)*(TYPE4&lt;&gt;"")+('Dvd Calendar'!$AO$1973=SPECIAL_LBL)*(INC_SPECIALS="Y"))=0,"",'Dvd Calendar'!$AO$1971)))</f>
        <v/>
      </c>
      <c r="AN197" s="110">
        <f>IF(FP197="","",IF(ISNUMBER('Dvd Calendar'!$AP$1971)=FALSE,"",IF((('Dvd Calendar'!$AP$1973=TYPE1)*(TYPE1&lt;&gt;"")+('Dvd Calendar'!$AP$1973=TYPE2)*(TYPE2&lt;&gt;"")+('Dvd Calendar'!$AP$1973=TYPE3)*(TYPE3&lt;&gt;"")+('Dvd Calendar'!$AP$1973=TYPE4)*(TYPE4&lt;&gt;"")+('Dvd Calendar'!$AP$1973=SPECIAL_LBL)*(INC_SPECIALS="Y"))=0,"",'Dvd Calendar'!$AP$1971)))</f>
        <v/>
      </c>
      <c r="AO197" s="110">
        <f>IF(FQ197="","",IF(ISNUMBER('Dvd Calendar'!$AQ$1971)=FALSE,"",IF((('Dvd Calendar'!$AQ$1973=TYPE1)*(TYPE1&lt;&gt;"")+('Dvd Calendar'!$AQ$1973=TYPE2)*(TYPE2&lt;&gt;"")+('Dvd Calendar'!$AQ$1973=TYPE3)*(TYPE3&lt;&gt;"")+('Dvd Calendar'!$AQ$1973=TYPE4)*(TYPE4&lt;&gt;"")+('Dvd Calendar'!$AQ$1973=SPECIAL_LBL)*(INC_SPECIALS="Y"))=0,"",'Dvd Calendar'!$AQ$1971)))</f>
        <v/>
      </c>
      <c r="AP197" s="110">
        <f>IF(FR197="","",IF(ISNUMBER('Dvd Calendar'!$AR$1971)=FALSE,"",IF((('Dvd Calendar'!$AR$1973=TYPE1)*(TYPE1&lt;&gt;"")+('Dvd Calendar'!$AR$1973=TYPE2)*(TYPE2&lt;&gt;"")+('Dvd Calendar'!$AR$1973=TYPE3)*(TYPE3&lt;&gt;"")+('Dvd Calendar'!$AR$1973=TYPE4)*(TYPE4&lt;&gt;"")+('Dvd Calendar'!$AR$1973=SPECIAL_LBL)*(INC_SPECIALS="Y"))=0,"",'Dvd Calendar'!$AR$1971)))</f>
        <v/>
      </c>
      <c r="AQ197" s="110">
        <f>IF(FS197="","",IF(ISNUMBER('Dvd Calendar'!$E$1976)=FALSE,"",'Dvd Calendar'!$E$1976))</f>
        <v/>
      </c>
      <c r="AR197" s="110">
        <f>IF(FT197="","",IF(ISNUMBER('Dvd Calendar'!$F$1976)=FALSE,"",'Dvd Calendar'!$F$1976))</f>
        <v/>
      </c>
      <c r="AS197" s="110">
        <f>IF(FU197="","",IF(ISNUMBER('Dvd Calendar'!$G$1976)=FALSE,"",'Dvd Calendar'!$G$1976))</f>
        <v/>
      </c>
      <c r="AT197" s="110">
        <f>IF(FV197="","",IF(ISNUMBER('Dvd Calendar'!$H$1976)=FALSE,"",'Dvd Calendar'!$H$1976))</f>
        <v/>
      </c>
      <c r="AU197" s="110">
        <f>IF(FW197="","",IF(ISNUMBER('Dvd Calendar'!$I$1976)=FALSE,"",'Dvd Calendar'!$I$1976))</f>
        <v/>
      </c>
      <c r="AV197" s="110">
        <f>IF(FX197="","",IF(ISNUMBER('Dvd Calendar'!$J$1976)=FALSE,"",'Dvd Calendar'!$J$1976))</f>
        <v/>
      </c>
      <c r="AW197" s="110">
        <f>IF(FY197="","",IF(ISNUMBER('Dvd Calendar'!$K$1976)=FALSE,"",'Dvd Calendar'!$K$1976))</f>
        <v/>
      </c>
      <c r="AX197" s="110">
        <f>IF(FZ197="","",IF(ISNUMBER('Dvd Calendar'!$L$1976)=FALSE,"",'Dvd Calendar'!$L$1976))</f>
        <v/>
      </c>
      <c r="AY197" s="110">
        <f>IF(GA197="","",IF(ISNUMBER('Dvd Calendar'!$M$1976)=FALSE,"",'Dvd Calendar'!$M$1976))</f>
        <v/>
      </c>
      <c r="AZ197" s="110">
        <f>IF(GB197="","",IF(ISNUMBER('Dvd Calendar'!$N$1976)=FALSE,"",'Dvd Calendar'!$N$1976))</f>
        <v/>
      </c>
      <c r="BA197" s="110">
        <f>IF(GC197="","",IF(ISNUMBER('Dvd Calendar'!$O$1976)=FALSE,"",'Dvd Calendar'!$O$1976))</f>
        <v/>
      </c>
      <c r="BB197" s="110">
        <f>IF(GD197="","",IF(ISNUMBER('Dvd Calendar'!$P$1976)=FALSE,"",'Dvd Calendar'!$P$1976))</f>
        <v/>
      </c>
      <c r="BC197" s="110">
        <f>IF(GE197="","",IF(ISNUMBER('Dvd Calendar'!$Q$1976)=FALSE,"",'Dvd Calendar'!$Q$1976))</f>
        <v/>
      </c>
      <c r="BD197" s="110">
        <f>IF(GF197="","",IF(ISNUMBER('Dvd Calendar'!$R$1976)=FALSE,"",'Dvd Calendar'!$R$1976))</f>
        <v/>
      </c>
      <c r="BE197" s="110">
        <f>IF(GG197="","",IF(ISNUMBER('Dvd Calendar'!$S$1976)=FALSE,"",'Dvd Calendar'!$S$1976))</f>
        <v/>
      </c>
      <c r="BF197" s="110">
        <f>IF(GH197="","",IF(ISNUMBER('Dvd Calendar'!$T$1976)=FALSE,"",'Dvd Calendar'!$T$1976))</f>
        <v/>
      </c>
      <c r="BG197" s="110">
        <f>IF(GI197="","",IF(ISNUMBER('Dvd Calendar'!$U$1976)=FALSE,"",'Dvd Calendar'!$U$1976))</f>
        <v/>
      </c>
      <c r="BH197" s="110">
        <f>IF(GJ197="","",IF(ISNUMBER('Dvd Calendar'!$V$1976)=FALSE,"",'Dvd Calendar'!$V$1976))</f>
        <v/>
      </c>
      <c r="BI197" s="110">
        <f>IF(GK197="","",IF(ISNUMBER('Dvd Calendar'!$W$1976)=FALSE,"",'Dvd Calendar'!$W$1976))</f>
        <v/>
      </c>
      <c r="BJ197" s="110">
        <f>IF(GL197="","",IF(ISNUMBER('Dvd Calendar'!$X$1976)=FALSE,"",'Dvd Calendar'!$X$1976))</f>
        <v/>
      </c>
      <c r="BK197" s="110">
        <f>IF(GM197="","",IF(ISNUMBER('Dvd Calendar'!$Y$1976)=FALSE,"",'Dvd Calendar'!$Y$1976))</f>
        <v/>
      </c>
      <c r="BL197" s="110">
        <f>IF(GN197="","",IF(ISNUMBER('Dvd Calendar'!$Z$1976)=FALSE,"",'Dvd Calendar'!$Z$1976))</f>
        <v/>
      </c>
      <c r="BM197" s="110">
        <f>IF(GO197="","",IF(ISNUMBER('Dvd Calendar'!$AA$1976)=FALSE,"",'Dvd Calendar'!$AA$1976))</f>
        <v/>
      </c>
      <c r="BN197" s="110">
        <f>IF(GP197="","",IF(ISNUMBER('Dvd Calendar'!$AB$1976)=FALSE,"",'Dvd Calendar'!$AB$1976))</f>
        <v/>
      </c>
      <c r="BO197" s="110">
        <f>IF(GQ197="","",IF(ISNUMBER('Dvd Calendar'!$AC$1976)=FALSE,"",'Dvd Calendar'!$AC$1976))</f>
        <v/>
      </c>
      <c r="BQ197" s="110">
        <f>IF(C197="","",IFERROR(C197*HSCEI!$B$44*HSCEI!$G$44/HSCEI!$B$3,""))</f>
        <v/>
      </c>
      <c r="BR197" s="110">
        <f>IF(D197="","",IFERROR(D197*HSCEI!$B$44*HSCEI!$G$44/HSCEI!$B$3,""))</f>
        <v/>
      </c>
      <c r="BS197" s="110">
        <f>IF(E197="","",IFERROR(E197*HSCEI!$B$44*HSCEI!$G$44/HSCEI!$B$3,""))</f>
        <v/>
      </c>
      <c r="BT197" s="110">
        <f>IF(F197="","",IFERROR(F197*HSCEI!$B$44*HSCEI!$G$44/HSCEI!$B$3,""))</f>
        <v/>
      </c>
      <c r="BU197" s="110">
        <f>IF(G197="","",IFERROR(G197*HSCEI!$B$44*HSCEI!$G$44/HSCEI!$B$3,""))</f>
        <v/>
      </c>
      <c r="BV197" s="110">
        <f>IF(H197="","",IFERROR(H197*HSCEI!$B$44*HSCEI!$G$44/HSCEI!$B$3,""))</f>
        <v/>
      </c>
      <c r="BW197" s="110">
        <f>IF(I197="","",IFERROR(I197*HSCEI!$B$44*HSCEI!$G$44/HSCEI!$B$3,""))</f>
        <v/>
      </c>
      <c r="BX197" s="110">
        <f>IF(J197="","",IFERROR(J197*HSCEI!$B$44*HSCEI!$G$44/HSCEI!$B$3,""))</f>
        <v/>
      </c>
      <c r="BY197" s="110">
        <f>IF(K197="","",IFERROR(K197*HSCEI!$B$44*HSCEI!$G$44/HSCEI!$B$3,""))</f>
        <v/>
      </c>
      <c r="BZ197" s="110">
        <f>IF(L197="","",IFERROR(L197*HSCEI!$B$44*HSCEI!$G$44/HSCEI!$B$3,""))</f>
        <v/>
      </c>
      <c r="CA197" s="110">
        <f>IF(M197="","",IFERROR(M197*HSCEI!$B$44*HSCEI!$G$44/HSCEI!$B$3,""))</f>
        <v/>
      </c>
      <c r="CB197" s="110">
        <f>IF(N197="","",IFERROR(N197*HSCEI!$B$44*HSCEI!$G$44/HSCEI!$B$3,""))</f>
        <v/>
      </c>
      <c r="CC197" s="110">
        <f>IF(O197="","",IFERROR(O197*HSCEI!$B$44*HSCEI!$G$44/HSCEI!$B$3,""))</f>
        <v/>
      </c>
      <c r="CD197" s="110">
        <f>IF(P197="","",IFERROR(P197*HSCEI!$B$44*HSCEI!$G$44/HSCEI!$B$3,""))</f>
        <v/>
      </c>
      <c r="CE197" s="110">
        <f>IF(Q197="","",IFERROR(Q197*HSCEI!$B$44*HSCEI!$G$44/HSCEI!$B$3,""))</f>
        <v/>
      </c>
      <c r="CF197" s="110">
        <f>IF(R197="","",IFERROR(R197*HSCEI!$B$44*HSCEI!$G$44/HSCEI!$B$3,""))</f>
        <v/>
      </c>
      <c r="CG197" s="110">
        <f>IF(S197="","",IFERROR(S197*HSCEI!$B$44*HSCEI!$G$44/HSCEI!$B$3,""))</f>
        <v/>
      </c>
      <c r="CH197" s="110">
        <f>IF(T197="","",IFERROR(T197*HSCEI!$B$44*HSCEI!$G$44/HSCEI!$B$3,""))</f>
        <v/>
      </c>
      <c r="CI197" s="110">
        <f>IF(U197="","",IFERROR(U197*HSCEI!$B$44*HSCEI!$G$44/HSCEI!$B$3,""))</f>
        <v/>
      </c>
      <c r="CJ197" s="110">
        <f>IF(V197="","",IFERROR(V197*HSCEI!$B$44*HSCEI!$G$44/HSCEI!$B$3,""))</f>
        <v/>
      </c>
      <c r="CK197" s="110">
        <f>IF(W197="","",IFERROR(W197*HSCEI!$B$44*HSCEI!$G$44/HSCEI!$B$3,""))</f>
        <v/>
      </c>
      <c r="CL197" s="110">
        <f>IF(X197="","",IFERROR(X197*HSCEI!$B$44*HSCEI!$G$44/HSCEI!$B$3,""))</f>
        <v/>
      </c>
      <c r="CM197" s="110">
        <f>IF(Y197="","",IFERROR(Y197*HSCEI!$B$44*HSCEI!$G$44/HSCEI!$B$3,""))</f>
        <v/>
      </c>
      <c r="CN197" s="110">
        <f>IF(Z197="","",IFERROR(Z197*HSCEI!$B$44*HSCEI!$G$44/HSCEI!$B$3,""))</f>
        <v/>
      </c>
      <c r="CO197" s="110">
        <f>IF(AA197="","",IFERROR(AA197*HSCEI!$B$44*HSCEI!$G$44/HSCEI!$B$3,""))</f>
        <v/>
      </c>
      <c r="CP197" s="110">
        <f>IF(AB197="","",IFERROR(AB197*HSCEI!$B$44*HSCEI!$G$44/HSCEI!$B$3,""))</f>
        <v/>
      </c>
      <c r="CQ197" s="110">
        <f>IF(AC197="","",IFERROR(AC197*HSCEI!$B$44*HSCEI!$G$44/HSCEI!$B$3,""))</f>
        <v/>
      </c>
      <c r="CR197" s="110">
        <f>IF(AD197="","",IFERROR(AD197*HSCEI!$B$44*HSCEI!$G$44/HSCEI!$B$3,""))</f>
        <v/>
      </c>
      <c r="CS197" s="110">
        <f>IF(AE197="","",IFERROR(AE197*HSCEI!$B$44*HSCEI!$G$44/HSCEI!$B$3,""))</f>
        <v/>
      </c>
      <c r="CT197" s="110">
        <f>IF(AF197="","",IFERROR(AF197*HSCEI!$B$44*HSCEI!$G$44/HSCEI!$B$3,""))</f>
        <v/>
      </c>
      <c r="CU197" s="110">
        <f>IF(AG197="","",IFERROR(AG197*HSCEI!$B$44*HSCEI!$G$44/HSCEI!$B$3,""))</f>
        <v/>
      </c>
      <c r="CV197" s="110">
        <f>IF(AH197="","",IFERROR(AH197*HSCEI!$B$44*HSCEI!$G$44/HSCEI!$B$3,""))</f>
        <v/>
      </c>
      <c r="CW197" s="110">
        <f>IF(AI197="","",IFERROR(AI197*HSCEI!$B$44*HSCEI!$G$44/HSCEI!$B$3,""))</f>
        <v/>
      </c>
      <c r="CX197" s="110">
        <f>IF(AJ197="","",IFERROR(AJ197*HSCEI!$B$44*HSCEI!$G$44/HSCEI!$B$3,""))</f>
        <v/>
      </c>
      <c r="CY197" s="110">
        <f>IF(AK197="","",IFERROR(AK197*HSCEI!$B$44*HSCEI!$G$44/HSCEI!$B$3,""))</f>
        <v/>
      </c>
      <c r="CZ197" s="110">
        <f>IF(AL197="","",IFERROR(AL197*HSCEI!$B$44*HSCEI!$G$44/HSCEI!$B$3,""))</f>
        <v/>
      </c>
      <c r="DA197" s="110">
        <f>IF(AM197="","",IFERROR(AM197*HSCEI!$B$44*HSCEI!$G$44/HSCEI!$B$3,""))</f>
        <v/>
      </c>
      <c r="DB197" s="110">
        <f>IF(AN197="","",IFERROR(AN197*HSCEI!$B$44*HSCEI!$G$44/HSCEI!$B$3,""))</f>
        <v/>
      </c>
      <c r="DC197" s="110">
        <f>IF(AO197="","",IFERROR(AO197*HSCEI!$B$44*HSCEI!$G$44/HSCEI!$B$3,""))</f>
        <v/>
      </c>
      <c r="DD197" s="110">
        <f>IF(AP197="","",IFERROR(AP197*HSCEI!$B$44*HSCEI!$G$44/HSCEI!$B$3,""))</f>
        <v/>
      </c>
      <c r="DE197" s="110">
        <f>IF(AQ197="","",IFERROR(AQ197*HSCEI!$B$44*HSCEI!$G$44/HSCEI!$B$3,""))</f>
        <v/>
      </c>
      <c r="DF197" s="110">
        <f>IF(AR197="","",IFERROR(AR197*HSCEI!$B$44*HSCEI!$G$44/HSCEI!$B$3,""))</f>
        <v/>
      </c>
      <c r="DG197" s="110">
        <f>IF(AS197="","",IFERROR(AS197*HSCEI!$B$44*HSCEI!$G$44/HSCEI!$B$3,""))</f>
        <v/>
      </c>
      <c r="DH197" s="110">
        <f>IF(AT197="","",IFERROR(AT197*HSCEI!$B$44*HSCEI!$G$44/HSCEI!$B$3,""))</f>
        <v/>
      </c>
      <c r="DI197" s="110">
        <f>IF(AU197="","",IFERROR(AU197*HSCEI!$B$44*HSCEI!$G$44/HSCEI!$B$3,""))</f>
        <v/>
      </c>
      <c r="DJ197" s="110">
        <f>IF(AV197="","",IFERROR(AV197*HSCEI!$B$44*HSCEI!$G$44/HSCEI!$B$3,""))</f>
        <v/>
      </c>
      <c r="DK197" s="110">
        <f>IF(AW197="","",IFERROR(AW197*HSCEI!$B$44*HSCEI!$G$44/HSCEI!$B$3,""))</f>
        <v/>
      </c>
      <c r="DL197" s="110">
        <f>IF(AX197="","",IFERROR(AX197*HSCEI!$B$44*HSCEI!$G$44/HSCEI!$B$3,""))</f>
        <v/>
      </c>
      <c r="DM197" s="110">
        <f>IF(AY197="","",IFERROR(AY197*HSCEI!$B$44*HSCEI!$G$44/HSCEI!$B$3,""))</f>
        <v/>
      </c>
      <c r="DN197" s="110">
        <f>IF(AZ197="","",IFERROR(AZ197*HSCEI!$B$44*HSCEI!$G$44/HSCEI!$B$3,""))</f>
        <v/>
      </c>
      <c r="DO197" s="110">
        <f>IF(BA197="","",IFERROR(BA197*HSCEI!$B$44*HSCEI!$G$44/HSCEI!$B$3,""))</f>
        <v/>
      </c>
      <c r="DP197" s="110">
        <f>IF(BB197="","",IFERROR(BB197*HSCEI!$B$44*HSCEI!$G$44/HSCEI!$B$3,""))</f>
        <v/>
      </c>
      <c r="DQ197" s="110">
        <f>IF(BC197="","",IFERROR(BC197*HSCEI!$B$44*HSCEI!$G$44/HSCEI!$B$3,""))</f>
        <v/>
      </c>
      <c r="DR197" s="110">
        <f>IF(BD197="","",IFERROR(BD197*HSCEI!$B$44*HSCEI!$G$44/HSCEI!$B$3,""))</f>
        <v/>
      </c>
      <c r="DS197" s="110">
        <f>IF(BE197="","",IFERROR(BE197*HSCEI!$B$44*HSCEI!$G$44/HSCEI!$B$3,""))</f>
        <v/>
      </c>
      <c r="DT197" s="110">
        <f>IF(BF197="","",IFERROR(BF197*HSCEI!$B$44*HSCEI!$G$44/HSCEI!$B$3,""))</f>
        <v/>
      </c>
      <c r="DU197" s="110">
        <f>IF(BG197="","",IFERROR(BG197*HSCEI!$B$44*HSCEI!$G$44/HSCEI!$B$3,""))</f>
        <v/>
      </c>
      <c r="DV197" s="110">
        <f>IF(BH197="","",IFERROR(BH197*HSCEI!$B$44*HSCEI!$G$44/HSCEI!$B$3,""))</f>
        <v/>
      </c>
      <c r="DW197" s="110">
        <f>IF(BI197="","",IFERROR(BI197*HSCEI!$B$44*HSCEI!$G$44/HSCEI!$B$3,""))</f>
        <v/>
      </c>
      <c r="DX197" s="110">
        <f>IF(BJ197="","",IFERROR(BJ197*HSCEI!$B$44*HSCEI!$G$44/HSCEI!$B$3,""))</f>
        <v/>
      </c>
      <c r="DY197" s="110">
        <f>IF(BK197="","",IFERROR(BK197*HSCEI!$B$44*HSCEI!$G$44/HSCEI!$B$3,""))</f>
        <v/>
      </c>
      <c r="DZ197" s="110">
        <f>IF(BL197="","",IFERROR(BL197*HSCEI!$B$44*HSCEI!$G$44/HSCEI!$B$3,""))</f>
        <v/>
      </c>
      <c r="EA197" s="110">
        <f>IF(BM197="","",IFERROR(BM197*HSCEI!$B$44*HSCEI!$G$44/HSCEI!$B$3,""))</f>
        <v/>
      </c>
      <c r="EB197" s="110">
        <f>IF(BN197="","",IFERROR(BN197*HSCEI!$B$44*HSCEI!$G$44/HSCEI!$B$3,""))</f>
        <v/>
      </c>
      <c r="EC197" s="110">
        <f>IF(BO197="","",IFERROR(BO197*HSCEI!$B$44*HSCEI!$G$44/HSCEI!$B$3,""))</f>
        <v/>
      </c>
      <c r="EE197" s="39">
        <f>IF(N('Dvd Calendar'!$E$1968)=0,"",IF(('Dvd Calendar'!$E$1968&gt;=GRID_FROM)*('Dvd Calendar'!$E$1968&lt;=GRID_TO)*((('Dvd Calendar'!$E$1968&lt;=VAL_DATE)+(COUNTIF('Dvd Calendar'!$E$1975:$AR$1975,'Dvd Calendar'!$E$1968)=0))&gt;0)=0,"",'Dvd Calendar'!$E$1968*1000000000+ISNUMBER('Dvd Calendar'!$E$1971)*100000000+('Dvd Calendar'!$E$1973=SPECIAL_LBL)*10000000+(N('Dvd Calendar'!$E$1967)&gt;0)*(N('Dvd Calendar'!$E$1967)&lt;=VAL_SERIAL)*1000000+38*1000+1))</f>
        <v/>
      </c>
      <c r="EF197" s="39">
        <f>IF(N('Dvd Calendar'!$F$1968)=0,"",IF(('Dvd Calendar'!$F$1968&gt;=GRID_FROM)*('Dvd Calendar'!$F$1968&lt;=GRID_TO)*((('Dvd Calendar'!$F$1968&lt;=VAL_DATE)+(COUNTIF('Dvd Calendar'!$E$1975:$AR$1975,'Dvd Calendar'!$F$1968)=0))&gt;0)=0,"",'Dvd Calendar'!$F$1968*1000000000+ISNUMBER('Dvd Calendar'!$F$1971)*100000000+('Dvd Calendar'!$F$1973=SPECIAL_LBL)*10000000+(N('Dvd Calendar'!$F$1967)&gt;0)*(N('Dvd Calendar'!$F$1967)&lt;=VAL_SERIAL)*1000000+38*1000+2))</f>
        <v/>
      </c>
      <c r="EG197" s="39">
        <f>IF(N('Dvd Calendar'!$G$1968)=0,"",IF(('Dvd Calendar'!$G$1968&gt;=GRID_FROM)*('Dvd Calendar'!$G$1968&lt;=GRID_TO)*((('Dvd Calendar'!$G$1968&lt;=VAL_DATE)+(COUNTIF('Dvd Calendar'!$E$1975:$AR$1975,'Dvd Calendar'!$G$1968)=0))&gt;0)=0,"",'Dvd Calendar'!$G$1968*1000000000+ISNUMBER('Dvd Calendar'!$G$1971)*100000000+('Dvd Calendar'!$G$1973=SPECIAL_LBL)*10000000+(N('Dvd Calendar'!$G$1967)&gt;0)*(N('Dvd Calendar'!$G$1967)&lt;=VAL_SERIAL)*1000000+38*1000+3))</f>
        <v/>
      </c>
      <c r="EH197" s="39">
        <f>IF(N('Dvd Calendar'!$H$1968)=0,"",IF(('Dvd Calendar'!$H$1968&gt;=GRID_FROM)*('Dvd Calendar'!$H$1968&lt;=GRID_TO)*((('Dvd Calendar'!$H$1968&lt;=VAL_DATE)+(COUNTIF('Dvd Calendar'!$E$1975:$AR$1975,'Dvd Calendar'!$H$1968)=0))&gt;0)=0,"",'Dvd Calendar'!$H$1968*1000000000+ISNUMBER('Dvd Calendar'!$H$1971)*100000000+('Dvd Calendar'!$H$1973=SPECIAL_LBL)*10000000+(N('Dvd Calendar'!$H$1967)&gt;0)*(N('Dvd Calendar'!$H$1967)&lt;=VAL_SERIAL)*1000000+38*1000+4))</f>
        <v/>
      </c>
      <c r="EI197" s="39">
        <f>IF(N('Dvd Calendar'!$I$1968)=0,"",IF(('Dvd Calendar'!$I$1968&gt;=GRID_FROM)*('Dvd Calendar'!$I$1968&lt;=GRID_TO)*((('Dvd Calendar'!$I$1968&lt;=VAL_DATE)+(COUNTIF('Dvd Calendar'!$E$1975:$AR$1975,'Dvd Calendar'!$I$1968)=0))&gt;0)=0,"",'Dvd Calendar'!$I$1968*1000000000+ISNUMBER('Dvd Calendar'!$I$1971)*100000000+('Dvd Calendar'!$I$1973=SPECIAL_LBL)*10000000+(N('Dvd Calendar'!$I$1967)&gt;0)*(N('Dvd Calendar'!$I$1967)&lt;=VAL_SERIAL)*1000000+38*1000+5))</f>
        <v/>
      </c>
      <c r="EJ197" s="39">
        <f>IF(N('Dvd Calendar'!$J$1968)=0,"",IF(('Dvd Calendar'!$J$1968&gt;=GRID_FROM)*('Dvd Calendar'!$J$1968&lt;=GRID_TO)*((('Dvd Calendar'!$J$1968&lt;=VAL_DATE)+(COUNTIF('Dvd Calendar'!$E$1975:$AR$1975,'Dvd Calendar'!$J$1968)=0))&gt;0)=0,"",'Dvd Calendar'!$J$1968*1000000000+ISNUMBER('Dvd Calendar'!$J$1971)*100000000+('Dvd Calendar'!$J$1973=SPECIAL_LBL)*10000000+(N('Dvd Calendar'!$J$1967)&gt;0)*(N('Dvd Calendar'!$J$1967)&lt;=VAL_SERIAL)*1000000+38*1000+6))</f>
        <v/>
      </c>
      <c r="EK197" s="39">
        <f>IF(N('Dvd Calendar'!$K$1968)=0,"",IF(('Dvd Calendar'!$K$1968&gt;=GRID_FROM)*('Dvd Calendar'!$K$1968&lt;=GRID_TO)*((('Dvd Calendar'!$K$1968&lt;=VAL_DATE)+(COUNTIF('Dvd Calendar'!$E$1975:$AR$1975,'Dvd Calendar'!$K$1968)=0))&gt;0)=0,"",'Dvd Calendar'!$K$1968*1000000000+ISNUMBER('Dvd Calendar'!$K$1971)*100000000+('Dvd Calendar'!$K$1973=SPECIAL_LBL)*10000000+(N('Dvd Calendar'!$K$1967)&gt;0)*(N('Dvd Calendar'!$K$1967)&lt;=VAL_SERIAL)*1000000+38*1000+7))</f>
        <v/>
      </c>
      <c r="EL197" s="39">
        <f>IF(N('Dvd Calendar'!$L$1968)=0,"",IF(('Dvd Calendar'!$L$1968&gt;=GRID_FROM)*('Dvd Calendar'!$L$1968&lt;=GRID_TO)*((('Dvd Calendar'!$L$1968&lt;=VAL_DATE)+(COUNTIF('Dvd Calendar'!$E$1975:$AR$1975,'Dvd Calendar'!$L$1968)=0))&gt;0)=0,"",'Dvd Calendar'!$L$1968*1000000000+ISNUMBER('Dvd Calendar'!$L$1971)*100000000+('Dvd Calendar'!$L$1973=SPECIAL_LBL)*10000000+(N('Dvd Calendar'!$L$1967)&gt;0)*(N('Dvd Calendar'!$L$1967)&lt;=VAL_SERIAL)*1000000+38*1000+8))</f>
        <v/>
      </c>
      <c r="EM197" s="39">
        <f>IF(N('Dvd Calendar'!$M$1968)=0,"",IF(('Dvd Calendar'!$M$1968&gt;=GRID_FROM)*('Dvd Calendar'!$M$1968&lt;=GRID_TO)*((('Dvd Calendar'!$M$1968&lt;=VAL_DATE)+(COUNTIF('Dvd Calendar'!$E$1975:$AR$1975,'Dvd Calendar'!$M$1968)=0))&gt;0)=0,"",'Dvd Calendar'!$M$1968*1000000000+ISNUMBER('Dvd Calendar'!$M$1971)*100000000+('Dvd Calendar'!$M$1973=SPECIAL_LBL)*10000000+(N('Dvd Calendar'!$M$1967)&gt;0)*(N('Dvd Calendar'!$M$1967)&lt;=VAL_SERIAL)*1000000+38*1000+9))</f>
        <v/>
      </c>
      <c r="EN197" s="39">
        <f>IF(N('Dvd Calendar'!$N$1968)=0,"",IF(('Dvd Calendar'!$N$1968&gt;=GRID_FROM)*('Dvd Calendar'!$N$1968&lt;=GRID_TO)*((('Dvd Calendar'!$N$1968&lt;=VAL_DATE)+(COUNTIF('Dvd Calendar'!$E$1975:$AR$1975,'Dvd Calendar'!$N$1968)=0))&gt;0)=0,"",'Dvd Calendar'!$N$1968*1000000000+ISNUMBER('Dvd Calendar'!$N$1971)*100000000+('Dvd Calendar'!$N$1973=SPECIAL_LBL)*10000000+(N('Dvd Calendar'!$N$1967)&gt;0)*(N('Dvd Calendar'!$N$1967)&lt;=VAL_SERIAL)*1000000+38*1000+10))</f>
        <v/>
      </c>
      <c r="EO197" s="39">
        <f>IF(N('Dvd Calendar'!$O$1968)=0,"",IF(('Dvd Calendar'!$O$1968&gt;=GRID_FROM)*('Dvd Calendar'!$O$1968&lt;=GRID_TO)*((('Dvd Calendar'!$O$1968&lt;=VAL_DATE)+(COUNTIF('Dvd Calendar'!$E$1975:$AR$1975,'Dvd Calendar'!$O$1968)=0))&gt;0)=0,"",'Dvd Calendar'!$O$1968*1000000000+ISNUMBER('Dvd Calendar'!$O$1971)*100000000+('Dvd Calendar'!$O$1973=SPECIAL_LBL)*10000000+(N('Dvd Calendar'!$O$1967)&gt;0)*(N('Dvd Calendar'!$O$1967)&lt;=VAL_SERIAL)*1000000+38*1000+11))</f>
        <v/>
      </c>
      <c r="EP197" s="39">
        <f>IF(N('Dvd Calendar'!$P$1968)=0,"",IF(('Dvd Calendar'!$P$1968&gt;=GRID_FROM)*('Dvd Calendar'!$P$1968&lt;=GRID_TO)*((('Dvd Calendar'!$P$1968&lt;=VAL_DATE)+(COUNTIF('Dvd Calendar'!$E$1975:$AR$1975,'Dvd Calendar'!$P$1968)=0))&gt;0)=0,"",'Dvd Calendar'!$P$1968*1000000000+ISNUMBER('Dvd Calendar'!$P$1971)*100000000+('Dvd Calendar'!$P$1973=SPECIAL_LBL)*10000000+(N('Dvd Calendar'!$P$1967)&gt;0)*(N('Dvd Calendar'!$P$1967)&lt;=VAL_SERIAL)*1000000+38*1000+12))</f>
        <v/>
      </c>
      <c r="EQ197" s="39">
        <f>IF(N('Dvd Calendar'!$Q$1968)=0,"",IF(('Dvd Calendar'!$Q$1968&gt;=GRID_FROM)*('Dvd Calendar'!$Q$1968&lt;=GRID_TO)*((('Dvd Calendar'!$Q$1968&lt;=VAL_DATE)+(COUNTIF('Dvd Calendar'!$E$1975:$AR$1975,'Dvd Calendar'!$Q$1968)=0))&gt;0)=0,"",'Dvd Calendar'!$Q$1968*1000000000+ISNUMBER('Dvd Calendar'!$Q$1971)*100000000+('Dvd Calendar'!$Q$1973=SPECIAL_LBL)*10000000+(N('Dvd Calendar'!$Q$1967)&gt;0)*(N('Dvd Calendar'!$Q$1967)&lt;=VAL_SERIAL)*1000000+38*1000+13))</f>
        <v/>
      </c>
      <c r="ER197" s="39">
        <f>IF(N('Dvd Calendar'!$R$1968)=0,"",IF(('Dvd Calendar'!$R$1968&gt;=GRID_FROM)*('Dvd Calendar'!$R$1968&lt;=GRID_TO)*((('Dvd Calendar'!$R$1968&lt;=VAL_DATE)+(COUNTIF('Dvd Calendar'!$E$1975:$AR$1975,'Dvd Calendar'!$R$1968)=0))&gt;0)=0,"",'Dvd Calendar'!$R$1968*1000000000+ISNUMBER('Dvd Calendar'!$R$1971)*100000000+('Dvd Calendar'!$R$1973=SPECIAL_LBL)*10000000+(N('Dvd Calendar'!$R$1967)&gt;0)*(N('Dvd Calendar'!$R$1967)&lt;=VAL_SERIAL)*1000000+38*1000+14))</f>
        <v/>
      </c>
      <c r="ES197" s="39">
        <f>IF(N('Dvd Calendar'!$S$1968)=0,"",IF(('Dvd Calendar'!$S$1968&gt;=GRID_FROM)*('Dvd Calendar'!$S$1968&lt;=GRID_TO)*((('Dvd Calendar'!$S$1968&lt;=VAL_DATE)+(COUNTIF('Dvd Calendar'!$E$1975:$AR$1975,'Dvd Calendar'!$S$1968)=0))&gt;0)=0,"",'Dvd Calendar'!$S$1968*1000000000+ISNUMBER('Dvd Calendar'!$S$1971)*100000000+('Dvd Calendar'!$S$1973=SPECIAL_LBL)*10000000+(N('Dvd Calendar'!$S$1967)&gt;0)*(N('Dvd Calendar'!$S$1967)&lt;=VAL_SERIAL)*1000000+38*1000+15))</f>
        <v/>
      </c>
      <c r="ET197" s="39">
        <f>IF(N('Dvd Calendar'!$T$1968)=0,"",IF(('Dvd Calendar'!$T$1968&gt;=GRID_FROM)*('Dvd Calendar'!$T$1968&lt;=GRID_TO)*((('Dvd Calendar'!$T$1968&lt;=VAL_DATE)+(COUNTIF('Dvd Calendar'!$E$1975:$AR$1975,'Dvd Calendar'!$T$1968)=0))&gt;0)=0,"",'Dvd Calendar'!$T$1968*1000000000+ISNUMBER('Dvd Calendar'!$T$1971)*100000000+('Dvd Calendar'!$T$1973=SPECIAL_LBL)*10000000+(N('Dvd Calendar'!$T$1967)&gt;0)*(N('Dvd Calendar'!$T$1967)&lt;=VAL_SERIAL)*1000000+38*1000+16))</f>
        <v/>
      </c>
      <c r="EU197" s="39">
        <f>IF(N('Dvd Calendar'!$U$1968)=0,"",IF(('Dvd Calendar'!$U$1968&gt;=GRID_FROM)*('Dvd Calendar'!$U$1968&lt;=GRID_TO)*((('Dvd Calendar'!$U$1968&lt;=VAL_DATE)+(COUNTIF('Dvd Calendar'!$E$1975:$AR$1975,'Dvd Calendar'!$U$1968)=0))&gt;0)=0,"",'Dvd Calendar'!$U$1968*1000000000+ISNUMBER('Dvd Calendar'!$U$1971)*100000000+('Dvd Calendar'!$U$1973=SPECIAL_LBL)*10000000+(N('Dvd Calendar'!$U$1967)&gt;0)*(N('Dvd Calendar'!$U$1967)&lt;=VAL_SERIAL)*1000000+38*1000+17))</f>
        <v/>
      </c>
      <c r="EV197" s="39">
        <f>IF(N('Dvd Calendar'!$V$1968)=0,"",IF(('Dvd Calendar'!$V$1968&gt;=GRID_FROM)*('Dvd Calendar'!$V$1968&lt;=GRID_TO)*((('Dvd Calendar'!$V$1968&lt;=VAL_DATE)+(COUNTIF('Dvd Calendar'!$E$1975:$AR$1975,'Dvd Calendar'!$V$1968)=0))&gt;0)=0,"",'Dvd Calendar'!$V$1968*1000000000+ISNUMBER('Dvd Calendar'!$V$1971)*100000000+('Dvd Calendar'!$V$1973=SPECIAL_LBL)*10000000+(N('Dvd Calendar'!$V$1967)&gt;0)*(N('Dvd Calendar'!$V$1967)&lt;=VAL_SERIAL)*1000000+38*1000+18))</f>
        <v/>
      </c>
      <c r="EW197" s="39">
        <f>IF(N('Dvd Calendar'!$W$1968)=0,"",IF(('Dvd Calendar'!$W$1968&gt;=GRID_FROM)*('Dvd Calendar'!$W$1968&lt;=GRID_TO)*((('Dvd Calendar'!$W$1968&lt;=VAL_DATE)+(COUNTIF('Dvd Calendar'!$E$1975:$AR$1975,'Dvd Calendar'!$W$1968)=0))&gt;0)=0,"",'Dvd Calendar'!$W$1968*1000000000+ISNUMBER('Dvd Calendar'!$W$1971)*100000000+('Dvd Calendar'!$W$1973=SPECIAL_LBL)*10000000+(N('Dvd Calendar'!$W$1967)&gt;0)*(N('Dvd Calendar'!$W$1967)&lt;=VAL_SERIAL)*1000000+38*1000+19))</f>
        <v/>
      </c>
      <c r="EX197" s="39">
        <f>IF(N('Dvd Calendar'!$X$1968)=0,"",IF(('Dvd Calendar'!$X$1968&gt;=GRID_FROM)*('Dvd Calendar'!$X$1968&lt;=GRID_TO)*((('Dvd Calendar'!$X$1968&lt;=VAL_DATE)+(COUNTIF('Dvd Calendar'!$E$1975:$AR$1975,'Dvd Calendar'!$X$1968)=0))&gt;0)=0,"",'Dvd Calendar'!$X$1968*1000000000+ISNUMBER('Dvd Calendar'!$X$1971)*100000000+('Dvd Calendar'!$X$1973=SPECIAL_LBL)*10000000+(N('Dvd Calendar'!$X$1967)&gt;0)*(N('Dvd Calendar'!$X$1967)&lt;=VAL_SERIAL)*1000000+38*1000+20))</f>
        <v/>
      </c>
      <c r="EY197" s="39">
        <f>IF(N('Dvd Calendar'!$Y$1968)=0,"",IF(('Dvd Calendar'!$Y$1968&gt;=GRID_FROM)*('Dvd Calendar'!$Y$1968&lt;=GRID_TO)*((('Dvd Calendar'!$Y$1968&lt;=VAL_DATE)+(COUNTIF('Dvd Calendar'!$E$1975:$AR$1975,'Dvd Calendar'!$Y$1968)=0))&gt;0)=0,"",'Dvd Calendar'!$Y$1968*1000000000+ISNUMBER('Dvd Calendar'!$Y$1971)*100000000+('Dvd Calendar'!$Y$1973=SPECIAL_LBL)*10000000+(N('Dvd Calendar'!$Y$1967)&gt;0)*(N('Dvd Calendar'!$Y$1967)&lt;=VAL_SERIAL)*1000000+38*1000+21))</f>
        <v/>
      </c>
      <c r="EZ197" s="39">
        <f>IF(N('Dvd Calendar'!$Z$1968)=0,"",IF(('Dvd Calendar'!$Z$1968&gt;=GRID_FROM)*('Dvd Calendar'!$Z$1968&lt;=GRID_TO)*((('Dvd Calendar'!$Z$1968&lt;=VAL_DATE)+(COUNTIF('Dvd Calendar'!$E$1975:$AR$1975,'Dvd Calendar'!$Z$1968)=0))&gt;0)=0,"",'Dvd Calendar'!$Z$1968*1000000000+ISNUMBER('Dvd Calendar'!$Z$1971)*100000000+('Dvd Calendar'!$Z$1973=SPECIAL_LBL)*10000000+(N('Dvd Calendar'!$Z$1967)&gt;0)*(N('Dvd Calendar'!$Z$1967)&lt;=VAL_SERIAL)*1000000+38*1000+22))</f>
        <v/>
      </c>
      <c r="FA197" s="39">
        <f>IF(N('Dvd Calendar'!$AA$1968)=0,"",IF(('Dvd Calendar'!$AA$1968&gt;=GRID_FROM)*('Dvd Calendar'!$AA$1968&lt;=GRID_TO)*((('Dvd Calendar'!$AA$1968&lt;=VAL_DATE)+(COUNTIF('Dvd Calendar'!$E$1975:$AR$1975,'Dvd Calendar'!$AA$1968)=0))&gt;0)=0,"",'Dvd Calendar'!$AA$1968*1000000000+ISNUMBER('Dvd Calendar'!$AA$1971)*100000000+('Dvd Calendar'!$AA$1973=SPECIAL_LBL)*10000000+(N('Dvd Calendar'!$AA$1967)&gt;0)*(N('Dvd Calendar'!$AA$1967)&lt;=VAL_SERIAL)*1000000+38*1000+23))</f>
        <v/>
      </c>
      <c r="FB197" s="39">
        <f>IF(N('Dvd Calendar'!$AB$1968)=0,"",IF(('Dvd Calendar'!$AB$1968&gt;=GRID_FROM)*('Dvd Calendar'!$AB$1968&lt;=GRID_TO)*((('Dvd Calendar'!$AB$1968&lt;=VAL_DATE)+(COUNTIF('Dvd Calendar'!$E$1975:$AR$1975,'Dvd Calendar'!$AB$1968)=0))&gt;0)=0,"",'Dvd Calendar'!$AB$1968*1000000000+ISNUMBER('Dvd Calendar'!$AB$1971)*100000000+('Dvd Calendar'!$AB$1973=SPECIAL_LBL)*10000000+(N('Dvd Calendar'!$AB$1967)&gt;0)*(N('Dvd Calendar'!$AB$1967)&lt;=VAL_SERIAL)*1000000+38*1000+24))</f>
        <v/>
      </c>
      <c r="FC197" s="39">
        <f>IF(N('Dvd Calendar'!$AC$1968)=0,"",IF(('Dvd Calendar'!$AC$1968&gt;=GRID_FROM)*('Dvd Calendar'!$AC$1968&lt;=GRID_TO)*((('Dvd Calendar'!$AC$1968&lt;=VAL_DATE)+(COUNTIF('Dvd Calendar'!$E$1975:$AR$1975,'Dvd Calendar'!$AC$1968)=0))&gt;0)=0,"",'Dvd Calendar'!$AC$1968*1000000000+ISNUMBER('Dvd Calendar'!$AC$1971)*100000000+('Dvd Calendar'!$AC$1973=SPECIAL_LBL)*10000000+(N('Dvd Calendar'!$AC$1967)&gt;0)*(N('Dvd Calendar'!$AC$1967)&lt;=VAL_SERIAL)*1000000+38*1000+25))</f>
        <v/>
      </c>
      <c r="FD197" s="39">
        <f>IF(N('Dvd Calendar'!$AD$1968)=0,"",IF(('Dvd Calendar'!$AD$1968&gt;=GRID_FROM)*('Dvd Calendar'!$AD$1968&lt;=GRID_TO)*((('Dvd Calendar'!$AD$1968&lt;=VAL_DATE)+(COUNTIF('Dvd Calendar'!$E$1975:$AR$1975,'Dvd Calendar'!$AD$1968)=0))&gt;0)=0,"",'Dvd Calendar'!$AD$1968*1000000000+ISNUMBER('Dvd Calendar'!$AD$1971)*100000000+('Dvd Calendar'!$AD$1973=SPECIAL_LBL)*10000000+(N('Dvd Calendar'!$AD$1967)&gt;0)*(N('Dvd Calendar'!$AD$1967)&lt;=VAL_SERIAL)*1000000+38*1000+26))</f>
        <v/>
      </c>
      <c r="FE197" s="39">
        <f>IF(N('Dvd Calendar'!$AE$1968)=0,"",IF(('Dvd Calendar'!$AE$1968&gt;=GRID_FROM)*('Dvd Calendar'!$AE$1968&lt;=GRID_TO)*((('Dvd Calendar'!$AE$1968&lt;=VAL_DATE)+(COUNTIF('Dvd Calendar'!$E$1975:$AR$1975,'Dvd Calendar'!$AE$1968)=0))&gt;0)=0,"",'Dvd Calendar'!$AE$1968*1000000000+ISNUMBER('Dvd Calendar'!$AE$1971)*100000000+('Dvd Calendar'!$AE$1973=SPECIAL_LBL)*10000000+(N('Dvd Calendar'!$AE$1967)&gt;0)*(N('Dvd Calendar'!$AE$1967)&lt;=VAL_SERIAL)*1000000+38*1000+27))</f>
        <v/>
      </c>
      <c r="FF197" s="39">
        <f>IF(N('Dvd Calendar'!$AF$1968)=0,"",IF(('Dvd Calendar'!$AF$1968&gt;=GRID_FROM)*('Dvd Calendar'!$AF$1968&lt;=GRID_TO)*((('Dvd Calendar'!$AF$1968&lt;=VAL_DATE)+(COUNTIF('Dvd Calendar'!$E$1975:$AR$1975,'Dvd Calendar'!$AF$1968)=0))&gt;0)=0,"",'Dvd Calendar'!$AF$1968*1000000000+ISNUMBER('Dvd Calendar'!$AF$1971)*100000000+('Dvd Calendar'!$AF$1973=SPECIAL_LBL)*10000000+(N('Dvd Calendar'!$AF$1967)&gt;0)*(N('Dvd Calendar'!$AF$1967)&lt;=VAL_SERIAL)*1000000+38*1000+28))</f>
        <v/>
      </c>
      <c r="FG197" s="39">
        <f>IF(N('Dvd Calendar'!$AG$1968)=0,"",IF(('Dvd Calendar'!$AG$1968&gt;=GRID_FROM)*('Dvd Calendar'!$AG$1968&lt;=GRID_TO)*((('Dvd Calendar'!$AG$1968&lt;=VAL_DATE)+(COUNTIF('Dvd Calendar'!$E$1975:$AR$1975,'Dvd Calendar'!$AG$1968)=0))&gt;0)=0,"",'Dvd Calendar'!$AG$1968*1000000000+ISNUMBER('Dvd Calendar'!$AG$1971)*100000000+('Dvd Calendar'!$AG$1973=SPECIAL_LBL)*10000000+(N('Dvd Calendar'!$AG$1967)&gt;0)*(N('Dvd Calendar'!$AG$1967)&lt;=VAL_SERIAL)*1000000+38*1000+29))</f>
        <v/>
      </c>
      <c r="FH197" s="39">
        <f>IF(N('Dvd Calendar'!$AH$1968)=0,"",IF(('Dvd Calendar'!$AH$1968&gt;=GRID_FROM)*('Dvd Calendar'!$AH$1968&lt;=GRID_TO)*((('Dvd Calendar'!$AH$1968&lt;=VAL_DATE)+(COUNTIF('Dvd Calendar'!$E$1975:$AR$1975,'Dvd Calendar'!$AH$1968)=0))&gt;0)=0,"",'Dvd Calendar'!$AH$1968*1000000000+ISNUMBER('Dvd Calendar'!$AH$1971)*100000000+('Dvd Calendar'!$AH$1973=SPECIAL_LBL)*10000000+(N('Dvd Calendar'!$AH$1967)&gt;0)*(N('Dvd Calendar'!$AH$1967)&lt;=VAL_SERIAL)*1000000+38*1000+30))</f>
        <v/>
      </c>
      <c r="FI197" s="39">
        <f>IF(N('Dvd Calendar'!$AI$1968)=0,"",IF(('Dvd Calendar'!$AI$1968&gt;=GRID_FROM)*('Dvd Calendar'!$AI$1968&lt;=GRID_TO)*((('Dvd Calendar'!$AI$1968&lt;=VAL_DATE)+(COUNTIF('Dvd Calendar'!$E$1975:$AR$1975,'Dvd Calendar'!$AI$1968)=0))&gt;0)=0,"",'Dvd Calendar'!$AI$1968*1000000000+ISNUMBER('Dvd Calendar'!$AI$1971)*100000000+('Dvd Calendar'!$AI$1973=SPECIAL_LBL)*10000000+(N('Dvd Calendar'!$AI$1967)&gt;0)*(N('Dvd Calendar'!$AI$1967)&lt;=VAL_SERIAL)*1000000+38*1000+31))</f>
        <v/>
      </c>
      <c r="FJ197" s="39">
        <f>IF(N('Dvd Calendar'!$AJ$1968)=0,"",IF(('Dvd Calendar'!$AJ$1968&gt;=GRID_FROM)*('Dvd Calendar'!$AJ$1968&lt;=GRID_TO)*((('Dvd Calendar'!$AJ$1968&lt;=VAL_DATE)+(COUNTIF('Dvd Calendar'!$E$1975:$AR$1975,'Dvd Calendar'!$AJ$1968)=0))&gt;0)=0,"",'Dvd Calendar'!$AJ$1968*1000000000+ISNUMBER('Dvd Calendar'!$AJ$1971)*100000000+('Dvd Calendar'!$AJ$1973=SPECIAL_LBL)*10000000+(N('Dvd Calendar'!$AJ$1967)&gt;0)*(N('Dvd Calendar'!$AJ$1967)&lt;=VAL_SERIAL)*1000000+38*1000+32))</f>
        <v/>
      </c>
      <c r="FK197" s="39">
        <f>IF(N('Dvd Calendar'!$AK$1968)=0,"",IF(('Dvd Calendar'!$AK$1968&gt;=GRID_FROM)*('Dvd Calendar'!$AK$1968&lt;=GRID_TO)*((('Dvd Calendar'!$AK$1968&lt;=VAL_DATE)+(COUNTIF('Dvd Calendar'!$E$1975:$AR$1975,'Dvd Calendar'!$AK$1968)=0))&gt;0)=0,"",'Dvd Calendar'!$AK$1968*1000000000+ISNUMBER('Dvd Calendar'!$AK$1971)*100000000+('Dvd Calendar'!$AK$1973=SPECIAL_LBL)*10000000+(N('Dvd Calendar'!$AK$1967)&gt;0)*(N('Dvd Calendar'!$AK$1967)&lt;=VAL_SERIAL)*1000000+38*1000+33))</f>
        <v/>
      </c>
      <c r="FL197" s="39">
        <f>IF(N('Dvd Calendar'!$AL$1968)=0,"",IF(('Dvd Calendar'!$AL$1968&gt;=GRID_FROM)*('Dvd Calendar'!$AL$1968&lt;=GRID_TO)*((('Dvd Calendar'!$AL$1968&lt;=VAL_DATE)+(COUNTIF('Dvd Calendar'!$E$1975:$AR$1975,'Dvd Calendar'!$AL$1968)=0))&gt;0)=0,"",'Dvd Calendar'!$AL$1968*1000000000+ISNUMBER('Dvd Calendar'!$AL$1971)*100000000+('Dvd Calendar'!$AL$1973=SPECIAL_LBL)*10000000+(N('Dvd Calendar'!$AL$1967)&gt;0)*(N('Dvd Calendar'!$AL$1967)&lt;=VAL_SERIAL)*1000000+38*1000+34))</f>
        <v/>
      </c>
      <c r="FM197" s="39">
        <f>IF(N('Dvd Calendar'!$AM$1968)=0,"",IF(('Dvd Calendar'!$AM$1968&gt;=GRID_FROM)*('Dvd Calendar'!$AM$1968&lt;=GRID_TO)*((('Dvd Calendar'!$AM$1968&lt;=VAL_DATE)+(COUNTIF('Dvd Calendar'!$E$1975:$AR$1975,'Dvd Calendar'!$AM$1968)=0))&gt;0)=0,"",'Dvd Calendar'!$AM$1968*1000000000+ISNUMBER('Dvd Calendar'!$AM$1971)*100000000+('Dvd Calendar'!$AM$1973=SPECIAL_LBL)*10000000+(N('Dvd Calendar'!$AM$1967)&gt;0)*(N('Dvd Calendar'!$AM$1967)&lt;=VAL_SERIAL)*1000000+38*1000+35))</f>
        <v/>
      </c>
      <c r="FN197" s="39">
        <f>IF(N('Dvd Calendar'!$AN$1968)=0,"",IF(('Dvd Calendar'!$AN$1968&gt;=GRID_FROM)*('Dvd Calendar'!$AN$1968&lt;=GRID_TO)*((('Dvd Calendar'!$AN$1968&lt;=VAL_DATE)+(COUNTIF('Dvd Calendar'!$E$1975:$AR$1975,'Dvd Calendar'!$AN$1968)=0))&gt;0)=0,"",'Dvd Calendar'!$AN$1968*1000000000+ISNUMBER('Dvd Calendar'!$AN$1971)*100000000+('Dvd Calendar'!$AN$1973=SPECIAL_LBL)*10000000+(N('Dvd Calendar'!$AN$1967)&gt;0)*(N('Dvd Calendar'!$AN$1967)&lt;=VAL_SERIAL)*1000000+38*1000+36))</f>
        <v/>
      </c>
      <c r="FO197" s="39">
        <f>IF(N('Dvd Calendar'!$AO$1968)=0,"",IF(('Dvd Calendar'!$AO$1968&gt;=GRID_FROM)*('Dvd Calendar'!$AO$1968&lt;=GRID_TO)*((('Dvd Calendar'!$AO$1968&lt;=VAL_DATE)+(COUNTIF('Dvd Calendar'!$E$1975:$AR$1975,'Dvd Calendar'!$AO$1968)=0))&gt;0)=0,"",'Dvd Calendar'!$AO$1968*1000000000+ISNUMBER('Dvd Calendar'!$AO$1971)*100000000+('Dvd Calendar'!$AO$1973=SPECIAL_LBL)*10000000+(N('Dvd Calendar'!$AO$1967)&gt;0)*(N('Dvd Calendar'!$AO$1967)&lt;=VAL_SERIAL)*1000000+38*1000+37))</f>
        <v/>
      </c>
      <c r="FP197" s="39">
        <f>IF(N('Dvd Calendar'!$AP$1968)=0,"",IF(('Dvd Calendar'!$AP$1968&gt;=GRID_FROM)*('Dvd Calendar'!$AP$1968&lt;=GRID_TO)*((('Dvd Calendar'!$AP$1968&lt;=VAL_DATE)+(COUNTIF('Dvd Calendar'!$E$1975:$AR$1975,'Dvd Calendar'!$AP$1968)=0))&gt;0)=0,"",'Dvd Calendar'!$AP$1968*1000000000+ISNUMBER('Dvd Calendar'!$AP$1971)*100000000+('Dvd Calendar'!$AP$1973=SPECIAL_LBL)*10000000+(N('Dvd Calendar'!$AP$1967)&gt;0)*(N('Dvd Calendar'!$AP$1967)&lt;=VAL_SERIAL)*1000000+38*1000+38))</f>
        <v/>
      </c>
      <c r="FQ197" s="39">
        <f>IF(N('Dvd Calendar'!$AQ$1968)=0,"",IF(('Dvd Calendar'!$AQ$1968&gt;=GRID_FROM)*('Dvd Calendar'!$AQ$1968&lt;=GRID_TO)*((('Dvd Calendar'!$AQ$1968&lt;=VAL_DATE)+(COUNTIF('Dvd Calendar'!$E$1975:$AR$1975,'Dvd Calendar'!$AQ$1968)=0))&gt;0)=0,"",'Dvd Calendar'!$AQ$1968*1000000000+ISNUMBER('Dvd Calendar'!$AQ$1971)*100000000+('Dvd Calendar'!$AQ$1973=SPECIAL_LBL)*10000000+(N('Dvd Calendar'!$AQ$1967)&gt;0)*(N('Dvd Calendar'!$AQ$1967)&lt;=VAL_SERIAL)*1000000+38*1000+39))</f>
        <v/>
      </c>
      <c r="FR197" s="39">
        <f>IF(N('Dvd Calendar'!$AR$1968)=0,"",IF(('Dvd Calendar'!$AR$1968&gt;=GRID_FROM)*('Dvd Calendar'!$AR$1968&lt;=GRID_TO)*((('Dvd Calendar'!$AR$1968&lt;=VAL_DATE)+(COUNTIF('Dvd Calendar'!$E$1975:$AR$1975,'Dvd Calendar'!$AR$1968)=0))&gt;0)=0,"",'Dvd Calendar'!$AR$1968*1000000000+ISNUMBER('Dvd Calendar'!$AR$1971)*100000000+('Dvd Calendar'!$AR$1973=SPECIAL_LBL)*10000000+(N('Dvd Calendar'!$AR$1967)&gt;0)*(N('Dvd Calendar'!$AR$1967)&lt;=VAL_SERIAL)*1000000+38*1000+40))</f>
        <v/>
      </c>
      <c r="FS197" s="39">
        <f>IF(N('Dvd Calendar'!$E$1975)=0,"",IF(('Dvd Calendar'!$E$1975&gt;=GRID_FROM)*('Dvd Calendar'!$E$1975&lt;=GRID_TO)*('Dvd Calendar'!$E$1975&gt;VAL_DATE)=0,"",'Dvd Calendar'!$E$1975*1000000000+ISNUMBER('Dvd Calendar'!$E$1976)*100000000+0*10000000+(N('Dvd Calendar'!$E$1974)&gt;0)*(N('Dvd Calendar'!$E$1974)&lt;=VAL_SERIAL)*1000000+38*1000+41))</f>
        <v/>
      </c>
      <c r="FT197" s="39">
        <f>IF(N('Dvd Calendar'!$F$1975)=0,"",IF(('Dvd Calendar'!$F$1975&gt;=GRID_FROM)*('Dvd Calendar'!$F$1975&lt;=GRID_TO)*('Dvd Calendar'!$F$1975&gt;VAL_DATE)=0,"",'Dvd Calendar'!$F$1975*1000000000+ISNUMBER('Dvd Calendar'!$F$1976)*100000000+0*10000000+(N('Dvd Calendar'!$F$1974)&gt;0)*(N('Dvd Calendar'!$F$1974)&lt;=VAL_SERIAL)*1000000+38*1000+42))</f>
        <v/>
      </c>
      <c r="FU197" s="39">
        <f>IF(N('Dvd Calendar'!$G$1975)=0,"",IF(('Dvd Calendar'!$G$1975&gt;=GRID_FROM)*('Dvd Calendar'!$G$1975&lt;=GRID_TO)*('Dvd Calendar'!$G$1975&gt;VAL_DATE)=0,"",'Dvd Calendar'!$G$1975*1000000000+ISNUMBER('Dvd Calendar'!$G$1976)*100000000+0*10000000+(N('Dvd Calendar'!$G$1974)&gt;0)*(N('Dvd Calendar'!$G$1974)&lt;=VAL_SERIAL)*1000000+38*1000+43))</f>
        <v/>
      </c>
      <c r="FV197" s="39">
        <f>IF(N('Dvd Calendar'!$H$1975)=0,"",IF(('Dvd Calendar'!$H$1975&gt;=GRID_FROM)*('Dvd Calendar'!$H$1975&lt;=GRID_TO)*('Dvd Calendar'!$H$1975&gt;VAL_DATE)=0,"",'Dvd Calendar'!$H$1975*1000000000+ISNUMBER('Dvd Calendar'!$H$1976)*100000000+0*10000000+(N('Dvd Calendar'!$H$1974)&gt;0)*(N('Dvd Calendar'!$H$1974)&lt;=VAL_SERIAL)*1000000+38*1000+44))</f>
        <v/>
      </c>
      <c r="FW197" s="39">
        <f>IF(N('Dvd Calendar'!$I$1975)=0,"",IF(('Dvd Calendar'!$I$1975&gt;=GRID_FROM)*('Dvd Calendar'!$I$1975&lt;=GRID_TO)*('Dvd Calendar'!$I$1975&gt;VAL_DATE)=0,"",'Dvd Calendar'!$I$1975*1000000000+ISNUMBER('Dvd Calendar'!$I$1976)*100000000+0*10000000+(N('Dvd Calendar'!$I$1974)&gt;0)*(N('Dvd Calendar'!$I$1974)&lt;=VAL_SERIAL)*1000000+38*1000+45))</f>
        <v/>
      </c>
      <c r="FX197" s="39">
        <f>IF(N('Dvd Calendar'!$J$1975)=0,"",IF(('Dvd Calendar'!$J$1975&gt;=GRID_FROM)*('Dvd Calendar'!$J$1975&lt;=GRID_TO)*('Dvd Calendar'!$J$1975&gt;VAL_DATE)=0,"",'Dvd Calendar'!$J$1975*1000000000+ISNUMBER('Dvd Calendar'!$J$1976)*100000000+0*10000000+(N('Dvd Calendar'!$J$1974)&gt;0)*(N('Dvd Calendar'!$J$1974)&lt;=VAL_SERIAL)*1000000+38*1000+46))</f>
        <v/>
      </c>
      <c r="FY197" s="39">
        <f>IF(N('Dvd Calendar'!$K$1975)=0,"",IF(('Dvd Calendar'!$K$1975&gt;=GRID_FROM)*('Dvd Calendar'!$K$1975&lt;=GRID_TO)*('Dvd Calendar'!$K$1975&gt;VAL_DATE)=0,"",'Dvd Calendar'!$K$1975*1000000000+ISNUMBER('Dvd Calendar'!$K$1976)*100000000+0*10000000+(N('Dvd Calendar'!$K$1974)&gt;0)*(N('Dvd Calendar'!$K$1974)&lt;=VAL_SERIAL)*1000000+38*1000+47))</f>
        <v/>
      </c>
      <c r="FZ197" s="39">
        <f>IF(N('Dvd Calendar'!$L$1975)=0,"",IF(('Dvd Calendar'!$L$1975&gt;=GRID_FROM)*('Dvd Calendar'!$L$1975&lt;=GRID_TO)*('Dvd Calendar'!$L$1975&gt;VAL_DATE)=0,"",'Dvd Calendar'!$L$1975*1000000000+ISNUMBER('Dvd Calendar'!$L$1976)*100000000+0*10000000+(N('Dvd Calendar'!$L$1974)&gt;0)*(N('Dvd Calendar'!$L$1974)&lt;=VAL_SERIAL)*1000000+38*1000+48))</f>
        <v/>
      </c>
      <c r="GA197" s="39">
        <f>IF(N('Dvd Calendar'!$M$1975)=0,"",IF(('Dvd Calendar'!$M$1975&gt;=GRID_FROM)*('Dvd Calendar'!$M$1975&lt;=GRID_TO)*('Dvd Calendar'!$M$1975&gt;VAL_DATE)=0,"",'Dvd Calendar'!$M$1975*1000000000+ISNUMBER('Dvd Calendar'!$M$1976)*100000000+0*10000000+(N('Dvd Calendar'!$M$1974)&gt;0)*(N('Dvd Calendar'!$M$1974)&lt;=VAL_SERIAL)*1000000+38*1000+49))</f>
        <v/>
      </c>
      <c r="GB197" s="39">
        <f>IF(N('Dvd Calendar'!$N$1975)=0,"",IF(('Dvd Calendar'!$N$1975&gt;=GRID_FROM)*('Dvd Calendar'!$N$1975&lt;=GRID_TO)*('Dvd Calendar'!$N$1975&gt;VAL_DATE)=0,"",'Dvd Calendar'!$N$1975*1000000000+ISNUMBER('Dvd Calendar'!$N$1976)*100000000+0*10000000+(N('Dvd Calendar'!$N$1974)&gt;0)*(N('Dvd Calendar'!$N$1974)&lt;=VAL_SERIAL)*1000000+38*1000+50))</f>
        <v/>
      </c>
      <c r="GC197" s="39">
        <f>IF(N('Dvd Calendar'!$O$1975)=0,"",IF(('Dvd Calendar'!$O$1975&gt;=GRID_FROM)*('Dvd Calendar'!$O$1975&lt;=GRID_TO)*('Dvd Calendar'!$O$1975&gt;VAL_DATE)=0,"",'Dvd Calendar'!$O$1975*1000000000+ISNUMBER('Dvd Calendar'!$O$1976)*100000000+0*10000000+(N('Dvd Calendar'!$O$1974)&gt;0)*(N('Dvd Calendar'!$O$1974)&lt;=VAL_SERIAL)*1000000+38*1000+51))</f>
        <v/>
      </c>
      <c r="GD197" s="39">
        <f>IF(N('Dvd Calendar'!$P$1975)=0,"",IF(('Dvd Calendar'!$P$1975&gt;=GRID_FROM)*('Dvd Calendar'!$P$1975&lt;=GRID_TO)*('Dvd Calendar'!$P$1975&gt;VAL_DATE)=0,"",'Dvd Calendar'!$P$1975*1000000000+ISNUMBER('Dvd Calendar'!$P$1976)*100000000+0*10000000+(N('Dvd Calendar'!$P$1974)&gt;0)*(N('Dvd Calendar'!$P$1974)&lt;=VAL_SERIAL)*1000000+38*1000+52))</f>
        <v/>
      </c>
      <c r="GE197" s="39">
        <f>IF(N('Dvd Calendar'!$Q$1975)=0,"",IF(('Dvd Calendar'!$Q$1975&gt;=GRID_FROM)*('Dvd Calendar'!$Q$1975&lt;=GRID_TO)*('Dvd Calendar'!$Q$1975&gt;VAL_DATE)=0,"",'Dvd Calendar'!$Q$1975*1000000000+ISNUMBER('Dvd Calendar'!$Q$1976)*100000000+0*10000000+(N('Dvd Calendar'!$Q$1974)&gt;0)*(N('Dvd Calendar'!$Q$1974)&lt;=VAL_SERIAL)*1000000+38*1000+53))</f>
        <v/>
      </c>
      <c r="GF197" s="39">
        <f>IF(N('Dvd Calendar'!$R$1975)=0,"",IF(('Dvd Calendar'!$R$1975&gt;=GRID_FROM)*('Dvd Calendar'!$R$1975&lt;=GRID_TO)*('Dvd Calendar'!$R$1975&gt;VAL_DATE)=0,"",'Dvd Calendar'!$R$1975*1000000000+ISNUMBER('Dvd Calendar'!$R$1976)*100000000+0*10000000+(N('Dvd Calendar'!$R$1974)&gt;0)*(N('Dvd Calendar'!$R$1974)&lt;=VAL_SERIAL)*1000000+38*1000+54))</f>
        <v/>
      </c>
      <c r="GG197" s="39">
        <f>IF(N('Dvd Calendar'!$S$1975)=0,"",IF(('Dvd Calendar'!$S$1975&gt;=GRID_FROM)*('Dvd Calendar'!$S$1975&lt;=GRID_TO)*('Dvd Calendar'!$S$1975&gt;VAL_DATE)=0,"",'Dvd Calendar'!$S$1975*1000000000+ISNUMBER('Dvd Calendar'!$S$1976)*100000000+0*10000000+(N('Dvd Calendar'!$S$1974)&gt;0)*(N('Dvd Calendar'!$S$1974)&lt;=VAL_SERIAL)*1000000+38*1000+55))</f>
        <v/>
      </c>
      <c r="GH197" s="39">
        <f>IF(N('Dvd Calendar'!$T$1975)=0,"",IF(('Dvd Calendar'!$T$1975&gt;=GRID_FROM)*('Dvd Calendar'!$T$1975&lt;=GRID_TO)*('Dvd Calendar'!$T$1975&gt;VAL_DATE)=0,"",'Dvd Calendar'!$T$1975*1000000000+ISNUMBER('Dvd Calendar'!$T$1976)*100000000+0*10000000+(N('Dvd Calendar'!$T$1974)&gt;0)*(N('Dvd Calendar'!$T$1974)&lt;=VAL_SERIAL)*1000000+38*1000+56))</f>
        <v/>
      </c>
      <c r="GI197" s="39">
        <f>IF(N('Dvd Calendar'!$U$1975)=0,"",IF(('Dvd Calendar'!$U$1975&gt;=GRID_FROM)*('Dvd Calendar'!$U$1975&lt;=GRID_TO)*('Dvd Calendar'!$U$1975&gt;VAL_DATE)=0,"",'Dvd Calendar'!$U$1975*1000000000+ISNUMBER('Dvd Calendar'!$U$1976)*100000000+0*10000000+(N('Dvd Calendar'!$U$1974)&gt;0)*(N('Dvd Calendar'!$U$1974)&lt;=VAL_SERIAL)*1000000+38*1000+57))</f>
        <v/>
      </c>
      <c r="GJ197" s="39">
        <f>IF(N('Dvd Calendar'!$V$1975)=0,"",IF(('Dvd Calendar'!$V$1975&gt;=GRID_FROM)*('Dvd Calendar'!$V$1975&lt;=GRID_TO)*('Dvd Calendar'!$V$1975&gt;VAL_DATE)=0,"",'Dvd Calendar'!$V$1975*1000000000+ISNUMBER('Dvd Calendar'!$V$1976)*100000000+0*10000000+(N('Dvd Calendar'!$V$1974)&gt;0)*(N('Dvd Calendar'!$V$1974)&lt;=VAL_SERIAL)*1000000+38*1000+58))</f>
        <v/>
      </c>
      <c r="GK197" s="39">
        <f>IF(N('Dvd Calendar'!$W$1975)=0,"",IF(('Dvd Calendar'!$W$1975&gt;=GRID_FROM)*('Dvd Calendar'!$W$1975&lt;=GRID_TO)*('Dvd Calendar'!$W$1975&gt;VAL_DATE)=0,"",'Dvd Calendar'!$W$1975*1000000000+ISNUMBER('Dvd Calendar'!$W$1976)*100000000+0*10000000+(N('Dvd Calendar'!$W$1974)&gt;0)*(N('Dvd Calendar'!$W$1974)&lt;=VAL_SERIAL)*1000000+38*1000+59))</f>
        <v/>
      </c>
      <c r="GL197" s="39">
        <f>IF(N('Dvd Calendar'!$X$1975)=0,"",IF(('Dvd Calendar'!$X$1975&gt;=GRID_FROM)*('Dvd Calendar'!$X$1975&lt;=GRID_TO)*('Dvd Calendar'!$X$1975&gt;VAL_DATE)=0,"",'Dvd Calendar'!$X$1975*1000000000+ISNUMBER('Dvd Calendar'!$X$1976)*100000000+0*10000000+(N('Dvd Calendar'!$X$1974)&gt;0)*(N('Dvd Calendar'!$X$1974)&lt;=VAL_SERIAL)*1000000+38*1000+60))</f>
        <v/>
      </c>
      <c r="GM197" s="39">
        <f>IF(N('Dvd Calendar'!$Y$1975)=0,"",IF(('Dvd Calendar'!$Y$1975&gt;=GRID_FROM)*('Dvd Calendar'!$Y$1975&lt;=GRID_TO)*('Dvd Calendar'!$Y$1975&gt;VAL_DATE)=0,"",'Dvd Calendar'!$Y$1975*1000000000+ISNUMBER('Dvd Calendar'!$Y$1976)*100000000+0*10000000+(N('Dvd Calendar'!$Y$1974)&gt;0)*(N('Dvd Calendar'!$Y$1974)&lt;=VAL_SERIAL)*1000000+38*1000+61))</f>
        <v/>
      </c>
      <c r="GN197" s="39">
        <f>IF(N('Dvd Calendar'!$Z$1975)=0,"",IF(('Dvd Calendar'!$Z$1975&gt;=GRID_FROM)*('Dvd Calendar'!$Z$1975&lt;=GRID_TO)*('Dvd Calendar'!$Z$1975&gt;VAL_DATE)=0,"",'Dvd Calendar'!$Z$1975*1000000000+ISNUMBER('Dvd Calendar'!$Z$1976)*100000000+0*10000000+(N('Dvd Calendar'!$Z$1974)&gt;0)*(N('Dvd Calendar'!$Z$1974)&lt;=VAL_SERIAL)*1000000+38*1000+62))</f>
        <v/>
      </c>
      <c r="GO197" s="39">
        <f>IF(N('Dvd Calendar'!$AA$1975)=0,"",IF(('Dvd Calendar'!$AA$1975&gt;=GRID_FROM)*('Dvd Calendar'!$AA$1975&lt;=GRID_TO)*('Dvd Calendar'!$AA$1975&gt;VAL_DATE)=0,"",'Dvd Calendar'!$AA$1975*1000000000+ISNUMBER('Dvd Calendar'!$AA$1976)*100000000+0*10000000+(N('Dvd Calendar'!$AA$1974)&gt;0)*(N('Dvd Calendar'!$AA$1974)&lt;=VAL_SERIAL)*1000000+38*1000+63))</f>
        <v/>
      </c>
      <c r="GP197" s="39">
        <f>IF(N('Dvd Calendar'!$AB$1975)=0,"",IF(('Dvd Calendar'!$AB$1975&gt;=GRID_FROM)*('Dvd Calendar'!$AB$1975&lt;=GRID_TO)*('Dvd Calendar'!$AB$1975&gt;VAL_DATE)=0,"",'Dvd Calendar'!$AB$1975*1000000000+ISNUMBER('Dvd Calendar'!$AB$1976)*100000000+0*10000000+(N('Dvd Calendar'!$AB$1974)&gt;0)*(N('Dvd Calendar'!$AB$1974)&lt;=VAL_SERIAL)*1000000+38*1000+64))</f>
        <v/>
      </c>
      <c r="GQ197" s="39">
        <f>IF(N('Dvd Calendar'!$AC$1975)=0,"",IF(('Dvd Calendar'!$AC$1975&gt;=GRID_FROM)*('Dvd Calendar'!$AC$1975&lt;=GRID_TO)*('Dvd Calendar'!$AC$1975&gt;VAL_DATE)=0,"",'Dvd Calendar'!$AC$1975*1000000000+ISNUMBER('Dvd Calendar'!$AC$1976)*100000000+0*10000000+(N('Dvd Calendar'!$AC$1974)&gt;0)*(N('Dvd Calendar'!$AC$1974)&lt;=VAL_SERIAL)*1000000+38*1000+65))</f>
        <v/>
      </c>
    </row>
    <row r="198">
      <c r="B198" s="2">
        <f>IF(HSCEI!$C$45="","",HSCEI!$C$45)</f>
        <v/>
      </c>
      <c r="C198" s="110">
        <f>IF(EE198="","",IF(ISNUMBER('Dvd Calendar'!$E$1982)=FALSE,"",IF((('Dvd Calendar'!$E$1984=TYPE1)*(TYPE1&lt;&gt;"")+('Dvd Calendar'!$E$1984=TYPE2)*(TYPE2&lt;&gt;"")+('Dvd Calendar'!$E$1984=TYPE3)*(TYPE3&lt;&gt;"")+('Dvd Calendar'!$E$1984=TYPE4)*(TYPE4&lt;&gt;"")+('Dvd Calendar'!$E$1984=SPECIAL_LBL)*(INC_SPECIALS="Y"))=0,"",'Dvd Calendar'!$E$1982)))</f>
        <v/>
      </c>
      <c r="D198" s="110">
        <f>IF(EF198="","",IF(ISNUMBER('Dvd Calendar'!$F$1982)=FALSE,"",IF((('Dvd Calendar'!$F$1984=TYPE1)*(TYPE1&lt;&gt;"")+('Dvd Calendar'!$F$1984=TYPE2)*(TYPE2&lt;&gt;"")+('Dvd Calendar'!$F$1984=TYPE3)*(TYPE3&lt;&gt;"")+('Dvd Calendar'!$F$1984=TYPE4)*(TYPE4&lt;&gt;"")+('Dvd Calendar'!$F$1984=SPECIAL_LBL)*(INC_SPECIALS="Y"))=0,"",'Dvd Calendar'!$F$1982)))</f>
        <v/>
      </c>
      <c r="E198" s="110">
        <f>IF(EG198="","",IF(ISNUMBER('Dvd Calendar'!$G$1982)=FALSE,"",IF((('Dvd Calendar'!$G$1984=TYPE1)*(TYPE1&lt;&gt;"")+('Dvd Calendar'!$G$1984=TYPE2)*(TYPE2&lt;&gt;"")+('Dvd Calendar'!$G$1984=TYPE3)*(TYPE3&lt;&gt;"")+('Dvd Calendar'!$G$1984=TYPE4)*(TYPE4&lt;&gt;"")+('Dvd Calendar'!$G$1984=SPECIAL_LBL)*(INC_SPECIALS="Y"))=0,"",'Dvd Calendar'!$G$1982)))</f>
        <v/>
      </c>
      <c r="F198" s="110">
        <f>IF(EH198="","",IF(ISNUMBER('Dvd Calendar'!$H$1982)=FALSE,"",IF((('Dvd Calendar'!$H$1984=TYPE1)*(TYPE1&lt;&gt;"")+('Dvd Calendar'!$H$1984=TYPE2)*(TYPE2&lt;&gt;"")+('Dvd Calendar'!$H$1984=TYPE3)*(TYPE3&lt;&gt;"")+('Dvd Calendar'!$H$1984=TYPE4)*(TYPE4&lt;&gt;"")+('Dvd Calendar'!$H$1984=SPECIAL_LBL)*(INC_SPECIALS="Y"))=0,"",'Dvd Calendar'!$H$1982)))</f>
        <v/>
      </c>
      <c r="G198" s="110">
        <f>IF(EI198="","",IF(ISNUMBER('Dvd Calendar'!$I$1982)=FALSE,"",IF((('Dvd Calendar'!$I$1984=TYPE1)*(TYPE1&lt;&gt;"")+('Dvd Calendar'!$I$1984=TYPE2)*(TYPE2&lt;&gt;"")+('Dvd Calendar'!$I$1984=TYPE3)*(TYPE3&lt;&gt;"")+('Dvd Calendar'!$I$1984=TYPE4)*(TYPE4&lt;&gt;"")+('Dvd Calendar'!$I$1984=SPECIAL_LBL)*(INC_SPECIALS="Y"))=0,"",'Dvd Calendar'!$I$1982)))</f>
        <v/>
      </c>
      <c r="H198" s="110">
        <f>IF(EJ198="","",IF(ISNUMBER('Dvd Calendar'!$J$1982)=FALSE,"",IF((('Dvd Calendar'!$J$1984=TYPE1)*(TYPE1&lt;&gt;"")+('Dvd Calendar'!$J$1984=TYPE2)*(TYPE2&lt;&gt;"")+('Dvd Calendar'!$J$1984=TYPE3)*(TYPE3&lt;&gt;"")+('Dvd Calendar'!$J$1984=TYPE4)*(TYPE4&lt;&gt;"")+('Dvd Calendar'!$J$1984=SPECIAL_LBL)*(INC_SPECIALS="Y"))=0,"",'Dvd Calendar'!$J$1982)))</f>
        <v/>
      </c>
      <c r="I198" s="110">
        <f>IF(EK198="","",IF(ISNUMBER('Dvd Calendar'!$K$1982)=FALSE,"",IF((('Dvd Calendar'!$K$1984=TYPE1)*(TYPE1&lt;&gt;"")+('Dvd Calendar'!$K$1984=TYPE2)*(TYPE2&lt;&gt;"")+('Dvd Calendar'!$K$1984=TYPE3)*(TYPE3&lt;&gt;"")+('Dvd Calendar'!$K$1984=TYPE4)*(TYPE4&lt;&gt;"")+('Dvd Calendar'!$K$1984=SPECIAL_LBL)*(INC_SPECIALS="Y"))=0,"",'Dvd Calendar'!$K$1982)))</f>
        <v/>
      </c>
      <c r="J198" s="110">
        <f>IF(EL198="","",IF(ISNUMBER('Dvd Calendar'!$L$1982)=FALSE,"",IF((('Dvd Calendar'!$L$1984=TYPE1)*(TYPE1&lt;&gt;"")+('Dvd Calendar'!$L$1984=TYPE2)*(TYPE2&lt;&gt;"")+('Dvd Calendar'!$L$1984=TYPE3)*(TYPE3&lt;&gt;"")+('Dvd Calendar'!$L$1984=TYPE4)*(TYPE4&lt;&gt;"")+('Dvd Calendar'!$L$1984=SPECIAL_LBL)*(INC_SPECIALS="Y"))=0,"",'Dvd Calendar'!$L$1982)))</f>
        <v/>
      </c>
      <c r="K198" s="110">
        <f>IF(EM198="","",IF(ISNUMBER('Dvd Calendar'!$M$1982)=FALSE,"",IF((('Dvd Calendar'!$M$1984=TYPE1)*(TYPE1&lt;&gt;"")+('Dvd Calendar'!$M$1984=TYPE2)*(TYPE2&lt;&gt;"")+('Dvd Calendar'!$M$1984=TYPE3)*(TYPE3&lt;&gt;"")+('Dvd Calendar'!$M$1984=TYPE4)*(TYPE4&lt;&gt;"")+('Dvd Calendar'!$M$1984=SPECIAL_LBL)*(INC_SPECIALS="Y"))=0,"",'Dvd Calendar'!$M$1982)))</f>
        <v/>
      </c>
      <c r="L198" s="110">
        <f>IF(EN198="","",IF(ISNUMBER('Dvd Calendar'!$N$1982)=FALSE,"",IF((('Dvd Calendar'!$N$1984=TYPE1)*(TYPE1&lt;&gt;"")+('Dvd Calendar'!$N$1984=TYPE2)*(TYPE2&lt;&gt;"")+('Dvd Calendar'!$N$1984=TYPE3)*(TYPE3&lt;&gt;"")+('Dvd Calendar'!$N$1984=TYPE4)*(TYPE4&lt;&gt;"")+('Dvd Calendar'!$N$1984=SPECIAL_LBL)*(INC_SPECIALS="Y"))=0,"",'Dvd Calendar'!$N$1982)))</f>
        <v/>
      </c>
      <c r="M198" s="110">
        <f>IF(EO198="","",IF(ISNUMBER('Dvd Calendar'!$O$1982)=FALSE,"",IF((('Dvd Calendar'!$O$1984=TYPE1)*(TYPE1&lt;&gt;"")+('Dvd Calendar'!$O$1984=TYPE2)*(TYPE2&lt;&gt;"")+('Dvd Calendar'!$O$1984=TYPE3)*(TYPE3&lt;&gt;"")+('Dvd Calendar'!$O$1984=TYPE4)*(TYPE4&lt;&gt;"")+('Dvd Calendar'!$O$1984=SPECIAL_LBL)*(INC_SPECIALS="Y"))=0,"",'Dvd Calendar'!$O$1982)))</f>
        <v/>
      </c>
      <c r="N198" s="110">
        <f>IF(EP198="","",IF(ISNUMBER('Dvd Calendar'!$P$1982)=FALSE,"",IF((('Dvd Calendar'!$P$1984=TYPE1)*(TYPE1&lt;&gt;"")+('Dvd Calendar'!$P$1984=TYPE2)*(TYPE2&lt;&gt;"")+('Dvd Calendar'!$P$1984=TYPE3)*(TYPE3&lt;&gt;"")+('Dvd Calendar'!$P$1984=TYPE4)*(TYPE4&lt;&gt;"")+('Dvd Calendar'!$P$1984=SPECIAL_LBL)*(INC_SPECIALS="Y"))=0,"",'Dvd Calendar'!$P$1982)))</f>
        <v/>
      </c>
      <c r="O198" s="110">
        <f>IF(EQ198="","",IF(ISNUMBER('Dvd Calendar'!$Q$1982)=FALSE,"",IF((('Dvd Calendar'!$Q$1984=TYPE1)*(TYPE1&lt;&gt;"")+('Dvd Calendar'!$Q$1984=TYPE2)*(TYPE2&lt;&gt;"")+('Dvd Calendar'!$Q$1984=TYPE3)*(TYPE3&lt;&gt;"")+('Dvd Calendar'!$Q$1984=TYPE4)*(TYPE4&lt;&gt;"")+('Dvd Calendar'!$Q$1984=SPECIAL_LBL)*(INC_SPECIALS="Y"))=0,"",'Dvd Calendar'!$Q$1982)))</f>
        <v/>
      </c>
      <c r="P198" s="110">
        <f>IF(ER198="","",IF(ISNUMBER('Dvd Calendar'!$R$1982)=FALSE,"",IF((('Dvd Calendar'!$R$1984=TYPE1)*(TYPE1&lt;&gt;"")+('Dvd Calendar'!$R$1984=TYPE2)*(TYPE2&lt;&gt;"")+('Dvd Calendar'!$R$1984=TYPE3)*(TYPE3&lt;&gt;"")+('Dvd Calendar'!$R$1984=TYPE4)*(TYPE4&lt;&gt;"")+('Dvd Calendar'!$R$1984=SPECIAL_LBL)*(INC_SPECIALS="Y"))=0,"",'Dvd Calendar'!$R$1982)))</f>
        <v/>
      </c>
      <c r="Q198" s="110">
        <f>IF(ES198="","",IF(ISNUMBER('Dvd Calendar'!$S$1982)=FALSE,"",IF((('Dvd Calendar'!$S$1984=TYPE1)*(TYPE1&lt;&gt;"")+('Dvd Calendar'!$S$1984=TYPE2)*(TYPE2&lt;&gt;"")+('Dvd Calendar'!$S$1984=TYPE3)*(TYPE3&lt;&gt;"")+('Dvd Calendar'!$S$1984=TYPE4)*(TYPE4&lt;&gt;"")+('Dvd Calendar'!$S$1984=SPECIAL_LBL)*(INC_SPECIALS="Y"))=0,"",'Dvd Calendar'!$S$1982)))</f>
        <v/>
      </c>
      <c r="R198" s="110">
        <f>IF(ET198="","",IF(ISNUMBER('Dvd Calendar'!$T$1982)=FALSE,"",IF((('Dvd Calendar'!$T$1984=TYPE1)*(TYPE1&lt;&gt;"")+('Dvd Calendar'!$T$1984=TYPE2)*(TYPE2&lt;&gt;"")+('Dvd Calendar'!$T$1984=TYPE3)*(TYPE3&lt;&gt;"")+('Dvd Calendar'!$T$1984=TYPE4)*(TYPE4&lt;&gt;"")+('Dvd Calendar'!$T$1984=SPECIAL_LBL)*(INC_SPECIALS="Y"))=0,"",'Dvd Calendar'!$T$1982)))</f>
        <v/>
      </c>
      <c r="S198" s="110">
        <f>IF(EU198="","",IF(ISNUMBER('Dvd Calendar'!$U$1982)=FALSE,"",IF((('Dvd Calendar'!$U$1984=TYPE1)*(TYPE1&lt;&gt;"")+('Dvd Calendar'!$U$1984=TYPE2)*(TYPE2&lt;&gt;"")+('Dvd Calendar'!$U$1984=TYPE3)*(TYPE3&lt;&gt;"")+('Dvd Calendar'!$U$1984=TYPE4)*(TYPE4&lt;&gt;"")+('Dvd Calendar'!$U$1984=SPECIAL_LBL)*(INC_SPECIALS="Y"))=0,"",'Dvd Calendar'!$U$1982)))</f>
        <v/>
      </c>
      <c r="T198" s="110">
        <f>IF(EV198="","",IF(ISNUMBER('Dvd Calendar'!$V$1982)=FALSE,"",IF((('Dvd Calendar'!$V$1984=TYPE1)*(TYPE1&lt;&gt;"")+('Dvd Calendar'!$V$1984=TYPE2)*(TYPE2&lt;&gt;"")+('Dvd Calendar'!$V$1984=TYPE3)*(TYPE3&lt;&gt;"")+('Dvd Calendar'!$V$1984=TYPE4)*(TYPE4&lt;&gt;"")+('Dvd Calendar'!$V$1984=SPECIAL_LBL)*(INC_SPECIALS="Y"))=0,"",'Dvd Calendar'!$V$1982)))</f>
        <v/>
      </c>
      <c r="U198" s="110">
        <f>IF(EW198="","",IF(ISNUMBER('Dvd Calendar'!$W$1982)=FALSE,"",IF((('Dvd Calendar'!$W$1984=TYPE1)*(TYPE1&lt;&gt;"")+('Dvd Calendar'!$W$1984=TYPE2)*(TYPE2&lt;&gt;"")+('Dvd Calendar'!$W$1984=TYPE3)*(TYPE3&lt;&gt;"")+('Dvd Calendar'!$W$1984=TYPE4)*(TYPE4&lt;&gt;"")+('Dvd Calendar'!$W$1984=SPECIAL_LBL)*(INC_SPECIALS="Y"))=0,"",'Dvd Calendar'!$W$1982)))</f>
        <v/>
      </c>
      <c r="V198" s="110">
        <f>IF(EX198="","",IF(ISNUMBER('Dvd Calendar'!$X$1982)=FALSE,"",IF((('Dvd Calendar'!$X$1984=TYPE1)*(TYPE1&lt;&gt;"")+('Dvd Calendar'!$X$1984=TYPE2)*(TYPE2&lt;&gt;"")+('Dvd Calendar'!$X$1984=TYPE3)*(TYPE3&lt;&gt;"")+('Dvd Calendar'!$X$1984=TYPE4)*(TYPE4&lt;&gt;"")+('Dvd Calendar'!$X$1984=SPECIAL_LBL)*(INC_SPECIALS="Y"))=0,"",'Dvd Calendar'!$X$1982)))</f>
        <v/>
      </c>
      <c r="W198" s="110">
        <f>IF(EY198="","",IF(ISNUMBER('Dvd Calendar'!$Y$1982)=FALSE,"",IF((('Dvd Calendar'!$Y$1984=TYPE1)*(TYPE1&lt;&gt;"")+('Dvd Calendar'!$Y$1984=TYPE2)*(TYPE2&lt;&gt;"")+('Dvd Calendar'!$Y$1984=TYPE3)*(TYPE3&lt;&gt;"")+('Dvd Calendar'!$Y$1984=TYPE4)*(TYPE4&lt;&gt;"")+('Dvd Calendar'!$Y$1984=SPECIAL_LBL)*(INC_SPECIALS="Y"))=0,"",'Dvd Calendar'!$Y$1982)))</f>
        <v/>
      </c>
      <c r="X198" s="110">
        <f>IF(EZ198="","",IF(ISNUMBER('Dvd Calendar'!$Z$1982)=FALSE,"",IF((('Dvd Calendar'!$Z$1984=TYPE1)*(TYPE1&lt;&gt;"")+('Dvd Calendar'!$Z$1984=TYPE2)*(TYPE2&lt;&gt;"")+('Dvd Calendar'!$Z$1984=TYPE3)*(TYPE3&lt;&gt;"")+('Dvd Calendar'!$Z$1984=TYPE4)*(TYPE4&lt;&gt;"")+('Dvd Calendar'!$Z$1984=SPECIAL_LBL)*(INC_SPECIALS="Y"))=0,"",'Dvd Calendar'!$Z$1982)))</f>
        <v/>
      </c>
      <c r="Y198" s="110">
        <f>IF(FA198="","",IF(ISNUMBER('Dvd Calendar'!$AA$1982)=FALSE,"",IF((('Dvd Calendar'!$AA$1984=TYPE1)*(TYPE1&lt;&gt;"")+('Dvd Calendar'!$AA$1984=TYPE2)*(TYPE2&lt;&gt;"")+('Dvd Calendar'!$AA$1984=TYPE3)*(TYPE3&lt;&gt;"")+('Dvd Calendar'!$AA$1984=TYPE4)*(TYPE4&lt;&gt;"")+('Dvd Calendar'!$AA$1984=SPECIAL_LBL)*(INC_SPECIALS="Y"))=0,"",'Dvd Calendar'!$AA$1982)))</f>
        <v/>
      </c>
      <c r="Z198" s="110">
        <f>IF(FB198="","",IF(ISNUMBER('Dvd Calendar'!$AB$1982)=FALSE,"",IF((('Dvd Calendar'!$AB$1984=TYPE1)*(TYPE1&lt;&gt;"")+('Dvd Calendar'!$AB$1984=TYPE2)*(TYPE2&lt;&gt;"")+('Dvd Calendar'!$AB$1984=TYPE3)*(TYPE3&lt;&gt;"")+('Dvd Calendar'!$AB$1984=TYPE4)*(TYPE4&lt;&gt;"")+('Dvd Calendar'!$AB$1984=SPECIAL_LBL)*(INC_SPECIALS="Y"))=0,"",'Dvd Calendar'!$AB$1982)))</f>
        <v/>
      </c>
      <c r="AA198" s="110">
        <f>IF(FC198="","",IF(ISNUMBER('Dvd Calendar'!$AC$1982)=FALSE,"",IF((('Dvd Calendar'!$AC$1984=TYPE1)*(TYPE1&lt;&gt;"")+('Dvd Calendar'!$AC$1984=TYPE2)*(TYPE2&lt;&gt;"")+('Dvd Calendar'!$AC$1984=TYPE3)*(TYPE3&lt;&gt;"")+('Dvd Calendar'!$AC$1984=TYPE4)*(TYPE4&lt;&gt;"")+('Dvd Calendar'!$AC$1984=SPECIAL_LBL)*(INC_SPECIALS="Y"))=0,"",'Dvd Calendar'!$AC$1982)))</f>
        <v/>
      </c>
      <c r="AB198" s="110">
        <f>IF(FD198="","",IF(ISNUMBER('Dvd Calendar'!$AD$1982)=FALSE,"",IF((('Dvd Calendar'!$AD$1984=TYPE1)*(TYPE1&lt;&gt;"")+('Dvd Calendar'!$AD$1984=TYPE2)*(TYPE2&lt;&gt;"")+('Dvd Calendar'!$AD$1984=TYPE3)*(TYPE3&lt;&gt;"")+('Dvd Calendar'!$AD$1984=TYPE4)*(TYPE4&lt;&gt;"")+('Dvd Calendar'!$AD$1984=SPECIAL_LBL)*(INC_SPECIALS="Y"))=0,"",'Dvd Calendar'!$AD$1982)))</f>
        <v/>
      </c>
      <c r="AC198" s="110">
        <f>IF(FE198="","",IF(ISNUMBER('Dvd Calendar'!$AE$1982)=FALSE,"",IF((('Dvd Calendar'!$AE$1984=TYPE1)*(TYPE1&lt;&gt;"")+('Dvd Calendar'!$AE$1984=TYPE2)*(TYPE2&lt;&gt;"")+('Dvd Calendar'!$AE$1984=TYPE3)*(TYPE3&lt;&gt;"")+('Dvd Calendar'!$AE$1984=TYPE4)*(TYPE4&lt;&gt;"")+('Dvd Calendar'!$AE$1984=SPECIAL_LBL)*(INC_SPECIALS="Y"))=0,"",'Dvd Calendar'!$AE$1982)))</f>
        <v/>
      </c>
      <c r="AD198" s="110">
        <f>IF(FF198="","",IF(ISNUMBER('Dvd Calendar'!$AF$1982)=FALSE,"",IF((('Dvd Calendar'!$AF$1984=TYPE1)*(TYPE1&lt;&gt;"")+('Dvd Calendar'!$AF$1984=TYPE2)*(TYPE2&lt;&gt;"")+('Dvd Calendar'!$AF$1984=TYPE3)*(TYPE3&lt;&gt;"")+('Dvd Calendar'!$AF$1984=TYPE4)*(TYPE4&lt;&gt;"")+('Dvd Calendar'!$AF$1984=SPECIAL_LBL)*(INC_SPECIALS="Y"))=0,"",'Dvd Calendar'!$AF$1982)))</f>
        <v/>
      </c>
      <c r="AE198" s="110">
        <f>IF(FG198="","",IF(ISNUMBER('Dvd Calendar'!$AG$1982)=FALSE,"",IF((('Dvd Calendar'!$AG$1984=TYPE1)*(TYPE1&lt;&gt;"")+('Dvd Calendar'!$AG$1984=TYPE2)*(TYPE2&lt;&gt;"")+('Dvd Calendar'!$AG$1984=TYPE3)*(TYPE3&lt;&gt;"")+('Dvd Calendar'!$AG$1984=TYPE4)*(TYPE4&lt;&gt;"")+('Dvd Calendar'!$AG$1984=SPECIAL_LBL)*(INC_SPECIALS="Y"))=0,"",'Dvd Calendar'!$AG$1982)))</f>
        <v/>
      </c>
      <c r="AF198" s="110">
        <f>IF(FH198="","",IF(ISNUMBER('Dvd Calendar'!$AH$1982)=FALSE,"",IF((('Dvd Calendar'!$AH$1984=TYPE1)*(TYPE1&lt;&gt;"")+('Dvd Calendar'!$AH$1984=TYPE2)*(TYPE2&lt;&gt;"")+('Dvd Calendar'!$AH$1984=TYPE3)*(TYPE3&lt;&gt;"")+('Dvd Calendar'!$AH$1984=TYPE4)*(TYPE4&lt;&gt;"")+('Dvd Calendar'!$AH$1984=SPECIAL_LBL)*(INC_SPECIALS="Y"))=0,"",'Dvd Calendar'!$AH$1982)))</f>
        <v/>
      </c>
      <c r="AG198" s="110">
        <f>IF(FI198="","",IF(ISNUMBER('Dvd Calendar'!$AI$1982)=FALSE,"",IF((('Dvd Calendar'!$AI$1984=TYPE1)*(TYPE1&lt;&gt;"")+('Dvd Calendar'!$AI$1984=TYPE2)*(TYPE2&lt;&gt;"")+('Dvd Calendar'!$AI$1984=TYPE3)*(TYPE3&lt;&gt;"")+('Dvd Calendar'!$AI$1984=TYPE4)*(TYPE4&lt;&gt;"")+('Dvd Calendar'!$AI$1984=SPECIAL_LBL)*(INC_SPECIALS="Y"))=0,"",'Dvd Calendar'!$AI$1982)))</f>
        <v/>
      </c>
      <c r="AH198" s="110">
        <f>IF(FJ198="","",IF(ISNUMBER('Dvd Calendar'!$AJ$1982)=FALSE,"",IF((('Dvd Calendar'!$AJ$1984=TYPE1)*(TYPE1&lt;&gt;"")+('Dvd Calendar'!$AJ$1984=TYPE2)*(TYPE2&lt;&gt;"")+('Dvd Calendar'!$AJ$1984=TYPE3)*(TYPE3&lt;&gt;"")+('Dvd Calendar'!$AJ$1984=TYPE4)*(TYPE4&lt;&gt;"")+('Dvd Calendar'!$AJ$1984=SPECIAL_LBL)*(INC_SPECIALS="Y"))=0,"",'Dvd Calendar'!$AJ$1982)))</f>
        <v/>
      </c>
      <c r="AI198" s="110">
        <f>IF(FK198="","",IF(ISNUMBER('Dvd Calendar'!$AK$1982)=FALSE,"",IF((('Dvd Calendar'!$AK$1984=TYPE1)*(TYPE1&lt;&gt;"")+('Dvd Calendar'!$AK$1984=TYPE2)*(TYPE2&lt;&gt;"")+('Dvd Calendar'!$AK$1984=TYPE3)*(TYPE3&lt;&gt;"")+('Dvd Calendar'!$AK$1984=TYPE4)*(TYPE4&lt;&gt;"")+('Dvd Calendar'!$AK$1984=SPECIAL_LBL)*(INC_SPECIALS="Y"))=0,"",'Dvd Calendar'!$AK$1982)))</f>
        <v/>
      </c>
      <c r="AJ198" s="110">
        <f>IF(FL198="","",IF(ISNUMBER('Dvd Calendar'!$AL$1982)=FALSE,"",IF((('Dvd Calendar'!$AL$1984=TYPE1)*(TYPE1&lt;&gt;"")+('Dvd Calendar'!$AL$1984=TYPE2)*(TYPE2&lt;&gt;"")+('Dvd Calendar'!$AL$1984=TYPE3)*(TYPE3&lt;&gt;"")+('Dvd Calendar'!$AL$1984=TYPE4)*(TYPE4&lt;&gt;"")+('Dvd Calendar'!$AL$1984=SPECIAL_LBL)*(INC_SPECIALS="Y"))=0,"",'Dvd Calendar'!$AL$1982)))</f>
        <v/>
      </c>
      <c r="AK198" s="110">
        <f>IF(FM198="","",IF(ISNUMBER('Dvd Calendar'!$AM$1982)=FALSE,"",IF((('Dvd Calendar'!$AM$1984=TYPE1)*(TYPE1&lt;&gt;"")+('Dvd Calendar'!$AM$1984=TYPE2)*(TYPE2&lt;&gt;"")+('Dvd Calendar'!$AM$1984=TYPE3)*(TYPE3&lt;&gt;"")+('Dvd Calendar'!$AM$1984=TYPE4)*(TYPE4&lt;&gt;"")+('Dvd Calendar'!$AM$1984=SPECIAL_LBL)*(INC_SPECIALS="Y"))=0,"",'Dvd Calendar'!$AM$1982)))</f>
        <v/>
      </c>
      <c r="AL198" s="110">
        <f>IF(FN198="","",IF(ISNUMBER('Dvd Calendar'!$AN$1982)=FALSE,"",IF((('Dvd Calendar'!$AN$1984=TYPE1)*(TYPE1&lt;&gt;"")+('Dvd Calendar'!$AN$1984=TYPE2)*(TYPE2&lt;&gt;"")+('Dvd Calendar'!$AN$1984=TYPE3)*(TYPE3&lt;&gt;"")+('Dvd Calendar'!$AN$1984=TYPE4)*(TYPE4&lt;&gt;"")+('Dvd Calendar'!$AN$1984=SPECIAL_LBL)*(INC_SPECIALS="Y"))=0,"",'Dvd Calendar'!$AN$1982)))</f>
        <v/>
      </c>
      <c r="AM198" s="110">
        <f>IF(FO198="","",IF(ISNUMBER('Dvd Calendar'!$AO$1982)=FALSE,"",IF((('Dvd Calendar'!$AO$1984=TYPE1)*(TYPE1&lt;&gt;"")+('Dvd Calendar'!$AO$1984=TYPE2)*(TYPE2&lt;&gt;"")+('Dvd Calendar'!$AO$1984=TYPE3)*(TYPE3&lt;&gt;"")+('Dvd Calendar'!$AO$1984=TYPE4)*(TYPE4&lt;&gt;"")+('Dvd Calendar'!$AO$1984=SPECIAL_LBL)*(INC_SPECIALS="Y"))=0,"",'Dvd Calendar'!$AO$1982)))</f>
        <v/>
      </c>
      <c r="AN198" s="110">
        <f>IF(FP198="","",IF(ISNUMBER('Dvd Calendar'!$AP$1982)=FALSE,"",IF((('Dvd Calendar'!$AP$1984=TYPE1)*(TYPE1&lt;&gt;"")+('Dvd Calendar'!$AP$1984=TYPE2)*(TYPE2&lt;&gt;"")+('Dvd Calendar'!$AP$1984=TYPE3)*(TYPE3&lt;&gt;"")+('Dvd Calendar'!$AP$1984=TYPE4)*(TYPE4&lt;&gt;"")+('Dvd Calendar'!$AP$1984=SPECIAL_LBL)*(INC_SPECIALS="Y"))=0,"",'Dvd Calendar'!$AP$1982)))</f>
        <v/>
      </c>
      <c r="AO198" s="110">
        <f>IF(FQ198="","",IF(ISNUMBER('Dvd Calendar'!$AQ$1982)=FALSE,"",IF((('Dvd Calendar'!$AQ$1984=TYPE1)*(TYPE1&lt;&gt;"")+('Dvd Calendar'!$AQ$1984=TYPE2)*(TYPE2&lt;&gt;"")+('Dvd Calendar'!$AQ$1984=TYPE3)*(TYPE3&lt;&gt;"")+('Dvd Calendar'!$AQ$1984=TYPE4)*(TYPE4&lt;&gt;"")+('Dvd Calendar'!$AQ$1984=SPECIAL_LBL)*(INC_SPECIALS="Y"))=0,"",'Dvd Calendar'!$AQ$1982)))</f>
        <v/>
      </c>
      <c r="AP198" s="110">
        <f>IF(FR198="","",IF(ISNUMBER('Dvd Calendar'!$AR$1982)=FALSE,"",IF((('Dvd Calendar'!$AR$1984=TYPE1)*(TYPE1&lt;&gt;"")+('Dvd Calendar'!$AR$1984=TYPE2)*(TYPE2&lt;&gt;"")+('Dvd Calendar'!$AR$1984=TYPE3)*(TYPE3&lt;&gt;"")+('Dvd Calendar'!$AR$1984=TYPE4)*(TYPE4&lt;&gt;"")+('Dvd Calendar'!$AR$1984=SPECIAL_LBL)*(INC_SPECIALS="Y"))=0,"",'Dvd Calendar'!$AR$1982)))</f>
        <v/>
      </c>
      <c r="AQ198" s="110">
        <f>IF(FS198="","",IF(ISNUMBER('Dvd Calendar'!$E$1987)=FALSE,"",'Dvd Calendar'!$E$1987))</f>
        <v/>
      </c>
      <c r="AR198" s="110">
        <f>IF(FT198="","",IF(ISNUMBER('Dvd Calendar'!$F$1987)=FALSE,"",'Dvd Calendar'!$F$1987))</f>
        <v/>
      </c>
      <c r="AS198" s="110">
        <f>IF(FU198="","",IF(ISNUMBER('Dvd Calendar'!$G$1987)=FALSE,"",'Dvd Calendar'!$G$1987))</f>
        <v/>
      </c>
      <c r="AT198" s="110">
        <f>IF(FV198="","",IF(ISNUMBER('Dvd Calendar'!$H$1987)=FALSE,"",'Dvd Calendar'!$H$1987))</f>
        <v/>
      </c>
      <c r="AU198" s="110">
        <f>IF(FW198="","",IF(ISNUMBER('Dvd Calendar'!$I$1987)=FALSE,"",'Dvd Calendar'!$I$1987))</f>
        <v/>
      </c>
      <c r="AV198" s="110">
        <f>IF(FX198="","",IF(ISNUMBER('Dvd Calendar'!$J$1987)=FALSE,"",'Dvd Calendar'!$J$1987))</f>
        <v/>
      </c>
      <c r="AW198" s="110">
        <f>IF(FY198="","",IF(ISNUMBER('Dvd Calendar'!$K$1987)=FALSE,"",'Dvd Calendar'!$K$1987))</f>
        <v/>
      </c>
      <c r="AX198" s="110">
        <f>IF(FZ198="","",IF(ISNUMBER('Dvd Calendar'!$L$1987)=FALSE,"",'Dvd Calendar'!$L$1987))</f>
        <v/>
      </c>
      <c r="AY198" s="110">
        <f>IF(GA198="","",IF(ISNUMBER('Dvd Calendar'!$M$1987)=FALSE,"",'Dvd Calendar'!$M$1987))</f>
        <v/>
      </c>
      <c r="AZ198" s="110">
        <f>IF(GB198="","",IF(ISNUMBER('Dvd Calendar'!$N$1987)=FALSE,"",'Dvd Calendar'!$N$1987))</f>
        <v/>
      </c>
      <c r="BA198" s="110">
        <f>IF(GC198="","",IF(ISNUMBER('Dvd Calendar'!$O$1987)=FALSE,"",'Dvd Calendar'!$O$1987))</f>
        <v/>
      </c>
      <c r="BB198" s="110">
        <f>IF(GD198="","",IF(ISNUMBER('Dvd Calendar'!$P$1987)=FALSE,"",'Dvd Calendar'!$P$1987))</f>
        <v/>
      </c>
      <c r="BC198" s="110">
        <f>IF(GE198="","",IF(ISNUMBER('Dvd Calendar'!$Q$1987)=FALSE,"",'Dvd Calendar'!$Q$1987))</f>
        <v/>
      </c>
      <c r="BD198" s="110">
        <f>IF(GF198="","",IF(ISNUMBER('Dvd Calendar'!$R$1987)=FALSE,"",'Dvd Calendar'!$R$1987))</f>
        <v/>
      </c>
      <c r="BE198" s="110">
        <f>IF(GG198="","",IF(ISNUMBER('Dvd Calendar'!$S$1987)=FALSE,"",'Dvd Calendar'!$S$1987))</f>
        <v/>
      </c>
      <c r="BF198" s="110">
        <f>IF(GH198="","",IF(ISNUMBER('Dvd Calendar'!$T$1987)=FALSE,"",'Dvd Calendar'!$T$1987))</f>
        <v/>
      </c>
      <c r="BG198" s="110">
        <f>IF(GI198="","",IF(ISNUMBER('Dvd Calendar'!$U$1987)=FALSE,"",'Dvd Calendar'!$U$1987))</f>
        <v/>
      </c>
      <c r="BH198" s="110">
        <f>IF(GJ198="","",IF(ISNUMBER('Dvd Calendar'!$V$1987)=FALSE,"",'Dvd Calendar'!$V$1987))</f>
        <v/>
      </c>
      <c r="BI198" s="110">
        <f>IF(GK198="","",IF(ISNUMBER('Dvd Calendar'!$W$1987)=FALSE,"",'Dvd Calendar'!$W$1987))</f>
        <v/>
      </c>
      <c r="BJ198" s="110">
        <f>IF(GL198="","",IF(ISNUMBER('Dvd Calendar'!$X$1987)=FALSE,"",'Dvd Calendar'!$X$1987))</f>
        <v/>
      </c>
      <c r="BK198" s="110">
        <f>IF(GM198="","",IF(ISNUMBER('Dvd Calendar'!$Y$1987)=FALSE,"",'Dvd Calendar'!$Y$1987))</f>
        <v/>
      </c>
      <c r="BL198" s="110">
        <f>IF(GN198="","",IF(ISNUMBER('Dvd Calendar'!$Z$1987)=FALSE,"",'Dvd Calendar'!$Z$1987))</f>
        <v/>
      </c>
      <c r="BM198" s="110">
        <f>IF(GO198="","",IF(ISNUMBER('Dvd Calendar'!$AA$1987)=FALSE,"",'Dvd Calendar'!$AA$1987))</f>
        <v/>
      </c>
      <c r="BN198" s="110">
        <f>IF(GP198="","",IF(ISNUMBER('Dvd Calendar'!$AB$1987)=FALSE,"",'Dvd Calendar'!$AB$1987))</f>
        <v/>
      </c>
      <c r="BO198" s="110">
        <f>IF(GQ198="","",IF(ISNUMBER('Dvd Calendar'!$AC$1987)=FALSE,"",'Dvd Calendar'!$AC$1987))</f>
        <v/>
      </c>
      <c r="BQ198" s="110">
        <f>IF(C198="","",IFERROR(C198*HSCEI!$B$45*HSCEI!$G$45/HSCEI!$B$3,""))</f>
        <v/>
      </c>
      <c r="BR198" s="110">
        <f>IF(D198="","",IFERROR(D198*HSCEI!$B$45*HSCEI!$G$45/HSCEI!$B$3,""))</f>
        <v/>
      </c>
      <c r="BS198" s="110">
        <f>IF(E198="","",IFERROR(E198*HSCEI!$B$45*HSCEI!$G$45/HSCEI!$B$3,""))</f>
        <v/>
      </c>
      <c r="BT198" s="110">
        <f>IF(F198="","",IFERROR(F198*HSCEI!$B$45*HSCEI!$G$45/HSCEI!$B$3,""))</f>
        <v/>
      </c>
      <c r="BU198" s="110">
        <f>IF(G198="","",IFERROR(G198*HSCEI!$B$45*HSCEI!$G$45/HSCEI!$B$3,""))</f>
        <v/>
      </c>
      <c r="BV198" s="110">
        <f>IF(H198="","",IFERROR(H198*HSCEI!$B$45*HSCEI!$G$45/HSCEI!$B$3,""))</f>
        <v/>
      </c>
      <c r="BW198" s="110">
        <f>IF(I198="","",IFERROR(I198*HSCEI!$B$45*HSCEI!$G$45/HSCEI!$B$3,""))</f>
        <v/>
      </c>
      <c r="BX198" s="110">
        <f>IF(J198="","",IFERROR(J198*HSCEI!$B$45*HSCEI!$G$45/HSCEI!$B$3,""))</f>
        <v/>
      </c>
      <c r="BY198" s="110">
        <f>IF(K198="","",IFERROR(K198*HSCEI!$B$45*HSCEI!$G$45/HSCEI!$B$3,""))</f>
        <v/>
      </c>
      <c r="BZ198" s="110">
        <f>IF(L198="","",IFERROR(L198*HSCEI!$B$45*HSCEI!$G$45/HSCEI!$B$3,""))</f>
        <v/>
      </c>
      <c r="CA198" s="110">
        <f>IF(M198="","",IFERROR(M198*HSCEI!$B$45*HSCEI!$G$45/HSCEI!$B$3,""))</f>
        <v/>
      </c>
      <c r="CB198" s="110">
        <f>IF(N198="","",IFERROR(N198*HSCEI!$B$45*HSCEI!$G$45/HSCEI!$B$3,""))</f>
        <v/>
      </c>
      <c r="CC198" s="110">
        <f>IF(O198="","",IFERROR(O198*HSCEI!$B$45*HSCEI!$G$45/HSCEI!$B$3,""))</f>
        <v/>
      </c>
      <c r="CD198" s="110">
        <f>IF(P198="","",IFERROR(P198*HSCEI!$B$45*HSCEI!$G$45/HSCEI!$B$3,""))</f>
        <v/>
      </c>
      <c r="CE198" s="110">
        <f>IF(Q198="","",IFERROR(Q198*HSCEI!$B$45*HSCEI!$G$45/HSCEI!$B$3,""))</f>
        <v/>
      </c>
      <c r="CF198" s="110">
        <f>IF(R198="","",IFERROR(R198*HSCEI!$B$45*HSCEI!$G$45/HSCEI!$B$3,""))</f>
        <v/>
      </c>
      <c r="CG198" s="110">
        <f>IF(S198="","",IFERROR(S198*HSCEI!$B$45*HSCEI!$G$45/HSCEI!$B$3,""))</f>
        <v/>
      </c>
      <c r="CH198" s="110">
        <f>IF(T198="","",IFERROR(T198*HSCEI!$B$45*HSCEI!$G$45/HSCEI!$B$3,""))</f>
        <v/>
      </c>
      <c r="CI198" s="110">
        <f>IF(U198="","",IFERROR(U198*HSCEI!$B$45*HSCEI!$G$45/HSCEI!$B$3,""))</f>
        <v/>
      </c>
      <c r="CJ198" s="110">
        <f>IF(V198="","",IFERROR(V198*HSCEI!$B$45*HSCEI!$G$45/HSCEI!$B$3,""))</f>
        <v/>
      </c>
      <c r="CK198" s="110">
        <f>IF(W198="","",IFERROR(W198*HSCEI!$B$45*HSCEI!$G$45/HSCEI!$B$3,""))</f>
        <v/>
      </c>
      <c r="CL198" s="110">
        <f>IF(X198="","",IFERROR(X198*HSCEI!$B$45*HSCEI!$G$45/HSCEI!$B$3,""))</f>
        <v/>
      </c>
      <c r="CM198" s="110">
        <f>IF(Y198="","",IFERROR(Y198*HSCEI!$B$45*HSCEI!$G$45/HSCEI!$B$3,""))</f>
        <v/>
      </c>
      <c r="CN198" s="110">
        <f>IF(Z198="","",IFERROR(Z198*HSCEI!$B$45*HSCEI!$G$45/HSCEI!$B$3,""))</f>
        <v/>
      </c>
      <c r="CO198" s="110">
        <f>IF(AA198="","",IFERROR(AA198*HSCEI!$B$45*HSCEI!$G$45/HSCEI!$B$3,""))</f>
        <v/>
      </c>
      <c r="CP198" s="110">
        <f>IF(AB198="","",IFERROR(AB198*HSCEI!$B$45*HSCEI!$G$45/HSCEI!$B$3,""))</f>
        <v/>
      </c>
      <c r="CQ198" s="110">
        <f>IF(AC198="","",IFERROR(AC198*HSCEI!$B$45*HSCEI!$G$45/HSCEI!$B$3,""))</f>
        <v/>
      </c>
      <c r="CR198" s="110">
        <f>IF(AD198="","",IFERROR(AD198*HSCEI!$B$45*HSCEI!$G$45/HSCEI!$B$3,""))</f>
        <v/>
      </c>
      <c r="CS198" s="110">
        <f>IF(AE198="","",IFERROR(AE198*HSCEI!$B$45*HSCEI!$G$45/HSCEI!$B$3,""))</f>
        <v/>
      </c>
      <c r="CT198" s="110">
        <f>IF(AF198="","",IFERROR(AF198*HSCEI!$B$45*HSCEI!$G$45/HSCEI!$B$3,""))</f>
        <v/>
      </c>
      <c r="CU198" s="110">
        <f>IF(AG198="","",IFERROR(AG198*HSCEI!$B$45*HSCEI!$G$45/HSCEI!$B$3,""))</f>
        <v/>
      </c>
      <c r="CV198" s="110">
        <f>IF(AH198="","",IFERROR(AH198*HSCEI!$B$45*HSCEI!$G$45/HSCEI!$B$3,""))</f>
        <v/>
      </c>
      <c r="CW198" s="110">
        <f>IF(AI198="","",IFERROR(AI198*HSCEI!$B$45*HSCEI!$G$45/HSCEI!$B$3,""))</f>
        <v/>
      </c>
      <c r="CX198" s="110">
        <f>IF(AJ198="","",IFERROR(AJ198*HSCEI!$B$45*HSCEI!$G$45/HSCEI!$B$3,""))</f>
        <v/>
      </c>
      <c r="CY198" s="110">
        <f>IF(AK198="","",IFERROR(AK198*HSCEI!$B$45*HSCEI!$G$45/HSCEI!$B$3,""))</f>
        <v/>
      </c>
      <c r="CZ198" s="110">
        <f>IF(AL198="","",IFERROR(AL198*HSCEI!$B$45*HSCEI!$G$45/HSCEI!$B$3,""))</f>
        <v/>
      </c>
      <c r="DA198" s="110">
        <f>IF(AM198="","",IFERROR(AM198*HSCEI!$B$45*HSCEI!$G$45/HSCEI!$B$3,""))</f>
        <v/>
      </c>
      <c r="DB198" s="110">
        <f>IF(AN198="","",IFERROR(AN198*HSCEI!$B$45*HSCEI!$G$45/HSCEI!$B$3,""))</f>
        <v/>
      </c>
      <c r="DC198" s="110">
        <f>IF(AO198="","",IFERROR(AO198*HSCEI!$B$45*HSCEI!$G$45/HSCEI!$B$3,""))</f>
        <v/>
      </c>
      <c r="DD198" s="110">
        <f>IF(AP198="","",IFERROR(AP198*HSCEI!$B$45*HSCEI!$G$45/HSCEI!$B$3,""))</f>
        <v/>
      </c>
      <c r="DE198" s="110">
        <f>IF(AQ198="","",IFERROR(AQ198*HSCEI!$B$45*HSCEI!$G$45/HSCEI!$B$3,""))</f>
        <v/>
      </c>
      <c r="DF198" s="110">
        <f>IF(AR198="","",IFERROR(AR198*HSCEI!$B$45*HSCEI!$G$45/HSCEI!$B$3,""))</f>
        <v/>
      </c>
      <c r="DG198" s="110">
        <f>IF(AS198="","",IFERROR(AS198*HSCEI!$B$45*HSCEI!$G$45/HSCEI!$B$3,""))</f>
        <v/>
      </c>
      <c r="DH198" s="110">
        <f>IF(AT198="","",IFERROR(AT198*HSCEI!$B$45*HSCEI!$G$45/HSCEI!$B$3,""))</f>
        <v/>
      </c>
      <c r="DI198" s="110">
        <f>IF(AU198="","",IFERROR(AU198*HSCEI!$B$45*HSCEI!$G$45/HSCEI!$B$3,""))</f>
        <v/>
      </c>
      <c r="DJ198" s="110">
        <f>IF(AV198="","",IFERROR(AV198*HSCEI!$B$45*HSCEI!$G$45/HSCEI!$B$3,""))</f>
        <v/>
      </c>
      <c r="DK198" s="110">
        <f>IF(AW198="","",IFERROR(AW198*HSCEI!$B$45*HSCEI!$G$45/HSCEI!$B$3,""))</f>
        <v/>
      </c>
      <c r="DL198" s="110">
        <f>IF(AX198="","",IFERROR(AX198*HSCEI!$B$45*HSCEI!$G$45/HSCEI!$B$3,""))</f>
        <v/>
      </c>
      <c r="DM198" s="110">
        <f>IF(AY198="","",IFERROR(AY198*HSCEI!$B$45*HSCEI!$G$45/HSCEI!$B$3,""))</f>
        <v/>
      </c>
      <c r="DN198" s="110">
        <f>IF(AZ198="","",IFERROR(AZ198*HSCEI!$B$45*HSCEI!$G$45/HSCEI!$B$3,""))</f>
        <v/>
      </c>
      <c r="DO198" s="110">
        <f>IF(BA198="","",IFERROR(BA198*HSCEI!$B$45*HSCEI!$G$45/HSCEI!$B$3,""))</f>
        <v/>
      </c>
      <c r="DP198" s="110">
        <f>IF(BB198="","",IFERROR(BB198*HSCEI!$B$45*HSCEI!$G$45/HSCEI!$B$3,""))</f>
        <v/>
      </c>
      <c r="DQ198" s="110">
        <f>IF(BC198="","",IFERROR(BC198*HSCEI!$B$45*HSCEI!$G$45/HSCEI!$B$3,""))</f>
        <v/>
      </c>
      <c r="DR198" s="110">
        <f>IF(BD198="","",IFERROR(BD198*HSCEI!$B$45*HSCEI!$G$45/HSCEI!$B$3,""))</f>
        <v/>
      </c>
      <c r="DS198" s="110">
        <f>IF(BE198="","",IFERROR(BE198*HSCEI!$B$45*HSCEI!$G$45/HSCEI!$B$3,""))</f>
        <v/>
      </c>
      <c r="DT198" s="110">
        <f>IF(BF198="","",IFERROR(BF198*HSCEI!$B$45*HSCEI!$G$45/HSCEI!$B$3,""))</f>
        <v/>
      </c>
      <c r="DU198" s="110">
        <f>IF(BG198="","",IFERROR(BG198*HSCEI!$B$45*HSCEI!$G$45/HSCEI!$B$3,""))</f>
        <v/>
      </c>
      <c r="DV198" s="110">
        <f>IF(BH198="","",IFERROR(BH198*HSCEI!$B$45*HSCEI!$G$45/HSCEI!$B$3,""))</f>
        <v/>
      </c>
      <c r="DW198" s="110">
        <f>IF(BI198="","",IFERROR(BI198*HSCEI!$B$45*HSCEI!$G$45/HSCEI!$B$3,""))</f>
        <v/>
      </c>
      <c r="DX198" s="110">
        <f>IF(BJ198="","",IFERROR(BJ198*HSCEI!$B$45*HSCEI!$G$45/HSCEI!$B$3,""))</f>
        <v/>
      </c>
      <c r="DY198" s="110">
        <f>IF(BK198="","",IFERROR(BK198*HSCEI!$B$45*HSCEI!$G$45/HSCEI!$B$3,""))</f>
        <v/>
      </c>
      <c r="DZ198" s="110">
        <f>IF(BL198="","",IFERROR(BL198*HSCEI!$B$45*HSCEI!$G$45/HSCEI!$B$3,""))</f>
        <v/>
      </c>
      <c r="EA198" s="110">
        <f>IF(BM198="","",IFERROR(BM198*HSCEI!$B$45*HSCEI!$G$45/HSCEI!$B$3,""))</f>
        <v/>
      </c>
      <c r="EB198" s="110">
        <f>IF(BN198="","",IFERROR(BN198*HSCEI!$B$45*HSCEI!$G$45/HSCEI!$B$3,""))</f>
        <v/>
      </c>
      <c r="EC198" s="110">
        <f>IF(BO198="","",IFERROR(BO198*HSCEI!$B$45*HSCEI!$G$45/HSCEI!$B$3,""))</f>
        <v/>
      </c>
      <c r="EE198" s="39">
        <f>IF(N('Dvd Calendar'!$E$1979)=0,"",IF(('Dvd Calendar'!$E$1979&gt;=GRID_FROM)*('Dvd Calendar'!$E$1979&lt;=GRID_TO)*((('Dvd Calendar'!$E$1979&lt;=VAL_DATE)+(COUNTIF('Dvd Calendar'!$E$1986:$AR$1986,'Dvd Calendar'!$E$1979)=0))&gt;0)=0,"",'Dvd Calendar'!$E$1979*1000000000+ISNUMBER('Dvd Calendar'!$E$1982)*100000000+('Dvd Calendar'!$E$1984=SPECIAL_LBL)*10000000+(N('Dvd Calendar'!$E$1978)&gt;0)*(N('Dvd Calendar'!$E$1978)&lt;=VAL_SERIAL)*1000000+39*1000+1))</f>
        <v/>
      </c>
      <c r="EF198" s="39">
        <f>IF(N('Dvd Calendar'!$F$1979)=0,"",IF(('Dvd Calendar'!$F$1979&gt;=GRID_FROM)*('Dvd Calendar'!$F$1979&lt;=GRID_TO)*((('Dvd Calendar'!$F$1979&lt;=VAL_DATE)+(COUNTIF('Dvd Calendar'!$E$1986:$AR$1986,'Dvd Calendar'!$F$1979)=0))&gt;0)=0,"",'Dvd Calendar'!$F$1979*1000000000+ISNUMBER('Dvd Calendar'!$F$1982)*100000000+('Dvd Calendar'!$F$1984=SPECIAL_LBL)*10000000+(N('Dvd Calendar'!$F$1978)&gt;0)*(N('Dvd Calendar'!$F$1978)&lt;=VAL_SERIAL)*1000000+39*1000+2))</f>
        <v/>
      </c>
      <c r="EG198" s="39">
        <f>IF(N('Dvd Calendar'!$G$1979)=0,"",IF(('Dvd Calendar'!$G$1979&gt;=GRID_FROM)*('Dvd Calendar'!$G$1979&lt;=GRID_TO)*((('Dvd Calendar'!$G$1979&lt;=VAL_DATE)+(COUNTIF('Dvd Calendar'!$E$1986:$AR$1986,'Dvd Calendar'!$G$1979)=0))&gt;0)=0,"",'Dvd Calendar'!$G$1979*1000000000+ISNUMBER('Dvd Calendar'!$G$1982)*100000000+('Dvd Calendar'!$G$1984=SPECIAL_LBL)*10000000+(N('Dvd Calendar'!$G$1978)&gt;0)*(N('Dvd Calendar'!$G$1978)&lt;=VAL_SERIAL)*1000000+39*1000+3))</f>
        <v/>
      </c>
      <c r="EH198" s="39">
        <f>IF(N('Dvd Calendar'!$H$1979)=0,"",IF(('Dvd Calendar'!$H$1979&gt;=GRID_FROM)*('Dvd Calendar'!$H$1979&lt;=GRID_TO)*((('Dvd Calendar'!$H$1979&lt;=VAL_DATE)+(COUNTIF('Dvd Calendar'!$E$1986:$AR$1986,'Dvd Calendar'!$H$1979)=0))&gt;0)=0,"",'Dvd Calendar'!$H$1979*1000000000+ISNUMBER('Dvd Calendar'!$H$1982)*100000000+('Dvd Calendar'!$H$1984=SPECIAL_LBL)*10000000+(N('Dvd Calendar'!$H$1978)&gt;0)*(N('Dvd Calendar'!$H$1978)&lt;=VAL_SERIAL)*1000000+39*1000+4))</f>
        <v/>
      </c>
      <c r="EI198" s="39">
        <f>IF(N('Dvd Calendar'!$I$1979)=0,"",IF(('Dvd Calendar'!$I$1979&gt;=GRID_FROM)*('Dvd Calendar'!$I$1979&lt;=GRID_TO)*((('Dvd Calendar'!$I$1979&lt;=VAL_DATE)+(COUNTIF('Dvd Calendar'!$E$1986:$AR$1986,'Dvd Calendar'!$I$1979)=0))&gt;0)=0,"",'Dvd Calendar'!$I$1979*1000000000+ISNUMBER('Dvd Calendar'!$I$1982)*100000000+('Dvd Calendar'!$I$1984=SPECIAL_LBL)*10000000+(N('Dvd Calendar'!$I$1978)&gt;0)*(N('Dvd Calendar'!$I$1978)&lt;=VAL_SERIAL)*1000000+39*1000+5))</f>
        <v/>
      </c>
      <c r="EJ198" s="39">
        <f>IF(N('Dvd Calendar'!$J$1979)=0,"",IF(('Dvd Calendar'!$J$1979&gt;=GRID_FROM)*('Dvd Calendar'!$J$1979&lt;=GRID_TO)*((('Dvd Calendar'!$J$1979&lt;=VAL_DATE)+(COUNTIF('Dvd Calendar'!$E$1986:$AR$1986,'Dvd Calendar'!$J$1979)=0))&gt;0)=0,"",'Dvd Calendar'!$J$1979*1000000000+ISNUMBER('Dvd Calendar'!$J$1982)*100000000+('Dvd Calendar'!$J$1984=SPECIAL_LBL)*10000000+(N('Dvd Calendar'!$J$1978)&gt;0)*(N('Dvd Calendar'!$J$1978)&lt;=VAL_SERIAL)*1000000+39*1000+6))</f>
        <v/>
      </c>
      <c r="EK198" s="39">
        <f>IF(N('Dvd Calendar'!$K$1979)=0,"",IF(('Dvd Calendar'!$K$1979&gt;=GRID_FROM)*('Dvd Calendar'!$K$1979&lt;=GRID_TO)*((('Dvd Calendar'!$K$1979&lt;=VAL_DATE)+(COUNTIF('Dvd Calendar'!$E$1986:$AR$1986,'Dvd Calendar'!$K$1979)=0))&gt;0)=0,"",'Dvd Calendar'!$K$1979*1000000000+ISNUMBER('Dvd Calendar'!$K$1982)*100000000+('Dvd Calendar'!$K$1984=SPECIAL_LBL)*10000000+(N('Dvd Calendar'!$K$1978)&gt;0)*(N('Dvd Calendar'!$K$1978)&lt;=VAL_SERIAL)*1000000+39*1000+7))</f>
        <v/>
      </c>
      <c r="EL198" s="39">
        <f>IF(N('Dvd Calendar'!$L$1979)=0,"",IF(('Dvd Calendar'!$L$1979&gt;=GRID_FROM)*('Dvd Calendar'!$L$1979&lt;=GRID_TO)*((('Dvd Calendar'!$L$1979&lt;=VAL_DATE)+(COUNTIF('Dvd Calendar'!$E$1986:$AR$1986,'Dvd Calendar'!$L$1979)=0))&gt;0)=0,"",'Dvd Calendar'!$L$1979*1000000000+ISNUMBER('Dvd Calendar'!$L$1982)*100000000+('Dvd Calendar'!$L$1984=SPECIAL_LBL)*10000000+(N('Dvd Calendar'!$L$1978)&gt;0)*(N('Dvd Calendar'!$L$1978)&lt;=VAL_SERIAL)*1000000+39*1000+8))</f>
        <v/>
      </c>
      <c r="EM198" s="39">
        <f>IF(N('Dvd Calendar'!$M$1979)=0,"",IF(('Dvd Calendar'!$M$1979&gt;=GRID_FROM)*('Dvd Calendar'!$M$1979&lt;=GRID_TO)*((('Dvd Calendar'!$M$1979&lt;=VAL_DATE)+(COUNTIF('Dvd Calendar'!$E$1986:$AR$1986,'Dvd Calendar'!$M$1979)=0))&gt;0)=0,"",'Dvd Calendar'!$M$1979*1000000000+ISNUMBER('Dvd Calendar'!$M$1982)*100000000+('Dvd Calendar'!$M$1984=SPECIAL_LBL)*10000000+(N('Dvd Calendar'!$M$1978)&gt;0)*(N('Dvd Calendar'!$M$1978)&lt;=VAL_SERIAL)*1000000+39*1000+9))</f>
        <v/>
      </c>
      <c r="EN198" s="39">
        <f>IF(N('Dvd Calendar'!$N$1979)=0,"",IF(('Dvd Calendar'!$N$1979&gt;=GRID_FROM)*('Dvd Calendar'!$N$1979&lt;=GRID_TO)*((('Dvd Calendar'!$N$1979&lt;=VAL_DATE)+(COUNTIF('Dvd Calendar'!$E$1986:$AR$1986,'Dvd Calendar'!$N$1979)=0))&gt;0)=0,"",'Dvd Calendar'!$N$1979*1000000000+ISNUMBER('Dvd Calendar'!$N$1982)*100000000+('Dvd Calendar'!$N$1984=SPECIAL_LBL)*10000000+(N('Dvd Calendar'!$N$1978)&gt;0)*(N('Dvd Calendar'!$N$1978)&lt;=VAL_SERIAL)*1000000+39*1000+10))</f>
        <v/>
      </c>
      <c r="EO198" s="39">
        <f>IF(N('Dvd Calendar'!$O$1979)=0,"",IF(('Dvd Calendar'!$O$1979&gt;=GRID_FROM)*('Dvd Calendar'!$O$1979&lt;=GRID_TO)*((('Dvd Calendar'!$O$1979&lt;=VAL_DATE)+(COUNTIF('Dvd Calendar'!$E$1986:$AR$1986,'Dvd Calendar'!$O$1979)=0))&gt;0)=0,"",'Dvd Calendar'!$O$1979*1000000000+ISNUMBER('Dvd Calendar'!$O$1982)*100000000+('Dvd Calendar'!$O$1984=SPECIAL_LBL)*10000000+(N('Dvd Calendar'!$O$1978)&gt;0)*(N('Dvd Calendar'!$O$1978)&lt;=VAL_SERIAL)*1000000+39*1000+11))</f>
        <v/>
      </c>
      <c r="EP198" s="39">
        <f>IF(N('Dvd Calendar'!$P$1979)=0,"",IF(('Dvd Calendar'!$P$1979&gt;=GRID_FROM)*('Dvd Calendar'!$P$1979&lt;=GRID_TO)*((('Dvd Calendar'!$P$1979&lt;=VAL_DATE)+(COUNTIF('Dvd Calendar'!$E$1986:$AR$1986,'Dvd Calendar'!$P$1979)=0))&gt;0)=0,"",'Dvd Calendar'!$P$1979*1000000000+ISNUMBER('Dvd Calendar'!$P$1982)*100000000+('Dvd Calendar'!$P$1984=SPECIAL_LBL)*10000000+(N('Dvd Calendar'!$P$1978)&gt;0)*(N('Dvd Calendar'!$P$1978)&lt;=VAL_SERIAL)*1000000+39*1000+12))</f>
        <v/>
      </c>
      <c r="EQ198" s="39">
        <f>IF(N('Dvd Calendar'!$Q$1979)=0,"",IF(('Dvd Calendar'!$Q$1979&gt;=GRID_FROM)*('Dvd Calendar'!$Q$1979&lt;=GRID_TO)*((('Dvd Calendar'!$Q$1979&lt;=VAL_DATE)+(COUNTIF('Dvd Calendar'!$E$1986:$AR$1986,'Dvd Calendar'!$Q$1979)=0))&gt;0)=0,"",'Dvd Calendar'!$Q$1979*1000000000+ISNUMBER('Dvd Calendar'!$Q$1982)*100000000+('Dvd Calendar'!$Q$1984=SPECIAL_LBL)*10000000+(N('Dvd Calendar'!$Q$1978)&gt;0)*(N('Dvd Calendar'!$Q$1978)&lt;=VAL_SERIAL)*1000000+39*1000+13))</f>
        <v/>
      </c>
      <c r="ER198" s="39">
        <f>IF(N('Dvd Calendar'!$R$1979)=0,"",IF(('Dvd Calendar'!$R$1979&gt;=GRID_FROM)*('Dvd Calendar'!$R$1979&lt;=GRID_TO)*((('Dvd Calendar'!$R$1979&lt;=VAL_DATE)+(COUNTIF('Dvd Calendar'!$E$1986:$AR$1986,'Dvd Calendar'!$R$1979)=0))&gt;0)=0,"",'Dvd Calendar'!$R$1979*1000000000+ISNUMBER('Dvd Calendar'!$R$1982)*100000000+('Dvd Calendar'!$R$1984=SPECIAL_LBL)*10000000+(N('Dvd Calendar'!$R$1978)&gt;0)*(N('Dvd Calendar'!$R$1978)&lt;=VAL_SERIAL)*1000000+39*1000+14))</f>
        <v/>
      </c>
      <c r="ES198" s="39">
        <f>IF(N('Dvd Calendar'!$S$1979)=0,"",IF(('Dvd Calendar'!$S$1979&gt;=GRID_FROM)*('Dvd Calendar'!$S$1979&lt;=GRID_TO)*((('Dvd Calendar'!$S$1979&lt;=VAL_DATE)+(COUNTIF('Dvd Calendar'!$E$1986:$AR$1986,'Dvd Calendar'!$S$1979)=0))&gt;0)=0,"",'Dvd Calendar'!$S$1979*1000000000+ISNUMBER('Dvd Calendar'!$S$1982)*100000000+('Dvd Calendar'!$S$1984=SPECIAL_LBL)*10000000+(N('Dvd Calendar'!$S$1978)&gt;0)*(N('Dvd Calendar'!$S$1978)&lt;=VAL_SERIAL)*1000000+39*1000+15))</f>
        <v/>
      </c>
      <c r="ET198" s="39">
        <f>IF(N('Dvd Calendar'!$T$1979)=0,"",IF(('Dvd Calendar'!$T$1979&gt;=GRID_FROM)*('Dvd Calendar'!$T$1979&lt;=GRID_TO)*((('Dvd Calendar'!$T$1979&lt;=VAL_DATE)+(COUNTIF('Dvd Calendar'!$E$1986:$AR$1986,'Dvd Calendar'!$T$1979)=0))&gt;0)=0,"",'Dvd Calendar'!$T$1979*1000000000+ISNUMBER('Dvd Calendar'!$T$1982)*100000000+('Dvd Calendar'!$T$1984=SPECIAL_LBL)*10000000+(N('Dvd Calendar'!$T$1978)&gt;0)*(N('Dvd Calendar'!$T$1978)&lt;=VAL_SERIAL)*1000000+39*1000+16))</f>
        <v/>
      </c>
      <c r="EU198" s="39">
        <f>IF(N('Dvd Calendar'!$U$1979)=0,"",IF(('Dvd Calendar'!$U$1979&gt;=GRID_FROM)*('Dvd Calendar'!$U$1979&lt;=GRID_TO)*((('Dvd Calendar'!$U$1979&lt;=VAL_DATE)+(COUNTIF('Dvd Calendar'!$E$1986:$AR$1986,'Dvd Calendar'!$U$1979)=0))&gt;0)=0,"",'Dvd Calendar'!$U$1979*1000000000+ISNUMBER('Dvd Calendar'!$U$1982)*100000000+('Dvd Calendar'!$U$1984=SPECIAL_LBL)*10000000+(N('Dvd Calendar'!$U$1978)&gt;0)*(N('Dvd Calendar'!$U$1978)&lt;=VAL_SERIAL)*1000000+39*1000+17))</f>
        <v/>
      </c>
      <c r="EV198" s="39">
        <f>IF(N('Dvd Calendar'!$V$1979)=0,"",IF(('Dvd Calendar'!$V$1979&gt;=GRID_FROM)*('Dvd Calendar'!$V$1979&lt;=GRID_TO)*((('Dvd Calendar'!$V$1979&lt;=VAL_DATE)+(COUNTIF('Dvd Calendar'!$E$1986:$AR$1986,'Dvd Calendar'!$V$1979)=0))&gt;0)=0,"",'Dvd Calendar'!$V$1979*1000000000+ISNUMBER('Dvd Calendar'!$V$1982)*100000000+('Dvd Calendar'!$V$1984=SPECIAL_LBL)*10000000+(N('Dvd Calendar'!$V$1978)&gt;0)*(N('Dvd Calendar'!$V$1978)&lt;=VAL_SERIAL)*1000000+39*1000+18))</f>
        <v/>
      </c>
      <c r="EW198" s="39">
        <f>IF(N('Dvd Calendar'!$W$1979)=0,"",IF(('Dvd Calendar'!$W$1979&gt;=GRID_FROM)*('Dvd Calendar'!$W$1979&lt;=GRID_TO)*((('Dvd Calendar'!$W$1979&lt;=VAL_DATE)+(COUNTIF('Dvd Calendar'!$E$1986:$AR$1986,'Dvd Calendar'!$W$1979)=0))&gt;0)=0,"",'Dvd Calendar'!$W$1979*1000000000+ISNUMBER('Dvd Calendar'!$W$1982)*100000000+('Dvd Calendar'!$W$1984=SPECIAL_LBL)*10000000+(N('Dvd Calendar'!$W$1978)&gt;0)*(N('Dvd Calendar'!$W$1978)&lt;=VAL_SERIAL)*1000000+39*1000+19))</f>
        <v/>
      </c>
      <c r="EX198" s="39">
        <f>IF(N('Dvd Calendar'!$X$1979)=0,"",IF(('Dvd Calendar'!$X$1979&gt;=GRID_FROM)*('Dvd Calendar'!$X$1979&lt;=GRID_TO)*((('Dvd Calendar'!$X$1979&lt;=VAL_DATE)+(COUNTIF('Dvd Calendar'!$E$1986:$AR$1986,'Dvd Calendar'!$X$1979)=0))&gt;0)=0,"",'Dvd Calendar'!$X$1979*1000000000+ISNUMBER('Dvd Calendar'!$X$1982)*100000000+('Dvd Calendar'!$X$1984=SPECIAL_LBL)*10000000+(N('Dvd Calendar'!$X$1978)&gt;0)*(N('Dvd Calendar'!$X$1978)&lt;=VAL_SERIAL)*1000000+39*1000+20))</f>
        <v/>
      </c>
      <c r="EY198" s="39">
        <f>IF(N('Dvd Calendar'!$Y$1979)=0,"",IF(('Dvd Calendar'!$Y$1979&gt;=GRID_FROM)*('Dvd Calendar'!$Y$1979&lt;=GRID_TO)*((('Dvd Calendar'!$Y$1979&lt;=VAL_DATE)+(COUNTIF('Dvd Calendar'!$E$1986:$AR$1986,'Dvd Calendar'!$Y$1979)=0))&gt;0)=0,"",'Dvd Calendar'!$Y$1979*1000000000+ISNUMBER('Dvd Calendar'!$Y$1982)*100000000+('Dvd Calendar'!$Y$1984=SPECIAL_LBL)*10000000+(N('Dvd Calendar'!$Y$1978)&gt;0)*(N('Dvd Calendar'!$Y$1978)&lt;=VAL_SERIAL)*1000000+39*1000+21))</f>
        <v/>
      </c>
      <c r="EZ198" s="39">
        <f>IF(N('Dvd Calendar'!$Z$1979)=0,"",IF(('Dvd Calendar'!$Z$1979&gt;=GRID_FROM)*('Dvd Calendar'!$Z$1979&lt;=GRID_TO)*((('Dvd Calendar'!$Z$1979&lt;=VAL_DATE)+(COUNTIF('Dvd Calendar'!$E$1986:$AR$1986,'Dvd Calendar'!$Z$1979)=0))&gt;0)=0,"",'Dvd Calendar'!$Z$1979*1000000000+ISNUMBER('Dvd Calendar'!$Z$1982)*100000000+('Dvd Calendar'!$Z$1984=SPECIAL_LBL)*10000000+(N('Dvd Calendar'!$Z$1978)&gt;0)*(N('Dvd Calendar'!$Z$1978)&lt;=VAL_SERIAL)*1000000+39*1000+22))</f>
        <v/>
      </c>
      <c r="FA198" s="39">
        <f>IF(N('Dvd Calendar'!$AA$1979)=0,"",IF(('Dvd Calendar'!$AA$1979&gt;=GRID_FROM)*('Dvd Calendar'!$AA$1979&lt;=GRID_TO)*((('Dvd Calendar'!$AA$1979&lt;=VAL_DATE)+(COUNTIF('Dvd Calendar'!$E$1986:$AR$1986,'Dvd Calendar'!$AA$1979)=0))&gt;0)=0,"",'Dvd Calendar'!$AA$1979*1000000000+ISNUMBER('Dvd Calendar'!$AA$1982)*100000000+('Dvd Calendar'!$AA$1984=SPECIAL_LBL)*10000000+(N('Dvd Calendar'!$AA$1978)&gt;0)*(N('Dvd Calendar'!$AA$1978)&lt;=VAL_SERIAL)*1000000+39*1000+23))</f>
        <v/>
      </c>
      <c r="FB198" s="39">
        <f>IF(N('Dvd Calendar'!$AB$1979)=0,"",IF(('Dvd Calendar'!$AB$1979&gt;=GRID_FROM)*('Dvd Calendar'!$AB$1979&lt;=GRID_TO)*((('Dvd Calendar'!$AB$1979&lt;=VAL_DATE)+(COUNTIF('Dvd Calendar'!$E$1986:$AR$1986,'Dvd Calendar'!$AB$1979)=0))&gt;0)=0,"",'Dvd Calendar'!$AB$1979*1000000000+ISNUMBER('Dvd Calendar'!$AB$1982)*100000000+('Dvd Calendar'!$AB$1984=SPECIAL_LBL)*10000000+(N('Dvd Calendar'!$AB$1978)&gt;0)*(N('Dvd Calendar'!$AB$1978)&lt;=VAL_SERIAL)*1000000+39*1000+24))</f>
        <v/>
      </c>
      <c r="FC198" s="39">
        <f>IF(N('Dvd Calendar'!$AC$1979)=0,"",IF(('Dvd Calendar'!$AC$1979&gt;=GRID_FROM)*('Dvd Calendar'!$AC$1979&lt;=GRID_TO)*((('Dvd Calendar'!$AC$1979&lt;=VAL_DATE)+(COUNTIF('Dvd Calendar'!$E$1986:$AR$1986,'Dvd Calendar'!$AC$1979)=0))&gt;0)=0,"",'Dvd Calendar'!$AC$1979*1000000000+ISNUMBER('Dvd Calendar'!$AC$1982)*100000000+('Dvd Calendar'!$AC$1984=SPECIAL_LBL)*10000000+(N('Dvd Calendar'!$AC$1978)&gt;0)*(N('Dvd Calendar'!$AC$1978)&lt;=VAL_SERIAL)*1000000+39*1000+25))</f>
        <v/>
      </c>
      <c r="FD198" s="39">
        <f>IF(N('Dvd Calendar'!$AD$1979)=0,"",IF(('Dvd Calendar'!$AD$1979&gt;=GRID_FROM)*('Dvd Calendar'!$AD$1979&lt;=GRID_TO)*((('Dvd Calendar'!$AD$1979&lt;=VAL_DATE)+(COUNTIF('Dvd Calendar'!$E$1986:$AR$1986,'Dvd Calendar'!$AD$1979)=0))&gt;0)=0,"",'Dvd Calendar'!$AD$1979*1000000000+ISNUMBER('Dvd Calendar'!$AD$1982)*100000000+('Dvd Calendar'!$AD$1984=SPECIAL_LBL)*10000000+(N('Dvd Calendar'!$AD$1978)&gt;0)*(N('Dvd Calendar'!$AD$1978)&lt;=VAL_SERIAL)*1000000+39*1000+26))</f>
        <v/>
      </c>
      <c r="FE198" s="39">
        <f>IF(N('Dvd Calendar'!$AE$1979)=0,"",IF(('Dvd Calendar'!$AE$1979&gt;=GRID_FROM)*('Dvd Calendar'!$AE$1979&lt;=GRID_TO)*((('Dvd Calendar'!$AE$1979&lt;=VAL_DATE)+(COUNTIF('Dvd Calendar'!$E$1986:$AR$1986,'Dvd Calendar'!$AE$1979)=0))&gt;0)=0,"",'Dvd Calendar'!$AE$1979*1000000000+ISNUMBER('Dvd Calendar'!$AE$1982)*100000000+('Dvd Calendar'!$AE$1984=SPECIAL_LBL)*10000000+(N('Dvd Calendar'!$AE$1978)&gt;0)*(N('Dvd Calendar'!$AE$1978)&lt;=VAL_SERIAL)*1000000+39*1000+27))</f>
        <v/>
      </c>
      <c r="FF198" s="39">
        <f>IF(N('Dvd Calendar'!$AF$1979)=0,"",IF(('Dvd Calendar'!$AF$1979&gt;=GRID_FROM)*('Dvd Calendar'!$AF$1979&lt;=GRID_TO)*((('Dvd Calendar'!$AF$1979&lt;=VAL_DATE)+(COUNTIF('Dvd Calendar'!$E$1986:$AR$1986,'Dvd Calendar'!$AF$1979)=0))&gt;0)=0,"",'Dvd Calendar'!$AF$1979*1000000000+ISNUMBER('Dvd Calendar'!$AF$1982)*100000000+('Dvd Calendar'!$AF$1984=SPECIAL_LBL)*10000000+(N('Dvd Calendar'!$AF$1978)&gt;0)*(N('Dvd Calendar'!$AF$1978)&lt;=VAL_SERIAL)*1000000+39*1000+28))</f>
        <v/>
      </c>
      <c r="FG198" s="39">
        <f>IF(N('Dvd Calendar'!$AG$1979)=0,"",IF(('Dvd Calendar'!$AG$1979&gt;=GRID_FROM)*('Dvd Calendar'!$AG$1979&lt;=GRID_TO)*((('Dvd Calendar'!$AG$1979&lt;=VAL_DATE)+(COUNTIF('Dvd Calendar'!$E$1986:$AR$1986,'Dvd Calendar'!$AG$1979)=0))&gt;0)=0,"",'Dvd Calendar'!$AG$1979*1000000000+ISNUMBER('Dvd Calendar'!$AG$1982)*100000000+('Dvd Calendar'!$AG$1984=SPECIAL_LBL)*10000000+(N('Dvd Calendar'!$AG$1978)&gt;0)*(N('Dvd Calendar'!$AG$1978)&lt;=VAL_SERIAL)*1000000+39*1000+29))</f>
        <v/>
      </c>
      <c r="FH198" s="39">
        <f>IF(N('Dvd Calendar'!$AH$1979)=0,"",IF(('Dvd Calendar'!$AH$1979&gt;=GRID_FROM)*('Dvd Calendar'!$AH$1979&lt;=GRID_TO)*((('Dvd Calendar'!$AH$1979&lt;=VAL_DATE)+(COUNTIF('Dvd Calendar'!$E$1986:$AR$1986,'Dvd Calendar'!$AH$1979)=0))&gt;0)=0,"",'Dvd Calendar'!$AH$1979*1000000000+ISNUMBER('Dvd Calendar'!$AH$1982)*100000000+('Dvd Calendar'!$AH$1984=SPECIAL_LBL)*10000000+(N('Dvd Calendar'!$AH$1978)&gt;0)*(N('Dvd Calendar'!$AH$1978)&lt;=VAL_SERIAL)*1000000+39*1000+30))</f>
        <v/>
      </c>
      <c r="FI198" s="39">
        <f>IF(N('Dvd Calendar'!$AI$1979)=0,"",IF(('Dvd Calendar'!$AI$1979&gt;=GRID_FROM)*('Dvd Calendar'!$AI$1979&lt;=GRID_TO)*((('Dvd Calendar'!$AI$1979&lt;=VAL_DATE)+(COUNTIF('Dvd Calendar'!$E$1986:$AR$1986,'Dvd Calendar'!$AI$1979)=0))&gt;0)=0,"",'Dvd Calendar'!$AI$1979*1000000000+ISNUMBER('Dvd Calendar'!$AI$1982)*100000000+('Dvd Calendar'!$AI$1984=SPECIAL_LBL)*10000000+(N('Dvd Calendar'!$AI$1978)&gt;0)*(N('Dvd Calendar'!$AI$1978)&lt;=VAL_SERIAL)*1000000+39*1000+31))</f>
        <v/>
      </c>
      <c r="FJ198" s="39">
        <f>IF(N('Dvd Calendar'!$AJ$1979)=0,"",IF(('Dvd Calendar'!$AJ$1979&gt;=GRID_FROM)*('Dvd Calendar'!$AJ$1979&lt;=GRID_TO)*((('Dvd Calendar'!$AJ$1979&lt;=VAL_DATE)+(COUNTIF('Dvd Calendar'!$E$1986:$AR$1986,'Dvd Calendar'!$AJ$1979)=0))&gt;0)=0,"",'Dvd Calendar'!$AJ$1979*1000000000+ISNUMBER('Dvd Calendar'!$AJ$1982)*100000000+('Dvd Calendar'!$AJ$1984=SPECIAL_LBL)*10000000+(N('Dvd Calendar'!$AJ$1978)&gt;0)*(N('Dvd Calendar'!$AJ$1978)&lt;=VAL_SERIAL)*1000000+39*1000+32))</f>
        <v/>
      </c>
      <c r="FK198" s="39">
        <f>IF(N('Dvd Calendar'!$AK$1979)=0,"",IF(('Dvd Calendar'!$AK$1979&gt;=GRID_FROM)*('Dvd Calendar'!$AK$1979&lt;=GRID_TO)*((('Dvd Calendar'!$AK$1979&lt;=VAL_DATE)+(COUNTIF('Dvd Calendar'!$E$1986:$AR$1986,'Dvd Calendar'!$AK$1979)=0))&gt;0)=0,"",'Dvd Calendar'!$AK$1979*1000000000+ISNUMBER('Dvd Calendar'!$AK$1982)*100000000+('Dvd Calendar'!$AK$1984=SPECIAL_LBL)*10000000+(N('Dvd Calendar'!$AK$1978)&gt;0)*(N('Dvd Calendar'!$AK$1978)&lt;=VAL_SERIAL)*1000000+39*1000+33))</f>
        <v/>
      </c>
      <c r="FL198" s="39">
        <f>IF(N('Dvd Calendar'!$AL$1979)=0,"",IF(('Dvd Calendar'!$AL$1979&gt;=GRID_FROM)*('Dvd Calendar'!$AL$1979&lt;=GRID_TO)*((('Dvd Calendar'!$AL$1979&lt;=VAL_DATE)+(COUNTIF('Dvd Calendar'!$E$1986:$AR$1986,'Dvd Calendar'!$AL$1979)=0))&gt;0)=0,"",'Dvd Calendar'!$AL$1979*1000000000+ISNUMBER('Dvd Calendar'!$AL$1982)*100000000+('Dvd Calendar'!$AL$1984=SPECIAL_LBL)*10000000+(N('Dvd Calendar'!$AL$1978)&gt;0)*(N('Dvd Calendar'!$AL$1978)&lt;=VAL_SERIAL)*1000000+39*1000+34))</f>
        <v/>
      </c>
      <c r="FM198" s="39">
        <f>IF(N('Dvd Calendar'!$AM$1979)=0,"",IF(('Dvd Calendar'!$AM$1979&gt;=GRID_FROM)*('Dvd Calendar'!$AM$1979&lt;=GRID_TO)*((('Dvd Calendar'!$AM$1979&lt;=VAL_DATE)+(COUNTIF('Dvd Calendar'!$E$1986:$AR$1986,'Dvd Calendar'!$AM$1979)=0))&gt;0)=0,"",'Dvd Calendar'!$AM$1979*1000000000+ISNUMBER('Dvd Calendar'!$AM$1982)*100000000+('Dvd Calendar'!$AM$1984=SPECIAL_LBL)*10000000+(N('Dvd Calendar'!$AM$1978)&gt;0)*(N('Dvd Calendar'!$AM$1978)&lt;=VAL_SERIAL)*1000000+39*1000+35))</f>
        <v/>
      </c>
      <c r="FN198" s="39">
        <f>IF(N('Dvd Calendar'!$AN$1979)=0,"",IF(('Dvd Calendar'!$AN$1979&gt;=GRID_FROM)*('Dvd Calendar'!$AN$1979&lt;=GRID_TO)*((('Dvd Calendar'!$AN$1979&lt;=VAL_DATE)+(COUNTIF('Dvd Calendar'!$E$1986:$AR$1986,'Dvd Calendar'!$AN$1979)=0))&gt;0)=0,"",'Dvd Calendar'!$AN$1979*1000000000+ISNUMBER('Dvd Calendar'!$AN$1982)*100000000+('Dvd Calendar'!$AN$1984=SPECIAL_LBL)*10000000+(N('Dvd Calendar'!$AN$1978)&gt;0)*(N('Dvd Calendar'!$AN$1978)&lt;=VAL_SERIAL)*1000000+39*1000+36))</f>
        <v/>
      </c>
      <c r="FO198" s="39">
        <f>IF(N('Dvd Calendar'!$AO$1979)=0,"",IF(('Dvd Calendar'!$AO$1979&gt;=GRID_FROM)*('Dvd Calendar'!$AO$1979&lt;=GRID_TO)*((('Dvd Calendar'!$AO$1979&lt;=VAL_DATE)+(COUNTIF('Dvd Calendar'!$E$1986:$AR$1986,'Dvd Calendar'!$AO$1979)=0))&gt;0)=0,"",'Dvd Calendar'!$AO$1979*1000000000+ISNUMBER('Dvd Calendar'!$AO$1982)*100000000+('Dvd Calendar'!$AO$1984=SPECIAL_LBL)*10000000+(N('Dvd Calendar'!$AO$1978)&gt;0)*(N('Dvd Calendar'!$AO$1978)&lt;=VAL_SERIAL)*1000000+39*1000+37))</f>
        <v/>
      </c>
      <c r="FP198" s="39">
        <f>IF(N('Dvd Calendar'!$AP$1979)=0,"",IF(('Dvd Calendar'!$AP$1979&gt;=GRID_FROM)*('Dvd Calendar'!$AP$1979&lt;=GRID_TO)*((('Dvd Calendar'!$AP$1979&lt;=VAL_DATE)+(COUNTIF('Dvd Calendar'!$E$1986:$AR$1986,'Dvd Calendar'!$AP$1979)=0))&gt;0)=0,"",'Dvd Calendar'!$AP$1979*1000000000+ISNUMBER('Dvd Calendar'!$AP$1982)*100000000+('Dvd Calendar'!$AP$1984=SPECIAL_LBL)*10000000+(N('Dvd Calendar'!$AP$1978)&gt;0)*(N('Dvd Calendar'!$AP$1978)&lt;=VAL_SERIAL)*1000000+39*1000+38))</f>
        <v/>
      </c>
      <c r="FQ198" s="39">
        <f>IF(N('Dvd Calendar'!$AQ$1979)=0,"",IF(('Dvd Calendar'!$AQ$1979&gt;=GRID_FROM)*('Dvd Calendar'!$AQ$1979&lt;=GRID_TO)*((('Dvd Calendar'!$AQ$1979&lt;=VAL_DATE)+(COUNTIF('Dvd Calendar'!$E$1986:$AR$1986,'Dvd Calendar'!$AQ$1979)=0))&gt;0)=0,"",'Dvd Calendar'!$AQ$1979*1000000000+ISNUMBER('Dvd Calendar'!$AQ$1982)*100000000+('Dvd Calendar'!$AQ$1984=SPECIAL_LBL)*10000000+(N('Dvd Calendar'!$AQ$1978)&gt;0)*(N('Dvd Calendar'!$AQ$1978)&lt;=VAL_SERIAL)*1000000+39*1000+39))</f>
        <v/>
      </c>
      <c r="FR198" s="39">
        <f>IF(N('Dvd Calendar'!$AR$1979)=0,"",IF(('Dvd Calendar'!$AR$1979&gt;=GRID_FROM)*('Dvd Calendar'!$AR$1979&lt;=GRID_TO)*((('Dvd Calendar'!$AR$1979&lt;=VAL_DATE)+(COUNTIF('Dvd Calendar'!$E$1986:$AR$1986,'Dvd Calendar'!$AR$1979)=0))&gt;0)=0,"",'Dvd Calendar'!$AR$1979*1000000000+ISNUMBER('Dvd Calendar'!$AR$1982)*100000000+('Dvd Calendar'!$AR$1984=SPECIAL_LBL)*10000000+(N('Dvd Calendar'!$AR$1978)&gt;0)*(N('Dvd Calendar'!$AR$1978)&lt;=VAL_SERIAL)*1000000+39*1000+40))</f>
        <v/>
      </c>
      <c r="FS198" s="39">
        <f>IF(N('Dvd Calendar'!$E$1986)=0,"",IF(('Dvd Calendar'!$E$1986&gt;=GRID_FROM)*('Dvd Calendar'!$E$1986&lt;=GRID_TO)*('Dvd Calendar'!$E$1986&gt;VAL_DATE)=0,"",'Dvd Calendar'!$E$1986*1000000000+ISNUMBER('Dvd Calendar'!$E$1987)*100000000+0*10000000+(N('Dvd Calendar'!$E$1985)&gt;0)*(N('Dvd Calendar'!$E$1985)&lt;=VAL_SERIAL)*1000000+39*1000+41))</f>
        <v/>
      </c>
      <c r="FT198" s="39">
        <f>IF(N('Dvd Calendar'!$F$1986)=0,"",IF(('Dvd Calendar'!$F$1986&gt;=GRID_FROM)*('Dvd Calendar'!$F$1986&lt;=GRID_TO)*('Dvd Calendar'!$F$1986&gt;VAL_DATE)=0,"",'Dvd Calendar'!$F$1986*1000000000+ISNUMBER('Dvd Calendar'!$F$1987)*100000000+0*10000000+(N('Dvd Calendar'!$F$1985)&gt;0)*(N('Dvd Calendar'!$F$1985)&lt;=VAL_SERIAL)*1000000+39*1000+42))</f>
        <v/>
      </c>
      <c r="FU198" s="39">
        <f>IF(N('Dvd Calendar'!$G$1986)=0,"",IF(('Dvd Calendar'!$G$1986&gt;=GRID_FROM)*('Dvd Calendar'!$G$1986&lt;=GRID_TO)*('Dvd Calendar'!$G$1986&gt;VAL_DATE)=0,"",'Dvd Calendar'!$G$1986*1000000000+ISNUMBER('Dvd Calendar'!$G$1987)*100000000+0*10000000+(N('Dvd Calendar'!$G$1985)&gt;0)*(N('Dvd Calendar'!$G$1985)&lt;=VAL_SERIAL)*1000000+39*1000+43))</f>
        <v/>
      </c>
      <c r="FV198" s="39">
        <f>IF(N('Dvd Calendar'!$H$1986)=0,"",IF(('Dvd Calendar'!$H$1986&gt;=GRID_FROM)*('Dvd Calendar'!$H$1986&lt;=GRID_TO)*('Dvd Calendar'!$H$1986&gt;VAL_DATE)=0,"",'Dvd Calendar'!$H$1986*1000000000+ISNUMBER('Dvd Calendar'!$H$1987)*100000000+0*10000000+(N('Dvd Calendar'!$H$1985)&gt;0)*(N('Dvd Calendar'!$H$1985)&lt;=VAL_SERIAL)*1000000+39*1000+44))</f>
        <v/>
      </c>
      <c r="FW198" s="39">
        <f>IF(N('Dvd Calendar'!$I$1986)=0,"",IF(('Dvd Calendar'!$I$1986&gt;=GRID_FROM)*('Dvd Calendar'!$I$1986&lt;=GRID_TO)*('Dvd Calendar'!$I$1986&gt;VAL_DATE)=0,"",'Dvd Calendar'!$I$1986*1000000000+ISNUMBER('Dvd Calendar'!$I$1987)*100000000+0*10000000+(N('Dvd Calendar'!$I$1985)&gt;0)*(N('Dvd Calendar'!$I$1985)&lt;=VAL_SERIAL)*1000000+39*1000+45))</f>
        <v/>
      </c>
      <c r="FX198" s="39">
        <f>IF(N('Dvd Calendar'!$J$1986)=0,"",IF(('Dvd Calendar'!$J$1986&gt;=GRID_FROM)*('Dvd Calendar'!$J$1986&lt;=GRID_TO)*('Dvd Calendar'!$J$1986&gt;VAL_DATE)=0,"",'Dvd Calendar'!$J$1986*1000000000+ISNUMBER('Dvd Calendar'!$J$1987)*100000000+0*10000000+(N('Dvd Calendar'!$J$1985)&gt;0)*(N('Dvd Calendar'!$J$1985)&lt;=VAL_SERIAL)*1000000+39*1000+46))</f>
        <v/>
      </c>
      <c r="FY198" s="39">
        <f>IF(N('Dvd Calendar'!$K$1986)=0,"",IF(('Dvd Calendar'!$K$1986&gt;=GRID_FROM)*('Dvd Calendar'!$K$1986&lt;=GRID_TO)*('Dvd Calendar'!$K$1986&gt;VAL_DATE)=0,"",'Dvd Calendar'!$K$1986*1000000000+ISNUMBER('Dvd Calendar'!$K$1987)*100000000+0*10000000+(N('Dvd Calendar'!$K$1985)&gt;0)*(N('Dvd Calendar'!$K$1985)&lt;=VAL_SERIAL)*1000000+39*1000+47))</f>
        <v/>
      </c>
      <c r="FZ198" s="39">
        <f>IF(N('Dvd Calendar'!$L$1986)=0,"",IF(('Dvd Calendar'!$L$1986&gt;=GRID_FROM)*('Dvd Calendar'!$L$1986&lt;=GRID_TO)*('Dvd Calendar'!$L$1986&gt;VAL_DATE)=0,"",'Dvd Calendar'!$L$1986*1000000000+ISNUMBER('Dvd Calendar'!$L$1987)*100000000+0*10000000+(N('Dvd Calendar'!$L$1985)&gt;0)*(N('Dvd Calendar'!$L$1985)&lt;=VAL_SERIAL)*1000000+39*1000+48))</f>
        <v/>
      </c>
      <c r="GA198" s="39">
        <f>IF(N('Dvd Calendar'!$M$1986)=0,"",IF(('Dvd Calendar'!$M$1986&gt;=GRID_FROM)*('Dvd Calendar'!$M$1986&lt;=GRID_TO)*('Dvd Calendar'!$M$1986&gt;VAL_DATE)=0,"",'Dvd Calendar'!$M$1986*1000000000+ISNUMBER('Dvd Calendar'!$M$1987)*100000000+0*10000000+(N('Dvd Calendar'!$M$1985)&gt;0)*(N('Dvd Calendar'!$M$1985)&lt;=VAL_SERIAL)*1000000+39*1000+49))</f>
        <v/>
      </c>
      <c r="GB198" s="39">
        <f>IF(N('Dvd Calendar'!$N$1986)=0,"",IF(('Dvd Calendar'!$N$1986&gt;=GRID_FROM)*('Dvd Calendar'!$N$1986&lt;=GRID_TO)*('Dvd Calendar'!$N$1986&gt;VAL_DATE)=0,"",'Dvd Calendar'!$N$1986*1000000000+ISNUMBER('Dvd Calendar'!$N$1987)*100000000+0*10000000+(N('Dvd Calendar'!$N$1985)&gt;0)*(N('Dvd Calendar'!$N$1985)&lt;=VAL_SERIAL)*1000000+39*1000+50))</f>
        <v/>
      </c>
      <c r="GC198" s="39">
        <f>IF(N('Dvd Calendar'!$O$1986)=0,"",IF(('Dvd Calendar'!$O$1986&gt;=GRID_FROM)*('Dvd Calendar'!$O$1986&lt;=GRID_TO)*('Dvd Calendar'!$O$1986&gt;VAL_DATE)=0,"",'Dvd Calendar'!$O$1986*1000000000+ISNUMBER('Dvd Calendar'!$O$1987)*100000000+0*10000000+(N('Dvd Calendar'!$O$1985)&gt;0)*(N('Dvd Calendar'!$O$1985)&lt;=VAL_SERIAL)*1000000+39*1000+51))</f>
        <v/>
      </c>
      <c r="GD198" s="39">
        <f>IF(N('Dvd Calendar'!$P$1986)=0,"",IF(('Dvd Calendar'!$P$1986&gt;=GRID_FROM)*('Dvd Calendar'!$P$1986&lt;=GRID_TO)*('Dvd Calendar'!$P$1986&gt;VAL_DATE)=0,"",'Dvd Calendar'!$P$1986*1000000000+ISNUMBER('Dvd Calendar'!$P$1987)*100000000+0*10000000+(N('Dvd Calendar'!$P$1985)&gt;0)*(N('Dvd Calendar'!$P$1985)&lt;=VAL_SERIAL)*1000000+39*1000+52))</f>
        <v/>
      </c>
      <c r="GE198" s="39">
        <f>IF(N('Dvd Calendar'!$Q$1986)=0,"",IF(('Dvd Calendar'!$Q$1986&gt;=GRID_FROM)*('Dvd Calendar'!$Q$1986&lt;=GRID_TO)*('Dvd Calendar'!$Q$1986&gt;VAL_DATE)=0,"",'Dvd Calendar'!$Q$1986*1000000000+ISNUMBER('Dvd Calendar'!$Q$1987)*100000000+0*10000000+(N('Dvd Calendar'!$Q$1985)&gt;0)*(N('Dvd Calendar'!$Q$1985)&lt;=VAL_SERIAL)*1000000+39*1000+53))</f>
        <v/>
      </c>
      <c r="GF198" s="39">
        <f>IF(N('Dvd Calendar'!$R$1986)=0,"",IF(('Dvd Calendar'!$R$1986&gt;=GRID_FROM)*('Dvd Calendar'!$R$1986&lt;=GRID_TO)*('Dvd Calendar'!$R$1986&gt;VAL_DATE)=0,"",'Dvd Calendar'!$R$1986*1000000000+ISNUMBER('Dvd Calendar'!$R$1987)*100000000+0*10000000+(N('Dvd Calendar'!$R$1985)&gt;0)*(N('Dvd Calendar'!$R$1985)&lt;=VAL_SERIAL)*1000000+39*1000+54))</f>
        <v/>
      </c>
      <c r="GG198" s="39">
        <f>IF(N('Dvd Calendar'!$S$1986)=0,"",IF(('Dvd Calendar'!$S$1986&gt;=GRID_FROM)*('Dvd Calendar'!$S$1986&lt;=GRID_TO)*('Dvd Calendar'!$S$1986&gt;VAL_DATE)=0,"",'Dvd Calendar'!$S$1986*1000000000+ISNUMBER('Dvd Calendar'!$S$1987)*100000000+0*10000000+(N('Dvd Calendar'!$S$1985)&gt;0)*(N('Dvd Calendar'!$S$1985)&lt;=VAL_SERIAL)*1000000+39*1000+55))</f>
        <v/>
      </c>
      <c r="GH198" s="39">
        <f>IF(N('Dvd Calendar'!$T$1986)=0,"",IF(('Dvd Calendar'!$T$1986&gt;=GRID_FROM)*('Dvd Calendar'!$T$1986&lt;=GRID_TO)*('Dvd Calendar'!$T$1986&gt;VAL_DATE)=0,"",'Dvd Calendar'!$T$1986*1000000000+ISNUMBER('Dvd Calendar'!$T$1987)*100000000+0*10000000+(N('Dvd Calendar'!$T$1985)&gt;0)*(N('Dvd Calendar'!$T$1985)&lt;=VAL_SERIAL)*1000000+39*1000+56))</f>
        <v/>
      </c>
      <c r="GI198" s="39">
        <f>IF(N('Dvd Calendar'!$U$1986)=0,"",IF(('Dvd Calendar'!$U$1986&gt;=GRID_FROM)*('Dvd Calendar'!$U$1986&lt;=GRID_TO)*('Dvd Calendar'!$U$1986&gt;VAL_DATE)=0,"",'Dvd Calendar'!$U$1986*1000000000+ISNUMBER('Dvd Calendar'!$U$1987)*100000000+0*10000000+(N('Dvd Calendar'!$U$1985)&gt;0)*(N('Dvd Calendar'!$U$1985)&lt;=VAL_SERIAL)*1000000+39*1000+57))</f>
        <v/>
      </c>
      <c r="GJ198" s="39">
        <f>IF(N('Dvd Calendar'!$V$1986)=0,"",IF(('Dvd Calendar'!$V$1986&gt;=GRID_FROM)*('Dvd Calendar'!$V$1986&lt;=GRID_TO)*('Dvd Calendar'!$V$1986&gt;VAL_DATE)=0,"",'Dvd Calendar'!$V$1986*1000000000+ISNUMBER('Dvd Calendar'!$V$1987)*100000000+0*10000000+(N('Dvd Calendar'!$V$1985)&gt;0)*(N('Dvd Calendar'!$V$1985)&lt;=VAL_SERIAL)*1000000+39*1000+58))</f>
        <v/>
      </c>
      <c r="GK198" s="39">
        <f>IF(N('Dvd Calendar'!$W$1986)=0,"",IF(('Dvd Calendar'!$W$1986&gt;=GRID_FROM)*('Dvd Calendar'!$W$1986&lt;=GRID_TO)*('Dvd Calendar'!$W$1986&gt;VAL_DATE)=0,"",'Dvd Calendar'!$W$1986*1000000000+ISNUMBER('Dvd Calendar'!$W$1987)*100000000+0*10000000+(N('Dvd Calendar'!$W$1985)&gt;0)*(N('Dvd Calendar'!$W$1985)&lt;=VAL_SERIAL)*1000000+39*1000+59))</f>
        <v/>
      </c>
      <c r="GL198" s="39">
        <f>IF(N('Dvd Calendar'!$X$1986)=0,"",IF(('Dvd Calendar'!$X$1986&gt;=GRID_FROM)*('Dvd Calendar'!$X$1986&lt;=GRID_TO)*('Dvd Calendar'!$X$1986&gt;VAL_DATE)=0,"",'Dvd Calendar'!$X$1986*1000000000+ISNUMBER('Dvd Calendar'!$X$1987)*100000000+0*10000000+(N('Dvd Calendar'!$X$1985)&gt;0)*(N('Dvd Calendar'!$X$1985)&lt;=VAL_SERIAL)*1000000+39*1000+60))</f>
        <v/>
      </c>
      <c r="GM198" s="39">
        <f>IF(N('Dvd Calendar'!$Y$1986)=0,"",IF(('Dvd Calendar'!$Y$1986&gt;=GRID_FROM)*('Dvd Calendar'!$Y$1986&lt;=GRID_TO)*('Dvd Calendar'!$Y$1986&gt;VAL_DATE)=0,"",'Dvd Calendar'!$Y$1986*1000000000+ISNUMBER('Dvd Calendar'!$Y$1987)*100000000+0*10000000+(N('Dvd Calendar'!$Y$1985)&gt;0)*(N('Dvd Calendar'!$Y$1985)&lt;=VAL_SERIAL)*1000000+39*1000+61))</f>
        <v/>
      </c>
      <c r="GN198" s="39">
        <f>IF(N('Dvd Calendar'!$Z$1986)=0,"",IF(('Dvd Calendar'!$Z$1986&gt;=GRID_FROM)*('Dvd Calendar'!$Z$1986&lt;=GRID_TO)*('Dvd Calendar'!$Z$1986&gt;VAL_DATE)=0,"",'Dvd Calendar'!$Z$1986*1000000000+ISNUMBER('Dvd Calendar'!$Z$1987)*100000000+0*10000000+(N('Dvd Calendar'!$Z$1985)&gt;0)*(N('Dvd Calendar'!$Z$1985)&lt;=VAL_SERIAL)*1000000+39*1000+62))</f>
        <v/>
      </c>
      <c r="GO198" s="39">
        <f>IF(N('Dvd Calendar'!$AA$1986)=0,"",IF(('Dvd Calendar'!$AA$1986&gt;=GRID_FROM)*('Dvd Calendar'!$AA$1986&lt;=GRID_TO)*('Dvd Calendar'!$AA$1986&gt;VAL_DATE)=0,"",'Dvd Calendar'!$AA$1986*1000000000+ISNUMBER('Dvd Calendar'!$AA$1987)*100000000+0*10000000+(N('Dvd Calendar'!$AA$1985)&gt;0)*(N('Dvd Calendar'!$AA$1985)&lt;=VAL_SERIAL)*1000000+39*1000+63))</f>
        <v/>
      </c>
      <c r="GP198" s="39">
        <f>IF(N('Dvd Calendar'!$AB$1986)=0,"",IF(('Dvd Calendar'!$AB$1986&gt;=GRID_FROM)*('Dvd Calendar'!$AB$1986&lt;=GRID_TO)*('Dvd Calendar'!$AB$1986&gt;VAL_DATE)=0,"",'Dvd Calendar'!$AB$1986*1000000000+ISNUMBER('Dvd Calendar'!$AB$1987)*100000000+0*10000000+(N('Dvd Calendar'!$AB$1985)&gt;0)*(N('Dvd Calendar'!$AB$1985)&lt;=VAL_SERIAL)*1000000+39*1000+64))</f>
        <v/>
      </c>
      <c r="GQ198" s="39">
        <f>IF(N('Dvd Calendar'!$AC$1986)=0,"",IF(('Dvd Calendar'!$AC$1986&gt;=GRID_FROM)*('Dvd Calendar'!$AC$1986&lt;=GRID_TO)*('Dvd Calendar'!$AC$1986&gt;VAL_DATE)=0,"",'Dvd Calendar'!$AC$1986*1000000000+ISNUMBER('Dvd Calendar'!$AC$1987)*100000000+0*10000000+(N('Dvd Calendar'!$AC$1985)&gt;0)*(N('Dvd Calendar'!$AC$1985)&lt;=VAL_SERIAL)*1000000+39*1000+65))</f>
        <v/>
      </c>
    </row>
    <row r="199">
      <c r="B199" s="2">
        <f>IF(HSCEI!$C$46="","",HSCEI!$C$46)</f>
        <v/>
      </c>
      <c r="C199" s="110">
        <f>IF(EE199="","",IF(ISNUMBER('Dvd Calendar'!$E$1993)=FALSE,"",IF((('Dvd Calendar'!$E$1995=TYPE1)*(TYPE1&lt;&gt;"")+('Dvd Calendar'!$E$1995=TYPE2)*(TYPE2&lt;&gt;"")+('Dvd Calendar'!$E$1995=TYPE3)*(TYPE3&lt;&gt;"")+('Dvd Calendar'!$E$1995=TYPE4)*(TYPE4&lt;&gt;"")+('Dvd Calendar'!$E$1995=SPECIAL_LBL)*(INC_SPECIALS="Y"))=0,"",'Dvd Calendar'!$E$1993)))</f>
        <v/>
      </c>
      <c r="D199" s="110">
        <f>IF(EF199="","",IF(ISNUMBER('Dvd Calendar'!$F$1993)=FALSE,"",IF((('Dvd Calendar'!$F$1995=TYPE1)*(TYPE1&lt;&gt;"")+('Dvd Calendar'!$F$1995=TYPE2)*(TYPE2&lt;&gt;"")+('Dvd Calendar'!$F$1995=TYPE3)*(TYPE3&lt;&gt;"")+('Dvd Calendar'!$F$1995=TYPE4)*(TYPE4&lt;&gt;"")+('Dvd Calendar'!$F$1995=SPECIAL_LBL)*(INC_SPECIALS="Y"))=0,"",'Dvd Calendar'!$F$1993)))</f>
        <v/>
      </c>
      <c r="E199" s="110">
        <f>IF(EG199="","",IF(ISNUMBER('Dvd Calendar'!$G$1993)=FALSE,"",IF((('Dvd Calendar'!$G$1995=TYPE1)*(TYPE1&lt;&gt;"")+('Dvd Calendar'!$G$1995=TYPE2)*(TYPE2&lt;&gt;"")+('Dvd Calendar'!$G$1995=TYPE3)*(TYPE3&lt;&gt;"")+('Dvd Calendar'!$G$1995=TYPE4)*(TYPE4&lt;&gt;"")+('Dvd Calendar'!$G$1995=SPECIAL_LBL)*(INC_SPECIALS="Y"))=0,"",'Dvd Calendar'!$G$1993)))</f>
        <v/>
      </c>
      <c r="F199" s="110">
        <f>IF(EH199="","",IF(ISNUMBER('Dvd Calendar'!$H$1993)=FALSE,"",IF((('Dvd Calendar'!$H$1995=TYPE1)*(TYPE1&lt;&gt;"")+('Dvd Calendar'!$H$1995=TYPE2)*(TYPE2&lt;&gt;"")+('Dvd Calendar'!$H$1995=TYPE3)*(TYPE3&lt;&gt;"")+('Dvd Calendar'!$H$1995=TYPE4)*(TYPE4&lt;&gt;"")+('Dvd Calendar'!$H$1995=SPECIAL_LBL)*(INC_SPECIALS="Y"))=0,"",'Dvd Calendar'!$H$1993)))</f>
        <v/>
      </c>
      <c r="G199" s="110">
        <f>IF(EI199="","",IF(ISNUMBER('Dvd Calendar'!$I$1993)=FALSE,"",IF((('Dvd Calendar'!$I$1995=TYPE1)*(TYPE1&lt;&gt;"")+('Dvd Calendar'!$I$1995=TYPE2)*(TYPE2&lt;&gt;"")+('Dvd Calendar'!$I$1995=TYPE3)*(TYPE3&lt;&gt;"")+('Dvd Calendar'!$I$1995=TYPE4)*(TYPE4&lt;&gt;"")+('Dvd Calendar'!$I$1995=SPECIAL_LBL)*(INC_SPECIALS="Y"))=0,"",'Dvd Calendar'!$I$1993)))</f>
        <v/>
      </c>
      <c r="H199" s="110">
        <f>IF(EJ199="","",IF(ISNUMBER('Dvd Calendar'!$J$1993)=FALSE,"",IF((('Dvd Calendar'!$J$1995=TYPE1)*(TYPE1&lt;&gt;"")+('Dvd Calendar'!$J$1995=TYPE2)*(TYPE2&lt;&gt;"")+('Dvd Calendar'!$J$1995=TYPE3)*(TYPE3&lt;&gt;"")+('Dvd Calendar'!$J$1995=TYPE4)*(TYPE4&lt;&gt;"")+('Dvd Calendar'!$J$1995=SPECIAL_LBL)*(INC_SPECIALS="Y"))=0,"",'Dvd Calendar'!$J$1993)))</f>
        <v/>
      </c>
      <c r="I199" s="110">
        <f>IF(EK199="","",IF(ISNUMBER('Dvd Calendar'!$K$1993)=FALSE,"",IF((('Dvd Calendar'!$K$1995=TYPE1)*(TYPE1&lt;&gt;"")+('Dvd Calendar'!$K$1995=TYPE2)*(TYPE2&lt;&gt;"")+('Dvd Calendar'!$K$1995=TYPE3)*(TYPE3&lt;&gt;"")+('Dvd Calendar'!$K$1995=TYPE4)*(TYPE4&lt;&gt;"")+('Dvd Calendar'!$K$1995=SPECIAL_LBL)*(INC_SPECIALS="Y"))=0,"",'Dvd Calendar'!$K$1993)))</f>
        <v/>
      </c>
      <c r="J199" s="110">
        <f>IF(EL199="","",IF(ISNUMBER('Dvd Calendar'!$L$1993)=FALSE,"",IF((('Dvd Calendar'!$L$1995=TYPE1)*(TYPE1&lt;&gt;"")+('Dvd Calendar'!$L$1995=TYPE2)*(TYPE2&lt;&gt;"")+('Dvd Calendar'!$L$1995=TYPE3)*(TYPE3&lt;&gt;"")+('Dvd Calendar'!$L$1995=TYPE4)*(TYPE4&lt;&gt;"")+('Dvd Calendar'!$L$1995=SPECIAL_LBL)*(INC_SPECIALS="Y"))=0,"",'Dvd Calendar'!$L$1993)))</f>
        <v/>
      </c>
      <c r="K199" s="110">
        <f>IF(EM199="","",IF(ISNUMBER('Dvd Calendar'!$M$1993)=FALSE,"",IF((('Dvd Calendar'!$M$1995=TYPE1)*(TYPE1&lt;&gt;"")+('Dvd Calendar'!$M$1995=TYPE2)*(TYPE2&lt;&gt;"")+('Dvd Calendar'!$M$1995=TYPE3)*(TYPE3&lt;&gt;"")+('Dvd Calendar'!$M$1995=TYPE4)*(TYPE4&lt;&gt;"")+('Dvd Calendar'!$M$1995=SPECIAL_LBL)*(INC_SPECIALS="Y"))=0,"",'Dvd Calendar'!$M$1993)))</f>
        <v/>
      </c>
      <c r="L199" s="110">
        <f>IF(EN199="","",IF(ISNUMBER('Dvd Calendar'!$N$1993)=FALSE,"",IF((('Dvd Calendar'!$N$1995=TYPE1)*(TYPE1&lt;&gt;"")+('Dvd Calendar'!$N$1995=TYPE2)*(TYPE2&lt;&gt;"")+('Dvd Calendar'!$N$1995=TYPE3)*(TYPE3&lt;&gt;"")+('Dvd Calendar'!$N$1995=TYPE4)*(TYPE4&lt;&gt;"")+('Dvd Calendar'!$N$1995=SPECIAL_LBL)*(INC_SPECIALS="Y"))=0,"",'Dvd Calendar'!$N$1993)))</f>
        <v/>
      </c>
      <c r="M199" s="110">
        <f>IF(EO199="","",IF(ISNUMBER('Dvd Calendar'!$O$1993)=FALSE,"",IF((('Dvd Calendar'!$O$1995=TYPE1)*(TYPE1&lt;&gt;"")+('Dvd Calendar'!$O$1995=TYPE2)*(TYPE2&lt;&gt;"")+('Dvd Calendar'!$O$1995=TYPE3)*(TYPE3&lt;&gt;"")+('Dvd Calendar'!$O$1995=TYPE4)*(TYPE4&lt;&gt;"")+('Dvd Calendar'!$O$1995=SPECIAL_LBL)*(INC_SPECIALS="Y"))=0,"",'Dvd Calendar'!$O$1993)))</f>
        <v/>
      </c>
      <c r="N199" s="110">
        <f>IF(EP199="","",IF(ISNUMBER('Dvd Calendar'!$P$1993)=FALSE,"",IF((('Dvd Calendar'!$P$1995=TYPE1)*(TYPE1&lt;&gt;"")+('Dvd Calendar'!$P$1995=TYPE2)*(TYPE2&lt;&gt;"")+('Dvd Calendar'!$P$1995=TYPE3)*(TYPE3&lt;&gt;"")+('Dvd Calendar'!$P$1995=TYPE4)*(TYPE4&lt;&gt;"")+('Dvd Calendar'!$P$1995=SPECIAL_LBL)*(INC_SPECIALS="Y"))=0,"",'Dvd Calendar'!$P$1993)))</f>
        <v/>
      </c>
      <c r="O199" s="110">
        <f>IF(EQ199="","",IF(ISNUMBER('Dvd Calendar'!$Q$1993)=FALSE,"",IF((('Dvd Calendar'!$Q$1995=TYPE1)*(TYPE1&lt;&gt;"")+('Dvd Calendar'!$Q$1995=TYPE2)*(TYPE2&lt;&gt;"")+('Dvd Calendar'!$Q$1995=TYPE3)*(TYPE3&lt;&gt;"")+('Dvd Calendar'!$Q$1995=TYPE4)*(TYPE4&lt;&gt;"")+('Dvd Calendar'!$Q$1995=SPECIAL_LBL)*(INC_SPECIALS="Y"))=0,"",'Dvd Calendar'!$Q$1993)))</f>
        <v/>
      </c>
      <c r="P199" s="110">
        <f>IF(ER199="","",IF(ISNUMBER('Dvd Calendar'!$R$1993)=FALSE,"",IF((('Dvd Calendar'!$R$1995=TYPE1)*(TYPE1&lt;&gt;"")+('Dvd Calendar'!$R$1995=TYPE2)*(TYPE2&lt;&gt;"")+('Dvd Calendar'!$R$1995=TYPE3)*(TYPE3&lt;&gt;"")+('Dvd Calendar'!$R$1995=TYPE4)*(TYPE4&lt;&gt;"")+('Dvd Calendar'!$R$1995=SPECIAL_LBL)*(INC_SPECIALS="Y"))=0,"",'Dvd Calendar'!$R$1993)))</f>
        <v/>
      </c>
      <c r="Q199" s="110">
        <f>IF(ES199="","",IF(ISNUMBER('Dvd Calendar'!$S$1993)=FALSE,"",IF((('Dvd Calendar'!$S$1995=TYPE1)*(TYPE1&lt;&gt;"")+('Dvd Calendar'!$S$1995=TYPE2)*(TYPE2&lt;&gt;"")+('Dvd Calendar'!$S$1995=TYPE3)*(TYPE3&lt;&gt;"")+('Dvd Calendar'!$S$1995=TYPE4)*(TYPE4&lt;&gt;"")+('Dvd Calendar'!$S$1995=SPECIAL_LBL)*(INC_SPECIALS="Y"))=0,"",'Dvd Calendar'!$S$1993)))</f>
        <v/>
      </c>
      <c r="R199" s="110">
        <f>IF(ET199="","",IF(ISNUMBER('Dvd Calendar'!$T$1993)=FALSE,"",IF((('Dvd Calendar'!$T$1995=TYPE1)*(TYPE1&lt;&gt;"")+('Dvd Calendar'!$T$1995=TYPE2)*(TYPE2&lt;&gt;"")+('Dvd Calendar'!$T$1995=TYPE3)*(TYPE3&lt;&gt;"")+('Dvd Calendar'!$T$1995=TYPE4)*(TYPE4&lt;&gt;"")+('Dvd Calendar'!$T$1995=SPECIAL_LBL)*(INC_SPECIALS="Y"))=0,"",'Dvd Calendar'!$T$1993)))</f>
        <v/>
      </c>
      <c r="S199" s="110">
        <f>IF(EU199="","",IF(ISNUMBER('Dvd Calendar'!$U$1993)=FALSE,"",IF((('Dvd Calendar'!$U$1995=TYPE1)*(TYPE1&lt;&gt;"")+('Dvd Calendar'!$U$1995=TYPE2)*(TYPE2&lt;&gt;"")+('Dvd Calendar'!$U$1995=TYPE3)*(TYPE3&lt;&gt;"")+('Dvd Calendar'!$U$1995=TYPE4)*(TYPE4&lt;&gt;"")+('Dvd Calendar'!$U$1995=SPECIAL_LBL)*(INC_SPECIALS="Y"))=0,"",'Dvd Calendar'!$U$1993)))</f>
        <v/>
      </c>
      <c r="T199" s="110">
        <f>IF(EV199="","",IF(ISNUMBER('Dvd Calendar'!$V$1993)=FALSE,"",IF((('Dvd Calendar'!$V$1995=TYPE1)*(TYPE1&lt;&gt;"")+('Dvd Calendar'!$V$1995=TYPE2)*(TYPE2&lt;&gt;"")+('Dvd Calendar'!$V$1995=TYPE3)*(TYPE3&lt;&gt;"")+('Dvd Calendar'!$V$1995=TYPE4)*(TYPE4&lt;&gt;"")+('Dvd Calendar'!$V$1995=SPECIAL_LBL)*(INC_SPECIALS="Y"))=0,"",'Dvd Calendar'!$V$1993)))</f>
        <v/>
      </c>
      <c r="U199" s="110">
        <f>IF(EW199="","",IF(ISNUMBER('Dvd Calendar'!$W$1993)=FALSE,"",IF((('Dvd Calendar'!$W$1995=TYPE1)*(TYPE1&lt;&gt;"")+('Dvd Calendar'!$W$1995=TYPE2)*(TYPE2&lt;&gt;"")+('Dvd Calendar'!$W$1995=TYPE3)*(TYPE3&lt;&gt;"")+('Dvd Calendar'!$W$1995=TYPE4)*(TYPE4&lt;&gt;"")+('Dvd Calendar'!$W$1995=SPECIAL_LBL)*(INC_SPECIALS="Y"))=0,"",'Dvd Calendar'!$W$1993)))</f>
        <v/>
      </c>
      <c r="V199" s="110">
        <f>IF(EX199="","",IF(ISNUMBER('Dvd Calendar'!$X$1993)=FALSE,"",IF((('Dvd Calendar'!$X$1995=TYPE1)*(TYPE1&lt;&gt;"")+('Dvd Calendar'!$X$1995=TYPE2)*(TYPE2&lt;&gt;"")+('Dvd Calendar'!$X$1995=TYPE3)*(TYPE3&lt;&gt;"")+('Dvd Calendar'!$X$1995=TYPE4)*(TYPE4&lt;&gt;"")+('Dvd Calendar'!$X$1995=SPECIAL_LBL)*(INC_SPECIALS="Y"))=0,"",'Dvd Calendar'!$X$1993)))</f>
        <v/>
      </c>
      <c r="W199" s="110">
        <f>IF(EY199="","",IF(ISNUMBER('Dvd Calendar'!$Y$1993)=FALSE,"",IF((('Dvd Calendar'!$Y$1995=TYPE1)*(TYPE1&lt;&gt;"")+('Dvd Calendar'!$Y$1995=TYPE2)*(TYPE2&lt;&gt;"")+('Dvd Calendar'!$Y$1995=TYPE3)*(TYPE3&lt;&gt;"")+('Dvd Calendar'!$Y$1995=TYPE4)*(TYPE4&lt;&gt;"")+('Dvd Calendar'!$Y$1995=SPECIAL_LBL)*(INC_SPECIALS="Y"))=0,"",'Dvd Calendar'!$Y$1993)))</f>
        <v/>
      </c>
      <c r="X199" s="110">
        <f>IF(EZ199="","",IF(ISNUMBER('Dvd Calendar'!$Z$1993)=FALSE,"",IF((('Dvd Calendar'!$Z$1995=TYPE1)*(TYPE1&lt;&gt;"")+('Dvd Calendar'!$Z$1995=TYPE2)*(TYPE2&lt;&gt;"")+('Dvd Calendar'!$Z$1995=TYPE3)*(TYPE3&lt;&gt;"")+('Dvd Calendar'!$Z$1995=TYPE4)*(TYPE4&lt;&gt;"")+('Dvd Calendar'!$Z$1995=SPECIAL_LBL)*(INC_SPECIALS="Y"))=0,"",'Dvd Calendar'!$Z$1993)))</f>
        <v/>
      </c>
      <c r="Y199" s="110">
        <f>IF(FA199="","",IF(ISNUMBER('Dvd Calendar'!$AA$1993)=FALSE,"",IF((('Dvd Calendar'!$AA$1995=TYPE1)*(TYPE1&lt;&gt;"")+('Dvd Calendar'!$AA$1995=TYPE2)*(TYPE2&lt;&gt;"")+('Dvd Calendar'!$AA$1995=TYPE3)*(TYPE3&lt;&gt;"")+('Dvd Calendar'!$AA$1995=TYPE4)*(TYPE4&lt;&gt;"")+('Dvd Calendar'!$AA$1995=SPECIAL_LBL)*(INC_SPECIALS="Y"))=0,"",'Dvd Calendar'!$AA$1993)))</f>
        <v/>
      </c>
      <c r="Z199" s="110">
        <f>IF(FB199="","",IF(ISNUMBER('Dvd Calendar'!$AB$1993)=FALSE,"",IF((('Dvd Calendar'!$AB$1995=TYPE1)*(TYPE1&lt;&gt;"")+('Dvd Calendar'!$AB$1995=TYPE2)*(TYPE2&lt;&gt;"")+('Dvd Calendar'!$AB$1995=TYPE3)*(TYPE3&lt;&gt;"")+('Dvd Calendar'!$AB$1995=TYPE4)*(TYPE4&lt;&gt;"")+('Dvd Calendar'!$AB$1995=SPECIAL_LBL)*(INC_SPECIALS="Y"))=0,"",'Dvd Calendar'!$AB$1993)))</f>
        <v/>
      </c>
      <c r="AA199" s="110">
        <f>IF(FC199="","",IF(ISNUMBER('Dvd Calendar'!$AC$1993)=FALSE,"",IF((('Dvd Calendar'!$AC$1995=TYPE1)*(TYPE1&lt;&gt;"")+('Dvd Calendar'!$AC$1995=TYPE2)*(TYPE2&lt;&gt;"")+('Dvd Calendar'!$AC$1995=TYPE3)*(TYPE3&lt;&gt;"")+('Dvd Calendar'!$AC$1995=TYPE4)*(TYPE4&lt;&gt;"")+('Dvd Calendar'!$AC$1995=SPECIAL_LBL)*(INC_SPECIALS="Y"))=0,"",'Dvd Calendar'!$AC$1993)))</f>
        <v/>
      </c>
      <c r="AB199" s="110">
        <f>IF(FD199="","",IF(ISNUMBER('Dvd Calendar'!$AD$1993)=FALSE,"",IF((('Dvd Calendar'!$AD$1995=TYPE1)*(TYPE1&lt;&gt;"")+('Dvd Calendar'!$AD$1995=TYPE2)*(TYPE2&lt;&gt;"")+('Dvd Calendar'!$AD$1995=TYPE3)*(TYPE3&lt;&gt;"")+('Dvd Calendar'!$AD$1995=TYPE4)*(TYPE4&lt;&gt;"")+('Dvd Calendar'!$AD$1995=SPECIAL_LBL)*(INC_SPECIALS="Y"))=0,"",'Dvd Calendar'!$AD$1993)))</f>
        <v/>
      </c>
      <c r="AC199" s="110">
        <f>IF(FE199="","",IF(ISNUMBER('Dvd Calendar'!$AE$1993)=FALSE,"",IF((('Dvd Calendar'!$AE$1995=TYPE1)*(TYPE1&lt;&gt;"")+('Dvd Calendar'!$AE$1995=TYPE2)*(TYPE2&lt;&gt;"")+('Dvd Calendar'!$AE$1995=TYPE3)*(TYPE3&lt;&gt;"")+('Dvd Calendar'!$AE$1995=TYPE4)*(TYPE4&lt;&gt;"")+('Dvd Calendar'!$AE$1995=SPECIAL_LBL)*(INC_SPECIALS="Y"))=0,"",'Dvd Calendar'!$AE$1993)))</f>
        <v/>
      </c>
      <c r="AD199" s="110">
        <f>IF(FF199="","",IF(ISNUMBER('Dvd Calendar'!$AF$1993)=FALSE,"",IF((('Dvd Calendar'!$AF$1995=TYPE1)*(TYPE1&lt;&gt;"")+('Dvd Calendar'!$AF$1995=TYPE2)*(TYPE2&lt;&gt;"")+('Dvd Calendar'!$AF$1995=TYPE3)*(TYPE3&lt;&gt;"")+('Dvd Calendar'!$AF$1995=TYPE4)*(TYPE4&lt;&gt;"")+('Dvd Calendar'!$AF$1995=SPECIAL_LBL)*(INC_SPECIALS="Y"))=0,"",'Dvd Calendar'!$AF$1993)))</f>
        <v/>
      </c>
      <c r="AE199" s="110">
        <f>IF(FG199="","",IF(ISNUMBER('Dvd Calendar'!$AG$1993)=FALSE,"",IF((('Dvd Calendar'!$AG$1995=TYPE1)*(TYPE1&lt;&gt;"")+('Dvd Calendar'!$AG$1995=TYPE2)*(TYPE2&lt;&gt;"")+('Dvd Calendar'!$AG$1995=TYPE3)*(TYPE3&lt;&gt;"")+('Dvd Calendar'!$AG$1995=TYPE4)*(TYPE4&lt;&gt;"")+('Dvd Calendar'!$AG$1995=SPECIAL_LBL)*(INC_SPECIALS="Y"))=0,"",'Dvd Calendar'!$AG$1993)))</f>
        <v/>
      </c>
      <c r="AF199" s="110">
        <f>IF(FH199="","",IF(ISNUMBER('Dvd Calendar'!$AH$1993)=FALSE,"",IF((('Dvd Calendar'!$AH$1995=TYPE1)*(TYPE1&lt;&gt;"")+('Dvd Calendar'!$AH$1995=TYPE2)*(TYPE2&lt;&gt;"")+('Dvd Calendar'!$AH$1995=TYPE3)*(TYPE3&lt;&gt;"")+('Dvd Calendar'!$AH$1995=TYPE4)*(TYPE4&lt;&gt;"")+('Dvd Calendar'!$AH$1995=SPECIAL_LBL)*(INC_SPECIALS="Y"))=0,"",'Dvd Calendar'!$AH$1993)))</f>
        <v/>
      </c>
      <c r="AG199" s="110">
        <f>IF(FI199="","",IF(ISNUMBER('Dvd Calendar'!$AI$1993)=FALSE,"",IF((('Dvd Calendar'!$AI$1995=TYPE1)*(TYPE1&lt;&gt;"")+('Dvd Calendar'!$AI$1995=TYPE2)*(TYPE2&lt;&gt;"")+('Dvd Calendar'!$AI$1995=TYPE3)*(TYPE3&lt;&gt;"")+('Dvd Calendar'!$AI$1995=TYPE4)*(TYPE4&lt;&gt;"")+('Dvd Calendar'!$AI$1995=SPECIAL_LBL)*(INC_SPECIALS="Y"))=0,"",'Dvd Calendar'!$AI$1993)))</f>
        <v/>
      </c>
      <c r="AH199" s="110">
        <f>IF(FJ199="","",IF(ISNUMBER('Dvd Calendar'!$AJ$1993)=FALSE,"",IF((('Dvd Calendar'!$AJ$1995=TYPE1)*(TYPE1&lt;&gt;"")+('Dvd Calendar'!$AJ$1995=TYPE2)*(TYPE2&lt;&gt;"")+('Dvd Calendar'!$AJ$1995=TYPE3)*(TYPE3&lt;&gt;"")+('Dvd Calendar'!$AJ$1995=TYPE4)*(TYPE4&lt;&gt;"")+('Dvd Calendar'!$AJ$1995=SPECIAL_LBL)*(INC_SPECIALS="Y"))=0,"",'Dvd Calendar'!$AJ$1993)))</f>
        <v/>
      </c>
      <c r="AI199" s="110">
        <f>IF(FK199="","",IF(ISNUMBER('Dvd Calendar'!$AK$1993)=FALSE,"",IF((('Dvd Calendar'!$AK$1995=TYPE1)*(TYPE1&lt;&gt;"")+('Dvd Calendar'!$AK$1995=TYPE2)*(TYPE2&lt;&gt;"")+('Dvd Calendar'!$AK$1995=TYPE3)*(TYPE3&lt;&gt;"")+('Dvd Calendar'!$AK$1995=TYPE4)*(TYPE4&lt;&gt;"")+('Dvd Calendar'!$AK$1995=SPECIAL_LBL)*(INC_SPECIALS="Y"))=0,"",'Dvd Calendar'!$AK$1993)))</f>
        <v/>
      </c>
      <c r="AJ199" s="110">
        <f>IF(FL199="","",IF(ISNUMBER('Dvd Calendar'!$AL$1993)=FALSE,"",IF((('Dvd Calendar'!$AL$1995=TYPE1)*(TYPE1&lt;&gt;"")+('Dvd Calendar'!$AL$1995=TYPE2)*(TYPE2&lt;&gt;"")+('Dvd Calendar'!$AL$1995=TYPE3)*(TYPE3&lt;&gt;"")+('Dvd Calendar'!$AL$1995=TYPE4)*(TYPE4&lt;&gt;"")+('Dvd Calendar'!$AL$1995=SPECIAL_LBL)*(INC_SPECIALS="Y"))=0,"",'Dvd Calendar'!$AL$1993)))</f>
        <v/>
      </c>
      <c r="AK199" s="110">
        <f>IF(FM199="","",IF(ISNUMBER('Dvd Calendar'!$AM$1993)=FALSE,"",IF((('Dvd Calendar'!$AM$1995=TYPE1)*(TYPE1&lt;&gt;"")+('Dvd Calendar'!$AM$1995=TYPE2)*(TYPE2&lt;&gt;"")+('Dvd Calendar'!$AM$1995=TYPE3)*(TYPE3&lt;&gt;"")+('Dvd Calendar'!$AM$1995=TYPE4)*(TYPE4&lt;&gt;"")+('Dvd Calendar'!$AM$1995=SPECIAL_LBL)*(INC_SPECIALS="Y"))=0,"",'Dvd Calendar'!$AM$1993)))</f>
        <v/>
      </c>
      <c r="AL199" s="110">
        <f>IF(FN199="","",IF(ISNUMBER('Dvd Calendar'!$AN$1993)=FALSE,"",IF((('Dvd Calendar'!$AN$1995=TYPE1)*(TYPE1&lt;&gt;"")+('Dvd Calendar'!$AN$1995=TYPE2)*(TYPE2&lt;&gt;"")+('Dvd Calendar'!$AN$1995=TYPE3)*(TYPE3&lt;&gt;"")+('Dvd Calendar'!$AN$1995=TYPE4)*(TYPE4&lt;&gt;"")+('Dvd Calendar'!$AN$1995=SPECIAL_LBL)*(INC_SPECIALS="Y"))=0,"",'Dvd Calendar'!$AN$1993)))</f>
        <v/>
      </c>
      <c r="AM199" s="110">
        <f>IF(FO199="","",IF(ISNUMBER('Dvd Calendar'!$AO$1993)=FALSE,"",IF((('Dvd Calendar'!$AO$1995=TYPE1)*(TYPE1&lt;&gt;"")+('Dvd Calendar'!$AO$1995=TYPE2)*(TYPE2&lt;&gt;"")+('Dvd Calendar'!$AO$1995=TYPE3)*(TYPE3&lt;&gt;"")+('Dvd Calendar'!$AO$1995=TYPE4)*(TYPE4&lt;&gt;"")+('Dvd Calendar'!$AO$1995=SPECIAL_LBL)*(INC_SPECIALS="Y"))=0,"",'Dvd Calendar'!$AO$1993)))</f>
        <v/>
      </c>
      <c r="AN199" s="110">
        <f>IF(FP199="","",IF(ISNUMBER('Dvd Calendar'!$AP$1993)=FALSE,"",IF((('Dvd Calendar'!$AP$1995=TYPE1)*(TYPE1&lt;&gt;"")+('Dvd Calendar'!$AP$1995=TYPE2)*(TYPE2&lt;&gt;"")+('Dvd Calendar'!$AP$1995=TYPE3)*(TYPE3&lt;&gt;"")+('Dvd Calendar'!$AP$1995=TYPE4)*(TYPE4&lt;&gt;"")+('Dvd Calendar'!$AP$1995=SPECIAL_LBL)*(INC_SPECIALS="Y"))=0,"",'Dvd Calendar'!$AP$1993)))</f>
        <v/>
      </c>
      <c r="AO199" s="110">
        <f>IF(FQ199="","",IF(ISNUMBER('Dvd Calendar'!$AQ$1993)=FALSE,"",IF((('Dvd Calendar'!$AQ$1995=TYPE1)*(TYPE1&lt;&gt;"")+('Dvd Calendar'!$AQ$1995=TYPE2)*(TYPE2&lt;&gt;"")+('Dvd Calendar'!$AQ$1995=TYPE3)*(TYPE3&lt;&gt;"")+('Dvd Calendar'!$AQ$1995=TYPE4)*(TYPE4&lt;&gt;"")+('Dvd Calendar'!$AQ$1995=SPECIAL_LBL)*(INC_SPECIALS="Y"))=0,"",'Dvd Calendar'!$AQ$1993)))</f>
        <v/>
      </c>
      <c r="AP199" s="110">
        <f>IF(FR199="","",IF(ISNUMBER('Dvd Calendar'!$AR$1993)=FALSE,"",IF((('Dvd Calendar'!$AR$1995=TYPE1)*(TYPE1&lt;&gt;"")+('Dvd Calendar'!$AR$1995=TYPE2)*(TYPE2&lt;&gt;"")+('Dvd Calendar'!$AR$1995=TYPE3)*(TYPE3&lt;&gt;"")+('Dvd Calendar'!$AR$1995=TYPE4)*(TYPE4&lt;&gt;"")+('Dvd Calendar'!$AR$1995=SPECIAL_LBL)*(INC_SPECIALS="Y"))=0,"",'Dvd Calendar'!$AR$1993)))</f>
        <v/>
      </c>
      <c r="AQ199" s="110">
        <f>IF(FS199="","",IF(ISNUMBER('Dvd Calendar'!$E$1998)=FALSE,"",'Dvd Calendar'!$E$1998))</f>
        <v/>
      </c>
      <c r="AR199" s="110">
        <f>IF(FT199="","",IF(ISNUMBER('Dvd Calendar'!$F$1998)=FALSE,"",'Dvd Calendar'!$F$1998))</f>
        <v/>
      </c>
      <c r="AS199" s="110">
        <f>IF(FU199="","",IF(ISNUMBER('Dvd Calendar'!$G$1998)=FALSE,"",'Dvd Calendar'!$G$1998))</f>
        <v/>
      </c>
      <c r="AT199" s="110">
        <f>IF(FV199="","",IF(ISNUMBER('Dvd Calendar'!$H$1998)=FALSE,"",'Dvd Calendar'!$H$1998))</f>
        <v/>
      </c>
      <c r="AU199" s="110">
        <f>IF(FW199="","",IF(ISNUMBER('Dvd Calendar'!$I$1998)=FALSE,"",'Dvd Calendar'!$I$1998))</f>
        <v/>
      </c>
      <c r="AV199" s="110">
        <f>IF(FX199="","",IF(ISNUMBER('Dvd Calendar'!$J$1998)=FALSE,"",'Dvd Calendar'!$J$1998))</f>
        <v/>
      </c>
      <c r="AW199" s="110">
        <f>IF(FY199="","",IF(ISNUMBER('Dvd Calendar'!$K$1998)=FALSE,"",'Dvd Calendar'!$K$1998))</f>
        <v/>
      </c>
      <c r="AX199" s="110">
        <f>IF(FZ199="","",IF(ISNUMBER('Dvd Calendar'!$L$1998)=FALSE,"",'Dvd Calendar'!$L$1998))</f>
        <v/>
      </c>
      <c r="AY199" s="110">
        <f>IF(GA199="","",IF(ISNUMBER('Dvd Calendar'!$M$1998)=FALSE,"",'Dvd Calendar'!$M$1998))</f>
        <v/>
      </c>
      <c r="AZ199" s="110">
        <f>IF(GB199="","",IF(ISNUMBER('Dvd Calendar'!$N$1998)=FALSE,"",'Dvd Calendar'!$N$1998))</f>
        <v/>
      </c>
      <c r="BA199" s="110">
        <f>IF(GC199="","",IF(ISNUMBER('Dvd Calendar'!$O$1998)=FALSE,"",'Dvd Calendar'!$O$1998))</f>
        <v/>
      </c>
      <c r="BB199" s="110">
        <f>IF(GD199="","",IF(ISNUMBER('Dvd Calendar'!$P$1998)=FALSE,"",'Dvd Calendar'!$P$1998))</f>
        <v/>
      </c>
      <c r="BC199" s="110">
        <f>IF(GE199="","",IF(ISNUMBER('Dvd Calendar'!$Q$1998)=FALSE,"",'Dvd Calendar'!$Q$1998))</f>
        <v/>
      </c>
      <c r="BD199" s="110">
        <f>IF(GF199="","",IF(ISNUMBER('Dvd Calendar'!$R$1998)=FALSE,"",'Dvd Calendar'!$R$1998))</f>
        <v/>
      </c>
      <c r="BE199" s="110">
        <f>IF(GG199="","",IF(ISNUMBER('Dvd Calendar'!$S$1998)=FALSE,"",'Dvd Calendar'!$S$1998))</f>
        <v/>
      </c>
      <c r="BF199" s="110">
        <f>IF(GH199="","",IF(ISNUMBER('Dvd Calendar'!$T$1998)=FALSE,"",'Dvd Calendar'!$T$1998))</f>
        <v/>
      </c>
      <c r="BG199" s="110">
        <f>IF(GI199="","",IF(ISNUMBER('Dvd Calendar'!$U$1998)=FALSE,"",'Dvd Calendar'!$U$1998))</f>
        <v/>
      </c>
      <c r="BH199" s="110">
        <f>IF(GJ199="","",IF(ISNUMBER('Dvd Calendar'!$V$1998)=FALSE,"",'Dvd Calendar'!$V$1998))</f>
        <v/>
      </c>
      <c r="BI199" s="110">
        <f>IF(GK199="","",IF(ISNUMBER('Dvd Calendar'!$W$1998)=FALSE,"",'Dvd Calendar'!$W$1998))</f>
        <v/>
      </c>
      <c r="BJ199" s="110">
        <f>IF(GL199="","",IF(ISNUMBER('Dvd Calendar'!$X$1998)=FALSE,"",'Dvd Calendar'!$X$1998))</f>
        <v/>
      </c>
      <c r="BK199" s="110">
        <f>IF(GM199="","",IF(ISNUMBER('Dvd Calendar'!$Y$1998)=FALSE,"",'Dvd Calendar'!$Y$1998))</f>
        <v/>
      </c>
      <c r="BL199" s="110">
        <f>IF(GN199="","",IF(ISNUMBER('Dvd Calendar'!$Z$1998)=FALSE,"",'Dvd Calendar'!$Z$1998))</f>
        <v/>
      </c>
      <c r="BM199" s="110">
        <f>IF(GO199="","",IF(ISNUMBER('Dvd Calendar'!$AA$1998)=FALSE,"",'Dvd Calendar'!$AA$1998))</f>
        <v/>
      </c>
      <c r="BN199" s="110">
        <f>IF(GP199="","",IF(ISNUMBER('Dvd Calendar'!$AB$1998)=FALSE,"",'Dvd Calendar'!$AB$1998))</f>
        <v/>
      </c>
      <c r="BO199" s="110">
        <f>IF(GQ199="","",IF(ISNUMBER('Dvd Calendar'!$AC$1998)=FALSE,"",'Dvd Calendar'!$AC$1998))</f>
        <v/>
      </c>
      <c r="BQ199" s="110">
        <f>IF(C199="","",IFERROR(C199*HSCEI!$B$46*HSCEI!$G$46/HSCEI!$B$3,""))</f>
        <v/>
      </c>
      <c r="BR199" s="110">
        <f>IF(D199="","",IFERROR(D199*HSCEI!$B$46*HSCEI!$G$46/HSCEI!$B$3,""))</f>
        <v/>
      </c>
      <c r="BS199" s="110">
        <f>IF(E199="","",IFERROR(E199*HSCEI!$B$46*HSCEI!$G$46/HSCEI!$B$3,""))</f>
        <v/>
      </c>
      <c r="BT199" s="110">
        <f>IF(F199="","",IFERROR(F199*HSCEI!$B$46*HSCEI!$G$46/HSCEI!$B$3,""))</f>
        <v/>
      </c>
      <c r="BU199" s="110">
        <f>IF(G199="","",IFERROR(G199*HSCEI!$B$46*HSCEI!$G$46/HSCEI!$B$3,""))</f>
        <v/>
      </c>
      <c r="BV199" s="110">
        <f>IF(H199="","",IFERROR(H199*HSCEI!$B$46*HSCEI!$G$46/HSCEI!$B$3,""))</f>
        <v/>
      </c>
      <c r="BW199" s="110">
        <f>IF(I199="","",IFERROR(I199*HSCEI!$B$46*HSCEI!$G$46/HSCEI!$B$3,""))</f>
        <v/>
      </c>
      <c r="BX199" s="110">
        <f>IF(J199="","",IFERROR(J199*HSCEI!$B$46*HSCEI!$G$46/HSCEI!$B$3,""))</f>
        <v/>
      </c>
      <c r="BY199" s="110">
        <f>IF(K199="","",IFERROR(K199*HSCEI!$B$46*HSCEI!$G$46/HSCEI!$B$3,""))</f>
        <v/>
      </c>
      <c r="BZ199" s="110">
        <f>IF(L199="","",IFERROR(L199*HSCEI!$B$46*HSCEI!$G$46/HSCEI!$B$3,""))</f>
        <v/>
      </c>
      <c r="CA199" s="110">
        <f>IF(M199="","",IFERROR(M199*HSCEI!$B$46*HSCEI!$G$46/HSCEI!$B$3,""))</f>
        <v/>
      </c>
      <c r="CB199" s="110">
        <f>IF(N199="","",IFERROR(N199*HSCEI!$B$46*HSCEI!$G$46/HSCEI!$B$3,""))</f>
        <v/>
      </c>
      <c r="CC199" s="110">
        <f>IF(O199="","",IFERROR(O199*HSCEI!$B$46*HSCEI!$G$46/HSCEI!$B$3,""))</f>
        <v/>
      </c>
      <c r="CD199" s="110">
        <f>IF(P199="","",IFERROR(P199*HSCEI!$B$46*HSCEI!$G$46/HSCEI!$B$3,""))</f>
        <v/>
      </c>
      <c r="CE199" s="110">
        <f>IF(Q199="","",IFERROR(Q199*HSCEI!$B$46*HSCEI!$G$46/HSCEI!$B$3,""))</f>
        <v/>
      </c>
      <c r="CF199" s="110">
        <f>IF(R199="","",IFERROR(R199*HSCEI!$B$46*HSCEI!$G$46/HSCEI!$B$3,""))</f>
        <v/>
      </c>
      <c r="CG199" s="110">
        <f>IF(S199="","",IFERROR(S199*HSCEI!$B$46*HSCEI!$G$46/HSCEI!$B$3,""))</f>
        <v/>
      </c>
      <c r="CH199" s="110">
        <f>IF(T199="","",IFERROR(T199*HSCEI!$B$46*HSCEI!$G$46/HSCEI!$B$3,""))</f>
        <v/>
      </c>
      <c r="CI199" s="110">
        <f>IF(U199="","",IFERROR(U199*HSCEI!$B$46*HSCEI!$G$46/HSCEI!$B$3,""))</f>
        <v/>
      </c>
      <c r="CJ199" s="110">
        <f>IF(V199="","",IFERROR(V199*HSCEI!$B$46*HSCEI!$G$46/HSCEI!$B$3,""))</f>
        <v/>
      </c>
      <c r="CK199" s="110">
        <f>IF(W199="","",IFERROR(W199*HSCEI!$B$46*HSCEI!$G$46/HSCEI!$B$3,""))</f>
        <v/>
      </c>
      <c r="CL199" s="110">
        <f>IF(X199="","",IFERROR(X199*HSCEI!$B$46*HSCEI!$G$46/HSCEI!$B$3,""))</f>
        <v/>
      </c>
      <c r="CM199" s="110">
        <f>IF(Y199="","",IFERROR(Y199*HSCEI!$B$46*HSCEI!$G$46/HSCEI!$B$3,""))</f>
        <v/>
      </c>
      <c r="CN199" s="110">
        <f>IF(Z199="","",IFERROR(Z199*HSCEI!$B$46*HSCEI!$G$46/HSCEI!$B$3,""))</f>
        <v/>
      </c>
      <c r="CO199" s="110">
        <f>IF(AA199="","",IFERROR(AA199*HSCEI!$B$46*HSCEI!$G$46/HSCEI!$B$3,""))</f>
        <v/>
      </c>
      <c r="CP199" s="110">
        <f>IF(AB199="","",IFERROR(AB199*HSCEI!$B$46*HSCEI!$G$46/HSCEI!$B$3,""))</f>
        <v/>
      </c>
      <c r="CQ199" s="110">
        <f>IF(AC199="","",IFERROR(AC199*HSCEI!$B$46*HSCEI!$G$46/HSCEI!$B$3,""))</f>
        <v/>
      </c>
      <c r="CR199" s="110">
        <f>IF(AD199="","",IFERROR(AD199*HSCEI!$B$46*HSCEI!$G$46/HSCEI!$B$3,""))</f>
        <v/>
      </c>
      <c r="CS199" s="110">
        <f>IF(AE199="","",IFERROR(AE199*HSCEI!$B$46*HSCEI!$G$46/HSCEI!$B$3,""))</f>
        <v/>
      </c>
      <c r="CT199" s="110">
        <f>IF(AF199="","",IFERROR(AF199*HSCEI!$B$46*HSCEI!$G$46/HSCEI!$B$3,""))</f>
        <v/>
      </c>
      <c r="CU199" s="110">
        <f>IF(AG199="","",IFERROR(AG199*HSCEI!$B$46*HSCEI!$G$46/HSCEI!$B$3,""))</f>
        <v/>
      </c>
      <c r="CV199" s="110">
        <f>IF(AH199="","",IFERROR(AH199*HSCEI!$B$46*HSCEI!$G$46/HSCEI!$B$3,""))</f>
        <v/>
      </c>
      <c r="CW199" s="110">
        <f>IF(AI199="","",IFERROR(AI199*HSCEI!$B$46*HSCEI!$G$46/HSCEI!$B$3,""))</f>
        <v/>
      </c>
      <c r="CX199" s="110">
        <f>IF(AJ199="","",IFERROR(AJ199*HSCEI!$B$46*HSCEI!$G$46/HSCEI!$B$3,""))</f>
        <v/>
      </c>
      <c r="CY199" s="110">
        <f>IF(AK199="","",IFERROR(AK199*HSCEI!$B$46*HSCEI!$G$46/HSCEI!$B$3,""))</f>
        <v/>
      </c>
      <c r="CZ199" s="110">
        <f>IF(AL199="","",IFERROR(AL199*HSCEI!$B$46*HSCEI!$G$46/HSCEI!$B$3,""))</f>
        <v/>
      </c>
      <c r="DA199" s="110">
        <f>IF(AM199="","",IFERROR(AM199*HSCEI!$B$46*HSCEI!$G$46/HSCEI!$B$3,""))</f>
        <v/>
      </c>
      <c r="DB199" s="110">
        <f>IF(AN199="","",IFERROR(AN199*HSCEI!$B$46*HSCEI!$G$46/HSCEI!$B$3,""))</f>
        <v/>
      </c>
      <c r="DC199" s="110">
        <f>IF(AO199="","",IFERROR(AO199*HSCEI!$B$46*HSCEI!$G$46/HSCEI!$B$3,""))</f>
        <v/>
      </c>
      <c r="DD199" s="110">
        <f>IF(AP199="","",IFERROR(AP199*HSCEI!$B$46*HSCEI!$G$46/HSCEI!$B$3,""))</f>
        <v/>
      </c>
      <c r="DE199" s="110">
        <f>IF(AQ199="","",IFERROR(AQ199*HSCEI!$B$46*HSCEI!$G$46/HSCEI!$B$3,""))</f>
        <v/>
      </c>
      <c r="DF199" s="110">
        <f>IF(AR199="","",IFERROR(AR199*HSCEI!$B$46*HSCEI!$G$46/HSCEI!$B$3,""))</f>
        <v/>
      </c>
      <c r="DG199" s="110">
        <f>IF(AS199="","",IFERROR(AS199*HSCEI!$B$46*HSCEI!$G$46/HSCEI!$B$3,""))</f>
        <v/>
      </c>
      <c r="DH199" s="110">
        <f>IF(AT199="","",IFERROR(AT199*HSCEI!$B$46*HSCEI!$G$46/HSCEI!$B$3,""))</f>
        <v/>
      </c>
      <c r="DI199" s="110">
        <f>IF(AU199="","",IFERROR(AU199*HSCEI!$B$46*HSCEI!$G$46/HSCEI!$B$3,""))</f>
        <v/>
      </c>
      <c r="DJ199" s="110">
        <f>IF(AV199="","",IFERROR(AV199*HSCEI!$B$46*HSCEI!$G$46/HSCEI!$B$3,""))</f>
        <v/>
      </c>
      <c r="DK199" s="110">
        <f>IF(AW199="","",IFERROR(AW199*HSCEI!$B$46*HSCEI!$G$46/HSCEI!$B$3,""))</f>
        <v/>
      </c>
      <c r="DL199" s="110">
        <f>IF(AX199="","",IFERROR(AX199*HSCEI!$B$46*HSCEI!$G$46/HSCEI!$B$3,""))</f>
        <v/>
      </c>
      <c r="DM199" s="110">
        <f>IF(AY199="","",IFERROR(AY199*HSCEI!$B$46*HSCEI!$G$46/HSCEI!$B$3,""))</f>
        <v/>
      </c>
      <c r="DN199" s="110">
        <f>IF(AZ199="","",IFERROR(AZ199*HSCEI!$B$46*HSCEI!$G$46/HSCEI!$B$3,""))</f>
        <v/>
      </c>
      <c r="DO199" s="110">
        <f>IF(BA199="","",IFERROR(BA199*HSCEI!$B$46*HSCEI!$G$46/HSCEI!$B$3,""))</f>
        <v/>
      </c>
      <c r="DP199" s="110">
        <f>IF(BB199="","",IFERROR(BB199*HSCEI!$B$46*HSCEI!$G$46/HSCEI!$B$3,""))</f>
        <v/>
      </c>
      <c r="DQ199" s="110">
        <f>IF(BC199="","",IFERROR(BC199*HSCEI!$B$46*HSCEI!$G$46/HSCEI!$B$3,""))</f>
        <v/>
      </c>
      <c r="DR199" s="110">
        <f>IF(BD199="","",IFERROR(BD199*HSCEI!$B$46*HSCEI!$G$46/HSCEI!$B$3,""))</f>
        <v/>
      </c>
      <c r="DS199" s="110">
        <f>IF(BE199="","",IFERROR(BE199*HSCEI!$B$46*HSCEI!$G$46/HSCEI!$B$3,""))</f>
        <v/>
      </c>
      <c r="DT199" s="110">
        <f>IF(BF199="","",IFERROR(BF199*HSCEI!$B$46*HSCEI!$G$46/HSCEI!$B$3,""))</f>
        <v/>
      </c>
      <c r="DU199" s="110">
        <f>IF(BG199="","",IFERROR(BG199*HSCEI!$B$46*HSCEI!$G$46/HSCEI!$B$3,""))</f>
        <v/>
      </c>
      <c r="DV199" s="110">
        <f>IF(BH199="","",IFERROR(BH199*HSCEI!$B$46*HSCEI!$G$46/HSCEI!$B$3,""))</f>
        <v/>
      </c>
      <c r="DW199" s="110">
        <f>IF(BI199="","",IFERROR(BI199*HSCEI!$B$46*HSCEI!$G$46/HSCEI!$B$3,""))</f>
        <v/>
      </c>
      <c r="DX199" s="110">
        <f>IF(BJ199="","",IFERROR(BJ199*HSCEI!$B$46*HSCEI!$G$46/HSCEI!$B$3,""))</f>
        <v/>
      </c>
      <c r="DY199" s="110">
        <f>IF(BK199="","",IFERROR(BK199*HSCEI!$B$46*HSCEI!$G$46/HSCEI!$B$3,""))</f>
        <v/>
      </c>
      <c r="DZ199" s="110">
        <f>IF(BL199="","",IFERROR(BL199*HSCEI!$B$46*HSCEI!$G$46/HSCEI!$B$3,""))</f>
        <v/>
      </c>
      <c r="EA199" s="110">
        <f>IF(BM199="","",IFERROR(BM199*HSCEI!$B$46*HSCEI!$G$46/HSCEI!$B$3,""))</f>
        <v/>
      </c>
      <c r="EB199" s="110">
        <f>IF(BN199="","",IFERROR(BN199*HSCEI!$B$46*HSCEI!$G$46/HSCEI!$B$3,""))</f>
        <v/>
      </c>
      <c r="EC199" s="110">
        <f>IF(BO199="","",IFERROR(BO199*HSCEI!$B$46*HSCEI!$G$46/HSCEI!$B$3,""))</f>
        <v/>
      </c>
      <c r="EE199" s="39">
        <f>IF(N('Dvd Calendar'!$E$1990)=0,"",IF(('Dvd Calendar'!$E$1990&gt;=GRID_FROM)*('Dvd Calendar'!$E$1990&lt;=GRID_TO)*((('Dvd Calendar'!$E$1990&lt;=VAL_DATE)+(COUNTIF('Dvd Calendar'!$E$1997:$AR$1997,'Dvd Calendar'!$E$1990)=0))&gt;0)=0,"",'Dvd Calendar'!$E$1990*1000000000+ISNUMBER('Dvd Calendar'!$E$1993)*100000000+('Dvd Calendar'!$E$1995=SPECIAL_LBL)*10000000+(N('Dvd Calendar'!$E$1989)&gt;0)*(N('Dvd Calendar'!$E$1989)&lt;=VAL_SERIAL)*1000000+40*1000+1))</f>
        <v/>
      </c>
      <c r="EF199" s="39">
        <f>IF(N('Dvd Calendar'!$F$1990)=0,"",IF(('Dvd Calendar'!$F$1990&gt;=GRID_FROM)*('Dvd Calendar'!$F$1990&lt;=GRID_TO)*((('Dvd Calendar'!$F$1990&lt;=VAL_DATE)+(COUNTIF('Dvd Calendar'!$E$1997:$AR$1997,'Dvd Calendar'!$F$1990)=0))&gt;0)=0,"",'Dvd Calendar'!$F$1990*1000000000+ISNUMBER('Dvd Calendar'!$F$1993)*100000000+('Dvd Calendar'!$F$1995=SPECIAL_LBL)*10000000+(N('Dvd Calendar'!$F$1989)&gt;0)*(N('Dvd Calendar'!$F$1989)&lt;=VAL_SERIAL)*1000000+40*1000+2))</f>
        <v/>
      </c>
      <c r="EG199" s="39">
        <f>IF(N('Dvd Calendar'!$G$1990)=0,"",IF(('Dvd Calendar'!$G$1990&gt;=GRID_FROM)*('Dvd Calendar'!$G$1990&lt;=GRID_TO)*((('Dvd Calendar'!$G$1990&lt;=VAL_DATE)+(COUNTIF('Dvd Calendar'!$E$1997:$AR$1997,'Dvd Calendar'!$G$1990)=0))&gt;0)=0,"",'Dvd Calendar'!$G$1990*1000000000+ISNUMBER('Dvd Calendar'!$G$1993)*100000000+('Dvd Calendar'!$G$1995=SPECIAL_LBL)*10000000+(N('Dvd Calendar'!$G$1989)&gt;0)*(N('Dvd Calendar'!$G$1989)&lt;=VAL_SERIAL)*1000000+40*1000+3))</f>
        <v/>
      </c>
      <c r="EH199" s="39">
        <f>IF(N('Dvd Calendar'!$H$1990)=0,"",IF(('Dvd Calendar'!$H$1990&gt;=GRID_FROM)*('Dvd Calendar'!$H$1990&lt;=GRID_TO)*((('Dvd Calendar'!$H$1990&lt;=VAL_DATE)+(COUNTIF('Dvd Calendar'!$E$1997:$AR$1997,'Dvd Calendar'!$H$1990)=0))&gt;0)=0,"",'Dvd Calendar'!$H$1990*1000000000+ISNUMBER('Dvd Calendar'!$H$1993)*100000000+('Dvd Calendar'!$H$1995=SPECIAL_LBL)*10000000+(N('Dvd Calendar'!$H$1989)&gt;0)*(N('Dvd Calendar'!$H$1989)&lt;=VAL_SERIAL)*1000000+40*1000+4))</f>
        <v/>
      </c>
      <c r="EI199" s="39">
        <f>IF(N('Dvd Calendar'!$I$1990)=0,"",IF(('Dvd Calendar'!$I$1990&gt;=GRID_FROM)*('Dvd Calendar'!$I$1990&lt;=GRID_TO)*((('Dvd Calendar'!$I$1990&lt;=VAL_DATE)+(COUNTIF('Dvd Calendar'!$E$1997:$AR$1997,'Dvd Calendar'!$I$1990)=0))&gt;0)=0,"",'Dvd Calendar'!$I$1990*1000000000+ISNUMBER('Dvd Calendar'!$I$1993)*100000000+('Dvd Calendar'!$I$1995=SPECIAL_LBL)*10000000+(N('Dvd Calendar'!$I$1989)&gt;0)*(N('Dvd Calendar'!$I$1989)&lt;=VAL_SERIAL)*1000000+40*1000+5))</f>
        <v/>
      </c>
      <c r="EJ199" s="39">
        <f>IF(N('Dvd Calendar'!$J$1990)=0,"",IF(('Dvd Calendar'!$J$1990&gt;=GRID_FROM)*('Dvd Calendar'!$J$1990&lt;=GRID_TO)*((('Dvd Calendar'!$J$1990&lt;=VAL_DATE)+(COUNTIF('Dvd Calendar'!$E$1997:$AR$1997,'Dvd Calendar'!$J$1990)=0))&gt;0)=0,"",'Dvd Calendar'!$J$1990*1000000000+ISNUMBER('Dvd Calendar'!$J$1993)*100000000+('Dvd Calendar'!$J$1995=SPECIAL_LBL)*10000000+(N('Dvd Calendar'!$J$1989)&gt;0)*(N('Dvd Calendar'!$J$1989)&lt;=VAL_SERIAL)*1000000+40*1000+6))</f>
        <v/>
      </c>
      <c r="EK199" s="39">
        <f>IF(N('Dvd Calendar'!$K$1990)=0,"",IF(('Dvd Calendar'!$K$1990&gt;=GRID_FROM)*('Dvd Calendar'!$K$1990&lt;=GRID_TO)*((('Dvd Calendar'!$K$1990&lt;=VAL_DATE)+(COUNTIF('Dvd Calendar'!$E$1997:$AR$1997,'Dvd Calendar'!$K$1990)=0))&gt;0)=0,"",'Dvd Calendar'!$K$1990*1000000000+ISNUMBER('Dvd Calendar'!$K$1993)*100000000+('Dvd Calendar'!$K$1995=SPECIAL_LBL)*10000000+(N('Dvd Calendar'!$K$1989)&gt;0)*(N('Dvd Calendar'!$K$1989)&lt;=VAL_SERIAL)*1000000+40*1000+7))</f>
        <v/>
      </c>
      <c r="EL199" s="39">
        <f>IF(N('Dvd Calendar'!$L$1990)=0,"",IF(('Dvd Calendar'!$L$1990&gt;=GRID_FROM)*('Dvd Calendar'!$L$1990&lt;=GRID_TO)*((('Dvd Calendar'!$L$1990&lt;=VAL_DATE)+(COUNTIF('Dvd Calendar'!$E$1997:$AR$1997,'Dvd Calendar'!$L$1990)=0))&gt;0)=0,"",'Dvd Calendar'!$L$1990*1000000000+ISNUMBER('Dvd Calendar'!$L$1993)*100000000+('Dvd Calendar'!$L$1995=SPECIAL_LBL)*10000000+(N('Dvd Calendar'!$L$1989)&gt;0)*(N('Dvd Calendar'!$L$1989)&lt;=VAL_SERIAL)*1000000+40*1000+8))</f>
        <v/>
      </c>
      <c r="EM199" s="39">
        <f>IF(N('Dvd Calendar'!$M$1990)=0,"",IF(('Dvd Calendar'!$M$1990&gt;=GRID_FROM)*('Dvd Calendar'!$M$1990&lt;=GRID_TO)*((('Dvd Calendar'!$M$1990&lt;=VAL_DATE)+(COUNTIF('Dvd Calendar'!$E$1997:$AR$1997,'Dvd Calendar'!$M$1990)=0))&gt;0)=0,"",'Dvd Calendar'!$M$1990*1000000000+ISNUMBER('Dvd Calendar'!$M$1993)*100000000+('Dvd Calendar'!$M$1995=SPECIAL_LBL)*10000000+(N('Dvd Calendar'!$M$1989)&gt;0)*(N('Dvd Calendar'!$M$1989)&lt;=VAL_SERIAL)*1000000+40*1000+9))</f>
        <v/>
      </c>
      <c r="EN199" s="39">
        <f>IF(N('Dvd Calendar'!$N$1990)=0,"",IF(('Dvd Calendar'!$N$1990&gt;=GRID_FROM)*('Dvd Calendar'!$N$1990&lt;=GRID_TO)*((('Dvd Calendar'!$N$1990&lt;=VAL_DATE)+(COUNTIF('Dvd Calendar'!$E$1997:$AR$1997,'Dvd Calendar'!$N$1990)=0))&gt;0)=0,"",'Dvd Calendar'!$N$1990*1000000000+ISNUMBER('Dvd Calendar'!$N$1993)*100000000+('Dvd Calendar'!$N$1995=SPECIAL_LBL)*10000000+(N('Dvd Calendar'!$N$1989)&gt;0)*(N('Dvd Calendar'!$N$1989)&lt;=VAL_SERIAL)*1000000+40*1000+10))</f>
        <v/>
      </c>
      <c r="EO199" s="39">
        <f>IF(N('Dvd Calendar'!$O$1990)=0,"",IF(('Dvd Calendar'!$O$1990&gt;=GRID_FROM)*('Dvd Calendar'!$O$1990&lt;=GRID_TO)*((('Dvd Calendar'!$O$1990&lt;=VAL_DATE)+(COUNTIF('Dvd Calendar'!$E$1997:$AR$1997,'Dvd Calendar'!$O$1990)=0))&gt;0)=0,"",'Dvd Calendar'!$O$1990*1000000000+ISNUMBER('Dvd Calendar'!$O$1993)*100000000+('Dvd Calendar'!$O$1995=SPECIAL_LBL)*10000000+(N('Dvd Calendar'!$O$1989)&gt;0)*(N('Dvd Calendar'!$O$1989)&lt;=VAL_SERIAL)*1000000+40*1000+11))</f>
        <v/>
      </c>
      <c r="EP199" s="39">
        <f>IF(N('Dvd Calendar'!$P$1990)=0,"",IF(('Dvd Calendar'!$P$1990&gt;=GRID_FROM)*('Dvd Calendar'!$P$1990&lt;=GRID_TO)*((('Dvd Calendar'!$P$1990&lt;=VAL_DATE)+(COUNTIF('Dvd Calendar'!$E$1997:$AR$1997,'Dvd Calendar'!$P$1990)=0))&gt;0)=0,"",'Dvd Calendar'!$P$1990*1000000000+ISNUMBER('Dvd Calendar'!$P$1993)*100000000+('Dvd Calendar'!$P$1995=SPECIAL_LBL)*10000000+(N('Dvd Calendar'!$P$1989)&gt;0)*(N('Dvd Calendar'!$P$1989)&lt;=VAL_SERIAL)*1000000+40*1000+12))</f>
        <v/>
      </c>
      <c r="EQ199" s="39">
        <f>IF(N('Dvd Calendar'!$Q$1990)=0,"",IF(('Dvd Calendar'!$Q$1990&gt;=GRID_FROM)*('Dvd Calendar'!$Q$1990&lt;=GRID_TO)*((('Dvd Calendar'!$Q$1990&lt;=VAL_DATE)+(COUNTIF('Dvd Calendar'!$E$1997:$AR$1997,'Dvd Calendar'!$Q$1990)=0))&gt;0)=0,"",'Dvd Calendar'!$Q$1990*1000000000+ISNUMBER('Dvd Calendar'!$Q$1993)*100000000+('Dvd Calendar'!$Q$1995=SPECIAL_LBL)*10000000+(N('Dvd Calendar'!$Q$1989)&gt;0)*(N('Dvd Calendar'!$Q$1989)&lt;=VAL_SERIAL)*1000000+40*1000+13))</f>
        <v/>
      </c>
      <c r="ER199" s="39">
        <f>IF(N('Dvd Calendar'!$R$1990)=0,"",IF(('Dvd Calendar'!$R$1990&gt;=GRID_FROM)*('Dvd Calendar'!$R$1990&lt;=GRID_TO)*((('Dvd Calendar'!$R$1990&lt;=VAL_DATE)+(COUNTIF('Dvd Calendar'!$E$1997:$AR$1997,'Dvd Calendar'!$R$1990)=0))&gt;0)=0,"",'Dvd Calendar'!$R$1990*1000000000+ISNUMBER('Dvd Calendar'!$R$1993)*100000000+('Dvd Calendar'!$R$1995=SPECIAL_LBL)*10000000+(N('Dvd Calendar'!$R$1989)&gt;0)*(N('Dvd Calendar'!$R$1989)&lt;=VAL_SERIAL)*1000000+40*1000+14))</f>
        <v/>
      </c>
      <c r="ES199" s="39">
        <f>IF(N('Dvd Calendar'!$S$1990)=0,"",IF(('Dvd Calendar'!$S$1990&gt;=GRID_FROM)*('Dvd Calendar'!$S$1990&lt;=GRID_TO)*((('Dvd Calendar'!$S$1990&lt;=VAL_DATE)+(COUNTIF('Dvd Calendar'!$E$1997:$AR$1997,'Dvd Calendar'!$S$1990)=0))&gt;0)=0,"",'Dvd Calendar'!$S$1990*1000000000+ISNUMBER('Dvd Calendar'!$S$1993)*100000000+('Dvd Calendar'!$S$1995=SPECIAL_LBL)*10000000+(N('Dvd Calendar'!$S$1989)&gt;0)*(N('Dvd Calendar'!$S$1989)&lt;=VAL_SERIAL)*1000000+40*1000+15))</f>
        <v/>
      </c>
      <c r="ET199" s="39">
        <f>IF(N('Dvd Calendar'!$T$1990)=0,"",IF(('Dvd Calendar'!$T$1990&gt;=GRID_FROM)*('Dvd Calendar'!$T$1990&lt;=GRID_TO)*((('Dvd Calendar'!$T$1990&lt;=VAL_DATE)+(COUNTIF('Dvd Calendar'!$E$1997:$AR$1997,'Dvd Calendar'!$T$1990)=0))&gt;0)=0,"",'Dvd Calendar'!$T$1990*1000000000+ISNUMBER('Dvd Calendar'!$T$1993)*100000000+('Dvd Calendar'!$T$1995=SPECIAL_LBL)*10000000+(N('Dvd Calendar'!$T$1989)&gt;0)*(N('Dvd Calendar'!$T$1989)&lt;=VAL_SERIAL)*1000000+40*1000+16))</f>
        <v/>
      </c>
      <c r="EU199" s="39">
        <f>IF(N('Dvd Calendar'!$U$1990)=0,"",IF(('Dvd Calendar'!$U$1990&gt;=GRID_FROM)*('Dvd Calendar'!$U$1990&lt;=GRID_TO)*((('Dvd Calendar'!$U$1990&lt;=VAL_DATE)+(COUNTIF('Dvd Calendar'!$E$1997:$AR$1997,'Dvd Calendar'!$U$1990)=0))&gt;0)=0,"",'Dvd Calendar'!$U$1990*1000000000+ISNUMBER('Dvd Calendar'!$U$1993)*100000000+('Dvd Calendar'!$U$1995=SPECIAL_LBL)*10000000+(N('Dvd Calendar'!$U$1989)&gt;0)*(N('Dvd Calendar'!$U$1989)&lt;=VAL_SERIAL)*1000000+40*1000+17))</f>
        <v/>
      </c>
      <c r="EV199" s="39">
        <f>IF(N('Dvd Calendar'!$V$1990)=0,"",IF(('Dvd Calendar'!$V$1990&gt;=GRID_FROM)*('Dvd Calendar'!$V$1990&lt;=GRID_TO)*((('Dvd Calendar'!$V$1990&lt;=VAL_DATE)+(COUNTIF('Dvd Calendar'!$E$1997:$AR$1997,'Dvd Calendar'!$V$1990)=0))&gt;0)=0,"",'Dvd Calendar'!$V$1990*1000000000+ISNUMBER('Dvd Calendar'!$V$1993)*100000000+('Dvd Calendar'!$V$1995=SPECIAL_LBL)*10000000+(N('Dvd Calendar'!$V$1989)&gt;0)*(N('Dvd Calendar'!$V$1989)&lt;=VAL_SERIAL)*1000000+40*1000+18))</f>
        <v/>
      </c>
      <c r="EW199" s="39">
        <f>IF(N('Dvd Calendar'!$W$1990)=0,"",IF(('Dvd Calendar'!$W$1990&gt;=GRID_FROM)*('Dvd Calendar'!$W$1990&lt;=GRID_TO)*((('Dvd Calendar'!$W$1990&lt;=VAL_DATE)+(COUNTIF('Dvd Calendar'!$E$1997:$AR$1997,'Dvd Calendar'!$W$1990)=0))&gt;0)=0,"",'Dvd Calendar'!$W$1990*1000000000+ISNUMBER('Dvd Calendar'!$W$1993)*100000000+('Dvd Calendar'!$W$1995=SPECIAL_LBL)*10000000+(N('Dvd Calendar'!$W$1989)&gt;0)*(N('Dvd Calendar'!$W$1989)&lt;=VAL_SERIAL)*1000000+40*1000+19))</f>
        <v/>
      </c>
      <c r="EX199" s="39">
        <f>IF(N('Dvd Calendar'!$X$1990)=0,"",IF(('Dvd Calendar'!$X$1990&gt;=GRID_FROM)*('Dvd Calendar'!$X$1990&lt;=GRID_TO)*((('Dvd Calendar'!$X$1990&lt;=VAL_DATE)+(COUNTIF('Dvd Calendar'!$E$1997:$AR$1997,'Dvd Calendar'!$X$1990)=0))&gt;0)=0,"",'Dvd Calendar'!$X$1990*1000000000+ISNUMBER('Dvd Calendar'!$X$1993)*100000000+('Dvd Calendar'!$X$1995=SPECIAL_LBL)*10000000+(N('Dvd Calendar'!$X$1989)&gt;0)*(N('Dvd Calendar'!$X$1989)&lt;=VAL_SERIAL)*1000000+40*1000+20))</f>
        <v/>
      </c>
      <c r="EY199" s="39">
        <f>IF(N('Dvd Calendar'!$Y$1990)=0,"",IF(('Dvd Calendar'!$Y$1990&gt;=GRID_FROM)*('Dvd Calendar'!$Y$1990&lt;=GRID_TO)*((('Dvd Calendar'!$Y$1990&lt;=VAL_DATE)+(COUNTIF('Dvd Calendar'!$E$1997:$AR$1997,'Dvd Calendar'!$Y$1990)=0))&gt;0)=0,"",'Dvd Calendar'!$Y$1990*1000000000+ISNUMBER('Dvd Calendar'!$Y$1993)*100000000+('Dvd Calendar'!$Y$1995=SPECIAL_LBL)*10000000+(N('Dvd Calendar'!$Y$1989)&gt;0)*(N('Dvd Calendar'!$Y$1989)&lt;=VAL_SERIAL)*1000000+40*1000+21))</f>
        <v/>
      </c>
      <c r="EZ199" s="39">
        <f>IF(N('Dvd Calendar'!$Z$1990)=0,"",IF(('Dvd Calendar'!$Z$1990&gt;=GRID_FROM)*('Dvd Calendar'!$Z$1990&lt;=GRID_TO)*((('Dvd Calendar'!$Z$1990&lt;=VAL_DATE)+(COUNTIF('Dvd Calendar'!$E$1997:$AR$1997,'Dvd Calendar'!$Z$1990)=0))&gt;0)=0,"",'Dvd Calendar'!$Z$1990*1000000000+ISNUMBER('Dvd Calendar'!$Z$1993)*100000000+('Dvd Calendar'!$Z$1995=SPECIAL_LBL)*10000000+(N('Dvd Calendar'!$Z$1989)&gt;0)*(N('Dvd Calendar'!$Z$1989)&lt;=VAL_SERIAL)*1000000+40*1000+22))</f>
        <v/>
      </c>
      <c r="FA199" s="39">
        <f>IF(N('Dvd Calendar'!$AA$1990)=0,"",IF(('Dvd Calendar'!$AA$1990&gt;=GRID_FROM)*('Dvd Calendar'!$AA$1990&lt;=GRID_TO)*((('Dvd Calendar'!$AA$1990&lt;=VAL_DATE)+(COUNTIF('Dvd Calendar'!$E$1997:$AR$1997,'Dvd Calendar'!$AA$1990)=0))&gt;0)=0,"",'Dvd Calendar'!$AA$1990*1000000000+ISNUMBER('Dvd Calendar'!$AA$1993)*100000000+('Dvd Calendar'!$AA$1995=SPECIAL_LBL)*10000000+(N('Dvd Calendar'!$AA$1989)&gt;0)*(N('Dvd Calendar'!$AA$1989)&lt;=VAL_SERIAL)*1000000+40*1000+23))</f>
        <v/>
      </c>
      <c r="FB199" s="39">
        <f>IF(N('Dvd Calendar'!$AB$1990)=0,"",IF(('Dvd Calendar'!$AB$1990&gt;=GRID_FROM)*('Dvd Calendar'!$AB$1990&lt;=GRID_TO)*((('Dvd Calendar'!$AB$1990&lt;=VAL_DATE)+(COUNTIF('Dvd Calendar'!$E$1997:$AR$1997,'Dvd Calendar'!$AB$1990)=0))&gt;0)=0,"",'Dvd Calendar'!$AB$1990*1000000000+ISNUMBER('Dvd Calendar'!$AB$1993)*100000000+('Dvd Calendar'!$AB$1995=SPECIAL_LBL)*10000000+(N('Dvd Calendar'!$AB$1989)&gt;0)*(N('Dvd Calendar'!$AB$1989)&lt;=VAL_SERIAL)*1000000+40*1000+24))</f>
        <v/>
      </c>
      <c r="FC199" s="39">
        <f>IF(N('Dvd Calendar'!$AC$1990)=0,"",IF(('Dvd Calendar'!$AC$1990&gt;=GRID_FROM)*('Dvd Calendar'!$AC$1990&lt;=GRID_TO)*((('Dvd Calendar'!$AC$1990&lt;=VAL_DATE)+(COUNTIF('Dvd Calendar'!$E$1997:$AR$1997,'Dvd Calendar'!$AC$1990)=0))&gt;0)=0,"",'Dvd Calendar'!$AC$1990*1000000000+ISNUMBER('Dvd Calendar'!$AC$1993)*100000000+('Dvd Calendar'!$AC$1995=SPECIAL_LBL)*10000000+(N('Dvd Calendar'!$AC$1989)&gt;0)*(N('Dvd Calendar'!$AC$1989)&lt;=VAL_SERIAL)*1000000+40*1000+25))</f>
        <v/>
      </c>
      <c r="FD199" s="39">
        <f>IF(N('Dvd Calendar'!$AD$1990)=0,"",IF(('Dvd Calendar'!$AD$1990&gt;=GRID_FROM)*('Dvd Calendar'!$AD$1990&lt;=GRID_TO)*((('Dvd Calendar'!$AD$1990&lt;=VAL_DATE)+(COUNTIF('Dvd Calendar'!$E$1997:$AR$1997,'Dvd Calendar'!$AD$1990)=0))&gt;0)=0,"",'Dvd Calendar'!$AD$1990*1000000000+ISNUMBER('Dvd Calendar'!$AD$1993)*100000000+('Dvd Calendar'!$AD$1995=SPECIAL_LBL)*10000000+(N('Dvd Calendar'!$AD$1989)&gt;0)*(N('Dvd Calendar'!$AD$1989)&lt;=VAL_SERIAL)*1000000+40*1000+26))</f>
        <v/>
      </c>
      <c r="FE199" s="39">
        <f>IF(N('Dvd Calendar'!$AE$1990)=0,"",IF(('Dvd Calendar'!$AE$1990&gt;=GRID_FROM)*('Dvd Calendar'!$AE$1990&lt;=GRID_TO)*((('Dvd Calendar'!$AE$1990&lt;=VAL_DATE)+(COUNTIF('Dvd Calendar'!$E$1997:$AR$1997,'Dvd Calendar'!$AE$1990)=0))&gt;0)=0,"",'Dvd Calendar'!$AE$1990*1000000000+ISNUMBER('Dvd Calendar'!$AE$1993)*100000000+('Dvd Calendar'!$AE$1995=SPECIAL_LBL)*10000000+(N('Dvd Calendar'!$AE$1989)&gt;0)*(N('Dvd Calendar'!$AE$1989)&lt;=VAL_SERIAL)*1000000+40*1000+27))</f>
        <v/>
      </c>
      <c r="FF199" s="39">
        <f>IF(N('Dvd Calendar'!$AF$1990)=0,"",IF(('Dvd Calendar'!$AF$1990&gt;=GRID_FROM)*('Dvd Calendar'!$AF$1990&lt;=GRID_TO)*((('Dvd Calendar'!$AF$1990&lt;=VAL_DATE)+(COUNTIF('Dvd Calendar'!$E$1997:$AR$1997,'Dvd Calendar'!$AF$1990)=0))&gt;0)=0,"",'Dvd Calendar'!$AF$1990*1000000000+ISNUMBER('Dvd Calendar'!$AF$1993)*100000000+('Dvd Calendar'!$AF$1995=SPECIAL_LBL)*10000000+(N('Dvd Calendar'!$AF$1989)&gt;0)*(N('Dvd Calendar'!$AF$1989)&lt;=VAL_SERIAL)*1000000+40*1000+28))</f>
        <v/>
      </c>
      <c r="FG199" s="39">
        <f>IF(N('Dvd Calendar'!$AG$1990)=0,"",IF(('Dvd Calendar'!$AG$1990&gt;=GRID_FROM)*('Dvd Calendar'!$AG$1990&lt;=GRID_TO)*((('Dvd Calendar'!$AG$1990&lt;=VAL_DATE)+(COUNTIF('Dvd Calendar'!$E$1997:$AR$1997,'Dvd Calendar'!$AG$1990)=0))&gt;0)=0,"",'Dvd Calendar'!$AG$1990*1000000000+ISNUMBER('Dvd Calendar'!$AG$1993)*100000000+('Dvd Calendar'!$AG$1995=SPECIAL_LBL)*10000000+(N('Dvd Calendar'!$AG$1989)&gt;0)*(N('Dvd Calendar'!$AG$1989)&lt;=VAL_SERIAL)*1000000+40*1000+29))</f>
        <v/>
      </c>
      <c r="FH199" s="39">
        <f>IF(N('Dvd Calendar'!$AH$1990)=0,"",IF(('Dvd Calendar'!$AH$1990&gt;=GRID_FROM)*('Dvd Calendar'!$AH$1990&lt;=GRID_TO)*((('Dvd Calendar'!$AH$1990&lt;=VAL_DATE)+(COUNTIF('Dvd Calendar'!$E$1997:$AR$1997,'Dvd Calendar'!$AH$1990)=0))&gt;0)=0,"",'Dvd Calendar'!$AH$1990*1000000000+ISNUMBER('Dvd Calendar'!$AH$1993)*100000000+('Dvd Calendar'!$AH$1995=SPECIAL_LBL)*10000000+(N('Dvd Calendar'!$AH$1989)&gt;0)*(N('Dvd Calendar'!$AH$1989)&lt;=VAL_SERIAL)*1000000+40*1000+30))</f>
        <v/>
      </c>
      <c r="FI199" s="39">
        <f>IF(N('Dvd Calendar'!$AI$1990)=0,"",IF(('Dvd Calendar'!$AI$1990&gt;=GRID_FROM)*('Dvd Calendar'!$AI$1990&lt;=GRID_TO)*((('Dvd Calendar'!$AI$1990&lt;=VAL_DATE)+(COUNTIF('Dvd Calendar'!$E$1997:$AR$1997,'Dvd Calendar'!$AI$1990)=0))&gt;0)=0,"",'Dvd Calendar'!$AI$1990*1000000000+ISNUMBER('Dvd Calendar'!$AI$1993)*100000000+('Dvd Calendar'!$AI$1995=SPECIAL_LBL)*10000000+(N('Dvd Calendar'!$AI$1989)&gt;0)*(N('Dvd Calendar'!$AI$1989)&lt;=VAL_SERIAL)*1000000+40*1000+31))</f>
        <v/>
      </c>
      <c r="FJ199" s="39">
        <f>IF(N('Dvd Calendar'!$AJ$1990)=0,"",IF(('Dvd Calendar'!$AJ$1990&gt;=GRID_FROM)*('Dvd Calendar'!$AJ$1990&lt;=GRID_TO)*((('Dvd Calendar'!$AJ$1990&lt;=VAL_DATE)+(COUNTIF('Dvd Calendar'!$E$1997:$AR$1997,'Dvd Calendar'!$AJ$1990)=0))&gt;0)=0,"",'Dvd Calendar'!$AJ$1990*1000000000+ISNUMBER('Dvd Calendar'!$AJ$1993)*100000000+('Dvd Calendar'!$AJ$1995=SPECIAL_LBL)*10000000+(N('Dvd Calendar'!$AJ$1989)&gt;0)*(N('Dvd Calendar'!$AJ$1989)&lt;=VAL_SERIAL)*1000000+40*1000+32))</f>
        <v/>
      </c>
      <c r="FK199" s="39">
        <f>IF(N('Dvd Calendar'!$AK$1990)=0,"",IF(('Dvd Calendar'!$AK$1990&gt;=GRID_FROM)*('Dvd Calendar'!$AK$1990&lt;=GRID_TO)*((('Dvd Calendar'!$AK$1990&lt;=VAL_DATE)+(COUNTIF('Dvd Calendar'!$E$1997:$AR$1997,'Dvd Calendar'!$AK$1990)=0))&gt;0)=0,"",'Dvd Calendar'!$AK$1990*1000000000+ISNUMBER('Dvd Calendar'!$AK$1993)*100000000+('Dvd Calendar'!$AK$1995=SPECIAL_LBL)*10000000+(N('Dvd Calendar'!$AK$1989)&gt;0)*(N('Dvd Calendar'!$AK$1989)&lt;=VAL_SERIAL)*1000000+40*1000+33))</f>
        <v/>
      </c>
      <c r="FL199" s="39">
        <f>IF(N('Dvd Calendar'!$AL$1990)=0,"",IF(('Dvd Calendar'!$AL$1990&gt;=GRID_FROM)*('Dvd Calendar'!$AL$1990&lt;=GRID_TO)*((('Dvd Calendar'!$AL$1990&lt;=VAL_DATE)+(COUNTIF('Dvd Calendar'!$E$1997:$AR$1997,'Dvd Calendar'!$AL$1990)=0))&gt;0)=0,"",'Dvd Calendar'!$AL$1990*1000000000+ISNUMBER('Dvd Calendar'!$AL$1993)*100000000+('Dvd Calendar'!$AL$1995=SPECIAL_LBL)*10000000+(N('Dvd Calendar'!$AL$1989)&gt;0)*(N('Dvd Calendar'!$AL$1989)&lt;=VAL_SERIAL)*1000000+40*1000+34))</f>
        <v/>
      </c>
      <c r="FM199" s="39">
        <f>IF(N('Dvd Calendar'!$AM$1990)=0,"",IF(('Dvd Calendar'!$AM$1990&gt;=GRID_FROM)*('Dvd Calendar'!$AM$1990&lt;=GRID_TO)*((('Dvd Calendar'!$AM$1990&lt;=VAL_DATE)+(COUNTIF('Dvd Calendar'!$E$1997:$AR$1997,'Dvd Calendar'!$AM$1990)=0))&gt;0)=0,"",'Dvd Calendar'!$AM$1990*1000000000+ISNUMBER('Dvd Calendar'!$AM$1993)*100000000+('Dvd Calendar'!$AM$1995=SPECIAL_LBL)*10000000+(N('Dvd Calendar'!$AM$1989)&gt;0)*(N('Dvd Calendar'!$AM$1989)&lt;=VAL_SERIAL)*1000000+40*1000+35))</f>
        <v/>
      </c>
      <c r="FN199" s="39">
        <f>IF(N('Dvd Calendar'!$AN$1990)=0,"",IF(('Dvd Calendar'!$AN$1990&gt;=GRID_FROM)*('Dvd Calendar'!$AN$1990&lt;=GRID_TO)*((('Dvd Calendar'!$AN$1990&lt;=VAL_DATE)+(COUNTIF('Dvd Calendar'!$E$1997:$AR$1997,'Dvd Calendar'!$AN$1990)=0))&gt;0)=0,"",'Dvd Calendar'!$AN$1990*1000000000+ISNUMBER('Dvd Calendar'!$AN$1993)*100000000+('Dvd Calendar'!$AN$1995=SPECIAL_LBL)*10000000+(N('Dvd Calendar'!$AN$1989)&gt;0)*(N('Dvd Calendar'!$AN$1989)&lt;=VAL_SERIAL)*1000000+40*1000+36))</f>
        <v/>
      </c>
      <c r="FO199" s="39">
        <f>IF(N('Dvd Calendar'!$AO$1990)=0,"",IF(('Dvd Calendar'!$AO$1990&gt;=GRID_FROM)*('Dvd Calendar'!$AO$1990&lt;=GRID_TO)*((('Dvd Calendar'!$AO$1990&lt;=VAL_DATE)+(COUNTIF('Dvd Calendar'!$E$1997:$AR$1997,'Dvd Calendar'!$AO$1990)=0))&gt;0)=0,"",'Dvd Calendar'!$AO$1990*1000000000+ISNUMBER('Dvd Calendar'!$AO$1993)*100000000+('Dvd Calendar'!$AO$1995=SPECIAL_LBL)*10000000+(N('Dvd Calendar'!$AO$1989)&gt;0)*(N('Dvd Calendar'!$AO$1989)&lt;=VAL_SERIAL)*1000000+40*1000+37))</f>
        <v/>
      </c>
      <c r="FP199" s="39">
        <f>IF(N('Dvd Calendar'!$AP$1990)=0,"",IF(('Dvd Calendar'!$AP$1990&gt;=GRID_FROM)*('Dvd Calendar'!$AP$1990&lt;=GRID_TO)*((('Dvd Calendar'!$AP$1990&lt;=VAL_DATE)+(COUNTIF('Dvd Calendar'!$E$1997:$AR$1997,'Dvd Calendar'!$AP$1990)=0))&gt;0)=0,"",'Dvd Calendar'!$AP$1990*1000000000+ISNUMBER('Dvd Calendar'!$AP$1993)*100000000+('Dvd Calendar'!$AP$1995=SPECIAL_LBL)*10000000+(N('Dvd Calendar'!$AP$1989)&gt;0)*(N('Dvd Calendar'!$AP$1989)&lt;=VAL_SERIAL)*1000000+40*1000+38))</f>
        <v/>
      </c>
      <c r="FQ199" s="39">
        <f>IF(N('Dvd Calendar'!$AQ$1990)=0,"",IF(('Dvd Calendar'!$AQ$1990&gt;=GRID_FROM)*('Dvd Calendar'!$AQ$1990&lt;=GRID_TO)*((('Dvd Calendar'!$AQ$1990&lt;=VAL_DATE)+(COUNTIF('Dvd Calendar'!$E$1997:$AR$1997,'Dvd Calendar'!$AQ$1990)=0))&gt;0)=0,"",'Dvd Calendar'!$AQ$1990*1000000000+ISNUMBER('Dvd Calendar'!$AQ$1993)*100000000+('Dvd Calendar'!$AQ$1995=SPECIAL_LBL)*10000000+(N('Dvd Calendar'!$AQ$1989)&gt;0)*(N('Dvd Calendar'!$AQ$1989)&lt;=VAL_SERIAL)*1000000+40*1000+39))</f>
        <v/>
      </c>
      <c r="FR199" s="39">
        <f>IF(N('Dvd Calendar'!$AR$1990)=0,"",IF(('Dvd Calendar'!$AR$1990&gt;=GRID_FROM)*('Dvd Calendar'!$AR$1990&lt;=GRID_TO)*((('Dvd Calendar'!$AR$1990&lt;=VAL_DATE)+(COUNTIF('Dvd Calendar'!$E$1997:$AR$1997,'Dvd Calendar'!$AR$1990)=0))&gt;0)=0,"",'Dvd Calendar'!$AR$1990*1000000000+ISNUMBER('Dvd Calendar'!$AR$1993)*100000000+('Dvd Calendar'!$AR$1995=SPECIAL_LBL)*10000000+(N('Dvd Calendar'!$AR$1989)&gt;0)*(N('Dvd Calendar'!$AR$1989)&lt;=VAL_SERIAL)*1000000+40*1000+40))</f>
        <v/>
      </c>
      <c r="FS199" s="39">
        <f>IF(N('Dvd Calendar'!$E$1997)=0,"",IF(('Dvd Calendar'!$E$1997&gt;=GRID_FROM)*('Dvd Calendar'!$E$1997&lt;=GRID_TO)*('Dvd Calendar'!$E$1997&gt;VAL_DATE)=0,"",'Dvd Calendar'!$E$1997*1000000000+ISNUMBER('Dvd Calendar'!$E$1998)*100000000+0*10000000+(N('Dvd Calendar'!$E$1996)&gt;0)*(N('Dvd Calendar'!$E$1996)&lt;=VAL_SERIAL)*1000000+40*1000+41))</f>
        <v/>
      </c>
      <c r="FT199" s="39">
        <f>IF(N('Dvd Calendar'!$F$1997)=0,"",IF(('Dvd Calendar'!$F$1997&gt;=GRID_FROM)*('Dvd Calendar'!$F$1997&lt;=GRID_TO)*('Dvd Calendar'!$F$1997&gt;VAL_DATE)=0,"",'Dvd Calendar'!$F$1997*1000000000+ISNUMBER('Dvd Calendar'!$F$1998)*100000000+0*10000000+(N('Dvd Calendar'!$F$1996)&gt;0)*(N('Dvd Calendar'!$F$1996)&lt;=VAL_SERIAL)*1000000+40*1000+42))</f>
        <v/>
      </c>
      <c r="FU199" s="39">
        <f>IF(N('Dvd Calendar'!$G$1997)=0,"",IF(('Dvd Calendar'!$G$1997&gt;=GRID_FROM)*('Dvd Calendar'!$G$1997&lt;=GRID_TO)*('Dvd Calendar'!$G$1997&gt;VAL_DATE)=0,"",'Dvd Calendar'!$G$1997*1000000000+ISNUMBER('Dvd Calendar'!$G$1998)*100000000+0*10000000+(N('Dvd Calendar'!$G$1996)&gt;0)*(N('Dvd Calendar'!$G$1996)&lt;=VAL_SERIAL)*1000000+40*1000+43))</f>
        <v/>
      </c>
      <c r="FV199" s="39">
        <f>IF(N('Dvd Calendar'!$H$1997)=0,"",IF(('Dvd Calendar'!$H$1997&gt;=GRID_FROM)*('Dvd Calendar'!$H$1997&lt;=GRID_TO)*('Dvd Calendar'!$H$1997&gt;VAL_DATE)=0,"",'Dvd Calendar'!$H$1997*1000000000+ISNUMBER('Dvd Calendar'!$H$1998)*100000000+0*10000000+(N('Dvd Calendar'!$H$1996)&gt;0)*(N('Dvd Calendar'!$H$1996)&lt;=VAL_SERIAL)*1000000+40*1000+44))</f>
        <v/>
      </c>
      <c r="FW199" s="39">
        <f>IF(N('Dvd Calendar'!$I$1997)=0,"",IF(('Dvd Calendar'!$I$1997&gt;=GRID_FROM)*('Dvd Calendar'!$I$1997&lt;=GRID_TO)*('Dvd Calendar'!$I$1997&gt;VAL_DATE)=0,"",'Dvd Calendar'!$I$1997*1000000000+ISNUMBER('Dvd Calendar'!$I$1998)*100000000+0*10000000+(N('Dvd Calendar'!$I$1996)&gt;0)*(N('Dvd Calendar'!$I$1996)&lt;=VAL_SERIAL)*1000000+40*1000+45))</f>
        <v/>
      </c>
      <c r="FX199" s="39">
        <f>IF(N('Dvd Calendar'!$J$1997)=0,"",IF(('Dvd Calendar'!$J$1997&gt;=GRID_FROM)*('Dvd Calendar'!$J$1997&lt;=GRID_TO)*('Dvd Calendar'!$J$1997&gt;VAL_DATE)=0,"",'Dvd Calendar'!$J$1997*1000000000+ISNUMBER('Dvd Calendar'!$J$1998)*100000000+0*10000000+(N('Dvd Calendar'!$J$1996)&gt;0)*(N('Dvd Calendar'!$J$1996)&lt;=VAL_SERIAL)*1000000+40*1000+46))</f>
        <v/>
      </c>
      <c r="FY199" s="39">
        <f>IF(N('Dvd Calendar'!$K$1997)=0,"",IF(('Dvd Calendar'!$K$1997&gt;=GRID_FROM)*('Dvd Calendar'!$K$1997&lt;=GRID_TO)*('Dvd Calendar'!$K$1997&gt;VAL_DATE)=0,"",'Dvd Calendar'!$K$1997*1000000000+ISNUMBER('Dvd Calendar'!$K$1998)*100000000+0*10000000+(N('Dvd Calendar'!$K$1996)&gt;0)*(N('Dvd Calendar'!$K$1996)&lt;=VAL_SERIAL)*1000000+40*1000+47))</f>
        <v/>
      </c>
      <c r="FZ199" s="39">
        <f>IF(N('Dvd Calendar'!$L$1997)=0,"",IF(('Dvd Calendar'!$L$1997&gt;=GRID_FROM)*('Dvd Calendar'!$L$1997&lt;=GRID_TO)*('Dvd Calendar'!$L$1997&gt;VAL_DATE)=0,"",'Dvd Calendar'!$L$1997*1000000000+ISNUMBER('Dvd Calendar'!$L$1998)*100000000+0*10000000+(N('Dvd Calendar'!$L$1996)&gt;0)*(N('Dvd Calendar'!$L$1996)&lt;=VAL_SERIAL)*1000000+40*1000+48))</f>
        <v/>
      </c>
      <c r="GA199" s="39">
        <f>IF(N('Dvd Calendar'!$M$1997)=0,"",IF(('Dvd Calendar'!$M$1997&gt;=GRID_FROM)*('Dvd Calendar'!$M$1997&lt;=GRID_TO)*('Dvd Calendar'!$M$1997&gt;VAL_DATE)=0,"",'Dvd Calendar'!$M$1997*1000000000+ISNUMBER('Dvd Calendar'!$M$1998)*100000000+0*10000000+(N('Dvd Calendar'!$M$1996)&gt;0)*(N('Dvd Calendar'!$M$1996)&lt;=VAL_SERIAL)*1000000+40*1000+49))</f>
        <v/>
      </c>
      <c r="GB199" s="39">
        <f>IF(N('Dvd Calendar'!$N$1997)=0,"",IF(('Dvd Calendar'!$N$1997&gt;=GRID_FROM)*('Dvd Calendar'!$N$1997&lt;=GRID_TO)*('Dvd Calendar'!$N$1997&gt;VAL_DATE)=0,"",'Dvd Calendar'!$N$1997*1000000000+ISNUMBER('Dvd Calendar'!$N$1998)*100000000+0*10000000+(N('Dvd Calendar'!$N$1996)&gt;0)*(N('Dvd Calendar'!$N$1996)&lt;=VAL_SERIAL)*1000000+40*1000+50))</f>
        <v/>
      </c>
      <c r="GC199" s="39">
        <f>IF(N('Dvd Calendar'!$O$1997)=0,"",IF(('Dvd Calendar'!$O$1997&gt;=GRID_FROM)*('Dvd Calendar'!$O$1997&lt;=GRID_TO)*('Dvd Calendar'!$O$1997&gt;VAL_DATE)=0,"",'Dvd Calendar'!$O$1997*1000000000+ISNUMBER('Dvd Calendar'!$O$1998)*100000000+0*10000000+(N('Dvd Calendar'!$O$1996)&gt;0)*(N('Dvd Calendar'!$O$1996)&lt;=VAL_SERIAL)*1000000+40*1000+51))</f>
        <v/>
      </c>
      <c r="GD199" s="39">
        <f>IF(N('Dvd Calendar'!$P$1997)=0,"",IF(('Dvd Calendar'!$P$1997&gt;=GRID_FROM)*('Dvd Calendar'!$P$1997&lt;=GRID_TO)*('Dvd Calendar'!$P$1997&gt;VAL_DATE)=0,"",'Dvd Calendar'!$P$1997*1000000000+ISNUMBER('Dvd Calendar'!$P$1998)*100000000+0*10000000+(N('Dvd Calendar'!$P$1996)&gt;0)*(N('Dvd Calendar'!$P$1996)&lt;=VAL_SERIAL)*1000000+40*1000+52))</f>
        <v/>
      </c>
      <c r="GE199" s="39">
        <f>IF(N('Dvd Calendar'!$Q$1997)=0,"",IF(('Dvd Calendar'!$Q$1997&gt;=GRID_FROM)*('Dvd Calendar'!$Q$1997&lt;=GRID_TO)*('Dvd Calendar'!$Q$1997&gt;VAL_DATE)=0,"",'Dvd Calendar'!$Q$1997*1000000000+ISNUMBER('Dvd Calendar'!$Q$1998)*100000000+0*10000000+(N('Dvd Calendar'!$Q$1996)&gt;0)*(N('Dvd Calendar'!$Q$1996)&lt;=VAL_SERIAL)*1000000+40*1000+53))</f>
        <v/>
      </c>
      <c r="GF199" s="39">
        <f>IF(N('Dvd Calendar'!$R$1997)=0,"",IF(('Dvd Calendar'!$R$1997&gt;=GRID_FROM)*('Dvd Calendar'!$R$1997&lt;=GRID_TO)*('Dvd Calendar'!$R$1997&gt;VAL_DATE)=0,"",'Dvd Calendar'!$R$1997*1000000000+ISNUMBER('Dvd Calendar'!$R$1998)*100000000+0*10000000+(N('Dvd Calendar'!$R$1996)&gt;0)*(N('Dvd Calendar'!$R$1996)&lt;=VAL_SERIAL)*1000000+40*1000+54))</f>
        <v/>
      </c>
      <c r="GG199" s="39">
        <f>IF(N('Dvd Calendar'!$S$1997)=0,"",IF(('Dvd Calendar'!$S$1997&gt;=GRID_FROM)*('Dvd Calendar'!$S$1997&lt;=GRID_TO)*('Dvd Calendar'!$S$1997&gt;VAL_DATE)=0,"",'Dvd Calendar'!$S$1997*1000000000+ISNUMBER('Dvd Calendar'!$S$1998)*100000000+0*10000000+(N('Dvd Calendar'!$S$1996)&gt;0)*(N('Dvd Calendar'!$S$1996)&lt;=VAL_SERIAL)*1000000+40*1000+55))</f>
        <v/>
      </c>
      <c r="GH199" s="39">
        <f>IF(N('Dvd Calendar'!$T$1997)=0,"",IF(('Dvd Calendar'!$T$1997&gt;=GRID_FROM)*('Dvd Calendar'!$T$1997&lt;=GRID_TO)*('Dvd Calendar'!$T$1997&gt;VAL_DATE)=0,"",'Dvd Calendar'!$T$1997*1000000000+ISNUMBER('Dvd Calendar'!$T$1998)*100000000+0*10000000+(N('Dvd Calendar'!$T$1996)&gt;0)*(N('Dvd Calendar'!$T$1996)&lt;=VAL_SERIAL)*1000000+40*1000+56))</f>
        <v/>
      </c>
      <c r="GI199" s="39">
        <f>IF(N('Dvd Calendar'!$U$1997)=0,"",IF(('Dvd Calendar'!$U$1997&gt;=GRID_FROM)*('Dvd Calendar'!$U$1997&lt;=GRID_TO)*('Dvd Calendar'!$U$1997&gt;VAL_DATE)=0,"",'Dvd Calendar'!$U$1997*1000000000+ISNUMBER('Dvd Calendar'!$U$1998)*100000000+0*10000000+(N('Dvd Calendar'!$U$1996)&gt;0)*(N('Dvd Calendar'!$U$1996)&lt;=VAL_SERIAL)*1000000+40*1000+57))</f>
        <v/>
      </c>
      <c r="GJ199" s="39">
        <f>IF(N('Dvd Calendar'!$V$1997)=0,"",IF(('Dvd Calendar'!$V$1997&gt;=GRID_FROM)*('Dvd Calendar'!$V$1997&lt;=GRID_TO)*('Dvd Calendar'!$V$1997&gt;VAL_DATE)=0,"",'Dvd Calendar'!$V$1997*1000000000+ISNUMBER('Dvd Calendar'!$V$1998)*100000000+0*10000000+(N('Dvd Calendar'!$V$1996)&gt;0)*(N('Dvd Calendar'!$V$1996)&lt;=VAL_SERIAL)*1000000+40*1000+58))</f>
        <v/>
      </c>
      <c r="GK199" s="39">
        <f>IF(N('Dvd Calendar'!$W$1997)=0,"",IF(('Dvd Calendar'!$W$1997&gt;=GRID_FROM)*('Dvd Calendar'!$W$1997&lt;=GRID_TO)*('Dvd Calendar'!$W$1997&gt;VAL_DATE)=0,"",'Dvd Calendar'!$W$1997*1000000000+ISNUMBER('Dvd Calendar'!$W$1998)*100000000+0*10000000+(N('Dvd Calendar'!$W$1996)&gt;0)*(N('Dvd Calendar'!$W$1996)&lt;=VAL_SERIAL)*1000000+40*1000+59))</f>
        <v/>
      </c>
      <c r="GL199" s="39">
        <f>IF(N('Dvd Calendar'!$X$1997)=0,"",IF(('Dvd Calendar'!$X$1997&gt;=GRID_FROM)*('Dvd Calendar'!$X$1997&lt;=GRID_TO)*('Dvd Calendar'!$X$1997&gt;VAL_DATE)=0,"",'Dvd Calendar'!$X$1997*1000000000+ISNUMBER('Dvd Calendar'!$X$1998)*100000000+0*10000000+(N('Dvd Calendar'!$X$1996)&gt;0)*(N('Dvd Calendar'!$X$1996)&lt;=VAL_SERIAL)*1000000+40*1000+60))</f>
        <v/>
      </c>
      <c r="GM199" s="39">
        <f>IF(N('Dvd Calendar'!$Y$1997)=0,"",IF(('Dvd Calendar'!$Y$1997&gt;=GRID_FROM)*('Dvd Calendar'!$Y$1997&lt;=GRID_TO)*('Dvd Calendar'!$Y$1997&gt;VAL_DATE)=0,"",'Dvd Calendar'!$Y$1997*1000000000+ISNUMBER('Dvd Calendar'!$Y$1998)*100000000+0*10000000+(N('Dvd Calendar'!$Y$1996)&gt;0)*(N('Dvd Calendar'!$Y$1996)&lt;=VAL_SERIAL)*1000000+40*1000+61))</f>
        <v/>
      </c>
      <c r="GN199" s="39">
        <f>IF(N('Dvd Calendar'!$Z$1997)=0,"",IF(('Dvd Calendar'!$Z$1997&gt;=GRID_FROM)*('Dvd Calendar'!$Z$1997&lt;=GRID_TO)*('Dvd Calendar'!$Z$1997&gt;VAL_DATE)=0,"",'Dvd Calendar'!$Z$1997*1000000000+ISNUMBER('Dvd Calendar'!$Z$1998)*100000000+0*10000000+(N('Dvd Calendar'!$Z$1996)&gt;0)*(N('Dvd Calendar'!$Z$1996)&lt;=VAL_SERIAL)*1000000+40*1000+62))</f>
        <v/>
      </c>
      <c r="GO199" s="39">
        <f>IF(N('Dvd Calendar'!$AA$1997)=0,"",IF(('Dvd Calendar'!$AA$1997&gt;=GRID_FROM)*('Dvd Calendar'!$AA$1997&lt;=GRID_TO)*('Dvd Calendar'!$AA$1997&gt;VAL_DATE)=0,"",'Dvd Calendar'!$AA$1997*1000000000+ISNUMBER('Dvd Calendar'!$AA$1998)*100000000+0*10000000+(N('Dvd Calendar'!$AA$1996)&gt;0)*(N('Dvd Calendar'!$AA$1996)&lt;=VAL_SERIAL)*1000000+40*1000+63))</f>
        <v/>
      </c>
      <c r="GP199" s="39">
        <f>IF(N('Dvd Calendar'!$AB$1997)=0,"",IF(('Dvd Calendar'!$AB$1997&gt;=GRID_FROM)*('Dvd Calendar'!$AB$1997&lt;=GRID_TO)*('Dvd Calendar'!$AB$1997&gt;VAL_DATE)=0,"",'Dvd Calendar'!$AB$1997*1000000000+ISNUMBER('Dvd Calendar'!$AB$1998)*100000000+0*10000000+(N('Dvd Calendar'!$AB$1996)&gt;0)*(N('Dvd Calendar'!$AB$1996)&lt;=VAL_SERIAL)*1000000+40*1000+64))</f>
        <v/>
      </c>
      <c r="GQ199" s="39">
        <f>IF(N('Dvd Calendar'!$AC$1997)=0,"",IF(('Dvd Calendar'!$AC$1997&gt;=GRID_FROM)*('Dvd Calendar'!$AC$1997&lt;=GRID_TO)*('Dvd Calendar'!$AC$1997&gt;VAL_DATE)=0,"",'Dvd Calendar'!$AC$1997*1000000000+ISNUMBER('Dvd Calendar'!$AC$1998)*100000000+0*10000000+(N('Dvd Calendar'!$AC$1996)&gt;0)*(N('Dvd Calendar'!$AC$1996)&lt;=VAL_SERIAL)*1000000+40*1000+65))</f>
        <v/>
      </c>
    </row>
    <row r="200">
      <c r="B200" s="2">
        <f>IF(HSCEI!$C$47="","",HSCEI!$C$47)</f>
        <v/>
      </c>
      <c r="C200" s="110">
        <f>IF(EE200="","",IF(ISNUMBER('Dvd Calendar'!$E$2004)=FALSE,"",IF((('Dvd Calendar'!$E$2006=TYPE1)*(TYPE1&lt;&gt;"")+('Dvd Calendar'!$E$2006=TYPE2)*(TYPE2&lt;&gt;"")+('Dvd Calendar'!$E$2006=TYPE3)*(TYPE3&lt;&gt;"")+('Dvd Calendar'!$E$2006=TYPE4)*(TYPE4&lt;&gt;"")+('Dvd Calendar'!$E$2006=SPECIAL_LBL)*(INC_SPECIALS="Y"))=0,"",'Dvd Calendar'!$E$2004)))</f>
        <v/>
      </c>
      <c r="D200" s="110">
        <f>IF(EF200="","",IF(ISNUMBER('Dvd Calendar'!$F$2004)=FALSE,"",IF((('Dvd Calendar'!$F$2006=TYPE1)*(TYPE1&lt;&gt;"")+('Dvd Calendar'!$F$2006=TYPE2)*(TYPE2&lt;&gt;"")+('Dvd Calendar'!$F$2006=TYPE3)*(TYPE3&lt;&gt;"")+('Dvd Calendar'!$F$2006=TYPE4)*(TYPE4&lt;&gt;"")+('Dvd Calendar'!$F$2006=SPECIAL_LBL)*(INC_SPECIALS="Y"))=0,"",'Dvd Calendar'!$F$2004)))</f>
        <v/>
      </c>
      <c r="E200" s="110">
        <f>IF(EG200="","",IF(ISNUMBER('Dvd Calendar'!$G$2004)=FALSE,"",IF((('Dvd Calendar'!$G$2006=TYPE1)*(TYPE1&lt;&gt;"")+('Dvd Calendar'!$G$2006=TYPE2)*(TYPE2&lt;&gt;"")+('Dvd Calendar'!$G$2006=TYPE3)*(TYPE3&lt;&gt;"")+('Dvd Calendar'!$G$2006=TYPE4)*(TYPE4&lt;&gt;"")+('Dvd Calendar'!$G$2006=SPECIAL_LBL)*(INC_SPECIALS="Y"))=0,"",'Dvd Calendar'!$G$2004)))</f>
        <v/>
      </c>
      <c r="F200" s="110">
        <f>IF(EH200="","",IF(ISNUMBER('Dvd Calendar'!$H$2004)=FALSE,"",IF((('Dvd Calendar'!$H$2006=TYPE1)*(TYPE1&lt;&gt;"")+('Dvd Calendar'!$H$2006=TYPE2)*(TYPE2&lt;&gt;"")+('Dvd Calendar'!$H$2006=TYPE3)*(TYPE3&lt;&gt;"")+('Dvd Calendar'!$H$2006=TYPE4)*(TYPE4&lt;&gt;"")+('Dvd Calendar'!$H$2006=SPECIAL_LBL)*(INC_SPECIALS="Y"))=0,"",'Dvd Calendar'!$H$2004)))</f>
        <v/>
      </c>
      <c r="G200" s="110">
        <f>IF(EI200="","",IF(ISNUMBER('Dvd Calendar'!$I$2004)=FALSE,"",IF((('Dvd Calendar'!$I$2006=TYPE1)*(TYPE1&lt;&gt;"")+('Dvd Calendar'!$I$2006=TYPE2)*(TYPE2&lt;&gt;"")+('Dvd Calendar'!$I$2006=TYPE3)*(TYPE3&lt;&gt;"")+('Dvd Calendar'!$I$2006=TYPE4)*(TYPE4&lt;&gt;"")+('Dvd Calendar'!$I$2006=SPECIAL_LBL)*(INC_SPECIALS="Y"))=0,"",'Dvd Calendar'!$I$2004)))</f>
        <v/>
      </c>
      <c r="H200" s="110">
        <f>IF(EJ200="","",IF(ISNUMBER('Dvd Calendar'!$J$2004)=FALSE,"",IF((('Dvd Calendar'!$J$2006=TYPE1)*(TYPE1&lt;&gt;"")+('Dvd Calendar'!$J$2006=TYPE2)*(TYPE2&lt;&gt;"")+('Dvd Calendar'!$J$2006=TYPE3)*(TYPE3&lt;&gt;"")+('Dvd Calendar'!$J$2006=TYPE4)*(TYPE4&lt;&gt;"")+('Dvd Calendar'!$J$2006=SPECIAL_LBL)*(INC_SPECIALS="Y"))=0,"",'Dvd Calendar'!$J$2004)))</f>
        <v/>
      </c>
      <c r="I200" s="110">
        <f>IF(EK200="","",IF(ISNUMBER('Dvd Calendar'!$K$2004)=FALSE,"",IF((('Dvd Calendar'!$K$2006=TYPE1)*(TYPE1&lt;&gt;"")+('Dvd Calendar'!$K$2006=TYPE2)*(TYPE2&lt;&gt;"")+('Dvd Calendar'!$K$2006=TYPE3)*(TYPE3&lt;&gt;"")+('Dvd Calendar'!$K$2006=TYPE4)*(TYPE4&lt;&gt;"")+('Dvd Calendar'!$K$2006=SPECIAL_LBL)*(INC_SPECIALS="Y"))=0,"",'Dvd Calendar'!$K$2004)))</f>
        <v/>
      </c>
      <c r="J200" s="110">
        <f>IF(EL200="","",IF(ISNUMBER('Dvd Calendar'!$L$2004)=FALSE,"",IF((('Dvd Calendar'!$L$2006=TYPE1)*(TYPE1&lt;&gt;"")+('Dvd Calendar'!$L$2006=TYPE2)*(TYPE2&lt;&gt;"")+('Dvd Calendar'!$L$2006=TYPE3)*(TYPE3&lt;&gt;"")+('Dvd Calendar'!$L$2006=TYPE4)*(TYPE4&lt;&gt;"")+('Dvd Calendar'!$L$2006=SPECIAL_LBL)*(INC_SPECIALS="Y"))=0,"",'Dvd Calendar'!$L$2004)))</f>
        <v/>
      </c>
      <c r="K200" s="110">
        <f>IF(EM200="","",IF(ISNUMBER('Dvd Calendar'!$M$2004)=FALSE,"",IF((('Dvd Calendar'!$M$2006=TYPE1)*(TYPE1&lt;&gt;"")+('Dvd Calendar'!$M$2006=TYPE2)*(TYPE2&lt;&gt;"")+('Dvd Calendar'!$M$2006=TYPE3)*(TYPE3&lt;&gt;"")+('Dvd Calendar'!$M$2006=TYPE4)*(TYPE4&lt;&gt;"")+('Dvd Calendar'!$M$2006=SPECIAL_LBL)*(INC_SPECIALS="Y"))=0,"",'Dvd Calendar'!$M$2004)))</f>
        <v/>
      </c>
      <c r="L200" s="110">
        <f>IF(EN200="","",IF(ISNUMBER('Dvd Calendar'!$N$2004)=FALSE,"",IF((('Dvd Calendar'!$N$2006=TYPE1)*(TYPE1&lt;&gt;"")+('Dvd Calendar'!$N$2006=TYPE2)*(TYPE2&lt;&gt;"")+('Dvd Calendar'!$N$2006=TYPE3)*(TYPE3&lt;&gt;"")+('Dvd Calendar'!$N$2006=TYPE4)*(TYPE4&lt;&gt;"")+('Dvd Calendar'!$N$2006=SPECIAL_LBL)*(INC_SPECIALS="Y"))=0,"",'Dvd Calendar'!$N$2004)))</f>
        <v/>
      </c>
      <c r="M200" s="110">
        <f>IF(EO200="","",IF(ISNUMBER('Dvd Calendar'!$O$2004)=FALSE,"",IF((('Dvd Calendar'!$O$2006=TYPE1)*(TYPE1&lt;&gt;"")+('Dvd Calendar'!$O$2006=TYPE2)*(TYPE2&lt;&gt;"")+('Dvd Calendar'!$O$2006=TYPE3)*(TYPE3&lt;&gt;"")+('Dvd Calendar'!$O$2006=TYPE4)*(TYPE4&lt;&gt;"")+('Dvd Calendar'!$O$2006=SPECIAL_LBL)*(INC_SPECIALS="Y"))=0,"",'Dvd Calendar'!$O$2004)))</f>
        <v/>
      </c>
      <c r="N200" s="110">
        <f>IF(EP200="","",IF(ISNUMBER('Dvd Calendar'!$P$2004)=FALSE,"",IF((('Dvd Calendar'!$P$2006=TYPE1)*(TYPE1&lt;&gt;"")+('Dvd Calendar'!$P$2006=TYPE2)*(TYPE2&lt;&gt;"")+('Dvd Calendar'!$P$2006=TYPE3)*(TYPE3&lt;&gt;"")+('Dvd Calendar'!$P$2006=TYPE4)*(TYPE4&lt;&gt;"")+('Dvd Calendar'!$P$2006=SPECIAL_LBL)*(INC_SPECIALS="Y"))=0,"",'Dvd Calendar'!$P$2004)))</f>
        <v/>
      </c>
      <c r="O200" s="110">
        <f>IF(EQ200="","",IF(ISNUMBER('Dvd Calendar'!$Q$2004)=FALSE,"",IF((('Dvd Calendar'!$Q$2006=TYPE1)*(TYPE1&lt;&gt;"")+('Dvd Calendar'!$Q$2006=TYPE2)*(TYPE2&lt;&gt;"")+('Dvd Calendar'!$Q$2006=TYPE3)*(TYPE3&lt;&gt;"")+('Dvd Calendar'!$Q$2006=TYPE4)*(TYPE4&lt;&gt;"")+('Dvd Calendar'!$Q$2006=SPECIAL_LBL)*(INC_SPECIALS="Y"))=0,"",'Dvd Calendar'!$Q$2004)))</f>
        <v/>
      </c>
      <c r="P200" s="110">
        <f>IF(ER200="","",IF(ISNUMBER('Dvd Calendar'!$R$2004)=FALSE,"",IF((('Dvd Calendar'!$R$2006=TYPE1)*(TYPE1&lt;&gt;"")+('Dvd Calendar'!$R$2006=TYPE2)*(TYPE2&lt;&gt;"")+('Dvd Calendar'!$R$2006=TYPE3)*(TYPE3&lt;&gt;"")+('Dvd Calendar'!$R$2006=TYPE4)*(TYPE4&lt;&gt;"")+('Dvd Calendar'!$R$2006=SPECIAL_LBL)*(INC_SPECIALS="Y"))=0,"",'Dvd Calendar'!$R$2004)))</f>
        <v/>
      </c>
      <c r="Q200" s="110">
        <f>IF(ES200="","",IF(ISNUMBER('Dvd Calendar'!$S$2004)=FALSE,"",IF((('Dvd Calendar'!$S$2006=TYPE1)*(TYPE1&lt;&gt;"")+('Dvd Calendar'!$S$2006=TYPE2)*(TYPE2&lt;&gt;"")+('Dvd Calendar'!$S$2006=TYPE3)*(TYPE3&lt;&gt;"")+('Dvd Calendar'!$S$2006=TYPE4)*(TYPE4&lt;&gt;"")+('Dvd Calendar'!$S$2006=SPECIAL_LBL)*(INC_SPECIALS="Y"))=0,"",'Dvd Calendar'!$S$2004)))</f>
        <v/>
      </c>
      <c r="R200" s="110">
        <f>IF(ET200="","",IF(ISNUMBER('Dvd Calendar'!$T$2004)=FALSE,"",IF((('Dvd Calendar'!$T$2006=TYPE1)*(TYPE1&lt;&gt;"")+('Dvd Calendar'!$T$2006=TYPE2)*(TYPE2&lt;&gt;"")+('Dvd Calendar'!$T$2006=TYPE3)*(TYPE3&lt;&gt;"")+('Dvd Calendar'!$T$2006=TYPE4)*(TYPE4&lt;&gt;"")+('Dvd Calendar'!$T$2006=SPECIAL_LBL)*(INC_SPECIALS="Y"))=0,"",'Dvd Calendar'!$T$2004)))</f>
        <v/>
      </c>
      <c r="S200" s="110">
        <f>IF(EU200="","",IF(ISNUMBER('Dvd Calendar'!$U$2004)=FALSE,"",IF((('Dvd Calendar'!$U$2006=TYPE1)*(TYPE1&lt;&gt;"")+('Dvd Calendar'!$U$2006=TYPE2)*(TYPE2&lt;&gt;"")+('Dvd Calendar'!$U$2006=TYPE3)*(TYPE3&lt;&gt;"")+('Dvd Calendar'!$U$2006=TYPE4)*(TYPE4&lt;&gt;"")+('Dvd Calendar'!$U$2006=SPECIAL_LBL)*(INC_SPECIALS="Y"))=0,"",'Dvd Calendar'!$U$2004)))</f>
        <v/>
      </c>
      <c r="T200" s="110">
        <f>IF(EV200="","",IF(ISNUMBER('Dvd Calendar'!$V$2004)=FALSE,"",IF((('Dvd Calendar'!$V$2006=TYPE1)*(TYPE1&lt;&gt;"")+('Dvd Calendar'!$V$2006=TYPE2)*(TYPE2&lt;&gt;"")+('Dvd Calendar'!$V$2006=TYPE3)*(TYPE3&lt;&gt;"")+('Dvd Calendar'!$V$2006=TYPE4)*(TYPE4&lt;&gt;"")+('Dvd Calendar'!$V$2006=SPECIAL_LBL)*(INC_SPECIALS="Y"))=0,"",'Dvd Calendar'!$V$2004)))</f>
        <v/>
      </c>
      <c r="U200" s="110">
        <f>IF(EW200="","",IF(ISNUMBER('Dvd Calendar'!$W$2004)=FALSE,"",IF((('Dvd Calendar'!$W$2006=TYPE1)*(TYPE1&lt;&gt;"")+('Dvd Calendar'!$W$2006=TYPE2)*(TYPE2&lt;&gt;"")+('Dvd Calendar'!$W$2006=TYPE3)*(TYPE3&lt;&gt;"")+('Dvd Calendar'!$W$2006=TYPE4)*(TYPE4&lt;&gt;"")+('Dvd Calendar'!$W$2006=SPECIAL_LBL)*(INC_SPECIALS="Y"))=0,"",'Dvd Calendar'!$W$2004)))</f>
        <v/>
      </c>
      <c r="V200" s="110">
        <f>IF(EX200="","",IF(ISNUMBER('Dvd Calendar'!$X$2004)=FALSE,"",IF((('Dvd Calendar'!$X$2006=TYPE1)*(TYPE1&lt;&gt;"")+('Dvd Calendar'!$X$2006=TYPE2)*(TYPE2&lt;&gt;"")+('Dvd Calendar'!$X$2006=TYPE3)*(TYPE3&lt;&gt;"")+('Dvd Calendar'!$X$2006=TYPE4)*(TYPE4&lt;&gt;"")+('Dvd Calendar'!$X$2006=SPECIAL_LBL)*(INC_SPECIALS="Y"))=0,"",'Dvd Calendar'!$X$2004)))</f>
        <v/>
      </c>
      <c r="W200" s="110">
        <f>IF(EY200="","",IF(ISNUMBER('Dvd Calendar'!$Y$2004)=FALSE,"",IF((('Dvd Calendar'!$Y$2006=TYPE1)*(TYPE1&lt;&gt;"")+('Dvd Calendar'!$Y$2006=TYPE2)*(TYPE2&lt;&gt;"")+('Dvd Calendar'!$Y$2006=TYPE3)*(TYPE3&lt;&gt;"")+('Dvd Calendar'!$Y$2006=TYPE4)*(TYPE4&lt;&gt;"")+('Dvd Calendar'!$Y$2006=SPECIAL_LBL)*(INC_SPECIALS="Y"))=0,"",'Dvd Calendar'!$Y$2004)))</f>
        <v/>
      </c>
      <c r="X200" s="110">
        <f>IF(EZ200="","",IF(ISNUMBER('Dvd Calendar'!$Z$2004)=FALSE,"",IF((('Dvd Calendar'!$Z$2006=TYPE1)*(TYPE1&lt;&gt;"")+('Dvd Calendar'!$Z$2006=TYPE2)*(TYPE2&lt;&gt;"")+('Dvd Calendar'!$Z$2006=TYPE3)*(TYPE3&lt;&gt;"")+('Dvd Calendar'!$Z$2006=TYPE4)*(TYPE4&lt;&gt;"")+('Dvd Calendar'!$Z$2006=SPECIAL_LBL)*(INC_SPECIALS="Y"))=0,"",'Dvd Calendar'!$Z$2004)))</f>
        <v/>
      </c>
      <c r="Y200" s="110">
        <f>IF(FA200="","",IF(ISNUMBER('Dvd Calendar'!$AA$2004)=FALSE,"",IF((('Dvd Calendar'!$AA$2006=TYPE1)*(TYPE1&lt;&gt;"")+('Dvd Calendar'!$AA$2006=TYPE2)*(TYPE2&lt;&gt;"")+('Dvd Calendar'!$AA$2006=TYPE3)*(TYPE3&lt;&gt;"")+('Dvd Calendar'!$AA$2006=TYPE4)*(TYPE4&lt;&gt;"")+('Dvd Calendar'!$AA$2006=SPECIAL_LBL)*(INC_SPECIALS="Y"))=0,"",'Dvd Calendar'!$AA$2004)))</f>
        <v/>
      </c>
      <c r="Z200" s="110">
        <f>IF(FB200="","",IF(ISNUMBER('Dvd Calendar'!$AB$2004)=FALSE,"",IF((('Dvd Calendar'!$AB$2006=TYPE1)*(TYPE1&lt;&gt;"")+('Dvd Calendar'!$AB$2006=TYPE2)*(TYPE2&lt;&gt;"")+('Dvd Calendar'!$AB$2006=TYPE3)*(TYPE3&lt;&gt;"")+('Dvd Calendar'!$AB$2006=TYPE4)*(TYPE4&lt;&gt;"")+('Dvd Calendar'!$AB$2006=SPECIAL_LBL)*(INC_SPECIALS="Y"))=0,"",'Dvd Calendar'!$AB$2004)))</f>
        <v/>
      </c>
      <c r="AA200" s="110">
        <f>IF(FC200="","",IF(ISNUMBER('Dvd Calendar'!$AC$2004)=FALSE,"",IF((('Dvd Calendar'!$AC$2006=TYPE1)*(TYPE1&lt;&gt;"")+('Dvd Calendar'!$AC$2006=TYPE2)*(TYPE2&lt;&gt;"")+('Dvd Calendar'!$AC$2006=TYPE3)*(TYPE3&lt;&gt;"")+('Dvd Calendar'!$AC$2006=TYPE4)*(TYPE4&lt;&gt;"")+('Dvd Calendar'!$AC$2006=SPECIAL_LBL)*(INC_SPECIALS="Y"))=0,"",'Dvd Calendar'!$AC$2004)))</f>
        <v/>
      </c>
      <c r="AB200" s="110">
        <f>IF(FD200="","",IF(ISNUMBER('Dvd Calendar'!$AD$2004)=FALSE,"",IF((('Dvd Calendar'!$AD$2006=TYPE1)*(TYPE1&lt;&gt;"")+('Dvd Calendar'!$AD$2006=TYPE2)*(TYPE2&lt;&gt;"")+('Dvd Calendar'!$AD$2006=TYPE3)*(TYPE3&lt;&gt;"")+('Dvd Calendar'!$AD$2006=TYPE4)*(TYPE4&lt;&gt;"")+('Dvd Calendar'!$AD$2006=SPECIAL_LBL)*(INC_SPECIALS="Y"))=0,"",'Dvd Calendar'!$AD$2004)))</f>
        <v/>
      </c>
      <c r="AC200" s="110">
        <f>IF(FE200="","",IF(ISNUMBER('Dvd Calendar'!$AE$2004)=FALSE,"",IF((('Dvd Calendar'!$AE$2006=TYPE1)*(TYPE1&lt;&gt;"")+('Dvd Calendar'!$AE$2006=TYPE2)*(TYPE2&lt;&gt;"")+('Dvd Calendar'!$AE$2006=TYPE3)*(TYPE3&lt;&gt;"")+('Dvd Calendar'!$AE$2006=TYPE4)*(TYPE4&lt;&gt;"")+('Dvd Calendar'!$AE$2006=SPECIAL_LBL)*(INC_SPECIALS="Y"))=0,"",'Dvd Calendar'!$AE$2004)))</f>
        <v/>
      </c>
      <c r="AD200" s="110">
        <f>IF(FF200="","",IF(ISNUMBER('Dvd Calendar'!$AF$2004)=FALSE,"",IF((('Dvd Calendar'!$AF$2006=TYPE1)*(TYPE1&lt;&gt;"")+('Dvd Calendar'!$AF$2006=TYPE2)*(TYPE2&lt;&gt;"")+('Dvd Calendar'!$AF$2006=TYPE3)*(TYPE3&lt;&gt;"")+('Dvd Calendar'!$AF$2006=TYPE4)*(TYPE4&lt;&gt;"")+('Dvd Calendar'!$AF$2006=SPECIAL_LBL)*(INC_SPECIALS="Y"))=0,"",'Dvd Calendar'!$AF$2004)))</f>
        <v/>
      </c>
      <c r="AE200" s="110">
        <f>IF(FG200="","",IF(ISNUMBER('Dvd Calendar'!$AG$2004)=FALSE,"",IF((('Dvd Calendar'!$AG$2006=TYPE1)*(TYPE1&lt;&gt;"")+('Dvd Calendar'!$AG$2006=TYPE2)*(TYPE2&lt;&gt;"")+('Dvd Calendar'!$AG$2006=TYPE3)*(TYPE3&lt;&gt;"")+('Dvd Calendar'!$AG$2006=TYPE4)*(TYPE4&lt;&gt;"")+('Dvd Calendar'!$AG$2006=SPECIAL_LBL)*(INC_SPECIALS="Y"))=0,"",'Dvd Calendar'!$AG$2004)))</f>
        <v/>
      </c>
      <c r="AF200" s="110">
        <f>IF(FH200="","",IF(ISNUMBER('Dvd Calendar'!$AH$2004)=FALSE,"",IF((('Dvd Calendar'!$AH$2006=TYPE1)*(TYPE1&lt;&gt;"")+('Dvd Calendar'!$AH$2006=TYPE2)*(TYPE2&lt;&gt;"")+('Dvd Calendar'!$AH$2006=TYPE3)*(TYPE3&lt;&gt;"")+('Dvd Calendar'!$AH$2006=TYPE4)*(TYPE4&lt;&gt;"")+('Dvd Calendar'!$AH$2006=SPECIAL_LBL)*(INC_SPECIALS="Y"))=0,"",'Dvd Calendar'!$AH$2004)))</f>
        <v/>
      </c>
      <c r="AG200" s="110">
        <f>IF(FI200="","",IF(ISNUMBER('Dvd Calendar'!$AI$2004)=FALSE,"",IF((('Dvd Calendar'!$AI$2006=TYPE1)*(TYPE1&lt;&gt;"")+('Dvd Calendar'!$AI$2006=TYPE2)*(TYPE2&lt;&gt;"")+('Dvd Calendar'!$AI$2006=TYPE3)*(TYPE3&lt;&gt;"")+('Dvd Calendar'!$AI$2006=TYPE4)*(TYPE4&lt;&gt;"")+('Dvd Calendar'!$AI$2006=SPECIAL_LBL)*(INC_SPECIALS="Y"))=0,"",'Dvd Calendar'!$AI$2004)))</f>
        <v/>
      </c>
      <c r="AH200" s="110">
        <f>IF(FJ200="","",IF(ISNUMBER('Dvd Calendar'!$AJ$2004)=FALSE,"",IF((('Dvd Calendar'!$AJ$2006=TYPE1)*(TYPE1&lt;&gt;"")+('Dvd Calendar'!$AJ$2006=TYPE2)*(TYPE2&lt;&gt;"")+('Dvd Calendar'!$AJ$2006=TYPE3)*(TYPE3&lt;&gt;"")+('Dvd Calendar'!$AJ$2006=TYPE4)*(TYPE4&lt;&gt;"")+('Dvd Calendar'!$AJ$2006=SPECIAL_LBL)*(INC_SPECIALS="Y"))=0,"",'Dvd Calendar'!$AJ$2004)))</f>
        <v/>
      </c>
      <c r="AI200" s="110">
        <f>IF(FK200="","",IF(ISNUMBER('Dvd Calendar'!$AK$2004)=FALSE,"",IF((('Dvd Calendar'!$AK$2006=TYPE1)*(TYPE1&lt;&gt;"")+('Dvd Calendar'!$AK$2006=TYPE2)*(TYPE2&lt;&gt;"")+('Dvd Calendar'!$AK$2006=TYPE3)*(TYPE3&lt;&gt;"")+('Dvd Calendar'!$AK$2006=TYPE4)*(TYPE4&lt;&gt;"")+('Dvd Calendar'!$AK$2006=SPECIAL_LBL)*(INC_SPECIALS="Y"))=0,"",'Dvd Calendar'!$AK$2004)))</f>
        <v/>
      </c>
      <c r="AJ200" s="110">
        <f>IF(FL200="","",IF(ISNUMBER('Dvd Calendar'!$AL$2004)=FALSE,"",IF((('Dvd Calendar'!$AL$2006=TYPE1)*(TYPE1&lt;&gt;"")+('Dvd Calendar'!$AL$2006=TYPE2)*(TYPE2&lt;&gt;"")+('Dvd Calendar'!$AL$2006=TYPE3)*(TYPE3&lt;&gt;"")+('Dvd Calendar'!$AL$2006=TYPE4)*(TYPE4&lt;&gt;"")+('Dvd Calendar'!$AL$2006=SPECIAL_LBL)*(INC_SPECIALS="Y"))=0,"",'Dvd Calendar'!$AL$2004)))</f>
        <v/>
      </c>
      <c r="AK200" s="110">
        <f>IF(FM200="","",IF(ISNUMBER('Dvd Calendar'!$AM$2004)=FALSE,"",IF((('Dvd Calendar'!$AM$2006=TYPE1)*(TYPE1&lt;&gt;"")+('Dvd Calendar'!$AM$2006=TYPE2)*(TYPE2&lt;&gt;"")+('Dvd Calendar'!$AM$2006=TYPE3)*(TYPE3&lt;&gt;"")+('Dvd Calendar'!$AM$2006=TYPE4)*(TYPE4&lt;&gt;"")+('Dvd Calendar'!$AM$2006=SPECIAL_LBL)*(INC_SPECIALS="Y"))=0,"",'Dvd Calendar'!$AM$2004)))</f>
        <v/>
      </c>
      <c r="AL200" s="110">
        <f>IF(FN200="","",IF(ISNUMBER('Dvd Calendar'!$AN$2004)=FALSE,"",IF((('Dvd Calendar'!$AN$2006=TYPE1)*(TYPE1&lt;&gt;"")+('Dvd Calendar'!$AN$2006=TYPE2)*(TYPE2&lt;&gt;"")+('Dvd Calendar'!$AN$2006=TYPE3)*(TYPE3&lt;&gt;"")+('Dvd Calendar'!$AN$2006=TYPE4)*(TYPE4&lt;&gt;"")+('Dvd Calendar'!$AN$2006=SPECIAL_LBL)*(INC_SPECIALS="Y"))=0,"",'Dvd Calendar'!$AN$2004)))</f>
        <v/>
      </c>
      <c r="AM200" s="110">
        <f>IF(FO200="","",IF(ISNUMBER('Dvd Calendar'!$AO$2004)=FALSE,"",IF((('Dvd Calendar'!$AO$2006=TYPE1)*(TYPE1&lt;&gt;"")+('Dvd Calendar'!$AO$2006=TYPE2)*(TYPE2&lt;&gt;"")+('Dvd Calendar'!$AO$2006=TYPE3)*(TYPE3&lt;&gt;"")+('Dvd Calendar'!$AO$2006=TYPE4)*(TYPE4&lt;&gt;"")+('Dvd Calendar'!$AO$2006=SPECIAL_LBL)*(INC_SPECIALS="Y"))=0,"",'Dvd Calendar'!$AO$2004)))</f>
        <v/>
      </c>
      <c r="AN200" s="110">
        <f>IF(FP200="","",IF(ISNUMBER('Dvd Calendar'!$AP$2004)=FALSE,"",IF((('Dvd Calendar'!$AP$2006=TYPE1)*(TYPE1&lt;&gt;"")+('Dvd Calendar'!$AP$2006=TYPE2)*(TYPE2&lt;&gt;"")+('Dvd Calendar'!$AP$2006=TYPE3)*(TYPE3&lt;&gt;"")+('Dvd Calendar'!$AP$2006=TYPE4)*(TYPE4&lt;&gt;"")+('Dvd Calendar'!$AP$2006=SPECIAL_LBL)*(INC_SPECIALS="Y"))=0,"",'Dvd Calendar'!$AP$2004)))</f>
        <v/>
      </c>
      <c r="AO200" s="110">
        <f>IF(FQ200="","",IF(ISNUMBER('Dvd Calendar'!$AQ$2004)=FALSE,"",IF((('Dvd Calendar'!$AQ$2006=TYPE1)*(TYPE1&lt;&gt;"")+('Dvd Calendar'!$AQ$2006=TYPE2)*(TYPE2&lt;&gt;"")+('Dvd Calendar'!$AQ$2006=TYPE3)*(TYPE3&lt;&gt;"")+('Dvd Calendar'!$AQ$2006=TYPE4)*(TYPE4&lt;&gt;"")+('Dvd Calendar'!$AQ$2006=SPECIAL_LBL)*(INC_SPECIALS="Y"))=0,"",'Dvd Calendar'!$AQ$2004)))</f>
        <v/>
      </c>
      <c r="AP200" s="110">
        <f>IF(FR200="","",IF(ISNUMBER('Dvd Calendar'!$AR$2004)=FALSE,"",IF((('Dvd Calendar'!$AR$2006=TYPE1)*(TYPE1&lt;&gt;"")+('Dvd Calendar'!$AR$2006=TYPE2)*(TYPE2&lt;&gt;"")+('Dvd Calendar'!$AR$2006=TYPE3)*(TYPE3&lt;&gt;"")+('Dvd Calendar'!$AR$2006=TYPE4)*(TYPE4&lt;&gt;"")+('Dvd Calendar'!$AR$2006=SPECIAL_LBL)*(INC_SPECIALS="Y"))=0,"",'Dvd Calendar'!$AR$2004)))</f>
        <v/>
      </c>
      <c r="AQ200" s="110">
        <f>IF(FS200="","",IF(ISNUMBER('Dvd Calendar'!$E$2009)=FALSE,"",'Dvd Calendar'!$E$2009))</f>
        <v/>
      </c>
      <c r="AR200" s="110">
        <f>IF(FT200="","",IF(ISNUMBER('Dvd Calendar'!$F$2009)=FALSE,"",'Dvd Calendar'!$F$2009))</f>
        <v/>
      </c>
      <c r="AS200" s="110">
        <f>IF(FU200="","",IF(ISNUMBER('Dvd Calendar'!$G$2009)=FALSE,"",'Dvd Calendar'!$G$2009))</f>
        <v/>
      </c>
      <c r="AT200" s="110">
        <f>IF(FV200="","",IF(ISNUMBER('Dvd Calendar'!$H$2009)=FALSE,"",'Dvd Calendar'!$H$2009))</f>
        <v/>
      </c>
      <c r="AU200" s="110">
        <f>IF(FW200="","",IF(ISNUMBER('Dvd Calendar'!$I$2009)=FALSE,"",'Dvd Calendar'!$I$2009))</f>
        <v/>
      </c>
      <c r="AV200" s="110">
        <f>IF(FX200="","",IF(ISNUMBER('Dvd Calendar'!$J$2009)=FALSE,"",'Dvd Calendar'!$J$2009))</f>
        <v/>
      </c>
      <c r="AW200" s="110">
        <f>IF(FY200="","",IF(ISNUMBER('Dvd Calendar'!$K$2009)=FALSE,"",'Dvd Calendar'!$K$2009))</f>
        <v/>
      </c>
      <c r="AX200" s="110">
        <f>IF(FZ200="","",IF(ISNUMBER('Dvd Calendar'!$L$2009)=FALSE,"",'Dvd Calendar'!$L$2009))</f>
        <v/>
      </c>
      <c r="AY200" s="110">
        <f>IF(GA200="","",IF(ISNUMBER('Dvd Calendar'!$M$2009)=FALSE,"",'Dvd Calendar'!$M$2009))</f>
        <v/>
      </c>
      <c r="AZ200" s="110">
        <f>IF(GB200="","",IF(ISNUMBER('Dvd Calendar'!$N$2009)=FALSE,"",'Dvd Calendar'!$N$2009))</f>
        <v/>
      </c>
      <c r="BA200" s="110">
        <f>IF(GC200="","",IF(ISNUMBER('Dvd Calendar'!$O$2009)=FALSE,"",'Dvd Calendar'!$O$2009))</f>
        <v/>
      </c>
      <c r="BB200" s="110">
        <f>IF(GD200="","",IF(ISNUMBER('Dvd Calendar'!$P$2009)=FALSE,"",'Dvd Calendar'!$P$2009))</f>
        <v/>
      </c>
      <c r="BC200" s="110">
        <f>IF(GE200="","",IF(ISNUMBER('Dvd Calendar'!$Q$2009)=FALSE,"",'Dvd Calendar'!$Q$2009))</f>
        <v/>
      </c>
      <c r="BD200" s="110">
        <f>IF(GF200="","",IF(ISNUMBER('Dvd Calendar'!$R$2009)=FALSE,"",'Dvd Calendar'!$R$2009))</f>
        <v/>
      </c>
      <c r="BE200" s="110">
        <f>IF(GG200="","",IF(ISNUMBER('Dvd Calendar'!$S$2009)=FALSE,"",'Dvd Calendar'!$S$2009))</f>
        <v/>
      </c>
      <c r="BF200" s="110">
        <f>IF(GH200="","",IF(ISNUMBER('Dvd Calendar'!$T$2009)=FALSE,"",'Dvd Calendar'!$T$2009))</f>
        <v/>
      </c>
      <c r="BG200" s="110">
        <f>IF(GI200="","",IF(ISNUMBER('Dvd Calendar'!$U$2009)=FALSE,"",'Dvd Calendar'!$U$2009))</f>
        <v/>
      </c>
      <c r="BH200" s="110">
        <f>IF(GJ200="","",IF(ISNUMBER('Dvd Calendar'!$V$2009)=FALSE,"",'Dvd Calendar'!$V$2009))</f>
        <v/>
      </c>
      <c r="BI200" s="110">
        <f>IF(GK200="","",IF(ISNUMBER('Dvd Calendar'!$W$2009)=FALSE,"",'Dvd Calendar'!$W$2009))</f>
        <v/>
      </c>
      <c r="BJ200" s="110">
        <f>IF(GL200="","",IF(ISNUMBER('Dvd Calendar'!$X$2009)=FALSE,"",'Dvd Calendar'!$X$2009))</f>
        <v/>
      </c>
      <c r="BK200" s="110">
        <f>IF(GM200="","",IF(ISNUMBER('Dvd Calendar'!$Y$2009)=FALSE,"",'Dvd Calendar'!$Y$2009))</f>
        <v/>
      </c>
      <c r="BL200" s="110">
        <f>IF(GN200="","",IF(ISNUMBER('Dvd Calendar'!$Z$2009)=FALSE,"",'Dvd Calendar'!$Z$2009))</f>
        <v/>
      </c>
      <c r="BM200" s="110">
        <f>IF(GO200="","",IF(ISNUMBER('Dvd Calendar'!$AA$2009)=FALSE,"",'Dvd Calendar'!$AA$2009))</f>
        <v/>
      </c>
      <c r="BN200" s="110">
        <f>IF(GP200="","",IF(ISNUMBER('Dvd Calendar'!$AB$2009)=FALSE,"",'Dvd Calendar'!$AB$2009))</f>
        <v/>
      </c>
      <c r="BO200" s="110">
        <f>IF(GQ200="","",IF(ISNUMBER('Dvd Calendar'!$AC$2009)=FALSE,"",'Dvd Calendar'!$AC$2009))</f>
        <v/>
      </c>
      <c r="BQ200" s="110">
        <f>IF(C200="","",IFERROR(C200*HSCEI!$B$47*HSCEI!$G$47/HSCEI!$B$3,""))</f>
        <v/>
      </c>
      <c r="BR200" s="110">
        <f>IF(D200="","",IFERROR(D200*HSCEI!$B$47*HSCEI!$G$47/HSCEI!$B$3,""))</f>
        <v/>
      </c>
      <c r="BS200" s="110">
        <f>IF(E200="","",IFERROR(E200*HSCEI!$B$47*HSCEI!$G$47/HSCEI!$B$3,""))</f>
        <v/>
      </c>
      <c r="BT200" s="110">
        <f>IF(F200="","",IFERROR(F200*HSCEI!$B$47*HSCEI!$G$47/HSCEI!$B$3,""))</f>
        <v/>
      </c>
      <c r="BU200" s="110">
        <f>IF(G200="","",IFERROR(G200*HSCEI!$B$47*HSCEI!$G$47/HSCEI!$B$3,""))</f>
        <v/>
      </c>
      <c r="BV200" s="110">
        <f>IF(H200="","",IFERROR(H200*HSCEI!$B$47*HSCEI!$G$47/HSCEI!$B$3,""))</f>
        <v/>
      </c>
      <c r="BW200" s="110">
        <f>IF(I200="","",IFERROR(I200*HSCEI!$B$47*HSCEI!$G$47/HSCEI!$B$3,""))</f>
        <v/>
      </c>
      <c r="BX200" s="110">
        <f>IF(J200="","",IFERROR(J200*HSCEI!$B$47*HSCEI!$G$47/HSCEI!$B$3,""))</f>
        <v/>
      </c>
      <c r="BY200" s="110">
        <f>IF(K200="","",IFERROR(K200*HSCEI!$B$47*HSCEI!$G$47/HSCEI!$B$3,""))</f>
        <v/>
      </c>
      <c r="BZ200" s="110">
        <f>IF(L200="","",IFERROR(L200*HSCEI!$B$47*HSCEI!$G$47/HSCEI!$B$3,""))</f>
        <v/>
      </c>
      <c r="CA200" s="110">
        <f>IF(M200="","",IFERROR(M200*HSCEI!$B$47*HSCEI!$G$47/HSCEI!$B$3,""))</f>
        <v/>
      </c>
      <c r="CB200" s="110">
        <f>IF(N200="","",IFERROR(N200*HSCEI!$B$47*HSCEI!$G$47/HSCEI!$B$3,""))</f>
        <v/>
      </c>
      <c r="CC200" s="110">
        <f>IF(O200="","",IFERROR(O200*HSCEI!$B$47*HSCEI!$G$47/HSCEI!$B$3,""))</f>
        <v/>
      </c>
      <c r="CD200" s="110">
        <f>IF(P200="","",IFERROR(P200*HSCEI!$B$47*HSCEI!$G$47/HSCEI!$B$3,""))</f>
        <v/>
      </c>
      <c r="CE200" s="110">
        <f>IF(Q200="","",IFERROR(Q200*HSCEI!$B$47*HSCEI!$G$47/HSCEI!$B$3,""))</f>
        <v/>
      </c>
      <c r="CF200" s="110">
        <f>IF(R200="","",IFERROR(R200*HSCEI!$B$47*HSCEI!$G$47/HSCEI!$B$3,""))</f>
        <v/>
      </c>
      <c r="CG200" s="110">
        <f>IF(S200="","",IFERROR(S200*HSCEI!$B$47*HSCEI!$G$47/HSCEI!$B$3,""))</f>
        <v/>
      </c>
      <c r="CH200" s="110">
        <f>IF(T200="","",IFERROR(T200*HSCEI!$B$47*HSCEI!$G$47/HSCEI!$B$3,""))</f>
        <v/>
      </c>
      <c r="CI200" s="110">
        <f>IF(U200="","",IFERROR(U200*HSCEI!$B$47*HSCEI!$G$47/HSCEI!$B$3,""))</f>
        <v/>
      </c>
      <c r="CJ200" s="110">
        <f>IF(V200="","",IFERROR(V200*HSCEI!$B$47*HSCEI!$G$47/HSCEI!$B$3,""))</f>
        <v/>
      </c>
      <c r="CK200" s="110">
        <f>IF(W200="","",IFERROR(W200*HSCEI!$B$47*HSCEI!$G$47/HSCEI!$B$3,""))</f>
        <v/>
      </c>
      <c r="CL200" s="110">
        <f>IF(X200="","",IFERROR(X200*HSCEI!$B$47*HSCEI!$G$47/HSCEI!$B$3,""))</f>
        <v/>
      </c>
      <c r="CM200" s="110">
        <f>IF(Y200="","",IFERROR(Y200*HSCEI!$B$47*HSCEI!$G$47/HSCEI!$B$3,""))</f>
        <v/>
      </c>
      <c r="CN200" s="110">
        <f>IF(Z200="","",IFERROR(Z200*HSCEI!$B$47*HSCEI!$G$47/HSCEI!$B$3,""))</f>
        <v/>
      </c>
      <c r="CO200" s="110">
        <f>IF(AA200="","",IFERROR(AA200*HSCEI!$B$47*HSCEI!$G$47/HSCEI!$B$3,""))</f>
        <v/>
      </c>
      <c r="CP200" s="110">
        <f>IF(AB200="","",IFERROR(AB200*HSCEI!$B$47*HSCEI!$G$47/HSCEI!$B$3,""))</f>
        <v/>
      </c>
      <c r="CQ200" s="110">
        <f>IF(AC200="","",IFERROR(AC200*HSCEI!$B$47*HSCEI!$G$47/HSCEI!$B$3,""))</f>
        <v/>
      </c>
      <c r="CR200" s="110">
        <f>IF(AD200="","",IFERROR(AD200*HSCEI!$B$47*HSCEI!$G$47/HSCEI!$B$3,""))</f>
        <v/>
      </c>
      <c r="CS200" s="110">
        <f>IF(AE200="","",IFERROR(AE200*HSCEI!$B$47*HSCEI!$G$47/HSCEI!$B$3,""))</f>
        <v/>
      </c>
      <c r="CT200" s="110">
        <f>IF(AF200="","",IFERROR(AF200*HSCEI!$B$47*HSCEI!$G$47/HSCEI!$B$3,""))</f>
        <v/>
      </c>
      <c r="CU200" s="110">
        <f>IF(AG200="","",IFERROR(AG200*HSCEI!$B$47*HSCEI!$G$47/HSCEI!$B$3,""))</f>
        <v/>
      </c>
      <c r="CV200" s="110">
        <f>IF(AH200="","",IFERROR(AH200*HSCEI!$B$47*HSCEI!$G$47/HSCEI!$B$3,""))</f>
        <v/>
      </c>
      <c r="CW200" s="110">
        <f>IF(AI200="","",IFERROR(AI200*HSCEI!$B$47*HSCEI!$G$47/HSCEI!$B$3,""))</f>
        <v/>
      </c>
      <c r="CX200" s="110">
        <f>IF(AJ200="","",IFERROR(AJ200*HSCEI!$B$47*HSCEI!$G$47/HSCEI!$B$3,""))</f>
        <v/>
      </c>
      <c r="CY200" s="110">
        <f>IF(AK200="","",IFERROR(AK200*HSCEI!$B$47*HSCEI!$G$47/HSCEI!$B$3,""))</f>
        <v/>
      </c>
      <c r="CZ200" s="110">
        <f>IF(AL200="","",IFERROR(AL200*HSCEI!$B$47*HSCEI!$G$47/HSCEI!$B$3,""))</f>
        <v/>
      </c>
      <c r="DA200" s="110">
        <f>IF(AM200="","",IFERROR(AM200*HSCEI!$B$47*HSCEI!$G$47/HSCEI!$B$3,""))</f>
        <v/>
      </c>
      <c r="DB200" s="110">
        <f>IF(AN200="","",IFERROR(AN200*HSCEI!$B$47*HSCEI!$G$47/HSCEI!$B$3,""))</f>
        <v/>
      </c>
      <c r="DC200" s="110">
        <f>IF(AO200="","",IFERROR(AO200*HSCEI!$B$47*HSCEI!$G$47/HSCEI!$B$3,""))</f>
        <v/>
      </c>
      <c r="DD200" s="110">
        <f>IF(AP200="","",IFERROR(AP200*HSCEI!$B$47*HSCEI!$G$47/HSCEI!$B$3,""))</f>
        <v/>
      </c>
      <c r="DE200" s="110">
        <f>IF(AQ200="","",IFERROR(AQ200*HSCEI!$B$47*HSCEI!$G$47/HSCEI!$B$3,""))</f>
        <v/>
      </c>
      <c r="DF200" s="110">
        <f>IF(AR200="","",IFERROR(AR200*HSCEI!$B$47*HSCEI!$G$47/HSCEI!$B$3,""))</f>
        <v/>
      </c>
      <c r="DG200" s="110">
        <f>IF(AS200="","",IFERROR(AS200*HSCEI!$B$47*HSCEI!$G$47/HSCEI!$B$3,""))</f>
        <v/>
      </c>
      <c r="DH200" s="110">
        <f>IF(AT200="","",IFERROR(AT200*HSCEI!$B$47*HSCEI!$G$47/HSCEI!$B$3,""))</f>
        <v/>
      </c>
      <c r="DI200" s="110">
        <f>IF(AU200="","",IFERROR(AU200*HSCEI!$B$47*HSCEI!$G$47/HSCEI!$B$3,""))</f>
        <v/>
      </c>
      <c r="DJ200" s="110">
        <f>IF(AV200="","",IFERROR(AV200*HSCEI!$B$47*HSCEI!$G$47/HSCEI!$B$3,""))</f>
        <v/>
      </c>
      <c r="DK200" s="110">
        <f>IF(AW200="","",IFERROR(AW200*HSCEI!$B$47*HSCEI!$G$47/HSCEI!$B$3,""))</f>
        <v/>
      </c>
      <c r="DL200" s="110">
        <f>IF(AX200="","",IFERROR(AX200*HSCEI!$B$47*HSCEI!$G$47/HSCEI!$B$3,""))</f>
        <v/>
      </c>
      <c r="DM200" s="110">
        <f>IF(AY200="","",IFERROR(AY200*HSCEI!$B$47*HSCEI!$G$47/HSCEI!$B$3,""))</f>
        <v/>
      </c>
      <c r="DN200" s="110">
        <f>IF(AZ200="","",IFERROR(AZ200*HSCEI!$B$47*HSCEI!$G$47/HSCEI!$B$3,""))</f>
        <v/>
      </c>
      <c r="DO200" s="110">
        <f>IF(BA200="","",IFERROR(BA200*HSCEI!$B$47*HSCEI!$G$47/HSCEI!$B$3,""))</f>
        <v/>
      </c>
      <c r="DP200" s="110">
        <f>IF(BB200="","",IFERROR(BB200*HSCEI!$B$47*HSCEI!$G$47/HSCEI!$B$3,""))</f>
        <v/>
      </c>
      <c r="DQ200" s="110">
        <f>IF(BC200="","",IFERROR(BC200*HSCEI!$B$47*HSCEI!$G$47/HSCEI!$B$3,""))</f>
        <v/>
      </c>
      <c r="DR200" s="110">
        <f>IF(BD200="","",IFERROR(BD200*HSCEI!$B$47*HSCEI!$G$47/HSCEI!$B$3,""))</f>
        <v/>
      </c>
      <c r="DS200" s="110">
        <f>IF(BE200="","",IFERROR(BE200*HSCEI!$B$47*HSCEI!$G$47/HSCEI!$B$3,""))</f>
        <v/>
      </c>
      <c r="DT200" s="110">
        <f>IF(BF200="","",IFERROR(BF200*HSCEI!$B$47*HSCEI!$G$47/HSCEI!$B$3,""))</f>
        <v/>
      </c>
      <c r="DU200" s="110">
        <f>IF(BG200="","",IFERROR(BG200*HSCEI!$B$47*HSCEI!$G$47/HSCEI!$B$3,""))</f>
        <v/>
      </c>
      <c r="DV200" s="110">
        <f>IF(BH200="","",IFERROR(BH200*HSCEI!$B$47*HSCEI!$G$47/HSCEI!$B$3,""))</f>
        <v/>
      </c>
      <c r="DW200" s="110">
        <f>IF(BI200="","",IFERROR(BI200*HSCEI!$B$47*HSCEI!$G$47/HSCEI!$B$3,""))</f>
        <v/>
      </c>
      <c r="DX200" s="110">
        <f>IF(BJ200="","",IFERROR(BJ200*HSCEI!$B$47*HSCEI!$G$47/HSCEI!$B$3,""))</f>
        <v/>
      </c>
      <c r="DY200" s="110">
        <f>IF(BK200="","",IFERROR(BK200*HSCEI!$B$47*HSCEI!$G$47/HSCEI!$B$3,""))</f>
        <v/>
      </c>
      <c r="DZ200" s="110">
        <f>IF(BL200="","",IFERROR(BL200*HSCEI!$B$47*HSCEI!$G$47/HSCEI!$B$3,""))</f>
        <v/>
      </c>
      <c r="EA200" s="110">
        <f>IF(BM200="","",IFERROR(BM200*HSCEI!$B$47*HSCEI!$G$47/HSCEI!$B$3,""))</f>
        <v/>
      </c>
      <c r="EB200" s="110">
        <f>IF(BN200="","",IFERROR(BN200*HSCEI!$B$47*HSCEI!$G$47/HSCEI!$B$3,""))</f>
        <v/>
      </c>
      <c r="EC200" s="110">
        <f>IF(BO200="","",IFERROR(BO200*HSCEI!$B$47*HSCEI!$G$47/HSCEI!$B$3,""))</f>
        <v/>
      </c>
      <c r="EE200" s="39">
        <f>IF(N('Dvd Calendar'!$E$2001)=0,"",IF(('Dvd Calendar'!$E$2001&gt;=GRID_FROM)*('Dvd Calendar'!$E$2001&lt;=GRID_TO)*((('Dvd Calendar'!$E$2001&lt;=VAL_DATE)+(COUNTIF('Dvd Calendar'!$E$2008:$AR$2008,'Dvd Calendar'!$E$2001)=0))&gt;0)=0,"",'Dvd Calendar'!$E$2001*1000000000+ISNUMBER('Dvd Calendar'!$E$2004)*100000000+('Dvd Calendar'!$E$2006=SPECIAL_LBL)*10000000+(N('Dvd Calendar'!$E$2000)&gt;0)*(N('Dvd Calendar'!$E$2000)&lt;=VAL_SERIAL)*1000000+41*1000+1))</f>
        <v/>
      </c>
      <c r="EF200" s="39">
        <f>IF(N('Dvd Calendar'!$F$2001)=0,"",IF(('Dvd Calendar'!$F$2001&gt;=GRID_FROM)*('Dvd Calendar'!$F$2001&lt;=GRID_TO)*((('Dvd Calendar'!$F$2001&lt;=VAL_DATE)+(COUNTIF('Dvd Calendar'!$E$2008:$AR$2008,'Dvd Calendar'!$F$2001)=0))&gt;0)=0,"",'Dvd Calendar'!$F$2001*1000000000+ISNUMBER('Dvd Calendar'!$F$2004)*100000000+('Dvd Calendar'!$F$2006=SPECIAL_LBL)*10000000+(N('Dvd Calendar'!$F$2000)&gt;0)*(N('Dvd Calendar'!$F$2000)&lt;=VAL_SERIAL)*1000000+41*1000+2))</f>
        <v/>
      </c>
      <c r="EG200" s="39">
        <f>IF(N('Dvd Calendar'!$G$2001)=0,"",IF(('Dvd Calendar'!$G$2001&gt;=GRID_FROM)*('Dvd Calendar'!$G$2001&lt;=GRID_TO)*((('Dvd Calendar'!$G$2001&lt;=VAL_DATE)+(COUNTIF('Dvd Calendar'!$E$2008:$AR$2008,'Dvd Calendar'!$G$2001)=0))&gt;0)=0,"",'Dvd Calendar'!$G$2001*1000000000+ISNUMBER('Dvd Calendar'!$G$2004)*100000000+('Dvd Calendar'!$G$2006=SPECIAL_LBL)*10000000+(N('Dvd Calendar'!$G$2000)&gt;0)*(N('Dvd Calendar'!$G$2000)&lt;=VAL_SERIAL)*1000000+41*1000+3))</f>
        <v/>
      </c>
      <c r="EH200" s="39">
        <f>IF(N('Dvd Calendar'!$H$2001)=0,"",IF(('Dvd Calendar'!$H$2001&gt;=GRID_FROM)*('Dvd Calendar'!$H$2001&lt;=GRID_TO)*((('Dvd Calendar'!$H$2001&lt;=VAL_DATE)+(COUNTIF('Dvd Calendar'!$E$2008:$AR$2008,'Dvd Calendar'!$H$2001)=0))&gt;0)=0,"",'Dvd Calendar'!$H$2001*1000000000+ISNUMBER('Dvd Calendar'!$H$2004)*100000000+('Dvd Calendar'!$H$2006=SPECIAL_LBL)*10000000+(N('Dvd Calendar'!$H$2000)&gt;0)*(N('Dvd Calendar'!$H$2000)&lt;=VAL_SERIAL)*1000000+41*1000+4))</f>
        <v/>
      </c>
      <c r="EI200" s="39">
        <f>IF(N('Dvd Calendar'!$I$2001)=0,"",IF(('Dvd Calendar'!$I$2001&gt;=GRID_FROM)*('Dvd Calendar'!$I$2001&lt;=GRID_TO)*((('Dvd Calendar'!$I$2001&lt;=VAL_DATE)+(COUNTIF('Dvd Calendar'!$E$2008:$AR$2008,'Dvd Calendar'!$I$2001)=0))&gt;0)=0,"",'Dvd Calendar'!$I$2001*1000000000+ISNUMBER('Dvd Calendar'!$I$2004)*100000000+('Dvd Calendar'!$I$2006=SPECIAL_LBL)*10000000+(N('Dvd Calendar'!$I$2000)&gt;0)*(N('Dvd Calendar'!$I$2000)&lt;=VAL_SERIAL)*1000000+41*1000+5))</f>
        <v/>
      </c>
      <c r="EJ200" s="39">
        <f>IF(N('Dvd Calendar'!$J$2001)=0,"",IF(('Dvd Calendar'!$J$2001&gt;=GRID_FROM)*('Dvd Calendar'!$J$2001&lt;=GRID_TO)*((('Dvd Calendar'!$J$2001&lt;=VAL_DATE)+(COUNTIF('Dvd Calendar'!$E$2008:$AR$2008,'Dvd Calendar'!$J$2001)=0))&gt;0)=0,"",'Dvd Calendar'!$J$2001*1000000000+ISNUMBER('Dvd Calendar'!$J$2004)*100000000+('Dvd Calendar'!$J$2006=SPECIAL_LBL)*10000000+(N('Dvd Calendar'!$J$2000)&gt;0)*(N('Dvd Calendar'!$J$2000)&lt;=VAL_SERIAL)*1000000+41*1000+6))</f>
        <v/>
      </c>
      <c r="EK200" s="39">
        <f>IF(N('Dvd Calendar'!$K$2001)=0,"",IF(('Dvd Calendar'!$K$2001&gt;=GRID_FROM)*('Dvd Calendar'!$K$2001&lt;=GRID_TO)*((('Dvd Calendar'!$K$2001&lt;=VAL_DATE)+(COUNTIF('Dvd Calendar'!$E$2008:$AR$2008,'Dvd Calendar'!$K$2001)=0))&gt;0)=0,"",'Dvd Calendar'!$K$2001*1000000000+ISNUMBER('Dvd Calendar'!$K$2004)*100000000+('Dvd Calendar'!$K$2006=SPECIAL_LBL)*10000000+(N('Dvd Calendar'!$K$2000)&gt;0)*(N('Dvd Calendar'!$K$2000)&lt;=VAL_SERIAL)*1000000+41*1000+7))</f>
        <v/>
      </c>
      <c r="EL200" s="39">
        <f>IF(N('Dvd Calendar'!$L$2001)=0,"",IF(('Dvd Calendar'!$L$2001&gt;=GRID_FROM)*('Dvd Calendar'!$L$2001&lt;=GRID_TO)*((('Dvd Calendar'!$L$2001&lt;=VAL_DATE)+(COUNTIF('Dvd Calendar'!$E$2008:$AR$2008,'Dvd Calendar'!$L$2001)=0))&gt;0)=0,"",'Dvd Calendar'!$L$2001*1000000000+ISNUMBER('Dvd Calendar'!$L$2004)*100000000+('Dvd Calendar'!$L$2006=SPECIAL_LBL)*10000000+(N('Dvd Calendar'!$L$2000)&gt;0)*(N('Dvd Calendar'!$L$2000)&lt;=VAL_SERIAL)*1000000+41*1000+8))</f>
        <v/>
      </c>
      <c r="EM200" s="39">
        <f>IF(N('Dvd Calendar'!$M$2001)=0,"",IF(('Dvd Calendar'!$M$2001&gt;=GRID_FROM)*('Dvd Calendar'!$M$2001&lt;=GRID_TO)*((('Dvd Calendar'!$M$2001&lt;=VAL_DATE)+(COUNTIF('Dvd Calendar'!$E$2008:$AR$2008,'Dvd Calendar'!$M$2001)=0))&gt;0)=0,"",'Dvd Calendar'!$M$2001*1000000000+ISNUMBER('Dvd Calendar'!$M$2004)*100000000+('Dvd Calendar'!$M$2006=SPECIAL_LBL)*10000000+(N('Dvd Calendar'!$M$2000)&gt;0)*(N('Dvd Calendar'!$M$2000)&lt;=VAL_SERIAL)*1000000+41*1000+9))</f>
        <v/>
      </c>
      <c r="EN200" s="39">
        <f>IF(N('Dvd Calendar'!$N$2001)=0,"",IF(('Dvd Calendar'!$N$2001&gt;=GRID_FROM)*('Dvd Calendar'!$N$2001&lt;=GRID_TO)*((('Dvd Calendar'!$N$2001&lt;=VAL_DATE)+(COUNTIF('Dvd Calendar'!$E$2008:$AR$2008,'Dvd Calendar'!$N$2001)=0))&gt;0)=0,"",'Dvd Calendar'!$N$2001*1000000000+ISNUMBER('Dvd Calendar'!$N$2004)*100000000+('Dvd Calendar'!$N$2006=SPECIAL_LBL)*10000000+(N('Dvd Calendar'!$N$2000)&gt;0)*(N('Dvd Calendar'!$N$2000)&lt;=VAL_SERIAL)*1000000+41*1000+10))</f>
        <v/>
      </c>
      <c r="EO200" s="39">
        <f>IF(N('Dvd Calendar'!$O$2001)=0,"",IF(('Dvd Calendar'!$O$2001&gt;=GRID_FROM)*('Dvd Calendar'!$O$2001&lt;=GRID_TO)*((('Dvd Calendar'!$O$2001&lt;=VAL_DATE)+(COUNTIF('Dvd Calendar'!$E$2008:$AR$2008,'Dvd Calendar'!$O$2001)=0))&gt;0)=0,"",'Dvd Calendar'!$O$2001*1000000000+ISNUMBER('Dvd Calendar'!$O$2004)*100000000+('Dvd Calendar'!$O$2006=SPECIAL_LBL)*10000000+(N('Dvd Calendar'!$O$2000)&gt;0)*(N('Dvd Calendar'!$O$2000)&lt;=VAL_SERIAL)*1000000+41*1000+11))</f>
        <v/>
      </c>
      <c r="EP200" s="39">
        <f>IF(N('Dvd Calendar'!$P$2001)=0,"",IF(('Dvd Calendar'!$P$2001&gt;=GRID_FROM)*('Dvd Calendar'!$P$2001&lt;=GRID_TO)*((('Dvd Calendar'!$P$2001&lt;=VAL_DATE)+(COUNTIF('Dvd Calendar'!$E$2008:$AR$2008,'Dvd Calendar'!$P$2001)=0))&gt;0)=0,"",'Dvd Calendar'!$P$2001*1000000000+ISNUMBER('Dvd Calendar'!$P$2004)*100000000+('Dvd Calendar'!$P$2006=SPECIAL_LBL)*10000000+(N('Dvd Calendar'!$P$2000)&gt;0)*(N('Dvd Calendar'!$P$2000)&lt;=VAL_SERIAL)*1000000+41*1000+12))</f>
        <v/>
      </c>
      <c r="EQ200" s="39">
        <f>IF(N('Dvd Calendar'!$Q$2001)=0,"",IF(('Dvd Calendar'!$Q$2001&gt;=GRID_FROM)*('Dvd Calendar'!$Q$2001&lt;=GRID_TO)*((('Dvd Calendar'!$Q$2001&lt;=VAL_DATE)+(COUNTIF('Dvd Calendar'!$E$2008:$AR$2008,'Dvd Calendar'!$Q$2001)=0))&gt;0)=0,"",'Dvd Calendar'!$Q$2001*1000000000+ISNUMBER('Dvd Calendar'!$Q$2004)*100000000+('Dvd Calendar'!$Q$2006=SPECIAL_LBL)*10000000+(N('Dvd Calendar'!$Q$2000)&gt;0)*(N('Dvd Calendar'!$Q$2000)&lt;=VAL_SERIAL)*1000000+41*1000+13))</f>
        <v/>
      </c>
      <c r="ER200" s="39">
        <f>IF(N('Dvd Calendar'!$R$2001)=0,"",IF(('Dvd Calendar'!$R$2001&gt;=GRID_FROM)*('Dvd Calendar'!$R$2001&lt;=GRID_TO)*((('Dvd Calendar'!$R$2001&lt;=VAL_DATE)+(COUNTIF('Dvd Calendar'!$E$2008:$AR$2008,'Dvd Calendar'!$R$2001)=0))&gt;0)=0,"",'Dvd Calendar'!$R$2001*1000000000+ISNUMBER('Dvd Calendar'!$R$2004)*100000000+('Dvd Calendar'!$R$2006=SPECIAL_LBL)*10000000+(N('Dvd Calendar'!$R$2000)&gt;0)*(N('Dvd Calendar'!$R$2000)&lt;=VAL_SERIAL)*1000000+41*1000+14))</f>
        <v/>
      </c>
      <c r="ES200" s="39">
        <f>IF(N('Dvd Calendar'!$S$2001)=0,"",IF(('Dvd Calendar'!$S$2001&gt;=GRID_FROM)*('Dvd Calendar'!$S$2001&lt;=GRID_TO)*((('Dvd Calendar'!$S$2001&lt;=VAL_DATE)+(COUNTIF('Dvd Calendar'!$E$2008:$AR$2008,'Dvd Calendar'!$S$2001)=0))&gt;0)=0,"",'Dvd Calendar'!$S$2001*1000000000+ISNUMBER('Dvd Calendar'!$S$2004)*100000000+('Dvd Calendar'!$S$2006=SPECIAL_LBL)*10000000+(N('Dvd Calendar'!$S$2000)&gt;0)*(N('Dvd Calendar'!$S$2000)&lt;=VAL_SERIAL)*1000000+41*1000+15))</f>
        <v/>
      </c>
      <c r="ET200" s="39">
        <f>IF(N('Dvd Calendar'!$T$2001)=0,"",IF(('Dvd Calendar'!$T$2001&gt;=GRID_FROM)*('Dvd Calendar'!$T$2001&lt;=GRID_TO)*((('Dvd Calendar'!$T$2001&lt;=VAL_DATE)+(COUNTIF('Dvd Calendar'!$E$2008:$AR$2008,'Dvd Calendar'!$T$2001)=0))&gt;0)=0,"",'Dvd Calendar'!$T$2001*1000000000+ISNUMBER('Dvd Calendar'!$T$2004)*100000000+('Dvd Calendar'!$T$2006=SPECIAL_LBL)*10000000+(N('Dvd Calendar'!$T$2000)&gt;0)*(N('Dvd Calendar'!$T$2000)&lt;=VAL_SERIAL)*1000000+41*1000+16))</f>
        <v/>
      </c>
      <c r="EU200" s="39">
        <f>IF(N('Dvd Calendar'!$U$2001)=0,"",IF(('Dvd Calendar'!$U$2001&gt;=GRID_FROM)*('Dvd Calendar'!$U$2001&lt;=GRID_TO)*((('Dvd Calendar'!$U$2001&lt;=VAL_DATE)+(COUNTIF('Dvd Calendar'!$E$2008:$AR$2008,'Dvd Calendar'!$U$2001)=0))&gt;0)=0,"",'Dvd Calendar'!$U$2001*1000000000+ISNUMBER('Dvd Calendar'!$U$2004)*100000000+('Dvd Calendar'!$U$2006=SPECIAL_LBL)*10000000+(N('Dvd Calendar'!$U$2000)&gt;0)*(N('Dvd Calendar'!$U$2000)&lt;=VAL_SERIAL)*1000000+41*1000+17))</f>
        <v/>
      </c>
      <c r="EV200" s="39">
        <f>IF(N('Dvd Calendar'!$V$2001)=0,"",IF(('Dvd Calendar'!$V$2001&gt;=GRID_FROM)*('Dvd Calendar'!$V$2001&lt;=GRID_TO)*((('Dvd Calendar'!$V$2001&lt;=VAL_DATE)+(COUNTIF('Dvd Calendar'!$E$2008:$AR$2008,'Dvd Calendar'!$V$2001)=0))&gt;0)=0,"",'Dvd Calendar'!$V$2001*1000000000+ISNUMBER('Dvd Calendar'!$V$2004)*100000000+('Dvd Calendar'!$V$2006=SPECIAL_LBL)*10000000+(N('Dvd Calendar'!$V$2000)&gt;0)*(N('Dvd Calendar'!$V$2000)&lt;=VAL_SERIAL)*1000000+41*1000+18))</f>
        <v/>
      </c>
      <c r="EW200" s="39">
        <f>IF(N('Dvd Calendar'!$W$2001)=0,"",IF(('Dvd Calendar'!$W$2001&gt;=GRID_FROM)*('Dvd Calendar'!$W$2001&lt;=GRID_TO)*((('Dvd Calendar'!$W$2001&lt;=VAL_DATE)+(COUNTIF('Dvd Calendar'!$E$2008:$AR$2008,'Dvd Calendar'!$W$2001)=0))&gt;0)=0,"",'Dvd Calendar'!$W$2001*1000000000+ISNUMBER('Dvd Calendar'!$W$2004)*100000000+('Dvd Calendar'!$W$2006=SPECIAL_LBL)*10000000+(N('Dvd Calendar'!$W$2000)&gt;0)*(N('Dvd Calendar'!$W$2000)&lt;=VAL_SERIAL)*1000000+41*1000+19))</f>
        <v/>
      </c>
      <c r="EX200" s="39">
        <f>IF(N('Dvd Calendar'!$X$2001)=0,"",IF(('Dvd Calendar'!$X$2001&gt;=GRID_FROM)*('Dvd Calendar'!$X$2001&lt;=GRID_TO)*((('Dvd Calendar'!$X$2001&lt;=VAL_DATE)+(COUNTIF('Dvd Calendar'!$E$2008:$AR$2008,'Dvd Calendar'!$X$2001)=0))&gt;0)=0,"",'Dvd Calendar'!$X$2001*1000000000+ISNUMBER('Dvd Calendar'!$X$2004)*100000000+('Dvd Calendar'!$X$2006=SPECIAL_LBL)*10000000+(N('Dvd Calendar'!$X$2000)&gt;0)*(N('Dvd Calendar'!$X$2000)&lt;=VAL_SERIAL)*1000000+41*1000+20))</f>
        <v/>
      </c>
      <c r="EY200" s="39">
        <f>IF(N('Dvd Calendar'!$Y$2001)=0,"",IF(('Dvd Calendar'!$Y$2001&gt;=GRID_FROM)*('Dvd Calendar'!$Y$2001&lt;=GRID_TO)*((('Dvd Calendar'!$Y$2001&lt;=VAL_DATE)+(COUNTIF('Dvd Calendar'!$E$2008:$AR$2008,'Dvd Calendar'!$Y$2001)=0))&gt;0)=0,"",'Dvd Calendar'!$Y$2001*1000000000+ISNUMBER('Dvd Calendar'!$Y$2004)*100000000+('Dvd Calendar'!$Y$2006=SPECIAL_LBL)*10000000+(N('Dvd Calendar'!$Y$2000)&gt;0)*(N('Dvd Calendar'!$Y$2000)&lt;=VAL_SERIAL)*1000000+41*1000+21))</f>
        <v/>
      </c>
      <c r="EZ200" s="39">
        <f>IF(N('Dvd Calendar'!$Z$2001)=0,"",IF(('Dvd Calendar'!$Z$2001&gt;=GRID_FROM)*('Dvd Calendar'!$Z$2001&lt;=GRID_TO)*((('Dvd Calendar'!$Z$2001&lt;=VAL_DATE)+(COUNTIF('Dvd Calendar'!$E$2008:$AR$2008,'Dvd Calendar'!$Z$2001)=0))&gt;0)=0,"",'Dvd Calendar'!$Z$2001*1000000000+ISNUMBER('Dvd Calendar'!$Z$2004)*100000000+('Dvd Calendar'!$Z$2006=SPECIAL_LBL)*10000000+(N('Dvd Calendar'!$Z$2000)&gt;0)*(N('Dvd Calendar'!$Z$2000)&lt;=VAL_SERIAL)*1000000+41*1000+22))</f>
        <v/>
      </c>
      <c r="FA200" s="39">
        <f>IF(N('Dvd Calendar'!$AA$2001)=0,"",IF(('Dvd Calendar'!$AA$2001&gt;=GRID_FROM)*('Dvd Calendar'!$AA$2001&lt;=GRID_TO)*((('Dvd Calendar'!$AA$2001&lt;=VAL_DATE)+(COUNTIF('Dvd Calendar'!$E$2008:$AR$2008,'Dvd Calendar'!$AA$2001)=0))&gt;0)=0,"",'Dvd Calendar'!$AA$2001*1000000000+ISNUMBER('Dvd Calendar'!$AA$2004)*100000000+('Dvd Calendar'!$AA$2006=SPECIAL_LBL)*10000000+(N('Dvd Calendar'!$AA$2000)&gt;0)*(N('Dvd Calendar'!$AA$2000)&lt;=VAL_SERIAL)*1000000+41*1000+23))</f>
        <v/>
      </c>
      <c r="FB200" s="39">
        <f>IF(N('Dvd Calendar'!$AB$2001)=0,"",IF(('Dvd Calendar'!$AB$2001&gt;=GRID_FROM)*('Dvd Calendar'!$AB$2001&lt;=GRID_TO)*((('Dvd Calendar'!$AB$2001&lt;=VAL_DATE)+(COUNTIF('Dvd Calendar'!$E$2008:$AR$2008,'Dvd Calendar'!$AB$2001)=0))&gt;0)=0,"",'Dvd Calendar'!$AB$2001*1000000000+ISNUMBER('Dvd Calendar'!$AB$2004)*100000000+('Dvd Calendar'!$AB$2006=SPECIAL_LBL)*10000000+(N('Dvd Calendar'!$AB$2000)&gt;0)*(N('Dvd Calendar'!$AB$2000)&lt;=VAL_SERIAL)*1000000+41*1000+24))</f>
        <v/>
      </c>
      <c r="FC200" s="39">
        <f>IF(N('Dvd Calendar'!$AC$2001)=0,"",IF(('Dvd Calendar'!$AC$2001&gt;=GRID_FROM)*('Dvd Calendar'!$AC$2001&lt;=GRID_TO)*((('Dvd Calendar'!$AC$2001&lt;=VAL_DATE)+(COUNTIF('Dvd Calendar'!$E$2008:$AR$2008,'Dvd Calendar'!$AC$2001)=0))&gt;0)=0,"",'Dvd Calendar'!$AC$2001*1000000000+ISNUMBER('Dvd Calendar'!$AC$2004)*100000000+('Dvd Calendar'!$AC$2006=SPECIAL_LBL)*10000000+(N('Dvd Calendar'!$AC$2000)&gt;0)*(N('Dvd Calendar'!$AC$2000)&lt;=VAL_SERIAL)*1000000+41*1000+25))</f>
        <v/>
      </c>
      <c r="FD200" s="39">
        <f>IF(N('Dvd Calendar'!$AD$2001)=0,"",IF(('Dvd Calendar'!$AD$2001&gt;=GRID_FROM)*('Dvd Calendar'!$AD$2001&lt;=GRID_TO)*((('Dvd Calendar'!$AD$2001&lt;=VAL_DATE)+(COUNTIF('Dvd Calendar'!$E$2008:$AR$2008,'Dvd Calendar'!$AD$2001)=0))&gt;0)=0,"",'Dvd Calendar'!$AD$2001*1000000000+ISNUMBER('Dvd Calendar'!$AD$2004)*100000000+('Dvd Calendar'!$AD$2006=SPECIAL_LBL)*10000000+(N('Dvd Calendar'!$AD$2000)&gt;0)*(N('Dvd Calendar'!$AD$2000)&lt;=VAL_SERIAL)*1000000+41*1000+26))</f>
        <v/>
      </c>
      <c r="FE200" s="39">
        <f>IF(N('Dvd Calendar'!$AE$2001)=0,"",IF(('Dvd Calendar'!$AE$2001&gt;=GRID_FROM)*('Dvd Calendar'!$AE$2001&lt;=GRID_TO)*((('Dvd Calendar'!$AE$2001&lt;=VAL_DATE)+(COUNTIF('Dvd Calendar'!$E$2008:$AR$2008,'Dvd Calendar'!$AE$2001)=0))&gt;0)=0,"",'Dvd Calendar'!$AE$2001*1000000000+ISNUMBER('Dvd Calendar'!$AE$2004)*100000000+('Dvd Calendar'!$AE$2006=SPECIAL_LBL)*10000000+(N('Dvd Calendar'!$AE$2000)&gt;0)*(N('Dvd Calendar'!$AE$2000)&lt;=VAL_SERIAL)*1000000+41*1000+27))</f>
        <v/>
      </c>
      <c r="FF200" s="39">
        <f>IF(N('Dvd Calendar'!$AF$2001)=0,"",IF(('Dvd Calendar'!$AF$2001&gt;=GRID_FROM)*('Dvd Calendar'!$AF$2001&lt;=GRID_TO)*((('Dvd Calendar'!$AF$2001&lt;=VAL_DATE)+(COUNTIF('Dvd Calendar'!$E$2008:$AR$2008,'Dvd Calendar'!$AF$2001)=0))&gt;0)=0,"",'Dvd Calendar'!$AF$2001*1000000000+ISNUMBER('Dvd Calendar'!$AF$2004)*100000000+('Dvd Calendar'!$AF$2006=SPECIAL_LBL)*10000000+(N('Dvd Calendar'!$AF$2000)&gt;0)*(N('Dvd Calendar'!$AF$2000)&lt;=VAL_SERIAL)*1000000+41*1000+28))</f>
        <v/>
      </c>
      <c r="FG200" s="39">
        <f>IF(N('Dvd Calendar'!$AG$2001)=0,"",IF(('Dvd Calendar'!$AG$2001&gt;=GRID_FROM)*('Dvd Calendar'!$AG$2001&lt;=GRID_TO)*((('Dvd Calendar'!$AG$2001&lt;=VAL_DATE)+(COUNTIF('Dvd Calendar'!$E$2008:$AR$2008,'Dvd Calendar'!$AG$2001)=0))&gt;0)=0,"",'Dvd Calendar'!$AG$2001*1000000000+ISNUMBER('Dvd Calendar'!$AG$2004)*100000000+('Dvd Calendar'!$AG$2006=SPECIAL_LBL)*10000000+(N('Dvd Calendar'!$AG$2000)&gt;0)*(N('Dvd Calendar'!$AG$2000)&lt;=VAL_SERIAL)*1000000+41*1000+29))</f>
        <v/>
      </c>
      <c r="FH200" s="39">
        <f>IF(N('Dvd Calendar'!$AH$2001)=0,"",IF(('Dvd Calendar'!$AH$2001&gt;=GRID_FROM)*('Dvd Calendar'!$AH$2001&lt;=GRID_TO)*((('Dvd Calendar'!$AH$2001&lt;=VAL_DATE)+(COUNTIF('Dvd Calendar'!$E$2008:$AR$2008,'Dvd Calendar'!$AH$2001)=0))&gt;0)=0,"",'Dvd Calendar'!$AH$2001*1000000000+ISNUMBER('Dvd Calendar'!$AH$2004)*100000000+('Dvd Calendar'!$AH$2006=SPECIAL_LBL)*10000000+(N('Dvd Calendar'!$AH$2000)&gt;0)*(N('Dvd Calendar'!$AH$2000)&lt;=VAL_SERIAL)*1000000+41*1000+30))</f>
        <v/>
      </c>
      <c r="FI200" s="39">
        <f>IF(N('Dvd Calendar'!$AI$2001)=0,"",IF(('Dvd Calendar'!$AI$2001&gt;=GRID_FROM)*('Dvd Calendar'!$AI$2001&lt;=GRID_TO)*((('Dvd Calendar'!$AI$2001&lt;=VAL_DATE)+(COUNTIF('Dvd Calendar'!$E$2008:$AR$2008,'Dvd Calendar'!$AI$2001)=0))&gt;0)=0,"",'Dvd Calendar'!$AI$2001*1000000000+ISNUMBER('Dvd Calendar'!$AI$2004)*100000000+('Dvd Calendar'!$AI$2006=SPECIAL_LBL)*10000000+(N('Dvd Calendar'!$AI$2000)&gt;0)*(N('Dvd Calendar'!$AI$2000)&lt;=VAL_SERIAL)*1000000+41*1000+31))</f>
        <v/>
      </c>
      <c r="FJ200" s="39">
        <f>IF(N('Dvd Calendar'!$AJ$2001)=0,"",IF(('Dvd Calendar'!$AJ$2001&gt;=GRID_FROM)*('Dvd Calendar'!$AJ$2001&lt;=GRID_TO)*((('Dvd Calendar'!$AJ$2001&lt;=VAL_DATE)+(COUNTIF('Dvd Calendar'!$E$2008:$AR$2008,'Dvd Calendar'!$AJ$2001)=0))&gt;0)=0,"",'Dvd Calendar'!$AJ$2001*1000000000+ISNUMBER('Dvd Calendar'!$AJ$2004)*100000000+('Dvd Calendar'!$AJ$2006=SPECIAL_LBL)*10000000+(N('Dvd Calendar'!$AJ$2000)&gt;0)*(N('Dvd Calendar'!$AJ$2000)&lt;=VAL_SERIAL)*1000000+41*1000+32))</f>
        <v/>
      </c>
      <c r="FK200" s="39">
        <f>IF(N('Dvd Calendar'!$AK$2001)=0,"",IF(('Dvd Calendar'!$AK$2001&gt;=GRID_FROM)*('Dvd Calendar'!$AK$2001&lt;=GRID_TO)*((('Dvd Calendar'!$AK$2001&lt;=VAL_DATE)+(COUNTIF('Dvd Calendar'!$E$2008:$AR$2008,'Dvd Calendar'!$AK$2001)=0))&gt;0)=0,"",'Dvd Calendar'!$AK$2001*1000000000+ISNUMBER('Dvd Calendar'!$AK$2004)*100000000+('Dvd Calendar'!$AK$2006=SPECIAL_LBL)*10000000+(N('Dvd Calendar'!$AK$2000)&gt;0)*(N('Dvd Calendar'!$AK$2000)&lt;=VAL_SERIAL)*1000000+41*1000+33))</f>
        <v/>
      </c>
      <c r="FL200" s="39">
        <f>IF(N('Dvd Calendar'!$AL$2001)=0,"",IF(('Dvd Calendar'!$AL$2001&gt;=GRID_FROM)*('Dvd Calendar'!$AL$2001&lt;=GRID_TO)*((('Dvd Calendar'!$AL$2001&lt;=VAL_DATE)+(COUNTIF('Dvd Calendar'!$E$2008:$AR$2008,'Dvd Calendar'!$AL$2001)=0))&gt;0)=0,"",'Dvd Calendar'!$AL$2001*1000000000+ISNUMBER('Dvd Calendar'!$AL$2004)*100000000+('Dvd Calendar'!$AL$2006=SPECIAL_LBL)*10000000+(N('Dvd Calendar'!$AL$2000)&gt;0)*(N('Dvd Calendar'!$AL$2000)&lt;=VAL_SERIAL)*1000000+41*1000+34))</f>
        <v/>
      </c>
      <c r="FM200" s="39">
        <f>IF(N('Dvd Calendar'!$AM$2001)=0,"",IF(('Dvd Calendar'!$AM$2001&gt;=GRID_FROM)*('Dvd Calendar'!$AM$2001&lt;=GRID_TO)*((('Dvd Calendar'!$AM$2001&lt;=VAL_DATE)+(COUNTIF('Dvd Calendar'!$E$2008:$AR$2008,'Dvd Calendar'!$AM$2001)=0))&gt;0)=0,"",'Dvd Calendar'!$AM$2001*1000000000+ISNUMBER('Dvd Calendar'!$AM$2004)*100000000+('Dvd Calendar'!$AM$2006=SPECIAL_LBL)*10000000+(N('Dvd Calendar'!$AM$2000)&gt;0)*(N('Dvd Calendar'!$AM$2000)&lt;=VAL_SERIAL)*1000000+41*1000+35))</f>
        <v/>
      </c>
      <c r="FN200" s="39">
        <f>IF(N('Dvd Calendar'!$AN$2001)=0,"",IF(('Dvd Calendar'!$AN$2001&gt;=GRID_FROM)*('Dvd Calendar'!$AN$2001&lt;=GRID_TO)*((('Dvd Calendar'!$AN$2001&lt;=VAL_DATE)+(COUNTIF('Dvd Calendar'!$E$2008:$AR$2008,'Dvd Calendar'!$AN$2001)=0))&gt;0)=0,"",'Dvd Calendar'!$AN$2001*1000000000+ISNUMBER('Dvd Calendar'!$AN$2004)*100000000+('Dvd Calendar'!$AN$2006=SPECIAL_LBL)*10000000+(N('Dvd Calendar'!$AN$2000)&gt;0)*(N('Dvd Calendar'!$AN$2000)&lt;=VAL_SERIAL)*1000000+41*1000+36))</f>
        <v/>
      </c>
      <c r="FO200" s="39">
        <f>IF(N('Dvd Calendar'!$AO$2001)=0,"",IF(('Dvd Calendar'!$AO$2001&gt;=GRID_FROM)*('Dvd Calendar'!$AO$2001&lt;=GRID_TO)*((('Dvd Calendar'!$AO$2001&lt;=VAL_DATE)+(COUNTIF('Dvd Calendar'!$E$2008:$AR$2008,'Dvd Calendar'!$AO$2001)=0))&gt;0)=0,"",'Dvd Calendar'!$AO$2001*1000000000+ISNUMBER('Dvd Calendar'!$AO$2004)*100000000+('Dvd Calendar'!$AO$2006=SPECIAL_LBL)*10000000+(N('Dvd Calendar'!$AO$2000)&gt;0)*(N('Dvd Calendar'!$AO$2000)&lt;=VAL_SERIAL)*1000000+41*1000+37))</f>
        <v/>
      </c>
      <c r="FP200" s="39">
        <f>IF(N('Dvd Calendar'!$AP$2001)=0,"",IF(('Dvd Calendar'!$AP$2001&gt;=GRID_FROM)*('Dvd Calendar'!$AP$2001&lt;=GRID_TO)*((('Dvd Calendar'!$AP$2001&lt;=VAL_DATE)+(COUNTIF('Dvd Calendar'!$E$2008:$AR$2008,'Dvd Calendar'!$AP$2001)=0))&gt;0)=0,"",'Dvd Calendar'!$AP$2001*1000000000+ISNUMBER('Dvd Calendar'!$AP$2004)*100000000+('Dvd Calendar'!$AP$2006=SPECIAL_LBL)*10000000+(N('Dvd Calendar'!$AP$2000)&gt;0)*(N('Dvd Calendar'!$AP$2000)&lt;=VAL_SERIAL)*1000000+41*1000+38))</f>
        <v/>
      </c>
      <c r="FQ200" s="39">
        <f>IF(N('Dvd Calendar'!$AQ$2001)=0,"",IF(('Dvd Calendar'!$AQ$2001&gt;=GRID_FROM)*('Dvd Calendar'!$AQ$2001&lt;=GRID_TO)*((('Dvd Calendar'!$AQ$2001&lt;=VAL_DATE)+(COUNTIF('Dvd Calendar'!$E$2008:$AR$2008,'Dvd Calendar'!$AQ$2001)=0))&gt;0)=0,"",'Dvd Calendar'!$AQ$2001*1000000000+ISNUMBER('Dvd Calendar'!$AQ$2004)*100000000+('Dvd Calendar'!$AQ$2006=SPECIAL_LBL)*10000000+(N('Dvd Calendar'!$AQ$2000)&gt;0)*(N('Dvd Calendar'!$AQ$2000)&lt;=VAL_SERIAL)*1000000+41*1000+39))</f>
        <v/>
      </c>
      <c r="FR200" s="39">
        <f>IF(N('Dvd Calendar'!$AR$2001)=0,"",IF(('Dvd Calendar'!$AR$2001&gt;=GRID_FROM)*('Dvd Calendar'!$AR$2001&lt;=GRID_TO)*((('Dvd Calendar'!$AR$2001&lt;=VAL_DATE)+(COUNTIF('Dvd Calendar'!$E$2008:$AR$2008,'Dvd Calendar'!$AR$2001)=0))&gt;0)=0,"",'Dvd Calendar'!$AR$2001*1000000000+ISNUMBER('Dvd Calendar'!$AR$2004)*100000000+('Dvd Calendar'!$AR$2006=SPECIAL_LBL)*10000000+(N('Dvd Calendar'!$AR$2000)&gt;0)*(N('Dvd Calendar'!$AR$2000)&lt;=VAL_SERIAL)*1000000+41*1000+40))</f>
        <v/>
      </c>
      <c r="FS200" s="39">
        <f>IF(N('Dvd Calendar'!$E$2008)=0,"",IF(('Dvd Calendar'!$E$2008&gt;=GRID_FROM)*('Dvd Calendar'!$E$2008&lt;=GRID_TO)*('Dvd Calendar'!$E$2008&gt;VAL_DATE)=0,"",'Dvd Calendar'!$E$2008*1000000000+ISNUMBER('Dvd Calendar'!$E$2009)*100000000+0*10000000+(N('Dvd Calendar'!$E$2007)&gt;0)*(N('Dvd Calendar'!$E$2007)&lt;=VAL_SERIAL)*1000000+41*1000+41))</f>
        <v/>
      </c>
      <c r="FT200" s="39">
        <f>IF(N('Dvd Calendar'!$F$2008)=0,"",IF(('Dvd Calendar'!$F$2008&gt;=GRID_FROM)*('Dvd Calendar'!$F$2008&lt;=GRID_TO)*('Dvd Calendar'!$F$2008&gt;VAL_DATE)=0,"",'Dvd Calendar'!$F$2008*1000000000+ISNUMBER('Dvd Calendar'!$F$2009)*100000000+0*10000000+(N('Dvd Calendar'!$F$2007)&gt;0)*(N('Dvd Calendar'!$F$2007)&lt;=VAL_SERIAL)*1000000+41*1000+42))</f>
        <v/>
      </c>
      <c r="FU200" s="39">
        <f>IF(N('Dvd Calendar'!$G$2008)=0,"",IF(('Dvd Calendar'!$G$2008&gt;=GRID_FROM)*('Dvd Calendar'!$G$2008&lt;=GRID_TO)*('Dvd Calendar'!$G$2008&gt;VAL_DATE)=0,"",'Dvd Calendar'!$G$2008*1000000000+ISNUMBER('Dvd Calendar'!$G$2009)*100000000+0*10000000+(N('Dvd Calendar'!$G$2007)&gt;0)*(N('Dvd Calendar'!$G$2007)&lt;=VAL_SERIAL)*1000000+41*1000+43))</f>
        <v/>
      </c>
      <c r="FV200" s="39">
        <f>IF(N('Dvd Calendar'!$H$2008)=0,"",IF(('Dvd Calendar'!$H$2008&gt;=GRID_FROM)*('Dvd Calendar'!$H$2008&lt;=GRID_TO)*('Dvd Calendar'!$H$2008&gt;VAL_DATE)=0,"",'Dvd Calendar'!$H$2008*1000000000+ISNUMBER('Dvd Calendar'!$H$2009)*100000000+0*10000000+(N('Dvd Calendar'!$H$2007)&gt;0)*(N('Dvd Calendar'!$H$2007)&lt;=VAL_SERIAL)*1000000+41*1000+44))</f>
        <v/>
      </c>
      <c r="FW200" s="39">
        <f>IF(N('Dvd Calendar'!$I$2008)=0,"",IF(('Dvd Calendar'!$I$2008&gt;=GRID_FROM)*('Dvd Calendar'!$I$2008&lt;=GRID_TO)*('Dvd Calendar'!$I$2008&gt;VAL_DATE)=0,"",'Dvd Calendar'!$I$2008*1000000000+ISNUMBER('Dvd Calendar'!$I$2009)*100000000+0*10000000+(N('Dvd Calendar'!$I$2007)&gt;0)*(N('Dvd Calendar'!$I$2007)&lt;=VAL_SERIAL)*1000000+41*1000+45))</f>
        <v/>
      </c>
      <c r="FX200" s="39">
        <f>IF(N('Dvd Calendar'!$J$2008)=0,"",IF(('Dvd Calendar'!$J$2008&gt;=GRID_FROM)*('Dvd Calendar'!$J$2008&lt;=GRID_TO)*('Dvd Calendar'!$J$2008&gt;VAL_DATE)=0,"",'Dvd Calendar'!$J$2008*1000000000+ISNUMBER('Dvd Calendar'!$J$2009)*100000000+0*10000000+(N('Dvd Calendar'!$J$2007)&gt;0)*(N('Dvd Calendar'!$J$2007)&lt;=VAL_SERIAL)*1000000+41*1000+46))</f>
        <v/>
      </c>
      <c r="FY200" s="39">
        <f>IF(N('Dvd Calendar'!$K$2008)=0,"",IF(('Dvd Calendar'!$K$2008&gt;=GRID_FROM)*('Dvd Calendar'!$K$2008&lt;=GRID_TO)*('Dvd Calendar'!$K$2008&gt;VAL_DATE)=0,"",'Dvd Calendar'!$K$2008*1000000000+ISNUMBER('Dvd Calendar'!$K$2009)*100000000+0*10000000+(N('Dvd Calendar'!$K$2007)&gt;0)*(N('Dvd Calendar'!$K$2007)&lt;=VAL_SERIAL)*1000000+41*1000+47))</f>
        <v/>
      </c>
      <c r="FZ200" s="39">
        <f>IF(N('Dvd Calendar'!$L$2008)=0,"",IF(('Dvd Calendar'!$L$2008&gt;=GRID_FROM)*('Dvd Calendar'!$L$2008&lt;=GRID_TO)*('Dvd Calendar'!$L$2008&gt;VAL_DATE)=0,"",'Dvd Calendar'!$L$2008*1000000000+ISNUMBER('Dvd Calendar'!$L$2009)*100000000+0*10000000+(N('Dvd Calendar'!$L$2007)&gt;0)*(N('Dvd Calendar'!$L$2007)&lt;=VAL_SERIAL)*1000000+41*1000+48))</f>
        <v/>
      </c>
      <c r="GA200" s="39">
        <f>IF(N('Dvd Calendar'!$M$2008)=0,"",IF(('Dvd Calendar'!$M$2008&gt;=GRID_FROM)*('Dvd Calendar'!$M$2008&lt;=GRID_TO)*('Dvd Calendar'!$M$2008&gt;VAL_DATE)=0,"",'Dvd Calendar'!$M$2008*1000000000+ISNUMBER('Dvd Calendar'!$M$2009)*100000000+0*10000000+(N('Dvd Calendar'!$M$2007)&gt;0)*(N('Dvd Calendar'!$M$2007)&lt;=VAL_SERIAL)*1000000+41*1000+49))</f>
        <v/>
      </c>
      <c r="GB200" s="39">
        <f>IF(N('Dvd Calendar'!$N$2008)=0,"",IF(('Dvd Calendar'!$N$2008&gt;=GRID_FROM)*('Dvd Calendar'!$N$2008&lt;=GRID_TO)*('Dvd Calendar'!$N$2008&gt;VAL_DATE)=0,"",'Dvd Calendar'!$N$2008*1000000000+ISNUMBER('Dvd Calendar'!$N$2009)*100000000+0*10000000+(N('Dvd Calendar'!$N$2007)&gt;0)*(N('Dvd Calendar'!$N$2007)&lt;=VAL_SERIAL)*1000000+41*1000+50))</f>
        <v/>
      </c>
      <c r="GC200" s="39">
        <f>IF(N('Dvd Calendar'!$O$2008)=0,"",IF(('Dvd Calendar'!$O$2008&gt;=GRID_FROM)*('Dvd Calendar'!$O$2008&lt;=GRID_TO)*('Dvd Calendar'!$O$2008&gt;VAL_DATE)=0,"",'Dvd Calendar'!$O$2008*1000000000+ISNUMBER('Dvd Calendar'!$O$2009)*100000000+0*10000000+(N('Dvd Calendar'!$O$2007)&gt;0)*(N('Dvd Calendar'!$O$2007)&lt;=VAL_SERIAL)*1000000+41*1000+51))</f>
        <v/>
      </c>
      <c r="GD200" s="39">
        <f>IF(N('Dvd Calendar'!$P$2008)=0,"",IF(('Dvd Calendar'!$P$2008&gt;=GRID_FROM)*('Dvd Calendar'!$P$2008&lt;=GRID_TO)*('Dvd Calendar'!$P$2008&gt;VAL_DATE)=0,"",'Dvd Calendar'!$P$2008*1000000000+ISNUMBER('Dvd Calendar'!$P$2009)*100000000+0*10000000+(N('Dvd Calendar'!$P$2007)&gt;0)*(N('Dvd Calendar'!$P$2007)&lt;=VAL_SERIAL)*1000000+41*1000+52))</f>
        <v/>
      </c>
      <c r="GE200" s="39">
        <f>IF(N('Dvd Calendar'!$Q$2008)=0,"",IF(('Dvd Calendar'!$Q$2008&gt;=GRID_FROM)*('Dvd Calendar'!$Q$2008&lt;=GRID_TO)*('Dvd Calendar'!$Q$2008&gt;VAL_DATE)=0,"",'Dvd Calendar'!$Q$2008*1000000000+ISNUMBER('Dvd Calendar'!$Q$2009)*100000000+0*10000000+(N('Dvd Calendar'!$Q$2007)&gt;0)*(N('Dvd Calendar'!$Q$2007)&lt;=VAL_SERIAL)*1000000+41*1000+53))</f>
        <v/>
      </c>
      <c r="GF200" s="39">
        <f>IF(N('Dvd Calendar'!$R$2008)=0,"",IF(('Dvd Calendar'!$R$2008&gt;=GRID_FROM)*('Dvd Calendar'!$R$2008&lt;=GRID_TO)*('Dvd Calendar'!$R$2008&gt;VAL_DATE)=0,"",'Dvd Calendar'!$R$2008*1000000000+ISNUMBER('Dvd Calendar'!$R$2009)*100000000+0*10000000+(N('Dvd Calendar'!$R$2007)&gt;0)*(N('Dvd Calendar'!$R$2007)&lt;=VAL_SERIAL)*1000000+41*1000+54))</f>
        <v/>
      </c>
      <c r="GG200" s="39">
        <f>IF(N('Dvd Calendar'!$S$2008)=0,"",IF(('Dvd Calendar'!$S$2008&gt;=GRID_FROM)*('Dvd Calendar'!$S$2008&lt;=GRID_TO)*('Dvd Calendar'!$S$2008&gt;VAL_DATE)=0,"",'Dvd Calendar'!$S$2008*1000000000+ISNUMBER('Dvd Calendar'!$S$2009)*100000000+0*10000000+(N('Dvd Calendar'!$S$2007)&gt;0)*(N('Dvd Calendar'!$S$2007)&lt;=VAL_SERIAL)*1000000+41*1000+55))</f>
        <v/>
      </c>
      <c r="GH200" s="39">
        <f>IF(N('Dvd Calendar'!$T$2008)=0,"",IF(('Dvd Calendar'!$T$2008&gt;=GRID_FROM)*('Dvd Calendar'!$T$2008&lt;=GRID_TO)*('Dvd Calendar'!$T$2008&gt;VAL_DATE)=0,"",'Dvd Calendar'!$T$2008*1000000000+ISNUMBER('Dvd Calendar'!$T$2009)*100000000+0*10000000+(N('Dvd Calendar'!$T$2007)&gt;0)*(N('Dvd Calendar'!$T$2007)&lt;=VAL_SERIAL)*1000000+41*1000+56))</f>
        <v/>
      </c>
      <c r="GI200" s="39">
        <f>IF(N('Dvd Calendar'!$U$2008)=0,"",IF(('Dvd Calendar'!$U$2008&gt;=GRID_FROM)*('Dvd Calendar'!$U$2008&lt;=GRID_TO)*('Dvd Calendar'!$U$2008&gt;VAL_DATE)=0,"",'Dvd Calendar'!$U$2008*1000000000+ISNUMBER('Dvd Calendar'!$U$2009)*100000000+0*10000000+(N('Dvd Calendar'!$U$2007)&gt;0)*(N('Dvd Calendar'!$U$2007)&lt;=VAL_SERIAL)*1000000+41*1000+57))</f>
        <v/>
      </c>
      <c r="GJ200" s="39">
        <f>IF(N('Dvd Calendar'!$V$2008)=0,"",IF(('Dvd Calendar'!$V$2008&gt;=GRID_FROM)*('Dvd Calendar'!$V$2008&lt;=GRID_TO)*('Dvd Calendar'!$V$2008&gt;VAL_DATE)=0,"",'Dvd Calendar'!$V$2008*1000000000+ISNUMBER('Dvd Calendar'!$V$2009)*100000000+0*10000000+(N('Dvd Calendar'!$V$2007)&gt;0)*(N('Dvd Calendar'!$V$2007)&lt;=VAL_SERIAL)*1000000+41*1000+58))</f>
        <v/>
      </c>
      <c r="GK200" s="39">
        <f>IF(N('Dvd Calendar'!$W$2008)=0,"",IF(('Dvd Calendar'!$W$2008&gt;=GRID_FROM)*('Dvd Calendar'!$W$2008&lt;=GRID_TO)*('Dvd Calendar'!$W$2008&gt;VAL_DATE)=0,"",'Dvd Calendar'!$W$2008*1000000000+ISNUMBER('Dvd Calendar'!$W$2009)*100000000+0*10000000+(N('Dvd Calendar'!$W$2007)&gt;0)*(N('Dvd Calendar'!$W$2007)&lt;=VAL_SERIAL)*1000000+41*1000+59))</f>
        <v/>
      </c>
      <c r="GL200" s="39">
        <f>IF(N('Dvd Calendar'!$X$2008)=0,"",IF(('Dvd Calendar'!$X$2008&gt;=GRID_FROM)*('Dvd Calendar'!$X$2008&lt;=GRID_TO)*('Dvd Calendar'!$X$2008&gt;VAL_DATE)=0,"",'Dvd Calendar'!$X$2008*1000000000+ISNUMBER('Dvd Calendar'!$X$2009)*100000000+0*10000000+(N('Dvd Calendar'!$X$2007)&gt;0)*(N('Dvd Calendar'!$X$2007)&lt;=VAL_SERIAL)*1000000+41*1000+60))</f>
        <v/>
      </c>
      <c r="GM200" s="39">
        <f>IF(N('Dvd Calendar'!$Y$2008)=0,"",IF(('Dvd Calendar'!$Y$2008&gt;=GRID_FROM)*('Dvd Calendar'!$Y$2008&lt;=GRID_TO)*('Dvd Calendar'!$Y$2008&gt;VAL_DATE)=0,"",'Dvd Calendar'!$Y$2008*1000000000+ISNUMBER('Dvd Calendar'!$Y$2009)*100000000+0*10000000+(N('Dvd Calendar'!$Y$2007)&gt;0)*(N('Dvd Calendar'!$Y$2007)&lt;=VAL_SERIAL)*1000000+41*1000+61))</f>
        <v/>
      </c>
      <c r="GN200" s="39">
        <f>IF(N('Dvd Calendar'!$Z$2008)=0,"",IF(('Dvd Calendar'!$Z$2008&gt;=GRID_FROM)*('Dvd Calendar'!$Z$2008&lt;=GRID_TO)*('Dvd Calendar'!$Z$2008&gt;VAL_DATE)=0,"",'Dvd Calendar'!$Z$2008*1000000000+ISNUMBER('Dvd Calendar'!$Z$2009)*100000000+0*10000000+(N('Dvd Calendar'!$Z$2007)&gt;0)*(N('Dvd Calendar'!$Z$2007)&lt;=VAL_SERIAL)*1000000+41*1000+62))</f>
        <v/>
      </c>
      <c r="GO200" s="39">
        <f>IF(N('Dvd Calendar'!$AA$2008)=0,"",IF(('Dvd Calendar'!$AA$2008&gt;=GRID_FROM)*('Dvd Calendar'!$AA$2008&lt;=GRID_TO)*('Dvd Calendar'!$AA$2008&gt;VAL_DATE)=0,"",'Dvd Calendar'!$AA$2008*1000000000+ISNUMBER('Dvd Calendar'!$AA$2009)*100000000+0*10000000+(N('Dvd Calendar'!$AA$2007)&gt;0)*(N('Dvd Calendar'!$AA$2007)&lt;=VAL_SERIAL)*1000000+41*1000+63))</f>
        <v/>
      </c>
      <c r="GP200" s="39">
        <f>IF(N('Dvd Calendar'!$AB$2008)=0,"",IF(('Dvd Calendar'!$AB$2008&gt;=GRID_FROM)*('Dvd Calendar'!$AB$2008&lt;=GRID_TO)*('Dvd Calendar'!$AB$2008&gt;VAL_DATE)=0,"",'Dvd Calendar'!$AB$2008*1000000000+ISNUMBER('Dvd Calendar'!$AB$2009)*100000000+0*10000000+(N('Dvd Calendar'!$AB$2007)&gt;0)*(N('Dvd Calendar'!$AB$2007)&lt;=VAL_SERIAL)*1000000+41*1000+64))</f>
        <v/>
      </c>
      <c r="GQ200" s="39">
        <f>IF(N('Dvd Calendar'!$AC$2008)=0,"",IF(('Dvd Calendar'!$AC$2008&gt;=GRID_FROM)*('Dvd Calendar'!$AC$2008&lt;=GRID_TO)*('Dvd Calendar'!$AC$2008&gt;VAL_DATE)=0,"",'Dvd Calendar'!$AC$2008*1000000000+ISNUMBER('Dvd Calendar'!$AC$2009)*100000000+0*10000000+(N('Dvd Calendar'!$AC$2007)&gt;0)*(N('Dvd Calendar'!$AC$2007)&lt;=VAL_SERIAL)*1000000+41*1000+65))</f>
        <v/>
      </c>
    </row>
    <row r="201">
      <c r="B201" s="2">
        <f>IF(HSCEI!$C$48="","",HSCEI!$C$48)</f>
        <v/>
      </c>
      <c r="C201" s="110">
        <f>IF(EE201="","",IF(ISNUMBER('Dvd Calendar'!$E$2015)=FALSE,"",IF((('Dvd Calendar'!$E$2017=TYPE1)*(TYPE1&lt;&gt;"")+('Dvd Calendar'!$E$2017=TYPE2)*(TYPE2&lt;&gt;"")+('Dvd Calendar'!$E$2017=TYPE3)*(TYPE3&lt;&gt;"")+('Dvd Calendar'!$E$2017=TYPE4)*(TYPE4&lt;&gt;"")+('Dvd Calendar'!$E$2017=SPECIAL_LBL)*(INC_SPECIALS="Y"))=0,"",'Dvd Calendar'!$E$2015)))</f>
        <v/>
      </c>
      <c r="D201" s="110">
        <f>IF(EF201="","",IF(ISNUMBER('Dvd Calendar'!$F$2015)=FALSE,"",IF((('Dvd Calendar'!$F$2017=TYPE1)*(TYPE1&lt;&gt;"")+('Dvd Calendar'!$F$2017=TYPE2)*(TYPE2&lt;&gt;"")+('Dvd Calendar'!$F$2017=TYPE3)*(TYPE3&lt;&gt;"")+('Dvd Calendar'!$F$2017=TYPE4)*(TYPE4&lt;&gt;"")+('Dvd Calendar'!$F$2017=SPECIAL_LBL)*(INC_SPECIALS="Y"))=0,"",'Dvd Calendar'!$F$2015)))</f>
        <v/>
      </c>
      <c r="E201" s="110">
        <f>IF(EG201="","",IF(ISNUMBER('Dvd Calendar'!$G$2015)=FALSE,"",IF((('Dvd Calendar'!$G$2017=TYPE1)*(TYPE1&lt;&gt;"")+('Dvd Calendar'!$G$2017=TYPE2)*(TYPE2&lt;&gt;"")+('Dvd Calendar'!$G$2017=TYPE3)*(TYPE3&lt;&gt;"")+('Dvd Calendar'!$G$2017=TYPE4)*(TYPE4&lt;&gt;"")+('Dvd Calendar'!$G$2017=SPECIAL_LBL)*(INC_SPECIALS="Y"))=0,"",'Dvd Calendar'!$G$2015)))</f>
        <v/>
      </c>
      <c r="F201" s="110">
        <f>IF(EH201="","",IF(ISNUMBER('Dvd Calendar'!$H$2015)=FALSE,"",IF((('Dvd Calendar'!$H$2017=TYPE1)*(TYPE1&lt;&gt;"")+('Dvd Calendar'!$H$2017=TYPE2)*(TYPE2&lt;&gt;"")+('Dvd Calendar'!$H$2017=TYPE3)*(TYPE3&lt;&gt;"")+('Dvd Calendar'!$H$2017=TYPE4)*(TYPE4&lt;&gt;"")+('Dvd Calendar'!$H$2017=SPECIAL_LBL)*(INC_SPECIALS="Y"))=0,"",'Dvd Calendar'!$H$2015)))</f>
        <v/>
      </c>
      <c r="G201" s="110">
        <f>IF(EI201="","",IF(ISNUMBER('Dvd Calendar'!$I$2015)=FALSE,"",IF((('Dvd Calendar'!$I$2017=TYPE1)*(TYPE1&lt;&gt;"")+('Dvd Calendar'!$I$2017=TYPE2)*(TYPE2&lt;&gt;"")+('Dvd Calendar'!$I$2017=TYPE3)*(TYPE3&lt;&gt;"")+('Dvd Calendar'!$I$2017=TYPE4)*(TYPE4&lt;&gt;"")+('Dvd Calendar'!$I$2017=SPECIAL_LBL)*(INC_SPECIALS="Y"))=0,"",'Dvd Calendar'!$I$2015)))</f>
        <v/>
      </c>
      <c r="H201" s="110">
        <f>IF(EJ201="","",IF(ISNUMBER('Dvd Calendar'!$J$2015)=FALSE,"",IF((('Dvd Calendar'!$J$2017=TYPE1)*(TYPE1&lt;&gt;"")+('Dvd Calendar'!$J$2017=TYPE2)*(TYPE2&lt;&gt;"")+('Dvd Calendar'!$J$2017=TYPE3)*(TYPE3&lt;&gt;"")+('Dvd Calendar'!$J$2017=TYPE4)*(TYPE4&lt;&gt;"")+('Dvd Calendar'!$J$2017=SPECIAL_LBL)*(INC_SPECIALS="Y"))=0,"",'Dvd Calendar'!$J$2015)))</f>
        <v/>
      </c>
      <c r="I201" s="110">
        <f>IF(EK201="","",IF(ISNUMBER('Dvd Calendar'!$K$2015)=FALSE,"",IF((('Dvd Calendar'!$K$2017=TYPE1)*(TYPE1&lt;&gt;"")+('Dvd Calendar'!$K$2017=TYPE2)*(TYPE2&lt;&gt;"")+('Dvd Calendar'!$K$2017=TYPE3)*(TYPE3&lt;&gt;"")+('Dvd Calendar'!$K$2017=TYPE4)*(TYPE4&lt;&gt;"")+('Dvd Calendar'!$K$2017=SPECIAL_LBL)*(INC_SPECIALS="Y"))=0,"",'Dvd Calendar'!$K$2015)))</f>
        <v/>
      </c>
      <c r="J201" s="110">
        <f>IF(EL201="","",IF(ISNUMBER('Dvd Calendar'!$L$2015)=FALSE,"",IF((('Dvd Calendar'!$L$2017=TYPE1)*(TYPE1&lt;&gt;"")+('Dvd Calendar'!$L$2017=TYPE2)*(TYPE2&lt;&gt;"")+('Dvd Calendar'!$L$2017=TYPE3)*(TYPE3&lt;&gt;"")+('Dvd Calendar'!$L$2017=TYPE4)*(TYPE4&lt;&gt;"")+('Dvd Calendar'!$L$2017=SPECIAL_LBL)*(INC_SPECIALS="Y"))=0,"",'Dvd Calendar'!$L$2015)))</f>
        <v/>
      </c>
      <c r="K201" s="110">
        <f>IF(EM201="","",IF(ISNUMBER('Dvd Calendar'!$M$2015)=FALSE,"",IF((('Dvd Calendar'!$M$2017=TYPE1)*(TYPE1&lt;&gt;"")+('Dvd Calendar'!$M$2017=TYPE2)*(TYPE2&lt;&gt;"")+('Dvd Calendar'!$M$2017=TYPE3)*(TYPE3&lt;&gt;"")+('Dvd Calendar'!$M$2017=TYPE4)*(TYPE4&lt;&gt;"")+('Dvd Calendar'!$M$2017=SPECIAL_LBL)*(INC_SPECIALS="Y"))=0,"",'Dvd Calendar'!$M$2015)))</f>
        <v/>
      </c>
      <c r="L201" s="110">
        <f>IF(EN201="","",IF(ISNUMBER('Dvd Calendar'!$N$2015)=FALSE,"",IF((('Dvd Calendar'!$N$2017=TYPE1)*(TYPE1&lt;&gt;"")+('Dvd Calendar'!$N$2017=TYPE2)*(TYPE2&lt;&gt;"")+('Dvd Calendar'!$N$2017=TYPE3)*(TYPE3&lt;&gt;"")+('Dvd Calendar'!$N$2017=TYPE4)*(TYPE4&lt;&gt;"")+('Dvd Calendar'!$N$2017=SPECIAL_LBL)*(INC_SPECIALS="Y"))=0,"",'Dvd Calendar'!$N$2015)))</f>
        <v/>
      </c>
      <c r="M201" s="110">
        <f>IF(EO201="","",IF(ISNUMBER('Dvd Calendar'!$O$2015)=FALSE,"",IF((('Dvd Calendar'!$O$2017=TYPE1)*(TYPE1&lt;&gt;"")+('Dvd Calendar'!$O$2017=TYPE2)*(TYPE2&lt;&gt;"")+('Dvd Calendar'!$O$2017=TYPE3)*(TYPE3&lt;&gt;"")+('Dvd Calendar'!$O$2017=TYPE4)*(TYPE4&lt;&gt;"")+('Dvd Calendar'!$O$2017=SPECIAL_LBL)*(INC_SPECIALS="Y"))=0,"",'Dvd Calendar'!$O$2015)))</f>
        <v/>
      </c>
      <c r="N201" s="110">
        <f>IF(EP201="","",IF(ISNUMBER('Dvd Calendar'!$P$2015)=FALSE,"",IF((('Dvd Calendar'!$P$2017=TYPE1)*(TYPE1&lt;&gt;"")+('Dvd Calendar'!$P$2017=TYPE2)*(TYPE2&lt;&gt;"")+('Dvd Calendar'!$P$2017=TYPE3)*(TYPE3&lt;&gt;"")+('Dvd Calendar'!$P$2017=TYPE4)*(TYPE4&lt;&gt;"")+('Dvd Calendar'!$P$2017=SPECIAL_LBL)*(INC_SPECIALS="Y"))=0,"",'Dvd Calendar'!$P$2015)))</f>
        <v/>
      </c>
      <c r="O201" s="110">
        <f>IF(EQ201="","",IF(ISNUMBER('Dvd Calendar'!$Q$2015)=FALSE,"",IF((('Dvd Calendar'!$Q$2017=TYPE1)*(TYPE1&lt;&gt;"")+('Dvd Calendar'!$Q$2017=TYPE2)*(TYPE2&lt;&gt;"")+('Dvd Calendar'!$Q$2017=TYPE3)*(TYPE3&lt;&gt;"")+('Dvd Calendar'!$Q$2017=TYPE4)*(TYPE4&lt;&gt;"")+('Dvd Calendar'!$Q$2017=SPECIAL_LBL)*(INC_SPECIALS="Y"))=0,"",'Dvd Calendar'!$Q$2015)))</f>
        <v/>
      </c>
      <c r="P201" s="110">
        <f>IF(ER201="","",IF(ISNUMBER('Dvd Calendar'!$R$2015)=FALSE,"",IF((('Dvd Calendar'!$R$2017=TYPE1)*(TYPE1&lt;&gt;"")+('Dvd Calendar'!$R$2017=TYPE2)*(TYPE2&lt;&gt;"")+('Dvd Calendar'!$R$2017=TYPE3)*(TYPE3&lt;&gt;"")+('Dvd Calendar'!$R$2017=TYPE4)*(TYPE4&lt;&gt;"")+('Dvd Calendar'!$R$2017=SPECIAL_LBL)*(INC_SPECIALS="Y"))=0,"",'Dvd Calendar'!$R$2015)))</f>
        <v/>
      </c>
      <c r="Q201" s="110">
        <f>IF(ES201="","",IF(ISNUMBER('Dvd Calendar'!$S$2015)=FALSE,"",IF((('Dvd Calendar'!$S$2017=TYPE1)*(TYPE1&lt;&gt;"")+('Dvd Calendar'!$S$2017=TYPE2)*(TYPE2&lt;&gt;"")+('Dvd Calendar'!$S$2017=TYPE3)*(TYPE3&lt;&gt;"")+('Dvd Calendar'!$S$2017=TYPE4)*(TYPE4&lt;&gt;"")+('Dvd Calendar'!$S$2017=SPECIAL_LBL)*(INC_SPECIALS="Y"))=0,"",'Dvd Calendar'!$S$2015)))</f>
        <v/>
      </c>
      <c r="R201" s="110">
        <f>IF(ET201="","",IF(ISNUMBER('Dvd Calendar'!$T$2015)=FALSE,"",IF((('Dvd Calendar'!$T$2017=TYPE1)*(TYPE1&lt;&gt;"")+('Dvd Calendar'!$T$2017=TYPE2)*(TYPE2&lt;&gt;"")+('Dvd Calendar'!$T$2017=TYPE3)*(TYPE3&lt;&gt;"")+('Dvd Calendar'!$T$2017=TYPE4)*(TYPE4&lt;&gt;"")+('Dvd Calendar'!$T$2017=SPECIAL_LBL)*(INC_SPECIALS="Y"))=0,"",'Dvd Calendar'!$T$2015)))</f>
        <v/>
      </c>
      <c r="S201" s="110">
        <f>IF(EU201="","",IF(ISNUMBER('Dvd Calendar'!$U$2015)=FALSE,"",IF((('Dvd Calendar'!$U$2017=TYPE1)*(TYPE1&lt;&gt;"")+('Dvd Calendar'!$U$2017=TYPE2)*(TYPE2&lt;&gt;"")+('Dvd Calendar'!$U$2017=TYPE3)*(TYPE3&lt;&gt;"")+('Dvd Calendar'!$U$2017=TYPE4)*(TYPE4&lt;&gt;"")+('Dvd Calendar'!$U$2017=SPECIAL_LBL)*(INC_SPECIALS="Y"))=0,"",'Dvd Calendar'!$U$2015)))</f>
        <v/>
      </c>
      <c r="T201" s="110">
        <f>IF(EV201="","",IF(ISNUMBER('Dvd Calendar'!$V$2015)=FALSE,"",IF((('Dvd Calendar'!$V$2017=TYPE1)*(TYPE1&lt;&gt;"")+('Dvd Calendar'!$V$2017=TYPE2)*(TYPE2&lt;&gt;"")+('Dvd Calendar'!$V$2017=TYPE3)*(TYPE3&lt;&gt;"")+('Dvd Calendar'!$V$2017=TYPE4)*(TYPE4&lt;&gt;"")+('Dvd Calendar'!$V$2017=SPECIAL_LBL)*(INC_SPECIALS="Y"))=0,"",'Dvd Calendar'!$V$2015)))</f>
        <v/>
      </c>
      <c r="U201" s="110">
        <f>IF(EW201="","",IF(ISNUMBER('Dvd Calendar'!$W$2015)=FALSE,"",IF((('Dvd Calendar'!$W$2017=TYPE1)*(TYPE1&lt;&gt;"")+('Dvd Calendar'!$W$2017=TYPE2)*(TYPE2&lt;&gt;"")+('Dvd Calendar'!$W$2017=TYPE3)*(TYPE3&lt;&gt;"")+('Dvd Calendar'!$W$2017=TYPE4)*(TYPE4&lt;&gt;"")+('Dvd Calendar'!$W$2017=SPECIAL_LBL)*(INC_SPECIALS="Y"))=0,"",'Dvd Calendar'!$W$2015)))</f>
        <v/>
      </c>
      <c r="V201" s="110">
        <f>IF(EX201="","",IF(ISNUMBER('Dvd Calendar'!$X$2015)=FALSE,"",IF((('Dvd Calendar'!$X$2017=TYPE1)*(TYPE1&lt;&gt;"")+('Dvd Calendar'!$X$2017=TYPE2)*(TYPE2&lt;&gt;"")+('Dvd Calendar'!$X$2017=TYPE3)*(TYPE3&lt;&gt;"")+('Dvd Calendar'!$X$2017=TYPE4)*(TYPE4&lt;&gt;"")+('Dvd Calendar'!$X$2017=SPECIAL_LBL)*(INC_SPECIALS="Y"))=0,"",'Dvd Calendar'!$X$2015)))</f>
        <v/>
      </c>
      <c r="W201" s="110">
        <f>IF(EY201="","",IF(ISNUMBER('Dvd Calendar'!$Y$2015)=FALSE,"",IF((('Dvd Calendar'!$Y$2017=TYPE1)*(TYPE1&lt;&gt;"")+('Dvd Calendar'!$Y$2017=TYPE2)*(TYPE2&lt;&gt;"")+('Dvd Calendar'!$Y$2017=TYPE3)*(TYPE3&lt;&gt;"")+('Dvd Calendar'!$Y$2017=TYPE4)*(TYPE4&lt;&gt;"")+('Dvd Calendar'!$Y$2017=SPECIAL_LBL)*(INC_SPECIALS="Y"))=0,"",'Dvd Calendar'!$Y$2015)))</f>
        <v/>
      </c>
      <c r="X201" s="110">
        <f>IF(EZ201="","",IF(ISNUMBER('Dvd Calendar'!$Z$2015)=FALSE,"",IF((('Dvd Calendar'!$Z$2017=TYPE1)*(TYPE1&lt;&gt;"")+('Dvd Calendar'!$Z$2017=TYPE2)*(TYPE2&lt;&gt;"")+('Dvd Calendar'!$Z$2017=TYPE3)*(TYPE3&lt;&gt;"")+('Dvd Calendar'!$Z$2017=TYPE4)*(TYPE4&lt;&gt;"")+('Dvd Calendar'!$Z$2017=SPECIAL_LBL)*(INC_SPECIALS="Y"))=0,"",'Dvd Calendar'!$Z$2015)))</f>
        <v/>
      </c>
      <c r="Y201" s="110">
        <f>IF(FA201="","",IF(ISNUMBER('Dvd Calendar'!$AA$2015)=FALSE,"",IF((('Dvd Calendar'!$AA$2017=TYPE1)*(TYPE1&lt;&gt;"")+('Dvd Calendar'!$AA$2017=TYPE2)*(TYPE2&lt;&gt;"")+('Dvd Calendar'!$AA$2017=TYPE3)*(TYPE3&lt;&gt;"")+('Dvd Calendar'!$AA$2017=TYPE4)*(TYPE4&lt;&gt;"")+('Dvd Calendar'!$AA$2017=SPECIAL_LBL)*(INC_SPECIALS="Y"))=0,"",'Dvd Calendar'!$AA$2015)))</f>
        <v/>
      </c>
      <c r="Z201" s="110">
        <f>IF(FB201="","",IF(ISNUMBER('Dvd Calendar'!$AB$2015)=FALSE,"",IF((('Dvd Calendar'!$AB$2017=TYPE1)*(TYPE1&lt;&gt;"")+('Dvd Calendar'!$AB$2017=TYPE2)*(TYPE2&lt;&gt;"")+('Dvd Calendar'!$AB$2017=TYPE3)*(TYPE3&lt;&gt;"")+('Dvd Calendar'!$AB$2017=TYPE4)*(TYPE4&lt;&gt;"")+('Dvd Calendar'!$AB$2017=SPECIAL_LBL)*(INC_SPECIALS="Y"))=0,"",'Dvd Calendar'!$AB$2015)))</f>
        <v/>
      </c>
      <c r="AA201" s="110">
        <f>IF(FC201="","",IF(ISNUMBER('Dvd Calendar'!$AC$2015)=FALSE,"",IF((('Dvd Calendar'!$AC$2017=TYPE1)*(TYPE1&lt;&gt;"")+('Dvd Calendar'!$AC$2017=TYPE2)*(TYPE2&lt;&gt;"")+('Dvd Calendar'!$AC$2017=TYPE3)*(TYPE3&lt;&gt;"")+('Dvd Calendar'!$AC$2017=TYPE4)*(TYPE4&lt;&gt;"")+('Dvd Calendar'!$AC$2017=SPECIAL_LBL)*(INC_SPECIALS="Y"))=0,"",'Dvd Calendar'!$AC$2015)))</f>
        <v/>
      </c>
      <c r="AB201" s="110">
        <f>IF(FD201="","",IF(ISNUMBER('Dvd Calendar'!$AD$2015)=FALSE,"",IF((('Dvd Calendar'!$AD$2017=TYPE1)*(TYPE1&lt;&gt;"")+('Dvd Calendar'!$AD$2017=TYPE2)*(TYPE2&lt;&gt;"")+('Dvd Calendar'!$AD$2017=TYPE3)*(TYPE3&lt;&gt;"")+('Dvd Calendar'!$AD$2017=TYPE4)*(TYPE4&lt;&gt;"")+('Dvd Calendar'!$AD$2017=SPECIAL_LBL)*(INC_SPECIALS="Y"))=0,"",'Dvd Calendar'!$AD$2015)))</f>
        <v/>
      </c>
      <c r="AC201" s="110">
        <f>IF(FE201="","",IF(ISNUMBER('Dvd Calendar'!$AE$2015)=FALSE,"",IF((('Dvd Calendar'!$AE$2017=TYPE1)*(TYPE1&lt;&gt;"")+('Dvd Calendar'!$AE$2017=TYPE2)*(TYPE2&lt;&gt;"")+('Dvd Calendar'!$AE$2017=TYPE3)*(TYPE3&lt;&gt;"")+('Dvd Calendar'!$AE$2017=TYPE4)*(TYPE4&lt;&gt;"")+('Dvd Calendar'!$AE$2017=SPECIAL_LBL)*(INC_SPECIALS="Y"))=0,"",'Dvd Calendar'!$AE$2015)))</f>
        <v/>
      </c>
      <c r="AD201" s="110">
        <f>IF(FF201="","",IF(ISNUMBER('Dvd Calendar'!$AF$2015)=FALSE,"",IF((('Dvd Calendar'!$AF$2017=TYPE1)*(TYPE1&lt;&gt;"")+('Dvd Calendar'!$AF$2017=TYPE2)*(TYPE2&lt;&gt;"")+('Dvd Calendar'!$AF$2017=TYPE3)*(TYPE3&lt;&gt;"")+('Dvd Calendar'!$AF$2017=TYPE4)*(TYPE4&lt;&gt;"")+('Dvd Calendar'!$AF$2017=SPECIAL_LBL)*(INC_SPECIALS="Y"))=0,"",'Dvd Calendar'!$AF$2015)))</f>
        <v/>
      </c>
      <c r="AE201" s="110">
        <f>IF(FG201="","",IF(ISNUMBER('Dvd Calendar'!$AG$2015)=FALSE,"",IF((('Dvd Calendar'!$AG$2017=TYPE1)*(TYPE1&lt;&gt;"")+('Dvd Calendar'!$AG$2017=TYPE2)*(TYPE2&lt;&gt;"")+('Dvd Calendar'!$AG$2017=TYPE3)*(TYPE3&lt;&gt;"")+('Dvd Calendar'!$AG$2017=TYPE4)*(TYPE4&lt;&gt;"")+('Dvd Calendar'!$AG$2017=SPECIAL_LBL)*(INC_SPECIALS="Y"))=0,"",'Dvd Calendar'!$AG$2015)))</f>
        <v/>
      </c>
      <c r="AF201" s="110">
        <f>IF(FH201="","",IF(ISNUMBER('Dvd Calendar'!$AH$2015)=FALSE,"",IF((('Dvd Calendar'!$AH$2017=TYPE1)*(TYPE1&lt;&gt;"")+('Dvd Calendar'!$AH$2017=TYPE2)*(TYPE2&lt;&gt;"")+('Dvd Calendar'!$AH$2017=TYPE3)*(TYPE3&lt;&gt;"")+('Dvd Calendar'!$AH$2017=TYPE4)*(TYPE4&lt;&gt;"")+('Dvd Calendar'!$AH$2017=SPECIAL_LBL)*(INC_SPECIALS="Y"))=0,"",'Dvd Calendar'!$AH$2015)))</f>
        <v/>
      </c>
      <c r="AG201" s="110">
        <f>IF(FI201="","",IF(ISNUMBER('Dvd Calendar'!$AI$2015)=FALSE,"",IF((('Dvd Calendar'!$AI$2017=TYPE1)*(TYPE1&lt;&gt;"")+('Dvd Calendar'!$AI$2017=TYPE2)*(TYPE2&lt;&gt;"")+('Dvd Calendar'!$AI$2017=TYPE3)*(TYPE3&lt;&gt;"")+('Dvd Calendar'!$AI$2017=TYPE4)*(TYPE4&lt;&gt;"")+('Dvd Calendar'!$AI$2017=SPECIAL_LBL)*(INC_SPECIALS="Y"))=0,"",'Dvd Calendar'!$AI$2015)))</f>
        <v/>
      </c>
      <c r="AH201" s="110">
        <f>IF(FJ201="","",IF(ISNUMBER('Dvd Calendar'!$AJ$2015)=FALSE,"",IF((('Dvd Calendar'!$AJ$2017=TYPE1)*(TYPE1&lt;&gt;"")+('Dvd Calendar'!$AJ$2017=TYPE2)*(TYPE2&lt;&gt;"")+('Dvd Calendar'!$AJ$2017=TYPE3)*(TYPE3&lt;&gt;"")+('Dvd Calendar'!$AJ$2017=TYPE4)*(TYPE4&lt;&gt;"")+('Dvd Calendar'!$AJ$2017=SPECIAL_LBL)*(INC_SPECIALS="Y"))=0,"",'Dvd Calendar'!$AJ$2015)))</f>
        <v/>
      </c>
      <c r="AI201" s="110">
        <f>IF(FK201="","",IF(ISNUMBER('Dvd Calendar'!$AK$2015)=FALSE,"",IF((('Dvd Calendar'!$AK$2017=TYPE1)*(TYPE1&lt;&gt;"")+('Dvd Calendar'!$AK$2017=TYPE2)*(TYPE2&lt;&gt;"")+('Dvd Calendar'!$AK$2017=TYPE3)*(TYPE3&lt;&gt;"")+('Dvd Calendar'!$AK$2017=TYPE4)*(TYPE4&lt;&gt;"")+('Dvd Calendar'!$AK$2017=SPECIAL_LBL)*(INC_SPECIALS="Y"))=0,"",'Dvd Calendar'!$AK$2015)))</f>
        <v/>
      </c>
      <c r="AJ201" s="110">
        <f>IF(FL201="","",IF(ISNUMBER('Dvd Calendar'!$AL$2015)=FALSE,"",IF((('Dvd Calendar'!$AL$2017=TYPE1)*(TYPE1&lt;&gt;"")+('Dvd Calendar'!$AL$2017=TYPE2)*(TYPE2&lt;&gt;"")+('Dvd Calendar'!$AL$2017=TYPE3)*(TYPE3&lt;&gt;"")+('Dvd Calendar'!$AL$2017=TYPE4)*(TYPE4&lt;&gt;"")+('Dvd Calendar'!$AL$2017=SPECIAL_LBL)*(INC_SPECIALS="Y"))=0,"",'Dvd Calendar'!$AL$2015)))</f>
        <v/>
      </c>
      <c r="AK201" s="110">
        <f>IF(FM201="","",IF(ISNUMBER('Dvd Calendar'!$AM$2015)=FALSE,"",IF((('Dvd Calendar'!$AM$2017=TYPE1)*(TYPE1&lt;&gt;"")+('Dvd Calendar'!$AM$2017=TYPE2)*(TYPE2&lt;&gt;"")+('Dvd Calendar'!$AM$2017=TYPE3)*(TYPE3&lt;&gt;"")+('Dvd Calendar'!$AM$2017=TYPE4)*(TYPE4&lt;&gt;"")+('Dvd Calendar'!$AM$2017=SPECIAL_LBL)*(INC_SPECIALS="Y"))=0,"",'Dvd Calendar'!$AM$2015)))</f>
        <v/>
      </c>
      <c r="AL201" s="110">
        <f>IF(FN201="","",IF(ISNUMBER('Dvd Calendar'!$AN$2015)=FALSE,"",IF((('Dvd Calendar'!$AN$2017=TYPE1)*(TYPE1&lt;&gt;"")+('Dvd Calendar'!$AN$2017=TYPE2)*(TYPE2&lt;&gt;"")+('Dvd Calendar'!$AN$2017=TYPE3)*(TYPE3&lt;&gt;"")+('Dvd Calendar'!$AN$2017=TYPE4)*(TYPE4&lt;&gt;"")+('Dvd Calendar'!$AN$2017=SPECIAL_LBL)*(INC_SPECIALS="Y"))=0,"",'Dvd Calendar'!$AN$2015)))</f>
        <v/>
      </c>
      <c r="AM201" s="110">
        <f>IF(FO201="","",IF(ISNUMBER('Dvd Calendar'!$AO$2015)=FALSE,"",IF((('Dvd Calendar'!$AO$2017=TYPE1)*(TYPE1&lt;&gt;"")+('Dvd Calendar'!$AO$2017=TYPE2)*(TYPE2&lt;&gt;"")+('Dvd Calendar'!$AO$2017=TYPE3)*(TYPE3&lt;&gt;"")+('Dvd Calendar'!$AO$2017=TYPE4)*(TYPE4&lt;&gt;"")+('Dvd Calendar'!$AO$2017=SPECIAL_LBL)*(INC_SPECIALS="Y"))=0,"",'Dvd Calendar'!$AO$2015)))</f>
        <v/>
      </c>
      <c r="AN201" s="110">
        <f>IF(FP201="","",IF(ISNUMBER('Dvd Calendar'!$AP$2015)=FALSE,"",IF((('Dvd Calendar'!$AP$2017=TYPE1)*(TYPE1&lt;&gt;"")+('Dvd Calendar'!$AP$2017=TYPE2)*(TYPE2&lt;&gt;"")+('Dvd Calendar'!$AP$2017=TYPE3)*(TYPE3&lt;&gt;"")+('Dvd Calendar'!$AP$2017=TYPE4)*(TYPE4&lt;&gt;"")+('Dvd Calendar'!$AP$2017=SPECIAL_LBL)*(INC_SPECIALS="Y"))=0,"",'Dvd Calendar'!$AP$2015)))</f>
        <v/>
      </c>
      <c r="AO201" s="110">
        <f>IF(FQ201="","",IF(ISNUMBER('Dvd Calendar'!$AQ$2015)=FALSE,"",IF((('Dvd Calendar'!$AQ$2017=TYPE1)*(TYPE1&lt;&gt;"")+('Dvd Calendar'!$AQ$2017=TYPE2)*(TYPE2&lt;&gt;"")+('Dvd Calendar'!$AQ$2017=TYPE3)*(TYPE3&lt;&gt;"")+('Dvd Calendar'!$AQ$2017=TYPE4)*(TYPE4&lt;&gt;"")+('Dvd Calendar'!$AQ$2017=SPECIAL_LBL)*(INC_SPECIALS="Y"))=0,"",'Dvd Calendar'!$AQ$2015)))</f>
        <v/>
      </c>
      <c r="AP201" s="110">
        <f>IF(FR201="","",IF(ISNUMBER('Dvd Calendar'!$AR$2015)=FALSE,"",IF((('Dvd Calendar'!$AR$2017=TYPE1)*(TYPE1&lt;&gt;"")+('Dvd Calendar'!$AR$2017=TYPE2)*(TYPE2&lt;&gt;"")+('Dvd Calendar'!$AR$2017=TYPE3)*(TYPE3&lt;&gt;"")+('Dvd Calendar'!$AR$2017=TYPE4)*(TYPE4&lt;&gt;"")+('Dvd Calendar'!$AR$2017=SPECIAL_LBL)*(INC_SPECIALS="Y"))=0,"",'Dvd Calendar'!$AR$2015)))</f>
        <v/>
      </c>
      <c r="AQ201" s="110">
        <f>IF(FS201="","",IF(ISNUMBER('Dvd Calendar'!$E$2020)=FALSE,"",'Dvd Calendar'!$E$2020))</f>
        <v/>
      </c>
      <c r="AR201" s="110">
        <f>IF(FT201="","",IF(ISNUMBER('Dvd Calendar'!$F$2020)=FALSE,"",'Dvd Calendar'!$F$2020))</f>
        <v/>
      </c>
      <c r="AS201" s="110">
        <f>IF(FU201="","",IF(ISNUMBER('Dvd Calendar'!$G$2020)=FALSE,"",'Dvd Calendar'!$G$2020))</f>
        <v/>
      </c>
      <c r="AT201" s="110">
        <f>IF(FV201="","",IF(ISNUMBER('Dvd Calendar'!$H$2020)=FALSE,"",'Dvd Calendar'!$H$2020))</f>
        <v/>
      </c>
      <c r="AU201" s="110">
        <f>IF(FW201="","",IF(ISNUMBER('Dvd Calendar'!$I$2020)=FALSE,"",'Dvd Calendar'!$I$2020))</f>
        <v/>
      </c>
      <c r="AV201" s="110">
        <f>IF(FX201="","",IF(ISNUMBER('Dvd Calendar'!$J$2020)=FALSE,"",'Dvd Calendar'!$J$2020))</f>
        <v/>
      </c>
      <c r="AW201" s="110">
        <f>IF(FY201="","",IF(ISNUMBER('Dvd Calendar'!$K$2020)=FALSE,"",'Dvd Calendar'!$K$2020))</f>
        <v/>
      </c>
      <c r="AX201" s="110">
        <f>IF(FZ201="","",IF(ISNUMBER('Dvd Calendar'!$L$2020)=FALSE,"",'Dvd Calendar'!$L$2020))</f>
        <v/>
      </c>
      <c r="AY201" s="110">
        <f>IF(GA201="","",IF(ISNUMBER('Dvd Calendar'!$M$2020)=FALSE,"",'Dvd Calendar'!$M$2020))</f>
        <v/>
      </c>
      <c r="AZ201" s="110">
        <f>IF(GB201="","",IF(ISNUMBER('Dvd Calendar'!$N$2020)=FALSE,"",'Dvd Calendar'!$N$2020))</f>
        <v/>
      </c>
      <c r="BA201" s="110">
        <f>IF(GC201="","",IF(ISNUMBER('Dvd Calendar'!$O$2020)=FALSE,"",'Dvd Calendar'!$O$2020))</f>
        <v/>
      </c>
      <c r="BB201" s="110">
        <f>IF(GD201="","",IF(ISNUMBER('Dvd Calendar'!$P$2020)=FALSE,"",'Dvd Calendar'!$P$2020))</f>
        <v/>
      </c>
      <c r="BC201" s="110">
        <f>IF(GE201="","",IF(ISNUMBER('Dvd Calendar'!$Q$2020)=FALSE,"",'Dvd Calendar'!$Q$2020))</f>
        <v/>
      </c>
      <c r="BD201" s="110">
        <f>IF(GF201="","",IF(ISNUMBER('Dvd Calendar'!$R$2020)=FALSE,"",'Dvd Calendar'!$R$2020))</f>
        <v/>
      </c>
      <c r="BE201" s="110">
        <f>IF(GG201="","",IF(ISNUMBER('Dvd Calendar'!$S$2020)=FALSE,"",'Dvd Calendar'!$S$2020))</f>
        <v/>
      </c>
      <c r="BF201" s="110">
        <f>IF(GH201="","",IF(ISNUMBER('Dvd Calendar'!$T$2020)=FALSE,"",'Dvd Calendar'!$T$2020))</f>
        <v/>
      </c>
      <c r="BG201" s="110">
        <f>IF(GI201="","",IF(ISNUMBER('Dvd Calendar'!$U$2020)=FALSE,"",'Dvd Calendar'!$U$2020))</f>
        <v/>
      </c>
      <c r="BH201" s="110">
        <f>IF(GJ201="","",IF(ISNUMBER('Dvd Calendar'!$V$2020)=FALSE,"",'Dvd Calendar'!$V$2020))</f>
        <v/>
      </c>
      <c r="BI201" s="110">
        <f>IF(GK201="","",IF(ISNUMBER('Dvd Calendar'!$W$2020)=FALSE,"",'Dvd Calendar'!$W$2020))</f>
        <v/>
      </c>
      <c r="BJ201" s="110">
        <f>IF(GL201="","",IF(ISNUMBER('Dvd Calendar'!$X$2020)=FALSE,"",'Dvd Calendar'!$X$2020))</f>
        <v/>
      </c>
      <c r="BK201" s="110">
        <f>IF(GM201="","",IF(ISNUMBER('Dvd Calendar'!$Y$2020)=FALSE,"",'Dvd Calendar'!$Y$2020))</f>
        <v/>
      </c>
      <c r="BL201" s="110">
        <f>IF(GN201="","",IF(ISNUMBER('Dvd Calendar'!$Z$2020)=FALSE,"",'Dvd Calendar'!$Z$2020))</f>
        <v/>
      </c>
      <c r="BM201" s="110">
        <f>IF(GO201="","",IF(ISNUMBER('Dvd Calendar'!$AA$2020)=FALSE,"",'Dvd Calendar'!$AA$2020))</f>
        <v/>
      </c>
      <c r="BN201" s="110">
        <f>IF(GP201="","",IF(ISNUMBER('Dvd Calendar'!$AB$2020)=FALSE,"",'Dvd Calendar'!$AB$2020))</f>
        <v/>
      </c>
      <c r="BO201" s="110">
        <f>IF(GQ201="","",IF(ISNUMBER('Dvd Calendar'!$AC$2020)=FALSE,"",'Dvd Calendar'!$AC$2020))</f>
        <v/>
      </c>
      <c r="BQ201" s="110">
        <f>IF(C201="","",IFERROR(C201*HSCEI!$B$48*HSCEI!$G$48/HSCEI!$B$3,""))</f>
        <v/>
      </c>
      <c r="BR201" s="110">
        <f>IF(D201="","",IFERROR(D201*HSCEI!$B$48*HSCEI!$G$48/HSCEI!$B$3,""))</f>
        <v/>
      </c>
      <c r="BS201" s="110">
        <f>IF(E201="","",IFERROR(E201*HSCEI!$B$48*HSCEI!$G$48/HSCEI!$B$3,""))</f>
        <v/>
      </c>
      <c r="BT201" s="110">
        <f>IF(F201="","",IFERROR(F201*HSCEI!$B$48*HSCEI!$G$48/HSCEI!$B$3,""))</f>
        <v/>
      </c>
      <c r="BU201" s="110">
        <f>IF(G201="","",IFERROR(G201*HSCEI!$B$48*HSCEI!$G$48/HSCEI!$B$3,""))</f>
        <v/>
      </c>
      <c r="BV201" s="110">
        <f>IF(H201="","",IFERROR(H201*HSCEI!$B$48*HSCEI!$G$48/HSCEI!$B$3,""))</f>
        <v/>
      </c>
      <c r="BW201" s="110">
        <f>IF(I201="","",IFERROR(I201*HSCEI!$B$48*HSCEI!$G$48/HSCEI!$B$3,""))</f>
        <v/>
      </c>
      <c r="BX201" s="110">
        <f>IF(J201="","",IFERROR(J201*HSCEI!$B$48*HSCEI!$G$48/HSCEI!$B$3,""))</f>
        <v/>
      </c>
      <c r="BY201" s="110">
        <f>IF(K201="","",IFERROR(K201*HSCEI!$B$48*HSCEI!$G$48/HSCEI!$B$3,""))</f>
        <v/>
      </c>
      <c r="BZ201" s="110">
        <f>IF(L201="","",IFERROR(L201*HSCEI!$B$48*HSCEI!$G$48/HSCEI!$B$3,""))</f>
        <v/>
      </c>
      <c r="CA201" s="110">
        <f>IF(M201="","",IFERROR(M201*HSCEI!$B$48*HSCEI!$G$48/HSCEI!$B$3,""))</f>
        <v/>
      </c>
      <c r="CB201" s="110">
        <f>IF(N201="","",IFERROR(N201*HSCEI!$B$48*HSCEI!$G$48/HSCEI!$B$3,""))</f>
        <v/>
      </c>
      <c r="CC201" s="110">
        <f>IF(O201="","",IFERROR(O201*HSCEI!$B$48*HSCEI!$G$48/HSCEI!$B$3,""))</f>
        <v/>
      </c>
      <c r="CD201" s="110">
        <f>IF(P201="","",IFERROR(P201*HSCEI!$B$48*HSCEI!$G$48/HSCEI!$B$3,""))</f>
        <v/>
      </c>
      <c r="CE201" s="110">
        <f>IF(Q201="","",IFERROR(Q201*HSCEI!$B$48*HSCEI!$G$48/HSCEI!$B$3,""))</f>
        <v/>
      </c>
      <c r="CF201" s="110">
        <f>IF(R201="","",IFERROR(R201*HSCEI!$B$48*HSCEI!$G$48/HSCEI!$B$3,""))</f>
        <v/>
      </c>
      <c r="CG201" s="110">
        <f>IF(S201="","",IFERROR(S201*HSCEI!$B$48*HSCEI!$G$48/HSCEI!$B$3,""))</f>
        <v/>
      </c>
      <c r="CH201" s="110">
        <f>IF(T201="","",IFERROR(T201*HSCEI!$B$48*HSCEI!$G$48/HSCEI!$B$3,""))</f>
        <v/>
      </c>
      <c r="CI201" s="110">
        <f>IF(U201="","",IFERROR(U201*HSCEI!$B$48*HSCEI!$G$48/HSCEI!$B$3,""))</f>
        <v/>
      </c>
      <c r="CJ201" s="110">
        <f>IF(V201="","",IFERROR(V201*HSCEI!$B$48*HSCEI!$G$48/HSCEI!$B$3,""))</f>
        <v/>
      </c>
      <c r="CK201" s="110">
        <f>IF(W201="","",IFERROR(W201*HSCEI!$B$48*HSCEI!$G$48/HSCEI!$B$3,""))</f>
        <v/>
      </c>
      <c r="CL201" s="110">
        <f>IF(X201="","",IFERROR(X201*HSCEI!$B$48*HSCEI!$G$48/HSCEI!$B$3,""))</f>
        <v/>
      </c>
      <c r="CM201" s="110">
        <f>IF(Y201="","",IFERROR(Y201*HSCEI!$B$48*HSCEI!$G$48/HSCEI!$B$3,""))</f>
        <v/>
      </c>
      <c r="CN201" s="110">
        <f>IF(Z201="","",IFERROR(Z201*HSCEI!$B$48*HSCEI!$G$48/HSCEI!$B$3,""))</f>
        <v/>
      </c>
      <c r="CO201" s="110">
        <f>IF(AA201="","",IFERROR(AA201*HSCEI!$B$48*HSCEI!$G$48/HSCEI!$B$3,""))</f>
        <v/>
      </c>
      <c r="CP201" s="110">
        <f>IF(AB201="","",IFERROR(AB201*HSCEI!$B$48*HSCEI!$G$48/HSCEI!$B$3,""))</f>
        <v/>
      </c>
      <c r="CQ201" s="110">
        <f>IF(AC201="","",IFERROR(AC201*HSCEI!$B$48*HSCEI!$G$48/HSCEI!$B$3,""))</f>
        <v/>
      </c>
      <c r="CR201" s="110">
        <f>IF(AD201="","",IFERROR(AD201*HSCEI!$B$48*HSCEI!$G$48/HSCEI!$B$3,""))</f>
        <v/>
      </c>
      <c r="CS201" s="110">
        <f>IF(AE201="","",IFERROR(AE201*HSCEI!$B$48*HSCEI!$G$48/HSCEI!$B$3,""))</f>
        <v/>
      </c>
      <c r="CT201" s="110">
        <f>IF(AF201="","",IFERROR(AF201*HSCEI!$B$48*HSCEI!$G$48/HSCEI!$B$3,""))</f>
        <v/>
      </c>
      <c r="CU201" s="110">
        <f>IF(AG201="","",IFERROR(AG201*HSCEI!$B$48*HSCEI!$G$48/HSCEI!$B$3,""))</f>
        <v/>
      </c>
      <c r="CV201" s="110">
        <f>IF(AH201="","",IFERROR(AH201*HSCEI!$B$48*HSCEI!$G$48/HSCEI!$B$3,""))</f>
        <v/>
      </c>
      <c r="CW201" s="110">
        <f>IF(AI201="","",IFERROR(AI201*HSCEI!$B$48*HSCEI!$G$48/HSCEI!$B$3,""))</f>
        <v/>
      </c>
      <c r="CX201" s="110">
        <f>IF(AJ201="","",IFERROR(AJ201*HSCEI!$B$48*HSCEI!$G$48/HSCEI!$B$3,""))</f>
        <v/>
      </c>
      <c r="CY201" s="110">
        <f>IF(AK201="","",IFERROR(AK201*HSCEI!$B$48*HSCEI!$G$48/HSCEI!$B$3,""))</f>
        <v/>
      </c>
      <c r="CZ201" s="110">
        <f>IF(AL201="","",IFERROR(AL201*HSCEI!$B$48*HSCEI!$G$48/HSCEI!$B$3,""))</f>
        <v/>
      </c>
      <c r="DA201" s="110">
        <f>IF(AM201="","",IFERROR(AM201*HSCEI!$B$48*HSCEI!$G$48/HSCEI!$B$3,""))</f>
        <v/>
      </c>
      <c r="DB201" s="110">
        <f>IF(AN201="","",IFERROR(AN201*HSCEI!$B$48*HSCEI!$G$48/HSCEI!$B$3,""))</f>
        <v/>
      </c>
      <c r="DC201" s="110">
        <f>IF(AO201="","",IFERROR(AO201*HSCEI!$B$48*HSCEI!$G$48/HSCEI!$B$3,""))</f>
        <v/>
      </c>
      <c r="DD201" s="110">
        <f>IF(AP201="","",IFERROR(AP201*HSCEI!$B$48*HSCEI!$G$48/HSCEI!$B$3,""))</f>
        <v/>
      </c>
      <c r="DE201" s="110">
        <f>IF(AQ201="","",IFERROR(AQ201*HSCEI!$B$48*HSCEI!$G$48/HSCEI!$B$3,""))</f>
        <v/>
      </c>
      <c r="DF201" s="110">
        <f>IF(AR201="","",IFERROR(AR201*HSCEI!$B$48*HSCEI!$G$48/HSCEI!$B$3,""))</f>
        <v/>
      </c>
      <c r="DG201" s="110">
        <f>IF(AS201="","",IFERROR(AS201*HSCEI!$B$48*HSCEI!$G$48/HSCEI!$B$3,""))</f>
        <v/>
      </c>
      <c r="DH201" s="110">
        <f>IF(AT201="","",IFERROR(AT201*HSCEI!$B$48*HSCEI!$G$48/HSCEI!$B$3,""))</f>
        <v/>
      </c>
      <c r="DI201" s="110">
        <f>IF(AU201="","",IFERROR(AU201*HSCEI!$B$48*HSCEI!$G$48/HSCEI!$B$3,""))</f>
        <v/>
      </c>
      <c r="DJ201" s="110">
        <f>IF(AV201="","",IFERROR(AV201*HSCEI!$B$48*HSCEI!$G$48/HSCEI!$B$3,""))</f>
        <v/>
      </c>
      <c r="DK201" s="110">
        <f>IF(AW201="","",IFERROR(AW201*HSCEI!$B$48*HSCEI!$G$48/HSCEI!$B$3,""))</f>
        <v/>
      </c>
      <c r="DL201" s="110">
        <f>IF(AX201="","",IFERROR(AX201*HSCEI!$B$48*HSCEI!$G$48/HSCEI!$B$3,""))</f>
        <v/>
      </c>
      <c r="DM201" s="110">
        <f>IF(AY201="","",IFERROR(AY201*HSCEI!$B$48*HSCEI!$G$48/HSCEI!$B$3,""))</f>
        <v/>
      </c>
      <c r="DN201" s="110">
        <f>IF(AZ201="","",IFERROR(AZ201*HSCEI!$B$48*HSCEI!$G$48/HSCEI!$B$3,""))</f>
        <v/>
      </c>
      <c r="DO201" s="110">
        <f>IF(BA201="","",IFERROR(BA201*HSCEI!$B$48*HSCEI!$G$48/HSCEI!$B$3,""))</f>
        <v/>
      </c>
      <c r="DP201" s="110">
        <f>IF(BB201="","",IFERROR(BB201*HSCEI!$B$48*HSCEI!$G$48/HSCEI!$B$3,""))</f>
        <v/>
      </c>
      <c r="DQ201" s="110">
        <f>IF(BC201="","",IFERROR(BC201*HSCEI!$B$48*HSCEI!$G$48/HSCEI!$B$3,""))</f>
        <v/>
      </c>
      <c r="DR201" s="110">
        <f>IF(BD201="","",IFERROR(BD201*HSCEI!$B$48*HSCEI!$G$48/HSCEI!$B$3,""))</f>
        <v/>
      </c>
      <c r="DS201" s="110">
        <f>IF(BE201="","",IFERROR(BE201*HSCEI!$B$48*HSCEI!$G$48/HSCEI!$B$3,""))</f>
        <v/>
      </c>
      <c r="DT201" s="110">
        <f>IF(BF201="","",IFERROR(BF201*HSCEI!$B$48*HSCEI!$G$48/HSCEI!$B$3,""))</f>
        <v/>
      </c>
      <c r="DU201" s="110">
        <f>IF(BG201="","",IFERROR(BG201*HSCEI!$B$48*HSCEI!$G$48/HSCEI!$B$3,""))</f>
        <v/>
      </c>
      <c r="DV201" s="110">
        <f>IF(BH201="","",IFERROR(BH201*HSCEI!$B$48*HSCEI!$G$48/HSCEI!$B$3,""))</f>
        <v/>
      </c>
      <c r="DW201" s="110">
        <f>IF(BI201="","",IFERROR(BI201*HSCEI!$B$48*HSCEI!$G$48/HSCEI!$B$3,""))</f>
        <v/>
      </c>
      <c r="DX201" s="110">
        <f>IF(BJ201="","",IFERROR(BJ201*HSCEI!$B$48*HSCEI!$G$48/HSCEI!$B$3,""))</f>
        <v/>
      </c>
      <c r="DY201" s="110">
        <f>IF(BK201="","",IFERROR(BK201*HSCEI!$B$48*HSCEI!$G$48/HSCEI!$B$3,""))</f>
        <v/>
      </c>
      <c r="DZ201" s="110">
        <f>IF(BL201="","",IFERROR(BL201*HSCEI!$B$48*HSCEI!$G$48/HSCEI!$B$3,""))</f>
        <v/>
      </c>
      <c r="EA201" s="110">
        <f>IF(BM201="","",IFERROR(BM201*HSCEI!$B$48*HSCEI!$G$48/HSCEI!$B$3,""))</f>
        <v/>
      </c>
      <c r="EB201" s="110">
        <f>IF(BN201="","",IFERROR(BN201*HSCEI!$B$48*HSCEI!$G$48/HSCEI!$B$3,""))</f>
        <v/>
      </c>
      <c r="EC201" s="110">
        <f>IF(BO201="","",IFERROR(BO201*HSCEI!$B$48*HSCEI!$G$48/HSCEI!$B$3,""))</f>
        <v/>
      </c>
      <c r="EE201" s="39">
        <f>IF(N('Dvd Calendar'!$E$2012)=0,"",IF(('Dvd Calendar'!$E$2012&gt;=GRID_FROM)*('Dvd Calendar'!$E$2012&lt;=GRID_TO)*((('Dvd Calendar'!$E$2012&lt;=VAL_DATE)+(COUNTIF('Dvd Calendar'!$E$2019:$AR$2019,'Dvd Calendar'!$E$2012)=0))&gt;0)=0,"",'Dvd Calendar'!$E$2012*1000000000+ISNUMBER('Dvd Calendar'!$E$2015)*100000000+('Dvd Calendar'!$E$2017=SPECIAL_LBL)*10000000+(N('Dvd Calendar'!$E$2011)&gt;0)*(N('Dvd Calendar'!$E$2011)&lt;=VAL_SERIAL)*1000000+42*1000+1))</f>
        <v/>
      </c>
      <c r="EF201" s="39">
        <f>IF(N('Dvd Calendar'!$F$2012)=0,"",IF(('Dvd Calendar'!$F$2012&gt;=GRID_FROM)*('Dvd Calendar'!$F$2012&lt;=GRID_TO)*((('Dvd Calendar'!$F$2012&lt;=VAL_DATE)+(COUNTIF('Dvd Calendar'!$E$2019:$AR$2019,'Dvd Calendar'!$F$2012)=0))&gt;0)=0,"",'Dvd Calendar'!$F$2012*1000000000+ISNUMBER('Dvd Calendar'!$F$2015)*100000000+('Dvd Calendar'!$F$2017=SPECIAL_LBL)*10000000+(N('Dvd Calendar'!$F$2011)&gt;0)*(N('Dvd Calendar'!$F$2011)&lt;=VAL_SERIAL)*1000000+42*1000+2))</f>
        <v/>
      </c>
      <c r="EG201" s="39">
        <f>IF(N('Dvd Calendar'!$G$2012)=0,"",IF(('Dvd Calendar'!$G$2012&gt;=GRID_FROM)*('Dvd Calendar'!$G$2012&lt;=GRID_TO)*((('Dvd Calendar'!$G$2012&lt;=VAL_DATE)+(COUNTIF('Dvd Calendar'!$E$2019:$AR$2019,'Dvd Calendar'!$G$2012)=0))&gt;0)=0,"",'Dvd Calendar'!$G$2012*1000000000+ISNUMBER('Dvd Calendar'!$G$2015)*100000000+('Dvd Calendar'!$G$2017=SPECIAL_LBL)*10000000+(N('Dvd Calendar'!$G$2011)&gt;0)*(N('Dvd Calendar'!$G$2011)&lt;=VAL_SERIAL)*1000000+42*1000+3))</f>
        <v/>
      </c>
      <c r="EH201" s="39">
        <f>IF(N('Dvd Calendar'!$H$2012)=0,"",IF(('Dvd Calendar'!$H$2012&gt;=GRID_FROM)*('Dvd Calendar'!$H$2012&lt;=GRID_TO)*((('Dvd Calendar'!$H$2012&lt;=VAL_DATE)+(COUNTIF('Dvd Calendar'!$E$2019:$AR$2019,'Dvd Calendar'!$H$2012)=0))&gt;0)=0,"",'Dvd Calendar'!$H$2012*1000000000+ISNUMBER('Dvd Calendar'!$H$2015)*100000000+('Dvd Calendar'!$H$2017=SPECIAL_LBL)*10000000+(N('Dvd Calendar'!$H$2011)&gt;0)*(N('Dvd Calendar'!$H$2011)&lt;=VAL_SERIAL)*1000000+42*1000+4))</f>
        <v/>
      </c>
      <c r="EI201" s="39">
        <f>IF(N('Dvd Calendar'!$I$2012)=0,"",IF(('Dvd Calendar'!$I$2012&gt;=GRID_FROM)*('Dvd Calendar'!$I$2012&lt;=GRID_TO)*((('Dvd Calendar'!$I$2012&lt;=VAL_DATE)+(COUNTIF('Dvd Calendar'!$E$2019:$AR$2019,'Dvd Calendar'!$I$2012)=0))&gt;0)=0,"",'Dvd Calendar'!$I$2012*1000000000+ISNUMBER('Dvd Calendar'!$I$2015)*100000000+('Dvd Calendar'!$I$2017=SPECIAL_LBL)*10000000+(N('Dvd Calendar'!$I$2011)&gt;0)*(N('Dvd Calendar'!$I$2011)&lt;=VAL_SERIAL)*1000000+42*1000+5))</f>
        <v/>
      </c>
      <c r="EJ201" s="39">
        <f>IF(N('Dvd Calendar'!$J$2012)=0,"",IF(('Dvd Calendar'!$J$2012&gt;=GRID_FROM)*('Dvd Calendar'!$J$2012&lt;=GRID_TO)*((('Dvd Calendar'!$J$2012&lt;=VAL_DATE)+(COUNTIF('Dvd Calendar'!$E$2019:$AR$2019,'Dvd Calendar'!$J$2012)=0))&gt;0)=0,"",'Dvd Calendar'!$J$2012*1000000000+ISNUMBER('Dvd Calendar'!$J$2015)*100000000+('Dvd Calendar'!$J$2017=SPECIAL_LBL)*10000000+(N('Dvd Calendar'!$J$2011)&gt;0)*(N('Dvd Calendar'!$J$2011)&lt;=VAL_SERIAL)*1000000+42*1000+6))</f>
        <v/>
      </c>
      <c r="EK201" s="39">
        <f>IF(N('Dvd Calendar'!$K$2012)=0,"",IF(('Dvd Calendar'!$K$2012&gt;=GRID_FROM)*('Dvd Calendar'!$K$2012&lt;=GRID_TO)*((('Dvd Calendar'!$K$2012&lt;=VAL_DATE)+(COUNTIF('Dvd Calendar'!$E$2019:$AR$2019,'Dvd Calendar'!$K$2012)=0))&gt;0)=0,"",'Dvd Calendar'!$K$2012*1000000000+ISNUMBER('Dvd Calendar'!$K$2015)*100000000+('Dvd Calendar'!$K$2017=SPECIAL_LBL)*10000000+(N('Dvd Calendar'!$K$2011)&gt;0)*(N('Dvd Calendar'!$K$2011)&lt;=VAL_SERIAL)*1000000+42*1000+7))</f>
        <v/>
      </c>
      <c r="EL201" s="39">
        <f>IF(N('Dvd Calendar'!$L$2012)=0,"",IF(('Dvd Calendar'!$L$2012&gt;=GRID_FROM)*('Dvd Calendar'!$L$2012&lt;=GRID_TO)*((('Dvd Calendar'!$L$2012&lt;=VAL_DATE)+(COUNTIF('Dvd Calendar'!$E$2019:$AR$2019,'Dvd Calendar'!$L$2012)=0))&gt;0)=0,"",'Dvd Calendar'!$L$2012*1000000000+ISNUMBER('Dvd Calendar'!$L$2015)*100000000+('Dvd Calendar'!$L$2017=SPECIAL_LBL)*10000000+(N('Dvd Calendar'!$L$2011)&gt;0)*(N('Dvd Calendar'!$L$2011)&lt;=VAL_SERIAL)*1000000+42*1000+8))</f>
        <v/>
      </c>
      <c r="EM201" s="39">
        <f>IF(N('Dvd Calendar'!$M$2012)=0,"",IF(('Dvd Calendar'!$M$2012&gt;=GRID_FROM)*('Dvd Calendar'!$M$2012&lt;=GRID_TO)*((('Dvd Calendar'!$M$2012&lt;=VAL_DATE)+(COUNTIF('Dvd Calendar'!$E$2019:$AR$2019,'Dvd Calendar'!$M$2012)=0))&gt;0)=0,"",'Dvd Calendar'!$M$2012*1000000000+ISNUMBER('Dvd Calendar'!$M$2015)*100000000+('Dvd Calendar'!$M$2017=SPECIAL_LBL)*10000000+(N('Dvd Calendar'!$M$2011)&gt;0)*(N('Dvd Calendar'!$M$2011)&lt;=VAL_SERIAL)*1000000+42*1000+9))</f>
        <v/>
      </c>
      <c r="EN201" s="39">
        <f>IF(N('Dvd Calendar'!$N$2012)=0,"",IF(('Dvd Calendar'!$N$2012&gt;=GRID_FROM)*('Dvd Calendar'!$N$2012&lt;=GRID_TO)*((('Dvd Calendar'!$N$2012&lt;=VAL_DATE)+(COUNTIF('Dvd Calendar'!$E$2019:$AR$2019,'Dvd Calendar'!$N$2012)=0))&gt;0)=0,"",'Dvd Calendar'!$N$2012*1000000000+ISNUMBER('Dvd Calendar'!$N$2015)*100000000+('Dvd Calendar'!$N$2017=SPECIAL_LBL)*10000000+(N('Dvd Calendar'!$N$2011)&gt;0)*(N('Dvd Calendar'!$N$2011)&lt;=VAL_SERIAL)*1000000+42*1000+10))</f>
        <v/>
      </c>
      <c r="EO201" s="39">
        <f>IF(N('Dvd Calendar'!$O$2012)=0,"",IF(('Dvd Calendar'!$O$2012&gt;=GRID_FROM)*('Dvd Calendar'!$O$2012&lt;=GRID_TO)*((('Dvd Calendar'!$O$2012&lt;=VAL_DATE)+(COUNTIF('Dvd Calendar'!$E$2019:$AR$2019,'Dvd Calendar'!$O$2012)=0))&gt;0)=0,"",'Dvd Calendar'!$O$2012*1000000000+ISNUMBER('Dvd Calendar'!$O$2015)*100000000+('Dvd Calendar'!$O$2017=SPECIAL_LBL)*10000000+(N('Dvd Calendar'!$O$2011)&gt;0)*(N('Dvd Calendar'!$O$2011)&lt;=VAL_SERIAL)*1000000+42*1000+11))</f>
        <v/>
      </c>
      <c r="EP201" s="39">
        <f>IF(N('Dvd Calendar'!$P$2012)=0,"",IF(('Dvd Calendar'!$P$2012&gt;=GRID_FROM)*('Dvd Calendar'!$P$2012&lt;=GRID_TO)*((('Dvd Calendar'!$P$2012&lt;=VAL_DATE)+(COUNTIF('Dvd Calendar'!$E$2019:$AR$2019,'Dvd Calendar'!$P$2012)=0))&gt;0)=0,"",'Dvd Calendar'!$P$2012*1000000000+ISNUMBER('Dvd Calendar'!$P$2015)*100000000+('Dvd Calendar'!$P$2017=SPECIAL_LBL)*10000000+(N('Dvd Calendar'!$P$2011)&gt;0)*(N('Dvd Calendar'!$P$2011)&lt;=VAL_SERIAL)*1000000+42*1000+12))</f>
        <v/>
      </c>
      <c r="EQ201" s="39">
        <f>IF(N('Dvd Calendar'!$Q$2012)=0,"",IF(('Dvd Calendar'!$Q$2012&gt;=GRID_FROM)*('Dvd Calendar'!$Q$2012&lt;=GRID_TO)*((('Dvd Calendar'!$Q$2012&lt;=VAL_DATE)+(COUNTIF('Dvd Calendar'!$E$2019:$AR$2019,'Dvd Calendar'!$Q$2012)=0))&gt;0)=0,"",'Dvd Calendar'!$Q$2012*1000000000+ISNUMBER('Dvd Calendar'!$Q$2015)*100000000+('Dvd Calendar'!$Q$2017=SPECIAL_LBL)*10000000+(N('Dvd Calendar'!$Q$2011)&gt;0)*(N('Dvd Calendar'!$Q$2011)&lt;=VAL_SERIAL)*1000000+42*1000+13))</f>
        <v/>
      </c>
      <c r="ER201" s="39">
        <f>IF(N('Dvd Calendar'!$R$2012)=0,"",IF(('Dvd Calendar'!$R$2012&gt;=GRID_FROM)*('Dvd Calendar'!$R$2012&lt;=GRID_TO)*((('Dvd Calendar'!$R$2012&lt;=VAL_DATE)+(COUNTIF('Dvd Calendar'!$E$2019:$AR$2019,'Dvd Calendar'!$R$2012)=0))&gt;0)=0,"",'Dvd Calendar'!$R$2012*1000000000+ISNUMBER('Dvd Calendar'!$R$2015)*100000000+('Dvd Calendar'!$R$2017=SPECIAL_LBL)*10000000+(N('Dvd Calendar'!$R$2011)&gt;0)*(N('Dvd Calendar'!$R$2011)&lt;=VAL_SERIAL)*1000000+42*1000+14))</f>
        <v/>
      </c>
      <c r="ES201" s="39">
        <f>IF(N('Dvd Calendar'!$S$2012)=0,"",IF(('Dvd Calendar'!$S$2012&gt;=GRID_FROM)*('Dvd Calendar'!$S$2012&lt;=GRID_TO)*((('Dvd Calendar'!$S$2012&lt;=VAL_DATE)+(COUNTIF('Dvd Calendar'!$E$2019:$AR$2019,'Dvd Calendar'!$S$2012)=0))&gt;0)=0,"",'Dvd Calendar'!$S$2012*1000000000+ISNUMBER('Dvd Calendar'!$S$2015)*100000000+('Dvd Calendar'!$S$2017=SPECIAL_LBL)*10000000+(N('Dvd Calendar'!$S$2011)&gt;0)*(N('Dvd Calendar'!$S$2011)&lt;=VAL_SERIAL)*1000000+42*1000+15))</f>
        <v/>
      </c>
      <c r="ET201" s="39">
        <f>IF(N('Dvd Calendar'!$T$2012)=0,"",IF(('Dvd Calendar'!$T$2012&gt;=GRID_FROM)*('Dvd Calendar'!$T$2012&lt;=GRID_TO)*((('Dvd Calendar'!$T$2012&lt;=VAL_DATE)+(COUNTIF('Dvd Calendar'!$E$2019:$AR$2019,'Dvd Calendar'!$T$2012)=0))&gt;0)=0,"",'Dvd Calendar'!$T$2012*1000000000+ISNUMBER('Dvd Calendar'!$T$2015)*100000000+('Dvd Calendar'!$T$2017=SPECIAL_LBL)*10000000+(N('Dvd Calendar'!$T$2011)&gt;0)*(N('Dvd Calendar'!$T$2011)&lt;=VAL_SERIAL)*1000000+42*1000+16))</f>
        <v/>
      </c>
      <c r="EU201" s="39">
        <f>IF(N('Dvd Calendar'!$U$2012)=0,"",IF(('Dvd Calendar'!$U$2012&gt;=GRID_FROM)*('Dvd Calendar'!$U$2012&lt;=GRID_TO)*((('Dvd Calendar'!$U$2012&lt;=VAL_DATE)+(COUNTIF('Dvd Calendar'!$E$2019:$AR$2019,'Dvd Calendar'!$U$2012)=0))&gt;0)=0,"",'Dvd Calendar'!$U$2012*1000000000+ISNUMBER('Dvd Calendar'!$U$2015)*100000000+('Dvd Calendar'!$U$2017=SPECIAL_LBL)*10000000+(N('Dvd Calendar'!$U$2011)&gt;0)*(N('Dvd Calendar'!$U$2011)&lt;=VAL_SERIAL)*1000000+42*1000+17))</f>
        <v/>
      </c>
      <c r="EV201" s="39">
        <f>IF(N('Dvd Calendar'!$V$2012)=0,"",IF(('Dvd Calendar'!$V$2012&gt;=GRID_FROM)*('Dvd Calendar'!$V$2012&lt;=GRID_TO)*((('Dvd Calendar'!$V$2012&lt;=VAL_DATE)+(COUNTIF('Dvd Calendar'!$E$2019:$AR$2019,'Dvd Calendar'!$V$2012)=0))&gt;0)=0,"",'Dvd Calendar'!$V$2012*1000000000+ISNUMBER('Dvd Calendar'!$V$2015)*100000000+('Dvd Calendar'!$V$2017=SPECIAL_LBL)*10000000+(N('Dvd Calendar'!$V$2011)&gt;0)*(N('Dvd Calendar'!$V$2011)&lt;=VAL_SERIAL)*1000000+42*1000+18))</f>
        <v/>
      </c>
      <c r="EW201" s="39">
        <f>IF(N('Dvd Calendar'!$W$2012)=0,"",IF(('Dvd Calendar'!$W$2012&gt;=GRID_FROM)*('Dvd Calendar'!$W$2012&lt;=GRID_TO)*((('Dvd Calendar'!$W$2012&lt;=VAL_DATE)+(COUNTIF('Dvd Calendar'!$E$2019:$AR$2019,'Dvd Calendar'!$W$2012)=0))&gt;0)=0,"",'Dvd Calendar'!$W$2012*1000000000+ISNUMBER('Dvd Calendar'!$W$2015)*100000000+('Dvd Calendar'!$W$2017=SPECIAL_LBL)*10000000+(N('Dvd Calendar'!$W$2011)&gt;0)*(N('Dvd Calendar'!$W$2011)&lt;=VAL_SERIAL)*1000000+42*1000+19))</f>
        <v/>
      </c>
      <c r="EX201" s="39">
        <f>IF(N('Dvd Calendar'!$X$2012)=0,"",IF(('Dvd Calendar'!$X$2012&gt;=GRID_FROM)*('Dvd Calendar'!$X$2012&lt;=GRID_TO)*((('Dvd Calendar'!$X$2012&lt;=VAL_DATE)+(COUNTIF('Dvd Calendar'!$E$2019:$AR$2019,'Dvd Calendar'!$X$2012)=0))&gt;0)=0,"",'Dvd Calendar'!$X$2012*1000000000+ISNUMBER('Dvd Calendar'!$X$2015)*100000000+('Dvd Calendar'!$X$2017=SPECIAL_LBL)*10000000+(N('Dvd Calendar'!$X$2011)&gt;0)*(N('Dvd Calendar'!$X$2011)&lt;=VAL_SERIAL)*1000000+42*1000+20))</f>
        <v/>
      </c>
      <c r="EY201" s="39">
        <f>IF(N('Dvd Calendar'!$Y$2012)=0,"",IF(('Dvd Calendar'!$Y$2012&gt;=GRID_FROM)*('Dvd Calendar'!$Y$2012&lt;=GRID_TO)*((('Dvd Calendar'!$Y$2012&lt;=VAL_DATE)+(COUNTIF('Dvd Calendar'!$E$2019:$AR$2019,'Dvd Calendar'!$Y$2012)=0))&gt;0)=0,"",'Dvd Calendar'!$Y$2012*1000000000+ISNUMBER('Dvd Calendar'!$Y$2015)*100000000+('Dvd Calendar'!$Y$2017=SPECIAL_LBL)*10000000+(N('Dvd Calendar'!$Y$2011)&gt;0)*(N('Dvd Calendar'!$Y$2011)&lt;=VAL_SERIAL)*1000000+42*1000+21))</f>
        <v/>
      </c>
      <c r="EZ201" s="39">
        <f>IF(N('Dvd Calendar'!$Z$2012)=0,"",IF(('Dvd Calendar'!$Z$2012&gt;=GRID_FROM)*('Dvd Calendar'!$Z$2012&lt;=GRID_TO)*((('Dvd Calendar'!$Z$2012&lt;=VAL_DATE)+(COUNTIF('Dvd Calendar'!$E$2019:$AR$2019,'Dvd Calendar'!$Z$2012)=0))&gt;0)=0,"",'Dvd Calendar'!$Z$2012*1000000000+ISNUMBER('Dvd Calendar'!$Z$2015)*100000000+('Dvd Calendar'!$Z$2017=SPECIAL_LBL)*10000000+(N('Dvd Calendar'!$Z$2011)&gt;0)*(N('Dvd Calendar'!$Z$2011)&lt;=VAL_SERIAL)*1000000+42*1000+22))</f>
        <v/>
      </c>
      <c r="FA201" s="39">
        <f>IF(N('Dvd Calendar'!$AA$2012)=0,"",IF(('Dvd Calendar'!$AA$2012&gt;=GRID_FROM)*('Dvd Calendar'!$AA$2012&lt;=GRID_TO)*((('Dvd Calendar'!$AA$2012&lt;=VAL_DATE)+(COUNTIF('Dvd Calendar'!$E$2019:$AR$2019,'Dvd Calendar'!$AA$2012)=0))&gt;0)=0,"",'Dvd Calendar'!$AA$2012*1000000000+ISNUMBER('Dvd Calendar'!$AA$2015)*100000000+('Dvd Calendar'!$AA$2017=SPECIAL_LBL)*10000000+(N('Dvd Calendar'!$AA$2011)&gt;0)*(N('Dvd Calendar'!$AA$2011)&lt;=VAL_SERIAL)*1000000+42*1000+23))</f>
        <v/>
      </c>
      <c r="FB201" s="39">
        <f>IF(N('Dvd Calendar'!$AB$2012)=0,"",IF(('Dvd Calendar'!$AB$2012&gt;=GRID_FROM)*('Dvd Calendar'!$AB$2012&lt;=GRID_TO)*((('Dvd Calendar'!$AB$2012&lt;=VAL_DATE)+(COUNTIF('Dvd Calendar'!$E$2019:$AR$2019,'Dvd Calendar'!$AB$2012)=0))&gt;0)=0,"",'Dvd Calendar'!$AB$2012*1000000000+ISNUMBER('Dvd Calendar'!$AB$2015)*100000000+('Dvd Calendar'!$AB$2017=SPECIAL_LBL)*10000000+(N('Dvd Calendar'!$AB$2011)&gt;0)*(N('Dvd Calendar'!$AB$2011)&lt;=VAL_SERIAL)*1000000+42*1000+24))</f>
        <v/>
      </c>
      <c r="FC201" s="39">
        <f>IF(N('Dvd Calendar'!$AC$2012)=0,"",IF(('Dvd Calendar'!$AC$2012&gt;=GRID_FROM)*('Dvd Calendar'!$AC$2012&lt;=GRID_TO)*((('Dvd Calendar'!$AC$2012&lt;=VAL_DATE)+(COUNTIF('Dvd Calendar'!$E$2019:$AR$2019,'Dvd Calendar'!$AC$2012)=0))&gt;0)=0,"",'Dvd Calendar'!$AC$2012*1000000000+ISNUMBER('Dvd Calendar'!$AC$2015)*100000000+('Dvd Calendar'!$AC$2017=SPECIAL_LBL)*10000000+(N('Dvd Calendar'!$AC$2011)&gt;0)*(N('Dvd Calendar'!$AC$2011)&lt;=VAL_SERIAL)*1000000+42*1000+25))</f>
        <v/>
      </c>
      <c r="FD201" s="39">
        <f>IF(N('Dvd Calendar'!$AD$2012)=0,"",IF(('Dvd Calendar'!$AD$2012&gt;=GRID_FROM)*('Dvd Calendar'!$AD$2012&lt;=GRID_TO)*((('Dvd Calendar'!$AD$2012&lt;=VAL_DATE)+(COUNTIF('Dvd Calendar'!$E$2019:$AR$2019,'Dvd Calendar'!$AD$2012)=0))&gt;0)=0,"",'Dvd Calendar'!$AD$2012*1000000000+ISNUMBER('Dvd Calendar'!$AD$2015)*100000000+('Dvd Calendar'!$AD$2017=SPECIAL_LBL)*10000000+(N('Dvd Calendar'!$AD$2011)&gt;0)*(N('Dvd Calendar'!$AD$2011)&lt;=VAL_SERIAL)*1000000+42*1000+26))</f>
        <v/>
      </c>
      <c r="FE201" s="39">
        <f>IF(N('Dvd Calendar'!$AE$2012)=0,"",IF(('Dvd Calendar'!$AE$2012&gt;=GRID_FROM)*('Dvd Calendar'!$AE$2012&lt;=GRID_TO)*((('Dvd Calendar'!$AE$2012&lt;=VAL_DATE)+(COUNTIF('Dvd Calendar'!$E$2019:$AR$2019,'Dvd Calendar'!$AE$2012)=0))&gt;0)=0,"",'Dvd Calendar'!$AE$2012*1000000000+ISNUMBER('Dvd Calendar'!$AE$2015)*100000000+('Dvd Calendar'!$AE$2017=SPECIAL_LBL)*10000000+(N('Dvd Calendar'!$AE$2011)&gt;0)*(N('Dvd Calendar'!$AE$2011)&lt;=VAL_SERIAL)*1000000+42*1000+27))</f>
        <v/>
      </c>
      <c r="FF201" s="39">
        <f>IF(N('Dvd Calendar'!$AF$2012)=0,"",IF(('Dvd Calendar'!$AF$2012&gt;=GRID_FROM)*('Dvd Calendar'!$AF$2012&lt;=GRID_TO)*((('Dvd Calendar'!$AF$2012&lt;=VAL_DATE)+(COUNTIF('Dvd Calendar'!$E$2019:$AR$2019,'Dvd Calendar'!$AF$2012)=0))&gt;0)=0,"",'Dvd Calendar'!$AF$2012*1000000000+ISNUMBER('Dvd Calendar'!$AF$2015)*100000000+('Dvd Calendar'!$AF$2017=SPECIAL_LBL)*10000000+(N('Dvd Calendar'!$AF$2011)&gt;0)*(N('Dvd Calendar'!$AF$2011)&lt;=VAL_SERIAL)*1000000+42*1000+28))</f>
        <v/>
      </c>
      <c r="FG201" s="39">
        <f>IF(N('Dvd Calendar'!$AG$2012)=0,"",IF(('Dvd Calendar'!$AG$2012&gt;=GRID_FROM)*('Dvd Calendar'!$AG$2012&lt;=GRID_TO)*((('Dvd Calendar'!$AG$2012&lt;=VAL_DATE)+(COUNTIF('Dvd Calendar'!$E$2019:$AR$2019,'Dvd Calendar'!$AG$2012)=0))&gt;0)=0,"",'Dvd Calendar'!$AG$2012*1000000000+ISNUMBER('Dvd Calendar'!$AG$2015)*100000000+('Dvd Calendar'!$AG$2017=SPECIAL_LBL)*10000000+(N('Dvd Calendar'!$AG$2011)&gt;0)*(N('Dvd Calendar'!$AG$2011)&lt;=VAL_SERIAL)*1000000+42*1000+29))</f>
        <v/>
      </c>
      <c r="FH201" s="39">
        <f>IF(N('Dvd Calendar'!$AH$2012)=0,"",IF(('Dvd Calendar'!$AH$2012&gt;=GRID_FROM)*('Dvd Calendar'!$AH$2012&lt;=GRID_TO)*((('Dvd Calendar'!$AH$2012&lt;=VAL_DATE)+(COUNTIF('Dvd Calendar'!$E$2019:$AR$2019,'Dvd Calendar'!$AH$2012)=0))&gt;0)=0,"",'Dvd Calendar'!$AH$2012*1000000000+ISNUMBER('Dvd Calendar'!$AH$2015)*100000000+('Dvd Calendar'!$AH$2017=SPECIAL_LBL)*10000000+(N('Dvd Calendar'!$AH$2011)&gt;0)*(N('Dvd Calendar'!$AH$2011)&lt;=VAL_SERIAL)*1000000+42*1000+30))</f>
        <v/>
      </c>
      <c r="FI201" s="39">
        <f>IF(N('Dvd Calendar'!$AI$2012)=0,"",IF(('Dvd Calendar'!$AI$2012&gt;=GRID_FROM)*('Dvd Calendar'!$AI$2012&lt;=GRID_TO)*((('Dvd Calendar'!$AI$2012&lt;=VAL_DATE)+(COUNTIF('Dvd Calendar'!$E$2019:$AR$2019,'Dvd Calendar'!$AI$2012)=0))&gt;0)=0,"",'Dvd Calendar'!$AI$2012*1000000000+ISNUMBER('Dvd Calendar'!$AI$2015)*100000000+('Dvd Calendar'!$AI$2017=SPECIAL_LBL)*10000000+(N('Dvd Calendar'!$AI$2011)&gt;0)*(N('Dvd Calendar'!$AI$2011)&lt;=VAL_SERIAL)*1000000+42*1000+31))</f>
        <v/>
      </c>
      <c r="FJ201" s="39">
        <f>IF(N('Dvd Calendar'!$AJ$2012)=0,"",IF(('Dvd Calendar'!$AJ$2012&gt;=GRID_FROM)*('Dvd Calendar'!$AJ$2012&lt;=GRID_TO)*((('Dvd Calendar'!$AJ$2012&lt;=VAL_DATE)+(COUNTIF('Dvd Calendar'!$E$2019:$AR$2019,'Dvd Calendar'!$AJ$2012)=0))&gt;0)=0,"",'Dvd Calendar'!$AJ$2012*1000000000+ISNUMBER('Dvd Calendar'!$AJ$2015)*100000000+('Dvd Calendar'!$AJ$2017=SPECIAL_LBL)*10000000+(N('Dvd Calendar'!$AJ$2011)&gt;0)*(N('Dvd Calendar'!$AJ$2011)&lt;=VAL_SERIAL)*1000000+42*1000+32))</f>
        <v/>
      </c>
      <c r="FK201" s="39">
        <f>IF(N('Dvd Calendar'!$AK$2012)=0,"",IF(('Dvd Calendar'!$AK$2012&gt;=GRID_FROM)*('Dvd Calendar'!$AK$2012&lt;=GRID_TO)*((('Dvd Calendar'!$AK$2012&lt;=VAL_DATE)+(COUNTIF('Dvd Calendar'!$E$2019:$AR$2019,'Dvd Calendar'!$AK$2012)=0))&gt;0)=0,"",'Dvd Calendar'!$AK$2012*1000000000+ISNUMBER('Dvd Calendar'!$AK$2015)*100000000+('Dvd Calendar'!$AK$2017=SPECIAL_LBL)*10000000+(N('Dvd Calendar'!$AK$2011)&gt;0)*(N('Dvd Calendar'!$AK$2011)&lt;=VAL_SERIAL)*1000000+42*1000+33))</f>
        <v/>
      </c>
      <c r="FL201" s="39">
        <f>IF(N('Dvd Calendar'!$AL$2012)=0,"",IF(('Dvd Calendar'!$AL$2012&gt;=GRID_FROM)*('Dvd Calendar'!$AL$2012&lt;=GRID_TO)*((('Dvd Calendar'!$AL$2012&lt;=VAL_DATE)+(COUNTIF('Dvd Calendar'!$E$2019:$AR$2019,'Dvd Calendar'!$AL$2012)=0))&gt;0)=0,"",'Dvd Calendar'!$AL$2012*1000000000+ISNUMBER('Dvd Calendar'!$AL$2015)*100000000+('Dvd Calendar'!$AL$2017=SPECIAL_LBL)*10000000+(N('Dvd Calendar'!$AL$2011)&gt;0)*(N('Dvd Calendar'!$AL$2011)&lt;=VAL_SERIAL)*1000000+42*1000+34))</f>
        <v/>
      </c>
      <c r="FM201" s="39">
        <f>IF(N('Dvd Calendar'!$AM$2012)=0,"",IF(('Dvd Calendar'!$AM$2012&gt;=GRID_FROM)*('Dvd Calendar'!$AM$2012&lt;=GRID_TO)*((('Dvd Calendar'!$AM$2012&lt;=VAL_DATE)+(COUNTIF('Dvd Calendar'!$E$2019:$AR$2019,'Dvd Calendar'!$AM$2012)=0))&gt;0)=0,"",'Dvd Calendar'!$AM$2012*1000000000+ISNUMBER('Dvd Calendar'!$AM$2015)*100000000+('Dvd Calendar'!$AM$2017=SPECIAL_LBL)*10000000+(N('Dvd Calendar'!$AM$2011)&gt;0)*(N('Dvd Calendar'!$AM$2011)&lt;=VAL_SERIAL)*1000000+42*1000+35))</f>
        <v/>
      </c>
      <c r="FN201" s="39">
        <f>IF(N('Dvd Calendar'!$AN$2012)=0,"",IF(('Dvd Calendar'!$AN$2012&gt;=GRID_FROM)*('Dvd Calendar'!$AN$2012&lt;=GRID_TO)*((('Dvd Calendar'!$AN$2012&lt;=VAL_DATE)+(COUNTIF('Dvd Calendar'!$E$2019:$AR$2019,'Dvd Calendar'!$AN$2012)=0))&gt;0)=0,"",'Dvd Calendar'!$AN$2012*1000000000+ISNUMBER('Dvd Calendar'!$AN$2015)*100000000+('Dvd Calendar'!$AN$2017=SPECIAL_LBL)*10000000+(N('Dvd Calendar'!$AN$2011)&gt;0)*(N('Dvd Calendar'!$AN$2011)&lt;=VAL_SERIAL)*1000000+42*1000+36))</f>
        <v/>
      </c>
      <c r="FO201" s="39">
        <f>IF(N('Dvd Calendar'!$AO$2012)=0,"",IF(('Dvd Calendar'!$AO$2012&gt;=GRID_FROM)*('Dvd Calendar'!$AO$2012&lt;=GRID_TO)*((('Dvd Calendar'!$AO$2012&lt;=VAL_DATE)+(COUNTIF('Dvd Calendar'!$E$2019:$AR$2019,'Dvd Calendar'!$AO$2012)=0))&gt;0)=0,"",'Dvd Calendar'!$AO$2012*1000000000+ISNUMBER('Dvd Calendar'!$AO$2015)*100000000+('Dvd Calendar'!$AO$2017=SPECIAL_LBL)*10000000+(N('Dvd Calendar'!$AO$2011)&gt;0)*(N('Dvd Calendar'!$AO$2011)&lt;=VAL_SERIAL)*1000000+42*1000+37))</f>
        <v/>
      </c>
      <c r="FP201" s="39">
        <f>IF(N('Dvd Calendar'!$AP$2012)=0,"",IF(('Dvd Calendar'!$AP$2012&gt;=GRID_FROM)*('Dvd Calendar'!$AP$2012&lt;=GRID_TO)*((('Dvd Calendar'!$AP$2012&lt;=VAL_DATE)+(COUNTIF('Dvd Calendar'!$E$2019:$AR$2019,'Dvd Calendar'!$AP$2012)=0))&gt;0)=0,"",'Dvd Calendar'!$AP$2012*1000000000+ISNUMBER('Dvd Calendar'!$AP$2015)*100000000+('Dvd Calendar'!$AP$2017=SPECIAL_LBL)*10000000+(N('Dvd Calendar'!$AP$2011)&gt;0)*(N('Dvd Calendar'!$AP$2011)&lt;=VAL_SERIAL)*1000000+42*1000+38))</f>
        <v/>
      </c>
      <c r="FQ201" s="39">
        <f>IF(N('Dvd Calendar'!$AQ$2012)=0,"",IF(('Dvd Calendar'!$AQ$2012&gt;=GRID_FROM)*('Dvd Calendar'!$AQ$2012&lt;=GRID_TO)*((('Dvd Calendar'!$AQ$2012&lt;=VAL_DATE)+(COUNTIF('Dvd Calendar'!$E$2019:$AR$2019,'Dvd Calendar'!$AQ$2012)=0))&gt;0)=0,"",'Dvd Calendar'!$AQ$2012*1000000000+ISNUMBER('Dvd Calendar'!$AQ$2015)*100000000+('Dvd Calendar'!$AQ$2017=SPECIAL_LBL)*10000000+(N('Dvd Calendar'!$AQ$2011)&gt;0)*(N('Dvd Calendar'!$AQ$2011)&lt;=VAL_SERIAL)*1000000+42*1000+39))</f>
        <v/>
      </c>
      <c r="FR201" s="39">
        <f>IF(N('Dvd Calendar'!$AR$2012)=0,"",IF(('Dvd Calendar'!$AR$2012&gt;=GRID_FROM)*('Dvd Calendar'!$AR$2012&lt;=GRID_TO)*((('Dvd Calendar'!$AR$2012&lt;=VAL_DATE)+(COUNTIF('Dvd Calendar'!$E$2019:$AR$2019,'Dvd Calendar'!$AR$2012)=0))&gt;0)=0,"",'Dvd Calendar'!$AR$2012*1000000000+ISNUMBER('Dvd Calendar'!$AR$2015)*100000000+('Dvd Calendar'!$AR$2017=SPECIAL_LBL)*10000000+(N('Dvd Calendar'!$AR$2011)&gt;0)*(N('Dvd Calendar'!$AR$2011)&lt;=VAL_SERIAL)*1000000+42*1000+40))</f>
        <v/>
      </c>
      <c r="FS201" s="39">
        <f>IF(N('Dvd Calendar'!$E$2019)=0,"",IF(('Dvd Calendar'!$E$2019&gt;=GRID_FROM)*('Dvd Calendar'!$E$2019&lt;=GRID_TO)*('Dvd Calendar'!$E$2019&gt;VAL_DATE)=0,"",'Dvd Calendar'!$E$2019*1000000000+ISNUMBER('Dvd Calendar'!$E$2020)*100000000+0*10000000+(N('Dvd Calendar'!$E$2018)&gt;0)*(N('Dvd Calendar'!$E$2018)&lt;=VAL_SERIAL)*1000000+42*1000+41))</f>
        <v/>
      </c>
      <c r="FT201" s="39">
        <f>IF(N('Dvd Calendar'!$F$2019)=0,"",IF(('Dvd Calendar'!$F$2019&gt;=GRID_FROM)*('Dvd Calendar'!$F$2019&lt;=GRID_TO)*('Dvd Calendar'!$F$2019&gt;VAL_DATE)=0,"",'Dvd Calendar'!$F$2019*1000000000+ISNUMBER('Dvd Calendar'!$F$2020)*100000000+0*10000000+(N('Dvd Calendar'!$F$2018)&gt;0)*(N('Dvd Calendar'!$F$2018)&lt;=VAL_SERIAL)*1000000+42*1000+42))</f>
        <v/>
      </c>
      <c r="FU201" s="39">
        <f>IF(N('Dvd Calendar'!$G$2019)=0,"",IF(('Dvd Calendar'!$G$2019&gt;=GRID_FROM)*('Dvd Calendar'!$G$2019&lt;=GRID_TO)*('Dvd Calendar'!$G$2019&gt;VAL_DATE)=0,"",'Dvd Calendar'!$G$2019*1000000000+ISNUMBER('Dvd Calendar'!$G$2020)*100000000+0*10000000+(N('Dvd Calendar'!$G$2018)&gt;0)*(N('Dvd Calendar'!$G$2018)&lt;=VAL_SERIAL)*1000000+42*1000+43))</f>
        <v/>
      </c>
      <c r="FV201" s="39">
        <f>IF(N('Dvd Calendar'!$H$2019)=0,"",IF(('Dvd Calendar'!$H$2019&gt;=GRID_FROM)*('Dvd Calendar'!$H$2019&lt;=GRID_TO)*('Dvd Calendar'!$H$2019&gt;VAL_DATE)=0,"",'Dvd Calendar'!$H$2019*1000000000+ISNUMBER('Dvd Calendar'!$H$2020)*100000000+0*10000000+(N('Dvd Calendar'!$H$2018)&gt;0)*(N('Dvd Calendar'!$H$2018)&lt;=VAL_SERIAL)*1000000+42*1000+44))</f>
        <v/>
      </c>
      <c r="FW201" s="39">
        <f>IF(N('Dvd Calendar'!$I$2019)=0,"",IF(('Dvd Calendar'!$I$2019&gt;=GRID_FROM)*('Dvd Calendar'!$I$2019&lt;=GRID_TO)*('Dvd Calendar'!$I$2019&gt;VAL_DATE)=0,"",'Dvd Calendar'!$I$2019*1000000000+ISNUMBER('Dvd Calendar'!$I$2020)*100000000+0*10000000+(N('Dvd Calendar'!$I$2018)&gt;0)*(N('Dvd Calendar'!$I$2018)&lt;=VAL_SERIAL)*1000000+42*1000+45))</f>
        <v/>
      </c>
      <c r="FX201" s="39">
        <f>IF(N('Dvd Calendar'!$J$2019)=0,"",IF(('Dvd Calendar'!$J$2019&gt;=GRID_FROM)*('Dvd Calendar'!$J$2019&lt;=GRID_TO)*('Dvd Calendar'!$J$2019&gt;VAL_DATE)=0,"",'Dvd Calendar'!$J$2019*1000000000+ISNUMBER('Dvd Calendar'!$J$2020)*100000000+0*10000000+(N('Dvd Calendar'!$J$2018)&gt;0)*(N('Dvd Calendar'!$J$2018)&lt;=VAL_SERIAL)*1000000+42*1000+46))</f>
        <v/>
      </c>
      <c r="FY201" s="39">
        <f>IF(N('Dvd Calendar'!$K$2019)=0,"",IF(('Dvd Calendar'!$K$2019&gt;=GRID_FROM)*('Dvd Calendar'!$K$2019&lt;=GRID_TO)*('Dvd Calendar'!$K$2019&gt;VAL_DATE)=0,"",'Dvd Calendar'!$K$2019*1000000000+ISNUMBER('Dvd Calendar'!$K$2020)*100000000+0*10000000+(N('Dvd Calendar'!$K$2018)&gt;0)*(N('Dvd Calendar'!$K$2018)&lt;=VAL_SERIAL)*1000000+42*1000+47))</f>
        <v/>
      </c>
      <c r="FZ201" s="39">
        <f>IF(N('Dvd Calendar'!$L$2019)=0,"",IF(('Dvd Calendar'!$L$2019&gt;=GRID_FROM)*('Dvd Calendar'!$L$2019&lt;=GRID_TO)*('Dvd Calendar'!$L$2019&gt;VAL_DATE)=0,"",'Dvd Calendar'!$L$2019*1000000000+ISNUMBER('Dvd Calendar'!$L$2020)*100000000+0*10000000+(N('Dvd Calendar'!$L$2018)&gt;0)*(N('Dvd Calendar'!$L$2018)&lt;=VAL_SERIAL)*1000000+42*1000+48))</f>
        <v/>
      </c>
      <c r="GA201" s="39">
        <f>IF(N('Dvd Calendar'!$M$2019)=0,"",IF(('Dvd Calendar'!$M$2019&gt;=GRID_FROM)*('Dvd Calendar'!$M$2019&lt;=GRID_TO)*('Dvd Calendar'!$M$2019&gt;VAL_DATE)=0,"",'Dvd Calendar'!$M$2019*1000000000+ISNUMBER('Dvd Calendar'!$M$2020)*100000000+0*10000000+(N('Dvd Calendar'!$M$2018)&gt;0)*(N('Dvd Calendar'!$M$2018)&lt;=VAL_SERIAL)*1000000+42*1000+49))</f>
        <v/>
      </c>
      <c r="GB201" s="39">
        <f>IF(N('Dvd Calendar'!$N$2019)=0,"",IF(('Dvd Calendar'!$N$2019&gt;=GRID_FROM)*('Dvd Calendar'!$N$2019&lt;=GRID_TO)*('Dvd Calendar'!$N$2019&gt;VAL_DATE)=0,"",'Dvd Calendar'!$N$2019*1000000000+ISNUMBER('Dvd Calendar'!$N$2020)*100000000+0*10000000+(N('Dvd Calendar'!$N$2018)&gt;0)*(N('Dvd Calendar'!$N$2018)&lt;=VAL_SERIAL)*1000000+42*1000+50))</f>
        <v/>
      </c>
      <c r="GC201" s="39">
        <f>IF(N('Dvd Calendar'!$O$2019)=0,"",IF(('Dvd Calendar'!$O$2019&gt;=GRID_FROM)*('Dvd Calendar'!$O$2019&lt;=GRID_TO)*('Dvd Calendar'!$O$2019&gt;VAL_DATE)=0,"",'Dvd Calendar'!$O$2019*1000000000+ISNUMBER('Dvd Calendar'!$O$2020)*100000000+0*10000000+(N('Dvd Calendar'!$O$2018)&gt;0)*(N('Dvd Calendar'!$O$2018)&lt;=VAL_SERIAL)*1000000+42*1000+51))</f>
        <v/>
      </c>
      <c r="GD201" s="39">
        <f>IF(N('Dvd Calendar'!$P$2019)=0,"",IF(('Dvd Calendar'!$P$2019&gt;=GRID_FROM)*('Dvd Calendar'!$P$2019&lt;=GRID_TO)*('Dvd Calendar'!$P$2019&gt;VAL_DATE)=0,"",'Dvd Calendar'!$P$2019*1000000000+ISNUMBER('Dvd Calendar'!$P$2020)*100000000+0*10000000+(N('Dvd Calendar'!$P$2018)&gt;0)*(N('Dvd Calendar'!$P$2018)&lt;=VAL_SERIAL)*1000000+42*1000+52))</f>
        <v/>
      </c>
      <c r="GE201" s="39">
        <f>IF(N('Dvd Calendar'!$Q$2019)=0,"",IF(('Dvd Calendar'!$Q$2019&gt;=GRID_FROM)*('Dvd Calendar'!$Q$2019&lt;=GRID_TO)*('Dvd Calendar'!$Q$2019&gt;VAL_DATE)=0,"",'Dvd Calendar'!$Q$2019*1000000000+ISNUMBER('Dvd Calendar'!$Q$2020)*100000000+0*10000000+(N('Dvd Calendar'!$Q$2018)&gt;0)*(N('Dvd Calendar'!$Q$2018)&lt;=VAL_SERIAL)*1000000+42*1000+53))</f>
        <v/>
      </c>
      <c r="GF201" s="39">
        <f>IF(N('Dvd Calendar'!$R$2019)=0,"",IF(('Dvd Calendar'!$R$2019&gt;=GRID_FROM)*('Dvd Calendar'!$R$2019&lt;=GRID_TO)*('Dvd Calendar'!$R$2019&gt;VAL_DATE)=0,"",'Dvd Calendar'!$R$2019*1000000000+ISNUMBER('Dvd Calendar'!$R$2020)*100000000+0*10000000+(N('Dvd Calendar'!$R$2018)&gt;0)*(N('Dvd Calendar'!$R$2018)&lt;=VAL_SERIAL)*1000000+42*1000+54))</f>
        <v/>
      </c>
      <c r="GG201" s="39">
        <f>IF(N('Dvd Calendar'!$S$2019)=0,"",IF(('Dvd Calendar'!$S$2019&gt;=GRID_FROM)*('Dvd Calendar'!$S$2019&lt;=GRID_TO)*('Dvd Calendar'!$S$2019&gt;VAL_DATE)=0,"",'Dvd Calendar'!$S$2019*1000000000+ISNUMBER('Dvd Calendar'!$S$2020)*100000000+0*10000000+(N('Dvd Calendar'!$S$2018)&gt;0)*(N('Dvd Calendar'!$S$2018)&lt;=VAL_SERIAL)*1000000+42*1000+55))</f>
        <v/>
      </c>
      <c r="GH201" s="39">
        <f>IF(N('Dvd Calendar'!$T$2019)=0,"",IF(('Dvd Calendar'!$T$2019&gt;=GRID_FROM)*('Dvd Calendar'!$T$2019&lt;=GRID_TO)*('Dvd Calendar'!$T$2019&gt;VAL_DATE)=0,"",'Dvd Calendar'!$T$2019*1000000000+ISNUMBER('Dvd Calendar'!$T$2020)*100000000+0*10000000+(N('Dvd Calendar'!$T$2018)&gt;0)*(N('Dvd Calendar'!$T$2018)&lt;=VAL_SERIAL)*1000000+42*1000+56))</f>
        <v/>
      </c>
      <c r="GI201" s="39">
        <f>IF(N('Dvd Calendar'!$U$2019)=0,"",IF(('Dvd Calendar'!$U$2019&gt;=GRID_FROM)*('Dvd Calendar'!$U$2019&lt;=GRID_TO)*('Dvd Calendar'!$U$2019&gt;VAL_DATE)=0,"",'Dvd Calendar'!$U$2019*1000000000+ISNUMBER('Dvd Calendar'!$U$2020)*100000000+0*10000000+(N('Dvd Calendar'!$U$2018)&gt;0)*(N('Dvd Calendar'!$U$2018)&lt;=VAL_SERIAL)*1000000+42*1000+57))</f>
        <v/>
      </c>
      <c r="GJ201" s="39">
        <f>IF(N('Dvd Calendar'!$V$2019)=0,"",IF(('Dvd Calendar'!$V$2019&gt;=GRID_FROM)*('Dvd Calendar'!$V$2019&lt;=GRID_TO)*('Dvd Calendar'!$V$2019&gt;VAL_DATE)=0,"",'Dvd Calendar'!$V$2019*1000000000+ISNUMBER('Dvd Calendar'!$V$2020)*100000000+0*10000000+(N('Dvd Calendar'!$V$2018)&gt;0)*(N('Dvd Calendar'!$V$2018)&lt;=VAL_SERIAL)*1000000+42*1000+58))</f>
        <v/>
      </c>
      <c r="GK201" s="39">
        <f>IF(N('Dvd Calendar'!$W$2019)=0,"",IF(('Dvd Calendar'!$W$2019&gt;=GRID_FROM)*('Dvd Calendar'!$W$2019&lt;=GRID_TO)*('Dvd Calendar'!$W$2019&gt;VAL_DATE)=0,"",'Dvd Calendar'!$W$2019*1000000000+ISNUMBER('Dvd Calendar'!$W$2020)*100000000+0*10000000+(N('Dvd Calendar'!$W$2018)&gt;0)*(N('Dvd Calendar'!$W$2018)&lt;=VAL_SERIAL)*1000000+42*1000+59))</f>
        <v/>
      </c>
      <c r="GL201" s="39">
        <f>IF(N('Dvd Calendar'!$X$2019)=0,"",IF(('Dvd Calendar'!$X$2019&gt;=GRID_FROM)*('Dvd Calendar'!$X$2019&lt;=GRID_TO)*('Dvd Calendar'!$X$2019&gt;VAL_DATE)=0,"",'Dvd Calendar'!$X$2019*1000000000+ISNUMBER('Dvd Calendar'!$X$2020)*100000000+0*10000000+(N('Dvd Calendar'!$X$2018)&gt;0)*(N('Dvd Calendar'!$X$2018)&lt;=VAL_SERIAL)*1000000+42*1000+60))</f>
        <v/>
      </c>
      <c r="GM201" s="39">
        <f>IF(N('Dvd Calendar'!$Y$2019)=0,"",IF(('Dvd Calendar'!$Y$2019&gt;=GRID_FROM)*('Dvd Calendar'!$Y$2019&lt;=GRID_TO)*('Dvd Calendar'!$Y$2019&gt;VAL_DATE)=0,"",'Dvd Calendar'!$Y$2019*1000000000+ISNUMBER('Dvd Calendar'!$Y$2020)*100000000+0*10000000+(N('Dvd Calendar'!$Y$2018)&gt;0)*(N('Dvd Calendar'!$Y$2018)&lt;=VAL_SERIAL)*1000000+42*1000+61))</f>
        <v/>
      </c>
      <c r="GN201" s="39">
        <f>IF(N('Dvd Calendar'!$Z$2019)=0,"",IF(('Dvd Calendar'!$Z$2019&gt;=GRID_FROM)*('Dvd Calendar'!$Z$2019&lt;=GRID_TO)*('Dvd Calendar'!$Z$2019&gt;VAL_DATE)=0,"",'Dvd Calendar'!$Z$2019*1000000000+ISNUMBER('Dvd Calendar'!$Z$2020)*100000000+0*10000000+(N('Dvd Calendar'!$Z$2018)&gt;0)*(N('Dvd Calendar'!$Z$2018)&lt;=VAL_SERIAL)*1000000+42*1000+62))</f>
        <v/>
      </c>
      <c r="GO201" s="39">
        <f>IF(N('Dvd Calendar'!$AA$2019)=0,"",IF(('Dvd Calendar'!$AA$2019&gt;=GRID_FROM)*('Dvd Calendar'!$AA$2019&lt;=GRID_TO)*('Dvd Calendar'!$AA$2019&gt;VAL_DATE)=0,"",'Dvd Calendar'!$AA$2019*1000000000+ISNUMBER('Dvd Calendar'!$AA$2020)*100000000+0*10000000+(N('Dvd Calendar'!$AA$2018)&gt;0)*(N('Dvd Calendar'!$AA$2018)&lt;=VAL_SERIAL)*1000000+42*1000+63))</f>
        <v/>
      </c>
      <c r="GP201" s="39">
        <f>IF(N('Dvd Calendar'!$AB$2019)=0,"",IF(('Dvd Calendar'!$AB$2019&gt;=GRID_FROM)*('Dvd Calendar'!$AB$2019&lt;=GRID_TO)*('Dvd Calendar'!$AB$2019&gt;VAL_DATE)=0,"",'Dvd Calendar'!$AB$2019*1000000000+ISNUMBER('Dvd Calendar'!$AB$2020)*100000000+0*10000000+(N('Dvd Calendar'!$AB$2018)&gt;0)*(N('Dvd Calendar'!$AB$2018)&lt;=VAL_SERIAL)*1000000+42*1000+64))</f>
        <v/>
      </c>
      <c r="GQ201" s="39">
        <f>IF(N('Dvd Calendar'!$AC$2019)=0,"",IF(('Dvd Calendar'!$AC$2019&gt;=GRID_FROM)*('Dvd Calendar'!$AC$2019&lt;=GRID_TO)*('Dvd Calendar'!$AC$2019&gt;VAL_DATE)=0,"",'Dvd Calendar'!$AC$2019*1000000000+ISNUMBER('Dvd Calendar'!$AC$2020)*100000000+0*10000000+(N('Dvd Calendar'!$AC$2018)&gt;0)*(N('Dvd Calendar'!$AC$2018)&lt;=VAL_SERIAL)*1000000+42*1000+65))</f>
        <v/>
      </c>
    </row>
    <row r="202">
      <c r="B202" s="2">
        <f>IF(HSCEI!$C$49="","",HSCEI!$C$49)</f>
        <v/>
      </c>
      <c r="C202" s="110">
        <f>IF(EE202="","",IF(ISNUMBER('Dvd Calendar'!$E$2026)=FALSE,"",IF((('Dvd Calendar'!$E$2028=TYPE1)*(TYPE1&lt;&gt;"")+('Dvd Calendar'!$E$2028=TYPE2)*(TYPE2&lt;&gt;"")+('Dvd Calendar'!$E$2028=TYPE3)*(TYPE3&lt;&gt;"")+('Dvd Calendar'!$E$2028=TYPE4)*(TYPE4&lt;&gt;"")+('Dvd Calendar'!$E$2028=SPECIAL_LBL)*(INC_SPECIALS="Y"))=0,"",'Dvd Calendar'!$E$2026)))</f>
        <v/>
      </c>
      <c r="D202" s="110">
        <f>IF(EF202="","",IF(ISNUMBER('Dvd Calendar'!$F$2026)=FALSE,"",IF((('Dvd Calendar'!$F$2028=TYPE1)*(TYPE1&lt;&gt;"")+('Dvd Calendar'!$F$2028=TYPE2)*(TYPE2&lt;&gt;"")+('Dvd Calendar'!$F$2028=TYPE3)*(TYPE3&lt;&gt;"")+('Dvd Calendar'!$F$2028=TYPE4)*(TYPE4&lt;&gt;"")+('Dvd Calendar'!$F$2028=SPECIAL_LBL)*(INC_SPECIALS="Y"))=0,"",'Dvd Calendar'!$F$2026)))</f>
        <v/>
      </c>
      <c r="E202" s="110">
        <f>IF(EG202="","",IF(ISNUMBER('Dvd Calendar'!$G$2026)=FALSE,"",IF((('Dvd Calendar'!$G$2028=TYPE1)*(TYPE1&lt;&gt;"")+('Dvd Calendar'!$G$2028=TYPE2)*(TYPE2&lt;&gt;"")+('Dvd Calendar'!$G$2028=TYPE3)*(TYPE3&lt;&gt;"")+('Dvd Calendar'!$G$2028=TYPE4)*(TYPE4&lt;&gt;"")+('Dvd Calendar'!$G$2028=SPECIAL_LBL)*(INC_SPECIALS="Y"))=0,"",'Dvd Calendar'!$G$2026)))</f>
        <v/>
      </c>
      <c r="F202" s="110">
        <f>IF(EH202="","",IF(ISNUMBER('Dvd Calendar'!$H$2026)=FALSE,"",IF((('Dvd Calendar'!$H$2028=TYPE1)*(TYPE1&lt;&gt;"")+('Dvd Calendar'!$H$2028=TYPE2)*(TYPE2&lt;&gt;"")+('Dvd Calendar'!$H$2028=TYPE3)*(TYPE3&lt;&gt;"")+('Dvd Calendar'!$H$2028=TYPE4)*(TYPE4&lt;&gt;"")+('Dvd Calendar'!$H$2028=SPECIAL_LBL)*(INC_SPECIALS="Y"))=0,"",'Dvd Calendar'!$H$2026)))</f>
        <v/>
      </c>
      <c r="G202" s="110">
        <f>IF(EI202="","",IF(ISNUMBER('Dvd Calendar'!$I$2026)=FALSE,"",IF((('Dvd Calendar'!$I$2028=TYPE1)*(TYPE1&lt;&gt;"")+('Dvd Calendar'!$I$2028=TYPE2)*(TYPE2&lt;&gt;"")+('Dvd Calendar'!$I$2028=TYPE3)*(TYPE3&lt;&gt;"")+('Dvd Calendar'!$I$2028=TYPE4)*(TYPE4&lt;&gt;"")+('Dvd Calendar'!$I$2028=SPECIAL_LBL)*(INC_SPECIALS="Y"))=0,"",'Dvd Calendar'!$I$2026)))</f>
        <v/>
      </c>
      <c r="H202" s="110">
        <f>IF(EJ202="","",IF(ISNUMBER('Dvd Calendar'!$J$2026)=FALSE,"",IF((('Dvd Calendar'!$J$2028=TYPE1)*(TYPE1&lt;&gt;"")+('Dvd Calendar'!$J$2028=TYPE2)*(TYPE2&lt;&gt;"")+('Dvd Calendar'!$J$2028=TYPE3)*(TYPE3&lt;&gt;"")+('Dvd Calendar'!$J$2028=TYPE4)*(TYPE4&lt;&gt;"")+('Dvd Calendar'!$J$2028=SPECIAL_LBL)*(INC_SPECIALS="Y"))=0,"",'Dvd Calendar'!$J$2026)))</f>
        <v/>
      </c>
      <c r="I202" s="110">
        <f>IF(EK202="","",IF(ISNUMBER('Dvd Calendar'!$K$2026)=FALSE,"",IF((('Dvd Calendar'!$K$2028=TYPE1)*(TYPE1&lt;&gt;"")+('Dvd Calendar'!$K$2028=TYPE2)*(TYPE2&lt;&gt;"")+('Dvd Calendar'!$K$2028=TYPE3)*(TYPE3&lt;&gt;"")+('Dvd Calendar'!$K$2028=TYPE4)*(TYPE4&lt;&gt;"")+('Dvd Calendar'!$K$2028=SPECIAL_LBL)*(INC_SPECIALS="Y"))=0,"",'Dvd Calendar'!$K$2026)))</f>
        <v/>
      </c>
      <c r="J202" s="110">
        <f>IF(EL202="","",IF(ISNUMBER('Dvd Calendar'!$L$2026)=FALSE,"",IF((('Dvd Calendar'!$L$2028=TYPE1)*(TYPE1&lt;&gt;"")+('Dvd Calendar'!$L$2028=TYPE2)*(TYPE2&lt;&gt;"")+('Dvd Calendar'!$L$2028=TYPE3)*(TYPE3&lt;&gt;"")+('Dvd Calendar'!$L$2028=TYPE4)*(TYPE4&lt;&gt;"")+('Dvd Calendar'!$L$2028=SPECIAL_LBL)*(INC_SPECIALS="Y"))=0,"",'Dvd Calendar'!$L$2026)))</f>
        <v/>
      </c>
      <c r="K202" s="110">
        <f>IF(EM202="","",IF(ISNUMBER('Dvd Calendar'!$M$2026)=FALSE,"",IF((('Dvd Calendar'!$M$2028=TYPE1)*(TYPE1&lt;&gt;"")+('Dvd Calendar'!$M$2028=TYPE2)*(TYPE2&lt;&gt;"")+('Dvd Calendar'!$M$2028=TYPE3)*(TYPE3&lt;&gt;"")+('Dvd Calendar'!$M$2028=TYPE4)*(TYPE4&lt;&gt;"")+('Dvd Calendar'!$M$2028=SPECIAL_LBL)*(INC_SPECIALS="Y"))=0,"",'Dvd Calendar'!$M$2026)))</f>
        <v/>
      </c>
      <c r="L202" s="110">
        <f>IF(EN202="","",IF(ISNUMBER('Dvd Calendar'!$N$2026)=FALSE,"",IF((('Dvd Calendar'!$N$2028=TYPE1)*(TYPE1&lt;&gt;"")+('Dvd Calendar'!$N$2028=TYPE2)*(TYPE2&lt;&gt;"")+('Dvd Calendar'!$N$2028=TYPE3)*(TYPE3&lt;&gt;"")+('Dvd Calendar'!$N$2028=TYPE4)*(TYPE4&lt;&gt;"")+('Dvd Calendar'!$N$2028=SPECIAL_LBL)*(INC_SPECIALS="Y"))=0,"",'Dvd Calendar'!$N$2026)))</f>
        <v/>
      </c>
      <c r="M202" s="110">
        <f>IF(EO202="","",IF(ISNUMBER('Dvd Calendar'!$O$2026)=FALSE,"",IF((('Dvd Calendar'!$O$2028=TYPE1)*(TYPE1&lt;&gt;"")+('Dvd Calendar'!$O$2028=TYPE2)*(TYPE2&lt;&gt;"")+('Dvd Calendar'!$O$2028=TYPE3)*(TYPE3&lt;&gt;"")+('Dvd Calendar'!$O$2028=TYPE4)*(TYPE4&lt;&gt;"")+('Dvd Calendar'!$O$2028=SPECIAL_LBL)*(INC_SPECIALS="Y"))=0,"",'Dvd Calendar'!$O$2026)))</f>
        <v/>
      </c>
      <c r="N202" s="110">
        <f>IF(EP202="","",IF(ISNUMBER('Dvd Calendar'!$P$2026)=FALSE,"",IF((('Dvd Calendar'!$P$2028=TYPE1)*(TYPE1&lt;&gt;"")+('Dvd Calendar'!$P$2028=TYPE2)*(TYPE2&lt;&gt;"")+('Dvd Calendar'!$P$2028=TYPE3)*(TYPE3&lt;&gt;"")+('Dvd Calendar'!$P$2028=TYPE4)*(TYPE4&lt;&gt;"")+('Dvd Calendar'!$P$2028=SPECIAL_LBL)*(INC_SPECIALS="Y"))=0,"",'Dvd Calendar'!$P$2026)))</f>
        <v/>
      </c>
      <c r="O202" s="110">
        <f>IF(EQ202="","",IF(ISNUMBER('Dvd Calendar'!$Q$2026)=FALSE,"",IF((('Dvd Calendar'!$Q$2028=TYPE1)*(TYPE1&lt;&gt;"")+('Dvd Calendar'!$Q$2028=TYPE2)*(TYPE2&lt;&gt;"")+('Dvd Calendar'!$Q$2028=TYPE3)*(TYPE3&lt;&gt;"")+('Dvd Calendar'!$Q$2028=TYPE4)*(TYPE4&lt;&gt;"")+('Dvd Calendar'!$Q$2028=SPECIAL_LBL)*(INC_SPECIALS="Y"))=0,"",'Dvd Calendar'!$Q$2026)))</f>
        <v/>
      </c>
      <c r="P202" s="110">
        <f>IF(ER202="","",IF(ISNUMBER('Dvd Calendar'!$R$2026)=FALSE,"",IF((('Dvd Calendar'!$R$2028=TYPE1)*(TYPE1&lt;&gt;"")+('Dvd Calendar'!$R$2028=TYPE2)*(TYPE2&lt;&gt;"")+('Dvd Calendar'!$R$2028=TYPE3)*(TYPE3&lt;&gt;"")+('Dvd Calendar'!$R$2028=TYPE4)*(TYPE4&lt;&gt;"")+('Dvd Calendar'!$R$2028=SPECIAL_LBL)*(INC_SPECIALS="Y"))=0,"",'Dvd Calendar'!$R$2026)))</f>
        <v/>
      </c>
      <c r="Q202" s="110">
        <f>IF(ES202="","",IF(ISNUMBER('Dvd Calendar'!$S$2026)=FALSE,"",IF((('Dvd Calendar'!$S$2028=TYPE1)*(TYPE1&lt;&gt;"")+('Dvd Calendar'!$S$2028=TYPE2)*(TYPE2&lt;&gt;"")+('Dvd Calendar'!$S$2028=TYPE3)*(TYPE3&lt;&gt;"")+('Dvd Calendar'!$S$2028=TYPE4)*(TYPE4&lt;&gt;"")+('Dvd Calendar'!$S$2028=SPECIAL_LBL)*(INC_SPECIALS="Y"))=0,"",'Dvd Calendar'!$S$2026)))</f>
        <v/>
      </c>
      <c r="R202" s="110">
        <f>IF(ET202="","",IF(ISNUMBER('Dvd Calendar'!$T$2026)=FALSE,"",IF((('Dvd Calendar'!$T$2028=TYPE1)*(TYPE1&lt;&gt;"")+('Dvd Calendar'!$T$2028=TYPE2)*(TYPE2&lt;&gt;"")+('Dvd Calendar'!$T$2028=TYPE3)*(TYPE3&lt;&gt;"")+('Dvd Calendar'!$T$2028=TYPE4)*(TYPE4&lt;&gt;"")+('Dvd Calendar'!$T$2028=SPECIAL_LBL)*(INC_SPECIALS="Y"))=0,"",'Dvd Calendar'!$T$2026)))</f>
        <v/>
      </c>
      <c r="S202" s="110">
        <f>IF(EU202="","",IF(ISNUMBER('Dvd Calendar'!$U$2026)=FALSE,"",IF((('Dvd Calendar'!$U$2028=TYPE1)*(TYPE1&lt;&gt;"")+('Dvd Calendar'!$U$2028=TYPE2)*(TYPE2&lt;&gt;"")+('Dvd Calendar'!$U$2028=TYPE3)*(TYPE3&lt;&gt;"")+('Dvd Calendar'!$U$2028=TYPE4)*(TYPE4&lt;&gt;"")+('Dvd Calendar'!$U$2028=SPECIAL_LBL)*(INC_SPECIALS="Y"))=0,"",'Dvd Calendar'!$U$2026)))</f>
        <v/>
      </c>
      <c r="T202" s="110">
        <f>IF(EV202="","",IF(ISNUMBER('Dvd Calendar'!$V$2026)=FALSE,"",IF((('Dvd Calendar'!$V$2028=TYPE1)*(TYPE1&lt;&gt;"")+('Dvd Calendar'!$V$2028=TYPE2)*(TYPE2&lt;&gt;"")+('Dvd Calendar'!$V$2028=TYPE3)*(TYPE3&lt;&gt;"")+('Dvd Calendar'!$V$2028=TYPE4)*(TYPE4&lt;&gt;"")+('Dvd Calendar'!$V$2028=SPECIAL_LBL)*(INC_SPECIALS="Y"))=0,"",'Dvd Calendar'!$V$2026)))</f>
        <v/>
      </c>
      <c r="U202" s="110">
        <f>IF(EW202="","",IF(ISNUMBER('Dvd Calendar'!$W$2026)=FALSE,"",IF((('Dvd Calendar'!$W$2028=TYPE1)*(TYPE1&lt;&gt;"")+('Dvd Calendar'!$W$2028=TYPE2)*(TYPE2&lt;&gt;"")+('Dvd Calendar'!$W$2028=TYPE3)*(TYPE3&lt;&gt;"")+('Dvd Calendar'!$W$2028=TYPE4)*(TYPE4&lt;&gt;"")+('Dvd Calendar'!$W$2028=SPECIAL_LBL)*(INC_SPECIALS="Y"))=0,"",'Dvd Calendar'!$W$2026)))</f>
        <v/>
      </c>
      <c r="V202" s="110">
        <f>IF(EX202="","",IF(ISNUMBER('Dvd Calendar'!$X$2026)=FALSE,"",IF((('Dvd Calendar'!$X$2028=TYPE1)*(TYPE1&lt;&gt;"")+('Dvd Calendar'!$X$2028=TYPE2)*(TYPE2&lt;&gt;"")+('Dvd Calendar'!$X$2028=TYPE3)*(TYPE3&lt;&gt;"")+('Dvd Calendar'!$X$2028=TYPE4)*(TYPE4&lt;&gt;"")+('Dvd Calendar'!$X$2028=SPECIAL_LBL)*(INC_SPECIALS="Y"))=0,"",'Dvd Calendar'!$X$2026)))</f>
        <v/>
      </c>
      <c r="W202" s="110">
        <f>IF(EY202="","",IF(ISNUMBER('Dvd Calendar'!$Y$2026)=FALSE,"",IF((('Dvd Calendar'!$Y$2028=TYPE1)*(TYPE1&lt;&gt;"")+('Dvd Calendar'!$Y$2028=TYPE2)*(TYPE2&lt;&gt;"")+('Dvd Calendar'!$Y$2028=TYPE3)*(TYPE3&lt;&gt;"")+('Dvd Calendar'!$Y$2028=TYPE4)*(TYPE4&lt;&gt;"")+('Dvd Calendar'!$Y$2028=SPECIAL_LBL)*(INC_SPECIALS="Y"))=0,"",'Dvd Calendar'!$Y$2026)))</f>
        <v/>
      </c>
      <c r="X202" s="110">
        <f>IF(EZ202="","",IF(ISNUMBER('Dvd Calendar'!$Z$2026)=FALSE,"",IF((('Dvd Calendar'!$Z$2028=TYPE1)*(TYPE1&lt;&gt;"")+('Dvd Calendar'!$Z$2028=TYPE2)*(TYPE2&lt;&gt;"")+('Dvd Calendar'!$Z$2028=TYPE3)*(TYPE3&lt;&gt;"")+('Dvd Calendar'!$Z$2028=TYPE4)*(TYPE4&lt;&gt;"")+('Dvd Calendar'!$Z$2028=SPECIAL_LBL)*(INC_SPECIALS="Y"))=0,"",'Dvd Calendar'!$Z$2026)))</f>
        <v/>
      </c>
      <c r="Y202" s="110">
        <f>IF(FA202="","",IF(ISNUMBER('Dvd Calendar'!$AA$2026)=FALSE,"",IF((('Dvd Calendar'!$AA$2028=TYPE1)*(TYPE1&lt;&gt;"")+('Dvd Calendar'!$AA$2028=TYPE2)*(TYPE2&lt;&gt;"")+('Dvd Calendar'!$AA$2028=TYPE3)*(TYPE3&lt;&gt;"")+('Dvd Calendar'!$AA$2028=TYPE4)*(TYPE4&lt;&gt;"")+('Dvd Calendar'!$AA$2028=SPECIAL_LBL)*(INC_SPECIALS="Y"))=0,"",'Dvd Calendar'!$AA$2026)))</f>
        <v/>
      </c>
      <c r="Z202" s="110">
        <f>IF(FB202="","",IF(ISNUMBER('Dvd Calendar'!$AB$2026)=FALSE,"",IF((('Dvd Calendar'!$AB$2028=TYPE1)*(TYPE1&lt;&gt;"")+('Dvd Calendar'!$AB$2028=TYPE2)*(TYPE2&lt;&gt;"")+('Dvd Calendar'!$AB$2028=TYPE3)*(TYPE3&lt;&gt;"")+('Dvd Calendar'!$AB$2028=TYPE4)*(TYPE4&lt;&gt;"")+('Dvd Calendar'!$AB$2028=SPECIAL_LBL)*(INC_SPECIALS="Y"))=0,"",'Dvd Calendar'!$AB$2026)))</f>
        <v/>
      </c>
      <c r="AA202" s="110">
        <f>IF(FC202="","",IF(ISNUMBER('Dvd Calendar'!$AC$2026)=FALSE,"",IF((('Dvd Calendar'!$AC$2028=TYPE1)*(TYPE1&lt;&gt;"")+('Dvd Calendar'!$AC$2028=TYPE2)*(TYPE2&lt;&gt;"")+('Dvd Calendar'!$AC$2028=TYPE3)*(TYPE3&lt;&gt;"")+('Dvd Calendar'!$AC$2028=TYPE4)*(TYPE4&lt;&gt;"")+('Dvd Calendar'!$AC$2028=SPECIAL_LBL)*(INC_SPECIALS="Y"))=0,"",'Dvd Calendar'!$AC$2026)))</f>
        <v/>
      </c>
      <c r="AB202" s="110">
        <f>IF(FD202="","",IF(ISNUMBER('Dvd Calendar'!$AD$2026)=FALSE,"",IF((('Dvd Calendar'!$AD$2028=TYPE1)*(TYPE1&lt;&gt;"")+('Dvd Calendar'!$AD$2028=TYPE2)*(TYPE2&lt;&gt;"")+('Dvd Calendar'!$AD$2028=TYPE3)*(TYPE3&lt;&gt;"")+('Dvd Calendar'!$AD$2028=TYPE4)*(TYPE4&lt;&gt;"")+('Dvd Calendar'!$AD$2028=SPECIAL_LBL)*(INC_SPECIALS="Y"))=0,"",'Dvd Calendar'!$AD$2026)))</f>
        <v/>
      </c>
      <c r="AC202" s="110">
        <f>IF(FE202="","",IF(ISNUMBER('Dvd Calendar'!$AE$2026)=FALSE,"",IF((('Dvd Calendar'!$AE$2028=TYPE1)*(TYPE1&lt;&gt;"")+('Dvd Calendar'!$AE$2028=TYPE2)*(TYPE2&lt;&gt;"")+('Dvd Calendar'!$AE$2028=TYPE3)*(TYPE3&lt;&gt;"")+('Dvd Calendar'!$AE$2028=TYPE4)*(TYPE4&lt;&gt;"")+('Dvd Calendar'!$AE$2028=SPECIAL_LBL)*(INC_SPECIALS="Y"))=0,"",'Dvd Calendar'!$AE$2026)))</f>
        <v/>
      </c>
      <c r="AD202" s="110">
        <f>IF(FF202="","",IF(ISNUMBER('Dvd Calendar'!$AF$2026)=FALSE,"",IF((('Dvd Calendar'!$AF$2028=TYPE1)*(TYPE1&lt;&gt;"")+('Dvd Calendar'!$AF$2028=TYPE2)*(TYPE2&lt;&gt;"")+('Dvd Calendar'!$AF$2028=TYPE3)*(TYPE3&lt;&gt;"")+('Dvd Calendar'!$AF$2028=TYPE4)*(TYPE4&lt;&gt;"")+('Dvd Calendar'!$AF$2028=SPECIAL_LBL)*(INC_SPECIALS="Y"))=0,"",'Dvd Calendar'!$AF$2026)))</f>
        <v/>
      </c>
      <c r="AE202" s="110">
        <f>IF(FG202="","",IF(ISNUMBER('Dvd Calendar'!$AG$2026)=FALSE,"",IF((('Dvd Calendar'!$AG$2028=TYPE1)*(TYPE1&lt;&gt;"")+('Dvd Calendar'!$AG$2028=TYPE2)*(TYPE2&lt;&gt;"")+('Dvd Calendar'!$AG$2028=TYPE3)*(TYPE3&lt;&gt;"")+('Dvd Calendar'!$AG$2028=TYPE4)*(TYPE4&lt;&gt;"")+('Dvd Calendar'!$AG$2028=SPECIAL_LBL)*(INC_SPECIALS="Y"))=0,"",'Dvd Calendar'!$AG$2026)))</f>
        <v/>
      </c>
      <c r="AF202" s="110">
        <f>IF(FH202="","",IF(ISNUMBER('Dvd Calendar'!$AH$2026)=FALSE,"",IF((('Dvd Calendar'!$AH$2028=TYPE1)*(TYPE1&lt;&gt;"")+('Dvd Calendar'!$AH$2028=TYPE2)*(TYPE2&lt;&gt;"")+('Dvd Calendar'!$AH$2028=TYPE3)*(TYPE3&lt;&gt;"")+('Dvd Calendar'!$AH$2028=TYPE4)*(TYPE4&lt;&gt;"")+('Dvd Calendar'!$AH$2028=SPECIAL_LBL)*(INC_SPECIALS="Y"))=0,"",'Dvd Calendar'!$AH$2026)))</f>
        <v/>
      </c>
      <c r="AG202" s="110">
        <f>IF(FI202="","",IF(ISNUMBER('Dvd Calendar'!$AI$2026)=FALSE,"",IF((('Dvd Calendar'!$AI$2028=TYPE1)*(TYPE1&lt;&gt;"")+('Dvd Calendar'!$AI$2028=TYPE2)*(TYPE2&lt;&gt;"")+('Dvd Calendar'!$AI$2028=TYPE3)*(TYPE3&lt;&gt;"")+('Dvd Calendar'!$AI$2028=TYPE4)*(TYPE4&lt;&gt;"")+('Dvd Calendar'!$AI$2028=SPECIAL_LBL)*(INC_SPECIALS="Y"))=0,"",'Dvd Calendar'!$AI$2026)))</f>
        <v/>
      </c>
      <c r="AH202" s="110">
        <f>IF(FJ202="","",IF(ISNUMBER('Dvd Calendar'!$AJ$2026)=FALSE,"",IF((('Dvd Calendar'!$AJ$2028=TYPE1)*(TYPE1&lt;&gt;"")+('Dvd Calendar'!$AJ$2028=TYPE2)*(TYPE2&lt;&gt;"")+('Dvd Calendar'!$AJ$2028=TYPE3)*(TYPE3&lt;&gt;"")+('Dvd Calendar'!$AJ$2028=TYPE4)*(TYPE4&lt;&gt;"")+('Dvd Calendar'!$AJ$2028=SPECIAL_LBL)*(INC_SPECIALS="Y"))=0,"",'Dvd Calendar'!$AJ$2026)))</f>
        <v/>
      </c>
      <c r="AI202" s="110">
        <f>IF(FK202="","",IF(ISNUMBER('Dvd Calendar'!$AK$2026)=FALSE,"",IF((('Dvd Calendar'!$AK$2028=TYPE1)*(TYPE1&lt;&gt;"")+('Dvd Calendar'!$AK$2028=TYPE2)*(TYPE2&lt;&gt;"")+('Dvd Calendar'!$AK$2028=TYPE3)*(TYPE3&lt;&gt;"")+('Dvd Calendar'!$AK$2028=TYPE4)*(TYPE4&lt;&gt;"")+('Dvd Calendar'!$AK$2028=SPECIAL_LBL)*(INC_SPECIALS="Y"))=0,"",'Dvd Calendar'!$AK$2026)))</f>
        <v/>
      </c>
      <c r="AJ202" s="110">
        <f>IF(FL202="","",IF(ISNUMBER('Dvd Calendar'!$AL$2026)=FALSE,"",IF((('Dvd Calendar'!$AL$2028=TYPE1)*(TYPE1&lt;&gt;"")+('Dvd Calendar'!$AL$2028=TYPE2)*(TYPE2&lt;&gt;"")+('Dvd Calendar'!$AL$2028=TYPE3)*(TYPE3&lt;&gt;"")+('Dvd Calendar'!$AL$2028=TYPE4)*(TYPE4&lt;&gt;"")+('Dvd Calendar'!$AL$2028=SPECIAL_LBL)*(INC_SPECIALS="Y"))=0,"",'Dvd Calendar'!$AL$2026)))</f>
        <v/>
      </c>
      <c r="AK202" s="110">
        <f>IF(FM202="","",IF(ISNUMBER('Dvd Calendar'!$AM$2026)=FALSE,"",IF((('Dvd Calendar'!$AM$2028=TYPE1)*(TYPE1&lt;&gt;"")+('Dvd Calendar'!$AM$2028=TYPE2)*(TYPE2&lt;&gt;"")+('Dvd Calendar'!$AM$2028=TYPE3)*(TYPE3&lt;&gt;"")+('Dvd Calendar'!$AM$2028=TYPE4)*(TYPE4&lt;&gt;"")+('Dvd Calendar'!$AM$2028=SPECIAL_LBL)*(INC_SPECIALS="Y"))=0,"",'Dvd Calendar'!$AM$2026)))</f>
        <v/>
      </c>
      <c r="AL202" s="110">
        <f>IF(FN202="","",IF(ISNUMBER('Dvd Calendar'!$AN$2026)=FALSE,"",IF((('Dvd Calendar'!$AN$2028=TYPE1)*(TYPE1&lt;&gt;"")+('Dvd Calendar'!$AN$2028=TYPE2)*(TYPE2&lt;&gt;"")+('Dvd Calendar'!$AN$2028=TYPE3)*(TYPE3&lt;&gt;"")+('Dvd Calendar'!$AN$2028=TYPE4)*(TYPE4&lt;&gt;"")+('Dvd Calendar'!$AN$2028=SPECIAL_LBL)*(INC_SPECIALS="Y"))=0,"",'Dvd Calendar'!$AN$2026)))</f>
        <v/>
      </c>
      <c r="AM202" s="110">
        <f>IF(FO202="","",IF(ISNUMBER('Dvd Calendar'!$AO$2026)=FALSE,"",IF((('Dvd Calendar'!$AO$2028=TYPE1)*(TYPE1&lt;&gt;"")+('Dvd Calendar'!$AO$2028=TYPE2)*(TYPE2&lt;&gt;"")+('Dvd Calendar'!$AO$2028=TYPE3)*(TYPE3&lt;&gt;"")+('Dvd Calendar'!$AO$2028=TYPE4)*(TYPE4&lt;&gt;"")+('Dvd Calendar'!$AO$2028=SPECIAL_LBL)*(INC_SPECIALS="Y"))=0,"",'Dvd Calendar'!$AO$2026)))</f>
        <v/>
      </c>
      <c r="AN202" s="110">
        <f>IF(FP202="","",IF(ISNUMBER('Dvd Calendar'!$AP$2026)=FALSE,"",IF((('Dvd Calendar'!$AP$2028=TYPE1)*(TYPE1&lt;&gt;"")+('Dvd Calendar'!$AP$2028=TYPE2)*(TYPE2&lt;&gt;"")+('Dvd Calendar'!$AP$2028=TYPE3)*(TYPE3&lt;&gt;"")+('Dvd Calendar'!$AP$2028=TYPE4)*(TYPE4&lt;&gt;"")+('Dvd Calendar'!$AP$2028=SPECIAL_LBL)*(INC_SPECIALS="Y"))=0,"",'Dvd Calendar'!$AP$2026)))</f>
        <v/>
      </c>
      <c r="AO202" s="110">
        <f>IF(FQ202="","",IF(ISNUMBER('Dvd Calendar'!$AQ$2026)=FALSE,"",IF((('Dvd Calendar'!$AQ$2028=TYPE1)*(TYPE1&lt;&gt;"")+('Dvd Calendar'!$AQ$2028=TYPE2)*(TYPE2&lt;&gt;"")+('Dvd Calendar'!$AQ$2028=TYPE3)*(TYPE3&lt;&gt;"")+('Dvd Calendar'!$AQ$2028=TYPE4)*(TYPE4&lt;&gt;"")+('Dvd Calendar'!$AQ$2028=SPECIAL_LBL)*(INC_SPECIALS="Y"))=0,"",'Dvd Calendar'!$AQ$2026)))</f>
        <v/>
      </c>
      <c r="AP202" s="110">
        <f>IF(FR202="","",IF(ISNUMBER('Dvd Calendar'!$AR$2026)=FALSE,"",IF((('Dvd Calendar'!$AR$2028=TYPE1)*(TYPE1&lt;&gt;"")+('Dvd Calendar'!$AR$2028=TYPE2)*(TYPE2&lt;&gt;"")+('Dvd Calendar'!$AR$2028=TYPE3)*(TYPE3&lt;&gt;"")+('Dvd Calendar'!$AR$2028=TYPE4)*(TYPE4&lt;&gt;"")+('Dvd Calendar'!$AR$2028=SPECIAL_LBL)*(INC_SPECIALS="Y"))=0,"",'Dvd Calendar'!$AR$2026)))</f>
        <v/>
      </c>
      <c r="AQ202" s="110">
        <f>IF(FS202="","",IF(ISNUMBER('Dvd Calendar'!$E$2031)=FALSE,"",'Dvd Calendar'!$E$2031))</f>
        <v/>
      </c>
      <c r="AR202" s="110">
        <f>IF(FT202="","",IF(ISNUMBER('Dvd Calendar'!$F$2031)=FALSE,"",'Dvd Calendar'!$F$2031))</f>
        <v/>
      </c>
      <c r="AS202" s="110">
        <f>IF(FU202="","",IF(ISNUMBER('Dvd Calendar'!$G$2031)=FALSE,"",'Dvd Calendar'!$G$2031))</f>
        <v/>
      </c>
      <c r="AT202" s="110">
        <f>IF(FV202="","",IF(ISNUMBER('Dvd Calendar'!$H$2031)=FALSE,"",'Dvd Calendar'!$H$2031))</f>
        <v/>
      </c>
      <c r="AU202" s="110">
        <f>IF(FW202="","",IF(ISNUMBER('Dvd Calendar'!$I$2031)=FALSE,"",'Dvd Calendar'!$I$2031))</f>
        <v/>
      </c>
      <c r="AV202" s="110">
        <f>IF(FX202="","",IF(ISNUMBER('Dvd Calendar'!$J$2031)=FALSE,"",'Dvd Calendar'!$J$2031))</f>
        <v/>
      </c>
      <c r="AW202" s="110">
        <f>IF(FY202="","",IF(ISNUMBER('Dvd Calendar'!$K$2031)=FALSE,"",'Dvd Calendar'!$K$2031))</f>
        <v/>
      </c>
      <c r="AX202" s="110">
        <f>IF(FZ202="","",IF(ISNUMBER('Dvd Calendar'!$L$2031)=FALSE,"",'Dvd Calendar'!$L$2031))</f>
        <v/>
      </c>
      <c r="AY202" s="110">
        <f>IF(GA202="","",IF(ISNUMBER('Dvd Calendar'!$M$2031)=FALSE,"",'Dvd Calendar'!$M$2031))</f>
        <v/>
      </c>
      <c r="AZ202" s="110">
        <f>IF(GB202="","",IF(ISNUMBER('Dvd Calendar'!$N$2031)=FALSE,"",'Dvd Calendar'!$N$2031))</f>
        <v/>
      </c>
      <c r="BA202" s="110">
        <f>IF(GC202="","",IF(ISNUMBER('Dvd Calendar'!$O$2031)=FALSE,"",'Dvd Calendar'!$O$2031))</f>
        <v/>
      </c>
      <c r="BB202" s="110">
        <f>IF(GD202="","",IF(ISNUMBER('Dvd Calendar'!$P$2031)=FALSE,"",'Dvd Calendar'!$P$2031))</f>
        <v/>
      </c>
      <c r="BC202" s="110">
        <f>IF(GE202="","",IF(ISNUMBER('Dvd Calendar'!$Q$2031)=FALSE,"",'Dvd Calendar'!$Q$2031))</f>
        <v/>
      </c>
      <c r="BD202" s="110">
        <f>IF(GF202="","",IF(ISNUMBER('Dvd Calendar'!$R$2031)=FALSE,"",'Dvd Calendar'!$R$2031))</f>
        <v/>
      </c>
      <c r="BE202" s="110">
        <f>IF(GG202="","",IF(ISNUMBER('Dvd Calendar'!$S$2031)=FALSE,"",'Dvd Calendar'!$S$2031))</f>
        <v/>
      </c>
      <c r="BF202" s="110">
        <f>IF(GH202="","",IF(ISNUMBER('Dvd Calendar'!$T$2031)=FALSE,"",'Dvd Calendar'!$T$2031))</f>
        <v/>
      </c>
      <c r="BG202" s="110">
        <f>IF(GI202="","",IF(ISNUMBER('Dvd Calendar'!$U$2031)=FALSE,"",'Dvd Calendar'!$U$2031))</f>
        <v/>
      </c>
      <c r="BH202" s="110">
        <f>IF(GJ202="","",IF(ISNUMBER('Dvd Calendar'!$V$2031)=FALSE,"",'Dvd Calendar'!$V$2031))</f>
        <v/>
      </c>
      <c r="BI202" s="110">
        <f>IF(GK202="","",IF(ISNUMBER('Dvd Calendar'!$W$2031)=FALSE,"",'Dvd Calendar'!$W$2031))</f>
        <v/>
      </c>
      <c r="BJ202" s="110">
        <f>IF(GL202="","",IF(ISNUMBER('Dvd Calendar'!$X$2031)=FALSE,"",'Dvd Calendar'!$X$2031))</f>
        <v/>
      </c>
      <c r="BK202" s="110">
        <f>IF(GM202="","",IF(ISNUMBER('Dvd Calendar'!$Y$2031)=FALSE,"",'Dvd Calendar'!$Y$2031))</f>
        <v/>
      </c>
      <c r="BL202" s="110">
        <f>IF(GN202="","",IF(ISNUMBER('Dvd Calendar'!$Z$2031)=FALSE,"",'Dvd Calendar'!$Z$2031))</f>
        <v/>
      </c>
      <c r="BM202" s="110">
        <f>IF(GO202="","",IF(ISNUMBER('Dvd Calendar'!$AA$2031)=FALSE,"",'Dvd Calendar'!$AA$2031))</f>
        <v/>
      </c>
      <c r="BN202" s="110">
        <f>IF(GP202="","",IF(ISNUMBER('Dvd Calendar'!$AB$2031)=FALSE,"",'Dvd Calendar'!$AB$2031))</f>
        <v/>
      </c>
      <c r="BO202" s="110">
        <f>IF(GQ202="","",IF(ISNUMBER('Dvd Calendar'!$AC$2031)=FALSE,"",'Dvd Calendar'!$AC$2031))</f>
        <v/>
      </c>
      <c r="BQ202" s="110">
        <f>IF(C202="","",IFERROR(C202*HSCEI!$B$49*HSCEI!$G$49/HSCEI!$B$3,""))</f>
        <v/>
      </c>
      <c r="BR202" s="110">
        <f>IF(D202="","",IFERROR(D202*HSCEI!$B$49*HSCEI!$G$49/HSCEI!$B$3,""))</f>
        <v/>
      </c>
      <c r="BS202" s="110">
        <f>IF(E202="","",IFERROR(E202*HSCEI!$B$49*HSCEI!$G$49/HSCEI!$B$3,""))</f>
        <v/>
      </c>
      <c r="BT202" s="110">
        <f>IF(F202="","",IFERROR(F202*HSCEI!$B$49*HSCEI!$G$49/HSCEI!$B$3,""))</f>
        <v/>
      </c>
      <c r="BU202" s="110">
        <f>IF(G202="","",IFERROR(G202*HSCEI!$B$49*HSCEI!$G$49/HSCEI!$B$3,""))</f>
        <v/>
      </c>
      <c r="BV202" s="110">
        <f>IF(H202="","",IFERROR(H202*HSCEI!$B$49*HSCEI!$G$49/HSCEI!$B$3,""))</f>
        <v/>
      </c>
      <c r="BW202" s="110">
        <f>IF(I202="","",IFERROR(I202*HSCEI!$B$49*HSCEI!$G$49/HSCEI!$B$3,""))</f>
        <v/>
      </c>
      <c r="BX202" s="110">
        <f>IF(J202="","",IFERROR(J202*HSCEI!$B$49*HSCEI!$G$49/HSCEI!$B$3,""))</f>
        <v/>
      </c>
      <c r="BY202" s="110">
        <f>IF(K202="","",IFERROR(K202*HSCEI!$B$49*HSCEI!$G$49/HSCEI!$B$3,""))</f>
        <v/>
      </c>
      <c r="BZ202" s="110">
        <f>IF(L202="","",IFERROR(L202*HSCEI!$B$49*HSCEI!$G$49/HSCEI!$B$3,""))</f>
        <v/>
      </c>
      <c r="CA202" s="110">
        <f>IF(M202="","",IFERROR(M202*HSCEI!$B$49*HSCEI!$G$49/HSCEI!$B$3,""))</f>
        <v/>
      </c>
      <c r="CB202" s="110">
        <f>IF(N202="","",IFERROR(N202*HSCEI!$B$49*HSCEI!$G$49/HSCEI!$B$3,""))</f>
        <v/>
      </c>
      <c r="CC202" s="110">
        <f>IF(O202="","",IFERROR(O202*HSCEI!$B$49*HSCEI!$G$49/HSCEI!$B$3,""))</f>
        <v/>
      </c>
      <c r="CD202" s="110">
        <f>IF(P202="","",IFERROR(P202*HSCEI!$B$49*HSCEI!$G$49/HSCEI!$B$3,""))</f>
        <v/>
      </c>
      <c r="CE202" s="110">
        <f>IF(Q202="","",IFERROR(Q202*HSCEI!$B$49*HSCEI!$G$49/HSCEI!$B$3,""))</f>
        <v/>
      </c>
      <c r="CF202" s="110">
        <f>IF(R202="","",IFERROR(R202*HSCEI!$B$49*HSCEI!$G$49/HSCEI!$B$3,""))</f>
        <v/>
      </c>
      <c r="CG202" s="110">
        <f>IF(S202="","",IFERROR(S202*HSCEI!$B$49*HSCEI!$G$49/HSCEI!$B$3,""))</f>
        <v/>
      </c>
      <c r="CH202" s="110">
        <f>IF(T202="","",IFERROR(T202*HSCEI!$B$49*HSCEI!$G$49/HSCEI!$B$3,""))</f>
        <v/>
      </c>
      <c r="CI202" s="110">
        <f>IF(U202="","",IFERROR(U202*HSCEI!$B$49*HSCEI!$G$49/HSCEI!$B$3,""))</f>
        <v/>
      </c>
      <c r="CJ202" s="110">
        <f>IF(V202="","",IFERROR(V202*HSCEI!$B$49*HSCEI!$G$49/HSCEI!$B$3,""))</f>
        <v/>
      </c>
      <c r="CK202" s="110">
        <f>IF(W202="","",IFERROR(W202*HSCEI!$B$49*HSCEI!$G$49/HSCEI!$B$3,""))</f>
        <v/>
      </c>
      <c r="CL202" s="110">
        <f>IF(X202="","",IFERROR(X202*HSCEI!$B$49*HSCEI!$G$49/HSCEI!$B$3,""))</f>
        <v/>
      </c>
      <c r="CM202" s="110">
        <f>IF(Y202="","",IFERROR(Y202*HSCEI!$B$49*HSCEI!$G$49/HSCEI!$B$3,""))</f>
        <v/>
      </c>
      <c r="CN202" s="110">
        <f>IF(Z202="","",IFERROR(Z202*HSCEI!$B$49*HSCEI!$G$49/HSCEI!$B$3,""))</f>
        <v/>
      </c>
      <c r="CO202" s="110">
        <f>IF(AA202="","",IFERROR(AA202*HSCEI!$B$49*HSCEI!$G$49/HSCEI!$B$3,""))</f>
        <v/>
      </c>
      <c r="CP202" s="110">
        <f>IF(AB202="","",IFERROR(AB202*HSCEI!$B$49*HSCEI!$G$49/HSCEI!$B$3,""))</f>
        <v/>
      </c>
      <c r="CQ202" s="110">
        <f>IF(AC202="","",IFERROR(AC202*HSCEI!$B$49*HSCEI!$G$49/HSCEI!$B$3,""))</f>
        <v/>
      </c>
      <c r="CR202" s="110">
        <f>IF(AD202="","",IFERROR(AD202*HSCEI!$B$49*HSCEI!$G$49/HSCEI!$B$3,""))</f>
        <v/>
      </c>
      <c r="CS202" s="110">
        <f>IF(AE202="","",IFERROR(AE202*HSCEI!$B$49*HSCEI!$G$49/HSCEI!$B$3,""))</f>
        <v/>
      </c>
      <c r="CT202" s="110">
        <f>IF(AF202="","",IFERROR(AF202*HSCEI!$B$49*HSCEI!$G$49/HSCEI!$B$3,""))</f>
        <v/>
      </c>
      <c r="CU202" s="110">
        <f>IF(AG202="","",IFERROR(AG202*HSCEI!$B$49*HSCEI!$G$49/HSCEI!$B$3,""))</f>
        <v/>
      </c>
      <c r="CV202" s="110">
        <f>IF(AH202="","",IFERROR(AH202*HSCEI!$B$49*HSCEI!$G$49/HSCEI!$B$3,""))</f>
        <v/>
      </c>
      <c r="CW202" s="110">
        <f>IF(AI202="","",IFERROR(AI202*HSCEI!$B$49*HSCEI!$G$49/HSCEI!$B$3,""))</f>
        <v/>
      </c>
      <c r="CX202" s="110">
        <f>IF(AJ202="","",IFERROR(AJ202*HSCEI!$B$49*HSCEI!$G$49/HSCEI!$B$3,""))</f>
        <v/>
      </c>
      <c r="CY202" s="110">
        <f>IF(AK202="","",IFERROR(AK202*HSCEI!$B$49*HSCEI!$G$49/HSCEI!$B$3,""))</f>
        <v/>
      </c>
      <c r="CZ202" s="110">
        <f>IF(AL202="","",IFERROR(AL202*HSCEI!$B$49*HSCEI!$G$49/HSCEI!$B$3,""))</f>
        <v/>
      </c>
      <c r="DA202" s="110">
        <f>IF(AM202="","",IFERROR(AM202*HSCEI!$B$49*HSCEI!$G$49/HSCEI!$B$3,""))</f>
        <v/>
      </c>
      <c r="DB202" s="110">
        <f>IF(AN202="","",IFERROR(AN202*HSCEI!$B$49*HSCEI!$G$49/HSCEI!$B$3,""))</f>
        <v/>
      </c>
      <c r="DC202" s="110">
        <f>IF(AO202="","",IFERROR(AO202*HSCEI!$B$49*HSCEI!$G$49/HSCEI!$B$3,""))</f>
        <v/>
      </c>
      <c r="DD202" s="110">
        <f>IF(AP202="","",IFERROR(AP202*HSCEI!$B$49*HSCEI!$G$49/HSCEI!$B$3,""))</f>
        <v/>
      </c>
      <c r="DE202" s="110">
        <f>IF(AQ202="","",IFERROR(AQ202*HSCEI!$B$49*HSCEI!$G$49/HSCEI!$B$3,""))</f>
        <v/>
      </c>
      <c r="DF202" s="110">
        <f>IF(AR202="","",IFERROR(AR202*HSCEI!$B$49*HSCEI!$G$49/HSCEI!$B$3,""))</f>
        <v/>
      </c>
      <c r="DG202" s="110">
        <f>IF(AS202="","",IFERROR(AS202*HSCEI!$B$49*HSCEI!$G$49/HSCEI!$B$3,""))</f>
        <v/>
      </c>
      <c r="DH202" s="110">
        <f>IF(AT202="","",IFERROR(AT202*HSCEI!$B$49*HSCEI!$G$49/HSCEI!$B$3,""))</f>
        <v/>
      </c>
      <c r="DI202" s="110">
        <f>IF(AU202="","",IFERROR(AU202*HSCEI!$B$49*HSCEI!$G$49/HSCEI!$B$3,""))</f>
        <v/>
      </c>
      <c r="DJ202" s="110">
        <f>IF(AV202="","",IFERROR(AV202*HSCEI!$B$49*HSCEI!$G$49/HSCEI!$B$3,""))</f>
        <v/>
      </c>
      <c r="DK202" s="110">
        <f>IF(AW202="","",IFERROR(AW202*HSCEI!$B$49*HSCEI!$G$49/HSCEI!$B$3,""))</f>
        <v/>
      </c>
      <c r="DL202" s="110">
        <f>IF(AX202="","",IFERROR(AX202*HSCEI!$B$49*HSCEI!$G$49/HSCEI!$B$3,""))</f>
        <v/>
      </c>
      <c r="DM202" s="110">
        <f>IF(AY202="","",IFERROR(AY202*HSCEI!$B$49*HSCEI!$G$49/HSCEI!$B$3,""))</f>
        <v/>
      </c>
      <c r="DN202" s="110">
        <f>IF(AZ202="","",IFERROR(AZ202*HSCEI!$B$49*HSCEI!$G$49/HSCEI!$B$3,""))</f>
        <v/>
      </c>
      <c r="DO202" s="110">
        <f>IF(BA202="","",IFERROR(BA202*HSCEI!$B$49*HSCEI!$G$49/HSCEI!$B$3,""))</f>
        <v/>
      </c>
      <c r="DP202" s="110">
        <f>IF(BB202="","",IFERROR(BB202*HSCEI!$B$49*HSCEI!$G$49/HSCEI!$B$3,""))</f>
        <v/>
      </c>
      <c r="DQ202" s="110">
        <f>IF(BC202="","",IFERROR(BC202*HSCEI!$B$49*HSCEI!$G$49/HSCEI!$B$3,""))</f>
        <v/>
      </c>
      <c r="DR202" s="110">
        <f>IF(BD202="","",IFERROR(BD202*HSCEI!$B$49*HSCEI!$G$49/HSCEI!$B$3,""))</f>
        <v/>
      </c>
      <c r="DS202" s="110">
        <f>IF(BE202="","",IFERROR(BE202*HSCEI!$B$49*HSCEI!$G$49/HSCEI!$B$3,""))</f>
        <v/>
      </c>
      <c r="DT202" s="110">
        <f>IF(BF202="","",IFERROR(BF202*HSCEI!$B$49*HSCEI!$G$49/HSCEI!$B$3,""))</f>
        <v/>
      </c>
      <c r="DU202" s="110">
        <f>IF(BG202="","",IFERROR(BG202*HSCEI!$B$49*HSCEI!$G$49/HSCEI!$B$3,""))</f>
        <v/>
      </c>
      <c r="DV202" s="110">
        <f>IF(BH202="","",IFERROR(BH202*HSCEI!$B$49*HSCEI!$G$49/HSCEI!$B$3,""))</f>
        <v/>
      </c>
      <c r="DW202" s="110">
        <f>IF(BI202="","",IFERROR(BI202*HSCEI!$B$49*HSCEI!$G$49/HSCEI!$B$3,""))</f>
        <v/>
      </c>
      <c r="DX202" s="110">
        <f>IF(BJ202="","",IFERROR(BJ202*HSCEI!$B$49*HSCEI!$G$49/HSCEI!$B$3,""))</f>
        <v/>
      </c>
      <c r="DY202" s="110">
        <f>IF(BK202="","",IFERROR(BK202*HSCEI!$B$49*HSCEI!$G$49/HSCEI!$B$3,""))</f>
        <v/>
      </c>
      <c r="DZ202" s="110">
        <f>IF(BL202="","",IFERROR(BL202*HSCEI!$B$49*HSCEI!$G$49/HSCEI!$B$3,""))</f>
        <v/>
      </c>
      <c r="EA202" s="110">
        <f>IF(BM202="","",IFERROR(BM202*HSCEI!$B$49*HSCEI!$G$49/HSCEI!$B$3,""))</f>
        <v/>
      </c>
      <c r="EB202" s="110">
        <f>IF(BN202="","",IFERROR(BN202*HSCEI!$B$49*HSCEI!$G$49/HSCEI!$B$3,""))</f>
        <v/>
      </c>
      <c r="EC202" s="110">
        <f>IF(BO202="","",IFERROR(BO202*HSCEI!$B$49*HSCEI!$G$49/HSCEI!$B$3,""))</f>
        <v/>
      </c>
      <c r="EE202" s="39">
        <f>IF(N('Dvd Calendar'!$E$2023)=0,"",IF(('Dvd Calendar'!$E$2023&gt;=GRID_FROM)*('Dvd Calendar'!$E$2023&lt;=GRID_TO)*((('Dvd Calendar'!$E$2023&lt;=VAL_DATE)+(COUNTIF('Dvd Calendar'!$E$2030:$AR$2030,'Dvd Calendar'!$E$2023)=0))&gt;0)=0,"",'Dvd Calendar'!$E$2023*1000000000+ISNUMBER('Dvd Calendar'!$E$2026)*100000000+('Dvd Calendar'!$E$2028=SPECIAL_LBL)*10000000+(N('Dvd Calendar'!$E$2022)&gt;0)*(N('Dvd Calendar'!$E$2022)&lt;=VAL_SERIAL)*1000000+43*1000+1))</f>
        <v/>
      </c>
      <c r="EF202" s="39">
        <f>IF(N('Dvd Calendar'!$F$2023)=0,"",IF(('Dvd Calendar'!$F$2023&gt;=GRID_FROM)*('Dvd Calendar'!$F$2023&lt;=GRID_TO)*((('Dvd Calendar'!$F$2023&lt;=VAL_DATE)+(COUNTIF('Dvd Calendar'!$E$2030:$AR$2030,'Dvd Calendar'!$F$2023)=0))&gt;0)=0,"",'Dvd Calendar'!$F$2023*1000000000+ISNUMBER('Dvd Calendar'!$F$2026)*100000000+('Dvd Calendar'!$F$2028=SPECIAL_LBL)*10000000+(N('Dvd Calendar'!$F$2022)&gt;0)*(N('Dvd Calendar'!$F$2022)&lt;=VAL_SERIAL)*1000000+43*1000+2))</f>
        <v/>
      </c>
      <c r="EG202" s="39">
        <f>IF(N('Dvd Calendar'!$G$2023)=0,"",IF(('Dvd Calendar'!$G$2023&gt;=GRID_FROM)*('Dvd Calendar'!$G$2023&lt;=GRID_TO)*((('Dvd Calendar'!$G$2023&lt;=VAL_DATE)+(COUNTIF('Dvd Calendar'!$E$2030:$AR$2030,'Dvd Calendar'!$G$2023)=0))&gt;0)=0,"",'Dvd Calendar'!$G$2023*1000000000+ISNUMBER('Dvd Calendar'!$G$2026)*100000000+('Dvd Calendar'!$G$2028=SPECIAL_LBL)*10000000+(N('Dvd Calendar'!$G$2022)&gt;0)*(N('Dvd Calendar'!$G$2022)&lt;=VAL_SERIAL)*1000000+43*1000+3))</f>
        <v/>
      </c>
      <c r="EH202" s="39">
        <f>IF(N('Dvd Calendar'!$H$2023)=0,"",IF(('Dvd Calendar'!$H$2023&gt;=GRID_FROM)*('Dvd Calendar'!$H$2023&lt;=GRID_TO)*((('Dvd Calendar'!$H$2023&lt;=VAL_DATE)+(COUNTIF('Dvd Calendar'!$E$2030:$AR$2030,'Dvd Calendar'!$H$2023)=0))&gt;0)=0,"",'Dvd Calendar'!$H$2023*1000000000+ISNUMBER('Dvd Calendar'!$H$2026)*100000000+('Dvd Calendar'!$H$2028=SPECIAL_LBL)*10000000+(N('Dvd Calendar'!$H$2022)&gt;0)*(N('Dvd Calendar'!$H$2022)&lt;=VAL_SERIAL)*1000000+43*1000+4))</f>
        <v/>
      </c>
      <c r="EI202" s="39">
        <f>IF(N('Dvd Calendar'!$I$2023)=0,"",IF(('Dvd Calendar'!$I$2023&gt;=GRID_FROM)*('Dvd Calendar'!$I$2023&lt;=GRID_TO)*((('Dvd Calendar'!$I$2023&lt;=VAL_DATE)+(COUNTIF('Dvd Calendar'!$E$2030:$AR$2030,'Dvd Calendar'!$I$2023)=0))&gt;0)=0,"",'Dvd Calendar'!$I$2023*1000000000+ISNUMBER('Dvd Calendar'!$I$2026)*100000000+('Dvd Calendar'!$I$2028=SPECIAL_LBL)*10000000+(N('Dvd Calendar'!$I$2022)&gt;0)*(N('Dvd Calendar'!$I$2022)&lt;=VAL_SERIAL)*1000000+43*1000+5))</f>
        <v/>
      </c>
      <c r="EJ202" s="39">
        <f>IF(N('Dvd Calendar'!$J$2023)=0,"",IF(('Dvd Calendar'!$J$2023&gt;=GRID_FROM)*('Dvd Calendar'!$J$2023&lt;=GRID_TO)*((('Dvd Calendar'!$J$2023&lt;=VAL_DATE)+(COUNTIF('Dvd Calendar'!$E$2030:$AR$2030,'Dvd Calendar'!$J$2023)=0))&gt;0)=0,"",'Dvd Calendar'!$J$2023*1000000000+ISNUMBER('Dvd Calendar'!$J$2026)*100000000+('Dvd Calendar'!$J$2028=SPECIAL_LBL)*10000000+(N('Dvd Calendar'!$J$2022)&gt;0)*(N('Dvd Calendar'!$J$2022)&lt;=VAL_SERIAL)*1000000+43*1000+6))</f>
        <v/>
      </c>
      <c r="EK202" s="39">
        <f>IF(N('Dvd Calendar'!$K$2023)=0,"",IF(('Dvd Calendar'!$K$2023&gt;=GRID_FROM)*('Dvd Calendar'!$K$2023&lt;=GRID_TO)*((('Dvd Calendar'!$K$2023&lt;=VAL_DATE)+(COUNTIF('Dvd Calendar'!$E$2030:$AR$2030,'Dvd Calendar'!$K$2023)=0))&gt;0)=0,"",'Dvd Calendar'!$K$2023*1000000000+ISNUMBER('Dvd Calendar'!$K$2026)*100000000+('Dvd Calendar'!$K$2028=SPECIAL_LBL)*10000000+(N('Dvd Calendar'!$K$2022)&gt;0)*(N('Dvd Calendar'!$K$2022)&lt;=VAL_SERIAL)*1000000+43*1000+7))</f>
        <v/>
      </c>
      <c r="EL202" s="39">
        <f>IF(N('Dvd Calendar'!$L$2023)=0,"",IF(('Dvd Calendar'!$L$2023&gt;=GRID_FROM)*('Dvd Calendar'!$L$2023&lt;=GRID_TO)*((('Dvd Calendar'!$L$2023&lt;=VAL_DATE)+(COUNTIF('Dvd Calendar'!$E$2030:$AR$2030,'Dvd Calendar'!$L$2023)=0))&gt;0)=0,"",'Dvd Calendar'!$L$2023*1000000000+ISNUMBER('Dvd Calendar'!$L$2026)*100000000+('Dvd Calendar'!$L$2028=SPECIAL_LBL)*10000000+(N('Dvd Calendar'!$L$2022)&gt;0)*(N('Dvd Calendar'!$L$2022)&lt;=VAL_SERIAL)*1000000+43*1000+8))</f>
        <v/>
      </c>
      <c r="EM202" s="39">
        <f>IF(N('Dvd Calendar'!$M$2023)=0,"",IF(('Dvd Calendar'!$M$2023&gt;=GRID_FROM)*('Dvd Calendar'!$M$2023&lt;=GRID_TO)*((('Dvd Calendar'!$M$2023&lt;=VAL_DATE)+(COUNTIF('Dvd Calendar'!$E$2030:$AR$2030,'Dvd Calendar'!$M$2023)=0))&gt;0)=0,"",'Dvd Calendar'!$M$2023*1000000000+ISNUMBER('Dvd Calendar'!$M$2026)*100000000+('Dvd Calendar'!$M$2028=SPECIAL_LBL)*10000000+(N('Dvd Calendar'!$M$2022)&gt;0)*(N('Dvd Calendar'!$M$2022)&lt;=VAL_SERIAL)*1000000+43*1000+9))</f>
        <v/>
      </c>
      <c r="EN202" s="39">
        <f>IF(N('Dvd Calendar'!$N$2023)=0,"",IF(('Dvd Calendar'!$N$2023&gt;=GRID_FROM)*('Dvd Calendar'!$N$2023&lt;=GRID_TO)*((('Dvd Calendar'!$N$2023&lt;=VAL_DATE)+(COUNTIF('Dvd Calendar'!$E$2030:$AR$2030,'Dvd Calendar'!$N$2023)=0))&gt;0)=0,"",'Dvd Calendar'!$N$2023*1000000000+ISNUMBER('Dvd Calendar'!$N$2026)*100000000+('Dvd Calendar'!$N$2028=SPECIAL_LBL)*10000000+(N('Dvd Calendar'!$N$2022)&gt;0)*(N('Dvd Calendar'!$N$2022)&lt;=VAL_SERIAL)*1000000+43*1000+10))</f>
        <v/>
      </c>
      <c r="EO202" s="39">
        <f>IF(N('Dvd Calendar'!$O$2023)=0,"",IF(('Dvd Calendar'!$O$2023&gt;=GRID_FROM)*('Dvd Calendar'!$O$2023&lt;=GRID_TO)*((('Dvd Calendar'!$O$2023&lt;=VAL_DATE)+(COUNTIF('Dvd Calendar'!$E$2030:$AR$2030,'Dvd Calendar'!$O$2023)=0))&gt;0)=0,"",'Dvd Calendar'!$O$2023*1000000000+ISNUMBER('Dvd Calendar'!$O$2026)*100000000+('Dvd Calendar'!$O$2028=SPECIAL_LBL)*10000000+(N('Dvd Calendar'!$O$2022)&gt;0)*(N('Dvd Calendar'!$O$2022)&lt;=VAL_SERIAL)*1000000+43*1000+11))</f>
        <v/>
      </c>
      <c r="EP202" s="39">
        <f>IF(N('Dvd Calendar'!$P$2023)=0,"",IF(('Dvd Calendar'!$P$2023&gt;=GRID_FROM)*('Dvd Calendar'!$P$2023&lt;=GRID_TO)*((('Dvd Calendar'!$P$2023&lt;=VAL_DATE)+(COUNTIF('Dvd Calendar'!$E$2030:$AR$2030,'Dvd Calendar'!$P$2023)=0))&gt;0)=0,"",'Dvd Calendar'!$P$2023*1000000000+ISNUMBER('Dvd Calendar'!$P$2026)*100000000+('Dvd Calendar'!$P$2028=SPECIAL_LBL)*10000000+(N('Dvd Calendar'!$P$2022)&gt;0)*(N('Dvd Calendar'!$P$2022)&lt;=VAL_SERIAL)*1000000+43*1000+12))</f>
        <v/>
      </c>
      <c r="EQ202" s="39">
        <f>IF(N('Dvd Calendar'!$Q$2023)=0,"",IF(('Dvd Calendar'!$Q$2023&gt;=GRID_FROM)*('Dvd Calendar'!$Q$2023&lt;=GRID_TO)*((('Dvd Calendar'!$Q$2023&lt;=VAL_DATE)+(COUNTIF('Dvd Calendar'!$E$2030:$AR$2030,'Dvd Calendar'!$Q$2023)=0))&gt;0)=0,"",'Dvd Calendar'!$Q$2023*1000000000+ISNUMBER('Dvd Calendar'!$Q$2026)*100000000+('Dvd Calendar'!$Q$2028=SPECIAL_LBL)*10000000+(N('Dvd Calendar'!$Q$2022)&gt;0)*(N('Dvd Calendar'!$Q$2022)&lt;=VAL_SERIAL)*1000000+43*1000+13))</f>
        <v/>
      </c>
      <c r="ER202" s="39">
        <f>IF(N('Dvd Calendar'!$R$2023)=0,"",IF(('Dvd Calendar'!$R$2023&gt;=GRID_FROM)*('Dvd Calendar'!$R$2023&lt;=GRID_TO)*((('Dvd Calendar'!$R$2023&lt;=VAL_DATE)+(COUNTIF('Dvd Calendar'!$E$2030:$AR$2030,'Dvd Calendar'!$R$2023)=0))&gt;0)=0,"",'Dvd Calendar'!$R$2023*1000000000+ISNUMBER('Dvd Calendar'!$R$2026)*100000000+('Dvd Calendar'!$R$2028=SPECIAL_LBL)*10000000+(N('Dvd Calendar'!$R$2022)&gt;0)*(N('Dvd Calendar'!$R$2022)&lt;=VAL_SERIAL)*1000000+43*1000+14))</f>
        <v/>
      </c>
      <c r="ES202" s="39">
        <f>IF(N('Dvd Calendar'!$S$2023)=0,"",IF(('Dvd Calendar'!$S$2023&gt;=GRID_FROM)*('Dvd Calendar'!$S$2023&lt;=GRID_TO)*((('Dvd Calendar'!$S$2023&lt;=VAL_DATE)+(COUNTIF('Dvd Calendar'!$E$2030:$AR$2030,'Dvd Calendar'!$S$2023)=0))&gt;0)=0,"",'Dvd Calendar'!$S$2023*1000000000+ISNUMBER('Dvd Calendar'!$S$2026)*100000000+('Dvd Calendar'!$S$2028=SPECIAL_LBL)*10000000+(N('Dvd Calendar'!$S$2022)&gt;0)*(N('Dvd Calendar'!$S$2022)&lt;=VAL_SERIAL)*1000000+43*1000+15))</f>
        <v/>
      </c>
      <c r="ET202" s="39">
        <f>IF(N('Dvd Calendar'!$T$2023)=0,"",IF(('Dvd Calendar'!$T$2023&gt;=GRID_FROM)*('Dvd Calendar'!$T$2023&lt;=GRID_TO)*((('Dvd Calendar'!$T$2023&lt;=VAL_DATE)+(COUNTIF('Dvd Calendar'!$E$2030:$AR$2030,'Dvd Calendar'!$T$2023)=0))&gt;0)=0,"",'Dvd Calendar'!$T$2023*1000000000+ISNUMBER('Dvd Calendar'!$T$2026)*100000000+('Dvd Calendar'!$T$2028=SPECIAL_LBL)*10000000+(N('Dvd Calendar'!$T$2022)&gt;0)*(N('Dvd Calendar'!$T$2022)&lt;=VAL_SERIAL)*1000000+43*1000+16))</f>
        <v/>
      </c>
      <c r="EU202" s="39">
        <f>IF(N('Dvd Calendar'!$U$2023)=0,"",IF(('Dvd Calendar'!$U$2023&gt;=GRID_FROM)*('Dvd Calendar'!$U$2023&lt;=GRID_TO)*((('Dvd Calendar'!$U$2023&lt;=VAL_DATE)+(COUNTIF('Dvd Calendar'!$E$2030:$AR$2030,'Dvd Calendar'!$U$2023)=0))&gt;0)=0,"",'Dvd Calendar'!$U$2023*1000000000+ISNUMBER('Dvd Calendar'!$U$2026)*100000000+('Dvd Calendar'!$U$2028=SPECIAL_LBL)*10000000+(N('Dvd Calendar'!$U$2022)&gt;0)*(N('Dvd Calendar'!$U$2022)&lt;=VAL_SERIAL)*1000000+43*1000+17))</f>
        <v/>
      </c>
      <c r="EV202" s="39">
        <f>IF(N('Dvd Calendar'!$V$2023)=0,"",IF(('Dvd Calendar'!$V$2023&gt;=GRID_FROM)*('Dvd Calendar'!$V$2023&lt;=GRID_TO)*((('Dvd Calendar'!$V$2023&lt;=VAL_DATE)+(COUNTIF('Dvd Calendar'!$E$2030:$AR$2030,'Dvd Calendar'!$V$2023)=0))&gt;0)=0,"",'Dvd Calendar'!$V$2023*1000000000+ISNUMBER('Dvd Calendar'!$V$2026)*100000000+('Dvd Calendar'!$V$2028=SPECIAL_LBL)*10000000+(N('Dvd Calendar'!$V$2022)&gt;0)*(N('Dvd Calendar'!$V$2022)&lt;=VAL_SERIAL)*1000000+43*1000+18))</f>
        <v/>
      </c>
      <c r="EW202" s="39">
        <f>IF(N('Dvd Calendar'!$W$2023)=0,"",IF(('Dvd Calendar'!$W$2023&gt;=GRID_FROM)*('Dvd Calendar'!$W$2023&lt;=GRID_TO)*((('Dvd Calendar'!$W$2023&lt;=VAL_DATE)+(COUNTIF('Dvd Calendar'!$E$2030:$AR$2030,'Dvd Calendar'!$W$2023)=0))&gt;0)=0,"",'Dvd Calendar'!$W$2023*1000000000+ISNUMBER('Dvd Calendar'!$W$2026)*100000000+('Dvd Calendar'!$W$2028=SPECIAL_LBL)*10000000+(N('Dvd Calendar'!$W$2022)&gt;0)*(N('Dvd Calendar'!$W$2022)&lt;=VAL_SERIAL)*1000000+43*1000+19))</f>
        <v/>
      </c>
      <c r="EX202" s="39">
        <f>IF(N('Dvd Calendar'!$X$2023)=0,"",IF(('Dvd Calendar'!$X$2023&gt;=GRID_FROM)*('Dvd Calendar'!$X$2023&lt;=GRID_TO)*((('Dvd Calendar'!$X$2023&lt;=VAL_DATE)+(COUNTIF('Dvd Calendar'!$E$2030:$AR$2030,'Dvd Calendar'!$X$2023)=0))&gt;0)=0,"",'Dvd Calendar'!$X$2023*1000000000+ISNUMBER('Dvd Calendar'!$X$2026)*100000000+('Dvd Calendar'!$X$2028=SPECIAL_LBL)*10000000+(N('Dvd Calendar'!$X$2022)&gt;0)*(N('Dvd Calendar'!$X$2022)&lt;=VAL_SERIAL)*1000000+43*1000+20))</f>
        <v/>
      </c>
      <c r="EY202" s="39">
        <f>IF(N('Dvd Calendar'!$Y$2023)=0,"",IF(('Dvd Calendar'!$Y$2023&gt;=GRID_FROM)*('Dvd Calendar'!$Y$2023&lt;=GRID_TO)*((('Dvd Calendar'!$Y$2023&lt;=VAL_DATE)+(COUNTIF('Dvd Calendar'!$E$2030:$AR$2030,'Dvd Calendar'!$Y$2023)=0))&gt;0)=0,"",'Dvd Calendar'!$Y$2023*1000000000+ISNUMBER('Dvd Calendar'!$Y$2026)*100000000+('Dvd Calendar'!$Y$2028=SPECIAL_LBL)*10000000+(N('Dvd Calendar'!$Y$2022)&gt;0)*(N('Dvd Calendar'!$Y$2022)&lt;=VAL_SERIAL)*1000000+43*1000+21))</f>
        <v/>
      </c>
      <c r="EZ202" s="39">
        <f>IF(N('Dvd Calendar'!$Z$2023)=0,"",IF(('Dvd Calendar'!$Z$2023&gt;=GRID_FROM)*('Dvd Calendar'!$Z$2023&lt;=GRID_TO)*((('Dvd Calendar'!$Z$2023&lt;=VAL_DATE)+(COUNTIF('Dvd Calendar'!$E$2030:$AR$2030,'Dvd Calendar'!$Z$2023)=0))&gt;0)=0,"",'Dvd Calendar'!$Z$2023*1000000000+ISNUMBER('Dvd Calendar'!$Z$2026)*100000000+('Dvd Calendar'!$Z$2028=SPECIAL_LBL)*10000000+(N('Dvd Calendar'!$Z$2022)&gt;0)*(N('Dvd Calendar'!$Z$2022)&lt;=VAL_SERIAL)*1000000+43*1000+22))</f>
        <v/>
      </c>
      <c r="FA202" s="39">
        <f>IF(N('Dvd Calendar'!$AA$2023)=0,"",IF(('Dvd Calendar'!$AA$2023&gt;=GRID_FROM)*('Dvd Calendar'!$AA$2023&lt;=GRID_TO)*((('Dvd Calendar'!$AA$2023&lt;=VAL_DATE)+(COUNTIF('Dvd Calendar'!$E$2030:$AR$2030,'Dvd Calendar'!$AA$2023)=0))&gt;0)=0,"",'Dvd Calendar'!$AA$2023*1000000000+ISNUMBER('Dvd Calendar'!$AA$2026)*100000000+('Dvd Calendar'!$AA$2028=SPECIAL_LBL)*10000000+(N('Dvd Calendar'!$AA$2022)&gt;0)*(N('Dvd Calendar'!$AA$2022)&lt;=VAL_SERIAL)*1000000+43*1000+23))</f>
        <v/>
      </c>
      <c r="FB202" s="39">
        <f>IF(N('Dvd Calendar'!$AB$2023)=0,"",IF(('Dvd Calendar'!$AB$2023&gt;=GRID_FROM)*('Dvd Calendar'!$AB$2023&lt;=GRID_TO)*((('Dvd Calendar'!$AB$2023&lt;=VAL_DATE)+(COUNTIF('Dvd Calendar'!$E$2030:$AR$2030,'Dvd Calendar'!$AB$2023)=0))&gt;0)=0,"",'Dvd Calendar'!$AB$2023*1000000000+ISNUMBER('Dvd Calendar'!$AB$2026)*100000000+('Dvd Calendar'!$AB$2028=SPECIAL_LBL)*10000000+(N('Dvd Calendar'!$AB$2022)&gt;0)*(N('Dvd Calendar'!$AB$2022)&lt;=VAL_SERIAL)*1000000+43*1000+24))</f>
        <v/>
      </c>
      <c r="FC202" s="39">
        <f>IF(N('Dvd Calendar'!$AC$2023)=0,"",IF(('Dvd Calendar'!$AC$2023&gt;=GRID_FROM)*('Dvd Calendar'!$AC$2023&lt;=GRID_TO)*((('Dvd Calendar'!$AC$2023&lt;=VAL_DATE)+(COUNTIF('Dvd Calendar'!$E$2030:$AR$2030,'Dvd Calendar'!$AC$2023)=0))&gt;0)=0,"",'Dvd Calendar'!$AC$2023*1000000000+ISNUMBER('Dvd Calendar'!$AC$2026)*100000000+('Dvd Calendar'!$AC$2028=SPECIAL_LBL)*10000000+(N('Dvd Calendar'!$AC$2022)&gt;0)*(N('Dvd Calendar'!$AC$2022)&lt;=VAL_SERIAL)*1000000+43*1000+25))</f>
        <v/>
      </c>
      <c r="FD202" s="39">
        <f>IF(N('Dvd Calendar'!$AD$2023)=0,"",IF(('Dvd Calendar'!$AD$2023&gt;=GRID_FROM)*('Dvd Calendar'!$AD$2023&lt;=GRID_TO)*((('Dvd Calendar'!$AD$2023&lt;=VAL_DATE)+(COUNTIF('Dvd Calendar'!$E$2030:$AR$2030,'Dvd Calendar'!$AD$2023)=0))&gt;0)=0,"",'Dvd Calendar'!$AD$2023*1000000000+ISNUMBER('Dvd Calendar'!$AD$2026)*100000000+('Dvd Calendar'!$AD$2028=SPECIAL_LBL)*10000000+(N('Dvd Calendar'!$AD$2022)&gt;0)*(N('Dvd Calendar'!$AD$2022)&lt;=VAL_SERIAL)*1000000+43*1000+26))</f>
        <v/>
      </c>
      <c r="FE202" s="39">
        <f>IF(N('Dvd Calendar'!$AE$2023)=0,"",IF(('Dvd Calendar'!$AE$2023&gt;=GRID_FROM)*('Dvd Calendar'!$AE$2023&lt;=GRID_TO)*((('Dvd Calendar'!$AE$2023&lt;=VAL_DATE)+(COUNTIF('Dvd Calendar'!$E$2030:$AR$2030,'Dvd Calendar'!$AE$2023)=0))&gt;0)=0,"",'Dvd Calendar'!$AE$2023*1000000000+ISNUMBER('Dvd Calendar'!$AE$2026)*100000000+('Dvd Calendar'!$AE$2028=SPECIAL_LBL)*10000000+(N('Dvd Calendar'!$AE$2022)&gt;0)*(N('Dvd Calendar'!$AE$2022)&lt;=VAL_SERIAL)*1000000+43*1000+27))</f>
        <v/>
      </c>
      <c r="FF202" s="39">
        <f>IF(N('Dvd Calendar'!$AF$2023)=0,"",IF(('Dvd Calendar'!$AF$2023&gt;=GRID_FROM)*('Dvd Calendar'!$AF$2023&lt;=GRID_TO)*((('Dvd Calendar'!$AF$2023&lt;=VAL_DATE)+(COUNTIF('Dvd Calendar'!$E$2030:$AR$2030,'Dvd Calendar'!$AF$2023)=0))&gt;0)=0,"",'Dvd Calendar'!$AF$2023*1000000000+ISNUMBER('Dvd Calendar'!$AF$2026)*100000000+('Dvd Calendar'!$AF$2028=SPECIAL_LBL)*10000000+(N('Dvd Calendar'!$AF$2022)&gt;0)*(N('Dvd Calendar'!$AF$2022)&lt;=VAL_SERIAL)*1000000+43*1000+28))</f>
        <v/>
      </c>
      <c r="FG202" s="39">
        <f>IF(N('Dvd Calendar'!$AG$2023)=0,"",IF(('Dvd Calendar'!$AG$2023&gt;=GRID_FROM)*('Dvd Calendar'!$AG$2023&lt;=GRID_TO)*((('Dvd Calendar'!$AG$2023&lt;=VAL_DATE)+(COUNTIF('Dvd Calendar'!$E$2030:$AR$2030,'Dvd Calendar'!$AG$2023)=0))&gt;0)=0,"",'Dvd Calendar'!$AG$2023*1000000000+ISNUMBER('Dvd Calendar'!$AG$2026)*100000000+('Dvd Calendar'!$AG$2028=SPECIAL_LBL)*10000000+(N('Dvd Calendar'!$AG$2022)&gt;0)*(N('Dvd Calendar'!$AG$2022)&lt;=VAL_SERIAL)*1000000+43*1000+29))</f>
        <v/>
      </c>
      <c r="FH202" s="39">
        <f>IF(N('Dvd Calendar'!$AH$2023)=0,"",IF(('Dvd Calendar'!$AH$2023&gt;=GRID_FROM)*('Dvd Calendar'!$AH$2023&lt;=GRID_TO)*((('Dvd Calendar'!$AH$2023&lt;=VAL_DATE)+(COUNTIF('Dvd Calendar'!$E$2030:$AR$2030,'Dvd Calendar'!$AH$2023)=0))&gt;0)=0,"",'Dvd Calendar'!$AH$2023*1000000000+ISNUMBER('Dvd Calendar'!$AH$2026)*100000000+('Dvd Calendar'!$AH$2028=SPECIAL_LBL)*10000000+(N('Dvd Calendar'!$AH$2022)&gt;0)*(N('Dvd Calendar'!$AH$2022)&lt;=VAL_SERIAL)*1000000+43*1000+30))</f>
        <v/>
      </c>
      <c r="FI202" s="39">
        <f>IF(N('Dvd Calendar'!$AI$2023)=0,"",IF(('Dvd Calendar'!$AI$2023&gt;=GRID_FROM)*('Dvd Calendar'!$AI$2023&lt;=GRID_TO)*((('Dvd Calendar'!$AI$2023&lt;=VAL_DATE)+(COUNTIF('Dvd Calendar'!$E$2030:$AR$2030,'Dvd Calendar'!$AI$2023)=0))&gt;0)=0,"",'Dvd Calendar'!$AI$2023*1000000000+ISNUMBER('Dvd Calendar'!$AI$2026)*100000000+('Dvd Calendar'!$AI$2028=SPECIAL_LBL)*10000000+(N('Dvd Calendar'!$AI$2022)&gt;0)*(N('Dvd Calendar'!$AI$2022)&lt;=VAL_SERIAL)*1000000+43*1000+31))</f>
        <v/>
      </c>
      <c r="FJ202" s="39">
        <f>IF(N('Dvd Calendar'!$AJ$2023)=0,"",IF(('Dvd Calendar'!$AJ$2023&gt;=GRID_FROM)*('Dvd Calendar'!$AJ$2023&lt;=GRID_TO)*((('Dvd Calendar'!$AJ$2023&lt;=VAL_DATE)+(COUNTIF('Dvd Calendar'!$E$2030:$AR$2030,'Dvd Calendar'!$AJ$2023)=0))&gt;0)=0,"",'Dvd Calendar'!$AJ$2023*1000000000+ISNUMBER('Dvd Calendar'!$AJ$2026)*100000000+('Dvd Calendar'!$AJ$2028=SPECIAL_LBL)*10000000+(N('Dvd Calendar'!$AJ$2022)&gt;0)*(N('Dvd Calendar'!$AJ$2022)&lt;=VAL_SERIAL)*1000000+43*1000+32))</f>
        <v/>
      </c>
      <c r="FK202" s="39">
        <f>IF(N('Dvd Calendar'!$AK$2023)=0,"",IF(('Dvd Calendar'!$AK$2023&gt;=GRID_FROM)*('Dvd Calendar'!$AK$2023&lt;=GRID_TO)*((('Dvd Calendar'!$AK$2023&lt;=VAL_DATE)+(COUNTIF('Dvd Calendar'!$E$2030:$AR$2030,'Dvd Calendar'!$AK$2023)=0))&gt;0)=0,"",'Dvd Calendar'!$AK$2023*1000000000+ISNUMBER('Dvd Calendar'!$AK$2026)*100000000+('Dvd Calendar'!$AK$2028=SPECIAL_LBL)*10000000+(N('Dvd Calendar'!$AK$2022)&gt;0)*(N('Dvd Calendar'!$AK$2022)&lt;=VAL_SERIAL)*1000000+43*1000+33))</f>
        <v/>
      </c>
      <c r="FL202" s="39">
        <f>IF(N('Dvd Calendar'!$AL$2023)=0,"",IF(('Dvd Calendar'!$AL$2023&gt;=GRID_FROM)*('Dvd Calendar'!$AL$2023&lt;=GRID_TO)*((('Dvd Calendar'!$AL$2023&lt;=VAL_DATE)+(COUNTIF('Dvd Calendar'!$E$2030:$AR$2030,'Dvd Calendar'!$AL$2023)=0))&gt;0)=0,"",'Dvd Calendar'!$AL$2023*1000000000+ISNUMBER('Dvd Calendar'!$AL$2026)*100000000+('Dvd Calendar'!$AL$2028=SPECIAL_LBL)*10000000+(N('Dvd Calendar'!$AL$2022)&gt;0)*(N('Dvd Calendar'!$AL$2022)&lt;=VAL_SERIAL)*1000000+43*1000+34))</f>
        <v/>
      </c>
      <c r="FM202" s="39">
        <f>IF(N('Dvd Calendar'!$AM$2023)=0,"",IF(('Dvd Calendar'!$AM$2023&gt;=GRID_FROM)*('Dvd Calendar'!$AM$2023&lt;=GRID_TO)*((('Dvd Calendar'!$AM$2023&lt;=VAL_DATE)+(COUNTIF('Dvd Calendar'!$E$2030:$AR$2030,'Dvd Calendar'!$AM$2023)=0))&gt;0)=0,"",'Dvd Calendar'!$AM$2023*1000000000+ISNUMBER('Dvd Calendar'!$AM$2026)*100000000+('Dvd Calendar'!$AM$2028=SPECIAL_LBL)*10000000+(N('Dvd Calendar'!$AM$2022)&gt;0)*(N('Dvd Calendar'!$AM$2022)&lt;=VAL_SERIAL)*1000000+43*1000+35))</f>
        <v/>
      </c>
      <c r="FN202" s="39">
        <f>IF(N('Dvd Calendar'!$AN$2023)=0,"",IF(('Dvd Calendar'!$AN$2023&gt;=GRID_FROM)*('Dvd Calendar'!$AN$2023&lt;=GRID_TO)*((('Dvd Calendar'!$AN$2023&lt;=VAL_DATE)+(COUNTIF('Dvd Calendar'!$E$2030:$AR$2030,'Dvd Calendar'!$AN$2023)=0))&gt;0)=0,"",'Dvd Calendar'!$AN$2023*1000000000+ISNUMBER('Dvd Calendar'!$AN$2026)*100000000+('Dvd Calendar'!$AN$2028=SPECIAL_LBL)*10000000+(N('Dvd Calendar'!$AN$2022)&gt;0)*(N('Dvd Calendar'!$AN$2022)&lt;=VAL_SERIAL)*1000000+43*1000+36))</f>
        <v/>
      </c>
      <c r="FO202" s="39">
        <f>IF(N('Dvd Calendar'!$AO$2023)=0,"",IF(('Dvd Calendar'!$AO$2023&gt;=GRID_FROM)*('Dvd Calendar'!$AO$2023&lt;=GRID_TO)*((('Dvd Calendar'!$AO$2023&lt;=VAL_DATE)+(COUNTIF('Dvd Calendar'!$E$2030:$AR$2030,'Dvd Calendar'!$AO$2023)=0))&gt;0)=0,"",'Dvd Calendar'!$AO$2023*1000000000+ISNUMBER('Dvd Calendar'!$AO$2026)*100000000+('Dvd Calendar'!$AO$2028=SPECIAL_LBL)*10000000+(N('Dvd Calendar'!$AO$2022)&gt;0)*(N('Dvd Calendar'!$AO$2022)&lt;=VAL_SERIAL)*1000000+43*1000+37))</f>
        <v/>
      </c>
      <c r="FP202" s="39">
        <f>IF(N('Dvd Calendar'!$AP$2023)=0,"",IF(('Dvd Calendar'!$AP$2023&gt;=GRID_FROM)*('Dvd Calendar'!$AP$2023&lt;=GRID_TO)*((('Dvd Calendar'!$AP$2023&lt;=VAL_DATE)+(COUNTIF('Dvd Calendar'!$E$2030:$AR$2030,'Dvd Calendar'!$AP$2023)=0))&gt;0)=0,"",'Dvd Calendar'!$AP$2023*1000000000+ISNUMBER('Dvd Calendar'!$AP$2026)*100000000+('Dvd Calendar'!$AP$2028=SPECIAL_LBL)*10000000+(N('Dvd Calendar'!$AP$2022)&gt;0)*(N('Dvd Calendar'!$AP$2022)&lt;=VAL_SERIAL)*1000000+43*1000+38))</f>
        <v/>
      </c>
      <c r="FQ202" s="39">
        <f>IF(N('Dvd Calendar'!$AQ$2023)=0,"",IF(('Dvd Calendar'!$AQ$2023&gt;=GRID_FROM)*('Dvd Calendar'!$AQ$2023&lt;=GRID_TO)*((('Dvd Calendar'!$AQ$2023&lt;=VAL_DATE)+(COUNTIF('Dvd Calendar'!$E$2030:$AR$2030,'Dvd Calendar'!$AQ$2023)=0))&gt;0)=0,"",'Dvd Calendar'!$AQ$2023*1000000000+ISNUMBER('Dvd Calendar'!$AQ$2026)*100000000+('Dvd Calendar'!$AQ$2028=SPECIAL_LBL)*10000000+(N('Dvd Calendar'!$AQ$2022)&gt;0)*(N('Dvd Calendar'!$AQ$2022)&lt;=VAL_SERIAL)*1000000+43*1000+39))</f>
        <v/>
      </c>
      <c r="FR202" s="39">
        <f>IF(N('Dvd Calendar'!$AR$2023)=0,"",IF(('Dvd Calendar'!$AR$2023&gt;=GRID_FROM)*('Dvd Calendar'!$AR$2023&lt;=GRID_TO)*((('Dvd Calendar'!$AR$2023&lt;=VAL_DATE)+(COUNTIF('Dvd Calendar'!$E$2030:$AR$2030,'Dvd Calendar'!$AR$2023)=0))&gt;0)=0,"",'Dvd Calendar'!$AR$2023*1000000000+ISNUMBER('Dvd Calendar'!$AR$2026)*100000000+('Dvd Calendar'!$AR$2028=SPECIAL_LBL)*10000000+(N('Dvd Calendar'!$AR$2022)&gt;0)*(N('Dvd Calendar'!$AR$2022)&lt;=VAL_SERIAL)*1000000+43*1000+40))</f>
        <v/>
      </c>
      <c r="FS202" s="39">
        <f>IF(N('Dvd Calendar'!$E$2030)=0,"",IF(('Dvd Calendar'!$E$2030&gt;=GRID_FROM)*('Dvd Calendar'!$E$2030&lt;=GRID_TO)*('Dvd Calendar'!$E$2030&gt;VAL_DATE)=0,"",'Dvd Calendar'!$E$2030*1000000000+ISNUMBER('Dvd Calendar'!$E$2031)*100000000+0*10000000+(N('Dvd Calendar'!$E$2029)&gt;0)*(N('Dvd Calendar'!$E$2029)&lt;=VAL_SERIAL)*1000000+43*1000+41))</f>
        <v/>
      </c>
      <c r="FT202" s="39">
        <f>IF(N('Dvd Calendar'!$F$2030)=0,"",IF(('Dvd Calendar'!$F$2030&gt;=GRID_FROM)*('Dvd Calendar'!$F$2030&lt;=GRID_TO)*('Dvd Calendar'!$F$2030&gt;VAL_DATE)=0,"",'Dvd Calendar'!$F$2030*1000000000+ISNUMBER('Dvd Calendar'!$F$2031)*100000000+0*10000000+(N('Dvd Calendar'!$F$2029)&gt;0)*(N('Dvd Calendar'!$F$2029)&lt;=VAL_SERIAL)*1000000+43*1000+42))</f>
        <v/>
      </c>
      <c r="FU202" s="39">
        <f>IF(N('Dvd Calendar'!$G$2030)=0,"",IF(('Dvd Calendar'!$G$2030&gt;=GRID_FROM)*('Dvd Calendar'!$G$2030&lt;=GRID_TO)*('Dvd Calendar'!$G$2030&gt;VAL_DATE)=0,"",'Dvd Calendar'!$G$2030*1000000000+ISNUMBER('Dvd Calendar'!$G$2031)*100000000+0*10000000+(N('Dvd Calendar'!$G$2029)&gt;0)*(N('Dvd Calendar'!$G$2029)&lt;=VAL_SERIAL)*1000000+43*1000+43))</f>
        <v/>
      </c>
      <c r="FV202" s="39">
        <f>IF(N('Dvd Calendar'!$H$2030)=0,"",IF(('Dvd Calendar'!$H$2030&gt;=GRID_FROM)*('Dvd Calendar'!$H$2030&lt;=GRID_TO)*('Dvd Calendar'!$H$2030&gt;VAL_DATE)=0,"",'Dvd Calendar'!$H$2030*1000000000+ISNUMBER('Dvd Calendar'!$H$2031)*100000000+0*10000000+(N('Dvd Calendar'!$H$2029)&gt;0)*(N('Dvd Calendar'!$H$2029)&lt;=VAL_SERIAL)*1000000+43*1000+44))</f>
        <v/>
      </c>
      <c r="FW202" s="39">
        <f>IF(N('Dvd Calendar'!$I$2030)=0,"",IF(('Dvd Calendar'!$I$2030&gt;=GRID_FROM)*('Dvd Calendar'!$I$2030&lt;=GRID_TO)*('Dvd Calendar'!$I$2030&gt;VAL_DATE)=0,"",'Dvd Calendar'!$I$2030*1000000000+ISNUMBER('Dvd Calendar'!$I$2031)*100000000+0*10000000+(N('Dvd Calendar'!$I$2029)&gt;0)*(N('Dvd Calendar'!$I$2029)&lt;=VAL_SERIAL)*1000000+43*1000+45))</f>
        <v/>
      </c>
      <c r="FX202" s="39">
        <f>IF(N('Dvd Calendar'!$J$2030)=0,"",IF(('Dvd Calendar'!$J$2030&gt;=GRID_FROM)*('Dvd Calendar'!$J$2030&lt;=GRID_TO)*('Dvd Calendar'!$J$2030&gt;VAL_DATE)=0,"",'Dvd Calendar'!$J$2030*1000000000+ISNUMBER('Dvd Calendar'!$J$2031)*100000000+0*10000000+(N('Dvd Calendar'!$J$2029)&gt;0)*(N('Dvd Calendar'!$J$2029)&lt;=VAL_SERIAL)*1000000+43*1000+46))</f>
        <v/>
      </c>
      <c r="FY202" s="39">
        <f>IF(N('Dvd Calendar'!$K$2030)=0,"",IF(('Dvd Calendar'!$K$2030&gt;=GRID_FROM)*('Dvd Calendar'!$K$2030&lt;=GRID_TO)*('Dvd Calendar'!$K$2030&gt;VAL_DATE)=0,"",'Dvd Calendar'!$K$2030*1000000000+ISNUMBER('Dvd Calendar'!$K$2031)*100000000+0*10000000+(N('Dvd Calendar'!$K$2029)&gt;0)*(N('Dvd Calendar'!$K$2029)&lt;=VAL_SERIAL)*1000000+43*1000+47))</f>
        <v/>
      </c>
      <c r="FZ202" s="39">
        <f>IF(N('Dvd Calendar'!$L$2030)=0,"",IF(('Dvd Calendar'!$L$2030&gt;=GRID_FROM)*('Dvd Calendar'!$L$2030&lt;=GRID_TO)*('Dvd Calendar'!$L$2030&gt;VAL_DATE)=0,"",'Dvd Calendar'!$L$2030*1000000000+ISNUMBER('Dvd Calendar'!$L$2031)*100000000+0*10000000+(N('Dvd Calendar'!$L$2029)&gt;0)*(N('Dvd Calendar'!$L$2029)&lt;=VAL_SERIAL)*1000000+43*1000+48))</f>
        <v/>
      </c>
      <c r="GA202" s="39">
        <f>IF(N('Dvd Calendar'!$M$2030)=0,"",IF(('Dvd Calendar'!$M$2030&gt;=GRID_FROM)*('Dvd Calendar'!$M$2030&lt;=GRID_TO)*('Dvd Calendar'!$M$2030&gt;VAL_DATE)=0,"",'Dvd Calendar'!$M$2030*1000000000+ISNUMBER('Dvd Calendar'!$M$2031)*100000000+0*10000000+(N('Dvd Calendar'!$M$2029)&gt;0)*(N('Dvd Calendar'!$M$2029)&lt;=VAL_SERIAL)*1000000+43*1000+49))</f>
        <v/>
      </c>
      <c r="GB202" s="39">
        <f>IF(N('Dvd Calendar'!$N$2030)=0,"",IF(('Dvd Calendar'!$N$2030&gt;=GRID_FROM)*('Dvd Calendar'!$N$2030&lt;=GRID_TO)*('Dvd Calendar'!$N$2030&gt;VAL_DATE)=0,"",'Dvd Calendar'!$N$2030*1000000000+ISNUMBER('Dvd Calendar'!$N$2031)*100000000+0*10000000+(N('Dvd Calendar'!$N$2029)&gt;0)*(N('Dvd Calendar'!$N$2029)&lt;=VAL_SERIAL)*1000000+43*1000+50))</f>
        <v/>
      </c>
      <c r="GC202" s="39">
        <f>IF(N('Dvd Calendar'!$O$2030)=0,"",IF(('Dvd Calendar'!$O$2030&gt;=GRID_FROM)*('Dvd Calendar'!$O$2030&lt;=GRID_TO)*('Dvd Calendar'!$O$2030&gt;VAL_DATE)=0,"",'Dvd Calendar'!$O$2030*1000000000+ISNUMBER('Dvd Calendar'!$O$2031)*100000000+0*10000000+(N('Dvd Calendar'!$O$2029)&gt;0)*(N('Dvd Calendar'!$O$2029)&lt;=VAL_SERIAL)*1000000+43*1000+51))</f>
        <v/>
      </c>
      <c r="GD202" s="39">
        <f>IF(N('Dvd Calendar'!$P$2030)=0,"",IF(('Dvd Calendar'!$P$2030&gt;=GRID_FROM)*('Dvd Calendar'!$P$2030&lt;=GRID_TO)*('Dvd Calendar'!$P$2030&gt;VAL_DATE)=0,"",'Dvd Calendar'!$P$2030*1000000000+ISNUMBER('Dvd Calendar'!$P$2031)*100000000+0*10000000+(N('Dvd Calendar'!$P$2029)&gt;0)*(N('Dvd Calendar'!$P$2029)&lt;=VAL_SERIAL)*1000000+43*1000+52))</f>
        <v/>
      </c>
      <c r="GE202" s="39">
        <f>IF(N('Dvd Calendar'!$Q$2030)=0,"",IF(('Dvd Calendar'!$Q$2030&gt;=GRID_FROM)*('Dvd Calendar'!$Q$2030&lt;=GRID_TO)*('Dvd Calendar'!$Q$2030&gt;VAL_DATE)=0,"",'Dvd Calendar'!$Q$2030*1000000000+ISNUMBER('Dvd Calendar'!$Q$2031)*100000000+0*10000000+(N('Dvd Calendar'!$Q$2029)&gt;0)*(N('Dvd Calendar'!$Q$2029)&lt;=VAL_SERIAL)*1000000+43*1000+53))</f>
        <v/>
      </c>
      <c r="GF202" s="39">
        <f>IF(N('Dvd Calendar'!$R$2030)=0,"",IF(('Dvd Calendar'!$R$2030&gt;=GRID_FROM)*('Dvd Calendar'!$R$2030&lt;=GRID_TO)*('Dvd Calendar'!$R$2030&gt;VAL_DATE)=0,"",'Dvd Calendar'!$R$2030*1000000000+ISNUMBER('Dvd Calendar'!$R$2031)*100000000+0*10000000+(N('Dvd Calendar'!$R$2029)&gt;0)*(N('Dvd Calendar'!$R$2029)&lt;=VAL_SERIAL)*1000000+43*1000+54))</f>
        <v/>
      </c>
      <c r="GG202" s="39">
        <f>IF(N('Dvd Calendar'!$S$2030)=0,"",IF(('Dvd Calendar'!$S$2030&gt;=GRID_FROM)*('Dvd Calendar'!$S$2030&lt;=GRID_TO)*('Dvd Calendar'!$S$2030&gt;VAL_DATE)=0,"",'Dvd Calendar'!$S$2030*1000000000+ISNUMBER('Dvd Calendar'!$S$2031)*100000000+0*10000000+(N('Dvd Calendar'!$S$2029)&gt;0)*(N('Dvd Calendar'!$S$2029)&lt;=VAL_SERIAL)*1000000+43*1000+55))</f>
        <v/>
      </c>
      <c r="GH202" s="39">
        <f>IF(N('Dvd Calendar'!$T$2030)=0,"",IF(('Dvd Calendar'!$T$2030&gt;=GRID_FROM)*('Dvd Calendar'!$T$2030&lt;=GRID_TO)*('Dvd Calendar'!$T$2030&gt;VAL_DATE)=0,"",'Dvd Calendar'!$T$2030*1000000000+ISNUMBER('Dvd Calendar'!$T$2031)*100000000+0*10000000+(N('Dvd Calendar'!$T$2029)&gt;0)*(N('Dvd Calendar'!$T$2029)&lt;=VAL_SERIAL)*1000000+43*1000+56))</f>
        <v/>
      </c>
      <c r="GI202" s="39">
        <f>IF(N('Dvd Calendar'!$U$2030)=0,"",IF(('Dvd Calendar'!$U$2030&gt;=GRID_FROM)*('Dvd Calendar'!$U$2030&lt;=GRID_TO)*('Dvd Calendar'!$U$2030&gt;VAL_DATE)=0,"",'Dvd Calendar'!$U$2030*1000000000+ISNUMBER('Dvd Calendar'!$U$2031)*100000000+0*10000000+(N('Dvd Calendar'!$U$2029)&gt;0)*(N('Dvd Calendar'!$U$2029)&lt;=VAL_SERIAL)*1000000+43*1000+57))</f>
        <v/>
      </c>
      <c r="GJ202" s="39">
        <f>IF(N('Dvd Calendar'!$V$2030)=0,"",IF(('Dvd Calendar'!$V$2030&gt;=GRID_FROM)*('Dvd Calendar'!$V$2030&lt;=GRID_TO)*('Dvd Calendar'!$V$2030&gt;VAL_DATE)=0,"",'Dvd Calendar'!$V$2030*1000000000+ISNUMBER('Dvd Calendar'!$V$2031)*100000000+0*10000000+(N('Dvd Calendar'!$V$2029)&gt;0)*(N('Dvd Calendar'!$V$2029)&lt;=VAL_SERIAL)*1000000+43*1000+58))</f>
        <v/>
      </c>
      <c r="GK202" s="39">
        <f>IF(N('Dvd Calendar'!$W$2030)=0,"",IF(('Dvd Calendar'!$W$2030&gt;=GRID_FROM)*('Dvd Calendar'!$W$2030&lt;=GRID_TO)*('Dvd Calendar'!$W$2030&gt;VAL_DATE)=0,"",'Dvd Calendar'!$W$2030*1000000000+ISNUMBER('Dvd Calendar'!$W$2031)*100000000+0*10000000+(N('Dvd Calendar'!$W$2029)&gt;0)*(N('Dvd Calendar'!$W$2029)&lt;=VAL_SERIAL)*1000000+43*1000+59))</f>
        <v/>
      </c>
      <c r="GL202" s="39">
        <f>IF(N('Dvd Calendar'!$X$2030)=0,"",IF(('Dvd Calendar'!$X$2030&gt;=GRID_FROM)*('Dvd Calendar'!$X$2030&lt;=GRID_TO)*('Dvd Calendar'!$X$2030&gt;VAL_DATE)=0,"",'Dvd Calendar'!$X$2030*1000000000+ISNUMBER('Dvd Calendar'!$X$2031)*100000000+0*10000000+(N('Dvd Calendar'!$X$2029)&gt;0)*(N('Dvd Calendar'!$X$2029)&lt;=VAL_SERIAL)*1000000+43*1000+60))</f>
        <v/>
      </c>
      <c r="GM202" s="39">
        <f>IF(N('Dvd Calendar'!$Y$2030)=0,"",IF(('Dvd Calendar'!$Y$2030&gt;=GRID_FROM)*('Dvd Calendar'!$Y$2030&lt;=GRID_TO)*('Dvd Calendar'!$Y$2030&gt;VAL_DATE)=0,"",'Dvd Calendar'!$Y$2030*1000000000+ISNUMBER('Dvd Calendar'!$Y$2031)*100000000+0*10000000+(N('Dvd Calendar'!$Y$2029)&gt;0)*(N('Dvd Calendar'!$Y$2029)&lt;=VAL_SERIAL)*1000000+43*1000+61))</f>
        <v/>
      </c>
      <c r="GN202" s="39">
        <f>IF(N('Dvd Calendar'!$Z$2030)=0,"",IF(('Dvd Calendar'!$Z$2030&gt;=GRID_FROM)*('Dvd Calendar'!$Z$2030&lt;=GRID_TO)*('Dvd Calendar'!$Z$2030&gt;VAL_DATE)=0,"",'Dvd Calendar'!$Z$2030*1000000000+ISNUMBER('Dvd Calendar'!$Z$2031)*100000000+0*10000000+(N('Dvd Calendar'!$Z$2029)&gt;0)*(N('Dvd Calendar'!$Z$2029)&lt;=VAL_SERIAL)*1000000+43*1000+62))</f>
        <v/>
      </c>
      <c r="GO202" s="39">
        <f>IF(N('Dvd Calendar'!$AA$2030)=0,"",IF(('Dvd Calendar'!$AA$2030&gt;=GRID_FROM)*('Dvd Calendar'!$AA$2030&lt;=GRID_TO)*('Dvd Calendar'!$AA$2030&gt;VAL_DATE)=0,"",'Dvd Calendar'!$AA$2030*1000000000+ISNUMBER('Dvd Calendar'!$AA$2031)*100000000+0*10000000+(N('Dvd Calendar'!$AA$2029)&gt;0)*(N('Dvd Calendar'!$AA$2029)&lt;=VAL_SERIAL)*1000000+43*1000+63))</f>
        <v/>
      </c>
      <c r="GP202" s="39">
        <f>IF(N('Dvd Calendar'!$AB$2030)=0,"",IF(('Dvd Calendar'!$AB$2030&gt;=GRID_FROM)*('Dvd Calendar'!$AB$2030&lt;=GRID_TO)*('Dvd Calendar'!$AB$2030&gt;VAL_DATE)=0,"",'Dvd Calendar'!$AB$2030*1000000000+ISNUMBER('Dvd Calendar'!$AB$2031)*100000000+0*10000000+(N('Dvd Calendar'!$AB$2029)&gt;0)*(N('Dvd Calendar'!$AB$2029)&lt;=VAL_SERIAL)*1000000+43*1000+64))</f>
        <v/>
      </c>
      <c r="GQ202" s="39">
        <f>IF(N('Dvd Calendar'!$AC$2030)=0,"",IF(('Dvd Calendar'!$AC$2030&gt;=GRID_FROM)*('Dvd Calendar'!$AC$2030&lt;=GRID_TO)*('Dvd Calendar'!$AC$2030&gt;VAL_DATE)=0,"",'Dvd Calendar'!$AC$2030*1000000000+ISNUMBER('Dvd Calendar'!$AC$2031)*100000000+0*10000000+(N('Dvd Calendar'!$AC$2029)&gt;0)*(N('Dvd Calendar'!$AC$2029)&lt;=VAL_SERIAL)*1000000+43*1000+65))</f>
        <v/>
      </c>
    </row>
    <row r="203">
      <c r="B203" s="2">
        <f>IF(HSCEI!$C$50="","",HSCEI!$C$50)</f>
        <v/>
      </c>
      <c r="C203" s="110">
        <f>IF(EE203="","",IF(ISNUMBER('Dvd Calendar'!$E$2037)=FALSE,"",IF((('Dvd Calendar'!$E$2039=TYPE1)*(TYPE1&lt;&gt;"")+('Dvd Calendar'!$E$2039=TYPE2)*(TYPE2&lt;&gt;"")+('Dvd Calendar'!$E$2039=TYPE3)*(TYPE3&lt;&gt;"")+('Dvd Calendar'!$E$2039=TYPE4)*(TYPE4&lt;&gt;"")+('Dvd Calendar'!$E$2039=SPECIAL_LBL)*(INC_SPECIALS="Y"))=0,"",'Dvd Calendar'!$E$2037)))</f>
        <v/>
      </c>
      <c r="D203" s="110">
        <f>IF(EF203="","",IF(ISNUMBER('Dvd Calendar'!$F$2037)=FALSE,"",IF((('Dvd Calendar'!$F$2039=TYPE1)*(TYPE1&lt;&gt;"")+('Dvd Calendar'!$F$2039=TYPE2)*(TYPE2&lt;&gt;"")+('Dvd Calendar'!$F$2039=TYPE3)*(TYPE3&lt;&gt;"")+('Dvd Calendar'!$F$2039=TYPE4)*(TYPE4&lt;&gt;"")+('Dvd Calendar'!$F$2039=SPECIAL_LBL)*(INC_SPECIALS="Y"))=0,"",'Dvd Calendar'!$F$2037)))</f>
        <v/>
      </c>
      <c r="E203" s="110">
        <f>IF(EG203="","",IF(ISNUMBER('Dvd Calendar'!$G$2037)=FALSE,"",IF((('Dvd Calendar'!$G$2039=TYPE1)*(TYPE1&lt;&gt;"")+('Dvd Calendar'!$G$2039=TYPE2)*(TYPE2&lt;&gt;"")+('Dvd Calendar'!$G$2039=TYPE3)*(TYPE3&lt;&gt;"")+('Dvd Calendar'!$G$2039=TYPE4)*(TYPE4&lt;&gt;"")+('Dvd Calendar'!$G$2039=SPECIAL_LBL)*(INC_SPECIALS="Y"))=0,"",'Dvd Calendar'!$G$2037)))</f>
        <v/>
      </c>
      <c r="F203" s="110">
        <f>IF(EH203="","",IF(ISNUMBER('Dvd Calendar'!$H$2037)=FALSE,"",IF((('Dvd Calendar'!$H$2039=TYPE1)*(TYPE1&lt;&gt;"")+('Dvd Calendar'!$H$2039=TYPE2)*(TYPE2&lt;&gt;"")+('Dvd Calendar'!$H$2039=TYPE3)*(TYPE3&lt;&gt;"")+('Dvd Calendar'!$H$2039=TYPE4)*(TYPE4&lt;&gt;"")+('Dvd Calendar'!$H$2039=SPECIAL_LBL)*(INC_SPECIALS="Y"))=0,"",'Dvd Calendar'!$H$2037)))</f>
        <v/>
      </c>
      <c r="G203" s="110">
        <f>IF(EI203="","",IF(ISNUMBER('Dvd Calendar'!$I$2037)=FALSE,"",IF((('Dvd Calendar'!$I$2039=TYPE1)*(TYPE1&lt;&gt;"")+('Dvd Calendar'!$I$2039=TYPE2)*(TYPE2&lt;&gt;"")+('Dvd Calendar'!$I$2039=TYPE3)*(TYPE3&lt;&gt;"")+('Dvd Calendar'!$I$2039=TYPE4)*(TYPE4&lt;&gt;"")+('Dvd Calendar'!$I$2039=SPECIAL_LBL)*(INC_SPECIALS="Y"))=0,"",'Dvd Calendar'!$I$2037)))</f>
        <v/>
      </c>
      <c r="H203" s="110">
        <f>IF(EJ203="","",IF(ISNUMBER('Dvd Calendar'!$J$2037)=FALSE,"",IF((('Dvd Calendar'!$J$2039=TYPE1)*(TYPE1&lt;&gt;"")+('Dvd Calendar'!$J$2039=TYPE2)*(TYPE2&lt;&gt;"")+('Dvd Calendar'!$J$2039=TYPE3)*(TYPE3&lt;&gt;"")+('Dvd Calendar'!$J$2039=TYPE4)*(TYPE4&lt;&gt;"")+('Dvd Calendar'!$J$2039=SPECIAL_LBL)*(INC_SPECIALS="Y"))=0,"",'Dvd Calendar'!$J$2037)))</f>
        <v/>
      </c>
      <c r="I203" s="110">
        <f>IF(EK203="","",IF(ISNUMBER('Dvd Calendar'!$K$2037)=FALSE,"",IF((('Dvd Calendar'!$K$2039=TYPE1)*(TYPE1&lt;&gt;"")+('Dvd Calendar'!$K$2039=TYPE2)*(TYPE2&lt;&gt;"")+('Dvd Calendar'!$K$2039=TYPE3)*(TYPE3&lt;&gt;"")+('Dvd Calendar'!$K$2039=TYPE4)*(TYPE4&lt;&gt;"")+('Dvd Calendar'!$K$2039=SPECIAL_LBL)*(INC_SPECIALS="Y"))=0,"",'Dvd Calendar'!$K$2037)))</f>
        <v/>
      </c>
      <c r="J203" s="110">
        <f>IF(EL203="","",IF(ISNUMBER('Dvd Calendar'!$L$2037)=FALSE,"",IF((('Dvd Calendar'!$L$2039=TYPE1)*(TYPE1&lt;&gt;"")+('Dvd Calendar'!$L$2039=TYPE2)*(TYPE2&lt;&gt;"")+('Dvd Calendar'!$L$2039=TYPE3)*(TYPE3&lt;&gt;"")+('Dvd Calendar'!$L$2039=TYPE4)*(TYPE4&lt;&gt;"")+('Dvd Calendar'!$L$2039=SPECIAL_LBL)*(INC_SPECIALS="Y"))=0,"",'Dvd Calendar'!$L$2037)))</f>
        <v/>
      </c>
      <c r="K203" s="110">
        <f>IF(EM203="","",IF(ISNUMBER('Dvd Calendar'!$M$2037)=FALSE,"",IF((('Dvd Calendar'!$M$2039=TYPE1)*(TYPE1&lt;&gt;"")+('Dvd Calendar'!$M$2039=TYPE2)*(TYPE2&lt;&gt;"")+('Dvd Calendar'!$M$2039=TYPE3)*(TYPE3&lt;&gt;"")+('Dvd Calendar'!$M$2039=TYPE4)*(TYPE4&lt;&gt;"")+('Dvd Calendar'!$M$2039=SPECIAL_LBL)*(INC_SPECIALS="Y"))=0,"",'Dvd Calendar'!$M$2037)))</f>
        <v/>
      </c>
      <c r="L203" s="110">
        <f>IF(EN203="","",IF(ISNUMBER('Dvd Calendar'!$N$2037)=FALSE,"",IF((('Dvd Calendar'!$N$2039=TYPE1)*(TYPE1&lt;&gt;"")+('Dvd Calendar'!$N$2039=TYPE2)*(TYPE2&lt;&gt;"")+('Dvd Calendar'!$N$2039=TYPE3)*(TYPE3&lt;&gt;"")+('Dvd Calendar'!$N$2039=TYPE4)*(TYPE4&lt;&gt;"")+('Dvd Calendar'!$N$2039=SPECIAL_LBL)*(INC_SPECIALS="Y"))=0,"",'Dvd Calendar'!$N$2037)))</f>
        <v/>
      </c>
      <c r="M203" s="110">
        <f>IF(EO203="","",IF(ISNUMBER('Dvd Calendar'!$O$2037)=FALSE,"",IF((('Dvd Calendar'!$O$2039=TYPE1)*(TYPE1&lt;&gt;"")+('Dvd Calendar'!$O$2039=TYPE2)*(TYPE2&lt;&gt;"")+('Dvd Calendar'!$O$2039=TYPE3)*(TYPE3&lt;&gt;"")+('Dvd Calendar'!$O$2039=TYPE4)*(TYPE4&lt;&gt;"")+('Dvd Calendar'!$O$2039=SPECIAL_LBL)*(INC_SPECIALS="Y"))=0,"",'Dvd Calendar'!$O$2037)))</f>
        <v/>
      </c>
      <c r="N203" s="110">
        <f>IF(EP203="","",IF(ISNUMBER('Dvd Calendar'!$P$2037)=FALSE,"",IF((('Dvd Calendar'!$P$2039=TYPE1)*(TYPE1&lt;&gt;"")+('Dvd Calendar'!$P$2039=TYPE2)*(TYPE2&lt;&gt;"")+('Dvd Calendar'!$P$2039=TYPE3)*(TYPE3&lt;&gt;"")+('Dvd Calendar'!$P$2039=TYPE4)*(TYPE4&lt;&gt;"")+('Dvd Calendar'!$P$2039=SPECIAL_LBL)*(INC_SPECIALS="Y"))=0,"",'Dvd Calendar'!$P$2037)))</f>
        <v/>
      </c>
      <c r="O203" s="110">
        <f>IF(EQ203="","",IF(ISNUMBER('Dvd Calendar'!$Q$2037)=FALSE,"",IF((('Dvd Calendar'!$Q$2039=TYPE1)*(TYPE1&lt;&gt;"")+('Dvd Calendar'!$Q$2039=TYPE2)*(TYPE2&lt;&gt;"")+('Dvd Calendar'!$Q$2039=TYPE3)*(TYPE3&lt;&gt;"")+('Dvd Calendar'!$Q$2039=TYPE4)*(TYPE4&lt;&gt;"")+('Dvd Calendar'!$Q$2039=SPECIAL_LBL)*(INC_SPECIALS="Y"))=0,"",'Dvd Calendar'!$Q$2037)))</f>
        <v/>
      </c>
      <c r="P203" s="110">
        <f>IF(ER203="","",IF(ISNUMBER('Dvd Calendar'!$R$2037)=FALSE,"",IF((('Dvd Calendar'!$R$2039=TYPE1)*(TYPE1&lt;&gt;"")+('Dvd Calendar'!$R$2039=TYPE2)*(TYPE2&lt;&gt;"")+('Dvd Calendar'!$R$2039=TYPE3)*(TYPE3&lt;&gt;"")+('Dvd Calendar'!$R$2039=TYPE4)*(TYPE4&lt;&gt;"")+('Dvd Calendar'!$R$2039=SPECIAL_LBL)*(INC_SPECIALS="Y"))=0,"",'Dvd Calendar'!$R$2037)))</f>
        <v/>
      </c>
      <c r="Q203" s="110">
        <f>IF(ES203="","",IF(ISNUMBER('Dvd Calendar'!$S$2037)=FALSE,"",IF((('Dvd Calendar'!$S$2039=TYPE1)*(TYPE1&lt;&gt;"")+('Dvd Calendar'!$S$2039=TYPE2)*(TYPE2&lt;&gt;"")+('Dvd Calendar'!$S$2039=TYPE3)*(TYPE3&lt;&gt;"")+('Dvd Calendar'!$S$2039=TYPE4)*(TYPE4&lt;&gt;"")+('Dvd Calendar'!$S$2039=SPECIAL_LBL)*(INC_SPECIALS="Y"))=0,"",'Dvd Calendar'!$S$2037)))</f>
        <v/>
      </c>
      <c r="R203" s="110">
        <f>IF(ET203="","",IF(ISNUMBER('Dvd Calendar'!$T$2037)=FALSE,"",IF((('Dvd Calendar'!$T$2039=TYPE1)*(TYPE1&lt;&gt;"")+('Dvd Calendar'!$T$2039=TYPE2)*(TYPE2&lt;&gt;"")+('Dvd Calendar'!$T$2039=TYPE3)*(TYPE3&lt;&gt;"")+('Dvd Calendar'!$T$2039=TYPE4)*(TYPE4&lt;&gt;"")+('Dvd Calendar'!$T$2039=SPECIAL_LBL)*(INC_SPECIALS="Y"))=0,"",'Dvd Calendar'!$T$2037)))</f>
        <v/>
      </c>
      <c r="S203" s="110">
        <f>IF(EU203="","",IF(ISNUMBER('Dvd Calendar'!$U$2037)=FALSE,"",IF((('Dvd Calendar'!$U$2039=TYPE1)*(TYPE1&lt;&gt;"")+('Dvd Calendar'!$U$2039=TYPE2)*(TYPE2&lt;&gt;"")+('Dvd Calendar'!$U$2039=TYPE3)*(TYPE3&lt;&gt;"")+('Dvd Calendar'!$U$2039=TYPE4)*(TYPE4&lt;&gt;"")+('Dvd Calendar'!$U$2039=SPECIAL_LBL)*(INC_SPECIALS="Y"))=0,"",'Dvd Calendar'!$U$2037)))</f>
        <v/>
      </c>
      <c r="T203" s="110">
        <f>IF(EV203="","",IF(ISNUMBER('Dvd Calendar'!$V$2037)=FALSE,"",IF((('Dvd Calendar'!$V$2039=TYPE1)*(TYPE1&lt;&gt;"")+('Dvd Calendar'!$V$2039=TYPE2)*(TYPE2&lt;&gt;"")+('Dvd Calendar'!$V$2039=TYPE3)*(TYPE3&lt;&gt;"")+('Dvd Calendar'!$V$2039=TYPE4)*(TYPE4&lt;&gt;"")+('Dvd Calendar'!$V$2039=SPECIAL_LBL)*(INC_SPECIALS="Y"))=0,"",'Dvd Calendar'!$V$2037)))</f>
        <v/>
      </c>
      <c r="U203" s="110">
        <f>IF(EW203="","",IF(ISNUMBER('Dvd Calendar'!$W$2037)=FALSE,"",IF((('Dvd Calendar'!$W$2039=TYPE1)*(TYPE1&lt;&gt;"")+('Dvd Calendar'!$W$2039=TYPE2)*(TYPE2&lt;&gt;"")+('Dvd Calendar'!$W$2039=TYPE3)*(TYPE3&lt;&gt;"")+('Dvd Calendar'!$W$2039=TYPE4)*(TYPE4&lt;&gt;"")+('Dvd Calendar'!$W$2039=SPECIAL_LBL)*(INC_SPECIALS="Y"))=0,"",'Dvd Calendar'!$W$2037)))</f>
        <v/>
      </c>
      <c r="V203" s="110">
        <f>IF(EX203="","",IF(ISNUMBER('Dvd Calendar'!$X$2037)=FALSE,"",IF((('Dvd Calendar'!$X$2039=TYPE1)*(TYPE1&lt;&gt;"")+('Dvd Calendar'!$X$2039=TYPE2)*(TYPE2&lt;&gt;"")+('Dvd Calendar'!$X$2039=TYPE3)*(TYPE3&lt;&gt;"")+('Dvd Calendar'!$X$2039=TYPE4)*(TYPE4&lt;&gt;"")+('Dvd Calendar'!$X$2039=SPECIAL_LBL)*(INC_SPECIALS="Y"))=0,"",'Dvd Calendar'!$X$2037)))</f>
        <v/>
      </c>
      <c r="W203" s="110">
        <f>IF(EY203="","",IF(ISNUMBER('Dvd Calendar'!$Y$2037)=FALSE,"",IF((('Dvd Calendar'!$Y$2039=TYPE1)*(TYPE1&lt;&gt;"")+('Dvd Calendar'!$Y$2039=TYPE2)*(TYPE2&lt;&gt;"")+('Dvd Calendar'!$Y$2039=TYPE3)*(TYPE3&lt;&gt;"")+('Dvd Calendar'!$Y$2039=TYPE4)*(TYPE4&lt;&gt;"")+('Dvd Calendar'!$Y$2039=SPECIAL_LBL)*(INC_SPECIALS="Y"))=0,"",'Dvd Calendar'!$Y$2037)))</f>
        <v/>
      </c>
      <c r="X203" s="110">
        <f>IF(EZ203="","",IF(ISNUMBER('Dvd Calendar'!$Z$2037)=FALSE,"",IF((('Dvd Calendar'!$Z$2039=TYPE1)*(TYPE1&lt;&gt;"")+('Dvd Calendar'!$Z$2039=TYPE2)*(TYPE2&lt;&gt;"")+('Dvd Calendar'!$Z$2039=TYPE3)*(TYPE3&lt;&gt;"")+('Dvd Calendar'!$Z$2039=TYPE4)*(TYPE4&lt;&gt;"")+('Dvd Calendar'!$Z$2039=SPECIAL_LBL)*(INC_SPECIALS="Y"))=0,"",'Dvd Calendar'!$Z$2037)))</f>
        <v/>
      </c>
      <c r="Y203" s="110">
        <f>IF(FA203="","",IF(ISNUMBER('Dvd Calendar'!$AA$2037)=FALSE,"",IF((('Dvd Calendar'!$AA$2039=TYPE1)*(TYPE1&lt;&gt;"")+('Dvd Calendar'!$AA$2039=TYPE2)*(TYPE2&lt;&gt;"")+('Dvd Calendar'!$AA$2039=TYPE3)*(TYPE3&lt;&gt;"")+('Dvd Calendar'!$AA$2039=TYPE4)*(TYPE4&lt;&gt;"")+('Dvd Calendar'!$AA$2039=SPECIAL_LBL)*(INC_SPECIALS="Y"))=0,"",'Dvd Calendar'!$AA$2037)))</f>
        <v/>
      </c>
      <c r="Z203" s="110">
        <f>IF(FB203="","",IF(ISNUMBER('Dvd Calendar'!$AB$2037)=FALSE,"",IF((('Dvd Calendar'!$AB$2039=TYPE1)*(TYPE1&lt;&gt;"")+('Dvd Calendar'!$AB$2039=TYPE2)*(TYPE2&lt;&gt;"")+('Dvd Calendar'!$AB$2039=TYPE3)*(TYPE3&lt;&gt;"")+('Dvd Calendar'!$AB$2039=TYPE4)*(TYPE4&lt;&gt;"")+('Dvd Calendar'!$AB$2039=SPECIAL_LBL)*(INC_SPECIALS="Y"))=0,"",'Dvd Calendar'!$AB$2037)))</f>
        <v/>
      </c>
      <c r="AA203" s="110">
        <f>IF(FC203="","",IF(ISNUMBER('Dvd Calendar'!$AC$2037)=FALSE,"",IF((('Dvd Calendar'!$AC$2039=TYPE1)*(TYPE1&lt;&gt;"")+('Dvd Calendar'!$AC$2039=TYPE2)*(TYPE2&lt;&gt;"")+('Dvd Calendar'!$AC$2039=TYPE3)*(TYPE3&lt;&gt;"")+('Dvd Calendar'!$AC$2039=TYPE4)*(TYPE4&lt;&gt;"")+('Dvd Calendar'!$AC$2039=SPECIAL_LBL)*(INC_SPECIALS="Y"))=0,"",'Dvd Calendar'!$AC$2037)))</f>
        <v/>
      </c>
      <c r="AB203" s="110">
        <f>IF(FD203="","",IF(ISNUMBER('Dvd Calendar'!$AD$2037)=FALSE,"",IF((('Dvd Calendar'!$AD$2039=TYPE1)*(TYPE1&lt;&gt;"")+('Dvd Calendar'!$AD$2039=TYPE2)*(TYPE2&lt;&gt;"")+('Dvd Calendar'!$AD$2039=TYPE3)*(TYPE3&lt;&gt;"")+('Dvd Calendar'!$AD$2039=TYPE4)*(TYPE4&lt;&gt;"")+('Dvd Calendar'!$AD$2039=SPECIAL_LBL)*(INC_SPECIALS="Y"))=0,"",'Dvd Calendar'!$AD$2037)))</f>
        <v/>
      </c>
      <c r="AC203" s="110">
        <f>IF(FE203="","",IF(ISNUMBER('Dvd Calendar'!$AE$2037)=FALSE,"",IF((('Dvd Calendar'!$AE$2039=TYPE1)*(TYPE1&lt;&gt;"")+('Dvd Calendar'!$AE$2039=TYPE2)*(TYPE2&lt;&gt;"")+('Dvd Calendar'!$AE$2039=TYPE3)*(TYPE3&lt;&gt;"")+('Dvd Calendar'!$AE$2039=TYPE4)*(TYPE4&lt;&gt;"")+('Dvd Calendar'!$AE$2039=SPECIAL_LBL)*(INC_SPECIALS="Y"))=0,"",'Dvd Calendar'!$AE$2037)))</f>
        <v/>
      </c>
      <c r="AD203" s="110">
        <f>IF(FF203="","",IF(ISNUMBER('Dvd Calendar'!$AF$2037)=FALSE,"",IF((('Dvd Calendar'!$AF$2039=TYPE1)*(TYPE1&lt;&gt;"")+('Dvd Calendar'!$AF$2039=TYPE2)*(TYPE2&lt;&gt;"")+('Dvd Calendar'!$AF$2039=TYPE3)*(TYPE3&lt;&gt;"")+('Dvd Calendar'!$AF$2039=TYPE4)*(TYPE4&lt;&gt;"")+('Dvd Calendar'!$AF$2039=SPECIAL_LBL)*(INC_SPECIALS="Y"))=0,"",'Dvd Calendar'!$AF$2037)))</f>
        <v/>
      </c>
      <c r="AE203" s="110">
        <f>IF(FG203="","",IF(ISNUMBER('Dvd Calendar'!$AG$2037)=FALSE,"",IF((('Dvd Calendar'!$AG$2039=TYPE1)*(TYPE1&lt;&gt;"")+('Dvd Calendar'!$AG$2039=TYPE2)*(TYPE2&lt;&gt;"")+('Dvd Calendar'!$AG$2039=TYPE3)*(TYPE3&lt;&gt;"")+('Dvd Calendar'!$AG$2039=TYPE4)*(TYPE4&lt;&gt;"")+('Dvd Calendar'!$AG$2039=SPECIAL_LBL)*(INC_SPECIALS="Y"))=0,"",'Dvd Calendar'!$AG$2037)))</f>
        <v/>
      </c>
      <c r="AF203" s="110">
        <f>IF(FH203="","",IF(ISNUMBER('Dvd Calendar'!$AH$2037)=FALSE,"",IF((('Dvd Calendar'!$AH$2039=TYPE1)*(TYPE1&lt;&gt;"")+('Dvd Calendar'!$AH$2039=TYPE2)*(TYPE2&lt;&gt;"")+('Dvd Calendar'!$AH$2039=TYPE3)*(TYPE3&lt;&gt;"")+('Dvd Calendar'!$AH$2039=TYPE4)*(TYPE4&lt;&gt;"")+('Dvd Calendar'!$AH$2039=SPECIAL_LBL)*(INC_SPECIALS="Y"))=0,"",'Dvd Calendar'!$AH$2037)))</f>
        <v/>
      </c>
      <c r="AG203" s="110">
        <f>IF(FI203="","",IF(ISNUMBER('Dvd Calendar'!$AI$2037)=FALSE,"",IF((('Dvd Calendar'!$AI$2039=TYPE1)*(TYPE1&lt;&gt;"")+('Dvd Calendar'!$AI$2039=TYPE2)*(TYPE2&lt;&gt;"")+('Dvd Calendar'!$AI$2039=TYPE3)*(TYPE3&lt;&gt;"")+('Dvd Calendar'!$AI$2039=TYPE4)*(TYPE4&lt;&gt;"")+('Dvd Calendar'!$AI$2039=SPECIAL_LBL)*(INC_SPECIALS="Y"))=0,"",'Dvd Calendar'!$AI$2037)))</f>
        <v/>
      </c>
      <c r="AH203" s="110">
        <f>IF(FJ203="","",IF(ISNUMBER('Dvd Calendar'!$AJ$2037)=FALSE,"",IF((('Dvd Calendar'!$AJ$2039=TYPE1)*(TYPE1&lt;&gt;"")+('Dvd Calendar'!$AJ$2039=TYPE2)*(TYPE2&lt;&gt;"")+('Dvd Calendar'!$AJ$2039=TYPE3)*(TYPE3&lt;&gt;"")+('Dvd Calendar'!$AJ$2039=TYPE4)*(TYPE4&lt;&gt;"")+('Dvd Calendar'!$AJ$2039=SPECIAL_LBL)*(INC_SPECIALS="Y"))=0,"",'Dvd Calendar'!$AJ$2037)))</f>
        <v/>
      </c>
      <c r="AI203" s="110">
        <f>IF(FK203="","",IF(ISNUMBER('Dvd Calendar'!$AK$2037)=FALSE,"",IF((('Dvd Calendar'!$AK$2039=TYPE1)*(TYPE1&lt;&gt;"")+('Dvd Calendar'!$AK$2039=TYPE2)*(TYPE2&lt;&gt;"")+('Dvd Calendar'!$AK$2039=TYPE3)*(TYPE3&lt;&gt;"")+('Dvd Calendar'!$AK$2039=TYPE4)*(TYPE4&lt;&gt;"")+('Dvd Calendar'!$AK$2039=SPECIAL_LBL)*(INC_SPECIALS="Y"))=0,"",'Dvd Calendar'!$AK$2037)))</f>
        <v/>
      </c>
      <c r="AJ203" s="110">
        <f>IF(FL203="","",IF(ISNUMBER('Dvd Calendar'!$AL$2037)=FALSE,"",IF((('Dvd Calendar'!$AL$2039=TYPE1)*(TYPE1&lt;&gt;"")+('Dvd Calendar'!$AL$2039=TYPE2)*(TYPE2&lt;&gt;"")+('Dvd Calendar'!$AL$2039=TYPE3)*(TYPE3&lt;&gt;"")+('Dvd Calendar'!$AL$2039=TYPE4)*(TYPE4&lt;&gt;"")+('Dvd Calendar'!$AL$2039=SPECIAL_LBL)*(INC_SPECIALS="Y"))=0,"",'Dvd Calendar'!$AL$2037)))</f>
        <v/>
      </c>
      <c r="AK203" s="110">
        <f>IF(FM203="","",IF(ISNUMBER('Dvd Calendar'!$AM$2037)=FALSE,"",IF((('Dvd Calendar'!$AM$2039=TYPE1)*(TYPE1&lt;&gt;"")+('Dvd Calendar'!$AM$2039=TYPE2)*(TYPE2&lt;&gt;"")+('Dvd Calendar'!$AM$2039=TYPE3)*(TYPE3&lt;&gt;"")+('Dvd Calendar'!$AM$2039=TYPE4)*(TYPE4&lt;&gt;"")+('Dvd Calendar'!$AM$2039=SPECIAL_LBL)*(INC_SPECIALS="Y"))=0,"",'Dvd Calendar'!$AM$2037)))</f>
        <v/>
      </c>
      <c r="AL203" s="110">
        <f>IF(FN203="","",IF(ISNUMBER('Dvd Calendar'!$AN$2037)=FALSE,"",IF((('Dvd Calendar'!$AN$2039=TYPE1)*(TYPE1&lt;&gt;"")+('Dvd Calendar'!$AN$2039=TYPE2)*(TYPE2&lt;&gt;"")+('Dvd Calendar'!$AN$2039=TYPE3)*(TYPE3&lt;&gt;"")+('Dvd Calendar'!$AN$2039=TYPE4)*(TYPE4&lt;&gt;"")+('Dvd Calendar'!$AN$2039=SPECIAL_LBL)*(INC_SPECIALS="Y"))=0,"",'Dvd Calendar'!$AN$2037)))</f>
        <v/>
      </c>
      <c r="AM203" s="110">
        <f>IF(FO203="","",IF(ISNUMBER('Dvd Calendar'!$AO$2037)=FALSE,"",IF((('Dvd Calendar'!$AO$2039=TYPE1)*(TYPE1&lt;&gt;"")+('Dvd Calendar'!$AO$2039=TYPE2)*(TYPE2&lt;&gt;"")+('Dvd Calendar'!$AO$2039=TYPE3)*(TYPE3&lt;&gt;"")+('Dvd Calendar'!$AO$2039=TYPE4)*(TYPE4&lt;&gt;"")+('Dvd Calendar'!$AO$2039=SPECIAL_LBL)*(INC_SPECIALS="Y"))=0,"",'Dvd Calendar'!$AO$2037)))</f>
        <v/>
      </c>
      <c r="AN203" s="110">
        <f>IF(FP203="","",IF(ISNUMBER('Dvd Calendar'!$AP$2037)=FALSE,"",IF((('Dvd Calendar'!$AP$2039=TYPE1)*(TYPE1&lt;&gt;"")+('Dvd Calendar'!$AP$2039=TYPE2)*(TYPE2&lt;&gt;"")+('Dvd Calendar'!$AP$2039=TYPE3)*(TYPE3&lt;&gt;"")+('Dvd Calendar'!$AP$2039=TYPE4)*(TYPE4&lt;&gt;"")+('Dvd Calendar'!$AP$2039=SPECIAL_LBL)*(INC_SPECIALS="Y"))=0,"",'Dvd Calendar'!$AP$2037)))</f>
        <v/>
      </c>
      <c r="AO203" s="110">
        <f>IF(FQ203="","",IF(ISNUMBER('Dvd Calendar'!$AQ$2037)=FALSE,"",IF((('Dvd Calendar'!$AQ$2039=TYPE1)*(TYPE1&lt;&gt;"")+('Dvd Calendar'!$AQ$2039=TYPE2)*(TYPE2&lt;&gt;"")+('Dvd Calendar'!$AQ$2039=TYPE3)*(TYPE3&lt;&gt;"")+('Dvd Calendar'!$AQ$2039=TYPE4)*(TYPE4&lt;&gt;"")+('Dvd Calendar'!$AQ$2039=SPECIAL_LBL)*(INC_SPECIALS="Y"))=0,"",'Dvd Calendar'!$AQ$2037)))</f>
        <v/>
      </c>
      <c r="AP203" s="110">
        <f>IF(FR203="","",IF(ISNUMBER('Dvd Calendar'!$AR$2037)=FALSE,"",IF((('Dvd Calendar'!$AR$2039=TYPE1)*(TYPE1&lt;&gt;"")+('Dvd Calendar'!$AR$2039=TYPE2)*(TYPE2&lt;&gt;"")+('Dvd Calendar'!$AR$2039=TYPE3)*(TYPE3&lt;&gt;"")+('Dvd Calendar'!$AR$2039=TYPE4)*(TYPE4&lt;&gt;"")+('Dvd Calendar'!$AR$2039=SPECIAL_LBL)*(INC_SPECIALS="Y"))=0,"",'Dvd Calendar'!$AR$2037)))</f>
        <v/>
      </c>
      <c r="AQ203" s="110">
        <f>IF(FS203="","",IF(ISNUMBER('Dvd Calendar'!$E$2042)=FALSE,"",'Dvd Calendar'!$E$2042))</f>
        <v/>
      </c>
      <c r="AR203" s="110">
        <f>IF(FT203="","",IF(ISNUMBER('Dvd Calendar'!$F$2042)=FALSE,"",'Dvd Calendar'!$F$2042))</f>
        <v/>
      </c>
      <c r="AS203" s="110">
        <f>IF(FU203="","",IF(ISNUMBER('Dvd Calendar'!$G$2042)=FALSE,"",'Dvd Calendar'!$G$2042))</f>
        <v/>
      </c>
      <c r="AT203" s="110">
        <f>IF(FV203="","",IF(ISNUMBER('Dvd Calendar'!$H$2042)=FALSE,"",'Dvd Calendar'!$H$2042))</f>
        <v/>
      </c>
      <c r="AU203" s="110">
        <f>IF(FW203="","",IF(ISNUMBER('Dvd Calendar'!$I$2042)=FALSE,"",'Dvd Calendar'!$I$2042))</f>
        <v/>
      </c>
      <c r="AV203" s="110">
        <f>IF(FX203="","",IF(ISNUMBER('Dvd Calendar'!$J$2042)=FALSE,"",'Dvd Calendar'!$J$2042))</f>
        <v/>
      </c>
      <c r="AW203" s="110">
        <f>IF(FY203="","",IF(ISNUMBER('Dvd Calendar'!$K$2042)=FALSE,"",'Dvd Calendar'!$K$2042))</f>
        <v/>
      </c>
      <c r="AX203" s="110">
        <f>IF(FZ203="","",IF(ISNUMBER('Dvd Calendar'!$L$2042)=FALSE,"",'Dvd Calendar'!$L$2042))</f>
        <v/>
      </c>
      <c r="AY203" s="110">
        <f>IF(GA203="","",IF(ISNUMBER('Dvd Calendar'!$M$2042)=FALSE,"",'Dvd Calendar'!$M$2042))</f>
        <v/>
      </c>
      <c r="AZ203" s="110">
        <f>IF(GB203="","",IF(ISNUMBER('Dvd Calendar'!$N$2042)=FALSE,"",'Dvd Calendar'!$N$2042))</f>
        <v/>
      </c>
      <c r="BA203" s="110">
        <f>IF(GC203="","",IF(ISNUMBER('Dvd Calendar'!$O$2042)=FALSE,"",'Dvd Calendar'!$O$2042))</f>
        <v/>
      </c>
      <c r="BB203" s="110">
        <f>IF(GD203="","",IF(ISNUMBER('Dvd Calendar'!$P$2042)=FALSE,"",'Dvd Calendar'!$P$2042))</f>
        <v/>
      </c>
      <c r="BC203" s="110">
        <f>IF(GE203="","",IF(ISNUMBER('Dvd Calendar'!$Q$2042)=FALSE,"",'Dvd Calendar'!$Q$2042))</f>
        <v/>
      </c>
      <c r="BD203" s="110">
        <f>IF(GF203="","",IF(ISNUMBER('Dvd Calendar'!$R$2042)=FALSE,"",'Dvd Calendar'!$R$2042))</f>
        <v/>
      </c>
      <c r="BE203" s="110">
        <f>IF(GG203="","",IF(ISNUMBER('Dvd Calendar'!$S$2042)=FALSE,"",'Dvd Calendar'!$S$2042))</f>
        <v/>
      </c>
      <c r="BF203" s="110">
        <f>IF(GH203="","",IF(ISNUMBER('Dvd Calendar'!$T$2042)=FALSE,"",'Dvd Calendar'!$T$2042))</f>
        <v/>
      </c>
      <c r="BG203" s="110">
        <f>IF(GI203="","",IF(ISNUMBER('Dvd Calendar'!$U$2042)=FALSE,"",'Dvd Calendar'!$U$2042))</f>
        <v/>
      </c>
      <c r="BH203" s="110">
        <f>IF(GJ203="","",IF(ISNUMBER('Dvd Calendar'!$V$2042)=FALSE,"",'Dvd Calendar'!$V$2042))</f>
        <v/>
      </c>
      <c r="BI203" s="110">
        <f>IF(GK203="","",IF(ISNUMBER('Dvd Calendar'!$W$2042)=FALSE,"",'Dvd Calendar'!$W$2042))</f>
        <v/>
      </c>
      <c r="BJ203" s="110">
        <f>IF(GL203="","",IF(ISNUMBER('Dvd Calendar'!$X$2042)=FALSE,"",'Dvd Calendar'!$X$2042))</f>
        <v/>
      </c>
      <c r="BK203" s="110">
        <f>IF(GM203="","",IF(ISNUMBER('Dvd Calendar'!$Y$2042)=FALSE,"",'Dvd Calendar'!$Y$2042))</f>
        <v/>
      </c>
      <c r="BL203" s="110">
        <f>IF(GN203="","",IF(ISNUMBER('Dvd Calendar'!$Z$2042)=FALSE,"",'Dvd Calendar'!$Z$2042))</f>
        <v/>
      </c>
      <c r="BM203" s="110">
        <f>IF(GO203="","",IF(ISNUMBER('Dvd Calendar'!$AA$2042)=FALSE,"",'Dvd Calendar'!$AA$2042))</f>
        <v/>
      </c>
      <c r="BN203" s="110">
        <f>IF(GP203="","",IF(ISNUMBER('Dvd Calendar'!$AB$2042)=FALSE,"",'Dvd Calendar'!$AB$2042))</f>
        <v/>
      </c>
      <c r="BO203" s="110">
        <f>IF(GQ203="","",IF(ISNUMBER('Dvd Calendar'!$AC$2042)=FALSE,"",'Dvd Calendar'!$AC$2042))</f>
        <v/>
      </c>
      <c r="BQ203" s="110">
        <f>IF(C203="","",IFERROR(C203*HSCEI!$B$50*HSCEI!$G$50/HSCEI!$B$3,""))</f>
        <v/>
      </c>
      <c r="BR203" s="110">
        <f>IF(D203="","",IFERROR(D203*HSCEI!$B$50*HSCEI!$G$50/HSCEI!$B$3,""))</f>
        <v/>
      </c>
      <c r="BS203" s="110">
        <f>IF(E203="","",IFERROR(E203*HSCEI!$B$50*HSCEI!$G$50/HSCEI!$B$3,""))</f>
        <v/>
      </c>
      <c r="BT203" s="110">
        <f>IF(F203="","",IFERROR(F203*HSCEI!$B$50*HSCEI!$G$50/HSCEI!$B$3,""))</f>
        <v/>
      </c>
      <c r="BU203" s="110">
        <f>IF(G203="","",IFERROR(G203*HSCEI!$B$50*HSCEI!$G$50/HSCEI!$B$3,""))</f>
        <v/>
      </c>
      <c r="BV203" s="110">
        <f>IF(H203="","",IFERROR(H203*HSCEI!$B$50*HSCEI!$G$50/HSCEI!$B$3,""))</f>
        <v/>
      </c>
      <c r="BW203" s="110">
        <f>IF(I203="","",IFERROR(I203*HSCEI!$B$50*HSCEI!$G$50/HSCEI!$B$3,""))</f>
        <v/>
      </c>
      <c r="BX203" s="110">
        <f>IF(J203="","",IFERROR(J203*HSCEI!$B$50*HSCEI!$G$50/HSCEI!$B$3,""))</f>
        <v/>
      </c>
      <c r="BY203" s="110">
        <f>IF(K203="","",IFERROR(K203*HSCEI!$B$50*HSCEI!$G$50/HSCEI!$B$3,""))</f>
        <v/>
      </c>
      <c r="BZ203" s="110">
        <f>IF(L203="","",IFERROR(L203*HSCEI!$B$50*HSCEI!$G$50/HSCEI!$B$3,""))</f>
        <v/>
      </c>
      <c r="CA203" s="110">
        <f>IF(M203="","",IFERROR(M203*HSCEI!$B$50*HSCEI!$G$50/HSCEI!$B$3,""))</f>
        <v/>
      </c>
      <c r="CB203" s="110">
        <f>IF(N203="","",IFERROR(N203*HSCEI!$B$50*HSCEI!$G$50/HSCEI!$B$3,""))</f>
        <v/>
      </c>
      <c r="CC203" s="110">
        <f>IF(O203="","",IFERROR(O203*HSCEI!$B$50*HSCEI!$G$50/HSCEI!$B$3,""))</f>
        <v/>
      </c>
      <c r="CD203" s="110">
        <f>IF(P203="","",IFERROR(P203*HSCEI!$B$50*HSCEI!$G$50/HSCEI!$B$3,""))</f>
        <v/>
      </c>
      <c r="CE203" s="110">
        <f>IF(Q203="","",IFERROR(Q203*HSCEI!$B$50*HSCEI!$G$50/HSCEI!$B$3,""))</f>
        <v/>
      </c>
      <c r="CF203" s="110">
        <f>IF(R203="","",IFERROR(R203*HSCEI!$B$50*HSCEI!$G$50/HSCEI!$B$3,""))</f>
        <v/>
      </c>
      <c r="CG203" s="110">
        <f>IF(S203="","",IFERROR(S203*HSCEI!$B$50*HSCEI!$G$50/HSCEI!$B$3,""))</f>
        <v/>
      </c>
      <c r="CH203" s="110">
        <f>IF(T203="","",IFERROR(T203*HSCEI!$B$50*HSCEI!$G$50/HSCEI!$B$3,""))</f>
        <v/>
      </c>
      <c r="CI203" s="110">
        <f>IF(U203="","",IFERROR(U203*HSCEI!$B$50*HSCEI!$G$50/HSCEI!$B$3,""))</f>
        <v/>
      </c>
      <c r="CJ203" s="110">
        <f>IF(V203="","",IFERROR(V203*HSCEI!$B$50*HSCEI!$G$50/HSCEI!$B$3,""))</f>
        <v/>
      </c>
      <c r="CK203" s="110">
        <f>IF(W203="","",IFERROR(W203*HSCEI!$B$50*HSCEI!$G$50/HSCEI!$B$3,""))</f>
        <v/>
      </c>
      <c r="CL203" s="110">
        <f>IF(X203="","",IFERROR(X203*HSCEI!$B$50*HSCEI!$G$50/HSCEI!$B$3,""))</f>
        <v/>
      </c>
      <c r="CM203" s="110">
        <f>IF(Y203="","",IFERROR(Y203*HSCEI!$B$50*HSCEI!$G$50/HSCEI!$B$3,""))</f>
        <v/>
      </c>
      <c r="CN203" s="110">
        <f>IF(Z203="","",IFERROR(Z203*HSCEI!$B$50*HSCEI!$G$50/HSCEI!$B$3,""))</f>
        <v/>
      </c>
      <c r="CO203" s="110">
        <f>IF(AA203="","",IFERROR(AA203*HSCEI!$B$50*HSCEI!$G$50/HSCEI!$B$3,""))</f>
        <v/>
      </c>
      <c r="CP203" s="110">
        <f>IF(AB203="","",IFERROR(AB203*HSCEI!$B$50*HSCEI!$G$50/HSCEI!$B$3,""))</f>
        <v/>
      </c>
      <c r="CQ203" s="110">
        <f>IF(AC203="","",IFERROR(AC203*HSCEI!$B$50*HSCEI!$G$50/HSCEI!$B$3,""))</f>
        <v/>
      </c>
      <c r="CR203" s="110">
        <f>IF(AD203="","",IFERROR(AD203*HSCEI!$B$50*HSCEI!$G$50/HSCEI!$B$3,""))</f>
        <v/>
      </c>
      <c r="CS203" s="110">
        <f>IF(AE203="","",IFERROR(AE203*HSCEI!$B$50*HSCEI!$G$50/HSCEI!$B$3,""))</f>
        <v/>
      </c>
      <c r="CT203" s="110">
        <f>IF(AF203="","",IFERROR(AF203*HSCEI!$B$50*HSCEI!$G$50/HSCEI!$B$3,""))</f>
        <v/>
      </c>
      <c r="CU203" s="110">
        <f>IF(AG203="","",IFERROR(AG203*HSCEI!$B$50*HSCEI!$G$50/HSCEI!$B$3,""))</f>
        <v/>
      </c>
      <c r="CV203" s="110">
        <f>IF(AH203="","",IFERROR(AH203*HSCEI!$B$50*HSCEI!$G$50/HSCEI!$B$3,""))</f>
        <v/>
      </c>
      <c r="CW203" s="110">
        <f>IF(AI203="","",IFERROR(AI203*HSCEI!$B$50*HSCEI!$G$50/HSCEI!$B$3,""))</f>
        <v/>
      </c>
      <c r="CX203" s="110">
        <f>IF(AJ203="","",IFERROR(AJ203*HSCEI!$B$50*HSCEI!$G$50/HSCEI!$B$3,""))</f>
        <v/>
      </c>
      <c r="CY203" s="110">
        <f>IF(AK203="","",IFERROR(AK203*HSCEI!$B$50*HSCEI!$G$50/HSCEI!$B$3,""))</f>
        <v/>
      </c>
      <c r="CZ203" s="110">
        <f>IF(AL203="","",IFERROR(AL203*HSCEI!$B$50*HSCEI!$G$50/HSCEI!$B$3,""))</f>
        <v/>
      </c>
      <c r="DA203" s="110">
        <f>IF(AM203="","",IFERROR(AM203*HSCEI!$B$50*HSCEI!$G$50/HSCEI!$B$3,""))</f>
        <v/>
      </c>
      <c r="DB203" s="110">
        <f>IF(AN203="","",IFERROR(AN203*HSCEI!$B$50*HSCEI!$G$50/HSCEI!$B$3,""))</f>
        <v/>
      </c>
      <c r="DC203" s="110">
        <f>IF(AO203="","",IFERROR(AO203*HSCEI!$B$50*HSCEI!$G$50/HSCEI!$B$3,""))</f>
        <v/>
      </c>
      <c r="DD203" s="110">
        <f>IF(AP203="","",IFERROR(AP203*HSCEI!$B$50*HSCEI!$G$50/HSCEI!$B$3,""))</f>
        <v/>
      </c>
      <c r="DE203" s="110">
        <f>IF(AQ203="","",IFERROR(AQ203*HSCEI!$B$50*HSCEI!$G$50/HSCEI!$B$3,""))</f>
        <v/>
      </c>
      <c r="DF203" s="110">
        <f>IF(AR203="","",IFERROR(AR203*HSCEI!$B$50*HSCEI!$G$50/HSCEI!$B$3,""))</f>
        <v/>
      </c>
      <c r="DG203" s="110">
        <f>IF(AS203="","",IFERROR(AS203*HSCEI!$B$50*HSCEI!$G$50/HSCEI!$B$3,""))</f>
        <v/>
      </c>
      <c r="DH203" s="110">
        <f>IF(AT203="","",IFERROR(AT203*HSCEI!$B$50*HSCEI!$G$50/HSCEI!$B$3,""))</f>
        <v/>
      </c>
      <c r="DI203" s="110">
        <f>IF(AU203="","",IFERROR(AU203*HSCEI!$B$50*HSCEI!$G$50/HSCEI!$B$3,""))</f>
        <v/>
      </c>
      <c r="DJ203" s="110">
        <f>IF(AV203="","",IFERROR(AV203*HSCEI!$B$50*HSCEI!$G$50/HSCEI!$B$3,""))</f>
        <v/>
      </c>
      <c r="DK203" s="110">
        <f>IF(AW203="","",IFERROR(AW203*HSCEI!$B$50*HSCEI!$G$50/HSCEI!$B$3,""))</f>
        <v/>
      </c>
      <c r="DL203" s="110">
        <f>IF(AX203="","",IFERROR(AX203*HSCEI!$B$50*HSCEI!$G$50/HSCEI!$B$3,""))</f>
        <v/>
      </c>
      <c r="DM203" s="110">
        <f>IF(AY203="","",IFERROR(AY203*HSCEI!$B$50*HSCEI!$G$50/HSCEI!$B$3,""))</f>
        <v/>
      </c>
      <c r="DN203" s="110">
        <f>IF(AZ203="","",IFERROR(AZ203*HSCEI!$B$50*HSCEI!$G$50/HSCEI!$B$3,""))</f>
        <v/>
      </c>
      <c r="DO203" s="110">
        <f>IF(BA203="","",IFERROR(BA203*HSCEI!$B$50*HSCEI!$G$50/HSCEI!$B$3,""))</f>
        <v/>
      </c>
      <c r="DP203" s="110">
        <f>IF(BB203="","",IFERROR(BB203*HSCEI!$B$50*HSCEI!$G$50/HSCEI!$B$3,""))</f>
        <v/>
      </c>
      <c r="DQ203" s="110">
        <f>IF(BC203="","",IFERROR(BC203*HSCEI!$B$50*HSCEI!$G$50/HSCEI!$B$3,""))</f>
        <v/>
      </c>
      <c r="DR203" s="110">
        <f>IF(BD203="","",IFERROR(BD203*HSCEI!$B$50*HSCEI!$G$50/HSCEI!$B$3,""))</f>
        <v/>
      </c>
      <c r="DS203" s="110">
        <f>IF(BE203="","",IFERROR(BE203*HSCEI!$B$50*HSCEI!$G$50/HSCEI!$B$3,""))</f>
        <v/>
      </c>
      <c r="DT203" s="110">
        <f>IF(BF203="","",IFERROR(BF203*HSCEI!$B$50*HSCEI!$G$50/HSCEI!$B$3,""))</f>
        <v/>
      </c>
      <c r="DU203" s="110">
        <f>IF(BG203="","",IFERROR(BG203*HSCEI!$B$50*HSCEI!$G$50/HSCEI!$B$3,""))</f>
        <v/>
      </c>
      <c r="DV203" s="110">
        <f>IF(BH203="","",IFERROR(BH203*HSCEI!$B$50*HSCEI!$G$50/HSCEI!$B$3,""))</f>
        <v/>
      </c>
      <c r="DW203" s="110">
        <f>IF(BI203="","",IFERROR(BI203*HSCEI!$B$50*HSCEI!$G$50/HSCEI!$B$3,""))</f>
        <v/>
      </c>
      <c r="DX203" s="110">
        <f>IF(BJ203="","",IFERROR(BJ203*HSCEI!$B$50*HSCEI!$G$50/HSCEI!$B$3,""))</f>
        <v/>
      </c>
      <c r="DY203" s="110">
        <f>IF(BK203="","",IFERROR(BK203*HSCEI!$B$50*HSCEI!$G$50/HSCEI!$B$3,""))</f>
        <v/>
      </c>
      <c r="DZ203" s="110">
        <f>IF(BL203="","",IFERROR(BL203*HSCEI!$B$50*HSCEI!$G$50/HSCEI!$B$3,""))</f>
        <v/>
      </c>
      <c r="EA203" s="110">
        <f>IF(BM203="","",IFERROR(BM203*HSCEI!$B$50*HSCEI!$G$50/HSCEI!$B$3,""))</f>
        <v/>
      </c>
      <c r="EB203" s="110">
        <f>IF(BN203="","",IFERROR(BN203*HSCEI!$B$50*HSCEI!$G$50/HSCEI!$B$3,""))</f>
        <v/>
      </c>
      <c r="EC203" s="110">
        <f>IF(BO203="","",IFERROR(BO203*HSCEI!$B$50*HSCEI!$G$50/HSCEI!$B$3,""))</f>
        <v/>
      </c>
      <c r="EE203" s="39">
        <f>IF(N('Dvd Calendar'!$E$2034)=0,"",IF(('Dvd Calendar'!$E$2034&gt;=GRID_FROM)*('Dvd Calendar'!$E$2034&lt;=GRID_TO)*((('Dvd Calendar'!$E$2034&lt;=VAL_DATE)+(COUNTIF('Dvd Calendar'!$E$2041:$AR$2041,'Dvd Calendar'!$E$2034)=0))&gt;0)=0,"",'Dvd Calendar'!$E$2034*1000000000+ISNUMBER('Dvd Calendar'!$E$2037)*100000000+('Dvd Calendar'!$E$2039=SPECIAL_LBL)*10000000+(N('Dvd Calendar'!$E$2033)&gt;0)*(N('Dvd Calendar'!$E$2033)&lt;=VAL_SERIAL)*1000000+44*1000+1))</f>
        <v/>
      </c>
      <c r="EF203" s="39">
        <f>IF(N('Dvd Calendar'!$F$2034)=0,"",IF(('Dvd Calendar'!$F$2034&gt;=GRID_FROM)*('Dvd Calendar'!$F$2034&lt;=GRID_TO)*((('Dvd Calendar'!$F$2034&lt;=VAL_DATE)+(COUNTIF('Dvd Calendar'!$E$2041:$AR$2041,'Dvd Calendar'!$F$2034)=0))&gt;0)=0,"",'Dvd Calendar'!$F$2034*1000000000+ISNUMBER('Dvd Calendar'!$F$2037)*100000000+('Dvd Calendar'!$F$2039=SPECIAL_LBL)*10000000+(N('Dvd Calendar'!$F$2033)&gt;0)*(N('Dvd Calendar'!$F$2033)&lt;=VAL_SERIAL)*1000000+44*1000+2))</f>
        <v/>
      </c>
      <c r="EG203" s="39">
        <f>IF(N('Dvd Calendar'!$G$2034)=0,"",IF(('Dvd Calendar'!$G$2034&gt;=GRID_FROM)*('Dvd Calendar'!$G$2034&lt;=GRID_TO)*((('Dvd Calendar'!$G$2034&lt;=VAL_DATE)+(COUNTIF('Dvd Calendar'!$E$2041:$AR$2041,'Dvd Calendar'!$G$2034)=0))&gt;0)=0,"",'Dvd Calendar'!$G$2034*1000000000+ISNUMBER('Dvd Calendar'!$G$2037)*100000000+('Dvd Calendar'!$G$2039=SPECIAL_LBL)*10000000+(N('Dvd Calendar'!$G$2033)&gt;0)*(N('Dvd Calendar'!$G$2033)&lt;=VAL_SERIAL)*1000000+44*1000+3))</f>
        <v/>
      </c>
      <c r="EH203" s="39">
        <f>IF(N('Dvd Calendar'!$H$2034)=0,"",IF(('Dvd Calendar'!$H$2034&gt;=GRID_FROM)*('Dvd Calendar'!$H$2034&lt;=GRID_TO)*((('Dvd Calendar'!$H$2034&lt;=VAL_DATE)+(COUNTIF('Dvd Calendar'!$E$2041:$AR$2041,'Dvd Calendar'!$H$2034)=0))&gt;0)=0,"",'Dvd Calendar'!$H$2034*1000000000+ISNUMBER('Dvd Calendar'!$H$2037)*100000000+('Dvd Calendar'!$H$2039=SPECIAL_LBL)*10000000+(N('Dvd Calendar'!$H$2033)&gt;0)*(N('Dvd Calendar'!$H$2033)&lt;=VAL_SERIAL)*1000000+44*1000+4))</f>
        <v/>
      </c>
      <c r="EI203" s="39">
        <f>IF(N('Dvd Calendar'!$I$2034)=0,"",IF(('Dvd Calendar'!$I$2034&gt;=GRID_FROM)*('Dvd Calendar'!$I$2034&lt;=GRID_TO)*((('Dvd Calendar'!$I$2034&lt;=VAL_DATE)+(COUNTIF('Dvd Calendar'!$E$2041:$AR$2041,'Dvd Calendar'!$I$2034)=0))&gt;0)=0,"",'Dvd Calendar'!$I$2034*1000000000+ISNUMBER('Dvd Calendar'!$I$2037)*100000000+('Dvd Calendar'!$I$2039=SPECIAL_LBL)*10000000+(N('Dvd Calendar'!$I$2033)&gt;0)*(N('Dvd Calendar'!$I$2033)&lt;=VAL_SERIAL)*1000000+44*1000+5))</f>
        <v/>
      </c>
      <c r="EJ203" s="39">
        <f>IF(N('Dvd Calendar'!$J$2034)=0,"",IF(('Dvd Calendar'!$J$2034&gt;=GRID_FROM)*('Dvd Calendar'!$J$2034&lt;=GRID_TO)*((('Dvd Calendar'!$J$2034&lt;=VAL_DATE)+(COUNTIF('Dvd Calendar'!$E$2041:$AR$2041,'Dvd Calendar'!$J$2034)=0))&gt;0)=0,"",'Dvd Calendar'!$J$2034*1000000000+ISNUMBER('Dvd Calendar'!$J$2037)*100000000+('Dvd Calendar'!$J$2039=SPECIAL_LBL)*10000000+(N('Dvd Calendar'!$J$2033)&gt;0)*(N('Dvd Calendar'!$J$2033)&lt;=VAL_SERIAL)*1000000+44*1000+6))</f>
        <v/>
      </c>
      <c r="EK203" s="39">
        <f>IF(N('Dvd Calendar'!$K$2034)=0,"",IF(('Dvd Calendar'!$K$2034&gt;=GRID_FROM)*('Dvd Calendar'!$K$2034&lt;=GRID_TO)*((('Dvd Calendar'!$K$2034&lt;=VAL_DATE)+(COUNTIF('Dvd Calendar'!$E$2041:$AR$2041,'Dvd Calendar'!$K$2034)=0))&gt;0)=0,"",'Dvd Calendar'!$K$2034*1000000000+ISNUMBER('Dvd Calendar'!$K$2037)*100000000+('Dvd Calendar'!$K$2039=SPECIAL_LBL)*10000000+(N('Dvd Calendar'!$K$2033)&gt;0)*(N('Dvd Calendar'!$K$2033)&lt;=VAL_SERIAL)*1000000+44*1000+7))</f>
        <v/>
      </c>
      <c r="EL203" s="39">
        <f>IF(N('Dvd Calendar'!$L$2034)=0,"",IF(('Dvd Calendar'!$L$2034&gt;=GRID_FROM)*('Dvd Calendar'!$L$2034&lt;=GRID_TO)*((('Dvd Calendar'!$L$2034&lt;=VAL_DATE)+(COUNTIF('Dvd Calendar'!$E$2041:$AR$2041,'Dvd Calendar'!$L$2034)=0))&gt;0)=0,"",'Dvd Calendar'!$L$2034*1000000000+ISNUMBER('Dvd Calendar'!$L$2037)*100000000+('Dvd Calendar'!$L$2039=SPECIAL_LBL)*10000000+(N('Dvd Calendar'!$L$2033)&gt;0)*(N('Dvd Calendar'!$L$2033)&lt;=VAL_SERIAL)*1000000+44*1000+8))</f>
        <v/>
      </c>
      <c r="EM203" s="39">
        <f>IF(N('Dvd Calendar'!$M$2034)=0,"",IF(('Dvd Calendar'!$M$2034&gt;=GRID_FROM)*('Dvd Calendar'!$M$2034&lt;=GRID_TO)*((('Dvd Calendar'!$M$2034&lt;=VAL_DATE)+(COUNTIF('Dvd Calendar'!$E$2041:$AR$2041,'Dvd Calendar'!$M$2034)=0))&gt;0)=0,"",'Dvd Calendar'!$M$2034*1000000000+ISNUMBER('Dvd Calendar'!$M$2037)*100000000+('Dvd Calendar'!$M$2039=SPECIAL_LBL)*10000000+(N('Dvd Calendar'!$M$2033)&gt;0)*(N('Dvd Calendar'!$M$2033)&lt;=VAL_SERIAL)*1000000+44*1000+9))</f>
        <v/>
      </c>
      <c r="EN203" s="39">
        <f>IF(N('Dvd Calendar'!$N$2034)=0,"",IF(('Dvd Calendar'!$N$2034&gt;=GRID_FROM)*('Dvd Calendar'!$N$2034&lt;=GRID_TO)*((('Dvd Calendar'!$N$2034&lt;=VAL_DATE)+(COUNTIF('Dvd Calendar'!$E$2041:$AR$2041,'Dvd Calendar'!$N$2034)=0))&gt;0)=0,"",'Dvd Calendar'!$N$2034*1000000000+ISNUMBER('Dvd Calendar'!$N$2037)*100000000+('Dvd Calendar'!$N$2039=SPECIAL_LBL)*10000000+(N('Dvd Calendar'!$N$2033)&gt;0)*(N('Dvd Calendar'!$N$2033)&lt;=VAL_SERIAL)*1000000+44*1000+10))</f>
        <v/>
      </c>
      <c r="EO203" s="39">
        <f>IF(N('Dvd Calendar'!$O$2034)=0,"",IF(('Dvd Calendar'!$O$2034&gt;=GRID_FROM)*('Dvd Calendar'!$O$2034&lt;=GRID_TO)*((('Dvd Calendar'!$O$2034&lt;=VAL_DATE)+(COUNTIF('Dvd Calendar'!$E$2041:$AR$2041,'Dvd Calendar'!$O$2034)=0))&gt;0)=0,"",'Dvd Calendar'!$O$2034*1000000000+ISNUMBER('Dvd Calendar'!$O$2037)*100000000+('Dvd Calendar'!$O$2039=SPECIAL_LBL)*10000000+(N('Dvd Calendar'!$O$2033)&gt;0)*(N('Dvd Calendar'!$O$2033)&lt;=VAL_SERIAL)*1000000+44*1000+11))</f>
        <v/>
      </c>
      <c r="EP203" s="39">
        <f>IF(N('Dvd Calendar'!$P$2034)=0,"",IF(('Dvd Calendar'!$P$2034&gt;=GRID_FROM)*('Dvd Calendar'!$P$2034&lt;=GRID_TO)*((('Dvd Calendar'!$P$2034&lt;=VAL_DATE)+(COUNTIF('Dvd Calendar'!$E$2041:$AR$2041,'Dvd Calendar'!$P$2034)=0))&gt;0)=0,"",'Dvd Calendar'!$P$2034*1000000000+ISNUMBER('Dvd Calendar'!$P$2037)*100000000+('Dvd Calendar'!$P$2039=SPECIAL_LBL)*10000000+(N('Dvd Calendar'!$P$2033)&gt;0)*(N('Dvd Calendar'!$P$2033)&lt;=VAL_SERIAL)*1000000+44*1000+12))</f>
        <v/>
      </c>
      <c r="EQ203" s="39">
        <f>IF(N('Dvd Calendar'!$Q$2034)=0,"",IF(('Dvd Calendar'!$Q$2034&gt;=GRID_FROM)*('Dvd Calendar'!$Q$2034&lt;=GRID_TO)*((('Dvd Calendar'!$Q$2034&lt;=VAL_DATE)+(COUNTIF('Dvd Calendar'!$E$2041:$AR$2041,'Dvd Calendar'!$Q$2034)=0))&gt;0)=0,"",'Dvd Calendar'!$Q$2034*1000000000+ISNUMBER('Dvd Calendar'!$Q$2037)*100000000+('Dvd Calendar'!$Q$2039=SPECIAL_LBL)*10000000+(N('Dvd Calendar'!$Q$2033)&gt;0)*(N('Dvd Calendar'!$Q$2033)&lt;=VAL_SERIAL)*1000000+44*1000+13))</f>
        <v/>
      </c>
      <c r="ER203" s="39">
        <f>IF(N('Dvd Calendar'!$R$2034)=0,"",IF(('Dvd Calendar'!$R$2034&gt;=GRID_FROM)*('Dvd Calendar'!$R$2034&lt;=GRID_TO)*((('Dvd Calendar'!$R$2034&lt;=VAL_DATE)+(COUNTIF('Dvd Calendar'!$E$2041:$AR$2041,'Dvd Calendar'!$R$2034)=0))&gt;0)=0,"",'Dvd Calendar'!$R$2034*1000000000+ISNUMBER('Dvd Calendar'!$R$2037)*100000000+('Dvd Calendar'!$R$2039=SPECIAL_LBL)*10000000+(N('Dvd Calendar'!$R$2033)&gt;0)*(N('Dvd Calendar'!$R$2033)&lt;=VAL_SERIAL)*1000000+44*1000+14))</f>
        <v/>
      </c>
      <c r="ES203" s="39">
        <f>IF(N('Dvd Calendar'!$S$2034)=0,"",IF(('Dvd Calendar'!$S$2034&gt;=GRID_FROM)*('Dvd Calendar'!$S$2034&lt;=GRID_TO)*((('Dvd Calendar'!$S$2034&lt;=VAL_DATE)+(COUNTIF('Dvd Calendar'!$E$2041:$AR$2041,'Dvd Calendar'!$S$2034)=0))&gt;0)=0,"",'Dvd Calendar'!$S$2034*1000000000+ISNUMBER('Dvd Calendar'!$S$2037)*100000000+('Dvd Calendar'!$S$2039=SPECIAL_LBL)*10000000+(N('Dvd Calendar'!$S$2033)&gt;0)*(N('Dvd Calendar'!$S$2033)&lt;=VAL_SERIAL)*1000000+44*1000+15))</f>
        <v/>
      </c>
      <c r="ET203" s="39">
        <f>IF(N('Dvd Calendar'!$T$2034)=0,"",IF(('Dvd Calendar'!$T$2034&gt;=GRID_FROM)*('Dvd Calendar'!$T$2034&lt;=GRID_TO)*((('Dvd Calendar'!$T$2034&lt;=VAL_DATE)+(COUNTIF('Dvd Calendar'!$E$2041:$AR$2041,'Dvd Calendar'!$T$2034)=0))&gt;0)=0,"",'Dvd Calendar'!$T$2034*1000000000+ISNUMBER('Dvd Calendar'!$T$2037)*100000000+('Dvd Calendar'!$T$2039=SPECIAL_LBL)*10000000+(N('Dvd Calendar'!$T$2033)&gt;0)*(N('Dvd Calendar'!$T$2033)&lt;=VAL_SERIAL)*1000000+44*1000+16))</f>
        <v/>
      </c>
      <c r="EU203" s="39">
        <f>IF(N('Dvd Calendar'!$U$2034)=0,"",IF(('Dvd Calendar'!$U$2034&gt;=GRID_FROM)*('Dvd Calendar'!$U$2034&lt;=GRID_TO)*((('Dvd Calendar'!$U$2034&lt;=VAL_DATE)+(COUNTIF('Dvd Calendar'!$E$2041:$AR$2041,'Dvd Calendar'!$U$2034)=0))&gt;0)=0,"",'Dvd Calendar'!$U$2034*1000000000+ISNUMBER('Dvd Calendar'!$U$2037)*100000000+('Dvd Calendar'!$U$2039=SPECIAL_LBL)*10000000+(N('Dvd Calendar'!$U$2033)&gt;0)*(N('Dvd Calendar'!$U$2033)&lt;=VAL_SERIAL)*1000000+44*1000+17))</f>
        <v/>
      </c>
      <c r="EV203" s="39">
        <f>IF(N('Dvd Calendar'!$V$2034)=0,"",IF(('Dvd Calendar'!$V$2034&gt;=GRID_FROM)*('Dvd Calendar'!$V$2034&lt;=GRID_TO)*((('Dvd Calendar'!$V$2034&lt;=VAL_DATE)+(COUNTIF('Dvd Calendar'!$E$2041:$AR$2041,'Dvd Calendar'!$V$2034)=0))&gt;0)=0,"",'Dvd Calendar'!$V$2034*1000000000+ISNUMBER('Dvd Calendar'!$V$2037)*100000000+('Dvd Calendar'!$V$2039=SPECIAL_LBL)*10000000+(N('Dvd Calendar'!$V$2033)&gt;0)*(N('Dvd Calendar'!$V$2033)&lt;=VAL_SERIAL)*1000000+44*1000+18))</f>
        <v/>
      </c>
      <c r="EW203" s="39">
        <f>IF(N('Dvd Calendar'!$W$2034)=0,"",IF(('Dvd Calendar'!$W$2034&gt;=GRID_FROM)*('Dvd Calendar'!$W$2034&lt;=GRID_TO)*((('Dvd Calendar'!$W$2034&lt;=VAL_DATE)+(COUNTIF('Dvd Calendar'!$E$2041:$AR$2041,'Dvd Calendar'!$W$2034)=0))&gt;0)=0,"",'Dvd Calendar'!$W$2034*1000000000+ISNUMBER('Dvd Calendar'!$W$2037)*100000000+('Dvd Calendar'!$W$2039=SPECIAL_LBL)*10000000+(N('Dvd Calendar'!$W$2033)&gt;0)*(N('Dvd Calendar'!$W$2033)&lt;=VAL_SERIAL)*1000000+44*1000+19))</f>
        <v/>
      </c>
      <c r="EX203" s="39">
        <f>IF(N('Dvd Calendar'!$X$2034)=0,"",IF(('Dvd Calendar'!$X$2034&gt;=GRID_FROM)*('Dvd Calendar'!$X$2034&lt;=GRID_TO)*((('Dvd Calendar'!$X$2034&lt;=VAL_DATE)+(COUNTIF('Dvd Calendar'!$E$2041:$AR$2041,'Dvd Calendar'!$X$2034)=0))&gt;0)=0,"",'Dvd Calendar'!$X$2034*1000000000+ISNUMBER('Dvd Calendar'!$X$2037)*100000000+('Dvd Calendar'!$X$2039=SPECIAL_LBL)*10000000+(N('Dvd Calendar'!$X$2033)&gt;0)*(N('Dvd Calendar'!$X$2033)&lt;=VAL_SERIAL)*1000000+44*1000+20))</f>
        <v/>
      </c>
      <c r="EY203" s="39">
        <f>IF(N('Dvd Calendar'!$Y$2034)=0,"",IF(('Dvd Calendar'!$Y$2034&gt;=GRID_FROM)*('Dvd Calendar'!$Y$2034&lt;=GRID_TO)*((('Dvd Calendar'!$Y$2034&lt;=VAL_DATE)+(COUNTIF('Dvd Calendar'!$E$2041:$AR$2041,'Dvd Calendar'!$Y$2034)=0))&gt;0)=0,"",'Dvd Calendar'!$Y$2034*1000000000+ISNUMBER('Dvd Calendar'!$Y$2037)*100000000+('Dvd Calendar'!$Y$2039=SPECIAL_LBL)*10000000+(N('Dvd Calendar'!$Y$2033)&gt;0)*(N('Dvd Calendar'!$Y$2033)&lt;=VAL_SERIAL)*1000000+44*1000+21))</f>
        <v/>
      </c>
      <c r="EZ203" s="39">
        <f>IF(N('Dvd Calendar'!$Z$2034)=0,"",IF(('Dvd Calendar'!$Z$2034&gt;=GRID_FROM)*('Dvd Calendar'!$Z$2034&lt;=GRID_TO)*((('Dvd Calendar'!$Z$2034&lt;=VAL_DATE)+(COUNTIF('Dvd Calendar'!$E$2041:$AR$2041,'Dvd Calendar'!$Z$2034)=0))&gt;0)=0,"",'Dvd Calendar'!$Z$2034*1000000000+ISNUMBER('Dvd Calendar'!$Z$2037)*100000000+('Dvd Calendar'!$Z$2039=SPECIAL_LBL)*10000000+(N('Dvd Calendar'!$Z$2033)&gt;0)*(N('Dvd Calendar'!$Z$2033)&lt;=VAL_SERIAL)*1000000+44*1000+22))</f>
        <v/>
      </c>
      <c r="FA203" s="39">
        <f>IF(N('Dvd Calendar'!$AA$2034)=0,"",IF(('Dvd Calendar'!$AA$2034&gt;=GRID_FROM)*('Dvd Calendar'!$AA$2034&lt;=GRID_TO)*((('Dvd Calendar'!$AA$2034&lt;=VAL_DATE)+(COUNTIF('Dvd Calendar'!$E$2041:$AR$2041,'Dvd Calendar'!$AA$2034)=0))&gt;0)=0,"",'Dvd Calendar'!$AA$2034*1000000000+ISNUMBER('Dvd Calendar'!$AA$2037)*100000000+('Dvd Calendar'!$AA$2039=SPECIAL_LBL)*10000000+(N('Dvd Calendar'!$AA$2033)&gt;0)*(N('Dvd Calendar'!$AA$2033)&lt;=VAL_SERIAL)*1000000+44*1000+23))</f>
        <v/>
      </c>
      <c r="FB203" s="39">
        <f>IF(N('Dvd Calendar'!$AB$2034)=0,"",IF(('Dvd Calendar'!$AB$2034&gt;=GRID_FROM)*('Dvd Calendar'!$AB$2034&lt;=GRID_TO)*((('Dvd Calendar'!$AB$2034&lt;=VAL_DATE)+(COUNTIF('Dvd Calendar'!$E$2041:$AR$2041,'Dvd Calendar'!$AB$2034)=0))&gt;0)=0,"",'Dvd Calendar'!$AB$2034*1000000000+ISNUMBER('Dvd Calendar'!$AB$2037)*100000000+('Dvd Calendar'!$AB$2039=SPECIAL_LBL)*10000000+(N('Dvd Calendar'!$AB$2033)&gt;0)*(N('Dvd Calendar'!$AB$2033)&lt;=VAL_SERIAL)*1000000+44*1000+24))</f>
        <v/>
      </c>
      <c r="FC203" s="39">
        <f>IF(N('Dvd Calendar'!$AC$2034)=0,"",IF(('Dvd Calendar'!$AC$2034&gt;=GRID_FROM)*('Dvd Calendar'!$AC$2034&lt;=GRID_TO)*((('Dvd Calendar'!$AC$2034&lt;=VAL_DATE)+(COUNTIF('Dvd Calendar'!$E$2041:$AR$2041,'Dvd Calendar'!$AC$2034)=0))&gt;0)=0,"",'Dvd Calendar'!$AC$2034*1000000000+ISNUMBER('Dvd Calendar'!$AC$2037)*100000000+('Dvd Calendar'!$AC$2039=SPECIAL_LBL)*10000000+(N('Dvd Calendar'!$AC$2033)&gt;0)*(N('Dvd Calendar'!$AC$2033)&lt;=VAL_SERIAL)*1000000+44*1000+25))</f>
        <v/>
      </c>
      <c r="FD203" s="39">
        <f>IF(N('Dvd Calendar'!$AD$2034)=0,"",IF(('Dvd Calendar'!$AD$2034&gt;=GRID_FROM)*('Dvd Calendar'!$AD$2034&lt;=GRID_TO)*((('Dvd Calendar'!$AD$2034&lt;=VAL_DATE)+(COUNTIF('Dvd Calendar'!$E$2041:$AR$2041,'Dvd Calendar'!$AD$2034)=0))&gt;0)=0,"",'Dvd Calendar'!$AD$2034*1000000000+ISNUMBER('Dvd Calendar'!$AD$2037)*100000000+('Dvd Calendar'!$AD$2039=SPECIAL_LBL)*10000000+(N('Dvd Calendar'!$AD$2033)&gt;0)*(N('Dvd Calendar'!$AD$2033)&lt;=VAL_SERIAL)*1000000+44*1000+26))</f>
        <v/>
      </c>
      <c r="FE203" s="39">
        <f>IF(N('Dvd Calendar'!$AE$2034)=0,"",IF(('Dvd Calendar'!$AE$2034&gt;=GRID_FROM)*('Dvd Calendar'!$AE$2034&lt;=GRID_TO)*((('Dvd Calendar'!$AE$2034&lt;=VAL_DATE)+(COUNTIF('Dvd Calendar'!$E$2041:$AR$2041,'Dvd Calendar'!$AE$2034)=0))&gt;0)=0,"",'Dvd Calendar'!$AE$2034*1000000000+ISNUMBER('Dvd Calendar'!$AE$2037)*100000000+('Dvd Calendar'!$AE$2039=SPECIAL_LBL)*10000000+(N('Dvd Calendar'!$AE$2033)&gt;0)*(N('Dvd Calendar'!$AE$2033)&lt;=VAL_SERIAL)*1000000+44*1000+27))</f>
        <v/>
      </c>
      <c r="FF203" s="39">
        <f>IF(N('Dvd Calendar'!$AF$2034)=0,"",IF(('Dvd Calendar'!$AF$2034&gt;=GRID_FROM)*('Dvd Calendar'!$AF$2034&lt;=GRID_TO)*((('Dvd Calendar'!$AF$2034&lt;=VAL_DATE)+(COUNTIF('Dvd Calendar'!$E$2041:$AR$2041,'Dvd Calendar'!$AF$2034)=0))&gt;0)=0,"",'Dvd Calendar'!$AF$2034*1000000000+ISNUMBER('Dvd Calendar'!$AF$2037)*100000000+('Dvd Calendar'!$AF$2039=SPECIAL_LBL)*10000000+(N('Dvd Calendar'!$AF$2033)&gt;0)*(N('Dvd Calendar'!$AF$2033)&lt;=VAL_SERIAL)*1000000+44*1000+28))</f>
        <v/>
      </c>
      <c r="FG203" s="39">
        <f>IF(N('Dvd Calendar'!$AG$2034)=0,"",IF(('Dvd Calendar'!$AG$2034&gt;=GRID_FROM)*('Dvd Calendar'!$AG$2034&lt;=GRID_TO)*((('Dvd Calendar'!$AG$2034&lt;=VAL_DATE)+(COUNTIF('Dvd Calendar'!$E$2041:$AR$2041,'Dvd Calendar'!$AG$2034)=0))&gt;0)=0,"",'Dvd Calendar'!$AG$2034*1000000000+ISNUMBER('Dvd Calendar'!$AG$2037)*100000000+('Dvd Calendar'!$AG$2039=SPECIAL_LBL)*10000000+(N('Dvd Calendar'!$AG$2033)&gt;0)*(N('Dvd Calendar'!$AG$2033)&lt;=VAL_SERIAL)*1000000+44*1000+29))</f>
        <v/>
      </c>
      <c r="FH203" s="39">
        <f>IF(N('Dvd Calendar'!$AH$2034)=0,"",IF(('Dvd Calendar'!$AH$2034&gt;=GRID_FROM)*('Dvd Calendar'!$AH$2034&lt;=GRID_TO)*((('Dvd Calendar'!$AH$2034&lt;=VAL_DATE)+(COUNTIF('Dvd Calendar'!$E$2041:$AR$2041,'Dvd Calendar'!$AH$2034)=0))&gt;0)=0,"",'Dvd Calendar'!$AH$2034*1000000000+ISNUMBER('Dvd Calendar'!$AH$2037)*100000000+('Dvd Calendar'!$AH$2039=SPECIAL_LBL)*10000000+(N('Dvd Calendar'!$AH$2033)&gt;0)*(N('Dvd Calendar'!$AH$2033)&lt;=VAL_SERIAL)*1000000+44*1000+30))</f>
        <v/>
      </c>
      <c r="FI203" s="39">
        <f>IF(N('Dvd Calendar'!$AI$2034)=0,"",IF(('Dvd Calendar'!$AI$2034&gt;=GRID_FROM)*('Dvd Calendar'!$AI$2034&lt;=GRID_TO)*((('Dvd Calendar'!$AI$2034&lt;=VAL_DATE)+(COUNTIF('Dvd Calendar'!$E$2041:$AR$2041,'Dvd Calendar'!$AI$2034)=0))&gt;0)=0,"",'Dvd Calendar'!$AI$2034*1000000000+ISNUMBER('Dvd Calendar'!$AI$2037)*100000000+('Dvd Calendar'!$AI$2039=SPECIAL_LBL)*10000000+(N('Dvd Calendar'!$AI$2033)&gt;0)*(N('Dvd Calendar'!$AI$2033)&lt;=VAL_SERIAL)*1000000+44*1000+31))</f>
        <v/>
      </c>
      <c r="FJ203" s="39">
        <f>IF(N('Dvd Calendar'!$AJ$2034)=0,"",IF(('Dvd Calendar'!$AJ$2034&gt;=GRID_FROM)*('Dvd Calendar'!$AJ$2034&lt;=GRID_TO)*((('Dvd Calendar'!$AJ$2034&lt;=VAL_DATE)+(COUNTIF('Dvd Calendar'!$E$2041:$AR$2041,'Dvd Calendar'!$AJ$2034)=0))&gt;0)=0,"",'Dvd Calendar'!$AJ$2034*1000000000+ISNUMBER('Dvd Calendar'!$AJ$2037)*100000000+('Dvd Calendar'!$AJ$2039=SPECIAL_LBL)*10000000+(N('Dvd Calendar'!$AJ$2033)&gt;0)*(N('Dvd Calendar'!$AJ$2033)&lt;=VAL_SERIAL)*1000000+44*1000+32))</f>
        <v/>
      </c>
      <c r="FK203" s="39">
        <f>IF(N('Dvd Calendar'!$AK$2034)=0,"",IF(('Dvd Calendar'!$AK$2034&gt;=GRID_FROM)*('Dvd Calendar'!$AK$2034&lt;=GRID_TO)*((('Dvd Calendar'!$AK$2034&lt;=VAL_DATE)+(COUNTIF('Dvd Calendar'!$E$2041:$AR$2041,'Dvd Calendar'!$AK$2034)=0))&gt;0)=0,"",'Dvd Calendar'!$AK$2034*1000000000+ISNUMBER('Dvd Calendar'!$AK$2037)*100000000+('Dvd Calendar'!$AK$2039=SPECIAL_LBL)*10000000+(N('Dvd Calendar'!$AK$2033)&gt;0)*(N('Dvd Calendar'!$AK$2033)&lt;=VAL_SERIAL)*1000000+44*1000+33))</f>
        <v/>
      </c>
      <c r="FL203" s="39">
        <f>IF(N('Dvd Calendar'!$AL$2034)=0,"",IF(('Dvd Calendar'!$AL$2034&gt;=GRID_FROM)*('Dvd Calendar'!$AL$2034&lt;=GRID_TO)*((('Dvd Calendar'!$AL$2034&lt;=VAL_DATE)+(COUNTIF('Dvd Calendar'!$E$2041:$AR$2041,'Dvd Calendar'!$AL$2034)=0))&gt;0)=0,"",'Dvd Calendar'!$AL$2034*1000000000+ISNUMBER('Dvd Calendar'!$AL$2037)*100000000+('Dvd Calendar'!$AL$2039=SPECIAL_LBL)*10000000+(N('Dvd Calendar'!$AL$2033)&gt;0)*(N('Dvd Calendar'!$AL$2033)&lt;=VAL_SERIAL)*1000000+44*1000+34))</f>
        <v/>
      </c>
      <c r="FM203" s="39">
        <f>IF(N('Dvd Calendar'!$AM$2034)=0,"",IF(('Dvd Calendar'!$AM$2034&gt;=GRID_FROM)*('Dvd Calendar'!$AM$2034&lt;=GRID_TO)*((('Dvd Calendar'!$AM$2034&lt;=VAL_DATE)+(COUNTIF('Dvd Calendar'!$E$2041:$AR$2041,'Dvd Calendar'!$AM$2034)=0))&gt;0)=0,"",'Dvd Calendar'!$AM$2034*1000000000+ISNUMBER('Dvd Calendar'!$AM$2037)*100000000+('Dvd Calendar'!$AM$2039=SPECIAL_LBL)*10000000+(N('Dvd Calendar'!$AM$2033)&gt;0)*(N('Dvd Calendar'!$AM$2033)&lt;=VAL_SERIAL)*1000000+44*1000+35))</f>
        <v/>
      </c>
      <c r="FN203" s="39">
        <f>IF(N('Dvd Calendar'!$AN$2034)=0,"",IF(('Dvd Calendar'!$AN$2034&gt;=GRID_FROM)*('Dvd Calendar'!$AN$2034&lt;=GRID_TO)*((('Dvd Calendar'!$AN$2034&lt;=VAL_DATE)+(COUNTIF('Dvd Calendar'!$E$2041:$AR$2041,'Dvd Calendar'!$AN$2034)=0))&gt;0)=0,"",'Dvd Calendar'!$AN$2034*1000000000+ISNUMBER('Dvd Calendar'!$AN$2037)*100000000+('Dvd Calendar'!$AN$2039=SPECIAL_LBL)*10000000+(N('Dvd Calendar'!$AN$2033)&gt;0)*(N('Dvd Calendar'!$AN$2033)&lt;=VAL_SERIAL)*1000000+44*1000+36))</f>
        <v/>
      </c>
      <c r="FO203" s="39">
        <f>IF(N('Dvd Calendar'!$AO$2034)=0,"",IF(('Dvd Calendar'!$AO$2034&gt;=GRID_FROM)*('Dvd Calendar'!$AO$2034&lt;=GRID_TO)*((('Dvd Calendar'!$AO$2034&lt;=VAL_DATE)+(COUNTIF('Dvd Calendar'!$E$2041:$AR$2041,'Dvd Calendar'!$AO$2034)=0))&gt;0)=0,"",'Dvd Calendar'!$AO$2034*1000000000+ISNUMBER('Dvd Calendar'!$AO$2037)*100000000+('Dvd Calendar'!$AO$2039=SPECIAL_LBL)*10000000+(N('Dvd Calendar'!$AO$2033)&gt;0)*(N('Dvd Calendar'!$AO$2033)&lt;=VAL_SERIAL)*1000000+44*1000+37))</f>
        <v/>
      </c>
      <c r="FP203" s="39">
        <f>IF(N('Dvd Calendar'!$AP$2034)=0,"",IF(('Dvd Calendar'!$AP$2034&gt;=GRID_FROM)*('Dvd Calendar'!$AP$2034&lt;=GRID_TO)*((('Dvd Calendar'!$AP$2034&lt;=VAL_DATE)+(COUNTIF('Dvd Calendar'!$E$2041:$AR$2041,'Dvd Calendar'!$AP$2034)=0))&gt;0)=0,"",'Dvd Calendar'!$AP$2034*1000000000+ISNUMBER('Dvd Calendar'!$AP$2037)*100000000+('Dvd Calendar'!$AP$2039=SPECIAL_LBL)*10000000+(N('Dvd Calendar'!$AP$2033)&gt;0)*(N('Dvd Calendar'!$AP$2033)&lt;=VAL_SERIAL)*1000000+44*1000+38))</f>
        <v/>
      </c>
      <c r="FQ203" s="39">
        <f>IF(N('Dvd Calendar'!$AQ$2034)=0,"",IF(('Dvd Calendar'!$AQ$2034&gt;=GRID_FROM)*('Dvd Calendar'!$AQ$2034&lt;=GRID_TO)*((('Dvd Calendar'!$AQ$2034&lt;=VAL_DATE)+(COUNTIF('Dvd Calendar'!$E$2041:$AR$2041,'Dvd Calendar'!$AQ$2034)=0))&gt;0)=0,"",'Dvd Calendar'!$AQ$2034*1000000000+ISNUMBER('Dvd Calendar'!$AQ$2037)*100000000+('Dvd Calendar'!$AQ$2039=SPECIAL_LBL)*10000000+(N('Dvd Calendar'!$AQ$2033)&gt;0)*(N('Dvd Calendar'!$AQ$2033)&lt;=VAL_SERIAL)*1000000+44*1000+39))</f>
        <v/>
      </c>
      <c r="FR203" s="39">
        <f>IF(N('Dvd Calendar'!$AR$2034)=0,"",IF(('Dvd Calendar'!$AR$2034&gt;=GRID_FROM)*('Dvd Calendar'!$AR$2034&lt;=GRID_TO)*((('Dvd Calendar'!$AR$2034&lt;=VAL_DATE)+(COUNTIF('Dvd Calendar'!$E$2041:$AR$2041,'Dvd Calendar'!$AR$2034)=0))&gt;0)=0,"",'Dvd Calendar'!$AR$2034*1000000000+ISNUMBER('Dvd Calendar'!$AR$2037)*100000000+('Dvd Calendar'!$AR$2039=SPECIAL_LBL)*10000000+(N('Dvd Calendar'!$AR$2033)&gt;0)*(N('Dvd Calendar'!$AR$2033)&lt;=VAL_SERIAL)*1000000+44*1000+40))</f>
        <v/>
      </c>
      <c r="FS203" s="39">
        <f>IF(N('Dvd Calendar'!$E$2041)=0,"",IF(('Dvd Calendar'!$E$2041&gt;=GRID_FROM)*('Dvd Calendar'!$E$2041&lt;=GRID_TO)*('Dvd Calendar'!$E$2041&gt;VAL_DATE)=0,"",'Dvd Calendar'!$E$2041*1000000000+ISNUMBER('Dvd Calendar'!$E$2042)*100000000+0*10000000+(N('Dvd Calendar'!$E$2040)&gt;0)*(N('Dvd Calendar'!$E$2040)&lt;=VAL_SERIAL)*1000000+44*1000+41))</f>
        <v/>
      </c>
      <c r="FT203" s="39">
        <f>IF(N('Dvd Calendar'!$F$2041)=0,"",IF(('Dvd Calendar'!$F$2041&gt;=GRID_FROM)*('Dvd Calendar'!$F$2041&lt;=GRID_TO)*('Dvd Calendar'!$F$2041&gt;VAL_DATE)=0,"",'Dvd Calendar'!$F$2041*1000000000+ISNUMBER('Dvd Calendar'!$F$2042)*100000000+0*10000000+(N('Dvd Calendar'!$F$2040)&gt;0)*(N('Dvd Calendar'!$F$2040)&lt;=VAL_SERIAL)*1000000+44*1000+42))</f>
        <v/>
      </c>
      <c r="FU203" s="39">
        <f>IF(N('Dvd Calendar'!$G$2041)=0,"",IF(('Dvd Calendar'!$G$2041&gt;=GRID_FROM)*('Dvd Calendar'!$G$2041&lt;=GRID_TO)*('Dvd Calendar'!$G$2041&gt;VAL_DATE)=0,"",'Dvd Calendar'!$G$2041*1000000000+ISNUMBER('Dvd Calendar'!$G$2042)*100000000+0*10000000+(N('Dvd Calendar'!$G$2040)&gt;0)*(N('Dvd Calendar'!$G$2040)&lt;=VAL_SERIAL)*1000000+44*1000+43))</f>
        <v/>
      </c>
      <c r="FV203" s="39">
        <f>IF(N('Dvd Calendar'!$H$2041)=0,"",IF(('Dvd Calendar'!$H$2041&gt;=GRID_FROM)*('Dvd Calendar'!$H$2041&lt;=GRID_TO)*('Dvd Calendar'!$H$2041&gt;VAL_DATE)=0,"",'Dvd Calendar'!$H$2041*1000000000+ISNUMBER('Dvd Calendar'!$H$2042)*100000000+0*10000000+(N('Dvd Calendar'!$H$2040)&gt;0)*(N('Dvd Calendar'!$H$2040)&lt;=VAL_SERIAL)*1000000+44*1000+44))</f>
        <v/>
      </c>
      <c r="FW203" s="39">
        <f>IF(N('Dvd Calendar'!$I$2041)=0,"",IF(('Dvd Calendar'!$I$2041&gt;=GRID_FROM)*('Dvd Calendar'!$I$2041&lt;=GRID_TO)*('Dvd Calendar'!$I$2041&gt;VAL_DATE)=0,"",'Dvd Calendar'!$I$2041*1000000000+ISNUMBER('Dvd Calendar'!$I$2042)*100000000+0*10000000+(N('Dvd Calendar'!$I$2040)&gt;0)*(N('Dvd Calendar'!$I$2040)&lt;=VAL_SERIAL)*1000000+44*1000+45))</f>
        <v/>
      </c>
      <c r="FX203" s="39">
        <f>IF(N('Dvd Calendar'!$J$2041)=0,"",IF(('Dvd Calendar'!$J$2041&gt;=GRID_FROM)*('Dvd Calendar'!$J$2041&lt;=GRID_TO)*('Dvd Calendar'!$J$2041&gt;VAL_DATE)=0,"",'Dvd Calendar'!$J$2041*1000000000+ISNUMBER('Dvd Calendar'!$J$2042)*100000000+0*10000000+(N('Dvd Calendar'!$J$2040)&gt;0)*(N('Dvd Calendar'!$J$2040)&lt;=VAL_SERIAL)*1000000+44*1000+46))</f>
        <v/>
      </c>
      <c r="FY203" s="39">
        <f>IF(N('Dvd Calendar'!$K$2041)=0,"",IF(('Dvd Calendar'!$K$2041&gt;=GRID_FROM)*('Dvd Calendar'!$K$2041&lt;=GRID_TO)*('Dvd Calendar'!$K$2041&gt;VAL_DATE)=0,"",'Dvd Calendar'!$K$2041*1000000000+ISNUMBER('Dvd Calendar'!$K$2042)*100000000+0*10000000+(N('Dvd Calendar'!$K$2040)&gt;0)*(N('Dvd Calendar'!$K$2040)&lt;=VAL_SERIAL)*1000000+44*1000+47))</f>
        <v/>
      </c>
      <c r="FZ203" s="39">
        <f>IF(N('Dvd Calendar'!$L$2041)=0,"",IF(('Dvd Calendar'!$L$2041&gt;=GRID_FROM)*('Dvd Calendar'!$L$2041&lt;=GRID_TO)*('Dvd Calendar'!$L$2041&gt;VAL_DATE)=0,"",'Dvd Calendar'!$L$2041*1000000000+ISNUMBER('Dvd Calendar'!$L$2042)*100000000+0*10000000+(N('Dvd Calendar'!$L$2040)&gt;0)*(N('Dvd Calendar'!$L$2040)&lt;=VAL_SERIAL)*1000000+44*1000+48))</f>
        <v/>
      </c>
      <c r="GA203" s="39">
        <f>IF(N('Dvd Calendar'!$M$2041)=0,"",IF(('Dvd Calendar'!$M$2041&gt;=GRID_FROM)*('Dvd Calendar'!$M$2041&lt;=GRID_TO)*('Dvd Calendar'!$M$2041&gt;VAL_DATE)=0,"",'Dvd Calendar'!$M$2041*1000000000+ISNUMBER('Dvd Calendar'!$M$2042)*100000000+0*10000000+(N('Dvd Calendar'!$M$2040)&gt;0)*(N('Dvd Calendar'!$M$2040)&lt;=VAL_SERIAL)*1000000+44*1000+49))</f>
        <v/>
      </c>
      <c r="GB203" s="39">
        <f>IF(N('Dvd Calendar'!$N$2041)=0,"",IF(('Dvd Calendar'!$N$2041&gt;=GRID_FROM)*('Dvd Calendar'!$N$2041&lt;=GRID_TO)*('Dvd Calendar'!$N$2041&gt;VAL_DATE)=0,"",'Dvd Calendar'!$N$2041*1000000000+ISNUMBER('Dvd Calendar'!$N$2042)*100000000+0*10000000+(N('Dvd Calendar'!$N$2040)&gt;0)*(N('Dvd Calendar'!$N$2040)&lt;=VAL_SERIAL)*1000000+44*1000+50))</f>
        <v/>
      </c>
      <c r="GC203" s="39">
        <f>IF(N('Dvd Calendar'!$O$2041)=0,"",IF(('Dvd Calendar'!$O$2041&gt;=GRID_FROM)*('Dvd Calendar'!$O$2041&lt;=GRID_TO)*('Dvd Calendar'!$O$2041&gt;VAL_DATE)=0,"",'Dvd Calendar'!$O$2041*1000000000+ISNUMBER('Dvd Calendar'!$O$2042)*100000000+0*10000000+(N('Dvd Calendar'!$O$2040)&gt;0)*(N('Dvd Calendar'!$O$2040)&lt;=VAL_SERIAL)*1000000+44*1000+51))</f>
        <v/>
      </c>
      <c r="GD203" s="39">
        <f>IF(N('Dvd Calendar'!$P$2041)=0,"",IF(('Dvd Calendar'!$P$2041&gt;=GRID_FROM)*('Dvd Calendar'!$P$2041&lt;=GRID_TO)*('Dvd Calendar'!$P$2041&gt;VAL_DATE)=0,"",'Dvd Calendar'!$P$2041*1000000000+ISNUMBER('Dvd Calendar'!$P$2042)*100000000+0*10000000+(N('Dvd Calendar'!$P$2040)&gt;0)*(N('Dvd Calendar'!$P$2040)&lt;=VAL_SERIAL)*1000000+44*1000+52))</f>
        <v/>
      </c>
      <c r="GE203" s="39">
        <f>IF(N('Dvd Calendar'!$Q$2041)=0,"",IF(('Dvd Calendar'!$Q$2041&gt;=GRID_FROM)*('Dvd Calendar'!$Q$2041&lt;=GRID_TO)*('Dvd Calendar'!$Q$2041&gt;VAL_DATE)=0,"",'Dvd Calendar'!$Q$2041*1000000000+ISNUMBER('Dvd Calendar'!$Q$2042)*100000000+0*10000000+(N('Dvd Calendar'!$Q$2040)&gt;0)*(N('Dvd Calendar'!$Q$2040)&lt;=VAL_SERIAL)*1000000+44*1000+53))</f>
        <v/>
      </c>
      <c r="GF203" s="39">
        <f>IF(N('Dvd Calendar'!$R$2041)=0,"",IF(('Dvd Calendar'!$R$2041&gt;=GRID_FROM)*('Dvd Calendar'!$R$2041&lt;=GRID_TO)*('Dvd Calendar'!$R$2041&gt;VAL_DATE)=0,"",'Dvd Calendar'!$R$2041*1000000000+ISNUMBER('Dvd Calendar'!$R$2042)*100000000+0*10000000+(N('Dvd Calendar'!$R$2040)&gt;0)*(N('Dvd Calendar'!$R$2040)&lt;=VAL_SERIAL)*1000000+44*1000+54))</f>
        <v/>
      </c>
      <c r="GG203" s="39">
        <f>IF(N('Dvd Calendar'!$S$2041)=0,"",IF(('Dvd Calendar'!$S$2041&gt;=GRID_FROM)*('Dvd Calendar'!$S$2041&lt;=GRID_TO)*('Dvd Calendar'!$S$2041&gt;VAL_DATE)=0,"",'Dvd Calendar'!$S$2041*1000000000+ISNUMBER('Dvd Calendar'!$S$2042)*100000000+0*10000000+(N('Dvd Calendar'!$S$2040)&gt;0)*(N('Dvd Calendar'!$S$2040)&lt;=VAL_SERIAL)*1000000+44*1000+55))</f>
        <v/>
      </c>
      <c r="GH203" s="39">
        <f>IF(N('Dvd Calendar'!$T$2041)=0,"",IF(('Dvd Calendar'!$T$2041&gt;=GRID_FROM)*('Dvd Calendar'!$T$2041&lt;=GRID_TO)*('Dvd Calendar'!$T$2041&gt;VAL_DATE)=0,"",'Dvd Calendar'!$T$2041*1000000000+ISNUMBER('Dvd Calendar'!$T$2042)*100000000+0*10000000+(N('Dvd Calendar'!$T$2040)&gt;0)*(N('Dvd Calendar'!$T$2040)&lt;=VAL_SERIAL)*1000000+44*1000+56))</f>
        <v/>
      </c>
      <c r="GI203" s="39">
        <f>IF(N('Dvd Calendar'!$U$2041)=0,"",IF(('Dvd Calendar'!$U$2041&gt;=GRID_FROM)*('Dvd Calendar'!$U$2041&lt;=GRID_TO)*('Dvd Calendar'!$U$2041&gt;VAL_DATE)=0,"",'Dvd Calendar'!$U$2041*1000000000+ISNUMBER('Dvd Calendar'!$U$2042)*100000000+0*10000000+(N('Dvd Calendar'!$U$2040)&gt;0)*(N('Dvd Calendar'!$U$2040)&lt;=VAL_SERIAL)*1000000+44*1000+57))</f>
        <v/>
      </c>
      <c r="GJ203" s="39">
        <f>IF(N('Dvd Calendar'!$V$2041)=0,"",IF(('Dvd Calendar'!$V$2041&gt;=GRID_FROM)*('Dvd Calendar'!$V$2041&lt;=GRID_TO)*('Dvd Calendar'!$V$2041&gt;VAL_DATE)=0,"",'Dvd Calendar'!$V$2041*1000000000+ISNUMBER('Dvd Calendar'!$V$2042)*100000000+0*10000000+(N('Dvd Calendar'!$V$2040)&gt;0)*(N('Dvd Calendar'!$V$2040)&lt;=VAL_SERIAL)*1000000+44*1000+58))</f>
        <v/>
      </c>
      <c r="GK203" s="39">
        <f>IF(N('Dvd Calendar'!$W$2041)=0,"",IF(('Dvd Calendar'!$W$2041&gt;=GRID_FROM)*('Dvd Calendar'!$W$2041&lt;=GRID_TO)*('Dvd Calendar'!$W$2041&gt;VAL_DATE)=0,"",'Dvd Calendar'!$W$2041*1000000000+ISNUMBER('Dvd Calendar'!$W$2042)*100000000+0*10000000+(N('Dvd Calendar'!$W$2040)&gt;0)*(N('Dvd Calendar'!$W$2040)&lt;=VAL_SERIAL)*1000000+44*1000+59))</f>
        <v/>
      </c>
      <c r="GL203" s="39">
        <f>IF(N('Dvd Calendar'!$X$2041)=0,"",IF(('Dvd Calendar'!$X$2041&gt;=GRID_FROM)*('Dvd Calendar'!$X$2041&lt;=GRID_TO)*('Dvd Calendar'!$X$2041&gt;VAL_DATE)=0,"",'Dvd Calendar'!$X$2041*1000000000+ISNUMBER('Dvd Calendar'!$X$2042)*100000000+0*10000000+(N('Dvd Calendar'!$X$2040)&gt;0)*(N('Dvd Calendar'!$X$2040)&lt;=VAL_SERIAL)*1000000+44*1000+60))</f>
        <v/>
      </c>
      <c r="GM203" s="39">
        <f>IF(N('Dvd Calendar'!$Y$2041)=0,"",IF(('Dvd Calendar'!$Y$2041&gt;=GRID_FROM)*('Dvd Calendar'!$Y$2041&lt;=GRID_TO)*('Dvd Calendar'!$Y$2041&gt;VAL_DATE)=0,"",'Dvd Calendar'!$Y$2041*1000000000+ISNUMBER('Dvd Calendar'!$Y$2042)*100000000+0*10000000+(N('Dvd Calendar'!$Y$2040)&gt;0)*(N('Dvd Calendar'!$Y$2040)&lt;=VAL_SERIAL)*1000000+44*1000+61))</f>
        <v/>
      </c>
      <c r="GN203" s="39">
        <f>IF(N('Dvd Calendar'!$Z$2041)=0,"",IF(('Dvd Calendar'!$Z$2041&gt;=GRID_FROM)*('Dvd Calendar'!$Z$2041&lt;=GRID_TO)*('Dvd Calendar'!$Z$2041&gt;VAL_DATE)=0,"",'Dvd Calendar'!$Z$2041*1000000000+ISNUMBER('Dvd Calendar'!$Z$2042)*100000000+0*10000000+(N('Dvd Calendar'!$Z$2040)&gt;0)*(N('Dvd Calendar'!$Z$2040)&lt;=VAL_SERIAL)*1000000+44*1000+62))</f>
        <v/>
      </c>
      <c r="GO203" s="39">
        <f>IF(N('Dvd Calendar'!$AA$2041)=0,"",IF(('Dvd Calendar'!$AA$2041&gt;=GRID_FROM)*('Dvd Calendar'!$AA$2041&lt;=GRID_TO)*('Dvd Calendar'!$AA$2041&gt;VAL_DATE)=0,"",'Dvd Calendar'!$AA$2041*1000000000+ISNUMBER('Dvd Calendar'!$AA$2042)*100000000+0*10000000+(N('Dvd Calendar'!$AA$2040)&gt;0)*(N('Dvd Calendar'!$AA$2040)&lt;=VAL_SERIAL)*1000000+44*1000+63))</f>
        <v/>
      </c>
      <c r="GP203" s="39">
        <f>IF(N('Dvd Calendar'!$AB$2041)=0,"",IF(('Dvd Calendar'!$AB$2041&gt;=GRID_FROM)*('Dvd Calendar'!$AB$2041&lt;=GRID_TO)*('Dvd Calendar'!$AB$2041&gt;VAL_DATE)=0,"",'Dvd Calendar'!$AB$2041*1000000000+ISNUMBER('Dvd Calendar'!$AB$2042)*100000000+0*10000000+(N('Dvd Calendar'!$AB$2040)&gt;0)*(N('Dvd Calendar'!$AB$2040)&lt;=VAL_SERIAL)*1000000+44*1000+64))</f>
        <v/>
      </c>
      <c r="GQ203" s="39">
        <f>IF(N('Dvd Calendar'!$AC$2041)=0,"",IF(('Dvd Calendar'!$AC$2041&gt;=GRID_FROM)*('Dvd Calendar'!$AC$2041&lt;=GRID_TO)*('Dvd Calendar'!$AC$2041&gt;VAL_DATE)=0,"",'Dvd Calendar'!$AC$2041*1000000000+ISNUMBER('Dvd Calendar'!$AC$2042)*100000000+0*10000000+(N('Dvd Calendar'!$AC$2040)&gt;0)*(N('Dvd Calendar'!$AC$2040)&lt;=VAL_SERIAL)*1000000+44*1000+65))</f>
        <v/>
      </c>
    </row>
    <row r="204">
      <c r="B204" s="2">
        <f>IF(HSCEI!$C$51="","",HSCEI!$C$51)</f>
        <v/>
      </c>
      <c r="C204" s="110">
        <f>IF(EE204="","",IF(ISNUMBER('Dvd Calendar'!$E$2048)=FALSE,"",IF((('Dvd Calendar'!$E$2050=TYPE1)*(TYPE1&lt;&gt;"")+('Dvd Calendar'!$E$2050=TYPE2)*(TYPE2&lt;&gt;"")+('Dvd Calendar'!$E$2050=TYPE3)*(TYPE3&lt;&gt;"")+('Dvd Calendar'!$E$2050=TYPE4)*(TYPE4&lt;&gt;"")+('Dvd Calendar'!$E$2050=SPECIAL_LBL)*(INC_SPECIALS="Y"))=0,"",'Dvd Calendar'!$E$2048)))</f>
        <v/>
      </c>
      <c r="D204" s="110">
        <f>IF(EF204="","",IF(ISNUMBER('Dvd Calendar'!$F$2048)=FALSE,"",IF((('Dvd Calendar'!$F$2050=TYPE1)*(TYPE1&lt;&gt;"")+('Dvd Calendar'!$F$2050=TYPE2)*(TYPE2&lt;&gt;"")+('Dvd Calendar'!$F$2050=TYPE3)*(TYPE3&lt;&gt;"")+('Dvd Calendar'!$F$2050=TYPE4)*(TYPE4&lt;&gt;"")+('Dvd Calendar'!$F$2050=SPECIAL_LBL)*(INC_SPECIALS="Y"))=0,"",'Dvd Calendar'!$F$2048)))</f>
        <v/>
      </c>
      <c r="E204" s="110">
        <f>IF(EG204="","",IF(ISNUMBER('Dvd Calendar'!$G$2048)=FALSE,"",IF((('Dvd Calendar'!$G$2050=TYPE1)*(TYPE1&lt;&gt;"")+('Dvd Calendar'!$G$2050=TYPE2)*(TYPE2&lt;&gt;"")+('Dvd Calendar'!$G$2050=TYPE3)*(TYPE3&lt;&gt;"")+('Dvd Calendar'!$G$2050=TYPE4)*(TYPE4&lt;&gt;"")+('Dvd Calendar'!$G$2050=SPECIAL_LBL)*(INC_SPECIALS="Y"))=0,"",'Dvd Calendar'!$G$2048)))</f>
        <v/>
      </c>
      <c r="F204" s="110">
        <f>IF(EH204="","",IF(ISNUMBER('Dvd Calendar'!$H$2048)=FALSE,"",IF((('Dvd Calendar'!$H$2050=TYPE1)*(TYPE1&lt;&gt;"")+('Dvd Calendar'!$H$2050=TYPE2)*(TYPE2&lt;&gt;"")+('Dvd Calendar'!$H$2050=TYPE3)*(TYPE3&lt;&gt;"")+('Dvd Calendar'!$H$2050=TYPE4)*(TYPE4&lt;&gt;"")+('Dvd Calendar'!$H$2050=SPECIAL_LBL)*(INC_SPECIALS="Y"))=0,"",'Dvd Calendar'!$H$2048)))</f>
        <v/>
      </c>
      <c r="G204" s="110">
        <f>IF(EI204="","",IF(ISNUMBER('Dvd Calendar'!$I$2048)=FALSE,"",IF((('Dvd Calendar'!$I$2050=TYPE1)*(TYPE1&lt;&gt;"")+('Dvd Calendar'!$I$2050=TYPE2)*(TYPE2&lt;&gt;"")+('Dvd Calendar'!$I$2050=TYPE3)*(TYPE3&lt;&gt;"")+('Dvd Calendar'!$I$2050=TYPE4)*(TYPE4&lt;&gt;"")+('Dvd Calendar'!$I$2050=SPECIAL_LBL)*(INC_SPECIALS="Y"))=0,"",'Dvd Calendar'!$I$2048)))</f>
        <v/>
      </c>
      <c r="H204" s="110">
        <f>IF(EJ204="","",IF(ISNUMBER('Dvd Calendar'!$J$2048)=FALSE,"",IF((('Dvd Calendar'!$J$2050=TYPE1)*(TYPE1&lt;&gt;"")+('Dvd Calendar'!$J$2050=TYPE2)*(TYPE2&lt;&gt;"")+('Dvd Calendar'!$J$2050=TYPE3)*(TYPE3&lt;&gt;"")+('Dvd Calendar'!$J$2050=TYPE4)*(TYPE4&lt;&gt;"")+('Dvd Calendar'!$J$2050=SPECIAL_LBL)*(INC_SPECIALS="Y"))=0,"",'Dvd Calendar'!$J$2048)))</f>
        <v/>
      </c>
      <c r="I204" s="110">
        <f>IF(EK204="","",IF(ISNUMBER('Dvd Calendar'!$K$2048)=FALSE,"",IF((('Dvd Calendar'!$K$2050=TYPE1)*(TYPE1&lt;&gt;"")+('Dvd Calendar'!$K$2050=TYPE2)*(TYPE2&lt;&gt;"")+('Dvd Calendar'!$K$2050=TYPE3)*(TYPE3&lt;&gt;"")+('Dvd Calendar'!$K$2050=TYPE4)*(TYPE4&lt;&gt;"")+('Dvd Calendar'!$K$2050=SPECIAL_LBL)*(INC_SPECIALS="Y"))=0,"",'Dvd Calendar'!$K$2048)))</f>
        <v/>
      </c>
      <c r="J204" s="110">
        <f>IF(EL204="","",IF(ISNUMBER('Dvd Calendar'!$L$2048)=FALSE,"",IF((('Dvd Calendar'!$L$2050=TYPE1)*(TYPE1&lt;&gt;"")+('Dvd Calendar'!$L$2050=TYPE2)*(TYPE2&lt;&gt;"")+('Dvd Calendar'!$L$2050=TYPE3)*(TYPE3&lt;&gt;"")+('Dvd Calendar'!$L$2050=TYPE4)*(TYPE4&lt;&gt;"")+('Dvd Calendar'!$L$2050=SPECIAL_LBL)*(INC_SPECIALS="Y"))=0,"",'Dvd Calendar'!$L$2048)))</f>
        <v/>
      </c>
      <c r="K204" s="110">
        <f>IF(EM204="","",IF(ISNUMBER('Dvd Calendar'!$M$2048)=FALSE,"",IF((('Dvd Calendar'!$M$2050=TYPE1)*(TYPE1&lt;&gt;"")+('Dvd Calendar'!$M$2050=TYPE2)*(TYPE2&lt;&gt;"")+('Dvd Calendar'!$M$2050=TYPE3)*(TYPE3&lt;&gt;"")+('Dvd Calendar'!$M$2050=TYPE4)*(TYPE4&lt;&gt;"")+('Dvd Calendar'!$M$2050=SPECIAL_LBL)*(INC_SPECIALS="Y"))=0,"",'Dvd Calendar'!$M$2048)))</f>
        <v/>
      </c>
      <c r="L204" s="110">
        <f>IF(EN204="","",IF(ISNUMBER('Dvd Calendar'!$N$2048)=FALSE,"",IF((('Dvd Calendar'!$N$2050=TYPE1)*(TYPE1&lt;&gt;"")+('Dvd Calendar'!$N$2050=TYPE2)*(TYPE2&lt;&gt;"")+('Dvd Calendar'!$N$2050=TYPE3)*(TYPE3&lt;&gt;"")+('Dvd Calendar'!$N$2050=TYPE4)*(TYPE4&lt;&gt;"")+('Dvd Calendar'!$N$2050=SPECIAL_LBL)*(INC_SPECIALS="Y"))=0,"",'Dvd Calendar'!$N$2048)))</f>
        <v/>
      </c>
      <c r="M204" s="110">
        <f>IF(EO204="","",IF(ISNUMBER('Dvd Calendar'!$O$2048)=FALSE,"",IF((('Dvd Calendar'!$O$2050=TYPE1)*(TYPE1&lt;&gt;"")+('Dvd Calendar'!$O$2050=TYPE2)*(TYPE2&lt;&gt;"")+('Dvd Calendar'!$O$2050=TYPE3)*(TYPE3&lt;&gt;"")+('Dvd Calendar'!$O$2050=TYPE4)*(TYPE4&lt;&gt;"")+('Dvd Calendar'!$O$2050=SPECIAL_LBL)*(INC_SPECIALS="Y"))=0,"",'Dvd Calendar'!$O$2048)))</f>
        <v/>
      </c>
      <c r="N204" s="110">
        <f>IF(EP204="","",IF(ISNUMBER('Dvd Calendar'!$P$2048)=FALSE,"",IF((('Dvd Calendar'!$P$2050=TYPE1)*(TYPE1&lt;&gt;"")+('Dvd Calendar'!$P$2050=TYPE2)*(TYPE2&lt;&gt;"")+('Dvd Calendar'!$P$2050=TYPE3)*(TYPE3&lt;&gt;"")+('Dvd Calendar'!$P$2050=TYPE4)*(TYPE4&lt;&gt;"")+('Dvd Calendar'!$P$2050=SPECIAL_LBL)*(INC_SPECIALS="Y"))=0,"",'Dvd Calendar'!$P$2048)))</f>
        <v/>
      </c>
      <c r="O204" s="110">
        <f>IF(EQ204="","",IF(ISNUMBER('Dvd Calendar'!$Q$2048)=FALSE,"",IF((('Dvd Calendar'!$Q$2050=TYPE1)*(TYPE1&lt;&gt;"")+('Dvd Calendar'!$Q$2050=TYPE2)*(TYPE2&lt;&gt;"")+('Dvd Calendar'!$Q$2050=TYPE3)*(TYPE3&lt;&gt;"")+('Dvd Calendar'!$Q$2050=TYPE4)*(TYPE4&lt;&gt;"")+('Dvd Calendar'!$Q$2050=SPECIAL_LBL)*(INC_SPECIALS="Y"))=0,"",'Dvd Calendar'!$Q$2048)))</f>
        <v/>
      </c>
      <c r="P204" s="110">
        <f>IF(ER204="","",IF(ISNUMBER('Dvd Calendar'!$R$2048)=FALSE,"",IF((('Dvd Calendar'!$R$2050=TYPE1)*(TYPE1&lt;&gt;"")+('Dvd Calendar'!$R$2050=TYPE2)*(TYPE2&lt;&gt;"")+('Dvd Calendar'!$R$2050=TYPE3)*(TYPE3&lt;&gt;"")+('Dvd Calendar'!$R$2050=TYPE4)*(TYPE4&lt;&gt;"")+('Dvd Calendar'!$R$2050=SPECIAL_LBL)*(INC_SPECIALS="Y"))=0,"",'Dvd Calendar'!$R$2048)))</f>
        <v/>
      </c>
      <c r="Q204" s="110">
        <f>IF(ES204="","",IF(ISNUMBER('Dvd Calendar'!$S$2048)=FALSE,"",IF((('Dvd Calendar'!$S$2050=TYPE1)*(TYPE1&lt;&gt;"")+('Dvd Calendar'!$S$2050=TYPE2)*(TYPE2&lt;&gt;"")+('Dvd Calendar'!$S$2050=TYPE3)*(TYPE3&lt;&gt;"")+('Dvd Calendar'!$S$2050=TYPE4)*(TYPE4&lt;&gt;"")+('Dvd Calendar'!$S$2050=SPECIAL_LBL)*(INC_SPECIALS="Y"))=0,"",'Dvd Calendar'!$S$2048)))</f>
        <v/>
      </c>
      <c r="R204" s="110">
        <f>IF(ET204="","",IF(ISNUMBER('Dvd Calendar'!$T$2048)=FALSE,"",IF((('Dvd Calendar'!$T$2050=TYPE1)*(TYPE1&lt;&gt;"")+('Dvd Calendar'!$T$2050=TYPE2)*(TYPE2&lt;&gt;"")+('Dvd Calendar'!$T$2050=TYPE3)*(TYPE3&lt;&gt;"")+('Dvd Calendar'!$T$2050=TYPE4)*(TYPE4&lt;&gt;"")+('Dvd Calendar'!$T$2050=SPECIAL_LBL)*(INC_SPECIALS="Y"))=0,"",'Dvd Calendar'!$T$2048)))</f>
        <v/>
      </c>
      <c r="S204" s="110">
        <f>IF(EU204="","",IF(ISNUMBER('Dvd Calendar'!$U$2048)=FALSE,"",IF((('Dvd Calendar'!$U$2050=TYPE1)*(TYPE1&lt;&gt;"")+('Dvd Calendar'!$U$2050=TYPE2)*(TYPE2&lt;&gt;"")+('Dvd Calendar'!$U$2050=TYPE3)*(TYPE3&lt;&gt;"")+('Dvd Calendar'!$U$2050=TYPE4)*(TYPE4&lt;&gt;"")+('Dvd Calendar'!$U$2050=SPECIAL_LBL)*(INC_SPECIALS="Y"))=0,"",'Dvd Calendar'!$U$2048)))</f>
        <v/>
      </c>
      <c r="T204" s="110">
        <f>IF(EV204="","",IF(ISNUMBER('Dvd Calendar'!$V$2048)=FALSE,"",IF((('Dvd Calendar'!$V$2050=TYPE1)*(TYPE1&lt;&gt;"")+('Dvd Calendar'!$V$2050=TYPE2)*(TYPE2&lt;&gt;"")+('Dvd Calendar'!$V$2050=TYPE3)*(TYPE3&lt;&gt;"")+('Dvd Calendar'!$V$2050=TYPE4)*(TYPE4&lt;&gt;"")+('Dvd Calendar'!$V$2050=SPECIAL_LBL)*(INC_SPECIALS="Y"))=0,"",'Dvd Calendar'!$V$2048)))</f>
        <v/>
      </c>
      <c r="U204" s="110">
        <f>IF(EW204="","",IF(ISNUMBER('Dvd Calendar'!$W$2048)=FALSE,"",IF((('Dvd Calendar'!$W$2050=TYPE1)*(TYPE1&lt;&gt;"")+('Dvd Calendar'!$W$2050=TYPE2)*(TYPE2&lt;&gt;"")+('Dvd Calendar'!$W$2050=TYPE3)*(TYPE3&lt;&gt;"")+('Dvd Calendar'!$W$2050=TYPE4)*(TYPE4&lt;&gt;"")+('Dvd Calendar'!$W$2050=SPECIAL_LBL)*(INC_SPECIALS="Y"))=0,"",'Dvd Calendar'!$W$2048)))</f>
        <v/>
      </c>
      <c r="V204" s="110">
        <f>IF(EX204="","",IF(ISNUMBER('Dvd Calendar'!$X$2048)=FALSE,"",IF((('Dvd Calendar'!$X$2050=TYPE1)*(TYPE1&lt;&gt;"")+('Dvd Calendar'!$X$2050=TYPE2)*(TYPE2&lt;&gt;"")+('Dvd Calendar'!$X$2050=TYPE3)*(TYPE3&lt;&gt;"")+('Dvd Calendar'!$X$2050=TYPE4)*(TYPE4&lt;&gt;"")+('Dvd Calendar'!$X$2050=SPECIAL_LBL)*(INC_SPECIALS="Y"))=0,"",'Dvd Calendar'!$X$2048)))</f>
        <v/>
      </c>
      <c r="W204" s="110">
        <f>IF(EY204="","",IF(ISNUMBER('Dvd Calendar'!$Y$2048)=FALSE,"",IF((('Dvd Calendar'!$Y$2050=TYPE1)*(TYPE1&lt;&gt;"")+('Dvd Calendar'!$Y$2050=TYPE2)*(TYPE2&lt;&gt;"")+('Dvd Calendar'!$Y$2050=TYPE3)*(TYPE3&lt;&gt;"")+('Dvd Calendar'!$Y$2050=TYPE4)*(TYPE4&lt;&gt;"")+('Dvd Calendar'!$Y$2050=SPECIAL_LBL)*(INC_SPECIALS="Y"))=0,"",'Dvd Calendar'!$Y$2048)))</f>
        <v/>
      </c>
      <c r="X204" s="110">
        <f>IF(EZ204="","",IF(ISNUMBER('Dvd Calendar'!$Z$2048)=FALSE,"",IF((('Dvd Calendar'!$Z$2050=TYPE1)*(TYPE1&lt;&gt;"")+('Dvd Calendar'!$Z$2050=TYPE2)*(TYPE2&lt;&gt;"")+('Dvd Calendar'!$Z$2050=TYPE3)*(TYPE3&lt;&gt;"")+('Dvd Calendar'!$Z$2050=TYPE4)*(TYPE4&lt;&gt;"")+('Dvd Calendar'!$Z$2050=SPECIAL_LBL)*(INC_SPECIALS="Y"))=0,"",'Dvd Calendar'!$Z$2048)))</f>
        <v/>
      </c>
      <c r="Y204" s="110">
        <f>IF(FA204="","",IF(ISNUMBER('Dvd Calendar'!$AA$2048)=FALSE,"",IF((('Dvd Calendar'!$AA$2050=TYPE1)*(TYPE1&lt;&gt;"")+('Dvd Calendar'!$AA$2050=TYPE2)*(TYPE2&lt;&gt;"")+('Dvd Calendar'!$AA$2050=TYPE3)*(TYPE3&lt;&gt;"")+('Dvd Calendar'!$AA$2050=TYPE4)*(TYPE4&lt;&gt;"")+('Dvd Calendar'!$AA$2050=SPECIAL_LBL)*(INC_SPECIALS="Y"))=0,"",'Dvd Calendar'!$AA$2048)))</f>
        <v/>
      </c>
      <c r="Z204" s="110">
        <f>IF(FB204="","",IF(ISNUMBER('Dvd Calendar'!$AB$2048)=FALSE,"",IF((('Dvd Calendar'!$AB$2050=TYPE1)*(TYPE1&lt;&gt;"")+('Dvd Calendar'!$AB$2050=TYPE2)*(TYPE2&lt;&gt;"")+('Dvd Calendar'!$AB$2050=TYPE3)*(TYPE3&lt;&gt;"")+('Dvd Calendar'!$AB$2050=TYPE4)*(TYPE4&lt;&gt;"")+('Dvd Calendar'!$AB$2050=SPECIAL_LBL)*(INC_SPECIALS="Y"))=0,"",'Dvd Calendar'!$AB$2048)))</f>
        <v/>
      </c>
      <c r="AA204" s="110">
        <f>IF(FC204="","",IF(ISNUMBER('Dvd Calendar'!$AC$2048)=FALSE,"",IF((('Dvd Calendar'!$AC$2050=TYPE1)*(TYPE1&lt;&gt;"")+('Dvd Calendar'!$AC$2050=TYPE2)*(TYPE2&lt;&gt;"")+('Dvd Calendar'!$AC$2050=TYPE3)*(TYPE3&lt;&gt;"")+('Dvd Calendar'!$AC$2050=TYPE4)*(TYPE4&lt;&gt;"")+('Dvd Calendar'!$AC$2050=SPECIAL_LBL)*(INC_SPECIALS="Y"))=0,"",'Dvd Calendar'!$AC$2048)))</f>
        <v/>
      </c>
      <c r="AB204" s="110">
        <f>IF(FD204="","",IF(ISNUMBER('Dvd Calendar'!$AD$2048)=FALSE,"",IF((('Dvd Calendar'!$AD$2050=TYPE1)*(TYPE1&lt;&gt;"")+('Dvd Calendar'!$AD$2050=TYPE2)*(TYPE2&lt;&gt;"")+('Dvd Calendar'!$AD$2050=TYPE3)*(TYPE3&lt;&gt;"")+('Dvd Calendar'!$AD$2050=TYPE4)*(TYPE4&lt;&gt;"")+('Dvd Calendar'!$AD$2050=SPECIAL_LBL)*(INC_SPECIALS="Y"))=0,"",'Dvd Calendar'!$AD$2048)))</f>
        <v/>
      </c>
      <c r="AC204" s="110">
        <f>IF(FE204="","",IF(ISNUMBER('Dvd Calendar'!$AE$2048)=FALSE,"",IF((('Dvd Calendar'!$AE$2050=TYPE1)*(TYPE1&lt;&gt;"")+('Dvd Calendar'!$AE$2050=TYPE2)*(TYPE2&lt;&gt;"")+('Dvd Calendar'!$AE$2050=TYPE3)*(TYPE3&lt;&gt;"")+('Dvd Calendar'!$AE$2050=TYPE4)*(TYPE4&lt;&gt;"")+('Dvd Calendar'!$AE$2050=SPECIAL_LBL)*(INC_SPECIALS="Y"))=0,"",'Dvd Calendar'!$AE$2048)))</f>
        <v/>
      </c>
      <c r="AD204" s="110">
        <f>IF(FF204="","",IF(ISNUMBER('Dvd Calendar'!$AF$2048)=FALSE,"",IF((('Dvd Calendar'!$AF$2050=TYPE1)*(TYPE1&lt;&gt;"")+('Dvd Calendar'!$AF$2050=TYPE2)*(TYPE2&lt;&gt;"")+('Dvd Calendar'!$AF$2050=TYPE3)*(TYPE3&lt;&gt;"")+('Dvd Calendar'!$AF$2050=TYPE4)*(TYPE4&lt;&gt;"")+('Dvd Calendar'!$AF$2050=SPECIAL_LBL)*(INC_SPECIALS="Y"))=0,"",'Dvd Calendar'!$AF$2048)))</f>
        <v/>
      </c>
      <c r="AE204" s="110">
        <f>IF(FG204="","",IF(ISNUMBER('Dvd Calendar'!$AG$2048)=FALSE,"",IF((('Dvd Calendar'!$AG$2050=TYPE1)*(TYPE1&lt;&gt;"")+('Dvd Calendar'!$AG$2050=TYPE2)*(TYPE2&lt;&gt;"")+('Dvd Calendar'!$AG$2050=TYPE3)*(TYPE3&lt;&gt;"")+('Dvd Calendar'!$AG$2050=TYPE4)*(TYPE4&lt;&gt;"")+('Dvd Calendar'!$AG$2050=SPECIAL_LBL)*(INC_SPECIALS="Y"))=0,"",'Dvd Calendar'!$AG$2048)))</f>
        <v/>
      </c>
      <c r="AF204" s="110">
        <f>IF(FH204="","",IF(ISNUMBER('Dvd Calendar'!$AH$2048)=FALSE,"",IF((('Dvd Calendar'!$AH$2050=TYPE1)*(TYPE1&lt;&gt;"")+('Dvd Calendar'!$AH$2050=TYPE2)*(TYPE2&lt;&gt;"")+('Dvd Calendar'!$AH$2050=TYPE3)*(TYPE3&lt;&gt;"")+('Dvd Calendar'!$AH$2050=TYPE4)*(TYPE4&lt;&gt;"")+('Dvd Calendar'!$AH$2050=SPECIAL_LBL)*(INC_SPECIALS="Y"))=0,"",'Dvd Calendar'!$AH$2048)))</f>
        <v/>
      </c>
      <c r="AG204" s="110">
        <f>IF(FI204="","",IF(ISNUMBER('Dvd Calendar'!$AI$2048)=FALSE,"",IF((('Dvd Calendar'!$AI$2050=TYPE1)*(TYPE1&lt;&gt;"")+('Dvd Calendar'!$AI$2050=TYPE2)*(TYPE2&lt;&gt;"")+('Dvd Calendar'!$AI$2050=TYPE3)*(TYPE3&lt;&gt;"")+('Dvd Calendar'!$AI$2050=TYPE4)*(TYPE4&lt;&gt;"")+('Dvd Calendar'!$AI$2050=SPECIAL_LBL)*(INC_SPECIALS="Y"))=0,"",'Dvd Calendar'!$AI$2048)))</f>
        <v/>
      </c>
      <c r="AH204" s="110">
        <f>IF(FJ204="","",IF(ISNUMBER('Dvd Calendar'!$AJ$2048)=FALSE,"",IF((('Dvd Calendar'!$AJ$2050=TYPE1)*(TYPE1&lt;&gt;"")+('Dvd Calendar'!$AJ$2050=TYPE2)*(TYPE2&lt;&gt;"")+('Dvd Calendar'!$AJ$2050=TYPE3)*(TYPE3&lt;&gt;"")+('Dvd Calendar'!$AJ$2050=TYPE4)*(TYPE4&lt;&gt;"")+('Dvd Calendar'!$AJ$2050=SPECIAL_LBL)*(INC_SPECIALS="Y"))=0,"",'Dvd Calendar'!$AJ$2048)))</f>
        <v/>
      </c>
      <c r="AI204" s="110">
        <f>IF(FK204="","",IF(ISNUMBER('Dvd Calendar'!$AK$2048)=FALSE,"",IF((('Dvd Calendar'!$AK$2050=TYPE1)*(TYPE1&lt;&gt;"")+('Dvd Calendar'!$AK$2050=TYPE2)*(TYPE2&lt;&gt;"")+('Dvd Calendar'!$AK$2050=TYPE3)*(TYPE3&lt;&gt;"")+('Dvd Calendar'!$AK$2050=TYPE4)*(TYPE4&lt;&gt;"")+('Dvd Calendar'!$AK$2050=SPECIAL_LBL)*(INC_SPECIALS="Y"))=0,"",'Dvd Calendar'!$AK$2048)))</f>
        <v/>
      </c>
      <c r="AJ204" s="110">
        <f>IF(FL204="","",IF(ISNUMBER('Dvd Calendar'!$AL$2048)=FALSE,"",IF((('Dvd Calendar'!$AL$2050=TYPE1)*(TYPE1&lt;&gt;"")+('Dvd Calendar'!$AL$2050=TYPE2)*(TYPE2&lt;&gt;"")+('Dvd Calendar'!$AL$2050=TYPE3)*(TYPE3&lt;&gt;"")+('Dvd Calendar'!$AL$2050=TYPE4)*(TYPE4&lt;&gt;"")+('Dvd Calendar'!$AL$2050=SPECIAL_LBL)*(INC_SPECIALS="Y"))=0,"",'Dvd Calendar'!$AL$2048)))</f>
        <v/>
      </c>
      <c r="AK204" s="110">
        <f>IF(FM204="","",IF(ISNUMBER('Dvd Calendar'!$AM$2048)=FALSE,"",IF((('Dvd Calendar'!$AM$2050=TYPE1)*(TYPE1&lt;&gt;"")+('Dvd Calendar'!$AM$2050=TYPE2)*(TYPE2&lt;&gt;"")+('Dvd Calendar'!$AM$2050=TYPE3)*(TYPE3&lt;&gt;"")+('Dvd Calendar'!$AM$2050=TYPE4)*(TYPE4&lt;&gt;"")+('Dvd Calendar'!$AM$2050=SPECIAL_LBL)*(INC_SPECIALS="Y"))=0,"",'Dvd Calendar'!$AM$2048)))</f>
        <v/>
      </c>
      <c r="AL204" s="110">
        <f>IF(FN204="","",IF(ISNUMBER('Dvd Calendar'!$AN$2048)=FALSE,"",IF((('Dvd Calendar'!$AN$2050=TYPE1)*(TYPE1&lt;&gt;"")+('Dvd Calendar'!$AN$2050=TYPE2)*(TYPE2&lt;&gt;"")+('Dvd Calendar'!$AN$2050=TYPE3)*(TYPE3&lt;&gt;"")+('Dvd Calendar'!$AN$2050=TYPE4)*(TYPE4&lt;&gt;"")+('Dvd Calendar'!$AN$2050=SPECIAL_LBL)*(INC_SPECIALS="Y"))=0,"",'Dvd Calendar'!$AN$2048)))</f>
        <v/>
      </c>
      <c r="AM204" s="110">
        <f>IF(FO204="","",IF(ISNUMBER('Dvd Calendar'!$AO$2048)=FALSE,"",IF((('Dvd Calendar'!$AO$2050=TYPE1)*(TYPE1&lt;&gt;"")+('Dvd Calendar'!$AO$2050=TYPE2)*(TYPE2&lt;&gt;"")+('Dvd Calendar'!$AO$2050=TYPE3)*(TYPE3&lt;&gt;"")+('Dvd Calendar'!$AO$2050=TYPE4)*(TYPE4&lt;&gt;"")+('Dvd Calendar'!$AO$2050=SPECIAL_LBL)*(INC_SPECIALS="Y"))=0,"",'Dvd Calendar'!$AO$2048)))</f>
        <v/>
      </c>
      <c r="AN204" s="110">
        <f>IF(FP204="","",IF(ISNUMBER('Dvd Calendar'!$AP$2048)=FALSE,"",IF((('Dvd Calendar'!$AP$2050=TYPE1)*(TYPE1&lt;&gt;"")+('Dvd Calendar'!$AP$2050=TYPE2)*(TYPE2&lt;&gt;"")+('Dvd Calendar'!$AP$2050=TYPE3)*(TYPE3&lt;&gt;"")+('Dvd Calendar'!$AP$2050=TYPE4)*(TYPE4&lt;&gt;"")+('Dvd Calendar'!$AP$2050=SPECIAL_LBL)*(INC_SPECIALS="Y"))=0,"",'Dvd Calendar'!$AP$2048)))</f>
        <v/>
      </c>
      <c r="AO204" s="110">
        <f>IF(FQ204="","",IF(ISNUMBER('Dvd Calendar'!$AQ$2048)=FALSE,"",IF((('Dvd Calendar'!$AQ$2050=TYPE1)*(TYPE1&lt;&gt;"")+('Dvd Calendar'!$AQ$2050=TYPE2)*(TYPE2&lt;&gt;"")+('Dvd Calendar'!$AQ$2050=TYPE3)*(TYPE3&lt;&gt;"")+('Dvd Calendar'!$AQ$2050=TYPE4)*(TYPE4&lt;&gt;"")+('Dvd Calendar'!$AQ$2050=SPECIAL_LBL)*(INC_SPECIALS="Y"))=0,"",'Dvd Calendar'!$AQ$2048)))</f>
        <v/>
      </c>
      <c r="AP204" s="110">
        <f>IF(FR204="","",IF(ISNUMBER('Dvd Calendar'!$AR$2048)=FALSE,"",IF((('Dvd Calendar'!$AR$2050=TYPE1)*(TYPE1&lt;&gt;"")+('Dvd Calendar'!$AR$2050=TYPE2)*(TYPE2&lt;&gt;"")+('Dvd Calendar'!$AR$2050=TYPE3)*(TYPE3&lt;&gt;"")+('Dvd Calendar'!$AR$2050=TYPE4)*(TYPE4&lt;&gt;"")+('Dvd Calendar'!$AR$2050=SPECIAL_LBL)*(INC_SPECIALS="Y"))=0,"",'Dvd Calendar'!$AR$2048)))</f>
        <v/>
      </c>
      <c r="AQ204" s="110">
        <f>IF(FS204="","",IF(ISNUMBER('Dvd Calendar'!$E$2053)=FALSE,"",'Dvd Calendar'!$E$2053))</f>
        <v/>
      </c>
      <c r="AR204" s="110">
        <f>IF(FT204="","",IF(ISNUMBER('Dvd Calendar'!$F$2053)=FALSE,"",'Dvd Calendar'!$F$2053))</f>
        <v/>
      </c>
      <c r="AS204" s="110">
        <f>IF(FU204="","",IF(ISNUMBER('Dvd Calendar'!$G$2053)=FALSE,"",'Dvd Calendar'!$G$2053))</f>
        <v/>
      </c>
      <c r="AT204" s="110">
        <f>IF(FV204="","",IF(ISNUMBER('Dvd Calendar'!$H$2053)=FALSE,"",'Dvd Calendar'!$H$2053))</f>
        <v/>
      </c>
      <c r="AU204" s="110">
        <f>IF(FW204="","",IF(ISNUMBER('Dvd Calendar'!$I$2053)=FALSE,"",'Dvd Calendar'!$I$2053))</f>
        <v/>
      </c>
      <c r="AV204" s="110">
        <f>IF(FX204="","",IF(ISNUMBER('Dvd Calendar'!$J$2053)=FALSE,"",'Dvd Calendar'!$J$2053))</f>
        <v/>
      </c>
      <c r="AW204" s="110">
        <f>IF(FY204="","",IF(ISNUMBER('Dvd Calendar'!$K$2053)=FALSE,"",'Dvd Calendar'!$K$2053))</f>
        <v/>
      </c>
      <c r="AX204" s="110">
        <f>IF(FZ204="","",IF(ISNUMBER('Dvd Calendar'!$L$2053)=FALSE,"",'Dvd Calendar'!$L$2053))</f>
        <v/>
      </c>
      <c r="AY204" s="110">
        <f>IF(GA204="","",IF(ISNUMBER('Dvd Calendar'!$M$2053)=FALSE,"",'Dvd Calendar'!$M$2053))</f>
        <v/>
      </c>
      <c r="AZ204" s="110">
        <f>IF(GB204="","",IF(ISNUMBER('Dvd Calendar'!$N$2053)=FALSE,"",'Dvd Calendar'!$N$2053))</f>
        <v/>
      </c>
      <c r="BA204" s="110">
        <f>IF(GC204="","",IF(ISNUMBER('Dvd Calendar'!$O$2053)=FALSE,"",'Dvd Calendar'!$O$2053))</f>
        <v/>
      </c>
      <c r="BB204" s="110">
        <f>IF(GD204="","",IF(ISNUMBER('Dvd Calendar'!$P$2053)=FALSE,"",'Dvd Calendar'!$P$2053))</f>
        <v/>
      </c>
      <c r="BC204" s="110">
        <f>IF(GE204="","",IF(ISNUMBER('Dvd Calendar'!$Q$2053)=FALSE,"",'Dvd Calendar'!$Q$2053))</f>
        <v/>
      </c>
      <c r="BD204" s="110">
        <f>IF(GF204="","",IF(ISNUMBER('Dvd Calendar'!$R$2053)=FALSE,"",'Dvd Calendar'!$R$2053))</f>
        <v/>
      </c>
      <c r="BE204" s="110">
        <f>IF(GG204="","",IF(ISNUMBER('Dvd Calendar'!$S$2053)=FALSE,"",'Dvd Calendar'!$S$2053))</f>
        <v/>
      </c>
      <c r="BF204" s="110">
        <f>IF(GH204="","",IF(ISNUMBER('Dvd Calendar'!$T$2053)=FALSE,"",'Dvd Calendar'!$T$2053))</f>
        <v/>
      </c>
      <c r="BG204" s="110">
        <f>IF(GI204="","",IF(ISNUMBER('Dvd Calendar'!$U$2053)=FALSE,"",'Dvd Calendar'!$U$2053))</f>
        <v/>
      </c>
      <c r="BH204" s="110">
        <f>IF(GJ204="","",IF(ISNUMBER('Dvd Calendar'!$V$2053)=FALSE,"",'Dvd Calendar'!$V$2053))</f>
        <v/>
      </c>
      <c r="BI204" s="110">
        <f>IF(GK204="","",IF(ISNUMBER('Dvd Calendar'!$W$2053)=FALSE,"",'Dvd Calendar'!$W$2053))</f>
        <v/>
      </c>
      <c r="BJ204" s="110">
        <f>IF(GL204="","",IF(ISNUMBER('Dvd Calendar'!$X$2053)=FALSE,"",'Dvd Calendar'!$X$2053))</f>
        <v/>
      </c>
      <c r="BK204" s="110">
        <f>IF(GM204="","",IF(ISNUMBER('Dvd Calendar'!$Y$2053)=FALSE,"",'Dvd Calendar'!$Y$2053))</f>
        <v/>
      </c>
      <c r="BL204" s="110">
        <f>IF(GN204="","",IF(ISNUMBER('Dvd Calendar'!$Z$2053)=FALSE,"",'Dvd Calendar'!$Z$2053))</f>
        <v/>
      </c>
      <c r="BM204" s="110">
        <f>IF(GO204="","",IF(ISNUMBER('Dvd Calendar'!$AA$2053)=FALSE,"",'Dvd Calendar'!$AA$2053))</f>
        <v/>
      </c>
      <c r="BN204" s="110">
        <f>IF(GP204="","",IF(ISNUMBER('Dvd Calendar'!$AB$2053)=FALSE,"",'Dvd Calendar'!$AB$2053))</f>
        <v/>
      </c>
      <c r="BO204" s="110">
        <f>IF(GQ204="","",IF(ISNUMBER('Dvd Calendar'!$AC$2053)=FALSE,"",'Dvd Calendar'!$AC$2053))</f>
        <v/>
      </c>
      <c r="BQ204" s="110">
        <f>IF(C204="","",IFERROR(C204*HSCEI!$B$51*HSCEI!$G$51/HSCEI!$B$3,""))</f>
        <v/>
      </c>
      <c r="BR204" s="110">
        <f>IF(D204="","",IFERROR(D204*HSCEI!$B$51*HSCEI!$G$51/HSCEI!$B$3,""))</f>
        <v/>
      </c>
      <c r="BS204" s="110">
        <f>IF(E204="","",IFERROR(E204*HSCEI!$B$51*HSCEI!$G$51/HSCEI!$B$3,""))</f>
        <v/>
      </c>
      <c r="BT204" s="110">
        <f>IF(F204="","",IFERROR(F204*HSCEI!$B$51*HSCEI!$G$51/HSCEI!$B$3,""))</f>
        <v/>
      </c>
      <c r="BU204" s="110">
        <f>IF(G204="","",IFERROR(G204*HSCEI!$B$51*HSCEI!$G$51/HSCEI!$B$3,""))</f>
        <v/>
      </c>
      <c r="BV204" s="110">
        <f>IF(H204="","",IFERROR(H204*HSCEI!$B$51*HSCEI!$G$51/HSCEI!$B$3,""))</f>
        <v/>
      </c>
      <c r="BW204" s="110">
        <f>IF(I204="","",IFERROR(I204*HSCEI!$B$51*HSCEI!$G$51/HSCEI!$B$3,""))</f>
        <v/>
      </c>
      <c r="BX204" s="110">
        <f>IF(J204="","",IFERROR(J204*HSCEI!$B$51*HSCEI!$G$51/HSCEI!$B$3,""))</f>
        <v/>
      </c>
      <c r="BY204" s="110">
        <f>IF(K204="","",IFERROR(K204*HSCEI!$B$51*HSCEI!$G$51/HSCEI!$B$3,""))</f>
        <v/>
      </c>
      <c r="BZ204" s="110">
        <f>IF(L204="","",IFERROR(L204*HSCEI!$B$51*HSCEI!$G$51/HSCEI!$B$3,""))</f>
        <v/>
      </c>
      <c r="CA204" s="110">
        <f>IF(M204="","",IFERROR(M204*HSCEI!$B$51*HSCEI!$G$51/HSCEI!$B$3,""))</f>
        <v/>
      </c>
      <c r="CB204" s="110">
        <f>IF(N204="","",IFERROR(N204*HSCEI!$B$51*HSCEI!$G$51/HSCEI!$B$3,""))</f>
        <v/>
      </c>
      <c r="CC204" s="110">
        <f>IF(O204="","",IFERROR(O204*HSCEI!$B$51*HSCEI!$G$51/HSCEI!$B$3,""))</f>
        <v/>
      </c>
      <c r="CD204" s="110">
        <f>IF(P204="","",IFERROR(P204*HSCEI!$B$51*HSCEI!$G$51/HSCEI!$B$3,""))</f>
        <v/>
      </c>
      <c r="CE204" s="110">
        <f>IF(Q204="","",IFERROR(Q204*HSCEI!$B$51*HSCEI!$G$51/HSCEI!$B$3,""))</f>
        <v/>
      </c>
      <c r="CF204" s="110">
        <f>IF(R204="","",IFERROR(R204*HSCEI!$B$51*HSCEI!$G$51/HSCEI!$B$3,""))</f>
        <v/>
      </c>
      <c r="CG204" s="110">
        <f>IF(S204="","",IFERROR(S204*HSCEI!$B$51*HSCEI!$G$51/HSCEI!$B$3,""))</f>
        <v/>
      </c>
      <c r="CH204" s="110">
        <f>IF(T204="","",IFERROR(T204*HSCEI!$B$51*HSCEI!$G$51/HSCEI!$B$3,""))</f>
        <v/>
      </c>
      <c r="CI204" s="110">
        <f>IF(U204="","",IFERROR(U204*HSCEI!$B$51*HSCEI!$G$51/HSCEI!$B$3,""))</f>
        <v/>
      </c>
      <c r="CJ204" s="110">
        <f>IF(V204="","",IFERROR(V204*HSCEI!$B$51*HSCEI!$G$51/HSCEI!$B$3,""))</f>
        <v/>
      </c>
      <c r="CK204" s="110">
        <f>IF(W204="","",IFERROR(W204*HSCEI!$B$51*HSCEI!$G$51/HSCEI!$B$3,""))</f>
        <v/>
      </c>
      <c r="CL204" s="110">
        <f>IF(X204="","",IFERROR(X204*HSCEI!$B$51*HSCEI!$G$51/HSCEI!$B$3,""))</f>
        <v/>
      </c>
      <c r="CM204" s="110">
        <f>IF(Y204="","",IFERROR(Y204*HSCEI!$B$51*HSCEI!$G$51/HSCEI!$B$3,""))</f>
        <v/>
      </c>
      <c r="CN204" s="110">
        <f>IF(Z204="","",IFERROR(Z204*HSCEI!$B$51*HSCEI!$G$51/HSCEI!$B$3,""))</f>
        <v/>
      </c>
      <c r="CO204" s="110">
        <f>IF(AA204="","",IFERROR(AA204*HSCEI!$B$51*HSCEI!$G$51/HSCEI!$B$3,""))</f>
        <v/>
      </c>
      <c r="CP204" s="110">
        <f>IF(AB204="","",IFERROR(AB204*HSCEI!$B$51*HSCEI!$G$51/HSCEI!$B$3,""))</f>
        <v/>
      </c>
      <c r="CQ204" s="110">
        <f>IF(AC204="","",IFERROR(AC204*HSCEI!$B$51*HSCEI!$G$51/HSCEI!$B$3,""))</f>
        <v/>
      </c>
      <c r="CR204" s="110">
        <f>IF(AD204="","",IFERROR(AD204*HSCEI!$B$51*HSCEI!$G$51/HSCEI!$B$3,""))</f>
        <v/>
      </c>
      <c r="CS204" s="110">
        <f>IF(AE204="","",IFERROR(AE204*HSCEI!$B$51*HSCEI!$G$51/HSCEI!$B$3,""))</f>
        <v/>
      </c>
      <c r="CT204" s="110">
        <f>IF(AF204="","",IFERROR(AF204*HSCEI!$B$51*HSCEI!$G$51/HSCEI!$B$3,""))</f>
        <v/>
      </c>
      <c r="CU204" s="110">
        <f>IF(AG204="","",IFERROR(AG204*HSCEI!$B$51*HSCEI!$G$51/HSCEI!$B$3,""))</f>
        <v/>
      </c>
      <c r="CV204" s="110">
        <f>IF(AH204="","",IFERROR(AH204*HSCEI!$B$51*HSCEI!$G$51/HSCEI!$B$3,""))</f>
        <v/>
      </c>
      <c r="CW204" s="110">
        <f>IF(AI204="","",IFERROR(AI204*HSCEI!$B$51*HSCEI!$G$51/HSCEI!$B$3,""))</f>
        <v/>
      </c>
      <c r="CX204" s="110">
        <f>IF(AJ204="","",IFERROR(AJ204*HSCEI!$B$51*HSCEI!$G$51/HSCEI!$B$3,""))</f>
        <v/>
      </c>
      <c r="CY204" s="110">
        <f>IF(AK204="","",IFERROR(AK204*HSCEI!$B$51*HSCEI!$G$51/HSCEI!$B$3,""))</f>
        <v/>
      </c>
      <c r="CZ204" s="110">
        <f>IF(AL204="","",IFERROR(AL204*HSCEI!$B$51*HSCEI!$G$51/HSCEI!$B$3,""))</f>
        <v/>
      </c>
      <c r="DA204" s="110">
        <f>IF(AM204="","",IFERROR(AM204*HSCEI!$B$51*HSCEI!$G$51/HSCEI!$B$3,""))</f>
        <v/>
      </c>
      <c r="DB204" s="110">
        <f>IF(AN204="","",IFERROR(AN204*HSCEI!$B$51*HSCEI!$G$51/HSCEI!$B$3,""))</f>
        <v/>
      </c>
      <c r="DC204" s="110">
        <f>IF(AO204="","",IFERROR(AO204*HSCEI!$B$51*HSCEI!$G$51/HSCEI!$B$3,""))</f>
        <v/>
      </c>
      <c r="DD204" s="110">
        <f>IF(AP204="","",IFERROR(AP204*HSCEI!$B$51*HSCEI!$G$51/HSCEI!$B$3,""))</f>
        <v/>
      </c>
      <c r="DE204" s="110">
        <f>IF(AQ204="","",IFERROR(AQ204*HSCEI!$B$51*HSCEI!$G$51/HSCEI!$B$3,""))</f>
        <v/>
      </c>
      <c r="DF204" s="110">
        <f>IF(AR204="","",IFERROR(AR204*HSCEI!$B$51*HSCEI!$G$51/HSCEI!$B$3,""))</f>
        <v/>
      </c>
      <c r="DG204" s="110">
        <f>IF(AS204="","",IFERROR(AS204*HSCEI!$B$51*HSCEI!$G$51/HSCEI!$B$3,""))</f>
        <v/>
      </c>
      <c r="DH204" s="110">
        <f>IF(AT204="","",IFERROR(AT204*HSCEI!$B$51*HSCEI!$G$51/HSCEI!$B$3,""))</f>
        <v/>
      </c>
      <c r="DI204" s="110">
        <f>IF(AU204="","",IFERROR(AU204*HSCEI!$B$51*HSCEI!$G$51/HSCEI!$B$3,""))</f>
        <v/>
      </c>
      <c r="DJ204" s="110">
        <f>IF(AV204="","",IFERROR(AV204*HSCEI!$B$51*HSCEI!$G$51/HSCEI!$B$3,""))</f>
        <v/>
      </c>
      <c r="DK204" s="110">
        <f>IF(AW204="","",IFERROR(AW204*HSCEI!$B$51*HSCEI!$G$51/HSCEI!$B$3,""))</f>
        <v/>
      </c>
      <c r="DL204" s="110">
        <f>IF(AX204="","",IFERROR(AX204*HSCEI!$B$51*HSCEI!$G$51/HSCEI!$B$3,""))</f>
        <v/>
      </c>
      <c r="DM204" s="110">
        <f>IF(AY204="","",IFERROR(AY204*HSCEI!$B$51*HSCEI!$G$51/HSCEI!$B$3,""))</f>
        <v/>
      </c>
      <c r="DN204" s="110">
        <f>IF(AZ204="","",IFERROR(AZ204*HSCEI!$B$51*HSCEI!$G$51/HSCEI!$B$3,""))</f>
        <v/>
      </c>
      <c r="DO204" s="110">
        <f>IF(BA204="","",IFERROR(BA204*HSCEI!$B$51*HSCEI!$G$51/HSCEI!$B$3,""))</f>
        <v/>
      </c>
      <c r="DP204" s="110">
        <f>IF(BB204="","",IFERROR(BB204*HSCEI!$B$51*HSCEI!$G$51/HSCEI!$B$3,""))</f>
        <v/>
      </c>
      <c r="DQ204" s="110">
        <f>IF(BC204="","",IFERROR(BC204*HSCEI!$B$51*HSCEI!$G$51/HSCEI!$B$3,""))</f>
        <v/>
      </c>
      <c r="DR204" s="110">
        <f>IF(BD204="","",IFERROR(BD204*HSCEI!$B$51*HSCEI!$G$51/HSCEI!$B$3,""))</f>
        <v/>
      </c>
      <c r="DS204" s="110">
        <f>IF(BE204="","",IFERROR(BE204*HSCEI!$B$51*HSCEI!$G$51/HSCEI!$B$3,""))</f>
        <v/>
      </c>
      <c r="DT204" s="110">
        <f>IF(BF204="","",IFERROR(BF204*HSCEI!$B$51*HSCEI!$G$51/HSCEI!$B$3,""))</f>
        <v/>
      </c>
      <c r="DU204" s="110">
        <f>IF(BG204="","",IFERROR(BG204*HSCEI!$B$51*HSCEI!$G$51/HSCEI!$B$3,""))</f>
        <v/>
      </c>
      <c r="DV204" s="110">
        <f>IF(BH204="","",IFERROR(BH204*HSCEI!$B$51*HSCEI!$G$51/HSCEI!$B$3,""))</f>
        <v/>
      </c>
      <c r="DW204" s="110">
        <f>IF(BI204="","",IFERROR(BI204*HSCEI!$B$51*HSCEI!$G$51/HSCEI!$B$3,""))</f>
        <v/>
      </c>
      <c r="DX204" s="110">
        <f>IF(BJ204="","",IFERROR(BJ204*HSCEI!$B$51*HSCEI!$G$51/HSCEI!$B$3,""))</f>
        <v/>
      </c>
      <c r="DY204" s="110">
        <f>IF(BK204="","",IFERROR(BK204*HSCEI!$B$51*HSCEI!$G$51/HSCEI!$B$3,""))</f>
        <v/>
      </c>
      <c r="DZ204" s="110">
        <f>IF(BL204="","",IFERROR(BL204*HSCEI!$B$51*HSCEI!$G$51/HSCEI!$B$3,""))</f>
        <v/>
      </c>
      <c r="EA204" s="110">
        <f>IF(BM204="","",IFERROR(BM204*HSCEI!$B$51*HSCEI!$G$51/HSCEI!$B$3,""))</f>
        <v/>
      </c>
      <c r="EB204" s="110">
        <f>IF(BN204="","",IFERROR(BN204*HSCEI!$B$51*HSCEI!$G$51/HSCEI!$B$3,""))</f>
        <v/>
      </c>
      <c r="EC204" s="110">
        <f>IF(BO204="","",IFERROR(BO204*HSCEI!$B$51*HSCEI!$G$51/HSCEI!$B$3,""))</f>
        <v/>
      </c>
      <c r="EE204" s="39">
        <f>IF(N('Dvd Calendar'!$E$2045)=0,"",IF(('Dvd Calendar'!$E$2045&gt;=GRID_FROM)*('Dvd Calendar'!$E$2045&lt;=GRID_TO)*((('Dvd Calendar'!$E$2045&lt;=VAL_DATE)+(COUNTIF('Dvd Calendar'!$E$2052:$AR$2052,'Dvd Calendar'!$E$2045)=0))&gt;0)=0,"",'Dvd Calendar'!$E$2045*1000000000+ISNUMBER('Dvd Calendar'!$E$2048)*100000000+('Dvd Calendar'!$E$2050=SPECIAL_LBL)*10000000+(N('Dvd Calendar'!$E$2044)&gt;0)*(N('Dvd Calendar'!$E$2044)&lt;=VAL_SERIAL)*1000000+45*1000+1))</f>
        <v/>
      </c>
      <c r="EF204" s="39">
        <f>IF(N('Dvd Calendar'!$F$2045)=0,"",IF(('Dvd Calendar'!$F$2045&gt;=GRID_FROM)*('Dvd Calendar'!$F$2045&lt;=GRID_TO)*((('Dvd Calendar'!$F$2045&lt;=VAL_DATE)+(COUNTIF('Dvd Calendar'!$E$2052:$AR$2052,'Dvd Calendar'!$F$2045)=0))&gt;0)=0,"",'Dvd Calendar'!$F$2045*1000000000+ISNUMBER('Dvd Calendar'!$F$2048)*100000000+('Dvd Calendar'!$F$2050=SPECIAL_LBL)*10000000+(N('Dvd Calendar'!$F$2044)&gt;0)*(N('Dvd Calendar'!$F$2044)&lt;=VAL_SERIAL)*1000000+45*1000+2))</f>
        <v/>
      </c>
      <c r="EG204" s="39">
        <f>IF(N('Dvd Calendar'!$G$2045)=0,"",IF(('Dvd Calendar'!$G$2045&gt;=GRID_FROM)*('Dvd Calendar'!$G$2045&lt;=GRID_TO)*((('Dvd Calendar'!$G$2045&lt;=VAL_DATE)+(COUNTIF('Dvd Calendar'!$E$2052:$AR$2052,'Dvd Calendar'!$G$2045)=0))&gt;0)=0,"",'Dvd Calendar'!$G$2045*1000000000+ISNUMBER('Dvd Calendar'!$G$2048)*100000000+('Dvd Calendar'!$G$2050=SPECIAL_LBL)*10000000+(N('Dvd Calendar'!$G$2044)&gt;0)*(N('Dvd Calendar'!$G$2044)&lt;=VAL_SERIAL)*1000000+45*1000+3))</f>
        <v/>
      </c>
      <c r="EH204" s="39">
        <f>IF(N('Dvd Calendar'!$H$2045)=0,"",IF(('Dvd Calendar'!$H$2045&gt;=GRID_FROM)*('Dvd Calendar'!$H$2045&lt;=GRID_TO)*((('Dvd Calendar'!$H$2045&lt;=VAL_DATE)+(COUNTIF('Dvd Calendar'!$E$2052:$AR$2052,'Dvd Calendar'!$H$2045)=0))&gt;0)=0,"",'Dvd Calendar'!$H$2045*1000000000+ISNUMBER('Dvd Calendar'!$H$2048)*100000000+('Dvd Calendar'!$H$2050=SPECIAL_LBL)*10000000+(N('Dvd Calendar'!$H$2044)&gt;0)*(N('Dvd Calendar'!$H$2044)&lt;=VAL_SERIAL)*1000000+45*1000+4))</f>
        <v/>
      </c>
      <c r="EI204" s="39">
        <f>IF(N('Dvd Calendar'!$I$2045)=0,"",IF(('Dvd Calendar'!$I$2045&gt;=GRID_FROM)*('Dvd Calendar'!$I$2045&lt;=GRID_TO)*((('Dvd Calendar'!$I$2045&lt;=VAL_DATE)+(COUNTIF('Dvd Calendar'!$E$2052:$AR$2052,'Dvd Calendar'!$I$2045)=0))&gt;0)=0,"",'Dvd Calendar'!$I$2045*1000000000+ISNUMBER('Dvd Calendar'!$I$2048)*100000000+('Dvd Calendar'!$I$2050=SPECIAL_LBL)*10000000+(N('Dvd Calendar'!$I$2044)&gt;0)*(N('Dvd Calendar'!$I$2044)&lt;=VAL_SERIAL)*1000000+45*1000+5))</f>
        <v/>
      </c>
      <c r="EJ204" s="39">
        <f>IF(N('Dvd Calendar'!$J$2045)=0,"",IF(('Dvd Calendar'!$J$2045&gt;=GRID_FROM)*('Dvd Calendar'!$J$2045&lt;=GRID_TO)*((('Dvd Calendar'!$J$2045&lt;=VAL_DATE)+(COUNTIF('Dvd Calendar'!$E$2052:$AR$2052,'Dvd Calendar'!$J$2045)=0))&gt;0)=0,"",'Dvd Calendar'!$J$2045*1000000000+ISNUMBER('Dvd Calendar'!$J$2048)*100000000+('Dvd Calendar'!$J$2050=SPECIAL_LBL)*10000000+(N('Dvd Calendar'!$J$2044)&gt;0)*(N('Dvd Calendar'!$J$2044)&lt;=VAL_SERIAL)*1000000+45*1000+6))</f>
        <v/>
      </c>
      <c r="EK204" s="39">
        <f>IF(N('Dvd Calendar'!$K$2045)=0,"",IF(('Dvd Calendar'!$K$2045&gt;=GRID_FROM)*('Dvd Calendar'!$K$2045&lt;=GRID_TO)*((('Dvd Calendar'!$K$2045&lt;=VAL_DATE)+(COUNTIF('Dvd Calendar'!$E$2052:$AR$2052,'Dvd Calendar'!$K$2045)=0))&gt;0)=0,"",'Dvd Calendar'!$K$2045*1000000000+ISNUMBER('Dvd Calendar'!$K$2048)*100000000+('Dvd Calendar'!$K$2050=SPECIAL_LBL)*10000000+(N('Dvd Calendar'!$K$2044)&gt;0)*(N('Dvd Calendar'!$K$2044)&lt;=VAL_SERIAL)*1000000+45*1000+7))</f>
        <v/>
      </c>
      <c r="EL204" s="39">
        <f>IF(N('Dvd Calendar'!$L$2045)=0,"",IF(('Dvd Calendar'!$L$2045&gt;=GRID_FROM)*('Dvd Calendar'!$L$2045&lt;=GRID_TO)*((('Dvd Calendar'!$L$2045&lt;=VAL_DATE)+(COUNTIF('Dvd Calendar'!$E$2052:$AR$2052,'Dvd Calendar'!$L$2045)=0))&gt;0)=0,"",'Dvd Calendar'!$L$2045*1000000000+ISNUMBER('Dvd Calendar'!$L$2048)*100000000+('Dvd Calendar'!$L$2050=SPECIAL_LBL)*10000000+(N('Dvd Calendar'!$L$2044)&gt;0)*(N('Dvd Calendar'!$L$2044)&lt;=VAL_SERIAL)*1000000+45*1000+8))</f>
        <v/>
      </c>
      <c r="EM204" s="39">
        <f>IF(N('Dvd Calendar'!$M$2045)=0,"",IF(('Dvd Calendar'!$M$2045&gt;=GRID_FROM)*('Dvd Calendar'!$M$2045&lt;=GRID_TO)*((('Dvd Calendar'!$M$2045&lt;=VAL_DATE)+(COUNTIF('Dvd Calendar'!$E$2052:$AR$2052,'Dvd Calendar'!$M$2045)=0))&gt;0)=0,"",'Dvd Calendar'!$M$2045*1000000000+ISNUMBER('Dvd Calendar'!$M$2048)*100000000+('Dvd Calendar'!$M$2050=SPECIAL_LBL)*10000000+(N('Dvd Calendar'!$M$2044)&gt;0)*(N('Dvd Calendar'!$M$2044)&lt;=VAL_SERIAL)*1000000+45*1000+9))</f>
        <v/>
      </c>
      <c r="EN204" s="39">
        <f>IF(N('Dvd Calendar'!$N$2045)=0,"",IF(('Dvd Calendar'!$N$2045&gt;=GRID_FROM)*('Dvd Calendar'!$N$2045&lt;=GRID_TO)*((('Dvd Calendar'!$N$2045&lt;=VAL_DATE)+(COUNTIF('Dvd Calendar'!$E$2052:$AR$2052,'Dvd Calendar'!$N$2045)=0))&gt;0)=0,"",'Dvd Calendar'!$N$2045*1000000000+ISNUMBER('Dvd Calendar'!$N$2048)*100000000+('Dvd Calendar'!$N$2050=SPECIAL_LBL)*10000000+(N('Dvd Calendar'!$N$2044)&gt;0)*(N('Dvd Calendar'!$N$2044)&lt;=VAL_SERIAL)*1000000+45*1000+10))</f>
        <v/>
      </c>
      <c r="EO204" s="39">
        <f>IF(N('Dvd Calendar'!$O$2045)=0,"",IF(('Dvd Calendar'!$O$2045&gt;=GRID_FROM)*('Dvd Calendar'!$O$2045&lt;=GRID_TO)*((('Dvd Calendar'!$O$2045&lt;=VAL_DATE)+(COUNTIF('Dvd Calendar'!$E$2052:$AR$2052,'Dvd Calendar'!$O$2045)=0))&gt;0)=0,"",'Dvd Calendar'!$O$2045*1000000000+ISNUMBER('Dvd Calendar'!$O$2048)*100000000+('Dvd Calendar'!$O$2050=SPECIAL_LBL)*10000000+(N('Dvd Calendar'!$O$2044)&gt;0)*(N('Dvd Calendar'!$O$2044)&lt;=VAL_SERIAL)*1000000+45*1000+11))</f>
        <v/>
      </c>
      <c r="EP204" s="39">
        <f>IF(N('Dvd Calendar'!$P$2045)=0,"",IF(('Dvd Calendar'!$P$2045&gt;=GRID_FROM)*('Dvd Calendar'!$P$2045&lt;=GRID_TO)*((('Dvd Calendar'!$P$2045&lt;=VAL_DATE)+(COUNTIF('Dvd Calendar'!$E$2052:$AR$2052,'Dvd Calendar'!$P$2045)=0))&gt;0)=0,"",'Dvd Calendar'!$P$2045*1000000000+ISNUMBER('Dvd Calendar'!$P$2048)*100000000+('Dvd Calendar'!$P$2050=SPECIAL_LBL)*10000000+(N('Dvd Calendar'!$P$2044)&gt;0)*(N('Dvd Calendar'!$P$2044)&lt;=VAL_SERIAL)*1000000+45*1000+12))</f>
        <v/>
      </c>
      <c r="EQ204" s="39">
        <f>IF(N('Dvd Calendar'!$Q$2045)=0,"",IF(('Dvd Calendar'!$Q$2045&gt;=GRID_FROM)*('Dvd Calendar'!$Q$2045&lt;=GRID_TO)*((('Dvd Calendar'!$Q$2045&lt;=VAL_DATE)+(COUNTIF('Dvd Calendar'!$E$2052:$AR$2052,'Dvd Calendar'!$Q$2045)=0))&gt;0)=0,"",'Dvd Calendar'!$Q$2045*1000000000+ISNUMBER('Dvd Calendar'!$Q$2048)*100000000+('Dvd Calendar'!$Q$2050=SPECIAL_LBL)*10000000+(N('Dvd Calendar'!$Q$2044)&gt;0)*(N('Dvd Calendar'!$Q$2044)&lt;=VAL_SERIAL)*1000000+45*1000+13))</f>
        <v/>
      </c>
      <c r="ER204" s="39">
        <f>IF(N('Dvd Calendar'!$R$2045)=0,"",IF(('Dvd Calendar'!$R$2045&gt;=GRID_FROM)*('Dvd Calendar'!$R$2045&lt;=GRID_TO)*((('Dvd Calendar'!$R$2045&lt;=VAL_DATE)+(COUNTIF('Dvd Calendar'!$E$2052:$AR$2052,'Dvd Calendar'!$R$2045)=0))&gt;0)=0,"",'Dvd Calendar'!$R$2045*1000000000+ISNUMBER('Dvd Calendar'!$R$2048)*100000000+('Dvd Calendar'!$R$2050=SPECIAL_LBL)*10000000+(N('Dvd Calendar'!$R$2044)&gt;0)*(N('Dvd Calendar'!$R$2044)&lt;=VAL_SERIAL)*1000000+45*1000+14))</f>
        <v/>
      </c>
      <c r="ES204" s="39">
        <f>IF(N('Dvd Calendar'!$S$2045)=0,"",IF(('Dvd Calendar'!$S$2045&gt;=GRID_FROM)*('Dvd Calendar'!$S$2045&lt;=GRID_TO)*((('Dvd Calendar'!$S$2045&lt;=VAL_DATE)+(COUNTIF('Dvd Calendar'!$E$2052:$AR$2052,'Dvd Calendar'!$S$2045)=0))&gt;0)=0,"",'Dvd Calendar'!$S$2045*1000000000+ISNUMBER('Dvd Calendar'!$S$2048)*100000000+('Dvd Calendar'!$S$2050=SPECIAL_LBL)*10000000+(N('Dvd Calendar'!$S$2044)&gt;0)*(N('Dvd Calendar'!$S$2044)&lt;=VAL_SERIAL)*1000000+45*1000+15))</f>
        <v/>
      </c>
      <c r="ET204" s="39">
        <f>IF(N('Dvd Calendar'!$T$2045)=0,"",IF(('Dvd Calendar'!$T$2045&gt;=GRID_FROM)*('Dvd Calendar'!$T$2045&lt;=GRID_TO)*((('Dvd Calendar'!$T$2045&lt;=VAL_DATE)+(COUNTIF('Dvd Calendar'!$E$2052:$AR$2052,'Dvd Calendar'!$T$2045)=0))&gt;0)=0,"",'Dvd Calendar'!$T$2045*1000000000+ISNUMBER('Dvd Calendar'!$T$2048)*100000000+('Dvd Calendar'!$T$2050=SPECIAL_LBL)*10000000+(N('Dvd Calendar'!$T$2044)&gt;0)*(N('Dvd Calendar'!$T$2044)&lt;=VAL_SERIAL)*1000000+45*1000+16))</f>
        <v/>
      </c>
      <c r="EU204" s="39">
        <f>IF(N('Dvd Calendar'!$U$2045)=0,"",IF(('Dvd Calendar'!$U$2045&gt;=GRID_FROM)*('Dvd Calendar'!$U$2045&lt;=GRID_TO)*((('Dvd Calendar'!$U$2045&lt;=VAL_DATE)+(COUNTIF('Dvd Calendar'!$E$2052:$AR$2052,'Dvd Calendar'!$U$2045)=0))&gt;0)=0,"",'Dvd Calendar'!$U$2045*1000000000+ISNUMBER('Dvd Calendar'!$U$2048)*100000000+('Dvd Calendar'!$U$2050=SPECIAL_LBL)*10000000+(N('Dvd Calendar'!$U$2044)&gt;0)*(N('Dvd Calendar'!$U$2044)&lt;=VAL_SERIAL)*1000000+45*1000+17))</f>
        <v/>
      </c>
      <c r="EV204" s="39">
        <f>IF(N('Dvd Calendar'!$V$2045)=0,"",IF(('Dvd Calendar'!$V$2045&gt;=GRID_FROM)*('Dvd Calendar'!$V$2045&lt;=GRID_TO)*((('Dvd Calendar'!$V$2045&lt;=VAL_DATE)+(COUNTIF('Dvd Calendar'!$E$2052:$AR$2052,'Dvd Calendar'!$V$2045)=0))&gt;0)=0,"",'Dvd Calendar'!$V$2045*1000000000+ISNUMBER('Dvd Calendar'!$V$2048)*100000000+('Dvd Calendar'!$V$2050=SPECIAL_LBL)*10000000+(N('Dvd Calendar'!$V$2044)&gt;0)*(N('Dvd Calendar'!$V$2044)&lt;=VAL_SERIAL)*1000000+45*1000+18))</f>
        <v/>
      </c>
      <c r="EW204" s="39">
        <f>IF(N('Dvd Calendar'!$W$2045)=0,"",IF(('Dvd Calendar'!$W$2045&gt;=GRID_FROM)*('Dvd Calendar'!$W$2045&lt;=GRID_TO)*((('Dvd Calendar'!$W$2045&lt;=VAL_DATE)+(COUNTIF('Dvd Calendar'!$E$2052:$AR$2052,'Dvd Calendar'!$W$2045)=0))&gt;0)=0,"",'Dvd Calendar'!$W$2045*1000000000+ISNUMBER('Dvd Calendar'!$W$2048)*100000000+('Dvd Calendar'!$W$2050=SPECIAL_LBL)*10000000+(N('Dvd Calendar'!$W$2044)&gt;0)*(N('Dvd Calendar'!$W$2044)&lt;=VAL_SERIAL)*1000000+45*1000+19))</f>
        <v/>
      </c>
      <c r="EX204" s="39">
        <f>IF(N('Dvd Calendar'!$X$2045)=0,"",IF(('Dvd Calendar'!$X$2045&gt;=GRID_FROM)*('Dvd Calendar'!$X$2045&lt;=GRID_TO)*((('Dvd Calendar'!$X$2045&lt;=VAL_DATE)+(COUNTIF('Dvd Calendar'!$E$2052:$AR$2052,'Dvd Calendar'!$X$2045)=0))&gt;0)=0,"",'Dvd Calendar'!$X$2045*1000000000+ISNUMBER('Dvd Calendar'!$X$2048)*100000000+('Dvd Calendar'!$X$2050=SPECIAL_LBL)*10000000+(N('Dvd Calendar'!$X$2044)&gt;0)*(N('Dvd Calendar'!$X$2044)&lt;=VAL_SERIAL)*1000000+45*1000+20))</f>
        <v/>
      </c>
      <c r="EY204" s="39">
        <f>IF(N('Dvd Calendar'!$Y$2045)=0,"",IF(('Dvd Calendar'!$Y$2045&gt;=GRID_FROM)*('Dvd Calendar'!$Y$2045&lt;=GRID_TO)*((('Dvd Calendar'!$Y$2045&lt;=VAL_DATE)+(COUNTIF('Dvd Calendar'!$E$2052:$AR$2052,'Dvd Calendar'!$Y$2045)=0))&gt;0)=0,"",'Dvd Calendar'!$Y$2045*1000000000+ISNUMBER('Dvd Calendar'!$Y$2048)*100000000+('Dvd Calendar'!$Y$2050=SPECIAL_LBL)*10000000+(N('Dvd Calendar'!$Y$2044)&gt;0)*(N('Dvd Calendar'!$Y$2044)&lt;=VAL_SERIAL)*1000000+45*1000+21))</f>
        <v/>
      </c>
      <c r="EZ204" s="39">
        <f>IF(N('Dvd Calendar'!$Z$2045)=0,"",IF(('Dvd Calendar'!$Z$2045&gt;=GRID_FROM)*('Dvd Calendar'!$Z$2045&lt;=GRID_TO)*((('Dvd Calendar'!$Z$2045&lt;=VAL_DATE)+(COUNTIF('Dvd Calendar'!$E$2052:$AR$2052,'Dvd Calendar'!$Z$2045)=0))&gt;0)=0,"",'Dvd Calendar'!$Z$2045*1000000000+ISNUMBER('Dvd Calendar'!$Z$2048)*100000000+('Dvd Calendar'!$Z$2050=SPECIAL_LBL)*10000000+(N('Dvd Calendar'!$Z$2044)&gt;0)*(N('Dvd Calendar'!$Z$2044)&lt;=VAL_SERIAL)*1000000+45*1000+22))</f>
        <v/>
      </c>
      <c r="FA204" s="39">
        <f>IF(N('Dvd Calendar'!$AA$2045)=0,"",IF(('Dvd Calendar'!$AA$2045&gt;=GRID_FROM)*('Dvd Calendar'!$AA$2045&lt;=GRID_TO)*((('Dvd Calendar'!$AA$2045&lt;=VAL_DATE)+(COUNTIF('Dvd Calendar'!$E$2052:$AR$2052,'Dvd Calendar'!$AA$2045)=0))&gt;0)=0,"",'Dvd Calendar'!$AA$2045*1000000000+ISNUMBER('Dvd Calendar'!$AA$2048)*100000000+('Dvd Calendar'!$AA$2050=SPECIAL_LBL)*10000000+(N('Dvd Calendar'!$AA$2044)&gt;0)*(N('Dvd Calendar'!$AA$2044)&lt;=VAL_SERIAL)*1000000+45*1000+23))</f>
        <v/>
      </c>
      <c r="FB204" s="39">
        <f>IF(N('Dvd Calendar'!$AB$2045)=0,"",IF(('Dvd Calendar'!$AB$2045&gt;=GRID_FROM)*('Dvd Calendar'!$AB$2045&lt;=GRID_TO)*((('Dvd Calendar'!$AB$2045&lt;=VAL_DATE)+(COUNTIF('Dvd Calendar'!$E$2052:$AR$2052,'Dvd Calendar'!$AB$2045)=0))&gt;0)=0,"",'Dvd Calendar'!$AB$2045*1000000000+ISNUMBER('Dvd Calendar'!$AB$2048)*100000000+('Dvd Calendar'!$AB$2050=SPECIAL_LBL)*10000000+(N('Dvd Calendar'!$AB$2044)&gt;0)*(N('Dvd Calendar'!$AB$2044)&lt;=VAL_SERIAL)*1000000+45*1000+24))</f>
        <v/>
      </c>
      <c r="FC204" s="39">
        <f>IF(N('Dvd Calendar'!$AC$2045)=0,"",IF(('Dvd Calendar'!$AC$2045&gt;=GRID_FROM)*('Dvd Calendar'!$AC$2045&lt;=GRID_TO)*((('Dvd Calendar'!$AC$2045&lt;=VAL_DATE)+(COUNTIF('Dvd Calendar'!$E$2052:$AR$2052,'Dvd Calendar'!$AC$2045)=0))&gt;0)=0,"",'Dvd Calendar'!$AC$2045*1000000000+ISNUMBER('Dvd Calendar'!$AC$2048)*100000000+('Dvd Calendar'!$AC$2050=SPECIAL_LBL)*10000000+(N('Dvd Calendar'!$AC$2044)&gt;0)*(N('Dvd Calendar'!$AC$2044)&lt;=VAL_SERIAL)*1000000+45*1000+25))</f>
        <v/>
      </c>
      <c r="FD204" s="39">
        <f>IF(N('Dvd Calendar'!$AD$2045)=0,"",IF(('Dvd Calendar'!$AD$2045&gt;=GRID_FROM)*('Dvd Calendar'!$AD$2045&lt;=GRID_TO)*((('Dvd Calendar'!$AD$2045&lt;=VAL_DATE)+(COUNTIF('Dvd Calendar'!$E$2052:$AR$2052,'Dvd Calendar'!$AD$2045)=0))&gt;0)=0,"",'Dvd Calendar'!$AD$2045*1000000000+ISNUMBER('Dvd Calendar'!$AD$2048)*100000000+('Dvd Calendar'!$AD$2050=SPECIAL_LBL)*10000000+(N('Dvd Calendar'!$AD$2044)&gt;0)*(N('Dvd Calendar'!$AD$2044)&lt;=VAL_SERIAL)*1000000+45*1000+26))</f>
        <v/>
      </c>
      <c r="FE204" s="39">
        <f>IF(N('Dvd Calendar'!$AE$2045)=0,"",IF(('Dvd Calendar'!$AE$2045&gt;=GRID_FROM)*('Dvd Calendar'!$AE$2045&lt;=GRID_TO)*((('Dvd Calendar'!$AE$2045&lt;=VAL_DATE)+(COUNTIF('Dvd Calendar'!$E$2052:$AR$2052,'Dvd Calendar'!$AE$2045)=0))&gt;0)=0,"",'Dvd Calendar'!$AE$2045*1000000000+ISNUMBER('Dvd Calendar'!$AE$2048)*100000000+('Dvd Calendar'!$AE$2050=SPECIAL_LBL)*10000000+(N('Dvd Calendar'!$AE$2044)&gt;0)*(N('Dvd Calendar'!$AE$2044)&lt;=VAL_SERIAL)*1000000+45*1000+27))</f>
        <v/>
      </c>
      <c r="FF204" s="39">
        <f>IF(N('Dvd Calendar'!$AF$2045)=0,"",IF(('Dvd Calendar'!$AF$2045&gt;=GRID_FROM)*('Dvd Calendar'!$AF$2045&lt;=GRID_TO)*((('Dvd Calendar'!$AF$2045&lt;=VAL_DATE)+(COUNTIF('Dvd Calendar'!$E$2052:$AR$2052,'Dvd Calendar'!$AF$2045)=0))&gt;0)=0,"",'Dvd Calendar'!$AF$2045*1000000000+ISNUMBER('Dvd Calendar'!$AF$2048)*100000000+('Dvd Calendar'!$AF$2050=SPECIAL_LBL)*10000000+(N('Dvd Calendar'!$AF$2044)&gt;0)*(N('Dvd Calendar'!$AF$2044)&lt;=VAL_SERIAL)*1000000+45*1000+28))</f>
        <v/>
      </c>
      <c r="FG204" s="39">
        <f>IF(N('Dvd Calendar'!$AG$2045)=0,"",IF(('Dvd Calendar'!$AG$2045&gt;=GRID_FROM)*('Dvd Calendar'!$AG$2045&lt;=GRID_TO)*((('Dvd Calendar'!$AG$2045&lt;=VAL_DATE)+(COUNTIF('Dvd Calendar'!$E$2052:$AR$2052,'Dvd Calendar'!$AG$2045)=0))&gt;0)=0,"",'Dvd Calendar'!$AG$2045*1000000000+ISNUMBER('Dvd Calendar'!$AG$2048)*100000000+('Dvd Calendar'!$AG$2050=SPECIAL_LBL)*10000000+(N('Dvd Calendar'!$AG$2044)&gt;0)*(N('Dvd Calendar'!$AG$2044)&lt;=VAL_SERIAL)*1000000+45*1000+29))</f>
        <v/>
      </c>
      <c r="FH204" s="39">
        <f>IF(N('Dvd Calendar'!$AH$2045)=0,"",IF(('Dvd Calendar'!$AH$2045&gt;=GRID_FROM)*('Dvd Calendar'!$AH$2045&lt;=GRID_TO)*((('Dvd Calendar'!$AH$2045&lt;=VAL_DATE)+(COUNTIF('Dvd Calendar'!$E$2052:$AR$2052,'Dvd Calendar'!$AH$2045)=0))&gt;0)=0,"",'Dvd Calendar'!$AH$2045*1000000000+ISNUMBER('Dvd Calendar'!$AH$2048)*100000000+('Dvd Calendar'!$AH$2050=SPECIAL_LBL)*10000000+(N('Dvd Calendar'!$AH$2044)&gt;0)*(N('Dvd Calendar'!$AH$2044)&lt;=VAL_SERIAL)*1000000+45*1000+30))</f>
        <v/>
      </c>
      <c r="FI204" s="39">
        <f>IF(N('Dvd Calendar'!$AI$2045)=0,"",IF(('Dvd Calendar'!$AI$2045&gt;=GRID_FROM)*('Dvd Calendar'!$AI$2045&lt;=GRID_TO)*((('Dvd Calendar'!$AI$2045&lt;=VAL_DATE)+(COUNTIF('Dvd Calendar'!$E$2052:$AR$2052,'Dvd Calendar'!$AI$2045)=0))&gt;0)=0,"",'Dvd Calendar'!$AI$2045*1000000000+ISNUMBER('Dvd Calendar'!$AI$2048)*100000000+('Dvd Calendar'!$AI$2050=SPECIAL_LBL)*10000000+(N('Dvd Calendar'!$AI$2044)&gt;0)*(N('Dvd Calendar'!$AI$2044)&lt;=VAL_SERIAL)*1000000+45*1000+31))</f>
        <v/>
      </c>
      <c r="FJ204" s="39">
        <f>IF(N('Dvd Calendar'!$AJ$2045)=0,"",IF(('Dvd Calendar'!$AJ$2045&gt;=GRID_FROM)*('Dvd Calendar'!$AJ$2045&lt;=GRID_TO)*((('Dvd Calendar'!$AJ$2045&lt;=VAL_DATE)+(COUNTIF('Dvd Calendar'!$E$2052:$AR$2052,'Dvd Calendar'!$AJ$2045)=0))&gt;0)=0,"",'Dvd Calendar'!$AJ$2045*1000000000+ISNUMBER('Dvd Calendar'!$AJ$2048)*100000000+('Dvd Calendar'!$AJ$2050=SPECIAL_LBL)*10000000+(N('Dvd Calendar'!$AJ$2044)&gt;0)*(N('Dvd Calendar'!$AJ$2044)&lt;=VAL_SERIAL)*1000000+45*1000+32))</f>
        <v/>
      </c>
      <c r="FK204" s="39">
        <f>IF(N('Dvd Calendar'!$AK$2045)=0,"",IF(('Dvd Calendar'!$AK$2045&gt;=GRID_FROM)*('Dvd Calendar'!$AK$2045&lt;=GRID_TO)*((('Dvd Calendar'!$AK$2045&lt;=VAL_DATE)+(COUNTIF('Dvd Calendar'!$E$2052:$AR$2052,'Dvd Calendar'!$AK$2045)=0))&gt;0)=0,"",'Dvd Calendar'!$AK$2045*1000000000+ISNUMBER('Dvd Calendar'!$AK$2048)*100000000+('Dvd Calendar'!$AK$2050=SPECIAL_LBL)*10000000+(N('Dvd Calendar'!$AK$2044)&gt;0)*(N('Dvd Calendar'!$AK$2044)&lt;=VAL_SERIAL)*1000000+45*1000+33))</f>
        <v/>
      </c>
      <c r="FL204" s="39">
        <f>IF(N('Dvd Calendar'!$AL$2045)=0,"",IF(('Dvd Calendar'!$AL$2045&gt;=GRID_FROM)*('Dvd Calendar'!$AL$2045&lt;=GRID_TO)*((('Dvd Calendar'!$AL$2045&lt;=VAL_DATE)+(COUNTIF('Dvd Calendar'!$E$2052:$AR$2052,'Dvd Calendar'!$AL$2045)=0))&gt;0)=0,"",'Dvd Calendar'!$AL$2045*1000000000+ISNUMBER('Dvd Calendar'!$AL$2048)*100000000+('Dvd Calendar'!$AL$2050=SPECIAL_LBL)*10000000+(N('Dvd Calendar'!$AL$2044)&gt;0)*(N('Dvd Calendar'!$AL$2044)&lt;=VAL_SERIAL)*1000000+45*1000+34))</f>
        <v/>
      </c>
      <c r="FM204" s="39">
        <f>IF(N('Dvd Calendar'!$AM$2045)=0,"",IF(('Dvd Calendar'!$AM$2045&gt;=GRID_FROM)*('Dvd Calendar'!$AM$2045&lt;=GRID_TO)*((('Dvd Calendar'!$AM$2045&lt;=VAL_DATE)+(COUNTIF('Dvd Calendar'!$E$2052:$AR$2052,'Dvd Calendar'!$AM$2045)=0))&gt;0)=0,"",'Dvd Calendar'!$AM$2045*1000000000+ISNUMBER('Dvd Calendar'!$AM$2048)*100000000+('Dvd Calendar'!$AM$2050=SPECIAL_LBL)*10000000+(N('Dvd Calendar'!$AM$2044)&gt;0)*(N('Dvd Calendar'!$AM$2044)&lt;=VAL_SERIAL)*1000000+45*1000+35))</f>
        <v/>
      </c>
      <c r="FN204" s="39">
        <f>IF(N('Dvd Calendar'!$AN$2045)=0,"",IF(('Dvd Calendar'!$AN$2045&gt;=GRID_FROM)*('Dvd Calendar'!$AN$2045&lt;=GRID_TO)*((('Dvd Calendar'!$AN$2045&lt;=VAL_DATE)+(COUNTIF('Dvd Calendar'!$E$2052:$AR$2052,'Dvd Calendar'!$AN$2045)=0))&gt;0)=0,"",'Dvd Calendar'!$AN$2045*1000000000+ISNUMBER('Dvd Calendar'!$AN$2048)*100000000+('Dvd Calendar'!$AN$2050=SPECIAL_LBL)*10000000+(N('Dvd Calendar'!$AN$2044)&gt;0)*(N('Dvd Calendar'!$AN$2044)&lt;=VAL_SERIAL)*1000000+45*1000+36))</f>
        <v/>
      </c>
      <c r="FO204" s="39">
        <f>IF(N('Dvd Calendar'!$AO$2045)=0,"",IF(('Dvd Calendar'!$AO$2045&gt;=GRID_FROM)*('Dvd Calendar'!$AO$2045&lt;=GRID_TO)*((('Dvd Calendar'!$AO$2045&lt;=VAL_DATE)+(COUNTIF('Dvd Calendar'!$E$2052:$AR$2052,'Dvd Calendar'!$AO$2045)=0))&gt;0)=0,"",'Dvd Calendar'!$AO$2045*1000000000+ISNUMBER('Dvd Calendar'!$AO$2048)*100000000+('Dvd Calendar'!$AO$2050=SPECIAL_LBL)*10000000+(N('Dvd Calendar'!$AO$2044)&gt;0)*(N('Dvd Calendar'!$AO$2044)&lt;=VAL_SERIAL)*1000000+45*1000+37))</f>
        <v/>
      </c>
      <c r="FP204" s="39">
        <f>IF(N('Dvd Calendar'!$AP$2045)=0,"",IF(('Dvd Calendar'!$AP$2045&gt;=GRID_FROM)*('Dvd Calendar'!$AP$2045&lt;=GRID_TO)*((('Dvd Calendar'!$AP$2045&lt;=VAL_DATE)+(COUNTIF('Dvd Calendar'!$E$2052:$AR$2052,'Dvd Calendar'!$AP$2045)=0))&gt;0)=0,"",'Dvd Calendar'!$AP$2045*1000000000+ISNUMBER('Dvd Calendar'!$AP$2048)*100000000+('Dvd Calendar'!$AP$2050=SPECIAL_LBL)*10000000+(N('Dvd Calendar'!$AP$2044)&gt;0)*(N('Dvd Calendar'!$AP$2044)&lt;=VAL_SERIAL)*1000000+45*1000+38))</f>
        <v/>
      </c>
      <c r="FQ204" s="39">
        <f>IF(N('Dvd Calendar'!$AQ$2045)=0,"",IF(('Dvd Calendar'!$AQ$2045&gt;=GRID_FROM)*('Dvd Calendar'!$AQ$2045&lt;=GRID_TO)*((('Dvd Calendar'!$AQ$2045&lt;=VAL_DATE)+(COUNTIF('Dvd Calendar'!$E$2052:$AR$2052,'Dvd Calendar'!$AQ$2045)=0))&gt;0)=0,"",'Dvd Calendar'!$AQ$2045*1000000000+ISNUMBER('Dvd Calendar'!$AQ$2048)*100000000+('Dvd Calendar'!$AQ$2050=SPECIAL_LBL)*10000000+(N('Dvd Calendar'!$AQ$2044)&gt;0)*(N('Dvd Calendar'!$AQ$2044)&lt;=VAL_SERIAL)*1000000+45*1000+39))</f>
        <v/>
      </c>
      <c r="FR204" s="39">
        <f>IF(N('Dvd Calendar'!$AR$2045)=0,"",IF(('Dvd Calendar'!$AR$2045&gt;=GRID_FROM)*('Dvd Calendar'!$AR$2045&lt;=GRID_TO)*((('Dvd Calendar'!$AR$2045&lt;=VAL_DATE)+(COUNTIF('Dvd Calendar'!$E$2052:$AR$2052,'Dvd Calendar'!$AR$2045)=0))&gt;0)=0,"",'Dvd Calendar'!$AR$2045*1000000000+ISNUMBER('Dvd Calendar'!$AR$2048)*100000000+('Dvd Calendar'!$AR$2050=SPECIAL_LBL)*10000000+(N('Dvd Calendar'!$AR$2044)&gt;0)*(N('Dvd Calendar'!$AR$2044)&lt;=VAL_SERIAL)*1000000+45*1000+40))</f>
        <v/>
      </c>
      <c r="FS204" s="39">
        <f>IF(N('Dvd Calendar'!$E$2052)=0,"",IF(('Dvd Calendar'!$E$2052&gt;=GRID_FROM)*('Dvd Calendar'!$E$2052&lt;=GRID_TO)*('Dvd Calendar'!$E$2052&gt;VAL_DATE)=0,"",'Dvd Calendar'!$E$2052*1000000000+ISNUMBER('Dvd Calendar'!$E$2053)*100000000+0*10000000+(N('Dvd Calendar'!$E$2051)&gt;0)*(N('Dvd Calendar'!$E$2051)&lt;=VAL_SERIAL)*1000000+45*1000+41))</f>
        <v/>
      </c>
      <c r="FT204" s="39">
        <f>IF(N('Dvd Calendar'!$F$2052)=0,"",IF(('Dvd Calendar'!$F$2052&gt;=GRID_FROM)*('Dvd Calendar'!$F$2052&lt;=GRID_TO)*('Dvd Calendar'!$F$2052&gt;VAL_DATE)=0,"",'Dvd Calendar'!$F$2052*1000000000+ISNUMBER('Dvd Calendar'!$F$2053)*100000000+0*10000000+(N('Dvd Calendar'!$F$2051)&gt;0)*(N('Dvd Calendar'!$F$2051)&lt;=VAL_SERIAL)*1000000+45*1000+42))</f>
        <v/>
      </c>
      <c r="FU204" s="39">
        <f>IF(N('Dvd Calendar'!$G$2052)=0,"",IF(('Dvd Calendar'!$G$2052&gt;=GRID_FROM)*('Dvd Calendar'!$G$2052&lt;=GRID_TO)*('Dvd Calendar'!$G$2052&gt;VAL_DATE)=0,"",'Dvd Calendar'!$G$2052*1000000000+ISNUMBER('Dvd Calendar'!$G$2053)*100000000+0*10000000+(N('Dvd Calendar'!$G$2051)&gt;0)*(N('Dvd Calendar'!$G$2051)&lt;=VAL_SERIAL)*1000000+45*1000+43))</f>
        <v/>
      </c>
      <c r="FV204" s="39">
        <f>IF(N('Dvd Calendar'!$H$2052)=0,"",IF(('Dvd Calendar'!$H$2052&gt;=GRID_FROM)*('Dvd Calendar'!$H$2052&lt;=GRID_TO)*('Dvd Calendar'!$H$2052&gt;VAL_DATE)=0,"",'Dvd Calendar'!$H$2052*1000000000+ISNUMBER('Dvd Calendar'!$H$2053)*100000000+0*10000000+(N('Dvd Calendar'!$H$2051)&gt;0)*(N('Dvd Calendar'!$H$2051)&lt;=VAL_SERIAL)*1000000+45*1000+44))</f>
        <v/>
      </c>
      <c r="FW204" s="39">
        <f>IF(N('Dvd Calendar'!$I$2052)=0,"",IF(('Dvd Calendar'!$I$2052&gt;=GRID_FROM)*('Dvd Calendar'!$I$2052&lt;=GRID_TO)*('Dvd Calendar'!$I$2052&gt;VAL_DATE)=0,"",'Dvd Calendar'!$I$2052*1000000000+ISNUMBER('Dvd Calendar'!$I$2053)*100000000+0*10000000+(N('Dvd Calendar'!$I$2051)&gt;0)*(N('Dvd Calendar'!$I$2051)&lt;=VAL_SERIAL)*1000000+45*1000+45))</f>
        <v/>
      </c>
      <c r="FX204" s="39">
        <f>IF(N('Dvd Calendar'!$J$2052)=0,"",IF(('Dvd Calendar'!$J$2052&gt;=GRID_FROM)*('Dvd Calendar'!$J$2052&lt;=GRID_TO)*('Dvd Calendar'!$J$2052&gt;VAL_DATE)=0,"",'Dvd Calendar'!$J$2052*1000000000+ISNUMBER('Dvd Calendar'!$J$2053)*100000000+0*10000000+(N('Dvd Calendar'!$J$2051)&gt;0)*(N('Dvd Calendar'!$J$2051)&lt;=VAL_SERIAL)*1000000+45*1000+46))</f>
        <v/>
      </c>
      <c r="FY204" s="39">
        <f>IF(N('Dvd Calendar'!$K$2052)=0,"",IF(('Dvd Calendar'!$K$2052&gt;=GRID_FROM)*('Dvd Calendar'!$K$2052&lt;=GRID_TO)*('Dvd Calendar'!$K$2052&gt;VAL_DATE)=0,"",'Dvd Calendar'!$K$2052*1000000000+ISNUMBER('Dvd Calendar'!$K$2053)*100000000+0*10000000+(N('Dvd Calendar'!$K$2051)&gt;0)*(N('Dvd Calendar'!$K$2051)&lt;=VAL_SERIAL)*1000000+45*1000+47))</f>
        <v/>
      </c>
      <c r="FZ204" s="39">
        <f>IF(N('Dvd Calendar'!$L$2052)=0,"",IF(('Dvd Calendar'!$L$2052&gt;=GRID_FROM)*('Dvd Calendar'!$L$2052&lt;=GRID_TO)*('Dvd Calendar'!$L$2052&gt;VAL_DATE)=0,"",'Dvd Calendar'!$L$2052*1000000000+ISNUMBER('Dvd Calendar'!$L$2053)*100000000+0*10000000+(N('Dvd Calendar'!$L$2051)&gt;0)*(N('Dvd Calendar'!$L$2051)&lt;=VAL_SERIAL)*1000000+45*1000+48))</f>
        <v/>
      </c>
      <c r="GA204" s="39">
        <f>IF(N('Dvd Calendar'!$M$2052)=0,"",IF(('Dvd Calendar'!$M$2052&gt;=GRID_FROM)*('Dvd Calendar'!$M$2052&lt;=GRID_TO)*('Dvd Calendar'!$M$2052&gt;VAL_DATE)=0,"",'Dvd Calendar'!$M$2052*1000000000+ISNUMBER('Dvd Calendar'!$M$2053)*100000000+0*10000000+(N('Dvd Calendar'!$M$2051)&gt;0)*(N('Dvd Calendar'!$M$2051)&lt;=VAL_SERIAL)*1000000+45*1000+49))</f>
        <v/>
      </c>
      <c r="GB204" s="39">
        <f>IF(N('Dvd Calendar'!$N$2052)=0,"",IF(('Dvd Calendar'!$N$2052&gt;=GRID_FROM)*('Dvd Calendar'!$N$2052&lt;=GRID_TO)*('Dvd Calendar'!$N$2052&gt;VAL_DATE)=0,"",'Dvd Calendar'!$N$2052*1000000000+ISNUMBER('Dvd Calendar'!$N$2053)*100000000+0*10000000+(N('Dvd Calendar'!$N$2051)&gt;0)*(N('Dvd Calendar'!$N$2051)&lt;=VAL_SERIAL)*1000000+45*1000+50))</f>
        <v/>
      </c>
      <c r="GC204" s="39">
        <f>IF(N('Dvd Calendar'!$O$2052)=0,"",IF(('Dvd Calendar'!$O$2052&gt;=GRID_FROM)*('Dvd Calendar'!$O$2052&lt;=GRID_TO)*('Dvd Calendar'!$O$2052&gt;VAL_DATE)=0,"",'Dvd Calendar'!$O$2052*1000000000+ISNUMBER('Dvd Calendar'!$O$2053)*100000000+0*10000000+(N('Dvd Calendar'!$O$2051)&gt;0)*(N('Dvd Calendar'!$O$2051)&lt;=VAL_SERIAL)*1000000+45*1000+51))</f>
        <v/>
      </c>
      <c r="GD204" s="39">
        <f>IF(N('Dvd Calendar'!$P$2052)=0,"",IF(('Dvd Calendar'!$P$2052&gt;=GRID_FROM)*('Dvd Calendar'!$P$2052&lt;=GRID_TO)*('Dvd Calendar'!$P$2052&gt;VAL_DATE)=0,"",'Dvd Calendar'!$P$2052*1000000000+ISNUMBER('Dvd Calendar'!$P$2053)*100000000+0*10000000+(N('Dvd Calendar'!$P$2051)&gt;0)*(N('Dvd Calendar'!$P$2051)&lt;=VAL_SERIAL)*1000000+45*1000+52))</f>
        <v/>
      </c>
      <c r="GE204" s="39">
        <f>IF(N('Dvd Calendar'!$Q$2052)=0,"",IF(('Dvd Calendar'!$Q$2052&gt;=GRID_FROM)*('Dvd Calendar'!$Q$2052&lt;=GRID_TO)*('Dvd Calendar'!$Q$2052&gt;VAL_DATE)=0,"",'Dvd Calendar'!$Q$2052*1000000000+ISNUMBER('Dvd Calendar'!$Q$2053)*100000000+0*10000000+(N('Dvd Calendar'!$Q$2051)&gt;0)*(N('Dvd Calendar'!$Q$2051)&lt;=VAL_SERIAL)*1000000+45*1000+53))</f>
        <v/>
      </c>
      <c r="GF204" s="39">
        <f>IF(N('Dvd Calendar'!$R$2052)=0,"",IF(('Dvd Calendar'!$R$2052&gt;=GRID_FROM)*('Dvd Calendar'!$R$2052&lt;=GRID_TO)*('Dvd Calendar'!$R$2052&gt;VAL_DATE)=0,"",'Dvd Calendar'!$R$2052*1000000000+ISNUMBER('Dvd Calendar'!$R$2053)*100000000+0*10000000+(N('Dvd Calendar'!$R$2051)&gt;0)*(N('Dvd Calendar'!$R$2051)&lt;=VAL_SERIAL)*1000000+45*1000+54))</f>
        <v/>
      </c>
      <c r="GG204" s="39">
        <f>IF(N('Dvd Calendar'!$S$2052)=0,"",IF(('Dvd Calendar'!$S$2052&gt;=GRID_FROM)*('Dvd Calendar'!$S$2052&lt;=GRID_TO)*('Dvd Calendar'!$S$2052&gt;VAL_DATE)=0,"",'Dvd Calendar'!$S$2052*1000000000+ISNUMBER('Dvd Calendar'!$S$2053)*100000000+0*10000000+(N('Dvd Calendar'!$S$2051)&gt;0)*(N('Dvd Calendar'!$S$2051)&lt;=VAL_SERIAL)*1000000+45*1000+55))</f>
        <v/>
      </c>
      <c r="GH204" s="39">
        <f>IF(N('Dvd Calendar'!$T$2052)=0,"",IF(('Dvd Calendar'!$T$2052&gt;=GRID_FROM)*('Dvd Calendar'!$T$2052&lt;=GRID_TO)*('Dvd Calendar'!$T$2052&gt;VAL_DATE)=0,"",'Dvd Calendar'!$T$2052*1000000000+ISNUMBER('Dvd Calendar'!$T$2053)*100000000+0*10000000+(N('Dvd Calendar'!$T$2051)&gt;0)*(N('Dvd Calendar'!$T$2051)&lt;=VAL_SERIAL)*1000000+45*1000+56))</f>
        <v/>
      </c>
      <c r="GI204" s="39">
        <f>IF(N('Dvd Calendar'!$U$2052)=0,"",IF(('Dvd Calendar'!$U$2052&gt;=GRID_FROM)*('Dvd Calendar'!$U$2052&lt;=GRID_TO)*('Dvd Calendar'!$U$2052&gt;VAL_DATE)=0,"",'Dvd Calendar'!$U$2052*1000000000+ISNUMBER('Dvd Calendar'!$U$2053)*100000000+0*10000000+(N('Dvd Calendar'!$U$2051)&gt;0)*(N('Dvd Calendar'!$U$2051)&lt;=VAL_SERIAL)*1000000+45*1000+57))</f>
        <v/>
      </c>
      <c r="GJ204" s="39">
        <f>IF(N('Dvd Calendar'!$V$2052)=0,"",IF(('Dvd Calendar'!$V$2052&gt;=GRID_FROM)*('Dvd Calendar'!$V$2052&lt;=GRID_TO)*('Dvd Calendar'!$V$2052&gt;VAL_DATE)=0,"",'Dvd Calendar'!$V$2052*1000000000+ISNUMBER('Dvd Calendar'!$V$2053)*100000000+0*10000000+(N('Dvd Calendar'!$V$2051)&gt;0)*(N('Dvd Calendar'!$V$2051)&lt;=VAL_SERIAL)*1000000+45*1000+58))</f>
        <v/>
      </c>
      <c r="GK204" s="39">
        <f>IF(N('Dvd Calendar'!$W$2052)=0,"",IF(('Dvd Calendar'!$W$2052&gt;=GRID_FROM)*('Dvd Calendar'!$W$2052&lt;=GRID_TO)*('Dvd Calendar'!$W$2052&gt;VAL_DATE)=0,"",'Dvd Calendar'!$W$2052*1000000000+ISNUMBER('Dvd Calendar'!$W$2053)*100000000+0*10000000+(N('Dvd Calendar'!$W$2051)&gt;0)*(N('Dvd Calendar'!$W$2051)&lt;=VAL_SERIAL)*1000000+45*1000+59))</f>
        <v/>
      </c>
      <c r="GL204" s="39">
        <f>IF(N('Dvd Calendar'!$X$2052)=0,"",IF(('Dvd Calendar'!$X$2052&gt;=GRID_FROM)*('Dvd Calendar'!$X$2052&lt;=GRID_TO)*('Dvd Calendar'!$X$2052&gt;VAL_DATE)=0,"",'Dvd Calendar'!$X$2052*1000000000+ISNUMBER('Dvd Calendar'!$X$2053)*100000000+0*10000000+(N('Dvd Calendar'!$X$2051)&gt;0)*(N('Dvd Calendar'!$X$2051)&lt;=VAL_SERIAL)*1000000+45*1000+60))</f>
        <v/>
      </c>
      <c r="GM204" s="39">
        <f>IF(N('Dvd Calendar'!$Y$2052)=0,"",IF(('Dvd Calendar'!$Y$2052&gt;=GRID_FROM)*('Dvd Calendar'!$Y$2052&lt;=GRID_TO)*('Dvd Calendar'!$Y$2052&gt;VAL_DATE)=0,"",'Dvd Calendar'!$Y$2052*1000000000+ISNUMBER('Dvd Calendar'!$Y$2053)*100000000+0*10000000+(N('Dvd Calendar'!$Y$2051)&gt;0)*(N('Dvd Calendar'!$Y$2051)&lt;=VAL_SERIAL)*1000000+45*1000+61))</f>
        <v/>
      </c>
      <c r="GN204" s="39">
        <f>IF(N('Dvd Calendar'!$Z$2052)=0,"",IF(('Dvd Calendar'!$Z$2052&gt;=GRID_FROM)*('Dvd Calendar'!$Z$2052&lt;=GRID_TO)*('Dvd Calendar'!$Z$2052&gt;VAL_DATE)=0,"",'Dvd Calendar'!$Z$2052*1000000000+ISNUMBER('Dvd Calendar'!$Z$2053)*100000000+0*10000000+(N('Dvd Calendar'!$Z$2051)&gt;0)*(N('Dvd Calendar'!$Z$2051)&lt;=VAL_SERIAL)*1000000+45*1000+62))</f>
        <v/>
      </c>
      <c r="GO204" s="39">
        <f>IF(N('Dvd Calendar'!$AA$2052)=0,"",IF(('Dvd Calendar'!$AA$2052&gt;=GRID_FROM)*('Dvd Calendar'!$AA$2052&lt;=GRID_TO)*('Dvd Calendar'!$AA$2052&gt;VAL_DATE)=0,"",'Dvd Calendar'!$AA$2052*1000000000+ISNUMBER('Dvd Calendar'!$AA$2053)*100000000+0*10000000+(N('Dvd Calendar'!$AA$2051)&gt;0)*(N('Dvd Calendar'!$AA$2051)&lt;=VAL_SERIAL)*1000000+45*1000+63))</f>
        <v/>
      </c>
      <c r="GP204" s="39">
        <f>IF(N('Dvd Calendar'!$AB$2052)=0,"",IF(('Dvd Calendar'!$AB$2052&gt;=GRID_FROM)*('Dvd Calendar'!$AB$2052&lt;=GRID_TO)*('Dvd Calendar'!$AB$2052&gt;VAL_DATE)=0,"",'Dvd Calendar'!$AB$2052*1000000000+ISNUMBER('Dvd Calendar'!$AB$2053)*100000000+0*10000000+(N('Dvd Calendar'!$AB$2051)&gt;0)*(N('Dvd Calendar'!$AB$2051)&lt;=VAL_SERIAL)*1000000+45*1000+64))</f>
        <v/>
      </c>
      <c r="GQ204" s="39">
        <f>IF(N('Dvd Calendar'!$AC$2052)=0,"",IF(('Dvd Calendar'!$AC$2052&gt;=GRID_FROM)*('Dvd Calendar'!$AC$2052&lt;=GRID_TO)*('Dvd Calendar'!$AC$2052&gt;VAL_DATE)=0,"",'Dvd Calendar'!$AC$2052*1000000000+ISNUMBER('Dvd Calendar'!$AC$2053)*100000000+0*10000000+(N('Dvd Calendar'!$AC$2051)&gt;0)*(N('Dvd Calendar'!$AC$2051)&lt;=VAL_SERIAL)*1000000+45*1000+65))</f>
        <v/>
      </c>
    </row>
    <row r="205">
      <c r="B205" s="2">
        <f>IF(HSCEI!$C$52="","",HSCEI!$C$52)</f>
        <v/>
      </c>
      <c r="C205" s="110">
        <f>IF(EE205="","",IF(ISNUMBER('Dvd Calendar'!$E$2059)=FALSE,"",IF((('Dvd Calendar'!$E$2061=TYPE1)*(TYPE1&lt;&gt;"")+('Dvd Calendar'!$E$2061=TYPE2)*(TYPE2&lt;&gt;"")+('Dvd Calendar'!$E$2061=TYPE3)*(TYPE3&lt;&gt;"")+('Dvd Calendar'!$E$2061=TYPE4)*(TYPE4&lt;&gt;"")+('Dvd Calendar'!$E$2061=SPECIAL_LBL)*(INC_SPECIALS="Y"))=0,"",'Dvd Calendar'!$E$2059)))</f>
        <v/>
      </c>
      <c r="D205" s="110">
        <f>IF(EF205="","",IF(ISNUMBER('Dvd Calendar'!$F$2059)=FALSE,"",IF((('Dvd Calendar'!$F$2061=TYPE1)*(TYPE1&lt;&gt;"")+('Dvd Calendar'!$F$2061=TYPE2)*(TYPE2&lt;&gt;"")+('Dvd Calendar'!$F$2061=TYPE3)*(TYPE3&lt;&gt;"")+('Dvd Calendar'!$F$2061=TYPE4)*(TYPE4&lt;&gt;"")+('Dvd Calendar'!$F$2061=SPECIAL_LBL)*(INC_SPECIALS="Y"))=0,"",'Dvd Calendar'!$F$2059)))</f>
        <v/>
      </c>
      <c r="E205" s="110">
        <f>IF(EG205="","",IF(ISNUMBER('Dvd Calendar'!$G$2059)=FALSE,"",IF((('Dvd Calendar'!$G$2061=TYPE1)*(TYPE1&lt;&gt;"")+('Dvd Calendar'!$G$2061=TYPE2)*(TYPE2&lt;&gt;"")+('Dvd Calendar'!$G$2061=TYPE3)*(TYPE3&lt;&gt;"")+('Dvd Calendar'!$G$2061=TYPE4)*(TYPE4&lt;&gt;"")+('Dvd Calendar'!$G$2061=SPECIAL_LBL)*(INC_SPECIALS="Y"))=0,"",'Dvd Calendar'!$G$2059)))</f>
        <v/>
      </c>
      <c r="F205" s="110">
        <f>IF(EH205="","",IF(ISNUMBER('Dvd Calendar'!$H$2059)=FALSE,"",IF((('Dvd Calendar'!$H$2061=TYPE1)*(TYPE1&lt;&gt;"")+('Dvd Calendar'!$H$2061=TYPE2)*(TYPE2&lt;&gt;"")+('Dvd Calendar'!$H$2061=TYPE3)*(TYPE3&lt;&gt;"")+('Dvd Calendar'!$H$2061=TYPE4)*(TYPE4&lt;&gt;"")+('Dvd Calendar'!$H$2061=SPECIAL_LBL)*(INC_SPECIALS="Y"))=0,"",'Dvd Calendar'!$H$2059)))</f>
        <v/>
      </c>
      <c r="G205" s="110">
        <f>IF(EI205="","",IF(ISNUMBER('Dvd Calendar'!$I$2059)=FALSE,"",IF((('Dvd Calendar'!$I$2061=TYPE1)*(TYPE1&lt;&gt;"")+('Dvd Calendar'!$I$2061=TYPE2)*(TYPE2&lt;&gt;"")+('Dvd Calendar'!$I$2061=TYPE3)*(TYPE3&lt;&gt;"")+('Dvd Calendar'!$I$2061=TYPE4)*(TYPE4&lt;&gt;"")+('Dvd Calendar'!$I$2061=SPECIAL_LBL)*(INC_SPECIALS="Y"))=0,"",'Dvd Calendar'!$I$2059)))</f>
        <v/>
      </c>
      <c r="H205" s="110">
        <f>IF(EJ205="","",IF(ISNUMBER('Dvd Calendar'!$J$2059)=FALSE,"",IF((('Dvd Calendar'!$J$2061=TYPE1)*(TYPE1&lt;&gt;"")+('Dvd Calendar'!$J$2061=TYPE2)*(TYPE2&lt;&gt;"")+('Dvd Calendar'!$J$2061=TYPE3)*(TYPE3&lt;&gt;"")+('Dvd Calendar'!$J$2061=TYPE4)*(TYPE4&lt;&gt;"")+('Dvd Calendar'!$J$2061=SPECIAL_LBL)*(INC_SPECIALS="Y"))=0,"",'Dvd Calendar'!$J$2059)))</f>
        <v/>
      </c>
      <c r="I205" s="110">
        <f>IF(EK205="","",IF(ISNUMBER('Dvd Calendar'!$K$2059)=FALSE,"",IF((('Dvd Calendar'!$K$2061=TYPE1)*(TYPE1&lt;&gt;"")+('Dvd Calendar'!$K$2061=TYPE2)*(TYPE2&lt;&gt;"")+('Dvd Calendar'!$K$2061=TYPE3)*(TYPE3&lt;&gt;"")+('Dvd Calendar'!$K$2061=TYPE4)*(TYPE4&lt;&gt;"")+('Dvd Calendar'!$K$2061=SPECIAL_LBL)*(INC_SPECIALS="Y"))=0,"",'Dvd Calendar'!$K$2059)))</f>
        <v/>
      </c>
      <c r="J205" s="110">
        <f>IF(EL205="","",IF(ISNUMBER('Dvd Calendar'!$L$2059)=FALSE,"",IF((('Dvd Calendar'!$L$2061=TYPE1)*(TYPE1&lt;&gt;"")+('Dvd Calendar'!$L$2061=TYPE2)*(TYPE2&lt;&gt;"")+('Dvd Calendar'!$L$2061=TYPE3)*(TYPE3&lt;&gt;"")+('Dvd Calendar'!$L$2061=TYPE4)*(TYPE4&lt;&gt;"")+('Dvd Calendar'!$L$2061=SPECIAL_LBL)*(INC_SPECIALS="Y"))=0,"",'Dvd Calendar'!$L$2059)))</f>
        <v/>
      </c>
      <c r="K205" s="110">
        <f>IF(EM205="","",IF(ISNUMBER('Dvd Calendar'!$M$2059)=FALSE,"",IF((('Dvd Calendar'!$M$2061=TYPE1)*(TYPE1&lt;&gt;"")+('Dvd Calendar'!$M$2061=TYPE2)*(TYPE2&lt;&gt;"")+('Dvd Calendar'!$M$2061=TYPE3)*(TYPE3&lt;&gt;"")+('Dvd Calendar'!$M$2061=TYPE4)*(TYPE4&lt;&gt;"")+('Dvd Calendar'!$M$2061=SPECIAL_LBL)*(INC_SPECIALS="Y"))=0,"",'Dvd Calendar'!$M$2059)))</f>
        <v/>
      </c>
      <c r="L205" s="110">
        <f>IF(EN205="","",IF(ISNUMBER('Dvd Calendar'!$N$2059)=FALSE,"",IF((('Dvd Calendar'!$N$2061=TYPE1)*(TYPE1&lt;&gt;"")+('Dvd Calendar'!$N$2061=TYPE2)*(TYPE2&lt;&gt;"")+('Dvd Calendar'!$N$2061=TYPE3)*(TYPE3&lt;&gt;"")+('Dvd Calendar'!$N$2061=TYPE4)*(TYPE4&lt;&gt;"")+('Dvd Calendar'!$N$2061=SPECIAL_LBL)*(INC_SPECIALS="Y"))=0,"",'Dvd Calendar'!$N$2059)))</f>
        <v/>
      </c>
      <c r="M205" s="110">
        <f>IF(EO205="","",IF(ISNUMBER('Dvd Calendar'!$O$2059)=FALSE,"",IF((('Dvd Calendar'!$O$2061=TYPE1)*(TYPE1&lt;&gt;"")+('Dvd Calendar'!$O$2061=TYPE2)*(TYPE2&lt;&gt;"")+('Dvd Calendar'!$O$2061=TYPE3)*(TYPE3&lt;&gt;"")+('Dvd Calendar'!$O$2061=TYPE4)*(TYPE4&lt;&gt;"")+('Dvd Calendar'!$O$2061=SPECIAL_LBL)*(INC_SPECIALS="Y"))=0,"",'Dvd Calendar'!$O$2059)))</f>
        <v/>
      </c>
      <c r="N205" s="110">
        <f>IF(EP205="","",IF(ISNUMBER('Dvd Calendar'!$P$2059)=FALSE,"",IF((('Dvd Calendar'!$P$2061=TYPE1)*(TYPE1&lt;&gt;"")+('Dvd Calendar'!$P$2061=TYPE2)*(TYPE2&lt;&gt;"")+('Dvd Calendar'!$P$2061=TYPE3)*(TYPE3&lt;&gt;"")+('Dvd Calendar'!$P$2061=TYPE4)*(TYPE4&lt;&gt;"")+('Dvd Calendar'!$P$2061=SPECIAL_LBL)*(INC_SPECIALS="Y"))=0,"",'Dvd Calendar'!$P$2059)))</f>
        <v/>
      </c>
      <c r="O205" s="110">
        <f>IF(EQ205="","",IF(ISNUMBER('Dvd Calendar'!$Q$2059)=FALSE,"",IF((('Dvd Calendar'!$Q$2061=TYPE1)*(TYPE1&lt;&gt;"")+('Dvd Calendar'!$Q$2061=TYPE2)*(TYPE2&lt;&gt;"")+('Dvd Calendar'!$Q$2061=TYPE3)*(TYPE3&lt;&gt;"")+('Dvd Calendar'!$Q$2061=TYPE4)*(TYPE4&lt;&gt;"")+('Dvd Calendar'!$Q$2061=SPECIAL_LBL)*(INC_SPECIALS="Y"))=0,"",'Dvd Calendar'!$Q$2059)))</f>
        <v/>
      </c>
      <c r="P205" s="110">
        <f>IF(ER205="","",IF(ISNUMBER('Dvd Calendar'!$R$2059)=FALSE,"",IF((('Dvd Calendar'!$R$2061=TYPE1)*(TYPE1&lt;&gt;"")+('Dvd Calendar'!$R$2061=TYPE2)*(TYPE2&lt;&gt;"")+('Dvd Calendar'!$R$2061=TYPE3)*(TYPE3&lt;&gt;"")+('Dvd Calendar'!$R$2061=TYPE4)*(TYPE4&lt;&gt;"")+('Dvd Calendar'!$R$2061=SPECIAL_LBL)*(INC_SPECIALS="Y"))=0,"",'Dvd Calendar'!$R$2059)))</f>
        <v/>
      </c>
      <c r="Q205" s="110">
        <f>IF(ES205="","",IF(ISNUMBER('Dvd Calendar'!$S$2059)=FALSE,"",IF((('Dvd Calendar'!$S$2061=TYPE1)*(TYPE1&lt;&gt;"")+('Dvd Calendar'!$S$2061=TYPE2)*(TYPE2&lt;&gt;"")+('Dvd Calendar'!$S$2061=TYPE3)*(TYPE3&lt;&gt;"")+('Dvd Calendar'!$S$2061=TYPE4)*(TYPE4&lt;&gt;"")+('Dvd Calendar'!$S$2061=SPECIAL_LBL)*(INC_SPECIALS="Y"))=0,"",'Dvd Calendar'!$S$2059)))</f>
        <v/>
      </c>
      <c r="R205" s="110">
        <f>IF(ET205="","",IF(ISNUMBER('Dvd Calendar'!$T$2059)=FALSE,"",IF((('Dvd Calendar'!$T$2061=TYPE1)*(TYPE1&lt;&gt;"")+('Dvd Calendar'!$T$2061=TYPE2)*(TYPE2&lt;&gt;"")+('Dvd Calendar'!$T$2061=TYPE3)*(TYPE3&lt;&gt;"")+('Dvd Calendar'!$T$2061=TYPE4)*(TYPE4&lt;&gt;"")+('Dvd Calendar'!$T$2061=SPECIAL_LBL)*(INC_SPECIALS="Y"))=0,"",'Dvd Calendar'!$T$2059)))</f>
        <v/>
      </c>
      <c r="S205" s="110">
        <f>IF(EU205="","",IF(ISNUMBER('Dvd Calendar'!$U$2059)=FALSE,"",IF((('Dvd Calendar'!$U$2061=TYPE1)*(TYPE1&lt;&gt;"")+('Dvd Calendar'!$U$2061=TYPE2)*(TYPE2&lt;&gt;"")+('Dvd Calendar'!$U$2061=TYPE3)*(TYPE3&lt;&gt;"")+('Dvd Calendar'!$U$2061=TYPE4)*(TYPE4&lt;&gt;"")+('Dvd Calendar'!$U$2061=SPECIAL_LBL)*(INC_SPECIALS="Y"))=0,"",'Dvd Calendar'!$U$2059)))</f>
        <v/>
      </c>
      <c r="T205" s="110">
        <f>IF(EV205="","",IF(ISNUMBER('Dvd Calendar'!$V$2059)=FALSE,"",IF((('Dvd Calendar'!$V$2061=TYPE1)*(TYPE1&lt;&gt;"")+('Dvd Calendar'!$V$2061=TYPE2)*(TYPE2&lt;&gt;"")+('Dvd Calendar'!$V$2061=TYPE3)*(TYPE3&lt;&gt;"")+('Dvd Calendar'!$V$2061=TYPE4)*(TYPE4&lt;&gt;"")+('Dvd Calendar'!$V$2061=SPECIAL_LBL)*(INC_SPECIALS="Y"))=0,"",'Dvd Calendar'!$V$2059)))</f>
        <v/>
      </c>
      <c r="U205" s="110">
        <f>IF(EW205="","",IF(ISNUMBER('Dvd Calendar'!$W$2059)=FALSE,"",IF((('Dvd Calendar'!$W$2061=TYPE1)*(TYPE1&lt;&gt;"")+('Dvd Calendar'!$W$2061=TYPE2)*(TYPE2&lt;&gt;"")+('Dvd Calendar'!$W$2061=TYPE3)*(TYPE3&lt;&gt;"")+('Dvd Calendar'!$W$2061=TYPE4)*(TYPE4&lt;&gt;"")+('Dvd Calendar'!$W$2061=SPECIAL_LBL)*(INC_SPECIALS="Y"))=0,"",'Dvd Calendar'!$W$2059)))</f>
        <v/>
      </c>
      <c r="V205" s="110">
        <f>IF(EX205="","",IF(ISNUMBER('Dvd Calendar'!$X$2059)=FALSE,"",IF((('Dvd Calendar'!$X$2061=TYPE1)*(TYPE1&lt;&gt;"")+('Dvd Calendar'!$X$2061=TYPE2)*(TYPE2&lt;&gt;"")+('Dvd Calendar'!$X$2061=TYPE3)*(TYPE3&lt;&gt;"")+('Dvd Calendar'!$X$2061=TYPE4)*(TYPE4&lt;&gt;"")+('Dvd Calendar'!$X$2061=SPECIAL_LBL)*(INC_SPECIALS="Y"))=0,"",'Dvd Calendar'!$X$2059)))</f>
        <v/>
      </c>
      <c r="W205" s="110">
        <f>IF(EY205="","",IF(ISNUMBER('Dvd Calendar'!$Y$2059)=FALSE,"",IF((('Dvd Calendar'!$Y$2061=TYPE1)*(TYPE1&lt;&gt;"")+('Dvd Calendar'!$Y$2061=TYPE2)*(TYPE2&lt;&gt;"")+('Dvd Calendar'!$Y$2061=TYPE3)*(TYPE3&lt;&gt;"")+('Dvd Calendar'!$Y$2061=TYPE4)*(TYPE4&lt;&gt;"")+('Dvd Calendar'!$Y$2061=SPECIAL_LBL)*(INC_SPECIALS="Y"))=0,"",'Dvd Calendar'!$Y$2059)))</f>
        <v/>
      </c>
      <c r="X205" s="110">
        <f>IF(EZ205="","",IF(ISNUMBER('Dvd Calendar'!$Z$2059)=FALSE,"",IF((('Dvd Calendar'!$Z$2061=TYPE1)*(TYPE1&lt;&gt;"")+('Dvd Calendar'!$Z$2061=TYPE2)*(TYPE2&lt;&gt;"")+('Dvd Calendar'!$Z$2061=TYPE3)*(TYPE3&lt;&gt;"")+('Dvd Calendar'!$Z$2061=TYPE4)*(TYPE4&lt;&gt;"")+('Dvd Calendar'!$Z$2061=SPECIAL_LBL)*(INC_SPECIALS="Y"))=0,"",'Dvd Calendar'!$Z$2059)))</f>
        <v/>
      </c>
      <c r="Y205" s="110">
        <f>IF(FA205="","",IF(ISNUMBER('Dvd Calendar'!$AA$2059)=FALSE,"",IF((('Dvd Calendar'!$AA$2061=TYPE1)*(TYPE1&lt;&gt;"")+('Dvd Calendar'!$AA$2061=TYPE2)*(TYPE2&lt;&gt;"")+('Dvd Calendar'!$AA$2061=TYPE3)*(TYPE3&lt;&gt;"")+('Dvd Calendar'!$AA$2061=TYPE4)*(TYPE4&lt;&gt;"")+('Dvd Calendar'!$AA$2061=SPECIAL_LBL)*(INC_SPECIALS="Y"))=0,"",'Dvd Calendar'!$AA$2059)))</f>
        <v/>
      </c>
      <c r="Z205" s="110">
        <f>IF(FB205="","",IF(ISNUMBER('Dvd Calendar'!$AB$2059)=FALSE,"",IF((('Dvd Calendar'!$AB$2061=TYPE1)*(TYPE1&lt;&gt;"")+('Dvd Calendar'!$AB$2061=TYPE2)*(TYPE2&lt;&gt;"")+('Dvd Calendar'!$AB$2061=TYPE3)*(TYPE3&lt;&gt;"")+('Dvd Calendar'!$AB$2061=TYPE4)*(TYPE4&lt;&gt;"")+('Dvd Calendar'!$AB$2061=SPECIAL_LBL)*(INC_SPECIALS="Y"))=0,"",'Dvd Calendar'!$AB$2059)))</f>
        <v/>
      </c>
      <c r="AA205" s="110">
        <f>IF(FC205="","",IF(ISNUMBER('Dvd Calendar'!$AC$2059)=FALSE,"",IF((('Dvd Calendar'!$AC$2061=TYPE1)*(TYPE1&lt;&gt;"")+('Dvd Calendar'!$AC$2061=TYPE2)*(TYPE2&lt;&gt;"")+('Dvd Calendar'!$AC$2061=TYPE3)*(TYPE3&lt;&gt;"")+('Dvd Calendar'!$AC$2061=TYPE4)*(TYPE4&lt;&gt;"")+('Dvd Calendar'!$AC$2061=SPECIAL_LBL)*(INC_SPECIALS="Y"))=0,"",'Dvd Calendar'!$AC$2059)))</f>
        <v/>
      </c>
      <c r="AB205" s="110">
        <f>IF(FD205="","",IF(ISNUMBER('Dvd Calendar'!$AD$2059)=FALSE,"",IF((('Dvd Calendar'!$AD$2061=TYPE1)*(TYPE1&lt;&gt;"")+('Dvd Calendar'!$AD$2061=TYPE2)*(TYPE2&lt;&gt;"")+('Dvd Calendar'!$AD$2061=TYPE3)*(TYPE3&lt;&gt;"")+('Dvd Calendar'!$AD$2061=TYPE4)*(TYPE4&lt;&gt;"")+('Dvd Calendar'!$AD$2061=SPECIAL_LBL)*(INC_SPECIALS="Y"))=0,"",'Dvd Calendar'!$AD$2059)))</f>
        <v/>
      </c>
      <c r="AC205" s="110">
        <f>IF(FE205="","",IF(ISNUMBER('Dvd Calendar'!$AE$2059)=FALSE,"",IF((('Dvd Calendar'!$AE$2061=TYPE1)*(TYPE1&lt;&gt;"")+('Dvd Calendar'!$AE$2061=TYPE2)*(TYPE2&lt;&gt;"")+('Dvd Calendar'!$AE$2061=TYPE3)*(TYPE3&lt;&gt;"")+('Dvd Calendar'!$AE$2061=TYPE4)*(TYPE4&lt;&gt;"")+('Dvd Calendar'!$AE$2061=SPECIAL_LBL)*(INC_SPECIALS="Y"))=0,"",'Dvd Calendar'!$AE$2059)))</f>
        <v/>
      </c>
      <c r="AD205" s="110">
        <f>IF(FF205="","",IF(ISNUMBER('Dvd Calendar'!$AF$2059)=FALSE,"",IF((('Dvd Calendar'!$AF$2061=TYPE1)*(TYPE1&lt;&gt;"")+('Dvd Calendar'!$AF$2061=TYPE2)*(TYPE2&lt;&gt;"")+('Dvd Calendar'!$AF$2061=TYPE3)*(TYPE3&lt;&gt;"")+('Dvd Calendar'!$AF$2061=TYPE4)*(TYPE4&lt;&gt;"")+('Dvd Calendar'!$AF$2061=SPECIAL_LBL)*(INC_SPECIALS="Y"))=0,"",'Dvd Calendar'!$AF$2059)))</f>
        <v/>
      </c>
      <c r="AE205" s="110">
        <f>IF(FG205="","",IF(ISNUMBER('Dvd Calendar'!$AG$2059)=FALSE,"",IF((('Dvd Calendar'!$AG$2061=TYPE1)*(TYPE1&lt;&gt;"")+('Dvd Calendar'!$AG$2061=TYPE2)*(TYPE2&lt;&gt;"")+('Dvd Calendar'!$AG$2061=TYPE3)*(TYPE3&lt;&gt;"")+('Dvd Calendar'!$AG$2061=TYPE4)*(TYPE4&lt;&gt;"")+('Dvd Calendar'!$AG$2061=SPECIAL_LBL)*(INC_SPECIALS="Y"))=0,"",'Dvd Calendar'!$AG$2059)))</f>
        <v/>
      </c>
      <c r="AF205" s="110">
        <f>IF(FH205="","",IF(ISNUMBER('Dvd Calendar'!$AH$2059)=FALSE,"",IF((('Dvd Calendar'!$AH$2061=TYPE1)*(TYPE1&lt;&gt;"")+('Dvd Calendar'!$AH$2061=TYPE2)*(TYPE2&lt;&gt;"")+('Dvd Calendar'!$AH$2061=TYPE3)*(TYPE3&lt;&gt;"")+('Dvd Calendar'!$AH$2061=TYPE4)*(TYPE4&lt;&gt;"")+('Dvd Calendar'!$AH$2061=SPECIAL_LBL)*(INC_SPECIALS="Y"))=0,"",'Dvd Calendar'!$AH$2059)))</f>
        <v/>
      </c>
      <c r="AG205" s="110">
        <f>IF(FI205="","",IF(ISNUMBER('Dvd Calendar'!$AI$2059)=FALSE,"",IF((('Dvd Calendar'!$AI$2061=TYPE1)*(TYPE1&lt;&gt;"")+('Dvd Calendar'!$AI$2061=TYPE2)*(TYPE2&lt;&gt;"")+('Dvd Calendar'!$AI$2061=TYPE3)*(TYPE3&lt;&gt;"")+('Dvd Calendar'!$AI$2061=TYPE4)*(TYPE4&lt;&gt;"")+('Dvd Calendar'!$AI$2061=SPECIAL_LBL)*(INC_SPECIALS="Y"))=0,"",'Dvd Calendar'!$AI$2059)))</f>
        <v/>
      </c>
      <c r="AH205" s="110">
        <f>IF(FJ205="","",IF(ISNUMBER('Dvd Calendar'!$AJ$2059)=FALSE,"",IF((('Dvd Calendar'!$AJ$2061=TYPE1)*(TYPE1&lt;&gt;"")+('Dvd Calendar'!$AJ$2061=TYPE2)*(TYPE2&lt;&gt;"")+('Dvd Calendar'!$AJ$2061=TYPE3)*(TYPE3&lt;&gt;"")+('Dvd Calendar'!$AJ$2061=TYPE4)*(TYPE4&lt;&gt;"")+('Dvd Calendar'!$AJ$2061=SPECIAL_LBL)*(INC_SPECIALS="Y"))=0,"",'Dvd Calendar'!$AJ$2059)))</f>
        <v/>
      </c>
      <c r="AI205" s="110">
        <f>IF(FK205="","",IF(ISNUMBER('Dvd Calendar'!$AK$2059)=FALSE,"",IF((('Dvd Calendar'!$AK$2061=TYPE1)*(TYPE1&lt;&gt;"")+('Dvd Calendar'!$AK$2061=TYPE2)*(TYPE2&lt;&gt;"")+('Dvd Calendar'!$AK$2061=TYPE3)*(TYPE3&lt;&gt;"")+('Dvd Calendar'!$AK$2061=TYPE4)*(TYPE4&lt;&gt;"")+('Dvd Calendar'!$AK$2061=SPECIAL_LBL)*(INC_SPECIALS="Y"))=0,"",'Dvd Calendar'!$AK$2059)))</f>
        <v/>
      </c>
      <c r="AJ205" s="110">
        <f>IF(FL205="","",IF(ISNUMBER('Dvd Calendar'!$AL$2059)=FALSE,"",IF((('Dvd Calendar'!$AL$2061=TYPE1)*(TYPE1&lt;&gt;"")+('Dvd Calendar'!$AL$2061=TYPE2)*(TYPE2&lt;&gt;"")+('Dvd Calendar'!$AL$2061=TYPE3)*(TYPE3&lt;&gt;"")+('Dvd Calendar'!$AL$2061=TYPE4)*(TYPE4&lt;&gt;"")+('Dvd Calendar'!$AL$2061=SPECIAL_LBL)*(INC_SPECIALS="Y"))=0,"",'Dvd Calendar'!$AL$2059)))</f>
        <v/>
      </c>
      <c r="AK205" s="110">
        <f>IF(FM205="","",IF(ISNUMBER('Dvd Calendar'!$AM$2059)=FALSE,"",IF((('Dvd Calendar'!$AM$2061=TYPE1)*(TYPE1&lt;&gt;"")+('Dvd Calendar'!$AM$2061=TYPE2)*(TYPE2&lt;&gt;"")+('Dvd Calendar'!$AM$2061=TYPE3)*(TYPE3&lt;&gt;"")+('Dvd Calendar'!$AM$2061=TYPE4)*(TYPE4&lt;&gt;"")+('Dvd Calendar'!$AM$2061=SPECIAL_LBL)*(INC_SPECIALS="Y"))=0,"",'Dvd Calendar'!$AM$2059)))</f>
        <v/>
      </c>
      <c r="AL205" s="110">
        <f>IF(FN205="","",IF(ISNUMBER('Dvd Calendar'!$AN$2059)=FALSE,"",IF((('Dvd Calendar'!$AN$2061=TYPE1)*(TYPE1&lt;&gt;"")+('Dvd Calendar'!$AN$2061=TYPE2)*(TYPE2&lt;&gt;"")+('Dvd Calendar'!$AN$2061=TYPE3)*(TYPE3&lt;&gt;"")+('Dvd Calendar'!$AN$2061=TYPE4)*(TYPE4&lt;&gt;"")+('Dvd Calendar'!$AN$2061=SPECIAL_LBL)*(INC_SPECIALS="Y"))=0,"",'Dvd Calendar'!$AN$2059)))</f>
        <v/>
      </c>
      <c r="AM205" s="110">
        <f>IF(FO205="","",IF(ISNUMBER('Dvd Calendar'!$AO$2059)=FALSE,"",IF((('Dvd Calendar'!$AO$2061=TYPE1)*(TYPE1&lt;&gt;"")+('Dvd Calendar'!$AO$2061=TYPE2)*(TYPE2&lt;&gt;"")+('Dvd Calendar'!$AO$2061=TYPE3)*(TYPE3&lt;&gt;"")+('Dvd Calendar'!$AO$2061=TYPE4)*(TYPE4&lt;&gt;"")+('Dvd Calendar'!$AO$2061=SPECIAL_LBL)*(INC_SPECIALS="Y"))=0,"",'Dvd Calendar'!$AO$2059)))</f>
        <v/>
      </c>
      <c r="AN205" s="110">
        <f>IF(FP205="","",IF(ISNUMBER('Dvd Calendar'!$AP$2059)=FALSE,"",IF((('Dvd Calendar'!$AP$2061=TYPE1)*(TYPE1&lt;&gt;"")+('Dvd Calendar'!$AP$2061=TYPE2)*(TYPE2&lt;&gt;"")+('Dvd Calendar'!$AP$2061=TYPE3)*(TYPE3&lt;&gt;"")+('Dvd Calendar'!$AP$2061=TYPE4)*(TYPE4&lt;&gt;"")+('Dvd Calendar'!$AP$2061=SPECIAL_LBL)*(INC_SPECIALS="Y"))=0,"",'Dvd Calendar'!$AP$2059)))</f>
        <v/>
      </c>
      <c r="AO205" s="110">
        <f>IF(FQ205="","",IF(ISNUMBER('Dvd Calendar'!$AQ$2059)=FALSE,"",IF((('Dvd Calendar'!$AQ$2061=TYPE1)*(TYPE1&lt;&gt;"")+('Dvd Calendar'!$AQ$2061=TYPE2)*(TYPE2&lt;&gt;"")+('Dvd Calendar'!$AQ$2061=TYPE3)*(TYPE3&lt;&gt;"")+('Dvd Calendar'!$AQ$2061=TYPE4)*(TYPE4&lt;&gt;"")+('Dvd Calendar'!$AQ$2061=SPECIAL_LBL)*(INC_SPECIALS="Y"))=0,"",'Dvd Calendar'!$AQ$2059)))</f>
        <v/>
      </c>
      <c r="AP205" s="110">
        <f>IF(FR205="","",IF(ISNUMBER('Dvd Calendar'!$AR$2059)=FALSE,"",IF((('Dvd Calendar'!$AR$2061=TYPE1)*(TYPE1&lt;&gt;"")+('Dvd Calendar'!$AR$2061=TYPE2)*(TYPE2&lt;&gt;"")+('Dvd Calendar'!$AR$2061=TYPE3)*(TYPE3&lt;&gt;"")+('Dvd Calendar'!$AR$2061=TYPE4)*(TYPE4&lt;&gt;"")+('Dvd Calendar'!$AR$2061=SPECIAL_LBL)*(INC_SPECIALS="Y"))=0,"",'Dvd Calendar'!$AR$2059)))</f>
        <v/>
      </c>
      <c r="AQ205" s="110">
        <f>IF(FS205="","",IF(ISNUMBER('Dvd Calendar'!$E$2064)=FALSE,"",'Dvd Calendar'!$E$2064))</f>
        <v/>
      </c>
      <c r="AR205" s="110">
        <f>IF(FT205="","",IF(ISNUMBER('Dvd Calendar'!$F$2064)=FALSE,"",'Dvd Calendar'!$F$2064))</f>
        <v/>
      </c>
      <c r="AS205" s="110">
        <f>IF(FU205="","",IF(ISNUMBER('Dvd Calendar'!$G$2064)=FALSE,"",'Dvd Calendar'!$G$2064))</f>
        <v/>
      </c>
      <c r="AT205" s="110">
        <f>IF(FV205="","",IF(ISNUMBER('Dvd Calendar'!$H$2064)=FALSE,"",'Dvd Calendar'!$H$2064))</f>
        <v/>
      </c>
      <c r="AU205" s="110">
        <f>IF(FW205="","",IF(ISNUMBER('Dvd Calendar'!$I$2064)=FALSE,"",'Dvd Calendar'!$I$2064))</f>
        <v/>
      </c>
      <c r="AV205" s="110">
        <f>IF(FX205="","",IF(ISNUMBER('Dvd Calendar'!$J$2064)=FALSE,"",'Dvd Calendar'!$J$2064))</f>
        <v/>
      </c>
      <c r="AW205" s="110">
        <f>IF(FY205="","",IF(ISNUMBER('Dvd Calendar'!$K$2064)=FALSE,"",'Dvd Calendar'!$K$2064))</f>
        <v/>
      </c>
      <c r="AX205" s="110">
        <f>IF(FZ205="","",IF(ISNUMBER('Dvd Calendar'!$L$2064)=FALSE,"",'Dvd Calendar'!$L$2064))</f>
        <v/>
      </c>
      <c r="AY205" s="110">
        <f>IF(GA205="","",IF(ISNUMBER('Dvd Calendar'!$M$2064)=FALSE,"",'Dvd Calendar'!$M$2064))</f>
        <v/>
      </c>
      <c r="AZ205" s="110">
        <f>IF(GB205="","",IF(ISNUMBER('Dvd Calendar'!$N$2064)=FALSE,"",'Dvd Calendar'!$N$2064))</f>
        <v/>
      </c>
      <c r="BA205" s="110">
        <f>IF(GC205="","",IF(ISNUMBER('Dvd Calendar'!$O$2064)=FALSE,"",'Dvd Calendar'!$O$2064))</f>
        <v/>
      </c>
      <c r="BB205" s="110">
        <f>IF(GD205="","",IF(ISNUMBER('Dvd Calendar'!$P$2064)=FALSE,"",'Dvd Calendar'!$P$2064))</f>
        <v/>
      </c>
      <c r="BC205" s="110">
        <f>IF(GE205="","",IF(ISNUMBER('Dvd Calendar'!$Q$2064)=FALSE,"",'Dvd Calendar'!$Q$2064))</f>
        <v/>
      </c>
      <c r="BD205" s="110">
        <f>IF(GF205="","",IF(ISNUMBER('Dvd Calendar'!$R$2064)=FALSE,"",'Dvd Calendar'!$R$2064))</f>
        <v/>
      </c>
      <c r="BE205" s="110">
        <f>IF(GG205="","",IF(ISNUMBER('Dvd Calendar'!$S$2064)=FALSE,"",'Dvd Calendar'!$S$2064))</f>
        <v/>
      </c>
      <c r="BF205" s="110">
        <f>IF(GH205="","",IF(ISNUMBER('Dvd Calendar'!$T$2064)=FALSE,"",'Dvd Calendar'!$T$2064))</f>
        <v/>
      </c>
      <c r="BG205" s="110">
        <f>IF(GI205="","",IF(ISNUMBER('Dvd Calendar'!$U$2064)=FALSE,"",'Dvd Calendar'!$U$2064))</f>
        <v/>
      </c>
      <c r="BH205" s="110">
        <f>IF(GJ205="","",IF(ISNUMBER('Dvd Calendar'!$V$2064)=FALSE,"",'Dvd Calendar'!$V$2064))</f>
        <v/>
      </c>
      <c r="BI205" s="110">
        <f>IF(GK205="","",IF(ISNUMBER('Dvd Calendar'!$W$2064)=FALSE,"",'Dvd Calendar'!$W$2064))</f>
        <v/>
      </c>
      <c r="BJ205" s="110">
        <f>IF(GL205="","",IF(ISNUMBER('Dvd Calendar'!$X$2064)=FALSE,"",'Dvd Calendar'!$X$2064))</f>
        <v/>
      </c>
      <c r="BK205" s="110">
        <f>IF(GM205="","",IF(ISNUMBER('Dvd Calendar'!$Y$2064)=FALSE,"",'Dvd Calendar'!$Y$2064))</f>
        <v/>
      </c>
      <c r="BL205" s="110">
        <f>IF(GN205="","",IF(ISNUMBER('Dvd Calendar'!$Z$2064)=FALSE,"",'Dvd Calendar'!$Z$2064))</f>
        <v/>
      </c>
      <c r="BM205" s="110">
        <f>IF(GO205="","",IF(ISNUMBER('Dvd Calendar'!$AA$2064)=FALSE,"",'Dvd Calendar'!$AA$2064))</f>
        <v/>
      </c>
      <c r="BN205" s="110">
        <f>IF(GP205="","",IF(ISNUMBER('Dvd Calendar'!$AB$2064)=FALSE,"",'Dvd Calendar'!$AB$2064))</f>
        <v/>
      </c>
      <c r="BO205" s="110">
        <f>IF(GQ205="","",IF(ISNUMBER('Dvd Calendar'!$AC$2064)=FALSE,"",'Dvd Calendar'!$AC$2064))</f>
        <v/>
      </c>
      <c r="BQ205" s="110">
        <f>IF(C205="","",IFERROR(C205*HSCEI!$B$52*HSCEI!$G$52/HSCEI!$B$3,""))</f>
        <v/>
      </c>
      <c r="BR205" s="110">
        <f>IF(D205="","",IFERROR(D205*HSCEI!$B$52*HSCEI!$G$52/HSCEI!$B$3,""))</f>
        <v/>
      </c>
      <c r="BS205" s="110">
        <f>IF(E205="","",IFERROR(E205*HSCEI!$B$52*HSCEI!$G$52/HSCEI!$B$3,""))</f>
        <v/>
      </c>
      <c r="BT205" s="110">
        <f>IF(F205="","",IFERROR(F205*HSCEI!$B$52*HSCEI!$G$52/HSCEI!$B$3,""))</f>
        <v/>
      </c>
      <c r="BU205" s="110">
        <f>IF(G205="","",IFERROR(G205*HSCEI!$B$52*HSCEI!$G$52/HSCEI!$B$3,""))</f>
        <v/>
      </c>
      <c r="BV205" s="110">
        <f>IF(H205="","",IFERROR(H205*HSCEI!$B$52*HSCEI!$G$52/HSCEI!$B$3,""))</f>
        <v/>
      </c>
      <c r="BW205" s="110">
        <f>IF(I205="","",IFERROR(I205*HSCEI!$B$52*HSCEI!$G$52/HSCEI!$B$3,""))</f>
        <v/>
      </c>
      <c r="BX205" s="110">
        <f>IF(J205="","",IFERROR(J205*HSCEI!$B$52*HSCEI!$G$52/HSCEI!$B$3,""))</f>
        <v/>
      </c>
      <c r="BY205" s="110">
        <f>IF(K205="","",IFERROR(K205*HSCEI!$B$52*HSCEI!$G$52/HSCEI!$B$3,""))</f>
        <v/>
      </c>
      <c r="BZ205" s="110">
        <f>IF(L205="","",IFERROR(L205*HSCEI!$B$52*HSCEI!$G$52/HSCEI!$B$3,""))</f>
        <v/>
      </c>
      <c r="CA205" s="110">
        <f>IF(M205="","",IFERROR(M205*HSCEI!$B$52*HSCEI!$G$52/HSCEI!$B$3,""))</f>
        <v/>
      </c>
      <c r="CB205" s="110">
        <f>IF(N205="","",IFERROR(N205*HSCEI!$B$52*HSCEI!$G$52/HSCEI!$B$3,""))</f>
        <v/>
      </c>
      <c r="CC205" s="110">
        <f>IF(O205="","",IFERROR(O205*HSCEI!$B$52*HSCEI!$G$52/HSCEI!$B$3,""))</f>
        <v/>
      </c>
      <c r="CD205" s="110">
        <f>IF(P205="","",IFERROR(P205*HSCEI!$B$52*HSCEI!$G$52/HSCEI!$B$3,""))</f>
        <v/>
      </c>
      <c r="CE205" s="110">
        <f>IF(Q205="","",IFERROR(Q205*HSCEI!$B$52*HSCEI!$G$52/HSCEI!$B$3,""))</f>
        <v/>
      </c>
      <c r="CF205" s="110">
        <f>IF(R205="","",IFERROR(R205*HSCEI!$B$52*HSCEI!$G$52/HSCEI!$B$3,""))</f>
        <v/>
      </c>
      <c r="CG205" s="110">
        <f>IF(S205="","",IFERROR(S205*HSCEI!$B$52*HSCEI!$G$52/HSCEI!$B$3,""))</f>
        <v/>
      </c>
      <c r="CH205" s="110">
        <f>IF(T205="","",IFERROR(T205*HSCEI!$B$52*HSCEI!$G$52/HSCEI!$B$3,""))</f>
        <v/>
      </c>
      <c r="CI205" s="110">
        <f>IF(U205="","",IFERROR(U205*HSCEI!$B$52*HSCEI!$G$52/HSCEI!$B$3,""))</f>
        <v/>
      </c>
      <c r="CJ205" s="110">
        <f>IF(V205="","",IFERROR(V205*HSCEI!$B$52*HSCEI!$G$52/HSCEI!$B$3,""))</f>
        <v/>
      </c>
      <c r="CK205" s="110">
        <f>IF(W205="","",IFERROR(W205*HSCEI!$B$52*HSCEI!$G$52/HSCEI!$B$3,""))</f>
        <v/>
      </c>
      <c r="CL205" s="110">
        <f>IF(X205="","",IFERROR(X205*HSCEI!$B$52*HSCEI!$G$52/HSCEI!$B$3,""))</f>
        <v/>
      </c>
      <c r="CM205" s="110">
        <f>IF(Y205="","",IFERROR(Y205*HSCEI!$B$52*HSCEI!$G$52/HSCEI!$B$3,""))</f>
        <v/>
      </c>
      <c r="CN205" s="110">
        <f>IF(Z205="","",IFERROR(Z205*HSCEI!$B$52*HSCEI!$G$52/HSCEI!$B$3,""))</f>
        <v/>
      </c>
      <c r="CO205" s="110">
        <f>IF(AA205="","",IFERROR(AA205*HSCEI!$B$52*HSCEI!$G$52/HSCEI!$B$3,""))</f>
        <v/>
      </c>
      <c r="CP205" s="110">
        <f>IF(AB205="","",IFERROR(AB205*HSCEI!$B$52*HSCEI!$G$52/HSCEI!$B$3,""))</f>
        <v/>
      </c>
      <c r="CQ205" s="110">
        <f>IF(AC205="","",IFERROR(AC205*HSCEI!$B$52*HSCEI!$G$52/HSCEI!$B$3,""))</f>
        <v/>
      </c>
      <c r="CR205" s="110">
        <f>IF(AD205="","",IFERROR(AD205*HSCEI!$B$52*HSCEI!$G$52/HSCEI!$B$3,""))</f>
        <v/>
      </c>
      <c r="CS205" s="110">
        <f>IF(AE205="","",IFERROR(AE205*HSCEI!$B$52*HSCEI!$G$52/HSCEI!$B$3,""))</f>
        <v/>
      </c>
      <c r="CT205" s="110">
        <f>IF(AF205="","",IFERROR(AF205*HSCEI!$B$52*HSCEI!$G$52/HSCEI!$B$3,""))</f>
        <v/>
      </c>
      <c r="CU205" s="110">
        <f>IF(AG205="","",IFERROR(AG205*HSCEI!$B$52*HSCEI!$G$52/HSCEI!$B$3,""))</f>
        <v/>
      </c>
      <c r="CV205" s="110">
        <f>IF(AH205="","",IFERROR(AH205*HSCEI!$B$52*HSCEI!$G$52/HSCEI!$B$3,""))</f>
        <v/>
      </c>
      <c r="CW205" s="110">
        <f>IF(AI205="","",IFERROR(AI205*HSCEI!$B$52*HSCEI!$G$52/HSCEI!$B$3,""))</f>
        <v/>
      </c>
      <c r="CX205" s="110">
        <f>IF(AJ205="","",IFERROR(AJ205*HSCEI!$B$52*HSCEI!$G$52/HSCEI!$B$3,""))</f>
        <v/>
      </c>
      <c r="CY205" s="110">
        <f>IF(AK205="","",IFERROR(AK205*HSCEI!$B$52*HSCEI!$G$52/HSCEI!$B$3,""))</f>
        <v/>
      </c>
      <c r="CZ205" s="110">
        <f>IF(AL205="","",IFERROR(AL205*HSCEI!$B$52*HSCEI!$G$52/HSCEI!$B$3,""))</f>
        <v/>
      </c>
      <c r="DA205" s="110">
        <f>IF(AM205="","",IFERROR(AM205*HSCEI!$B$52*HSCEI!$G$52/HSCEI!$B$3,""))</f>
        <v/>
      </c>
      <c r="DB205" s="110">
        <f>IF(AN205="","",IFERROR(AN205*HSCEI!$B$52*HSCEI!$G$52/HSCEI!$B$3,""))</f>
        <v/>
      </c>
      <c r="DC205" s="110">
        <f>IF(AO205="","",IFERROR(AO205*HSCEI!$B$52*HSCEI!$G$52/HSCEI!$B$3,""))</f>
        <v/>
      </c>
      <c r="DD205" s="110">
        <f>IF(AP205="","",IFERROR(AP205*HSCEI!$B$52*HSCEI!$G$52/HSCEI!$B$3,""))</f>
        <v/>
      </c>
      <c r="DE205" s="110">
        <f>IF(AQ205="","",IFERROR(AQ205*HSCEI!$B$52*HSCEI!$G$52/HSCEI!$B$3,""))</f>
        <v/>
      </c>
      <c r="DF205" s="110">
        <f>IF(AR205="","",IFERROR(AR205*HSCEI!$B$52*HSCEI!$G$52/HSCEI!$B$3,""))</f>
        <v/>
      </c>
      <c r="DG205" s="110">
        <f>IF(AS205="","",IFERROR(AS205*HSCEI!$B$52*HSCEI!$G$52/HSCEI!$B$3,""))</f>
        <v/>
      </c>
      <c r="DH205" s="110">
        <f>IF(AT205="","",IFERROR(AT205*HSCEI!$B$52*HSCEI!$G$52/HSCEI!$B$3,""))</f>
        <v/>
      </c>
      <c r="DI205" s="110">
        <f>IF(AU205="","",IFERROR(AU205*HSCEI!$B$52*HSCEI!$G$52/HSCEI!$B$3,""))</f>
        <v/>
      </c>
      <c r="DJ205" s="110">
        <f>IF(AV205="","",IFERROR(AV205*HSCEI!$B$52*HSCEI!$G$52/HSCEI!$B$3,""))</f>
        <v/>
      </c>
      <c r="DK205" s="110">
        <f>IF(AW205="","",IFERROR(AW205*HSCEI!$B$52*HSCEI!$G$52/HSCEI!$B$3,""))</f>
        <v/>
      </c>
      <c r="DL205" s="110">
        <f>IF(AX205="","",IFERROR(AX205*HSCEI!$B$52*HSCEI!$G$52/HSCEI!$B$3,""))</f>
        <v/>
      </c>
      <c r="DM205" s="110">
        <f>IF(AY205="","",IFERROR(AY205*HSCEI!$B$52*HSCEI!$G$52/HSCEI!$B$3,""))</f>
        <v/>
      </c>
      <c r="DN205" s="110">
        <f>IF(AZ205="","",IFERROR(AZ205*HSCEI!$B$52*HSCEI!$G$52/HSCEI!$B$3,""))</f>
        <v/>
      </c>
      <c r="DO205" s="110">
        <f>IF(BA205="","",IFERROR(BA205*HSCEI!$B$52*HSCEI!$G$52/HSCEI!$B$3,""))</f>
        <v/>
      </c>
      <c r="DP205" s="110">
        <f>IF(BB205="","",IFERROR(BB205*HSCEI!$B$52*HSCEI!$G$52/HSCEI!$B$3,""))</f>
        <v/>
      </c>
      <c r="DQ205" s="110">
        <f>IF(BC205="","",IFERROR(BC205*HSCEI!$B$52*HSCEI!$G$52/HSCEI!$B$3,""))</f>
        <v/>
      </c>
      <c r="DR205" s="110">
        <f>IF(BD205="","",IFERROR(BD205*HSCEI!$B$52*HSCEI!$G$52/HSCEI!$B$3,""))</f>
        <v/>
      </c>
      <c r="DS205" s="110">
        <f>IF(BE205="","",IFERROR(BE205*HSCEI!$B$52*HSCEI!$G$52/HSCEI!$B$3,""))</f>
        <v/>
      </c>
      <c r="DT205" s="110">
        <f>IF(BF205="","",IFERROR(BF205*HSCEI!$B$52*HSCEI!$G$52/HSCEI!$B$3,""))</f>
        <v/>
      </c>
      <c r="DU205" s="110">
        <f>IF(BG205="","",IFERROR(BG205*HSCEI!$B$52*HSCEI!$G$52/HSCEI!$B$3,""))</f>
        <v/>
      </c>
      <c r="DV205" s="110">
        <f>IF(BH205="","",IFERROR(BH205*HSCEI!$B$52*HSCEI!$G$52/HSCEI!$B$3,""))</f>
        <v/>
      </c>
      <c r="DW205" s="110">
        <f>IF(BI205="","",IFERROR(BI205*HSCEI!$B$52*HSCEI!$G$52/HSCEI!$B$3,""))</f>
        <v/>
      </c>
      <c r="DX205" s="110">
        <f>IF(BJ205="","",IFERROR(BJ205*HSCEI!$B$52*HSCEI!$G$52/HSCEI!$B$3,""))</f>
        <v/>
      </c>
      <c r="DY205" s="110">
        <f>IF(BK205="","",IFERROR(BK205*HSCEI!$B$52*HSCEI!$G$52/HSCEI!$B$3,""))</f>
        <v/>
      </c>
      <c r="DZ205" s="110">
        <f>IF(BL205="","",IFERROR(BL205*HSCEI!$B$52*HSCEI!$G$52/HSCEI!$B$3,""))</f>
        <v/>
      </c>
      <c r="EA205" s="110">
        <f>IF(BM205="","",IFERROR(BM205*HSCEI!$B$52*HSCEI!$G$52/HSCEI!$B$3,""))</f>
        <v/>
      </c>
      <c r="EB205" s="110">
        <f>IF(BN205="","",IFERROR(BN205*HSCEI!$B$52*HSCEI!$G$52/HSCEI!$B$3,""))</f>
        <v/>
      </c>
      <c r="EC205" s="110">
        <f>IF(BO205="","",IFERROR(BO205*HSCEI!$B$52*HSCEI!$G$52/HSCEI!$B$3,""))</f>
        <v/>
      </c>
      <c r="EE205" s="39">
        <f>IF(N('Dvd Calendar'!$E$2056)=0,"",IF(('Dvd Calendar'!$E$2056&gt;=GRID_FROM)*('Dvd Calendar'!$E$2056&lt;=GRID_TO)*((('Dvd Calendar'!$E$2056&lt;=VAL_DATE)+(COUNTIF('Dvd Calendar'!$E$2063:$AR$2063,'Dvd Calendar'!$E$2056)=0))&gt;0)=0,"",'Dvd Calendar'!$E$2056*1000000000+ISNUMBER('Dvd Calendar'!$E$2059)*100000000+('Dvd Calendar'!$E$2061=SPECIAL_LBL)*10000000+(N('Dvd Calendar'!$E$2055)&gt;0)*(N('Dvd Calendar'!$E$2055)&lt;=VAL_SERIAL)*1000000+46*1000+1))</f>
        <v/>
      </c>
      <c r="EF205" s="39">
        <f>IF(N('Dvd Calendar'!$F$2056)=0,"",IF(('Dvd Calendar'!$F$2056&gt;=GRID_FROM)*('Dvd Calendar'!$F$2056&lt;=GRID_TO)*((('Dvd Calendar'!$F$2056&lt;=VAL_DATE)+(COUNTIF('Dvd Calendar'!$E$2063:$AR$2063,'Dvd Calendar'!$F$2056)=0))&gt;0)=0,"",'Dvd Calendar'!$F$2056*1000000000+ISNUMBER('Dvd Calendar'!$F$2059)*100000000+('Dvd Calendar'!$F$2061=SPECIAL_LBL)*10000000+(N('Dvd Calendar'!$F$2055)&gt;0)*(N('Dvd Calendar'!$F$2055)&lt;=VAL_SERIAL)*1000000+46*1000+2))</f>
        <v/>
      </c>
      <c r="EG205" s="39">
        <f>IF(N('Dvd Calendar'!$G$2056)=0,"",IF(('Dvd Calendar'!$G$2056&gt;=GRID_FROM)*('Dvd Calendar'!$G$2056&lt;=GRID_TO)*((('Dvd Calendar'!$G$2056&lt;=VAL_DATE)+(COUNTIF('Dvd Calendar'!$E$2063:$AR$2063,'Dvd Calendar'!$G$2056)=0))&gt;0)=0,"",'Dvd Calendar'!$G$2056*1000000000+ISNUMBER('Dvd Calendar'!$G$2059)*100000000+('Dvd Calendar'!$G$2061=SPECIAL_LBL)*10000000+(N('Dvd Calendar'!$G$2055)&gt;0)*(N('Dvd Calendar'!$G$2055)&lt;=VAL_SERIAL)*1000000+46*1000+3))</f>
        <v/>
      </c>
      <c r="EH205" s="39">
        <f>IF(N('Dvd Calendar'!$H$2056)=0,"",IF(('Dvd Calendar'!$H$2056&gt;=GRID_FROM)*('Dvd Calendar'!$H$2056&lt;=GRID_TO)*((('Dvd Calendar'!$H$2056&lt;=VAL_DATE)+(COUNTIF('Dvd Calendar'!$E$2063:$AR$2063,'Dvd Calendar'!$H$2056)=0))&gt;0)=0,"",'Dvd Calendar'!$H$2056*1000000000+ISNUMBER('Dvd Calendar'!$H$2059)*100000000+('Dvd Calendar'!$H$2061=SPECIAL_LBL)*10000000+(N('Dvd Calendar'!$H$2055)&gt;0)*(N('Dvd Calendar'!$H$2055)&lt;=VAL_SERIAL)*1000000+46*1000+4))</f>
        <v/>
      </c>
      <c r="EI205" s="39">
        <f>IF(N('Dvd Calendar'!$I$2056)=0,"",IF(('Dvd Calendar'!$I$2056&gt;=GRID_FROM)*('Dvd Calendar'!$I$2056&lt;=GRID_TO)*((('Dvd Calendar'!$I$2056&lt;=VAL_DATE)+(COUNTIF('Dvd Calendar'!$E$2063:$AR$2063,'Dvd Calendar'!$I$2056)=0))&gt;0)=0,"",'Dvd Calendar'!$I$2056*1000000000+ISNUMBER('Dvd Calendar'!$I$2059)*100000000+('Dvd Calendar'!$I$2061=SPECIAL_LBL)*10000000+(N('Dvd Calendar'!$I$2055)&gt;0)*(N('Dvd Calendar'!$I$2055)&lt;=VAL_SERIAL)*1000000+46*1000+5))</f>
        <v/>
      </c>
      <c r="EJ205" s="39">
        <f>IF(N('Dvd Calendar'!$J$2056)=0,"",IF(('Dvd Calendar'!$J$2056&gt;=GRID_FROM)*('Dvd Calendar'!$J$2056&lt;=GRID_TO)*((('Dvd Calendar'!$J$2056&lt;=VAL_DATE)+(COUNTIF('Dvd Calendar'!$E$2063:$AR$2063,'Dvd Calendar'!$J$2056)=0))&gt;0)=0,"",'Dvd Calendar'!$J$2056*1000000000+ISNUMBER('Dvd Calendar'!$J$2059)*100000000+('Dvd Calendar'!$J$2061=SPECIAL_LBL)*10000000+(N('Dvd Calendar'!$J$2055)&gt;0)*(N('Dvd Calendar'!$J$2055)&lt;=VAL_SERIAL)*1000000+46*1000+6))</f>
        <v/>
      </c>
      <c r="EK205" s="39">
        <f>IF(N('Dvd Calendar'!$K$2056)=0,"",IF(('Dvd Calendar'!$K$2056&gt;=GRID_FROM)*('Dvd Calendar'!$K$2056&lt;=GRID_TO)*((('Dvd Calendar'!$K$2056&lt;=VAL_DATE)+(COUNTIF('Dvd Calendar'!$E$2063:$AR$2063,'Dvd Calendar'!$K$2056)=0))&gt;0)=0,"",'Dvd Calendar'!$K$2056*1000000000+ISNUMBER('Dvd Calendar'!$K$2059)*100000000+('Dvd Calendar'!$K$2061=SPECIAL_LBL)*10000000+(N('Dvd Calendar'!$K$2055)&gt;0)*(N('Dvd Calendar'!$K$2055)&lt;=VAL_SERIAL)*1000000+46*1000+7))</f>
        <v/>
      </c>
      <c r="EL205" s="39">
        <f>IF(N('Dvd Calendar'!$L$2056)=0,"",IF(('Dvd Calendar'!$L$2056&gt;=GRID_FROM)*('Dvd Calendar'!$L$2056&lt;=GRID_TO)*((('Dvd Calendar'!$L$2056&lt;=VAL_DATE)+(COUNTIF('Dvd Calendar'!$E$2063:$AR$2063,'Dvd Calendar'!$L$2056)=0))&gt;0)=0,"",'Dvd Calendar'!$L$2056*1000000000+ISNUMBER('Dvd Calendar'!$L$2059)*100000000+('Dvd Calendar'!$L$2061=SPECIAL_LBL)*10000000+(N('Dvd Calendar'!$L$2055)&gt;0)*(N('Dvd Calendar'!$L$2055)&lt;=VAL_SERIAL)*1000000+46*1000+8))</f>
        <v/>
      </c>
      <c r="EM205" s="39">
        <f>IF(N('Dvd Calendar'!$M$2056)=0,"",IF(('Dvd Calendar'!$M$2056&gt;=GRID_FROM)*('Dvd Calendar'!$M$2056&lt;=GRID_TO)*((('Dvd Calendar'!$M$2056&lt;=VAL_DATE)+(COUNTIF('Dvd Calendar'!$E$2063:$AR$2063,'Dvd Calendar'!$M$2056)=0))&gt;0)=0,"",'Dvd Calendar'!$M$2056*1000000000+ISNUMBER('Dvd Calendar'!$M$2059)*100000000+('Dvd Calendar'!$M$2061=SPECIAL_LBL)*10000000+(N('Dvd Calendar'!$M$2055)&gt;0)*(N('Dvd Calendar'!$M$2055)&lt;=VAL_SERIAL)*1000000+46*1000+9))</f>
        <v/>
      </c>
      <c r="EN205" s="39">
        <f>IF(N('Dvd Calendar'!$N$2056)=0,"",IF(('Dvd Calendar'!$N$2056&gt;=GRID_FROM)*('Dvd Calendar'!$N$2056&lt;=GRID_TO)*((('Dvd Calendar'!$N$2056&lt;=VAL_DATE)+(COUNTIF('Dvd Calendar'!$E$2063:$AR$2063,'Dvd Calendar'!$N$2056)=0))&gt;0)=0,"",'Dvd Calendar'!$N$2056*1000000000+ISNUMBER('Dvd Calendar'!$N$2059)*100000000+('Dvd Calendar'!$N$2061=SPECIAL_LBL)*10000000+(N('Dvd Calendar'!$N$2055)&gt;0)*(N('Dvd Calendar'!$N$2055)&lt;=VAL_SERIAL)*1000000+46*1000+10))</f>
        <v/>
      </c>
      <c r="EO205" s="39">
        <f>IF(N('Dvd Calendar'!$O$2056)=0,"",IF(('Dvd Calendar'!$O$2056&gt;=GRID_FROM)*('Dvd Calendar'!$O$2056&lt;=GRID_TO)*((('Dvd Calendar'!$O$2056&lt;=VAL_DATE)+(COUNTIF('Dvd Calendar'!$E$2063:$AR$2063,'Dvd Calendar'!$O$2056)=0))&gt;0)=0,"",'Dvd Calendar'!$O$2056*1000000000+ISNUMBER('Dvd Calendar'!$O$2059)*100000000+('Dvd Calendar'!$O$2061=SPECIAL_LBL)*10000000+(N('Dvd Calendar'!$O$2055)&gt;0)*(N('Dvd Calendar'!$O$2055)&lt;=VAL_SERIAL)*1000000+46*1000+11))</f>
        <v/>
      </c>
      <c r="EP205" s="39">
        <f>IF(N('Dvd Calendar'!$P$2056)=0,"",IF(('Dvd Calendar'!$P$2056&gt;=GRID_FROM)*('Dvd Calendar'!$P$2056&lt;=GRID_TO)*((('Dvd Calendar'!$P$2056&lt;=VAL_DATE)+(COUNTIF('Dvd Calendar'!$E$2063:$AR$2063,'Dvd Calendar'!$P$2056)=0))&gt;0)=0,"",'Dvd Calendar'!$P$2056*1000000000+ISNUMBER('Dvd Calendar'!$P$2059)*100000000+('Dvd Calendar'!$P$2061=SPECIAL_LBL)*10000000+(N('Dvd Calendar'!$P$2055)&gt;0)*(N('Dvd Calendar'!$P$2055)&lt;=VAL_SERIAL)*1000000+46*1000+12))</f>
        <v/>
      </c>
      <c r="EQ205" s="39">
        <f>IF(N('Dvd Calendar'!$Q$2056)=0,"",IF(('Dvd Calendar'!$Q$2056&gt;=GRID_FROM)*('Dvd Calendar'!$Q$2056&lt;=GRID_TO)*((('Dvd Calendar'!$Q$2056&lt;=VAL_DATE)+(COUNTIF('Dvd Calendar'!$E$2063:$AR$2063,'Dvd Calendar'!$Q$2056)=0))&gt;0)=0,"",'Dvd Calendar'!$Q$2056*1000000000+ISNUMBER('Dvd Calendar'!$Q$2059)*100000000+('Dvd Calendar'!$Q$2061=SPECIAL_LBL)*10000000+(N('Dvd Calendar'!$Q$2055)&gt;0)*(N('Dvd Calendar'!$Q$2055)&lt;=VAL_SERIAL)*1000000+46*1000+13))</f>
        <v/>
      </c>
      <c r="ER205" s="39">
        <f>IF(N('Dvd Calendar'!$R$2056)=0,"",IF(('Dvd Calendar'!$R$2056&gt;=GRID_FROM)*('Dvd Calendar'!$R$2056&lt;=GRID_TO)*((('Dvd Calendar'!$R$2056&lt;=VAL_DATE)+(COUNTIF('Dvd Calendar'!$E$2063:$AR$2063,'Dvd Calendar'!$R$2056)=0))&gt;0)=0,"",'Dvd Calendar'!$R$2056*1000000000+ISNUMBER('Dvd Calendar'!$R$2059)*100000000+('Dvd Calendar'!$R$2061=SPECIAL_LBL)*10000000+(N('Dvd Calendar'!$R$2055)&gt;0)*(N('Dvd Calendar'!$R$2055)&lt;=VAL_SERIAL)*1000000+46*1000+14))</f>
        <v/>
      </c>
      <c r="ES205" s="39">
        <f>IF(N('Dvd Calendar'!$S$2056)=0,"",IF(('Dvd Calendar'!$S$2056&gt;=GRID_FROM)*('Dvd Calendar'!$S$2056&lt;=GRID_TO)*((('Dvd Calendar'!$S$2056&lt;=VAL_DATE)+(COUNTIF('Dvd Calendar'!$E$2063:$AR$2063,'Dvd Calendar'!$S$2056)=0))&gt;0)=0,"",'Dvd Calendar'!$S$2056*1000000000+ISNUMBER('Dvd Calendar'!$S$2059)*100000000+('Dvd Calendar'!$S$2061=SPECIAL_LBL)*10000000+(N('Dvd Calendar'!$S$2055)&gt;0)*(N('Dvd Calendar'!$S$2055)&lt;=VAL_SERIAL)*1000000+46*1000+15))</f>
        <v/>
      </c>
      <c r="ET205" s="39">
        <f>IF(N('Dvd Calendar'!$T$2056)=0,"",IF(('Dvd Calendar'!$T$2056&gt;=GRID_FROM)*('Dvd Calendar'!$T$2056&lt;=GRID_TO)*((('Dvd Calendar'!$T$2056&lt;=VAL_DATE)+(COUNTIF('Dvd Calendar'!$E$2063:$AR$2063,'Dvd Calendar'!$T$2056)=0))&gt;0)=0,"",'Dvd Calendar'!$T$2056*1000000000+ISNUMBER('Dvd Calendar'!$T$2059)*100000000+('Dvd Calendar'!$T$2061=SPECIAL_LBL)*10000000+(N('Dvd Calendar'!$T$2055)&gt;0)*(N('Dvd Calendar'!$T$2055)&lt;=VAL_SERIAL)*1000000+46*1000+16))</f>
        <v/>
      </c>
      <c r="EU205" s="39">
        <f>IF(N('Dvd Calendar'!$U$2056)=0,"",IF(('Dvd Calendar'!$U$2056&gt;=GRID_FROM)*('Dvd Calendar'!$U$2056&lt;=GRID_TO)*((('Dvd Calendar'!$U$2056&lt;=VAL_DATE)+(COUNTIF('Dvd Calendar'!$E$2063:$AR$2063,'Dvd Calendar'!$U$2056)=0))&gt;0)=0,"",'Dvd Calendar'!$U$2056*1000000000+ISNUMBER('Dvd Calendar'!$U$2059)*100000000+('Dvd Calendar'!$U$2061=SPECIAL_LBL)*10000000+(N('Dvd Calendar'!$U$2055)&gt;0)*(N('Dvd Calendar'!$U$2055)&lt;=VAL_SERIAL)*1000000+46*1000+17))</f>
        <v/>
      </c>
      <c r="EV205" s="39">
        <f>IF(N('Dvd Calendar'!$V$2056)=0,"",IF(('Dvd Calendar'!$V$2056&gt;=GRID_FROM)*('Dvd Calendar'!$V$2056&lt;=GRID_TO)*((('Dvd Calendar'!$V$2056&lt;=VAL_DATE)+(COUNTIF('Dvd Calendar'!$E$2063:$AR$2063,'Dvd Calendar'!$V$2056)=0))&gt;0)=0,"",'Dvd Calendar'!$V$2056*1000000000+ISNUMBER('Dvd Calendar'!$V$2059)*100000000+('Dvd Calendar'!$V$2061=SPECIAL_LBL)*10000000+(N('Dvd Calendar'!$V$2055)&gt;0)*(N('Dvd Calendar'!$V$2055)&lt;=VAL_SERIAL)*1000000+46*1000+18))</f>
        <v/>
      </c>
      <c r="EW205" s="39">
        <f>IF(N('Dvd Calendar'!$W$2056)=0,"",IF(('Dvd Calendar'!$W$2056&gt;=GRID_FROM)*('Dvd Calendar'!$W$2056&lt;=GRID_TO)*((('Dvd Calendar'!$W$2056&lt;=VAL_DATE)+(COUNTIF('Dvd Calendar'!$E$2063:$AR$2063,'Dvd Calendar'!$W$2056)=0))&gt;0)=0,"",'Dvd Calendar'!$W$2056*1000000000+ISNUMBER('Dvd Calendar'!$W$2059)*100000000+('Dvd Calendar'!$W$2061=SPECIAL_LBL)*10000000+(N('Dvd Calendar'!$W$2055)&gt;0)*(N('Dvd Calendar'!$W$2055)&lt;=VAL_SERIAL)*1000000+46*1000+19))</f>
        <v/>
      </c>
      <c r="EX205" s="39">
        <f>IF(N('Dvd Calendar'!$X$2056)=0,"",IF(('Dvd Calendar'!$X$2056&gt;=GRID_FROM)*('Dvd Calendar'!$X$2056&lt;=GRID_TO)*((('Dvd Calendar'!$X$2056&lt;=VAL_DATE)+(COUNTIF('Dvd Calendar'!$E$2063:$AR$2063,'Dvd Calendar'!$X$2056)=0))&gt;0)=0,"",'Dvd Calendar'!$X$2056*1000000000+ISNUMBER('Dvd Calendar'!$X$2059)*100000000+('Dvd Calendar'!$X$2061=SPECIAL_LBL)*10000000+(N('Dvd Calendar'!$X$2055)&gt;0)*(N('Dvd Calendar'!$X$2055)&lt;=VAL_SERIAL)*1000000+46*1000+20))</f>
        <v/>
      </c>
      <c r="EY205" s="39">
        <f>IF(N('Dvd Calendar'!$Y$2056)=0,"",IF(('Dvd Calendar'!$Y$2056&gt;=GRID_FROM)*('Dvd Calendar'!$Y$2056&lt;=GRID_TO)*((('Dvd Calendar'!$Y$2056&lt;=VAL_DATE)+(COUNTIF('Dvd Calendar'!$E$2063:$AR$2063,'Dvd Calendar'!$Y$2056)=0))&gt;0)=0,"",'Dvd Calendar'!$Y$2056*1000000000+ISNUMBER('Dvd Calendar'!$Y$2059)*100000000+('Dvd Calendar'!$Y$2061=SPECIAL_LBL)*10000000+(N('Dvd Calendar'!$Y$2055)&gt;0)*(N('Dvd Calendar'!$Y$2055)&lt;=VAL_SERIAL)*1000000+46*1000+21))</f>
        <v/>
      </c>
      <c r="EZ205" s="39">
        <f>IF(N('Dvd Calendar'!$Z$2056)=0,"",IF(('Dvd Calendar'!$Z$2056&gt;=GRID_FROM)*('Dvd Calendar'!$Z$2056&lt;=GRID_TO)*((('Dvd Calendar'!$Z$2056&lt;=VAL_DATE)+(COUNTIF('Dvd Calendar'!$E$2063:$AR$2063,'Dvd Calendar'!$Z$2056)=0))&gt;0)=0,"",'Dvd Calendar'!$Z$2056*1000000000+ISNUMBER('Dvd Calendar'!$Z$2059)*100000000+('Dvd Calendar'!$Z$2061=SPECIAL_LBL)*10000000+(N('Dvd Calendar'!$Z$2055)&gt;0)*(N('Dvd Calendar'!$Z$2055)&lt;=VAL_SERIAL)*1000000+46*1000+22))</f>
        <v/>
      </c>
      <c r="FA205" s="39">
        <f>IF(N('Dvd Calendar'!$AA$2056)=0,"",IF(('Dvd Calendar'!$AA$2056&gt;=GRID_FROM)*('Dvd Calendar'!$AA$2056&lt;=GRID_TO)*((('Dvd Calendar'!$AA$2056&lt;=VAL_DATE)+(COUNTIF('Dvd Calendar'!$E$2063:$AR$2063,'Dvd Calendar'!$AA$2056)=0))&gt;0)=0,"",'Dvd Calendar'!$AA$2056*1000000000+ISNUMBER('Dvd Calendar'!$AA$2059)*100000000+('Dvd Calendar'!$AA$2061=SPECIAL_LBL)*10000000+(N('Dvd Calendar'!$AA$2055)&gt;0)*(N('Dvd Calendar'!$AA$2055)&lt;=VAL_SERIAL)*1000000+46*1000+23))</f>
        <v/>
      </c>
      <c r="FB205" s="39">
        <f>IF(N('Dvd Calendar'!$AB$2056)=0,"",IF(('Dvd Calendar'!$AB$2056&gt;=GRID_FROM)*('Dvd Calendar'!$AB$2056&lt;=GRID_TO)*((('Dvd Calendar'!$AB$2056&lt;=VAL_DATE)+(COUNTIF('Dvd Calendar'!$E$2063:$AR$2063,'Dvd Calendar'!$AB$2056)=0))&gt;0)=0,"",'Dvd Calendar'!$AB$2056*1000000000+ISNUMBER('Dvd Calendar'!$AB$2059)*100000000+('Dvd Calendar'!$AB$2061=SPECIAL_LBL)*10000000+(N('Dvd Calendar'!$AB$2055)&gt;0)*(N('Dvd Calendar'!$AB$2055)&lt;=VAL_SERIAL)*1000000+46*1000+24))</f>
        <v/>
      </c>
      <c r="FC205" s="39">
        <f>IF(N('Dvd Calendar'!$AC$2056)=0,"",IF(('Dvd Calendar'!$AC$2056&gt;=GRID_FROM)*('Dvd Calendar'!$AC$2056&lt;=GRID_TO)*((('Dvd Calendar'!$AC$2056&lt;=VAL_DATE)+(COUNTIF('Dvd Calendar'!$E$2063:$AR$2063,'Dvd Calendar'!$AC$2056)=0))&gt;0)=0,"",'Dvd Calendar'!$AC$2056*1000000000+ISNUMBER('Dvd Calendar'!$AC$2059)*100000000+('Dvd Calendar'!$AC$2061=SPECIAL_LBL)*10000000+(N('Dvd Calendar'!$AC$2055)&gt;0)*(N('Dvd Calendar'!$AC$2055)&lt;=VAL_SERIAL)*1000000+46*1000+25))</f>
        <v/>
      </c>
      <c r="FD205" s="39">
        <f>IF(N('Dvd Calendar'!$AD$2056)=0,"",IF(('Dvd Calendar'!$AD$2056&gt;=GRID_FROM)*('Dvd Calendar'!$AD$2056&lt;=GRID_TO)*((('Dvd Calendar'!$AD$2056&lt;=VAL_DATE)+(COUNTIF('Dvd Calendar'!$E$2063:$AR$2063,'Dvd Calendar'!$AD$2056)=0))&gt;0)=0,"",'Dvd Calendar'!$AD$2056*1000000000+ISNUMBER('Dvd Calendar'!$AD$2059)*100000000+('Dvd Calendar'!$AD$2061=SPECIAL_LBL)*10000000+(N('Dvd Calendar'!$AD$2055)&gt;0)*(N('Dvd Calendar'!$AD$2055)&lt;=VAL_SERIAL)*1000000+46*1000+26))</f>
        <v/>
      </c>
      <c r="FE205" s="39">
        <f>IF(N('Dvd Calendar'!$AE$2056)=0,"",IF(('Dvd Calendar'!$AE$2056&gt;=GRID_FROM)*('Dvd Calendar'!$AE$2056&lt;=GRID_TO)*((('Dvd Calendar'!$AE$2056&lt;=VAL_DATE)+(COUNTIF('Dvd Calendar'!$E$2063:$AR$2063,'Dvd Calendar'!$AE$2056)=0))&gt;0)=0,"",'Dvd Calendar'!$AE$2056*1000000000+ISNUMBER('Dvd Calendar'!$AE$2059)*100000000+('Dvd Calendar'!$AE$2061=SPECIAL_LBL)*10000000+(N('Dvd Calendar'!$AE$2055)&gt;0)*(N('Dvd Calendar'!$AE$2055)&lt;=VAL_SERIAL)*1000000+46*1000+27))</f>
        <v/>
      </c>
      <c r="FF205" s="39">
        <f>IF(N('Dvd Calendar'!$AF$2056)=0,"",IF(('Dvd Calendar'!$AF$2056&gt;=GRID_FROM)*('Dvd Calendar'!$AF$2056&lt;=GRID_TO)*((('Dvd Calendar'!$AF$2056&lt;=VAL_DATE)+(COUNTIF('Dvd Calendar'!$E$2063:$AR$2063,'Dvd Calendar'!$AF$2056)=0))&gt;0)=0,"",'Dvd Calendar'!$AF$2056*1000000000+ISNUMBER('Dvd Calendar'!$AF$2059)*100000000+('Dvd Calendar'!$AF$2061=SPECIAL_LBL)*10000000+(N('Dvd Calendar'!$AF$2055)&gt;0)*(N('Dvd Calendar'!$AF$2055)&lt;=VAL_SERIAL)*1000000+46*1000+28))</f>
        <v/>
      </c>
      <c r="FG205" s="39">
        <f>IF(N('Dvd Calendar'!$AG$2056)=0,"",IF(('Dvd Calendar'!$AG$2056&gt;=GRID_FROM)*('Dvd Calendar'!$AG$2056&lt;=GRID_TO)*((('Dvd Calendar'!$AG$2056&lt;=VAL_DATE)+(COUNTIF('Dvd Calendar'!$E$2063:$AR$2063,'Dvd Calendar'!$AG$2056)=0))&gt;0)=0,"",'Dvd Calendar'!$AG$2056*1000000000+ISNUMBER('Dvd Calendar'!$AG$2059)*100000000+('Dvd Calendar'!$AG$2061=SPECIAL_LBL)*10000000+(N('Dvd Calendar'!$AG$2055)&gt;0)*(N('Dvd Calendar'!$AG$2055)&lt;=VAL_SERIAL)*1000000+46*1000+29))</f>
        <v/>
      </c>
      <c r="FH205" s="39">
        <f>IF(N('Dvd Calendar'!$AH$2056)=0,"",IF(('Dvd Calendar'!$AH$2056&gt;=GRID_FROM)*('Dvd Calendar'!$AH$2056&lt;=GRID_TO)*((('Dvd Calendar'!$AH$2056&lt;=VAL_DATE)+(COUNTIF('Dvd Calendar'!$E$2063:$AR$2063,'Dvd Calendar'!$AH$2056)=0))&gt;0)=0,"",'Dvd Calendar'!$AH$2056*1000000000+ISNUMBER('Dvd Calendar'!$AH$2059)*100000000+('Dvd Calendar'!$AH$2061=SPECIAL_LBL)*10000000+(N('Dvd Calendar'!$AH$2055)&gt;0)*(N('Dvd Calendar'!$AH$2055)&lt;=VAL_SERIAL)*1000000+46*1000+30))</f>
        <v/>
      </c>
      <c r="FI205" s="39">
        <f>IF(N('Dvd Calendar'!$AI$2056)=0,"",IF(('Dvd Calendar'!$AI$2056&gt;=GRID_FROM)*('Dvd Calendar'!$AI$2056&lt;=GRID_TO)*((('Dvd Calendar'!$AI$2056&lt;=VAL_DATE)+(COUNTIF('Dvd Calendar'!$E$2063:$AR$2063,'Dvd Calendar'!$AI$2056)=0))&gt;0)=0,"",'Dvd Calendar'!$AI$2056*1000000000+ISNUMBER('Dvd Calendar'!$AI$2059)*100000000+('Dvd Calendar'!$AI$2061=SPECIAL_LBL)*10000000+(N('Dvd Calendar'!$AI$2055)&gt;0)*(N('Dvd Calendar'!$AI$2055)&lt;=VAL_SERIAL)*1000000+46*1000+31))</f>
        <v/>
      </c>
      <c r="FJ205" s="39">
        <f>IF(N('Dvd Calendar'!$AJ$2056)=0,"",IF(('Dvd Calendar'!$AJ$2056&gt;=GRID_FROM)*('Dvd Calendar'!$AJ$2056&lt;=GRID_TO)*((('Dvd Calendar'!$AJ$2056&lt;=VAL_DATE)+(COUNTIF('Dvd Calendar'!$E$2063:$AR$2063,'Dvd Calendar'!$AJ$2056)=0))&gt;0)=0,"",'Dvd Calendar'!$AJ$2056*1000000000+ISNUMBER('Dvd Calendar'!$AJ$2059)*100000000+('Dvd Calendar'!$AJ$2061=SPECIAL_LBL)*10000000+(N('Dvd Calendar'!$AJ$2055)&gt;0)*(N('Dvd Calendar'!$AJ$2055)&lt;=VAL_SERIAL)*1000000+46*1000+32))</f>
        <v/>
      </c>
      <c r="FK205" s="39">
        <f>IF(N('Dvd Calendar'!$AK$2056)=0,"",IF(('Dvd Calendar'!$AK$2056&gt;=GRID_FROM)*('Dvd Calendar'!$AK$2056&lt;=GRID_TO)*((('Dvd Calendar'!$AK$2056&lt;=VAL_DATE)+(COUNTIF('Dvd Calendar'!$E$2063:$AR$2063,'Dvd Calendar'!$AK$2056)=0))&gt;0)=0,"",'Dvd Calendar'!$AK$2056*1000000000+ISNUMBER('Dvd Calendar'!$AK$2059)*100000000+('Dvd Calendar'!$AK$2061=SPECIAL_LBL)*10000000+(N('Dvd Calendar'!$AK$2055)&gt;0)*(N('Dvd Calendar'!$AK$2055)&lt;=VAL_SERIAL)*1000000+46*1000+33))</f>
        <v/>
      </c>
      <c r="FL205" s="39">
        <f>IF(N('Dvd Calendar'!$AL$2056)=0,"",IF(('Dvd Calendar'!$AL$2056&gt;=GRID_FROM)*('Dvd Calendar'!$AL$2056&lt;=GRID_TO)*((('Dvd Calendar'!$AL$2056&lt;=VAL_DATE)+(COUNTIF('Dvd Calendar'!$E$2063:$AR$2063,'Dvd Calendar'!$AL$2056)=0))&gt;0)=0,"",'Dvd Calendar'!$AL$2056*1000000000+ISNUMBER('Dvd Calendar'!$AL$2059)*100000000+('Dvd Calendar'!$AL$2061=SPECIAL_LBL)*10000000+(N('Dvd Calendar'!$AL$2055)&gt;0)*(N('Dvd Calendar'!$AL$2055)&lt;=VAL_SERIAL)*1000000+46*1000+34))</f>
        <v/>
      </c>
      <c r="FM205" s="39">
        <f>IF(N('Dvd Calendar'!$AM$2056)=0,"",IF(('Dvd Calendar'!$AM$2056&gt;=GRID_FROM)*('Dvd Calendar'!$AM$2056&lt;=GRID_TO)*((('Dvd Calendar'!$AM$2056&lt;=VAL_DATE)+(COUNTIF('Dvd Calendar'!$E$2063:$AR$2063,'Dvd Calendar'!$AM$2056)=0))&gt;0)=0,"",'Dvd Calendar'!$AM$2056*1000000000+ISNUMBER('Dvd Calendar'!$AM$2059)*100000000+('Dvd Calendar'!$AM$2061=SPECIAL_LBL)*10000000+(N('Dvd Calendar'!$AM$2055)&gt;0)*(N('Dvd Calendar'!$AM$2055)&lt;=VAL_SERIAL)*1000000+46*1000+35))</f>
        <v/>
      </c>
      <c r="FN205" s="39">
        <f>IF(N('Dvd Calendar'!$AN$2056)=0,"",IF(('Dvd Calendar'!$AN$2056&gt;=GRID_FROM)*('Dvd Calendar'!$AN$2056&lt;=GRID_TO)*((('Dvd Calendar'!$AN$2056&lt;=VAL_DATE)+(COUNTIF('Dvd Calendar'!$E$2063:$AR$2063,'Dvd Calendar'!$AN$2056)=0))&gt;0)=0,"",'Dvd Calendar'!$AN$2056*1000000000+ISNUMBER('Dvd Calendar'!$AN$2059)*100000000+('Dvd Calendar'!$AN$2061=SPECIAL_LBL)*10000000+(N('Dvd Calendar'!$AN$2055)&gt;0)*(N('Dvd Calendar'!$AN$2055)&lt;=VAL_SERIAL)*1000000+46*1000+36))</f>
        <v/>
      </c>
      <c r="FO205" s="39">
        <f>IF(N('Dvd Calendar'!$AO$2056)=0,"",IF(('Dvd Calendar'!$AO$2056&gt;=GRID_FROM)*('Dvd Calendar'!$AO$2056&lt;=GRID_TO)*((('Dvd Calendar'!$AO$2056&lt;=VAL_DATE)+(COUNTIF('Dvd Calendar'!$E$2063:$AR$2063,'Dvd Calendar'!$AO$2056)=0))&gt;0)=0,"",'Dvd Calendar'!$AO$2056*1000000000+ISNUMBER('Dvd Calendar'!$AO$2059)*100000000+('Dvd Calendar'!$AO$2061=SPECIAL_LBL)*10000000+(N('Dvd Calendar'!$AO$2055)&gt;0)*(N('Dvd Calendar'!$AO$2055)&lt;=VAL_SERIAL)*1000000+46*1000+37))</f>
        <v/>
      </c>
      <c r="FP205" s="39">
        <f>IF(N('Dvd Calendar'!$AP$2056)=0,"",IF(('Dvd Calendar'!$AP$2056&gt;=GRID_FROM)*('Dvd Calendar'!$AP$2056&lt;=GRID_TO)*((('Dvd Calendar'!$AP$2056&lt;=VAL_DATE)+(COUNTIF('Dvd Calendar'!$E$2063:$AR$2063,'Dvd Calendar'!$AP$2056)=0))&gt;0)=0,"",'Dvd Calendar'!$AP$2056*1000000000+ISNUMBER('Dvd Calendar'!$AP$2059)*100000000+('Dvd Calendar'!$AP$2061=SPECIAL_LBL)*10000000+(N('Dvd Calendar'!$AP$2055)&gt;0)*(N('Dvd Calendar'!$AP$2055)&lt;=VAL_SERIAL)*1000000+46*1000+38))</f>
        <v/>
      </c>
      <c r="FQ205" s="39">
        <f>IF(N('Dvd Calendar'!$AQ$2056)=0,"",IF(('Dvd Calendar'!$AQ$2056&gt;=GRID_FROM)*('Dvd Calendar'!$AQ$2056&lt;=GRID_TO)*((('Dvd Calendar'!$AQ$2056&lt;=VAL_DATE)+(COUNTIF('Dvd Calendar'!$E$2063:$AR$2063,'Dvd Calendar'!$AQ$2056)=0))&gt;0)=0,"",'Dvd Calendar'!$AQ$2056*1000000000+ISNUMBER('Dvd Calendar'!$AQ$2059)*100000000+('Dvd Calendar'!$AQ$2061=SPECIAL_LBL)*10000000+(N('Dvd Calendar'!$AQ$2055)&gt;0)*(N('Dvd Calendar'!$AQ$2055)&lt;=VAL_SERIAL)*1000000+46*1000+39))</f>
        <v/>
      </c>
      <c r="FR205" s="39">
        <f>IF(N('Dvd Calendar'!$AR$2056)=0,"",IF(('Dvd Calendar'!$AR$2056&gt;=GRID_FROM)*('Dvd Calendar'!$AR$2056&lt;=GRID_TO)*((('Dvd Calendar'!$AR$2056&lt;=VAL_DATE)+(COUNTIF('Dvd Calendar'!$E$2063:$AR$2063,'Dvd Calendar'!$AR$2056)=0))&gt;0)=0,"",'Dvd Calendar'!$AR$2056*1000000000+ISNUMBER('Dvd Calendar'!$AR$2059)*100000000+('Dvd Calendar'!$AR$2061=SPECIAL_LBL)*10000000+(N('Dvd Calendar'!$AR$2055)&gt;0)*(N('Dvd Calendar'!$AR$2055)&lt;=VAL_SERIAL)*1000000+46*1000+40))</f>
        <v/>
      </c>
      <c r="FS205" s="39">
        <f>IF(N('Dvd Calendar'!$E$2063)=0,"",IF(('Dvd Calendar'!$E$2063&gt;=GRID_FROM)*('Dvd Calendar'!$E$2063&lt;=GRID_TO)*('Dvd Calendar'!$E$2063&gt;VAL_DATE)=0,"",'Dvd Calendar'!$E$2063*1000000000+ISNUMBER('Dvd Calendar'!$E$2064)*100000000+0*10000000+(N('Dvd Calendar'!$E$2062)&gt;0)*(N('Dvd Calendar'!$E$2062)&lt;=VAL_SERIAL)*1000000+46*1000+41))</f>
        <v/>
      </c>
      <c r="FT205" s="39">
        <f>IF(N('Dvd Calendar'!$F$2063)=0,"",IF(('Dvd Calendar'!$F$2063&gt;=GRID_FROM)*('Dvd Calendar'!$F$2063&lt;=GRID_TO)*('Dvd Calendar'!$F$2063&gt;VAL_DATE)=0,"",'Dvd Calendar'!$F$2063*1000000000+ISNUMBER('Dvd Calendar'!$F$2064)*100000000+0*10000000+(N('Dvd Calendar'!$F$2062)&gt;0)*(N('Dvd Calendar'!$F$2062)&lt;=VAL_SERIAL)*1000000+46*1000+42))</f>
        <v/>
      </c>
      <c r="FU205" s="39">
        <f>IF(N('Dvd Calendar'!$G$2063)=0,"",IF(('Dvd Calendar'!$G$2063&gt;=GRID_FROM)*('Dvd Calendar'!$G$2063&lt;=GRID_TO)*('Dvd Calendar'!$G$2063&gt;VAL_DATE)=0,"",'Dvd Calendar'!$G$2063*1000000000+ISNUMBER('Dvd Calendar'!$G$2064)*100000000+0*10000000+(N('Dvd Calendar'!$G$2062)&gt;0)*(N('Dvd Calendar'!$G$2062)&lt;=VAL_SERIAL)*1000000+46*1000+43))</f>
        <v/>
      </c>
      <c r="FV205" s="39">
        <f>IF(N('Dvd Calendar'!$H$2063)=0,"",IF(('Dvd Calendar'!$H$2063&gt;=GRID_FROM)*('Dvd Calendar'!$H$2063&lt;=GRID_TO)*('Dvd Calendar'!$H$2063&gt;VAL_DATE)=0,"",'Dvd Calendar'!$H$2063*1000000000+ISNUMBER('Dvd Calendar'!$H$2064)*100000000+0*10000000+(N('Dvd Calendar'!$H$2062)&gt;0)*(N('Dvd Calendar'!$H$2062)&lt;=VAL_SERIAL)*1000000+46*1000+44))</f>
        <v/>
      </c>
      <c r="FW205" s="39">
        <f>IF(N('Dvd Calendar'!$I$2063)=0,"",IF(('Dvd Calendar'!$I$2063&gt;=GRID_FROM)*('Dvd Calendar'!$I$2063&lt;=GRID_TO)*('Dvd Calendar'!$I$2063&gt;VAL_DATE)=0,"",'Dvd Calendar'!$I$2063*1000000000+ISNUMBER('Dvd Calendar'!$I$2064)*100000000+0*10000000+(N('Dvd Calendar'!$I$2062)&gt;0)*(N('Dvd Calendar'!$I$2062)&lt;=VAL_SERIAL)*1000000+46*1000+45))</f>
        <v/>
      </c>
      <c r="FX205" s="39">
        <f>IF(N('Dvd Calendar'!$J$2063)=0,"",IF(('Dvd Calendar'!$J$2063&gt;=GRID_FROM)*('Dvd Calendar'!$J$2063&lt;=GRID_TO)*('Dvd Calendar'!$J$2063&gt;VAL_DATE)=0,"",'Dvd Calendar'!$J$2063*1000000000+ISNUMBER('Dvd Calendar'!$J$2064)*100000000+0*10000000+(N('Dvd Calendar'!$J$2062)&gt;0)*(N('Dvd Calendar'!$J$2062)&lt;=VAL_SERIAL)*1000000+46*1000+46))</f>
        <v/>
      </c>
      <c r="FY205" s="39">
        <f>IF(N('Dvd Calendar'!$K$2063)=0,"",IF(('Dvd Calendar'!$K$2063&gt;=GRID_FROM)*('Dvd Calendar'!$K$2063&lt;=GRID_TO)*('Dvd Calendar'!$K$2063&gt;VAL_DATE)=0,"",'Dvd Calendar'!$K$2063*1000000000+ISNUMBER('Dvd Calendar'!$K$2064)*100000000+0*10000000+(N('Dvd Calendar'!$K$2062)&gt;0)*(N('Dvd Calendar'!$K$2062)&lt;=VAL_SERIAL)*1000000+46*1000+47))</f>
        <v/>
      </c>
      <c r="FZ205" s="39">
        <f>IF(N('Dvd Calendar'!$L$2063)=0,"",IF(('Dvd Calendar'!$L$2063&gt;=GRID_FROM)*('Dvd Calendar'!$L$2063&lt;=GRID_TO)*('Dvd Calendar'!$L$2063&gt;VAL_DATE)=0,"",'Dvd Calendar'!$L$2063*1000000000+ISNUMBER('Dvd Calendar'!$L$2064)*100000000+0*10000000+(N('Dvd Calendar'!$L$2062)&gt;0)*(N('Dvd Calendar'!$L$2062)&lt;=VAL_SERIAL)*1000000+46*1000+48))</f>
        <v/>
      </c>
      <c r="GA205" s="39">
        <f>IF(N('Dvd Calendar'!$M$2063)=0,"",IF(('Dvd Calendar'!$M$2063&gt;=GRID_FROM)*('Dvd Calendar'!$M$2063&lt;=GRID_TO)*('Dvd Calendar'!$M$2063&gt;VAL_DATE)=0,"",'Dvd Calendar'!$M$2063*1000000000+ISNUMBER('Dvd Calendar'!$M$2064)*100000000+0*10000000+(N('Dvd Calendar'!$M$2062)&gt;0)*(N('Dvd Calendar'!$M$2062)&lt;=VAL_SERIAL)*1000000+46*1000+49))</f>
        <v/>
      </c>
      <c r="GB205" s="39">
        <f>IF(N('Dvd Calendar'!$N$2063)=0,"",IF(('Dvd Calendar'!$N$2063&gt;=GRID_FROM)*('Dvd Calendar'!$N$2063&lt;=GRID_TO)*('Dvd Calendar'!$N$2063&gt;VAL_DATE)=0,"",'Dvd Calendar'!$N$2063*1000000000+ISNUMBER('Dvd Calendar'!$N$2064)*100000000+0*10000000+(N('Dvd Calendar'!$N$2062)&gt;0)*(N('Dvd Calendar'!$N$2062)&lt;=VAL_SERIAL)*1000000+46*1000+50))</f>
        <v/>
      </c>
      <c r="GC205" s="39">
        <f>IF(N('Dvd Calendar'!$O$2063)=0,"",IF(('Dvd Calendar'!$O$2063&gt;=GRID_FROM)*('Dvd Calendar'!$O$2063&lt;=GRID_TO)*('Dvd Calendar'!$O$2063&gt;VAL_DATE)=0,"",'Dvd Calendar'!$O$2063*1000000000+ISNUMBER('Dvd Calendar'!$O$2064)*100000000+0*10000000+(N('Dvd Calendar'!$O$2062)&gt;0)*(N('Dvd Calendar'!$O$2062)&lt;=VAL_SERIAL)*1000000+46*1000+51))</f>
        <v/>
      </c>
      <c r="GD205" s="39">
        <f>IF(N('Dvd Calendar'!$P$2063)=0,"",IF(('Dvd Calendar'!$P$2063&gt;=GRID_FROM)*('Dvd Calendar'!$P$2063&lt;=GRID_TO)*('Dvd Calendar'!$P$2063&gt;VAL_DATE)=0,"",'Dvd Calendar'!$P$2063*1000000000+ISNUMBER('Dvd Calendar'!$P$2064)*100000000+0*10000000+(N('Dvd Calendar'!$P$2062)&gt;0)*(N('Dvd Calendar'!$P$2062)&lt;=VAL_SERIAL)*1000000+46*1000+52))</f>
        <v/>
      </c>
      <c r="GE205" s="39">
        <f>IF(N('Dvd Calendar'!$Q$2063)=0,"",IF(('Dvd Calendar'!$Q$2063&gt;=GRID_FROM)*('Dvd Calendar'!$Q$2063&lt;=GRID_TO)*('Dvd Calendar'!$Q$2063&gt;VAL_DATE)=0,"",'Dvd Calendar'!$Q$2063*1000000000+ISNUMBER('Dvd Calendar'!$Q$2064)*100000000+0*10000000+(N('Dvd Calendar'!$Q$2062)&gt;0)*(N('Dvd Calendar'!$Q$2062)&lt;=VAL_SERIAL)*1000000+46*1000+53))</f>
        <v/>
      </c>
      <c r="GF205" s="39">
        <f>IF(N('Dvd Calendar'!$R$2063)=0,"",IF(('Dvd Calendar'!$R$2063&gt;=GRID_FROM)*('Dvd Calendar'!$R$2063&lt;=GRID_TO)*('Dvd Calendar'!$R$2063&gt;VAL_DATE)=0,"",'Dvd Calendar'!$R$2063*1000000000+ISNUMBER('Dvd Calendar'!$R$2064)*100000000+0*10000000+(N('Dvd Calendar'!$R$2062)&gt;0)*(N('Dvd Calendar'!$R$2062)&lt;=VAL_SERIAL)*1000000+46*1000+54))</f>
        <v/>
      </c>
      <c r="GG205" s="39">
        <f>IF(N('Dvd Calendar'!$S$2063)=0,"",IF(('Dvd Calendar'!$S$2063&gt;=GRID_FROM)*('Dvd Calendar'!$S$2063&lt;=GRID_TO)*('Dvd Calendar'!$S$2063&gt;VAL_DATE)=0,"",'Dvd Calendar'!$S$2063*1000000000+ISNUMBER('Dvd Calendar'!$S$2064)*100000000+0*10000000+(N('Dvd Calendar'!$S$2062)&gt;0)*(N('Dvd Calendar'!$S$2062)&lt;=VAL_SERIAL)*1000000+46*1000+55))</f>
        <v/>
      </c>
      <c r="GH205" s="39">
        <f>IF(N('Dvd Calendar'!$T$2063)=0,"",IF(('Dvd Calendar'!$T$2063&gt;=GRID_FROM)*('Dvd Calendar'!$T$2063&lt;=GRID_TO)*('Dvd Calendar'!$T$2063&gt;VAL_DATE)=0,"",'Dvd Calendar'!$T$2063*1000000000+ISNUMBER('Dvd Calendar'!$T$2064)*100000000+0*10000000+(N('Dvd Calendar'!$T$2062)&gt;0)*(N('Dvd Calendar'!$T$2062)&lt;=VAL_SERIAL)*1000000+46*1000+56))</f>
        <v/>
      </c>
      <c r="GI205" s="39">
        <f>IF(N('Dvd Calendar'!$U$2063)=0,"",IF(('Dvd Calendar'!$U$2063&gt;=GRID_FROM)*('Dvd Calendar'!$U$2063&lt;=GRID_TO)*('Dvd Calendar'!$U$2063&gt;VAL_DATE)=0,"",'Dvd Calendar'!$U$2063*1000000000+ISNUMBER('Dvd Calendar'!$U$2064)*100000000+0*10000000+(N('Dvd Calendar'!$U$2062)&gt;0)*(N('Dvd Calendar'!$U$2062)&lt;=VAL_SERIAL)*1000000+46*1000+57))</f>
        <v/>
      </c>
      <c r="GJ205" s="39">
        <f>IF(N('Dvd Calendar'!$V$2063)=0,"",IF(('Dvd Calendar'!$V$2063&gt;=GRID_FROM)*('Dvd Calendar'!$V$2063&lt;=GRID_TO)*('Dvd Calendar'!$V$2063&gt;VAL_DATE)=0,"",'Dvd Calendar'!$V$2063*1000000000+ISNUMBER('Dvd Calendar'!$V$2064)*100000000+0*10000000+(N('Dvd Calendar'!$V$2062)&gt;0)*(N('Dvd Calendar'!$V$2062)&lt;=VAL_SERIAL)*1000000+46*1000+58))</f>
        <v/>
      </c>
      <c r="GK205" s="39">
        <f>IF(N('Dvd Calendar'!$W$2063)=0,"",IF(('Dvd Calendar'!$W$2063&gt;=GRID_FROM)*('Dvd Calendar'!$W$2063&lt;=GRID_TO)*('Dvd Calendar'!$W$2063&gt;VAL_DATE)=0,"",'Dvd Calendar'!$W$2063*1000000000+ISNUMBER('Dvd Calendar'!$W$2064)*100000000+0*10000000+(N('Dvd Calendar'!$W$2062)&gt;0)*(N('Dvd Calendar'!$W$2062)&lt;=VAL_SERIAL)*1000000+46*1000+59))</f>
        <v/>
      </c>
      <c r="GL205" s="39">
        <f>IF(N('Dvd Calendar'!$X$2063)=0,"",IF(('Dvd Calendar'!$X$2063&gt;=GRID_FROM)*('Dvd Calendar'!$X$2063&lt;=GRID_TO)*('Dvd Calendar'!$X$2063&gt;VAL_DATE)=0,"",'Dvd Calendar'!$X$2063*1000000000+ISNUMBER('Dvd Calendar'!$X$2064)*100000000+0*10000000+(N('Dvd Calendar'!$X$2062)&gt;0)*(N('Dvd Calendar'!$X$2062)&lt;=VAL_SERIAL)*1000000+46*1000+60))</f>
        <v/>
      </c>
      <c r="GM205" s="39">
        <f>IF(N('Dvd Calendar'!$Y$2063)=0,"",IF(('Dvd Calendar'!$Y$2063&gt;=GRID_FROM)*('Dvd Calendar'!$Y$2063&lt;=GRID_TO)*('Dvd Calendar'!$Y$2063&gt;VAL_DATE)=0,"",'Dvd Calendar'!$Y$2063*1000000000+ISNUMBER('Dvd Calendar'!$Y$2064)*100000000+0*10000000+(N('Dvd Calendar'!$Y$2062)&gt;0)*(N('Dvd Calendar'!$Y$2062)&lt;=VAL_SERIAL)*1000000+46*1000+61))</f>
        <v/>
      </c>
      <c r="GN205" s="39">
        <f>IF(N('Dvd Calendar'!$Z$2063)=0,"",IF(('Dvd Calendar'!$Z$2063&gt;=GRID_FROM)*('Dvd Calendar'!$Z$2063&lt;=GRID_TO)*('Dvd Calendar'!$Z$2063&gt;VAL_DATE)=0,"",'Dvd Calendar'!$Z$2063*1000000000+ISNUMBER('Dvd Calendar'!$Z$2064)*100000000+0*10000000+(N('Dvd Calendar'!$Z$2062)&gt;0)*(N('Dvd Calendar'!$Z$2062)&lt;=VAL_SERIAL)*1000000+46*1000+62))</f>
        <v/>
      </c>
      <c r="GO205" s="39">
        <f>IF(N('Dvd Calendar'!$AA$2063)=0,"",IF(('Dvd Calendar'!$AA$2063&gt;=GRID_FROM)*('Dvd Calendar'!$AA$2063&lt;=GRID_TO)*('Dvd Calendar'!$AA$2063&gt;VAL_DATE)=0,"",'Dvd Calendar'!$AA$2063*1000000000+ISNUMBER('Dvd Calendar'!$AA$2064)*100000000+0*10000000+(N('Dvd Calendar'!$AA$2062)&gt;0)*(N('Dvd Calendar'!$AA$2062)&lt;=VAL_SERIAL)*1000000+46*1000+63))</f>
        <v/>
      </c>
      <c r="GP205" s="39">
        <f>IF(N('Dvd Calendar'!$AB$2063)=0,"",IF(('Dvd Calendar'!$AB$2063&gt;=GRID_FROM)*('Dvd Calendar'!$AB$2063&lt;=GRID_TO)*('Dvd Calendar'!$AB$2063&gt;VAL_DATE)=0,"",'Dvd Calendar'!$AB$2063*1000000000+ISNUMBER('Dvd Calendar'!$AB$2064)*100000000+0*10000000+(N('Dvd Calendar'!$AB$2062)&gt;0)*(N('Dvd Calendar'!$AB$2062)&lt;=VAL_SERIAL)*1000000+46*1000+64))</f>
        <v/>
      </c>
      <c r="GQ205" s="39">
        <f>IF(N('Dvd Calendar'!$AC$2063)=0,"",IF(('Dvd Calendar'!$AC$2063&gt;=GRID_FROM)*('Dvd Calendar'!$AC$2063&lt;=GRID_TO)*('Dvd Calendar'!$AC$2063&gt;VAL_DATE)=0,"",'Dvd Calendar'!$AC$2063*1000000000+ISNUMBER('Dvd Calendar'!$AC$2064)*100000000+0*10000000+(N('Dvd Calendar'!$AC$2062)&gt;0)*(N('Dvd Calendar'!$AC$2062)&lt;=VAL_SERIAL)*1000000+46*1000+65))</f>
        <v/>
      </c>
    </row>
    <row r="206">
      <c r="B206" s="2">
        <f>IF(HSCEI!$C$53="","",HSCEI!$C$53)</f>
        <v/>
      </c>
      <c r="C206" s="110">
        <f>IF(EE206="","",IF(ISNUMBER('Dvd Calendar'!$E$2070)=FALSE,"",IF((('Dvd Calendar'!$E$2072=TYPE1)*(TYPE1&lt;&gt;"")+('Dvd Calendar'!$E$2072=TYPE2)*(TYPE2&lt;&gt;"")+('Dvd Calendar'!$E$2072=TYPE3)*(TYPE3&lt;&gt;"")+('Dvd Calendar'!$E$2072=TYPE4)*(TYPE4&lt;&gt;"")+('Dvd Calendar'!$E$2072=SPECIAL_LBL)*(INC_SPECIALS="Y"))=0,"",'Dvd Calendar'!$E$2070)))</f>
        <v/>
      </c>
      <c r="D206" s="110">
        <f>IF(EF206="","",IF(ISNUMBER('Dvd Calendar'!$F$2070)=FALSE,"",IF((('Dvd Calendar'!$F$2072=TYPE1)*(TYPE1&lt;&gt;"")+('Dvd Calendar'!$F$2072=TYPE2)*(TYPE2&lt;&gt;"")+('Dvd Calendar'!$F$2072=TYPE3)*(TYPE3&lt;&gt;"")+('Dvd Calendar'!$F$2072=TYPE4)*(TYPE4&lt;&gt;"")+('Dvd Calendar'!$F$2072=SPECIAL_LBL)*(INC_SPECIALS="Y"))=0,"",'Dvd Calendar'!$F$2070)))</f>
        <v/>
      </c>
      <c r="E206" s="110">
        <f>IF(EG206="","",IF(ISNUMBER('Dvd Calendar'!$G$2070)=FALSE,"",IF((('Dvd Calendar'!$G$2072=TYPE1)*(TYPE1&lt;&gt;"")+('Dvd Calendar'!$G$2072=TYPE2)*(TYPE2&lt;&gt;"")+('Dvd Calendar'!$G$2072=TYPE3)*(TYPE3&lt;&gt;"")+('Dvd Calendar'!$G$2072=TYPE4)*(TYPE4&lt;&gt;"")+('Dvd Calendar'!$G$2072=SPECIAL_LBL)*(INC_SPECIALS="Y"))=0,"",'Dvd Calendar'!$G$2070)))</f>
        <v/>
      </c>
      <c r="F206" s="110">
        <f>IF(EH206="","",IF(ISNUMBER('Dvd Calendar'!$H$2070)=FALSE,"",IF((('Dvd Calendar'!$H$2072=TYPE1)*(TYPE1&lt;&gt;"")+('Dvd Calendar'!$H$2072=TYPE2)*(TYPE2&lt;&gt;"")+('Dvd Calendar'!$H$2072=TYPE3)*(TYPE3&lt;&gt;"")+('Dvd Calendar'!$H$2072=TYPE4)*(TYPE4&lt;&gt;"")+('Dvd Calendar'!$H$2072=SPECIAL_LBL)*(INC_SPECIALS="Y"))=0,"",'Dvd Calendar'!$H$2070)))</f>
        <v/>
      </c>
      <c r="G206" s="110">
        <f>IF(EI206="","",IF(ISNUMBER('Dvd Calendar'!$I$2070)=FALSE,"",IF((('Dvd Calendar'!$I$2072=TYPE1)*(TYPE1&lt;&gt;"")+('Dvd Calendar'!$I$2072=TYPE2)*(TYPE2&lt;&gt;"")+('Dvd Calendar'!$I$2072=TYPE3)*(TYPE3&lt;&gt;"")+('Dvd Calendar'!$I$2072=TYPE4)*(TYPE4&lt;&gt;"")+('Dvd Calendar'!$I$2072=SPECIAL_LBL)*(INC_SPECIALS="Y"))=0,"",'Dvd Calendar'!$I$2070)))</f>
        <v/>
      </c>
      <c r="H206" s="110">
        <f>IF(EJ206="","",IF(ISNUMBER('Dvd Calendar'!$J$2070)=FALSE,"",IF((('Dvd Calendar'!$J$2072=TYPE1)*(TYPE1&lt;&gt;"")+('Dvd Calendar'!$J$2072=TYPE2)*(TYPE2&lt;&gt;"")+('Dvd Calendar'!$J$2072=TYPE3)*(TYPE3&lt;&gt;"")+('Dvd Calendar'!$J$2072=TYPE4)*(TYPE4&lt;&gt;"")+('Dvd Calendar'!$J$2072=SPECIAL_LBL)*(INC_SPECIALS="Y"))=0,"",'Dvd Calendar'!$J$2070)))</f>
        <v/>
      </c>
      <c r="I206" s="110">
        <f>IF(EK206="","",IF(ISNUMBER('Dvd Calendar'!$K$2070)=FALSE,"",IF((('Dvd Calendar'!$K$2072=TYPE1)*(TYPE1&lt;&gt;"")+('Dvd Calendar'!$K$2072=TYPE2)*(TYPE2&lt;&gt;"")+('Dvd Calendar'!$K$2072=TYPE3)*(TYPE3&lt;&gt;"")+('Dvd Calendar'!$K$2072=TYPE4)*(TYPE4&lt;&gt;"")+('Dvd Calendar'!$K$2072=SPECIAL_LBL)*(INC_SPECIALS="Y"))=0,"",'Dvd Calendar'!$K$2070)))</f>
        <v/>
      </c>
      <c r="J206" s="110">
        <f>IF(EL206="","",IF(ISNUMBER('Dvd Calendar'!$L$2070)=FALSE,"",IF((('Dvd Calendar'!$L$2072=TYPE1)*(TYPE1&lt;&gt;"")+('Dvd Calendar'!$L$2072=TYPE2)*(TYPE2&lt;&gt;"")+('Dvd Calendar'!$L$2072=TYPE3)*(TYPE3&lt;&gt;"")+('Dvd Calendar'!$L$2072=TYPE4)*(TYPE4&lt;&gt;"")+('Dvd Calendar'!$L$2072=SPECIAL_LBL)*(INC_SPECIALS="Y"))=0,"",'Dvd Calendar'!$L$2070)))</f>
        <v/>
      </c>
      <c r="K206" s="110">
        <f>IF(EM206="","",IF(ISNUMBER('Dvd Calendar'!$M$2070)=FALSE,"",IF((('Dvd Calendar'!$M$2072=TYPE1)*(TYPE1&lt;&gt;"")+('Dvd Calendar'!$M$2072=TYPE2)*(TYPE2&lt;&gt;"")+('Dvd Calendar'!$M$2072=TYPE3)*(TYPE3&lt;&gt;"")+('Dvd Calendar'!$M$2072=TYPE4)*(TYPE4&lt;&gt;"")+('Dvd Calendar'!$M$2072=SPECIAL_LBL)*(INC_SPECIALS="Y"))=0,"",'Dvd Calendar'!$M$2070)))</f>
        <v/>
      </c>
      <c r="L206" s="110">
        <f>IF(EN206="","",IF(ISNUMBER('Dvd Calendar'!$N$2070)=FALSE,"",IF((('Dvd Calendar'!$N$2072=TYPE1)*(TYPE1&lt;&gt;"")+('Dvd Calendar'!$N$2072=TYPE2)*(TYPE2&lt;&gt;"")+('Dvd Calendar'!$N$2072=TYPE3)*(TYPE3&lt;&gt;"")+('Dvd Calendar'!$N$2072=TYPE4)*(TYPE4&lt;&gt;"")+('Dvd Calendar'!$N$2072=SPECIAL_LBL)*(INC_SPECIALS="Y"))=0,"",'Dvd Calendar'!$N$2070)))</f>
        <v/>
      </c>
      <c r="M206" s="110">
        <f>IF(EO206="","",IF(ISNUMBER('Dvd Calendar'!$O$2070)=FALSE,"",IF((('Dvd Calendar'!$O$2072=TYPE1)*(TYPE1&lt;&gt;"")+('Dvd Calendar'!$O$2072=TYPE2)*(TYPE2&lt;&gt;"")+('Dvd Calendar'!$O$2072=TYPE3)*(TYPE3&lt;&gt;"")+('Dvd Calendar'!$O$2072=TYPE4)*(TYPE4&lt;&gt;"")+('Dvd Calendar'!$O$2072=SPECIAL_LBL)*(INC_SPECIALS="Y"))=0,"",'Dvd Calendar'!$O$2070)))</f>
        <v/>
      </c>
      <c r="N206" s="110">
        <f>IF(EP206="","",IF(ISNUMBER('Dvd Calendar'!$P$2070)=FALSE,"",IF((('Dvd Calendar'!$P$2072=TYPE1)*(TYPE1&lt;&gt;"")+('Dvd Calendar'!$P$2072=TYPE2)*(TYPE2&lt;&gt;"")+('Dvd Calendar'!$P$2072=TYPE3)*(TYPE3&lt;&gt;"")+('Dvd Calendar'!$P$2072=TYPE4)*(TYPE4&lt;&gt;"")+('Dvd Calendar'!$P$2072=SPECIAL_LBL)*(INC_SPECIALS="Y"))=0,"",'Dvd Calendar'!$P$2070)))</f>
        <v/>
      </c>
      <c r="O206" s="110">
        <f>IF(EQ206="","",IF(ISNUMBER('Dvd Calendar'!$Q$2070)=FALSE,"",IF((('Dvd Calendar'!$Q$2072=TYPE1)*(TYPE1&lt;&gt;"")+('Dvd Calendar'!$Q$2072=TYPE2)*(TYPE2&lt;&gt;"")+('Dvd Calendar'!$Q$2072=TYPE3)*(TYPE3&lt;&gt;"")+('Dvd Calendar'!$Q$2072=TYPE4)*(TYPE4&lt;&gt;"")+('Dvd Calendar'!$Q$2072=SPECIAL_LBL)*(INC_SPECIALS="Y"))=0,"",'Dvd Calendar'!$Q$2070)))</f>
        <v/>
      </c>
      <c r="P206" s="110">
        <f>IF(ER206="","",IF(ISNUMBER('Dvd Calendar'!$R$2070)=FALSE,"",IF((('Dvd Calendar'!$R$2072=TYPE1)*(TYPE1&lt;&gt;"")+('Dvd Calendar'!$R$2072=TYPE2)*(TYPE2&lt;&gt;"")+('Dvd Calendar'!$R$2072=TYPE3)*(TYPE3&lt;&gt;"")+('Dvd Calendar'!$R$2072=TYPE4)*(TYPE4&lt;&gt;"")+('Dvd Calendar'!$R$2072=SPECIAL_LBL)*(INC_SPECIALS="Y"))=0,"",'Dvd Calendar'!$R$2070)))</f>
        <v/>
      </c>
      <c r="Q206" s="110">
        <f>IF(ES206="","",IF(ISNUMBER('Dvd Calendar'!$S$2070)=FALSE,"",IF((('Dvd Calendar'!$S$2072=TYPE1)*(TYPE1&lt;&gt;"")+('Dvd Calendar'!$S$2072=TYPE2)*(TYPE2&lt;&gt;"")+('Dvd Calendar'!$S$2072=TYPE3)*(TYPE3&lt;&gt;"")+('Dvd Calendar'!$S$2072=TYPE4)*(TYPE4&lt;&gt;"")+('Dvd Calendar'!$S$2072=SPECIAL_LBL)*(INC_SPECIALS="Y"))=0,"",'Dvd Calendar'!$S$2070)))</f>
        <v/>
      </c>
      <c r="R206" s="110">
        <f>IF(ET206="","",IF(ISNUMBER('Dvd Calendar'!$T$2070)=FALSE,"",IF((('Dvd Calendar'!$T$2072=TYPE1)*(TYPE1&lt;&gt;"")+('Dvd Calendar'!$T$2072=TYPE2)*(TYPE2&lt;&gt;"")+('Dvd Calendar'!$T$2072=TYPE3)*(TYPE3&lt;&gt;"")+('Dvd Calendar'!$T$2072=TYPE4)*(TYPE4&lt;&gt;"")+('Dvd Calendar'!$T$2072=SPECIAL_LBL)*(INC_SPECIALS="Y"))=0,"",'Dvd Calendar'!$T$2070)))</f>
        <v/>
      </c>
      <c r="S206" s="110">
        <f>IF(EU206="","",IF(ISNUMBER('Dvd Calendar'!$U$2070)=FALSE,"",IF((('Dvd Calendar'!$U$2072=TYPE1)*(TYPE1&lt;&gt;"")+('Dvd Calendar'!$U$2072=TYPE2)*(TYPE2&lt;&gt;"")+('Dvd Calendar'!$U$2072=TYPE3)*(TYPE3&lt;&gt;"")+('Dvd Calendar'!$U$2072=TYPE4)*(TYPE4&lt;&gt;"")+('Dvd Calendar'!$U$2072=SPECIAL_LBL)*(INC_SPECIALS="Y"))=0,"",'Dvd Calendar'!$U$2070)))</f>
        <v/>
      </c>
      <c r="T206" s="110">
        <f>IF(EV206="","",IF(ISNUMBER('Dvd Calendar'!$V$2070)=FALSE,"",IF((('Dvd Calendar'!$V$2072=TYPE1)*(TYPE1&lt;&gt;"")+('Dvd Calendar'!$V$2072=TYPE2)*(TYPE2&lt;&gt;"")+('Dvd Calendar'!$V$2072=TYPE3)*(TYPE3&lt;&gt;"")+('Dvd Calendar'!$V$2072=TYPE4)*(TYPE4&lt;&gt;"")+('Dvd Calendar'!$V$2072=SPECIAL_LBL)*(INC_SPECIALS="Y"))=0,"",'Dvd Calendar'!$V$2070)))</f>
        <v/>
      </c>
      <c r="U206" s="110">
        <f>IF(EW206="","",IF(ISNUMBER('Dvd Calendar'!$W$2070)=FALSE,"",IF((('Dvd Calendar'!$W$2072=TYPE1)*(TYPE1&lt;&gt;"")+('Dvd Calendar'!$W$2072=TYPE2)*(TYPE2&lt;&gt;"")+('Dvd Calendar'!$W$2072=TYPE3)*(TYPE3&lt;&gt;"")+('Dvd Calendar'!$W$2072=TYPE4)*(TYPE4&lt;&gt;"")+('Dvd Calendar'!$W$2072=SPECIAL_LBL)*(INC_SPECIALS="Y"))=0,"",'Dvd Calendar'!$W$2070)))</f>
        <v/>
      </c>
      <c r="V206" s="110">
        <f>IF(EX206="","",IF(ISNUMBER('Dvd Calendar'!$X$2070)=FALSE,"",IF((('Dvd Calendar'!$X$2072=TYPE1)*(TYPE1&lt;&gt;"")+('Dvd Calendar'!$X$2072=TYPE2)*(TYPE2&lt;&gt;"")+('Dvd Calendar'!$X$2072=TYPE3)*(TYPE3&lt;&gt;"")+('Dvd Calendar'!$X$2072=TYPE4)*(TYPE4&lt;&gt;"")+('Dvd Calendar'!$X$2072=SPECIAL_LBL)*(INC_SPECIALS="Y"))=0,"",'Dvd Calendar'!$X$2070)))</f>
        <v/>
      </c>
      <c r="W206" s="110">
        <f>IF(EY206="","",IF(ISNUMBER('Dvd Calendar'!$Y$2070)=FALSE,"",IF((('Dvd Calendar'!$Y$2072=TYPE1)*(TYPE1&lt;&gt;"")+('Dvd Calendar'!$Y$2072=TYPE2)*(TYPE2&lt;&gt;"")+('Dvd Calendar'!$Y$2072=TYPE3)*(TYPE3&lt;&gt;"")+('Dvd Calendar'!$Y$2072=TYPE4)*(TYPE4&lt;&gt;"")+('Dvd Calendar'!$Y$2072=SPECIAL_LBL)*(INC_SPECIALS="Y"))=0,"",'Dvd Calendar'!$Y$2070)))</f>
        <v/>
      </c>
      <c r="X206" s="110">
        <f>IF(EZ206="","",IF(ISNUMBER('Dvd Calendar'!$Z$2070)=FALSE,"",IF((('Dvd Calendar'!$Z$2072=TYPE1)*(TYPE1&lt;&gt;"")+('Dvd Calendar'!$Z$2072=TYPE2)*(TYPE2&lt;&gt;"")+('Dvd Calendar'!$Z$2072=TYPE3)*(TYPE3&lt;&gt;"")+('Dvd Calendar'!$Z$2072=TYPE4)*(TYPE4&lt;&gt;"")+('Dvd Calendar'!$Z$2072=SPECIAL_LBL)*(INC_SPECIALS="Y"))=0,"",'Dvd Calendar'!$Z$2070)))</f>
        <v/>
      </c>
      <c r="Y206" s="110">
        <f>IF(FA206="","",IF(ISNUMBER('Dvd Calendar'!$AA$2070)=FALSE,"",IF((('Dvd Calendar'!$AA$2072=TYPE1)*(TYPE1&lt;&gt;"")+('Dvd Calendar'!$AA$2072=TYPE2)*(TYPE2&lt;&gt;"")+('Dvd Calendar'!$AA$2072=TYPE3)*(TYPE3&lt;&gt;"")+('Dvd Calendar'!$AA$2072=TYPE4)*(TYPE4&lt;&gt;"")+('Dvd Calendar'!$AA$2072=SPECIAL_LBL)*(INC_SPECIALS="Y"))=0,"",'Dvd Calendar'!$AA$2070)))</f>
        <v/>
      </c>
      <c r="Z206" s="110">
        <f>IF(FB206="","",IF(ISNUMBER('Dvd Calendar'!$AB$2070)=FALSE,"",IF((('Dvd Calendar'!$AB$2072=TYPE1)*(TYPE1&lt;&gt;"")+('Dvd Calendar'!$AB$2072=TYPE2)*(TYPE2&lt;&gt;"")+('Dvd Calendar'!$AB$2072=TYPE3)*(TYPE3&lt;&gt;"")+('Dvd Calendar'!$AB$2072=TYPE4)*(TYPE4&lt;&gt;"")+('Dvd Calendar'!$AB$2072=SPECIAL_LBL)*(INC_SPECIALS="Y"))=0,"",'Dvd Calendar'!$AB$2070)))</f>
        <v/>
      </c>
      <c r="AA206" s="110">
        <f>IF(FC206="","",IF(ISNUMBER('Dvd Calendar'!$AC$2070)=FALSE,"",IF((('Dvd Calendar'!$AC$2072=TYPE1)*(TYPE1&lt;&gt;"")+('Dvd Calendar'!$AC$2072=TYPE2)*(TYPE2&lt;&gt;"")+('Dvd Calendar'!$AC$2072=TYPE3)*(TYPE3&lt;&gt;"")+('Dvd Calendar'!$AC$2072=TYPE4)*(TYPE4&lt;&gt;"")+('Dvd Calendar'!$AC$2072=SPECIAL_LBL)*(INC_SPECIALS="Y"))=0,"",'Dvd Calendar'!$AC$2070)))</f>
        <v/>
      </c>
      <c r="AB206" s="110">
        <f>IF(FD206="","",IF(ISNUMBER('Dvd Calendar'!$AD$2070)=FALSE,"",IF((('Dvd Calendar'!$AD$2072=TYPE1)*(TYPE1&lt;&gt;"")+('Dvd Calendar'!$AD$2072=TYPE2)*(TYPE2&lt;&gt;"")+('Dvd Calendar'!$AD$2072=TYPE3)*(TYPE3&lt;&gt;"")+('Dvd Calendar'!$AD$2072=TYPE4)*(TYPE4&lt;&gt;"")+('Dvd Calendar'!$AD$2072=SPECIAL_LBL)*(INC_SPECIALS="Y"))=0,"",'Dvd Calendar'!$AD$2070)))</f>
        <v/>
      </c>
      <c r="AC206" s="110">
        <f>IF(FE206="","",IF(ISNUMBER('Dvd Calendar'!$AE$2070)=FALSE,"",IF((('Dvd Calendar'!$AE$2072=TYPE1)*(TYPE1&lt;&gt;"")+('Dvd Calendar'!$AE$2072=TYPE2)*(TYPE2&lt;&gt;"")+('Dvd Calendar'!$AE$2072=TYPE3)*(TYPE3&lt;&gt;"")+('Dvd Calendar'!$AE$2072=TYPE4)*(TYPE4&lt;&gt;"")+('Dvd Calendar'!$AE$2072=SPECIAL_LBL)*(INC_SPECIALS="Y"))=0,"",'Dvd Calendar'!$AE$2070)))</f>
        <v/>
      </c>
      <c r="AD206" s="110">
        <f>IF(FF206="","",IF(ISNUMBER('Dvd Calendar'!$AF$2070)=FALSE,"",IF((('Dvd Calendar'!$AF$2072=TYPE1)*(TYPE1&lt;&gt;"")+('Dvd Calendar'!$AF$2072=TYPE2)*(TYPE2&lt;&gt;"")+('Dvd Calendar'!$AF$2072=TYPE3)*(TYPE3&lt;&gt;"")+('Dvd Calendar'!$AF$2072=TYPE4)*(TYPE4&lt;&gt;"")+('Dvd Calendar'!$AF$2072=SPECIAL_LBL)*(INC_SPECIALS="Y"))=0,"",'Dvd Calendar'!$AF$2070)))</f>
        <v/>
      </c>
      <c r="AE206" s="110">
        <f>IF(FG206="","",IF(ISNUMBER('Dvd Calendar'!$AG$2070)=FALSE,"",IF((('Dvd Calendar'!$AG$2072=TYPE1)*(TYPE1&lt;&gt;"")+('Dvd Calendar'!$AG$2072=TYPE2)*(TYPE2&lt;&gt;"")+('Dvd Calendar'!$AG$2072=TYPE3)*(TYPE3&lt;&gt;"")+('Dvd Calendar'!$AG$2072=TYPE4)*(TYPE4&lt;&gt;"")+('Dvd Calendar'!$AG$2072=SPECIAL_LBL)*(INC_SPECIALS="Y"))=0,"",'Dvd Calendar'!$AG$2070)))</f>
        <v/>
      </c>
      <c r="AF206" s="110">
        <f>IF(FH206="","",IF(ISNUMBER('Dvd Calendar'!$AH$2070)=FALSE,"",IF((('Dvd Calendar'!$AH$2072=TYPE1)*(TYPE1&lt;&gt;"")+('Dvd Calendar'!$AH$2072=TYPE2)*(TYPE2&lt;&gt;"")+('Dvd Calendar'!$AH$2072=TYPE3)*(TYPE3&lt;&gt;"")+('Dvd Calendar'!$AH$2072=TYPE4)*(TYPE4&lt;&gt;"")+('Dvd Calendar'!$AH$2072=SPECIAL_LBL)*(INC_SPECIALS="Y"))=0,"",'Dvd Calendar'!$AH$2070)))</f>
        <v/>
      </c>
      <c r="AG206" s="110">
        <f>IF(FI206="","",IF(ISNUMBER('Dvd Calendar'!$AI$2070)=FALSE,"",IF((('Dvd Calendar'!$AI$2072=TYPE1)*(TYPE1&lt;&gt;"")+('Dvd Calendar'!$AI$2072=TYPE2)*(TYPE2&lt;&gt;"")+('Dvd Calendar'!$AI$2072=TYPE3)*(TYPE3&lt;&gt;"")+('Dvd Calendar'!$AI$2072=TYPE4)*(TYPE4&lt;&gt;"")+('Dvd Calendar'!$AI$2072=SPECIAL_LBL)*(INC_SPECIALS="Y"))=0,"",'Dvd Calendar'!$AI$2070)))</f>
        <v/>
      </c>
      <c r="AH206" s="110">
        <f>IF(FJ206="","",IF(ISNUMBER('Dvd Calendar'!$AJ$2070)=FALSE,"",IF((('Dvd Calendar'!$AJ$2072=TYPE1)*(TYPE1&lt;&gt;"")+('Dvd Calendar'!$AJ$2072=TYPE2)*(TYPE2&lt;&gt;"")+('Dvd Calendar'!$AJ$2072=TYPE3)*(TYPE3&lt;&gt;"")+('Dvd Calendar'!$AJ$2072=TYPE4)*(TYPE4&lt;&gt;"")+('Dvd Calendar'!$AJ$2072=SPECIAL_LBL)*(INC_SPECIALS="Y"))=0,"",'Dvd Calendar'!$AJ$2070)))</f>
        <v/>
      </c>
      <c r="AI206" s="110">
        <f>IF(FK206="","",IF(ISNUMBER('Dvd Calendar'!$AK$2070)=FALSE,"",IF((('Dvd Calendar'!$AK$2072=TYPE1)*(TYPE1&lt;&gt;"")+('Dvd Calendar'!$AK$2072=TYPE2)*(TYPE2&lt;&gt;"")+('Dvd Calendar'!$AK$2072=TYPE3)*(TYPE3&lt;&gt;"")+('Dvd Calendar'!$AK$2072=TYPE4)*(TYPE4&lt;&gt;"")+('Dvd Calendar'!$AK$2072=SPECIAL_LBL)*(INC_SPECIALS="Y"))=0,"",'Dvd Calendar'!$AK$2070)))</f>
        <v/>
      </c>
      <c r="AJ206" s="110">
        <f>IF(FL206="","",IF(ISNUMBER('Dvd Calendar'!$AL$2070)=FALSE,"",IF((('Dvd Calendar'!$AL$2072=TYPE1)*(TYPE1&lt;&gt;"")+('Dvd Calendar'!$AL$2072=TYPE2)*(TYPE2&lt;&gt;"")+('Dvd Calendar'!$AL$2072=TYPE3)*(TYPE3&lt;&gt;"")+('Dvd Calendar'!$AL$2072=TYPE4)*(TYPE4&lt;&gt;"")+('Dvd Calendar'!$AL$2072=SPECIAL_LBL)*(INC_SPECIALS="Y"))=0,"",'Dvd Calendar'!$AL$2070)))</f>
        <v/>
      </c>
      <c r="AK206" s="110">
        <f>IF(FM206="","",IF(ISNUMBER('Dvd Calendar'!$AM$2070)=FALSE,"",IF((('Dvd Calendar'!$AM$2072=TYPE1)*(TYPE1&lt;&gt;"")+('Dvd Calendar'!$AM$2072=TYPE2)*(TYPE2&lt;&gt;"")+('Dvd Calendar'!$AM$2072=TYPE3)*(TYPE3&lt;&gt;"")+('Dvd Calendar'!$AM$2072=TYPE4)*(TYPE4&lt;&gt;"")+('Dvd Calendar'!$AM$2072=SPECIAL_LBL)*(INC_SPECIALS="Y"))=0,"",'Dvd Calendar'!$AM$2070)))</f>
        <v/>
      </c>
      <c r="AL206" s="110">
        <f>IF(FN206="","",IF(ISNUMBER('Dvd Calendar'!$AN$2070)=FALSE,"",IF((('Dvd Calendar'!$AN$2072=TYPE1)*(TYPE1&lt;&gt;"")+('Dvd Calendar'!$AN$2072=TYPE2)*(TYPE2&lt;&gt;"")+('Dvd Calendar'!$AN$2072=TYPE3)*(TYPE3&lt;&gt;"")+('Dvd Calendar'!$AN$2072=TYPE4)*(TYPE4&lt;&gt;"")+('Dvd Calendar'!$AN$2072=SPECIAL_LBL)*(INC_SPECIALS="Y"))=0,"",'Dvd Calendar'!$AN$2070)))</f>
        <v/>
      </c>
      <c r="AM206" s="110">
        <f>IF(FO206="","",IF(ISNUMBER('Dvd Calendar'!$AO$2070)=FALSE,"",IF((('Dvd Calendar'!$AO$2072=TYPE1)*(TYPE1&lt;&gt;"")+('Dvd Calendar'!$AO$2072=TYPE2)*(TYPE2&lt;&gt;"")+('Dvd Calendar'!$AO$2072=TYPE3)*(TYPE3&lt;&gt;"")+('Dvd Calendar'!$AO$2072=TYPE4)*(TYPE4&lt;&gt;"")+('Dvd Calendar'!$AO$2072=SPECIAL_LBL)*(INC_SPECIALS="Y"))=0,"",'Dvd Calendar'!$AO$2070)))</f>
        <v/>
      </c>
      <c r="AN206" s="110">
        <f>IF(FP206="","",IF(ISNUMBER('Dvd Calendar'!$AP$2070)=FALSE,"",IF((('Dvd Calendar'!$AP$2072=TYPE1)*(TYPE1&lt;&gt;"")+('Dvd Calendar'!$AP$2072=TYPE2)*(TYPE2&lt;&gt;"")+('Dvd Calendar'!$AP$2072=TYPE3)*(TYPE3&lt;&gt;"")+('Dvd Calendar'!$AP$2072=TYPE4)*(TYPE4&lt;&gt;"")+('Dvd Calendar'!$AP$2072=SPECIAL_LBL)*(INC_SPECIALS="Y"))=0,"",'Dvd Calendar'!$AP$2070)))</f>
        <v/>
      </c>
      <c r="AO206" s="110">
        <f>IF(FQ206="","",IF(ISNUMBER('Dvd Calendar'!$AQ$2070)=FALSE,"",IF((('Dvd Calendar'!$AQ$2072=TYPE1)*(TYPE1&lt;&gt;"")+('Dvd Calendar'!$AQ$2072=TYPE2)*(TYPE2&lt;&gt;"")+('Dvd Calendar'!$AQ$2072=TYPE3)*(TYPE3&lt;&gt;"")+('Dvd Calendar'!$AQ$2072=TYPE4)*(TYPE4&lt;&gt;"")+('Dvd Calendar'!$AQ$2072=SPECIAL_LBL)*(INC_SPECIALS="Y"))=0,"",'Dvd Calendar'!$AQ$2070)))</f>
        <v/>
      </c>
      <c r="AP206" s="110">
        <f>IF(FR206="","",IF(ISNUMBER('Dvd Calendar'!$AR$2070)=FALSE,"",IF((('Dvd Calendar'!$AR$2072=TYPE1)*(TYPE1&lt;&gt;"")+('Dvd Calendar'!$AR$2072=TYPE2)*(TYPE2&lt;&gt;"")+('Dvd Calendar'!$AR$2072=TYPE3)*(TYPE3&lt;&gt;"")+('Dvd Calendar'!$AR$2072=TYPE4)*(TYPE4&lt;&gt;"")+('Dvd Calendar'!$AR$2072=SPECIAL_LBL)*(INC_SPECIALS="Y"))=0,"",'Dvd Calendar'!$AR$2070)))</f>
        <v/>
      </c>
      <c r="AQ206" s="110">
        <f>IF(FS206="","",IF(ISNUMBER('Dvd Calendar'!$E$2075)=FALSE,"",'Dvd Calendar'!$E$2075))</f>
        <v/>
      </c>
      <c r="AR206" s="110">
        <f>IF(FT206="","",IF(ISNUMBER('Dvd Calendar'!$F$2075)=FALSE,"",'Dvd Calendar'!$F$2075))</f>
        <v/>
      </c>
      <c r="AS206" s="110">
        <f>IF(FU206="","",IF(ISNUMBER('Dvd Calendar'!$G$2075)=FALSE,"",'Dvd Calendar'!$G$2075))</f>
        <v/>
      </c>
      <c r="AT206" s="110">
        <f>IF(FV206="","",IF(ISNUMBER('Dvd Calendar'!$H$2075)=FALSE,"",'Dvd Calendar'!$H$2075))</f>
        <v/>
      </c>
      <c r="AU206" s="110">
        <f>IF(FW206="","",IF(ISNUMBER('Dvd Calendar'!$I$2075)=FALSE,"",'Dvd Calendar'!$I$2075))</f>
        <v/>
      </c>
      <c r="AV206" s="110">
        <f>IF(FX206="","",IF(ISNUMBER('Dvd Calendar'!$J$2075)=FALSE,"",'Dvd Calendar'!$J$2075))</f>
        <v/>
      </c>
      <c r="AW206" s="110">
        <f>IF(FY206="","",IF(ISNUMBER('Dvd Calendar'!$K$2075)=FALSE,"",'Dvd Calendar'!$K$2075))</f>
        <v/>
      </c>
      <c r="AX206" s="110">
        <f>IF(FZ206="","",IF(ISNUMBER('Dvd Calendar'!$L$2075)=FALSE,"",'Dvd Calendar'!$L$2075))</f>
        <v/>
      </c>
      <c r="AY206" s="110">
        <f>IF(GA206="","",IF(ISNUMBER('Dvd Calendar'!$M$2075)=FALSE,"",'Dvd Calendar'!$M$2075))</f>
        <v/>
      </c>
      <c r="AZ206" s="110">
        <f>IF(GB206="","",IF(ISNUMBER('Dvd Calendar'!$N$2075)=FALSE,"",'Dvd Calendar'!$N$2075))</f>
        <v/>
      </c>
      <c r="BA206" s="110">
        <f>IF(GC206="","",IF(ISNUMBER('Dvd Calendar'!$O$2075)=FALSE,"",'Dvd Calendar'!$O$2075))</f>
        <v/>
      </c>
      <c r="BB206" s="110">
        <f>IF(GD206="","",IF(ISNUMBER('Dvd Calendar'!$P$2075)=FALSE,"",'Dvd Calendar'!$P$2075))</f>
        <v/>
      </c>
      <c r="BC206" s="110">
        <f>IF(GE206="","",IF(ISNUMBER('Dvd Calendar'!$Q$2075)=FALSE,"",'Dvd Calendar'!$Q$2075))</f>
        <v/>
      </c>
      <c r="BD206" s="110">
        <f>IF(GF206="","",IF(ISNUMBER('Dvd Calendar'!$R$2075)=FALSE,"",'Dvd Calendar'!$R$2075))</f>
        <v/>
      </c>
      <c r="BE206" s="110">
        <f>IF(GG206="","",IF(ISNUMBER('Dvd Calendar'!$S$2075)=FALSE,"",'Dvd Calendar'!$S$2075))</f>
        <v/>
      </c>
      <c r="BF206" s="110">
        <f>IF(GH206="","",IF(ISNUMBER('Dvd Calendar'!$T$2075)=FALSE,"",'Dvd Calendar'!$T$2075))</f>
        <v/>
      </c>
      <c r="BG206" s="110">
        <f>IF(GI206="","",IF(ISNUMBER('Dvd Calendar'!$U$2075)=FALSE,"",'Dvd Calendar'!$U$2075))</f>
        <v/>
      </c>
      <c r="BH206" s="110">
        <f>IF(GJ206="","",IF(ISNUMBER('Dvd Calendar'!$V$2075)=FALSE,"",'Dvd Calendar'!$V$2075))</f>
        <v/>
      </c>
      <c r="BI206" s="110">
        <f>IF(GK206="","",IF(ISNUMBER('Dvd Calendar'!$W$2075)=FALSE,"",'Dvd Calendar'!$W$2075))</f>
        <v/>
      </c>
      <c r="BJ206" s="110">
        <f>IF(GL206="","",IF(ISNUMBER('Dvd Calendar'!$X$2075)=FALSE,"",'Dvd Calendar'!$X$2075))</f>
        <v/>
      </c>
      <c r="BK206" s="110">
        <f>IF(GM206="","",IF(ISNUMBER('Dvd Calendar'!$Y$2075)=FALSE,"",'Dvd Calendar'!$Y$2075))</f>
        <v/>
      </c>
      <c r="BL206" s="110">
        <f>IF(GN206="","",IF(ISNUMBER('Dvd Calendar'!$Z$2075)=FALSE,"",'Dvd Calendar'!$Z$2075))</f>
        <v/>
      </c>
      <c r="BM206" s="110">
        <f>IF(GO206="","",IF(ISNUMBER('Dvd Calendar'!$AA$2075)=FALSE,"",'Dvd Calendar'!$AA$2075))</f>
        <v/>
      </c>
      <c r="BN206" s="110">
        <f>IF(GP206="","",IF(ISNUMBER('Dvd Calendar'!$AB$2075)=FALSE,"",'Dvd Calendar'!$AB$2075))</f>
        <v/>
      </c>
      <c r="BO206" s="110">
        <f>IF(GQ206="","",IF(ISNUMBER('Dvd Calendar'!$AC$2075)=FALSE,"",'Dvd Calendar'!$AC$2075))</f>
        <v/>
      </c>
      <c r="BQ206" s="110">
        <f>IF(C206="","",IFERROR(C206*HSCEI!$B$53*HSCEI!$G$53/HSCEI!$B$3,""))</f>
        <v/>
      </c>
      <c r="BR206" s="110">
        <f>IF(D206="","",IFERROR(D206*HSCEI!$B$53*HSCEI!$G$53/HSCEI!$B$3,""))</f>
        <v/>
      </c>
      <c r="BS206" s="110">
        <f>IF(E206="","",IFERROR(E206*HSCEI!$B$53*HSCEI!$G$53/HSCEI!$B$3,""))</f>
        <v/>
      </c>
      <c r="BT206" s="110">
        <f>IF(F206="","",IFERROR(F206*HSCEI!$B$53*HSCEI!$G$53/HSCEI!$B$3,""))</f>
        <v/>
      </c>
      <c r="BU206" s="110">
        <f>IF(G206="","",IFERROR(G206*HSCEI!$B$53*HSCEI!$G$53/HSCEI!$B$3,""))</f>
        <v/>
      </c>
      <c r="BV206" s="110">
        <f>IF(H206="","",IFERROR(H206*HSCEI!$B$53*HSCEI!$G$53/HSCEI!$B$3,""))</f>
        <v/>
      </c>
      <c r="BW206" s="110">
        <f>IF(I206="","",IFERROR(I206*HSCEI!$B$53*HSCEI!$G$53/HSCEI!$B$3,""))</f>
        <v/>
      </c>
      <c r="BX206" s="110">
        <f>IF(J206="","",IFERROR(J206*HSCEI!$B$53*HSCEI!$G$53/HSCEI!$B$3,""))</f>
        <v/>
      </c>
      <c r="BY206" s="110">
        <f>IF(K206="","",IFERROR(K206*HSCEI!$B$53*HSCEI!$G$53/HSCEI!$B$3,""))</f>
        <v/>
      </c>
      <c r="BZ206" s="110">
        <f>IF(L206="","",IFERROR(L206*HSCEI!$B$53*HSCEI!$G$53/HSCEI!$B$3,""))</f>
        <v/>
      </c>
      <c r="CA206" s="110">
        <f>IF(M206="","",IFERROR(M206*HSCEI!$B$53*HSCEI!$G$53/HSCEI!$B$3,""))</f>
        <v/>
      </c>
      <c r="CB206" s="110">
        <f>IF(N206="","",IFERROR(N206*HSCEI!$B$53*HSCEI!$G$53/HSCEI!$B$3,""))</f>
        <v/>
      </c>
      <c r="CC206" s="110">
        <f>IF(O206="","",IFERROR(O206*HSCEI!$B$53*HSCEI!$G$53/HSCEI!$B$3,""))</f>
        <v/>
      </c>
      <c r="CD206" s="110">
        <f>IF(P206="","",IFERROR(P206*HSCEI!$B$53*HSCEI!$G$53/HSCEI!$B$3,""))</f>
        <v/>
      </c>
      <c r="CE206" s="110">
        <f>IF(Q206="","",IFERROR(Q206*HSCEI!$B$53*HSCEI!$G$53/HSCEI!$B$3,""))</f>
        <v/>
      </c>
      <c r="CF206" s="110">
        <f>IF(R206="","",IFERROR(R206*HSCEI!$B$53*HSCEI!$G$53/HSCEI!$B$3,""))</f>
        <v/>
      </c>
      <c r="CG206" s="110">
        <f>IF(S206="","",IFERROR(S206*HSCEI!$B$53*HSCEI!$G$53/HSCEI!$B$3,""))</f>
        <v/>
      </c>
      <c r="CH206" s="110">
        <f>IF(T206="","",IFERROR(T206*HSCEI!$B$53*HSCEI!$G$53/HSCEI!$B$3,""))</f>
        <v/>
      </c>
      <c r="CI206" s="110">
        <f>IF(U206="","",IFERROR(U206*HSCEI!$B$53*HSCEI!$G$53/HSCEI!$B$3,""))</f>
        <v/>
      </c>
      <c r="CJ206" s="110">
        <f>IF(V206="","",IFERROR(V206*HSCEI!$B$53*HSCEI!$G$53/HSCEI!$B$3,""))</f>
        <v/>
      </c>
      <c r="CK206" s="110">
        <f>IF(W206="","",IFERROR(W206*HSCEI!$B$53*HSCEI!$G$53/HSCEI!$B$3,""))</f>
        <v/>
      </c>
      <c r="CL206" s="110">
        <f>IF(X206="","",IFERROR(X206*HSCEI!$B$53*HSCEI!$G$53/HSCEI!$B$3,""))</f>
        <v/>
      </c>
      <c r="CM206" s="110">
        <f>IF(Y206="","",IFERROR(Y206*HSCEI!$B$53*HSCEI!$G$53/HSCEI!$B$3,""))</f>
        <v/>
      </c>
      <c r="CN206" s="110">
        <f>IF(Z206="","",IFERROR(Z206*HSCEI!$B$53*HSCEI!$G$53/HSCEI!$B$3,""))</f>
        <v/>
      </c>
      <c r="CO206" s="110">
        <f>IF(AA206="","",IFERROR(AA206*HSCEI!$B$53*HSCEI!$G$53/HSCEI!$B$3,""))</f>
        <v/>
      </c>
      <c r="CP206" s="110">
        <f>IF(AB206="","",IFERROR(AB206*HSCEI!$B$53*HSCEI!$G$53/HSCEI!$B$3,""))</f>
        <v/>
      </c>
      <c r="CQ206" s="110">
        <f>IF(AC206="","",IFERROR(AC206*HSCEI!$B$53*HSCEI!$G$53/HSCEI!$B$3,""))</f>
        <v/>
      </c>
      <c r="CR206" s="110">
        <f>IF(AD206="","",IFERROR(AD206*HSCEI!$B$53*HSCEI!$G$53/HSCEI!$B$3,""))</f>
        <v/>
      </c>
      <c r="CS206" s="110">
        <f>IF(AE206="","",IFERROR(AE206*HSCEI!$B$53*HSCEI!$G$53/HSCEI!$B$3,""))</f>
        <v/>
      </c>
      <c r="CT206" s="110">
        <f>IF(AF206="","",IFERROR(AF206*HSCEI!$B$53*HSCEI!$G$53/HSCEI!$B$3,""))</f>
        <v/>
      </c>
      <c r="CU206" s="110">
        <f>IF(AG206="","",IFERROR(AG206*HSCEI!$B$53*HSCEI!$G$53/HSCEI!$B$3,""))</f>
        <v/>
      </c>
      <c r="CV206" s="110">
        <f>IF(AH206="","",IFERROR(AH206*HSCEI!$B$53*HSCEI!$G$53/HSCEI!$B$3,""))</f>
        <v/>
      </c>
      <c r="CW206" s="110">
        <f>IF(AI206="","",IFERROR(AI206*HSCEI!$B$53*HSCEI!$G$53/HSCEI!$B$3,""))</f>
        <v/>
      </c>
      <c r="CX206" s="110">
        <f>IF(AJ206="","",IFERROR(AJ206*HSCEI!$B$53*HSCEI!$G$53/HSCEI!$B$3,""))</f>
        <v/>
      </c>
      <c r="CY206" s="110">
        <f>IF(AK206="","",IFERROR(AK206*HSCEI!$B$53*HSCEI!$G$53/HSCEI!$B$3,""))</f>
        <v/>
      </c>
      <c r="CZ206" s="110">
        <f>IF(AL206="","",IFERROR(AL206*HSCEI!$B$53*HSCEI!$G$53/HSCEI!$B$3,""))</f>
        <v/>
      </c>
      <c r="DA206" s="110">
        <f>IF(AM206="","",IFERROR(AM206*HSCEI!$B$53*HSCEI!$G$53/HSCEI!$B$3,""))</f>
        <v/>
      </c>
      <c r="DB206" s="110">
        <f>IF(AN206="","",IFERROR(AN206*HSCEI!$B$53*HSCEI!$G$53/HSCEI!$B$3,""))</f>
        <v/>
      </c>
      <c r="DC206" s="110">
        <f>IF(AO206="","",IFERROR(AO206*HSCEI!$B$53*HSCEI!$G$53/HSCEI!$B$3,""))</f>
        <v/>
      </c>
      <c r="DD206" s="110">
        <f>IF(AP206="","",IFERROR(AP206*HSCEI!$B$53*HSCEI!$G$53/HSCEI!$B$3,""))</f>
        <v/>
      </c>
      <c r="DE206" s="110">
        <f>IF(AQ206="","",IFERROR(AQ206*HSCEI!$B$53*HSCEI!$G$53/HSCEI!$B$3,""))</f>
        <v/>
      </c>
      <c r="DF206" s="110">
        <f>IF(AR206="","",IFERROR(AR206*HSCEI!$B$53*HSCEI!$G$53/HSCEI!$B$3,""))</f>
        <v/>
      </c>
      <c r="DG206" s="110">
        <f>IF(AS206="","",IFERROR(AS206*HSCEI!$B$53*HSCEI!$G$53/HSCEI!$B$3,""))</f>
        <v/>
      </c>
      <c r="DH206" s="110">
        <f>IF(AT206="","",IFERROR(AT206*HSCEI!$B$53*HSCEI!$G$53/HSCEI!$B$3,""))</f>
        <v/>
      </c>
      <c r="DI206" s="110">
        <f>IF(AU206="","",IFERROR(AU206*HSCEI!$B$53*HSCEI!$G$53/HSCEI!$B$3,""))</f>
        <v/>
      </c>
      <c r="DJ206" s="110">
        <f>IF(AV206="","",IFERROR(AV206*HSCEI!$B$53*HSCEI!$G$53/HSCEI!$B$3,""))</f>
        <v/>
      </c>
      <c r="DK206" s="110">
        <f>IF(AW206="","",IFERROR(AW206*HSCEI!$B$53*HSCEI!$G$53/HSCEI!$B$3,""))</f>
        <v/>
      </c>
      <c r="DL206" s="110">
        <f>IF(AX206="","",IFERROR(AX206*HSCEI!$B$53*HSCEI!$G$53/HSCEI!$B$3,""))</f>
        <v/>
      </c>
      <c r="DM206" s="110">
        <f>IF(AY206="","",IFERROR(AY206*HSCEI!$B$53*HSCEI!$G$53/HSCEI!$B$3,""))</f>
        <v/>
      </c>
      <c r="DN206" s="110">
        <f>IF(AZ206="","",IFERROR(AZ206*HSCEI!$B$53*HSCEI!$G$53/HSCEI!$B$3,""))</f>
        <v/>
      </c>
      <c r="DO206" s="110">
        <f>IF(BA206="","",IFERROR(BA206*HSCEI!$B$53*HSCEI!$G$53/HSCEI!$B$3,""))</f>
        <v/>
      </c>
      <c r="DP206" s="110">
        <f>IF(BB206="","",IFERROR(BB206*HSCEI!$B$53*HSCEI!$G$53/HSCEI!$B$3,""))</f>
        <v/>
      </c>
      <c r="DQ206" s="110">
        <f>IF(BC206="","",IFERROR(BC206*HSCEI!$B$53*HSCEI!$G$53/HSCEI!$B$3,""))</f>
        <v/>
      </c>
      <c r="DR206" s="110">
        <f>IF(BD206="","",IFERROR(BD206*HSCEI!$B$53*HSCEI!$G$53/HSCEI!$B$3,""))</f>
        <v/>
      </c>
      <c r="DS206" s="110">
        <f>IF(BE206="","",IFERROR(BE206*HSCEI!$B$53*HSCEI!$G$53/HSCEI!$B$3,""))</f>
        <v/>
      </c>
      <c r="DT206" s="110">
        <f>IF(BF206="","",IFERROR(BF206*HSCEI!$B$53*HSCEI!$G$53/HSCEI!$B$3,""))</f>
        <v/>
      </c>
      <c r="DU206" s="110">
        <f>IF(BG206="","",IFERROR(BG206*HSCEI!$B$53*HSCEI!$G$53/HSCEI!$B$3,""))</f>
        <v/>
      </c>
      <c r="DV206" s="110">
        <f>IF(BH206="","",IFERROR(BH206*HSCEI!$B$53*HSCEI!$G$53/HSCEI!$B$3,""))</f>
        <v/>
      </c>
      <c r="DW206" s="110">
        <f>IF(BI206="","",IFERROR(BI206*HSCEI!$B$53*HSCEI!$G$53/HSCEI!$B$3,""))</f>
        <v/>
      </c>
      <c r="DX206" s="110">
        <f>IF(BJ206="","",IFERROR(BJ206*HSCEI!$B$53*HSCEI!$G$53/HSCEI!$B$3,""))</f>
        <v/>
      </c>
      <c r="DY206" s="110">
        <f>IF(BK206="","",IFERROR(BK206*HSCEI!$B$53*HSCEI!$G$53/HSCEI!$B$3,""))</f>
        <v/>
      </c>
      <c r="DZ206" s="110">
        <f>IF(BL206="","",IFERROR(BL206*HSCEI!$B$53*HSCEI!$G$53/HSCEI!$B$3,""))</f>
        <v/>
      </c>
      <c r="EA206" s="110">
        <f>IF(BM206="","",IFERROR(BM206*HSCEI!$B$53*HSCEI!$G$53/HSCEI!$B$3,""))</f>
        <v/>
      </c>
      <c r="EB206" s="110">
        <f>IF(BN206="","",IFERROR(BN206*HSCEI!$B$53*HSCEI!$G$53/HSCEI!$B$3,""))</f>
        <v/>
      </c>
      <c r="EC206" s="110">
        <f>IF(BO206="","",IFERROR(BO206*HSCEI!$B$53*HSCEI!$G$53/HSCEI!$B$3,""))</f>
        <v/>
      </c>
      <c r="EE206" s="39">
        <f>IF(N('Dvd Calendar'!$E$2067)=0,"",IF(('Dvd Calendar'!$E$2067&gt;=GRID_FROM)*('Dvd Calendar'!$E$2067&lt;=GRID_TO)*((('Dvd Calendar'!$E$2067&lt;=VAL_DATE)+(COUNTIF('Dvd Calendar'!$E$2074:$AR$2074,'Dvd Calendar'!$E$2067)=0))&gt;0)=0,"",'Dvd Calendar'!$E$2067*1000000000+ISNUMBER('Dvd Calendar'!$E$2070)*100000000+('Dvd Calendar'!$E$2072=SPECIAL_LBL)*10000000+(N('Dvd Calendar'!$E$2066)&gt;0)*(N('Dvd Calendar'!$E$2066)&lt;=VAL_SERIAL)*1000000+47*1000+1))</f>
        <v/>
      </c>
      <c r="EF206" s="39">
        <f>IF(N('Dvd Calendar'!$F$2067)=0,"",IF(('Dvd Calendar'!$F$2067&gt;=GRID_FROM)*('Dvd Calendar'!$F$2067&lt;=GRID_TO)*((('Dvd Calendar'!$F$2067&lt;=VAL_DATE)+(COUNTIF('Dvd Calendar'!$E$2074:$AR$2074,'Dvd Calendar'!$F$2067)=0))&gt;0)=0,"",'Dvd Calendar'!$F$2067*1000000000+ISNUMBER('Dvd Calendar'!$F$2070)*100000000+('Dvd Calendar'!$F$2072=SPECIAL_LBL)*10000000+(N('Dvd Calendar'!$F$2066)&gt;0)*(N('Dvd Calendar'!$F$2066)&lt;=VAL_SERIAL)*1000000+47*1000+2))</f>
        <v/>
      </c>
      <c r="EG206" s="39">
        <f>IF(N('Dvd Calendar'!$G$2067)=0,"",IF(('Dvd Calendar'!$G$2067&gt;=GRID_FROM)*('Dvd Calendar'!$G$2067&lt;=GRID_TO)*((('Dvd Calendar'!$G$2067&lt;=VAL_DATE)+(COUNTIF('Dvd Calendar'!$E$2074:$AR$2074,'Dvd Calendar'!$G$2067)=0))&gt;0)=0,"",'Dvd Calendar'!$G$2067*1000000000+ISNUMBER('Dvd Calendar'!$G$2070)*100000000+('Dvd Calendar'!$G$2072=SPECIAL_LBL)*10000000+(N('Dvd Calendar'!$G$2066)&gt;0)*(N('Dvd Calendar'!$G$2066)&lt;=VAL_SERIAL)*1000000+47*1000+3))</f>
        <v/>
      </c>
      <c r="EH206" s="39">
        <f>IF(N('Dvd Calendar'!$H$2067)=0,"",IF(('Dvd Calendar'!$H$2067&gt;=GRID_FROM)*('Dvd Calendar'!$H$2067&lt;=GRID_TO)*((('Dvd Calendar'!$H$2067&lt;=VAL_DATE)+(COUNTIF('Dvd Calendar'!$E$2074:$AR$2074,'Dvd Calendar'!$H$2067)=0))&gt;0)=0,"",'Dvd Calendar'!$H$2067*1000000000+ISNUMBER('Dvd Calendar'!$H$2070)*100000000+('Dvd Calendar'!$H$2072=SPECIAL_LBL)*10000000+(N('Dvd Calendar'!$H$2066)&gt;0)*(N('Dvd Calendar'!$H$2066)&lt;=VAL_SERIAL)*1000000+47*1000+4))</f>
        <v/>
      </c>
      <c r="EI206" s="39">
        <f>IF(N('Dvd Calendar'!$I$2067)=0,"",IF(('Dvd Calendar'!$I$2067&gt;=GRID_FROM)*('Dvd Calendar'!$I$2067&lt;=GRID_TO)*((('Dvd Calendar'!$I$2067&lt;=VAL_DATE)+(COUNTIF('Dvd Calendar'!$E$2074:$AR$2074,'Dvd Calendar'!$I$2067)=0))&gt;0)=0,"",'Dvd Calendar'!$I$2067*1000000000+ISNUMBER('Dvd Calendar'!$I$2070)*100000000+('Dvd Calendar'!$I$2072=SPECIAL_LBL)*10000000+(N('Dvd Calendar'!$I$2066)&gt;0)*(N('Dvd Calendar'!$I$2066)&lt;=VAL_SERIAL)*1000000+47*1000+5))</f>
        <v/>
      </c>
      <c r="EJ206" s="39">
        <f>IF(N('Dvd Calendar'!$J$2067)=0,"",IF(('Dvd Calendar'!$J$2067&gt;=GRID_FROM)*('Dvd Calendar'!$J$2067&lt;=GRID_TO)*((('Dvd Calendar'!$J$2067&lt;=VAL_DATE)+(COUNTIF('Dvd Calendar'!$E$2074:$AR$2074,'Dvd Calendar'!$J$2067)=0))&gt;0)=0,"",'Dvd Calendar'!$J$2067*1000000000+ISNUMBER('Dvd Calendar'!$J$2070)*100000000+('Dvd Calendar'!$J$2072=SPECIAL_LBL)*10000000+(N('Dvd Calendar'!$J$2066)&gt;0)*(N('Dvd Calendar'!$J$2066)&lt;=VAL_SERIAL)*1000000+47*1000+6))</f>
        <v/>
      </c>
      <c r="EK206" s="39">
        <f>IF(N('Dvd Calendar'!$K$2067)=0,"",IF(('Dvd Calendar'!$K$2067&gt;=GRID_FROM)*('Dvd Calendar'!$K$2067&lt;=GRID_TO)*((('Dvd Calendar'!$K$2067&lt;=VAL_DATE)+(COUNTIF('Dvd Calendar'!$E$2074:$AR$2074,'Dvd Calendar'!$K$2067)=0))&gt;0)=0,"",'Dvd Calendar'!$K$2067*1000000000+ISNUMBER('Dvd Calendar'!$K$2070)*100000000+('Dvd Calendar'!$K$2072=SPECIAL_LBL)*10000000+(N('Dvd Calendar'!$K$2066)&gt;0)*(N('Dvd Calendar'!$K$2066)&lt;=VAL_SERIAL)*1000000+47*1000+7))</f>
        <v/>
      </c>
      <c r="EL206" s="39">
        <f>IF(N('Dvd Calendar'!$L$2067)=0,"",IF(('Dvd Calendar'!$L$2067&gt;=GRID_FROM)*('Dvd Calendar'!$L$2067&lt;=GRID_TO)*((('Dvd Calendar'!$L$2067&lt;=VAL_DATE)+(COUNTIF('Dvd Calendar'!$E$2074:$AR$2074,'Dvd Calendar'!$L$2067)=0))&gt;0)=0,"",'Dvd Calendar'!$L$2067*1000000000+ISNUMBER('Dvd Calendar'!$L$2070)*100000000+('Dvd Calendar'!$L$2072=SPECIAL_LBL)*10000000+(N('Dvd Calendar'!$L$2066)&gt;0)*(N('Dvd Calendar'!$L$2066)&lt;=VAL_SERIAL)*1000000+47*1000+8))</f>
        <v/>
      </c>
      <c r="EM206" s="39">
        <f>IF(N('Dvd Calendar'!$M$2067)=0,"",IF(('Dvd Calendar'!$M$2067&gt;=GRID_FROM)*('Dvd Calendar'!$M$2067&lt;=GRID_TO)*((('Dvd Calendar'!$M$2067&lt;=VAL_DATE)+(COUNTIF('Dvd Calendar'!$E$2074:$AR$2074,'Dvd Calendar'!$M$2067)=0))&gt;0)=0,"",'Dvd Calendar'!$M$2067*1000000000+ISNUMBER('Dvd Calendar'!$M$2070)*100000000+('Dvd Calendar'!$M$2072=SPECIAL_LBL)*10000000+(N('Dvd Calendar'!$M$2066)&gt;0)*(N('Dvd Calendar'!$M$2066)&lt;=VAL_SERIAL)*1000000+47*1000+9))</f>
        <v/>
      </c>
      <c r="EN206" s="39">
        <f>IF(N('Dvd Calendar'!$N$2067)=0,"",IF(('Dvd Calendar'!$N$2067&gt;=GRID_FROM)*('Dvd Calendar'!$N$2067&lt;=GRID_TO)*((('Dvd Calendar'!$N$2067&lt;=VAL_DATE)+(COUNTIF('Dvd Calendar'!$E$2074:$AR$2074,'Dvd Calendar'!$N$2067)=0))&gt;0)=0,"",'Dvd Calendar'!$N$2067*1000000000+ISNUMBER('Dvd Calendar'!$N$2070)*100000000+('Dvd Calendar'!$N$2072=SPECIAL_LBL)*10000000+(N('Dvd Calendar'!$N$2066)&gt;0)*(N('Dvd Calendar'!$N$2066)&lt;=VAL_SERIAL)*1000000+47*1000+10))</f>
        <v/>
      </c>
      <c r="EO206" s="39">
        <f>IF(N('Dvd Calendar'!$O$2067)=0,"",IF(('Dvd Calendar'!$O$2067&gt;=GRID_FROM)*('Dvd Calendar'!$O$2067&lt;=GRID_TO)*((('Dvd Calendar'!$O$2067&lt;=VAL_DATE)+(COUNTIF('Dvd Calendar'!$E$2074:$AR$2074,'Dvd Calendar'!$O$2067)=0))&gt;0)=0,"",'Dvd Calendar'!$O$2067*1000000000+ISNUMBER('Dvd Calendar'!$O$2070)*100000000+('Dvd Calendar'!$O$2072=SPECIAL_LBL)*10000000+(N('Dvd Calendar'!$O$2066)&gt;0)*(N('Dvd Calendar'!$O$2066)&lt;=VAL_SERIAL)*1000000+47*1000+11))</f>
        <v/>
      </c>
      <c r="EP206" s="39">
        <f>IF(N('Dvd Calendar'!$P$2067)=0,"",IF(('Dvd Calendar'!$P$2067&gt;=GRID_FROM)*('Dvd Calendar'!$P$2067&lt;=GRID_TO)*((('Dvd Calendar'!$P$2067&lt;=VAL_DATE)+(COUNTIF('Dvd Calendar'!$E$2074:$AR$2074,'Dvd Calendar'!$P$2067)=0))&gt;0)=0,"",'Dvd Calendar'!$P$2067*1000000000+ISNUMBER('Dvd Calendar'!$P$2070)*100000000+('Dvd Calendar'!$P$2072=SPECIAL_LBL)*10000000+(N('Dvd Calendar'!$P$2066)&gt;0)*(N('Dvd Calendar'!$P$2066)&lt;=VAL_SERIAL)*1000000+47*1000+12))</f>
        <v/>
      </c>
      <c r="EQ206" s="39">
        <f>IF(N('Dvd Calendar'!$Q$2067)=0,"",IF(('Dvd Calendar'!$Q$2067&gt;=GRID_FROM)*('Dvd Calendar'!$Q$2067&lt;=GRID_TO)*((('Dvd Calendar'!$Q$2067&lt;=VAL_DATE)+(COUNTIF('Dvd Calendar'!$E$2074:$AR$2074,'Dvd Calendar'!$Q$2067)=0))&gt;0)=0,"",'Dvd Calendar'!$Q$2067*1000000000+ISNUMBER('Dvd Calendar'!$Q$2070)*100000000+('Dvd Calendar'!$Q$2072=SPECIAL_LBL)*10000000+(N('Dvd Calendar'!$Q$2066)&gt;0)*(N('Dvd Calendar'!$Q$2066)&lt;=VAL_SERIAL)*1000000+47*1000+13))</f>
        <v/>
      </c>
      <c r="ER206" s="39">
        <f>IF(N('Dvd Calendar'!$R$2067)=0,"",IF(('Dvd Calendar'!$R$2067&gt;=GRID_FROM)*('Dvd Calendar'!$R$2067&lt;=GRID_TO)*((('Dvd Calendar'!$R$2067&lt;=VAL_DATE)+(COUNTIF('Dvd Calendar'!$E$2074:$AR$2074,'Dvd Calendar'!$R$2067)=0))&gt;0)=0,"",'Dvd Calendar'!$R$2067*1000000000+ISNUMBER('Dvd Calendar'!$R$2070)*100000000+('Dvd Calendar'!$R$2072=SPECIAL_LBL)*10000000+(N('Dvd Calendar'!$R$2066)&gt;0)*(N('Dvd Calendar'!$R$2066)&lt;=VAL_SERIAL)*1000000+47*1000+14))</f>
        <v/>
      </c>
      <c r="ES206" s="39">
        <f>IF(N('Dvd Calendar'!$S$2067)=0,"",IF(('Dvd Calendar'!$S$2067&gt;=GRID_FROM)*('Dvd Calendar'!$S$2067&lt;=GRID_TO)*((('Dvd Calendar'!$S$2067&lt;=VAL_DATE)+(COUNTIF('Dvd Calendar'!$E$2074:$AR$2074,'Dvd Calendar'!$S$2067)=0))&gt;0)=0,"",'Dvd Calendar'!$S$2067*1000000000+ISNUMBER('Dvd Calendar'!$S$2070)*100000000+('Dvd Calendar'!$S$2072=SPECIAL_LBL)*10000000+(N('Dvd Calendar'!$S$2066)&gt;0)*(N('Dvd Calendar'!$S$2066)&lt;=VAL_SERIAL)*1000000+47*1000+15))</f>
        <v/>
      </c>
      <c r="ET206" s="39">
        <f>IF(N('Dvd Calendar'!$T$2067)=0,"",IF(('Dvd Calendar'!$T$2067&gt;=GRID_FROM)*('Dvd Calendar'!$T$2067&lt;=GRID_TO)*((('Dvd Calendar'!$T$2067&lt;=VAL_DATE)+(COUNTIF('Dvd Calendar'!$E$2074:$AR$2074,'Dvd Calendar'!$T$2067)=0))&gt;0)=0,"",'Dvd Calendar'!$T$2067*1000000000+ISNUMBER('Dvd Calendar'!$T$2070)*100000000+('Dvd Calendar'!$T$2072=SPECIAL_LBL)*10000000+(N('Dvd Calendar'!$T$2066)&gt;0)*(N('Dvd Calendar'!$T$2066)&lt;=VAL_SERIAL)*1000000+47*1000+16))</f>
        <v/>
      </c>
      <c r="EU206" s="39">
        <f>IF(N('Dvd Calendar'!$U$2067)=0,"",IF(('Dvd Calendar'!$U$2067&gt;=GRID_FROM)*('Dvd Calendar'!$U$2067&lt;=GRID_TO)*((('Dvd Calendar'!$U$2067&lt;=VAL_DATE)+(COUNTIF('Dvd Calendar'!$E$2074:$AR$2074,'Dvd Calendar'!$U$2067)=0))&gt;0)=0,"",'Dvd Calendar'!$U$2067*1000000000+ISNUMBER('Dvd Calendar'!$U$2070)*100000000+('Dvd Calendar'!$U$2072=SPECIAL_LBL)*10000000+(N('Dvd Calendar'!$U$2066)&gt;0)*(N('Dvd Calendar'!$U$2066)&lt;=VAL_SERIAL)*1000000+47*1000+17))</f>
        <v/>
      </c>
      <c r="EV206" s="39">
        <f>IF(N('Dvd Calendar'!$V$2067)=0,"",IF(('Dvd Calendar'!$V$2067&gt;=GRID_FROM)*('Dvd Calendar'!$V$2067&lt;=GRID_TO)*((('Dvd Calendar'!$V$2067&lt;=VAL_DATE)+(COUNTIF('Dvd Calendar'!$E$2074:$AR$2074,'Dvd Calendar'!$V$2067)=0))&gt;0)=0,"",'Dvd Calendar'!$V$2067*1000000000+ISNUMBER('Dvd Calendar'!$V$2070)*100000000+('Dvd Calendar'!$V$2072=SPECIAL_LBL)*10000000+(N('Dvd Calendar'!$V$2066)&gt;0)*(N('Dvd Calendar'!$V$2066)&lt;=VAL_SERIAL)*1000000+47*1000+18))</f>
        <v/>
      </c>
      <c r="EW206" s="39">
        <f>IF(N('Dvd Calendar'!$W$2067)=0,"",IF(('Dvd Calendar'!$W$2067&gt;=GRID_FROM)*('Dvd Calendar'!$W$2067&lt;=GRID_TO)*((('Dvd Calendar'!$W$2067&lt;=VAL_DATE)+(COUNTIF('Dvd Calendar'!$E$2074:$AR$2074,'Dvd Calendar'!$W$2067)=0))&gt;0)=0,"",'Dvd Calendar'!$W$2067*1000000000+ISNUMBER('Dvd Calendar'!$W$2070)*100000000+('Dvd Calendar'!$W$2072=SPECIAL_LBL)*10000000+(N('Dvd Calendar'!$W$2066)&gt;0)*(N('Dvd Calendar'!$W$2066)&lt;=VAL_SERIAL)*1000000+47*1000+19))</f>
        <v/>
      </c>
      <c r="EX206" s="39">
        <f>IF(N('Dvd Calendar'!$X$2067)=0,"",IF(('Dvd Calendar'!$X$2067&gt;=GRID_FROM)*('Dvd Calendar'!$X$2067&lt;=GRID_TO)*((('Dvd Calendar'!$X$2067&lt;=VAL_DATE)+(COUNTIF('Dvd Calendar'!$E$2074:$AR$2074,'Dvd Calendar'!$X$2067)=0))&gt;0)=0,"",'Dvd Calendar'!$X$2067*1000000000+ISNUMBER('Dvd Calendar'!$X$2070)*100000000+('Dvd Calendar'!$X$2072=SPECIAL_LBL)*10000000+(N('Dvd Calendar'!$X$2066)&gt;0)*(N('Dvd Calendar'!$X$2066)&lt;=VAL_SERIAL)*1000000+47*1000+20))</f>
        <v/>
      </c>
      <c r="EY206" s="39">
        <f>IF(N('Dvd Calendar'!$Y$2067)=0,"",IF(('Dvd Calendar'!$Y$2067&gt;=GRID_FROM)*('Dvd Calendar'!$Y$2067&lt;=GRID_TO)*((('Dvd Calendar'!$Y$2067&lt;=VAL_DATE)+(COUNTIF('Dvd Calendar'!$E$2074:$AR$2074,'Dvd Calendar'!$Y$2067)=0))&gt;0)=0,"",'Dvd Calendar'!$Y$2067*1000000000+ISNUMBER('Dvd Calendar'!$Y$2070)*100000000+('Dvd Calendar'!$Y$2072=SPECIAL_LBL)*10000000+(N('Dvd Calendar'!$Y$2066)&gt;0)*(N('Dvd Calendar'!$Y$2066)&lt;=VAL_SERIAL)*1000000+47*1000+21))</f>
        <v/>
      </c>
      <c r="EZ206" s="39">
        <f>IF(N('Dvd Calendar'!$Z$2067)=0,"",IF(('Dvd Calendar'!$Z$2067&gt;=GRID_FROM)*('Dvd Calendar'!$Z$2067&lt;=GRID_TO)*((('Dvd Calendar'!$Z$2067&lt;=VAL_DATE)+(COUNTIF('Dvd Calendar'!$E$2074:$AR$2074,'Dvd Calendar'!$Z$2067)=0))&gt;0)=0,"",'Dvd Calendar'!$Z$2067*1000000000+ISNUMBER('Dvd Calendar'!$Z$2070)*100000000+('Dvd Calendar'!$Z$2072=SPECIAL_LBL)*10000000+(N('Dvd Calendar'!$Z$2066)&gt;0)*(N('Dvd Calendar'!$Z$2066)&lt;=VAL_SERIAL)*1000000+47*1000+22))</f>
        <v/>
      </c>
      <c r="FA206" s="39">
        <f>IF(N('Dvd Calendar'!$AA$2067)=0,"",IF(('Dvd Calendar'!$AA$2067&gt;=GRID_FROM)*('Dvd Calendar'!$AA$2067&lt;=GRID_TO)*((('Dvd Calendar'!$AA$2067&lt;=VAL_DATE)+(COUNTIF('Dvd Calendar'!$E$2074:$AR$2074,'Dvd Calendar'!$AA$2067)=0))&gt;0)=0,"",'Dvd Calendar'!$AA$2067*1000000000+ISNUMBER('Dvd Calendar'!$AA$2070)*100000000+('Dvd Calendar'!$AA$2072=SPECIAL_LBL)*10000000+(N('Dvd Calendar'!$AA$2066)&gt;0)*(N('Dvd Calendar'!$AA$2066)&lt;=VAL_SERIAL)*1000000+47*1000+23))</f>
        <v/>
      </c>
      <c r="FB206" s="39">
        <f>IF(N('Dvd Calendar'!$AB$2067)=0,"",IF(('Dvd Calendar'!$AB$2067&gt;=GRID_FROM)*('Dvd Calendar'!$AB$2067&lt;=GRID_TO)*((('Dvd Calendar'!$AB$2067&lt;=VAL_DATE)+(COUNTIF('Dvd Calendar'!$E$2074:$AR$2074,'Dvd Calendar'!$AB$2067)=0))&gt;0)=0,"",'Dvd Calendar'!$AB$2067*1000000000+ISNUMBER('Dvd Calendar'!$AB$2070)*100000000+('Dvd Calendar'!$AB$2072=SPECIAL_LBL)*10000000+(N('Dvd Calendar'!$AB$2066)&gt;0)*(N('Dvd Calendar'!$AB$2066)&lt;=VAL_SERIAL)*1000000+47*1000+24))</f>
        <v/>
      </c>
      <c r="FC206" s="39">
        <f>IF(N('Dvd Calendar'!$AC$2067)=0,"",IF(('Dvd Calendar'!$AC$2067&gt;=GRID_FROM)*('Dvd Calendar'!$AC$2067&lt;=GRID_TO)*((('Dvd Calendar'!$AC$2067&lt;=VAL_DATE)+(COUNTIF('Dvd Calendar'!$E$2074:$AR$2074,'Dvd Calendar'!$AC$2067)=0))&gt;0)=0,"",'Dvd Calendar'!$AC$2067*1000000000+ISNUMBER('Dvd Calendar'!$AC$2070)*100000000+('Dvd Calendar'!$AC$2072=SPECIAL_LBL)*10000000+(N('Dvd Calendar'!$AC$2066)&gt;0)*(N('Dvd Calendar'!$AC$2066)&lt;=VAL_SERIAL)*1000000+47*1000+25))</f>
        <v/>
      </c>
      <c r="FD206" s="39">
        <f>IF(N('Dvd Calendar'!$AD$2067)=0,"",IF(('Dvd Calendar'!$AD$2067&gt;=GRID_FROM)*('Dvd Calendar'!$AD$2067&lt;=GRID_TO)*((('Dvd Calendar'!$AD$2067&lt;=VAL_DATE)+(COUNTIF('Dvd Calendar'!$E$2074:$AR$2074,'Dvd Calendar'!$AD$2067)=0))&gt;0)=0,"",'Dvd Calendar'!$AD$2067*1000000000+ISNUMBER('Dvd Calendar'!$AD$2070)*100000000+('Dvd Calendar'!$AD$2072=SPECIAL_LBL)*10000000+(N('Dvd Calendar'!$AD$2066)&gt;0)*(N('Dvd Calendar'!$AD$2066)&lt;=VAL_SERIAL)*1000000+47*1000+26))</f>
        <v/>
      </c>
      <c r="FE206" s="39">
        <f>IF(N('Dvd Calendar'!$AE$2067)=0,"",IF(('Dvd Calendar'!$AE$2067&gt;=GRID_FROM)*('Dvd Calendar'!$AE$2067&lt;=GRID_TO)*((('Dvd Calendar'!$AE$2067&lt;=VAL_DATE)+(COUNTIF('Dvd Calendar'!$E$2074:$AR$2074,'Dvd Calendar'!$AE$2067)=0))&gt;0)=0,"",'Dvd Calendar'!$AE$2067*1000000000+ISNUMBER('Dvd Calendar'!$AE$2070)*100000000+('Dvd Calendar'!$AE$2072=SPECIAL_LBL)*10000000+(N('Dvd Calendar'!$AE$2066)&gt;0)*(N('Dvd Calendar'!$AE$2066)&lt;=VAL_SERIAL)*1000000+47*1000+27))</f>
        <v/>
      </c>
      <c r="FF206" s="39">
        <f>IF(N('Dvd Calendar'!$AF$2067)=0,"",IF(('Dvd Calendar'!$AF$2067&gt;=GRID_FROM)*('Dvd Calendar'!$AF$2067&lt;=GRID_TO)*((('Dvd Calendar'!$AF$2067&lt;=VAL_DATE)+(COUNTIF('Dvd Calendar'!$E$2074:$AR$2074,'Dvd Calendar'!$AF$2067)=0))&gt;0)=0,"",'Dvd Calendar'!$AF$2067*1000000000+ISNUMBER('Dvd Calendar'!$AF$2070)*100000000+('Dvd Calendar'!$AF$2072=SPECIAL_LBL)*10000000+(N('Dvd Calendar'!$AF$2066)&gt;0)*(N('Dvd Calendar'!$AF$2066)&lt;=VAL_SERIAL)*1000000+47*1000+28))</f>
        <v/>
      </c>
      <c r="FG206" s="39">
        <f>IF(N('Dvd Calendar'!$AG$2067)=0,"",IF(('Dvd Calendar'!$AG$2067&gt;=GRID_FROM)*('Dvd Calendar'!$AG$2067&lt;=GRID_TO)*((('Dvd Calendar'!$AG$2067&lt;=VAL_DATE)+(COUNTIF('Dvd Calendar'!$E$2074:$AR$2074,'Dvd Calendar'!$AG$2067)=0))&gt;0)=0,"",'Dvd Calendar'!$AG$2067*1000000000+ISNUMBER('Dvd Calendar'!$AG$2070)*100000000+('Dvd Calendar'!$AG$2072=SPECIAL_LBL)*10000000+(N('Dvd Calendar'!$AG$2066)&gt;0)*(N('Dvd Calendar'!$AG$2066)&lt;=VAL_SERIAL)*1000000+47*1000+29))</f>
        <v/>
      </c>
      <c r="FH206" s="39">
        <f>IF(N('Dvd Calendar'!$AH$2067)=0,"",IF(('Dvd Calendar'!$AH$2067&gt;=GRID_FROM)*('Dvd Calendar'!$AH$2067&lt;=GRID_TO)*((('Dvd Calendar'!$AH$2067&lt;=VAL_DATE)+(COUNTIF('Dvd Calendar'!$E$2074:$AR$2074,'Dvd Calendar'!$AH$2067)=0))&gt;0)=0,"",'Dvd Calendar'!$AH$2067*1000000000+ISNUMBER('Dvd Calendar'!$AH$2070)*100000000+('Dvd Calendar'!$AH$2072=SPECIAL_LBL)*10000000+(N('Dvd Calendar'!$AH$2066)&gt;0)*(N('Dvd Calendar'!$AH$2066)&lt;=VAL_SERIAL)*1000000+47*1000+30))</f>
        <v/>
      </c>
      <c r="FI206" s="39">
        <f>IF(N('Dvd Calendar'!$AI$2067)=0,"",IF(('Dvd Calendar'!$AI$2067&gt;=GRID_FROM)*('Dvd Calendar'!$AI$2067&lt;=GRID_TO)*((('Dvd Calendar'!$AI$2067&lt;=VAL_DATE)+(COUNTIF('Dvd Calendar'!$E$2074:$AR$2074,'Dvd Calendar'!$AI$2067)=0))&gt;0)=0,"",'Dvd Calendar'!$AI$2067*1000000000+ISNUMBER('Dvd Calendar'!$AI$2070)*100000000+('Dvd Calendar'!$AI$2072=SPECIAL_LBL)*10000000+(N('Dvd Calendar'!$AI$2066)&gt;0)*(N('Dvd Calendar'!$AI$2066)&lt;=VAL_SERIAL)*1000000+47*1000+31))</f>
        <v/>
      </c>
      <c r="FJ206" s="39">
        <f>IF(N('Dvd Calendar'!$AJ$2067)=0,"",IF(('Dvd Calendar'!$AJ$2067&gt;=GRID_FROM)*('Dvd Calendar'!$AJ$2067&lt;=GRID_TO)*((('Dvd Calendar'!$AJ$2067&lt;=VAL_DATE)+(COUNTIF('Dvd Calendar'!$E$2074:$AR$2074,'Dvd Calendar'!$AJ$2067)=0))&gt;0)=0,"",'Dvd Calendar'!$AJ$2067*1000000000+ISNUMBER('Dvd Calendar'!$AJ$2070)*100000000+('Dvd Calendar'!$AJ$2072=SPECIAL_LBL)*10000000+(N('Dvd Calendar'!$AJ$2066)&gt;0)*(N('Dvd Calendar'!$AJ$2066)&lt;=VAL_SERIAL)*1000000+47*1000+32))</f>
        <v/>
      </c>
      <c r="FK206" s="39">
        <f>IF(N('Dvd Calendar'!$AK$2067)=0,"",IF(('Dvd Calendar'!$AK$2067&gt;=GRID_FROM)*('Dvd Calendar'!$AK$2067&lt;=GRID_TO)*((('Dvd Calendar'!$AK$2067&lt;=VAL_DATE)+(COUNTIF('Dvd Calendar'!$E$2074:$AR$2074,'Dvd Calendar'!$AK$2067)=0))&gt;0)=0,"",'Dvd Calendar'!$AK$2067*1000000000+ISNUMBER('Dvd Calendar'!$AK$2070)*100000000+('Dvd Calendar'!$AK$2072=SPECIAL_LBL)*10000000+(N('Dvd Calendar'!$AK$2066)&gt;0)*(N('Dvd Calendar'!$AK$2066)&lt;=VAL_SERIAL)*1000000+47*1000+33))</f>
        <v/>
      </c>
      <c r="FL206" s="39">
        <f>IF(N('Dvd Calendar'!$AL$2067)=0,"",IF(('Dvd Calendar'!$AL$2067&gt;=GRID_FROM)*('Dvd Calendar'!$AL$2067&lt;=GRID_TO)*((('Dvd Calendar'!$AL$2067&lt;=VAL_DATE)+(COUNTIF('Dvd Calendar'!$E$2074:$AR$2074,'Dvd Calendar'!$AL$2067)=0))&gt;0)=0,"",'Dvd Calendar'!$AL$2067*1000000000+ISNUMBER('Dvd Calendar'!$AL$2070)*100000000+('Dvd Calendar'!$AL$2072=SPECIAL_LBL)*10000000+(N('Dvd Calendar'!$AL$2066)&gt;0)*(N('Dvd Calendar'!$AL$2066)&lt;=VAL_SERIAL)*1000000+47*1000+34))</f>
        <v/>
      </c>
      <c r="FM206" s="39">
        <f>IF(N('Dvd Calendar'!$AM$2067)=0,"",IF(('Dvd Calendar'!$AM$2067&gt;=GRID_FROM)*('Dvd Calendar'!$AM$2067&lt;=GRID_TO)*((('Dvd Calendar'!$AM$2067&lt;=VAL_DATE)+(COUNTIF('Dvd Calendar'!$E$2074:$AR$2074,'Dvd Calendar'!$AM$2067)=0))&gt;0)=0,"",'Dvd Calendar'!$AM$2067*1000000000+ISNUMBER('Dvd Calendar'!$AM$2070)*100000000+('Dvd Calendar'!$AM$2072=SPECIAL_LBL)*10000000+(N('Dvd Calendar'!$AM$2066)&gt;0)*(N('Dvd Calendar'!$AM$2066)&lt;=VAL_SERIAL)*1000000+47*1000+35))</f>
        <v/>
      </c>
      <c r="FN206" s="39">
        <f>IF(N('Dvd Calendar'!$AN$2067)=0,"",IF(('Dvd Calendar'!$AN$2067&gt;=GRID_FROM)*('Dvd Calendar'!$AN$2067&lt;=GRID_TO)*((('Dvd Calendar'!$AN$2067&lt;=VAL_DATE)+(COUNTIF('Dvd Calendar'!$E$2074:$AR$2074,'Dvd Calendar'!$AN$2067)=0))&gt;0)=0,"",'Dvd Calendar'!$AN$2067*1000000000+ISNUMBER('Dvd Calendar'!$AN$2070)*100000000+('Dvd Calendar'!$AN$2072=SPECIAL_LBL)*10000000+(N('Dvd Calendar'!$AN$2066)&gt;0)*(N('Dvd Calendar'!$AN$2066)&lt;=VAL_SERIAL)*1000000+47*1000+36))</f>
        <v/>
      </c>
      <c r="FO206" s="39">
        <f>IF(N('Dvd Calendar'!$AO$2067)=0,"",IF(('Dvd Calendar'!$AO$2067&gt;=GRID_FROM)*('Dvd Calendar'!$AO$2067&lt;=GRID_TO)*((('Dvd Calendar'!$AO$2067&lt;=VAL_DATE)+(COUNTIF('Dvd Calendar'!$E$2074:$AR$2074,'Dvd Calendar'!$AO$2067)=0))&gt;0)=0,"",'Dvd Calendar'!$AO$2067*1000000000+ISNUMBER('Dvd Calendar'!$AO$2070)*100000000+('Dvd Calendar'!$AO$2072=SPECIAL_LBL)*10000000+(N('Dvd Calendar'!$AO$2066)&gt;0)*(N('Dvd Calendar'!$AO$2066)&lt;=VAL_SERIAL)*1000000+47*1000+37))</f>
        <v/>
      </c>
      <c r="FP206" s="39">
        <f>IF(N('Dvd Calendar'!$AP$2067)=0,"",IF(('Dvd Calendar'!$AP$2067&gt;=GRID_FROM)*('Dvd Calendar'!$AP$2067&lt;=GRID_TO)*((('Dvd Calendar'!$AP$2067&lt;=VAL_DATE)+(COUNTIF('Dvd Calendar'!$E$2074:$AR$2074,'Dvd Calendar'!$AP$2067)=0))&gt;0)=0,"",'Dvd Calendar'!$AP$2067*1000000000+ISNUMBER('Dvd Calendar'!$AP$2070)*100000000+('Dvd Calendar'!$AP$2072=SPECIAL_LBL)*10000000+(N('Dvd Calendar'!$AP$2066)&gt;0)*(N('Dvd Calendar'!$AP$2066)&lt;=VAL_SERIAL)*1000000+47*1000+38))</f>
        <v/>
      </c>
      <c r="FQ206" s="39">
        <f>IF(N('Dvd Calendar'!$AQ$2067)=0,"",IF(('Dvd Calendar'!$AQ$2067&gt;=GRID_FROM)*('Dvd Calendar'!$AQ$2067&lt;=GRID_TO)*((('Dvd Calendar'!$AQ$2067&lt;=VAL_DATE)+(COUNTIF('Dvd Calendar'!$E$2074:$AR$2074,'Dvd Calendar'!$AQ$2067)=0))&gt;0)=0,"",'Dvd Calendar'!$AQ$2067*1000000000+ISNUMBER('Dvd Calendar'!$AQ$2070)*100000000+('Dvd Calendar'!$AQ$2072=SPECIAL_LBL)*10000000+(N('Dvd Calendar'!$AQ$2066)&gt;0)*(N('Dvd Calendar'!$AQ$2066)&lt;=VAL_SERIAL)*1000000+47*1000+39))</f>
        <v/>
      </c>
      <c r="FR206" s="39">
        <f>IF(N('Dvd Calendar'!$AR$2067)=0,"",IF(('Dvd Calendar'!$AR$2067&gt;=GRID_FROM)*('Dvd Calendar'!$AR$2067&lt;=GRID_TO)*((('Dvd Calendar'!$AR$2067&lt;=VAL_DATE)+(COUNTIF('Dvd Calendar'!$E$2074:$AR$2074,'Dvd Calendar'!$AR$2067)=0))&gt;0)=0,"",'Dvd Calendar'!$AR$2067*1000000000+ISNUMBER('Dvd Calendar'!$AR$2070)*100000000+('Dvd Calendar'!$AR$2072=SPECIAL_LBL)*10000000+(N('Dvd Calendar'!$AR$2066)&gt;0)*(N('Dvd Calendar'!$AR$2066)&lt;=VAL_SERIAL)*1000000+47*1000+40))</f>
        <v/>
      </c>
      <c r="FS206" s="39">
        <f>IF(N('Dvd Calendar'!$E$2074)=0,"",IF(('Dvd Calendar'!$E$2074&gt;=GRID_FROM)*('Dvd Calendar'!$E$2074&lt;=GRID_TO)*('Dvd Calendar'!$E$2074&gt;VAL_DATE)=0,"",'Dvd Calendar'!$E$2074*1000000000+ISNUMBER('Dvd Calendar'!$E$2075)*100000000+0*10000000+(N('Dvd Calendar'!$E$2073)&gt;0)*(N('Dvd Calendar'!$E$2073)&lt;=VAL_SERIAL)*1000000+47*1000+41))</f>
        <v/>
      </c>
      <c r="FT206" s="39">
        <f>IF(N('Dvd Calendar'!$F$2074)=0,"",IF(('Dvd Calendar'!$F$2074&gt;=GRID_FROM)*('Dvd Calendar'!$F$2074&lt;=GRID_TO)*('Dvd Calendar'!$F$2074&gt;VAL_DATE)=0,"",'Dvd Calendar'!$F$2074*1000000000+ISNUMBER('Dvd Calendar'!$F$2075)*100000000+0*10000000+(N('Dvd Calendar'!$F$2073)&gt;0)*(N('Dvd Calendar'!$F$2073)&lt;=VAL_SERIAL)*1000000+47*1000+42))</f>
        <v/>
      </c>
      <c r="FU206" s="39">
        <f>IF(N('Dvd Calendar'!$G$2074)=0,"",IF(('Dvd Calendar'!$G$2074&gt;=GRID_FROM)*('Dvd Calendar'!$G$2074&lt;=GRID_TO)*('Dvd Calendar'!$G$2074&gt;VAL_DATE)=0,"",'Dvd Calendar'!$G$2074*1000000000+ISNUMBER('Dvd Calendar'!$G$2075)*100000000+0*10000000+(N('Dvd Calendar'!$G$2073)&gt;0)*(N('Dvd Calendar'!$G$2073)&lt;=VAL_SERIAL)*1000000+47*1000+43))</f>
        <v/>
      </c>
      <c r="FV206" s="39">
        <f>IF(N('Dvd Calendar'!$H$2074)=0,"",IF(('Dvd Calendar'!$H$2074&gt;=GRID_FROM)*('Dvd Calendar'!$H$2074&lt;=GRID_TO)*('Dvd Calendar'!$H$2074&gt;VAL_DATE)=0,"",'Dvd Calendar'!$H$2074*1000000000+ISNUMBER('Dvd Calendar'!$H$2075)*100000000+0*10000000+(N('Dvd Calendar'!$H$2073)&gt;0)*(N('Dvd Calendar'!$H$2073)&lt;=VAL_SERIAL)*1000000+47*1000+44))</f>
        <v/>
      </c>
      <c r="FW206" s="39">
        <f>IF(N('Dvd Calendar'!$I$2074)=0,"",IF(('Dvd Calendar'!$I$2074&gt;=GRID_FROM)*('Dvd Calendar'!$I$2074&lt;=GRID_TO)*('Dvd Calendar'!$I$2074&gt;VAL_DATE)=0,"",'Dvd Calendar'!$I$2074*1000000000+ISNUMBER('Dvd Calendar'!$I$2075)*100000000+0*10000000+(N('Dvd Calendar'!$I$2073)&gt;0)*(N('Dvd Calendar'!$I$2073)&lt;=VAL_SERIAL)*1000000+47*1000+45))</f>
        <v/>
      </c>
      <c r="FX206" s="39">
        <f>IF(N('Dvd Calendar'!$J$2074)=0,"",IF(('Dvd Calendar'!$J$2074&gt;=GRID_FROM)*('Dvd Calendar'!$J$2074&lt;=GRID_TO)*('Dvd Calendar'!$J$2074&gt;VAL_DATE)=0,"",'Dvd Calendar'!$J$2074*1000000000+ISNUMBER('Dvd Calendar'!$J$2075)*100000000+0*10000000+(N('Dvd Calendar'!$J$2073)&gt;0)*(N('Dvd Calendar'!$J$2073)&lt;=VAL_SERIAL)*1000000+47*1000+46))</f>
        <v/>
      </c>
      <c r="FY206" s="39">
        <f>IF(N('Dvd Calendar'!$K$2074)=0,"",IF(('Dvd Calendar'!$K$2074&gt;=GRID_FROM)*('Dvd Calendar'!$K$2074&lt;=GRID_TO)*('Dvd Calendar'!$K$2074&gt;VAL_DATE)=0,"",'Dvd Calendar'!$K$2074*1000000000+ISNUMBER('Dvd Calendar'!$K$2075)*100000000+0*10000000+(N('Dvd Calendar'!$K$2073)&gt;0)*(N('Dvd Calendar'!$K$2073)&lt;=VAL_SERIAL)*1000000+47*1000+47))</f>
        <v/>
      </c>
      <c r="FZ206" s="39">
        <f>IF(N('Dvd Calendar'!$L$2074)=0,"",IF(('Dvd Calendar'!$L$2074&gt;=GRID_FROM)*('Dvd Calendar'!$L$2074&lt;=GRID_TO)*('Dvd Calendar'!$L$2074&gt;VAL_DATE)=0,"",'Dvd Calendar'!$L$2074*1000000000+ISNUMBER('Dvd Calendar'!$L$2075)*100000000+0*10000000+(N('Dvd Calendar'!$L$2073)&gt;0)*(N('Dvd Calendar'!$L$2073)&lt;=VAL_SERIAL)*1000000+47*1000+48))</f>
        <v/>
      </c>
      <c r="GA206" s="39">
        <f>IF(N('Dvd Calendar'!$M$2074)=0,"",IF(('Dvd Calendar'!$M$2074&gt;=GRID_FROM)*('Dvd Calendar'!$M$2074&lt;=GRID_TO)*('Dvd Calendar'!$M$2074&gt;VAL_DATE)=0,"",'Dvd Calendar'!$M$2074*1000000000+ISNUMBER('Dvd Calendar'!$M$2075)*100000000+0*10000000+(N('Dvd Calendar'!$M$2073)&gt;0)*(N('Dvd Calendar'!$M$2073)&lt;=VAL_SERIAL)*1000000+47*1000+49))</f>
        <v/>
      </c>
      <c r="GB206" s="39">
        <f>IF(N('Dvd Calendar'!$N$2074)=0,"",IF(('Dvd Calendar'!$N$2074&gt;=GRID_FROM)*('Dvd Calendar'!$N$2074&lt;=GRID_TO)*('Dvd Calendar'!$N$2074&gt;VAL_DATE)=0,"",'Dvd Calendar'!$N$2074*1000000000+ISNUMBER('Dvd Calendar'!$N$2075)*100000000+0*10000000+(N('Dvd Calendar'!$N$2073)&gt;0)*(N('Dvd Calendar'!$N$2073)&lt;=VAL_SERIAL)*1000000+47*1000+50))</f>
        <v/>
      </c>
      <c r="GC206" s="39">
        <f>IF(N('Dvd Calendar'!$O$2074)=0,"",IF(('Dvd Calendar'!$O$2074&gt;=GRID_FROM)*('Dvd Calendar'!$O$2074&lt;=GRID_TO)*('Dvd Calendar'!$O$2074&gt;VAL_DATE)=0,"",'Dvd Calendar'!$O$2074*1000000000+ISNUMBER('Dvd Calendar'!$O$2075)*100000000+0*10000000+(N('Dvd Calendar'!$O$2073)&gt;0)*(N('Dvd Calendar'!$O$2073)&lt;=VAL_SERIAL)*1000000+47*1000+51))</f>
        <v/>
      </c>
      <c r="GD206" s="39">
        <f>IF(N('Dvd Calendar'!$P$2074)=0,"",IF(('Dvd Calendar'!$P$2074&gt;=GRID_FROM)*('Dvd Calendar'!$P$2074&lt;=GRID_TO)*('Dvd Calendar'!$P$2074&gt;VAL_DATE)=0,"",'Dvd Calendar'!$P$2074*1000000000+ISNUMBER('Dvd Calendar'!$P$2075)*100000000+0*10000000+(N('Dvd Calendar'!$P$2073)&gt;0)*(N('Dvd Calendar'!$P$2073)&lt;=VAL_SERIAL)*1000000+47*1000+52))</f>
        <v/>
      </c>
      <c r="GE206" s="39">
        <f>IF(N('Dvd Calendar'!$Q$2074)=0,"",IF(('Dvd Calendar'!$Q$2074&gt;=GRID_FROM)*('Dvd Calendar'!$Q$2074&lt;=GRID_TO)*('Dvd Calendar'!$Q$2074&gt;VAL_DATE)=0,"",'Dvd Calendar'!$Q$2074*1000000000+ISNUMBER('Dvd Calendar'!$Q$2075)*100000000+0*10000000+(N('Dvd Calendar'!$Q$2073)&gt;0)*(N('Dvd Calendar'!$Q$2073)&lt;=VAL_SERIAL)*1000000+47*1000+53))</f>
        <v/>
      </c>
      <c r="GF206" s="39">
        <f>IF(N('Dvd Calendar'!$R$2074)=0,"",IF(('Dvd Calendar'!$R$2074&gt;=GRID_FROM)*('Dvd Calendar'!$R$2074&lt;=GRID_TO)*('Dvd Calendar'!$R$2074&gt;VAL_DATE)=0,"",'Dvd Calendar'!$R$2074*1000000000+ISNUMBER('Dvd Calendar'!$R$2075)*100000000+0*10000000+(N('Dvd Calendar'!$R$2073)&gt;0)*(N('Dvd Calendar'!$R$2073)&lt;=VAL_SERIAL)*1000000+47*1000+54))</f>
        <v/>
      </c>
      <c r="GG206" s="39">
        <f>IF(N('Dvd Calendar'!$S$2074)=0,"",IF(('Dvd Calendar'!$S$2074&gt;=GRID_FROM)*('Dvd Calendar'!$S$2074&lt;=GRID_TO)*('Dvd Calendar'!$S$2074&gt;VAL_DATE)=0,"",'Dvd Calendar'!$S$2074*1000000000+ISNUMBER('Dvd Calendar'!$S$2075)*100000000+0*10000000+(N('Dvd Calendar'!$S$2073)&gt;0)*(N('Dvd Calendar'!$S$2073)&lt;=VAL_SERIAL)*1000000+47*1000+55))</f>
        <v/>
      </c>
      <c r="GH206" s="39">
        <f>IF(N('Dvd Calendar'!$T$2074)=0,"",IF(('Dvd Calendar'!$T$2074&gt;=GRID_FROM)*('Dvd Calendar'!$T$2074&lt;=GRID_TO)*('Dvd Calendar'!$T$2074&gt;VAL_DATE)=0,"",'Dvd Calendar'!$T$2074*1000000000+ISNUMBER('Dvd Calendar'!$T$2075)*100000000+0*10000000+(N('Dvd Calendar'!$T$2073)&gt;0)*(N('Dvd Calendar'!$T$2073)&lt;=VAL_SERIAL)*1000000+47*1000+56))</f>
        <v/>
      </c>
      <c r="GI206" s="39">
        <f>IF(N('Dvd Calendar'!$U$2074)=0,"",IF(('Dvd Calendar'!$U$2074&gt;=GRID_FROM)*('Dvd Calendar'!$U$2074&lt;=GRID_TO)*('Dvd Calendar'!$U$2074&gt;VAL_DATE)=0,"",'Dvd Calendar'!$U$2074*1000000000+ISNUMBER('Dvd Calendar'!$U$2075)*100000000+0*10000000+(N('Dvd Calendar'!$U$2073)&gt;0)*(N('Dvd Calendar'!$U$2073)&lt;=VAL_SERIAL)*1000000+47*1000+57))</f>
        <v/>
      </c>
      <c r="GJ206" s="39">
        <f>IF(N('Dvd Calendar'!$V$2074)=0,"",IF(('Dvd Calendar'!$V$2074&gt;=GRID_FROM)*('Dvd Calendar'!$V$2074&lt;=GRID_TO)*('Dvd Calendar'!$V$2074&gt;VAL_DATE)=0,"",'Dvd Calendar'!$V$2074*1000000000+ISNUMBER('Dvd Calendar'!$V$2075)*100000000+0*10000000+(N('Dvd Calendar'!$V$2073)&gt;0)*(N('Dvd Calendar'!$V$2073)&lt;=VAL_SERIAL)*1000000+47*1000+58))</f>
        <v/>
      </c>
      <c r="GK206" s="39">
        <f>IF(N('Dvd Calendar'!$W$2074)=0,"",IF(('Dvd Calendar'!$W$2074&gt;=GRID_FROM)*('Dvd Calendar'!$W$2074&lt;=GRID_TO)*('Dvd Calendar'!$W$2074&gt;VAL_DATE)=0,"",'Dvd Calendar'!$W$2074*1000000000+ISNUMBER('Dvd Calendar'!$W$2075)*100000000+0*10000000+(N('Dvd Calendar'!$W$2073)&gt;0)*(N('Dvd Calendar'!$W$2073)&lt;=VAL_SERIAL)*1000000+47*1000+59))</f>
        <v/>
      </c>
      <c r="GL206" s="39">
        <f>IF(N('Dvd Calendar'!$X$2074)=0,"",IF(('Dvd Calendar'!$X$2074&gt;=GRID_FROM)*('Dvd Calendar'!$X$2074&lt;=GRID_TO)*('Dvd Calendar'!$X$2074&gt;VAL_DATE)=0,"",'Dvd Calendar'!$X$2074*1000000000+ISNUMBER('Dvd Calendar'!$X$2075)*100000000+0*10000000+(N('Dvd Calendar'!$X$2073)&gt;0)*(N('Dvd Calendar'!$X$2073)&lt;=VAL_SERIAL)*1000000+47*1000+60))</f>
        <v/>
      </c>
      <c r="GM206" s="39">
        <f>IF(N('Dvd Calendar'!$Y$2074)=0,"",IF(('Dvd Calendar'!$Y$2074&gt;=GRID_FROM)*('Dvd Calendar'!$Y$2074&lt;=GRID_TO)*('Dvd Calendar'!$Y$2074&gt;VAL_DATE)=0,"",'Dvd Calendar'!$Y$2074*1000000000+ISNUMBER('Dvd Calendar'!$Y$2075)*100000000+0*10000000+(N('Dvd Calendar'!$Y$2073)&gt;0)*(N('Dvd Calendar'!$Y$2073)&lt;=VAL_SERIAL)*1000000+47*1000+61))</f>
        <v/>
      </c>
      <c r="GN206" s="39">
        <f>IF(N('Dvd Calendar'!$Z$2074)=0,"",IF(('Dvd Calendar'!$Z$2074&gt;=GRID_FROM)*('Dvd Calendar'!$Z$2074&lt;=GRID_TO)*('Dvd Calendar'!$Z$2074&gt;VAL_DATE)=0,"",'Dvd Calendar'!$Z$2074*1000000000+ISNUMBER('Dvd Calendar'!$Z$2075)*100000000+0*10000000+(N('Dvd Calendar'!$Z$2073)&gt;0)*(N('Dvd Calendar'!$Z$2073)&lt;=VAL_SERIAL)*1000000+47*1000+62))</f>
        <v/>
      </c>
      <c r="GO206" s="39">
        <f>IF(N('Dvd Calendar'!$AA$2074)=0,"",IF(('Dvd Calendar'!$AA$2074&gt;=GRID_FROM)*('Dvd Calendar'!$AA$2074&lt;=GRID_TO)*('Dvd Calendar'!$AA$2074&gt;VAL_DATE)=0,"",'Dvd Calendar'!$AA$2074*1000000000+ISNUMBER('Dvd Calendar'!$AA$2075)*100000000+0*10000000+(N('Dvd Calendar'!$AA$2073)&gt;0)*(N('Dvd Calendar'!$AA$2073)&lt;=VAL_SERIAL)*1000000+47*1000+63))</f>
        <v/>
      </c>
      <c r="GP206" s="39">
        <f>IF(N('Dvd Calendar'!$AB$2074)=0,"",IF(('Dvd Calendar'!$AB$2074&gt;=GRID_FROM)*('Dvd Calendar'!$AB$2074&lt;=GRID_TO)*('Dvd Calendar'!$AB$2074&gt;VAL_DATE)=0,"",'Dvd Calendar'!$AB$2074*1000000000+ISNUMBER('Dvd Calendar'!$AB$2075)*100000000+0*10000000+(N('Dvd Calendar'!$AB$2073)&gt;0)*(N('Dvd Calendar'!$AB$2073)&lt;=VAL_SERIAL)*1000000+47*1000+64))</f>
        <v/>
      </c>
      <c r="GQ206" s="39">
        <f>IF(N('Dvd Calendar'!$AC$2074)=0,"",IF(('Dvd Calendar'!$AC$2074&gt;=GRID_FROM)*('Dvd Calendar'!$AC$2074&lt;=GRID_TO)*('Dvd Calendar'!$AC$2074&gt;VAL_DATE)=0,"",'Dvd Calendar'!$AC$2074*1000000000+ISNUMBER('Dvd Calendar'!$AC$2075)*100000000+0*10000000+(N('Dvd Calendar'!$AC$2073)&gt;0)*(N('Dvd Calendar'!$AC$2073)&lt;=VAL_SERIAL)*1000000+47*1000+65))</f>
        <v/>
      </c>
    </row>
    <row r="207">
      <c r="B207" s="2">
        <f>IF(HSCEI!$C$54="","",HSCEI!$C$54)</f>
        <v/>
      </c>
      <c r="C207" s="110">
        <f>IF(EE207="","",IF(ISNUMBER('Dvd Calendar'!$E$2081)=FALSE,"",IF((('Dvd Calendar'!$E$2083=TYPE1)*(TYPE1&lt;&gt;"")+('Dvd Calendar'!$E$2083=TYPE2)*(TYPE2&lt;&gt;"")+('Dvd Calendar'!$E$2083=TYPE3)*(TYPE3&lt;&gt;"")+('Dvd Calendar'!$E$2083=TYPE4)*(TYPE4&lt;&gt;"")+('Dvd Calendar'!$E$2083=SPECIAL_LBL)*(INC_SPECIALS="Y"))=0,"",'Dvd Calendar'!$E$2081)))</f>
        <v/>
      </c>
      <c r="D207" s="110">
        <f>IF(EF207="","",IF(ISNUMBER('Dvd Calendar'!$F$2081)=FALSE,"",IF((('Dvd Calendar'!$F$2083=TYPE1)*(TYPE1&lt;&gt;"")+('Dvd Calendar'!$F$2083=TYPE2)*(TYPE2&lt;&gt;"")+('Dvd Calendar'!$F$2083=TYPE3)*(TYPE3&lt;&gt;"")+('Dvd Calendar'!$F$2083=TYPE4)*(TYPE4&lt;&gt;"")+('Dvd Calendar'!$F$2083=SPECIAL_LBL)*(INC_SPECIALS="Y"))=0,"",'Dvd Calendar'!$F$2081)))</f>
        <v/>
      </c>
      <c r="E207" s="110">
        <f>IF(EG207="","",IF(ISNUMBER('Dvd Calendar'!$G$2081)=FALSE,"",IF((('Dvd Calendar'!$G$2083=TYPE1)*(TYPE1&lt;&gt;"")+('Dvd Calendar'!$G$2083=TYPE2)*(TYPE2&lt;&gt;"")+('Dvd Calendar'!$G$2083=TYPE3)*(TYPE3&lt;&gt;"")+('Dvd Calendar'!$G$2083=TYPE4)*(TYPE4&lt;&gt;"")+('Dvd Calendar'!$G$2083=SPECIAL_LBL)*(INC_SPECIALS="Y"))=0,"",'Dvd Calendar'!$G$2081)))</f>
        <v/>
      </c>
      <c r="F207" s="110">
        <f>IF(EH207="","",IF(ISNUMBER('Dvd Calendar'!$H$2081)=FALSE,"",IF((('Dvd Calendar'!$H$2083=TYPE1)*(TYPE1&lt;&gt;"")+('Dvd Calendar'!$H$2083=TYPE2)*(TYPE2&lt;&gt;"")+('Dvd Calendar'!$H$2083=TYPE3)*(TYPE3&lt;&gt;"")+('Dvd Calendar'!$H$2083=TYPE4)*(TYPE4&lt;&gt;"")+('Dvd Calendar'!$H$2083=SPECIAL_LBL)*(INC_SPECIALS="Y"))=0,"",'Dvd Calendar'!$H$2081)))</f>
        <v/>
      </c>
      <c r="G207" s="110">
        <f>IF(EI207="","",IF(ISNUMBER('Dvd Calendar'!$I$2081)=FALSE,"",IF((('Dvd Calendar'!$I$2083=TYPE1)*(TYPE1&lt;&gt;"")+('Dvd Calendar'!$I$2083=TYPE2)*(TYPE2&lt;&gt;"")+('Dvd Calendar'!$I$2083=TYPE3)*(TYPE3&lt;&gt;"")+('Dvd Calendar'!$I$2083=TYPE4)*(TYPE4&lt;&gt;"")+('Dvd Calendar'!$I$2083=SPECIAL_LBL)*(INC_SPECIALS="Y"))=0,"",'Dvd Calendar'!$I$2081)))</f>
        <v/>
      </c>
      <c r="H207" s="110">
        <f>IF(EJ207="","",IF(ISNUMBER('Dvd Calendar'!$J$2081)=FALSE,"",IF((('Dvd Calendar'!$J$2083=TYPE1)*(TYPE1&lt;&gt;"")+('Dvd Calendar'!$J$2083=TYPE2)*(TYPE2&lt;&gt;"")+('Dvd Calendar'!$J$2083=TYPE3)*(TYPE3&lt;&gt;"")+('Dvd Calendar'!$J$2083=TYPE4)*(TYPE4&lt;&gt;"")+('Dvd Calendar'!$J$2083=SPECIAL_LBL)*(INC_SPECIALS="Y"))=0,"",'Dvd Calendar'!$J$2081)))</f>
        <v/>
      </c>
      <c r="I207" s="110">
        <f>IF(EK207="","",IF(ISNUMBER('Dvd Calendar'!$K$2081)=FALSE,"",IF((('Dvd Calendar'!$K$2083=TYPE1)*(TYPE1&lt;&gt;"")+('Dvd Calendar'!$K$2083=TYPE2)*(TYPE2&lt;&gt;"")+('Dvd Calendar'!$K$2083=TYPE3)*(TYPE3&lt;&gt;"")+('Dvd Calendar'!$K$2083=TYPE4)*(TYPE4&lt;&gt;"")+('Dvd Calendar'!$K$2083=SPECIAL_LBL)*(INC_SPECIALS="Y"))=0,"",'Dvd Calendar'!$K$2081)))</f>
        <v/>
      </c>
      <c r="J207" s="110">
        <f>IF(EL207="","",IF(ISNUMBER('Dvd Calendar'!$L$2081)=FALSE,"",IF((('Dvd Calendar'!$L$2083=TYPE1)*(TYPE1&lt;&gt;"")+('Dvd Calendar'!$L$2083=TYPE2)*(TYPE2&lt;&gt;"")+('Dvd Calendar'!$L$2083=TYPE3)*(TYPE3&lt;&gt;"")+('Dvd Calendar'!$L$2083=TYPE4)*(TYPE4&lt;&gt;"")+('Dvd Calendar'!$L$2083=SPECIAL_LBL)*(INC_SPECIALS="Y"))=0,"",'Dvd Calendar'!$L$2081)))</f>
        <v/>
      </c>
      <c r="K207" s="110">
        <f>IF(EM207="","",IF(ISNUMBER('Dvd Calendar'!$M$2081)=FALSE,"",IF((('Dvd Calendar'!$M$2083=TYPE1)*(TYPE1&lt;&gt;"")+('Dvd Calendar'!$M$2083=TYPE2)*(TYPE2&lt;&gt;"")+('Dvd Calendar'!$M$2083=TYPE3)*(TYPE3&lt;&gt;"")+('Dvd Calendar'!$M$2083=TYPE4)*(TYPE4&lt;&gt;"")+('Dvd Calendar'!$M$2083=SPECIAL_LBL)*(INC_SPECIALS="Y"))=0,"",'Dvd Calendar'!$M$2081)))</f>
        <v/>
      </c>
      <c r="L207" s="110">
        <f>IF(EN207="","",IF(ISNUMBER('Dvd Calendar'!$N$2081)=FALSE,"",IF((('Dvd Calendar'!$N$2083=TYPE1)*(TYPE1&lt;&gt;"")+('Dvd Calendar'!$N$2083=TYPE2)*(TYPE2&lt;&gt;"")+('Dvd Calendar'!$N$2083=TYPE3)*(TYPE3&lt;&gt;"")+('Dvd Calendar'!$N$2083=TYPE4)*(TYPE4&lt;&gt;"")+('Dvd Calendar'!$N$2083=SPECIAL_LBL)*(INC_SPECIALS="Y"))=0,"",'Dvd Calendar'!$N$2081)))</f>
        <v/>
      </c>
      <c r="M207" s="110">
        <f>IF(EO207="","",IF(ISNUMBER('Dvd Calendar'!$O$2081)=FALSE,"",IF((('Dvd Calendar'!$O$2083=TYPE1)*(TYPE1&lt;&gt;"")+('Dvd Calendar'!$O$2083=TYPE2)*(TYPE2&lt;&gt;"")+('Dvd Calendar'!$O$2083=TYPE3)*(TYPE3&lt;&gt;"")+('Dvd Calendar'!$O$2083=TYPE4)*(TYPE4&lt;&gt;"")+('Dvd Calendar'!$O$2083=SPECIAL_LBL)*(INC_SPECIALS="Y"))=0,"",'Dvd Calendar'!$O$2081)))</f>
        <v/>
      </c>
      <c r="N207" s="110">
        <f>IF(EP207="","",IF(ISNUMBER('Dvd Calendar'!$P$2081)=FALSE,"",IF((('Dvd Calendar'!$P$2083=TYPE1)*(TYPE1&lt;&gt;"")+('Dvd Calendar'!$P$2083=TYPE2)*(TYPE2&lt;&gt;"")+('Dvd Calendar'!$P$2083=TYPE3)*(TYPE3&lt;&gt;"")+('Dvd Calendar'!$P$2083=TYPE4)*(TYPE4&lt;&gt;"")+('Dvd Calendar'!$P$2083=SPECIAL_LBL)*(INC_SPECIALS="Y"))=0,"",'Dvd Calendar'!$P$2081)))</f>
        <v/>
      </c>
      <c r="O207" s="110">
        <f>IF(EQ207="","",IF(ISNUMBER('Dvd Calendar'!$Q$2081)=FALSE,"",IF((('Dvd Calendar'!$Q$2083=TYPE1)*(TYPE1&lt;&gt;"")+('Dvd Calendar'!$Q$2083=TYPE2)*(TYPE2&lt;&gt;"")+('Dvd Calendar'!$Q$2083=TYPE3)*(TYPE3&lt;&gt;"")+('Dvd Calendar'!$Q$2083=TYPE4)*(TYPE4&lt;&gt;"")+('Dvd Calendar'!$Q$2083=SPECIAL_LBL)*(INC_SPECIALS="Y"))=0,"",'Dvd Calendar'!$Q$2081)))</f>
        <v/>
      </c>
      <c r="P207" s="110">
        <f>IF(ER207="","",IF(ISNUMBER('Dvd Calendar'!$R$2081)=FALSE,"",IF((('Dvd Calendar'!$R$2083=TYPE1)*(TYPE1&lt;&gt;"")+('Dvd Calendar'!$R$2083=TYPE2)*(TYPE2&lt;&gt;"")+('Dvd Calendar'!$R$2083=TYPE3)*(TYPE3&lt;&gt;"")+('Dvd Calendar'!$R$2083=TYPE4)*(TYPE4&lt;&gt;"")+('Dvd Calendar'!$R$2083=SPECIAL_LBL)*(INC_SPECIALS="Y"))=0,"",'Dvd Calendar'!$R$2081)))</f>
        <v/>
      </c>
      <c r="Q207" s="110">
        <f>IF(ES207="","",IF(ISNUMBER('Dvd Calendar'!$S$2081)=FALSE,"",IF((('Dvd Calendar'!$S$2083=TYPE1)*(TYPE1&lt;&gt;"")+('Dvd Calendar'!$S$2083=TYPE2)*(TYPE2&lt;&gt;"")+('Dvd Calendar'!$S$2083=TYPE3)*(TYPE3&lt;&gt;"")+('Dvd Calendar'!$S$2083=TYPE4)*(TYPE4&lt;&gt;"")+('Dvd Calendar'!$S$2083=SPECIAL_LBL)*(INC_SPECIALS="Y"))=0,"",'Dvd Calendar'!$S$2081)))</f>
        <v/>
      </c>
      <c r="R207" s="110">
        <f>IF(ET207="","",IF(ISNUMBER('Dvd Calendar'!$T$2081)=FALSE,"",IF((('Dvd Calendar'!$T$2083=TYPE1)*(TYPE1&lt;&gt;"")+('Dvd Calendar'!$T$2083=TYPE2)*(TYPE2&lt;&gt;"")+('Dvd Calendar'!$T$2083=TYPE3)*(TYPE3&lt;&gt;"")+('Dvd Calendar'!$T$2083=TYPE4)*(TYPE4&lt;&gt;"")+('Dvd Calendar'!$T$2083=SPECIAL_LBL)*(INC_SPECIALS="Y"))=0,"",'Dvd Calendar'!$T$2081)))</f>
        <v/>
      </c>
      <c r="S207" s="110">
        <f>IF(EU207="","",IF(ISNUMBER('Dvd Calendar'!$U$2081)=FALSE,"",IF((('Dvd Calendar'!$U$2083=TYPE1)*(TYPE1&lt;&gt;"")+('Dvd Calendar'!$U$2083=TYPE2)*(TYPE2&lt;&gt;"")+('Dvd Calendar'!$U$2083=TYPE3)*(TYPE3&lt;&gt;"")+('Dvd Calendar'!$U$2083=TYPE4)*(TYPE4&lt;&gt;"")+('Dvd Calendar'!$U$2083=SPECIAL_LBL)*(INC_SPECIALS="Y"))=0,"",'Dvd Calendar'!$U$2081)))</f>
        <v/>
      </c>
      <c r="T207" s="110">
        <f>IF(EV207="","",IF(ISNUMBER('Dvd Calendar'!$V$2081)=FALSE,"",IF((('Dvd Calendar'!$V$2083=TYPE1)*(TYPE1&lt;&gt;"")+('Dvd Calendar'!$V$2083=TYPE2)*(TYPE2&lt;&gt;"")+('Dvd Calendar'!$V$2083=TYPE3)*(TYPE3&lt;&gt;"")+('Dvd Calendar'!$V$2083=TYPE4)*(TYPE4&lt;&gt;"")+('Dvd Calendar'!$V$2083=SPECIAL_LBL)*(INC_SPECIALS="Y"))=0,"",'Dvd Calendar'!$V$2081)))</f>
        <v/>
      </c>
      <c r="U207" s="110">
        <f>IF(EW207="","",IF(ISNUMBER('Dvd Calendar'!$W$2081)=FALSE,"",IF((('Dvd Calendar'!$W$2083=TYPE1)*(TYPE1&lt;&gt;"")+('Dvd Calendar'!$W$2083=TYPE2)*(TYPE2&lt;&gt;"")+('Dvd Calendar'!$W$2083=TYPE3)*(TYPE3&lt;&gt;"")+('Dvd Calendar'!$W$2083=TYPE4)*(TYPE4&lt;&gt;"")+('Dvd Calendar'!$W$2083=SPECIAL_LBL)*(INC_SPECIALS="Y"))=0,"",'Dvd Calendar'!$W$2081)))</f>
        <v/>
      </c>
      <c r="V207" s="110">
        <f>IF(EX207="","",IF(ISNUMBER('Dvd Calendar'!$X$2081)=FALSE,"",IF((('Dvd Calendar'!$X$2083=TYPE1)*(TYPE1&lt;&gt;"")+('Dvd Calendar'!$X$2083=TYPE2)*(TYPE2&lt;&gt;"")+('Dvd Calendar'!$X$2083=TYPE3)*(TYPE3&lt;&gt;"")+('Dvd Calendar'!$X$2083=TYPE4)*(TYPE4&lt;&gt;"")+('Dvd Calendar'!$X$2083=SPECIAL_LBL)*(INC_SPECIALS="Y"))=0,"",'Dvd Calendar'!$X$2081)))</f>
        <v/>
      </c>
      <c r="W207" s="110">
        <f>IF(EY207="","",IF(ISNUMBER('Dvd Calendar'!$Y$2081)=FALSE,"",IF((('Dvd Calendar'!$Y$2083=TYPE1)*(TYPE1&lt;&gt;"")+('Dvd Calendar'!$Y$2083=TYPE2)*(TYPE2&lt;&gt;"")+('Dvd Calendar'!$Y$2083=TYPE3)*(TYPE3&lt;&gt;"")+('Dvd Calendar'!$Y$2083=TYPE4)*(TYPE4&lt;&gt;"")+('Dvd Calendar'!$Y$2083=SPECIAL_LBL)*(INC_SPECIALS="Y"))=0,"",'Dvd Calendar'!$Y$2081)))</f>
        <v/>
      </c>
      <c r="X207" s="110">
        <f>IF(EZ207="","",IF(ISNUMBER('Dvd Calendar'!$Z$2081)=FALSE,"",IF((('Dvd Calendar'!$Z$2083=TYPE1)*(TYPE1&lt;&gt;"")+('Dvd Calendar'!$Z$2083=TYPE2)*(TYPE2&lt;&gt;"")+('Dvd Calendar'!$Z$2083=TYPE3)*(TYPE3&lt;&gt;"")+('Dvd Calendar'!$Z$2083=TYPE4)*(TYPE4&lt;&gt;"")+('Dvd Calendar'!$Z$2083=SPECIAL_LBL)*(INC_SPECIALS="Y"))=0,"",'Dvd Calendar'!$Z$2081)))</f>
        <v/>
      </c>
      <c r="Y207" s="110">
        <f>IF(FA207="","",IF(ISNUMBER('Dvd Calendar'!$AA$2081)=FALSE,"",IF((('Dvd Calendar'!$AA$2083=TYPE1)*(TYPE1&lt;&gt;"")+('Dvd Calendar'!$AA$2083=TYPE2)*(TYPE2&lt;&gt;"")+('Dvd Calendar'!$AA$2083=TYPE3)*(TYPE3&lt;&gt;"")+('Dvd Calendar'!$AA$2083=TYPE4)*(TYPE4&lt;&gt;"")+('Dvd Calendar'!$AA$2083=SPECIAL_LBL)*(INC_SPECIALS="Y"))=0,"",'Dvd Calendar'!$AA$2081)))</f>
        <v/>
      </c>
      <c r="Z207" s="110">
        <f>IF(FB207="","",IF(ISNUMBER('Dvd Calendar'!$AB$2081)=FALSE,"",IF((('Dvd Calendar'!$AB$2083=TYPE1)*(TYPE1&lt;&gt;"")+('Dvd Calendar'!$AB$2083=TYPE2)*(TYPE2&lt;&gt;"")+('Dvd Calendar'!$AB$2083=TYPE3)*(TYPE3&lt;&gt;"")+('Dvd Calendar'!$AB$2083=TYPE4)*(TYPE4&lt;&gt;"")+('Dvd Calendar'!$AB$2083=SPECIAL_LBL)*(INC_SPECIALS="Y"))=0,"",'Dvd Calendar'!$AB$2081)))</f>
        <v/>
      </c>
      <c r="AA207" s="110">
        <f>IF(FC207="","",IF(ISNUMBER('Dvd Calendar'!$AC$2081)=FALSE,"",IF((('Dvd Calendar'!$AC$2083=TYPE1)*(TYPE1&lt;&gt;"")+('Dvd Calendar'!$AC$2083=TYPE2)*(TYPE2&lt;&gt;"")+('Dvd Calendar'!$AC$2083=TYPE3)*(TYPE3&lt;&gt;"")+('Dvd Calendar'!$AC$2083=TYPE4)*(TYPE4&lt;&gt;"")+('Dvd Calendar'!$AC$2083=SPECIAL_LBL)*(INC_SPECIALS="Y"))=0,"",'Dvd Calendar'!$AC$2081)))</f>
        <v/>
      </c>
      <c r="AB207" s="110">
        <f>IF(FD207="","",IF(ISNUMBER('Dvd Calendar'!$AD$2081)=FALSE,"",IF((('Dvd Calendar'!$AD$2083=TYPE1)*(TYPE1&lt;&gt;"")+('Dvd Calendar'!$AD$2083=TYPE2)*(TYPE2&lt;&gt;"")+('Dvd Calendar'!$AD$2083=TYPE3)*(TYPE3&lt;&gt;"")+('Dvd Calendar'!$AD$2083=TYPE4)*(TYPE4&lt;&gt;"")+('Dvd Calendar'!$AD$2083=SPECIAL_LBL)*(INC_SPECIALS="Y"))=0,"",'Dvd Calendar'!$AD$2081)))</f>
        <v/>
      </c>
      <c r="AC207" s="110">
        <f>IF(FE207="","",IF(ISNUMBER('Dvd Calendar'!$AE$2081)=FALSE,"",IF((('Dvd Calendar'!$AE$2083=TYPE1)*(TYPE1&lt;&gt;"")+('Dvd Calendar'!$AE$2083=TYPE2)*(TYPE2&lt;&gt;"")+('Dvd Calendar'!$AE$2083=TYPE3)*(TYPE3&lt;&gt;"")+('Dvd Calendar'!$AE$2083=TYPE4)*(TYPE4&lt;&gt;"")+('Dvd Calendar'!$AE$2083=SPECIAL_LBL)*(INC_SPECIALS="Y"))=0,"",'Dvd Calendar'!$AE$2081)))</f>
        <v/>
      </c>
      <c r="AD207" s="110">
        <f>IF(FF207="","",IF(ISNUMBER('Dvd Calendar'!$AF$2081)=FALSE,"",IF((('Dvd Calendar'!$AF$2083=TYPE1)*(TYPE1&lt;&gt;"")+('Dvd Calendar'!$AF$2083=TYPE2)*(TYPE2&lt;&gt;"")+('Dvd Calendar'!$AF$2083=TYPE3)*(TYPE3&lt;&gt;"")+('Dvd Calendar'!$AF$2083=TYPE4)*(TYPE4&lt;&gt;"")+('Dvd Calendar'!$AF$2083=SPECIAL_LBL)*(INC_SPECIALS="Y"))=0,"",'Dvd Calendar'!$AF$2081)))</f>
        <v/>
      </c>
      <c r="AE207" s="110">
        <f>IF(FG207="","",IF(ISNUMBER('Dvd Calendar'!$AG$2081)=FALSE,"",IF((('Dvd Calendar'!$AG$2083=TYPE1)*(TYPE1&lt;&gt;"")+('Dvd Calendar'!$AG$2083=TYPE2)*(TYPE2&lt;&gt;"")+('Dvd Calendar'!$AG$2083=TYPE3)*(TYPE3&lt;&gt;"")+('Dvd Calendar'!$AG$2083=TYPE4)*(TYPE4&lt;&gt;"")+('Dvd Calendar'!$AG$2083=SPECIAL_LBL)*(INC_SPECIALS="Y"))=0,"",'Dvd Calendar'!$AG$2081)))</f>
        <v/>
      </c>
      <c r="AF207" s="110">
        <f>IF(FH207="","",IF(ISNUMBER('Dvd Calendar'!$AH$2081)=FALSE,"",IF((('Dvd Calendar'!$AH$2083=TYPE1)*(TYPE1&lt;&gt;"")+('Dvd Calendar'!$AH$2083=TYPE2)*(TYPE2&lt;&gt;"")+('Dvd Calendar'!$AH$2083=TYPE3)*(TYPE3&lt;&gt;"")+('Dvd Calendar'!$AH$2083=TYPE4)*(TYPE4&lt;&gt;"")+('Dvd Calendar'!$AH$2083=SPECIAL_LBL)*(INC_SPECIALS="Y"))=0,"",'Dvd Calendar'!$AH$2081)))</f>
        <v/>
      </c>
      <c r="AG207" s="110">
        <f>IF(FI207="","",IF(ISNUMBER('Dvd Calendar'!$AI$2081)=FALSE,"",IF((('Dvd Calendar'!$AI$2083=TYPE1)*(TYPE1&lt;&gt;"")+('Dvd Calendar'!$AI$2083=TYPE2)*(TYPE2&lt;&gt;"")+('Dvd Calendar'!$AI$2083=TYPE3)*(TYPE3&lt;&gt;"")+('Dvd Calendar'!$AI$2083=TYPE4)*(TYPE4&lt;&gt;"")+('Dvd Calendar'!$AI$2083=SPECIAL_LBL)*(INC_SPECIALS="Y"))=0,"",'Dvd Calendar'!$AI$2081)))</f>
        <v/>
      </c>
      <c r="AH207" s="110">
        <f>IF(FJ207="","",IF(ISNUMBER('Dvd Calendar'!$AJ$2081)=FALSE,"",IF((('Dvd Calendar'!$AJ$2083=TYPE1)*(TYPE1&lt;&gt;"")+('Dvd Calendar'!$AJ$2083=TYPE2)*(TYPE2&lt;&gt;"")+('Dvd Calendar'!$AJ$2083=TYPE3)*(TYPE3&lt;&gt;"")+('Dvd Calendar'!$AJ$2083=TYPE4)*(TYPE4&lt;&gt;"")+('Dvd Calendar'!$AJ$2083=SPECIAL_LBL)*(INC_SPECIALS="Y"))=0,"",'Dvd Calendar'!$AJ$2081)))</f>
        <v/>
      </c>
      <c r="AI207" s="110">
        <f>IF(FK207="","",IF(ISNUMBER('Dvd Calendar'!$AK$2081)=FALSE,"",IF((('Dvd Calendar'!$AK$2083=TYPE1)*(TYPE1&lt;&gt;"")+('Dvd Calendar'!$AK$2083=TYPE2)*(TYPE2&lt;&gt;"")+('Dvd Calendar'!$AK$2083=TYPE3)*(TYPE3&lt;&gt;"")+('Dvd Calendar'!$AK$2083=TYPE4)*(TYPE4&lt;&gt;"")+('Dvd Calendar'!$AK$2083=SPECIAL_LBL)*(INC_SPECIALS="Y"))=0,"",'Dvd Calendar'!$AK$2081)))</f>
        <v/>
      </c>
      <c r="AJ207" s="110">
        <f>IF(FL207="","",IF(ISNUMBER('Dvd Calendar'!$AL$2081)=FALSE,"",IF((('Dvd Calendar'!$AL$2083=TYPE1)*(TYPE1&lt;&gt;"")+('Dvd Calendar'!$AL$2083=TYPE2)*(TYPE2&lt;&gt;"")+('Dvd Calendar'!$AL$2083=TYPE3)*(TYPE3&lt;&gt;"")+('Dvd Calendar'!$AL$2083=TYPE4)*(TYPE4&lt;&gt;"")+('Dvd Calendar'!$AL$2083=SPECIAL_LBL)*(INC_SPECIALS="Y"))=0,"",'Dvd Calendar'!$AL$2081)))</f>
        <v/>
      </c>
      <c r="AK207" s="110">
        <f>IF(FM207="","",IF(ISNUMBER('Dvd Calendar'!$AM$2081)=FALSE,"",IF((('Dvd Calendar'!$AM$2083=TYPE1)*(TYPE1&lt;&gt;"")+('Dvd Calendar'!$AM$2083=TYPE2)*(TYPE2&lt;&gt;"")+('Dvd Calendar'!$AM$2083=TYPE3)*(TYPE3&lt;&gt;"")+('Dvd Calendar'!$AM$2083=TYPE4)*(TYPE4&lt;&gt;"")+('Dvd Calendar'!$AM$2083=SPECIAL_LBL)*(INC_SPECIALS="Y"))=0,"",'Dvd Calendar'!$AM$2081)))</f>
        <v/>
      </c>
      <c r="AL207" s="110">
        <f>IF(FN207="","",IF(ISNUMBER('Dvd Calendar'!$AN$2081)=FALSE,"",IF((('Dvd Calendar'!$AN$2083=TYPE1)*(TYPE1&lt;&gt;"")+('Dvd Calendar'!$AN$2083=TYPE2)*(TYPE2&lt;&gt;"")+('Dvd Calendar'!$AN$2083=TYPE3)*(TYPE3&lt;&gt;"")+('Dvd Calendar'!$AN$2083=TYPE4)*(TYPE4&lt;&gt;"")+('Dvd Calendar'!$AN$2083=SPECIAL_LBL)*(INC_SPECIALS="Y"))=0,"",'Dvd Calendar'!$AN$2081)))</f>
        <v/>
      </c>
      <c r="AM207" s="110">
        <f>IF(FO207="","",IF(ISNUMBER('Dvd Calendar'!$AO$2081)=FALSE,"",IF((('Dvd Calendar'!$AO$2083=TYPE1)*(TYPE1&lt;&gt;"")+('Dvd Calendar'!$AO$2083=TYPE2)*(TYPE2&lt;&gt;"")+('Dvd Calendar'!$AO$2083=TYPE3)*(TYPE3&lt;&gt;"")+('Dvd Calendar'!$AO$2083=TYPE4)*(TYPE4&lt;&gt;"")+('Dvd Calendar'!$AO$2083=SPECIAL_LBL)*(INC_SPECIALS="Y"))=0,"",'Dvd Calendar'!$AO$2081)))</f>
        <v/>
      </c>
      <c r="AN207" s="110">
        <f>IF(FP207="","",IF(ISNUMBER('Dvd Calendar'!$AP$2081)=FALSE,"",IF((('Dvd Calendar'!$AP$2083=TYPE1)*(TYPE1&lt;&gt;"")+('Dvd Calendar'!$AP$2083=TYPE2)*(TYPE2&lt;&gt;"")+('Dvd Calendar'!$AP$2083=TYPE3)*(TYPE3&lt;&gt;"")+('Dvd Calendar'!$AP$2083=TYPE4)*(TYPE4&lt;&gt;"")+('Dvd Calendar'!$AP$2083=SPECIAL_LBL)*(INC_SPECIALS="Y"))=0,"",'Dvd Calendar'!$AP$2081)))</f>
        <v/>
      </c>
      <c r="AO207" s="110">
        <f>IF(FQ207="","",IF(ISNUMBER('Dvd Calendar'!$AQ$2081)=FALSE,"",IF((('Dvd Calendar'!$AQ$2083=TYPE1)*(TYPE1&lt;&gt;"")+('Dvd Calendar'!$AQ$2083=TYPE2)*(TYPE2&lt;&gt;"")+('Dvd Calendar'!$AQ$2083=TYPE3)*(TYPE3&lt;&gt;"")+('Dvd Calendar'!$AQ$2083=TYPE4)*(TYPE4&lt;&gt;"")+('Dvd Calendar'!$AQ$2083=SPECIAL_LBL)*(INC_SPECIALS="Y"))=0,"",'Dvd Calendar'!$AQ$2081)))</f>
        <v/>
      </c>
      <c r="AP207" s="110">
        <f>IF(FR207="","",IF(ISNUMBER('Dvd Calendar'!$AR$2081)=FALSE,"",IF((('Dvd Calendar'!$AR$2083=TYPE1)*(TYPE1&lt;&gt;"")+('Dvd Calendar'!$AR$2083=TYPE2)*(TYPE2&lt;&gt;"")+('Dvd Calendar'!$AR$2083=TYPE3)*(TYPE3&lt;&gt;"")+('Dvd Calendar'!$AR$2083=TYPE4)*(TYPE4&lt;&gt;"")+('Dvd Calendar'!$AR$2083=SPECIAL_LBL)*(INC_SPECIALS="Y"))=0,"",'Dvd Calendar'!$AR$2081)))</f>
        <v/>
      </c>
      <c r="AQ207" s="110">
        <f>IF(FS207="","",IF(ISNUMBER('Dvd Calendar'!$E$2086)=FALSE,"",'Dvd Calendar'!$E$2086))</f>
        <v/>
      </c>
      <c r="AR207" s="110">
        <f>IF(FT207="","",IF(ISNUMBER('Dvd Calendar'!$F$2086)=FALSE,"",'Dvd Calendar'!$F$2086))</f>
        <v/>
      </c>
      <c r="AS207" s="110">
        <f>IF(FU207="","",IF(ISNUMBER('Dvd Calendar'!$G$2086)=FALSE,"",'Dvd Calendar'!$G$2086))</f>
        <v/>
      </c>
      <c r="AT207" s="110">
        <f>IF(FV207="","",IF(ISNUMBER('Dvd Calendar'!$H$2086)=FALSE,"",'Dvd Calendar'!$H$2086))</f>
        <v/>
      </c>
      <c r="AU207" s="110">
        <f>IF(FW207="","",IF(ISNUMBER('Dvd Calendar'!$I$2086)=FALSE,"",'Dvd Calendar'!$I$2086))</f>
        <v/>
      </c>
      <c r="AV207" s="110">
        <f>IF(FX207="","",IF(ISNUMBER('Dvd Calendar'!$J$2086)=FALSE,"",'Dvd Calendar'!$J$2086))</f>
        <v/>
      </c>
      <c r="AW207" s="110">
        <f>IF(FY207="","",IF(ISNUMBER('Dvd Calendar'!$K$2086)=FALSE,"",'Dvd Calendar'!$K$2086))</f>
        <v/>
      </c>
      <c r="AX207" s="110">
        <f>IF(FZ207="","",IF(ISNUMBER('Dvd Calendar'!$L$2086)=FALSE,"",'Dvd Calendar'!$L$2086))</f>
        <v/>
      </c>
      <c r="AY207" s="110">
        <f>IF(GA207="","",IF(ISNUMBER('Dvd Calendar'!$M$2086)=FALSE,"",'Dvd Calendar'!$M$2086))</f>
        <v/>
      </c>
      <c r="AZ207" s="110">
        <f>IF(GB207="","",IF(ISNUMBER('Dvd Calendar'!$N$2086)=FALSE,"",'Dvd Calendar'!$N$2086))</f>
        <v/>
      </c>
      <c r="BA207" s="110">
        <f>IF(GC207="","",IF(ISNUMBER('Dvd Calendar'!$O$2086)=FALSE,"",'Dvd Calendar'!$O$2086))</f>
        <v/>
      </c>
      <c r="BB207" s="110">
        <f>IF(GD207="","",IF(ISNUMBER('Dvd Calendar'!$P$2086)=FALSE,"",'Dvd Calendar'!$P$2086))</f>
        <v/>
      </c>
      <c r="BC207" s="110">
        <f>IF(GE207="","",IF(ISNUMBER('Dvd Calendar'!$Q$2086)=FALSE,"",'Dvd Calendar'!$Q$2086))</f>
        <v/>
      </c>
      <c r="BD207" s="110">
        <f>IF(GF207="","",IF(ISNUMBER('Dvd Calendar'!$R$2086)=FALSE,"",'Dvd Calendar'!$R$2086))</f>
        <v/>
      </c>
      <c r="BE207" s="110">
        <f>IF(GG207="","",IF(ISNUMBER('Dvd Calendar'!$S$2086)=FALSE,"",'Dvd Calendar'!$S$2086))</f>
        <v/>
      </c>
      <c r="BF207" s="110">
        <f>IF(GH207="","",IF(ISNUMBER('Dvd Calendar'!$T$2086)=FALSE,"",'Dvd Calendar'!$T$2086))</f>
        <v/>
      </c>
      <c r="BG207" s="110">
        <f>IF(GI207="","",IF(ISNUMBER('Dvd Calendar'!$U$2086)=FALSE,"",'Dvd Calendar'!$U$2086))</f>
        <v/>
      </c>
      <c r="BH207" s="110">
        <f>IF(GJ207="","",IF(ISNUMBER('Dvd Calendar'!$V$2086)=FALSE,"",'Dvd Calendar'!$V$2086))</f>
        <v/>
      </c>
      <c r="BI207" s="110">
        <f>IF(GK207="","",IF(ISNUMBER('Dvd Calendar'!$W$2086)=FALSE,"",'Dvd Calendar'!$W$2086))</f>
        <v/>
      </c>
      <c r="BJ207" s="110">
        <f>IF(GL207="","",IF(ISNUMBER('Dvd Calendar'!$X$2086)=FALSE,"",'Dvd Calendar'!$X$2086))</f>
        <v/>
      </c>
      <c r="BK207" s="110">
        <f>IF(GM207="","",IF(ISNUMBER('Dvd Calendar'!$Y$2086)=FALSE,"",'Dvd Calendar'!$Y$2086))</f>
        <v/>
      </c>
      <c r="BL207" s="110">
        <f>IF(GN207="","",IF(ISNUMBER('Dvd Calendar'!$Z$2086)=FALSE,"",'Dvd Calendar'!$Z$2086))</f>
        <v/>
      </c>
      <c r="BM207" s="110">
        <f>IF(GO207="","",IF(ISNUMBER('Dvd Calendar'!$AA$2086)=FALSE,"",'Dvd Calendar'!$AA$2086))</f>
        <v/>
      </c>
      <c r="BN207" s="110">
        <f>IF(GP207="","",IF(ISNUMBER('Dvd Calendar'!$AB$2086)=FALSE,"",'Dvd Calendar'!$AB$2086))</f>
        <v/>
      </c>
      <c r="BO207" s="110">
        <f>IF(GQ207="","",IF(ISNUMBER('Dvd Calendar'!$AC$2086)=FALSE,"",'Dvd Calendar'!$AC$2086))</f>
        <v/>
      </c>
      <c r="BQ207" s="110">
        <f>IF(C207="","",IFERROR(C207*HSCEI!$B$54*HSCEI!$G$54/HSCEI!$B$3,""))</f>
        <v/>
      </c>
      <c r="BR207" s="110">
        <f>IF(D207="","",IFERROR(D207*HSCEI!$B$54*HSCEI!$G$54/HSCEI!$B$3,""))</f>
        <v/>
      </c>
      <c r="BS207" s="110">
        <f>IF(E207="","",IFERROR(E207*HSCEI!$B$54*HSCEI!$G$54/HSCEI!$B$3,""))</f>
        <v/>
      </c>
      <c r="BT207" s="110">
        <f>IF(F207="","",IFERROR(F207*HSCEI!$B$54*HSCEI!$G$54/HSCEI!$B$3,""))</f>
        <v/>
      </c>
      <c r="BU207" s="110">
        <f>IF(G207="","",IFERROR(G207*HSCEI!$B$54*HSCEI!$G$54/HSCEI!$B$3,""))</f>
        <v/>
      </c>
      <c r="BV207" s="110">
        <f>IF(H207="","",IFERROR(H207*HSCEI!$B$54*HSCEI!$G$54/HSCEI!$B$3,""))</f>
        <v/>
      </c>
      <c r="BW207" s="110">
        <f>IF(I207="","",IFERROR(I207*HSCEI!$B$54*HSCEI!$G$54/HSCEI!$B$3,""))</f>
        <v/>
      </c>
      <c r="BX207" s="110">
        <f>IF(J207="","",IFERROR(J207*HSCEI!$B$54*HSCEI!$G$54/HSCEI!$B$3,""))</f>
        <v/>
      </c>
      <c r="BY207" s="110">
        <f>IF(K207="","",IFERROR(K207*HSCEI!$B$54*HSCEI!$G$54/HSCEI!$B$3,""))</f>
        <v/>
      </c>
      <c r="BZ207" s="110">
        <f>IF(L207="","",IFERROR(L207*HSCEI!$B$54*HSCEI!$G$54/HSCEI!$B$3,""))</f>
        <v/>
      </c>
      <c r="CA207" s="110">
        <f>IF(M207="","",IFERROR(M207*HSCEI!$B$54*HSCEI!$G$54/HSCEI!$B$3,""))</f>
        <v/>
      </c>
      <c r="CB207" s="110">
        <f>IF(N207="","",IFERROR(N207*HSCEI!$B$54*HSCEI!$G$54/HSCEI!$B$3,""))</f>
        <v/>
      </c>
      <c r="CC207" s="110">
        <f>IF(O207="","",IFERROR(O207*HSCEI!$B$54*HSCEI!$G$54/HSCEI!$B$3,""))</f>
        <v/>
      </c>
      <c r="CD207" s="110">
        <f>IF(P207="","",IFERROR(P207*HSCEI!$B$54*HSCEI!$G$54/HSCEI!$B$3,""))</f>
        <v/>
      </c>
      <c r="CE207" s="110">
        <f>IF(Q207="","",IFERROR(Q207*HSCEI!$B$54*HSCEI!$G$54/HSCEI!$B$3,""))</f>
        <v/>
      </c>
      <c r="CF207" s="110">
        <f>IF(R207="","",IFERROR(R207*HSCEI!$B$54*HSCEI!$G$54/HSCEI!$B$3,""))</f>
        <v/>
      </c>
      <c r="CG207" s="110">
        <f>IF(S207="","",IFERROR(S207*HSCEI!$B$54*HSCEI!$G$54/HSCEI!$B$3,""))</f>
        <v/>
      </c>
      <c r="CH207" s="110">
        <f>IF(T207="","",IFERROR(T207*HSCEI!$B$54*HSCEI!$G$54/HSCEI!$B$3,""))</f>
        <v/>
      </c>
      <c r="CI207" s="110">
        <f>IF(U207="","",IFERROR(U207*HSCEI!$B$54*HSCEI!$G$54/HSCEI!$B$3,""))</f>
        <v/>
      </c>
      <c r="CJ207" s="110">
        <f>IF(V207="","",IFERROR(V207*HSCEI!$B$54*HSCEI!$G$54/HSCEI!$B$3,""))</f>
        <v/>
      </c>
      <c r="CK207" s="110">
        <f>IF(W207="","",IFERROR(W207*HSCEI!$B$54*HSCEI!$G$54/HSCEI!$B$3,""))</f>
        <v/>
      </c>
      <c r="CL207" s="110">
        <f>IF(X207="","",IFERROR(X207*HSCEI!$B$54*HSCEI!$G$54/HSCEI!$B$3,""))</f>
        <v/>
      </c>
      <c r="CM207" s="110">
        <f>IF(Y207="","",IFERROR(Y207*HSCEI!$B$54*HSCEI!$G$54/HSCEI!$B$3,""))</f>
        <v/>
      </c>
      <c r="CN207" s="110">
        <f>IF(Z207="","",IFERROR(Z207*HSCEI!$B$54*HSCEI!$G$54/HSCEI!$B$3,""))</f>
        <v/>
      </c>
      <c r="CO207" s="110">
        <f>IF(AA207="","",IFERROR(AA207*HSCEI!$B$54*HSCEI!$G$54/HSCEI!$B$3,""))</f>
        <v/>
      </c>
      <c r="CP207" s="110">
        <f>IF(AB207="","",IFERROR(AB207*HSCEI!$B$54*HSCEI!$G$54/HSCEI!$B$3,""))</f>
        <v/>
      </c>
      <c r="CQ207" s="110">
        <f>IF(AC207="","",IFERROR(AC207*HSCEI!$B$54*HSCEI!$G$54/HSCEI!$B$3,""))</f>
        <v/>
      </c>
      <c r="CR207" s="110">
        <f>IF(AD207="","",IFERROR(AD207*HSCEI!$B$54*HSCEI!$G$54/HSCEI!$B$3,""))</f>
        <v/>
      </c>
      <c r="CS207" s="110">
        <f>IF(AE207="","",IFERROR(AE207*HSCEI!$B$54*HSCEI!$G$54/HSCEI!$B$3,""))</f>
        <v/>
      </c>
      <c r="CT207" s="110">
        <f>IF(AF207="","",IFERROR(AF207*HSCEI!$B$54*HSCEI!$G$54/HSCEI!$B$3,""))</f>
        <v/>
      </c>
      <c r="CU207" s="110">
        <f>IF(AG207="","",IFERROR(AG207*HSCEI!$B$54*HSCEI!$G$54/HSCEI!$B$3,""))</f>
        <v/>
      </c>
      <c r="CV207" s="110">
        <f>IF(AH207="","",IFERROR(AH207*HSCEI!$B$54*HSCEI!$G$54/HSCEI!$B$3,""))</f>
        <v/>
      </c>
      <c r="CW207" s="110">
        <f>IF(AI207="","",IFERROR(AI207*HSCEI!$B$54*HSCEI!$G$54/HSCEI!$B$3,""))</f>
        <v/>
      </c>
      <c r="CX207" s="110">
        <f>IF(AJ207="","",IFERROR(AJ207*HSCEI!$B$54*HSCEI!$G$54/HSCEI!$B$3,""))</f>
        <v/>
      </c>
      <c r="CY207" s="110">
        <f>IF(AK207="","",IFERROR(AK207*HSCEI!$B$54*HSCEI!$G$54/HSCEI!$B$3,""))</f>
        <v/>
      </c>
      <c r="CZ207" s="110">
        <f>IF(AL207="","",IFERROR(AL207*HSCEI!$B$54*HSCEI!$G$54/HSCEI!$B$3,""))</f>
        <v/>
      </c>
      <c r="DA207" s="110">
        <f>IF(AM207="","",IFERROR(AM207*HSCEI!$B$54*HSCEI!$G$54/HSCEI!$B$3,""))</f>
        <v/>
      </c>
      <c r="DB207" s="110">
        <f>IF(AN207="","",IFERROR(AN207*HSCEI!$B$54*HSCEI!$G$54/HSCEI!$B$3,""))</f>
        <v/>
      </c>
      <c r="DC207" s="110">
        <f>IF(AO207="","",IFERROR(AO207*HSCEI!$B$54*HSCEI!$G$54/HSCEI!$B$3,""))</f>
        <v/>
      </c>
      <c r="DD207" s="110">
        <f>IF(AP207="","",IFERROR(AP207*HSCEI!$B$54*HSCEI!$G$54/HSCEI!$B$3,""))</f>
        <v/>
      </c>
      <c r="DE207" s="110">
        <f>IF(AQ207="","",IFERROR(AQ207*HSCEI!$B$54*HSCEI!$G$54/HSCEI!$B$3,""))</f>
        <v/>
      </c>
      <c r="DF207" s="110">
        <f>IF(AR207="","",IFERROR(AR207*HSCEI!$B$54*HSCEI!$G$54/HSCEI!$B$3,""))</f>
        <v/>
      </c>
      <c r="DG207" s="110">
        <f>IF(AS207="","",IFERROR(AS207*HSCEI!$B$54*HSCEI!$G$54/HSCEI!$B$3,""))</f>
        <v/>
      </c>
      <c r="DH207" s="110">
        <f>IF(AT207="","",IFERROR(AT207*HSCEI!$B$54*HSCEI!$G$54/HSCEI!$B$3,""))</f>
        <v/>
      </c>
      <c r="DI207" s="110">
        <f>IF(AU207="","",IFERROR(AU207*HSCEI!$B$54*HSCEI!$G$54/HSCEI!$B$3,""))</f>
        <v/>
      </c>
      <c r="DJ207" s="110">
        <f>IF(AV207="","",IFERROR(AV207*HSCEI!$B$54*HSCEI!$G$54/HSCEI!$B$3,""))</f>
        <v/>
      </c>
      <c r="DK207" s="110">
        <f>IF(AW207="","",IFERROR(AW207*HSCEI!$B$54*HSCEI!$G$54/HSCEI!$B$3,""))</f>
        <v/>
      </c>
      <c r="DL207" s="110">
        <f>IF(AX207="","",IFERROR(AX207*HSCEI!$B$54*HSCEI!$G$54/HSCEI!$B$3,""))</f>
        <v/>
      </c>
      <c r="DM207" s="110">
        <f>IF(AY207="","",IFERROR(AY207*HSCEI!$B$54*HSCEI!$G$54/HSCEI!$B$3,""))</f>
        <v/>
      </c>
      <c r="DN207" s="110">
        <f>IF(AZ207="","",IFERROR(AZ207*HSCEI!$B$54*HSCEI!$G$54/HSCEI!$B$3,""))</f>
        <v/>
      </c>
      <c r="DO207" s="110">
        <f>IF(BA207="","",IFERROR(BA207*HSCEI!$B$54*HSCEI!$G$54/HSCEI!$B$3,""))</f>
        <v/>
      </c>
      <c r="DP207" s="110">
        <f>IF(BB207="","",IFERROR(BB207*HSCEI!$B$54*HSCEI!$G$54/HSCEI!$B$3,""))</f>
        <v/>
      </c>
      <c r="DQ207" s="110">
        <f>IF(BC207="","",IFERROR(BC207*HSCEI!$B$54*HSCEI!$G$54/HSCEI!$B$3,""))</f>
        <v/>
      </c>
      <c r="DR207" s="110">
        <f>IF(BD207="","",IFERROR(BD207*HSCEI!$B$54*HSCEI!$G$54/HSCEI!$B$3,""))</f>
        <v/>
      </c>
      <c r="DS207" s="110">
        <f>IF(BE207="","",IFERROR(BE207*HSCEI!$B$54*HSCEI!$G$54/HSCEI!$B$3,""))</f>
        <v/>
      </c>
      <c r="DT207" s="110">
        <f>IF(BF207="","",IFERROR(BF207*HSCEI!$B$54*HSCEI!$G$54/HSCEI!$B$3,""))</f>
        <v/>
      </c>
      <c r="DU207" s="110">
        <f>IF(BG207="","",IFERROR(BG207*HSCEI!$B$54*HSCEI!$G$54/HSCEI!$B$3,""))</f>
        <v/>
      </c>
      <c r="DV207" s="110">
        <f>IF(BH207="","",IFERROR(BH207*HSCEI!$B$54*HSCEI!$G$54/HSCEI!$B$3,""))</f>
        <v/>
      </c>
      <c r="DW207" s="110">
        <f>IF(BI207="","",IFERROR(BI207*HSCEI!$B$54*HSCEI!$G$54/HSCEI!$B$3,""))</f>
        <v/>
      </c>
      <c r="DX207" s="110">
        <f>IF(BJ207="","",IFERROR(BJ207*HSCEI!$B$54*HSCEI!$G$54/HSCEI!$B$3,""))</f>
        <v/>
      </c>
      <c r="DY207" s="110">
        <f>IF(BK207="","",IFERROR(BK207*HSCEI!$B$54*HSCEI!$G$54/HSCEI!$B$3,""))</f>
        <v/>
      </c>
      <c r="DZ207" s="110">
        <f>IF(BL207="","",IFERROR(BL207*HSCEI!$B$54*HSCEI!$G$54/HSCEI!$B$3,""))</f>
        <v/>
      </c>
      <c r="EA207" s="110">
        <f>IF(BM207="","",IFERROR(BM207*HSCEI!$B$54*HSCEI!$G$54/HSCEI!$B$3,""))</f>
        <v/>
      </c>
      <c r="EB207" s="110">
        <f>IF(BN207="","",IFERROR(BN207*HSCEI!$B$54*HSCEI!$G$54/HSCEI!$B$3,""))</f>
        <v/>
      </c>
      <c r="EC207" s="110">
        <f>IF(BO207="","",IFERROR(BO207*HSCEI!$B$54*HSCEI!$G$54/HSCEI!$B$3,""))</f>
        <v/>
      </c>
      <c r="EE207" s="39">
        <f>IF(N('Dvd Calendar'!$E$2078)=0,"",IF(('Dvd Calendar'!$E$2078&gt;=GRID_FROM)*('Dvd Calendar'!$E$2078&lt;=GRID_TO)*((('Dvd Calendar'!$E$2078&lt;=VAL_DATE)+(COUNTIF('Dvd Calendar'!$E$2085:$AR$2085,'Dvd Calendar'!$E$2078)=0))&gt;0)=0,"",'Dvd Calendar'!$E$2078*1000000000+ISNUMBER('Dvd Calendar'!$E$2081)*100000000+('Dvd Calendar'!$E$2083=SPECIAL_LBL)*10000000+(N('Dvd Calendar'!$E$2077)&gt;0)*(N('Dvd Calendar'!$E$2077)&lt;=VAL_SERIAL)*1000000+48*1000+1))</f>
        <v/>
      </c>
      <c r="EF207" s="39">
        <f>IF(N('Dvd Calendar'!$F$2078)=0,"",IF(('Dvd Calendar'!$F$2078&gt;=GRID_FROM)*('Dvd Calendar'!$F$2078&lt;=GRID_TO)*((('Dvd Calendar'!$F$2078&lt;=VAL_DATE)+(COUNTIF('Dvd Calendar'!$E$2085:$AR$2085,'Dvd Calendar'!$F$2078)=0))&gt;0)=0,"",'Dvd Calendar'!$F$2078*1000000000+ISNUMBER('Dvd Calendar'!$F$2081)*100000000+('Dvd Calendar'!$F$2083=SPECIAL_LBL)*10000000+(N('Dvd Calendar'!$F$2077)&gt;0)*(N('Dvd Calendar'!$F$2077)&lt;=VAL_SERIAL)*1000000+48*1000+2))</f>
        <v/>
      </c>
      <c r="EG207" s="39">
        <f>IF(N('Dvd Calendar'!$G$2078)=0,"",IF(('Dvd Calendar'!$G$2078&gt;=GRID_FROM)*('Dvd Calendar'!$G$2078&lt;=GRID_TO)*((('Dvd Calendar'!$G$2078&lt;=VAL_DATE)+(COUNTIF('Dvd Calendar'!$E$2085:$AR$2085,'Dvd Calendar'!$G$2078)=0))&gt;0)=0,"",'Dvd Calendar'!$G$2078*1000000000+ISNUMBER('Dvd Calendar'!$G$2081)*100000000+('Dvd Calendar'!$G$2083=SPECIAL_LBL)*10000000+(N('Dvd Calendar'!$G$2077)&gt;0)*(N('Dvd Calendar'!$G$2077)&lt;=VAL_SERIAL)*1000000+48*1000+3))</f>
        <v/>
      </c>
      <c r="EH207" s="39">
        <f>IF(N('Dvd Calendar'!$H$2078)=0,"",IF(('Dvd Calendar'!$H$2078&gt;=GRID_FROM)*('Dvd Calendar'!$H$2078&lt;=GRID_TO)*((('Dvd Calendar'!$H$2078&lt;=VAL_DATE)+(COUNTIF('Dvd Calendar'!$E$2085:$AR$2085,'Dvd Calendar'!$H$2078)=0))&gt;0)=0,"",'Dvd Calendar'!$H$2078*1000000000+ISNUMBER('Dvd Calendar'!$H$2081)*100000000+('Dvd Calendar'!$H$2083=SPECIAL_LBL)*10000000+(N('Dvd Calendar'!$H$2077)&gt;0)*(N('Dvd Calendar'!$H$2077)&lt;=VAL_SERIAL)*1000000+48*1000+4))</f>
        <v/>
      </c>
      <c r="EI207" s="39">
        <f>IF(N('Dvd Calendar'!$I$2078)=0,"",IF(('Dvd Calendar'!$I$2078&gt;=GRID_FROM)*('Dvd Calendar'!$I$2078&lt;=GRID_TO)*((('Dvd Calendar'!$I$2078&lt;=VAL_DATE)+(COUNTIF('Dvd Calendar'!$E$2085:$AR$2085,'Dvd Calendar'!$I$2078)=0))&gt;0)=0,"",'Dvd Calendar'!$I$2078*1000000000+ISNUMBER('Dvd Calendar'!$I$2081)*100000000+('Dvd Calendar'!$I$2083=SPECIAL_LBL)*10000000+(N('Dvd Calendar'!$I$2077)&gt;0)*(N('Dvd Calendar'!$I$2077)&lt;=VAL_SERIAL)*1000000+48*1000+5))</f>
        <v/>
      </c>
      <c r="EJ207" s="39">
        <f>IF(N('Dvd Calendar'!$J$2078)=0,"",IF(('Dvd Calendar'!$J$2078&gt;=GRID_FROM)*('Dvd Calendar'!$J$2078&lt;=GRID_TO)*((('Dvd Calendar'!$J$2078&lt;=VAL_DATE)+(COUNTIF('Dvd Calendar'!$E$2085:$AR$2085,'Dvd Calendar'!$J$2078)=0))&gt;0)=0,"",'Dvd Calendar'!$J$2078*1000000000+ISNUMBER('Dvd Calendar'!$J$2081)*100000000+('Dvd Calendar'!$J$2083=SPECIAL_LBL)*10000000+(N('Dvd Calendar'!$J$2077)&gt;0)*(N('Dvd Calendar'!$J$2077)&lt;=VAL_SERIAL)*1000000+48*1000+6))</f>
        <v/>
      </c>
      <c r="EK207" s="39">
        <f>IF(N('Dvd Calendar'!$K$2078)=0,"",IF(('Dvd Calendar'!$K$2078&gt;=GRID_FROM)*('Dvd Calendar'!$K$2078&lt;=GRID_TO)*((('Dvd Calendar'!$K$2078&lt;=VAL_DATE)+(COUNTIF('Dvd Calendar'!$E$2085:$AR$2085,'Dvd Calendar'!$K$2078)=0))&gt;0)=0,"",'Dvd Calendar'!$K$2078*1000000000+ISNUMBER('Dvd Calendar'!$K$2081)*100000000+('Dvd Calendar'!$K$2083=SPECIAL_LBL)*10000000+(N('Dvd Calendar'!$K$2077)&gt;0)*(N('Dvd Calendar'!$K$2077)&lt;=VAL_SERIAL)*1000000+48*1000+7))</f>
        <v/>
      </c>
      <c r="EL207" s="39">
        <f>IF(N('Dvd Calendar'!$L$2078)=0,"",IF(('Dvd Calendar'!$L$2078&gt;=GRID_FROM)*('Dvd Calendar'!$L$2078&lt;=GRID_TO)*((('Dvd Calendar'!$L$2078&lt;=VAL_DATE)+(COUNTIF('Dvd Calendar'!$E$2085:$AR$2085,'Dvd Calendar'!$L$2078)=0))&gt;0)=0,"",'Dvd Calendar'!$L$2078*1000000000+ISNUMBER('Dvd Calendar'!$L$2081)*100000000+('Dvd Calendar'!$L$2083=SPECIAL_LBL)*10000000+(N('Dvd Calendar'!$L$2077)&gt;0)*(N('Dvd Calendar'!$L$2077)&lt;=VAL_SERIAL)*1000000+48*1000+8))</f>
        <v/>
      </c>
      <c r="EM207" s="39">
        <f>IF(N('Dvd Calendar'!$M$2078)=0,"",IF(('Dvd Calendar'!$M$2078&gt;=GRID_FROM)*('Dvd Calendar'!$M$2078&lt;=GRID_TO)*((('Dvd Calendar'!$M$2078&lt;=VAL_DATE)+(COUNTIF('Dvd Calendar'!$E$2085:$AR$2085,'Dvd Calendar'!$M$2078)=0))&gt;0)=0,"",'Dvd Calendar'!$M$2078*1000000000+ISNUMBER('Dvd Calendar'!$M$2081)*100000000+('Dvd Calendar'!$M$2083=SPECIAL_LBL)*10000000+(N('Dvd Calendar'!$M$2077)&gt;0)*(N('Dvd Calendar'!$M$2077)&lt;=VAL_SERIAL)*1000000+48*1000+9))</f>
        <v/>
      </c>
      <c r="EN207" s="39">
        <f>IF(N('Dvd Calendar'!$N$2078)=0,"",IF(('Dvd Calendar'!$N$2078&gt;=GRID_FROM)*('Dvd Calendar'!$N$2078&lt;=GRID_TO)*((('Dvd Calendar'!$N$2078&lt;=VAL_DATE)+(COUNTIF('Dvd Calendar'!$E$2085:$AR$2085,'Dvd Calendar'!$N$2078)=0))&gt;0)=0,"",'Dvd Calendar'!$N$2078*1000000000+ISNUMBER('Dvd Calendar'!$N$2081)*100000000+('Dvd Calendar'!$N$2083=SPECIAL_LBL)*10000000+(N('Dvd Calendar'!$N$2077)&gt;0)*(N('Dvd Calendar'!$N$2077)&lt;=VAL_SERIAL)*1000000+48*1000+10))</f>
        <v/>
      </c>
      <c r="EO207" s="39">
        <f>IF(N('Dvd Calendar'!$O$2078)=0,"",IF(('Dvd Calendar'!$O$2078&gt;=GRID_FROM)*('Dvd Calendar'!$O$2078&lt;=GRID_TO)*((('Dvd Calendar'!$O$2078&lt;=VAL_DATE)+(COUNTIF('Dvd Calendar'!$E$2085:$AR$2085,'Dvd Calendar'!$O$2078)=0))&gt;0)=0,"",'Dvd Calendar'!$O$2078*1000000000+ISNUMBER('Dvd Calendar'!$O$2081)*100000000+('Dvd Calendar'!$O$2083=SPECIAL_LBL)*10000000+(N('Dvd Calendar'!$O$2077)&gt;0)*(N('Dvd Calendar'!$O$2077)&lt;=VAL_SERIAL)*1000000+48*1000+11))</f>
        <v/>
      </c>
      <c r="EP207" s="39">
        <f>IF(N('Dvd Calendar'!$P$2078)=0,"",IF(('Dvd Calendar'!$P$2078&gt;=GRID_FROM)*('Dvd Calendar'!$P$2078&lt;=GRID_TO)*((('Dvd Calendar'!$P$2078&lt;=VAL_DATE)+(COUNTIF('Dvd Calendar'!$E$2085:$AR$2085,'Dvd Calendar'!$P$2078)=0))&gt;0)=0,"",'Dvd Calendar'!$P$2078*1000000000+ISNUMBER('Dvd Calendar'!$P$2081)*100000000+('Dvd Calendar'!$P$2083=SPECIAL_LBL)*10000000+(N('Dvd Calendar'!$P$2077)&gt;0)*(N('Dvd Calendar'!$P$2077)&lt;=VAL_SERIAL)*1000000+48*1000+12))</f>
        <v/>
      </c>
      <c r="EQ207" s="39">
        <f>IF(N('Dvd Calendar'!$Q$2078)=0,"",IF(('Dvd Calendar'!$Q$2078&gt;=GRID_FROM)*('Dvd Calendar'!$Q$2078&lt;=GRID_TO)*((('Dvd Calendar'!$Q$2078&lt;=VAL_DATE)+(COUNTIF('Dvd Calendar'!$E$2085:$AR$2085,'Dvd Calendar'!$Q$2078)=0))&gt;0)=0,"",'Dvd Calendar'!$Q$2078*1000000000+ISNUMBER('Dvd Calendar'!$Q$2081)*100000000+('Dvd Calendar'!$Q$2083=SPECIAL_LBL)*10000000+(N('Dvd Calendar'!$Q$2077)&gt;0)*(N('Dvd Calendar'!$Q$2077)&lt;=VAL_SERIAL)*1000000+48*1000+13))</f>
        <v/>
      </c>
      <c r="ER207" s="39">
        <f>IF(N('Dvd Calendar'!$R$2078)=0,"",IF(('Dvd Calendar'!$R$2078&gt;=GRID_FROM)*('Dvd Calendar'!$R$2078&lt;=GRID_TO)*((('Dvd Calendar'!$R$2078&lt;=VAL_DATE)+(COUNTIF('Dvd Calendar'!$E$2085:$AR$2085,'Dvd Calendar'!$R$2078)=0))&gt;0)=0,"",'Dvd Calendar'!$R$2078*1000000000+ISNUMBER('Dvd Calendar'!$R$2081)*100000000+('Dvd Calendar'!$R$2083=SPECIAL_LBL)*10000000+(N('Dvd Calendar'!$R$2077)&gt;0)*(N('Dvd Calendar'!$R$2077)&lt;=VAL_SERIAL)*1000000+48*1000+14))</f>
        <v/>
      </c>
      <c r="ES207" s="39">
        <f>IF(N('Dvd Calendar'!$S$2078)=0,"",IF(('Dvd Calendar'!$S$2078&gt;=GRID_FROM)*('Dvd Calendar'!$S$2078&lt;=GRID_TO)*((('Dvd Calendar'!$S$2078&lt;=VAL_DATE)+(COUNTIF('Dvd Calendar'!$E$2085:$AR$2085,'Dvd Calendar'!$S$2078)=0))&gt;0)=0,"",'Dvd Calendar'!$S$2078*1000000000+ISNUMBER('Dvd Calendar'!$S$2081)*100000000+('Dvd Calendar'!$S$2083=SPECIAL_LBL)*10000000+(N('Dvd Calendar'!$S$2077)&gt;0)*(N('Dvd Calendar'!$S$2077)&lt;=VAL_SERIAL)*1000000+48*1000+15))</f>
        <v/>
      </c>
      <c r="ET207" s="39">
        <f>IF(N('Dvd Calendar'!$T$2078)=0,"",IF(('Dvd Calendar'!$T$2078&gt;=GRID_FROM)*('Dvd Calendar'!$T$2078&lt;=GRID_TO)*((('Dvd Calendar'!$T$2078&lt;=VAL_DATE)+(COUNTIF('Dvd Calendar'!$E$2085:$AR$2085,'Dvd Calendar'!$T$2078)=0))&gt;0)=0,"",'Dvd Calendar'!$T$2078*1000000000+ISNUMBER('Dvd Calendar'!$T$2081)*100000000+('Dvd Calendar'!$T$2083=SPECIAL_LBL)*10000000+(N('Dvd Calendar'!$T$2077)&gt;0)*(N('Dvd Calendar'!$T$2077)&lt;=VAL_SERIAL)*1000000+48*1000+16))</f>
        <v/>
      </c>
      <c r="EU207" s="39">
        <f>IF(N('Dvd Calendar'!$U$2078)=0,"",IF(('Dvd Calendar'!$U$2078&gt;=GRID_FROM)*('Dvd Calendar'!$U$2078&lt;=GRID_TO)*((('Dvd Calendar'!$U$2078&lt;=VAL_DATE)+(COUNTIF('Dvd Calendar'!$E$2085:$AR$2085,'Dvd Calendar'!$U$2078)=0))&gt;0)=0,"",'Dvd Calendar'!$U$2078*1000000000+ISNUMBER('Dvd Calendar'!$U$2081)*100000000+('Dvd Calendar'!$U$2083=SPECIAL_LBL)*10000000+(N('Dvd Calendar'!$U$2077)&gt;0)*(N('Dvd Calendar'!$U$2077)&lt;=VAL_SERIAL)*1000000+48*1000+17))</f>
        <v/>
      </c>
      <c r="EV207" s="39">
        <f>IF(N('Dvd Calendar'!$V$2078)=0,"",IF(('Dvd Calendar'!$V$2078&gt;=GRID_FROM)*('Dvd Calendar'!$V$2078&lt;=GRID_TO)*((('Dvd Calendar'!$V$2078&lt;=VAL_DATE)+(COUNTIF('Dvd Calendar'!$E$2085:$AR$2085,'Dvd Calendar'!$V$2078)=0))&gt;0)=0,"",'Dvd Calendar'!$V$2078*1000000000+ISNUMBER('Dvd Calendar'!$V$2081)*100000000+('Dvd Calendar'!$V$2083=SPECIAL_LBL)*10000000+(N('Dvd Calendar'!$V$2077)&gt;0)*(N('Dvd Calendar'!$V$2077)&lt;=VAL_SERIAL)*1000000+48*1000+18))</f>
        <v/>
      </c>
      <c r="EW207" s="39">
        <f>IF(N('Dvd Calendar'!$W$2078)=0,"",IF(('Dvd Calendar'!$W$2078&gt;=GRID_FROM)*('Dvd Calendar'!$W$2078&lt;=GRID_TO)*((('Dvd Calendar'!$W$2078&lt;=VAL_DATE)+(COUNTIF('Dvd Calendar'!$E$2085:$AR$2085,'Dvd Calendar'!$W$2078)=0))&gt;0)=0,"",'Dvd Calendar'!$W$2078*1000000000+ISNUMBER('Dvd Calendar'!$W$2081)*100000000+('Dvd Calendar'!$W$2083=SPECIAL_LBL)*10000000+(N('Dvd Calendar'!$W$2077)&gt;0)*(N('Dvd Calendar'!$W$2077)&lt;=VAL_SERIAL)*1000000+48*1000+19))</f>
        <v/>
      </c>
      <c r="EX207" s="39">
        <f>IF(N('Dvd Calendar'!$X$2078)=0,"",IF(('Dvd Calendar'!$X$2078&gt;=GRID_FROM)*('Dvd Calendar'!$X$2078&lt;=GRID_TO)*((('Dvd Calendar'!$X$2078&lt;=VAL_DATE)+(COUNTIF('Dvd Calendar'!$E$2085:$AR$2085,'Dvd Calendar'!$X$2078)=0))&gt;0)=0,"",'Dvd Calendar'!$X$2078*1000000000+ISNUMBER('Dvd Calendar'!$X$2081)*100000000+('Dvd Calendar'!$X$2083=SPECIAL_LBL)*10000000+(N('Dvd Calendar'!$X$2077)&gt;0)*(N('Dvd Calendar'!$X$2077)&lt;=VAL_SERIAL)*1000000+48*1000+20))</f>
        <v/>
      </c>
      <c r="EY207" s="39">
        <f>IF(N('Dvd Calendar'!$Y$2078)=0,"",IF(('Dvd Calendar'!$Y$2078&gt;=GRID_FROM)*('Dvd Calendar'!$Y$2078&lt;=GRID_TO)*((('Dvd Calendar'!$Y$2078&lt;=VAL_DATE)+(COUNTIF('Dvd Calendar'!$E$2085:$AR$2085,'Dvd Calendar'!$Y$2078)=0))&gt;0)=0,"",'Dvd Calendar'!$Y$2078*1000000000+ISNUMBER('Dvd Calendar'!$Y$2081)*100000000+('Dvd Calendar'!$Y$2083=SPECIAL_LBL)*10000000+(N('Dvd Calendar'!$Y$2077)&gt;0)*(N('Dvd Calendar'!$Y$2077)&lt;=VAL_SERIAL)*1000000+48*1000+21))</f>
        <v/>
      </c>
      <c r="EZ207" s="39">
        <f>IF(N('Dvd Calendar'!$Z$2078)=0,"",IF(('Dvd Calendar'!$Z$2078&gt;=GRID_FROM)*('Dvd Calendar'!$Z$2078&lt;=GRID_TO)*((('Dvd Calendar'!$Z$2078&lt;=VAL_DATE)+(COUNTIF('Dvd Calendar'!$E$2085:$AR$2085,'Dvd Calendar'!$Z$2078)=0))&gt;0)=0,"",'Dvd Calendar'!$Z$2078*1000000000+ISNUMBER('Dvd Calendar'!$Z$2081)*100000000+('Dvd Calendar'!$Z$2083=SPECIAL_LBL)*10000000+(N('Dvd Calendar'!$Z$2077)&gt;0)*(N('Dvd Calendar'!$Z$2077)&lt;=VAL_SERIAL)*1000000+48*1000+22))</f>
        <v/>
      </c>
      <c r="FA207" s="39">
        <f>IF(N('Dvd Calendar'!$AA$2078)=0,"",IF(('Dvd Calendar'!$AA$2078&gt;=GRID_FROM)*('Dvd Calendar'!$AA$2078&lt;=GRID_TO)*((('Dvd Calendar'!$AA$2078&lt;=VAL_DATE)+(COUNTIF('Dvd Calendar'!$E$2085:$AR$2085,'Dvd Calendar'!$AA$2078)=0))&gt;0)=0,"",'Dvd Calendar'!$AA$2078*1000000000+ISNUMBER('Dvd Calendar'!$AA$2081)*100000000+('Dvd Calendar'!$AA$2083=SPECIAL_LBL)*10000000+(N('Dvd Calendar'!$AA$2077)&gt;0)*(N('Dvd Calendar'!$AA$2077)&lt;=VAL_SERIAL)*1000000+48*1000+23))</f>
        <v/>
      </c>
      <c r="FB207" s="39">
        <f>IF(N('Dvd Calendar'!$AB$2078)=0,"",IF(('Dvd Calendar'!$AB$2078&gt;=GRID_FROM)*('Dvd Calendar'!$AB$2078&lt;=GRID_TO)*((('Dvd Calendar'!$AB$2078&lt;=VAL_DATE)+(COUNTIF('Dvd Calendar'!$E$2085:$AR$2085,'Dvd Calendar'!$AB$2078)=0))&gt;0)=0,"",'Dvd Calendar'!$AB$2078*1000000000+ISNUMBER('Dvd Calendar'!$AB$2081)*100000000+('Dvd Calendar'!$AB$2083=SPECIAL_LBL)*10000000+(N('Dvd Calendar'!$AB$2077)&gt;0)*(N('Dvd Calendar'!$AB$2077)&lt;=VAL_SERIAL)*1000000+48*1000+24))</f>
        <v/>
      </c>
      <c r="FC207" s="39">
        <f>IF(N('Dvd Calendar'!$AC$2078)=0,"",IF(('Dvd Calendar'!$AC$2078&gt;=GRID_FROM)*('Dvd Calendar'!$AC$2078&lt;=GRID_TO)*((('Dvd Calendar'!$AC$2078&lt;=VAL_DATE)+(COUNTIF('Dvd Calendar'!$E$2085:$AR$2085,'Dvd Calendar'!$AC$2078)=0))&gt;0)=0,"",'Dvd Calendar'!$AC$2078*1000000000+ISNUMBER('Dvd Calendar'!$AC$2081)*100000000+('Dvd Calendar'!$AC$2083=SPECIAL_LBL)*10000000+(N('Dvd Calendar'!$AC$2077)&gt;0)*(N('Dvd Calendar'!$AC$2077)&lt;=VAL_SERIAL)*1000000+48*1000+25))</f>
        <v/>
      </c>
      <c r="FD207" s="39">
        <f>IF(N('Dvd Calendar'!$AD$2078)=0,"",IF(('Dvd Calendar'!$AD$2078&gt;=GRID_FROM)*('Dvd Calendar'!$AD$2078&lt;=GRID_TO)*((('Dvd Calendar'!$AD$2078&lt;=VAL_DATE)+(COUNTIF('Dvd Calendar'!$E$2085:$AR$2085,'Dvd Calendar'!$AD$2078)=0))&gt;0)=0,"",'Dvd Calendar'!$AD$2078*1000000000+ISNUMBER('Dvd Calendar'!$AD$2081)*100000000+('Dvd Calendar'!$AD$2083=SPECIAL_LBL)*10000000+(N('Dvd Calendar'!$AD$2077)&gt;0)*(N('Dvd Calendar'!$AD$2077)&lt;=VAL_SERIAL)*1000000+48*1000+26))</f>
        <v/>
      </c>
      <c r="FE207" s="39">
        <f>IF(N('Dvd Calendar'!$AE$2078)=0,"",IF(('Dvd Calendar'!$AE$2078&gt;=GRID_FROM)*('Dvd Calendar'!$AE$2078&lt;=GRID_TO)*((('Dvd Calendar'!$AE$2078&lt;=VAL_DATE)+(COUNTIF('Dvd Calendar'!$E$2085:$AR$2085,'Dvd Calendar'!$AE$2078)=0))&gt;0)=0,"",'Dvd Calendar'!$AE$2078*1000000000+ISNUMBER('Dvd Calendar'!$AE$2081)*100000000+('Dvd Calendar'!$AE$2083=SPECIAL_LBL)*10000000+(N('Dvd Calendar'!$AE$2077)&gt;0)*(N('Dvd Calendar'!$AE$2077)&lt;=VAL_SERIAL)*1000000+48*1000+27))</f>
        <v/>
      </c>
      <c r="FF207" s="39">
        <f>IF(N('Dvd Calendar'!$AF$2078)=0,"",IF(('Dvd Calendar'!$AF$2078&gt;=GRID_FROM)*('Dvd Calendar'!$AF$2078&lt;=GRID_TO)*((('Dvd Calendar'!$AF$2078&lt;=VAL_DATE)+(COUNTIF('Dvd Calendar'!$E$2085:$AR$2085,'Dvd Calendar'!$AF$2078)=0))&gt;0)=0,"",'Dvd Calendar'!$AF$2078*1000000000+ISNUMBER('Dvd Calendar'!$AF$2081)*100000000+('Dvd Calendar'!$AF$2083=SPECIAL_LBL)*10000000+(N('Dvd Calendar'!$AF$2077)&gt;0)*(N('Dvd Calendar'!$AF$2077)&lt;=VAL_SERIAL)*1000000+48*1000+28))</f>
        <v/>
      </c>
      <c r="FG207" s="39">
        <f>IF(N('Dvd Calendar'!$AG$2078)=0,"",IF(('Dvd Calendar'!$AG$2078&gt;=GRID_FROM)*('Dvd Calendar'!$AG$2078&lt;=GRID_TO)*((('Dvd Calendar'!$AG$2078&lt;=VAL_DATE)+(COUNTIF('Dvd Calendar'!$E$2085:$AR$2085,'Dvd Calendar'!$AG$2078)=0))&gt;0)=0,"",'Dvd Calendar'!$AG$2078*1000000000+ISNUMBER('Dvd Calendar'!$AG$2081)*100000000+('Dvd Calendar'!$AG$2083=SPECIAL_LBL)*10000000+(N('Dvd Calendar'!$AG$2077)&gt;0)*(N('Dvd Calendar'!$AG$2077)&lt;=VAL_SERIAL)*1000000+48*1000+29))</f>
        <v/>
      </c>
      <c r="FH207" s="39">
        <f>IF(N('Dvd Calendar'!$AH$2078)=0,"",IF(('Dvd Calendar'!$AH$2078&gt;=GRID_FROM)*('Dvd Calendar'!$AH$2078&lt;=GRID_TO)*((('Dvd Calendar'!$AH$2078&lt;=VAL_DATE)+(COUNTIF('Dvd Calendar'!$E$2085:$AR$2085,'Dvd Calendar'!$AH$2078)=0))&gt;0)=0,"",'Dvd Calendar'!$AH$2078*1000000000+ISNUMBER('Dvd Calendar'!$AH$2081)*100000000+('Dvd Calendar'!$AH$2083=SPECIAL_LBL)*10000000+(N('Dvd Calendar'!$AH$2077)&gt;0)*(N('Dvd Calendar'!$AH$2077)&lt;=VAL_SERIAL)*1000000+48*1000+30))</f>
        <v/>
      </c>
      <c r="FI207" s="39">
        <f>IF(N('Dvd Calendar'!$AI$2078)=0,"",IF(('Dvd Calendar'!$AI$2078&gt;=GRID_FROM)*('Dvd Calendar'!$AI$2078&lt;=GRID_TO)*((('Dvd Calendar'!$AI$2078&lt;=VAL_DATE)+(COUNTIF('Dvd Calendar'!$E$2085:$AR$2085,'Dvd Calendar'!$AI$2078)=0))&gt;0)=0,"",'Dvd Calendar'!$AI$2078*1000000000+ISNUMBER('Dvd Calendar'!$AI$2081)*100000000+('Dvd Calendar'!$AI$2083=SPECIAL_LBL)*10000000+(N('Dvd Calendar'!$AI$2077)&gt;0)*(N('Dvd Calendar'!$AI$2077)&lt;=VAL_SERIAL)*1000000+48*1000+31))</f>
        <v/>
      </c>
      <c r="FJ207" s="39">
        <f>IF(N('Dvd Calendar'!$AJ$2078)=0,"",IF(('Dvd Calendar'!$AJ$2078&gt;=GRID_FROM)*('Dvd Calendar'!$AJ$2078&lt;=GRID_TO)*((('Dvd Calendar'!$AJ$2078&lt;=VAL_DATE)+(COUNTIF('Dvd Calendar'!$E$2085:$AR$2085,'Dvd Calendar'!$AJ$2078)=0))&gt;0)=0,"",'Dvd Calendar'!$AJ$2078*1000000000+ISNUMBER('Dvd Calendar'!$AJ$2081)*100000000+('Dvd Calendar'!$AJ$2083=SPECIAL_LBL)*10000000+(N('Dvd Calendar'!$AJ$2077)&gt;0)*(N('Dvd Calendar'!$AJ$2077)&lt;=VAL_SERIAL)*1000000+48*1000+32))</f>
        <v/>
      </c>
      <c r="FK207" s="39">
        <f>IF(N('Dvd Calendar'!$AK$2078)=0,"",IF(('Dvd Calendar'!$AK$2078&gt;=GRID_FROM)*('Dvd Calendar'!$AK$2078&lt;=GRID_TO)*((('Dvd Calendar'!$AK$2078&lt;=VAL_DATE)+(COUNTIF('Dvd Calendar'!$E$2085:$AR$2085,'Dvd Calendar'!$AK$2078)=0))&gt;0)=0,"",'Dvd Calendar'!$AK$2078*1000000000+ISNUMBER('Dvd Calendar'!$AK$2081)*100000000+('Dvd Calendar'!$AK$2083=SPECIAL_LBL)*10000000+(N('Dvd Calendar'!$AK$2077)&gt;0)*(N('Dvd Calendar'!$AK$2077)&lt;=VAL_SERIAL)*1000000+48*1000+33))</f>
        <v/>
      </c>
      <c r="FL207" s="39">
        <f>IF(N('Dvd Calendar'!$AL$2078)=0,"",IF(('Dvd Calendar'!$AL$2078&gt;=GRID_FROM)*('Dvd Calendar'!$AL$2078&lt;=GRID_TO)*((('Dvd Calendar'!$AL$2078&lt;=VAL_DATE)+(COUNTIF('Dvd Calendar'!$E$2085:$AR$2085,'Dvd Calendar'!$AL$2078)=0))&gt;0)=0,"",'Dvd Calendar'!$AL$2078*1000000000+ISNUMBER('Dvd Calendar'!$AL$2081)*100000000+('Dvd Calendar'!$AL$2083=SPECIAL_LBL)*10000000+(N('Dvd Calendar'!$AL$2077)&gt;0)*(N('Dvd Calendar'!$AL$2077)&lt;=VAL_SERIAL)*1000000+48*1000+34))</f>
        <v/>
      </c>
      <c r="FM207" s="39">
        <f>IF(N('Dvd Calendar'!$AM$2078)=0,"",IF(('Dvd Calendar'!$AM$2078&gt;=GRID_FROM)*('Dvd Calendar'!$AM$2078&lt;=GRID_TO)*((('Dvd Calendar'!$AM$2078&lt;=VAL_DATE)+(COUNTIF('Dvd Calendar'!$E$2085:$AR$2085,'Dvd Calendar'!$AM$2078)=0))&gt;0)=0,"",'Dvd Calendar'!$AM$2078*1000000000+ISNUMBER('Dvd Calendar'!$AM$2081)*100000000+('Dvd Calendar'!$AM$2083=SPECIAL_LBL)*10000000+(N('Dvd Calendar'!$AM$2077)&gt;0)*(N('Dvd Calendar'!$AM$2077)&lt;=VAL_SERIAL)*1000000+48*1000+35))</f>
        <v/>
      </c>
      <c r="FN207" s="39">
        <f>IF(N('Dvd Calendar'!$AN$2078)=0,"",IF(('Dvd Calendar'!$AN$2078&gt;=GRID_FROM)*('Dvd Calendar'!$AN$2078&lt;=GRID_TO)*((('Dvd Calendar'!$AN$2078&lt;=VAL_DATE)+(COUNTIF('Dvd Calendar'!$E$2085:$AR$2085,'Dvd Calendar'!$AN$2078)=0))&gt;0)=0,"",'Dvd Calendar'!$AN$2078*1000000000+ISNUMBER('Dvd Calendar'!$AN$2081)*100000000+('Dvd Calendar'!$AN$2083=SPECIAL_LBL)*10000000+(N('Dvd Calendar'!$AN$2077)&gt;0)*(N('Dvd Calendar'!$AN$2077)&lt;=VAL_SERIAL)*1000000+48*1000+36))</f>
        <v/>
      </c>
      <c r="FO207" s="39">
        <f>IF(N('Dvd Calendar'!$AO$2078)=0,"",IF(('Dvd Calendar'!$AO$2078&gt;=GRID_FROM)*('Dvd Calendar'!$AO$2078&lt;=GRID_TO)*((('Dvd Calendar'!$AO$2078&lt;=VAL_DATE)+(COUNTIF('Dvd Calendar'!$E$2085:$AR$2085,'Dvd Calendar'!$AO$2078)=0))&gt;0)=0,"",'Dvd Calendar'!$AO$2078*1000000000+ISNUMBER('Dvd Calendar'!$AO$2081)*100000000+('Dvd Calendar'!$AO$2083=SPECIAL_LBL)*10000000+(N('Dvd Calendar'!$AO$2077)&gt;0)*(N('Dvd Calendar'!$AO$2077)&lt;=VAL_SERIAL)*1000000+48*1000+37))</f>
        <v/>
      </c>
      <c r="FP207" s="39">
        <f>IF(N('Dvd Calendar'!$AP$2078)=0,"",IF(('Dvd Calendar'!$AP$2078&gt;=GRID_FROM)*('Dvd Calendar'!$AP$2078&lt;=GRID_TO)*((('Dvd Calendar'!$AP$2078&lt;=VAL_DATE)+(COUNTIF('Dvd Calendar'!$E$2085:$AR$2085,'Dvd Calendar'!$AP$2078)=0))&gt;0)=0,"",'Dvd Calendar'!$AP$2078*1000000000+ISNUMBER('Dvd Calendar'!$AP$2081)*100000000+('Dvd Calendar'!$AP$2083=SPECIAL_LBL)*10000000+(N('Dvd Calendar'!$AP$2077)&gt;0)*(N('Dvd Calendar'!$AP$2077)&lt;=VAL_SERIAL)*1000000+48*1000+38))</f>
        <v/>
      </c>
      <c r="FQ207" s="39">
        <f>IF(N('Dvd Calendar'!$AQ$2078)=0,"",IF(('Dvd Calendar'!$AQ$2078&gt;=GRID_FROM)*('Dvd Calendar'!$AQ$2078&lt;=GRID_TO)*((('Dvd Calendar'!$AQ$2078&lt;=VAL_DATE)+(COUNTIF('Dvd Calendar'!$E$2085:$AR$2085,'Dvd Calendar'!$AQ$2078)=0))&gt;0)=0,"",'Dvd Calendar'!$AQ$2078*1000000000+ISNUMBER('Dvd Calendar'!$AQ$2081)*100000000+('Dvd Calendar'!$AQ$2083=SPECIAL_LBL)*10000000+(N('Dvd Calendar'!$AQ$2077)&gt;0)*(N('Dvd Calendar'!$AQ$2077)&lt;=VAL_SERIAL)*1000000+48*1000+39))</f>
        <v/>
      </c>
      <c r="FR207" s="39">
        <f>IF(N('Dvd Calendar'!$AR$2078)=0,"",IF(('Dvd Calendar'!$AR$2078&gt;=GRID_FROM)*('Dvd Calendar'!$AR$2078&lt;=GRID_TO)*((('Dvd Calendar'!$AR$2078&lt;=VAL_DATE)+(COUNTIF('Dvd Calendar'!$E$2085:$AR$2085,'Dvd Calendar'!$AR$2078)=0))&gt;0)=0,"",'Dvd Calendar'!$AR$2078*1000000000+ISNUMBER('Dvd Calendar'!$AR$2081)*100000000+('Dvd Calendar'!$AR$2083=SPECIAL_LBL)*10000000+(N('Dvd Calendar'!$AR$2077)&gt;0)*(N('Dvd Calendar'!$AR$2077)&lt;=VAL_SERIAL)*1000000+48*1000+40))</f>
        <v/>
      </c>
      <c r="FS207" s="39">
        <f>IF(N('Dvd Calendar'!$E$2085)=0,"",IF(('Dvd Calendar'!$E$2085&gt;=GRID_FROM)*('Dvd Calendar'!$E$2085&lt;=GRID_TO)*('Dvd Calendar'!$E$2085&gt;VAL_DATE)=0,"",'Dvd Calendar'!$E$2085*1000000000+ISNUMBER('Dvd Calendar'!$E$2086)*100000000+0*10000000+(N('Dvd Calendar'!$E$2084)&gt;0)*(N('Dvd Calendar'!$E$2084)&lt;=VAL_SERIAL)*1000000+48*1000+41))</f>
        <v/>
      </c>
      <c r="FT207" s="39">
        <f>IF(N('Dvd Calendar'!$F$2085)=0,"",IF(('Dvd Calendar'!$F$2085&gt;=GRID_FROM)*('Dvd Calendar'!$F$2085&lt;=GRID_TO)*('Dvd Calendar'!$F$2085&gt;VAL_DATE)=0,"",'Dvd Calendar'!$F$2085*1000000000+ISNUMBER('Dvd Calendar'!$F$2086)*100000000+0*10000000+(N('Dvd Calendar'!$F$2084)&gt;0)*(N('Dvd Calendar'!$F$2084)&lt;=VAL_SERIAL)*1000000+48*1000+42))</f>
        <v/>
      </c>
      <c r="FU207" s="39">
        <f>IF(N('Dvd Calendar'!$G$2085)=0,"",IF(('Dvd Calendar'!$G$2085&gt;=GRID_FROM)*('Dvd Calendar'!$G$2085&lt;=GRID_TO)*('Dvd Calendar'!$G$2085&gt;VAL_DATE)=0,"",'Dvd Calendar'!$G$2085*1000000000+ISNUMBER('Dvd Calendar'!$G$2086)*100000000+0*10000000+(N('Dvd Calendar'!$G$2084)&gt;0)*(N('Dvd Calendar'!$G$2084)&lt;=VAL_SERIAL)*1000000+48*1000+43))</f>
        <v/>
      </c>
      <c r="FV207" s="39">
        <f>IF(N('Dvd Calendar'!$H$2085)=0,"",IF(('Dvd Calendar'!$H$2085&gt;=GRID_FROM)*('Dvd Calendar'!$H$2085&lt;=GRID_TO)*('Dvd Calendar'!$H$2085&gt;VAL_DATE)=0,"",'Dvd Calendar'!$H$2085*1000000000+ISNUMBER('Dvd Calendar'!$H$2086)*100000000+0*10000000+(N('Dvd Calendar'!$H$2084)&gt;0)*(N('Dvd Calendar'!$H$2084)&lt;=VAL_SERIAL)*1000000+48*1000+44))</f>
        <v/>
      </c>
      <c r="FW207" s="39">
        <f>IF(N('Dvd Calendar'!$I$2085)=0,"",IF(('Dvd Calendar'!$I$2085&gt;=GRID_FROM)*('Dvd Calendar'!$I$2085&lt;=GRID_TO)*('Dvd Calendar'!$I$2085&gt;VAL_DATE)=0,"",'Dvd Calendar'!$I$2085*1000000000+ISNUMBER('Dvd Calendar'!$I$2086)*100000000+0*10000000+(N('Dvd Calendar'!$I$2084)&gt;0)*(N('Dvd Calendar'!$I$2084)&lt;=VAL_SERIAL)*1000000+48*1000+45))</f>
        <v/>
      </c>
      <c r="FX207" s="39">
        <f>IF(N('Dvd Calendar'!$J$2085)=0,"",IF(('Dvd Calendar'!$J$2085&gt;=GRID_FROM)*('Dvd Calendar'!$J$2085&lt;=GRID_TO)*('Dvd Calendar'!$J$2085&gt;VAL_DATE)=0,"",'Dvd Calendar'!$J$2085*1000000000+ISNUMBER('Dvd Calendar'!$J$2086)*100000000+0*10000000+(N('Dvd Calendar'!$J$2084)&gt;0)*(N('Dvd Calendar'!$J$2084)&lt;=VAL_SERIAL)*1000000+48*1000+46))</f>
        <v/>
      </c>
      <c r="FY207" s="39">
        <f>IF(N('Dvd Calendar'!$K$2085)=0,"",IF(('Dvd Calendar'!$K$2085&gt;=GRID_FROM)*('Dvd Calendar'!$K$2085&lt;=GRID_TO)*('Dvd Calendar'!$K$2085&gt;VAL_DATE)=0,"",'Dvd Calendar'!$K$2085*1000000000+ISNUMBER('Dvd Calendar'!$K$2086)*100000000+0*10000000+(N('Dvd Calendar'!$K$2084)&gt;0)*(N('Dvd Calendar'!$K$2084)&lt;=VAL_SERIAL)*1000000+48*1000+47))</f>
        <v/>
      </c>
      <c r="FZ207" s="39">
        <f>IF(N('Dvd Calendar'!$L$2085)=0,"",IF(('Dvd Calendar'!$L$2085&gt;=GRID_FROM)*('Dvd Calendar'!$L$2085&lt;=GRID_TO)*('Dvd Calendar'!$L$2085&gt;VAL_DATE)=0,"",'Dvd Calendar'!$L$2085*1000000000+ISNUMBER('Dvd Calendar'!$L$2086)*100000000+0*10000000+(N('Dvd Calendar'!$L$2084)&gt;0)*(N('Dvd Calendar'!$L$2084)&lt;=VAL_SERIAL)*1000000+48*1000+48))</f>
        <v/>
      </c>
      <c r="GA207" s="39">
        <f>IF(N('Dvd Calendar'!$M$2085)=0,"",IF(('Dvd Calendar'!$M$2085&gt;=GRID_FROM)*('Dvd Calendar'!$M$2085&lt;=GRID_TO)*('Dvd Calendar'!$M$2085&gt;VAL_DATE)=0,"",'Dvd Calendar'!$M$2085*1000000000+ISNUMBER('Dvd Calendar'!$M$2086)*100000000+0*10000000+(N('Dvd Calendar'!$M$2084)&gt;0)*(N('Dvd Calendar'!$M$2084)&lt;=VAL_SERIAL)*1000000+48*1000+49))</f>
        <v/>
      </c>
      <c r="GB207" s="39">
        <f>IF(N('Dvd Calendar'!$N$2085)=0,"",IF(('Dvd Calendar'!$N$2085&gt;=GRID_FROM)*('Dvd Calendar'!$N$2085&lt;=GRID_TO)*('Dvd Calendar'!$N$2085&gt;VAL_DATE)=0,"",'Dvd Calendar'!$N$2085*1000000000+ISNUMBER('Dvd Calendar'!$N$2086)*100000000+0*10000000+(N('Dvd Calendar'!$N$2084)&gt;0)*(N('Dvd Calendar'!$N$2084)&lt;=VAL_SERIAL)*1000000+48*1000+50))</f>
        <v/>
      </c>
      <c r="GC207" s="39">
        <f>IF(N('Dvd Calendar'!$O$2085)=0,"",IF(('Dvd Calendar'!$O$2085&gt;=GRID_FROM)*('Dvd Calendar'!$O$2085&lt;=GRID_TO)*('Dvd Calendar'!$O$2085&gt;VAL_DATE)=0,"",'Dvd Calendar'!$O$2085*1000000000+ISNUMBER('Dvd Calendar'!$O$2086)*100000000+0*10000000+(N('Dvd Calendar'!$O$2084)&gt;0)*(N('Dvd Calendar'!$O$2084)&lt;=VAL_SERIAL)*1000000+48*1000+51))</f>
        <v/>
      </c>
      <c r="GD207" s="39">
        <f>IF(N('Dvd Calendar'!$P$2085)=0,"",IF(('Dvd Calendar'!$P$2085&gt;=GRID_FROM)*('Dvd Calendar'!$P$2085&lt;=GRID_TO)*('Dvd Calendar'!$P$2085&gt;VAL_DATE)=0,"",'Dvd Calendar'!$P$2085*1000000000+ISNUMBER('Dvd Calendar'!$P$2086)*100000000+0*10000000+(N('Dvd Calendar'!$P$2084)&gt;0)*(N('Dvd Calendar'!$P$2084)&lt;=VAL_SERIAL)*1000000+48*1000+52))</f>
        <v/>
      </c>
      <c r="GE207" s="39">
        <f>IF(N('Dvd Calendar'!$Q$2085)=0,"",IF(('Dvd Calendar'!$Q$2085&gt;=GRID_FROM)*('Dvd Calendar'!$Q$2085&lt;=GRID_TO)*('Dvd Calendar'!$Q$2085&gt;VAL_DATE)=0,"",'Dvd Calendar'!$Q$2085*1000000000+ISNUMBER('Dvd Calendar'!$Q$2086)*100000000+0*10000000+(N('Dvd Calendar'!$Q$2084)&gt;0)*(N('Dvd Calendar'!$Q$2084)&lt;=VAL_SERIAL)*1000000+48*1000+53))</f>
        <v/>
      </c>
      <c r="GF207" s="39">
        <f>IF(N('Dvd Calendar'!$R$2085)=0,"",IF(('Dvd Calendar'!$R$2085&gt;=GRID_FROM)*('Dvd Calendar'!$R$2085&lt;=GRID_TO)*('Dvd Calendar'!$R$2085&gt;VAL_DATE)=0,"",'Dvd Calendar'!$R$2085*1000000000+ISNUMBER('Dvd Calendar'!$R$2086)*100000000+0*10000000+(N('Dvd Calendar'!$R$2084)&gt;0)*(N('Dvd Calendar'!$R$2084)&lt;=VAL_SERIAL)*1000000+48*1000+54))</f>
        <v/>
      </c>
      <c r="GG207" s="39">
        <f>IF(N('Dvd Calendar'!$S$2085)=0,"",IF(('Dvd Calendar'!$S$2085&gt;=GRID_FROM)*('Dvd Calendar'!$S$2085&lt;=GRID_TO)*('Dvd Calendar'!$S$2085&gt;VAL_DATE)=0,"",'Dvd Calendar'!$S$2085*1000000000+ISNUMBER('Dvd Calendar'!$S$2086)*100000000+0*10000000+(N('Dvd Calendar'!$S$2084)&gt;0)*(N('Dvd Calendar'!$S$2084)&lt;=VAL_SERIAL)*1000000+48*1000+55))</f>
        <v/>
      </c>
      <c r="GH207" s="39">
        <f>IF(N('Dvd Calendar'!$T$2085)=0,"",IF(('Dvd Calendar'!$T$2085&gt;=GRID_FROM)*('Dvd Calendar'!$T$2085&lt;=GRID_TO)*('Dvd Calendar'!$T$2085&gt;VAL_DATE)=0,"",'Dvd Calendar'!$T$2085*1000000000+ISNUMBER('Dvd Calendar'!$T$2086)*100000000+0*10000000+(N('Dvd Calendar'!$T$2084)&gt;0)*(N('Dvd Calendar'!$T$2084)&lt;=VAL_SERIAL)*1000000+48*1000+56))</f>
        <v/>
      </c>
      <c r="GI207" s="39">
        <f>IF(N('Dvd Calendar'!$U$2085)=0,"",IF(('Dvd Calendar'!$U$2085&gt;=GRID_FROM)*('Dvd Calendar'!$U$2085&lt;=GRID_TO)*('Dvd Calendar'!$U$2085&gt;VAL_DATE)=0,"",'Dvd Calendar'!$U$2085*1000000000+ISNUMBER('Dvd Calendar'!$U$2086)*100000000+0*10000000+(N('Dvd Calendar'!$U$2084)&gt;0)*(N('Dvd Calendar'!$U$2084)&lt;=VAL_SERIAL)*1000000+48*1000+57))</f>
        <v/>
      </c>
      <c r="GJ207" s="39">
        <f>IF(N('Dvd Calendar'!$V$2085)=0,"",IF(('Dvd Calendar'!$V$2085&gt;=GRID_FROM)*('Dvd Calendar'!$V$2085&lt;=GRID_TO)*('Dvd Calendar'!$V$2085&gt;VAL_DATE)=0,"",'Dvd Calendar'!$V$2085*1000000000+ISNUMBER('Dvd Calendar'!$V$2086)*100000000+0*10000000+(N('Dvd Calendar'!$V$2084)&gt;0)*(N('Dvd Calendar'!$V$2084)&lt;=VAL_SERIAL)*1000000+48*1000+58))</f>
        <v/>
      </c>
      <c r="GK207" s="39">
        <f>IF(N('Dvd Calendar'!$W$2085)=0,"",IF(('Dvd Calendar'!$W$2085&gt;=GRID_FROM)*('Dvd Calendar'!$W$2085&lt;=GRID_TO)*('Dvd Calendar'!$W$2085&gt;VAL_DATE)=0,"",'Dvd Calendar'!$W$2085*1000000000+ISNUMBER('Dvd Calendar'!$W$2086)*100000000+0*10000000+(N('Dvd Calendar'!$W$2084)&gt;0)*(N('Dvd Calendar'!$W$2084)&lt;=VAL_SERIAL)*1000000+48*1000+59))</f>
        <v/>
      </c>
      <c r="GL207" s="39">
        <f>IF(N('Dvd Calendar'!$X$2085)=0,"",IF(('Dvd Calendar'!$X$2085&gt;=GRID_FROM)*('Dvd Calendar'!$X$2085&lt;=GRID_TO)*('Dvd Calendar'!$X$2085&gt;VAL_DATE)=0,"",'Dvd Calendar'!$X$2085*1000000000+ISNUMBER('Dvd Calendar'!$X$2086)*100000000+0*10000000+(N('Dvd Calendar'!$X$2084)&gt;0)*(N('Dvd Calendar'!$X$2084)&lt;=VAL_SERIAL)*1000000+48*1000+60))</f>
        <v/>
      </c>
      <c r="GM207" s="39">
        <f>IF(N('Dvd Calendar'!$Y$2085)=0,"",IF(('Dvd Calendar'!$Y$2085&gt;=GRID_FROM)*('Dvd Calendar'!$Y$2085&lt;=GRID_TO)*('Dvd Calendar'!$Y$2085&gt;VAL_DATE)=0,"",'Dvd Calendar'!$Y$2085*1000000000+ISNUMBER('Dvd Calendar'!$Y$2086)*100000000+0*10000000+(N('Dvd Calendar'!$Y$2084)&gt;0)*(N('Dvd Calendar'!$Y$2084)&lt;=VAL_SERIAL)*1000000+48*1000+61))</f>
        <v/>
      </c>
      <c r="GN207" s="39">
        <f>IF(N('Dvd Calendar'!$Z$2085)=0,"",IF(('Dvd Calendar'!$Z$2085&gt;=GRID_FROM)*('Dvd Calendar'!$Z$2085&lt;=GRID_TO)*('Dvd Calendar'!$Z$2085&gt;VAL_DATE)=0,"",'Dvd Calendar'!$Z$2085*1000000000+ISNUMBER('Dvd Calendar'!$Z$2086)*100000000+0*10000000+(N('Dvd Calendar'!$Z$2084)&gt;0)*(N('Dvd Calendar'!$Z$2084)&lt;=VAL_SERIAL)*1000000+48*1000+62))</f>
        <v/>
      </c>
      <c r="GO207" s="39">
        <f>IF(N('Dvd Calendar'!$AA$2085)=0,"",IF(('Dvd Calendar'!$AA$2085&gt;=GRID_FROM)*('Dvd Calendar'!$AA$2085&lt;=GRID_TO)*('Dvd Calendar'!$AA$2085&gt;VAL_DATE)=0,"",'Dvd Calendar'!$AA$2085*1000000000+ISNUMBER('Dvd Calendar'!$AA$2086)*100000000+0*10000000+(N('Dvd Calendar'!$AA$2084)&gt;0)*(N('Dvd Calendar'!$AA$2084)&lt;=VAL_SERIAL)*1000000+48*1000+63))</f>
        <v/>
      </c>
      <c r="GP207" s="39">
        <f>IF(N('Dvd Calendar'!$AB$2085)=0,"",IF(('Dvd Calendar'!$AB$2085&gt;=GRID_FROM)*('Dvd Calendar'!$AB$2085&lt;=GRID_TO)*('Dvd Calendar'!$AB$2085&gt;VAL_DATE)=0,"",'Dvd Calendar'!$AB$2085*1000000000+ISNUMBER('Dvd Calendar'!$AB$2086)*100000000+0*10000000+(N('Dvd Calendar'!$AB$2084)&gt;0)*(N('Dvd Calendar'!$AB$2084)&lt;=VAL_SERIAL)*1000000+48*1000+64))</f>
        <v/>
      </c>
      <c r="GQ207" s="39">
        <f>IF(N('Dvd Calendar'!$AC$2085)=0,"",IF(('Dvd Calendar'!$AC$2085&gt;=GRID_FROM)*('Dvd Calendar'!$AC$2085&lt;=GRID_TO)*('Dvd Calendar'!$AC$2085&gt;VAL_DATE)=0,"",'Dvd Calendar'!$AC$2085*1000000000+ISNUMBER('Dvd Calendar'!$AC$2086)*100000000+0*10000000+(N('Dvd Calendar'!$AC$2084)&gt;0)*(N('Dvd Calendar'!$AC$2084)&lt;=VAL_SERIAL)*1000000+48*1000+65))</f>
        <v/>
      </c>
    </row>
    <row r="208">
      <c r="B208" s="2">
        <f>IF(HSCEI!$C$55="","",HSCEI!$C$55)</f>
        <v/>
      </c>
      <c r="C208" s="110">
        <f>IF(EE208="","",IF(ISNUMBER('Dvd Calendar'!$E$2092)=FALSE,"",IF((('Dvd Calendar'!$E$2094=TYPE1)*(TYPE1&lt;&gt;"")+('Dvd Calendar'!$E$2094=TYPE2)*(TYPE2&lt;&gt;"")+('Dvd Calendar'!$E$2094=TYPE3)*(TYPE3&lt;&gt;"")+('Dvd Calendar'!$E$2094=TYPE4)*(TYPE4&lt;&gt;"")+('Dvd Calendar'!$E$2094=SPECIAL_LBL)*(INC_SPECIALS="Y"))=0,"",'Dvd Calendar'!$E$2092)))</f>
        <v/>
      </c>
      <c r="D208" s="110">
        <f>IF(EF208="","",IF(ISNUMBER('Dvd Calendar'!$F$2092)=FALSE,"",IF((('Dvd Calendar'!$F$2094=TYPE1)*(TYPE1&lt;&gt;"")+('Dvd Calendar'!$F$2094=TYPE2)*(TYPE2&lt;&gt;"")+('Dvd Calendar'!$F$2094=TYPE3)*(TYPE3&lt;&gt;"")+('Dvd Calendar'!$F$2094=TYPE4)*(TYPE4&lt;&gt;"")+('Dvd Calendar'!$F$2094=SPECIAL_LBL)*(INC_SPECIALS="Y"))=0,"",'Dvd Calendar'!$F$2092)))</f>
        <v/>
      </c>
      <c r="E208" s="110">
        <f>IF(EG208="","",IF(ISNUMBER('Dvd Calendar'!$G$2092)=FALSE,"",IF((('Dvd Calendar'!$G$2094=TYPE1)*(TYPE1&lt;&gt;"")+('Dvd Calendar'!$G$2094=TYPE2)*(TYPE2&lt;&gt;"")+('Dvd Calendar'!$G$2094=TYPE3)*(TYPE3&lt;&gt;"")+('Dvd Calendar'!$G$2094=TYPE4)*(TYPE4&lt;&gt;"")+('Dvd Calendar'!$G$2094=SPECIAL_LBL)*(INC_SPECIALS="Y"))=0,"",'Dvd Calendar'!$G$2092)))</f>
        <v/>
      </c>
      <c r="F208" s="110">
        <f>IF(EH208="","",IF(ISNUMBER('Dvd Calendar'!$H$2092)=FALSE,"",IF((('Dvd Calendar'!$H$2094=TYPE1)*(TYPE1&lt;&gt;"")+('Dvd Calendar'!$H$2094=TYPE2)*(TYPE2&lt;&gt;"")+('Dvd Calendar'!$H$2094=TYPE3)*(TYPE3&lt;&gt;"")+('Dvd Calendar'!$H$2094=TYPE4)*(TYPE4&lt;&gt;"")+('Dvd Calendar'!$H$2094=SPECIAL_LBL)*(INC_SPECIALS="Y"))=0,"",'Dvd Calendar'!$H$2092)))</f>
        <v/>
      </c>
      <c r="G208" s="110">
        <f>IF(EI208="","",IF(ISNUMBER('Dvd Calendar'!$I$2092)=FALSE,"",IF((('Dvd Calendar'!$I$2094=TYPE1)*(TYPE1&lt;&gt;"")+('Dvd Calendar'!$I$2094=TYPE2)*(TYPE2&lt;&gt;"")+('Dvd Calendar'!$I$2094=TYPE3)*(TYPE3&lt;&gt;"")+('Dvd Calendar'!$I$2094=TYPE4)*(TYPE4&lt;&gt;"")+('Dvd Calendar'!$I$2094=SPECIAL_LBL)*(INC_SPECIALS="Y"))=0,"",'Dvd Calendar'!$I$2092)))</f>
        <v/>
      </c>
      <c r="H208" s="110">
        <f>IF(EJ208="","",IF(ISNUMBER('Dvd Calendar'!$J$2092)=FALSE,"",IF((('Dvd Calendar'!$J$2094=TYPE1)*(TYPE1&lt;&gt;"")+('Dvd Calendar'!$J$2094=TYPE2)*(TYPE2&lt;&gt;"")+('Dvd Calendar'!$J$2094=TYPE3)*(TYPE3&lt;&gt;"")+('Dvd Calendar'!$J$2094=TYPE4)*(TYPE4&lt;&gt;"")+('Dvd Calendar'!$J$2094=SPECIAL_LBL)*(INC_SPECIALS="Y"))=0,"",'Dvd Calendar'!$J$2092)))</f>
        <v/>
      </c>
      <c r="I208" s="110">
        <f>IF(EK208="","",IF(ISNUMBER('Dvd Calendar'!$K$2092)=FALSE,"",IF((('Dvd Calendar'!$K$2094=TYPE1)*(TYPE1&lt;&gt;"")+('Dvd Calendar'!$K$2094=TYPE2)*(TYPE2&lt;&gt;"")+('Dvd Calendar'!$K$2094=TYPE3)*(TYPE3&lt;&gt;"")+('Dvd Calendar'!$K$2094=TYPE4)*(TYPE4&lt;&gt;"")+('Dvd Calendar'!$K$2094=SPECIAL_LBL)*(INC_SPECIALS="Y"))=0,"",'Dvd Calendar'!$K$2092)))</f>
        <v/>
      </c>
      <c r="J208" s="110">
        <f>IF(EL208="","",IF(ISNUMBER('Dvd Calendar'!$L$2092)=FALSE,"",IF((('Dvd Calendar'!$L$2094=TYPE1)*(TYPE1&lt;&gt;"")+('Dvd Calendar'!$L$2094=TYPE2)*(TYPE2&lt;&gt;"")+('Dvd Calendar'!$L$2094=TYPE3)*(TYPE3&lt;&gt;"")+('Dvd Calendar'!$L$2094=TYPE4)*(TYPE4&lt;&gt;"")+('Dvd Calendar'!$L$2094=SPECIAL_LBL)*(INC_SPECIALS="Y"))=0,"",'Dvd Calendar'!$L$2092)))</f>
        <v/>
      </c>
      <c r="K208" s="110">
        <f>IF(EM208="","",IF(ISNUMBER('Dvd Calendar'!$M$2092)=FALSE,"",IF((('Dvd Calendar'!$M$2094=TYPE1)*(TYPE1&lt;&gt;"")+('Dvd Calendar'!$M$2094=TYPE2)*(TYPE2&lt;&gt;"")+('Dvd Calendar'!$M$2094=TYPE3)*(TYPE3&lt;&gt;"")+('Dvd Calendar'!$M$2094=TYPE4)*(TYPE4&lt;&gt;"")+('Dvd Calendar'!$M$2094=SPECIAL_LBL)*(INC_SPECIALS="Y"))=0,"",'Dvd Calendar'!$M$2092)))</f>
        <v/>
      </c>
      <c r="L208" s="110">
        <f>IF(EN208="","",IF(ISNUMBER('Dvd Calendar'!$N$2092)=FALSE,"",IF((('Dvd Calendar'!$N$2094=TYPE1)*(TYPE1&lt;&gt;"")+('Dvd Calendar'!$N$2094=TYPE2)*(TYPE2&lt;&gt;"")+('Dvd Calendar'!$N$2094=TYPE3)*(TYPE3&lt;&gt;"")+('Dvd Calendar'!$N$2094=TYPE4)*(TYPE4&lt;&gt;"")+('Dvd Calendar'!$N$2094=SPECIAL_LBL)*(INC_SPECIALS="Y"))=0,"",'Dvd Calendar'!$N$2092)))</f>
        <v/>
      </c>
      <c r="M208" s="110">
        <f>IF(EO208="","",IF(ISNUMBER('Dvd Calendar'!$O$2092)=FALSE,"",IF((('Dvd Calendar'!$O$2094=TYPE1)*(TYPE1&lt;&gt;"")+('Dvd Calendar'!$O$2094=TYPE2)*(TYPE2&lt;&gt;"")+('Dvd Calendar'!$O$2094=TYPE3)*(TYPE3&lt;&gt;"")+('Dvd Calendar'!$O$2094=TYPE4)*(TYPE4&lt;&gt;"")+('Dvd Calendar'!$O$2094=SPECIAL_LBL)*(INC_SPECIALS="Y"))=0,"",'Dvd Calendar'!$O$2092)))</f>
        <v/>
      </c>
      <c r="N208" s="110">
        <f>IF(EP208="","",IF(ISNUMBER('Dvd Calendar'!$P$2092)=FALSE,"",IF((('Dvd Calendar'!$P$2094=TYPE1)*(TYPE1&lt;&gt;"")+('Dvd Calendar'!$P$2094=TYPE2)*(TYPE2&lt;&gt;"")+('Dvd Calendar'!$P$2094=TYPE3)*(TYPE3&lt;&gt;"")+('Dvd Calendar'!$P$2094=TYPE4)*(TYPE4&lt;&gt;"")+('Dvd Calendar'!$P$2094=SPECIAL_LBL)*(INC_SPECIALS="Y"))=0,"",'Dvd Calendar'!$P$2092)))</f>
        <v/>
      </c>
      <c r="O208" s="110">
        <f>IF(EQ208="","",IF(ISNUMBER('Dvd Calendar'!$Q$2092)=FALSE,"",IF((('Dvd Calendar'!$Q$2094=TYPE1)*(TYPE1&lt;&gt;"")+('Dvd Calendar'!$Q$2094=TYPE2)*(TYPE2&lt;&gt;"")+('Dvd Calendar'!$Q$2094=TYPE3)*(TYPE3&lt;&gt;"")+('Dvd Calendar'!$Q$2094=TYPE4)*(TYPE4&lt;&gt;"")+('Dvd Calendar'!$Q$2094=SPECIAL_LBL)*(INC_SPECIALS="Y"))=0,"",'Dvd Calendar'!$Q$2092)))</f>
        <v/>
      </c>
      <c r="P208" s="110">
        <f>IF(ER208="","",IF(ISNUMBER('Dvd Calendar'!$R$2092)=FALSE,"",IF((('Dvd Calendar'!$R$2094=TYPE1)*(TYPE1&lt;&gt;"")+('Dvd Calendar'!$R$2094=TYPE2)*(TYPE2&lt;&gt;"")+('Dvd Calendar'!$R$2094=TYPE3)*(TYPE3&lt;&gt;"")+('Dvd Calendar'!$R$2094=TYPE4)*(TYPE4&lt;&gt;"")+('Dvd Calendar'!$R$2094=SPECIAL_LBL)*(INC_SPECIALS="Y"))=0,"",'Dvd Calendar'!$R$2092)))</f>
        <v/>
      </c>
      <c r="Q208" s="110">
        <f>IF(ES208="","",IF(ISNUMBER('Dvd Calendar'!$S$2092)=FALSE,"",IF((('Dvd Calendar'!$S$2094=TYPE1)*(TYPE1&lt;&gt;"")+('Dvd Calendar'!$S$2094=TYPE2)*(TYPE2&lt;&gt;"")+('Dvd Calendar'!$S$2094=TYPE3)*(TYPE3&lt;&gt;"")+('Dvd Calendar'!$S$2094=TYPE4)*(TYPE4&lt;&gt;"")+('Dvd Calendar'!$S$2094=SPECIAL_LBL)*(INC_SPECIALS="Y"))=0,"",'Dvd Calendar'!$S$2092)))</f>
        <v/>
      </c>
      <c r="R208" s="110">
        <f>IF(ET208="","",IF(ISNUMBER('Dvd Calendar'!$T$2092)=FALSE,"",IF((('Dvd Calendar'!$T$2094=TYPE1)*(TYPE1&lt;&gt;"")+('Dvd Calendar'!$T$2094=TYPE2)*(TYPE2&lt;&gt;"")+('Dvd Calendar'!$T$2094=TYPE3)*(TYPE3&lt;&gt;"")+('Dvd Calendar'!$T$2094=TYPE4)*(TYPE4&lt;&gt;"")+('Dvd Calendar'!$T$2094=SPECIAL_LBL)*(INC_SPECIALS="Y"))=0,"",'Dvd Calendar'!$T$2092)))</f>
        <v/>
      </c>
      <c r="S208" s="110">
        <f>IF(EU208="","",IF(ISNUMBER('Dvd Calendar'!$U$2092)=FALSE,"",IF((('Dvd Calendar'!$U$2094=TYPE1)*(TYPE1&lt;&gt;"")+('Dvd Calendar'!$U$2094=TYPE2)*(TYPE2&lt;&gt;"")+('Dvd Calendar'!$U$2094=TYPE3)*(TYPE3&lt;&gt;"")+('Dvd Calendar'!$U$2094=TYPE4)*(TYPE4&lt;&gt;"")+('Dvd Calendar'!$U$2094=SPECIAL_LBL)*(INC_SPECIALS="Y"))=0,"",'Dvd Calendar'!$U$2092)))</f>
        <v/>
      </c>
      <c r="T208" s="110">
        <f>IF(EV208="","",IF(ISNUMBER('Dvd Calendar'!$V$2092)=FALSE,"",IF((('Dvd Calendar'!$V$2094=TYPE1)*(TYPE1&lt;&gt;"")+('Dvd Calendar'!$V$2094=TYPE2)*(TYPE2&lt;&gt;"")+('Dvd Calendar'!$V$2094=TYPE3)*(TYPE3&lt;&gt;"")+('Dvd Calendar'!$V$2094=TYPE4)*(TYPE4&lt;&gt;"")+('Dvd Calendar'!$V$2094=SPECIAL_LBL)*(INC_SPECIALS="Y"))=0,"",'Dvd Calendar'!$V$2092)))</f>
        <v/>
      </c>
      <c r="U208" s="110">
        <f>IF(EW208="","",IF(ISNUMBER('Dvd Calendar'!$W$2092)=FALSE,"",IF((('Dvd Calendar'!$W$2094=TYPE1)*(TYPE1&lt;&gt;"")+('Dvd Calendar'!$W$2094=TYPE2)*(TYPE2&lt;&gt;"")+('Dvd Calendar'!$W$2094=TYPE3)*(TYPE3&lt;&gt;"")+('Dvd Calendar'!$W$2094=TYPE4)*(TYPE4&lt;&gt;"")+('Dvd Calendar'!$W$2094=SPECIAL_LBL)*(INC_SPECIALS="Y"))=0,"",'Dvd Calendar'!$W$2092)))</f>
        <v/>
      </c>
      <c r="V208" s="110">
        <f>IF(EX208="","",IF(ISNUMBER('Dvd Calendar'!$X$2092)=FALSE,"",IF((('Dvd Calendar'!$X$2094=TYPE1)*(TYPE1&lt;&gt;"")+('Dvd Calendar'!$X$2094=TYPE2)*(TYPE2&lt;&gt;"")+('Dvd Calendar'!$X$2094=TYPE3)*(TYPE3&lt;&gt;"")+('Dvd Calendar'!$X$2094=TYPE4)*(TYPE4&lt;&gt;"")+('Dvd Calendar'!$X$2094=SPECIAL_LBL)*(INC_SPECIALS="Y"))=0,"",'Dvd Calendar'!$X$2092)))</f>
        <v/>
      </c>
      <c r="W208" s="110">
        <f>IF(EY208="","",IF(ISNUMBER('Dvd Calendar'!$Y$2092)=FALSE,"",IF((('Dvd Calendar'!$Y$2094=TYPE1)*(TYPE1&lt;&gt;"")+('Dvd Calendar'!$Y$2094=TYPE2)*(TYPE2&lt;&gt;"")+('Dvd Calendar'!$Y$2094=TYPE3)*(TYPE3&lt;&gt;"")+('Dvd Calendar'!$Y$2094=TYPE4)*(TYPE4&lt;&gt;"")+('Dvd Calendar'!$Y$2094=SPECIAL_LBL)*(INC_SPECIALS="Y"))=0,"",'Dvd Calendar'!$Y$2092)))</f>
        <v/>
      </c>
      <c r="X208" s="110">
        <f>IF(EZ208="","",IF(ISNUMBER('Dvd Calendar'!$Z$2092)=FALSE,"",IF((('Dvd Calendar'!$Z$2094=TYPE1)*(TYPE1&lt;&gt;"")+('Dvd Calendar'!$Z$2094=TYPE2)*(TYPE2&lt;&gt;"")+('Dvd Calendar'!$Z$2094=TYPE3)*(TYPE3&lt;&gt;"")+('Dvd Calendar'!$Z$2094=TYPE4)*(TYPE4&lt;&gt;"")+('Dvd Calendar'!$Z$2094=SPECIAL_LBL)*(INC_SPECIALS="Y"))=0,"",'Dvd Calendar'!$Z$2092)))</f>
        <v/>
      </c>
      <c r="Y208" s="110">
        <f>IF(FA208="","",IF(ISNUMBER('Dvd Calendar'!$AA$2092)=FALSE,"",IF((('Dvd Calendar'!$AA$2094=TYPE1)*(TYPE1&lt;&gt;"")+('Dvd Calendar'!$AA$2094=TYPE2)*(TYPE2&lt;&gt;"")+('Dvd Calendar'!$AA$2094=TYPE3)*(TYPE3&lt;&gt;"")+('Dvd Calendar'!$AA$2094=TYPE4)*(TYPE4&lt;&gt;"")+('Dvd Calendar'!$AA$2094=SPECIAL_LBL)*(INC_SPECIALS="Y"))=0,"",'Dvd Calendar'!$AA$2092)))</f>
        <v/>
      </c>
      <c r="Z208" s="110">
        <f>IF(FB208="","",IF(ISNUMBER('Dvd Calendar'!$AB$2092)=FALSE,"",IF((('Dvd Calendar'!$AB$2094=TYPE1)*(TYPE1&lt;&gt;"")+('Dvd Calendar'!$AB$2094=TYPE2)*(TYPE2&lt;&gt;"")+('Dvd Calendar'!$AB$2094=TYPE3)*(TYPE3&lt;&gt;"")+('Dvd Calendar'!$AB$2094=TYPE4)*(TYPE4&lt;&gt;"")+('Dvd Calendar'!$AB$2094=SPECIAL_LBL)*(INC_SPECIALS="Y"))=0,"",'Dvd Calendar'!$AB$2092)))</f>
        <v/>
      </c>
      <c r="AA208" s="110">
        <f>IF(FC208="","",IF(ISNUMBER('Dvd Calendar'!$AC$2092)=FALSE,"",IF((('Dvd Calendar'!$AC$2094=TYPE1)*(TYPE1&lt;&gt;"")+('Dvd Calendar'!$AC$2094=TYPE2)*(TYPE2&lt;&gt;"")+('Dvd Calendar'!$AC$2094=TYPE3)*(TYPE3&lt;&gt;"")+('Dvd Calendar'!$AC$2094=TYPE4)*(TYPE4&lt;&gt;"")+('Dvd Calendar'!$AC$2094=SPECIAL_LBL)*(INC_SPECIALS="Y"))=0,"",'Dvd Calendar'!$AC$2092)))</f>
        <v/>
      </c>
      <c r="AB208" s="110">
        <f>IF(FD208="","",IF(ISNUMBER('Dvd Calendar'!$AD$2092)=FALSE,"",IF((('Dvd Calendar'!$AD$2094=TYPE1)*(TYPE1&lt;&gt;"")+('Dvd Calendar'!$AD$2094=TYPE2)*(TYPE2&lt;&gt;"")+('Dvd Calendar'!$AD$2094=TYPE3)*(TYPE3&lt;&gt;"")+('Dvd Calendar'!$AD$2094=TYPE4)*(TYPE4&lt;&gt;"")+('Dvd Calendar'!$AD$2094=SPECIAL_LBL)*(INC_SPECIALS="Y"))=0,"",'Dvd Calendar'!$AD$2092)))</f>
        <v/>
      </c>
      <c r="AC208" s="110">
        <f>IF(FE208="","",IF(ISNUMBER('Dvd Calendar'!$AE$2092)=FALSE,"",IF((('Dvd Calendar'!$AE$2094=TYPE1)*(TYPE1&lt;&gt;"")+('Dvd Calendar'!$AE$2094=TYPE2)*(TYPE2&lt;&gt;"")+('Dvd Calendar'!$AE$2094=TYPE3)*(TYPE3&lt;&gt;"")+('Dvd Calendar'!$AE$2094=TYPE4)*(TYPE4&lt;&gt;"")+('Dvd Calendar'!$AE$2094=SPECIAL_LBL)*(INC_SPECIALS="Y"))=0,"",'Dvd Calendar'!$AE$2092)))</f>
        <v/>
      </c>
      <c r="AD208" s="110">
        <f>IF(FF208="","",IF(ISNUMBER('Dvd Calendar'!$AF$2092)=FALSE,"",IF((('Dvd Calendar'!$AF$2094=TYPE1)*(TYPE1&lt;&gt;"")+('Dvd Calendar'!$AF$2094=TYPE2)*(TYPE2&lt;&gt;"")+('Dvd Calendar'!$AF$2094=TYPE3)*(TYPE3&lt;&gt;"")+('Dvd Calendar'!$AF$2094=TYPE4)*(TYPE4&lt;&gt;"")+('Dvd Calendar'!$AF$2094=SPECIAL_LBL)*(INC_SPECIALS="Y"))=0,"",'Dvd Calendar'!$AF$2092)))</f>
        <v/>
      </c>
      <c r="AE208" s="110">
        <f>IF(FG208="","",IF(ISNUMBER('Dvd Calendar'!$AG$2092)=FALSE,"",IF((('Dvd Calendar'!$AG$2094=TYPE1)*(TYPE1&lt;&gt;"")+('Dvd Calendar'!$AG$2094=TYPE2)*(TYPE2&lt;&gt;"")+('Dvd Calendar'!$AG$2094=TYPE3)*(TYPE3&lt;&gt;"")+('Dvd Calendar'!$AG$2094=TYPE4)*(TYPE4&lt;&gt;"")+('Dvd Calendar'!$AG$2094=SPECIAL_LBL)*(INC_SPECIALS="Y"))=0,"",'Dvd Calendar'!$AG$2092)))</f>
        <v/>
      </c>
      <c r="AF208" s="110">
        <f>IF(FH208="","",IF(ISNUMBER('Dvd Calendar'!$AH$2092)=FALSE,"",IF((('Dvd Calendar'!$AH$2094=TYPE1)*(TYPE1&lt;&gt;"")+('Dvd Calendar'!$AH$2094=TYPE2)*(TYPE2&lt;&gt;"")+('Dvd Calendar'!$AH$2094=TYPE3)*(TYPE3&lt;&gt;"")+('Dvd Calendar'!$AH$2094=TYPE4)*(TYPE4&lt;&gt;"")+('Dvd Calendar'!$AH$2094=SPECIAL_LBL)*(INC_SPECIALS="Y"))=0,"",'Dvd Calendar'!$AH$2092)))</f>
        <v/>
      </c>
      <c r="AG208" s="110">
        <f>IF(FI208="","",IF(ISNUMBER('Dvd Calendar'!$AI$2092)=FALSE,"",IF((('Dvd Calendar'!$AI$2094=TYPE1)*(TYPE1&lt;&gt;"")+('Dvd Calendar'!$AI$2094=TYPE2)*(TYPE2&lt;&gt;"")+('Dvd Calendar'!$AI$2094=TYPE3)*(TYPE3&lt;&gt;"")+('Dvd Calendar'!$AI$2094=TYPE4)*(TYPE4&lt;&gt;"")+('Dvd Calendar'!$AI$2094=SPECIAL_LBL)*(INC_SPECIALS="Y"))=0,"",'Dvd Calendar'!$AI$2092)))</f>
        <v/>
      </c>
      <c r="AH208" s="110">
        <f>IF(FJ208="","",IF(ISNUMBER('Dvd Calendar'!$AJ$2092)=FALSE,"",IF((('Dvd Calendar'!$AJ$2094=TYPE1)*(TYPE1&lt;&gt;"")+('Dvd Calendar'!$AJ$2094=TYPE2)*(TYPE2&lt;&gt;"")+('Dvd Calendar'!$AJ$2094=TYPE3)*(TYPE3&lt;&gt;"")+('Dvd Calendar'!$AJ$2094=TYPE4)*(TYPE4&lt;&gt;"")+('Dvd Calendar'!$AJ$2094=SPECIAL_LBL)*(INC_SPECIALS="Y"))=0,"",'Dvd Calendar'!$AJ$2092)))</f>
        <v/>
      </c>
      <c r="AI208" s="110">
        <f>IF(FK208="","",IF(ISNUMBER('Dvd Calendar'!$AK$2092)=FALSE,"",IF((('Dvd Calendar'!$AK$2094=TYPE1)*(TYPE1&lt;&gt;"")+('Dvd Calendar'!$AK$2094=TYPE2)*(TYPE2&lt;&gt;"")+('Dvd Calendar'!$AK$2094=TYPE3)*(TYPE3&lt;&gt;"")+('Dvd Calendar'!$AK$2094=TYPE4)*(TYPE4&lt;&gt;"")+('Dvd Calendar'!$AK$2094=SPECIAL_LBL)*(INC_SPECIALS="Y"))=0,"",'Dvd Calendar'!$AK$2092)))</f>
        <v/>
      </c>
      <c r="AJ208" s="110">
        <f>IF(FL208="","",IF(ISNUMBER('Dvd Calendar'!$AL$2092)=FALSE,"",IF((('Dvd Calendar'!$AL$2094=TYPE1)*(TYPE1&lt;&gt;"")+('Dvd Calendar'!$AL$2094=TYPE2)*(TYPE2&lt;&gt;"")+('Dvd Calendar'!$AL$2094=TYPE3)*(TYPE3&lt;&gt;"")+('Dvd Calendar'!$AL$2094=TYPE4)*(TYPE4&lt;&gt;"")+('Dvd Calendar'!$AL$2094=SPECIAL_LBL)*(INC_SPECIALS="Y"))=0,"",'Dvd Calendar'!$AL$2092)))</f>
        <v/>
      </c>
      <c r="AK208" s="110">
        <f>IF(FM208="","",IF(ISNUMBER('Dvd Calendar'!$AM$2092)=FALSE,"",IF((('Dvd Calendar'!$AM$2094=TYPE1)*(TYPE1&lt;&gt;"")+('Dvd Calendar'!$AM$2094=TYPE2)*(TYPE2&lt;&gt;"")+('Dvd Calendar'!$AM$2094=TYPE3)*(TYPE3&lt;&gt;"")+('Dvd Calendar'!$AM$2094=TYPE4)*(TYPE4&lt;&gt;"")+('Dvd Calendar'!$AM$2094=SPECIAL_LBL)*(INC_SPECIALS="Y"))=0,"",'Dvd Calendar'!$AM$2092)))</f>
        <v/>
      </c>
      <c r="AL208" s="110">
        <f>IF(FN208="","",IF(ISNUMBER('Dvd Calendar'!$AN$2092)=FALSE,"",IF((('Dvd Calendar'!$AN$2094=TYPE1)*(TYPE1&lt;&gt;"")+('Dvd Calendar'!$AN$2094=TYPE2)*(TYPE2&lt;&gt;"")+('Dvd Calendar'!$AN$2094=TYPE3)*(TYPE3&lt;&gt;"")+('Dvd Calendar'!$AN$2094=TYPE4)*(TYPE4&lt;&gt;"")+('Dvd Calendar'!$AN$2094=SPECIAL_LBL)*(INC_SPECIALS="Y"))=0,"",'Dvd Calendar'!$AN$2092)))</f>
        <v/>
      </c>
      <c r="AM208" s="110">
        <f>IF(FO208="","",IF(ISNUMBER('Dvd Calendar'!$AO$2092)=FALSE,"",IF((('Dvd Calendar'!$AO$2094=TYPE1)*(TYPE1&lt;&gt;"")+('Dvd Calendar'!$AO$2094=TYPE2)*(TYPE2&lt;&gt;"")+('Dvd Calendar'!$AO$2094=TYPE3)*(TYPE3&lt;&gt;"")+('Dvd Calendar'!$AO$2094=TYPE4)*(TYPE4&lt;&gt;"")+('Dvd Calendar'!$AO$2094=SPECIAL_LBL)*(INC_SPECIALS="Y"))=0,"",'Dvd Calendar'!$AO$2092)))</f>
        <v/>
      </c>
      <c r="AN208" s="110">
        <f>IF(FP208="","",IF(ISNUMBER('Dvd Calendar'!$AP$2092)=FALSE,"",IF((('Dvd Calendar'!$AP$2094=TYPE1)*(TYPE1&lt;&gt;"")+('Dvd Calendar'!$AP$2094=TYPE2)*(TYPE2&lt;&gt;"")+('Dvd Calendar'!$AP$2094=TYPE3)*(TYPE3&lt;&gt;"")+('Dvd Calendar'!$AP$2094=TYPE4)*(TYPE4&lt;&gt;"")+('Dvd Calendar'!$AP$2094=SPECIAL_LBL)*(INC_SPECIALS="Y"))=0,"",'Dvd Calendar'!$AP$2092)))</f>
        <v/>
      </c>
      <c r="AO208" s="110">
        <f>IF(FQ208="","",IF(ISNUMBER('Dvd Calendar'!$AQ$2092)=FALSE,"",IF((('Dvd Calendar'!$AQ$2094=TYPE1)*(TYPE1&lt;&gt;"")+('Dvd Calendar'!$AQ$2094=TYPE2)*(TYPE2&lt;&gt;"")+('Dvd Calendar'!$AQ$2094=TYPE3)*(TYPE3&lt;&gt;"")+('Dvd Calendar'!$AQ$2094=TYPE4)*(TYPE4&lt;&gt;"")+('Dvd Calendar'!$AQ$2094=SPECIAL_LBL)*(INC_SPECIALS="Y"))=0,"",'Dvd Calendar'!$AQ$2092)))</f>
        <v/>
      </c>
      <c r="AP208" s="110">
        <f>IF(FR208="","",IF(ISNUMBER('Dvd Calendar'!$AR$2092)=FALSE,"",IF((('Dvd Calendar'!$AR$2094=TYPE1)*(TYPE1&lt;&gt;"")+('Dvd Calendar'!$AR$2094=TYPE2)*(TYPE2&lt;&gt;"")+('Dvd Calendar'!$AR$2094=TYPE3)*(TYPE3&lt;&gt;"")+('Dvd Calendar'!$AR$2094=TYPE4)*(TYPE4&lt;&gt;"")+('Dvd Calendar'!$AR$2094=SPECIAL_LBL)*(INC_SPECIALS="Y"))=0,"",'Dvd Calendar'!$AR$2092)))</f>
        <v/>
      </c>
      <c r="AQ208" s="110">
        <f>IF(FS208="","",IF(ISNUMBER('Dvd Calendar'!$E$2097)=FALSE,"",'Dvd Calendar'!$E$2097))</f>
        <v/>
      </c>
      <c r="AR208" s="110">
        <f>IF(FT208="","",IF(ISNUMBER('Dvd Calendar'!$F$2097)=FALSE,"",'Dvd Calendar'!$F$2097))</f>
        <v/>
      </c>
      <c r="AS208" s="110">
        <f>IF(FU208="","",IF(ISNUMBER('Dvd Calendar'!$G$2097)=FALSE,"",'Dvd Calendar'!$G$2097))</f>
        <v/>
      </c>
      <c r="AT208" s="110">
        <f>IF(FV208="","",IF(ISNUMBER('Dvd Calendar'!$H$2097)=FALSE,"",'Dvd Calendar'!$H$2097))</f>
        <v/>
      </c>
      <c r="AU208" s="110">
        <f>IF(FW208="","",IF(ISNUMBER('Dvd Calendar'!$I$2097)=FALSE,"",'Dvd Calendar'!$I$2097))</f>
        <v/>
      </c>
      <c r="AV208" s="110">
        <f>IF(FX208="","",IF(ISNUMBER('Dvd Calendar'!$J$2097)=FALSE,"",'Dvd Calendar'!$J$2097))</f>
        <v/>
      </c>
      <c r="AW208" s="110">
        <f>IF(FY208="","",IF(ISNUMBER('Dvd Calendar'!$K$2097)=FALSE,"",'Dvd Calendar'!$K$2097))</f>
        <v/>
      </c>
      <c r="AX208" s="110">
        <f>IF(FZ208="","",IF(ISNUMBER('Dvd Calendar'!$L$2097)=FALSE,"",'Dvd Calendar'!$L$2097))</f>
        <v/>
      </c>
      <c r="AY208" s="110">
        <f>IF(GA208="","",IF(ISNUMBER('Dvd Calendar'!$M$2097)=FALSE,"",'Dvd Calendar'!$M$2097))</f>
        <v/>
      </c>
      <c r="AZ208" s="110">
        <f>IF(GB208="","",IF(ISNUMBER('Dvd Calendar'!$N$2097)=FALSE,"",'Dvd Calendar'!$N$2097))</f>
        <v/>
      </c>
      <c r="BA208" s="110">
        <f>IF(GC208="","",IF(ISNUMBER('Dvd Calendar'!$O$2097)=FALSE,"",'Dvd Calendar'!$O$2097))</f>
        <v/>
      </c>
      <c r="BB208" s="110">
        <f>IF(GD208="","",IF(ISNUMBER('Dvd Calendar'!$P$2097)=FALSE,"",'Dvd Calendar'!$P$2097))</f>
        <v/>
      </c>
      <c r="BC208" s="110">
        <f>IF(GE208="","",IF(ISNUMBER('Dvd Calendar'!$Q$2097)=FALSE,"",'Dvd Calendar'!$Q$2097))</f>
        <v/>
      </c>
      <c r="BD208" s="110">
        <f>IF(GF208="","",IF(ISNUMBER('Dvd Calendar'!$R$2097)=FALSE,"",'Dvd Calendar'!$R$2097))</f>
        <v/>
      </c>
      <c r="BE208" s="110">
        <f>IF(GG208="","",IF(ISNUMBER('Dvd Calendar'!$S$2097)=FALSE,"",'Dvd Calendar'!$S$2097))</f>
        <v/>
      </c>
      <c r="BF208" s="110">
        <f>IF(GH208="","",IF(ISNUMBER('Dvd Calendar'!$T$2097)=FALSE,"",'Dvd Calendar'!$T$2097))</f>
        <v/>
      </c>
      <c r="BG208" s="110">
        <f>IF(GI208="","",IF(ISNUMBER('Dvd Calendar'!$U$2097)=FALSE,"",'Dvd Calendar'!$U$2097))</f>
        <v/>
      </c>
      <c r="BH208" s="110">
        <f>IF(GJ208="","",IF(ISNUMBER('Dvd Calendar'!$V$2097)=FALSE,"",'Dvd Calendar'!$V$2097))</f>
        <v/>
      </c>
      <c r="BI208" s="110">
        <f>IF(GK208="","",IF(ISNUMBER('Dvd Calendar'!$W$2097)=FALSE,"",'Dvd Calendar'!$W$2097))</f>
        <v/>
      </c>
      <c r="BJ208" s="110">
        <f>IF(GL208="","",IF(ISNUMBER('Dvd Calendar'!$X$2097)=FALSE,"",'Dvd Calendar'!$X$2097))</f>
        <v/>
      </c>
      <c r="BK208" s="110">
        <f>IF(GM208="","",IF(ISNUMBER('Dvd Calendar'!$Y$2097)=FALSE,"",'Dvd Calendar'!$Y$2097))</f>
        <v/>
      </c>
      <c r="BL208" s="110">
        <f>IF(GN208="","",IF(ISNUMBER('Dvd Calendar'!$Z$2097)=FALSE,"",'Dvd Calendar'!$Z$2097))</f>
        <v/>
      </c>
      <c r="BM208" s="110">
        <f>IF(GO208="","",IF(ISNUMBER('Dvd Calendar'!$AA$2097)=FALSE,"",'Dvd Calendar'!$AA$2097))</f>
        <v/>
      </c>
      <c r="BN208" s="110">
        <f>IF(GP208="","",IF(ISNUMBER('Dvd Calendar'!$AB$2097)=FALSE,"",'Dvd Calendar'!$AB$2097))</f>
        <v/>
      </c>
      <c r="BO208" s="110">
        <f>IF(GQ208="","",IF(ISNUMBER('Dvd Calendar'!$AC$2097)=FALSE,"",'Dvd Calendar'!$AC$2097))</f>
        <v/>
      </c>
      <c r="BQ208" s="110">
        <f>IF(C208="","",IFERROR(C208*HSCEI!$B$55*HSCEI!$G$55/HSCEI!$B$3,""))</f>
        <v/>
      </c>
      <c r="BR208" s="110">
        <f>IF(D208="","",IFERROR(D208*HSCEI!$B$55*HSCEI!$G$55/HSCEI!$B$3,""))</f>
        <v/>
      </c>
      <c r="BS208" s="110">
        <f>IF(E208="","",IFERROR(E208*HSCEI!$B$55*HSCEI!$G$55/HSCEI!$B$3,""))</f>
        <v/>
      </c>
      <c r="BT208" s="110">
        <f>IF(F208="","",IFERROR(F208*HSCEI!$B$55*HSCEI!$G$55/HSCEI!$B$3,""))</f>
        <v/>
      </c>
      <c r="BU208" s="110">
        <f>IF(G208="","",IFERROR(G208*HSCEI!$B$55*HSCEI!$G$55/HSCEI!$B$3,""))</f>
        <v/>
      </c>
      <c r="BV208" s="110">
        <f>IF(H208="","",IFERROR(H208*HSCEI!$B$55*HSCEI!$G$55/HSCEI!$B$3,""))</f>
        <v/>
      </c>
      <c r="BW208" s="110">
        <f>IF(I208="","",IFERROR(I208*HSCEI!$B$55*HSCEI!$G$55/HSCEI!$B$3,""))</f>
        <v/>
      </c>
      <c r="BX208" s="110">
        <f>IF(J208="","",IFERROR(J208*HSCEI!$B$55*HSCEI!$G$55/HSCEI!$B$3,""))</f>
        <v/>
      </c>
      <c r="BY208" s="110">
        <f>IF(K208="","",IFERROR(K208*HSCEI!$B$55*HSCEI!$G$55/HSCEI!$B$3,""))</f>
        <v/>
      </c>
      <c r="BZ208" s="110">
        <f>IF(L208="","",IFERROR(L208*HSCEI!$B$55*HSCEI!$G$55/HSCEI!$B$3,""))</f>
        <v/>
      </c>
      <c r="CA208" s="110">
        <f>IF(M208="","",IFERROR(M208*HSCEI!$B$55*HSCEI!$G$55/HSCEI!$B$3,""))</f>
        <v/>
      </c>
      <c r="CB208" s="110">
        <f>IF(N208="","",IFERROR(N208*HSCEI!$B$55*HSCEI!$G$55/HSCEI!$B$3,""))</f>
        <v/>
      </c>
      <c r="CC208" s="110">
        <f>IF(O208="","",IFERROR(O208*HSCEI!$B$55*HSCEI!$G$55/HSCEI!$B$3,""))</f>
        <v/>
      </c>
      <c r="CD208" s="110">
        <f>IF(P208="","",IFERROR(P208*HSCEI!$B$55*HSCEI!$G$55/HSCEI!$B$3,""))</f>
        <v/>
      </c>
      <c r="CE208" s="110">
        <f>IF(Q208="","",IFERROR(Q208*HSCEI!$B$55*HSCEI!$G$55/HSCEI!$B$3,""))</f>
        <v/>
      </c>
      <c r="CF208" s="110">
        <f>IF(R208="","",IFERROR(R208*HSCEI!$B$55*HSCEI!$G$55/HSCEI!$B$3,""))</f>
        <v/>
      </c>
      <c r="CG208" s="110">
        <f>IF(S208="","",IFERROR(S208*HSCEI!$B$55*HSCEI!$G$55/HSCEI!$B$3,""))</f>
        <v/>
      </c>
      <c r="CH208" s="110">
        <f>IF(T208="","",IFERROR(T208*HSCEI!$B$55*HSCEI!$G$55/HSCEI!$B$3,""))</f>
        <v/>
      </c>
      <c r="CI208" s="110">
        <f>IF(U208="","",IFERROR(U208*HSCEI!$B$55*HSCEI!$G$55/HSCEI!$B$3,""))</f>
        <v/>
      </c>
      <c r="CJ208" s="110">
        <f>IF(V208="","",IFERROR(V208*HSCEI!$B$55*HSCEI!$G$55/HSCEI!$B$3,""))</f>
        <v/>
      </c>
      <c r="CK208" s="110">
        <f>IF(W208="","",IFERROR(W208*HSCEI!$B$55*HSCEI!$G$55/HSCEI!$B$3,""))</f>
        <v/>
      </c>
      <c r="CL208" s="110">
        <f>IF(X208="","",IFERROR(X208*HSCEI!$B$55*HSCEI!$G$55/HSCEI!$B$3,""))</f>
        <v/>
      </c>
      <c r="CM208" s="110">
        <f>IF(Y208="","",IFERROR(Y208*HSCEI!$B$55*HSCEI!$G$55/HSCEI!$B$3,""))</f>
        <v/>
      </c>
      <c r="CN208" s="110">
        <f>IF(Z208="","",IFERROR(Z208*HSCEI!$B$55*HSCEI!$G$55/HSCEI!$B$3,""))</f>
        <v/>
      </c>
      <c r="CO208" s="110">
        <f>IF(AA208="","",IFERROR(AA208*HSCEI!$B$55*HSCEI!$G$55/HSCEI!$B$3,""))</f>
        <v/>
      </c>
      <c r="CP208" s="110">
        <f>IF(AB208="","",IFERROR(AB208*HSCEI!$B$55*HSCEI!$G$55/HSCEI!$B$3,""))</f>
        <v/>
      </c>
      <c r="CQ208" s="110">
        <f>IF(AC208="","",IFERROR(AC208*HSCEI!$B$55*HSCEI!$G$55/HSCEI!$B$3,""))</f>
        <v/>
      </c>
      <c r="CR208" s="110">
        <f>IF(AD208="","",IFERROR(AD208*HSCEI!$B$55*HSCEI!$G$55/HSCEI!$B$3,""))</f>
        <v/>
      </c>
      <c r="CS208" s="110">
        <f>IF(AE208="","",IFERROR(AE208*HSCEI!$B$55*HSCEI!$G$55/HSCEI!$B$3,""))</f>
        <v/>
      </c>
      <c r="CT208" s="110">
        <f>IF(AF208="","",IFERROR(AF208*HSCEI!$B$55*HSCEI!$G$55/HSCEI!$B$3,""))</f>
        <v/>
      </c>
      <c r="CU208" s="110">
        <f>IF(AG208="","",IFERROR(AG208*HSCEI!$B$55*HSCEI!$G$55/HSCEI!$B$3,""))</f>
        <v/>
      </c>
      <c r="CV208" s="110">
        <f>IF(AH208="","",IFERROR(AH208*HSCEI!$B$55*HSCEI!$G$55/HSCEI!$B$3,""))</f>
        <v/>
      </c>
      <c r="CW208" s="110">
        <f>IF(AI208="","",IFERROR(AI208*HSCEI!$B$55*HSCEI!$G$55/HSCEI!$B$3,""))</f>
        <v/>
      </c>
      <c r="CX208" s="110">
        <f>IF(AJ208="","",IFERROR(AJ208*HSCEI!$B$55*HSCEI!$G$55/HSCEI!$B$3,""))</f>
        <v/>
      </c>
      <c r="CY208" s="110">
        <f>IF(AK208="","",IFERROR(AK208*HSCEI!$B$55*HSCEI!$G$55/HSCEI!$B$3,""))</f>
        <v/>
      </c>
      <c r="CZ208" s="110">
        <f>IF(AL208="","",IFERROR(AL208*HSCEI!$B$55*HSCEI!$G$55/HSCEI!$B$3,""))</f>
        <v/>
      </c>
      <c r="DA208" s="110">
        <f>IF(AM208="","",IFERROR(AM208*HSCEI!$B$55*HSCEI!$G$55/HSCEI!$B$3,""))</f>
        <v/>
      </c>
      <c r="DB208" s="110">
        <f>IF(AN208="","",IFERROR(AN208*HSCEI!$B$55*HSCEI!$G$55/HSCEI!$B$3,""))</f>
        <v/>
      </c>
      <c r="DC208" s="110">
        <f>IF(AO208="","",IFERROR(AO208*HSCEI!$B$55*HSCEI!$G$55/HSCEI!$B$3,""))</f>
        <v/>
      </c>
      <c r="DD208" s="110">
        <f>IF(AP208="","",IFERROR(AP208*HSCEI!$B$55*HSCEI!$G$55/HSCEI!$B$3,""))</f>
        <v/>
      </c>
      <c r="DE208" s="110">
        <f>IF(AQ208="","",IFERROR(AQ208*HSCEI!$B$55*HSCEI!$G$55/HSCEI!$B$3,""))</f>
        <v/>
      </c>
      <c r="DF208" s="110">
        <f>IF(AR208="","",IFERROR(AR208*HSCEI!$B$55*HSCEI!$G$55/HSCEI!$B$3,""))</f>
        <v/>
      </c>
      <c r="DG208" s="110">
        <f>IF(AS208="","",IFERROR(AS208*HSCEI!$B$55*HSCEI!$G$55/HSCEI!$B$3,""))</f>
        <v/>
      </c>
      <c r="DH208" s="110">
        <f>IF(AT208="","",IFERROR(AT208*HSCEI!$B$55*HSCEI!$G$55/HSCEI!$B$3,""))</f>
        <v/>
      </c>
      <c r="DI208" s="110">
        <f>IF(AU208="","",IFERROR(AU208*HSCEI!$B$55*HSCEI!$G$55/HSCEI!$B$3,""))</f>
        <v/>
      </c>
      <c r="DJ208" s="110">
        <f>IF(AV208="","",IFERROR(AV208*HSCEI!$B$55*HSCEI!$G$55/HSCEI!$B$3,""))</f>
        <v/>
      </c>
      <c r="DK208" s="110">
        <f>IF(AW208="","",IFERROR(AW208*HSCEI!$B$55*HSCEI!$G$55/HSCEI!$B$3,""))</f>
        <v/>
      </c>
      <c r="DL208" s="110">
        <f>IF(AX208="","",IFERROR(AX208*HSCEI!$B$55*HSCEI!$G$55/HSCEI!$B$3,""))</f>
        <v/>
      </c>
      <c r="DM208" s="110">
        <f>IF(AY208="","",IFERROR(AY208*HSCEI!$B$55*HSCEI!$G$55/HSCEI!$B$3,""))</f>
        <v/>
      </c>
      <c r="DN208" s="110">
        <f>IF(AZ208="","",IFERROR(AZ208*HSCEI!$B$55*HSCEI!$G$55/HSCEI!$B$3,""))</f>
        <v/>
      </c>
      <c r="DO208" s="110">
        <f>IF(BA208="","",IFERROR(BA208*HSCEI!$B$55*HSCEI!$G$55/HSCEI!$B$3,""))</f>
        <v/>
      </c>
      <c r="DP208" s="110">
        <f>IF(BB208="","",IFERROR(BB208*HSCEI!$B$55*HSCEI!$G$55/HSCEI!$B$3,""))</f>
        <v/>
      </c>
      <c r="DQ208" s="110">
        <f>IF(BC208="","",IFERROR(BC208*HSCEI!$B$55*HSCEI!$G$55/HSCEI!$B$3,""))</f>
        <v/>
      </c>
      <c r="DR208" s="110">
        <f>IF(BD208="","",IFERROR(BD208*HSCEI!$B$55*HSCEI!$G$55/HSCEI!$B$3,""))</f>
        <v/>
      </c>
      <c r="DS208" s="110">
        <f>IF(BE208="","",IFERROR(BE208*HSCEI!$B$55*HSCEI!$G$55/HSCEI!$B$3,""))</f>
        <v/>
      </c>
      <c r="DT208" s="110">
        <f>IF(BF208="","",IFERROR(BF208*HSCEI!$B$55*HSCEI!$G$55/HSCEI!$B$3,""))</f>
        <v/>
      </c>
      <c r="DU208" s="110">
        <f>IF(BG208="","",IFERROR(BG208*HSCEI!$B$55*HSCEI!$G$55/HSCEI!$B$3,""))</f>
        <v/>
      </c>
      <c r="DV208" s="110">
        <f>IF(BH208="","",IFERROR(BH208*HSCEI!$B$55*HSCEI!$G$55/HSCEI!$B$3,""))</f>
        <v/>
      </c>
      <c r="DW208" s="110">
        <f>IF(BI208="","",IFERROR(BI208*HSCEI!$B$55*HSCEI!$G$55/HSCEI!$B$3,""))</f>
        <v/>
      </c>
      <c r="DX208" s="110">
        <f>IF(BJ208="","",IFERROR(BJ208*HSCEI!$B$55*HSCEI!$G$55/HSCEI!$B$3,""))</f>
        <v/>
      </c>
      <c r="DY208" s="110">
        <f>IF(BK208="","",IFERROR(BK208*HSCEI!$B$55*HSCEI!$G$55/HSCEI!$B$3,""))</f>
        <v/>
      </c>
      <c r="DZ208" s="110">
        <f>IF(BL208="","",IFERROR(BL208*HSCEI!$B$55*HSCEI!$G$55/HSCEI!$B$3,""))</f>
        <v/>
      </c>
      <c r="EA208" s="110">
        <f>IF(BM208="","",IFERROR(BM208*HSCEI!$B$55*HSCEI!$G$55/HSCEI!$B$3,""))</f>
        <v/>
      </c>
      <c r="EB208" s="110">
        <f>IF(BN208="","",IFERROR(BN208*HSCEI!$B$55*HSCEI!$G$55/HSCEI!$B$3,""))</f>
        <v/>
      </c>
      <c r="EC208" s="110">
        <f>IF(BO208="","",IFERROR(BO208*HSCEI!$B$55*HSCEI!$G$55/HSCEI!$B$3,""))</f>
        <v/>
      </c>
      <c r="EE208" s="39">
        <f>IF(N('Dvd Calendar'!$E$2089)=0,"",IF(('Dvd Calendar'!$E$2089&gt;=GRID_FROM)*('Dvd Calendar'!$E$2089&lt;=GRID_TO)*((('Dvd Calendar'!$E$2089&lt;=VAL_DATE)+(COUNTIF('Dvd Calendar'!$E$2096:$AR$2096,'Dvd Calendar'!$E$2089)=0))&gt;0)=0,"",'Dvd Calendar'!$E$2089*1000000000+ISNUMBER('Dvd Calendar'!$E$2092)*100000000+('Dvd Calendar'!$E$2094=SPECIAL_LBL)*10000000+(N('Dvd Calendar'!$E$2088)&gt;0)*(N('Dvd Calendar'!$E$2088)&lt;=VAL_SERIAL)*1000000+49*1000+1))</f>
        <v/>
      </c>
      <c r="EF208" s="39">
        <f>IF(N('Dvd Calendar'!$F$2089)=0,"",IF(('Dvd Calendar'!$F$2089&gt;=GRID_FROM)*('Dvd Calendar'!$F$2089&lt;=GRID_TO)*((('Dvd Calendar'!$F$2089&lt;=VAL_DATE)+(COUNTIF('Dvd Calendar'!$E$2096:$AR$2096,'Dvd Calendar'!$F$2089)=0))&gt;0)=0,"",'Dvd Calendar'!$F$2089*1000000000+ISNUMBER('Dvd Calendar'!$F$2092)*100000000+('Dvd Calendar'!$F$2094=SPECIAL_LBL)*10000000+(N('Dvd Calendar'!$F$2088)&gt;0)*(N('Dvd Calendar'!$F$2088)&lt;=VAL_SERIAL)*1000000+49*1000+2))</f>
        <v/>
      </c>
      <c r="EG208" s="39">
        <f>IF(N('Dvd Calendar'!$G$2089)=0,"",IF(('Dvd Calendar'!$G$2089&gt;=GRID_FROM)*('Dvd Calendar'!$G$2089&lt;=GRID_TO)*((('Dvd Calendar'!$G$2089&lt;=VAL_DATE)+(COUNTIF('Dvd Calendar'!$E$2096:$AR$2096,'Dvd Calendar'!$G$2089)=0))&gt;0)=0,"",'Dvd Calendar'!$G$2089*1000000000+ISNUMBER('Dvd Calendar'!$G$2092)*100000000+('Dvd Calendar'!$G$2094=SPECIAL_LBL)*10000000+(N('Dvd Calendar'!$G$2088)&gt;0)*(N('Dvd Calendar'!$G$2088)&lt;=VAL_SERIAL)*1000000+49*1000+3))</f>
        <v/>
      </c>
      <c r="EH208" s="39">
        <f>IF(N('Dvd Calendar'!$H$2089)=0,"",IF(('Dvd Calendar'!$H$2089&gt;=GRID_FROM)*('Dvd Calendar'!$H$2089&lt;=GRID_TO)*((('Dvd Calendar'!$H$2089&lt;=VAL_DATE)+(COUNTIF('Dvd Calendar'!$E$2096:$AR$2096,'Dvd Calendar'!$H$2089)=0))&gt;0)=0,"",'Dvd Calendar'!$H$2089*1000000000+ISNUMBER('Dvd Calendar'!$H$2092)*100000000+('Dvd Calendar'!$H$2094=SPECIAL_LBL)*10000000+(N('Dvd Calendar'!$H$2088)&gt;0)*(N('Dvd Calendar'!$H$2088)&lt;=VAL_SERIAL)*1000000+49*1000+4))</f>
        <v/>
      </c>
      <c r="EI208" s="39">
        <f>IF(N('Dvd Calendar'!$I$2089)=0,"",IF(('Dvd Calendar'!$I$2089&gt;=GRID_FROM)*('Dvd Calendar'!$I$2089&lt;=GRID_TO)*((('Dvd Calendar'!$I$2089&lt;=VAL_DATE)+(COUNTIF('Dvd Calendar'!$E$2096:$AR$2096,'Dvd Calendar'!$I$2089)=0))&gt;0)=0,"",'Dvd Calendar'!$I$2089*1000000000+ISNUMBER('Dvd Calendar'!$I$2092)*100000000+('Dvd Calendar'!$I$2094=SPECIAL_LBL)*10000000+(N('Dvd Calendar'!$I$2088)&gt;0)*(N('Dvd Calendar'!$I$2088)&lt;=VAL_SERIAL)*1000000+49*1000+5))</f>
        <v/>
      </c>
      <c r="EJ208" s="39">
        <f>IF(N('Dvd Calendar'!$J$2089)=0,"",IF(('Dvd Calendar'!$J$2089&gt;=GRID_FROM)*('Dvd Calendar'!$J$2089&lt;=GRID_TO)*((('Dvd Calendar'!$J$2089&lt;=VAL_DATE)+(COUNTIF('Dvd Calendar'!$E$2096:$AR$2096,'Dvd Calendar'!$J$2089)=0))&gt;0)=0,"",'Dvd Calendar'!$J$2089*1000000000+ISNUMBER('Dvd Calendar'!$J$2092)*100000000+('Dvd Calendar'!$J$2094=SPECIAL_LBL)*10000000+(N('Dvd Calendar'!$J$2088)&gt;0)*(N('Dvd Calendar'!$J$2088)&lt;=VAL_SERIAL)*1000000+49*1000+6))</f>
        <v/>
      </c>
      <c r="EK208" s="39">
        <f>IF(N('Dvd Calendar'!$K$2089)=0,"",IF(('Dvd Calendar'!$K$2089&gt;=GRID_FROM)*('Dvd Calendar'!$K$2089&lt;=GRID_TO)*((('Dvd Calendar'!$K$2089&lt;=VAL_DATE)+(COUNTIF('Dvd Calendar'!$E$2096:$AR$2096,'Dvd Calendar'!$K$2089)=0))&gt;0)=0,"",'Dvd Calendar'!$K$2089*1000000000+ISNUMBER('Dvd Calendar'!$K$2092)*100000000+('Dvd Calendar'!$K$2094=SPECIAL_LBL)*10000000+(N('Dvd Calendar'!$K$2088)&gt;0)*(N('Dvd Calendar'!$K$2088)&lt;=VAL_SERIAL)*1000000+49*1000+7))</f>
        <v/>
      </c>
      <c r="EL208" s="39">
        <f>IF(N('Dvd Calendar'!$L$2089)=0,"",IF(('Dvd Calendar'!$L$2089&gt;=GRID_FROM)*('Dvd Calendar'!$L$2089&lt;=GRID_TO)*((('Dvd Calendar'!$L$2089&lt;=VAL_DATE)+(COUNTIF('Dvd Calendar'!$E$2096:$AR$2096,'Dvd Calendar'!$L$2089)=0))&gt;0)=0,"",'Dvd Calendar'!$L$2089*1000000000+ISNUMBER('Dvd Calendar'!$L$2092)*100000000+('Dvd Calendar'!$L$2094=SPECIAL_LBL)*10000000+(N('Dvd Calendar'!$L$2088)&gt;0)*(N('Dvd Calendar'!$L$2088)&lt;=VAL_SERIAL)*1000000+49*1000+8))</f>
        <v/>
      </c>
      <c r="EM208" s="39">
        <f>IF(N('Dvd Calendar'!$M$2089)=0,"",IF(('Dvd Calendar'!$M$2089&gt;=GRID_FROM)*('Dvd Calendar'!$M$2089&lt;=GRID_TO)*((('Dvd Calendar'!$M$2089&lt;=VAL_DATE)+(COUNTIF('Dvd Calendar'!$E$2096:$AR$2096,'Dvd Calendar'!$M$2089)=0))&gt;0)=0,"",'Dvd Calendar'!$M$2089*1000000000+ISNUMBER('Dvd Calendar'!$M$2092)*100000000+('Dvd Calendar'!$M$2094=SPECIAL_LBL)*10000000+(N('Dvd Calendar'!$M$2088)&gt;0)*(N('Dvd Calendar'!$M$2088)&lt;=VAL_SERIAL)*1000000+49*1000+9))</f>
        <v/>
      </c>
      <c r="EN208" s="39">
        <f>IF(N('Dvd Calendar'!$N$2089)=0,"",IF(('Dvd Calendar'!$N$2089&gt;=GRID_FROM)*('Dvd Calendar'!$N$2089&lt;=GRID_TO)*((('Dvd Calendar'!$N$2089&lt;=VAL_DATE)+(COUNTIF('Dvd Calendar'!$E$2096:$AR$2096,'Dvd Calendar'!$N$2089)=0))&gt;0)=0,"",'Dvd Calendar'!$N$2089*1000000000+ISNUMBER('Dvd Calendar'!$N$2092)*100000000+('Dvd Calendar'!$N$2094=SPECIAL_LBL)*10000000+(N('Dvd Calendar'!$N$2088)&gt;0)*(N('Dvd Calendar'!$N$2088)&lt;=VAL_SERIAL)*1000000+49*1000+10))</f>
        <v/>
      </c>
      <c r="EO208" s="39">
        <f>IF(N('Dvd Calendar'!$O$2089)=0,"",IF(('Dvd Calendar'!$O$2089&gt;=GRID_FROM)*('Dvd Calendar'!$O$2089&lt;=GRID_TO)*((('Dvd Calendar'!$O$2089&lt;=VAL_DATE)+(COUNTIF('Dvd Calendar'!$E$2096:$AR$2096,'Dvd Calendar'!$O$2089)=0))&gt;0)=0,"",'Dvd Calendar'!$O$2089*1000000000+ISNUMBER('Dvd Calendar'!$O$2092)*100000000+('Dvd Calendar'!$O$2094=SPECIAL_LBL)*10000000+(N('Dvd Calendar'!$O$2088)&gt;0)*(N('Dvd Calendar'!$O$2088)&lt;=VAL_SERIAL)*1000000+49*1000+11))</f>
        <v/>
      </c>
      <c r="EP208" s="39">
        <f>IF(N('Dvd Calendar'!$P$2089)=0,"",IF(('Dvd Calendar'!$P$2089&gt;=GRID_FROM)*('Dvd Calendar'!$P$2089&lt;=GRID_TO)*((('Dvd Calendar'!$P$2089&lt;=VAL_DATE)+(COUNTIF('Dvd Calendar'!$E$2096:$AR$2096,'Dvd Calendar'!$P$2089)=0))&gt;0)=0,"",'Dvd Calendar'!$P$2089*1000000000+ISNUMBER('Dvd Calendar'!$P$2092)*100000000+('Dvd Calendar'!$P$2094=SPECIAL_LBL)*10000000+(N('Dvd Calendar'!$P$2088)&gt;0)*(N('Dvd Calendar'!$P$2088)&lt;=VAL_SERIAL)*1000000+49*1000+12))</f>
        <v/>
      </c>
      <c r="EQ208" s="39">
        <f>IF(N('Dvd Calendar'!$Q$2089)=0,"",IF(('Dvd Calendar'!$Q$2089&gt;=GRID_FROM)*('Dvd Calendar'!$Q$2089&lt;=GRID_TO)*((('Dvd Calendar'!$Q$2089&lt;=VAL_DATE)+(COUNTIF('Dvd Calendar'!$E$2096:$AR$2096,'Dvd Calendar'!$Q$2089)=0))&gt;0)=0,"",'Dvd Calendar'!$Q$2089*1000000000+ISNUMBER('Dvd Calendar'!$Q$2092)*100000000+('Dvd Calendar'!$Q$2094=SPECIAL_LBL)*10000000+(N('Dvd Calendar'!$Q$2088)&gt;0)*(N('Dvd Calendar'!$Q$2088)&lt;=VAL_SERIAL)*1000000+49*1000+13))</f>
        <v/>
      </c>
      <c r="ER208" s="39">
        <f>IF(N('Dvd Calendar'!$R$2089)=0,"",IF(('Dvd Calendar'!$R$2089&gt;=GRID_FROM)*('Dvd Calendar'!$R$2089&lt;=GRID_TO)*((('Dvd Calendar'!$R$2089&lt;=VAL_DATE)+(COUNTIF('Dvd Calendar'!$E$2096:$AR$2096,'Dvd Calendar'!$R$2089)=0))&gt;0)=0,"",'Dvd Calendar'!$R$2089*1000000000+ISNUMBER('Dvd Calendar'!$R$2092)*100000000+('Dvd Calendar'!$R$2094=SPECIAL_LBL)*10000000+(N('Dvd Calendar'!$R$2088)&gt;0)*(N('Dvd Calendar'!$R$2088)&lt;=VAL_SERIAL)*1000000+49*1000+14))</f>
        <v/>
      </c>
      <c r="ES208" s="39">
        <f>IF(N('Dvd Calendar'!$S$2089)=0,"",IF(('Dvd Calendar'!$S$2089&gt;=GRID_FROM)*('Dvd Calendar'!$S$2089&lt;=GRID_TO)*((('Dvd Calendar'!$S$2089&lt;=VAL_DATE)+(COUNTIF('Dvd Calendar'!$E$2096:$AR$2096,'Dvd Calendar'!$S$2089)=0))&gt;0)=0,"",'Dvd Calendar'!$S$2089*1000000000+ISNUMBER('Dvd Calendar'!$S$2092)*100000000+('Dvd Calendar'!$S$2094=SPECIAL_LBL)*10000000+(N('Dvd Calendar'!$S$2088)&gt;0)*(N('Dvd Calendar'!$S$2088)&lt;=VAL_SERIAL)*1000000+49*1000+15))</f>
        <v/>
      </c>
      <c r="ET208" s="39">
        <f>IF(N('Dvd Calendar'!$T$2089)=0,"",IF(('Dvd Calendar'!$T$2089&gt;=GRID_FROM)*('Dvd Calendar'!$T$2089&lt;=GRID_TO)*((('Dvd Calendar'!$T$2089&lt;=VAL_DATE)+(COUNTIF('Dvd Calendar'!$E$2096:$AR$2096,'Dvd Calendar'!$T$2089)=0))&gt;0)=0,"",'Dvd Calendar'!$T$2089*1000000000+ISNUMBER('Dvd Calendar'!$T$2092)*100000000+('Dvd Calendar'!$T$2094=SPECIAL_LBL)*10000000+(N('Dvd Calendar'!$T$2088)&gt;0)*(N('Dvd Calendar'!$T$2088)&lt;=VAL_SERIAL)*1000000+49*1000+16))</f>
        <v/>
      </c>
      <c r="EU208" s="39">
        <f>IF(N('Dvd Calendar'!$U$2089)=0,"",IF(('Dvd Calendar'!$U$2089&gt;=GRID_FROM)*('Dvd Calendar'!$U$2089&lt;=GRID_TO)*((('Dvd Calendar'!$U$2089&lt;=VAL_DATE)+(COUNTIF('Dvd Calendar'!$E$2096:$AR$2096,'Dvd Calendar'!$U$2089)=0))&gt;0)=0,"",'Dvd Calendar'!$U$2089*1000000000+ISNUMBER('Dvd Calendar'!$U$2092)*100000000+('Dvd Calendar'!$U$2094=SPECIAL_LBL)*10000000+(N('Dvd Calendar'!$U$2088)&gt;0)*(N('Dvd Calendar'!$U$2088)&lt;=VAL_SERIAL)*1000000+49*1000+17))</f>
        <v/>
      </c>
      <c r="EV208" s="39">
        <f>IF(N('Dvd Calendar'!$V$2089)=0,"",IF(('Dvd Calendar'!$V$2089&gt;=GRID_FROM)*('Dvd Calendar'!$V$2089&lt;=GRID_TO)*((('Dvd Calendar'!$V$2089&lt;=VAL_DATE)+(COUNTIF('Dvd Calendar'!$E$2096:$AR$2096,'Dvd Calendar'!$V$2089)=0))&gt;0)=0,"",'Dvd Calendar'!$V$2089*1000000000+ISNUMBER('Dvd Calendar'!$V$2092)*100000000+('Dvd Calendar'!$V$2094=SPECIAL_LBL)*10000000+(N('Dvd Calendar'!$V$2088)&gt;0)*(N('Dvd Calendar'!$V$2088)&lt;=VAL_SERIAL)*1000000+49*1000+18))</f>
        <v/>
      </c>
      <c r="EW208" s="39">
        <f>IF(N('Dvd Calendar'!$W$2089)=0,"",IF(('Dvd Calendar'!$W$2089&gt;=GRID_FROM)*('Dvd Calendar'!$W$2089&lt;=GRID_TO)*((('Dvd Calendar'!$W$2089&lt;=VAL_DATE)+(COUNTIF('Dvd Calendar'!$E$2096:$AR$2096,'Dvd Calendar'!$W$2089)=0))&gt;0)=0,"",'Dvd Calendar'!$W$2089*1000000000+ISNUMBER('Dvd Calendar'!$W$2092)*100000000+('Dvd Calendar'!$W$2094=SPECIAL_LBL)*10000000+(N('Dvd Calendar'!$W$2088)&gt;0)*(N('Dvd Calendar'!$W$2088)&lt;=VAL_SERIAL)*1000000+49*1000+19))</f>
        <v/>
      </c>
      <c r="EX208" s="39">
        <f>IF(N('Dvd Calendar'!$X$2089)=0,"",IF(('Dvd Calendar'!$X$2089&gt;=GRID_FROM)*('Dvd Calendar'!$X$2089&lt;=GRID_TO)*((('Dvd Calendar'!$X$2089&lt;=VAL_DATE)+(COUNTIF('Dvd Calendar'!$E$2096:$AR$2096,'Dvd Calendar'!$X$2089)=0))&gt;0)=0,"",'Dvd Calendar'!$X$2089*1000000000+ISNUMBER('Dvd Calendar'!$X$2092)*100000000+('Dvd Calendar'!$X$2094=SPECIAL_LBL)*10000000+(N('Dvd Calendar'!$X$2088)&gt;0)*(N('Dvd Calendar'!$X$2088)&lt;=VAL_SERIAL)*1000000+49*1000+20))</f>
        <v/>
      </c>
      <c r="EY208" s="39">
        <f>IF(N('Dvd Calendar'!$Y$2089)=0,"",IF(('Dvd Calendar'!$Y$2089&gt;=GRID_FROM)*('Dvd Calendar'!$Y$2089&lt;=GRID_TO)*((('Dvd Calendar'!$Y$2089&lt;=VAL_DATE)+(COUNTIF('Dvd Calendar'!$E$2096:$AR$2096,'Dvd Calendar'!$Y$2089)=0))&gt;0)=0,"",'Dvd Calendar'!$Y$2089*1000000000+ISNUMBER('Dvd Calendar'!$Y$2092)*100000000+('Dvd Calendar'!$Y$2094=SPECIAL_LBL)*10000000+(N('Dvd Calendar'!$Y$2088)&gt;0)*(N('Dvd Calendar'!$Y$2088)&lt;=VAL_SERIAL)*1000000+49*1000+21))</f>
        <v/>
      </c>
      <c r="EZ208" s="39">
        <f>IF(N('Dvd Calendar'!$Z$2089)=0,"",IF(('Dvd Calendar'!$Z$2089&gt;=GRID_FROM)*('Dvd Calendar'!$Z$2089&lt;=GRID_TO)*((('Dvd Calendar'!$Z$2089&lt;=VAL_DATE)+(COUNTIF('Dvd Calendar'!$E$2096:$AR$2096,'Dvd Calendar'!$Z$2089)=0))&gt;0)=0,"",'Dvd Calendar'!$Z$2089*1000000000+ISNUMBER('Dvd Calendar'!$Z$2092)*100000000+('Dvd Calendar'!$Z$2094=SPECIAL_LBL)*10000000+(N('Dvd Calendar'!$Z$2088)&gt;0)*(N('Dvd Calendar'!$Z$2088)&lt;=VAL_SERIAL)*1000000+49*1000+22))</f>
        <v/>
      </c>
      <c r="FA208" s="39">
        <f>IF(N('Dvd Calendar'!$AA$2089)=0,"",IF(('Dvd Calendar'!$AA$2089&gt;=GRID_FROM)*('Dvd Calendar'!$AA$2089&lt;=GRID_TO)*((('Dvd Calendar'!$AA$2089&lt;=VAL_DATE)+(COUNTIF('Dvd Calendar'!$E$2096:$AR$2096,'Dvd Calendar'!$AA$2089)=0))&gt;0)=0,"",'Dvd Calendar'!$AA$2089*1000000000+ISNUMBER('Dvd Calendar'!$AA$2092)*100000000+('Dvd Calendar'!$AA$2094=SPECIAL_LBL)*10000000+(N('Dvd Calendar'!$AA$2088)&gt;0)*(N('Dvd Calendar'!$AA$2088)&lt;=VAL_SERIAL)*1000000+49*1000+23))</f>
        <v/>
      </c>
      <c r="FB208" s="39">
        <f>IF(N('Dvd Calendar'!$AB$2089)=0,"",IF(('Dvd Calendar'!$AB$2089&gt;=GRID_FROM)*('Dvd Calendar'!$AB$2089&lt;=GRID_TO)*((('Dvd Calendar'!$AB$2089&lt;=VAL_DATE)+(COUNTIF('Dvd Calendar'!$E$2096:$AR$2096,'Dvd Calendar'!$AB$2089)=0))&gt;0)=0,"",'Dvd Calendar'!$AB$2089*1000000000+ISNUMBER('Dvd Calendar'!$AB$2092)*100000000+('Dvd Calendar'!$AB$2094=SPECIAL_LBL)*10000000+(N('Dvd Calendar'!$AB$2088)&gt;0)*(N('Dvd Calendar'!$AB$2088)&lt;=VAL_SERIAL)*1000000+49*1000+24))</f>
        <v/>
      </c>
      <c r="FC208" s="39">
        <f>IF(N('Dvd Calendar'!$AC$2089)=0,"",IF(('Dvd Calendar'!$AC$2089&gt;=GRID_FROM)*('Dvd Calendar'!$AC$2089&lt;=GRID_TO)*((('Dvd Calendar'!$AC$2089&lt;=VAL_DATE)+(COUNTIF('Dvd Calendar'!$E$2096:$AR$2096,'Dvd Calendar'!$AC$2089)=0))&gt;0)=0,"",'Dvd Calendar'!$AC$2089*1000000000+ISNUMBER('Dvd Calendar'!$AC$2092)*100000000+('Dvd Calendar'!$AC$2094=SPECIAL_LBL)*10000000+(N('Dvd Calendar'!$AC$2088)&gt;0)*(N('Dvd Calendar'!$AC$2088)&lt;=VAL_SERIAL)*1000000+49*1000+25))</f>
        <v/>
      </c>
      <c r="FD208" s="39">
        <f>IF(N('Dvd Calendar'!$AD$2089)=0,"",IF(('Dvd Calendar'!$AD$2089&gt;=GRID_FROM)*('Dvd Calendar'!$AD$2089&lt;=GRID_TO)*((('Dvd Calendar'!$AD$2089&lt;=VAL_DATE)+(COUNTIF('Dvd Calendar'!$E$2096:$AR$2096,'Dvd Calendar'!$AD$2089)=0))&gt;0)=0,"",'Dvd Calendar'!$AD$2089*1000000000+ISNUMBER('Dvd Calendar'!$AD$2092)*100000000+('Dvd Calendar'!$AD$2094=SPECIAL_LBL)*10000000+(N('Dvd Calendar'!$AD$2088)&gt;0)*(N('Dvd Calendar'!$AD$2088)&lt;=VAL_SERIAL)*1000000+49*1000+26))</f>
        <v/>
      </c>
      <c r="FE208" s="39">
        <f>IF(N('Dvd Calendar'!$AE$2089)=0,"",IF(('Dvd Calendar'!$AE$2089&gt;=GRID_FROM)*('Dvd Calendar'!$AE$2089&lt;=GRID_TO)*((('Dvd Calendar'!$AE$2089&lt;=VAL_DATE)+(COUNTIF('Dvd Calendar'!$E$2096:$AR$2096,'Dvd Calendar'!$AE$2089)=0))&gt;0)=0,"",'Dvd Calendar'!$AE$2089*1000000000+ISNUMBER('Dvd Calendar'!$AE$2092)*100000000+('Dvd Calendar'!$AE$2094=SPECIAL_LBL)*10000000+(N('Dvd Calendar'!$AE$2088)&gt;0)*(N('Dvd Calendar'!$AE$2088)&lt;=VAL_SERIAL)*1000000+49*1000+27))</f>
        <v/>
      </c>
      <c r="FF208" s="39">
        <f>IF(N('Dvd Calendar'!$AF$2089)=0,"",IF(('Dvd Calendar'!$AF$2089&gt;=GRID_FROM)*('Dvd Calendar'!$AF$2089&lt;=GRID_TO)*((('Dvd Calendar'!$AF$2089&lt;=VAL_DATE)+(COUNTIF('Dvd Calendar'!$E$2096:$AR$2096,'Dvd Calendar'!$AF$2089)=0))&gt;0)=0,"",'Dvd Calendar'!$AF$2089*1000000000+ISNUMBER('Dvd Calendar'!$AF$2092)*100000000+('Dvd Calendar'!$AF$2094=SPECIAL_LBL)*10000000+(N('Dvd Calendar'!$AF$2088)&gt;0)*(N('Dvd Calendar'!$AF$2088)&lt;=VAL_SERIAL)*1000000+49*1000+28))</f>
        <v/>
      </c>
      <c r="FG208" s="39">
        <f>IF(N('Dvd Calendar'!$AG$2089)=0,"",IF(('Dvd Calendar'!$AG$2089&gt;=GRID_FROM)*('Dvd Calendar'!$AG$2089&lt;=GRID_TO)*((('Dvd Calendar'!$AG$2089&lt;=VAL_DATE)+(COUNTIF('Dvd Calendar'!$E$2096:$AR$2096,'Dvd Calendar'!$AG$2089)=0))&gt;0)=0,"",'Dvd Calendar'!$AG$2089*1000000000+ISNUMBER('Dvd Calendar'!$AG$2092)*100000000+('Dvd Calendar'!$AG$2094=SPECIAL_LBL)*10000000+(N('Dvd Calendar'!$AG$2088)&gt;0)*(N('Dvd Calendar'!$AG$2088)&lt;=VAL_SERIAL)*1000000+49*1000+29))</f>
        <v/>
      </c>
      <c r="FH208" s="39">
        <f>IF(N('Dvd Calendar'!$AH$2089)=0,"",IF(('Dvd Calendar'!$AH$2089&gt;=GRID_FROM)*('Dvd Calendar'!$AH$2089&lt;=GRID_TO)*((('Dvd Calendar'!$AH$2089&lt;=VAL_DATE)+(COUNTIF('Dvd Calendar'!$E$2096:$AR$2096,'Dvd Calendar'!$AH$2089)=0))&gt;0)=0,"",'Dvd Calendar'!$AH$2089*1000000000+ISNUMBER('Dvd Calendar'!$AH$2092)*100000000+('Dvd Calendar'!$AH$2094=SPECIAL_LBL)*10000000+(N('Dvd Calendar'!$AH$2088)&gt;0)*(N('Dvd Calendar'!$AH$2088)&lt;=VAL_SERIAL)*1000000+49*1000+30))</f>
        <v/>
      </c>
      <c r="FI208" s="39">
        <f>IF(N('Dvd Calendar'!$AI$2089)=0,"",IF(('Dvd Calendar'!$AI$2089&gt;=GRID_FROM)*('Dvd Calendar'!$AI$2089&lt;=GRID_TO)*((('Dvd Calendar'!$AI$2089&lt;=VAL_DATE)+(COUNTIF('Dvd Calendar'!$E$2096:$AR$2096,'Dvd Calendar'!$AI$2089)=0))&gt;0)=0,"",'Dvd Calendar'!$AI$2089*1000000000+ISNUMBER('Dvd Calendar'!$AI$2092)*100000000+('Dvd Calendar'!$AI$2094=SPECIAL_LBL)*10000000+(N('Dvd Calendar'!$AI$2088)&gt;0)*(N('Dvd Calendar'!$AI$2088)&lt;=VAL_SERIAL)*1000000+49*1000+31))</f>
        <v/>
      </c>
      <c r="FJ208" s="39">
        <f>IF(N('Dvd Calendar'!$AJ$2089)=0,"",IF(('Dvd Calendar'!$AJ$2089&gt;=GRID_FROM)*('Dvd Calendar'!$AJ$2089&lt;=GRID_TO)*((('Dvd Calendar'!$AJ$2089&lt;=VAL_DATE)+(COUNTIF('Dvd Calendar'!$E$2096:$AR$2096,'Dvd Calendar'!$AJ$2089)=0))&gt;0)=0,"",'Dvd Calendar'!$AJ$2089*1000000000+ISNUMBER('Dvd Calendar'!$AJ$2092)*100000000+('Dvd Calendar'!$AJ$2094=SPECIAL_LBL)*10000000+(N('Dvd Calendar'!$AJ$2088)&gt;0)*(N('Dvd Calendar'!$AJ$2088)&lt;=VAL_SERIAL)*1000000+49*1000+32))</f>
        <v/>
      </c>
      <c r="FK208" s="39">
        <f>IF(N('Dvd Calendar'!$AK$2089)=0,"",IF(('Dvd Calendar'!$AK$2089&gt;=GRID_FROM)*('Dvd Calendar'!$AK$2089&lt;=GRID_TO)*((('Dvd Calendar'!$AK$2089&lt;=VAL_DATE)+(COUNTIF('Dvd Calendar'!$E$2096:$AR$2096,'Dvd Calendar'!$AK$2089)=0))&gt;0)=0,"",'Dvd Calendar'!$AK$2089*1000000000+ISNUMBER('Dvd Calendar'!$AK$2092)*100000000+('Dvd Calendar'!$AK$2094=SPECIAL_LBL)*10000000+(N('Dvd Calendar'!$AK$2088)&gt;0)*(N('Dvd Calendar'!$AK$2088)&lt;=VAL_SERIAL)*1000000+49*1000+33))</f>
        <v/>
      </c>
      <c r="FL208" s="39">
        <f>IF(N('Dvd Calendar'!$AL$2089)=0,"",IF(('Dvd Calendar'!$AL$2089&gt;=GRID_FROM)*('Dvd Calendar'!$AL$2089&lt;=GRID_TO)*((('Dvd Calendar'!$AL$2089&lt;=VAL_DATE)+(COUNTIF('Dvd Calendar'!$E$2096:$AR$2096,'Dvd Calendar'!$AL$2089)=0))&gt;0)=0,"",'Dvd Calendar'!$AL$2089*1000000000+ISNUMBER('Dvd Calendar'!$AL$2092)*100000000+('Dvd Calendar'!$AL$2094=SPECIAL_LBL)*10000000+(N('Dvd Calendar'!$AL$2088)&gt;0)*(N('Dvd Calendar'!$AL$2088)&lt;=VAL_SERIAL)*1000000+49*1000+34))</f>
        <v/>
      </c>
      <c r="FM208" s="39">
        <f>IF(N('Dvd Calendar'!$AM$2089)=0,"",IF(('Dvd Calendar'!$AM$2089&gt;=GRID_FROM)*('Dvd Calendar'!$AM$2089&lt;=GRID_TO)*((('Dvd Calendar'!$AM$2089&lt;=VAL_DATE)+(COUNTIF('Dvd Calendar'!$E$2096:$AR$2096,'Dvd Calendar'!$AM$2089)=0))&gt;0)=0,"",'Dvd Calendar'!$AM$2089*1000000000+ISNUMBER('Dvd Calendar'!$AM$2092)*100000000+('Dvd Calendar'!$AM$2094=SPECIAL_LBL)*10000000+(N('Dvd Calendar'!$AM$2088)&gt;0)*(N('Dvd Calendar'!$AM$2088)&lt;=VAL_SERIAL)*1000000+49*1000+35))</f>
        <v/>
      </c>
      <c r="FN208" s="39">
        <f>IF(N('Dvd Calendar'!$AN$2089)=0,"",IF(('Dvd Calendar'!$AN$2089&gt;=GRID_FROM)*('Dvd Calendar'!$AN$2089&lt;=GRID_TO)*((('Dvd Calendar'!$AN$2089&lt;=VAL_DATE)+(COUNTIF('Dvd Calendar'!$E$2096:$AR$2096,'Dvd Calendar'!$AN$2089)=0))&gt;0)=0,"",'Dvd Calendar'!$AN$2089*1000000000+ISNUMBER('Dvd Calendar'!$AN$2092)*100000000+('Dvd Calendar'!$AN$2094=SPECIAL_LBL)*10000000+(N('Dvd Calendar'!$AN$2088)&gt;0)*(N('Dvd Calendar'!$AN$2088)&lt;=VAL_SERIAL)*1000000+49*1000+36))</f>
        <v/>
      </c>
      <c r="FO208" s="39">
        <f>IF(N('Dvd Calendar'!$AO$2089)=0,"",IF(('Dvd Calendar'!$AO$2089&gt;=GRID_FROM)*('Dvd Calendar'!$AO$2089&lt;=GRID_TO)*((('Dvd Calendar'!$AO$2089&lt;=VAL_DATE)+(COUNTIF('Dvd Calendar'!$E$2096:$AR$2096,'Dvd Calendar'!$AO$2089)=0))&gt;0)=0,"",'Dvd Calendar'!$AO$2089*1000000000+ISNUMBER('Dvd Calendar'!$AO$2092)*100000000+('Dvd Calendar'!$AO$2094=SPECIAL_LBL)*10000000+(N('Dvd Calendar'!$AO$2088)&gt;0)*(N('Dvd Calendar'!$AO$2088)&lt;=VAL_SERIAL)*1000000+49*1000+37))</f>
        <v/>
      </c>
      <c r="FP208" s="39">
        <f>IF(N('Dvd Calendar'!$AP$2089)=0,"",IF(('Dvd Calendar'!$AP$2089&gt;=GRID_FROM)*('Dvd Calendar'!$AP$2089&lt;=GRID_TO)*((('Dvd Calendar'!$AP$2089&lt;=VAL_DATE)+(COUNTIF('Dvd Calendar'!$E$2096:$AR$2096,'Dvd Calendar'!$AP$2089)=0))&gt;0)=0,"",'Dvd Calendar'!$AP$2089*1000000000+ISNUMBER('Dvd Calendar'!$AP$2092)*100000000+('Dvd Calendar'!$AP$2094=SPECIAL_LBL)*10000000+(N('Dvd Calendar'!$AP$2088)&gt;0)*(N('Dvd Calendar'!$AP$2088)&lt;=VAL_SERIAL)*1000000+49*1000+38))</f>
        <v/>
      </c>
      <c r="FQ208" s="39">
        <f>IF(N('Dvd Calendar'!$AQ$2089)=0,"",IF(('Dvd Calendar'!$AQ$2089&gt;=GRID_FROM)*('Dvd Calendar'!$AQ$2089&lt;=GRID_TO)*((('Dvd Calendar'!$AQ$2089&lt;=VAL_DATE)+(COUNTIF('Dvd Calendar'!$E$2096:$AR$2096,'Dvd Calendar'!$AQ$2089)=0))&gt;0)=0,"",'Dvd Calendar'!$AQ$2089*1000000000+ISNUMBER('Dvd Calendar'!$AQ$2092)*100000000+('Dvd Calendar'!$AQ$2094=SPECIAL_LBL)*10000000+(N('Dvd Calendar'!$AQ$2088)&gt;0)*(N('Dvd Calendar'!$AQ$2088)&lt;=VAL_SERIAL)*1000000+49*1000+39))</f>
        <v/>
      </c>
      <c r="FR208" s="39">
        <f>IF(N('Dvd Calendar'!$AR$2089)=0,"",IF(('Dvd Calendar'!$AR$2089&gt;=GRID_FROM)*('Dvd Calendar'!$AR$2089&lt;=GRID_TO)*((('Dvd Calendar'!$AR$2089&lt;=VAL_DATE)+(COUNTIF('Dvd Calendar'!$E$2096:$AR$2096,'Dvd Calendar'!$AR$2089)=0))&gt;0)=0,"",'Dvd Calendar'!$AR$2089*1000000000+ISNUMBER('Dvd Calendar'!$AR$2092)*100000000+('Dvd Calendar'!$AR$2094=SPECIAL_LBL)*10000000+(N('Dvd Calendar'!$AR$2088)&gt;0)*(N('Dvd Calendar'!$AR$2088)&lt;=VAL_SERIAL)*1000000+49*1000+40))</f>
        <v/>
      </c>
      <c r="FS208" s="39">
        <f>IF(N('Dvd Calendar'!$E$2096)=0,"",IF(('Dvd Calendar'!$E$2096&gt;=GRID_FROM)*('Dvd Calendar'!$E$2096&lt;=GRID_TO)*('Dvd Calendar'!$E$2096&gt;VAL_DATE)=0,"",'Dvd Calendar'!$E$2096*1000000000+ISNUMBER('Dvd Calendar'!$E$2097)*100000000+0*10000000+(N('Dvd Calendar'!$E$2095)&gt;0)*(N('Dvd Calendar'!$E$2095)&lt;=VAL_SERIAL)*1000000+49*1000+41))</f>
        <v/>
      </c>
      <c r="FT208" s="39">
        <f>IF(N('Dvd Calendar'!$F$2096)=0,"",IF(('Dvd Calendar'!$F$2096&gt;=GRID_FROM)*('Dvd Calendar'!$F$2096&lt;=GRID_TO)*('Dvd Calendar'!$F$2096&gt;VAL_DATE)=0,"",'Dvd Calendar'!$F$2096*1000000000+ISNUMBER('Dvd Calendar'!$F$2097)*100000000+0*10000000+(N('Dvd Calendar'!$F$2095)&gt;0)*(N('Dvd Calendar'!$F$2095)&lt;=VAL_SERIAL)*1000000+49*1000+42))</f>
        <v/>
      </c>
      <c r="FU208" s="39">
        <f>IF(N('Dvd Calendar'!$G$2096)=0,"",IF(('Dvd Calendar'!$G$2096&gt;=GRID_FROM)*('Dvd Calendar'!$G$2096&lt;=GRID_TO)*('Dvd Calendar'!$G$2096&gt;VAL_DATE)=0,"",'Dvd Calendar'!$G$2096*1000000000+ISNUMBER('Dvd Calendar'!$G$2097)*100000000+0*10000000+(N('Dvd Calendar'!$G$2095)&gt;0)*(N('Dvd Calendar'!$G$2095)&lt;=VAL_SERIAL)*1000000+49*1000+43))</f>
        <v/>
      </c>
      <c r="FV208" s="39">
        <f>IF(N('Dvd Calendar'!$H$2096)=0,"",IF(('Dvd Calendar'!$H$2096&gt;=GRID_FROM)*('Dvd Calendar'!$H$2096&lt;=GRID_TO)*('Dvd Calendar'!$H$2096&gt;VAL_DATE)=0,"",'Dvd Calendar'!$H$2096*1000000000+ISNUMBER('Dvd Calendar'!$H$2097)*100000000+0*10000000+(N('Dvd Calendar'!$H$2095)&gt;0)*(N('Dvd Calendar'!$H$2095)&lt;=VAL_SERIAL)*1000000+49*1000+44))</f>
        <v/>
      </c>
      <c r="FW208" s="39">
        <f>IF(N('Dvd Calendar'!$I$2096)=0,"",IF(('Dvd Calendar'!$I$2096&gt;=GRID_FROM)*('Dvd Calendar'!$I$2096&lt;=GRID_TO)*('Dvd Calendar'!$I$2096&gt;VAL_DATE)=0,"",'Dvd Calendar'!$I$2096*1000000000+ISNUMBER('Dvd Calendar'!$I$2097)*100000000+0*10000000+(N('Dvd Calendar'!$I$2095)&gt;0)*(N('Dvd Calendar'!$I$2095)&lt;=VAL_SERIAL)*1000000+49*1000+45))</f>
        <v/>
      </c>
      <c r="FX208" s="39">
        <f>IF(N('Dvd Calendar'!$J$2096)=0,"",IF(('Dvd Calendar'!$J$2096&gt;=GRID_FROM)*('Dvd Calendar'!$J$2096&lt;=GRID_TO)*('Dvd Calendar'!$J$2096&gt;VAL_DATE)=0,"",'Dvd Calendar'!$J$2096*1000000000+ISNUMBER('Dvd Calendar'!$J$2097)*100000000+0*10000000+(N('Dvd Calendar'!$J$2095)&gt;0)*(N('Dvd Calendar'!$J$2095)&lt;=VAL_SERIAL)*1000000+49*1000+46))</f>
        <v/>
      </c>
      <c r="FY208" s="39">
        <f>IF(N('Dvd Calendar'!$K$2096)=0,"",IF(('Dvd Calendar'!$K$2096&gt;=GRID_FROM)*('Dvd Calendar'!$K$2096&lt;=GRID_TO)*('Dvd Calendar'!$K$2096&gt;VAL_DATE)=0,"",'Dvd Calendar'!$K$2096*1000000000+ISNUMBER('Dvd Calendar'!$K$2097)*100000000+0*10000000+(N('Dvd Calendar'!$K$2095)&gt;0)*(N('Dvd Calendar'!$K$2095)&lt;=VAL_SERIAL)*1000000+49*1000+47))</f>
        <v/>
      </c>
      <c r="FZ208" s="39">
        <f>IF(N('Dvd Calendar'!$L$2096)=0,"",IF(('Dvd Calendar'!$L$2096&gt;=GRID_FROM)*('Dvd Calendar'!$L$2096&lt;=GRID_TO)*('Dvd Calendar'!$L$2096&gt;VAL_DATE)=0,"",'Dvd Calendar'!$L$2096*1000000000+ISNUMBER('Dvd Calendar'!$L$2097)*100000000+0*10000000+(N('Dvd Calendar'!$L$2095)&gt;0)*(N('Dvd Calendar'!$L$2095)&lt;=VAL_SERIAL)*1000000+49*1000+48))</f>
        <v/>
      </c>
      <c r="GA208" s="39">
        <f>IF(N('Dvd Calendar'!$M$2096)=0,"",IF(('Dvd Calendar'!$M$2096&gt;=GRID_FROM)*('Dvd Calendar'!$M$2096&lt;=GRID_TO)*('Dvd Calendar'!$M$2096&gt;VAL_DATE)=0,"",'Dvd Calendar'!$M$2096*1000000000+ISNUMBER('Dvd Calendar'!$M$2097)*100000000+0*10000000+(N('Dvd Calendar'!$M$2095)&gt;0)*(N('Dvd Calendar'!$M$2095)&lt;=VAL_SERIAL)*1000000+49*1000+49))</f>
        <v/>
      </c>
      <c r="GB208" s="39">
        <f>IF(N('Dvd Calendar'!$N$2096)=0,"",IF(('Dvd Calendar'!$N$2096&gt;=GRID_FROM)*('Dvd Calendar'!$N$2096&lt;=GRID_TO)*('Dvd Calendar'!$N$2096&gt;VAL_DATE)=0,"",'Dvd Calendar'!$N$2096*1000000000+ISNUMBER('Dvd Calendar'!$N$2097)*100000000+0*10000000+(N('Dvd Calendar'!$N$2095)&gt;0)*(N('Dvd Calendar'!$N$2095)&lt;=VAL_SERIAL)*1000000+49*1000+50))</f>
        <v/>
      </c>
      <c r="GC208" s="39">
        <f>IF(N('Dvd Calendar'!$O$2096)=0,"",IF(('Dvd Calendar'!$O$2096&gt;=GRID_FROM)*('Dvd Calendar'!$O$2096&lt;=GRID_TO)*('Dvd Calendar'!$O$2096&gt;VAL_DATE)=0,"",'Dvd Calendar'!$O$2096*1000000000+ISNUMBER('Dvd Calendar'!$O$2097)*100000000+0*10000000+(N('Dvd Calendar'!$O$2095)&gt;0)*(N('Dvd Calendar'!$O$2095)&lt;=VAL_SERIAL)*1000000+49*1000+51))</f>
        <v/>
      </c>
      <c r="GD208" s="39">
        <f>IF(N('Dvd Calendar'!$P$2096)=0,"",IF(('Dvd Calendar'!$P$2096&gt;=GRID_FROM)*('Dvd Calendar'!$P$2096&lt;=GRID_TO)*('Dvd Calendar'!$P$2096&gt;VAL_DATE)=0,"",'Dvd Calendar'!$P$2096*1000000000+ISNUMBER('Dvd Calendar'!$P$2097)*100000000+0*10000000+(N('Dvd Calendar'!$P$2095)&gt;0)*(N('Dvd Calendar'!$P$2095)&lt;=VAL_SERIAL)*1000000+49*1000+52))</f>
        <v/>
      </c>
      <c r="GE208" s="39">
        <f>IF(N('Dvd Calendar'!$Q$2096)=0,"",IF(('Dvd Calendar'!$Q$2096&gt;=GRID_FROM)*('Dvd Calendar'!$Q$2096&lt;=GRID_TO)*('Dvd Calendar'!$Q$2096&gt;VAL_DATE)=0,"",'Dvd Calendar'!$Q$2096*1000000000+ISNUMBER('Dvd Calendar'!$Q$2097)*100000000+0*10000000+(N('Dvd Calendar'!$Q$2095)&gt;0)*(N('Dvd Calendar'!$Q$2095)&lt;=VAL_SERIAL)*1000000+49*1000+53))</f>
        <v/>
      </c>
      <c r="GF208" s="39">
        <f>IF(N('Dvd Calendar'!$R$2096)=0,"",IF(('Dvd Calendar'!$R$2096&gt;=GRID_FROM)*('Dvd Calendar'!$R$2096&lt;=GRID_TO)*('Dvd Calendar'!$R$2096&gt;VAL_DATE)=0,"",'Dvd Calendar'!$R$2096*1000000000+ISNUMBER('Dvd Calendar'!$R$2097)*100000000+0*10000000+(N('Dvd Calendar'!$R$2095)&gt;0)*(N('Dvd Calendar'!$R$2095)&lt;=VAL_SERIAL)*1000000+49*1000+54))</f>
        <v/>
      </c>
      <c r="GG208" s="39">
        <f>IF(N('Dvd Calendar'!$S$2096)=0,"",IF(('Dvd Calendar'!$S$2096&gt;=GRID_FROM)*('Dvd Calendar'!$S$2096&lt;=GRID_TO)*('Dvd Calendar'!$S$2096&gt;VAL_DATE)=0,"",'Dvd Calendar'!$S$2096*1000000000+ISNUMBER('Dvd Calendar'!$S$2097)*100000000+0*10000000+(N('Dvd Calendar'!$S$2095)&gt;0)*(N('Dvd Calendar'!$S$2095)&lt;=VAL_SERIAL)*1000000+49*1000+55))</f>
        <v/>
      </c>
      <c r="GH208" s="39">
        <f>IF(N('Dvd Calendar'!$T$2096)=0,"",IF(('Dvd Calendar'!$T$2096&gt;=GRID_FROM)*('Dvd Calendar'!$T$2096&lt;=GRID_TO)*('Dvd Calendar'!$T$2096&gt;VAL_DATE)=0,"",'Dvd Calendar'!$T$2096*1000000000+ISNUMBER('Dvd Calendar'!$T$2097)*100000000+0*10000000+(N('Dvd Calendar'!$T$2095)&gt;0)*(N('Dvd Calendar'!$T$2095)&lt;=VAL_SERIAL)*1000000+49*1000+56))</f>
        <v/>
      </c>
      <c r="GI208" s="39">
        <f>IF(N('Dvd Calendar'!$U$2096)=0,"",IF(('Dvd Calendar'!$U$2096&gt;=GRID_FROM)*('Dvd Calendar'!$U$2096&lt;=GRID_TO)*('Dvd Calendar'!$U$2096&gt;VAL_DATE)=0,"",'Dvd Calendar'!$U$2096*1000000000+ISNUMBER('Dvd Calendar'!$U$2097)*100000000+0*10000000+(N('Dvd Calendar'!$U$2095)&gt;0)*(N('Dvd Calendar'!$U$2095)&lt;=VAL_SERIAL)*1000000+49*1000+57))</f>
        <v/>
      </c>
      <c r="GJ208" s="39">
        <f>IF(N('Dvd Calendar'!$V$2096)=0,"",IF(('Dvd Calendar'!$V$2096&gt;=GRID_FROM)*('Dvd Calendar'!$V$2096&lt;=GRID_TO)*('Dvd Calendar'!$V$2096&gt;VAL_DATE)=0,"",'Dvd Calendar'!$V$2096*1000000000+ISNUMBER('Dvd Calendar'!$V$2097)*100000000+0*10000000+(N('Dvd Calendar'!$V$2095)&gt;0)*(N('Dvd Calendar'!$V$2095)&lt;=VAL_SERIAL)*1000000+49*1000+58))</f>
        <v/>
      </c>
      <c r="GK208" s="39">
        <f>IF(N('Dvd Calendar'!$W$2096)=0,"",IF(('Dvd Calendar'!$W$2096&gt;=GRID_FROM)*('Dvd Calendar'!$W$2096&lt;=GRID_TO)*('Dvd Calendar'!$W$2096&gt;VAL_DATE)=0,"",'Dvd Calendar'!$W$2096*1000000000+ISNUMBER('Dvd Calendar'!$W$2097)*100000000+0*10000000+(N('Dvd Calendar'!$W$2095)&gt;0)*(N('Dvd Calendar'!$W$2095)&lt;=VAL_SERIAL)*1000000+49*1000+59))</f>
        <v/>
      </c>
      <c r="GL208" s="39">
        <f>IF(N('Dvd Calendar'!$X$2096)=0,"",IF(('Dvd Calendar'!$X$2096&gt;=GRID_FROM)*('Dvd Calendar'!$X$2096&lt;=GRID_TO)*('Dvd Calendar'!$X$2096&gt;VAL_DATE)=0,"",'Dvd Calendar'!$X$2096*1000000000+ISNUMBER('Dvd Calendar'!$X$2097)*100000000+0*10000000+(N('Dvd Calendar'!$X$2095)&gt;0)*(N('Dvd Calendar'!$X$2095)&lt;=VAL_SERIAL)*1000000+49*1000+60))</f>
        <v/>
      </c>
      <c r="GM208" s="39">
        <f>IF(N('Dvd Calendar'!$Y$2096)=0,"",IF(('Dvd Calendar'!$Y$2096&gt;=GRID_FROM)*('Dvd Calendar'!$Y$2096&lt;=GRID_TO)*('Dvd Calendar'!$Y$2096&gt;VAL_DATE)=0,"",'Dvd Calendar'!$Y$2096*1000000000+ISNUMBER('Dvd Calendar'!$Y$2097)*100000000+0*10000000+(N('Dvd Calendar'!$Y$2095)&gt;0)*(N('Dvd Calendar'!$Y$2095)&lt;=VAL_SERIAL)*1000000+49*1000+61))</f>
        <v/>
      </c>
      <c r="GN208" s="39">
        <f>IF(N('Dvd Calendar'!$Z$2096)=0,"",IF(('Dvd Calendar'!$Z$2096&gt;=GRID_FROM)*('Dvd Calendar'!$Z$2096&lt;=GRID_TO)*('Dvd Calendar'!$Z$2096&gt;VAL_DATE)=0,"",'Dvd Calendar'!$Z$2096*1000000000+ISNUMBER('Dvd Calendar'!$Z$2097)*100000000+0*10000000+(N('Dvd Calendar'!$Z$2095)&gt;0)*(N('Dvd Calendar'!$Z$2095)&lt;=VAL_SERIAL)*1000000+49*1000+62))</f>
        <v/>
      </c>
      <c r="GO208" s="39">
        <f>IF(N('Dvd Calendar'!$AA$2096)=0,"",IF(('Dvd Calendar'!$AA$2096&gt;=GRID_FROM)*('Dvd Calendar'!$AA$2096&lt;=GRID_TO)*('Dvd Calendar'!$AA$2096&gt;VAL_DATE)=0,"",'Dvd Calendar'!$AA$2096*1000000000+ISNUMBER('Dvd Calendar'!$AA$2097)*100000000+0*10000000+(N('Dvd Calendar'!$AA$2095)&gt;0)*(N('Dvd Calendar'!$AA$2095)&lt;=VAL_SERIAL)*1000000+49*1000+63))</f>
        <v/>
      </c>
      <c r="GP208" s="39">
        <f>IF(N('Dvd Calendar'!$AB$2096)=0,"",IF(('Dvd Calendar'!$AB$2096&gt;=GRID_FROM)*('Dvd Calendar'!$AB$2096&lt;=GRID_TO)*('Dvd Calendar'!$AB$2096&gt;VAL_DATE)=0,"",'Dvd Calendar'!$AB$2096*1000000000+ISNUMBER('Dvd Calendar'!$AB$2097)*100000000+0*10000000+(N('Dvd Calendar'!$AB$2095)&gt;0)*(N('Dvd Calendar'!$AB$2095)&lt;=VAL_SERIAL)*1000000+49*1000+64))</f>
        <v/>
      </c>
      <c r="GQ208" s="39">
        <f>IF(N('Dvd Calendar'!$AC$2096)=0,"",IF(('Dvd Calendar'!$AC$2096&gt;=GRID_FROM)*('Dvd Calendar'!$AC$2096&lt;=GRID_TO)*('Dvd Calendar'!$AC$2096&gt;VAL_DATE)=0,"",'Dvd Calendar'!$AC$2096*1000000000+ISNUMBER('Dvd Calendar'!$AC$2097)*100000000+0*10000000+(N('Dvd Calendar'!$AC$2095)&gt;0)*(N('Dvd Calendar'!$AC$2095)&lt;=VAL_SERIAL)*1000000+49*1000+65))</f>
        <v/>
      </c>
    </row>
    <row r="209">
      <c r="B209" s="2">
        <f>IF(HSCEI!$C$56="","",HSCEI!$C$56)</f>
        <v/>
      </c>
      <c r="C209" s="110">
        <f>IF(EE209="","",IF(ISNUMBER('Dvd Calendar'!$E$2103)=FALSE,"",IF((('Dvd Calendar'!$E$2105=TYPE1)*(TYPE1&lt;&gt;"")+('Dvd Calendar'!$E$2105=TYPE2)*(TYPE2&lt;&gt;"")+('Dvd Calendar'!$E$2105=TYPE3)*(TYPE3&lt;&gt;"")+('Dvd Calendar'!$E$2105=TYPE4)*(TYPE4&lt;&gt;"")+('Dvd Calendar'!$E$2105=SPECIAL_LBL)*(INC_SPECIALS="Y"))=0,"",'Dvd Calendar'!$E$2103)))</f>
        <v/>
      </c>
      <c r="D209" s="110">
        <f>IF(EF209="","",IF(ISNUMBER('Dvd Calendar'!$F$2103)=FALSE,"",IF((('Dvd Calendar'!$F$2105=TYPE1)*(TYPE1&lt;&gt;"")+('Dvd Calendar'!$F$2105=TYPE2)*(TYPE2&lt;&gt;"")+('Dvd Calendar'!$F$2105=TYPE3)*(TYPE3&lt;&gt;"")+('Dvd Calendar'!$F$2105=TYPE4)*(TYPE4&lt;&gt;"")+('Dvd Calendar'!$F$2105=SPECIAL_LBL)*(INC_SPECIALS="Y"))=0,"",'Dvd Calendar'!$F$2103)))</f>
        <v/>
      </c>
      <c r="E209" s="110">
        <f>IF(EG209="","",IF(ISNUMBER('Dvd Calendar'!$G$2103)=FALSE,"",IF((('Dvd Calendar'!$G$2105=TYPE1)*(TYPE1&lt;&gt;"")+('Dvd Calendar'!$G$2105=TYPE2)*(TYPE2&lt;&gt;"")+('Dvd Calendar'!$G$2105=TYPE3)*(TYPE3&lt;&gt;"")+('Dvd Calendar'!$G$2105=TYPE4)*(TYPE4&lt;&gt;"")+('Dvd Calendar'!$G$2105=SPECIAL_LBL)*(INC_SPECIALS="Y"))=0,"",'Dvd Calendar'!$G$2103)))</f>
        <v/>
      </c>
      <c r="F209" s="110">
        <f>IF(EH209="","",IF(ISNUMBER('Dvd Calendar'!$H$2103)=FALSE,"",IF((('Dvd Calendar'!$H$2105=TYPE1)*(TYPE1&lt;&gt;"")+('Dvd Calendar'!$H$2105=TYPE2)*(TYPE2&lt;&gt;"")+('Dvd Calendar'!$H$2105=TYPE3)*(TYPE3&lt;&gt;"")+('Dvd Calendar'!$H$2105=TYPE4)*(TYPE4&lt;&gt;"")+('Dvd Calendar'!$H$2105=SPECIAL_LBL)*(INC_SPECIALS="Y"))=0,"",'Dvd Calendar'!$H$2103)))</f>
        <v/>
      </c>
      <c r="G209" s="110">
        <f>IF(EI209="","",IF(ISNUMBER('Dvd Calendar'!$I$2103)=FALSE,"",IF((('Dvd Calendar'!$I$2105=TYPE1)*(TYPE1&lt;&gt;"")+('Dvd Calendar'!$I$2105=TYPE2)*(TYPE2&lt;&gt;"")+('Dvd Calendar'!$I$2105=TYPE3)*(TYPE3&lt;&gt;"")+('Dvd Calendar'!$I$2105=TYPE4)*(TYPE4&lt;&gt;"")+('Dvd Calendar'!$I$2105=SPECIAL_LBL)*(INC_SPECIALS="Y"))=0,"",'Dvd Calendar'!$I$2103)))</f>
        <v/>
      </c>
      <c r="H209" s="110">
        <f>IF(EJ209="","",IF(ISNUMBER('Dvd Calendar'!$J$2103)=FALSE,"",IF((('Dvd Calendar'!$J$2105=TYPE1)*(TYPE1&lt;&gt;"")+('Dvd Calendar'!$J$2105=TYPE2)*(TYPE2&lt;&gt;"")+('Dvd Calendar'!$J$2105=TYPE3)*(TYPE3&lt;&gt;"")+('Dvd Calendar'!$J$2105=TYPE4)*(TYPE4&lt;&gt;"")+('Dvd Calendar'!$J$2105=SPECIAL_LBL)*(INC_SPECIALS="Y"))=0,"",'Dvd Calendar'!$J$2103)))</f>
        <v/>
      </c>
      <c r="I209" s="110">
        <f>IF(EK209="","",IF(ISNUMBER('Dvd Calendar'!$K$2103)=FALSE,"",IF((('Dvd Calendar'!$K$2105=TYPE1)*(TYPE1&lt;&gt;"")+('Dvd Calendar'!$K$2105=TYPE2)*(TYPE2&lt;&gt;"")+('Dvd Calendar'!$K$2105=TYPE3)*(TYPE3&lt;&gt;"")+('Dvd Calendar'!$K$2105=TYPE4)*(TYPE4&lt;&gt;"")+('Dvd Calendar'!$K$2105=SPECIAL_LBL)*(INC_SPECIALS="Y"))=0,"",'Dvd Calendar'!$K$2103)))</f>
        <v/>
      </c>
      <c r="J209" s="110">
        <f>IF(EL209="","",IF(ISNUMBER('Dvd Calendar'!$L$2103)=FALSE,"",IF((('Dvd Calendar'!$L$2105=TYPE1)*(TYPE1&lt;&gt;"")+('Dvd Calendar'!$L$2105=TYPE2)*(TYPE2&lt;&gt;"")+('Dvd Calendar'!$L$2105=TYPE3)*(TYPE3&lt;&gt;"")+('Dvd Calendar'!$L$2105=TYPE4)*(TYPE4&lt;&gt;"")+('Dvd Calendar'!$L$2105=SPECIAL_LBL)*(INC_SPECIALS="Y"))=0,"",'Dvd Calendar'!$L$2103)))</f>
        <v/>
      </c>
      <c r="K209" s="110">
        <f>IF(EM209="","",IF(ISNUMBER('Dvd Calendar'!$M$2103)=FALSE,"",IF((('Dvd Calendar'!$M$2105=TYPE1)*(TYPE1&lt;&gt;"")+('Dvd Calendar'!$M$2105=TYPE2)*(TYPE2&lt;&gt;"")+('Dvd Calendar'!$M$2105=TYPE3)*(TYPE3&lt;&gt;"")+('Dvd Calendar'!$M$2105=TYPE4)*(TYPE4&lt;&gt;"")+('Dvd Calendar'!$M$2105=SPECIAL_LBL)*(INC_SPECIALS="Y"))=0,"",'Dvd Calendar'!$M$2103)))</f>
        <v/>
      </c>
      <c r="L209" s="110">
        <f>IF(EN209="","",IF(ISNUMBER('Dvd Calendar'!$N$2103)=FALSE,"",IF((('Dvd Calendar'!$N$2105=TYPE1)*(TYPE1&lt;&gt;"")+('Dvd Calendar'!$N$2105=TYPE2)*(TYPE2&lt;&gt;"")+('Dvd Calendar'!$N$2105=TYPE3)*(TYPE3&lt;&gt;"")+('Dvd Calendar'!$N$2105=TYPE4)*(TYPE4&lt;&gt;"")+('Dvd Calendar'!$N$2105=SPECIAL_LBL)*(INC_SPECIALS="Y"))=0,"",'Dvd Calendar'!$N$2103)))</f>
        <v/>
      </c>
      <c r="M209" s="110">
        <f>IF(EO209="","",IF(ISNUMBER('Dvd Calendar'!$O$2103)=FALSE,"",IF((('Dvd Calendar'!$O$2105=TYPE1)*(TYPE1&lt;&gt;"")+('Dvd Calendar'!$O$2105=TYPE2)*(TYPE2&lt;&gt;"")+('Dvd Calendar'!$O$2105=TYPE3)*(TYPE3&lt;&gt;"")+('Dvd Calendar'!$O$2105=TYPE4)*(TYPE4&lt;&gt;"")+('Dvd Calendar'!$O$2105=SPECIAL_LBL)*(INC_SPECIALS="Y"))=0,"",'Dvd Calendar'!$O$2103)))</f>
        <v/>
      </c>
      <c r="N209" s="110">
        <f>IF(EP209="","",IF(ISNUMBER('Dvd Calendar'!$P$2103)=FALSE,"",IF((('Dvd Calendar'!$P$2105=TYPE1)*(TYPE1&lt;&gt;"")+('Dvd Calendar'!$P$2105=TYPE2)*(TYPE2&lt;&gt;"")+('Dvd Calendar'!$P$2105=TYPE3)*(TYPE3&lt;&gt;"")+('Dvd Calendar'!$P$2105=TYPE4)*(TYPE4&lt;&gt;"")+('Dvd Calendar'!$P$2105=SPECIAL_LBL)*(INC_SPECIALS="Y"))=0,"",'Dvd Calendar'!$P$2103)))</f>
        <v/>
      </c>
      <c r="O209" s="110">
        <f>IF(EQ209="","",IF(ISNUMBER('Dvd Calendar'!$Q$2103)=FALSE,"",IF((('Dvd Calendar'!$Q$2105=TYPE1)*(TYPE1&lt;&gt;"")+('Dvd Calendar'!$Q$2105=TYPE2)*(TYPE2&lt;&gt;"")+('Dvd Calendar'!$Q$2105=TYPE3)*(TYPE3&lt;&gt;"")+('Dvd Calendar'!$Q$2105=TYPE4)*(TYPE4&lt;&gt;"")+('Dvd Calendar'!$Q$2105=SPECIAL_LBL)*(INC_SPECIALS="Y"))=0,"",'Dvd Calendar'!$Q$2103)))</f>
        <v/>
      </c>
      <c r="P209" s="110">
        <f>IF(ER209="","",IF(ISNUMBER('Dvd Calendar'!$R$2103)=FALSE,"",IF((('Dvd Calendar'!$R$2105=TYPE1)*(TYPE1&lt;&gt;"")+('Dvd Calendar'!$R$2105=TYPE2)*(TYPE2&lt;&gt;"")+('Dvd Calendar'!$R$2105=TYPE3)*(TYPE3&lt;&gt;"")+('Dvd Calendar'!$R$2105=TYPE4)*(TYPE4&lt;&gt;"")+('Dvd Calendar'!$R$2105=SPECIAL_LBL)*(INC_SPECIALS="Y"))=0,"",'Dvd Calendar'!$R$2103)))</f>
        <v/>
      </c>
      <c r="Q209" s="110">
        <f>IF(ES209="","",IF(ISNUMBER('Dvd Calendar'!$S$2103)=FALSE,"",IF((('Dvd Calendar'!$S$2105=TYPE1)*(TYPE1&lt;&gt;"")+('Dvd Calendar'!$S$2105=TYPE2)*(TYPE2&lt;&gt;"")+('Dvd Calendar'!$S$2105=TYPE3)*(TYPE3&lt;&gt;"")+('Dvd Calendar'!$S$2105=TYPE4)*(TYPE4&lt;&gt;"")+('Dvd Calendar'!$S$2105=SPECIAL_LBL)*(INC_SPECIALS="Y"))=0,"",'Dvd Calendar'!$S$2103)))</f>
        <v/>
      </c>
      <c r="R209" s="110">
        <f>IF(ET209="","",IF(ISNUMBER('Dvd Calendar'!$T$2103)=FALSE,"",IF((('Dvd Calendar'!$T$2105=TYPE1)*(TYPE1&lt;&gt;"")+('Dvd Calendar'!$T$2105=TYPE2)*(TYPE2&lt;&gt;"")+('Dvd Calendar'!$T$2105=TYPE3)*(TYPE3&lt;&gt;"")+('Dvd Calendar'!$T$2105=TYPE4)*(TYPE4&lt;&gt;"")+('Dvd Calendar'!$T$2105=SPECIAL_LBL)*(INC_SPECIALS="Y"))=0,"",'Dvd Calendar'!$T$2103)))</f>
        <v/>
      </c>
      <c r="S209" s="110">
        <f>IF(EU209="","",IF(ISNUMBER('Dvd Calendar'!$U$2103)=FALSE,"",IF((('Dvd Calendar'!$U$2105=TYPE1)*(TYPE1&lt;&gt;"")+('Dvd Calendar'!$U$2105=TYPE2)*(TYPE2&lt;&gt;"")+('Dvd Calendar'!$U$2105=TYPE3)*(TYPE3&lt;&gt;"")+('Dvd Calendar'!$U$2105=TYPE4)*(TYPE4&lt;&gt;"")+('Dvd Calendar'!$U$2105=SPECIAL_LBL)*(INC_SPECIALS="Y"))=0,"",'Dvd Calendar'!$U$2103)))</f>
        <v/>
      </c>
      <c r="T209" s="110">
        <f>IF(EV209="","",IF(ISNUMBER('Dvd Calendar'!$V$2103)=FALSE,"",IF((('Dvd Calendar'!$V$2105=TYPE1)*(TYPE1&lt;&gt;"")+('Dvd Calendar'!$V$2105=TYPE2)*(TYPE2&lt;&gt;"")+('Dvd Calendar'!$V$2105=TYPE3)*(TYPE3&lt;&gt;"")+('Dvd Calendar'!$V$2105=TYPE4)*(TYPE4&lt;&gt;"")+('Dvd Calendar'!$V$2105=SPECIAL_LBL)*(INC_SPECIALS="Y"))=0,"",'Dvd Calendar'!$V$2103)))</f>
        <v/>
      </c>
      <c r="U209" s="110">
        <f>IF(EW209="","",IF(ISNUMBER('Dvd Calendar'!$W$2103)=FALSE,"",IF((('Dvd Calendar'!$W$2105=TYPE1)*(TYPE1&lt;&gt;"")+('Dvd Calendar'!$W$2105=TYPE2)*(TYPE2&lt;&gt;"")+('Dvd Calendar'!$W$2105=TYPE3)*(TYPE3&lt;&gt;"")+('Dvd Calendar'!$W$2105=TYPE4)*(TYPE4&lt;&gt;"")+('Dvd Calendar'!$W$2105=SPECIAL_LBL)*(INC_SPECIALS="Y"))=0,"",'Dvd Calendar'!$W$2103)))</f>
        <v/>
      </c>
      <c r="V209" s="110">
        <f>IF(EX209="","",IF(ISNUMBER('Dvd Calendar'!$X$2103)=FALSE,"",IF((('Dvd Calendar'!$X$2105=TYPE1)*(TYPE1&lt;&gt;"")+('Dvd Calendar'!$X$2105=TYPE2)*(TYPE2&lt;&gt;"")+('Dvd Calendar'!$X$2105=TYPE3)*(TYPE3&lt;&gt;"")+('Dvd Calendar'!$X$2105=TYPE4)*(TYPE4&lt;&gt;"")+('Dvd Calendar'!$X$2105=SPECIAL_LBL)*(INC_SPECIALS="Y"))=0,"",'Dvd Calendar'!$X$2103)))</f>
        <v/>
      </c>
      <c r="W209" s="110">
        <f>IF(EY209="","",IF(ISNUMBER('Dvd Calendar'!$Y$2103)=FALSE,"",IF((('Dvd Calendar'!$Y$2105=TYPE1)*(TYPE1&lt;&gt;"")+('Dvd Calendar'!$Y$2105=TYPE2)*(TYPE2&lt;&gt;"")+('Dvd Calendar'!$Y$2105=TYPE3)*(TYPE3&lt;&gt;"")+('Dvd Calendar'!$Y$2105=TYPE4)*(TYPE4&lt;&gt;"")+('Dvd Calendar'!$Y$2105=SPECIAL_LBL)*(INC_SPECIALS="Y"))=0,"",'Dvd Calendar'!$Y$2103)))</f>
        <v/>
      </c>
      <c r="X209" s="110">
        <f>IF(EZ209="","",IF(ISNUMBER('Dvd Calendar'!$Z$2103)=FALSE,"",IF((('Dvd Calendar'!$Z$2105=TYPE1)*(TYPE1&lt;&gt;"")+('Dvd Calendar'!$Z$2105=TYPE2)*(TYPE2&lt;&gt;"")+('Dvd Calendar'!$Z$2105=TYPE3)*(TYPE3&lt;&gt;"")+('Dvd Calendar'!$Z$2105=TYPE4)*(TYPE4&lt;&gt;"")+('Dvd Calendar'!$Z$2105=SPECIAL_LBL)*(INC_SPECIALS="Y"))=0,"",'Dvd Calendar'!$Z$2103)))</f>
        <v/>
      </c>
      <c r="Y209" s="110">
        <f>IF(FA209="","",IF(ISNUMBER('Dvd Calendar'!$AA$2103)=FALSE,"",IF((('Dvd Calendar'!$AA$2105=TYPE1)*(TYPE1&lt;&gt;"")+('Dvd Calendar'!$AA$2105=TYPE2)*(TYPE2&lt;&gt;"")+('Dvd Calendar'!$AA$2105=TYPE3)*(TYPE3&lt;&gt;"")+('Dvd Calendar'!$AA$2105=TYPE4)*(TYPE4&lt;&gt;"")+('Dvd Calendar'!$AA$2105=SPECIAL_LBL)*(INC_SPECIALS="Y"))=0,"",'Dvd Calendar'!$AA$2103)))</f>
        <v/>
      </c>
      <c r="Z209" s="110">
        <f>IF(FB209="","",IF(ISNUMBER('Dvd Calendar'!$AB$2103)=FALSE,"",IF((('Dvd Calendar'!$AB$2105=TYPE1)*(TYPE1&lt;&gt;"")+('Dvd Calendar'!$AB$2105=TYPE2)*(TYPE2&lt;&gt;"")+('Dvd Calendar'!$AB$2105=TYPE3)*(TYPE3&lt;&gt;"")+('Dvd Calendar'!$AB$2105=TYPE4)*(TYPE4&lt;&gt;"")+('Dvd Calendar'!$AB$2105=SPECIAL_LBL)*(INC_SPECIALS="Y"))=0,"",'Dvd Calendar'!$AB$2103)))</f>
        <v/>
      </c>
      <c r="AA209" s="110">
        <f>IF(FC209="","",IF(ISNUMBER('Dvd Calendar'!$AC$2103)=FALSE,"",IF((('Dvd Calendar'!$AC$2105=TYPE1)*(TYPE1&lt;&gt;"")+('Dvd Calendar'!$AC$2105=TYPE2)*(TYPE2&lt;&gt;"")+('Dvd Calendar'!$AC$2105=TYPE3)*(TYPE3&lt;&gt;"")+('Dvd Calendar'!$AC$2105=TYPE4)*(TYPE4&lt;&gt;"")+('Dvd Calendar'!$AC$2105=SPECIAL_LBL)*(INC_SPECIALS="Y"))=0,"",'Dvd Calendar'!$AC$2103)))</f>
        <v/>
      </c>
      <c r="AB209" s="110">
        <f>IF(FD209="","",IF(ISNUMBER('Dvd Calendar'!$AD$2103)=FALSE,"",IF((('Dvd Calendar'!$AD$2105=TYPE1)*(TYPE1&lt;&gt;"")+('Dvd Calendar'!$AD$2105=TYPE2)*(TYPE2&lt;&gt;"")+('Dvd Calendar'!$AD$2105=TYPE3)*(TYPE3&lt;&gt;"")+('Dvd Calendar'!$AD$2105=TYPE4)*(TYPE4&lt;&gt;"")+('Dvd Calendar'!$AD$2105=SPECIAL_LBL)*(INC_SPECIALS="Y"))=0,"",'Dvd Calendar'!$AD$2103)))</f>
        <v/>
      </c>
      <c r="AC209" s="110">
        <f>IF(FE209="","",IF(ISNUMBER('Dvd Calendar'!$AE$2103)=FALSE,"",IF((('Dvd Calendar'!$AE$2105=TYPE1)*(TYPE1&lt;&gt;"")+('Dvd Calendar'!$AE$2105=TYPE2)*(TYPE2&lt;&gt;"")+('Dvd Calendar'!$AE$2105=TYPE3)*(TYPE3&lt;&gt;"")+('Dvd Calendar'!$AE$2105=TYPE4)*(TYPE4&lt;&gt;"")+('Dvd Calendar'!$AE$2105=SPECIAL_LBL)*(INC_SPECIALS="Y"))=0,"",'Dvd Calendar'!$AE$2103)))</f>
        <v/>
      </c>
      <c r="AD209" s="110">
        <f>IF(FF209="","",IF(ISNUMBER('Dvd Calendar'!$AF$2103)=FALSE,"",IF((('Dvd Calendar'!$AF$2105=TYPE1)*(TYPE1&lt;&gt;"")+('Dvd Calendar'!$AF$2105=TYPE2)*(TYPE2&lt;&gt;"")+('Dvd Calendar'!$AF$2105=TYPE3)*(TYPE3&lt;&gt;"")+('Dvd Calendar'!$AF$2105=TYPE4)*(TYPE4&lt;&gt;"")+('Dvd Calendar'!$AF$2105=SPECIAL_LBL)*(INC_SPECIALS="Y"))=0,"",'Dvd Calendar'!$AF$2103)))</f>
        <v/>
      </c>
      <c r="AE209" s="110">
        <f>IF(FG209="","",IF(ISNUMBER('Dvd Calendar'!$AG$2103)=FALSE,"",IF((('Dvd Calendar'!$AG$2105=TYPE1)*(TYPE1&lt;&gt;"")+('Dvd Calendar'!$AG$2105=TYPE2)*(TYPE2&lt;&gt;"")+('Dvd Calendar'!$AG$2105=TYPE3)*(TYPE3&lt;&gt;"")+('Dvd Calendar'!$AG$2105=TYPE4)*(TYPE4&lt;&gt;"")+('Dvd Calendar'!$AG$2105=SPECIAL_LBL)*(INC_SPECIALS="Y"))=0,"",'Dvd Calendar'!$AG$2103)))</f>
        <v/>
      </c>
      <c r="AF209" s="110">
        <f>IF(FH209="","",IF(ISNUMBER('Dvd Calendar'!$AH$2103)=FALSE,"",IF((('Dvd Calendar'!$AH$2105=TYPE1)*(TYPE1&lt;&gt;"")+('Dvd Calendar'!$AH$2105=TYPE2)*(TYPE2&lt;&gt;"")+('Dvd Calendar'!$AH$2105=TYPE3)*(TYPE3&lt;&gt;"")+('Dvd Calendar'!$AH$2105=TYPE4)*(TYPE4&lt;&gt;"")+('Dvd Calendar'!$AH$2105=SPECIAL_LBL)*(INC_SPECIALS="Y"))=0,"",'Dvd Calendar'!$AH$2103)))</f>
        <v/>
      </c>
      <c r="AG209" s="110">
        <f>IF(FI209="","",IF(ISNUMBER('Dvd Calendar'!$AI$2103)=FALSE,"",IF((('Dvd Calendar'!$AI$2105=TYPE1)*(TYPE1&lt;&gt;"")+('Dvd Calendar'!$AI$2105=TYPE2)*(TYPE2&lt;&gt;"")+('Dvd Calendar'!$AI$2105=TYPE3)*(TYPE3&lt;&gt;"")+('Dvd Calendar'!$AI$2105=TYPE4)*(TYPE4&lt;&gt;"")+('Dvd Calendar'!$AI$2105=SPECIAL_LBL)*(INC_SPECIALS="Y"))=0,"",'Dvd Calendar'!$AI$2103)))</f>
        <v/>
      </c>
      <c r="AH209" s="110">
        <f>IF(FJ209="","",IF(ISNUMBER('Dvd Calendar'!$AJ$2103)=FALSE,"",IF((('Dvd Calendar'!$AJ$2105=TYPE1)*(TYPE1&lt;&gt;"")+('Dvd Calendar'!$AJ$2105=TYPE2)*(TYPE2&lt;&gt;"")+('Dvd Calendar'!$AJ$2105=TYPE3)*(TYPE3&lt;&gt;"")+('Dvd Calendar'!$AJ$2105=TYPE4)*(TYPE4&lt;&gt;"")+('Dvd Calendar'!$AJ$2105=SPECIAL_LBL)*(INC_SPECIALS="Y"))=0,"",'Dvd Calendar'!$AJ$2103)))</f>
        <v/>
      </c>
      <c r="AI209" s="110">
        <f>IF(FK209="","",IF(ISNUMBER('Dvd Calendar'!$AK$2103)=FALSE,"",IF((('Dvd Calendar'!$AK$2105=TYPE1)*(TYPE1&lt;&gt;"")+('Dvd Calendar'!$AK$2105=TYPE2)*(TYPE2&lt;&gt;"")+('Dvd Calendar'!$AK$2105=TYPE3)*(TYPE3&lt;&gt;"")+('Dvd Calendar'!$AK$2105=TYPE4)*(TYPE4&lt;&gt;"")+('Dvd Calendar'!$AK$2105=SPECIAL_LBL)*(INC_SPECIALS="Y"))=0,"",'Dvd Calendar'!$AK$2103)))</f>
        <v/>
      </c>
      <c r="AJ209" s="110">
        <f>IF(FL209="","",IF(ISNUMBER('Dvd Calendar'!$AL$2103)=FALSE,"",IF((('Dvd Calendar'!$AL$2105=TYPE1)*(TYPE1&lt;&gt;"")+('Dvd Calendar'!$AL$2105=TYPE2)*(TYPE2&lt;&gt;"")+('Dvd Calendar'!$AL$2105=TYPE3)*(TYPE3&lt;&gt;"")+('Dvd Calendar'!$AL$2105=TYPE4)*(TYPE4&lt;&gt;"")+('Dvd Calendar'!$AL$2105=SPECIAL_LBL)*(INC_SPECIALS="Y"))=0,"",'Dvd Calendar'!$AL$2103)))</f>
        <v/>
      </c>
      <c r="AK209" s="110">
        <f>IF(FM209="","",IF(ISNUMBER('Dvd Calendar'!$AM$2103)=FALSE,"",IF((('Dvd Calendar'!$AM$2105=TYPE1)*(TYPE1&lt;&gt;"")+('Dvd Calendar'!$AM$2105=TYPE2)*(TYPE2&lt;&gt;"")+('Dvd Calendar'!$AM$2105=TYPE3)*(TYPE3&lt;&gt;"")+('Dvd Calendar'!$AM$2105=TYPE4)*(TYPE4&lt;&gt;"")+('Dvd Calendar'!$AM$2105=SPECIAL_LBL)*(INC_SPECIALS="Y"))=0,"",'Dvd Calendar'!$AM$2103)))</f>
        <v/>
      </c>
      <c r="AL209" s="110">
        <f>IF(FN209="","",IF(ISNUMBER('Dvd Calendar'!$AN$2103)=FALSE,"",IF((('Dvd Calendar'!$AN$2105=TYPE1)*(TYPE1&lt;&gt;"")+('Dvd Calendar'!$AN$2105=TYPE2)*(TYPE2&lt;&gt;"")+('Dvd Calendar'!$AN$2105=TYPE3)*(TYPE3&lt;&gt;"")+('Dvd Calendar'!$AN$2105=TYPE4)*(TYPE4&lt;&gt;"")+('Dvd Calendar'!$AN$2105=SPECIAL_LBL)*(INC_SPECIALS="Y"))=0,"",'Dvd Calendar'!$AN$2103)))</f>
        <v/>
      </c>
      <c r="AM209" s="110">
        <f>IF(FO209="","",IF(ISNUMBER('Dvd Calendar'!$AO$2103)=FALSE,"",IF((('Dvd Calendar'!$AO$2105=TYPE1)*(TYPE1&lt;&gt;"")+('Dvd Calendar'!$AO$2105=TYPE2)*(TYPE2&lt;&gt;"")+('Dvd Calendar'!$AO$2105=TYPE3)*(TYPE3&lt;&gt;"")+('Dvd Calendar'!$AO$2105=TYPE4)*(TYPE4&lt;&gt;"")+('Dvd Calendar'!$AO$2105=SPECIAL_LBL)*(INC_SPECIALS="Y"))=0,"",'Dvd Calendar'!$AO$2103)))</f>
        <v/>
      </c>
      <c r="AN209" s="110">
        <f>IF(FP209="","",IF(ISNUMBER('Dvd Calendar'!$AP$2103)=FALSE,"",IF((('Dvd Calendar'!$AP$2105=TYPE1)*(TYPE1&lt;&gt;"")+('Dvd Calendar'!$AP$2105=TYPE2)*(TYPE2&lt;&gt;"")+('Dvd Calendar'!$AP$2105=TYPE3)*(TYPE3&lt;&gt;"")+('Dvd Calendar'!$AP$2105=TYPE4)*(TYPE4&lt;&gt;"")+('Dvd Calendar'!$AP$2105=SPECIAL_LBL)*(INC_SPECIALS="Y"))=0,"",'Dvd Calendar'!$AP$2103)))</f>
        <v/>
      </c>
      <c r="AO209" s="110">
        <f>IF(FQ209="","",IF(ISNUMBER('Dvd Calendar'!$AQ$2103)=FALSE,"",IF((('Dvd Calendar'!$AQ$2105=TYPE1)*(TYPE1&lt;&gt;"")+('Dvd Calendar'!$AQ$2105=TYPE2)*(TYPE2&lt;&gt;"")+('Dvd Calendar'!$AQ$2105=TYPE3)*(TYPE3&lt;&gt;"")+('Dvd Calendar'!$AQ$2105=TYPE4)*(TYPE4&lt;&gt;"")+('Dvd Calendar'!$AQ$2105=SPECIAL_LBL)*(INC_SPECIALS="Y"))=0,"",'Dvd Calendar'!$AQ$2103)))</f>
        <v/>
      </c>
      <c r="AP209" s="110">
        <f>IF(FR209="","",IF(ISNUMBER('Dvd Calendar'!$AR$2103)=FALSE,"",IF((('Dvd Calendar'!$AR$2105=TYPE1)*(TYPE1&lt;&gt;"")+('Dvd Calendar'!$AR$2105=TYPE2)*(TYPE2&lt;&gt;"")+('Dvd Calendar'!$AR$2105=TYPE3)*(TYPE3&lt;&gt;"")+('Dvd Calendar'!$AR$2105=TYPE4)*(TYPE4&lt;&gt;"")+('Dvd Calendar'!$AR$2105=SPECIAL_LBL)*(INC_SPECIALS="Y"))=0,"",'Dvd Calendar'!$AR$2103)))</f>
        <v/>
      </c>
      <c r="AQ209" s="110">
        <f>IF(FS209="","",IF(ISNUMBER('Dvd Calendar'!$E$2108)=FALSE,"",'Dvd Calendar'!$E$2108))</f>
        <v/>
      </c>
      <c r="AR209" s="110">
        <f>IF(FT209="","",IF(ISNUMBER('Dvd Calendar'!$F$2108)=FALSE,"",'Dvd Calendar'!$F$2108))</f>
        <v/>
      </c>
      <c r="AS209" s="110">
        <f>IF(FU209="","",IF(ISNUMBER('Dvd Calendar'!$G$2108)=FALSE,"",'Dvd Calendar'!$G$2108))</f>
        <v/>
      </c>
      <c r="AT209" s="110">
        <f>IF(FV209="","",IF(ISNUMBER('Dvd Calendar'!$H$2108)=FALSE,"",'Dvd Calendar'!$H$2108))</f>
        <v/>
      </c>
      <c r="AU209" s="110">
        <f>IF(FW209="","",IF(ISNUMBER('Dvd Calendar'!$I$2108)=FALSE,"",'Dvd Calendar'!$I$2108))</f>
        <v/>
      </c>
      <c r="AV209" s="110">
        <f>IF(FX209="","",IF(ISNUMBER('Dvd Calendar'!$J$2108)=FALSE,"",'Dvd Calendar'!$J$2108))</f>
        <v/>
      </c>
      <c r="AW209" s="110">
        <f>IF(FY209="","",IF(ISNUMBER('Dvd Calendar'!$K$2108)=FALSE,"",'Dvd Calendar'!$K$2108))</f>
        <v/>
      </c>
      <c r="AX209" s="110">
        <f>IF(FZ209="","",IF(ISNUMBER('Dvd Calendar'!$L$2108)=FALSE,"",'Dvd Calendar'!$L$2108))</f>
        <v/>
      </c>
      <c r="AY209" s="110">
        <f>IF(GA209="","",IF(ISNUMBER('Dvd Calendar'!$M$2108)=FALSE,"",'Dvd Calendar'!$M$2108))</f>
        <v/>
      </c>
      <c r="AZ209" s="110">
        <f>IF(GB209="","",IF(ISNUMBER('Dvd Calendar'!$N$2108)=FALSE,"",'Dvd Calendar'!$N$2108))</f>
        <v/>
      </c>
      <c r="BA209" s="110">
        <f>IF(GC209="","",IF(ISNUMBER('Dvd Calendar'!$O$2108)=FALSE,"",'Dvd Calendar'!$O$2108))</f>
        <v/>
      </c>
      <c r="BB209" s="110">
        <f>IF(GD209="","",IF(ISNUMBER('Dvd Calendar'!$P$2108)=FALSE,"",'Dvd Calendar'!$P$2108))</f>
        <v/>
      </c>
      <c r="BC209" s="110">
        <f>IF(GE209="","",IF(ISNUMBER('Dvd Calendar'!$Q$2108)=FALSE,"",'Dvd Calendar'!$Q$2108))</f>
        <v/>
      </c>
      <c r="BD209" s="110">
        <f>IF(GF209="","",IF(ISNUMBER('Dvd Calendar'!$R$2108)=FALSE,"",'Dvd Calendar'!$R$2108))</f>
        <v/>
      </c>
      <c r="BE209" s="110">
        <f>IF(GG209="","",IF(ISNUMBER('Dvd Calendar'!$S$2108)=FALSE,"",'Dvd Calendar'!$S$2108))</f>
        <v/>
      </c>
      <c r="BF209" s="110">
        <f>IF(GH209="","",IF(ISNUMBER('Dvd Calendar'!$T$2108)=FALSE,"",'Dvd Calendar'!$T$2108))</f>
        <v/>
      </c>
      <c r="BG209" s="110">
        <f>IF(GI209="","",IF(ISNUMBER('Dvd Calendar'!$U$2108)=FALSE,"",'Dvd Calendar'!$U$2108))</f>
        <v/>
      </c>
      <c r="BH209" s="110">
        <f>IF(GJ209="","",IF(ISNUMBER('Dvd Calendar'!$V$2108)=FALSE,"",'Dvd Calendar'!$V$2108))</f>
        <v/>
      </c>
      <c r="BI209" s="110">
        <f>IF(GK209="","",IF(ISNUMBER('Dvd Calendar'!$W$2108)=FALSE,"",'Dvd Calendar'!$W$2108))</f>
        <v/>
      </c>
      <c r="BJ209" s="110">
        <f>IF(GL209="","",IF(ISNUMBER('Dvd Calendar'!$X$2108)=FALSE,"",'Dvd Calendar'!$X$2108))</f>
        <v/>
      </c>
      <c r="BK209" s="110">
        <f>IF(GM209="","",IF(ISNUMBER('Dvd Calendar'!$Y$2108)=FALSE,"",'Dvd Calendar'!$Y$2108))</f>
        <v/>
      </c>
      <c r="BL209" s="110">
        <f>IF(GN209="","",IF(ISNUMBER('Dvd Calendar'!$Z$2108)=FALSE,"",'Dvd Calendar'!$Z$2108))</f>
        <v/>
      </c>
      <c r="BM209" s="110">
        <f>IF(GO209="","",IF(ISNUMBER('Dvd Calendar'!$AA$2108)=FALSE,"",'Dvd Calendar'!$AA$2108))</f>
        <v/>
      </c>
      <c r="BN209" s="110">
        <f>IF(GP209="","",IF(ISNUMBER('Dvd Calendar'!$AB$2108)=FALSE,"",'Dvd Calendar'!$AB$2108))</f>
        <v/>
      </c>
      <c r="BO209" s="110">
        <f>IF(GQ209="","",IF(ISNUMBER('Dvd Calendar'!$AC$2108)=FALSE,"",'Dvd Calendar'!$AC$2108))</f>
        <v/>
      </c>
      <c r="BQ209" s="110">
        <f>IF(C209="","",IFERROR(C209*HSCEI!$B$56*HSCEI!$G$56/HSCEI!$B$3,""))</f>
        <v/>
      </c>
      <c r="BR209" s="110">
        <f>IF(D209="","",IFERROR(D209*HSCEI!$B$56*HSCEI!$G$56/HSCEI!$B$3,""))</f>
        <v/>
      </c>
      <c r="BS209" s="110">
        <f>IF(E209="","",IFERROR(E209*HSCEI!$B$56*HSCEI!$G$56/HSCEI!$B$3,""))</f>
        <v/>
      </c>
      <c r="BT209" s="110">
        <f>IF(F209="","",IFERROR(F209*HSCEI!$B$56*HSCEI!$G$56/HSCEI!$B$3,""))</f>
        <v/>
      </c>
      <c r="BU209" s="110">
        <f>IF(G209="","",IFERROR(G209*HSCEI!$B$56*HSCEI!$G$56/HSCEI!$B$3,""))</f>
        <v/>
      </c>
      <c r="BV209" s="110">
        <f>IF(H209="","",IFERROR(H209*HSCEI!$B$56*HSCEI!$G$56/HSCEI!$B$3,""))</f>
        <v/>
      </c>
      <c r="BW209" s="110">
        <f>IF(I209="","",IFERROR(I209*HSCEI!$B$56*HSCEI!$G$56/HSCEI!$B$3,""))</f>
        <v/>
      </c>
      <c r="BX209" s="110">
        <f>IF(J209="","",IFERROR(J209*HSCEI!$B$56*HSCEI!$G$56/HSCEI!$B$3,""))</f>
        <v/>
      </c>
      <c r="BY209" s="110">
        <f>IF(K209="","",IFERROR(K209*HSCEI!$B$56*HSCEI!$G$56/HSCEI!$B$3,""))</f>
        <v/>
      </c>
      <c r="BZ209" s="110">
        <f>IF(L209="","",IFERROR(L209*HSCEI!$B$56*HSCEI!$G$56/HSCEI!$B$3,""))</f>
        <v/>
      </c>
      <c r="CA209" s="110">
        <f>IF(M209="","",IFERROR(M209*HSCEI!$B$56*HSCEI!$G$56/HSCEI!$B$3,""))</f>
        <v/>
      </c>
      <c r="CB209" s="110">
        <f>IF(N209="","",IFERROR(N209*HSCEI!$B$56*HSCEI!$G$56/HSCEI!$B$3,""))</f>
        <v/>
      </c>
      <c r="CC209" s="110">
        <f>IF(O209="","",IFERROR(O209*HSCEI!$B$56*HSCEI!$G$56/HSCEI!$B$3,""))</f>
        <v/>
      </c>
      <c r="CD209" s="110">
        <f>IF(P209="","",IFERROR(P209*HSCEI!$B$56*HSCEI!$G$56/HSCEI!$B$3,""))</f>
        <v/>
      </c>
      <c r="CE209" s="110">
        <f>IF(Q209="","",IFERROR(Q209*HSCEI!$B$56*HSCEI!$G$56/HSCEI!$B$3,""))</f>
        <v/>
      </c>
      <c r="CF209" s="110">
        <f>IF(R209="","",IFERROR(R209*HSCEI!$B$56*HSCEI!$G$56/HSCEI!$B$3,""))</f>
        <v/>
      </c>
      <c r="CG209" s="110">
        <f>IF(S209="","",IFERROR(S209*HSCEI!$B$56*HSCEI!$G$56/HSCEI!$B$3,""))</f>
        <v/>
      </c>
      <c r="CH209" s="110">
        <f>IF(T209="","",IFERROR(T209*HSCEI!$B$56*HSCEI!$G$56/HSCEI!$B$3,""))</f>
        <v/>
      </c>
      <c r="CI209" s="110">
        <f>IF(U209="","",IFERROR(U209*HSCEI!$B$56*HSCEI!$G$56/HSCEI!$B$3,""))</f>
        <v/>
      </c>
      <c r="CJ209" s="110">
        <f>IF(V209="","",IFERROR(V209*HSCEI!$B$56*HSCEI!$G$56/HSCEI!$B$3,""))</f>
        <v/>
      </c>
      <c r="CK209" s="110">
        <f>IF(W209="","",IFERROR(W209*HSCEI!$B$56*HSCEI!$G$56/HSCEI!$B$3,""))</f>
        <v/>
      </c>
      <c r="CL209" s="110">
        <f>IF(X209="","",IFERROR(X209*HSCEI!$B$56*HSCEI!$G$56/HSCEI!$B$3,""))</f>
        <v/>
      </c>
      <c r="CM209" s="110">
        <f>IF(Y209="","",IFERROR(Y209*HSCEI!$B$56*HSCEI!$G$56/HSCEI!$B$3,""))</f>
        <v/>
      </c>
      <c r="CN209" s="110">
        <f>IF(Z209="","",IFERROR(Z209*HSCEI!$B$56*HSCEI!$G$56/HSCEI!$B$3,""))</f>
        <v/>
      </c>
      <c r="CO209" s="110">
        <f>IF(AA209="","",IFERROR(AA209*HSCEI!$B$56*HSCEI!$G$56/HSCEI!$B$3,""))</f>
        <v/>
      </c>
      <c r="CP209" s="110">
        <f>IF(AB209="","",IFERROR(AB209*HSCEI!$B$56*HSCEI!$G$56/HSCEI!$B$3,""))</f>
        <v/>
      </c>
      <c r="CQ209" s="110">
        <f>IF(AC209="","",IFERROR(AC209*HSCEI!$B$56*HSCEI!$G$56/HSCEI!$B$3,""))</f>
        <v/>
      </c>
      <c r="CR209" s="110">
        <f>IF(AD209="","",IFERROR(AD209*HSCEI!$B$56*HSCEI!$G$56/HSCEI!$B$3,""))</f>
        <v/>
      </c>
      <c r="CS209" s="110">
        <f>IF(AE209="","",IFERROR(AE209*HSCEI!$B$56*HSCEI!$G$56/HSCEI!$B$3,""))</f>
        <v/>
      </c>
      <c r="CT209" s="110">
        <f>IF(AF209="","",IFERROR(AF209*HSCEI!$B$56*HSCEI!$G$56/HSCEI!$B$3,""))</f>
        <v/>
      </c>
      <c r="CU209" s="110">
        <f>IF(AG209="","",IFERROR(AG209*HSCEI!$B$56*HSCEI!$G$56/HSCEI!$B$3,""))</f>
        <v/>
      </c>
      <c r="CV209" s="110">
        <f>IF(AH209="","",IFERROR(AH209*HSCEI!$B$56*HSCEI!$G$56/HSCEI!$B$3,""))</f>
        <v/>
      </c>
      <c r="CW209" s="110">
        <f>IF(AI209="","",IFERROR(AI209*HSCEI!$B$56*HSCEI!$G$56/HSCEI!$B$3,""))</f>
        <v/>
      </c>
      <c r="CX209" s="110">
        <f>IF(AJ209="","",IFERROR(AJ209*HSCEI!$B$56*HSCEI!$G$56/HSCEI!$B$3,""))</f>
        <v/>
      </c>
      <c r="CY209" s="110">
        <f>IF(AK209="","",IFERROR(AK209*HSCEI!$B$56*HSCEI!$G$56/HSCEI!$B$3,""))</f>
        <v/>
      </c>
      <c r="CZ209" s="110">
        <f>IF(AL209="","",IFERROR(AL209*HSCEI!$B$56*HSCEI!$G$56/HSCEI!$B$3,""))</f>
        <v/>
      </c>
      <c r="DA209" s="110">
        <f>IF(AM209="","",IFERROR(AM209*HSCEI!$B$56*HSCEI!$G$56/HSCEI!$B$3,""))</f>
        <v/>
      </c>
      <c r="DB209" s="110">
        <f>IF(AN209="","",IFERROR(AN209*HSCEI!$B$56*HSCEI!$G$56/HSCEI!$B$3,""))</f>
        <v/>
      </c>
      <c r="DC209" s="110">
        <f>IF(AO209="","",IFERROR(AO209*HSCEI!$B$56*HSCEI!$G$56/HSCEI!$B$3,""))</f>
        <v/>
      </c>
      <c r="DD209" s="110">
        <f>IF(AP209="","",IFERROR(AP209*HSCEI!$B$56*HSCEI!$G$56/HSCEI!$B$3,""))</f>
        <v/>
      </c>
      <c r="DE209" s="110">
        <f>IF(AQ209="","",IFERROR(AQ209*HSCEI!$B$56*HSCEI!$G$56/HSCEI!$B$3,""))</f>
        <v/>
      </c>
      <c r="DF209" s="110">
        <f>IF(AR209="","",IFERROR(AR209*HSCEI!$B$56*HSCEI!$G$56/HSCEI!$B$3,""))</f>
        <v/>
      </c>
      <c r="DG209" s="110">
        <f>IF(AS209="","",IFERROR(AS209*HSCEI!$B$56*HSCEI!$G$56/HSCEI!$B$3,""))</f>
        <v/>
      </c>
      <c r="DH209" s="110">
        <f>IF(AT209="","",IFERROR(AT209*HSCEI!$B$56*HSCEI!$G$56/HSCEI!$B$3,""))</f>
        <v/>
      </c>
      <c r="DI209" s="110">
        <f>IF(AU209="","",IFERROR(AU209*HSCEI!$B$56*HSCEI!$G$56/HSCEI!$B$3,""))</f>
        <v/>
      </c>
      <c r="DJ209" s="110">
        <f>IF(AV209="","",IFERROR(AV209*HSCEI!$B$56*HSCEI!$G$56/HSCEI!$B$3,""))</f>
        <v/>
      </c>
      <c r="DK209" s="110">
        <f>IF(AW209="","",IFERROR(AW209*HSCEI!$B$56*HSCEI!$G$56/HSCEI!$B$3,""))</f>
        <v/>
      </c>
      <c r="DL209" s="110">
        <f>IF(AX209="","",IFERROR(AX209*HSCEI!$B$56*HSCEI!$G$56/HSCEI!$B$3,""))</f>
        <v/>
      </c>
      <c r="DM209" s="110">
        <f>IF(AY209="","",IFERROR(AY209*HSCEI!$B$56*HSCEI!$G$56/HSCEI!$B$3,""))</f>
        <v/>
      </c>
      <c r="DN209" s="110">
        <f>IF(AZ209="","",IFERROR(AZ209*HSCEI!$B$56*HSCEI!$G$56/HSCEI!$B$3,""))</f>
        <v/>
      </c>
      <c r="DO209" s="110">
        <f>IF(BA209="","",IFERROR(BA209*HSCEI!$B$56*HSCEI!$G$56/HSCEI!$B$3,""))</f>
        <v/>
      </c>
      <c r="DP209" s="110">
        <f>IF(BB209="","",IFERROR(BB209*HSCEI!$B$56*HSCEI!$G$56/HSCEI!$B$3,""))</f>
        <v/>
      </c>
      <c r="DQ209" s="110">
        <f>IF(BC209="","",IFERROR(BC209*HSCEI!$B$56*HSCEI!$G$56/HSCEI!$B$3,""))</f>
        <v/>
      </c>
      <c r="DR209" s="110">
        <f>IF(BD209="","",IFERROR(BD209*HSCEI!$B$56*HSCEI!$G$56/HSCEI!$B$3,""))</f>
        <v/>
      </c>
      <c r="DS209" s="110">
        <f>IF(BE209="","",IFERROR(BE209*HSCEI!$B$56*HSCEI!$G$56/HSCEI!$B$3,""))</f>
        <v/>
      </c>
      <c r="DT209" s="110">
        <f>IF(BF209="","",IFERROR(BF209*HSCEI!$B$56*HSCEI!$G$56/HSCEI!$B$3,""))</f>
        <v/>
      </c>
      <c r="DU209" s="110">
        <f>IF(BG209="","",IFERROR(BG209*HSCEI!$B$56*HSCEI!$G$56/HSCEI!$B$3,""))</f>
        <v/>
      </c>
      <c r="DV209" s="110">
        <f>IF(BH209="","",IFERROR(BH209*HSCEI!$B$56*HSCEI!$G$56/HSCEI!$B$3,""))</f>
        <v/>
      </c>
      <c r="DW209" s="110">
        <f>IF(BI209="","",IFERROR(BI209*HSCEI!$B$56*HSCEI!$G$56/HSCEI!$B$3,""))</f>
        <v/>
      </c>
      <c r="DX209" s="110">
        <f>IF(BJ209="","",IFERROR(BJ209*HSCEI!$B$56*HSCEI!$G$56/HSCEI!$B$3,""))</f>
        <v/>
      </c>
      <c r="DY209" s="110">
        <f>IF(BK209="","",IFERROR(BK209*HSCEI!$B$56*HSCEI!$G$56/HSCEI!$B$3,""))</f>
        <v/>
      </c>
      <c r="DZ209" s="110">
        <f>IF(BL209="","",IFERROR(BL209*HSCEI!$B$56*HSCEI!$G$56/HSCEI!$B$3,""))</f>
        <v/>
      </c>
      <c r="EA209" s="110">
        <f>IF(BM209="","",IFERROR(BM209*HSCEI!$B$56*HSCEI!$G$56/HSCEI!$B$3,""))</f>
        <v/>
      </c>
      <c r="EB209" s="110">
        <f>IF(BN209="","",IFERROR(BN209*HSCEI!$B$56*HSCEI!$G$56/HSCEI!$B$3,""))</f>
        <v/>
      </c>
      <c r="EC209" s="110">
        <f>IF(BO209="","",IFERROR(BO209*HSCEI!$B$56*HSCEI!$G$56/HSCEI!$B$3,""))</f>
        <v/>
      </c>
      <c r="EE209" s="39">
        <f>IF(N('Dvd Calendar'!$E$2100)=0,"",IF(('Dvd Calendar'!$E$2100&gt;=GRID_FROM)*('Dvd Calendar'!$E$2100&lt;=GRID_TO)*((('Dvd Calendar'!$E$2100&lt;=VAL_DATE)+(COUNTIF('Dvd Calendar'!$E$2107:$AR$2107,'Dvd Calendar'!$E$2100)=0))&gt;0)=0,"",'Dvd Calendar'!$E$2100*1000000000+ISNUMBER('Dvd Calendar'!$E$2103)*100000000+('Dvd Calendar'!$E$2105=SPECIAL_LBL)*10000000+(N('Dvd Calendar'!$E$2099)&gt;0)*(N('Dvd Calendar'!$E$2099)&lt;=VAL_SERIAL)*1000000+50*1000+1))</f>
        <v/>
      </c>
      <c r="EF209" s="39">
        <f>IF(N('Dvd Calendar'!$F$2100)=0,"",IF(('Dvd Calendar'!$F$2100&gt;=GRID_FROM)*('Dvd Calendar'!$F$2100&lt;=GRID_TO)*((('Dvd Calendar'!$F$2100&lt;=VAL_DATE)+(COUNTIF('Dvd Calendar'!$E$2107:$AR$2107,'Dvd Calendar'!$F$2100)=0))&gt;0)=0,"",'Dvd Calendar'!$F$2100*1000000000+ISNUMBER('Dvd Calendar'!$F$2103)*100000000+('Dvd Calendar'!$F$2105=SPECIAL_LBL)*10000000+(N('Dvd Calendar'!$F$2099)&gt;0)*(N('Dvd Calendar'!$F$2099)&lt;=VAL_SERIAL)*1000000+50*1000+2))</f>
        <v/>
      </c>
      <c r="EG209" s="39">
        <f>IF(N('Dvd Calendar'!$G$2100)=0,"",IF(('Dvd Calendar'!$G$2100&gt;=GRID_FROM)*('Dvd Calendar'!$G$2100&lt;=GRID_TO)*((('Dvd Calendar'!$G$2100&lt;=VAL_DATE)+(COUNTIF('Dvd Calendar'!$E$2107:$AR$2107,'Dvd Calendar'!$G$2100)=0))&gt;0)=0,"",'Dvd Calendar'!$G$2100*1000000000+ISNUMBER('Dvd Calendar'!$G$2103)*100000000+('Dvd Calendar'!$G$2105=SPECIAL_LBL)*10000000+(N('Dvd Calendar'!$G$2099)&gt;0)*(N('Dvd Calendar'!$G$2099)&lt;=VAL_SERIAL)*1000000+50*1000+3))</f>
        <v/>
      </c>
      <c r="EH209" s="39">
        <f>IF(N('Dvd Calendar'!$H$2100)=0,"",IF(('Dvd Calendar'!$H$2100&gt;=GRID_FROM)*('Dvd Calendar'!$H$2100&lt;=GRID_TO)*((('Dvd Calendar'!$H$2100&lt;=VAL_DATE)+(COUNTIF('Dvd Calendar'!$E$2107:$AR$2107,'Dvd Calendar'!$H$2100)=0))&gt;0)=0,"",'Dvd Calendar'!$H$2100*1000000000+ISNUMBER('Dvd Calendar'!$H$2103)*100000000+('Dvd Calendar'!$H$2105=SPECIAL_LBL)*10000000+(N('Dvd Calendar'!$H$2099)&gt;0)*(N('Dvd Calendar'!$H$2099)&lt;=VAL_SERIAL)*1000000+50*1000+4))</f>
        <v/>
      </c>
      <c r="EI209" s="39">
        <f>IF(N('Dvd Calendar'!$I$2100)=0,"",IF(('Dvd Calendar'!$I$2100&gt;=GRID_FROM)*('Dvd Calendar'!$I$2100&lt;=GRID_TO)*((('Dvd Calendar'!$I$2100&lt;=VAL_DATE)+(COUNTIF('Dvd Calendar'!$E$2107:$AR$2107,'Dvd Calendar'!$I$2100)=0))&gt;0)=0,"",'Dvd Calendar'!$I$2100*1000000000+ISNUMBER('Dvd Calendar'!$I$2103)*100000000+('Dvd Calendar'!$I$2105=SPECIAL_LBL)*10000000+(N('Dvd Calendar'!$I$2099)&gt;0)*(N('Dvd Calendar'!$I$2099)&lt;=VAL_SERIAL)*1000000+50*1000+5))</f>
        <v/>
      </c>
      <c r="EJ209" s="39">
        <f>IF(N('Dvd Calendar'!$J$2100)=0,"",IF(('Dvd Calendar'!$J$2100&gt;=GRID_FROM)*('Dvd Calendar'!$J$2100&lt;=GRID_TO)*((('Dvd Calendar'!$J$2100&lt;=VAL_DATE)+(COUNTIF('Dvd Calendar'!$E$2107:$AR$2107,'Dvd Calendar'!$J$2100)=0))&gt;0)=0,"",'Dvd Calendar'!$J$2100*1000000000+ISNUMBER('Dvd Calendar'!$J$2103)*100000000+('Dvd Calendar'!$J$2105=SPECIAL_LBL)*10000000+(N('Dvd Calendar'!$J$2099)&gt;0)*(N('Dvd Calendar'!$J$2099)&lt;=VAL_SERIAL)*1000000+50*1000+6))</f>
        <v/>
      </c>
      <c r="EK209" s="39">
        <f>IF(N('Dvd Calendar'!$K$2100)=0,"",IF(('Dvd Calendar'!$K$2100&gt;=GRID_FROM)*('Dvd Calendar'!$K$2100&lt;=GRID_TO)*((('Dvd Calendar'!$K$2100&lt;=VAL_DATE)+(COUNTIF('Dvd Calendar'!$E$2107:$AR$2107,'Dvd Calendar'!$K$2100)=0))&gt;0)=0,"",'Dvd Calendar'!$K$2100*1000000000+ISNUMBER('Dvd Calendar'!$K$2103)*100000000+('Dvd Calendar'!$K$2105=SPECIAL_LBL)*10000000+(N('Dvd Calendar'!$K$2099)&gt;0)*(N('Dvd Calendar'!$K$2099)&lt;=VAL_SERIAL)*1000000+50*1000+7))</f>
        <v/>
      </c>
      <c r="EL209" s="39">
        <f>IF(N('Dvd Calendar'!$L$2100)=0,"",IF(('Dvd Calendar'!$L$2100&gt;=GRID_FROM)*('Dvd Calendar'!$L$2100&lt;=GRID_TO)*((('Dvd Calendar'!$L$2100&lt;=VAL_DATE)+(COUNTIF('Dvd Calendar'!$E$2107:$AR$2107,'Dvd Calendar'!$L$2100)=0))&gt;0)=0,"",'Dvd Calendar'!$L$2100*1000000000+ISNUMBER('Dvd Calendar'!$L$2103)*100000000+('Dvd Calendar'!$L$2105=SPECIAL_LBL)*10000000+(N('Dvd Calendar'!$L$2099)&gt;0)*(N('Dvd Calendar'!$L$2099)&lt;=VAL_SERIAL)*1000000+50*1000+8))</f>
        <v/>
      </c>
      <c r="EM209" s="39">
        <f>IF(N('Dvd Calendar'!$M$2100)=0,"",IF(('Dvd Calendar'!$M$2100&gt;=GRID_FROM)*('Dvd Calendar'!$M$2100&lt;=GRID_TO)*((('Dvd Calendar'!$M$2100&lt;=VAL_DATE)+(COUNTIF('Dvd Calendar'!$E$2107:$AR$2107,'Dvd Calendar'!$M$2100)=0))&gt;0)=0,"",'Dvd Calendar'!$M$2100*1000000000+ISNUMBER('Dvd Calendar'!$M$2103)*100000000+('Dvd Calendar'!$M$2105=SPECIAL_LBL)*10000000+(N('Dvd Calendar'!$M$2099)&gt;0)*(N('Dvd Calendar'!$M$2099)&lt;=VAL_SERIAL)*1000000+50*1000+9))</f>
        <v/>
      </c>
      <c r="EN209" s="39">
        <f>IF(N('Dvd Calendar'!$N$2100)=0,"",IF(('Dvd Calendar'!$N$2100&gt;=GRID_FROM)*('Dvd Calendar'!$N$2100&lt;=GRID_TO)*((('Dvd Calendar'!$N$2100&lt;=VAL_DATE)+(COUNTIF('Dvd Calendar'!$E$2107:$AR$2107,'Dvd Calendar'!$N$2100)=0))&gt;0)=0,"",'Dvd Calendar'!$N$2100*1000000000+ISNUMBER('Dvd Calendar'!$N$2103)*100000000+('Dvd Calendar'!$N$2105=SPECIAL_LBL)*10000000+(N('Dvd Calendar'!$N$2099)&gt;0)*(N('Dvd Calendar'!$N$2099)&lt;=VAL_SERIAL)*1000000+50*1000+10))</f>
        <v/>
      </c>
      <c r="EO209" s="39">
        <f>IF(N('Dvd Calendar'!$O$2100)=0,"",IF(('Dvd Calendar'!$O$2100&gt;=GRID_FROM)*('Dvd Calendar'!$O$2100&lt;=GRID_TO)*((('Dvd Calendar'!$O$2100&lt;=VAL_DATE)+(COUNTIF('Dvd Calendar'!$E$2107:$AR$2107,'Dvd Calendar'!$O$2100)=0))&gt;0)=0,"",'Dvd Calendar'!$O$2100*1000000000+ISNUMBER('Dvd Calendar'!$O$2103)*100000000+('Dvd Calendar'!$O$2105=SPECIAL_LBL)*10000000+(N('Dvd Calendar'!$O$2099)&gt;0)*(N('Dvd Calendar'!$O$2099)&lt;=VAL_SERIAL)*1000000+50*1000+11))</f>
        <v/>
      </c>
      <c r="EP209" s="39">
        <f>IF(N('Dvd Calendar'!$P$2100)=0,"",IF(('Dvd Calendar'!$P$2100&gt;=GRID_FROM)*('Dvd Calendar'!$P$2100&lt;=GRID_TO)*((('Dvd Calendar'!$P$2100&lt;=VAL_DATE)+(COUNTIF('Dvd Calendar'!$E$2107:$AR$2107,'Dvd Calendar'!$P$2100)=0))&gt;0)=0,"",'Dvd Calendar'!$P$2100*1000000000+ISNUMBER('Dvd Calendar'!$P$2103)*100000000+('Dvd Calendar'!$P$2105=SPECIAL_LBL)*10000000+(N('Dvd Calendar'!$P$2099)&gt;0)*(N('Dvd Calendar'!$P$2099)&lt;=VAL_SERIAL)*1000000+50*1000+12))</f>
        <v/>
      </c>
      <c r="EQ209" s="39">
        <f>IF(N('Dvd Calendar'!$Q$2100)=0,"",IF(('Dvd Calendar'!$Q$2100&gt;=GRID_FROM)*('Dvd Calendar'!$Q$2100&lt;=GRID_TO)*((('Dvd Calendar'!$Q$2100&lt;=VAL_DATE)+(COUNTIF('Dvd Calendar'!$E$2107:$AR$2107,'Dvd Calendar'!$Q$2100)=0))&gt;0)=0,"",'Dvd Calendar'!$Q$2100*1000000000+ISNUMBER('Dvd Calendar'!$Q$2103)*100000000+('Dvd Calendar'!$Q$2105=SPECIAL_LBL)*10000000+(N('Dvd Calendar'!$Q$2099)&gt;0)*(N('Dvd Calendar'!$Q$2099)&lt;=VAL_SERIAL)*1000000+50*1000+13))</f>
        <v/>
      </c>
      <c r="ER209" s="39">
        <f>IF(N('Dvd Calendar'!$R$2100)=0,"",IF(('Dvd Calendar'!$R$2100&gt;=GRID_FROM)*('Dvd Calendar'!$R$2100&lt;=GRID_TO)*((('Dvd Calendar'!$R$2100&lt;=VAL_DATE)+(COUNTIF('Dvd Calendar'!$E$2107:$AR$2107,'Dvd Calendar'!$R$2100)=0))&gt;0)=0,"",'Dvd Calendar'!$R$2100*1000000000+ISNUMBER('Dvd Calendar'!$R$2103)*100000000+('Dvd Calendar'!$R$2105=SPECIAL_LBL)*10000000+(N('Dvd Calendar'!$R$2099)&gt;0)*(N('Dvd Calendar'!$R$2099)&lt;=VAL_SERIAL)*1000000+50*1000+14))</f>
        <v/>
      </c>
      <c r="ES209" s="39">
        <f>IF(N('Dvd Calendar'!$S$2100)=0,"",IF(('Dvd Calendar'!$S$2100&gt;=GRID_FROM)*('Dvd Calendar'!$S$2100&lt;=GRID_TO)*((('Dvd Calendar'!$S$2100&lt;=VAL_DATE)+(COUNTIF('Dvd Calendar'!$E$2107:$AR$2107,'Dvd Calendar'!$S$2100)=0))&gt;0)=0,"",'Dvd Calendar'!$S$2100*1000000000+ISNUMBER('Dvd Calendar'!$S$2103)*100000000+('Dvd Calendar'!$S$2105=SPECIAL_LBL)*10000000+(N('Dvd Calendar'!$S$2099)&gt;0)*(N('Dvd Calendar'!$S$2099)&lt;=VAL_SERIAL)*1000000+50*1000+15))</f>
        <v/>
      </c>
      <c r="ET209" s="39">
        <f>IF(N('Dvd Calendar'!$T$2100)=0,"",IF(('Dvd Calendar'!$T$2100&gt;=GRID_FROM)*('Dvd Calendar'!$T$2100&lt;=GRID_TO)*((('Dvd Calendar'!$T$2100&lt;=VAL_DATE)+(COUNTIF('Dvd Calendar'!$E$2107:$AR$2107,'Dvd Calendar'!$T$2100)=0))&gt;0)=0,"",'Dvd Calendar'!$T$2100*1000000000+ISNUMBER('Dvd Calendar'!$T$2103)*100000000+('Dvd Calendar'!$T$2105=SPECIAL_LBL)*10000000+(N('Dvd Calendar'!$T$2099)&gt;0)*(N('Dvd Calendar'!$T$2099)&lt;=VAL_SERIAL)*1000000+50*1000+16))</f>
        <v/>
      </c>
      <c r="EU209" s="39">
        <f>IF(N('Dvd Calendar'!$U$2100)=0,"",IF(('Dvd Calendar'!$U$2100&gt;=GRID_FROM)*('Dvd Calendar'!$U$2100&lt;=GRID_TO)*((('Dvd Calendar'!$U$2100&lt;=VAL_DATE)+(COUNTIF('Dvd Calendar'!$E$2107:$AR$2107,'Dvd Calendar'!$U$2100)=0))&gt;0)=0,"",'Dvd Calendar'!$U$2100*1000000000+ISNUMBER('Dvd Calendar'!$U$2103)*100000000+('Dvd Calendar'!$U$2105=SPECIAL_LBL)*10000000+(N('Dvd Calendar'!$U$2099)&gt;0)*(N('Dvd Calendar'!$U$2099)&lt;=VAL_SERIAL)*1000000+50*1000+17))</f>
        <v/>
      </c>
      <c r="EV209" s="39">
        <f>IF(N('Dvd Calendar'!$V$2100)=0,"",IF(('Dvd Calendar'!$V$2100&gt;=GRID_FROM)*('Dvd Calendar'!$V$2100&lt;=GRID_TO)*((('Dvd Calendar'!$V$2100&lt;=VAL_DATE)+(COUNTIF('Dvd Calendar'!$E$2107:$AR$2107,'Dvd Calendar'!$V$2100)=0))&gt;0)=0,"",'Dvd Calendar'!$V$2100*1000000000+ISNUMBER('Dvd Calendar'!$V$2103)*100000000+('Dvd Calendar'!$V$2105=SPECIAL_LBL)*10000000+(N('Dvd Calendar'!$V$2099)&gt;0)*(N('Dvd Calendar'!$V$2099)&lt;=VAL_SERIAL)*1000000+50*1000+18))</f>
        <v/>
      </c>
      <c r="EW209" s="39">
        <f>IF(N('Dvd Calendar'!$W$2100)=0,"",IF(('Dvd Calendar'!$W$2100&gt;=GRID_FROM)*('Dvd Calendar'!$W$2100&lt;=GRID_TO)*((('Dvd Calendar'!$W$2100&lt;=VAL_DATE)+(COUNTIF('Dvd Calendar'!$E$2107:$AR$2107,'Dvd Calendar'!$W$2100)=0))&gt;0)=0,"",'Dvd Calendar'!$W$2100*1000000000+ISNUMBER('Dvd Calendar'!$W$2103)*100000000+('Dvd Calendar'!$W$2105=SPECIAL_LBL)*10000000+(N('Dvd Calendar'!$W$2099)&gt;0)*(N('Dvd Calendar'!$W$2099)&lt;=VAL_SERIAL)*1000000+50*1000+19))</f>
        <v/>
      </c>
      <c r="EX209" s="39">
        <f>IF(N('Dvd Calendar'!$X$2100)=0,"",IF(('Dvd Calendar'!$X$2100&gt;=GRID_FROM)*('Dvd Calendar'!$X$2100&lt;=GRID_TO)*((('Dvd Calendar'!$X$2100&lt;=VAL_DATE)+(COUNTIF('Dvd Calendar'!$E$2107:$AR$2107,'Dvd Calendar'!$X$2100)=0))&gt;0)=0,"",'Dvd Calendar'!$X$2100*1000000000+ISNUMBER('Dvd Calendar'!$X$2103)*100000000+('Dvd Calendar'!$X$2105=SPECIAL_LBL)*10000000+(N('Dvd Calendar'!$X$2099)&gt;0)*(N('Dvd Calendar'!$X$2099)&lt;=VAL_SERIAL)*1000000+50*1000+20))</f>
        <v/>
      </c>
      <c r="EY209" s="39">
        <f>IF(N('Dvd Calendar'!$Y$2100)=0,"",IF(('Dvd Calendar'!$Y$2100&gt;=GRID_FROM)*('Dvd Calendar'!$Y$2100&lt;=GRID_TO)*((('Dvd Calendar'!$Y$2100&lt;=VAL_DATE)+(COUNTIF('Dvd Calendar'!$E$2107:$AR$2107,'Dvd Calendar'!$Y$2100)=0))&gt;0)=0,"",'Dvd Calendar'!$Y$2100*1000000000+ISNUMBER('Dvd Calendar'!$Y$2103)*100000000+('Dvd Calendar'!$Y$2105=SPECIAL_LBL)*10000000+(N('Dvd Calendar'!$Y$2099)&gt;0)*(N('Dvd Calendar'!$Y$2099)&lt;=VAL_SERIAL)*1000000+50*1000+21))</f>
        <v/>
      </c>
      <c r="EZ209" s="39">
        <f>IF(N('Dvd Calendar'!$Z$2100)=0,"",IF(('Dvd Calendar'!$Z$2100&gt;=GRID_FROM)*('Dvd Calendar'!$Z$2100&lt;=GRID_TO)*((('Dvd Calendar'!$Z$2100&lt;=VAL_DATE)+(COUNTIF('Dvd Calendar'!$E$2107:$AR$2107,'Dvd Calendar'!$Z$2100)=0))&gt;0)=0,"",'Dvd Calendar'!$Z$2100*1000000000+ISNUMBER('Dvd Calendar'!$Z$2103)*100000000+('Dvd Calendar'!$Z$2105=SPECIAL_LBL)*10000000+(N('Dvd Calendar'!$Z$2099)&gt;0)*(N('Dvd Calendar'!$Z$2099)&lt;=VAL_SERIAL)*1000000+50*1000+22))</f>
        <v/>
      </c>
      <c r="FA209" s="39">
        <f>IF(N('Dvd Calendar'!$AA$2100)=0,"",IF(('Dvd Calendar'!$AA$2100&gt;=GRID_FROM)*('Dvd Calendar'!$AA$2100&lt;=GRID_TO)*((('Dvd Calendar'!$AA$2100&lt;=VAL_DATE)+(COUNTIF('Dvd Calendar'!$E$2107:$AR$2107,'Dvd Calendar'!$AA$2100)=0))&gt;0)=0,"",'Dvd Calendar'!$AA$2100*1000000000+ISNUMBER('Dvd Calendar'!$AA$2103)*100000000+('Dvd Calendar'!$AA$2105=SPECIAL_LBL)*10000000+(N('Dvd Calendar'!$AA$2099)&gt;0)*(N('Dvd Calendar'!$AA$2099)&lt;=VAL_SERIAL)*1000000+50*1000+23))</f>
        <v/>
      </c>
      <c r="FB209" s="39">
        <f>IF(N('Dvd Calendar'!$AB$2100)=0,"",IF(('Dvd Calendar'!$AB$2100&gt;=GRID_FROM)*('Dvd Calendar'!$AB$2100&lt;=GRID_TO)*((('Dvd Calendar'!$AB$2100&lt;=VAL_DATE)+(COUNTIF('Dvd Calendar'!$E$2107:$AR$2107,'Dvd Calendar'!$AB$2100)=0))&gt;0)=0,"",'Dvd Calendar'!$AB$2100*1000000000+ISNUMBER('Dvd Calendar'!$AB$2103)*100000000+('Dvd Calendar'!$AB$2105=SPECIAL_LBL)*10000000+(N('Dvd Calendar'!$AB$2099)&gt;0)*(N('Dvd Calendar'!$AB$2099)&lt;=VAL_SERIAL)*1000000+50*1000+24))</f>
        <v/>
      </c>
      <c r="FC209" s="39">
        <f>IF(N('Dvd Calendar'!$AC$2100)=0,"",IF(('Dvd Calendar'!$AC$2100&gt;=GRID_FROM)*('Dvd Calendar'!$AC$2100&lt;=GRID_TO)*((('Dvd Calendar'!$AC$2100&lt;=VAL_DATE)+(COUNTIF('Dvd Calendar'!$E$2107:$AR$2107,'Dvd Calendar'!$AC$2100)=0))&gt;0)=0,"",'Dvd Calendar'!$AC$2100*1000000000+ISNUMBER('Dvd Calendar'!$AC$2103)*100000000+('Dvd Calendar'!$AC$2105=SPECIAL_LBL)*10000000+(N('Dvd Calendar'!$AC$2099)&gt;0)*(N('Dvd Calendar'!$AC$2099)&lt;=VAL_SERIAL)*1000000+50*1000+25))</f>
        <v/>
      </c>
      <c r="FD209" s="39">
        <f>IF(N('Dvd Calendar'!$AD$2100)=0,"",IF(('Dvd Calendar'!$AD$2100&gt;=GRID_FROM)*('Dvd Calendar'!$AD$2100&lt;=GRID_TO)*((('Dvd Calendar'!$AD$2100&lt;=VAL_DATE)+(COUNTIF('Dvd Calendar'!$E$2107:$AR$2107,'Dvd Calendar'!$AD$2100)=0))&gt;0)=0,"",'Dvd Calendar'!$AD$2100*1000000000+ISNUMBER('Dvd Calendar'!$AD$2103)*100000000+('Dvd Calendar'!$AD$2105=SPECIAL_LBL)*10000000+(N('Dvd Calendar'!$AD$2099)&gt;0)*(N('Dvd Calendar'!$AD$2099)&lt;=VAL_SERIAL)*1000000+50*1000+26))</f>
        <v/>
      </c>
      <c r="FE209" s="39">
        <f>IF(N('Dvd Calendar'!$AE$2100)=0,"",IF(('Dvd Calendar'!$AE$2100&gt;=GRID_FROM)*('Dvd Calendar'!$AE$2100&lt;=GRID_TO)*((('Dvd Calendar'!$AE$2100&lt;=VAL_DATE)+(COUNTIF('Dvd Calendar'!$E$2107:$AR$2107,'Dvd Calendar'!$AE$2100)=0))&gt;0)=0,"",'Dvd Calendar'!$AE$2100*1000000000+ISNUMBER('Dvd Calendar'!$AE$2103)*100000000+('Dvd Calendar'!$AE$2105=SPECIAL_LBL)*10000000+(N('Dvd Calendar'!$AE$2099)&gt;0)*(N('Dvd Calendar'!$AE$2099)&lt;=VAL_SERIAL)*1000000+50*1000+27))</f>
        <v/>
      </c>
      <c r="FF209" s="39">
        <f>IF(N('Dvd Calendar'!$AF$2100)=0,"",IF(('Dvd Calendar'!$AF$2100&gt;=GRID_FROM)*('Dvd Calendar'!$AF$2100&lt;=GRID_TO)*((('Dvd Calendar'!$AF$2100&lt;=VAL_DATE)+(COUNTIF('Dvd Calendar'!$E$2107:$AR$2107,'Dvd Calendar'!$AF$2100)=0))&gt;0)=0,"",'Dvd Calendar'!$AF$2100*1000000000+ISNUMBER('Dvd Calendar'!$AF$2103)*100000000+('Dvd Calendar'!$AF$2105=SPECIAL_LBL)*10000000+(N('Dvd Calendar'!$AF$2099)&gt;0)*(N('Dvd Calendar'!$AF$2099)&lt;=VAL_SERIAL)*1000000+50*1000+28))</f>
        <v/>
      </c>
      <c r="FG209" s="39">
        <f>IF(N('Dvd Calendar'!$AG$2100)=0,"",IF(('Dvd Calendar'!$AG$2100&gt;=GRID_FROM)*('Dvd Calendar'!$AG$2100&lt;=GRID_TO)*((('Dvd Calendar'!$AG$2100&lt;=VAL_DATE)+(COUNTIF('Dvd Calendar'!$E$2107:$AR$2107,'Dvd Calendar'!$AG$2100)=0))&gt;0)=0,"",'Dvd Calendar'!$AG$2100*1000000000+ISNUMBER('Dvd Calendar'!$AG$2103)*100000000+('Dvd Calendar'!$AG$2105=SPECIAL_LBL)*10000000+(N('Dvd Calendar'!$AG$2099)&gt;0)*(N('Dvd Calendar'!$AG$2099)&lt;=VAL_SERIAL)*1000000+50*1000+29))</f>
        <v/>
      </c>
      <c r="FH209" s="39">
        <f>IF(N('Dvd Calendar'!$AH$2100)=0,"",IF(('Dvd Calendar'!$AH$2100&gt;=GRID_FROM)*('Dvd Calendar'!$AH$2100&lt;=GRID_TO)*((('Dvd Calendar'!$AH$2100&lt;=VAL_DATE)+(COUNTIF('Dvd Calendar'!$E$2107:$AR$2107,'Dvd Calendar'!$AH$2100)=0))&gt;0)=0,"",'Dvd Calendar'!$AH$2100*1000000000+ISNUMBER('Dvd Calendar'!$AH$2103)*100000000+('Dvd Calendar'!$AH$2105=SPECIAL_LBL)*10000000+(N('Dvd Calendar'!$AH$2099)&gt;0)*(N('Dvd Calendar'!$AH$2099)&lt;=VAL_SERIAL)*1000000+50*1000+30))</f>
        <v/>
      </c>
      <c r="FI209" s="39">
        <f>IF(N('Dvd Calendar'!$AI$2100)=0,"",IF(('Dvd Calendar'!$AI$2100&gt;=GRID_FROM)*('Dvd Calendar'!$AI$2100&lt;=GRID_TO)*((('Dvd Calendar'!$AI$2100&lt;=VAL_DATE)+(COUNTIF('Dvd Calendar'!$E$2107:$AR$2107,'Dvd Calendar'!$AI$2100)=0))&gt;0)=0,"",'Dvd Calendar'!$AI$2100*1000000000+ISNUMBER('Dvd Calendar'!$AI$2103)*100000000+('Dvd Calendar'!$AI$2105=SPECIAL_LBL)*10000000+(N('Dvd Calendar'!$AI$2099)&gt;0)*(N('Dvd Calendar'!$AI$2099)&lt;=VAL_SERIAL)*1000000+50*1000+31))</f>
        <v/>
      </c>
      <c r="FJ209" s="39">
        <f>IF(N('Dvd Calendar'!$AJ$2100)=0,"",IF(('Dvd Calendar'!$AJ$2100&gt;=GRID_FROM)*('Dvd Calendar'!$AJ$2100&lt;=GRID_TO)*((('Dvd Calendar'!$AJ$2100&lt;=VAL_DATE)+(COUNTIF('Dvd Calendar'!$E$2107:$AR$2107,'Dvd Calendar'!$AJ$2100)=0))&gt;0)=0,"",'Dvd Calendar'!$AJ$2100*1000000000+ISNUMBER('Dvd Calendar'!$AJ$2103)*100000000+('Dvd Calendar'!$AJ$2105=SPECIAL_LBL)*10000000+(N('Dvd Calendar'!$AJ$2099)&gt;0)*(N('Dvd Calendar'!$AJ$2099)&lt;=VAL_SERIAL)*1000000+50*1000+32))</f>
        <v/>
      </c>
      <c r="FK209" s="39">
        <f>IF(N('Dvd Calendar'!$AK$2100)=0,"",IF(('Dvd Calendar'!$AK$2100&gt;=GRID_FROM)*('Dvd Calendar'!$AK$2100&lt;=GRID_TO)*((('Dvd Calendar'!$AK$2100&lt;=VAL_DATE)+(COUNTIF('Dvd Calendar'!$E$2107:$AR$2107,'Dvd Calendar'!$AK$2100)=0))&gt;0)=0,"",'Dvd Calendar'!$AK$2100*1000000000+ISNUMBER('Dvd Calendar'!$AK$2103)*100000000+('Dvd Calendar'!$AK$2105=SPECIAL_LBL)*10000000+(N('Dvd Calendar'!$AK$2099)&gt;0)*(N('Dvd Calendar'!$AK$2099)&lt;=VAL_SERIAL)*1000000+50*1000+33))</f>
        <v/>
      </c>
      <c r="FL209" s="39">
        <f>IF(N('Dvd Calendar'!$AL$2100)=0,"",IF(('Dvd Calendar'!$AL$2100&gt;=GRID_FROM)*('Dvd Calendar'!$AL$2100&lt;=GRID_TO)*((('Dvd Calendar'!$AL$2100&lt;=VAL_DATE)+(COUNTIF('Dvd Calendar'!$E$2107:$AR$2107,'Dvd Calendar'!$AL$2100)=0))&gt;0)=0,"",'Dvd Calendar'!$AL$2100*1000000000+ISNUMBER('Dvd Calendar'!$AL$2103)*100000000+('Dvd Calendar'!$AL$2105=SPECIAL_LBL)*10000000+(N('Dvd Calendar'!$AL$2099)&gt;0)*(N('Dvd Calendar'!$AL$2099)&lt;=VAL_SERIAL)*1000000+50*1000+34))</f>
        <v/>
      </c>
      <c r="FM209" s="39">
        <f>IF(N('Dvd Calendar'!$AM$2100)=0,"",IF(('Dvd Calendar'!$AM$2100&gt;=GRID_FROM)*('Dvd Calendar'!$AM$2100&lt;=GRID_TO)*((('Dvd Calendar'!$AM$2100&lt;=VAL_DATE)+(COUNTIF('Dvd Calendar'!$E$2107:$AR$2107,'Dvd Calendar'!$AM$2100)=0))&gt;0)=0,"",'Dvd Calendar'!$AM$2100*1000000000+ISNUMBER('Dvd Calendar'!$AM$2103)*100000000+('Dvd Calendar'!$AM$2105=SPECIAL_LBL)*10000000+(N('Dvd Calendar'!$AM$2099)&gt;0)*(N('Dvd Calendar'!$AM$2099)&lt;=VAL_SERIAL)*1000000+50*1000+35))</f>
        <v/>
      </c>
      <c r="FN209" s="39">
        <f>IF(N('Dvd Calendar'!$AN$2100)=0,"",IF(('Dvd Calendar'!$AN$2100&gt;=GRID_FROM)*('Dvd Calendar'!$AN$2100&lt;=GRID_TO)*((('Dvd Calendar'!$AN$2100&lt;=VAL_DATE)+(COUNTIF('Dvd Calendar'!$E$2107:$AR$2107,'Dvd Calendar'!$AN$2100)=0))&gt;0)=0,"",'Dvd Calendar'!$AN$2100*1000000000+ISNUMBER('Dvd Calendar'!$AN$2103)*100000000+('Dvd Calendar'!$AN$2105=SPECIAL_LBL)*10000000+(N('Dvd Calendar'!$AN$2099)&gt;0)*(N('Dvd Calendar'!$AN$2099)&lt;=VAL_SERIAL)*1000000+50*1000+36))</f>
        <v/>
      </c>
      <c r="FO209" s="39">
        <f>IF(N('Dvd Calendar'!$AO$2100)=0,"",IF(('Dvd Calendar'!$AO$2100&gt;=GRID_FROM)*('Dvd Calendar'!$AO$2100&lt;=GRID_TO)*((('Dvd Calendar'!$AO$2100&lt;=VAL_DATE)+(COUNTIF('Dvd Calendar'!$E$2107:$AR$2107,'Dvd Calendar'!$AO$2100)=0))&gt;0)=0,"",'Dvd Calendar'!$AO$2100*1000000000+ISNUMBER('Dvd Calendar'!$AO$2103)*100000000+('Dvd Calendar'!$AO$2105=SPECIAL_LBL)*10000000+(N('Dvd Calendar'!$AO$2099)&gt;0)*(N('Dvd Calendar'!$AO$2099)&lt;=VAL_SERIAL)*1000000+50*1000+37))</f>
        <v/>
      </c>
      <c r="FP209" s="39">
        <f>IF(N('Dvd Calendar'!$AP$2100)=0,"",IF(('Dvd Calendar'!$AP$2100&gt;=GRID_FROM)*('Dvd Calendar'!$AP$2100&lt;=GRID_TO)*((('Dvd Calendar'!$AP$2100&lt;=VAL_DATE)+(COUNTIF('Dvd Calendar'!$E$2107:$AR$2107,'Dvd Calendar'!$AP$2100)=0))&gt;0)=0,"",'Dvd Calendar'!$AP$2100*1000000000+ISNUMBER('Dvd Calendar'!$AP$2103)*100000000+('Dvd Calendar'!$AP$2105=SPECIAL_LBL)*10000000+(N('Dvd Calendar'!$AP$2099)&gt;0)*(N('Dvd Calendar'!$AP$2099)&lt;=VAL_SERIAL)*1000000+50*1000+38))</f>
        <v/>
      </c>
      <c r="FQ209" s="39">
        <f>IF(N('Dvd Calendar'!$AQ$2100)=0,"",IF(('Dvd Calendar'!$AQ$2100&gt;=GRID_FROM)*('Dvd Calendar'!$AQ$2100&lt;=GRID_TO)*((('Dvd Calendar'!$AQ$2100&lt;=VAL_DATE)+(COUNTIF('Dvd Calendar'!$E$2107:$AR$2107,'Dvd Calendar'!$AQ$2100)=0))&gt;0)=0,"",'Dvd Calendar'!$AQ$2100*1000000000+ISNUMBER('Dvd Calendar'!$AQ$2103)*100000000+('Dvd Calendar'!$AQ$2105=SPECIAL_LBL)*10000000+(N('Dvd Calendar'!$AQ$2099)&gt;0)*(N('Dvd Calendar'!$AQ$2099)&lt;=VAL_SERIAL)*1000000+50*1000+39))</f>
        <v/>
      </c>
      <c r="FR209" s="39">
        <f>IF(N('Dvd Calendar'!$AR$2100)=0,"",IF(('Dvd Calendar'!$AR$2100&gt;=GRID_FROM)*('Dvd Calendar'!$AR$2100&lt;=GRID_TO)*((('Dvd Calendar'!$AR$2100&lt;=VAL_DATE)+(COUNTIF('Dvd Calendar'!$E$2107:$AR$2107,'Dvd Calendar'!$AR$2100)=0))&gt;0)=0,"",'Dvd Calendar'!$AR$2100*1000000000+ISNUMBER('Dvd Calendar'!$AR$2103)*100000000+('Dvd Calendar'!$AR$2105=SPECIAL_LBL)*10000000+(N('Dvd Calendar'!$AR$2099)&gt;0)*(N('Dvd Calendar'!$AR$2099)&lt;=VAL_SERIAL)*1000000+50*1000+40))</f>
        <v/>
      </c>
      <c r="FS209" s="39">
        <f>IF(N('Dvd Calendar'!$E$2107)=0,"",IF(('Dvd Calendar'!$E$2107&gt;=GRID_FROM)*('Dvd Calendar'!$E$2107&lt;=GRID_TO)*('Dvd Calendar'!$E$2107&gt;VAL_DATE)=0,"",'Dvd Calendar'!$E$2107*1000000000+ISNUMBER('Dvd Calendar'!$E$2108)*100000000+0*10000000+(N('Dvd Calendar'!$E$2106)&gt;0)*(N('Dvd Calendar'!$E$2106)&lt;=VAL_SERIAL)*1000000+50*1000+41))</f>
        <v/>
      </c>
      <c r="FT209" s="39">
        <f>IF(N('Dvd Calendar'!$F$2107)=0,"",IF(('Dvd Calendar'!$F$2107&gt;=GRID_FROM)*('Dvd Calendar'!$F$2107&lt;=GRID_TO)*('Dvd Calendar'!$F$2107&gt;VAL_DATE)=0,"",'Dvd Calendar'!$F$2107*1000000000+ISNUMBER('Dvd Calendar'!$F$2108)*100000000+0*10000000+(N('Dvd Calendar'!$F$2106)&gt;0)*(N('Dvd Calendar'!$F$2106)&lt;=VAL_SERIAL)*1000000+50*1000+42))</f>
        <v/>
      </c>
      <c r="FU209" s="39">
        <f>IF(N('Dvd Calendar'!$G$2107)=0,"",IF(('Dvd Calendar'!$G$2107&gt;=GRID_FROM)*('Dvd Calendar'!$G$2107&lt;=GRID_TO)*('Dvd Calendar'!$G$2107&gt;VAL_DATE)=0,"",'Dvd Calendar'!$G$2107*1000000000+ISNUMBER('Dvd Calendar'!$G$2108)*100000000+0*10000000+(N('Dvd Calendar'!$G$2106)&gt;0)*(N('Dvd Calendar'!$G$2106)&lt;=VAL_SERIAL)*1000000+50*1000+43))</f>
        <v/>
      </c>
      <c r="FV209" s="39">
        <f>IF(N('Dvd Calendar'!$H$2107)=0,"",IF(('Dvd Calendar'!$H$2107&gt;=GRID_FROM)*('Dvd Calendar'!$H$2107&lt;=GRID_TO)*('Dvd Calendar'!$H$2107&gt;VAL_DATE)=0,"",'Dvd Calendar'!$H$2107*1000000000+ISNUMBER('Dvd Calendar'!$H$2108)*100000000+0*10000000+(N('Dvd Calendar'!$H$2106)&gt;0)*(N('Dvd Calendar'!$H$2106)&lt;=VAL_SERIAL)*1000000+50*1000+44))</f>
        <v/>
      </c>
      <c r="FW209" s="39">
        <f>IF(N('Dvd Calendar'!$I$2107)=0,"",IF(('Dvd Calendar'!$I$2107&gt;=GRID_FROM)*('Dvd Calendar'!$I$2107&lt;=GRID_TO)*('Dvd Calendar'!$I$2107&gt;VAL_DATE)=0,"",'Dvd Calendar'!$I$2107*1000000000+ISNUMBER('Dvd Calendar'!$I$2108)*100000000+0*10000000+(N('Dvd Calendar'!$I$2106)&gt;0)*(N('Dvd Calendar'!$I$2106)&lt;=VAL_SERIAL)*1000000+50*1000+45))</f>
        <v/>
      </c>
      <c r="FX209" s="39">
        <f>IF(N('Dvd Calendar'!$J$2107)=0,"",IF(('Dvd Calendar'!$J$2107&gt;=GRID_FROM)*('Dvd Calendar'!$J$2107&lt;=GRID_TO)*('Dvd Calendar'!$J$2107&gt;VAL_DATE)=0,"",'Dvd Calendar'!$J$2107*1000000000+ISNUMBER('Dvd Calendar'!$J$2108)*100000000+0*10000000+(N('Dvd Calendar'!$J$2106)&gt;0)*(N('Dvd Calendar'!$J$2106)&lt;=VAL_SERIAL)*1000000+50*1000+46))</f>
        <v/>
      </c>
      <c r="FY209" s="39">
        <f>IF(N('Dvd Calendar'!$K$2107)=0,"",IF(('Dvd Calendar'!$K$2107&gt;=GRID_FROM)*('Dvd Calendar'!$K$2107&lt;=GRID_TO)*('Dvd Calendar'!$K$2107&gt;VAL_DATE)=0,"",'Dvd Calendar'!$K$2107*1000000000+ISNUMBER('Dvd Calendar'!$K$2108)*100000000+0*10000000+(N('Dvd Calendar'!$K$2106)&gt;0)*(N('Dvd Calendar'!$K$2106)&lt;=VAL_SERIAL)*1000000+50*1000+47))</f>
        <v/>
      </c>
      <c r="FZ209" s="39">
        <f>IF(N('Dvd Calendar'!$L$2107)=0,"",IF(('Dvd Calendar'!$L$2107&gt;=GRID_FROM)*('Dvd Calendar'!$L$2107&lt;=GRID_TO)*('Dvd Calendar'!$L$2107&gt;VAL_DATE)=0,"",'Dvd Calendar'!$L$2107*1000000000+ISNUMBER('Dvd Calendar'!$L$2108)*100000000+0*10000000+(N('Dvd Calendar'!$L$2106)&gt;0)*(N('Dvd Calendar'!$L$2106)&lt;=VAL_SERIAL)*1000000+50*1000+48))</f>
        <v/>
      </c>
      <c r="GA209" s="39">
        <f>IF(N('Dvd Calendar'!$M$2107)=0,"",IF(('Dvd Calendar'!$M$2107&gt;=GRID_FROM)*('Dvd Calendar'!$M$2107&lt;=GRID_TO)*('Dvd Calendar'!$M$2107&gt;VAL_DATE)=0,"",'Dvd Calendar'!$M$2107*1000000000+ISNUMBER('Dvd Calendar'!$M$2108)*100000000+0*10000000+(N('Dvd Calendar'!$M$2106)&gt;0)*(N('Dvd Calendar'!$M$2106)&lt;=VAL_SERIAL)*1000000+50*1000+49))</f>
        <v/>
      </c>
      <c r="GB209" s="39">
        <f>IF(N('Dvd Calendar'!$N$2107)=0,"",IF(('Dvd Calendar'!$N$2107&gt;=GRID_FROM)*('Dvd Calendar'!$N$2107&lt;=GRID_TO)*('Dvd Calendar'!$N$2107&gt;VAL_DATE)=0,"",'Dvd Calendar'!$N$2107*1000000000+ISNUMBER('Dvd Calendar'!$N$2108)*100000000+0*10000000+(N('Dvd Calendar'!$N$2106)&gt;0)*(N('Dvd Calendar'!$N$2106)&lt;=VAL_SERIAL)*1000000+50*1000+50))</f>
        <v/>
      </c>
      <c r="GC209" s="39">
        <f>IF(N('Dvd Calendar'!$O$2107)=0,"",IF(('Dvd Calendar'!$O$2107&gt;=GRID_FROM)*('Dvd Calendar'!$O$2107&lt;=GRID_TO)*('Dvd Calendar'!$O$2107&gt;VAL_DATE)=0,"",'Dvd Calendar'!$O$2107*1000000000+ISNUMBER('Dvd Calendar'!$O$2108)*100000000+0*10000000+(N('Dvd Calendar'!$O$2106)&gt;0)*(N('Dvd Calendar'!$O$2106)&lt;=VAL_SERIAL)*1000000+50*1000+51))</f>
        <v/>
      </c>
      <c r="GD209" s="39">
        <f>IF(N('Dvd Calendar'!$P$2107)=0,"",IF(('Dvd Calendar'!$P$2107&gt;=GRID_FROM)*('Dvd Calendar'!$P$2107&lt;=GRID_TO)*('Dvd Calendar'!$P$2107&gt;VAL_DATE)=0,"",'Dvd Calendar'!$P$2107*1000000000+ISNUMBER('Dvd Calendar'!$P$2108)*100000000+0*10000000+(N('Dvd Calendar'!$P$2106)&gt;0)*(N('Dvd Calendar'!$P$2106)&lt;=VAL_SERIAL)*1000000+50*1000+52))</f>
        <v/>
      </c>
      <c r="GE209" s="39">
        <f>IF(N('Dvd Calendar'!$Q$2107)=0,"",IF(('Dvd Calendar'!$Q$2107&gt;=GRID_FROM)*('Dvd Calendar'!$Q$2107&lt;=GRID_TO)*('Dvd Calendar'!$Q$2107&gt;VAL_DATE)=0,"",'Dvd Calendar'!$Q$2107*1000000000+ISNUMBER('Dvd Calendar'!$Q$2108)*100000000+0*10000000+(N('Dvd Calendar'!$Q$2106)&gt;0)*(N('Dvd Calendar'!$Q$2106)&lt;=VAL_SERIAL)*1000000+50*1000+53))</f>
        <v/>
      </c>
      <c r="GF209" s="39">
        <f>IF(N('Dvd Calendar'!$R$2107)=0,"",IF(('Dvd Calendar'!$R$2107&gt;=GRID_FROM)*('Dvd Calendar'!$R$2107&lt;=GRID_TO)*('Dvd Calendar'!$R$2107&gt;VAL_DATE)=0,"",'Dvd Calendar'!$R$2107*1000000000+ISNUMBER('Dvd Calendar'!$R$2108)*100000000+0*10000000+(N('Dvd Calendar'!$R$2106)&gt;0)*(N('Dvd Calendar'!$R$2106)&lt;=VAL_SERIAL)*1000000+50*1000+54))</f>
        <v/>
      </c>
      <c r="GG209" s="39">
        <f>IF(N('Dvd Calendar'!$S$2107)=0,"",IF(('Dvd Calendar'!$S$2107&gt;=GRID_FROM)*('Dvd Calendar'!$S$2107&lt;=GRID_TO)*('Dvd Calendar'!$S$2107&gt;VAL_DATE)=0,"",'Dvd Calendar'!$S$2107*1000000000+ISNUMBER('Dvd Calendar'!$S$2108)*100000000+0*10000000+(N('Dvd Calendar'!$S$2106)&gt;0)*(N('Dvd Calendar'!$S$2106)&lt;=VAL_SERIAL)*1000000+50*1000+55))</f>
        <v/>
      </c>
      <c r="GH209" s="39">
        <f>IF(N('Dvd Calendar'!$T$2107)=0,"",IF(('Dvd Calendar'!$T$2107&gt;=GRID_FROM)*('Dvd Calendar'!$T$2107&lt;=GRID_TO)*('Dvd Calendar'!$T$2107&gt;VAL_DATE)=0,"",'Dvd Calendar'!$T$2107*1000000000+ISNUMBER('Dvd Calendar'!$T$2108)*100000000+0*10000000+(N('Dvd Calendar'!$T$2106)&gt;0)*(N('Dvd Calendar'!$T$2106)&lt;=VAL_SERIAL)*1000000+50*1000+56))</f>
        <v/>
      </c>
      <c r="GI209" s="39">
        <f>IF(N('Dvd Calendar'!$U$2107)=0,"",IF(('Dvd Calendar'!$U$2107&gt;=GRID_FROM)*('Dvd Calendar'!$U$2107&lt;=GRID_TO)*('Dvd Calendar'!$U$2107&gt;VAL_DATE)=0,"",'Dvd Calendar'!$U$2107*1000000000+ISNUMBER('Dvd Calendar'!$U$2108)*100000000+0*10000000+(N('Dvd Calendar'!$U$2106)&gt;0)*(N('Dvd Calendar'!$U$2106)&lt;=VAL_SERIAL)*1000000+50*1000+57))</f>
        <v/>
      </c>
      <c r="GJ209" s="39">
        <f>IF(N('Dvd Calendar'!$V$2107)=0,"",IF(('Dvd Calendar'!$V$2107&gt;=GRID_FROM)*('Dvd Calendar'!$V$2107&lt;=GRID_TO)*('Dvd Calendar'!$V$2107&gt;VAL_DATE)=0,"",'Dvd Calendar'!$V$2107*1000000000+ISNUMBER('Dvd Calendar'!$V$2108)*100000000+0*10000000+(N('Dvd Calendar'!$V$2106)&gt;0)*(N('Dvd Calendar'!$V$2106)&lt;=VAL_SERIAL)*1000000+50*1000+58))</f>
        <v/>
      </c>
      <c r="GK209" s="39">
        <f>IF(N('Dvd Calendar'!$W$2107)=0,"",IF(('Dvd Calendar'!$W$2107&gt;=GRID_FROM)*('Dvd Calendar'!$W$2107&lt;=GRID_TO)*('Dvd Calendar'!$W$2107&gt;VAL_DATE)=0,"",'Dvd Calendar'!$W$2107*1000000000+ISNUMBER('Dvd Calendar'!$W$2108)*100000000+0*10000000+(N('Dvd Calendar'!$W$2106)&gt;0)*(N('Dvd Calendar'!$W$2106)&lt;=VAL_SERIAL)*1000000+50*1000+59))</f>
        <v/>
      </c>
      <c r="GL209" s="39">
        <f>IF(N('Dvd Calendar'!$X$2107)=0,"",IF(('Dvd Calendar'!$X$2107&gt;=GRID_FROM)*('Dvd Calendar'!$X$2107&lt;=GRID_TO)*('Dvd Calendar'!$X$2107&gt;VAL_DATE)=0,"",'Dvd Calendar'!$X$2107*1000000000+ISNUMBER('Dvd Calendar'!$X$2108)*100000000+0*10000000+(N('Dvd Calendar'!$X$2106)&gt;0)*(N('Dvd Calendar'!$X$2106)&lt;=VAL_SERIAL)*1000000+50*1000+60))</f>
        <v/>
      </c>
      <c r="GM209" s="39">
        <f>IF(N('Dvd Calendar'!$Y$2107)=0,"",IF(('Dvd Calendar'!$Y$2107&gt;=GRID_FROM)*('Dvd Calendar'!$Y$2107&lt;=GRID_TO)*('Dvd Calendar'!$Y$2107&gt;VAL_DATE)=0,"",'Dvd Calendar'!$Y$2107*1000000000+ISNUMBER('Dvd Calendar'!$Y$2108)*100000000+0*10000000+(N('Dvd Calendar'!$Y$2106)&gt;0)*(N('Dvd Calendar'!$Y$2106)&lt;=VAL_SERIAL)*1000000+50*1000+61))</f>
        <v/>
      </c>
      <c r="GN209" s="39">
        <f>IF(N('Dvd Calendar'!$Z$2107)=0,"",IF(('Dvd Calendar'!$Z$2107&gt;=GRID_FROM)*('Dvd Calendar'!$Z$2107&lt;=GRID_TO)*('Dvd Calendar'!$Z$2107&gt;VAL_DATE)=0,"",'Dvd Calendar'!$Z$2107*1000000000+ISNUMBER('Dvd Calendar'!$Z$2108)*100000000+0*10000000+(N('Dvd Calendar'!$Z$2106)&gt;0)*(N('Dvd Calendar'!$Z$2106)&lt;=VAL_SERIAL)*1000000+50*1000+62))</f>
        <v/>
      </c>
      <c r="GO209" s="39">
        <f>IF(N('Dvd Calendar'!$AA$2107)=0,"",IF(('Dvd Calendar'!$AA$2107&gt;=GRID_FROM)*('Dvd Calendar'!$AA$2107&lt;=GRID_TO)*('Dvd Calendar'!$AA$2107&gt;VAL_DATE)=0,"",'Dvd Calendar'!$AA$2107*1000000000+ISNUMBER('Dvd Calendar'!$AA$2108)*100000000+0*10000000+(N('Dvd Calendar'!$AA$2106)&gt;0)*(N('Dvd Calendar'!$AA$2106)&lt;=VAL_SERIAL)*1000000+50*1000+63))</f>
        <v/>
      </c>
      <c r="GP209" s="39">
        <f>IF(N('Dvd Calendar'!$AB$2107)=0,"",IF(('Dvd Calendar'!$AB$2107&gt;=GRID_FROM)*('Dvd Calendar'!$AB$2107&lt;=GRID_TO)*('Dvd Calendar'!$AB$2107&gt;VAL_DATE)=0,"",'Dvd Calendar'!$AB$2107*1000000000+ISNUMBER('Dvd Calendar'!$AB$2108)*100000000+0*10000000+(N('Dvd Calendar'!$AB$2106)&gt;0)*(N('Dvd Calendar'!$AB$2106)&lt;=VAL_SERIAL)*1000000+50*1000+64))</f>
        <v/>
      </c>
      <c r="GQ209" s="39">
        <f>IF(N('Dvd Calendar'!$AC$2107)=0,"",IF(('Dvd Calendar'!$AC$2107&gt;=GRID_FROM)*('Dvd Calendar'!$AC$2107&lt;=GRID_TO)*('Dvd Calendar'!$AC$2107&gt;VAL_DATE)=0,"",'Dvd Calendar'!$AC$2107*1000000000+ISNUMBER('Dvd Calendar'!$AC$2108)*100000000+0*10000000+(N('Dvd Calendar'!$AC$2106)&gt;0)*(N('Dvd Calendar'!$AC$2106)&lt;=VAL_SERIAL)*1000000+50*1000+65))</f>
        <v/>
      </c>
    </row>
    <row r="210">
      <c r="B210" s="2">
        <f>IF(HSCEI!$C$57="","",HSCEI!$C$57)</f>
        <v/>
      </c>
      <c r="C210" s="110">
        <f>IF(EE210="","",IF(ISNUMBER('Dvd Calendar'!$E$2114)=FALSE,"",IF((('Dvd Calendar'!$E$2116=TYPE1)*(TYPE1&lt;&gt;"")+('Dvd Calendar'!$E$2116=TYPE2)*(TYPE2&lt;&gt;"")+('Dvd Calendar'!$E$2116=TYPE3)*(TYPE3&lt;&gt;"")+('Dvd Calendar'!$E$2116=TYPE4)*(TYPE4&lt;&gt;"")+('Dvd Calendar'!$E$2116=SPECIAL_LBL)*(INC_SPECIALS="Y"))=0,"",'Dvd Calendar'!$E$2114)))</f>
        <v/>
      </c>
      <c r="D210" s="110">
        <f>IF(EF210="","",IF(ISNUMBER('Dvd Calendar'!$F$2114)=FALSE,"",IF((('Dvd Calendar'!$F$2116=TYPE1)*(TYPE1&lt;&gt;"")+('Dvd Calendar'!$F$2116=TYPE2)*(TYPE2&lt;&gt;"")+('Dvd Calendar'!$F$2116=TYPE3)*(TYPE3&lt;&gt;"")+('Dvd Calendar'!$F$2116=TYPE4)*(TYPE4&lt;&gt;"")+('Dvd Calendar'!$F$2116=SPECIAL_LBL)*(INC_SPECIALS="Y"))=0,"",'Dvd Calendar'!$F$2114)))</f>
        <v/>
      </c>
      <c r="E210" s="110">
        <f>IF(EG210="","",IF(ISNUMBER('Dvd Calendar'!$G$2114)=FALSE,"",IF((('Dvd Calendar'!$G$2116=TYPE1)*(TYPE1&lt;&gt;"")+('Dvd Calendar'!$G$2116=TYPE2)*(TYPE2&lt;&gt;"")+('Dvd Calendar'!$G$2116=TYPE3)*(TYPE3&lt;&gt;"")+('Dvd Calendar'!$G$2116=TYPE4)*(TYPE4&lt;&gt;"")+('Dvd Calendar'!$G$2116=SPECIAL_LBL)*(INC_SPECIALS="Y"))=0,"",'Dvd Calendar'!$G$2114)))</f>
        <v/>
      </c>
      <c r="F210" s="110">
        <f>IF(EH210="","",IF(ISNUMBER('Dvd Calendar'!$H$2114)=FALSE,"",IF((('Dvd Calendar'!$H$2116=TYPE1)*(TYPE1&lt;&gt;"")+('Dvd Calendar'!$H$2116=TYPE2)*(TYPE2&lt;&gt;"")+('Dvd Calendar'!$H$2116=TYPE3)*(TYPE3&lt;&gt;"")+('Dvd Calendar'!$H$2116=TYPE4)*(TYPE4&lt;&gt;"")+('Dvd Calendar'!$H$2116=SPECIAL_LBL)*(INC_SPECIALS="Y"))=0,"",'Dvd Calendar'!$H$2114)))</f>
        <v/>
      </c>
      <c r="G210" s="110">
        <f>IF(EI210="","",IF(ISNUMBER('Dvd Calendar'!$I$2114)=FALSE,"",IF((('Dvd Calendar'!$I$2116=TYPE1)*(TYPE1&lt;&gt;"")+('Dvd Calendar'!$I$2116=TYPE2)*(TYPE2&lt;&gt;"")+('Dvd Calendar'!$I$2116=TYPE3)*(TYPE3&lt;&gt;"")+('Dvd Calendar'!$I$2116=TYPE4)*(TYPE4&lt;&gt;"")+('Dvd Calendar'!$I$2116=SPECIAL_LBL)*(INC_SPECIALS="Y"))=0,"",'Dvd Calendar'!$I$2114)))</f>
        <v/>
      </c>
      <c r="H210" s="110">
        <f>IF(EJ210="","",IF(ISNUMBER('Dvd Calendar'!$J$2114)=FALSE,"",IF((('Dvd Calendar'!$J$2116=TYPE1)*(TYPE1&lt;&gt;"")+('Dvd Calendar'!$J$2116=TYPE2)*(TYPE2&lt;&gt;"")+('Dvd Calendar'!$J$2116=TYPE3)*(TYPE3&lt;&gt;"")+('Dvd Calendar'!$J$2116=TYPE4)*(TYPE4&lt;&gt;"")+('Dvd Calendar'!$J$2116=SPECIAL_LBL)*(INC_SPECIALS="Y"))=0,"",'Dvd Calendar'!$J$2114)))</f>
        <v/>
      </c>
      <c r="I210" s="110">
        <f>IF(EK210="","",IF(ISNUMBER('Dvd Calendar'!$K$2114)=FALSE,"",IF((('Dvd Calendar'!$K$2116=TYPE1)*(TYPE1&lt;&gt;"")+('Dvd Calendar'!$K$2116=TYPE2)*(TYPE2&lt;&gt;"")+('Dvd Calendar'!$K$2116=TYPE3)*(TYPE3&lt;&gt;"")+('Dvd Calendar'!$K$2116=TYPE4)*(TYPE4&lt;&gt;"")+('Dvd Calendar'!$K$2116=SPECIAL_LBL)*(INC_SPECIALS="Y"))=0,"",'Dvd Calendar'!$K$2114)))</f>
        <v/>
      </c>
      <c r="J210" s="110">
        <f>IF(EL210="","",IF(ISNUMBER('Dvd Calendar'!$L$2114)=FALSE,"",IF((('Dvd Calendar'!$L$2116=TYPE1)*(TYPE1&lt;&gt;"")+('Dvd Calendar'!$L$2116=TYPE2)*(TYPE2&lt;&gt;"")+('Dvd Calendar'!$L$2116=TYPE3)*(TYPE3&lt;&gt;"")+('Dvd Calendar'!$L$2116=TYPE4)*(TYPE4&lt;&gt;"")+('Dvd Calendar'!$L$2116=SPECIAL_LBL)*(INC_SPECIALS="Y"))=0,"",'Dvd Calendar'!$L$2114)))</f>
        <v/>
      </c>
      <c r="K210" s="110">
        <f>IF(EM210="","",IF(ISNUMBER('Dvd Calendar'!$M$2114)=FALSE,"",IF((('Dvd Calendar'!$M$2116=TYPE1)*(TYPE1&lt;&gt;"")+('Dvd Calendar'!$M$2116=TYPE2)*(TYPE2&lt;&gt;"")+('Dvd Calendar'!$M$2116=TYPE3)*(TYPE3&lt;&gt;"")+('Dvd Calendar'!$M$2116=TYPE4)*(TYPE4&lt;&gt;"")+('Dvd Calendar'!$M$2116=SPECIAL_LBL)*(INC_SPECIALS="Y"))=0,"",'Dvd Calendar'!$M$2114)))</f>
        <v/>
      </c>
      <c r="L210" s="110">
        <f>IF(EN210="","",IF(ISNUMBER('Dvd Calendar'!$N$2114)=FALSE,"",IF((('Dvd Calendar'!$N$2116=TYPE1)*(TYPE1&lt;&gt;"")+('Dvd Calendar'!$N$2116=TYPE2)*(TYPE2&lt;&gt;"")+('Dvd Calendar'!$N$2116=TYPE3)*(TYPE3&lt;&gt;"")+('Dvd Calendar'!$N$2116=TYPE4)*(TYPE4&lt;&gt;"")+('Dvd Calendar'!$N$2116=SPECIAL_LBL)*(INC_SPECIALS="Y"))=0,"",'Dvd Calendar'!$N$2114)))</f>
        <v/>
      </c>
      <c r="M210" s="110">
        <f>IF(EO210="","",IF(ISNUMBER('Dvd Calendar'!$O$2114)=FALSE,"",IF((('Dvd Calendar'!$O$2116=TYPE1)*(TYPE1&lt;&gt;"")+('Dvd Calendar'!$O$2116=TYPE2)*(TYPE2&lt;&gt;"")+('Dvd Calendar'!$O$2116=TYPE3)*(TYPE3&lt;&gt;"")+('Dvd Calendar'!$O$2116=TYPE4)*(TYPE4&lt;&gt;"")+('Dvd Calendar'!$O$2116=SPECIAL_LBL)*(INC_SPECIALS="Y"))=0,"",'Dvd Calendar'!$O$2114)))</f>
        <v/>
      </c>
      <c r="N210" s="110">
        <f>IF(EP210="","",IF(ISNUMBER('Dvd Calendar'!$P$2114)=FALSE,"",IF((('Dvd Calendar'!$P$2116=TYPE1)*(TYPE1&lt;&gt;"")+('Dvd Calendar'!$P$2116=TYPE2)*(TYPE2&lt;&gt;"")+('Dvd Calendar'!$P$2116=TYPE3)*(TYPE3&lt;&gt;"")+('Dvd Calendar'!$P$2116=TYPE4)*(TYPE4&lt;&gt;"")+('Dvd Calendar'!$P$2116=SPECIAL_LBL)*(INC_SPECIALS="Y"))=0,"",'Dvd Calendar'!$P$2114)))</f>
        <v/>
      </c>
      <c r="O210" s="110">
        <f>IF(EQ210="","",IF(ISNUMBER('Dvd Calendar'!$Q$2114)=FALSE,"",IF((('Dvd Calendar'!$Q$2116=TYPE1)*(TYPE1&lt;&gt;"")+('Dvd Calendar'!$Q$2116=TYPE2)*(TYPE2&lt;&gt;"")+('Dvd Calendar'!$Q$2116=TYPE3)*(TYPE3&lt;&gt;"")+('Dvd Calendar'!$Q$2116=TYPE4)*(TYPE4&lt;&gt;"")+('Dvd Calendar'!$Q$2116=SPECIAL_LBL)*(INC_SPECIALS="Y"))=0,"",'Dvd Calendar'!$Q$2114)))</f>
        <v/>
      </c>
      <c r="P210" s="110">
        <f>IF(ER210="","",IF(ISNUMBER('Dvd Calendar'!$R$2114)=FALSE,"",IF((('Dvd Calendar'!$R$2116=TYPE1)*(TYPE1&lt;&gt;"")+('Dvd Calendar'!$R$2116=TYPE2)*(TYPE2&lt;&gt;"")+('Dvd Calendar'!$R$2116=TYPE3)*(TYPE3&lt;&gt;"")+('Dvd Calendar'!$R$2116=TYPE4)*(TYPE4&lt;&gt;"")+('Dvd Calendar'!$R$2116=SPECIAL_LBL)*(INC_SPECIALS="Y"))=0,"",'Dvd Calendar'!$R$2114)))</f>
        <v/>
      </c>
      <c r="Q210" s="110">
        <f>IF(ES210="","",IF(ISNUMBER('Dvd Calendar'!$S$2114)=FALSE,"",IF((('Dvd Calendar'!$S$2116=TYPE1)*(TYPE1&lt;&gt;"")+('Dvd Calendar'!$S$2116=TYPE2)*(TYPE2&lt;&gt;"")+('Dvd Calendar'!$S$2116=TYPE3)*(TYPE3&lt;&gt;"")+('Dvd Calendar'!$S$2116=TYPE4)*(TYPE4&lt;&gt;"")+('Dvd Calendar'!$S$2116=SPECIAL_LBL)*(INC_SPECIALS="Y"))=0,"",'Dvd Calendar'!$S$2114)))</f>
        <v/>
      </c>
      <c r="R210" s="110">
        <f>IF(ET210="","",IF(ISNUMBER('Dvd Calendar'!$T$2114)=FALSE,"",IF((('Dvd Calendar'!$T$2116=TYPE1)*(TYPE1&lt;&gt;"")+('Dvd Calendar'!$T$2116=TYPE2)*(TYPE2&lt;&gt;"")+('Dvd Calendar'!$T$2116=TYPE3)*(TYPE3&lt;&gt;"")+('Dvd Calendar'!$T$2116=TYPE4)*(TYPE4&lt;&gt;"")+('Dvd Calendar'!$T$2116=SPECIAL_LBL)*(INC_SPECIALS="Y"))=0,"",'Dvd Calendar'!$T$2114)))</f>
        <v/>
      </c>
      <c r="S210" s="110">
        <f>IF(EU210="","",IF(ISNUMBER('Dvd Calendar'!$U$2114)=FALSE,"",IF((('Dvd Calendar'!$U$2116=TYPE1)*(TYPE1&lt;&gt;"")+('Dvd Calendar'!$U$2116=TYPE2)*(TYPE2&lt;&gt;"")+('Dvd Calendar'!$U$2116=TYPE3)*(TYPE3&lt;&gt;"")+('Dvd Calendar'!$U$2116=TYPE4)*(TYPE4&lt;&gt;"")+('Dvd Calendar'!$U$2116=SPECIAL_LBL)*(INC_SPECIALS="Y"))=0,"",'Dvd Calendar'!$U$2114)))</f>
        <v/>
      </c>
      <c r="T210" s="110">
        <f>IF(EV210="","",IF(ISNUMBER('Dvd Calendar'!$V$2114)=FALSE,"",IF((('Dvd Calendar'!$V$2116=TYPE1)*(TYPE1&lt;&gt;"")+('Dvd Calendar'!$V$2116=TYPE2)*(TYPE2&lt;&gt;"")+('Dvd Calendar'!$V$2116=TYPE3)*(TYPE3&lt;&gt;"")+('Dvd Calendar'!$V$2116=TYPE4)*(TYPE4&lt;&gt;"")+('Dvd Calendar'!$V$2116=SPECIAL_LBL)*(INC_SPECIALS="Y"))=0,"",'Dvd Calendar'!$V$2114)))</f>
        <v/>
      </c>
      <c r="U210" s="110">
        <f>IF(EW210="","",IF(ISNUMBER('Dvd Calendar'!$W$2114)=FALSE,"",IF((('Dvd Calendar'!$W$2116=TYPE1)*(TYPE1&lt;&gt;"")+('Dvd Calendar'!$W$2116=TYPE2)*(TYPE2&lt;&gt;"")+('Dvd Calendar'!$W$2116=TYPE3)*(TYPE3&lt;&gt;"")+('Dvd Calendar'!$W$2116=TYPE4)*(TYPE4&lt;&gt;"")+('Dvd Calendar'!$W$2116=SPECIAL_LBL)*(INC_SPECIALS="Y"))=0,"",'Dvd Calendar'!$W$2114)))</f>
        <v/>
      </c>
      <c r="V210" s="110">
        <f>IF(EX210="","",IF(ISNUMBER('Dvd Calendar'!$X$2114)=FALSE,"",IF((('Dvd Calendar'!$X$2116=TYPE1)*(TYPE1&lt;&gt;"")+('Dvd Calendar'!$X$2116=TYPE2)*(TYPE2&lt;&gt;"")+('Dvd Calendar'!$X$2116=TYPE3)*(TYPE3&lt;&gt;"")+('Dvd Calendar'!$X$2116=TYPE4)*(TYPE4&lt;&gt;"")+('Dvd Calendar'!$X$2116=SPECIAL_LBL)*(INC_SPECIALS="Y"))=0,"",'Dvd Calendar'!$X$2114)))</f>
        <v/>
      </c>
      <c r="W210" s="110">
        <f>IF(EY210="","",IF(ISNUMBER('Dvd Calendar'!$Y$2114)=FALSE,"",IF((('Dvd Calendar'!$Y$2116=TYPE1)*(TYPE1&lt;&gt;"")+('Dvd Calendar'!$Y$2116=TYPE2)*(TYPE2&lt;&gt;"")+('Dvd Calendar'!$Y$2116=TYPE3)*(TYPE3&lt;&gt;"")+('Dvd Calendar'!$Y$2116=TYPE4)*(TYPE4&lt;&gt;"")+('Dvd Calendar'!$Y$2116=SPECIAL_LBL)*(INC_SPECIALS="Y"))=0,"",'Dvd Calendar'!$Y$2114)))</f>
        <v/>
      </c>
      <c r="X210" s="110">
        <f>IF(EZ210="","",IF(ISNUMBER('Dvd Calendar'!$Z$2114)=FALSE,"",IF((('Dvd Calendar'!$Z$2116=TYPE1)*(TYPE1&lt;&gt;"")+('Dvd Calendar'!$Z$2116=TYPE2)*(TYPE2&lt;&gt;"")+('Dvd Calendar'!$Z$2116=TYPE3)*(TYPE3&lt;&gt;"")+('Dvd Calendar'!$Z$2116=TYPE4)*(TYPE4&lt;&gt;"")+('Dvd Calendar'!$Z$2116=SPECIAL_LBL)*(INC_SPECIALS="Y"))=0,"",'Dvd Calendar'!$Z$2114)))</f>
        <v/>
      </c>
      <c r="Y210" s="110">
        <f>IF(FA210="","",IF(ISNUMBER('Dvd Calendar'!$AA$2114)=FALSE,"",IF((('Dvd Calendar'!$AA$2116=TYPE1)*(TYPE1&lt;&gt;"")+('Dvd Calendar'!$AA$2116=TYPE2)*(TYPE2&lt;&gt;"")+('Dvd Calendar'!$AA$2116=TYPE3)*(TYPE3&lt;&gt;"")+('Dvd Calendar'!$AA$2116=TYPE4)*(TYPE4&lt;&gt;"")+('Dvd Calendar'!$AA$2116=SPECIAL_LBL)*(INC_SPECIALS="Y"))=0,"",'Dvd Calendar'!$AA$2114)))</f>
        <v/>
      </c>
      <c r="Z210" s="110">
        <f>IF(FB210="","",IF(ISNUMBER('Dvd Calendar'!$AB$2114)=FALSE,"",IF((('Dvd Calendar'!$AB$2116=TYPE1)*(TYPE1&lt;&gt;"")+('Dvd Calendar'!$AB$2116=TYPE2)*(TYPE2&lt;&gt;"")+('Dvd Calendar'!$AB$2116=TYPE3)*(TYPE3&lt;&gt;"")+('Dvd Calendar'!$AB$2116=TYPE4)*(TYPE4&lt;&gt;"")+('Dvd Calendar'!$AB$2116=SPECIAL_LBL)*(INC_SPECIALS="Y"))=0,"",'Dvd Calendar'!$AB$2114)))</f>
        <v/>
      </c>
      <c r="AA210" s="110">
        <f>IF(FC210="","",IF(ISNUMBER('Dvd Calendar'!$AC$2114)=FALSE,"",IF((('Dvd Calendar'!$AC$2116=TYPE1)*(TYPE1&lt;&gt;"")+('Dvd Calendar'!$AC$2116=TYPE2)*(TYPE2&lt;&gt;"")+('Dvd Calendar'!$AC$2116=TYPE3)*(TYPE3&lt;&gt;"")+('Dvd Calendar'!$AC$2116=TYPE4)*(TYPE4&lt;&gt;"")+('Dvd Calendar'!$AC$2116=SPECIAL_LBL)*(INC_SPECIALS="Y"))=0,"",'Dvd Calendar'!$AC$2114)))</f>
        <v/>
      </c>
      <c r="AB210" s="110">
        <f>IF(FD210="","",IF(ISNUMBER('Dvd Calendar'!$AD$2114)=FALSE,"",IF((('Dvd Calendar'!$AD$2116=TYPE1)*(TYPE1&lt;&gt;"")+('Dvd Calendar'!$AD$2116=TYPE2)*(TYPE2&lt;&gt;"")+('Dvd Calendar'!$AD$2116=TYPE3)*(TYPE3&lt;&gt;"")+('Dvd Calendar'!$AD$2116=TYPE4)*(TYPE4&lt;&gt;"")+('Dvd Calendar'!$AD$2116=SPECIAL_LBL)*(INC_SPECIALS="Y"))=0,"",'Dvd Calendar'!$AD$2114)))</f>
        <v/>
      </c>
      <c r="AC210" s="110">
        <f>IF(FE210="","",IF(ISNUMBER('Dvd Calendar'!$AE$2114)=FALSE,"",IF((('Dvd Calendar'!$AE$2116=TYPE1)*(TYPE1&lt;&gt;"")+('Dvd Calendar'!$AE$2116=TYPE2)*(TYPE2&lt;&gt;"")+('Dvd Calendar'!$AE$2116=TYPE3)*(TYPE3&lt;&gt;"")+('Dvd Calendar'!$AE$2116=TYPE4)*(TYPE4&lt;&gt;"")+('Dvd Calendar'!$AE$2116=SPECIAL_LBL)*(INC_SPECIALS="Y"))=0,"",'Dvd Calendar'!$AE$2114)))</f>
        <v/>
      </c>
      <c r="AD210" s="110">
        <f>IF(FF210="","",IF(ISNUMBER('Dvd Calendar'!$AF$2114)=FALSE,"",IF((('Dvd Calendar'!$AF$2116=TYPE1)*(TYPE1&lt;&gt;"")+('Dvd Calendar'!$AF$2116=TYPE2)*(TYPE2&lt;&gt;"")+('Dvd Calendar'!$AF$2116=TYPE3)*(TYPE3&lt;&gt;"")+('Dvd Calendar'!$AF$2116=TYPE4)*(TYPE4&lt;&gt;"")+('Dvd Calendar'!$AF$2116=SPECIAL_LBL)*(INC_SPECIALS="Y"))=0,"",'Dvd Calendar'!$AF$2114)))</f>
        <v/>
      </c>
      <c r="AE210" s="110">
        <f>IF(FG210="","",IF(ISNUMBER('Dvd Calendar'!$AG$2114)=FALSE,"",IF((('Dvd Calendar'!$AG$2116=TYPE1)*(TYPE1&lt;&gt;"")+('Dvd Calendar'!$AG$2116=TYPE2)*(TYPE2&lt;&gt;"")+('Dvd Calendar'!$AG$2116=TYPE3)*(TYPE3&lt;&gt;"")+('Dvd Calendar'!$AG$2116=TYPE4)*(TYPE4&lt;&gt;"")+('Dvd Calendar'!$AG$2116=SPECIAL_LBL)*(INC_SPECIALS="Y"))=0,"",'Dvd Calendar'!$AG$2114)))</f>
        <v/>
      </c>
      <c r="AF210" s="110">
        <f>IF(FH210="","",IF(ISNUMBER('Dvd Calendar'!$AH$2114)=FALSE,"",IF((('Dvd Calendar'!$AH$2116=TYPE1)*(TYPE1&lt;&gt;"")+('Dvd Calendar'!$AH$2116=TYPE2)*(TYPE2&lt;&gt;"")+('Dvd Calendar'!$AH$2116=TYPE3)*(TYPE3&lt;&gt;"")+('Dvd Calendar'!$AH$2116=TYPE4)*(TYPE4&lt;&gt;"")+('Dvd Calendar'!$AH$2116=SPECIAL_LBL)*(INC_SPECIALS="Y"))=0,"",'Dvd Calendar'!$AH$2114)))</f>
        <v/>
      </c>
      <c r="AG210" s="110">
        <f>IF(FI210="","",IF(ISNUMBER('Dvd Calendar'!$AI$2114)=FALSE,"",IF((('Dvd Calendar'!$AI$2116=TYPE1)*(TYPE1&lt;&gt;"")+('Dvd Calendar'!$AI$2116=TYPE2)*(TYPE2&lt;&gt;"")+('Dvd Calendar'!$AI$2116=TYPE3)*(TYPE3&lt;&gt;"")+('Dvd Calendar'!$AI$2116=TYPE4)*(TYPE4&lt;&gt;"")+('Dvd Calendar'!$AI$2116=SPECIAL_LBL)*(INC_SPECIALS="Y"))=0,"",'Dvd Calendar'!$AI$2114)))</f>
        <v/>
      </c>
      <c r="AH210" s="110">
        <f>IF(FJ210="","",IF(ISNUMBER('Dvd Calendar'!$AJ$2114)=FALSE,"",IF((('Dvd Calendar'!$AJ$2116=TYPE1)*(TYPE1&lt;&gt;"")+('Dvd Calendar'!$AJ$2116=TYPE2)*(TYPE2&lt;&gt;"")+('Dvd Calendar'!$AJ$2116=TYPE3)*(TYPE3&lt;&gt;"")+('Dvd Calendar'!$AJ$2116=TYPE4)*(TYPE4&lt;&gt;"")+('Dvd Calendar'!$AJ$2116=SPECIAL_LBL)*(INC_SPECIALS="Y"))=0,"",'Dvd Calendar'!$AJ$2114)))</f>
        <v/>
      </c>
      <c r="AI210" s="110">
        <f>IF(FK210="","",IF(ISNUMBER('Dvd Calendar'!$AK$2114)=FALSE,"",IF((('Dvd Calendar'!$AK$2116=TYPE1)*(TYPE1&lt;&gt;"")+('Dvd Calendar'!$AK$2116=TYPE2)*(TYPE2&lt;&gt;"")+('Dvd Calendar'!$AK$2116=TYPE3)*(TYPE3&lt;&gt;"")+('Dvd Calendar'!$AK$2116=TYPE4)*(TYPE4&lt;&gt;"")+('Dvd Calendar'!$AK$2116=SPECIAL_LBL)*(INC_SPECIALS="Y"))=0,"",'Dvd Calendar'!$AK$2114)))</f>
        <v/>
      </c>
      <c r="AJ210" s="110">
        <f>IF(FL210="","",IF(ISNUMBER('Dvd Calendar'!$AL$2114)=FALSE,"",IF((('Dvd Calendar'!$AL$2116=TYPE1)*(TYPE1&lt;&gt;"")+('Dvd Calendar'!$AL$2116=TYPE2)*(TYPE2&lt;&gt;"")+('Dvd Calendar'!$AL$2116=TYPE3)*(TYPE3&lt;&gt;"")+('Dvd Calendar'!$AL$2116=TYPE4)*(TYPE4&lt;&gt;"")+('Dvd Calendar'!$AL$2116=SPECIAL_LBL)*(INC_SPECIALS="Y"))=0,"",'Dvd Calendar'!$AL$2114)))</f>
        <v/>
      </c>
      <c r="AK210" s="110">
        <f>IF(FM210="","",IF(ISNUMBER('Dvd Calendar'!$AM$2114)=FALSE,"",IF((('Dvd Calendar'!$AM$2116=TYPE1)*(TYPE1&lt;&gt;"")+('Dvd Calendar'!$AM$2116=TYPE2)*(TYPE2&lt;&gt;"")+('Dvd Calendar'!$AM$2116=TYPE3)*(TYPE3&lt;&gt;"")+('Dvd Calendar'!$AM$2116=TYPE4)*(TYPE4&lt;&gt;"")+('Dvd Calendar'!$AM$2116=SPECIAL_LBL)*(INC_SPECIALS="Y"))=0,"",'Dvd Calendar'!$AM$2114)))</f>
        <v/>
      </c>
      <c r="AL210" s="110">
        <f>IF(FN210="","",IF(ISNUMBER('Dvd Calendar'!$AN$2114)=FALSE,"",IF((('Dvd Calendar'!$AN$2116=TYPE1)*(TYPE1&lt;&gt;"")+('Dvd Calendar'!$AN$2116=TYPE2)*(TYPE2&lt;&gt;"")+('Dvd Calendar'!$AN$2116=TYPE3)*(TYPE3&lt;&gt;"")+('Dvd Calendar'!$AN$2116=TYPE4)*(TYPE4&lt;&gt;"")+('Dvd Calendar'!$AN$2116=SPECIAL_LBL)*(INC_SPECIALS="Y"))=0,"",'Dvd Calendar'!$AN$2114)))</f>
        <v/>
      </c>
      <c r="AM210" s="110">
        <f>IF(FO210="","",IF(ISNUMBER('Dvd Calendar'!$AO$2114)=FALSE,"",IF((('Dvd Calendar'!$AO$2116=TYPE1)*(TYPE1&lt;&gt;"")+('Dvd Calendar'!$AO$2116=TYPE2)*(TYPE2&lt;&gt;"")+('Dvd Calendar'!$AO$2116=TYPE3)*(TYPE3&lt;&gt;"")+('Dvd Calendar'!$AO$2116=TYPE4)*(TYPE4&lt;&gt;"")+('Dvd Calendar'!$AO$2116=SPECIAL_LBL)*(INC_SPECIALS="Y"))=0,"",'Dvd Calendar'!$AO$2114)))</f>
        <v/>
      </c>
      <c r="AN210" s="110">
        <f>IF(FP210="","",IF(ISNUMBER('Dvd Calendar'!$AP$2114)=FALSE,"",IF((('Dvd Calendar'!$AP$2116=TYPE1)*(TYPE1&lt;&gt;"")+('Dvd Calendar'!$AP$2116=TYPE2)*(TYPE2&lt;&gt;"")+('Dvd Calendar'!$AP$2116=TYPE3)*(TYPE3&lt;&gt;"")+('Dvd Calendar'!$AP$2116=TYPE4)*(TYPE4&lt;&gt;"")+('Dvd Calendar'!$AP$2116=SPECIAL_LBL)*(INC_SPECIALS="Y"))=0,"",'Dvd Calendar'!$AP$2114)))</f>
        <v/>
      </c>
      <c r="AO210" s="110">
        <f>IF(FQ210="","",IF(ISNUMBER('Dvd Calendar'!$AQ$2114)=FALSE,"",IF((('Dvd Calendar'!$AQ$2116=TYPE1)*(TYPE1&lt;&gt;"")+('Dvd Calendar'!$AQ$2116=TYPE2)*(TYPE2&lt;&gt;"")+('Dvd Calendar'!$AQ$2116=TYPE3)*(TYPE3&lt;&gt;"")+('Dvd Calendar'!$AQ$2116=TYPE4)*(TYPE4&lt;&gt;"")+('Dvd Calendar'!$AQ$2116=SPECIAL_LBL)*(INC_SPECIALS="Y"))=0,"",'Dvd Calendar'!$AQ$2114)))</f>
        <v/>
      </c>
      <c r="AP210" s="110">
        <f>IF(FR210="","",IF(ISNUMBER('Dvd Calendar'!$AR$2114)=FALSE,"",IF((('Dvd Calendar'!$AR$2116=TYPE1)*(TYPE1&lt;&gt;"")+('Dvd Calendar'!$AR$2116=TYPE2)*(TYPE2&lt;&gt;"")+('Dvd Calendar'!$AR$2116=TYPE3)*(TYPE3&lt;&gt;"")+('Dvd Calendar'!$AR$2116=TYPE4)*(TYPE4&lt;&gt;"")+('Dvd Calendar'!$AR$2116=SPECIAL_LBL)*(INC_SPECIALS="Y"))=0,"",'Dvd Calendar'!$AR$2114)))</f>
        <v/>
      </c>
      <c r="AQ210" s="110">
        <f>IF(FS210="","",IF(ISNUMBER('Dvd Calendar'!$E$2119)=FALSE,"",'Dvd Calendar'!$E$2119))</f>
        <v/>
      </c>
      <c r="AR210" s="110">
        <f>IF(FT210="","",IF(ISNUMBER('Dvd Calendar'!$F$2119)=FALSE,"",'Dvd Calendar'!$F$2119))</f>
        <v/>
      </c>
      <c r="AS210" s="110">
        <f>IF(FU210="","",IF(ISNUMBER('Dvd Calendar'!$G$2119)=FALSE,"",'Dvd Calendar'!$G$2119))</f>
        <v/>
      </c>
      <c r="AT210" s="110">
        <f>IF(FV210="","",IF(ISNUMBER('Dvd Calendar'!$H$2119)=FALSE,"",'Dvd Calendar'!$H$2119))</f>
        <v/>
      </c>
      <c r="AU210" s="110">
        <f>IF(FW210="","",IF(ISNUMBER('Dvd Calendar'!$I$2119)=FALSE,"",'Dvd Calendar'!$I$2119))</f>
        <v/>
      </c>
      <c r="AV210" s="110">
        <f>IF(FX210="","",IF(ISNUMBER('Dvd Calendar'!$J$2119)=FALSE,"",'Dvd Calendar'!$J$2119))</f>
        <v/>
      </c>
      <c r="AW210" s="110">
        <f>IF(FY210="","",IF(ISNUMBER('Dvd Calendar'!$K$2119)=FALSE,"",'Dvd Calendar'!$K$2119))</f>
        <v/>
      </c>
      <c r="AX210" s="110">
        <f>IF(FZ210="","",IF(ISNUMBER('Dvd Calendar'!$L$2119)=FALSE,"",'Dvd Calendar'!$L$2119))</f>
        <v/>
      </c>
      <c r="AY210" s="110">
        <f>IF(GA210="","",IF(ISNUMBER('Dvd Calendar'!$M$2119)=FALSE,"",'Dvd Calendar'!$M$2119))</f>
        <v/>
      </c>
      <c r="AZ210" s="110">
        <f>IF(GB210="","",IF(ISNUMBER('Dvd Calendar'!$N$2119)=FALSE,"",'Dvd Calendar'!$N$2119))</f>
        <v/>
      </c>
      <c r="BA210" s="110">
        <f>IF(GC210="","",IF(ISNUMBER('Dvd Calendar'!$O$2119)=FALSE,"",'Dvd Calendar'!$O$2119))</f>
        <v/>
      </c>
      <c r="BB210" s="110">
        <f>IF(GD210="","",IF(ISNUMBER('Dvd Calendar'!$P$2119)=FALSE,"",'Dvd Calendar'!$P$2119))</f>
        <v/>
      </c>
      <c r="BC210" s="110">
        <f>IF(GE210="","",IF(ISNUMBER('Dvd Calendar'!$Q$2119)=FALSE,"",'Dvd Calendar'!$Q$2119))</f>
        <v/>
      </c>
      <c r="BD210" s="110">
        <f>IF(GF210="","",IF(ISNUMBER('Dvd Calendar'!$R$2119)=FALSE,"",'Dvd Calendar'!$R$2119))</f>
        <v/>
      </c>
      <c r="BE210" s="110">
        <f>IF(GG210="","",IF(ISNUMBER('Dvd Calendar'!$S$2119)=FALSE,"",'Dvd Calendar'!$S$2119))</f>
        <v/>
      </c>
      <c r="BF210" s="110">
        <f>IF(GH210="","",IF(ISNUMBER('Dvd Calendar'!$T$2119)=FALSE,"",'Dvd Calendar'!$T$2119))</f>
        <v/>
      </c>
      <c r="BG210" s="110">
        <f>IF(GI210="","",IF(ISNUMBER('Dvd Calendar'!$U$2119)=FALSE,"",'Dvd Calendar'!$U$2119))</f>
        <v/>
      </c>
      <c r="BH210" s="110">
        <f>IF(GJ210="","",IF(ISNUMBER('Dvd Calendar'!$V$2119)=FALSE,"",'Dvd Calendar'!$V$2119))</f>
        <v/>
      </c>
      <c r="BI210" s="110">
        <f>IF(GK210="","",IF(ISNUMBER('Dvd Calendar'!$W$2119)=FALSE,"",'Dvd Calendar'!$W$2119))</f>
        <v/>
      </c>
      <c r="BJ210" s="110">
        <f>IF(GL210="","",IF(ISNUMBER('Dvd Calendar'!$X$2119)=FALSE,"",'Dvd Calendar'!$X$2119))</f>
        <v/>
      </c>
      <c r="BK210" s="110">
        <f>IF(GM210="","",IF(ISNUMBER('Dvd Calendar'!$Y$2119)=FALSE,"",'Dvd Calendar'!$Y$2119))</f>
        <v/>
      </c>
      <c r="BL210" s="110">
        <f>IF(GN210="","",IF(ISNUMBER('Dvd Calendar'!$Z$2119)=FALSE,"",'Dvd Calendar'!$Z$2119))</f>
        <v/>
      </c>
      <c r="BM210" s="110">
        <f>IF(GO210="","",IF(ISNUMBER('Dvd Calendar'!$AA$2119)=FALSE,"",'Dvd Calendar'!$AA$2119))</f>
        <v/>
      </c>
      <c r="BN210" s="110">
        <f>IF(GP210="","",IF(ISNUMBER('Dvd Calendar'!$AB$2119)=FALSE,"",'Dvd Calendar'!$AB$2119))</f>
        <v/>
      </c>
      <c r="BO210" s="110">
        <f>IF(GQ210="","",IF(ISNUMBER('Dvd Calendar'!$AC$2119)=FALSE,"",'Dvd Calendar'!$AC$2119))</f>
        <v/>
      </c>
      <c r="BQ210" s="110">
        <f>IF(C210="","",IFERROR(C210*HSCEI!$B$57*HSCEI!$G$57/HSCEI!$B$3,""))</f>
        <v/>
      </c>
      <c r="BR210" s="110">
        <f>IF(D210="","",IFERROR(D210*HSCEI!$B$57*HSCEI!$G$57/HSCEI!$B$3,""))</f>
        <v/>
      </c>
      <c r="BS210" s="110">
        <f>IF(E210="","",IFERROR(E210*HSCEI!$B$57*HSCEI!$G$57/HSCEI!$B$3,""))</f>
        <v/>
      </c>
      <c r="BT210" s="110">
        <f>IF(F210="","",IFERROR(F210*HSCEI!$B$57*HSCEI!$G$57/HSCEI!$B$3,""))</f>
        <v/>
      </c>
      <c r="BU210" s="110">
        <f>IF(G210="","",IFERROR(G210*HSCEI!$B$57*HSCEI!$G$57/HSCEI!$B$3,""))</f>
        <v/>
      </c>
      <c r="BV210" s="110">
        <f>IF(H210="","",IFERROR(H210*HSCEI!$B$57*HSCEI!$G$57/HSCEI!$B$3,""))</f>
        <v/>
      </c>
      <c r="BW210" s="110">
        <f>IF(I210="","",IFERROR(I210*HSCEI!$B$57*HSCEI!$G$57/HSCEI!$B$3,""))</f>
        <v/>
      </c>
      <c r="BX210" s="110">
        <f>IF(J210="","",IFERROR(J210*HSCEI!$B$57*HSCEI!$G$57/HSCEI!$B$3,""))</f>
        <v/>
      </c>
      <c r="BY210" s="110">
        <f>IF(K210="","",IFERROR(K210*HSCEI!$B$57*HSCEI!$G$57/HSCEI!$B$3,""))</f>
        <v/>
      </c>
      <c r="BZ210" s="110">
        <f>IF(L210="","",IFERROR(L210*HSCEI!$B$57*HSCEI!$G$57/HSCEI!$B$3,""))</f>
        <v/>
      </c>
      <c r="CA210" s="110">
        <f>IF(M210="","",IFERROR(M210*HSCEI!$B$57*HSCEI!$G$57/HSCEI!$B$3,""))</f>
        <v/>
      </c>
      <c r="CB210" s="110">
        <f>IF(N210="","",IFERROR(N210*HSCEI!$B$57*HSCEI!$G$57/HSCEI!$B$3,""))</f>
        <v/>
      </c>
      <c r="CC210" s="110">
        <f>IF(O210="","",IFERROR(O210*HSCEI!$B$57*HSCEI!$G$57/HSCEI!$B$3,""))</f>
        <v/>
      </c>
      <c r="CD210" s="110">
        <f>IF(P210="","",IFERROR(P210*HSCEI!$B$57*HSCEI!$G$57/HSCEI!$B$3,""))</f>
        <v/>
      </c>
      <c r="CE210" s="110">
        <f>IF(Q210="","",IFERROR(Q210*HSCEI!$B$57*HSCEI!$G$57/HSCEI!$B$3,""))</f>
        <v/>
      </c>
      <c r="CF210" s="110">
        <f>IF(R210="","",IFERROR(R210*HSCEI!$B$57*HSCEI!$G$57/HSCEI!$B$3,""))</f>
        <v/>
      </c>
      <c r="CG210" s="110">
        <f>IF(S210="","",IFERROR(S210*HSCEI!$B$57*HSCEI!$G$57/HSCEI!$B$3,""))</f>
        <v/>
      </c>
      <c r="CH210" s="110">
        <f>IF(T210="","",IFERROR(T210*HSCEI!$B$57*HSCEI!$G$57/HSCEI!$B$3,""))</f>
        <v/>
      </c>
      <c r="CI210" s="110">
        <f>IF(U210="","",IFERROR(U210*HSCEI!$B$57*HSCEI!$G$57/HSCEI!$B$3,""))</f>
        <v/>
      </c>
      <c r="CJ210" s="110">
        <f>IF(V210="","",IFERROR(V210*HSCEI!$B$57*HSCEI!$G$57/HSCEI!$B$3,""))</f>
        <v/>
      </c>
      <c r="CK210" s="110">
        <f>IF(W210="","",IFERROR(W210*HSCEI!$B$57*HSCEI!$G$57/HSCEI!$B$3,""))</f>
        <v/>
      </c>
      <c r="CL210" s="110">
        <f>IF(X210="","",IFERROR(X210*HSCEI!$B$57*HSCEI!$G$57/HSCEI!$B$3,""))</f>
        <v/>
      </c>
      <c r="CM210" s="110">
        <f>IF(Y210="","",IFERROR(Y210*HSCEI!$B$57*HSCEI!$G$57/HSCEI!$B$3,""))</f>
        <v/>
      </c>
      <c r="CN210" s="110">
        <f>IF(Z210="","",IFERROR(Z210*HSCEI!$B$57*HSCEI!$G$57/HSCEI!$B$3,""))</f>
        <v/>
      </c>
      <c r="CO210" s="110">
        <f>IF(AA210="","",IFERROR(AA210*HSCEI!$B$57*HSCEI!$G$57/HSCEI!$B$3,""))</f>
        <v/>
      </c>
      <c r="CP210" s="110">
        <f>IF(AB210="","",IFERROR(AB210*HSCEI!$B$57*HSCEI!$G$57/HSCEI!$B$3,""))</f>
        <v/>
      </c>
      <c r="CQ210" s="110">
        <f>IF(AC210="","",IFERROR(AC210*HSCEI!$B$57*HSCEI!$G$57/HSCEI!$B$3,""))</f>
        <v/>
      </c>
      <c r="CR210" s="110">
        <f>IF(AD210="","",IFERROR(AD210*HSCEI!$B$57*HSCEI!$G$57/HSCEI!$B$3,""))</f>
        <v/>
      </c>
      <c r="CS210" s="110">
        <f>IF(AE210="","",IFERROR(AE210*HSCEI!$B$57*HSCEI!$G$57/HSCEI!$B$3,""))</f>
        <v/>
      </c>
      <c r="CT210" s="110">
        <f>IF(AF210="","",IFERROR(AF210*HSCEI!$B$57*HSCEI!$G$57/HSCEI!$B$3,""))</f>
        <v/>
      </c>
      <c r="CU210" s="110">
        <f>IF(AG210="","",IFERROR(AG210*HSCEI!$B$57*HSCEI!$G$57/HSCEI!$B$3,""))</f>
        <v/>
      </c>
      <c r="CV210" s="110">
        <f>IF(AH210="","",IFERROR(AH210*HSCEI!$B$57*HSCEI!$G$57/HSCEI!$B$3,""))</f>
        <v/>
      </c>
      <c r="CW210" s="110">
        <f>IF(AI210="","",IFERROR(AI210*HSCEI!$B$57*HSCEI!$G$57/HSCEI!$B$3,""))</f>
        <v/>
      </c>
      <c r="CX210" s="110">
        <f>IF(AJ210="","",IFERROR(AJ210*HSCEI!$B$57*HSCEI!$G$57/HSCEI!$B$3,""))</f>
        <v/>
      </c>
      <c r="CY210" s="110">
        <f>IF(AK210="","",IFERROR(AK210*HSCEI!$B$57*HSCEI!$G$57/HSCEI!$B$3,""))</f>
        <v/>
      </c>
      <c r="CZ210" s="110">
        <f>IF(AL210="","",IFERROR(AL210*HSCEI!$B$57*HSCEI!$G$57/HSCEI!$B$3,""))</f>
        <v/>
      </c>
      <c r="DA210" s="110">
        <f>IF(AM210="","",IFERROR(AM210*HSCEI!$B$57*HSCEI!$G$57/HSCEI!$B$3,""))</f>
        <v/>
      </c>
      <c r="DB210" s="110">
        <f>IF(AN210="","",IFERROR(AN210*HSCEI!$B$57*HSCEI!$G$57/HSCEI!$B$3,""))</f>
        <v/>
      </c>
      <c r="DC210" s="110">
        <f>IF(AO210="","",IFERROR(AO210*HSCEI!$B$57*HSCEI!$G$57/HSCEI!$B$3,""))</f>
        <v/>
      </c>
      <c r="DD210" s="110">
        <f>IF(AP210="","",IFERROR(AP210*HSCEI!$B$57*HSCEI!$G$57/HSCEI!$B$3,""))</f>
        <v/>
      </c>
      <c r="DE210" s="110">
        <f>IF(AQ210="","",IFERROR(AQ210*HSCEI!$B$57*HSCEI!$G$57/HSCEI!$B$3,""))</f>
        <v/>
      </c>
      <c r="DF210" s="110">
        <f>IF(AR210="","",IFERROR(AR210*HSCEI!$B$57*HSCEI!$G$57/HSCEI!$B$3,""))</f>
        <v/>
      </c>
      <c r="DG210" s="110">
        <f>IF(AS210="","",IFERROR(AS210*HSCEI!$B$57*HSCEI!$G$57/HSCEI!$B$3,""))</f>
        <v/>
      </c>
      <c r="DH210" s="110">
        <f>IF(AT210="","",IFERROR(AT210*HSCEI!$B$57*HSCEI!$G$57/HSCEI!$B$3,""))</f>
        <v/>
      </c>
      <c r="DI210" s="110">
        <f>IF(AU210="","",IFERROR(AU210*HSCEI!$B$57*HSCEI!$G$57/HSCEI!$B$3,""))</f>
        <v/>
      </c>
      <c r="DJ210" s="110">
        <f>IF(AV210="","",IFERROR(AV210*HSCEI!$B$57*HSCEI!$G$57/HSCEI!$B$3,""))</f>
        <v/>
      </c>
      <c r="DK210" s="110">
        <f>IF(AW210="","",IFERROR(AW210*HSCEI!$B$57*HSCEI!$G$57/HSCEI!$B$3,""))</f>
        <v/>
      </c>
      <c r="DL210" s="110">
        <f>IF(AX210="","",IFERROR(AX210*HSCEI!$B$57*HSCEI!$G$57/HSCEI!$B$3,""))</f>
        <v/>
      </c>
      <c r="DM210" s="110">
        <f>IF(AY210="","",IFERROR(AY210*HSCEI!$B$57*HSCEI!$G$57/HSCEI!$B$3,""))</f>
        <v/>
      </c>
      <c r="DN210" s="110">
        <f>IF(AZ210="","",IFERROR(AZ210*HSCEI!$B$57*HSCEI!$G$57/HSCEI!$B$3,""))</f>
        <v/>
      </c>
      <c r="DO210" s="110">
        <f>IF(BA210="","",IFERROR(BA210*HSCEI!$B$57*HSCEI!$G$57/HSCEI!$B$3,""))</f>
        <v/>
      </c>
      <c r="DP210" s="110">
        <f>IF(BB210="","",IFERROR(BB210*HSCEI!$B$57*HSCEI!$G$57/HSCEI!$B$3,""))</f>
        <v/>
      </c>
      <c r="DQ210" s="110">
        <f>IF(BC210="","",IFERROR(BC210*HSCEI!$B$57*HSCEI!$G$57/HSCEI!$B$3,""))</f>
        <v/>
      </c>
      <c r="DR210" s="110">
        <f>IF(BD210="","",IFERROR(BD210*HSCEI!$B$57*HSCEI!$G$57/HSCEI!$B$3,""))</f>
        <v/>
      </c>
      <c r="DS210" s="110">
        <f>IF(BE210="","",IFERROR(BE210*HSCEI!$B$57*HSCEI!$G$57/HSCEI!$B$3,""))</f>
        <v/>
      </c>
      <c r="DT210" s="110">
        <f>IF(BF210="","",IFERROR(BF210*HSCEI!$B$57*HSCEI!$G$57/HSCEI!$B$3,""))</f>
        <v/>
      </c>
      <c r="DU210" s="110">
        <f>IF(BG210="","",IFERROR(BG210*HSCEI!$B$57*HSCEI!$G$57/HSCEI!$B$3,""))</f>
        <v/>
      </c>
      <c r="DV210" s="110">
        <f>IF(BH210="","",IFERROR(BH210*HSCEI!$B$57*HSCEI!$G$57/HSCEI!$B$3,""))</f>
        <v/>
      </c>
      <c r="DW210" s="110">
        <f>IF(BI210="","",IFERROR(BI210*HSCEI!$B$57*HSCEI!$G$57/HSCEI!$B$3,""))</f>
        <v/>
      </c>
      <c r="DX210" s="110">
        <f>IF(BJ210="","",IFERROR(BJ210*HSCEI!$B$57*HSCEI!$G$57/HSCEI!$B$3,""))</f>
        <v/>
      </c>
      <c r="DY210" s="110">
        <f>IF(BK210="","",IFERROR(BK210*HSCEI!$B$57*HSCEI!$G$57/HSCEI!$B$3,""))</f>
        <v/>
      </c>
      <c r="DZ210" s="110">
        <f>IF(BL210="","",IFERROR(BL210*HSCEI!$B$57*HSCEI!$G$57/HSCEI!$B$3,""))</f>
        <v/>
      </c>
      <c r="EA210" s="110">
        <f>IF(BM210="","",IFERROR(BM210*HSCEI!$B$57*HSCEI!$G$57/HSCEI!$B$3,""))</f>
        <v/>
      </c>
      <c r="EB210" s="110">
        <f>IF(BN210="","",IFERROR(BN210*HSCEI!$B$57*HSCEI!$G$57/HSCEI!$B$3,""))</f>
        <v/>
      </c>
      <c r="EC210" s="110">
        <f>IF(BO210="","",IFERROR(BO210*HSCEI!$B$57*HSCEI!$G$57/HSCEI!$B$3,""))</f>
        <v/>
      </c>
      <c r="EE210" s="39">
        <f>IF(N('Dvd Calendar'!$E$2111)=0,"",IF(('Dvd Calendar'!$E$2111&gt;=GRID_FROM)*('Dvd Calendar'!$E$2111&lt;=GRID_TO)*((('Dvd Calendar'!$E$2111&lt;=VAL_DATE)+(COUNTIF('Dvd Calendar'!$E$2118:$AR$2118,'Dvd Calendar'!$E$2111)=0))&gt;0)=0,"",'Dvd Calendar'!$E$2111*1000000000+ISNUMBER('Dvd Calendar'!$E$2114)*100000000+('Dvd Calendar'!$E$2116=SPECIAL_LBL)*10000000+(N('Dvd Calendar'!$E$2110)&gt;0)*(N('Dvd Calendar'!$E$2110)&lt;=VAL_SERIAL)*1000000+51*1000+1))</f>
        <v/>
      </c>
      <c r="EF210" s="39">
        <f>IF(N('Dvd Calendar'!$F$2111)=0,"",IF(('Dvd Calendar'!$F$2111&gt;=GRID_FROM)*('Dvd Calendar'!$F$2111&lt;=GRID_TO)*((('Dvd Calendar'!$F$2111&lt;=VAL_DATE)+(COUNTIF('Dvd Calendar'!$E$2118:$AR$2118,'Dvd Calendar'!$F$2111)=0))&gt;0)=0,"",'Dvd Calendar'!$F$2111*1000000000+ISNUMBER('Dvd Calendar'!$F$2114)*100000000+('Dvd Calendar'!$F$2116=SPECIAL_LBL)*10000000+(N('Dvd Calendar'!$F$2110)&gt;0)*(N('Dvd Calendar'!$F$2110)&lt;=VAL_SERIAL)*1000000+51*1000+2))</f>
        <v/>
      </c>
      <c r="EG210" s="39">
        <f>IF(N('Dvd Calendar'!$G$2111)=0,"",IF(('Dvd Calendar'!$G$2111&gt;=GRID_FROM)*('Dvd Calendar'!$G$2111&lt;=GRID_TO)*((('Dvd Calendar'!$G$2111&lt;=VAL_DATE)+(COUNTIF('Dvd Calendar'!$E$2118:$AR$2118,'Dvd Calendar'!$G$2111)=0))&gt;0)=0,"",'Dvd Calendar'!$G$2111*1000000000+ISNUMBER('Dvd Calendar'!$G$2114)*100000000+('Dvd Calendar'!$G$2116=SPECIAL_LBL)*10000000+(N('Dvd Calendar'!$G$2110)&gt;0)*(N('Dvd Calendar'!$G$2110)&lt;=VAL_SERIAL)*1000000+51*1000+3))</f>
        <v/>
      </c>
      <c r="EH210" s="39">
        <f>IF(N('Dvd Calendar'!$H$2111)=0,"",IF(('Dvd Calendar'!$H$2111&gt;=GRID_FROM)*('Dvd Calendar'!$H$2111&lt;=GRID_TO)*((('Dvd Calendar'!$H$2111&lt;=VAL_DATE)+(COUNTIF('Dvd Calendar'!$E$2118:$AR$2118,'Dvd Calendar'!$H$2111)=0))&gt;0)=0,"",'Dvd Calendar'!$H$2111*1000000000+ISNUMBER('Dvd Calendar'!$H$2114)*100000000+('Dvd Calendar'!$H$2116=SPECIAL_LBL)*10000000+(N('Dvd Calendar'!$H$2110)&gt;0)*(N('Dvd Calendar'!$H$2110)&lt;=VAL_SERIAL)*1000000+51*1000+4))</f>
        <v/>
      </c>
      <c r="EI210" s="39">
        <f>IF(N('Dvd Calendar'!$I$2111)=0,"",IF(('Dvd Calendar'!$I$2111&gt;=GRID_FROM)*('Dvd Calendar'!$I$2111&lt;=GRID_TO)*((('Dvd Calendar'!$I$2111&lt;=VAL_DATE)+(COUNTIF('Dvd Calendar'!$E$2118:$AR$2118,'Dvd Calendar'!$I$2111)=0))&gt;0)=0,"",'Dvd Calendar'!$I$2111*1000000000+ISNUMBER('Dvd Calendar'!$I$2114)*100000000+('Dvd Calendar'!$I$2116=SPECIAL_LBL)*10000000+(N('Dvd Calendar'!$I$2110)&gt;0)*(N('Dvd Calendar'!$I$2110)&lt;=VAL_SERIAL)*1000000+51*1000+5))</f>
        <v/>
      </c>
      <c r="EJ210" s="39">
        <f>IF(N('Dvd Calendar'!$J$2111)=0,"",IF(('Dvd Calendar'!$J$2111&gt;=GRID_FROM)*('Dvd Calendar'!$J$2111&lt;=GRID_TO)*((('Dvd Calendar'!$J$2111&lt;=VAL_DATE)+(COUNTIF('Dvd Calendar'!$E$2118:$AR$2118,'Dvd Calendar'!$J$2111)=0))&gt;0)=0,"",'Dvd Calendar'!$J$2111*1000000000+ISNUMBER('Dvd Calendar'!$J$2114)*100000000+('Dvd Calendar'!$J$2116=SPECIAL_LBL)*10000000+(N('Dvd Calendar'!$J$2110)&gt;0)*(N('Dvd Calendar'!$J$2110)&lt;=VAL_SERIAL)*1000000+51*1000+6))</f>
        <v/>
      </c>
      <c r="EK210" s="39">
        <f>IF(N('Dvd Calendar'!$K$2111)=0,"",IF(('Dvd Calendar'!$K$2111&gt;=GRID_FROM)*('Dvd Calendar'!$K$2111&lt;=GRID_TO)*((('Dvd Calendar'!$K$2111&lt;=VAL_DATE)+(COUNTIF('Dvd Calendar'!$E$2118:$AR$2118,'Dvd Calendar'!$K$2111)=0))&gt;0)=0,"",'Dvd Calendar'!$K$2111*1000000000+ISNUMBER('Dvd Calendar'!$K$2114)*100000000+('Dvd Calendar'!$K$2116=SPECIAL_LBL)*10000000+(N('Dvd Calendar'!$K$2110)&gt;0)*(N('Dvd Calendar'!$K$2110)&lt;=VAL_SERIAL)*1000000+51*1000+7))</f>
        <v/>
      </c>
      <c r="EL210" s="39">
        <f>IF(N('Dvd Calendar'!$L$2111)=0,"",IF(('Dvd Calendar'!$L$2111&gt;=GRID_FROM)*('Dvd Calendar'!$L$2111&lt;=GRID_TO)*((('Dvd Calendar'!$L$2111&lt;=VAL_DATE)+(COUNTIF('Dvd Calendar'!$E$2118:$AR$2118,'Dvd Calendar'!$L$2111)=0))&gt;0)=0,"",'Dvd Calendar'!$L$2111*1000000000+ISNUMBER('Dvd Calendar'!$L$2114)*100000000+('Dvd Calendar'!$L$2116=SPECIAL_LBL)*10000000+(N('Dvd Calendar'!$L$2110)&gt;0)*(N('Dvd Calendar'!$L$2110)&lt;=VAL_SERIAL)*1000000+51*1000+8))</f>
        <v/>
      </c>
      <c r="EM210" s="39">
        <f>IF(N('Dvd Calendar'!$M$2111)=0,"",IF(('Dvd Calendar'!$M$2111&gt;=GRID_FROM)*('Dvd Calendar'!$M$2111&lt;=GRID_TO)*((('Dvd Calendar'!$M$2111&lt;=VAL_DATE)+(COUNTIF('Dvd Calendar'!$E$2118:$AR$2118,'Dvd Calendar'!$M$2111)=0))&gt;0)=0,"",'Dvd Calendar'!$M$2111*1000000000+ISNUMBER('Dvd Calendar'!$M$2114)*100000000+('Dvd Calendar'!$M$2116=SPECIAL_LBL)*10000000+(N('Dvd Calendar'!$M$2110)&gt;0)*(N('Dvd Calendar'!$M$2110)&lt;=VAL_SERIAL)*1000000+51*1000+9))</f>
        <v/>
      </c>
      <c r="EN210" s="39">
        <f>IF(N('Dvd Calendar'!$N$2111)=0,"",IF(('Dvd Calendar'!$N$2111&gt;=GRID_FROM)*('Dvd Calendar'!$N$2111&lt;=GRID_TO)*((('Dvd Calendar'!$N$2111&lt;=VAL_DATE)+(COUNTIF('Dvd Calendar'!$E$2118:$AR$2118,'Dvd Calendar'!$N$2111)=0))&gt;0)=0,"",'Dvd Calendar'!$N$2111*1000000000+ISNUMBER('Dvd Calendar'!$N$2114)*100000000+('Dvd Calendar'!$N$2116=SPECIAL_LBL)*10000000+(N('Dvd Calendar'!$N$2110)&gt;0)*(N('Dvd Calendar'!$N$2110)&lt;=VAL_SERIAL)*1000000+51*1000+10))</f>
        <v/>
      </c>
      <c r="EO210" s="39">
        <f>IF(N('Dvd Calendar'!$O$2111)=0,"",IF(('Dvd Calendar'!$O$2111&gt;=GRID_FROM)*('Dvd Calendar'!$O$2111&lt;=GRID_TO)*((('Dvd Calendar'!$O$2111&lt;=VAL_DATE)+(COUNTIF('Dvd Calendar'!$E$2118:$AR$2118,'Dvd Calendar'!$O$2111)=0))&gt;0)=0,"",'Dvd Calendar'!$O$2111*1000000000+ISNUMBER('Dvd Calendar'!$O$2114)*100000000+('Dvd Calendar'!$O$2116=SPECIAL_LBL)*10000000+(N('Dvd Calendar'!$O$2110)&gt;0)*(N('Dvd Calendar'!$O$2110)&lt;=VAL_SERIAL)*1000000+51*1000+11))</f>
        <v/>
      </c>
      <c r="EP210" s="39">
        <f>IF(N('Dvd Calendar'!$P$2111)=0,"",IF(('Dvd Calendar'!$P$2111&gt;=GRID_FROM)*('Dvd Calendar'!$P$2111&lt;=GRID_TO)*((('Dvd Calendar'!$P$2111&lt;=VAL_DATE)+(COUNTIF('Dvd Calendar'!$E$2118:$AR$2118,'Dvd Calendar'!$P$2111)=0))&gt;0)=0,"",'Dvd Calendar'!$P$2111*1000000000+ISNUMBER('Dvd Calendar'!$P$2114)*100000000+('Dvd Calendar'!$P$2116=SPECIAL_LBL)*10000000+(N('Dvd Calendar'!$P$2110)&gt;0)*(N('Dvd Calendar'!$P$2110)&lt;=VAL_SERIAL)*1000000+51*1000+12))</f>
        <v/>
      </c>
      <c r="EQ210" s="39">
        <f>IF(N('Dvd Calendar'!$Q$2111)=0,"",IF(('Dvd Calendar'!$Q$2111&gt;=GRID_FROM)*('Dvd Calendar'!$Q$2111&lt;=GRID_TO)*((('Dvd Calendar'!$Q$2111&lt;=VAL_DATE)+(COUNTIF('Dvd Calendar'!$E$2118:$AR$2118,'Dvd Calendar'!$Q$2111)=0))&gt;0)=0,"",'Dvd Calendar'!$Q$2111*1000000000+ISNUMBER('Dvd Calendar'!$Q$2114)*100000000+('Dvd Calendar'!$Q$2116=SPECIAL_LBL)*10000000+(N('Dvd Calendar'!$Q$2110)&gt;0)*(N('Dvd Calendar'!$Q$2110)&lt;=VAL_SERIAL)*1000000+51*1000+13))</f>
        <v/>
      </c>
      <c r="ER210" s="39">
        <f>IF(N('Dvd Calendar'!$R$2111)=0,"",IF(('Dvd Calendar'!$R$2111&gt;=GRID_FROM)*('Dvd Calendar'!$R$2111&lt;=GRID_TO)*((('Dvd Calendar'!$R$2111&lt;=VAL_DATE)+(COUNTIF('Dvd Calendar'!$E$2118:$AR$2118,'Dvd Calendar'!$R$2111)=0))&gt;0)=0,"",'Dvd Calendar'!$R$2111*1000000000+ISNUMBER('Dvd Calendar'!$R$2114)*100000000+('Dvd Calendar'!$R$2116=SPECIAL_LBL)*10000000+(N('Dvd Calendar'!$R$2110)&gt;0)*(N('Dvd Calendar'!$R$2110)&lt;=VAL_SERIAL)*1000000+51*1000+14))</f>
        <v/>
      </c>
      <c r="ES210" s="39">
        <f>IF(N('Dvd Calendar'!$S$2111)=0,"",IF(('Dvd Calendar'!$S$2111&gt;=GRID_FROM)*('Dvd Calendar'!$S$2111&lt;=GRID_TO)*((('Dvd Calendar'!$S$2111&lt;=VAL_DATE)+(COUNTIF('Dvd Calendar'!$E$2118:$AR$2118,'Dvd Calendar'!$S$2111)=0))&gt;0)=0,"",'Dvd Calendar'!$S$2111*1000000000+ISNUMBER('Dvd Calendar'!$S$2114)*100000000+('Dvd Calendar'!$S$2116=SPECIAL_LBL)*10000000+(N('Dvd Calendar'!$S$2110)&gt;0)*(N('Dvd Calendar'!$S$2110)&lt;=VAL_SERIAL)*1000000+51*1000+15))</f>
        <v/>
      </c>
      <c r="ET210" s="39">
        <f>IF(N('Dvd Calendar'!$T$2111)=0,"",IF(('Dvd Calendar'!$T$2111&gt;=GRID_FROM)*('Dvd Calendar'!$T$2111&lt;=GRID_TO)*((('Dvd Calendar'!$T$2111&lt;=VAL_DATE)+(COUNTIF('Dvd Calendar'!$E$2118:$AR$2118,'Dvd Calendar'!$T$2111)=0))&gt;0)=0,"",'Dvd Calendar'!$T$2111*1000000000+ISNUMBER('Dvd Calendar'!$T$2114)*100000000+('Dvd Calendar'!$T$2116=SPECIAL_LBL)*10000000+(N('Dvd Calendar'!$T$2110)&gt;0)*(N('Dvd Calendar'!$T$2110)&lt;=VAL_SERIAL)*1000000+51*1000+16))</f>
        <v/>
      </c>
      <c r="EU210" s="39">
        <f>IF(N('Dvd Calendar'!$U$2111)=0,"",IF(('Dvd Calendar'!$U$2111&gt;=GRID_FROM)*('Dvd Calendar'!$U$2111&lt;=GRID_TO)*((('Dvd Calendar'!$U$2111&lt;=VAL_DATE)+(COUNTIF('Dvd Calendar'!$E$2118:$AR$2118,'Dvd Calendar'!$U$2111)=0))&gt;0)=0,"",'Dvd Calendar'!$U$2111*1000000000+ISNUMBER('Dvd Calendar'!$U$2114)*100000000+('Dvd Calendar'!$U$2116=SPECIAL_LBL)*10000000+(N('Dvd Calendar'!$U$2110)&gt;0)*(N('Dvd Calendar'!$U$2110)&lt;=VAL_SERIAL)*1000000+51*1000+17))</f>
        <v/>
      </c>
      <c r="EV210" s="39">
        <f>IF(N('Dvd Calendar'!$V$2111)=0,"",IF(('Dvd Calendar'!$V$2111&gt;=GRID_FROM)*('Dvd Calendar'!$V$2111&lt;=GRID_TO)*((('Dvd Calendar'!$V$2111&lt;=VAL_DATE)+(COUNTIF('Dvd Calendar'!$E$2118:$AR$2118,'Dvd Calendar'!$V$2111)=0))&gt;0)=0,"",'Dvd Calendar'!$V$2111*1000000000+ISNUMBER('Dvd Calendar'!$V$2114)*100000000+('Dvd Calendar'!$V$2116=SPECIAL_LBL)*10000000+(N('Dvd Calendar'!$V$2110)&gt;0)*(N('Dvd Calendar'!$V$2110)&lt;=VAL_SERIAL)*1000000+51*1000+18))</f>
        <v/>
      </c>
      <c r="EW210" s="39">
        <f>IF(N('Dvd Calendar'!$W$2111)=0,"",IF(('Dvd Calendar'!$W$2111&gt;=GRID_FROM)*('Dvd Calendar'!$W$2111&lt;=GRID_TO)*((('Dvd Calendar'!$W$2111&lt;=VAL_DATE)+(COUNTIF('Dvd Calendar'!$E$2118:$AR$2118,'Dvd Calendar'!$W$2111)=0))&gt;0)=0,"",'Dvd Calendar'!$W$2111*1000000000+ISNUMBER('Dvd Calendar'!$W$2114)*100000000+('Dvd Calendar'!$W$2116=SPECIAL_LBL)*10000000+(N('Dvd Calendar'!$W$2110)&gt;0)*(N('Dvd Calendar'!$W$2110)&lt;=VAL_SERIAL)*1000000+51*1000+19))</f>
        <v/>
      </c>
      <c r="EX210" s="39">
        <f>IF(N('Dvd Calendar'!$X$2111)=0,"",IF(('Dvd Calendar'!$X$2111&gt;=GRID_FROM)*('Dvd Calendar'!$X$2111&lt;=GRID_TO)*((('Dvd Calendar'!$X$2111&lt;=VAL_DATE)+(COUNTIF('Dvd Calendar'!$E$2118:$AR$2118,'Dvd Calendar'!$X$2111)=0))&gt;0)=0,"",'Dvd Calendar'!$X$2111*1000000000+ISNUMBER('Dvd Calendar'!$X$2114)*100000000+('Dvd Calendar'!$X$2116=SPECIAL_LBL)*10000000+(N('Dvd Calendar'!$X$2110)&gt;0)*(N('Dvd Calendar'!$X$2110)&lt;=VAL_SERIAL)*1000000+51*1000+20))</f>
        <v/>
      </c>
      <c r="EY210" s="39">
        <f>IF(N('Dvd Calendar'!$Y$2111)=0,"",IF(('Dvd Calendar'!$Y$2111&gt;=GRID_FROM)*('Dvd Calendar'!$Y$2111&lt;=GRID_TO)*((('Dvd Calendar'!$Y$2111&lt;=VAL_DATE)+(COUNTIF('Dvd Calendar'!$E$2118:$AR$2118,'Dvd Calendar'!$Y$2111)=0))&gt;0)=0,"",'Dvd Calendar'!$Y$2111*1000000000+ISNUMBER('Dvd Calendar'!$Y$2114)*100000000+('Dvd Calendar'!$Y$2116=SPECIAL_LBL)*10000000+(N('Dvd Calendar'!$Y$2110)&gt;0)*(N('Dvd Calendar'!$Y$2110)&lt;=VAL_SERIAL)*1000000+51*1000+21))</f>
        <v/>
      </c>
      <c r="EZ210" s="39">
        <f>IF(N('Dvd Calendar'!$Z$2111)=0,"",IF(('Dvd Calendar'!$Z$2111&gt;=GRID_FROM)*('Dvd Calendar'!$Z$2111&lt;=GRID_TO)*((('Dvd Calendar'!$Z$2111&lt;=VAL_DATE)+(COUNTIF('Dvd Calendar'!$E$2118:$AR$2118,'Dvd Calendar'!$Z$2111)=0))&gt;0)=0,"",'Dvd Calendar'!$Z$2111*1000000000+ISNUMBER('Dvd Calendar'!$Z$2114)*100000000+('Dvd Calendar'!$Z$2116=SPECIAL_LBL)*10000000+(N('Dvd Calendar'!$Z$2110)&gt;0)*(N('Dvd Calendar'!$Z$2110)&lt;=VAL_SERIAL)*1000000+51*1000+22))</f>
        <v/>
      </c>
      <c r="FA210" s="39">
        <f>IF(N('Dvd Calendar'!$AA$2111)=0,"",IF(('Dvd Calendar'!$AA$2111&gt;=GRID_FROM)*('Dvd Calendar'!$AA$2111&lt;=GRID_TO)*((('Dvd Calendar'!$AA$2111&lt;=VAL_DATE)+(COUNTIF('Dvd Calendar'!$E$2118:$AR$2118,'Dvd Calendar'!$AA$2111)=0))&gt;0)=0,"",'Dvd Calendar'!$AA$2111*1000000000+ISNUMBER('Dvd Calendar'!$AA$2114)*100000000+('Dvd Calendar'!$AA$2116=SPECIAL_LBL)*10000000+(N('Dvd Calendar'!$AA$2110)&gt;0)*(N('Dvd Calendar'!$AA$2110)&lt;=VAL_SERIAL)*1000000+51*1000+23))</f>
        <v/>
      </c>
      <c r="FB210" s="39">
        <f>IF(N('Dvd Calendar'!$AB$2111)=0,"",IF(('Dvd Calendar'!$AB$2111&gt;=GRID_FROM)*('Dvd Calendar'!$AB$2111&lt;=GRID_TO)*((('Dvd Calendar'!$AB$2111&lt;=VAL_DATE)+(COUNTIF('Dvd Calendar'!$E$2118:$AR$2118,'Dvd Calendar'!$AB$2111)=0))&gt;0)=0,"",'Dvd Calendar'!$AB$2111*1000000000+ISNUMBER('Dvd Calendar'!$AB$2114)*100000000+('Dvd Calendar'!$AB$2116=SPECIAL_LBL)*10000000+(N('Dvd Calendar'!$AB$2110)&gt;0)*(N('Dvd Calendar'!$AB$2110)&lt;=VAL_SERIAL)*1000000+51*1000+24))</f>
        <v/>
      </c>
      <c r="FC210" s="39">
        <f>IF(N('Dvd Calendar'!$AC$2111)=0,"",IF(('Dvd Calendar'!$AC$2111&gt;=GRID_FROM)*('Dvd Calendar'!$AC$2111&lt;=GRID_TO)*((('Dvd Calendar'!$AC$2111&lt;=VAL_DATE)+(COUNTIF('Dvd Calendar'!$E$2118:$AR$2118,'Dvd Calendar'!$AC$2111)=0))&gt;0)=0,"",'Dvd Calendar'!$AC$2111*1000000000+ISNUMBER('Dvd Calendar'!$AC$2114)*100000000+('Dvd Calendar'!$AC$2116=SPECIAL_LBL)*10000000+(N('Dvd Calendar'!$AC$2110)&gt;0)*(N('Dvd Calendar'!$AC$2110)&lt;=VAL_SERIAL)*1000000+51*1000+25))</f>
        <v/>
      </c>
      <c r="FD210" s="39">
        <f>IF(N('Dvd Calendar'!$AD$2111)=0,"",IF(('Dvd Calendar'!$AD$2111&gt;=GRID_FROM)*('Dvd Calendar'!$AD$2111&lt;=GRID_TO)*((('Dvd Calendar'!$AD$2111&lt;=VAL_DATE)+(COUNTIF('Dvd Calendar'!$E$2118:$AR$2118,'Dvd Calendar'!$AD$2111)=0))&gt;0)=0,"",'Dvd Calendar'!$AD$2111*1000000000+ISNUMBER('Dvd Calendar'!$AD$2114)*100000000+('Dvd Calendar'!$AD$2116=SPECIAL_LBL)*10000000+(N('Dvd Calendar'!$AD$2110)&gt;0)*(N('Dvd Calendar'!$AD$2110)&lt;=VAL_SERIAL)*1000000+51*1000+26))</f>
        <v/>
      </c>
      <c r="FE210" s="39">
        <f>IF(N('Dvd Calendar'!$AE$2111)=0,"",IF(('Dvd Calendar'!$AE$2111&gt;=GRID_FROM)*('Dvd Calendar'!$AE$2111&lt;=GRID_TO)*((('Dvd Calendar'!$AE$2111&lt;=VAL_DATE)+(COUNTIF('Dvd Calendar'!$E$2118:$AR$2118,'Dvd Calendar'!$AE$2111)=0))&gt;0)=0,"",'Dvd Calendar'!$AE$2111*1000000000+ISNUMBER('Dvd Calendar'!$AE$2114)*100000000+('Dvd Calendar'!$AE$2116=SPECIAL_LBL)*10000000+(N('Dvd Calendar'!$AE$2110)&gt;0)*(N('Dvd Calendar'!$AE$2110)&lt;=VAL_SERIAL)*1000000+51*1000+27))</f>
        <v/>
      </c>
      <c r="FF210" s="39">
        <f>IF(N('Dvd Calendar'!$AF$2111)=0,"",IF(('Dvd Calendar'!$AF$2111&gt;=GRID_FROM)*('Dvd Calendar'!$AF$2111&lt;=GRID_TO)*((('Dvd Calendar'!$AF$2111&lt;=VAL_DATE)+(COUNTIF('Dvd Calendar'!$E$2118:$AR$2118,'Dvd Calendar'!$AF$2111)=0))&gt;0)=0,"",'Dvd Calendar'!$AF$2111*1000000000+ISNUMBER('Dvd Calendar'!$AF$2114)*100000000+('Dvd Calendar'!$AF$2116=SPECIAL_LBL)*10000000+(N('Dvd Calendar'!$AF$2110)&gt;0)*(N('Dvd Calendar'!$AF$2110)&lt;=VAL_SERIAL)*1000000+51*1000+28))</f>
        <v/>
      </c>
      <c r="FG210" s="39">
        <f>IF(N('Dvd Calendar'!$AG$2111)=0,"",IF(('Dvd Calendar'!$AG$2111&gt;=GRID_FROM)*('Dvd Calendar'!$AG$2111&lt;=GRID_TO)*((('Dvd Calendar'!$AG$2111&lt;=VAL_DATE)+(COUNTIF('Dvd Calendar'!$E$2118:$AR$2118,'Dvd Calendar'!$AG$2111)=0))&gt;0)=0,"",'Dvd Calendar'!$AG$2111*1000000000+ISNUMBER('Dvd Calendar'!$AG$2114)*100000000+('Dvd Calendar'!$AG$2116=SPECIAL_LBL)*10000000+(N('Dvd Calendar'!$AG$2110)&gt;0)*(N('Dvd Calendar'!$AG$2110)&lt;=VAL_SERIAL)*1000000+51*1000+29))</f>
        <v/>
      </c>
      <c r="FH210" s="39">
        <f>IF(N('Dvd Calendar'!$AH$2111)=0,"",IF(('Dvd Calendar'!$AH$2111&gt;=GRID_FROM)*('Dvd Calendar'!$AH$2111&lt;=GRID_TO)*((('Dvd Calendar'!$AH$2111&lt;=VAL_DATE)+(COUNTIF('Dvd Calendar'!$E$2118:$AR$2118,'Dvd Calendar'!$AH$2111)=0))&gt;0)=0,"",'Dvd Calendar'!$AH$2111*1000000000+ISNUMBER('Dvd Calendar'!$AH$2114)*100000000+('Dvd Calendar'!$AH$2116=SPECIAL_LBL)*10000000+(N('Dvd Calendar'!$AH$2110)&gt;0)*(N('Dvd Calendar'!$AH$2110)&lt;=VAL_SERIAL)*1000000+51*1000+30))</f>
        <v/>
      </c>
      <c r="FI210" s="39">
        <f>IF(N('Dvd Calendar'!$AI$2111)=0,"",IF(('Dvd Calendar'!$AI$2111&gt;=GRID_FROM)*('Dvd Calendar'!$AI$2111&lt;=GRID_TO)*((('Dvd Calendar'!$AI$2111&lt;=VAL_DATE)+(COUNTIF('Dvd Calendar'!$E$2118:$AR$2118,'Dvd Calendar'!$AI$2111)=0))&gt;0)=0,"",'Dvd Calendar'!$AI$2111*1000000000+ISNUMBER('Dvd Calendar'!$AI$2114)*100000000+('Dvd Calendar'!$AI$2116=SPECIAL_LBL)*10000000+(N('Dvd Calendar'!$AI$2110)&gt;0)*(N('Dvd Calendar'!$AI$2110)&lt;=VAL_SERIAL)*1000000+51*1000+31))</f>
        <v/>
      </c>
      <c r="FJ210" s="39">
        <f>IF(N('Dvd Calendar'!$AJ$2111)=0,"",IF(('Dvd Calendar'!$AJ$2111&gt;=GRID_FROM)*('Dvd Calendar'!$AJ$2111&lt;=GRID_TO)*((('Dvd Calendar'!$AJ$2111&lt;=VAL_DATE)+(COUNTIF('Dvd Calendar'!$E$2118:$AR$2118,'Dvd Calendar'!$AJ$2111)=0))&gt;0)=0,"",'Dvd Calendar'!$AJ$2111*1000000000+ISNUMBER('Dvd Calendar'!$AJ$2114)*100000000+('Dvd Calendar'!$AJ$2116=SPECIAL_LBL)*10000000+(N('Dvd Calendar'!$AJ$2110)&gt;0)*(N('Dvd Calendar'!$AJ$2110)&lt;=VAL_SERIAL)*1000000+51*1000+32))</f>
        <v/>
      </c>
      <c r="FK210" s="39">
        <f>IF(N('Dvd Calendar'!$AK$2111)=0,"",IF(('Dvd Calendar'!$AK$2111&gt;=GRID_FROM)*('Dvd Calendar'!$AK$2111&lt;=GRID_TO)*((('Dvd Calendar'!$AK$2111&lt;=VAL_DATE)+(COUNTIF('Dvd Calendar'!$E$2118:$AR$2118,'Dvd Calendar'!$AK$2111)=0))&gt;0)=0,"",'Dvd Calendar'!$AK$2111*1000000000+ISNUMBER('Dvd Calendar'!$AK$2114)*100000000+('Dvd Calendar'!$AK$2116=SPECIAL_LBL)*10000000+(N('Dvd Calendar'!$AK$2110)&gt;0)*(N('Dvd Calendar'!$AK$2110)&lt;=VAL_SERIAL)*1000000+51*1000+33))</f>
        <v/>
      </c>
      <c r="FL210" s="39">
        <f>IF(N('Dvd Calendar'!$AL$2111)=0,"",IF(('Dvd Calendar'!$AL$2111&gt;=GRID_FROM)*('Dvd Calendar'!$AL$2111&lt;=GRID_TO)*((('Dvd Calendar'!$AL$2111&lt;=VAL_DATE)+(COUNTIF('Dvd Calendar'!$E$2118:$AR$2118,'Dvd Calendar'!$AL$2111)=0))&gt;0)=0,"",'Dvd Calendar'!$AL$2111*1000000000+ISNUMBER('Dvd Calendar'!$AL$2114)*100000000+('Dvd Calendar'!$AL$2116=SPECIAL_LBL)*10000000+(N('Dvd Calendar'!$AL$2110)&gt;0)*(N('Dvd Calendar'!$AL$2110)&lt;=VAL_SERIAL)*1000000+51*1000+34))</f>
        <v/>
      </c>
      <c r="FM210" s="39">
        <f>IF(N('Dvd Calendar'!$AM$2111)=0,"",IF(('Dvd Calendar'!$AM$2111&gt;=GRID_FROM)*('Dvd Calendar'!$AM$2111&lt;=GRID_TO)*((('Dvd Calendar'!$AM$2111&lt;=VAL_DATE)+(COUNTIF('Dvd Calendar'!$E$2118:$AR$2118,'Dvd Calendar'!$AM$2111)=0))&gt;0)=0,"",'Dvd Calendar'!$AM$2111*1000000000+ISNUMBER('Dvd Calendar'!$AM$2114)*100000000+('Dvd Calendar'!$AM$2116=SPECIAL_LBL)*10000000+(N('Dvd Calendar'!$AM$2110)&gt;0)*(N('Dvd Calendar'!$AM$2110)&lt;=VAL_SERIAL)*1000000+51*1000+35))</f>
        <v/>
      </c>
      <c r="FN210" s="39">
        <f>IF(N('Dvd Calendar'!$AN$2111)=0,"",IF(('Dvd Calendar'!$AN$2111&gt;=GRID_FROM)*('Dvd Calendar'!$AN$2111&lt;=GRID_TO)*((('Dvd Calendar'!$AN$2111&lt;=VAL_DATE)+(COUNTIF('Dvd Calendar'!$E$2118:$AR$2118,'Dvd Calendar'!$AN$2111)=0))&gt;0)=0,"",'Dvd Calendar'!$AN$2111*1000000000+ISNUMBER('Dvd Calendar'!$AN$2114)*100000000+('Dvd Calendar'!$AN$2116=SPECIAL_LBL)*10000000+(N('Dvd Calendar'!$AN$2110)&gt;0)*(N('Dvd Calendar'!$AN$2110)&lt;=VAL_SERIAL)*1000000+51*1000+36))</f>
        <v/>
      </c>
      <c r="FO210" s="39">
        <f>IF(N('Dvd Calendar'!$AO$2111)=0,"",IF(('Dvd Calendar'!$AO$2111&gt;=GRID_FROM)*('Dvd Calendar'!$AO$2111&lt;=GRID_TO)*((('Dvd Calendar'!$AO$2111&lt;=VAL_DATE)+(COUNTIF('Dvd Calendar'!$E$2118:$AR$2118,'Dvd Calendar'!$AO$2111)=0))&gt;0)=0,"",'Dvd Calendar'!$AO$2111*1000000000+ISNUMBER('Dvd Calendar'!$AO$2114)*100000000+('Dvd Calendar'!$AO$2116=SPECIAL_LBL)*10000000+(N('Dvd Calendar'!$AO$2110)&gt;0)*(N('Dvd Calendar'!$AO$2110)&lt;=VAL_SERIAL)*1000000+51*1000+37))</f>
        <v/>
      </c>
      <c r="FP210" s="39">
        <f>IF(N('Dvd Calendar'!$AP$2111)=0,"",IF(('Dvd Calendar'!$AP$2111&gt;=GRID_FROM)*('Dvd Calendar'!$AP$2111&lt;=GRID_TO)*((('Dvd Calendar'!$AP$2111&lt;=VAL_DATE)+(COUNTIF('Dvd Calendar'!$E$2118:$AR$2118,'Dvd Calendar'!$AP$2111)=0))&gt;0)=0,"",'Dvd Calendar'!$AP$2111*1000000000+ISNUMBER('Dvd Calendar'!$AP$2114)*100000000+('Dvd Calendar'!$AP$2116=SPECIAL_LBL)*10000000+(N('Dvd Calendar'!$AP$2110)&gt;0)*(N('Dvd Calendar'!$AP$2110)&lt;=VAL_SERIAL)*1000000+51*1000+38))</f>
        <v/>
      </c>
      <c r="FQ210" s="39">
        <f>IF(N('Dvd Calendar'!$AQ$2111)=0,"",IF(('Dvd Calendar'!$AQ$2111&gt;=GRID_FROM)*('Dvd Calendar'!$AQ$2111&lt;=GRID_TO)*((('Dvd Calendar'!$AQ$2111&lt;=VAL_DATE)+(COUNTIF('Dvd Calendar'!$E$2118:$AR$2118,'Dvd Calendar'!$AQ$2111)=0))&gt;0)=0,"",'Dvd Calendar'!$AQ$2111*1000000000+ISNUMBER('Dvd Calendar'!$AQ$2114)*100000000+('Dvd Calendar'!$AQ$2116=SPECIAL_LBL)*10000000+(N('Dvd Calendar'!$AQ$2110)&gt;0)*(N('Dvd Calendar'!$AQ$2110)&lt;=VAL_SERIAL)*1000000+51*1000+39))</f>
        <v/>
      </c>
      <c r="FR210" s="39">
        <f>IF(N('Dvd Calendar'!$AR$2111)=0,"",IF(('Dvd Calendar'!$AR$2111&gt;=GRID_FROM)*('Dvd Calendar'!$AR$2111&lt;=GRID_TO)*((('Dvd Calendar'!$AR$2111&lt;=VAL_DATE)+(COUNTIF('Dvd Calendar'!$E$2118:$AR$2118,'Dvd Calendar'!$AR$2111)=0))&gt;0)=0,"",'Dvd Calendar'!$AR$2111*1000000000+ISNUMBER('Dvd Calendar'!$AR$2114)*100000000+('Dvd Calendar'!$AR$2116=SPECIAL_LBL)*10000000+(N('Dvd Calendar'!$AR$2110)&gt;0)*(N('Dvd Calendar'!$AR$2110)&lt;=VAL_SERIAL)*1000000+51*1000+40))</f>
        <v/>
      </c>
      <c r="FS210" s="39">
        <f>IF(N('Dvd Calendar'!$E$2118)=0,"",IF(('Dvd Calendar'!$E$2118&gt;=GRID_FROM)*('Dvd Calendar'!$E$2118&lt;=GRID_TO)*('Dvd Calendar'!$E$2118&gt;VAL_DATE)=0,"",'Dvd Calendar'!$E$2118*1000000000+ISNUMBER('Dvd Calendar'!$E$2119)*100000000+0*10000000+(N('Dvd Calendar'!$E$2117)&gt;0)*(N('Dvd Calendar'!$E$2117)&lt;=VAL_SERIAL)*1000000+51*1000+41))</f>
        <v/>
      </c>
      <c r="FT210" s="39">
        <f>IF(N('Dvd Calendar'!$F$2118)=0,"",IF(('Dvd Calendar'!$F$2118&gt;=GRID_FROM)*('Dvd Calendar'!$F$2118&lt;=GRID_TO)*('Dvd Calendar'!$F$2118&gt;VAL_DATE)=0,"",'Dvd Calendar'!$F$2118*1000000000+ISNUMBER('Dvd Calendar'!$F$2119)*100000000+0*10000000+(N('Dvd Calendar'!$F$2117)&gt;0)*(N('Dvd Calendar'!$F$2117)&lt;=VAL_SERIAL)*1000000+51*1000+42))</f>
        <v/>
      </c>
      <c r="FU210" s="39">
        <f>IF(N('Dvd Calendar'!$G$2118)=0,"",IF(('Dvd Calendar'!$G$2118&gt;=GRID_FROM)*('Dvd Calendar'!$G$2118&lt;=GRID_TO)*('Dvd Calendar'!$G$2118&gt;VAL_DATE)=0,"",'Dvd Calendar'!$G$2118*1000000000+ISNUMBER('Dvd Calendar'!$G$2119)*100000000+0*10000000+(N('Dvd Calendar'!$G$2117)&gt;0)*(N('Dvd Calendar'!$G$2117)&lt;=VAL_SERIAL)*1000000+51*1000+43))</f>
        <v/>
      </c>
      <c r="FV210" s="39">
        <f>IF(N('Dvd Calendar'!$H$2118)=0,"",IF(('Dvd Calendar'!$H$2118&gt;=GRID_FROM)*('Dvd Calendar'!$H$2118&lt;=GRID_TO)*('Dvd Calendar'!$H$2118&gt;VAL_DATE)=0,"",'Dvd Calendar'!$H$2118*1000000000+ISNUMBER('Dvd Calendar'!$H$2119)*100000000+0*10000000+(N('Dvd Calendar'!$H$2117)&gt;0)*(N('Dvd Calendar'!$H$2117)&lt;=VAL_SERIAL)*1000000+51*1000+44))</f>
        <v/>
      </c>
      <c r="FW210" s="39">
        <f>IF(N('Dvd Calendar'!$I$2118)=0,"",IF(('Dvd Calendar'!$I$2118&gt;=GRID_FROM)*('Dvd Calendar'!$I$2118&lt;=GRID_TO)*('Dvd Calendar'!$I$2118&gt;VAL_DATE)=0,"",'Dvd Calendar'!$I$2118*1000000000+ISNUMBER('Dvd Calendar'!$I$2119)*100000000+0*10000000+(N('Dvd Calendar'!$I$2117)&gt;0)*(N('Dvd Calendar'!$I$2117)&lt;=VAL_SERIAL)*1000000+51*1000+45))</f>
        <v/>
      </c>
      <c r="FX210" s="39">
        <f>IF(N('Dvd Calendar'!$J$2118)=0,"",IF(('Dvd Calendar'!$J$2118&gt;=GRID_FROM)*('Dvd Calendar'!$J$2118&lt;=GRID_TO)*('Dvd Calendar'!$J$2118&gt;VAL_DATE)=0,"",'Dvd Calendar'!$J$2118*1000000000+ISNUMBER('Dvd Calendar'!$J$2119)*100000000+0*10000000+(N('Dvd Calendar'!$J$2117)&gt;0)*(N('Dvd Calendar'!$J$2117)&lt;=VAL_SERIAL)*1000000+51*1000+46))</f>
        <v/>
      </c>
      <c r="FY210" s="39">
        <f>IF(N('Dvd Calendar'!$K$2118)=0,"",IF(('Dvd Calendar'!$K$2118&gt;=GRID_FROM)*('Dvd Calendar'!$K$2118&lt;=GRID_TO)*('Dvd Calendar'!$K$2118&gt;VAL_DATE)=0,"",'Dvd Calendar'!$K$2118*1000000000+ISNUMBER('Dvd Calendar'!$K$2119)*100000000+0*10000000+(N('Dvd Calendar'!$K$2117)&gt;0)*(N('Dvd Calendar'!$K$2117)&lt;=VAL_SERIAL)*1000000+51*1000+47))</f>
        <v/>
      </c>
      <c r="FZ210" s="39">
        <f>IF(N('Dvd Calendar'!$L$2118)=0,"",IF(('Dvd Calendar'!$L$2118&gt;=GRID_FROM)*('Dvd Calendar'!$L$2118&lt;=GRID_TO)*('Dvd Calendar'!$L$2118&gt;VAL_DATE)=0,"",'Dvd Calendar'!$L$2118*1000000000+ISNUMBER('Dvd Calendar'!$L$2119)*100000000+0*10000000+(N('Dvd Calendar'!$L$2117)&gt;0)*(N('Dvd Calendar'!$L$2117)&lt;=VAL_SERIAL)*1000000+51*1000+48))</f>
        <v/>
      </c>
      <c r="GA210" s="39">
        <f>IF(N('Dvd Calendar'!$M$2118)=0,"",IF(('Dvd Calendar'!$M$2118&gt;=GRID_FROM)*('Dvd Calendar'!$M$2118&lt;=GRID_TO)*('Dvd Calendar'!$M$2118&gt;VAL_DATE)=0,"",'Dvd Calendar'!$M$2118*1000000000+ISNUMBER('Dvd Calendar'!$M$2119)*100000000+0*10000000+(N('Dvd Calendar'!$M$2117)&gt;0)*(N('Dvd Calendar'!$M$2117)&lt;=VAL_SERIAL)*1000000+51*1000+49))</f>
        <v/>
      </c>
      <c r="GB210" s="39">
        <f>IF(N('Dvd Calendar'!$N$2118)=0,"",IF(('Dvd Calendar'!$N$2118&gt;=GRID_FROM)*('Dvd Calendar'!$N$2118&lt;=GRID_TO)*('Dvd Calendar'!$N$2118&gt;VAL_DATE)=0,"",'Dvd Calendar'!$N$2118*1000000000+ISNUMBER('Dvd Calendar'!$N$2119)*100000000+0*10000000+(N('Dvd Calendar'!$N$2117)&gt;0)*(N('Dvd Calendar'!$N$2117)&lt;=VAL_SERIAL)*1000000+51*1000+50))</f>
        <v/>
      </c>
      <c r="GC210" s="39">
        <f>IF(N('Dvd Calendar'!$O$2118)=0,"",IF(('Dvd Calendar'!$O$2118&gt;=GRID_FROM)*('Dvd Calendar'!$O$2118&lt;=GRID_TO)*('Dvd Calendar'!$O$2118&gt;VAL_DATE)=0,"",'Dvd Calendar'!$O$2118*1000000000+ISNUMBER('Dvd Calendar'!$O$2119)*100000000+0*10000000+(N('Dvd Calendar'!$O$2117)&gt;0)*(N('Dvd Calendar'!$O$2117)&lt;=VAL_SERIAL)*1000000+51*1000+51))</f>
        <v/>
      </c>
      <c r="GD210" s="39">
        <f>IF(N('Dvd Calendar'!$P$2118)=0,"",IF(('Dvd Calendar'!$P$2118&gt;=GRID_FROM)*('Dvd Calendar'!$P$2118&lt;=GRID_TO)*('Dvd Calendar'!$P$2118&gt;VAL_DATE)=0,"",'Dvd Calendar'!$P$2118*1000000000+ISNUMBER('Dvd Calendar'!$P$2119)*100000000+0*10000000+(N('Dvd Calendar'!$P$2117)&gt;0)*(N('Dvd Calendar'!$P$2117)&lt;=VAL_SERIAL)*1000000+51*1000+52))</f>
        <v/>
      </c>
      <c r="GE210" s="39">
        <f>IF(N('Dvd Calendar'!$Q$2118)=0,"",IF(('Dvd Calendar'!$Q$2118&gt;=GRID_FROM)*('Dvd Calendar'!$Q$2118&lt;=GRID_TO)*('Dvd Calendar'!$Q$2118&gt;VAL_DATE)=0,"",'Dvd Calendar'!$Q$2118*1000000000+ISNUMBER('Dvd Calendar'!$Q$2119)*100000000+0*10000000+(N('Dvd Calendar'!$Q$2117)&gt;0)*(N('Dvd Calendar'!$Q$2117)&lt;=VAL_SERIAL)*1000000+51*1000+53))</f>
        <v/>
      </c>
      <c r="GF210" s="39">
        <f>IF(N('Dvd Calendar'!$R$2118)=0,"",IF(('Dvd Calendar'!$R$2118&gt;=GRID_FROM)*('Dvd Calendar'!$R$2118&lt;=GRID_TO)*('Dvd Calendar'!$R$2118&gt;VAL_DATE)=0,"",'Dvd Calendar'!$R$2118*1000000000+ISNUMBER('Dvd Calendar'!$R$2119)*100000000+0*10000000+(N('Dvd Calendar'!$R$2117)&gt;0)*(N('Dvd Calendar'!$R$2117)&lt;=VAL_SERIAL)*1000000+51*1000+54))</f>
        <v/>
      </c>
      <c r="GG210" s="39">
        <f>IF(N('Dvd Calendar'!$S$2118)=0,"",IF(('Dvd Calendar'!$S$2118&gt;=GRID_FROM)*('Dvd Calendar'!$S$2118&lt;=GRID_TO)*('Dvd Calendar'!$S$2118&gt;VAL_DATE)=0,"",'Dvd Calendar'!$S$2118*1000000000+ISNUMBER('Dvd Calendar'!$S$2119)*100000000+0*10000000+(N('Dvd Calendar'!$S$2117)&gt;0)*(N('Dvd Calendar'!$S$2117)&lt;=VAL_SERIAL)*1000000+51*1000+55))</f>
        <v/>
      </c>
      <c r="GH210" s="39">
        <f>IF(N('Dvd Calendar'!$T$2118)=0,"",IF(('Dvd Calendar'!$T$2118&gt;=GRID_FROM)*('Dvd Calendar'!$T$2118&lt;=GRID_TO)*('Dvd Calendar'!$T$2118&gt;VAL_DATE)=0,"",'Dvd Calendar'!$T$2118*1000000000+ISNUMBER('Dvd Calendar'!$T$2119)*100000000+0*10000000+(N('Dvd Calendar'!$T$2117)&gt;0)*(N('Dvd Calendar'!$T$2117)&lt;=VAL_SERIAL)*1000000+51*1000+56))</f>
        <v/>
      </c>
      <c r="GI210" s="39">
        <f>IF(N('Dvd Calendar'!$U$2118)=0,"",IF(('Dvd Calendar'!$U$2118&gt;=GRID_FROM)*('Dvd Calendar'!$U$2118&lt;=GRID_TO)*('Dvd Calendar'!$U$2118&gt;VAL_DATE)=0,"",'Dvd Calendar'!$U$2118*1000000000+ISNUMBER('Dvd Calendar'!$U$2119)*100000000+0*10000000+(N('Dvd Calendar'!$U$2117)&gt;0)*(N('Dvd Calendar'!$U$2117)&lt;=VAL_SERIAL)*1000000+51*1000+57))</f>
        <v/>
      </c>
      <c r="GJ210" s="39">
        <f>IF(N('Dvd Calendar'!$V$2118)=0,"",IF(('Dvd Calendar'!$V$2118&gt;=GRID_FROM)*('Dvd Calendar'!$V$2118&lt;=GRID_TO)*('Dvd Calendar'!$V$2118&gt;VAL_DATE)=0,"",'Dvd Calendar'!$V$2118*1000000000+ISNUMBER('Dvd Calendar'!$V$2119)*100000000+0*10000000+(N('Dvd Calendar'!$V$2117)&gt;0)*(N('Dvd Calendar'!$V$2117)&lt;=VAL_SERIAL)*1000000+51*1000+58))</f>
        <v/>
      </c>
      <c r="GK210" s="39">
        <f>IF(N('Dvd Calendar'!$W$2118)=0,"",IF(('Dvd Calendar'!$W$2118&gt;=GRID_FROM)*('Dvd Calendar'!$W$2118&lt;=GRID_TO)*('Dvd Calendar'!$W$2118&gt;VAL_DATE)=0,"",'Dvd Calendar'!$W$2118*1000000000+ISNUMBER('Dvd Calendar'!$W$2119)*100000000+0*10000000+(N('Dvd Calendar'!$W$2117)&gt;0)*(N('Dvd Calendar'!$W$2117)&lt;=VAL_SERIAL)*1000000+51*1000+59))</f>
        <v/>
      </c>
      <c r="GL210" s="39">
        <f>IF(N('Dvd Calendar'!$X$2118)=0,"",IF(('Dvd Calendar'!$X$2118&gt;=GRID_FROM)*('Dvd Calendar'!$X$2118&lt;=GRID_TO)*('Dvd Calendar'!$X$2118&gt;VAL_DATE)=0,"",'Dvd Calendar'!$X$2118*1000000000+ISNUMBER('Dvd Calendar'!$X$2119)*100000000+0*10000000+(N('Dvd Calendar'!$X$2117)&gt;0)*(N('Dvd Calendar'!$X$2117)&lt;=VAL_SERIAL)*1000000+51*1000+60))</f>
        <v/>
      </c>
      <c r="GM210" s="39">
        <f>IF(N('Dvd Calendar'!$Y$2118)=0,"",IF(('Dvd Calendar'!$Y$2118&gt;=GRID_FROM)*('Dvd Calendar'!$Y$2118&lt;=GRID_TO)*('Dvd Calendar'!$Y$2118&gt;VAL_DATE)=0,"",'Dvd Calendar'!$Y$2118*1000000000+ISNUMBER('Dvd Calendar'!$Y$2119)*100000000+0*10000000+(N('Dvd Calendar'!$Y$2117)&gt;0)*(N('Dvd Calendar'!$Y$2117)&lt;=VAL_SERIAL)*1000000+51*1000+61))</f>
        <v/>
      </c>
      <c r="GN210" s="39">
        <f>IF(N('Dvd Calendar'!$Z$2118)=0,"",IF(('Dvd Calendar'!$Z$2118&gt;=GRID_FROM)*('Dvd Calendar'!$Z$2118&lt;=GRID_TO)*('Dvd Calendar'!$Z$2118&gt;VAL_DATE)=0,"",'Dvd Calendar'!$Z$2118*1000000000+ISNUMBER('Dvd Calendar'!$Z$2119)*100000000+0*10000000+(N('Dvd Calendar'!$Z$2117)&gt;0)*(N('Dvd Calendar'!$Z$2117)&lt;=VAL_SERIAL)*1000000+51*1000+62))</f>
        <v/>
      </c>
      <c r="GO210" s="39">
        <f>IF(N('Dvd Calendar'!$AA$2118)=0,"",IF(('Dvd Calendar'!$AA$2118&gt;=GRID_FROM)*('Dvd Calendar'!$AA$2118&lt;=GRID_TO)*('Dvd Calendar'!$AA$2118&gt;VAL_DATE)=0,"",'Dvd Calendar'!$AA$2118*1000000000+ISNUMBER('Dvd Calendar'!$AA$2119)*100000000+0*10000000+(N('Dvd Calendar'!$AA$2117)&gt;0)*(N('Dvd Calendar'!$AA$2117)&lt;=VAL_SERIAL)*1000000+51*1000+63))</f>
        <v/>
      </c>
      <c r="GP210" s="39">
        <f>IF(N('Dvd Calendar'!$AB$2118)=0,"",IF(('Dvd Calendar'!$AB$2118&gt;=GRID_FROM)*('Dvd Calendar'!$AB$2118&lt;=GRID_TO)*('Dvd Calendar'!$AB$2118&gt;VAL_DATE)=0,"",'Dvd Calendar'!$AB$2118*1000000000+ISNUMBER('Dvd Calendar'!$AB$2119)*100000000+0*10000000+(N('Dvd Calendar'!$AB$2117)&gt;0)*(N('Dvd Calendar'!$AB$2117)&lt;=VAL_SERIAL)*1000000+51*1000+64))</f>
        <v/>
      </c>
      <c r="GQ210" s="39">
        <f>IF(N('Dvd Calendar'!$AC$2118)=0,"",IF(('Dvd Calendar'!$AC$2118&gt;=GRID_FROM)*('Dvd Calendar'!$AC$2118&lt;=GRID_TO)*('Dvd Calendar'!$AC$2118&gt;VAL_DATE)=0,"",'Dvd Calendar'!$AC$2118*1000000000+ISNUMBER('Dvd Calendar'!$AC$2119)*100000000+0*10000000+(N('Dvd Calendar'!$AC$2117)&gt;0)*(N('Dvd Calendar'!$AC$2117)&lt;=VAL_SERIAL)*1000000+51*1000+65))</f>
        <v/>
      </c>
    </row>
    <row r="211">
      <c r="B211" s="2">
        <f>IF(HSCEI!$C$58="","",HSCEI!$C$58)</f>
        <v/>
      </c>
      <c r="C211" s="110">
        <f>IF(EE211="","",IF(ISNUMBER('Dvd Calendar'!$E$2125)=FALSE,"",IF((('Dvd Calendar'!$E$2127=TYPE1)*(TYPE1&lt;&gt;"")+('Dvd Calendar'!$E$2127=TYPE2)*(TYPE2&lt;&gt;"")+('Dvd Calendar'!$E$2127=TYPE3)*(TYPE3&lt;&gt;"")+('Dvd Calendar'!$E$2127=TYPE4)*(TYPE4&lt;&gt;"")+('Dvd Calendar'!$E$2127=SPECIAL_LBL)*(INC_SPECIALS="Y"))=0,"",'Dvd Calendar'!$E$2125)))</f>
        <v/>
      </c>
      <c r="D211" s="110">
        <f>IF(EF211="","",IF(ISNUMBER('Dvd Calendar'!$F$2125)=FALSE,"",IF((('Dvd Calendar'!$F$2127=TYPE1)*(TYPE1&lt;&gt;"")+('Dvd Calendar'!$F$2127=TYPE2)*(TYPE2&lt;&gt;"")+('Dvd Calendar'!$F$2127=TYPE3)*(TYPE3&lt;&gt;"")+('Dvd Calendar'!$F$2127=TYPE4)*(TYPE4&lt;&gt;"")+('Dvd Calendar'!$F$2127=SPECIAL_LBL)*(INC_SPECIALS="Y"))=0,"",'Dvd Calendar'!$F$2125)))</f>
        <v/>
      </c>
      <c r="E211" s="110">
        <f>IF(EG211="","",IF(ISNUMBER('Dvd Calendar'!$G$2125)=FALSE,"",IF((('Dvd Calendar'!$G$2127=TYPE1)*(TYPE1&lt;&gt;"")+('Dvd Calendar'!$G$2127=TYPE2)*(TYPE2&lt;&gt;"")+('Dvd Calendar'!$G$2127=TYPE3)*(TYPE3&lt;&gt;"")+('Dvd Calendar'!$G$2127=TYPE4)*(TYPE4&lt;&gt;"")+('Dvd Calendar'!$G$2127=SPECIAL_LBL)*(INC_SPECIALS="Y"))=0,"",'Dvd Calendar'!$G$2125)))</f>
        <v/>
      </c>
      <c r="F211" s="110">
        <f>IF(EH211="","",IF(ISNUMBER('Dvd Calendar'!$H$2125)=FALSE,"",IF((('Dvd Calendar'!$H$2127=TYPE1)*(TYPE1&lt;&gt;"")+('Dvd Calendar'!$H$2127=TYPE2)*(TYPE2&lt;&gt;"")+('Dvd Calendar'!$H$2127=TYPE3)*(TYPE3&lt;&gt;"")+('Dvd Calendar'!$H$2127=TYPE4)*(TYPE4&lt;&gt;"")+('Dvd Calendar'!$H$2127=SPECIAL_LBL)*(INC_SPECIALS="Y"))=0,"",'Dvd Calendar'!$H$2125)))</f>
        <v/>
      </c>
      <c r="G211" s="110">
        <f>IF(EI211="","",IF(ISNUMBER('Dvd Calendar'!$I$2125)=FALSE,"",IF((('Dvd Calendar'!$I$2127=TYPE1)*(TYPE1&lt;&gt;"")+('Dvd Calendar'!$I$2127=TYPE2)*(TYPE2&lt;&gt;"")+('Dvd Calendar'!$I$2127=TYPE3)*(TYPE3&lt;&gt;"")+('Dvd Calendar'!$I$2127=TYPE4)*(TYPE4&lt;&gt;"")+('Dvd Calendar'!$I$2127=SPECIAL_LBL)*(INC_SPECIALS="Y"))=0,"",'Dvd Calendar'!$I$2125)))</f>
        <v/>
      </c>
      <c r="H211" s="110">
        <f>IF(EJ211="","",IF(ISNUMBER('Dvd Calendar'!$J$2125)=FALSE,"",IF((('Dvd Calendar'!$J$2127=TYPE1)*(TYPE1&lt;&gt;"")+('Dvd Calendar'!$J$2127=TYPE2)*(TYPE2&lt;&gt;"")+('Dvd Calendar'!$J$2127=TYPE3)*(TYPE3&lt;&gt;"")+('Dvd Calendar'!$J$2127=TYPE4)*(TYPE4&lt;&gt;"")+('Dvd Calendar'!$J$2127=SPECIAL_LBL)*(INC_SPECIALS="Y"))=0,"",'Dvd Calendar'!$J$2125)))</f>
        <v/>
      </c>
      <c r="I211" s="110">
        <f>IF(EK211="","",IF(ISNUMBER('Dvd Calendar'!$K$2125)=FALSE,"",IF((('Dvd Calendar'!$K$2127=TYPE1)*(TYPE1&lt;&gt;"")+('Dvd Calendar'!$K$2127=TYPE2)*(TYPE2&lt;&gt;"")+('Dvd Calendar'!$K$2127=TYPE3)*(TYPE3&lt;&gt;"")+('Dvd Calendar'!$K$2127=TYPE4)*(TYPE4&lt;&gt;"")+('Dvd Calendar'!$K$2127=SPECIAL_LBL)*(INC_SPECIALS="Y"))=0,"",'Dvd Calendar'!$K$2125)))</f>
        <v/>
      </c>
      <c r="J211" s="110">
        <f>IF(EL211="","",IF(ISNUMBER('Dvd Calendar'!$L$2125)=FALSE,"",IF((('Dvd Calendar'!$L$2127=TYPE1)*(TYPE1&lt;&gt;"")+('Dvd Calendar'!$L$2127=TYPE2)*(TYPE2&lt;&gt;"")+('Dvd Calendar'!$L$2127=TYPE3)*(TYPE3&lt;&gt;"")+('Dvd Calendar'!$L$2127=TYPE4)*(TYPE4&lt;&gt;"")+('Dvd Calendar'!$L$2127=SPECIAL_LBL)*(INC_SPECIALS="Y"))=0,"",'Dvd Calendar'!$L$2125)))</f>
        <v/>
      </c>
      <c r="K211" s="110">
        <f>IF(EM211="","",IF(ISNUMBER('Dvd Calendar'!$M$2125)=FALSE,"",IF((('Dvd Calendar'!$M$2127=TYPE1)*(TYPE1&lt;&gt;"")+('Dvd Calendar'!$M$2127=TYPE2)*(TYPE2&lt;&gt;"")+('Dvd Calendar'!$M$2127=TYPE3)*(TYPE3&lt;&gt;"")+('Dvd Calendar'!$M$2127=TYPE4)*(TYPE4&lt;&gt;"")+('Dvd Calendar'!$M$2127=SPECIAL_LBL)*(INC_SPECIALS="Y"))=0,"",'Dvd Calendar'!$M$2125)))</f>
        <v/>
      </c>
      <c r="L211" s="110">
        <f>IF(EN211="","",IF(ISNUMBER('Dvd Calendar'!$N$2125)=FALSE,"",IF((('Dvd Calendar'!$N$2127=TYPE1)*(TYPE1&lt;&gt;"")+('Dvd Calendar'!$N$2127=TYPE2)*(TYPE2&lt;&gt;"")+('Dvd Calendar'!$N$2127=TYPE3)*(TYPE3&lt;&gt;"")+('Dvd Calendar'!$N$2127=TYPE4)*(TYPE4&lt;&gt;"")+('Dvd Calendar'!$N$2127=SPECIAL_LBL)*(INC_SPECIALS="Y"))=0,"",'Dvd Calendar'!$N$2125)))</f>
        <v/>
      </c>
      <c r="M211" s="110">
        <f>IF(EO211="","",IF(ISNUMBER('Dvd Calendar'!$O$2125)=FALSE,"",IF((('Dvd Calendar'!$O$2127=TYPE1)*(TYPE1&lt;&gt;"")+('Dvd Calendar'!$O$2127=TYPE2)*(TYPE2&lt;&gt;"")+('Dvd Calendar'!$O$2127=TYPE3)*(TYPE3&lt;&gt;"")+('Dvd Calendar'!$O$2127=TYPE4)*(TYPE4&lt;&gt;"")+('Dvd Calendar'!$O$2127=SPECIAL_LBL)*(INC_SPECIALS="Y"))=0,"",'Dvd Calendar'!$O$2125)))</f>
        <v/>
      </c>
      <c r="N211" s="110">
        <f>IF(EP211="","",IF(ISNUMBER('Dvd Calendar'!$P$2125)=FALSE,"",IF((('Dvd Calendar'!$P$2127=TYPE1)*(TYPE1&lt;&gt;"")+('Dvd Calendar'!$P$2127=TYPE2)*(TYPE2&lt;&gt;"")+('Dvd Calendar'!$P$2127=TYPE3)*(TYPE3&lt;&gt;"")+('Dvd Calendar'!$P$2127=TYPE4)*(TYPE4&lt;&gt;"")+('Dvd Calendar'!$P$2127=SPECIAL_LBL)*(INC_SPECIALS="Y"))=0,"",'Dvd Calendar'!$P$2125)))</f>
        <v/>
      </c>
      <c r="O211" s="110">
        <f>IF(EQ211="","",IF(ISNUMBER('Dvd Calendar'!$Q$2125)=FALSE,"",IF((('Dvd Calendar'!$Q$2127=TYPE1)*(TYPE1&lt;&gt;"")+('Dvd Calendar'!$Q$2127=TYPE2)*(TYPE2&lt;&gt;"")+('Dvd Calendar'!$Q$2127=TYPE3)*(TYPE3&lt;&gt;"")+('Dvd Calendar'!$Q$2127=TYPE4)*(TYPE4&lt;&gt;"")+('Dvd Calendar'!$Q$2127=SPECIAL_LBL)*(INC_SPECIALS="Y"))=0,"",'Dvd Calendar'!$Q$2125)))</f>
        <v/>
      </c>
      <c r="P211" s="110">
        <f>IF(ER211="","",IF(ISNUMBER('Dvd Calendar'!$R$2125)=FALSE,"",IF((('Dvd Calendar'!$R$2127=TYPE1)*(TYPE1&lt;&gt;"")+('Dvd Calendar'!$R$2127=TYPE2)*(TYPE2&lt;&gt;"")+('Dvd Calendar'!$R$2127=TYPE3)*(TYPE3&lt;&gt;"")+('Dvd Calendar'!$R$2127=TYPE4)*(TYPE4&lt;&gt;"")+('Dvd Calendar'!$R$2127=SPECIAL_LBL)*(INC_SPECIALS="Y"))=0,"",'Dvd Calendar'!$R$2125)))</f>
        <v/>
      </c>
      <c r="Q211" s="110">
        <f>IF(ES211="","",IF(ISNUMBER('Dvd Calendar'!$S$2125)=FALSE,"",IF((('Dvd Calendar'!$S$2127=TYPE1)*(TYPE1&lt;&gt;"")+('Dvd Calendar'!$S$2127=TYPE2)*(TYPE2&lt;&gt;"")+('Dvd Calendar'!$S$2127=TYPE3)*(TYPE3&lt;&gt;"")+('Dvd Calendar'!$S$2127=TYPE4)*(TYPE4&lt;&gt;"")+('Dvd Calendar'!$S$2127=SPECIAL_LBL)*(INC_SPECIALS="Y"))=0,"",'Dvd Calendar'!$S$2125)))</f>
        <v/>
      </c>
      <c r="R211" s="110">
        <f>IF(ET211="","",IF(ISNUMBER('Dvd Calendar'!$T$2125)=FALSE,"",IF((('Dvd Calendar'!$T$2127=TYPE1)*(TYPE1&lt;&gt;"")+('Dvd Calendar'!$T$2127=TYPE2)*(TYPE2&lt;&gt;"")+('Dvd Calendar'!$T$2127=TYPE3)*(TYPE3&lt;&gt;"")+('Dvd Calendar'!$T$2127=TYPE4)*(TYPE4&lt;&gt;"")+('Dvd Calendar'!$T$2127=SPECIAL_LBL)*(INC_SPECIALS="Y"))=0,"",'Dvd Calendar'!$T$2125)))</f>
        <v/>
      </c>
      <c r="S211" s="110">
        <f>IF(EU211="","",IF(ISNUMBER('Dvd Calendar'!$U$2125)=FALSE,"",IF((('Dvd Calendar'!$U$2127=TYPE1)*(TYPE1&lt;&gt;"")+('Dvd Calendar'!$U$2127=TYPE2)*(TYPE2&lt;&gt;"")+('Dvd Calendar'!$U$2127=TYPE3)*(TYPE3&lt;&gt;"")+('Dvd Calendar'!$U$2127=TYPE4)*(TYPE4&lt;&gt;"")+('Dvd Calendar'!$U$2127=SPECIAL_LBL)*(INC_SPECIALS="Y"))=0,"",'Dvd Calendar'!$U$2125)))</f>
        <v/>
      </c>
      <c r="T211" s="110">
        <f>IF(EV211="","",IF(ISNUMBER('Dvd Calendar'!$V$2125)=FALSE,"",IF((('Dvd Calendar'!$V$2127=TYPE1)*(TYPE1&lt;&gt;"")+('Dvd Calendar'!$V$2127=TYPE2)*(TYPE2&lt;&gt;"")+('Dvd Calendar'!$V$2127=TYPE3)*(TYPE3&lt;&gt;"")+('Dvd Calendar'!$V$2127=TYPE4)*(TYPE4&lt;&gt;"")+('Dvd Calendar'!$V$2127=SPECIAL_LBL)*(INC_SPECIALS="Y"))=0,"",'Dvd Calendar'!$V$2125)))</f>
        <v/>
      </c>
      <c r="U211" s="110">
        <f>IF(EW211="","",IF(ISNUMBER('Dvd Calendar'!$W$2125)=FALSE,"",IF((('Dvd Calendar'!$W$2127=TYPE1)*(TYPE1&lt;&gt;"")+('Dvd Calendar'!$W$2127=TYPE2)*(TYPE2&lt;&gt;"")+('Dvd Calendar'!$W$2127=TYPE3)*(TYPE3&lt;&gt;"")+('Dvd Calendar'!$W$2127=TYPE4)*(TYPE4&lt;&gt;"")+('Dvd Calendar'!$W$2127=SPECIAL_LBL)*(INC_SPECIALS="Y"))=0,"",'Dvd Calendar'!$W$2125)))</f>
        <v/>
      </c>
      <c r="V211" s="110">
        <f>IF(EX211="","",IF(ISNUMBER('Dvd Calendar'!$X$2125)=FALSE,"",IF((('Dvd Calendar'!$X$2127=TYPE1)*(TYPE1&lt;&gt;"")+('Dvd Calendar'!$X$2127=TYPE2)*(TYPE2&lt;&gt;"")+('Dvd Calendar'!$X$2127=TYPE3)*(TYPE3&lt;&gt;"")+('Dvd Calendar'!$X$2127=TYPE4)*(TYPE4&lt;&gt;"")+('Dvd Calendar'!$X$2127=SPECIAL_LBL)*(INC_SPECIALS="Y"))=0,"",'Dvd Calendar'!$X$2125)))</f>
        <v/>
      </c>
      <c r="W211" s="110">
        <f>IF(EY211="","",IF(ISNUMBER('Dvd Calendar'!$Y$2125)=FALSE,"",IF((('Dvd Calendar'!$Y$2127=TYPE1)*(TYPE1&lt;&gt;"")+('Dvd Calendar'!$Y$2127=TYPE2)*(TYPE2&lt;&gt;"")+('Dvd Calendar'!$Y$2127=TYPE3)*(TYPE3&lt;&gt;"")+('Dvd Calendar'!$Y$2127=TYPE4)*(TYPE4&lt;&gt;"")+('Dvd Calendar'!$Y$2127=SPECIAL_LBL)*(INC_SPECIALS="Y"))=0,"",'Dvd Calendar'!$Y$2125)))</f>
        <v/>
      </c>
      <c r="X211" s="110">
        <f>IF(EZ211="","",IF(ISNUMBER('Dvd Calendar'!$Z$2125)=FALSE,"",IF((('Dvd Calendar'!$Z$2127=TYPE1)*(TYPE1&lt;&gt;"")+('Dvd Calendar'!$Z$2127=TYPE2)*(TYPE2&lt;&gt;"")+('Dvd Calendar'!$Z$2127=TYPE3)*(TYPE3&lt;&gt;"")+('Dvd Calendar'!$Z$2127=TYPE4)*(TYPE4&lt;&gt;"")+('Dvd Calendar'!$Z$2127=SPECIAL_LBL)*(INC_SPECIALS="Y"))=0,"",'Dvd Calendar'!$Z$2125)))</f>
        <v/>
      </c>
      <c r="Y211" s="110">
        <f>IF(FA211="","",IF(ISNUMBER('Dvd Calendar'!$AA$2125)=FALSE,"",IF((('Dvd Calendar'!$AA$2127=TYPE1)*(TYPE1&lt;&gt;"")+('Dvd Calendar'!$AA$2127=TYPE2)*(TYPE2&lt;&gt;"")+('Dvd Calendar'!$AA$2127=TYPE3)*(TYPE3&lt;&gt;"")+('Dvd Calendar'!$AA$2127=TYPE4)*(TYPE4&lt;&gt;"")+('Dvd Calendar'!$AA$2127=SPECIAL_LBL)*(INC_SPECIALS="Y"))=0,"",'Dvd Calendar'!$AA$2125)))</f>
        <v/>
      </c>
      <c r="Z211" s="110">
        <f>IF(FB211="","",IF(ISNUMBER('Dvd Calendar'!$AB$2125)=FALSE,"",IF((('Dvd Calendar'!$AB$2127=TYPE1)*(TYPE1&lt;&gt;"")+('Dvd Calendar'!$AB$2127=TYPE2)*(TYPE2&lt;&gt;"")+('Dvd Calendar'!$AB$2127=TYPE3)*(TYPE3&lt;&gt;"")+('Dvd Calendar'!$AB$2127=TYPE4)*(TYPE4&lt;&gt;"")+('Dvd Calendar'!$AB$2127=SPECIAL_LBL)*(INC_SPECIALS="Y"))=0,"",'Dvd Calendar'!$AB$2125)))</f>
        <v/>
      </c>
      <c r="AA211" s="110">
        <f>IF(FC211="","",IF(ISNUMBER('Dvd Calendar'!$AC$2125)=FALSE,"",IF((('Dvd Calendar'!$AC$2127=TYPE1)*(TYPE1&lt;&gt;"")+('Dvd Calendar'!$AC$2127=TYPE2)*(TYPE2&lt;&gt;"")+('Dvd Calendar'!$AC$2127=TYPE3)*(TYPE3&lt;&gt;"")+('Dvd Calendar'!$AC$2127=TYPE4)*(TYPE4&lt;&gt;"")+('Dvd Calendar'!$AC$2127=SPECIAL_LBL)*(INC_SPECIALS="Y"))=0,"",'Dvd Calendar'!$AC$2125)))</f>
        <v/>
      </c>
      <c r="AB211" s="110">
        <f>IF(FD211="","",IF(ISNUMBER('Dvd Calendar'!$AD$2125)=FALSE,"",IF((('Dvd Calendar'!$AD$2127=TYPE1)*(TYPE1&lt;&gt;"")+('Dvd Calendar'!$AD$2127=TYPE2)*(TYPE2&lt;&gt;"")+('Dvd Calendar'!$AD$2127=TYPE3)*(TYPE3&lt;&gt;"")+('Dvd Calendar'!$AD$2127=TYPE4)*(TYPE4&lt;&gt;"")+('Dvd Calendar'!$AD$2127=SPECIAL_LBL)*(INC_SPECIALS="Y"))=0,"",'Dvd Calendar'!$AD$2125)))</f>
        <v/>
      </c>
      <c r="AC211" s="110">
        <f>IF(FE211="","",IF(ISNUMBER('Dvd Calendar'!$AE$2125)=FALSE,"",IF((('Dvd Calendar'!$AE$2127=TYPE1)*(TYPE1&lt;&gt;"")+('Dvd Calendar'!$AE$2127=TYPE2)*(TYPE2&lt;&gt;"")+('Dvd Calendar'!$AE$2127=TYPE3)*(TYPE3&lt;&gt;"")+('Dvd Calendar'!$AE$2127=TYPE4)*(TYPE4&lt;&gt;"")+('Dvd Calendar'!$AE$2127=SPECIAL_LBL)*(INC_SPECIALS="Y"))=0,"",'Dvd Calendar'!$AE$2125)))</f>
        <v/>
      </c>
      <c r="AD211" s="110">
        <f>IF(FF211="","",IF(ISNUMBER('Dvd Calendar'!$AF$2125)=FALSE,"",IF((('Dvd Calendar'!$AF$2127=TYPE1)*(TYPE1&lt;&gt;"")+('Dvd Calendar'!$AF$2127=TYPE2)*(TYPE2&lt;&gt;"")+('Dvd Calendar'!$AF$2127=TYPE3)*(TYPE3&lt;&gt;"")+('Dvd Calendar'!$AF$2127=TYPE4)*(TYPE4&lt;&gt;"")+('Dvd Calendar'!$AF$2127=SPECIAL_LBL)*(INC_SPECIALS="Y"))=0,"",'Dvd Calendar'!$AF$2125)))</f>
        <v/>
      </c>
      <c r="AE211" s="110">
        <f>IF(FG211="","",IF(ISNUMBER('Dvd Calendar'!$AG$2125)=FALSE,"",IF((('Dvd Calendar'!$AG$2127=TYPE1)*(TYPE1&lt;&gt;"")+('Dvd Calendar'!$AG$2127=TYPE2)*(TYPE2&lt;&gt;"")+('Dvd Calendar'!$AG$2127=TYPE3)*(TYPE3&lt;&gt;"")+('Dvd Calendar'!$AG$2127=TYPE4)*(TYPE4&lt;&gt;"")+('Dvd Calendar'!$AG$2127=SPECIAL_LBL)*(INC_SPECIALS="Y"))=0,"",'Dvd Calendar'!$AG$2125)))</f>
        <v/>
      </c>
      <c r="AF211" s="110">
        <f>IF(FH211="","",IF(ISNUMBER('Dvd Calendar'!$AH$2125)=FALSE,"",IF((('Dvd Calendar'!$AH$2127=TYPE1)*(TYPE1&lt;&gt;"")+('Dvd Calendar'!$AH$2127=TYPE2)*(TYPE2&lt;&gt;"")+('Dvd Calendar'!$AH$2127=TYPE3)*(TYPE3&lt;&gt;"")+('Dvd Calendar'!$AH$2127=TYPE4)*(TYPE4&lt;&gt;"")+('Dvd Calendar'!$AH$2127=SPECIAL_LBL)*(INC_SPECIALS="Y"))=0,"",'Dvd Calendar'!$AH$2125)))</f>
        <v/>
      </c>
      <c r="AG211" s="110">
        <f>IF(FI211="","",IF(ISNUMBER('Dvd Calendar'!$AI$2125)=FALSE,"",IF((('Dvd Calendar'!$AI$2127=TYPE1)*(TYPE1&lt;&gt;"")+('Dvd Calendar'!$AI$2127=TYPE2)*(TYPE2&lt;&gt;"")+('Dvd Calendar'!$AI$2127=TYPE3)*(TYPE3&lt;&gt;"")+('Dvd Calendar'!$AI$2127=TYPE4)*(TYPE4&lt;&gt;"")+('Dvd Calendar'!$AI$2127=SPECIAL_LBL)*(INC_SPECIALS="Y"))=0,"",'Dvd Calendar'!$AI$2125)))</f>
        <v/>
      </c>
      <c r="AH211" s="110">
        <f>IF(FJ211="","",IF(ISNUMBER('Dvd Calendar'!$AJ$2125)=FALSE,"",IF((('Dvd Calendar'!$AJ$2127=TYPE1)*(TYPE1&lt;&gt;"")+('Dvd Calendar'!$AJ$2127=TYPE2)*(TYPE2&lt;&gt;"")+('Dvd Calendar'!$AJ$2127=TYPE3)*(TYPE3&lt;&gt;"")+('Dvd Calendar'!$AJ$2127=TYPE4)*(TYPE4&lt;&gt;"")+('Dvd Calendar'!$AJ$2127=SPECIAL_LBL)*(INC_SPECIALS="Y"))=0,"",'Dvd Calendar'!$AJ$2125)))</f>
        <v/>
      </c>
      <c r="AI211" s="110">
        <f>IF(FK211="","",IF(ISNUMBER('Dvd Calendar'!$AK$2125)=FALSE,"",IF((('Dvd Calendar'!$AK$2127=TYPE1)*(TYPE1&lt;&gt;"")+('Dvd Calendar'!$AK$2127=TYPE2)*(TYPE2&lt;&gt;"")+('Dvd Calendar'!$AK$2127=TYPE3)*(TYPE3&lt;&gt;"")+('Dvd Calendar'!$AK$2127=TYPE4)*(TYPE4&lt;&gt;"")+('Dvd Calendar'!$AK$2127=SPECIAL_LBL)*(INC_SPECIALS="Y"))=0,"",'Dvd Calendar'!$AK$2125)))</f>
        <v/>
      </c>
      <c r="AJ211" s="110">
        <f>IF(FL211="","",IF(ISNUMBER('Dvd Calendar'!$AL$2125)=FALSE,"",IF((('Dvd Calendar'!$AL$2127=TYPE1)*(TYPE1&lt;&gt;"")+('Dvd Calendar'!$AL$2127=TYPE2)*(TYPE2&lt;&gt;"")+('Dvd Calendar'!$AL$2127=TYPE3)*(TYPE3&lt;&gt;"")+('Dvd Calendar'!$AL$2127=TYPE4)*(TYPE4&lt;&gt;"")+('Dvd Calendar'!$AL$2127=SPECIAL_LBL)*(INC_SPECIALS="Y"))=0,"",'Dvd Calendar'!$AL$2125)))</f>
        <v/>
      </c>
      <c r="AK211" s="110">
        <f>IF(FM211="","",IF(ISNUMBER('Dvd Calendar'!$AM$2125)=FALSE,"",IF((('Dvd Calendar'!$AM$2127=TYPE1)*(TYPE1&lt;&gt;"")+('Dvd Calendar'!$AM$2127=TYPE2)*(TYPE2&lt;&gt;"")+('Dvd Calendar'!$AM$2127=TYPE3)*(TYPE3&lt;&gt;"")+('Dvd Calendar'!$AM$2127=TYPE4)*(TYPE4&lt;&gt;"")+('Dvd Calendar'!$AM$2127=SPECIAL_LBL)*(INC_SPECIALS="Y"))=0,"",'Dvd Calendar'!$AM$2125)))</f>
        <v/>
      </c>
      <c r="AL211" s="110">
        <f>IF(FN211="","",IF(ISNUMBER('Dvd Calendar'!$AN$2125)=FALSE,"",IF((('Dvd Calendar'!$AN$2127=TYPE1)*(TYPE1&lt;&gt;"")+('Dvd Calendar'!$AN$2127=TYPE2)*(TYPE2&lt;&gt;"")+('Dvd Calendar'!$AN$2127=TYPE3)*(TYPE3&lt;&gt;"")+('Dvd Calendar'!$AN$2127=TYPE4)*(TYPE4&lt;&gt;"")+('Dvd Calendar'!$AN$2127=SPECIAL_LBL)*(INC_SPECIALS="Y"))=0,"",'Dvd Calendar'!$AN$2125)))</f>
        <v/>
      </c>
      <c r="AM211" s="110">
        <f>IF(FO211="","",IF(ISNUMBER('Dvd Calendar'!$AO$2125)=FALSE,"",IF((('Dvd Calendar'!$AO$2127=TYPE1)*(TYPE1&lt;&gt;"")+('Dvd Calendar'!$AO$2127=TYPE2)*(TYPE2&lt;&gt;"")+('Dvd Calendar'!$AO$2127=TYPE3)*(TYPE3&lt;&gt;"")+('Dvd Calendar'!$AO$2127=TYPE4)*(TYPE4&lt;&gt;"")+('Dvd Calendar'!$AO$2127=SPECIAL_LBL)*(INC_SPECIALS="Y"))=0,"",'Dvd Calendar'!$AO$2125)))</f>
        <v/>
      </c>
      <c r="AN211" s="110">
        <f>IF(FP211="","",IF(ISNUMBER('Dvd Calendar'!$AP$2125)=FALSE,"",IF((('Dvd Calendar'!$AP$2127=TYPE1)*(TYPE1&lt;&gt;"")+('Dvd Calendar'!$AP$2127=TYPE2)*(TYPE2&lt;&gt;"")+('Dvd Calendar'!$AP$2127=TYPE3)*(TYPE3&lt;&gt;"")+('Dvd Calendar'!$AP$2127=TYPE4)*(TYPE4&lt;&gt;"")+('Dvd Calendar'!$AP$2127=SPECIAL_LBL)*(INC_SPECIALS="Y"))=0,"",'Dvd Calendar'!$AP$2125)))</f>
        <v/>
      </c>
      <c r="AO211" s="110">
        <f>IF(FQ211="","",IF(ISNUMBER('Dvd Calendar'!$AQ$2125)=FALSE,"",IF((('Dvd Calendar'!$AQ$2127=TYPE1)*(TYPE1&lt;&gt;"")+('Dvd Calendar'!$AQ$2127=TYPE2)*(TYPE2&lt;&gt;"")+('Dvd Calendar'!$AQ$2127=TYPE3)*(TYPE3&lt;&gt;"")+('Dvd Calendar'!$AQ$2127=TYPE4)*(TYPE4&lt;&gt;"")+('Dvd Calendar'!$AQ$2127=SPECIAL_LBL)*(INC_SPECIALS="Y"))=0,"",'Dvd Calendar'!$AQ$2125)))</f>
        <v/>
      </c>
      <c r="AP211" s="110">
        <f>IF(FR211="","",IF(ISNUMBER('Dvd Calendar'!$AR$2125)=FALSE,"",IF((('Dvd Calendar'!$AR$2127=TYPE1)*(TYPE1&lt;&gt;"")+('Dvd Calendar'!$AR$2127=TYPE2)*(TYPE2&lt;&gt;"")+('Dvd Calendar'!$AR$2127=TYPE3)*(TYPE3&lt;&gt;"")+('Dvd Calendar'!$AR$2127=TYPE4)*(TYPE4&lt;&gt;"")+('Dvd Calendar'!$AR$2127=SPECIAL_LBL)*(INC_SPECIALS="Y"))=0,"",'Dvd Calendar'!$AR$2125)))</f>
        <v/>
      </c>
      <c r="AQ211" s="110">
        <f>IF(FS211="","",IF(ISNUMBER('Dvd Calendar'!$E$2130)=FALSE,"",'Dvd Calendar'!$E$2130))</f>
        <v/>
      </c>
      <c r="AR211" s="110">
        <f>IF(FT211="","",IF(ISNUMBER('Dvd Calendar'!$F$2130)=FALSE,"",'Dvd Calendar'!$F$2130))</f>
        <v/>
      </c>
      <c r="AS211" s="110">
        <f>IF(FU211="","",IF(ISNUMBER('Dvd Calendar'!$G$2130)=FALSE,"",'Dvd Calendar'!$G$2130))</f>
        <v/>
      </c>
      <c r="AT211" s="110">
        <f>IF(FV211="","",IF(ISNUMBER('Dvd Calendar'!$H$2130)=FALSE,"",'Dvd Calendar'!$H$2130))</f>
        <v/>
      </c>
      <c r="AU211" s="110">
        <f>IF(FW211="","",IF(ISNUMBER('Dvd Calendar'!$I$2130)=FALSE,"",'Dvd Calendar'!$I$2130))</f>
        <v/>
      </c>
      <c r="AV211" s="110">
        <f>IF(FX211="","",IF(ISNUMBER('Dvd Calendar'!$J$2130)=FALSE,"",'Dvd Calendar'!$J$2130))</f>
        <v/>
      </c>
      <c r="AW211" s="110">
        <f>IF(FY211="","",IF(ISNUMBER('Dvd Calendar'!$K$2130)=FALSE,"",'Dvd Calendar'!$K$2130))</f>
        <v/>
      </c>
      <c r="AX211" s="110">
        <f>IF(FZ211="","",IF(ISNUMBER('Dvd Calendar'!$L$2130)=FALSE,"",'Dvd Calendar'!$L$2130))</f>
        <v/>
      </c>
      <c r="AY211" s="110">
        <f>IF(GA211="","",IF(ISNUMBER('Dvd Calendar'!$M$2130)=FALSE,"",'Dvd Calendar'!$M$2130))</f>
        <v/>
      </c>
      <c r="AZ211" s="110">
        <f>IF(GB211="","",IF(ISNUMBER('Dvd Calendar'!$N$2130)=FALSE,"",'Dvd Calendar'!$N$2130))</f>
        <v/>
      </c>
      <c r="BA211" s="110">
        <f>IF(GC211="","",IF(ISNUMBER('Dvd Calendar'!$O$2130)=FALSE,"",'Dvd Calendar'!$O$2130))</f>
        <v/>
      </c>
      <c r="BB211" s="110">
        <f>IF(GD211="","",IF(ISNUMBER('Dvd Calendar'!$P$2130)=FALSE,"",'Dvd Calendar'!$P$2130))</f>
        <v/>
      </c>
      <c r="BC211" s="110">
        <f>IF(GE211="","",IF(ISNUMBER('Dvd Calendar'!$Q$2130)=FALSE,"",'Dvd Calendar'!$Q$2130))</f>
        <v/>
      </c>
      <c r="BD211" s="110">
        <f>IF(GF211="","",IF(ISNUMBER('Dvd Calendar'!$R$2130)=FALSE,"",'Dvd Calendar'!$R$2130))</f>
        <v/>
      </c>
      <c r="BE211" s="110">
        <f>IF(GG211="","",IF(ISNUMBER('Dvd Calendar'!$S$2130)=FALSE,"",'Dvd Calendar'!$S$2130))</f>
        <v/>
      </c>
      <c r="BF211" s="110">
        <f>IF(GH211="","",IF(ISNUMBER('Dvd Calendar'!$T$2130)=FALSE,"",'Dvd Calendar'!$T$2130))</f>
        <v/>
      </c>
      <c r="BG211" s="110">
        <f>IF(GI211="","",IF(ISNUMBER('Dvd Calendar'!$U$2130)=FALSE,"",'Dvd Calendar'!$U$2130))</f>
        <v/>
      </c>
      <c r="BH211" s="110">
        <f>IF(GJ211="","",IF(ISNUMBER('Dvd Calendar'!$V$2130)=FALSE,"",'Dvd Calendar'!$V$2130))</f>
        <v/>
      </c>
      <c r="BI211" s="110">
        <f>IF(GK211="","",IF(ISNUMBER('Dvd Calendar'!$W$2130)=FALSE,"",'Dvd Calendar'!$W$2130))</f>
        <v/>
      </c>
      <c r="BJ211" s="110">
        <f>IF(GL211="","",IF(ISNUMBER('Dvd Calendar'!$X$2130)=FALSE,"",'Dvd Calendar'!$X$2130))</f>
        <v/>
      </c>
      <c r="BK211" s="110">
        <f>IF(GM211="","",IF(ISNUMBER('Dvd Calendar'!$Y$2130)=FALSE,"",'Dvd Calendar'!$Y$2130))</f>
        <v/>
      </c>
      <c r="BL211" s="110">
        <f>IF(GN211="","",IF(ISNUMBER('Dvd Calendar'!$Z$2130)=FALSE,"",'Dvd Calendar'!$Z$2130))</f>
        <v/>
      </c>
      <c r="BM211" s="110">
        <f>IF(GO211="","",IF(ISNUMBER('Dvd Calendar'!$AA$2130)=FALSE,"",'Dvd Calendar'!$AA$2130))</f>
        <v/>
      </c>
      <c r="BN211" s="110">
        <f>IF(GP211="","",IF(ISNUMBER('Dvd Calendar'!$AB$2130)=FALSE,"",'Dvd Calendar'!$AB$2130))</f>
        <v/>
      </c>
      <c r="BO211" s="110">
        <f>IF(GQ211="","",IF(ISNUMBER('Dvd Calendar'!$AC$2130)=FALSE,"",'Dvd Calendar'!$AC$2130))</f>
        <v/>
      </c>
      <c r="BQ211" s="110">
        <f>IF(C211="","",IFERROR(C211*HSCEI!$B$58*HSCEI!$G$58/HSCEI!$B$3,""))</f>
        <v/>
      </c>
      <c r="BR211" s="110">
        <f>IF(D211="","",IFERROR(D211*HSCEI!$B$58*HSCEI!$G$58/HSCEI!$B$3,""))</f>
        <v/>
      </c>
      <c r="BS211" s="110">
        <f>IF(E211="","",IFERROR(E211*HSCEI!$B$58*HSCEI!$G$58/HSCEI!$B$3,""))</f>
        <v/>
      </c>
      <c r="BT211" s="110">
        <f>IF(F211="","",IFERROR(F211*HSCEI!$B$58*HSCEI!$G$58/HSCEI!$B$3,""))</f>
        <v/>
      </c>
      <c r="BU211" s="110">
        <f>IF(G211="","",IFERROR(G211*HSCEI!$B$58*HSCEI!$G$58/HSCEI!$B$3,""))</f>
        <v/>
      </c>
      <c r="BV211" s="110">
        <f>IF(H211="","",IFERROR(H211*HSCEI!$B$58*HSCEI!$G$58/HSCEI!$B$3,""))</f>
        <v/>
      </c>
      <c r="BW211" s="110">
        <f>IF(I211="","",IFERROR(I211*HSCEI!$B$58*HSCEI!$G$58/HSCEI!$B$3,""))</f>
        <v/>
      </c>
      <c r="BX211" s="110">
        <f>IF(J211="","",IFERROR(J211*HSCEI!$B$58*HSCEI!$G$58/HSCEI!$B$3,""))</f>
        <v/>
      </c>
      <c r="BY211" s="110">
        <f>IF(K211="","",IFERROR(K211*HSCEI!$B$58*HSCEI!$G$58/HSCEI!$B$3,""))</f>
        <v/>
      </c>
      <c r="BZ211" s="110">
        <f>IF(L211="","",IFERROR(L211*HSCEI!$B$58*HSCEI!$G$58/HSCEI!$B$3,""))</f>
        <v/>
      </c>
      <c r="CA211" s="110">
        <f>IF(M211="","",IFERROR(M211*HSCEI!$B$58*HSCEI!$G$58/HSCEI!$B$3,""))</f>
        <v/>
      </c>
      <c r="CB211" s="110">
        <f>IF(N211="","",IFERROR(N211*HSCEI!$B$58*HSCEI!$G$58/HSCEI!$B$3,""))</f>
        <v/>
      </c>
      <c r="CC211" s="110">
        <f>IF(O211="","",IFERROR(O211*HSCEI!$B$58*HSCEI!$G$58/HSCEI!$B$3,""))</f>
        <v/>
      </c>
      <c r="CD211" s="110">
        <f>IF(P211="","",IFERROR(P211*HSCEI!$B$58*HSCEI!$G$58/HSCEI!$B$3,""))</f>
        <v/>
      </c>
      <c r="CE211" s="110">
        <f>IF(Q211="","",IFERROR(Q211*HSCEI!$B$58*HSCEI!$G$58/HSCEI!$B$3,""))</f>
        <v/>
      </c>
      <c r="CF211" s="110">
        <f>IF(R211="","",IFERROR(R211*HSCEI!$B$58*HSCEI!$G$58/HSCEI!$B$3,""))</f>
        <v/>
      </c>
      <c r="CG211" s="110">
        <f>IF(S211="","",IFERROR(S211*HSCEI!$B$58*HSCEI!$G$58/HSCEI!$B$3,""))</f>
        <v/>
      </c>
      <c r="CH211" s="110">
        <f>IF(T211="","",IFERROR(T211*HSCEI!$B$58*HSCEI!$G$58/HSCEI!$B$3,""))</f>
        <v/>
      </c>
      <c r="CI211" s="110">
        <f>IF(U211="","",IFERROR(U211*HSCEI!$B$58*HSCEI!$G$58/HSCEI!$B$3,""))</f>
        <v/>
      </c>
      <c r="CJ211" s="110">
        <f>IF(V211="","",IFERROR(V211*HSCEI!$B$58*HSCEI!$G$58/HSCEI!$B$3,""))</f>
        <v/>
      </c>
      <c r="CK211" s="110">
        <f>IF(W211="","",IFERROR(W211*HSCEI!$B$58*HSCEI!$G$58/HSCEI!$B$3,""))</f>
        <v/>
      </c>
      <c r="CL211" s="110">
        <f>IF(X211="","",IFERROR(X211*HSCEI!$B$58*HSCEI!$G$58/HSCEI!$B$3,""))</f>
        <v/>
      </c>
      <c r="CM211" s="110">
        <f>IF(Y211="","",IFERROR(Y211*HSCEI!$B$58*HSCEI!$G$58/HSCEI!$B$3,""))</f>
        <v/>
      </c>
      <c r="CN211" s="110">
        <f>IF(Z211="","",IFERROR(Z211*HSCEI!$B$58*HSCEI!$G$58/HSCEI!$B$3,""))</f>
        <v/>
      </c>
      <c r="CO211" s="110">
        <f>IF(AA211="","",IFERROR(AA211*HSCEI!$B$58*HSCEI!$G$58/HSCEI!$B$3,""))</f>
        <v/>
      </c>
      <c r="CP211" s="110">
        <f>IF(AB211="","",IFERROR(AB211*HSCEI!$B$58*HSCEI!$G$58/HSCEI!$B$3,""))</f>
        <v/>
      </c>
      <c r="CQ211" s="110">
        <f>IF(AC211="","",IFERROR(AC211*HSCEI!$B$58*HSCEI!$G$58/HSCEI!$B$3,""))</f>
        <v/>
      </c>
      <c r="CR211" s="110">
        <f>IF(AD211="","",IFERROR(AD211*HSCEI!$B$58*HSCEI!$G$58/HSCEI!$B$3,""))</f>
        <v/>
      </c>
      <c r="CS211" s="110">
        <f>IF(AE211="","",IFERROR(AE211*HSCEI!$B$58*HSCEI!$G$58/HSCEI!$B$3,""))</f>
        <v/>
      </c>
      <c r="CT211" s="110">
        <f>IF(AF211="","",IFERROR(AF211*HSCEI!$B$58*HSCEI!$G$58/HSCEI!$B$3,""))</f>
        <v/>
      </c>
      <c r="CU211" s="110">
        <f>IF(AG211="","",IFERROR(AG211*HSCEI!$B$58*HSCEI!$G$58/HSCEI!$B$3,""))</f>
        <v/>
      </c>
      <c r="CV211" s="110">
        <f>IF(AH211="","",IFERROR(AH211*HSCEI!$B$58*HSCEI!$G$58/HSCEI!$B$3,""))</f>
        <v/>
      </c>
      <c r="CW211" s="110">
        <f>IF(AI211="","",IFERROR(AI211*HSCEI!$B$58*HSCEI!$G$58/HSCEI!$B$3,""))</f>
        <v/>
      </c>
      <c r="CX211" s="110">
        <f>IF(AJ211="","",IFERROR(AJ211*HSCEI!$B$58*HSCEI!$G$58/HSCEI!$B$3,""))</f>
        <v/>
      </c>
      <c r="CY211" s="110">
        <f>IF(AK211="","",IFERROR(AK211*HSCEI!$B$58*HSCEI!$G$58/HSCEI!$B$3,""))</f>
        <v/>
      </c>
      <c r="CZ211" s="110">
        <f>IF(AL211="","",IFERROR(AL211*HSCEI!$B$58*HSCEI!$G$58/HSCEI!$B$3,""))</f>
        <v/>
      </c>
      <c r="DA211" s="110">
        <f>IF(AM211="","",IFERROR(AM211*HSCEI!$B$58*HSCEI!$G$58/HSCEI!$B$3,""))</f>
        <v/>
      </c>
      <c r="DB211" s="110">
        <f>IF(AN211="","",IFERROR(AN211*HSCEI!$B$58*HSCEI!$G$58/HSCEI!$B$3,""))</f>
        <v/>
      </c>
      <c r="DC211" s="110">
        <f>IF(AO211="","",IFERROR(AO211*HSCEI!$B$58*HSCEI!$G$58/HSCEI!$B$3,""))</f>
        <v/>
      </c>
      <c r="DD211" s="110">
        <f>IF(AP211="","",IFERROR(AP211*HSCEI!$B$58*HSCEI!$G$58/HSCEI!$B$3,""))</f>
        <v/>
      </c>
      <c r="DE211" s="110">
        <f>IF(AQ211="","",IFERROR(AQ211*HSCEI!$B$58*HSCEI!$G$58/HSCEI!$B$3,""))</f>
        <v/>
      </c>
      <c r="DF211" s="110">
        <f>IF(AR211="","",IFERROR(AR211*HSCEI!$B$58*HSCEI!$G$58/HSCEI!$B$3,""))</f>
        <v/>
      </c>
      <c r="DG211" s="110">
        <f>IF(AS211="","",IFERROR(AS211*HSCEI!$B$58*HSCEI!$G$58/HSCEI!$B$3,""))</f>
        <v/>
      </c>
      <c r="DH211" s="110">
        <f>IF(AT211="","",IFERROR(AT211*HSCEI!$B$58*HSCEI!$G$58/HSCEI!$B$3,""))</f>
        <v/>
      </c>
      <c r="DI211" s="110">
        <f>IF(AU211="","",IFERROR(AU211*HSCEI!$B$58*HSCEI!$G$58/HSCEI!$B$3,""))</f>
        <v/>
      </c>
      <c r="DJ211" s="110">
        <f>IF(AV211="","",IFERROR(AV211*HSCEI!$B$58*HSCEI!$G$58/HSCEI!$B$3,""))</f>
        <v/>
      </c>
      <c r="DK211" s="110">
        <f>IF(AW211="","",IFERROR(AW211*HSCEI!$B$58*HSCEI!$G$58/HSCEI!$B$3,""))</f>
        <v/>
      </c>
      <c r="DL211" s="110">
        <f>IF(AX211="","",IFERROR(AX211*HSCEI!$B$58*HSCEI!$G$58/HSCEI!$B$3,""))</f>
        <v/>
      </c>
      <c r="DM211" s="110">
        <f>IF(AY211="","",IFERROR(AY211*HSCEI!$B$58*HSCEI!$G$58/HSCEI!$B$3,""))</f>
        <v/>
      </c>
      <c r="DN211" s="110">
        <f>IF(AZ211="","",IFERROR(AZ211*HSCEI!$B$58*HSCEI!$G$58/HSCEI!$B$3,""))</f>
        <v/>
      </c>
      <c r="DO211" s="110">
        <f>IF(BA211="","",IFERROR(BA211*HSCEI!$B$58*HSCEI!$G$58/HSCEI!$B$3,""))</f>
        <v/>
      </c>
      <c r="DP211" s="110">
        <f>IF(BB211="","",IFERROR(BB211*HSCEI!$B$58*HSCEI!$G$58/HSCEI!$B$3,""))</f>
        <v/>
      </c>
      <c r="DQ211" s="110">
        <f>IF(BC211="","",IFERROR(BC211*HSCEI!$B$58*HSCEI!$G$58/HSCEI!$B$3,""))</f>
        <v/>
      </c>
      <c r="DR211" s="110">
        <f>IF(BD211="","",IFERROR(BD211*HSCEI!$B$58*HSCEI!$G$58/HSCEI!$B$3,""))</f>
        <v/>
      </c>
      <c r="DS211" s="110">
        <f>IF(BE211="","",IFERROR(BE211*HSCEI!$B$58*HSCEI!$G$58/HSCEI!$B$3,""))</f>
        <v/>
      </c>
      <c r="DT211" s="110">
        <f>IF(BF211="","",IFERROR(BF211*HSCEI!$B$58*HSCEI!$G$58/HSCEI!$B$3,""))</f>
        <v/>
      </c>
      <c r="DU211" s="110">
        <f>IF(BG211="","",IFERROR(BG211*HSCEI!$B$58*HSCEI!$G$58/HSCEI!$B$3,""))</f>
        <v/>
      </c>
      <c r="DV211" s="110">
        <f>IF(BH211="","",IFERROR(BH211*HSCEI!$B$58*HSCEI!$G$58/HSCEI!$B$3,""))</f>
        <v/>
      </c>
      <c r="DW211" s="110">
        <f>IF(BI211="","",IFERROR(BI211*HSCEI!$B$58*HSCEI!$G$58/HSCEI!$B$3,""))</f>
        <v/>
      </c>
      <c r="DX211" s="110">
        <f>IF(BJ211="","",IFERROR(BJ211*HSCEI!$B$58*HSCEI!$G$58/HSCEI!$B$3,""))</f>
        <v/>
      </c>
      <c r="DY211" s="110">
        <f>IF(BK211="","",IFERROR(BK211*HSCEI!$B$58*HSCEI!$G$58/HSCEI!$B$3,""))</f>
        <v/>
      </c>
      <c r="DZ211" s="110">
        <f>IF(BL211="","",IFERROR(BL211*HSCEI!$B$58*HSCEI!$G$58/HSCEI!$B$3,""))</f>
        <v/>
      </c>
      <c r="EA211" s="110">
        <f>IF(BM211="","",IFERROR(BM211*HSCEI!$B$58*HSCEI!$G$58/HSCEI!$B$3,""))</f>
        <v/>
      </c>
      <c r="EB211" s="110">
        <f>IF(BN211="","",IFERROR(BN211*HSCEI!$B$58*HSCEI!$G$58/HSCEI!$B$3,""))</f>
        <v/>
      </c>
      <c r="EC211" s="110">
        <f>IF(BO211="","",IFERROR(BO211*HSCEI!$B$58*HSCEI!$G$58/HSCEI!$B$3,""))</f>
        <v/>
      </c>
      <c r="EE211" s="39">
        <f>IF(N('Dvd Calendar'!$E$2122)=0,"",IF(('Dvd Calendar'!$E$2122&gt;=GRID_FROM)*('Dvd Calendar'!$E$2122&lt;=GRID_TO)*((('Dvd Calendar'!$E$2122&lt;=VAL_DATE)+(COUNTIF('Dvd Calendar'!$E$2129:$AR$2129,'Dvd Calendar'!$E$2122)=0))&gt;0)=0,"",'Dvd Calendar'!$E$2122*1000000000+ISNUMBER('Dvd Calendar'!$E$2125)*100000000+('Dvd Calendar'!$E$2127=SPECIAL_LBL)*10000000+(N('Dvd Calendar'!$E$2121)&gt;0)*(N('Dvd Calendar'!$E$2121)&lt;=VAL_SERIAL)*1000000+52*1000+1))</f>
        <v/>
      </c>
      <c r="EF211" s="39">
        <f>IF(N('Dvd Calendar'!$F$2122)=0,"",IF(('Dvd Calendar'!$F$2122&gt;=GRID_FROM)*('Dvd Calendar'!$F$2122&lt;=GRID_TO)*((('Dvd Calendar'!$F$2122&lt;=VAL_DATE)+(COUNTIF('Dvd Calendar'!$E$2129:$AR$2129,'Dvd Calendar'!$F$2122)=0))&gt;0)=0,"",'Dvd Calendar'!$F$2122*1000000000+ISNUMBER('Dvd Calendar'!$F$2125)*100000000+('Dvd Calendar'!$F$2127=SPECIAL_LBL)*10000000+(N('Dvd Calendar'!$F$2121)&gt;0)*(N('Dvd Calendar'!$F$2121)&lt;=VAL_SERIAL)*1000000+52*1000+2))</f>
        <v/>
      </c>
      <c r="EG211" s="39">
        <f>IF(N('Dvd Calendar'!$G$2122)=0,"",IF(('Dvd Calendar'!$G$2122&gt;=GRID_FROM)*('Dvd Calendar'!$G$2122&lt;=GRID_TO)*((('Dvd Calendar'!$G$2122&lt;=VAL_DATE)+(COUNTIF('Dvd Calendar'!$E$2129:$AR$2129,'Dvd Calendar'!$G$2122)=0))&gt;0)=0,"",'Dvd Calendar'!$G$2122*1000000000+ISNUMBER('Dvd Calendar'!$G$2125)*100000000+('Dvd Calendar'!$G$2127=SPECIAL_LBL)*10000000+(N('Dvd Calendar'!$G$2121)&gt;0)*(N('Dvd Calendar'!$G$2121)&lt;=VAL_SERIAL)*1000000+52*1000+3))</f>
        <v/>
      </c>
      <c r="EH211" s="39">
        <f>IF(N('Dvd Calendar'!$H$2122)=0,"",IF(('Dvd Calendar'!$H$2122&gt;=GRID_FROM)*('Dvd Calendar'!$H$2122&lt;=GRID_TO)*((('Dvd Calendar'!$H$2122&lt;=VAL_DATE)+(COUNTIF('Dvd Calendar'!$E$2129:$AR$2129,'Dvd Calendar'!$H$2122)=0))&gt;0)=0,"",'Dvd Calendar'!$H$2122*1000000000+ISNUMBER('Dvd Calendar'!$H$2125)*100000000+('Dvd Calendar'!$H$2127=SPECIAL_LBL)*10000000+(N('Dvd Calendar'!$H$2121)&gt;0)*(N('Dvd Calendar'!$H$2121)&lt;=VAL_SERIAL)*1000000+52*1000+4))</f>
        <v/>
      </c>
      <c r="EI211" s="39">
        <f>IF(N('Dvd Calendar'!$I$2122)=0,"",IF(('Dvd Calendar'!$I$2122&gt;=GRID_FROM)*('Dvd Calendar'!$I$2122&lt;=GRID_TO)*((('Dvd Calendar'!$I$2122&lt;=VAL_DATE)+(COUNTIF('Dvd Calendar'!$E$2129:$AR$2129,'Dvd Calendar'!$I$2122)=0))&gt;0)=0,"",'Dvd Calendar'!$I$2122*1000000000+ISNUMBER('Dvd Calendar'!$I$2125)*100000000+('Dvd Calendar'!$I$2127=SPECIAL_LBL)*10000000+(N('Dvd Calendar'!$I$2121)&gt;0)*(N('Dvd Calendar'!$I$2121)&lt;=VAL_SERIAL)*1000000+52*1000+5))</f>
        <v/>
      </c>
      <c r="EJ211" s="39">
        <f>IF(N('Dvd Calendar'!$J$2122)=0,"",IF(('Dvd Calendar'!$J$2122&gt;=GRID_FROM)*('Dvd Calendar'!$J$2122&lt;=GRID_TO)*((('Dvd Calendar'!$J$2122&lt;=VAL_DATE)+(COUNTIF('Dvd Calendar'!$E$2129:$AR$2129,'Dvd Calendar'!$J$2122)=0))&gt;0)=0,"",'Dvd Calendar'!$J$2122*1000000000+ISNUMBER('Dvd Calendar'!$J$2125)*100000000+('Dvd Calendar'!$J$2127=SPECIAL_LBL)*10000000+(N('Dvd Calendar'!$J$2121)&gt;0)*(N('Dvd Calendar'!$J$2121)&lt;=VAL_SERIAL)*1000000+52*1000+6))</f>
        <v/>
      </c>
      <c r="EK211" s="39">
        <f>IF(N('Dvd Calendar'!$K$2122)=0,"",IF(('Dvd Calendar'!$K$2122&gt;=GRID_FROM)*('Dvd Calendar'!$K$2122&lt;=GRID_TO)*((('Dvd Calendar'!$K$2122&lt;=VAL_DATE)+(COUNTIF('Dvd Calendar'!$E$2129:$AR$2129,'Dvd Calendar'!$K$2122)=0))&gt;0)=0,"",'Dvd Calendar'!$K$2122*1000000000+ISNUMBER('Dvd Calendar'!$K$2125)*100000000+('Dvd Calendar'!$K$2127=SPECIAL_LBL)*10000000+(N('Dvd Calendar'!$K$2121)&gt;0)*(N('Dvd Calendar'!$K$2121)&lt;=VAL_SERIAL)*1000000+52*1000+7))</f>
        <v/>
      </c>
      <c r="EL211" s="39">
        <f>IF(N('Dvd Calendar'!$L$2122)=0,"",IF(('Dvd Calendar'!$L$2122&gt;=GRID_FROM)*('Dvd Calendar'!$L$2122&lt;=GRID_TO)*((('Dvd Calendar'!$L$2122&lt;=VAL_DATE)+(COUNTIF('Dvd Calendar'!$E$2129:$AR$2129,'Dvd Calendar'!$L$2122)=0))&gt;0)=0,"",'Dvd Calendar'!$L$2122*1000000000+ISNUMBER('Dvd Calendar'!$L$2125)*100000000+('Dvd Calendar'!$L$2127=SPECIAL_LBL)*10000000+(N('Dvd Calendar'!$L$2121)&gt;0)*(N('Dvd Calendar'!$L$2121)&lt;=VAL_SERIAL)*1000000+52*1000+8))</f>
        <v/>
      </c>
      <c r="EM211" s="39">
        <f>IF(N('Dvd Calendar'!$M$2122)=0,"",IF(('Dvd Calendar'!$M$2122&gt;=GRID_FROM)*('Dvd Calendar'!$M$2122&lt;=GRID_TO)*((('Dvd Calendar'!$M$2122&lt;=VAL_DATE)+(COUNTIF('Dvd Calendar'!$E$2129:$AR$2129,'Dvd Calendar'!$M$2122)=0))&gt;0)=0,"",'Dvd Calendar'!$M$2122*1000000000+ISNUMBER('Dvd Calendar'!$M$2125)*100000000+('Dvd Calendar'!$M$2127=SPECIAL_LBL)*10000000+(N('Dvd Calendar'!$M$2121)&gt;0)*(N('Dvd Calendar'!$M$2121)&lt;=VAL_SERIAL)*1000000+52*1000+9))</f>
        <v/>
      </c>
      <c r="EN211" s="39">
        <f>IF(N('Dvd Calendar'!$N$2122)=0,"",IF(('Dvd Calendar'!$N$2122&gt;=GRID_FROM)*('Dvd Calendar'!$N$2122&lt;=GRID_TO)*((('Dvd Calendar'!$N$2122&lt;=VAL_DATE)+(COUNTIF('Dvd Calendar'!$E$2129:$AR$2129,'Dvd Calendar'!$N$2122)=0))&gt;0)=0,"",'Dvd Calendar'!$N$2122*1000000000+ISNUMBER('Dvd Calendar'!$N$2125)*100000000+('Dvd Calendar'!$N$2127=SPECIAL_LBL)*10000000+(N('Dvd Calendar'!$N$2121)&gt;0)*(N('Dvd Calendar'!$N$2121)&lt;=VAL_SERIAL)*1000000+52*1000+10))</f>
        <v/>
      </c>
      <c r="EO211" s="39">
        <f>IF(N('Dvd Calendar'!$O$2122)=0,"",IF(('Dvd Calendar'!$O$2122&gt;=GRID_FROM)*('Dvd Calendar'!$O$2122&lt;=GRID_TO)*((('Dvd Calendar'!$O$2122&lt;=VAL_DATE)+(COUNTIF('Dvd Calendar'!$E$2129:$AR$2129,'Dvd Calendar'!$O$2122)=0))&gt;0)=0,"",'Dvd Calendar'!$O$2122*1000000000+ISNUMBER('Dvd Calendar'!$O$2125)*100000000+('Dvd Calendar'!$O$2127=SPECIAL_LBL)*10000000+(N('Dvd Calendar'!$O$2121)&gt;0)*(N('Dvd Calendar'!$O$2121)&lt;=VAL_SERIAL)*1000000+52*1000+11))</f>
        <v/>
      </c>
      <c r="EP211" s="39">
        <f>IF(N('Dvd Calendar'!$P$2122)=0,"",IF(('Dvd Calendar'!$P$2122&gt;=GRID_FROM)*('Dvd Calendar'!$P$2122&lt;=GRID_TO)*((('Dvd Calendar'!$P$2122&lt;=VAL_DATE)+(COUNTIF('Dvd Calendar'!$E$2129:$AR$2129,'Dvd Calendar'!$P$2122)=0))&gt;0)=0,"",'Dvd Calendar'!$P$2122*1000000000+ISNUMBER('Dvd Calendar'!$P$2125)*100000000+('Dvd Calendar'!$P$2127=SPECIAL_LBL)*10000000+(N('Dvd Calendar'!$P$2121)&gt;0)*(N('Dvd Calendar'!$P$2121)&lt;=VAL_SERIAL)*1000000+52*1000+12))</f>
        <v/>
      </c>
      <c r="EQ211" s="39">
        <f>IF(N('Dvd Calendar'!$Q$2122)=0,"",IF(('Dvd Calendar'!$Q$2122&gt;=GRID_FROM)*('Dvd Calendar'!$Q$2122&lt;=GRID_TO)*((('Dvd Calendar'!$Q$2122&lt;=VAL_DATE)+(COUNTIF('Dvd Calendar'!$E$2129:$AR$2129,'Dvd Calendar'!$Q$2122)=0))&gt;0)=0,"",'Dvd Calendar'!$Q$2122*1000000000+ISNUMBER('Dvd Calendar'!$Q$2125)*100000000+('Dvd Calendar'!$Q$2127=SPECIAL_LBL)*10000000+(N('Dvd Calendar'!$Q$2121)&gt;0)*(N('Dvd Calendar'!$Q$2121)&lt;=VAL_SERIAL)*1000000+52*1000+13))</f>
        <v/>
      </c>
      <c r="ER211" s="39">
        <f>IF(N('Dvd Calendar'!$R$2122)=0,"",IF(('Dvd Calendar'!$R$2122&gt;=GRID_FROM)*('Dvd Calendar'!$R$2122&lt;=GRID_TO)*((('Dvd Calendar'!$R$2122&lt;=VAL_DATE)+(COUNTIF('Dvd Calendar'!$E$2129:$AR$2129,'Dvd Calendar'!$R$2122)=0))&gt;0)=0,"",'Dvd Calendar'!$R$2122*1000000000+ISNUMBER('Dvd Calendar'!$R$2125)*100000000+('Dvd Calendar'!$R$2127=SPECIAL_LBL)*10000000+(N('Dvd Calendar'!$R$2121)&gt;0)*(N('Dvd Calendar'!$R$2121)&lt;=VAL_SERIAL)*1000000+52*1000+14))</f>
        <v/>
      </c>
      <c r="ES211" s="39">
        <f>IF(N('Dvd Calendar'!$S$2122)=0,"",IF(('Dvd Calendar'!$S$2122&gt;=GRID_FROM)*('Dvd Calendar'!$S$2122&lt;=GRID_TO)*((('Dvd Calendar'!$S$2122&lt;=VAL_DATE)+(COUNTIF('Dvd Calendar'!$E$2129:$AR$2129,'Dvd Calendar'!$S$2122)=0))&gt;0)=0,"",'Dvd Calendar'!$S$2122*1000000000+ISNUMBER('Dvd Calendar'!$S$2125)*100000000+('Dvd Calendar'!$S$2127=SPECIAL_LBL)*10000000+(N('Dvd Calendar'!$S$2121)&gt;0)*(N('Dvd Calendar'!$S$2121)&lt;=VAL_SERIAL)*1000000+52*1000+15))</f>
        <v/>
      </c>
      <c r="ET211" s="39">
        <f>IF(N('Dvd Calendar'!$T$2122)=0,"",IF(('Dvd Calendar'!$T$2122&gt;=GRID_FROM)*('Dvd Calendar'!$T$2122&lt;=GRID_TO)*((('Dvd Calendar'!$T$2122&lt;=VAL_DATE)+(COUNTIF('Dvd Calendar'!$E$2129:$AR$2129,'Dvd Calendar'!$T$2122)=0))&gt;0)=0,"",'Dvd Calendar'!$T$2122*1000000000+ISNUMBER('Dvd Calendar'!$T$2125)*100000000+('Dvd Calendar'!$T$2127=SPECIAL_LBL)*10000000+(N('Dvd Calendar'!$T$2121)&gt;0)*(N('Dvd Calendar'!$T$2121)&lt;=VAL_SERIAL)*1000000+52*1000+16))</f>
        <v/>
      </c>
      <c r="EU211" s="39">
        <f>IF(N('Dvd Calendar'!$U$2122)=0,"",IF(('Dvd Calendar'!$U$2122&gt;=GRID_FROM)*('Dvd Calendar'!$U$2122&lt;=GRID_TO)*((('Dvd Calendar'!$U$2122&lt;=VAL_DATE)+(COUNTIF('Dvd Calendar'!$E$2129:$AR$2129,'Dvd Calendar'!$U$2122)=0))&gt;0)=0,"",'Dvd Calendar'!$U$2122*1000000000+ISNUMBER('Dvd Calendar'!$U$2125)*100000000+('Dvd Calendar'!$U$2127=SPECIAL_LBL)*10000000+(N('Dvd Calendar'!$U$2121)&gt;0)*(N('Dvd Calendar'!$U$2121)&lt;=VAL_SERIAL)*1000000+52*1000+17))</f>
        <v/>
      </c>
      <c r="EV211" s="39">
        <f>IF(N('Dvd Calendar'!$V$2122)=0,"",IF(('Dvd Calendar'!$V$2122&gt;=GRID_FROM)*('Dvd Calendar'!$V$2122&lt;=GRID_TO)*((('Dvd Calendar'!$V$2122&lt;=VAL_DATE)+(COUNTIF('Dvd Calendar'!$E$2129:$AR$2129,'Dvd Calendar'!$V$2122)=0))&gt;0)=0,"",'Dvd Calendar'!$V$2122*1000000000+ISNUMBER('Dvd Calendar'!$V$2125)*100000000+('Dvd Calendar'!$V$2127=SPECIAL_LBL)*10000000+(N('Dvd Calendar'!$V$2121)&gt;0)*(N('Dvd Calendar'!$V$2121)&lt;=VAL_SERIAL)*1000000+52*1000+18))</f>
        <v/>
      </c>
      <c r="EW211" s="39">
        <f>IF(N('Dvd Calendar'!$W$2122)=0,"",IF(('Dvd Calendar'!$W$2122&gt;=GRID_FROM)*('Dvd Calendar'!$W$2122&lt;=GRID_TO)*((('Dvd Calendar'!$W$2122&lt;=VAL_DATE)+(COUNTIF('Dvd Calendar'!$E$2129:$AR$2129,'Dvd Calendar'!$W$2122)=0))&gt;0)=0,"",'Dvd Calendar'!$W$2122*1000000000+ISNUMBER('Dvd Calendar'!$W$2125)*100000000+('Dvd Calendar'!$W$2127=SPECIAL_LBL)*10000000+(N('Dvd Calendar'!$W$2121)&gt;0)*(N('Dvd Calendar'!$W$2121)&lt;=VAL_SERIAL)*1000000+52*1000+19))</f>
        <v/>
      </c>
      <c r="EX211" s="39">
        <f>IF(N('Dvd Calendar'!$X$2122)=0,"",IF(('Dvd Calendar'!$X$2122&gt;=GRID_FROM)*('Dvd Calendar'!$X$2122&lt;=GRID_TO)*((('Dvd Calendar'!$X$2122&lt;=VAL_DATE)+(COUNTIF('Dvd Calendar'!$E$2129:$AR$2129,'Dvd Calendar'!$X$2122)=0))&gt;0)=0,"",'Dvd Calendar'!$X$2122*1000000000+ISNUMBER('Dvd Calendar'!$X$2125)*100000000+('Dvd Calendar'!$X$2127=SPECIAL_LBL)*10000000+(N('Dvd Calendar'!$X$2121)&gt;0)*(N('Dvd Calendar'!$X$2121)&lt;=VAL_SERIAL)*1000000+52*1000+20))</f>
        <v/>
      </c>
      <c r="EY211" s="39">
        <f>IF(N('Dvd Calendar'!$Y$2122)=0,"",IF(('Dvd Calendar'!$Y$2122&gt;=GRID_FROM)*('Dvd Calendar'!$Y$2122&lt;=GRID_TO)*((('Dvd Calendar'!$Y$2122&lt;=VAL_DATE)+(COUNTIF('Dvd Calendar'!$E$2129:$AR$2129,'Dvd Calendar'!$Y$2122)=0))&gt;0)=0,"",'Dvd Calendar'!$Y$2122*1000000000+ISNUMBER('Dvd Calendar'!$Y$2125)*100000000+('Dvd Calendar'!$Y$2127=SPECIAL_LBL)*10000000+(N('Dvd Calendar'!$Y$2121)&gt;0)*(N('Dvd Calendar'!$Y$2121)&lt;=VAL_SERIAL)*1000000+52*1000+21))</f>
        <v/>
      </c>
      <c r="EZ211" s="39">
        <f>IF(N('Dvd Calendar'!$Z$2122)=0,"",IF(('Dvd Calendar'!$Z$2122&gt;=GRID_FROM)*('Dvd Calendar'!$Z$2122&lt;=GRID_TO)*((('Dvd Calendar'!$Z$2122&lt;=VAL_DATE)+(COUNTIF('Dvd Calendar'!$E$2129:$AR$2129,'Dvd Calendar'!$Z$2122)=0))&gt;0)=0,"",'Dvd Calendar'!$Z$2122*1000000000+ISNUMBER('Dvd Calendar'!$Z$2125)*100000000+('Dvd Calendar'!$Z$2127=SPECIAL_LBL)*10000000+(N('Dvd Calendar'!$Z$2121)&gt;0)*(N('Dvd Calendar'!$Z$2121)&lt;=VAL_SERIAL)*1000000+52*1000+22))</f>
        <v/>
      </c>
      <c r="FA211" s="39">
        <f>IF(N('Dvd Calendar'!$AA$2122)=0,"",IF(('Dvd Calendar'!$AA$2122&gt;=GRID_FROM)*('Dvd Calendar'!$AA$2122&lt;=GRID_TO)*((('Dvd Calendar'!$AA$2122&lt;=VAL_DATE)+(COUNTIF('Dvd Calendar'!$E$2129:$AR$2129,'Dvd Calendar'!$AA$2122)=0))&gt;0)=0,"",'Dvd Calendar'!$AA$2122*1000000000+ISNUMBER('Dvd Calendar'!$AA$2125)*100000000+('Dvd Calendar'!$AA$2127=SPECIAL_LBL)*10000000+(N('Dvd Calendar'!$AA$2121)&gt;0)*(N('Dvd Calendar'!$AA$2121)&lt;=VAL_SERIAL)*1000000+52*1000+23))</f>
        <v/>
      </c>
      <c r="FB211" s="39">
        <f>IF(N('Dvd Calendar'!$AB$2122)=0,"",IF(('Dvd Calendar'!$AB$2122&gt;=GRID_FROM)*('Dvd Calendar'!$AB$2122&lt;=GRID_TO)*((('Dvd Calendar'!$AB$2122&lt;=VAL_DATE)+(COUNTIF('Dvd Calendar'!$E$2129:$AR$2129,'Dvd Calendar'!$AB$2122)=0))&gt;0)=0,"",'Dvd Calendar'!$AB$2122*1000000000+ISNUMBER('Dvd Calendar'!$AB$2125)*100000000+('Dvd Calendar'!$AB$2127=SPECIAL_LBL)*10000000+(N('Dvd Calendar'!$AB$2121)&gt;0)*(N('Dvd Calendar'!$AB$2121)&lt;=VAL_SERIAL)*1000000+52*1000+24))</f>
        <v/>
      </c>
      <c r="FC211" s="39">
        <f>IF(N('Dvd Calendar'!$AC$2122)=0,"",IF(('Dvd Calendar'!$AC$2122&gt;=GRID_FROM)*('Dvd Calendar'!$AC$2122&lt;=GRID_TO)*((('Dvd Calendar'!$AC$2122&lt;=VAL_DATE)+(COUNTIF('Dvd Calendar'!$E$2129:$AR$2129,'Dvd Calendar'!$AC$2122)=0))&gt;0)=0,"",'Dvd Calendar'!$AC$2122*1000000000+ISNUMBER('Dvd Calendar'!$AC$2125)*100000000+('Dvd Calendar'!$AC$2127=SPECIAL_LBL)*10000000+(N('Dvd Calendar'!$AC$2121)&gt;0)*(N('Dvd Calendar'!$AC$2121)&lt;=VAL_SERIAL)*1000000+52*1000+25))</f>
        <v/>
      </c>
      <c r="FD211" s="39">
        <f>IF(N('Dvd Calendar'!$AD$2122)=0,"",IF(('Dvd Calendar'!$AD$2122&gt;=GRID_FROM)*('Dvd Calendar'!$AD$2122&lt;=GRID_TO)*((('Dvd Calendar'!$AD$2122&lt;=VAL_DATE)+(COUNTIF('Dvd Calendar'!$E$2129:$AR$2129,'Dvd Calendar'!$AD$2122)=0))&gt;0)=0,"",'Dvd Calendar'!$AD$2122*1000000000+ISNUMBER('Dvd Calendar'!$AD$2125)*100000000+('Dvd Calendar'!$AD$2127=SPECIAL_LBL)*10000000+(N('Dvd Calendar'!$AD$2121)&gt;0)*(N('Dvd Calendar'!$AD$2121)&lt;=VAL_SERIAL)*1000000+52*1000+26))</f>
        <v/>
      </c>
      <c r="FE211" s="39">
        <f>IF(N('Dvd Calendar'!$AE$2122)=0,"",IF(('Dvd Calendar'!$AE$2122&gt;=GRID_FROM)*('Dvd Calendar'!$AE$2122&lt;=GRID_TO)*((('Dvd Calendar'!$AE$2122&lt;=VAL_DATE)+(COUNTIF('Dvd Calendar'!$E$2129:$AR$2129,'Dvd Calendar'!$AE$2122)=0))&gt;0)=0,"",'Dvd Calendar'!$AE$2122*1000000000+ISNUMBER('Dvd Calendar'!$AE$2125)*100000000+('Dvd Calendar'!$AE$2127=SPECIAL_LBL)*10000000+(N('Dvd Calendar'!$AE$2121)&gt;0)*(N('Dvd Calendar'!$AE$2121)&lt;=VAL_SERIAL)*1000000+52*1000+27))</f>
        <v/>
      </c>
      <c r="FF211" s="39">
        <f>IF(N('Dvd Calendar'!$AF$2122)=0,"",IF(('Dvd Calendar'!$AF$2122&gt;=GRID_FROM)*('Dvd Calendar'!$AF$2122&lt;=GRID_TO)*((('Dvd Calendar'!$AF$2122&lt;=VAL_DATE)+(COUNTIF('Dvd Calendar'!$E$2129:$AR$2129,'Dvd Calendar'!$AF$2122)=0))&gt;0)=0,"",'Dvd Calendar'!$AF$2122*1000000000+ISNUMBER('Dvd Calendar'!$AF$2125)*100000000+('Dvd Calendar'!$AF$2127=SPECIAL_LBL)*10000000+(N('Dvd Calendar'!$AF$2121)&gt;0)*(N('Dvd Calendar'!$AF$2121)&lt;=VAL_SERIAL)*1000000+52*1000+28))</f>
        <v/>
      </c>
      <c r="FG211" s="39">
        <f>IF(N('Dvd Calendar'!$AG$2122)=0,"",IF(('Dvd Calendar'!$AG$2122&gt;=GRID_FROM)*('Dvd Calendar'!$AG$2122&lt;=GRID_TO)*((('Dvd Calendar'!$AG$2122&lt;=VAL_DATE)+(COUNTIF('Dvd Calendar'!$E$2129:$AR$2129,'Dvd Calendar'!$AG$2122)=0))&gt;0)=0,"",'Dvd Calendar'!$AG$2122*1000000000+ISNUMBER('Dvd Calendar'!$AG$2125)*100000000+('Dvd Calendar'!$AG$2127=SPECIAL_LBL)*10000000+(N('Dvd Calendar'!$AG$2121)&gt;0)*(N('Dvd Calendar'!$AG$2121)&lt;=VAL_SERIAL)*1000000+52*1000+29))</f>
        <v/>
      </c>
      <c r="FH211" s="39">
        <f>IF(N('Dvd Calendar'!$AH$2122)=0,"",IF(('Dvd Calendar'!$AH$2122&gt;=GRID_FROM)*('Dvd Calendar'!$AH$2122&lt;=GRID_TO)*((('Dvd Calendar'!$AH$2122&lt;=VAL_DATE)+(COUNTIF('Dvd Calendar'!$E$2129:$AR$2129,'Dvd Calendar'!$AH$2122)=0))&gt;0)=0,"",'Dvd Calendar'!$AH$2122*1000000000+ISNUMBER('Dvd Calendar'!$AH$2125)*100000000+('Dvd Calendar'!$AH$2127=SPECIAL_LBL)*10000000+(N('Dvd Calendar'!$AH$2121)&gt;0)*(N('Dvd Calendar'!$AH$2121)&lt;=VAL_SERIAL)*1000000+52*1000+30))</f>
        <v/>
      </c>
      <c r="FI211" s="39">
        <f>IF(N('Dvd Calendar'!$AI$2122)=0,"",IF(('Dvd Calendar'!$AI$2122&gt;=GRID_FROM)*('Dvd Calendar'!$AI$2122&lt;=GRID_TO)*((('Dvd Calendar'!$AI$2122&lt;=VAL_DATE)+(COUNTIF('Dvd Calendar'!$E$2129:$AR$2129,'Dvd Calendar'!$AI$2122)=0))&gt;0)=0,"",'Dvd Calendar'!$AI$2122*1000000000+ISNUMBER('Dvd Calendar'!$AI$2125)*100000000+('Dvd Calendar'!$AI$2127=SPECIAL_LBL)*10000000+(N('Dvd Calendar'!$AI$2121)&gt;0)*(N('Dvd Calendar'!$AI$2121)&lt;=VAL_SERIAL)*1000000+52*1000+31))</f>
        <v/>
      </c>
      <c r="FJ211" s="39">
        <f>IF(N('Dvd Calendar'!$AJ$2122)=0,"",IF(('Dvd Calendar'!$AJ$2122&gt;=GRID_FROM)*('Dvd Calendar'!$AJ$2122&lt;=GRID_TO)*((('Dvd Calendar'!$AJ$2122&lt;=VAL_DATE)+(COUNTIF('Dvd Calendar'!$E$2129:$AR$2129,'Dvd Calendar'!$AJ$2122)=0))&gt;0)=0,"",'Dvd Calendar'!$AJ$2122*1000000000+ISNUMBER('Dvd Calendar'!$AJ$2125)*100000000+('Dvd Calendar'!$AJ$2127=SPECIAL_LBL)*10000000+(N('Dvd Calendar'!$AJ$2121)&gt;0)*(N('Dvd Calendar'!$AJ$2121)&lt;=VAL_SERIAL)*1000000+52*1000+32))</f>
        <v/>
      </c>
      <c r="FK211" s="39">
        <f>IF(N('Dvd Calendar'!$AK$2122)=0,"",IF(('Dvd Calendar'!$AK$2122&gt;=GRID_FROM)*('Dvd Calendar'!$AK$2122&lt;=GRID_TO)*((('Dvd Calendar'!$AK$2122&lt;=VAL_DATE)+(COUNTIF('Dvd Calendar'!$E$2129:$AR$2129,'Dvd Calendar'!$AK$2122)=0))&gt;0)=0,"",'Dvd Calendar'!$AK$2122*1000000000+ISNUMBER('Dvd Calendar'!$AK$2125)*100000000+('Dvd Calendar'!$AK$2127=SPECIAL_LBL)*10000000+(N('Dvd Calendar'!$AK$2121)&gt;0)*(N('Dvd Calendar'!$AK$2121)&lt;=VAL_SERIAL)*1000000+52*1000+33))</f>
        <v/>
      </c>
      <c r="FL211" s="39">
        <f>IF(N('Dvd Calendar'!$AL$2122)=0,"",IF(('Dvd Calendar'!$AL$2122&gt;=GRID_FROM)*('Dvd Calendar'!$AL$2122&lt;=GRID_TO)*((('Dvd Calendar'!$AL$2122&lt;=VAL_DATE)+(COUNTIF('Dvd Calendar'!$E$2129:$AR$2129,'Dvd Calendar'!$AL$2122)=0))&gt;0)=0,"",'Dvd Calendar'!$AL$2122*1000000000+ISNUMBER('Dvd Calendar'!$AL$2125)*100000000+('Dvd Calendar'!$AL$2127=SPECIAL_LBL)*10000000+(N('Dvd Calendar'!$AL$2121)&gt;0)*(N('Dvd Calendar'!$AL$2121)&lt;=VAL_SERIAL)*1000000+52*1000+34))</f>
        <v/>
      </c>
      <c r="FM211" s="39">
        <f>IF(N('Dvd Calendar'!$AM$2122)=0,"",IF(('Dvd Calendar'!$AM$2122&gt;=GRID_FROM)*('Dvd Calendar'!$AM$2122&lt;=GRID_TO)*((('Dvd Calendar'!$AM$2122&lt;=VAL_DATE)+(COUNTIF('Dvd Calendar'!$E$2129:$AR$2129,'Dvd Calendar'!$AM$2122)=0))&gt;0)=0,"",'Dvd Calendar'!$AM$2122*1000000000+ISNUMBER('Dvd Calendar'!$AM$2125)*100000000+('Dvd Calendar'!$AM$2127=SPECIAL_LBL)*10000000+(N('Dvd Calendar'!$AM$2121)&gt;0)*(N('Dvd Calendar'!$AM$2121)&lt;=VAL_SERIAL)*1000000+52*1000+35))</f>
        <v/>
      </c>
      <c r="FN211" s="39">
        <f>IF(N('Dvd Calendar'!$AN$2122)=0,"",IF(('Dvd Calendar'!$AN$2122&gt;=GRID_FROM)*('Dvd Calendar'!$AN$2122&lt;=GRID_TO)*((('Dvd Calendar'!$AN$2122&lt;=VAL_DATE)+(COUNTIF('Dvd Calendar'!$E$2129:$AR$2129,'Dvd Calendar'!$AN$2122)=0))&gt;0)=0,"",'Dvd Calendar'!$AN$2122*1000000000+ISNUMBER('Dvd Calendar'!$AN$2125)*100000000+('Dvd Calendar'!$AN$2127=SPECIAL_LBL)*10000000+(N('Dvd Calendar'!$AN$2121)&gt;0)*(N('Dvd Calendar'!$AN$2121)&lt;=VAL_SERIAL)*1000000+52*1000+36))</f>
        <v/>
      </c>
      <c r="FO211" s="39">
        <f>IF(N('Dvd Calendar'!$AO$2122)=0,"",IF(('Dvd Calendar'!$AO$2122&gt;=GRID_FROM)*('Dvd Calendar'!$AO$2122&lt;=GRID_TO)*((('Dvd Calendar'!$AO$2122&lt;=VAL_DATE)+(COUNTIF('Dvd Calendar'!$E$2129:$AR$2129,'Dvd Calendar'!$AO$2122)=0))&gt;0)=0,"",'Dvd Calendar'!$AO$2122*1000000000+ISNUMBER('Dvd Calendar'!$AO$2125)*100000000+('Dvd Calendar'!$AO$2127=SPECIAL_LBL)*10000000+(N('Dvd Calendar'!$AO$2121)&gt;0)*(N('Dvd Calendar'!$AO$2121)&lt;=VAL_SERIAL)*1000000+52*1000+37))</f>
        <v/>
      </c>
      <c r="FP211" s="39">
        <f>IF(N('Dvd Calendar'!$AP$2122)=0,"",IF(('Dvd Calendar'!$AP$2122&gt;=GRID_FROM)*('Dvd Calendar'!$AP$2122&lt;=GRID_TO)*((('Dvd Calendar'!$AP$2122&lt;=VAL_DATE)+(COUNTIF('Dvd Calendar'!$E$2129:$AR$2129,'Dvd Calendar'!$AP$2122)=0))&gt;0)=0,"",'Dvd Calendar'!$AP$2122*1000000000+ISNUMBER('Dvd Calendar'!$AP$2125)*100000000+('Dvd Calendar'!$AP$2127=SPECIAL_LBL)*10000000+(N('Dvd Calendar'!$AP$2121)&gt;0)*(N('Dvd Calendar'!$AP$2121)&lt;=VAL_SERIAL)*1000000+52*1000+38))</f>
        <v/>
      </c>
      <c r="FQ211" s="39">
        <f>IF(N('Dvd Calendar'!$AQ$2122)=0,"",IF(('Dvd Calendar'!$AQ$2122&gt;=GRID_FROM)*('Dvd Calendar'!$AQ$2122&lt;=GRID_TO)*((('Dvd Calendar'!$AQ$2122&lt;=VAL_DATE)+(COUNTIF('Dvd Calendar'!$E$2129:$AR$2129,'Dvd Calendar'!$AQ$2122)=0))&gt;0)=0,"",'Dvd Calendar'!$AQ$2122*1000000000+ISNUMBER('Dvd Calendar'!$AQ$2125)*100000000+('Dvd Calendar'!$AQ$2127=SPECIAL_LBL)*10000000+(N('Dvd Calendar'!$AQ$2121)&gt;0)*(N('Dvd Calendar'!$AQ$2121)&lt;=VAL_SERIAL)*1000000+52*1000+39))</f>
        <v/>
      </c>
      <c r="FR211" s="39">
        <f>IF(N('Dvd Calendar'!$AR$2122)=0,"",IF(('Dvd Calendar'!$AR$2122&gt;=GRID_FROM)*('Dvd Calendar'!$AR$2122&lt;=GRID_TO)*((('Dvd Calendar'!$AR$2122&lt;=VAL_DATE)+(COUNTIF('Dvd Calendar'!$E$2129:$AR$2129,'Dvd Calendar'!$AR$2122)=0))&gt;0)=0,"",'Dvd Calendar'!$AR$2122*1000000000+ISNUMBER('Dvd Calendar'!$AR$2125)*100000000+('Dvd Calendar'!$AR$2127=SPECIAL_LBL)*10000000+(N('Dvd Calendar'!$AR$2121)&gt;0)*(N('Dvd Calendar'!$AR$2121)&lt;=VAL_SERIAL)*1000000+52*1000+40))</f>
        <v/>
      </c>
      <c r="FS211" s="39">
        <f>IF(N('Dvd Calendar'!$E$2129)=0,"",IF(('Dvd Calendar'!$E$2129&gt;=GRID_FROM)*('Dvd Calendar'!$E$2129&lt;=GRID_TO)*('Dvd Calendar'!$E$2129&gt;VAL_DATE)=0,"",'Dvd Calendar'!$E$2129*1000000000+ISNUMBER('Dvd Calendar'!$E$2130)*100000000+0*10000000+(N('Dvd Calendar'!$E$2128)&gt;0)*(N('Dvd Calendar'!$E$2128)&lt;=VAL_SERIAL)*1000000+52*1000+41))</f>
        <v/>
      </c>
      <c r="FT211" s="39">
        <f>IF(N('Dvd Calendar'!$F$2129)=0,"",IF(('Dvd Calendar'!$F$2129&gt;=GRID_FROM)*('Dvd Calendar'!$F$2129&lt;=GRID_TO)*('Dvd Calendar'!$F$2129&gt;VAL_DATE)=0,"",'Dvd Calendar'!$F$2129*1000000000+ISNUMBER('Dvd Calendar'!$F$2130)*100000000+0*10000000+(N('Dvd Calendar'!$F$2128)&gt;0)*(N('Dvd Calendar'!$F$2128)&lt;=VAL_SERIAL)*1000000+52*1000+42))</f>
        <v/>
      </c>
      <c r="FU211" s="39">
        <f>IF(N('Dvd Calendar'!$G$2129)=0,"",IF(('Dvd Calendar'!$G$2129&gt;=GRID_FROM)*('Dvd Calendar'!$G$2129&lt;=GRID_TO)*('Dvd Calendar'!$G$2129&gt;VAL_DATE)=0,"",'Dvd Calendar'!$G$2129*1000000000+ISNUMBER('Dvd Calendar'!$G$2130)*100000000+0*10000000+(N('Dvd Calendar'!$G$2128)&gt;0)*(N('Dvd Calendar'!$G$2128)&lt;=VAL_SERIAL)*1000000+52*1000+43))</f>
        <v/>
      </c>
      <c r="FV211" s="39">
        <f>IF(N('Dvd Calendar'!$H$2129)=0,"",IF(('Dvd Calendar'!$H$2129&gt;=GRID_FROM)*('Dvd Calendar'!$H$2129&lt;=GRID_TO)*('Dvd Calendar'!$H$2129&gt;VAL_DATE)=0,"",'Dvd Calendar'!$H$2129*1000000000+ISNUMBER('Dvd Calendar'!$H$2130)*100000000+0*10000000+(N('Dvd Calendar'!$H$2128)&gt;0)*(N('Dvd Calendar'!$H$2128)&lt;=VAL_SERIAL)*1000000+52*1000+44))</f>
        <v/>
      </c>
      <c r="FW211" s="39">
        <f>IF(N('Dvd Calendar'!$I$2129)=0,"",IF(('Dvd Calendar'!$I$2129&gt;=GRID_FROM)*('Dvd Calendar'!$I$2129&lt;=GRID_TO)*('Dvd Calendar'!$I$2129&gt;VAL_DATE)=0,"",'Dvd Calendar'!$I$2129*1000000000+ISNUMBER('Dvd Calendar'!$I$2130)*100000000+0*10000000+(N('Dvd Calendar'!$I$2128)&gt;0)*(N('Dvd Calendar'!$I$2128)&lt;=VAL_SERIAL)*1000000+52*1000+45))</f>
        <v/>
      </c>
      <c r="FX211" s="39">
        <f>IF(N('Dvd Calendar'!$J$2129)=0,"",IF(('Dvd Calendar'!$J$2129&gt;=GRID_FROM)*('Dvd Calendar'!$J$2129&lt;=GRID_TO)*('Dvd Calendar'!$J$2129&gt;VAL_DATE)=0,"",'Dvd Calendar'!$J$2129*1000000000+ISNUMBER('Dvd Calendar'!$J$2130)*100000000+0*10000000+(N('Dvd Calendar'!$J$2128)&gt;0)*(N('Dvd Calendar'!$J$2128)&lt;=VAL_SERIAL)*1000000+52*1000+46))</f>
        <v/>
      </c>
      <c r="FY211" s="39">
        <f>IF(N('Dvd Calendar'!$K$2129)=0,"",IF(('Dvd Calendar'!$K$2129&gt;=GRID_FROM)*('Dvd Calendar'!$K$2129&lt;=GRID_TO)*('Dvd Calendar'!$K$2129&gt;VAL_DATE)=0,"",'Dvd Calendar'!$K$2129*1000000000+ISNUMBER('Dvd Calendar'!$K$2130)*100000000+0*10000000+(N('Dvd Calendar'!$K$2128)&gt;0)*(N('Dvd Calendar'!$K$2128)&lt;=VAL_SERIAL)*1000000+52*1000+47))</f>
        <v/>
      </c>
      <c r="FZ211" s="39">
        <f>IF(N('Dvd Calendar'!$L$2129)=0,"",IF(('Dvd Calendar'!$L$2129&gt;=GRID_FROM)*('Dvd Calendar'!$L$2129&lt;=GRID_TO)*('Dvd Calendar'!$L$2129&gt;VAL_DATE)=0,"",'Dvd Calendar'!$L$2129*1000000000+ISNUMBER('Dvd Calendar'!$L$2130)*100000000+0*10000000+(N('Dvd Calendar'!$L$2128)&gt;0)*(N('Dvd Calendar'!$L$2128)&lt;=VAL_SERIAL)*1000000+52*1000+48))</f>
        <v/>
      </c>
      <c r="GA211" s="39">
        <f>IF(N('Dvd Calendar'!$M$2129)=0,"",IF(('Dvd Calendar'!$M$2129&gt;=GRID_FROM)*('Dvd Calendar'!$M$2129&lt;=GRID_TO)*('Dvd Calendar'!$M$2129&gt;VAL_DATE)=0,"",'Dvd Calendar'!$M$2129*1000000000+ISNUMBER('Dvd Calendar'!$M$2130)*100000000+0*10000000+(N('Dvd Calendar'!$M$2128)&gt;0)*(N('Dvd Calendar'!$M$2128)&lt;=VAL_SERIAL)*1000000+52*1000+49))</f>
        <v/>
      </c>
      <c r="GB211" s="39">
        <f>IF(N('Dvd Calendar'!$N$2129)=0,"",IF(('Dvd Calendar'!$N$2129&gt;=GRID_FROM)*('Dvd Calendar'!$N$2129&lt;=GRID_TO)*('Dvd Calendar'!$N$2129&gt;VAL_DATE)=0,"",'Dvd Calendar'!$N$2129*1000000000+ISNUMBER('Dvd Calendar'!$N$2130)*100000000+0*10000000+(N('Dvd Calendar'!$N$2128)&gt;0)*(N('Dvd Calendar'!$N$2128)&lt;=VAL_SERIAL)*1000000+52*1000+50))</f>
        <v/>
      </c>
      <c r="GC211" s="39">
        <f>IF(N('Dvd Calendar'!$O$2129)=0,"",IF(('Dvd Calendar'!$O$2129&gt;=GRID_FROM)*('Dvd Calendar'!$O$2129&lt;=GRID_TO)*('Dvd Calendar'!$O$2129&gt;VAL_DATE)=0,"",'Dvd Calendar'!$O$2129*1000000000+ISNUMBER('Dvd Calendar'!$O$2130)*100000000+0*10000000+(N('Dvd Calendar'!$O$2128)&gt;0)*(N('Dvd Calendar'!$O$2128)&lt;=VAL_SERIAL)*1000000+52*1000+51))</f>
        <v/>
      </c>
      <c r="GD211" s="39">
        <f>IF(N('Dvd Calendar'!$P$2129)=0,"",IF(('Dvd Calendar'!$P$2129&gt;=GRID_FROM)*('Dvd Calendar'!$P$2129&lt;=GRID_TO)*('Dvd Calendar'!$P$2129&gt;VAL_DATE)=0,"",'Dvd Calendar'!$P$2129*1000000000+ISNUMBER('Dvd Calendar'!$P$2130)*100000000+0*10000000+(N('Dvd Calendar'!$P$2128)&gt;0)*(N('Dvd Calendar'!$P$2128)&lt;=VAL_SERIAL)*1000000+52*1000+52))</f>
        <v/>
      </c>
      <c r="GE211" s="39">
        <f>IF(N('Dvd Calendar'!$Q$2129)=0,"",IF(('Dvd Calendar'!$Q$2129&gt;=GRID_FROM)*('Dvd Calendar'!$Q$2129&lt;=GRID_TO)*('Dvd Calendar'!$Q$2129&gt;VAL_DATE)=0,"",'Dvd Calendar'!$Q$2129*1000000000+ISNUMBER('Dvd Calendar'!$Q$2130)*100000000+0*10000000+(N('Dvd Calendar'!$Q$2128)&gt;0)*(N('Dvd Calendar'!$Q$2128)&lt;=VAL_SERIAL)*1000000+52*1000+53))</f>
        <v/>
      </c>
      <c r="GF211" s="39">
        <f>IF(N('Dvd Calendar'!$R$2129)=0,"",IF(('Dvd Calendar'!$R$2129&gt;=GRID_FROM)*('Dvd Calendar'!$R$2129&lt;=GRID_TO)*('Dvd Calendar'!$R$2129&gt;VAL_DATE)=0,"",'Dvd Calendar'!$R$2129*1000000000+ISNUMBER('Dvd Calendar'!$R$2130)*100000000+0*10000000+(N('Dvd Calendar'!$R$2128)&gt;0)*(N('Dvd Calendar'!$R$2128)&lt;=VAL_SERIAL)*1000000+52*1000+54))</f>
        <v/>
      </c>
      <c r="GG211" s="39">
        <f>IF(N('Dvd Calendar'!$S$2129)=0,"",IF(('Dvd Calendar'!$S$2129&gt;=GRID_FROM)*('Dvd Calendar'!$S$2129&lt;=GRID_TO)*('Dvd Calendar'!$S$2129&gt;VAL_DATE)=0,"",'Dvd Calendar'!$S$2129*1000000000+ISNUMBER('Dvd Calendar'!$S$2130)*100000000+0*10000000+(N('Dvd Calendar'!$S$2128)&gt;0)*(N('Dvd Calendar'!$S$2128)&lt;=VAL_SERIAL)*1000000+52*1000+55))</f>
        <v/>
      </c>
      <c r="GH211" s="39">
        <f>IF(N('Dvd Calendar'!$T$2129)=0,"",IF(('Dvd Calendar'!$T$2129&gt;=GRID_FROM)*('Dvd Calendar'!$T$2129&lt;=GRID_TO)*('Dvd Calendar'!$T$2129&gt;VAL_DATE)=0,"",'Dvd Calendar'!$T$2129*1000000000+ISNUMBER('Dvd Calendar'!$T$2130)*100000000+0*10000000+(N('Dvd Calendar'!$T$2128)&gt;0)*(N('Dvd Calendar'!$T$2128)&lt;=VAL_SERIAL)*1000000+52*1000+56))</f>
        <v/>
      </c>
      <c r="GI211" s="39">
        <f>IF(N('Dvd Calendar'!$U$2129)=0,"",IF(('Dvd Calendar'!$U$2129&gt;=GRID_FROM)*('Dvd Calendar'!$U$2129&lt;=GRID_TO)*('Dvd Calendar'!$U$2129&gt;VAL_DATE)=0,"",'Dvd Calendar'!$U$2129*1000000000+ISNUMBER('Dvd Calendar'!$U$2130)*100000000+0*10000000+(N('Dvd Calendar'!$U$2128)&gt;0)*(N('Dvd Calendar'!$U$2128)&lt;=VAL_SERIAL)*1000000+52*1000+57))</f>
        <v/>
      </c>
      <c r="GJ211" s="39">
        <f>IF(N('Dvd Calendar'!$V$2129)=0,"",IF(('Dvd Calendar'!$V$2129&gt;=GRID_FROM)*('Dvd Calendar'!$V$2129&lt;=GRID_TO)*('Dvd Calendar'!$V$2129&gt;VAL_DATE)=0,"",'Dvd Calendar'!$V$2129*1000000000+ISNUMBER('Dvd Calendar'!$V$2130)*100000000+0*10000000+(N('Dvd Calendar'!$V$2128)&gt;0)*(N('Dvd Calendar'!$V$2128)&lt;=VAL_SERIAL)*1000000+52*1000+58))</f>
        <v/>
      </c>
      <c r="GK211" s="39">
        <f>IF(N('Dvd Calendar'!$W$2129)=0,"",IF(('Dvd Calendar'!$W$2129&gt;=GRID_FROM)*('Dvd Calendar'!$W$2129&lt;=GRID_TO)*('Dvd Calendar'!$W$2129&gt;VAL_DATE)=0,"",'Dvd Calendar'!$W$2129*1000000000+ISNUMBER('Dvd Calendar'!$W$2130)*100000000+0*10000000+(N('Dvd Calendar'!$W$2128)&gt;0)*(N('Dvd Calendar'!$W$2128)&lt;=VAL_SERIAL)*1000000+52*1000+59))</f>
        <v/>
      </c>
      <c r="GL211" s="39">
        <f>IF(N('Dvd Calendar'!$X$2129)=0,"",IF(('Dvd Calendar'!$X$2129&gt;=GRID_FROM)*('Dvd Calendar'!$X$2129&lt;=GRID_TO)*('Dvd Calendar'!$X$2129&gt;VAL_DATE)=0,"",'Dvd Calendar'!$X$2129*1000000000+ISNUMBER('Dvd Calendar'!$X$2130)*100000000+0*10000000+(N('Dvd Calendar'!$X$2128)&gt;0)*(N('Dvd Calendar'!$X$2128)&lt;=VAL_SERIAL)*1000000+52*1000+60))</f>
        <v/>
      </c>
      <c r="GM211" s="39">
        <f>IF(N('Dvd Calendar'!$Y$2129)=0,"",IF(('Dvd Calendar'!$Y$2129&gt;=GRID_FROM)*('Dvd Calendar'!$Y$2129&lt;=GRID_TO)*('Dvd Calendar'!$Y$2129&gt;VAL_DATE)=0,"",'Dvd Calendar'!$Y$2129*1000000000+ISNUMBER('Dvd Calendar'!$Y$2130)*100000000+0*10000000+(N('Dvd Calendar'!$Y$2128)&gt;0)*(N('Dvd Calendar'!$Y$2128)&lt;=VAL_SERIAL)*1000000+52*1000+61))</f>
        <v/>
      </c>
      <c r="GN211" s="39">
        <f>IF(N('Dvd Calendar'!$Z$2129)=0,"",IF(('Dvd Calendar'!$Z$2129&gt;=GRID_FROM)*('Dvd Calendar'!$Z$2129&lt;=GRID_TO)*('Dvd Calendar'!$Z$2129&gt;VAL_DATE)=0,"",'Dvd Calendar'!$Z$2129*1000000000+ISNUMBER('Dvd Calendar'!$Z$2130)*100000000+0*10000000+(N('Dvd Calendar'!$Z$2128)&gt;0)*(N('Dvd Calendar'!$Z$2128)&lt;=VAL_SERIAL)*1000000+52*1000+62))</f>
        <v/>
      </c>
      <c r="GO211" s="39">
        <f>IF(N('Dvd Calendar'!$AA$2129)=0,"",IF(('Dvd Calendar'!$AA$2129&gt;=GRID_FROM)*('Dvd Calendar'!$AA$2129&lt;=GRID_TO)*('Dvd Calendar'!$AA$2129&gt;VAL_DATE)=0,"",'Dvd Calendar'!$AA$2129*1000000000+ISNUMBER('Dvd Calendar'!$AA$2130)*100000000+0*10000000+(N('Dvd Calendar'!$AA$2128)&gt;0)*(N('Dvd Calendar'!$AA$2128)&lt;=VAL_SERIAL)*1000000+52*1000+63))</f>
        <v/>
      </c>
      <c r="GP211" s="39">
        <f>IF(N('Dvd Calendar'!$AB$2129)=0,"",IF(('Dvd Calendar'!$AB$2129&gt;=GRID_FROM)*('Dvd Calendar'!$AB$2129&lt;=GRID_TO)*('Dvd Calendar'!$AB$2129&gt;VAL_DATE)=0,"",'Dvd Calendar'!$AB$2129*1000000000+ISNUMBER('Dvd Calendar'!$AB$2130)*100000000+0*10000000+(N('Dvd Calendar'!$AB$2128)&gt;0)*(N('Dvd Calendar'!$AB$2128)&lt;=VAL_SERIAL)*1000000+52*1000+64))</f>
        <v/>
      </c>
      <c r="GQ211" s="39">
        <f>IF(N('Dvd Calendar'!$AC$2129)=0,"",IF(('Dvd Calendar'!$AC$2129&gt;=GRID_FROM)*('Dvd Calendar'!$AC$2129&lt;=GRID_TO)*('Dvd Calendar'!$AC$2129&gt;VAL_DATE)=0,"",'Dvd Calendar'!$AC$2129*1000000000+ISNUMBER('Dvd Calendar'!$AC$2130)*100000000+0*10000000+(N('Dvd Calendar'!$AC$2128)&gt;0)*(N('Dvd Calendar'!$AC$2128)&lt;=VAL_SERIAL)*1000000+52*1000+65))</f>
        <v/>
      </c>
    </row>
    <row r="212">
      <c r="B212" s="2">
        <f>IF(HSCEI!$C$59="","",HSCEI!$C$59)</f>
        <v/>
      </c>
      <c r="C212" s="110">
        <f>IF(EE212="","",IF(ISNUMBER('Dvd Calendar'!$E$2136)=FALSE,"",IF((('Dvd Calendar'!$E$2138=TYPE1)*(TYPE1&lt;&gt;"")+('Dvd Calendar'!$E$2138=TYPE2)*(TYPE2&lt;&gt;"")+('Dvd Calendar'!$E$2138=TYPE3)*(TYPE3&lt;&gt;"")+('Dvd Calendar'!$E$2138=TYPE4)*(TYPE4&lt;&gt;"")+('Dvd Calendar'!$E$2138=SPECIAL_LBL)*(INC_SPECIALS="Y"))=0,"",'Dvd Calendar'!$E$2136)))</f>
        <v/>
      </c>
      <c r="D212" s="110">
        <f>IF(EF212="","",IF(ISNUMBER('Dvd Calendar'!$F$2136)=FALSE,"",IF((('Dvd Calendar'!$F$2138=TYPE1)*(TYPE1&lt;&gt;"")+('Dvd Calendar'!$F$2138=TYPE2)*(TYPE2&lt;&gt;"")+('Dvd Calendar'!$F$2138=TYPE3)*(TYPE3&lt;&gt;"")+('Dvd Calendar'!$F$2138=TYPE4)*(TYPE4&lt;&gt;"")+('Dvd Calendar'!$F$2138=SPECIAL_LBL)*(INC_SPECIALS="Y"))=0,"",'Dvd Calendar'!$F$2136)))</f>
        <v/>
      </c>
      <c r="E212" s="110">
        <f>IF(EG212="","",IF(ISNUMBER('Dvd Calendar'!$G$2136)=FALSE,"",IF((('Dvd Calendar'!$G$2138=TYPE1)*(TYPE1&lt;&gt;"")+('Dvd Calendar'!$G$2138=TYPE2)*(TYPE2&lt;&gt;"")+('Dvd Calendar'!$G$2138=TYPE3)*(TYPE3&lt;&gt;"")+('Dvd Calendar'!$G$2138=TYPE4)*(TYPE4&lt;&gt;"")+('Dvd Calendar'!$G$2138=SPECIAL_LBL)*(INC_SPECIALS="Y"))=0,"",'Dvd Calendar'!$G$2136)))</f>
        <v/>
      </c>
      <c r="F212" s="110">
        <f>IF(EH212="","",IF(ISNUMBER('Dvd Calendar'!$H$2136)=FALSE,"",IF((('Dvd Calendar'!$H$2138=TYPE1)*(TYPE1&lt;&gt;"")+('Dvd Calendar'!$H$2138=TYPE2)*(TYPE2&lt;&gt;"")+('Dvd Calendar'!$H$2138=TYPE3)*(TYPE3&lt;&gt;"")+('Dvd Calendar'!$H$2138=TYPE4)*(TYPE4&lt;&gt;"")+('Dvd Calendar'!$H$2138=SPECIAL_LBL)*(INC_SPECIALS="Y"))=0,"",'Dvd Calendar'!$H$2136)))</f>
        <v/>
      </c>
      <c r="G212" s="110">
        <f>IF(EI212="","",IF(ISNUMBER('Dvd Calendar'!$I$2136)=FALSE,"",IF((('Dvd Calendar'!$I$2138=TYPE1)*(TYPE1&lt;&gt;"")+('Dvd Calendar'!$I$2138=TYPE2)*(TYPE2&lt;&gt;"")+('Dvd Calendar'!$I$2138=TYPE3)*(TYPE3&lt;&gt;"")+('Dvd Calendar'!$I$2138=TYPE4)*(TYPE4&lt;&gt;"")+('Dvd Calendar'!$I$2138=SPECIAL_LBL)*(INC_SPECIALS="Y"))=0,"",'Dvd Calendar'!$I$2136)))</f>
        <v/>
      </c>
      <c r="H212" s="110">
        <f>IF(EJ212="","",IF(ISNUMBER('Dvd Calendar'!$J$2136)=FALSE,"",IF((('Dvd Calendar'!$J$2138=TYPE1)*(TYPE1&lt;&gt;"")+('Dvd Calendar'!$J$2138=TYPE2)*(TYPE2&lt;&gt;"")+('Dvd Calendar'!$J$2138=TYPE3)*(TYPE3&lt;&gt;"")+('Dvd Calendar'!$J$2138=TYPE4)*(TYPE4&lt;&gt;"")+('Dvd Calendar'!$J$2138=SPECIAL_LBL)*(INC_SPECIALS="Y"))=0,"",'Dvd Calendar'!$J$2136)))</f>
        <v/>
      </c>
      <c r="I212" s="110">
        <f>IF(EK212="","",IF(ISNUMBER('Dvd Calendar'!$K$2136)=FALSE,"",IF((('Dvd Calendar'!$K$2138=TYPE1)*(TYPE1&lt;&gt;"")+('Dvd Calendar'!$K$2138=TYPE2)*(TYPE2&lt;&gt;"")+('Dvd Calendar'!$K$2138=TYPE3)*(TYPE3&lt;&gt;"")+('Dvd Calendar'!$K$2138=TYPE4)*(TYPE4&lt;&gt;"")+('Dvd Calendar'!$K$2138=SPECIAL_LBL)*(INC_SPECIALS="Y"))=0,"",'Dvd Calendar'!$K$2136)))</f>
        <v/>
      </c>
      <c r="J212" s="110">
        <f>IF(EL212="","",IF(ISNUMBER('Dvd Calendar'!$L$2136)=FALSE,"",IF((('Dvd Calendar'!$L$2138=TYPE1)*(TYPE1&lt;&gt;"")+('Dvd Calendar'!$L$2138=TYPE2)*(TYPE2&lt;&gt;"")+('Dvd Calendar'!$L$2138=TYPE3)*(TYPE3&lt;&gt;"")+('Dvd Calendar'!$L$2138=TYPE4)*(TYPE4&lt;&gt;"")+('Dvd Calendar'!$L$2138=SPECIAL_LBL)*(INC_SPECIALS="Y"))=0,"",'Dvd Calendar'!$L$2136)))</f>
        <v/>
      </c>
      <c r="K212" s="110">
        <f>IF(EM212="","",IF(ISNUMBER('Dvd Calendar'!$M$2136)=FALSE,"",IF((('Dvd Calendar'!$M$2138=TYPE1)*(TYPE1&lt;&gt;"")+('Dvd Calendar'!$M$2138=TYPE2)*(TYPE2&lt;&gt;"")+('Dvd Calendar'!$M$2138=TYPE3)*(TYPE3&lt;&gt;"")+('Dvd Calendar'!$M$2138=TYPE4)*(TYPE4&lt;&gt;"")+('Dvd Calendar'!$M$2138=SPECIAL_LBL)*(INC_SPECIALS="Y"))=0,"",'Dvd Calendar'!$M$2136)))</f>
        <v/>
      </c>
      <c r="L212" s="110">
        <f>IF(EN212="","",IF(ISNUMBER('Dvd Calendar'!$N$2136)=FALSE,"",IF((('Dvd Calendar'!$N$2138=TYPE1)*(TYPE1&lt;&gt;"")+('Dvd Calendar'!$N$2138=TYPE2)*(TYPE2&lt;&gt;"")+('Dvd Calendar'!$N$2138=TYPE3)*(TYPE3&lt;&gt;"")+('Dvd Calendar'!$N$2138=TYPE4)*(TYPE4&lt;&gt;"")+('Dvd Calendar'!$N$2138=SPECIAL_LBL)*(INC_SPECIALS="Y"))=0,"",'Dvd Calendar'!$N$2136)))</f>
        <v/>
      </c>
      <c r="M212" s="110">
        <f>IF(EO212="","",IF(ISNUMBER('Dvd Calendar'!$O$2136)=FALSE,"",IF((('Dvd Calendar'!$O$2138=TYPE1)*(TYPE1&lt;&gt;"")+('Dvd Calendar'!$O$2138=TYPE2)*(TYPE2&lt;&gt;"")+('Dvd Calendar'!$O$2138=TYPE3)*(TYPE3&lt;&gt;"")+('Dvd Calendar'!$O$2138=TYPE4)*(TYPE4&lt;&gt;"")+('Dvd Calendar'!$O$2138=SPECIAL_LBL)*(INC_SPECIALS="Y"))=0,"",'Dvd Calendar'!$O$2136)))</f>
        <v/>
      </c>
      <c r="N212" s="110">
        <f>IF(EP212="","",IF(ISNUMBER('Dvd Calendar'!$P$2136)=FALSE,"",IF((('Dvd Calendar'!$P$2138=TYPE1)*(TYPE1&lt;&gt;"")+('Dvd Calendar'!$P$2138=TYPE2)*(TYPE2&lt;&gt;"")+('Dvd Calendar'!$P$2138=TYPE3)*(TYPE3&lt;&gt;"")+('Dvd Calendar'!$P$2138=TYPE4)*(TYPE4&lt;&gt;"")+('Dvd Calendar'!$P$2138=SPECIAL_LBL)*(INC_SPECIALS="Y"))=0,"",'Dvd Calendar'!$P$2136)))</f>
        <v/>
      </c>
      <c r="O212" s="110">
        <f>IF(EQ212="","",IF(ISNUMBER('Dvd Calendar'!$Q$2136)=FALSE,"",IF((('Dvd Calendar'!$Q$2138=TYPE1)*(TYPE1&lt;&gt;"")+('Dvd Calendar'!$Q$2138=TYPE2)*(TYPE2&lt;&gt;"")+('Dvd Calendar'!$Q$2138=TYPE3)*(TYPE3&lt;&gt;"")+('Dvd Calendar'!$Q$2138=TYPE4)*(TYPE4&lt;&gt;"")+('Dvd Calendar'!$Q$2138=SPECIAL_LBL)*(INC_SPECIALS="Y"))=0,"",'Dvd Calendar'!$Q$2136)))</f>
        <v/>
      </c>
      <c r="P212" s="110">
        <f>IF(ER212="","",IF(ISNUMBER('Dvd Calendar'!$R$2136)=FALSE,"",IF((('Dvd Calendar'!$R$2138=TYPE1)*(TYPE1&lt;&gt;"")+('Dvd Calendar'!$R$2138=TYPE2)*(TYPE2&lt;&gt;"")+('Dvd Calendar'!$R$2138=TYPE3)*(TYPE3&lt;&gt;"")+('Dvd Calendar'!$R$2138=TYPE4)*(TYPE4&lt;&gt;"")+('Dvd Calendar'!$R$2138=SPECIAL_LBL)*(INC_SPECIALS="Y"))=0,"",'Dvd Calendar'!$R$2136)))</f>
        <v/>
      </c>
      <c r="Q212" s="110">
        <f>IF(ES212="","",IF(ISNUMBER('Dvd Calendar'!$S$2136)=FALSE,"",IF((('Dvd Calendar'!$S$2138=TYPE1)*(TYPE1&lt;&gt;"")+('Dvd Calendar'!$S$2138=TYPE2)*(TYPE2&lt;&gt;"")+('Dvd Calendar'!$S$2138=TYPE3)*(TYPE3&lt;&gt;"")+('Dvd Calendar'!$S$2138=TYPE4)*(TYPE4&lt;&gt;"")+('Dvd Calendar'!$S$2138=SPECIAL_LBL)*(INC_SPECIALS="Y"))=0,"",'Dvd Calendar'!$S$2136)))</f>
        <v/>
      </c>
      <c r="R212" s="110">
        <f>IF(ET212="","",IF(ISNUMBER('Dvd Calendar'!$T$2136)=FALSE,"",IF((('Dvd Calendar'!$T$2138=TYPE1)*(TYPE1&lt;&gt;"")+('Dvd Calendar'!$T$2138=TYPE2)*(TYPE2&lt;&gt;"")+('Dvd Calendar'!$T$2138=TYPE3)*(TYPE3&lt;&gt;"")+('Dvd Calendar'!$T$2138=TYPE4)*(TYPE4&lt;&gt;"")+('Dvd Calendar'!$T$2138=SPECIAL_LBL)*(INC_SPECIALS="Y"))=0,"",'Dvd Calendar'!$T$2136)))</f>
        <v/>
      </c>
      <c r="S212" s="110">
        <f>IF(EU212="","",IF(ISNUMBER('Dvd Calendar'!$U$2136)=FALSE,"",IF((('Dvd Calendar'!$U$2138=TYPE1)*(TYPE1&lt;&gt;"")+('Dvd Calendar'!$U$2138=TYPE2)*(TYPE2&lt;&gt;"")+('Dvd Calendar'!$U$2138=TYPE3)*(TYPE3&lt;&gt;"")+('Dvd Calendar'!$U$2138=TYPE4)*(TYPE4&lt;&gt;"")+('Dvd Calendar'!$U$2138=SPECIAL_LBL)*(INC_SPECIALS="Y"))=0,"",'Dvd Calendar'!$U$2136)))</f>
        <v/>
      </c>
      <c r="T212" s="110">
        <f>IF(EV212="","",IF(ISNUMBER('Dvd Calendar'!$V$2136)=FALSE,"",IF((('Dvd Calendar'!$V$2138=TYPE1)*(TYPE1&lt;&gt;"")+('Dvd Calendar'!$V$2138=TYPE2)*(TYPE2&lt;&gt;"")+('Dvd Calendar'!$V$2138=TYPE3)*(TYPE3&lt;&gt;"")+('Dvd Calendar'!$V$2138=TYPE4)*(TYPE4&lt;&gt;"")+('Dvd Calendar'!$V$2138=SPECIAL_LBL)*(INC_SPECIALS="Y"))=0,"",'Dvd Calendar'!$V$2136)))</f>
        <v/>
      </c>
      <c r="U212" s="110">
        <f>IF(EW212="","",IF(ISNUMBER('Dvd Calendar'!$W$2136)=FALSE,"",IF((('Dvd Calendar'!$W$2138=TYPE1)*(TYPE1&lt;&gt;"")+('Dvd Calendar'!$W$2138=TYPE2)*(TYPE2&lt;&gt;"")+('Dvd Calendar'!$W$2138=TYPE3)*(TYPE3&lt;&gt;"")+('Dvd Calendar'!$W$2138=TYPE4)*(TYPE4&lt;&gt;"")+('Dvd Calendar'!$W$2138=SPECIAL_LBL)*(INC_SPECIALS="Y"))=0,"",'Dvd Calendar'!$W$2136)))</f>
        <v/>
      </c>
      <c r="V212" s="110">
        <f>IF(EX212="","",IF(ISNUMBER('Dvd Calendar'!$X$2136)=FALSE,"",IF((('Dvd Calendar'!$X$2138=TYPE1)*(TYPE1&lt;&gt;"")+('Dvd Calendar'!$X$2138=TYPE2)*(TYPE2&lt;&gt;"")+('Dvd Calendar'!$X$2138=TYPE3)*(TYPE3&lt;&gt;"")+('Dvd Calendar'!$X$2138=TYPE4)*(TYPE4&lt;&gt;"")+('Dvd Calendar'!$X$2138=SPECIAL_LBL)*(INC_SPECIALS="Y"))=0,"",'Dvd Calendar'!$X$2136)))</f>
        <v/>
      </c>
      <c r="W212" s="110">
        <f>IF(EY212="","",IF(ISNUMBER('Dvd Calendar'!$Y$2136)=FALSE,"",IF((('Dvd Calendar'!$Y$2138=TYPE1)*(TYPE1&lt;&gt;"")+('Dvd Calendar'!$Y$2138=TYPE2)*(TYPE2&lt;&gt;"")+('Dvd Calendar'!$Y$2138=TYPE3)*(TYPE3&lt;&gt;"")+('Dvd Calendar'!$Y$2138=TYPE4)*(TYPE4&lt;&gt;"")+('Dvd Calendar'!$Y$2138=SPECIAL_LBL)*(INC_SPECIALS="Y"))=0,"",'Dvd Calendar'!$Y$2136)))</f>
        <v/>
      </c>
      <c r="X212" s="110">
        <f>IF(EZ212="","",IF(ISNUMBER('Dvd Calendar'!$Z$2136)=FALSE,"",IF((('Dvd Calendar'!$Z$2138=TYPE1)*(TYPE1&lt;&gt;"")+('Dvd Calendar'!$Z$2138=TYPE2)*(TYPE2&lt;&gt;"")+('Dvd Calendar'!$Z$2138=TYPE3)*(TYPE3&lt;&gt;"")+('Dvd Calendar'!$Z$2138=TYPE4)*(TYPE4&lt;&gt;"")+('Dvd Calendar'!$Z$2138=SPECIAL_LBL)*(INC_SPECIALS="Y"))=0,"",'Dvd Calendar'!$Z$2136)))</f>
        <v/>
      </c>
      <c r="Y212" s="110">
        <f>IF(FA212="","",IF(ISNUMBER('Dvd Calendar'!$AA$2136)=FALSE,"",IF((('Dvd Calendar'!$AA$2138=TYPE1)*(TYPE1&lt;&gt;"")+('Dvd Calendar'!$AA$2138=TYPE2)*(TYPE2&lt;&gt;"")+('Dvd Calendar'!$AA$2138=TYPE3)*(TYPE3&lt;&gt;"")+('Dvd Calendar'!$AA$2138=TYPE4)*(TYPE4&lt;&gt;"")+('Dvd Calendar'!$AA$2138=SPECIAL_LBL)*(INC_SPECIALS="Y"))=0,"",'Dvd Calendar'!$AA$2136)))</f>
        <v/>
      </c>
      <c r="Z212" s="110">
        <f>IF(FB212="","",IF(ISNUMBER('Dvd Calendar'!$AB$2136)=FALSE,"",IF((('Dvd Calendar'!$AB$2138=TYPE1)*(TYPE1&lt;&gt;"")+('Dvd Calendar'!$AB$2138=TYPE2)*(TYPE2&lt;&gt;"")+('Dvd Calendar'!$AB$2138=TYPE3)*(TYPE3&lt;&gt;"")+('Dvd Calendar'!$AB$2138=TYPE4)*(TYPE4&lt;&gt;"")+('Dvd Calendar'!$AB$2138=SPECIAL_LBL)*(INC_SPECIALS="Y"))=0,"",'Dvd Calendar'!$AB$2136)))</f>
        <v/>
      </c>
      <c r="AA212" s="110">
        <f>IF(FC212="","",IF(ISNUMBER('Dvd Calendar'!$AC$2136)=FALSE,"",IF((('Dvd Calendar'!$AC$2138=TYPE1)*(TYPE1&lt;&gt;"")+('Dvd Calendar'!$AC$2138=TYPE2)*(TYPE2&lt;&gt;"")+('Dvd Calendar'!$AC$2138=TYPE3)*(TYPE3&lt;&gt;"")+('Dvd Calendar'!$AC$2138=TYPE4)*(TYPE4&lt;&gt;"")+('Dvd Calendar'!$AC$2138=SPECIAL_LBL)*(INC_SPECIALS="Y"))=0,"",'Dvd Calendar'!$AC$2136)))</f>
        <v/>
      </c>
      <c r="AB212" s="110">
        <f>IF(FD212="","",IF(ISNUMBER('Dvd Calendar'!$AD$2136)=FALSE,"",IF((('Dvd Calendar'!$AD$2138=TYPE1)*(TYPE1&lt;&gt;"")+('Dvd Calendar'!$AD$2138=TYPE2)*(TYPE2&lt;&gt;"")+('Dvd Calendar'!$AD$2138=TYPE3)*(TYPE3&lt;&gt;"")+('Dvd Calendar'!$AD$2138=TYPE4)*(TYPE4&lt;&gt;"")+('Dvd Calendar'!$AD$2138=SPECIAL_LBL)*(INC_SPECIALS="Y"))=0,"",'Dvd Calendar'!$AD$2136)))</f>
        <v/>
      </c>
      <c r="AC212" s="110">
        <f>IF(FE212="","",IF(ISNUMBER('Dvd Calendar'!$AE$2136)=FALSE,"",IF((('Dvd Calendar'!$AE$2138=TYPE1)*(TYPE1&lt;&gt;"")+('Dvd Calendar'!$AE$2138=TYPE2)*(TYPE2&lt;&gt;"")+('Dvd Calendar'!$AE$2138=TYPE3)*(TYPE3&lt;&gt;"")+('Dvd Calendar'!$AE$2138=TYPE4)*(TYPE4&lt;&gt;"")+('Dvd Calendar'!$AE$2138=SPECIAL_LBL)*(INC_SPECIALS="Y"))=0,"",'Dvd Calendar'!$AE$2136)))</f>
        <v/>
      </c>
      <c r="AD212" s="110">
        <f>IF(FF212="","",IF(ISNUMBER('Dvd Calendar'!$AF$2136)=FALSE,"",IF((('Dvd Calendar'!$AF$2138=TYPE1)*(TYPE1&lt;&gt;"")+('Dvd Calendar'!$AF$2138=TYPE2)*(TYPE2&lt;&gt;"")+('Dvd Calendar'!$AF$2138=TYPE3)*(TYPE3&lt;&gt;"")+('Dvd Calendar'!$AF$2138=TYPE4)*(TYPE4&lt;&gt;"")+('Dvd Calendar'!$AF$2138=SPECIAL_LBL)*(INC_SPECIALS="Y"))=0,"",'Dvd Calendar'!$AF$2136)))</f>
        <v/>
      </c>
      <c r="AE212" s="110">
        <f>IF(FG212="","",IF(ISNUMBER('Dvd Calendar'!$AG$2136)=FALSE,"",IF((('Dvd Calendar'!$AG$2138=TYPE1)*(TYPE1&lt;&gt;"")+('Dvd Calendar'!$AG$2138=TYPE2)*(TYPE2&lt;&gt;"")+('Dvd Calendar'!$AG$2138=TYPE3)*(TYPE3&lt;&gt;"")+('Dvd Calendar'!$AG$2138=TYPE4)*(TYPE4&lt;&gt;"")+('Dvd Calendar'!$AG$2138=SPECIAL_LBL)*(INC_SPECIALS="Y"))=0,"",'Dvd Calendar'!$AG$2136)))</f>
        <v/>
      </c>
      <c r="AF212" s="110">
        <f>IF(FH212="","",IF(ISNUMBER('Dvd Calendar'!$AH$2136)=FALSE,"",IF((('Dvd Calendar'!$AH$2138=TYPE1)*(TYPE1&lt;&gt;"")+('Dvd Calendar'!$AH$2138=TYPE2)*(TYPE2&lt;&gt;"")+('Dvd Calendar'!$AH$2138=TYPE3)*(TYPE3&lt;&gt;"")+('Dvd Calendar'!$AH$2138=TYPE4)*(TYPE4&lt;&gt;"")+('Dvd Calendar'!$AH$2138=SPECIAL_LBL)*(INC_SPECIALS="Y"))=0,"",'Dvd Calendar'!$AH$2136)))</f>
        <v/>
      </c>
      <c r="AG212" s="110">
        <f>IF(FI212="","",IF(ISNUMBER('Dvd Calendar'!$AI$2136)=FALSE,"",IF((('Dvd Calendar'!$AI$2138=TYPE1)*(TYPE1&lt;&gt;"")+('Dvd Calendar'!$AI$2138=TYPE2)*(TYPE2&lt;&gt;"")+('Dvd Calendar'!$AI$2138=TYPE3)*(TYPE3&lt;&gt;"")+('Dvd Calendar'!$AI$2138=TYPE4)*(TYPE4&lt;&gt;"")+('Dvd Calendar'!$AI$2138=SPECIAL_LBL)*(INC_SPECIALS="Y"))=0,"",'Dvd Calendar'!$AI$2136)))</f>
        <v/>
      </c>
      <c r="AH212" s="110">
        <f>IF(FJ212="","",IF(ISNUMBER('Dvd Calendar'!$AJ$2136)=FALSE,"",IF((('Dvd Calendar'!$AJ$2138=TYPE1)*(TYPE1&lt;&gt;"")+('Dvd Calendar'!$AJ$2138=TYPE2)*(TYPE2&lt;&gt;"")+('Dvd Calendar'!$AJ$2138=TYPE3)*(TYPE3&lt;&gt;"")+('Dvd Calendar'!$AJ$2138=TYPE4)*(TYPE4&lt;&gt;"")+('Dvd Calendar'!$AJ$2138=SPECIAL_LBL)*(INC_SPECIALS="Y"))=0,"",'Dvd Calendar'!$AJ$2136)))</f>
        <v/>
      </c>
      <c r="AI212" s="110">
        <f>IF(FK212="","",IF(ISNUMBER('Dvd Calendar'!$AK$2136)=FALSE,"",IF((('Dvd Calendar'!$AK$2138=TYPE1)*(TYPE1&lt;&gt;"")+('Dvd Calendar'!$AK$2138=TYPE2)*(TYPE2&lt;&gt;"")+('Dvd Calendar'!$AK$2138=TYPE3)*(TYPE3&lt;&gt;"")+('Dvd Calendar'!$AK$2138=TYPE4)*(TYPE4&lt;&gt;"")+('Dvd Calendar'!$AK$2138=SPECIAL_LBL)*(INC_SPECIALS="Y"))=0,"",'Dvd Calendar'!$AK$2136)))</f>
        <v/>
      </c>
      <c r="AJ212" s="110">
        <f>IF(FL212="","",IF(ISNUMBER('Dvd Calendar'!$AL$2136)=FALSE,"",IF((('Dvd Calendar'!$AL$2138=TYPE1)*(TYPE1&lt;&gt;"")+('Dvd Calendar'!$AL$2138=TYPE2)*(TYPE2&lt;&gt;"")+('Dvd Calendar'!$AL$2138=TYPE3)*(TYPE3&lt;&gt;"")+('Dvd Calendar'!$AL$2138=TYPE4)*(TYPE4&lt;&gt;"")+('Dvd Calendar'!$AL$2138=SPECIAL_LBL)*(INC_SPECIALS="Y"))=0,"",'Dvd Calendar'!$AL$2136)))</f>
        <v/>
      </c>
      <c r="AK212" s="110">
        <f>IF(FM212="","",IF(ISNUMBER('Dvd Calendar'!$AM$2136)=FALSE,"",IF((('Dvd Calendar'!$AM$2138=TYPE1)*(TYPE1&lt;&gt;"")+('Dvd Calendar'!$AM$2138=TYPE2)*(TYPE2&lt;&gt;"")+('Dvd Calendar'!$AM$2138=TYPE3)*(TYPE3&lt;&gt;"")+('Dvd Calendar'!$AM$2138=TYPE4)*(TYPE4&lt;&gt;"")+('Dvd Calendar'!$AM$2138=SPECIAL_LBL)*(INC_SPECIALS="Y"))=0,"",'Dvd Calendar'!$AM$2136)))</f>
        <v/>
      </c>
      <c r="AL212" s="110">
        <f>IF(FN212="","",IF(ISNUMBER('Dvd Calendar'!$AN$2136)=FALSE,"",IF((('Dvd Calendar'!$AN$2138=TYPE1)*(TYPE1&lt;&gt;"")+('Dvd Calendar'!$AN$2138=TYPE2)*(TYPE2&lt;&gt;"")+('Dvd Calendar'!$AN$2138=TYPE3)*(TYPE3&lt;&gt;"")+('Dvd Calendar'!$AN$2138=TYPE4)*(TYPE4&lt;&gt;"")+('Dvd Calendar'!$AN$2138=SPECIAL_LBL)*(INC_SPECIALS="Y"))=0,"",'Dvd Calendar'!$AN$2136)))</f>
        <v/>
      </c>
      <c r="AM212" s="110">
        <f>IF(FO212="","",IF(ISNUMBER('Dvd Calendar'!$AO$2136)=FALSE,"",IF((('Dvd Calendar'!$AO$2138=TYPE1)*(TYPE1&lt;&gt;"")+('Dvd Calendar'!$AO$2138=TYPE2)*(TYPE2&lt;&gt;"")+('Dvd Calendar'!$AO$2138=TYPE3)*(TYPE3&lt;&gt;"")+('Dvd Calendar'!$AO$2138=TYPE4)*(TYPE4&lt;&gt;"")+('Dvd Calendar'!$AO$2138=SPECIAL_LBL)*(INC_SPECIALS="Y"))=0,"",'Dvd Calendar'!$AO$2136)))</f>
        <v/>
      </c>
      <c r="AN212" s="110">
        <f>IF(FP212="","",IF(ISNUMBER('Dvd Calendar'!$AP$2136)=FALSE,"",IF((('Dvd Calendar'!$AP$2138=TYPE1)*(TYPE1&lt;&gt;"")+('Dvd Calendar'!$AP$2138=TYPE2)*(TYPE2&lt;&gt;"")+('Dvd Calendar'!$AP$2138=TYPE3)*(TYPE3&lt;&gt;"")+('Dvd Calendar'!$AP$2138=TYPE4)*(TYPE4&lt;&gt;"")+('Dvd Calendar'!$AP$2138=SPECIAL_LBL)*(INC_SPECIALS="Y"))=0,"",'Dvd Calendar'!$AP$2136)))</f>
        <v/>
      </c>
      <c r="AO212" s="110">
        <f>IF(FQ212="","",IF(ISNUMBER('Dvd Calendar'!$AQ$2136)=FALSE,"",IF((('Dvd Calendar'!$AQ$2138=TYPE1)*(TYPE1&lt;&gt;"")+('Dvd Calendar'!$AQ$2138=TYPE2)*(TYPE2&lt;&gt;"")+('Dvd Calendar'!$AQ$2138=TYPE3)*(TYPE3&lt;&gt;"")+('Dvd Calendar'!$AQ$2138=TYPE4)*(TYPE4&lt;&gt;"")+('Dvd Calendar'!$AQ$2138=SPECIAL_LBL)*(INC_SPECIALS="Y"))=0,"",'Dvd Calendar'!$AQ$2136)))</f>
        <v/>
      </c>
      <c r="AP212" s="110">
        <f>IF(FR212="","",IF(ISNUMBER('Dvd Calendar'!$AR$2136)=FALSE,"",IF((('Dvd Calendar'!$AR$2138=TYPE1)*(TYPE1&lt;&gt;"")+('Dvd Calendar'!$AR$2138=TYPE2)*(TYPE2&lt;&gt;"")+('Dvd Calendar'!$AR$2138=TYPE3)*(TYPE3&lt;&gt;"")+('Dvd Calendar'!$AR$2138=TYPE4)*(TYPE4&lt;&gt;"")+('Dvd Calendar'!$AR$2138=SPECIAL_LBL)*(INC_SPECIALS="Y"))=0,"",'Dvd Calendar'!$AR$2136)))</f>
        <v/>
      </c>
      <c r="AQ212" s="110">
        <f>IF(FS212="","",IF(ISNUMBER('Dvd Calendar'!$E$2141)=FALSE,"",'Dvd Calendar'!$E$2141))</f>
        <v/>
      </c>
      <c r="AR212" s="110">
        <f>IF(FT212="","",IF(ISNUMBER('Dvd Calendar'!$F$2141)=FALSE,"",'Dvd Calendar'!$F$2141))</f>
        <v/>
      </c>
      <c r="AS212" s="110">
        <f>IF(FU212="","",IF(ISNUMBER('Dvd Calendar'!$G$2141)=FALSE,"",'Dvd Calendar'!$G$2141))</f>
        <v/>
      </c>
      <c r="AT212" s="110">
        <f>IF(FV212="","",IF(ISNUMBER('Dvd Calendar'!$H$2141)=FALSE,"",'Dvd Calendar'!$H$2141))</f>
        <v/>
      </c>
      <c r="AU212" s="110">
        <f>IF(FW212="","",IF(ISNUMBER('Dvd Calendar'!$I$2141)=FALSE,"",'Dvd Calendar'!$I$2141))</f>
        <v/>
      </c>
      <c r="AV212" s="110">
        <f>IF(FX212="","",IF(ISNUMBER('Dvd Calendar'!$J$2141)=FALSE,"",'Dvd Calendar'!$J$2141))</f>
        <v/>
      </c>
      <c r="AW212" s="110">
        <f>IF(FY212="","",IF(ISNUMBER('Dvd Calendar'!$K$2141)=FALSE,"",'Dvd Calendar'!$K$2141))</f>
        <v/>
      </c>
      <c r="AX212" s="110">
        <f>IF(FZ212="","",IF(ISNUMBER('Dvd Calendar'!$L$2141)=FALSE,"",'Dvd Calendar'!$L$2141))</f>
        <v/>
      </c>
      <c r="AY212" s="110">
        <f>IF(GA212="","",IF(ISNUMBER('Dvd Calendar'!$M$2141)=FALSE,"",'Dvd Calendar'!$M$2141))</f>
        <v/>
      </c>
      <c r="AZ212" s="110">
        <f>IF(GB212="","",IF(ISNUMBER('Dvd Calendar'!$N$2141)=FALSE,"",'Dvd Calendar'!$N$2141))</f>
        <v/>
      </c>
      <c r="BA212" s="110">
        <f>IF(GC212="","",IF(ISNUMBER('Dvd Calendar'!$O$2141)=FALSE,"",'Dvd Calendar'!$O$2141))</f>
        <v/>
      </c>
      <c r="BB212" s="110">
        <f>IF(GD212="","",IF(ISNUMBER('Dvd Calendar'!$P$2141)=FALSE,"",'Dvd Calendar'!$P$2141))</f>
        <v/>
      </c>
      <c r="BC212" s="110">
        <f>IF(GE212="","",IF(ISNUMBER('Dvd Calendar'!$Q$2141)=FALSE,"",'Dvd Calendar'!$Q$2141))</f>
        <v/>
      </c>
      <c r="BD212" s="110">
        <f>IF(GF212="","",IF(ISNUMBER('Dvd Calendar'!$R$2141)=FALSE,"",'Dvd Calendar'!$R$2141))</f>
        <v/>
      </c>
      <c r="BE212" s="110">
        <f>IF(GG212="","",IF(ISNUMBER('Dvd Calendar'!$S$2141)=FALSE,"",'Dvd Calendar'!$S$2141))</f>
        <v/>
      </c>
      <c r="BF212" s="110">
        <f>IF(GH212="","",IF(ISNUMBER('Dvd Calendar'!$T$2141)=FALSE,"",'Dvd Calendar'!$T$2141))</f>
        <v/>
      </c>
      <c r="BG212" s="110">
        <f>IF(GI212="","",IF(ISNUMBER('Dvd Calendar'!$U$2141)=FALSE,"",'Dvd Calendar'!$U$2141))</f>
        <v/>
      </c>
      <c r="BH212" s="110">
        <f>IF(GJ212="","",IF(ISNUMBER('Dvd Calendar'!$V$2141)=FALSE,"",'Dvd Calendar'!$V$2141))</f>
        <v/>
      </c>
      <c r="BI212" s="110">
        <f>IF(GK212="","",IF(ISNUMBER('Dvd Calendar'!$W$2141)=FALSE,"",'Dvd Calendar'!$W$2141))</f>
        <v/>
      </c>
      <c r="BJ212" s="110">
        <f>IF(GL212="","",IF(ISNUMBER('Dvd Calendar'!$X$2141)=FALSE,"",'Dvd Calendar'!$X$2141))</f>
        <v/>
      </c>
      <c r="BK212" s="110">
        <f>IF(GM212="","",IF(ISNUMBER('Dvd Calendar'!$Y$2141)=FALSE,"",'Dvd Calendar'!$Y$2141))</f>
        <v/>
      </c>
      <c r="BL212" s="110">
        <f>IF(GN212="","",IF(ISNUMBER('Dvd Calendar'!$Z$2141)=FALSE,"",'Dvd Calendar'!$Z$2141))</f>
        <v/>
      </c>
      <c r="BM212" s="110">
        <f>IF(GO212="","",IF(ISNUMBER('Dvd Calendar'!$AA$2141)=FALSE,"",'Dvd Calendar'!$AA$2141))</f>
        <v/>
      </c>
      <c r="BN212" s="110">
        <f>IF(GP212="","",IF(ISNUMBER('Dvd Calendar'!$AB$2141)=FALSE,"",'Dvd Calendar'!$AB$2141))</f>
        <v/>
      </c>
      <c r="BO212" s="110">
        <f>IF(GQ212="","",IF(ISNUMBER('Dvd Calendar'!$AC$2141)=FALSE,"",'Dvd Calendar'!$AC$2141))</f>
        <v/>
      </c>
      <c r="BQ212" s="110">
        <f>IF(C212="","",IFERROR(C212*HSCEI!$B$59*HSCEI!$G$59/HSCEI!$B$3,""))</f>
        <v/>
      </c>
      <c r="BR212" s="110">
        <f>IF(D212="","",IFERROR(D212*HSCEI!$B$59*HSCEI!$G$59/HSCEI!$B$3,""))</f>
        <v/>
      </c>
      <c r="BS212" s="110">
        <f>IF(E212="","",IFERROR(E212*HSCEI!$B$59*HSCEI!$G$59/HSCEI!$B$3,""))</f>
        <v/>
      </c>
      <c r="BT212" s="110">
        <f>IF(F212="","",IFERROR(F212*HSCEI!$B$59*HSCEI!$G$59/HSCEI!$B$3,""))</f>
        <v/>
      </c>
      <c r="BU212" s="110">
        <f>IF(G212="","",IFERROR(G212*HSCEI!$B$59*HSCEI!$G$59/HSCEI!$B$3,""))</f>
        <v/>
      </c>
      <c r="BV212" s="110">
        <f>IF(H212="","",IFERROR(H212*HSCEI!$B$59*HSCEI!$G$59/HSCEI!$B$3,""))</f>
        <v/>
      </c>
      <c r="BW212" s="110">
        <f>IF(I212="","",IFERROR(I212*HSCEI!$B$59*HSCEI!$G$59/HSCEI!$B$3,""))</f>
        <v/>
      </c>
      <c r="BX212" s="110">
        <f>IF(J212="","",IFERROR(J212*HSCEI!$B$59*HSCEI!$G$59/HSCEI!$B$3,""))</f>
        <v/>
      </c>
      <c r="BY212" s="110">
        <f>IF(K212="","",IFERROR(K212*HSCEI!$B$59*HSCEI!$G$59/HSCEI!$B$3,""))</f>
        <v/>
      </c>
      <c r="BZ212" s="110">
        <f>IF(L212="","",IFERROR(L212*HSCEI!$B$59*HSCEI!$G$59/HSCEI!$B$3,""))</f>
        <v/>
      </c>
      <c r="CA212" s="110">
        <f>IF(M212="","",IFERROR(M212*HSCEI!$B$59*HSCEI!$G$59/HSCEI!$B$3,""))</f>
        <v/>
      </c>
      <c r="CB212" s="110">
        <f>IF(N212="","",IFERROR(N212*HSCEI!$B$59*HSCEI!$G$59/HSCEI!$B$3,""))</f>
        <v/>
      </c>
      <c r="CC212" s="110">
        <f>IF(O212="","",IFERROR(O212*HSCEI!$B$59*HSCEI!$G$59/HSCEI!$B$3,""))</f>
        <v/>
      </c>
      <c r="CD212" s="110">
        <f>IF(P212="","",IFERROR(P212*HSCEI!$B$59*HSCEI!$G$59/HSCEI!$B$3,""))</f>
        <v/>
      </c>
      <c r="CE212" s="110">
        <f>IF(Q212="","",IFERROR(Q212*HSCEI!$B$59*HSCEI!$G$59/HSCEI!$B$3,""))</f>
        <v/>
      </c>
      <c r="CF212" s="110">
        <f>IF(R212="","",IFERROR(R212*HSCEI!$B$59*HSCEI!$G$59/HSCEI!$B$3,""))</f>
        <v/>
      </c>
      <c r="CG212" s="110">
        <f>IF(S212="","",IFERROR(S212*HSCEI!$B$59*HSCEI!$G$59/HSCEI!$B$3,""))</f>
        <v/>
      </c>
      <c r="CH212" s="110">
        <f>IF(T212="","",IFERROR(T212*HSCEI!$B$59*HSCEI!$G$59/HSCEI!$B$3,""))</f>
        <v/>
      </c>
      <c r="CI212" s="110">
        <f>IF(U212="","",IFERROR(U212*HSCEI!$B$59*HSCEI!$G$59/HSCEI!$B$3,""))</f>
        <v/>
      </c>
      <c r="CJ212" s="110">
        <f>IF(V212="","",IFERROR(V212*HSCEI!$B$59*HSCEI!$G$59/HSCEI!$B$3,""))</f>
        <v/>
      </c>
      <c r="CK212" s="110">
        <f>IF(W212="","",IFERROR(W212*HSCEI!$B$59*HSCEI!$G$59/HSCEI!$B$3,""))</f>
        <v/>
      </c>
      <c r="CL212" s="110">
        <f>IF(X212="","",IFERROR(X212*HSCEI!$B$59*HSCEI!$G$59/HSCEI!$B$3,""))</f>
        <v/>
      </c>
      <c r="CM212" s="110">
        <f>IF(Y212="","",IFERROR(Y212*HSCEI!$B$59*HSCEI!$G$59/HSCEI!$B$3,""))</f>
        <v/>
      </c>
      <c r="CN212" s="110">
        <f>IF(Z212="","",IFERROR(Z212*HSCEI!$B$59*HSCEI!$G$59/HSCEI!$B$3,""))</f>
        <v/>
      </c>
      <c r="CO212" s="110">
        <f>IF(AA212="","",IFERROR(AA212*HSCEI!$B$59*HSCEI!$G$59/HSCEI!$B$3,""))</f>
        <v/>
      </c>
      <c r="CP212" s="110">
        <f>IF(AB212="","",IFERROR(AB212*HSCEI!$B$59*HSCEI!$G$59/HSCEI!$B$3,""))</f>
        <v/>
      </c>
      <c r="CQ212" s="110">
        <f>IF(AC212="","",IFERROR(AC212*HSCEI!$B$59*HSCEI!$G$59/HSCEI!$B$3,""))</f>
        <v/>
      </c>
      <c r="CR212" s="110">
        <f>IF(AD212="","",IFERROR(AD212*HSCEI!$B$59*HSCEI!$G$59/HSCEI!$B$3,""))</f>
        <v/>
      </c>
      <c r="CS212" s="110">
        <f>IF(AE212="","",IFERROR(AE212*HSCEI!$B$59*HSCEI!$G$59/HSCEI!$B$3,""))</f>
        <v/>
      </c>
      <c r="CT212" s="110">
        <f>IF(AF212="","",IFERROR(AF212*HSCEI!$B$59*HSCEI!$G$59/HSCEI!$B$3,""))</f>
        <v/>
      </c>
      <c r="CU212" s="110">
        <f>IF(AG212="","",IFERROR(AG212*HSCEI!$B$59*HSCEI!$G$59/HSCEI!$B$3,""))</f>
        <v/>
      </c>
      <c r="CV212" s="110">
        <f>IF(AH212="","",IFERROR(AH212*HSCEI!$B$59*HSCEI!$G$59/HSCEI!$B$3,""))</f>
        <v/>
      </c>
      <c r="CW212" s="110">
        <f>IF(AI212="","",IFERROR(AI212*HSCEI!$B$59*HSCEI!$G$59/HSCEI!$B$3,""))</f>
        <v/>
      </c>
      <c r="CX212" s="110">
        <f>IF(AJ212="","",IFERROR(AJ212*HSCEI!$B$59*HSCEI!$G$59/HSCEI!$B$3,""))</f>
        <v/>
      </c>
      <c r="CY212" s="110">
        <f>IF(AK212="","",IFERROR(AK212*HSCEI!$B$59*HSCEI!$G$59/HSCEI!$B$3,""))</f>
        <v/>
      </c>
      <c r="CZ212" s="110">
        <f>IF(AL212="","",IFERROR(AL212*HSCEI!$B$59*HSCEI!$G$59/HSCEI!$B$3,""))</f>
        <v/>
      </c>
      <c r="DA212" s="110">
        <f>IF(AM212="","",IFERROR(AM212*HSCEI!$B$59*HSCEI!$G$59/HSCEI!$B$3,""))</f>
        <v/>
      </c>
      <c r="DB212" s="110">
        <f>IF(AN212="","",IFERROR(AN212*HSCEI!$B$59*HSCEI!$G$59/HSCEI!$B$3,""))</f>
        <v/>
      </c>
      <c r="DC212" s="110">
        <f>IF(AO212="","",IFERROR(AO212*HSCEI!$B$59*HSCEI!$G$59/HSCEI!$B$3,""))</f>
        <v/>
      </c>
      <c r="DD212" s="110">
        <f>IF(AP212="","",IFERROR(AP212*HSCEI!$B$59*HSCEI!$G$59/HSCEI!$B$3,""))</f>
        <v/>
      </c>
      <c r="DE212" s="110">
        <f>IF(AQ212="","",IFERROR(AQ212*HSCEI!$B$59*HSCEI!$G$59/HSCEI!$B$3,""))</f>
        <v/>
      </c>
      <c r="DF212" s="110">
        <f>IF(AR212="","",IFERROR(AR212*HSCEI!$B$59*HSCEI!$G$59/HSCEI!$B$3,""))</f>
        <v/>
      </c>
      <c r="DG212" s="110">
        <f>IF(AS212="","",IFERROR(AS212*HSCEI!$B$59*HSCEI!$G$59/HSCEI!$B$3,""))</f>
        <v/>
      </c>
      <c r="DH212" s="110">
        <f>IF(AT212="","",IFERROR(AT212*HSCEI!$B$59*HSCEI!$G$59/HSCEI!$B$3,""))</f>
        <v/>
      </c>
      <c r="DI212" s="110">
        <f>IF(AU212="","",IFERROR(AU212*HSCEI!$B$59*HSCEI!$G$59/HSCEI!$B$3,""))</f>
        <v/>
      </c>
      <c r="DJ212" s="110">
        <f>IF(AV212="","",IFERROR(AV212*HSCEI!$B$59*HSCEI!$G$59/HSCEI!$B$3,""))</f>
        <v/>
      </c>
      <c r="DK212" s="110">
        <f>IF(AW212="","",IFERROR(AW212*HSCEI!$B$59*HSCEI!$G$59/HSCEI!$B$3,""))</f>
        <v/>
      </c>
      <c r="DL212" s="110">
        <f>IF(AX212="","",IFERROR(AX212*HSCEI!$B$59*HSCEI!$G$59/HSCEI!$B$3,""))</f>
        <v/>
      </c>
      <c r="DM212" s="110">
        <f>IF(AY212="","",IFERROR(AY212*HSCEI!$B$59*HSCEI!$G$59/HSCEI!$B$3,""))</f>
        <v/>
      </c>
      <c r="DN212" s="110">
        <f>IF(AZ212="","",IFERROR(AZ212*HSCEI!$B$59*HSCEI!$G$59/HSCEI!$B$3,""))</f>
        <v/>
      </c>
      <c r="DO212" s="110">
        <f>IF(BA212="","",IFERROR(BA212*HSCEI!$B$59*HSCEI!$G$59/HSCEI!$B$3,""))</f>
        <v/>
      </c>
      <c r="DP212" s="110">
        <f>IF(BB212="","",IFERROR(BB212*HSCEI!$B$59*HSCEI!$G$59/HSCEI!$B$3,""))</f>
        <v/>
      </c>
      <c r="DQ212" s="110">
        <f>IF(BC212="","",IFERROR(BC212*HSCEI!$B$59*HSCEI!$G$59/HSCEI!$B$3,""))</f>
        <v/>
      </c>
      <c r="DR212" s="110">
        <f>IF(BD212="","",IFERROR(BD212*HSCEI!$B$59*HSCEI!$G$59/HSCEI!$B$3,""))</f>
        <v/>
      </c>
      <c r="DS212" s="110">
        <f>IF(BE212="","",IFERROR(BE212*HSCEI!$B$59*HSCEI!$G$59/HSCEI!$B$3,""))</f>
        <v/>
      </c>
      <c r="DT212" s="110">
        <f>IF(BF212="","",IFERROR(BF212*HSCEI!$B$59*HSCEI!$G$59/HSCEI!$B$3,""))</f>
        <v/>
      </c>
      <c r="DU212" s="110">
        <f>IF(BG212="","",IFERROR(BG212*HSCEI!$B$59*HSCEI!$G$59/HSCEI!$B$3,""))</f>
        <v/>
      </c>
      <c r="DV212" s="110">
        <f>IF(BH212="","",IFERROR(BH212*HSCEI!$B$59*HSCEI!$G$59/HSCEI!$B$3,""))</f>
        <v/>
      </c>
      <c r="DW212" s="110">
        <f>IF(BI212="","",IFERROR(BI212*HSCEI!$B$59*HSCEI!$G$59/HSCEI!$B$3,""))</f>
        <v/>
      </c>
      <c r="DX212" s="110">
        <f>IF(BJ212="","",IFERROR(BJ212*HSCEI!$B$59*HSCEI!$G$59/HSCEI!$B$3,""))</f>
        <v/>
      </c>
      <c r="DY212" s="110">
        <f>IF(BK212="","",IFERROR(BK212*HSCEI!$B$59*HSCEI!$G$59/HSCEI!$B$3,""))</f>
        <v/>
      </c>
      <c r="DZ212" s="110">
        <f>IF(BL212="","",IFERROR(BL212*HSCEI!$B$59*HSCEI!$G$59/HSCEI!$B$3,""))</f>
        <v/>
      </c>
      <c r="EA212" s="110">
        <f>IF(BM212="","",IFERROR(BM212*HSCEI!$B$59*HSCEI!$G$59/HSCEI!$B$3,""))</f>
        <v/>
      </c>
      <c r="EB212" s="110">
        <f>IF(BN212="","",IFERROR(BN212*HSCEI!$B$59*HSCEI!$G$59/HSCEI!$B$3,""))</f>
        <v/>
      </c>
      <c r="EC212" s="110">
        <f>IF(BO212="","",IFERROR(BO212*HSCEI!$B$59*HSCEI!$G$59/HSCEI!$B$3,""))</f>
        <v/>
      </c>
      <c r="EE212" s="39">
        <f>IF(N('Dvd Calendar'!$E$2133)=0,"",IF(('Dvd Calendar'!$E$2133&gt;=GRID_FROM)*('Dvd Calendar'!$E$2133&lt;=GRID_TO)*((('Dvd Calendar'!$E$2133&lt;=VAL_DATE)+(COUNTIF('Dvd Calendar'!$E$2140:$AR$2140,'Dvd Calendar'!$E$2133)=0))&gt;0)=0,"",'Dvd Calendar'!$E$2133*1000000000+ISNUMBER('Dvd Calendar'!$E$2136)*100000000+('Dvd Calendar'!$E$2138=SPECIAL_LBL)*10000000+(N('Dvd Calendar'!$E$2132)&gt;0)*(N('Dvd Calendar'!$E$2132)&lt;=VAL_SERIAL)*1000000+53*1000+1))</f>
        <v/>
      </c>
      <c r="EF212" s="39">
        <f>IF(N('Dvd Calendar'!$F$2133)=0,"",IF(('Dvd Calendar'!$F$2133&gt;=GRID_FROM)*('Dvd Calendar'!$F$2133&lt;=GRID_TO)*((('Dvd Calendar'!$F$2133&lt;=VAL_DATE)+(COUNTIF('Dvd Calendar'!$E$2140:$AR$2140,'Dvd Calendar'!$F$2133)=0))&gt;0)=0,"",'Dvd Calendar'!$F$2133*1000000000+ISNUMBER('Dvd Calendar'!$F$2136)*100000000+('Dvd Calendar'!$F$2138=SPECIAL_LBL)*10000000+(N('Dvd Calendar'!$F$2132)&gt;0)*(N('Dvd Calendar'!$F$2132)&lt;=VAL_SERIAL)*1000000+53*1000+2))</f>
        <v/>
      </c>
      <c r="EG212" s="39">
        <f>IF(N('Dvd Calendar'!$G$2133)=0,"",IF(('Dvd Calendar'!$G$2133&gt;=GRID_FROM)*('Dvd Calendar'!$G$2133&lt;=GRID_TO)*((('Dvd Calendar'!$G$2133&lt;=VAL_DATE)+(COUNTIF('Dvd Calendar'!$E$2140:$AR$2140,'Dvd Calendar'!$G$2133)=0))&gt;0)=0,"",'Dvd Calendar'!$G$2133*1000000000+ISNUMBER('Dvd Calendar'!$G$2136)*100000000+('Dvd Calendar'!$G$2138=SPECIAL_LBL)*10000000+(N('Dvd Calendar'!$G$2132)&gt;0)*(N('Dvd Calendar'!$G$2132)&lt;=VAL_SERIAL)*1000000+53*1000+3))</f>
        <v/>
      </c>
      <c r="EH212" s="39">
        <f>IF(N('Dvd Calendar'!$H$2133)=0,"",IF(('Dvd Calendar'!$H$2133&gt;=GRID_FROM)*('Dvd Calendar'!$H$2133&lt;=GRID_TO)*((('Dvd Calendar'!$H$2133&lt;=VAL_DATE)+(COUNTIF('Dvd Calendar'!$E$2140:$AR$2140,'Dvd Calendar'!$H$2133)=0))&gt;0)=0,"",'Dvd Calendar'!$H$2133*1000000000+ISNUMBER('Dvd Calendar'!$H$2136)*100000000+('Dvd Calendar'!$H$2138=SPECIAL_LBL)*10000000+(N('Dvd Calendar'!$H$2132)&gt;0)*(N('Dvd Calendar'!$H$2132)&lt;=VAL_SERIAL)*1000000+53*1000+4))</f>
        <v/>
      </c>
      <c r="EI212" s="39">
        <f>IF(N('Dvd Calendar'!$I$2133)=0,"",IF(('Dvd Calendar'!$I$2133&gt;=GRID_FROM)*('Dvd Calendar'!$I$2133&lt;=GRID_TO)*((('Dvd Calendar'!$I$2133&lt;=VAL_DATE)+(COUNTIF('Dvd Calendar'!$E$2140:$AR$2140,'Dvd Calendar'!$I$2133)=0))&gt;0)=0,"",'Dvd Calendar'!$I$2133*1000000000+ISNUMBER('Dvd Calendar'!$I$2136)*100000000+('Dvd Calendar'!$I$2138=SPECIAL_LBL)*10000000+(N('Dvd Calendar'!$I$2132)&gt;0)*(N('Dvd Calendar'!$I$2132)&lt;=VAL_SERIAL)*1000000+53*1000+5))</f>
        <v/>
      </c>
      <c r="EJ212" s="39">
        <f>IF(N('Dvd Calendar'!$J$2133)=0,"",IF(('Dvd Calendar'!$J$2133&gt;=GRID_FROM)*('Dvd Calendar'!$J$2133&lt;=GRID_TO)*((('Dvd Calendar'!$J$2133&lt;=VAL_DATE)+(COUNTIF('Dvd Calendar'!$E$2140:$AR$2140,'Dvd Calendar'!$J$2133)=0))&gt;0)=0,"",'Dvd Calendar'!$J$2133*1000000000+ISNUMBER('Dvd Calendar'!$J$2136)*100000000+('Dvd Calendar'!$J$2138=SPECIAL_LBL)*10000000+(N('Dvd Calendar'!$J$2132)&gt;0)*(N('Dvd Calendar'!$J$2132)&lt;=VAL_SERIAL)*1000000+53*1000+6))</f>
        <v/>
      </c>
      <c r="EK212" s="39">
        <f>IF(N('Dvd Calendar'!$K$2133)=0,"",IF(('Dvd Calendar'!$K$2133&gt;=GRID_FROM)*('Dvd Calendar'!$K$2133&lt;=GRID_TO)*((('Dvd Calendar'!$K$2133&lt;=VAL_DATE)+(COUNTIF('Dvd Calendar'!$E$2140:$AR$2140,'Dvd Calendar'!$K$2133)=0))&gt;0)=0,"",'Dvd Calendar'!$K$2133*1000000000+ISNUMBER('Dvd Calendar'!$K$2136)*100000000+('Dvd Calendar'!$K$2138=SPECIAL_LBL)*10000000+(N('Dvd Calendar'!$K$2132)&gt;0)*(N('Dvd Calendar'!$K$2132)&lt;=VAL_SERIAL)*1000000+53*1000+7))</f>
        <v/>
      </c>
      <c r="EL212" s="39">
        <f>IF(N('Dvd Calendar'!$L$2133)=0,"",IF(('Dvd Calendar'!$L$2133&gt;=GRID_FROM)*('Dvd Calendar'!$L$2133&lt;=GRID_TO)*((('Dvd Calendar'!$L$2133&lt;=VAL_DATE)+(COUNTIF('Dvd Calendar'!$E$2140:$AR$2140,'Dvd Calendar'!$L$2133)=0))&gt;0)=0,"",'Dvd Calendar'!$L$2133*1000000000+ISNUMBER('Dvd Calendar'!$L$2136)*100000000+('Dvd Calendar'!$L$2138=SPECIAL_LBL)*10000000+(N('Dvd Calendar'!$L$2132)&gt;0)*(N('Dvd Calendar'!$L$2132)&lt;=VAL_SERIAL)*1000000+53*1000+8))</f>
        <v/>
      </c>
      <c r="EM212" s="39">
        <f>IF(N('Dvd Calendar'!$M$2133)=0,"",IF(('Dvd Calendar'!$M$2133&gt;=GRID_FROM)*('Dvd Calendar'!$M$2133&lt;=GRID_TO)*((('Dvd Calendar'!$M$2133&lt;=VAL_DATE)+(COUNTIF('Dvd Calendar'!$E$2140:$AR$2140,'Dvd Calendar'!$M$2133)=0))&gt;0)=0,"",'Dvd Calendar'!$M$2133*1000000000+ISNUMBER('Dvd Calendar'!$M$2136)*100000000+('Dvd Calendar'!$M$2138=SPECIAL_LBL)*10000000+(N('Dvd Calendar'!$M$2132)&gt;0)*(N('Dvd Calendar'!$M$2132)&lt;=VAL_SERIAL)*1000000+53*1000+9))</f>
        <v/>
      </c>
      <c r="EN212" s="39">
        <f>IF(N('Dvd Calendar'!$N$2133)=0,"",IF(('Dvd Calendar'!$N$2133&gt;=GRID_FROM)*('Dvd Calendar'!$N$2133&lt;=GRID_TO)*((('Dvd Calendar'!$N$2133&lt;=VAL_DATE)+(COUNTIF('Dvd Calendar'!$E$2140:$AR$2140,'Dvd Calendar'!$N$2133)=0))&gt;0)=0,"",'Dvd Calendar'!$N$2133*1000000000+ISNUMBER('Dvd Calendar'!$N$2136)*100000000+('Dvd Calendar'!$N$2138=SPECIAL_LBL)*10000000+(N('Dvd Calendar'!$N$2132)&gt;0)*(N('Dvd Calendar'!$N$2132)&lt;=VAL_SERIAL)*1000000+53*1000+10))</f>
        <v/>
      </c>
      <c r="EO212" s="39">
        <f>IF(N('Dvd Calendar'!$O$2133)=0,"",IF(('Dvd Calendar'!$O$2133&gt;=GRID_FROM)*('Dvd Calendar'!$O$2133&lt;=GRID_TO)*((('Dvd Calendar'!$O$2133&lt;=VAL_DATE)+(COUNTIF('Dvd Calendar'!$E$2140:$AR$2140,'Dvd Calendar'!$O$2133)=0))&gt;0)=0,"",'Dvd Calendar'!$O$2133*1000000000+ISNUMBER('Dvd Calendar'!$O$2136)*100000000+('Dvd Calendar'!$O$2138=SPECIAL_LBL)*10000000+(N('Dvd Calendar'!$O$2132)&gt;0)*(N('Dvd Calendar'!$O$2132)&lt;=VAL_SERIAL)*1000000+53*1000+11))</f>
        <v/>
      </c>
      <c r="EP212" s="39">
        <f>IF(N('Dvd Calendar'!$P$2133)=0,"",IF(('Dvd Calendar'!$P$2133&gt;=GRID_FROM)*('Dvd Calendar'!$P$2133&lt;=GRID_TO)*((('Dvd Calendar'!$P$2133&lt;=VAL_DATE)+(COUNTIF('Dvd Calendar'!$E$2140:$AR$2140,'Dvd Calendar'!$P$2133)=0))&gt;0)=0,"",'Dvd Calendar'!$P$2133*1000000000+ISNUMBER('Dvd Calendar'!$P$2136)*100000000+('Dvd Calendar'!$P$2138=SPECIAL_LBL)*10000000+(N('Dvd Calendar'!$P$2132)&gt;0)*(N('Dvd Calendar'!$P$2132)&lt;=VAL_SERIAL)*1000000+53*1000+12))</f>
        <v/>
      </c>
      <c r="EQ212" s="39">
        <f>IF(N('Dvd Calendar'!$Q$2133)=0,"",IF(('Dvd Calendar'!$Q$2133&gt;=GRID_FROM)*('Dvd Calendar'!$Q$2133&lt;=GRID_TO)*((('Dvd Calendar'!$Q$2133&lt;=VAL_DATE)+(COUNTIF('Dvd Calendar'!$E$2140:$AR$2140,'Dvd Calendar'!$Q$2133)=0))&gt;0)=0,"",'Dvd Calendar'!$Q$2133*1000000000+ISNUMBER('Dvd Calendar'!$Q$2136)*100000000+('Dvd Calendar'!$Q$2138=SPECIAL_LBL)*10000000+(N('Dvd Calendar'!$Q$2132)&gt;0)*(N('Dvd Calendar'!$Q$2132)&lt;=VAL_SERIAL)*1000000+53*1000+13))</f>
        <v/>
      </c>
      <c r="ER212" s="39">
        <f>IF(N('Dvd Calendar'!$R$2133)=0,"",IF(('Dvd Calendar'!$R$2133&gt;=GRID_FROM)*('Dvd Calendar'!$R$2133&lt;=GRID_TO)*((('Dvd Calendar'!$R$2133&lt;=VAL_DATE)+(COUNTIF('Dvd Calendar'!$E$2140:$AR$2140,'Dvd Calendar'!$R$2133)=0))&gt;0)=0,"",'Dvd Calendar'!$R$2133*1000000000+ISNUMBER('Dvd Calendar'!$R$2136)*100000000+('Dvd Calendar'!$R$2138=SPECIAL_LBL)*10000000+(N('Dvd Calendar'!$R$2132)&gt;0)*(N('Dvd Calendar'!$R$2132)&lt;=VAL_SERIAL)*1000000+53*1000+14))</f>
        <v/>
      </c>
      <c r="ES212" s="39">
        <f>IF(N('Dvd Calendar'!$S$2133)=0,"",IF(('Dvd Calendar'!$S$2133&gt;=GRID_FROM)*('Dvd Calendar'!$S$2133&lt;=GRID_TO)*((('Dvd Calendar'!$S$2133&lt;=VAL_DATE)+(COUNTIF('Dvd Calendar'!$E$2140:$AR$2140,'Dvd Calendar'!$S$2133)=0))&gt;0)=0,"",'Dvd Calendar'!$S$2133*1000000000+ISNUMBER('Dvd Calendar'!$S$2136)*100000000+('Dvd Calendar'!$S$2138=SPECIAL_LBL)*10000000+(N('Dvd Calendar'!$S$2132)&gt;0)*(N('Dvd Calendar'!$S$2132)&lt;=VAL_SERIAL)*1000000+53*1000+15))</f>
        <v/>
      </c>
      <c r="ET212" s="39">
        <f>IF(N('Dvd Calendar'!$T$2133)=0,"",IF(('Dvd Calendar'!$T$2133&gt;=GRID_FROM)*('Dvd Calendar'!$T$2133&lt;=GRID_TO)*((('Dvd Calendar'!$T$2133&lt;=VAL_DATE)+(COUNTIF('Dvd Calendar'!$E$2140:$AR$2140,'Dvd Calendar'!$T$2133)=0))&gt;0)=0,"",'Dvd Calendar'!$T$2133*1000000000+ISNUMBER('Dvd Calendar'!$T$2136)*100000000+('Dvd Calendar'!$T$2138=SPECIAL_LBL)*10000000+(N('Dvd Calendar'!$T$2132)&gt;0)*(N('Dvd Calendar'!$T$2132)&lt;=VAL_SERIAL)*1000000+53*1000+16))</f>
        <v/>
      </c>
      <c r="EU212" s="39">
        <f>IF(N('Dvd Calendar'!$U$2133)=0,"",IF(('Dvd Calendar'!$U$2133&gt;=GRID_FROM)*('Dvd Calendar'!$U$2133&lt;=GRID_TO)*((('Dvd Calendar'!$U$2133&lt;=VAL_DATE)+(COUNTIF('Dvd Calendar'!$E$2140:$AR$2140,'Dvd Calendar'!$U$2133)=0))&gt;0)=0,"",'Dvd Calendar'!$U$2133*1000000000+ISNUMBER('Dvd Calendar'!$U$2136)*100000000+('Dvd Calendar'!$U$2138=SPECIAL_LBL)*10000000+(N('Dvd Calendar'!$U$2132)&gt;0)*(N('Dvd Calendar'!$U$2132)&lt;=VAL_SERIAL)*1000000+53*1000+17))</f>
        <v/>
      </c>
      <c r="EV212" s="39">
        <f>IF(N('Dvd Calendar'!$V$2133)=0,"",IF(('Dvd Calendar'!$V$2133&gt;=GRID_FROM)*('Dvd Calendar'!$V$2133&lt;=GRID_TO)*((('Dvd Calendar'!$V$2133&lt;=VAL_DATE)+(COUNTIF('Dvd Calendar'!$E$2140:$AR$2140,'Dvd Calendar'!$V$2133)=0))&gt;0)=0,"",'Dvd Calendar'!$V$2133*1000000000+ISNUMBER('Dvd Calendar'!$V$2136)*100000000+('Dvd Calendar'!$V$2138=SPECIAL_LBL)*10000000+(N('Dvd Calendar'!$V$2132)&gt;0)*(N('Dvd Calendar'!$V$2132)&lt;=VAL_SERIAL)*1000000+53*1000+18))</f>
        <v/>
      </c>
      <c r="EW212" s="39">
        <f>IF(N('Dvd Calendar'!$W$2133)=0,"",IF(('Dvd Calendar'!$W$2133&gt;=GRID_FROM)*('Dvd Calendar'!$W$2133&lt;=GRID_TO)*((('Dvd Calendar'!$W$2133&lt;=VAL_DATE)+(COUNTIF('Dvd Calendar'!$E$2140:$AR$2140,'Dvd Calendar'!$W$2133)=0))&gt;0)=0,"",'Dvd Calendar'!$W$2133*1000000000+ISNUMBER('Dvd Calendar'!$W$2136)*100000000+('Dvd Calendar'!$W$2138=SPECIAL_LBL)*10000000+(N('Dvd Calendar'!$W$2132)&gt;0)*(N('Dvd Calendar'!$W$2132)&lt;=VAL_SERIAL)*1000000+53*1000+19))</f>
        <v/>
      </c>
      <c r="EX212" s="39">
        <f>IF(N('Dvd Calendar'!$X$2133)=0,"",IF(('Dvd Calendar'!$X$2133&gt;=GRID_FROM)*('Dvd Calendar'!$X$2133&lt;=GRID_TO)*((('Dvd Calendar'!$X$2133&lt;=VAL_DATE)+(COUNTIF('Dvd Calendar'!$E$2140:$AR$2140,'Dvd Calendar'!$X$2133)=0))&gt;0)=0,"",'Dvd Calendar'!$X$2133*1000000000+ISNUMBER('Dvd Calendar'!$X$2136)*100000000+('Dvd Calendar'!$X$2138=SPECIAL_LBL)*10000000+(N('Dvd Calendar'!$X$2132)&gt;0)*(N('Dvd Calendar'!$X$2132)&lt;=VAL_SERIAL)*1000000+53*1000+20))</f>
        <v/>
      </c>
      <c r="EY212" s="39">
        <f>IF(N('Dvd Calendar'!$Y$2133)=0,"",IF(('Dvd Calendar'!$Y$2133&gt;=GRID_FROM)*('Dvd Calendar'!$Y$2133&lt;=GRID_TO)*((('Dvd Calendar'!$Y$2133&lt;=VAL_DATE)+(COUNTIF('Dvd Calendar'!$E$2140:$AR$2140,'Dvd Calendar'!$Y$2133)=0))&gt;0)=0,"",'Dvd Calendar'!$Y$2133*1000000000+ISNUMBER('Dvd Calendar'!$Y$2136)*100000000+('Dvd Calendar'!$Y$2138=SPECIAL_LBL)*10000000+(N('Dvd Calendar'!$Y$2132)&gt;0)*(N('Dvd Calendar'!$Y$2132)&lt;=VAL_SERIAL)*1000000+53*1000+21))</f>
        <v/>
      </c>
      <c r="EZ212" s="39">
        <f>IF(N('Dvd Calendar'!$Z$2133)=0,"",IF(('Dvd Calendar'!$Z$2133&gt;=GRID_FROM)*('Dvd Calendar'!$Z$2133&lt;=GRID_TO)*((('Dvd Calendar'!$Z$2133&lt;=VAL_DATE)+(COUNTIF('Dvd Calendar'!$E$2140:$AR$2140,'Dvd Calendar'!$Z$2133)=0))&gt;0)=0,"",'Dvd Calendar'!$Z$2133*1000000000+ISNUMBER('Dvd Calendar'!$Z$2136)*100000000+('Dvd Calendar'!$Z$2138=SPECIAL_LBL)*10000000+(N('Dvd Calendar'!$Z$2132)&gt;0)*(N('Dvd Calendar'!$Z$2132)&lt;=VAL_SERIAL)*1000000+53*1000+22))</f>
        <v/>
      </c>
      <c r="FA212" s="39">
        <f>IF(N('Dvd Calendar'!$AA$2133)=0,"",IF(('Dvd Calendar'!$AA$2133&gt;=GRID_FROM)*('Dvd Calendar'!$AA$2133&lt;=GRID_TO)*((('Dvd Calendar'!$AA$2133&lt;=VAL_DATE)+(COUNTIF('Dvd Calendar'!$E$2140:$AR$2140,'Dvd Calendar'!$AA$2133)=0))&gt;0)=0,"",'Dvd Calendar'!$AA$2133*1000000000+ISNUMBER('Dvd Calendar'!$AA$2136)*100000000+('Dvd Calendar'!$AA$2138=SPECIAL_LBL)*10000000+(N('Dvd Calendar'!$AA$2132)&gt;0)*(N('Dvd Calendar'!$AA$2132)&lt;=VAL_SERIAL)*1000000+53*1000+23))</f>
        <v/>
      </c>
      <c r="FB212" s="39">
        <f>IF(N('Dvd Calendar'!$AB$2133)=0,"",IF(('Dvd Calendar'!$AB$2133&gt;=GRID_FROM)*('Dvd Calendar'!$AB$2133&lt;=GRID_TO)*((('Dvd Calendar'!$AB$2133&lt;=VAL_DATE)+(COUNTIF('Dvd Calendar'!$E$2140:$AR$2140,'Dvd Calendar'!$AB$2133)=0))&gt;0)=0,"",'Dvd Calendar'!$AB$2133*1000000000+ISNUMBER('Dvd Calendar'!$AB$2136)*100000000+('Dvd Calendar'!$AB$2138=SPECIAL_LBL)*10000000+(N('Dvd Calendar'!$AB$2132)&gt;0)*(N('Dvd Calendar'!$AB$2132)&lt;=VAL_SERIAL)*1000000+53*1000+24))</f>
        <v/>
      </c>
      <c r="FC212" s="39">
        <f>IF(N('Dvd Calendar'!$AC$2133)=0,"",IF(('Dvd Calendar'!$AC$2133&gt;=GRID_FROM)*('Dvd Calendar'!$AC$2133&lt;=GRID_TO)*((('Dvd Calendar'!$AC$2133&lt;=VAL_DATE)+(COUNTIF('Dvd Calendar'!$E$2140:$AR$2140,'Dvd Calendar'!$AC$2133)=0))&gt;0)=0,"",'Dvd Calendar'!$AC$2133*1000000000+ISNUMBER('Dvd Calendar'!$AC$2136)*100000000+('Dvd Calendar'!$AC$2138=SPECIAL_LBL)*10000000+(N('Dvd Calendar'!$AC$2132)&gt;0)*(N('Dvd Calendar'!$AC$2132)&lt;=VAL_SERIAL)*1000000+53*1000+25))</f>
        <v/>
      </c>
      <c r="FD212" s="39">
        <f>IF(N('Dvd Calendar'!$AD$2133)=0,"",IF(('Dvd Calendar'!$AD$2133&gt;=GRID_FROM)*('Dvd Calendar'!$AD$2133&lt;=GRID_TO)*((('Dvd Calendar'!$AD$2133&lt;=VAL_DATE)+(COUNTIF('Dvd Calendar'!$E$2140:$AR$2140,'Dvd Calendar'!$AD$2133)=0))&gt;0)=0,"",'Dvd Calendar'!$AD$2133*1000000000+ISNUMBER('Dvd Calendar'!$AD$2136)*100000000+('Dvd Calendar'!$AD$2138=SPECIAL_LBL)*10000000+(N('Dvd Calendar'!$AD$2132)&gt;0)*(N('Dvd Calendar'!$AD$2132)&lt;=VAL_SERIAL)*1000000+53*1000+26))</f>
        <v/>
      </c>
      <c r="FE212" s="39">
        <f>IF(N('Dvd Calendar'!$AE$2133)=0,"",IF(('Dvd Calendar'!$AE$2133&gt;=GRID_FROM)*('Dvd Calendar'!$AE$2133&lt;=GRID_TO)*((('Dvd Calendar'!$AE$2133&lt;=VAL_DATE)+(COUNTIF('Dvd Calendar'!$E$2140:$AR$2140,'Dvd Calendar'!$AE$2133)=0))&gt;0)=0,"",'Dvd Calendar'!$AE$2133*1000000000+ISNUMBER('Dvd Calendar'!$AE$2136)*100000000+('Dvd Calendar'!$AE$2138=SPECIAL_LBL)*10000000+(N('Dvd Calendar'!$AE$2132)&gt;0)*(N('Dvd Calendar'!$AE$2132)&lt;=VAL_SERIAL)*1000000+53*1000+27))</f>
        <v/>
      </c>
      <c r="FF212" s="39">
        <f>IF(N('Dvd Calendar'!$AF$2133)=0,"",IF(('Dvd Calendar'!$AF$2133&gt;=GRID_FROM)*('Dvd Calendar'!$AF$2133&lt;=GRID_TO)*((('Dvd Calendar'!$AF$2133&lt;=VAL_DATE)+(COUNTIF('Dvd Calendar'!$E$2140:$AR$2140,'Dvd Calendar'!$AF$2133)=0))&gt;0)=0,"",'Dvd Calendar'!$AF$2133*1000000000+ISNUMBER('Dvd Calendar'!$AF$2136)*100000000+('Dvd Calendar'!$AF$2138=SPECIAL_LBL)*10000000+(N('Dvd Calendar'!$AF$2132)&gt;0)*(N('Dvd Calendar'!$AF$2132)&lt;=VAL_SERIAL)*1000000+53*1000+28))</f>
        <v/>
      </c>
      <c r="FG212" s="39">
        <f>IF(N('Dvd Calendar'!$AG$2133)=0,"",IF(('Dvd Calendar'!$AG$2133&gt;=GRID_FROM)*('Dvd Calendar'!$AG$2133&lt;=GRID_TO)*((('Dvd Calendar'!$AG$2133&lt;=VAL_DATE)+(COUNTIF('Dvd Calendar'!$E$2140:$AR$2140,'Dvd Calendar'!$AG$2133)=0))&gt;0)=0,"",'Dvd Calendar'!$AG$2133*1000000000+ISNUMBER('Dvd Calendar'!$AG$2136)*100000000+('Dvd Calendar'!$AG$2138=SPECIAL_LBL)*10000000+(N('Dvd Calendar'!$AG$2132)&gt;0)*(N('Dvd Calendar'!$AG$2132)&lt;=VAL_SERIAL)*1000000+53*1000+29))</f>
        <v/>
      </c>
      <c r="FH212" s="39">
        <f>IF(N('Dvd Calendar'!$AH$2133)=0,"",IF(('Dvd Calendar'!$AH$2133&gt;=GRID_FROM)*('Dvd Calendar'!$AH$2133&lt;=GRID_TO)*((('Dvd Calendar'!$AH$2133&lt;=VAL_DATE)+(COUNTIF('Dvd Calendar'!$E$2140:$AR$2140,'Dvd Calendar'!$AH$2133)=0))&gt;0)=0,"",'Dvd Calendar'!$AH$2133*1000000000+ISNUMBER('Dvd Calendar'!$AH$2136)*100000000+('Dvd Calendar'!$AH$2138=SPECIAL_LBL)*10000000+(N('Dvd Calendar'!$AH$2132)&gt;0)*(N('Dvd Calendar'!$AH$2132)&lt;=VAL_SERIAL)*1000000+53*1000+30))</f>
        <v/>
      </c>
      <c r="FI212" s="39">
        <f>IF(N('Dvd Calendar'!$AI$2133)=0,"",IF(('Dvd Calendar'!$AI$2133&gt;=GRID_FROM)*('Dvd Calendar'!$AI$2133&lt;=GRID_TO)*((('Dvd Calendar'!$AI$2133&lt;=VAL_DATE)+(COUNTIF('Dvd Calendar'!$E$2140:$AR$2140,'Dvd Calendar'!$AI$2133)=0))&gt;0)=0,"",'Dvd Calendar'!$AI$2133*1000000000+ISNUMBER('Dvd Calendar'!$AI$2136)*100000000+('Dvd Calendar'!$AI$2138=SPECIAL_LBL)*10000000+(N('Dvd Calendar'!$AI$2132)&gt;0)*(N('Dvd Calendar'!$AI$2132)&lt;=VAL_SERIAL)*1000000+53*1000+31))</f>
        <v/>
      </c>
      <c r="FJ212" s="39">
        <f>IF(N('Dvd Calendar'!$AJ$2133)=0,"",IF(('Dvd Calendar'!$AJ$2133&gt;=GRID_FROM)*('Dvd Calendar'!$AJ$2133&lt;=GRID_TO)*((('Dvd Calendar'!$AJ$2133&lt;=VAL_DATE)+(COUNTIF('Dvd Calendar'!$E$2140:$AR$2140,'Dvd Calendar'!$AJ$2133)=0))&gt;0)=0,"",'Dvd Calendar'!$AJ$2133*1000000000+ISNUMBER('Dvd Calendar'!$AJ$2136)*100000000+('Dvd Calendar'!$AJ$2138=SPECIAL_LBL)*10000000+(N('Dvd Calendar'!$AJ$2132)&gt;0)*(N('Dvd Calendar'!$AJ$2132)&lt;=VAL_SERIAL)*1000000+53*1000+32))</f>
        <v/>
      </c>
      <c r="FK212" s="39">
        <f>IF(N('Dvd Calendar'!$AK$2133)=0,"",IF(('Dvd Calendar'!$AK$2133&gt;=GRID_FROM)*('Dvd Calendar'!$AK$2133&lt;=GRID_TO)*((('Dvd Calendar'!$AK$2133&lt;=VAL_DATE)+(COUNTIF('Dvd Calendar'!$E$2140:$AR$2140,'Dvd Calendar'!$AK$2133)=0))&gt;0)=0,"",'Dvd Calendar'!$AK$2133*1000000000+ISNUMBER('Dvd Calendar'!$AK$2136)*100000000+('Dvd Calendar'!$AK$2138=SPECIAL_LBL)*10000000+(N('Dvd Calendar'!$AK$2132)&gt;0)*(N('Dvd Calendar'!$AK$2132)&lt;=VAL_SERIAL)*1000000+53*1000+33))</f>
        <v/>
      </c>
      <c r="FL212" s="39">
        <f>IF(N('Dvd Calendar'!$AL$2133)=0,"",IF(('Dvd Calendar'!$AL$2133&gt;=GRID_FROM)*('Dvd Calendar'!$AL$2133&lt;=GRID_TO)*((('Dvd Calendar'!$AL$2133&lt;=VAL_DATE)+(COUNTIF('Dvd Calendar'!$E$2140:$AR$2140,'Dvd Calendar'!$AL$2133)=0))&gt;0)=0,"",'Dvd Calendar'!$AL$2133*1000000000+ISNUMBER('Dvd Calendar'!$AL$2136)*100000000+('Dvd Calendar'!$AL$2138=SPECIAL_LBL)*10000000+(N('Dvd Calendar'!$AL$2132)&gt;0)*(N('Dvd Calendar'!$AL$2132)&lt;=VAL_SERIAL)*1000000+53*1000+34))</f>
        <v/>
      </c>
      <c r="FM212" s="39">
        <f>IF(N('Dvd Calendar'!$AM$2133)=0,"",IF(('Dvd Calendar'!$AM$2133&gt;=GRID_FROM)*('Dvd Calendar'!$AM$2133&lt;=GRID_TO)*((('Dvd Calendar'!$AM$2133&lt;=VAL_DATE)+(COUNTIF('Dvd Calendar'!$E$2140:$AR$2140,'Dvd Calendar'!$AM$2133)=0))&gt;0)=0,"",'Dvd Calendar'!$AM$2133*1000000000+ISNUMBER('Dvd Calendar'!$AM$2136)*100000000+('Dvd Calendar'!$AM$2138=SPECIAL_LBL)*10000000+(N('Dvd Calendar'!$AM$2132)&gt;0)*(N('Dvd Calendar'!$AM$2132)&lt;=VAL_SERIAL)*1000000+53*1000+35))</f>
        <v/>
      </c>
      <c r="FN212" s="39">
        <f>IF(N('Dvd Calendar'!$AN$2133)=0,"",IF(('Dvd Calendar'!$AN$2133&gt;=GRID_FROM)*('Dvd Calendar'!$AN$2133&lt;=GRID_TO)*((('Dvd Calendar'!$AN$2133&lt;=VAL_DATE)+(COUNTIF('Dvd Calendar'!$E$2140:$AR$2140,'Dvd Calendar'!$AN$2133)=0))&gt;0)=0,"",'Dvd Calendar'!$AN$2133*1000000000+ISNUMBER('Dvd Calendar'!$AN$2136)*100000000+('Dvd Calendar'!$AN$2138=SPECIAL_LBL)*10000000+(N('Dvd Calendar'!$AN$2132)&gt;0)*(N('Dvd Calendar'!$AN$2132)&lt;=VAL_SERIAL)*1000000+53*1000+36))</f>
        <v/>
      </c>
      <c r="FO212" s="39">
        <f>IF(N('Dvd Calendar'!$AO$2133)=0,"",IF(('Dvd Calendar'!$AO$2133&gt;=GRID_FROM)*('Dvd Calendar'!$AO$2133&lt;=GRID_TO)*((('Dvd Calendar'!$AO$2133&lt;=VAL_DATE)+(COUNTIF('Dvd Calendar'!$E$2140:$AR$2140,'Dvd Calendar'!$AO$2133)=0))&gt;0)=0,"",'Dvd Calendar'!$AO$2133*1000000000+ISNUMBER('Dvd Calendar'!$AO$2136)*100000000+('Dvd Calendar'!$AO$2138=SPECIAL_LBL)*10000000+(N('Dvd Calendar'!$AO$2132)&gt;0)*(N('Dvd Calendar'!$AO$2132)&lt;=VAL_SERIAL)*1000000+53*1000+37))</f>
        <v/>
      </c>
      <c r="FP212" s="39">
        <f>IF(N('Dvd Calendar'!$AP$2133)=0,"",IF(('Dvd Calendar'!$AP$2133&gt;=GRID_FROM)*('Dvd Calendar'!$AP$2133&lt;=GRID_TO)*((('Dvd Calendar'!$AP$2133&lt;=VAL_DATE)+(COUNTIF('Dvd Calendar'!$E$2140:$AR$2140,'Dvd Calendar'!$AP$2133)=0))&gt;0)=0,"",'Dvd Calendar'!$AP$2133*1000000000+ISNUMBER('Dvd Calendar'!$AP$2136)*100000000+('Dvd Calendar'!$AP$2138=SPECIAL_LBL)*10000000+(N('Dvd Calendar'!$AP$2132)&gt;0)*(N('Dvd Calendar'!$AP$2132)&lt;=VAL_SERIAL)*1000000+53*1000+38))</f>
        <v/>
      </c>
      <c r="FQ212" s="39">
        <f>IF(N('Dvd Calendar'!$AQ$2133)=0,"",IF(('Dvd Calendar'!$AQ$2133&gt;=GRID_FROM)*('Dvd Calendar'!$AQ$2133&lt;=GRID_TO)*((('Dvd Calendar'!$AQ$2133&lt;=VAL_DATE)+(COUNTIF('Dvd Calendar'!$E$2140:$AR$2140,'Dvd Calendar'!$AQ$2133)=0))&gt;0)=0,"",'Dvd Calendar'!$AQ$2133*1000000000+ISNUMBER('Dvd Calendar'!$AQ$2136)*100000000+('Dvd Calendar'!$AQ$2138=SPECIAL_LBL)*10000000+(N('Dvd Calendar'!$AQ$2132)&gt;0)*(N('Dvd Calendar'!$AQ$2132)&lt;=VAL_SERIAL)*1000000+53*1000+39))</f>
        <v/>
      </c>
      <c r="FR212" s="39">
        <f>IF(N('Dvd Calendar'!$AR$2133)=0,"",IF(('Dvd Calendar'!$AR$2133&gt;=GRID_FROM)*('Dvd Calendar'!$AR$2133&lt;=GRID_TO)*((('Dvd Calendar'!$AR$2133&lt;=VAL_DATE)+(COUNTIF('Dvd Calendar'!$E$2140:$AR$2140,'Dvd Calendar'!$AR$2133)=0))&gt;0)=0,"",'Dvd Calendar'!$AR$2133*1000000000+ISNUMBER('Dvd Calendar'!$AR$2136)*100000000+('Dvd Calendar'!$AR$2138=SPECIAL_LBL)*10000000+(N('Dvd Calendar'!$AR$2132)&gt;0)*(N('Dvd Calendar'!$AR$2132)&lt;=VAL_SERIAL)*1000000+53*1000+40))</f>
        <v/>
      </c>
      <c r="FS212" s="39">
        <f>IF(N('Dvd Calendar'!$E$2140)=0,"",IF(('Dvd Calendar'!$E$2140&gt;=GRID_FROM)*('Dvd Calendar'!$E$2140&lt;=GRID_TO)*('Dvd Calendar'!$E$2140&gt;VAL_DATE)=0,"",'Dvd Calendar'!$E$2140*1000000000+ISNUMBER('Dvd Calendar'!$E$2141)*100000000+0*10000000+(N('Dvd Calendar'!$E$2139)&gt;0)*(N('Dvd Calendar'!$E$2139)&lt;=VAL_SERIAL)*1000000+53*1000+41))</f>
        <v/>
      </c>
      <c r="FT212" s="39">
        <f>IF(N('Dvd Calendar'!$F$2140)=0,"",IF(('Dvd Calendar'!$F$2140&gt;=GRID_FROM)*('Dvd Calendar'!$F$2140&lt;=GRID_TO)*('Dvd Calendar'!$F$2140&gt;VAL_DATE)=0,"",'Dvd Calendar'!$F$2140*1000000000+ISNUMBER('Dvd Calendar'!$F$2141)*100000000+0*10000000+(N('Dvd Calendar'!$F$2139)&gt;0)*(N('Dvd Calendar'!$F$2139)&lt;=VAL_SERIAL)*1000000+53*1000+42))</f>
        <v/>
      </c>
      <c r="FU212" s="39">
        <f>IF(N('Dvd Calendar'!$G$2140)=0,"",IF(('Dvd Calendar'!$G$2140&gt;=GRID_FROM)*('Dvd Calendar'!$G$2140&lt;=GRID_TO)*('Dvd Calendar'!$G$2140&gt;VAL_DATE)=0,"",'Dvd Calendar'!$G$2140*1000000000+ISNUMBER('Dvd Calendar'!$G$2141)*100000000+0*10000000+(N('Dvd Calendar'!$G$2139)&gt;0)*(N('Dvd Calendar'!$G$2139)&lt;=VAL_SERIAL)*1000000+53*1000+43))</f>
        <v/>
      </c>
      <c r="FV212" s="39">
        <f>IF(N('Dvd Calendar'!$H$2140)=0,"",IF(('Dvd Calendar'!$H$2140&gt;=GRID_FROM)*('Dvd Calendar'!$H$2140&lt;=GRID_TO)*('Dvd Calendar'!$H$2140&gt;VAL_DATE)=0,"",'Dvd Calendar'!$H$2140*1000000000+ISNUMBER('Dvd Calendar'!$H$2141)*100000000+0*10000000+(N('Dvd Calendar'!$H$2139)&gt;0)*(N('Dvd Calendar'!$H$2139)&lt;=VAL_SERIAL)*1000000+53*1000+44))</f>
        <v/>
      </c>
      <c r="FW212" s="39">
        <f>IF(N('Dvd Calendar'!$I$2140)=0,"",IF(('Dvd Calendar'!$I$2140&gt;=GRID_FROM)*('Dvd Calendar'!$I$2140&lt;=GRID_TO)*('Dvd Calendar'!$I$2140&gt;VAL_DATE)=0,"",'Dvd Calendar'!$I$2140*1000000000+ISNUMBER('Dvd Calendar'!$I$2141)*100000000+0*10000000+(N('Dvd Calendar'!$I$2139)&gt;0)*(N('Dvd Calendar'!$I$2139)&lt;=VAL_SERIAL)*1000000+53*1000+45))</f>
        <v/>
      </c>
      <c r="FX212" s="39">
        <f>IF(N('Dvd Calendar'!$J$2140)=0,"",IF(('Dvd Calendar'!$J$2140&gt;=GRID_FROM)*('Dvd Calendar'!$J$2140&lt;=GRID_TO)*('Dvd Calendar'!$J$2140&gt;VAL_DATE)=0,"",'Dvd Calendar'!$J$2140*1000000000+ISNUMBER('Dvd Calendar'!$J$2141)*100000000+0*10000000+(N('Dvd Calendar'!$J$2139)&gt;0)*(N('Dvd Calendar'!$J$2139)&lt;=VAL_SERIAL)*1000000+53*1000+46))</f>
        <v/>
      </c>
      <c r="FY212" s="39">
        <f>IF(N('Dvd Calendar'!$K$2140)=0,"",IF(('Dvd Calendar'!$K$2140&gt;=GRID_FROM)*('Dvd Calendar'!$K$2140&lt;=GRID_TO)*('Dvd Calendar'!$K$2140&gt;VAL_DATE)=0,"",'Dvd Calendar'!$K$2140*1000000000+ISNUMBER('Dvd Calendar'!$K$2141)*100000000+0*10000000+(N('Dvd Calendar'!$K$2139)&gt;0)*(N('Dvd Calendar'!$K$2139)&lt;=VAL_SERIAL)*1000000+53*1000+47))</f>
        <v/>
      </c>
      <c r="FZ212" s="39">
        <f>IF(N('Dvd Calendar'!$L$2140)=0,"",IF(('Dvd Calendar'!$L$2140&gt;=GRID_FROM)*('Dvd Calendar'!$L$2140&lt;=GRID_TO)*('Dvd Calendar'!$L$2140&gt;VAL_DATE)=0,"",'Dvd Calendar'!$L$2140*1000000000+ISNUMBER('Dvd Calendar'!$L$2141)*100000000+0*10000000+(N('Dvd Calendar'!$L$2139)&gt;0)*(N('Dvd Calendar'!$L$2139)&lt;=VAL_SERIAL)*1000000+53*1000+48))</f>
        <v/>
      </c>
      <c r="GA212" s="39">
        <f>IF(N('Dvd Calendar'!$M$2140)=0,"",IF(('Dvd Calendar'!$M$2140&gt;=GRID_FROM)*('Dvd Calendar'!$M$2140&lt;=GRID_TO)*('Dvd Calendar'!$M$2140&gt;VAL_DATE)=0,"",'Dvd Calendar'!$M$2140*1000000000+ISNUMBER('Dvd Calendar'!$M$2141)*100000000+0*10000000+(N('Dvd Calendar'!$M$2139)&gt;0)*(N('Dvd Calendar'!$M$2139)&lt;=VAL_SERIAL)*1000000+53*1000+49))</f>
        <v/>
      </c>
      <c r="GB212" s="39">
        <f>IF(N('Dvd Calendar'!$N$2140)=0,"",IF(('Dvd Calendar'!$N$2140&gt;=GRID_FROM)*('Dvd Calendar'!$N$2140&lt;=GRID_TO)*('Dvd Calendar'!$N$2140&gt;VAL_DATE)=0,"",'Dvd Calendar'!$N$2140*1000000000+ISNUMBER('Dvd Calendar'!$N$2141)*100000000+0*10000000+(N('Dvd Calendar'!$N$2139)&gt;0)*(N('Dvd Calendar'!$N$2139)&lt;=VAL_SERIAL)*1000000+53*1000+50))</f>
        <v/>
      </c>
      <c r="GC212" s="39">
        <f>IF(N('Dvd Calendar'!$O$2140)=0,"",IF(('Dvd Calendar'!$O$2140&gt;=GRID_FROM)*('Dvd Calendar'!$O$2140&lt;=GRID_TO)*('Dvd Calendar'!$O$2140&gt;VAL_DATE)=0,"",'Dvd Calendar'!$O$2140*1000000000+ISNUMBER('Dvd Calendar'!$O$2141)*100000000+0*10000000+(N('Dvd Calendar'!$O$2139)&gt;0)*(N('Dvd Calendar'!$O$2139)&lt;=VAL_SERIAL)*1000000+53*1000+51))</f>
        <v/>
      </c>
      <c r="GD212" s="39">
        <f>IF(N('Dvd Calendar'!$P$2140)=0,"",IF(('Dvd Calendar'!$P$2140&gt;=GRID_FROM)*('Dvd Calendar'!$P$2140&lt;=GRID_TO)*('Dvd Calendar'!$P$2140&gt;VAL_DATE)=0,"",'Dvd Calendar'!$P$2140*1000000000+ISNUMBER('Dvd Calendar'!$P$2141)*100000000+0*10000000+(N('Dvd Calendar'!$P$2139)&gt;0)*(N('Dvd Calendar'!$P$2139)&lt;=VAL_SERIAL)*1000000+53*1000+52))</f>
        <v/>
      </c>
      <c r="GE212" s="39">
        <f>IF(N('Dvd Calendar'!$Q$2140)=0,"",IF(('Dvd Calendar'!$Q$2140&gt;=GRID_FROM)*('Dvd Calendar'!$Q$2140&lt;=GRID_TO)*('Dvd Calendar'!$Q$2140&gt;VAL_DATE)=0,"",'Dvd Calendar'!$Q$2140*1000000000+ISNUMBER('Dvd Calendar'!$Q$2141)*100000000+0*10000000+(N('Dvd Calendar'!$Q$2139)&gt;0)*(N('Dvd Calendar'!$Q$2139)&lt;=VAL_SERIAL)*1000000+53*1000+53))</f>
        <v/>
      </c>
      <c r="GF212" s="39">
        <f>IF(N('Dvd Calendar'!$R$2140)=0,"",IF(('Dvd Calendar'!$R$2140&gt;=GRID_FROM)*('Dvd Calendar'!$R$2140&lt;=GRID_TO)*('Dvd Calendar'!$R$2140&gt;VAL_DATE)=0,"",'Dvd Calendar'!$R$2140*1000000000+ISNUMBER('Dvd Calendar'!$R$2141)*100000000+0*10000000+(N('Dvd Calendar'!$R$2139)&gt;0)*(N('Dvd Calendar'!$R$2139)&lt;=VAL_SERIAL)*1000000+53*1000+54))</f>
        <v/>
      </c>
      <c r="GG212" s="39">
        <f>IF(N('Dvd Calendar'!$S$2140)=0,"",IF(('Dvd Calendar'!$S$2140&gt;=GRID_FROM)*('Dvd Calendar'!$S$2140&lt;=GRID_TO)*('Dvd Calendar'!$S$2140&gt;VAL_DATE)=0,"",'Dvd Calendar'!$S$2140*1000000000+ISNUMBER('Dvd Calendar'!$S$2141)*100000000+0*10000000+(N('Dvd Calendar'!$S$2139)&gt;0)*(N('Dvd Calendar'!$S$2139)&lt;=VAL_SERIAL)*1000000+53*1000+55))</f>
        <v/>
      </c>
      <c r="GH212" s="39">
        <f>IF(N('Dvd Calendar'!$T$2140)=0,"",IF(('Dvd Calendar'!$T$2140&gt;=GRID_FROM)*('Dvd Calendar'!$T$2140&lt;=GRID_TO)*('Dvd Calendar'!$T$2140&gt;VAL_DATE)=0,"",'Dvd Calendar'!$T$2140*1000000000+ISNUMBER('Dvd Calendar'!$T$2141)*100000000+0*10000000+(N('Dvd Calendar'!$T$2139)&gt;0)*(N('Dvd Calendar'!$T$2139)&lt;=VAL_SERIAL)*1000000+53*1000+56))</f>
        <v/>
      </c>
      <c r="GI212" s="39">
        <f>IF(N('Dvd Calendar'!$U$2140)=0,"",IF(('Dvd Calendar'!$U$2140&gt;=GRID_FROM)*('Dvd Calendar'!$U$2140&lt;=GRID_TO)*('Dvd Calendar'!$U$2140&gt;VAL_DATE)=0,"",'Dvd Calendar'!$U$2140*1000000000+ISNUMBER('Dvd Calendar'!$U$2141)*100000000+0*10000000+(N('Dvd Calendar'!$U$2139)&gt;0)*(N('Dvd Calendar'!$U$2139)&lt;=VAL_SERIAL)*1000000+53*1000+57))</f>
        <v/>
      </c>
      <c r="GJ212" s="39">
        <f>IF(N('Dvd Calendar'!$V$2140)=0,"",IF(('Dvd Calendar'!$V$2140&gt;=GRID_FROM)*('Dvd Calendar'!$V$2140&lt;=GRID_TO)*('Dvd Calendar'!$V$2140&gt;VAL_DATE)=0,"",'Dvd Calendar'!$V$2140*1000000000+ISNUMBER('Dvd Calendar'!$V$2141)*100000000+0*10000000+(N('Dvd Calendar'!$V$2139)&gt;0)*(N('Dvd Calendar'!$V$2139)&lt;=VAL_SERIAL)*1000000+53*1000+58))</f>
        <v/>
      </c>
      <c r="GK212" s="39">
        <f>IF(N('Dvd Calendar'!$W$2140)=0,"",IF(('Dvd Calendar'!$W$2140&gt;=GRID_FROM)*('Dvd Calendar'!$W$2140&lt;=GRID_TO)*('Dvd Calendar'!$W$2140&gt;VAL_DATE)=0,"",'Dvd Calendar'!$W$2140*1000000000+ISNUMBER('Dvd Calendar'!$W$2141)*100000000+0*10000000+(N('Dvd Calendar'!$W$2139)&gt;0)*(N('Dvd Calendar'!$W$2139)&lt;=VAL_SERIAL)*1000000+53*1000+59))</f>
        <v/>
      </c>
      <c r="GL212" s="39">
        <f>IF(N('Dvd Calendar'!$X$2140)=0,"",IF(('Dvd Calendar'!$X$2140&gt;=GRID_FROM)*('Dvd Calendar'!$X$2140&lt;=GRID_TO)*('Dvd Calendar'!$X$2140&gt;VAL_DATE)=0,"",'Dvd Calendar'!$X$2140*1000000000+ISNUMBER('Dvd Calendar'!$X$2141)*100000000+0*10000000+(N('Dvd Calendar'!$X$2139)&gt;0)*(N('Dvd Calendar'!$X$2139)&lt;=VAL_SERIAL)*1000000+53*1000+60))</f>
        <v/>
      </c>
      <c r="GM212" s="39">
        <f>IF(N('Dvd Calendar'!$Y$2140)=0,"",IF(('Dvd Calendar'!$Y$2140&gt;=GRID_FROM)*('Dvd Calendar'!$Y$2140&lt;=GRID_TO)*('Dvd Calendar'!$Y$2140&gt;VAL_DATE)=0,"",'Dvd Calendar'!$Y$2140*1000000000+ISNUMBER('Dvd Calendar'!$Y$2141)*100000000+0*10000000+(N('Dvd Calendar'!$Y$2139)&gt;0)*(N('Dvd Calendar'!$Y$2139)&lt;=VAL_SERIAL)*1000000+53*1000+61))</f>
        <v/>
      </c>
      <c r="GN212" s="39">
        <f>IF(N('Dvd Calendar'!$Z$2140)=0,"",IF(('Dvd Calendar'!$Z$2140&gt;=GRID_FROM)*('Dvd Calendar'!$Z$2140&lt;=GRID_TO)*('Dvd Calendar'!$Z$2140&gt;VAL_DATE)=0,"",'Dvd Calendar'!$Z$2140*1000000000+ISNUMBER('Dvd Calendar'!$Z$2141)*100000000+0*10000000+(N('Dvd Calendar'!$Z$2139)&gt;0)*(N('Dvd Calendar'!$Z$2139)&lt;=VAL_SERIAL)*1000000+53*1000+62))</f>
        <v/>
      </c>
      <c r="GO212" s="39">
        <f>IF(N('Dvd Calendar'!$AA$2140)=0,"",IF(('Dvd Calendar'!$AA$2140&gt;=GRID_FROM)*('Dvd Calendar'!$AA$2140&lt;=GRID_TO)*('Dvd Calendar'!$AA$2140&gt;VAL_DATE)=0,"",'Dvd Calendar'!$AA$2140*1000000000+ISNUMBER('Dvd Calendar'!$AA$2141)*100000000+0*10000000+(N('Dvd Calendar'!$AA$2139)&gt;0)*(N('Dvd Calendar'!$AA$2139)&lt;=VAL_SERIAL)*1000000+53*1000+63))</f>
        <v/>
      </c>
      <c r="GP212" s="39">
        <f>IF(N('Dvd Calendar'!$AB$2140)=0,"",IF(('Dvd Calendar'!$AB$2140&gt;=GRID_FROM)*('Dvd Calendar'!$AB$2140&lt;=GRID_TO)*('Dvd Calendar'!$AB$2140&gt;VAL_DATE)=0,"",'Dvd Calendar'!$AB$2140*1000000000+ISNUMBER('Dvd Calendar'!$AB$2141)*100000000+0*10000000+(N('Dvd Calendar'!$AB$2139)&gt;0)*(N('Dvd Calendar'!$AB$2139)&lt;=VAL_SERIAL)*1000000+53*1000+64))</f>
        <v/>
      </c>
      <c r="GQ212" s="39">
        <f>IF(N('Dvd Calendar'!$AC$2140)=0,"",IF(('Dvd Calendar'!$AC$2140&gt;=GRID_FROM)*('Dvd Calendar'!$AC$2140&lt;=GRID_TO)*('Dvd Calendar'!$AC$2140&gt;VAL_DATE)=0,"",'Dvd Calendar'!$AC$2140*1000000000+ISNUMBER('Dvd Calendar'!$AC$2141)*100000000+0*10000000+(N('Dvd Calendar'!$AC$2139)&gt;0)*(N('Dvd Calendar'!$AC$2139)&lt;=VAL_SERIAL)*1000000+53*1000+65))</f>
        <v/>
      </c>
    </row>
    <row r="213">
      <c r="B213" s="2">
        <f>IF(HSCEI!$C$60="","",HSCEI!$C$60)</f>
        <v/>
      </c>
      <c r="C213" s="110">
        <f>IF(EE213="","",IF(ISNUMBER('Dvd Calendar'!$E$2147)=FALSE,"",IF((('Dvd Calendar'!$E$2149=TYPE1)*(TYPE1&lt;&gt;"")+('Dvd Calendar'!$E$2149=TYPE2)*(TYPE2&lt;&gt;"")+('Dvd Calendar'!$E$2149=TYPE3)*(TYPE3&lt;&gt;"")+('Dvd Calendar'!$E$2149=TYPE4)*(TYPE4&lt;&gt;"")+('Dvd Calendar'!$E$2149=SPECIAL_LBL)*(INC_SPECIALS="Y"))=0,"",'Dvd Calendar'!$E$2147)))</f>
        <v/>
      </c>
      <c r="D213" s="110">
        <f>IF(EF213="","",IF(ISNUMBER('Dvd Calendar'!$F$2147)=FALSE,"",IF((('Dvd Calendar'!$F$2149=TYPE1)*(TYPE1&lt;&gt;"")+('Dvd Calendar'!$F$2149=TYPE2)*(TYPE2&lt;&gt;"")+('Dvd Calendar'!$F$2149=TYPE3)*(TYPE3&lt;&gt;"")+('Dvd Calendar'!$F$2149=TYPE4)*(TYPE4&lt;&gt;"")+('Dvd Calendar'!$F$2149=SPECIAL_LBL)*(INC_SPECIALS="Y"))=0,"",'Dvd Calendar'!$F$2147)))</f>
        <v/>
      </c>
      <c r="E213" s="110">
        <f>IF(EG213="","",IF(ISNUMBER('Dvd Calendar'!$G$2147)=FALSE,"",IF((('Dvd Calendar'!$G$2149=TYPE1)*(TYPE1&lt;&gt;"")+('Dvd Calendar'!$G$2149=TYPE2)*(TYPE2&lt;&gt;"")+('Dvd Calendar'!$G$2149=TYPE3)*(TYPE3&lt;&gt;"")+('Dvd Calendar'!$G$2149=TYPE4)*(TYPE4&lt;&gt;"")+('Dvd Calendar'!$G$2149=SPECIAL_LBL)*(INC_SPECIALS="Y"))=0,"",'Dvd Calendar'!$G$2147)))</f>
        <v/>
      </c>
      <c r="F213" s="110">
        <f>IF(EH213="","",IF(ISNUMBER('Dvd Calendar'!$H$2147)=FALSE,"",IF((('Dvd Calendar'!$H$2149=TYPE1)*(TYPE1&lt;&gt;"")+('Dvd Calendar'!$H$2149=TYPE2)*(TYPE2&lt;&gt;"")+('Dvd Calendar'!$H$2149=TYPE3)*(TYPE3&lt;&gt;"")+('Dvd Calendar'!$H$2149=TYPE4)*(TYPE4&lt;&gt;"")+('Dvd Calendar'!$H$2149=SPECIAL_LBL)*(INC_SPECIALS="Y"))=0,"",'Dvd Calendar'!$H$2147)))</f>
        <v/>
      </c>
      <c r="G213" s="110">
        <f>IF(EI213="","",IF(ISNUMBER('Dvd Calendar'!$I$2147)=FALSE,"",IF((('Dvd Calendar'!$I$2149=TYPE1)*(TYPE1&lt;&gt;"")+('Dvd Calendar'!$I$2149=TYPE2)*(TYPE2&lt;&gt;"")+('Dvd Calendar'!$I$2149=TYPE3)*(TYPE3&lt;&gt;"")+('Dvd Calendar'!$I$2149=TYPE4)*(TYPE4&lt;&gt;"")+('Dvd Calendar'!$I$2149=SPECIAL_LBL)*(INC_SPECIALS="Y"))=0,"",'Dvd Calendar'!$I$2147)))</f>
        <v/>
      </c>
      <c r="H213" s="110">
        <f>IF(EJ213="","",IF(ISNUMBER('Dvd Calendar'!$J$2147)=FALSE,"",IF((('Dvd Calendar'!$J$2149=TYPE1)*(TYPE1&lt;&gt;"")+('Dvd Calendar'!$J$2149=TYPE2)*(TYPE2&lt;&gt;"")+('Dvd Calendar'!$J$2149=TYPE3)*(TYPE3&lt;&gt;"")+('Dvd Calendar'!$J$2149=TYPE4)*(TYPE4&lt;&gt;"")+('Dvd Calendar'!$J$2149=SPECIAL_LBL)*(INC_SPECIALS="Y"))=0,"",'Dvd Calendar'!$J$2147)))</f>
        <v/>
      </c>
      <c r="I213" s="110">
        <f>IF(EK213="","",IF(ISNUMBER('Dvd Calendar'!$K$2147)=FALSE,"",IF((('Dvd Calendar'!$K$2149=TYPE1)*(TYPE1&lt;&gt;"")+('Dvd Calendar'!$K$2149=TYPE2)*(TYPE2&lt;&gt;"")+('Dvd Calendar'!$K$2149=TYPE3)*(TYPE3&lt;&gt;"")+('Dvd Calendar'!$K$2149=TYPE4)*(TYPE4&lt;&gt;"")+('Dvd Calendar'!$K$2149=SPECIAL_LBL)*(INC_SPECIALS="Y"))=0,"",'Dvd Calendar'!$K$2147)))</f>
        <v/>
      </c>
      <c r="J213" s="110">
        <f>IF(EL213="","",IF(ISNUMBER('Dvd Calendar'!$L$2147)=FALSE,"",IF((('Dvd Calendar'!$L$2149=TYPE1)*(TYPE1&lt;&gt;"")+('Dvd Calendar'!$L$2149=TYPE2)*(TYPE2&lt;&gt;"")+('Dvd Calendar'!$L$2149=TYPE3)*(TYPE3&lt;&gt;"")+('Dvd Calendar'!$L$2149=TYPE4)*(TYPE4&lt;&gt;"")+('Dvd Calendar'!$L$2149=SPECIAL_LBL)*(INC_SPECIALS="Y"))=0,"",'Dvd Calendar'!$L$2147)))</f>
        <v/>
      </c>
      <c r="K213" s="110">
        <f>IF(EM213="","",IF(ISNUMBER('Dvd Calendar'!$M$2147)=FALSE,"",IF((('Dvd Calendar'!$M$2149=TYPE1)*(TYPE1&lt;&gt;"")+('Dvd Calendar'!$M$2149=TYPE2)*(TYPE2&lt;&gt;"")+('Dvd Calendar'!$M$2149=TYPE3)*(TYPE3&lt;&gt;"")+('Dvd Calendar'!$M$2149=TYPE4)*(TYPE4&lt;&gt;"")+('Dvd Calendar'!$M$2149=SPECIAL_LBL)*(INC_SPECIALS="Y"))=0,"",'Dvd Calendar'!$M$2147)))</f>
        <v/>
      </c>
      <c r="L213" s="110">
        <f>IF(EN213="","",IF(ISNUMBER('Dvd Calendar'!$N$2147)=FALSE,"",IF((('Dvd Calendar'!$N$2149=TYPE1)*(TYPE1&lt;&gt;"")+('Dvd Calendar'!$N$2149=TYPE2)*(TYPE2&lt;&gt;"")+('Dvd Calendar'!$N$2149=TYPE3)*(TYPE3&lt;&gt;"")+('Dvd Calendar'!$N$2149=TYPE4)*(TYPE4&lt;&gt;"")+('Dvd Calendar'!$N$2149=SPECIAL_LBL)*(INC_SPECIALS="Y"))=0,"",'Dvd Calendar'!$N$2147)))</f>
        <v/>
      </c>
      <c r="M213" s="110">
        <f>IF(EO213="","",IF(ISNUMBER('Dvd Calendar'!$O$2147)=FALSE,"",IF((('Dvd Calendar'!$O$2149=TYPE1)*(TYPE1&lt;&gt;"")+('Dvd Calendar'!$O$2149=TYPE2)*(TYPE2&lt;&gt;"")+('Dvd Calendar'!$O$2149=TYPE3)*(TYPE3&lt;&gt;"")+('Dvd Calendar'!$O$2149=TYPE4)*(TYPE4&lt;&gt;"")+('Dvd Calendar'!$O$2149=SPECIAL_LBL)*(INC_SPECIALS="Y"))=0,"",'Dvd Calendar'!$O$2147)))</f>
        <v/>
      </c>
      <c r="N213" s="110">
        <f>IF(EP213="","",IF(ISNUMBER('Dvd Calendar'!$P$2147)=FALSE,"",IF((('Dvd Calendar'!$P$2149=TYPE1)*(TYPE1&lt;&gt;"")+('Dvd Calendar'!$P$2149=TYPE2)*(TYPE2&lt;&gt;"")+('Dvd Calendar'!$P$2149=TYPE3)*(TYPE3&lt;&gt;"")+('Dvd Calendar'!$P$2149=TYPE4)*(TYPE4&lt;&gt;"")+('Dvd Calendar'!$P$2149=SPECIAL_LBL)*(INC_SPECIALS="Y"))=0,"",'Dvd Calendar'!$P$2147)))</f>
        <v/>
      </c>
      <c r="O213" s="110">
        <f>IF(EQ213="","",IF(ISNUMBER('Dvd Calendar'!$Q$2147)=FALSE,"",IF((('Dvd Calendar'!$Q$2149=TYPE1)*(TYPE1&lt;&gt;"")+('Dvd Calendar'!$Q$2149=TYPE2)*(TYPE2&lt;&gt;"")+('Dvd Calendar'!$Q$2149=TYPE3)*(TYPE3&lt;&gt;"")+('Dvd Calendar'!$Q$2149=TYPE4)*(TYPE4&lt;&gt;"")+('Dvd Calendar'!$Q$2149=SPECIAL_LBL)*(INC_SPECIALS="Y"))=0,"",'Dvd Calendar'!$Q$2147)))</f>
        <v/>
      </c>
      <c r="P213" s="110">
        <f>IF(ER213="","",IF(ISNUMBER('Dvd Calendar'!$R$2147)=FALSE,"",IF((('Dvd Calendar'!$R$2149=TYPE1)*(TYPE1&lt;&gt;"")+('Dvd Calendar'!$R$2149=TYPE2)*(TYPE2&lt;&gt;"")+('Dvd Calendar'!$R$2149=TYPE3)*(TYPE3&lt;&gt;"")+('Dvd Calendar'!$R$2149=TYPE4)*(TYPE4&lt;&gt;"")+('Dvd Calendar'!$R$2149=SPECIAL_LBL)*(INC_SPECIALS="Y"))=0,"",'Dvd Calendar'!$R$2147)))</f>
        <v/>
      </c>
      <c r="Q213" s="110">
        <f>IF(ES213="","",IF(ISNUMBER('Dvd Calendar'!$S$2147)=FALSE,"",IF((('Dvd Calendar'!$S$2149=TYPE1)*(TYPE1&lt;&gt;"")+('Dvd Calendar'!$S$2149=TYPE2)*(TYPE2&lt;&gt;"")+('Dvd Calendar'!$S$2149=TYPE3)*(TYPE3&lt;&gt;"")+('Dvd Calendar'!$S$2149=TYPE4)*(TYPE4&lt;&gt;"")+('Dvd Calendar'!$S$2149=SPECIAL_LBL)*(INC_SPECIALS="Y"))=0,"",'Dvd Calendar'!$S$2147)))</f>
        <v/>
      </c>
      <c r="R213" s="110">
        <f>IF(ET213="","",IF(ISNUMBER('Dvd Calendar'!$T$2147)=FALSE,"",IF((('Dvd Calendar'!$T$2149=TYPE1)*(TYPE1&lt;&gt;"")+('Dvd Calendar'!$T$2149=TYPE2)*(TYPE2&lt;&gt;"")+('Dvd Calendar'!$T$2149=TYPE3)*(TYPE3&lt;&gt;"")+('Dvd Calendar'!$T$2149=TYPE4)*(TYPE4&lt;&gt;"")+('Dvd Calendar'!$T$2149=SPECIAL_LBL)*(INC_SPECIALS="Y"))=0,"",'Dvd Calendar'!$T$2147)))</f>
        <v/>
      </c>
      <c r="S213" s="110">
        <f>IF(EU213="","",IF(ISNUMBER('Dvd Calendar'!$U$2147)=FALSE,"",IF((('Dvd Calendar'!$U$2149=TYPE1)*(TYPE1&lt;&gt;"")+('Dvd Calendar'!$U$2149=TYPE2)*(TYPE2&lt;&gt;"")+('Dvd Calendar'!$U$2149=TYPE3)*(TYPE3&lt;&gt;"")+('Dvd Calendar'!$U$2149=TYPE4)*(TYPE4&lt;&gt;"")+('Dvd Calendar'!$U$2149=SPECIAL_LBL)*(INC_SPECIALS="Y"))=0,"",'Dvd Calendar'!$U$2147)))</f>
        <v/>
      </c>
      <c r="T213" s="110">
        <f>IF(EV213="","",IF(ISNUMBER('Dvd Calendar'!$V$2147)=FALSE,"",IF((('Dvd Calendar'!$V$2149=TYPE1)*(TYPE1&lt;&gt;"")+('Dvd Calendar'!$V$2149=TYPE2)*(TYPE2&lt;&gt;"")+('Dvd Calendar'!$V$2149=TYPE3)*(TYPE3&lt;&gt;"")+('Dvd Calendar'!$V$2149=TYPE4)*(TYPE4&lt;&gt;"")+('Dvd Calendar'!$V$2149=SPECIAL_LBL)*(INC_SPECIALS="Y"))=0,"",'Dvd Calendar'!$V$2147)))</f>
        <v/>
      </c>
      <c r="U213" s="110">
        <f>IF(EW213="","",IF(ISNUMBER('Dvd Calendar'!$W$2147)=FALSE,"",IF((('Dvd Calendar'!$W$2149=TYPE1)*(TYPE1&lt;&gt;"")+('Dvd Calendar'!$W$2149=TYPE2)*(TYPE2&lt;&gt;"")+('Dvd Calendar'!$W$2149=TYPE3)*(TYPE3&lt;&gt;"")+('Dvd Calendar'!$W$2149=TYPE4)*(TYPE4&lt;&gt;"")+('Dvd Calendar'!$W$2149=SPECIAL_LBL)*(INC_SPECIALS="Y"))=0,"",'Dvd Calendar'!$W$2147)))</f>
        <v/>
      </c>
      <c r="V213" s="110">
        <f>IF(EX213="","",IF(ISNUMBER('Dvd Calendar'!$X$2147)=FALSE,"",IF((('Dvd Calendar'!$X$2149=TYPE1)*(TYPE1&lt;&gt;"")+('Dvd Calendar'!$X$2149=TYPE2)*(TYPE2&lt;&gt;"")+('Dvd Calendar'!$X$2149=TYPE3)*(TYPE3&lt;&gt;"")+('Dvd Calendar'!$X$2149=TYPE4)*(TYPE4&lt;&gt;"")+('Dvd Calendar'!$X$2149=SPECIAL_LBL)*(INC_SPECIALS="Y"))=0,"",'Dvd Calendar'!$X$2147)))</f>
        <v/>
      </c>
      <c r="W213" s="110">
        <f>IF(EY213="","",IF(ISNUMBER('Dvd Calendar'!$Y$2147)=FALSE,"",IF((('Dvd Calendar'!$Y$2149=TYPE1)*(TYPE1&lt;&gt;"")+('Dvd Calendar'!$Y$2149=TYPE2)*(TYPE2&lt;&gt;"")+('Dvd Calendar'!$Y$2149=TYPE3)*(TYPE3&lt;&gt;"")+('Dvd Calendar'!$Y$2149=TYPE4)*(TYPE4&lt;&gt;"")+('Dvd Calendar'!$Y$2149=SPECIAL_LBL)*(INC_SPECIALS="Y"))=0,"",'Dvd Calendar'!$Y$2147)))</f>
        <v/>
      </c>
      <c r="X213" s="110">
        <f>IF(EZ213="","",IF(ISNUMBER('Dvd Calendar'!$Z$2147)=FALSE,"",IF((('Dvd Calendar'!$Z$2149=TYPE1)*(TYPE1&lt;&gt;"")+('Dvd Calendar'!$Z$2149=TYPE2)*(TYPE2&lt;&gt;"")+('Dvd Calendar'!$Z$2149=TYPE3)*(TYPE3&lt;&gt;"")+('Dvd Calendar'!$Z$2149=TYPE4)*(TYPE4&lt;&gt;"")+('Dvd Calendar'!$Z$2149=SPECIAL_LBL)*(INC_SPECIALS="Y"))=0,"",'Dvd Calendar'!$Z$2147)))</f>
        <v/>
      </c>
      <c r="Y213" s="110">
        <f>IF(FA213="","",IF(ISNUMBER('Dvd Calendar'!$AA$2147)=FALSE,"",IF((('Dvd Calendar'!$AA$2149=TYPE1)*(TYPE1&lt;&gt;"")+('Dvd Calendar'!$AA$2149=TYPE2)*(TYPE2&lt;&gt;"")+('Dvd Calendar'!$AA$2149=TYPE3)*(TYPE3&lt;&gt;"")+('Dvd Calendar'!$AA$2149=TYPE4)*(TYPE4&lt;&gt;"")+('Dvd Calendar'!$AA$2149=SPECIAL_LBL)*(INC_SPECIALS="Y"))=0,"",'Dvd Calendar'!$AA$2147)))</f>
        <v/>
      </c>
      <c r="Z213" s="110">
        <f>IF(FB213="","",IF(ISNUMBER('Dvd Calendar'!$AB$2147)=FALSE,"",IF((('Dvd Calendar'!$AB$2149=TYPE1)*(TYPE1&lt;&gt;"")+('Dvd Calendar'!$AB$2149=TYPE2)*(TYPE2&lt;&gt;"")+('Dvd Calendar'!$AB$2149=TYPE3)*(TYPE3&lt;&gt;"")+('Dvd Calendar'!$AB$2149=TYPE4)*(TYPE4&lt;&gt;"")+('Dvd Calendar'!$AB$2149=SPECIAL_LBL)*(INC_SPECIALS="Y"))=0,"",'Dvd Calendar'!$AB$2147)))</f>
        <v/>
      </c>
      <c r="AA213" s="110">
        <f>IF(FC213="","",IF(ISNUMBER('Dvd Calendar'!$AC$2147)=FALSE,"",IF((('Dvd Calendar'!$AC$2149=TYPE1)*(TYPE1&lt;&gt;"")+('Dvd Calendar'!$AC$2149=TYPE2)*(TYPE2&lt;&gt;"")+('Dvd Calendar'!$AC$2149=TYPE3)*(TYPE3&lt;&gt;"")+('Dvd Calendar'!$AC$2149=TYPE4)*(TYPE4&lt;&gt;"")+('Dvd Calendar'!$AC$2149=SPECIAL_LBL)*(INC_SPECIALS="Y"))=0,"",'Dvd Calendar'!$AC$2147)))</f>
        <v/>
      </c>
      <c r="AB213" s="110">
        <f>IF(FD213="","",IF(ISNUMBER('Dvd Calendar'!$AD$2147)=FALSE,"",IF((('Dvd Calendar'!$AD$2149=TYPE1)*(TYPE1&lt;&gt;"")+('Dvd Calendar'!$AD$2149=TYPE2)*(TYPE2&lt;&gt;"")+('Dvd Calendar'!$AD$2149=TYPE3)*(TYPE3&lt;&gt;"")+('Dvd Calendar'!$AD$2149=TYPE4)*(TYPE4&lt;&gt;"")+('Dvd Calendar'!$AD$2149=SPECIAL_LBL)*(INC_SPECIALS="Y"))=0,"",'Dvd Calendar'!$AD$2147)))</f>
        <v/>
      </c>
      <c r="AC213" s="110">
        <f>IF(FE213="","",IF(ISNUMBER('Dvd Calendar'!$AE$2147)=FALSE,"",IF((('Dvd Calendar'!$AE$2149=TYPE1)*(TYPE1&lt;&gt;"")+('Dvd Calendar'!$AE$2149=TYPE2)*(TYPE2&lt;&gt;"")+('Dvd Calendar'!$AE$2149=TYPE3)*(TYPE3&lt;&gt;"")+('Dvd Calendar'!$AE$2149=TYPE4)*(TYPE4&lt;&gt;"")+('Dvd Calendar'!$AE$2149=SPECIAL_LBL)*(INC_SPECIALS="Y"))=0,"",'Dvd Calendar'!$AE$2147)))</f>
        <v/>
      </c>
      <c r="AD213" s="110">
        <f>IF(FF213="","",IF(ISNUMBER('Dvd Calendar'!$AF$2147)=FALSE,"",IF((('Dvd Calendar'!$AF$2149=TYPE1)*(TYPE1&lt;&gt;"")+('Dvd Calendar'!$AF$2149=TYPE2)*(TYPE2&lt;&gt;"")+('Dvd Calendar'!$AF$2149=TYPE3)*(TYPE3&lt;&gt;"")+('Dvd Calendar'!$AF$2149=TYPE4)*(TYPE4&lt;&gt;"")+('Dvd Calendar'!$AF$2149=SPECIAL_LBL)*(INC_SPECIALS="Y"))=0,"",'Dvd Calendar'!$AF$2147)))</f>
        <v/>
      </c>
      <c r="AE213" s="110">
        <f>IF(FG213="","",IF(ISNUMBER('Dvd Calendar'!$AG$2147)=FALSE,"",IF((('Dvd Calendar'!$AG$2149=TYPE1)*(TYPE1&lt;&gt;"")+('Dvd Calendar'!$AG$2149=TYPE2)*(TYPE2&lt;&gt;"")+('Dvd Calendar'!$AG$2149=TYPE3)*(TYPE3&lt;&gt;"")+('Dvd Calendar'!$AG$2149=TYPE4)*(TYPE4&lt;&gt;"")+('Dvd Calendar'!$AG$2149=SPECIAL_LBL)*(INC_SPECIALS="Y"))=0,"",'Dvd Calendar'!$AG$2147)))</f>
        <v/>
      </c>
      <c r="AF213" s="110">
        <f>IF(FH213="","",IF(ISNUMBER('Dvd Calendar'!$AH$2147)=FALSE,"",IF((('Dvd Calendar'!$AH$2149=TYPE1)*(TYPE1&lt;&gt;"")+('Dvd Calendar'!$AH$2149=TYPE2)*(TYPE2&lt;&gt;"")+('Dvd Calendar'!$AH$2149=TYPE3)*(TYPE3&lt;&gt;"")+('Dvd Calendar'!$AH$2149=TYPE4)*(TYPE4&lt;&gt;"")+('Dvd Calendar'!$AH$2149=SPECIAL_LBL)*(INC_SPECIALS="Y"))=0,"",'Dvd Calendar'!$AH$2147)))</f>
        <v/>
      </c>
      <c r="AG213" s="110">
        <f>IF(FI213="","",IF(ISNUMBER('Dvd Calendar'!$AI$2147)=FALSE,"",IF((('Dvd Calendar'!$AI$2149=TYPE1)*(TYPE1&lt;&gt;"")+('Dvd Calendar'!$AI$2149=TYPE2)*(TYPE2&lt;&gt;"")+('Dvd Calendar'!$AI$2149=TYPE3)*(TYPE3&lt;&gt;"")+('Dvd Calendar'!$AI$2149=TYPE4)*(TYPE4&lt;&gt;"")+('Dvd Calendar'!$AI$2149=SPECIAL_LBL)*(INC_SPECIALS="Y"))=0,"",'Dvd Calendar'!$AI$2147)))</f>
        <v/>
      </c>
      <c r="AH213" s="110">
        <f>IF(FJ213="","",IF(ISNUMBER('Dvd Calendar'!$AJ$2147)=FALSE,"",IF((('Dvd Calendar'!$AJ$2149=TYPE1)*(TYPE1&lt;&gt;"")+('Dvd Calendar'!$AJ$2149=TYPE2)*(TYPE2&lt;&gt;"")+('Dvd Calendar'!$AJ$2149=TYPE3)*(TYPE3&lt;&gt;"")+('Dvd Calendar'!$AJ$2149=TYPE4)*(TYPE4&lt;&gt;"")+('Dvd Calendar'!$AJ$2149=SPECIAL_LBL)*(INC_SPECIALS="Y"))=0,"",'Dvd Calendar'!$AJ$2147)))</f>
        <v/>
      </c>
      <c r="AI213" s="110">
        <f>IF(FK213="","",IF(ISNUMBER('Dvd Calendar'!$AK$2147)=FALSE,"",IF((('Dvd Calendar'!$AK$2149=TYPE1)*(TYPE1&lt;&gt;"")+('Dvd Calendar'!$AK$2149=TYPE2)*(TYPE2&lt;&gt;"")+('Dvd Calendar'!$AK$2149=TYPE3)*(TYPE3&lt;&gt;"")+('Dvd Calendar'!$AK$2149=TYPE4)*(TYPE4&lt;&gt;"")+('Dvd Calendar'!$AK$2149=SPECIAL_LBL)*(INC_SPECIALS="Y"))=0,"",'Dvd Calendar'!$AK$2147)))</f>
        <v/>
      </c>
      <c r="AJ213" s="110">
        <f>IF(FL213="","",IF(ISNUMBER('Dvd Calendar'!$AL$2147)=FALSE,"",IF((('Dvd Calendar'!$AL$2149=TYPE1)*(TYPE1&lt;&gt;"")+('Dvd Calendar'!$AL$2149=TYPE2)*(TYPE2&lt;&gt;"")+('Dvd Calendar'!$AL$2149=TYPE3)*(TYPE3&lt;&gt;"")+('Dvd Calendar'!$AL$2149=TYPE4)*(TYPE4&lt;&gt;"")+('Dvd Calendar'!$AL$2149=SPECIAL_LBL)*(INC_SPECIALS="Y"))=0,"",'Dvd Calendar'!$AL$2147)))</f>
        <v/>
      </c>
      <c r="AK213" s="110">
        <f>IF(FM213="","",IF(ISNUMBER('Dvd Calendar'!$AM$2147)=FALSE,"",IF((('Dvd Calendar'!$AM$2149=TYPE1)*(TYPE1&lt;&gt;"")+('Dvd Calendar'!$AM$2149=TYPE2)*(TYPE2&lt;&gt;"")+('Dvd Calendar'!$AM$2149=TYPE3)*(TYPE3&lt;&gt;"")+('Dvd Calendar'!$AM$2149=TYPE4)*(TYPE4&lt;&gt;"")+('Dvd Calendar'!$AM$2149=SPECIAL_LBL)*(INC_SPECIALS="Y"))=0,"",'Dvd Calendar'!$AM$2147)))</f>
        <v/>
      </c>
      <c r="AL213" s="110">
        <f>IF(FN213="","",IF(ISNUMBER('Dvd Calendar'!$AN$2147)=FALSE,"",IF((('Dvd Calendar'!$AN$2149=TYPE1)*(TYPE1&lt;&gt;"")+('Dvd Calendar'!$AN$2149=TYPE2)*(TYPE2&lt;&gt;"")+('Dvd Calendar'!$AN$2149=TYPE3)*(TYPE3&lt;&gt;"")+('Dvd Calendar'!$AN$2149=TYPE4)*(TYPE4&lt;&gt;"")+('Dvd Calendar'!$AN$2149=SPECIAL_LBL)*(INC_SPECIALS="Y"))=0,"",'Dvd Calendar'!$AN$2147)))</f>
        <v/>
      </c>
      <c r="AM213" s="110">
        <f>IF(FO213="","",IF(ISNUMBER('Dvd Calendar'!$AO$2147)=FALSE,"",IF((('Dvd Calendar'!$AO$2149=TYPE1)*(TYPE1&lt;&gt;"")+('Dvd Calendar'!$AO$2149=TYPE2)*(TYPE2&lt;&gt;"")+('Dvd Calendar'!$AO$2149=TYPE3)*(TYPE3&lt;&gt;"")+('Dvd Calendar'!$AO$2149=TYPE4)*(TYPE4&lt;&gt;"")+('Dvd Calendar'!$AO$2149=SPECIAL_LBL)*(INC_SPECIALS="Y"))=0,"",'Dvd Calendar'!$AO$2147)))</f>
        <v/>
      </c>
      <c r="AN213" s="110">
        <f>IF(FP213="","",IF(ISNUMBER('Dvd Calendar'!$AP$2147)=FALSE,"",IF((('Dvd Calendar'!$AP$2149=TYPE1)*(TYPE1&lt;&gt;"")+('Dvd Calendar'!$AP$2149=TYPE2)*(TYPE2&lt;&gt;"")+('Dvd Calendar'!$AP$2149=TYPE3)*(TYPE3&lt;&gt;"")+('Dvd Calendar'!$AP$2149=TYPE4)*(TYPE4&lt;&gt;"")+('Dvd Calendar'!$AP$2149=SPECIAL_LBL)*(INC_SPECIALS="Y"))=0,"",'Dvd Calendar'!$AP$2147)))</f>
        <v/>
      </c>
      <c r="AO213" s="110">
        <f>IF(FQ213="","",IF(ISNUMBER('Dvd Calendar'!$AQ$2147)=FALSE,"",IF((('Dvd Calendar'!$AQ$2149=TYPE1)*(TYPE1&lt;&gt;"")+('Dvd Calendar'!$AQ$2149=TYPE2)*(TYPE2&lt;&gt;"")+('Dvd Calendar'!$AQ$2149=TYPE3)*(TYPE3&lt;&gt;"")+('Dvd Calendar'!$AQ$2149=TYPE4)*(TYPE4&lt;&gt;"")+('Dvd Calendar'!$AQ$2149=SPECIAL_LBL)*(INC_SPECIALS="Y"))=0,"",'Dvd Calendar'!$AQ$2147)))</f>
        <v/>
      </c>
      <c r="AP213" s="110">
        <f>IF(FR213="","",IF(ISNUMBER('Dvd Calendar'!$AR$2147)=FALSE,"",IF((('Dvd Calendar'!$AR$2149=TYPE1)*(TYPE1&lt;&gt;"")+('Dvd Calendar'!$AR$2149=TYPE2)*(TYPE2&lt;&gt;"")+('Dvd Calendar'!$AR$2149=TYPE3)*(TYPE3&lt;&gt;"")+('Dvd Calendar'!$AR$2149=TYPE4)*(TYPE4&lt;&gt;"")+('Dvd Calendar'!$AR$2149=SPECIAL_LBL)*(INC_SPECIALS="Y"))=0,"",'Dvd Calendar'!$AR$2147)))</f>
        <v/>
      </c>
      <c r="AQ213" s="110">
        <f>IF(FS213="","",IF(ISNUMBER('Dvd Calendar'!$E$2152)=FALSE,"",'Dvd Calendar'!$E$2152))</f>
        <v/>
      </c>
      <c r="AR213" s="110">
        <f>IF(FT213="","",IF(ISNUMBER('Dvd Calendar'!$F$2152)=FALSE,"",'Dvd Calendar'!$F$2152))</f>
        <v/>
      </c>
      <c r="AS213" s="110">
        <f>IF(FU213="","",IF(ISNUMBER('Dvd Calendar'!$G$2152)=FALSE,"",'Dvd Calendar'!$G$2152))</f>
        <v/>
      </c>
      <c r="AT213" s="110">
        <f>IF(FV213="","",IF(ISNUMBER('Dvd Calendar'!$H$2152)=FALSE,"",'Dvd Calendar'!$H$2152))</f>
        <v/>
      </c>
      <c r="AU213" s="110">
        <f>IF(FW213="","",IF(ISNUMBER('Dvd Calendar'!$I$2152)=FALSE,"",'Dvd Calendar'!$I$2152))</f>
        <v/>
      </c>
      <c r="AV213" s="110">
        <f>IF(FX213="","",IF(ISNUMBER('Dvd Calendar'!$J$2152)=FALSE,"",'Dvd Calendar'!$J$2152))</f>
        <v/>
      </c>
      <c r="AW213" s="110">
        <f>IF(FY213="","",IF(ISNUMBER('Dvd Calendar'!$K$2152)=FALSE,"",'Dvd Calendar'!$K$2152))</f>
        <v/>
      </c>
      <c r="AX213" s="110">
        <f>IF(FZ213="","",IF(ISNUMBER('Dvd Calendar'!$L$2152)=FALSE,"",'Dvd Calendar'!$L$2152))</f>
        <v/>
      </c>
      <c r="AY213" s="110">
        <f>IF(GA213="","",IF(ISNUMBER('Dvd Calendar'!$M$2152)=FALSE,"",'Dvd Calendar'!$M$2152))</f>
        <v/>
      </c>
      <c r="AZ213" s="110">
        <f>IF(GB213="","",IF(ISNUMBER('Dvd Calendar'!$N$2152)=FALSE,"",'Dvd Calendar'!$N$2152))</f>
        <v/>
      </c>
      <c r="BA213" s="110">
        <f>IF(GC213="","",IF(ISNUMBER('Dvd Calendar'!$O$2152)=FALSE,"",'Dvd Calendar'!$O$2152))</f>
        <v/>
      </c>
      <c r="BB213" s="110">
        <f>IF(GD213="","",IF(ISNUMBER('Dvd Calendar'!$P$2152)=FALSE,"",'Dvd Calendar'!$P$2152))</f>
        <v/>
      </c>
      <c r="BC213" s="110">
        <f>IF(GE213="","",IF(ISNUMBER('Dvd Calendar'!$Q$2152)=FALSE,"",'Dvd Calendar'!$Q$2152))</f>
        <v/>
      </c>
      <c r="BD213" s="110">
        <f>IF(GF213="","",IF(ISNUMBER('Dvd Calendar'!$R$2152)=FALSE,"",'Dvd Calendar'!$R$2152))</f>
        <v/>
      </c>
      <c r="BE213" s="110">
        <f>IF(GG213="","",IF(ISNUMBER('Dvd Calendar'!$S$2152)=FALSE,"",'Dvd Calendar'!$S$2152))</f>
        <v/>
      </c>
      <c r="BF213" s="110">
        <f>IF(GH213="","",IF(ISNUMBER('Dvd Calendar'!$T$2152)=FALSE,"",'Dvd Calendar'!$T$2152))</f>
        <v/>
      </c>
      <c r="BG213" s="110">
        <f>IF(GI213="","",IF(ISNUMBER('Dvd Calendar'!$U$2152)=FALSE,"",'Dvd Calendar'!$U$2152))</f>
        <v/>
      </c>
      <c r="BH213" s="110">
        <f>IF(GJ213="","",IF(ISNUMBER('Dvd Calendar'!$V$2152)=FALSE,"",'Dvd Calendar'!$V$2152))</f>
        <v/>
      </c>
      <c r="BI213" s="110">
        <f>IF(GK213="","",IF(ISNUMBER('Dvd Calendar'!$W$2152)=FALSE,"",'Dvd Calendar'!$W$2152))</f>
        <v/>
      </c>
      <c r="BJ213" s="110">
        <f>IF(GL213="","",IF(ISNUMBER('Dvd Calendar'!$X$2152)=FALSE,"",'Dvd Calendar'!$X$2152))</f>
        <v/>
      </c>
      <c r="BK213" s="110">
        <f>IF(GM213="","",IF(ISNUMBER('Dvd Calendar'!$Y$2152)=FALSE,"",'Dvd Calendar'!$Y$2152))</f>
        <v/>
      </c>
      <c r="BL213" s="110">
        <f>IF(GN213="","",IF(ISNUMBER('Dvd Calendar'!$Z$2152)=FALSE,"",'Dvd Calendar'!$Z$2152))</f>
        <v/>
      </c>
      <c r="BM213" s="110">
        <f>IF(GO213="","",IF(ISNUMBER('Dvd Calendar'!$AA$2152)=FALSE,"",'Dvd Calendar'!$AA$2152))</f>
        <v/>
      </c>
      <c r="BN213" s="110">
        <f>IF(GP213="","",IF(ISNUMBER('Dvd Calendar'!$AB$2152)=FALSE,"",'Dvd Calendar'!$AB$2152))</f>
        <v/>
      </c>
      <c r="BO213" s="110">
        <f>IF(GQ213="","",IF(ISNUMBER('Dvd Calendar'!$AC$2152)=FALSE,"",'Dvd Calendar'!$AC$2152))</f>
        <v/>
      </c>
      <c r="BQ213" s="110">
        <f>IF(C213="","",IFERROR(C213*HSCEI!$B$60*HSCEI!$G$60/HSCEI!$B$3,""))</f>
        <v/>
      </c>
      <c r="BR213" s="110">
        <f>IF(D213="","",IFERROR(D213*HSCEI!$B$60*HSCEI!$G$60/HSCEI!$B$3,""))</f>
        <v/>
      </c>
      <c r="BS213" s="110">
        <f>IF(E213="","",IFERROR(E213*HSCEI!$B$60*HSCEI!$G$60/HSCEI!$B$3,""))</f>
        <v/>
      </c>
      <c r="BT213" s="110">
        <f>IF(F213="","",IFERROR(F213*HSCEI!$B$60*HSCEI!$G$60/HSCEI!$B$3,""))</f>
        <v/>
      </c>
      <c r="BU213" s="110">
        <f>IF(G213="","",IFERROR(G213*HSCEI!$B$60*HSCEI!$G$60/HSCEI!$B$3,""))</f>
        <v/>
      </c>
      <c r="BV213" s="110">
        <f>IF(H213="","",IFERROR(H213*HSCEI!$B$60*HSCEI!$G$60/HSCEI!$B$3,""))</f>
        <v/>
      </c>
      <c r="BW213" s="110">
        <f>IF(I213="","",IFERROR(I213*HSCEI!$B$60*HSCEI!$G$60/HSCEI!$B$3,""))</f>
        <v/>
      </c>
      <c r="BX213" s="110">
        <f>IF(J213="","",IFERROR(J213*HSCEI!$B$60*HSCEI!$G$60/HSCEI!$B$3,""))</f>
        <v/>
      </c>
      <c r="BY213" s="110">
        <f>IF(K213="","",IFERROR(K213*HSCEI!$B$60*HSCEI!$G$60/HSCEI!$B$3,""))</f>
        <v/>
      </c>
      <c r="BZ213" s="110">
        <f>IF(L213="","",IFERROR(L213*HSCEI!$B$60*HSCEI!$G$60/HSCEI!$B$3,""))</f>
        <v/>
      </c>
      <c r="CA213" s="110">
        <f>IF(M213="","",IFERROR(M213*HSCEI!$B$60*HSCEI!$G$60/HSCEI!$B$3,""))</f>
        <v/>
      </c>
      <c r="CB213" s="110">
        <f>IF(N213="","",IFERROR(N213*HSCEI!$B$60*HSCEI!$G$60/HSCEI!$B$3,""))</f>
        <v/>
      </c>
      <c r="CC213" s="110">
        <f>IF(O213="","",IFERROR(O213*HSCEI!$B$60*HSCEI!$G$60/HSCEI!$B$3,""))</f>
        <v/>
      </c>
      <c r="CD213" s="110">
        <f>IF(P213="","",IFERROR(P213*HSCEI!$B$60*HSCEI!$G$60/HSCEI!$B$3,""))</f>
        <v/>
      </c>
      <c r="CE213" s="110">
        <f>IF(Q213="","",IFERROR(Q213*HSCEI!$B$60*HSCEI!$G$60/HSCEI!$B$3,""))</f>
        <v/>
      </c>
      <c r="CF213" s="110">
        <f>IF(R213="","",IFERROR(R213*HSCEI!$B$60*HSCEI!$G$60/HSCEI!$B$3,""))</f>
        <v/>
      </c>
      <c r="CG213" s="110">
        <f>IF(S213="","",IFERROR(S213*HSCEI!$B$60*HSCEI!$G$60/HSCEI!$B$3,""))</f>
        <v/>
      </c>
      <c r="CH213" s="110">
        <f>IF(T213="","",IFERROR(T213*HSCEI!$B$60*HSCEI!$G$60/HSCEI!$B$3,""))</f>
        <v/>
      </c>
      <c r="CI213" s="110">
        <f>IF(U213="","",IFERROR(U213*HSCEI!$B$60*HSCEI!$G$60/HSCEI!$B$3,""))</f>
        <v/>
      </c>
      <c r="CJ213" s="110">
        <f>IF(V213="","",IFERROR(V213*HSCEI!$B$60*HSCEI!$G$60/HSCEI!$B$3,""))</f>
        <v/>
      </c>
      <c r="CK213" s="110">
        <f>IF(W213="","",IFERROR(W213*HSCEI!$B$60*HSCEI!$G$60/HSCEI!$B$3,""))</f>
        <v/>
      </c>
      <c r="CL213" s="110">
        <f>IF(X213="","",IFERROR(X213*HSCEI!$B$60*HSCEI!$G$60/HSCEI!$B$3,""))</f>
        <v/>
      </c>
      <c r="CM213" s="110">
        <f>IF(Y213="","",IFERROR(Y213*HSCEI!$B$60*HSCEI!$G$60/HSCEI!$B$3,""))</f>
        <v/>
      </c>
      <c r="CN213" s="110">
        <f>IF(Z213="","",IFERROR(Z213*HSCEI!$B$60*HSCEI!$G$60/HSCEI!$B$3,""))</f>
        <v/>
      </c>
      <c r="CO213" s="110">
        <f>IF(AA213="","",IFERROR(AA213*HSCEI!$B$60*HSCEI!$G$60/HSCEI!$B$3,""))</f>
        <v/>
      </c>
      <c r="CP213" s="110">
        <f>IF(AB213="","",IFERROR(AB213*HSCEI!$B$60*HSCEI!$G$60/HSCEI!$B$3,""))</f>
        <v/>
      </c>
      <c r="CQ213" s="110">
        <f>IF(AC213="","",IFERROR(AC213*HSCEI!$B$60*HSCEI!$G$60/HSCEI!$B$3,""))</f>
        <v/>
      </c>
      <c r="CR213" s="110">
        <f>IF(AD213="","",IFERROR(AD213*HSCEI!$B$60*HSCEI!$G$60/HSCEI!$B$3,""))</f>
        <v/>
      </c>
      <c r="CS213" s="110">
        <f>IF(AE213="","",IFERROR(AE213*HSCEI!$B$60*HSCEI!$G$60/HSCEI!$B$3,""))</f>
        <v/>
      </c>
      <c r="CT213" s="110">
        <f>IF(AF213="","",IFERROR(AF213*HSCEI!$B$60*HSCEI!$G$60/HSCEI!$B$3,""))</f>
        <v/>
      </c>
      <c r="CU213" s="110">
        <f>IF(AG213="","",IFERROR(AG213*HSCEI!$B$60*HSCEI!$G$60/HSCEI!$B$3,""))</f>
        <v/>
      </c>
      <c r="CV213" s="110">
        <f>IF(AH213="","",IFERROR(AH213*HSCEI!$B$60*HSCEI!$G$60/HSCEI!$B$3,""))</f>
        <v/>
      </c>
      <c r="CW213" s="110">
        <f>IF(AI213="","",IFERROR(AI213*HSCEI!$B$60*HSCEI!$G$60/HSCEI!$B$3,""))</f>
        <v/>
      </c>
      <c r="CX213" s="110">
        <f>IF(AJ213="","",IFERROR(AJ213*HSCEI!$B$60*HSCEI!$G$60/HSCEI!$B$3,""))</f>
        <v/>
      </c>
      <c r="CY213" s="110">
        <f>IF(AK213="","",IFERROR(AK213*HSCEI!$B$60*HSCEI!$G$60/HSCEI!$B$3,""))</f>
        <v/>
      </c>
      <c r="CZ213" s="110">
        <f>IF(AL213="","",IFERROR(AL213*HSCEI!$B$60*HSCEI!$G$60/HSCEI!$B$3,""))</f>
        <v/>
      </c>
      <c r="DA213" s="110">
        <f>IF(AM213="","",IFERROR(AM213*HSCEI!$B$60*HSCEI!$G$60/HSCEI!$B$3,""))</f>
        <v/>
      </c>
      <c r="DB213" s="110">
        <f>IF(AN213="","",IFERROR(AN213*HSCEI!$B$60*HSCEI!$G$60/HSCEI!$B$3,""))</f>
        <v/>
      </c>
      <c r="DC213" s="110">
        <f>IF(AO213="","",IFERROR(AO213*HSCEI!$B$60*HSCEI!$G$60/HSCEI!$B$3,""))</f>
        <v/>
      </c>
      <c r="DD213" s="110">
        <f>IF(AP213="","",IFERROR(AP213*HSCEI!$B$60*HSCEI!$G$60/HSCEI!$B$3,""))</f>
        <v/>
      </c>
      <c r="DE213" s="110">
        <f>IF(AQ213="","",IFERROR(AQ213*HSCEI!$B$60*HSCEI!$G$60/HSCEI!$B$3,""))</f>
        <v/>
      </c>
      <c r="DF213" s="110">
        <f>IF(AR213="","",IFERROR(AR213*HSCEI!$B$60*HSCEI!$G$60/HSCEI!$B$3,""))</f>
        <v/>
      </c>
      <c r="DG213" s="110">
        <f>IF(AS213="","",IFERROR(AS213*HSCEI!$B$60*HSCEI!$G$60/HSCEI!$B$3,""))</f>
        <v/>
      </c>
      <c r="DH213" s="110">
        <f>IF(AT213="","",IFERROR(AT213*HSCEI!$B$60*HSCEI!$G$60/HSCEI!$B$3,""))</f>
        <v/>
      </c>
      <c r="DI213" s="110">
        <f>IF(AU213="","",IFERROR(AU213*HSCEI!$B$60*HSCEI!$G$60/HSCEI!$B$3,""))</f>
        <v/>
      </c>
      <c r="DJ213" s="110">
        <f>IF(AV213="","",IFERROR(AV213*HSCEI!$B$60*HSCEI!$G$60/HSCEI!$B$3,""))</f>
        <v/>
      </c>
      <c r="DK213" s="110">
        <f>IF(AW213="","",IFERROR(AW213*HSCEI!$B$60*HSCEI!$G$60/HSCEI!$B$3,""))</f>
        <v/>
      </c>
      <c r="DL213" s="110">
        <f>IF(AX213="","",IFERROR(AX213*HSCEI!$B$60*HSCEI!$G$60/HSCEI!$B$3,""))</f>
        <v/>
      </c>
      <c r="DM213" s="110">
        <f>IF(AY213="","",IFERROR(AY213*HSCEI!$B$60*HSCEI!$G$60/HSCEI!$B$3,""))</f>
        <v/>
      </c>
      <c r="DN213" s="110">
        <f>IF(AZ213="","",IFERROR(AZ213*HSCEI!$B$60*HSCEI!$G$60/HSCEI!$B$3,""))</f>
        <v/>
      </c>
      <c r="DO213" s="110">
        <f>IF(BA213="","",IFERROR(BA213*HSCEI!$B$60*HSCEI!$G$60/HSCEI!$B$3,""))</f>
        <v/>
      </c>
      <c r="DP213" s="110">
        <f>IF(BB213="","",IFERROR(BB213*HSCEI!$B$60*HSCEI!$G$60/HSCEI!$B$3,""))</f>
        <v/>
      </c>
      <c r="DQ213" s="110">
        <f>IF(BC213="","",IFERROR(BC213*HSCEI!$B$60*HSCEI!$G$60/HSCEI!$B$3,""))</f>
        <v/>
      </c>
      <c r="DR213" s="110">
        <f>IF(BD213="","",IFERROR(BD213*HSCEI!$B$60*HSCEI!$G$60/HSCEI!$B$3,""))</f>
        <v/>
      </c>
      <c r="DS213" s="110">
        <f>IF(BE213="","",IFERROR(BE213*HSCEI!$B$60*HSCEI!$G$60/HSCEI!$B$3,""))</f>
        <v/>
      </c>
      <c r="DT213" s="110">
        <f>IF(BF213="","",IFERROR(BF213*HSCEI!$B$60*HSCEI!$G$60/HSCEI!$B$3,""))</f>
        <v/>
      </c>
      <c r="DU213" s="110">
        <f>IF(BG213="","",IFERROR(BG213*HSCEI!$B$60*HSCEI!$G$60/HSCEI!$B$3,""))</f>
        <v/>
      </c>
      <c r="DV213" s="110">
        <f>IF(BH213="","",IFERROR(BH213*HSCEI!$B$60*HSCEI!$G$60/HSCEI!$B$3,""))</f>
        <v/>
      </c>
      <c r="DW213" s="110">
        <f>IF(BI213="","",IFERROR(BI213*HSCEI!$B$60*HSCEI!$G$60/HSCEI!$B$3,""))</f>
        <v/>
      </c>
      <c r="DX213" s="110">
        <f>IF(BJ213="","",IFERROR(BJ213*HSCEI!$B$60*HSCEI!$G$60/HSCEI!$B$3,""))</f>
        <v/>
      </c>
      <c r="DY213" s="110">
        <f>IF(BK213="","",IFERROR(BK213*HSCEI!$B$60*HSCEI!$G$60/HSCEI!$B$3,""))</f>
        <v/>
      </c>
      <c r="DZ213" s="110">
        <f>IF(BL213="","",IFERROR(BL213*HSCEI!$B$60*HSCEI!$G$60/HSCEI!$B$3,""))</f>
        <v/>
      </c>
      <c r="EA213" s="110">
        <f>IF(BM213="","",IFERROR(BM213*HSCEI!$B$60*HSCEI!$G$60/HSCEI!$B$3,""))</f>
        <v/>
      </c>
      <c r="EB213" s="110">
        <f>IF(BN213="","",IFERROR(BN213*HSCEI!$B$60*HSCEI!$G$60/HSCEI!$B$3,""))</f>
        <v/>
      </c>
      <c r="EC213" s="110">
        <f>IF(BO213="","",IFERROR(BO213*HSCEI!$B$60*HSCEI!$G$60/HSCEI!$B$3,""))</f>
        <v/>
      </c>
      <c r="EE213" s="39">
        <f>IF(N('Dvd Calendar'!$E$2144)=0,"",IF(('Dvd Calendar'!$E$2144&gt;=GRID_FROM)*('Dvd Calendar'!$E$2144&lt;=GRID_TO)*((('Dvd Calendar'!$E$2144&lt;=VAL_DATE)+(COUNTIF('Dvd Calendar'!$E$2151:$AR$2151,'Dvd Calendar'!$E$2144)=0))&gt;0)=0,"",'Dvd Calendar'!$E$2144*1000000000+ISNUMBER('Dvd Calendar'!$E$2147)*100000000+('Dvd Calendar'!$E$2149=SPECIAL_LBL)*10000000+(N('Dvd Calendar'!$E$2143)&gt;0)*(N('Dvd Calendar'!$E$2143)&lt;=VAL_SERIAL)*1000000+54*1000+1))</f>
        <v/>
      </c>
      <c r="EF213" s="39">
        <f>IF(N('Dvd Calendar'!$F$2144)=0,"",IF(('Dvd Calendar'!$F$2144&gt;=GRID_FROM)*('Dvd Calendar'!$F$2144&lt;=GRID_TO)*((('Dvd Calendar'!$F$2144&lt;=VAL_DATE)+(COUNTIF('Dvd Calendar'!$E$2151:$AR$2151,'Dvd Calendar'!$F$2144)=0))&gt;0)=0,"",'Dvd Calendar'!$F$2144*1000000000+ISNUMBER('Dvd Calendar'!$F$2147)*100000000+('Dvd Calendar'!$F$2149=SPECIAL_LBL)*10000000+(N('Dvd Calendar'!$F$2143)&gt;0)*(N('Dvd Calendar'!$F$2143)&lt;=VAL_SERIAL)*1000000+54*1000+2))</f>
        <v/>
      </c>
      <c r="EG213" s="39">
        <f>IF(N('Dvd Calendar'!$G$2144)=0,"",IF(('Dvd Calendar'!$G$2144&gt;=GRID_FROM)*('Dvd Calendar'!$G$2144&lt;=GRID_TO)*((('Dvd Calendar'!$G$2144&lt;=VAL_DATE)+(COUNTIF('Dvd Calendar'!$E$2151:$AR$2151,'Dvd Calendar'!$G$2144)=0))&gt;0)=0,"",'Dvd Calendar'!$G$2144*1000000000+ISNUMBER('Dvd Calendar'!$G$2147)*100000000+('Dvd Calendar'!$G$2149=SPECIAL_LBL)*10000000+(N('Dvd Calendar'!$G$2143)&gt;0)*(N('Dvd Calendar'!$G$2143)&lt;=VAL_SERIAL)*1000000+54*1000+3))</f>
        <v/>
      </c>
      <c r="EH213" s="39">
        <f>IF(N('Dvd Calendar'!$H$2144)=0,"",IF(('Dvd Calendar'!$H$2144&gt;=GRID_FROM)*('Dvd Calendar'!$H$2144&lt;=GRID_TO)*((('Dvd Calendar'!$H$2144&lt;=VAL_DATE)+(COUNTIF('Dvd Calendar'!$E$2151:$AR$2151,'Dvd Calendar'!$H$2144)=0))&gt;0)=0,"",'Dvd Calendar'!$H$2144*1000000000+ISNUMBER('Dvd Calendar'!$H$2147)*100000000+('Dvd Calendar'!$H$2149=SPECIAL_LBL)*10000000+(N('Dvd Calendar'!$H$2143)&gt;0)*(N('Dvd Calendar'!$H$2143)&lt;=VAL_SERIAL)*1000000+54*1000+4))</f>
        <v/>
      </c>
      <c r="EI213" s="39">
        <f>IF(N('Dvd Calendar'!$I$2144)=0,"",IF(('Dvd Calendar'!$I$2144&gt;=GRID_FROM)*('Dvd Calendar'!$I$2144&lt;=GRID_TO)*((('Dvd Calendar'!$I$2144&lt;=VAL_DATE)+(COUNTIF('Dvd Calendar'!$E$2151:$AR$2151,'Dvd Calendar'!$I$2144)=0))&gt;0)=0,"",'Dvd Calendar'!$I$2144*1000000000+ISNUMBER('Dvd Calendar'!$I$2147)*100000000+('Dvd Calendar'!$I$2149=SPECIAL_LBL)*10000000+(N('Dvd Calendar'!$I$2143)&gt;0)*(N('Dvd Calendar'!$I$2143)&lt;=VAL_SERIAL)*1000000+54*1000+5))</f>
        <v/>
      </c>
      <c r="EJ213" s="39">
        <f>IF(N('Dvd Calendar'!$J$2144)=0,"",IF(('Dvd Calendar'!$J$2144&gt;=GRID_FROM)*('Dvd Calendar'!$J$2144&lt;=GRID_TO)*((('Dvd Calendar'!$J$2144&lt;=VAL_DATE)+(COUNTIF('Dvd Calendar'!$E$2151:$AR$2151,'Dvd Calendar'!$J$2144)=0))&gt;0)=0,"",'Dvd Calendar'!$J$2144*1000000000+ISNUMBER('Dvd Calendar'!$J$2147)*100000000+('Dvd Calendar'!$J$2149=SPECIAL_LBL)*10000000+(N('Dvd Calendar'!$J$2143)&gt;0)*(N('Dvd Calendar'!$J$2143)&lt;=VAL_SERIAL)*1000000+54*1000+6))</f>
        <v/>
      </c>
      <c r="EK213" s="39">
        <f>IF(N('Dvd Calendar'!$K$2144)=0,"",IF(('Dvd Calendar'!$K$2144&gt;=GRID_FROM)*('Dvd Calendar'!$K$2144&lt;=GRID_TO)*((('Dvd Calendar'!$K$2144&lt;=VAL_DATE)+(COUNTIF('Dvd Calendar'!$E$2151:$AR$2151,'Dvd Calendar'!$K$2144)=0))&gt;0)=0,"",'Dvd Calendar'!$K$2144*1000000000+ISNUMBER('Dvd Calendar'!$K$2147)*100000000+('Dvd Calendar'!$K$2149=SPECIAL_LBL)*10000000+(N('Dvd Calendar'!$K$2143)&gt;0)*(N('Dvd Calendar'!$K$2143)&lt;=VAL_SERIAL)*1000000+54*1000+7))</f>
        <v/>
      </c>
      <c r="EL213" s="39">
        <f>IF(N('Dvd Calendar'!$L$2144)=0,"",IF(('Dvd Calendar'!$L$2144&gt;=GRID_FROM)*('Dvd Calendar'!$L$2144&lt;=GRID_TO)*((('Dvd Calendar'!$L$2144&lt;=VAL_DATE)+(COUNTIF('Dvd Calendar'!$E$2151:$AR$2151,'Dvd Calendar'!$L$2144)=0))&gt;0)=0,"",'Dvd Calendar'!$L$2144*1000000000+ISNUMBER('Dvd Calendar'!$L$2147)*100000000+('Dvd Calendar'!$L$2149=SPECIAL_LBL)*10000000+(N('Dvd Calendar'!$L$2143)&gt;0)*(N('Dvd Calendar'!$L$2143)&lt;=VAL_SERIAL)*1000000+54*1000+8))</f>
        <v/>
      </c>
      <c r="EM213" s="39">
        <f>IF(N('Dvd Calendar'!$M$2144)=0,"",IF(('Dvd Calendar'!$M$2144&gt;=GRID_FROM)*('Dvd Calendar'!$M$2144&lt;=GRID_TO)*((('Dvd Calendar'!$M$2144&lt;=VAL_DATE)+(COUNTIF('Dvd Calendar'!$E$2151:$AR$2151,'Dvd Calendar'!$M$2144)=0))&gt;0)=0,"",'Dvd Calendar'!$M$2144*1000000000+ISNUMBER('Dvd Calendar'!$M$2147)*100000000+('Dvd Calendar'!$M$2149=SPECIAL_LBL)*10000000+(N('Dvd Calendar'!$M$2143)&gt;0)*(N('Dvd Calendar'!$M$2143)&lt;=VAL_SERIAL)*1000000+54*1000+9))</f>
        <v/>
      </c>
      <c r="EN213" s="39">
        <f>IF(N('Dvd Calendar'!$N$2144)=0,"",IF(('Dvd Calendar'!$N$2144&gt;=GRID_FROM)*('Dvd Calendar'!$N$2144&lt;=GRID_TO)*((('Dvd Calendar'!$N$2144&lt;=VAL_DATE)+(COUNTIF('Dvd Calendar'!$E$2151:$AR$2151,'Dvd Calendar'!$N$2144)=0))&gt;0)=0,"",'Dvd Calendar'!$N$2144*1000000000+ISNUMBER('Dvd Calendar'!$N$2147)*100000000+('Dvd Calendar'!$N$2149=SPECIAL_LBL)*10000000+(N('Dvd Calendar'!$N$2143)&gt;0)*(N('Dvd Calendar'!$N$2143)&lt;=VAL_SERIAL)*1000000+54*1000+10))</f>
        <v/>
      </c>
      <c r="EO213" s="39">
        <f>IF(N('Dvd Calendar'!$O$2144)=0,"",IF(('Dvd Calendar'!$O$2144&gt;=GRID_FROM)*('Dvd Calendar'!$O$2144&lt;=GRID_TO)*((('Dvd Calendar'!$O$2144&lt;=VAL_DATE)+(COUNTIF('Dvd Calendar'!$E$2151:$AR$2151,'Dvd Calendar'!$O$2144)=0))&gt;0)=0,"",'Dvd Calendar'!$O$2144*1000000000+ISNUMBER('Dvd Calendar'!$O$2147)*100000000+('Dvd Calendar'!$O$2149=SPECIAL_LBL)*10000000+(N('Dvd Calendar'!$O$2143)&gt;0)*(N('Dvd Calendar'!$O$2143)&lt;=VAL_SERIAL)*1000000+54*1000+11))</f>
        <v/>
      </c>
      <c r="EP213" s="39">
        <f>IF(N('Dvd Calendar'!$P$2144)=0,"",IF(('Dvd Calendar'!$P$2144&gt;=GRID_FROM)*('Dvd Calendar'!$P$2144&lt;=GRID_TO)*((('Dvd Calendar'!$P$2144&lt;=VAL_DATE)+(COUNTIF('Dvd Calendar'!$E$2151:$AR$2151,'Dvd Calendar'!$P$2144)=0))&gt;0)=0,"",'Dvd Calendar'!$P$2144*1000000000+ISNUMBER('Dvd Calendar'!$P$2147)*100000000+('Dvd Calendar'!$P$2149=SPECIAL_LBL)*10000000+(N('Dvd Calendar'!$P$2143)&gt;0)*(N('Dvd Calendar'!$P$2143)&lt;=VAL_SERIAL)*1000000+54*1000+12))</f>
        <v/>
      </c>
      <c r="EQ213" s="39">
        <f>IF(N('Dvd Calendar'!$Q$2144)=0,"",IF(('Dvd Calendar'!$Q$2144&gt;=GRID_FROM)*('Dvd Calendar'!$Q$2144&lt;=GRID_TO)*((('Dvd Calendar'!$Q$2144&lt;=VAL_DATE)+(COUNTIF('Dvd Calendar'!$E$2151:$AR$2151,'Dvd Calendar'!$Q$2144)=0))&gt;0)=0,"",'Dvd Calendar'!$Q$2144*1000000000+ISNUMBER('Dvd Calendar'!$Q$2147)*100000000+('Dvd Calendar'!$Q$2149=SPECIAL_LBL)*10000000+(N('Dvd Calendar'!$Q$2143)&gt;0)*(N('Dvd Calendar'!$Q$2143)&lt;=VAL_SERIAL)*1000000+54*1000+13))</f>
        <v/>
      </c>
      <c r="ER213" s="39">
        <f>IF(N('Dvd Calendar'!$R$2144)=0,"",IF(('Dvd Calendar'!$R$2144&gt;=GRID_FROM)*('Dvd Calendar'!$R$2144&lt;=GRID_TO)*((('Dvd Calendar'!$R$2144&lt;=VAL_DATE)+(COUNTIF('Dvd Calendar'!$E$2151:$AR$2151,'Dvd Calendar'!$R$2144)=0))&gt;0)=0,"",'Dvd Calendar'!$R$2144*1000000000+ISNUMBER('Dvd Calendar'!$R$2147)*100000000+('Dvd Calendar'!$R$2149=SPECIAL_LBL)*10000000+(N('Dvd Calendar'!$R$2143)&gt;0)*(N('Dvd Calendar'!$R$2143)&lt;=VAL_SERIAL)*1000000+54*1000+14))</f>
        <v/>
      </c>
      <c r="ES213" s="39">
        <f>IF(N('Dvd Calendar'!$S$2144)=0,"",IF(('Dvd Calendar'!$S$2144&gt;=GRID_FROM)*('Dvd Calendar'!$S$2144&lt;=GRID_TO)*((('Dvd Calendar'!$S$2144&lt;=VAL_DATE)+(COUNTIF('Dvd Calendar'!$E$2151:$AR$2151,'Dvd Calendar'!$S$2144)=0))&gt;0)=0,"",'Dvd Calendar'!$S$2144*1000000000+ISNUMBER('Dvd Calendar'!$S$2147)*100000000+('Dvd Calendar'!$S$2149=SPECIAL_LBL)*10000000+(N('Dvd Calendar'!$S$2143)&gt;0)*(N('Dvd Calendar'!$S$2143)&lt;=VAL_SERIAL)*1000000+54*1000+15))</f>
        <v/>
      </c>
      <c r="ET213" s="39">
        <f>IF(N('Dvd Calendar'!$T$2144)=0,"",IF(('Dvd Calendar'!$T$2144&gt;=GRID_FROM)*('Dvd Calendar'!$T$2144&lt;=GRID_TO)*((('Dvd Calendar'!$T$2144&lt;=VAL_DATE)+(COUNTIF('Dvd Calendar'!$E$2151:$AR$2151,'Dvd Calendar'!$T$2144)=0))&gt;0)=0,"",'Dvd Calendar'!$T$2144*1000000000+ISNUMBER('Dvd Calendar'!$T$2147)*100000000+('Dvd Calendar'!$T$2149=SPECIAL_LBL)*10000000+(N('Dvd Calendar'!$T$2143)&gt;0)*(N('Dvd Calendar'!$T$2143)&lt;=VAL_SERIAL)*1000000+54*1000+16))</f>
        <v/>
      </c>
      <c r="EU213" s="39">
        <f>IF(N('Dvd Calendar'!$U$2144)=0,"",IF(('Dvd Calendar'!$U$2144&gt;=GRID_FROM)*('Dvd Calendar'!$U$2144&lt;=GRID_TO)*((('Dvd Calendar'!$U$2144&lt;=VAL_DATE)+(COUNTIF('Dvd Calendar'!$E$2151:$AR$2151,'Dvd Calendar'!$U$2144)=0))&gt;0)=0,"",'Dvd Calendar'!$U$2144*1000000000+ISNUMBER('Dvd Calendar'!$U$2147)*100000000+('Dvd Calendar'!$U$2149=SPECIAL_LBL)*10000000+(N('Dvd Calendar'!$U$2143)&gt;0)*(N('Dvd Calendar'!$U$2143)&lt;=VAL_SERIAL)*1000000+54*1000+17))</f>
        <v/>
      </c>
      <c r="EV213" s="39">
        <f>IF(N('Dvd Calendar'!$V$2144)=0,"",IF(('Dvd Calendar'!$V$2144&gt;=GRID_FROM)*('Dvd Calendar'!$V$2144&lt;=GRID_TO)*((('Dvd Calendar'!$V$2144&lt;=VAL_DATE)+(COUNTIF('Dvd Calendar'!$E$2151:$AR$2151,'Dvd Calendar'!$V$2144)=0))&gt;0)=0,"",'Dvd Calendar'!$V$2144*1000000000+ISNUMBER('Dvd Calendar'!$V$2147)*100000000+('Dvd Calendar'!$V$2149=SPECIAL_LBL)*10000000+(N('Dvd Calendar'!$V$2143)&gt;0)*(N('Dvd Calendar'!$V$2143)&lt;=VAL_SERIAL)*1000000+54*1000+18))</f>
        <v/>
      </c>
      <c r="EW213" s="39">
        <f>IF(N('Dvd Calendar'!$W$2144)=0,"",IF(('Dvd Calendar'!$W$2144&gt;=GRID_FROM)*('Dvd Calendar'!$W$2144&lt;=GRID_TO)*((('Dvd Calendar'!$W$2144&lt;=VAL_DATE)+(COUNTIF('Dvd Calendar'!$E$2151:$AR$2151,'Dvd Calendar'!$W$2144)=0))&gt;0)=0,"",'Dvd Calendar'!$W$2144*1000000000+ISNUMBER('Dvd Calendar'!$W$2147)*100000000+('Dvd Calendar'!$W$2149=SPECIAL_LBL)*10000000+(N('Dvd Calendar'!$W$2143)&gt;0)*(N('Dvd Calendar'!$W$2143)&lt;=VAL_SERIAL)*1000000+54*1000+19))</f>
        <v/>
      </c>
      <c r="EX213" s="39">
        <f>IF(N('Dvd Calendar'!$X$2144)=0,"",IF(('Dvd Calendar'!$X$2144&gt;=GRID_FROM)*('Dvd Calendar'!$X$2144&lt;=GRID_TO)*((('Dvd Calendar'!$X$2144&lt;=VAL_DATE)+(COUNTIF('Dvd Calendar'!$E$2151:$AR$2151,'Dvd Calendar'!$X$2144)=0))&gt;0)=0,"",'Dvd Calendar'!$X$2144*1000000000+ISNUMBER('Dvd Calendar'!$X$2147)*100000000+('Dvd Calendar'!$X$2149=SPECIAL_LBL)*10000000+(N('Dvd Calendar'!$X$2143)&gt;0)*(N('Dvd Calendar'!$X$2143)&lt;=VAL_SERIAL)*1000000+54*1000+20))</f>
        <v/>
      </c>
      <c r="EY213" s="39">
        <f>IF(N('Dvd Calendar'!$Y$2144)=0,"",IF(('Dvd Calendar'!$Y$2144&gt;=GRID_FROM)*('Dvd Calendar'!$Y$2144&lt;=GRID_TO)*((('Dvd Calendar'!$Y$2144&lt;=VAL_DATE)+(COUNTIF('Dvd Calendar'!$E$2151:$AR$2151,'Dvd Calendar'!$Y$2144)=0))&gt;0)=0,"",'Dvd Calendar'!$Y$2144*1000000000+ISNUMBER('Dvd Calendar'!$Y$2147)*100000000+('Dvd Calendar'!$Y$2149=SPECIAL_LBL)*10000000+(N('Dvd Calendar'!$Y$2143)&gt;0)*(N('Dvd Calendar'!$Y$2143)&lt;=VAL_SERIAL)*1000000+54*1000+21))</f>
        <v/>
      </c>
      <c r="EZ213" s="39">
        <f>IF(N('Dvd Calendar'!$Z$2144)=0,"",IF(('Dvd Calendar'!$Z$2144&gt;=GRID_FROM)*('Dvd Calendar'!$Z$2144&lt;=GRID_TO)*((('Dvd Calendar'!$Z$2144&lt;=VAL_DATE)+(COUNTIF('Dvd Calendar'!$E$2151:$AR$2151,'Dvd Calendar'!$Z$2144)=0))&gt;0)=0,"",'Dvd Calendar'!$Z$2144*1000000000+ISNUMBER('Dvd Calendar'!$Z$2147)*100000000+('Dvd Calendar'!$Z$2149=SPECIAL_LBL)*10000000+(N('Dvd Calendar'!$Z$2143)&gt;0)*(N('Dvd Calendar'!$Z$2143)&lt;=VAL_SERIAL)*1000000+54*1000+22))</f>
        <v/>
      </c>
      <c r="FA213" s="39">
        <f>IF(N('Dvd Calendar'!$AA$2144)=0,"",IF(('Dvd Calendar'!$AA$2144&gt;=GRID_FROM)*('Dvd Calendar'!$AA$2144&lt;=GRID_TO)*((('Dvd Calendar'!$AA$2144&lt;=VAL_DATE)+(COUNTIF('Dvd Calendar'!$E$2151:$AR$2151,'Dvd Calendar'!$AA$2144)=0))&gt;0)=0,"",'Dvd Calendar'!$AA$2144*1000000000+ISNUMBER('Dvd Calendar'!$AA$2147)*100000000+('Dvd Calendar'!$AA$2149=SPECIAL_LBL)*10000000+(N('Dvd Calendar'!$AA$2143)&gt;0)*(N('Dvd Calendar'!$AA$2143)&lt;=VAL_SERIAL)*1000000+54*1000+23))</f>
        <v/>
      </c>
      <c r="FB213" s="39">
        <f>IF(N('Dvd Calendar'!$AB$2144)=0,"",IF(('Dvd Calendar'!$AB$2144&gt;=GRID_FROM)*('Dvd Calendar'!$AB$2144&lt;=GRID_TO)*((('Dvd Calendar'!$AB$2144&lt;=VAL_DATE)+(COUNTIF('Dvd Calendar'!$E$2151:$AR$2151,'Dvd Calendar'!$AB$2144)=0))&gt;0)=0,"",'Dvd Calendar'!$AB$2144*1000000000+ISNUMBER('Dvd Calendar'!$AB$2147)*100000000+('Dvd Calendar'!$AB$2149=SPECIAL_LBL)*10000000+(N('Dvd Calendar'!$AB$2143)&gt;0)*(N('Dvd Calendar'!$AB$2143)&lt;=VAL_SERIAL)*1000000+54*1000+24))</f>
        <v/>
      </c>
      <c r="FC213" s="39">
        <f>IF(N('Dvd Calendar'!$AC$2144)=0,"",IF(('Dvd Calendar'!$AC$2144&gt;=GRID_FROM)*('Dvd Calendar'!$AC$2144&lt;=GRID_TO)*((('Dvd Calendar'!$AC$2144&lt;=VAL_DATE)+(COUNTIF('Dvd Calendar'!$E$2151:$AR$2151,'Dvd Calendar'!$AC$2144)=0))&gt;0)=0,"",'Dvd Calendar'!$AC$2144*1000000000+ISNUMBER('Dvd Calendar'!$AC$2147)*100000000+('Dvd Calendar'!$AC$2149=SPECIAL_LBL)*10000000+(N('Dvd Calendar'!$AC$2143)&gt;0)*(N('Dvd Calendar'!$AC$2143)&lt;=VAL_SERIAL)*1000000+54*1000+25))</f>
        <v/>
      </c>
      <c r="FD213" s="39">
        <f>IF(N('Dvd Calendar'!$AD$2144)=0,"",IF(('Dvd Calendar'!$AD$2144&gt;=GRID_FROM)*('Dvd Calendar'!$AD$2144&lt;=GRID_TO)*((('Dvd Calendar'!$AD$2144&lt;=VAL_DATE)+(COUNTIF('Dvd Calendar'!$E$2151:$AR$2151,'Dvd Calendar'!$AD$2144)=0))&gt;0)=0,"",'Dvd Calendar'!$AD$2144*1000000000+ISNUMBER('Dvd Calendar'!$AD$2147)*100000000+('Dvd Calendar'!$AD$2149=SPECIAL_LBL)*10000000+(N('Dvd Calendar'!$AD$2143)&gt;0)*(N('Dvd Calendar'!$AD$2143)&lt;=VAL_SERIAL)*1000000+54*1000+26))</f>
        <v/>
      </c>
      <c r="FE213" s="39">
        <f>IF(N('Dvd Calendar'!$AE$2144)=0,"",IF(('Dvd Calendar'!$AE$2144&gt;=GRID_FROM)*('Dvd Calendar'!$AE$2144&lt;=GRID_TO)*((('Dvd Calendar'!$AE$2144&lt;=VAL_DATE)+(COUNTIF('Dvd Calendar'!$E$2151:$AR$2151,'Dvd Calendar'!$AE$2144)=0))&gt;0)=0,"",'Dvd Calendar'!$AE$2144*1000000000+ISNUMBER('Dvd Calendar'!$AE$2147)*100000000+('Dvd Calendar'!$AE$2149=SPECIAL_LBL)*10000000+(N('Dvd Calendar'!$AE$2143)&gt;0)*(N('Dvd Calendar'!$AE$2143)&lt;=VAL_SERIAL)*1000000+54*1000+27))</f>
        <v/>
      </c>
      <c r="FF213" s="39">
        <f>IF(N('Dvd Calendar'!$AF$2144)=0,"",IF(('Dvd Calendar'!$AF$2144&gt;=GRID_FROM)*('Dvd Calendar'!$AF$2144&lt;=GRID_TO)*((('Dvd Calendar'!$AF$2144&lt;=VAL_DATE)+(COUNTIF('Dvd Calendar'!$E$2151:$AR$2151,'Dvd Calendar'!$AF$2144)=0))&gt;0)=0,"",'Dvd Calendar'!$AF$2144*1000000000+ISNUMBER('Dvd Calendar'!$AF$2147)*100000000+('Dvd Calendar'!$AF$2149=SPECIAL_LBL)*10000000+(N('Dvd Calendar'!$AF$2143)&gt;0)*(N('Dvd Calendar'!$AF$2143)&lt;=VAL_SERIAL)*1000000+54*1000+28))</f>
        <v/>
      </c>
      <c r="FG213" s="39">
        <f>IF(N('Dvd Calendar'!$AG$2144)=0,"",IF(('Dvd Calendar'!$AG$2144&gt;=GRID_FROM)*('Dvd Calendar'!$AG$2144&lt;=GRID_TO)*((('Dvd Calendar'!$AG$2144&lt;=VAL_DATE)+(COUNTIF('Dvd Calendar'!$E$2151:$AR$2151,'Dvd Calendar'!$AG$2144)=0))&gt;0)=0,"",'Dvd Calendar'!$AG$2144*1000000000+ISNUMBER('Dvd Calendar'!$AG$2147)*100000000+('Dvd Calendar'!$AG$2149=SPECIAL_LBL)*10000000+(N('Dvd Calendar'!$AG$2143)&gt;0)*(N('Dvd Calendar'!$AG$2143)&lt;=VAL_SERIAL)*1000000+54*1000+29))</f>
        <v/>
      </c>
      <c r="FH213" s="39">
        <f>IF(N('Dvd Calendar'!$AH$2144)=0,"",IF(('Dvd Calendar'!$AH$2144&gt;=GRID_FROM)*('Dvd Calendar'!$AH$2144&lt;=GRID_TO)*((('Dvd Calendar'!$AH$2144&lt;=VAL_DATE)+(COUNTIF('Dvd Calendar'!$E$2151:$AR$2151,'Dvd Calendar'!$AH$2144)=0))&gt;0)=0,"",'Dvd Calendar'!$AH$2144*1000000000+ISNUMBER('Dvd Calendar'!$AH$2147)*100000000+('Dvd Calendar'!$AH$2149=SPECIAL_LBL)*10000000+(N('Dvd Calendar'!$AH$2143)&gt;0)*(N('Dvd Calendar'!$AH$2143)&lt;=VAL_SERIAL)*1000000+54*1000+30))</f>
        <v/>
      </c>
      <c r="FI213" s="39">
        <f>IF(N('Dvd Calendar'!$AI$2144)=0,"",IF(('Dvd Calendar'!$AI$2144&gt;=GRID_FROM)*('Dvd Calendar'!$AI$2144&lt;=GRID_TO)*((('Dvd Calendar'!$AI$2144&lt;=VAL_DATE)+(COUNTIF('Dvd Calendar'!$E$2151:$AR$2151,'Dvd Calendar'!$AI$2144)=0))&gt;0)=0,"",'Dvd Calendar'!$AI$2144*1000000000+ISNUMBER('Dvd Calendar'!$AI$2147)*100000000+('Dvd Calendar'!$AI$2149=SPECIAL_LBL)*10000000+(N('Dvd Calendar'!$AI$2143)&gt;0)*(N('Dvd Calendar'!$AI$2143)&lt;=VAL_SERIAL)*1000000+54*1000+31))</f>
        <v/>
      </c>
      <c r="FJ213" s="39">
        <f>IF(N('Dvd Calendar'!$AJ$2144)=0,"",IF(('Dvd Calendar'!$AJ$2144&gt;=GRID_FROM)*('Dvd Calendar'!$AJ$2144&lt;=GRID_TO)*((('Dvd Calendar'!$AJ$2144&lt;=VAL_DATE)+(COUNTIF('Dvd Calendar'!$E$2151:$AR$2151,'Dvd Calendar'!$AJ$2144)=0))&gt;0)=0,"",'Dvd Calendar'!$AJ$2144*1000000000+ISNUMBER('Dvd Calendar'!$AJ$2147)*100000000+('Dvd Calendar'!$AJ$2149=SPECIAL_LBL)*10000000+(N('Dvd Calendar'!$AJ$2143)&gt;0)*(N('Dvd Calendar'!$AJ$2143)&lt;=VAL_SERIAL)*1000000+54*1000+32))</f>
        <v/>
      </c>
      <c r="FK213" s="39">
        <f>IF(N('Dvd Calendar'!$AK$2144)=0,"",IF(('Dvd Calendar'!$AK$2144&gt;=GRID_FROM)*('Dvd Calendar'!$AK$2144&lt;=GRID_TO)*((('Dvd Calendar'!$AK$2144&lt;=VAL_DATE)+(COUNTIF('Dvd Calendar'!$E$2151:$AR$2151,'Dvd Calendar'!$AK$2144)=0))&gt;0)=0,"",'Dvd Calendar'!$AK$2144*1000000000+ISNUMBER('Dvd Calendar'!$AK$2147)*100000000+('Dvd Calendar'!$AK$2149=SPECIAL_LBL)*10000000+(N('Dvd Calendar'!$AK$2143)&gt;0)*(N('Dvd Calendar'!$AK$2143)&lt;=VAL_SERIAL)*1000000+54*1000+33))</f>
        <v/>
      </c>
      <c r="FL213" s="39">
        <f>IF(N('Dvd Calendar'!$AL$2144)=0,"",IF(('Dvd Calendar'!$AL$2144&gt;=GRID_FROM)*('Dvd Calendar'!$AL$2144&lt;=GRID_TO)*((('Dvd Calendar'!$AL$2144&lt;=VAL_DATE)+(COUNTIF('Dvd Calendar'!$E$2151:$AR$2151,'Dvd Calendar'!$AL$2144)=0))&gt;0)=0,"",'Dvd Calendar'!$AL$2144*1000000000+ISNUMBER('Dvd Calendar'!$AL$2147)*100000000+('Dvd Calendar'!$AL$2149=SPECIAL_LBL)*10000000+(N('Dvd Calendar'!$AL$2143)&gt;0)*(N('Dvd Calendar'!$AL$2143)&lt;=VAL_SERIAL)*1000000+54*1000+34))</f>
        <v/>
      </c>
      <c r="FM213" s="39">
        <f>IF(N('Dvd Calendar'!$AM$2144)=0,"",IF(('Dvd Calendar'!$AM$2144&gt;=GRID_FROM)*('Dvd Calendar'!$AM$2144&lt;=GRID_TO)*((('Dvd Calendar'!$AM$2144&lt;=VAL_DATE)+(COUNTIF('Dvd Calendar'!$E$2151:$AR$2151,'Dvd Calendar'!$AM$2144)=0))&gt;0)=0,"",'Dvd Calendar'!$AM$2144*1000000000+ISNUMBER('Dvd Calendar'!$AM$2147)*100000000+('Dvd Calendar'!$AM$2149=SPECIAL_LBL)*10000000+(N('Dvd Calendar'!$AM$2143)&gt;0)*(N('Dvd Calendar'!$AM$2143)&lt;=VAL_SERIAL)*1000000+54*1000+35))</f>
        <v/>
      </c>
      <c r="FN213" s="39">
        <f>IF(N('Dvd Calendar'!$AN$2144)=0,"",IF(('Dvd Calendar'!$AN$2144&gt;=GRID_FROM)*('Dvd Calendar'!$AN$2144&lt;=GRID_TO)*((('Dvd Calendar'!$AN$2144&lt;=VAL_DATE)+(COUNTIF('Dvd Calendar'!$E$2151:$AR$2151,'Dvd Calendar'!$AN$2144)=0))&gt;0)=0,"",'Dvd Calendar'!$AN$2144*1000000000+ISNUMBER('Dvd Calendar'!$AN$2147)*100000000+('Dvd Calendar'!$AN$2149=SPECIAL_LBL)*10000000+(N('Dvd Calendar'!$AN$2143)&gt;0)*(N('Dvd Calendar'!$AN$2143)&lt;=VAL_SERIAL)*1000000+54*1000+36))</f>
        <v/>
      </c>
      <c r="FO213" s="39">
        <f>IF(N('Dvd Calendar'!$AO$2144)=0,"",IF(('Dvd Calendar'!$AO$2144&gt;=GRID_FROM)*('Dvd Calendar'!$AO$2144&lt;=GRID_TO)*((('Dvd Calendar'!$AO$2144&lt;=VAL_DATE)+(COUNTIF('Dvd Calendar'!$E$2151:$AR$2151,'Dvd Calendar'!$AO$2144)=0))&gt;0)=0,"",'Dvd Calendar'!$AO$2144*1000000000+ISNUMBER('Dvd Calendar'!$AO$2147)*100000000+('Dvd Calendar'!$AO$2149=SPECIAL_LBL)*10000000+(N('Dvd Calendar'!$AO$2143)&gt;0)*(N('Dvd Calendar'!$AO$2143)&lt;=VAL_SERIAL)*1000000+54*1000+37))</f>
        <v/>
      </c>
      <c r="FP213" s="39">
        <f>IF(N('Dvd Calendar'!$AP$2144)=0,"",IF(('Dvd Calendar'!$AP$2144&gt;=GRID_FROM)*('Dvd Calendar'!$AP$2144&lt;=GRID_TO)*((('Dvd Calendar'!$AP$2144&lt;=VAL_DATE)+(COUNTIF('Dvd Calendar'!$E$2151:$AR$2151,'Dvd Calendar'!$AP$2144)=0))&gt;0)=0,"",'Dvd Calendar'!$AP$2144*1000000000+ISNUMBER('Dvd Calendar'!$AP$2147)*100000000+('Dvd Calendar'!$AP$2149=SPECIAL_LBL)*10000000+(N('Dvd Calendar'!$AP$2143)&gt;0)*(N('Dvd Calendar'!$AP$2143)&lt;=VAL_SERIAL)*1000000+54*1000+38))</f>
        <v/>
      </c>
      <c r="FQ213" s="39">
        <f>IF(N('Dvd Calendar'!$AQ$2144)=0,"",IF(('Dvd Calendar'!$AQ$2144&gt;=GRID_FROM)*('Dvd Calendar'!$AQ$2144&lt;=GRID_TO)*((('Dvd Calendar'!$AQ$2144&lt;=VAL_DATE)+(COUNTIF('Dvd Calendar'!$E$2151:$AR$2151,'Dvd Calendar'!$AQ$2144)=0))&gt;0)=0,"",'Dvd Calendar'!$AQ$2144*1000000000+ISNUMBER('Dvd Calendar'!$AQ$2147)*100000000+('Dvd Calendar'!$AQ$2149=SPECIAL_LBL)*10000000+(N('Dvd Calendar'!$AQ$2143)&gt;0)*(N('Dvd Calendar'!$AQ$2143)&lt;=VAL_SERIAL)*1000000+54*1000+39))</f>
        <v/>
      </c>
      <c r="FR213" s="39">
        <f>IF(N('Dvd Calendar'!$AR$2144)=0,"",IF(('Dvd Calendar'!$AR$2144&gt;=GRID_FROM)*('Dvd Calendar'!$AR$2144&lt;=GRID_TO)*((('Dvd Calendar'!$AR$2144&lt;=VAL_DATE)+(COUNTIF('Dvd Calendar'!$E$2151:$AR$2151,'Dvd Calendar'!$AR$2144)=0))&gt;0)=0,"",'Dvd Calendar'!$AR$2144*1000000000+ISNUMBER('Dvd Calendar'!$AR$2147)*100000000+('Dvd Calendar'!$AR$2149=SPECIAL_LBL)*10000000+(N('Dvd Calendar'!$AR$2143)&gt;0)*(N('Dvd Calendar'!$AR$2143)&lt;=VAL_SERIAL)*1000000+54*1000+40))</f>
        <v/>
      </c>
      <c r="FS213" s="39">
        <f>IF(N('Dvd Calendar'!$E$2151)=0,"",IF(('Dvd Calendar'!$E$2151&gt;=GRID_FROM)*('Dvd Calendar'!$E$2151&lt;=GRID_TO)*('Dvd Calendar'!$E$2151&gt;VAL_DATE)=0,"",'Dvd Calendar'!$E$2151*1000000000+ISNUMBER('Dvd Calendar'!$E$2152)*100000000+0*10000000+(N('Dvd Calendar'!$E$2150)&gt;0)*(N('Dvd Calendar'!$E$2150)&lt;=VAL_SERIAL)*1000000+54*1000+41))</f>
        <v/>
      </c>
      <c r="FT213" s="39">
        <f>IF(N('Dvd Calendar'!$F$2151)=0,"",IF(('Dvd Calendar'!$F$2151&gt;=GRID_FROM)*('Dvd Calendar'!$F$2151&lt;=GRID_TO)*('Dvd Calendar'!$F$2151&gt;VAL_DATE)=0,"",'Dvd Calendar'!$F$2151*1000000000+ISNUMBER('Dvd Calendar'!$F$2152)*100000000+0*10000000+(N('Dvd Calendar'!$F$2150)&gt;0)*(N('Dvd Calendar'!$F$2150)&lt;=VAL_SERIAL)*1000000+54*1000+42))</f>
        <v/>
      </c>
      <c r="FU213" s="39">
        <f>IF(N('Dvd Calendar'!$G$2151)=0,"",IF(('Dvd Calendar'!$G$2151&gt;=GRID_FROM)*('Dvd Calendar'!$G$2151&lt;=GRID_TO)*('Dvd Calendar'!$G$2151&gt;VAL_DATE)=0,"",'Dvd Calendar'!$G$2151*1000000000+ISNUMBER('Dvd Calendar'!$G$2152)*100000000+0*10000000+(N('Dvd Calendar'!$G$2150)&gt;0)*(N('Dvd Calendar'!$G$2150)&lt;=VAL_SERIAL)*1000000+54*1000+43))</f>
        <v/>
      </c>
      <c r="FV213" s="39">
        <f>IF(N('Dvd Calendar'!$H$2151)=0,"",IF(('Dvd Calendar'!$H$2151&gt;=GRID_FROM)*('Dvd Calendar'!$H$2151&lt;=GRID_TO)*('Dvd Calendar'!$H$2151&gt;VAL_DATE)=0,"",'Dvd Calendar'!$H$2151*1000000000+ISNUMBER('Dvd Calendar'!$H$2152)*100000000+0*10000000+(N('Dvd Calendar'!$H$2150)&gt;0)*(N('Dvd Calendar'!$H$2150)&lt;=VAL_SERIAL)*1000000+54*1000+44))</f>
        <v/>
      </c>
      <c r="FW213" s="39">
        <f>IF(N('Dvd Calendar'!$I$2151)=0,"",IF(('Dvd Calendar'!$I$2151&gt;=GRID_FROM)*('Dvd Calendar'!$I$2151&lt;=GRID_TO)*('Dvd Calendar'!$I$2151&gt;VAL_DATE)=0,"",'Dvd Calendar'!$I$2151*1000000000+ISNUMBER('Dvd Calendar'!$I$2152)*100000000+0*10000000+(N('Dvd Calendar'!$I$2150)&gt;0)*(N('Dvd Calendar'!$I$2150)&lt;=VAL_SERIAL)*1000000+54*1000+45))</f>
        <v/>
      </c>
      <c r="FX213" s="39">
        <f>IF(N('Dvd Calendar'!$J$2151)=0,"",IF(('Dvd Calendar'!$J$2151&gt;=GRID_FROM)*('Dvd Calendar'!$J$2151&lt;=GRID_TO)*('Dvd Calendar'!$J$2151&gt;VAL_DATE)=0,"",'Dvd Calendar'!$J$2151*1000000000+ISNUMBER('Dvd Calendar'!$J$2152)*100000000+0*10000000+(N('Dvd Calendar'!$J$2150)&gt;0)*(N('Dvd Calendar'!$J$2150)&lt;=VAL_SERIAL)*1000000+54*1000+46))</f>
        <v/>
      </c>
      <c r="FY213" s="39">
        <f>IF(N('Dvd Calendar'!$K$2151)=0,"",IF(('Dvd Calendar'!$K$2151&gt;=GRID_FROM)*('Dvd Calendar'!$K$2151&lt;=GRID_TO)*('Dvd Calendar'!$K$2151&gt;VAL_DATE)=0,"",'Dvd Calendar'!$K$2151*1000000000+ISNUMBER('Dvd Calendar'!$K$2152)*100000000+0*10000000+(N('Dvd Calendar'!$K$2150)&gt;0)*(N('Dvd Calendar'!$K$2150)&lt;=VAL_SERIAL)*1000000+54*1000+47))</f>
        <v/>
      </c>
      <c r="FZ213" s="39">
        <f>IF(N('Dvd Calendar'!$L$2151)=0,"",IF(('Dvd Calendar'!$L$2151&gt;=GRID_FROM)*('Dvd Calendar'!$L$2151&lt;=GRID_TO)*('Dvd Calendar'!$L$2151&gt;VAL_DATE)=0,"",'Dvd Calendar'!$L$2151*1000000000+ISNUMBER('Dvd Calendar'!$L$2152)*100000000+0*10000000+(N('Dvd Calendar'!$L$2150)&gt;0)*(N('Dvd Calendar'!$L$2150)&lt;=VAL_SERIAL)*1000000+54*1000+48))</f>
        <v/>
      </c>
      <c r="GA213" s="39">
        <f>IF(N('Dvd Calendar'!$M$2151)=0,"",IF(('Dvd Calendar'!$M$2151&gt;=GRID_FROM)*('Dvd Calendar'!$M$2151&lt;=GRID_TO)*('Dvd Calendar'!$M$2151&gt;VAL_DATE)=0,"",'Dvd Calendar'!$M$2151*1000000000+ISNUMBER('Dvd Calendar'!$M$2152)*100000000+0*10000000+(N('Dvd Calendar'!$M$2150)&gt;0)*(N('Dvd Calendar'!$M$2150)&lt;=VAL_SERIAL)*1000000+54*1000+49))</f>
        <v/>
      </c>
      <c r="GB213" s="39">
        <f>IF(N('Dvd Calendar'!$N$2151)=0,"",IF(('Dvd Calendar'!$N$2151&gt;=GRID_FROM)*('Dvd Calendar'!$N$2151&lt;=GRID_TO)*('Dvd Calendar'!$N$2151&gt;VAL_DATE)=0,"",'Dvd Calendar'!$N$2151*1000000000+ISNUMBER('Dvd Calendar'!$N$2152)*100000000+0*10000000+(N('Dvd Calendar'!$N$2150)&gt;0)*(N('Dvd Calendar'!$N$2150)&lt;=VAL_SERIAL)*1000000+54*1000+50))</f>
        <v/>
      </c>
      <c r="GC213" s="39">
        <f>IF(N('Dvd Calendar'!$O$2151)=0,"",IF(('Dvd Calendar'!$O$2151&gt;=GRID_FROM)*('Dvd Calendar'!$O$2151&lt;=GRID_TO)*('Dvd Calendar'!$O$2151&gt;VAL_DATE)=0,"",'Dvd Calendar'!$O$2151*1000000000+ISNUMBER('Dvd Calendar'!$O$2152)*100000000+0*10000000+(N('Dvd Calendar'!$O$2150)&gt;0)*(N('Dvd Calendar'!$O$2150)&lt;=VAL_SERIAL)*1000000+54*1000+51))</f>
        <v/>
      </c>
      <c r="GD213" s="39">
        <f>IF(N('Dvd Calendar'!$P$2151)=0,"",IF(('Dvd Calendar'!$P$2151&gt;=GRID_FROM)*('Dvd Calendar'!$P$2151&lt;=GRID_TO)*('Dvd Calendar'!$P$2151&gt;VAL_DATE)=0,"",'Dvd Calendar'!$P$2151*1000000000+ISNUMBER('Dvd Calendar'!$P$2152)*100000000+0*10000000+(N('Dvd Calendar'!$P$2150)&gt;0)*(N('Dvd Calendar'!$P$2150)&lt;=VAL_SERIAL)*1000000+54*1000+52))</f>
        <v/>
      </c>
      <c r="GE213" s="39">
        <f>IF(N('Dvd Calendar'!$Q$2151)=0,"",IF(('Dvd Calendar'!$Q$2151&gt;=GRID_FROM)*('Dvd Calendar'!$Q$2151&lt;=GRID_TO)*('Dvd Calendar'!$Q$2151&gt;VAL_DATE)=0,"",'Dvd Calendar'!$Q$2151*1000000000+ISNUMBER('Dvd Calendar'!$Q$2152)*100000000+0*10000000+(N('Dvd Calendar'!$Q$2150)&gt;0)*(N('Dvd Calendar'!$Q$2150)&lt;=VAL_SERIAL)*1000000+54*1000+53))</f>
        <v/>
      </c>
      <c r="GF213" s="39">
        <f>IF(N('Dvd Calendar'!$R$2151)=0,"",IF(('Dvd Calendar'!$R$2151&gt;=GRID_FROM)*('Dvd Calendar'!$R$2151&lt;=GRID_TO)*('Dvd Calendar'!$R$2151&gt;VAL_DATE)=0,"",'Dvd Calendar'!$R$2151*1000000000+ISNUMBER('Dvd Calendar'!$R$2152)*100000000+0*10000000+(N('Dvd Calendar'!$R$2150)&gt;0)*(N('Dvd Calendar'!$R$2150)&lt;=VAL_SERIAL)*1000000+54*1000+54))</f>
        <v/>
      </c>
      <c r="GG213" s="39">
        <f>IF(N('Dvd Calendar'!$S$2151)=0,"",IF(('Dvd Calendar'!$S$2151&gt;=GRID_FROM)*('Dvd Calendar'!$S$2151&lt;=GRID_TO)*('Dvd Calendar'!$S$2151&gt;VAL_DATE)=0,"",'Dvd Calendar'!$S$2151*1000000000+ISNUMBER('Dvd Calendar'!$S$2152)*100000000+0*10000000+(N('Dvd Calendar'!$S$2150)&gt;0)*(N('Dvd Calendar'!$S$2150)&lt;=VAL_SERIAL)*1000000+54*1000+55))</f>
        <v/>
      </c>
      <c r="GH213" s="39">
        <f>IF(N('Dvd Calendar'!$T$2151)=0,"",IF(('Dvd Calendar'!$T$2151&gt;=GRID_FROM)*('Dvd Calendar'!$T$2151&lt;=GRID_TO)*('Dvd Calendar'!$T$2151&gt;VAL_DATE)=0,"",'Dvd Calendar'!$T$2151*1000000000+ISNUMBER('Dvd Calendar'!$T$2152)*100000000+0*10000000+(N('Dvd Calendar'!$T$2150)&gt;0)*(N('Dvd Calendar'!$T$2150)&lt;=VAL_SERIAL)*1000000+54*1000+56))</f>
        <v/>
      </c>
      <c r="GI213" s="39">
        <f>IF(N('Dvd Calendar'!$U$2151)=0,"",IF(('Dvd Calendar'!$U$2151&gt;=GRID_FROM)*('Dvd Calendar'!$U$2151&lt;=GRID_TO)*('Dvd Calendar'!$U$2151&gt;VAL_DATE)=0,"",'Dvd Calendar'!$U$2151*1000000000+ISNUMBER('Dvd Calendar'!$U$2152)*100000000+0*10000000+(N('Dvd Calendar'!$U$2150)&gt;0)*(N('Dvd Calendar'!$U$2150)&lt;=VAL_SERIAL)*1000000+54*1000+57))</f>
        <v/>
      </c>
      <c r="GJ213" s="39">
        <f>IF(N('Dvd Calendar'!$V$2151)=0,"",IF(('Dvd Calendar'!$V$2151&gt;=GRID_FROM)*('Dvd Calendar'!$V$2151&lt;=GRID_TO)*('Dvd Calendar'!$V$2151&gt;VAL_DATE)=0,"",'Dvd Calendar'!$V$2151*1000000000+ISNUMBER('Dvd Calendar'!$V$2152)*100000000+0*10000000+(N('Dvd Calendar'!$V$2150)&gt;0)*(N('Dvd Calendar'!$V$2150)&lt;=VAL_SERIAL)*1000000+54*1000+58))</f>
        <v/>
      </c>
      <c r="GK213" s="39">
        <f>IF(N('Dvd Calendar'!$W$2151)=0,"",IF(('Dvd Calendar'!$W$2151&gt;=GRID_FROM)*('Dvd Calendar'!$W$2151&lt;=GRID_TO)*('Dvd Calendar'!$W$2151&gt;VAL_DATE)=0,"",'Dvd Calendar'!$W$2151*1000000000+ISNUMBER('Dvd Calendar'!$W$2152)*100000000+0*10000000+(N('Dvd Calendar'!$W$2150)&gt;0)*(N('Dvd Calendar'!$W$2150)&lt;=VAL_SERIAL)*1000000+54*1000+59))</f>
        <v/>
      </c>
      <c r="GL213" s="39">
        <f>IF(N('Dvd Calendar'!$X$2151)=0,"",IF(('Dvd Calendar'!$X$2151&gt;=GRID_FROM)*('Dvd Calendar'!$X$2151&lt;=GRID_TO)*('Dvd Calendar'!$X$2151&gt;VAL_DATE)=0,"",'Dvd Calendar'!$X$2151*1000000000+ISNUMBER('Dvd Calendar'!$X$2152)*100000000+0*10000000+(N('Dvd Calendar'!$X$2150)&gt;0)*(N('Dvd Calendar'!$X$2150)&lt;=VAL_SERIAL)*1000000+54*1000+60))</f>
        <v/>
      </c>
      <c r="GM213" s="39">
        <f>IF(N('Dvd Calendar'!$Y$2151)=0,"",IF(('Dvd Calendar'!$Y$2151&gt;=GRID_FROM)*('Dvd Calendar'!$Y$2151&lt;=GRID_TO)*('Dvd Calendar'!$Y$2151&gt;VAL_DATE)=0,"",'Dvd Calendar'!$Y$2151*1000000000+ISNUMBER('Dvd Calendar'!$Y$2152)*100000000+0*10000000+(N('Dvd Calendar'!$Y$2150)&gt;0)*(N('Dvd Calendar'!$Y$2150)&lt;=VAL_SERIAL)*1000000+54*1000+61))</f>
        <v/>
      </c>
      <c r="GN213" s="39">
        <f>IF(N('Dvd Calendar'!$Z$2151)=0,"",IF(('Dvd Calendar'!$Z$2151&gt;=GRID_FROM)*('Dvd Calendar'!$Z$2151&lt;=GRID_TO)*('Dvd Calendar'!$Z$2151&gt;VAL_DATE)=0,"",'Dvd Calendar'!$Z$2151*1000000000+ISNUMBER('Dvd Calendar'!$Z$2152)*100000000+0*10000000+(N('Dvd Calendar'!$Z$2150)&gt;0)*(N('Dvd Calendar'!$Z$2150)&lt;=VAL_SERIAL)*1000000+54*1000+62))</f>
        <v/>
      </c>
      <c r="GO213" s="39">
        <f>IF(N('Dvd Calendar'!$AA$2151)=0,"",IF(('Dvd Calendar'!$AA$2151&gt;=GRID_FROM)*('Dvd Calendar'!$AA$2151&lt;=GRID_TO)*('Dvd Calendar'!$AA$2151&gt;VAL_DATE)=0,"",'Dvd Calendar'!$AA$2151*1000000000+ISNUMBER('Dvd Calendar'!$AA$2152)*100000000+0*10000000+(N('Dvd Calendar'!$AA$2150)&gt;0)*(N('Dvd Calendar'!$AA$2150)&lt;=VAL_SERIAL)*1000000+54*1000+63))</f>
        <v/>
      </c>
      <c r="GP213" s="39">
        <f>IF(N('Dvd Calendar'!$AB$2151)=0,"",IF(('Dvd Calendar'!$AB$2151&gt;=GRID_FROM)*('Dvd Calendar'!$AB$2151&lt;=GRID_TO)*('Dvd Calendar'!$AB$2151&gt;VAL_DATE)=0,"",'Dvd Calendar'!$AB$2151*1000000000+ISNUMBER('Dvd Calendar'!$AB$2152)*100000000+0*10000000+(N('Dvd Calendar'!$AB$2150)&gt;0)*(N('Dvd Calendar'!$AB$2150)&lt;=VAL_SERIAL)*1000000+54*1000+64))</f>
        <v/>
      </c>
      <c r="GQ213" s="39">
        <f>IF(N('Dvd Calendar'!$AC$2151)=0,"",IF(('Dvd Calendar'!$AC$2151&gt;=GRID_FROM)*('Dvd Calendar'!$AC$2151&lt;=GRID_TO)*('Dvd Calendar'!$AC$2151&gt;VAL_DATE)=0,"",'Dvd Calendar'!$AC$2151*1000000000+ISNUMBER('Dvd Calendar'!$AC$2152)*100000000+0*10000000+(N('Dvd Calendar'!$AC$2150)&gt;0)*(N('Dvd Calendar'!$AC$2150)&lt;=VAL_SERIAL)*1000000+54*1000+65))</f>
        <v/>
      </c>
    </row>
    <row r="214">
      <c r="B214" s="2">
        <f>IF(HSCEI!$C$61="","",HSCEI!$C$61)</f>
        <v/>
      </c>
      <c r="C214" s="110">
        <f>IF(EE214="","",IF(ISNUMBER('Dvd Calendar'!$E$2158)=FALSE,"",IF((('Dvd Calendar'!$E$2160=TYPE1)*(TYPE1&lt;&gt;"")+('Dvd Calendar'!$E$2160=TYPE2)*(TYPE2&lt;&gt;"")+('Dvd Calendar'!$E$2160=TYPE3)*(TYPE3&lt;&gt;"")+('Dvd Calendar'!$E$2160=TYPE4)*(TYPE4&lt;&gt;"")+('Dvd Calendar'!$E$2160=SPECIAL_LBL)*(INC_SPECIALS="Y"))=0,"",'Dvd Calendar'!$E$2158)))</f>
        <v/>
      </c>
      <c r="D214" s="110">
        <f>IF(EF214="","",IF(ISNUMBER('Dvd Calendar'!$F$2158)=FALSE,"",IF((('Dvd Calendar'!$F$2160=TYPE1)*(TYPE1&lt;&gt;"")+('Dvd Calendar'!$F$2160=TYPE2)*(TYPE2&lt;&gt;"")+('Dvd Calendar'!$F$2160=TYPE3)*(TYPE3&lt;&gt;"")+('Dvd Calendar'!$F$2160=TYPE4)*(TYPE4&lt;&gt;"")+('Dvd Calendar'!$F$2160=SPECIAL_LBL)*(INC_SPECIALS="Y"))=0,"",'Dvd Calendar'!$F$2158)))</f>
        <v/>
      </c>
      <c r="E214" s="110">
        <f>IF(EG214="","",IF(ISNUMBER('Dvd Calendar'!$G$2158)=FALSE,"",IF((('Dvd Calendar'!$G$2160=TYPE1)*(TYPE1&lt;&gt;"")+('Dvd Calendar'!$G$2160=TYPE2)*(TYPE2&lt;&gt;"")+('Dvd Calendar'!$G$2160=TYPE3)*(TYPE3&lt;&gt;"")+('Dvd Calendar'!$G$2160=TYPE4)*(TYPE4&lt;&gt;"")+('Dvd Calendar'!$G$2160=SPECIAL_LBL)*(INC_SPECIALS="Y"))=0,"",'Dvd Calendar'!$G$2158)))</f>
        <v/>
      </c>
      <c r="F214" s="110">
        <f>IF(EH214="","",IF(ISNUMBER('Dvd Calendar'!$H$2158)=FALSE,"",IF((('Dvd Calendar'!$H$2160=TYPE1)*(TYPE1&lt;&gt;"")+('Dvd Calendar'!$H$2160=TYPE2)*(TYPE2&lt;&gt;"")+('Dvd Calendar'!$H$2160=TYPE3)*(TYPE3&lt;&gt;"")+('Dvd Calendar'!$H$2160=TYPE4)*(TYPE4&lt;&gt;"")+('Dvd Calendar'!$H$2160=SPECIAL_LBL)*(INC_SPECIALS="Y"))=0,"",'Dvd Calendar'!$H$2158)))</f>
        <v/>
      </c>
      <c r="G214" s="110">
        <f>IF(EI214="","",IF(ISNUMBER('Dvd Calendar'!$I$2158)=FALSE,"",IF((('Dvd Calendar'!$I$2160=TYPE1)*(TYPE1&lt;&gt;"")+('Dvd Calendar'!$I$2160=TYPE2)*(TYPE2&lt;&gt;"")+('Dvd Calendar'!$I$2160=TYPE3)*(TYPE3&lt;&gt;"")+('Dvd Calendar'!$I$2160=TYPE4)*(TYPE4&lt;&gt;"")+('Dvd Calendar'!$I$2160=SPECIAL_LBL)*(INC_SPECIALS="Y"))=0,"",'Dvd Calendar'!$I$2158)))</f>
        <v/>
      </c>
      <c r="H214" s="110">
        <f>IF(EJ214="","",IF(ISNUMBER('Dvd Calendar'!$J$2158)=FALSE,"",IF((('Dvd Calendar'!$J$2160=TYPE1)*(TYPE1&lt;&gt;"")+('Dvd Calendar'!$J$2160=TYPE2)*(TYPE2&lt;&gt;"")+('Dvd Calendar'!$J$2160=TYPE3)*(TYPE3&lt;&gt;"")+('Dvd Calendar'!$J$2160=TYPE4)*(TYPE4&lt;&gt;"")+('Dvd Calendar'!$J$2160=SPECIAL_LBL)*(INC_SPECIALS="Y"))=0,"",'Dvd Calendar'!$J$2158)))</f>
        <v/>
      </c>
      <c r="I214" s="110">
        <f>IF(EK214="","",IF(ISNUMBER('Dvd Calendar'!$K$2158)=FALSE,"",IF((('Dvd Calendar'!$K$2160=TYPE1)*(TYPE1&lt;&gt;"")+('Dvd Calendar'!$K$2160=TYPE2)*(TYPE2&lt;&gt;"")+('Dvd Calendar'!$K$2160=TYPE3)*(TYPE3&lt;&gt;"")+('Dvd Calendar'!$K$2160=TYPE4)*(TYPE4&lt;&gt;"")+('Dvd Calendar'!$K$2160=SPECIAL_LBL)*(INC_SPECIALS="Y"))=0,"",'Dvd Calendar'!$K$2158)))</f>
        <v/>
      </c>
      <c r="J214" s="110">
        <f>IF(EL214="","",IF(ISNUMBER('Dvd Calendar'!$L$2158)=FALSE,"",IF((('Dvd Calendar'!$L$2160=TYPE1)*(TYPE1&lt;&gt;"")+('Dvd Calendar'!$L$2160=TYPE2)*(TYPE2&lt;&gt;"")+('Dvd Calendar'!$L$2160=TYPE3)*(TYPE3&lt;&gt;"")+('Dvd Calendar'!$L$2160=TYPE4)*(TYPE4&lt;&gt;"")+('Dvd Calendar'!$L$2160=SPECIAL_LBL)*(INC_SPECIALS="Y"))=0,"",'Dvd Calendar'!$L$2158)))</f>
        <v/>
      </c>
      <c r="K214" s="110">
        <f>IF(EM214="","",IF(ISNUMBER('Dvd Calendar'!$M$2158)=FALSE,"",IF((('Dvd Calendar'!$M$2160=TYPE1)*(TYPE1&lt;&gt;"")+('Dvd Calendar'!$M$2160=TYPE2)*(TYPE2&lt;&gt;"")+('Dvd Calendar'!$M$2160=TYPE3)*(TYPE3&lt;&gt;"")+('Dvd Calendar'!$M$2160=TYPE4)*(TYPE4&lt;&gt;"")+('Dvd Calendar'!$M$2160=SPECIAL_LBL)*(INC_SPECIALS="Y"))=0,"",'Dvd Calendar'!$M$2158)))</f>
        <v/>
      </c>
      <c r="L214" s="110">
        <f>IF(EN214="","",IF(ISNUMBER('Dvd Calendar'!$N$2158)=FALSE,"",IF((('Dvd Calendar'!$N$2160=TYPE1)*(TYPE1&lt;&gt;"")+('Dvd Calendar'!$N$2160=TYPE2)*(TYPE2&lt;&gt;"")+('Dvd Calendar'!$N$2160=TYPE3)*(TYPE3&lt;&gt;"")+('Dvd Calendar'!$N$2160=TYPE4)*(TYPE4&lt;&gt;"")+('Dvd Calendar'!$N$2160=SPECIAL_LBL)*(INC_SPECIALS="Y"))=0,"",'Dvd Calendar'!$N$2158)))</f>
        <v/>
      </c>
      <c r="M214" s="110">
        <f>IF(EO214="","",IF(ISNUMBER('Dvd Calendar'!$O$2158)=FALSE,"",IF((('Dvd Calendar'!$O$2160=TYPE1)*(TYPE1&lt;&gt;"")+('Dvd Calendar'!$O$2160=TYPE2)*(TYPE2&lt;&gt;"")+('Dvd Calendar'!$O$2160=TYPE3)*(TYPE3&lt;&gt;"")+('Dvd Calendar'!$O$2160=TYPE4)*(TYPE4&lt;&gt;"")+('Dvd Calendar'!$O$2160=SPECIAL_LBL)*(INC_SPECIALS="Y"))=0,"",'Dvd Calendar'!$O$2158)))</f>
        <v/>
      </c>
      <c r="N214" s="110">
        <f>IF(EP214="","",IF(ISNUMBER('Dvd Calendar'!$P$2158)=FALSE,"",IF((('Dvd Calendar'!$P$2160=TYPE1)*(TYPE1&lt;&gt;"")+('Dvd Calendar'!$P$2160=TYPE2)*(TYPE2&lt;&gt;"")+('Dvd Calendar'!$P$2160=TYPE3)*(TYPE3&lt;&gt;"")+('Dvd Calendar'!$P$2160=TYPE4)*(TYPE4&lt;&gt;"")+('Dvd Calendar'!$P$2160=SPECIAL_LBL)*(INC_SPECIALS="Y"))=0,"",'Dvd Calendar'!$P$2158)))</f>
        <v/>
      </c>
      <c r="O214" s="110">
        <f>IF(EQ214="","",IF(ISNUMBER('Dvd Calendar'!$Q$2158)=FALSE,"",IF((('Dvd Calendar'!$Q$2160=TYPE1)*(TYPE1&lt;&gt;"")+('Dvd Calendar'!$Q$2160=TYPE2)*(TYPE2&lt;&gt;"")+('Dvd Calendar'!$Q$2160=TYPE3)*(TYPE3&lt;&gt;"")+('Dvd Calendar'!$Q$2160=TYPE4)*(TYPE4&lt;&gt;"")+('Dvd Calendar'!$Q$2160=SPECIAL_LBL)*(INC_SPECIALS="Y"))=0,"",'Dvd Calendar'!$Q$2158)))</f>
        <v/>
      </c>
      <c r="P214" s="110">
        <f>IF(ER214="","",IF(ISNUMBER('Dvd Calendar'!$R$2158)=FALSE,"",IF((('Dvd Calendar'!$R$2160=TYPE1)*(TYPE1&lt;&gt;"")+('Dvd Calendar'!$R$2160=TYPE2)*(TYPE2&lt;&gt;"")+('Dvd Calendar'!$R$2160=TYPE3)*(TYPE3&lt;&gt;"")+('Dvd Calendar'!$R$2160=TYPE4)*(TYPE4&lt;&gt;"")+('Dvd Calendar'!$R$2160=SPECIAL_LBL)*(INC_SPECIALS="Y"))=0,"",'Dvd Calendar'!$R$2158)))</f>
        <v/>
      </c>
      <c r="Q214" s="110">
        <f>IF(ES214="","",IF(ISNUMBER('Dvd Calendar'!$S$2158)=FALSE,"",IF((('Dvd Calendar'!$S$2160=TYPE1)*(TYPE1&lt;&gt;"")+('Dvd Calendar'!$S$2160=TYPE2)*(TYPE2&lt;&gt;"")+('Dvd Calendar'!$S$2160=TYPE3)*(TYPE3&lt;&gt;"")+('Dvd Calendar'!$S$2160=TYPE4)*(TYPE4&lt;&gt;"")+('Dvd Calendar'!$S$2160=SPECIAL_LBL)*(INC_SPECIALS="Y"))=0,"",'Dvd Calendar'!$S$2158)))</f>
        <v/>
      </c>
      <c r="R214" s="110">
        <f>IF(ET214="","",IF(ISNUMBER('Dvd Calendar'!$T$2158)=FALSE,"",IF((('Dvd Calendar'!$T$2160=TYPE1)*(TYPE1&lt;&gt;"")+('Dvd Calendar'!$T$2160=TYPE2)*(TYPE2&lt;&gt;"")+('Dvd Calendar'!$T$2160=TYPE3)*(TYPE3&lt;&gt;"")+('Dvd Calendar'!$T$2160=TYPE4)*(TYPE4&lt;&gt;"")+('Dvd Calendar'!$T$2160=SPECIAL_LBL)*(INC_SPECIALS="Y"))=0,"",'Dvd Calendar'!$T$2158)))</f>
        <v/>
      </c>
      <c r="S214" s="110">
        <f>IF(EU214="","",IF(ISNUMBER('Dvd Calendar'!$U$2158)=FALSE,"",IF((('Dvd Calendar'!$U$2160=TYPE1)*(TYPE1&lt;&gt;"")+('Dvd Calendar'!$U$2160=TYPE2)*(TYPE2&lt;&gt;"")+('Dvd Calendar'!$U$2160=TYPE3)*(TYPE3&lt;&gt;"")+('Dvd Calendar'!$U$2160=TYPE4)*(TYPE4&lt;&gt;"")+('Dvd Calendar'!$U$2160=SPECIAL_LBL)*(INC_SPECIALS="Y"))=0,"",'Dvd Calendar'!$U$2158)))</f>
        <v/>
      </c>
      <c r="T214" s="110">
        <f>IF(EV214="","",IF(ISNUMBER('Dvd Calendar'!$V$2158)=FALSE,"",IF((('Dvd Calendar'!$V$2160=TYPE1)*(TYPE1&lt;&gt;"")+('Dvd Calendar'!$V$2160=TYPE2)*(TYPE2&lt;&gt;"")+('Dvd Calendar'!$V$2160=TYPE3)*(TYPE3&lt;&gt;"")+('Dvd Calendar'!$V$2160=TYPE4)*(TYPE4&lt;&gt;"")+('Dvd Calendar'!$V$2160=SPECIAL_LBL)*(INC_SPECIALS="Y"))=0,"",'Dvd Calendar'!$V$2158)))</f>
        <v/>
      </c>
      <c r="U214" s="110">
        <f>IF(EW214="","",IF(ISNUMBER('Dvd Calendar'!$W$2158)=FALSE,"",IF((('Dvd Calendar'!$W$2160=TYPE1)*(TYPE1&lt;&gt;"")+('Dvd Calendar'!$W$2160=TYPE2)*(TYPE2&lt;&gt;"")+('Dvd Calendar'!$W$2160=TYPE3)*(TYPE3&lt;&gt;"")+('Dvd Calendar'!$W$2160=TYPE4)*(TYPE4&lt;&gt;"")+('Dvd Calendar'!$W$2160=SPECIAL_LBL)*(INC_SPECIALS="Y"))=0,"",'Dvd Calendar'!$W$2158)))</f>
        <v/>
      </c>
      <c r="V214" s="110">
        <f>IF(EX214="","",IF(ISNUMBER('Dvd Calendar'!$X$2158)=FALSE,"",IF((('Dvd Calendar'!$X$2160=TYPE1)*(TYPE1&lt;&gt;"")+('Dvd Calendar'!$X$2160=TYPE2)*(TYPE2&lt;&gt;"")+('Dvd Calendar'!$X$2160=TYPE3)*(TYPE3&lt;&gt;"")+('Dvd Calendar'!$X$2160=TYPE4)*(TYPE4&lt;&gt;"")+('Dvd Calendar'!$X$2160=SPECIAL_LBL)*(INC_SPECIALS="Y"))=0,"",'Dvd Calendar'!$X$2158)))</f>
        <v/>
      </c>
      <c r="W214" s="110">
        <f>IF(EY214="","",IF(ISNUMBER('Dvd Calendar'!$Y$2158)=FALSE,"",IF((('Dvd Calendar'!$Y$2160=TYPE1)*(TYPE1&lt;&gt;"")+('Dvd Calendar'!$Y$2160=TYPE2)*(TYPE2&lt;&gt;"")+('Dvd Calendar'!$Y$2160=TYPE3)*(TYPE3&lt;&gt;"")+('Dvd Calendar'!$Y$2160=TYPE4)*(TYPE4&lt;&gt;"")+('Dvd Calendar'!$Y$2160=SPECIAL_LBL)*(INC_SPECIALS="Y"))=0,"",'Dvd Calendar'!$Y$2158)))</f>
        <v/>
      </c>
      <c r="X214" s="110">
        <f>IF(EZ214="","",IF(ISNUMBER('Dvd Calendar'!$Z$2158)=FALSE,"",IF((('Dvd Calendar'!$Z$2160=TYPE1)*(TYPE1&lt;&gt;"")+('Dvd Calendar'!$Z$2160=TYPE2)*(TYPE2&lt;&gt;"")+('Dvd Calendar'!$Z$2160=TYPE3)*(TYPE3&lt;&gt;"")+('Dvd Calendar'!$Z$2160=TYPE4)*(TYPE4&lt;&gt;"")+('Dvd Calendar'!$Z$2160=SPECIAL_LBL)*(INC_SPECIALS="Y"))=0,"",'Dvd Calendar'!$Z$2158)))</f>
        <v/>
      </c>
      <c r="Y214" s="110">
        <f>IF(FA214="","",IF(ISNUMBER('Dvd Calendar'!$AA$2158)=FALSE,"",IF((('Dvd Calendar'!$AA$2160=TYPE1)*(TYPE1&lt;&gt;"")+('Dvd Calendar'!$AA$2160=TYPE2)*(TYPE2&lt;&gt;"")+('Dvd Calendar'!$AA$2160=TYPE3)*(TYPE3&lt;&gt;"")+('Dvd Calendar'!$AA$2160=TYPE4)*(TYPE4&lt;&gt;"")+('Dvd Calendar'!$AA$2160=SPECIAL_LBL)*(INC_SPECIALS="Y"))=0,"",'Dvd Calendar'!$AA$2158)))</f>
        <v/>
      </c>
      <c r="Z214" s="110">
        <f>IF(FB214="","",IF(ISNUMBER('Dvd Calendar'!$AB$2158)=FALSE,"",IF((('Dvd Calendar'!$AB$2160=TYPE1)*(TYPE1&lt;&gt;"")+('Dvd Calendar'!$AB$2160=TYPE2)*(TYPE2&lt;&gt;"")+('Dvd Calendar'!$AB$2160=TYPE3)*(TYPE3&lt;&gt;"")+('Dvd Calendar'!$AB$2160=TYPE4)*(TYPE4&lt;&gt;"")+('Dvd Calendar'!$AB$2160=SPECIAL_LBL)*(INC_SPECIALS="Y"))=0,"",'Dvd Calendar'!$AB$2158)))</f>
        <v/>
      </c>
      <c r="AA214" s="110">
        <f>IF(FC214="","",IF(ISNUMBER('Dvd Calendar'!$AC$2158)=FALSE,"",IF((('Dvd Calendar'!$AC$2160=TYPE1)*(TYPE1&lt;&gt;"")+('Dvd Calendar'!$AC$2160=TYPE2)*(TYPE2&lt;&gt;"")+('Dvd Calendar'!$AC$2160=TYPE3)*(TYPE3&lt;&gt;"")+('Dvd Calendar'!$AC$2160=TYPE4)*(TYPE4&lt;&gt;"")+('Dvd Calendar'!$AC$2160=SPECIAL_LBL)*(INC_SPECIALS="Y"))=0,"",'Dvd Calendar'!$AC$2158)))</f>
        <v/>
      </c>
      <c r="AB214" s="110">
        <f>IF(FD214="","",IF(ISNUMBER('Dvd Calendar'!$AD$2158)=FALSE,"",IF((('Dvd Calendar'!$AD$2160=TYPE1)*(TYPE1&lt;&gt;"")+('Dvd Calendar'!$AD$2160=TYPE2)*(TYPE2&lt;&gt;"")+('Dvd Calendar'!$AD$2160=TYPE3)*(TYPE3&lt;&gt;"")+('Dvd Calendar'!$AD$2160=TYPE4)*(TYPE4&lt;&gt;"")+('Dvd Calendar'!$AD$2160=SPECIAL_LBL)*(INC_SPECIALS="Y"))=0,"",'Dvd Calendar'!$AD$2158)))</f>
        <v/>
      </c>
      <c r="AC214" s="110">
        <f>IF(FE214="","",IF(ISNUMBER('Dvd Calendar'!$AE$2158)=FALSE,"",IF((('Dvd Calendar'!$AE$2160=TYPE1)*(TYPE1&lt;&gt;"")+('Dvd Calendar'!$AE$2160=TYPE2)*(TYPE2&lt;&gt;"")+('Dvd Calendar'!$AE$2160=TYPE3)*(TYPE3&lt;&gt;"")+('Dvd Calendar'!$AE$2160=TYPE4)*(TYPE4&lt;&gt;"")+('Dvd Calendar'!$AE$2160=SPECIAL_LBL)*(INC_SPECIALS="Y"))=0,"",'Dvd Calendar'!$AE$2158)))</f>
        <v/>
      </c>
      <c r="AD214" s="110">
        <f>IF(FF214="","",IF(ISNUMBER('Dvd Calendar'!$AF$2158)=FALSE,"",IF((('Dvd Calendar'!$AF$2160=TYPE1)*(TYPE1&lt;&gt;"")+('Dvd Calendar'!$AF$2160=TYPE2)*(TYPE2&lt;&gt;"")+('Dvd Calendar'!$AF$2160=TYPE3)*(TYPE3&lt;&gt;"")+('Dvd Calendar'!$AF$2160=TYPE4)*(TYPE4&lt;&gt;"")+('Dvd Calendar'!$AF$2160=SPECIAL_LBL)*(INC_SPECIALS="Y"))=0,"",'Dvd Calendar'!$AF$2158)))</f>
        <v/>
      </c>
      <c r="AE214" s="110">
        <f>IF(FG214="","",IF(ISNUMBER('Dvd Calendar'!$AG$2158)=FALSE,"",IF((('Dvd Calendar'!$AG$2160=TYPE1)*(TYPE1&lt;&gt;"")+('Dvd Calendar'!$AG$2160=TYPE2)*(TYPE2&lt;&gt;"")+('Dvd Calendar'!$AG$2160=TYPE3)*(TYPE3&lt;&gt;"")+('Dvd Calendar'!$AG$2160=TYPE4)*(TYPE4&lt;&gt;"")+('Dvd Calendar'!$AG$2160=SPECIAL_LBL)*(INC_SPECIALS="Y"))=0,"",'Dvd Calendar'!$AG$2158)))</f>
        <v/>
      </c>
      <c r="AF214" s="110">
        <f>IF(FH214="","",IF(ISNUMBER('Dvd Calendar'!$AH$2158)=FALSE,"",IF((('Dvd Calendar'!$AH$2160=TYPE1)*(TYPE1&lt;&gt;"")+('Dvd Calendar'!$AH$2160=TYPE2)*(TYPE2&lt;&gt;"")+('Dvd Calendar'!$AH$2160=TYPE3)*(TYPE3&lt;&gt;"")+('Dvd Calendar'!$AH$2160=TYPE4)*(TYPE4&lt;&gt;"")+('Dvd Calendar'!$AH$2160=SPECIAL_LBL)*(INC_SPECIALS="Y"))=0,"",'Dvd Calendar'!$AH$2158)))</f>
        <v/>
      </c>
      <c r="AG214" s="110">
        <f>IF(FI214="","",IF(ISNUMBER('Dvd Calendar'!$AI$2158)=FALSE,"",IF((('Dvd Calendar'!$AI$2160=TYPE1)*(TYPE1&lt;&gt;"")+('Dvd Calendar'!$AI$2160=TYPE2)*(TYPE2&lt;&gt;"")+('Dvd Calendar'!$AI$2160=TYPE3)*(TYPE3&lt;&gt;"")+('Dvd Calendar'!$AI$2160=TYPE4)*(TYPE4&lt;&gt;"")+('Dvd Calendar'!$AI$2160=SPECIAL_LBL)*(INC_SPECIALS="Y"))=0,"",'Dvd Calendar'!$AI$2158)))</f>
        <v/>
      </c>
      <c r="AH214" s="110">
        <f>IF(FJ214="","",IF(ISNUMBER('Dvd Calendar'!$AJ$2158)=FALSE,"",IF((('Dvd Calendar'!$AJ$2160=TYPE1)*(TYPE1&lt;&gt;"")+('Dvd Calendar'!$AJ$2160=TYPE2)*(TYPE2&lt;&gt;"")+('Dvd Calendar'!$AJ$2160=TYPE3)*(TYPE3&lt;&gt;"")+('Dvd Calendar'!$AJ$2160=TYPE4)*(TYPE4&lt;&gt;"")+('Dvd Calendar'!$AJ$2160=SPECIAL_LBL)*(INC_SPECIALS="Y"))=0,"",'Dvd Calendar'!$AJ$2158)))</f>
        <v/>
      </c>
      <c r="AI214" s="110">
        <f>IF(FK214="","",IF(ISNUMBER('Dvd Calendar'!$AK$2158)=FALSE,"",IF((('Dvd Calendar'!$AK$2160=TYPE1)*(TYPE1&lt;&gt;"")+('Dvd Calendar'!$AK$2160=TYPE2)*(TYPE2&lt;&gt;"")+('Dvd Calendar'!$AK$2160=TYPE3)*(TYPE3&lt;&gt;"")+('Dvd Calendar'!$AK$2160=TYPE4)*(TYPE4&lt;&gt;"")+('Dvd Calendar'!$AK$2160=SPECIAL_LBL)*(INC_SPECIALS="Y"))=0,"",'Dvd Calendar'!$AK$2158)))</f>
        <v/>
      </c>
      <c r="AJ214" s="110">
        <f>IF(FL214="","",IF(ISNUMBER('Dvd Calendar'!$AL$2158)=FALSE,"",IF((('Dvd Calendar'!$AL$2160=TYPE1)*(TYPE1&lt;&gt;"")+('Dvd Calendar'!$AL$2160=TYPE2)*(TYPE2&lt;&gt;"")+('Dvd Calendar'!$AL$2160=TYPE3)*(TYPE3&lt;&gt;"")+('Dvd Calendar'!$AL$2160=TYPE4)*(TYPE4&lt;&gt;"")+('Dvd Calendar'!$AL$2160=SPECIAL_LBL)*(INC_SPECIALS="Y"))=0,"",'Dvd Calendar'!$AL$2158)))</f>
        <v/>
      </c>
      <c r="AK214" s="110">
        <f>IF(FM214="","",IF(ISNUMBER('Dvd Calendar'!$AM$2158)=FALSE,"",IF((('Dvd Calendar'!$AM$2160=TYPE1)*(TYPE1&lt;&gt;"")+('Dvd Calendar'!$AM$2160=TYPE2)*(TYPE2&lt;&gt;"")+('Dvd Calendar'!$AM$2160=TYPE3)*(TYPE3&lt;&gt;"")+('Dvd Calendar'!$AM$2160=TYPE4)*(TYPE4&lt;&gt;"")+('Dvd Calendar'!$AM$2160=SPECIAL_LBL)*(INC_SPECIALS="Y"))=0,"",'Dvd Calendar'!$AM$2158)))</f>
        <v/>
      </c>
      <c r="AL214" s="110">
        <f>IF(FN214="","",IF(ISNUMBER('Dvd Calendar'!$AN$2158)=FALSE,"",IF((('Dvd Calendar'!$AN$2160=TYPE1)*(TYPE1&lt;&gt;"")+('Dvd Calendar'!$AN$2160=TYPE2)*(TYPE2&lt;&gt;"")+('Dvd Calendar'!$AN$2160=TYPE3)*(TYPE3&lt;&gt;"")+('Dvd Calendar'!$AN$2160=TYPE4)*(TYPE4&lt;&gt;"")+('Dvd Calendar'!$AN$2160=SPECIAL_LBL)*(INC_SPECIALS="Y"))=0,"",'Dvd Calendar'!$AN$2158)))</f>
        <v/>
      </c>
      <c r="AM214" s="110">
        <f>IF(FO214="","",IF(ISNUMBER('Dvd Calendar'!$AO$2158)=FALSE,"",IF((('Dvd Calendar'!$AO$2160=TYPE1)*(TYPE1&lt;&gt;"")+('Dvd Calendar'!$AO$2160=TYPE2)*(TYPE2&lt;&gt;"")+('Dvd Calendar'!$AO$2160=TYPE3)*(TYPE3&lt;&gt;"")+('Dvd Calendar'!$AO$2160=TYPE4)*(TYPE4&lt;&gt;"")+('Dvd Calendar'!$AO$2160=SPECIAL_LBL)*(INC_SPECIALS="Y"))=0,"",'Dvd Calendar'!$AO$2158)))</f>
        <v/>
      </c>
      <c r="AN214" s="110">
        <f>IF(FP214="","",IF(ISNUMBER('Dvd Calendar'!$AP$2158)=FALSE,"",IF((('Dvd Calendar'!$AP$2160=TYPE1)*(TYPE1&lt;&gt;"")+('Dvd Calendar'!$AP$2160=TYPE2)*(TYPE2&lt;&gt;"")+('Dvd Calendar'!$AP$2160=TYPE3)*(TYPE3&lt;&gt;"")+('Dvd Calendar'!$AP$2160=TYPE4)*(TYPE4&lt;&gt;"")+('Dvd Calendar'!$AP$2160=SPECIAL_LBL)*(INC_SPECIALS="Y"))=0,"",'Dvd Calendar'!$AP$2158)))</f>
        <v/>
      </c>
      <c r="AO214" s="110">
        <f>IF(FQ214="","",IF(ISNUMBER('Dvd Calendar'!$AQ$2158)=FALSE,"",IF((('Dvd Calendar'!$AQ$2160=TYPE1)*(TYPE1&lt;&gt;"")+('Dvd Calendar'!$AQ$2160=TYPE2)*(TYPE2&lt;&gt;"")+('Dvd Calendar'!$AQ$2160=TYPE3)*(TYPE3&lt;&gt;"")+('Dvd Calendar'!$AQ$2160=TYPE4)*(TYPE4&lt;&gt;"")+('Dvd Calendar'!$AQ$2160=SPECIAL_LBL)*(INC_SPECIALS="Y"))=0,"",'Dvd Calendar'!$AQ$2158)))</f>
        <v/>
      </c>
      <c r="AP214" s="110">
        <f>IF(FR214="","",IF(ISNUMBER('Dvd Calendar'!$AR$2158)=FALSE,"",IF((('Dvd Calendar'!$AR$2160=TYPE1)*(TYPE1&lt;&gt;"")+('Dvd Calendar'!$AR$2160=TYPE2)*(TYPE2&lt;&gt;"")+('Dvd Calendar'!$AR$2160=TYPE3)*(TYPE3&lt;&gt;"")+('Dvd Calendar'!$AR$2160=TYPE4)*(TYPE4&lt;&gt;"")+('Dvd Calendar'!$AR$2160=SPECIAL_LBL)*(INC_SPECIALS="Y"))=0,"",'Dvd Calendar'!$AR$2158)))</f>
        <v/>
      </c>
      <c r="AQ214" s="110">
        <f>IF(FS214="","",IF(ISNUMBER('Dvd Calendar'!$E$2163)=FALSE,"",'Dvd Calendar'!$E$2163))</f>
        <v/>
      </c>
      <c r="AR214" s="110">
        <f>IF(FT214="","",IF(ISNUMBER('Dvd Calendar'!$F$2163)=FALSE,"",'Dvd Calendar'!$F$2163))</f>
        <v/>
      </c>
      <c r="AS214" s="110">
        <f>IF(FU214="","",IF(ISNUMBER('Dvd Calendar'!$G$2163)=FALSE,"",'Dvd Calendar'!$G$2163))</f>
        <v/>
      </c>
      <c r="AT214" s="110">
        <f>IF(FV214="","",IF(ISNUMBER('Dvd Calendar'!$H$2163)=FALSE,"",'Dvd Calendar'!$H$2163))</f>
        <v/>
      </c>
      <c r="AU214" s="110">
        <f>IF(FW214="","",IF(ISNUMBER('Dvd Calendar'!$I$2163)=FALSE,"",'Dvd Calendar'!$I$2163))</f>
        <v/>
      </c>
      <c r="AV214" s="110">
        <f>IF(FX214="","",IF(ISNUMBER('Dvd Calendar'!$J$2163)=FALSE,"",'Dvd Calendar'!$J$2163))</f>
        <v/>
      </c>
      <c r="AW214" s="110">
        <f>IF(FY214="","",IF(ISNUMBER('Dvd Calendar'!$K$2163)=FALSE,"",'Dvd Calendar'!$K$2163))</f>
        <v/>
      </c>
      <c r="AX214" s="110">
        <f>IF(FZ214="","",IF(ISNUMBER('Dvd Calendar'!$L$2163)=FALSE,"",'Dvd Calendar'!$L$2163))</f>
        <v/>
      </c>
      <c r="AY214" s="110">
        <f>IF(GA214="","",IF(ISNUMBER('Dvd Calendar'!$M$2163)=FALSE,"",'Dvd Calendar'!$M$2163))</f>
        <v/>
      </c>
      <c r="AZ214" s="110">
        <f>IF(GB214="","",IF(ISNUMBER('Dvd Calendar'!$N$2163)=FALSE,"",'Dvd Calendar'!$N$2163))</f>
        <v/>
      </c>
      <c r="BA214" s="110">
        <f>IF(GC214="","",IF(ISNUMBER('Dvd Calendar'!$O$2163)=FALSE,"",'Dvd Calendar'!$O$2163))</f>
        <v/>
      </c>
      <c r="BB214" s="110">
        <f>IF(GD214="","",IF(ISNUMBER('Dvd Calendar'!$P$2163)=FALSE,"",'Dvd Calendar'!$P$2163))</f>
        <v/>
      </c>
      <c r="BC214" s="110">
        <f>IF(GE214="","",IF(ISNUMBER('Dvd Calendar'!$Q$2163)=FALSE,"",'Dvd Calendar'!$Q$2163))</f>
        <v/>
      </c>
      <c r="BD214" s="110">
        <f>IF(GF214="","",IF(ISNUMBER('Dvd Calendar'!$R$2163)=FALSE,"",'Dvd Calendar'!$R$2163))</f>
        <v/>
      </c>
      <c r="BE214" s="110">
        <f>IF(GG214="","",IF(ISNUMBER('Dvd Calendar'!$S$2163)=FALSE,"",'Dvd Calendar'!$S$2163))</f>
        <v/>
      </c>
      <c r="BF214" s="110">
        <f>IF(GH214="","",IF(ISNUMBER('Dvd Calendar'!$T$2163)=FALSE,"",'Dvd Calendar'!$T$2163))</f>
        <v/>
      </c>
      <c r="BG214" s="110">
        <f>IF(GI214="","",IF(ISNUMBER('Dvd Calendar'!$U$2163)=FALSE,"",'Dvd Calendar'!$U$2163))</f>
        <v/>
      </c>
      <c r="BH214" s="110">
        <f>IF(GJ214="","",IF(ISNUMBER('Dvd Calendar'!$V$2163)=FALSE,"",'Dvd Calendar'!$V$2163))</f>
        <v/>
      </c>
      <c r="BI214" s="110">
        <f>IF(GK214="","",IF(ISNUMBER('Dvd Calendar'!$W$2163)=FALSE,"",'Dvd Calendar'!$W$2163))</f>
        <v/>
      </c>
      <c r="BJ214" s="110">
        <f>IF(GL214="","",IF(ISNUMBER('Dvd Calendar'!$X$2163)=FALSE,"",'Dvd Calendar'!$X$2163))</f>
        <v/>
      </c>
      <c r="BK214" s="110">
        <f>IF(GM214="","",IF(ISNUMBER('Dvd Calendar'!$Y$2163)=FALSE,"",'Dvd Calendar'!$Y$2163))</f>
        <v/>
      </c>
      <c r="BL214" s="110">
        <f>IF(GN214="","",IF(ISNUMBER('Dvd Calendar'!$Z$2163)=FALSE,"",'Dvd Calendar'!$Z$2163))</f>
        <v/>
      </c>
      <c r="BM214" s="110">
        <f>IF(GO214="","",IF(ISNUMBER('Dvd Calendar'!$AA$2163)=FALSE,"",'Dvd Calendar'!$AA$2163))</f>
        <v/>
      </c>
      <c r="BN214" s="110">
        <f>IF(GP214="","",IF(ISNUMBER('Dvd Calendar'!$AB$2163)=FALSE,"",'Dvd Calendar'!$AB$2163))</f>
        <v/>
      </c>
      <c r="BO214" s="110">
        <f>IF(GQ214="","",IF(ISNUMBER('Dvd Calendar'!$AC$2163)=FALSE,"",'Dvd Calendar'!$AC$2163))</f>
        <v/>
      </c>
      <c r="BQ214" s="110">
        <f>IF(C214="","",IFERROR(C214*HSCEI!$B$61*HSCEI!$G$61/HSCEI!$B$3,""))</f>
        <v/>
      </c>
      <c r="BR214" s="110">
        <f>IF(D214="","",IFERROR(D214*HSCEI!$B$61*HSCEI!$G$61/HSCEI!$B$3,""))</f>
        <v/>
      </c>
      <c r="BS214" s="110">
        <f>IF(E214="","",IFERROR(E214*HSCEI!$B$61*HSCEI!$G$61/HSCEI!$B$3,""))</f>
        <v/>
      </c>
      <c r="BT214" s="110">
        <f>IF(F214="","",IFERROR(F214*HSCEI!$B$61*HSCEI!$G$61/HSCEI!$B$3,""))</f>
        <v/>
      </c>
      <c r="BU214" s="110">
        <f>IF(G214="","",IFERROR(G214*HSCEI!$B$61*HSCEI!$G$61/HSCEI!$B$3,""))</f>
        <v/>
      </c>
      <c r="BV214" s="110">
        <f>IF(H214="","",IFERROR(H214*HSCEI!$B$61*HSCEI!$G$61/HSCEI!$B$3,""))</f>
        <v/>
      </c>
      <c r="BW214" s="110">
        <f>IF(I214="","",IFERROR(I214*HSCEI!$B$61*HSCEI!$G$61/HSCEI!$B$3,""))</f>
        <v/>
      </c>
      <c r="BX214" s="110">
        <f>IF(J214="","",IFERROR(J214*HSCEI!$B$61*HSCEI!$G$61/HSCEI!$B$3,""))</f>
        <v/>
      </c>
      <c r="BY214" s="110">
        <f>IF(K214="","",IFERROR(K214*HSCEI!$B$61*HSCEI!$G$61/HSCEI!$B$3,""))</f>
        <v/>
      </c>
      <c r="BZ214" s="110">
        <f>IF(L214="","",IFERROR(L214*HSCEI!$B$61*HSCEI!$G$61/HSCEI!$B$3,""))</f>
        <v/>
      </c>
      <c r="CA214" s="110">
        <f>IF(M214="","",IFERROR(M214*HSCEI!$B$61*HSCEI!$G$61/HSCEI!$B$3,""))</f>
        <v/>
      </c>
      <c r="CB214" s="110">
        <f>IF(N214="","",IFERROR(N214*HSCEI!$B$61*HSCEI!$G$61/HSCEI!$B$3,""))</f>
        <v/>
      </c>
      <c r="CC214" s="110">
        <f>IF(O214="","",IFERROR(O214*HSCEI!$B$61*HSCEI!$G$61/HSCEI!$B$3,""))</f>
        <v/>
      </c>
      <c r="CD214" s="110">
        <f>IF(P214="","",IFERROR(P214*HSCEI!$B$61*HSCEI!$G$61/HSCEI!$B$3,""))</f>
        <v/>
      </c>
      <c r="CE214" s="110">
        <f>IF(Q214="","",IFERROR(Q214*HSCEI!$B$61*HSCEI!$G$61/HSCEI!$B$3,""))</f>
        <v/>
      </c>
      <c r="CF214" s="110">
        <f>IF(R214="","",IFERROR(R214*HSCEI!$B$61*HSCEI!$G$61/HSCEI!$B$3,""))</f>
        <v/>
      </c>
      <c r="CG214" s="110">
        <f>IF(S214="","",IFERROR(S214*HSCEI!$B$61*HSCEI!$G$61/HSCEI!$B$3,""))</f>
        <v/>
      </c>
      <c r="CH214" s="110">
        <f>IF(T214="","",IFERROR(T214*HSCEI!$B$61*HSCEI!$G$61/HSCEI!$B$3,""))</f>
        <v/>
      </c>
      <c r="CI214" s="110">
        <f>IF(U214="","",IFERROR(U214*HSCEI!$B$61*HSCEI!$G$61/HSCEI!$B$3,""))</f>
        <v/>
      </c>
      <c r="CJ214" s="110">
        <f>IF(V214="","",IFERROR(V214*HSCEI!$B$61*HSCEI!$G$61/HSCEI!$B$3,""))</f>
        <v/>
      </c>
      <c r="CK214" s="110">
        <f>IF(W214="","",IFERROR(W214*HSCEI!$B$61*HSCEI!$G$61/HSCEI!$B$3,""))</f>
        <v/>
      </c>
      <c r="CL214" s="110">
        <f>IF(X214="","",IFERROR(X214*HSCEI!$B$61*HSCEI!$G$61/HSCEI!$B$3,""))</f>
        <v/>
      </c>
      <c r="CM214" s="110">
        <f>IF(Y214="","",IFERROR(Y214*HSCEI!$B$61*HSCEI!$G$61/HSCEI!$B$3,""))</f>
        <v/>
      </c>
      <c r="CN214" s="110">
        <f>IF(Z214="","",IFERROR(Z214*HSCEI!$B$61*HSCEI!$G$61/HSCEI!$B$3,""))</f>
        <v/>
      </c>
      <c r="CO214" s="110">
        <f>IF(AA214="","",IFERROR(AA214*HSCEI!$B$61*HSCEI!$G$61/HSCEI!$B$3,""))</f>
        <v/>
      </c>
      <c r="CP214" s="110">
        <f>IF(AB214="","",IFERROR(AB214*HSCEI!$B$61*HSCEI!$G$61/HSCEI!$B$3,""))</f>
        <v/>
      </c>
      <c r="CQ214" s="110">
        <f>IF(AC214="","",IFERROR(AC214*HSCEI!$B$61*HSCEI!$G$61/HSCEI!$B$3,""))</f>
        <v/>
      </c>
      <c r="CR214" s="110">
        <f>IF(AD214="","",IFERROR(AD214*HSCEI!$B$61*HSCEI!$G$61/HSCEI!$B$3,""))</f>
        <v/>
      </c>
      <c r="CS214" s="110">
        <f>IF(AE214="","",IFERROR(AE214*HSCEI!$B$61*HSCEI!$G$61/HSCEI!$B$3,""))</f>
        <v/>
      </c>
      <c r="CT214" s="110">
        <f>IF(AF214="","",IFERROR(AF214*HSCEI!$B$61*HSCEI!$G$61/HSCEI!$B$3,""))</f>
        <v/>
      </c>
      <c r="CU214" s="110">
        <f>IF(AG214="","",IFERROR(AG214*HSCEI!$B$61*HSCEI!$G$61/HSCEI!$B$3,""))</f>
        <v/>
      </c>
      <c r="CV214" s="110">
        <f>IF(AH214="","",IFERROR(AH214*HSCEI!$B$61*HSCEI!$G$61/HSCEI!$B$3,""))</f>
        <v/>
      </c>
      <c r="CW214" s="110">
        <f>IF(AI214="","",IFERROR(AI214*HSCEI!$B$61*HSCEI!$G$61/HSCEI!$B$3,""))</f>
        <v/>
      </c>
      <c r="CX214" s="110">
        <f>IF(AJ214="","",IFERROR(AJ214*HSCEI!$B$61*HSCEI!$G$61/HSCEI!$B$3,""))</f>
        <v/>
      </c>
      <c r="CY214" s="110">
        <f>IF(AK214="","",IFERROR(AK214*HSCEI!$B$61*HSCEI!$G$61/HSCEI!$B$3,""))</f>
        <v/>
      </c>
      <c r="CZ214" s="110">
        <f>IF(AL214="","",IFERROR(AL214*HSCEI!$B$61*HSCEI!$G$61/HSCEI!$B$3,""))</f>
        <v/>
      </c>
      <c r="DA214" s="110">
        <f>IF(AM214="","",IFERROR(AM214*HSCEI!$B$61*HSCEI!$G$61/HSCEI!$B$3,""))</f>
        <v/>
      </c>
      <c r="DB214" s="110">
        <f>IF(AN214="","",IFERROR(AN214*HSCEI!$B$61*HSCEI!$G$61/HSCEI!$B$3,""))</f>
        <v/>
      </c>
      <c r="DC214" s="110">
        <f>IF(AO214="","",IFERROR(AO214*HSCEI!$B$61*HSCEI!$G$61/HSCEI!$B$3,""))</f>
        <v/>
      </c>
      <c r="DD214" s="110">
        <f>IF(AP214="","",IFERROR(AP214*HSCEI!$B$61*HSCEI!$G$61/HSCEI!$B$3,""))</f>
        <v/>
      </c>
      <c r="DE214" s="110">
        <f>IF(AQ214="","",IFERROR(AQ214*HSCEI!$B$61*HSCEI!$G$61/HSCEI!$B$3,""))</f>
        <v/>
      </c>
      <c r="DF214" s="110">
        <f>IF(AR214="","",IFERROR(AR214*HSCEI!$B$61*HSCEI!$G$61/HSCEI!$B$3,""))</f>
        <v/>
      </c>
      <c r="DG214" s="110">
        <f>IF(AS214="","",IFERROR(AS214*HSCEI!$B$61*HSCEI!$G$61/HSCEI!$B$3,""))</f>
        <v/>
      </c>
      <c r="DH214" s="110">
        <f>IF(AT214="","",IFERROR(AT214*HSCEI!$B$61*HSCEI!$G$61/HSCEI!$B$3,""))</f>
        <v/>
      </c>
      <c r="DI214" s="110">
        <f>IF(AU214="","",IFERROR(AU214*HSCEI!$B$61*HSCEI!$G$61/HSCEI!$B$3,""))</f>
        <v/>
      </c>
      <c r="DJ214" s="110">
        <f>IF(AV214="","",IFERROR(AV214*HSCEI!$B$61*HSCEI!$G$61/HSCEI!$B$3,""))</f>
        <v/>
      </c>
      <c r="DK214" s="110">
        <f>IF(AW214="","",IFERROR(AW214*HSCEI!$B$61*HSCEI!$G$61/HSCEI!$B$3,""))</f>
        <v/>
      </c>
      <c r="DL214" s="110">
        <f>IF(AX214="","",IFERROR(AX214*HSCEI!$B$61*HSCEI!$G$61/HSCEI!$B$3,""))</f>
        <v/>
      </c>
      <c r="DM214" s="110">
        <f>IF(AY214="","",IFERROR(AY214*HSCEI!$B$61*HSCEI!$G$61/HSCEI!$B$3,""))</f>
        <v/>
      </c>
      <c r="DN214" s="110">
        <f>IF(AZ214="","",IFERROR(AZ214*HSCEI!$B$61*HSCEI!$G$61/HSCEI!$B$3,""))</f>
        <v/>
      </c>
      <c r="DO214" s="110">
        <f>IF(BA214="","",IFERROR(BA214*HSCEI!$B$61*HSCEI!$G$61/HSCEI!$B$3,""))</f>
        <v/>
      </c>
      <c r="DP214" s="110">
        <f>IF(BB214="","",IFERROR(BB214*HSCEI!$B$61*HSCEI!$G$61/HSCEI!$B$3,""))</f>
        <v/>
      </c>
      <c r="DQ214" s="110">
        <f>IF(BC214="","",IFERROR(BC214*HSCEI!$B$61*HSCEI!$G$61/HSCEI!$B$3,""))</f>
        <v/>
      </c>
      <c r="DR214" s="110">
        <f>IF(BD214="","",IFERROR(BD214*HSCEI!$B$61*HSCEI!$G$61/HSCEI!$B$3,""))</f>
        <v/>
      </c>
      <c r="DS214" s="110">
        <f>IF(BE214="","",IFERROR(BE214*HSCEI!$B$61*HSCEI!$G$61/HSCEI!$B$3,""))</f>
        <v/>
      </c>
      <c r="DT214" s="110">
        <f>IF(BF214="","",IFERROR(BF214*HSCEI!$B$61*HSCEI!$G$61/HSCEI!$B$3,""))</f>
        <v/>
      </c>
      <c r="DU214" s="110">
        <f>IF(BG214="","",IFERROR(BG214*HSCEI!$B$61*HSCEI!$G$61/HSCEI!$B$3,""))</f>
        <v/>
      </c>
      <c r="DV214" s="110">
        <f>IF(BH214="","",IFERROR(BH214*HSCEI!$B$61*HSCEI!$G$61/HSCEI!$B$3,""))</f>
        <v/>
      </c>
      <c r="DW214" s="110">
        <f>IF(BI214="","",IFERROR(BI214*HSCEI!$B$61*HSCEI!$G$61/HSCEI!$B$3,""))</f>
        <v/>
      </c>
      <c r="DX214" s="110">
        <f>IF(BJ214="","",IFERROR(BJ214*HSCEI!$B$61*HSCEI!$G$61/HSCEI!$B$3,""))</f>
        <v/>
      </c>
      <c r="DY214" s="110">
        <f>IF(BK214="","",IFERROR(BK214*HSCEI!$B$61*HSCEI!$G$61/HSCEI!$B$3,""))</f>
        <v/>
      </c>
      <c r="DZ214" s="110">
        <f>IF(BL214="","",IFERROR(BL214*HSCEI!$B$61*HSCEI!$G$61/HSCEI!$B$3,""))</f>
        <v/>
      </c>
      <c r="EA214" s="110">
        <f>IF(BM214="","",IFERROR(BM214*HSCEI!$B$61*HSCEI!$G$61/HSCEI!$B$3,""))</f>
        <v/>
      </c>
      <c r="EB214" s="110">
        <f>IF(BN214="","",IFERROR(BN214*HSCEI!$B$61*HSCEI!$G$61/HSCEI!$B$3,""))</f>
        <v/>
      </c>
      <c r="EC214" s="110">
        <f>IF(BO214="","",IFERROR(BO214*HSCEI!$B$61*HSCEI!$G$61/HSCEI!$B$3,""))</f>
        <v/>
      </c>
      <c r="EE214" s="39">
        <f>IF(N('Dvd Calendar'!$E$2155)=0,"",IF(('Dvd Calendar'!$E$2155&gt;=GRID_FROM)*('Dvd Calendar'!$E$2155&lt;=GRID_TO)*((('Dvd Calendar'!$E$2155&lt;=VAL_DATE)+(COUNTIF('Dvd Calendar'!$E$2162:$AR$2162,'Dvd Calendar'!$E$2155)=0))&gt;0)=0,"",'Dvd Calendar'!$E$2155*1000000000+ISNUMBER('Dvd Calendar'!$E$2158)*100000000+('Dvd Calendar'!$E$2160=SPECIAL_LBL)*10000000+(N('Dvd Calendar'!$E$2154)&gt;0)*(N('Dvd Calendar'!$E$2154)&lt;=VAL_SERIAL)*1000000+55*1000+1))</f>
        <v/>
      </c>
      <c r="EF214" s="39">
        <f>IF(N('Dvd Calendar'!$F$2155)=0,"",IF(('Dvd Calendar'!$F$2155&gt;=GRID_FROM)*('Dvd Calendar'!$F$2155&lt;=GRID_TO)*((('Dvd Calendar'!$F$2155&lt;=VAL_DATE)+(COUNTIF('Dvd Calendar'!$E$2162:$AR$2162,'Dvd Calendar'!$F$2155)=0))&gt;0)=0,"",'Dvd Calendar'!$F$2155*1000000000+ISNUMBER('Dvd Calendar'!$F$2158)*100000000+('Dvd Calendar'!$F$2160=SPECIAL_LBL)*10000000+(N('Dvd Calendar'!$F$2154)&gt;0)*(N('Dvd Calendar'!$F$2154)&lt;=VAL_SERIAL)*1000000+55*1000+2))</f>
        <v/>
      </c>
      <c r="EG214" s="39">
        <f>IF(N('Dvd Calendar'!$G$2155)=0,"",IF(('Dvd Calendar'!$G$2155&gt;=GRID_FROM)*('Dvd Calendar'!$G$2155&lt;=GRID_TO)*((('Dvd Calendar'!$G$2155&lt;=VAL_DATE)+(COUNTIF('Dvd Calendar'!$E$2162:$AR$2162,'Dvd Calendar'!$G$2155)=0))&gt;0)=0,"",'Dvd Calendar'!$G$2155*1000000000+ISNUMBER('Dvd Calendar'!$G$2158)*100000000+('Dvd Calendar'!$G$2160=SPECIAL_LBL)*10000000+(N('Dvd Calendar'!$G$2154)&gt;0)*(N('Dvd Calendar'!$G$2154)&lt;=VAL_SERIAL)*1000000+55*1000+3))</f>
        <v/>
      </c>
      <c r="EH214" s="39">
        <f>IF(N('Dvd Calendar'!$H$2155)=0,"",IF(('Dvd Calendar'!$H$2155&gt;=GRID_FROM)*('Dvd Calendar'!$H$2155&lt;=GRID_TO)*((('Dvd Calendar'!$H$2155&lt;=VAL_DATE)+(COUNTIF('Dvd Calendar'!$E$2162:$AR$2162,'Dvd Calendar'!$H$2155)=0))&gt;0)=0,"",'Dvd Calendar'!$H$2155*1000000000+ISNUMBER('Dvd Calendar'!$H$2158)*100000000+('Dvd Calendar'!$H$2160=SPECIAL_LBL)*10000000+(N('Dvd Calendar'!$H$2154)&gt;0)*(N('Dvd Calendar'!$H$2154)&lt;=VAL_SERIAL)*1000000+55*1000+4))</f>
        <v/>
      </c>
      <c r="EI214" s="39">
        <f>IF(N('Dvd Calendar'!$I$2155)=0,"",IF(('Dvd Calendar'!$I$2155&gt;=GRID_FROM)*('Dvd Calendar'!$I$2155&lt;=GRID_TO)*((('Dvd Calendar'!$I$2155&lt;=VAL_DATE)+(COUNTIF('Dvd Calendar'!$E$2162:$AR$2162,'Dvd Calendar'!$I$2155)=0))&gt;0)=0,"",'Dvd Calendar'!$I$2155*1000000000+ISNUMBER('Dvd Calendar'!$I$2158)*100000000+('Dvd Calendar'!$I$2160=SPECIAL_LBL)*10000000+(N('Dvd Calendar'!$I$2154)&gt;0)*(N('Dvd Calendar'!$I$2154)&lt;=VAL_SERIAL)*1000000+55*1000+5))</f>
        <v/>
      </c>
      <c r="EJ214" s="39">
        <f>IF(N('Dvd Calendar'!$J$2155)=0,"",IF(('Dvd Calendar'!$J$2155&gt;=GRID_FROM)*('Dvd Calendar'!$J$2155&lt;=GRID_TO)*((('Dvd Calendar'!$J$2155&lt;=VAL_DATE)+(COUNTIF('Dvd Calendar'!$E$2162:$AR$2162,'Dvd Calendar'!$J$2155)=0))&gt;0)=0,"",'Dvd Calendar'!$J$2155*1000000000+ISNUMBER('Dvd Calendar'!$J$2158)*100000000+('Dvd Calendar'!$J$2160=SPECIAL_LBL)*10000000+(N('Dvd Calendar'!$J$2154)&gt;0)*(N('Dvd Calendar'!$J$2154)&lt;=VAL_SERIAL)*1000000+55*1000+6))</f>
        <v/>
      </c>
      <c r="EK214" s="39">
        <f>IF(N('Dvd Calendar'!$K$2155)=0,"",IF(('Dvd Calendar'!$K$2155&gt;=GRID_FROM)*('Dvd Calendar'!$K$2155&lt;=GRID_TO)*((('Dvd Calendar'!$K$2155&lt;=VAL_DATE)+(COUNTIF('Dvd Calendar'!$E$2162:$AR$2162,'Dvd Calendar'!$K$2155)=0))&gt;0)=0,"",'Dvd Calendar'!$K$2155*1000000000+ISNUMBER('Dvd Calendar'!$K$2158)*100000000+('Dvd Calendar'!$K$2160=SPECIAL_LBL)*10000000+(N('Dvd Calendar'!$K$2154)&gt;0)*(N('Dvd Calendar'!$K$2154)&lt;=VAL_SERIAL)*1000000+55*1000+7))</f>
        <v/>
      </c>
      <c r="EL214" s="39">
        <f>IF(N('Dvd Calendar'!$L$2155)=0,"",IF(('Dvd Calendar'!$L$2155&gt;=GRID_FROM)*('Dvd Calendar'!$L$2155&lt;=GRID_TO)*((('Dvd Calendar'!$L$2155&lt;=VAL_DATE)+(COUNTIF('Dvd Calendar'!$E$2162:$AR$2162,'Dvd Calendar'!$L$2155)=0))&gt;0)=0,"",'Dvd Calendar'!$L$2155*1000000000+ISNUMBER('Dvd Calendar'!$L$2158)*100000000+('Dvd Calendar'!$L$2160=SPECIAL_LBL)*10000000+(N('Dvd Calendar'!$L$2154)&gt;0)*(N('Dvd Calendar'!$L$2154)&lt;=VAL_SERIAL)*1000000+55*1000+8))</f>
        <v/>
      </c>
      <c r="EM214" s="39">
        <f>IF(N('Dvd Calendar'!$M$2155)=0,"",IF(('Dvd Calendar'!$M$2155&gt;=GRID_FROM)*('Dvd Calendar'!$M$2155&lt;=GRID_TO)*((('Dvd Calendar'!$M$2155&lt;=VAL_DATE)+(COUNTIF('Dvd Calendar'!$E$2162:$AR$2162,'Dvd Calendar'!$M$2155)=0))&gt;0)=0,"",'Dvd Calendar'!$M$2155*1000000000+ISNUMBER('Dvd Calendar'!$M$2158)*100000000+('Dvd Calendar'!$M$2160=SPECIAL_LBL)*10000000+(N('Dvd Calendar'!$M$2154)&gt;0)*(N('Dvd Calendar'!$M$2154)&lt;=VAL_SERIAL)*1000000+55*1000+9))</f>
        <v/>
      </c>
      <c r="EN214" s="39">
        <f>IF(N('Dvd Calendar'!$N$2155)=0,"",IF(('Dvd Calendar'!$N$2155&gt;=GRID_FROM)*('Dvd Calendar'!$N$2155&lt;=GRID_TO)*((('Dvd Calendar'!$N$2155&lt;=VAL_DATE)+(COUNTIF('Dvd Calendar'!$E$2162:$AR$2162,'Dvd Calendar'!$N$2155)=0))&gt;0)=0,"",'Dvd Calendar'!$N$2155*1000000000+ISNUMBER('Dvd Calendar'!$N$2158)*100000000+('Dvd Calendar'!$N$2160=SPECIAL_LBL)*10000000+(N('Dvd Calendar'!$N$2154)&gt;0)*(N('Dvd Calendar'!$N$2154)&lt;=VAL_SERIAL)*1000000+55*1000+10))</f>
        <v/>
      </c>
      <c r="EO214" s="39">
        <f>IF(N('Dvd Calendar'!$O$2155)=0,"",IF(('Dvd Calendar'!$O$2155&gt;=GRID_FROM)*('Dvd Calendar'!$O$2155&lt;=GRID_TO)*((('Dvd Calendar'!$O$2155&lt;=VAL_DATE)+(COUNTIF('Dvd Calendar'!$E$2162:$AR$2162,'Dvd Calendar'!$O$2155)=0))&gt;0)=0,"",'Dvd Calendar'!$O$2155*1000000000+ISNUMBER('Dvd Calendar'!$O$2158)*100000000+('Dvd Calendar'!$O$2160=SPECIAL_LBL)*10000000+(N('Dvd Calendar'!$O$2154)&gt;0)*(N('Dvd Calendar'!$O$2154)&lt;=VAL_SERIAL)*1000000+55*1000+11))</f>
        <v/>
      </c>
      <c r="EP214" s="39">
        <f>IF(N('Dvd Calendar'!$P$2155)=0,"",IF(('Dvd Calendar'!$P$2155&gt;=GRID_FROM)*('Dvd Calendar'!$P$2155&lt;=GRID_TO)*((('Dvd Calendar'!$P$2155&lt;=VAL_DATE)+(COUNTIF('Dvd Calendar'!$E$2162:$AR$2162,'Dvd Calendar'!$P$2155)=0))&gt;0)=0,"",'Dvd Calendar'!$P$2155*1000000000+ISNUMBER('Dvd Calendar'!$P$2158)*100000000+('Dvd Calendar'!$P$2160=SPECIAL_LBL)*10000000+(N('Dvd Calendar'!$P$2154)&gt;0)*(N('Dvd Calendar'!$P$2154)&lt;=VAL_SERIAL)*1000000+55*1000+12))</f>
        <v/>
      </c>
      <c r="EQ214" s="39">
        <f>IF(N('Dvd Calendar'!$Q$2155)=0,"",IF(('Dvd Calendar'!$Q$2155&gt;=GRID_FROM)*('Dvd Calendar'!$Q$2155&lt;=GRID_TO)*((('Dvd Calendar'!$Q$2155&lt;=VAL_DATE)+(COUNTIF('Dvd Calendar'!$E$2162:$AR$2162,'Dvd Calendar'!$Q$2155)=0))&gt;0)=0,"",'Dvd Calendar'!$Q$2155*1000000000+ISNUMBER('Dvd Calendar'!$Q$2158)*100000000+('Dvd Calendar'!$Q$2160=SPECIAL_LBL)*10000000+(N('Dvd Calendar'!$Q$2154)&gt;0)*(N('Dvd Calendar'!$Q$2154)&lt;=VAL_SERIAL)*1000000+55*1000+13))</f>
        <v/>
      </c>
      <c r="ER214" s="39">
        <f>IF(N('Dvd Calendar'!$R$2155)=0,"",IF(('Dvd Calendar'!$R$2155&gt;=GRID_FROM)*('Dvd Calendar'!$R$2155&lt;=GRID_TO)*((('Dvd Calendar'!$R$2155&lt;=VAL_DATE)+(COUNTIF('Dvd Calendar'!$E$2162:$AR$2162,'Dvd Calendar'!$R$2155)=0))&gt;0)=0,"",'Dvd Calendar'!$R$2155*1000000000+ISNUMBER('Dvd Calendar'!$R$2158)*100000000+('Dvd Calendar'!$R$2160=SPECIAL_LBL)*10000000+(N('Dvd Calendar'!$R$2154)&gt;0)*(N('Dvd Calendar'!$R$2154)&lt;=VAL_SERIAL)*1000000+55*1000+14))</f>
        <v/>
      </c>
      <c r="ES214" s="39">
        <f>IF(N('Dvd Calendar'!$S$2155)=0,"",IF(('Dvd Calendar'!$S$2155&gt;=GRID_FROM)*('Dvd Calendar'!$S$2155&lt;=GRID_TO)*((('Dvd Calendar'!$S$2155&lt;=VAL_DATE)+(COUNTIF('Dvd Calendar'!$E$2162:$AR$2162,'Dvd Calendar'!$S$2155)=0))&gt;0)=0,"",'Dvd Calendar'!$S$2155*1000000000+ISNUMBER('Dvd Calendar'!$S$2158)*100000000+('Dvd Calendar'!$S$2160=SPECIAL_LBL)*10000000+(N('Dvd Calendar'!$S$2154)&gt;0)*(N('Dvd Calendar'!$S$2154)&lt;=VAL_SERIAL)*1000000+55*1000+15))</f>
        <v/>
      </c>
      <c r="ET214" s="39">
        <f>IF(N('Dvd Calendar'!$T$2155)=0,"",IF(('Dvd Calendar'!$T$2155&gt;=GRID_FROM)*('Dvd Calendar'!$T$2155&lt;=GRID_TO)*((('Dvd Calendar'!$T$2155&lt;=VAL_DATE)+(COUNTIF('Dvd Calendar'!$E$2162:$AR$2162,'Dvd Calendar'!$T$2155)=0))&gt;0)=0,"",'Dvd Calendar'!$T$2155*1000000000+ISNUMBER('Dvd Calendar'!$T$2158)*100000000+('Dvd Calendar'!$T$2160=SPECIAL_LBL)*10000000+(N('Dvd Calendar'!$T$2154)&gt;0)*(N('Dvd Calendar'!$T$2154)&lt;=VAL_SERIAL)*1000000+55*1000+16))</f>
        <v/>
      </c>
      <c r="EU214" s="39">
        <f>IF(N('Dvd Calendar'!$U$2155)=0,"",IF(('Dvd Calendar'!$U$2155&gt;=GRID_FROM)*('Dvd Calendar'!$U$2155&lt;=GRID_TO)*((('Dvd Calendar'!$U$2155&lt;=VAL_DATE)+(COUNTIF('Dvd Calendar'!$E$2162:$AR$2162,'Dvd Calendar'!$U$2155)=0))&gt;0)=0,"",'Dvd Calendar'!$U$2155*1000000000+ISNUMBER('Dvd Calendar'!$U$2158)*100000000+('Dvd Calendar'!$U$2160=SPECIAL_LBL)*10000000+(N('Dvd Calendar'!$U$2154)&gt;0)*(N('Dvd Calendar'!$U$2154)&lt;=VAL_SERIAL)*1000000+55*1000+17))</f>
        <v/>
      </c>
      <c r="EV214" s="39">
        <f>IF(N('Dvd Calendar'!$V$2155)=0,"",IF(('Dvd Calendar'!$V$2155&gt;=GRID_FROM)*('Dvd Calendar'!$V$2155&lt;=GRID_TO)*((('Dvd Calendar'!$V$2155&lt;=VAL_DATE)+(COUNTIF('Dvd Calendar'!$E$2162:$AR$2162,'Dvd Calendar'!$V$2155)=0))&gt;0)=0,"",'Dvd Calendar'!$V$2155*1000000000+ISNUMBER('Dvd Calendar'!$V$2158)*100000000+('Dvd Calendar'!$V$2160=SPECIAL_LBL)*10000000+(N('Dvd Calendar'!$V$2154)&gt;0)*(N('Dvd Calendar'!$V$2154)&lt;=VAL_SERIAL)*1000000+55*1000+18))</f>
        <v/>
      </c>
      <c r="EW214" s="39">
        <f>IF(N('Dvd Calendar'!$W$2155)=0,"",IF(('Dvd Calendar'!$W$2155&gt;=GRID_FROM)*('Dvd Calendar'!$W$2155&lt;=GRID_TO)*((('Dvd Calendar'!$W$2155&lt;=VAL_DATE)+(COUNTIF('Dvd Calendar'!$E$2162:$AR$2162,'Dvd Calendar'!$W$2155)=0))&gt;0)=0,"",'Dvd Calendar'!$W$2155*1000000000+ISNUMBER('Dvd Calendar'!$W$2158)*100000000+('Dvd Calendar'!$W$2160=SPECIAL_LBL)*10000000+(N('Dvd Calendar'!$W$2154)&gt;0)*(N('Dvd Calendar'!$W$2154)&lt;=VAL_SERIAL)*1000000+55*1000+19))</f>
        <v/>
      </c>
      <c r="EX214" s="39">
        <f>IF(N('Dvd Calendar'!$X$2155)=0,"",IF(('Dvd Calendar'!$X$2155&gt;=GRID_FROM)*('Dvd Calendar'!$X$2155&lt;=GRID_TO)*((('Dvd Calendar'!$X$2155&lt;=VAL_DATE)+(COUNTIF('Dvd Calendar'!$E$2162:$AR$2162,'Dvd Calendar'!$X$2155)=0))&gt;0)=0,"",'Dvd Calendar'!$X$2155*1000000000+ISNUMBER('Dvd Calendar'!$X$2158)*100000000+('Dvd Calendar'!$X$2160=SPECIAL_LBL)*10000000+(N('Dvd Calendar'!$X$2154)&gt;0)*(N('Dvd Calendar'!$X$2154)&lt;=VAL_SERIAL)*1000000+55*1000+20))</f>
        <v/>
      </c>
      <c r="EY214" s="39">
        <f>IF(N('Dvd Calendar'!$Y$2155)=0,"",IF(('Dvd Calendar'!$Y$2155&gt;=GRID_FROM)*('Dvd Calendar'!$Y$2155&lt;=GRID_TO)*((('Dvd Calendar'!$Y$2155&lt;=VAL_DATE)+(COUNTIF('Dvd Calendar'!$E$2162:$AR$2162,'Dvd Calendar'!$Y$2155)=0))&gt;0)=0,"",'Dvd Calendar'!$Y$2155*1000000000+ISNUMBER('Dvd Calendar'!$Y$2158)*100000000+('Dvd Calendar'!$Y$2160=SPECIAL_LBL)*10000000+(N('Dvd Calendar'!$Y$2154)&gt;0)*(N('Dvd Calendar'!$Y$2154)&lt;=VAL_SERIAL)*1000000+55*1000+21))</f>
        <v/>
      </c>
      <c r="EZ214" s="39">
        <f>IF(N('Dvd Calendar'!$Z$2155)=0,"",IF(('Dvd Calendar'!$Z$2155&gt;=GRID_FROM)*('Dvd Calendar'!$Z$2155&lt;=GRID_TO)*((('Dvd Calendar'!$Z$2155&lt;=VAL_DATE)+(COUNTIF('Dvd Calendar'!$E$2162:$AR$2162,'Dvd Calendar'!$Z$2155)=0))&gt;0)=0,"",'Dvd Calendar'!$Z$2155*1000000000+ISNUMBER('Dvd Calendar'!$Z$2158)*100000000+('Dvd Calendar'!$Z$2160=SPECIAL_LBL)*10000000+(N('Dvd Calendar'!$Z$2154)&gt;0)*(N('Dvd Calendar'!$Z$2154)&lt;=VAL_SERIAL)*1000000+55*1000+22))</f>
        <v/>
      </c>
      <c r="FA214" s="39">
        <f>IF(N('Dvd Calendar'!$AA$2155)=0,"",IF(('Dvd Calendar'!$AA$2155&gt;=GRID_FROM)*('Dvd Calendar'!$AA$2155&lt;=GRID_TO)*((('Dvd Calendar'!$AA$2155&lt;=VAL_DATE)+(COUNTIF('Dvd Calendar'!$E$2162:$AR$2162,'Dvd Calendar'!$AA$2155)=0))&gt;0)=0,"",'Dvd Calendar'!$AA$2155*1000000000+ISNUMBER('Dvd Calendar'!$AA$2158)*100000000+('Dvd Calendar'!$AA$2160=SPECIAL_LBL)*10000000+(N('Dvd Calendar'!$AA$2154)&gt;0)*(N('Dvd Calendar'!$AA$2154)&lt;=VAL_SERIAL)*1000000+55*1000+23))</f>
        <v/>
      </c>
      <c r="FB214" s="39">
        <f>IF(N('Dvd Calendar'!$AB$2155)=0,"",IF(('Dvd Calendar'!$AB$2155&gt;=GRID_FROM)*('Dvd Calendar'!$AB$2155&lt;=GRID_TO)*((('Dvd Calendar'!$AB$2155&lt;=VAL_DATE)+(COUNTIF('Dvd Calendar'!$E$2162:$AR$2162,'Dvd Calendar'!$AB$2155)=0))&gt;0)=0,"",'Dvd Calendar'!$AB$2155*1000000000+ISNUMBER('Dvd Calendar'!$AB$2158)*100000000+('Dvd Calendar'!$AB$2160=SPECIAL_LBL)*10000000+(N('Dvd Calendar'!$AB$2154)&gt;0)*(N('Dvd Calendar'!$AB$2154)&lt;=VAL_SERIAL)*1000000+55*1000+24))</f>
        <v/>
      </c>
      <c r="FC214" s="39">
        <f>IF(N('Dvd Calendar'!$AC$2155)=0,"",IF(('Dvd Calendar'!$AC$2155&gt;=GRID_FROM)*('Dvd Calendar'!$AC$2155&lt;=GRID_TO)*((('Dvd Calendar'!$AC$2155&lt;=VAL_DATE)+(COUNTIF('Dvd Calendar'!$E$2162:$AR$2162,'Dvd Calendar'!$AC$2155)=0))&gt;0)=0,"",'Dvd Calendar'!$AC$2155*1000000000+ISNUMBER('Dvd Calendar'!$AC$2158)*100000000+('Dvd Calendar'!$AC$2160=SPECIAL_LBL)*10000000+(N('Dvd Calendar'!$AC$2154)&gt;0)*(N('Dvd Calendar'!$AC$2154)&lt;=VAL_SERIAL)*1000000+55*1000+25))</f>
        <v/>
      </c>
      <c r="FD214" s="39">
        <f>IF(N('Dvd Calendar'!$AD$2155)=0,"",IF(('Dvd Calendar'!$AD$2155&gt;=GRID_FROM)*('Dvd Calendar'!$AD$2155&lt;=GRID_TO)*((('Dvd Calendar'!$AD$2155&lt;=VAL_DATE)+(COUNTIF('Dvd Calendar'!$E$2162:$AR$2162,'Dvd Calendar'!$AD$2155)=0))&gt;0)=0,"",'Dvd Calendar'!$AD$2155*1000000000+ISNUMBER('Dvd Calendar'!$AD$2158)*100000000+('Dvd Calendar'!$AD$2160=SPECIAL_LBL)*10000000+(N('Dvd Calendar'!$AD$2154)&gt;0)*(N('Dvd Calendar'!$AD$2154)&lt;=VAL_SERIAL)*1000000+55*1000+26))</f>
        <v/>
      </c>
      <c r="FE214" s="39">
        <f>IF(N('Dvd Calendar'!$AE$2155)=0,"",IF(('Dvd Calendar'!$AE$2155&gt;=GRID_FROM)*('Dvd Calendar'!$AE$2155&lt;=GRID_TO)*((('Dvd Calendar'!$AE$2155&lt;=VAL_DATE)+(COUNTIF('Dvd Calendar'!$E$2162:$AR$2162,'Dvd Calendar'!$AE$2155)=0))&gt;0)=0,"",'Dvd Calendar'!$AE$2155*1000000000+ISNUMBER('Dvd Calendar'!$AE$2158)*100000000+('Dvd Calendar'!$AE$2160=SPECIAL_LBL)*10000000+(N('Dvd Calendar'!$AE$2154)&gt;0)*(N('Dvd Calendar'!$AE$2154)&lt;=VAL_SERIAL)*1000000+55*1000+27))</f>
        <v/>
      </c>
      <c r="FF214" s="39">
        <f>IF(N('Dvd Calendar'!$AF$2155)=0,"",IF(('Dvd Calendar'!$AF$2155&gt;=GRID_FROM)*('Dvd Calendar'!$AF$2155&lt;=GRID_TO)*((('Dvd Calendar'!$AF$2155&lt;=VAL_DATE)+(COUNTIF('Dvd Calendar'!$E$2162:$AR$2162,'Dvd Calendar'!$AF$2155)=0))&gt;0)=0,"",'Dvd Calendar'!$AF$2155*1000000000+ISNUMBER('Dvd Calendar'!$AF$2158)*100000000+('Dvd Calendar'!$AF$2160=SPECIAL_LBL)*10000000+(N('Dvd Calendar'!$AF$2154)&gt;0)*(N('Dvd Calendar'!$AF$2154)&lt;=VAL_SERIAL)*1000000+55*1000+28))</f>
        <v/>
      </c>
      <c r="FG214" s="39">
        <f>IF(N('Dvd Calendar'!$AG$2155)=0,"",IF(('Dvd Calendar'!$AG$2155&gt;=GRID_FROM)*('Dvd Calendar'!$AG$2155&lt;=GRID_TO)*((('Dvd Calendar'!$AG$2155&lt;=VAL_DATE)+(COUNTIF('Dvd Calendar'!$E$2162:$AR$2162,'Dvd Calendar'!$AG$2155)=0))&gt;0)=0,"",'Dvd Calendar'!$AG$2155*1000000000+ISNUMBER('Dvd Calendar'!$AG$2158)*100000000+('Dvd Calendar'!$AG$2160=SPECIAL_LBL)*10000000+(N('Dvd Calendar'!$AG$2154)&gt;0)*(N('Dvd Calendar'!$AG$2154)&lt;=VAL_SERIAL)*1000000+55*1000+29))</f>
        <v/>
      </c>
      <c r="FH214" s="39">
        <f>IF(N('Dvd Calendar'!$AH$2155)=0,"",IF(('Dvd Calendar'!$AH$2155&gt;=GRID_FROM)*('Dvd Calendar'!$AH$2155&lt;=GRID_TO)*((('Dvd Calendar'!$AH$2155&lt;=VAL_DATE)+(COUNTIF('Dvd Calendar'!$E$2162:$AR$2162,'Dvd Calendar'!$AH$2155)=0))&gt;0)=0,"",'Dvd Calendar'!$AH$2155*1000000000+ISNUMBER('Dvd Calendar'!$AH$2158)*100000000+('Dvd Calendar'!$AH$2160=SPECIAL_LBL)*10000000+(N('Dvd Calendar'!$AH$2154)&gt;0)*(N('Dvd Calendar'!$AH$2154)&lt;=VAL_SERIAL)*1000000+55*1000+30))</f>
        <v/>
      </c>
      <c r="FI214" s="39">
        <f>IF(N('Dvd Calendar'!$AI$2155)=0,"",IF(('Dvd Calendar'!$AI$2155&gt;=GRID_FROM)*('Dvd Calendar'!$AI$2155&lt;=GRID_TO)*((('Dvd Calendar'!$AI$2155&lt;=VAL_DATE)+(COUNTIF('Dvd Calendar'!$E$2162:$AR$2162,'Dvd Calendar'!$AI$2155)=0))&gt;0)=0,"",'Dvd Calendar'!$AI$2155*1000000000+ISNUMBER('Dvd Calendar'!$AI$2158)*100000000+('Dvd Calendar'!$AI$2160=SPECIAL_LBL)*10000000+(N('Dvd Calendar'!$AI$2154)&gt;0)*(N('Dvd Calendar'!$AI$2154)&lt;=VAL_SERIAL)*1000000+55*1000+31))</f>
        <v/>
      </c>
      <c r="FJ214" s="39">
        <f>IF(N('Dvd Calendar'!$AJ$2155)=0,"",IF(('Dvd Calendar'!$AJ$2155&gt;=GRID_FROM)*('Dvd Calendar'!$AJ$2155&lt;=GRID_TO)*((('Dvd Calendar'!$AJ$2155&lt;=VAL_DATE)+(COUNTIF('Dvd Calendar'!$E$2162:$AR$2162,'Dvd Calendar'!$AJ$2155)=0))&gt;0)=0,"",'Dvd Calendar'!$AJ$2155*1000000000+ISNUMBER('Dvd Calendar'!$AJ$2158)*100000000+('Dvd Calendar'!$AJ$2160=SPECIAL_LBL)*10000000+(N('Dvd Calendar'!$AJ$2154)&gt;0)*(N('Dvd Calendar'!$AJ$2154)&lt;=VAL_SERIAL)*1000000+55*1000+32))</f>
        <v/>
      </c>
      <c r="FK214" s="39">
        <f>IF(N('Dvd Calendar'!$AK$2155)=0,"",IF(('Dvd Calendar'!$AK$2155&gt;=GRID_FROM)*('Dvd Calendar'!$AK$2155&lt;=GRID_TO)*((('Dvd Calendar'!$AK$2155&lt;=VAL_DATE)+(COUNTIF('Dvd Calendar'!$E$2162:$AR$2162,'Dvd Calendar'!$AK$2155)=0))&gt;0)=0,"",'Dvd Calendar'!$AK$2155*1000000000+ISNUMBER('Dvd Calendar'!$AK$2158)*100000000+('Dvd Calendar'!$AK$2160=SPECIAL_LBL)*10000000+(N('Dvd Calendar'!$AK$2154)&gt;0)*(N('Dvd Calendar'!$AK$2154)&lt;=VAL_SERIAL)*1000000+55*1000+33))</f>
        <v/>
      </c>
      <c r="FL214" s="39">
        <f>IF(N('Dvd Calendar'!$AL$2155)=0,"",IF(('Dvd Calendar'!$AL$2155&gt;=GRID_FROM)*('Dvd Calendar'!$AL$2155&lt;=GRID_TO)*((('Dvd Calendar'!$AL$2155&lt;=VAL_DATE)+(COUNTIF('Dvd Calendar'!$E$2162:$AR$2162,'Dvd Calendar'!$AL$2155)=0))&gt;0)=0,"",'Dvd Calendar'!$AL$2155*1000000000+ISNUMBER('Dvd Calendar'!$AL$2158)*100000000+('Dvd Calendar'!$AL$2160=SPECIAL_LBL)*10000000+(N('Dvd Calendar'!$AL$2154)&gt;0)*(N('Dvd Calendar'!$AL$2154)&lt;=VAL_SERIAL)*1000000+55*1000+34))</f>
        <v/>
      </c>
      <c r="FM214" s="39">
        <f>IF(N('Dvd Calendar'!$AM$2155)=0,"",IF(('Dvd Calendar'!$AM$2155&gt;=GRID_FROM)*('Dvd Calendar'!$AM$2155&lt;=GRID_TO)*((('Dvd Calendar'!$AM$2155&lt;=VAL_DATE)+(COUNTIF('Dvd Calendar'!$E$2162:$AR$2162,'Dvd Calendar'!$AM$2155)=0))&gt;0)=0,"",'Dvd Calendar'!$AM$2155*1000000000+ISNUMBER('Dvd Calendar'!$AM$2158)*100000000+('Dvd Calendar'!$AM$2160=SPECIAL_LBL)*10000000+(N('Dvd Calendar'!$AM$2154)&gt;0)*(N('Dvd Calendar'!$AM$2154)&lt;=VAL_SERIAL)*1000000+55*1000+35))</f>
        <v/>
      </c>
      <c r="FN214" s="39">
        <f>IF(N('Dvd Calendar'!$AN$2155)=0,"",IF(('Dvd Calendar'!$AN$2155&gt;=GRID_FROM)*('Dvd Calendar'!$AN$2155&lt;=GRID_TO)*((('Dvd Calendar'!$AN$2155&lt;=VAL_DATE)+(COUNTIF('Dvd Calendar'!$E$2162:$AR$2162,'Dvd Calendar'!$AN$2155)=0))&gt;0)=0,"",'Dvd Calendar'!$AN$2155*1000000000+ISNUMBER('Dvd Calendar'!$AN$2158)*100000000+('Dvd Calendar'!$AN$2160=SPECIAL_LBL)*10000000+(N('Dvd Calendar'!$AN$2154)&gt;0)*(N('Dvd Calendar'!$AN$2154)&lt;=VAL_SERIAL)*1000000+55*1000+36))</f>
        <v/>
      </c>
      <c r="FO214" s="39">
        <f>IF(N('Dvd Calendar'!$AO$2155)=0,"",IF(('Dvd Calendar'!$AO$2155&gt;=GRID_FROM)*('Dvd Calendar'!$AO$2155&lt;=GRID_TO)*((('Dvd Calendar'!$AO$2155&lt;=VAL_DATE)+(COUNTIF('Dvd Calendar'!$E$2162:$AR$2162,'Dvd Calendar'!$AO$2155)=0))&gt;0)=0,"",'Dvd Calendar'!$AO$2155*1000000000+ISNUMBER('Dvd Calendar'!$AO$2158)*100000000+('Dvd Calendar'!$AO$2160=SPECIAL_LBL)*10000000+(N('Dvd Calendar'!$AO$2154)&gt;0)*(N('Dvd Calendar'!$AO$2154)&lt;=VAL_SERIAL)*1000000+55*1000+37))</f>
        <v/>
      </c>
      <c r="FP214" s="39">
        <f>IF(N('Dvd Calendar'!$AP$2155)=0,"",IF(('Dvd Calendar'!$AP$2155&gt;=GRID_FROM)*('Dvd Calendar'!$AP$2155&lt;=GRID_TO)*((('Dvd Calendar'!$AP$2155&lt;=VAL_DATE)+(COUNTIF('Dvd Calendar'!$E$2162:$AR$2162,'Dvd Calendar'!$AP$2155)=0))&gt;0)=0,"",'Dvd Calendar'!$AP$2155*1000000000+ISNUMBER('Dvd Calendar'!$AP$2158)*100000000+('Dvd Calendar'!$AP$2160=SPECIAL_LBL)*10000000+(N('Dvd Calendar'!$AP$2154)&gt;0)*(N('Dvd Calendar'!$AP$2154)&lt;=VAL_SERIAL)*1000000+55*1000+38))</f>
        <v/>
      </c>
      <c r="FQ214" s="39">
        <f>IF(N('Dvd Calendar'!$AQ$2155)=0,"",IF(('Dvd Calendar'!$AQ$2155&gt;=GRID_FROM)*('Dvd Calendar'!$AQ$2155&lt;=GRID_TO)*((('Dvd Calendar'!$AQ$2155&lt;=VAL_DATE)+(COUNTIF('Dvd Calendar'!$E$2162:$AR$2162,'Dvd Calendar'!$AQ$2155)=0))&gt;0)=0,"",'Dvd Calendar'!$AQ$2155*1000000000+ISNUMBER('Dvd Calendar'!$AQ$2158)*100000000+('Dvd Calendar'!$AQ$2160=SPECIAL_LBL)*10000000+(N('Dvd Calendar'!$AQ$2154)&gt;0)*(N('Dvd Calendar'!$AQ$2154)&lt;=VAL_SERIAL)*1000000+55*1000+39))</f>
        <v/>
      </c>
      <c r="FR214" s="39">
        <f>IF(N('Dvd Calendar'!$AR$2155)=0,"",IF(('Dvd Calendar'!$AR$2155&gt;=GRID_FROM)*('Dvd Calendar'!$AR$2155&lt;=GRID_TO)*((('Dvd Calendar'!$AR$2155&lt;=VAL_DATE)+(COUNTIF('Dvd Calendar'!$E$2162:$AR$2162,'Dvd Calendar'!$AR$2155)=0))&gt;0)=0,"",'Dvd Calendar'!$AR$2155*1000000000+ISNUMBER('Dvd Calendar'!$AR$2158)*100000000+('Dvd Calendar'!$AR$2160=SPECIAL_LBL)*10000000+(N('Dvd Calendar'!$AR$2154)&gt;0)*(N('Dvd Calendar'!$AR$2154)&lt;=VAL_SERIAL)*1000000+55*1000+40))</f>
        <v/>
      </c>
      <c r="FS214" s="39">
        <f>IF(N('Dvd Calendar'!$E$2162)=0,"",IF(('Dvd Calendar'!$E$2162&gt;=GRID_FROM)*('Dvd Calendar'!$E$2162&lt;=GRID_TO)*('Dvd Calendar'!$E$2162&gt;VAL_DATE)=0,"",'Dvd Calendar'!$E$2162*1000000000+ISNUMBER('Dvd Calendar'!$E$2163)*100000000+0*10000000+(N('Dvd Calendar'!$E$2161)&gt;0)*(N('Dvd Calendar'!$E$2161)&lt;=VAL_SERIAL)*1000000+55*1000+41))</f>
        <v/>
      </c>
      <c r="FT214" s="39">
        <f>IF(N('Dvd Calendar'!$F$2162)=0,"",IF(('Dvd Calendar'!$F$2162&gt;=GRID_FROM)*('Dvd Calendar'!$F$2162&lt;=GRID_TO)*('Dvd Calendar'!$F$2162&gt;VAL_DATE)=0,"",'Dvd Calendar'!$F$2162*1000000000+ISNUMBER('Dvd Calendar'!$F$2163)*100000000+0*10000000+(N('Dvd Calendar'!$F$2161)&gt;0)*(N('Dvd Calendar'!$F$2161)&lt;=VAL_SERIAL)*1000000+55*1000+42))</f>
        <v/>
      </c>
      <c r="FU214" s="39">
        <f>IF(N('Dvd Calendar'!$G$2162)=0,"",IF(('Dvd Calendar'!$G$2162&gt;=GRID_FROM)*('Dvd Calendar'!$G$2162&lt;=GRID_TO)*('Dvd Calendar'!$G$2162&gt;VAL_DATE)=0,"",'Dvd Calendar'!$G$2162*1000000000+ISNUMBER('Dvd Calendar'!$G$2163)*100000000+0*10000000+(N('Dvd Calendar'!$G$2161)&gt;0)*(N('Dvd Calendar'!$G$2161)&lt;=VAL_SERIAL)*1000000+55*1000+43))</f>
        <v/>
      </c>
      <c r="FV214" s="39">
        <f>IF(N('Dvd Calendar'!$H$2162)=0,"",IF(('Dvd Calendar'!$H$2162&gt;=GRID_FROM)*('Dvd Calendar'!$H$2162&lt;=GRID_TO)*('Dvd Calendar'!$H$2162&gt;VAL_DATE)=0,"",'Dvd Calendar'!$H$2162*1000000000+ISNUMBER('Dvd Calendar'!$H$2163)*100000000+0*10000000+(N('Dvd Calendar'!$H$2161)&gt;0)*(N('Dvd Calendar'!$H$2161)&lt;=VAL_SERIAL)*1000000+55*1000+44))</f>
        <v/>
      </c>
      <c r="FW214" s="39">
        <f>IF(N('Dvd Calendar'!$I$2162)=0,"",IF(('Dvd Calendar'!$I$2162&gt;=GRID_FROM)*('Dvd Calendar'!$I$2162&lt;=GRID_TO)*('Dvd Calendar'!$I$2162&gt;VAL_DATE)=0,"",'Dvd Calendar'!$I$2162*1000000000+ISNUMBER('Dvd Calendar'!$I$2163)*100000000+0*10000000+(N('Dvd Calendar'!$I$2161)&gt;0)*(N('Dvd Calendar'!$I$2161)&lt;=VAL_SERIAL)*1000000+55*1000+45))</f>
        <v/>
      </c>
      <c r="FX214" s="39">
        <f>IF(N('Dvd Calendar'!$J$2162)=0,"",IF(('Dvd Calendar'!$J$2162&gt;=GRID_FROM)*('Dvd Calendar'!$J$2162&lt;=GRID_TO)*('Dvd Calendar'!$J$2162&gt;VAL_DATE)=0,"",'Dvd Calendar'!$J$2162*1000000000+ISNUMBER('Dvd Calendar'!$J$2163)*100000000+0*10000000+(N('Dvd Calendar'!$J$2161)&gt;0)*(N('Dvd Calendar'!$J$2161)&lt;=VAL_SERIAL)*1000000+55*1000+46))</f>
        <v/>
      </c>
      <c r="FY214" s="39">
        <f>IF(N('Dvd Calendar'!$K$2162)=0,"",IF(('Dvd Calendar'!$K$2162&gt;=GRID_FROM)*('Dvd Calendar'!$K$2162&lt;=GRID_TO)*('Dvd Calendar'!$K$2162&gt;VAL_DATE)=0,"",'Dvd Calendar'!$K$2162*1000000000+ISNUMBER('Dvd Calendar'!$K$2163)*100000000+0*10000000+(N('Dvd Calendar'!$K$2161)&gt;0)*(N('Dvd Calendar'!$K$2161)&lt;=VAL_SERIAL)*1000000+55*1000+47))</f>
        <v/>
      </c>
      <c r="FZ214" s="39">
        <f>IF(N('Dvd Calendar'!$L$2162)=0,"",IF(('Dvd Calendar'!$L$2162&gt;=GRID_FROM)*('Dvd Calendar'!$L$2162&lt;=GRID_TO)*('Dvd Calendar'!$L$2162&gt;VAL_DATE)=0,"",'Dvd Calendar'!$L$2162*1000000000+ISNUMBER('Dvd Calendar'!$L$2163)*100000000+0*10000000+(N('Dvd Calendar'!$L$2161)&gt;0)*(N('Dvd Calendar'!$L$2161)&lt;=VAL_SERIAL)*1000000+55*1000+48))</f>
        <v/>
      </c>
      <c r="GA214" s="39">
        <f>IF(N('Dvd Calendar'!$M$2162)=0,"",IF(('Dvd Calendar'!$M$2162&gt;=GRID_FROM)*('Dvd Calendar'!$M$2162&lt;=GRID_TO)*('Dvd Calendar'!$M$2162&gt;VAL_DATE)=0,"",'Dvd Calendar'!$M$2162*1000000000+ISNUMBER('Dvd Calendar'!$M$2163)*100000000+0*10000000+(N('Dvd Calendar'!$M$2161)&gt;0)*(N('Dvd Calendar'!$M$2161)&lt;=VAL_SERIAL)*1000000+55*1000+49))</f>
        <v/>
      </c>
      <c r="GB214" s="39">
        <f>IF(N('Dvd Calendar'!$N$2162)=0,"",IF(('Dvd Calendar'!$N$2162&gt;=GRID_FROM)*('Dvd Calendar'!$N$2162&lt;=GRID_TO)*('Dvd Calendar'!$N$2162&gt;VAL_DATE)=0,"",'Dvd Calendar'!$N$2162*1000000000+ISNUMBER('Dvd Calendar'!$N$2163)*100000000+0*10000000+(N('Dvd Calendar'!$N$2161)&gt;0)*(N('Dvd Calendar'!$N$2161)&lt;=VAL_SERIAL)*1000000+55*1000+50))</f>
        <v/>
      </c>
      <c r="GC214" s="39">
        <f>IF(N('Dvd Calendar'!$O$2162)=0,"",IF(('Dvd Calendar'!$O$2162&gt;=GRID_FROM)*('Dvd Calendar'!$O$2162&lt;=GRID_TO)*('Dvd Calendar'!$O$2162&gt;VAL_DATE)=0,"",'Dvd Calendar'!$O$2162*1000000000+ISNUMBER('Dvd Calendar'!$O$2163)*100000000+0*10000000+(N('Dvd Calendar'!$O$2161)&gt;0)*(N('Dvd Calendar'!$O$2161)&lt;=VAL_SERIAL)*1000000+55*1000+51))</f>
        <v/>
      </c>
      <c r="GD214" s="39">
        <f>IF(N('Dvd Calendar'!$P$2162)=0,"",IF(('Dvd Calendar'!$P$2162&gt;=GRID_FROM)*('Dvd Calendar'!$P$2162&lt;=GRID_TO)*('Dvd Calendar'!$P$2162&gt;VAL_DATE)=0,"",'Dvd Calendar'!$P$2162*1000000000+ISNUMBER('Dvd Calendar'!$P$2163)*100000000+0*10000000+(N('Dvd Calendar'!$P$2161)&gt;0)*(N('Dvd Calendar'!$P$2161)&lt;=VAL_SERIAL)*1000000+55*1000+52))</f>
        <v/>
      </c>
      <c r="GE214" s="39">
        <f>IF(N('Dvd Calendar'!$Q$2162)=0,"",IF(('Dvd Calendar'!$Q$2162&gt;=GRID_FROM)*('Dvd Calendar'!$Q$2162&lt;=GRID_TO)*('Dvd Calendar'!$Q$2162&gt;VAL_DATE)=0,"",'Dvd Calendar'!$Q$2162*1000000000+ISNUMBER('Dvd Calendar'!$Q$2163)*100000000+0*10000000+(N('Dvd Calendar'!$Q$2161)&gt;0)*(N('Dvd Calendar'!$Q$2161)&lt;=VAL_SERIAL)*1000000+55*1000+53))</f>
        <v/>
      </c>
      <c r="GF214" s="39">
        <f>IF(N('Dvd Calendar'!$R$2162)=0,"",IF(('Dvd Calendar'!$R$2162&gt;=GRID_FROM)*('Dvd Calendar'!$R$2162&lt;=GRID_TO)*('Dvd Calendar'!$R$2162&gt;VAL_DATE)=0,"",'Dvd Calendar'!$R$2162*1000000000+ISNUMBER('Dvd Calendar'!$R$2163)*100000000+0*10000000+(N('Dvd Calendar'!$R$2161)&gt;0)*(N('Dvd Calendar'!$R$2161)&lt;=VAL_SERIAL)*1000000+55*1000+54))</f>
        <v/>
      </c>
      <c r="GG214" s="39">
        <f>IF(N('Dvd Calendar'!$S$2162)=0,"",IF(('Dvd Calendar'!$S$2162&gt;=GRID_FROM)*('Dvd Calendar'!$S$2162&lt;=GRID_TO)*('Dvd Calendar'!$S$2162&gt;VAL_DATE)=0,"",'Dvd Calendar'!$S$2162*1000000000+ISNUMBER('Dvd Calendar'!$S$2163)*100000000+0*10000000+(N('Dvd Calendar'!$S$2161)&gt;0)*(N('Dvd Calendar'!$S$2161)&lt;=VAL_SERIAL)*1000000+55*1000+55))</f>
        <v/>
      </c>
      <c r="GH214" s="39">
        <f>IF(N('Dvd Calendar'!$T$2162)=0,"",IF(('Dvd Calendar'!$T$2162&gt;=GRID_FROM)*('Dvd Calendar'!$T$2162&lt;=GRID_TO)*('Dvd Calendar'!$T$2162&gt;VAL_DATE)=0,"",'Dvd Calendar'!$T$2162*1000000000+ISNUMBER('Dvd Calendar'!$T$2163)*100000000+0*10000000+(N('Dvd Calendar'!$T$2161)&gt;0)*(N('Dvd Calendar'!$T$2161)&lt;=VAL_SERIAL)*1000000+55*1000+56))</f>
        <v/>
      </c>
      <c r="GI214" s="39">
        <f>IF(N('Dvd Calendar'!$U$2162)=0,"",IF(('Dvd Calendar'!$U$2162&gt;=GRID_FROM)*('Dvd Calendar'!$U$2162&lt;=GRID_TO)*('Dvd Calendar'!$U$2162&gt;VAL_DATE)=0,"",'Dvd Calendar'!$U$2162*1000000000+ISNUMBER('Dvd Calendar'!$U$2163)*100000000+0*10000000+(N('Dvd Calendar'!$U$2161)&gt;0)*(N('Dvd Calendar'!$U$2161)&lt;=VAL_SERIAL)*1000000+55*1000+57))</f>
        <v/>
      </c>
      <c r="GJ214" s="39">
        <f>IF(N('Dvd Calendar'!$V$2162)=0,"",IF(('Dvd Calendar'!$V$2162&gt;=GRID_FROM)*('Dvd Calendar'!$V$2162&lt;=GRID_TO)*('Dvd Calendar'!$V$2162&gt;VAL_DATE)=0,"",'Dvd Calendar'!$V$2162*1000000000+ISNUMBER('Dvd Calendar'!$V$2163)*100000000+0*10000000+(N('Dvd Calendar'!$V$2161)&gt;0)*(N('Dvd Calendar'!$V$2161)&lt;=VAL_SERIAL)*1000000+55*1000+58))</f>
        <v/>
      </c>
      <c r="GK214" s="39">
        <f>IF(N('Dvd Calendar'!$W$2162)=0,"",IF(('Dvd Calendar'!$W$2162&gt;=GRID_FROM)*('Dvd Calendar'!$W$2162&lt;=GRID_TO)*('Dvd Calendar'!$W$2162&gt;VAL_DATE)=0,"",'Dvd Calendar'!$W$2162*1000000000+ISNUMBER('Dvd Calendar'!$W$2163)*100000000+0*10000000+(N('Dvd Calendar'!$W$2161)&gt;0)*(N('Dvd Calendar'!$W$2161)&lt;=VAL_SERIAL)*1000000+55*1000+59))</f>
        <v/>
      </c>
      <c r="GL214" s="39">
        <f>IF(N('Dvd Calendar'!$X$2162)=0,"",IF(('Dvd Calendar'!$X$2162&gt;=GRID_FROM)*('Dvd Calendar'!$X$2162&lt;=GRID_TO)*('Dvd Calendar'!$X$2162&gt;VAL_DATE)=0,"",'Dvd Calendar'!$X$2162*1000000000+ISNUMBER('Dvd Calendar'!$X$2163)*100000000+0*10000000+(N('Dvd Calendar'!$X$2161)&gt;0)*(N('Dvd Calendar'!$X$2161)&lt;=VAL_SERIAL)*1000000+55*1000+60))</f>
        <v/>
      </c>
      <c r="GM214" s="39">
        <f>IF(N('Dvd Calendar'!$Y$2162)=0,"",IF(('Dvd Calendar'!$Y$2162&gt;=GRID_FROM)*('Dvd Calendar'!$Y$2162&lt;=GRID_TO)*('Dvd Calendar'!$Y$2162&gt;VAL_DATE)=0,"",'Dvd Calendar'!$Y$2162*1000000000+ISNUMBER('Dvd Calendar'!$Y$2163)*100000000+0*10000000+(N('Dvd Calendar'!$Y$2161)&gt;0)*(N('Dvd Calendar'!$Y$2161)&lt;=VAL_SERIAL)*1000000+55*1000+61))</f>
        <v/>
      </c>
      <c r="GN214" s="39">
        <f>IF(N('Dvd Calendar'!$Z$2162)=0,"",IF(('Dvd Calendar'!$Z$2162&gt;=GRID_FROM)*('Dvd Calendar'!$Z$2162&lt;=GRID_TO)*('Dvd Calendar'!$Z$2162&gt;VAL_DATE)=0,"",'Dvd Calendar'!$Z$2162*1000000000+ISNUMBER('Dvd Calendar'!$Z$2163)*100000000+0*10000000+(N('Dvd Calendar'!$Z$2161)&gt;0)*(N('Dvd Calendar'!$Z$2161)&lt;=VAL_SERIAL)*1000000+55*1000+62))</f>
        <v/>
      </c>
      <c r="GO214" s="39">
        <f>IF(N('Dvd Calendar'!$AA$2162)=0,"",IF(('Dvd Calendar'!$AA$2162&gt;=GRID_FROM)*('Dvd Calendar'!$AA$2162&lt;=GRID_TO)*('Dvd Calendar'!$AA$2162&gt;VAL_DATE)=0,"",'Dvd Calendar'!$AA$2162*1000000000+ISNUMBER('Dvd Calendar'!$AA$2163)*100000000+0*10000000+(N('Dvd Calendar'!$AA$2161)&gt;0)*(N('Dvd Calendar'!$AA$2161)&lt;=VAL_SERIAL)*1000000+55*1000+63))</f>
        <v/>
      </c>
      <c r="GP214" s="39">
        <f>IF(N('Dvd Calendar'!$AB$2162)=0,"",IF(('Dvd Calendar'!$AB$2162&gt;=GRID_FROM)*('Dvd Calendar'!$AB$2162&lt;=GRID_TO)*('Dvd Calendar'!$AB$2162&gt;VAL_DATE)=0,"",'Dvd Calendar'!$AB$2162*1000000000+ISNUMBER('Dvd Calendar'!$AB$2163)*100000000+0*10000000+(N('Dvd Calendar'!$AB$2161)&gt;0)*(N('Dvd Calendar'!$AB$2161)&lt;=VAL_SERIAL)*1000000+55*1000+64))</f>
        <v/>
      </c>
      <c r="GQ214" s="39">
        <f>IF(N('Dvd Calendar'!$AC$2162)=0,"",IF(('Dvd Calendar'!$AC$2162&gt;=GRID_FROM)*('Dvd Calendar'!$AC$2162&lt;=GRID_TO)*('Dvd Calendar'!$AC$2162&gt;VAL_DATE)=0,"",'Dvd Calendar'!$AC$2162*1000000000+ISNUMBER('Dvd Calendar'!$AC$2163)*100000000+0*10000000+(N('Dvd Calendar'!$AC$2161)&gt;0)*(N('Dvd Calendar'!$AC$2161)&lt;=VAL_SERIAL)*1000000+55*1000+65))</f>
        <v/>
      </c>
    </row>
    <row r="215">
      <c r="B215" s="2">
        <f>IF(HSCEI!$C$62="","",HSCEI!$C$62)</f>
        <v/>
      </c>
      <c r="C215" s="110">
        <f>IF(EE215="","",IF(ISNUMBER('Dvd Calendar'!$E$2169)=FALSE,"",IF((('Dvd Calendar'!$E$2171=TYPE1)*(TYPE1&lt;&gt;"")+('Dvd Calendar'!$E$2171=TYPE2)*(TYPE2&lt;&gt;"")+('Dvd Calendar'!$E$2171=TYPE3)*(TYPE3&lt;&gt;"")+('Dvd Calendar'!$E$2171=TYPE4)*(TYPE4&lt;&gt;"")+('Dvd Calendar'!$E$2171=SPECIAL_LBL)*(INC_SPECIALS="Y"))=0,"",'Dvd Calendar'!$E$2169)))</f>
        <v/>
      </c>
      <c r="D215" s="110">
        <f>IF(EF215="","",IF(ISNUMBER('Dvd Calendar'!$F$2169)=FALSE,"",IF((('Dvd Calendar'!$F$2171=TYPE1)*(TYPE1&lt;&gt;"")+('Dvd Calendar'!$F$2171=TYPE2)*(TYPE2&lt;&gt;"")+('Dvd Calendar'!$F$2171=TYPE3)*(TYPE3&lt;&gt;"")+('Dvd Calendar'!$F$2171=TYPE4)*(TYPE4&lt;&gt;"")+('Dvd Calendar'!$F$2171=SPECIAL_LBL)*(INC_SPECIALS="Y"))=0,"",'Dvd Calendar'!$F$2169)))</f>
        <v/>
      </c>
      <c r="E215" s="110">
        <f>IF(EG215="","",IF(ISNUMBER('Dvd Calendar'!$G$2169)=FALSE,"",IF((('Dvd Calendar'!$G$2171=TYPE1)*(TYPE1&lt;&gt;"")+('Dvd Calendar'!$G$2171=TYPE2)*(TYPE2&lt;&gt;"")+('Dvd Calendar'!$G$2171=TYPE3)*(TYPE3&lt;&gt;"")+('Dvd Calendar'!$G$2171=TYPE4)*(TYPE4&lt;&gt;"")+('Dvd Calendar'!$G$2171=SPECIAL_LBL)*(INC_SPECIALS="Y"))=0,"",'Dvd Calendar'!$G$2169)))</f>
        <v/>
      </c>
      <c r="F215" s="110">
        <f>IF(EH215="","",IF(ISNUMBER('Dvd Calendar'!$H$2169)=FALSE,"",IF((('Dvd Calendar'!$H$2171=TYPE1)*(TYPE1&lt;&gt;"")+('Dvd Calendar'!$H$2171=TYPE2)*(TYPE2&lt;&gt;"")+('Dvd Calendar'!$H$2171=TYPE3)*(TYPE3&lt;&gt;"")+('Dvd Calendar'!$H$2171=TYPE4)*(TYPE4&lt;&gt;"")+('Dvd Calendar'!$H$2171=SPECIAL_LBL)*(INC_SPECIALS="Y"))=0,"",'Dvd Calendar'!$H$2169)))</f>
        <v/>
      </c>
      <c r="G215" s="110">
        <f>IF(EI215="","",IF(ISNUMBER('Dvd Calendar'!$I$2169)=FALSE,"",IF((('Dvd Calendar'!$I$2171=TYPE1)*(TYPE1&lt;&gt;"")+('Dvd Calendar'!$I$2171=TYPE2)*(TYPE2&lt;&gt;"")+('Dvd Calendar'!$I$2171=TYPE3)*(TYPE3&lt;&gt;"")+('Dvd Calendar'!$I$2171=TYPE4)*(TYPE4&lt;&gt;"")+('Dvd Calendar'!$I$2171=SPECIAL_LBL)*(INC_SPECIALS="Y"))=0,"",'Dvd Calendar'!$I$2169)))</f>
        <v/>
      </c>
      <c r="H215" s="110">
        <f>IF(EJ215="","",IF(ISNUMBER('Dvd Calendar'!$J$2169)=FALSE,"",IF((('Dvd Calendar'!$J$2171=TYPE1)*(TYPE1&lt;&gt;"")+('Dvd Calendar'!$J$2171=TYPE2)*(TYPE2&lt;&gt;"")+('Dvd Calendar'!$J$2171=TYPE3)*(TYPE3&lt;&gt;"")+('Dvd Calendar'!$J$2171=TYPE4)*(TYPE4&lt;&gt;"")+('Dvd Calendar'!$J$2171=SPECIAL_LBL)*(INC_SPECIALS="Y"))=0,"",'Dvd Calendar'!$J$2169)))</f>
        <v/>
      </c>
      <c r="I215" s="110">
        <f>IF(EK215="","",IF(ISNUMBER('Dvd Calendar'!$K$2169)=FALSE,"",IF((('Dvd Calendar'!$K$2171=TYPE1)*(TYPE1&lt;&gt;"")+('Dvd Calendar'!$K$2171=TYPE2)*(TYPE2&lt;&gt;"")+('Dvd Calendar'!$K$2171=TYPE3)*(TYPE3&lt;&gt;"")+('Dvd Calendar'!$K$2171=TYPE4)*(TYPE4&lt;&gt;"")+('Dvd Calendar'!$K$2171=SPECIAL_LBL)*(INC_SPECIALS="Y"))=0,"",'Dvd Calendar'!$K$2169)))</f>
        <v/>
      </c>
      <c r="J215" s="110">
        <f>IF(EL215="","",IF(ISNUMBER('Dvd Calendar'!$L$2169)=FALSE,"",IF((('Dvd Calendar'!$L$2171=TYPE1)*(TYPE1&lt;&gt;"")+('Dvd Calendar'!$L$2171=TYPE2)*(TYPE2&lt;&gt;"")+('Dvd Calendar'!$L$2171=TYPE3)*(TYPE3&lt;&gt;"")+('Dvd Calendar'!$L$2171=TYPE4)*(TYPE4&lt;&gt;"")+('Dvd Calendar'!$L$2171=SPECIAL_LBL)*(INC_SPECIALS="Y"))=0,"",'Dvd Calendar'!$L$2169)))</f>
        <v/>
      </c>
      <c r="K215" s="110">
        <f>IF(EM215="","",IF(ISNUMBER('Dvd Calendar'!$M$2169)=FALSE,"",IF((('Dvd Calendar'!$M$2171=TYPE1)*(TYPE1&lt;&gt;"")+('Dvd Calendar'!$M$2171=TYPE2)*(TYPE2&lt;&gt;"")+('Dvd Calendar'!$M$2171=TYPE3)*(TYPE3&lt;&gt;"")+('Dvd Calendar'!$M$2171=TYPE4)*(TYPE4&lt;&gt;"")+('Dvd Calendar'!$M$2171=SPECIAL_LBL)*(INC_SPECIALS="Y"))=0,"",'Dvd Calendar'!$M$2169)))</f>
        <v/>
      </c>
      <c r="L215" s="110">
        <f>IF(EN215="","",IF(ISNUMBER('Dvd Calendar'!$N$2169)=FALSE,"",IF((('Dvd Calendar'!$N$2171=TYPE1)*(TYPE1&lt;&gt;"")+('Dvd Calendar'!$N$2171=TYPE2)*(TYPE2&lt;&gt;"")+('Dvd Calendar'!$N$2171=TYPE3)*(TYPE3&lt;&gt;"")+('Dvd Calendar'!$N$2171=TYPE4)*(TYPE4&lt;&gt;"")+('Dvd Calendar'!$N$2171=SPECIAL_LBL)*(INC_SPECIALS="Y"))=0,"",'Dvd Calendar'!$N$2169)))</f>
        <v/>
      </c>
      <c r="M215" s="110">
        <f>IF(EO215="","",IF(ISNUMBER('Dvd Calendar'!$O$2169)=FALSE,"",IF((('Dvd Calendar'!$O$2171=TYPE1)*(TYPE1&lt;&gt;"")+('Dvd Calendar'!$O$2171=TYPE2)*(TYPE2&lt;&gt;"")+('Dvd Calendar'!$O$2171=TYPE3)*(TYPE3&lt;&gt;"")+('Dvd Calendar'!$O$2171=TYPE4)*(TYPE4&lt;&gt;"")+('Dvd Calendar'!$O$2171=SPECIAL_LBL)*(INC_SPECIALS="Y"))=0,"",'Dvd Calendar'!$O$2169)))</f>
        <v/>
      </c>
      <c r="N215" s="110">
        <f>IF(EP215="","",IF(ISNUMBER('Dvd Calendar'!$P$2169)=FALSE,"",IF((('Dvd Calendar'!$P$2171=TYPE1)*(TYPE1&lt;&gt;"")+('Dvd Calendar'!$P$2171=TYPE2)*(TYPE2&lt;&gt;"")+('Dvd Calendar'!$P$2171=TYPE3)*(TYPE3&lt;&gt;"")+('Dvd Calendar'!$P$2171=TYPE4)*(TYPE4&lt;&gt;"")+('Dvd Calendar'!$P$2171=SPECIAL_LBL)*(INC_SPECIALS="Y"))=0,"",'Dvd Calendar'!$P$2169)))</f>
        <v/>
      </c>
      <c r="O215" s="110">
        <f>IF(EQ215="","",IF(ISNUMBER('Dvd Calendar'!$Q$2169)=FALSE,"",IF((('Dvd Calendar'!$Q$2171=TYPE1)*(TYPE1&lt;&gt;"")+('Dvd Calendar'!$Q$2171=TYPE2)*(TYPE2&lt;&gt;"")+('Dvd Calendar'!$Q$2171=TYPE3)*(TYPE3&lt;&gt;"")+('Dvd Calendar'!$Q$2171=TYPE4)*(TYPE4&lt;&gt;"")+('Dvd Calendar'!$Q$2171=SPECIAL_LBL)*(INC_SPECIALS="Y"))=0,"",'Dvd Calendar'!$Q$2169)))</f>
        <v/>
      </c>
      <c r="P215" s="110">
        <f>IF(ER215="","",IF(ISNUMBER('Dvd Calendar'!$R$2169)=FALSE,"",IF((('Dvd Calendar'!$R$2171=TYPE1)*(TYPE1&lt;&gt;"")+('Dvd Calendar'!$R$2171=TYPE2)*(TYPE2&lt;&gt;"")+('Dvd Calendar'!$R$2171=TYPE3)*(TYPE3&lt;&gt;"")+('Dvd Calendar'!$R$2171=TYPE4)*(TYPE4&lt;&gt;"")+('Dvd Calendar'!$R$2171=SPECIAL_LBL)*(INC_SPECIALS="Y"))=0,"",'Dvd Calendar'!$R$2169)))</f>
        <v/>
      </c>
      <c r="Q215" s="110">
        <f>IF(ES215="","",IF(ISNUMBER('Dvd Calendar'!$S$2169)=FALSE,"",IF((('Dvd Calendar'!$S$2171=TYPE1)*(TYPE1&lt;&gt;"")+('Dvd Calendar'!$S$2171=TYPE2)*(TYPE2&lt;&gt;"")+('Dvd Calendar'!$S$2171=TYPE3)*(TYPE3&lt;&gt;"")+('Dvd Calendar'!$S$2171=TYPE4)*(TYPE4&lt;&gt;"")+('Dvd Calendar'!$S$2171=SPECIAL_LBL)*(INC_SPECIALS="Y"))=0,"",'Dvd Calendar'!$S$2169)))</f>
        <v/>
      </c>
      <c r="R215" s="110">
        <f>IF(ET215="","",IF(ISNUMBER('Dvd Calendar'!$T$2169)=FALSE,"",IF((('Dvd Calendar'!$T$2171=TYPE1)*(TYPE1&lt;&gt;"")+('Dvd Calendar'!$T$2171=TYPE2)*(TYPE2&lt;&gt;"")+('Dvd Calendar'!$T$2171=TYPE3)*(TYPE3&lt;&gt;"")+('Dvd Calendar'!$T$2171=TYPE4)*(TYPE4&lt;&gt;"")+('Dvd Calendar'!$T$2171=SPECIAL_LBL)*(INC_SPECIALS="Y"))=0,"",'Dvd Calendar'!$T$2169)))</f>
        <v/>
      </c>
      <c r="S215" s="110">
        <f>IF(EU215="","",IF(ISNUMBER('Dvd Calendar'!$U$2169)=FALSE,"",IF((('Dvd Calendar'!$U$2171=TYPE1)*(TYPE1&lt;&gt;"")+('Dvd Calendar'!$U$2171=TYPE2)*(TYPE2&lt;&gt;"")+('Dvd Calendar'!$U$2171=TYPE3)*(TYPE3&lt;&gt;"")+('Dvd Calendar'!$U$2171=TYPE4)*(TYPE4&lt;&gt;"")+('Dvd Calendar'!$U$2171=SPECIAL_LBL)*(INC_SPECIALS="Y"))=0,"",'Dvd Calendar'!$U$2169)))</f>
        <v/>
      </c>
      <c r="T215" s="110">
        <f>IF(EV215="","",IF(ISNUMBER('Dvd Calendar'!$V$2169)=FALSE,"",IF((('Dvd Calendar'!$V$2171=TYPE1)*(TYPE1&lt;&gt;"")+('Dvd Calendar'!$V$2171=TYPE2)*(TYPE2&lt;&gt;"")+('Dvd Calendar'!$V$2171=TYPE3)*(TYPE3&lt;&gt;"")+('Dvd Calendar'!$V$2171=TYPE4)*(TYPE4&lt;&gt;"")+('Dvd Calendar'!$V$2171=SPECIAL_LBL)*(INC_SPECIALS="Y"))=0,"",'Dvd Calendar'!$V$2169)))</f>
        <v/>
      </c>
      <c r="U215" s="110">
        <f>IF(EW215="","",IF(ISNUMBER('Dvd Calendar'!$W$2169)=FALSE,"",IF((('Dvd Calendar'!$W$2171=TYPE1)*(TYPE1&lt;&gt;"")+('Dvd Calendar'!$W$2171=TYPE2)*(TYPE2&lt;&gt;"")+('Dvd Calendar'!$W$2171=TYPE3)*(TYPE3&lt;&gt;"")+('Dvd Calendar'!$W$2171=TYPE4)*(TYPE4&lt;&gt;"")+('Dvd Calendar'!$W$2171=SPECIAL_LBL)*(INC_SPECIALS="Y"))=0,"",'Dvd Calendar'!$W$2169)))</f>
        <v/>
      </c>
      <c r="V215" s="110">
        <f>IF(EX215="","",IF(ISNUMBER('Dvd Calendar'!$X$2169)=FALSE,"",IF((('Dvd Calendar'!$X$2171=TYPE1)*(TYPE1&lt;&gt;"")+('Dvd Calendar'!$X$2171=TYPE2)*(TYPE2&lt;&gt;"")+('Dvd Calendar'!$X$2171=TYPE3)*(TYPE3&lt;&gt;"")+('Dvd Calendar'!$X$2171=TYPE4)*(TYPE4&lt;&gt;"")+('Dvd Calendar'!$X$2171=SPECIAL_LBL)*(INC_SPECIALS="Y"))=0,"",'Dvd Calendar'!$X$2169)))</f>
        <v/>
      </c>
      <c r="W215" s="110">
        <f>IF(EY215="","",IF(ISNUMBER('Dvd Calendar'!$Y$2169)=FALSE,"",IF((('Dvd Calendar'!$Y$2171=TYPE1)*(TYPE1&lt;&gt;"")+('Dvd Calendar'!$Y$2171=TYPE2)*(TYPE2&lt;&gt;"")+('Dvd Calendar'!$Y$2171=TYPE3)*(TYPE3&lt;&gt;"")+('Dvd Calendar'!$Y$2171=TYPE4)*(TYPE4&lt;&gt;"")+('Dvd Calendar'!$Y$2171=SPECIAL_LBL)*(INC_SPECIALS="Y"))=0,"",'Dvd Calendar'!$Y$2169)))</f>
        <v/>
      </c>
      <c r="X215" s="110">
        <f>IF(EZ215="","",IF(ISNUMBER('Dvd Calendar'!$Z$2169)=FALSE,"",IF((('Dvd Calendar'!$Z$2171=TYPE1)*(TYPE1&lt;&gt;"")+('Dvd Calendar'!$Z$2171=TYPE2)*(TYPE2&lt;&gt;"")+('Dvd Calendar'!$Z$2171=TYPE3)*(TYPE3&lt;&gt;"")+('Dvd Calendar'!$Z$2171=TYPE4)*(TYPE4&lt;&gt;"")+('Dvd Calendar'!$Z$2171=SPECIAL_LBL)*(INC_SPECIALS="Y"))=0,"",'Dvd Calendar'!$Z$2169)))</f>
        <v/>
      </c>
      <c r="Y215" s="110">
        <f>IF(FA215="","",IF(ISNUMBER('Dvd Calendar'!$AA$2169)=FALSE,"",IF((('Dvd Calendar'!$AA$2171=TYPE1)*(TYPE1&lt;&gt;"")+('Dvd Calendar'!$AA$2171=TYPE2)*(TYPE2&lt;&gt;"")+('Dvd Calendar'!$AA$2171=TYPE3)*(TYPE3&lt;&gt;"")+('Dvd Calendar'!$AA$2171=TYPE4)*(TYPE4&lt;&gt;"")+('Dvd Calendar'!$AA$2171=SPECIAL_LBL)*(INC_SPECIALS="Y"))=0,"",'Dvd Calendar'!$AA$2169)))</f>
        <v/>
      </c>
      <c r="Z215" s="110">
        <f>IF(FB215="","",IF(ISNUMBER('Dvd Calendar'!$AB$2169)=FALSE,"",IF((('Dvd Calendar'!$AB$2171=TYPE1)*(TYPE1&lt;&gt;"")+('Dvd Calendar'!$AB$2171=TYPE2)*(TYPE2&lt;&gt;"")+('Dvd Calendar'!$AB$2171=TYPE3)*(TYPE3&lt;&gt;"")+('Dvd Calendar'!$AB$2171=TYPE4)*(TYPE4&lt;&gt;"")+('Dvd Calendar'!$AB$2171=SPECIAL_LBL)*(INC_SPECIALS="Y"))=0,"",'Dvd Calendar'!$AB$2169)))</f>
        <v/>
      </c>
      <c r="AA215" s="110">
        <f>IF(FC215="","",IF(ISNUMBER('Dvd Calendar'!$AC$2169)=FALSE,"",IF((('Dvd Calendar'!$AC$2171=TYPE1)*(TYPE1&lt;&gt;"")+('Dvd Calendar'!$AC$2171=TYPE2)*(TYPE2&lt;&gt;"")+('Dvd Calendar'!$AC$2171=TYPE3)*(TYPE3&lt;&gt;"")+('Dvd Calendar'!$AC$2171=TYPE4)*(TYPE4&lt;&gt;"")+('Dvd Calendar'!$AC$2171=SPECIAL_LBL)*(INC_SPECIALS="Y"))=0,"",'Dvd Calendar'!$AC$2169)))</f>
        <v/>
      </c>
      <c r="AB215" s="110">
        <f>IF(FD215="","",IF(ISNUMBER('Dvd Calendar'!$AD$2169)=FALSE,"",IF((('Dvd Calendar'!$AD$2171=TYPE1)*(TYPE1&lt;&gt;"")+('Dvd Calendar'!$AD$2171=TYPE2)*(TYPE2&lt;&gt;"")+('Dvd Calendar'!$AD$2171=TYPE3)*(TYPE3&lt;&gt;"")+('Dvd Calendar'!$AD$2171=TYPE4)*(TYPE4&lt;&gt;"")+('Dvd Calendar'!$AD$2171=SPECIAL_LBL)*(INC_SPECIALS="Y"))=0,"",'Dvd Calendar'!$AD$2169)))</f>
        <v/>
      </c>
      <c r="AC215" s="110">
        <f>IF(FE215="","",IF(ISNUMBER('Dvd Calendar'!$AE$2169)=FALSE,"",IF((('Dvd Calendar'!$AE$2171=TYPE1)*(TYPE1&lt;&gt;"")+('Dvd Calendar'!$AE$2171=TYPE2)*(TYPE2&lt;&gt;"")+('Dvd Calendar'!$AE$2171=TYPE3)*(TYPE3&lt;&gt;"")+('Dvd Calendar'!$AE$2171=TYPE4)*(TYPE4&lt;&gt;"")+('Dvd Calendar'!$AE$2171=SPECIAL_LBL)*(INC_SPECIALS="Y"))=0,"",'Dvd Calendar'!$AE$2169)))</f>
        <v/>
      </c>
      <c r="AD215" s="110">
        <f>IF(FF215="","",IF(ISNUMBER('Dvd Calendar'!$AF$2169)=FALSE,"",IF((('Dvd Calendar'!$AF$2171=TYPE1)*(TYPE1&lt;&gt;"")+('Dvd Calendar'!$AF$2171=TYPE2)*(TYPE2&lt;&gt;"")+('Dvd Calendar'!$AF$2171=TYPE3)*(TYPE3&lt;&gt;"")+('Dvd Calendar'!$AF$2171=TYPE4)*(TYPE4&lt;&gt;"")+('Dvd Calendar'!$AF$2171=SPECIAL_LBL)*(INC_SPECIALS="Y"))=0,"",'Dvd Calendar'!$AF$2169)))</f>
        <v/>
      </c>
      <c r="AE215" s="110">
        <f>IF(FG215="","",IF(ISNUMBER('Dvd Calendar'!$AG$2169)=FALSE,"",IF((('Dvd Calendar'!$AG$2171=TYPE1)*(TYPE1&lt;&gt;"")+('Dvd Calendar'!$AG$2171=TYPE2)*(TYPE2&lt;&gt;"")+('Dvd Calendar'!$AG$2171=TYPE3)*(TYPE3&lt;&gt;"")+('Dvd Calendar'!$AG$2171=TYPE4)*(TYPE4&lt;&gt;"")+('Dvd Calendar'!$AG$2171=SPECIAL_LBL)*(INC_SPECIALS="Y"))=0,"",'Dvd Calendar'!$AG$2169)))</f>
        <v/>
      </c>
      <c r="AF215" s="110">
        <f>IF(FH215="","",IF(ISNUMBER('Dvd Calendar'!$AH$2169)=FALSE,"",IF((('Dvd Calendar'!$AH$2171=TYPE1)*(TYPE1&lt;&gt;"")+('Dvd Calendar'!$AH$2171=TYPE2)*(TYPE2&lt;&gt;"")+('Dvd Calendar'!$AH$2171=TYPE3)*(TYPE3&lt;&gt;"")+('Dvd Calendar'!$AH$2171=TYPE4)*(TYPE4&lt;&gt;"")+('Dvd Calendar'!$AH$2171=SPECIAL_LBL)*(INC_SPECIALS="Y"))=0,"",'Dvd Calendar'!$AH$2169)))</f>
        <v/>
      </c>
      <c r="AG215" s="110">
        <f>IF(FI215="","",IF(ISNUMBER('Dvd Calendar'!$AI$2169)=FALSE,"",IF((('Dvd Calendar'!$AI$2171=TYPE1)*(TYPE1&lt;&gt;"")+('Dvd Calendar'!$AI$2171=TYPE2)*(TYPE2&lt;&gt;"")+('Dvd Calendar'!$AI$2171=TYPE3)*(TYPE3&lt;&gt;"")+('Dvd Calendar'!$AI$2171=TYPE4)*(TYPE4&lt;&gt;"")+('Dvd Calendar'!$AI$2171=SPECIAL_LBL)*(INC_SPECIALS="Y"))=0,"",'Dvd Calendar'!$AI$2169)))</f>
        <v/>
      </c>
      <c r="AH215" s="110">
        <f>IF(FJ215="","",IF(ISNUMBER('Dvd Calendar'!$AJ$2169)=FALSE,"",IF((('Dvd Calendar'!$AJ$2171=TYPE1)*(TYPE1&lt;&gt;"")+('Dvd Calendar'!$AJ$2171=TYPE2)*(TYPE2&lt;&gt;"")+('Dvd Calendar'!$AJ$2171=TYPE3)*(TYPE3&lt;&gt;"")+('Dvd Calendar'!$AJ$2171=TYPE4)*(TYPE4&lt;&gt;"")+('Dvd Calendar'!$AJ$2171=SPECIAL_LBL)*(INC_SPECIALS="Y"))=0,"",'Dvd Calendar'!$AJ$2169)))</f>
        <v/>
      </c>
      <c r="AI215" s="110">
        <f>IF(FK215="","",IF(ISNUMBER('Dvd Calendar'!$AK$2169)=FALSE,"",IF((('Dvd Calendar'!$AK$2171=TYPE1)*(TYPE1&lt;&gt;"")+('Dvd Calendar'!$AK$2171=TYPE2)*(TYPE2&lt;&gt;"")+('Dvd Calendar'!$AK$2171=TYPE3)*(TYPE3&lt;&gt;"")+('Dvd Calendar'!$AK$2171=TYPE4)*(TYPE4&lt;&gt;"")+('Dvd Calendar'!$AK$2171=SPECIAL_LBL)*(INC_SPECIALS="Y"))=0,"",'Dvd Calendar'!$AK$2169)))</f>
        <v/>
      </c>
      <c r="AJ215" s="110">
        <f>IF(FL215="","",IF(ISNUMBER('Dvd Calendar'!$AL$2169)=FALSE,"",IF((('Dvd Calendar'!$AL$2171=TYPE1)*(TYPE1&lt;&gt;"")+('Dvd Calendar'!$AL$2171=TYPE2)*(TYPE2&lt;&gt;"")+('Dvd Calendar'!$AL$2171=TYPE3)*(TYPE3&lt;&gt;"")+('Dvd Calendar'!$AL$2171=TYPE4)*(TYPE4&lt;&gt;"")+('Dvd Calendar'!$AL$2171=SPECIAL_LBL)*(INC_SPECIALS="Y"))=0,"",'Dvd Calendar'!$AL$2169)))</f>
        <v/>
      </c>
      <c r="AK215" s="110">
        <f>IF(FM215="","",IF(ISNUMBER('Dvd Calendar'!$AM$2169)=FALSE,"",IF((('Dvd Calendar'!$AM$2171=TYPE1)*(TYPE1&lt;&gt;"")+('Dvd Calendar'!$AM$2171=TYPE2)*(TYPE2&lt;&gt;"")+('Dvd Calendar'!$AM$2171=TYPE3)*(TYPE3&lt;&gt;"")+('Dvd Calendar'!$AM$2171=TYPE4)*(TYPE4&lt;&gt;"")+('Dvd Calendar'!$AM$2171=SPECIAL_LBL)*(INC_SPECIALS="Y"))=0,"",'Dvd Calendar'!$AM$2169)))</f>
        <v/>
      </c>
      <c r="AL215" s="110">
        <f>IF(FN215="","",IF(ISNUMBER('Dvd Calendar'!$AN$2169)=FALSE,"",IF((('Dvd Calendar'!$AN$2171=TYPE1)*(TYPE1&lt;&gt;"")+('Dvd Calendar'!$AN$2171=TYPE2)*(TYPE2&lt;&gt;"")+('Dvd Calendar'!$AN$2171=TYPE3)*(TYPE3&lt;&gt;"")+('Dvd Calendar'!$AN$2171=TYPE4)*(TYPE4&lt;&gt;"")+('Dvd Calendar'!$AN$2171=SPECIAL_LBL)*(INC_SPECIALS="Y"))=0,"",'Dvd Calendar'!$AN$2169)))</f>
        <v/>
      </c>
      <c r="AM215" s="110">
        <f>IF(FO215="","",IF(ISNUMBER('Dvd Calendar'!$AO$2169)=FALSE,"",IF((('Dvd Calendar'!$AO$2171=TYPE1)*(TYPE1&lt;&gt;"")+('Dvd Calendar'!$AO$2171=TYPE2)*(TYPE2&lt;&gt;"")+('Dvd Calendar'!$AO$2171=TYPE3)*(TYPE3&lt;&gt;"")+('Dvd Calendar'!$AO$2171=TYPE4)*(TYPE4&lt;&gt;"")+('Dvd Calendar'!$AO$2171=SPECIAL_LBL)*(INC_SPECIALS="Y"))=0,"",'Dvd Calendar'!$AO$2169)))</f>
        <v/>
      </c>
      <c r="AN215" s="110">
        <f>IF(FP215="","",IF(ISNUMBER('Dvd Calendar'!$AP$2169)=FALSE,"",IF((('Dvd Calendar'!$AP$2171=TYPE1)*(TYPE1&lt;&gt;"")+('Dvd Calendar'!$AP$2171=TYPE2)*(TYPE2&lt;&gt;"")+('Dvd Calendar'!$AP$2171=TYPE3)*(TYPE3&lt;&gt;"")+('Dvd Calendar'!$AP$2171=TYPE4)*(TYPE4&lt;&gt;"")+('Dvd Calendar'!$AP$2171=SPECIAL_LBL)*(INC_SPECIALS="Y"))=0,"",'Dvd Calendar'!$AP$2169)))</f>
        <v/>
      </c>
      <c r="AO215" s="110">
        <f>IF(FQ215="","",IF(ISNUMBER('Dvd Calendar'!$AQ$2169)=FALSE,"",IF((('Dvd Calendar'!$AQ$2171=TYPE1)*(TYPE1&lt;&gt;"")+('Dvd Calendar'!$AQ$2171=TYPE2)*(TYPE2&lt;&gt;"")+('Dvd Calendar'!$AQ$2171=TYPE3)*(TYPE3&lt;&gt;"")+('Dvd Calendar'!$AQ$2171=TYPE4)*(TYPE4&lt;&gt;"")+('Dvd Calendar'!$AQ$2171=SPECIAL_LBL)*(INC_SPECIALS="Y"))=0,"",'Dvd Calendar'!$AQ$2169)))</f>
        <v/>
      </c>
      <c r="AP215" s="110">
        <f>IF(FR215="","",IF(ISNUMBER('Dvd Calendar'!$AR$2169)=FALSE,"",IF((('Dvd Calendar'!$AR$2171=TYPE1)*(TYPE1&lt;&gt;"")+('Dvd Calendar'!$AR$2171=TYPE2)*(TYPE2&lt;&gt;"")+('Dvd Calendar'!$AR$2171=TYPE3)*(TYPE3&lt;&gt;"")+('Dvd Calendar'!$AR$2171=TYPE4)*(TYPE4&lt;&gt;"")+('Dvd Calendar'!$AR$2171=SPECIAL_LBL)*(INC_SPECIALS="Y"))=0,"",'Dvd Calendar'!$AR$2169)))</f>
        <v/>
      </c>
      <c r="AQ215" s="110">
        <f>IF(FS215="","",IF(ISNUMBER('Dvd Calendar'!$E$2174)=FALSE,"",'Dvd Calendar'!$E$2174))</f>
        <v/>
      </c>
      <c r="AR215" s="110">
        <f>IF(FT215="","",IF(ISNUMBER('Dvd Calendar'!$F$2174)=FALSE,"",'Dvd Calendar'!$F$2174))</f>
        <v/>
      </c>
      <c r="AS215" s="110">
        <f>IF(FU215="","",IF(ISNUMBER('Dvd Calendar'!$G$2174)=FALSE,"",'Dvd Calendar'!$G$2174))</f>
        <v/>
      </c>
      <c r="AT215" s="110">
        <f>IF(FV215="","",IF(ISNUMBER('Dvd Calendar'!$H$2174)=FALSE,"",'Dvd Calendar'!$H$2174))</f>
        <v/>
      </c>
      <c r="AU215" s="110">
        <f>IF(FW215="","",IF(ISNUMBER('Dvd Calendar'!$I$2174)=FALSE,"",'Dvd Calendar'!$I$2174))</f>
        <v/>
      </c>
      <c r="AV215" s="110">
        <f>IF(FX215="","",IF(ISNUMBER('Dvd Calendar'!$J$2174)=FALSE,"",'Dvd Calendar'!$J$2174))</f>
        <v/>
      </c>
      <c r="AW215" s="110">
        <f>IF(FY215="","",IF(ISNUMBER('Dvd Calendar'!$K$2174)=FALSE,"",'Dvd Calendar'!$K$2174))</f>
        <v/>
      </c>
      <c r="AX215" s="110">
        <f>IF(FZ215="","",IF(ISNUMBER('Dvd Calendar'!$L$2174)=FALSE,"",'Dvd Calendar'!$L$2174))</f>
        <v/>
      </c>
      <c r="AY215" s="110">
        <f>IF(GA215="","",IF(ISNUMBER('Dvd Calendar'!$M$2174)=FALSE,"",'Dvd Calendar'!$M$2174))</f>
        <v/>
      </c>
      <c r="AZ215" s="110">
        <f>IF(GB215="","",IF(ISNUMBER('Dvd Calendar'!$N$2174)=FALSE,"",'Dvd Calendar'!$N$2174))</f>
        <v/>
      </c>
      <c r="BA215" s="110">
        <f>IF(GC215="","",IF(ISNUMBER('Dvd Calendar'!$O$2174)=FALSE,"",'Dvd Calendar'!$O$2174))</f>
        <v/>
      </c>
      <c r="BB215" s="110">
        <f>IF(GD215="","",IF(ISNUMBER('Dvd Calendar'!$P$2174)=FALSE,"",'Dvd Calendar'!$P$2174))</f>
        <v/>
      </c>
      <c r="BC215" s="110">
        <f>IF(GE215="","",IF(ISNUMBER('Dvd Calendar'!$Q$2174)=FALSE,"",'Dvd Calendar'!$Q$2174))</f>
        <v/>
      </c>
      <c r="BD215" s="110">
        <f>IF(GF215="","",IF(ISNUMBER('Dvd Calendar'!$R$2174)=FALSE,"",'Dvd Calendar'!$R$2174))</f>
        <v/>
      </c>
      <c r="BE215" s="110">
        <f>IF(GG215="","",IF(ISNUMBER('Dvd Calendar'!$S$2174)=FALSE,"",'Dvd Calendar'!$S$2174))</f>
        <v/>
      </c>
      <c r="BF215" s="110">
        <f>IF(GH215="","",IF(ISNUMBER('Dvd Calendar'!$T$2174)=FALSE,"",'Dvd Calendar'!$T$2174))</f>
        <v/>
      </c>
      <c r="BG215" s="110">
        <f>IF(GI215="","",IF(ISNUMBER('Dvd Calendar'!$U$2174)=FALSE,"",'Dvd Calendar'!$U$2174))</f>
        <v/>
      </c>
      <c r="BH215" s="110">
        <f>IF(GJ215="","",IF(ISNUMBER('Dvd Calendar'!$V$2174)=FALSE,"",'Dvd Calendar'!$V$2174))</f>
        <v/>
      </c>
      <c r="BI215" s="110">
        <f>IF(GK215="","",IF(ISNUMBER('Dvd Calendar'!$W$2174)=FALSE,"",'Dvd Calendar'!$W$2174))</f>
        <v/>
      </c>
      <c r="BJ215" s="110">
        <f>IF(GL215="","",IF(ISNUMBER('Dvd Calendar'!$X$2174)=FALSE,"",'Dvd Calendar'!$X$2174))</f>
        <v/>
      </c>
      <c r="BK215" s="110">
        <f>IF(GM215="","",IF(ISNUMBER('Dvd Calendar'!$Y$2174)=FALSE,"",'Dvd Calendar'!$Y$2174))</f>
        <v/>
      </c>
      <c r="BL215" s="110">
        <f>IF(GN215="","",IF(ISNUMBER('Dvd Calendar'!$Z$2174)=FALSE,"",'Dvd Calendar'!$Z$2174))</f>
        <v/>
      </c>
      <c r="BM215" s="110">
        <f>IF(GO215="","",IF(ISNUMBER('Dvd Calendar'!$AA$2174)=FALSE,"",'Dvd Calendar'!$AA$2174))</f>
        <v/>
      </c>
      <c r="BN215" s="110">
        <f>IF(GP215="","",IF(ISNUMBER('Dvd Calendar'!$AB$2174)=FALSE,"",'Dvd Calendar'!$AB$2174))</f>
        <v/>
      </c>
      <c r="BO215" s="110">
        <f>IF(GQ215="","",IF(ISNUMBER('Dvd Calendar'!$AC$2174)=FALSE,"",'Dvd Calendar'!$AC$2174))</f>
        <v/>
      </c>
      <c r="BQ215" s="110">
        <f>IF(C215="","",IFERROR(C215*HSCEI!$B$62*HSCEI!$G$62/HSCEI!$B$3,""))</f>
        <v/>
      </c>
      <c r="BR215" s="110">
        <f>IF(D215="","",IFERROR(D215*HSCEI!$B$62*HSCEI!$G$62/HSCEI!$B$3,""))</f>
        <v/>
      </c>
      <c r="BS215" s="110">
        <f>IF(E215="","",IFERROR(E215*HSCEI!$B$62*HSCEI!$G$62/HSCEI!$B$3,""))</f>
        <v/>
      </c>
      <c r="BT215" s="110">
        <f>IF(F215="","",IFERROR(F215*HSCEI!$B$62*HSCEI!$G$62/HSCEI!$B$3,""))</f>
        <v/>
      </c>
      <c r="BU215" s="110">
        <f>IF(G215="","",IFERROR(G215*HSCEI!$B$62*HSCEI!$G$62/HSCEI!$B$3,""))</f>
        <v/>
      </c>
      <c r="BV215" s="110">
        <f>IF(H215="","",IFERROR(H215*HSCEI!$B$62*HSCEI!$G$62/HSCEI!$B$3,""))</f>
        <v/>
      </c>
      <c r="BW215" s="110">
        <f>IF(I215="","",IFERROR(I215*HSCEI!$B$62*HSCEI!$G$62/HSCEI!$B$3,""))</f>
        <v/>
      </c>
      <c r="BX215" s="110">
        <f>IF(J215="","",IFERROR(J215*HSCEI!$B$62*HSCEI!$G$62/HSCEI!$B$3,""))</f>
        <v/>
      </c>
      <c r="BY215" s="110">
        <f>IF(K215="","",IFERROR(K215*HSCEI!$B$62*HSCEI!$G$62/HSCEI!$B$3,""))</f>
        <v/>
      </c>
      <c r="BZ215" s="110">
        <f>IF(L215="","",IFERROR(L215*HSCEI!$B$62*HSCEI!$G$62/HSCEI!$B$3,""))</f>
        <v/>
      </c>
      <c r="CA215" s="110">
        <f>IF(M215="","",IFERROR(M215*HSCEI!$B$62*HSCEI!$G$62/HSCEI!$B$3,""))</f>
        <v/>
      </c>
      <c r="CB215" s="110">
        <f>IF(N215="","",IFERROR(N215*HSCEI!$B$62*HSCEI!$G$62/HSCEI!$B$3,""))</f>
        <v/>
      </c>
      <c r="CC215" s="110">
        <f>IF(O215="","",IFERROR(O215*HSCEI!$B$62*HSCEI!$G$62/HSCEI!$B$3,""))</f>
        <v/>
      </c>
      <c r="CD215" s="110">
        <f>IF(P215="","",IFERROR(P215*HSCEI!$B$62*HSCEI!$G$62/HSCEI!$B$3,""))</f>
        <v/>
      </c>
      <c r="CE215" s="110">
        <f>IF(Q215="","",IFERROR(Q215*HSCEI!$B$62*HSCEI!$G$62/HSCEI!$B$3,""))</f>
        <v/>
      </c>
      <c r="CF215" s="110">
        <f>IF(R215="","",IFERROR(R215*HSCEI!$B$62*HSCEI!$G$62/HSCEI!$B$3,""))</f>
        <v/>
      </c>
      <c r="CG215" s="110">
        <f>IF(S215="","",IFERROR(S215*HSCEI!$B$62*HSCEI!$G$62/HSCEI!$B$3,""))</f>
        <v/>
      </c>
      <c r="CH215" s="110">
        <f>IF(T215="","",IFERROR(T215*HSCEI!$B$62*HSCEI!$G$62/HSCEI!$B$3,""))</f>
        <v/>
      </c>
      <c r="CI215" s="110">
        <f>IF(U215="","",IFERROR(U215*HSCEI!$B$62*HSCEI!$G$62/HSCEI!$B$3,""))</f>
        <v/>
      </c>
      <c r="CJ215" s="110">
        <f>IF(V215="","",IFERROR(V215*HSCEI!$B$62*HSCEI!$G$62/HSCEI!$B$3,""))</f>
        <v/>
      </c>
      <c r="CK215" s="110">
        <f>IF(W215="","",IFERROR(W215*HSCEI!$B$62*HSCEI!$G$62/HSCEI!$B$3,""))</f>
        <v/>
      </c>
      <c r="CL215" s="110">
        <f>IF(X215="","",IFERROR(X215*HSCEI!$B$62*HSCEI!$G$62/HSCEI!$B$3,""))</f>
        <v/>
      </c>
      <c r="CM215" s="110">
        <f>IF(Y215="","",IFERROR(Y215*HSCEI!$B$62*HSCEI!$G$62/HSCEI!$B$3,""))</f>
        <v/>
      </c>
      <c r="CN215" s="110">
        <f>IF(Z215="","",IFERROR(Z215*HSCEI!$B$62*HSCEI!$G$62/HSCEI!$B$3,""))</f>
        <v/>
      </c>
      <c r="CO215" s="110">
        <f>IF(AA215="","",IFERROR(AA215*HSCEI!$B$62*HSCEI!$G$62/HSCEI!$B$3,""))</f>
        <v/>
      </c>
      <c r="CP215" s="110">
        <f>IF(AB215="","",IFERROR(AB215*HSCEI!$B$62*HSCEI!$G$62/HSCEI!$B$3,""))</f>
        <v/>
      </c>
      <c r="CQ215" s="110">
        <f>IF(AC215="","",IFERROR(AC215*HSCEI!$B$62*HSCEI!$G$62/HSCEI!$B$3,""))</f>
        <v/>
      </c>
      <c r="CR215" s="110">
        <f>IF(AD215="","",IFERROR(AD215*HSCEI!$B$62*HSCEI!$G$62/HSCEI!$B$3,""))</f>
        <v/>
      </c>
      <c r="CS215" s="110">
        <f>IF(AE215="","",IFERROR(AE215*HSCEI!$B$62*HSCEI!$G$62/HSCEI!$B$3,""))</f>
        <v/>
      </c>
      <c r="CT215" s="110">
        <f>IF(AF215="","",IFERROR(AF215*HSCEI!$B$62*HSCEI!$G$62/HSCEI!$B$3,""))</f>
        <v/>
      </c>
      <c r="CU215" s="110">
        <f>IF(AG215="","",IFERROR(AG215*HSCEI!$B$62*HSCEI!$G$62/HSCEI!$B$3,""))</f>
        <v/>
      </c>
      <c r="CV215" s="110">
        <f>IF(AH215="","",IFERROR(AH215*HSCEI!$B$62*HSCEI!$G$62/HSCEI!$B$3,""))</f>
        <v/>
      </c>
      <c r="CW215" s="110">
        <f>IF(AI215="","",IFERROR(AI215*HSCEI!$B$62*HSCEI!$G$62/HSCEI!$B$3,""))</f>
        <v/>
      </c>
      <c r="CX215" s="110">
        <f>IF(AJ215="","",IFERROR(AJ215*HSCEI!$B$62*HSCEI!$G$62/HSCEI!$B$3,""))</f>
        <v/>
      </c>
      <c r="CY215" s="110">
        <f>IF(AK215="","",IFERROR(AK215*HSCEI!$B$62*HSCEI!$G$62/HSCEI!$B$3,""))</f>
        <v/>
      </c>
      <c r="CZ215" s="110">
        <f>IF(AL215="","",IFERROR(AL215*HSCEI!$B$62*HSCEI!$G$62/HSCEI!$B$3,""))</f>
        <v/>
      </c>
      <c r="DA215" s="110">
        <f>IF(AM215="","",IFERROR(AM215*HSCEI!$B$62*HSCEI!$G$62/HSCEI!$B$3,""))</f>
        <v/>
      </c>
      <c r="DB215" s="110">
        <f>IF(AN215="","",IFERROR(AN215*HSCEI!$B$62*HSCEI!$G$62/HSCEI!$B$3,""))</f>
        <v/>
      </c>
      <c r="DC215" s="110">
        <f>IF(AO215="","",IFERROR(AO215*HSCEI!$B$62*HSCEI!$G$62/HSCEI!$B$3,""))</f>
        <v/>
      </c>
      <c r="DD215" s="110">
        <f>IF(AP215="","",IFERROR(AP215*HSCEI!$B$62*HSCEI!$G$62/HSCEI!$B$3,""))</f>
        <v/>
      </c>
      <c r="DE215" s="110">
        <f>IF(AQ215="","",IFERROR(AQ215*HSCEI!$B$62*HSCEI!$G$62/HSCEI!$B$3,""))</f>
        <v/>
      </c>
      <c r="DF215" s="110">
        <f>IF(AR215="","",IFERROR(AR215*HSCEI!$B$62*HSCEI!$G$62/HSCEI!$B$3,""))</f>
        <v/>
      </c>
      <c r="DG215" s="110">
        <f>IF(AS215="","",IFERROR(AS215*HSCEI!$B$62*HSCEI!$G$62/HSCEI!$B$3,""))</f>
        <v/>
      </c>
      <c r="DH215" s="110">
        <f>IF(AT215="","",IFERROR(AT215*HSCEI!$B$62*HSCEI!$G$62/HSCEI!$B$3,""))</f>
        <v/>
      </c>
      <c r="DI215" s="110">
        <f>IF(AU215="","",IFERROR(AU215*HSCEI!$B$62*HSCEI!$G$62/HSCEI!$B$3,""))</f>
        <v/>
      </c>
      <c r="DJ215" s="110">
        <f>IF(AV215="","",IFERROR(AV215*HSCEI!$B$62*HSCEI!$G$62/HSCEI!$B$3,""))</f>
        <v/>
      </c>
      <c r="DK215" s="110">
        <f>IF(AW215="","",IFERROR(AW215*HSCEI!$B$62*HSCEI!$G$62/HSCEI!$B$3,""))</f>
        <v/>
      </c>
      <c r="DL215" s="110">
        <f>IF(AX215="","",IFERROR(AX215*HSCEI!$B$62*HSCEI!$G$62/HSCEI!$B$3,""))</f>
        <v/>
      </c>
      <c r="DM215" s="110">
        <f>IF(AY215="","",IFERROR(AY215*HSCEI!$B$62*HSCEI!$G$62/HSCEI!$B$3,""))</f>
        <v/>
      </c>
      <c r="DN215" s="110">
        <f>IF(AZ215="","",IFERROR(AZ215*HSCEI!$B$62*HSCEI!$G$62/HSCEI!$B$3,""))</f>
        <v/>
      </c>
      <c r="DO215" s="110">
        <f>IF(BA215="","",IFERROR(BA215*HSCEI!$B$62*HSCEI!$G$62/HSCEI!$B$3,""))</f>
        <v/>
      </c>
      <c r="DP215" s="110">
        <f>IF(BB215="","",IFERROR(BB215*HSCEI!$B$62*HSCEI!$G$62/HSCEI!$B$3,""))</f>
        <v/>
      </c>
      <c r="DQ215" s="110">
        <f>IF(BC215="","",IFERROR(BC215*HSCEI!$B$62*HSCEI!$G$62/HSCEI!$B$3,""))</f>
        <v/>
      </c>
      <c r="DR215" s="110">
        <f>IF(BD215="","",IFERROR(BD215*HSCEI!$B$62*HSCEI!$G$62/HSCEI!$B$3,""))</f>
        <v/>
      </c>
      <c r="DS215" s="110">
        <f>IF(BE215="","",IFERROR(BE215*HSCEI!$B$62*HSCEI!$G$62/HSCEI!$B$3,""))</f>
        <v/>
      </c>
      <c r="DT215" s="110">
        <f>IF(BF215="","",IFERROR(BF215*HSCEI!$B$62*HSCEI!$G$62/HSCEI!$B$3,""))</f>
        <v/>
      </c>
      <c r="DU215" s="110">
        <f>IF(BG215="","",IFERROR(BG215*HSCEI!$B$62*HSCEI!$G$62/HSCEI!$B$3,""))</f>
        <v/>
      </c>
      <c r="DV215" s="110">
        <f>IF(BH215="","",IFERROR(BH215*HSCEI!$B$62*HSCEI!$G$62/HSCEI!$B$3,""))</f>
        <v/>
      </c>
      <c r="DW215" s="110">
        <f>IF(BI215="","",IFERROR(BI215*HSCEI!$B$62*HSCEI!$G$62/HSCEI!$B$3,""))</f>
        <v/>
      </c>
      <c r="DX215" s="110">
        <f>IF(BJ215="","",IFERROR(BJ215*HSCEI!$B$62*HSCEI!$G$62/HSCEI!$B$3,""))</f>
        <v/>
      </c>
      <c r="DY215" s="110">
        <f>IF(BK215="","",IFERROR(BK215*HSCEI!$B$62*HSCEI!$G$62/HSCEI!$B$3,""))</f>
        <v/>
      </c>
      <c r="DZ215" s="110">
        <f>IF(BL215="","",IFERROR(BL215*HSCEI!$B$62*HSCEI!$G$62/HSCEI!$B$3,""))</f>
        <v/>
      </c>
      <c r="EA215" s="110">
        <f>IF(BM215="","",IFERROR(BM215*HSCEI!$B$62*HSCEI!$G$62/HSCEI!$B$3,""))</f>
        <v/>
      </c>
      <c r="EB215" s="110">
        <f>IF(BN215="","",IFERROR(BN215*HSCEI!$B$62*HSCEI!$G$62/HSCEI!$B$3,""))</f>
        <v/>
      </c>
      <c r="EC215" s="110">
        <f>IF(BO215="","",IFERROR(BO215*HSCEI!$B$62*HSCEI!$G$62/HSCEI!$B$3,""))</f>
        <v/>
      </c>
      <c r="EE215" s="39">
        <f>IF(N('Dvd Calendar'!$E$2166)=0,"",IF(('Dvd Calendar'!$E$2166&gt;=GRID_FROM)*('Dvd Calendar'!$E$2166&lt;=GRID_TO)*((('Dvd Calendar'!$E$2166&lt;=VAL_DATE)+(COUNTIF('Dvd Calendar'!$E$2173:$AR$2173,'Dvd Calendar'!$E$2166)=0))&gt;0)=0,"",'Dvd Calendar'!$E$2166*1000000000+ISNUMBER('Dvd Calendar'!$E$2169)*100000000+('Dvd Calendar'!$E$2171=SPECIAL_LBL)*10000000+(N('Dvd Calendar'!$E$2165)&gt;0)*(N('Dvd Calendar'!$E$2165)&lt;=VAL_SERIAL)*1000000+56*1000+1))</f>
        <v/>
      </c>
      <c r="EF215" s="39">
        <f>IF(N('Dvd Calendar'!$F$2166)=0,"",IF(('Dvd Calendar'!$F$2166&gt;=GRID_FROM)*('Dvd Calendar'!$F$2166&lt;=GRID_TO)*((('Dvd Calendar'!$F$2166&lt;=VAL_DATE)+(COUNTIF('Dvd Calendar'!$E$2173:$AR$2173,'Dvd Calendar'!$F$2166)=0))&gt;0)=0,"",'Dvd Calendar'!$F$2166*1000000000+ISNUMBER('Dvd Calendar'!$F$2169)*100000000+('Dvd Calendar'!$F$2171=SPECIAL_LBL)*10000000+(N('Dvd Calendar'!$F$2165)&gt;0)*(N('Dvd Calendar'!$F$2165)&lt;=VAL_SERIAL)*1000000+56*1000+2))</f>
        <v/>
      </c>
      <c r="EG215" s="39">
        <f>IF(N('Dvd Calendar'!$G$2166)=0,"",IF(('Dvd Calendar'!$G$2166&gt;=GRID_FROM)*('Dvd Calendar'!$G$2166&lt;=GRID_TO)*((('Dvd Calendar'!$G$2166&lt;=VAL_DATE)+(COUNTIF('Dvd Calendar'!$E$2173:$AR$2173,'Dvd Calendar'!$G$2166)=0))&gt;0)=0,"",'Dvd Calendar'!$G$2166*1000000000+ISNUMBER('Dvd Calendar'!$G$2169)*100000000+('Dvd Calendar'!$G$2171=SPECIAL_LBL)*10000000+(N('Dvd Calendar'!$G$2165)&gt;0)*(N('Dvd Calendar'!$G$2165)&lt;=VAL_SERIAL)*1000000+56*1000+3))</f>
        <v/>
      </c>
      <c r="EH215" s="39">
        <f>IF(N('Dvd Calendar'!$H$2166)=0,"",IF(('Dvd Calendar'!$H$2166&gt;=GRID_FROM)*('Dvd Calendar'!$H$2166&lt;=GRID_TO)*((('Dvd Calendar'!$H$2166&lt;=VAL_DATE)+(COUNTIF('Dvd Calendar'!$E$2173:$AR$2173,'Dvd Calendar'!$H$2166)=0))&gt;0)=0,"",'Dvd Calendar'!$H$2166*1000000000+ISNUMBER('Dvd Calendar'!$H$2169)*100000000+('Dvd Calendar'!$H$2171=SPECIAL_LBL)*10000000+(N('Dvd Calendar'!$H$2165)&gt;0)*(N('Dvd Calendar'!$H$2165)&lt;=VAL_SERIAL)*1000000+56*1000+4))</f>
        <v/>
      </c>
      <c r="EI215" s="39">
        <f>IF(N('Dvd Calendar'!$I$2166)=0,"",IF(('Dvd Calendar'!$I$2166&gt;=GRID_FROM)*('Dvd Calendar'!$I$2166&lt;=GRID_TO)*((('Dvd Calendar'!$I$2166&lt;=VAL_DATE)+(COUNTIF('Dvd Calendar'!$E$2173:$AR$2173,'Dvd Calendar'!$I$2166)=0))&gt;0)=0,"",'Dvd Calendar'!$I$2166*1000000000+ISNUMBER('Dvd Calendar'!$I$2169)*100000000+('Dvd Calendar'!$I$2171=SPECIAL_LBL)*10000000+(N('Dvd Calendar'!$I$2165)&gt;0)*(N('Dvd Calendar'!$I$2165)&lt;=VAL_SERIAL)*1000000+56*1000+5))</f>
        <v/>
      </c>
      <c r="EJ215" s="39">
        <f>IF(N('Dvd Calendar'!$J$2166)=0,"",IF(('Dvd Calendar'!$J$2166&gt;=GRID_FROM)*('Dvd Calendar'!$J$2166&lt;=GRID_TO)*((('Dvd Calendar'!$J$2166&lt;=VAL_DATE)+(COUNTIF('Dvd Calendar'!$E$2173:$AR$2173,'Dvd Calendar'!$J$2166)=0))&gt;0)=0,"",'Dvd Calendar'!$J$2166*1000000000+ISNUMBER('Dvd Calendar'!$J$2169)*100000000+('Dvd Calendar'!$J$2171=SPECIAL_LBL)*10000000+(N('Dvd Calendar'!$J$2165)&gt;0)*(N('Dvd Calendar'!$J$2165)&lt;=VAL_SERIAL)*1000000+56*1000+6))</f>
        <v/>
      </c>
      <c r="EK215" s="39">
        <f>IF(N('Dvd Calendar'!$K$2166)=0,"",IF(('Dvd Calendar'!$K$2166&gt;=GRID_FROM)*('Dvd Calendar'!$K$2166&lt;=GRID_TO)*((('Dvd Calendar'!$K$2166&lt;=VAL_DATE)+(COUNTIF('Dvd Calendar'!$E$2173:$AR$2173,'Dvd Calendar'!$K$2166)=0))&gt;0)=0,"",'Dvd Calendar'!$K$2166*1000000000+ISNUMBER('Dvd Calendar'!$K$2169)*100000000+('Dvd Calendar'!$K$2171=SPECIAL_LBL)*10000000+(N('Dvd Calendar'!$K$2165)&gt;0)*(N('Dvd Calendar'!$K$2165)&lt;=VAL_SERIAL)*1000000+56*1000+7))</f>
        <v/>
      </c>
      <c r="EL215" s="39">
        <f>IF(N('Dvd Calendar'!$L$2166)=0,"",IF(('Dvd Calendar'!$L$2166&gt;=GRID_FROM)*('Dvd Calendar'!$L$2166&lt;=GRID_TO)*((('Dvd Calendar'!$L$2166&lt;=VAL_DATE)+(COUNTIF('Dvd Calendar'!$E$2173:$AR$2173,'Dvd Calendar'!$L$2166)=0))&gt;0)=0,"",'Dvd Calendar'!$L$2166*1000000000+ISNUMBER('Dvd Calendar'!$L$2169)*100000000+('Dvd Calendar'!$L$2171=SPECIAL_LBL)*10000000+(N('Dvd Calendar'!$L$2165)&gt;0)*(N('Dvd Calendar'!$L$2165)&lt;=VAL_SERIAL)*1000000+56*1000+8))</f>
        <v/>
      </c>
      <c r="EM215" s="39">
        <f>IF(N('Dvd Calendar'!$M$2166)=0,"",IF(('Dvd Calendar'!$M$2166&gt;=GRID_FROM)*('Dvd Calendar'!$M$2166&lt;=GRID_TO)*((('Dvd Calendar'!$M$2166&lt;=VAL_DATE)+(COUNTIF('Dvd Calendar'!$E$2173:$AR$2173,'Dvd Calendar'!$M$2166)=0))&gt;0)=0,"",'Dvd Calendar'!$M$2166*1000000000+ISNUMBER('Dvd Calendar'!$M$2169)*100000000+('Dvd Calendar'!$M$2171=SPECIAL_LBL)*10000000+(N('Dvd Calendar'!$M$2165)&gt;0)*(N('Dvd Calendar'!$M$2165)&lt;=VAL_SERIAL)*1000000+56*1000+9))</f>
        <v/>
      </c>
      <c r="EN215" s="39">
        <f>IF(N('Dvd Calendar'!$N$2166)=0,"",IF(('Dvd Calendar'!$N$2166&gt;=GRID_FROM)*('Dvd Calendar'!$N$2166&lt;=GRID_TO)*((('Dvd Calendar'!$N$2166&lt;=VAL_DATE)+(COUNTIF('Dvd Calendar'!$E$2173:$AR$2173,'Dvd Calendar'!$N$2166)=0))&gt;0)=0,"",'Dvd Calendar'!$N$2166*1000000000+ISNUMBER('Dvd Calendar'!$N$2169)*100000000+('Dvd Calendar'!$N$2171=SPECIAL_LBL)*10000000+(N('Dvd Calendar'!$N$2165)&gt;0)*(N('Dvd Calendar'!$N$2165)&lt;=VAL_SERIAL)*1000000+56*1000+10))</f>
        <v/>
      </c>
      <c r="EO215" s="39">
        <f>IF(N('Dvd Calendar'!$O$2166)=0,"",IF(('Dvd Calendar'!$O$2166&gt;=GRID_FROM)*('Dvd Calendar'!$O$2166&lt;=GRID_TO)*((('Dvd Calendar'!$O$2166&lt;=VAL_DATE)+(COUNTIF('Dvd Calendar'!$E$2173:$AR$2173,'Dvd Calendar'!$O$2166)=0))&gt;0)=0,"",'Dvd Calendar'!$O$2166*1000000000+ISNUMBER('Dvd Calendar'!$O$2169)*100000000+('Dvd Calendar'!$O$2171=SPECIAL_LBL)*10000000+(N('Dvd Calendar'!$O$2165)&gt;0)*(N('Dvd Calendar'!$O$2165)&lt;=VAL_SERIAL)*1000000+56*1000+11))</f>
        <v/>
      </c>
      <c r="EP215" s="39">
        <f>IF(N('Dvd Calendar'!$P$2166)=0,"",IF(('Dvd Calendar'!$P$2166&gt;=GRID_FROM)*('Dvd Calendar'!$P$2166&lt;=GRID_TO)*((('Dvd Calendar'!$P$2166&lt;=VAL_DATE)+(COUNTIF('Dvd Calendar'!$E$2173:$AR$2173,'Dvd Calendar'!$P$2166)=0))&gt;0)=0,"",'Dvd Calendar'!$P$2166*1000000000+ISNUMBER('Dvd Calendar'!$P$2169)*100000000+('Dvd Calendar'!$P$2171=SPECIAL_LBL)*10000000+(N('Dvd Calendar'!$P$2165)&gt;0)*(N('Dvd Calendar'!$P$2165)&lt;=VAL_SERIAL)*1000000+56*1000+12))</f>
        <v/>
      </c>
      <c r="EQ215" s="39">
        <f>IF(N('Dvd Calendar'!$Q$2166)=0,"",IF(('Dvd Calendar'!$Q$2166&gt;=GRID_FROM)*('Dvd Calendar'!$Q$2166&lt;=GRID_TO)*((('Dvd Calendar'!$Q$2166&lt;=VAL_DATE)+(COUNTIF('Dvd Calendar'!$E$2173:$AR$2173,'Dvd Calendar'!$Q$2166)=0))&gt;0)=0,"",'Dvd Calendar'!$Q$2166*1000000000+ISNUMBER('Dvd Calendar'!$Q$2169)*100000000+('Dvd Calendar'!$Q$2171=SPECIAL_LBL)*10000000+(N('Dvd Calendar'!$Q$2165)&gt;0)*(N('Dvd Calendar'!$Q$2165)&lt;=VAL_SERIAL)*1000000+56*1000+13))</f>
        <v/>
      </c>
      <c r="ER215" s="39">
        <f>IF(N('Dvd Calendar'!$R$2166)=0,"",IF(('Dvd Calendar'!$R$2166&gt;=GRID_FROM)*('Dvd Calendar'!$R$2166&lt;=GRID_TO)*((('Dvd Calendar'!$R$2166&lt;=VAL_DATE)+(COUNTIF('Dvd Calendar'!$E$2173:$AR$2173,'Dvd Calendar'!$R$2166)=0))&gt;0)=0,"",'Dvd Calendar'!$R$2166*1000000000+ISNUMBER('Dvd Calendar'!$R$2169)*100000000+('Dvd Calendar'!$R$2171=SPECIAL_LBL)*10000000+(N('Dvd Calendar'!$R$2165)&gt;0)*(N('Dvd Calendar'!$R$2165)&lt;=VAL_SERIAL)*1000000+56*1000+14))</f>
        <v/>
      </c>
      <c r="ES215" s="39">
        <f>IF(N('Dvd Calendar'!$S$2166)=0,"",IF(('Dvd Calendar'!$S$2166&gt;=GRID_FROM)*('Dvd Calendar'!$S$2166&lt;=GRID_TO)*((('Dvd Calendar'!$S$2166&lt;=VAL_DATE)+(COUNTIF('Dvd Calendar'!$E$2173:$AR$2173,'Dvd Calendar'!$S$2166)=0))&gt;0)=0,"",'Dvd Calendar'!$S$2166*1000000000+ISNUMBER('Dvd Calendar'!$S$2169)*100000000+('Dvd Calendar'!$S$2171=SPECIAL_LBL)*10000000+(N('Dvd Calendar'!$S$2165)&gt;0)*(N('Dvd Calendar'!$S$2165)&lt;=VAL_SERIAL)*1000000+56*1000+15))</f>
        <v/>
      </c>
      <c r="ET215" s="39">
        <f>IF(N('Dvd Calendar'!$T$2166)=0,"",IF(('Dvd Calendar'!$T$2166&gt;=GRID_FROM)*('Dvd Calendar'!$T$2166&lt;=GRID_TO)*((('Dvd Calendar'!$T$2166&lt;=VAL_DATE)+(COUNTIF('Dvd Calendar'!$E$2173:$AR$2173,'Dvd Calendar'!$T$2166)=0))&gt;0)=0,"",'Dvd Calendar'!$T$2166*1000000000+ISNUMBER('Dvd Calendar'!$T$2169)*100000000+('Dvd Calendar'!$T$2171=SPECIAL_LBL)*10000000+(N('Dvd Calendar'!$T$2165)&gt;0)*(N('Dvd Calendar'!$T$2165)&lt;=VAL_SERIAL)*1000000+56*1000+16))</f>
        <v/>
      </c>
      <c r="EU215" s="39">
        <f>IF(N('Dvd Calendar'!$U$2166)=0,"",IF(('Dvd Calendar'!$U$2166&gt;=GRID_FROM)*('Dvd Calendar'!$U$2166&lt;=GRID_TO)*((('Dvd Calendar'!$U$2166&lt;=VAL_DATE)+(COUNTIF('Dvd Calendar'!$E$2173:$AR$2173,'Dvd Calendar'!$U$2166)=0))&gt;0)=0,"",'Dvd Calendar'!$U$2166*1000000000+ISNUMBER('Dvd Calendar'!$U$2169)*100000000+('Dvd Calendar'!$U$2171=SPECIAL_LBL)*10000000+(N('Dvd Calendar'!$U$2165)&gt;0)*(N('Dvd Calendar'!$U$2165)&lt;=VAL_SERIAL)*1000000+56*1000+17))</f>
        <v/>
      </c>
      <c r="EV215" s="39">
        <f>IF(N('Dvd Calendar'!$V$2166)=0,"",IF(('Dvd Calendar'!$V$2166&gt;=GRID_FROM)*('Dvd Calendar'!$V$2166&lt;=GRID_TO)*((('Dvd Calendar'!$V$2166&lt;=VAL_DATE)+(COUNTIF('Dvd Calendar'!$E$2173:$AR$2173,'Dvd Calendar'!$V$2166)=0))&gt;0)=0,"",'Dvd Calendar'!$V$2166*1000000000+ISNUMBER('Dvd Calendar'!$V$2169)*100000000+('Dvd Calendar'!$V$2171=SPECIAL_LBL)*10000000+(N('Dvd Calendar'!$V$2165)&gt;0)*(N('Dvd Calendar'!$V$2165)&lt;=VAL_SERIAL)*1000000+56*1000+18))</f>
        <v/>
      </c>
      <c r="EW215" s="39">
        <f>IF(N('Dvd Calendar'!$W$2166)=0,"",IF(('Dvd Calendar'!$W$2166&gt;=GRID_FROM)*('Dvd Calendar'!$W$2166&lt;=GRID_TO)*((('Dvd Calendar'!$W$2166&lt;=VAL_DATE)+(COUNTIF('Dvd Calendar'!$E$2173:$AR$2173,'Dvd Calendar'!$W$2166)=0))&gt;0)=0,"",'Dvd Calendar'!$W$2166*1000000000+ISNUMBER('Dvd Calendar'!$W$2169)*100000000+('Dvd Calendar'!$W$2171=SPECIAL_LBL)*10000000+(N('Dvd Calendar'!$W$2165)&gt;0)*(N('Dvd Calendar'!$W$2165)&lt;=VAL_SERIAL)*1000000+56*1000+19))</f>
        <v/>
      </c>
      <c r="EX215" s="39">
        <f>IF(N('Dvd Calendar'!$X$2166)=0,"",IF(('Dvd Calendar'!$X$2166&gt;=GRID_FROM)*('Dvd Calendar'!$X$2166&lt;=GRID_TO)*((('Dvd Calendar'!$X$2166&lt;=VAL_DATE)+(COUNTIF('Dvd Calendar'!$E$2173:$AR$2173,'Dvd Calendar'!$X$2166)=0))&gt;0)=0,"",'Dvd Calendar'!$X$2166*1000000000+ISNUMBER('Dvd Calendar'!$X$2169)*100000000+('Dvd Calendar'!$X$2171=SPECIAL_LBL)*10000000+(N('Dvd Calendar'!$X$2165)&gt;0)*(N('Dvd Calendar'!$X$2165)&lt;=VAL_SERIAL)*1000000+56*1000+20))</f>
        <v/>
      </c>
      <c r="EY215" s="39">
        <f>IF(N('Dvd Calendar'!$Y$2166)=0,"",IF(('Dvd Calendar'!$Y$2166&gt;=GRID_FROM)*('Dvd Calendar'!$Y$2166&lt;=GRID_TO)*((('Dvd Calendar'!$Y$2166&lt;=VAL_DATE)+(COUNTIF('Dvd Calendar'!$E$2173:$AR$2173,'Dvd Calendar'!$Y$2166)=0))&gt;0)=0,"",'Dvd Calendar'!$Y$2166*1000000000+ISNUMBER('Dvd Calendar'!$Y$2169)*100000000+('Dvd Calendar'!$Y$2171=SPECIAL_LBL)*10000000+(N('Dvd Calendar'!$Y$2165)&gt;0)*(N('Dvd Calendar'!$Y$2165)&lt;=VAL_SERIAL)*1000000+56*1000+21))</f>
        <v/>
      </c>
      <c r="EZ215" s="39">
        <f>IF(N('Dvd Calendar'!$Z$2166)=0,"",IF(('Dvd Calendar'!$Z$2166&gt;=GRID_FROM)*('Dvd Calendar'!$Z$2166&lt;=GRID_TO)*((('Dvd Calendar'!$Z$2166&lt;=VAL_DATE)+(COUNTIF('Dvd Calendar'!$E$2173:$AR$2173,'Dvd Calendar'!$Z$2166)=0))&gt;0)=0,"",'Dvd Calendar'!$Z$2166*1000000000+ISNUMBER('Dvd Calendar'!$Z$2169)*100000000+('Dvd Calendar'!$Z$2171=SPECIAL_LBL)*10000000+(N('Dvd Calendar'!$Z$2165)&gt;0)*(N('Dvd Calendar'!$Z$2165)&lt;=VAL_SERIAL)*1000000+56*1000+22))</f>
        <v/>
      </c>
      <c r="FA215" s="39">
        <f>IF(N('Dvd Calendar'!$AA$2166)=0,"",IF(('Dvd Calendar'!$AA$2166&gt;=GRID_FROM)*('Dvd Calendar'!$AA$2166&lt;=GRID_TO)*((('Dvd Calendar'!$AA$2166&lt;=VAL_DATE)+(COUNTIF('Dvd Calendar'!$E$2173:$AR$2173,'Dvd Calendar'!$AA$2166)=0))&gt;0)=0,"",'Dvd Calendar'!$AA$2166*1000000000+ISNUMBER('Dvd Calendar'!$AA$2169)*100000000+('Dvd Calendar'!$AA$2171=SPECIAL_LBL)*10000000+(N('Dvd Calendar'!$AA$2165)&gt;0)*(N('Dvd Calendar'!$AA$2165)&lt;=VAL_SERIAL)*1000000+56*1000+23))</f>
        <v/>
      </c>
      <c r="FB215" s="39">
        <f>IF(N('Dvd Calendar'!$AB$2166)=0,"",IF(('Dvd Calendar'!$AB$2166&gt;=GRID_FROM)*('Dvd Calendar'!$AB$2166&lt;=GRID_TO)*((('Dvd Calendar'!$AB$2166&lt;=VAL_DATE)+(COUNTIF('Dvd Calendar'!$E$2173:$AR$2173,'Dvd Calendar'!$AB$2166)=0))&gt;0)=0,"",'Dvd Calendar'!$AB$2166*1000000000+ISNUMBER('Dvd Calendar'!$AB$2169)*100000000+('Dvd Calendar'!$AB$2171=SPECIAL_LBL)*10000000+(N('Dvd Calendar'!$AB$2165)&gt;0)*(N('Dvd Calendar'!$AB$2165)&lt;=VAL_SERIAL)*1000000+56*1000+24))</f>
        <v/>
      </c>
      <c r="FC215" s="39">
        <f>IF(N('Dvd Calendar'!$AC$2166)=0,"",IF(('Dvd Calendar'!$AC$2166&gt;=GRID_FROM)*('Dvd Calendar'!$AC$2166&lt;=GRID_TO)*((('Dvd Calendar'!$AC$2166&lt;=VAL_DATE)+(COUNTIF('Dvd Calendar'!$E$2173:$AR$2173,'Dvd Calendar'!$AC$2166)=0))&gt;0)=0,"",'Dvd Calendar'!$AC$2166*1000000000+ISNUMBER('Dvd Calendar'!$AC$2169)*100000000+('Dvd Calendar'!$AC$2171=SPECIAL_LBL)*10000000+(N('Dvd Calendar'!$AC$2165)&gt;0)*(N('Dvd Calendar'!$AC$2165)&lt;=VAL_SERIAL)*1000000+56*1000+25))</f>
        <v/>
      </c>
      <c r="FD215" s="39">
        <f>IF(N('Dvd Calendar'!$AD$2166)=0,"",IF(('Dvd Calendar'!$AD$2166&gt;=GRID_FROM)*('Dvd Calendar'!$AD$2166&lt;=GRID_TO)*((('Dvd Calendar'!$AD$2166&lt;=VAL_DATE)+(COUNTIF('Dvd Calendar'!$E$2173:$AR$2173,'Dvd Calendar'!$AD$2166)=0))&gt;0)=0,"",'Dvd Calendar'!$AD$2166*1000000000+ISNUMBER('Dvd Calendar'!$AD$2169)*100000000+('Dvd Calendar'!$AD$2171=SPECIAL_LBL)*10000000+(N('Dvd Calendar'!$AD$2165)&gt;0)*(N('Dvd Calendar'!$AD$2165)&lt;=VAL_SERIAL)*1000000+56*1000+26))</f>
        <v/>
      </c>
      <c r="FE215" s="39">
        <f>IF(N('Dvd Calendar'!$AE$2166)=0,"",IF(('Dvd Calendar'!$AE$2166&gt;=GRID_FROM)*('Dvd Calendar'!$AE$2166&lt;=GRID_TO)*((('Dvd Calendar'!$AE$2166&lt;=VAL_DATE)+(COUNTIF('Dvd Calendar'!$E$2173:$AR$2173,'Dvd Calendar'!$AE$2166)=0))&gt;0)=0,"",'Dvd Calendar'!$AE$2166*1000000000+ISNUMBER('Dvd Calendar'!$AE$2169)*100000000+('Dvd Calendar'!$AE$2171=SPECIAL_LBL)*10000000+(N('Dvd Calendar'!$AE$2165)&gt;0)*(N('Dvd Calendar'!$AE$2165)&lt;=VAL_SERIAL)*1000000+56*1000+27))</f>
        <v/>
      </c>
      <c r="FF215" s="39">
        <f>IF(N('Dvd Calendar'!$AF$2166)=0,"",IF(('Dvd Calendar'!$AF$2166&gt;=GRID_FROM)*('Dvd Calendar'!$AF$2166&lt;=GRID_TO)*((('Dvd Calendar'!$AF$2166&lt;=VAL_DATE)+(COUNTIF('Dvd Calendar'!$E$2173:$AR$2173,'Dvd Calendar'!$AF$2166)=0))&gt;0)=0,"",'Dvd Calendar'!$AF$2166*1000000000+ISNUMBER('Dvd Calendar'!$AF$2169)*100000000+('Dvd Calendar'!$AF$2171=SPECIAL_LBL)*10000000+(N('Dvd Calendar'!$AF$2165)&gt;0)*(N('Dvd Calendar'!$AF$2165)&lt;=VAL_SERIAL)*1000000+56*1000+28))</f>
        <v/>
      </c>
      <c r="FG215" s="39">
        <f>IF(N('Dvd Calendar'!$AG$2166)=0,"",IF(('Dvd Calendar'!$AG$2166&gt;=GRID_FROM)*('Dvd Calendar'!$AG$2166&lt;=GRID_TO)*((('Dvd Calendar'!$AG$2166&lt;=VAL_DATE)+(COUNTIF('Dvd Calendar'!$E$2173:$AR$2173,'Dvd Calendar'!$AG$2166)=0))&gt;0)=0,"",'Dvd Calendar'!$AG$2166*1000000000+ISNUMBER('Dvd Calendar'!$AG$2169)*100000000+('Dvd Calendar'!$AG$2171=SPECIAL_LBL)*10000000+(N('Dvd Calendar'!$AG$2165)&gt;0)*(N('Dvd Calendar'!$AG$2165)&lt;=VAL_SERIAL)*1000000+56*1000+29))</f>
        <v/>
      </c>
      <c r="FH215" s="39">
        <f>IF(N('Dvd Calendar'!$AH$2166)=0,"",IF(('Dvd Calendar'!$AH$2166&gt;=GRID_FROM)*('Dvd Calendar'!$AH$2166&lt;=GRID_TO)*((('Dvd Calendar'!$AH$2166&lt;=VAL_DATE)+(COUNTIF('Dvd Calendar'!$E$2173:$AR$2173,'Dvd Calendar'!$AH$2166)=0))&gt;0)=0,"",'Dvd Calendar'!$AH$2166*1000000000+ISNUMBER('Dvd Calendar'!$AH$2169)*100000000+('Dvd Calendar'!$AH$2171=SPECIAL_LBL)*10000000+(N('Dvd Calendar'!$AH$2165)&gt;0)*(N('Dvd Calendar'!$AH$2165)&lt;=VAL_SERIAL)*1000000+56*1000+30))</f>
        <v/>
      </c>
      <c r="FI215" s="39">
        <f>IF(N('Dvd Calendar'!$AI$2166)=0,"",IF(('Dvd Calendar'!$AI$2166&gt;=GRID_FROM)*('Dvd Calendar'!$AI$2166&lt;=GRID_TO)*((('Dvd Calendar'!$AI$2166&lt;=VAL_DATE)+(COUNTIF('Dvd Calendar'!$E$2173:$AR$2173,'Dvd Calendar'!$AI$2166)=0))&gt;0)=0,"",'Dvd Calendar'!$AI$2166*1000000000+ISNUMBER('Dvd Calendar'!$AI$2169)*100000000+('Dvd Calendar'!$AI$2171=SPECIAL_LBL)*10000000+(N('Dvd Calendar'!$AI$2165)&gt;0)*(N('Dvd Calendar'!$AI$2165)&lt;=VAL_SERIAL)*1000000+56*1000+31))</f>
        <v/>
      </c>
      <c r="FJ215" s="39">
        <f>IF(N('Dvd Calendar'!$AJ$2166)=0,"",IF(('Dvd Calendar'!$AJ$2166&gt;=GRID_FROM)*('Dvd Calendar'!$AJ$2166&lt;=GRID_TO)*((('Dvd Calendar'!$AJ$2166&lt;=VAL_DATE)+(COUNTIF('Dvd Calendar'!$E$2173:$AR$2173,'Dvd Calendar'!$AJ$2166)=0))&gt;0)=0,"",'Dvd Calendar'!$AJ$2166*1000000000+ISNUMBER('Dvd Calendar'!$AJ$2169)*100000000+('Dvd Calendar'!$AJ$2171=SPECIAL_LBL)*10000000+(N('Dvd Calendar'!$AJ$2165)&gt;0)*(N('Dvd Calendar'!$AJ$2165)&lt;=VAL_SERIAL)*1000000+56*1000+32))</f>
        <v/>
      </c>
      <c r="FK215" s="39">
        <f>IF(N('Dvd Calendar'!$AK$2166)=0,"",IF(('Dvd Calendar'!$AK$2166&gt;=GRID_FROM)*('Dvd Calendar'!$AK$2166&lt;=GRID_TO)*((('Dvd Calendar'!$AK$2166&lt;=VAL_DATE)+(COUNTIF('Dvd Calendar'!$E$2173:$AR$2173,'Dvd Calendar'!$AK$2166)=0))&gt;0)=0,"",'Dvd Calendar'!$AK$2166*1000000000+ISNUMBER('Dvd Calendar'!$AK$2169)*100000000+('Dvd Calendar'!$AK$2171=SPECIAL_LBL)*10000000+(N('Dvd Calendar'!$AK$2165)&gt;0)*(N('Dvd Calendar'!$AK$2165)&lt;=VAL_SERIAL)*1000000+56*1000+33))</f>
        <v/>
      </c>
      <c r="FL215" s="39">
        <f>IF(N('Dvd Calendar'!$AL$2166)=0,"",IF(('Dvd Calendar'!$AL$2166&gt;=GRID_FROM)*('Dvd Calendar'!$AL$2166&lt;=GRID_TO)*((('Dvd Calendar'!$AL$2166&lt;=VAL_DATE)+(COUNTIF('Dvd Calendar'!$E$2173:$AR$2173,'Dvd Calendar'!$AL$2166)=0))&gt;0)=0,"",'Dvd Calendar'!$AL$2166*1000000000+ISNUMBER('Dvd Calendar'!$AL$2169)*100000000+('Dvd Calendar'!$AL$2171=SPECIAL_LBL)*10000000+(N('Dvd Calendar'!$AL$2165)&gt;0)*(N('Dvd Calendar'!$AL$2165)&lt;=VAL_SERIAL)*1000000+56*1000+34))</f>
        <v/>
      </c>
      <c r="FM215" s="39">
        <f>IF(N('Dvd Calendar'!$AM$2166)=0,"",IF(('Dvd Calendar'!$AM$2166&gt;=GRID_FROM)*('Dvd Calendar'!$AM$2166&lt;=GRID_TO)*((('Dvd Calendar'!$AM$2166&lt;=VAL_DATE)+(COUNTIF('Dvd Calendar'!$E$2173:$AR$2173,'Dvd Calendar'!$AM$2166)=0))&gt;0)=0,"",'Dvd Calendar'!$AM$2166*1000000000+ISNUMBER('Dvd Calendar'!$AM$2169)*100000000+('Dvd Calendar'!$AM$2171=SPECIAL_LBL)*10000000+(N('Dvd Calendar'!$AM$2165)&gt;0)*(N('Dvd Calendar'!$AM$2165)&lt;=VAL_SERIAL)*1000000+56*1000+35))</f>
        <v/>
      </c>
      <c r="FN215" s="39">
        <f>IF(N('Dvd Calendar'!$AN$2166)=0,"",IF(('Dvd Calendar'!$AN$2166&gt;=GRID_FROM)*('Dvd Calendar'!$AN$2166&lt;=GRID_TO)*((('Dvd Calendar'!$AN$2166&lt;=VAL_DATE)+(COUNTIF('Dvd Calendar'!$E$2173:$AR$2173,'Dvd Calendar'!$AN$2166)=0))&gt;0)=0,"",'Dvd Calendar'!$AN$2166*1000000000+ISNUMBER('Dvd Calendar'!$AN$2169)*100000000+('Dvd Calendar'!$AN$2171=SPECIAL_LBL)*10000000+(N('Dvd Calendar'!$AN$2165)&gt;0)*(N('Dvd Calendar'!$AN$2165)&lt;=VAL_SERIAL)*1000000+56*1000+36))</f>
        <v/>
      </c>
      <c r="FO215" s="39">
        <f>IF(N('Dvd Calendar'!$AO$2166)=0,"",IF(('Dvd Calendar'!$AO$2166&gt;=GRID_FROM)*('Dvd Calendar'!$AO$2166&lt;=GRID_TO)*((('Dvd Calendar'!$AO$2166&lt;=VAL_DATE)+(COUNTIF('Dvd Calendar'!$E$2173:$AR$2173,'Dvd Calendar'!$AO$2166)=0))&gt;0)=0,"",'Dvd Calendar'!$AO$2166*1000000000+ISNUMBER('Dvd Calendar'!$AO$2169)*100000000+('Dvd Calendar'!$AO$2171=SPECIAL_LBL)*10000000+(N('Dvd Calendar'!$AO$2165)&gt;0)*(N('Dvd Calendar'!$AO$2165)&lt;=VAL_SERIAL)*1000000+56*1000+37))</f>
        <v/>
      </c>
      <c r="FP215" s="39">
        <f>IF(N('Dvd Calendar'!$AP$2166)=0,"",IF(('Dvd Calendar'!$AP$2166&gt;=GRID_FROM)*('Dvd Calendar'!$AP$2166&lt;=GRID_TO)*((('Dvd Calendar'!$AP$2166&lt;=VAL_DATE)+(COUNTIF('Dvd Calendar'!$E$2173:$AR$2173,'Dvd Calendar'!$AP$2166)=0))&gt;0)=0,"",'Dvd Calendar'!$AP$2166*1000000000+ISNUMBER('Dvd Calendar'!$AP$2169)*100000000+('Dvd Calendar'!$AP$2171=SPECIAL_LBL)*10000000+(N('Dvd Calendar'!$AP$2165)&gt;0)*(N('Dvd Calendar'!$AP$2165)&lt;=VAL_SERIAL)*1000000+56*1000+38))</f>
        <v/>
      </c>
      <c r="FQ215" s="39">
        <f>IF(N('Dvd Calendar'!$AQ$2166)=0,"",IF(('Dvd Calendar'!$AQ$2166&gt;=GRID_FROM)*('Dvd Calendar'!$AQ$2166&lt;=GRID_TO)*((('Dvd Calendar'!$AQ$2166&lt;=VAL_DATE)+(COUNTIF('Dvd Calendar'!$E$2173:$AR$2173,'Dvd Calendar'!$AQ$2166)=0))&gt;0)=0,"",'Dvd Calendar'!$AQ$2166*1000000000+ISNUMBER('Dvd Calendar'!$AQ$2169)*100000000+('Dvd Calendar'!$AQ$2171=SPECIAL_LBL)*10000000+(N('Dvd Calendar'!$AQ$2165)&gt;0)*(N('Dvd Calendar'!$AQ$2165)&lt;=VAL_SERIAL)*1000000+56*1000+39))</f>
        <v/>
      </c>
      <c r="FR215" s="39">
        <f>IF(N('Dvd Calendar'!$AR$2166)=0,"",IF(('Dvd Calendar'!$AR$2166&gt;=GRID_FROM)*('Dvd Calendar'!$AR$2166&lt;=GRID_TO)*((('Dvd Calendar'!$AR$2166&lt;=VAL_DATE)+(COUNTIF('Dvd Calendar'!$E$2173:$AR$2173,'Dvd Calendar'!$AR$2166)=0))&gt;0)=0,"",'Dvd Calendar'!$AR$2166*1000000000+ISNUMBER('Dvd Calendar'!$AR$2169)*100000000+('Dvd Calendar'!$AR$2171=SPECIAL_LBL)*10000000+(N('Dvd Calendar'!$AR$2165)&gt;0)*(N('Dvd Calendar'!$AR$2165)&lt;=VAL_SERIAL)*1000000+56*1000+40))</f>
        <v/>
      </c>
      <c r="FS215" s="39">
        <f>IF(N('Dvd Calendar'!$E$2173)=0,"",IF(('Dvd Calendar'!$E$2173&gt;=GRID_FROM)*('Dvd Calendar'!$E$2173&lt;=GRID_TO)*('Dvd Calendar'!$E$2173&gt;VAL_DATE)=0,"",'Dvd Calendar'!$E$2173*1000000000+ISNUMBER('Dvd Calendar'!$E$2174)*100000000+0*10000000+(N('Dvd Calendar'!$E$2172)&gt;0)*(N('Dvd Calendar'!$E$2172)&lt;=VAL_SERIAL)*1000000+56*1000+41))</f>
        <v/>
      </c>
      <c r="FT215" s="39">
        <f>IF(N('Dvd Calendar'!$F$2173)=0,"",IF(('Dvd Calendar'!$F$2173&gt;=GRID_FROM)*('Dvd Calendar'!$F$2173&lt;=GRID_TO)*('Dvd Calendar'!$F$2173&gt;VAL_DATE)=0,"",'Dvd Calendar'!$F$2173*1000000000+ISNUMBER('Dvd Calendar'!$F$2174)*100000000+0*10000000+(N('Dvd Calendar'!$F$2172)&gt;0)*(N('Dvd Calendar'!$F$2172)&lt;=VAL_SERIAL)*1000000+56*1000+42))</f>
        <v/>
      </c>
      <c r="FU215" s="39">
        <f>IF(N('Dvd Calendar'!$G$2173)=0,"",IF(('Dvd Calendar'!$G$2173&gt;=GRID_FROM)*('Dvd Calendar'!$G$2173&lt;=GRID_TO)*('Dvd Calendar'!$G$2173&gt;VAL_DATE)=0,"",'Dvd Calendar'!$G$2173*1000000000+ISNUMBER('Dvd Calendar'!$G$2174)*100000000+0*10000000+(N('Dvd Calendar'!$G$2172)&gt;0)*(N('Dvd Calendar'!$G$2172)&lt;=VAL_SERIAL)*1000000+56*1000+43))</f>
        <v/>
      </c>
      <c r="FV215" s="39">
        <f>IF(N('Dvd Calendar'!$H$2173)=0,"",IF(('Dvd Calendar'!$H$2173&gt;=GRID_FROM)*('Dvd Calendar'!$H$2173&lt;=GRID_TO)*('Dvd Calendar'!$H$2173&gt;VAL_DATE)=0,"",'Dvd Calendar'!$H$2173*1000000000+ISNUMBER('Dvd Calendar'!$H$2174)*100000000+0*10000000+(N('Dvd Calendar'!$H$2172)&gt;0)*(N('Dvd Calendar'!$H$2172)&lt;=VAL_SERIAL)*1000000+56*1000+44))</f>
        <v/>
      </c>
      <c r="FW215" s="39">
        <f>IF(N('Dvd Calendar'!$I$2173)=0,"",IF(('Dvd Calendar'!$I$2173&gt;=GRID_FROM)*('Dvd Calendar'!$I$2173&lt;=GRID_TO)*('Dvd Calendar'!$I$2173&gt;VAL_DATE)=0,"",'Dvd Calendar'!$I$2173*1000000000+ISNUMBER('Dvd Calendar'!$I$2174)*100000000+0*10000000+(N('Dvd Calendar'!$I$2172)&gt;0)*(N('Dvd Calendar'!$I$2172)&lt;=VAL_SERIAL)*1000000+56*1000+45))</f>
        <v/>
      </c>
      <c r="FX215" s="39">
        <f>IF(N('Dvd Calendar'!$J$2173)=0,"",IF(('Dvd Calendar'!$J$2173&gt;=GRID_FROM)*('Dvd Calendar'!$J$2173&lt;=GRID_TO)*('Dvd Calendar'!$J$2173&gt;VAL_DATE)=0,"",'Dvd Calendar'!$J$2173*1000000000+ISNUMBER('Dvd Calendar'!$J$2174)*100000000+0*10000000+(N('Dvd Calendar'!$J$2172)&gt;0)*(N('Dvd Calendar'!$J$2172)&lt;=VAL_SERIAL)*1000000+56*1000+46))</f>
        <v/>
      </c>
      <c r="FY215" s="39">
        <f>IF(N('Dvd Calendar'!$K$2173)=0,"",IF(('Dvd Calendar'!$K$2173&gt;=GRID_FROM)*('Dvd Calendar'!$K$2173&lt;=GRID_TO)*('Dvd Calendar'!$K$2173&gt;VAL_DATE)=0,"",'Dvd Calendar'!$K$2173*1000000000+ISNUMBER('Dvd Calendar'!$K$2174)*100000000+0*10000000+(N('Dvd Calendar'!$K$2172)&gt;0)*(N('Dvd Calendar'!$K$2172)&lt;=VAL_SERIAL)*1000000+56*1000+47))</f>
        <v/>
      </c>
      <c r="FZ215" s="39">
        <f>IF(N('Dvd Calendar'!$L$2173)=0,"",IF(('Dvd Calendar'!$L$2173&gt;=GRID_FROM)*('Dvd Calendar'!$L$2173&lt;=GRID_TO)*('Dvd Calendar'!$L$2173&gt;VAL_DATE)=0,"",'Dvd Calendar'!$L$2173*1000000000+ISNUMBER('Dvd Calendar'!$L$2174)*100000000+0*10000000+(N('Dvd Calendar'!$L$2172)&gt;0)*(N('Dvd Calendar'!$L$2172)&lt;=VAL_SERIAL)*1000000+56*1000+48))</f>
        <v/>
      </c>
      <c r="GA215" s="39">
        <f>IF(N('Dvd Calendar'!$M$2173)=0,"",IF(('Dvd Calendar'!$M$2173&gt;=GRID_FROM)*('Dvd Calendar'!$M$2173&lt;=GRID_TO)*('Dvd Calendar'!$M$2173&gt;VAL_DATE)=0,"",'Dvd Calendar'!$M$2173*1000000000+ISNUMBER('Dvd Calendar'!$M$2174)*100000000+0*10000000+(N('Dvd Calendar'!$M$2172)&gt;0)*(N('Dvd Calendar'!$M$2172)&lt;=VAL_SERIAL)*1000000+56*1000+49))</f>
        <v/>
      </c>
      <c r="GB215" s="39">
        <f>IF(N('Dvd Calendar'!$N$2173)=0,"",IF(('Dvd Calendar'!$N$2173&gt;=GRID_FROM)*('Dvd Calendar'!$N$2173&lt;=GRID_TO)*('Dvd Calendar'!$N$2173&gt;VAL_DATE)=0,"",'Dvd Calendar'!$N$2173*1000000000+ISNUMBER('Dvd Calendar'!$N$2174)*100000000+0*10000000+(N('Dvd Calendar'!$N$2172)&gt;0)*(N('Dvd Calendar'!$N$2172)&lt;=VAL_SERIAL)*1000000+56*1000+50))</f>
        <v/>
      </c>
      <c r="GC215" s="39">
        <f>IF(N('Dvd Calendar'!$O$2173)=0,"",IF(('Dvd Calendar'!$O$2173&gt;=GRID_FROM)*('Dvd Calendar'!$O$2173&lt;=GRID_TO)*('Dvd Calendar'!$O$2173&gt;VAL_DATE)=0,"",'Dvd Calendar'!$O$2173*1000000000+ISNUMBER('Dvd Calendar'!$O$2174)*100000000+0*10000000+(N('Dvd Calendar'!$O$2172)&gt;0)*(N('Dvd Calendar'!$O$2172)&lt;=VAL_SERIAL)*1000000+56*1000+51))</f>
        <v/>
      </c>
      <c r="GD215" s="39">
        <f>IF(N('Dvd Calendar'!$P$2173)=0,"",IF(('Dvd Calendar'!$P$2173&gt;=GRID_FROM)*('Dvd Calendar'!$P$2173&lt;=GRID_TO)*('Dvd Calendar'!$P$2173&gt;VAL_DATE)=0,"",'Dvd Calendar'!$P$2173*1000000000+ISNUMBER('Dvd Calendar'!$P$2174)*100000000+0*10000000+(N('Dvd Calendar'!$P$2172)&gt;0)*(N('Dvd Calendar'!$P$2172)&lt;=VAL_SERIAL)*1000000+56*1000+52))</f>
        <v/>
      </c>
      <c r="GE215" s="39">
        <f>IF(N('Dvd Calendar'!$Q$2173)=0,"",IF(('Dvd Calendar'!$Q$2173&gt;=GRID_FROM)*('Dvd Calendar'!$Q$2173&lt;=GRID_TO)*('Dvd Calendar'!$Q$2173&gt;VAL_DATE)=0,"",'Dvd Calendar'!$Q$2173*1000000000+ISNUMBER('Dvd Calendar'!$Q$2174)*100000000+0*10000000+(N('Dvd Calendar'!$Q$2172)&gt;0)*(N('Dvd Calendar'!$Q$2172)&lt;=VAL_SERIAL)*1000000+56*1000+53))</f>
        <v/>
      </c>
      <c r="GF215" s="39">
        <f>IF(N('Dvd Calendar'!$R$2173)=0,"",IF(('Dvd Calendar'!$R$2173&gt;=GRID_FROM)*('Dvd Calendar'!$R$2173&lt;=GRID_TO)*('Dvd Calendar'!$R$2173&gt;VAL_DATE)=0,"",'Dvd Calendar'!$R$2173*1000000000+ISNUMBER('Dvd Calendar'!$R$2174)*100000000+0*10000000+(N('Dvd Calendar'!$R$2172)&gt;0)*(N('Dvd Calendar'!$R$2172)&lt;=VAL_SERIAL)*1000000+56*1000+54))</f>
        <v/>
      </c>
      <c r="GG215" s="39">
        <f>IF(N('Dvd Calendar'!$S$2173)=0,"",IF(('Dvd Calendar'!$S$2173&gt;=GRID_FROM)*('Dvd Calendar'!$S$2173&lt;=GRID_TO)*('Dvd Calendar'!$S$2173&gt;VAL_DATE)=0,"",'Dvd Calendar'!$S$2173*1000000000+ISNUMBER('Dvd Calendar'!$S$2174)*100000000+0*10000000+(N('Dvd Calendar'!$S$2172)&gt;0)*(N('Dvd Calendar'!$S$2172)&lt;=VAL_SERIAL)*1000000+56*1000+55))</f>
        <v/>
      </c>
      <c r="GH215" s="39">
        <f>IF(N('Dvd Calendar'!$T$2173)=0,"",IF(('Dvd Calendar'!$T$2173&gt;=GRID_FROM)*('Dvd Calendar'!$T$2173&lt;=GRID_TO)*('Dvd Calendar'!$T$2173&gt;VAL_DATE)=0,"",'Dvd Calendar'!$T$2173*1000000000+ISNUMBER('Dvd Calendar'!$T$2174)*100000000+0*10000000+(N('Dvd Calendar'!$T$2172)&gt;0)*(N('Dvd Calendar'!$T$2172)&lt;=VAL_SERIAL)*1000000+56*1000+56))</f>
        <v/>
      </c>
      <c r="GI215" s="39">
        <f>IF(N('Dvd Calendar'!$U$2173)=0,"",IF(('Dvd Calendar'!$U$2173&gt;=GRID_FROM)*('Dvd Calendar'!$U$2173&lt;=GRID_TO)*('Dvd Calendar'!$U$2173&gt;VAL_DATE)=0,"",'Dvd Calendar'!$U$2173*1000000000+ISNUMBER('Dvd Calendar'!$U$2174)*100000000+0*10000000+(N('Dvd Calendar'!$U$2172)&gt;0)*(N('Dvd Calendar'!$U$2172)&lt;=VAL_SERIAL)*1000000+56*1000+57))</f>
        <v/>
      </c>
      <c r="GJ215" s="39">
        <f>IF(N('Dvd Calendar'!$V$2173)=0,"",IF(('Dvd Calendar'!$V$2173&gt;=GRID_FROM)*('Dvd Calendar'!$V$2173&lt;=GRID_TO)*('Dvd Calendar'!$V$2173&gt;VAL_DATE)=0,"",'Dvd Calendar'!$V$2173*1000000000+ISNUMBER('Dvd Calendar'!$V$2174)*100000000+0*10000000+(N('Dvd Calendar'!$V$2172)&gt;0)*(N('Dvd Calendar'!$V$2172)&lt;=VAL_SERIAL)*1000000+56*1000+58))</f>
        <v/>
      </c>
      <c r="GK215" s="39">
        <f>IF(N('Dvd Calendar'!$W$2173)=0,"",IF(('Dvd Calendar'!$W$2173&gt;=GRID_FROM)*('Dvd Calendar'!$W$2173&lt;=GRID_TO)*('Dvd Calendar'!$W$2173&gt;VAL_DATE)=0,"",'Dvd Calendar'!$W$2173*1000000000+ISNUMBER('Dvd Calendar'!$W$2174)*100000000+0*10000000+(N('Dvd Calendar'!$W$2172)&gt;0)*(N('Dvd Calendar'!$W$2172)&lt;=VAL_SERIAL)*1000000+56*1000+59))</f>
        <v/>
      </c>
      <c r="GL215" s="39">
        <f>IF(N('Dvd Calendar'!$X$2173)=0,"",IF(('Dvd Calendar'!$X$2173&gt;=GRID_FROM)*('Dvd Calendar'!$X$2173&lt;=GRID_TO)*('Dvd Calendar'!$X$2173&gt;VAL_DATE)=0,"",'Dvd Calendar'!$X$2173*1000000000+ISNUMBER('Dvd Calendar'!$X$2174)*100000000+0*10000000+(N('Dvd Calendar'!$X$2172)&gt;0)*(N('Dvd Calendar'!$X$2172)&lt;=VAL_SERIAL)*1000000+56*1000+60))</f>
        <v/>
      </c>
      <c r="GM215" s="39">
        <f>IF(N('Dvd Calendar'!$Y$2173)=0,"",IF(('Dvd Calendar'!$Y$2173&gt;=GRID_FROM)*('Dvd Calendar'!$Y$2173&lt;=GRID_TO)*('Dvd Calendar'!$Y$2173&gt;VAL_DATE)=0,"",'Dvd Calendar'!$Y$2173*1000000000+ISNUMBER('Dvd Calendar'!$Y$2174)*100000000+0*10000000+(N('Dvd Calendar'!$Y$2172)&gt;0)*(N('Dvd Calendar'!$Y$2172)&lt;=VAL_SERIAL)*1000000+56*1000+61))</f>
        <v/>
      </c>
      <c r="GN215" s="39">
        <f>IF(N('Dvd Calendar'!$Z$2173)=0,"",IF(('Dvd Calendar'!$Z$2173&gt;=GRID_FROM)*('Dvd Calendar'!$Z$2173&lt;=GRID_TO)*('Dvd Calendar'!$Z$2173&gt;VAL_DATE)=0,"",'Dvd Calendar'!$Z$2173*1000000000+ISNUMBER('Dvd Calendar'!$Z$2174)*100000000+0*10000000+(N('Dvd Calendar'!$Z$2172)&gt;0)*(N('Dvd Calendar'!$Z$2172)&lt;=VAL_SERIAL)*1000000+56*1000+62))</f>
        <v/>
      </c>
      <c r="GO215" s="39">
        <f>IF(N('Dvd Calendar'!$AA$2173)=0,"",IF(('Dvd Calendar'!$AA$2173&gt;=GRID_FROM)*('Dvd Calendar'!$AA$2173&lt;=GRID_TO)*('Dvd Calendar'!$AA$2173&gt;VAL_DATE)=0,"",'Dvd Calendar'!$AA$2173*1000000000+ISNUMBER('Dvd Calendar'!$AA$2174)*100000000+0*10000000+(N('Dvd Calendar'!$AA$2172)&gt;0)*(N('Dvd Calendar'!$AA$2172)&lt;=VAL_SERIAL)*1000000+56*1000+63))</f>
        <v/>
      </c>
      <c r="GP215" s="39">
        <f>IF(N('Dvd Calendar'!$AB$2173)=0,"",IF(('Dvd Calendar'!$AB$2173&gt;=GRID_FROM)*('Dvd Calendar'!$AB$2173&lt;=GRID_TO)*('Dvd Calendar'!$AB$2173&gt;VAL_DATE)=0,"",'Dvd Calendar'!$AB$2173*1000000000+ISNUMBER('Dvd Calendar'!$AB$2174)*100000000+0*10000000+(N('Dvd Calendar'!$AB$2172)&gt;0)*(N('Dvd Calendar'!$AB$2172)&lt;=VAL_SERIAL)*1000000+56*1000+64))</f>
        <v/>
      </c>
      <c r="GQ215" s="39">
        <f>IF(N('Dvd Calendar'!$AC$2173)=0,"",IF(('Dvd Calendar'!$AC$2173&gt;=GRID_FROM)*('Dvd Calendar'!$AC$2173&lt;=GRID_TO)*('Dvd Calendar'!$AC$2173&gt;VAL_DATE)=0,"",'Dvd Calendar'!$AC$2173*1000000000+ISNUMBER('Dvd Calendar'!$AC$2174)*100000000+0*10000000+(N('Dvd Calendar'!$AC$2172)&gt;0)*(N('Dvd Calendar'!$AC$2172)&lt;=VAL_SERIAL)*1000000+56*1000+65))</f>
        <v/>
      </c>
    </row>
    <row r="216">
      <c r="B216" s="2">
        <f>IF(HSCEI!$C$63="","",HSCEI!$C$63)</f>
        <v/>
      </c>
      <c r="C216" s="110">
        <f>IF(EE216="","",IF(ISNUMBER('Dvd Calendar'!$E$2180)=FALSE,"",IF((('Dvd Calendar'!$E$2182=TYPE1)*(TYPE1&lt;&gt;"")+('Dvd Calendar'!$E$2182=TYPE2)*(TYPE2&lt;&gt;"")+('Dvd Calendar'!$E$2182=TYPE3)*(TYPE3&lt;&gt;"")+('Dvd Calendar'!$E$2182=TYPE4)*(TYPE4&lt;&gt;"")+('Dvd Calendar'!$E$2182=SPECIAL_LBL)*(INC_SPECIALS="Y"))=0,"",'Dvd Calendar'!$E$2180)))</f>
        <v/>
      </c>
      <c r="D216" s="110">
        <f>IF(EF216="","",IF(ISNUMBER('Dvd Calendar'!$F$2180)=FALSE,"",IF((('Dvd Calendar'!$F$2182=TYPE1)*(TYPE1&lt;&gt;"")+('Dvd Calendar'!$F$2182=TYPE2)*(TYPE2&lt;&gt;"")+('Dvd Calendar'!$F$2182=TYPE3)*(TYPE3&lt;&gt;"")+('Dvd Calendar'!$F$2182=TYPE4)*(TYPE4&lt;&gt;"")+('Dvd Calendar'!$F$2182=SPECIAL_LBL)*(INC_SPECIALS="Y"))=0,"",'Dvd Calendar'!$F$2180)))</f>
        <v/>
      </c>
      <c r="E216" s="110">
        <f>IF(EG216="","",IF(ISNUMBER('Dvd Calendar'!$G$2180)=FALSE,"",IF((('Dvd Calendar'!$G$2182=TYPE1)*(TYPE1&lt;&gt;"")+('Dvd Calendar'!$G$2182=TYPE2)*(TYPE2&lt;&gt;"")+('Dvd Calendar'!$G$2182=TYPE3)*(TYPE3&lt;&gt;"")+('Dvd Calendar'!$G$2182=TYPE4)*(TYPE4&lt;&gt;"")+('Dvd Calendar'!$G$2182=SPECIAL_LBL)*(INC_SPECIALS="Y"))=0,"",'Dvd Calendar'!$G$2180)))</f>
        <v/>
      </c>
      <c r="F216" s="110">
        <f>IF(EH216="","",IF(ISNUMBER('Dvd Calendar'!$H$2180)=FALSE,"",IF((('Dvd Calendar'!$H$2182=TYPE1)*(TYPE1&lt;&gt;"")+('Dvd Calendar'!$H$2182=TYPE2)*(TYPE2&lt;&gt;"")+('Dvd Calendar'!$H$2182=TYPE3)*(TYPE3&lt;&gt;"")+('Dvd Calendar'!$H$2182=TYPE4)*(TYPE4&lt;&gt;"")+('Dvd Calendar'!$H$2182=SPECIAL_LBL)*(INC_SPECIALS="Y"))=0,"",'Dvd Calendar'!$H$2180)))</f>
        <v/>
      </c>
      <c r="G216" s="110">
        <f>IF(EI216="","",IF(ISNUMBER('Dvd Calendar'!$I$2180)=FALSE,"",IF((('Dvd Calendar'!$I$2182=TYPE1)*(TYPE1&lt;&gt;"")+('Dvd Calendar'!$I$2182=TYPE2)*(TYPE2&lt;&gt;"")+('Dvd Calendar'!$I$2182=TYPE3)*(TYPE3&lt;&gt;"")+('Dvd Calendar'!$I$2182=TYPE4)*(TYPE4&lt;&gt;"")+('Dvd Calendar'!$I$2182=SPECIAL_LBL)*(INC_SPECIALS="Y"))=0,"",'Dvd Calendar'!$I$2180)))</f>
        <v/>
      </c>
      <c r="H216" s="110">
        <f>IF(EJ216="","",IF(ISNUMBER('Dvd Calendar'!$J$2180)=FALSE,"",IF((('Dvd Calendar'!$J$2182=TYPE1)*(TYPE1&lt;&gt;"")+('Dvd Calendar'!$J$2182=TYPE2)*(TYPE2&lt;&gt;"")+('Dvd Calendar'!$J$2182=TYPE3)*(TYPE3&lt;&gt;"")+('Dvd Calendar'!$J$2182=TYPE4)*(TYPE4&lt;&gt;"")+('Dvd Calendar'!$J$2182=SPECIAL_LBL)*(INC_SPECIALS="Y"))=0,"",'Dvd Calendar'!$J$2180)))</f>
        <v/>
      </c>
      <c r="I216" s="110">
        <f>IF(EK216="","",IF(ISNUMBER('Dvd Calendar'!$K$2180)=FALSE,"",IF((('Dvd Calendar'!$K$2182=TYPE1)*(TYPE1&lt;&gt;"")+('Dvd Calendar'!$K$2182=TYPE2)*(TYPE2&lt;&gt;"")+('Dvd Calendar'!$K$2182=TYPE3)*(TYPE3&lt;&gt;"")+('Dvd Calendar'!$K$2182=TYPE4)*(TYPE4&lt;&gt;"")+('Dvd Calendar'!$K$2182=SPECIAL_LBL)*(INC_SPECIALS="Y"))=0,"",'Dvd Calendar'!$K$2180)))</f>
        <v/>
      </c>
      <c r="J216" s="110">
        <f>IF(EL216="","",IF(ISNUMBER('Dvd Calendar'!$L$2180)=FALSE,"",IF((('Dvd Calendar'!$L$2182=TYPE1)*(TYPE1&lt;&gt;"")+('Dvd Calendar'!$L$2182=TYPE2)*(TYPE2&lt;&gt;"")+('Dvd Calendar'!$L$2182=TYPE3)*(TYPE3&lt;&gt;"")+('Dvd Calendar'!$L$2182=TYPE4)*(TYPE4&lt;&gt;"")+('Dvd Calendar'!$L$2182=SPECIAL_LBL)*(INC_SPECIALS="Y"))=0,"",'Dvd Calendar'!$L$2180)))</f>
        <v/>
      </c>
      <c r="K216" s="110">
        <f>IF(EM216="","",IF(ISNUMBER('Dvd Calendar'!$M$2180)=FALSE,"",IF((('Dvd Calendar'!$M$2182=TYPE1)*(TYPE1&lt;&gt;"")+('Dvd Calendar'!$M$2182=TYPE2)*(TYPE2&lt;&gt;"")+('Dvd Calendar'!$M$2182=TYPE3)*(TYPE3&lt;&gt;"")+('Dvd Calendar'!$M$2182=TYPE4)*(TYPE4&lt;&gt;"")+('Dvd Calendar'!$M$2182=SPECIAL_LBL)*(INC_SPECIALS="Y"))=0,"",'Dvd Calendar'!$M$2180)))</f>
        <v/>
      </c>
      <c r="L216" s="110">
        <f>IF(EN216="","",IF(ISNUMBER('Dvd Calendar'!$N$2180)=FALSE,"",IF((('Dvd Calendar'!$N$2182=TYPE1)*(TYPE1&lt;&gt;"")+('Dvd Calendar'!$N$2182=TYPE2)*(TYPE2&lt;&gt;"")+('Dvd Calendar'!$N$2182=TYPE3)*(TYPE3&lt;&gt;"")+('Dvd Calendar'!$N$2182=TYPE4)*(TYPE4&lt;&gt;"")+('Dvd Calendar'!$N$2182=SPECIAL_LBL)*(INC_SPECIALS="Y"))=0,"",'Dvd Calendar'!$N$2180)))</f>
        <v/>
      </c>
      <c r="M216" s="110">
        <f>IF(EO216="","",IF(ISNUMBER('Dvd Calendar'!$O$2180)=FALSE,"",IF((('Dvd Calendar'!$O$2182=TYPE1)*(TYPE1&lt;&gt;"")+('Dvd Calendar'!$O$2182=TYPE2)*(TYPE2&lt;&gt;"")+('Dvd Calendar'!$O$2182=TYPE3)*(TYPE3&lt;&gt;"")+('Dvd Calendar'!$O$2182=TYPE4)*(TYPE4&lt;&gt;"")+('Dvd Calendar'!$O$2182=SPECIAL_LBL)*(INC_SPECIALS="Y"))=0,"",'Dvd Calendar'!$O$2180)))</f>
        <v/>
      </c>
      <c r="N216" s="110">
        <f>IF(EP216="","",IF(ISNUMBER('Dvd Calendar'!$P$2180)=FALSE,"",IF((('Dvd Calendar'!$P$2182=TYPE1)*(TYPE1&lt;&gt;"")+('Dvd Calendar'!$P$2182=TYPE2)*(TYPE2&lt;&gt;"")+('Dvd Calendar'!$P$2182=TYPE3)*(TYPE3&lt;&gt;"")+('Dvd Calendar'!$P$2182=TYPE4)*(TYPE4&lt;&gt;"")+('Dvd Calendar'!$P$2182=SPECIAL_LBL)*(INC_SPECIALS="Y"))=0,"",'Dvd Calendar'!$P$2180)))</f>
        <v/>
      </c>
      <c r="O216" s="110">
        <f>IF(EQ216="","",IF(ISNUMBER('Dvd Calendar'!$Q$2180)=FALSE,"",IF((('Dvd Calendar'!$Q$2182=TYPE1)*(TYPE1&lt;&gt;"")+('Dvd Calendar'!$Q$2182=TYPE2)*(TYPE2&lt;&gt;"")+('Dvd Calendar'!$Q$2182=TYPE3)*(TYPE3&lt;&gt;"")+('Dvd Calendar'!$Q$2182=TYPE4)*(TYPE4&lt;&gt;"")+('Dvd Calendar'!$Q$2182=SPECIAL_LBL)*(INC_SPECIALS="Y"))=0,"",'Dvd Calendar'!$Q$2180)))</f>
        <v/>
      </c>
      <c r="P216" s="110">
        <f>IF(ER216="","",IF(ISNUMBER('Dvd Calendar'!$R$2180)=FALSE,"",IF((('Dvd Calendar'!$R$2182=TYPE1)*(TYPE1&lt;&gt;"")+('Dvd Calendar'!$R$2182=TYPE2)*(TYPE2&lt;&gt;"")+('Dvd Calendar'!$R$2182=TYPE3)*(TYPE3&lt;&gt;"")+('Dvd Calendar'!$R$2182=TYPE4)*(TYPE4&lt;&gt;"")+('Dvd Calendar'!$R$2182=SPECIAL_LBL)*(INC_SPECIALS="Y"))=0,"",'Dvd Calendar'!$R$2180)))</f>
        <v/>
      </c>
      <c r="Q216" s="110">
        <f>IF(ES216="","",IF(ISNUMBER('Dvd Calendar'!$S$2180)=FALSE,"",IF((('Dvd Calendar'!$S$2182=TYPE1)*(TYPE1&lt;&gt;"")+('Dvd Calendar'!$S$2182=TYPE2)*(TYPE2&lt;&gt;"")+('Dvd Calendar'!$S$2182=TYPE3)*(TYPE3&lt;&gt;"")+('Dvd Calendar'!$S$2182=TYPE4)*(TYPE4&lt;&gt;"")+('Dvd Calendar'!$S$2182=SPECIAL_LBL)*(INC_SPECIALS="Y"))=0,"",'Dvd Calendar'!$S$2180)))</f>
        <v/>
      </c>
      <c r="R216" s="110">
        <f>IF(ET216="","",IF(ISNUMBER('Dvd Calendar'!$T$2180)=FALSE,"",IF((('Dvd Calendar'!$T$2182=TYPE1)*(TYPE1&lt;&gt;"")+('Dvd Calendar'!$T$2182=TYPE2)*(TYPE2&lt;&gt;"")+('Dvd Calendar'!$T$2182=TYPE3)*(TYPE3&lt;&gt;"")+('Dvd Calendar'!$T$2182=TYPE4)*(TYPE4&lt;&gt;"")+('Dvd Calendar'!$T$2182=SPECIAL_LBL)*(INC_SPECIALS="Y"))=0,"",'Dvd Calendar'!$T$2180)))</f>
        <v/>
      </c>
      <c r="S216" s="110">
        <f>IF(EU216="","",IF(ISNUMBER('Dvd Calendar'!$U$2180)=FALSE,"",IF((('Dvd Calendar'!$U$2182=TYPE1)*(TYPE1&lt;&gt;"")+('Dvd Calendar'!$U$2182=TYPE2)*(TYPE2&lt;&gt;"")+('Dvd Calendar'!$U$2182=TYPE3)*(TYPE3&lt;&gt;"")+('Dvd Calendar'!$U$2182=TYPE4)*(TYPE4&lt;&gt;"")+('Dvd Calendar'!$U$2182=SPECIAL_LBL)*(INC_SPECIALS="Y"))=0,"",'Dvd Calendar'!$U$2180)))</f>
        <v/>
      </c>
      <c r="T216" s="110">
        <f>IF(EV216="","",IF(ISNUMBER('Dvd Calendar'!$V$2180)=FALSE,"",IF((('Dvd Calendar'!$V$2182=TYPE1)*(TYPE1&lt;&gt;"")+('Dvd Calendar'!$V$2182=TYPE2)*(TYPE2&lt;&gt;"")+('Dvd Calendar'!$V$2182=TYPE3)*(TYPE3&lt;&gt;"")+('Dvd Calendar'!$V$2182=TYPE4)*(TYPE4&lt;&gt;"")+('Dvd Calendar'!$V$2182=SPECIAL_LBL)*(INC_SPECIALS="Y"))=0,"",'Dvd Calendar'!$V$2180)))</f>
        <v/>
      </c>
      <c r="U216" s="110">
        <f>IF(EW216="","",IF(ISNUMBER('Dvd Calendar'!$W$2180)=FALSE,"",IF((('Dvd Calendar'!$W$2182=TYPE1)*(TYPE1&lt;&gt;"")+('Dvd Calendar'!$W$2182=TYPE2)*(TYPE2&lt;&gt;"")+('Dvd Calendar'!$W$2182=TYPE3)*(TYPE3&lt;&gt;"")+('Dvd Calendar'!$W$2182=TYPE4)*(TYPE4&lt;&gt;"")+('Dvd Calendar'!$W$2182=SPECIAL_LBL)*(INC_SPECIALS="Y"))=0,"",'Dvd Calendar'!$W$2180)))</f>
        <v/>
      </c>
      <c r="V216" s="110">
        <f>IF(EX216="","",IF(ISNUMBER('Dvd Calendar'!$X$2180)=FALSE,"",IF((('Dvd Calendar'!$X$2182=TYPE1)*(TYPE1&lt;&gt;"")+('Dvd Calendar'!$X$2182=TYPE2)*(TYPE2&lt;&gt;"")+('Dvd Calendar'!$X$2182=TYPE3)*(TYPE3&lt;&gt;"")+('Dvd Calendar'!$X$2182=TYPE4)*(TYPE4&lt;&gt;"")+('Dvd Calendar'!$X$2182=SPECIAL_LBL)*(INC_SPECIALS="Y"))=0,"",'Dvd Calendar'!$X$2180)))</f>
        <v/>
      </c>
      <c r="W216" s="110">
        <f>IF(EY216="","",IF(ISNUMBER('Dvd Calendar'!$Y$2180)=FALSE,"",IF((('Dvd Calendar'!$Y$2182=TYPE1)*(TYPE1&lt;&gt;"")+('Dvd Calendar'!$Y$2182=TYPE2)*(TYPE2&lt;&gt;"")+('Dvd Calendar'!$Y$2182=TYPE3)*(TYPE3&lt;&gt;"")+('Dvd Calendar'!$Y$2182=TYPE4)*(TYPE4&lt;&gt;"")+('Dvd Calendar'!$Y$2182=SPECIAL_LBL)*(INC_SPECIALS="Y"))=0,"",'Dvd Calendar'!$Y$2180)))</f>
        <v/>
      </c>
      <c r="X216" s="110">
        <f>IF(EZ216="","",IF(ISNUMBER('Dvd Calendar'!$Z$2180)=FALSE,"",IF((('Dvd Calendar'!$Z$2182=TYPE1)*(TYPE1&lt;&gt;"")+('Dvd Calendar'!$Z$2182=TYPE2)*(TYPE2&lt;&gt;"")+('Dvd Calendar'!$Z$2182=TYPE3)*(TYPE3&lt;&gt;"")+('Dvd Calendar'!$Z$2182=TYPE4)*(TYPE4&lt;&gt;"")+('Dvd Calendar'!$Z$2182=SPECIAL_LBL)*(INC_SPECIALS="Y"))=0,"",'Dvd Calendar'!$Z$2180)))</f>
        <v/>
      </c>
      <c r="Y216" s="110">
        <f>IF(FA216="","",IF(ISNUMBER('Dvd Calendar'!$AA$2180)=FALSE,"",IF((('Dvd Calendar'!$AA$2182=TYPE1)*(TYPE1&lt;&gt;"")+('Dvd Calendar'!$AA$2182=TYPE2)*(TYPE2&lt;&gt;"")+('Dvd Calendar'!$AA$2182=TYPE3)*(TYPE3&lt;&gt;"")+('Dvd Calendar'!$AA$2182=TYPE4)*(TYPE4&lt;&gt;"")+('Dvd Calendar'!$AA$2182=SPECIAL_LBL)*(INC_SPECIALS="Y"))=0,"",'Dvd Calendar'!$AA$2180)))</f>
        <v/>
      </c>
      <c r="Z216" s="110">
        <f>IF(FB216="","",IF(ISNUMBER('Dvd Calendar'!$AB$2180)=FALSE,"",IF((('Dvd Calendar'!$AB$2182=TYPE1)*(TYPE1&lt;&gt;"")+('Dvd Calendar'!$AB$2182=TYPE2)*(TYPE2&lt;&gt;"")+('Dvd Calendar'!$AB$2182=TYPE3)*(TYPE3&lt;&gt;"")+('Dvd Calendar'!$AB$2182=TYPE4)*(TYPE4&lt;&gt;"")+('Dvd Calendar'!$AB$2182=SPECIAL_LBL)*(INC_SPECIALS="Y"))=0,"",'Dvd Calendar'!$AB$2180)))</f>
        <v/>
      </c>
      <c r="AA216" s="110">
        <f>IF(FC216="","",IF(ISNUMBER('Dvd Calendar'!$AC$2180)=FALSE,"",IF((('Dvd Calendar'!$AC$2182=TYPE1)*(TYPE1&lt;&gt;"")+('Dvd Calendar'!$AC$2182=TYPE2)*(TYPE2&lt;&gt;"")+('Dvd Calendar'!$AC$2182=TYPE3)*(TYPE3&lt;&gt;"")+('Dvd Calendar'!$AC$2182=TYPE4)*(TYPE4&lt;&gt;"")+('Dvd Calendar'!$AC$2182=SPECIAL_LBL)*(INC_SPECIALS="Y"))=0,"",'Dvd Calendar'!$AC$2180)))</f>
        <v/>
      </c>
      <c r="AB216" s="110">
        <f>IF(FD216="","",IF(ISNUMBER('Dvd Calendar'!$AD$2180)=FALSE,"",IF((('Dvd Calendar'!$AD$2182=TYPE1)*(TYPE1&lt;&gt;"")+('Dvd Calendar'!$AD$2182=TYPE2)*(TYPE2&lt;&gt;"")+('Dvd Calendar'!$AD$2182=TYPE3)*(TYPE3&lt;&gt;"")+('Dvd Calendar'!$AD$2182=TYPE4)*(TYPE4&lt;&gt;"")+('Dvd Calendar'!$AD$2182=SPECIAL_LBL)*(INC_SPECIALS="Y"))=0,"",'Dvd Calendar'!$AD$2180)))</f>
        <v/>
      </c>
      <c r="AC216" s="110">
        <f>IF(FE216="","",IF(ISNUMBER('Dvd Calendar'!$AE$2180)=FALSE,"",IF((('Dvd Calendar'!$AE$2182=TYPE1)*(TYPE1&lt;&gt;"")+('Dvd Calendar'!$AE$2182=TYPE2)*(TYPE2&lt;&gt;"")+('Dvd Calendar'!$AE$2182=TYPE3)*(TYPE3&lt;&gt;"")+('Dvd Calendar'!$AE$2182=TYPE4)*(TYPE4&lt;&gt;"")+('Dvd Calendar'!$AE$2182=SPECIAL_LBL)*(INC_SPECIALS="Y"))=0,"",'Dvd Calendar'!$AE$2180)))</f>
        <v/>
      </c>
      <c r="AD216" s="110">
        <f>IF(FF216="","",IF(ISNUMBER('Dvd Calendar'!$AF$2180)=FALSE,"",IF((('Dvd Calendar'!$AF$2182=TYPE1)*(TYPE1&lt;&gt;"")+('Dvd Calendar'!$AF$2182=TYPE2)*(TYPE2&lt;&gt;"")+('Dvd Calendar'!$AF$2182=TYPE3)*(TYPE3&lt;&gt;"")+('Dvd Calendar'!$AF$2182=TYPE4)*(TYPE4&lt;&gt;"")+('Dvd Calendar'!$AF$2182=SPECIAL_LBL)*(INC_SPECIALS="Y"))=0,"",'Dvd Calendar'!$AF$2180)))</f>
        <v/>
      </c>
      <c r="AE216" s="110">
        <f>IF(FG216="","",IF(ISNUMBER('Dvd Calendar'!$AG$2180)=FALSE,"",IF((('Dvd Calendar'!$AG$2182=TYPE1)*(TYPE1&lt;&gt;"")+('Dvd Calendar'!$AG$2182=TYPE2)*(TYPE2&lt;&gt;"")+('Dvd Calendar'!$AG$2182=TYPE3)*(TYPE3&lt;&gt;"")+('Dvd Calendar'!$AG$2182=TYPE4)*(TYPE4&lt;&gt;"")+('Dvd Calendar'!$AG$2182=SPECIAL_LBL)*(INC_SPECIALS="Y"))=0,"",'Dvd Calendar'!$AG$2180)))</f>
        <v/>
      </c>
      <c r="AF216" s="110">
        <f>IF(FH216="","",IF(ISNUMBER('Dvd Calendar'!$AH$2180)=FALSE,"",IF((('Dvd Calendar'!$AH$2182=TYPE1)*(TYPE1&lt;&gt;"")+('Dvd Calendar'!$AH$2182=TYPE2)*(TYPE2&lt;&gt;"")+('Dvd Calendar'!$AH$2182=TYPE3)*(TYPE3&lt;&gt;"")+('Dvd Calendar'!$AH$2182=TYPE4)*(TYPE4&lt;&gt;"")+('Dvd Calendar'!$AH$2182=SPECIAL_LBL)*(INC_SPECIALS="Y"))=0,"",'Dvd Calendar'!$AH$2180)))</f>
        <v/>
      </c>
      <c r="AG216" s="110">
        <f>IF(FI216="","",IF(ISNUMBER('Dvd Calendar'!$AI$2180)=FALSE,"",IF((('Dvd Calendar'!$AI$2182=TYPE1)*(TYPE1&lt;&gt;"")+('Dvd Calendar'!$AI$2182=TYPE2)*(TYPE2&lt;&gt;"")+('Dvd Calendar'!$AI$2182=TYPE3)*(TYPE3&lt;&gt;"")+('Dvd Calendar'!$AI$2182=TYPE4)*(TYPE4&lt;&gt;"")+('Dvd Calendar'!$AI$2182=SPECIAL_LBL)*(INC_SPECIALS="Y"))=0,"",'Dvd Calendar'!$AI$2180)))</f>
        <v/>
      </c>
      <c r="AH216" s="110">
        <f>IF(FJ216="","",IF(ISNUMBER('Dvd Calendar'!$AJ$2180)=FALSE,"",IF((('Dvd Calendar'!$AJ$2182=TYPE1)*(TYPE1&lt;&gt;"")+('Dvd Calendar'!$AJ$2182=TYPE2)*(TYPE2&lt;&gt;"")+('Dvd Calendar'!$AJ$2182=TYPE3)*(TYPE3&lt;&gt;"")+('Dvd Calendar'!$AJ$2182=TYPE4)*(TYPE4&lt;&gt;"")+('Dvd Calendar'!$AJ$2182=SPECIAL_LBL)*(INC_SPECIALS="Y"))=0,"",'Dvd Calendar'!$AJ$2180)))</f>
        <v/>
      </c>
      <c r="AI216" s="110">
        <f>IF(FK216="","",IF(ISNUMBER('Dvd Calendar'!$AK$2180)=FALSE,"",IF((('Dvd Calendar'!$AK$2182=TYPE1)*(TYPE1&lt;&gt;"")+('Dvd Calendar'!$AK$2182=TYPE2)*(TYPE2&lt;&gt;"")+('Dvd Calendar'!$AK$2182=TYPE3)*(TYPE3&lt;&gt;"")+('Dvd Calendar'!$AK$2182=TYPE4)*(TYPE4&lt;&gt;"")+('Dvd Calendar'!$AK$2182=SPECIAL_LBL)*(INC_SPECIALS="Y"))=0,"",'Dvd Calendar'!$AK$2180)))</f>
        <v/>
      </c>
      <c r="AJ216" s="110">
        <f>IF(FL216="","",IF(ISNUMBER('Dvd Calendar'!$AL$2180)=FALSE,"",IF((('Dvd Calendar'!$AL$2182=TYPE1)*(TYPE1&lt;&gt;"")+('Dvd Calendar'!$AL$2182=TYPE2)*(TYPE2&lt;&gt;"")+('Dvd Calendar'!$AL$2182=TYPE3)*(TYPE3&lt;&gt;"")+('Dvd Calendar'!$AL$2182=TYPE4)*(TYPE4&lt;&gt;"")+('Dvd Calendar'!$AL$2182=SPECIAL_LBL)*(INC_SPECIALS="Y"))=0,"",'Dvd Calendar'!$AL$2180)))</f>
        <v/>
      </c>
      <c r="AK216" s="110">
        <f>IF(FM216="","",IF(ISNUMBER('Dvd Calendar'!$AM$2180)=FALSE,"",IF((('Dvd Calendar'!$AM$2182=TYPE1)*(TYPE1&lt;&gt;"")+('Dvd Calendar'!$AM$2182=TYPE2)*(TYPE2&lt;&gt;"")+('Dvd Calendar'!$AM$2182=TYPE3)*(TYPE3&lt;&gt;"")+('Dvd Calendar'!$AM$2182=TYPE4)*(TYPE4&lt;&gt;"")+('Dvd Calendar'!$AM$2182=SPECIAL_LBL)*(INC_SPECIALS="Y"))=0,"",'Dvd Calendar'!$AM$2180)))</f>
        <v/>
      </c>
      <c r="AL216" s="110">
        <f>IF(FN216="","",IF(ISNUMBER('Dvd Calendar'!$AN$2180)=FALSE,"",IF((('Dvd Calendar'!$AN$2182=TYPE1)*(TYPE1&lt;&gt;"")+('Dvd Calendar'!$AN$2182=TYPE2)*(TYPE2&lt;&gt;"")+('Dvd Calendar'!$AN$2182=TYPE3)*(TYPE3&lt;&gt;"")+('Dvd Calendar'!$AN$2182=TYPE4)*(TYPE4&lt;&gt;"")+('Dvd Calendar'!$AN$2182=SPECIAL_LBL)*(INC_SPECIALS="Y"))=0,"",'Dvd Calendar'!$AN$2180)))</f>
        <v/>
      </c>
      <c r="AM216" s="110">
        <f>IF(FO216="","",IF(ISNUMBER('Dvd Calendar'!$AO$2180)=FALSE,"",IF((('Dvd Calendar'!$AO$2182=TYPE1)*(TYPE1&lt;&gt;"")+('Dvd Calendar'!$AO$2182=TYPE2)*(TYPE2&lt;&gt;"")+('Dvd Calendar'!$AO$2182=TYPE3)*(TYPE3&lt;&gt;"")+('Dvd Calendar'!$AO$2182=TYPE4)*(TYPE4&lt;&gt;"")+('Dvd Calendar'!$AO$2182=SPECIAL_LBL)*(INC_SPECIALS="Y"))=0,"",'Dvd Calendar'!$AO$2180)))</f>
        <v/>
      </c>
      <c r="AN216" s="110">
        <f>IF(FP216="","",IF(ISNUMBER('Dvd Calendar'!$AP$2180)=FALSE,"",IF((('Dvd Calendar'!$AP$2182=TYPE1)*(TYPE1&lt;&gt;"")+('Dvd Calendar'!$AP$2182=TYPE2)*(TYPE2&lt;&gt;"")+('Dvd Calendar'!$AP$2182=TYPE3)*(TYPE3&lt;&gt;"")+('Dvd Calendar'!$AP$2182=TYPE4)*(TYPE4&lt;&gt;"")+('Dvd Calendar'!$AP$2182=SPECIAL_LBL)*(INC_SPECIALS="Y"))=0,"",'Dvd Calendar'!$AP$2180)))</f>
        <v/>
      </c>
      <c r="AO216" s="110">
        <f>IF(FQ216="","",IF(ISNUMBER('Dvd Calendar'!$AQ$2180)=FALSE,"",IF((('Dvd Calendar'!$AQ$2182=TYPE1)*(TYPE1&lt;&gt;"")+('Dvd Calendar'!$AQ$2182=TYPE2)*(TYPE2&lt;&gt;"")+('Dvd Calendar'!$AQ$2182=TYPE3)*(TYPE3&lt;&gt;"")+('Dvd Calendar'!$AQ$2182=TYPE4)*(TYPE4&lt;&gt;"")+('Dvd Calendar'!$AQ$2182=SPECIAL_LBL)*(INC_SPECIALS="Y"))=0,"",'Dvd Calendar'!$AQ$2180)))</f>
        <v/>
      </c>
      <c r="AP216" s="110">
        <f>IF(FR216="","",IF(ISNUMBER('Dvd Calendar'!$AR$2180)=FALSE,"",IF((('Dvd Calendar'!$AR$2182=TYPE1)*(TYPE1&lt;&gt;"")+('Dvd Calendar'!$AR$2182=TYPE2)*(TYPE2&lt;&gt;"")+('Dvd Calendar'!$AR$2182=TYPE3)*(TYPE3&lt;&gt;"")+('Dvd Calendar'!$AR$2182=TYPE4)*(TYPE4&lt;&gt;"")+('Dvd Calendar'!$AR$2182=SPECIAL_LBL)*(INC_SPECIALS="Y"))=0,"",'Dvd Calendar'!$AR$2180)))</f>
        <v/>
      </c>
      <c r="AQ216" s="110">
        <f>IF(FS216="","",IF(ISNUMBER('Dvd Calendar'!$E$2185)=FALSE,"",'Dvd Calendar'!$E$2185))</f>
        <v/>
      </c>
      <c r="AR216" s="110">
        <f>IF(FT216="","",IF(ISNUMBER('Dvd Calendar'!$F$2185)=FALSE,"",'Dvd Calendar'!$F$2185))</f>
        <v/>
      </c>
      <c r="AS216" s="110">
        <f>IF(FU216="","",IF(ISNUMBER('Dvd Calendar'!$G$2185)=FALSE,"",'Dvd Calendar'!$G$2185))</f>
        <v/>
      </c>
      <c r="AT216" s="110">
        <f>IF(FV216="","",IF(ISNUMBER('Dvd Calendar'!$H$2185)=FALSE,"",'Dvd Calendar'!$H$2185))</f>
        <v/>
      </c>
      <c r="AU216" s="110">
        <f>IF(FW216="","",IF(ISNUMBER('Dvd Calendar'!$I$2185)=FALSE,"",'Dvd Calendar'!$I$2185))</f>
        <v/>
      </c>
      <c r="AV216" s="110">
        <f>IF(FX216="","",IF(ISNUMBER('Dvd Calendar'!$J$2185)=FALSE,"",'Dvd Calendar'!$J$2185))</f>
        <v/>
      </c>
      <c r="AW216" s="110">
        <f>IF(FY216="","",IF(ISNUMBER('Dvd Calendar'!$K$2185)=FALSE,"",'Dvd Calendar'!$K$2185))</f>
        <v/>
      </c>
      <c r="AX216" s="110">
        <f>IF(FZ216="","",IF(ISNUMBER('Dvd Calendar'!$L$2185)=FALSE,"",'Dvd Calendar'!$L$2185))</f>
        <v/>
      </c>
      <c r="AY216" s="110">
        <f>IF(GA216="","",IF(ISNUMBER('Dvd Calendar'!$M$2185)=FALSE,"",'Dvd Calendar'!$M$2185))</f>
        <v/>
      </c>
      <c r="AZ216" s="110">
        <f>IF(GB216="","",IF(ISNUMBER('Dvd Calendar'!$N$2185)=FALSE,"",'Dvd Calendar'!$N$2185))</f>
        <v/>
      </c>
      <c r="BA216" s="110">
        <f>IF(GC216="","",IF(ISNUMBER('Dvd Calendar'!$O$2185)=FALSE,"",'Dvd Calendar'!$O$2185))</f>
        <v/>
      </c>
      <c r="BB216" s="110">
        <f>IF(GD216="","",IF(ISNUMBER('Dvd Calendar'!$P$2185)=FALSE,"",'Dvd Calendar'!$P$2185))</f>
        <v/>
      </c>
      <c r="BC216" s="110">
        <f>IF(GE216="","",IF(ISNUMBER('Dvd Calendar'!$Q$2185)=FALSE,"",'Dvd Calendar'!$Q$2185))</f>
        <v/>
      </c>
      <c r="BD216" s="110">
        <f>IF(GF216="","",IF(ISNUMBER('Dvd Calendar'!$R$2185)=FALSE,"",'Dvd Calendar'!$R$2185))</f>
        <v/>
      </c>
      <c r="BE216" s="110">
        <f>IF(GG216="","",IF(ISNUMBER('Dvd Calendar'!$S$2185)=FALSE,"",'Dvd Calendar'!$S$2185))</f>
        <v/>
      </c>
      <c r="BF216" s="110">
        <f>IF(GH216="","",IF(ISNUMBER('Dvd Calendar'!$T$2185)=FALSE,"",'Dvd Calendar'!$T$2185))</f>
        <v/>
      </c>
      <c r="BG216" s="110">
        <f>IF(GI216="","",IF(ISNUMBER('Dvd Calendar'!$U$2185)=FALSE,"",'Dvd Calendar'!$U$2185))</f>
        <v/>
      </c>
      <c r="BH216" s="110">
        <f>IF(GJ216="","",IF(ISNUMBER('Dvd Calendar'!$V$2185)=FALSE,"",'Dvd Calendar'!$V$2185))</f>
        <v/>
      </c>
      <c r="BI216" s="110">
        <f>IF(GK216="","",IF(ISNUMBER('Dvd Calendar'!$W$2185)=FALSE,"",'Dvd Calendar'!$W$2185))</f>
        <v/>
      </c>
      <c r="BJ216" s="110">
        <f>IF(GL216="","",IF(ISNUMBER('Dvd Calendar'!$X$2185)=FALSE,"",'Dvd Calendar'!$X$2185))</f>
        <v/>
      </c>
      <c r="BK216" s="110">
        <f>IF(GM216="","",IF(ISNUMBER('Dvd Calendar'!$Y$2185)=FALSE,"",'Dvd Calendar'!$Y$2185))</f>
        <v/>
      </c>
      <c r="BL216" s="110">
        <f>IF(GN216="","",IF(ISNUMBER('Dvd Calendar'!$Z$2185)=FALSE,"",'Dvd Calendar'!$Z$2185))</f>
        <v/>
      </c>
      <c r="BM216" s="110">
        <f>IF(GO216="","",IF(ISNUMBER('Dvd Calendar'!$AA$2185)=FALSE,"",'Dvd Calendar'!$AA$2185))</f>
        <v/>
      </c>
      <c r="BN216" s="110">
        <f>IF(GP216="","",IF(ISNUMBER('Dvd Calendar'!$AB$2185)=FALSE,"",'Dvd Calendar'!$AB$2185))</f>
        <v/>
      </c>
      <c r="BO216" s="110">
        <f>IF(GQ216="","",IF(ISNUMBER('Dvd Calendar'!$AC$2185)=FALSE,"",'Dvd Calendar'!$AC$2185))</f>
        <v/>
      </c>
      <c r="BQ216" s="110">
        <f>IF(C216="","",IFERROR(C216*HSCEI!$B$63*HSCEI!$G$63/HSCEI!$B$3,""))</f>
        <v/>
      </c>
      <c r="BR216" s="110">
        <f>IF(D216="","",IFERROR(D216*HSCEI!$B$63*HSCEI!$G$63/HSCEI!$B$3,""))</f>
        <v/>
      </c>
      <c r="BS216" s="110">
        <f>IF(E216="","",IFERROR(E216*HSCEI!$B$63*HSCEI!$G$63/HSCEI!$B$3,""))</f>
        <v/>
      </c>
      <c r="BT216" s="110">
        <f>IF(F216="","",IFERROR(F216*HSCEI!$B$63*HSCEI!$G$63/HSCEI!$B$3,""))</f>
        <v/>
      </c>
      <c r="BU216" s="110">
        <f>IF(G216="","",IFERROR(G216*HSCEI!$B$63*HSCEI!$G$63/HSCEI!$B$3,""))</f>
        <v/>
      </c>
      <c r="BV216" s="110">
        <f>IF(H216="","",IFERROR(H216*HSCEI!$B$63*HSCEI!$G$63/HSCEI!$B$3,""))</f>
        <v/>
      </c>
      <c r="BW216" s="110">
        <f>IF(I216="","",IFERROR(I216*HSCEI!$B$63*HSCEI!$G$63/HSCEI!$B$3,""))</f>
        <v/>
      </c>
      <c r="BX216" s="110">
        <f>IF(J216="","",IFERROR(J216*HSCEI!$B$63*HSCEI!$G$63/HSCEI!$B$3,""))</f>
        <v/>
      </c>
      <c r="BY216" s="110">
        <f>IF(K216="","",IFERROR(K216*HSCEI!$B$63*HSCEI!$G$63/HSCEI!$B$3,""))</f>
        <v/>
      </c>
      <c r="BZ216" s="110">
        <f>IF(L216="","",IFERROR(L216*HSCEI!$B$63*HSCEI!$G$63/HSCEI!$B$3,""))</f>
        <v/>
      </c>
      <c r="CA216" s="110">
        <f>IF(M216="","",IFERROR(M216*HSCEI!$B$63*HSCEI!$G$63/HSCEI!$B$3,""))</f>
        <v/>
      </c>
      <c r="CB216" s="110">
        <f>IF(N216="","",IFERROR(N216*HSCEI!$B$63*HSCEI!$G$63/HSCEI!$B$3,""))</f>
        <v/>
      </c>
      <c r="CC216" s="110">
        <f>IF(O216="","",IFERROR(O216*HSCEI!$B$63*HSCEI!$G$63/HSCEI!$B$3,""))</f>
        <v/>
      </c>
      <c r="CD216" s="110">
        <f>IF(P216="","",IFERROR(P216*HSCEI!$B$63*HSCEI!$G$63/HSCEI!$B$3,""))</f>
        <v/>
      </c>
      <c r="CE216" s="110">
        <f>IF(Q216="","",IFERROR(Q216*HSCEI!$B$63*HSCEI!$G$63/HSCEI!$B$3,""))</f>
        <v/>
      </c>
      <c r="CF216" s="110">
        <f>IF(R216="","",IFERROR(R216*HSCEI!$B$63*HSCEI!$G$63/HSCEI!$B$3,""))</f>
        <v/>
      </c>
      <c r="CG216" s="110">
        <f>IF(S216="","",IFERROR(S216*HSCEI!$B$63*HSCEI!$G$63/HSCEI!$B$3,""))</f>
        <v/>
      </c>
      <c r="CH216" s="110">
        <f>IF(T216="","",IFERROR(T216*HSCEI!$B$63*HSCEI!$G$63/HSCEI!$B$3,""))</f>
        <v/>
      </c>
      <c r="CI216" s="110">
        <f>IF(U216="","",IFERROR(U216*HSCEI!$B$63*HSCEI!$G$63/HSCEI!$B$3,""))</f>
        <v/>
      </c>
      <c r="CJ216" s="110">
        <f>IF(V216="","",IFERROR(V216*HSCEI!$B$63*HSCEI!$G$63/HSCEI!$B$3,""))</f>
        <v/>
      </c>
      <c r="CK216" s="110">
        <f>IF(W216="","",IFERROR(W216*HSCEI!$B$63*HSCEI!$G$63/HSCEI!$B$3,""))</f>
        <v/>
      </c>
      <c r="CL216" s="110">
        <f>IF(X216="","",IFERROR(X216*HSCEI!$B$63*HSCEI!$G$63/HSCEI!$B$3,""))</f>
        <v/>
      </c>
      <c r="CM216" s="110">
        <f>IF(Y216="","",IFERROR(Y216*HSCEI!$B$63*HSCEI!$G$63/HSCEI!$B$3,""))</f>
        <v/>
      </c>
      <c r="CN216" s="110">
        <f>IF(Z216="","",IFERROR(Z216*HSCEI!$B$63*HSCEI!$G$63/HSCEI!$B$3,""))</f>
        <v/>
      </c>
      <c r="CO216" s="110">
        <f>IF(AA216="","",IFERROR(AA216*HSCEI!$B$63*HSCEI!$G$63/HSCEI!$B$3,""))</f>
        <v/>
      </c>
      <c r="CP216" s="110">
        <f>IF(AB216="","",IFERROR(AB216*HSCEI!$B$63*HSCEI!$G$63/HSCEI!$B$3,""))</f>
        <v/>
      </c>
      <c r="CQ216" s="110">
        <f>IF(AC216="","",IFERROR(AC216*HSCEI!$B$63*HSCEI!$G$63/HSCEI!$B$3,""))</f>
        <v/>
      </c>
      <c r="CR216" s="110">
        <f>IF(AD216="","",IFERROR(AD216*HSCEI!$B$63*HSCEI!$G$63/HSCEI!$B$3,""))</f>
        <v/>
      </c>
      <c r="CS216" s="110">
        <f>IF(AE216="","",IFERROR(AE216*HSCEI!$B$63*HSCEI!$G$63/HSCEI!$B$3,""))</f>
        <v/>
      </c>
      <c r="CT216" s="110">
        <f>IF(AF216="","",IFERROR(AF216*HSCEI!$B$63*HSCEI!$G$63/HSCEI!$B$3,""))</f>
        <v/>
      </c>
      <c r="CU216" s="110">
        <f>IF(AG216="","",IFERROR(AG216*HSCEI!$B$63*HSCEI!$G$63/HSCEI!$B$3,""))</f>
        <v/>
      </c>
      <c r="CV216" s="110">
        <f>IF(AH216="","",IFERROR(AH216*HSCEI!$B$63*HSCEI!$G$63/HSCEI!$B$3,""))</f>
        <v/>
      </c>
      <c r="CW216" s="110">
        <f>IF(AI216="","",IFERROR(AI216*HSCEI!$B$63*HSCEI!$G$63/HSCEI!$B$3,""))</f>
        <v/>
      </c>
      <c r="CX216" s="110">
        <f>IF(AJ216="","",IFERROR(AJ216*HSCEI!$B$63*HSCEI!$G$63/HSCEI!$B$3,""))</f>
        <v/>
      </c>
      <c r="CY216" s="110">
        <f>IF(AK216="","",IFERROR(AK216*HSCEI!$B$63*HSCEI!$G$63/HSCEI!$B$3,""))</f>
        <v/>
      </c>
      <c r="CZ216" s="110">
        <f>IF(AL216="","",IFERROR(AL216*HSCEI!$B$63*HSCEI!$G$63/HSCEI!$B$3,""))</f>
        <v/>
      </c>
      <c r="DA216" s="110">
        <f>IF(AM216="","",IFERROR(AM216*HSCEI!$B$63*HSCEI!$G$63/HSCEI!$B$3,""))</f>
        <v/>
      </c>
      <c r="DB216" s="110">
        <f>IF(AN216="","",IFERROR(AN216*HSCEI!$B$63*HSCEI!$G$63/HSCEI!$B$3,""))</f>
        <v/>
      </c>
      <c r="DC216" s="110">
        <f>IF(AO216="","",IFERROR(AO216*HSCEI!$B$63*HSCEI!$G$63/HSCEI!$B$3,""))</f>
        <v/>
      </c>
      <c r="DD216" s="110">
        <f>IF(AP216="","",IFERROR(AP216*HSCEI!$B$63*HSCEI!$G$63/HSCEI!$B$3,""))</f>
        <v/>
      </c>
      <c r="DE216" s="110">
        <f>IF(AQ216="","",IFERROR(AQ216*HSCEI!$B$63*HSCEI!$G$63/HSCEI!$B$3,""))</f>
        <v/>
      </c>
      <c r="DF216" s="110">
        <f>IF(AR216="","",IFERROR(AR216*HSCEI!$B$63*HSCEI!$G$63/HSCEI!$B$3,""))</f>
        <v/>
      </c>
      <c r="DG216" s="110">
        <f>IF(AS216="","",IFERROR(AS216*HSCEI!$B$63*HSCEI!$G$63/HSCEI!$B$3,""))</f>
        <v/>
      </c>
      <c r="DH216" s="110">
        <f>IF(AT216="","",IFERROR(AT216*HSCEI!$B$63*HSCEI!$G$63/HSCEI!$B$3,""))</f>
        <v/>
      </c>
      <c r="DI216" s="110">
        <f>IF(AU216="","",IFERROR(AU216*HSCEI!$B$63*HSCEI!$G$63/HSCEI!$B$3,""))</f>
        <v/>
      </c>
      <c r="DJ216" s="110">
        <f>IF(AV216="","",IFERROR(AV216*HSCEI!$B$63*HSCEI!$G$63/HSCEI!$B$3,""))</f>
        <v/>
      </c>
      <c r="DK216" s="110">
        <f>IF(AW216="","",IFERROR(AW216*HSCEI!$B$63*HSCEI!$G$63/HSCEI!$B$3,""))</f>
        <v/>
      </c>
      <c r="DL216" s="110">
        <f>IF(AX216="","",IFERROR(AX216*HSCEI!$B$63*HSCEI!$G$63/HSCEI!$B$3,""))</f>
        <v/>
      </c>
      <c r="DM216" s="110">
        <f>IF(AY216="","",IFERROR(AY216*HSCEI!$B$63*HSCEI!$G$63/HSCEI!$B$3,""))</f>
        <v/>
      </c>
      <c r="DN216" s="110">
        <f>IF(AZ216="","",IFERROR(AZ216*HSCEI!$B$63*HSCEI!$G$63/HSCEI!$B$3,""))</f>
        <v/>
      </c>
      <c r="DO216" s="110">
        <f>IF(BA216="","",IFERROR(BA216*HSCEI!$B$63*HSCEI!$G$63/HSCEI!$B$3,""))</f>
        <v/>
      </c>
      <c r="DP216" s="110">
        <f>IF(BB216="","",IFERROR(BB216*HSCEI!$B$63*HSCEI!$G$63/HSCEI!$B$3,""))</f>
        <v/>
      </c>
      <c r="DQ216" s="110">
        <f>IF(BC216="","",IFERROR(BC216*HSCEI!$B$63*HSCEI!$G$63/HSCEI!$B$3,""))</f>
        <v/>
      </c>
      <c r="DR216" s="110">
        <f>IF(BD216="","",IFERROR(BD216*HSCEI!$B$63*HSCEI!$G$63/HSCEI!$B$3,""))</f>
        <v/>
      </c>
      <c r="DS216" s="110">
        <f>IF(BE216="","",IFERROR(BE216*HSCEI!$B$63*HSCEI!$G$63/HSCEI!$B$3,""))</f>
        <v/>
      </c>
      <c r="DT216" s="110">
        <f>IF(BF216="","",IFERROR(BF216*HSCEI!$B$63*HSCEI!$G$63/HSCEI!$B$3,""))</f>
        <v/>
      </c>
      <c r="DU216" s="110">
        <f>IF(BG216="","",IFERROR(BG216*HSCEI!$B$63*HSCEI!$G$63/HSCEI!$B$3,""))</f>
        <v/>
      </c>
      <c r="DV216" s="110">
        <f>IF(BH216="","",IFERROR(BH216*HSCEI!$B$63*HSCEI!$G$63/HSCEI!$B$3,""))</f>
        <v/>
      </c>
      <c r="DW216" s="110">
        <f>IF(BI216="","",IFERROR(BI216*HSCEI!$B$63*HSCEI!$G$63/HSCEI!$B$3,""))</f>
        <v/>
      </c>
      <c r="DX216" s="110">
        <f>IF(BJ216="","",IFERROR(BJ216*HSCEI!$B$63*HSCEI!$G$63/HSCEI!$B$3,""))</f>
        <v/>
      </c>
      <c r="DY216" s="110">
        <f>IF(BK216="","",IFERROR(BK216*HSCEI!$B$63*HSCEI!$G$63/HSCEI!$B$3,""))</f>
        <v/>
      </c>
      <c r="DZ216" s="110">
        <f>IF(BL216="","",IFERROR(BL216*HSCEI!$B$63*HSCEI!$G$63/HSCEI!$B$3,""))</f>
        <v/>
      </c>
      <c r="EA216" s="110">
        <f>IF(BM216="","",IFERROR(BM216*HSCEI!$B$63*HSCEI!$G$63/HSCEI!$B$3,""))</f>
        <v/>
      </c>
      <c r="EB216" s="110">
        <f>IF(BN216="","",IFERROR(BN216*HSCEI!$B$63*HSCEI!$G$63/HSCEI!$B$3,""))</f>
        <v/>
      </c>
      <c r="EC216" s="110">
        <f>IF(BO216="","",IFERROR(BO216*HSCEI!$B$63*HSCEI!$G$63/HSCEI!$B$3,""))</f>
        <v/>
      </c>
      <c r="EE216" s="39">
        <f>IF(N('Dvd Calendar'!$E$2177)=0,"",IF(('Dvd Calendar'!$E$2177&gt;=GRID_FROM)*('Dvd Calendar'!$E$2177&lt;=GRID_TO)*((('Dvd Calendar'!$E$2177&lt;=VAL_DATE)+(COUNTIF('Dvd Calendar'!$E$2184:$AR$2184,'Dvd Calendar'!$E$2177)=0))&gt;0)=0,"",'Dvd Calendar'!$E$2177*1000000000+ISNUMBER('Dvd Calendar'!$E$2180)*100000000+('Dvd Calendar'!$E$2182=SPECIAL_LBL)*10000000+(N('Dvd Calendar'!$E$2176)&gt;0)*(N('Dvd Calendar'!$E$2176)&lt;=VAL_SERIAL)*1000000+57*1000+1))</f>
        <v/>
      </c>
      <c r="EF216" s="39">
        <f>IF(N('Dvd Calendar'!$F$2177)=0,"",IF(('Dvd Calendar'!$F$2177&gt;=GRID_FROM)*('Dvd Calendar'!$F$2177&lt;=GRID_TO)*((('Dvd Calendar'!$F$2177&lt;=VAL_DATE)+(COUNTIF('Dvd Calendar'!$E$2184:$AR$2184,'Dvd Calendar'!$F$2177)=0))&gt;0)=0,"",'Dvd Calendar'!$F$2177*1000000000+ISNUMBER('Dvd Calendar'!$F$2180)*100000000+('Dvd Calendar'!$F$2182=SPECIAL_LBL)*10000000+(N('Dvd Calendar'!$F$2176)&gt;0)*(N('Dvd Calendar'!$F$2176)&lt;=VAL_SERIAL)*1000000+57*1000+2))</f>
        <v/>
      </c>
      <c r="EG216" s="39">
        <f>IF(N('Dvd Calendar'!$G$2177)=0,"",IF(('Dvd Calendar'!$G$2177&gt;=GRID_FROM)*('Dvd Calendar'!$G$2177&lt;=GRID_TO)*((('Dvd Calendar'!$G$2177&lt;=VAL_DATE)+(COUNTIF('Dvd Calendar'!$E$2184:$AR$2184,'Dvd Calendar'!$G$2177)=0))&gt;0)=0,"",'Dvd Calendar'!$G$2177*1000000000+ISNUMBER('Dvd Calendar'!$G$2180)*100000000+('Dvd Calendar'!$G$2182=SPECIAL_LBL)*10000000+(N('Dvd Calendar'!$G$2176)&gt;0)*(N('Dvd Calendar'!$G$2176)&lt;=VAL_SERIAL)*1000000+57*1000+3))</f>
        <v/>
      </c>
      <c r="EH216" s="39">
        <f>IF(N('Dvd Calendar'!$H$2177)=0,"",IF(('Dvd Calendar'!$H$2177&gt;=GRID_FROM)*('Dvd Calendar'!$H$2177&lt;=GRID_TO)*((('Dvd Calendar'!$H$2177&lt;=VAL_DATE)+(COUNTIF('Dvd Calendar'!$E$2184:$AR$2184,'Dvd Calendar'!$H$2177)=0))&gt;0)=0,"",'Dvd Calendar'!$H$2177*1000000000+ISNUMBER('Dvd Calendar'!$H$2180)*100000000+('Dvd Calendar'!$H$2182=SPECIAL_LBL)*10000000+(N('Dvd Calendar'!$H$2176)&gt;0)*(N('Dvd Calendar'!$H$2176)&lt;=VAL_SERIAL)*1000000+57*1000+4))</f>
        <v/>
      </c>
      <c r="EI216" s="39">
        <f>IF(N('Dvd Calendar'!$I$2177)=0,"",IF(('Dvd Calendar'!$I$2177&gt;=GRID_FROM)*('Dvd Calendar'!$I$2177&lt;=GRID_TO)*((('Dvd Calendar'!$I$2177&lt;=VAL_DATE)+(COUNTIF('Dvd Calendar'!$E$2184:$AR$2184,'Dvd Calendar'!$I$2177)=0))&gt;0)=0,"",'Dvd Calendar'!$I$2177*1000000000+ISNUMBER('Dvd Calendar'!$I$2180)*100000000+('Dvd Calendar'!$I$2182=SPECIAL_LBL)*10000000+(N('Dvd Calendar'!$I$2176)&gt;0)*(N('Dvd Calendar'!$I$2176)&lt;=VAL_SERIAL)*1000000+57*1000+5))</f>
        <v/>
      </c>
      <c r="EJ216" s="39">
        <f>IF(N('Dvd Calendar'!$J$2177)=0,"",IF(('Dvd Calendar'!$J$2177&gt;=GRID_FROM)*('Dvd Calendar'!$J$2177&lt;=GRID_TO)*((('Dvd Calendar'!$J$2177&lt;=VAL_DATE)+(COUNTIF('Dvd Calendar'!$E$2184:$AR$2184,'Dvd Calendar'!$J$2177)=0))&gt;0)=0,"",'Dvd Calendar'!$J$2177*1000000000+ISNUMBER('Dvd Calendar'!$J$2180)*100000000+('Dvd Calendar'!$J$2182=SPECIAL_LBL)*10000000+(N('Dvd Calendar'!$J$2176)&gt;0)*(N('Dvd Calendar'!$J$2176)&lt;=VAL_SERIAL)*1000000+57*1000+6))</f>
        <v/>
      </c>
      <c r="EK216" s="39">
        <f>IF(N('Dvd Calendar'!$K$2177)=0,"",IF(('Dvd Calendar'!$K$2177&gt;=GRID_FROM)*('Dvd Calendar'!$K$2177&lt;=GRID_TO)*((('Dvd Calendar'!$K$2177&lt;=VAL_DATE)+(COUNTIF('Dvd Calendar'!$E$2184:$AR$2184,'Dvd Calendar'!$K$2177)=0))&gt;0)=0,"",'Dvd Calendar'!$K$2177*1000000000+ISNUMBER('Dvd Calendar'!$K$2180)*100000000+('Dvd Calendar'!$K$2182=SPECIAL_LBL)*10000000+(N('Dvd Calendar'!$K$2176)&gt;0)*(N('Dvd Calendar'!$K$2176)&lt;=VAL_SERIAL)*1000000+57*1000+7))</f>
        <v/>
      </c>
      <c r="EL216" s="39">
        <f>IF(N('Dvd Calendar'!$L$2177)=0,"",IF(('Dvd Calendar'!$L$2177&gt;=GRID_FROM)*('Dvd Calendar'!$L$2177&lt;=GRID_TO)*((('Dvd Calendar'!$L$2177&lt;=VAL_DATE)+(COUNTIF('Dvd Calendar'!$E$2184:$AR$2184,'Dvd Calendar'!$L$2177)=0))&gt;0)=0,"",'Dvd Calendar'!$L$2177*1000000000+ISNUMBER('Dvd Calendar'!$L$2180)*100000000+('Dvd Calendar'!$L$2182=SPECIAL_LBL)*10000000+(N('Dvd Calendar'!$L$2176)&gt;0)*(N('Dvd Calendar'!$L$2176)&lt;=VAL_SERIAL)*1000000+57*1000+8))</f>
        <v/>
      </c>
      <c r="EM216" s="39">
        <f>IF(N('Dvd Calendar'!$M$2177)=0,"",IF(('Dvd Calendar'!$M$2177&gt;=GRID_FROM)*('Dvd Calendar'!$M$2177&lt;=GRID_TO)*((('Dvd Calendar'!$M$2177&lt;=VAL_DATE)+(COUNTIF('Dvd Calendar'!$E$2184:$AR$2184,'Dvd Calendar'!$M$2177)=0))&gt;0)=0,"",'Dvd Calendar'!$M$2177*1000000000+ISNUMBER('Dvd Calendar'!$M$2180)*100000000+('Dvd Calendar'!$M$2182=SPECIAL_LBL)*10000000+(N('Dvd Calendar'!$M$2176)&gt;0)*(N('Dvd Calendar'!$M$2176)&lt;=VAL_SERIAL)*1000000+57*1000+9))</f>
        <v/>
      </c>
      <c r="EN216" s="39">
        <f>IF(N('Dvd Calendar'!$N$2177)=0,"",IF(('Dvd Calendar'!$N$2177&gt;=GRID_FROM)*('Dvd Calendar'!$N$2177&lt;=GRID_TO)*((('Dvd Calendar'!$N$2177&lt;=VAL_DATE)+(COUNTIF('Dvd Calendar'!$E$2184:$AR$2184,'Dvd Calendar'!$N$2177)=0))&gt;0)=0,"",'Dvd Calendar'!$N$2177*1000000000+ISNUMBER('Dvd Calendar'!$N$2180)*100000000+('Dvd Calendar'!$N$2182=SPECIAL_LBL)*10000000+(N('Dvd Calendar'!$N$2176)&gt;0)*(N('Dvd Calendar'!$N$2176)&lt;=VAL_SERIAL)*1000000+57*1000+10))</f>
        <v/>
      </c>
      <c r="EO216" s="39">
        <f>IF(N('Dvd Calendar'!$O$2177)=0,"",IF(('Dvd Calendar'!$O$2177&gt;=GRID_FROM)*('Dvd Calendar'!$O$2177&lt;=GRID_TO)*((('Dvd Calendar'!$O$2177&lt;=VAL_DATE)+(COUNTIF('Dvd Calendar'!$E$2184:$AR$2184,'Dvd Calendar'!$O$2177)=0))&gt;0)=0,"",'Dvd Calendar'!$O$2177*1000000000+ISNUMBER('Dvd Calendar'!$O$2180)*100000000+('Dvd Calendar'!$O$2182=SPECIAL_LBL)*10000000+(N('Dvd Calendar'!$O$2176)&gt;0)*(N('Dvd Calendar'!$O$2176)&lt;=VAL_SERIAL)*1000000+57*1000+11))</f>
        <v/>
      </c>
      <c r="EP216" s="39">
        <f>IF(N('Dvd Calendar'!$P$2177)=0,"",IF(('Dvd Calendar'!$P$2177&gt;=GRID_FROM)*('Dvd Calendar'!$P$2177&lt;=GRID_TO)*((('Dvd Calendar'!$P$2177&lt;=VAL_DATE)+(COUNTIF('Dvd Calendar'!$E$2184:$AR$2184,'Dvd Calendar'!$P$2177)=0))&gt;0)=0,"",'Dvd Calendar'!$P$2177*1000000000+ISNUMBER('Dvd Calendar'!$P$2180)*100000000+('Dvd Calendar'!$P$2182=SPECIAL_LBL)*10000000+(N('Dvd Calendar'!$P$2176)&gt;0)*(N('Dvd Calendar'!$P$2176)&lt;=VAL_SERIAL)*1000000+57*1000+12))</f>
        <v/>
      </c>
      <c r="EQ216" s="39">
        <f>IF(N('Dvd Calendar'!$Q$2177)=0,"",IF(('Dvd Calendar'!$Q$2177&gt;=GRID_FROM)*('Dvd Calendar'!$Q$2177&lt;=GRID_TO)*((('Dvd Calendar'!$Q$2177&lt;=VAL_DATE)+(COUNTIF('Dvd Calendar'!$E$2184:$AR$2184,'Dvd Calendar'!$Q$2177)=0))&gt;0)=0,"",'Dvd Calendar'!$Q$2177*1000000000+ISNUMBER('Dvd Calendar'!$Q$2180)*100000000+('Dvd Calendar'!$Q$2182=SPECIAL_LBL)*10000000+(N('Dvd Calendar'!$Q$2176)&gt;0)*(N('Dvd Calendar'!$Q$2176)&lt;=VAL_SERIAL)*1000000+57*1000+13))</f>
        <v/>
      </c>
      <c r="ER216" s="39">
        <f>IF(N('Dvd Calendar'!$R$2177)=0,"",IF(('Dvd Calendar'!$R$2177&gt;=GRID_FROM)*('Dvd Calendar'!$R$2177&lt;=GRID_TO)*((('Dvd Calendar'!$R$2177&lt;=VAL_DATE)+(COUNTIF('Dvd Calendar'!$E$2184:$AR$2184,'Dvd Calendar'!$R$2177)=0))&gt;0)=0,"",'Dvd Calendar'!$R$2177*1000000000+ISNUMBER('Dvd Calendar'!$R$2180)*100000000+('Dvd Calendar'!$R$2182=SPECIAL_LBL)*10000000+(N('Dvd Calendar'!$R$2176)&gt;0)*(N('Dvd Calendar'!$R$2176)&lt;=VAL_SERIAL)*1000000+57*1000+14))</f>
        <v/>
      </c>
      <c r="ES216" s="39">
        <f>IF(N('Dvd Calendar'!$S$2177)=0,"",IF(('Dvd Calendar'!$S$2177&gt;=GRID_FROM)*('Dvd Calendar'!$S$2177&lt;=GRID_TO)*((('Dvd Calendar'!$S$2177&lt;=VAL_DATE)+(COUNTIF('Dvd Calendar'!$E$2184:$AR$2184,'Dvd Calendar'!$S$2177)=0))&gt;0)=0,"",'Dvd Calendar'!$S$2177*1000000000+ISNUMBER('Dvd Calendar'!$S$2180)*100000000+('Dvd Calendar'!$S$2182=SPECIAL_LBL)*10000000+(N('Dvd Calendar'!$S$2176)&gt;0)*(N('Dvd Calendar'!$S$2176)&lt;=VAL_SERIAL)*1000000+57*1000+15))</f>
        <v/>
      </c>
      <c r="ET216" s="39">
        <f>IF(N('Dvd Calendar'!$T$2177)=0,"",IF(('Dvd Calendar'!$T$2177&gt;=GRID_FROM)*('Dvd Calendar'!$T$2177&lt;=GRID_TO)*((('Dvd Calendar'!$T$2177&lt;=VAL_DATE)+(COUNTIF('Dvd Calendar'!$E$2184:$AR$2184,'Dvd Calendar'!$T$2177)=0))&gt;0)=0,"",'Dvd Calendar'!$T$2177*1000000000+ISNUMBER('Dvd Calendar'!$T$2180)*100000000+('Dvd Calendar'!$T$2182=SPECIAL_LBL)*10000000+(N('Dvd Calendar'!$T$2176)&gt;0)*(N('Dvd Calendar'!$T$2176)&lt;=VAL_SERIAL)*1000000+57*1000+16))</f>
        <v/>
      </c>
      <c r="EU216" s="39">
        <f>IF(N('Dvd Calendar'!$U$2177)=0,"",IF(('Dvd Calendar'!$U$2177&gt;=GRID_FROM)*('Dvd Calendar'!$U$2177&lt;=GRID_TO)*((('Dvd Calendar'!$U$2177&lt;=VAL_DATE)+(COUNTIF('Dvd Calendar'!$E$2184:$AR$2184,'Dvd Calendar'!$U$2177)=0))&gt;0)=0,"",'Dvd Calendar'!$U$2177*1000000000+ISNUMBER('Dvd Calendar'!$U$2180)*100000000+('Dvd Calendar'!$U$2182=SPECIAL_LBL)*10000000+(N('Dvd Calendar'!$U$2176)&gt;0)*(N('Dvd Calendar'!$U$2176)&lt;=VAL_SERIAL)*1000000+57*1000+17))</f>
        <v/>
      </c>
      <c r="EV216" s="39">
        <f>IF(N('Dvd Calendar'!$V$2177)=0,"",IF(('Dvd Calendar'!$V$2177&gt;=GRID_FROM)*('Dvd Calendar'!$V$2177&lt;=GRID_TO)*((('Dvd Calendar'!$V$2177&lt;=VAL_DATE)+(COUNTIF('Dvd Calendar'!$E$2184:$AR$2184,'Dvd Calendar'!$V$2177)=0))&gt;0)=0,"",'Dvd Calendar'!$V$2177*1000000000+ISNUMBER('Dvd Calendar'!$V$2180)*100000000+('Dvd Calendar'!$V$2182=SPECIAL_LBL)*10000000+(N('Dvd Calendar'!$V$2176)&gt;0)*(N('Dvd Calendar'!$V$2176)&lt;=VAL_SERIAL)*1000000+57*1000+18))</f>
        <v/>
      </c>
      <c r="EW216" s="39">
        <f>IF(N('Dvd Calendar'!$W$2177)=0,"",IF(('Dvd Calendar'!$W$2177&gt;=GRID_FROM)*('Dvd Calendar'!$W$2177&lt;=GRID_TO)*((('Dvd Calendar'!$W$2177&lt;=VAL_DATE)+(COUNTIF('Dvd Calendar'!$E$2184:$AR$2184,'Dvd Calendar'!$W$2177)=0))&gt;0)=0,"",'Dvd Calendar'!$W$2177*1000000000+ISNUMBER('Dvd Calendar'!$W$2180)*100000000+('Dvd Calendar'!$W$2182=SPECIAL_LBL)*10000000+(N('Dvd Calendar'!$W$2176)&gt;0)*(N('Dvd Calendar'!$W$2176)&lt;=VAL_SERIAL)*1000000+57*1000+19))</f>
        <v/>
      </c>
      <c r="EX216" s="39">
        <f>IF(N('Dvd Calendar'!$X$2177)=0,"",IF(('Dvd Calendar'!$X$2177&gt;=GRID_FROM)*('Dvd Calendar'!$X$2177&lt;=GRID_TO)*((('Dvd Calendar'!$X$2177&lt;=VAL_DATE)+(COUNTIF('Dvd Calendar'!$E$2184:$AR$2184,'Dvd Calendar'!$X$2177)=0))&gt;0)=0,"",'Dvd Calendar'!$X$2177*1000000000+ISNUMBER('Dvd Calendar'!$X$2180)*100000000+('Dvd Calendar'!$X$2182=SPECIAL_LBL)*10000000+(N('Dvd Calendar'!$X$2176)&gt;0)*(N('Dvd Calendar'!$X$2176)&lt;=VAL_SERIAL)*1000000+57*1000+20))</f>
        <v/>
      </c>
      <c r="EY216" s="39">
        <f>IF(N('Dvd Calendar'!$Y$2177)=0,"",IF(('Dvd Calendar'!$Y$2177&gt;=GRID_FROM)*('Dvd Calendar'!$Y$2177&lt;=GRID_TO)*((('Dvd Calendar'!$Y$2177&lt;=VAL_DATE)+(COUNTIF('Dvd Calendar'!$E$2184:$AR$2184,'Dvd Calendar'!$Y$2177)=0))&gt;0)=0,"",'Dvd Calendar'!$Y$2177*1000000000+ISNUMBER('Dvd Calendar'!$Y$2180)*100000000+('Dvd Calendar'!$Y$2182=SPECIAL_LBL)*10000000+(N('Dvd Calendar'!$Y$2176)&gt;0)*(N('Dvd Calendar'!$Y$2176)&lt;=VAL_SERIAL)*1000000+57*1000+21))</f>
        <v/>
      </c>
      <c r="EZ216" s="39">
        <f>IF(N('Dvd Calendar'!$Z$2177)=0,"",IF(('Dvd Calendar'!$Z$2177&gt;=GRID_FROM)*('Dvd Calendar'!$Z$2177&lt;=GRID_TO)*((('Dvd Calendar'!$Z$2177&lt;=VAL_DATE)+(COUNTIF('Dvd Calendar'!$E$2184:$AR$2184,'Dvd Calendar'!$Z$2177)=0))&gt;0)=0,"",'Dvd Calendar'!$Z$2177*1000000000+ISNUMBER('Dvd Calendar'!$Z$2180)*100000000+('Dvd Calendar'!$Z$2182=SPECIAL_LBL)*10000000+(N('Dvd Calendar'!$Z$2176)&gt;0)*(N('Dvd Calendar'!$Z$2176)&lt;=VAL_SERIAL)*1000000+57*1000+22))</f>
        <v/>
      </c>
      <c r="FA216" s="39">
        <f>IF(N('Dvd Calendar'!$AA$2177)=0,"",IF(('Dvd Calendar'!$AA$2177&gt;=GRID_FROM)*('Dvd Calendar'!$AA$2177&lt;=GRID_TO)*((('Dvd Calendar'!$AA$2177&lt;=VAL_DATE)+(COUNTIF('Dvd Calendar'!$E$2184:$AR$2184,'Dvd Calendar'!$AA$2177)=0))&gt;0)=0,"",'Dvd Calendar'!$AA$2177*1000000000+ISNUMBER('Dvd Calendar'!$AA$2180)*100000000+('Dvd Calendar'!$AA$2182=SPECIAL_LBL)*10000000+(N('Dvd Calendar'!$AA$2176)&gt;0)*(N('Dvd Calendar'!$AA$2176)&lt;=VAL_SERIAL)*1000000+57*1000+23))</f>
        <v/>
      </c>
      <c r="FB216" s="39">
        <f>IF(N('Dvd Calendar'!$AB$2177)=0,"",IF(('Dvd Calendar'!$AB$2177&gt;=GRID_FROM)*('Dvd Calendar'!$AB$2177&lt;=GRID_TO)*((('Dvd Calendar'!$AB$2177&lt;=VAL_DATE)+(COUNTIF('Dvd Calendar'!$E$2184:$AR$2184,'Dvd Calendar'!$AB$2177)=0))&gt;0)=0,"",'Dvd Calendar'!$AB$2177*1000000000+ISNUMBER('Dvd Calendar'!$AB$2180)*100000000+('Dvd Calendar'!$AB$2182=SPECIAL_LBL)*10000000+(N('Dvd Calendar'!$AB$2176)&gt;0)*(N('Dvd Calendar'!$AB$2176)&lt;=VAL_SERIAL)*1000000+57*1000+24))</f>
        <v/>
      </c>
      <c r="FC216" s="39">
        <f>IF(N('Dvd Calendar'!$AC$2177)=0,"",IF(('Dvd Calendar'!$AC$2177&gt;=GRID_FROM)*('Dvd Calendar'!$AC$2177&lt;=GRID_TO)*((('Dvd Calendar'!$AC$2177&lt;=VAL_DATE)+(COUNTIF('Dvd Calendar'!$E$2184:$AR$2184,'Dvd Calendar'!$AC$2177)=0))&gt;0)=0,"",'Dvd Calendar'!$AC$2177*1000000000+ISNUMBER('Dvd Calendar'!$AC$2180)*100000000+('Dvd Calendar'!$AC$2182=SPECIAL_LBL)*10000000+(N('Dvd Calendar'!$AC$2176)&gt;0)*(N('Dvd Calendar'!$AC$2176)&lt;=VAL_SERIAL)*1000000+57*1000+25))</f>
        <v/>
      </c>
      <c r="FD216" s="39">
        <f>IF(N('Dvd Calendar'!$AD$2177)=0,"",IF(('Dvd Calendar'!$AD$2177&gt;=GRID_FROM)*('Dvd Calendar'!$AD$2177&lt;=GRID_TO)*((('Dvd Calendar'!$AD$2177&lt;=VAL_DATE)+(COUNTIF('Dvd Calendar'!$E$2184:$AR$2184,'Dvd Calendar'!$AD$2177)=0))&gt;0)=0,"",'Dvd Calendar'!$AD$2177*1000000000+ISNUMBER('Dvd Calendar'!$AD$2180)*100000000+('Dvd Calendar'!$AD$2182=SPECIAL_LBL)*10000000+(N('Dvd Calendar'!$AD$2176)&gt;0)*(N('Dvd Calendar'!$AD$2176)&lt;=VAL_SERIAL)*1000000+57*1000+26))</f>
        <v/>
      </c>
      <c r="FE216" s="39">
        <f>IF(N('Dvd Calendar'!$AE$2177)=0,"",IF(('Dvd Calendar'!$AE$2177&gt;=GRID_FROM)*('Dvd Calendar'!$AE$2177&lt;=GRID_TO)*((('Dvd Calendar'!$AE$2177&lt;=VAL_DATE)+(COUNTIF('Dvd Calendar'!$E$2184:$AR$2184,'Dvd Calendar'!$AE$2177)=0))&gt;0)=0,"",'Dvd Calendar'!$AE$2177*1000000000+ISNUMBER('Dvd Calendar'!$AE$2180)*100000000+('Dvd Calendar'!$AE$2182=SPECIAL_LBL)*10000000+(N('Dvd Calendar'!$AE$2176)&gt;0)*(N('Dvd Calendar'!$AE$2176)&lt;=VAL_SERIAL)*1000000+57*1000+27))</f>
        <v/>
      </c>
      <c r="FF216" s="39">
        <f>IF(N('Dvd Calendar'!$AF$2177)=0,"",IF(('Dvd Calendar'!$AF$2177&gt;=GRID_FROM)*('Dvd Calendar'!$AF$2177&lt;=GRID_TO)*((('Dvd Calendar'!$AF$2177&lt;=VAL_DATE)+(COUNTIF('Dvd Calendar'!$E$2184:$AR$2184,'Dvd Calendar'!$AF$2177)=0))&gt;0)=0,"",'Dvd Calendar'!$AF$2177*1000000000+ISNUMBER('Dvd Calendar'!$AF$2180)*100000000+('Dvd Calendar'!$AF$2182=SPECIAL_LBL)*10000000+(N('Dvd Calendar'!$AF$2176)&gt;0)*(N('Dvd Calendar'!$AF$2176)&lt;=VAL_SERIAL)*1000000+57*1000+28))</f>
        <v/>
      </c>
      <c r="FG216" s="39">
        <f>IF(N('Dvd Calendar'!$AG$2177)=0,"",IF(('Dvd Calendar'!$AG$2177&gt;=GRID_FROM)*('Dvd Calendar'!$AG$2177&lt;=GRID_TO)*((('Dvd Calendar'!$AG$2177&lt;=VAL_DATE)+(COUNTIF('Dvd Calendar'!$E$2184:$AR$2184,'Dvd Calendar'!$AG$2177)=0))&gt;0)=0,"",'Dvd Calendar'!$AG$2177*1000000000+ISNUMBER('Dvd Calendar'!$AG$2180)*100000000+('Dvd Calendar'!$AG$2182=SPECIAL_LBL)*10000000+(N('Dvd Calendar'!$AG$2176)&gt;0)*(N('Dvd Calendar'!$AG$2176)&lt;=VAL_SERIAL)*1000000+57*1000+29))</f>
        <v/>
      </c>
      <c r="FH216" s="39">
        <f>IF(N('Dvd Calendar'!$AH$2177)=0,"",IF(('Dvd Calendar'!$AH$2177&gt;=GRID_FROM)*('Dvd Calendar'!$AH$2177&lt;=GRID_TO)*((('Dvd Calendar'!$AH$2177&lt;=VAL_DATE)+(COUNTIF('Dvd Calendar'!$E$2184:$AR$2184,'Dvd Calendar'!$AH$2177)=0))&gt;0)=0,"",'Dvd Calendar'!$AH$2177*1000000000+ISNUMBER('Dvd Calendar'!$AH$2180)*100000000+('Dvd Calendar'!$AH$2182=SPECIAL_LBL)*10000000+(N('Dvd Calendar'!$AH$2176)&gt;0)*(N('Dvd Calendar'!$AH$2176)&lt;=VAL_SERIAL)*1000000+57*1000+30))</f>
        <v/>
      </c>
      <c r="FI216" s="39">
        <f>IF(N('Dvd Calendar'!$AI$2177)=0,"",IF(('Dvd Calendar'!$AI$2177&gt;=GRID_FROM)*('Dvd Calendar'!$AI$2177&lt;=GRID_TO)*((('Dvd Calendar'!$AI$2177&lt;=VAL_DATE)+(COUNTIF('Dvd Calendar'!$E$2184:$AR$2184,'Dvd Calendar'!$AI$2177)=0))&gt;0)=0,"",'Dvd Calendar'!$AI$2177*1000000000+ISNUMBER('Dvd Calendar'!$AI$2180)*100000000+('Dvd Calendar'!$AI$2182=SPECIAL_LBL)*10000000+(N('Dvd Calendar'!$AI$2176)&gt;0)*(N('Dvd Calendar'!$AI$2176)&lt;=VAL_SERIAL)*1000000+57*1000+31))</f>
        <v/>
      </c>
      <c r="FJ216" s="39">
        <f>IF(N('Dvd Calendar'!$AJ$2177)=0,"",IF(('Dvd Calendar'!$AJ$2177&gt;=GRID_FROM)*('Dvd Calendar'!$AJ$2177&lt;=GRID_TO)*((('Dvd Calendar'!$AJ$2177&lt;=VAL_DATE)+(COUNTIF('Dvd Calendar'!$E$2184:$AR$2184,'Dvd Calendar'!$AJ$2177)=0))&gt;0)=0,"",'Dvd Calendar'!$AJ$2177*1000000000+ISNUMBER('Dvd Calendar'!$AJ$2180)*100000000+('Dvd Calendar'!$AJ$2182=SPECIAL_LBL)*10000000+(N('Dvd Calendar'!$AJ$2176)&gt;0)*(N('Dvd Calendar'!$AJ$2176)&lt;=VAL_SERIAL)*1000000+57*1000+32))</f>
        <v/>
      </c>
      <c r="FK216" s="39">
        <f>IF(N('Dvd Calendar'!$AK$2177)=0,"",IF(('Dvd Calendar'!$AK$2177&gt;=GRID_FROM)*('Dvd Calendar'!$AK$2177&lt;=GRID_TO)*((('Dvd Calendar'!$AK$2177&lt;=VAL_DATE)+(COUNTIF('Dvd Calendar'!$E$2184:$AR$2184,'Dvd Calendar'!$AK$2177)=0))&gt;0)=0,"",'Dvd Calendar'!$AK$2177*1000000000+ISNUMBER('Dvd Calendar'!$AK$2180)*100000000+('Dvd Calendar'!$AK$2182=SPECIAL_LBL)*10000000+(N('Dvd Calendar'!$AK$2176)&gt;0)*(N('Dvd Calendar'!$AK$2176)&lt;=VAL_SERIAL)*1000000+57*1000+33))</f>
        <v/>
      </c>
      <c r="FL216" s="39">
        <f>IF(N('Dvd Calendar'!$AL$2177)=0,"",IF(('Dvd Calendar'!$AL$2177&gt;=GRID_FROM)*('Dvd Calendar'!$AL$2177&lt;=GRID_TO)*((('Dvd Calendar'!$AL$2177&lt;=VAL_DATE)+(COUNTIF('Dvd Calendar'!$E$2184:$AR$2184,'Dvd Calendar'!$AL$2177)=0))&gt;0)=0,"",'Dvd Calendar'!$AL$2177*1000000000+ISNUMBER('Dvd Calendar'!$AL$2180)*100000000+('Dvd Calendar'!$AL$2182=SPECIAL_LBL)*10000000+(N('Dvd Calendar'!$AL$2176)&gt;0)*(N('Dvd Calendar'!$AL$2176)&lt;=VAL_SERIAL)*1000000+57*1000+34))</f>
        <v/>
      </c>
      <c r="FM216" s="39">
        <f>IF(N('Dvd Calendar'!$AM$2177)=0,"",IF(('Dvd Calendar'!$AM$2177&gt;=GRID_FROM)*('Dvd Calendar'!$AM$2177&lt;=GRID_TO)*((('Dvd Calendar'!$AM$2177&lt;=VAL_DATE)+(COUNTIF('Dvd Calendar'!$E$2184:$AR$2184,'Dvd Calendar'!$AM$2177)=0))&gt;0)=0,"",'Dvd Calendar'!$AM$2177*1000000000+ISNUMBER('Dvd Calendar'!$AM$2180)*100000000+('Dvd Calendar'!$AM$2182=SPECIAL_LBL)*10000000+(N('Dvd Calendar'!$AM$2176)&gt;0)*(N('Dvd Calendar'!$AM$2176)&lt;=VAL_SERIAL)*1000000+57*1000+35))</f>
        <v/>
      </c>
      <c r="FN216" s="39">
        <f>IF(N('Dvd Calendar'!$AN$2177)=0,"",IF(('Dvd Calendar'!$AN$2177&gt;=GRID_FROM)*('Dvd Calendar'!$AN$2177&lt;=GRID_TO)*((('Dvd Calendar'!$AN$2177&lt;=VAL_DATE)+(COUNTIF('Dvd Calendar'!$E$2184:$AR$2184,'Dvd Calendar'!$AN$2177)=0))&gt;0)=0,"",'Dvd Calendar'!$AN$2177*1000000000+ISNUMBER('Dvd Calendar'!$AN$2180)*100000000+('Dvd Calendar'!$AN$2182=SPECIAL_LBL)*10000000+(N('Dvd Calendar'!$AN$2176)&gt;0)*(N('Dvd Calendar'!$AN$2176)&lt;=VAL_SERIAL)*1000000+57*1000+36))</f>
        <v/>
      </c>
      <c r="FO216" s="39">
        <f>IF(N('Dvd Calendar'!$AO$2177)=0,"",IF(('Dvd Calendar'!$AO$2177&gt;=GRID_FROM)*('Dvd Calendar'!$AO$2177&lt;=GRID_TO)*((('Dvd Calendar'!$AO$2177&lt;=VAL_DATE)+(COUNTIF('Dvd Calendar'!$E$2184:$AR$2184,'Dvd Calendar'!$AO$2177)=0))&gt;0)=0,"",'Dvd Calendar'!$AO$2177*1000000000+ISNUMBER('Dvd Calendar'!$AO$2180)*100000000+('Dvd Calendar'!$AO$2182=SPECIAL_LBL)*10000000+(N('Dvd Calendar'!$AO$2176)&gt;0)*(N('Dvd Calendar'!$AO$2176)&lt;=VAL_SERIAL)*1000000+57*1000+37))</f>
        <v/>
      </c>
      <c r="FP216" s="39">
        <f>IF(N('Dvd Calendar'!$AP$2177)=0,"",IF(('Dvd Calendar'!$AP$2177&gt;=GRID_FROM)*('Dvd Calendar'!$AP$2177&lt;=GRID_TO)*((('Dvd Calendar'!$AP$2177&lt;=VAL_DATE)+(COUNTIF('Dvd Calendar'!$E$2184:$AR$2184,'Dvd Calendar'!$AP$2177)=0))&gt;0)=0,"",'Dvd Calendar'!$AP$2177*1000000000+ISNUMBER('Dvd Calendar'!$AP$2180)*100000000+('Dvd Calendar'!$AP$2182=SPECIAL_LBL)*10000000+(N('Dvd Calendar'!$AP$2176)&gt;0)*(N('Dvd Calendar'!$AP$2176)&lt;=VAL_SERIAL)*1000000+57*1000+38))</f>
        <v/>
      </c>
      <c r="FQ216" s="39">
        <f>IF(N('Dvd Calendar'!$AQ$2177)=0,"",IF(('Dvd Calendar'!$AQ$2177&gt;=GRID_FROM)*('Dvd Calendar'!$AQ$2177&lt;=GRID_TO)*((('Dvd Calendar'!$AQ$2177&lt;=VAL_DATE)+(COUNTIF('Dvd Calendar'!$E$2184:$AR$2184,'Dvd Calendar'!$AQ$2177)=0))&gt;0)=0,"",'Dvd Calendar'!$AQ$2177*1000000000+ISNUMBER('Dvd Calendar'!$AQ$2180)*100000000+('Dvd Calendar'!$AQ$2182=SPECIAL_LBL)*10000000+(N('Dvd Calendar'!$AQ$2176)&gt;0)*(N('Dvd Calendar'!$AQ$2176)&lt;=VAL_SERIAL)*1000000+57*1000+39))</f>
        <v/>
      </c>
      <c r="FR216" s="39">
        <f>IF(N('Dvd Calendar'!$AR$2177)=0,"",IF(('Dvd Calendar'!$AR$2177&gt;=GRID_FROM)*('Dvd Calendar'!$AR$2177&lt;=GRID_TO)*((('Dvd Calendar'!$AR$2177&lt;=VAL_DATE)+(COUNTIF('Dvd Calendar'!$E$2184:$AR$2184,'Dvd Calendar'!$AR$2177)=0))&gt;0)=0,"",'Dvd Calendar'!$AR$2177*1000000000+ISNUMBER('Dvd Calendar'!$AR$2180)*100000000+('Dvd Calendar'!$AR$2182=SPECIAL_LBL)*10000000+(N('Dvd Calendar'!$AR$2176)&gt;0)*(N('Dvd Calendar'!$AR$2176)&lt;=VAL_SERIAL)*1000000+57*1000+40))</f>
        <v/>
      </c>
      <c r="FS216" s="39">
        <f>IF(N('Dvd Calendar'!$E$2184)=0,"",IF(('Dvd Calendar'!$E$2184&gt;=GRID_FROM)*('Dvd Calendar'!$E$2184&lt;=GRID_TO)*('Dvd Calendar'!$E$2184&gt;VAL_DATE)=0,"",'Dvd Calendar'!$E$2184*1000000000+ISNUMBER('Dvd Calendar'!$E$2185)*100000000+0*10000000+(N('Dvd Calendar'!$E$2183)&gt;0)*(N('Dvd Calendar'!$E$2183)&lt;=VAL_SERIAL)*1000000+57*1000+41))</f>
        <v/>
      </c>
      <c r="FT216" s="39">
        <f>IF(N('Dvd Calendar'!$F$2184)=0,"",IF(('Dvd Calendar'!$F$2184&gt;=GRID_FROM)*('Dvd Calendar'!$F$2184&lt;=GRID_TO)*('Dvd Calendar'!$F$2184&gt;VAL_DATE)=0,"",'Dvd Calendar'!$F$2184*1000000000+ISNUMBER('Dvd Calendar'!$F$2185)*100000000+0*10000000+(N('Dvd Calendar'!$F$2183)&gt;0)*(N('Dvd Calendar'!$F$2183)&lt;=VAL_SERIAL)*1000000+57*1000+42))</f>
        <v/>
      </c>
      <c r="FU216" s="39">
        <f>IF(N('Dvd Calendar'!$G$2184)=0,"",IF(('Dvd Calendar'!$G$2184&gt;=GRID_FROM)*('Dvd Calendar'!$G$2184&lt;=GRID_TO)*('Dvd Calendar'!$G$2184&gt;VAL_DATE)=0,"",'Dvd Calendar'!$G$2184*1000000000+ISNUMBER('Dvd Calendar'!$G$2185)*100000000+0*10000000+(N('Dvd Calendar'!$G$2183)&gt;0)*(N('Dvd Calendar'!$G$2183)&lt;=VAL_SERIAL)*1000000+57*1000+43))</f>
        <v/>
      </c>
      <c r="FV216" s="39">
        <f>IF(N('Dvd Calendar'!$H$2184)=0,"",IF(('Dvd Calendar'!$H$2184&gt;=GRID_FROM)*('Dvd Calendar'!$H$2184&lt;=GRID_TO)*('Dvd Calendar'!$H$2184&gt;VAL_DATE)=0,"",'Dvd Calendar'!$H$2184*1000000000+ISNUMBER('Dvd Calendar'!$H$2185)*100000000+0*10000000+(N('Dvd Calendar'!$H$2183)&gt;0)*(N('Dvd Calendar'!$H$2183)&lt;=VAL_SERIAL)*1000000+57*1000+44))</f>
        <v/>
      </c>
      <c r="FW216" s="39">
        <f>IF(N('Dvd Calendar'!$I$2184)=0,"",IF(('Dvd Calendar'!$I$2184&gt;=GRID_FROM)*('Dvd Calendar'!$I$2184&lt;=GRID_TO)*('Dvd Calendar'!$I$2184&gt;VAL_DATE)=0,"",'Dvd Calendar'!$I$2184*1000000000+ISNUMBER('Dvd Calendar'!$I$2185)*100000000+0*10000000+(N('Dvd Calendar'!$I$2183)&gt;0)*(N('Dvd Calendar'!$I$2183)&lt;=VAL_SERIAL)*1000000+57*1000+45))</f>
        <v/>
      </c>
      <c r="FX216" s="39">
        <f>IF(N('Dvd Calendar'!$J$2184)=0,"",IF(('Dvd Calendar'!$J$2184&gt;=GRID_FROM)*('Dvd Calendar'!$J$2184&lt;=GRID_TO)*('Dvd Calendar'!$J$2184&gt;VAL_DATE)=0,"",'Dvd Calendar'!$J$2184*1000000000+ISNUMBER('Dvd Calendar'!$J$2185)*100000000+0*10000000+(N('Dvd Calendar'!$J$2183)&gt;0)*(N('Dvd Calendar'!$J$2183)&lt;=VAL_SERIAL)*1000000+57*1000+46))</f>
        <v/>
      </c>
      <c r="FY216" s="39">
        <f>IF(N('Dvd Calendar'!$K$2184)=0,"",IF(('Dvd Calendar'!$K$2184&gt;=GRID_FROM)*('Dvd Calendar'!$K$2184&lt;=GRID_TO)*('Dvd Calendar'!$K$2184&gt;VAL_DATE)=0,"",'Dvd Calendar'!$K$2184*1000000000+ISNUMBER('Dvd Calendar'!$K$2185)*100000000+0*10000000+(N('Dvd Calendar'!$K$2183)&gt;0)*(N('Dvd Calendar'!$K$2183)&lt;=VAL_SERIAL)*1000000+57*1000+47))</f>
        <v/>
      </c>
      <c r="FZ216" s="39">
        <f>IF(N('Dvd Calendar'!$L$2184)=0,"",IF(('Dvd Calendar'!$L$2184&gt;=GRID_FROM)*('Dvd Calendar'!$L$2184&lt;=GRID_TO)*('Dvd Calendar'!$L$2184&gt;VAL_DATE)=0,"",'Dvd Calendar'!$L$2184*1000000000+ISNUMBER('Dvd Calendar'!$L$2185)*100000000+0*10000000+(N('Dvd Calendar'!$L$2183)&gt;0)*(N('Dvd Calendar'!$L$2183)&lt;=VAL_SERIAL)*1000000+57*1000+48))</f>
        <v/>
      </c>
      <c r="GA216" s="39">
        <f>IF(N('Dvd Calendar'!$M$2184)=0,"",IF(('Dvd Calendar'!$M$2184&gt;=GRID_FROM)*('Dvd Calendar'!$M$2184&lt;=GRID_TO)*('Dvd Calendar'!$M$2184&gt;VAL_DATE)=0,"",'Dvd Calendar'!$M$2184*1000000000+ISNUMBER('Dvd Calendar'!$M$2185)*100000000+0*10000000+(N('Dvd Calendar'!$M$2183)&gt;0)*(N('Dvd Calendar'!$M$2183)&lt;=VAL_SERIAL)*1000000+57*1000+49))</f>
        <v/>
      </c>
      <c r="GB216" s="39">
        <f>IF(N('Dvd Calendar'!$N$2184)=0,"",IF(('Dvd Calendar'!$N$2184&gt;=GRID_FROM)*('Dvd Calendar'!$N$2184&lt;=GRID_TO)*('Dvd Calendar'!$N$2184&gt;VAL_DATE)=0,"",'Dvd Calendar'!$N$2184*1000000000+ISNUMBER('Dvd Calendar'!$N$2185)*100000000+0*10000000+(N('Dvd Calendar'!$N$2183)&gt;0)*(N('Dvd Calendar'!$N$2183)&lt;=VAL_SERIAL)*1000000+57*1000+50))</f>
        <v/>
      </c>
      <c r="GC216" s="39">
        <f>IF(N('Dvd Calendar'!$O$2184)=0,"",IF(('Dvd Calendar'!$O$2184&gt;=GRID_FROM)*('Dvd Calendar'!$O$2184&lt;=GRID_TO)*('Dvd Calendar'!$O$2184&gt;VAL_DATE)=0,"",'Dvd Calendar'!$O$2184*1000000000+ISNUMBER('Dvd Calendar'!$O$2185)*100000000+0*10000000+(N('Dvd Calendar'!$O$2183)&gt;0)*(N('Dvd Calendar'!$O$2183)&lt;=VAL_SERIAL)*1000000+57*1000+51))</f>
        <v/>
      </c>
      <c r="GD216" s="39">
        <f>IF(N('Dvd Calendar'!$P$2184)=0,"",IF(('Dvd Calendar'!$P$2184&gt;=GRID_FROM)*('Dvd Calendar'!$P$2184&lt;=GRID_TO)*('Dvd Calendar'!$P$2184&gt;VAL_DATE)=0,"",'Dvd Calendar'!$P$2184*1000000000+ISNUMBER('Dvd Calendar'!$P$2185)*100000000+0*10000000+(N('Dvd Calendar'!$P$2183)&gt;0)*(N('Dvd Calendar'!$P$2183)&lt;=VAL_SERIAL)*1000000+57*1000+52))</f>
        <v/>
      </c>
      <c r="GE216" s="39">
        <f>IF(N('Dvd Calendar'!$Q$2184)=0,"",IF(('Dvd Calendar'!$Q$2184&gt;=GRID_FROM)*('Dvd Calendar'!$Q$2184&lt;=GRID_TO)*('Dvd Calendar'!$Q$2184&gt;VAL_DATE)=0,"",'Dvd Calendar'!$Q$2184*1000000000+ISNUMBER('Dvd Calendar'!$Q$2185)*100000000+0*10000000+(N('Dvd Calendar'!$Q$2183)&gt;0)*(N('Dvd Calendar'!$Q$2183)&lt;=VAL_SERIAL)*1000000+57*1000+53))</f>
        <v/>
      </c>
      <c r="GF216" s="39">
        <f>IF(N('Dvd Calendar'!$R$2184)=0,"",IF(('Dvd Calendar'!$R$2184&gt;=GRID_FROM)*('Dvd Calendar'!$R$2184&lt;=GRID_TO)*('Dvd Calendar'!$R$2184&gt;VAL_DATE)=0,"",'Dvd Calendar'!$R$2184*1000000000+ISNUMBER('Dvd Calendar'!$R$2185)*100000000+0*10000000+(N('Dvd Calendar'!$R$2183)&gt;0)*(N('Dvd Calendar'!$R$2183)&lt;=VAL_SERIAL)*1000000+57*1000+54))</f>
        <v/>
      </c>
      <c r="GG216" s="39">
        <f>IF(N('Dvd Calendar'!$S$2184)=0,"",IF(('Dvd Calendar'!$S$2184&gt;=GRID_FROM)*('Dvd Calendar'!$S$2184&lt;=GRID_TO)*('Dvd Calendar'!$S$2184&gt;VAL_DATE)=0,"",'Dvd Calendar'!$S$2184*1000000000+ISNUMBER('Dvd Calendar'!$S$2185)*100000000+0*10000000+(N('Dvd Calendar'!$S$2183)&gt;0)*(N('Dvd Calendar'!$S$2183)&lt;=VAL_SERIAL)*1000000+57*1000+55))</f>
        <v/>
      </c>
      <c r="GH216" s="39">
        <f>IF(N('Dvd Calendar'!$T$2184)=0,"",IF(('Dvd Calendar'!$T$2184&gt;=GRID_FROM)*('Dvd Calendar'!$T$2184&lt;=GRID_TO)*('Dvd Calendar'!$T$2184&gt;VAL_DATE)=0,"",'Dvd Calendar'!$T$2184*1000000000+ISNUMBER('Dvd Calendar'!$T$2185)*100000000+0*10000000+(N('Dvd Calendar'!$T$2183)&gt;0)*(N('Dvd Calendar'!$T$2183)&lt;=VAL_SERIAL)*1000000+57*1000+56))</f>
        <v/>
      </c>
      <c r="GI216" s="39">
        <f>IF(N('Dvd Calendar'!$U$2184)=0,"",IF(('Dvd Calendar'!$U$2184&gt;=GRID_FROM)*('Dvd Calendar'!$U$2184&lt;=GRID_TO)*('Dvd Calendar'!$U$2184&gt;VAL_DATE)=0,"",'Dvd Calendar'!$U$2184*1000000000+ISNUMBER('Dvd Calendar'!$U$2185)*100000000+0*10000000+(N('Dvd Calendar'!$U$2183)&gt;0)*(N('Dvd Calendar'!$U$2183)&lt;=VAL_SERIAL)*1000000+57*1000+57))</f>
        <v/>
      </c>
      <c r="GJ216" s="39">
        <f>IF(N('Dvd Calendar'!$V$2184)=0,"",IF(('Dvd Calendar'!$V$2184&gt;=GRID_FROM)*('Dvd Calendar'!$V$2184&lt;=GRID_TO)*('Dvd Calendar'!$V$2184&gt;VAL_DATE)=0,"",'Dvd Calendar'!$V$2184*1000000000+ISNUMBER('Dvd Calendar'!$V$2185)*100000000+0*10000000+(N('Dvd Calendar'!$V$2183)&gt;0)*(N('Dvd Calendar'!$V$2183)&lt;=VAL_SERIAL)*1000000+57*1000+58))</f>
        <v/>
      </c>
      <c r="GK216" s="39">
        <f>IF(N('Dvd Calendar'!$W$2184)=0,"",IF(('Dvd Calendar'!$W$2184&gt;=GRID_FROM)*('Dvd Calendar'!$W$2184&lt;=GRID_TO)*('Dvd Calendar'!$W$2184&gt;VAL_DATE)=0,"",'Dvd Calendar'!$W$2184*1000000000+ISNUMBER('Dvd Calendar'!$W$2185)*100000000+0*10000000+(N('Dvd Calendar'!$W$2183)&gt;0)*(N('Dvd Calendar'!$W$2183)&lt;=VAL_SERIAL)*1000000+57*1000+59))</f>
        <v/>
      </c>
      <c r="GL216" s="39">
        <f>IF(N('Dvd Calendar'!$X$2184)=0,"",IF(('Dvd Calendar'!$X$2184&gt;=GRID_FROM)*('Dvd Calendar'!$X$2184&lt;=GRID_TO)*('Dvd Calendar'!$X$2184&gt;VAL_DATE)=0,"",'Dvd Calendar'!$X$2184*1000000000+ISNUMBER('Dvd Calendar'!$X$2185)*100000000+0*10000000+(N('Dvd Calendar'!$X$2183)&gt;0)*(N('Dvd Calendar'!$X$2183)&lt;=VAL_SERIAL)*1000000+57*1000+60))</f>
        <v/>
      </c>
      <c r="GM216" s="39">
        <f>IF(N('Dvd Calendar'!$Y$2184)=0,"",IF(('Dvd Calendar'!$Y$2184&gt;=GRID_FROM)*('Dvd Calendar'!$Y$2184&lt;=GRID_TO)*('Dvd Calendar'!$Y$2184&gt;VAL_DATE)=0,"",'Dvd Calendar'!$Y$2184*1000000000+ISNUMBER('Dvd Calendar'!$Y$2185)*100000000+0*10000000+(N('Dvd Calendar'!$Y$2183)&gt;0)*(N('Dvd Calendar'!$Y$2183)&lt;=VAL_SERIAL)*1000000+57*1000+61))</f>
        <v/>
      </c>
      <c r="GN216" s="39">
        <f>IF(N('Dvd Calendar'!$Z$2184)=0,"",IF(('Dvd Calendar'!$Z$2184&gt;=GRID_FROM)*('Dvd Calendar'!$Z$2184&lt;=GRID_TO)*('Dvd Calendar'!$Z$2184&gt;VAL_DATE)=0,"",'Dvd Calendar'!$Z$2184*1000000000+ISNUMBER('Dvd Calendar'!$Z$2185)*100000000+0*10000000+(N('Dvd Calendar'!$Z$2183)&gt;0)*(N('Dvd Calendar'!$Z$2183)&lt;=VAL_SERIAL)*1000000+57*1000+62))</f>
        <v/>
      </c>
      <c r="GO216" s="39">
        <f>IF(N('Dvd Calendar'!$AA$2184)=0,"",IF(('Dvd Calendar'!$AA$2184&gt;=GRID_FROM)*('Dvd Calendar'!$AA$2184&lt;=GRID_TO)*('Dvd Calendar'!$AA$2184&gt;VAL_DATE)=0,"",'Dvd Calendar'!$AA$2184*1000000000+ISNUMBER('Dvd Calendar'!$AA$2185)*100000000+0*10000000+(N('Dvd Calendar'!$AA$2183)&gt;0)*(N('Dvd Calendar'!$AA$2183)&lt;=VAL_SERIAL)*1000000+57*1000+63))</f>
        <v/>
      </c>
      <c r="GP216" s="39">
        <f>IF(N('Dvd Calendar'!$AB$2184)=0,"",IF(('Dvd Calendar'!$AB$2184&gt;=GRID_FROM)*('Dvd Calendar'!$AB$2184&lt;=GRID_TO)*('Dvd Calendar'!$AB$2184&gt;VAL_DATE)=0,"",'Dvd Calendar'!$AB$2184*1000000000+ISNUMBER('Dvd Calendar'!$AB$2185)*100000000+0*10000000+(N('Dvd Calendar'!$AB$2183)&gt;0)*(N('Dvd Calendar'!$AB$2183)&lt;=VAL_SERIAL)*1000000+57*1000+64))</f>
        <v/>
      </c>
      <c r="GQ216" s="39">
        <f>IF(N('Dvd Calendar'!$AC$2184)=0,"",IF(('Dvd Calendar'!$AC$2184&gt;=GRID_FROM)*('Dvd Calendar'!$AC$2184&lt;=GRID_TO)*('Dvd Calendar'!$AC$2184&gt;VAL_DATE)=0,"",'Dvd Calendar'!$AC$2184*1000000000+ISNUMBER('Dvd Calendar'!$AC$2185)*100000000+0*10000000+(N('Dvd Calendar'!$AC$2183)&gt;0)*(N('Dvd Calendar'!$AC$2183)&lt;=VAL_SERIAL)*1000000+57*1000+65))</f>
        <v/>
      </c>
    </row>
    <row r="217">
      <c r="B217" s="2">
        <f>IF(HSCEI!$C$64="","",HSCEI!$C$64)</f>
        <v/>
      </c>
      <c r="C217" s="110">
        <f>IF(EE217="","",IF(ISNUMBER('Dvd Calendar'!$E$2191)=FALSE,"",IF((('Dvd Calendar'!$E$2193=TYPE1)*(TYPE1&lt;&gt;"")+('Dvd Calendar'!$E$2193=TYPE2)*(TYPE2&lt;&gt;"")+('Dvd Calendar'!$E$2193=TYPE3)*(TYPE3&lt;&gt;"")+('Dvd Calendar'!$E$2193=TYPE4)*(TYPE4&lt;&gt;"")+('Dvd Calendar'!$E$2193=SPECIAL_LBL)*(INC_SPECIALS="Y"))=0,"",'Dvd Calendar'!$E$2191)))</f>
        <v/>
      </c>
      <c r="D217" s="110">
        <f>IF(EF217="","",IF(ISNUMBER('Dvd Calendar'!$F$2191)=FALSE,"",IF((('Dvd Calendar'!$F$2193=TYPE1)*(TYPE1&lt;&gt;"")+('Dvd Calendar'!$F$2193=TYPE2)*(TYPE2&lt;&gt;"")+('Dvd Calendar'!$F$2193=TYPE3)*(TYPE3&lt;&gt;"")+('Dvd Calendar'!$F$2193=TYPE4)*(TYPE4&lt;&gt;"")+('Dvd Calendar'!$F$2193=SPECIAL_LBL)*(INC_SPECIALS="Y"))=0,"",'Dvd Calendar'!$F$2191)))</f>
        <v/>
      </c>
      <c r="E217" s="110">
        <f>IF(EG217="","",IF(ISNUMBER('Dvd Calendar'!$G$2191)=FALSE,"",IF((('Dvd Calendar'!$G$2193=TYPE1)*(TYPE1&lt;&gt;"")+('Dvd Calendar'!$G$2193=TYPE2)*(TYPE2&lt;&gt;"")+('Dvd Calendar'!$G$2193=TYPE3)*(TYPE3&lt;&gt;"")+('Dvd Calendar'!$G$2193=TYPE4)*(TYPE4&lt;&gt;"")+('Dvd Calendar'!$G$2193=SPECIAL_LBL)*(INC_SPECIALS="Y"))=0,"",'Dvd Calendar'!$G$2191)))</f>
        <v/>
      </c>
      <c r="F217" s="110">
        <f>IF(EH217="","",IF(ISNUMBER('Dvd Calendar'!$H$2191)=FALSE,"",IF((('Dvd Calendar'!$H$2193=TYPE1)*(TYPE1&lt;&gt;"")+('Dvd Calendar'!$H$2193=TYPE2)*(TYPE2&lt;&gt;"")+('Dvd Calendar'!$H$2193=TYPE3)*(TYPE3&lt;&gt;"")+('Dvd Calendar'!$H$2193=TYPE4)*(TYPE4&lt;&gt;"")+('Dvd Calendar'!$H$2193=SPECIAL_LBL)*(INC_SPECIALS="Y"))=0,"",'Dvd Calendar'!$H$2191)))</f>
        <v/>
      </c>
      <c r="G217" s="110">
        <f>IF(EI217="","",IF(ISNUMBER('Dvd Calendar'!$I$2191)=FALSE,"",IF((('Dvd Calendar'!$I$2193=TYPE1)*(TYPE1&lt;&gt;"")+('Dvd Calendar'!$I$2193=TYPE2)*(TYPE2&lt;&gt;"")+('Dvd Calendar'!$I$2193=TYPE3)*(TYPE3&lt;&gt;"")+('Dvd Calendar'!$I$2193=TYPE4)*(TYPE4&lt;&gt;"")+('Dvd Calendar'!$I$2193=SPECIAL_LBL)*(INC_SPECIALS="Y"))=0,"",'Dvd Calendar'!$I$2191)))</f>
        <v/>
      </c>
      <c r="H217" s="110">
        <f>IF(EJ217="","",IF(ISNUMBER('Dvd Calendar'!$J$2191)=FALSE,"",IF((('Dvd Calendar'!$J$2193=TYPE1)*(TYPE1&lt;&gt;"")+('Dvd Calendar'!$J$2193=TYPE2)*(TYPE2&lt;&gt;"")+('Dvd Calendar'!$J$2193=TYPE3)*(TYPE3&lt;&gt;"")+('Dvd Calendar'!$J$2193=TYPE4)*(TYPE4&lt;&gt;"")+('Dvd Calendar'!$J$2193=SPECIAL_LBL)*(INC_SPECIALS="Y"))=0,"",'Dvd Calendar'!$J$2191)))</f>
        <v/>
      </c>
      <c r="I217" s="110">
        <f>IF(EK217="","",IF(ISNUMBER('Dvd Calendar'!$K$2191)=FALSE,"",IF((('Dvd Calendar'!$K$2193=TYPE1)*(TYPE1&lt;&gt;"")+('Dvd Calendar'!$K$2193=TYPE2)*(TYPE2&lt;&gt;"")+('Dvd Calendar'!$K$2193=TYPE3)*(TYPE3&lt;&gt;"")+('Dvd Calendar'!$K$2193=TYPE4)*(TYPE4&lt;&gt;"")+('Dvd Calendar'!$K$2193=SPECIAL_LBL)*(INC_SPECIALS="Y"))=0,"",'Dvd Calendar'!$K$2191)))</f>
        <v/>
      </c>
      <c r="J217" s="110">
        <f>IF(EL217="","",IF(ISNUMBER('Dvd Calendar'!$L$2191)=FALSE,"",IF((('Dvd Calendar'!$L$2193=TYPE1)*(TYPE1&lt;&gt;"")+('Dvd Calendar'!$L$2193=TYPE2)*(TYPE2&lt;&gt;"")+('Dvd Calendar'!$L$2193=TYPE3)*(TYPE3&lt;&gt;"")+('Dvd Calendar'!$L$2193=TYPE4)*(TYPE4&lt;&gt;"")+('Dvd Calendar'!$L$2193=SPECIAL_LBL)*(INC_SPECIALS="Y"))=0,"",'Dvd Calendar'!$L$2191)))</f>
        <v/>
      </c>
      <c r="K217" s="110">
        <f>IF(EM217="","",IF(ISNUMBER('Dvd Calendar'!$M$2191)=FALSE,"",IF((('Dvd Calendar'!$M$2193=TYPE1)*(TYPE1&lt;&gt;"")+('Dvd Calendar'!$M$2193=TYPE2)*(TYPE2&lt;&gt;"")+('Dvd Calendar'!$M$2193=TYPE3)*(TYPE3&lt;&gt;"")+('Dvd Calendar'!$M$2193=TYPE4)*(TYPE4&lt;&gt;"")+('Dvd Calendar'!$M$2193=SPECIAL_LBL)*(INC_SPECIALS="Y"))=0,"",'Dvd Calendar'!$M$2191)))</f>
        <v/>
      </c>
      <c r="L217" s="110">
        <f>IF(EN217="","",IF(ISNUMBER('Dvd Calendar'!$N$2191)=FALSE,"",IF((('Dvd Calendar'!$N$2193=TYPE1)*(TYPE1&lt;&gt;"")+('Dvd Calendar'!$N$2193=TYPE2)*(TYPE2&lt;&gt;"")+('Dvd Calendar'!$N$2193=TYPE3)*(TYPE3&lt;&gt;"")+('Dvd Calendar'!$N$2193=TYPE4)*(TYPE4&lt;&gt;"")+('Dvd Calendar'!$N$2193=SPECIAL_LBL)*(INC_SPECIALS="Y"))=0,"",'Dvd Calendar'!$N$2191)))</f>
        <v/>
      </c>
      <c r="M217" s="110">
        <f>IF(EO217="","",IF(ISNUMBER('Dvd Calendar'!$O$2191)=FALSE,"",IF((('Dvd Calendar'!$O$2193=TYPE1)*(TYPE1&lt;&gt;"")+('Dvd Calendar'!$O$2193=TYPE2)*(TYPE2&lt;&gt;"")+('Dvd Calendar'!$O$2193=TYPE3)*(TYPE3&lt;&gt;"")+('Dvd Calendar'!$O$2193=TYPE4)*(TYPE4&lt;&gt;"")+('Dvd Calendar'!$O$2193=SPECIAL_LBL)*(INC_SPECIALS="Y"))=0,"",'Dvd Calendar'!$O$2191)))</f>
        <v/>
      </c>
      <c r="N217" s="110">
        <f>IF(EP217="","",IF(ISNUMBER('Dvd Calendar'!$P$2191)=FALSE,"",IF((('Dvd Calendar'!$P$2193=TYPE1)*(TYPE1&lt;&gt;"")+('Dvd Calendar'!$P$2193=TYPE2)*(TYPE2&lt;&gt;"")+('Dvd Calendar'!$P$2193=TYPE3)*(TYPE3&lt;&gt;"")+('Dvd Calendar'!$P$2193=TYPE4)*(TYPE4&lt;&gt;"")+('Dvd Calendar'!$P$2193=SPECIAL_LBL)*(INC_SPECIALS="Y"))=0,"",'Dvd Calendar'!$P$2191)))</f>
        <v/>
      </c>
      <c r="O217" s="110">
        <f>IF(EQ217="","",IF(ISNUMBER('Dvd Calendar'!$Q$2191)=FALSE,"",IF((('Dvd Calendar'!$Q$2193=TYPE1)*(TYPE1&lt;&gt;"")+('Dvd Calendar'!$Q$2193=TYPE2)*(TYPE2&lt;&gt;"")+('Dvd Calendar'!$Q$2193=TYPE3)*(TYPE3&lt;&gt;"")+('Dvd Calendar'!$Q$2193=TYPE4)*(TYPE4&lt;&gt;"")+('Dvd Calendar'!$Q$2193=SPECIAL_LBL)*(INC_SPECIALS="Y"))=0,"",'Dvd Calendar'!$Q$2191)))</f>
        <v/>
      </c>
      <c r="P217" s="110">
        <f>IF(ER217="","",IF(ISNUMBER('Dvd Calendar'!$R$2191)=FALSE,"",IF((('Dvd Calendar'!$R$2193=TYPE1)*(TYPE1&lt;&gt;"")+('Dvd Calendar'!$R$2193=TYPE2)*(TYPE2&lt;&gt;"")+('Dvd Calendar'!$R$2193=TYPE3)*(TYPE3&lt;&gt;"")+('Dvd Calendar'!$R$2193=TYPE4)*(TYPE4&lt;&gt;"")+('Dvd Calendar'!$R$2193=SPECIAL_LBL)*(INC_SPECIALS="Y"))=0,"",'Dvd Calendar'!$R$2191)))</f>
        <v/>
      </c>
      <c r="Q217" s="110">
        <f>IF(ES217="","",IF(ISNUMBER('Dvd Calendar'!$S$2191)=FALSE,"",IF((('Dvd Calendar'!$S$2193=TYPE1)*(TYPE1&lt;&gt;"")+('Dvd Calendar'!$S$2193=TYPE2)*(TYPE2&lt;&gt;"")+('Dvd Calendar'!$S$2193=TYPE3)*(TYPE3&lt;&gt;"")+('Dvd Calendar'!$S$2193=TYPE4)*(TYPE4&lt;&gt;"")+('Dvd Calendar'!$S$2193=SPECIAL_LBL)*(INC_SPECIALS="Y"))=0,"",'Dvd Calendar'!$S$2191)))</f>
        <v/>
      </c>
      <c r="R217" s="110">
        <f>IF(ET217="","",IF(ISNUMBER('Dvd Calendar'!$T$2191)=FALSE,"",IF((('Dvd Calendar'!$T$2193=TYPE1)*(TYPE1&lt;&gt;"")+('Dvd Calendar'!$T$2193=TYPE2)*(TYPE2&lt;&gt;"")+('Dvd Calendar'!$T$2193=TYPE3)*(TYPE3&lt;&gt;"")+('Dvd Calendar'!$T$2193=TYPE4)*(TYPE4&lt;&gt;"")+('Dvd Calendar'!$T$2193=SPECIAL_LBL)*(INC_SPECIALS="Y"))=0,"",'Dvd Calendar'!$T$2191)))</f>
        <v/>
      </c>
      <c r="S217" s="110">
        <f>IF(EU217="","",IF(ISNUMBER('Dvd Calendar'!$U$2191)=FALSE,"",IF((('Dvd Calendar'!$U$2193=TYPE1)*(TYPE1&lt;&gt;"")+('Dvd Calendar'!$U$2193=TYPE2)*(TYPE2&lt;&gt;"")+('Dvd Calendar'!$U$2193=TYPE3)*(TYPE3&lt;&gt;"")+('Dvd Calendar'!$U$2193=TYPE4)*(TYPE4&lt;&gt;"")+('Dvd Calendar'!$U$2193=SPECIAL_LBL)*(INC_SPECIALS="Y"))=0,"",'Dvd Calendar'!$U$2191)))</f>
        <v/>
      </c>
      <c r="T217" s="110">
        <f>IF(EV217="","",IF(ISNUMBER('Dvd Calendar'!$V$2191)=FALSE,"",IF((('Dvd Calendar'!$V$2193=TYPE1)*(TYPE1&lt;&gt;"")+('Dvd Calendar'!$V$2193=TYPE2)*(TYPE2&lt;&gt;"")+('Dvd Calendar'!$V$2193=TYPE3)*(TYPE3&lt;&gt;"")+('Dvd Calendar'!$V$2193=TYPE4)*(TYPE4&lt;&gt;"")+('Dvd Calendar'!$V$2193=SPECIAL_LBL)*(INC_SPECIALS="Y"))=0,"",'Dvd Calendar'!$V$2191)))</f>
        <v/>
      </c>
      <c r="U217" s="110">
        <f>IF(EW217="","",IF(ISNUMBER('Dvd Calendar'!$W$2191)=FALSE,"",IF((('Dvd Calendar'!$W$2193=TYPE1)*(TYPE1&lt;&gt;"")+('Dvd Calendar'!$W$2193=TYPE2)*(TYPE2&lt;&gt;"")+('Dvd Calendar'!$W$2193=TYPE3)*(TYPE3&lt;&gt;"")+('Dvd Calendar'!$W$2193=TYPE4)*(TYPE4&lt;&gt;"")+('Dvd Calendar'!$W$2193=SPECIAL_LBL)*(INC_SPECIALS="Y"))=0,"",'Dvd Calendar'!$W$2191)))</f>
        <v/>
      </c>
      <c r="V217" s="110">
        <f>IF(EX217="","",IF(ISNUMBER('Dvd Calendar'!$X$2191)=FALSE,"",IF((('Dvd Calendar'!$X$2193=TYPE1)*(TYPE1&lt;&gt;"")+('Dvd Calendar'!$X$2193=TYPE2)*(TYPE2&lt;&gt;"")+('Dvd Calendar'!$X$2193=TYPE3)*(TYPE3&lt;&gt;"")+('Dvd Calendar'!$X$2193=TYPE4)*(TYPE4&lt;&gt;"")+('Dvd Calendar'!$X$2193=SPECIAL_LBL)*(INC_SPECIALS="Y"))=0,"",'Dvd Calendar'!$X$2191)))</f>
        <v/>
      </c>
      <c r="W217" s="110">
        <f>IF(EY217="","",IF(ISNUMBER('Dvd Calendar'!$Y$2191)=FALSE,"",IF((('Dvd Calendar'!$Y$2193=TYPE1)*(TYPE1&lt;&gt;"")+('Dvd Calendar'!$Y$2193=TYPE2)*(TYPE2&lt;&gt;"")+('Dvd Calendar'!$Y$2193=TYPE3)*(TYPE3&lt;&gt;"")+('Dvd Calendar'!$Y$2193=TYPE4)*(TYPE4&lt;&gt;"")+('Dvd Calendar'!$Y$2193=SPECIAL_LBL)*(INC_SPECIALS="Y"))=0,"",'Dvd Calendar'!$Y$2191)))</f>
        <v/>
      </c>
      <c r="X217" s="110">
        <f>IF(EZ217="","",IF(ISNUMBER('Dvd Calendar'!$Z$2191)=FALSE,"",IF((('Dvd Calendar'!$Z$2193=TYPE1)*(TYPE1&lt;&gt;"")+('Dvd Calendar'!$Z$2193=TYPE2)*(TYPE2&lt;&gt;"")+('Dvd Calendar'!$Z$2193=TYPE3)*(TYPE3&lt;&gt;"")+('Dvd Calendar'!$Z$2193=TYPE4)*(TYPE4&lt;&gt;"")+('Dvd Calendar'!$Z$2193=SPECIAL_LBL)*(INC_SPECIALS="Y"))=0,"",'Dvd Calendar'!$Z$2191)))</f>
        <v/>
      </c>
      <c r="Y217" s="110">
        <f>IF(FA217="","",IF(ISNUMBER('Dvd Calendar'!$AA$2191)=FALSE,"",IF((('Dvd Calendar'!$AA$2193=TYPE1)*(TYPE1&lt;&gt;"")+('Dvd Calendar'!$AA$2193=TYPE2)*(TYPE2&lt;&gt;"")+('Dvd Calendar'!$AA$2193=TYPE3)*(TYPE3&lt;&gt;"")+('Dvd Calendar'!$AA$2193=TYPE4)*(TYPE4&lt;&gt;"")+('Dvd Calendar'!$AA$2193=SPECIAL_LBL)*(INC_SPECIALS="Y"))=0,"",'Dvd Calendar'!$AA$2191)))</f>
        <v/>
      </c>
      <c r="Z217" s="110">
        <f>IF(FB217="","",IF(ISNUMBER('Dvd Calendar'!$AB$2191)=FALSE,"",IF((('Dvd Calendar'!$AB$2193=TYPE1)*(TYPE1&lt;&gt;"")+('Dvd Calendar'!$AB$2193=TYPE2)*(TYPE2&lt;&gt;"")+('Dvd Calendar'!$AB$2193=TYPE3)*(TYPE3&lt;&gt;"")+('Dvd Calendar'!$AB$2193=TYPE4)*(TYPE4&lt;&gt;"")+('Dvd Calendar'!$AB$2193=SPECIAL_LBL)*(INC_SPECIALS="Y"))=0,"",'Dvd Calendar'!$AB$2191)))</f>
        <v/>
      </c>
      <c r="AA217" s="110">
        <f>IF(FC217="","",IF(ISNUMBER('Dvd Calendar'!$AC$2191)=FALSE,"",IF((('Dvd Calendar'!$AC$2193=TYPE1)*(TYPE1&lt;&gt;"")+('Dvd Calendar'!$AC$2193=TYPE2)*(TYPE2&lt;&gt;"")+('Dvd Calendar'!$AC$2193=TYPE3)*(TYPE3&lt;&gt;"")+('Dvd Calendar'!$AC$2193=TYPE4)*(TYPE4&lt;&gt;"")+('Dvd Calendar'!$AC$2193=SPECIAL_LBL)*(INC_SPECIALS="Y"))=0,"",'Dvd Calendar'!$AC$2191)))</f>
        <v/>
      </c>
      <c r="AB217" s="110">
        <f>IF(FD217="","",IF(ISNUMBER('Dvd Calendar'!$AD$2191)=FALSE,"",IF((('Dvd Calendar'!$AD$2193=TYPE1)*(TYPE1&lt;&gt;"")+('Dvd Calendar'!$AD$2193=TYPE2)*(TYPE2&lt;&gt;"")+('Dvd Calendar'!$AD$2193=TYPE3)*(TYPE3&lt;&gt;"")+('Dvd Calendar'!$AD$2193=TYPE4)*(TYPE4&lt;&gt;"")+('Dvd Calendar'!$AD$2193=SPECIAL_LBL)*(INC_SPECIALS="Y"))=0,"",'Dvd Calendar'!$AD$2191)))</f>
        <v/>
      </c>
      <c r="AC217" s="110">
        <f>IF(FE217="","",IF(ISNUMBER('Dvd Calendar'!$AE$2191)=FALSE,"",IF((('Dvd Calendar'!$AE$2193=TYPE1)*(TYPE1&lt;&gt;"")+('Dvd Calendar'!$AE$2193=TYPE2)*(TYPE2&lt;&gt;"")+('Dvd Calendar'!$AE$2193=TYPE3)*(TYPE3&lt;&gt;"")+('Dvd Calendar'!$AE$2193=TYPE4)*(TYPE4&lt;&gt;"")+('Dvd Calendar'!$AE$2193=SPECIAL_LBL)*(INC_SPECIALS="Y"))=0,"",'Dvd Calendar'!$AE$2191)))</f>
        <v/>
      </c>
      <c r="AD217" s="110">
        <f>IF(FF217="","",IF(ISNUMBER('Dvd Calendar'!$AF$2191)=FALSE,"",IF((('Dvd Calendar'!$AF$2193=TYPE1)*(TYPE1&lt;&gt;"")+('Dvd Calendar'!$AF$2193=TYPE2)*(TYPE2&lt;&gt;"")+('Dvd Calendar'!$AF$2193=TYPE3)*(TYPE3&lt;&gt;"")+('Dvd Calendar'!$AF$2193=TYPE4)*(TYPE4&lt;&gt;"")+('Dvd Calendar'!$AF$2193=SPECIAL_LBL)*(INC_SPECIALS="Y"))=0,"",'Dvd Calendar'!$AF$2191)))</f>
        <v/>
      </c>
      <c r="AE217" s="110">
        <f>IF(FG217="","",IF(ISNUMBER('Dvd Calendar'!$AG$2191)=FALSE,"",IF((('Dvd Calendar'!$AG$2193=TYPE1)*(TYPE1&lt;&gt;"")+('Dvd Calendar'!$AG$2193=TYPE2)*(TYPE2&lt;&gt;"")+('Dvd Calendar'!$AG$2193=TYPE3)*(TYPE3&lt;&gt;"")+('Dvd Calendar'!$AG$2193=TYPE4)*(TYPE4&lt;&gt;"")+('Dvd Calendar'!$AG$2193=SPECIAL_LBL)*(INC_SPECIALS="Y"))=0,"",'Dvd Calendar'!$AG$2191)))</f>
        <v/>
      </c>
      <c r="AF217" s="110">
        <f>IF(FH217="","",IF(ISNUMBER('Dvd Calendar'!$AH$2191)=FALSE,"",IF((('Dvd Calendar'!$AH$2193=TYPE1)*(TYPE1&lt;&gt;"")+('Dvd Calendar'!$AH$2193=TYPE2)*(TYPE2&lt;&gt;"")+('Dvd Calendar'!$AH$2193=TYPE3)*(TYPE3&lt;&gt;"")+('Dvd Calendar'!$AH$2193=TYPE4)*(TYPE4&lt;&gt;"")+('Dvd Calendar'!$AH$2193=SPECIAL_LBL)*(INC_SPECIALS="Y"))=0,"",'Dvd Calendar'!$AH$2191)))</f>
        <v/>
      </c>
      <c r="AG217" s="110">
        <f>IF(FI217="","",IF(ISNUMBER('Dvd Calendar'!$AI$2191)=FALSE,"",IF((('Dvd Calendar'!$AI$2193=TYPE1)*(TYPE1&lt;&gt;"")+('Dvd Calendar'!$AI$2193=TYPE2)*(TYPE2&lt;&gt;"")+('Dvd Calendar'!$AI$2193=TYPE3)*(TYPE3&lt;&gt;"")+('Dvd Calendar'!$AI$2193=TYPE4)*(TYPE4&lt;&gt;"")+('Dvd Calendar'!$AI$2193=SPECIAL_LBL)*(INC_SPECIALS="Y"))=0,"",'Dvd Calendar'!$AI$2191)))</f>
        <v/>
      </c>
      <c r="AH217" s="110">
        <f>IF(FJ217="","",IF(ISNUMBER('Dvd Calendar'!$AJ$2191)=FALSE,"",IF((('Dvd Calendar'!$AJ$2193=TYPE1)*(TYPE1&lt;&gt;"")+('Dvd Calendar'!$AJ$2193=TYPE2)*(TYPE2&lt;&gt;"")+('Dvd Calendar'!$AJ$2193=TYPE3)*(TYPE3&lt;&gt;"")+('Dvd Calendar'!$AJ$2193=TYPE4)*(TYPE4&lt;&gt;"")+('Dvd Calendar'!$AJ$2193=SPECIAL_LBL)*(INC_SPECIALS="Y"))=0,"",'Dvd Calendar'!$AJ$2191)))</f>
        <v/>
      </c>
      <c r="AI217" s="110">
        <f>IF(FK217="","",IF(ISNUMBER('Dvd Calendar'!$AK$2191)=FALSE,"",IF((('Dvd Calendar'!$AK$2193=TYPE1)*(TYPE1&lt;&gt;"")+('Dvd Calendar'!$AK$2193=TYPE2)*(TYPE2&lt;&gt;"")+('Dvd Calendar'!$AK$2193=TYPE3)*(TYPE3&lt;&gt;"")+('Dvd Calendar'!$AK$2193=TYPE4)*(TYPE4&lt;&gt;"")+('Dvd Calendar'!$AK$2193=SPECIAL_LBL)*(INC_SPECIALS="Y"))=0,"",'Dvd Calendar'!$AK$2191)))</f>
        <v/>
      </c>
      <c r="AJ217" s="110">
        <f>IF(FL217="","",IF(ISNUMBER('Dvd Calendar'!$AL$2191)=FALSE,"",IF((('Dvd Calendar'!$AL$2193=TYPE1)*(TYPE1&lt;&gt;"")+('Dvd Calendar'!$AL$2193=TYPE2)*(TYPE2&lt;&gt;"")+('Dvd Calendar'!$AL$2193=TYPE3)*(TYPE3&lt;&gt;"")+('Dvd Calendar'!$AL$2193=TYPE4)*(TYPE4&lt;&gt;"")+('Dvd Calendar'!$AL$2193=SPECIAL_LBL)*(INC_SPECIALS="Y"))=0,"",'Dvd Calendar'!$AL$2191)))</f>
        <v/>
      </c>
      <c r="AK217" s="110">
        <f>IF(FM217="","",IF(ISNUMBER('Dvd Calendar'!$AM$2191)=FALSE,"",IF((('Dvd Calendar'!$AM$2193=TYPE1)*(TYPE1&lt;&gt;"")+('Dvd Calendar'!$AM$2193=TYPE2)*(TYPE2&lt;&gt;"")+('Dvd Calendar'!$AM$2193=TYPE3)*(TYPE3&lt;&gt;"")+('Dvd Calendar'!$AM$2193=TYPE4)*(TYPE4&lt;&gt;"")+('Dvd Calendar'!$AM$2193=SPECIAL_LBL)*(INC_SPECIALS="Y"))=0,"",'Dvd Calendar'!$AM$2191)))</f>
        <v/>
      </c>
      <c r="AL217" s="110">
        <f>IF(FN217="","",IF(ISNUMBER('Dvd Calendar'!$AN$2191)=FALSE,"",IF((('Dvd Calendar'!$AN$2193=TYPE1)*(TYPE1&lt;&gt;"")+('Dvd Calendar'!$AN$2193=TYPE2)*(TYPE2&lt;&gt;"")+('Dvd Calendar'!$AN$2193=TYPE3)*(TYPE3&lt;&gt;"")+('Dvd Calendar'!$AN$2193=TYPE4)*(TYPE4&lt;&gt;"")+('Dvd Calendar'!$AN$2193=SPECIAL_LBL)*(INC_SPECIALS="Y"))=0,"",'Dvd Calendar'!$AN$2191)))</f>
        <v/>
      </c>
      <c r="AM217" s="110">
        <f>IF(FO217="","",IF(ISNUMBER('Dvd Calendar'!$AO$2191)=FALSE,"",IF((('Dvd Calendar'!$AO$2193=TYPE1)*(TYPE1&lt;&gt;"")+('Dvd Calendar'!$AO$2193=TYPE2)*(TYPE2&lt;&gt;"")+('Dvd Calendar'!$AO$2193=TYPE3)*(TYPE3&lt;&gt;"")+('Dvd Calendar'!$AO$2193=TYPE4)*(TYPE4&lt;&gt;"")+('Dvd Calendar'!$AO$2193=SPECIAL_LBL)*(INC_SPECIALS="Y"))=0,"",'Dvd Calendar'!$AO$2191)))</f>
        <v/>
      </c>
      <c r="AN217" s="110">
        <f>IF(FP217="","",IF(ISNUMBER('Dvd Calendar'!$AP$2191)=FALSE,"",IF((('Dvd Calendar'!$AP$2193=TYPE1)*(TYPE1&lt;&gt;"")+('Dvd Calendar'!$AP$2193=TYPE2)*(TYPE2&lt;&gt;"")+('Dvd Calendar'!$AP$2193=TYPE3)*(TYPE3&lt;&gt;"")+('Dvd Calendar'!$AP$2193=TYPE4)*(TYPE4&lt;&gt;"")+('Dvd Calendar'!$AP$2193=SPECIAL_LBL)*(INC_SPECIALS="Y"))=0,"",'Dvd Calendar'!$AP$2191)))</f>
        <v/>
      </c>
      <c r="AO217" s="110">
        <f>IF(FQ217="","",IF(ISNUMBER('Dvd Calendar'!$AQ$2191)=FALSE,"",IF((('Dvd Calendar'!$AQ$2193=TYPE1)*(TYPE1&lt;&gt;"")+('Dvd Calendar'!$AQ$2193=TYPE2)*(TYPE2&lt;&gt;"")+('Dvd Calendar'!$AQ$2193=TYPE3)*(TYPE3&lt;&gt;"")+('Dvd Calendar'!$AQ$2193=TYPE4)*(TYPE4&lt;&gt;"")+('Dvd Calendar'!$AQ$2193=SPECIAL_LBL)*(INC_SPECIALS="Y"))=0,"",'Dvd Calendar'!$AQ$2191)))</f>
        <v/>
      </c>
      <c r="AP217" s="110">
        <f>IF(FR217="","",IF(ISNUMBER('Dvd Calendar'!$AR$2191)=FALSE,"",IF((('Dvd Calendar'!$AR$2193=TYPE1)*(TYPE1&lt;&gt;"")+('Dvd Calendar'!$AR$2193=TYPE2)*(TYPE2&lt;&gt;"")+('Dvd Calendar'!$AR$2193=TYPE3)*(TYPE3&lt;&gt;"")+('Dvd Calendar'!$AR$2193=TYPE4)*(TYPE4&lt;&gt;"")+('Dvd Calendar'!$AR$2193=SPECIAL_LBL)*(INC_SPECIALS="Y"))=0,"",'Dvd Calendar'!$AR$2191)))</f>
        <v/>
      </c>
      <c r="AQ217" s="110">
        <f>IF(FS217="","",IF(ISNUMBER('Dvd Calendar'!$E$2196)=FALSE,"",'Dvd Calendar'!$E$2196))</f>
        <v/>
      </c>
      <c r="AR217" s="110">
        <f>IF(FT217="","",IF(ISNUMBER('Dvd Calendar'!$F$2196)=FALSE,"",'Dvd Calendar'!$F$2196))</f>
        <v/>
      </c>
      <c r="AS217" s="110">
        <f>IF(FU217="","",IF(ISNUMBER('Dvd Calendar'!$G$2196)=FALSE,"",'Dvd Calendar'!$G$2196))</f>
        <v/>
      </c>
      <c r="AT217" s="110">
        <f>IF(FV217="","",IF(ISNUMBER('Dvd Calendar'!$H$2196)=FALSE,"",'Dvd Calendar'!$H$2196))</f>
        <v/>
      </c>
      <c r="AU217" s="110">
        <f>IF(FW217="","",IF(ISNUMBER('Dvd Calendar'!$I$2196)=FALSE,"",'Dvd Calendar'!$I$2196))</f>
        <v/>
      </c>
      <c r="AV217" s="110">
        <f>IF(FX217="","",IF(ISNUMBER('Dvd Calendar'!$J$2196)=FALSE,"",'Dvd Calendar'!$J$2196))</f>
        <v/>
      </c>
      <c r="AW217" s="110">
        <f>IF(FY217="","",IF(ISNUMBER('Dvd Calendar'!$K$2196)=FALSE,"",'Dvd Calendar'!$K$2196))</f>
        <v/>
      </c>
      <c r="AX217" s="110">
        <f>IF(FZ217="","",IF(ISNUMBER('Dvd Calendar'!$L$2196)=FALSE,"",'Dvd Calendar'!$L$2196))</f>
        <v/>
      </c>
      <c r="AY217" s="110">
        <f>IF(GA217="","",IF(ISNUMBER('Dvd Calendar'!$M$2196)=FALSE,"",'Dvd Calendar'!$M$2196))</f>
        <v/>
      </c>
      <c r="AZ217" s="110">
        <f>IF(GB217="","",IF(ISNUMBER('Dvd Calendar'!$N$2196)=FALSE,"",'Dvd Calendar'!$N$2196))</f>
        <v/>
      </c>
      <c r="BA217" s="110">
        <f>IF(GC217="","",IF(ISNUMBER('Dvd Calendar'!$O$2196)=FALSE,"",'Dvd Calendar'!$O$2196))</f>
        <v/>
      </c>
      <c r="BB217" s="110">
        <f>IF(GD217="","",IF(ISNUMBER('Dvd Calendar'!$P$2196)=FALSE,"",'Dvd Calendar'!$P$2196))</f>
        <v/>
      </c>
      <c r="BC217" s="110">
        <f>IF(GE217="","",IF(ISNUMBER('Dvd Calendar'!$Q$2196)=FALSE,"",'Dvd Calendar'!$Q$2196))</f>
        <v/>
      </c>
      <c r="BD217" s="110">
        <f>IF(GF217="","",IF(ISNUMBER('Dvd Calendar'!$R$2196)=FALSE,"",'Dvd Calendar'!$R$2196))</f>
        <v/>
      </c>
      <c r="BE217" s="110">
        <f>IF(GG217="","",IF(ISNUMBER('Dvd Calendar'!$S$2196)=FALSE,"",'Dvd Calendar'!$S$2196))</f>
        <v/>
      </c>
      <c r="BF217" s="110">
        <f>IF(GH217="","",IF(ISNUMBER('Dvd Calendar'!$T$2196)=FALSE,"",'Dvd Calendar'!$T$2196))</f>
        <v/>
      </c>
      <c r="BG217" s="110">
        <f>IF(GI217="","",IF(ISNUMBER('Dvd Calendar'!$U$2196)=FALSE,"",'Dvd Calendar'!$U$2196))</f>
        <v/>
      </c>
      <c r="BH217" s="110">
        <f>IF(GJ217="","",IF(ISNUMBER('Dvd Calendar'!$V$2196)=FALSE,"",'Dvd Calendar'!$V$2196))</f>
        <v/>
      </c>
      <c r="BI217" s="110">
        <f>IF(GK217="","",IF(ISNUMBER('Dvd Calendar'!$W$2196)=FALSE,"",'Dvd Calendar'!$W$2196))</f>
        <v/>
      </c>
      <c r="BJ217" s="110">
        <f>IF(GL217="","",IF(ISNUMBER('Dvd Calendar'!$X$2196)=FALSE,"",'Dvd Calendar'!$X$2196))</f>
        <v/>
      </c>
      <c r="BK217" s="110">
        <f>IF(GM217="","",IF(ISNUMBER('Dvd Calendar'!$Y$2196)=FALSE,"",'Dvd Calendar'!$Y$2196))</f>
        <v/>
      </c>
      <c r="BL217" s="110">
        <f>IF(GN217="","",IF(ISNUMBER('Dvd Calendar'!$Z$2196)=FALSE,"",'Dvd Calendar'!$Z$2196))</f>
        <v/>
      </c>
      <c r="BM217" s="110">
        <f>IF(GO217="","",IF(ISNUMBER('Dvd Calendar'!$AA$2196)=FALSE,"",'Dvd Calendar'!$AA$2196))</f>
        <v/>
      </c>
      <c r="BN217" s="110">
        <f>IF(GP217="","",IF(ISNUMBER('Dvd Calendar'!$AB$2196)=FALSE,"",'Dvd Calendar'!$AB$2196))</f>
        <v/>
      </c>
      <c r="BO217" s="110">
        <f>IF(GQ217="","",IF(ISNUMBER('Dvd Calendar'!$AC$2196)=FALSE,"",'Dvd Calendar'!$AC$2196))</f>
        <v/>
      </c>
      <c r="BQ217" s="110">
        <f>IF(C217="","",IFERROR(C217*HSCEI!$B$64*HSCEI!$G$64/HSCEI!$B$3,""))</f>
        <v/>
      </c>
      <c r="BR217" s="110">
        <f>IF(D217="","",IFERROR(D217*HSCEI!$B$64*HSCEI!$G$64/HSCEI!$B$3,""))</f>
        <v/>
      </c>
      <c r="BS217" s="110">
        <f>IF(E217="","",IFERROR(E217*HSCEI!$B$64*HSCEI!$G$64/HSCEI!$B$3,""))</f>
        <v/>
      </c>
      <c r="BT217" s="110">
        <f>IF(F217="","",IFERROR(F217*HSCEI!$B$64*HSCEI!$G$64/HSCEI!$B$3,""))</f>
        <v/>
      </c>
      <c r="BU217" s="110">
        <f>IF(G217="","",IFERROR(G217*HSCEI!$B$64*HSCEI!$G$64/HSCEI!$B$3,""))</f>
        <v/>
      </c>
      <c r="BV217" s="110">
        <f>IF(H217="","",IFERROR(H217*HSCEI!$B$64*HSCEI!$G$64/HSCEI!$B$3,""))</f>
        <v/>
      </c>
      <c r="BW217" s="110">
        <f>IF(I217="","",IFERROR(I217*HSCEI!$B$64*HSCEI!$G$64/HSCEI!$B$3,""))</f>
        <v/>
      </c>
      <c r="BX217" s="110">
        <f>IF(J217="","",IFERROR(J217*HSCEI!$B$64*HSCEI!$G$64/HSCEI!$B$3,""))</f>
        <v/>
      </c>
      <c r="BY217" s="110">
        <f>IF(K217="","",IFERROR(K217*HSCEI!$B$64*HSCEI!$G$64/HSCEI!$B$3,""))</f>
        <v/>
      </c>
      <c r="BZ217" s="110">
        <f>IF(L217="","",IFERROR(L217*HSCEI!$B$64*HSCEI!$G$64/HSCEI!$B$3,""))</f>
        <v/>
      </c>
      <c r="CA217" s="110">
        <f>IF(M217="","",IFERROR(M217*HSCEI!$B$64*HSCEI!$G$64/HSCEI!$B$3,""))</f>
        <v/>
      </c>
      <c r="CB217" s="110">
        <f>IF(N217="","",IFERROR(N217*HSCEI!$B$64*HSCEI!$G$64/HSCEI!$B$3,""))</f>
        <v/>
      </c>
      <c r="CC217" s="110">
        <f>IF(O217="","",IFERROR(O217*HSCEI!$B$64*HSCEI!$G$64/HSCEI!$B$3,""))</f>
        <v/>
      </c>
      <c r="CD217" s="110">
        <f>IF(P217="","",IFERROR(P217*HSCEI!$B$64*HSCEI!$G$64/HSCEI!$B$3,""))</f>
        <v/>
      </c>
      <c r="CE217" s="110">
        <f>IF(Q217="","",IFERROR(Q217*HSCEI!$B$64*HSCEI!$G$64/HSCEI!$B$3,""))</f>
        <v/>
      </c>
      <c r="CF217" s="110">
        <f>IF(R217="","",IFERROR(R217*HSCEI!$B$64*HSCEI!$G$64/HSCEI!$B$3,""))</f>
        <v/>
      </c>
      <c r="CG217" s="110">
        <f>IF(S217="","",IFERROR(S217*HSCEI!$B$64*HSCEI!$G$64/HSCEI!$B$3,""))</f>
        <v/>
      </c>
      <c r="CH217" s="110">
        <f>IF(T217="","",IFERROR(T217*HSCEI!$B$64*HSCEI!$G$64/HSCEI!$B$3,""))</f>
        <v/>
      </c>
      <c r="CI217" s="110">
        <f>IF(U217="","",IFERROR(U217*HSCEI!$B$64*HSCEI!$G$64/HSCEI!$B$3,""))</f>
        <v/>
      </c>
      <c r="CJ217" s="110">
        <f>IF(V217="","",IFERROR(V217*HSCEI!$B$64*HSCEI!$G$64/HSCEI!$B$3,""))</f>
        <v/>
      </c>
      <c r="CK217" s="110">
        <f>IF(W217="","",IFERROR(W217*HSCEI!$B$64*HSCEI!$G$64/HSCEI!$B$3,""))</f>
        <v/>
      </c>
      <c r="CL217" s="110">
        <f>IF(X217="","",IFERROR(X217*HSCEI!$B$64*HSCEI!$G$64/HSCEI!$B$3,""))</f>
        <v/>
      </c>
      <c r="CM217" s="110">
        <f>IF(Y217="","",IFERROR(Y217*HSCEI!$B$64*HSCEI!$G$64/HSCEI!$B$3,""))</f>
        <v/>
      </c>
      <c r="CN217" s="110">
        <f>IF(Z217="","",IFERROR(Z217*HSCEI!$B$64*HSCEI!$G$64/HSCEI!$B$3,""))</f>
        <v/>
      </c>
      <c r="CO217" s="110">
        <f>IF(AA217="","",IFERROR(AA217*HSCEI!$B$64*HSCEI!$G$64/HSCEI!$B$3,""))</f>
        <v/>
      </c>
      <c r="CP217" s="110">
        <f>IF(AB217="","",IFERROR(AB217*HSCEI!$B$64*HSCEI!$G$64/HSCEI!$B$3,""))</f>
        <v/>
      </c>
      <c r="CQ217" s="110">
        <f>IF(AC217="","",IFERROR(AC217*HSCEI!$B$64*HSCEI!$G$64/HSCEI!$B$3,""))</f>
        <v/>
      </c>
      <c r="CR217" s="110">
        <f>IF(AD217="","",IFERROR(AD217*HSCEI!$B$64*HSCEI!$G$64/HSCEI!$B$3,""))</f>
        <v/>
      </c>
      <c r="CS217" s="110">
        <f>IF(AE217="","",IFERROR(AE217*HSCEI!$B$64*HSCEI!$G$64/HSCEI!$B$3,""))</f>
        <v/>
      </c>
      <c r="CT217" s="110">
        <f>IF(AF217="","",IFERROR(AF217*HSCEI!$B$64*HSCEI!$G$64/HSCEI!$B$3,""))</f>
        <v/>
      </c>
      <c r="CU217" s="110">
        <f>IF(AG217="","",IFERROR(AG217*HSCEI!$B$64*HSCEI!$G$64/HSCEI!$B$3,""))</f>
        <v/>
      </c>
      <c r="CV217" s="110">
        <f>IF(AH217="","",IFERROR(AH217*HSCEI!$B$64*HSCEI!$G$64/HSCEI!$B$3,""))</f>
        <v/>
      </c>
      <c r="CW217" s="110">
        <f>IF(AI217="","",IFERROR(AI217*HSCEI!$B$64*HSCEI!$G$64/HSCEI!$B$3,""))</f>
        <v/>
      </c>
      <c r="CX217" s="110">
        <f>IF(AJ217="","",IFERROR(AJ217*HSCEI!$B$64*HSCEI!$G$64/HSCEI!$B$3,""))</f>
        <v/>
      </c>
      <c r="CY217" s="110">
        <f>IF(AK217="","",IFERROR(AK217*HSCEI!$B$64*HSCEI!$G$64/HSCEI!$B$3,""))</f>
        <v/>
      </c>
      <c r="CZ217" s="110">
        <f>IF(AL217="","",IFERROR(AL217*HSCEI!$B$64*HSCEI!$G$64/HSCEI!$B$3,""))</f>
        <v/>
      </c>
      <c r="DA217" s="110">
        <f>IF(AM217="","",IFERROR(AM217*HSCEI!$B$64*HSCEI!$G$64/HSCEI!$B$3,""))</f>
        <v/>
      </c>
      <c r="DB217" s="110">
        <f>IF(AN217="","",IFERROR(AN217*HSCEI!$B$64*HSCEI!$G$64/HSCEI!$B$3,""))</f>
        <v/>
      </c>
      <c r="DC217" s="110">
        <f>IF(AO217="","",IFERROR(AO217*HSCEI!$B$64*HSCEI!$G$64/HSCEI!$B$3,""))</f>
        <v/>
      </c>
      <c r="DD217" s="110">
        <f>IF(AP217="","",IFERROR(AP217*HSCEI!$B$64*HSCEI!$G$64/HSCEI!$B$3,""))</f>
        <v/>
      </c>
      <c r="DE217" s="110">
        <f>IF(AQ217="","",IFERROR(AQ217*HSCEI!$B$64*HSCEI!$G$64/HSCEI!$B$3,""))</f>
        <v/>
      </c>
      <c r="DF217" s="110">
        <f>IF(AR217="","",IFERROR(AR217*HSCEI!$B$64*HSCEI!$G$64/HSCEI!$B$3,""))</f>
        <v/>
      </c>
      <c r="DG217" s="110">
        <f>IF(AS217="","",IFERROR(AS217*HSCEI!$B$64*HSCEI!$G$64/HSCEI!$B$3,""))</f>
        <v/>
      </c>
      <c r="DH217" s="110">
        <f>IF(AT217="","",IFERROR(AT217*HSCEI!$B$64*HSCEI!$G$64/HSCEI!$B$3,""))</f>
        <v/>
      </c>
      <c r="DI217" s="110">
        <f>IF(AU217="","",IFERROR(AU217*HSCEI!$B$64*HSCEI!$G$64/HSCEI!$B$3,""))</f>
        <v/>
      </c>
      <c r="DJ217" s="110">
        <f>IF(AV217="","",IFERROR(AV217*HSCEI!$B$64*HSCEI!$G$64/HSCEI!$B$3,""))</f>
        <v/>
      </c>
      <c r="DK217" s="110">
        <f>IF(AW217="","",IFERROR(AW217*HSCEI!$B$64*HSCEI!$G$64/HSCEI!$B$3,""))</f>
        <v/>
      </c>
      <c r="DL217" s="110">
        <f>IF(AX217="","",IFERROR(AX217*HSCEI!$B$64*HSCEI!$G$64/HSCEI!$B$3,""))</f>
        <v/>
      </c>
      <c r="DM217" s="110">
        <f>IF(AY217="","",IFERROR(AY217*HSCEI!$B$64*HSCEI!$G$64/HSCEI!$B$3,""))</f>
        <v/>
      </c>
      <c r="DN217" s="110">
        <f>IF(AZ217="","",IFERROR(AZ217*HSCEI!$B$64*HSCEI!$G$64/HSCEI!$B$3,""))</f>
        <v/>
      </c>
      <c r="DO217" s="110">
        <f>IF(BA217="","",IFERROR(BA217*HSCEI!$B$64*HSCEI!$G$64/HSCEI!$B$3,""))</f>
        <v/>
      </c>
      <c r="DP217" s="110">
        <f>IF(BB217="","",IFERROR(BB217*HSCEI!$B$64*HSCEI!$G$64/HSCEI!$B$3,""))</f>
        <v/>
      </c>
      <c r="DQ217" s="110">
        <f>IF(BC217="","",IFERROR(BC217*HSCEI!$B$64*HSCEI!$G$64/HSCEI!$B$3,""))</f>
        <v/>
      </c>
      <c r="DR217" s="110">
        <f>IF(BD217="","",IFERROR(BD217*HSCEI!$B$64*HSCEI!$G$64/HSCEI!$B$3,""))</f>
        <v/>
      </c>
      <c r="DS217" s="110">
        <f>IF(BE217="","",IFERROR(BE217*HSCEI!$B$64*HSCEI!$G$64/HSCEI!$B$3,""))</f>
        <v/>
      </c>
      <c r="DT217" s="110">
        <f>IF(BF217="","",IFERROR(BF217*HSCEI!$B$64*HSCEI!$G$64/HSCEI!$B$3,""))</f>
        <v/>
      </c>
      <c r="DU217" s="110">
        <f>IF(BG217="","",IFERROR(BG217*HSCEI!$B$64*HSCEI!$G$64/HSCEI!$B$3,""))</f>
        <v/>
      </c>
      <c r="DV217" s="110">
        <f>IF(BH217="","",IFERROR(BH217*HSCEI!$B$64*HSCEI!$G$64/HSCEI!$B$3,""))</f>
        <v/>
      </c>
      <c r="DW217" s="110">
        <f>IF(BI217="","",IFERROR(BI217*HSCEI!$B$64*HSCEI!$G$64/HSCEI!$B$3,""))</f>
        <v/>
      </c>
      <c r="DX217" s="110">
        <f>IF(BJ217="","",IFERROR(BJ217*HSCEI!$B$64*HSCEI!$G$64/HSCEI!$B$3,""))</f>
        <v/>
      </c>
      <c r="DY217" s="110">
        <f>IF(BK217="","",IFERROR(BK217*HSCEI!$B$64*HSCEI!$G$64/HSCEI!$B$3,""))</f>
        <v/>
      </c>
      <c r="DZ217" s="110">
        <f>IF(BL217="","",IFERROR(BL217*HSCEI!$B$64*HSCEI!$G$64/HSCEI!$B$3,""))</f>
        <v/>
      </c>
      <c r="EA217" s="110">
        <f>IF(BM217="","",IFERROR(BM217*HSCEI!$B$64*HSCEI!$G$64/HSCEI!$B$3,""))</f>
        <v/>
      </c>
      <c r="EB217" s="110">
        <f>IF(BN217="","",IFERROR(BN217*HSCEI!$B$64*HSCEI!$G$64/HSCEI!$B$3,""))</f>
        <v/>
      </c>
      <c r="EC217" s="110">
        <f>IF(BO217="","",IFERROR(BO217*HSCEI!$B$64*HSCEI!$G$64/HSCEI!$B$3,""))</f>
        <v/>
      </c>
      <c r="EE217" s="39">
        <f>IF(N('Dvd Calendar'!$E$2188)=0,"",IF(('Dvd Calendar'!$E$2188&gt;=GRID_FROM)*('Dvd Calendar'!$E$2188&lt;=GRID_TO)*((('Dvd Calendar'!$E$2188&lt;=VAL_DATE)+(COUNTIF('Dvd Calendar'!$E$2195:$AR$2195,'Dvd Calendar'!$E$2188)=0))&gt;0)=0,"",'Dvd Calendar'!$E$2188*1000000000+ISNUMBER('Dvd Calendar'!$E$2191)*100000000+('Dvd Calendar'!$E$2193=SPECIAL_LBL)*10000000+(N('Dvd Calendar'!$E$2187)&gt;0)*(N('Dvd Calendar'!$E$2187)&lt;=VAL_SERIAL)*1000000+58*1000+1))</f>
        <v/>
      </c>
      <c r="EF217" s="39">
        <f>IF(N('Dvd Calendar'!$F$2188)=0,"",IF(('Dvd Calendar'!$F$2188&gt;=GRID_FROM)*('Dvd Calendar'!$F$2188&lt;=GRID_TO)*((('Dvd Calendar'!$F$2188&lt;=VAL_DATE)+(COUNTIF('Dvd Calendar'!$E$2195:$AR$2195,'Dvd Calendar'!$F$2188)=0))&gt;0)=0,"",'Dvd Calendar'!$F$2188*1000000000+ISNUMBER('Dvd Calendar'!$F$2191)*100000000+('Dvd Calendar'!$F$2193=SPECIAL_LBL)*10000000+(N('Dvd Calendar'!$F$2187)&gt;0)*(N('Dvd Calendar'!$F$2187)&lt;=VAL_SERIAL)*1000000+58*1000+2))</f>
        <v/>
      </c>
      <c r="EG217" s="39">
        <f>IF(N('Dvd Calendar'!$G$2188)=0,"",IF(('Dvd Calendar'!$G$2188&gt;=GRID_FROM)*('Dvd Calendar'!$G$2188&lt;=GRID_TO)*((('Dvd Calendar'!$G$2188&lt;=VAL_DATE)+(COUNTIF('Dvd Calendar'!$E$2195:$AR$2195,'Dvd Calendar'!$G$2188)=0))&gt;0)=0,"",'Dvd Calendar'!$G$2188*1000000000+ISNUMBER('Dvd Calendar'!$G$2191)*100000000+('Dvd Calendar'!$G$2193=SPECIAL_LBL)*10000000+(N('Dvd Calendar'!$G$2187)&gt;0)*(N('Dvd Calendar'!$G$2187)&lt;=VAL_SERIAL)*1000000+58*1000+3))</f>
        <v/>
      </c>
      <c r="EH217" s="39">
        <f>IF(N('Dvd Calendar'!$H$2188)=0,"",IF(('Dvd Calendar'!$H$2188&gt;=GRID_FROM)*('Dvd Calendar'!$H$2188&lt;=GRID_TO)*((('Dvd Calendar'!$H$2188&lt;=VAL_DATE)+(COUNTIF('Dvd Calendar'!$E$2195:$AR$2195,'Dvd Calendar'!$H$2188)=0))&gt;0)=0,"",'Dvd Calendar'!$H$2188*1000000000+ISNUMBER('Dvd Calendar'!$H$2191)*100000000+('Dvd Calendar'!$H$2193=SPECIAL_LBL)*10000000+(N('Dvd Calendar'!$H$2187)&gt;0)*(N('Dvd Calendar'!$H$2187)&lt;=VAL_SERIAL)*1000000+58*1000+4))</f>
        <v/>
      </c>
      <c r="EI217" s="39">
        <f>IF(N('Dvd Calendar'!$I$2188)=0,"",IF(('Dvd Calendar'!$I$2188&gt;=GRID_FROM)*('Dvd Calendar'!$I$2188&lt;=GRID_TO)*((('Dvd Calendar'!$I$2188&lt;=VAL_DATE)+(COUNTIF('Dvd Calendar'!$E$2195:$AR$2195,'Dvd Calendar'!$I$2188)=0))&gt;0)=0,"",'Dvd Calendar'!$I$2188*1000000000+ISNUMBER('Dvd Calendar'!$I$2191)*100000000+('Dvd Calendar'!$I$2193=SPECIAL_LBL)*10000000+(N('Dvd Calendar'!$I$2187)&gt;0)*(N('Dvd Calendar'!$I$2187)&lt;=VAL_SERIAL)*1000000+58*1000+5))</f>
        <v/>
      </c>
      <c r="EJ217" s="39">
        <f>IF(N('Dvd Calendar'!$J$2188)=0,"",IF(('Dvd Calendar'!$J$2188&gt;=GRID_FROM)*('Dvd Calendar'!$J$2188&lt;=GRID_TO)*((('Dvd Calendar'!$J$2188&lt;=VAL_DATE)+(COUNTIF('Dvd Calendar'!$E$2195:$AR$2195,'Dvd Calendar'!$J$2188)=0))&gt;0)=0,"",'Dvd Calendar'!$J$2188*1000000000+ISNUMBER('Dvd Calendar'!$J$2191)*100000000+('Dvd Calendar'!$J$2193=SPECIAL_LBL)*10000000+(N('Dvd Calendar'!$J$2187)&gt;0)*(N('Dvd Calendar'!$J$2187)&lt;=VAL_SERIAL)*1000000+58*1000+6))</f>
        <v/>
      </c>
      <c r="EK217" s="39">
        <f>IF(N('Dvd Calendar'!$K$2188)=0,"",IF(('Dvd Calendar'!$K$2188&gt;=GRID_FROM)*('Dvd Calendar'!$K$2188&lt;=GRID_TO)*((('Dvd Calendar'!$K$2188&lt;=VAL_DATE)+(COUNTIF('Dvd Calendar'!$E$2195:$AR$2195,'Dvd Calendar'!$K$2188)=0))&gt;0)=0,"",'Dvd Calendar'!$K$2188*1000000000+ISNUMBER('Dvd Calendar'!$K$2191)*100000000+('Dvd Calendar'!$K$2193=SPECIAL_LBL)*10000000+(N('Dvd Calendar'!$K$2187)&gt;0)*(N('Dvd Calendar'!$K$2187)&lt;=VAL_SERIAL)*1000000+58*1000+7))</f>
        <v/>
      </c>
      <c r="EL217" s="39">
        <f>IF(N('Dvd Calendar'!$L$2188)=0,"",IF(('Dvd Calendar'!$L$2188&gt;=GRID_FROM)*('Dvd Calendar'!$L$2188&lt;=GRID_TO)*((('Dvd Calendar'!$L$2188&lt;=VAL_DATE)+(COUNTIF('Dvd Calendar'!$E$2195:$AR$2195,'Dvd Calendar'!$L$2188)=0))&gt;0)=0,"",'Dvd Calendar'!$L$2188*1000000000+ISNUMBER('Dvd Calendar'!$L$2191)*100000000+('Dvd Calendar'!$L$2193=SPECIAL_LBL)*10000000+(N('Dvd Calendar'!$L$2187)&gt;0)*(N('Dvd Calendar'!$L$2187)&lt;=VAL_SERIAL)*1000000+58*1000+8))</f>
        <v/>
      </c>
      <c r="EM217" s="39">
        <f>IF(N('Dvd Calendar'!$M$2188)=0,"",IF(('Dvd Calendar'!$M$2188&gt;=GRID_FROM)*('Dvd Calendar'!$M$2188&lt;=GRID_TO)*((('Dvd Calendar'!$M$2188&lt;=VAL_DATE)+(COUNTIF('Dvd Calendar'!$E$2195:$AR$2195,'Dvd Calendar'!$M$2188)=0))&gt;0)=0,"",'Dvd Calendar'!$M$2188*1000000000+ISNUMBER('Dvd Calendar'!$M$2191)*100000000+('Dvd Calendar'!$M$2193=SPECIAL_LBL)*10000000+(N('Dvd Calendar'!$M$2187)&gt;0)*(N('Dvd Calendar'!$M$2187)&lt;=VAL_SERIAL)*1000000+58*1000+9))</f>
        <v/>
      </c>
      <c r="EN217" s="39">
        <f>IF(N('Dvd Calendar'!$N$2188)=0,"",IF(('Dvd Calendar'!$N$2188&gt;=GRID_FROM)*('Dvd Calendar'!$N$2188&lt;=GRID_TO)*((('Dvd Calendar'!$N$2188&lt;=VAL_DATE)+(COUNTIF('Dvd Calendar'!$E$2195:$AR$2195,'Dvd Calendar'!$N$2188)=0))&gt;0)=0,"",'Dvd Calendar'!$N$2188*1000000000+ISNUMBER('Dvd Calendar'!$N$2191)*100000000+('Dvd Calendar'!$N$2193=SPECIAL_LBL)*10000000+(N('Dvd Calendar'!$N$2187)&gt;0)*(N('Dvd Calendar'!$N$2187)&lt;=VAL_SERIAL)*1000000+58*1000+10))</f>
        <v/>
      </c>
      <c r="EO217" s="39">
        <f>IF(N('Dvd Calendar'!$O$2188)=0,"",IF(('Dvd Calendar'!$O$2188&gt;=GRID_FROM)*('Dvd Calendar'!$O$2188&lt;=GRID_TO)*((('Dvd Calendar'!$O$2188&lt;=VAL_DATE)+(COUNTIF('Dvd Calendar'!$E$2195:$AR$2195,'Dvd Calendar'!$O$2188)=0))&gt;0)=0,"",'Dvd Calendar'!$O$2188*1000000000+ISNUMBER('Dvd Calendar'!$O$2191)*100000000+('Dvd Calendar'!$O$2193=SPECIAL_LBL)*10000000+(N('Dvd Calendar'!$O$2187)&gt;0)*(N('Dvd Calendar'!$O$2187)&lt;=VAL_SERIAL)*1000000+58*1000+11))</f>
        <v/>
      </c>
      <c r="EP217" s="39">
        <f>IF(N('Dvd Calendar'!$P$2188)=0,"",IF(('Dvd Calendar'!$P$2188&gt;=GRID_FROM)*('Dvd Calendar'!$P$2188&lt;=GRID_TO)*((('Dvd Calendar'!$P$2188&lt;=VAL_DATE)+(COUNTIF('Dvd Calendar'!$E$2195:$AR$2195,'Dvd Calendar'!$P$2188)=0))&gt;0)=0,"",'Dvd Calendar'!$P$2188*1000000000+ISNUMBER('Dvd Calendar'!$P$2191)*100000000+('Dvd Calendar'!$P$2193=SPECIAL_LBL)*10000000+(N('Dvd Calendar'!$P$2187)&gt;0)*(N('Dvd Calendar'!$P$2187)&lt;=VAL_SERIAL)*1000000+58*1000+12))</f>
        <v/>
      </c>
      <c r="EQ217" s="39">
        <f>IF(N('Dvd Calendar'!$Q$2188)=0,"",IF(('Dvd Calendar'!$Q$2188&gt;=GRID_FROM)*('Dvd Calendar'!$Q$2188&lt;=GRID_TO)*((('Dvd Calendar'!$Q$2188&lt;=VAL_DATE)+(COUNTIF('Dvd Calendar'!$E$2195:$AR$2195,'Dvd Calendar'!$Q$2188)=0))&gt;0)=0,"",'Dvd Calendar'!$Q$2188*1000000000+ISNUMBER('Dvd Calendar'!$Q$2191)*100000000+('Dvd Calendar'!$Q$2193=SPECIAL_LBL)*10000000+(N('Dvd Calendar'!$Q$2187)&gt;0)*(N('Dvd Calendar'!$Q$2187)&lt;=VAL_SERIAL)*1000000+58*1000+13))</f>
        <v/>
      </c>
      <c r="ER217" s="39">
        <f>IF(N('Dvd Calendar'!$R$2188)=0,"",IF(('Dvd Calendar'!$R$2188&gt;=GRID_FROM)*('Dvd Calendar'!$R$2188&lt;=GRID_TO)*((('Dvd Calendar'!$R$2188&lt;=VAL_DATE)+(COUNTIF('Dvd Calendar'!$E$2195:$AR$2195,'Dvd Calendar'!$R$2188)=0))&gt;0)=0,"",'Dvd Calendar'!$R$2188*1000000000+ISNUMBER('Dvd Calendar'!$R$2191)*100000000+('Dvd Calendar'!$R$2193=SPECIAL_LBL)*10000000+(N('Dvd Calendar'!$R$2187)&gt;0)*(N('Dvd Calendar'!$R$2187)&lt;=VAL_SERIAL)*1000000+58*1000+14))</f>
        <v/>
      </c>
      <c r="ES217" s="39">
        <f>IF(N('Dvd Calendar'!$S$2188)=0,"",IF(('Dvd Calendar'!$S$2188&gt;=GRID_FROM)*('Dvd Calendar'!$S$2188&lt;=GRID_TO)*((('Dvd Calendar'!$S$2188&lt;=VAL_DATE)+(COUNTIF('Dvd Calendar'!$E$2195:$AR$2195,'Dvd Calendar'!$S$2188)=0))&gt;0)=0,"",'Dvd Calendar'!$S$2188*1000000000+ISNUMBER('Dvd Calendar'!$S$2191)*100000000+('Dvd Calendar'!$S$2193=SPECIAL_LBL)*10000000+(N('Dvd Calendar'!$S$2187)&gt;0)*(N('Dvd Calendar'!$S$2187)&lt;=VAL_SERIAL)*1000000+58*1000+15))</f>
        <v/>
      </c>
      <c r="ET217" s="39">
        <f>IF(N('Dvd Calendar'!$T$2188)=0,"",IF(('Dvd Calendar'!$T$2188&gt;=GRID_FROM)*('Dvd Calendar'!$T$2188&lt;=GRID_TO)*((('Dvd Calendar'!$T$2188&lt;=VAL_DATE)+(COUNTIF('Dvd Calendar'!$E$2195:$AR$2195,'Dvd Calendar'!$T$2188)=0))&gt;0)=0,"",'Dvd Calendar'!$T$2188*1000000000+ISNUMBER('Dvd Calendar'!$T$2191)*100000000+('Dvd Calendar'!$T$2193=SPECIAL_LBL)*10000000+(N('Dvd Calendar'!$T$2187)&gt;0)*(N('Dvd Calendar'!$T$2187)&lt;=VAL_SERIAL)*1000000+58*1000+16))</f>
        <v/>
      </c>
      <c r="EU217" s="39">
        <f>IF(N('Dvd Calendar'!$U$2188)=0,"",IF(('Dvd Calendar'!$U$2188&gt;=GRID_FROM)*('Dvd Calendar'!$U$2188&lt;=GRID_TO)*((('Dvd Calendar'!$U$2188&lt;=VAL_DATE)+(COUNTIF('Dvd Calendar'!$E$2195:$AR$2195,'Dvd Calendar'!$U$2188)=0))&gt;0)=0,"",'Dvd Calendar'!$U$2188*1000000000+ISNUMBER('Dvd Calendar'!$U$2191)*100000000+('Dvd Calendar'!$U$2193=SPECIAL_LBL)*10000000+(N('Dvd Calendar'!$U$2187)&gt;0)*(N('Dvd Calendar'!$U$2187)&lt;=VAL_SERIAL)*1000000+58*1000+17))</f>
        <v/>
      </c>
      <c r="EV217" s="39">
        <f>IF(N('Dvd Calendar'!$V$2188)=0,"",IF(('Dvd Calendar'!$V$2188&gt;=GRID_FROM)*('Dvd Calendar'!$V$2188&lt;=GRID_TO)*((('Dvd Calendar'!$V$2188&lt;=VAL_DATE)+(COUNTIF('Dvd Calendar'!$E$2195:$AR$2195,'Dvd Calendar'!$V$2188)=0))&gt;0)=0,"",'Dvd Calendar'!$V$2188*1000000000+ISNUMBER('Dvd Calendar'!$V$2191)*100000000+('Dvd Calendar'!$V$2193=SPECIAL_LBL)*10000000+(N('Dvd Calendar'!$V$2187)&gt;0)*(N('Dvd Calendar'!$V$2187)&lt;=VAL_SERIAL)*1000000+58*1000+18))</f>
        <v/>
      </c>
      <c r="EW217" s="39">
        <f>IF(N('Dvd Calendar'!$W$2188)=0,"",IF(('Dvd Calendar'!$W$2188&gt;=GRID_FROM)*('Dvd Calendar'!$W$2188&lt;=GRID_TO)*((('Dvd Calendar'!$W$2188&lt;=VAL_DATE)+(COUNTIF('Dvd Calendar'!$E$2195:$AR$2195,'Dvd Calendar'!$W$2188)=0))&gt;0)=0,"",'Dvd Calendar'!$W$2188*1000000000+ISNUMBER('Dvd Calendar'!$W$2191)*100000000+('Dvd Calendar'!$W$2193=SPECIAL_LBL)*10000000+(N('Dvd Calendar'!$W$2187)&gt;0)*(N('Dvd Calendar'!$W$2187)&lt;=VAL_SERIAL)*1000000+58*1000+19))</f>
        <v/>
      </c>
      <c r="EX217" s="39">
        <f>IF(N('Dvd Calendar'!$X$2188)=0,"",IF(('Dvd Calendar'!$X$2188&gt;=GRID_FROM)*('Dvd Calendar'!$X$2188&lt;=GRID_TO)*((('Dvd Calendar'!$X$2188&lt;=VAL_DATE)+(COUNTIF('Dvd Calendar'!$E$2195:$AR$2195,'Dvd Calendar'!$X$2188)=0))&gt;0)=0,"",'Dvd Calendar'!$X$2188*1000000000+ISNUMBER('Dvd Calendar'!$X$2191)*100000000+('Dvd Calendar'!$X$2193=SPECIAL_LBL)*10000000+(N('Dvd Calendar'!$X$2187)&gt;0)*(N('Dvd Calendar'!$X$2187)&lt;=VAL_SERIAL)*1000000+58*1000+20))</f>
        <v/>
      </c>
      <c r="EY217" s="39">
        <f>IF(N('Dvd Calendar'!$Y$2188)=0,"",IF(('Dvd Calendar'!$Y$2188&gt;=GRID_FROM)*('Dvd Calendar'!$Y$2188&lt;=GRID_TO)*((('Dvd Calendar'!$Y$2188&lt;=VAL_DATE)+(COUNTIF('Dvd Calendar'!$E$2195:$AR$2195,'Dvd Calendar'!$Y$2188)=0))&gt;0)=0,"",'Dvd Calendar'!$Y$2188*1000000000+ISNUMBER('Dvd Calendar'!$Y$2191)*100000000+('Dvd Calendar'!$Y$2193=SPECIAL_LBL)*10000000+(N('Dvd Calendar'!$Y$2187)&gt;0)*(N('Dvd Calendar'!$Y$2187)&lt;=VAL_SERIAL)*1000000+58*1000+21))</f>
        <v/>
      </c>
      <c r="EZ217" s="39">
        <f>IF(N('Dvd Calendar'!$Z$2188)=0,"",IF(('Dvd Calendar'!$Z$2188&gt;=GRID_FROM)*('Dvd Calendar'!$Z$2188&lt;=GRID_TO)*((('Dvd Calendar'!$Z$2188&lt;=VAL_DATE)+(COUNTIF('Dvd Calendar'!$E$2195:$AR$2195,'Dvd Calendar'!$Z$2188)=0))&gt;0)=0,"",'Dvd Calendar'!$Z$2188*1000000000+ISNUMBER('Dvd Calendar'!$Z$2191)*100000000+('Dvd Calendar'!$Z$2193=SPECIAL_LBL)*10000000+(N('Dvd Calendar'!$Z$2187)&gt;0)*(N('Dvd Calendar'!$Z$2187)&lt;=VAL_SERIAL)*1000000+58*1000+22))</f>
        <v/>
      </c>
      <c r="FA217" s="39">
        <f>IF(N('Dvd Calendar'!$AA$2188)=0,"",IF(('Dvd Calendar'!$AA$2188&gt;=GRID_FROM)*('Dvd Calendar'!$AA$2188&lt;=GRID_TO)*((('Dvd Calendar'!$AA$2188&lt;=VAL_DATE)+(COUNTIF('Dvd Calendar'!$E$2195:$AR$2195,'Dvd Calendar'!$AA$2188)=0))&gt;0)=0,"",'Dvd Calendar'!$AA$2188*1000000000+ISNUMBER('Dvd Calendar'!$AA$2191)*100000000+('Dvd Calendar'!$AA$2193=SPECIAL_LBL)*10000000+(N('Dvd Calendar'!$AA$2187)&gt;0)*(N('Dvd Calendar'!$AA$2187)&lt;=VAL_SERIAL)*1000000+58*1000+23))</f>
        <v/>
      </c>
      <c r="FB217" s="39">
        <f>IF(N('Dvd Calendar'!$AB$2188)=0,"",IF(('Dvd Calendar'!$AB$2188&gt;=GRID_FROM)*('Dvd Calendar'!$AB$2188&lt;=GRID_TO)*((('Dvd Calendar'!$AB$2188&lt;=VAL_DATE)+(COUNTIF('Dvd Calendar'!$E$2195:$AR$2195,'Dvd Calendar'!$AB$2188)=0))&gt;0)=0,"",'Dvd Calendar'!$AB$2188*1000000000+ISNUMBER('Dvd Calendar'!$AB$2191)*100000000+('Dvd Calendar'!$AB$2193=SPECIAL_LBL)*10000000+(N('Dvd Calendar'!$AB$2187)&gt;0)*(N('Dvd Calendar'!$AB$2187)&lt;=VAL_SERIAL)*1000000+58*1000+24))</f>
        <v/>
      </c>
      <c r="FC217" s="39">
        <f>IF(N('Dvd Calendar'!$AC$2188)=0,"",IF(('Dvd Calendar'!$AC$2188&gt;=GRID_FROM)*('Dvd Calendar'!$AC$2188&lt;=GRID_TO)*((('Dvd Calendar'!$AC$2188&lt;=VAL_DATE)+(COUNTIF('Dvd Calendar'!$E$2195:$AR$2195,'Dvd Calendar'!$AC$2188)=0))&gt;0)=0,"",'Dvd Calendar'!$AC$2188*1000000000+ISNUMBER('Dvd Calendar'!$AC$2191)*100000000+('Dvd Calendar'!$AC$2193=SPECIAL_LBL)*10000000+(N('Dvd Calendar'!$AC$2187)&gt;0)*(N('Dvd Calendar'!$AC$2187)&lt;=VAL_SERIAL)*1000000+58*1000+25))</f>
        <v/>
      </c>
      <c r="FD217" s="39">
        <f>IF(N('Dvd Calendar'!$AD$2188)=0,"",IF(('Dvd Calendar'!$AD$2188&gt;=GRID_FROM)*('Dvd Calendar'!$AD$2188&lt;=GRID_TO)*((('Dvd Calendar'!$AD$2188&lt;=VAL_DATE)+(COUNTIF('Dvd Calendar'!$E$2195:$AR$2195,'Dvd Calendar'!$AD$2188)=0))&gt;0)=0,"",'Dvd Calendar'!$AD$2188*1000000000+ISNUMBER('Dvd Calendar'!$AD$2191)*100000000+('Dvd Calendar'!$AD$2193=SPECIAL_LBL)*10000000+(N('Dvd Calendar'!$AD$2187)&gt;0)*(N('Dvd Calendar'!$AD$2187)&lt;=VAL_SERIAL)*1000000+58*1000+26))</f>
        <v/>
      </c>
      <c r="FE217" s="39">
        <f>IF(N('Dvd Calendar'!$AE$2188)=0,"",IF(('Dvd Calendar'!$AE$2188&gt;=GRID_FROM)*('Dvd Calendar'!$AE$2188&lt;=GRID_TO)*((('Dvd Calendar'!$AE$2188&lt;=VAL_DATE)+(COUNTIF('Dvd Calendar'!$E$2195:$AR$2195,'Dvd Calendar'!$AE$2188)=0))&gt;0)=0,"",'Dvd Calendar'!$AE$2188*1000000000+ISNUMBER('Dvd Calendar'!$AE$2191)*100000000+('Dvd Calendar'!$AE$2193=SPECIAL_LBL)*10000000+(N('Dvd Calendar'!$AE$2187)&gt;0)*(N('Dvd Calendar'!$AE$2187)&lt;=VAL_SERIAL)*1000000+58*1000+27))</f>
        <v/>
      </c>
      <c r="FF217" s="39">
        <f>IF(N('Dvd Calendar'!$AF$2188)=0,"",IF(('Dvd Calendar'!$AF$2188&gt;=GRID_FROM)*('Dvd Calendar'!$AF$2188&lt;=GRID_TO)*((('Dvd Calendar'!$AF$2188&lt;=VAL_DATE)+(COUNTIF('Dvd Calendar'!$E$2195:$AR$2195,'Dvd Calendar'!$AF$2188)=0))&gt;0)=0,"",'Dvd Calendar'!$AF$2188*1000000000+ISNUMBER('Dvd Calendar'!$AF$2191)*100000000+('Dvd Calendar'!$AF$2193=SPECIAL_LBL)*10000000+(N('Dvd Calendar'!$AF$2187)&gt;0)*(N('Dvd Calendar'!$AF$2187)&lt;=VAL_SERIAL)*1000000+58*1000+28))</f>
        <v/>
      </c>
      <c r="FG217" s="39">
        <f>IF(N('Dvd Calendar'!$AG$2188)=0,"",IF(('Dvd Calendar'!$AG$2188&gt;=GRID_FROM)*('Dvd Calendar'!$AG$2188&lt;=GRID_TO)*((('Dvd Calendar'!$AG$2188&lt;=VAL_DATE)+(COUNTIF('Dvd Calendar'!$E$2195:$AR$2195,'Dvd Calendar'!$AG$2188)=0))&gt;0)=0,"",'Dvd Calendar'!$AG$2188*1000000000+ISNUMBER('Dvd Calendar'!$AG$2191)*100000000+('Dvd Calendar'!$AG$2193=SPECIAL_LBL)*10000000+(N('Dvd Calendar'!$AG$2187)&gt;0)*(N('Dvd Calendar'!$AG$2187)&lt;=VAL_SERIAL)*1000000+58*1000+29))</f>
        <v/>
      </c>
      <c r="FH217" s="39">
        <f>IF(N('Dvd Calendar'!$AH$2188)=0,"",IF(('Dvd Calendar'!$AH$2188&gt;=GRID_FROM)*('Dvd Calendar'!$AH$2188&lt;=GRID_TO)*((('Dvd Calendar'!$AH$2188&lt;=VAL_DATE)+(COUNTIF('Dvd Calendar'!$E$2195:$AR$2195,'Dvd Calendar'!$AH$2188)=0))&gt;0)=0,"",'Dvd Calendar'!$AH$2188*1000000000+ISNUMBER('Dvd Calendar'!$AH$2191)*100000000+('Dvd Calendar'!$AH$2193=SPECIAL_LBL)*10000000+(N('Dvd Calendar'!$AH$2187)&gt;0)*(N('Dvd Calendar'!$AH$2187)&lt;=VAL_SERIAL)*1000000+58*1000+30))</f>
        <v/>
      </c>
      <c r="FI217" s="39">
        <f>IF(N('Dvd Calendar'!$AI$2188)=0,"",IF(('Dvd Calendar'!$AI$2188&gt;=GRID_FROM)*('Dvd Calendar'!$AI$2188&lt;=GRID_TO)*((('Dvd Calendar'!$AI$2188&lt;=VAL_DATE)+(COUNTIF('Dvd Calendar'!$E$2195:$AR$2195,'Dvd Calendar'!$AI$2188)=0))&gt;0)=0,"",'Dvd Calendar'!$AI$2188*1000000000+ISNUMBER('Dvd Calendar'!$AI$2191)*100000000+('Dvd Calendar'!$AI$2193=SPECIAL_LBL)*10000000+(N('Dvd Calendar'!$AI$2187)&gt;0)*(N('Dvd Calendar'!$AI$2187)&lt;=VAL_SERIAL)*1000000+58*1000+31))</f>
        <v/>
      </c>
      <c r="FJ217" s="39">
        <f>IF(N('Dvd Calendar'!$AJ$2188)=0,"",IF(('Dvd Calendar'!$AJ$2188&gt;=GRID_FROM)*('Dvd Calendar'!$AJ$2188&lt;=GRID_TO)*((('Dvd Calendar'!$AJ$2188&lt;=VAL_DATE)+(COUNTIF('Dvd Calendar'!$E$2195:$AR$2195,'Dvd Calendar'!$AJ$2188)=0))&gt;0)=0,"",'Dvd Calendar'!$AJ$2188*1000000000+ISNUMBER('Dvd Calendar'!$AJ$2191)*100000000+('Dvd Calendar'!$AJ$2193=SPECIAL_LBL)*10000000+(N('Dvd Calendar'!$AJ$2187)&gt;0)*(N('Dvd Calendar'!$AJ$2187)&lt;=VAL_SERIAL)*1000000+58*1000+32))</f>
        <v/>
      </c>
      <c r="FK217" s="39">
        <f>IF(N('Dvd Calendar'!$AK$2188)=0,"",IF(('Dvd Calendar'!$AK$2188&gt;=GRID_FROM)*('Dvd Calendar'!$AK$2188&lt;=GRID_TO)*((('Dvd Calendar'!$AK$2188&lt;=VAL_DATE)+(COUNTIF('Dvd Calendar'!$E$2195:$AR$2195,'Dvd Calendar'!$AK$2188)=0))&gt;0)=0,"",'Dvd Calendar'!$AK$2188*1000000000+ISNUMBER('Dvd Calendar'!$AK$2191)*100000000+('Dvd Calendar'!$AK$2193=SPECIAL_LBL)*10000000+(N('Dvd Calendar'!$AK$2187)&gt;0)*(N('Dvd Calendar'!$AK$2187)&lt;=VAL_SERIAL)*1000000+58*1000+33))</f>
        <v/>
      </c>
      <c r="FL217" s="39">
        <f>IF(N('Dvd Calendar'!$AL$2188)=0,"",IF(('Dvd Calendar'!$AL$2188&gt;=GRID_FROM)*('Dvd Calendar'!$AL$2188&lt;=GRID_TO)*((('Dvd Calendar'!$AL$2188&lt;=VAL_DATE)+(COUNTIF('Dvd Calendar'!$E$2195:$AR$2195,'Dvd Calendar'!$AL$2188)=0))&gt;0)=0,"",'Dvd Calendar'!$AL$2188*1000000000+ISNUMBER('Dvd Calendar'!$AL$2191)*100000000+('Dvd Calendar'!$AL$2193=SPECIAL_LBL)*10000000+(N('Dvd Calendar'!$AL$2187)&gt;0)*(N('Dvd Calendar'!$AL$2187)&lt;=VAL_SERIAL)*1000000+58*1000+34))</f>
        <v/>
      </c>
      <c r="FM217" s="39">
        <f>IF(N('Dvd Calendar'!$AM$2188)=0,"",IF(('Dvd Calendar'!$AM$2188&gt;=GRID_FROM)*('Dvd Calendar'!$AM$2188&lt;=GRID_TO)*((('Dvd Calendar'!$AM$2188&lt;=VAL_DATE)+(COUNTIF('Dvd Calendar'!$E$2195:$AR$2195,'Dvd Calendar'!$AM$2188)=0))&gt;0)=0,"",'Dvd Calendar'!$AM$2188*1000000000+ISNUMBER('Dvd Calendar'!$AM$2191)*100000000+('Dvd Calendar'!$AM$2193=SPECIAL_LBL)*10000000+(N('Dvd Calendar'!$AM$2187)&gt;0)*(N('Dvd Calendar'!$AM$2187)&lt;=VAL_SERIAL)*1000000+58*1000+35))</f>
        <v/>
      </c>
      <c r="FN217" s="39">
        <f>IF(N('Dvd Calendar'!$AN$2188)=0,"",IF(('Dvd Calendar'!$AN$2188&gt;=GRID_FROM)*('Dvd Calendar'!$AN$2188&lt;=GRID_TO)*((('Dvd Calendar'!$AN$2188&lt;=VAL_DATE)+(COUNTIF('Dvd Calendar'!$E$2195:$AR$2195,'Dvd Calendar'!$AN$2188)=0))&gt;0)=0,"",'Dvd Calendar'!$AN$2188*1000000000+ISNUMBER('Dvd Calendar'!$AN$2191)*100000000+('Dvd Calendar'!$AN$2193=SPECIAL_LBL)*10000000+(N('Dvd Calendar'!$AN$2187)&gt;0)*(N('Dvd Calendar'!$AN$2187)&lt;=VAL_SERIAL)*1000000+58*1000+36))</f>
        <v/>
      </c>
      <c r="FO217" s="39">
        <f>IF(N('Dvd Calendar'!$AO$2188)=0,"",IF(('Dvd Calendar'!$AO$2188&gt;=GRID_FROM)*('Dvd Calendar'!$AO$2188&lt;=GRID_TO)*((('Dvd Calendar'!$AO$2188&lt;=VAL_DATE)+(COUNTIF('Dvd Calendar'!$E$2195:$AR$2195,'Dvd Calendar'!$AO$2188)=0))&gt;0)=0,"",'Dvd Calendar'!$AO$2188*1000000000+ISNUMBER('Dvd Calendar'!$AO$2191)*100000000+('Dvd Calendar'!$AO$2193=SPECIAL_LBL)*10000000+(N('Dvd Calendar'!$AO$2187)&gt;0)*(N('Dvd Calendar'!$AO$2187)&lt;=VAL_SERIAL)*1000000+58*1000+37))</f>
        <v/>
      </c>
      <c r="FP217" s="39">
        <f>IF(N('Dvd Calendar'!$AP$2188)=0,"",IF(('Dvd Calendar'!$AP$2188&gt;=GRID_FROM)*('Dvd Calendar'!$AP$2188&lt;=GRID_TO)*((('Dvd Calendar'!$AP$2188&lt;=VAL_DATE)+(COUNTIF('Dvd Calendar'!$E$2195:$AR$2195,'Dvd Calendar'!$AP$2188)=0))&gt;0)=0,"",'Dvd Calendar'!$AP$2188*1000000000+ISNUMBER('Dvd Calendar'!$AP$2191)*100000000+('Dvd Calendar'!$AP$2193=SPECIAL_LBL)*10000000+(N('Dvd Calendar'!$AP$2187)&gt;0)*(N('Dvd Calendar'!$AP$2187)&lt;=VAL_SERIAL)*1000000+58*1000+38))</f>
        <v/>
      </c>
      <c r="FQ217" s="39">
        <f>IF(N('Dvd Calendar'!$AQ$2188)=0,"",IF(('Dvd Calendar'!$AQ$2188&gt;=GRID_FROM)*('Dvd Calendar'!$AQ$2188&lt;=GRID_TO)*((('Dvd Calendar'!$AQ$2188&lt;=VAL_DATE)+(COUNTIF('Dvd Calendar'!$E$2195:$AR$2195,'Dvd Calendar'!$AQ$2188)=0))&gt;0)=0,"",'Dvd Calendar'!$AQ$2188*1000000000+ISNUMBER('Dvd Calendar'!$AQ$2191)*100000000+('Dvd Calendar'!$AQ$2193=SPECIAL_LBL)*10000000+(N('Dvd Calendar'!$AQ$2187)&gt;0)*(N('Dvd Calendar'!$AQ$2187)&lt;=VAL_SERIAL)*1000000+58*1000+39))</f>
        <v/>
      </c>
      <c r="FR217" s="39">
        <f>IF(N('Dvd Calendar'!$AR$2188)=0,"",IF(('Dvd Calendar'!$AR$2188&gt;=GRID_FROM)*('Dvd Calendar'!$AR$2188&lt;=GRID_TO)*((('Dvd Calendar'!$AR$2188&lt;=VAL_DATE)+(COUNTIF('Dvd Calendar'!$E$2195:$AR$2195,'Dvd Calendar'!$AR$2188)=0))&gt;0)=0,"",'Dvd Calendar'!$AR$2188*1000000000+ISNUMBER('Dvd Calendar'!$AR$2191)*100000000+('Dvd Calendar'!$AR$2193=SPECIAL_LBL)*10000000+(N('Dvd Calendar'!$AR$2187)&gt;0)*(N('Dvd Calendar'!$AR$2187)&lt;=VAL_SERIAL)*1000000+58*1000+40))</f>
        <v/>
      </c>
      <c r="FS217" s="39">
        <f>IF(N('Dvd Calendar'!$E$2195)=0,"",IF(('Dvd Calendar'!$E$2195&gt;=GRID_FROM)*('Dvd Calendar'!$E$2195&lt;=GRID_TO)*('Dvd Calendar'!$E$2195&gt;VAL_DATE)=0,"",'Dvd Calendar'!$E$2195*1000000000+ISNUMBER('Dvd Calendar'!$E$2196)*100000000+0*10000000+(N('Dvd Calendar'!$E$2194)&gt;0)*(N('Dvd Calendar'!$E$2194)&lt;=VAL_SERIAL)*1000000+58*1000+41))</f>
        <v/>
      </c>
      <c r="FT217" s="39">
        <f>IF(N('Dvd Calendar'!$F$2195)=0,"",IF(('Dvd Calendar'!$F$2195&gt;=GRID_FROM)*('Dvd Calendar'!$F$2195&lt;=GRID_TO)*('Dvd Calendar'!$F$2195&gt;VAL_DATE)=0,"",'Dvd Calendar'!$F$2195*1000000000+ISNUMBER('Dvd Calendar'!$F$2196)*100000000+0*10000000+(N('Dvd Calendar'!$F$2194)&gt;0)*(N('Dvd Calendar'!$F$2194)&lt;=VAL_SERIAL)*1000000+58*1000+42))</f>
        <v/>
      </c>
      <c r="FU217" s="39">
        <f>IF(N('Dvd Calendar'!$G$2195)=0,"",IF(('Dvd Calendar'!$G$2195&gt;=GRID_FROM)*('Dvd Calendar'!$G$2195&lt;=GRID_TO)*('Dvd Calendar'!$G$2195&gt;VAL_DATE)=0,"",'Dvd Calendar'!$G$2195*1000000000+ISNUMBER('Dvd Calendar'!$G$2196)*100000000+0*10000000+(N('Dvd Calendar'!$G$2194)&gt;0)*(N('Dvd Calendar'!$G$2194)&lt;=VAL_SERIAL)*1000000+58*1000+43))</f>
        <v/>
      </c>
      <c r="FV217" s="39">
        <f>IF(N('Dvd Calendar'!$H$2195)=0,"",IF(('Dvd Calendar'!$H$2195&gt;=GRID_FROM)*('Dvd Calendar'!$H$2195&lt;=GRID_TO)*('Dvd Calendar'!$H$2195&gt;VAL_DATE)=0,"",'Dvd Calendar'!$H$2195*1000000000+ISNUMBER('Dvd Calendar'!$H$2196)*100000000+0*10000000+(N('Dvd Calendar'!$H$2194)&gt;0)*(N('Dvd Calendar'!$H$2194)&lt;=VAL_SERIAL)*1000000+58*1000+44))</f>
        <v/>
      </c>
      <c r="FW217" s="39">
        <f>IF(N('Dvd Calendar'!$I$2195)=0,"",IF(('Dvd Calendar'!$I$2195&gt;=GRID_FROM)*('Dvd Calendar'!$I$2195&lt;=GRID_TO)*('Dvd Calendar'!$I$2195&gt;VAL_DATE)=0,"",'Dvd Calendar'!$I$2195*1000000000+ISNUMBER('Dvd Calendar'!$I$2196)*100000000+0*10000000+(N('Dvd Calendar'!$I$2194)&gt;0)*(N('Dvd Calendar'!$I$2194)&lt;=VAL_SERIAL)*1000000+58*1000+45))</f>
        <v/>
      </c>
      <c r="FX217" s="39">
        <f>IF(N('Dvd Calendar'!$J$2195)=0,"",IF(('Dvd Calendar'!$J$2195&gt;=GRID_FROM)*('Dvd Calendar'!$J$2195&lt;=GRID_TO)*('Dvd Calendar'!$J$2195&gt;VAL_DATE)=0,"",'Dvd Calendar'!$J$2195*1000000000+ISNUMBER('Dvd Calendar'!$J$2196)*100000000+0*10000000+(N('Dvd Calendar'!$J$2194)&gt;0)*(N('Dvd Calendar'!$J$2194)&lt;=VAL_SERIAL)*1000000+58*1000+46))</f>
        <v/>
      </c>
      <c r="FY217" s="39">
        <f>IF(N('Dvd Calendar'!$K$2195)=0,"",IF(('Dvd Calendar'!$K$2195&gt;=GRID_FROM)*('Dvd Calendar'!$K$2195&lt;=GRID_TO)*('Dvd Calendar'!$K$2195&gt;VAL_DATE)=0,"",'Dvd Calendar'!$K$2195*1000000000+ISNUMBER('Dvd Calendar'!$K$2196)*100000000+0*10000000+(N('Dvd Calendar'!$K$2194)&gt;0)*(N('Dvd Calendar'!$K$2194)&lt;=VAL_SERIAL)*1000000+58*1000+47))</f>
        <v/>
      </c>
      <c r="FZ217" s="39">
        <f>IF(N('Dvd Calendar'!$L$2195)=0,"",IF(('Dvd Calendar'!$L$2195&gt;=GRID_FROM)*('Dvd Calendar'!$L$2195&lt;=GRID_TO)*('Dvd Calendar'!$L$2195&gt;VAL_DATE)=0,"",'Dvd Calendar'!$L$2195*1000000000+ISNUMBER('Dvd Calendar'!$L$2196)*100000000+0*10000000+(N('Dvd Calendar'!$L$2194)&gt;0)*(N('Dvd Calendar'!$L$2194)&lt;=VAL_SERIAL)*1000000+58*1000+48))</f>
        <v/>
      </c>
      <c r="GA217" s="39">
        <f>IF(N('Dvd Calendar'!$M$2195)=0,"",IF(('Dvd Calendar'!$M$2195&gt;=GRID_FROM)*('Dvd Calendar'!$M$2195&lt;=GRID_TO)*('Dvd Calendar'!$M$2195&gt;VAL_DATE)=0,"",'Dvd Calendar'!$M$2195*1000000000+ISNUMBER('Dvd Calendar'!$M$2196)*100000000+0*10000000+(N('Dvd Calendar'!$M$2194)&gt;0)*(N('Dvd Calendar'!$M$2194)&lt;=VAL_SERIAL)*1000000+58*1000+49))</f>
        <v/>
      </c>
      <c r="GB217" s="39">
        <f>IF(N('Dvd Calendar'!$N$2195)=0,"",IF(('Dvd Calendar'!$N$2195&gt;=GRID_FROM)*('Dvd Calendar'!$N$2195&lt;=GRID_TO)*('Dvd Calendar'!$N$2195&gt;VAL_DATE)=0,"",'Dvd Calendar'!$N$2195*1000000000+ISNUMBER('Dvd Calendar'!$N$2196)*100000000+0*10000000+(N('Dvd Calendar'!$N$2194)&gt;0)*(N('Dvd Calendar'!$N$2194)&lt;=VAL_SERIAL)*1000000+58*1000+50))</f>
        <v/>
      </c>
      <c r="GC217" s="39">
        <f>IF(N('Dvd Calendar'!$O$2195)=0,"",IF(('Dvd Calendar'!$O$2195&gt;=GRID_FROM)*('Dvd Calendar'!$O$2195&lt;=GRID_TO)*('Dvd Calendar'!$O$2195&gt;VAL_DATE)=0,"",'Dvd Calendar'!$O$2195*1000000000+ISNUMBER('Dvd Calendar'!$O$2196)*100000000+0*10000000+(N('Dvd Calendar'!$O$2194)&gt;0)*(N('Dvd Calendar'!$O$2194)&lt;=VAL_SERIAL)*1000000+58*1000+51))</f>
        <v/>
      </c>
      <c r="GD217" s="39">
        <f>IF(N('Dvd Calendar'!$P$2195)=0,"",IF(('Dvd Calendar'!$P$2195&gt;=GRID_FROM)*('Dvd Calendar'!$P$2195&lt;=GRID_TO)*('Dvd Calendar'!$P$2195&gt;VAL_DATE)=0,"",'Dvd Calendar'!$P$2195*1000000000+ISNUMBER('Dvd Calendar'!$P$2196)*100000000+0*10000000+(N('Dvd Calendar'!$P$2194)&gt;0)*(N('Dvd Calendar'!$P$2194)&lt;=VAL_SERIAL)*1000000+58*1000+52))</f>
        <v/>
      </c>
      <c r="GE217" s="39">
        <f>IF(N('Dvd Calendar'!$Q$2195)=0,"",IF(('Dvd Calendar'!$Q$2195&gt;=GRID_FROM)*('Dvd Calendar'!$Q$2195&lt;=GRID_TO)*('Dvd Calendar'!$Q$2195&gt;VAL_DATE)=0,"",'Dvd Calendar'!$Q$2195*1000000000+ISNUMBER('Dvd Calendar'!$Q$2196)*100000000+0*10000000+(N('Dvd Calendar'!$Q$2194)&gt;0)*(N('Dvd Calendar'!$Q$2194)&lt;=VAL_SERIAL)*1000000+58*1000+53))</f>
        <v/>
      </c>
      <c r="GF217" s="39">
        <f>IF(N('Dvd Calendar'!$R$2195)=0,"",IF(('Dvd Calendar'!$R$2195&gt;=GRID_FROM)*('Dvd Calendar'!$R$2195&lt;=GRID_TO)*('Dvd Calendar'!$R$2195&gt;VAL_DATE)=0,"",'Dvd Calendar'!$R$2195*1000000000+ISNUMBER('Dvd Calendar'!$R$2196)*100000000+0*10000000+(N('Dvd Calendar'!$R$2194)&gt;0)*(N('Dvd Calendar'!$R$2194)&lt;=VAL_SERIAL)*1000000+58*1000+54))</f>
        <v/>
      </c>
      <c r="GG217" s="39">
        <f>IF(N('Dvd Calendar'!$S$2195)=0,"",IF(('Dvd Calendar'!$S$2195&gt;=GRID_FROM)*('Dvd Calendar'!$S$2195&lt;=GRID_TO)*('Dvd Calendar'!$S$2195&gt;VAL_DATE)=0,"",'Dvd Calendar'!$S$2195*1000000000+ISNUMBER('Dvd Calendar'!$S$2196)*100000000+0*10000000+(N('Dvd Calendar'!$S$2194)&gt;0)*(N('Dvd Calendar'!$S$2194)&lt;=VAL_SERIAL)*1000000+58*1000+55))</f>
        <v/>
      </c>
      <c r="GH217" s="39">
        <f>IF(N('Dvd Calendar'!$T$2195)=0,"",IF(('Dvd Calendar'!$T$2195&gt;=GRID_FROM)*('Dvd Calendar'!$T$2195&lt;=GRID_TO)*('Dvd Calendar'!$T$2195&gt;VAL_DATE)=0,"",'Dvd Calendar'!$T$2195*1000000000+ISNUMBER('Dvd Calendar'!$T$2196)*100000000+0*10000000+(N('Dvd Calendar'!$T$2194)&gt;0)*(N('Dvd Calendar'!$T$2194)&lt;=VAL_SERIAL)*1000000+58*1000+56))</f>
        <v/>
      </c>
      <c r="GI217" s="39">
        <f>IF(N('Dvd Calendar'!$U$2195)=0,"",IF(('Dvd Calendar'!$U$2195&gt;=GRID_FROM)*('Dvd Calendar'!$U$2195&lt;=GRID_TO)*('Dvd Calendar'!$U$2195&gt;VAL_DATE)=0,"",'Dvd Calendar'!$U$2195*1000000000+ISNUMBER('Dvd Calendar'!$U$2196)*100000000+0*10000000+(N('Dvd Calendar'!$U$2194)&gt;0)*(N('Dvd Calendar'!$U$2194)&lt;=VAL_SERIAL)*1000000+58*1000+57))</f>
        <v/>
      </c>
      <c r="GJ217" s="39">
        <f>IF(N('Dvd Calendar'!$V$2195)=0,"",IF(('Dvd Calendar'!$V$2195&gt;=GRID_FROM)*('Dvd Calendar'!$V$2195&lt;=GRID_TO)*('Dvd Calendar'!$V$2195&gt;VAL_DATE)=0,"",'Dvd Calendar'!$V$2195*1000000000+ISNUMBER('Dvd Calendar'!$V$2196)*100000000+0*10000000+(N('Dvd Calendar'!$V$2194)&gt;0)*(N('Dvd Calendar'!$V$2194)&lt;=VAL_SERIAL)*1000000+58*1000+58))</f>
        <v/>
      </c>
      <c r="GK217" s="39">
        <f>IF(N('Dvd Calendar'!$W$2195)=0,"",IF(('Dvd Calendar'!$W$2195&gt;=GRID_FROM)*('Dvd Calendar'!$W$2195&lt;=GRID_TO)*('Dvd Calendar'!$W$2195&gt;VAL_DATE)=0,"",'Dvd Calendar'!$W$2195*1000000000+ISNUMBER('Dvd Calendar'!$W$2196)*100000000+0*10000000+(N('Dvd Calendar'!$W$2194)&gt;0)*(N('Dvd Calendar'!$W$2194)&lt;=VAL_SERIAL)*1000000+58*1000+59))</f>
        <v/>
      </c>
      <c r="GL217" s="39">
        <f>IF(N('Dvd Calendar'!$X$2195)=0,"",IF(('Dvd Calendar'!$X$2195&gt;=GRID_FROM)*('Dvd Calendar'!$X$2195&lt;=GRID_TO)*('Dvd Calendar'!$X$2195&gt;VAL_DATE)=0,"",'Dvd Calendar'!$X$2195*1000000000+ISNUMBER('Dvd Calendar'!$X$2196)*100000000+0*10000000+(N('Dvd Calendar'!$X$2194)&gt;0)*(N('Dvd Calendar'!$X$2194)&lt;=VAL_SERIAL)*1000000+58*1000+60))</f>
        <v/>
      </c>
      <c r="GM217" s="39">
        <f>IF(N('Dvd Calendar'!$Y$2195)=0,"",IF(('Dvd Calendar'!$Y$2195&gt;=GRID_FROM)*('Dvd Calendar'!$Y$2195&lt;=GRID_TO)*('Dvd Calendar'!$Y$2195&gt;VAL_DATE)=0,"",'Dvd Calendar'!$Y$2195*1000000000+ISNUMBER('Dvd Calendar'!$Y$2196)*100000000+0*10000000+(N('Dvd Calendar'!$Y$2194)&gt;0)*(N('Dvd Calendar'!$Y$2194)&lt;=VAL_SERIAL)*1000000+58*1000+61))</f>
        <v/>
      </c>
      <c r="GN217" s="39">
        <f>IF(N('Dvd Calendar'!$Z$2195)=0,"",IF(('Dvd Calendar'!$Z$2195&gt;=GRID_FROM)*('Dvd Calendar'!$Z$2195&lt;=GRID_TO)*('Dvd Calendar'!$Z$2195&gt;VAL_DATE)=0,"",'Dvd Calendar'!$Z$2195*1000000000+ISNUMBER('Dvd Calendar'!$Z$2196)*100000000+0*10000000+(N('Dvd Calendar'!$Z$2194)&gt;0)*(N('Dvd Calendar'!$Z$2194)&lt;=VAL_SERIAL)*1000000+58*1000+62))</f>
        <v/>
      </c>
      <c r="GO217" s="39">
        <f>IF(N('Dvd Calendar'!$AA$2195)=0,"",IF(('Dvd Calendar'!$AA$2195&gt;=GRID_FROM)*('Dvd Calendar'!$AA$2195&lt;=GRID_TO)*('Dvd Calendar'!$AA$2195&gt;VAL_DATE)=0,"",'Dvd Calendar'!$AA$2195*1000000000+ISNUMBER('Dvd Calendar'!$AA$2196)*100000000+0*10000000+(N('Dvd Calendar'!$AA$2194)&gt;0)*(N('Dvd Calendar'!$AA$2194)&lt;=VAL_SERIAL)*1000000+58*1000+63))</f>
        <v/>
      </c>
      <c r="GP217" s="39">
        <f>IF(N('Dvd Calendar'!$AB$2195)=0,"",IF(('Dvd Calendar'!$AB$2195&gt;=GRID_FROM)*('Dvd Calendar'!$AB$2195&lt;=GRID_TO)*('Dvd Calendar'!$AB$2195&gt;VAL_DATE)=0,"",'Dvd Calendar'!$AB$2195*1000000000+ISNUMBER('Dvd Calendar'!$AB$2196)*100000000+0*10000000+(N('Dvd Calendar'!$AB$2194)&gt;0)*(N('Dvd Calendar'!$AB$2194)&lt;=VAL_SERIAL)*1000000+58*1000+64))</f>
        <v/>
      </c>
      <c r="GQ217" s="39">
        <f>IF(N('Dvd Calendar'!$AC$2195)=0,"",IF(('Dvd Calendar'!$AC$2195&gt;=GRID_FROM)*('Dvd Calendar'!$AC$2195&lt;=GRID_TO)*('Dvd Calendar'!$AC$2195&gt;VAL_DATE)=0,"",'Dvd Calendar'!$AC$2195*1000000000+ISNUMBER('Dvd Calendar'!$AC$2196)*100000000+0*10000000+(N('Dvd Calendar'!$AC$2194)&gt;0)*(N('Dvd Calendar'!$AC$2194)&lt;=VAL_SERIAL)*1000000+58*1000+65))</f>
        <v/>
      </c>
    </row>
    <row r="218">
      <c r="B218" s="2">
        <f>IF(HSCEI!$C$65="","",HSCEI!$C$65)</f>
        <v/>
      </c>
      <c r="C218" s="110">
        <f>IF(EE218="","",IF(ISNUMBER('Dvd Calendar'!$E$2202)=FALSE,"",IF((('Dvd Calendar'!$E$2204=TYPE1)*(TYPE1&lt;&gt;"")+('Dvd Calendar'!$E$2204=TYPE2)*(TYPE2&lt;&gt;"")+('Dvd Calendar'!$E$2204=TYPE3)*(TYPE3&lt;&gt;"")+('Dvd Calendar'!$E$2204=TYPE4)*(TYPE4&lt;&gt;"")+('Dvd Calendar'!$E$2204=SPECIAL_LBL)*(INC_SPECIALS="Y"))=0,"",'Dvd Calendar'!$E$2202)))</f>
        <v/>
      </c>
      <c r="D218" s="110">
        <f>IF(EF218="","",IF(ISNUMBER('Dvd Calendar'!$F$2202)=FALSE,"",IF((('Dvd Calendar'!$F$2204=TYPE1)*(TYPE1&lt;&gt;"")+('Dvd Calendar'!$F$2204=TYPE2)*(TYPE2&lt;&gt;"")+('Dvd Calendar'!$F$2204=TYPE3)*(TYPE3&lt;&gt;"")+('Dvd Calendar'!$F$2204=TYPE4)*(TYPE4&lt;&gt;"")+('Dvd Calendar'!$F$2204=SPECIAL_LBL)*(INC_SPECIALS="Y"))=0,"",'Dvd Calendar'!$F$2202)))</f>
        <v/>
      </c>
      <c r="E218" s="110">
        <f>IF(EG218="","",IF(ISNUMBER('Dvd Calendar'!$G$2202)=FALSE,"",IF((('Dvd Calendar'!$G$2204=TYPE1)*(TYPE1&lt;&gt;"")+('Dvd Calendar'!$G$2204=TYPE2)*(TYPE2&lt;&gt;"")+('Dvd Calendar'!$G$2204=TYPE3)*(TYPE3&lt;&gt;"")+('Dvd Calendar'!$G$2204=TYPE4)*(TYPE4&lt;&gt;"")+('Dvd Calendar'!$G$2204=SPECIAL_LBL)*(INC_SPECIALS="Y"))=0,"",'Dvd Calendar'!$G$2202)))</f>
        <v/>
      </c>
      <c r="F218" s="110">
        <f>IF(EH218="","",IF(ISNUMBER('Dvd Calendar'!$H$2202)=FALSE,"",IF((('Dvd Calendar'!$H$2204=TYPE1)*(TYPE1&lt;&gt;"")+('Dvd Calendar'!$H$2204=TYPE2)*(TYPE2&lt;&gt;"")+('Dvd Calendar'!$H$2204=TYPE3)*(TYPE3&lt;&gt;"")+('Dvd Calendar'!$H$2204=TYPE4)*(TYPE4&lt;&gt;"")+('Dvd Calendar'!$H$2204=SPECIAL_LBL)*(INC_SPECIALS="Y"))=0,"",'Dvd Calendar'!$H$2202)))</f>
        <v/>
      </c>
      <c r="G218" s="110">
        <f>IF(EI218="","",IF(ISNUMBER('Dvd Calendar'!$I$2202)=FALSE,"",IF((('Dvd Calendar'!$I$2204=TYPE1)*(TYPE1&lt;&gt;"")+('Dvd Calendar'!$I$2204=TYPE2)*(TYPE2&lt;&gt;"")+('Dvd Calendar'!$I$2204=TYPE3)*(TYPE3&lt;&gt;"")+('Dvd Calendar'!$I$2204=TYPE4)*(TYPE4&lt;&gt;"")+('Dvd Calendar'!$I$2204=SPECIAL_LBL)*(INC_SPECIALS="Y"))=0,"",'Dvd Calendar'!$I$2202)))</f>
        <v/>
      </c>
      <c r="H218" s="110">
        <f>IF(EJ218="","",IF(ISNUMBER('Dvd Calendar'!$J$2202)=FALSE,"",IF((('Dvd Calendar'!$J$2204=TYPE1)*(TYPE1&lt;&gt;"")+('Dvd Calendar'!$J$2204=TYPE2)*(TYPE2&lt;&gt;"")+('Dvd Calendar'!$J$2204=TYPE3)*(TYPE3&lt;&gt;"")+('Dvd Calendar'!$J$2204=TYPE4)*(TYPE4&lt;&gt;"")+('Dvd Calendar'!$J$2204=SPECIAL_LBL)*(INC_SPECIALS="Y"))=0,"",'Dvd Calendar'!$J$2202)))</f>
        <v/>
      </c>
      <c r="I218" s="110">
        <f>IF(EK218="","",IF(ISNUMBER('Dvd Calendar'!$K$2202)=FALSE,"",IF((('Dvd Calendar'!$K$2204=TYPE1)*(TYPE1&lt;&gt;"")+('Dvd Calendar'!$K$2204=TYPE2)*(TYPE2&lt;&gt;"")+('Dvd Calendar'!$K$2204=TYPE3)*(TYPE3&lt;&gt;"")+('Dvd Calendar'!$K$2204=TYPE4)*(TYPE4&lt;&gt;"")+('Dvd Calendar'!$K$2204=SPECIAL_LBL)*(INC_SPECIALS="Y"))=0,"",'Dvd Calendar'!$K$2202)))</f>
        <v/>
      </c>
      <c r="J218" s="110">
        <f>IF(EL218="","",IF(ISNUMBER('Dvd Calendar'!$L$2202)=FALSE,"",IF((('Dvd Calendar'!$L$2204=TYPE1)*(TYPE1&lt;&gt;"")+('Dvd Calendar'!$L$2204=TYPE2)*(TYPE2&lt;&gt;"")+('Dvd Calendar'!$L$2204=TYPE3)*(TYPE3&lt;&gt;"")+('Dvd Calendar'!$L$2204=TYPE4)*(TYPE4&lt;&gt;"")+('Dvd Calendar'!$L$2204=SPECIAL_LBL)*(INC_SPECIALS="Y"))=0,"",'Dvd Calendar'!$L$2202)))</f>
        <v/>
      </c>
      <c r="K218" s="110">
        <f>IF(EM218="","",IF(ISNUMBER('Dvd Calendar'!$M$2202)=FALSE,"",IF((('Dvd Calendar'!$M$2204=TYPE1)*(TYPE1&lt;&gt;"")+('Dvd Calendar'!$M$2204=TYPE2)*(TYPE2&lt;&gt;"")+('Dvd Calendar'!$M$2204=TYPE3)*(TYPE3&lt;&gt;"")+('Dvd Calendar'!$M$2204=TYPE4)*(TYPE4&lt;&gt;"")+('Dvd Calendar'!$M$2204=SPECIAL_LBL)*(INC_SPECIALS="Y"))=0,"",'Dvd Calendar'!$M$2202)))</f>
        <v/>
      </c>
      <c r="L218" s="110">
        <f>IF(EN218="","",IF(ISNUMBER('Dvd Calendar'!$N$2202)=FALSE,"",IF((('Dvd Calendar'!$N$2204=TYPE1)*(TYPE1&lt;&gt;"")+('Dvd Calendar'!$N$2204=TYPE2)*(TYPE2&lt;&gt;"")+('Dvd Calendar'!$N$2204=TYPE3)*(TYPE3&lt;&gt;"")+('Dvd Calendar'!$N$2204=TYPE4)*(TYPE4&lt;&gt;"")+('Dvd Calendar'!$N$2204=SPECIAL_LBL)*(INC_SPECIALS="Y"))=0,"",'Dvd Calendar'!$N$2202)))</f>
        <v/>
      </c>
      <c r="M218" s="110">
        <f>IF(EO218="","",IF(ISNUMBER('Dvd Calendar'!$O$2202)=FALSE,"",IF((('Dvd Calendar'!$O$2204=TYPE1)*(TYPE1&lt;&gt;"")+('Dvd Calendar'!$O$2204=TYPE2)*(TYPE2&lt;&gt;"")+('Dvd Calendar'!$O$2204=TYPE3)*(TYPE3&lt;&gt;"")+('Dvd Calendar'!$O$2204=TYPE4)*(TYPE4&lt;&gt;"")+('Dvd Calendar'!$O$2204=SPECIAL_LBL)*(INC_SPECIALS="Y"))=0,"",'Dvd Calendar'!$O$2202)))</f>
        <v/>
      </c>
      <c r="N218" s="110">
        <f>IF(EP218="","",IF(ISNUMBER('Dvd Calendar'!$P$2202)=FALSE,"",IF((('Dvd Calendar'!$P$2204=TYPE1)*(TYPE1&lt;&gt;"")+('Dvd Calendar'!$P$2204=TYPE2)*(TYPE2&lt;&gt;"")+('Dvd Calendar'!$P$2204=TYPE3)*(TYPE3&lt;&gt;"")+('Dvd Calendar'!$P$2204=TYPE4)*(TYPE4&lt;&gt;"")+('Dvd Calendar'!$P$2204=SPECIAL_LBL)*(INC_SPECIALS="Y"))=0,"",'Dvd Calendar'!$P$2202)))</f>
        <v/>
      </c>
      <c r="O218" s="110">
        <f>IF(EQ218="","",IF(ISNUMBER('Dvd Calendar'!$Q$2202)=FALSE,"",IF((('Dvd Calendar'!$Q$2204=TYPE1)*(TYPE1&lt;&gt;"")+('Dvd Calendar'!$Q$2204=TYPE2)*(TYPE2&lt;&gt;"")+('Dvd Calendar'!$Q$2204=TYPE3)*(TYPE3&lt;&gt;"")+('Dvd Calendar'!$Q$2204=TYPE4)*(TYPE4&lt;&gt;"")+('Dvd Calendar'!$Q$2204=SPECIAL_LBL)*(INC_SPECIALS="Y"))=0,"",'Dvd Calendar'!$Q$2202)))</f>
        <v/>
      </c>
      <c r="P218" s="110">
        <f>IF(ER218="","",IF(ISNUMBER('Dvd Calendar'!$R$2202)=FALSE,"",IF((('Dvd Calendar'!$R$2204=TYPE1)*(TYPE1&lt;&gt;"")+('Dvd Calendar'!$R$2204=TYPE2)*(TYPE2&lt;&gt;"")+('Dvd Calendar'!$R$2204=TYPE3)*(TYPE3&lt;&gt;"")+('Dvd Calendar'!$R$2204=TYPE4)*(TYPE4&lt;&gt;"")+('Dvd Calendar'!$R$2204=SPECIAL_LBL)*(INC_SPECIALS="Y"))=0,"",'Dvd Calendar'!$R$2202)))</f>
        <v/>
      </c>
      <c r="Q218" s="110">
        <f>IF(ES218="","",IF(ISNUMBER('Dvd Calendar'!$S$2202)=FALSE,"",IF((('Dvd Calendar'!$S$2204=TYPE1)*(TYPE1&lt;&gt;"")+('Dvd Calendar'!$S$2204=TYPE2)*(TYPE2&lt;&gt;"")+('Dvd Calendar'!$S$2204=TYPE3)*(TYPE3&lt;&gt;"")+('Dvd Calendar'!$S$2204=TYPE4)*(TYPE4&lt;&gt;"")+('Dvd Calendar'!$S$2204=SPECIAL_LBL)*(INC_SPECIALS="Y"))=0,"",'Dvd Calendar'!$S$2202)))</f>
        <v/>
      </c>
      <c r="R218" s="110">
        <f>IF(ET218="","",IF(ISNUMBER('Dvd Calendar'!$T$2202)=FALSE,"",IF((('Dvd Calendar'!$T$2204=TYPE1)*(TYPE1&lt;&gt;"")+('Dvd Calendar'!$T$2204=TYPE2)*(TYPE2&lt;&gt;"")+('Dvd Calendar'!$T$2204=TYPE3)*(TYPE3&lt;&gt;"")+('Dvd Calendar'!$T$2204=TYPE4)*(TYPE4&lt;&gt;"")+('Dvd Calendar'!$T$2204=SPECIAL_LBL)*(INC_SPECIALS="Y"))=0,"",'Dvd Calendar'!$T$2202)))</f>
        <v/>
      </c>
      <c r="S218" s="110">
        <f>IF(EU218="","",IF(ISNUMBER('Dvd Calendar'!$U$2202)=FALSE,"",IF((('Dvd Calendar'!$U$2204=TYPE1)*(TYPE1&lt;&gt;"")+('Dvd Calendar'!$U$2204=TYPE2)*(TYPE2&lt;&gt;"")+('Dvd Calendar'!$U$2204=TYPE3)*(TYPE3&lt;&gt;"")+('Dvd Calendar'!$U$2204=TYPE4)*(TYPE4&lt;&gt;"")+('Dvd Calendar'!$U$2204=SPECIAL_LBL)*(INC_SPECIALS="Y"))=0,"",'Dvd Calendar'!$U$2202)))</f>
        <v/>
      </c>
      <c r="T218" s="110">
        <f>IF(EV218="","",IF(ISNUMBER('Dvd Calendar'!$V$2202)=FALSE,"",IF((('Dvd Calendar'!$V$2204=TYPE1)*(TYPE1&lt;&gt;"")+('Dvd Calendar'!$V$2204=TYPE2)*(TYPE2&lt;&gt;"")+('Dvd Calendar'!$V$2204=TYPE3)*(TYPE3&lt;&gt;"")+('Dvd Calendar'!$V$2204=TYPE4)*(TYPE4&lt;&gt;"")+('Dvd Calendar'!$V$2204=SPECIAL_LBL)*(INC_SPECIALS="Y"))=0,"",'Dvd Calendar'!$V$2202)))</f>
        <v/>
      </c>
      <c r="U218" s="110">
        <f>IF(EW218="","",IF(ISNUMBER('Dvd Calendar'!$W$2202)=FALSE,"",IF((('Dvd Calendar'!$W$2204=TYPE1)*(TYPE1&lt;&gt;"")+('Dvd Calendar'!$W$2204=TYPE2)*(TYPE2&lt;&gt;"")+('Dvd Calendar'!$W$2204=TYPE3)*(TYPE3&lt;&gt;"")+('Dvd Calendar'!$W$2204=TYPE4)*(TYPE4&lt;&gt;"")+('Dvd Calendar'!$W$2204=SPECIAL_LBL)*(INC_SPECIALS="Y"))=0,"",'Dvd Calendar'!$W$2202)))</f>
        <v/>
      </c>
      <c r="V218" s="110">
        <f>IF(EX218="","",IF(ISNUMBER('Dvd Calendar'!$X$2202)=FALSE,"",IF((('Dvd Calendar'!$X$2204=TYPE1)*(TYPE1&lt;&gt;"")+('Dvd Calendar'!$X$2204=TYPE2)*(TYPE2&lt;&gt;"")+('Dvd Calendar'!$X$2204=TYPE3)*(TYPE3&lt;&gt;"")+('Dvd Calendar'!$X$2204=TYPE4)*(TYPE4&lt;&gt;"")+('Dvd Calendar'!$X$2204=SPECIAL_LBL)*(INC_SPECIALS="Y"))=0,"",'Dvd Calendar'!$X$2202)))</f>
        <v/>
      </c>
      <c r="W218" s="110">
        <f>IF(EY218="","",IF(ISNUMBER('Dvd Calendar'!$Y$2202)=FALSE,"",IF((('Dvd Calendar'!$Y$2204=TYPE1)*(TYPE1&lt;&gt;"")+('Dvd Calendar'!$Y$2204=TYPE2)*(TYPE2&lt;&gt;"")+('Dvd Calendar'!$Y$2204=TYPE3)*(TYPE3&lt;&gt;"")+('Dvd Calendar'!$Y$2204=TYPE4)*(TYPE4&lt;&gt;"")+('Dvd Calendar'!$Y$2204=SPECIAL_LBL)*(INC_SPECIALS="Y"))=0,"",'Dvd Calendar'!$Y$2202)))</f>
        <v/>
      </c>
      <c r="X218" s="110">
        <f>IF(EZ218="","",IF(ISNUMBER('Dvd Calendar'!$Z$2202)=FALSE,"",IF((('Dvd Calendar'!$Z$2204=TYPE1)*(TYPE1&lt;&gt;"")+('Dvd Calendar'!$Z$2204=TYPE2)*(TYPE2&lt;&gt;"")+('Dvd Calendar'!$Z$2204=TYPE3)*(TYPE3&lt;&gt;"")+('Dvd Calendar'!$Z$2204=TYPE4)*(TYPE4&lt;&gt;"")+('Dvd Calendar'!$Z$2204=SPECIAL_LBL)*(INC_SPECIALS="Y"))=0,"",'Dvd Calendar'!$Z$2202)))</f>
        <v/>
      </c>
      <c r="Y218" s="110">
        <f>IF(FA218="","",IF(ISNUMBER('Dvd Calendar'!$AA$2202)=FALSE,"",IF((('Dvd Calendar'!$AA$2204=TYPE1)*(TYPE1&lt;&gt;"")+('Dvd Calendar'!$AA$2204=TYPE2)*(TYPE2&lt;&gt;"")+('Dvd Calendar'!$AA$2204=TYPE3)*(TYPE3&lt;&gt;"")+('Dvd Calendar'!$AA$2204=TYPE4)*(TYPE4&lt;&gt;"")+('Dvd Calendar'!$AA$2204=SPECIAL_LBL)*(INC_SPECIALS="Y"))=0,"",'Dvd Calendar'!$AA$2202)))</f>
        <v/>
      </c>
      <c r="Z218" s="110">
        <f>IF(FB218="","",IF(ISNUMBER('Dvd Calendar'!$AB$2202)=FALSE,"",IF((('Dvd Calendar'!$AB$2204=TYPE1)*(TYPE1&lt;&gt;"")+('Dvd Calendar'!$AB$2204=TYPE2)*(TYPE2&lt;&gt;"")+('Dvd Calendar'!$AB$2204=TYPE3)*(TYPE3&lt;&gt;"")+('Dvd Calendar'!$AB$2204=TYPE4)*(TYPE4&lt;&gt;"")+('Dvd Calendar'!$AB$2204=SPECIAL_LBL)*(INC_SPECIALS="Y"))=0,"",'Dvd Calendar'!$AB$2202)))</f>
        <v/>
      </c>
      <c r="AA218" s="110">
        <f>IF(FC218="","",IF(ISNUMBER('Dvd Calendar'!$AC$2202)=FALSE,"",IF((('Dvd Calendar'!$AC$2204=TYPE1)*(TYPE1&lt;&gt;"")+('Dvd Calendar'!$AC$2204=TYPE2)*(TYPE2&lt;&gt;"")+('Dvd Calendar'!$AC$2204=TYPE3)*(TYPE3&lt;&gt;"")+('Dvd Calendar'!$AC$2204=TYPE4)*(TYPE4&lt;&gt;"")+('Dvd Calendar'!$AC$2204=SPECIAL_LBL)*(INC_SPECIALS="Y"))=0,"",'Dvd Calendar'!$AC$2202)))</f>
        <v/>
      </c>
      <c r="AB218" s="110">
        <f>IF(FD218="","",IF(ISNUMBER('Dvd Calendar'!$AD$2202)=FALSE,"",IF((('Dvd Calendar'!$AD$2204=TYPE1)*(TYPE1&lt;&gt;"")+('Dvd Calendar'!$AD$2204=TYPE2)*(TYPE2&lt;&gt;"")+('Dvd Calendar'!$AD$2204=TYPE3)*(TYPE3&lt;&gt;"")+('Dvd Calendar'!$AD$2204=TYPE4)*(TYPE4&lt;&gt;"")+('Dvd Calendar'!$AD$2204=SPECIAL_LBL)*(INC_SPECIALS="Y"))=0,"",'Dvd Calendar'!$AD$2202)))</f>
        <v/>
      </c>
      <c r="AC218" s="110">
        <f>IF(FE218="","",IF(ISNUMBER('Dvd Calendar'!$AE$2202)=FALSE,"",IF((('Dvd Calendar'!$AE$2204=TYPE1)*(TYPE1&lt;&gt;"")+('Dvd Calendar'!$AE$2204=TYPE2)*(TYPE2&lt;&gt;"")+('Dvd Calendar'!$AE$2204=TYPE3)*(TYPE3&lt;&gt;"")+('Dvd Calendar'!$AE$2204=TYPE4)*(TYPE4&lt;&gt;"")+('Dvd Calendar'!$AE$2204=SPECIAL_LBL)*(INC_SPECIALS="Y"))=0,"",'Dvd Calendar'!$AE$2202)))</f>
        <v/>
      </c>
      <c r="AD218" s="110">
        <f>IF(FF218="","",IF(ISNUMBER('Dvd Calendar'!$AF$2202)=FALSE,"",IF((('Dvd Calendar'!$AF$2204=TYPE1)*(TYPE1&lt;&gt;"")+('Dvd Calendar'!$AF$2204=TYPE2)*(TYPE2&lt;&gt;"")+('Dvd Calendar'!$AF$2204=TYPE3)*(TYPE3&lt;&gt;"")+('Dvd Calendar'!$AF$2204=TYPE4)*(TYPE4&lt;&gt;"")+('Dvd Calendar'!$AF$2204=SPECIAL_LBL)*(INC_SPECIALS="Y"))=0,"",'Dvd Calendar'!$AF$2202)))</f>
        <v/>
      </c>
      <c r="AE218" s="110">
        <f>IF(FG218="","",IF(ISNUMBER('Dvd Calendar'!$AG$2202)=FALSE,"",IF((('Dvd Calendar'!$AG$2204=TYPE1)*(TYPE1&lt;&gt;"")+('Dvd Calendar'!$AG$2204=TYPE2)*(TYPE2&lt;&gt;"")+('Dvd Calendar'!$AG$2204=TYPE3)*(TYPE3&lt;&gt;"")+('Dvd Calendar'!$AG$2204=TYPE4)*(TYPE4&lt;&gt;"")+('Dvd Calendar'!$AG$2204=SPECIAL_LBL)*(INC_SPECIALS="Y"))=0,"",'Dvd Calendar'!$AG$2202)))</f>
        <v/>
      </c>
      <c r="AF218" s="110">
        <f>IF(FH218="","",IF(ISNUMBER('Dvd Calendar'!$AH$2202)=FALSE,"",IF((('Dvd Calendar'!$AH$2204=TYPE1)*(TYPE1&lt;&gt;"")+('Dvd Calendar'!$AH$2204=TYPE2)*(TYPE2&lt;&gt;"")+('Dvd Calendar'!$AH$2204=TYPE3)*(TYPE3&lt;&gt;"")+('Dvd Calendar'!$AH$2204=TYPE4)*(TYPE4&lt;&gt;"")+('Dvd Calendar'!$AH$2204=SPECIAL_LBL)*(INC_SPECIALS="Y"))=0,"",'Dvd Calendar'!$AH$2202)))</f>
        <v/>
      </c>
      <c r="AG218" s="110">
        <f>IF(FI218="","",IF(ISNUMBER('Dvd Calendar'!$AI$2202)=FALSE,"",IF((('Dvd Calendar'!$AI$2204=TYPE1)*(TYPE1&lt;&gt;"")+('Dvd Calendar'!$AI$2204=TYPE2)*(TYPE2&lt;&gt;"")+('Dvd Calendar'!$AI$2204=TYPE3)*(TYPE3&lt;&gt;"")+('Dvd Calendar'!$AI$2204=TYPE4)*(TYPE4&lt;&gt;"")+('Dvd Calendar'!$AI$2204=SPECIAL_LBL)*(INC_SPECIALS="Y"))=0,"",'Dvd Calendar'!$AI$2202)))</f>
        <v/>
      </c>
      <c r="AH218" s="110">
        <f>IF(FJ218="","",IF(ISNUMBER('Dvd Calendar'!$AJ$2202)=FALSE,"",IF((('Dvd Calendar'!$AJ$2204=TYPE1)*(TYPE1&lt;&gt;"")+('Dvd Calendar'!$AJ$2204=TYPE2)*(TYPE2&lt;&gt;"")+('Dvd Calendar'!$AJ$2204=TYPE3)*(TYPE3&lt;&gt;"")+('Dvd Calendar'!$AJ$2204=TYPE4)*(TYPE4&lt;&gt;"")+('Dvd Calendar'!$AJ$2204=SPECIAL_LBL)*(INC_SPECIALS="Y"))=0,"",'Dvd Calendar'!$AJ$2202)))</f>
        <v/>
      </c>
      <c r="AI218" s="110">
        <f>IF(FK218="","",IF(ISNUMBER('Dvd Calendar'!$AK$2202)=FALSE,"",IF((('Dvd Calendar'!$AK$2204=TYPE1)*(TYPE1&lt;&gt;"")+('Dvd Calendar'!$AK$2204=TYPE2)*(TYPE2&lt;&gt;"")+('Dvd Calendar'!$AK$2204=TYPE3)*(TYPE3&lt;&gt;"")+('Dvd Calendar'!$AK$2204=TYPE4)*(TYPE4&lt;&gt;"")+('Dvd Calendar'!$AK$2204=SPECIAL_LBL)*(INC_SPECIALS="Y"))=0,"",'Dvd Calendar'!$AK$2202)))</f>
        <v/>
      </c>
      <c r="AJ218" s="110">
        <f>IF(FL218="","",IF(ISNUMBER('Dvd Calendar'!$AL$2202)=FALSE,"",IF((('Dvd Calendar'!$AL$2204=TYPE1)*(TYPE1&lt;&gt;"")+('Dvd Calendar'!$AL$2204=TYPE2)*(TYPE2&lt;&gt;"")+('Dvd Calendar'!$AL$2204=TYPE3)*(TYPE3&lt;&gt;"")+('Dvd Calendar'!$AL$2204=TYPE4)*(TYPE4&lt;&gt;"")+('Dvd Calendar'!$AL$2204=SPECIAL_LBL)*(INC_SPECIALS="Y"))=0,"",'Dvd Calendar'!$AL$2202)))</f>
        <v/>
      </c>
      <c r="AK218" s="110">
        <f>IF(FM218="","",IF(ISNUMBER('Dvd Calendar'!$AM$2202)=FALSE,"",IF((('Dvd Calendar'!$AM$2204=TYPE1)*(TYPE1&lt;&gt;"")+('Dvd Calendar'!$AM$2204=TYPE2)*(TYPE2&lt;&gt;"")+('Dvd Calendar'!$AM$2204=TYPE3)*(TYPE3&lt;&gt;"")+('Dvd Calendar'!$AM$2204=TYPE4)*(TYPE4&lt;&gt;"")+('Dvd Calendar'!$AM$2204=SPECIAL_LBL)*(INC_SPECIALS="Y"))=0,"",'Dvd Calendar'!$AM$2202)))</f>
        <v/>
      </c>
      <c r="AL218" s="110">
        <f>IF(FN218="","",IF(ISNUMBER('Dvd Calendar'!$AN$2202)=FALSE,"",IF((('Dvd Calendar'!$AN$2204=TYPE1)*(TYPE1&lt;&gt;"")+('Dvd Calendar'!$AN$2204=TYPE2)*(TYPE2&lt;&gt;"")+('Dvd Calendar'!$AN$2204=TYPE3)*(TYPE3&lt;&gt;"")+('Dvd Calendar'!$AN$2204=TYPE4)*(TYPE4&lt;&gt;"")+('Dvd Calendar'!$AN$2204=SPECIAL_LBL)*(INC_SPECIALS="Y"))=0,"",'Dvd Calendar'!$AN$2202)))</f>
        <v/>
      </c>
      <c r="AM218" s="110">
        <f>IF(FO218="","",IF(ISNUMBER('Dvd Calendar'!$AO$2202)=FALSE,"",IF((('Dvd Calendar'!$AO$2204=TYPE1)*(TYPE1&lt;&gt;"")+('Dvd Calendar'!$AO$2204=TYPE2)*(TYPE2&lt;&gt;"")+('Dvd Calendar'!$AO$2204=TYPE3)*(TYPE3&lt;&gt;"")+('Dvd Calendar'!$AO$2204=TYPE4)*(TYPE4&lt;&gt;"")+('Dvd Calendar'!$AO$2204=SPECIAL_LBL)*(INC_SPECIALS="Y"))=0,"",'Dvd Calendar'!$AO$2202)))</f>
        <v/>
      </c>
      <c r="AN218" s="110">
        <f>IF(FP218="","",IF(ISNUMBER('Dvd Calendar'!$AP$2202)=FALSE,"",IF((('Dvd Calendar'!$AP$2204=TYPE1)*(TYPE1&lt;&gt;"")+('Dvd Calendar'!$AP$2204=TYPE2)*(TYPE2&lt;&gt;"")+('Dvd Calendar'!$AP$2204=TYPE3)*(TYPE3&lt;&gt;"")+('Dvd Calendar'!$AP$2204=TYPE4)*(TYPE4&lt;&gt;"")+('Dvd Calendar'!$AP$2204=SPECIAL_LBL)*(INC_SPECIALS="Y"))=0,"",'Dvd Calendar'!$AP$2202)))</f>
        <v/>
      </c>
      <c r="AO218" s="110">
        <f>IF(FQ218="","",IF(ISNUMBER('Dvd Calendar'!$AQ$2202)=FALSE,"",IF((('Dvd Calendar'!$AQ$2204=TYPE1)*(TYPE1&lt;&gt;"")+('Dvd Calendar'!$AQ$2204=TYPE2)*(TYPE2&lt;&gt;"")+('Dvd Calendar'!$AQ$2204=TYPE3)*(TYPE3&lt;&gt;"")+('Dvd Calendar'!$AQ$2204=TYPE4)*(TYPE4&lt;&gt;"")+('Dvd Calendar'!$AQ$2204=SPECIAL_LBL)*(INC_SPECIALS="Y"))=0,"",'Dvd Calendar'!$AQ$2202)))</f>
        <v/>
      </c>
      <c r="AP218" s="110">
        <f>IF(FR218="","",IF(ISNUMBER('Dvd Calendar'!$AR$2202)=FALSE,"",IF((('Dvd Calendar'!$AR$2204=TYPE1)*(TYPE1&lt;&gt;"")+('Dvd Calendar'!$AR$2204=TYPE2)*(TYPE2&lt;&gt;"")+('Dvd Calendar'!$AR$2204=TYPE3)*(TYPE3&lt;&gt;"")+('Dvd Calendar'!$AR$2204=TYPE4)*(TYPE4&lt;&gt;"")+('Dvd Calendar'!$AR$2204=SPECIAL_LBL)*(INC_SPECIALS="Y"))=0,"",'Dvd Calendar'!$AR$2202)))</f>
        <v/>
      </c>
      <c r="AQ218" s="110">
        <f>IF(FS218="","",IF(ISNUMBER('Dvd Calendar'!$E$2207)=FALSE,"",'Dvd Calendar'!$E$2207))</f>
        <v/>
      </c>
      <c r="AR218" s="110">
        <f>IF(FT218="","",IF(ISNUMBER('Dvd Calendar'!$F$2207)=FALSE,"",'Dvd Calendar'!$F$2207))</f>
        <v/>
      </c>
      <c r="AS218" s="110">
        <f>IF(FU218="","",IF(ISNUMBER('Dvd Calendar'!$G$2207)=FALSE,"",'Dvd Calendar'!$G$2207))</f>
        <v/>
      </c>
      <c r="AT218" s="110">
        <f>IF(FV218="","",IF(ISNUMBER('Dvd Calendar'!$H$2207)=FALSE,"",'Dvd Calendar'!$H$2207))</f>
        <v/>
      </c>
      <c r="AU218" s="110">
        <f>IF(FW218="","",IF(ISNUMBER('Dvd Calendar'!$I$2207)=FALSE,"",'Dvd Calendar'!$I$2207))</f>
        <v/>
      </c>
      <c r="AV218" s="110">
        <f>IF(FX218="","",IF(ISNUMBER('Dvd Calendar'!$J$2207)=FALSE,"",'Dvd Calendar'!$J$2207))</f>
        <v/>
      </c>
      <c r="AW218" s="110">
        <f>IF(FY218="","",IF(ISNUMBER('Dvd Calendar'!$K$2207)=FALSE,"",'Dvd Calendar'!$K$2207))</f>
        <v/>
      </c>
      <c r="AX218" s="110">
        <f>IF(FZ218="","",IF(ISNUMBER('Dvd Calendar'!$L$2207)=FALSE,"",'Dvd Calendar'!$L$2207))</f>
        <v/>
      </c>
      <c r="AY218" s="110">
        <f>IF(GA218="","",IF(ISNUMBER('Dvd Calendar'!$M$2207)=FALSE,"",'Dvd Calendar'!$M$2207))</f>
        <v/>
      </c>
      <c r="AZ218" s="110">
        <f>IF(GB218="","",IF(ISNUMBER('Dvd Calendar'!$N$2207)=FALSE,"",'Dvd Calendar'!$N$2207))</f>
        <v/>
      </c>
      <c r="BA218" s="110">
        <f>IF(GC218="","",IF(ISNUMBER('Dvd Calendar'!$O$2207)=FALSE,"",'Dvd Calendar'!$O$2207))</f>
        <v/>
      </c>
      <c r="BB218" s="110">
        <f>IF(GD218="","",IF(ISNUMBER('Dvd Calendar'!$P$2207)=FALSE,"",'Dvd Calendar'!$P$2207))</f>
        <v/>
      </c>
      <c r="BC218" s="110">
        <f>IF(GE218="","",IF(ISNUMBER('Dvd Calendar'!$Q$2207)=FALSE,"",'Dvd Calendar'!$Q$2207))</f>
        <v/>
      </c>
      <c r="BD218" s="110">
        <f>IF(GF218="","",IF(ISNUMBER('Dvd Calendar'!$R$2207)=FALSE,"",'Dvd Calendar'!$R$2207))</f>
        <v/>
      </c>
      <c r="BE218" s="110">
        <f>IF(GG218="","",IF(ISNUMBER('Dvd Calendar'!$S$2207)=FALSE,"",'Dvd Calendar'!$S$2207))</f>
        <v/>
      </c>
      <c r="BF218" s="110">
        <f>IF(GH218="","",IF(ISNUMBER('Dvd Calendar'!$T$2207)=FALSE,"",'Dvd Calendar'!$T$2207))</f>
        <v/>
      </c>
      <c r="BG218" s="110">
        <f>IF(GI218="","",IF(ISNUMBER('Dvd Calendar'!$U$2207)=FALSE,"",'Dvd Calendar'!$U$2207))</f>
        <v/>
      </c>
      <c r="BH218" s="110">
        <f>IF(GJ218="","",IF(ISNUMBER('Dvd Calendar'!$V$2207)=FALSE,"",'Dvd Calendar'!$V$2207))</f>
        <v/>
      </c>
      <c r="BI218" s="110">
        <f>IF(GK218="","",IF(ISNUMBER('Dvd Calendar'!$W$2207)=FALSE,"",'Dvd Calendar'!$W$2207))</f>
        <v/>
      </c>
      <c r="BJ218" s="110">
        <f>IF(GL218="","",IF(ISNUMBER('Dvd Calendar'!$X$2207)=FALSE,"",'Dvd Calendar'!$X$2207))</f>
        <v/>
      </c>
      <c r="BK218" s="110">
        <f>IF(GM218="","",IF(ISNUMBER('Dvd Calendar'!$Y$2207)=FALSE,"",'Dvd Calendar'!$Y$2207))</f>
        <v/>
      </c>
      <c r="BL218" s="110">
        <f>IF(GN218="","",IF(ISNUMBER('Dvd Calendar'!$Z$2207)=FALSE,"",'Dvd Calendar'!$Z$2207))</f>
        <v/>
      </c>
      <c r="BM218" s="110">
        <f>IF(GO218="","",IF(ISNUMBER('Dvd Calendar'!$AA$2207)=FALSE,"",'Dvd Calendar'!$AA$2207))</f>
        <v/>
      </c>
      <c r="BN218" s="110">
        <f>IF(GP218="","",IF(ISNUMBER('Dvd Calendar'!$AB$2207)=FALSE,"",'Dvd Calendar'!$AB$2207))</f>
        <v/>
      </c>
      <c r="BO218" s="110">
        <f>IF(GQ218="","",IF(ISNUMBER('Dvd Calendar'!$AC$2207)=FALSE,"",'Dvd Calendar'!$AC$2207))</f>
        <v/>
      </c>
      <c r="BQ218" s="110">
        <f>IF(C218="","",IFERROR(C218*HSCEI!$B$65*HSCEI!$G$65/HSCEI!$B$3,""))</f>
        <v/>
      </c>
      <c r="BR218" s="110">
        <f>IF(D218="","",IFERROR(D218*HSCEI!$B$65*HSCEI!$G$65/HSCEI!$B$3,""))</f>
        <v/>
      </c>
      <c r="BS218" s="110">
        <f>IF(E218="","",IFERROR(E218*HSCEI!$B$65*HSCEI!$G$65/HSCEI!$B$3,""))</f>
        <v/>
      </c>
      <c r="BT218" s="110">
        <f>IF(F218="","",IFERROR(F218*HSCEI!$B$65*HSCEI!$G$65/HSCEI!$B$3,""))</f>
        <v/>
      </c>
      <c r="BU218" s="110">
        <f>IF(G218="","",IFERROR(G218*HSCEI!$B$65*HSCEI!$G$65/HSCEI!$B$3,""))</f>
        <v/>
      </c>
      <c r="BV218" s="110">
        <f>IF(H218="","",IFERROR(H218*HSCEI!$B$65*HSCEI!$G$65/HSCEI!$B$3,""))</f>
        <v/>
      </c>
      <c r="BW218" s="110">
        <f>IF(I218="","",IFERROR(I218*HSCEI!$B$65*HSCEI!$G$65/HSCEI!$B$3,""))</f>
        <v/>
      </c>
      <c r="BX218" s="110">
        <f>IF(J218="","",IFERROR(J218*HSCEI!$B$65*HSCEI!$G$65/HSCEI!$B$3,""))</f>
        <v/>
      </c>
      <c r="BY218" s="110">
        <f>IF(K218="","",IFERROR(K218*HSCEI!$B$65*HSCEI!$G$65/HSCEI!$B$3,""))</f>
        <v/>
      </c>
      <c r="BZ218" s="110">
        <f>IF(L218="","",IFERROR(L218*HSCEI!$B$65*HSCEI!$G$65/HSCEI!$B$3,""))</f>
        <v/>
      </c>
      <c r="CA218" s="110">
        <f>IF(M218="","",IFERROR(M218*HSCEI!$B$65*HSCEI!$G$65/HSCEI!$B$3,""))</f>
        <v/>
      </c>
      <c r="CB218" s="110">
        <f>IF(N218="","",IFERROR(N218*HSCEI!$B$65*HSCEI!$G$65/HSCEI!$B$3,""))</f>
        <v/>
      </c>
      <c r="CC218" s="110">
        <f>IF(O218="","",IFERROR(O218*HSCEI!$B$65*HSCEI!$G$65/HSCEI!$B$3,""))</f>
        <v/>
      </c>
      <c r="CD218" s="110">
        <f>IF(P218="","",IFERROR(P218*HSCEI!$B$65*HSCEI!$G$65/HSCEI!$B$3,""))</f>
        <v/>
      </c>
      <c r="CE218" s="110">
        <f>IF(Q218="","",IFERROR(Q218*HSCEI!$B$65*HSCEI!$G$65/HSCEI!$B$3,""))</f>
        <v/>
      </c>
      <c r="CF218" s="110">
        <f>IF(R218="","",IFERROR(R218*HSCEI!$B$65*HSCEI!$G$65/HSCEI!$B$3,""))</f>
        <v/>
      </c>
      <c r="CG218" s="110">
        <f>IF(S218="","",IFERROR(S218*HSCEI!$B$65*HSCEI!$G$65/HSCEI!$B$3,""))</f>
        <v/>
      </c>
      <c r="CH218" s="110">
        <f>IF(T218="","",IFERROR(T218*HSCEI!$B$65*HSCEI!$G$65/HSCEI!$B$3,""))</f>
        <v/>
      </c>
      <c r="CI218" s="110">
        <f>IF(U218="","",IFERROR(U218*HSCEI!$B$65*HSCEI!$G$65/HSCEI!$B$3,""))</f>
        <v/>
      </c>
      <c r="CJ218" s="110">
        <f>IF(V218="","",IFERROR(V218*HSCEI!$B$65*HSCEI!$G$65/HSCEI!$B$3,""))</f>
        <v/>
      </c>
      <c r="CK218" s="110">
        <f>IF(W218="","",IFERROR(W218*HSCEI!$B$65*HSCEI!$G$65/HSCEI!$B$3,""))</f>
        <v/>
      </c>
      <c r="CL218" s="110">
        <f>IF(X218="","",IFERROR(X218*HSCEI!$B$65*HSCEI!$G$65/HSCEI!$B$3,""))</f>
        <v/>
      </c>
      <c r="CM218" s="110">
        <f>IF(Y218="","",IFERROR(Y218*HSCEI!$B$65*HSCEI!$G$65/HSCEI!$B$3,""))</f>
        <v/>
      </c>
      <c r="CN218" s="110">
        <f>IF(Z218="","",IFERROR(Z218*HSCEI!$B$65*HSCEI!$G$65/HSCEI!$B$3,""))</f>
        <v/>
      </c>
      <c r="CO218" s="110">
        <f>IF(AA218="","",IFERROR(AA218*HSCEI!$B$65*HSCEI!$G$65/HSCEI!$B$3,""))</f>
        <v/>
      </c>
      <c r="CP218" s="110">
        <f>IF(AB218="","",IFERROR(AB218*HSCEI!$B$65*HSCEI!$G$65/HSCEI!$B$3,""))</f>
        <v/>
      </c>
      <c r="CQ218" s="110">
        <f>IF(AC218="","",IFERROR(AC218*HSCEI!$B$65*HSCEI!$G$65/HSCEI!$B$3,""))</f>
        <v/>
      </c>
      <c r="CR218" s="110">
        <f>IF(AD218="","",IFERROR(AD218*HSCEI!$B$65*HSCEI!$G$65/HSCEI!$B$3,""))</f>
        <v/>
      </c>
      <c r="CS218" s="110">
        <f>IF(AE218="","",IFERROR(AE218*HSCEI!$B$65*HSCEI!$G$65/HSCEI!$B$3,""))</f>
        <v/>
      </c>
      <c r="CT218" s="110">
        <f>IF(AF218="","",IFERROR(AF218*HSCEI!$B$65*HSCEI!$G$65/HSCEI!$B$3,""))</f>
        <v/>
      </c>
      <c r="CU218" s="110">
        <f>IF(AG218="","",IFERROR(AG218*HSCEI!$B$65*HSCEI!$G$65/HSCEI!$B$3,""))</f>
        <v/>
      </c>
      <c r="CV218" s="110">
        <f>IF(AH218="","",IFERROR(AH218*HSCEI!$B$65*HSCEI!$G$65/HSCEI!$B$3,""))</f>
        <v/>
      </c>
      <c r="CW218" s="110">
        <f>IF(AI218="","",IFERROR(AI218*HSCEI!$B$65*HSCEI!$G$65/HSCEI!$B$3,""))</f>
        <v/>
      </c>
      <c r="CX218" s="110">
        <f>IF(AJ218="","",IFERROR(AJ218*HSCEI!$B$65*HSCEI!$G$65/HSCEI!$B$3,""))</f>
        <v/>
      </c>
      <c r="CY218" s="110">
        <f>IF(AK218="","",IFERROR(AK218*HSCEI!$B$65*HSCEI!$G$65/HSCEI!$B$3,""))</f>
        <v/>
      </c>
      <c r="CZ218" s="110">
        <f>IF(AL218="","",IFERROR(AL218*HSCEI!$B$65*HSCEI!$G$65/HSCEI!$B$3,""))</f>
        <v/>
      </c>
      <c r="DA218" s="110">
        <f>IF(AM218="","",IFERROR(AM218*HSCEI!$B$65*HSCEI!$G$65/HSCEI!$B$3,""))</f>
        <v/>
      </c>
      <c r="DB218" s="110">
        <f>IF(AN218="","",IFERROR(AN218*HSCEI!$B$65*HSCEI!$G$65/HSCEI!$B$3,""))</f>
        <v/>
      </c>
      <c r="DC218" s="110">
        <f>IF(AO218="","",IFERROR(AO218*HSCEI!$B$65*HSCEI!$G$65/HSCEI!$B$3,""))</f>
        <v/>
      </c>
      <c r="DD218" s="110">
        <f>IF(AP218="","",IFERROR(AP218*HSCEI!$B$65*HSCEI!$G$65/HSCEI!$B$3,""))</f>
        <v/>
      </c>
      <c r="DE218" s="110">
        <f>IF(AQ218="","",IFERROR(AQ218*HSCEI!$B$65*HSCEI!$G$65/HSCEI!$B$3,""))</f>
        <v/>
      </c>
      <c r="DF218" s="110">
        <f>IF(AR218="","",IFERROR(AR218*HSCEI!$B$65*HSCEI!$G$65/HSCEI!$B$3,""))</f>
        <v/>
      </c>
      <c r="DG218" s="110">
        <f>IF(AS218="","",IFERROR(AS218*HSCEI!$B$65*HSCEI!$G$65/HSCEI!$B$3,""))</f>
        <v/>
      </c>
      <c r="DH218" s="110">
        <f>IF(AT218="","",IFERROR(AT218*HSCEI!$B$65*HSCEI!$G$65/HSCEI!$B$3,""))</f>
        <v/>
      </c>
      <c r="DI218" s="110">
        <f>IF(AU218="","",IFERROR(AU218*HSCEI!$B$65*HSCEI!$G$65/HSCEI!$B$3,""))</f>
        <v/>
      </c>
      <c r="DJ218" s="110">
        <f>IF(AV218="","",IFERROR(AV218*HSCEI!$B$65*HSCEI!$G$65/HSCEI!$B$3,""))</f>
        <v/>
      </c>
      <c r="DK218" s="110">
        <f>IF(AW218="","",IFERROR(AW218*HSCEI!$B$65*HSCEI!$G$65/HSCEI!$B$3,""))</f>
        <v/>
      </c>
      <c r="DL218" s="110">
        <f>IF(AX218="","",IFERROR(AX218*HSCEI!$B$65*HSCEI!$G$65/HSCEI!$B$3,""))</f>
        <v/>
      </c>
      <c r="DM218" s="110">
        <f>IF(AY218="","",IFERROR(AY218*HSCEI!$B$65*HSCEI!$G$65/HSCEI!$B$3,""))</f>
        <v/>
      </c>
      <c r="DN218" s="110">
        <f>IF(AZ218="","",IFERROR(AZ218*HSCEI!$B$65*HSCEI!$G$65/HSCEI!$B$3,""))</f>
        <v/>
      </c>
      <c r="DO218" s="110">
        <f>IF(BA218="","",IFERROR(BA218*HSCEI!$B$65*HSCEI!$G$65/HSCEI!$B$3,""))</f>
        <v/>
      </c>
      <c r="DP218" s="110">
        <f>IF(BB218="","",IFERROR(BB218*HSCEI!$B$65*HSCEI!$G$65/HSCEI!$B$3,""))</f>
        <v/>
      </c>
      <c r="DQ218" s="110">
        <f>IF(BC218="","",IFERROR(BC218*HSCEI!$B$65*HSCEI!$G$65/HSCEI!$B$3,""))</f>
        <v/>
      </c>
      <c r="DR218" s="110">
        <f>IF(BD218="","",IFERROR(BD218*HSCEI!$B$65*HSCEI!$G$65/HSCEI!$B$3,""))</f>
        <v/>
      </c>
      <c r="DS218" s="110">
        <f>IF(BE218="","",IFERROR(BE218*HSCEI!$B$65*HSCEI!$G$65/HSCEI!$B$3,""))</f>
        <v/>
      </c>
      <c r="DT218" s="110">
        <f>IF(BF218="","",IFERROR(BF218*HSCEI!$B$65*HSCEI!$G$65/HSCEI!$B$3,""))</f>
        <v/>
      </c>
      <c r="DU218" s="110">
        <f>IF(BG218="","",IFERROR(BG218*HSCEI!$B$65*HSCEI!$G$65/HSCEI!$B$3,""))</f>
        <v/>
      </c>
      <c r="DV218" s="110">
        <f>IF(BH218="","",IFERROR(BH218*HSCEI!$B$65*HSCEI!$G$65/HSCEI!$B$3,""))</f>
        <v/>
      </c>
      <c r="DW218" s="110">
        <f>IF(BI218="","",IFERROR(BI218*HSCEI!$B$65*HSCEI!$G$65/HSCEI!$B$3,""))</f>
        <v/>
      </c>
      <c r="DX218" s="110">
        <f>IF(BJ218="","",IFERROR(BJ218*HSCEI!$B$65*HSCEI!$G$65/HSCEI!$B$3,""))</f>
        <v/>
      </c>
      <c r="DY218" s="110">
        <f>IF(BK218="","",IFERROR(BK218*HSCEI!$B$65*HSCEI!$G$65/HSCEI!$B$3,""))</f>
        <v/>
      </c>
      <c r="DZ218" s="110">
        <f>IF(BL218="","",IFERROR(BL218*HSCEI!$B$65*HSCEI!$G$65/HSCEI!$B$3,""))</f>
        <v/>
      </c>
      <c r="EA218" s="110">
        <f>IF(BM218="","",IFERROR(BM218*HSCEI!$B$65*HSCEI!$G$65/HSCEI!$B$3,""))</f>
        <v/>
      </c>
      <c r="EB218" s="110">
        <f>IF(BN218="","",IFERROR(BN218*HSCEI!$B$65*HSCEI!$G$65/HSCEI!$B$3,""))</f>
        <v/>
      </c>
      <c r="EC218" s="110">
        <f>IF(BO218="","",IFERROR(BO218*HSCEI!$B$65*HSCEI!$G$65/HSCEI!$B$3,""))</f>
        <v/>
      </c>
      <c r="EE218" s="39">
        <f>IF(N('Dvd Calendar'!$E$2199)=0,"",IF(('Dvd Calendar'!$E$2199&gt;=GRID_FROM)*('Dvd Calendar'!$E$2199&lt;=GRID_TO)*((('Dvd Calendar'!$E$2199&lt;=VAL_DATE)+(COUNTIF('Dvd Calendar'!$E$2206:$AR$2206,'Dvd Calendar'!$E$2199)=0))&gt;0)=0,"",'Dvd Calendar'!$E$2199*1000000000+ISNUMBER('Dvd Calendar'!$E$2202)*100000000+('Dvd Calendar'!$E$2204=SPECIAL_LBL)*10000000+(N('Dvd Calendar'!$E$2198)&gt;0)*(N('Dvd Calendar'!$E$2198)&lt;=VAL_SERIAL)*1000000+59*1000+1))</f>
        <v/>
      </c>
      <c r="EF218" s="39">
        <f>IF(N('Dvd Calendar'!$F$2199)=0,"",IF(('Dvd Calendar'!$F$2199&gt;=GRID_FROM)*('Dvd Calendar'!$F$2199&lt;=GRID_TO)*((('Dvd Calendar'!$F$2199&lt;=VAL_DATE)+(COUNTIF('Dvd Calendar'!$E$2206:$AR$2206,'Dvd Calendar'!$F$2199)=0))&gt;0)=0,"",'Dvd Calendar'!$F$2199*1000000000+ISNUMBER('Dvd Calendar'!$F$2202)*100000000+('Dvd Calendar'!$F$2204=SPECIAL_LBL)*10000000+(N('Dvd Calendar'!$F$2198)&gt;0)*(N('Dvd Calendar'!$F$2198)&lt;=VAL_SERIAL)*1000000+59*1000+2))</f>
        <v/>
      </c>
      <c r="EG218" s="39">
        <f>IF(N('Dvd Calendar'!$G$2199)=0,"",IF(('Dvd Calendar'!$G$2199&gt;=GRID_FROM)*('Dvd Calendar'!$G$2199&lt;=GRID_TO)*((('Dvd Calendar'!$G$2199&lt;=VAL_DATE)+(COUNTIF('Dvd Calendar'!$E$2206:$AR$2206,'Dvd Calendar'!$G$2199)=0))&gt;0)=0,"",'Dvd Calendar'!$G$2199*1000000000+ISNUMBER('Dvd Calendar'!$G$2202)*100000000+('Dvd Calendar'!$G$2204=SPECIAL_LBL)*10000000+(N('Dvd Calendar'!$G$2198)&gt;0)*(N('Dvd Calendar'!$G$2198)&lt;=VAL_SERIAL)*1000000+59*1000+3))</f>
        <v/>
      </c>
      <c r="EH218" s="39">
        <f>IF(N('Dvd Calendar'!$H$2199)=0,"",IF(('Dvd Calendar'!$H$2199&gt;=GRID_FROM)*('Dvd Calendar'!$H$2199&lt;=GRID_TO)*((('Dvd Calendar'!$H$2199&lt;=VAL_DATE)+(COUNTIF('Dvd Calendar'!$E$2206:$AR$2206,'Dvd Calendar'!$H$2199)=0))&gt;0)=0,"",'Dvd Calendar'!$H$2199*1000000000+ISNUMBER('Dvd Calendar'!$H$2202)*100000000+('Dvd Calendar'!$H$2204=SPECIAL_LBL)*10000000+(N('Dvd Calendar'!$H$2198)&gt;0)*(N('Dvd Calendar'!$H$2198)&lt;=VAL_SERIAL)*1000000+59*1000+4))</f>
        <v/>
      </c>
      <c r="EI218" s="39">
        <f>IF(N('Dvd Calendar'!$I$2199)=0,"",IF(('Dvd Calendar'!$I$2199&gt;=GRID_FROM)*('Dvd Calendar'!$I$2199&lt;=GRID_TO)*((('Dvd Calendar'!$I$2199&lt;=VAL_DATE)+(COUNTIF('Dvd Calendar'!$E$2206:$AR$2206,'Dvd Calendar'!$I$2199)=0))&gt;0)=0,"",'Dvd Calendar'!$I$2199*1000000000+ISNUMBER('Dvd Calendar'!$I$2202)*100000000+('Dvd Calendar'!$I$2204=SPECIAL_LBL)*10000000+(N('Dvd Calendar'!$I$2198)&gt;0)*(N('Dvd Calendar'!$I$2198)&lt;=VAL_SERIAL)*1000000+59*1000+5))</f>
        <v/>
      </c>
      <c r="EJ218" s="39">
        <f>IF(N('Dvd Calendar'!$J$2199)=0,"",IF(('Dvd Calendar'!$J$2199&gt;=GRID_FROM)*('Dvd Calendar'!$J$2199&lt;=GRID_TO)*((('Dvd Calendar'!$J$2199&lt;=VAL_DATE)+(COUNTIF('Dvd Calendar'!$E$2206:$AR$2206,'Dvd Calendar'!$J$2199)=0))&gt;0)=0,"",'Dvd Calendar'!$J$2199*1000000000+ISNUMBER('Dvd Calendar'!$J$2202)*100000000+('Dvd Calendar'!$J$2204=SPECIAL_LBL)*10000000+(N('Dvd Calendar'!$J$2198)&gt;0)*(N('Dvd Calendar'!$J$2198)&lt;=VAL_SERIAL)*1000000+59*1000+6))</f>
        <v/>
      </c>
      <c r="EK218" s="39">
        <f>IF(N('Dvd Calendar'!$K$2199)=0,"",IF(('Dvd Calendar'!$K$2199&gt;=GRID_FROM)*('Dvd Calendar'!$K$2199&lt;=GRID_TO)*((('Dvd Calendar'!$K$2199&lt;=VAL_DATE)+(COUNTIF('Dvd Calendar'!$E$2206:$AR$2206,'Dvd Calendar'!$K$2199)=0))&gt;0)=0,"",'Dvd Calendar'!$K$2199*1000000000+ISNUMBER('Dvd Calendar'!$K$2202)*100000000+('Dvd Calendar'!$K$2204=SPECIAL_LBL)*10000000+(N('Dvd Calendar'!$K$2198)&gt;0)*(N('Dvd Calendar'!$K$2198)&lt;=VAL_SERIAL)*1000000+59*1000+7))</f>
        <v/>
      </c>
      <c r="EL218" s="39">
        <f>IF(N('Dvd Calendar'!$L$2199)=0,"",IF(('Dvd Calendar'!$L$2199&gt;=GRID_FROM)*('Dvd Calendar'!$L$2199&lt;=GRID_TO)*((('Dvd Calendar'!$L$2199&lt;=VAL_DATE)+(COUNTIF('Dvd Calendar'!$E$2206:$AR$2206,'Dvd Calendar'!$L$2199)=0))&gt;0)=0,"",'Dvd Calendar'!$L$2199*1000000000+ISNUMBER('Dvd Calendar'!$L$2202)*100000000+('Dvd Calendar'!$L$2204=SPECIAL_LBL)*10000000+(N('Dvd Calendar'!$L$2198)&gt;0)*(N('Dvd Calendar'!$L$2198)&lt;=VAL_SERIAL)*1000000+59*1000+8))</f>
        <v/>
      </c>
      <c r="EM218" s="39">
        <f>IF(N('Dvd Calendar'!$M$2199)=0,"",IF(('Dvd Calendar'!$M$2199&gt;=GRID_FROM)*('Dvd Calendar'!$M$2199&lt;=GRID_TO)*((('Dvd Calendar'!$M$2199&lt;=VAL_DATE)+(COUNTIF('Dvd Calendar'!$E$2206:$AR$2206,'Dvd Calendar'!$M$2199)=0))&gt;0)=0,"",'Dvd Calendar'!$M$2199*1000000000+ISNUMBER('Dvd Calendar'!$M$2202)*100000000+('Dvd Calendar'!$M$2204=SPECIAL_LBL)*10000000+(N('Dvd Calendar'!$M$2198)&gt;0)*(N('Dvd Calendar'!$M$2198)&lt;=VAL_SERIAL)*1000000+59*1000+9))</f>
        <v/>
      </c>
      <c r="EN218" s="39">
        <f>IF(N('Dvd Calendar'!$N$2199)=0,"",IF(('Dvd Calendar'!$N$2199&gt;=GRID_FROM)*('Dvd Calendar'!$N$2199&lt;=GRID_TO)*((('Dvd Calendar'!$N$2199&lt;=VAL_DATE)+(COUNTIF('Dvd Calendar'!$E$2206:$AR$2206,'Dvd Calendar'!$N$2199)=0))&gt;0)=0,"",'Dvd Calendar'!$N$2199*1000000000+ISNUMBER('Dvd Calendar'!$N$2202)*100000000+('Dvd Calendar'!$N$2204=SPECIAL_LBL)*10000000+(N('Dvd Calendar'!$N$2198)&gt;0)*(N('Dvd Calendar'!$N$2198)&lt;=VAL_SERIAL)*1000000+59*1000+10))</f>
        <v/>
      </c>
      <c r="EO218" s="39">
        <f>IF(N('Dvd Calendar'!$O$2199)=0,"",IF(('Dvd Calendar'!$O$2199&gt;=GRID_FROM)*('Dvd Calendar'!$O$2199&lt;=GRID_TO)*((('Dvd Calendar'!$O$2199&lt;=VAL_DATE)+(COUNTIF('Dvd Calendar'!$E$2206:$AR$2206,'Dvd Calendar'!$O$2199)=0))&gt;0)=0,"",'Dvd Calendar'!$O$2199*1000000000+ISNUMBER('Dvd Calendar'!$O$2202)*100000000+('Dvd Calendar'!$O$2204=SPECIAL_LBL)*10000000+(N('Dvd Calendar'!$O$2198)&gt;0)*(N('Dvd Calendar'!$O$2198)&lt;=VAL_SERIAL)*1000000+59*1000+11))</f>
        <v/>
      </c>
      <c r="EP218" s="39">
        <f>IF(N('Dvd Calendar'!$P$2199)=0,"",IF(('Dvd Calendar'!$P$2199&gt;=GRID_FROM)*('Dvd Calendar'!$P$2199&lt;=GRID_TO)*((('Dvd Calendar'!$P$2199&lt;=VAL_DATE)+(COUNTIF('Dvd Calendar'!$E$2206:$AR$2206,'Dvd Calendar'!$P$2199)=0))&gt;0)=0,"",'Dvd Calendar'!$P$2199*1000000000+ISNUMBER('Dvd Calendar'!$P$2202)*100000000+('Dvd Calendar'!$P$2204=SPECIAL_LBL)*10000000+(N('Dvd Calendar'!$P$2198)&gt;0)*(N('Dvd Calendar'!$P$2198)&lt;=VAL_SERIAL)*1000000+59*1000+12))</f>
        <v/>
      </c>
      <c r="EQ218" s="39">
        <f>IF(N('Dvd Calendar'!$Q$2199)=0,"",IF(('Dvd Calendar'!$Q$2199&gt;=GRID_FROM)*('Dvd Calendar'!$Q$2199&lt;=GRID_TO)*((('Dvd Calendar'!$Q$2199&lt;=VAL_DATE)+(COUNTIF('Dvd Calendar'!$E$2206:$AR$2206,'Dvd Calendar'!$Q$2199)=0))&gt;0)=0,"",'Dvd Calendar'!$Q$2199*1000000000+ISNUMBER('Dvd Calendar'!$Q$2202)*100000000+('Dvd Calendar'!$Q$2204=SPECIAL_LBL)*10000000+(N('Dvd Calendar'!$Q$2198)&gt;0)*(N('Dvd Calendar'!$Q$2198)&lt;=VAL_SERIAL)*1000000+59*1000+13))</f>
        <v/>
      </c>
      <c r="ER218" s="39">
        <f>IF(N('Dvd Calendar'!$R$2199)=0,"",IF(('Dvd Calendar'!$R$2199&gt;=GRID_FROM)*('Dvd Calendar'!$R$2199&lt;=GRID_TO)*((('Dvd Calendar'!$R$2199&lt;=VAL_DATE)+(COUNTIF('Dvd Calendar'!$E$2206:$AR$2206,'Dvd Calendar'!$R$2199)=0))&gt;0)=0,"",'Dvd Calendar'!$R$2199*1000000000+ISNUMBER('Dvd Calendar'!$R$2202)*100000000+('Dvd Calendar'!$R$2204=SPECIAL_LBL)*10000000+(N('Dvd Calendar'!$R$2198)&gt;0)*(N('Dvd Calendar'!$R$2198)&lt;=VAL_SERIAL)*1000000+59*1000+14))</f>
        <v/>
      </c>
      <c r="ES218" s="39">
        <f>IF(N('Dvd Calendar'!$S$2199)=0,"",IF(('Dvd Calendar'!$S$2199&gt;=GRID_FROM)*('Dvd Calendar'!$S$2199&lt;=GRID_TO)*((('Dvd Calendar'!$S$2199&lt;=VAL_DATE)+(COUNTIF('Dvd Calendar'!$E$2206:$AR$2206,'Dvd Calendar'!$S$2199)=0))&gt;0)=0,"",'Dvd Calendar'!$S$2199*1000000000+ISNUMBER('Dvd Calendar'!$S$2202)*100000000+('Dvd Calendar'!$S$2204=SPECIAL_LBL)*10000000+(N('Dvd Calendar'!$S$2198)&gt;0)*(N('Dvd Calendar'!$S$2198)&lt;=VAL_SERIAL)*1000000+59*1000+15))</f>
        <v/>
      </c>
      <c r="ET218" s="39">
        <f>IF(N('Dvd Calendar'!$T$2199)=0,"",IF(('Dvd Calendar'!$T$2199&gt;=GRID_FROM)*('Dvd Calendar'!$T$2199&lt;=GRID_TO)*((('Dvd Calendar'!$T$2199&lt;=VAL_DATE)+(COUNTIF('Dvd Calendar'!$E$2206:$AR$2206,'Dvd Calendar'!$T$2199)=0))&gt;0)=0,"",'Dvd Calendar'!$T$2199*1000000000+ISNUMBER('Dvd Calendar'!$T$2202)*100000000+('Dvd Calendar'!$T$2204=SPECIAL_LBL)*10000000+(N('Dvd Calendar'!$T$2198)&gt;0)*(N('Dvd Calendar'!$T$2198)&lt;=VAL_SERIAL)*1000000+59*1000+16))</f>
        <v/>
      </c>
      <c r="EU218" s="39">
        <f>IF(N('Dvd Calendar'!$U$2199)=0,"",IF(('Dvd Calendar'!$U$2199&gt;=GRID_FROM)*('Dvd Calendar'!$U$2199&lt;=GRID_TO)*((('Dvd Calendar'!$U$2199&lt;=VAL_DATE)+(COUNTIF('Dvd Calendar'!$E$2206:$AR$2206,'Dvd Calendar'!$U$2199)=0))&gt;0)=0,"",'Dvd Calendar'!$U$2199*1000000000+ISNUMBER('Dvd Calendar'!$U$2202)*100000000+('Dvd Calendar'!$U$2204=SPECIAL_LBL)*10000000+(N('Dvd Calendar'!$U$2198)&gt;0)*(N('Dvd Calendar'!$U$2198)&lt;=VAL_SERIAL)*1000000+59*1000+17))</f>
        <v/>
      </c>
      <c r="EV218" s="39">
        <f>IF(N('Dvd Calendar'!$V$2199)=0,"",IF(('Dvd Calendar'!$V$2199&gt;=GRID_FROM)*('Dvd Calendar'!$V$2199&lt;=GRID_TO)*((('Dvd Calendar'!$V$2199&lt;=VAL_DATE)+(COUNTIF('Dvd Calendar'!$E$2206:$AR$2206,'Dvd Calendar'!$V$2199)=0))&gt;0)=0,"",'Dvd Calendar'!$V$2199*1000000000+ISNUMBER('Dvd Calendar'!$V$2202)*100000000+('Dvd Calendar'!$V$2204=SPECIAL_LBL)*10000000+(N('Dvd Calendar'!$V$2198)&gt;0)*(N('Dvd Calendar'!$V$2198)&lt;=VAL_SERIAL)*1000000+59*1000+18))</f>
        <v/>
      </c>
      <c r="EW218" s="39">
        <f>IF(N('Dvd Calendar'!$W$2199)=0,"",IF(('Dvd Calendar'!$W$2199&gt;=GRID_FROM)*('Dvd Calendar'!$W$2199&lt;=GRID_TO)*((('Dvd Calendar'!$W$2199&lt;=VAL_DATE)+(COUNTIF('Dvd Calendar'!$E$2206:$AR$2206,'Dvd Calendar'!$W$2199)=0))&gt;0)=0,"",'Dvd Calendar'!$W$2199*1000000000+ISNUMBER('Dvd Calendar'!$W$2202)*100000000+('Dvd Calendar'!$W$2204=SPECIAL_LBL)*10000000+(N('Dvd Calendar'!$W$2198)&gt;0)*(N('Dvd Calendar'!$W$2198)&lt;=VAL_SERIAL)*1000000+59*1000+19))</f>
        <v/>
      </c>
      <c r="EX218" s="39">
        <f>IF(N('Dvd Calendar'!$X$2199)=0,"",IF(('Dvd Calendar'!$X$2199&gt;=GRID_FROM)*('Dvd Calendar'!$X$2199&lt;=GRID_TO)*((('Dvd Calendar'!$X$2199&lt;=VAL_DATE)+(COUNTIF('Dvd Calendar'!$E$2206:$AR$2206,'Dvd Calendar'!$X$2199)=0))&gt;0)=0,"",'Dvd Calendar'!$X$2199*1000000000+ISNUMBER('Dvd Calendar'!$X$2202)*100000000+('Dvd Calendar'!$X$2204=SPECIAL_LBL)*10000000+(N('Dvd Calendar'!$X$2198)&gt;0)*(N('Dvd Calendar'!$X$2198)&lt;=VAL_SERIAL)*1000000+59*1000+20))</f>
        <v/>
      </c>
      <c r="EY218" s="39">
        <f>IF(N('Dvd Calendar'!$Y$2199)=0,"",IF(('Dvd Calendar'!$Y$2199&gt;=GRID_FROM)*('Dvd Calendar'!$Y$2199&lt;=GRID_TO)*((('Dvd Calendar'!$Y$2199&lt;=VAL_DATE)+(COUNTIF('Dvd Calendar'!$E$2206:$AR$2206,'Dvd Calendar'!$Y$2199)=0))&gt;0)=0,"",'Dvd Calendar'!$Y$2199*1000000000+ISNUMBER('Dvd Calendar'!$Y$2202)*100000000+('Dvd Calendar'!$Y$2204=SPECIAL_LBL)*10000000+(N('Dvd Calendar'!$Y$2198)&gt;0)*(N('Dvd Calendar'!$Y$2198)&lt;=VAL_SERIAL)*1000000+59*1000+21))</f>
        <v/>
      </c>
      <c r="EZ218" s="39">
        <f>IF(N('Dvd Calendar'!$Z$2199)=0,"",IF(('Dvd Calendar'!$Z$2199&gt;=GRID_FROM)*('Dvd Calendar'!$Z$2199&lt;=GRID_TO)*((('Dvd Calendar'!$Z$2199&lt;=VAL_DATE)+(COUNTIF('Dvd Calendar'!$E$2206:$AR$2206,'Dvd Calendar'!$Z$2199)=0))&gt;0)=0,"",'Dvd Calendar'!$Z$2199*1000000000+ISNUMBER('Dvd Calendar'!$Z$2202)*100000000+('Dvd Calendar'!$Z$2204=SPECIAL_LBL)*10000000+(N('Dvd Calendar'!$Z$2198)&gt;0)*(N('Dvd Calendar'!$Z$2198)&lt;=VAL_SERIAL)*1000000+59*1000+22))</f>
        <v/>
      </c>
      <c r="FA218" s="39">
        <f>IF(N('Dvd Calendar'!$AA$2199)=0,"",IF(('Dvd Calendar'!$AA$2199&gt;=GRID_FROM)*('Dvd Calendar'!$AA$2199&lt;=GRID_TO)*((('Dvd Calendar'!$AA$2199&lt;=VAL_DATE)+(COUNTIF('Dvd Calendar'!$E$2206:$AR$2206,'Dvd Calendar'!$AA$2199)=0))&gt;0)=0,"",'Dvd Calendar'!$AA$2199*1000000000+ISNUMBER('Dvd Calendar'!$AA$2202)*100000000+('Dvd Calendar'!$AA$2204=SPECIAL_LBL)*10000000+(N('Dvd Calendar'!$AA$2198)&gt;0)*(N('Dvd Calendar'!$AA$2198)&lt;=VAL_SERIAL)*1000000+59*1000+23))</f>
        <v/>
      </c>
      <c r="FB218" s="39">
        <f>IF(N('Dvd Calendar'!$AB$2199)=0,"",IF(('Dvd Calendar'!$AB$2199&gt;=GRID_FROM)*('Dvd Calendar'!$AB$2199&lt;=GRID_TO)*((('Dvd Calendar'!$AB$2199&lt;=VAL_DATE)+(COUNTIF('Dvd Calendar'!$E$2206:$AR$2206,'Dvd Calendar'!$AB$2199)=0))&gt;0)=0,"",'Dvd Calendar'!$AB$2199*1000000000+ISNUMBER('Dvd Calendar'!$AB$2202)*100000000+('Dvd Calendar'!$AB$2204=SPECIAL_LBL)*10000000+(N('Dvd Calendar'!$AB$2198)&gt;0)*(N('Dvd Calendar'!$AB$2198)&lt;=VAL_SERIAL)*1000000+59*1000+24))</f>
        <v/>
      </c>
      <c r="FC218" s="39">
        <f>IF(N('Dvd Calendar'!$AC$2199)=0,"",IF(('Dvd Calendar'!$AC$2199&gt;=GRID_FROM)*('Dvd Calendar'!$AC$2199&lt;=GRID_TO)*((('Dvd Calendar'!$AC$2199&lt;=VAL_DATE)+(COUNTIF('Dvd Calendar'!$E$2206:$AR$2206,'Dvd Calendar'!$AC$2199)=0))&gt;0)=0,"",'Dvd Calendar'!$AC$2199*1000000000+ISNUMBER('Dvd Calendar'!$AC$2202)*100000000+('Dvd Calendar'!$AC$2204=SPECIAL_LBL)*10000000+(N('Dvd Calendar'!$AC$2198)&gt;0)*(N('Dvd Calendar'!$AC$2198)&lt;=VAL_SERIAL)*1000000+59*1000+25))</f>
        <v/>
      </c>
      <c r="FD218" s="39">
        <f>IF(N('Dvd Calendar'!$AD$2199)=0,"",IF(('Dvd Calendar'!$AD$2199&gt;=GRID_FROM)*('Dvd Calendar'!$AD$2199&lt;=GRID_TO)*((('Dvd Calendar'!$AD$2199&lt;=VAL_DATE)+(COUNTIF('Dvd Calendar'!$E$2206:$AR$2206,'Dvd Calendar'!$AD$2199)=0))&gt;0)=0,"",'Dvd Calendar'!$AD$2199*1000000000+ISNUMBER('Dvd Calendar'!$AD$2202)*100000000+('Dvd Calendar'!$AD$2204=SPECIAL_LBL)*10000000+(N('Dvd Calendar'!$AD$2198)&gt;0)*(N('Dvd Calendar'!$AD$2198)&lt;=VAL_SERIAL)*1000000+59*1000+26))</f>
        <v/>
      </c>
      <c r="FE218" s="39">
        <f>IF(N('Dvd Calendar'!$AE$2199)=0,"",IF(('Dvd Calendar'!$AE$2199&gt;=GRID_FROM)*('Dvd Calendar'!$AE$2199&lt;=GRID_TO)*((('Dvd Calendar'!$AE$2199&lt;=VAL_DATE)+(COUNTIF('Dvd Calendar'!$E$2206:$AR$2206,'Dvd Calendar'!$AE$2199)=0))&gt;0)=0,"",'Dvd Calendar'!$AE$2199*1000000000+ISNUMBER('Dvd Calendar'!$AE$2202)*100000000+('Dvd Calendar'!$AE$2204=SPECIAL_LBL)*10000000+(N('Dvd Calendar'!$AE$2198)&gt;0)*(N('Dvd Calendar'!$AE$2198)&lt;=VAL_SERIAL)*1000000+59*1000+27))</f>
        <v/>
      </c>
      <c r="FF218" s="39">
        <f>IF(N('Dvd Calendar'!$AF$2199)=0,"",IF(('Dvd Calendar'!$AF$2199&gt;=GRID_FROM)*('Dvd Calendar'!$AF$2199&lt;=GRID_TO)*((('Dvd Calendar'!$AF$2199&lt;=VAL_DATE)+(COUNTIF('Dvd Calendar'!$E$2206:$AR$2206,'Dvd Calendar'!$AF$2199)=0))&gt;0)=0,"",'Dvd Calendar'!$AF$2199*1000000000+ISNUMBER('Dvd Calendar'!$AF$2202)*100000000+('Dvd Calendar'!$AF$2204=SPECIAL_LBL)*10000000+(N('Dvd Calendar'!$AF$2198)&gt;0)*(N('Dvd Calendar'!$AF$2198)&lt;=VAL_SERIAL)*1000000+59*1000+28))</f>
        <v/>
      </c>
      <c r="FG218" s="39">
        <f>IF(N('Dvd Calendar'!$AG$2199)=0,"",IF(('Dvd Calendar'!$AG$2199&gt;=GRID_FROM)*('Dvd Calendar'!$AG$2199&lt;=GRID_TO)*((('Dvd Calendar'!$AG$2199&lt;=VAL_DATE)+(COUNTIF('Dvd Calendar'!$E$2206:$AR$2206,'Dvd Calendar'!$AG$2199)=0))&gt;0)=0,"",'Dvd Calendar'!$AG$2199*1000000000+ISNUMBER('Dvd Calendar'!$AG$2202)*100000000+('Dvd Calendar'!$AG$2204=SPECIAL_LBL)*10000000+(N('Dvd Calendar'!$AG$2198)&gt;0)*(N('Dvd Calendar'!$AG$2198)&lt;=VAL_SERIAL)*1000000+59*1000+29))</f>
        <v/>
      </c>
      <c r="FH218" s="39">
        <f>IF(N('Dvd Calendar'!$AH$2199)=0,"",IF(('Dvd Calendar'!$AH$2199&gt;=GRID_FROM)*('Dvd Calendar'!$AH$2199&lt;=GRID_TO)*((('Dvd Calendar'!$AH$2199&lt;=VAL_DATE)+(COUNTIF('Dvd Calendar'!$E$2206:$AR$2206,'Dvd Calendar'!$AH$2199)=0))&gt;0)=0,"",'Dvd Calendar'!$AH$2199*1000000000+ISNUMBER('Dvd Calendar'!$AH$2202)*100000000+('Dvd Calendar'!$AH$2204=SPECIAL_LBL)*10000000+(N('Dvd Calendar'!$AH$2198)&gt;0)*(N('Dvd Calendar'!$AH$2198)&lt;=VAL_SERIAL)*1000000+59*1000+30))</f>
        <v/>
      </c>
      <c r="FI218" s="39">
        <f>IF(N('Dvd Calendar'!$AI$2199)=0,"",IF(('Dvd Calendar'!$AI$2199&gt;=GRID_FROM)*('Dvd Calendar'!$AI$2199&lt;=GRID_TO)*((('Dvd Calendar'!$AI$2199&lt;=VAL_DATE)+(COUNTIF('Dvd Calendar'!$E$2206:$AR$2206,'Dvd Calendar'!$AI$2199)=0))&gt;0)=0,"",'Dvd Calendar'!$AI$2199*1000000000+ISNUMBER('Dvd Calendar'!$AI$2202)*100000000+('Dvd Calendar'!$AI$2204=SPECIAL_LBL)*10000000+(N('Dvd Calendar'!$AI$2198)&gt;0)*(N('Dvd Calendar'!$AI$2198)&lt;=VAL_SERIAL)*1000000+59*1000+31))</f>
        <v/>
      </c>
      <c r="FJ218" s="39">
        <f>IF(N('Dvd Calendar'!$AJ$2199)=0,"",IF(('Dvd Calendar'!$AJ$2199&gt;=GRID_FROM)*('Dvd Calendar'!$AJ$2199&lt;=GRID_TO)*((('Dvd Calendar'!$AJ$2199&lt;=VAL_DATE)+(COUNTIF('Dvd Calendar'!$E$2206:$AR$2206,'Dvd Calendar'!$AJ$2199)=0))&gt;0)=0,"",'Dvd Calendar'!$AJ$2199*1000000000+ISNUMBER('Dvd Calendar'!$AJ$2202)*100000000+('Dvd Calendar'!$AJ$2204=SPECIAL_LBL)*10000000+(N('Dvd Calendar'!$AJ$2198)&gt;0)*(N('Dvd Calendar'!$AJ$2198)&lt;=VAL_SERIAL)*1000000+59*1000+32))</f>
        <v/>
      </c>
      <c r="FK218" s="39">
        <f>IF(N('Dvd Calendar'!$AK$2199)=0,"",IF(('Dvd Calendar'!$AK$2199&gt;=GRID_FROM)*('Dvd Calendar'!$AK$2199&lt;=GRID_TO)*((('Dvd Calendar'!$AK$2199&lt;=VAL_DATE)+(COUNTIF('Dvd Calendar'!$E$2206:$AR$2206,'Dvd Calendar'!$AK$2199)=0))&gt;0)=0,"",'Dvd Calendar'!$AK$2199*1000000000+ISNUMBER('Dvd Calendar'!$AK$2202)*100000000+('Dvd Calendar'!$AK$2204=SPECIAL_LBL)*10000000+(N('Dvd Calendar'!$AK$2198)&gt;0)*(N('Dvd Calendar'!$AK$2198)&lt;=VAL_SERIAL)*1000000+59*1000+33))</f>
        <v/>
      </c>
      <c r="FL218" s="39">
        <f>IF(N('Dvd Calendar'!$AL$2199)=0,"",IF(('Dvd Calendar'!$AL$2199&gt;=GRID_FROM)*('Dvd Calendar'!$AL$2199&lt;=GRID_TO)*((('Dvd Calendar'!$AL$2199&lt;=VAL_DATE)+(COUNTIF('Dvd Calendar'!$E$2206:$AR$2206,'Dvd Calendar'!$AL$2199)=0))&gt;0)=0,"",'Dvd Calendar'!$AL$2199*1000000000+ISNUMBER('Dvd Calendar'!$AL$2202)*100000000+('Dvd Calendar'!$AL$2204=SPECIAL_LBL)*10000000+(N('Dvd Calendar'!$AL$2198)&gt;0)*(N('Dvd Calendar'!$AL$2198)&lt;=VAL_SERIAL)*1000000+59*1000+34))</f>
        <v/>
      </c>
      <c r="FM218" s="39">
        <f>IF(N('Dvd Calendar'!$AM$2199)=0,"",IF(('Dvd Calendar'!$AM$2199&gt;=GRID_FROM)*('Dvd Calendar'!$AM$2199&lt;=GRID_TO)*((('Dvd Calendar'!$AM$2199&lt;=VAL_DATE)+(COUNTIF('Dvd Calendar'!$E$2206:$AR$2206,'Dvd Calendar'!$AM$2199)=0))&gt;0)=0,"",'Dvd Calendar'!$AM$2199*1000000000+ISNUMBER('Dvd Calendar'!$AM$2202)*100000000+('Dvd Calendar'!$AM$2204=SPECIAL_LBL)*10000000+(N('Dvd Calendar'!$AM$2198)&gt;0)*(N('Dvd Calendar'!$AM$2198)&lt;=VAL_SERIAL)*1000000+59*1000+35))</f>
        <v/>
      </c>
      <c r="FN218" s="39">
        <f>IF(N('Dvd Calendar'!$AN$2199)=0,"",IF(('Dvd Calendar'!$AN$2199&gt;=GRID_FROM)*('Dvd Calendar'!$AN$2199&lt;=GRID_TO)*((('Dvd Calendar'!$AN$2199&lt;=VAL_DATE)+(COUNTIF('Dvd Calendar'!$E$2206:$AR$2206,'Dvd Calendar'!$AN$2199)=0))&gt;0)=0,"",'Dvd Calendar'!$AN$2199*1000000000+ISNUMBER('Dvd Calendar'!$AN$2202)*100000000+('Dvd Calendar'!$AN$2204=SPECIAL_LBL)*10000000+(N('Dvd Calendar'!$AN$2198)&gt;0)*(N('Dvd Calendar'!$AN$2198)&lt;=VAL_SERIAL)*1000000+59*1000+36))</f>
        <v/>
      </c>
      <c r="FO218" s="39">
        <f>IF(N('Dvd Calendar'!$AO$2199)=0,"",IF(('Dvd Calendar'!$AO$2199&gt;=GRID_FROM)*('Dvd Calendar'!$AO$2199&lt;=GRID_TO)*((('Dvd Calendar'!$AO$2199&lt;=VAL_DATE)+(COUNTIF('Dvd Calendar'!$E$2206:$AR$2206,'Dvd Calendar'!$AO$2199)=0))&gt;0)=0,"",'Dvd Calendar'!$AO$2199*1000000000+ISNUMBER('Dvd Calendar'!$AO$2202)*100000000+('Dvd Calendar'!$AO$2204=SPECIAL_LBL)*10000000+(N('Dvd Calendar'!$AO$2198)&gt;0)*(N('Dvd Calendar'!$AO$2198)&lt;=VAL_SERIAL)*1000000+59*1000+37))</f>
        <v/>
      </c>
      <c r="FP218" s="39">
        <f>IF(N('Dvd Calendar'!$AP$2199)=0,"",IF(('Dvd Calendar'!$AP$2199&gt;=GRID_FROM)*('Dvd Calendar'!$AP$2199&lt;=GRID_TO)*((('Dvd Calendar'!$AP$2199&lt;=VAL_DATE)+(COUNTIF('Dvd Calendar'!$E$2206:$AR$2206,'Dvd Calendar'!$AP$2199)=0))&gt;0)=0,"",'Dvd Calendar'!$AP$2199*1000000000+ISNUMBER('Dvd Calendar'!$AP$2202)*100000000+('Dvd Calendar'!$AP$2204=SPECIAL_LBL)*10000000+(N('Dvd Calendar'!$AP$2198)&gt;0)*(N('Dvd Calendar'!$AP$2198)&lt;=VAL_SERIAL)*1000000+59*1000+38))</f>
        <v/>
      </c>
      <c r="FQ218" s="39">
        <f>IF(N('Dvd Calendar'!$AQ$2199)=0,"",IF(('Dvd Calendar'!$AQ$2199&gt;=GRID_FROM)*('Dvd Calendar'!$AQ$2199&lt;=GRID_TO)*((('Dvd Calendar'!$AQ$2199&lt;=VAL_DATE)+(COUNTIF('Dvd Calendar'!$E$2206:$AR$2206,'Dvd Calendar'!$AQ$2199)=0))&gt;0)=0,"",'Dvd Calendar'!$AQ$2199*1000000000+ISNUMBER('Dvd Calendar'!$AQ$2202)*100000000+('Dvd Calendar'!$AQ$2204=SPECIAL_LBL)*10000000+(N('Dvd Calendar'!$AQ$2198)&gt;0)*(N('Dvd Calendar'!$AQ$2198)&lt;=VAL_SERIAL)*1000000+59*1000+39))</f>
        <v/>
      </c>
      <c r="FR218" s="39">
        <f>IF(N('Dvd Calendar'!$AR$2199)=0,"",IF(('Dvd Calendar'!$AR$2199&gt;=GRID_FROM)*('Dvd Calendar'!$AR$2199&lt;=GRID_TO)*((('Dvd Calendar'!$AR$2199&lt;=VAL_DATE)+(COUNTIF('Dvd Calendar'!$E$2206:$AR$2206,'Dvd Calendar'!$AR$2199)=0))&gt;0)=0,"",'Dvd Calendar'!$AR$2199*1000000000+ISNUMBER('Dvd Calendar'!$AR$2202)*100000000+('Dvd Calendar'!$AR$2204=SPECIAL_LBL)*10000000+(N('Dvd Calendar'!$AR$2198)&gt;0)*(N('Dvd Calendar'!$AR$2198)&lt;=VAL_SERIAL)*1000000+59*1000+40))</f>
        <v/>
      </c>
      <c r="FS218" s="39">
        <f>IF(N('Dvd Calendar'!$E$2206)=0,"",IF(('Dvd Calendar'!$E$2206&gt;=GRID_FROM)*('Dvd Calendar'!$E$2206&lt;=GRID_TO)*('Dvd Calendar'!$E$2206&gt;VAL_DATE)=0,"",'Dvd Calendar'!$E$2206*1000000000+ISNUMBER('Dvd Calendar'!$E$2207)*100000000+0*10000000+(N('Dvd Calendar'!$E$2205)&gt;0)*(N('Dvd Calendar'!$E$2205)&lt;=VAL_SERIAL)*1000000+59*1000+41))</f>
        <v/>
      </c>
      <c r="FT218" s="39">
        <f>IF(N('Dvd Calendar'!$F$2206)=0,"",IF(('Dvd Calendar'!$F$2206&gt;=GRID_FROM)*('Dvd Calendar'!$F$2206&lt;=GRID_TO)*('Dvd Calendar'!$F$2206&gt;VAL_DATE)=0,"",'Dvd Calendar'!$F$2206*1000000000+ISNUMBER('Dvd Calendar'!$F$2207)*100000000+0*10000000+(N('Dvd Calendar'!$F$2205)&gt;0)*(N('Dvd Calendar'!$F$2205)&lt;=VAL_SERIAL)*1000000+59*1000+42))</f>
        <v/>
      </c>
      <c r="FU218" s="39">
        <f>IF(N('Dvd Calendar'!$G$2206)=0,"",IF(('Dvd Calendar'!$G$2206&gt;=GRID_FROM)*('Dvd Calendar'!$G$2206&lt;=GRID_TO)*('Dvd Calendar'!$G$2206&gt;VAL_DATE)=0,"",'Dvd Calendar'!$G$2206*1000000000+ISNUMBER('Dvd Calendar'!$G$2207)*100000000+0*10000000+(N('Dvd Calendar'!$G$2205)&gt;0)*(N('Dvd Calendar'!$G$2205)&lt;=VAL_SERIAL)*1000000+59*1000+43))</f>
        <v/>
      </c>
      <c r="FV218" s="39">
        <f>IF(N('Dvd Calendar'!$H$2206)=0,"",IF(('Dvd Calendar'!$H$2206&gt;=GRID_FROM)*('Dvd Calendar'!$H$2206&lt;=GRID_TO)*('Dvd Calendar'!$H$2206&gt;VAL_DATE)=0,"",'Dvd Calendar'!$H$2206*1000000000+ISNUMBER('Dvd Calendar'!$H$2207)*100000000+0*10000000+(N('Dvd Calendar'!$H$2205)&gt;0)*(N('Dvd Calendar'!$H$2205)&lt;=VAL_SERIAL)*1000000+59*1000+44))</f>
        <v/>
      </c>
      <c r="FW218" s="39">
        <f>IF(N('Dvd Calendar'!$I$2206)=0,"",IF(('Dvd Calendar'!$I$2206&gt;=GRID_FROM)*('Dvd Calendar'!$I$2206&lt;=GRID_TO)*('Dvd Calendar'!$I$2206&gt;VAL_DATE)=0,"",'Dvd Calendar'!$I$2206*1000000000+ISNUMBER('Dvd Calendar'!$I$2207)*100000000+0*10000000+(N('Dvd Calendar'!$I$2205)&gt;0)*(N('Dvd Calendar'!$I$2205)&lt;=VAL_SERIAL)*1000000+59*1000+45))</f>
        <v/>
      </c>
      <c r="FX218" s="39">
        <f>IF(N('Dvd Calendar'!$J$2206)=0,"",IF(('Dvd Calendar'!$J$2206&gt;=GRID_FROM)*('Dvd Calendar'!$J$2206&lt;=GRID_TO)*('Dvd Calendar'!$J$2206&gt;VAL_DATE)=0,"",'Dvd Calendar'!$J$2206*1000000000+ISNUMBER('Dvd Calendar'!$J$2207)*100000000+0*10000000+(N('Dvd Calendar'!$J$2205)&gt;0)*(N('Dvd Calendar'!$J$2205)&lt;=VAL_SERIAL)*1000000+59*1000+46))</f>
        <v/>
      </c>
      <c r="FY218" s="39">
        <f>IF(N('Dvd Calendar'!$K$2206)=0,"",IF(('Dvd Calendar'!$K$2206&gt;=GRID_FROM)*('Dvd Calendar'!$K$2206&lt;=GRID_TO)*('Dvd Calendar'!$K$2206&gt;VAL_DATE)=0,"",'Dvd Calendar'!$K$2206*1000000000+ISNUMBER('Dvd Calendar'!$K$2207)*100000000+0*10000000+(N('Dvd Calendar'!$K$2205)&gt;0)*(N('Dvd Calendar'!$K$2205)&lt;=VAL_SERIAL)*1000000+59*1000+47))</f>
        <v/>
      </c>
      <c r="FZ218" s="39">
        <f>IF(N('Dvd Calendar'!$L$2206)=0,"",IF(('Dvd Calendar'!$L$2206&gt;=GRID_FROM)*('Dvd Calendar'!$L$2206&lt;=GRID_TO)*('Dvd Calendar'!$L$2206&gt;VAL_DATE)=0,"",'Dvd Calendar'!$L$2206*1000000000+ISNUMBER('Dvd Calendar'!$L$2207)*100000000+0*10000000+(N('Dvd Calendar'!$L$2205)&gt;0)*(N('Dvd Calendar'!$L$2205)&lt;=VAL_SERIAL)*1000000+59*1000+48))</f>
        <v/>
      </c>
      <c r="GA218" s="39">
        <f>IF(N('Dvd Calendar'!$M$2206)=0,"",IF(('Dvd Calendar'!$M$2206&gt;=GRID_FROM)*('Dvd Calendar'!$M$2206&lt;=GRID_TO)*('Dvd Calendar'!$M$2206&gt;VAL_DATE)=0,"",'Dvd Calendar'!$M$2206*1000000000+ISNUMBER('Dvd Calendar'!$M$2207)*100000000+0*10000000+(N('Dvd Calendar'!$M$2205)&gt;0)*(N('Dvd Calendar'!$M$2205)&lt;=VAL_SERIAL)*1000000+59*1000+49))</f>
        <v/>
      </c>
      <c r="GB218" s="39">
        <f>IF(N('Dvd Calendar'!$N$2206)=0,"",IF(('Dvd Calendar'!$N$2206&gt;=GRID_FROM)*('Dvd Calendar'!$N$2206&lt;=GRID_TO)*('Dvd Calendar'!$N$2206&gt;VAL_DATE)=0,"",'Dvd Calendar'!$N$2206*1000000000+ISNUMBER('Dvd Calendar'!$N$2207)*100000000+0*10000000+(N('Dvd Calendar'!$N$2205)&gt;0)*(N('Dvd Calendar'!$N$2205)&lt;=VAL_SERIAL)*1000000+59*1000+50))</f>
        <v/>
      </c>
      <c r="GC218" s="39">
        <f>IF(N('Dvd Calendar'!$O$2206)=0,"",IF(('Dvd Calendar'!$O$2206&gt;=GRID_FROM)*('Dvd Calendar'!$O$2206&lt;=GRID_TO)*('Dvd Calendar'!$O$2206&gt;VAL_DATE)=0,"",'Dvd Calendar'!$O$2206*1000000000+ISNUMBER('Dvd Calendar'!$O$2207)*100000000+0*10000000+(N('Dvd Calendar'!$O$2205)&gt;0)*(N('Dvd Calendar'!$O$2205)&lt;=VAL_SERIAL)*1000000+59*1000+51))</f>
        <v/>
      </c>
      <c r="GD218" s="39">
        <f>IF(N('Dvd Calendar'!$P$2206)=0,"",IF(('Dvd Calendar'!$P$2206&gt;=GRID_FROM)*('Dvd Calendar'!$P$2206&lt;=GRID_TO)*('Dvd Calendar'!$P$2206&gt;VAL_DATE)=0,"",'Dvd Calendar'!$P$2206*1000000000+ISNUMBER('Dvd Calendar'!$P$2207)*100000000+0*10000000+(N('Dvd Calendar'!$P$2205)&gt;0)*(N('Dvd Calendar'!$P$2205)&lt;=VAL_SERIAL)*1000000+59*1000+52))</f>
        <v/>
      </c>
      <c r="GE218" s="39">
        <f>IF(N('Dvd Calendar'!$Q$2206)=0,"",IF(('Dvd Calendar'!$Q$2206&gt;=GRID_FROM)*('Dvd Calendar'!$Q$2206&lt;=GRID_TO)*('Dvd Calendar'!$Q$2206&gt;VAL_DATE)=0,"",'Dvd Calendar'!$Q$2206*1000000000+ISNUMBER('Dvd Calendar'!$Q$2207)*100000000+0*10000000+(N('Dvd Calendar'!$Q$2205)&gt;0)*(N('Dvd Calendar'!$Q$2205)&lt;=VAL_SERIAL)*1000000+59*1000+53))</f>
        <v/>
      </c>
      <c r="GF218" s="39">
        <f>IF(N('Dvd Calendar'!$R$2206)=0,"",IF(('Dvd Calendar'!$R$2206&gt;=GRID_FROM)*('Dvd Calendar'!$R$2206&lt;=GRID_TO)*('Dvd Calendar'!$R$2206&gt;VAL_DATE)=0,"",'Dvd Calendar'!$R$2206*1000000000+ISNUMBER('Dvd Calendar'!$R$2207)*100000000+0*10000000+(N('Dvd Calendar'!$R$2205)&gt;0)*(N('Dvd Calendar'!$R$2205)&lt;=VAL_SERIAL)*1000000+59*1000+54))</f>
        <v/>
      </c>
      <c r="GG218" s="39">
        <f>IF(N('Dvd Calendar'!$S$2206)=0,"",IF(('Dvd Calendar'!$S$2206&gt;=GRID_FROM)*('Dvd Calendar'!$S$2206&lt;=GRID_TO)*('Dvd Calendar'!$S$2206&gt;VAL_DATE)=0,"",'Dvd Calendar'!$S$2206*1000000000+ISNUMBER('Dvd Calendar'!$S$2207)*100000000+0*10000000+(N('Dvd Calendar'!$S$2205)&gt;0)*(N('Dvd Calendar'!$S$2205)&lt;=VAL_SERIAL)*1000000+59*1000+55))</f>
        <v/>
      </c>
      <c r="GH218" s="39">
        <f>IF(N('Dvd Calendar'!$T$2206)=0,"",IF(('Dvd Calendar'!$T$2206&gt;=GRID_FROM)*('Dvd Calendar'!$T$2206&lt;=GRID_TO)*('Dvd Calendar'!$T$2206&gt;VAL_DATE)=0,"",'Dvd Calendar'!$T$2206*1000000000+ISNUMBER('Dvd Calendar'!$T$2207)*100000000+0*10000000+(N('Dvd Calendar'!$T$2205)&gt;0)*(N('Dvd Calendar'!$T$2205)&lt;=VAL_SERIAL)*1000000+59*1000+56))</f>
        <v/>
      </c>
      <c r="GI218" s="39">
        <f>IF(N('Dvd Calendar'!$U$2206)=0,"",IF(('Dvd Calendar'!$U$2206&gt;=GRID_FROM)*('Dvd Calendar'!$U$2206&lt;=GRID_TO)*('Dvd Calendar'!$U$2206&gt;VAL_DATE)=0,"",'Dvd Calendar'!$U$2206*1000000000+ISNUMBER('Dvd Calendar'!$U$2207)*100000000+0*10000000+(N('Dvd Calendar'!$U$2205)&gt;0)*(N('Dvd Calendar'!$U$2205)&lt;=VAL_SERIAL)*1000000+59*1000+57))</f>
        <v/>
      </c>
      <c r="GJ218" s="39">
        <f>IF(N('Dvd Calendar'!$V$2206)=0,"",IF(('Dvd Calendar'!$V$2206&gt;=GRID_FROM)*('Dvd Calendar'!$V$2206&lt;=GRID_TO)*('Dvd Calendar'!$V$2206&gt;VAL_DATE)=0,"",'Dvd Calendar'!$V$2206*1000000000+ISNUMBER('Dvd Calendar'!$V$2207)*100000000+0*10000000+(N('Dvd Calendar'!$V$2205)&gt;0)*(N('Dvd Calendar'!$V$2205)&lt;=VAL_SERIAL)*1000000+59*1000+58))</f>
        <v/>
      </c>
      <c r="GK218" s="39">
        <f>IF(N('Dvd Calendar'!$W$2206)=0,"",IF(('Dvd Calendar'!$W$2206&gt;=GRID_FROM)*('Dvd Calendar'!$W$2206&lt;=GRID_TO)*('Dvd Calendar'!$W$2206&gt;VAL_DATE)=0,"",'Dvd Calendar'!$W$2206*1000000000+ISNUMBER('Dvd Calendar'!$W$2207)*100000000+0*10000000+(N('Dvd Calendar'!$W$2205)&gt;0)*(N('Dvd Calendar'!$W$2205)&lt;=VAL_SERIAL)*1000000+59*1000+59))</f>
        <v/>
      </c>
      <c r="GL218" s="39">
        <f>IF(N('Dvd Calendar'!$X$2206)=0,"",IF(('Dvd Calendar'!$X$2206&gt;=GRID_FROM)*('Dvd Calendar'!$X$2206&lt;=GRID_TO)*('Dvd Calendar'!$X$2206&gt;VAL_DATE)=0,"",'Dvd Calendar'!$X$2206*1000000000+ISNUMBER('Dvd Calendar'!$X$2207)*100000000+0*10000000+(N('Dvd Calendar'!$X$2205)&gt;0)*(N('Dvd Calendar'!$X$2205)&lt;=VAL_SERIAL)*1000000+59*1000+60))</f>
        <v/>
      </c>
      <c r="GM218" s="39">
        <f>IF(N('Dvd Calendar'!$Y$2206)=0,"",IF(('Dvd Calendar'!$Y$2206&gt;=GRID_FROM)*('Dvd Calendar'!$Y$2206&lt;=GRID_TO)*('Dvd Calendar'!$Y$2206&gt;VAL_DATE)=0,"",'Dvd Calendar'!$Y$2206*1000000000+ISNUMBER('Dvd Calendar'!$Y$2207)*100000000+0*10000000+(N('Dvd Calendar'!$Y$2205)&gt;0)*(N('Dvd Calendar'!$Y$2205)&lt;=VAL_SERIAL)*1000000+59*1000+61))</f>
        <v/>
      </c>
      <c r="GN218" s="39">
        <f>IF(N('Dvd Calendar'!$Z$2206)=0,"",IF(('Dvd Calendar'!$Z$2206&gt;=GRID_FROM)*('Dvd Calendar'!$Z$2206&lt;=GRID_TO)*('Dvd Calendar'!$Z$2206&gt;VAL_DATE)=0,"",'Dvd Calendar'!$Z$2206*1000000000+ISNUMBER('Dvd Calendar'!$Z$2207)*100000000+0*10000000+(N('Dvd Calendar'!$Z$2205)&gt;0)*(N('Dvd Calendar'!$Z$2205)&lt;=VAL_SERIAL)*1000000+59*1000+62))</f>
        <v/>
      </c>
      <c r="GO218" s="39">
        <f>IF(N('Dvd Calendar'!$AA$2206)=0,"",IF(('Dvd Calendar'!$AA$2206&gt;=GRID_FROM)*('Dvd Calendar'!$AA$2206&lt;=GRID_TO)*('Dvd Calendar'!$AA$2206&gt;VAL_DATE)=0,"",'Dvd Calendar'!$AA$2206*1000000000+ISNUMBER('Dvd Calendar'!$AA$2207)*100000000+0*10000000+(N('Dvd Calendar'!$AA$2205)&gt;0)*(N('Dvd Calendar'!$AA$2205)&lt;=VAL_SERIAL)*1000000+59*1000+63))</f>
        <v/>
      </c>
      <c r="GP218" s="39">
        <f>IF(N('Dvd Calendar'!$AB$2206)=0,"",IF(('Dvd Calendar'!$AB$2206&gt;=GRID_FROM)*('Dvd Calendar'!$AB$2206&lt;=GRID_TO)*('Dvd Calendar'!$AB$2206&gt;VAL_DATE)=0,"",'Dvd Calendar'!$AB$2206*1000000000+ISNUMBER('Dvd Calendar'!$AB$2207)*100000000+0*10000000+(N('Dvd Calendar'!$AB$2205)&gt;0)*(N('Dvd Calendar'!$AB$2205)&lt;=VAL_SERIAL)*1000000+59*1000+64))</f>
        <v/>
      </c>
      <c r="GQ218" s="39">
        <f>IF(N('Dvd Calendar'!$AC$2206)=0,"",IF(('Dvd Calendar'!$AC$2206&gt;=GRID_FROM)*('Dvd Calendar'!$AC$2206&lt;=GRID_TO)*('Dvd Calendar'!$AC$2206&gt;VAL_DATE)=0,"",'Dvd Calendar'!$AC$2206*1000000000+ISNUMBER('Dvd Calendar'!$AC$2207)*100000000+0*10000000+(N('Dvd Calendar'!$AC$2205)&gt;0)*(N('Dvd Calendar'!$AC$2205)&lt;=VAL_SERIAL)*1000000+59*1000+65))</f>
        <v/>
      </c>
    </row>
    <row r="219">
      <c r="B219" s="2">
        <f>IF(HSCEI!$C$66="","",HSCEI!$C$66)</f>
        <v/>
      </c>
      <c r="C219" s="110">
        <f>IF(EE219="","",IF(ISNUMBER('Dvd Calendar'!$E$2213)=FALSE,"",IF((('Dvd Calendar'!$E$2215=TYPE1)*(TYPE1&lt;&gt;"")+('Dvd Calendar'!$E$2215=TYPE2)*(TYPE2&lt;&gt;"")+('Dvd Calendar'!$E$2215=TYPE3)*(TYPE3&lt;&gt;"")+('Dvd Calendar'!$E$2215=TYPE4)*(TYPE4&lt;&gt;"")+('Dvd Calendar'!$E$2215=SPECIAL_LBL)*(INC_SPECIALS="Y"))=0,"",'Dvd Calendar'!$E$2213)))</f>
        <v/>
      </c>
      <c r="D219" s="110">
        <f>IF(EF219="","",IF(ISNUMBER('Dvd Calendar'!$F$2213)=FALSE,"",IF((('Dvd Calendar'!$F$2215=TYPE1)*(TYPE1&lt;&gt;"")+('Dvd Calendar'!$F$2215=TYPE2)*(TYPE2&lt;&gt;"")+('Dvd Calendar'!$F$2215=TYPE3)*(TYPE3&lt;&gt;"")+('Dvd Calendar'!$F$2215=TYPE4)*(TYPE4&lt;&gt;"")+('Dvd Calendar'!$F$2215=SPECIAL_LBL)*(INC_SPECIALS="Y"))=0,"",'Dvd Calendar'!$F$2213)))</f>
        <v/>
      </c>
      <c r="E219" s="110">
        <f>IF(EG219="","",IF(ISNUMBER('Dvd Calendar'!$G$2213)=FALSE,"",IF((('Dvd Calendar'!$G$2215=TYPE1)*(TYPE1&lt;&gt;"")+('Dvd Calendar'!$G$2215=TYPE2)*(TYPE2&lt;&gt;"")+('Dvd Calendar'!$G$2215=TYPE3)*(TYPE3&lt;&gt;"")+('Dvd Calendar'!$G$2215=TYPE4)*(TYPE4&lt;&gt;"")+('Dvd Calendar'!$G$2215=SPECIAL_LBL)*(INC_SPECIALS="Y"))=0,"",'Dvd Calendar'!$G$2213)))</f>
        <v/>
      </c>
      <c r="F219" s="110">
        <f>IF(EH219="","",IF(ISNUMBER('Dvd Calendar'!$H$2213)=FALSE,"",IF((('Dvd Calendar'!$H$2215=TYPE1)*(TYPE1&lt;&gt;"")+('Dvd Calendar'!$H$2215=TYPE2)*(TYPE2&lt;&gt;"")+('Dvd Calendar'!$H$2215=TYPE3)*(TYPE3&lt;&gt;"")+('Dvd Calendar'!$H$2215=TYPE4)*(TYPE4&lt;&gt;"")+('Dvd Calendar'!$H$2215=SPECIAL_LBL)*(INC_SPECIALS="Y"))=0,"",'Dvd Calendar'!$H$2213)))</f>
        <v/>
      </c>
      <c r="G219" s="110">
        <f>IF(EI219="","",IF(ISNUMBER('Dvd Calendar'!$I$2213)=FALSE,"",IF((('Dvd Calendar'!$I$2215=TYPE1)*(TYPE1&lt;&gt;"")+('Dvd Calendar'!$I$2215=TYPE2)*(TYPE2&lt;&gt;"")+('Dvd Calendar'!$I$2215=TYPE3)*(TYPE3&lt;&gt;"")+('Dvd Calendar'!$I$2215=TYPE4)*(TYPE4&lt;&gt;"")+('Dvd Calendar'!$I$2215=SPECIAL_LBL)*(INC_SPECIALS="Y"))=0,"",'Dvd Calendar'!$I$2213)))</f>
        <v/>
      </c>
      <c r="H219" s="110">
        <f>IF(EJ219="","",IF(ISNUMBER('Dvd Calendar'!$J$2213)=FALSE,"",IF((('Dvd Calendar'!$J$2215=TYPE1)*(TYPE1&lt;&gt;"")+('Dvd Calendar'!$J$2215=TYPE2)*(TYPE2&lt;&gt;"")+('Dvd Calendar'!$J$2215=TYPE3)*(TYPE3&lt;&gt;"")+('Dvd Calendar'!$J$2215=TYPE4)*(TYPE4&lt;&gt;"")+('Dvd Calendar'!$J$2215=SPECIAL_LBL)*(INC_SPECIALS="Y"))=0,"",'Dvd Calendar'!$J$2213)))</f>
        <v/>
      </c>
      <c r="I219" s="110">
        <f>IF(EK219="","",IF(ISNUMBER('Dvd Calendar'!$K$2213)=FALSE,"",IF((('Dvd Calendar'!$K$2215=TYPE1)*(TYPE1&lt;&gt;"")+('Dvd Calendar'!$K$2215=TYPE2)*(TYPE2&lt;&gt;"")+('Dvd Calendar'!$K$2215=TYPE3)*(TYPE3&lt;&gt;"")+('Dvd Calendar'!$K$2215=TYPE4)*(TYPE4&lt;&gt;"")+('Dvd Calendar'!$K$2215=SPECIAL_LBL)*(INC_SPECIALS="Y"))=0,"",'Dvd Calendar'!$K$2213)))</f>
        <v/>
      </c>
      <c r="J219" s="110">
        <f>IF(EL219="","",IF(ISNUMBER('Dvd Calendar'!$L$2213)=FALSE,"",IF((('Dvd Calendar'!$L$2215=TYPE1)*(TYPE1&lt;&gt;"")+('Dvd Calendar'!$L$2215=TYPE2)*(TYPE2&lt;&gt;"")+('Dvd Calendar'!$L$2215=TYPE3)*(TYPE3&lt;&gt;"")+('Dvd Calendar'!$L$2215=TYPE4)*(TYPE4&lt;&gt;"")+('Dvd Calendar'!$L$2215=SPECIAL_LBL)*(INC_SPECIALS="Y"))=0,"",'Dvd Calendar'!$L$2213)))</f>
        <v/>
      </c>
      <c r="K219" s="110">
        <f>IF(EM219="","",IF(ISNUMBER('Dvd Calendar'!$M$2213)=FALSE,"",IF((('Dvd Calendar'!$M$2215=TYPE1)*(TYPE1&lt;&gt;"")+('Dvd Calendar'!$M$2215=TYPE2)*(TYPE2&lt;&gt;"")+('Dvd Calendar'!$M$2215=TYPE3)*(TYPE3&lt;&gt;"")+('Dvd Calendar'!$M$2215=TYPE4)*(TYPE4&lt;&gt;"")+('Dvd Calendar'!$M$2215=SPECIAL_LBL)*(INC_SPECIALS="Y"))=0,"",'Dvd Calendar'!$M$2213)))</f>
        <v/>
      </c>
      <c r="L219" s="110">
        <f>IF(EN219="","",IF(ISNUMBER('Dvd Calendar'!$N$2213)=FALSE,"",IF((('Dvd Calendar'!$N$2215=TYPE1)*(TYPE1&lt;&gt;"")+('Dvd Calendar'!$N$2215=TYPE2)*(TYPE2&lt;&gt;"")+('Dvd Calendar'!$N$2215=TYPE3)*(TYPE3&lt;&gt;"")+('Dvd Calendar'!$N$2215=TYPE4)*(TYPE4&lt;&gt;"")+('Dvd Calendar'!$N$2215=SPECIAL_LBL)*(INC_SPECIALS="Y"))=0,"",'Dvd Calendar'!$N$2213)))</f>
        <v/>
      </c>
      <c r="M219" s="110">
        <f>IF(EO219="","",IF(ISNUMBER('Dvd Calendar'!$O$2213)=FALSE,"",IF((('Dvd Calendar'!$O$2215=TYPE1)*(TYPE1&lt;&gt;"")+('Dvd Calendar'!$O$2215=TYPE2)*(TYPE2&lt;&gt;"")+('Dvd Calendar'!$O$2215=TYPE3)*(TYPE3&lt;&gt;"")+('Dvd Calendar'!$O$2215=TYPE4)*(TYPE4&lt;&gt;"")+('Dvd Calendar'!$O$2215=SPECIAL_LBL)*(INC_SPECIALS="Y"))=0,"",'Dvd Calendar'!$O$2213)))</f>
        <v/>
      </c>
      <c r="N219" s="110">
        <f>IF(EP219="","",IF(ISNUMBER('Dvd Calendar'!$P$2213)=FALSE,"",IF((('Dvd Calendar'!$P$2215=TYPE1)*(TYPE1&lt;&gt;"")+('Dvd Calendar'!$P$2215=TYPE2)*(TYPE2&lt;&gt;"")+('Dvd Calendar'!$P$2215=TYPE3)*(TYPE3&lt;&gt;"")+('Dvd Calendar'!$P$2215=TYPE4)*(TYPE4&lt;&gt;"")+('Dvd Calendar'!$P$2215=SPECIAL_LBL)*(INC_SPECIALS="Y"))=0,"",'Dvd Calendar'!$P$2213)))</f>
        <v/>
      </c>
      <c r="O219" s="110">
        <f>IF(EQ219="","",IF(ISNUMBER('Dvd Calendar'!$Q$2213)=FALSE,"",IF((('Dvd Calendar'!$Q$2215=TYPE1)*(TYPE1&lt;&gt;"")+('Dvd Calendar'!$Q$2215=TYPE2)*(TYPE2&lt;&gt;"")+('Dvd Calendar'!$Q$2215=TYPE3)*(TYPE3&lt;&gt;"")+('Dvd Calendar'!$Q$2215=TYPE4)*(TYPE4&lt;&gt;"")+('Dvd Calendar'!$Q$2215=SPECIAL_LBL)*(INC_SPECIALS="Y"))=0,"",'Dvd Calendar'!$Q$2213)))</f>
        <v/>
      </c>
      <c r="P219" s="110">
        <f>IF(ER219="","",IF(ISNUMBER('Dvd Calendar'!$R$2213)=FALSE,"",IF((('Dvd Calendar'!$R$2215=TYPE1)*(TYPE1&lt;&gt;"")+('Dvd Calendar'!$R$2215=TYPE2)*(TYPE2&lt;&gt;"")+('Dvd Calendar'!$R$2215=TYPE3)*(TYPE3&lt;&gt;"")+('Dvd Calendar'!$R$2215=TYPE4)*(TYPE4&lt;&gt;"")+('Dvd Calendar'!$R$2215=SPECIAL_LBL)*(INC_SPECIALS="Y"))=0,"",'Dvd Calendar'!$R$2213)))</f>
        <v/>
      </c>
      <c r="Q219" s="110">
        <f>IF(ES219="","",IF(ISNUMBER('Dvd Calendar'!$S$2213)=FALSE,"",IF((('Dvd Calendar'!$S$2215=TYPE1)*(TYPE1&lt;&gt;"")+('Dvd Calendar'!$S$2215=TYPE2)*(TYPE2&lt;&gt;"")+('Dvd Calendar'!$S$2215=TYPE3)*(TYPE3&lt;&gt;"")+('Dvd Calendar'!$S$2215=TYPE4)*(TYPE4&lt;&gt;"")+('Dvd Calendar'!$S$2215=SPECIAL_LBL)*(INC_SPECIALS="Y"))=0,"",'Dvd Calendar'!$S$2213)))</f>
        <v/>
      </c>
      <c r="R219" s="110">
        <f>IF(ET219="","",IF(ISNUMBER('Dvd Calendar'!$T$2213)=FALSE,"",IF((('Dvd Calendar'!$T$2215=TYPE1)*(TYPE1&lt;&gt;"")+('Dvd Calendar'!$T$2215=TYPE2)*(TYPE2&lt;&gt;"")+('Dvd Calendar'!$T$2215=TYPE3)*(TYPE3&lt;&gt;"")+('Dvd Calendar'!$T$2215=TYPE4)*(TYPE4&lt;&gt;"")+('Dvd Calendar'!$T$2215=SPECIAL_LBL)*(INC_SPECIALS="Y"))=0,"",'Dvd Calendar'!$T$2213)))</f>
        <v/>
      </c>
      <c r="S219" s="110">
        <f>IF(EU219="","",IF(ISNUMBER('Dvd Calendar'!$U$2213)=FALSE,"",IF((('Dvd Calendar'!$U$2215=TYPE1)*(TYPE1&lt;&gt;"")+('Dvd Calendar'!$U$2215=TYPE2)*(TYPE2&lt;&gt;"")+('Dvd Calendar'!$U$2215=TYPE3)*(TYPE3&lt;&gt;"")+('Dvd Calendar'!$U$2215=TYPE4)*(TYPE4&lt;&gt;"")+('Dvd Calendar'!$U$2215=SPECIAL_LBL)*(INC_SPECIALS="Y"))=0,"",'Dvd Calendar'!$U$2213)))</f>
        <v/>
      </c>
      <c r="T219" s="110">
        <f>IF(EV219="","",IF(ISNUMBER('Dvd Calendar'!$V$2213)=FALSE,"",IF((('Dvd Calendar'!$V$2215=TYPE1)*(TYPE1&lt;&gt;"")+('Dvd Calendar'!$V$2215=TYPE2)*(TYPE2&lt;&gt;"")+('Dvd Calendar'!$V$2215=TYPE3)*(TYPE3&lt;&gt;"")+('Dvd Calendar'!$V$2215=TYPE4)*(TYPE4&lt;&gt;"")+('Dvd Calendar'!$V$2215=SPECIAL_LBL)*(INC_SPECIALS="Y"))=0,"",'Dvd Calendar'!$V$2213)))</f>
        <v/>
      </c>
      <c r="U219" s="110">
        <f>IF(EW219="","",IF(ISNUMBER('Dvd Calendar'!$W$2213)=FALSE,"",IF((('Dvd Calendar'!$W$2215=TYPE1)*(TYPE1&lt;&gt;"")+('Dvd Calendar'!$W$2215=TYPE2)*(TYPE2&lt;&gt;"")+('Dvd Calendar'!$W$2215=TYPE3)*(TYPE3&lt;&gt;"")+('Dvd Calendar'!$W$2215=TYPE4)*(TYPE4&lt;&gt;"")+('Dvd Calendar'!$W$2215=SPECIAL_LBL)*(INC_SPECIALS="Y"))=0,"",'Dvd Calendar'!$W$2213)))</f>
        <v/>
      </c>
      <c r="V219" s="110">
        <f>IF(EX219="","",IF(ISNUMBER('Dvd Calendar'!$X$2213)=FALSE,"",IF((('Dvd Calendar'!$X$2215=TYPE1)*(TYPE1&lt;&gt;"")+('Dvd Calendar'!$X$2215=TYPE2)*(TYPE2&lt;&gt;"")+('Dvd Calendar'!$X$2215=TYPE3)*(TYPE3&lt;&gt;"")+('Dvd Calendar'!$X$2215=TYPE4)*(TYPE4&lt;&gt;"")+('Dvd Calendar'!$X$2215=SPECIAL_LBL)*(INC_SPECIALS="Y"))=0,"",'Dvd Calendar'!$X$2213)))</f>
        <v/>
      </c>
      <c r="W219" s="110">
        <f>IF(EY219="","",IF(ISNUMBER('Dvd Calendar'!$Y$2213)=FALSE,"",IF((('Dvd Calendar'!$Y$2215=TYPE1)*(TYPE1&lt;&gt;"")+('Dvd Calendar'!$Y$2215=TYPE2)*(TYPE2&lt;&gt;"")+('Dvd Calendar'!$Y$2215=TYPE3)*(TYPE3&lt;&gt;"")+('Dvd Calendar'!$Y$2215=TYPE4)*(TYPE4&lt;&gt;"")+('Dvd Calendar'!$Y$2215=SPECIAL_LBL)*(INC_SPECIALS="Y"))=0,"",'Dvd Calendar'!$Y$2213)))</f>
        <v/>
      </c>
      <c r="X219" s="110">
        <f>IF(EZ219="","",IF(ISNUMBER('Dvd Calendar'!$Z$2213)=FALSE,"",IF((('Dvd Calendar'!$Z$2215=TYPE1)*(TYPE1&lt;&gt;"")+('Dvd Calendar'!$Z$2215=TYPE2)*(TYPE2&lt;&gt;"")+('Dvd Calendar'!$Z$2215=TYPE3)*(TYPE3&lt;&gt;"")+('Dvd Calendar'!$Z$2215=TYPE4)*(TYPE4&lt;&gt;"")+('Dvd Calendar'!$Z$2215=SPECIAL_LBL)*(INC_SPECIALS="Y"))=0,"",'Dvd Calendar'!$Z$2213)))</f>
        <v/>
      </c>
      <c r="Y219" s="110">
        <f>IF(FA219="","",IF(ISNUMBER('Dvd Calendar'!$AA$2213)=FALSE,"",IF((('Dvd Calendar'!$AA$2215=TYPE1)*(TYPE1&lt;&gt;"")+('Dvd Calendar'!$AA$2215=TYPE2)*(TYPE2&lt;&gt;"")+('Dvd Calendar'!$AA$2215=TYPE3)*(TYPE3&lt;&gt;"")+('Dvd Calendar'!$AA$2215=TYPE4)*(TYPE4&lt;&gt;"")+('Dvd Calendar'!$AA$2215=SPECIAL_LBL)*(INC_SPECIALS="Y"))=0,"",'Dvd Calendar'!$AA$2213)))</f>
        <v/>
      </c>
      <c r="Z219" s="110">
        <f>IF(FB219="","",IF(ISNUMBER('Dvd Calendar'!$AB$2213)=FALSE,"",IF((('Dvd Calendar'!$AB$2215=TYPE1)*(TYPE1&lt;&gt;"")+('Dvd Calendar'!$AB$2215=TYPE2)*(TYPE2&lt;&gt;"")+('Dvd Calendar'!$AB$2215=TYPE3)*(TYPE3&lt;&gt;"")+('Dvd Calendar'!$AB$2215=TYPE4)*(TYPE4&lt;&gt;"")+('Dvd Calendar'!$AB$2215=SPECIAL_LBL)*(INC_SPECIALS="Y"))=0,"",'Dvd Calendar'!$AB$2213)))</f>
        <v/>
      </c>
      <c r="AA219" s="110">
        <f>IF(FC219="","",IF(ISNUMBER('Dvd Calendar'!$AC$2213)=FALSE,"",IF((('Dvd Calendar'!$AC$2215=TYPE1)*(TYPE1&lt;&gt;"")+('Dvd Calendar'!$AC$2215=TYPE2)*(TYPE2&lt;&gt;"")+('Dvd Calendar'!$AC$2215=TYPE3)*(TYPE3&lt;&gt;"")+('Dvd Calendar'!$AC$2215=TYPE4)*(TYPE4&lt;&gt;"")+('Dvd Calendar'!$AC$2215=SPECIAL_LBL)*(INC_SPECIALS="Y"))=0,"",'Dvd Calendar'!$AC$2213)))</f>
        <v/>
      </c>
      <c r="AB219" s="110">
        <f>IF(FD219="","",IF(ISNUMBER('Dvd Calendar'!$AD$2213)=FALSE,"",IF((('Dvd Calendar'!$AD$2215=TYPE1)*(TYPE1&lt;&gt;"")+('Dvd Calendar'!$AD$2215=TYPE2)*(TYPE2&lt;&gt;"")+('Dvd Calendar'!$AD$2215=TYPE3)*(TYPE3&lt;&gt;"")+('Dvd Calendar'!$AD$2215=TYPE4)*(TYPE4&lt;&gt;"")+('Dvd Calendar'!$AD$2215=SPECIAL_LBL)*(INC_SPECIALS="Y"))=0,"",'Dvd Calendar'!$AD$2213)))</f>
        <v/>
      </c>
      <c r="AC219" s="110">
        <f>IF(FE219="","",IF(ISNUMBER('Dvd Calendar'!$AE$2213)=FALSE,"",IF((('Dvd Calendar'!$AE$2215=TYPE1)*(TYPE1&lt;&gt;"")+('Dvd Calendar'!$AE$2215=TYPE2)*(TYPE2&lt;&gt;"")+('Dvd Calendar'!$AE$2215=TYPE3)*(TYPE3&lt;&gt;"")+('Dvd Calendar'!$AE$2215=TYPE4)*(TYPE4&lt;&gt;"")+('Dvd Calendar'!$AE$2215=SPECIAL_LBL)*(INC_SPECIALS="Y"))=0,"",'Dvd Calendar'!$AE$2213)))</f>
        <v/>
      </c>
      <c r="AD219" s="110">
        <f>IF(FF219="","",IF(ISNUMBER('Dvd Calendar'!$AF$2213)=FALSE,"",IF((('Dvd Calendar'!$AF$2215=TYPE1)*(TYPE1&lt;&gt;"")+('Dvd Calendar'!$AF$2215=TYPE2)*(TYPE2&lt;&gt;"")+('Dvd Calendar'!$AF$2215=TYPE3)*(TYPE3&lt;&gt;"")+('Dvd Calendar'!$AF$2215=TYPE4)*(TYPE4&lt;&gt;"")+('Dvd Calendar'!$AF$2215=SPECIAL_LBL)*(INC_SPECIALS="Y"))=0,"",'Dvd Calendar'!$AF$2213)))</f>
        <v/>
      </c>
      <c r="AE219" s="110">
        <f>IF(FG219="","",IF(ISNUMBER('Dvd Calendar'!$AG$2213)=FALSE,"",IF((('Dvd Calendar'!$AG$2215=TYPE1)*(TYPE1&lt;&gt;"")+('Dvd Calendar'!$AG$2215=TYPE2)*(TYPE2&lt;&gt;"")+('Dvd Calendar'!$AG$2215=TYPE3)*(TYPE3&lt;&gt;"")+('Dvd Calendar'!$AG$2215=TYPE4)*(TYPE4&lt;&gt;"")+('Dvd Calendar'!$AG$2215=SPECIAL_LBL)*(INC_SPECIALS="Y"))=0,"",'Dvd Calendar'!$AG$2213)))</f>
        <v/>
      </c>
      <c r="AF219" s="110">
        <f>IF(FH219="","",IF(ISNUMBER('Dvd Calendar'!$AH$2213)=FALSE,"",IF((('Dvd Calendar'!$AH$2215=TYPE1)*(TYPE1&lt;&gt;"")+('Dvd Calendar'!$AH$2215=TYPE2)*(TYPE2&lt;&gt;"")+('Dvd Calendar'!$AH$2215=TYPE3)*(TYPE3&lt;&gt;"")+('Dvd Calendar'!$AH$2215=TYPE4)*(TYPE4&lt;&gt;"")+('Dvd Calendar'!$AH$2215=SPECIAL_LBL)*(INC_SPECIALS="Y"))=0,"",'Dvd Calendar'!$AH$2213)))</f>
        <v/>
      </c>
      <c r="AG219" s="110">
        <f>IF(FI219="","",IF(ISNUMBER('Dvd Calendar'!$AI$2213)=FALSE,"",IF((('Dvd Calendar'!$AI$2215=TYPE1)*(TYPE1&lt;&gt;"")+('Dvd Calendar'!$AI$2215=TYPE2)*(TYPE2&lt;&gt;"")+('Dvd Calendar'!$AI$2215=TYPE3)*(TYPE3&lt;&gt;"")+('Dvd Calendar'!$AI$2215=TYPE4)*(TYPE4&lt;&gt;"")+('Dvd Calendar'!$AI$2215=SPECIAL_LBL)*(INC_SPECIALS="Y"))=0,"",'Dvd Calendar'!$AI$2213)))</f>
        <v/>
      </c>
      <c r="AH219" s="110">
        <f>IF(FJ219="","",IF(ISNUMBER('Dvd Calendar'!$AJ$2213)=FALSE,"",IF((('Dvd Calendar'!$AJ$2215=TYPE1)*(TYPE1&lt;&gt;"")+('Dvd Calendar'!$AJ$2215=TYPE2)*(TYPE2&lt;&gt;"")+('Dvd Calendar'!$AJ$2215=TYPE3)*(TYPE3&lt;&gt;"")+('Dvd Calendar'!$AJ$2215=TYPE4)*(TYPE4&lt;&gt;"")+('Dvd Calendar'!$AJ$2215=SPECIAL_LBL)*(INC_SPECIALS="Y"))=0,"",'Dvd Calendar'!$AJ$2213)))</f>
        <v/>
      </c>
      <c r="AI219" s="110">
        <f>IF(FK219="","",IF(ISNUMBER('Dvd Calendar'!$AK$2213)=FALSE,"",IF((('Dvd Calendar'!$AK$2215=TYPE1)*(TYPE1&lt;&gt;"")+('Dvd Calendar'!$AK$2215=TYPE2)*(TYPE2&lt;&gt;"")+('Dvd Calendar'!$AK$2215=TYPE3)*(TYPE3&lt;&gt;"")+('Dvd Calendar'!$AK$2215=TYPE4)*(TYPE4&lt;&gt;"")+('Dvd Calendar'!$AK$2215=SPECIAL_LBL)*(INC_SPECIALS="Y"))=0,"",'Dvd Calendar'!$AK$2213)))</f>
        <v/>
      </c>
      <c r="AJ219" s="110">
        <f>IF(FL219="","",IF(ISNUMBER('Dvd Calendar'!$AL$2213)=FALSE,"",IF((('Dvd Calendar'!$AL$2215=TYPE1)*(TYPE1&lt;&gt;"")+('Dvd Calendar'!$AL$2215=TYPE2)*(TYPE2&lt;&gt;"")+('Dvd Calendar'!$AL$2215=TYPE3)*(TYPE3&lt;&gt;"")+('Dvd Calendar'!$AL$2215=TYPE4)*(TYPE4&lt;&gt;"")+('Dvd Calendar'!$AL$2215=SPECIAL_LBL)*(INC_SPECIALS="Y"))=0,"",'Dvd Calendar'!$AL$2213)))</f>
        <v/>
      </c>
      <c r="AK219" s="110">
        <f>IF(FM219="","",IF(ISNUMBER('Dvd Calendar'!$AM$2213)=FALSE,"",IF((('Dvd Calendar'!$AM$2215=TYPE1)*(TYPE1&lt;&gt;"")+('Dvd Calendar'!$AM$2215=TYPE2)*(TYPE2&lt;&gt;"")+('Dvd Calendar'!$AM$2215=TYPE3)*(TYPE3&lt;&gt;"")+('Dvd Calendar'!$AM$2215=TYPE4)*(TYPE4&lt;&gt;"")+('Dvd Calendar'!$AM$2215=SPECIAL_LBL)*(INC_SPECIALS="Y"))=0,"",'Dvd Calendar'!$AM$2213)))</f>
        <v/>
      </c>
      <c r="AL219" s="110">
        <f>IF(FN219="","",IF(ISNUMBER('Dvd Calendar'!$AN$2213)=FALSE,"",IF((('Dvd Calendar'!$AN$2215=TYPE1)*(TYPE1&lt;&gt;"")+('Dvd Calendar'!$AN$2215=TYPE2)*(TYPE2&lt;&gt;"")+('Dvd Calendar'!$AN$2215=TYPE3)*(TYPE3&lt;&gt;"")+('Dvd Calendar'!$AN$2215=TYPE4)*(TYPE4&lt;&gt;"")+('Dvd Calendar'!$AN$2215=SPECIAL_LBL)*(INC_SPECIALS="Y"))=0,"",'Dvd Calendar'!$AN$2213)))</f>
        <v/>
      </c>
      <c r="AM219" s="110">
        <f>IF(FO219="","",IF(ISNUMBER('Dvd Calendar'!$AO$2213)=FALSE,"",IF((('Dvd Calendar'!$AO$2215=TYPE1)*(TYPE1&lt;&gt;"")+('Dvd Calendar'!$AO$2215=TYPE2)*(TYPE2&lt;&gt;"")+('Dvd Calendar'!$AO$2215=TYPE3)*(TYPE3&lt;&gt;"")+('Dvd Calendar'!$AO$2215=TYPE4)*(TYPE4&lt;&gt;"")+('Dvd Calendar'!$AO$2215=SPECIAL_LBL)*(INC_SPECIALS="Y"))=0,"",'Dvd Calendar'!$AO$2213)))</f>
        <v/>
      </c>
      <c r="AN219" s="110">
        <f>IF(FP219="","",IF(ISNUMBER('Dvd Calendar'!$AP$2213)=FALSE,"",IF((('Dvd Calendar'!$AP$2215=TYPE1)*(TYPE1&lt;&gt;"")+('Dvd Calendar'!$AP$2215=TYPE2)*(TYPE2&lt;&gt;"")+('Dvd Calendar'!$AP$2215=TYPE3)*(TYPE3&lt;&gt;"")+('Dvd Calendar'!$AP$2215=TYPE4)*(TYPE4&lt;&gt;"")+('Dvd Calendar'!$AP$2215=SPECIAL_LBL)*(INC_SPECIALS="Y"))=0,"",'Dvd Calendar'!$AP$2213)))</f>
        <v/>
      </c>
      <c r="AO219" s="110">
        <f>IF(FQ219="","",IF(ISNUMBER('Dvd Calendar'!$AQ$2213)=FALSE,"",IF((('Dvd Calendar'!$AQ$2215=TYPE1)*(TYPE1&lt;&gt;"")+('Dvd Calendar'!$AQ$2215=TYPE2)*(TYPE2&lt;&gt;"")+('Dvd Calendar'!$AQ$2215=TYPE3)*(TYPE3&lt;&gt;"")+('Dvd Calendar'!$AQ$2215=TYPE4)*(TYPE4&lt;&gt;"")+('Dvd Calendar'!$AQ$2215=SPECIAL_LBL)*(INC_SPECIALS="Y"))=0,"",'Dvd Calendar'!$AQ$2213)))</f>
        <v/>
      </c>
      <c r="AP219" s="110">
        <f>IF(FR219="","",IF(ISNUMBER('Dvd Calendar'!$AR$2213)=FALSE,"",IF((('Dvd Calendar'!$AR$2215=TYPE1)*(TYPE1&lt;&gt;"")+('Dvd Calendar'!$AR$2215=TYPE2)*(TYPE2&lt;&gt;"")+('Dvd Calendar'!$AR$2215=TYPE3)*(TYPE3&lt;&gt;"")+('Dvd Calendar'!$AR$2215=TYPE4)*(TYPE4&lt;&gt;"")+('Dvd Calendar'!$AR$2215=SPECIAL_LBL)*(INC_SPECIALS="Y"))=0,"",'Dvd Calendar'!$AR$2213)))</f>
        <v/>
      </c>
      <c r="AQ219" s="110">
        <f>IF(FS219="","",IF(ISNUMBER('Dvd Calendar'!$E$2218)=FALSE,"",'Dvd Calendar'!$E$2218))</f>
        <v/>
      </c>
      <c r="AR219" s="110">
        <f>IF(FT219="","",IF(ISNUMBER('Dvd Calendar'!$F$2218)=FALSE,"",'Dvd Calendar'!$F$2218))</f>
        <v/>
      </c>
      <c r="AS219" s="110">
        <f>IF(FU219="","",IF(ISNUMBER('Dvd Calendar'!$G$2218)=FALSE,"",'Dvd Calendar'!$G$2218))</f>
        <v/>
      </c>
      <c r="AT219" s="110">
        <f>IF(FV219="","",IF(ISNUMBER('Dvd Calendar'!$H$2218)=FALSE,"",'Dvd Calendar'!$H$2218))</f>
        <v/>
      </c>
      <c r="AU219" s="110">
        <f>IF(FW219="","",IF(ISNUMBER('Dvd Calendar'!$I$2218)=FALSE,"",'Dvd Calendar'!$I$2218))</f>
        <v/>
      </c>
      <c r="AV219" s="110">
        <f>IF(FX219="","",IF(ISNUMBER('Dvd Calendar'!$J$2218)=FALSE,"",'Dvd Calendar'!$J$2218))</f>
        <v/>
      </c>
      <c r="AW219" s="110">
        <f>IF(FY219="","",IF(ISNUMBER('Dvd Calendar'!$K$2218)=FALSE,"",'Dvd Calendar'!$K$2218))</f>
        <v/>
      </c>
      <c r="AX219" s="110">
        <f>IF(FZ219="","",IF(ISNUMBER('Dvd Calendar'!$L$2218)=FALSE,"",'Dvd Calendar'!$L$2218))</f>
        <v/>
      </c>
      <c r="AY219" s="110">
        <f>IF(GA219="","",IF(ISNUMBER('Dvd Calendar'!$M$2218)=FALSE,"",'Dvd Calendar'!$M$2218))</f>
        <v/>
      </c>
      <c r="AZ219" s="110">
        <f>IF(GB219="","",IF(ISNUMBER('Dvd Calendar'!$N$2218)=FALSE,"",'Dvd Calendar'!$N$2218))</f>
        <v/>
      </c>
      <c r="BA219" s="110">
        <f>IF(GC219="","",IF(ISNUMBER('Dvd Calendar'!$O$2218)=FALSE,"",'Dvd Calendar'!$O$2218))</f>
        <v/>
      </c>
      <c r="BB219" s="110">
        <f>IF(GD219="","",IF(ISNUMBER('Dvd Calendar'!$P$2218)=FALSE,"",'Dvd Calendar'!$P$2218))</f>
        <v/>
      </c>
      <c r="BC219" s="110">
        <f>IF(GE219="","",IF(ISNUMBER('Dvd Calendar'!$Q$2218)=FALSE,"",'Dvd Calendar'!$Q$2218))</f>
        <v/>
      </c>
      <c r="BD219" s="110">
        <f>IF(GF219="","",IF(ISNUMBER('Dvd Calendar'!$R$2218)=FALSE,"",'Dvd Calendar'!$R$2218))</f>
        <v/>
      </c>
      <c r="BE219" s="110">
        <f>IF(GG219="","",IF(ISNUMBER('Dvd Calendar'!$S$2218)=FALSE,"",'Dvd Calendar'!$S$2218))</f>
        <v/>
      </c>
      <c r="BF219" s="110">
        <f>IF(GH219="","",IF(ISNUMBER('Dvd Calendar'!$T$2218)=FALSE,"",'Dvd Calendar'!$T$2218))</f>
        <v/>
      </c>
      <c r="BG219" s="110">
        <f>IF(GI219="","",IF(ISNUMBER('Dvd Calendar'!$U$2218)=FALSE,"",'Dvd Calendar'!$U$2218))</f>
        <v/>
      </c>
      <c r="BH219" s="110">
        <f>IF(GJ219="","",IF(ISNUMBER('Dvd Calendar'!$V$2218)=FALSE,"",'Dvd Calendar'!$V$2218))</f>
        <v/>
      </c>
      <c r="BI219" s="110">
        <f>IF(GK219="","",IF(ISNUMBER('Dvd Calendar'!$W$2218)=FALSE,"",'Dvd Calendar'!$W$2218))</f>
        <v/>
      </c>
      <c r="BJ219" s="110">
        <f>IF(GL219="","",IF(ISNUMBER('Dvd Calendar'!$X$2218)=FALSE,"",'Dvd Calendar'!$X$2218))</f>
        <v/>
      </c>
      <c r="BK219" s="110">
        <f>IF(GM219="","",IF(ISNUMBER('Dvd Calendar'!$Y$2218)=FALSE,"",'Dvd Calendar'!$Y$2218))</f>
        <v/>
      </c>
      <c r="BL219" s="110">
        <f>IF(GN219="","",IF(ISNUMBER('Dvd Calendar'!$Z$2218)=FALSE,"",'Dvd Calendar'!$Z$2218))</f>
        <v/>
      </c>
      <c r="BM219" s="110">
        <f>IF(GO219="","",IF(ISNUMBER('Dvd Calendar'!$AA$2218)=FALSE,"",'Dvd Calendar'!$AA$2218))</f>
        <v/>
      </c>
      <c r="BN219" s="110">
        <f>IF(GP219="","",IF(ISNUMBER('Dvd Calendar'!$AB$2218)=FALSE,"",'Dvd Calendar'!$AB$2218))</f>
        <v/>
      </c>
      <c r="BO219" s="110">
        <f>IF(GQ219="","",IF(ISNUMBER('Dvd Calendar'!$AC$2218)=FALSE,"",'Dvd Calendar'!$AC$2218))</f>
        <v/>
      </c>
      <c r="BQ219" s="110">
        <f>IF(C219="","",IFERROR(C219*HSCEI!$B$66*HSCEI!$G$66/HSCEI!$B$3,""))</f>
        <v/>
      </c>
      <c r="BR219" s="110">
        <f>IF(D219="","",IFERROR(D219*HSCEI!$B$66*HSCEI!$G$66/HSCEI!$B$3,""))</f>
        <v/>
      </c>
      <c r="BS219" s="110">
        <f>IF(E219="","",IFERROR(E219*HSCEI!$B$66*HSCEI!$G$66/HSCEI!$B$3,""))</f>
        <v/>
      </c>
      <c r="BT219" s="110">
        <f>IF(F219="","",IFERROR(F219*HSCEI!$B$66*HSCEI!$G$66/HSCEI!$B$3,""))</f>
        <v/>
      </c>
      <c r="BU219" s="110">
        <f>IF(G219="","",IFERROR(G219*HSCEI!$B$66*HSCEI!$G$66/HSCEI!$B$3,""))</f>
        <v/>
      </c>
      <c r="BV219" s="110">
        <f>IF(H219="","",IFERROR(H219*HSCEI!$B$66*HSCEI!$G$66/HSCEI!$B$3,""))</f>
        <v/>
      </c>
      <c r="BW219" s="110">
        <f>IF(I219="","",IFERROR(I219*HSCEI!$B$66*HSCEI!$G$66/HSCEI!$B$3,""))</f>
        <v/>
      </c>
      <c r="BX219" s="110">
        <f>IF(J219="","",IFERROR(J219*HSCEI!$B$66*HSCEI!$G$66/HSCEI!$B$3,""))</f>
        <v/>
      </c>
      <c r="BY219" s="110">
        <f>IF(K219="","",IFERROR(K219*HSCEI!$B$66*HSCEI!$G$66/HSCEI!$B$3,""))</f>
        <v/>
      </c>
      <c r="BZ219" s="110">
        <f>IF(L219="","",IFERROR(L219*HSCEI!$B$66*HSCEI!$G$66/HSCEI!$B$3,""))</f>
        <v/>
      </c>
      <c r="CA219" s="110">
        <f>IF(M219="","",IFERROR(M219*HSCEI!$B$66*HSCEI!$G$66/HSCEI!$B$3,""))</f>
        <v/>
      </c>
      <c r="CB219" s="110">
        <f>IF(N219="","",IFERROR(N219*HSCEI!$B$66*HSCEI!$G$66/HSCEI!$B$3,""))</f>
        <v/>
      </c>
      <c r="CC219" s="110">
        <f>IF(O219="","",IFERROR(O219*HSCEI!$B$66*HSCEI!$G$66/HSCEI!$B$3,""))</f>
        <v/>
      </c>
      <c r="CD219" s="110">
        <f>IF(P219="","",IFERROR(P219*HSCEI!$B$66*HSCEI!$G$66/HSCEI!$B$3,""))</f>
        <v/>
      </c>
      <c r="CE219" s="110">
        <f>IF(Q219="","",IFERROR(Q219*HSCEI!$B$66*HSCEI!$G$66/HSCEI!$B$3,""))</f>
        <v/>
      </c>
      <c r="CF219" s="110">
        <f>IF(R219="","",IFERROR(R219*HSCEI!$B$66*HSCEI!$G$66/HSCEI!$B$3,""))</f>
        <v/>
      </c>
      <c r="CG219" s="110">
        <f>IF(S219="","",IFERROR(S219*HSCEI!$B$66*HSCEI!$G$66/HSCEI!$B$3,""))</f>
        <v/>
      </c>
      <c r="CH219" s="110">
        <f>IF(T219="","",IFERROR(T219*HSCEI!$B$66*HSCEI!$G$66/HSCEI!$B$3,""))</f>
        <v/>
      </c>
      <c r="CI219" s="110">
        <f>IF(U219="","",IFERROR(U219*HSCEI!$B$66*HSCEI!$G$66/HSCEI!$B$3,""))</f>
        <v/>
      </c>
      <c r="CJ219" s="110">
        <f>IF(V219="","",IFERROR(V219*HSCEI!$B$66*HSCEI!$G$66/HSCEI!$B$3,""))</f>
        <v/>
      </c>
      <c r="CK219" s="110">
        <f>IF(W219="","",IFERROR(W219*HSCEI!$B$66*HSCEI!$G$66/HSCEI!$B$3,""))</f>
        <v/>
      </c>
      <c r="CL219" s="110">
        <f>IF(X219="","",IFERROR(X219*HSCEI!$B$66*HSCEI!$G$66/HSCEI!$B$3,""))</f>
        <v/>
      </c>
      <c r="CM219" s="110">
        <f>IF(Y219="","",IFERROR(Y219*HSCEI!$B$66*HSCEI!$G$66/HSCEI!$B$3,""))</f>
        <v/>
      </c>
      <c r="CN219" s="110">
        <f>IF(Z219="","",IFERROR(Z219*HSCEI!$B$66*HSCEI!$G$66/HSCEI!$B$3,""))</f>
        <v/>
      </c>
      <c r="CO219" s="110">
        <f>IF(AA219="","",IFERROR(AA219*HSCEI!$B$66*HSCEI!$G$66/HSCEI!$B$3,""))</f>
        <v/>
      </c>
      <c r="CP219" s="110">
        <f>IF(AB219="","",IFERROR(AB219*HSCEI!$B$66*HSCEI!$G$66/HSCEI!$B$3,""))</f>
        <v/>
      </c>
      <c r="CQ219" s="110">
        <f>IF(AC219="","",IFERROR(AC219*HSCEI!$B$66*HSCEI!$G$66/HSCEI!$B$3,""))</f>
        <v/>
      </c>
      <c r="CR219" s="110">
        <f>IF(AD219="","",IFERROR(AD219*HSCEI!$B$66*HSCEI!$G$66/HSCEI!$B$3,""))</f>
        <v/>
      </c>
      <c r="CS219" s="110">
        <f>IF(AE219="","",IFERROR(AE219*HSCEI!$B$66*HSCEI!$G$66/HSCEI!$B$3,""))</f>
        <v/>
      </c>
      <c r="CT219" s="110">
        <f>IF(AF219="","",IFERROR(AF219*HSCEI!$B$66*HSCEI!$G$66/HSCEI!$B$3,""))</f>
        <v/>
      </c>
      <c r="CU219" s="110">
        <f>IF(AG219="","",IFERROR(AG219*HSCEI!$B$66*HSCEI!$G$66/HSCEI!$B$3,""))</f>
        <v/>
      </c>
      <c r="CV219" s="110">
        <f>IF(AH219="","",IFERROR(AH219*HSCEI!$B$66*HSCEI!$G$66/HSCEI!$B$3,""))</f>
        <v/>
      </c>
      <c r="CW219" s="110">
        <f>IF(AI219="","",IFERROR(AI219*HSCEI!$B$66*HSCEI!$G$66/HSCEI!$B$3,""))</f>
        <v/>
      </c>
      <c r="CX219" s="110">
        <f>IF(AJ219="","",IFERROR(AJ219*HSCEI!$B$66*HSCEI!$G$66/HSCEI!$B$3,""))</f>
        <v/>
      </c>
      <c r="CY219" s="110">
        <f>IF(AK219="","",IFERROR(AK219*HSCEI!$B$66*HSCEI!$G$66/HSCEI!$B$3,""))</f>
        <v/>
      </c>
      <c r="CZ219" s="110">
        <f>IF(AL219="","",IFERROR(AL219*HSCEI!$B$66*HSCEI!$G$66/HSCEI!$B$3,""))</f>
        <v/>
      </c>
      <c r="DA219" s="110">
        <f>IF(AM219="","",IFERROR(AM219*HSCEI!$B$66*HSCEI!$G$66/HSCEI!$B$3,""))</f>
        <v/>
      </c>
      <c r="DB219" s="110">
        <f>IF(AN219="","",IFERROR(AN219*HSCEI!$B$66*HSCEI!$G$66/HSCEI!$B$3,""))</f>
        <v/>
      </c>
      <c r="DC219" s="110">
        <f>IF(AO219="","",IFERROR(AO219*HSCEI!$B$66*HSCEI!$G$66/HSCEI!$B$3,""))</f>
        <v/>
      </c>
      <c r="DD219" s="110">
        <f>IF(AP219="","",IFERROR(AP219*HSCEI!$B$66*HSCEI!$G$66/HSCEI!$B$3,""))</f>
        <v/>
      </c>
      <c r="DE219" s="110">
        <f>IF(AQ219="","",IFERROR(AQ219*HSCEI!$B$66*HSCEI!$G$66/HSCEI!$B$3,""))</f>
        <v/>
      </c>
      <c r="DF219" s="110">
        <f>IF(AR219="","",IFERROR(AR219*HSCEI!$B$66*HSCEI!$G$66/HSCEI!$B$3,""))</f>
        <v/>
      </c>
      <c r="DG219" s="110">
        <f>IF(AS219="","",IFERROR(AS219*HSCEI!$B$66*HSCEI!$G$66/HSCEI!$B$3,""))</f>
        <v/>
      </c>
      <c r="DH219" s="110">
        <f>IF(AT219="","",IFERROR(AT219*HSCEI!$B$66*HSCEI!$G$66/HSCEI!$B$3,""))</f>
        <v/>
      </c>
      <c r="DI219" s="110">
        <f>IF(AU219="","",IFERROR(AU219*HSCEI!$B$66*HSCEI!$G$66/HSCEI!$B$3,""))</f>
        <v/>
      </c>
      <c r="DJ219" s="110">
        <f>IF(AV219="","",IFERROR(AV219*HSCEI!$B$66*HSCEI!$G$66/HSCEI!$B$3,""))</f>
        <v/>
      </c>
      <c r="DK219" s="110">
        <f>IF(AW219="","",IFERROR(AW219*HSCEI!$B$66*HSCEI!$G$66/HSCEI!$B$3,""))</f>
        <v/>
      </c>
      <c r="DL219" s="110">
        <f>IF(AX219="","",IFERROR(AX219*HSCEI!$B$66*HSCEI!$G$66/HSCEI!$B$3,""))</f>
        <v/>
      </c>
      <c r="DM219" s="110">
        <f>IF(AY219="","",IFERROR(AY219*HSCEI!$B$66*HSCEI!$G$66/HSCEI!$B$3,""))</f>
        <v/>
      </c>
      <c r="DN219" s="110">
        <f>IF(AZ219="","",IFERROR(AZ219*HSCEI!$B$66*HSCEI!$G$66/HSCEI!$B$3,""))</f>
        <v/>
      </c>
      <c r="DO219" s="110">
        <f>IF(BA219="","",IFERROR(BA219*HSCEI!$B$66*HSCEI!$G$66/HSCEI!$B$3,""))</f>
        <v/>
      </c>
      <c r="DP219" s="110">
        <f>IF(BB219="","",IFERROR(BB219*HSCEI!$B$66*HSCEI!$G$66/HSCEI!$B$3,""))</f>
        <v/>
      </c>
      <c r="DQ219" s="110">
        <f>IF(BC219="","",IFERROR(BC219*HSCEI!$B$66*HSCEI!$G$66/HSCEI!$B$3,""))</f>
        <v/>
      </c>
      <c r="DR219" s="110">
        <f>IF(BD219="","",IFERROR(BD219*HSCEI!$B$66*HSCEI!$G$66/HSCEI!$B$3,""))</f>
        <v/>
      </c>
      <c r="DS219" s="110">
        <f>IF(BE219="","",IFERROR(BE219*HSCEI!$B$66*HSCEI!$G$66/HSCEI!$B$3,""))</f>
        <v/>
      </c>
      <c r="DT219" s="110">
        <f>IF(BF219="","",IFERROR(BF219*HSCEI!$B$66*HSCEI!$G$66/HSCEI!$B$3,""))</f>
        <v/>
      </c>
      <c r="DU219" s="110">
        <f>IF(BG219="","",IFERROR(BG219*HSCEI!$B$66*HSCEI!$G$66/HSCEI!$B$3,""))</f>
        <v/>
      </c>
      <c r="DV219" s="110">
        <f>IF(BH219="","",IFERROR(BH219*HSCEI!$B$66*HSCEI!$G$66/HSCEI!$B$3,""))</f>
        <v/>
      </c>
      <c r="DW219" s="110">
        <f>IF(BI219="","",IFERROR(BI219*HSCEI!$B$66*HSCEI!$G$66/HSCEI!$B$3,""))</f>
        <v/>
      </c>
      <c r="DX219" s="110">
        <f>IF(BJ219="","",IFERROR(BJ219*HSCEI!$B$66*HSCEI!$G$66/HSCEI!$B$3,""))</f>
        <v/>
      </c>
      <c r="DY219" s="110">
        <f>IF(BK219="","",IFERROR(BK219*HSCEI!$B$66*HSCEI!$G$66/HSCEI!$B$3,""))</f>
        <v/>
      </c>
      <c r="DZ219" s="110">
        <f>IF(BL219="","",IFERROR(BL219*HSCEI!$B$66*HSCEI!$G$66/HSCEI!$B$3,""))</f>
        <v/>
      </c>
      <c r="EA219" s="110">
        <f>IF(BM219="","",IFERROR(BM219*HSCEI!$B$66*HSCEI!$G$66/HSCEI!$B$3,""))</f>
        <v/>
      </c>
      <c r="EB219" s="110">
        <f>IF(BN219="","",IFERROR(BN219*HSCEI!$B$66*HSCEI!$G$66/HSCEI!$B$3,""))</f>
        <v/>
      </c>
      <c r="EC219" s="110">
        <f>IF(BO219="","",IFERROR(BO219*HSCEI!$B$66*HSCEI!$G$66/HSCEI!$B$3,""))</f>
        <v/>
      </c>
      <c r="EE219" s="39">
        <f>IF(N('Dvd Calendar'!$E$2210)=0,"",IF(('Dvd Calendar'!$E$2210&gt;=GRID_FROM)*('Dvd Calendar'!$E$2210&lt;=GRID_TO)*((('Dvd Calendar'!$E$2210&lt;=VAL_DATE)+(COUNTIF('Dvd Calendar'!$E$2217:$AR$2217,'Dvd Calendar'!$E$2210)=0))&gt;0)=0,"",'Dvd Calendar'!$E$2210*1000000000+ISNUMBER('Dvd Calendar'!$E$2213)*100000000+('Dvd Calendar'!$E$2215=SPECIAL_LBL)*10000000+(N('Dvd Calendar'!$E$2209)&gt;0)*(N('Dvd Calendar'!$E$2209)&lt;=VAL_SERIAL)*1000000+60*1000+1))</f>
        <v/>
      </c>
      <c r="EF219" s="39">
        <f>IF(N('Dvd Calendar'!$F$2210)=0,"",IF(('Dvd Calendar'!$F$2210&gt;=GRID_FROM)*('Dvd Calendar'!$F$2210&lt;=GRID_TO)*((('Dvd Calendar'!$F$2210&lt;=VAL_DATE)+(COUNTIF('Dvd Calendar'!$E$2217:$AR$2217,'Dvd Calendar'!$F$2210)=0))&gt;0)=0,"",'Dvd Calendar'!$F$2210*1000000000+ISNUMBER('Dvd Calendar'!$F$2213)*100000000+('Dvd Calendar'!$F$2215=SPECIAL_LBL)*10000000+(N('Dvd Calendar'!$F$2209)&gt;0)*(N('Dvd Calendar'!$F$2209)&lt;=VAL_SERIAL)*1000000+60*1000+2))</f>
        <v/>
      </c>
      <c r="EG219" s="39">
        <f>IF(N('Dvd Calendar'!$G$2210)=0,"",IF(('Dvd Calendar'!$G$2210&gt;=GRID_FROM)*('Dvd Calendar'!$G$2210&lt;=GRID_TO)*((('Dvd Calendar'!$G$2210&lt;=VAL_DATE)+(COUNTIF('Dvd Calendar'!$E$2217:$AR$2217,'Dvd Calendar'!$G$2210)=0))&gt;0)=0,"",'Dvd Calendar'!$G$2210*1000000000+ISNUMBER('Dvd Calendar'!$G$2213)*100000000+('Dvd Calendar'!$G$2215=SPECIAL_LBL)*10000000+(N('Dvd Calendar'!$G$2209)&gt;0)*(N('Dvd Calendar'!$G$2209)&lt;=VAL_SERIAL)*1000000+60*1000+3))</f>
        <v/>
      </c>
      <c r="EH219" s="39">
        <f>IF(N('Dvd Calendar'!$H$2210)=0,"",IF(('Dvd Calendar'!$H$2210&gt;=GRID_FROM)*('Dvd Calendar'!$H$2210&lt;=GRID_TO)*((('Dvd Calendar'!$H$2210&lt;=VAL_DATE)+(COUNTIF('Dvd Calendar'!$E$2217:$AR$2217,'Dvd Calendar'!$H$2210)=0))&gt;0)=0,"",'Dvd Calendar'!$H$2210*1000000000+ISNUMBER('Dvd Calendar'!$H$2213)*100000000+('Dvd Calendar'!$H$2215=SPECIAL_LBL)*10000000+(N('Dvd Calendar'!$H$2209)&gt;0)*(N('Dvd Calendar'!$H$2209)&lt;=VAL_SERIAL)*1000000+60*1000+4))</f>
        <v/>
      </c>
      <c r="EI219" s="39">
        <f>IF(N('Dvd Calendar'!$I$2210)=0,"",IF(('Dvd Calendar'!$I$2210&gt;=GRID_FROM)*('Dvd Calendar'!$I$2210&lt;=GRID_TO)*((('Dvd Calendar'!$I$2210&lt;=VAL_DATE)+(COUNTIF('Dvd Calendar'!$E$2217:$AR$2217,'Dvd Calendar'!$I$2210)=0))&gt;0)=0,"",'Dvd Calendar'!$I$2210*1000000000+ISNUMBER('Dvd Calendar'!$I$2213)*100000000+('Dvd Calendar'!$I$2215=SPECIAL_LBL)*10000000+(N('Dvd Calendar'!$I$2209)&gt;0)*(N('Dvd Calendar'!$I$2209)&lt;=VAL_SERIAL)*1000000+60*1000+5))</f>
        <v/>
      </c>
      <c r="EJ219" s="39">
        <f>IF(N('Dvd Calendar'!$J$2210)=0,"",IF(('Dvd Calendar'!$J$2210&gt;=GRID_FROM)*('Dvd Calendar'!$J$2210&lt;=GRID_TO)*((('Dvd Calendar'!$J$2210&lt;=VAL_DATE)+(COUNTIF('Dvd Calendar'!$E$2217:$AR$2217,'Dvd Calendar'!$J$2210)=0))&gt;0)=0,"",'Dvd Calendar'!$J$2210*1000000000+ISNUMBER('Dvd Calendar'!$J$2213)*100000000+('Dvd Calendar'!$J$2215=SPECIAL_LBL)*10000000+(N('Dvd Calendar'!$J$2209)&gt;0)*(N('Dvd Calendar'!$J$2209)&lt;=VAL_SERIAL)*1000000+60*1000+6))</f>
        <v/>
      </c>
      <c r="EK219" s="39">
        <f>IF(N('Dvd Calendar'!$K$2210)=0,"",IF(('Dvd Calendar'!$K$2210&gt;=GRID_FROM)*('Dvd Calendar'!$K$2210&lt;=GRID_TO)*((('Dvd Calendar'!$K$2210&lt;=VAL_DATE)+(COUNTIF('Dvd Calendar'!$E$2217:$AR$2217,'Dvd Calendar'!$K$2210)=0))&gt;0)=0,"",'Dvd Calendar'!$K$2210*1000000000+ISNUMBER('Dvd Calendar'!$K$2213)*100000000+('Dvd Calendar'!$K$2215=SPECIAL_LBL)*10000000+(N('Dvd Calendar'!$K$2209)&gt;0)*(N('Dvd Calendar'!$K$2209)&lt;=VAL_SERIAL)*1000000+60*1000+7))</f>
        <v/>
      </c>
      <c r="EL219" s="39">
        <f>IF(N('Dvd Calendar'!$L$2210)=0,"",IF(('Dvd Calendar'!$L$2210&gt;=GRID_FROM)*('Dvd Calendar'!$L$2210&lt;=GRID_TO)*((('Dvd Calendar'!$L$2210&lt;=VAL_DATE)+(COUNTIF('Dvd Calendar'!$E$2217:$AR$2217,'Dvd Calendar'!$L$2210)=0))&gt;0)=0,"",'Dvd Calendar'!$L$2210*1000000000+ISNUMBER('Dvd Calendar'!$L$2213)*100000000+('Dvd Calendar'!$L$2215=SPECIAL_LBL)*10000000+(N('Dvd Calendar'!$L$2209)&gt;0)*(N('Dvd Calendar'!$L$2209)&lt;=VAL_SERIAL)*1000000+60*1000+8))</f>
        <v/>
      </c>
      <c r="EM219" s="39">
        <f>IF(N('Dvd Calendar'!$M$2210)=0,"",IF(('Dvd Calendar'!$M$2210&gt;=GRID_FROM)*('Dvd Calendar'!$M$2210&lt;=GRID_TO)*((('Dvd Calendar'!$M$2210&lt;=VAL_DATE)+(COUNTIF('Dvd Calendar'!$E$2217:$AR$2217,'Dvd Calendar'!$M$2210)=0))&gt;0)=0,"",'Dvd Calendar'!$M$2210*1000000000+ISNUMBER('Dvd Calendar'!$M$2213)*100000000+('Dvd Calendar'!$M$2215=SPECIAL_LBL)*10000000+(N('Dvd Calendar'!$M$2209)&gt;0)*(N('Dvd Calendar'!$M$2209)&lt;=VAL_SERIAL)*1000000+60*1000+9))</f>
        <v/>
      </c>
      <c r="EN219" s="39">
        <f>IF(N('Dvd Calendar'!$N$2210)=0,"",IF(('Dvd Calendar'!$N$2210&gt;=GRID_FROM)*('Dvd Calendar'!$N$2210&lt;=GRID_TO)*((('Dvd Calendar'!$N$2210&lt;=VAL_DATE)+(COUNTIF('Dvd Calendar'!$E$2217:$AR$2217,'Dvd Calendar'!$N$2210)=0))&gt;0)=0,"",'Dvd Calendar'!$N$2210*1000000000+ISNUMBER('Dvd Calendar'!$N$2213)*100000000+('Dvd Calendar'!$N$2215=SPECIAL_LBL)*10000000+(N('Dvd Calendar'!$N$2209)&gt;0)*(N('Dvd Calendar'!$N$2209)&lt;=VAL_SERIAL)*1000000+60*1000+10))</f>
        <v/>
      </c>
      <c r="EO219" s="39">
        <f>IF(N('Dvd Calendar'!$O$2210)=0,"",IF(('Dvd Calendar'!$O$2210&gt;=GRID_FROM)*('Dvd Calendar'!$O$2210&lt;=GRID_TO)*((('Dvd Calendar'!$O$2210&lt;=VAL_DATE)+(COUNTIF('Dvd Calendar'!$E$2217:$AR$2217,'Dvd Calendar'!$O$2210)=0))&gt;0)=0,"",'Dvd Calendar'!$O$2210*1000000000+ISNUMBER('Dvd Calendar'!$O$2213)*100000000+('Dvd Calendar'!$O$2215=SPECIAL_LBL)*10000000+(N('Dvd Calendar'!$O$2209)&gt;0)*(N('Dvd Calendar'!$O$2209)&lt;=VAL_SERIAL)*1000000+60*1000+11))</f>
        <v/>
      </c>
      <c r="EP219" s="39">
        <f>IF(N('Dvd Calendar'!$P$2210)=0,"",IF(('Dvd Calendar'!$P$2210&gt;=GRID_FROM)*('Dvd Calendar'!$P$2210&lt;=GRID_TO)*((('Dvd Calendar'!$P$2210&lt;=VAL_DATE)+(COUNTIF('Dvd Calendar'!$E$2217:$AR$2217,'Dvd Calendar'!$P$2210)=0))&gt;0)=0,"",'Dvd Calendar'!$P$2210*1000000000+ISNUMBER('Dvd Calendar'!$P$2213)*100000000+('Dvd Calendar'!$P$2215=SPECIAL_LBL)*10000000+(N('Dvd Calendar'!$P$2209)&gt;0)*(N('Dvd Calendar'!$P$2209)&lt;=VAL_SERIAL)*1000000+60*1000+12))</f>
        <v/>
      </c>
      <c r="EQ219" s="39">
        <f>IF(N('Dvd Calendar'!$Q$2210)=0,"",IF(('Dvd Calendar'!$Q$2210&gt;=GRID_FROM)*('Dvd Calendar'!$Q$2210&lt;=GRID_TO)*((('Dvd Calendar'!$Q$2210&lt;=VAL_DATE)+(COUNTIF('Dvd Calendar'!$E$2217:$AR$2217,'Dvd Calendar'!$Q$2210)=0))&gt;0)=0,"",'Dvd Calendar'!$Q$2210*1000000000+ISNUMBER('Dvd Calendar'!$Q$2213)*100000000+('Dvd Calendar'!$Q$2215=SPECIAL_LBL)*10000000+(N('Dvd Calendar'!$Q$2209)&gt;0)*(N('Dvd Calendar'!$Q$2209)&lt;=VAL_SERIAL)*1000000+60*1000+13))</f>
        <v/>
      </c>
      <c r="ER219" s="39">
        <f>IF(N('Dvd Calendar'!$R$2210)=0,"",IF(('Dvd Calendar'!$R$2210&gt;=GRID_FROM)*('Dvd Calendar'!$R$2210&lt;=GRID_TO)*((('Dvd Calendar'!$R$2210&lt;=VAL_DATE)+(COUNTIF('Dvd Calendar'!$E$2217:$AR$2217,'Dvd Calendar'!$R$2210)=0))&gt;0)=0,"",'Dvd Calendar'!$R$2210*1000000000+ISNUMBER('Dvd Calendar'!$R$2213)*100000000+('Dvd Calendar'!$R$2215=SPECIAL_LBL)*10000000+(N('Dvd Calendar'!$R$2209)&gt;0)*(N('Dvd Calendar'!$R$2209)&lt;=VAL_SERIAL)*1000000+60*1000+14))</f>
        <v/>
      </c>
      <c r="ES219" s="39">
        <f>IF(N('Dvd Calendar'!$S$2210)=0,"",IF(('Dvd Calendar'!$S$2210&gt;=GRID_FROM)*('Dvd Calendar'!$S$2210&lt;=GRID_TO)*((('Dvd Calendar'!$S$2210&lt;=VAL_DATE)+(COUNTIF('Dvd Calendar'!$E$2217:$AR$2217,'Dvd Calendar'!$S$2210)=0))&gt;0)=0,"",'Dvd Calendar'!$S$2210*1000000000+ISNUMBER('Dvd Calendar'!$S$2213)*100000000+('Dvd Calendar'!$S$2215=SPECIAL_LBL)*10000000+(N('Dvd Calendar'!$S$2209)&gt;0)*(N('Dvd Calendar'!$S$2209)&lt;=VAL_SERIAL)*1000000+60*1000+15))</f>
        <v/>
      </c>
      <c r="ET219" s="39">
        <f>IF(N('Dvd Calendar'!$T$2210)=0,"",IF(('Dvd Calendar'!$T$2210&gt;=GRID_FROM)*('Dvd Calendar'!$T$2210&lt;=GRID_TO)*((('Dvd Calendar'!$T$2210&lt;=VAL_DATE)+(COUNTIF('Dvd Calendar'!$E$2217:$AR$2217,'Dvd Calendar'!$T$2210)=0))&gt;0)=0,"",'Dvd Calendar'!$T$2210*1000000000+ISNUMBER('Dvd Calendar'!$T$2213)*100000000+('Dvd Calendar'!$T$2215=SPECIAL_LBL)*10000000+(N('Dvd Calendar'!$T$2209)&gt;0)*(N('Dvd Calendar'!$T$2209)&lt;=VAL_SERIAL)*1000000+60*1000+16))</f>
        <v/>
      </c>
      <c r="EU219" s="39">
        <f>IF(N('Dvd Calendar'!$U$2210)=0,"",IF(('Dvd Calendar'!$U$2210&gt;=GRID_FROM)*('Dvd Calendar'!$U$2210&lt;=GRID_TO)*((('Dvd Calendar'!$U$2210&lt;=VAL_DATE)+(COUNTIF('Dvd Calendar'!$E$2217:$AR$2217,'Dvd Calendar'!$U$2210)=0))&gt;0)=0,"",'Dvd Calendar'!$U$2210*1000000000+ISNUMBER('Dvd Calendar'!$U$2213)*100000000+('Dvd Calendar'!$U$2215=SPECIAL_LBL)*10000000+(N('Dvd Calendar'!$U$2209)&gt;0)*(N('Dvd Calendar'!$U$2209)&lt;=VAL_SERIAL)*1000000+60*1000+17))</f>
        <v/>
      </c>
      <c r="EV219" s="39">
        <f>IF(N('Dvd Calendar'!$V$2210)=0,"",IF(('Dvd Calendar'!$V$2210&gt;=GRID_FROM)*('Dvd Calendar'!$V$2210&lt;=GRID_TO)*((('Dvd Calendar'!$V$2210&lt;=VAL_DATE)+(COUNTIF('Dvd Calendar'!$E$2217:$AR$2217,'Dvd Calendar'!$V$2210)=0))&gt;0)=0,"",'Dvd Calendar'!$V$2210*1000000000+ISNUMBER('Dvd Calendar'!$V$2213)*100000000+('Dvd Calendar'!$V$2215=SPECIAL_LBL)*10000000+(N('Dvd Calendar'!$V$2209)&gt;0)*(N('Dvd Calendar'!$V$2209)&lt;=VAL_SERIAL)*1000000+60*1000+18))</f>
        <v/>
      </c>
      <c r="EW219" s="39">
        <f>IF(N('Dvd Calendar'!$W$2210)=0,"",IF(('Dvd Calendar'!$W$2210&gt;=GRID_FROM)*('Dvd Calendar'!$W$2210&lt;=GRID_TO)*((('Dvd Calendar'!$W$2210&lt;=VAL_DATE)+(COUNTIF('Dvd Calendar'!$E$2217:$AR$2217,'Dvd Calendar'!$W$2210)=0))&gt;0)=0,"",'Dvd Calendar'!$W$2210*1000000000+ISNUMBER('Dvd Calendar'!$W$2213)*100000000+('Dvd Calendar'!$W$2215=SPECIAL_LBL)*10000000+(N('Dvd Calendar'!$W$2209)&gt;0)*(N('Dvd Calendar'!$W$2209)&lt;=VAL_SERIAL)*1000000+60*1000+19))</f>
        <v/>
      </c>
      <c r="EX219" s="39">
        <f>IF(N('Dvd Calendar'!$X$2210)=0,"",IF(('Dvd Calendar'!$X$2210&gt;=GRID_FROM)*('Dvd Calendar'!$X$2210&lt;=GRID_TO)*((('Dvd Calendar'!$X$2210&lt;=VAL_DATE)+(COUNTIF('Dvd Calendar'!$E$2217:$AR$2217,'Dvd Calendar'!$X$2210)=0))&gt;0)=0,"",'Dvd Calendar'!$X$2210*1000000000+ISNUMBER('Dvd Calendar'!$X$2213)*100000000+('Dvd Calendar'!$X$2215=SPECIAL_LBL)*10000000+(N('Dvd Calendar'!$X$2209)&gt;0)*(N('Dvd Calendar'!$X$2209)&lt;=VAL_SERIAL)*1000000+60*1000+20))</f>
        <v/>
      </c>
      <c r="EY219" s="39">
        <f>IF(N('Dvd Calendar'!$Y$2210)=0,"",IF(('Dvd Calendar'!$Y$2210&gt;=GRID_FROM)*('Dvd Calendar'!$Y$2210&lt;=GRID_TO)*((('Dvd Calendar'!$Y$2210&lt;=VAL_DATE)+(COUNTIF('Dvd Calendar'!$E$2217:$AR$2217,'Dvd Calendar'!$Y$2210)=0))&gt;0)=0,"",'Dvd Calendar'!$Y$2210*1000000000+ISNUMBER('Dvd Calendar'!$Y$2213)*100000000+('Dvd Calendar'!$Y$2215=SPECIAL_LBL)*10000000+(N('Dvd Calendar'!$Y$2209)&gt;0)*(N('Dvd Calendar'!$Y$2209)&lt;=VAL_SERIAL)*1000000+60*1000+21))</f>
        <v/>
      </c>
      <c r="EZ219" s="39">
        <f>IF(N('Dvd Calendar'!$Z$2210)=0,"",IF(('Dvd Calendar'!$Z$2210&gt;=GRID_FROM)*('Dvd Calendar'!$Z$2210&lt;=GRID_TO)*((('Dvd Calendar'!$Z$2210&lt;=VAL_DATE)+(COUNTIF('Dvd Calendar'!$E$2217:$AR$2217,'Dvd Calendar'!$Z$2210)=0))&gt;0)=0,"",'Dvd Calendar'!$Z$2210*1000000000+ISNUMBER('Dvd Calendar'!$Z$2213)*100000000+('Dvd Calendar'!$Z$2215=SPECIAL_LBL)*10000000+(N('Dvd Calendar'!$Z$2209)&gt;0)*(N('Dvd Calendar'!$Z$2209)&lt;=VAL_SERIAL)*1000000+60*1000+22))</f>
        <v/>
      </c>
      <c r="FA219" s="39">
        <f>IF(N('Dvd Calendar'!$AA$2210)=0,"",IF(('Dvd Calendar'!$AA$2210&gt;=GRID_FROM)*('Dvd Calendar'!$AA$2210&lt;=GRID_TO)*((('Dvd Calendar'!$AA$2210&lt;=VAL_DATE)+(COUNTIF('Dvd Calendar'!$E$2217:$AR$2217,'Dvd Calendar'!$AA$2210)=0))&gt;0)=0,"",'Dvd Calendar'!$AA$2210*1000000000+ISNUMBER('Dvd Calendar'!$AA$2213)*100000000+('Dvd Calendar'!$AA$2215=SPECIAL_LBL)*10000000+(N('Dvd Calendar'!$AA$2209)&gt;0)*(N('Dvd Calendar'!$AA$2209)&lt;=VAL_SERIAL)*1000000+60*1000+23))</f>
        <v/>
      </c>
      <c r="FB219" s="39">
        <f>IF(N('Dvd Calendar'!$AB$2210)=0,"",IF(('Dvd Calendar'!$AB$2210&gt;=GRID_FROM)*('Dvd Calendar'!$AB$2210&lt;=GRID_TO)*((('Dvd Calendar'!$AB$2210&lt;=VAL_DATE)+(COUNTIF('Dvd Calendar'!$E$2217:$AR$2217,'Dvd Calendar'!$AB$2210)=0))&gt;0)=0,"",'Dvd Calendar'!$AB$2210*1000000000+ISNUMBER('Dvd Calendar'!$AB$2213)*100000000+('Dvd Calendar'!$AB$2215=SPECIAL_LBL)*10000000+(N('Dvd Calendar'!$AB$2209)&gt;0)*(N('Dvd Calendar'!$AB$2209)&lt;=VAL_SERIAL)*1000000+60*1000+24))</f>
        <v/>
      </c>
      <c r="FC219" s="39">
        <f>IF(N('Dvd Calendar'!$AC$2210)=0,"",IF(('Dvd Calendar'!$AC$2210&gt;=GRID_FROM)*('Dvd Calendar'!$AC$2210&lt;=GRID_TO)*((('Dvd Calendar'!$AC$2210&lt;=VAL_DATE)+(COUNTIF('Dvd Calendar'!$E$2217:$AR$2217,'Dvd Calendar'!$AC$2210)=0))&gt;0)=0,"",'Dvd Calendar'!$AC$2210*1000000000+ISNUMBER('Dvd Calendar'!$AC$2213)*100000000+('Dvd Calendar'!$AC$2215=SPECIAL_LBL)*10000000+(N('Dvd Calendar'!$AC$2209)&gt;0)*(N('Dvd Calendar'!$AC$2209)&lt;=VAL_SERIAL)*1000000+60*1000+25))</f>
        <v/>
      </c>
      <c r="FD219" s="39">
        <f>IF(N('Dvd Calendar'!$AD$2210)=0,"",IF(('Dvd Calendar'!$AD$2210&gt;=GRID_FROM)*('Dvd Calendar'!$AD$2210&lt;=GRID_TO)*((('Dvd Calendar'!$AD$2210&lt;=VAL_DATE)+(COUNTIF('Dvd Calendar'!$E$2217:$AR$2217,'Dvd Calendar'!$AD$2210)=0))&gt;0)=0,"",'Dvd Calendar'!$AD$2210*1000000000+ISNUMBER('Dvd Calendar'!$AD$2213)*100000000+('Dvd Calendar'!$AD$2215=SPECIAL_LBL)*10000000+(N('Dvd Calendar'!$AD$2209)&gt;0)*(N('Dvd Calendar'!$AD$2209)&lt;=VAL_SERIAL)*1000000+60*1000+26))</f>
        <v/>
      </c>
      <c r="FE219" s="39">
        <f>IF(N('Dvd Calendar'!$AE$2210)=0,"",IF(('Dvd Calendar'!$AE$2210&gt;=GRID_FROM)*('Dvd Calendar'!$AE$2210&lt;=GRID_TO)*((('Dvd Calendar'!$AE$2210&lt;=VAL_DATE)+(COUNTIF('Dvd Calendar'!$E$2217:$AR$2217,'Dvd Calendar'!$AE$2210)=0))&gt;0)=0,"",'Dvd Calendar'!$AE$2210*1000000000+ISNUMBER('Dvd Calendar'!$AE$2213)*100000000+('Dvd Calendar'!$AE$2215=SPECIAL_LBL)*10000000+(N('Dvd Calendar'!$AE$2209)&gt;0)*(N('Dvd Calendar'!$AE$2209)&lt;=VAL_SERIAL)*1000000+60*1000+27))</f>
        <v/>
      </c>
      <c r="FF219" s="39">
        <f>IF(N('Dvd Calendar'!$AF$2210)=0,"",IF(('Dvd Calendar'!$AF$2210&gt;=GRID_FROM)*('Dvd Calendar'!$AF$2210&lt;=GRID_TO)*((('Dvd Calendar'!$AF$2210&lt;=VAL_DATE)+(COUNTIF('Dvd Calendar'!$E$2217:$AR$2217,'Dvd Calendar'!$AF$2210)=0))&gt;0)=0,"",'Dvd Calendar'!$AF$2210*1000000000+ISNUMBER('Dvd Calendar'!$AF$2213)*100000000+('Dvd Calendar'!$AF$2215=SPECIAL_LBL)*10000000+(N('Dvd Calendar'!$AF$2209)&gt;0)*(N('Dvd Calendar'!$AF$2209)&lt;=VAL_SERIAL)*1000000+60*1000+28))</f>
        <v/>
      </c>
      <c r="FG219" s="39">
        <f>IF(N('Dvd Calendar'!$AG$2210)=0,"",IF(('Dvd Calendar'!$AG$2210&gt;=GRID_FROM)*('Dvd Calendar'!$AG$2210&lt;=GRID_TO)*((('Dvd Calendar'!$AG$2210&lt;=VAL_DATE)+(COUNTIF('Dvd Calendar'!$E$2217:$AR$2217,'Dvd Calendar'!$AG$2210)=0))&gt;0)=0,"",'Dvd Calendar'!$AG$2210*1000000000+ISNUMBER('Dvd Calendar'!$AG$2213)*100000000+('Dvd Calendar'!$AG$2215=SPECIAL_LBL)*10000000+(N('Dvd Calendar'!$AG$2209)&gt;0)*(N('Dvd Calendar'!$AG$2209)&lt;=VAL_SERIAL)*1000000+60*1000+29))</f>
        <v/>
      </c>
      <c r="FH219" s="39">
        <f>IF(N('Dvd Calendar'!$AH$2210)=0,"",IF(('Dvd Calendar'!$AH$2210&gt;=GRID_FROM)*('Dvd Calendar'!$AH$2210&lt;=GRID_TO)*((('Dvd Calendar'!$AH$2210&lt;=VAL_DATE)+(COUNTIF('Dvd Calendar'!$E$2217:$AR$2217,'Dvd Calendar'!$AH$2210)=0))&gt;0)=0,"",'Dvd Calendar'!$AH$2210*1000000000+ISNUMBER('Dvd Calendar'!$AH$2213)*100000000+('Dvd Calendar'!$AH$2215=SPECIAL_LBL)*10000000+(N('Dvd Calendar'!$AH$2209)&gt;0)*(N('Dvd Calendar'!$AH$2209)&lt;=VAL_SERIAL)*1000000+60*1000+30))</f>
        <v/>
      </c>
      <c r="FI219" s="39">
        <f>IF(N('Dvd Calendar'!$AI$2210)=0,"",IF(('Dvd Calendar'!$AI$2210&gt;=GRID_FROM)*('Dvd Calendar'!$AI$2210&lt;=GRID_TO)*((('Dvd Calendar'!$AI$2210&lt;=VAL_DATE)+(COUNTIF('Dvd Calendar'!$E$2217:$AR$2217,'Dvd Calendar'!$AI$2210)=0))&gt;0)=0,"",'Dvd Calendar'!$AI$2210*1000000000+ISNUMBER('Dvd Calendar'!$AI$2213)*100000000+('Dvd Calendar'!$AI$2215=SPECIAL_LBL)*10000000+(N('Dvd Calendar'!$AI$2209)&gt;0)*(N('Dvd Calendar'!$AI$2209)&lt;=VAL_SERIAL)*1000000+60*1000+31))</f>
        <v/>
      </c>
      <c r="FJ219" s="39">
        <f>IF(N('Dvd Calendar'!$AJ$2210)=0,"",IF(('Dvd Calendar'!$AJ$2210&gt;=GRID_FROM)*('Dvd Calendar'!$AJ$2210&lt;=GRID_TO)*((('Dvd Calendar'!$AJ$2210&lt;=VAL_DATE)+(COUNTIF('Dvd Calendar'!$E$2217:$AR$2217,'Dvd Calendar'!$AJ$2210)=0))&gt;0)=0,"",'Dvd Calendar'!$AJ$2210*1000000000+ISNUMBER('Dvd Calendar'!$AJ$2213)*100000000+('Dvd Calendar'!$AJ$2215=SPECIAL_LBL)*10000000+(N('Dvd Calendar'!$AJ$2209)&gt;0)*(N('Dvd Calendar'!$AJ$2209)&lt;=VAL_SERIAL)*1000000+60*1000+32))</f>
        <v/>
      </c>
      <c r="FK219" s="39">
        <f>IF(N('Dvd Calendar'!$AK$2210)=0,"",IF(('Dvd Calendar'!$AK$2210&gt;=GRID_FROM)*('Dvd Calendar'!$AK$2210&lt;=GRID_TO)*((('Dvd Calendar'!$AK$2210&lt;=VAL_DATE)+(COUNTIF('Dvd Calendar'!$E$2217:$AR$2217,'Dvd Calendar'!$AK$2210)=0))&gt;0)=0,"",'Dvd Calendar'!$AK$2210*1000000000+ISNUMBER('Dvd Calendar'!$AK$2213)*100000000+('Dvd Calendar'!$AK$2215=SPECIAL_LBL)*10000000+(N('Dvd Calendar'!$AK$2209)&gt;0)*(N('Dvd Calendar'!$AK$2209)&lt;=VAL_SERIAL)*1000000+60*1000+33))</f>
        <v/>
      </c>
      <c r="FL219" s="39">
        <f>IF(N('Dvd Calendar'!$AL$2210)=0,"",IF(('Dvd Calendar'!$AL$2210&gt;=GRID_FROM)*('Dvd Calendar'!$AL$2210&lt;=GRID_TO)*((('Dvd Calendar'!$AL$2210&lt;=VAL_DATE)+(COUNTIF('Dvd Calendar'!$E$2217:$AR$2217,'Dvd Calendar'!$AL$2210)=0))&gt;0)=0,"",'Dvd Calendar'!$AL$2210*1000000000+ISNUMBER('Dvd Calendar'!$AL$2213)*100000000+('Dvd Calendar'!$AL$2215=SPECIAL_LBL)*10000000+(N('Dvd Calendar'!$AL$2209)&gt;0)*(N('Dvd Calendar'!$AL$2209)&lt;=VAL_SERIAL)*1000000+60*1000+34))</f>
        <v/>
      </c>
      <c r="FM219" s="39">
        <f>IF(N('Dvd Calendar'!$AM$2210)=0,"",IF(('Dvd Calendar'!$AM$2210&gt;=GRID_FROM)*('Dvd Calendar'!$AM$2210&lt;=GRID_TO)*((('Dvd Calendar'!$AM$2210&lt;=VAL_DATE)+(COUNTIF('Dvd Calendar'!$E$2217:$AR$2217,'Dvd Calendar'!$AM$2210)=0))&gt;0)=0,"",'Dvd Calendar'!$AM$2210*1000000000+ISNUMBER('Dvd Calendar'!$AM$2213)*100000000+('Dvd Calendar'!$AM$2215=SPECIAL_LBL)*10000000+(N('Dvd Calendar'!$AM$2209)&gt;0)*(N('Dvd Calendar'!$AM$2209)&lt;=VAL_SERIAL)*1000000+60*1000+35))</f>
        <v/>
      </c>
      <c r="FN219" s="39">
        <f>IF(N('Dvd Calendar'!$AN$2210)=0,"",IF(('Dvd Calendar'!$AN$2210&gt;=GRID_FROM)*('Dvd Calendar'!$AN$2210&lt;=GRID_TO)*((('Dvd Calendar'!$AN$2210&lt;=VAL_DATE)+(COUNTIF('Dvd Calendar'!$E$2217:$AR$2217,'Dvd Calendar'!$AN$2210)=0))&gt;0)=0,"",'Dvd Calendar'!$AN$2210*1000000000+ISNUMBER('Dvd Calendar'!$AN$2213)*100000000+('Dvd Calendar'!$AN$2215=SPECIAL_LBL)*10000000+(N('Dvd Calendar'!$AN$2209)&gt;0)*(N('Dvd Calendar'!$AN$2209)&lt;=VAL_SERIAL)*1000000+60*1000+36))</f>
        <v/>
      </c>
      <c r="FO219" s="39">
        <f>IF(N('Dvd Calendar'!$AO$2210)=0,"",IF(('Dvd Calendar'!$AO$2210&gt;=GRID_FROM)*('Dvd Calendar'!$AO$2210&lt;=GRID_TO)*((('Dvd Calendar'!$AO$2210&lt;=VAL_DATE)+(COUNTIF('Dvd Calendar'!$E$2217:$AR$2217,'Dvd Calendar'!$AO$2210)=0))&gt;0)=0,"",'Dvd Calendar'!$AO$2210*1000000000+ISNUMBER('Dvd Calendar'!$AO$2213)*100000000+('Dvd Calendar'!$AO$2215=SPECIAL_LBL)*10000000+(N('Dvd Calendar'!$AO$2209)&gt;0)*(N('Dvd Calendar'!$AO$2209)&lt;=VAL_SERIAL)*1000000+60*1000+37))</f>
        <v/>
      </c>
      <c r="FP219" s="39">
        <f>IF(N('Dvd Calendar'!$AP$2210)=0,"",IF(('Dvd Calendar'!$AP$2210&gt;=GRID_FROM)*('Dvd Calendar'!$AP$2210&lt;=GRID_TO)*((('Dvd Calendar'!$AP$2210&lt;=VAL_DATE)+(COUNTIF('Dvd Calendar'!$E$2217:$AR$2217,'Dvd Calendar'!$AP$2210)=0))&gt;0)=0,"",'Dvd Calendar'!$AP$2210*1000000000+ISNUMBER('Dvd Calendar'!$AP$2213)*100000000+('Dvd Calendar'!$AP$2215=SPECIAL_LBL)*10000000+(N('Dvd Calendar'!$AP$2209)&gt;0)*(N('Dvd Calendar'!$AP$2209)&lt;=VAL_SERIAL)*1000000+60*1000+38))</f>
        <v/>
      </c>
      <c r="FQ219" s="39">
        <f>IF(N('Dvd Calendar'!$AQ$2210)=0,"",IF(('Dvd Calendar'!$AQ$2210&gt;=GRID_FROM)*('Dvd Calendar'!$AQ$2210&lt;=GRID_TO)*((('Dvd Calendar'!$AQ$2210&lt;=VAL_DATE)+(COUNTIF('Dvd Calendar'!$E$2217:$AR$2217,'Dvd Calendar'!$AQ$2210)=0))&gt;0)=0,"",'Dvd Calendar'!$AQ$2210*1000000000+ISNUMBER('Dvd Calendar'!$AQ$2213)*100000000+('Dvd Calendar'!$AQ$2215=SPECIAL_LBL)*10000000+(N('Dvd Calendar'!$AQ$2209)&gt;0)*(N('Dvd Calendar'!$AQ$2209)&lt;=VAL_SERIAL)*1000000+60*1000+39))</f>
        <v/>
      </c>
      <c r="FR219" s="39">
        <f>IF(N('Dvd Calendar'!$AR$2210)=0,"",IF(('Dvd Calendar'!$AR$2210&gt;=GRID_FROM)*('Dvd Calendar'!$AR$2210&lt;=GRID_TO)*((('Dvd Calendar'!$AR$2210&lt;=VAL_DATE)+(COUNTIF('Dvd Calendar'!$E$2217:$AR$2217,'Dvd Calendar'!$AR$2210)=0))&gt;0)=0,"",'Dvd Calendar'!$AR$2210*1000000000+ISNUMBER('Dvd Calendar'!$AR$2213)*100000000+('Dvd Calendar'!$AR$2215=SPECIAL_LBL)*10000000+(N('Dvd Calendar'!$AR$2209)&gt;0)*(N('Dvd Calendar'!$AR$2209)&lt;=VAL_SERIAL)*1000000+60*1000+40))</f>
        <v/>
      </c>
      <c r="FS219" s="39">
        <f>IF(N('Dvd Calendar'!$E$2217)=0,"",IF(('Dvd Calendar'!$E$2217&gt;=GRID_FROM)*('Dvd Calendar'!$E$2217&lt;=GRID_TO)*('Dvd Calendar'!$E$2217&gt;VAL_DATE)=0,"",'Dvd Calendar'!$E$2217*1000000000+ISNUMBER('Dvd Calendar'!$E$2218)*100000000+0*10000000+(N('Dvd Calendar'!$E$2216)&gt;0)*(N('Dvd Calendar'!$E$2216)&lt;=VAL_SERIAL)*1000000+60*1000+41))</f>
        <v/>
      </c>
      <c r="FT219" s="39">
        <f>IF(N('Dvd Calendar'!$F$2217)=0,"",IF(('Dvd Calendar'!$F$2217&gt;=GRID_FROM)*('Dvd Calendar'!$F$2217&lt;=GRID_TO)*('Dvd Calendar'!$F$2217&gt;VAL_DATE)=0,"",'Dvd Calendar'!$F$2217*1000000000+ISNUMBER('Dvd Calendar'!$F$2218)*100000000+0*10000000+(N('Dvd Calendar'!$F$2216)&gt;0)*(N('Dvd Calendar'!$F$2216)&lt;=VAL_SERIAL)*1000000+60*1000+42))</f>
        <v/>
      </c>
      <c r="FU219" s="39">
        <f>IF(N('Dvd Calendar'!$G$2217)=0,"",IF(('Dvd Calendar'!$G$2217&gt;=GRID_FROM)*('Dvd Calendar'!$G$2217&lt;=GRID_TO)*('Dvd Calendar'!$G$2217&gt;VAL_DATE)=0,"",'Dvd Calendar'!$G$2217*1000000000+ISNUMBER('Dvd Calendar'!$G$2218)*100000000+0*10000000+(N('Dvd Calendar'!$G$2216)&gt;0)*(N('Dvd Calendar'!$G$2216)&lt;=VAL_SERIAL)*1000000+60*1000+43))</f>
        <v/>
      </c>
      <c r="FV219" s="39">
        <f>IF(N('Dvd Calendar'!$H$2217)=0,"",IF(('Dvd Calendar'!$H$2217&gt;=GRID_FROM)*('Dvd Calendar'!$H$2217&lt;=GRID_TO)*('Dvd Calendar'!$H$2217&gt;VAL_DATE)=0,"",'Dvd Calendar'!$H$2217*1000000000+ISNUMBER('Dvd Calendar'!$H$2218)*100000000+0*10000000+(N('Dvd Calendar'!$H$2216)&gt;0)*(N('Dvd Calendar'!$H$2216)&lt;=VAL_SERIAL)*1000000+60*1000+44))</f>
        <v/>
      </c>
      <c r="FW219" s="39">
        <f>IF(N('Dvd Calendar'!$I$2217)=0,"",IF(('Dvd Calendar'!$I$2217&gt;=GRID_FROM)*('Dvd Calendar'!$I$2217&lt;=GRID_TO)*('Dvd Calendar'!$I$2217&gt;VAL_DATE)=0,"",'Dvd Calendar'!$I$2217*1000000000+ISNUMBER('Dvd Calendar'!$I$2218)*100000000+0*10000000+(N('Dvd Calendar'!$I$2216)&gt;0)*(N('Dvd Calendar'!$I$2216)&lt;=VAL_SERIAL)*1000000+60*1000+45))</f>
        <v/>
      </c>
      <c r="FX219" s="39">
        <f>IF(N('Dvd Calendar'!$J$2217)=0,"",IF(('Dvd Calendar'!$J$2217&gt;=GRID_FROM)*('Dvd Calendar'!$J$2217&lt;=GRID_TO)*('Dvd Calendar'!$J$2217&gt;VAL_DATE)=0,"",'Dvd Calendar'!$J$2217*1000000000+ISNUMBER('Dvd Calendar'!$J$2218)*100000000+0*10000000+(N('Dvd Calendar'!$J$2216)&gt;0)*(N('Dvd Calendar'!$J$2216)&lt;=VAL_SERIAL)*1000000+60*1000+46))</f>
        <v/>
      </c>
      <c r="FY219" s="39">
        <f>IF(N('Dvd Calendar'!$K$2217)=0,"",IF(('Dvd Calendar'!$K$2217&gt;=GRID_FROM)*('Dvd Calendar'!$K$2217&lt;=GRID_TO)*('Dvd Calendar'!$K$2217&gt;VAL_DATE)=0,"",'Dvd Calendar'!$K$2217*1000000000+ISNUMBER('Dvd Calendar'!$K$2218)*100000000+0*10000000+(N('Dvd Calendar'!$K$2216)&gt;0)*(N('Dvd Calendar'!$K$2216)&lt;=VAL_SERIAL)*1000000+60*1000+47))</f>
        <v/>
      </c>
      <c r="FZ219" s="39">
        <f>IF(N('Dvd Calendar'!$L$2217)=0,"",IF(('Dvd Calendar'!$L$2217&gt;=GRID_FROM)*('Dvd Calendar'!$L$2217&lt;=GRID_TO)*('Dvd Calendar'!$L$2217&gt;VAL_DATE)=0,"",'Dvd Calendar'!$L$2217*1000000000+ISNUMBER('Dvd Calendar'!$L$2218)*100000000+0*10000000+(N('Dvd Calendar'!$L$2216)&gt;0)*(N('Dvd Calendar'!$L$2216)&lt;=VAL_SERIAL)*1000000+60*1000+48))</f>
        <v/>
      </c>
      <c r="GA219" s="39">
        <f>IF(N('Dvd Calendar'!$M$2217)=0,"",IF(('Dvd Calendar'!$M$2217&gt;=GRID_FROM)*('Dvd Calendar'!$M$2217&lt;=GRID_TO)*('Dvd Calendar'!$M$2217&gt;VAL_DATE)=0,"",'Dvd Calendar'!$M$2217*1000000000+ISNUMBER('Dvd Calendar'!$M$2218)*100000000+0*10000000+(N('Dvd Calendar'!$M$2216)&gt;0)*(N('Dvd Calendar'!$M$2216)&lt;=VAL_SERIAL)*1000000+60*1000+49))</f>
        <v/>
      </c>
      <c r="GB219" s="39">
        <f>IF(N('Dvd Calendar'!$N$2217)=0,"",IF(('Dvd Calendar'!$N$2217&gt;=GRID_FROM)*('Dvd Calendar'!$N$2217&lt;=GRID_TO)*('Dvd Calendar'!$N$2217&gt;VAL_DATE)=0,"",'Dvd Calendar'!$N$2217*1000000000+ISNUMBER('Dvd Calendar'!$N$2218)*100000000+0*10000000+(N('Dvd Calendar'!$N$2216)&gt;0)*(N('Dvd Calendar'!$N$2216)&lt;=VAL_SERIAL)*1000000+60*1000+50))</f>
        <v/>
      </c>
      <c r="GC219" s="39">
        <f>IF(N('Dvd Calendar'!$O$2217)=0,"",IF(('Dvd Calendar'!$O$2217&gt;=GRID_FROM)*('Dvd Calendar'!$O$2217&lt;=GRID_TO)*('Dvd Calendar'!$O$2217&gt;VAL_DATE)=0,"",'Dvd Calendar'!$O$2217*1000000000+ISNUMBER('Dvd Calendar'!$O$2218)*100000000+0*10000000+(N('Dvd Calendar'!$O$2216)&gt;0)*(N('Dvd Calendar'!$O$2216)&lt;=VAL_SERIAL)*1000000+60*1000+51))</f>
        <v/>
      </c>
      <c r="GD219" s="39">
        <f>IF(N('Dvd Calendar'!$P$2217)=0,"",IF(('Dvd Calendar'!$P$2217&gt;=GRID_FROM)*('Dvd Calendar'!$P$2217&lt;=GRID_TO)*('Dvd Calendar'!$P$2217&gt;VAL_DATE)=0,"",'Dvd Calendar'!$P$2217*1000000000+ISNUMBER('Dvd Calendar'!$P$2218)*100000000+0*10000000+(N('Dvd Calendar'!$P$2216)&gt;0)*(N('Dvd Calendar'!$P$2216)&lt;=VAL_SERIAL)*1000000+60*1000+52))</f>
        <v/>
      </c>
      <c r="GE219" s="39">
        <f>IF(N('Dvd Calendar'!$Q$2217)=0,"",IF(('Dvd Calendar'!$Q$2217&gt;=GRID_FROM)*('Dvd Calendar'!$Q$2217&lt;=GRID_TO)*('Dvd Calendar'!$Q$2217&gt;VAL_DATE)=0,"",'Dvd Calendar'!$Q$2217*1000000000+ISNUMBER('Dvd Calendar'!$Q$2218)*100000000+0*10000000+(N('Dvd Calendar'!$Q$2216)&gt;0)*(N('Dvd Calendar'!$Q$2216)&lt;=VAL_SERIAL)*1000000+60*1000+53))</f>
        <v/>
      </c>
      <c r="GF219" s="39">
        <f>IF(N('Dvd Calendar'!$R$2217)=0,"",IF(('Dvd Calendar'!$R$2217&gt;=GRID_FROM)*('Dvd Calendar'!$R$2217&lt;=GRID_TO)*('Dvd Calendar'!$R$2217&gt;VAL_DATE)=0,"",'Dvd Calendar'!$R$2217*1000000000+ISNUMBER('Dvd Calendar'!$R$2218)*100000000+0*10000000+(N('Dvd Calendar'!$R$2216)&gt;0)*(N('Dvd Calendar'!$R$2216)&lt;=VAL_SERIAL)*1000000+60*1000+54))</f>
        <v/>
      </c>
      <c r="GG219" s="39">
        <f>IF(N('Dvd Calendar'!$S$2217)=0,"",IF(('Dvd Calendar'!$S$2217&gt;=GRID_FROM)*('Dvd Calendar'!$S$2217&lt;=GRID_TO)*('Dvd Calendar'!$S$2217&gt;VAL_DATE)=0,"",'Dvd Calendar'!$S$2217*1000000000+ISNUMBER('Dvd Calendar'!$S$2218)*100000000+0*10000000+(N('Dvd Calendar'!$S$2216)&gt;0)*(N('Dvd Calendar'!$S$2216)&lt;=VAL_SERIAL)*1000000+60*1000+55))</f>
        <v/>
      </c>
      <c r="GH219" s="39">
        <f>IF(N('Dvd Calendar'!$T$2217)=0,"",IF(('Dvd Calendar'!$T$2217&gt;=GRID_FROM)*('Dvd Calendar'!$T$2217&lt;=GRID_TO)*('Dvd Calendar'!$T$2217&gt;VAL_DATE)=0,"",'Dvd Calendar'!$T$2217*1000000000+ISNUMBER('Dvd Calendar'!$T$2218)*100000000+0*10000000+(N('Dvd Calendar'!$T$2216)&gt;0)*(N('Dvd Calendar'!$T$2216)&lt;=VAL_SERIAL)*1000000+60*1000+56))</f>
        <v/>
      </c>
      <c r="GI219" s="39">
        <f>IF(N('Dvd Calendar'!$U$2217)=0,"",IF(('Dvd Calendar'!$U$2217&gt;=GRID_FROM)*('Dvd Calendar'!$U$2217&lt;=GRID_TO)*('Dvd Calendar'!$U$2217&gt;VAL_DATE)=0,"",'Dvd Calendar'!$U$2217*1000000000+ISNUMBER('Dvd Calendar'!$U$2218)*100000000+0*10000000+(N('Dvd Calendar'!$U$2216)&gt;0)*(N('Dvd Calendar'!$U$2216)&lt;=VAL_SERIAL)*1000000+60*1000+57))</f>
        <v/>
      </c>
      <c r="GJ219" s="39">
        <f>IF(N('Dvd Calendar'!$V$2217)=0,"",IF(('Dvd Calendar'!$V$2217&gt;=GRID_FROM)*('Dvd Calendar'!$V$2217&lt;=GRID_TO)*('Dvd Calendar'!$V$2217&gt;VAL_DATE)=0,"",'Dvd Calendar'!$V$2217*1000000000+ISNUMBER('Dvd Calendar'!$V$2218)*100000000+0*10000000+(N('Dvd Calendar'!$V$2216)&gt;0)*(N('Dvd Calendar'!$V$2216)&lt;=VAL_SERIAL)*1000000+60*1000+58))</f>
        <v/>
      </c>
      <c r="GK219" s="39">
        <f>IF(N('Dvd Calendar'!$W$2217)=0,"",IF(('Dvd Calendar'!$W$2217&gt;=GRID_FROM)*('Dvd Calendar'!$W$2217&lt;=GRID_TO)*('Dvd Calendar'!$W$2217&gt;VAL_DATE)=0,"",'Dvd Calendar'!$W$2217*1000000000+ISNUMBER('Dvd Calendar'!$W$2218)*100000000+0*10000000+(N('Dvd Calendar'!$W$2216)&gt;0)*(N('Dvd Calendar'!$W$2216)&lt;=VAL_SERIAL)*1000000+60*1000+59))</f>
        <v/>
      </c>
      <c r="GL219" s="39">
        <f>IF(N('Dvd Calendar'!$X$2217)=0,"",IF(('Dvd Calendar'!$X$2217&gt;=GRID_FROM)*('Dvd Calendar'!$X$2217&lt;=GRID_TO)*('Dvd Calendar'!$X$2217&gt;VAL_DATE)=0,"",'Dvd Calendar'!$X$2217*1000000000+ISNUMBER('Dvd Calendar'!$X$2218)*100000000+0*10000000+(N('Dvd Calendar'!$X$2216)&gt;0)*(N('Dvd Calendar'!$X$2216)&lt;=VAL_SERIAL)*1000000+60*1000+60))</f>
        <v/>
      </c>
      <c r="GM219" s="39">
        <f>IF(N('Dvd Calendar'!$Y$2217)=0,"",IF(('Dvd Calendar'!$Y$2217&gt;=GRID_FROM)*('Dvd Calendar'!$Y$2217&lt;=GRID_TO)*('Dvd Calendar'!$Y$2217&gt;VAL_DATE)=0,"",'Dvd Calendar'!$Y$2217*1000000000+ISNUMBER('Dvd Calendar'!$Y$2218)*100000000+0*10000000+(N('Dvd Calendar'!$Y$2216)&gt;0)*(N('Dvd Calendar'!$Y$2216)&lt;=VAL_SERIAL)*1000000+60*1000+61))</f>
        <v/>
      </c>
      <c r="GN219" s="39">
        <f>IF(N('Dvd Calendar'!$Z$2217)=0,"",IF(('Dvd Calendar'!$Z$2217&gt;=GRID_FROM)*('Dvd Calendar'!$Z$2217&lt;=GRID_TO)*('Dvd Calendar'!$Z$2217&gt;VAL_DATE)=0,"",'Dvd Calendar'!$Z$2217*1000000000+ISNUMBER('Dvd Calendar'!$Z$2218)*100000000+0*10000000+(N('Dvd Calendar'!$Z$2216)&gt;0)*(N('Dvd Calendar'!$Z$2216)&lt;=VAL_SERIAL)*1000000+60*1000+62))</f>
        <v/>
      </c>
      <c r="GO219" s="39">
        <f>IF(N('Dvd Calendar'!$AA$2217)=0,"",IF(('Dvd Calendar'!$AA$2217&gt;=GRID_FROM)*('Dvd Calendar'!$AA$2217&lt;=GRID_TO)*('Dvd Calendar'!$AA$2217&gt;VAL_DATE)=0,"",'Dvd Calendar'!$AA$2217*1000000000+ISNUMBER('Dvd Calendar'!$AA$2218)*100000000+0*10000000+(N('Dvd Calendar'!$AA$2216)&gt;0)*(N('Dvd Calendar'!$AA$2216)&lt;=VAL_SERIAL)*1000000+60*1000+63))</f>
        <v/>
      </c>
      <c r="GP219" s="39">
        <f>IF(N('Dvd Calendar'!$AB$2217)=0,"",IF(('Dvd Calendar'!$AB$2217&gt;=GRID_FROM)*('Dvd Calendar'!$AB$2217&lt;=GRID_TO)*('Dvd Calendar'!$AB$2217&gt;VAL_DATE)=0,"",'Dvd Calendar'!$AB$2217*1000000000+ISNUMBER('Dvd Calendar'!$AB$2218)*100000000+0*10000000+(N('Dvd Calendar'!$AB$2216)&gt;0)*(N('Dvd Calendar'!$AB$2216)&lt;=VAL_SERIAL)*1000000+60*1000+64))</f>
        <v/>
      </c>
      <c r="GQ219" s="39">
        <f>IF(N('Dvd Calendar'!$AC$2217)=0,"",IF(('Dvd Calendar'!$AC$2217&gt;=GRID_FROM)*('Dvd Calendar'!$AC$2217&lt;=GRID_TO)*('Dvd Calendar'!$AC$2217&gt;VAL_DATE)=0,"",'Dvd Calendar'!$AC$2217*1000000000+ISNUMBER('Dvd Calendar'!$AC$2218)*100000000+0*10000000+(N('Dvd Calendar'!$AC$2216)&gt;0)*(N('Dvd Calendar'!$AC$2216)&lt;=VAL_SERIAL)*1000000+60*1000+65))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2026-08-11T14:47:08Z</dcterms:created>
  <dcterms:modified xsi:type="dcterms:W3CDTF">2026-08-11T14:47:09Z</dcterms:modified>
</cp:coreProperties>
</file>